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threadedComments/threadedComment4.xml" ContentType="application/vnd.ms-excel.threadedcomments+xml"/>
  <Override PartName="/xl/drawings/drawing1.xml" ContentType="application/vnd.openxmlformats-officedocument.drawing+xml"/>
  <Override PartName="/xl/comments6.xml" ContentType="application/vnd.openxmlformats-officedocument.spreadsheetml.comments+xml"/>
  <Override PartName="/xl/threadedComments/threadedComment5.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hidePivotFieldList="1" defaultThemeVersion="166925"/>
  <mc:AlternateContent xmlns:mc="http://schemas.openxmlformats.org/markup-compatibility/2006">
    <mc:Choice Requires="x15">
      <x15ac:absPath xmlns:x15ac="http://schemas.microsoft.com/office/spreadsheetml/2010/11/ac" url="F:\AEG\Clients\Peoples Gas Chicago\1004935 EE Programs Reg Support 2022-25\2022-2025 General Support\Adjustable Goals\PY 2024\NSG\"/>
    </mc:Choice>
  </mc:AlternateContent>
  <xr:revisionPtr revIDLastSave="0" documentId="13_ncr:1_{0E2FAF49-8D86-46F8-8E4C-42EAE2022035}" xr6:coauthVersionLast="47" xr6:coauthVersionMax="47" xr10:uidLastSave="{00000000-0000-0000-0000-000000000000}"/>
  <bookViews>
    <workbookView xWindow="-38520" yWindow="-120" windowWidth="38640" windowHeight="21120" tabRatio="814" firstSheet="1" activeTab="1" xr2:uid="{019E3D64-DA68-4F6A-AEA6-6F00BAEB5822}"/>
  </bookViews>
  <sheets>
    <sheet name="v12 Revisions" sheetId="10" state="hidden" r:id="rId1"/>
    <sheet name="Program-Level Adj Gas" sheetId="5" r:id="rId2"/>
    <sheet name="Measure-Level Adj Gas" sheetId="6" r:id="rId3"/>
    <sheet name="Measure Level Detail" sheetId="4" state="hidden" r:id="rId4"/>
    <sheet name="Algorithms" sheetId="7" r:id="rId5"/>
    <sheet name="Measure Codes" sheetId="13" state="hidden" r:id="rId6"/>
    <sheet name="Measure Check" sheetId="14" state="hidden" r:id="rId7"/>
    <sheet name="3 - Pipe Insulation" sheetId="9" r:id="rId8"/>
    <sheet name="WAML" sheetId="8" r:id="rId9"/>
    <sheet name="Sheet1" sheetId="11" state="hidden" r:id="rId10"/>
    <sheet name="Sheet2" sheetId="12"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____sal2" localSheetId="5" hidden="1">{"SALARIOS",#N/A,FALSE,"Hoja3";"SUELDOS EMPLEADOS",#N/A,FALSE,"Hoja4";"SUELDOS EJECUTIVOS",#N/A,FALSE,"Hoja5"}</definedName>
    <definedName name="_____sal2" hidden="1">{"SALARIOS",#N/A,FALSE,"Hoja3";"SUELDOS EMPLEADOS",#N/A,FALSE,"Hoja4";"SUELDOS EJECUTIVOS",#N/A,FALSE,"Hoja5"}</definedName>
    <definedName name="____sal2" localSheetId="5" hidden="1">{"SALARIOS",#N/A,FALSE,"Hoja3";"SUELDOS EMPLEADOS",#N/A,FALSE,"Hoja4";"SUELDOS EJECUTIVOS",#N/A,FALSE,"Hoja5"}</definedName>
    <definedName name="____sal2" hidden="1">{"SALARIOS",#N/A,FALSE,"Hoja3";"SUELDOS EMPLEADOS",#N/A,FALSE,"Hoja4";"SUELDOS EJECUTIVOS",#N/A,FALSE,"Hoja5"}</definedName>
    <definedName name="___sal2" localSheetId="5" hidden="1">{"SALARIOS",#N/A,FALSE,"Hoja3";"SUELDOS EMPLEADOS",#N/A,FALSE,"Hoja4";"SUELDOS EJECUTIVOS",#N/A,FALSE,"Hoja5"}</definedName>
    <definedName name="___sal2" hidden="1">{"SALARIOS",#N/A,FALSE,"Hoja3";"SUELDOS EMPLEADOS",#N/A,FALSE,"Hoja4";"SUELDOS EJECUTIVOS",#N/A,FALSE,"Hoja5"}</definedName>
    <definedName name="__123Graph_A" localSheetId="7" hidden="1">'[1]Ptnr Returns'!#REF!</definedName>
    <definedName name="__123Graph_A" hidden="1">'[2]Func. Plt. RRF - With Earnings'!#REF!</definedName>
    <definedName name="__123Graph_B" localSheetId="7" hidden="1">'[3]Forecast Fuel'!#REF!</definedName>
    <definedName name="__123Graph_B" hidden="1">'[3]Forecast Fuel'!#REF!</definedName>
    <definedName name="__123Graph_C" hidden="1">'[2]Func. Plt. RRF - With Earnings'!#REF!</definedName>
    <definedName name="__123Graph_D" hidden="1">'[2]Func. Plt. RRF - With Earnings'!#REF!</definedName>
    <definedName name="__123Graph_E" hidden="1">'[2]Func. Plt. RRF - With Earnings'!#REF!</definedName>
    <definedName name="__123Graph_F" hidden="1">'[2]Func. Plt. RRF - With Earnings'!#REF!</definedName>
    <definedName name="__456Graph_A" hidden="1">'[1]Ptnr Returns'!#REF!</definedName>
    <definedName name="__456Graph_B" hidden="1">'[3]Forecast Fuel'!#REF!</definedName>
    <definedName name="__sal2" localSheetId="5" hidden="1">{"SALARIOS",#N/A,FALSE,"Hoja3";"SUELDOS EMPLEADOS",#N/A,FALSE,"Hoja4";"SUELDOS EJECUTIVOS",#N/A,FALSE,"Hoja5"}</definedName>
    <definedName name="__sal2" hidden="1">{"SALARIOS",#N/A,FALSE,"Hoja3";"SUELDOS EMPLEADOS",#N/A,FALSE,"Hoja4";"SUELDOS EJECUTIVOS",#N/A,FALSE,"Hoja5"}</definedName>
    <definedName name="_bdm.FastTrackBookmark.10_4_2004_9_40_31_AM.edm" hidden="1">'[4]Adjusted Exp &amp; Rate Base'!#REF!</definedName>
    <definedName name="_bdm.FastTrackBookmark.9_15_2004_3_08_01_PM.edm" hidden="1">'[5]Stmt H'!#REF!</definedName>
    <definedName name="_bdm.FastTrackBookmark.9_15_2004_3_17_28_PM.edm" hidden="1">'[6]WACC &amp; IT'!#REF!</definedName>
    <definedName name="_bdm.FastTrackBookmark.9_15_2004_4_15_33_PM.edm" hidden="1">'[5]Stmt H'!#REF!</definedName>
    <definedName name="_Fill" localSheetId="5" hidden="1">#REF!</definedName>
    <definedName name="_Fill" hidden="1">#REF!</definedName>
    <definedName name="_xlnm._FilterDatabase" localSheetId="7" hidden="1">'3 - Pipe Insulation'!$A$32:$I$80</definedName>
    <definedName name="_xlnm._FilterDatabase" localSheetId="4" hidden="1">Algorithms!$A$5:$K$4703</definedName>
    <definedName name="_xlnm._FilterDatabase" localSheetId="6" hidden="1">'Measure Check'!$B$2:$C$160</definedName>
    <definedName name="_xlnm._FilterDatabase" localSheetId="5" hidden="1">'Measure Codes'!$B$2:$D$64</definedName>
    <definedName name="_xlnm._FilterDatabase" localSheetId="3" hidden="1">'Measure Level Detail'!$D$4:$S$5484</definedName>
    <definedName name="_xlnm._FilterDatabase" localSheetId="2" hidden="1">'Measure-Level Adj Gas'!$D$9:$BT$708</definedName>
    <definedName name="_xlnm._FilterDatabase" localSheetId="0" hidden="1">'v12 Revisions'!$B$28:$R$186</definedName>
    <definedName name="_Key1" localSheetId="7" hidden="1">#REF!</definedName>
    <definedName name="_Key1" localSheetId="5" hidden="1">#REF!</definedName>
    <definedName name="_Key1" hidden="1">#REF!</definedName>
    <definedName name="_Key1a" localSheetId="5" hidden="1">#REF!</definedName>
    <definedName name="_Key1a" hidden="1">#REF!</definedName>
    <definedName name="_Key2" localSheetId="7" hidden="1">#REF!</definedName>
    <definedName name="_Key2" hidden="1">#REF!</definedName>
    <definedName name="_Order1" hidden="1">0</definedName>
    <definedName name="_Order2" hidden="1">255</definedName>
    <definedName name="_Sort" localSheetId="7" hidden="1">#REF!</definedName>
    <definedName name="_Sort" localSheetId="5" hidden="1">#REF!</definedName>
    <definedName name="_Sort"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dfa" localSheetId="7"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localSheetId="5"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sf" localSheetId="7" hidden="1">#REF!</definedName>
    <definedName name="adsf" localSheetId="5" hidden="1">#REF!</definedName>
    <definedName name="adsf" hidden="1">#REF!</definedName>
    <definedName name="adsfas" localSheetId="5" hidden="1">#REF!</definedName>
    <definedName name="adsfas" hidden="1">#REF!</definedName>
    <definedName name="aesreport2" localSheetId="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nnual_report2" localSheetId="7" hidden="1">{"ARPandL",#N/A,FALSE,"Report Annual";"ARCashflow",#N/A,FALSE,"Report Annual";"ARBalanceSheet",#N/A,FALSE,"Report Annual";"ARRatios",#N/A,FALSE,"Report Annual"}</definedName>
    <definedName name="annual_report2" localSheetId="5" hidden="1">{"ARPandL",#N/A,FALSE,"Report Annual";"ARCashflow",#N/A,FALSE,"Report Annual";"ARBalanceSheet",#N/A,FALSE,"Report Annual";"ARRatios",#N/A,FALSE,"Report Annual"}</definedName>
    <definedName name="annual_report2" hidden="1">{"ARPandL",#N/A,FALSE,"Report Annual";"ARCashflow",#N/A,FALSE,"Report Annual";"ARBalanceSheet",#N/A,FALSE,"Report Annual";"ARRatios",#N/A,FALSE,"Report Annual"}</definedName>
    <definedName name="AS2DocOpenMode" hidden="1">"AS2DocumentEdit"</definedName>
    <definedName name="calculations2" localSheetId="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DATA_01" localSheetId="7" hidden="1">#REF!</definedName>
    <definedName name="DATA_01" localSheetId="5" hidden="1">#REF!</definedName>
    <definedName name="DATA_01" hidden="1">#REF!</definedName>
    <definedName name="DATA_02" localSheetId="7" hidden="1">#REF!</definedName>
    <definedName name="DATA_02" hidden="1">#REF!</definedName>
    <definedName name="DATA_03" localSheetId="7" hidden="1">#REF!</definedName>
    <definedName name="DATA_03" hidden="1">#REF!</definedName>
    <definedName name="DATA_04" localSheetId="7" hidden="1">#REF!</definedName>
    <definedName name="DATA_04" hidden="1">#REF!</definedName>
    <definedName name="DATA_05" localSheetId="7" hidden="1">#REF!</definedName>
    <definedName name="DATA_05" hidden="1">#REF!</definedName>
    <definedName name="DATA_06" localSheetId="7" hidden="1">#REF!</definedName>
    <definedName name="DATA_06" hidden="1">#REF!</definedName>
    <definedName name="DATA_07" localSheetId="7" hidden="1">#REF!</definedName>
    <definedName name="DATA_07" hidden="1">#REF!</definedName>
    <definedName name="DATA_08" localSheetId="7" hidden="1">#REF!</definedName>
    <definedName name="DATA_08" hidden="1">#REF!</definedName>
    <definedName name="Discount_Rate">'[7]General Inputs'!$J$8</definedName>
    <definedName name="finance2" localSheetId="7" hidden="1">{"Finance 1",#N/A,FALSE,"FINANCE.XLS";"Finance 2",#N/A,FALSE,"FINANCE.XLS";"Finance 3",#N/A,FALSE,"FINANCE.XLS";"Finance 4",#N/A,FALSE,"FINANCE.XLS";"Finance 5",#N/A,FALSE,"FINANCE.XLS";"Finance 6",#N/A,FALSE,"FINANCE.XLS";"Finance 7",#N/A,FALSE,"FINANCE.XLS";"Finance 8",#N/A,FALSE,"FINANCE.XLS"}</definedName>
    <definedName name="finance2" localSheetId="5" hidden="1">{"Finance 1",#N/A,FALSE,"FINANCE.XLS";"Finance 2",#N/A,FALSE,"FINANCE.XLS";"Finance 3",#N/A,FALSE,"FINANCE.XLS";"Finance 4",#N/A,FALSE,"FINANCE.XLS";"Finance 5",#N/A,FALSE,"FINANCE.XLS";"Finance 6",#N/A,FALSE,"FINANCE.XLS";"Finance 7",#N/A,FALSE,"FINANCE.XLS";"Finance 8",#N/A,FALSE,"FINANCE.XLS"}</definedName>
    <definedName name="finance2" hidden="1">{"Finance 1",#N/A,FALSE,"FINANCE.XLS";"Finance 2",#N/A,FALSE,"FINANCE.XLS";"Finance 3",#N/A,FALSE,"FINANCE.XLS";"Finance 4",#N/A,FALSE,"FINANCE.XLS";"Finance 5",#N/A,FALSE,"FINANCE.XLS";"Finance 6",#N/A,FALSE,"FINANCE.XLS";"Finance 7",#N/A,FALSE,"FINANCE.XLS";"Finance 8",#N/A,FALSE,"FINANCE.XLS"}</definedName>
    <definedName name="flujo2" localSheetId="7" hidden="1">{"FLUJO DE CAJA",#N/A,FALSE,"Hoja1";"ANEXOS FLUJO",#N/A,FALSE,"Hoja1"}</definedName>
    <definedName name="flujo2" localSheetId="5" hidden="1">{"FLUJO DE CAJA",#N/A,FALSE,"Hoja1";"ANEXOS FLUJO",#N/A,FALSE,"Hoja1"}</definedName>
    <definedName name="flujo2" hidden="1">{"FLUJO DE CAJA",#N/A,FALSE,"Hoja1";"ANEXOS FLUJO",#N/A,FALSE,"Hoja1"}</definedName>
    <definedName name="ganacias2" localSheetId="7" hidden="1">{"GAN.Y PERD.RESUMIDO",#N/A,FALSE,"Hoja1";"GAN.Y PERD.DETALLADO",#N/A,FALSE,"Hoja1"}</definedName>
    <definedName name="ganacias2" localSheetId="5" hidden="1">{"GAN.Y PERD.RESUMIDO",#N/A,FALSE,"Hoja1";"GAN.Y PERD.DETALLADO",#N/A,FALSE,"Hoja1"}</definedName>
    <definedName name="ganacias2" hidden="1">{"GAN.Y PERD.RESUMIDO",#N/A,FALSE,"Hoja1";"GAN.Y PERD.DETALLADO",#N/A,FALSE,"Hoja1"}</definedName>
    <definedName name="hh" localSheetId="7" hidden="1">{"Valuation",#N/A,TRUE,"Valuation Summary";"Financial Statements",#N/A,TRUE,"Results";"Results",#N/A,TRUE,"Results";"Ratios",#N/A,TRUE,"Results";"P2 Summary",#N/A,TRUE,"Results";"Historical data",#N/A,TRUE,"Historical Data";"P1 Inputs",#N/A,TRUE,"Forecast Drivers";"P2 Inputs",#N/A,TRUE,"Forecast Drivers"}</definedName>
    <definedName name="hh" localSheetId="5" hidden="1">{"Valuation",#N/A,TRUE,"Valuation Summary";"Financial Statements",#N/A,TRUE,"Results";"Results",#N/A,TRUE,"Results";"Ratios",#N/A,TRUE,"Results";"P2 Summary",#N/A,TRUE,"Results";"Historical data",#N/A,TRUE,"Historical Data";"P1 Inputs",#N/A,TRUE,"Forecast Drivers";"P2 Inputs",#N/A,TRUE,"Forecast Drivers"}</definedName>
    <definedName name="hh" hidden="1">{"Valuation",#N/A,TRUE,"Valuation Summary";"Financial Statements",#N/A,TRUE,"Results";"Results",#N/A,TRUE,"Results";"Ratios",#N/A,TRUE,"Results";"P2 Summary",#N/A,TRUE,"Results";"Historical data",#N/A,TRUE,"Historical Data";"P1 Inputs",#N/A,TRUE,"Forecast Drivers";"P2 Inputs",#N/A,TRUE,"Forecast Drivers"}</definedName>
    <definedName name="inputs" localSheetId="7" hidden="1">{"Inputs 1","Base",FALSE,"INPUTS";"Inputs 2","Base",FALSE,"INPUTS";"Inputs 3","Base",FALSE,"INPUTS";"Inputs 4","Base",FALSE,"INPUTS";"Inputs 5","Base",FALSE,"INPUTS"}</definedName>
    <definedName name="inputs" localSheetId="5" hidden="1">{"Inputs 1","Base",FALSE,"INPUTS";"Inputs 2","Base",FALSE,"INPUTS";"Inputs 3","Base",FALSE,"INPUTS";"Inputs 4","Base",FALSE,"INPUTS";"Inputs 5","Base",FALSE,"INPUTS"}</definedName>
    <definedName name="inputs" hidden="1">{"Inputs 1","Base",FALSE,"INPUTS";"Inputs 2","Base",FALSE,"INPUTS";"Inputs 3","Base",FALSE,"INPUTS";"Inputs 4","Base",FALSE,"INPUTS";"Inputs 5","Base",FALSE,"INPUTS"}</definedName>
    <definedName name="IntroPrintArea" localSheetId="7" hidden="1">#REF!</definedName>
    <definedName name="IntroPrintArea" localSheetId="5" hidden="1">#REF!</definedName>
    <definedName name="IntroPrintArea" hidden="1">#REF!</definedName>
    <definedName name="jj" localSheetId="5" hidden="1">{"Portrait",#N/A,FALSE,"BOILER";"boiler_1",#N/A,FALSE,"BOILER";"boiler_2",#N/A,FALSE,"BOILER";"boiler_3",#N/A,FALSE,"BOILER";"results",#N/A,FALSE,"BOILER"}</definedName>
    <definedName name="jj" hidden="1">{"Portrait",#N/A,FALSE,"BOILER";"boiler_1",#N/A,FALSE,"BOILER";"boiler_2",#N/A,FALSE,"BOILER";"boiler_3",#N/A,FALSE,"BOILER";"results",#N/A,FALSE,"BOILER"}</definedName>
    <definedName name="LineLoss_Electric">'[7]General Inputs'!$J$17</definedName>
    <definedName name="LineLoss_ElectricPeak">'[7]General Inputs'!$J$18</definedName>
    <definedName name="LineLoss_NSG_Gas">'[7]General Inputs'!$K$19</definedName>
    <definedName name="LineLoss_PGL_Gas">'[7]General Inputs'!$J$19</definedName>
    <definedName name="MMDB_123Graph_A" localSheetId="5" hidden="1">'[1]Ptnr Returns'!#REF!</definedName>
    <definedName name="MMDB_123Graph_A" hidden="1">'[1]Ptnr Returns'!#REF!</definedName>
    <definedName name="MMDB_Key1" localSheetId="5" hidden="1">#REF!</definedName>
    <definedName name="MMDB_Key1" hidden="1">#REF!</definedName>
    <definedName name="MMDB_Sort" localSheetId="5" hidden="1">#REF!</definedName>
    <definedName name="MMDB_Sort" hidden="1">#REF!</definedName>
    <definedName name="old_1" hidden="1">[8]old!$V$5</definedName>
    <definedName name="_xlnm.Print_Area" localSheetId="4">Algorithms!$A$1:$K$4703</definedName>
    <definedName name="print99" localSheetId="7" hidden="1">{#N/A,#N/A,FALSE,"Resid CPRIV";#N/A,#N/A,FALSE,"Comer_CPRIVKsum";#N/A,#N/A,FALSE,"General (2)";#N/A,#N/A,FALSE,"Oficial";#N/A,#N/A,FALSE,"Resumen";#N/A,#N/A,FALSE,"Escenarios"}</definedName>
    <definedName name="print99" localSheetId="5" hidden="1">{#N/A,#N/A,FALSE,"Resid CPRIV";#N/A,#N/A,FALSE,"Comer_CPRIVKsum";#N/A,#N/A,FALSE,"General (2)";#N/A,#N/A,FALSE,"Oficial";#N/A,#N/A,FALSE,"Resumen";#N/A,#N/A,FALSE,"Escenarios"}</definedName>
    <definedName name="print99" hidden="1">{#N/A,#N/A,FALSE,"Resid CPRIV";#N/A,#N/A,FALSE,"Comer_CPRIVKsum";#N/A,#N/A,FALSE,"General (2)";#N/A,#N/A,FALSE,"Oficial";#N/A,#N/A,FALSE,"Resumen";#N/A,#N/A,FALSE,"Escenarios"}</definedName>
    <definedName name="report99" localSheetId="7" hidden="1">{"Rep 1",#N/A,FALSE,"Reports";"Rep 2",#N/A,FALSE,"Reports";"Rep 3",#N/A,FALSE,"Reports";"Rep 4",#N/A,FALSE,"Reports"}</definedName>
    <definedName name="report99" localSheetId="5" hidden="1">{"Rep 1",#N/A,FALSE,"Reports";"Rep 2",#N/A,FALSE,"Reports";"Rep 3",#N/A,FALSE,"Reports";"Rep 4",#N/A,FALSE,"Reports"}</definedName>
    <definedName name="report99" hidden="1">{"Rep 1",#N/A,FALSE,"Reports";"Rep 2",#N/A,FALSE,"Reports";"Rep 3",#N/A,FALSE,"Reports";"Rep 4",#N/A,FALSE,"Reports"}</definedName>
    <definedName name="sadf4" localSheetId="5" hidden="1">{"Portrait",#N/A,FALSE,"BOILER";"boiler_1",#N/A,FALSE,"BOILER";"boiler_2",#N/A,FALSE,"BOILER";"boiler_3",#N/A,FALSE,"BOILER";"results",#N/A,FALSE,"BOILER"}</definedName>
    <definedName name="sadf4" hidden="1">{"Portrait",#N/A,FALSE,"BOILER";"boiler_1",#N/A,FALSE,"BOILER";"boiler_2",#N/A,FALSE,"BOILER";"boiler_3",#N/A,FALSE,"BOILER";"results",#N/A,FALSE,"BOILER"}</definedName>
    <definedName name="saraaksdf" localSheetId="7"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localSheetId="5"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0.8</definedName>
    <definedName name="Start_Year">'[7]General Inputs'!$J$5</definedName>
    <definedName name="TextRefCopyRangeCount" hidden="1">5</definedName>
    <definedName name="w" localSheetId="7" hidden="1">{"Rep 1",#N/A,FALSE,"Reports";"Rep 2",#N/A,FALSE,"Reports";"Rep 3",#N/A,FALSE,"Reports";"Rep 4",#N/A,FALSE,"Reports"}</definedName>
    <definedName name="w" localSheetId="5" hidden="1">{"Rep 1",#N/A,FALSE,"Reports";"Rep 2",#N/A,FALSE,"Reports";"Rep 3",#N/A,FALSE,"Reports";"Rep 4",#N/A,FALSE,"Reports"}</definedName>
    <definedName name="w" hidden="1">{"Rep 1",#N/A,FALSE,"Reports";"Rep 2",#N/A,FALSE,"Reports";"Rep 3",#N/A,FALSE,"Reports";"Rep 4",#N/A,FALSE,"Reports"}</definedName>
    <definedName name="wkjetghjkwrh" localSheetId="5" hidden="1">{"Portrait",#N/A,FALSE,"BOILER";"boiler_1",#N/A,FALSE,"BOILER";"boiler_2",#N/A,FALSE,"BOILER";"boiler_3",#N/A,FALSE,"BOILER";"results",#N/A,FALSE,"BOILER"}</definedName>
    <definedName name="wkjetghjkwrh" hidden="1">{"Portrait",#N/A,FALSE,"BOILER";"boiler_1",#N/A,FALSE,"BOILER";"boiler_2",#N/A,FALSE,"BOILER";"boiler_3",#N/A,FALSE,"BOILER";"results",#N/A,FALSE,"BOILER"}</definedName>
    <definedName name="wrn.AESreport." localSheetId="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ging._.and._.Trend._.Analysis." localSheetId="7"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nnual._.Report." localSheetId="7" hidden="1">{"ARPandL",#N/A,FALSE,"Report Annual";"ARCashflow",#N/A,FALSE,"Report Annual";"ARBalanceSheet",#N/A,FALSE,"Report Annual";"ARRatios",#N/A,FALSE,"Report Annual"}</definedName>
    <definedName name="wrn.Annual._.Report." localSheetId="5" hidden="1">{"ARPandL",#N/A,FALSE,"Report Annual";"ARCashflow",#N/A,FALSE,"Report Annual";"ARBalanceSheet",#N/A,FALSE,"Report Annual";"ARRatios",#N/A,FALSE,"Report Annual"}</definedName>
    <definedName name="wrn.Annual._.Report." hidden="1">{"ARPandL",#N/A,FALSE,"Report Annual";"ARCashflow",#N/A,FALSE,"Report Annual";"ARBalanceSheet",#N/A,FALSE,"Report Annual";"ARRatios",#N/A,FALSE,"Report Annual"}</definedName>
    <definedName name="wrn.Calculations." localSheetId="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OST._.ALLOC._.STUDY._.1997._.CLFP." localSheetId="7"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localSheetId="5"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localSheetId="7" hidden="1">{#N/A,#N/A,TRUE,"DATA INPUTS"}</definedName>
    <definedName name="wrn.DATA._.INPUTS." localSheetId="5" hidden="1">{#N/A,#N/A,TRUE,"DATA INPUTS"}</definedName>
    <definedName name="wrn.DATA._.INPUTS." hidden="1">{#N/A,#N/A,TRUE,"DATA INPUTS"}</definedName>
    <definedName name="wrn.Finance." localSheetId="7" hidden="1">{"Finance 1",#N/A,FALSE,"FINANCE.XLS";"Finance 2",#N/A,FALSE,"FINANCE.XLS";"Finance 3",#N/A,FALSE,"FINANCE.XLS";"Finance 4",#N/A,FALSE,"FINANCE.XLS";"Finance 5",#N/A,FALSE,"FINANCE.XLS";"Finance 6",#N/A,FALSE,"FINANCE.XLS";"Finance 7",#N/A,FALSE,"FINANCE.XLS";"Finance 8",#N/A,FALSE,"FINANCE.XLS"}</definedName>
    <definedName name="wrn.Finance." localSheetId="5" hidden="1">{"Finance 1",#N/A,FALSE,"FINANCE.XLS";"Finance 2",#N/A,FALSE,"FINANCE.XLS";"Finance 3",#N/A,FALSE,"FINANCE.XLS";"Finance 4",#N/A,FALSE,"FINANCE.XLS";"Finance 5",#N/A,FALSE,"FINANCE.XLS";"Finance 6",#N/A,FALSE,"FINANCE.XLS";"Finance 7",#N/A,FALSE,"FINANCE.XLS";"Finance 8",#N/A,FALSE,"FINANCE.XLS"}</definedName>
    <definedName name="wrn.Finance." hidden="1">{"Finance 1",#N/A,FALSE,"FINANCE.XLS";"Finance 2",#N/A,FALSE,"FINANCE.XLS";"Finance 3",#N/A,FALSE,"FINANCE.XLS";"Finance 4",#N/A,FALSE,"FINANCE.XLS";"Finance 5",#N/A,FALSE,"FINANCE.XLS";"Finance 6",#N/A,FALSE,"FINANCE.XLS";"Finance 7",#N/A,FALSE,"FINANCE.XLS";"Finance 8",#N/A,FALSE,"FINANCE.XLS"}</definedName>
    <definedName name="wrn.FLUJO._.CAJA." localSheetId="7" hidden="1">{"FLUJO DE CAJA",#N/A,FALSE,"Hoja1";"ANEXOS FLUJO",#N/A,FALSE,"Hoja1"}</definedName>
    <definedName name="wrn.FLUJO._.CAJA." localSheetId="5" hidden="1">{"FLUJO DE CAJA",#N/A,FALSE,"Hoja1";"ANEXOS FLUJO",#N/A,FALSE,"Hoja1"}</definedName>
    <definedName name="wrn.FLUJO._.CAJA." hidden="1">{"FLUJO DE CAJA",#N/A,FALSE,"Hoja1";"ANEXOS FLUJO",#N/A,FALSE,"Hoja1"}</definedName>
    <definedName name="wrn.GANANCIAS._.Y._.PERDIDAS." localSheetId="7" hidden="1">{"GAN.Y PERD.RESUMIDO",#N/A,FALSE,"Hoja1";"GAN.Y PERD.DETALLADO",#N/A,FALSE,"Hoja1"}</definedName>
    <definedName name="wrn.GANANCIAS._.Y._.PERDIDAS." localSheetId="5" hidden="1">{"GAN.Y PERD.RESUMIDO",#N/A,FALSE,"Hoja1";"GAN.Y PERD.DETALLADO",#N/A,FALSE,"Hoja1"}</definedName>
    <definedName name="wrn.GANANCIAS._.Y._.PERDIDAS." hidden="1">{"GAN.Y PERD.RESUMIDO",#N/A,FALSE,"Hoja1";"GAN.Y PERD.DETALLADO",#N/A,FALSE,"Hoja1"}</definedName>
    <definedName name="wrn.Hardcopy." localSheetId="5" hidden="1">{"Portrait",#N/A,FALSE,"BOILER";"boiler_1",#N/A,FALSE,"BOILER";"boiler_2",#N/A,FALSE,"BOILER";"boiler_3",#N/A,FALSE,"BOILER";"results",#N/A,FALSE,"BOILER"}</definedName>
    <definedName name="wrn.Hardcopy." hidden="1">{"Portrait",#N/A,FALSE,"BOILER";"boiler_1",#N/A,FALSE,"BOILER";"boiler_2",#N/A,FALSE,"BOILER";"boiler_3",#N/A,FALSE,"BOILER";"results",#N/A,FALSE,"BOILER"}</definedName>
    <definedName name="wrn.Inputs." localSheetId="7" hidden="1">{"Inputs 1","Base",FALSE,"INPUTS";"Inputs 2","Base",FALSE,"INPUTS";"Inputs 3","Base",FALSE,"INPUTS";"Inputs 4","Base",FALSE,"INPUTS";"Inputs 5","Base",FALSE,"INPUTS"}</definedName>
    <definedName name="wrn.Inputs." localSheetId="5" hidden="1">{"Inputs 1","Base",FALSE,"INPUTS";"Inputs 2","Base",FALSE,"INPUTS";"Inputs 3","Base",FALSE,"INPUTS";"Inputs 4","Base",FALSE,"INPUTS";"Inputs 5","Base",FALSE,"INPUTS"}</definedName>
    <definedName name="wrn.Inputs." hidden="1">{"Inputs 1","Base",FALSE,"INPUTS";"Inputs 2","Base",FALSE,"INPUTS";"Inputs 3","Base",FALSE,"INPUTS";"Inputs 4","Base",FALSE,"INPUTS";"Inputs 5","Base",FALSE,"INPUTS"}</definedName>
    <definedName name="wrn.Other._.Schedules." localSheetId="7"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localSheetId="5"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Pricing._.Case." localSheetId="7" hidden="1">{#N/A,#N/A,TRUE,"RESULTS";#N/A,#N/A,TRUE,"REV REQUIRE";#N/A,#N/A,TRUE,"RATEBASE";#N/A,#N/A,TRUE,"LEVELIZED"}</definedName>
    <definedName name="wrn.Pricing._.Case." localSheetId="5" hidden="1">{#N/A,#N/A,TRUE,"RESULTS";#N/A,#N/A,TRUE,"REV REQUIRE";#N/A,#N/A,TRUE,"RATEBASE";#N/A,#N/A,TRUE,"LEVELIZED"}</definedName>
    <definedName name="wrn.Pricing._.Case." hidden="1">{#N/A,#N/A,TRUE,"RESULTS";#N/A,#N/A,TRUE,"REV REQUIRE";#N/A,#N/A,TRUE,"RATEBASE";#N/A,#N/A,TRUE,"LEVELIZED"}</definedName>
    <definedName name="wrn.pricing2._.case." localSheetId="7" hidden="1">{#N/A,#N/A,TRUE,"RESULTS";#N/A,#N/A,TRUE,"REV REQUIRE";#N/A,#N/A,TRUE,"RATEBASE";#N/A,#N/A,TRUE,"LEVELIZED"}</definedName>
    <definedName name="wrn.pricing2._.case." localSheetId="5" hidden="1">{#N/A,#N/A,TRUE,"RESULTS";#N/A,#N/A,TRUE,"REV REQUIRE";#N/A,#N/A,TRUE,"RATEBASE";#N/A,#N/A,TRUE,"LEVELIZED"}</definedName>
    <definedName name="wrn.pricing2._.case." hidden="1">{#N/A,#N/A,TRUE,"RESULTS";#N/A,#N/A,TRUE,"REV REQUIRE";#N/A,#N/A,TRUE,"RATEBASE";#N/A,#N/A,TRUE,"LEVELIZED"}</definedName>
    <definedName name="wrn.print." localSheetId="7" hidden="1">{#N/A,#N/A,FALSE,"Resid CPRIV";#N/A,#N/A,FALSE,"Comer_CPRIVKsum";#N/A,#N/A,FALSE,"General (2)";#N/A,#N/A,FALSE,"Oficial";#N/A,#N/A,FALSE,"Resumen";#N/A,#N/A,FALSE,"Escenarios"}</definedName>
    <definedName name="wrn.print." localSheetId="5" hidden="1">{#N/A,#N/A,FALSE,"Resid CPRIV";#N/A,#N/A,FALSE,"Comer_CPRIVKsum";#N/A,#N/A,FALSE,"General (2)";#N/A,#N/A,FALSE,"Oficial";#N/A,#N/A,FALSE,"Resumen";#N/A,#N/A,FALSE,"Escenarios"}</definedName>
    <definedName name="wrn.print." hidden="1">{#N/A,#N/A,FALSE,"Resid CPRIV";#N/A,#N/A,FALSE,"Comer_CPRIVKsum";#N/A,#N/A,FALSE,"General (2)";#N/A,#N/A,FALSE,"Oficial";#N/A,#N/A,FALSE,"Resumen";#N/A,#N/A,FALSE,"Escenarios"}</definedName>
    <definedName name="wrn.Print._.All._.A4." localSheetId="7"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5"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5"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7" hidden="1">{"Valuation",#N/A,TRUE,"Valuation Summary";"Financial Statements",#N/A,TRUE,"Results";"Results",#N/A,TRUE,"Results";"Ratios",#N/A,TRUE,"Results";"P2 Summary",#N/A,TRUE,"Results"}</definedName>
    <definedName name="wrn.Print._.Results._.A4." localSheetId="5"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7" hidden="1">{"Valuation - Letter",#N/A,TRUE,"Valuation Summary";"Financial Statements - Letter",#N/A,TRUE,"Results";"Results - Letter",#N/A,TRUE,"Results";"Ratios - Letter",#N/A,TRUE,"Results";"P2 Summary - Letter",#N/A,TRUE,"Results"}</definedName>
    <definedName name="wrn.Print._.Results._.Letter." localSheetId="5"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RAK1." localSheetId="7" hidden="1">{"RAK-1, Schedule 1",#N/A,FALSE,"Electric";"RAK-1, Schedule 2",#N/A,FALSE,"Electric";"RAK-1, Schedule 4",#N/A,FALSE,"Electric"}</definedName>
    <definedName name="wrn.RAK1." localSheetId="5" hidden="1">{"RAK-1, Schedule 1",#N/A,FALSE,"Electric";"RAK-1, Schedule 2",#N/A,FALSE,"Electric";"RAK-1, Schedule 4",#N/A,FALSE,"Electric"}</definedName>
    <definedName name="wrn.RAK1." hidden="1">{"RAK-1, Schedule 1",#N/A,FALSE,"Electric";"RAK-1, Schedule 2",#N/A,FALSE,"Electric";"RAK-1, Schedule 4",#N/A,FALSE,"Electric"}</definedName>
    <definedName name="wrn.RAK2." localSheetId="7"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localSheetId="5"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port." localSheetId="7" hidden="1">{"Rep 1",#N/A,FALSE,"Reports";"Rep 2",#N/A,FALSE,"Reports";"Rep 3",#N/A,FALSE,"Reports";"Rep 4",#N/A,FALSE,"Reports"}</definedName>
    <definedName name="wrn.Report." localSheetId="5" hidden="1">{"Rep 1",#N/A,FALSE,"Reports";"Rep 2",#N/A,FALSE,"Reports";"Rep 3",#N/A,FALSE,"Reports";"Rep 4",#N/A,FALSE,"Reports"}</definedName>
    <definedName name="wrn.Report." hidden="1">{"Rep 1",#N/A,FALSE,"Reports";"Rep 2",#N/A,FALSE,"Reports";"Rep 3",#N/A,FALSE,"Reports";"Rep 4",#N/A,FALSE,"Reports"}</definedName>
    <definedName name="wrn.RevReq." localSheetId="7" hidden="1">{#N/A,#N/A,FALSE,"Revenue Requirements";#N/A,#N/A,FALSE,"Capital Structure";#N/A,#N/A,FALSE,"Cost of Debt";#N/A,#N/A,FALSE,"Electric";#N/A,#N/A,FALSE,"Gas";#N/A,#N/A,FALSE,"CWC";#N/A,#N/A,FALSE,"Income Taxes"}</definedName>
    <definedName name="wrn.RevReq." localSheetId="5" hidden="1">{#N/A,#N/A,FALSE,"Revenue Requirements";#N/A,#N/A,FALSE,"Capital Structure";#N/A,#N/A,FALSE,"Cost of Debt";#N/A,#N/A,FALSE,"Electric";#N/A,#N/A,FALSE,"Gas";#N/A,#N/A,FALSE,"CWC";#N/A,#N/A,FALSE,"Income Taxes"}</definedName>
    <definedName name="wrn.RevReq." hidden="1">{#N/A,#N/A,FALSE,"Revenue Requirements";#N/A,#N/A,FALSE,"Capital Structure";#N/A,#N/A,FALSE,"Cost of Debt";#N/A,#N/A,FALSE,"Electric";#N/A,#N/A,FALSE,"Gas";#N/A,#N/A,FALSE,"CWC";#N/A,#N/A,FALSE,"Income Taxes"}</definedName>
    <definedName name="wrn.SALARIOS._.PRESUPUESTO." localSheetId="7" hidden="1">{"SALARIOS",#N/A,FALSE,"Hoja3";"SUELDOS EMPLEADOS",#N/A,FALSE,"Hoja4";"SUELDOS EJECUTIVOS",#N/A,FALSE,"Hoja5"}</definedName>
    <definedName name="wrn.SALARIOS._.PRESUPUESTO." localSheetId="5" hidden="1">{"SALARIOS",#N/A,FALSE,"Hoja3";"SUELDOS EMPLEADOS",#N/A,FALSE,"Hoja4";"SUELDOS EJECUTIVOS",#N/A,FALSE,"Hoja5"}</definedName>
    <definedName name="wrn.SALARIOS._.PRESUPUESTO." hidden="1">{"SALARIOS",#N/A,FALSE,"Hoja3";"SUELDOS EMPLEADOS",#N/A,FALSE,"Hoja4";"SUELDOS EJECUTIVOS",#N/A,FALSE,"Hoja5"}</definedName>
    <definedName name="wrn.Schedule._.4." localSheetId="7" hidden="1">{"ERB1",#N/A,FALSE,"Electric";"ERB2",#N/A,FALSE,"Electric";"ERB3",#N/A,FALSE,"Electric";"ERB4",#N/A,FALSE,"Electric";"ERB5",#N/A,FALSE,"Electric"}</definedName>
    <definedName name="wrn.Schedule._.4." localSheetId="5" hidden="1">{"ERB1",#N/A,FALSE,"Electric";"ERB2",#N/A,FALSE,"Electric";"ERB3",#N/A,FALSE,"Electric";"ERB4",#N/A,FALSE,"Electric";"ERB5",#N/A,FALSE,"Electric"}</definedName>
    <definedName name="wrn.Schedule._.4." hidden="1">{"ERB1",#N/A,FALSE,"Electric";"ERB2",#N/A,FALSE,"Electric";"ERB3",#N/A,FALSE,"Electric";"ERB4",#N/A,FALSE,"Electric";"ERB5",#N/A,FALSE,"Electric"}</definedName>
    <definedName name="wrn.Schedule._.5." localSheetId="7" hidden="1">{"EE1",#N/A,FALSE,"Electric";"EE2",#N/A,FALSE,"Electric";"EE3",#N/A,FALSE,"Electric";"EE4",#N/A,FALSE,"Electric";"EE5",#N/A,FALSE,"Electric"}</definedName>
    <definedName name="wrn.Schedule._.5." localSheetId="5" hidden="1">{"EE1",#N/A,FALSE,"Electric";"EE2",#N/A,FALSE,"Electric";"EE3",#N/A,FALSE,"Electric";"EE4",#N/A,FALSE,"Electric";"EE5",#N/A,FALSE,"Electric"}</definedName>
    <definedName name="wrn.Schedule._.5." hidden="1">{"EE1",#N/A,FALSE,"Electric";"EE2",#N/A,FALSE,"Electric";"EE3",#N/A,FALSE,"Electric";"EE4",#N/A,FALSE,"Electric";"EE5",#N/A,FALSE,"Electric"}</definedName>
    <definedName name="wrn.Summary." localSheetId="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5"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XREF_COLUMN_1" localSheetId="7" hidden="1">#REF!</definedName>
    <definedName name="XREF_COLUMN_1" localSheetId="5" hidden="1">#REF!</definedName>
    <definedName name="XREF_COLUMN_1" hidden="1">#REF!</definedName>
    <definedName name="XREF_COLUMN_2" localSheetId="7" hidden="1">#REF!</definedName>
    <definedName name="XREF_COLUMN_2" hidden="1">#REF!</definedName>
    <definedName name="XREF_COLUMN_3" localSheetId="7" hidden="1">#REF!</definedName>
    <definedName name="XREF_COLUMN_3" hidden="1">#REF!</definedName>
    <definedName name="XREF_COLUMN_4" localSheetId="7" hidden="1">#REF!</definedName>
    <definedName name="XREF_COLUMN_4" hidden="1">#REF!</definedName>
    <definedName name="XRefActiveRow" localSheetId="7" hidden="1">#REF!</definedName>
    <definedName name="XRefActiveRow" hidden="1">#REF!</definedName>
    <definedName name="XRefColumnsCount" hidden="1">4</definedName>
    <definedName name="XRefCopy1" localSheetId="7" hidden="1">#REF!</definedName>
    <definedName name="XRefCopy1" localSheetId="5" hidden="1">#REF!</definedName>
    <definedName name="XRefCopy1" hidden="1">#REF!</definedName>
    <definedName name="XRefCopy1Row" localSheetId="7" hidden="1">#REF!</definedName>
    <definedName name="XRefCopy1Row" hidden="1">#REF!</definedName>
    <definedName name="XRefCopy2" localSheetId="7" hidden="1">#REF!</definedName>
    <definedName name="XRefCopy2" hidden="1">#REF!</definedName>
    <definedName name="XRefCopy2Row" localSheetId="7" hidden="1">[9]XREF!#REF!</definedName>
    <definedName name="XRefCopy2Row" localSheetId="5" hidden="1">[9]XREF!#REF!</definedName>
    <definedName name="XRefCopy2Row" hidden="1">[9]XREF!#REF!</definedName>
    <definedName name="XRefCopy3" localSheetId="7" hidden="1">#REF!</definedName>
    <definedName name="XRefCopy3" localSheetId="5" hidden="1">#REF!</definedName>
    <definedName name="XRefCopy3" hidden="1">#REF!</definedName>
    <definedName name="XRefCopy3Row" localSheetId="7" hidden="1">[9]XREF!#REF!</definedName>
    <definedName name="XRefCopy3Row" localSheetId="5" hidden="1">[9]XREF!#REF!</definedName>
    <definedName name="XRefCopy3Row" hidden="1">[9]XREF!#REF!</definedName>
    <definedName name="XRefCopy4Row" localSheetId="7" hidden="1">#REF!</definedName>
    <definedName name="XRefCopy4Row" localSheetId="5" hidden="1">#REF!</definedName>
    <definedName name="XRefCopy4Row" hidden="1">#REF!</definedName>
    <definedName name="XRefCopy5" localSheetId="7" hidden="1">'[10]$ 01Final'!#REF!</definedName>
    <definedName name="XRefCopy5" localSheetId="5" hidden="1">'[10]$ 01Final'!#REF!</definedName>
    <definedName name="XRefCopy5" hidden="1">'[10]$ 01Final'!#REF!</definedName>
    <definedName name="XRefCopy5Row" localSheetId="7" hidden="1">#REF!</definedName>
    <definedName name="XRefCopy5Row" localSheetId="5" hidden="1">#REF!</definedName>
    <definedName name="XRefCopy5Row" hidden="1">#REF!</definedName>
    <definedName name="XRefCopyRangeCount" hidden="1">5</definedName>
    <definedName name="XRefPaste1" localSheetId="7" hidden="1">#REF!</definedName>
    <definedName name="XRefPaste1" localSheetId="5" hidden="1">#REF!</definedName>
    <definedName name="XRefPaste1" hidden="1">#REF!</definedName>
    <definedName name="XRefPaste1Row" localSheetId="7" hidden="1">#REF!</definedName>
    <definedName name="XRefPaste1Row" hidden="1">#REF!</definedName>
    <definedName name="XRefPasteRangeCount" hidden="1">1</definedName>
    <definedName name="xx" localSheetId="7" hidden="1">{#N/A,#N/A,FALSE,"Aging Summary";#N/A,#N/A,FALSE,"Ratio Analysis";#N/A,#N/A,FALSE,"Test 120 Day Accts";#N/A,#N/A,FALSE,"Tickmarks"}</definedName>
    <definedName name="xx" localSheetId="5" hidden="1">{#N/A,#N/A,FALSE,"Aging Summary";#N/A,#N/A,FALSE,"Ratio Analysis";#N/A,#N/A,FALSE,"Test 120 Day Accts";#N/A,#N/A,FALSE,"Tickmarks"}</definedName>
    <definedName name="xx" hidden="1">{#N/A,#N/A,FALSE,"Aging Summary";#N/A,#N/A,FALSE,"Ratio Analysis";#N/A,#N/A,FALSE,"Test 120 Day Accts";#N/A,#N/A,FALSE,"Tickmarks"}</definedName>
    <definedName name="xxxx" localSheetId="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z" localSheetId="5" hidden="1">{"Portrait",#N/A,FALSE,"BOILER";"boiler_1",#N/A,FALSE,"BOILER";"boiler_2",#N/A,FALSE,"BOILER";"boiler_3",#N/A,FALSE,"BOILER";"results",#N/A,FALSE,"BOILER"}</definedName>
    <definedName name="z" hidden="1">{"Portrait",#N/A,FALSE,"BOILER";"boiler_1",#N/A,FALSE,"BOILER";"boiler_2",#N/A,FALSE,"BOILER";"boiler_3",#N/A,FALSE,"BOILER";"results",#N/A,FALSE,"BOILER"}</definedName>
    <definedName name="Z_0B113C9C_A1A9_11D3_A311_0008C739212F_.wvu.PrintArea" localSheetId="7" hidden="1">#REF!</definedName>
    <definedName name="Z_0B113C9C_A1A9_11D3_A311_0008C739212F_.wvu.PrintArea" localSheetId="5" hidden="1">#REF!</definedName>
    <definedName name="Z_0B113C9C_A1A9_11D3_A311_0008C739212F_.wvu.PrintArea" hidden="1">#REF!</definedName>
    <definedName name="Z_1C03E4A5_0E99_11D5_896C_00008646D7BA_.wvu.Rows" localSheetId="7" hidden="1">[11]Debt!#REF!</definedName>
    <definedName name="Z_1C03E4A5_0E99_11D5_896C_00008646D7BA_.wvu.Rows" localSheetId="5" hidden="1">[11]Debt!#REF!</definedName>
    <definedName name="Z_1C03E4A5_0E99_11D5_896C_00008646D7BA_.wvu.Rows" hidden="1">[11]Debt!#REF!</definedName>
    <definedName name="Z_74BB7D31_A24A_11D3_95F1_000000000000_.wvu.PrintArea" localSheetId="7" hidden="1">#REF!</definedName>
    <definedName name="Z_74BB7D31_A24A_11D3_95F1_000000000000_.wvu.PrintArea" localSheetId="5" hidden="1">#REF!</definedName>
    <definedName name="Z_74BB7D31_A24A_11D3_95F1_000000000000_.wvu.PrintArea" hidden="1">#REF!</definedName>
  </definedNames>
  <calcPr calcId="191029" iterate="1"/>
  <pivotCaches>
    <pivotCache cacheId="7" r:id="rId25"/>
    <pivotCache cacheId="8"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548" i="7" l="1"/>
  <c r="H2547" i="7"/>
  <c r="H3038" i="7"/>
  <c r="G593" i="7"/>
  <c r="H4617" i="7"/>
  <c r="H797" i="7"/>
  <c r="H3029" i="7"/>
  <c r="H3020" i="7"/>
  <c r="H989" i="7"/>
  <c r="H998" i="7"/>
  <c r="H2414" i="7"/>
  <c r="R23" i="10"/>
  <c r="Q23" i="10"/>
  <c r="P23" i="10"/>
  <c r="O23" i="10"/>
  <c r="D23" i="10"/>
  <c r="R22" i="10"/>
  <c r="Q22" i="10"/>
  <c r="P22" i="10"/>
  <c r="O22" i="10"/>
  <c r="D22" i="10"/>
  <c r="R21" i="10"/>
  <c r="Q21" i="10"/>
  <c r="P21" i="10"/>
  <c r="O21" i="10"/>
  <c r="D21" i="10"/>
  <c r="R20" i="10"/>
  <c r="Q20" i="10"/>
  <c r="P20" i="10"/>
  <c r="O20" i="10"/>
  <c r="D20" i="10"/>
  <c r="R19" i="10"/>
  <c r="Q19" i="10"/>
  <c r="P19" i="10"/>
  <c r="O19" i="10"/>
  <c r="D19" i="10"/>
  <c r="R18" i="10"/>
  <c r="Q18" i="10"/>
  <c r="P18" i="10"/>
  <c r="O18" i="10"/>
  <c r="D18" i="10"/>
  <c r="R17" i="10"/>
  <c r="Q17" i="10"/>
  <c r="P17" i="10"/>
  <c r="O17" i="10"/>
  <c r="D17" i="10"/>
  <c r="R16" i="10"/>
  <c r="Q16" i="10"/>
  <c r="P16" i="10"/>
  <c r="O16" i="10"/>
  <c r="D16" i="10"/>
  <c r="R15" i="10"/>
  <c r="Q15" i="10"/>
  <c r="P15" i="10"/>
  <c r="O15" i="10"/>
  <c r="D15" i="10"/>
  <c r="R14" i="10"/>
  <c r="Q14" i="10"/>
  <c r="P14" i="10"/>
  <c r="O14" i="10"/>
  <c r="D14" i="10"/>
  <c r="R13" i="10"/>
  <c r="Q13" i="10"/>
  <c r="P13" i="10"/>
  <c r="O13" i="10"/>
  <c r="R12" i="10"/>
  <c r="Q12" i="10"/>
  <c r="P12" i="10"/>
  <c r="O12" i="10"/>
  <c r="D12" i="10"/>
  <c r="R11" i="10"/>
  <c r="Q11" i="10"/>
  <c r="P11" i="10"/>
  <c r="O11" i="10"/>
  <c r="D11" i="10"/>
  <c r="R10" i="10"/>
  <c r="Q10" i="10"/>
  <c r="P10" i="10"/>
  <c r="O10" i="10"/>
  <c r="D10" i="10"/>
  <c r="R9" i="10"/>
  <c r="Q9" i="10"/>
  <c r="P9" i="10"/>
  <c r="O9" i="10"/>
  <c r="R8" i="10"/>
  <c r="Q8" i="10"/>
  <c r="P8" i="10"/>
  <c r="O8" i="10"/>
  <c r="D8" i="10"/>
  <c r="R7" i="10"/>
  <c r="Q7" i="10"/>
  <c r="P7" i="10"/>
  <c r="O7" i="10"/>
  <c r="D7" i="10"/>
  <c r="R6" i="10"/>
  <c r="Q6" i="10"/>
  <c r="P6" i="10"/>
  <c r="O6" i="10"/>
  <c r="D6" i="10"/>
  <c r="R5" i="10"/>
  <c r="Q5" i="10"/>
  <c r="P5" i="10"/>
  <c r="O5" i="10"/>
  <c r="R4" i="10"/>
  <c r="Q4" i="10"/>
  <c r="P4" i="10"/>
  <c r="O4" i="10"/>
  <c r="R3" i="10"/>
  <c r="Q3" i="10"/>
  <c r="P3" i="10"/>
  <c r="O3" i="10"/>
  <c r="D3" i="10"/>
  <c r="H265" i="7"/>
  <c r="G265" i="7"/>
  <c r="A491" i="7"/>
  <c r="A490" i="7"/>
  <c r="A489" i="7"/>
  <c r="G490" i="7"/>
  <c r="G486" i="7"/>
  <c r="G481" i="7"/>
  <c r="G494" i="7" s="1"/>
  <c r="G467" i="7"/>
  <c r="A447" i="7"/>
  <c r="A446" i="7"/>
  <c r="G446" i="7"/>
  <c r="G451" i="7" s="1"/>
  <c r="G444" i="7"/>
  <c r="G443" i="7"/>
  <c r="G442" i="7"/>
  <c r="G439" i="7"/>
  <c r="G450" i="7" s="1"/>
  <c r="G438" i="7"/>
  <c r="G437" i="7"/>
  <c r="G449" i="7" s="1"/>
  <c r="A2703" i="7"/>
  <c r="G2699" i="7"/>
  <c r="G2702" i="7" s="1"/>
  <c r="G2704" i="7" s="1"/>
  <c r="G2689" i="7"/>
  <c r="G2688" i="7"/>
  <c r="G2682" i="7"/>
  <c r="G2681" i="7"/>
  <c r="G2684" i="7" s="1"/>
  <c r="G2687" i="7" s="1"/>
  <c r="G2680" i="7"/>
  <c r="G2679" i="7"/>
  <c r="G2690" i="7" s="1"/>
  <c r="G2678" i="7"/>
  <c r="G2676" i="7"/>
  <c r="G2691" i="7" s="1"/>
  <c r="G2674" i="7"/>
  <c r="G2671" i="7"/>
  <c r="G2669" i="7"/>
  <c r="G2663" i="7"/>
  <c r="A2653" i="7"/>
  <c r="G2649" i="7"/>
  <c r="G2652" i="7" s="1"/>
  <c r="G2654" i="7" s="1"/>
  <c r="G2639" i="7"/>
  <c r="G2638" i="7"/>
  <c r="G2632" i="7"/>
  <c r="G2631" i="7"/>
  <c r="G2634" i="7" s="1"/>
  <c r="G2637" i="7" s="1"/>
  <c r="G2630" i="7"/>
  <c r="G2629" i="7"/>
  <c r="G2640" i="7" s="1"/>
  <c r="G2628" i="7"/>
  <c r="G2626" i="7"/>
  <c r="G2641" i="7" s="1"/>
  <c r="G2624" i="7"/>
  <c r="G2621" i="7"/>
  <c r="G2619" i="7"/>
  <c r="G2613" i="7"/>
  <c r="A2603" i="7"/>
  <c r="G2599" i="7"/>
  <c r="G2602" i="7" s="1"/>
  <c r="G2604" i="7" s="1"/>
  <c r="G2589" i="7"/>
  <c r="G2588" i="7"/>
  <c r="G2582" i="7"/>
  <c r="G2581" i="7"/>
  <c r="G2584" i="7" s="1"/>
  <c r="G2587" i="7" s="1"/>
  <c r="G2580" i="7"/>
  <c r="G2579" i="7"/>
  <c r="G2590" i="7" s="1"/>
  <c r="G2578" i="7"/>
  <c r="G2576" i="7"/>
  <c r="G2591" i="7" s="1"/>
  <c r="G2574" i="7"/>
  <c r="G2571" i="7"/>
  <c r="G2569" i="7"/>
  <c r="G2563" i="7"/>
  <c r="A2553" i="7"/>
  <c r="G2539" i="7"/>
  <c r="G2538" i="7"/>
  <c r="G2532" i="7"/>
  <c r="G2531" i="7"/>
  <c r="G2534" i="7" s="1"/>
  <c r="G2537" i="7" s="1"/>
  <c r="G2530" i="7"/>
  <c r="G2529" i="7"/>
  <c r="G2540" i="7" s="1"/>
  <c r="G2528" i="7"/>
  <c r="G2547" i="7" s="1"/>
  <c r="G2526" i="7"/>
  <c r="G2541" i="7" s="1"/>
  <c r="G2524" i="7"/>
  <c r="G2521" i="7"/>
  <c r="G2519" i="7"/>
  <c r="G2513" i="7"/>
  <c r="H3319" i="7"/>
  <c r="H3310" i="7"/>
  <c r="H980" i="7"/>
  <c r="G2778" i="7"/>
  <c r="G2776" i="7"/>
  <c r="F2776" i="7"/>
  <c r="G2770" i="7"/>
  <c r="F2770" i="7"/>
  <c r="H2769" i="7"/>
  <c r="G2769" i="7"/>
  <c r="H2766" i="7"/>
  <c r="H2772" i="7" s="1"/>
  <c r="H2775" i="7" s="1"/>
  <c r="G2766" i="7"/>
  <c r="G2772" i="7" s="1"/>
  <c r="G2775" i="7" s="1"/>
  <c r="F2766" i="7"/>
  <c r="F2772" i="7" s="1"/>
  <c r="F2775" i="7" s="1"/>
  <c r="H2765" i="7"/>
  <c r="G2765" i="7"/>
  <c r="F2765" i="7"/>
  <c r="H2761" i="7"/>
  <c r="H2768" i="7" s="1"/>
  <c r="G2761" i="7"/>
  <c r="G2768" i="7" s="1"/>
  <c r="F2761" i="7"/>
  <c r="F2768" i="7" s="1"/>
  <c r="G2752" i="7"/>
  <c r="F2475" i="7"/>
  <c r="H2473" i="7"/>
  <c r="F2473" i="7"/>
  <c r="G2468" i="7"/>
  <c r="G2467" i="7"/>
  <c r="G2466" i="7"/>
  <c r="G2421" i="7"/>
  <c r="F2421" i="7"/>
  <c r="G2415" i="7"/>
  <c r="F2415" i="7"/>
  <c r="G2414" i="7"/>
  <c r="F2414" i="7"/>
  <c r="H2411" i="7"/>
  <c r="H2417" i="7" s="1"/>
  <c r="H2420" i="7" s="1"/>
  <c r="G2411" i="7"/>
  <c r="G2417" i="7" s="1"/>
  <c r="F2411" i="7"/>
  <c r="F2417" i="7" s="1"/>
  <c r="F2420" i="7" s="1"/>
  <c r="H2410" i="7"/>
  <c r="G2410" i="7"/>
  <c r="F2410" i="7"/>
  <c r="H2400" i="7"/>
  <c r="H2406" i="7" s="1"/>
  <c r="H2413" i="7" s="1"/>
  <c r="G2400" i="7"/>
  <c r="G2406" i="7" s="1"/>
  <c r="F2400" i="7"/>
  <c r="F2406" i="7" s="1"/>
  <c r="F2413" i="7" s="1"/>
  <c r="G3485" i="7"/>
  <c r="A2757" i="7"/>
  <c r="A2758" i="7"/>
  <c r="A2759" i="7"/>
  <c r="A2760" i="7"/>
  <c r="A2761" i="7"/>
  <c r="A2762" i="7"/>
  <c r="A2763" i="7"/>
  <c r="A2764" i="7"/>
  <c r="A2765" i="7"/>
  <c r="A2766" i="7"/>
  <c r="A2767" i="7"/>
  <c r="A2768" i="7"/>
  <c r="A2769" i="7"/>
  <c r="A2770" i="7"/>
  <c r="A2771" i="7"/>
  <c r="A2772" i="7"/>
  <c r="A2773" i="7"/>
  <c r="A2774" i="7"/>
  <c r="A2775" i="7"/>
  <c r="A2776" i="7"/>
  <c r="A2777" i="7"/>
  <c r="A2778" i="7"/>
  <c r="A2779" i="7"/>
  <c r="G2789" i="7"/>
  <c r="A2787" i="7"/>
  <c r="A2788" i="7"/>
  <c r="G2798" i="7"/>
  <c r="A2796" i="7"/>
  <c r="A2797" i="7"/>
  <c r="G2807" i="7"/>
  <c r="A2805" i="7"/>
  <c r="A2806" i="7"/>
  <c r="A2420" i="7"/>
  <c r="A2421" i="7"/>
  <c r="A2422" i="7"/>
  <c r="A2423" i="7"/>
  <c r="A2424" i="7"/>
  <c r="A2397" i="7"/>
  <c r="A2398" i="7"/>
  <c r="A2399" i="7"/>
  <c r="A2400" i="7"/>
  <c r="A2401" i="7"/>
  <c r="A2402" i="7"/>
  <c r="A2403" i="7"/>
  <c r="A2404" i="7"/>
  <c r="A2405" i="7"/>
  <c r="A2406" i="7"/>
  <c r="A2407" i="7"/>
  <c r="A2408" i="7"/>
  <c r="A2409" i="7"/>
  <c r="A2410" i="7"/>
  <c r="A2411" i="7"/>
  <c r="A2412" i="7"/>
  <c r="A2413" i="7"/>
  <c r="A2414" i="7"/>
  <c r="A2415" i="7"/>
  <c r="A2416" i="7"/>
  <c r="A2417" i="7"/>
  <c r="A2418" i="7"/>
  <c r="A2419" i="7"/>
  <c r="A2396" i="7"/>
  <c r="G2549" i="7" l="1"/>
  <c r="G2552" i="7" s="1"/>
  <c r="G2554" i="7" s="1"/>
  <c r="G496" i="7"/>
  <c r="G482" i="7"/>
  <c r="G493" i="7" s="1"/>
  <c r="G483" i="7"/>
  <c r="G495" i="7" s="1"/>
  <c r="G487" i="7"/>
  <c r="G488" i="7"/>
  <c r="G448" i="7"/>
  <c r="G2477" i="7"/>
  <c r="G2683" i="7"/>
  <c r="G2692" i="7"/>
  <c r="G2633" i="7"/>
  <c r="G2642" i="7"/>
  <c r="G2592" i="7"/>
  <c r="G2583" i="7"/>
  <c r="G2533" i="7"/>
  <c r="G2542" i="7"/>
  <c r="G2771" i="7"/>
  <c r="G2756" i="7"/>
  <c r="G2396" i="7"/>
  <c r="G2420" i="7"/>
  <c r="G2416" i="7" s="1"/>
  <c r="G2413" i="7"/>
  <c r="G2401" i="7" s="1"/>
  <c r="A2468" i="7"/>
  <c r="A2469" i="7"/>
  <c r="A2470" i="7"/>
  <c r="A2471" i="7"/>
  <c r="A2472" i="7"/>
  <c r="A2473" i="7"/>
  <c r="A2474" i="7"/>
  <c r="A2475" i="7"/>
  <c r="A2476" i="7"/>
  <c r="C64" i="13"/>
  <c r="E64" i="13" s="1"/>
  <c r="C63" i="13"/>
  <c r="E63" i="13" s="1"/>
  <c r="C62" i="13"/>
  <c r="E62" i="13" s="1"/>
  <c r="C61" i="13"/>
  <c r="E61" i="13" s="1"/>
  <c r="C60" i="13"/>
  <c r="E60" i="13" s="1"/>
  <c r="C59" i="13"/>
  <c r="E59" i="13" s="1"/>
  <c r="C58" i="13"/>
  <c r="E58" i="13" s="1"/>
  <c r="C57" i="13"/>
  <c r="E57" i="13" s="1"/>
  <c r="C56" i="13"/>
  <c r="E56" i="13" s="1"/>
  <c r="C55" i="13"/>
  <c r="E55" i="13" s="1"/>
  <c r="C54" i="13"/>
  <c r="E54" i="13" s="1"/>
  <c r="C53" i="13"/>
  <c r="E53" i="13" s="1"/>
  <c r="C52" i="13"/>
  <c r="E52" i="13" s="1"/>
  <c r="C51" i="13"/>
  <c r="E51" i="13" s="1"/>
  <c r="C50" i="13"/>
  <c r="E50" i="13" s="1"/>
  <c r="C49" i="13"/>
  <c r="E49" i="13" s="1"/>
  <c r="C48" i="13"/>
  <c r="E48" i="13" s="1"/>
  <c r="C47" i="13"/>
  <c r="E47" i="13" s="1"/>
  <c r="C46" i="13"/>
  <c r="E46" i="13" s="1"/>
  <c r="C45" i="13"/>
  <c r="E45" i="13" s="1"/>
  <c r="C44" i="13"/>
  <c r="E44" i="13" s="1"/>
  <c r="C43" i="13"/>
  <c r="E43" i="13" s="1"/>
  <c r="C42" i="13"/>
  <c r="E42" i="13" s="1"/>
  <c r="C41" i="13"/>
  <c r="E41" i="13" s="1"/>
  <c r="C40" i="13"/>
  <c r="E40" i="13" s="1"/>
  <c r="C39" i="13"/>
  <c r="E39" i="13" s="1"/>
  <c r="C38" i="13"/>
  <c r="E38" i="13" s="1"/>
  <c r="C37" i="13"/>
  <c r="E37" i="13" s="1"/>
  <c r="C36" i="13"/>
  <c r="E36" i="13" s="1"/>
  <c r="C35" i="13"/>
  <c r="E35" i="13" s="1"/>
  <c r="C34" i="13"/>
  <c r="E34" i="13" s="1"/>
  <c r="C33" i="13"/>
  <c r="E33" i="13" s="1"/>
  <c r="C32" i="13"/>
  <c r="E32" i="13" s="1"/>
  <c r="C31" i="13"/>
  <c r="E31" i="13" s="1"/>
  <c r="C30" i="13"/>
  <c r="E30" i="13" s="1"/>
  <c r="C29" i="13"/>
  <c r="E29" i="13" s="1"/>
  <c r="C28" i="13"/>
  <c r="E28" i="13" s="1"/>
  <c r="C27" i="13"/>
  <c r="E27" i="13" s="1"/>
  <c r="C26" i="13"/>
  <c r="E26" i="13" s="1"/>
  <c r="C25" i="13"/>
  <c r="E25" i="13" s="1"/>
  <c r="C24" i="13"/>
  <c r="E24" i="13" s="1"/>
  <c r="C23" i="13"/>
  <c r="E23" i="13" s="1"/>
  <c r="C22" i="13"/>
  <c r="E22" i="13" s="1"/>
  <c r="C21" i="13"/>
  <c r="E21" i="13" s="1"/>
  <c r="C20" i="13"/>
  <c r="E20" i="13" s="1"/>
  <c r="C19" i="13"/>
  <c r="E19" i="13" s="1"/>
  <c r="C18" i="13"/>
  <c r="E18" i="13" s="1"/>
  <c r="C17" i="13"/>
  <c r="E17" i="13" s="1"/>
  <c r="C16" i="13"/>
  <c r="E16" i="13" s="1"/>
  <c r="C15" i="13"/>
  <c r="E15" i="13" s="1"/>
  <c r="C14" i="13"/>
  <c r="E14" i="13" s="1"/>
  <c r="C13" i="13"/>
  <c r="E13" i="13" s="1"/>
  <c r="C12" i="13"/>
  <c r="E12" i="13" s="1"/>
  <c r="C11" i="13"/>
  <c r="E11" i="13" s="1"/>
  <c r="C10" i="13"/>
  <c r="E10" i="13" s="1"/>
  <c r="C9" i="13"/>
  <c r="E9" i="13" s="1"/>
  <c r="C8" i="13"/>
  <c r="E8" i="13" s="1"/>
  <c r="C7" i="13"/>
  <c r="E7" i="13" s="1"/>
  <c r="C6" i="13"/>
  <c r="E6" i="13" s="1"/>
  <c r="C5" i="13"/>
  <c r="E5" i="13" s="1"/>
  <c r="C4" i="13"/>
  <c r="E4" i="13" s="1"/>
  <c r="C3" i="13"/>
  <c r="E3" i="13" s="1"/>
  <c r="J186" i="10"/>
  <c r="D186" i="10"/>
  <c r="J185" i="10"/>
  <c r="D185" i="10"/>
  <c r="J184" i="10"/>
  <c r="D184" i="10"/>
  <c r="J183" i="10"/>
  <c r="D183" i="10"/>
  <c r="J182" i="10"/>
  <c r="D182" i="10"/>
  <c r="J181" i="10"/>
  <c r="D181" i="10"/>
  <c r="J180" i="10"/>
  <c r="J23" i="10" s="1"/>
  <c r="D180" i="10"/>
  <c r="J179" i="10"/>
  <c r="J22" i="10" s="1"/>
  <c r="D179" i="10"/>
  <c r="J178" i="10"/>
  <c r="J21" i="10" s="1"/>
  <c r="D178" i="10"/>
  <c r="J177" i="10"/>
  <c r="J20" i="10" s="1"/>
  <c r="D177" i="10"/>
  <c r="J176" i="10"/>
  <c r="J19" i="10" s="1"/>
  <c r="D176" i="10"/>
  <c r="J175" i="10"/>
  <c r="J18" i="10" s="1"/>
  <c r="D175" i="10"/>
  <c r="J174" i="10"/>
  <c r="D174" i="10"/>
  <c r="J173" i="10"/>
  <c r="D173" i="10"/>
  <c r="J172" i="10"/>
  <c r="D172" i="10"/>
  <c r="J171" i="10"/>
  <c r="D171" i="10"/>
  <c r="J170" i="10"/>
  <c r="D170" i="10"/>
  <c r="J169" i="10"/>
  <c r="D169" i="10"/>
  <c r="J168" i="10"/>
  <c r="D168" i="10"/>
  <c r="J167" i="10"/>
  <c r="D167" i="10"/>
  <c r="J166" i="10"/>
  <c r="D166" i="10"/>
  <c r="J165" i="10"/>
  <c r="D165" i="10"/>
  <c r="J164" i="10"/>
  <c r="D164" i="10"/>
  <c r="J163" i="10"/>
  <c r="D163" i="10"/>
  <c r="J162" i="10"/>
  <c r="D162" i="10"/>
  <c r="J161" i="10"/>
  <c r="D161" i="10"/>
  <c r="J160" i="10"/>
  <c r="J17" i="10" s="1"/>
  <c r="D160" i="10"/>
  <c r="J159" i="10"/>
  <c r="D159" i="10"/>
  <c r="J158" i="10"/>
  <c r="D158" i="10"/>
  <c r="J157" i="10"/>
  <c r="D157" i="10"/>
  <c r="J156" i="10"/>
  <c r="J16" i="10" s="1"/>
  <c r="D156" i="10"/>
  <c r="J155" i="10"/>
  <c r="D155" i="10"/>
  <c r="J154" i="10"/>
  <c r="D154" i="10"/>
  <c r="J153" i="10"/>
  <c r="D153" i="10"/>
  <c r="J152" i="10"/>
  <c r="D152" i="10"/>
  <c r="J151" i="10"/>
  <c r="D151" i="10"/>
  <c r="J150" i="10"/>
  <c r="D150" i="10"/>
  <c r="J149" i="10"/>
  <c r="D149" i="10"/>
  <c r="J148" i="10"/>
  <c r="D148" i="10"/>
  <c r="J147" i="10"/>
  <c r="D147" i="10"/>
  <c r="J146" i="10"/>
  <c r="D146" i="10"/>
  <c r="J145" i="10"/>
  <c r="D145" i="10"/>
  <c r="J144" i="10"/>
  <c r="D144" i="10"/>
  <c r="J143" i="10"/>
  <c r="D143" i="10"/>
  <c r="J142" i="10"/>
  <c r="J15" i="10" s="1"/>
  <c r="D142" i="10"/>
  <c r="J141" i="10"/>
  <c r="D141" i="10"/>
  <c r="J140" i="10"/>
  <c r="D140" i="10"/>
  <c r="J139" i="10"/>
  <c r="J14" i="10" s="1"/>
  <c r="D139" i="10"/>
  <c r="J138" i="10"/>
  <c r="D138" i="10"/>
  <c r="J137" i="10"/>
  <c r="D137" i="10"/>
  <c r="J136" i="10"/>
  <c r="D136" i="10"/>
  <c r="J135" i="10"/>
  <c r="D135" i="10"/>
  <c r="J134" i="10"/>
  <c r="D134" i="10"/>
  <c r="J133" i="10"/>
  <c r="D133" i="10"/>
  <c r="J132" i="10"/>
  <c r="D132" i="10"/>
  <c r="J131" i="10"/>
  <c r="D131" i="10"/>
  <c r="J130" i="10"/>
  <c r="D130" i="10"/>
  <c r="J129" i="10"/>
  <c r="D129" i="10"/>
  <c r="J128" i="10"/>
  <c r="D128" i="10"/>
  <c r="J127" i="10"/>
  <c r="D127" i="10"/>
  <c r="J126" i="10"/>
  <c r="D126" i="10"/>
  <c r="J125" i="10"/>
  <c r="D125" i="10"/>
  <c r="J124" i="10"/>
  <c r="D124" i="10"/>
  <c r="J123" i="10"/>
  <c r="D123" i="10"/>
  <c r="J122" i="10"/>
  <c r="D122" i="10"/>
  <c r="J121" i="10"/>
  <c r="D121" i="10"/>
  <c r="J120" i="10"/>
  <c r="D120" i="10"/>
  <c r="J119" i="10"/>
  <c r="D119" i="10"/>
  <c r="J118" i="10"/>
  <c r="D118" i="10"/>
  <c r="J117" i="10"/>
  <c r="D117" i="10"/>
  <c r="J116" i="10"/>
  <c r="D116" i="10"/>
  <c r="J115" i="10"/>
  <c r="D115" i="10"/>
  <c r="J114" i="10"/>
  <c r="D114" i="10"/>
  <c r="J113" i="10"/>
  <c r="D113" i="10"/>
  <c r="J112" i="10"/>
  <c r="D112" i="10"/>
  <c r="J111" i="10"/>
  <c r="D111" i="10"/>
  <c r="J110" i="10"/>
  <c r="D110" i="10"/>
  <c r="J109" i="10"/>
  <c r="D109" i="10"/>
  <c r="J108" i="10"/>
  <c r="D108" i="10"/>
  <c r="J107" i="10"/>
  <c r="D107" i="10"/>
  <c r="J106" i="10"/>
  <c r="D106" i="10"/>
  <c r="J105" i="10"/>
  <c r="D105" i="10"/>
  <c r="J104" i="10"/>
  <c r="D104" i="10"/>
  <c r="J103" i="10"/>
  <c r="D103" i="10"/>
  <c r="J102" i="10"/>
  <c r="D102" i="10"/>
  <c r="J101" i="10"/>
  <c r="D101" i="10"/>
  <c r="J100" i="10"/>
  <c r="D100" i="10"/>
  <c r="J99" i="10"/>
  <c r="D99" i="10"/>
  <c r="J98" i="10"/>
  <c r="D98" i="10"/>
  <c r="J97" i="10"/>
  <c r="D97" i="10"/>
  <c r="J96" i="10"/>
  <c r="D96" i="10"/>
  <c r="J95" i="10"/>
  <c r="D95" i="10"/>
  <c r="J94" i="10"/>
  <c r="D94" i="10"/>
  <c r="J93" i="10"/>
  <c r="D93" i="10"/>
  <c r="J92" i="10"/>
  <c r="D92" i="10"/>
  <c r="J91" i="10"/>
  <c r="D91" i="10"/>
  <c r="J90" i="10"/>
  <c r="D90" i="10"/>
  <c r="J89" i="10"/>
  <c r="D89" i="10"/>
  <c r="J88" i="10"/>
  <c r="D88" i="10"/>
  <c r="J87" i="10"/>
  <c r="D87" i="10"/>
  <c r="J86" i="10"/>
  <c r="D86" i="10"/>
  <c r="J85" i="10"/>
  <c r="D85" i="10"/>
  <c r="J84" i="10"/>
  <c r="J13" i="10" s="1"/>
  <c r="D84" i="10"/>
  <c r="J83" i="10"/>
  <c r="D83" i="10"/>
  <c r="J82" i="10"/>
  <c r="D82" i="10"/>
  <c r="J81" i="10"/>
  <c r="D81" i="10"/>
  <c r="J80" i="10"/>
  <c r="D80" i="10"/>
  <c r="J79" i="10"/>
  <c r="D79" i="10"/>
  <c r="J78" i="10"/>
  <c r="J12" i="10" s="1"/>
  <c r="D78" i="10"/>
  <c r="J77" i="10"/>
  <c r="J11" i="10" s="1"/>
  <c r="D77" i="10"/>
  <c r="J76" i="10"/>
  <c r="D76" i="10"/>
  <c r="J75" i="10"/>
  <c r="D75" i="10"/>
  <c r="J74" i="10"/>
  <c r="D74" i="10"/>
  <c r="J73" i="10"/>
  <c r="D73" i="10"/>
  <c r="J72" i="10"/>
  <c r="D72" i="10"/>
  <c r="J71" i="10"/>
  <c r="J10" i="10" s="1"/>
  <c r="D71" i="10"/>
  <c r="J70" i="10"/>
  <c r="D70" i="10"/>
  <c r="J69" i="10"/>
  <c r="D69" i="10"/>
  <c r="J68" i="10"/>
  <c r="D68" i="10"/>
  <c r="J67" i="10"/>
  <c r="D67" i="10"/>
  <c r="J66" i="10"/>
  <c r="D66" i="10"/>
  <c r="J65" i="10"/>
  <c r="D65" i="10"/>
  <c r="J64" i="10"/>
  <c r="D64" i="10"/>
  <c r="J63" i="10"/>
  <c r="J9" i="10" s="1"/>
  <c r="D63" i="10"/>
  <c r="J62" i="10"/>
  <c r="D62" i="10"/>
  <c r="J61" i="10"/>
  <c r="J8" i="10" s="1"/>
  <c r="D61" i="10"/>
  <c r="J60" i="10"/>
  <c r="J7" i="10" s="1"/>
  <c r="D60" i="10"/>
  <c r="J59" i="10"/>
  <c r="J6" i="10" s="1"/>
  <c r="D59" i="10"/>
  <c r="J58" i="10"/>
  <c r="D58" i="10"/>
  <c r="J57" i="10"/>
  <c r="D57" i="10"/>
  <c r="J56" i="10"/>
  <c r="D56" i="10"/>
  <c r="J55" i="10"/>
  <c r="D55" i="10"/>
  <c r="J54" i="10"/>
  <c r="D54" i="10"/>
  <c r="J53" i="10"/>
  <c r="J5" i="10" s="1"/>
  <c r="D53" i="10"/>
  <c r="J52" i="10"/>
  <c r="J4" i="10" s="1"/>
  <c r="D52" i="10"/>
  <c r="J51" i="10"/>
  <c r="J3" i="10" s="1"/>
  <c r="D51" i="10"/>
  <c r="J50" i="10"/>
  <c r="D50" i="10"/>
  <c r="J49" i="10"/>
  <c r="D49" i="10"/>
  <c r="J48" i="10"/>
  <c r="D48" i="10"/>
  <c r="J47" i="10"/>
  <c r="D47" i="10"/>
  <c r="J46" i="10"/>
  <c r="D46" i="10"/>
  <c r="J45" i="10"/>
  <c r="D45" i="10"/>
  <c r="J44" i="10"/>
  <c r="D44" i="10"/>
  <c r="J43" i="10"/>
  <c r="D43" i="10"/>
  <c r="J42" i="10"/>
  <c r="D42" i="10"/>
  <c r="J41" i="10"/>
  <c r="D41" i="10"/>
  <c r="J40" i="10"/>
  <c r="D40" i="10"/>
  <c r="J39" i="10"/>
  <c r="D39" i="10"/>
  <c r="J38" i="10"/>
  <c r="D38" i="10"/>
  <c r="J37" i="10"/>
  <c r="D37" i="10"/>
  <c r="J36" i="10"/>
  <c r="D36" i="10"/>
  <c r="J35" i="10"/>
  <c r="D35" i="10"/>
  <c r="J34" i="10"/>
  <c r="D34" i="10"/>
  <c r="J33" i="10"/>
  <c r="D33" i="10"/>
  <c r="J32" i="10"/>
  <c r="D32" i="10"/>
  <c r="J31" i="10"/>
  <c r="D31" i="10"/>
  <c r="J30" i="10"/>
  <c r="D30" i="10"/>
  <c r="J29" i="10"/>
  <c r="D29" i="10"/>
  <c r="G2644" i="7" l="1"/>
  <c r="G2656" i="7" s="1"/>
  <c r="G2780" i="7"/>
  <c r="G2544" i="7"/>
  <c r="G2556" i="7" s="1"/>
  <c r="G2594" i="7"/>
  <c r="G2606" i="7" s="1"/>
  <c r="G2694" i="7"/>
  <c r="G2705" i="7" s="1"/>
  <c r="G2427" i="7"/>
  <c r="K32" i="10"/>
  <c r="K82" i="10"/>
  <c r="K54" i="10"/>
  <c r="K142" i="10"/>
  <c r="K15" i="10" s="1"/>
  <c r="K106" i="10"/>
  <c r="K90" i="10"/>
  <c r="K126" i="10"/>
  <c r="K94" i="10"/>
  <c r="K138" i="10"/>
  <c r="K98" i="10"/>
  <c r="K122" i="10"/>
  <c r="K134" i="10"/>
  <c r="K158" i="10"/>
  <c r="K170" i="10"/>
  <c r="K86" i="10"/>
  <c r="K110" i="10"/>
  <c r="K146" i="10"/>
  <c r="K76" i="10"/>
  <c r="K130" i="10"/>
  <c r="K154" i="10"/>
  <c r="K172" i="10"/>
  <c r="K184" i="10"/>
  <c r="K166" i="10"/>
  <c r="K186" i="10"/>
  <c r="K36" i="10"/>
  <c r="K118" i="10"/>
  <c r="K102" i="10"/>
  <c r="K114" i="10"/>
  <c r="K150" i="10"/>
  <c r="K162" i="10"/>
  <c r="K180" i="10"/>
  <c r="K23" i="10" s="1"/>
  <c r="K78" i="10"/>
  <c r="K12" i="10" s="1"/>
  <c r="K41" i="10"/>
  <c r="K46" i="10"/>
  <c r="K53" i="10"/>
  <c r="K5" i="10" s="1"/>
  <c r="K58" i="10"/>
  <c r="K65" i="10"/>
  <c r="K70" i="10"/>
  <c r="K39" i="10"/>
  <c r="K44" i="10"/>
  <c r="K51" i="10"/>
  <c r="K3" i="10" s="1"/>
  <c r="K56" i="10"/>
  <c r="K63" i="10"/>
  <c r="K9" i="10" s="1"/>
  <c r="K68" i="10"/>
  <c r="K75" i="10"/>
  <c r="K80" i="10"/>
  <c r="K85" i="10"/>
  <c r="K88" i="10"/>
  <c r="K93" i="10"/>
  <c r="K96" i="10"/>
  <c r="K101" i="10"/>
  <c r="K104" i="10"/>
  <c r="K109" i="10"/>
  <c r="K112" i="10"/>
  <c r="K117" i="10"/>
  <c r="K120" i="10"/>
  <c r="K125" i="10"/>
  <c r="K128" i="10"/>
  <c r="K133" i="10"/>
  <c r="K136" i="10"/>
  <c r="K141" i="10"/>
  <c r="K144" i="10"/>
  <c r="K149" i="10"/>
  <c r="K152" i="10"/>
  <c r="K157" i="10"/>
  <c r="K160" i="10"/>
  <c r="K17" i="10" s="1"/>
  <c r="K165" i="10"/>
  <c r="K168" i="10"/>
  <c r="K173" i="10"/>
  <c r="K176" i="10"/>
  <c r="K19" i="10" s="1"/>
  <c r="K181" i="10"/>
  <c r="K30" i="10"/>
  <c r="K37" i="10"/>
  <c r="K49" i="10"/>
  <c r="K66" i="10"/>
  <c r="K73" i="10"/>
  <c r="K35" i="10"/>
  <c r="K42" i="10"/>
  <c r="K33" i="10"/>
  <c r="K83" i="10"/>
  <c r="K91" i="10"/>
  <c r="K99" i="10"/>
  <c r="K107" i="10"/>
  <c r="K115" i="10"/>
  <c r="K123" i="10"/>
  <c r="K131" i="10"/>
  <c r="K139" i="10"/>
  <c r="K14" i="10" s="1"/>
  <c r="K147" i="10"/>
  <c r="K155" i="10"/>
  <c r="K163" i="10"/>
  <c r="K171" i="10"/>
  <c r="K174" i="10"/>
  <c r="K179" i="10"/>
  <c r="K22" i="10" s="1"/>
  <c r="K182" i="10"/>
  <c r="K77" i="10"/>
  <c r="K11" i="10" s="1"/>
  <c r="K52" i="10"/>
  <c r="K4" i="10" s="1"/>
  <c r="K31" i="10"/>
  <c r="K40" i="10"/>
  <c r="K47" i="10"/>
  <c r="K29" i="10"/>
  <c r="K38" i="10"/>
  <c r="K45" i="10"/>
  <c r="K50" i="10"/>
  <c r="K57" i="10"/>
  <c r="K62" i="10"/>
  <c r="K69" i="10"/>
  <c r="K74" i="10"/>
  <c r="K81" i="10"/>
  <c r="K84" i="10"/>
  <c r="K13" i="10" s="1"/>
  <c r="K89" i="10"/>
  <c r="K92" i="10"/>
  <c r="K97" i="10"/>
  <c r="K100" i="10"/>
  <c r="K105" i="10"/>
  <c r="K108" i="10"/>
  <c r="K113" i="10"/>
  <c r="K116" i="10"/>
  <c r="K121" i="10"/>
  <c r="K124" i="10"/>
  <c r="K129" i="10"/>
  <c r="K132" i="10"/>
  <c r="K137" i="10"/>
  <c r="K140" i="10"/>
  <c r="K145" i="10"/>
  <c r="K148" i="10"/>
  <c r="K153" i="10"/>
  <c r="K156" i="10"/>
  <c r="K16" i="10" s="1"/>
  <c r="K161" i="10"/>
  <c r="K164" i="10"/>
  <c r="K169" i="10"/>
  <c r="K177" i="10"/>
  <c r="K20" i="10" s="1"/>
  <c r="K185" i="10"/>
  <c r="K59" i="10"/>
  <c r="K6" i="10" s="1"/>
  <c r="K64" i="10"/>
  <c r="K61" i="10"/>
  <c r="K8" i="10" s="1"/>
  <c r="K34" i="10"/>
  <c r="K67" i="10"/>
  <c r="K72" i="10"/>
  <c r="K79" i="10"/>
  <c r="K71" i="10"/>
  <c r="K10" i="10" s="1"/>
  <c r="K43" i="10"/>
  <c r="K48" i="10"/>
  <c r="K55" i="10"/>
  <c r="K60" i="10"/>
  <c r="K7" i="10" s="1"/>
  <c r="K87" i="10"/>
  <c r="K95" i="10"/>
  <c r="K103" i="10"/>
  <c r="K111" i="10"/>
  <c r="K119" i="10"/>
  <c r="K127" i="10"/>
  <c r="K135" i="10"/>
  <c r="K143" i="10"/>
  <c r="K151" i="10"/>
  <c r="K159" i="10"/>
  <c r="K167" i="10"/>
  <c r="K175" i="10"/>
  <c r="K18" i="10" s="1"/>
  <c r="K178" i="10"/>
  <c r="K21" i="10" s="1"/>
  <c r="K183" i="10"/>
  <c r="G2655" i="7" l="1"/>
  <c r="G2555" i="7"/>
  <c r="G2605" i="7"/>
  <c r="G2706" i="7"/>
  <c r="G3537" i="7"/>
  <c r="G3512" i="7"/>
  <c r="G4345" i="7"/>
  <c r="G4163" i="7"/>
  <c r="G3787" i="7"/>
  <c r="G3605" i="7"/>
  <c r="G4137" i="7"/>
  <c r="G4111" i="7"/>
  <c r="G3197" i="7"/>
  <c r="G3171" i="7"/>
  <c r="D3420" i="7"/>
  <c r="C3420" i="7"/>
  <c r="B3420" i="7"/>
  <c r="A3419" i="7"/>
  <c r="A3418" i="7"/>
  <c r="A3417" i="7"/>
  <c r="A3416" i="7"/>
  <c r="A3415" i="7"/>
  <c r="A3414" i="7"/>
  <c r="A3413" i="7"/>
  <c r="A3412" i="7"/>
  <c r="A3411" i="7"/>
  <c r="A3410" i="7"/>
  <c r="A3409" i="7"/>
  <c r="A3408" i="7"/>
  <c r="G3407" i="7"/>
  <c r="A3407" i="7"/>
  <c r="A3406" i="7"/>
  <c r="A3405" i="7"/>
  <c r="A3404" i="7"/>
  <c r="G3403" i="7"/>
  <c r="A3403" i="7"/>
  <c r="G3402" i="7"/>
  <c r="A3402" i="7"/>
  <c r="A3401" i="7"/>
  <c r="A3400" i="7"/>
  <c r="A3399" i="7"/>
  <c r="A3398" i="7"/>
  <c r="A3397" i="7"/>
  <c r="A3396" i="7"/>
  <c r="A3395" i="7"/>
  <c r="A3394" i="7"/>
  <c r="A3393" i="7"/>
  <c r="A3392" i="7"/>
  <c r="A3391" i="7"/>
  <c r="A3390" i="7"/>
  <c r="A3389" i="7"/>
  <c r="A3388" i="7"/>
  <c r="A3387" i="7"/>
  <c r="A3386" i="7"/>
  <c r="A3385" i="7"/>
  <c r="A3384" i="7"/>
  <c r="A3383" i="7"/>
  <c r="G3409" i="7" l="1"/>
  <c r="G3408" i="7"/>
  <c r="G3390" i="7"/>
  <c r="G3392" i="7"/>
  <c r="G3391" i="7"/>
  <c r="G3411" i="7"/>
  <c r="G3410" i="7"/>
  <c r="G3389" i="7"/>
  <c r="A3420" i="7"/>
  <c r="G3414" i="7" l="1"/>
  <c r="G3413" i="7"/>
  <c r="G3416" i="7" l="1"/>
  <c r="G1332" i="7" l="1"/>
  <c r="G1420" i="7"/>
  <c r="G1385" i="7"/>
  <c r="G1402" i="7"/>
  <c r="A1419" i="7"/>
  <c r="A1418" i="7"/>
  <c r="A1417" i="7"/>
  <c r="A1416" i="7"/>
  <c r="A1384" i="7"/>
  <c r="A1383" i="7"/>
  <c r="A1382" i="7"/>
  <c r="A1381" i="7"/>
  <c r="A1401" i="7"/>
  <c r="A1400" i="7"/>
  <c r="A1399" i="7"/>
  <c r="A1398" i="7"/>
  <c r="G89" i="7"/>
  <c r="G107" i="7"/>
  <c r="G71" i="7"/>
  <c r="G1223" i="7"/>
  <c r="G135" i="7" l="1"/>
  <c r="G138" i="7"/>
  <c r="G142" i="7"/>
  <c r="G35" i="7"/>
  <c r="G4680" i="7"/>
  <c r="A4678" i="7"/>
  <c r="G4669" i="7"/>
  <c r="A4667" i="7"/>
  <c r="G4658" i="7"/>
  <c r="G4659" i="7" s="1"/>
  <c r="A4656" i="7"/>
  <c r="G4647" i="7"/>
  <c r="A4645" i="7"/>
  <c r="G4636" i="7"/>
  <c r="A4634" i="7"/>
  <c r="G4625" i="7"/>
  <c r="A4623" i="7"/>
  <c r="G1863" i="7"/>
  <c r="A1860" i="7"/>
  <c r="G1844" i="7"/>
  <c r="A1841" i="7"/>
  <c r="G1825" i="7"/>
  <c r="A1822" i="7"/>
  <c r="G1806" i="7"/>
  <c r="A1803" i="7"/>
  <c r="G1787" i="7"/>
  <c r="A1784" i="7"/>
  <c r="G1768" i="7"/>
  <c r="A1765" i="7"/>
  <c r="G1749" i="7"/>
  <c r="A1746" i="7"/>
  <c r="G1730" i="7"/>
  <c r="A1727" i="7"/>
  <c r="G1713" i="7"/>
  <c r="A1711" i="7"/>
  <c r="G1702" i="7"/>
  <c r="A1700" i="7"/>
  <c r="G1691" i="7"/>
  <c r="A1689" i="7"/>
  <c r="G1680" i="7"/>
  <c r="A1678" i="7"/>
  <c r="G1669" i="7"/>
  <c r="A1667" i="7"/>
  <c r="G1658" i="7"/>
  <c r="A1656" i="7"/>
  <c r="G1647" i="7"/>
  <c r="A1645" i="7"/>
  <c r="G1636" i="7"/>
  <c r="A1634" i="7"/>
  <c r="G1625" i="7"/>
  <c r="A1623" i="7"/>
  <c r="G1614" i="7"/>
  <c r="A1612" i="7"/>
  <c r="G1592" i="7"/>
  <c r="G1603" i="7"/>
  <c r="G1604" i="7" s="1"/>
  <c r="A1601" i="7"/>
  <c r="A1590" i="7"/>
  <c r="G1580" i="7"/>
  <c r="A1575" i="7"/>
  <c r="G1560" i="7"/>
  <c r="A1555" i="7"/>
  <c r="G1540" i="7"/>
  <c r="A1535" i="7"/>
  <c r="G1520" i="7"/>
  <c r="A1515" i="7"/>
  <c r="G1500" i="7"/>
  <c r="A1495" i="7"/>
  <c r="G1480" i="7"/>
  <c r="A1475" i="7"/>
  <c r="G1460" i="7"/>
  <c r="A1455" i="7"/>
  <c r="G1440" i="7"/>
  <c r="A1435" i="7"/>
  <c r="G2882" i="7"/>
  <c r="G2840" i="7"/>
  <c r="A2881" i="7"/>
  <c r="A2860" i="7"/>
  <c r="A2839" i="7"/>
  <c r="G1287" i="7"/>
  <c r="G4591" i="7"/>
  <c r="G908" i="7"/>
  <c r="G907" i="7"/>
  <c r="G864" i="7"/>
  <c r="G863" i="7"/>
  <c r="G886" i="7"/>
  <c r="A882" i="7"/>
  <c r="G885" i="7"/>
  <c r="A857" i="7"/>
  <c r="A860" i="7"/>
  <c r="G843" i="7"/>
  <c r="G1306" i="7"/>
  <c r="G1268" i="7"/>
  <c r="G1247" i="7"/>
  <c r="G1226" i="7"/>
  <c r="A3348" i="7"/>
  <c r="A3347" i="7"/>
  <c r="G3351" i="7"/>
  <c r="G2507" i="7"/>
  <c r="G161" i="7"/>
  <c r="G17" i="7"/>
  <c r="G4592" i="7"/>
  <c r="A4588" i="7"/>
  <c r="A904" i="7"/>
  <c r="A839" i="7"/>
  <c r="G842" i="7"/>
  <c r="A1306" i="7"/>
  <c r="A1305" i="7"/>
  <c r="A1287" i="7"/>
  <c r="A1286" i="7"/>
  <c r="A1268" i="7"/>
  <c r="A1267" i="7"/>
  <c r="A1247" i="7"/>
  <c r="A1246" i="7"/>
  <c r="A1226" i="7"/>
  <c r="A1225" i="7"/>
  <c r="A2504" i="7"/>
  <c r="A2503" i="7"/>
  <c r="G506" i="7"/>
  <c r="A505" i="7"/>
  <c r="A504" i="7"/>
  <c r="A503" i="7"/>
  <c r="A502" i="7"/>
  <c r="A501" i="7"/>
  <c r="G2931" i="7"/>
  <c r="G2741" i="7"/>
  <c r="G2740" i="7"/>
  <c r="G2739" i="7"/>
  <c r="G2738" i="7"/>
  <c r="A2741" i="7"/>
  <c r="A2740" i="7"/>
  <c r="A2739" i="7"/>
  <c r="A2738" i="7"/>
  <c r="A2737" i="7"/>
  <c r="AN103" i="6"/>
  <c r="AM103" i="6"/>
  <c r="AL103" i="6"/>
  <c r="AK103" i="6"/>
  <c r="AN687" i="6"/>
  <c r="AM687" i="6"/>
  <c r="AL687" i="6"/>
  <c r="AK687" i="6"/>
  <c r="AN22" i="6"/>
  <c r="AM22" i="6"/>
  <c r="AL22" i="6"/>
  <c r="AK22" i="6"/>
  <c r="AN622" i="6"/>
  <c r="AM622" i="6"/>
  <c r="AL622" i="6"/>
  <c r="AK622" i="6"/>
  <c r="AN621" i="6"/>
  <c r="AM621" i="6"/>
  <c r="AL621" i="6"/>
  <c r="AK621" i="6"/>
  <c r="AN694" i="6"/>
  <c r="AM694" i="6"/>
  <c r="AL694" i="6"/>
  <c r="AK694" i="6"/>
  <c r="AN690" i="6"/>
  <c r="AM690" i="6"/>
  <c r="AL690" i="6"/>
  <c r="AK690" i="6"/>
  <c r="AN393" i="6"/>
  <c r="AM393" i="6"/>
  <c r="AL393" i="6"/>
  <c r="AK393" i="6"/>
  <c r="AN701" i="6"/>
  <c r="AM701" i="6"/>
  <c r="AL701" i="6"/>
  <c r="AK701" i="6"/>
  <c r="AN700" i="6"/>
  <c r="AM700" i="6"/>
  <c r="AL700" i="6"/>
  <c r="AK700" i="6"/>
  <c r="AN697" i="6"/>
  <c r="AM697" i="6"/>
  <c r="AL697" i="6"/>
  <c r="AK697" i="6"/>
  <c r="AN696" i="6"/>
  <c r="AM696" i="6"/>
  <c r="AL696" i="6"/>
  <c r="AK696" i="6"/>
  <c r="AN43" i="6"/>
  <c r="AM43" i="6"/>
  <c r="AL43" i="6"/>
  <c r="AK43" i="6"/>
  <c r="AN79" i="6"/>
  <c r="AM79" i="6"/>
  <c r="AL79" i="6"/>
  <c r="AK79" i="6"/>
  <c r="AN255" i="6"/>
  <c r="AM255" i="6"/>
  <c r="AL255" i="6"/>
  <c r="AK255" i="6"/>
  <c r="AN246" i="6"/>
  <c r="AM246" i="6"/>
  <c r="AL246" i="6"/>
  <c r="AK246" i="6"/>
  <c r="AN348" i="6"/>
  <c r="AM348" i="6"/>
  <c r="AL348" i="6"/>
  <c r="AK348" i="6"/>
  <c r="AN347" i="6"/>
  <c r="AM347" i="6"/>
  <c r="AL347" i="6"/>
  <c r="AK347" i="6"/>
  <c r="AN346" i="6"/>
  <c r="AM346" i="6"/>
  <c r="AL346" i="6"/>
  <c r="AK346" i="6"/>
  <c r="AN82" i="6"/>
  <c r="AM82" i="6"/>
  <c r="AL82" i="6"/>
  <c r="AK82" i="6"/>
  <c r="AN81" i="6"/>
  <c r="AM81" i="6"/>
  <c r="AL81" i="6"/>
  <c r="AK81" i="6"/>
  <c r="AN343" i="6"/>
  <c r="AM343" i="6"/>
  <c r="AL343" i="6"/>
  <c r="AK343" i="6"/>
  <c r="AN165" i="6"/>
  <c r="AM165" i="6"/>
  <c r="AL165" i="6"/>
  <c r="AK165" i="6"/>
  <c r="AN132" i="6"/>
  <c r="AM132" i="6"/>
  <c r="AL132" i="6"/>
  <c r="AK132" i="6"/>
  <c r="AN254" i="6"/>
  <c r="AM254" i="6"/>
  <c r="AL254" i="6"/>
  <c r="AK254" i="6"/>
  <c r="AN227" i="6"/>
  <c r="AM227" i="6"/>
  <c r="AL227" i="6"/>
  <c r="AK227" i="6"/>
  <c r="AN236" i="6"/>
  <c r="AM236" i="6"/>
  <c r="AL236" i="6"/>
  <c r="AK236" i="6"/>
  <c r="E8" i="6"/>
  <c r="F7" i="6"/>
  <c r="G7" i="6" s="1"/>
  <c r="H7" i="6" s="1"/>
  <c r="I7" i="6" s="1"/>
  <c r="J7" i="6" s="1"/>
  <c r="K7" i="6" s="1"/>
  <c r="L7" i="6" s="1"/>
  <c r="M7" i="6" s="1"/>
  <c r="N7" i="6" s="1"/>
  <c r="O7" i="6" s="1"/>
  <c r="P7" i="6" s="1"/>
  <c r="Q7" i="6" s="1"/>
  <c r="R7" i="6" s="1"/>
  <c r="S7" i="6" s="1"/>
  <c r="T7" i="6" s="1"/>
  <c r="U7" i="6" s="1"/>
  <c r="V7" i="6" s="1"/>
  <c r="W7" i="6" s="1"/>
  <c r="X7" i="6" s="1"/>
  <c r="Y7" i="6" s="1"/>
  <c r="Z7" i="6" s="1"/>
  <c r="AA7" i="6" s="1"/>
  <c r="AB7" i="6" s="1"/>
  <c r="AC7" i="6" s="1"/>
  <c r="AD7" i="6" s="1"/>
  <c r="AE7" i="6" s="1"/>
  <c r="AF7" i="6" s="1"/>
  <c r="AG7" i="6" s="1"/>
  <c r="AH7" i="6" s="1"/>
  <c r="AI7" i="6" s="1"/>
  <c r="AJ7" i="6" s="1"/>
  <c r="AK7" i="6" s="1"/>
  <c r="AL7" i="6" s="1"/>
  <c r="AM7" i="6" s="1"/>
  <c r="AN7" i="6" s="1"/>
  <c r="AO7" i="6" s="1"/>
  <c r="AP7" i="6" s="1"/>
  <c r="AQ7" i="6" s="1"/>
  <c r="AR7" i="6" s="1"/>
  <c r="AS7" i="6" s="1"/>
  <c r="AT7" i="6" s="1"/>
  <c r="AU7" i="6" s="1"/>
  <c r="AV7" i="6" s="1"/>
  <c r="AW7" i="6" s="1"/>
  <c r="C147" i="9"/>
  <c r="D147" i="9" s="1"/>
  <c r="E147" i="9" s="1"/>
  <c r="F147" i="9" s="1"/>
  <c r="B147" i="9"/>
  <c r="D146" i="9"/>
  <c r="E146" i="9" s="1"/>
  <c r="F146" i="9" s="1"/>
  <c r="C146" i="9"/>
  <c r="B146" i="9"/>
  <c r="B145" i="9"/>
  <c r="C145" i="9" s="1"/>
  <c r="D145" i="9" s="1"/>
  <c r="E145" i="9" s="1"/>
  <c r="F145" i="9" s="1"/>
  <c r="AU129" i="9"/>
  <c r="E34" i="9"/>
  <c r="C34" i="9"/>
  <c r="B34" i="9"/>
  <c r="E33" i="9"/>
  <c r="C33" i="9"/>
  <c r="B33" i="9"/>
  <c r="AF167" i="9"/>
  <c r="AF166" i="9"/>
  <c r="AF165" i="9"/>
  <c r="AF164" i="9"/>
  <c r="AF163" i="9"/>
  <c r="AF162" i="9"/>
  <c r="AF161" i="9"/>
  <c r="AF160" i="9"/>
  <c r="AE167" i="9"/>
  <c r="AE166" i="9"/>
  <c r="AE165" i="9"/>
  <c r="AE164" i="9"/>
  <c r="AE163" i="9"/>
  <c r="AE162" i="9"/>
  <c r="AE161" i="9"/>
  <c r="AE160" i="9"/>
  <c r="C699" i="6"/>
  <c r="AX7" i="6" l="1"/>
  <c r="AZ7" i="6" s="1"/>
  <c r="BA7" i="6" s="1"/>
  <c r="BB7" i="6" s="1"/>
  <c r="BC7" i="6" s="1"/>
  <c r="BD7" i="6" s="1"/>
  <c r="BE7" i="6" s="1"/>
  <c r="BF7" i="6" s="1"/>
  <c r="BG7" i="6" s="1"/>
  <c r="BH7" i="6" s="1"/>
  <c r="BI7" i="6" s="1"/>
  <c r="BJ7" i="6" s="1"/>
  <c r="BK7" i="6" s="1"/>
  <c r="BL7" i="6" s="1"/>
  <c r="BM7" i="6" s="1"/>
  <c r="BN7" i="6" s="1"/>
  <c r="BO7" i="6" s="1"/>
  <c r="BP7" i="6" s="1"/>
  <c r="BQ7" i="6" s="1"/>
  <c r="BR7" i="6" s="1"/>
  <c r="BS7" i="6" s="1"/>
  <c r="BT7" i="6" s="1"/>
  <c r="BW7" i="6" s="1"/>
  <c r="BX7" i="6" s="1"/>
  <c r="BY7" i="6" s="1"/>
  <c r="BZ7" i="6" s="1"/>
  <c r="CA7" i="6" s="1"/>
  <c r="CB7" i="6" s="1"/>
  <c r="CC7" i="6" s="1"/>
  <c r="CD7" i="6" s="1"/>
  <c r="CE7" i="6" s="1"/>
  <c r="CF7" i="6" s="1"/>
  <c r="CG7" i="6" s="1"/>
  <c r="CH7" i="6" s="1"/>
  <c r="CI7" i="6" s="1"/>
  <c r="CJ7" i="6" s="1"/>
  <c r="CK7" i="6" s="1"/>
  <c r="CL7" i="6" s="1"/>
  <c r="CM7" i="6" s="1"/>
  <c r="CN7" i="6" s="1"/>
  <c r="CO7" i="6" s="1"/>
  <c r="CP7" i="6" s="1"/>
  <c r="CQ7" i="6" s="1"/>
  <c r="CR7" i="6" s="1"/>
  <c r="CS7" i="6" s="1"/>
  <c r="CT7" i="6" s="1"/>
  <c r="CU7" i="6" s="1"/>
  <c r="CV7" i="6" s="1"/>
  <c r="CW7" i="6" s="1"/>
  <c r="CX7" i="6" s="1"/>
  <c r="CX8" i="6" s="1"/>
  <c r="AY7" i="6"/>
  <c r="AY8" i="6" s="1"/>
  <c r="H8" i="6"/>
  <c r="T8" i="6"/>
  <c r="AF8" i="6"/>
  <c r="AN8" i="6"/>
  <c r="BA8" i="6"/>
  <c r="BI8" i="6"/>
  <c r="BW8" i="6"/>
  <c r="CI8" i="6"/>
  <c r="I8" i="6"/>
  <c r="M8" i="6"/>
  <c r="Q8" i="6"/>
  <c r="U8" i="6"/>
  <c r="Y8" i="6"/>
  <c r="AC8" i="6"/>
  <c r="AG8" i="6"/>
  <c r="AK8" i="6"/>
  <c r="AO8" i="6"/>
  <c r="AS8" i="6"/>
  <c r="AW8" i="6"/>
  <c r="BF8" i="6"/>
  <c r="BJ8" i="6"/>
  <c r="BN8" i="6"/>
  <c r="BR8" i="6"/>
  <c r="BX8" i="6"/>
  <c r="CB8" i="6"/>
  <c r="CF8" i="6"/>
  <c r="CJ8" i="6"/>
  <c r="CN8" i="6"/>
  <c r="CR8" i="6"/>
  <c r="CV8" i="6"/>
  <c r="P8" i="6"/>
  <c r="AB8" i="6"/>
  <c r="AV8" i="6"/>
  <c r="BM8" i="6"/>
  <c r="CE8" i="6"/>
  <c r="CU8" i="6"/>
  <c r="F8" i="6"/>
  <c r="J8" i="6"/>
  <c r="N8" i="6"/>
  <c r="R8" i="6"/>
  <c r="V8" i="6"/>
  <c r="Z8" i="6"/>
  <c r="AD8" i="6"/>
  <c r="AH8" i="6"/>
  <c r="AL8" i="6"/>
  <c r="AP8" i="6"/>
  <c r="AT8" i="6"/>
  <c r="AX8" i="6"/>
  <c r="BC8" i="6"/>
  <c r="BG8" i="6"/>
  <c r="BK8" i="6"/>
  <c r="BO8" i="6"/>
  <c r="BS8" i="6"/>
  <c r="BY8" i="6"/>
  <c r="CG8" i="6"/>
  <c r="CK8" i="6"/>
  <c r="CO8" i="6"/>
  <c r="CS8" i="6"/>
  <c r="CW8" i="6"/>
  <c r="L8" i="6"/>
  <c r="X8" i="6"/>
  <c r="AJ8" i="6"/>
  <c r="AR8" i="6"/>
  <c r="BE8" i="6"/>
  <c r="BQ8" i="6"/>
  <c r="CM8" i="6"/>
  <c r="G8" i="6"/>
  <c r="K8" i="6"/>
  <c r="O8" i="6"/>
  <c r="S8" i="6"/>
  <c r="W8" i="6"/>
  <c r="AA8" i="6"/>
  <c r="AE8" i="6"/>
  <c r="AI8" i="6"/>
  <c r="AM8" i="6"/>
  <c r="AQ8" i="6"/>
  <c r="AU8" i="6"/>
  <c r="AZ8" i="6"/>
  <c r="BD8" i="6"/>
  <c r="BH8" i="6"/>
  <c r="BL8" i="6"/>
  <c r="BP8" i="6"/>
  <c r="BT8" i="6"/>
  <c r="BZ8" i="6"/>
  <c r="CD8" i="6"/>
  <c r="CH8" i="6"/>
  <c r="CL8" i="6"/>
  <c r="CP8" i="6"/>
  <c r="G2988" i="7"/>
  <c r="G2982" i="7"/>
  <c r="G2985" i="7" s="1"/>
  <c r="G2979" i="7"/>
  <c r="G2987" i="7" s="1"/>
  <c r="G2965" i="7"/>
  <c r="G2959" i="7"/>
  <c r="G2966" i="7" s="1"/>
  <c r="G2956" i="7"/>
  <c r="G2936" i="7"/>
  <c r="G2939" i="7" s="1"/>
  <c r="G2934" i="7"/>
  <c r="G2933" i="7"/>
  <c r="G2942" i="7"/>
  <c r="G164" i="7"/>
  <c r="G163" i="7"/>
  <c r="G143" i="7"/>
  <c r="G128" i="7"/>
  <c r="G125" i="7"/>
  <c r="G127" i="7" s="1"/>
  <c r="G110" i="7"/>
  <c r="G109" i="7"/>
  <c r="G92" i="7"/>
  <c r="G91" i="7"/>
  <c r="G74" i="7"/>
  <c r="G73" i="7"/>
  <c r="G56" i="7"/>
  <c r="G53" i="7"/>
  <c r="G55" i="7" s="1"/>
  <c r="G38" i="7"/>
  <c r="G37" i="7"/>
  <c r="G20" i="7"/>
  <c r="G19" i="7"/>
  <c r="A4703" i="7"/>
  <c r="A4702" i="7"/>
  <c r="A4701" i="7"/>
  <c r="A4700" i="7"/>
  <c r="A4699" i="7"/>
  <c r="A4698" i="7"/>
  <c r="G2379" i="7"/>
  <c r="G2373" i="7"/>
  <c r="G2367" i="7"/>
  <c r="G2349" i="7"/>
  <c r="G2343" i="7"/>
  <c r="G2337" i="7"/>
  <c r="G2331" i="7"/>
  <c r="G2325" i="7"/>
  <c r="G1114" i="7"/>
  <c r="G1108" i="7"/>
  <c r="G1102" i="7"/>
  <c r="G1096" i="7"/>
  <c r="G1090" i="7"/>
  <c r="G1084" i="7"/>
  <c r="G1078" i="7"/>
  <c r="G1072" i="7"/>
  <c r="G1066" i="7"/>
  <c r="G1060" i="7"/>
  <c r="G1054" i="7"/>
  <c r="G1048" i="7"/>
  <c r="G1042" i="7"/>
  <c r="G1036" i="7"/>
  <c r="G1030" i="7"/>
  <c r="G1024" i="7"/>
  <c r="G1018" i="7"/>
  <c r="G1012" i="7"/>
  <c r="G1006" i="7"/>
  <c r="D4697" i="7"/>
  <c r="C4697" i="7"/>
  <c r="B4697" i="7"/>
  <c r="A4696" i="7"/>
  <c r="A4695" i="7"/>
  <c r="G4694" i="7"/>
  <c r="A4694" i="7"/>
  <c r="A4693" i="7"/>
  <c r="A4692" i="7"/>
  <c r="A4691" i="7"/>
  <c r="A4690" i="7"/>
  <c r="A4689" i="7"/>
  <c r="G4688" i="7"/>
  <c r="A4688" i="7"/>
  <c r="A4687" i="7"/>
  <c r="G4686" i="7"/>
  <c r="A4686" i="7"/>
  <c r="A4685" i="7"/>
  <c r="C4684" i="7"/>
  <c r="A4684" i="7" s="1"/>
  <c r="A4683" i="7"/>
  <c r="A4682" i="7"/>
  <c r="A4681" i="7"/>
  <c r="G4681" i="7"/>
  <c r="A4680" i="7"/>
  <c r="A4679" i="7"/>
  <c r="A4677" i="7"/>
  <c r="A4676" i="7"/>
  <c r="A4675" i="7"/>
  <c r="A4674" i="7"/>
  <c r="C4673" i="7"/>
  <c r="A4673" i="7" s="1"/>
  <c r="A4672" i="7"/>
  <c r="A4671" i="7"/>
  <c r="A4670" i="7"/>
  <c r="G4670" i="7"/>
  <c r="A4669" i="7"/>
  <c r="A4668" i="7"/>
  <c r="A4666" i="7"/>
  <c r="A4665" i="7"/>
  <c r="A4664" i="7"/>
  <c r="A4663" i="7"/>
  <c r="C4662" i="7"/>
  <c r="A4662" i="7" s="1"/>
  <c r="A4661" i="7"/>
  <c r="A4660" i="7"/>
  <c r="A4659" i="7"/>
  <c r="A4658" i="7"/>
  <c r="A4657" i="7"/>
  <c r="A4655" i="7"/>
  <c r="A4654" i="7"/>
  <c r="A4653" i="7"/>
  <c r="A4652" i="7"/>
  <c r="C4651" i="7"/>
  <c r="A4651" i="7" s="1"/>
  <c r="A4650" i="7"/>
  <c r="A4649" i="7"/>
  <c r="A4648" i="7"/>
  <c r="G4648" i="7"/>
  <c r="A4647" i="7"/>
  <c r="A4646" i="7"/>
  <c r="A4644" i="7"/>
  <c r="A4643" i="7"/>
  <c r="A4642" i="7"/>
  <c r="A4641" i="7"/>
  <c r="C4640" i="7"/>
  <c r="A4640" i="7" s="1"/>
  <c r="A4639" i="7"/>
  <c r="A4638" i="7"/>
  <c r="A4637" i="7"/>
  <c r="G4637" i="7"/>
  <c r="A4636" i="7"/>
  <c r="A4635" i="7"/>
  <c r="A4633" i="7"/>
  <c r="A4632" i="7"/>
  <c r="A4631" i="7"/>
  <c r="A4630" i="7"/>
  <c r="C4629" i="7"/>
  <c r="A4629" i="7" s="1"/>
  <c r="A4628" i="7"/>
  <c r="A4627" i="7"/>
  <c r="A4626" i="7"/>
  <c r="G4626" i="7"/>
  <c r="A4625" i="7"/>
  <c r="A4624" i="7"/>
  <c r="A4622" i="7"/>
  <c r="A4621" i="7"/>
  <c r="A4620" i="7"/>
  <c r="A4619" i="7"/>
  <c r="D4618" i="7"/>
  <c r="C4618" i="7"/>
  <c r="B4618" i="7"/>
  <c r="A4617" i="7"/>
  <c r="A4616" i="7"/>
  <c r="A4615" i="7"/>
  <c r="G4614" i="7"/>
  <c r="A4614" i="7"/>
  <c r="G4613" i="7"/>
  <c r="A4613" i="7"/>
  <c r="A4612" i="7"/>
  <c r="A4611" i="7"/>
  <c r="A4610" i="7"/>
  <c r="A4609" i="7"/>
  <c r="A4608" i="7"/>
  <c r="A4607" i="7"/>
  <c r="A4606" i="7"/>
  <c r="A4605" i="7"/>
  <c r="D4604" i="7"/>
  <c r="C4604" i="7"/>
  <c r="B4604" i="7"/>
  <c r="A4603" i="7"/>
  <c r="A4602" i="7"/>
  <c r="G4601" i="7"/>
  <c r="A4601" i="7"/>
  <c r="A4600" i="7"/>
  <c r="A4599" i="7"/>
  <c r="A4598" i="7"/>
  <c r="A4597" i="7"/>
  <c r="D4596" i="7"/>
  <c r="C4596" i="7"/>
  <c r="B4596" i="7"/>
  <c r="G4595" i="7"/>
  <c r="A4595" i="7"/>
  <c r="A4594" i="7"/>
  <c r="A4593" i="7"/>
  <c r="A4592" i="7"/>
  <c r="G4589" i="7"/>
  <c r="A4591" i="7"/>
  <c r="A4590" i="7"/>
  <c r="A4589" i="7"/>
  <c r="A4587" i="7"/>
  <c r="A4586" i="7"/>
  <c r="A4585" i="7"/>
  <c r="A4584" i="7"/>
  <c r="A4583" i="7"/>
  <c r="A4582" i="7"/>
  <c r="A4581" i="7"/>
  <c r="A4580" i="7"/>
  <c r="A4579" i="7"/>
  <c r="A4578" i="7"/>
  <c r="A4577" i="7"/>
  <c r="A4576" i="7"/>
  <c r="A4575" i="7"/>
  <c r="A4574" i="7"/>
  <c r="D4573" i="7"/>
  <c r="C4573" i="7"/>
  <c r="B4573" i="7"/>
  <c r="A4572" i="7"/>
  <c r="A4571" i="7"/>
  <c r="G4570" i="7"/>
  <c r="A4570" i="7"/>
  <c r="A4569" i="7"/>
  <c r="A4568" i="7"/>
  <c r="A4567" i="7"/>
  <c r="A4566" i="7"/>
  <c r="A4565" i="7"/>
  <c r="G4564" i="7"/>
  <c r="A4564" i="7"/>
  <c r="A4563" i="7"/>
  <c r="G4562" i="7"/>
  <c r="G4568" i="7" s="1"/>
  <c r="A4562" i="7"/>
  <c r="A4561" i="7"/>
  <c r="D4560" i="7"/>
  <c r="C4560" i="7"/>
  <c r="B4560" i="7"/>
  <c r="A4559" i="7"/>
  <c r="A4558" i="7"/>
  <c r="A4557" i="7"/>
  <c r="A4556" i="7"/>
  <c r="D4555" i="7"/>
  <c r="C4555" i="7"/>
  <c r="B4555" i="7"/>
  <c r="A4554" i="7"/>
  <c r="A4553" i="7"/>
  <c r="A4552" i="7"/>
  <c r="G4551" i="7"/>
  <c r="A4551" i="7"/>
  <c r="D4550" i="7"/>
  <c r="C4550" i="7"/>
  <c r="B4550" i="7"/>
  <c r="A4549" i="7"/>
  <c r="A4548" i="7"/>
  <c r="A4547" i="7"/>
  <c r="G4546" i="7"/>
  <c r="A4546" i="7"/>
  <c r="D4545" i="7"/>
  <c r="C4545" i="7"/>
  <c r="B4545" i="7"/>
  <c r="A4544" i="7"/>
  <c r="A4543" i="7"/>
  <c r="A4542" i="7"/>
  <c r="G4541" i="7"/>
  <c r="A4541" i="7"/>
  <c r="D4540" i="7"/>
  <c r="C4540" i="7"/>
  <c r="B4540" i="7"/>
  <c r="A4539" i="7"/>
  <c r="A4538" i="7"/>
  <c r="A4537" i="7"/>
  <c r="A4536" i="7"/>
  <c r="A4535" i="7"/>
  <c r="A4534" i="7"/>
  <c r="A4533" i="7"/>
  <c r="A4532" i="7"/>
  <c r="A4531" i="7"/>
  <c r="A4530" i="7"/>
  <c r="G4529" i="7"/>
  <c r="G4533" i="7" s="1"/>
  <c r="A4529" i="7"/>
  <c r="A4528" i="7"/>
  <c r="A4527" i="7"/>
  <c r="A4526" i="7"/>
  <c r="A4525" i="7"/>
  <c r="A4524" i="7"/>
  <c r="A4523" i="7"/>
  <c r="A4522" i="7"/>
  <c r="G4521" i="7"/>
  <c r="A4521" i="7"/>
  <c r="A4520" i="7"/>
  <c r="A4519" i="7"/>
  <c r="G4518" i="7"/>
  <c r="A4518" i="7"/>
  <c r="A4517" i="7"/>
  <c r="A4516" i="7"/>
  <c r="D4515" i="7"/>
  <c r="C4515" i="7"/>
  <c r="B4515" i="7"/>
  <c r="A4514" i="7"/>
  <c r="A4513" i="7"/>
  <c r="A4512" i="7"/>
  <c r="A4511" i="7"/>
  <c r="A4510" i="7"/>
  <c r="A4509" i="7"/>
  <c r="A4508" i="7"/>
  <c r="A4507" i="7"/>
  <c r="A4506" i="7"/>
  <c r="G4505" i="7"/>
  <c r="A4505" i="7"/>
  <c r="A4504" i="7"/>
  <c r="A4503" i="7"/>
  <c r="A4502" i="7"/>
  <c r="G4501" i="7"/>
  <c r="G4503" i="7" s="1"/>
  <c r="A4501" i="7"/>
  <c r="A4500" i="7"/>
  <c r="A4499" i="7"/>
  <c r="A4498" i="7"/>
  <c r="A4497" i="7"/>
  <c r="A4496" i="7"/>
  <c r="A4495" i="7"/>
  <c r="A4494" i="7"/>
  <c r="G4493" i="7"/>
  <c r="G4496" i="7" s="1"/>
  <c r="G4509" i="7" s="1"/>
  <c r="A4493" i="7"/>
  <c r="A4492" i="7"/>
  <c r="A4491" i="7"/>
  <c r="A4490" i="7"/>
  <c r="D4489" i="7"/>
  <c r="C4489" i="7"/>
  <c r="B4489" i="7"/>
  <c r="A4488" i="7"/>
  <c r="A4487" i="7"/>
  <c r="A4486" i="7"/>
  <c r="A4485" i="7"/>
  <c r="A4484" i="7"/>
  <c r="A4483" i="7"/>
  <c r="A4482" i="7"/>
  <c r="A4481" i="7"/>
  <c r="A4480" i="7"/>
  <c r="G4479" i="7"/>
  <c r="A4479" i="7"/>
  <c r="A4478" i="7"/>
  <c r="A4477" i="7"/>
  <c r="A4476" i="7"/>
  <c r="G4475" i="7"/>
  <c r="G4477" i="7" s="1"/>
  <c r="A4475" i="7"/>
  <c r="A4474" i="7"/>
  <c r="A4473" i="7"/>
  <c r="A4472" i="7"/>
  <c r="A4471" i="7"/>
  <c r="A4470" i="7"/>
  <c r="A4469" i="7"/>
  <c r="A4468" i="7"/>
  <c r="G4467" i="7"/>
  <c r="G4486" i="7" s="1"/>
  <c r="A4467" i="7"/>
  <c r="A4466" i="7"/>
  <c r="A4465" i="7"/>
  <c r="A4464" i="7"/>
  <c r="D4463" i="7"/>
  <c r="C4463" i="7"/>
  <c r="B4463" i="7"/>
  <c r="A4462" i="7"/>
  <c r="A4461" i="7"/>
  <c r="A4460" i="7"/>
  <c r="A4459" i="7"/>
  <c r="A4458" i="7"/>
  <c r="A4457" i="7"/>
  <c r="A4456" i="7"/>
  <c r="A4455" i="7"/>
  <c r="A4454" i="7"/>
  <c r="G4453" i="7"/>
  <c r="A4453" i="7"/>
  <c r="A4452" i="7"/>
  <c r="A4451" i="7"/>
  <c r="A4450" i="7"/>
  <c r="G4449" i="7"/>
  <c r="G4451" i="7" s="1"/>
  <c r="A4449" i="7"/>
  <c r="A4448" i="7"/>
  <c r="A4447" i="7"/>
  <c r="A4446" i="7"/>
  <c r="A4445" i="7"/>
  <c r="A4444" i="7"/>
  <c r="A4443" i="7"/>
  <c r="A4442" i="7"/>
  <c r="G4441" i="7"/>
  <c r="G4460" i="7" s="1"/>
  <c r="A4441" i="7"/>
  <c r="A4440" i="7"/>
  <c r="A4439" i="7"/>
  <c r="A4438" i="7"/>
  <c r="D4437" i="7"/>
  <c r="C4437" i="7"/>
  <c r="B4437" i="7"/>
  <c r="A4436" i="7"/>
  <c r="A4435" i="7"/>
  <c r="A4434" i="7"/>
  <c r="A4433" i="7"/>
  <c r="A4432" i="7"/>
  <c r="A4431" i="7"/>
  <c r="A4430" i="7"/>
  <c r="A4429" i="7"/>
  <c r="A4428" i="7"/>
  <c r="G4427" i="7"/>
  <c r="A4427" i="7"/>
  <c r="A4426" i="7"/>
  <c r="A4425" i="7"/>
  <c r="A4424" i="7"/>
  <c r="G4423" i="7"/>
  <c r="G4425" i="7" s="1"/>
  <c r="A4423" i="7"/>
  <c r="A4422" i="7"/>
  <c r="A4421" i="7"/>
  <c r="A4420" i="7"/>
  <c r="A4419" i="7"/>
  <c r="A4418" i="7"/>
  <c r="A4417" i="7"/>
  <c r="A4416" i="7"/>
  <c r="G4415" i="7"/>
  <c r="G4418" i="7" s="1"/>
  <c r="G4431" i="7" s="1"/>
  <c r="A4415" i="7"/>
  <c r="A4414" i="7"/>
  <c r="A4413" i="7"/>
  <c r="A4412" i="7"/>
  <c r="D4411" i="7"/>
  <c r="C4411" i="7"/>
  <c r="B4411" i="7"/>
  <c r="A4410" i="7"/>
  <c r="A4409" i="7"/>
  <c r="A4408" i="7"/>
  <c r="A4407" i="7"/>
  <c r="A4406" i="7"/>
  <c r="A4405" i="7"/>
  <c r="A4404" i="7"/>
  <c r="A4403" i="7"/>
  <c r="A4402" i="7"/>
  <c r="G4401" i="7"/>
  <c r="A4401" i="7"/>
  <c r="A4400" i="7"/>
  <c r="A4399" i="7"/>
  <c r="A4398" i="7"/>
  <c r="G4397" i="7"/>
  <c r="G4399" i="7" s="1"/>
  <c r="A4397" i="7"/>
  <c r="A4396" i="7"/>
  <c r="A4395" i="7"/>
  <c r="A4394" i="7"/>
  <c r="A4393" i="7"/>
  <c r="A4392" i="7"/>
  <c r="A4391" i="7"/>
  <c r="A4390" i="7"/>
  <c r="G4389" i="7"/>
  <c r="G4392" i="7" s="1"/>
  <c r="G4405" i="7" s="1"/>
  <c r="A4389" i="7"/>
  <c r="A4388" i="7"/>
  <c r="A4387" i="7"/>
  <c r="A4386" i="7"/>
  <c r="D4385" i="7"/>
  <c r="C4385" i="7"/>
  <c r="B4385" i="7"/>
  <c r="A4384" i="7"/>
  <c r="A4383" i="7"/>
  <c r="A4382" i="7"/>
  <c r="A4381" i="7"/>
  <c r="A4380" i="7"/>
  <c r="A4379" i="7"/>
  <c r="A4378" i="7"/>
  <c r="A4377" i="7"/>
  <c r="A4376" i="7"/>
  <c r="G4375" i="7"/>
  <c r="A4375" i="7"/>
  <c r="A4374" i="7"/>
  <c r="A4373" i="7"/>
  <c r="A4372" i="7"/>
  <c r="G4371" i="7"/>
  <c r="G4373" i="7" s="1"/>
  <c r="A4371" i="7"/>
  <c r="A4370" i="7"/>
  <c r="A4369" i="7"/>
  <c r="A4368" i="7"/>
  <c r="A4367" i="7"/>
  <c r="A4366" i="7"/>
  <c r="A4365" i="7"/>
  <c r="A4364" i="7"/>
  <c r="G4363" i="7"/>
  <c r="G4366" i="7" s="1"/>
  <c r="G4379" i="7" s="1"/>
  <c r="A4363" i="7"/>
  <c r="A4362" i="7"/>
  <c r="A4361" i="7"/>
  <c r="A4360" i="7"/>
  <c r="D4359" i="7"/>
  <c r="C4359" i="7"/>
  <c r="B4359" i="7"/>
  <c r="A4358" i="7"/>
  <c r="A4357" i="7"/>
  <c r="A4356" i="7"/>
  <c r="A4355" i="7"/>
  <c r="A4354" i="7"/>
  <c r="A4353" i="7"/>
  <c r="A4352" i="7"/>
  <c r="A4351" i="7"/>
  <c r="A4350" i="7"/>
  <c r="G4349" i="7"/>
  <c r="A4349" i="7"/>
  <c r="A4348" i="7"/>
  <c r="A4347" i="7"/>
  <c r="A4346" i="7"/>
  <c r="G4347" i="7"/>
  <c r="A4345" i="7"/>
  <c r="A4344" i="7"/>
  <c r="A4343" i="7"/>
  <c r="A4342" i="7"/>
  <c r="A4341" i="7"/>
  <c r="A4340" i="7"/>
  <c r="A4339" i="7"/>
  <c r="A4338" i="7"/>
  <c r="G4337" i="7"/>
  <c r="G4356" i="7" s="1"/>
  <c r="A4337" i="7"/>
  <c r="A4336" i="7"/>
  <c r="A4335" i="7"/>
  <c r="A4334" i="7"/>
  <c r="D4333" i="7"/>
  <c r="C4333" i="7"/>
  <c r="B4333" i="7"/>
  <c r="A4332" i="7"/>
  <c r="A4331" i="7"/>
  <c r="A4330" i="7"/>
  <c r="A4329" i="7"/>
  <c r="A4328" i="7"/>
  <c r="A4327" i="7"/>
  <c r="A4326" i="7"/>
  <c r="A4325" i="7"/>
  <c r="A4324" i="7"/>
  <c r="A4323" i="7"/>
  <c r="A4322" i="7"/>
  <c r="A4321" i="7"/>
  <c r="A4320" i="7"/>
  <c r="G4319" i="7"/>
  <c r="G4321" i="7" s="1"/>
  <c r="G4329" i="7" s="1"/>
  <c r="A4319" i="7"/>
  <c r="A4318" i="7"/>
  <c r="A4317" i="7"/>
  <c r="A4316" i="7"/>
  <c r="A4315" i="7"/>
  <c r="A4314" i="7"/>
  <c r="A4313" i="7"/>
  <c r="A4312" i="7"/>
  <c r="G4311" i="7"/>
  <c r="G4330" i="7" s="1"/>
  <c r="A4311" i="7"/>
  <c r="A4310" i="7"/>
  <c r="A4309" i="7"/>
  <c r="A4308" i="7"/>
  <c r="D4307" i="7"/>
  <c r="C4307" i="7"/>
  <c r="B4307" i="7"/>
  <c r="A4306" i="7"/>
  <c r="A4305" i="7"/>
  <c r="A4304" i="7"/>
  <c r="A4303" i="7"/>
  <c r="A4302" i="7"/>
  <c r="A4301" i="7"/>
  <c r="A4300" i="7"/>
  <c r="A4299" i="7"/>
  <c r="A4298" i="7"/>
  <c r="A4297" i="7"/>
  <c r="A4296" i="7"/>
  <c r="A4295" i="7"/>
  <c r="A4294" i="7"/>
  <c r="G4293" i="7"/>
  <c r="G4295" i="7" s="1"/>
  <c r="G4303" i="7" s="1"/>
  <c r="A4293" i="7"/>
  <c r="A4292" i="7"/>
  <c r="A4291" i="7"/>
  <c r="A4290" i="7"/>
  <c r="A4289" i="7"/>
  <c r="A4288" i="7"/>
  <c r="A4287" i="7"/>
  <c r="A4286" i="7"/>
  <c r="G4285" i="7"/>
  <c r="G4304" i="7" s="1"/>
  <c r="A4285" i="7"/>
  <c r="A4284" i="7"/>
  <c r="A4283" i="7"/>
  <c r="A4282" i="7"/>
  <c r="D4281" i="7"/>
  <c r="C4281" i="7"/>
  <c r="B4281" i="7"/>
  <c r="A4280" i="7"/>
  <c r="A4279" i="7"/>
  <c r="A4278" i="7"/>
  <c r="A4277" i="7"/>
  <c r="A4276" i="7"/>
  <c r="A4275" i="7"/>
  <c r="A4274" i="7"/>
  <c r="A4273" i="7"/>
  <c r="A4272" i="7"/>
  <c r="A4271" i="7"/>
  <c r="A4270" i="7"/>
  <c r="A4269" i="7"/>
  <c r="A4268" i="7"/>
  <c r="G4267" i="7"/>
  <c r="G4269" i="7" s="1"/>
  <c r="G4277" i="7" s="1"/>
  <c r="A4267" i="7"/>
  <c r="A4266" i="7"/>
  <c r="A4265" i="7"/>
  <c r="A4264" i="7"/>
  <c r="A4263" i="7"/>
  <c r="A4262" i="7"/>
  <c r="A4261" i="7"/>
  <c r="A4260" i="7"/>
  <c r="G4259" i="7"/>
  <c r="G4278" i="7" s="1"/>
  <c r="A4259" i="7"/>
  <c r="A4258" i="7"/>
  <c r="A4257" i="7"/>
  <c r="A4256" i="7"/>
  <c r="D4255" i="7"/>
  <c r="C4255" i="7"/>
  <c r="B4255" i="7"/>
  <c r="A4254" i="7"/>
  <c r="A4253" i="7"/>
  <c r="A4252" i="7"/>
  <c r="A4251" i="7"/>
  <c r="A4250" i="7"/>
  <c r="A4249" i="7"/>
  <c r="A4248" i="7"/>
  <c r="A4247" i="7"/>
  <c r="A4246" i="7"/>
  <c r="A4245" i="7"/>
  <c r="A4244" i="7"/>
  <c r="A4243" i="7"/>
  <c r="A4242" i="7"/>
  <c r="G4241" i="7"/>
  <c r="G4243" i="7" s="1"/>
  <c r="G4251" i="7" s="1"/>
  <c r="A4241" i="7"/>
  <c r="A4240" i="7"/>
  <c r="A4239" i="7"/>
  <c r="A4238" i="7"/>
  <c r="A4237" i="7"/>
  <c r="A4236" i="7"/>
  <c r="A4235" i="7"/>
  <c r="A4234" i="7"/>
  <c r="G4233" i="7"/>
  <c r="G4252" i="7" s="1"/>
  <c r="A4233" i="7"/>
  <c r="A4232" i="7"/>
  <c r="A4231" i="7"/>
  <c r="A4230" i="7"/>
  <c r="D4229" i="7"/>
  <c r="C4229" i="7"/>
  <c r="B4229" i="7"/>
  <c r="A4228" i="7"/>
  <c r="A4227" i="7"/>
  <c r="A4226" i="7"/>
  <c r="A4225" i="7"/>
  <c r="A4224" i="7"/>
  <c r="A4223" i="7"/>
  <c r="A4222" i="7"/>
  <c r="A4221" i="7"/>
  <c r="A4220" i="7"/>
  <c r="A4219" i="7"/>
  <c r="A4218" i="7"/>
  <c r="A4217" i="7"/>
  <c r="A4216" i="7"/>
  <c r="G4215" i="7"/>
  <c r="G4217" i="7" s="1"/>
  <c r="G4225" i="7" s="1"/>
  <c r="A4215" i="7"/>
  <c r="A4214" i="7"/>
  <c r="A4213" i="7"/>
  <c r="A4212" i="7"/>
  <c r="A4211" i="7"/>
  <c r="A4210" i="7"/>
  <c r="A4209" i="7"/>
  <c r="A4208" i="7"/>
  <c r="G4207" i="7"/>
  <c r="G4226" i="7" s="1"/>
  <c r="A4207" i="7"/>
  <c r="A4206" i="7"/>
  <c r="A4205" i="7"/>
  <c r="A4204" i="7"/>
  <c r="D4203" i="7"/>
  <c r="C4203" i="7"/>
  <c r="B4203" i="7"/>
  <c r="A4202" i="7"/>
  <c r="A4201" i="7"/>
  <c r="A4200" i="7"/>
  <c r="A4199" i="7"/>
  <c r="A4198" i="7"/>
  <c r="A4197" i="7"/>
  <c r="A4196" i="7"/>
  <c r="A4195" i="7"/>
  <c r="A4194" i="7"/>
  <c r="A4193" i="7"/>
  <c r="A4192" i="7"/>
  <c r="A4191" i="7"/>
  <c r="A4190" i="7"/>
  <c r="G4189" i="7"/>
  <c r="G4191" i="7" s="1"/>
  <c r="G4199" i="7" s="1"/>
  <c r="A4189" i="7"/>
  <c r="A4188" i="7"/>
  <c r="A4187" i="7"/>
  <c r="A4186" i="7"/>
  <c r="A4185" i="7"/>
  <c r="A4184" i="7"/>
  <c r="A4183" i="7"/>
  <c r="A4182" i="7"/>
  <c r="G4181" i="7"/>
  <c r="G4200" i="7" s="1"/>
  <c r="A4181" i="7"/>
  <c r="A4180" i="7"/>
  <c r="A4179" i="7"/>
  <c r="A4178" i="7"/>
  <c r="D4177" i="7"/>
  <c r="C4177" i="7"/>
  <c r="B4177" i="7"/>
  <c r="A4176" i="7"/>
  <c r="A4175" i="7"/>
  <c r="A4174" i="7"/>
  <c r="A4173" i="7"/>
  <c r="A4172" i="7"/>
  <c r="A4171" i="7"/>
  <c r="A4170" i="7"/>
  <c r="A4169" i="7"/>
  <c r="A4168" i="7"/>
  <c r="A4167" i="7"/>
  <c r="A4166" i="7"/>
  <c r="A4165" i="7"/>
  <c r="A4164" i="7"/>
  <c r="G4165" i="7"/>
  <c r="G4173" i="7" s="1"/>
  <c r="A4163" i="7"/>
  <c r="A4162" i="7"/>
  <c r="A4161" i="7"/>
  <c r="A4160" i="7"/>
  <c r="A4159" i="7"/>
  <c r="A4158" i="7"/>
  <c r="A4157" i="7"/>
  <c r="A4156" i="7"/>
  <c r="G4155" i="7"/>
  <c r="G4174" i="7" s="1"/>
  <c r="A4155" i="7"/>
  <c r="A4154" i="7"/>
  <c r="A4153" i="7"/>
  <c r="A4152" i="7"/>
  <c r="D4151" i="7"/>
  <c r="C4151" i="7"/>
  <c r="B4151" i="7"/>
  <c r="A4150" i="7"/>
  <c r="A4149" i="7"/>
  <c r="A4148" i="7"/>
  <c r="A4147" i="7"/>
  <c r="A4146" i="7"/>
  <c r="A4145" i="7"/>
  <c r="A4144" i="7"/>
  <c r="A4143" i="7"/>
  <c r="A4142" i="7"/>
  <c r="A4141" i="7"/>
  <c r="A4140" i="7"/>
  <c r="A4139" i="7"/>
  <c r="A4138" i="7"/>
  <c r="G4139" i="7"/>
  <c r="G4147" i="7" s="1"/>
  <c r="A4137" i="7"/>
  <c r="A4136" i="7"/>
  <c r="A4135" i="7"/>
  <c r="A4134" i="7"/>
  <c r="A4133" i="7"/>
  <c r="A4132" i="7"/>
  <c r="A4131" i="7"/>
  <c r="A4130" i="7"/>
  <c r="G4129" i="7"/>
  <c r="G4148" i="7" s="1"/>
  <c r="A4129" i="7"/>
  <c r="A4128" i="7"/>
  <c r="A4127" i="7"/>
  <c r="A4126" i="7"/>
  <c r="D4125" i="7"/>
  <c r="C4125" i="7"/>
  <c r="B4125" i="7"/>
  <c r="A4124" i="7"/>
  <c r="A4123" i="7"/>
  <c r="A4122" i="7"/>
  <c r="A4121" i="7"/>
  <c r="A4120" i="7"/>
  <c r="A4119" i="7"/>
  <c r="A4118" i="7"/>
  <c r="A4117" i="7"/>
  <c r="A4116" i="7"/>
  <c r="A4115" i="7"/>
  <c r="A4114" i="7"/>
  <c r="A4113" i="7"/>
  <c r="A4112" i="7"/>
  <c r="G4113" i="7"/>
  <c r="G4121" i="7" s="1"/>
  <c r="A4111" i="7"/>
  <c r="A4110" i="7"/>
  <c r="A4109" i="7"/>
  <c r="A4108" i="7"/>
  <c r="A4107" i="7"/>
  <c r="A4106" i="7"/>
  <c r="A4105" i="7"/>
  <c r="A4104" i="7"/>
  <c r="G4103" i="7"/>
  <c r="G4122" i="7" s="1"/>
  <c r="A4103" i="7"/>
  <c r="A4102" i="7"/>
  <c r="A4101" i="7"/>
  <c r="A4100" i="7"/>
  <c r="D4099" i="7"/>
  <c r="C4099" i="7"/>
  <c r="B4099" i="7"/>
  <c r="A4098" i="7"/>
  <c r="A4097" i="7"/>
  <c r="A4096" i="7"/>
  <c r="A4095" i="7"/>
  <c r="A4094" i="7"/>
  <c r="A4093" i="7"/>
  <c r="A4092" i="7"/>
  <c r="A4091" i="7"/>
  <c r="A4090" i="7"/>
  <c r="A4089" i="7"/>
  <c r="A4088" i="7"/>
  <c r="A4087" i="7"/>
  <c r="A4086" i="7"/>
  <c r="G4085" i="7"/>
  <c r="G4087" i="7" s="1"/>
  <c r="G4095" i="7" s="1"/>
  <c r="A4085" i="7"/>
  <c r="A4084" i="7"/>
  <c r="A4083" i="7"/>
  <c r="A4082" i="7"/>
  <c r="A4081" i="7"/>
  <c r="A4080" i="7"/>
  <c r="A4079" i="7"/>
  <c r="A4078" i="7"/>
  <c r="G4077" i="7"/>
  <c r="G4096" i="7" s="1"/>
  <c r="A4077" i="7"/>
  <c r="A4076" i="7"/>
  <c r="A4075" i="7"/>
  <c r="A4074" i="7"/>
  <c r="D4073" i="7"/>
  <c r="C4073" i="7"/>
  <c r="B4073" i="7"/>
  <c r="A4072" i="7"/>
  <c r="A4071" i="7"/>
  <c r="A4070" i="7"/>
  <c r="A4069" i="7"/>
  <c r="A4068" i="7"/>
  <c r="A4067" i="7"/>
  <c r="A4066" i="7"/>
  <c r="A4065" i="7"/>
  <c r="A4064" i="7"/>
  <c r="A4063" i="7"/>
  <c r="A4062" i="7"/>
  <c r="A4061" i="7"/>
  <c r="A4060" i="7"/>
  <c r="G4059" i="7"/>
  <c r="G4061" i="7" s="1"/>
  <c r="G4069" i="7" s="1"/>
  <c r="A4059" i="7"/>
  <c r="A4058" i="7"/>
  <c r="A4057" i="7"/>
  <c r="A4056" i="7"/>
  <c r="A4055" i="7"/>
  <c r="A4054" i="7"/>
  <c r="A4053" i="7"/>
  <c r="A4052" i="7"/>
  <c r="G4051" i="7"/>
  <c r="G4070" i="7" s="1"/>
  <c r="A4051" i="7"/>
  <c r="A4050" i="7"/>
  <c r="A4049" i="7"/>
  <c r="A4048" i="7"/>
  <c r="D4047" i="7"/>
  <c r="C4047" i="7"/>
  <c r="B4047" i="7"/>
  <c r="A4046" i="7"/>
  <c r="A4045" i="7"/>
  <c r="A4044" i="7"/>
  <c r="A4043" i="7"/>
  <c r="A4042" i="7"/>
  <c r="A4041" i="7"/>
  <c r="A4040" i="7"/>
  <c r="A4039" i="7"/>
  <c r="A4038" i="7"/>
  <c r="A4037" i="7"/>
  <c r="A4036" i="7"/>
  <c r="A4035" i="7"/>
  <c r="A4034" i="7"/>
  <c r="G4033" i="7"/>
  <c r="A4033" i="7"/>
  <c r="A4032" i="7"/>
  <c r="A4031" i="7"/>
  <c r="A4030" i="7"/>
  <c r="G4029" i="7"/>
  <c r="G4031" i="7" s="1"/>
  <c r="A4029" i="7"/>
  <c r="A4028" i="7"/>
  <c r="A4027" i="7"/>
  <c r="A4026" i="7"/>
  <c r="A4025" i="7"/>
  <c r="A4024" i="7"/>
  <c r="A4023" i="7"/>
  <c r="A4022" i="7"/>
  <c r="A4021" i="7"/>
  <c r="A4020" i="7"/>
  <c r="G4019" i="7"/>
  <c r="G4021" i="7" s="1"/>
  <c r="G4024" i="7" s="1"/>
  <c r="G4038" i="7" s="1"/>
  <c r="A4019" i="7"/>
  <c r="A4018" i="7"/>
  <c r="D4017" i="7"/>
  <c r="C4017" i="7"/>
  <c r="B4017" i="7"/>
  <c r="A4016" i="7"/>
  <c r="A4015" i="7"/>
  <c r="A4014" i="7"/>
  <c r="A4013" i="7"/>
  <c r="A4012" i="7"/>
  <c r="A4011" i="7"/>
  <c r="A4010" i="7"/>
  <c r="A4009" i="7"/>
  <c r="A4008" i="7"/>
  <c r="A4007" i="7"/>
  <c r="A4006" i="7"/>
  <c r="A4005" i="7"/>
  <c r="A4004" i="7"/>
  <c r="G4003" i="7"/>
  <c r="A4003" i="7"/>
  <c r="A4002" i="7"/>
  <c r="A4001" i="7"/>
  <c r="A4000" i="7"/>
  <c r="G3999" i="7"/>
  <c r="G4001" i="7" s="1"/>
  <c r="A3999" i="7"/>
  <c r="A3998" i="7"/>
  <c r="A3997" i="7"/>
  <c r="A3996" i="7"/>
  <c r="A3995" i="7"/>
  <c r="A3994" i="7"/>
  <c r="A3993" i="7"/>
  <c r="A3992" i="7"/>
  <c r="A3991" i="7"/>
  <c r="A3990" i="7"/>
  <c r="G3989" i="7"/>
  <c r="G3991" i="7" s="1"/>
  <c r="A3989" i="7"/>
  <c r="A3988" i="7"/>
  <c r="D3987" i="7"/>
  <c r="C3987" i="7"/>
  <c r="B3987" i="7"/>
  <c r="A3986" i="7"/>
  <c r="A3985" i="7"/>
  <c r="A3984" i="7"/>
  <c r="A3983" i="7"/>
  <c r="A3982" i="7"/>
  <c r="A3981" i="7"/>
  <c r="A3980" i="7"/>
  <c r="A3979" i="7"/>
  <c r="A3978" i="7"/>
  <c r="A3977" i="7"/>
  <c r="A3976" i="7"/>
  <c r="A3975" i="7"/>
  <c r="A3974" i="7"/>
  <c r="G3973" i="7"/>
  <c r="A3973" i="7"/>
  <c r="A3972" i="7"/>
  <c r="A3971" i="7"/>
  <c r="A3970" i="7"/>
  <c r="G3969" i="7"/>
  <c r="G3971" i="7" s="1"/>
  <c r="A3969" i="7"/>
  <c r="A3968" i="7"/>
  <c r="A3967" i="7"/>
  <c r="A3966" i="7"/>
  <c r="A3965" i="7"/>
  <c r="A3964" i="7"/>
  <c r="A3963" i="7"/>
  <c r="A3962" i="7"/>
  <c r="A3961" i="7"/>
  <c r="A3960" i="7"/>
  <c r="G3959" i="7"/>
  <c r="G3961" i="7" s="1"/>
  <c r="G3964" i="7" s="1"/>
  <c r="G3978" i="7" s="1"/>
  <c r="A3959" i="7"/>
  <c r="A3958" i="7"/>
  <c r="D3957" i="7"/>
  <c r="C3957" i="7"/>
  <c r="B3957" i="7"/>
  <c r="A3956" i="7"/>
  <c r="A3955" i="7"/>
  <c r="A3954" i="7"/>
  <c r="A3953" i="7"/>
  <c r="A3952" i="7"/>
  <c r="A3951" i="7"/>
  <c r="A3950" i="7"/>
  <c r="A3949" i="7"/>
  <c r="A3948" i="7"/>
  <c r="G3947" i="7"/>
  <c r="A3947" i="7"/>
  <c r="A3946" i="7"/>
  <c r="A3945" i="7"/>
  <c r="A3944" i="7"/>
  <c r="G3943" i="7"/>
  <c r="G3945" i="7" s="1"/>
  <c r="A3943" i="7"/>
  <c r="A3942" i="7"/>
  <c r="A3941" i="7"/>
  <c r="A3940" i="7"/>
  <c r="A3939" i="7"/>
  <c r="A3938" i="7"/>
  <c r="A3937" i="7"/>
  <c r="A3936" i="7"/>
  <c r="G3935" i="7"/>
  <c r="G3938" i="7" s="1"/>
  <c r="G3951" i="7" s="1"/>
  <c r="A3935" i="7"/>
  <c r="A3934" i="7"/>
  <c r="A3933" i="7"/>
  <c r="A3932" i="7"/>
  <c r="D3931" i="7"/>
  <c r="C3931" i="7"/>
  <c r="B3931" i="7"/>
  <c r="A3930" i="7"/>
  <c r="A3929" i="7"/>
  <c r="A3928" i="7"/>
  <c r="A3927" i="7"/>
  <c r="A3926" i="7"/>
  <c r="A3925" i="7"/>
  <c r="A3924" i="7"/>
  <c r="A3923" i="7"/>
  <c r="A3922" i="7"/>
  <c r="G3921" i="7"/>
  <c r="A3921" i="7"/>
  <c r="A3920" i="7"/>
  <c r="A3919" i="7"/>
  <c r="A3918" i="7"/>
  <c r="G3917" i="7"/>
  <c r="G3919" i="7" s="1"/>
  <c r="A3917" i="7"/>
  <c r="A3916" i="7"/>
  <c r="A3915" i="7"/>
  <c r="A3914" i="7"/>
  <c r="A3913" i="7"/>
  <c r="A3912" i="7"/>
  <c r="A3911" i="7"/>
  <c r="A3910" i="7"/>
  <c r="G3909" i="7"/>
  <c r="G3928" i="7" s="1"/>
  <c r="A3909" i="7"/>
  <c r="A3908" i="7"/>
  <c r="A3907" i="7"/>
  <c r="A3906" i="7"/>
  <c r="D3905" i="7"/>
  <c r="C3905" i="7"/>
  <c r="B3905" i="7"/>
  <c r="A3904" i="7"/>
  <c r="A3903" i="7"/>
  <c r="A3902" i="7"/>
  <c r="A3901" i="7"/>
  <c r="A3900" i="7"/>
  <c r="A3899" i="7"/>
  <c r="A3898" i="7"/>
  <c r="A3897" i="7"/>
  <c r="A3896" i="7"/>
  <c r="G3895" i="7"/>
  <c r="A3895" i="7"/>
  <c r="A3894" i="7"/>
  <c r="A3893" i="7"/>
  <c r="A3892" i="7"/>
  <c r="G3891" i="7"/>
  <c r="G3893" i="7" s="1"/>
  <c r="A3891" i="7"/>
  <c r="A3890" i="7"/>
  <c r="A3889" i="7"/>
  <c r="A3888" i="7"/>
  <c r="A3887" i="7"/>
  <c r="A3886" i="7"/>
  <c r="A3885" i="7"/>
  <c r="A3884" i="7"/>
  <c r="G3883" i="7"/>
  <c r="G3886" i="7" s="1"/>
  <c r="G3899" i="7" s="1"/>
  <c r="A3883" i="7"/>
  <c r="A3882" i="7"/>
  <c r="A3881" i="7"/>
  <c r="A3880" i="7"/>
  <c r="D3879" i="7"/>
  <c r="C3879" i="7"/>
  <c r="B3879" i="7"/>
  <c r="A3878" i="7"/>
  <c r="A3877" i="7"/>
  <c r="A3876" i="7"/>
  <c r="A3875" i="7"/>
  <c r="A3874" i="7"/>
  <c r="A3873" i="7"/>
  <c r="A3872" i="7"/>
  <c r="A3871" i="7"/>
  <c r="A3870" i="7"/>
  <c r="G3869" i="7"/>
  <c r="A3869" i="7"/>
  <c r="A3868" i="7"/>
  <c r="A3867" i="7"/>
  <c r="A3866" i="7"/>
  <c r="G3865" i="7"/>
  <c r="G3867" i="7" s="1"/>
  <c r="A3865" i="7"/>
  <c r="A3864" i="7"/>
  <c r="A3863" i="7"/>
  <c r="A3862" i="7"/>
  <c r="A3861" i="7"/>
  <c r="A3860" i="7"/>
  <c r="A3859" i="7"/>
  <c r="A3858" i="7"/>
  <c r="G3857" i="7"/>
  <c r="G3860" i="7" s="1"/>
  <c r="G3873" i="7" s="1"/>
  <c r="A3857" i="7"/>
  <c r="A3856" i="7"/>
  <c r="A3855" i="7"/>
  <c r="A3854" i="7"/>
  <c r="D3853" i="7"/>
  <c r="C3853" i="7"/>
  <c r="B3853" i="7"/>
  <c r="A3852" i="7"/>
  <c r="A3851" i="7"/>
  <c r="A3850" i="7"/>
  <c r="A3849" i="7"/>
  <c r="A3848" i="7"/>
  <c r="A3847" i="7"/>
  <c r="A3846" i="7"/>
  <c r="A3845" i="7"/>
  <c r="A3844" i="7"/>
  <c r="G3843" i="7"/>
  <c r="A3843" i="7"/>
  <c r="A3842" i="7"/>
  <c r="A3841" i="7"/>
  <c r="A3840" i="7"/>
  <c r="G3839" i="7"/>
  <c r="G3841" i="7" s="1"/>
  <c r="A3839" i="7"/>
  <c r="A3838" i="7"/>
  <c r="A3837" i="7"/>
  <c r="A3836" i="7"/>
  <c r="A3835" i="7"/>
  <c r="A3834" i="7"/>
  <c r="A3833" i="7"/>
  <c r="A3832" i="7"/>
  <c r="G3831" i="7"/>
  <c r="G3834" i="7" s="1"/>
  <c r="G3847" i="7" s="1"/>
  <c r="A3831" i="7"/>
  <c r="A3830" i="7"/>
  <c r="A3829" i="7"/>
  <c r="A3828" i="7"/>
  <c r="D3827" i="7"/>
  <c r="C3827" i="7"/>
  <c r="B3827" i="7"/>
  <c r="A3826" i="7"/>
  <c r="A3825" i="7"/>
  <c r="A3824" i="7"/>
  <c r="A3823" i="7"/>
  <c r="A3822" i="7"/>
  <c r="A3821" i="7"/>
  <c r="A3820" i="7"/>
  <c r="A3819" i="7"/>
  <c r="A3818" i="7"/>
  <c r="G3817" i="7"/>
  <c r="A3817" i="7"/>
  <c r="A3816" i="7"/>
  <c r="A3815" i="7"/>
  <c r="A3814" i="7"/>
  <c r="G3813" i="7"/>
  <c r="G3815" i="7" s="1"/>
  <c r="A3813" i="7"/>
  <c r="A3812" i="7"/>
  <c r="A3811" i="7"/>
  <c r="A3810" i="7"/>
  <c r="A3809" i="7"/>
  <c r="A3808" i="7"/>
  <c r="A3807" i="7"/>
  <c r="A3806" i="7"/>
  <c r="G3805" i="7"/>
  <c r="G3824" i="7" s="1"/>
  <c r="A3805" i="7"/>
  <c r="A3804" i="7"/>
  <c r="A3803" i="7"/>
  <c r="A3802" i="7"/>
  <c r="D3801" i="7"/>
  <c r="C3801" i="7"/>
  <c r="B3801" i="7"/>
  <c r="A3800" i="7"/>
  <c r="A3799" i="7"/>
  <c r="A3798" i="7"/>
  <c r="A3797" i="7"/>
  <c r="A3796" i="7"/>
  <c r="A3795" i="7"/>
  <c r="A3794" i="7"/>
  <c r="A3793" i="7"/>
  <c r="A3792" i="7"/>
  <c r="G3791" i="7"/>
  <c r="A3791" i="7"/>
  <c r="A3790" i="7"/>
  <c r="A3789" i="7"/>
  <c r="A3788" i="7"/>
  <c r="G3789" i="7"/>
  <c r="A3787" i="7"/>
  <c r="A3786" i="7"/>
  <c r="A3785" i="7"/>
  <c r="A3784" i="7"/>
  <c r="A3783" i="7"/>
  <c r="A3782" i="7"/>
  <c r="A3781" i="7"/>
  <c r="A3780" i="7"/>
  <c r="G3779" i="7"/>
  <c r="G3782" i="7" s="1"/>
  <c r="G3795" i="7" s="1"/>
  <c r="A3779" i="7"/>
  <c r="A3778" i="7"/>
  <c r="A3777" i="7"/>
  <c r="A3776" i="7"/>
  <c r="D3775" i="7"/>
  <c r="C3775" i="7"/>
  <c r="B3775" i="7"/>
  <c r="A3774" i="7"/>
  <c r="A3773" i="7"/>
  <c r="A3772" i="7"/>
  <c r="A3771" i="7"/>
  <c r="A3770" i="7"/>
  <c r="A3769" i="7"/>
  <c r="A3768" i="7"/>
  <c r="A3767" i="7"/>
  <c r="A3766" i="7"/>
  <c r="A3765" i="7"/>
  <c r="A3764" i="7"/>
  <c r="A3763" i="7"/>
  <c r="A3762" i="7"/>
  <c r="G3761" i="7"/>
  <c r="G3763" i="7" s="1"/>
  <c r="G3771" i="7" s="1"/>
  <c r="A3761" i="7"/>
  <c r="A3760" i="7"/>
  <c r="A3759" i="7"/>
  <c r="A3758" i="7"/>
  <c r="A3757" i="7"/>
  <c r="A3756" i="7"/>
  <c r="A3755" i="7"/>
  <c r="A3754" i="7"/>
  <c r="G3753" i="7"/>
  <c r="G3756" i="7" s="1"/>
  <c r="G3769" i="7" s="1"/>
  <c r="A3753" i="7"/>
  <c r="A3752" i="7"/>
  <c r="A3751" i="7"/>
  <c r="A3750" i="7"/>
  <c r="D3749" i="7"/>
  <c r="C3749" i="7"/>
  <c r="B3749" i="7"/>
  <c r="A3748" i="7"/>
  <c r="A3747" i="7"/>
  <c r="A3746" i="7"/>
  <c r="A3745" i="7"/>
  <c r="A3744" i="7"/>
  <c r="A3743" i="7"/>
  <c r="A3742" i="7"/>
  <c r="A3741" i="7"/>
  <c r="A3740" i="7"/>
  <c r="A3739" i="7"/>
  <c r="A3738" i="7"/>
  <c r="A3737" i="7"/>
  <c r="A3736" i="7"/>
  <c r="G3735" i="7"/>
  <c r="G3737" i="7" s="1"/>
  <c r="G3745" i="7" s="1"/>
  <c r="A3735" i="7"/>
  <c r="A3734" i="7"/>
  <c r="A3733" i="7"/>
  <c r="A3732" i="7"/>
  <c r="A3731" i="7"/>
  <c r="A3730" i="7"/>
  <c r="A3729" i="7"/>
  <c r="A3728" i="7"/>
  <c r="G3727" i="7"/>
  <c r="G3730" i="7" s="1"/>
  <c r="G3743" i="7" s="1"/>
  <c r="A3727" i="7"/>
  <c r="A3726" i="7"/>
  <c r="A3725" i="7"/>
  <c r="A3724" i="7"/>
  <c r="D3723" i="7"/>
  <c r="C3723" i="7"/>
  <c r="B3723" i="7"/>
  <c r="A3722" i="7"/>
  <c r="A3721" i="7"/>
  <c r="A3720" i="7"/>
  <c r="A3719" i="7"/>
  <c r="A3718" i="7"/>
  <c r="A3717" i="7"/>
  <c r="A3716" i="7"/>
  <c r="A3715" i="7"/>
  <c r="A3714" i="7"/>
  <c r="A3713" i="7"/>
  <c r="A3712" i="7"/>
  <c r="A3711" i="7"/>
  <c r="A3710" i="7"/>
  <c r="G3709" i="7"/>
  <c r="G3711" i="7" s="1"/>
  <c r="G3719" i="7" s="1"/>
  <c r="A3709" i="7"/>
  <c r="A3708" i="7"/>
  <c r="A3707" i="7"/>
  <c r="A3706" i="7"/>
  <c r="A3705" i="7"/>
  <c r="A3704" i="7"/>
  <c r="A3703" i="7"/>
  <c r="A3702" i="7"/>
  <c r="G3701" i="7"/>
  <c r="G3704" i="7" s="1"/>
  <c r="G3717" i="7" s="1"/>
  <c r="A3701" i="7"/>
  <c r="A3700" i="7"/>
  <c r="A3699" i="7"/>
  <c r="A3698" i="7"/>
  <c r="D3697" i="7"/>
  <c r="C3697" i="7"/>
  <c r="B3697" i="7"/>
  <c r="A3696" i="7"/>
  <c r="A3695" i="7"/>
  <c r="A3694" i="7"/>
  <c r="A3693" i="7"/>
  <c r="A3692" i="7"/>
  <c r="A3691" i="7"/>
  <c r="A3690" i="7"/>
  <c r="A3689" i="7"/>
  <c r="A3688" i="7"/>
  <c r="A3687" i="7"/>
  <c r="A3686" i="7"/>
  <c r="A3685" i="7"/>
  <c r="A3684" i="7"/>
  <c r="G3683" i="7"/>
  <c r="G3685" i="7" s="1"/>
  <c r="G3693" i="7" s="1"/>
  <c r="A3683" i="7"/>
  <c r="A3682" i="7"/>
  <c r="A3681" i="7"/>
  <c r="A3680" i="7"/>
  <c r="A3679" i="7"/>
  <c r="A3678" i="7"/>
  <c r="A3677" i="7"/>
  <c r="A3676" i="7"/>
  <c r="G3675" i="7"/>
  <c r="G3678" i="7" s="1"/>
  <c r="G3691" i="7" s="1"/>
  <c r="A3675" i="7"/>
  <c r="A3674" i="7"/>
  <c r="A3673" i="7"/>
  <c r="A3672" i="7"/>
  <c r="D3671" i="7"/>
  <c r="C3671" i="7"/>
  <c r="B3671" i="7"/>
  <c r="A3670" i="7"/>
  <c r="A3669" i="7"/>
  <c r="A3668" i="7"/>
  <c r="A3667" i="7"/>
  <c r="A3666" i="7"/>
  <c r="A3665" i="7"/>
  <c r="A3664" i="7"/>
  <c r="A3663" i="7"/>
  <c r="A3662" i="7"/>
  <c r="A3661" i="7"/>
  <c r="A3660" i="7"/>
  <c r="A3659" i="7"/>
  <c r="A3658" i="7"/>
  <c r="G3657" i="7"/>
  <c r="G3659" i="7" s="1"/>
  <c r="G3667" i="7" s="1"/>
  <c r="A3657" i="7"/>
  <c r="A3656" i="7"/>
  <c r="A3655" i="7"/>
  <c r="A3654" i="7"/>
  <c r="A3653" i="7"/>
  <c r="A3652" i="7"/>
  <c r="A3651" i="7"/>
  <c r="A3650" i="7"/>
  <c r="G3649" i="7"/>
  <c r="G3652" i="7" s="1"/>
  <c r="G3665" i="7" s="1"/>
  <c r="A3649" i="7"/>
  <c r="A3648" i="7"/>
  <c r="A3647" i="7"/>
  <c r="A3646" i="7"/>
  <c r="D3645" i="7"/>
  <c r="C3645" i="7"/>
  <c r="B3645" i="7"/>
  <c r="A3644" i="7"/>
  <c r="A3643" i="7"/>
  <c r="A3642" i="7"/>
  <c r="A3641" i="7"/>
  <c r="A3640" i="7"/>
  <c r="A3639" i="7"/>
  <c r="A3638" i="7"/>
  <c r="A3637" i="7"/>
  <c r="A3636" i="7"/>
  <c r="A3635" i="7"/>
  <c r="A3634" i="7"/>
  <c r="A3633" i="7"/>
  <c r="A3632" i="7"/>
  <c r="G3631" i="7"/>
  <c r="G3633" i="7" s="1"/>
  <c r="G3641" i="7" s="1"/>
  <c r="A3631" i="7"/>
  <c r="A3630" i="7"/>
  <c r="A3629" i="7"/>
  <c r="A3628" i="7"/>
  <c r="A3627" i="7"/>
  <c r="A3626" i="7"/>
  <c r="A3625" i="7"/>
  <c r="A3624" i="7"/>
  <c r="G3623" i="7"/>
  <c r="G3626" i="7" s="1"/>
  <c r="G3639" i="7" s="1"/>
  <c r="A3623" i="7"/>
  <c r="A3622" i="7"/>
  <c r="A3621" i="7"/>
  <c r="A3620" i="7"/>
  <c r="D3619" i="7"/>
  <c r="C3619" i="7"/>
  <c r="B3619" i="7"/>
  <c r="A3618" i="7"/>
  <c r="A3617" i="7"/>
  <c r="A3616" i="7"/>
  <c r="A3615" i="7"/>
  <c r="A3614" i="7"/>
  <c r="A3613" i="7"/>
  <c r="A3612" i="7"/>
  <c r="A3611" i="7"/>
  <c r="A3610" i="7"/>
  <c r="A3609" i="7"/>
  <c r="A3608" i="7"/>
  <c r="A3607" i="7"/>
  <c r="A3606" i="7"/>
  <c r="G3607" i="7"/>
  <c r="G3615" i="7" s="1"/>
  <c r="A3605" i="7"/>
  <c r="A3604" i="7"/>
  <c r="A3603" i="7"/>
  <c r="A3602" i="7"/>
  <c r="A3601" i="7"/>
  <c r="A3600" i="7"/>
  <c r="A3599" i="7"/>
  <c r="A3598" i="7"/>
  <c r="G3597" i="7"/>
  <c r="G3600" i="7" s="1"/>
  <c r="G3613" i="7" s="1"/>
  <c r="A3597" i="7"/>
  <c r="A3596" i="7"/>
  <c r="A3595" i="7"/>
  <c r="A3594" i="7"/>
  <c r="D3593" i="7"/>
  <c r="C3593" i="7"/>
  <c r="B3593" i="7"/>
  <c r="A3592" i="7"/>
  <c r="A3591" i="7"/>
  <c r="A3590" i="7"/>
  <c r="D3589" i="7"/>
  <c r="C3589" i="7"/>
  <c r="B3589" i="7"/>
  <c r="A3588" i="7"/>
  <c r="A3587" i="7"/>
  <c r="G3586" i="7"/>
  <c r="A3586" i="7"/>
  <c r="A3585" i="7"/>
  <c r="A3584" i="7"/>
  <c r="A3583" i="7"/>
  <c r="A3582" i="7"/>
  <c r="A3581" i="7"/>
  <c r="A3580" i="7"/>
  <c r="A3579" i="7"/>
  <c r="A3578" i="7"/>
  <c r="A3577" i="7"/>
  <c r="A3576" i="7"/>
  <c r="D3575" i="7"/>
  <c r="C3575" i="7"/>
  <c r="B3575" i="7"/>
  <c r="A3574" i="7"/>
  <c r="A3573" i="7"/>
  <c r="G3572" i="7"/>
  <c r="A3572" i="7"/>
  <c r="G3571" i="7"/>
  <c r="A3571" i="7"/>
  <c r="G3570" i="7"/>
  <c r="A3570" i="7"/>
  <c r="A3569" i="7"/>
  <c r="A3568" i="7"/>
  <c r="A3567" i="7"/>
  <c r="A3566" i="7"/>
  <c r="A3565" i="7"/>
  <c r="A3564" i="7"/>
  <c r="A3563" i="7"/>
  <c r="A3562" i="7"/>
  <c r="A3561" i="7"/>
  <c r="A3560" i="7"/>
  <c r="D3559" i="7"/>
  <c r="C3559" i="7"/>
  <c r="B3559" i="7"/>
  <c r="A3558" i="7"/>
  <c r="A3557" i="7"/>
  <c r="A3556" i="7"/>
  <c r="A3555" i="7"/>
  <c r="A3554" i="7"/>
  <c r="A3553" i="7"/>
  <c r="A3552" i="7"/>
  <c r="A3551" i="7"/>
  <c r="A3550" i="7"/>
  <c r="A3549" i="7"/>
  <c r="G3548" i="7"/>
  <c r="G3552" i="7" s="1"/>
  <c r="A3548" i="7"/>
  <c r="A3547" i="7"/>
  <c r="A3546" i="7"/>
  <c r="A3545" i="7"/>
  <c r="A3544" i="7"/>
  <c r="A3543" i="7"/>
  <c r="A3542" i="7"/>
  <c r="A3541" i="7"/>
  <c r="G3540" i="7"/>
  <c r="A3540" i="7"/>
  <c r="A3539" i="7"/>
  <c r="A3538" i="7"/>
  <c r="A3537" i="7"/>
  <c r="A3536" i="7"/>
  <c r="A3535" i="7"/>
  <c r="D3534" i="7"/>
  <c r="C3534" i="7"/>
  <c r="B3534" i="7"/>
  <c r="A3533" i="7"/>
  <c r="A3532" i="7"/>
  <c r="A3531" i="7"/>
  <c r="A3530" i="7"/>
  <c r="A3529" i="7"/>
  <c r="A3528" i="7"/>
  <c r="A3527" i="7"/>
  <c r="A3526" i="7"/>
  <c r="A3525" i="7"/>
  <c r="A3524" i="7"/>
  <c r="G3523" i="7"/>
  <c r="G3527" i="7" s="1"/>
  <c r="A3523" i="7"/>
  <c r="A3522" i="7"/>
  <c r="A3521" i="7"/>
  <c r="A3520" i="7"/>
  <c r="A3519" i="7"/>
  <c r="A3518" i="7"/>
  <c r="A3517" i="7"/>
  <c r="A3516" i="7"/>
  <c r="G3515" i="7"/>
  <c r="A3515" i="7"/>
  <c r="A3514" i="7"/>
  <c r="A3513" i="7"/>
  <c r="A3512" i="7"/>
  <c r="A3511" i="7"/>
  <c r="A3510" i="7"/>
  <c r="D3509" i="7"/>
  <c r="C3509" i="7"/>
  <c r="B3509" i="7"/>
  <c r="G3508" i="7"/>
  <c r="A3508" i="7"/>
  <c r="A3507" i="7"/>
  <c r="G3506" i="7"/>
  <c r="A3506" i="7"/>
  <c r="A3505" i="7"/>
  <c r="A3504" i="7"/>
  <c r="A3503" i="7"/>
  <c r="A3502" i="7"/>
  <c r="A3501" i="7"/>
  <c r="A3500" i="7"/>
  <c r="A3499" i="7"/>
  <c r="A3498" i="7"/>
  <c r="A3497" i="7"/>
  <c r="D3496" i="7"/>
  <c r="C3496" i="7"/>
  <c r="B3496" i="7"/>
  <c r="G3495" i="7"/>
  <c r="A3495" i="7"/>
  <c r="A3494" i="7"/>
  <c r="A3493" i="7"/>
  <c r="G3492" i="7"/>
  <c r="A3492" i="7"/>
  <c r="G3491" i="7"/>
  <c r="A3491" i="7"/>
  <c r="A3490" i="7"/>
  <c r="A3489" i="7"/>
  <c r="G3488" i="7"/>
  <c r="A3488" i="7"/>
  <c r="A3487" i="7"/>
  <c r="G3486" i="7"/>
  <c r="A3486" i="7"/>
  <c r="A3485" i="7"/>
  <c r="A3484" i="7"/>
  <c r="A3483" i="7"/>
  <c r="A3482" i="7"/>
  <c r="A3481" i="7"/>
  <c r="A3480" i="7"/>
  <c r="G3479" i="7"/>
  <c r="A3479" i="7"/>
  <c r="A3478" i="7"/>
  <c r="A3477" i="7"/>
  <c r="D3476" i="7"/>
  <c r="C3476" i="7"/>
  <c r="B3476" i="7"/>
  <c r="A3475" i="7"/>
  <c r="A3474" i="7"/>
  <c r="G3473" i="7"/>
  <c r="A3473" i="7"/>
  <c r="G3472" i="7"/>
  <c r="A3472" i="7"/>
  <c r="A3471" i="7"/>
  <c r="A3470" i="7"/>
  <c r="A3469" i="7"/>
  <c r="A3468" i="7"/>
  <c r="G3467" i="7"/>
  <c r="G3470" i="7" s="1"/>
  <c r="A3467" i="7"/>
  <c r="A3466" i="7"/>
  <c r="A3465" i="7"/>
  <c r="A3464" i="7"/>
  <c r="A3463" i="7"/>
  <c r="D3462" i="7"/>
  <c r="C3462" i="7"/>
  <c r="B3462" i="7"/>
  <c r="A3461" i="7"/>
  <c r="A3460" i="7"/>
  <c r="G3459" i="7"/>
  <c r="A3459" i="7"/>
  <c r="G3458" i="7"/>
  <c r="A3458" i="7"/>
  <c r="A3457" i="7"/>
  <c r="A3456" i="7"/>
  <c r="A3455" i="7"/>
  <c r="A3454" i="7"/>
  <c r="G3453" i="7"/>
  <c r="G3456" i="7" s="1"/>
  <c r="A3453" i="7"/>
  <c r="A3452" i="7"/>
  <c r="A3451" i="7"/>
  <c r="A3450" i="7"/>
  <c r="A3449" i="7"/>
  <c r="D3448" i="7"/>
  <c r="C3448" i="7"/>
  <c r="B3448" i="7"/>
  <c r="A3447" i="7"/>
  <c r="A3446" i="7"/>
  <c r="G3445" i="7"/>
  <c r="A3445" i="7"/>
  <c r="G3444" i="7"/>
  <c r="A3444" i="7"/>
  <c r="A3443" i="7"/>
  <c r="A3442" i="7"/>
  <c r="A3441" i="7"/>
  <c r="A3440" i="7"/>
  <c r="G3439" i="7"/>
  <c r="G3442" i="7" s="1"/>
  <c r="A3439" i="7"/>
  <c r="A3438" i="7"/>
  <c r="A3437" i="7"/>
  <c r="A3436" i="7"/>
  <c r="A3435" i="7"/>
  <c r="D3434" i="7"/>
  <c r="C3434" i="7"/>
  <c r="B3434" i="7"/>
  <c r="A3433" i="7"/>
  <c r="A3432" i="7"/>
  <c r="G3431" i="7"/>
  <c r="A3431" i="7"/>
  <c r="G3430" i="7"/>
  <c r="A3430" i="7"/>
  <c r="A3429" i="7"/>
  <c r="A3428" i="7"/>
  <c r="A3427" i="7"/>
  <c r="A3426" i="7"/>
  <c r="G3425" i="7"/>
  <c r="G3428" i="7" s="1"/>
  <c r="A3425" i="7"/>
  <c r="A3424" i="7"/>
  <c r="A3423" i="7"/>
  <c r="A3422" i="7"/>
  <c r="A3421" i="7"/>
  <c r="D3382" i="7"/>
  <c r="C3382" i="7"/>
  <c r="B3382" i="7"/>
  <c r="G3381" i="7"/>
  <c r="A3381" i="7"/>
  <c r="A3380" i="7"/>
  <c r="G3379" i="7"/>
  <c r="A3379" i="7"/>
  <c r="A3378" i="7"/>
  <c r="A3377" i="7"/>
  <c r="A3376" i="7"/>
  <c r="A3375" i="7"/>
  <c r="A3374" i="7"/>
  <c r="D3373" i="7"/>
  <c r="A3373" i="7" s="1"/>
  <c r="G3372" i="7"/>
  <c r="A3372" i="7"/>
  <c r="A3371" i="7"/>
  <c r="A3370" i="7"/>
  <c r="A3369" i="7"/>
  <c r="G3368" i="7"/>
  <c r="G3370" i="7" s="1"/>
  <c r="A3368" i="7"/>
  <c r="A3367" i="7"/>
  <c r="A3366" i="7"/>
  <c r="A3365" i="7"/>
  <c r="A3364" i="7"/>
  <c r="A3363" i="7"/>
  <c r="A3362" i="7"/>
  <c r="A3361" i="7"/>
  <c r="A3360" i="7"/>
  <c r="A3359" i="7"/>
  <c r="A3358" i="7"/>
  <c r="A3357" i="7"/>
  <c r="A3356" i="7"/>
  <c r="D3355" i="7"/>
  <c r="C3355" i="7"/>
  <c r="B3355" i="7"/>
  <c r="A3354" i="7"/>
  <c r="A3353" i="7"/>
  <c r="A3352" i="7"/>
  <c r="G3329" i="7"/>
  <c r="G3332" i="7" s="1"/>
  <c r="A3351" i="7"/>
  <c r="G3350" i="7"/>
  <c r="A3350" i="7"/>
  <c r="A3349" i="7"/>
  <c r="A3346" i="7"/>
  <c r="A3345" i="7"/>
  <c r="A3344" i="7"/>
  <c r="A3343" i="7"/>
  <c r="A3342" i="7"/>
  <c r="A3341" i="7"/>
  <c r="A3340" i="7"/>
  <c r="A3339" i="7"/>
  <c r="A3338" i="7"/>
  <c r="G3337" i="7"/>
  <c r="A3337" i="7"/>
  <c r="A3336" i="7"/>
  <c r="A3335" i="7"/>
  <c r="A3334" i="7"/>
  <c r="A3333" i="7"/>
  <c r="A3332" i="7"/>
  <c r="A3331" i="7"/>
  <c r="A3330" i="7"/>
  <c r="A3329" i="7"/>
  <c r="A3328" i="7"/>
  <c r="A3327" i="7"/>
  <c r="A3326" i="7"/>
  <c r="A3325" i="7"/>
  <c r="D3324" i="7"/>
  <c r="C3324" i="7"/>
  <c r="B3324" i="7"/>
  <c r="A3323" i="7"/>
  <c r="A3322" i="7"/>
  <c r="A3321" i="7"/>
  <c r="A3320" i="7"/>
  <c r="A3319" i="7"/>
  <c r="G3321" i="7"/>
  <c r="A3318" i="7"/>
  <c r="A3317" i="7"/>
  <c r="A3316" i="7"/>
  <c r="D3315" i="7"/>
  <c r="C3315" i="7"/>
  <c r="B3315" i="7"/>
  <c r="A3314" i="7"/>
  <c r="A3313" i="7"/>
  <c r="A3312" i="7"/>
  <c r="A3311" i="7"/>
  <c r="A3310" i="7"/>
  <c r="G3312" i="7"/>
  <c r="A3309" i="7"/>
  <c r="A3308" i="7"/>
  <c r="A3307" i="7"/>
  <c r="D3306" i="7"/>
  <c r="A3306" i="7" s="1"/>
  <c r="G3305" i="7"/>
  <c r="A3305" i="7"/>
  <c r="A3304" i="7"/>
  <c r="A3303" i="7"/>
  <c r="A3302" i="7"/>
  <c r="A3301" i="7"/>
  <c r="A3300" i="7"/>
  <c r="G3299" i="7"/>
  <c r="G3302" i="7" s="1"/>
  <c r="A3299" i="7"/>
  <c r="A3298" i="7"/>
  <c r="A3297" i="7"/>
  <c r="A3296" i="7"/>
  <c r="A3295" i="7"/>
  <c r="A3294" i="7"/>
  <c r="A3293" i="7"/>
  <c r="A3292" i="7"/>
  <c r="G3291" i="7"/>
  <c r="A3291" i="7"/>
  <c r="A3290" i="7"/>
  <c r="A3289" i="7"/>
  <c r="G3288" i="7"/>
  <c r="A3288" i="7"/>
  <c r="A3287" i="7"/>
  <c r="A3286" i="7"/>
  <c r="D3285" i="7"/>
  <c r="A3285" i="7" s="1"/>
  <c r="G3284" i="7"/>
  <c r="A3284" i="7"/>
  <c r="A3283" i="7"/>
  <c r="A3282" i="7"/>
  <c r="A3281" i="7"/>
  <c r="A3280" i="7"/>
  <c r="A3279" i="7"/>
  <c r="G3278" i="7"/>
  <c r="G3281" i="7" s="1"/>
  <c r="A3278" i="7"/>
  <c r="A3277" i="7"/>
  <c r="A3276" i="7"/>
  <c r="A3275" i="7"/>
  <c r="A3274" i="7"/>
  <c r="A3273" i="7"/>
  <c r="A3272" i="7"/>
  <c r="A3271" i="7"/>
  <c r="G3270" i="7"/>
  <c r="A3270" i="7"/>
  <c r="A3269" i="7"/>
  <c r="A3268" i="7"/>
  <c r="G3267" i="7"/>
  <c r="A3267" i="7"/>
  <c r="A3266" i="7"/>
  <c r="A3265" i="7"/>
  <c r="D3264" i="7"/>
  <c r="C3264" i="7"/>
  <c r="B3264" i="7"/>
  <c r="A3263" i="7"/>
  <c r="A3262" i="7"/>
  <c r="G3261" i="7"/>
  <c r="A3261" i="7"/>
  <c r="A3260" i="7"/>
  <c r="A3259" i="7"/>
  <c r="A3258" i="7"/>
  <c r="A3257" i="7"/>
  <c r="A3256" i="7"/>
  <c r="A3255" i="7"/>
  <c r="A3254" i="7"/>
  <c r="A3253" i="7"/>
  <c r="D3252" i="7"/>
  <c r="C3252" i="7"/>
  <c r="B3252" i="7"/>
  <c r="G3251" i="7"/>
  <c r="A3251" i="7"/>
  <c r="A3250" i="7"/>
  <c r="A3249" i="7"/>
  <c r="A3248" i="7"/>
  <c r="A3247" i="7"/>
  <c r="G3246" i="7"/>
  <c r="G3249" i="7" s="1"/>
  <c r="A3246" i="7"/>
  <c r="A3245" i="7"/>
  <c r="A3244" i="7"/>
  <c r="D3243" i="7"/>
  <c r="C3243" i="7"/>
  <c r="B3243" i="7"/>
  <c r="A3242" i="7"/>
  <c r="A3241" i="7"/>
  <c r="A3240" i="7"/>
  <c r="D3239" i="7"/>
  <c r="C3239" i="7"/>
  <c r="B3239" i="7"/>
  <c r="A3238" i="7"/>
  <c r="A3237" i="7"/>
  <c r="A3236" i="7"/>
  <c r="D3235" i="7"/>
  <c r="C3235" i="7"/>
  <c r="B3235" i="7"/>
  <c r="A3234" i="7"/>
  <c r="A3233" i="7"/>
  <c r="A3232" i="7"/>
  <c r="D3231" i="7"/>
  <c r="C3231" i="7"/>
  <c r="B3231" i="7"/>
  <c r="A3230" i="7"/>
  <c r="A3229" i="7"/>
  <c r="A3228" i="7"/>
  <c r="D3227" i="7"/>
  <c r="C3227" i="7"/>
  <c r="B3227" i="7"/>
  <c r="A3226" i="7"/>
  <c r="A3225" i="7"/>
  <c r="A3224" i="7"/>
  <c r="D3223" i="7"/>
  <c r="C3223" i="7"/>
  <c r="B3223" i="7"/>
  <c r="A3222" i="7"/>
  <c r="A3221" i="7"/>
  <c r="A3220" i="7"/>
  <c r="D3219" i="7"/>
  <c r="C3219" i="7"/>
  <c r="B3219" i="7"/>
  <c r="A3218" i="7"/>
  <c r="A3217" i="7"/>
  <c r="A3216" i="7"/>
  <c r="D3215" i="7"/>
  <c r="C3215" i="7"/>
  <c r="B3215" i="7"/>
  <c r="A3214" i="7"/>
  <c r="A3213" i="7"/>
  <c r="A3212" i="7"/>
  <c r="D3211" i="7"/>
  <c r="C3211" i="7"/>
  <c r="B3211" i="7"/>
  <c r="A3210" i="7"/>
  <c r="A3209" i="7"/>
  <c r="A3208" i="7"/>
  <c r="A3207" i="7"/>
  <c r="A3206" i="7"/>
  <c r="A3205" i="7"/>
  <c r="A3204" i="7"/>
  <c r="A3203" i="7"/>
  <c r="A3202" i="7"/>
  <c r="A3201" i="7"/>
  <c r="A3200" i="7"/>
  <c r="A3199" i="7"/>
  <c r="A3198" i="7"/>
  <c r="G3199" i="7"/>
  <c r="G3207" i="7" s="1"/>
  <c r="A3197" i="7"/>
  <c r="A3196" i="7"/>
  <c r="A3195" i="7"/>
  <c r="A3194" i="7"/>
  <c r="A3193" i="7"/>
  <c r="A3192" i="7"/>
  <c r="A3191" i="7"/>
  <c r="A3190" i="7"/>
  <c r="G3189" i="7"/>
  <c r="G3208" i="7" s="1"/>
  <c r="A3189" i="7"/>
  <c r="A3188" i="7"/>
  <c r="A3187" i="7"/>
  <c r="A3186" i="7"/>
  <c r="D3185" i="7"/>
  <c r="C3185" i="7"/>
  <c r="B3185" i="7"/>
  <c r="A3184" i="7"/>
  <c r="A3183" i="7"/>
  <c r="A3182" i="7"/>
  <c r="A3181" i="7"/>
  <c r="A3180" i="7"/>
  <c r="A3179" i="7"/>
  <c r="A3178" i="7"/>
  <c r="A3177" i="7"/>
  <c r="A3176" i="7"/>
  <c r="A3175" i="7"/>
  <c r="A3174" i="7"/>
  <c r="A3173" i="7"/>
  <c r="A3172" i="7"/>
  <c r="G3173" i="7"/>
  <c r="G3181" i="7" s="1"/>
  <c r="A3171" i="7"/>
  <c r="A3170" i="7"/>
  <c r="A3169" i="7"/>
  <c r="A3168" i="7"/>
  <c r="A3167" i="7"/>
  <c r="A3166" i="7"/>
  <c r="A3165" i="7"/>
  <c r="A3164" i="7"/>
  <c r="G3163" i="7"/>
  <c r="G3182" i="7" s="1"/>
  <c r="A3163" i="7"/>
  <c r="A3162" i="7"/>
  <c r="A3161" i="7"/>
  <c r="A3160" i="7"/>
  <c r="D3159" i="7"/>
  <c r="C3159" i="7"/>
  <c r="B3159" i="7"/>
  <c r="A3158" i="7"/>
  <c r="A3157" i="7"/>
  <c r="A3156" i="7"/>
  <c r="A3155" i="7"/>
  <c r="A3154" i="7"/>
  <c r="A3153" i="7"/>
  <c r="A3152" i="7"/>
  <c r="A3151" i="7"/>
  <c r="A3150" i="7"/>
  <c r="A3149" i="7"/>
  <c r="A3148" i="7"/>
  <c r="A3147" i="7"/>
  <c r="A3146" i="7"/>
  <c r="G3145" i="7"/>
  <c r="G3147" i="7" s="1"/>
  <c r="G3155" i="7" s="1"/>
  <c r="A3145" i="7"/>
  <c r="A3144" i="7"/>
  <c r="A3143" i="7"/>
  <c r="A3142" i="7"/>
  <c r="A3141" i="7"/>
  <c r="A3140" i="7"/>
  <c r="A3139" i="7"/>
  <c r="A3138" i="7"/>
  <c r="G3137" i="7"/>
  <c r="G3156" i="7" s="1"/>
  <c r="A3137" i="7"/>
  <c r="A3136" i="7"/>
  <c r="A3135" i="7"/>
  <c r="A3134" i="7"/>
  <c r="D3133" i="7"/>
  <c r="C3133" i="7"/>
  <c r="B3133" i="7"/>
  <c r="A3132" i="7"/>
  <c r="A3131" i="7"/>
  <c r="A3130" i="7"/>
  <c r="A3129" i="7"/>
  <c r="A3128" i="7"/>
  <c r="A3127" i="7"/>
  <c r="A3126" i="7"/>
  <c r="A3125" i="7"/>
  <c r="A3124" i="7"/>
  <c r="A3123" i="7"/>
  <c r="A3122" i="7"/>
  <c r="A3121" i="7"/>
  <c r="A3120" i="7"/>
  <c r="G3119" i="7"/>
  <c r="G3121" i="7" s="1"/>
  <c r="G3129" i="7" s="1"/>
  <c r="A3119" i="7"/>
  <c r="A3118" i="7"/>
  <c r="A3117" i="7"/>
  <c r="A3116" i="7"/>
  <c r="A3115" i="7"/>
  <c r="A3114" i="7"/>
  <c r="A3113" i="7"/>
  <c r="A3112" i="7"/>
  <c r="G3111" i="7"/>
  <c r="G3130" i="7" s="1"/>
  <c r="A3111" i="7"/>
  <c r="A3110" i="7"/>
  <c r="A3109" i="7"/>
  <c r="A3108" i="7"/>
  <c r="D3107" i="7"/>
  <c r="C3107" i="7"/>
  <c r="B3107" i="7"/>
  <c r="A3106" i="7"/>
  <c r="A3105" i="7"/>
  <c r="G3104" i="7"/>
  <c r="A3104" i="7"/>
  <c r="A3103" i="7"/>
  <c r="A3102" i="7"/>
  <c r="D3101" i="7"/>
  <c r="C3101" i="7"/>
  <c r="B3101" i="7"/>
  <c r="A3100" i="7"/>
  <c r="A3099" i="7"/>
  <c r="A3098" i="7"/>
  <c r="A3097" i="7"/>
  <c r="A3096" i="7"/>
  <c r="A3095" i="7"/>
  <c r="A3094" i="7"/>
  <c r="A3093" i="7"/>
  <c r="A3092" i="7"/>
  <c r="A3091" i="7"/>
  <c r="G3090" i="7"/>
  <c r="G3094" i="7" s="1"/>
  <c r="A3090" i="7"/>
  <c r="A3089" i="7"/>
  <c r="A3088" i="7"/>
  <c r="A3087" i="7"/>
  <c r="A3086" i="7"/>
  <c r="A3085" i="7"/>
  <c r="A3084" i="7"/>
  <c r="A3083" i="7"/>
  <c r="A3082" i="7"/>
  <c r="A3081" i="7"/>
  <c r="A3080" i="7"/>
  <c r="G3079" i="7"/>
  <c r="G3085" i="7" s="1"/>
  <c r="A3079" i="7"/>
  <c r="A3078" i="7"/>
  <c r="A3077" i="7"/>
  <c r="D3076" i="7"/>
  <c r="C3076" i="7"/>
  <c r="B3076" i="7"/>
  <c r="G3075" i="7"/>
  <c r="A3075" i="7"/>
  <c r="A3074" i="7"/>
  <c r="G3073" i="7"/>
  <c r="A3073" i="7"/>
  <c r="A3072" i="7"/>
  <c r="A3071" i="7"/>
  <c r="A3070" i="7"/>
  <c r="A3069" i="7"/>
  <c r="D3068" i="7"/>
  <c r="C3068" i="7"/>
  <c r="B3068" i="7"/>
  <c r="A3067" i="7"/>
  <c r="A3066" i="7"/>
  <c r="G3065" i="7"/>
  <c r="A3065" i="7"/>
  <c r="A3064" i="7"/>
  <c r="A3063" i="7"/>
  <c r="A3062" i="7"/>
  <c r="A3061" i="7"/>
  <c r="A3060" i="7"/>
  <c r="A3059" i="7"/>
  <c r="A3058" i="7"/>
  <c r="A3057" i="7"/>
  <c r="G3056" i="7"/>
  <c r="G3061" i="7" s="1"/>
  <c r="A3056" i="7"/>
  <c r="A3055" i="7"/>
  <c r="D3054" i="7"/>
  <c r="C3054" i="7"/>
  <c r="B3054" i="7"/>
  <c r="G3053" i="7"/>
  <c r="A3053" i="7"/>
  <c r="A3052" i="7"/>
  <c r="A3051" i="7"/>
  <c r="G3050" i="7"/>
  <c r="A3050" i="7"/>
  <c r="A3049" i="7"/>
  <c r="A3048" i="7"/>
  <c r="A3047" i="7"/>
  <c r="A3046" i="7"/>
  <c r="A3045" i="7"/>
  <c r="A3044" i="7"/>
  <c r="D3043" i="7"/>
  <c r="C3043" i="7"/>
  <c r="B3043" i="7"/>
  <c r="A3042" i="7"/>
  <c r="A3041" i="7"/>
  <c r="A3040" i="7"/>
  <c r="A3039" i="7"/>
  <c r="A3038" i="7"/>
  <c r="G3040" i="7"/>
  <c r="A3037" i="7"/>
  <c r="A3036" i="7"/>
  <c r="A3035" i="7"/>
  <c r="D3034" i="7"/>
  <c r="C3034" i="7"/>
  <c r="B3034" i="7"/>
  <c r="A3033" i="7"/>
  <c r="A3032" i="7"/>
  <c r="G3031" i="7"/>
  <c r="A3031" i="7"/>
  <c r="A3030" i="7"/>
  <c r="A3029" i="7"/>
  <c r="A3028" i="7"/>
  <c r="A3027" i="7"/>
  <c r="A3026" i="7"/>
  <c r="D3025" i="7"/>
  <c r="C3025" i="7"/>
  <c r="B3025" i="7"/>
  <c r="A3024" i="7"/>
  <c r="A3023" i="7"/>
  <c r="A3022" i="7"/>
  <c r="A3021" i="7"/>
  <c r="A3020" i="7"/>
  <c r="A3019" i="7"/>
  <c r="A3018" i="7"/>
  <c r="G3017" i="7"/>
  <c r="G3022" i="7" s="1"/>
  <c r="A3017" i="7"/>
  <c r="D3016" i="7"/>
  <c r="C3016" i="7"/>
  <c r="B3016" i="7"/>
  <c r="A3015" i="7"/>
  <c r="A3014" i="7"/>
  <c r="A3013" i="7"/>
  <c r="A3012" i="7"/>
  <c r="A3011" i="7"/>
  <c r="A3010" i="7"/>
  <c r="A3009" i="7"/>
  <c r="A3008" i="7"/>
  <c r="A3007" i="7"/>
  <c r="A3006" i="7"/>
  <c r="G3005" i="7"/>
  <c r="G3012" i="7" s="1"/>
  <c r="A3005" i="7"/>
  <c r="B3004" i="7"/>
  <c r="A3004" i="7" s="1"/>
  <c r="A3003" i="7"/>
  <c r="A3002" i="7"/>
  <c r="A3001" i="7"/>
  <c r="A3000" i="7"/>
  <c r="A2999" i="7"/>
  <c r="A2998" i="7"/>
  <c r="A2997" i="7"/>
  <c r="A2996" i="7"/>
  <c r="A2995" i="7"/>
  <c r="A2994" i="7"/>
  <c r="G2993" i="7"/>
  <c r="G3000" i="7" s="1"/>
  <c r="A2993" i="7"/>
  <c r="D2992" i="7"/>
  <c r="C2992" i="7"/>
  <c r="B2992" i="7"/>
  <c r="A2991" i="7"/>
  <c r="A2990" i="7"/>
  <c r="A2989" i="7"/>
  <c r="A2988" i="7"/>
  <c r="A2987" i="7"/>
  <c r="A2986" i="7"/>
  <c r="A2985" i="7"/>
  <c r="A2984" i="7"/>
  <c r="A2983" i="7"/>
  <c r="A2982" i="7"/>
  <c r="A2981" i="7"/>
  <c r="A2980" i="7"/>
  <c r="A2979" i="7"/>
  <c r="A2978" i="7"/>
  <c r="A2977" i="7"/>
  <c r="A2976" i="7"/>
  <c r="A2975" i="7"/>
  <c r="A2974" i="7"/>
  <c r="A2973" i="7"/>
  <c r="A2972" i="7"/>
  <c r="A2971" i="7"/>
  <c r="A2970" i="7"/>
  <c r="D2969" i="7"/>
  <c r="C2969" i="7"/>
  <c r="B2969" i="7"/>
  <c r="A2968" i="7"/>
  <c r="A2967" i="7"/>
  <c r="A2966" i="7"/>
  <c r="A2965" i="7"/>
  <c r="A2964" i="7"/>
  <c r="A2963" i="7"/>
  <c r="A2962" i="7"/>
  <c r="A2961" i="7"/>
  <c r="A2960" i="7"/>
  <c r="A2959" i="7"/>
  <c r="A2958" i="7"/>
  <c r="A2957" i="7"/>
  <c r="A2956" i="7"/>
  <c r="A2955" i="7"/>
  <c r="A2954" i="7"/>
  <c r="A2953" i="7"/>
  <c r="A2952" i="7"/>
  <c r="A2951" i="7"/>
  <c r="A2950" i="7"/>
  <c r="A2949" i="7"/>
  <c r="A2948" i="7"/>
  <c r="A2947" i="7"/>
  <c r="D2946" i="7"/>
  <c r="C2946" i="7"/>
  <c r="B2946" i="7"/>
  <c r="A2945" i="7"/>
  <c r="A2944" i="7"/>
  <c r="A2943" i="7"/>
  <c r="A2942" i="7"/>
  <c r="A2941" i="7"/>
  <c r="A2940" i="7"/>
  <c r="A2939" i="7"/>
  <c r="A2938" i="7"/>
  <c r="A2937" i="7"/>
  <c r="A2936" i="7"/>
  <c r="A2935" i="7"/>
  <c r="A2934" i="7"/>
  <c r="A2933" i="7"/>
  <c r="A2932" i="7"/>
  <c r="A2931" i="7"/>
  <c r="A2930" i="7"/>
  <c r="A2929" i="7"/>
  <c r="A2928" i="7"/>
  <c r="A2927" i="7"/>
  <c r="A2926" i="7"/>
  <c r="A2925" i="7"/>
  <c r="A2924" i="7"/>
  <c r="A2923" i="7"/>
  <c r="A2922" i="7"/>
  <c r="D2921" i="7"/>
  <c r="C2921" i="7"/>
  <c r="B2921" i="7"/>
  <c r="A2920" i="7"/>
  <c r="A2919" i="7"/>
  <c r="A2918" i="7"/>
  <c r="A2917" i="7"/>
  <c r="A2916" i="7"/>
  <c r="A2915" i="7"/>
  <c r="A2914" i="7"/>
  <c r="A2913" i="7"/>
  <c r="A2912" i="7"/>
  <c r="A2911" i="7"/>
  <c r="A2910" i="7"/>
  <c r="A2909" i="7"/>
  <c r="A2908" i="7"/>
  <c r="A2907" i="7"/>
  <c r="A2906" i="7"/>
  <c r="A2905" i="7"/>
  <c r="G2904" i="7"/>
  <c r="A2904" i="7"/>
  <c r="A2903" i="7"/>
  <c r="A2902" i="7"/>
  <c r="G2901" i="7"/>
  <c r="A2901" i="7"/>
  <c r="A2900" i="7"/>
  <c r="A2899" i="7"/>
  <c r="D2898" i="7"/>
  <c r="C2898" i="7"/>
  <c r="B2898" i="7"/>
  <c r="A2897" i="7"/>
  <c r="A2896" i="7"/>
  <c r="A2895" i="7"/>
  <c r="A2894" i="7"/>
  <c r="A2893" i="7"/>
  <c r="A2892" i="7"/>
  <c r="A2891" i="7"/>
  <c r="A2890" i="7"/>
  <c r="A2889" i="7"/>
  <c r="A2888" i="7"/>
  <c r="A2887" i="7"/>
  <c r="A2886" i="7"/>
  <c r="G2885" i="7"/>
  <c r="A2885" i="7"/>
  <c r="A2884" i="7"/>
  <c r="A2883" i="7"/>
  <c r="A2882" i="7"/>
  <c r="A2880" i="7"/>
  <c r="A2879" i="7"/>
  <c r="A2878" i="7"/>
  <c r="A2877" i="7"/>
  <c r="A2876" i="7"/>
  <c r="D2875" i="7"/>
  <c r="C2875" i="7"/>
  <c r="B2875" i="7"/>
  <c r="A2874" i="7"/>
  <c r="A2873" i="7"/>
  <c r="A2872" i="7"/>
  <c r="A2871" i="7"/>
  <c r="A2870" i="7"/>
  <c r="A2869" i="7"/>
  <c r="A2868" i="7"/>
  <c r="A2867" i="7"/>
  <c r="A2866" i="7"/>
  <c r="A2865" i="7"/>
  <c r="G2864" i="7"/>
  <c r="A2864" i="7"/>
  <c r="A2863" i="7"/>
  <c r="A2862" i="7"/>
  <c r="A2861" i="7"/>
  <c r="A2859" i="7"/>
  <c r="G2858" i="7"/>
  <c r="G2861" i="7" s="1"/>
  <c r="A2858" i="7"/>
  <c r="A2857" i="7"/>
  <c r="A2856" i="7"/>
  <c r="A2855" i="7"/>
  <c r="D2854" i="7"/>
  <c r="C2854" i="7"/>
  <c r="B2854" i="7"/>
  <c r="A2853" i="7"/>
  <c r="A2852" i="7"/>
  <c r="G2851" i="7"/>
  <c r="A2851" i="7"/>
  <c r="A2850" i="7"/>
  <c r="A2849" i="7"/>
  <c r="A2848" i="7"/>
  <c r="A2847" i="7"/>
  <c r="A2846" i="7"/>
  <c r="A2845" i="7"/>
  <c r="A2844" i="7"/>
  <c r="G2843" i="7"/>
  <c r="A2843" i="7"/>
  <c r="A2842" i="7"/>
  <c r="A2841" i="7"/>
  <c r="A2840" i="7"/>
  <c r="A2838" i="7"/>
  <c r="A2837" i="7"/>
  <c r="A2836" i="7"/>
  <c r="A2835" i="7"/>
  <c r="A2834" i="7"/>
  <c r="C2833" i="7"/>
  <c r="B2833" i="7"/>
  <c r="G2832" i="7"/>
  <c r="A2832" i="7"/>
  <c r="A2831" i="7"/>
  <c r="G2830" i="7"/>
  <c r="A2830" i="7"/>
  <c r="A2829" i="7"/>
  <c r="A2828" i="7"/>
  <c r="A2827" i="7"/>
  <c r="A2826" i="7"/>
  <c r="D2825" i="7"/>
  <c r="C2825" i="7"/>
  <c r="B2825" i="7"/>
  <c r="A2824" i="7"/>
  <c r="A2823" i="7"/>
  <c r="A2822" i="7"/>
  <c r="G2821" i="7"/>
  <c r="A2821" i="7"/>
  <c r="G2820" i="7"/>
  <c r="A2820" i="7"/>
  <c r="A2819" i="7"/>
  <c r="A2818" i="7"/>
  <c r="A2817" i="7"/>
  <c r="A2816" i="7"/>
  <c r="A2815" i="7"/>
  <c r="A2814" i="7"/>
  <c r="A2813" i="7"/>
  <c r="A2812" i="7"/>
  <c r="A2811" i="7"/>
  <c r="D2810" i="7"/>
  <c r="C2810" i="7"/>
  <c r="B2810" i="7"/>
  <c r="A2809" i="7"/>
  <c r="A2808" i="7"/>
  <c r="A2807" i="7"/>
  <c r="A2804" i="7"/>
  <c r="A2803" i="7"/>
  <c r="A2802" i="7"/>
  <c r="D2801" i="7"/>
  <c r="C2801" i="7"/>
  <c r="B2801" i="7"/>
  <c r="A2800" i="7"/>
  <c r="A2799" i="7"/>
  <c r="A2798" i="7"/>
  <c r="A2795" i="7"/>
  <c r="A2794" i="7"/>
  <c r="A2793" i="7"/>
  <c r="D2792" i="7"/>
  <c r="C2792" i="7"/>
  <c r="B2792" i="7"/>
  <c r="A2791" i="7"/>
  <c r="A2790" i="7"/>
  <c r="A2789" i="7"/>
  <c r="A2786" i="7"/>
  <c r="A2785" i="7"/>
  <c r="A2784" i="7"/>
  <c r="D2783" i="7"/>
  <c r="C2783" i="7"/>
  <c r="B2783" i="7"/>
  <c r="A2782" i="7"/>
  <c r="A2781" i="7"/>
  <c r="A2780" i="7"/>
  <c r="A2756" i="7"/>
  <c r="A2755" i="7"/>
  <c r="A2754" i="7"/>
  <c r="A2753" i="7"/>
  <c r="A2752" i="7"/>
  <c r="D2751" i="7"/>
  <c r="C2751" i="7"/>
  <c r="B2751" i="7"/>
  <c r="A2750" i="7"/>
  <c r="A2749" i="7"/>
  <c r="A2748" i="7"/>
  <c r="A2747" i="7"/>
  <c r="A2746" i="7"/>
  <c r="A2745" i="7"/>
  <c r="A2744" i="7"/>
  <c r="G2743" i="7"/>
  <c r="G2745" i="7" s="1"/>
  <c r="A2743" i="7"/>
  <c r="G2742" i="7"/>
  <c r="G2744" i="7" s="1"/>
  <c r="A2742" i="7"/>
  <c r="A2736" i="7"/>
  <c r="A2735" i="7"/>
  <c r="A2734" i="7"/>
  <c r="A2733" i="7"/>
  <c r="A2732" i="7"/>
  <c r="A2731" i="7"/>
  <c r="A2730" i="7"/>
  <c r="A2729" i="7"/>
  <c r="A2728" i="7"/>
  <c r="A2727" i="7"/>
  <c r="D2726" i="7"/>
  <c r="C2726" i="7"/>
  <c r="B2726" i="7"/>
  <c r="A2725" i="7"/>
  <c r="A2724" i="7"/>
  <c r="A2723" i="7"/>
  <c r="A2722" i="7"/>
  <c r="G2721" i="7"/>
  <c r="A2721" i="7"/>
  <c r="A2720" i="7"/>
  <c r="A2719" i="7"/>
  <c r="A2718" i="7"/>
  <c r="A2717" i="7"/>
  <c r="A2716" i="7"/>
  <c r="A2715" i="7"/>
  <c r="A2714" i="7"/>
  <c r="A2713" i="7"/>
  <c r="A2712" i="7"/>
  <c r="A2711" i="7"/>
  <c r="D2710" i="7"/>
  <c r="C2710" i="7"/>
  <c r="B2710" i="7"/>
  <c r="A2709" i="7"/>
  <c r="A2708" i="7"/>
  <c r="A2707" i="7"/>
  <c r="A2706" i="7"/>
  <c r="A2705" i="7"/>
  <c r="A2704" i="7"/>
  <c r="A2702" i="7"/>
  <c r="A2701" i="7"/>
  <c r="A2700" i="7"/>
  <c r="A2699" i="7"/>
  <c r="G2707" i="7"/>
  <c r="A2698" i="7"/>
  <c r="A2697" i="7"/>
  <c r="A2696" i="7"/>
  <c r="A2695" i="7"/>
  <c r="A2694" i="7"/>
  <c r="A2693" i="7"/>
  <c r="A2692" i="7"/>
  <c r="A2691" i="7"/>
  <c r="A2690" i="7"/>
  <c r="A2689" i="7"/>
  <c r="A2688" i="7"/>
  <c r="A2687" i="7"/>
  <c r="A2686" i="7"/>
  <c r="A2685" i="7"/>
  <c r="A2684" i="7"/>
  <c r="A2683" i="7"/>
  <c r="A2682" i="7"/>
  <c r="A2681" i="7"/>
  <c r="A2680" i="7"/>
  <c r="A2679" i="7"/>
  <c r="A2678" i="7"/>
  <c r="A2677" i="7"/>
  <c r="A2676" i="7"/>
  <c r="A2675" i="7"/>
  <c r="A2674" i="7"/>
  <c r="A2673" i="7"/>
  <c r="A2672" i="7"/>
  <c r="A2671" i="7"/>
  <c r="A2670" i="7"/>
  <c r="A2669" i="7"/>
  <c r="A2668" i="7"/>
  <c r="A2667" i="7"/>
  <c r="A2666" i="7"/>
  <c r="A2665" i="7"/>
  <c r="A2664" i="7"/>
  <c r="A2663" i="7"/>
  <c r="A2662" i="7"/>
  <c r="A2661" i="7"/>
  <c r="D2660" i="7"/>
  <c r="C2660" i="7"/>
  <c r="B2660" i="7"/>
  <c r="A2659" i="7"/>
  <c r="A2658" i="7"/>
  <c r="A2657" i="7"/>
  <c r="A2656" i="7"/>
  <c r="A2655" i="7"/>
  <c r="A2654" i="7"/>
  <c r="A2652" i="7"/>
  <c r="A2651" i="7"/>
  <c r="A2650" i="7"/>
  <c r="A2649" i="7"/>
  <c r="G2657" i="7"/>
  <c r="A2648" i="7"/>
  <c r="A2647" i="7"/>
  <c r="A2646" i="7"/>
  <c r="A2645" i="7"/>
  <c r="A2644" i="7"/>
  <c r="A2643" i="7"/>
  <c r="A2642" i="7"/>
  <c r="A2641" i="7"/>
  <c r="A2640" i="7"/>
  <c r="A2639" i="7"/>
  <c r="A2638" i="7"/>
  <c r="A2637" i="7"/>
  <c r="A2636" i="7"/>
  <c r="A2635" i="7"/>
  <c r="A2634" i="7"/>
  <c r="A2633" i="7"/>
  <c r="A2632" i="7"/>
  <c r="A2631" i="7"/>
  <c r="A2630" i="7"/>
  <c r="A2629" i="7"/>
  <c r="A2628" i="7"/>
  <c r="A2627" i="7"/>
  <c r="A2626" i="7"/>
  <c r="A2625" i="7"/>
  <c r="A2624" i="7"/>
  <c r="A2623" i="7"/>
  <c r="A2622" i="7"/>
  <c r="A2621" i="7"/>
  <c r="A2620" i="7"/>
  <c r="A2619" i="7"/>
  <c r="A2618" i="7"/>
  <c r="A2617" i="7"/>
  <c r="A2616" i="7"/>
  <c r="A2615" i="7"/>
  <c r="A2614" i="7"/>
  <c r="A2613" i="7"/>
  <c r="A2612" i="7"/>
  <c r="A2611" i="7"/>
  <c r="D2610" i="7"/>
  <c r="C2610" i="7"/>
  <c r="B2610" i="7"/>
  <c r="A2609" i="7"/>
  <c r="A2608" i="7"/>
  <c r="A2607" i="7"/>
  <c r="A2606" i="7"/>
  <c r="A2605" i="7"/>
  <c r="A2604" i="7"/>
  <c r="A2602" i="7"/>
  <c r="A2601" i="7"/>
  <c r="A2600" i="7"/>
  <c r="A2599" i="7"/>
  <c r="A2598" i="7"/>
  <c r="A2597" i="7"/>
  <c r="A2596" i="7"/>
  <c r="A2595" i="7"/>
  <c r="A2594" i="7"/>
  <c r="A2593" i="7"/>
  <c r="A2592" i="7"/>
  <c r="A2591" i="7"/>
  <c r="A2590" i="7"/>
  <c r="A2589" i="7"/>
  <c r="A2588" i="7"/>
  <c r="A2587" i="7"/>
  <c r="A2586" i="7"/>
  <c r="A2585" i="7"/>
  <c r="A2584" i="7"/>
  <c r="A2583" i="7"/>
  <c r="A2582" i="7"/>
  <c r="A2581" i="7"/>
  <c r="A2580" i="7"/>
  <c r="A2579" i="7"/>
  <c r="A2578" i="7"/>
  <c r="A2577" i="7"/>
  <c r="A2576" i="7"/>
  <c r="A2575" i="7"/>
  <c r="A2574" i="7"/>
  <c r="A2573" i="7"/>
  <c r="A2572" i="7"/>
  <c r="A2571" i="7"/>
  <c r="A2570" i="7"/>
  <c r="A2569" i="7"/>
  <c r="A2568" i="7"/>
  <c r="A2567" i="7"/>
  <c r="A2566" i="7"/>
  <c r="A2565" i="7"/>
  <c r="A2564" i="7"/>
  <c r="A2563" i="7"/>
  <c r="A2562" i="7"/>
  <c r="A2561" i="7"/>
  <c r="D2560" i="7"/>
  <c r="C2560" i="7"/>
  <c r="B2560" i="7"/>
  <c r="A2559" i="7"/>
  <c r="A2558" i="7"/>
  <c r="A2557" i="7"/>
  <c r="A2556" i="7"/>
  <c r="A2555" i="7"/>
  <c r="A2554" i="7"/>
  <c r="A2552" i="7"/>
  <c r="A2551" i="7"/>
  <c r="A2550" i="7"/>
  <c r="A2549" i="7"/>
  <c r="G2557" i="7"/>
  <c r="A2548" i="7"/>
  <c r="A2547" i="7"/>
  <c r="A2546" i="7"/>
  <c r="A2545" i="7"/>
  <c r="A2544" i="7"/>
  <c r="A2543" i="7"/>
  <c r="A2542" i="7"/>
  <c r="A2541" i="7"/>
  <c r="A2540" i="7"/>
  <c r="A2539" i="7"/>
  <c r="A2538" i="7"/>
  <c r="A2537" i="7"/>
  <c r="A2536" i="7"/>
  <c r="A2535" i="7"/>
  <c r="A2534" i="7"/>
  <c r="A2533" i="7"/>
  <c r="A2532" i="7"/>
  <c r="A2531" i="7"/>
  <c r="A2530" i="7"/>
  <c r="A2529" i="7"/>
  <c r="A2528" i="7"/>
  <c r="A2527" i="7"/>
  <c r="A2526" i="7"/>
  <c r="A2525" i="7"/>
  <c r="A2524" i="7"/>
  <c r="A2523" i="7"/>
  <c r="A2522" i="7"/>
  <c r="A2521" i="7"/>
  <c r="A2520" i="7"/>
  <c r="A2519" i="7"/>
  <c r="A2518" i="7"/>
  <c r="A2517" i="7"/>
  <c r="A2516" i="7"/>
  <c r="A2515" i="7"/>
  <c r="A2514" i="7"/>
  <c r="A2513" i="7"/>
  <c r="A2512" i="7"/>
  <c r="A2511" i="7"/>
  <c r="D2510" i="7"/>
  <c r="C2510" i="7"/>
  <c r="B2510" i="7"/>
  <c r="A2509" i="7"/>
  <c r="A2508" i="7"/>
  <c r="G2485" i="7"/>
  <c r="G2488" i="7" s="1"/>
  <c r="A2507" i="7"/>
  <c r="G2506" i="7"/>
  <c r="A2506" i="7"/>
  <c r="A2505" i="7"/>
  <c r="A2502" i="7"/>
  <c r="A2501" i="7"/>
  <c r="A2500" i="7"/>
  <c r="A2499" i="7"/>
  <c r="A2498" i="7"/>
  <c r="A2497" i="7"/>
  <c r="A2496" i="7"/>
  <c r="A2495" i="7"/>
  <c r="A2494" i="7"/>
  <c r="G2493" i="7"/>
  <c r="A2493" i="7"/>
  <c r="A2492" i="7"/>
  <c r="A2491" i="7"/>
  <c r="A2490" i="7"/>
  <c r="A2489" i="7"/>
  <c r="A2488" i="7"/>
  <c r="A2487" i="7"/>
  <c r="A2486" i="7"/>
  <c r="A2485" i="7"/>
  <c r="A2484" i="7"/>
  <c r="A2483" i="7"/>
  <c r="A2482" i="7"/>
  <c r="A2481" i="7"/>
  <c r="D2480" i="7"/>
  <c r="C2480" i="7"/>
  <c r="B2480" i="7"/>
  <c r="A2479" i="7"/>
  <c r="A2478" i="7"/>
  <c r="A2477" i="7"/>
  <c r="A2467" i="7"/>
  <c r="A2466" i="7"/>
  <c r="A2465" i="7"/>
  <c r="A2464" i="7"/>
  <c r="A2463" i="7"/>
  <c r="A2462" i="7"/>
  <c r="A2461" i="7"/>
  <c r="A2460" i="7"/>
  <c r="A2459" i="7"/>
  <c r="A2458" i="7"/>
  <c r="A2457" i="7"/>
  <c r="A2456" i="7"/>
  <c r="A2455" i="7"/>
  <c r="A2454" i="7"/>
  <c r="D2453" i="7"/>
  <c r="C2453" i="7"/>
  <c r="B2453" i="7"/>
  <c r="A2452" i="7"/>
  <c r="A2451" i="7"/>
  <c r="A2450" i="7"/>
  <c r="G2449" i="7"/>
  <c r="F2449" i="7"/>
  <c r="A2449" i="7"/>
  <c r="G2448" i="7"/>
  <c r="F2448" i="7"/>
  <c r="A2448" i="7"/>
  <c r="A2447" i="7"/>
  <c r="A2446" i="7"/>
  <c r="A2445" i="7"/>
  <c r="A2444" i="7"/>
  <c r="A2443" i="7"/>
  <c r="A2442" i="7"/>
  <c r="G2441" i="7"/>
  <c r="G2447" i="7" s="1"/>
  <c r="F2441" i="7"/>
  <c r="F2447" i="7" s="1"/>
  <c r="A2441" i="7"/>
  <c r="A2440" i="7"/>
  <c r="A2439" i="7"/>
  <c r="A2438" i="7"/>
  <c r="A2437" i="7"/>
  <c r="A2436" i="7"/>
  <c r="A2435" i="7"/>
  <c r="D2434" i="7"/>
  <c r="C2434" i="7"/>
  <c r="B2434" i="7"/>
  <c r="A2433" i="7"/>
  <c r="A2432" i="7"/>
  <c r="A2431" i="7"/>
  <c r="D2430" i="7"/>
  <c r="C2430" i="7"/>
  <c r="B2430" i="7"/>
  <c r="A2429" i="7"/>
  <c r="A2428" i="7"/>
  <c r="A2427" i="7"/>
  <c r="A2426" i="7"/>
  <c r="A2425" i="7"/>
  <c r="D2395" i="7"/>
  <c r="C2395" i="7"/>
  <c r="B2395" i="7"/>
  <c r="G2394" i="7"/>
  <c r="A2394" i="7"/>
  <c r="A2393" i="7"/>
  <c r="G2392" i="7"/>
  <c r="A2392" i="7"/>
  <c r="A2391" i="7"/>
  <c r="A2390" i="7"/>
  <c r="A2389" i="7"/>
  <c r="A2388" i="7"/>
  <c r="A2387" i="7"/>
  <c r="A2386" i="7"/>
  <c r="A2385" i="7"/>
  <c r="A2384" i="7"/>
  <c r="A2383" i="7"/>
  <c r="D2382" i="7"/>
  <c r="C2382" i="7"/>
  <c r="B2382" i="7"/>
  <c r="A2381" i="7"/>
  <c r="A2380" i="7"/>
  <c r="A2379" i="7"/>
  <c r="A2378" i="7"/>
  <c r="A2377" i="7"/>
  <c r="D2376" i="7"/>
  <c r="C2376" i="7"/>
  <c r="B2376" i="7"/>
  <c r="A2375" i="7"/>
  <c r="A2374" i="7"/>
  <c r="A2373" i="7"/>
  <c r="A2372" i="7"/>
  <c r="A2371" i="7"/>
  <c r="D2370" i="7"/>
  <c r="C2370" i="7"/>
  <c r="B2370" i="7"/>
  <c r="A2369" i="7"/>
  <c r="A2368" i="7"/>
  <c r="A2367" i="7"/>
  <c r="A2366" i="7"/>
  <c r="A2365" i="7"/>
  <c r="D2364" i="7"/>
  <c r="C2364" i="7"/>
  <c r="B2364" i="7"/>
  <c r="A2363" i="7"/>
  <c r="A2362" i="7"/>
  <c r="A2361" i="7"/>
  <c r="A2360" i="7"/>
  <c r="A2359" i="7"/>
  <c r="D2358" i="7"/>
  <c r="C2358" i="7"/>
  <c r="B2358" i="7"/>
  <c r="A2357" i="7"/>
  <c r="A2356" i="7"/>
  <c r="A2355" i="7"/>
  <c r="A2354" i="7"/>
  <c r="A2353" i="7"/>
  <c r="D2352" i="7"/>
  <c r="C2352" i="7"/>
  <c r="B2352" i="7"/>
  <c r="A2351" i="7"/>
  <c r="A2350" i="7"/>
  <c r="A2349" i="7"/>
  <c r="A2348" i="7"/>
  <c r="A2347" i="7"/>
  <c r="D2346" i="7"/>
  <c r="C2346" i="7"/>
  <c r="B2346" i="7"/>
  <c r="A2345" i="7"/>
  <c r="A2344" i="7"/>
  <c r="A2343" i="7"/>
  <c r="A2342" i="7"/>
  <c r="A2341" i="7"/>
  <c r="D2340" i="7"/>
  <c r="C2340" i="7"/>
  <c r="B2340" i="7"/>
  <c r="A2339" i="7"/>
  <c r="A2338" i="7"/>
  <c r="A2337" i="7"/>
  <c r="A2336" i="7"/>
  <c r="A2335" i="7"/>
  <c r="D2334" i="7"/>
  <c r="C2334" i="7"/>
  <c r="B2334" i="7"/>
  <c r="A2333" i="7"/>
  <c r="A2332" i="7"/>
  <c r="A2331" i="7"/>
  <c r="A2330" i="7"/>
  <c r="A2329" i="7"/>
  <c r="D2328" i="7"/>
  <c r="C2328" i="7"/>
  <c r="B2328" i="7"/>
  <c r="A2327" i="7"/>
  <c r="A2326" i="7"/>
  <c r="A2325" i="7"/>
  <c r="A2324" i="7"/>
  <c r="A2323" i="7"/>
  <c r="C2322" i="7"/>
  <c r="B2322" i="7"/>
  <c r="G2321" i="7"/>
  <c r="A2321" i="7"/>
  <c r="G2320" i="7"/>
  <c r="A2320" i="7"/>
  <c r="A2319" i="7"/>
  <c r="A2318" i="7"/>
  <c r="A2317" i="7"/>
  <c r="C2316" i="7"/>
  <c r="B2316" i="7"/>
  <c r="A2315" i="7"/>
  <c r="A2314" i="7"/>
  <c r="A2313" i="7"/>
  <c r="G2312" i="7"/>
  <c r="A2312" i="7"/>
  <c r="A2311" i="7"/>
  <c r="C2310" i="7"/>
  <c r="B2310" i="7"/>
  <c r="A2309" i="7"/>
  <c r="A2308" i="7"/>
  <c r="A2307" i="7"/>
  <c r="G2306" i="7"/>
  <c r="A2306" i="7"/>
  <c r="A2305" i="7"/>
  <c r="B2304" i="7"/>
  <c r="G2300" i="7"/>
  <c r="C2300" i="7"/>
  <c r="A2299" i="7"/>
  <c r="B2298" i="7"/>
  <c r="G2294" i="7"/>
  <c r="C2294" i="7"/>
  <c r="A2294" i="7" s="1"/>
  <c r="A2293" i="7"/>
  <c r="B2292" i="7"/>
  <c r="C2289" i="7"/>
  <c r="C2291" i="7" s="1"/>
  <c r="A2291" i="7" s="1"/>
  <c r="G2288" i="7"/>
  <c r="C2288" i="7"/>
  <c r="C2290" i="7" s="1"/>
  <c r="A2290" i="7" s="1"/>
  <c r="A2287" i="7"/>
  <c r="B2286" i="7"/>
  <c r="C2283" i="7"/>
  <c r="A2283" i="7" s="1"/>
  <c r="G2282" i="7"/>
  <c r="C2282" i="7"/>
  <c r="A2282" i="7" s="1"/>
  <c r="A2281" i="7"/>
  <c r="D2280" i="7"/>
  <c r="B2280" i="7"/>
  <c r="G2276" i="7"/>
  <c r="C2276" i="7"/>
  <c r="A2276" i="7" s="1"/>
  <c r="A2275" i="7"/>
  <c r="C2274" i="7"/>
  <c r="B2274" i="7"/>
  <c r="A2273" i="7"/>
  <c r="A2272" i="7"/>
  <c r="A2271" i="7"/>
  <c r="G2270" i="7"/>
  <c r="A2270" i="7"/>
  <c r="A2269" i="7"/>
  <c r="C2268" i="7"/>
  <c r="B2268" i="7"/>
  <c r="A2267" i="7"/>
  <c r="A2266" i="7"/>
  <c r="A2265" i="7"/>
  <c r="G2264" i="7"/>
  <c r="A2264" i="7"/>
  <c r="A2263" i="7"/>
  <c r="B2262" i="7"/>
  <c r="G2258" i="7"/>
  <c r="C2258" i="7"/>
  <c r="A2257" i="7"/>
  <c r="B2256" i="7"/>
  <c r="G2252" i="7"/>
  <c r="C2252" i="7"/>
  <c r="C2253" i="7" s="1"/>
  <c r="A2253" i="7" s="1"/>
  <c r="A2251" i="7"/>
  <c r="B2250" i="7"/>
  <c r="C2247" i="7"/>
  <c r="C2249" i="7" s="1"/>
  <c r="A2249" i="7" s="1"/>
  <c r="G2246" i="7"/>
  <c r="C2246" i="7"/>
  <c r="A2245" i="7"/>
  <c r="B2244" i="7"/>
  <c r="C2241" i="7"/>
  <c r="A2241" i="7" s="1"/>
  <c r="G2240" i="7"/>
  <c r="C2240" i="7"/>
  <c r="A2240" i="7" s="1"/>
  <c r="A2239" i="7"/>
  <c r="D2238" i="7"/>
  <c r="B2238" i="7"/>
  <c r="G2234" i="7"/>
  <c r="C2234" i="7"/>
  <c r="A2234" i="7" s="1"/>
  <c r="A2233" i="7"/>
  <c r="C2232" i="7"/>
  <c r="B2232" i="7"/>
  <c r="A2231" i="7"/>
  <c r="A2230" i="7"/>
  <c r="A2229" i="7"/>
  <c r="G2228" i="7"/>
  <c r="A2228" i="7"/>
  <c r="A2227" i="7"/>
  <c r="C2226" i="7"/>
  <c r="B2226" i="7"/>
  <c r="A2225" i="7"/>
  <c r="A2224" i="7"/>
  <c r="A2223" i="7"/>
  <c r="G2222" i="7"/>
  <c r="A2222" i="7"/>
  <c r="A2221" i="7"/>
  <c r="B2220" i="7"/>
  <c r="G2216" i="7"/>
  <c r="C2216" i="7"/>
  <c r="A2215" i="7"/>
  <c r="B2214" i="7"/>
  <c r="G2210" i="7"/>
  <c r="C2210" i="7"/>
  <c r="A2210" i="7" s="1"/>
  <c r="A2209" i="7"/>
  <c r="B2208" i="7"/>
  <c r="C2205" i="7"/>
  <c r="C2207" i="7" s="1"/>
  <c r="G2204" i="7"/>
  <c r="C2204" i="7"/>
  <c r="C2206" i="7" s="1"/>
  <c r="A2206" i="7" s="1"/>
  <c r="A2203" i="7"/>
  <c r="B2202" i="7"/>
  <c r="C2199" i="7"/>
  <c r="A2199" i="7" s="1"/>
  <c r="G2198" i="7"/>
  <c r="C2198" i="7"/>
  <c r="C2200" i="7" s="1"/>
  <c r="A2200" i="7" s="1"/>
  <c r="A2197" i="7"/>
  <c r="D2196" i="7"/>
  <c r="C2196" i="7"/>
  <c r="B2196" i="7"/>
  <c r="A2195" i="7"/>
  <c r="A2194" i="7"/>
  <c r="A2193" i="7"/>
  <c r="G2192" i="7"/>
  <c r="A2192" i="7"/>
  <c r="A2191" i="7"/>
  <c r="C2190" i="7"/>
  <c r="B2190" i="7"/>
  <c r="A2189" i="7"/>
  <c r="A2188" i="7"/>
  <c r="A2187" i="7"/>
  <c r="G2186" i="7"/>
  <c r="A2186" i="7"/>
  <c r="A2185" i="7"/>
  <c r="C2184" i="7"/>
  <c r="B2184" i="7"/>
  <c r="A2183" i="7"/>
  <c r="A2182" i="7"/>
  <c r="A2181" i="7"/>
  <c r="G2180" i="7"/>
  <c r="A2180" i="7"/>
  <c r="A2179" i="7"/>
  <c r="C2178" i="7"/>
  <c r="B2178" i="7"/>
  <c r="A2177" i="7"/>
  <c r="A2176" i="7"/>
  <c r="A2175" i="7"/>
  <c r="G2174" i="7"/>
  <c r="A2174" i="7"/>
  <c r="A2173" i="7"/>
  <c r="C2172" i="7"/>
  <c r="B2172" i="7"/>
  <c r="A2171" i="7"/>
  <c r="A2170" i="7"/>
  <c r="A2169" i="7"/>
  <c r="G2168" i="7"/>
  <c r="A2168" i="7"/>
  <c r="A2167" i="7"/>
  <c r="C2166" i="7"/>
  <c r="B2166" i="7"/>
  <c r="A2165" i="7"/>
  <c r="A2164" i="7"/>
  <c r="A2163" i="7"/>
  <c r="G2162" i="7"/>
  <c r="A2162" i="7"/>
  <c r="A2161" i="7"/>
  <c r="B2160" i="7"/>
  <c r="G2156" i="7"/>
  <c r="C2156" i="7"/>
  <c r="A2156" i="7" s="1"/>
  <c r="A2155" i="7"/>
  <c r="D2154" i="7"/>
  <c r="B2154" i="7"/>
  <c r="G2150" i="7"/>
  <c r="C2150" i="7"/>
  <c r="A2150" i="7" s="1"/>
  <c r="A2149" i="7"/>
  <c r="C2148" i="7"/>
  <c r="B2148" i="7"/>
  <c r="A2147" i="7"/>
  <c r="A2146" i="7"/>
  <c r="A2145" i="7"/>
  <c r="G2144" i="7"/>
  <c r="A2144" i="7"/>
  <c r="A2143" i="7"/>
  <c r="C2142" i="7"/>
  <c r="B2142" i="7"/>
  <c r="A2141" i="7"/>
  <c r="A2140" i="7"/>
  <c r="A2139" i="7"/>
  <c r="G2138" i="7"/>
  <c r="A2138" i="7"/>
  <c r="A2137" i="7"/>
  <c r="B2136" i="7"/>
  <c r="G2132" i="7"/>
  <c r="C2132" i="7"/>
  <c r="C2133" i="7" s="1"/>
  <c r="A2131" i="7"/>
  <c r="B2130" i="7"/>
  <c r="G2126" i="7"/>
  <c r="C2126" i="7"/>
  <c r="C2127" i="7" s="1"/>
  <c r="A2125" i="7"/>
  <c r="B2124" i="7"/>
  <c r="C2121" i="7"/>
  <c r="C2123" i="7" s="1"/>
  <c r="G2120" i="7"/>
  <c r="C2120" i="7"/>
  <c r="C2122" i="7" s="1"/>
  <c r="A2122" i="7" s="1"/>
  <c r="A2119" i="7"/>
  <c r="B2118" i="7"/>
  <c r="C2115" i="7"/>
  <c r="C2117" i="7" s="1"/>
  <c r="G2114" i="7"/>
  <c r="C2114" i="7"/>
  <c r="C2116" i="7" s="1"/>
  <c r="A2116" i="7" s="1"/>
  <c r="A2113" i="7"/>
  <c r="D2112" i="7"/>
  <c r="B2112" i="7"/>
  <c r="G2108" i="7"/>
  <c r="C2108" i="7"/>
  <c r="A2108" i="7" s="1"/>
  <c r="A2107" i="7"/>
  <c r="C2106" i="7"/>
  <c r="B2106" i="7"/>
  <c r="A2105" i="7"/>
  <c r="A2104" i="7"/>
  <c r="A2103" i="7"/>
  <c r="G2102" i="7"/>
  <c r="A2102" i="7"/>
  <c r="A2101" i="7"/>
  <c r="C2100" i="7"/>
  <c r="B2100" i="7"/>
  <c r="A2099" i="7"/>
  <c r="A2098" i="7"/>
  <c r="A2097" i="7"/>
  <c r="G2096" i="7"/>
  <c r="A2096" i="7"/>
  <c r="A2095" i="7"/>
  <c r="B2094" i="7"/>
  <c r="G2090" i="7"/>
  <c r="C2090" i="7"/>
  <c r="C2091" i="7" s="1"/>
  <c r="A2089" i="7"/>
  <c r="B2088" i="7"/>
  <c r="G2084" i="7"/>
  <c r="C2084" i="7"/>
  <c r="C2085" i="7" s="1"/>
  <c r="A2083" i="7"/>
  <c r="B2082" i="7"/>
  <c r="C2079" i="7"/>
  <c r="C2081" i="7" s="1"/>
  <c r="G2078" i="7"/>
  <c r="C2078" i="7"/>
  <c r="C2080" i="7" s="1"/>
  <c r="A2080" i="7" s="1"/>
  <c r="A2077" i="7"/>
  <c r="B2076" i="7"/>
  <c r="C2073" i="7"/>
  <c r="C2075" i="7" s="1"/>
  <c r="G2072" i="7"/>
  <c r="C2072" i="7"/>
  <c r="C2074" i="7" s="1"/>
  <c r="A2074" i="7" s="1"/>
  <c r="A2071" i="7"/>
  <c r="D2070" i="7"/>
  <c r="B2070" i="7"/>
  <c r="G2066" i="7"/>
  <c r="C2066" i="7"/>
  <c r="A2066" i="7" s="1"/>
  <c r="A2065" i="7"/>
  <c r="C2064" i="7"/>
  <c r="B2064" i="7"/>
  <c r="A2063" i="7"/>
  <c r="A2062" i="7"/>
  <c r="A2061" i="7"/>
  <c r="G2060" i="7"/>
  <c r="A2060" i="7"/>
  <c r="A2059" i="7"/>
  <c r="C2058" i="7"/>
  <c r="B2058" i="7"/>
  <c r="A2057" i="7"/>
  <c r="A2056" i="7"/>
  <c r="A2055" i="7"/>
  <c r="G2054" i="7"/>
  <c r="A2054" i="7"/>
  <c r="A2053" i="7"/>
  <c r="B2052" i="7"/>
  <c r="G2048" i="7"/>
  <c r="C2048" i="7"/>
  <c r="C2049" i="7" s="1"/>
  <c r="A2047" i="7"/>
  <c r="B2046" i="7"/>
  <c r="G2042" i="7"/>
  <c r="C2042" i="7"/>
  <c r="C2043" i="7" s="1"/>
  <c r="A2041" i="7"/>
  <c r="B2040" i="7"/>
  <c r="C2037" i="7"/>
  <c r="C2039" i="7" s="1"/>
  <c r="G2036" i="7"/>
  <c r="C2036" i="7"/>
  <c r="C2038" i="7" s="1"/>
  <c r="A2038" i="7" s="1"/>
  <c r="A2035" i="7"/>
  <c r="B2034" i="7"/>
  <c r="C2031" i="7"/>
  <c r="C2033" i="7" s="1"/>
  <c r="G2030" i="7"/>
  <c r="C2030" i="7"/>
  <c r="C2032" i="7" s="1"/>
  <c r="A2032" i="7" s="1"/>
  <c r="A2029" i="7"/>
  <c r="D2028" i="7"/>
  <c r="C2028" i="7"/>
  <c r="B2028" i="7"/>
  <c r="A2027" i="7"/>
  <c r="A2026" i="7"/>
  <c r="A2025" i="7"/>
  <c r="G2024" i="7"/>
  <c r="A2024" i="7"/>
  <c r="A2023" i="7"/>
  <c r="C2022" i="7"/>
  <c r="B2022" i="7"/>
  <c r="A2021" i="7"/>
  <c r="A2020" i="7"/>
  <c r="A2019" i="7"/>
  <c r="G2018" i="7"/>
  <c r="A2018" i="7"/>
  <c r="A2017" i="7"/>
  <c r="C2016" i="7"/>
  <c r="B2016" i="7"/>
  <c r="A2015" i="7"/>
  <c r="A2014" i="7"/>
  <c r="A2013" i="7"/>
  <c r="G2012" i="7"/>
  <c r="A2012" i="7"/>
  <c r="A2011" i="7"/>
  <c r="C2010" i="7"/>
  <c r="B2010" i="7"/>
  <c r="A2009" i="7"/>
  <c r="A2008" i="7"/>
  <c r="A2007" i="7"/>
  <c r="G2006" i="7"/>
  <c r="A2006" i="7"/>
  <c r="A2005" i="7"/>
  <c r="C2004" i="7"/>
  <c r="B2004" i="7"/>
  <c r="A2003" i="7"/>
  <c r="A2002" i="7"/>
  <c r="A2001" i="7"/>
  <c r="G2000" i="7"/>
  <c r="A2000" i="7"/>
  <c r="A1999" i="7"/>
  <c r="C1998" i="7"/>
  <c r="B1998" i="7"/>
  <c r="A1997" i="7"/>
  <c r="A1996" i="7"/>
  <c r="A1995" i="7"/>
  <c r="G1994" i="7"/>
  <c r="A1994" i="7"/>
  <c r="A1993" i="7"/>
  <c r="C1992" i="7"/>
  <c r="B1992" i="7"/>
  <c r="A1991" i="7"/>
  <c r="A1990" i="7"/>
  <c r="A1989" i="7"/>
  <c r="G1988" i="7"/>
  <c r="A1988" i="7"/>
  <c r="A1987" i="7"/>
  <c r="D1986" i="7"/>
  <c r="C1986" i="7"/>
  <c r="B1986" i="7"/>
  <c r="A1985" i="7"/>
  <c r="A1984" i="7"/>
  <c r="A1983" i="7"/>
  <c r="G1982" i="7"/>
  <c r="A1982" i="7"/>
  <c r="A1981" i="7"/>
  <c r="D1980" i="7"/>
  <c r="C1980" i="7"/>
  <c r="B1980" i="7"/>
  <c r="A1979" i="7"/>
  <c r="A1978" i="7"/>
  <c r="A1977" i="7"/>
  <c r="D1976" i="7"/>
  <c r="C1976" i="7"/>
  <c r="B1976" i="7"/>
  <c r="A1975" i="7"/>
  <c r="A1974" i="7"/>
  <c r="A1973" i="7"/>
  <c r="D1972" i="7"/>
  <c r="C1972" i="7"/>
  <c r="B1972" i="7"/>
  <c r="A1971" i="7"/>
  <c r="A1970" i="7"/>
  <c r="G1969" i="7"/>
  <c r="A1969" i="7"/>
  <c r="A1968" i="7"/>
  <c r="G1967" i="7"/>
  <c r="G1968" i="7" s="1"/>
  <c r="A1967" i="7"/>
  <c r="D1966" i="7"/>
  <c r="C1966" i="7"/>
  <c r="B1966" i="7"/>
  <c r="A1965" i="7"/>
  <c r="A1964" i="7"/>
  <c r="G1963" i="7"/>
  <c r="A1963" i="7"/>
  <c r="A1962" i="7"/>
  <c r="G1961" i="7"/>
  <c r="G1962" i="7" s="1"/>
  <c r="A1961" i="7"/>
  <c r="D1960" i="7"/>
  <c r="C1960" i="7"/>
  <c r="B1960" i="7"/>
  <c r="A1959" i="7"/>
  <c r="A1958" i="7"/>
  <c r="G1957" i="7"/>
  <c r="A1957" i="7"/>
  <c r="A1956" i="7"/>
  <c r="G1955" i="7"/>
  <c r="G1956" i="7" s="1"/>
  <c r="A1955" i="7"/>
  <c r="D1954" i="7"/>
  <c r="C1954" i="7"/>
  <c r="B1954" i="7"/>
  <c r="A1953" i="7"/>
  <c r="A1952" i="7"/>
  <c r="G1951" i="7"/>
  <c r="A1951" i="7"/>
  <c r="A1950" i="7"/>
  <c r="G1949" i="7"/>
  <c r="G1950" i="7" s="1"/>
  <c r="A1949" i="7"/>
  <c r="D1948" i="7"/>
  <c r="C1948" i="7"/>
  <c r="B1948" i="7"/>
  <c r="A1947" i="7"/>
  <c r="A1946" i="7"/>
  <c r="A1945" i="7"/>
  <c r="D1944" i="7"/>
  <c r="C1944" i="7"/>
  <c r="B1944" i="7"/>
  <c r="A1943" i="7"/>
  <c r="A1942" i="7"/>
  <c r="A1941" i="7"/>
  <c r="D1940" i="7"/>
  <c r="C1940" i="7"/>
  <c r="B1940" i="7"/>
  <c r="A1939" i="7"/>
  <c r="A1938" i="7"/>
  <c r="D1937" i="7"/>
  <c r="C1937" i="7"/>
  <c r="B1937" i="7"/>
  <c r="A1936" i="7"/>
  <c r="A1935" i="7"/>
  <c r="G1934" i="7"/>
  <c r="A1934" i="7"/>
  <c r="G1933" i="7"/>
  <c r="A1933" i="7"/>
  <c r="A1932" i="7"/>
  <c r="A1931" i="7"/>
  <c r="A1930" i="7"/>
  <c r="A1929" i="7"/>
  <c r="C1928" i="7"/>
  <c r="B1928" i="7"/>
  <c r="G1927" i="7"/>
  <c r="A1927" i="7"/>
  <c r="A1926" i="7"/>
  <c r="G1925" i="7"/>
  <c r="A1925" i="7"/>
  <c r="A1924" i="7"/>
  <c r="A1923" i="7"/>
  <c r="A1922" i="7"/>
  <c r="A1921" i="7"/>
  <c r="A1920" i="7"/>
  <c r="A1919" i="7"/>
  <c r="A1918" i="7"/>
  <c r="D1917" i="7"/>
  <c r="C1917" i="7"/>
  <c r="B1917" i="7"/>
  <c r="A1916" i="7"/>
  <c r="A1915" i="7"/>
  <c r="A1914" i="7"/>
  <c r="G1913" i="7"/>
  <c r="A1913" i="7"/>
  <c r="A1912" i="7"/>
  <c r="A1911" i="7"/>
  <c r="A1910" i="7"/>
  <c r="A1909" i="7"/>
  <c r="A1908" i="7"/>
  <c r="A1907" i="7"/>
  <c r="A1906" i="7"/>
  <c r="A1905" i="7"/>
  <c r="A1904" i="7"/>
  <c r="D1903" i="7"/>
  <c r="A1903" i="7" s="1"/>
  <c r="G1902" i="7"/>
  <c r="A1902" i="7"/>
  <c r="A1901" i="7"/>
  <c r="G1900" i="7"/>
  <c r="A1900" i="7"/>
  <c r="A1899" i="7"/>
  <c r="A1898" i="7"/>
  <c r="A1897" i="7"/>
  <c r="A1896" i="7"/>
  <c r="A1895" i="7"/>
  <c r="A1894" i="7"/>
  <c r="A1893" i="7"/>
  <c r="A1892" i="7"/>
  <c r="A1891" i="7"/>
  <c r="A1890" i="7"/>
  <c r="A1889" i="7"/>
  <c r="A1888" i="7"/>
  <c r="A1887" i="7"/>
  <c r="A1886" i="7"/>
  <c r="D1885" i="7"/>
  <c r="C1885" i="7"/>
  <c r="B1885" i="7"/>
  <c r="G1884" i="7"/>
  <c r="A1884" i="7"/>
  <c r="A1883" i="7"/>
  <c r="G1882" i="7"/>
  <c r="A1882" i="7"/>
  <c r="A1881" i="7"/>
  <c r="A1880" i="7"/>
  <c r="A1879" i="7"/>
  <c r="A1878" i="7"/>
  <c r="D1877" i="7"/>
  <c r="C1877" i="7"/>
  <c r="B1877" i="7"/>
  <c r="G1876" i="7"/>
  <c r="A1876" i="7"/>
  <c r="A1875" i="7"/>
  <c r="G1874" i="7"/>
  <c r="A1874" i="7"/>
  <c r="A1873" i="7"/>
  <c r="A1872" i="7"/>
  <c r="A1871" i="7"/>
  <c r="A1870" i="7"/>
  <c r="D1869" i="7"/>
  <c r="C1869" i="7"/>
  <c r="B1869" i="7"/>
  <c r="A1868" i="7"/>
  <c r="A1867" i="7"/>
  <c r="A1866" i="7"/>
  <c r="A1865" i="7"/>
  <c r="A1864" i="7"/>
  <c r="G1866" i="7"/>
  <c r="A1863" i="7"/>
  <c r="G1862" i="7"/>
  <c r="A1862" i="7"/>
  <c r="A1861" i="7"/>
  <c r="A1859" i="7"/>
  <c r="A1858" i="7"/>
  <c r="A1857" i="7"/>
  <c r="A1856" i="7"/>
  <c r="A1855" i="7"/>
  <c r="A1854" i="7"/>
  <c r="A1853" i="7"/>
  <c r="A1852" i="7"/>
  <c r="A1851" i="7"/>
  <c r="D1850" i="7"/>
  <c r="C1850" i="7"/>
  <c r="B1850" i="7"/>
  <c r="A1849" i="7"/>
  <c r="A1848" i="7"/>
  <c r="A1847" i="7"/>
  <c r="A1846" i="7"/>
  <c r="A1845" i="7"/>
  <c r="G1847" i="7"/>
  <c r="A1844" i="7"/>
  <c r="G1843" i="7"/>
  <c r="A1843" i="7"/>
  <c r="A1842" i="7"/>
  <c r="A1840" i="7"/>
  <c r="A1839" i="7"/>
  <c r="A1838" i="7"/>
  <c r="A1837" i="7"/>
  <c r="A1836" i="7"/>
  <c r="A1835" i="7"/>
  <c r="A1834" i="7"/>
  <c r="A1833" i="7"/>
  <c r="A1832" i="7"/>
  <c r="D1831" i="7"/>
  <c r="C1831" i="7"/>
  <c r="B1831" i="7"/>
  <c r="A1830" i="7"/>
  <c r="A1829" i="7"/>
  <c r="A1828" i="7"/>
  <c r="A1827" i="7"/>
  <c r="A1826" i="7"/>
  <c r="G1828" i="7"/>
  <c r="A1825" i="7"/>
  <c r="G1824" i="7"/>
  <c r="A1824" i="7"/>
  <c r="A1823" i="7"/>
  <c r="A1821" i="7"/>
  <c r="A1820" i="7"/>
  <c r="A1819" i="7"/>
  <c r="A1818" i="7"/>
  <c r="A1817" i="7"/>
  <c r="A1816" i="7"/>
  <c r="A1815" i="7"/>
  <c r="A1814" i="7"/>
  <c r="A1813" i="7"/>
  <c r="D1812" i="7"/>
  <c r="C1812" i="7"/>
  <c r="B1812" i="7"/>
  <c r="A1811" i="7"/>
  <c r="A1810" i="7"/>
  <c r="A1809" i="7"/>
  <c r="A1808" i="7"/>
  <c r="A1807" i="7"/>
  <c r="G1809" i="7"/>
  <c r="A1806" i="7"/>
  <c r="G1805" i="7"/>
  <c r="A1805" i="7"/>
  <c r="A1804" i="7"/>
  <c r="A1802" i="7"/>
  <c r="A1801" i="7"/>
  <c r="A1800" i="7"/>
  <c r="A1799" i="7"/>
  <c r="A1798" i="7"/>
  <c r="A1797" i="7"/>
  <c r="A1796" i="7"/>
  <c r="A1795" i="7"/>
  <c r="A1794" i="7"/>
  <c r="D1793" i="7"/>
  <c r="C1793" i="7"/>
  <c r="B1793" i="7"/>
  <c r="A1792" i="7"/>
  <c r="A1791" i="7"/>
  <c r="A1790" i="7"/>
  <c r="A1789" i="7"/>
  <c r="A1788" i="7"/>
  <c r="G1790" i="7"/>
  <c r="A1787" i="7"/>
  <c r="G1786" i="7"/>
  <c r="A1786" i="7"/>
  <c r="A1785" i="7"/>
  <c r="A1783" i="7"/>
  <c r="A1782" i="7"/>
  <c r="A1781" i="7"/>
  <c r="A1780" i="7"/>
  <c r="A1779" i="7"/>
  <c r="A1778" i="7"/>
  <c r="A1777" i="7"/>
  <c r="A1776" i="7"/>
  <c r="A1775" i="7"/>
  <c r="D1774" i="7"/>
  <c r="C1774" i="7"/>
  <c r="B1774" i="7"/>
  <c r="A1773" i="7"/>
  <c r="A1772" i="7"/>
  <c r="A1771" i="7"/>
  <c r="A1770" i="7"/>
  <c r="A1769" i="7"/>
  <c r="G1771" i="7"/>
  <c r="A1768" i="7"/>
  <c r="G1767" i="7"/>
  <c r="A1767" i="7"/>
  <c r="A1766" i="7"/>
  <c r="A1764" i="7"/>
  <c r="A1763" i="7"/>
  <c r="A1762" i="7"/>
  <c r="A1761" i="7"/>
  <c r="A1760" i="7"/>
  <c r="A1759" i="7"/>
  <c r="A1758" i="7"/>
  <c r="A1757" i="7"/>
  <c r="A1756" i="7"/>
  <c r="D1755" i="7"/>
  <c r="C1755" i="7"/>
  <c r="B1755" i="7"/>
  <c r="A1754" i="7"/>
  <c r="A1753" i="7"/>
  <c r="A1752" i="7"/>
  <c r="A1751" i="7"/>
  <c r="A1750" i="7"/>
  <c r="G1752" i="7"/>
  <c r="A1749" i="7"/>
  <c r="G1748" i="7"/>
  <c r="A1748" i="7"/>
  <c r="A1747" i="7"/>
  <c r="A1745" i="7"/>
  <c r="A1744" i="7"/>
  <c r="A1743" i="7"/>
  <c r="A1742" i="7"/>
  <c r="A1741" i="7"/>
  <c r="A1740" i="7"/>
  <c r="A1739" i="7"/>
  <c r="A1738" i="7"/>
  <c r="A1737" i="7"/>
  <c r="D1736" i="7"/>
  <c r="C1736" i="7"/>
  <c r="B1736" i="7"/>
  <c r="A1735" i="7"/>
  <c r="A1734" i="7"/>
  <c r="A1733" i="7"/>
  <c r="A1732" i="7"/>
  <c r="A1731" i="7"/>
  <c r="G1733" i="7"/>
  <c r="A1730" i="7"/>
  <c r="G1729" i="7"/>
  <c r="A1729" i="7"/>
  <c r="A1728" i="7"/>
  <c r="A1726" i="7"/>
  <c r="A1725" i="7"/>
  <c r="A1724" i="7"/>
  <c r="A1723" i="7"/>
  <c r="A1722" i="7"/>
  <c r="A1721" i="7"/>
  <c r="A1720" i="7"/>
  <c r="A1719" i="7"/>
  <c r="A1718" i="7"/>
  <c r="D1717" i="7"/>
  <c r="C1717" i="7"/>
  <c r="B1717" i="7"/>
  <c r="A1716" i="7"/>
  <c r="A1715" i="7"/>
  <c r="A1714" i="7"/>
  <c r="G1714" i="7"/>
  <c r="A1713" i="7"/>
  <c r="A1712" i="7"/>
  <c r="A1710" i="7"/>
  <c r="A1709" i="7"/>
  <c r="A1708" i="7"/>
  <c r="A1707" i="7"/>
  <c r="D1706" i="7"/>
  <c r="C1706" i="7"/>
  <c r="B1706" i="7"/>
  <c r="A1705" i="7"/>
  <c r="A1704" i="7"/>
  <c r="A1703" i="7"/>
  <c r="G1703" i="7"/>
  <c r="A1702" i="7"/>
  <c r="A1701" i="7"/>
  <c r="A1699" i="7"/>
  <c r="A1698" i="7"/>
  <c r="A1697" i="7"/>
  <c r="A1696" i="7"/>
  <c r="D1695" i="7"/>
  <c r="C1695" i="7"/>
  <c r="B1695" i="7"/>
  <c r="A1694" i="7"/>
  <c r="A1693" i="7"/>
  <c r="A1692" i="7"/>
  <c r="G1692" i="7"/>
  <c r="A1691" i="7"/>
  <c r="A1690" i="7"/>
  <c r="A1688" i="7"/>
  <c r="A1687" i="7"/>
  <c r="A1686" i="7"/>
  <c r="A1685" i="7"/>
  <c r="D1684" i="7"/>
  <c r="C1684" i="7"/>
  <c r="B1684" i="7"/>
  <c r="A1683" i="7"/>
  <c r="A1682" i="7"/>
  <c r="A1681" i="7"/>
  <c r="G1681" i="7"/>
  <c r="A1680" i="7"/>
  <c r="A1679" i="7"/>
  <c r="A1677" i="7"/>
  <c r="A1676" i="7"/>
  <c r="A1675" i="7"/>
  <c r="A1674" i="7"/>
  <c r="D1673" i="7"/>
  <c r="C1673" i="7"/>
  <c r="B1673" i="7"/>
  <c r="A1672" i="7"/>
  <c r="A1671" i="7"/>
  <c r="A1670" i="7"/>
  <c r="G1670" i="7"/>
  <c r="A1669" i="7"/>
  <c r="A1668" i="7"/>
  <c r="A1666" i="7"/>
  <c r="A1665" i="7"/>
  <c r="A1664" i="7"/>
  <c r="A1663" i="7"/>
  <c r="D1662" i="7"/>
  <c r="C1662" i="7"/>
  <c r="B1662" i="7"/>
  <c r="A1661" i="7"/>
  <c r="A1660" i="7"/>
  <c r="A1659" i="7"/>
  <c r="G1659" i="7"/>
  <c r="A1658" i="7"/>
  <c r="A1657" i="7"/>
  <c r="A1655" i="7"/>
  <c r="A1654" i="7"/>
  <c r="A1653" i="7"/>
  <c r="A1652" i="7"/>
  <c r="D1651" i="7"/>
  <c r="C1651" i="7"/>
  <c r="B1651" i="7"/>
  <c r="A1650" i="7"/>
  <c r="A1649" i="7"/>
  <c r="A1648" i="7"/>
  <c r="G1648" i="7"/>
  <c r="A1647" i="7"/>
  <c r="A1646" i="7"/>
  <c r="A1644" i="7"/>
  <c r="A1643" i="7"/>
  <c r="A1642" i="7"/>
  <c r="A1641" i="7"/>
  <c r="D1640" i="7"/>
  <c r="C1640" i="7"/>
  <c r="B1640" i="7"/>
  <c r="A1639" i="7"/>
  <c r="A1638" i="7"/>
  <c r="A1637" i="7"/>
  <c r="G1637" i="7"/>
  <c r="A1636" i="7"/>
  <c r="A1635" i="7"/>
  <c r="A1633" i="7"/>
  <c r="A1632" i="7"/>
  <c r="A1631" i="7"/>
  <c r="A1630" i="7"/>
  <c r="D1629" i="7"/>
  <c r="C1629" i="7"/>
  <c r="B1629" i="7"/>
  <c r="A1628" i="7"/>
  <c r="A1627" i="7"/>
  <c r="A1626" i="7"/>
  <c r="G1626" i="7"/>
  <c r="A1625" i="7"/>
  <c r="A1624" i="7"/>
  <c r="A1622" i="7"/>
  <c r="A1621" i="7"/>
  <c r="A1620" i="7"/>
  <c r="A1619" i="7"/>
  <c r="D1618" i="7"/>
  <c r="C1618" i="7"/>
  <c r="B1618" i="7"/>
  <c r="A1617" i="7"/>
  <c r="A1616" i="7"/>
  <c r="A1615" i="7"/>
  <c r="G1615" i="7"/>
  <c r="A1614" i="7"/>
  <c r="A1613" i="7"/>
  <c r="A1611" i="7"/>
  <c r="A1610" i="7"/>
  <c r="A1609" i="7"/>
  <c r="A1608" i="7"/>
  <c r="D1607" i="7"/>
  <c r="C1607" i="7"/>
  <c r="B1607" i="7"/>
  <c r="A1606" i="7"/>
  <c r="A1605" i="7"/>
  <c r="A1604" i="7"/>
  <c r="A1603" i="7"/>
  <c r="A1602" i="7"/>
  <c r="A1600" i="7"/>
  <c r="A1599" i="7"/>
  <c r="A1598" i="7"/>
  <c r="A1597" i="7"/>
  <c r="D1596" i="7"/>
  <c r="C1596" i="7"/>
  <c r="B1596" i="7"/>
  <c r="A1595" i="7"/>
  <c r="A1594" i="7"/>
  <c r="A1593" i="7"/>
  <c r="G1593" i="7"/>
  <c r="A1592" i="7"/>
  <c r="A1591" i="7"/>
  <c r="A1589" i="7"/>
  <c r="A1588" i="7"/>
  <c r="A1587" i="7"/>
  <c r="A1586" i="7"/>
  <c r="D1585" i="7"/>
  <c r="C1585" i="7"/>
  <c r="B1585" i="7"/>
  <c r="A1584" i="7"/>
  <c r="A1583" i="7"/>
  <c r="A1582" i="7"/>
  <c r="A1581" i="7"/>
  <c r="G1578" i="7"/>
  <c r="G1576" i="7" s="1"/>
  <c r="A1580" i="7"/>
  <c r="A1579" i="7"/>
  <c r="A1578" i="7"/>
  <c r="G1577" i="7"/>
  <c r="A1577" i="7"/>
  <c r="A1576" i="7"/>
  <c r="A1574" i="7"/>
  <c r="A1573" i="7"/>
  <c r="A1572" i="7"/>
  <c r="A1571" i="7"/>
  <c r="A1570" i="7"/>
  <c r="A1569" i="7"/>
  <c r="A1568" i="7"/>
  <c r="A1567" i="7"/>
  <c r="A1566" i="7"/>
  <c r="D1565" i="7"/>
  <c r="C1565" i="7"/>
  <c r="B1565" i="7"/>
  <c r="A1564" i="7"/>
  <c r="A1563" i="7"/>
  <c r="A1562" i="7"/>
  <c r="A1561" i="7"/>
  <c r="G1561" i="7"/>
  <c r="A1560" i="7"/>
  <c r="A1559" i="7"/>
  <c r="A1558" i="7"/>
  <c r="G1557" i="7"/>
  <c r="A1557" i="7"/>
  <c r="A1556" i="7"/>
  <c r="A1554" i="7"/>
  <c r="A1553" i="7"/>
  <c r="A1552" i="7"/>
  <c r="A1551" i="7"/>
  <c r="A1550" i="7"/>
  <c r="A1549" i="7"/>
  <c r="A1548" i="7"/>
  <c r="A1547" i="7"/>
  <c r="A1546" i="7"/>
  <c r="D1545" i="7"/>
  <c r="C1545" i="7"/>
  <c r="B1545" i="7"/>
  <c r="A1544" i="7"/>
  <c r="A1543" i="7"/>
  <c r="A1542" i="7"/>
  <c r="A1541" i="7"/>
  <c r="G1538" i="7"/>
  <c r="G1536" i="7" s="1"/>
  <c r="A1540" i="7"/>
  <c r="A1539" i="7"/>
  <c r="A1538" i="7"/>
  <c r="G1537" i="7"/>
  <c r="A1537" i="7"/>
  <c r="A1536" i="7"/>
  <c r="A1534" i="7"/>
  <c r="A1533" i="7"/>
  <c r="A1532" i="7"/>
  <c r="A1531" i="7"/>
  <c r="A1530" i="7"/>
  <c r="A1529" i="7"/>
  <c r="A1528" i="7"/>
  <c r="A1527" i="7"/>
  <c r="A1526" i="7"/>
  <c r="D1525" i="7"/>
  <c r="C1525" i="7"/>
  <c r="B1525" i="7"/>
  <c r="A1524" i="7"/>
  <c r="A1523" i="7"/>
  <c r="A1522" i="7"/>
  <c r="A1521" i="7"/>
  <c r="G1518" i="7"/>
  <c r="G1516" i="7" s="1"/>
  <c r="A1520" i="7"/>
  <c r="A1519" i="7"/>
  <c r="A1518" i="7"/>
  <c r="G1517" i="7"/>
  <c r="A1517" i="7"/>
  <c r="A1516" i="7"/>
  <c r="A1514" i="7"/>
  <c r="A1513" i="7"/>
  <c r="A1512" i="7"/>
  <c r="A1511" i="7"/>
  <c r="A1510" i="7"/>
  <c r="A1509" i="7"/>
  <c r="A1508" i="7"/>
  <c r="A1507" i="7"/>
  <c r="A1506" i="7"/>
  <c r="D1505" i="7"/>
  <c r="C1505" i="7"/>
  <c r="B1505" i="7"/>
  <c r="A1504" i="7"/>
  <c r="A1503" i="7"/>
  <c r="A1502" i="7"/>
  <c r="A1501" i="7"/>
  <c r="G1498" i="7"/>
  <c r="G1496" i="7" s="1"/>
  <c r="A1500" i="7"/>
  <c r="A1499" i="7"/>
  <c r="A1498" i="7"/>
  <c r="G1497" i="7"/>
  <c r="A1497" i="7"/>
  <c r="A1496" i="7"/>
  <c r="A1494" i="7"/>
  <c r="A1493" i="7"/>
  <c r="A1492" i="7"/>
  <c r="A1491" i="7"/>
  <c r="A1490" i="7"/>
  <c r="A1489" i="7"/>
  <c r="A1488" i="7"/>
  <c r="A1487" i="7"/>
  <c r="A1486" i="7"/>
  <c r="D1485" i="7"/>
  <c r="C1485" i="7"/>
  <c r="B1485" i="7"/>
  <c r="A1484" i="7"/>
  <c r="A1483" i="7"/>
  <c r="A1482" i="7"/>
  <c r="A1481" i="7"/>
  <c r="G1478" i="7"/>
  <c r="G1476" i="7" s="1"/>
  <c r="A1480" i="7"/>
  <c r="A1479" i="7"/>
  <c r="A1478" i="7"/>
  <c r="G1477" i="7"/>
  <c r="A1477" i="7"/>
  <c r="A1476" i="7"/>
  <c r="A1474" i="7"/>
  <c r="A1473" i="7"/>
  <c r="A1472" i="7"/>
  <c r="A1471" i="7"/>
  <c r="A1470" i="7"/>
  <c r="A1469" i="7"/>
  <c r="A1468" i="7"/>
  <c r="A1467" i="7"/>
  <c r="A1466" i="7"/>
  <c r="D1465" i="7"/>
  <c r="C1465" i="7"/>
  <c r="B1465" i="7"/>
  <c r="A1464" i="7"/>
  <c r="A1463" i="7"/>
  <c r="A1462" i="7"/>
  <c r="A1461" i="7"/>
  <c r="G1458" i="7"/>
  <c r="G1456" i="7" s="1"/>
  <c r="A1460" i="7"/>
  <c r="A1459" i="7"/>
  <c r="A1458" i="7"/>
  <c r="G1457" i="7"/>
  <c r="A1457" i="7"/>
  <c r="A1456" i="7"/>
  <c r="A1454" i="7"/>
  <c r="A1453" i="7"/>
  <c r="A1452" i="7"/>
  <c r="A1451" i="7"/>
  <c r="A1450" i="7"/>
  <c r="A1449" i="7"/>
  <c r="A1448" i="7"/>
  <c r="A1447" i="7"/>
  <c r="A1446" i="7"/>
  <c r="D1445" i="7"/>
  <c r="C1445" i="7"/>
  <c r="B1445" i="7"/>
  <c r="A1444" i="7"/>
  <c r="A1443" i="7"/>
  <c r="A1442" i="7"/>
  <c r="A1441" i="7"/>
  <c r="G1438" i="7"/>
  <c r="G1436" i="7" s="1"/>
  <c r="A1440" i="7"/>
  <c r="A1439" i="7"/>
  <c r="A1438" i="7"/>
  <c r="G1437" i="7"/>
  <c r="A1437" i="7"/>
  <c r="A1436" i="7"/>
  <c r="A1434" i="7"/>
  <c r="A1433" i="7"/>
  <c r="A1432" i="7"/>
  <c r="A1431" i="7"/>
  <c r="A1430" i="7"/>
  <c r="A1429" i="7"/>
  <c r="A1428" i="7"/>
  <c r="A1427" i="7"/>
  <c r="A1426" i="7"/>
  <c r="D1425" i="7"/>
  <c r="C1425" i="7"/>
  <c r="B1425" i="7"/>
  <c r="A1424" i="7"/>
  <c r="A1423" i="7"/>
  <c r="G1422" i="7"/>
  <c r="A1422" i="7"/>
  <c r="G1421" i="7"/>
  <c r="A1421" i="7"/>
  <c r="A1420" i="7"/>
  <c r="A1415" i="7"/>
  <c r="A1414" i="7"/>
  <c r="A1413" i="7"/>
  <c r="A1412" i="7"/>
  <c r="A1411" i="7"/>
  <c r="A1410" i="7"/>
  <c r="A1409" i="7"/>
  <c r="D1408" i="7"/>
  <c r="C1408" i="7"/>
  <c r="B1408" i="7"/>
  <c r="A1407" i="7"/>
  <c r="A1406" i="7"/>
  <c r="A1405" i="7"/>
  <c r="G1404" i="7"/>
  <c r="A1404" i="7"/>
  <c r="G1403" i="7"/>
  <c r="A1403" i="7"/>
  <c r="A1402" i="7"/>
  <c r="A1397" i="7"/>
  <c r="A1396" i="7"/>
  <c r="A1395" i="7"/>
  <c r="A1394" i="7"/>
  <c r="A1393" i="7"/>
  <c r="A1392" i="7"/>
  <c r="A1391" i="7"/>
  <c r="D1390" i="7"/>
  <c r="C1390" i="7"/>
  <c r="B1390" i="7"/>
  <c r="A1389" i="7"/>
  <c r="A1388" i="7"/>
  <c r="G1387" i="7"/>
  <c r="A1387" i="7"/>
  <c r="G1386" i="7"/>
  <c r="A1386" i="7"/>
  <c r="A1385" i="7"/>
  <c r="A1380" i="7"/>
  <c r="A1379" i="7"/>
  <c r="A1378" i="7"/>
  <c r="A1377" i="7"/>
  <c r="A1376" i="7"/>
  <c r="A1375" i="7"/>
  <c r="A1374" i="7"/>
  <c r="D1373" i="7"/>
  <c r="C1373" i="7"/>
  <c r="B1373" i="7"/>
  <c r="A1372" i="7"/>
  <c r="A1371" i="7"/>
  <c r="G1370" i="7"/>
  <c r="A1370" i="7"/>
  <c r="G1369" i="7"/>
  <c r="A1369" i="7"/>
  <c r="A1368" i="7"/>
  <c r="A1367" i="7"/>
  <c r="A1366" i="7"/>
  <c r="A1365" i="7"/>
  <c r="A1364" i="7"/>
  <c r="A1363" i="7"/>
  <c r="A1362" i="7"/>
  <c r="A1361" i="7"/>
  <c r="D1360" i="7"/>
  <c r="C1360" i="7"/>
  <c r="B1360" i="7"/>
  <c r="A1359" i="7"/>
  <c r="A1358" i="7"/>
  <c r="G1357" i="7"/>
  <c r="A1357" i="7"/>
  <c r="G1356" i="7"/>
  <c r="A1356" i="7"/>
  <c r="A1355" i="7"/>
  <c r="A1354" i="7"/>
  <c r="A1353" i="7"/>
  <c r="A1352" i="7"/>
  <c r="A1351" i="7"/>
  <c r="A1350" i="7"/>
  <c r="A1349" i="7"/>
  <c r="A1348" i="7"/>
  <c r="D1347" i="7"/>
  <c r="C1347" i="7"/>
  <c r="B1347" i="7"/>
  <c r="A1346" i="7"/>
  <c r="A1345" i="7"/>
  <c r="G1344" i="7"/>
  <c r="A1344" i="7"/>
  <c r="A1343" i="7"/>
  <c r="A1342" i="7"/>
  <c r="A1341" i="7"/>
  <c r="A1340" i="7"/>
  <c r="A1339" i="7"/>
  <c r="A1338" i="7"/>
  <c r="A1337" i="7"/>
  <c r="D1336" i="7"/>
  <c r="C1336" i="7"/>
  <c r="B1336" i="7"/>
  <c r="A1335" i="7"/>
  <c r="A1334" i="7"/>
  <c r="G1333" i="7"/>
  <c r="A1333" i="7"/>
  <c r="A1332" i="7"/>
  <c r="A1331" i="7"/>
  <c r="A1330" i="7"/>
  <c r="A1329" i="7"/>
  <c r="A1328" i="7"/>
  <c r="A1327" i="7"/>
  <c r="A1326" i="7"/>
  <c r="D1325" i="7"/>
  <c r="C1325" i="7"/>
  <c r="B1325" i="7"/>
  <c r="A1324" i="7"/>
  <c r="A1323" i="7"/>
  <c r="G1322" i="7"/>
  <c r="A1322" i="7"/>
  <c r="A1321" i="7"/>
  <c r="A1320" i="7"/>
  <c r="A1319" i="7"/>
  <c r="A1318" i="7"/>
  <c r="A1317" i="7"/>
  <c r="A1316" i="7"/>
  <c r="A1315" i="7"/>
  <c r="D1314" i="7"/>
  <c r="C1314" i="7"/>
  <c r="B1314" i="7"/>
  <c r="G1313" i="7"/>
  <c r="A1313" i="7"/>
  <c r="A1312" i="7"/>
  <c r="A1311" i="7"/>
  <c r="A1310" i="7"/>
  <c r="A1309" i="7"/>
  <c r="A1308" i="7"/>
  <c r="A1307" i="7"/>
  <c r="A1304" i="7"/>
  <c r="G1303" i="7"/>
  <c r="G1311" i="7" s="1"/>
  <c r="A1303" i="7"/>
  <c r="A1302" i="7"/>
  <c r="A1301" i="7"/>
  <c r="G1300" i="7"/>
  <c r="A1300" i="7"/>
  <c r="G1299" i="7"/>
  <c r="A1299" i="7"/>
  <c r="A1298" i="7"/>
  <c r="A1297" i="7"/>
  <c r="A1296" i="7"/>
  <c r="D1295" i="7"/>
  <c r="C1295" i="7"/>
  <c r="B1295" i="7"/>
  <c r="A1294" i="7"/>
  <c r="A1293" i="7"/>
  <c r="A1292" i="7"/>
  <c r="A1291" i="7"/>
  <c r="A1290" i="7"/>
  <c r="A1289" i="7"/>
  <c r="A1288" i="7"/>
  <c r="A1285" i="7"/>
  <c r="G1284" i="7"/>
  <c r="G1292" i="7" s="1"/>
  <c r="A1284" i="7"/>
  <c r="A1283" i="7"/>
  <c r="A1282" i="7"/>
  <c r="G1281" i="7"/>
  <c r="A1281" i="7"/>
  <c r="G1280" i="7"/>
  <c r="A1280" i="7"/>
  <c r="A1279" i="7"/>
  <c r="A1278" i="7"/>
  <c r="A1277" i="7"/>
  <c r="D1276" i="7"/>
  <c r="C1276" i="7"/>
  <c r="B1276" i="7"/>
  <c r="G1275" i="7"/>
  <c r="A1275" i="7"/>
  <c r="A1274" i="7"/>
  <c r="A1273" i="7"/>
  <c r="A1272" i="7"/>
  <c r="A1271" i="7"/>
  <c r="A1270" i="7"/>
  <c r="A1269" i="7"/>
  <c r="A1266" i="7"/>
  <c r="G1265" i="7"/>
  <c r="G1273" i="7" s="1"/>
  <c r="A1265" i="7"/>
  <c r="A1264" i="7"/>
  <c r="A1263" i="7"/>
  <c r="G1262" i="7"/>
  <c r="A1262" i="7"/>
  <c r="G1261" i="7"/>
  <c r="A1261" i="7"/>
  <c r="A1260" i="7"/>
  <c r="A1259" i="7"/>
  <c r="A1258" i="7"/>
  <c r="D1257" i="7"/>
  <c r="C1257" i="7"/>
  <c r="B1257" i="7"/>
  <c r="G1256" i="7"/>
  <c r="A1256" i="7"/>
  <c r="A1255" i="7"/>
  <c r="A1254" i="7"/>
  <c r="A1253" i="7"/>
  <c r="A1252" i="7"/>
  <c r="A1251" i="7"/>
  <c r="A1250" i="7"/>
  <c r="A1249" i="7"/>
  <c r="A1248" i="7"/>
  <c r="A1245" i="7"/>
  <c r="G1244" i="7"/>
  <c r="A1244" i="7"/>
  <c r="A1243" i="7"/>
  <c r="A1242" i="7"/>
  <c r="G1241" i="7"/>
  <c r="A1241" i="7"/>
  <c r="G1240" i="7"/>
  <c r="A1240" i="7"/>
  <c r="A1239" i="7"/>
  <c r="A1238" i="7"/>
  <c r="A1237" i="7"/>
  <c r="D1236" i="7"/>
  <c r="C1236" i="7"/>
  <c r="B1236" i="7"/>
  <c r="G1235" i="7"/>
  <c r="A1235" i="7"/>
  <c r="A1234" i="7"/>
  <c r="A1233" i="7"/>
  <c r="A1232" i="7"/>
  <c r="A1231" i="7"/>
  <c r="A1230" i="7"/>
  <c r="A1229" i="7"/>
  <c r="A1228" i="7"/>
  <c r="A1227" i="7"/>
  <c r="A1224" i="7"/>
  <c r="A1223" i="7"/>
  <c r="A1222" i="7"/>
  <c r="A1221" i="7"/>
  <c r="G1220" i="7"/>
  <c r="A1220" i="7"/>
  <c r="G1219" i="7"/>
  <c r="A1219" i="7"/>
  <c r="A1218" i="7"/>
  <c r="A1217" i="7"/>
  <c r="A1216" i="7"/>
  <c r="D1215" i="7"/>
  <c r="C1215" i="7"/>
  <c r="B1215" i="7"/>
  <c r="A1214" i="7"/>
  <c r="A1213" i="7"/>
  <c r="G1212" i="7"/>
  <c r="A1212" i="7"/>
  <c r="A1211" i="7"/>
  <c r="A1210" i="7"/>
  <c r="A1209" i="7"/>
  <c r="A1208" i="7"/>
  <c r="A1207" i="7"/>
  <c r="A1206" i="7"/>
  <c r="D1205" i="7"/>
  <c r="C1205" i="7"/>
  <c r="B1205" i="7"/>
  <c r="A1204" i="7"/>
  <c r="A1203" i="7"/>
  <c r="A1202" i="7"/>
  <c r="G1201" i="7"/>
  <c r="A1201" i="7"/>
  <c r="G1200" i="7"/>
  <c r="A1200" i="7"/>
  <c r="A1199" i="7"/>
  <c r="A1198" i="7"/>
  <c r="G1197" i="7"/>
  <c r="A1197" i="7"/>
  <c r="A1196" i="7"/>
  <c r="A1195" i="7"/>
  <c r="A1194" i="7"/>
  <c r="A1193" i="7"/>
  <c r="A1192" i="7"/>
  <c r="A1191" i="7"/>
  <c r="A1190" i="7"/>
  <c r="D1189" i="7"/>
  <c r="C1189" i="7"/>
  <c r="B1189" i="7"/>
  <c r="A1188" i="7"/>
  <c r="A1187" i="7"/>
  <c r="A1186" i="7"/>
  <c r="G1185" i="7"/>
  <c r="A1185" i="7"/>
  <c r="G1184" i="7"/>
  <c r="A1184" i="7"/>
  <c r="A1183" i="7"/>
  <c r="A1182" i="7"/>
  <c r="G1181" i="7"/>
  <c r="A1181" i="7"/>
  <c r="A1180" i="7"/>
  <c r="A1179" i="7"/>
  <c r="A1178" i="7"/>
  <c r="A1177" i="7"/>
  <c r="A1176" i="7"/>
  <c r="A1175" i="7"/>
  <c r="A1174" i="7"/>
  <c r="D1173" i="7"/>
  <c r="C1173" i="7"/>
  <c r="B1173" i="7"/>
  <c r="A1172" i="7"/>
  <c r="A1171" i="7"/>
  <c r="A1170" i="7"/>
  <c r="G1169" i="7"/>
  <c r="A1169" i="7"/>
  <c r="G1168" i="7"/>
  <c r="A1168" i="7"/>
  <c r="A1167" i="7"/>
  <c r="A1166" i="7"/>
  <c r="G1165" i="7"/>
  <c r="A1165" i="7"/>
  <c r="A1164" i="7"/>
  <c r="A1163" i="7"/>
  <c r="A1162" i="7"/>
  <c r="A1161" i="7"/>
  <c r="A1160" i="7"/>
  <c r="A1159" i="7"/>
  <c r="A1158" i="7"/>
  <c r="D1157" i="7"/>
  <c r="C1157" i="7"/>
  <c r="B1157" i="7"/>
  <c r="A1156" i="7"/>
  <c r="A1155" i="7"/>
  <c r="A1154" i="7"/>
  <c r="G1153" i="7"/>
  <c r="A1153" i="7"/>
  <c r="G1152" i="7"/>
  <c r="A1152" i="7"/>
  <c r="A1151" i="7"/>
  <c r="A1150" i="7"/>
  <c r="A1149" i="7"/>
  <c r="A1148" i="7"/>
  <c r="G1147" i="7"/>
  <c r="G1154" i="7" s="1"/>
  <c r="A1147" i="7"/>
  <c r="A1146" i="7"/>
  <c r="A1145" i="7"/>
  <c r="A1144" i="7"/>
  <c r="A1143" i="7"/>
  <c r="A1142" i="7"/>
  <c r="D1141" i="7"/>
  <c r="C1141" i="7"/>
  <c r="B1141" i="7"/>
  <c r="G1140" i="7"/>
  <c r="A1140" i="7"/>
  <c r="A1139" i="7"/>
  <c r="A1138" i="7"/>
  <c r="A1137" i="7"/>
  <c r="A1136" i="7"/>
  <c r="G1135" i="7"/>
  <c r="G1138" i="7" s="1"/>
  <c r="A1135" i="7"/>
  <c r="A1134" i="7"/>
  <c r="D1133" i="7"/>
  <c r="C1133" i="7"/>
  <c r="B1133" i="7"/>
  <c r="A1132" i="7"/>
  <c r="A1131" i="7"/>
  <c r="A1130" i="7"/>
  <c r="A1129" i="7"/>
  <c r="G1128" i="7"/>
  <c r="G1130" i="7" s="1"/>
  <c r="A1128" i="7"/>
  <c r="A1127" i="7"/>
  <c r="A1126" i="7"/>
  <c r="D1125" i="7"/>
  <c r="C1125" i="7"/>
  <c r="B1125" i="7"/>
  <c r="A1124" i="7"/>
  <c r="A1123" i="7"/>
  <c r="G1122" i="7"/>
  <c r="A1122" i="7"/>
  <c r="A1121" i="7"/>
  <c r="A1120" i="7"/>
  <c r="A1119" i="7"/>
  <c r="A1118" i="7"/>
  <c r="D1117" i="7"/>
  <c r="C1117" i="7"/>
  <c r="B1117" i="7"/>
  <c r="A1116" i="7"/>
  <c r="A1115" i="7"/>
  <c r="A1114" i="7"/>
  <c r="A1113" i="7"/>
  <c r="A1112" i="7"/>
  <c r="D1111" i="7"/>
  <c r="C1111" i="7"/>
  <c r="B1111" i="7"/>
  <c r="A1110" i="7"/>
  <c r="A1109" i="7"/>
  <c r="A1108" i="7"/>
  <c r="A1107" i="7"/>
  <c r="A1106" i="7"/>
  <c r="D1105" i="7"/>
  <c r="C1105" i="7"/>
  <c r="B1105" i="7"/>
  <c r="A1104" i="7"/>
  <c r="A1103" i="7"/>
  <c r="A1102" i="7"/>
  <c r="A1101" i="7"/>
  <c r="A1100" i="7"/>
  <c r="D1099" i="7"/>
  <c r="C1099" i="7"/>
  <c r="B1099" i="7"/>
  <c r="A1098" i="7"/>
  <c r="A1097" i="7"/>
  <c r="A1096" i="7"/>
  <c r="A1095" i="7"/>
  <c r="A1094" i="7"/>
  <c r="D1093" i="7"/>
  <c r="C1093" i="7"/>
  <c r="B1093" i="7"/>
  <c r="G1092" i="7"/>
  <c r="A1092" i="7"/>
  <c r="A1091" i="7"/>
  <c r="A1090" i="7"/>
  <c r="A1089" i="7"/>
  <c r="A1088" i="7"/>
  <c r="D1087" i="7"/>
  <c r="C1087" i="7"/>
  <c r="B1087" i="7"/>
  <c r="A1086" i="7"/>
  <c r="A1085" i="7"/>
  <c r="A1084" i="7"/>
  <c r="A1083" i="7"/>
  <c r="A1082" i="7"/>
  <c r="D1081" i="7"/>
  <c r="C1081" i="7"/>
  <c r="B1081" i="7"/>
  <c r="A1080" i="7"/>
  <c r="A1079" i="7"/>
  <c r="A1078" i="7"/>
  <c r="A1077" i="7"/>
  <c r="A1076" i="7"/>
  <c r="D1075" i="7"/>
  <c r="C1075" i="7"/>
  <c r="B1075" i="7"/>
  <c r="A1074" i="7"/>
  <c r="A1073" i="7"/>
  <c r="A1072" i="7"/>
  <c r="A1071" i="7"/>
  <c r="A1070" i="7"/>
  <c r="A1069" i="7"/>
  <c r="G1068" i="7"/>
  <c r="A1068" i="7"/>
  <c r="A1067" i="7"/>
  <c r="A1066" i="7"/>
  <c r="A1065" i="7"/>
  <c r="A1064" i="7"/>
  <c r="D1063" i="7"/>
  <c r="C1063" i="7"/>
  <c r="B1063" i="7"/>
  <c r="A1062" i="7"/>
  <c r="A1061" i="7"/>
  <c r="A1060" i="7"/>
  <c r="A1059" i="7"/>
  <c r="A1058" i="7"/>
  <c r="D1057" i="7"/>
  <c r="C1057" i="7"/>
  <c r="B1057" i="7"/>
  <c r="A1056" i="7"/>
  <c r="A1055" i="7"/>
  <c r="A1054" i="7"/>
  <c r="A1053" i="7"/>
  <c r="A1052" i="7"/>
  <c r="D1051" i="7"/>
  <c r="C1051" i="7"/>
  <c r="B1051" i="7"/>
  <c r="G1050" i="7"/>
  <c r="A1050" i="7"/>
  <c r="A1049" i="7"/>
  <c r="A1048" i="7"/>
  <c r="A1047" i="7"/>
  <c r="A1046" i="7"/>
  <c r="D1045" i="7"/>
  <c r="C1045" i="7"/>
  <c r="B1045" i="7"/>
  <c r="G1044" i="7"/>
  <c r="A1044" i="7"/>
  <c r="A1043" i="7"/>
  <c r="A1042" i="7"/>
  <c r="A1041" i="7"/>
  <c r="A1040" i="7"/>
  <c r="D1039" i="7"/>
  <c r="C1039" i="7"/>
  <c r="B1039" i="7"/>
  <c r="G1038" i="7"/>
  <c r="A1038" i="7"/>
  <c r="A1037" i="7"/>
  <c r="A1036" i="7"/>
  <c r="A1035" i="7"/>
  <c r="A1034" i="7"/>
  <c r="D1033" i="7"/>
  <c r="C1033" i="7"/>
  <c r="B1033" i="7"/>
  <c r="G1032" i="7"/>
  <c r="A1032" i="7"/>
  <c r="A1031" i="7"/>
  <c r="A1030" i="7"/>
  <c r="A1029" i="7"/>
  <c r="A1028" i="7"/>
  <c r="D1027" i="7"/>
  <c r="C1027" i="7"/>
  <c r="B1027" i="7"/>
  <c r="G1026" i="7"/>
  <c r="A1026" i="7"/>
  <c r="A1025" i="7"/>
  <c r="A1024" i="7"/>
  <c r="A1023" i="7"/>
  <c r="A1022" i="7"/>
  <c r="D1021" i="7"/>
  <c r="C1021" i="7"/>
  <c r="B1021" i="7"/>
  <c r="G1020" i="7"/>
  <c r="A1020" i="7"/>
  <c r="A1019" i="7"/>
  <c r="A1018" i="7"/>
  <c r="A1017" i="7"/>
  <c r="A1016" i="7"/>
  <c r="D1015" i="7"/>
  <c r="C1015" i="7"/>
  <c r="B1015" i="7"/>
  <c r="G1014" i="7"/>
  <c r="A1014" i="7"/>
  <c r="A1013" i="7"/>
  <c r="A1012" i="7"/>
  <c r="A1011" i="7"/>
  <c r="A1010" i="7"/>
  <c r="D1009" i="7"/>
  <c r="C1009" i="7"/>
  <c r="B1009" i="7"/>
  <c r="G1008" i="7"/>
  <c r="A1008" i="7"/>
  <c r="A1007" i="7"/>
  <c r="A1006" i="7"/>
  <c r="A1005" i="7"/>
  <c r="A1004" i="7"/>
  <c r="D1003" i="7"/>
  <c r="C1003" i="7"/>
  <c r="B1003" i="7"/>
  <c r="A1002" i="7"/>
  <c r="A1001" i="7"/>
  <c r="A1000" i="7"/>
  <c r="A999" i="7"/>
  <c r="A998" i="7"/>
  <c r="A997" i="7"/>
  <c r="A996" i="7"/>
  <c r="G995" i="7"/>
  <c r="G1000" i="7" s="1"/>
  <c r="A995" i="7"/>
  <c r="D994" i="7"/>
  <c r="C994" i="7"/>
  <c r="B994" i="7"/>
  <c r="A993" i="7"/>
  <c r="A992" i="7"/>
  <c r="A991" i="7"/>
  <c r="A990" i="7"/>
  <c r="A989" i="7"/>
  <c r="A988" i="7"/>
  <c r="A987" i="7"/>
  <c r="G986" i="7"/>
  <c r="G991" i="7" s="1"/>
  <c r="A986" i="7"/>
  <c r="D985" i="7"/>
  <c r="C985" i="7"/>
  <c r="B985" i="7"/>
  <c r="A984" i="7"/>
  <c r="A983" i="7"/>
  <c r="A982" i="7"/>
  <c r="A981" i="7"/>
  <c r="A980" i="7"/>
  <c r="A979" i="7"/>
  <c r="A978" i="7"/>
  <c r="G977" i="7"/>
  <c r="A977" i="7"/>
  <c r="D976" i="7"/>
  <c r="C976" i="7"/>
  <c r="B976" i="7"/>
  <c r="A975" i="7"/>
  <c r="A974" i="7"/>
  <c r="A973" i="7"/>
  <c r="A972" i="7"/>
  <c r="A971" i="7"/>
  <c r="G970" i="7"/>
  <c r="G973" i="7" s="1"/>
  <c r="A970" i="7"/>
  <c r="A969" i="7"/>
  <c r="D968" i="7"/>
  <c r="C968" i="7"/>
  <c r="B968" i="7"/>
  <c r="A967" i="7"/>
  <c r="A966" i="7"/>
  <c r="G965" i="7"/>
  <c r="A965" i="7"/>
  <c r="A964" i="7"/>
  <c r="A963" i="7"/>
  <c r="A962" i="7"/>
  <c r="A961" i="7"/>
  <c r="A960" i="7"/>
  <c r="A959" i="7"/>
  <c r="D958" i="7"/>
  <c r="C958" i="7"/>
  <c r="B958" i="7"/>
  <c r="A957" i="7"/>
  <c r="A956" i="7"/>
  <c r="A955" i="7"/>
  <c r="A954" i="7"/>
  <c r="A953" i="7"/>
  <c r="A952" i="7"/>
  <c r="A951" i="7"/>
  <c r="A950" i="7"/>
  <c r="A949" i="7"/>
  <c r="A948" i="7"/>
  <c r="G947" i="7"/>
  <c r="G955" i="7" s="1"/>
  <c r="G954" i="7" s="1"/>
  <c r="A947" i="7"/>
  <c r="D946" i="7"/>
  <c r="C946" i="7"/>
  <c r="B946" i="7"/>
  <c r="G945" i="7"/>
  <c r="A945" i="7"/>
  <c r="A944" i="7"/>
  <c r="A943" i="7"/>
  <c r="A942" i="7"/>
  <c r="A941" i="7"/>
  <c r="A940" i="7"/>
  <c r="A939" i="7"/>
  <c r="A938" i="7"/>
  <c r="A937" i="7"/>
  <c r="G936" i="7"/>
  <c r="A936" i="7"/>
  <c r="G935" i="7"/>
  <c r="A935" i="7"/>
  <c r="D934" i="7"/>
  <c r="C934" i="7"/>
  <c r="B934" i="7"/>
  <c r="A933" i="7"/>
  <c r="A932" i="7"/>
  <c r="A931" i="7"/>
  <c r="A930" i="7"/>
  <c r="A929" i="7"/>
  <c r="A928" i="7"/>
  <c r="G927" i="7"/>
  <c r="A927" i="7"/>
  <c r="G926" i="7"/>
  <c r="A926" i="7"/>
  <c r="D925" i="7"/>
  <c r="C925" i="7"/>
  <c r="B925" i="7"/>
  <c r="A924" i="7"/>
  <c r="A923" i="7"/>
  <c r="G922" i="7"/>
  <c r="A922" i="7"/>
  <c r="A921" i="7"/>
  <c r="A920" i="7"/>
  <c r="A919" i="7"/>
  <c r="A918" i="7"/>
  <c r="A917" i="7"/>
  <c r="A916" i="7"/>
  <c r="A915" i="7"/>
  <c r="A914" i="7"/>
  <c r="A913" i="7"/>
  <c r="D912" i="7"/>
  <c r="C912" i="7"/>
  <c r="B912" i="7"/>
  <c r="G911" i="7"/>
  <c r="A911" i="7"/>
  <c r="A910" i="7"/>
  <c r="A909" i="7"/>
  <c r="A908" i="7"/>
  <c r="G905" i="7"/>
  <c r="A907" i="7"/>
  <c r="A906" i="7"/>
  <c r="A905" i="7"/>
  <c r="A903" i="7"/>
  <c r="A902" i="7"/>
  <c r="A901" i="7"/>
  <c r="A900" i="7"/>
  <c r="A899" i="7"/>
  <c r="A898" i="7"/>
  <c r="A897" i="7"/>
  <c r="A896" i="7"/>
  <c r="A895" i="7"/>
  <c r="A894" i="7"/>
  <c r="A893" i="7"/>
  <c r="A892" i="7"/>
  <c r="A891" i="7"/>
  <c r="D890" i="7"/>
  <c r="C890" i="7"/>
  <c r="B890" i="7"/>
  <c r="A889" i="7"/>
  <c r="A888" i="7"/>
  <c r="A887" i="7"/>
  <c r="A886" i="7"/>
  <c r="G883" i="7"/>
  <c r="A885" i="7"/>
  <c r="A884" i="7"/>
  <c r="A883" i="7"/>
  <c r="A881" i="7"/>
  <c r="A880" i="7"/>
  <c r="A879" i="7"/>
  <c r="A878" i="7"/>
  <c r="A877" i="7"/>
  <c r="A876" i="7"/>
  <c r="A875" i="7"/>
  <c r="A874" i="7"/>
  <c r="A873" i="7"/>
  <c r="A872" i="7"/>
  <c r="A871" i="7"/>
  <c r="A870" i="7"/>
  <c r="A869" i="7"/>
  <c r="D868" i="7"/>
  <c r="C868" i="7"/>
  <c r="B868" i="7"/>
  <c r="A867" i="7"/>
  <c r="A866" i="7"/>
  <c r="A865" i="7"/>
  <c r="A864" i="7"/>
  <c r="G861" i="7"/>
  <c r="A863" i="7"/>
  <c r="A862" i="7"/>
  <c r="A861" i="7"/>
  <c r="A859" i="7"/>
  <c r="A858" i="7"/>
  <c r="A856" i="7"/>
  <c r="A855" i="7"/>
  <c r="A854" i="7"/>
  <c r="A853" i="7"/>
  <c r="A852" i="7"/>
  <c r="A851" i="7"/>
  <c r="A850" i="7"/>
  <c r="A849" i="7"/>
  <c r="A848" i="7"/>
  <c r="D847" i="7"/>
  <c r="C847" i="7"/>
  <c r="B847" i="7"/>
  <c r="A846" i="7"/>
  <c r="A845" i="7"/>
  <c r="A844" i="7"/>
  <c r="A843" i="7"/>
  <c r="G840" i="7"/>
  <c r="A842" i="7"/>
  <c r="A841" i="7"/>
  <c r="A840" i="7"/>
  <c r="A838" i="7"/>
  <c r="A837" i="7"/>
  <c r="A836" i="7"/>
  <c r="A835" i="7"/>
  <c r="A834" i="7"/>
  <c r="A833" i="7"/>
  <c r="A832" i="7"/>
  <c r="A831" i="7"/>
  <c r="A830" i="7"/>
  <c r="A829" i="7"/>
  <c r="A828" i="7"/>
  <c r="A827" i="7"/>
  <c r="D826" i="7"/>
  <c r="C826" i="7"/>
  <c r="B826" i="7"/>
  <c r="A825" i="7"/>
  <c r="A824" i="7"/>
  <c r="A823" i="7"/>
  <c r="A822" i="7"/>
  <c r="G821" i="7"/>
  <c r="G823" i="7" s="1"/>
  <c r="A821" i="7"/>
  <c r="A820" i="7"/>
  <c r="A819" i="7"/>
  <c r="A818" i="7"/>
  <c r="A817" i="7"/>
  <c r="A816" i="7"/>
  <c r="A815" i="7"/>
  <c r="A814" i="7"/>
  <c r="A813" i="7"/>
  <c r="D812" i="7"/>
  <c r="C812" i="7"/>
  <c r="B812" i="7"/>
  <c r="A811" i="7"/>
  <c r="A810" i="7"/>
  <c r="A809" i="7"/>
  <c r="A808" i="7"/>
  <c r="G807" i="7"/>
  <c r="G809" i="7" s="1"/>
  <c r="A807" i="7"/>
  <c r="A806" i="7"/>
  <c r="A805" i="7"/>
  <c r="A804" i="7"/>
  <c r="A803" i="7"/>
  <c r="A802" i="7"/>
  <c r="A801" i="7"/>
  <c r="A800" i="7"/>
  <c r="A799" i="7"/>
  <c r="D798" i="7"/>
  <c r="C798" i="7"/>
  <c r="B798" i="7"/>
  <c r="A797" i="7"/>
  <c r="A796" i="7"/>
  <c r="A795" i="7"/>
  <c r="A794" i="7"/>
  <c r="G793" i="7"/>
  <c r="G795" i="7" s="1"/>
  <c r="A793" i="7"/>
  <c r="A792" i="7"/>
  <c r="A791" i="7"/>
  <c r="A790" i="7"/>
  <c r="A789" i="7"/>
  <c r="A788" i="7"/>
  <c r="A787" i="7"/>
  <c r="A786" i="7"/>
  <c r="A785" i="7"/>
  <c r="D784" i="7"/>
  <c r="C784" i="7"/>
  <c r="B784" i="7"/>
  <c r="A783" i="7"/>
  <c r="G782" i="7"/>
  <c r="A782" i="7"/>
  <c r="A781" i="7"/>
  <c r="G780" i="7"/>
  <c r="A780" i="7"/>
  <c r="A779" i="7"/>
  <c r="A778" i="7"/>
  <c r="A777" i="7"/>
  <c r="A776" i="7"/>
  <c r="A775" i="7"/>
  <c r="A774" i="7"/>
  <c r="A773" i="7"/>
  <c r="A772" i="7"/>
  <c r="A771" i="7"/>
  <c r="A770" i="7"/>
  <c r="A769" i="7"/>
  <c r="D768" i="7"/>
  <c r="C768" i="7"/>
  <c r="B768" i="7"/>
  <c r="G767" i="7"/>
  <c r="A767" i="7"/>
  <c r="A766" i="7"/>
  <c r="G765" i="7"/>
  <c r="A765" i="7"/>
  <c r="A764" i="7"/>
  <c r="G763" i="7"/>
  <c r="A763" i="7"/>
  <c r="A762" i="7"/>
  <c r="A761" i="7"/>
  <c r="A760" i="7"/>
  <c r="A759" i="7"/>
  <c r="A758" i="7"/>
  <c r="A757" i="7"/>
  <c r="A756" i="7"/>
  <c r="A755" i="7"/>
  <c r="A754" i="7"/>
  <c r="D753" i="7"/>
  <c r="C753" i="7"/>
  <c r="B753" i="7"/>
  <c r="G752" i="7"/>
  <c r="A752" i="7"/>
  <c r="A751" i="7"/>
  <c r="A750" i="7"/>
  <c r="A749" i="7"/>
  <c r="A748" i="7"/>
  <c r="A747" i="7"/>
  <c r="A746" i="7"/>
  <c r="A745" i="7"/>
  <c r="A744" i="7"/>
  <c r="G743" i="7"/>
  <c r="A743" i="7"/>
  <c r="A742" i="7"/>
  <c r="A741" i="7"/>
  <c r="A740" i="7"/>
  <c r="A739" i="7"/>
  <c r="A738" i="7"/>
  <c r="G737" i="7"/>
  <c r="A737" i="7"/>
  <c r="G736" i="7"/>
  <c r="A736" i="7"/>
  <c r="D735" i="7"/>
  <c r="C735" i="7"/>
  <c r="B735" i="7"/>
  <c r="G734" i="7"/>
  <c r="A734" i="7"/>
  <c r="A733" i="7"/>
  <c r="A732" i="7"/>
  <c r="A731" i="7"/>
  <c r="A730" i="7"/>
  <c r="A729" i="7"/>
  <c r="A728" i="7"/>
  <c r="A727" i="7"/>
  <c r="A726" i="7"/>
  <c r="G725" i="7"/>
  <c r="A725" i="7"/>
  <c r="A724" i="7"/>
  <c r="G723" i="7"/>
  <c r="A723" i="7"/>
  <c r="A722" i="7"/>
  <c r="G721" i="7"/>
  <c r="A721" i="7"/>
  <c r="A720" i="7"/>
  <c r="A719" i="7"/>
  <c r="A718" i="7"/>
  <c r="D717" i="7"/>
  <c r="C717" i="7"/>
  <c r="B717" i="7"/>
  <c r="A716" i="7"/>
  <c r="A715" i="7"/>
  <c r="A714" i="7"/>
  <c r="G713" i="7"/>
  <c r="A713" i="7"/>
  <c r="A712" i="7"/>
  <c r="G711" i="7"/>
  <c r="A711" i="7"/>
  <c r="A710" i="7"/>
  <c r="A709" i="7"/>
  <c r="A708" i="7"/>
  <c r="A707" i="7"/>
  <c r="A706" i="7"/>
  <c r="A705" i="7"/>
  <c r="G704" i="7"/>
  <c r="G709" i="7" s="1"/>
  <c r="G707" i="7" s="1"/>
  <c r="G710" i="7" s="1"/>
  <c r="A704" i="7"/>
  <c r="A703" i="7"/>
  <c r="A702" i="7"/>
  <c r="G701" i="7"/>
  <c r="A701" i="7"/>
  <c r="G700" i="7"/>
  <c r="G703" i="7" s="1"/>
  <c r="A700" i="7"/>
  <c r="A699" i="7"/>
  <c r="A698" i="7"/>
  <c r="A697" i="7"/>
  <c r="A696" i="7"/>
  <c r="A695" i="7"/>
  <c r="A694" i="7"/>
  <c r="A693" i="7"/>
  <c r="A692" i="7"/>
  <c r="A691" i="7"/>
  <c r="A690" i="7"/>
  <c r="A689" i="7"/>
  <c r="A688" i="7"/>
  <c r="A687" i="7"/>
  <c r="A686" i="7"/>
  <c r="A685" i="7"/>
  <c r="A684" i="7"/>
  <c r="A683" i="7"/>
  <c r="A682" i="7"/>
  <c r="A681" i="7"/>
  <c r="D680" i="7"/>
  <c r="C680" i="7"/>
  <c r="B680" i="7"/>
  <c r="A679" i="7"/>
  <c r="A678" i="7"/>
  <c r="A677" i="7"/>
  <c r="G676" i="7"/>
  <c r="A676" i="7"/>
  <c r="A675" i="7"/>
  <c r="G674" i="7"/>
  <c r="A674" i="7"/>
  <c r="A673" i="7"/>
  <c r="A672" i="7"/>
  <c r="A671" i="7"/>
  <c r="A670" i="7"/>
  <c r="A669" i="7"/>
  <c r="A668" i="7"/>
  <c r="G667" i="7"/>
  <c r="G672" i="7" s="1"/>
  <c r="A667" i="7"/>
  <c r="A666" i="7"/>
  <c r="A665" i="7"/>
  <c r="G664" i="7"/>
  <c r="A664" i="7"/>
  <c r="G663" i="7"/>
  <c r="G666" i="7" s="1"/>
  <c r="A663" i="7"/>
  <c r="A662" i="7"/>
  <c r="A661" i="7"/>
  <c r="A660" i="7"/>
  <c r="A659" i="7"/>
  <c r="A658" i="7"/>
  <c r="A657" i="7"/>
  <c r="A656" i="7"/>
  <c r="A655" i="7"/>
  <c r="A654" i="7"/>
  <c r="A653" i="7"/>
  <c r="A652" i="7"/>
  <c r="A651" i="7"/>
  <c r="A650" i="7"/>
  <c r="A649" i="7"/>
  <c r="A648" i="7"/>
  <c r="A647" i="7"/>
  <c r="A646" i="7"/>
  <c r="A645" i="7"/>
  <c r="A644" i="7"/>
  <c r="D643" i="7"/>
  <c r="C643" i="7"/>
  <c r="B643" i="7"/>
  <c r="A642" i="7"/>
  <c r="A641" i="7"/>
  <c r="A640" i="7"/>
  <c r="G639" i="7"/>
  <c r="A639" i="7"/>
  <c r="A638" i="7"/>
  <c r="G637" i="7"/>
  <c r="A637" i="7"/>
  <c r="A636" i="7"/>
  <c r="A635" i="7"/>
  <c r="A634" i="7"/>
  <c r="A633" i="7"/>
  <c r="A632" i="7"/>
  <c r="A631" i="7"/>
  <c r="G630" i="7"/>
  <c r="G635" i="7" s="1"/>
  <c r="A630" i="7"/>
  <c r="A629" i="7"/>
  <c r="A628" i="7"/>
  <c r="G627" i="7"/>
  <c r="A627" i="7"/>
  <c r="G626" i="7"/>
  <c r="G629" i="7" s="1"/>
  <c r="A626" i="7"/>
  <c r="A625" i="7"/>
  <c r="A624" i="7"/>
  <c r="A623" i="7"/>
  <c r="A622" i="7"/>
  <c r="A621" i="7"/>
  <c r="A620" i="7"/>
  <c r="A619" i="7"/>
  <c r="A618" i="7"/>
  <c r="A617" i="7"/>
  <c r="A616" i="7"/>
  <c r="A615" i="7"/>
  <c r="A614" i="7"/>
  <c r="A613" i="7"/>
  <c r="A612" i="7"/>
  <c r="A611" i="7"/>
  <c r="A610" i="7"/>
  <c r="A609" i="7"/>
  <c r="A608" i="7"/>
  <c r="A607" i="7"/>
  <c r="D606" i="7"/>
  <c r="C606" i="7"/>
  <c r="B606" i="7"/>
  <c r="A605" i="7"/>
  <c r="A604" i="7"/>
  <c r="A603" i="7"/>
  <c r="G602" i="7"/>
  <c r="A602" i="7"/>
  <c r="A601" i="7"/>
  <c r="A600" i="7"/>
  <c r="A599" i="7"/>
  <c r="G598" i="7"/>
  <c r="G601" i="7" s="1"/>
  <c r="A598" i="7"/>
  <c r="A597" i="7"/>
  <c r="A596" i="7"/>
  <c r="A595" i="7"/>
  <c r="A594" i="7"/>
  <c r="A593" i="7"/>
  <c r="A592" i="7"/>
  <c r="A591" i="7"/>
  <c r="A590" i="7"/>
  <c r="A589" i="7"/>
  <c r="A588" i="7"/>
  <c r="A587" i="7"/>
  <c r="A586" i="7"/>
  <c r="A585" i="7"/>
  <c r="A584" i="7"/>
  <c r="A583" i="7"/>
  <c r="A582" i="7"/>
  <c r="A581" i="7"/>
  <c r="A580" i="7"/>
  <c r="A579" i="7"/>
  <c r="G578" i="7"/>
  <c r="A578" i="7"/>
  <c r="A577" i="7"/>
  <c r="A576" i="7"/>
  <c r="A575" i="7"/>
  <c r="A574" i="7"/>
  <c r="A573" i="7"/>
  <c r="A572" i="7"/>
  <c r="A571" i="7"/>
  <c r="A570" i="7"/>
  <c r="A569" i="7"/>
  <c r="A568" i="7"/>
  <c r="G567" i="7"/>
  <c r="A567" i="7"/>
  <c r="A566" i="7"/>
  <c r="A565" i="7"/>
  <c r="A564" i="7"/>
  <c r="A563" i="7"/>
  <c r="A562" i="7"/>
  <c r="A561" i="7"/>
  <c r="A560" i="7"/>
  <c r="A559" i="7"/>
  <c r="A558" i="7"/>
  <c r="A557" i="7"/>
  <c r="A556" i="7"/>
  <c r="D555" i="7"/>
  <c r="C555" i="7"/>
  <c r="B555" i="7"/>
  <c r="A554" i="7"/>
  <c r="A553" i="7"/>
  <c r="A552" i="7"/>
  <c r="G551" i="7"/>
  <c r="A551" i="7"/>
  <c r="A550" i="7"/>
  <c r="A549" i="7"/>
  <c r="G548" i="7"/>
  <c r="G550" i="7" s="1"/>
  <c r="A548" i="7"/>
  <c r="A547" i="7"/>
  <c r="A546" i="7"/>
  <c r="A545" i="7"/>
  <c r="A544" i="7"/>
  <c r="A543" i="7"/>
  <c r="A542" i="7"/>
  <c r="A541" i="7"/>
  <c r="A540" i="7"/>
  <c r="A539" i="7"/>
  <c r="A538" i="7"/>
  <c r="A537" i="7"/>
  <c r="A536" i="7"/>
  <c r="A535" i="7"/>
  <c r="A534" i="7"/>
  <c r="A533" i="7"/>
  <c r="D532" i="7"/>
  <c r="C532" i="7"/>
  <c r="B532" i="7"/>
  <c r="G531" i="7"/>
  <c r="A531" i="7"/>
  <c r="A530" i="7"/>
  <c r="A529" i="7"/>
  <c r="A528" i="7"/>
  <c r="G527" i="7"/>
  <c r="A527" i="7"/>
  <c r="G526" i="7"/>
  <c r="A526" i="7"/>
  <c r="A525" i="7"/>
  <c r="A524" i="7"/>
  <c r="A523" i="7"/>
  <c r="D522" i="7"/>
  <c r="C522" i="7"/>
  <c r="B522" i="7"/>
  <c r="G521" i="7"/>
  <c r="A521" i="7"/>
  <c r="A520" i="7"/>
  <c r="G519" i="7"/>
  <c r="A519" i="7"/>
  <c r="A518" i="7"/>
  <c r="A517" i="7"/>
  <c r="A516" i="7"/>
  <c r="A515" i="7"/>
  <c r="A514" i="7"/>
  <c r="A513" i="7"/>
  <c r="A512" i="7"/>
  <c r="A511" i="7"/>
  <c r="A510" i="7"/>
  <c r="C509" i="7"/>
  <c r="B509" i="7"/>
  <c r="G508" i="7"/>
  <c r="A508" i="7"/>
  <c r="A507" i="7"/>
  <c r="A506" i="7"/>
  <c r="D500" i="7"/>
  <c r="C500" i="7"/>
  <c r="B500" i="7"/>
  <c r="A499" i="7"/>
  <c r="A498" i="7"/>
  <c r="A497" i="7"/>
  <c r="A496" i="7"/>
  <c r="A495" i="7"/>
  <c r="A494" i="7"/>
  <c r="A493" i="7"/>
  <c r="A492"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D455" i="7"/>
  <c r="C455" i="7"/>
  <c r="B455" i="7"/>
  <c r="A454" i="7"/>
  <c r="A453" i="7"/>
  <c r="A452" i="7"/>
  <c r="A451" i="7"/>
  <c r="A450" i="7"/>
  <c r="A449" i="7"/>
  <c r="A448"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D411" i="7"/>
  <c r="C411" i="7"/>
  <c r="B411" i="7"/>
  <c r="G410" i="7"/>
  <c r="A410" i="7"/>
  <c r="A409" i="7"/>
  <c r="G408" i="7"/>
  <c r="A408" i="7"/>
  <c r="A407" i="7"/>
  <c r="G406" i="7"/>
  <c r="A406" i="7"/>
  <c r="A405" i="7"/>
  <c r="A404" i="7"/>
  <c r="A403" i="7"/>
  <c r="A402" i="7"/>
  <c r="C401" i="7"/>
  <c r="B401" i="7"/>
  <c r="A400" i="7"/>
  <c r="A399" i="7"/>
  <c r="A398" i="7"/>
  <c r="A397" i="7"/>
  <c r="A396" i="7"/>
  <c r="A395" i="7"/>
  <c r="A394" i="7"/>
  <c r="A393" i="7"/>
  <c r="A392" i="7"/>
  <c r="A391" i="7"/>
  <c r="A390" i="7"/>
  <c r="A389" i="7"/>
  <c r="A388" i="7"/>
  <c r="G387" i="7"/>
  <c r="A387" i="7"/>
  <c r="A386" i="7"/>
  <c r="A385" i="7"/>
  <c r="A384" i="7"/>
  <c r="G383" i="7"/>
  <c r="G385" i="7" s="1"/>
  <c r="A383" i="7"/>
  <c r="A382" i="7"/>
  <c r="A381" i="7"/>
  <c r="A380" i="7"/>
  <c r="A379" i="7"/>
  <c r="A378" i="7"/>
  <c r="A377" i="7"/>
  <c r="A376" i="7"/>
  <c r="A375" i="7"/>
  <c r="A374" i="7"/>
  <c r="G373" i="7"/>
  <c r="G375" i="7" s="1"/>
  <c r="G397" i="7" s="1"/>
  <c r="A373" i="7"/>
  <c r="A372" i="7"/>
  <c r="D371" i="7"/>
  <c r="C371" i="7"/>
  <c r="B371" i="7"/>
  <c r="A370" i="7"/>
  <c r="A369" i="7"/>
  <c r="A368" i="7"/>
  <c r="A367" i="7"/>
  <c r="A366" i="7"/>
  <c r="A365" i="7"/>
  <c r="A364" i="7"/>
  <c r="A363" i="7"/>
  <c r="A362" i="7"/>
  <c r="A361" i="7"/>
  <c r="A360" i="7"/>
  <c r="A359" i="7"/>
  <c r="A358" i="7"/>
  <c r="G357" i="7"/>
  <c r="A357" i="7"/>
  <c r="A356" i="7"/>
  <c r="A355" i="7"/>
  <c r="A354" i="7"/>
  <c r="G353" i="7"/>
  <c r="G355" i="7" s="1"/>
  <c r="A353" i="7"/>
  <c r="A352" i="7"/>
  <c r="A351" i="7"/>
  <c r="A350" i="7"/>
  <c r="A349" i="7"/>
  <c r="A348" i="7"/>
  <c r="A347" i="7"/>
  <c r="A346" i="7"/>
  <c r="A345" i="7"/>
  <c r="A344" i="7"/>
  <c r="G343" i="7"/>
  <c r="G345" i="7" s="1"/>
  <c r="A343" i="7"/>
  <c r="A342" i="7"/>
  <c r="D341" i="7"/>
  <c r="C341" i="7"/>
  <c r="B341" i="7"/>
  <c r="A340" i="7"/>
  <c r="A339" i="7"/>
  <c r="A338" i="7"/>
  <c r="A337" i="7"/>
  <c r="A336" i="7"/>
  <c r="A335" i="7"/>
  <c r="A334" i="7"/>
  <c r="A333" i="7"/>
  <c r="A332" i="7"/>
  <c r="A331" i="7"/>
  <c r="A330" i="7"/>
  <c r="A329" i="7"/>
  <c r="A328" i="7"/>
  <c r="G327" i="7"/>
  <c r="A327" i="7"/>
  <c r="A326" i="7"/>
  <c r="A325" i="7"/>
  <c r="A324" i="7"/>
  <c r="G323" i="7"/>
  <c r="G325" i="7" s="1"/>
  <c r="A323" i="7"/>
  <c r="A322" i="7"/>
  <c r="A321" i="7"/>
  <c r="A320" i="7"/>
  <c r="A319" i="7"/>
  <c r="A318" i="7"/>
  <c r="A317" i="7"/>
  <c r="A316" i="7"/>
  <c r="A315" i="7"/>
  <c r="A314" i="7"/>
  <c r="G313" i="7"/>
  <c r="G315" i="7" s="1"/>
  <c r="G337" i="7" s="1"/>
  <c r="A313" i="7"/>
  <c r="A312" i="7"/>
  <c r="D311" i="7"/>
  <c r="C311" i="7"/>
  <c r="B311" i="7"/>
  <c r="G310" i="7"/>
  <c r="A310" i="7"/>
  <c r="A309" i="7"/>
  <c r="A308" i="7"/>
  <c r="G307" i="7"/>
  <c r="A307" i="7"/>
  <c r="G306" i="7"/>
  <c r="G304" i="7" s="1"/>
  <c r="A306" i="7"/>
  <c r="A305" i="7"/>
  <c r="A304" i="7"/>
  <c r="A303" i="7"/>
  <c r="A302" i="7"/>
  <c r="A301" i="7"/>
  <c r="A300" i="7"/>
  <c r="A299" i="7"/>
  <c r="A298" i="7"/>
  <c r="A297" i="7"/>
  <c r="A296" i="7"/>
  <c r="A295" i="7"/>
  <c r="A294" i="7"/>
  <c r="A293" i="7"/>
  <c r="A292" i="7"/>
  <c r="A291" i="7"/>
  <c r="D290" i="7"/>
  <c r="C290" i="7"/>
  <c r="B290" i="7"/>
  <c r="A289" i="7"/>
  <c r="A288" i="7"/>
  <c r="A287" i="7"/>
  <c r="G286" i="7"/>
  <c r="A286" i="7"/>
  <c r="A285" i="7"/>
  <c r="A284" i="7"/>
  <c r="G283" i="7"/>
  <c r="G285" i="7" s="1"/>
  <c r="A283" i="7"/>
  <c r="A282" i="7"/>
  <c r="A281" i="7"/>
  <c r="A280" i="7"/>
  <c r="A279" i="7"/>
  <c r="A278" i="7"/>
  <c r="A277" i="7"/>
  <c r="A276" i="7"/>
  <c r="A275" i="7"/>
  <c r="A274" i="7"/>
  <c r="A273" i="7"/>
  <c r="A272" i="7"/>
  <c r="A271" i="7"/>
  <c r="A270" i="7"/>
  <c r="A269" i="7"/>
  <c r="A268" i="7"/>
  <c r="A267" i="7"/>
  <c r="A266" i="7"/>
  <c r="A265" i="7"/>
  <c r="A264" i="7"/>
  <c r="A263" i="7"/>
  <c r="A262" i="7"/>
  <c r="A261" i="7"/>
  <c r="A260" i="7"/>
  <c r="A259" i="7"/>
  <c r="C258" i="7"/>
  <c r="B258" i="7"/>
  <c r="G257" i="7"/>
  <c r="A257" i="7"/>
  <c r="A256" i="7"/>
  <c r="A255" i="7"/>
  <c r="G254" i="7"/>
  <c r="A254" i="7"/>
  <c r="G253" i="7"/>
  <c r="A253" i="7"/>
  <c r="A252" i="7"/>
  <c r="G251" i="7"/>
  <c r="A251" i="7"/>
  <c r="A250" i="7"/>
  <c r="A249" i="7"/>
  <c r="A248" i="7"/>
  <c r="A247" i="7"/>
  <c r="A246" i="7"/>
  <c r="A245" i="7"/>
  <c r="A244" i="7"/>
  <c r="D243" i="7"/>
  <c r="C243" i="7"/>
  <c r="B243" i="7"/>
  <c r="A242" i="7"/>
  <c r="A241" i="7"/>
  <c r="G240" i="7"/>
  <c r="A240" i="7"/>
  <c r="A239" i="7"/>
  <c r="A238" i="7"/>
  <c r="A237" i="7"/>
  <c r="A236" i="7"/>
  <c r="A235" i="7"/>
  <c r="G234" i="7"/>
  <c r="A234" i="7"/>
  <c r="A233" i="7"/>
  <c r="G232" i="7"/>
  <c r="G238" i="7" s="1"/>
  <c r="A232" i="7"/>
  <c r="A231" i="7"/>
  <c r="D230" i="7"/>
  <c r="C230" i="7"/>
  <c r="B230" i="7"/>
  <c r="A229" i="7"/>
  <c r="A228" i="7"/>
  <c r="G227" i="7"/>
  <c r="A227" i="7"/>
  <c r="A226" i="7"/>
  <c r="A225" i="7"/>
  <c r="A224" i="7"/>
  <c r="A223" i="7"/>
  <c r="A222" i="7"/>
  <c r="G221" i="7"/>
  <c r="A221" i="7"/>
  <c r="A220" i="7"/>
  <c r="G219" i="7"/>
  <c r="G225" i="7" s="1"/>
  <c r="A219" i="7"/>
  <c r="A218" i="7"/>
  <c r="D217" i="7"/>
  <c r="C217" i="7"/>
  <c r="B217" i="7"/>
  <c r="A216" i="7"/>
  <c r="A215" i="7"/>
  <c r="G214" i="7"/>
  <c r="A214" i="7"/>
  <c r="A213" i="7"/>
  <c r="A212" i="7"/>
  <c r="A211" i="7"/>
  <c r="A210" i="7"/>
  <c r="A209" i="7"/>
  <c r="G208" i="7"/>
  <c r="A208" i="7"/>
  <c r="A207" i="7"/>
  <c r="G206" i="7"/>
  <c r="G212" i="7" s="1"/>
  <c r="A206" i="7"/>
  <c r="A205" i="7"/>
  <c r="D204" i="7"/>
  <c r="C204" i="7"/>
  <c r="B204" i="7"/>
  <c r="A203" i="7"/>
  <c r="A202" i="7"/>
  <c r="G201" i="7"/>
  <c r="A201" i="7"/>
  <c r="A200" i="7"/>
  <c r="A199" i="7"/>
  <c r="A198" i="7"/>
  <c r="A197" i="7"/>
  <c r="A196" i="7"/>
  <c r="G195" i="7"/>
  <c r="A195" i="7"/>
  <c r="A194" i="7"/>
  <c r="G193" i="7"/>
  <c r="A193" i="7"/>
  <c r="A192" i="7"/>
  <c r="D191" i="7"/>
  <c r="C191" i="7"/>
  <c r="B191" i="7"/>
  <c r="A190" i="7"/>
  <c r="A189" i="7"/>
  <c r="G188" i="7"/>
  <c r="A188" i="7"/>
  <c r="A187" i="7"/>
  <c r="A186" i="7"/>
  <c r="A185" i="7"/>
  <c r="A184" i="7"/>
  <c r="G183" i="7"/>
  <c r="A183" i="7"/>
  <c r="A182" i="7"/>
  <c r="G181" i="7"/>
  <c r="A181" i="7"/>
  <c r="A180" i="7"/>
  <c r="D179" i="7"/>
  <c r="C179" i="7"/>
  <c r="B179" i="7"/>
  <c r="A178" i="7"/>
  <c r="A177" i="7"/>
  <c r="G176" i="7"/>
  <c r="A176" i="7"/>
  <c r="A175" i="7"/>
  <c r="A174" i="7"/>
  <c r="A173" i="7"/>
  <c r="A172" i="7"/>
  <c r="G171" i="7"/>
  <c r="A171" i="7"/>
  <c r="A170" i="7"/>
  <c r="G169" i="7"/>
  <c r="A169" i="7"/>
  <c r="A168" i="7"/>
  <c r="D167" i="7"/>
  <c r="C167" i="7"/>
  <c r="B167" i="7"/>
  <c r="A166" i="7"/>
  <c r="A165" i="7"/>
  <c r="A164" i="7"/>
  <c r="A163" i="7"/>
  <c r="A162" i="7"/>
  <c r="A161" i="7"/>
  <c r="A160" i="7"/>
  <c r="A159" i="7"/>
  <c r="A158" i="7"/>
  <c r="A157" i="7"/>
  <c r="A156" i="7"/>
  <c r="A155" i="7"/>
  <c r="A154" i="7"/>
  <c r="A153" i="7"/>
  <c r="A152" i="7"/>
  <c r="A151" i="7"/>
  <c r="A150" i="7"/>
  <c r="D149" i="7"/>
  <c r="C149" i="7"/>
  <c r="B149" i="7"/>
  <c r="A148" i="7"/>
  <c r="A147" i="7"/>
  <c r="A146" i="7"/>
  <c r="A145" i="7"/>
  <c r="A144" i="7"/>
  <c r="A143" i="7"/>
  <c r="A142" i="7"/>
  <c r="A141" i="7"/>
  <c r="A140" i="7"/>
  <c r="A139" i="7"/>
  <c r="A138" i="7"/>
  <c r="A137" i="7"/>
  <c r="A136" i="7"/>
  <c r="A135" i="7"/>
  <c r="A134" i="7"/>
  <c r="A133" i="7"/>
  <c r="A132" i="7"/>
  <c r="D131" i="7"/>
  <c r="C131" i="7"/>
  <c r="B131" i="7"/>
  <c r="A130" i="7"/>
  <c r="A129" i="7"/>
  <c r="A128" i="7"/>
  <c r="A127" i="7"/>
  <c r="A126" i="7"/>
  <c r="A125" i="7"/>
  <c r="A124" i="7"/>
  <c r="A123" i="7"/>
  <c r="A122" i="7"/>
  <c r="A121" i="7"/>
  <c r="A120" i="7"/>
  <c r="A119" i="7"/>
  <c r="A118" i="7"/>
  <c r="A117" i="7"/>
  <c r="A116" i="7"/>
  <c r="A115" i="7"/>
  <c r="A114" i="7"/>
  <c r="D113" i="7"/>
  <c r="C113" i="7"/>
  <c r="B113" i="7"/>
  <c r="A112" i="7"/>
  <c r="A111" i="7"/>
  <c r="A110" i="7"/>
  <c r="A109" i="7"/>
  <c r="A108" i="7"/>
  <c r="A107" i="7"/>
  <c r="A106" i="7"/>
  <c r="A105" i="7"/>
  <c r="A104" i="7"/>
  <c r="A103" i="7"/>
  <c r="A102" i="7"/>
  <c r="A101" i="7"/>
  <c r="A100" i="7"/>
  <c r="A99" i="7"/>
  <c r="A98" i="7"/>
  <c r="A97" i="7"/>
  <c r="A96" i="7"/>
  <c r="D95" i="7"/>
  <c r="C95" i="7"/>
  <c r="B95" i="7"/>
  <c r="A94" i="7"/>
  <c r="A93" i="7"/>
  <c r="A92" i="7"/>
  <c r="A91" i="7"/>
  <c r="A90" i="7"/>
  <c r="A89" i="7"/>
  <c r="A88" i="7"/>
  <c r="A87" i="7"/>
  <c r="A86" i="7"/>
  <c r="A85" i="7"/>
  <c r="A84" i="7"/>
  <c r="A83" i="7"/>
  <c r="A82" i="7"/>
  <c r="A81" i="7"/>
  <c r="A80" i="7"/>
  <c r="A79" i="7"/>
  <c r="A78" i="7"/>
  <c r="D77" i="7"/>
  <c r="C77" i="7"/>
  <c r="B77" i="7"/>
  <c r="A76" i="7"/>
  <c r="A75" i="7"/>
  <c r="A74" i="7"/>
  <c r="A73" i="7"/>
  <c r="A72" i="7"/>
  <c r="A71" i="7"/>
  <c r="A70" i="7"/>
  <c r="A69" i="7"/>
  <c r="A68" i="7"/>
  <c r="A67" i="7"/>
  <c r="A66" i="7"/>
  <c r="A65" i="7"/>
  <c r="A64" i="7"/>
  <c r="A63" i="7"/>
  <c r="A62" i="7"/>
  <c r="A61" i="7"/>
  <c r="A60" i="7"/>
  <c r="D59" i="7"/>
  <c r="C59" i="7"/>
  <c r="B59" i="7"/>
  <c r="A58" i="7"/>
  <c r="A57" i="7"/>
  <c r="A56" i="7"/>
  <c r="A55" i="7"/>
  <c r="A54" i="7"/>
  <c r="A53" i="7"/>
  <c r="A52" i="7"/>
  <c r="A51" i="7"/>
  <c r="A50" i="7"/>
  <c r="A49" i="7"/>
  <c r="A48" i="7"/>
  <c r="A47" i="7"/>
  <c r="A46" i="7"/>
  <c r="A45" i="7"/>
  <c r="A44" i="7"/>
  <c r="A43" i="7"/>
  <c r="A42" i="7"/>
  <c r="D41" i="7"/>
  <c r="C41" i="7"/>
  <c r="B41" i="7"/>
  <c r="A40" i="7"/>
  <c r="A39" i="7"/>
  <c r="A38" i="7"/>
  <c r="A37" i="7"/>
  <c r="A36" i="7"/>
  <c r="A35" i="7"/>
  <c r="A34" i="7"/>
  <c r="A33" i="7"/>
  <c r="A32" i="7"/>
  <c r="A31" i="7"/>
  <c r="A30" i="7"/>
  <c r="A29" i="7"/>
  <c r="A28" i="7"/>
  <c r="A27" i="7"/>
  <c r="A26" i="7"/>
  <c r="A25" i="7"/>
  <c r="A24" i="7"/>
  <c r="D23" i="7"/>
  <c r="C23" i="7"/>
  <c r="B23" i="7"/>
  <c r="A22" i="7"/>
  <c r="A21" i="7"/>
  <c r="A20" i="7"/>
  <c r="A19" i="7"/>
  <c r="A18" i="7"/>
  <c r="A17" i="7"/>
  <c r="A16" i="7"/>
  <c r="A15" i="7"/>
  <c r="A14" i="7"/>
  <c r="A13" i="7"/>
  <c r="A12" i="7"/>
  <c r="A11" i="7"/>
  <c r="A10" i="7"/>
  <c r="A9" i="7"/>
  <c r="A8" i="7"/>
  <c r="A7" i="7"/>
  <c r="A6" i="7"/>
  <c r="A2" i="7"/>
  <c r="A1" i="7"/>
  <c r="U11" i="9"/>
  <c r="V11" i="9"/>
  <c r="AB11" i="9"/>
  <c r="AF11" i="9"/>
  <c r="AH11" i="9" s="1"/>
  <c r="AO11" i="9"/>
  <c r="AP11" i="9"/>
  <c r="U12" i="9"/>
  <c r="V12" i="9"/>
  <c r="AB12" i="9"/>
  <c r="B36" i="9" s="1"/>
  <c r="H36" i="9" s="1"/>
  <c r="I36" i="9" s="1"/>
  <c r="AF12" i="9"/>
  <c r="AO12" i="9"/>
  <c r="AP12" i="9"/>
  <c r="C63" i="9" s="1"/>
  <c r="B63" i="9" s="1"/>
  <c r="H63" i="9" s="1"/>
  <c r="I63" i="9" s="1"/>
  <c r="U13" i="9"/>
  <c r="V13" i="9"/>
  <c r="X13" i="9" s="1"/>
  <c r="AB13" i="9"/>
  <c r="AD13" i="9"/>
  <c r="AF13" i="9"/>
  <c r="AO13" i="9"/>
  <c r="AP13" i="9"/>
  <c r="U14" i="9"/>
  <c r="V14" i="9"/>
  <c r="Z13" i="9" s="1"/>
  <c r="AB14" i="9"/>
  <c r="AF14" i="9"/>
  <c r="AO14" i="9"/>
  <c r="AP14" i="9"/>
  <c r="C64" i="9" s="1"/>
  <c r="U15" i="9"/>
  <c r="V15" i="9"/>
  <c r="AB15" i="9"/>
  <c r="AF15" i="9"/>
  <c r="AO15" i="9"/>
  <c r="AP15" i="9"/>
  <c r="U16" i="9"/>
  <c r="V16" i="9"/>
  <c r="AB16" i="9"/>
  <c r="AF16" i="9"/>
  <c r="AO16" i="9"/>
  <c r="AP16" i="9"/>
  <c r="U17" i="9"/>
  <c r="V17" i="9"/>
  <c r="AB17" i="9"/>
  <c r="AF17" i="9"/>
  <c r="AO17" i="9"/>
  <c r="AP17" i="9"/>
  <c r="U18" i="9"/>
  <c r="X17" i="9" s="1"/>
  <c r="V18" i="9"/>
  <c r="AB18" i="9"/>
  <c r="AF18" i="9"/>
  <c r="AO18" i="9"/>
  <c r="AP18" i="9"/>
  <c r="U19" i="9"/>
  <c r="V19" i="9"/>
  <c r="AB19" i="9"/>
  <c r="AF19" i="9"/>
  <c r="AO19" i="9"/>
  <c r="C67" i="9" s="1"/>
  <c r="AP19" i="9"/>
  <c r="U20" i="9"/>
  <c r="V20" i="9"/>
  <c r="AB20" i="9"/>
  <c r="AF20" i="9"/>
  <c r="AO20" i="9"/>
  <c r="AP20" i="9"/>
  <c r="C65" i="9" s="1"/>
  <c r="E65" i="9" s="1"/>
  <c r="U21" i="9"/>
  <c r="V21" i="9"/>
  <c r="AB21" i="9"/>
  <c r="AD21" i="9"/>
  <c r="AF21" i="9"/>
  <c r="AO21" i="9"/>
  <c r="AP21" i="9"/>
  <c r="U22" i="9"/>
  <c r="V22" i="9"/>
  <c r="AB22" i="9"/>
  <c r="AF22" i="9"/>
  <c r="AO22" i="9"/>
  <c r="AP22" i="9"/>
  <c r="U23" i="9"/>
  <c r="X23" i="9" s="1"/>
  <c r="AM23" i="9" s="1"/>
  <c r="V23" i="9"/>
  <c r="Z23" i="9"/>
  <c r="AB23" i="9"/>
  <c r="AF23" i="9"/>
  <c r="AO23" i="9"/>
  <c r="C68" i="9" s="1"/>
  <c r="AP23" i="9"/>
  <c r="U24" i="9"/>
  <c r="V24" i="9"/>
  <c r="AB24" i="9"/>
  <c r="AF24" i="9"/>
  <c r="AO24" i="9"/>
  <c r="AP24" i="9"/>
  <c r="U25" i="9"/>
  <c r="V25" i="9"/>
  <c r="AB25" i="9"/>
  <c r="AF25" i="9"/>
  <c r="AO25" i="9"/>
  <c r="AP25" i="9"/>
  <c r="U26" i="9"/>
  <c r="V26" i="9"/>
  <c r="Z26" i="9"/>
  <c r="AB26" i="9"/>
  <c r="AF26" i="9"/>
  <c r="AO26" i="9"/>
  <c r="AP26" i="9"/>
  <c r="U27" i="9"/>
  <c r="V27" i="9"/>
  <c r="AB27" i="9"/>
  <c r="AF27" i="9"/>
  <c r="AO27" i="9"/>
  <c r="AP27" i="9"/>
  <c r="U28" i="9"/>
  <c r="V28" i="9"/>
  <c r="AB28" i="9"/>
  <c r="AF28" i="9"/>
  <c r="AO28" i="9"/>
  <c r="AP28" i="9"/>
  <c r="AO32" i="9"/>
  <c r="H33" i="9"/>
  <c r="I33" i="9" s="1"/>
  <c r="N33" i="9"/>
  <c r="P33" i="9"/>
  <c r="Q33" i="9"/>
  <c r="V33" i="9" s="1"/>
  <c r="R33" i="9"/>
  <c r="AP33" i="9"/>
  <c r="N34" i="9"/>
  <c r="P34" i="9"/>
  <c r="V34" i="9" s="1"/>
  <c r="Q34" i="9"/>
  <c r="R34" i="9"/>
  <c r="AP34" i="9"/>
  <c r="N35" i="9"/>
  <c r="W35" i="9" s="1"/>
  <c r="P35" i="9"/>
  <c r="Q35" i="9"/>
  <c r="R35" i="9"/>
  <c r="V35" i="9"/>
  <c r="AP35" i="9"/>
  <c r="C36" i="9"/>
  <c r="D36" i="9" s="1"/>
  <c r="N36" i="9"/>
  <c r="W36" i="9" s="1"/>
  <c r="P36" i="9"/>
  <c r="Q36" i="9"/>
  <c r="R36" i="9"/>
  <c r="V36" i="9"/>
  <c r="AP36" i="9"/>
  <c r="B37" i="9"/>
  <c r="N37" i="9"/>
  <c r="P37" i="9"/>
  <c r="Q37" i="9"/>
  <c r="R37" i="9"/>
  <c r="V37" i="9" s="1"/>
  <c r="AP37" i="9"/>
  <c r="AS37" i="9"/>
  <c r="AT37" i="9" s="1"/>
  <c r="N38" i="9"/>
  <c r="W38" i="9" s="1"/>
  <c r="P38" i="9"/>
  <c r="Q38" i="9"/>
  <c r="R38" i="9"/>
  <c r="V38" i="9"/>
  <c r="AP38" i="9"/>
  <c r="AT38" i="9" s="1"/>
  <c r="N39" i="9"/>
  <c r="W39" i="9" s="1"/>
  <c r="P39" i="9"/>
  <c r="Q39" i="9"/>
  <c r="R39" i="9"/>
  <c r="V39" i="9"/>
  <c r="AP39" i="9"/>
  <c r="AT39" i="9"/>
  <c r="N40" i="9"/>
  <c r="P40" i="9"/>
  <c r="V40" i="9" s="1"/>
  <c r="Q40" i="9"/>
  <c r="R40" i="9"/>
  <c r="W40" i="9"/>
  <c r="AP40" i="9"/>
  <c r="N41" i="9"/>
  <c r="P41" i="9"/>
  <c r="V41" i="9" s="1"/>
  <c r="Q41" i="9"/>
  <c r="R41" i="9"/>
  <c r="W41" i="9"/>
  <c r="AP41" i="9"/>
  <c r="AT41" i="9" s="1"/>
  <c r="N42" i="9"/>
  <c r="P42" i="9"/>
  <c r="Q42" i="9"/>
  <c r="V42" i="9" s="1"/>
  <c r="R42" i="9"/>
  <c r="AP42" i="9"/>
  <c r="AT42" i="9" s="1"/>
  <c r="N43" i="9"/>
  <c r="W43" i="9" s="1"/>
  <c r="P43" i="9"/>
  <c r="Q43" i="9"/>
  <c r="R43" i="9"/>
  <c r="V43" i="9" s="1"/>
  <c r="AP43" i="9"/>
  <c r="AT43" i="9" s="1"/>
  <c r="N44" i="9"/>
  <c r="W44" i="9" s="1"/>
  <c r="P44" i="9"/>
  <c r="Q44" i="9"/>
  <c r="R44" i="9"/>
  <c r="V44" i="9"/>
  <c r="AP44" i="9"/>
  <c r="AT44" i="9" s="1"/>
  <c r="N45" i="9"/>
  <c r="W45" i="9" s="1"/>
  <c r="P45" i="9"/>
  <c r="Q45" i="9"/>
  <c r="R45" i="9"/>
  <c r="V45" i="9"/>
  <c r="N46" i="9"/>
  <c r="P46" i="9"/>
  <c r="Q46" i="9"/>
  <c r="V46" i="9"/>
  <c r="W46" i="9"/>
  <c r="N47" i="9"/>
  <c r="W47" i="9" s="1"/>
  <c r="P47" i="9"/>
  <c r="Q47" i="9"/>
  <c r="AS47" i="9"/>
  <c r="AT47" i="9"/>
  <c r="AU47" i="9"/>
  <c r="AV47" i="9" s="1"/>
  <c r="AW47" i="9" s="1"/>
  <c r="AX47" i="9" s="1"/>
  <c r="N48" i="9"/>
  <c r="P48" i="9"/>
  <c r="Q48" i="9"/>
  <c r="W48" i="9" s="1"/>
  <c r="V48" i="9"/>
  <c r="AS48" i="9"/>
  <c r="AT48" i="9"/>
  <c r="AU48" i="9"/>
  <c r="N49" i="9"/>
  <c r="W49" i="9" s="1"/>
  <c r="P49" i="9"/>
  <c r="Q49" i="9"/>
  <c r="AS49" i="9"/>
  <c r="AV49" i="9" s="1"/>
  <c r="AW49" i="9" s="1"/>
  <c r="AX49" i="9" s="1"/>
  <c r="AT49" i="9"/>
  <c r="AU49" i="9"/>
  <c r="N50" i="9"/>
  <c r="V50" i="9" s="1"/>
  <c r="P50" i="9"/>
  <c r="Q50" i="9"/>
  <c r="W50" i="9"/>
  <c r="AS50" i="9"/>
  <c r="AT50" i="9"/>
  <c r="AV50" i="9" s="1"/>
  <c r="AW50" i="9" s="1"/>
  <c r="AX50" i="9" s="1"/>
  <c r="AU50" i="9"/>
  <c r="N51" i="9"/>
  <c r="P51" i="9"/>
  <c r="Q51" i="9"/>
  <c r="AS51" i="9"/>
  <c r="AV51" i="9" s="1"/>
  <c r="AW51" i="9" s="1"/>
  <c r="AX51" i="9" s="1"/>
  <c r="AO38" i="9" s="1"/>
  <c r="AT51" i="9"/>
  <c r="AU51" i="9"/>
  <c r="C52" i="9"/>
  <c r="D52" i="9"/>
  <c r="N52" i="9"/>
  <c r="V52" i="9" s="1"/>
  <c r="P52" i="9"/>
  <c r="Q52" i="9"/>
  <c r="W52" i="9"/>
  <c r="AS52" i="9"/>
  <c r="AT52" i="9"/>
  <c r="AU52" i="9"/>
  <c r="AV52" i="9"/>
  <c r="AW52" i="9" s="1"/>
  <c r="AX52" i="9" s="1"/>
  <c r="AO39" i="9" s="1"/>
  <c r="N53" i="9"/>
  <c r="P53" i="9"/>
  <c r="Q53" i="9"/>
  <c r="W53" i="9" s="1"/>
  <c r="V53" i="9"/>
  <c r="AS53" i="9"/>
  <c r="AV53" i="9" s="1"/>
  <c r="AW53" i="9" s="1"/>
  <c r="AX53" i="9" s="1"/>
  <c r="AO43" i="9" s="1"/>
  <c r="AT53" i="9"/>
  <c r="AU53" i="9"/>
  <c r="N54" i="9"/>
  <c r="P54" i="9"/>
  <c r="V54" i="9" s="1"/>
  <c r="Q54" i="9"/>
  <c r="W54" i="9"/>
  <c r="AS54" i="9"/>
  <c r="AV54" i="9" s="1"/>
  <c r="AW54" i="9" s="1"/>
  <c r="AX54" i="9" s="1"/>
  <c r="AO44" i="9" s="1"/>
  <c r="AT54" i="9"/>
  <c r="AU54" i="9"/>
  <c r="N55" i="9"/>
  <c r="V55" i="9" s="1"/>
  <c r="P55" i="9"/>
  <c r="Q55" i="9"/>
  <c r="W55" i="9"/>
  <c r="D57" i="9"/>
  <c r="D58" i="9"/>
  <c r="D59" i="9"/>
  <c r="D60" i="9"/>
  <c r="D61" i="9"/>
  <c r="D62" i="9"/>
  <c r="E63" i="9"/>
  <c r="D65" i="9"/>
  <c r="C66" i="9"/>
  <c r="E66" i="9" s="1"/>
  <c r="B67" i="9"/>
  <c r="H67" i="9" s="1"/>
  <c r="I67" i="9" s="1"/>
  <c r="D67" i="9"/>
  <c r="E67" i="9"/>
  <c r="D75" i="9"/>
  <c r="D76" i="9"/>
  <c r="D77" i="9"/>
  <c r="D78" i="9"/>
  <c r="D79" i="9"/>
  <c r="F79" i="9"/>
  <c r="D80" i="9"/>
  <c r="C93" i="9"/>
  <c r="AN11" i="9" s="1"/>
  <c r="C94" i="9"/>
  <c r="AN12" i="9" s="1"/>
  <c r="Y34" i="9" s="1"/>
  <c r="Y47" i="9" s="1"/>
  <c r="C95" i="9"/>
  <c r="AN13" i="9" s="1"/>
  <c r="C96" i="9"/>
  <c r="AN14" i="9" s="1"/>
  <c r="C97" i="9"/>
  <c r="AN15" i="9" s="1"/>
  <c r="Y37" i="9" s="1"/>
  <c r="Y50" i="9" s="1"/>
  <c r="C98" i="9"/>
  <c r="AN16" i="9" s="1"/>
  <c r="Y38" i="9" s="1"/>
  <c r="Y51" i="9" s="1"/>
  <c r="C99" i="9"/>
  <c r="AN17" i="9" s="1"/>
  <c r="C100" i="9"/>
  <c r="AN18" i="9" s="1"/>
  <c r="C101" i="9"/>
  <c r="AN19" i="9" s="1"/>
  <c r="Y41" i="9" s="1"/>
  <c r="Y54" i="9" s="1"/>
  <c r="C102" i="9"/>
  <c r="AN20" i="9" s="1"/>
  <c r="Y42" i="9" s="1"/>
  <c r="Y55" i="9" s="1"/>
  <c r="C103" i="9"/>
  <c r="AN21" i="9" s="1"/>
  <c r="Y43" i="9" s="1"/>
  <c r="C104" i="9"/>
  <c r="AN22" i="9" s="1"/>
  <c r="Y44" i="9" s="1"/>
  <c r="C105" i="9"/>
  <c r="AN23" i="9" s="1"/>
  <c r="C106" i="9"/>
  <c r="AN24" i="9" s="1"/>
  <c r="C107" i="9"/>
  <c r="AN25" i="9" s="1"/>
  <c r="C108" i="9"/>
  <c r="AN26" i="9" s="1"/>
  <c r="C109" i="9"/>
  <c r="AN27" i="9" s="1"/>
  <c r="C110" i="9"/>
  <c r="AN28" i="9" s="1"/>
  <c r="X123" i="9"/>
  <c r="Y123" i="9"/>
  <c r="Z123" i="9"/>
  <c r="AA123" i="9"/>
  <c r="AB123" i="9"/>
  <c r="AC123" i="9"/>
  <c r="AL123" i="9"/>
  <c r="X124" i="9"/>
  <c r="Y124" i="9"/>
  <c r="Z124" i="9"/>
  <c r="AA124" i="9"/>
  <c r="AF124" i="9" s="1"/>
  <c r="AB124" i="9"/>
  <c r="F152" i="9" s="1"/>
  <c r="AC124" i="9"/>
  <c r="AG124" i="9"/>
  <c r="X125" i="9"/>
  <c r="Y125" i="9"/>
  <c r="Z125" i="9"/>
  <c r="AA125" i="9"/>
  <c r="AB125" i="9"/>
  <c r="AC125" i="9"/>
  <c r="X126" i="9"/>
  <c r="Y126" i="9"/>
  <c r="Z126" i="9"/>
  <c r="AA126" i="9"/>
  <c r="AB126" i="9"/>
  <c r="AC126" i="9"/>
  <c r="AS126" i="9"/>
  <c r="X127" i="9"/>
  <c r="Y127" i="9"/>
  <c r="Z127" i="9"/>
  <c r="AA127" i="9"/>
  <c r="AB127" i="9"/>
  <c r="AK126" i="9" s="1"/>
  <c r="AC127" i="9"/>
  <c r="X128" i="9"/>
  <c r="Y128" i="9"/>
  <c r="Z128" i="9"/>
  <c r="AA128" i="9"/>
  <c r="AB128" i="9"/>
  <c r="AC128" i="9"/>
  <c r="X129" i="9"/>
  <c r="Y129" i="9"/>
  <c r="Z129" i="9"/>
  <c r="AA129" i="9"/>
  <c r="AF128" i="9" s="1"/>
  <c r="AO128" i="9" s="1"/>
  <c r="AB129" i="9"/>
  <c r="AC129" i="9"/>
  <c r="AL129" i="9"/>
  <c r="X130" i="9"/>
  <c r="Y130" i="9"/>
  <c r="Z130" i="9"/>
  <c r="AA130" i="9"/>
  <c r="AB130" i="9"/>
  <c r="AC130" i="9"/>
  <c r="X131" i="9"/>
  <c r="Y131" i="9"/>
  <c r="Z131" i="9"/>
  <c r="AA131" i="9"/>
  <c r="AB131" i="9"/>
  <c r="AC131" i="9"/>
  <c r="X132" i="9"/>
  <c r="Y132" i="9"/>
  <c r="Z132" i="9"/>
  <c r="AA132" i="9"/>
  <c r="AB132" i="9"/>
  <c r="AK129" i="9" s="1"/>
  <c r="AC132" i="9"/>
  <c r="X133" i="9"/>
  <c r="B158" i="9" s="1"/>
  <c r="Y133" i="9"/>
  <c r="Z133" i="9"/>
  <c r="AA133" i="9"/>
  <c r="AB133" i="9"/>
  <c r="D153" i="9" s="1"/>
  <c r="AC133" i="9"/>
  <c r="X134" i="9"/>
  <c r="AE134" i="9" s="1"/>
  <c r="AN134" i="9" s="1"/>
  <c r="Y134" i="9"/>
  <c r="Z134" i="9"/>
  <c r="AA134" i="9"/>
  <c r="AB134" i="9"/>
  <c r="C154" i="9" s="1"/>
  <c r="AC134" i="9"/>
  <c r="X135" i="9"/>
  <c r="Y135" i="9"/>
  <c r="AF134" i="9" s="1"/>
  <c r="Z135" i="9"/>
  <c r="AA135" i="9"/>
  <c r="AB135" i="9"/>
  <c r="AC135" i="9"/>
  <c r="X136" i="9"/>
  <c r="Y136" i="9"/>
  <c r="Z136" i="9"/>
  <c r="AA136" i="9"/>
  <c r="AB136" i="9"/>
  <c r="AC136" i="9"/>
  <c r="X137" i="9"/>
  <c r="Y137" i="9"/>
  <c r="Z137" i="9"/>
  <c r="AA137" i="9"/>
  <c r="AB137" i="9"/>
  <c r="AC137" i="9"/>
  <c r="AS137" i="9"/>
  <c r="X138" i="9"/>
  <c r="Y138" i="9"/>
  <c r="Z138" i="9"/>
  <c r="AA138" i="9"/>
  <c r="AB138" i="9"/>
  <c r="AC138" i="9"/>
  <c r="AF138" i="9"/>
  <c r="AR138" i="9" s="1"/>
  <c r="AO138" i="9"/>
  <c r="X139" i="9"/>
  <c r="Y139" i="9"/>
  <c r="Z139" i="9"/>
  <c r="AA139" i="9"/>
  <c r="AB139" i="9"/>
  <c r="AC139" i="9"/>
  <c r="X140" i="9"/>
  <c r="AE138" i="9" s="1"/>
  <c r="Y140" i="9"/>
  <c r="Z140" i="9"/>
  <c r="AA140" i="9"/>
  <c r="AB140" i="9"/>
  <c r="AC140" i="9"/>
  <c r="AC144" i="9"/>
  <c r="AD145" i="9"/>
  <c r="AD146" i="9"/>
  <c r="AD147" i="9"/>
  <c r="AD148" i="9"/>
  <c r="AD149" i="9"/>
  <c r="AF149" i="9"/>
  <c r="AD150" i="9"/>
  <c r="AF150" i="9"/>
  <c r="AD151" i="9"/>
  <c r="AF151" i="9" s="1"/>
  <c r="AD152" i="9"/>
  <c r="AF152" i="9" s="1"/>
  <c r="AD153" i="9"/>
  <c r="AF153" i="9" s="1"/>
  <c r="D154" i="9"/>
  <c r="E154" i="9"/>
  <c r="AD154" i="9"/>
  <c r="AF154" i="9"/>
  <c r="B155" i="9"/>
  <c r="AD155" i="9"/>
  <c r="AF155" i="9" s="1"/>
  <c r="D156" i="9"/>
  <c r="F156" i="9"/>
  <c r="AD156" i="9"/>
  <c r="AF156" i="9"/>
  <c r="B157" i="9"/>
  <c r="D158" i="9"/>
  <c r="AH160" i="9"/>
  <c r="AI160" i="9" s="1"/>
  <c r="AJ160" i="9" s="1"/>
  <c r="AG160" i="9"/>
  <c r="B161" i="9"/>
  <c r="D161" i="9"/>
  <c r="F161" i="9"/>
  <c r="AG161" i="9"/>
  <c r="AH161" i="9"/>
  <c r="AI161" i="9" s="1"/>
  <c r="AJ161" i="9" s="1"/>
  <c r="B162" i="9"/>
  <c r="D162" i="9"/>
  <c r="F162" i="9"/>
  <c r="AH162" i="9"/>
  <c r="AI162" i="9" s="1"/>
  <c r="AJ162" i="9" s="1"/>
  <c r="AG162" i="9"/>
  <c r="AH163" i="9"/>
  <c r="AI163" i="9" s="1"/>
  <c r="AJ163" i="9" s="1"/>
  <c r="AG163" i="9"/>
  <c r="AH164" i="9"/>
  <c r="AI164" i="9" s="1"/>
  <c r="AJ164" i="9" s="1"/>
  <c r="AC150" i="9" s="1"/>
  <c r="AG164" i="9"/>
  <c r="F165" i="9"/>
  <c r="AG165" i="9"/>
  <c r="AH165" i="9"/>
  <c r="AI165" i="9" s="1"/>
  <c r="AJ165" i="9" s="1"/>
  <c r="AC151" i="9" s="1"/>
  <c r="AH166" i="9"/>
  <c r="AI166" i="9" s="1"/>
  <c r="AJ166" i="9" s="1"/>
  <c r="AC155" i="9" s="1"/>
  <c r="AG166" i="9"/>
  <c r="AH167" i="9"/>
  <c r="AI167" i="9" s="1"/>
  <c r="AJ167" i="9" s="1"/>
  <c r="AC156" i="9" s="1"/>
  <c r="AG167" i="9"/>
  <c r="E195" i="9"/>
  <c r="AS123" i="9" s="1"/>
  <c r="E196" i="9"/>
  <c r="AS124" i="9" s="1"/>
  <c r="E197" i="9"/>
  <c r="AS125" i="9" s="1"/>
  <c r="E198" i="9"/>
  <c r="E199" i="9"/>
  <c r="AS127" i="9" s="1"/>
  <c r="E200" i="9"/>
  <c r="AS128" i="9" s="1"/>
  <c r="E201" i="9"/>
  <c r="AS129" i="9" s="1"/>
  <c r="E202" i="9"/>
  <c r="AS130" i="9" s="1"/>
  <c r="E203" i="9"/>
  <c r="AS131" i="9" s="1"/>
  <c r="E204" i="9"/>
  <c r="AS132" i="9" s="1"/>
  <c r="E205" i="9"/>
  <c r="AS133" i="9" s="1"/>
  <c r="E206" i="9"/>
  <c r="AS134" i="9" s="1"/>
  <c r="E207" i="9"/>
  <c r="AS135" i="9" s="1"/>
  <c r="E208" i="9"/>
  <c r="AS136" i="9" s="1"/>
  <c r="E209" i="9"/>
  <c r="E210" i="9"/>
  <c r="AS138" i="9" s="1"/>
  <c r="E211" i="9"/>
  <c r="AS139" i="9" s="1"/>
  <c r="E212" i="9"/>
  <c r="AS140" i="9" s="1"/>
  <c r="B223" i="9"/>
  <c r="D223" i="9"/>
  <c r="H227" i="9"/>
  <c r="O227" i="9"/>
  <c r="H228" i="9"/>
  <c r="O228" i="9"/>
  <c r="A229" i="9"/>
  <c r="O232" i="9" s="1"/>
  <c r="H229" i="9"/>
  <c r="O229" i="9"/>
  <c r="H230" i="9"/>
  <c r="H231" i="9"/>
  <c r="H232" i="9"/>
  <c r="C233" i="9" s="1"/>
  <c r="CT8" i="6" l="1"/>
  <c r="CA8" i="6"/>
  <c r="CC8" i="6"/>
  <c r="BB8" i="6"/>
  <c r="CQ8" i="6"/>
  <c r="G2964" i="7"/>
  <c r="G1405" i="7"/>
  <c r="G1253" i="7"/>
  <c r="G1252" i="7"/>
  <c r="G1232" i="7"/>
  <c r="G1231" i="7"/>
  <c r="G3543" i="7"/>
  <c r="G3555" i="7" s="1"/>
  <c r="G3901" i="7"/>
  <c r="G3849" i="7"/>
  <c r="G4433" i="7"/>
  <c r="G4012" i="7"/>
  <c r="G4355" i="7"/>
  <c r="G3823" i="7"/>
  <c r="G336" i="7"/>
  <c r="G3982" i="7"/>
  <c r="G4459" i="7"/>
  <c r="G187" i="7"/>
  <c r="G226" i="7"/>
  <c r="G239" i="7"/>
  <c r="G2891" i="7"/>
  <c r="G200" i="7"/>
  <c r="G783" i="7"/>
  <c r="G4693" i="7"/>
  <c r="G3797" i="7"/>
  <c r="G3518" i="7"/>
  <c r="G3530" i="7" s="1"/>
  <c r="G146" i="7"/>
  <c r="G533" i="7"/>
  <c r="G536" i="7" s="1"/>
  <c r="G549" i="7" s="1"/>
  <c r="G1186" i="7"/>
  <c r="A2148" i="7"/>
  <c r="A2322" i="7"/>
  <c r="A2178" i="7"/>
  <c r="A2064" i="7"/>
  <c r="A2252" i="7"/>
  <c r="A1009" i="7"/>
  <c r="A1673" i="7"/>
  <c r="A2190" i="7"/>
  <c r="G4615" i="7"/>
  <c r="A1390" i="7"/>
  <c r="A4333" i="7"/>
  <c r="A1075" i="7"/>
  <c r="A3185" i="7"/>
  <c r="A3462" i="7"/>
  <c r="A3496" i="7"/>
  <c r="G2940" i="7"/>
  <c r="A2376" i="7"/>
  <c r="A2395" i="7"/>
  <c r="A1063" i="7"/>
  <c r="G2989" i="7"/>
  <c r="A1257" i="7"/>
  <c r="G2962" i="7"/>
  <c r="G2963" i="7" s="1"/>
  <c r="G366" i="7"/>
  <c r="G4511" i="7"/>
  <c r="A1189" i="7"/>
  <c r="C2295" i="7"/>
  <c r="A2295" i="7" s="1"/>
  <c r="G3953" i="7"/>
  <c r="G4485" i="7"/>
  <c r="G2941" i="7"/>
  <c r="A826" i="7"/>
  <c r="A371" i="7"/>
  <c r="A1027" i="7"/>
  <c r="G1481" i="7"/>
  <c r="G3875" i="7"/>
  <c r="A4151" i="7"/>
  <c r="G4407" i="7"/>
  <c r="G2943" i="7"/>
  <c r="G175" i="7"/>
  <c r="A1695" i="7"/>
  <c r="A3068" i="7"/>
  <c r="G2505" i="7"/>
  <c r="A4125" i="7"/>
  <c r="A1021" i="7"/>
  <c r="A217" i="7"/>
  <c r="A509" i="7"/>
  <c r="A890" i="7"/>
  <c r="A1966" i="7"/>
  <c r="G145" i="7"/>
  <c r="G2986" i="7"/>
  <c r="A1336" i="7"/>
  <c r="A1117" i="7"/>
  <c r="A401" i="7"/>
  <c r="G1747" i="7"/>
  <c r="G1750" i="7" s="1"/>
  <c r="A1992" i="7"/>
  <c r="A2016" i="7"/>
  <c r="A2022" i="7"/>
  <c r="A2028" i="7"/>
  <c r="A2430" i="7"/>
  <c r="A3159" i="7"/>
  <c r="A3434" i="7"/>
  <c r="A4489" i="7"/>
  <c r="A1051" i="7"/>
  <c r="A1057" i="7"/>
  <c r="A1236" i="7"/>
  <c r="G1558" i="7"/>
  <c r="G1556" i="7" s="1"/>
  <c r="G1559" i="7" s="1"/>
  <c r="A1831" i="7"/>
  <c r="A1954" i="7"/>
  <c r="A1972" i="7"/>
  <c r="A2106" i="7"/>
  <c r="A2166" i="7"/>
  <c r="A2172" i="7"/>
  <c r="A3043" i="7"/>
  <c r="A3589" i="7"/>
  <c r="A1045" i="7"/>
  <c r="A1347" i="7"/>
  <c r="A1793" i="7"/>
  <c r="A2232" i="7"/>
  <c r="A2453" i="7"/>
  <c r="A2792" i="7"/>
  <c r="A3107" i="7"/>
  <c r="A3211" i="7"/>
  <c r="A3227" i="7"/>
  <c r="A3987" i="7"/>
  <c r="A4255" i="7"/>
  <c r="A606" i="7"/>
  <c r="A1948" i="7"/>
  <c r="A167" i="7"/>
  <c r="A455" i="7"/>
  <c r="A500" i="7"/>
  <c r="G529" i="7"/>
  <c r="A532" i="7"/>
  <c r="G628" i="7"/>
  <c r="A1998" i="7"/>
  <c r="A2660" i="7"/>
  <c r="A958" i="7"/>
  <c r="A976" i="7"/>
  <c r="A1976" i="7"/>
  <c r="A4203" i="7"/>
  <c r="A4307" i="7"/>
  <c r="A341" i="7"/>
  <c r="A1928" i="7"/>
  <c r="A1940" i="7"/>
  <c r="C2284" i="7"/>
  <c r="A2284" i="7" s="1"/>
  <c r="A735" i="7"/>
  <c r="A912" i="7"/>
  <c r="A1596" i="7"/>
  <c r="C2277" i="7"/>
  <c r="A2277" i="7" s="1"/>
  <c r="A4073" i="7"/>
  <c r="A59" i="7"/>
  <c r="A290" i="7"/>
  <c r="A1033" i="7"/>
  <c r="A1717" i="7"/>
  <c r="A2810" i="7"/>
  <c r="A3133" i="7"/>
  <c r="A3559" i="7"/>
  <c r="A4281" i="7"/>
  <c r="A4437" i="7"/>
  <c r="A522" i="7"/>
  <c r="G739" i="7"/>
  <c r="A994" i="7"/>
  <c r="A1205" i="7"/>
  <c r="A1607" i="7"/>
  <c r="A1812" i="7"/>
  <c r="A2352" i="7"/>
  <c r="G2450" i="7"/>
  <c r="A2801" i="7"/>
  <c r="A3315" i="7"/>
  <c r="A4411" i="7"/>
  <c r="A643" i="7"/>
  <c r="A798" i="7"/>
  <c r="A812" i="7"/>
  <c r="A1081" i="7"/>
  <c r="A1157" i="7"/>
  <c r="G1461" i="7"/>
  <c r="G1541" i="7"/>
  <c r="G1766" i="7"/>
  <c r="G1769" i="7" s="1"/>
  <c r="A2004" i="7"/>
  <c r="A2010" i="7"/>
  <c r="A2268" i="7"/>
  <c r="A2783" i="7"/>
  <c r="A3016" i="7"/>
  <c r="A3034" i="7"/>
  <c r="A3101" i="7"/>
  <c r="A3509" i="7"/>
  <c r="G3493" i="7"/>
  <c r="A3905" i="7"/>
  <c r="G3927" i="7"/>
  <c r="A4099" i="7"/>
  <c r="A4359" i="7"/>
  <c r="G4381" i="7"/>
  <c r="G4569" i="7"/>
  <c r="G2872" i="7"/>
  <c r="A258" i="7"/>
  <c r="A311" i="7"/>
  <c r="A847" i="7"/>
  <c r="G943" i="7"/>
  <c r="G942" i="7" s="1"/>
  <c r="G982" i="7"/>
  <c r="A1093" i="7"/>
  <c r="A1629" i="7"/>
  <c r="A1662" i="7"/>
  <c r="G1728" i="7"/>
  <c r="G1731" i="7" s="1"/>
  <c r="A1869" i="7"/>
  <c r="A1917" i="7"/>
  <c r="G2850" i="7"/>
  <c r="A3252" i="7"/>
  <c r="C2242" i="7"/>
  <c r="A2242" i="7" s="1"/>
  <c r="A41" i="7"/>
  <c r="A191" i="7"/>
  <c r="G396" i="7"/>
  <c r="G665" i="7"/>
  <c r="G931" i="7"/>
  <c r="A1039" i="7"/>
  <c r="A1125" i="7"/>
  <c r="G1170" i="7"/>
  <c r="A1314" i="7"/>
  <c r="A1445" i="7"/>
  <c r="A1525" i="7"/>
  <c r="A1651" i="7"/>
  <c r="A1755" i="7"/>
  <c r="A2198" i="7"/>
  <c r="A2205" i="7"/>
  <c r="A2854" i="7"/>
  <c r="A3231" i="7"/>
  <c r="G4042" i="7"/>
  <c r="A4229" i="7"/>
  <c r="G4512" i="7"/>
  <c r="A1215" i="7"/>
  <c r="A1684" i="7"/>
  <c r="A1736" i="7"/>
  <c r="A1850" i="7"/>
  <c r="A1960" i="7"/>
  <c r="A2058" i="7"/>
  <c r="A2100" i="7"/>
  <c r="A2142" i="7"/>
  <c r="A2226" i="7"/>
  <c r="A2751" i="7"/>
  <c r="A3801" i="7"/>
  <c r="A4047" i="7"/>
  <c r="G4524" i="7"/>
  <c r="G4536" i="7" s="1"/>
  <c r="A4560" i="7"/>
  <c r="A4604" i="7"/>
  <c r="A4697" i="7"/>
  <c r="A113" i="7"/>
  <c r="G259" i="7"/>
  <c r="G262" i="7" s="1"/>
  <c r="G284" i="7" s="1"/>
  <c r="A1585" i="7"/>
  <c r="A1937" i="7"/>
  <c r="A1980" i="7"/>
  <c r="A2310" i="7"/>
  <c r="A2328" i="7"/>
  <c r="A2346" i="7"/>
  <c r="A2610" i="7"/>
  <c r="G2917" i="7"/>
  <c r="A3243" i="7"/>
  <c r="A3355" i="7"/>
  <c r="A4177" i="7"/>
  <c r="A4555" i="7"/>
  <c r="C2044" i="7"/>
  <c r="A2044" i="7" s="1"/>
  <c r="A2043" i="7"/>
  <c r="C2086" i="7"/>
  <c r="C2087" i="7" s="1"/>
  <c r="A2085" i="7"/>
  <c r="C2128" i="7"/>
  <c r="A2128" i="7" s="1"/>
  <c r="A2127" i="7"/>
  <c r="C2208" i="7"/>
  <c r="A2208" i="7" s="1"/>
  <c r="A2207" i="7"/>
  <c r="A4515" i="7"/>
  <c r="G2847" i="7"/>
  <c r="G2848" i="7" s="1"/>
  <c r="A23" i="7"/>
  <c r="A680" i="7"/>
  <c r="A717" i="7"/>
  <c r="A753" i="7"/>
  <c r="A925" i="7"/>
  <c r="A946" i="7"/>
  <c r="A1015" i="7"/>
  <c r="A1141" i="7"/>
  <c r="A1373" i="7"/>
  <c r="A1465" i="7"/>
  <c r="G1501" i="7"/>
  <c r="A1545" i="7"/>
  <c r="G1581" i="7"/>
  <c r="A1774" i="7"/>
  <c r="A2042" i="7"/>
  <c r="A2084" i="7"/>
  <c r="A2126" i="7"/>
  <c r="C2157" i="7"/>
  <c r="A2157" i="7" s="1"/>
  <c r="C2235" i="7"/>
  <c r="A2235" i="7" s="1"/>
  <c r="A2510" i="7"/>
  <c r="A1276" i="7"/>
  <c r="A2480" i="7"/>
  <c r="G1499" i="7"/>
  <c r="G1579" i="7"/>
  <c r="C2067" i="7"/>
  <c r="C2109" i="7"/>
  <c r="C2151" i="7"/>
  <c r="C2211" i="7"/>
  <c r="A2560" i="7"/>
  <c r="A2710" i="7"/>
  <c r="G3097" i="7"/>
  <c r="A4618" i="7"/>
  <c r="G1479" i="7"/>
  <c r="A131" i="7"/>
  <c r="A149" i="7"/>
  <c r="A179" i="7"/>
  <c r="A555" i="7"/>
  <c r="G702" i="7"/>
  <c r="A1087" i="7"/>
  <c r="G1441" i="7"/>
  <c r="A1485" i="7"/>
  <c r="G1521" i="7"/>
  <c r="A1565" i="7"/>
  <c r="A1640" i="7"/>
  <c r="A2036" i="7"/>
  <c r="A2078" i="7"/>
  <c r="A2120" i="7"/>
  <c r="A2184" i="7"/>
  <c r="A2196" i="7"/>
  <c r="A2274" i="7"/>
  <c r="A2316" i="7"/>
  <c r="G2871" i="7"/>
  <c r="A2875" i="7"/>
  <c r="A2921" i="7"/>
  <c r="A2992" i="7"/>
  <c r="A3382" i="7"/>
  <c r="A3476" i="7"/>
  <c r="G3616" i="7"/>
  <c r="G3642" i="7"/>
  <c r="G3668" i="7"/>
  <c r="G3694" i="7"/>
  <c r="G3720" i="7"/>
  <c r="G3746" i="7"/>
  <c r="G3772" i="7"/>
  <c r="G3850" i="7"/>
  <c r="G3876" i="7"/>
  <c r="G3954" i="7"/>
  <c r="A784" i="7"/>
  <c r="A868" i="7"/>
  <c r="G1439" i="7"/>
  <c r="G1519" i="7"/>
  <c r="G1861" i="7"/>
  <c r="G1864" i="7" s="1"/>
  <c r="G3273" i="7"/>
  <c r="G3282" i="7" s="1"/>
  <c r="A934" i="7"/>
  <c r="A1618" i="7"/>
  <c r="A2833" i="7"/>
  <c r="A411" i="7"/>
  <c r="A95" i="7"/>
  <c r="A204" i="7"/>
  <c r="A230" i="7"/>
  <c r="A768" i="7"/>
  <c r="A968" i="7"/>
  <c r="A985" i="7"/>
  <c r="A1105" i="7"/>
  <c r="A1111" i="7"/>
  <c r="A1173" i="7"/>
  <c r="G1202" i="7"/>
  <c r="A1425" i="7"/>
  <c r="A1505" i="7"/>
  <c r="G1823" i="7"/>
  <c r="G1826" i="7" s="1"/>
  <c r="G1842" i="7"/>
  <c r="G1845" i="7" s="1"/>
  <c r="A1877" i="7"/>
  <c r="A1944" i="7"/>
  <c r="A1986" i="7"/>
  <c r="A2340" i="7"/>
  <c r="A2370" i="7"/>
  <c r="G2607" i="7"/>
  <c r="A2726" i="7"/>
  <c r="G2822" i="7"/>
  <c r="A2825" i="7"/>
  <c r="A2969" i="7"/>
  <c r="A3235" i="7"/>
  <c r="G3294" i="7"/>
  <c r="G3303" i="7" s="1"/>
  <c r="G4382" i="7"/>
  <c r="G4408" i="7"/>
  <c r="A4540" i="7"/>
  <c r="A4550" i="7"/>
  <c r="A1885" i="7"/>
  <c r="A77" i="7"/>
  <c r="A243" i="7"/>
  <c r="G731" i="7"/>
  <c r="G732" i="7" s="1"/>
  <c r="G957" i="7"/>
  <c r="A1003" i="7"/>
  <c r="A1099" i="7"/>
  <c r="A1133" i="7"/>
  <c r="G1459" i="7"/>
  <c r="G1539" i="7"/>
  <c r="A1706" i="7"/>
  <c r="G1785" i="7"/>
  <c r="G1788" i="7" s="1"/>
  <c r="G1804" i="7"/>
  <c r="G1807" i="7" s="1"/>
  <c r="A2247" i="7"/>
  <c r="C2254" i="7"/>
  <c r="A2254" i="7" s="1"/>
  <c r="A2289" i="7"/>
  <c r="A2364" i="7"/>
  <c r="A2382" i="7"/>
  <c r="A2434" i="7"/>
  <c r="A2898" i="7"/>
  <c r="A3054" i="7"/>
  <c r="A3215" i="7"/>
  <c r="A3264" i="7"/>
  <c r="G3349" i="7"/>
  <c r="A3575" i="7"/>
  <c r="A3593" i="7"/>
  <c r="A3619" i="7"/>
  <c r="A3645" i="7"/>
  <c r="A3671" i="7"/>
  <c r="A3697" i="7"/>
  <c r="A3723" i="7"/>
  <c r="A3749" i="7"/>
  <c r="A3775" i="7"/>
  <c r="A3827" i="7"/>
  <c r="A3853" i="7"/>
  <c r="A3879" i="7"/>
  <c r="A3931" i="7"/>
  <c r="G675" i="7"/>
  <c r="G670" i="7"/>
  <c r="G673" i="7" s="1"/>
  <c r="G367" i="7"/>
  <c r="G348" i="7"/>
  <c r="G362" i="7" s="1"/>
  <c r="G638" i="7"/>
  <c r="G633" i="7"/>
  <c r="G636" i="7" s="1"/>
  <c r="G199" i="7"/>
  <c r="G174" i="7"/>
  <c r="G186" i="7"/>
  <c r="G213" i="7"/>
  <c r="G583" i="7"/>
  <c r="G586" i="7" s="1"/>
  <c r="G600" i="7" s="1"/>
  <c r="G712" i="7"/>
  <c r="C2040" i="7"/>
  <c r="A2040" i="7" s="1"/>
  <c r="A2039" i="7"/>
  <c r="C2082" i="7"/>
  <c r="A2082" i="7" s="1"/>
  <c r="A2081" i="7"/>
  <c r="C2124" i="7"/>
  <c r="A2124" i="7" s="1"/>
  <c r="A2123" i="7"/>
  <c r="G318" i="7"/>
  <c r="G332" i="7" s="1"/>
  <c r="G378" i="7"/>
  <c r="G392" i="7" s="1"/>
  <c r="G579" i="7"/>
  <c r="G582" i="7" s="1"/>
  <c r="G599" i="7" s="1"/>
  <c r="G741" i="7"/>
  <c r="A1360" i="7"/>
  <c r="A1295" i="7"/>
  <c r="A1325" i="7"/>
  <c r="A1408" i="7"/>
  <c r="C2034" i="7"/>
  <c r="A2034" i="7" s="1"/>
  <c r="A2033" i="7"/>
  <c r="A2049" i="7"/>
  <c r="C2050" i="7"/>
  <c r="C2076" i="7"/>
  <c r="A2076" i="7" s="1"/>
  <c r="A2075" i="7"/>
  <c r="A2091" i="7"/>
  <c r="C2092" i="7"/>
  <c r="C2118" i="7"/>
  <c r="A2118" i="7" s="1"/>
  <c r="A2117" i="7"/>
  <c r="A2133" i="7"/>
  <c r="C2134" i="7"/>
  <c r="A2031" i="7"/>
  <c r="A2048" i="7"/>
  <c r="A2073" i="7"/>
  <c r="A2090" i="7"/>
  <c r="A2115" i="7"/>
  <c r="A2132" i="7"/>
  <c r="C2201" i="7"/>
  <c r="A2204" i="7"/>
  <c r="C2248" i="7"/>
  <c r="A2248" i="7" s="1"/>
  <c r="A2246" i="7"/>
  <c r="C2250" i="7"/>
  <c r="A2250" i="7" s="1"/>
  <c r="C2285" i="7"/>
  <c r="A2358" i="7"/>
  <c r="A2030" i="7"/>
  <c r="A2037" i="7"/>
  <c r="A2072" i="7"/>
  <c r="A2079" i="7"/>
  <c r="A2114" i="7"/>
  <c r="A2121" i="7"/>
  <c r="C2243" i="7"/>
  <c r="C2292" i="7"/>
  <c r="A2292" i="7" s="1"/>
  <c r="C2259" i="7"/>
  <c r="A2258" i="7"/>
  <c r="C2301" i="7"/>
  <c r="A2300" i="7"/>
  <c r="C2217" i="7"/>
  <c r="A2216" i="7"/>
  <c r="A2334" i="7"/>
  <c r="G3166" i="7"/>
  <c r="G3179" i="7" s="1"/>
  <c r="G3983" i="7"/>
  <c r="G4106" i="7"/>
  <c r="G4119" i="7" s="1"/>
  <c r="G4210" i="7"/>
  <c r="G4223" i="7" s="1"/>
  <c r="G4314" i="7"/>
  <c r="G4327" i="7" s="1"/>
  <c r="G4444" i="7"/>
  <c r="G4457" i="7" s="1"/>
  <c r="A2288" i="7"/>
  <c r="G2895" i="7"/>
  <c r="G2892" i="7"/>
  <c r="G3192" i="7"/>
  <c r="G3205" i="7" s="1"/>
  <c r="A3223" i="7"/>
  <c r="A3324" i="7"/>
  <c r="G3912" i="7"/>
  <c r="G3925" i="7" s="1"/>
  <c r="A4017" i="7"/>
  <c r="G4132" i="7"/>
  <c r="G4145" i="7" s="1"/>
  <c r="G4236" i="7"/>
  <c r="G4249" i="7" s="1"/>
  <c r="G4340" i="7"/>
  <c r="G4353" i="7" s="1"/>
  <c r="G2868" i="7"/>
  <c r="G2869" i="7" s="1"/>
  <c r="G2911" i="7"/>
  <c r="G2908" i="7"/>
  <c r="A3025" i="7"/>
  <c r="G3114" i="7"/>
  <c r="G3127" i="7" s="1"/>
  <c r="A3239" i="7"/>
  <c r="G3808" i="7"/>
  <c r="G3821" i="7" s="1"/>
  <c r="G4013" i="7"/>
  <c r="G3994" i="7"/>
  <c r="G4008" i="7" s="1"/>
  <c r="G4043" i="7"/>
  <c r="G4054" i="7"/>
  <c r="G4067" i="7" s="1"/>
  <c r="G4158" i="7"/>
  <c r="G4171" i="7" s="1"/>
  <c r="G4262" i="7"/>
  <c r="G4275" i="7" s="1"/>
  <c r="A4463" i="7"/>
  <c r="G4692" i="7"/>
  <c r="A2946" i="7"/>
  <c r="A3076" i="7"/>
  <c r="G3140" i="7"/>
  <c r="G3153" i="7" s="1"/>
  <c r="A3219" i="7"/>
  <c r="A3448" i="7"/>
  <c r="A3534" i="7"/>
  <c r="A3957" i="7"/>
  <c r="G4080" i="7"/>
  <c r="G4093" i="7" s="1"/>
  <c r="G4184" i="7"/>
  <c r="G4197" i="7" s="1"/>
  <c r="G4288" i="7"/>
  <c r="G4301" i="7" s="1"/>
  <c r="A4385" i="7"/>
  <c r="A4545" i="7"/>
  <c r="A4573" i="7"/>
  <c r="A4596" i="7"/>
  <c r="G3798" i="7"/>
  <c r="G3902" i="7"/>
  <c r="G4434" i="7"/>
  <c r="G4470" i="7"/>
  <c r="G4483" i="7" s="1"/>
  <c r="AX138" i="9"/>
  <c r="AV133" i="9"/>
  <c r="AV129" i="9"/>
  <c r="AV125" i="9"/>
  <c r="AR124" i="9"/>
  <c r="AO124" i="9"/>
  <c r="AN138" i="9"/>
  <c r="F166" i="9"/>
  <c r="D167" i="9"/>
  <c r="F167" i="9"/>
  <c r="AQ138" i="9"/>
  <c r="D166" i="9"/>
  <c r="B167" i="9"/>
  <c r="B166" i="9"/>
  <c r="AO134" i="9"/>
  <c r="AR134" i="9"/>
  <c r="AX135" i="9"/>
  <c r="AY135" i="9"/>
  <c r="AE124" i="9"/>
  <c r="B68" i="9"/>
  <c r="H68" i="9" s="1"/>
  <c r="I68" i="9" s="1"/>
  <c r="D68" i="9"/>
  <c r="E68" i="9"/>
  <c r="L235" i="9"/>
  <c r="AX123" i="9"/>
  <c r="AL126" i="9"/>
  <c r="AK123" i="9"/>
  <c r="AA23" i="9"/>
  <c r="Y45" i="9"/>
  <c r="Y23" i="9"/>
  <c r="D165" i="9"/>
  <c r="AI11" i="9"/>
  <c r="C42" i="9" s="1"/>
  <c r="Y33" i="9"/>
  <c r="Y46" i="9" s="1"/>
  <c r="B153" i="9"/>
  <c r="F153" i="9"/>
  <c r="Y40" i="9"/>
  <c r="Y53" i="9" s="1"/>
  <c r="AA17" i="9"/>
  <c r="X52" i="9"/>
  <c r="AI128" i="9"/>
  <c r="D152" i="9"/>
  <c r="AI124" i="9"/>
  <c r="E152" i="9"/>
  <c r="B75" i="9"/>
  <c r="H75" i="9" s="1"/>
  <c r="I75" i="9" s="1"/>
  <c r="F76" i="9"/>
  <c r="E153" i="9"/>
  <c r="AQ134" i="9"/>
  <c r="AH124" i="9"/>
  <c r="B165" i="9"/>
  <c r="F157" i="9"/>
  <c r="B156" i="9"/>
  <c r="F155" i="9"/>
  <c r="B154" i="9"/>
  <c r="C152" i="9"/>
  <c r="AY138" i="9"/>
  <c r="AI134" i="9"/>
  <c r="AR128" i="9"/>
  <c r="AE128" i="9"/>
  <c r="AU133" i="9"/>
  <c r="AY129" i="9"/>
  <c r="AX125" i="9"/>
  <c r="AY125" i="9"/>
  <c r="F158" i="9"/>
  <c r="D157" i="9"/>
  <c r="D155" i="9"/>
  <c r="F154" i="9"/>
  <c r="C153" i="9"/>
  <c r="B152" i="9"/>
  <c r="AI138" i="9"/>
  <c r="AX129" i="9"/>
  <c r="AU125" i="9"/>
  <c r="AY123" i="9"/>
  <c r="Z43" i="9"/>
  <c r="B60" i="9" s="1"/>
  <c r="H60" i="9" s="1"/>
  <c r="I60" i="9" s="1"/>
  <c r="AA43" i="9"/>
  <c r="C74" i="9" s="1"/>
  <c r="Y13" i="9"/>
  <c r="E64" i="9"/>
  <c r="B64" i="9"/>
  <c r="H64" i="9" s="1"/>
  <c r="I64" i="9" s="1"/>
  <c r="D64" i="9"/>
  <c r="H34" i="9"/>
  <c r="I34" i="9" s="1"/>
  <c r="D34" i="9"/>
  <c r="B66" i="9"/>
  <c r="H66" i="9" s="1"/>
  <c r="I66" i="9" s="1"/>
  <c r="B65" i="9"/>
  <c r="H65" i="9" s="1"/>
  <c r="I65" i="9" s="1"/>
  <c r="D63" i="9"/>
  <c r="E52" i="9"/>
  <c r="B52" i="9"/>
  <c r="H52" i="9" s="1"/>
  <c r="I52" i="9" s="1"/>
  <c r="V51" i="9"/>
  <c r="W51" i="9"/>
  <c r="V47" i="9"/>
  <c r="W37" i="9"/>
  <c r="F80" i="9" s="1"/>
  <c r="X35" i="9"/>
  <c r="Z17" i="9"/>
  <c r="AA26" i="9"/>
  <c r="Y26" i="9"/>
  <c r="AI14" i="9"/>
  <c r="C43" i="9" s="1"/>
  <c r="Y36" i="9"/>
  <c r="Y49" i="9" s="1"/>
  <c r="X46" i="9"/>
  <c r="W42" i="9"/>
  <c r="X26" i="9"/>
  <c r="AM26" i="9" s="1"/>
  <c r="C55" i="9" s="1"/>
  <c r="AH17" i="9"/>
  <c r="E35" i="9"/>
  <c r="B35" i="9"/>
  <c r="H35" i="9" s="1"/>
  <c r="I35" i="9" s="1"/>
  <c r="C35" i="9"/>
  <c r="D35" i="9" s="1"/>
  <c r="AH14" i="9"/>
  <c r="AE21" i="9"/>
  <c r="C41" i="9" s="1"/>
  <c r="Y17" i="9"/>
  <c r="AI17" i="9"/>
  <c r="C44" i="9" s="1"/>
  <c r="AE17" i="9"/>
  <c r="C40" i="9" s="1"/>
  <c r="Y39" i="9"/>
  <c r="AE13" i="9"/>
  <c r="C39" i="9" s="1"/>
  <c r="AA13" i="9"/>
  <c r="Y35" i="9"/>
  <c r="D66" i="9"/>
  <c r="V49" i="9"/>
  <c r="X49" i="9" s="1"/>
  <c r="AV48" i="9"/>
  <c r="AW48" i="9" s="1"/>
  <c r="AX48" i="9" s="1"/>
  <c r="X43" i="9"/>
  <c r="X39" i="9"/>
  <c r="C37" i="9"/>
  <c r="D37" i="9" s="1"/>
  <c r="H37" i="9"/>
  <c r="I37" i="9" s="1"/>
  <c r="AD17" i="9"/>
  <c r="AS40" i="9"/>
  <c r="AT40" i="9" s="1"/>
  <c r="B38" i="9"/>
  <c r="D33" i="9"/>
  <c r="G2893" i="7" l="1"/>
  <c r="C2278" i="7"/>
  <c r="A2278" i="7" s="1"/>
  <c r="A2086" i="7"/>
  <c r="C2045" i="7"/>
  <c r="C2046" i="7" s="1"/>
  <c r="A2046" i="7" s="1"/>
  <c r="C2236" i="7"/>
  <c r="A2236" i="7" s="1"/>
  <c r="C2129" i="7"/>
  <c r="C2130" i="7" s="1"/>
  <c r="A2130" i="7" s="1"/>
  <c r="C2296" i="7"/>
  <c r="A2296" i="7" s="1"/>
  <c r="G2747" i="7"/>
  <c r="C2158" i="7"/>
  <c r="C2159" i="7" s="1"/>
  <c r="C2255" i="7"/>
  <c r="C2256" i="7" s="1"/>
  <c r="A2256" i="7" s="1"/>
  <c r="C2212" i="7"/>
  <c r="A2211" i="7"/>
  <c r="C2152" i="7"/>
  <c r="A2151" i="7"/>
  <c r="C2110" i="7"/>
  <c r="A2109" i="7"/>
  <c r="C2068" i="7"/>
  <c r="A2067" i="7"/>
  <c r="A2301" i="7"/>
  <c r="C2302" i="7"/>
  <c r="C2244" i="7"/>
  <c r="A2244" i="7" s="1"/>
  <c r="A2243" i="7"/>
  <c r="C2286" i="7"/>
  <c r="A2286" i="7" s="1"/>
  <c r="A2285" i="7"/>
  <c r="C2202" i="7"/>
  <c r="A2202" i="7" s="1"/>
  <c r="A2201" i="7"/>
  <c r="A2134" i="7"/>
  <c r="C2135" i="7"/>
  <c r="A2092" i="7"/>
  <c r="C2093" i="7"/>
  <c r="A2050" i="7"/>
  <c r="C2051" i="7"/>
  <c r="G2916" i="7"/>
  <c r="C2088" i="7"/>
  <c r="A2088" i="7" s="1"/>
  <c r="A2087" i="7"/>
  <c r="G749" i="7"/>
  <c r="G750" i="7" s="1"/>
  <c r="G2918" i="7"/>
  <c r="G2914" i="7"/>
  <c r="G2915" i="7" s="1"/>
  <c r="C2218" i="7"/>
  <c r="A2217" i="7"/>
  <c r="C2260" i="7"/>
  <c r="A2259" i="7"/>
  <c r="AA39" i="9"/>
  <c r="C73" i="9" s="1"/>
  <c r="Y52" i="9"/>
  <c r="Z39" i="9"/>
  <c r="B61" i="9" s="1"/>
  <c r="H61" i="9" s="1"/>
  <c r="I61" i="9" s="1"/>
  <c r="B41" i="9"/>
  <c r="H41" i="9" s="1"/>
  <c r="I41" i="9" s="1"/>
  <c r="D41" i="9"/>
  <c r="E41" i="9"/>
  <c r="B169" i="9"/>
  <c r="C169" i="9"/>
  <c r="AK23" i="9"/>
  <c r="C53" i="9" s="1"/>
  <c r="C51" i="9"/>
  <c r="BB123" i="9"/>
  <c r="B174" i="9"/>
  <c r="C174" i="9"/>
  <c r="D174" i="9"/>
  <c r="AZ123" i="9"/>
  <c r="F174" i="9"/>
  <c r="B171" i="9"/>
  <c r="C171" i="9"/>
  <c r="AA35" i="9"/>
  <c r="C72" i="9" s="1"/>
  <c r="Y48" i="9"/>
  <c r="Z35" i="9"/>
  <c r="B62" i="9" s="1"/>
  <c r="H62" i="9" s="1"/>
  <c r="I62" i="9" s="1"/>
  <c r="B40" i="9"/>
  <c r="H40" i="9" s="1"/>
  <c r="I40" i="9" s="1"/>
  <c r="D40" i="9"/>
  <c r="E40" i="9"/>
  <c r="Z49" i="9"/>
  <c r="B58" i="9" s="1"/>
  <c r="H58" i="9" s="1"/>
  <c r="I58" i="9" s="1"/>
  <c r="AA49" i="9"/>
  <c r="C70" i="9" s="1"/>
  <c r="B77" i="9"/>
  <c r="H77" i="9" s="1"/>
  <c r="I77" i="9" s="1"/>
  <c r="F78" i="9"/>
  <c r="BA123" i="9"/>
  <c r="BC123" i="9"/>
  <c r="BC129" i="9"/>
  <c r="BA129" i="9"/>
  <c r="AA46" i="9"/>
  <c r="C69" i="9" s="1"/>
  <c r="Z46" i="9"/>
  <c r="B59" i="9" s="1"/>
  <c r="H59" i="9" s="1"/>
  <c r="I59" i="9" s="1"/>
  <c r="AQ124" i="9"/>
  <c r="D163" i="9"/>
  <c r="B164" i="9"/>
  <c r="F163" i="9"/>
  <c r="D164" i="9"/>
  <c r="B163" i="9"/>
  <c r="F164" i="9"/>
  <c r="AN124" i="9"/>
  <c r="B172" i="9"/>
  <c r="C172" i="9"/>
  <c r="E44" i="9"/>
  <c r="B44" i="9"/>
  <c r="H44" i="9" s="1"/>
  <c r="I44" i="9" s="1"/>
  <c r="D44" i="9"/>
  <c r="E55" i="9"/>
  <c r="D55" i="9"/>
  <c r="B55" i="9"/>
  <c r="H55" i="9" s="1"/>
  <c r="I55" i="9" s="1"/>
  <c r="D43" i="9"/>
  <c r="E43" i="9"/>
  <c r="B43" i="9"/>
  <c r="H43" i="9" s="1"/>
  <c r="I43" i="9" s="1"/>
  <c r="AK13" i="9"/>
  <c r="C48" i="9" s="1"/>
  <c r="C45" i="9"/>
  <c r="AM13" i="9"/>
  <c r="C47" i="9" s="1"/>
  <c r="B168" i="9"/>
  <c r="C168" i="9"/>
  <c r="BC125" i="9"/>
  <c r="BA125" i="9"/>
  <c r="B170" i="9"/>
  <c r="C170" i="9"/>
  <c r="BA138" i="9"/>
  <c r="BC138" i="9"/>
  <c r="D42" i="9"/>
  <c r="E42" i="9"/>
  <c r="B42" i="9"/>
  <c r="H42" i="9" s="1"/>
  <c r="I42" i="9" s="1"/>
  <c r="BC135" i="9"/>
  <c r="BA135" i="9"/>
  <c r="B173" i="9"/>
  <c r="C173" i="9"/>
  <c r="H38" i="9"/>
  <c r="I38" i="9" s="1"/>
  <c r="C38" i="9"/>
  <c r="D38" i="9" s="1"/>
  <c r="E39" i="9"/>
  <c r="B39" i="9"/>
  <c r="H39" i="9" s="1"/>
  <c r="I39" i="9" s="1"/>
  <c r="D39" i="9"/>
  <c r="AK17" i="9"/>
  <c r="C50" i="9" s="1"/>
  <c r="C46" i="9"/>
  <c r="AM17" i="9"/>
  <c r="C49" i="9" s="1"/>
  <c r="C54" i="9"/>
  <c r="AK26" i="9"/>
  <c r="C56" i="9" s="1"/>
  <c r="B74" i="9"/>
  <c r="H74" i="9" s="1"/>
  <c r="I74" i="9" s="1"/>
  <c r="D74" i="9"/>
  <c r="E74" i="9"/>
  <c r="AZ129" i="9"/>
  <c r="B176" i="9"/>
  <c r="C176" i="9"/>
  <c r="BB129" i="9"/>
  <c r="BB125" i="9"/>
  <c r="B175" i="9"/>
  <c r="AZ125" i="9"/>
  <c r="C175" i="9"/>
  <c r="AQ128" i="9"/>
  <c r="AN128" i="9"/>
  <c r="B160" i="9"/>
  <c r="B159" i="9"/>
  <c r="D160" i="9"/>
  <c r="D159" i="9"/>
  <c r="F160" i="9"/>
  <c r="F159" i="9"/>
  <c r="BB135" i="9"/>
  <c r="B183" i="9"/>
  <c r="AZ135" i="9"/>
  <c r="C183" i="9"/>
  <c r="AZ138" i="9"/>
  <c r="C186" i="9"/>
  <c r="BB138" i="9"/>
  <c r="B186" i="9"/>
  <c r="C2279" i="7" l="1"/>
  <c r="C2280" i="7" s="1"/>
  <c r="A2280" i="7" s="1"/>
  <c r="A2158" i="7"/>
  <c r="A2045" i="7"/>
  <c r="A2129" i="7"/>
  <c r="C2237" i="7"/>
  <c r="C2238" i="7" s="1"/>
  <c r="A2238" i="7" s="1"/>
  <c r="A2255" i="7"/>
  <c r="C2297" i="7"/>
  <c r="C2298" i="7" s="1"/>
  <c r="A2298" i="7" s="1"/>
  <c r="A2212" i="7"/>
  <c r="C2213" i="7"/>
  <c r="A2152" i="7"/>
  <c r="C2153" i="7"/>
  <c r="C2069" i="7"/>
  <c r="A2068" i="7"/>
  <c r="C2111" i="7"/>
  <c r="A2110" i="7"/>
  <c r="C2261" i="7"/>
  <c r="A2260" i="7"/>
  <c r="C2160" i="7"/>
  <c r="A2160" i="7" s="1"/>
  <c r="A2159" i="7"/>
  <c r="C2052" i="7"/>
  <c r="A2052" i="7" s="1"/>
  <c r="A2051" i="7"/>
  <c r="C2136" i="7"/>
  <c r="A2136" i="7" s="1"/>
  <c r="A2135" i="7"/>
  <c r="C2303" i="7"/>
  <c r="A2302" i="7"/>
  <c r="C2219" i="7"/>
  <c r="A2218" i="7"/>
  <c r="C2094" i="7"/>
  <c r="A2094" i="7" s="1"/>
  <c r="A2093" i="7"/>
  <c r="B187" i="9"/>
  <c r="G2361" i="7" s="1"/>
  <c r="C187" i="9"/>
  <c r="B185" i="9"/>
  <c r="C185" i="9"/>
  <c r="D186" i="9"/>
  <c r="F186" i="9"/>
  <c r="B182" i="9"/>
  <c r="C182" i="9"/>
  <c r="B54" i="9"/>
  <c r="H54" i="9" s="1"/>
  <c r="I54" i="9" s="1"/>
  <c r="D54" i="9"/>
  <c r="E54" i="9"/>
  <c r="E47" i="9"/>
  <c r="B47" i="9"/>
  <c r="H47" i="9" s="1"/>
  <c r="I47" i="9" s="1"/>
  <c r="D47" i="9"/>
  <c r="C188" i="9"/>
  <c r="B188" i="9"/>
  <c r="B179" i="9"/>
  <c r="C179" i="9"/>
  <c r="B49" i="9"/>
  <c r="H49" i="9" s="1"/>
  <c r="I49" i="9" s="1"/>
  <c r="D49" i="9"/>
  <c r="E49" i="9"/>
  <c r="E45" i="9"/>
  <c r="B45" i="9"/>
  <c r="H45" i="9" s="1"/>
  <c r="I45" i="9" s="1"/>
  <c r="D45" i="9"/>
  <c r="D172" i="9"/>
  <c r="F172" i="9"/>
  <c r="B72" i="9"/>
  <c r="H72" i="9" s="1"/>
  <c r="I72" i="9" s="1"/>
  <c r="D72" i="9"/>
  <c r="E72" i="9"/>
  <c r="B177" i="9"/>
  <c r="C177" i="9"/>
  <c r="D177" i="9"/>
  <c r="C178" i="9"/>
  <c r="B178" i="9"/>
  <c r="D178" i="9"/>
  <c r="D169" i="9"/>
  <c r="F169" i="9"/>
  <c r="B184" i="9"/>
  <c r="G2355" i="7" s="1"/>
  <c r="C184" i="9"/>
  <c r="D183" i="9"/>
  <c r="F183" i="9"/>
  <c r="F175" i="9"/>
  <c r="D175" i="9"/>
  <c r="D176" i="9"/>
  <c r="F176" i="9"/>
  <c r="D46" i="9"/>
  <c r="E46" i="9"/>
  <c r="B46" i="9"/>
  <c r="H46" i="9" s="1"/>
  <c r="I46" i="9" s="1"/>
  <c r="F173" i="9"/>
  <c r="D173" i="9"/>
  <c r="D48" i="9"/>
  <c r="E48" i="9"/>
  <c r="B48" i="9"/>
  <c r="H48" i="9" s="1"/>
  <c r="I48" i="9" s="1"/>
  <c r="B70" i="9"/>
  <c r="H70" i="9" s="1"/>
  <c r="I70" i="9" s="1"/>
  <c r="D70" i="9"/>
  <c r="E70" i="9"/>
  <c r="D51" i="9"/>
  <c r="B51" i="9"/>
  <c r="H51" i="9" s="1"/>
  <c r="I51" i="9" s="1"/>
  <c r="E51" i="9"/>
  <c r="Z52" i="9"/>
  <c r="B57" i="9" s="1"/>
  <c r="H57" i="9" s="1"/>
  <c r="I57" i="9" s="1"/>
  <c r="AA52" i="9"/>
  <c r="C71" i="9" s="1"/>
  <c r="B180" i="9"/>
  <c r="C180" i="9"/>
  <c r="B181" i="9"/>
  <c r="C181" i="9"/>
  <c r="E56" i="9"/>
  <c r="B56" i="9"/>
  <c r="H56" i="9" s="1"/>
  <c r="I56" i="9" s="1"/>
  <c r="D56" i="9"/>
  <c r="E50" i="9"/>
  <c r="B50" i="9"/>
  <c r="H50" i="9" s="1"/>
  <c r="I50" i="9" s="1"/>
  <c r="D50" i="9"/>
  <c r="D170" i="9"/>
  <c r="F170" i="9"/>
  <c r="D168" i="9"/>
  <c r="F168" i="9"/>
  <c r="D69" i="9"/>
  <c r="E69" i="9"/>
  <c r="B69" i="9"/>
  <c r="H69" i="9" s="1"/>
  <c r="I69" i="9" s="1"/>
  <c r="F171" i="9"/>
  <c r="D171" i="9"/>
  <c r="E53" i="9"/>
  <c r="B53" i="9"/>
  <c r="H53" i="9" s="1"/>
  <c r="I53" i="9" s="1"/>
  <c r="D53" i="9"/>
  <c r="D73" i="9"/>
  <c r="E73" i="9"/>
  <c r="B73" i="9"/>
  <c r="H73" i="9" s="1"/>
  <c r="I73" i="9" s="1"/>
  <c r="A2279" i="7" l="1"/>
  <c r="A2237" i="7"/>
  <c r="A2297" i="7"/>
  <c r="C2214" i="7"/>
  <c r="A2214" i="7" s="1"/>
  <c r="A2213" i="7"/>
  <c r="A2069" i="7"/>
  <c r="C2070" i="7"/>
  <c r="A2070" i="7" s="1"/>
  <c r="A2153" i="7"/>
  <c r="C2154" i="7"/>
  <c r="A2154" i="7" s="1"/>
  <c r="C2112" i="7"/>
  <c r="A2112" i="7" s="1"/>
  <c r="A2111" i="7"/>
  <c r="C2220" i="7"/>
  <c r="A2220" i="7" s="1"/>
  <c r="A2219" i="7"/>
  <c r="C2304" i="7"/>
  <c r="A2304" i="7" s="1"/>
  <c r="A2303" i="7"/>
  <c r="A2261" i="7"/>
  <c r="C2262" i="7"/>
  <c r="A2262" i="7" s="1"/>
  <c r="D188" i="9"/>
  <c r="F188" i="9"/>
  <c r="D182" i="9"/>
  <c r="F182" i="9"/>
  <c r="D185" i="9"/>
  <c r="F185" i="9"/>
  <c r="D181" i="9"/>
  <c r="F181" i="9"/>
  <c r="D180" i="9"/>
  <c r="F180" i="9"/>
  <c r="D184" i="9"/>
  <c r="F184" i="9"/>
  <c r="D71" i="9"/>
  <c r="E71" i="9"/>
  <c r="B71" i="9"/>
  <c r="H71" i="9" s="1"/>
  <c r="I71" i="9" s="1"/>
  <c r="D179" i="9"/>
  <c r="F179" i="9"/>
  <c r="D187" i="9"/>
  <c r="F187" i="9"/>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700" i="6"/>
  <c r="C701" i="6"/>
  <c r="C702" i="6"/>
  <c r="C703" i="6"/>
  <c r="C704" i="6"/>
  <c r="C705" i="6"/>
  <c r="C706" i="6"/>
  <c r="C707" i="6"/>
  <c r="C708" i="6"/>
  <c r="C10" i="6"/>
  <c r="CE283" i="6" l="1"/>
  <c r="AA68" i="6"/>
  <c r="Z68" i="6"/>
  <c r="X68" i="6"/>
  <c r="Y68" i="6"/>
  <c r="X226" i="6"/>
  <c r="AA226" i="6"/>
  <c r="Z226" i="6"/>
  <c r="Y226" i="6"/>
  <c r="Z152" i="6"/>
  <c r="AA152" i="6"/>
  <c r="Y152" i="6"/>
  <c r="X152" i="6"/>
  <c r="R547" i="6"/>
  <c r="R691" i="6"/>
  <c r="L691" i="6"/>
  <c r="BE691" i="6" s="1"/>
  <c r="R286" i="6"/>
  <c r="R124" i="6"/>
  <c r="L124" i="6"/>
  <c r="BE124" i="6" s="1"/>
  <c r="L515" i="6"/>
  <c r="BE515" i="6" s="1"/>
  <c r="R515" i="6"/>
  <c r="R470" i="6"/>
  <c r="L470" i="6"/>
  <c r="BE470" i="6" s="1"/>
  <c r="L450" i="6"/>
  <c r="BE450" i="6" s="1"/>
  <c r="R450" i="6"/>
  <c r="L216" i="6"/>
  <c r="BE216" i="6" s="1"/>
  <c r="R216" i="6"/>
  <c r="R324" i="6"/>
  <c r="L324" i="6"/>
  <c r="BE324" i="6" s="1"/>
  <c r="R90" i="6"/>
  <c r="L90" i="6"/>
  <c r="BE90" i="6" s="1"/>
  <c r="L200" i="6"/>
  <c r="BE200" i="6" s="1"/>
  <c r="R200" i="6"/>
  <c r="L328" i="6"/>
  <c r="BE328" i="6" s="1"/>
  <c r="R328" i="6"/>
  <c r="R47" i="6"/>
  <c r="L47" i="6"/>
  <c r="BE47" i="6" s="1"/>
  <c r="R530" i="6"/>
  <c r="L530" i="6"/>
  <c r="BE530" i="6" s="1"/>
  <c r="L522" i="6"/>
  <c r="BE522" i="6" s="1"/>
  <c r="R522" i="6"/>
  <c r="R514" i="6"/>
  <c r="L514" i="6"/>
  <c r="BE514" i="6" s="1"/>
  <c r="L506" i="6"/>
  <c r="BE506" i="6" s="1"/>
  <c r="R506" i="6"/>
  <c r="L498" i="6"/>
  <c r="BE498" i="6" s="1"/>
  <c r="R498" i="6"/>
  <c r="R493" i="6"/>
  <c r="L493" i="6"/>
  <c r="BE493" i="6" s="1"/>
  <c r="R485" i="6"/>
  <c r="L485" i="6"/>
  <c r="BE485" i="6" s="1"/>
  <c r="L469" i="6"/>
  <c r="BE469" i="6" s="1"/>
  <c r="R469" i="6"/>
  <c r="L464" i="6"/>
  <c r="BE464" i="6" s="1"/>
  <c r="R464" i="6"/>
  <c r="L42" i="6"/>
  <c r="BE42" i="6" s="1"/>
  <c r="R42" i="6"/>
  <c r="R111" i="6"/>
  <c r="L111" i="6"/>
  <c r="BE111" i="6" s="1"/>
  <c r="R50" i="6"/>
  <c r="L50" i="6"/>
  <c r="BE50" i="6" s="1"/>
  <c r="R453" i="6"/>
  <c r="L453" i="6"/>
  <c r="BE453" i="6" s="1"/>
  <c r="R449" i="6"/>
  <c r="L449" i="6"/>
  <c r="BE449" i="6" s="1"/>
  <c r="L443" i="6"/>
  <c r="BE443" i="6" s="1"/>
  <c r="R443" i="6"/>
  <c r="R430" i="6"/>
  <c r="L430" i="6"/>
  <c r="BE430" i="6" s="1"/>
  <c r="R428" i="6"/>
  <c r="L428" i="6"/>
  <c r="BE428" i="6" s="1"/>
  <c r="L41" i="6"/>
  <c r="BE41" i="6" s="1"/>
  <c r="R41" i="6"/>
  <c r="R109" i="6"/>
  <c r="L109" i="6"/>
  <c r="BE109" i="6" s="1"/>
  <c r="L218" i="6"/>
  <c r="BE218" i="6" s="1"/>
  <c r="R218" i="6"/>
  <c r="L126" i="6"/>
  <c r="BE126" i="6" s="1"/>
  <c r="R126" i="6"/>
  <c r="R680" i="6"/>
  <c r="L680" i="6"/>
  <c r="BE680" i="6" s="1"/>
  <c r="L656" i="6"/>
  <c r="BE656" i="6" s="1"/>
  <c r="R656" i="6"/>
  <c r="R622" i="6"/>
  <c r="L622" i="6"/>
  <c r="BE622" i="6" s="1"/>
  <c r="R85" i="6"/>
  <c r="L85" i="6"/>
  <c r="BE85" i="6" s="1"/>
  <c r="R116" i="6"/>
  <c r="L116" i="6"/>
  <c r="BE116" i="6" s="1"/>
  <c r="R417" i="6"/>
  <c r="L417" i="6"/>
  <c r="BE417" i="6" s="1"/>
  <c r="R411" i="6"/>
  <c r="L411" i="6"/>
  <c r="BE411" i="6" s="1"/>
  <c r="L400" i="6"/>
  <c r="BE400" i="6" s="1"/>
  <c r="R400" i="6"/>
  <c r="L106" i="6"/>
  <c r="BE106" i="6" s="1"/>
  <c r="R106" i="6"/>
  <c r="R394" i="6"/>
  <c r="L394" i="6"/>
  <c r="BE394" i="6" s="1"/>
  <c r="R387" i="6"/>
  <c r="L387" i="6"/>
  <c r="BE387" i="6" s="1"/>
  <c r="L379" i="6"/>
  <c r="BE379" i="6" s="1"/>
  <c r="R379" i="6"/>
  <c r="L374" i="6"/>
  <c r="BE374" i="6" s="1"/>
  <c r="R374" i="6"/>
  <c r="R15" i="6"/>
  <c r="L15" i="6"/>
  <c r="BE15" i="6" s="1"/>
  <c r="L82" i="6"/>
  <c r="BE82" i="6" s="1"/>
  <c r="R82" i="6"/>
  <c r="L14" i="6"/>
  <c r="BE14" i="6" s="1"/>
  <c r="R14" i="6"/>
  <c r="R227" i="6"/>
  <c r="L227" i="6"/>
  <c r="BE227" i="6" s="1"/>
  <c r="R708" i="6"/>
  <c r="L708" i="6"/>
  <c r="BE708" i="6" s="1"/>
  <c r="L40" i="6"/>
  <c r="BE40" i="6" s="1"/>
  <c r="R40" i="6"/>
  <c r="R604" i="6"/>
  <c r="L183" i="6"/>
  <c r="BE183" i="6" s="1"/>
  <c r="R516" i="6"/>
  <c r="L516" i="6"/>
  <c r="BE516" i="6" s="1"/>
  <c r="R18" i="6"/>
  <c r="L18" i="6"/>
  <c r="BE18" i="6" s="1"/>
  <c r="L486" i="6"/>
  <c r="BE486" i="6" s="1"/>
  <c r="R486" i="6"/>
  <c r="L699" i="6"/>
  <c r="BE699" i="6" s="1"/>
  <c r="R699" i="6"/>
  <c r="L429" i="6"/>
  <c r="BE429" i="6" s="1"/>
  <c r="R429" i="6"/>
  <c r="R649" i="6"/>
  <c r="L649" i="6"/>
  <c r="BE649" i="6" s="1"/>
  <c r="R244" i="6"/>
  <c r="L244" i="6"/>
  <c r="BE244" i="6" s="1"/>
  <c r="R301" i="6"/>
  <c r="L301" i="6"/>
  <c r="BE301" i="6" s="1"/>
  <c r="R114" i="6"/>
  <c r="L114" i="6"/>
  <c r="BE114" i="6" s="1"/>
  <c r="L142" i="6"/>
  <c r="BE142" i="6" s="1"/>
  <c r="R142" i="6"/>
  <c r="L341" i="6"/>
  <c r="BE341" i="6" s="1"/>
  <c r="R341" i="6"/>
  <c r="L46" i="6"/>
  <c r="BE46" i="6" s="1"/>
  <c r="R46" i="6"/>
  <c r="L280" i="6"/>
  <c r="BE280" i="6" s="1"/>
  <c r="R280" i="6"/>
  <c r="R529" i="6"/>
  <c r="L529" i="6"/>
  <c r="BE529" i="6" s="1"/>
  <c r="R521" i="6"/>
  <c r="L521" i="6"/>
  <c r="BE521" i="6" s="1"/>
  <c r="L513" i="6"/>
  <c r="BE513" i="6" s="1"/>
  <c r="R513" i="6"/>
  <c r="R505" i="6"/>
  <c r="L505" i="6"/>
  <c r="BE505" i="6" s="1"/>
  <c r="L295" i="6"/>
  <c r="BE295" i="6" s="1"/>
  <c r="R295" i="6"/>
  <c r="R492" i="6"/>
  <c r="L492" i="6"/>
  <c r="BE492" i="6" s="1"/>
  <c r="R484" i="6"/>
  <c r="L484" i="6"/>
  <c r="BE484" i="6" s="1"/>
  <c r="R266" i="6"/>
  <c r="L266" i="6"/>
  <c r="BE266" i="6" s="1"/>
  <c r="R463" i="6"/>
  <c r="L463" i="6"/>
  <c r="BE463" i="6" s="1"/>
  <c r="L51" i="6"/>
  <c r="BE51" i="6" s="1"/>
  <c r="R51" i="6"/>
  <c r="R115" i="6"/>
  <c r="L115" i="6"/>
  <c r="BE115" i="6" s="1"/>
  <c r="R52" i="6"/>
  <c r="L52" i="6"/>
  <c r="BE52" i="6" s="1"/>
  <c r="R452" i="6"/>
  <c r="L452" i="6"/>
  <c r="BE452" i="6" s="1"/>
  <c r="L448" i="6"/>
  <c r="BE448" i="6" s="1"/>
  <c r="R448" i="6"/>
  <c r="R442" i="6"/>
  <c r="L442" i="6"/>
  <c r="BE442" i="6" s="1"/>
  <c r="R238" i="6"/>
  <c r="L238" i="6"/>
  <c r="BE238" i="6" s="1"/>
  <c r="R427" i="6"/>
  <c r="L427" i="6"/>
  <c r="BE427" i="6" s="1"/>
  <c r="R62" i="6"/>
  <c r="L62" i="6"/>
  <c r="BE62" i="6" s="1"/>
  <c r="R13" i="6"/>
  <c r="L13" i="6"/>
  <c r="BE13" i="6" s="1"/>
  <c r="R174" i="6"/>
  <c r="L174" i="6"/>
  <c r="BE174" i="6" s="1"/>
  <c r="L615" i="6"/>
  <c r="BE615" i="6" s="1"/>
  <c r="R615" i="6"/>
  <c r="L239" i="6"/>
  <c r="BE239" i="6" s="1"/>
  <c r="R239" i="6"/>
  <c r="R664" i="6"/>
  <c r="L664" i="6"/>
  <c r="BE664" i="6" s="1"/>
  <c r="R655" i="6"/>
  <c r="L655" i="6"/>
  <c r="BE655" i="6" s="1"/>
  <c r="L621" i="6"/>
  <c r="BE621" i="6" s="1"/>
  <c r="R621" i="6"/>
  <c r="R576" i="6"/>
  <c r="L576" i="6"/>
  <c r="BE576" i="6" s="1"/>
  <c r="R140" i="6"/>
  <c r="L140" i="6"/>
  <c r="BE140" i="6" s="1"/>
  <c r="R188" i="6"/>
  <c r="L188" i="6"/>
  <c r="BE188" i="6" s="1"/>
  <c r="L164" i="6"/>
  <c r="BE164" i="6" s="1"/>
  <c r="R164" i="6"/>
  <c r="R303" i="6"/>
  <c r="L303" i="6"/>
  <c r="BE303" i="6" s="1"/>
  <c r="R422" i="6"/>
  <c r="L422" i="6"/>
  <c r="BE422" i="6" s="1"/>
  <c r="R35" i="6"/>
  <c r="L35" i="6"/>
  <c r="BE35" i="6" s="1"/>
  <c r="R410" i="6"/>
  <c r="L410" i="6"/>
  <c r="BE410" i="6" s="1"/>
  <c r="R399" i="6"/>
  <c r="L399" i="6"/>
  <c r="BE399" i="6" s="1"/>
  <c r="R123" i="6"/>
  <c r="L123" i="6"/>
  <c r="BE123" i="6" s="1"/>
  <c r="L393" i="6"/>
  <c r="BE393" i="6" s="1"/>
  <c r="R393" i="6"/>
  <c r="R386" i="6"/>
  <c r="L386" i="6"/>
  <c r="BE386" i="6" s="1"/>
  <c r="L378" i="6"/>
  <c r="BE378" i="6" s="1"/>
  <c r="R378" i="6"/>
  <c r="R373" i="6"/>
  <c r="L373" i="6"/>
  <c r="BE373" i="6" s="1"/>
  <c r="L365" i="6"/>
  <c r="BE365" i="6" s="1"/>
  <c r="R365" i="6"/>
  <c r="L701" i="6"/>
  <c r="BE701" i="6" s="1"/>
  <c r="R701" i="6"/>
  <c r="R21" i="6"/>
  <c r="L21" i="6"/>
  <c r="BE21" i="6" s="1"/>
  <c r="R185" i="6"/>
  <c r="L185" i="6"/>
  <c r="BE185" i="6" s="1"/>
  <c r="R16" i="6"/>
  <c r="L16" i="6"/>
  <c r="BE16" i="6" s="1"/>
  <c r="L338" i="6"/>
  <c r="BE338" i="6" s="1"/>
  <c r="R338" i="6"/>
  <c r="L39" i="6"/>
  <c r="BE39" i="6" s="1"/>
  <c r="R39" i="6"/>
  <c r="L523" i="6"/>
  <c r="BE523" i="6" s="1"/>
  <c r="R523" i="6"/>
  <c r="L454" i="6"/>
  <c r="BE454" i="6" s="1"/>
  <c r="R454" i="6"/>
  <c r="L423" i="6"/>
  <c r="BE423" i="6" s="1"/>
  <c r="R423" i="6"/>
  <c r="R202" i="6"/>
  <c r="L202" i="6"/>
  <c r="BE202" i="6" s="1"/>
  <c r="R226" i="6"/>
  <c r="L226" i="6"/>
  <c r="BE226" i="6" s="1"/>
  <c r="L283" i="6"/>
  <c r="BE283" i="6" s="1"/>
  <c r="R283" i="6"/>
  <c r="L44" i="6"/>
  <c r="BE44" i="6" s="1"/>
  <c r="R44" i="6"/>
  <c r="L528" i="6"/>
  <c r="BE528" i="6" s="1"/>
  <c r="R528" i="6"/>
  <c r="R520" i="6"/>
  <c r="L520" i="6"/>
  <c r="BE520" i="6" s="1"/>
  <c r="R504" i="6"/>
  <c r="L504" i="6"/>
  <c r="BE504" i="6" s="1"/>
  <c r="L294" i="6"/>
  <c r="BE294" i="6" s="1"/>
  <c r="R294" i="6"/>
  <c r="R491" i="6"/>
  <c r="L491" i="6"/>
  <c r="BE491" i="6" s="1"/>
  <c r="L483" i="6"/>
  <c r="BE483" i="6" s="1"/>
  <c r="R483" i="6"/>
  <c r="L475" i="6"/>
  <c r="BE475" i="6" s="1"/>
  <c r="R475" i="6"/>
  <c r="L221" i="6"/>
  <c r="BE221" i="6" s="1"/>
  <c r="R221" i="6"/>
  <c r="R462" i="6"/>
  <c r="L462" i="6"/>
  <c r="BE462" i="6" s="1"/>
  <c r="L65" i="6"/>
  <c r="BE65" i="6" s="1"/>
  <c r="R65" i="6"/>
  <c r="R63" i="6"/>
  <c r="L63" i="6"/>
  <c r="BE63" i="6" s="1"/>
  <c r="L250" i="6"/>
  <c r="BE250" i="6" s="1"/>
  <c r="R250" i="6"/>
  <c r="R447" i="6"/>
  <c r="L447" i="6"/>
  <c r="BE447" i="6" s="1"/>
  <c r="R441" i="6"/>
  <c r="L441" i="6"/>
  <c r="BE441" i="6" s="1"/>
  <c r="R141" i="6"/>
  <c r="L141" i="6"/>
  <c r="BE141" i="6" s="1"/>
  <c r="L149" i="6"/>
  <c r="BE149" i="6" s="1"/>
  <c r="R149" i="6"/>
  <c r="L426" i="6"/>
  <c r="BE426" i="6" s="1"/>
  <c r="R426" i="6"/>
  <c r="L64" i="6"/>
  <c r="BE64" i="6" s="1"/>
  <c r="R64" i="6"/>
  <c r="L31" i="6"/>
  <c r="BE31" i="6" s="1"/>
  <c r="R31" i="6"/>
  <c r="R619" i="6"/>
  <c r="L619" i="6"/>
  <c r="BE619" i="6" s="1"/>
  <c r="L91" i="6"/>
  <c r="BE91" i="6" s="1"/>
  <c r="R91" i="6"/>
  <c r="R686" i="6"/>
  <c r="L686" i="6"/>
  <c r="BE686" i="6" s="1"/>
  <c r="L707" i="6"/>
  <c r="BE707" i="6" s="1"/>
  <c r="R707" i="6"/>
  <c r="R659" i="6"/>
  <c r="L659" i="6"/>
  <c r="BE659" i="6" s="1"/>
  <c r="L620" i="6"/>
  <c r="BE620" i="6" s="1"/>
  <c r="R620" i="6"/>
  <c r="R581" i="6"/>
  <c r="L581" i="6"/>
  <c r="BE581" i="6" s="1"/>
  <c r="L315" i="6"/>
  <c r="BE315" i="6" s="1"/>
  <c r="R315" i="6"/>
  <c r="R151" i="6"/>
  <c r="L151" i="6"/>
  <c r="BE151" i="6" s="1"/>
  <c r="L98" i="6"/>
  <c r="BE98" i="6" s="1"/>
  <c r="R98" i="6"/>
  <c r="L421" i="6"/>
  <c r="BE421" i="6" s="1"/>
  <c r="R421" i="6"/>
  <c r="L409" i="6"/>
  <c r="BE409" i="6" s="1"/>
  <c r="R409" i="6"/>
  <c r="L405" i="6"/>
  <c r="BE405" i="6" s="1"/>
  <c r="R405" i="6"/>
  <c r="L395" i="6"/>
  <c r="BE395" i="6" s="1"/>
  <c r="R395" i="6"/>
  <c r="L242" i="6"/>
  <c r="BE242" i="6" s="1"/>
  <c r="R242" i="6"/>
  <c r="R385" i="6"/>
  <c r="L385" i="6"/>
  <c r="BE385" i="6" s="1"/>
  <c r="L377" i="6"/>
  <c r="BE377" i="6" s="1"/>
  <c r="R377" i="6"/>
  <c r="L372" i="6"/>
  <c r="BE372" i="6" s="1"/>
  <c r="R372" i="6"/>
  <c r="R700" i="6"/>
  <c r="L700" i="6"/>
  <c r="BE700" i="6" s="1"/>
  <c r="L26" i="6"/>
  <c r="BE26" i="6" s="1"/>
  <c r="R26" i="6"/>
  <c r="L79" i="6"/>
  <c r="BE79" i="6" s="1"/>
  <c r="R79" i="6"/>
  <c r="L118" i="6"/>
  <c r="BE118" i="6" s="1"/>
  <c r="R118" i="6"/>
  <c r="L10" i="6"/>
  <c r="BE10" i="6" s="1"/>
  <c r="R10" i="6"/>
  <c r="R136" i="6"/>
  <c r="L136" i="6"/>
  <c r="BE136" i="6" s="1"/>
  <c r="R706" i="6"/>
  <c r="L706" i="6"/>
  <c r="BE706" i="6" s="1"/>
  <c r="L300" i="6"/>
  <c r="BE300" i="6" s="1"/>
  <c r="R508" i="6"/>
  <c r="L508" i="6"/>
  <c r="BE508" i="6" s="1"/>
  <c r="R507" i="6"/>
  <c r="L507" i="6"/>
  <c r="BE507" i="6" s="1"/>
  <c r="L465" i="6"/>
  <c r="BE465" i="6" s="1"/>
  <c r="R465" i="6"/>
  <c r="L444" i="6"/>
  <c r="BE444" i="6" s="1"/>
  <c r="R444" i="6"/>
  <c r="L102" i="6"/>
  <c r="BE102" i="6" s="1"/>
  <c r="R102" i="6"/>
  <c r="R537" i="6"/>
  <c r="L537" i="6"/>
  <c r="BE537" i="6" s="1"/>
  <c r="L412" i="6"/>
  <c r="BE412" i="6" s="1"/>
  <c r="R412" i="6"/>
  <c r="L380" i="6"/>
  <c r="BE380" i="6" s="1"/>
  <c r="R380" i="6"/>
  <c r="R20" i="6"/>
  <c r="L20" i="6"/>
  <c r="BE20" i="6" s="1"/>
  <c r="L339" i="6"/>
  <c r="BE339" i="6" s="1"/>
  <c r="R339" i="6"/>
  <c r="L285" i="6"/>
  <c r="BE285" i="6" s="1"/>
  <c r="R285" i="6"/>
  <c r="L527" i="6"/>
  <c r="BE527" i="6" s="1"/>
  <c r="R527" i="6"/>
  <c r="R519" i="6"/>
  <c r="L519" i="6"/>
  <c r="BE519" i="6" s="1"/>
  <c r="R503" i="6"/>
  <c r="L503" i="6"/>
  <c r="BE503" i="6" s="1"/>
  <c r="L293" i="6"/>
  <c r="BE293" i="6" s="1"/>
  <c r="R293" i="6"/>
  <c r="L490" i="6"/>
  <c r="BE490" i="6" s="1"/>
  <c r="R490" i="6"/>
  <c r="R482" i="6"/>
  <c r="L482" i="6"/>
  <c r="BE482" i="6" s="1"/>
  <c r="L276" i="6"/>
  <c r="BE276" i="6" s="1"/>
  <c r="R276" i="6"/>
  <c r="L461" i="6"/>
  <c r="BE461" i="6" s="1"/>
  <c r="R461" i="6"/>
  <c r="L77" i="6"/>
  <c r="BE77" i="6" s="1"/>
  <c r="R77" i="6"/>
  <c r="L213" i="6"/>
  <c r="BE213" i="6" s="1"/>
  <c r="R213" i="6"/>
  <c r="L265" i="6"/>
  <c r="BE265" i="6" s="1"/>
  <c r="R265" i="6"/>
  <c r="R446" i="6"/>
  <c r="L446" i="6"/>
  <c r="BE446" i="6" s="1"/>
  <c r="L440" i="6"/>
  <c r="BE440" i="6" s="1"/>
  <c r="R440" i="6"/>
  <c r="L230" i="6"/>
  <c r="BE230" i="6" s="1"/>
  <c r="R230" i="6"/>
  <c r="L425" i="6"/>
  <c r="BE425" i="6" s="1"/>
  <c r="R425" i="6"/>
  <c r="L76" i="6"/>
  <c r="BE76" i="6" s="1"/>
  <c r="R76" i="6"/>
  <c r="R19" i="6"/>
  <c r="L19" i="6"/>
  <c r="BE19" i="6" s="1"/>
  <c r="L49" i="6"/>
  <c r="BE49" i="6" s="1"/>
  <c r="R49" i="6"/>
  <c r="L92" i="6"/>
  <c r="BE92" i="6" s="1"/>
  <c r="R92" i="6"/>
  <c r="R593" i="6"/>
  <c r="L593" i="6"/>
  <c r="BE593" i="6" s="1"/>
  <c r="L685" i="6"/>
  <c r="BE685" i="6" s="1"/>
  <c r="R685" i="6"/>
  <c r="R663" i="6"/>
  <c r="L663" i="6"/>
  <c r="BE663" i="6" s="1"/>
  <c r="L29" i="6"/>
  <c r="BE29" i="6" s="1"/>
  <c r="R29" i="6"/>
  <c r="L580" i="6"/>
  <c r="BE580" i="6" s="1"/>
  <c r="R580" i="6"/>
  <c r="R574" i="6"/>
  <c r="L574" i="6"/>
  <c r="BE574" i="6" s="1"/>
  <c r="L314" i="6"/>
  <c r="BE314" i="6" s="1"/>
  <c r="R314" i="6"/>
  <c r="L170" i="6"/>
  <c r="BE170" i="6" s="1"/>
  <c r="R170" i="6"/>
  <c r="L306" i="6"/>
  <c r="BE306" i="6" s="1"/>
  <c r="R306" i="6"/>
  <c r="R153" i="6"/>
  <c r="L153" i="6"/>
  <c r="BE153" i="6" s="1"/>
  <c r="L416" i="6"/>
  <c r="BE416" i="6" s="1"/>
  <c r="R416" i="6"/>
  <c r="L241" i="6"/>
  <c r="BE241" i="6" s="1"/>
  <c r="R241" i="6"/>
  <c r="R404" i="6"/>
  <c r="L404" i="6"/>
  <c r="BE404" i="6" s="1"/>
  <c r="R292" i="6"/>
  <c r="L292" i="6"/>
  <c r="BE292" i="6" s="1"/>
  <c r="R191" i="6"/>
  <c r="L191" i="6"/>
  <c r="BE191" i="6" s="1"/>
  <c r="R392" i="6"/>
  <c r="L392" i="6"/>
  <c r="BE392" i="6" s="1"/>
  <c r="L376" i="6"/>
  <c r="BE376" i="6" s="1"/>
  <c r="R376" i="6"/>
  <c r="L371" i="6"/>
  <c r="BE371" i="6" s="1"/>
  <c r="R371" i="6"/>
  <c r="R697" i="6"/>
  <c r="L697" i="6"/>
  <c r="BE697" i="6" s="1"/>
  <c r="L37" i="6"/>
  <c r="BE37" i="6" s="1"/>
  <c r="R37" i="6"/>
  <c r="L255" i="6"/>
  <c r="BE255" i="6" s="1"/>
  <c r="R255" i="6"/>
  <c r="R112" i="6"/>
  <c r="L112" i="6"/>
  <c r="BE112" i="6" s="1"/>
  <c r="L12" i="6"/>
  <c r="BE12" i="6" s="1"/>
  <c r="R12" i="6"/>
  <c r="R95" i="6"/>
  <c r="L95" i="6"/>
  <c r="BE95" i="6" s="1"/>
  <c r="L337" i="6"/>
  <c r="BE337" i="6" s="1"/>
  <c r="R337" i="6"/>
  <c r="R253" i="6"/>
  <c r="L253" i="6"/>
  <c r="BE253" i="6" s="1"/>
  <c r="R524" i="6"/>
  <c r="L524" i="6"/>
  <c r="BE524" i="6" s="1"/>
  <c r="L281" i="6"/>
  <c r="BE281" i="6" s="1"/>
  <c r="R281" i="6"/>
  <c r="L499" i="6"/>
  <c r="BE499" i="6" s="1"/>
  <c r="R499" i="6"/>
  <c r="L61" i="6"/>
  <c r="BE61" i="6" s="1"/>
  <c r="R61" i="6"/>
  <c r="L431" i="6"/>
  <c r="BE431" i="6" s="1"/>
  <c r="R431" i="6"/>
  <c r="L681" i="6"/>
  <c r="BE681" i="6" s="1"/>
  <c r="R681" i="6"/>
  <c r="R192" i="6"/>
  <c r="L192" i="6"/>
  <c r="BE192" i="6" s="1"/>
  <c r="R261" i="6"/>
  <c r="L261" i="6"/>
  <c r="BE261" i="6" s="1"/>
  <c r="R269" i="6"/>
  <c r="L269" i="6"/>
  <c r="BE269" i="6" s="1"/>
  <c r="L344" i="6"/>
  <c r="BE344" i="6" s="1"/>
  <c r="R344" i="6"/>
  <c r="L17" i="6"/>
  <c r="BE17" i="6" s="1"/>
  <c r="R17" i="6"/>
  <c r="R152" i="6"/>
  <c r="L152" i="6"/>
  <c r="BE152" i="6" s="1"/>
  <c r="L258" i="6"/>
  <c r="BE258" i="6" s="1"/>
  <c r="R258" i="6"/>
  <c r="L73" i="6"/>
  <c r="BE73" i="6" s="1"/>
  <c r="R73" i="6"/>
  <c r="R68" i="6"/>
  <c r="L68" i="6"/>
  <c r="BE68" i="6" s="1"/>
  <c r="L257" i="6"/>
  <c r="BE257" i="6" s="1"/>
  <c r="R257" i="6"/>
  <c r="L104" i="6"/>
  <c r="BE104" i="6" s="1"/>
  <c r="R104" i="6"/>
  <c r="R186" i="6"/>
  <c r="L186" i="6"/>
  <c r="BE186" i="6" s="1"/>
  <c r="L526" i="6"/>
  <c r="BE526" i="6" s="1"/>
  <c r="R526" i="6"/>
  <c r="L518" i="6"/>
  <c r="BE518" i="6" s="1"/>
  <c r="R518" i="6"/>
  <c r="R497" i="6"/>
  <c r="L497" i="6"/>
  <c r="BE497" i="6" s="1"/>
  <c r="L489" i="6"/>
  <c r="BE489" i="6" s="1"/>
  <c r="R489" i="6"/>
  <c r="R481" i="6"/>
  <c r="L481" i="6"/>
  <c r="BE481" i="6" s="1"/>
  <c r="L473" i="6"/>
  <c r="BE473" i="6" s="1"/>
  <c r="R473" i="6"/>
  <c r="L468" i="6"/>
  <c r="BE468" i="6" s="1"/>
  <c r="R468" i="6"/>
  <c r="L223" i="6"/>
  <c r="BE223" i="6" s="1"/>
  <c r="R223" i="6"/>
  <c r="L264" i="6"/>
  <c r="BE264" i="6" s="1"/>
  <c r="R264" i="6"/>
  <c r="L274" i="6"/>
  <c r="BE274" i="6" s="1"/>
  <c r="R274" i="6"/>
  <c r="R178" i="6"/>
  <c r="L178" i="6"/>
  <c r="BE178" i="6" s="1"/>
  <c r="L434" i="6"/>
  <c r="BE434" i="6" s="1"/>
  <c r="R434" i="6"/>
  <c r="L125" i="6"/>
  <c r="BE125" i="6" s="1"/>
  <c r="R125" i="6"/>
  <c r="R689" i="6"/>
  <c r="L689" i="6"/>
  <c r="BE689" i="6" s="1"/>
  <c r="R23" i="6"/>
  <c r="L23" i="6"/>
  <c r="BE23" i="6" s="1"/>
  <c r="R618" i="6"/>
  <c r="L618" i="6"/>
  <c r="BE618" i="6" s="1"/>
  <c r="R614" i="6"/>
  <c r="L614" i="6"/>
  <c r="BE614" i="6" s="1"/>
  <c r="L592" i="6"/>
  <c r="BE592" i="6" s="1"/>
  <c r="R592" i="6"/>
  <c r="L584" i="6"/>
  <c r="BE584" i="6" s="1"/>
  <c r="R584" i="6"/>
  <c r="L662" i="6"/>
  <c r="BE662" i="6" s="1"/>
  <c r="R662" i="6"/>
  <c r="L540" i="6"/>
  <c r="BE540" i="6" s="1"/>
  <c r="R540" i="6"/>
  <c r="R187" i="6"/>
  <c r="L187" i="6"/>
  <c r="BE187" i="6" s="1"/>
  <c r="L245" i="6"/>
  <c r="BE245" i="6" s="1"/>
  <c r="R245" i="6"/>
  <c r="R298" i="6"/>
  <c r="L298" i="6"/>
  <c r="BE298" i="6" s="1"/>
  <c r="R420" i="6"/>
  <c r="L420" i="6"/>
  <c r="BE420" i="6" s="1"/>
  <c r="R415" i="6"/>
  <c r="L415" i="6"/>
  <c r="BE415" i="6" s="1"/>
  <c r="L262" i="6"/>
  <c r="BE262" i="6" s="1"/>
  <c r="R262" i="6"/>
  <c r="R271" i="6"/>
  <c r="L271" i="6"/>
  <c r="BE271" i="6" s="1"/>
  <c r="L694" i="6"/>
  <c r="BE694" i="6" s="1"/>
  <c r="R694" i="6"/>
  <c r="L391" i="6"/>
  <c r="BE391" i="6" s="1"/>
  <c r="R391" i="6"/>
  <c r="L383" i="6"/>
  <c r="BE383" i="6" s="1"/>
  <c r="R383" i="6"/>
  <c r="L375" i="6"/>
  <c r="BE375" i="6" s="1"/>
  <c r="R375" i="6"/>
  <c r="R370" i="6"/>
  <c r="L370" i="6"/>
  <c r="BE370" i="6" s="1"/>
  <c r="L696" i="6"/>
  <c r="BE696" i="6" s="1"/>
  <c r="R696" i="6"/>
  <c r="R246" i="6"/>
  <c r="L246" i="6"/>
  <c r="BE246" i="6" s="1"/>
  <c r="L81" i="6"/>
  <c r="BE81" i="6" s="1"/>
  <c r="R81" i="6"/>
  <c r="R343" i="6"/>
  <c r="L343" i="6"/>
  <c r="BE343" i="6" s="1"/>
  <c r="R25" i="6"/>
  <c r="L25" i="6"/>
  <c r="BE25" i="6" s="1"/>
  <c r="R194" i="6"/>
  <c r="L194" i="6"/>
  <c r="BE194" i="6" s="1"/>
  <c r="L282" i="6"/>
  <c r="BE282" i="6" s="1"/>
  <c r="R282" i="6"/>
  <c r="R342" i="6"/>
  <c r="L342" i="6"/>
  <c r="BE342" i="6" s="1"/>
  <c r="R531" i="6"/>
  <c r="L531" i="6"/>
  <c r="BE531" i="6" s="1"/>
  <c r="R494" i="6"/>
  <c r="L494" i="6"/>
  <c r="BE494" i="6" s="1"/>
  <c r="L458" i="6"/>
  <c r="BE458" i="6" s="1"/>
  <c r="R458" i="6"/>
  <c r="R113" i="6"/>
  <c r="L113" i="6"/>
  <c r="BE113" i="6" s="1"/>
  <c r="R589" i="6"/>
  <c r="L589" i="6"/>
  <c r="BE589" i="6" s="1"/>
  <c r="R110" i="6"/>
  <c r="L110" i="6"/>
  <c r="BE110" i="6" s="1"/>
  <c r="R119" i="6"/>
  <c r="L119" i="6"/>
  <c r="BE119" i="6" s="1"/>
  <c r="L388" i="6"/>
  <c r="BE388" i="6" s="1"/>
  <c r="R388" i="6"/>
  <c r="R352" i="6"/>
  <c r="L352" i="6"/>
  <c r="BE352" i="6" s="1"/>
  <c r="R346" i="6"/>
  <c r="L346" i="6"/>
  <c r="BE346" i="6" s="1"/>
  <c r="R254" i="6"/>
  <c r="L254" i="6"/>
  <c r="BE254" i="6" s="1"/>
  <c r="R259" i="6"/>
  <c r="L259" i="6"/>
  <c r="BE259" i="6" s="1"/>
  <c r="L235" i="6"/>
  <c r="BE235" i="6" s="1"/>
  <c r="R235" i="6"/>
  <c r="L122" i="6"/>
  <c r="BE122" i="6" s="1"/>
  <c r="R122" i="6"/>
  <c r="L533" i="6"/>
  <c r="BE533" i="6" s="1"/>
  <c r="R533" i="6"/>
  <c r="R525" i="6"/>
  <c r="L525" i="6"/>
  <c r="BE525" i="6" s="1"/>
  <c r="L517" i="6"/>
  <c r="BE517" i="6" s="1"/>
  <c r="R517" i="6"/>
  <c r="R509" i="6"/>
  <c r="L509" i="6"/>
  <c r="BE509" i="6" s="1"/>
  <c r="R501" i="6"/>
  <c r="L501" i="6"/>
  <c r="BE501" i="6" s="1"/>
  <c r="L496" i="6"/>
  <c r="BE496" i="6" s="1"/>
  <c r="R496" i="6"/>
  <c r="R488" i="6"/>
  <c r="L488" i="6"/>
  <c r="BE488" i="6" s="1"/>
  <c r="R480" i="6"/>
  <c r="L480" i="6"/>
  <c r="BE480" i="6" s="1"/>
  <c r="R472" i="6"/>
  <c r="L472" i="6"/>
  <c r="BE472" i="6" s="1"/>
  <c r="R467" i="6"/>
  <c r="L467" i="6"/>
  <c r="BE467" i="6" s="1"/>
  <c r="R97" i="6"/>
  <c r="L97" i="6"/>
  <c r="BE97" i="6" s="1"/>
  <c r="R695" i="6"/>
  <c r="L695" i="6"/>
  <c r="BE695" i="6" s="1"/>
  <c r="R456" i="6"/>
  <c r="L456" i="6"/>
  <c r="BE456" i="6" s="1"/>
  <c r="L451" i="6"/>
  <c r="BE451" i="6" s="1"/>
  <c r="R451" i="6"/>
  <c r="R273" i="6"/>
  <c r="L273" i="6"/>
  <c r="BE273" i="6" s="1"/>
  <c r="R203" i="6"/>
  <c r="L203" i="6"/>
  <c r="BE203" i="6" s="1"/>
  <c r="R433" i="6"/>
  <c r="L433" i="6"/>
  <c r="BE433" i="6" s="1"/>
  <c r="R247" i="6"/>
  <c r="L247" i="6"/>
  <c r="BE247" i="6" s="1"/>
  <c r="R424" i="6"/>
  <c r="L424" i="6"/>
  <c r="BE424" i="6" s="1"/>
  <c r="R67" i="6"/>
  <c r="L67" i="6"/>
  <c r="BE67" i="6" s="1"/>
  <c r="L617" i="6"/>
  <c r="BE617" i="6" s="1"/>
  <c r="R617" i="6"/>
  <c r="R613" i="6"/>
  <c r="L613" i="6"/>
  <c r="BE613" i="6" s="1"/>
  <c r="R591" i="6"/>
  <c r="L591" i="6"/>
  <c r="BE591" i="6" s="1"/>
  <c r="R661" i="6"/>
  <c r="L661" i="6"/>
  <c r="BE661" i="6" s="1"/>
  <c r="R651" i="6"/>
  <c r="L651" i="6"/>
  <c r="BE651" i="6" s="1"/>
  <c r="R30" i="6"/>
  <c r="L30" i="6"/>
  <c r="BE30" i="6" s="1"/>
  <c r="L539" i="6"/>
  <c r="BE539" i="6" s="1"/>
  <c r="R539" i="6"/>
  <c r="R237" i="6"/>
  <c r="L237" i="6"/>
  <c r="BE237" i="6" s="1"/>
  <c r="R312" i="6"/>
  <c r="L312" i="6"/>
  <c r="BE312" i="6" s="1"/>
  <c r="R148" i="6"/>
  <c r="L148" i="6"/>
  <c r="BE148" i="6" s="1"/>
  <c r="L305" i="6"/>
  <c r="BE305" i="6" s="1"/>
  <c r="R305" i="6"/>
  <c r="L302" i="6"/>
  <c r="BE302" i="6" s="1"/>
  <c r="R302" i="6"/>
  <c r="L419" i="6"/>
  <c r="BE419" i="6" s="1"/>
  <c r="R419" i="6"/>
  <c r="R414" i="6"/>
  <c r="L414" i="6"/>
  <c r="BE414" i="6" s="1"/>
  <c r="R402" i="6"/>
  <c r="L402" i="6"/>
  <c r="BE402" i="6" s="1"/>
  <c r="R397" i="6"/>
  <c r="L397" i="6"/>
  <c r="BE397" i="6" s="1"/>
  <c r="R690" i="6"/>
  <c r="L690" i="6"/>
  <c r="BE690" i="6" s="1"/>
  <c r="R382" i="6"/>
  <c r="L382" i="6"/>
  <c r="BE382" i="6" s="1"/>
  <c r="L270" i="6"/>
  <c r="BE270" i="6" s="1"/>
  <c r="R270" i="6"/>
  <c r="R369" i="6"/>
  <c r="L369" i="6"/>
  <c r="BE369" i="6" s="1"/>
  <c r="R217" i="6"/>
  <c r="L217" i="6"/>
  <c r="BE217" i="6" s="1"/>
  <c r="R348" i="6"/>
  <c r="L348" i="6"/>
  <c r="BE348" i="6" s="1"/>
  <c r="L83" i="6"/>
  <c r="BE83" i="6" s="1"/>
  <c r="R83" i="6"/>
  <c r="R165" i="6"/>
  <c r="L165" i="6"/>
  <c r="BE165" i="6" s="1"/>
  <c r="L189" i="6"/>
  <c r="BE189" i="6" s="1"/>
  <c r="R189" i="6"/>
  <c r="L48" i="6"/>
  <c r="BE48" i="6" s="1"/>
  <c r="R48" i="6"/>
  <c r="L204" i="6"/>
  <c r="BE204" i="6" s="1"/>
  <c r="R532" i="6"/>
  <c r="L532" i="6"/>
  <c r="BE532" i="6" s="1"/>
  <c r="L500" i="6"/>
  <c r="BE500" i="6" s="1"/>
  <c r="R500" i="6"/>
  <c r="L495" i="6"/>
  <c r="BE495" i="6" s="1"/>
  <c r="R495" i="6"/>
  <c r="R487" i="6"/>
  <c r="L487" i="6"/>
  <c r="BE487" i="6" s="1"/>
  <c r="R479" i="6"/>
  <c r="L479" i="6"/>
  <c r="BE479" i="6" s="1"/>
  <c r="L471" i="6"/>
  <c r="BE471" i="6" s="1"/>
  <c r="R471" i="6"/>
  <c r="L466" i="6"/>
  <c r="BE466" i="6" s="1"/>
  <c r="R466" i="6"/>
  <c r="L275" i="6"/>
  <c r="BE275" i="6" s="1"/>
  <c r="R275" i="6"/>
  <c r="R214" i="6"/>
  <c r="L214" i="6"/>
  <c r="BE214" i="6" s="1"/>
  <c r="R698" i="6"/>
  <c r="L698" i="6"/>
  <c r="BE698" i="6" s="1"/>
  <c r="R455" i="6"/>
  <c r="L455" i="6"/>
  <c r="BE455" i="6" s="1"/>
  <c r="R150" i="6"/>
  <c r="L150" i="6"/>
  <c r="BE150" i="6" s="1"/>
  <c r="L445" i="6"/>
  <c r="BE445" i="6" s="1"/>
  <c r="R445" i="6"/>
  <c r="R439" i="6"/>
  <c r="L439" i="6"/>
  <c r="BE439" i="6" s="1"/>
  <c r="L432" i="6"/>
  <c r="BE432" i="6" s="1"/>
  <c r="R432" i="6"/>
  <c r="R263" i="6"/>
  <c r="L263" i="6"/>
  <c r="BE263" i="6" s="1"/>
  <c r="L272" i="6"/>
  <c r="BE272" i="6" s="1"/>
  <c r="R272" i="6"/>
  <c r="L87" i="6"/>
  <c r="BE87" i="6" s="1"/>
  <c r="R87" i="6"/>
  <c r="L143" i="6"/>
  <c r="BE143" i="6" s="1"/>
  <c r="R143" i="6"/>
  <c r="L616" i="6"/>
  <c r="BE616" i="6" s="1"/>
  <c r="R616" i="6"/>
  <c r="R705" i="6"/>
  <c r="L705" i="6"/>
  <c r="BE705" i="6" s="1"/>
  <c r="L590" i="6"/>
  <c r="BE590" i="6" s="1"/>
  <c r="R590" i="6"/>
  <c r="L650" i="6"/>
  <c r="BE650" i="6" s="1"/>
  <c r="R650" i="6"/>
  <c r="R538" i="6"/>
  <c r="L538" i="6"/>
  <c r="BE538" i="6" s="1"/>
  <c r="R325" i="6"/>
  <c r="L325" i="6"/>
  <c r="BE325" i="6" s="1"/>
  <c r="L220" i="6"/>
  <c r="BE220" i="6" s="1"/>
  <c r="R220" i="6"/>
  <c r="L212" i="6"/>
  <c r="BE212" i="6" s="1"/>
  <c r="R212" i="6"/>
  <c r="L99" i="6"/>
  <c r="BE99" i="6" s="1"/>
  <c r="R99" i="6"/>
  <c r="R304" i="6"/>
  <c r="L304" i="6"/>
  <c r="BE304" i="6" s="1"/>
  <c r="L89" i="6"/>
  <c r="BE89" i="6" s="1"/>
  <c r="R89" i="6"/>
  <c r="R418" i="6"/>
  <c r="L418" i="6"/>
  <c r="BE418" i="6" s="1"/>
  <c r="R413" i="6"/>
  <c r="L413" i="6"/>
  <c r="BE413" i="6" s="1"/>
  <c r="L401" i="6"/>
  <c r="BE401" i="6" s="1"/>
  <c r="R401" i="6"/>
  <c r="L396" i="6"/>
  <c r="BE396" i="6" s="1"/>
  <c r="R396" i="6"/>
  <c r="R249" i="6"/>
  <c r="L249" i="6"/>
  <c r="BE249" i="6" s="1"/>
  <c r="L389" i="6"/>
  <c r="BE389" i="6" s="1"/>
  <c r="R389" i="6"/>
  <c r="L381" i="6"/>
  <c r="BE381" i="6" s="1"/>
  <c r="R381" i="6"/>
  <c r="R260" i="6"/>
  <c r="L260" i="6"/>
  <c r="BE260" i="6" s="1"/>
  <c r="L190" i="6"/>
  <c r="BE190" i="6" s="1"/>
  <c r="R190" i="6"/>
  <c r="L347" i="6"/>
  <c r="BE347" i="6" s="1"/>
  <c r="R347" i="6"/>
  <c r="R345" i="6"/>
  <c r="L345" i="6"/>
  <c r="BE345" i="6" s="1"/>
  <c r="L132" i="6"/>
  <c r="BE132" i="6" s="1"/>
  <c r="R132" i="6"/>
  <c r="R172" i="6"/>
  <c r="L172" i="6"/>
  <c r="BE172" i="6" s="1"/>
  <c r="L11" i="6"/>
  <c r="BE11" i="6" s="1"/>
  <c r="R11" i="6"/>
  <c r="L571" i="6"/>
  <c r="BE571" i="6" s="1"/>
  <c r="L688" i="6"/>
  <c r="BE688" i="6" s="1"/>
  <c r="R162" i="6"/>
  <c r="R307" i="6"/>
  <c r="L632" i="6"/>
  <c r="BE632" i="6" s="1"/>
  <c r="L645" i="6"/>
  <c r="BE645" i="6" s="1"/>
  <c r="R568" i="6"/>
  <c r="L570" i="6"/>
  <c r="BE570" i="6" s="1"/>
  <c r="L638" i="6"/>
  <c r="BE638" i="6" s="1"/>
  <c r="L199" i="6"/>
  <c r="BE199" i="6" s="1"/>
  <c r="L549" i="6"/>
  <c r="BE549" i="6" s="1"/>
  <c r="L477" i="6"/>
  <c r="BE477" i="6" s="1"/>
  <c r="R320" i="6"/>
  <c r="R289" i="6"/>
  <c r="R478" i="6"/>
  <c r="R208" i="6"/>
  <c r="L129" i="6"/>
  <c r="BE129" i="6" s="1"/>
  <c r="L594" i="6"/>
  <c r="BE594" i="6" s="1"/>
  <c r="L624" i="6"/>
  <c r="BE624" i="6" s="1"/>
  <c r="L648" i="6"/>
  <c r="BE648" i="6" s="1"/>
  <c r="R168" i="6"/>
  <c r="L682" i="6"/>
  <c r="BE682" i="6" s="1"/>
  <c r="R210" i="6"/>
  <c r="R562" i="6"/>
  <c r="L658" i="6"/>
  <c r="BE658" i="6" s="1"/>
  <c r="R550" i="6"/>
  <c r="L460" i="6"/>
  <c r="BE460" i="6" s="1"/>
  <c r="R34" i="6"/>
  <c r="R256" i="6"/>
  <c r="R704" i="6"/>
  <c r="L363" i="6"/>
  <c r="BE363" i="6" s="1"/>
  <c r="L551" i="6"/>
  <c r="BE551" i="6" s="1"/>
  <c r="R601" i="6"/>
  <c r="L55" i="6"/>
  <c r="BE55" i="6" s="1"/>
  <c r="L320" i="6"/>
  <c r="BE320" i="6" s="1"/>
  <c r="R329" i="6"/>
  <c r="L612" i="6"/>
  <c r="BE612" i="6" s="1"/>
  <c r="R240" i="6"/>
  <c r="L543" i="6"/>
  <c r="BE543" i="6" s="1"/>
  <c r="L368" i="6"/>
  <c r="BE368" i="6" s="1"/>
  <c r="L308" i="6"/>
  <c r="BE308" i="6" s="1"/>
  <c r="L356" i="6"/>
  <c r="BE356" i="6" s="1"/>
  <c r="L57" i="6"/>
  <c r="BE57" i="6" s="1"/>
  <c r="L588" i="6"/>
  <c r="BE588" i="6" s="1"/>
  <c r="L108" i="6"/>
  <c r="BE108" i="6" s="1"/>
  <c r="R368" i="6"/>
  <c r="L290" i="6"/>
  <c r="BE290" i="6" s="1"/>
  <c r="R300" i="6"/>
  <c r="L201" i="6"/>
  <c r="BE201" i="6" s="1"/>
  <c r="L36" i="6"/>
  <c r="BE36" i="6" s="1"/>
  <c r="L32" i="6"/>
  <c r="BE32" i="6" s="1"/>
  <c r="L177" i="6"/>
  <c r="BE177" i="6" s="1"/>
  <c r="L93" i="6"/>
  <c r="BE93" i="6" s="1"/>
  <c r="R688" i="6"/>
  <c r="R195" i="6"/>
  <c r="L167" i="6"/>
  <c r="BE167" i="6" s="1"/>
  <c r="L547" i="6"/>
  <c r="BE547" i="6" s="1"/>
  <c r="L130" i="6"/>
  <c r="BE130" i="6" s="1"/>
  <c r="R349" i="6"/>
  <c r="L600" i="6"/>
  <c r="BE600" i="6" s="1"/>
  <c r="R702" i="6"/>
  <c r="R176" i="6"/>
  <c r="R80" i="6"/>
  <c r="R543" i="6"/>
  <c r="L703" i="6"/>
  <c r="BE703" i="6" s="1"/>
  <c r="R636" i="6"/>
  <c r="R108" i="6"/>
  <c r="L556" i="6"/>
  <c r="BE556" i="6" s="1"/>
  <c r="L107" i="6"/>
  <c r="BE107" i="6" s="1"/>
  <c r="L657" i="6"/>
  <c r="BE657" i="6" s="1"/>
  <c r="R107" i="6"/>
  <c r="R351" i="6"/>
  <c r="R100" i="6"/>
  <c r="L228" i="6"/>
  <c r="BE228" i="6" s="1"/>
  <c r="L660" i="6"/>
  <c r="BE660" i="6" s="1"/>
  <c r="L597" i="6"/>
  <c r="BE597" i="6" s="1"/>
  <c r="R69" i="6"/>
  <c r="L670" i="6"/>
  <c r="BE670" i="6" s="1"/>
  <c r="R579" i="6"/>
  <c r="L595" i="6"/>
  <c r="BE595" i="6" s="1"/>
  <c r="L679" i="6"/>
  <c r="BE679" i="6" s="1"/>
  <c r="R232" i="6"/>
  <c r="R193" i="6"/>
  <c r="R638" i="6"/>
  <c r="L561" i="6"/>
  <c r="BE561" i="6" s="1"/>
  <c r="R70" i="6"/>
  <c r="L634" i="6"/>
  <c r="BE634" i="6" s="1"/>
  <c r="R323" i="6"/>
  <c r="R350" i="6"/>
  <c r="L357" i="6"/>
  <c r="BE357" i="6" s="1"/>
  <c r="R625" i="6"/>
  <c r="R510" i="6"/>
  <c r="L251" i="6"/>
  <c r="BE251" i="6" s="1"/>
  <c r="L184" i="6"/>
  <c r="BE184" i="6" s="1"/>
  <c r="R297" i="6"/>
  <c r="L225" i="6"/>
  <c r="BE225" i="6" s="1"/>
  <c r="R163" i="6"/>
  <c r="L135" i="6"/>
  <c r="BE135" i="6" s="1"/>
  <c r="R586" i="6"/>
  <c r="R228" i="6"/>
  <c r="L559" i="6"/>
  <c r="BE559" i="6" s="1"/>
  <c r="R556" i="6"/>
  <c r="R549" i="6"/>
  <c r="L407" i="6"/>
  <c r="BE407" i="6" s="1"/>
  <c r="L636" i="6"/>
  <c r="BE636" i="6" s="1"/>
  <c r="R138" i="6"/>
  <c r="R674" i="6"/>
  <c r="R552" i="6"/>
  <c r="L435" i="6"/>
  <c r="BE435" i="6" s="1"/>
  <c r="R22" i="6"/>
  <c r="R558" i="6"/>
  <c r="R364" i="6"/>
  <c r="L163" i="6"/>
  <c r="BE163" i="6" s="1"/>
  <c r="L633" i="6"/>
  <c r="BE633" i="6" s="1"/>
  <c r="L565" i="6"/>
  <c r="BE565" i="6" s="1"/>
  <c r="L330" i="6"/>
  <c r="BE330" i="6" s="1"/>
  <c r="R53" i="6"/>
  <c r="L322" i="6"/>
  <c r="BE322" i="6" s="1"/>
  <c r="R548" i="6"/>
  <c r="L630" i="6"/>
  <c r="BE630" i="6" s="1"/>
  <c r="R600" i="6"/>
  <c r="L644" i="6"/>
  <c r="BE644" i="6" s="1"/>
  <c r="L605" i="6"/>
  <c r="BE605" i="6" s="1"/>
  <c r="R313" i="6"/>
  <c r="L69" i="6"/>
  <c r="BE69" i="6" s="1"/>
  <c r="L675" i="6"/>
  <c r="BE675" i="6" s="1"/>
  <c r="L28" i="6"/>
  <c r="BE28" i="6" s="1"/>
  <c r="R594" i="6"/>
  <c r="L367" i="6"/>
  <c r="BE367" i="6" s="1"/>
  <c r="R642" i="6"/>
  <c r="L278" i="6"/>
  <c r="BE278" i="6" s="1"/>
  <c r="L154" i="6"/>
  <c r="BE154" i="6" s="1"/>
  <c r="L78" i="6"/>
  <c r="BE78" i="6" s="1"/>
  <c r="R157" i="6"/>
  <c r="R105" i="6"/>
  <c r="R639" i="6"/>
  <c r="R139" i="6"/>
  <c r="R288" i="6"/>
  <c r="L585" i="6"/>
  <c r="BE585" i="6" s="1"/>
  <c r="L575" i="6"/>
  <c r="BE575" i="6" s="1"/>
  <c r="R94" i="6"/>
  <c r="L336" i="6"/>
  <c r="BE336" i="6" s="1"/>
  <c r="R628" i="6"/>
  <c r="L623" i="6"/>
  <c r="BE623" i="6" s="1"/>
  <c r="L160" i="6"/>
  <c r="BE160" i="6" s="1"/>
  <c r="L627" i="6"/>
  <c r="BE627" i="6" s="1"/>
  <c r="L511" i="6"/>
  <c r="BE511" i="6" s="1"/>
  <c r="R197" i="6"/>
  <c r="R570" i="6"/>
  <c r="R353" i="6"/>
  <c r="L349" i="6"/>
  <c r="BE349" i="6" s="1"/>
  <c r="L197" i="6"/>
  <c r="BE197" i="6" s="1"/>
  <c r="L309" i="6"/>
  <c r="BE309" i="6" s="1"/>
  <c r="R173" i="6"/>
  <c r="L327" i="6"/>
  <c r="BE327" i="6" s="1"/>
  <c r="L103" i="6"/>
  <c r="BE103" i="6" s="1"/>
  <c r="L206" i="6"/>
  <c r="BE206" i="6" s="1"/>
  <c r="L256" i="6"/>
  <c r="BE256" i="6" s="1"/>
  <c r="L326" i="6"/>
  <c r="BE326" i="6" s="1"/>
  <c r="R28" i="6"/>
  <c r="R231" i="6"/>
  <c r="R199" i="6"/>
  <c r="L626" i="6"/>
  <c r="BE626" i="6" s="1"/>
  <c r="L240" i="6"/>
  <c r="BE240" i="6" s="1"/>
  <c r="R169" i="6"/>
  <c r="L639" i="6"/>
  <c r="BE639" i="6" s="1"/>
  <c r="L158" i="6"/>
  <c r="BE158" i="6" s="1"/>
  <c r="L587" i="6"/>
  <c r="BE587" i="6" s="1"/>
  <c r="R84" i="6"/>
  <c r="L361" i="6"/>
  <c r="BE361" i="6" s="1"/>
  <c r="R326" i="6"/>
  <c r="L601" i="6"/>
  <c r="BE601" i="6" s="1"/>
  <c r="R438" i="6"/>
  <c r="L179" i="6"/>
  <c r="BE179" i="6" s="1"/>
  <c r="L166" i="6"/>
  <c r="BE166" i="6" s="1"/>
  <c r="L687" i="6"/>
  <c r="BE687" i="6" s="1"/>
  <c r="R630" i="6"/>
  <c r="L436" i="6"/>
  <c r="BE436" i="6" s="1"/>
  <c r="L215" i="6"/>
  <c r="BE215" i="6" s="1"/>
  <c r="L210" i="6"/>
  <c r="BE210" i="6" s="1"/>
  <c r="L457" i="6"/>
  <c r="BE457" i="6" s="1"/>
  <c r="R117" i="6"/>
  <c r="R354" i="6"/>
  <c r="R596" i="6"/>
  <c r="R196" i="6"/>
  <c r="R86" i="6"/>
  <c r="R127" i="6"/>
  <c r="R45" i="6"/>
  <c r="R687" i="6"/>
  <c r="R602" i="6"/>
  <c r="R359" i="6"/>
  <c r="L53" i="6"/>
  <c r="BE53" i="6" s="1"/>
  <c r="L66" i="6"/>
  <c r="BE66" i="6" s="1"/>
  <c r="L80" i="6"/>
  <c r="BE80" i="6" s="1"/>
  <c r="R553" i="6"/>
  <c r="L286" i="6"/>
  <c r="BE286" i="6" s="1"/>
  <c r="R647" i="6"/>
  <c r="L297" i="6"/>
  <c r="BE297" i="6" s="1"/>
  <c r="R268" i="6"/>
  <c r="R610" i="6"/>
  <c r="L279" i="6"/>
  <c r="BE279" i="6" s="1"/>
  <c r="R43" i="6"/>
  <c r="L193" i="6"/>
  <c r="BE193" i="6" s="1"/>
  <c r="L641" i="6"/>
  <c r="BE641" i="6" s="1"/>
  <c r="L175" i="6"/>
  <c r="BE175" i="6" s="1"/>
  <c r="R183" i="6"/>
  <c r="L510" i="6"/>
  <c r="BE510" i="6" s="1"/>
  <c r="L390" i="6"/>
  <c r="BE390" i="6" s="1"/>
  <c r="L156" i="6"/>
  <c r="BE156" i="6" s="1"/>
  <c r="R243" i="6"/>
  <c r="L335" i="6"/>
  <c r="BE335" i="6" s="1"/>
  <c r="L554" i="6"/>
  <c r="BE554" i="6" s="1"/>
  <c r="L157" i="6"/>
  <c r="BE157" i="6" s="1"/>
  <c r="L147" i="6"/>
  <c r="BE147" i="6" s="1"/>
  <c r="R287" i="6"/>
  <c r="R167" i="6"/>
  <c r="L502" i="6"/>
  <c r="BE502" i="6" s="1"/>
  <c r="R605" i="6"/>
  <c r="L704" i="6"/>
  <c r="BE704" i="6" s="1"/>
  <c r="L105" i="6"/>
  <c r="BE105" i="6" s="1"/>
  <c r="R677" i="6"/>
  <c r="R177" i="6"/>
  <c r="R626" i="6"/>
  <c r="L652" i="6"/>
  <c r="BE652" i="6" s="1"/>
  <c r="R654" i="6"/>
  <c r="L563" i="6"/>
  <c r="BE563" i="6" s="1"/>
  <c r="R624" i="6"/>
  <c r="R675" i="6"/>
  <c r="L224" i="6"/>
  <c r="BE224" i="6" s="1"/>
  <c r="L334" i="6"/>
  <c r="BE334" i="6" s="1"/>
  <c r="R322" i="6"/>
  <c r="L71" i="6"/>
  <c r="BE71" i="6" s="1"/>
  <c r="R55" i="6"/>
  <c r="R362" i="6"/>
  <c r="L586" i="6"/>
  <c r="BE586" i="6" s="1"/>
  <c r="L296" i="6"/>
  <c r="BE296" i="6" s="1"/>
  <c r="R340" i="6"/>
  <c r="R569" i="6"/>
  <c r="L666" i="6"/>
  <c r="BE666" i="6" s="1"/>
  <c r="R398" i="6"/>
  <c r="R233" i="6"/>
  <c r="R390" i="6"/>
  <c r="L340" i="6"/>
  <c r="BE340" i="6" s="1"/>
  <c r="R672" i="6"/>
  <c r="L607" i="6"/>
  <c r="BE607" i="6" s="1"/>
  <c r="L243" i="6"/>
  <c r="BE243" i="6" s="1"/>
  <c r="L578" i="6"/>
  <c r="BE578" i="6" s="1"/>
  <c r="L384" i="6"/>
  <c r="BE384" i="6" s="1"/>
  <c r="L176" i="6"/>
  <c r="BE176" i="6" s="1"/>
  <c r="R408" i="6"/>
  <c r="L562" i="6"/>
  <c r="BE562" i="6" s="1"/>
  <c r="R180" i="6"/>
  <c r="L131" i="6"/>
  <c r="BE131" i="6" s="1"/>
  <c r="R279" i="6"/>
  <c r="R554" i="6"/>
  <c r="L408" i="6"/>
  <c r="BE408" i="6" s="1"/>
  <c r="R155" i="6"/>
  <c r="L665" i="6"/>
  <c r="BE665" i="6" s="1"/>
  <c r="L173" i="6"/>
  <c r="BE173" i="6" s="1"/>
  <c r="L22" i="6"/>
  <c r="BE22" i="6" s="1"/>
  <c r="L550" i="6"/>
  <c r="BE550" i="6" s="1"/>
  <c r="R171" i="6"/>
  <c r="R331" i="6"/>
  <c r="L362" i="6"/>
  <c r="BE362" i="6" s="1"/>
  <c r="R660" i="6"/>
  <c r="R606" i="6"/>
  <c r="R154" i="6"/>
  <c r="R678" i="6"/>
  <c r="R121" i="6"/>
  <c r="L667" i="6"/>
  <c r="BE667" i="6" s="1"/>
  <c r="R205" i="6"/>
  <c r="R477" i="6"/>
  <c r="L319" i="6"/>
  <c r="BE319" i="6" s="1"/>
  <c r="R633" i="6"/>
  <c r="R668" i="6"/>
  <c r="R128" i="6"/>
  <c r="R215" i="6"/>
  <c r="R555" i="6"/>
  <c r="R546" i="6"/>
  <c r="L316" i="6"/>
  <c r="BE316" i="6" s="1"/>
  <c r="R93" i="6"/>
  <c r="L127" i="6"/>
  <c r="BE127" i="6" s="1"/>
  <c r="R559" i="6"/>
  <c r="L182" i="6"/>
  <c r="BE182" i="6" s="1"/>
  <c r="L478" i="6"/>
  <c r="BE478" i="6" s="1"/>
  <c r="R321" i="6"/>
  <c r="R251" i="6"/>
  <c r="L676" i="6"/>
  <c r="BE676" i="6" s="1"/>
  <c r="L553" i="6"/>
  <c r="BE553" i="6" s="1"/>
  <c r="R609" i="6"/>
  <c r="R74" i="6"/>
  <c r="R277" i="6"/>
  <c r="L248" i="6"/>
  <c r="BE248" i="6" s="1"/>
  <c r="L642" i="6"/>
  <c r="BE642" i="6" s="1"/>
  <c r="L120" i="6"/>
  <c r="BE120" i="6" s="1"/>
  <c r="L56" i="6"/>
  <c r="BE56" i="6" s="1"/>
  <c r="R252" i="6"/>
  <c r="L583" i="6"/>
  <c r="BE583" i="6" s="1"/>
  <c r="R667" i="6"/>
  <c r="L331" i="6"/>
  <c r="BE331" i="6" s="1"/>
  <c r="L117" i="6"/>
  <c r="BE117" i="6" s="1"/>
  <c r="L653" i="6"/>
  <c r="BE653" i="6" s="1"/>
  <c r="L640" i="6"/>
  <c r="BE640" i="6" s="1"/>
  <c r="L366" i="6"/>
  <c r="BE366" i="6" s="1"/>
  <c r="R248" i="6"/>
  <c r="L350" i="6"/>
  <c r="BE350" i="6" s="1"/>
  <c r="L59" i="6"/>
  <c r="BE59" i="6" s="1"/>
  <c r="R96" i="6"/>
  <c r="L628" i="6"/>
  <c r="BE628" i="6" s="1"/>
  <c r="R166" i="6"/>
  <c r="R460" i="6"/>
  <c r="L234" i="6"/>
  <c r="BE234" i="6" s="1"/>
  <c r="R682" i="6"/>
  <c r="R308" i="6"/>
  <c r="R571" i="6"/>
  <c r="R145" i="6"/>
  <c r="L564" i="6"/>
  <c r="BE564" i="6" s="1"/>
  <c r="R565" i="6"/>
  <c r="R88" i="6"/>
  <c r="L236" i="6"/>
  <c r="BE236" i="6" s="1"/>
  <c r="L579" i="6"/>
  <c r="BE579" i="6" s="1"/>
  <c r="R158" i="6"/>
  <c r="L180" i="6"/>
  <c r="BE180" i="6" s="1"/>
  <c r="L598" i="6"/>
  <c r="BE598" i="6" s="1"/>
  <c r="L211" i="6"/>
  <c r="BE211" i="6" s="1"/>
  <c r="L58" i="6"/>
  <c r="BE58" i="6" s="1"/>
  <c r="R317" i="6"/>
  <c r="L155" i="6"/>
  <c r="BE155" i="6" s="1"/>
  <c r="R135" i="6"/>
  <c r="L359" i="6"/>
  <c r="BE359" i="6" s="1"/>
  <c r="R310" i="6"/>
  <c r="L541" i="6"/>
  <c r="BE541" i="6" s="1"/>
  <c r="L671" i="6"/>
  <c r="BE671" i="6" s="1"/>
  <c r="R159" i="6"/>
  <c r="L438" i="6"/>
  <c r="BE438" i="6" s="1"/>
  <c r="R355" i="6"/>
  <c r="R653" i="6"/>
  <c r="R551" i="6"/>
  <c r="L560" i="6"/>
  <c r="BE560" i="6" s="1"/>
  <c r="R564" i="6"/>
  <c r="R284" i="6"/>
  <c r="R459" i="6"/>
  <c r="R175" i="6"/>
  <c r="R578" i="6"/>
  <c r="L88" i="6"/>
  <c r="BE88" i="6" s="1"/>
  <c r="L604" i="6"/>
  <c r="BE604" i="6" s="1"/>
  <c r="L582" i="6"/>
  <c r="BE582" i="6" s="1"/>
  <c r="L608" i="6"/>
  <c r="BE608" i="6" s="1"/>
  <c r="L355" i="6"/>
  <c r="BE355" i="6" s="1"/>
  <c r="L693" i="6"/>
  <c r="BE693" i="6" s="1"/>
  <c r="R60" i="6"/>
  <c r="R561" i="6"/>
  <c r="R201" i="6"/>
  <c r="R566" i="6"/>
  <c r="L307" i="6"/>
  <c r="BE307" i="6" s="1"/>
  <c r="L169" i="6"/>
  <c r="BE169" i="6" s="1"/>
  <c r="R234" i="6"/>
  <c r="R209" i="6"/>
  <c r="R72" i="6"/>
  <c r="R644" i="6"/>
  <c r="R599" i="6"/>
  <c r="L643" i="6"/>
  <c r="BE643" i="6" s="1"/>
  <c r="R665" i="6"/>
  <c r="L323" i="6"/>
  <c r="BE323" i="6" s="1"/>
  <c r="R267" i="6"/>
  <c r="R357" i="6"/>
  <c r="R120" i="6"/>
  <c r="R33" i="6"/>
  <c r="R563" i="6"/>
  <c r="L96" i="6"/>
  <c r="BE96" i="6" s="1"/>
  <c r="R693" i="6"/>
  <c r="R384" i="6"/>
  <c r="L568" i="6"/>
  <c r="BE568" i="6" s="1"/>
  <c r="L137" i="6"/>
  <c r="BE137" i="6" s="1"/>
  <c r="L207" i="6"/>
  <c r="BE207" i="6" s="1"/>
  <c r="R219" i="6"/>
  <c r="L27" i="6"/>
  <c r="BE27" i="6" s="1"/>
  <c r="R575" i="6"/>
  <c r="L144" i="6"/>
  <c r="BE144" i="6" s="1"/>
  <c r="L219" i="6"/>
  <c r="BE219" i="6" s="1"/>
  <c r="R360" i="6"/>
  <c r="L233" i="6"/>
  <c r="BE233" i="6" s="1"/>
  <c r="L74" i="6"/>
  <c r="BE74" i="6" s="1"/>
  <c r="R32" i="6"/>
  <c r="L277" i="6"/>
  <c r="BE277" i="6" s="1"/>
  <c r="R334" i="6"/>
  <c r="R534" i="6"/>
  <c r="R545" i="6"/>
  <c r="R511" i="6"/>
  <c r="R236" i="6"/>
  <c r="L403" i="6"/>
  <c r="BE403" i="6" s="1"/>
  <c r="R435" i="6"/>
  <c r="R225" i="6"/>
  <c r="L635" i="6"/>
  <c r="BE635" i="6" s="1"/>
  <c r="L544" i="6"/>
  <c r="BE544" i="6" s="1"/>
  <c r="L611" i="6"/>
  <c r="BE611" i="6" s="1"/>
  <c r="L329" i="6"/>
  <c r="BE329" i="6" s="1"/>
  <c r="R222" i="6"/>
  <c r="L647" i="6"/>
  <c r="BE647" i="6" s="1"/>
  <c r="L351" i="6"/>
  <c r="BE351" i="6" s="1"/>
  <c r="R36" i="6"/>
  <c r="R582" i="6"/>
  <c r="L311" i="6"/>
  <c r="BE311" i="6" s="1"/>
  <c r="R318" i="6"/>
  <c r="L267" i="6"/>
  <c r="BE267" i="6" s="1"/>
  <c r="R182" i="6"/>
  <c r="L566" i="6"/>
  <c r="BE566" i="6" s="1"/>
  <c r="L171" i="6"/>
  <c r="BE171" i="6" s="1"/>
  <c r="R161" i="6"/>
  <c r="L683" i="6"/>
  <c r="BE683" i="6" s="1"/>
  <c r="R133" i="6"/>
  <c r="L548" i="6"/>
  <c r="BE548" i="6" s="1"/>
  <c r="L629" i="6"/>
  <c r="BE629" i="6" s="1"/>
  <c r="R646" i="6"/>
  <c r="R316" i="6"/>
  <c r="R129" i="6"/>
  <c r="L86" i="6"/>
  <c r="BE86" i="6" s="1"/>
  <c r="R319" i="6"/>
  <c r="R211" i="6"/>
  <c r="R407" i="6"/>
  <c r="R597" i="6"/>
  <c r="L318" i="6"/>
  <c r="BE318" i="6" s="1"/>
  <c r="R336" i="6"/>
  <c r="L668" i="6"/>
  <c r="BE668" i="6" s="1"/>
  <c r="L542" i="6"/>
  <c r="BE542" i="6" s="1"/>
  <c r="R669" i="6"/>
  <c r="L398" i="6"/>
  <c r="BE398" i="6" s="1"/>
  <c r="R652" i="6"/>
  <c r="R583" i="6"/>
  <c r="L43" i="6"/>
  <c r="BE43" i="6" s="1"/>
  <c r="R612" i="6"/>
  <c r="R657" i="6"/>
  <c r="R641" i="6"/>
  <c r="L121" i="6"/>
  <c r="BE121" i="6" s="1"/>
  <c r="L317" i="6"/>
  <c r="BE317" i="6" s="1"/>
  <c r="L353" i="6"/>
  <c r="BE353" i="6" s="1"/>
  <c r="R56" i="6"/>
  <c r="L288" i="6"/>
  <c r="BE288" i="6" s="1"/>
  <c r="R58" i="6"/>
  <c r="L168" i="6"/>
  <c r="BE168" i="6" s="1"/>
  <c r="R358" i="6"/>
  <c r="R356" i="6"/>
  <c r="L75" i="6"/>
  <c r="BE75" i="6" s="1"/>
  <c r="L133" i="6"/>
  <c r="BE133" i="6" s="1"/>
  <c r="R645" i="6"/>
  <c r="R587" i="6"/>
  <c r="L406" i="6"/>
  <c r="BE406" i="6" s="1"/>
  <c r="L232" i="6"/>
  <c r="BE232" i="6" s="1"/>
  <c r="L284" i="6"/>
  <c r="BE284" i="6" s="1"/>
  <c r="L674" i="6"/>
  <c r="BE674" i="6" s="1"/>
  <c r="L577" i="6"/>
  <c r="BE577" i="6" s="1"/>
  <c r="L38" i="6"/>
  <c r="BE38" i="6" s="1"/>
  <c r="R607" i="6"/>
  <c r="L476" i="6"/>
  <c r="BE476" i="6" s="1"/>
  <c r="L205" i="6"/>
  <c r="BE205" i="6" s="1"/>
  <c r="R627" i="6"/>
  <c r="L692" i="6"/>
  <c r="BE692" i="6" s="1"/>
  <c r="L33" i="6"/>
  <c r="BE33" i="6" s="1"/>
  <c r="L555" i="6"/>
  <c r="BE555" i="6" s="1"/>
  <c r="L332" i="6"/>
  <c r="BE332" i="6" s="1"/>
  <c r="R290" i="6"/>
  <c r="L231" i="6"/>
  <c r="BE231" i="6" s="1"/>
  <c r="L673" i="6"/>
  <c r="BE673" i="6" s="1"/>
  <c r="R204" i="6"/>
  <c r="R474" i="6"/>
  <c r="L145" i="6"/>
  <c r="BE145" i="6" s="1"/>
  <c r="L552" i="6"/>
  <c r="BE552" i="6" s="1"/>
  <c r="R535" i="6"/>
  <c r="L354" i="6"/>
  <c r="BE354" i="6" s="1"/>
  <c r="R635" i="6"/>
  <c r="R54" i="6"/>
  <c r="L24" i="6"/>
  <c r="BE24" i="6" s="1"/>
  <c r="L360" i="6"/>
  <c r="BE360" i="6" s="1"/>
  <c r="L100" i="6"/>
  <c r="BE100" i="6" s="1"/>
  <c r="L573" i="6"/>
  <c r="BE573" i="6" s="1"/>
  <c r="L646" i="6"/>
  <c r="BE646" i="6" s="1"/>
  <c r="R623" i="6"/>
  <c r="L209" i="6"/>
  <c r="BE209" i="6" s="1"/>
  <c r="R24" i="6"/>
  <c r="R198" i="6"/>
  <c r="R147" i="6"/>
  <c r="R611" i="6"/>
  <c r="R595" i="6"/>
  <c r="R567" i="6"/>
  <c r="R673" i="6"/>
  <c r="L128" i="6"/>
  <c r="BE128" i="6" s="1"/>
  <c r="R146" i="6"/>
  <c r="R502" i="6"/>
  <c r="R207" i="6"/>
  <c r="R156" i="6"/>
  <c r="L602" i="6"/>
  <c r="BE602" i="6" s="1"/>
  <c r="R101" i="6"/>
  <c r="R598" i="6"/>
  <c r="R27" i="6"/>
  <c r="R648" i="6"/>
  <c r="L625" i="6"/>
  <c r="BE625" i="6" s="1"/>
  <c r="L289" i="6"/>
  <c r="BE289" i="6" s="1"/>
  <c r="R640" i="6"/>
  <c r="L536" i="6"/>
  <c r="BE536" i="6" s="1"/>
  <c r="R363" i="6"/>
  <c r="R541" i="6"/>
  <c r="R160" i="6"/>
  <c r="R38" i="6"/>
  <c r="L159" i="6"/>
  <c r="BE159" i="6" s="1"/>
  <c r="L599" i="6"/>
  <c r="BE599" i="6" s="1"/>
  <c r="R577" i="6"/>
  <c r="L631" i="6"/>
  <c r="BE631" i="6" s="1"/>
  <c r="R544" i="6"/>
  <c r="R637" i="6"/>
  <c r="R71" i="6"/>
  <c r="R332" i="6"/>
  <c r="R144" i="6"/>
  <c r="R78" i="6"/>
  <c r="R573" i="6"/>
  <c r="L557" i="6"/>
  <c r="BE557" i="6" s="1"/>
  <c r="R634" i="6"/>
  <c r="L268" i="6"/>
  <c r="BE268" i="6" s="1"/>
  <c r="R103" i="6"/>
  <c r="R278" i="6"/>
  <c r="R181" i="6"/>
  <c r="L459" i="6"/>
  <c r="BE459" i="6" s="1"/>
  <c r="R603" i="6"/>
  <c r="R406" i="6"/>
  <c r="L596" i="6"/>
  <c r="BE596" i="6" s="1"/>
  <c r="L287" i="6"/>
  <c r="BE287" i="6" s="1"/>
  <c r="R588" i="6"/>
  <c r="R206" i="6"/>
  <c r="L474" i="6"/>
  <c r="BE474" i="6" s="1"/>
  <c r="R366" i="6"/>
  <c r="R536" i="6"/>
  <c r="L558" i="6"/>
  <c r="BE558" i="6" s="1"/>
  <c r="R224" i="6"/>
  <c r="R703" i="6"/>
  <c r="R671" i="6"/>
  <c r="L678" i="6"/>
  <c r="BE678" i="6" s="1"/>
  <c r="L654" i="6"/>
  <c r="BE654" i="6" s="1"/>
  <c r="L60" i="6"/>
  <c r="BE60" i="6" s="1"/>
  <c r="L34" i="6"/>
  <c r="BE34" i="6" s="1"/>
  <c r="R327" i="6"/>
  <c r="L162" i="6"/>
  <c r="BE162" i="6" s="1"/>
  <c r="L364" i="6"/>
  <c r="BE364" i="6" s="1"/>
  <c r="L299" i="6"/>
  <c r="BE299" i="6" s="1"/>
  <c r="R59" i="6"/>
  <c r="R692" i="6"/>
  <c r="L72" i="6"/>
  <c r="BE72" i="6" s="1"/>
  <c r="L146" i="6"/>
  <c r="BE146" i="6" s="1"/>
  <c r="L572" i="6"/>
  <c r="BE572" i="6" s="1"/>
  <c r="R296" i="6"/>
  <c r="R335" i="6"/>
  <c r="L84" i="6"/>
  <c r="BE84" i="6" s="1"/>
  <c r="R684" i="6"/>
  <c r="R632" i="6"/>
  <c r="L535" i="6"/>
  <c r="BE535" i="6" s="1"/>
  <c r="R184" i="6"/>
  <c r="L606" i="6"/>
  <c r="BE606" i="6" s="1"/>
  <c r="L161" i="6"/>
  <c r="BE161" i="6" s="1"/>
  <c r="R137" i="6"/>
  <c r="R643" i="6"/>
  <c r="R676" i="6"/>
  <c r="L291" i="6"/>
  <c r="BE291" i="6" s="1"/>
  <c r="L139" i="6"/>
  <c r="BE139" i="6" s="1"/>
  <c r="R437" i="6"/>
  <c r="R131" i="6"/>
  <c r="L358" i="6"/>
  <c r="BE358" i="6" s="1"/>
  <c r="R666" i="6"/>
  <c r="R629" i="6"/>
  <c r="R330" i="6"/>
  <c r="L569" i="6"/>
  <c r="BE569" i="6" s="1"/>
  <c r="R299" i="6"/>
  <c r="R134" i="6"/>
  <c r="R658" i="6"/>
  <c r="L70" i="6"/>
  <c r="BE70" i="6" s="1"/>
  <c r="L567" i="6"/>
  <c r="BE567" i="6" s="1"/>
  <c r="L229" i="6"/>
  <c r="BE229" i="6" s="1"/>
  <c r="L609" i="6"/>
  <c r="BE609" i="6" s="1"/>
  <c r="L252" i="6"/>
  <c r="BE252" i="6" s="1"/>
  <c r="L222" i="6"/>
  <c r="BE222" i="6" s="1"/>
  <c r="R557" i="6"/>
  <c r="R457" i="6"/>
  <c r="L603" i="6"/>
  <c r="BE603" i="6" s="1"/>
  <c r="R333" i="6"/>
  <c r="L702" i="6"/>
  <c r="BE702" i="6" s="1"/>
  <c r="L313" i="6"/>
  <c r="BE313" i="6" s="1"/>
  <c r="L637" i="6"/>
  <c r="BE637" i="6" s="1"/>
  <c r="L333" i="6"/>
  <c r="BE333" i="6" s="1"/>
  <c r="R75" i="6"/>
  <c r="R367" i="6"/>
  <c r="R66" i="6"/>
  <c r="L512" i="6"/>
  <c r="BE512" i="6" s="1"/>
  <c r="R309" i="6"/>
  <c r="L672" i="6"/>
  <c r="BE672" i="6" s="1"/>
  <c r="R291" i="6"/>
  <c r="R560" i="6"/>
  <c r="R679" i="6"/>
  <c r="R572" i="6"/>
  <c r="R512" i="6"/>
  <c r="R608" i="6"/>
  <c r="L101" i="6"/>
  <c r="BE101" i="6" s="1"/>
  <c r="L138" i="6"/>
  <c r="BE138" i="6" s="1"/>
  <c r="L45" i="6"/>
  <c r="BE45" i="6" s="1"/>
  <c r="R436" i="6"/>
  <c r="L534" i="6"/>
  <c r="BE534" i="6" s="1"/>
  <c r="L208" i="6"/>
  <c r="BE208" i="6" s="1"/>
  <c r="L684" i="6"/>
  <c r="BE684" i="6" s="1"/>
  <c r="L310" i="6"/>
  <c r="BE310" i="6" s="1"/>
  <c r="L321" i="6"/>
  <c r="BE321" i="6" s="1"/>
  <c r="R585" i="6"/>
  <c r="L669" i="6"/>
  <c r="BE669" i="6" s="1"/>
  <c r="R361" i="6"/>
  <c r="L437" i="6"/>
  <c r="BE437" i="6" s="1"/>
  <c r="L181" i="6"/>
  <c r="BE181" i="6" s="1"/>
  <c r="R311" i="6"/>
  <c r="R403" i="6"/>
  <c r="R683" i="6"/>
  <c r="L195" i="6"/>
  <c r="BE195" i="6" s="1"/>
  <c r="L677" i="6"/>
  <c r="BE677" i="6" s="1"/>
  <c r="L134" i="6"/>
  <c r="BE134" i="6" s="1"/>
  <c r="L610" i="6"/>
  <c r="BE610" i="6" s="1"/>
  <c r="R130" i="6"/>
  <c r="R179" i="6"/>
  <c r="L94" i="6"/>
  <c r="BE94" i="6" s="1"/>
  <c r="R476" i="6"/>
  <c r="L546" i="6"/>
  <c r="BE546" i="6" s="1"/>
  <c r="L198" i="6"/>
  <c r="BE198" i="6" s="1"/>
  <c r="L196" i="6"/>
  <c r="BE196" i="6" s="1"/>
  <c r="R57" i="6"/>
  <c r="R229" i="6"/>
  <c r="R542" i="6"/>
  <c r="R670" i="6"/>
  <c r="L54" i="6"/>
  <c r="BE54" i="6" s="1"/>
  <c r="R631" i="6"/>
  <c r="L545" i="6"/>
  <c r="BE545" i="6" s="1"/>
  <c r="CT342" i="6"/>
  <c r="CF342" i="6"/>
  <c r="CT336" i="6"/>
  <c r="CF336" i="6"/>
  <c r="CT331" i="6"/>
  <c r="CF331" i="6"/>
  <c r="CT534" i="6"/>
  <c r="CF534" i="6"/>
  <c r="CT532" i="6"/>
  <c r="CF532" i="6"/>
  <c r="CT520" i="6"/>
  <c r="CF520" i="6"/>
  <c r="CT508" i="6"/>
  <c r="CF508" i="6"/>
  <c r="CT294" i="6"/>
  <c r="CF294" i="6"/>
  <c r="CT483" i="6"/>
  <c r="CF483" i="6"/>
  <c r="CT471" i="6"/>
  <c r="CF471" i="6"/>
  <c r="CT462" i="6"/>
  <c r="CF462" i="6"/>
  <c r="CT214" i="6"/>
  <c r="CF214" i="6"/>
  <c r="CT63" i="6"/>
  <c r="CF63" i="6"/>
  <c r="CT150" i="6"/>
  <c r="CF150" i="6"/>
  <c r="CT439" i="6"/>
  <c r="CF439" i="6"/>
  <c r="CT149" i="6"/>
  <c r="CF149" i="6"/>
  <c r="CT426" i="6"/>
  <c r="CF426" i="6"/>
  <c r="CT87" i="6"/>
  <c r="CF87" i="6"/>
  <c r="CT619" i="6"/>
  <c r="CF619" i="6"/>
  <c r="CT705" i="6"/>
  <c r="CF705" i="6"/>
  <c r="CT610" i="6"/>
  <c r="CF610" i="6"/>
  <c r="CT598" i="6"/>
  <c r="CF598" i="6"/>
  <c r="CT586" i="6"/>
  <c r="CF586" i="6"/>
  <c r="CT219" i="6"/>
  <c r="CF219" i="6"/>
  <c r="CT184" i="6"/>
  <c r="CF184" i="6"/>
  <c r="CT33" i="6"/>
  <c r="CF33" i="6"/>
  <c r="CT707" i="6"/>
  <c r="CF707" i="6"/>
  <c r="CT22" i="6"/>
  <c r="CF22" i="6"/>
  <c r="CT650" i="6"/>
  <c r="CF650" i="6"/>
  <c r="CT208" i="6"/>
  <c r="CF208" i="6"/>
  <c r="CT634" i="6"/>
  <c r="CF634" i="6"/>
  <c r="CT105" i="6"/>
  <c r="CF105" i="6"/>
  <c r="CT581" i="6"/>
  <c r="CF581" i="6"/>
  <c r="CT575" i="6"/>
  <c r="CF575" i="6"/>
  <c r="CT565" i="6"/>
  <c r="CF565" i="6"/>
  <c r="CT559" i="6"/>
  <c r="CF559" i="6"/>
  <c r="CT551" i="6"/>
  <c r="CF551" i="6"/>
  <c r="CT542" i="6"/>
  <c r="CF542" i="6"/>
  <c r="CT325" i="6"/>
  <c r="CF325" i="6"/>
  <c r="CT129" i="6"/>
  <c r="CF129" i="6"/>
  <c r="CT154" i="6"/>
  <c r="CF154" i="6"/>
  <c r="CT99" i="6"/>
  <c r="CF99" i="6"/>
  <c r="CT98" i="6"/>
  <c r="CF98" i="6"/>
  <c r="CT418" i="6"/>
  <c r="CF418" i="6"/>
  <c r="CT409" i="6"/>
  <c r="CF409" i="6"/>
  <c r="CT401" i="6"/>
  <c r="CF401" i="6"/>
  <c r="CT398" i="6"/>
  <c r="CF398" i="6"/>
  <c r="CT249" i="6"/>
  <c r="CF249" i="6"/>
  <c r="CT385" i="6"/>
  <c r="CF385" i="6"/>
  <c r="CT260" i="6"/>
  <c r="CF260" i="6"/>
  <c r="CT364" i="6"/>
  <c r="CF364" i="6"/>
  <c r="CT360" i="6"/>
  <c r="CF360" i="6"/>
  <c r="CT353" i="6"/>
  <c r="CF353" i="6"/>
  <c r="CT190" i="6"/>
  <c r="CF190" i="6"/>
  <c r="CT347" i="6"/>
  <c r="CF347" i="6"/>
  <c r="CT10" i="6"/>
  <c r="CF10" i="6"/>
  <c r="CT172" i="6"/>
  <c r="CF172" i="6"/>
  <c r="CT11" i="6"/>
  <c r="CF11" i="6"/>
  <c r="CT135" i="6"/>
  <c r="CF135" i="6"/>
  <c r="CT68" i="6"/>
  <c r="CF68" i="6"/>
  <c r="CT693" i="6"/>
  <c r="CF693" i="6"/>
  <c r="CT268" i="6"/>
  <c r="CF268" i="6"/>
  <c r="CT71" i="6"/>
  <c r="CF71" i="6"/>
  <c r="CT335" i="6"/>
  <c r="CF335" i="6"/>
  <c r="CT288" i="6"/>
  <c r="CF288" i="6"/>
  <c r="CT285" i="6"/>
  <c r="CF285" i="6"/>
  <c r="CT330" i="6"/>
  <c r="CF330" i="6"/>
  <c r="CT258" i="6"/>
  <c r="CF258" i="6"/>
  <c r="CT281" i="6"/>
  <c r="CF281" i="6"/>
  <c r="CT69" i="6"/>
  <c r="CF69" i="6"/>
  <c r="CT18" i="6"/>
  <c r="CF18" i="6"/>
  <c r="CT73" i="6"/>
  <c r="CF73" i="6"/>
  <c r="CT531" i="6"/>
  <c r="CF531" i="6"/>
  <c r="CT527" i="6"/>
  <c r="CF527" i="6"/>
  <c r="CT523" i="6"/>
  <c r="CF523" i="6"/>
  <c r="CT519" i="6"/>
  <c r="CF519" i="6"/>
  <c r="CT515" i="6"/>
  <c r="CF515" i="6"/>
  <c r="CT511" i="6"/>
  <c r="CF511" i="6"/>
  <c r="CT507" i="6"/>
  <c r="CF507" i="6"/>
  <c r="CT503" i="6"/>
  <c r="CF503" i="6"/>
  <c r="CT499" i="6"/>
  <c r="CF499" i="6"/>
  <c r="CT293" i="6"/>
  <c r="CF293" i="6"/>
  <c r="CT494" i="6"/>
  <c r="CF494" i="6"/>
  <c r="CT490" i="6"/>
  <c r="CF490" i="6"/>
  <c r="CT486" i="6"/>
  <c r="CF486" i="6"/>
  <c r="CT482" i="6"/>
  <c r="CF482" i="6"/>
  <c r="CT478" i="6"/>
  <c r="CF478" i="6"/>
  <c r="CT474" i="6"/>
  <c r="CF474" i="6"/>
  <c r="CT470" i="6"/>
  <c r="CF470" i="6"/>
  <c r="CT276" i="6"/>
  <c r="CF276" i="6"/>
  <c r="CT465" i="6"/>
  <c r="CF465" i="6"/>
  <c r="CT461" i="6"/>
  <c r="CF461" i="6"/>
  <c r="CT458" i="6"/>
  <c r="CF458" i="6"/>
  <c r="CT77" i="6"/>
  <c r="CF77" i="6"/>
  <c r="CT61" i="6"/>
  <c r="CF61" i="6"/>
  <c r="CT27" i="6"/>
  <c r="CF27" i="6"/>
  <c r="CT699" i="6"/>
  <c r="CF699" i="6"/>
  <c r="CT213" i="6"/>
  <c r="CF213" i="6"/>
  <c r="CT454" i="6"/>
  <c r="CF454" i="6"/>
  <c r="CT265" i="6"/>
  <c r="CF265" i="6"/>
  <c r="CT450" i="6"/>
  <c r="CF450" i="6"/>
  <c r="CT446" i="6"/>
  <c r="CF446" i="6"/>
  <c r="CT444" i="6"/>
  <c r="CF444" i="6"/>
  <c r="CT440" i="6"/>
  <c r="CF440" i="6"/>
  <c r="CT438" i="6"/>
  <c r="CF438" i="6"/>
  <c r="CT435" i="6"/>
  <c r="CF435" i="6"/>
  <c r="CT431" i="6"/>
  <c r="CF431" i="6"/>
  <c r="CT230" i="6"/>
  <c r="CF230" i="6"/>
  <c r="CT429" i="6"/>
  <c r="CF429" i="6"/>
  <c r="CT425" i="6"/>
  <c r="CF425" i="6"/>
  <c r="CT423" i="6"/>
  <c r="CF423" i="6"/>
  <c r="CT76" i="6"/>
  <c r="CF76" i="6"/>
  <c r="CT102" i="6"/>
  <c r="CF102" i="6"/>
  <c r="CT19" i="6"/>
  <c r="CF19" i="6"/>
  <c r="CT216" i="6"/>
  <c r="CF216" i="6"/>
  <c r="CT49" i="6"/>
  <c r="CF49" i="6"/>
  <c r="CT113" i="6"/>
  <c r="CF113" i="6"/>
  <c r="CT92" i="6"/>
  <c r="CF92" i="6"/>
  <c r="CT702" i="6"/>
  <c r="CF702" i="6"/>
  <c r="CT611" i="6"/>
  <c r="CF611" i="6"/>
  <c r="CT57" i="6"/>
  <c r="CF57" i="6"/>
  <c r="CT609" i="6"/>
  <c r="CF609" i="6"/>
  <c r="CT605" i="6"/>
  <c r="CF605" i="6"/>
  <c r="CT601" i="6"/>
  <c r="CF601" i="6"/>
  <c r="CT597" i="6"/>
  <c r="CF597" i="6"/>
  <c r="CT593" i="6"/>
  <c r="CF593" i="6"/>
  <c r="CT589" i="6"/>
  <c r="CF589" i="6"/>
  <c r="CT585" i="6"/>
  <c r="CF585" i="6"/>
  <c r="CT688" i="6"/>
  <c r="CF688" i="6"/>
  <c r="CT685" i="6"/>
  <c r="CF685" i="6"/>
  <c r="CT681" i="6"/>
  <c r="CF681" i="6"/>
  <c r="CT234" i="6"/>
  <c r="CF234" i="6"/>
  <c r="CT678" i="6"/>
  <c r="CF678" i="6"/>
  <c r="CT674" i="6"/>
  <c r="CF674" i="6"/>
  <c r="CT157" i="6"/>
  <c r="CF157" i="6"/>
  <c r="CT671" i="6"/>
  <c r="CF671" i="6"/>
  <c r="CT669" i="6"/>
  <c r="CF669" i="6"/>
  <c r="CT666" i="6"/>
  <c r="CF666" i="6"/>
  <c r="CT665" i="6"/>
  <c r="CF665" i="6"/>
  <c r="CT663" i="6"/>
  <c r="CF663" i="6"/>
  <c r="CT660" i="6"/>
  <c r="CF660" i="6"/>
  <c r="CT121" i="6"/>
  <c r="CF121" i="6"/>
  <c r="CT657" i="6"/>
  <c r="CF657" i="6"/>
  <c r="CT653" i="6"/>
  <c r="CF653" i="6"/>
  <c r="CT649" i="6"/>
  <c r="CF649" i="6"/>
  <c r="CT138" i="6"/>
  <c r="CF138" i="6"/>
  <c r="CT642" i="6"/>
  <c r="CF642" i="6"/>
  <c r="CT638" i="6"/>
  <c r="CF638" i="6"/>
  <c r="CT207" i="6"/>
  <c r="CF207" i="6"/>
  <c r="CT636" i="6"/>
  <c r="CF636" i="6"/>
  <c r="CT633" i="6"/>
  <c r="CF633" i="6"/>
  <c r="CT631" i="6"/>
  <c r="CF631" i="6"/>
  <c r="CT628" i="6"/>
  <c r="CF628" i="6"/>
  <c r="CT625" i="6"/>
  <c r="CF625" i="6"/>
  <c r="CT94" i="6"/>
  <c r="CF94" i="6"/>
  <c r="CT297" i="6"/>
  <c r="CF297" i="6"/>
  <c r="CT232" i="6"/>
  <c r="CF232" i="6"/>
  <c r="CT29" i="6"/>
  <c r="CF29" i="6"/>
  <c r="CT231" i="6"/>
  <c r="CF231" i="6"/>
  <c r="CT580" i="6"/>
  <c r="CF580" i="6"/>
  <c r="CT578" i="6"/>
  <c r="CF578" i="6"/>
  <c r="CT574" i="6"/>
  <c r="CF574" i="6"/>
  <c r="CT251" i="6"/>
  <c r="CF251" i="6"/>
  <c r="CT568" i="6"/>
  <c r="CF568" i="6"/>
  <c r="CT564" i="6"/>
  <c r="CF564" i="6"/>
  <c r="CT205" i="6"/>
  <c r="CF205" i="6"/>
  <c r="CT159" i="6"/>
  <c r="CF159" i="6"/>
  <c r="CT558" i="6"/>
  <c r="CF558" i="6"/>
  <c r="CT296" i="6"/>
  <c r="CF296" i="6"/>
  <c r="CT108" i="6"/>
  <c r="CF108" i="6"/>
  <c r="CT550" i="6"/>
  <c r="CF550" i="6"/>
  <c r="CT547" i="6"/>
  <c r="CF547" i="6"/>
  <c r="CT545" i="6"/>
  <c r="CF545" i="6"/>
  <c r="CT541" i="6"/>
  <c r="CF541" i="6"/>
  <c r="CT537" i="6"/>
  <c r="CF537" i="6"/>
  <c r="CT86" i="6"/>
  <c r="CF86" i="6"/>
  <c r="CT324" i="6"/>
  <c r="CF324" i="6"/>
  <c r="CT267" i="6"/>
  <c r="CF267" i="6"/>
  <c r="CT244" i="6"/>
  <c r="CF244" i="6"/>
  <c r="CT320" i="6"/>
  <c r="CF320" i="6"/>
  <c r="CT318" i="6"/>
  <c r="CF318" i="6"/>
  <c r="CT314" i="6"/>
  <c r="CF314" i="6"/>
  <c r="CT211" i="6"/>
  <c r="CF211" i="6"/>
  <c r="CT170" i="6"/>
  <c r="CF170" i="6"/>
  <c r="CT310" i="6"/>
  <c r="CF310" i="6"/>
  <c r="CT299" i="6"/>
  <c r="CF299" i="6"/>
  <c r="CT110" i="6"/>
  <c r="CF110" i="6"/>
  <c r="CT306" i="6"/>
  <c r="CF306" i="6"/>
  <c r="CT90" i="6"/>
  <c r="CF90" i="6"/>
  <c r="CT153" i="6"/>
  <c r="CF153" i="6"/>
  <c r="CT301" i="6"/>
  <c r="CF301" i="6"/>
  <c r="CT70" i="6"/>
  <c r="CF70" i="6"/>
  <c r="CT192" i="6"/>
  <c r="CF192" i="6"/>
  <c r="CT416" i="6"/>
  <c r="CF416" i="6"/>
  <c r="CT412" i="6"/>
  <c r="CF412" i="6"/>
  <c r="CT241" i="6"/>
  <c r="CF241" i="6"/>
  <c r="CT119" i="6"/>
  <c r="CF119" i="6"/>
  <c r="CT404" i="6"/>
  <c r="CF404" i="6"/>
  <c r="CT202" i="6"/>
  <c r="CF202" i="6"/>
  <c r="CT155" i="6"/>
  <c r="CF155" i="6"/>
  <c r="CT200" i="6"/>
  <c r="CF200" i="6"/>
  <c r="CT292" i="6"/>
  <c r="CF292" i="6"/>
  <c r="CT114" i="6"/>
  <c r="CF114" i="6"/>
  <c r="CT191" i="6"/>
  <c r="CF191" i="6"/>
  <c r="CT261" i="6"/>
  <c r="CF261" i="6"/>
  <c r="CT392" i="6"/>
  <c r="CF392" i="6"/>
  <c r="CT388" i="6"/>
  <c r="CF388" i="6"/>
  <c r="CT384" i="6"/>
  <c r="CF384" i="6"/>
  <c r="CT380" i="6"/>
  <c r="CF380" i="6"/>
  <c r="CT376" i="6"/>
  <c r="CF376" i="6"/>
  <c r="CT269" i="6"/>
  <c r="CF269" i="6"/>
  <c r="CT371" i="6"/>
  <c r="CF371" i="6"/>
  <c r="CT367" i="6"/>
  <c r="CF367" i="6"/>
  <c r="CT363" i="6"/>
  <c r="CF363" i="6"/>
  <c r="CT196" i="6"/>
  <c r="CF196" i="6"/>
  <c r="CT359" i="6"/>
  <c r="CF359" i="6"/>
  <c r="CF356" i="6"/>
  <c r="CT356" i="6"/>
  <c r="CF355" i="6"/>
  <c r="CT355" i="6"/>
  <c r="CF352" i="6"/>
  <c r="CT352" i="6"/>
  <c r="CF697" i="6"/>
  <c r="CT697" i="6"/>
  <c r="CF20" i="6"/>
  <c r="CT20" i="6"/>
  <c r="CF37" i="6"/>
  <c r="CT37" i="6"/>
  <c r="CF145" i="6"/>
  <c r="CT145" i="6"/>
  <c r="CF255" i="6"/>
  <c r="CT255" i="6"/>
  <c r="CF346" i="6"/>
  <c r="CT346" i="6"/>
  <c r="CF112" i="6"/>
  <c r="CT112" i="6"/>
  <c r="CF344" i="6"/>
  <c r="CT344" i="6"/>
  <c r="CF12" i="6"/>
  <c r="CT12" i="6"/>
  <c r="CF254" i="6"/>
  <c r="CT254" i="6"/>
  <c r="CF95" i="6"/>
  <c r="CT95" i="6"/>
  <c r="CF339" i="6"/>
  <c r="CT339" i="6"/>
  <c r="CF337" i="6"/>
  <c r="CT337" i="6"/>
  <c r="CF17" i="6"/>
  <c r="CT17" i="6"/>
  <c r="CT152" i="6"/>
  <c r="CF152" i="6"/>
  <c r="CT340" i="6"/>
  <c r="CF340" i="6"/>
  <c r="CT289" i="6"/>
  <c r="CF289" i="6"/>
  <c r="CT283" i="6"/>
  <c r="CF283" i="6"/>
  <c r="CT124" i="6"/>
  <c r="CF124" i="6"/>
  <c r="CT528" i="6"/>
  <c r="CF528" i="6"/>
  <c r="CT516" i="6"/>
  <c r="CF516" i="6"/>
  <c r="CT504" i="6"/>
  <c r="CF504" i="6"/>
  <c r="CT495" i="6"/>
  <c r="CF495" i="6"/>
  <c r="CT479" i="6"/>
  <c r="CF479" i="6"/>
  <c r="CT221" i="6"/>
  <c r="CF221" i="6"/>
  <c r="CT275" i="6"/>
  <c r="CF275" i="6"/>
  <c r="CT248" i="6"/>
  <c r="CF248" i="6"/>
  <c r="CT455" i="6"/>
  <c r="CF455" i="6"/>
  <c r="CT447" i="6"/>
  <c r="CF447" i="6"/>
  <c r="CT441" i="6"/>
  <c r="CF441" i="6"/>
  <c r="CT432" i="6"/>
  <c r="CF432" i="6"/>
  <c r="CT272" i="6"/>
  <c r="CF272" i="6"/>
  <c r="CT31" i="6"/>
  <c r="CF31" i="6"/>
  <c r="CT616" i="6"/>
  <c r="CF616" i="6"/>
  <c r="CT612" i="6"/>
  <c r="CF612" i="6"/>
  <c r="CT606" i="6"/>
  <c r="CF606" i="6"/>
  <c r="CT594" i="6"/>
  <c r="CF594" i="6"/>
  <c r="CT103" i="6"/>
  <c r="CF103" i="6"/>
  <c r="CT682" i="6"/>
  <c r="CF682" i="6"/>
  <c r="CT675" i="6"/>
  <c r="CF675" i="6"/>
  <c r="CT183" i="6"/>
  <c r="CF183" i="6"/>
  <c r="CT256" i="6"/>
  <c r="CF256" i="6"/>
  <c r="CT659" i="6"/>
  <c r="CF659" i="6"/>
  <c r="CT646" i="6"/>
  <c r="CF646" i="6"/>
  <c r="CT639" i="6"/>
  <c r="CF639" i="6"/>
  <c r="CT127" i="6"/>
  <c r="CF127" i="6"/>
  <c r="CT147" i="6"/>
  <c r="CF147" i="6"/>
  <c r="CT620" i="6"/>
  <c r="CF620" i="6"/>
  <c r="CT579" i="6"/>
  <c r="CF579" i="6"/>
  <c r="CT137" i="6"/>
  <c r="CF137" i="6"/>
  <c r="CT160" i="6"/>
  <c r="CF160" i="6"/>
  <c r="CT554" i="6"/>
  <c r="CF554" i="6"/>
  <c r="CT107" i="6"/>
  <c r="CF107" i="6"/>
  <c r="CT327" i="6"/>
  <c r="CF327" i="6"/>
  <c r="CT220" i="6"/>
  <c r="CF220" i="6"/>
  <c r="CT315" i="6"/>
  <c r="CF315" i="6"/>
  <c r="CT38" i="6"/>
  <c r="CF38" i="6"/>
  <c r="CT304" i="6"/>
  <c r="CF304" i="6"/>
  <c r="CT421" i="6"/>
  <c r="CF421" i="6"/>
  <c r="CT413" i="6"/>
  <c r="CF413" i="6"/>
  <c r="CT405" i="6"/>
  <c r="CF405" i="6"/>
  <c r="CT175" i="6"/>
  <c r="CF175" i="6"/>
  <c r="CT395" i="6"/>
  <c r="CF395" i="6"/>
  <c r="CT242" i="6"/>
  <c r="CF242" i="6"/>
  <c r="CT381" i="6"/>
  <c r="CF381" i="6"/>
  <c r="CT372" i="6"/>
  <c r="CF372" i="6"/>
  <c r="CT197" i="6"/>
  <c r="CF197" i="6"/>
  <c r="CT133" i="6"/>
  <c r="CF133" i="6"/>
  <c r="CT700" i="6"/>
  <c r="CF700" i="6"/>
  <c r="CT228" i="6"/>
  <c r="CF228" i="6"/>
  <c r="CT118" i="6"/>
  <c r="CF118" i="6"/>
  <c r="CT345" i="6"/>
  <c r="CF345" i="6"/>
  <c r="CT136" i="6"/>
  <c r="CF136" i="6"/>
  <c r="CT706" i="6"/>
  <c r="CF706" i="6"/>
  <c r="CT142" i="6"/>
  <c r="CF142" i="6"/>
  <c r="CT259" i="6"/>
  <c r="CF259" i="6"/>
  <c r="CT341" i="6"/>
  <c r="CF341" i="6"/>
  <c r="CT78" i="6"/>
  <c r="CF78" i="6"/>
  <c r="CT72" i="6"/>
  <c r="CF72" i="6"/>
  <c r="CT334" i="6"/>
  <c r="CF334" i="6"/>
  <c r="CT333" i="6"/>
  <c r="CF333" i="6"/>
  <c r="CT284" i="6"/>
  <c r="CF284" i="6"/>
  <c r="CT329" i="6"/>
  <c r="CF329" i="6"/>
  <c r="CT257" i="6"/>
  <c r="CF257" i="6"/>
  <c r="CT328" i="6"/>
  <c r="CF328" i="6"/>
  <c r="CT104" i="6"/>
  <c r="CF104" i="6"/>
  <c r="CT47" i="6"/>
  <c r="CF47" i="6"/>
  <c r="CT186" i="6"/>
  <c r="CF186" i="6"/>
  <c r="CT530" i="6"/>
  <c r="CF530" i="6"/>
  <c r="CT526" i="6"/>
  <c r="CF526" i="6"/>
  <c r="CT522" i="6"/>
  <c r="CF522" i="6"/>
  <c r="CT518" i="6"/>
  <c r="CF518" i="6"/>
  <c r="CT514" i="6"/>
  <c r="CF514" i="6"/>
  <c r="CT510" i="6"/>
  <c r="CF510" i="6"/>
  <c r="CT506" i="6"/>
  <c r="CF506" i="6"/>
  <c r="CT502" i="6"/>
  <c r="CF502" i="6"/>
  <c r="CT498" i="6"/>
  <c r="CF498" i="6"/>
  <c r="CT497" i="6"/>
  <c r="CF497" i="6"/>
  <c r="CT493" i="6"/>
  <c r="CF493" i="6"/>
  <c r="CT489" i="6"/>
  <c r="CF489" i="6"/>
  <c r="CT485" i="6"/>
  <c r="CF485" i="6"/>
  <c r="CT481" i="6"/>
  <c r="CF481" i="6"/>
  <c r="CT477" i="6"/>
  <c r="CF477" i="6"/>
  <c r="CT473" i="6"/>
  <c r="CF473" i="6"/>
  <c r="CT469" i="6"/>
  <c r="CF469" i="6"/>
  <c r="CT468" i="6"/>
  <c r="CF468" i="6"/>
  <c r="CT464" i="6"/>
  <c r="CF464" i="6"/>
  <c r="CT460" i="6"/>
  <c r="CF460" i="6"/>
  <c r="CT42" i="6"/>
  <c r="CF42" i="6"/>
  <c r="CT223" i="6"/>
  <c r="CF223" i="6"/>
  <c r="CT111" i="6"/>
  <c r="CF111" i="6"/>
  <c r="CT692" i="6"/>
  <c r="CF692" i="6"/>
  <c r="CT50" i="6"/>
  <c r="CF50" i="6"/>
  <c r="CT457" i="6"/>
  <c r="CF457" i="6"/>
  <c r="CT453" i="6"/>
  <c r="CF453" i="6"/>
  <c r="CT264" i="6"/>
  <c r="CF264" i="6"/>
  <c r="CT449" i="6"/>
  <c r="CF449" i="6"/>
  <c r="CT274" i="6"/>
  <c r="CF274" i="6"/>
  <c r="CT443" i="6"/>
  <c r="CF443" i="6"/>
  <c r="CT178" i="6"/>
  <c r="CF178" i="6"/>
  <c r="CT437" i="6"/>
  <c r="CF437" i="6"/>
  <c r="CT434" i="6"/>
  <c r="CF434" i="6"/>
  <c r="CT430" i="6"/>
  <c r="CF430" i="6"/>
  <c r="CT125" i="6"/>
  <c r="CF125" i="6"/>
  <c r="CT428" i="6"/>
  <c r="CF428" i="6"/>
  <c r="CT689" i="6"/>
  <c r="CF689" i="6"/>
  <c r="CT41" i="6"/>
  <c r="CF41" i="6"/>
  <c r="CT222" i="6"/>
  <c r="CF222" i="6"/>
  <c r="CT109" i="6"/>
  <c r="CF109" i="6"/>
  <c r="CT23" i="6"/>
  <c r="CF23" i="6"/>
  <c r="CT218" i="6"/>
  <c r="CF218" i="6"/>
  <c r="CT618" i="6"/>
  <c r="CF618" i="6"/>
  <c r="CT126" i="6"/>
  <c r="CF126" i="6"/>
  <c r="CT614" i="6"/>
  <c r="CF614" i="6"/>
  <c r="CT704" i="6"/>
  <c r="CF704" i="6"/>
  <c r="CT80" i="6"/>
  <c r="CF80" i="6"/>
  <c r="CT74" i="6"/>
  <c r="CF74" i="6"/>
  <c r="CT608" i="6"/>
  <c r="CF608" i="6"/>
  <c r="CT604" i="6"/>
  <c r="CF604" i="6"/>
  <c r="CT600" i="6"/>
  <c r="CF600" i="6"/>
  <c r="CT596" i="6"/>
  <c r="CF596" i="6"/>
  <c r="CT592" i="6"/>
  <c r="CF592" i="6"/>
  <c r="CT588" i="6"/>
  <c r="CF588" i="6"/>
  <c r="CT584" i="6"/>
  <c r="CF584" i="6"/>
  <c r="CT687" i="6"/>
  <c r="CF687" i="6"/>
  <c r="CT684" i="6"/>
  <c r="CF684" i="6"/>
  <c r="CT680" i="6"/>
  <c r="CF680" i="6"/>
  <c r="CT252" i="6"/>
  <c r="CF252" i="6"/>
  <c r="CT677" i="6"/>
  <c r="CF677" i="6"/>
  <c r="CT673" i="6"/>
  <c r="CF673" i="6"/>
  <c r="CT163" i="6"/>
  <c r="CF163" i="6"/>
  <c r="CT229" i="6"/>
  <c r="CF229" i="6"/>
  <c r="CT668" i="6"/>
  <c r="CF668" i="6"/>
  <c r="CT128" i="6"/>
  <c r="CF128" i="6"/>
  <c r="CT144" i="6"/>
  <c r="CF144" i="6"/>
  <c r="CT662" i="6"/>
  <c r="CF662" i="6"/>
  <c r="CT96" i="6"/>
  <c r="CF96" i="6"/>
  <c r="CT182" i="6"/>
  <c r="CF182" i="6"/>
  <c r="CT656" i="6"/>
  <c r="CF656" i="6"/>
  <c r="CT652" i="6"/>
  <c r="CF652" i="6"/>
  <c r="CT648" i="6"/>
  <c r="CF648" i="6"/>
  <c r="CT645" i="6"/>
  <c r="CF645" i="6"/>
  <c r="CT641" i="6"/>
  <c r="CF641" i="6"/>
  <c r="CT162" i="6"/>
  <c r="CF162" i="6"/>
  <c r="CT180" i="6"/>
  <c r="CF180" i="6"/>
  <c r="CT278" i="6"/>
  <c r="CF278" i="6"/>
  <c r="CT32" i="6"/>
  <c r="CF32" i="6"/>
  <c r="CT277" i="6"/>
  <c r="CF277" i="6"/>
  <c r="CT627" i="6"/>
  <c r="CF627" i="6"/>
  <c r="CT624" i="6"/>
  <c r="CF624" i="6"/>
  <c r="CT169" i="6"/>
  <c r="CF169" i="6"/>
  <c r="CT93" i="6"/>
  <c r="CF93" i="6"/>
  <c r="CT622" i="6"/>
  <c r="CF622" i="6"/>
  <c r="CT55" i="6"/>
  <c r="CF55" i="6"/>
  <c r="CT582" i="6"/>
  <c r="CF582" i="6"/>
  <c r="CT60" i="6"/>
  <c r="CF60" i="6"/>
  <c r="CT577" i="6"/>
  <c r="CF577" i="6"/>
  <c r="CT573" i="6"/>
  <c r="CF573" i="6"/>
  <c r="CT570" i="6"/>
  <c r="CF570" i="6"/>
  <c r="CT567" i="6"/>
  <c r="CF567" i="6"/>
  <c r="CT563" i="6"/>
  <c r="CF563" i="6"/>
  <c r="CT204" i="6"/>
  <c r="CF204" i="6"/>
  <c r="CT179" i="6"/>
  <c r="CF179" i="6"/>
  <c r="CT557" i="6"/>
  <c r="CF557" i="6"/>
  <c r="CT34" i="6"/>
  <c r="CF34" i="6"/>
  <c r="CT553" i="6"/>
  <c r="CF553" i="6"/>
  <c r="CT549" i="6"/>
  <c r="CF549" i="6"/>
  <c r="CT117" i="6"/>
  <c r="CF117" i="6"/>
  <c r="CT544" i="6"/>
  <c r="CF544" i="6"/>
  <c r="CT540" i="6"/>
  <c r="CF540" i="6"/>
  <c r="CT536" i="6"/>
  <c r="CF536" i="6"/>
  <c r="CT84" i="6"/>
  <c r="CF84" i="6"/>
  <c r="CT323" i="6"/>
  <c r="CF323" i="6"/>
  <c r="CT240" i="6"/>
  <c r="CF240" i="6"/>
  <c r="CT224" i="6"/>
  <c r="CF224" i="6"/>
  <c r="CT319" i="6"/>
  <c r="CF319" i="6"/>
  <c r="CT317" i="6"/>
  <c r="CF317" i="6"/>
  <c r="CT313" i="6"/>
  <c r="CF313" i="6"/>
  <c r="CT210" i="6"/>
  <c r="CF210" i="6"/>
  <c r="CT187" i="6"/>
  <c r="CF187" i="6"/>
  <c r="CT309" i="6"/>
  <c r="CF309" i="6"/>
  <c r="CT24" i="6"/>
  <c r="CF24" i="6"/>
  <c r="CT307" i="6"/>
  <c r="CF307" i="6"/>
  <c r="CT245" i="6"/>
  <c r="CF245" i="6"/>
  <c r="CT85" i="6"/>
  <c r="CF85" i="6"/>
  <c r="CT298" i="6"/>
  <c r="CF298" i="6"/>
  <c r="CT116" i="6"/>
  <c r="CF116" i="6"/>
  <c r="CT420" i="6"/>
  <c r="CF420" i="6"/>
  <c r="CT417" i="6"/>
  <c r="CF417" i="6"/>
  <c r="CT415" i="6"/>
  <c r="CF415" i="6"/>
  <c r="CT411" i="6"/>
  <c r="CF411" i="6"/>
  <c r="CF262" i="6"/>
  <c r="CT262" i="6"/>
  <c r="CT407" i="6"/>
  <c r="CF407" i="6"/>
  <c r="CT403" i="6"/>
  <c r="CF403" i="6"/>
  <c r="CT177" i="6"/>
  <c r="CF177" i="6"/>
  <c r="CF158" i="6"/>
  <c r="CT158" i="6"/>
  <c r="CT400" i="6"/>
  <c r="CF400" i="6"/>
  <c r="CT271" i="6"/>
  <c r="CF271" i="6"/>
  <c r="CT106" i="6"/>
  <c r="CF106" i="6"/>
  <c r="CF694" i="6"/>
  <c r="CT694" i="6"/>
  <c r="CT394" i="6"/>
  <c r="CF394" i="6"/>
  <c r="CT391" i="6"/>
  <c r="CF391" i="6"/>
  <c r="CT387" i="6"/>
  <c r="CF387" i="6"/>
  <c r="CF383" i="6"/>
  <c r="CT383" i="6"/>
  <c r="CT379" i="6"/>
  <c r="CF379" i="6"/>
  <c r="CT375" i="6"/>
  <c r="CF375" i="6"/>
  <c r="CT374" i="6"/>
  <c r="CF374" i="6"/>
  <c r="CF370" i="6"/>
  <c r="CT370" i="6"/>
  <c r="CT366" i="6"/>
  <c r="CF366" i="6"/>
  <c r="CT199" i="6"/>
  <c r="CF199" i="6"/>
  <c r="CF362" i="6"/>
  <c r="CT362" i="6"/>
  <c r="CF358" i="6"/>
  <c r="CT358" i="6"/>
  <c r="CT168" i="6"/>
  <c r="CF168" i="6"/>
  <c r="CF166" i="6"/>
  <c r="CT166" i="6"/>
  <c r="CT351" i="6"/>
  <c r="CF351" i="6"/>
  <c r="CF696" i="6"/>
  <c r="CT696" i="6"/>
  <c r="CT15" i="6"/>
  <c r="CF15" i="6"/>
  <c r="CF350" i="6"/>
  <c r="CT350" i="6"/>
  <c r="CT131" i="6"/>
  <c r="CF131" i="6"/>
  <c r="CF246" i="6"/>
  <c r="CT246" i="6"/>
  <c r="CT82" i="6"/>
  <c r="CF82" i="6"/>
  <c r="CF81" i="6"/>
  <c r="CT81" i="6"/>
  <c r="CT14" i="6"/>
  <c r="CF14" i="6"/>
  <c r="CF343" i="6"/>
  <c r="CT343" i="6"/>
  <c r="CT227" i="6"/>
  <c r="CF227" i="6"/>
  <c r="CF25" i="6"/>
  <c r="CT25" i="6"/>
  <c r="CT708" i="6"/>
  <c r="CF708" i="6"/>
  <c r="CF194" i="6"/>
  <c r="CT194" i="6"/>
  <c r="CT40" i="6"/>
  <c r="CF40" i="6"/>
  <c r="CT54" i="6"/>
  <c r="CF54" i="6"/>
  <c r="CT286" i="6"/>
  <c r="CF286" i="6"/>
  <c r="CT282" i="6"/>
  <c r="CF282" i="6"/>
  <c r="CT44" i="6"/>
  <c r="CF44" i="6"/>
  <c r="CT524" i="6"/>
  <c r="CF524" i="6"/>
  <c r="CT512" i="6"/>
  <c r="CF512" i="6"/>
  <c r="CT500" i="6"/>
  <c r="CF500" i="6"/>
  <c r="CT491" i="6"/>
  <c r="CF491" i="6"/>
  <c r="CT487" i="6"/>
  <c r="CF487" i="6"/>
  <c r="CT475" i="6"/>
  <c r="CF475" i="6"/>
  <c r="CT466" i="6"/>
  <c r="CF466" i="6"/>
  <c r="CT65" i="6"/>
  <c r="CF65" i="6"/>
  <c r="CT698" i="6"/>
  <c r="CF698" i="6"/>
  <c r="CT250" i="6"/>
  <c r="CF250" i="6"/>
  <c r="CT445" i="6"/>
  <c r="CF445" i="6"/>
  <c r="CT141" i="6"/>
  <c r="CF141" i="6"/>
  <c r="CT263" i="6"/>
  <c r="CF263" i="6"/>
  <c r="CT64" i="6"/>
  <c r="CF64" i="6"/>
  <c r="CT143" i="6"/>
  <c r="CF143" i="6"/>
  <c r="CT91" i="6"/>
  <c r="CF91" i="6"/>
  <c r="CT59" i="6"/>
  <c r="CF59" i="6"/>
  <c r="CT602" i="6"/>
  <c r="CF602" i="6"/>
  <c r="CT590" i="6"/>
  <c r="CF590" i="6"/>
  <c r="CT686" i="6"/>
  <c r="CF686" i="6"/>
  <c r="CT679" i="6"/>
  <c r="CF679" i="6"/>
  <c r="CT279" i="6"/>
  <c r="CF279" i="6"/>
  <c r="CT243" i="6"/>
  <c r="CF243" i="6"/>
  <c r="CT654" i="6"/>
  <c r="CF654" i="6"/>
  <c r="CT643" i="6"/>
  <c r="CF643" i="6"/>
  <c r="CT637" i="6"/>
  <c r="CF637" i="6"/>
  <c r="CT629" i="6"/>
  <c r="CF629" i="6"/>
  <c r="CT193" i="6"/>
  <c r="CF193" i="6"/>
  <c r="CT233" i="6"/>
  <c r="CF233" i="6"/>
  <c r="CT58" i="6"/>
  <c r="CF58" i="6"/>
  <c r="CT571" i="6"/>
  <c r="CF571" i="6"/>
  <c r="CT561" i="6"/>
  <c r="CF561" i="6"/>
  <c r="CT45" i="6"/>
  <c r="CF45" i="6"/>
  <c r="CT100" i="6"/>
  <c r="CF100" i="6"/>
  <c r="CT538" i="6"/>
  <c r="CF538" i="6"/>
  <c r="CT322" i="6"/>
  <c r="CF322" i="6"/>
  <c r="CT173" i="6"/>
  <c r="CF173" i="6"/>
  <c r="CT212" i="6"/>
  <c r="CF212" i="6"/>
  <c r="CT311" i="6"/>
  <c r="CF311" i="6"/>
  <c r="CT151" i="6"/>
  <c r="CF151" i="6"/>
  <c r="CT89" i="6"/>
  <c r="CF89" i="6"/>
  <c r="CT134" i="6"/>
  <c r="CF134" i="6"/>
  <c r="CT146" i="6"/>
  <c r="CF146" i="6"/>
  <c r="CT156" i="6"/>
  <c r="CF156" i="6"/>
  <c r="CT396" i="6"/>
  <c r="CF396" i="6"/>
  <c r="CT389" i="6"/>
  <c r="CF389" i="6"/>
  <c r="CT377" i="6"/>
  <c r="CF377" i="6"/>
  <c r="CT368" i="6"/>
  <c r="CF368" i="6"/>
  <c r="CT357" i="6"/>
  <c r="CF357" i="6"/>
  <c r="CT26" i="6"/>
  <c r="CF26" i="6"/>
  <c r="CT79" i="6"/>
  <c r="CF79" i="6"/>
  <c r="CT132" i="6"/>
  <c r="CF132" i="6"/>
  <c r="CT226" i="6"/>
  <c r="CF226" i="6"/>
  <c r="CT253" i="6"/>
  <c r="CF253" i="6"/>
  <c r="CT691" i="6"/>
  <c r="CF691" i="6"/>
  <c r="CT28" i="6"/>
  <c r="CF28" i="6"/>
  <c r="CT225" i="6"/>
  <c r="CF225" i="6"/>
  <c r="CT290" i="6"/>
  <c r="CF290" i="6"/>
  <c r="CT287" i="6"/>
  <c r="CF287" i="6"/>
  <c r="CT332" i="6"/>
  <c r="CF332" i="6"/>
  <c r="CT46" i="6"/>
  <c r="CF46" i="6"/>
  <c r="CT235" i="6"/>
  <c r="CF235" i="6"/>
  <c r="CT280" i="6"/>
  <c r="CF280" i="6"/>
  <c r="CT122" i="6"/>
  <c r="CF122" i="6"/>
  <c r="CT36" i="6"/>
  <c r="CF36" i="6"/>
  <c r="CT533" i="6"/>
  <c r="CF533" i="6"/>
  <c r="CT529" i="6"/>
  <c r="CF529" i="6"/>
  <c r="CT525" i="6"/>
  <c r="CF525" i="6"/>
  <c r="CT521" i="6"/>
  <c r="CF521" i="6"/>
  <c r="CT517" i="6"/>
  <c r="CF517" i="6"/>
  <c r="CT513" i="6"/>
  <c r="CF513" i="6"/>
  <c r="CT509" i="6"/>
  <c r="CF509" i="6"/>
  <c r="CT505" i="6"/>
  <c r="CF505" i="6"/>
  <c r="CT501" i="6"/>
  <c r="CF501" i="6"/>
  <c r="CT295" i="6"/>
  <c r="CF295" i="6"/>
  <c r="CT496" i="6"/>
  <c r="CF496" i="6"/>
  <c r="CT492" i="6"/>
  <c r="CF492" i="6"/>
  <c r="CT488" i="6"/>
  <c r="CF488" i="6"/>
  <c r="CT484" i="6"/>
  <c r="CF484" i="6"/>
  <c r="CT480" i="6"/>
  <c r="CF480" i="6"/>
  <c r="CT476" i="6"/>
  <c r="CF476" i="6"/>
  <c r="CT472" i="6"/>
  <c r="CF472" i="6"/>
  <c r="CT266" i="6"/>
  <c r="CF266" i="6"/>
  <c r="CT467" i="6"/>
  <c r="CF467" i="6"/>
  <c r="CT463" i="6"/>
  <c r="CF463" i="6"/>
  <c r="CT459" i="6"/>
  <c r="CF459" i="6"/>
  <c r="CT51" i="6"/>
  <c r="CF51" i="6"/>
  <c r="CT97" i="6"/>
  <c r="CF97" i="6"/>
  <c r="CT115" i="6"/>
  <c r="CF115" i="6"/>
  <c r="CT695" i="6"/>
  <c r="CF695" i="6"/>
  <c r="CT52" i="6"/>
  <c r="CF52" i="6"/>
  <c r="CT456" i="6"/>
  <c r="CF456" i="6"/>
  <c r="CT452" i="6"/>
  <c r="CF452" i="6"/>
  <c r="CT451" i="6"/>
  <c r="CF451" i="6"/>
  <c r="CT448" i="6"/>
  <c r="CF448" i="6"/>
  <c r="CT273" i="6"/>
  <c r="CF273" i="6"/>
  <c r="CT442" i="6"/>
  <c r="CF442" i="6"/>
  <c r="CT203" i="6"/>
  <c r="CF203" i="6"/>
  <c r="CT436" i="6"/>
  <c r="CF436" i="6"/>
  <c r="CT433" i="6"/>
  <c r="CF433" i="6"/>
  <c r="CT238" i="6"/>
  <c r="CF238" i="6"/>
  <c r="CT247" i="6"/>
  <c r="CF247" i="6"/>
  <c r="CT427" i="6"/>
  <c r="CF427" i="6"/>
  <c r="CT424" i="6"/>
  <c r="CF424" i="6"/>
  <c r="CT62" i="6"/>
  <c r="CF62" i="6"/>
  <c r="CT56" i="6"/>
  <c r="CF56" i="6"/>
  <c r="CT13" i="6"/>
  <c r="CF13" i="6"/>
  <c r="CT67" i="6"/>
  <c r="CF67" i="6"/>
  <c r="CT174" i="6"/>
  <c r="CF174" i="6"/>
  <c r="CT617" i="6"/>
  <c r="CF617" i="6"/>
  <c r="CT615" i="6"/>
  <c r="CF615" i="6"/>
  <c r="CT613" i="6"/>
  <c r="CF613" i="6"/>
  <c r="CT703" i="6"/>
  <c r="CF703" i="6"/>
  <c r="CT75" i="6"/>
  <c r="CF75" i="6"/>
  <c r="CT215" i="6"/>
  <c r="CF215" i="6"/>
  <c r="CT607" i="6"/>
  <c r="CF607" i="6"/>
  <c r="CT603" i="6"/>
  <c r="CF603" i="6"/>
  <c r="CT599" i="6"/>
  <c r="CF599" i="6"/>
  <c r="CT595" i="6"/>
  <c r="CF595" i="6"/>
  <c r="CT591" i="6"/>
  <c r="CF591" i="6"/>
  <c r="CT587" i="6"/>
  <c r="CF587" i="6"/>
  <c r="CT583" i="6"/>
  <c r="CF583" i="6"/>
  <c r="CT171" i="6"/>
  <c r="CF171" i="6"/>
  <c r="CT683" i="6"/>
  <c r="CF683" i="6"/>
  <c r="CT239" i="6"/>
  <c r="CF239" i="6"/>
  <c r="CT139" i="6"/>
  <c r="CF139" i="6"/>
  <c r="CT676" i="6"/>
  <c r="CF676" i="6"/>
  <c r="CT209" i="6"/>
  <c r="CF209" i="6"/>
  <c r="CT672" i="6"/>
  <c r="CF672" i="6"/>
  <c r="CF670" i="6"/>
  <c r="CT670" i="6"/>
  <c r="CT667" i="6"/>
  <c r="CF667" i="6"/>
  <c r="CT53" i="6"/>
  <c r="CF53" i="6"/>
  <c r="CT664" i="6"/>
  <c r="CF664" i="6"/>
  <c r="CF661" i="6"/>
  <c r="CT661" i="6"/>
  <c r="CT88" i="6"/>
  <c r="CF88" i="6"/>
  <c r="CT658" i="6"/>
  <c r="CF658" i="6"/>
  <c r="CT655" i="6"/>
  <c r="CF655" i="6"/>
  <c r="CT651" i="6"/>
  <c r="CF651" i="6"/>
  <c r="CT647" i="6"/>
  <c r="CF647" i="6"/>
  <c r="CT644" i="6"/>
  <c r="CF644" i="6"/>
  <c r="CT640" i="6"/>
  <c r="CF640" i="6"/>
  <c r="CT181" i="6"/>
  <c r="CF181" i="6"/>
  <c r="CT206" i="6"/>
  <c r="CF206" i="6"/>
  <c r="CT635" i="6"/>
  <c r="CF635" i="6"/>
  <c r="CT632" i="6"/>
  <c r="CF632" i="6"/>
  <c r="CF630" i="6"/>
  <c r="CT630" i="6"/>
  <c r="CT626" i="6"/>
  <c r="CF626" i="6"/>
  <c r="CT623" i="6"/>
  <c r="CF623" i="6"/>
  <c r="CT120" i="6"/>
  <c r="CF120" i="6"/>
  <c r="CF195" i="6"/>
  <c r="CT195" i="6"/>
  <c r="CT621" i="6"/>
  <c r="CF621" i="6"/>
  <c r="CT66" i="6"/>
  <c r="CF66" i="6"/>
  <c r="CT101" i="6"/>
  <c r="CF101" i="6"/>
  <c r="CT30" i="6"/>
  <c r="CF30" i="6"/>
  <c r="CT576" i="6"/>
  <c r="CF576" i="6"/>
  <c r="CT572" i="6"/>
  <c r="CF572" i="6"/>
  <c r="CT569" i="6"/>
  <c r="CF569" i="6"/>
  <c r="CT566" i="6"/>
  <c r="CF566" i="6"/>
  <c r="CT562" i="6"/>
  <c r="CF562" i="6"/>
  <c r="CT161" i="6"/>
  <c r="CF161" i="6"/>
  <c r="CT560" i="6"/>
  <c r="CF560" i="6"/>
  <c r="CF556" i="6"/>
  <c r="CT556" i="6"/>
  <c r="CT555" i="6"/>
  <c r="CF555" i="6"/>
  <c r="CT552" i="6"/>
  <c r="CF552" i="6"/>
  <c r="CT548" i="6"/>
  <c r="CF548" i="6"/>
  <c r="CF546" i="6"/>
  <c r="CT546" i="6"/>
  <c r="CT543" i="6"/>
  <c r="CF543" i="6"/>
  <c r="CT539" i="6"/>
  <c r="CF539" i="6"/>
  <c r="CT535" i="6"/>
  <c r="CF535" i="6"/>
  <c r="CT326" i="6"/>
  <c r="CF326" i="6"/>
  <c r="CT140" i="6"/>
  <c r="CF140" i="6"/>
  <c r="CT237" i="6"/>
  <c r="CF237" i="6"/>
  <c r="CT321" i="6"/>
  <c r="CF321" i="6"/>
  <c r="CT130" i="6"/>
  <c r="CF130" i="6"/>
  <c r="CT316" i="6"/>
  <c r="CF316" i="6"/>
  <c r="CT300" i="6"/>
  <c r="CF300" i="6"/>
  <c r="CT188" i="6"/>
  <c r="CF188" i="6"/>
  <c r="CF312" i="6"/>
  <c r="CT312" i="6"/>
  <c r="CT308" i="6"/>
  <c r="CF308" i="6"/>
  <c r="CT148" i="6"/>
  <c r="CF148" i="6"/>
  <c r="CT164" i="6"/>
  <c r="CF164" i="6"/>
  <c r="CF305" i="6"/>
  <c r="CT305" i="6"/>
  <c r="CT303" i="6"/>
  <c r="CF303" i="6"/>
  <c r="CT302" i="6"/>
  <c r="CF302" i="6"/>
  <c r="CT422" i="6"/>
  <c r="CF422" i="6"/>
  <c r="CT419" i="6"/>
  <c r="CF419" i="6"/>
  <c r="CT35" i="6"/>
  <c r="CF35" i="6"/>
  <c r="CT414" i="6"/>
  <c r="CF414" i="6"/>
  <c r="CT410" i="6"/>
  <c r="CF410" i="6"/>
  <c r="CT408" i="6"/>
  <c r="CF408" i="6"/>
  <c r="CT406" i="6"/>
  <c r="CF406" i="6"/>
  <c r="CT402" i="6"/>
  <c r="CF402" i="6"/>
  <c r="CT176" i="6"/>
  <c r="CF176" i="6"/>
  <c r="CT201" i="6"/>
  <c r="CF201" i="6"/>
  <c r="CT399" i="6"/>
  <c r="CF399" i="6"/>
  <c r="CT397" i="6"/>
  <c r="CF397" i="6"/>
  <c r="CT123" i="6"/>
  <c r="CF123" i="6"/>
  <c r="CT690" i="6"/>
  <c r="CF690" i="6"/>
  <c r="CT393" i="6"/>
  <c r="CF393" i="6"/>
  <c r="CT390" i="6"/>
  <c r="CF390" i="6"/>
  <c r="CT386" i="6"/>
  <c r="CF386" i="6"/>
  <c r="CT382" i="6"/>
  <c r="CF382" i="6"/>
  <c r="CT378" i="6"/>
  <c r="CF378" i="6"/>
  <c r="CT270" i="6"/>
  <c r="CF270" i="6"/>
  <c r="CT373" i="6"/>
  <c r="CF373" i="6"/>
  <c r="CT369" i="6"/>
  <c r="CF369" i="6"/>
  <c r="CT365" i="6"/>
  <c r="CF365" i="6"/>
  <c r="CT198" i="6"/>
  <c r="CF198" i="6"/>
  <c r="CT361" i="6"/>
  <c r="CF361" i="6"/>
  <c r="CT291" i="6"/>
  <c r="CF291" i="6"/>
  <c r="CT167" i="6"/>
  <c r="CF167" i="6"/>
  <c r="CT354" i="6"/>
  <c r="CF354" i="6"/>
  <c r="CT701" i="6"/>
  <c r="CF701" i="6"/>
  <c r="CT217" i="6"/>
  <c r="CF217" i="6"/>
  <c r="CT21" i="6"/>
  <c r="CF21" i="6"/>
  <c r="CT349" i="6"/>
  <c r="CF349" i="6"/>
  <c r="CT43" i="6"/>
  <c r="CF43" i="6"/>
  <c r="CT348" i="6"/>
  <c r="CF348" i="6"/>
  <c r="CT185" i="6"/>
  <c r="CF185" i="6"/>
  <c r="CT83" i="6"/>
  <c r="CF83" i="6"/>
  <c r="CT16" i="6"/>
  <c r="CF16" i="6"/>
  <c r="CT165" i="6"/>
  <c r="CF165" i="6"/>
  <c r="CT236" i="6"/>
  <c r="CF236" i="6"/>
  <c r="CT189" i="6"/>
  <c r="CF189" i="6"/>
  <c r="CT338" i="6"/>
  <c r="CF338" i="6"/>
  <c r="CT48" i="6"/>
  <c r="CF48" i="6"/>
  <c r="CT39" i="6"/>
  <c r="CF39" i="6"/>
  <c r="CE40" i="6"/>
  <c r="CS40" i="6"/>
  <c r="CS132" i="6"/>
  <c r="CE132" i="6"/>
  <c r="CE613" i="6"/>
  <c r="CE62" i="6"/>
  <c r="CS613" i="6"/>
  <c r="CS62" i="6"/>
  <c r="AW22" i="5"/>
  <c r="AV22" i="5"/>
  <c r="AU22" i="5"/>
  <c r="AT22" i="5"/>
  <c r="AR22" i="5"/>
  <c r="AD22" i="5"/>
  <c r="T22" i="5"/>
  <c r="AQ22" i="5"/>
  <c r="AC22" i="5"/>
  <c r="G22" i="5"/>
  <c r="AP22" i="5"/>
  <c r="AO22" i="5"/>
  <c r="BJ132" i="6"/>
  <c r="BD132" i="6"/>
  <c r="BJ274" i="6"/>
  <c r="BJ40" i="6"/>
  <c r="BD40" i="6"/>
  <c r="BD64" i="6"/>
  <c r="BD705" i="6"/>
  <c r="BJ28" i="6"/>
  <c r="BD28" i="6"/>
  <c r="BD509" i="6"/>
  <c r="BJ62" i="6"/>
  <c r="BD62" i="6"/>
  <c r="BJ613" i="6"/>
  <c r="BD613" i="6"/>
  <c r="BJ39" i="6"/>
  <c r="BD39" i="6"/>
  <c r="F22" i="5"/>
  <c r="Z22" i="5"/>
  <c r="J22" i="5"/>
  <c r="Q22" i="5"/>
  <c r="L29" i="10" l="1"/>
  <c r="C4" i="14"/>
  <c r="C16" i="14"/>
  <c r="C28" i="14"/>
  <c r="C40" i="14"/>
  <c r="C52" i="14"/>
  <c r="C64" i="14"/>
  <c r="C76" i="14"/>
  <c r="C88" i="14"/>
  <c r="C100" i="14"/>
  <c r="C112" i="14"/>
  <c r="C124" i="14"/>
  <c r="C136" i="14"/>
  <c r="C148" i="14"/>
  <c r="C160" i="14"/>
  <c r="C30" i="14"/>
  <c r="C54" i="14"/>
  <c r="C78" i="14"/>
  <c r="C102" i="14"/>
  <c r="C126" i="14"/>
  <c r="C150" i="14"/>
  <c r="C91" i="14"/>
  <c r="C127" i="14"/>
  <c r="C8" i="14"/>
  <c r="C56" i="14"/>
  <c r="C92" i="14"/>
  <c r="C116" i="14"/>
  <c r="C49" i="14"/>
  <c r="C109" i="14"/>
  <c r="C50" i="14"/>
  <c r="C110" i="14"/>
  <c r="C27" i="14"/>
  <c r="C99" i="14"/>
  <c r="C5" i="14"/>
  <c r="C17" i="14"/>
  <c r="C29" i="14"/>
  <c r="C41" i="14"/>
  <c r="C53" i="14"/>
  <c r="C65" i="14"/>
  <c r="C77" i="14"/>
  <c r="C89" i="14"/>
  <c r="C101" i="14"/>
  <c r="C113" i="14"/>
  <c r="C125" i="14"/>
  <c r="C137" i="14"/>
  <c r="C149" i="14"/>
  <c r="C18" i="14"/>
  <c r="C42" i="14"/>
  <c r="C66" i="14"/>
  <c r="C90" i="14"/>
  <c r="C114" i="14"/>
  <c r="C138" i="14"/>
  <c r="C79" i="14"/>
  <c r="C115" i="14"/>
  <c r="C151" i="14"/>
  <c r="C20" i="14"/>
  <c r="C68" i="14"/>
  <c r="C104" i="14"/>
  <c r="C140" i="14"/>
  <c r="C61" i="14"/>
  <c r="C121" i="14"/>
  <c r="C38" i="14"/>
  <c r="C122" i="14"/>
  <c r="C15" i="14"/>
  <c r="C111" i="14"/>
  <c r="C6" i="14"/>
  <c r="C44" i="14"/>
  <c r="C152" i="14"/>
  <c r="C85" i="14"/>
  <c r="C157" i="14"/>
  <c r="C74" i="14"/>
  <c r="C146" i="14"/>
  <c r="C75" i="14"/>
  <c r="C147" i="14"/>
  <c r="C7" i="14"/>
  <c r="C19" i="14"/>
  <c r="C31" i="14"/>
  <c r="C43" i="14"/>
  <c r="C55" i="14"/>
  <c r="C67" i="14"/>
  <c r="C103" i="14"/>
  <c r="C139" i="14"/>
  <c r="C32" i="14"/>
  <c r="C80" i="14"/>
  <c r="C128" i="14"/>
  <c r="C37" i="14"/>
  <c r="C133" i="14"/>
  <c r="C62" i="14"/>
  <c r="C134" i="14"/>
  <c r="C51" i="14"/>
  <c r="C123" i="14"/>
  <c r="C158" i="14"/>
  <c r="C9" i="14"/>
  <c r="C21" i="14"/>
  <c r="C33" i="14"/>
  <c r="C45" i="14"/>
  <c r="C57" i="14"/>
  <c r="C69" i="14"/>
  <c r="C81" i="14"/>
  <c r="C93" i="14"/>
  <c r="C105" i="14"/>
  <c r="C117" i="14"/>
  <c r="C129" i="14"/>
  <c r="C141" i="14"/>
  <c r="C153" i="14"/>
  <c r="C23" i="14"/>
  <c r="C47" i="14"/>
  <c r="C71" i="14"/>
  <c r="C95" i="14"/>
  <c r="C119" i="14"/>
  <c r="C143" i="14"/>
  <c r="C12" i="14"/>
  <c r="C36" i="14"/>
  <c r="C60" i="14"/>
  <c r="C84" i="14"/>
  <c r="C108" i="14"/>
  <c r="C132" i="14"/>
  <c r="C156" i="14"/>
  <c r="C25" i="14"/>
  <c r="C97" i="14"/>
  <c r="C14" i="14"/>
  <c r="C86" i="14"/>
  <c r="C63" i="14"/>
  <c r="C135" i="14"/>
  <c r="C10" i="14"/>
  <c r="C22" i="14"/>
  <c r="C34" i="14"/>
  <c r="C46" i="14"/>
  <c r="C58" i="14"/>
  <c r="C70" i="14"/>
  <c r="C82" i="14"/>
  <c r="C94" i="14"/>
  <c r="C106" i="14"/>
  <c r="C118" i="14"/>
  <c r="C130" i="14"/>
  <c r="C142" i="14"/>
  <c r="C154" i="14"/>
  <c r="C11" i="14"/>
  <c r="C35" i="14"/>
  <c r="C59" i="14"/>
  <c r="C83" i="14"/>
  <c r="C107" i="14"/>
  <c r="C131" i="14"/>
  <c r="C155" i="14"/>
  <c r="C24" i="14"/>
  <c r="C48" i="14"/>
  <c r="C72" i="14"/>
  <c r="C96" i="14"/>
  <c r="C120" i="14"/>
  <c r="C144" i="14"/>
  <c r="C13" i="14"/>
  <c r="C73" i="14"/>
  <c r="C145" i="14"/>
  <c r="C26" i="14"/>
  <c r="C98" i="14"/>
  <c r="C39" i="14"/>
  <c r="C87" i="14"/>
  <c r="C159" i="14"/>
  <c r="C3" i="14"/>
  <c r="L186" i="10"/>
  <c r="L174" i="10"/>
  <c r="L162" i="10"/>
  <c r="L150" i="10"/>
  <c r="L138" i="10"/>
  <c r="L126" i="10"/>
  <c r="L114" i="10"/>
  <c r="L102" i="10"/>
  <c r="L90" i="10"/>
  <c r="L78" i="10"/>
  <c r="L12" i="10" s="1"/>
  <c r="L66" i="10"/>
  <c r="L54" i="10"/>
  <c r="L42" i="10"/>
  <c r="L30" i="10"/>
  <c r="L135" i="10"/>
  <c r="L75" i="10"/>
  <c r="L134" i="10"/>
  <c r="L121" i="10"/>
  <c r="L132" i="10"/>
  <c r="L185" i="10"/>
  <c r="L173" i="10"/>
  <c r="L161" i="10"/>
  <c r="L149" i="10"/>
  <c r="L137" i="10"/>
  <c r="L125" i="10"/>
  <c r="L113" i="10"/>
  <c r="L101" i="10"/>
  <c r="L89" i="10"/>
  <c r="L77" i="10"/>
  <c r="L11" i="10" s="1"/>
  <c r="L65" i="10"/>
  <c r="L53" i="10"/>
  <c r="L5" i="10" s="1"/>
  <c r="L41" i="10"/>
  <c r="L147" i="10"/>
  <c r="L63" i="10"/>
  <c r="L9" i="10" s="1"/>
  <c r="L158" i="10"/>
  <c r="L50" i="10"/>
  <c r="L97" i="10"/>
  <c r="L156" i="10"/>
  <c r="L16" i="10" s="1"/>
  <c r="L60" i="10"/>
  <c r="L7" i="10" s="1"/>
  <c r="L184" i="10"/>
  <c r="L172" i="10"/>
  <c r="L160" i="10"/>
  <c r="L17" i="10" s="1"/>
  <c r="L148" i="10"/>
  <c r="L136" i="10"/>
  <c r="L124" i="10"/>
  <c r="L112" i="10"/>
  <c r="L100" i="10"/>
  <c r="L88" i="10"/>
  <c r="L76" i="10"/>
  <c r="L64" i="10"/>
  <c r="L52" i="10"/>
  <c r="L4" i="10" s="1"/>
  <c r="L40" i="10"/>
  <c r="L159" i="10"/>
  <c r="L99" i="10"/>
  <c r="L122" i="10"/>
  <c r="L109" i="10"/>
  <c r="L37" i="10"/>
  <c r="L108" i="10"/>
  <c r="L48" i="10"/>
  <c r="L183" i="10"/>
  <c r="L171" i="10"/>
  <c r="L123" i="10"/>
  <c r="L111" i="10"/>
  <c r="L87" i="10"/>
  <c r="L51" i="10"/>
  <c r="L3" i="10" s="1"/>
  <c r="L110" i="10"/>
  <c r="L38" i="10"/>
  <c r="L133" i="10"/>
  <c r="L49" i="10"/>
  <c r="L120" i="10"/>
  <c r="L36" i="10"/>
  <c r="L62" i="10"/>
  <c r="L181" i="10"/>
  <c r="L179" i="10"/>
  <c r="L22" i="10" s="1"/>
  <c r="L167" i="10"/>
  <c r="L155" i="10"/>
  <c r="L143" i="10"/>
  <c r="L131" i="10"/>
  <c r="L119" i="10"/>
  <c r="L107" i="10"/>
  <c r="L95" i="10"/>
  <c r="L83" i="10"/>
  <c r="L71" i="10"/>
  <c r="L10" i="10" s="1"/>
  <c r="L59" i="10"/>
  <c r="L6" i="10" s="1"/>
  <c r="L47" i="10"/>
  <c r="L35" i="10"/>
  <c r="L33" i="10"/>
  <c r="L170" i="10"/>
  <c r="L86" i="10"/>
  <c r="L145" i="10"/>
  <c r="L61" i="10"/>
  <c r="L8" i="10" s="1"/>
  <c r="L180" i="10"/>
  <c r="L23" i="10" s="1"/>
  <c r="L72" i="10"/>
  <c r="L178" i="10"/>
  <c r="L21" i="10" s="1"/>
  <c r="L166" i="10"/>
  <c r="L154" i="10"/>
  <c r="L142" i="10"/>
  <c r="L15" i="10" s="1"/>
  <c r="L130" i="10"/>
  <c r="L118" i="10"/>
  <c r="L106" i="10"/>
  <c r="L94" i="10"/>
  <c r="L82" i="10"/>
  <c r="L70" i="10"/>
  <c r="L58" i="10"/>
  <c r="L46" i="10"/>
  <c r="L34" i="10"/>
  <c r="L165" i="10"/>
  <c r="L153" i="10"/>
  <c r="L141" i="10"/>
  <c r="L117" i="10"/>
  <c r="L105" i="10"/>
  <c r="L93" i="10"/>
  <c r="L81" i="10"/>
  <c r="L69" i="10"/>
  <c r="L57" i="10"/>
  <c r="L45" i="10"/>
  <c r="L39" i="10"/>
  <c r="L146" i="10"/>
  <c r="L74" i="10"/>
  <c r="L157" i="10"/>
  <c r="L73" i="10"/>
  <c r="L144" i="10"/>
  <c r="L96" i="10"/>
  <c r="L177" i="10"/>
  <c r="L20" i="10" s="1"/>
  <c r="L129" i="10"/>
  <c r="L176" i="10"/>
  <c r="L19" i="10" s="1"/>
  <c r="L164" i="10"/>
  <c r="L152" i="10"/>
  <c r="L140" i="10"/>
  <c r="L128" i="10"/>
  <c r="L116" i="10"/>
  <c r="L104" i="10"/>
  <c r="L92" i="10"/>
  <c r="L80" i="10"/>
  <c r="L68" i="10"/>
  <c r="L56" i="10"/>
  <c r="L44" i="10"/>
  <c r="L32" i="10"/>
  <c r="L175" i="10"/>
  <c r="L18" i="10" s="1"/>
  <c r="L163" i="10"/>
  <c r="L151" i="10"/>
  <c r="L139" i="10"/>
  <c r="L14" i="10" s="1"/>
  <c r="L127" i="10"/>
  <c r="L115" i="10"/>
  <c r="L103" i="10"/>
  <c r="L91" i="10"/>
  <c r="L79" i="10"/>
  <c r="L67" i="10"/>
  <c r="L55" i="10"/>
  <c r="L43" i="10"/>
  <c r="L31" i="10"/>
  <c r="L182" i="10"/>
  <c r="L98" i="10"/>
  <c r="L169" i="10"/>
  <c r="L85" i="10"/>
  <c r="L168" i="10"/>
  <c r="L84" i="10"/>
  <c r="L13" i="10" s="1"/>
  <c r="BD113" i="6"/>
  <c r="BD376" i="6"/>
  <c r="BJ72" i="6"/>
  <c r="BJ497" i="6"/>
  <c r="BJ116" i="6"/>
  <c r="BD415" i="6"/>
  <c r="BJ387" i="6"/>
  <c r="BD375" i="6"/>
  <c r="BD82" i="6"/>
  <c r="BD227" i="6"/>
  <c r="BD619" i="6"/>
  <c r="BD707" i="6"/>
  <c r="BJ418" i="6"/>
  <c r="BD700" i="6"/>
  <c r="BJ691" i="6"/>
  <c r="BD225" i="6"/>
  <c r="BD332" i="6"/>
  <c r="BD46" i="6"/>
  <c r="BD235" i="6"/>
  <c r="BD280" i="6"/>
  <c r="BD122" i="6"/>
  <c r="BD446" i="6"/>
  <c r="BD412" i="6"/>
  <c r="BJ329" i="6"/>
  <c r="BJ477" i="6"/>
  <c r="BJ430" i="6"/>
  <c r="BJ411" i="6"/>
  <c r="BJ374" i="6"/>
  <c r="BJ14" i="6"/>
  <c r="BJ708" i="6"/>
  <c r="BD282" i="6"/>
  <c r="BD520" i="6"/>
  <c r="BD294" i="6"/>
  <c r="BD221" i="6"/>
  <c r="BD248" i="6"/>
  <c r="BD141" i="6"/>
  <c r="BJ98" i="6"/>
  <c r="BJ253" i="6"/>
  <c r="BD691" i="6"/>
  <c r="BD36" i="6"/>
  <c r="BD505" i="6"/>
  <c r="BD476" i="6"/>
  <c r="BD97" i="6"/>
  <c r="BD89" i="6"/>
  <c r="BJ186" i="6"/>
  <c r="BJ42" i="6"/>
  <c r="BJ41" i="6"/>
  <c r="BD656" i="6"/>
  <c r="BD85" i="6"/>
  <c r="BD271" i="6"/>
  <c r="BJ81" i="6"/>
  <c r="BJ25" i="6"/>
  <c r="BD575" i="6"/>
  <c r="BD98" i="6"/>
  <c r="BJ396" i="6"/>
  <c r="BJ249" i="6"/>
  <c r="BJ381" i="6"/>
  <c r="BD136" i="6"/>
  <c r="BD253" i="6"/>
  <c r="BJ537" i="6"/>
  <c r="BD495" i="6"/>
  <c r="BJ618" i="6"/>
  <c r="BD298" i="6"/>
  <c r="BD391" i="6"/>
  <c r="BD166" i="6"/>
  <c r="BD25" i="6"/>
  <c r="BD286" i="6"/>
  <c r="BD462" i="6"/>
  <c r="BD99" i="6"/>
  <c r="BD396" i="6"/>
  <c r="BJ347" i="6"/>
  <c r="BJ46" i="6"/>
  <c r="BJ36" i="6"/>
  <c r="BJ529" i="6"/>
  <c r="BJ521" i="6"/>
  <c r="BJ513" i="6"/>
  <c r="BJ505" i="6"/>
  <c r="BJ496" i="6"/>
  <c r="BJ488" i="6"/>
  <c r="BJ476" i="6"/>
  <c r="BJ266" i="6"/>
  <c r="BJ463" i="6"/>
  <c r="BD459" i="6"/>
  <c r="BJ115" i="6"/>
  <c r="BD695" i="6"/>
  <c r="BD52" i="6"/>
  <c r="BD452" i="6"/>
  <c r="BD451" i="6"/>
  <c r="BD448" i="6"/>
  <c r="BD273" i="6"/>
  <c r="BD442" i="6"/>
  <c r="BD203" i="6"/>
  <c r="BD433" i="6"/>
  <c r="BD247" i="6"/>
  <c r="BD427" i="6"/>
  <c r="BD56" i="6"/>
  <c r="BD174" i="6"/>
  <c r="BD617" i="6"/>
  <c r="BD615" i="6"/>
  <c r="BD661" i="6"/>
  <c r="BD651" i="6"/>
  <c r="BJ621" i="6"/>
  <c r="BD30" i="6"/>
  <c r="BJ576" i="6"/>
  <c r="BJ140" i="6"/>
  <c r="BD312" i="6"/>
  <c r="BD305" i="6"/>
  <c r="BJ303" i="6"/>
  <c r="BD419" i="6"/>
  <c r="BJ35" i="6"/>
  <c r="BD261" i="6"/>
  <c r="BD260" i="6"/>
  <c r="BJ514" i="6"/>
  <c r="BD532" i="6"/>
  <c r="BD447" i="6"/>
  <c r="BJ707" i="6"/>
  <c r="BD249" i="6"/>
  <c r="BD345" i="6"/>
  <c r="BJ235" i="6"/>
  <c r="BD529" i="6"/>
  <c r="BD521" i="6"/>
  <c r="BD513" i="6"/>
  <c r="BD496" i="6"/>
  <c r="BD488" i="6"/>
  <c r="BD266" i="6"/>
  <c r="BD463" i="6"/>
  <c r="BJ97" i="6"/>
  <c r="BD115" i="6"/>
  <c r="BD424" i="6"/>
  <c r="BJ591" i="6"/>
  <c r="BD621" i="6"/>
  <c r="BD576" i="6"/>
  <c r="BJ539" i="6"/>
  <c r="BD140" i="6"/>
  <c r="BJ237" i="6"/>
  <c r="BD148" i="6"/>
  <c r="BJ50" i="6"/>
  <c r="BD540" i="6"/>
  <c r="BD81" i="6"/>
  <c r="BD512" i="6"/>
  <c r="BD149" i="6"/>
  <c r="BJ413" i="6"/>
  <c r="BJ136" i="6"/>
  <c r="BJ225" i="6"/>
  <c r="BJ280" i="6"/>
  <c r="BJ533" i="6"/>
  <c r="BJ525" i="6"/>
  <c r="BJ517" i="6"/>
  <c r="BJ509" i="6"/>
  <c r="BJ295" i="6"/>
  <c r="BJ492" i="6"/>
  <c r="BJ480" i="6"/>
  <c r="BJ472" i="6"/>
  <c r="BJ467" i="6"/>
  <c r="BJ51" i="6"/>
  <c r="BJ239" i="6"/>
  <c r="BJ664" i="6"/>
  <c r="BJ655" i="6"/>
  <c r="BD539" i="6"/>
  <c r="BD237" i="6"/>
  <c r="BJ188" i="6"/>
  <c r="BJ148" i="6"/>
  <c r="BJ164" i="6"/>
  <c r="BD302" i="6"/>
  <c r="BJ422" i="6"/>
  <c r="BJ106" i="6"/>
  <c r="BD533" i="6"/>
  <c r="BD295" i="6"/>
  <c r="BD467" i="6"/>
  <c r="BJ695" i="6"/>
  <c r="BJ448" i="6"/>
  <c r="BJ433" i="6"/>
  <c r="BJ56" i="6"/>
  <c r="BD239" i="6"/>
  <c r="BJ661" i="6"/>
  <c r="BD188" i="6"/>
  <c r="BD164" i="6"/>
  <c r="BD303" i="6"/>
  <c r="BJ399" i="6"/>
  <c r="BD690" i="6"/>
  <c r="BJ393" i="6"/>
  <c r="BD382" i="6"/>
  <c r="BJ378" i="6"/>
  <c r="BD369" i="6"/>
  <c r="BJ365" i="6"/>
  <c r="BJ167" i="6"/>
  <c r="BD217" i="6"/>
  <c r="BJ21" i="6"/>
  <c r="BD348" i="6"/>
  <c r="BJ185" i="6"/>
  <c r="BD165" i="6"/>
  <c r="BD525" i="6"/>
  <c r="BD492" i="6"/>
  <c r="BJ459" i="6"/>
  <c r="BJ52" i="6"/>
  <c r="BJ273" i="6"/>
  <c r="BJ247" i="6"/>
  <c r="BJ174" i="6"/>
  <c r="BJ30" i="6"/>
  <c r="BJ312" i="6"/>
  <c r="BJ305" i="6"/>
  <c r="BD422" i="6"/>
  <c r="BJ414" i="6"/>
  <c r="BD399" i="6"/>
  <c r="BJ397" i="6"/>
  <c r="BD393" i="6"/>
  <c r="BD378" i="6"/>
  <c r="BJ270" i="6"/>
  <c r="BD365" i="6"/>
  <c r="BD167" i="6"/>
  <c r="BJ354" i="6"/>
  <c r="BD21" i="6"/>
  <c r="BD185" i="6"/>
  <c r="BJ83" i="6"/>
  <c r="BJ189" i="6"/>
  <c r="BD487" i="6"/>
  <c r="BD401" i="6"/>
  <c r="BJ332" i="6"/>
  <c r="BD517" i="6"/>
  <c r="BD480" i="6"/>
  <c r="BD51" i="6"/>
  <c r="BJ452" i="6"/>
  <c r="BJ442" i="6"/>
  <c r="BJ427" i="6"/>
  <c r="BJ617" i="6"/>
  <c r="BD591" i="6"/>
  <c r="BD655" i="6"/>
  <c r="BJ302" i="6"/>
  <c r="BD35" i="6"/>
  <c r="BD414" i="6"/>
  <c r="BJ410" i="6"/>
  <c r="BD397" i="6"/>
  <c r="BJ123" i="6"/>
  <c r="BJ386" i="6"/>
  <c r="BD270" i="6"/>
  <c r="BJ373" i="6"/>
  <c r="BD354" i="6"/>
  <c r="BJ701" i="6"/>
  <c r="BD83" i="6"/>
  <c r="BJ16" i="6"/>
  <c r="BD189" i="6"/>
  <c r="BJ338" i="6"/>
  <c r="BD472" i="6"/>
  <c r="BJ424" i="6"/>
  <c r="BJ651" i="6"/>
  <c r="BJ419" i="6"/>
  <c r="BD123" i="6"/>
  <c r="BD386" i="6"/>
  <c r="BD701" i="6"/>
  <c r="BJ348" i="6"/>
  <c r="BD16" i="6"/>
  <c r="BD338" i="6"/>
  <c r="BJ700" i="6"/>
  <c r="BJ615" i="6"/>
  <c r="BJ690" i="6"/>
  <c r="BJ382" i="6"/>
  <c r="BD373" i="6"/>
  <c r="BJ217" i="6"/>
  <c r="BJ165" i="6"/>
  <c r="BJ122" i="6"/>
  <c r="BJ451" i="6"/>
  <c r="BJ369" i="6"/>
  <c r="BJ203" i="6"/>
  <c r="BD410" i="6"/>
  <c r="BD664" i="6"/>
  <c r="BD418" i="6"/>
  <c r="BJ166" i="6"/>
  <c r="BD168" i="6"/>
  <c r="BJ375" i="6"/>
  <c r="BD379" i="6"/>
  <c r="BJ391" i="6"/>
  <c r="BD694" i="6"/>
  <c r="BJ271" i="6"/>
  <c r="BD400" i="6"/>
  <c r="BD262" i="6"/>
  <c r="BJ415" i="6"/>
  <c r="BD417" i="6"/>
  <c r="BJ298" i="6"/>
  <c r="BD245" i="6"/>
  <c r="BJ540" i="6"/>
  <c r="BJ622" i="6"/>
  <c r="BD680" i="6"/>
  <c r="BJ218" i="6"/>
  <c r="BJ689" i="6"/>
  <c r="BJ434" i="6"/>
  <c r="BJ449" i="6"/>
  <c r="BJ692" i="6"/>
  <c r="BJ460" i="6"/>
  <c r="BJ481" i="6"/>
  <c r="BJ498" i="6"/>
  <c r="BJ518" i="6"/>
  <c r="BJ104" i="6"/>
  <c r="BJ284" i="6"/>
  <c r="BJ78" i="6"/>
  <c r="BJ304" i="6"/>
  <c r="BD445" i="6"/>
  <c r="BD380" i="6"/>
  <c r="BJ191" i="6"/>
  <c r="BD685" i="6"/>
  <c r="BJ276" i="6"/>
  <c r="BD293" i="6"/>
  <c r="BD686" i="6"/>
  <c r="BJ345" i="6"/>
  <c r="BD347" i="6"/>
  <c r="BD381" i="6"/>
  <c r="BJ401" i="6"/>
  <c r="BD413" i="6"/>
  <c r="BJ99" i="6"/>
  <c r="BJ575" i="6"/>
  <c r="BJ705" i="6"/>
  <c r="BJ619" i="6"/>
  <c r="BJ64" i="6"/>
  <c r="BJ149" i="6"/>
  <c r="BJ141" i="6"/>
  <c r="BJ447" i="6"/>
  <c r="BJ248" i="6"/>
  <c r="BJ462" i="6"/>
  <c r="BJ221" i="6"/>
  <c r="BJ487" i="6"/>
  <c r="BJ294" i="6"/>
  <c r="BJ512" i="6"/>
  <c r="BJ520" i="6"/>
  <c r="BJ532" i="6"/>
  <c r="BJ282" i="6"/>
  <c r="BJ286" i="6"/>
  <c r="BD194" i="6"/>
  <c r="BJ227" i="6"/>
  <c r="BJ82" i="6"/>
  <c r="BD246" i="6"/>
  <c r="BD696" i="6"/>
  <c r="BJ168" i="6"/>
  <c r="BD370" i="6"/>
  <c r="BJ379" i="6"/>
  <c r="BD383" i="6"/>
  <c r="BJ394" i="6"/>
  <c r="BJ400" i="6"/>
  <c r="BJ417" i="6"/>
  <c r="BD420" i="6"/>
  <c r="BJ85" i="6"/>
  <c r="BD187" i="6"/>
  <c r="BJ662" i="6"/>
  <c r="BJ614" i="6"/>
  <c r="BJ23" i="6"/>
  <c r="BJ428" i="6"/>
  <c r="BJ178" i="6"/>
  <c r="BJ264" i="6"/>
  <c r="BJ111" i="6"/>
  <c r="BJ468" i="6"/>
  <c r="BJ489" i="6"/>
  <c r="BJ506" i="6"/>
  <c r="BJ522" i="6"/>
  <c r="BJ328" i="6"/>
  <c r="BJ333" i="6"/>
  <c r="BJ341" i="6"/>
  <c r="BD315" i="6"/>
  <c r="BD388" i="6"/>
  <c r="BD114" i="6"/>
  <c r="BJ404" i="6"/>
  <c r="BJ301" i="6"/>
  <c r="BD574" i="6"/>
  <c r="BJ589" i="6"/>
  <c r="BJ515" i="6"/>
  <c r="BJ194" i="6"/>
  <c r="BD708" i="6"/>
  <c r="BD14" i="6"/>
  <c r="BJ246" i="6"/>
  <c r="BJ696" i="6"/>
  <c r="BJ370" i="6"/>
  <c r="BD374" i="6"/>
  <c r="BJ383" i="6"/>
  <c r="BD387" i="6"/>
  <c r="BD394" i="6"/>
  <c r="BJ694" i="6"/>
  <c r="BD106" i="6"/>
  <c r="BJ262" i="6"/>
  <c r="BD411" i="6"/>
  <c r="BJ420" i="6"/>
  <c r="BD116" i="6"/>
  <c r="BJ245" i="6"/>
  <c r="BJ187" i="6"/>
  <c r="BJ126" i="6"/>
  <c r="BJ109" i="6"/>
  <c r="BJ125" i="6"/>
  <c r="BJ443" i="6"/>
  <c r="BJ453" i="6"/>
  <c r="BJ223" i="6"/>
  <c r="BJ473" i="6"/>
  <c r="BJ493" i="6"/>
  <c r="BJ510" i="6"/>
  <c r="BJ526" i="6"/>
  <c r="BJ257" i="6"/>
  <c r="BJ334" i="6"/>
  <c r="BD133" i="6"/>
  <c r="BD336" i="6"/>
  <c r="BD255" i="6"/>
  <c r="BJ269" i="6"/>
  <c r="BD392" i="6"/>
  <c r="BJ292" i="6"/>
  <c r="BD77" i="6"/>
  <c r="BJ439" i="6"/>
  <c r="BJ426" i="6"/>
  <c r="BD538" i="6"/>
  <c r="BJ409" i="6"/>
  <c r="BD385" i="6"/>
  <c r="BD372" i="6"/>
  <c r="BD26" i="6"/>
  <c r="BJ118" i="6"/>
  <c r="BD172" i="6"/>
  <c r="BJ268" i="6"/>
  <c r="BJ285" i="6"/>
  <c r="BD258" i="6"/>
  <c r="BJ69" i="6"/>
  <c r="BD531" i="6"/>
  <c r="BJ527" i="6"/>
  <c r="BD519" i="6"/>
  <c r="BJ511" i="6"/>
  <c r="BJ293" i="6"/>
  <c r="BD620" i="6"/>
  <c r="BJ10" i="6"/>
  <c r="BD439" i="6"/>
  <c r="BJ212" i="6"/>
  <c r="BD409" i="6"/>
  <c r="BD693" i="6"/>
  <c r="BD268" i="6"/>
  <c r="BD288" i="6"/>
  <c r="BD285" i="6"/>
  <c r="BJ330" i="6"/>
  <c r="BD281" i="6"/>
  <c r="BD69" i="6"/>
  <c r="BD527" i="6"/>
  <c r="BJ523" i="6"/>
  <c r="BD515" i="6"/>
  <c r="BJ65" i="6"/>
  <c r="BJ220" i="6"/>
  <c r="BD421" i="6"/>
  <c r="BJ335" i="6"/>
  <c r="BD330" i="6"/>
  <c r="BJ258" i="6"/>
  <c r="BJ73" i="6"/>
  <c r="BD523" i="6"/>
  <c r="BJ519" i="6"/>
  <c r="BD507" i="6"/>
  <c r="BD494" i="6"/>
  <c r="BJ490" i="6"/>
  <c r="BD478" i="6"/>
  <c r="BJ474" i="6"/>
  <c r="BJ465" i="6"/>
  <c r="BJ461" i="6"/>
  <c r="BD61" i="6"/>
  <c r="BJ27" i="6"/>
  <c r="BJ265" i="6"/>
  <c r="BD444" i="6"/>
  <c r="BJ440" i="6"/>
  <c r="BJ431" i="6"/>
  <c r="BJ230" i="6"/>
  <c r="BD216" i="6"/>
  <c r="BJ49" i="6"/>
  <c r="BJ172" i="6"/>
  <c r="BD335" i="6"/>
  <c r="BD486" i="6"/>
  <c r="BJ699" i="6"/>
  <c r="BJ429" i="6"/>
  <c r="BJ425" i="6"/>
  <c r="BD589" i="6"/>
  <c r="BD681" i="6"/>
  <c r="BJ663" i="6"/>
  <c r="BJ580" i="6"/>
  <c r="BD244" i="6"/>
  <c r="BD110" i="6"/>
  <c r="BJ306" i="6"/>
  <c r="BJ241" i="6"/>
  <c r="BD220" i="6"/>
  <c r="BJ372" i="6"/>
  <c r="BJ693" i="6"/>
  <c r="BJ288" i="6"/>
  <c r="BD73" i="6"/>
  <c r="BD511" i="6"/>
  <c r="BJ494" i="6"/>
  <c r="BD490" i="6"/>
  <c r="BJ458" i="6"/>
  <c r="BJ77" i="6"/>
  <c r="BJ61" i="6"/>
  <c r="BD27" i="6"/>
  <c r="BD699" i="6"/>
  <c r="BJ450" i="6"/>
  <c r="BJ446" i="6"/>
  <c r="BJ444" i="6"/>
  <c r="BD440" i="6"/>
  <c r="BJ438" i="6"/>
  <c r="BJ435" i="6"/>
  <c r="BD431" i="6"/>
  <c r="BD425" i="6"/>
  <c r="BJ102" i="6"/>
  <c r="BJ19" i="6"/>
  <c r="BJ216" i="6"/>
  <c r="BJ113" i="6"/>
  <c r="BD663" i="6"/>
  <c r="BJ649" i="6"/>
  <c r="BD537" i="6"/>
  <c r="BJ324" i="6"/>
  <c r="BJ90" i="6"/>
  <c r="BD301" i="6"/>
  <c r="BJ192" i="6"/>
  <c r="BJ412" i="6"/>
  <c r="BJ119" i="6"/>
  <c r="BD202" i="6"/>
  <c r="BJ200" i="6"/>
  <c r="BJ114" i="6"/>
  <c r="BJ261" i="6"/>
  <c r="BJ380" i="6"/>
  <c r="BD371" i="6"/>
  <c r="BJ352" i="6"/>
  <c r="BJ20" i="6"/>
  <c r="BD37" i="6"/>
  <c r="BJ346" i="6"/>
  <c r="BJ254" i="6"/>
  <c r="BD95" i="6"/>
  <c r="BJ17" i="6"/>
  <c r="BJ342" i="6"/>
  <c r="BJ336" i="6"/>
  <c r="BJ283" i="6"/>
  <c r="BJ524" i="6"/>
  <c r="BJ508" i="6"/>
  <c r="BJ495" i="6"/>
  <c r="BJ275" i="6"/>
  <c r="BJ698" i="6"/>
  <c r="BJ150" i="6"/>
  <c r="BJ445" i="6"/>
  <c r="BJ432" i="6"/>
  <c r="BJ143" i="6"/>
  <c r="BD650" i="6"/>
  <c r="BD304" i="6"/>
  <c r="BJ89" i="6"/>
  <c r="BJ395" i="6"/>
  <c r="BJ281" i="6"/>
  <c r="BJ531" i="6"/>
  <c r="BJ482" i="6"/>
  <c r="BD276" i="6"/>
  <c r="BD461" i="6"/>
  <c r="BD265" i="6"/>
  <c r="BD435" i="6"/>
  <c r="BD230" i="6"/>
  <c r="BD19" i="6"/>
  <c r="BJ593" i="6"/>
  <c r="BJ29" i="6"/>
  <c r="BJ314" i="6"/>
  <c r="BD306" i="6"/>
  <c r="BJ153" i="6"/>
  <c r="BJ416" i="6"/>
  <c r="BD119" i="6"/>
  <c r="BD404" i="6"/>
  <c r="BJ202" i="6"/>
  <c r="BD200" i="6"/>
  <c r="BD292" i="6"/>
  <c r="BD191" i="6"/>
  <c r="BJ37" i="6"/>
  <c r="BJ112" i="6"/>
  <c r="BJ344" i="6"/>
  <c r="BJ95" i="6"/>
  <c r="BD339" i="6"/>
  <c r="BJ337" i="6"/>
  <c r="BD17" i="6"/>
  <c r="BD342" i="6"/>
  <c r="BD508" i="6"/>
  <c r="BD150" i="6"/>
  <c r="BJ650" i="6"/>
  <c r="BJ389" i="6"/>
  <c r="BJ133" i="6"/>
  <c r="BJ190" i="6"/>
  <c r="BD341" i="6"/>
  <c r="BD72" i="6"/>
  <c r="BD334" i="6"/>
  <c r="BD333" i="6"/>
  <c r="BD284" i="6"/>
  <c r="BD329" i="6"/>
  <c r="BD257" i="6"/>
  <c r="BD328" i="6"/>
  <c r="BD104" i="6"/>
  <c r="BD186" i="6"/>
  <c r="BD522" i="6"/>
  <c r="BD518" i="6"/>
  <c r="BD514" i="6"/>
  <c r="BD510" i="6"/>
  <c r="BD506" i="6"/>
  <c r="BD498" i="6"/>
  <c r="BD493" i="6"/>
  <c r="BD489" i="6"/>
  <c r="BD481" i="6"/>
  <c r="BD477" i="6"/>
  <c r="BD473" i="6"/>
  <c r="BD468" i="6"/>
  <c r="BD460" i="6"/>
  <c r="BD42" i="6"/>
  <c r="BD223" i="6"/>
  <c r="BD111" i="6"/>
  <c r="BD692" i="6"/>
  <c r="BD50" i="6"/>
  <c r="BD453" i="6"/>
  <c r="BD264" i="6"/>
  <c r="BD449" i="6"/>
  <c r="BD274" i="6"/>
  <c r="BD443" i="6"/>
  <c r="BD178" i="6"/>
  <c r="BD434" i="6"/>
  <c r="BD430" i="6"/>
  <c r="BD125" i="6"/>
  <c r="BD428" i="6"/>
  <c r="BD689" i="6"/>
  <c r="BD41" i="6"/>
  <c r="BD109" i="6"/>
  <c r="BD23" i="6"/>
  <c r="BD218" i="6"/>
  <c r="BD618" i="6"/>
  <c r="BD126" i="6"/>
  <c r="BD614" i="6"/>
  <c r="BJ507" i="6"/>
  <c r="BD482" i="6"/>
  <c r="BD474" i="6"/>
  <c r="BD465" i="6"/>
  <c r="BD49" i="6"/>
  <c r="BD593" i="6"/>
  <c r="BJ681" i="6"/>
  <c r="BD649" i="6"/>
  <c r="BD29" i="6"/>
  <c r="BD580" i="6"/>
  <c r="BJ244" i="6"/>
  <c r="BD314" i="6"/>
  <c r="BJ110" i="6"/>
  <c r="BD153" i="6"/>
  <c r="BD416" i="6"/>
  <c r="BJ355" i="6"/>
  <c r="BD352" i="6"/>
  <c r="BJ697" i="6"/>
  <c r="BD20" i="6"/>
  <c r="BJ255" i="6"/>
  <c r="BD346" i="6"/>
  <c r="BD112" i="6"/>
  <c r="BD344" i="6"/>
  <c r="BD254" i="6"/>
  <c r="BJ339" i="6"/>
  <c r="BD524" i="6"/>
  <c r="BD698" i="6"/>
  <c r="BD143" i="6"/>
  <c r="BJ590" i="6"/>
  <c r="BD395" i="6"/>
  <c r="BD389" i="6"/>
  <c r="BJ260" i="6"/>
  <c r="BD190" i="6"/>
  <c r="BJ79" i="6"/>
  <c r="BD526" i="6"/>
  <c r="BD497" i="6"/>
  <c r="BJ592" i="6"/>
  <c r="BD662" i="6"/>
  <c r="BD622" i="6"/>
  <c r="BD242" i="6"/>
  <c r="BJ486" i="6"/>
  <c r="BJ478" i="6"/>
  <c r="BD458" i="6"/>
  <c r="BD450" i="6"/>
  <c r="BD438" i="6"/>
  <c r="BD429" i="6"/>
  <c r="BD102" i="6"/>
  <c r="BJ685" i="6"/>
  <c r="BJ574" i="6"/>
  <c r="BD324" i="6"/>
  <c r="BD90" i="6"/>
  <c r="BD192" i="6"/>
  <c r="BD241" i="6"/>
  <c r="BJ392" i="6"/>
  <c r="BJ388" i="6"/>
  <c r="BJ376" i="6"/>
  <c r="BD269" i="6"/>
  <c r="BJ371" i="6"/>
  <c r="BD355" i="6"/>
  <c r="BD697" i="6"/>
  <c r="BD337" i="6"/>
  <c r="BD283" i="6"/>
  <c r="BD275" i="6"/>
  <c r="BD432" i="6"/>
  <c r="BD590" i="6"/>
  <c r="BJ315" i="6"/>
  <c r="BD79" i="6"/>
  <c r="BD78" i="6"/>
  <c r="BD592" i="6"/>
  <c r="BJ680" i="6"/>
  <c r="BJ656" i="6"/>
  <c r="BD118" i="6"/>
  <c r="BJ26" i="6"/>
  <c r="BJ385" i="6"/>
  <c r="BJ151" i="6"/>
  <c r="BD212" i="6"/>
  <c r="BJ31" i="6"/>
  <c r="BJ250" i="6"/>
  <c r="BJ466" i="6"/>
  <c r="BJ500" i="6"/>
  <c r="BJ44" i="6"/>
  <c r="BJ340" i="6"/>
  <c r="BD10" i="6"/>
  <c r="BJ405" i="6"/>
  <c r="BJ87" i="6"/>
  <c r="BD65" i="6"/>
  <c r="CE693" i="6"/>
  <c r="CE268" i="6"/>
  <c r="CE335" i="6"/>
  <c r="CE288" i="6"/>
  <c r="CE285" i="6"/>
  <c r="CE330" i="6"/>
  <c r="CE258" i="6"/>
  <c r="CE281" i="6"/>
  <c r="CE69" i="6"/>
  <c r="CE341" i="6"/>
  <c r="CE78" i="6"/>
  <c r="CE72" i="6"/>
  <c r="CE334" i="6"/>
  <c r="CE333" i="6"/>
  <c r="CE284" i="6"/>
  <c r="CE329" i="6"/>
  <c r="CE257" i="6"/>
  <c r="CE328" i="6"/>
  <c r="CE104" i="6"/>
  <c r="BJ214" i="6"/>
  <c r="BJ479" i="6"/>
  <c r="BJ516" i="6"/>
  <c r="BJ331" i="6"/>
  <c r="BJ706" i="6"/>
  <c r="BD377" i="6"/>
  <c r="BD616" i="6"/>
  <c r="BD441" i="6"/>
  <c r="BD534" i="6"/>
  <c r="CE17" i="6"/>
  <c r="CE337" i="6"/>
  <c r="CE339" i="6"/>
  <c r="CS194" i="6"/>
  <c r="CS25" i="6"/>
  <c r="CS227" i="6"/>
  <c r="CS337" i="6"/>
  <c r="CS10" i="6"/>
  <c r="CE227" i="6"/>
  <c r="CE165" i="6"/>
  <c r="CE16" i="6"/>
  <c r="CS83" i="6"/>
  <c r="CS185" i="6"/>
  <c r="CS348" i="6"/>
  <c r="CE81" i="6"/>
  <c r="CE83" i="6"/>
  <c r="CS190" i="6"/>
  <c r="CS700" i="6"/>
  <c r="CE347" i="6"/>
  <c r="CE20" i="6"/>
  <c r="CE166" i="6"/>
  <c r="CE15" i="6"/>
  <c r="CS355" i="6"/>
  <c r="CS365" i="6"/>
  <c r="CE355" i="6"/>
  <c r="CS372" i="6"/>
  <c r="CS260" i="6"/>
  <c r="CS377" i="6"/>
  <c r="CS381" i="6"/>
  <c r="CS385" i="6"/>
  <c r="CS389" i="6"/>
  <c r="CS242" i="6"/>
  <c r="CS249" i="6"/>
  <c r="CE700" i="6"/>
  <c r="CE11" i="6"/>
  <c r="CE706" i="6"/>
  <c r="CE172" i="6"/>
  <c r="CS706" i="6"/>
  <c r="CS95" i="6"/>
  <c r="CS39" i="6"/>
  <c r="CS338" i="6"/>
  <c r="CE189" i="6"/>
  <c r="CS165" i="6"/>
  <c r="CS16" i="6"/>
  <c r="CE343" i="6"/>
  <c r="CE14" i="6"/>
  <c r="CS81" i="6"/>
  <c r="CS82" i="6"/>
  <c r="CS246" i="6"/>
  <c r="CE82" i="6"/>
  <c r="CE185" i="6"/>
  <c r="CS21" i="6"/>
  <c r="CS217" i="6"/>
  <c r="CS701" i="6"/>
  <c r="CE79" i="6"/>
  <c r="CE697" i="6"/>
  <c r="CE133" i="6"/>
  <c r="CE696" i="6"/>
  <c r="CS167" i="6"/>
  <c r="CS369" i="6"/>
  <c r="CS373" i="6"/>
  <c r="CS270" i="6"/>
  <c r="CS378" i="6"/>
  <c r="CS382" i="6"/>
  <c r="CS386" i="6"/>
  <c r="CS393" i="6"/>
  <c r="CS690" i="6"/>
  <c r="CE39" i="6"/>
  <c r="CE48" i="6"/>
  <c r="CE338" i="6"/>
  <c r="CS708" i="6"/>
  <c r="CS136" i="6"/>
  <c r="CS17" i="6"/>
  <c r="CS339" i="6"/>
  <c r="CE236" i="6"/>
  <c r="CS343" i="6"/>
  <c r="CS14" i="6"/>
  <c r="CS172" i="6"/>
  <c r="CE254" i="6"/>
  <c r="CE12" i="6"/>
  <c r="CE344" i="6"/>
  <c r="CS112" i="6"/>
  <c r="CS346" i="6"/>
  <c r="CS255" i="6"/>
  <c r="CS37" i="6"/>
  <c r="CE246" i="6"/>
  <c r="CE348" i="6"/>
  <c r="CS15" i="6"/>
  <c r="CS696" i="6"/>
  <c r="CE345" i="6"/>
  <c r="CE255" i="6"/>
  <c r="CE168" i="6"/>
  <c r="CE112" i="6"/>
  <c r="CS352" i="6"/>
  <c r="CE701" i="6"/>
  <c r="CS370" i="6"/>
  <c r="CS374" i="6"/>
  <c r="CS375" i="6"/>
  <c r="CS379" i="6"/>
  <c r="CS383" i="6"/>
  <c r="CS387" i="6"/>
  <c r="CS391" i="6"/>
  <c r="CS394" i="6"/>
  <c r="CS694" i="6"/>
  <c r="CE194" i="6"/>
  <c r="CE708" i="6"/>
  <c r="CS11" i="6"/>
  <c r="CS189" i="6"/>
  <c r="CS236" i="6"/>
  <c r="CS48" i="6"/>
  <c r="CS254" i="6"/>
  <c r="CS12" i="6"/>
  <c r="CS344" i="6"/>
  <c r="CE136" i="6"/>
  <c r="CE95" i="6"/>
  <c r="CE10" i="6"/>
  <c r="CE25" i="6"/>
  <c r="CS345" i="6"/>
  <c r="CS118" i="6"/>
  <c r="CS347" i="6"/>
  <c r="CS79" i="6"/>
  <c r="CS26" i="6"/>
  <c r="CS20" i="6"/>
  <c r="CS697" i="6"/>
  <c r="CE118" i="6"/>
  <c r="CE26" i="6"/>
  <c r="CE346" i="6"/>
  <c r="CE353" i="6"/>
  <c r="CE37" i="6"/>
  <c r="CS354" i="6"/>
  <c r="CE352" i="6"/>
  <c r="CS371" i="6"/>
  <c r="CS269" i="6"/>
  <c r="CS376" i="6"/>
  <c r="CS380" i="6"/>
  <c r="CS388" i="6"/>
  <c r="CS392" i="6"/>
  <c r="CS261" i="6"/>
  <c r="CS191" i="6"/>
  <c r="CS168" i="6"/>
  <c r="CE354" i="6"/>
  <c r="CE370" i="6"/>
  <c r="CE374" i="6"/>
  <c r="CE375" i="6"/>
  <c r="CE379" i="6"/>
  <c r="CE383" i="6"/>
  <c r="CE167" i="6"/>
  <c r="CE371" i="6"/>
  <c r="CE269" i="6"/>
  <c r="CE376" i="6"/>
  <c r="CE380" i="6"/>
  <c r="CE394" i="6"/>
  <c r="CS114" i="6"/>
  <c r="CS292" i="6"/>
  <c r="CS200" i="6"/>
  <c r="CS202" i="6"/>
  <c r="CS404" i="6"/>
  <c r="CE191" i="6"/>
  <c r="CE365" i="6"/>
  <c r="CE395" i="6"/>
  <c r="CE396" i="6"/>
  <c r="CE401" i="6"/>
  <c r="CE409" i="6"/>
  <c r="CE413" i="6"/>
  <c r="CE418" i="6"/>
  <c r="CE421" i="6"/>
  <c r="CE89" i="6"/>
  <c r="CE98" i="6"/>
  <c r="CE304" i="6"/>
  <c r="CS405" i="6"/>
  <c r="CS262" i="6"/>
  <c r="CS411" i="6"/>
  <c r="CS415" i="6"/>
  <c r="CS417" i="6"/>
  <c r="CS420" i="6"/>
  <c r="CS116" i="6"/>
  <c r="CS298" i="6"/>
  <c r="CS85" i="6"/>
  <c r="CS166" i="6"/>
  <c r="CE21" i="6"/>
  <c r="CE372" i="6"/>
  <c r="CE260" i="6"/>
  <c r="CE377" i="6"/>
  <c r="CE381" i="6"/>
  <c r="CE385" i="6"/>
  <c r="CE391" i="6"/>
  <c r="CS395" i="6"/>
  <c r="CS396" i="6"/>
  <c r="CS401" i="6"/>
  <c r="CE261" i="6"/>
  <c r="CE249" i="6"/>
  <c r="CE123" i="6"/>
  <c r="CE397" i="6"/>
  <c r="CE399" i="6"/>
  <c r="CE402" i="6"/>
  <c r="CE410" i="6"/>
  <c r="CE414" i="6"/>
  <c r="CE35" i="6"/>
  <c r="CE419" i="6"/>
  <c r="CE422" i="6"/>
  <c r="CE302" i="6"/>
  <c r="CE303" i="6"/>
  <c r="CS119" i="6"/>
  <c r="CS241" i="6"/>
  <c r="CS412" i="6"/>
  <c r="CS416" i="6"/>
  <c r="CS192" i="6"/>
  <c r="CS301" i="6"/>
  <c r="CS153" i="6"/>
  <c r="CS90" i="6"/>
  <c r="CE217" i="6"/>
  <c r="CE369" i="6"/>
  <c r="CE373" i="6"/>
  <c r="CE270" i="6"/>
  <c r="CE378" i="6"/>
  <c r="CE382" i="6"/>
  <c r="CE190" i="6"/>
  <c r="CE387" i="6"/>
  <c r="CS123" i="6"/>
  <c r="CS397" i="6"/>
  <c r="CS399" i="6"/>
  <c r="CS402" i="6"/>
  <c r="CS133" i="6"/>
  <c r="CE392" i="6"/>
  <c r="CS353" i="6"/>
  <c r="CE242" i="6"/>
  <c r="CE106" i="6"/>
  <c r="CE271" i="6"/>
  <c r="CE400" i="6"/>
  <c r="CE262" i="6"/>
  <c r="CE411" i="6"/>
  <c r="CE415" i="6"/>
  <c r="CE417" i="6"/>
  <c r="CE420" i="6"/>
  <c r="CE116" i="6"/>
  <c r="CE298" i="6"/>
  <c r="CE85" i="6"/>
  <c r="CS271" i="6"/>
  <c r="CE388" i="6"/>
  <c r="CE389" i="6"/>
  <c r="CE292" i="6"/>
  <c r="CE404" i="6"/>
  <c r="CE119" i="6"/>
  <c r="CE192" i="6"/>
  <c r="CE90" i="6"/>
  <c r="CS410" i="6"/>
  <c r="CS35" i="6"/>
  <c r="CS422" i="6"/>
  <c r="CS303" i="6"/>
  <c r="CS306" i="6"/>
  <c r="CS110" i="6"/>
  <c r="CS170" i="6"/>
  <c r="CS314" i="6"/>
  <c r="CS244" i="6"/>
  <c r="CS324" i="6"/>
  <c r="CS537" i="6"/>
  <c r="CS400" i="6"/>
  <c r="CE200" i="6"/>
  <c r="CE241" i="6"/>
  <c r="CE393" i="6"/>
  <c r="CE690" i="6"/>
  <c r="CS413" i="6"/>
  <c r="CS418" i="6"/>
  <c r="CS89" i="6"/>
  <c r="CS304" i="6"/>
  <c r="CE305" i="6"/>
  <c r="CS151" i="6"/>
  <c r="CS99" i="6"/>
  <c r="CS212" i="6"/>
  <c r="CS315" i="6"/>
  <c r="CS220" i="6"/>
  <c r="CS325" i="6"/>
  <c r="CS538" i="6"/>
  <c r="CE694" i="6"/>
  <c r="CE412" i="6"/>
  <c r="CE301" i="6"/>
  <c r="CS414" i="6"/>
  <c r="CS419" i="6"/>
  <c r="CS302" i="6"/>
  <c r="CE386" i="6"/>
  <c r="CS305" i="6"/>
  <c r="CS164" i="6"/>
  <c r="CS148" i="6"/>
  <c r="CS312" i="6"/>
  <c r="CS188" i="6"/>
  <c r="CS237" i="6"/>
  <c r="CS140" i="6"/>
  <c r="CS539" i="6"/>
  <c r="CE405" i="6"/>
  <c r="CS106" i="6"/>
  <c r="CE114" i="6"/>
  <c r="CE202" i="6"/>
  <c r="CE416" i="6"/>
  <c r="CE153" i="6"/>
  <c r="CS409" i="6"/>
  <c r="CS421" i="6"/>
  <c r="CS98" i="6"/>
  <c r="CS245" i="6"/>
  <c r="CS187" i="6"/>
  <c r="CS540" i="6"/>
  <c r="CE245" i="6"/>
  <c r="CE187" i="6"/>
  <c r="CS574" i="6"/>
  <c r="CS580" i="6"/>
  <c r="CS29" i="6"/>
  <c r="CE148" i="6"/>
  <c r="CE237" i="6"/>
  <c r="CE539" i="6"/>
  <c r="CE99" i="6"/>
  <c r="CE212" i="6"/>
  <c r="CE220" i="6"/>
  <c r="CE538" i="6"/>
  <c r="CE622" i="6"/>
  <c r="CS575" i="6"/>
  <c r="CS581" i="6"/>
  <c r="CS620" i="6"/>
  <c r="CE140" i="6"/>
  <c r="CE315" i="6"/>
  <c r="CE574" i="6"/>
  <c r="CE580" i="6"/>
  <c r="CE29" i="6"/>
  <c r="CE306" i="6"/>
  <c r="CE656" i="6"/>
  <c r="CE662" i="6"/>
  <c r="CE244" i="6"/>
  <c r="CE540" i="6"/>
  <c r="CS576" i="6"/>
  <c r="CS30" i="6"/>
  <c r="CS621" i="6"/>
  <c r="CE312" i="6"/>
  <c r="CE325" i="6"/>
  <c r="CE575" i="6"/>
  <c r="CE581" i="6"/>
  <c r="CE620" i="6"/>
  <c r="CE170" i="6"/>
  <c r="CE324" i="6"/>
  <c r="CE649" i="6"/>
  <c r="CE663" i="6"/>
  <c r="CS622" i="6"/>
  <c r="CE164" i="6"/>
  <c r="CE188" i="6"/>
  <c r="CE151" i="6"/>
  <c r="CE576" i="6"/>
  <c r="CE30" i="6"/>
  <c r="CE621" i="6"/>
  <c r="CE650" i="6"/>
  <c r="CE659" i="6"/>
  <c r="CE707" i="6"/>
  <c r="CE314" i="6"/>
  <c r="CE651" i="6"/>
  <c r="CE661" i="6"/>
  <c r="CE537" i="6"/>
  <c r="CS662" i="6"/>
  <c r="CE239" i="6"/>
  <c r="CE591" i="6"/>
  <c r="CE615" i="6"/>
  <c r="CE617" i="6"/>
  <c r="CE174" i="6"/>
  <c r="CE67" i="6"/>
  <c r="CE13" i="6"/>
  <c r="CE56" i="6"/>
  <c r="CE424" i="6"/>
  <c r="CE427" i="6"/>
  <c r="CE247" i="6"/>
  <c r="CE238" i="6"/>
  <c r="CE433" i="6"/>
  <c r="CE655" i="6"/>
  <c r="CE664" i="6"/>
  <c r="CS659" i="6"/>
  <c r="CS707" i="6"/>
  <c r="CE680" i="6"/>
  <c r="CE584" i="6"/>
  <c r="CE592" i="6"/>
  <c r="CE614" i="6"/>
  <c r="CE126" i="6"/>
  <c r="CE618" i="6"/>
  <c r="CE218" i="6"/>
  <c r="CE23" i="6"/>
  <c r="CE109" i="6"/>
  <c r="CE41" i="6"/>
  <c r="CE689" i="6"/>
  <c r="CE428" i="6"/>
  <c r="CE125" i="6"/>
  <c r="CE430" i="6"/>
  <c r="CE434" i="6"/>
  <c r="CS651" i="6"/>
  <c r="CS591" i="6"/>
  <c r="CS67" i="6"/>
  <c r="CS590" i="6"/>
  <c r="CS705" i="6"/>
  <c r="CS49" i="6"/>
  <c r="CS680" i="6"/>
  <c r="CS143" i="6"/>
  <c r="CS425" i="6"/>
  <c r="CS435" i="6"/>
  <c r="CS263" i="6"/>
  <c r="CS438" i="6"/>
  <c r="CS440" i="6"/>
  <c r="CS444" i="6"/>
  <c r="CS446" i="6"/>
  <c r="CS450" i="6"/>
  <c r="CS265" i="6"/>
  <c r="CS238" i="6"/>
  <c r="CS87" i="6"/>
  <c r="CS125" i="6"/>
  <c r="CE203" i="6"/>
  <c r="CE442" i="6"/>
  <c r="CE273" i="6"/>
  <c r="CS656" i="6"/>
  <c r="CE681" i="6"/>
  <c r="CE685" i="6"/>
  <c r="CE589" i="6"/>
  <c r="CE593" i="6"/>
  <c r="CE702" i="6"/>
  <c r="CE92" i="6"/>
  <c r="CE113" i="6"/>
  <c r="CE49" i="6"/>
  <c r="CE216" i="6"/>
  <c r="CE19" i="6"/>
  <c r="CE102" i="6"/>
  <c r="CE76" i="6"/>
  <c r="CE423" i="6"/>
  <c r="CE425" i="6"/>
  <c r="CE429" i="6"/>
  <c r="CE230" i="6"/>
  <c r="CE431" i="6"/>
  <c r="CE435" i="6"/>
  <c r="CE110" i="6"/>
  <c r="CS615" i="6"/>
  <c r="CS686" i="6"/>
  <c r="CS91" i="6"/>
  <c r="CS655" i="6"/>
  <c r="CS681" i="6"/>
  <c r="CS589" i="6"/>
  <c r="CS702" i="6"/>
  <c r="CS216" i="6"/>
  <c r="CS592" i="6"/>
  <c r="CS614" i="6"/>
  <c r="CS19" i="6"/>
  <c r="CS423" i="6"/>
  <c r="CS431" i="6"/>
  <c r="CS218" i="6"/>
  <c r="CS426" i="6"/>
  <c r="CS141" i="6"/>
  <c r="CS439" i="6"/>
  <c r="CS441" i="6"/>
  <c r="CS445" i="6"/>
  <c r="CS447" i="6"/>
  <c r="CS150" i="6"/>
  <c r="CS250" i="6"/>
  <c r="CS247" i="6"/>
  <c r="CS64" i="6"/>
  <c r="CS650" i="6"/>
  <c r="CE686" i="6"/>
  <c r="CE590" i="6"/>
  <c r="CE705" i="6"/>
  <c r="CE91" i="6"/>
  <c r="CE616" i="6"/>
  <c r="CE619" i="6"/>
  <c r="CE143" i="6"/>
  <c r="CE31" i="6"/>
  <c r="CE87" i="6"/>
  <c r="CE64" i="6"/>
  <c r="CE272" i="6"/>
  <c r="CE426" i="6"/>
  <c r="CE263" i="6"/>
  <c r="CE149" i="6"/>
  <c r="CE432" i="6"/>
  <c r="CE141" i="6"/>
  <c r="CS661" i="6"/>
  <c r="CS617" i="6"/>
  <c r="CS616" i="6"/>
  <c r="CS685" i="6"/>
  <c r="CS593" i="6"/>
  <c r="CS92" i="6"/>
  <c r="CS663" i="6"/>
  <c r="CS126" i="6"/>
  <c r="CS102" i="6"/>
  <c r="CS230" i="6"/>
  <c r="CS109" i="6"/>
  <c r="CS272" i="6"/>
  <c r="CS432" i="6"/>
  <c r="CS203" i="6"/>
  <c r="CS442" i="6"/>
  <c r="CS273" i="6"/>
  <c r="CS448" i="6"/>
  <c r="CS451" i="6"/>
  <c r="CS13" i="6"/>
  <c r="CS427" i="6"/>
  <c r="CS23" i="6"/>
  <c r="CS689" i="6"/>
  <c r="CS434" i="6"/>
  <c r="CE438" i="6"/>
  <c r="CE440" i="6"/>
  <c r="CE444" i="6"/>
  <c r="CS649" i="6"/>
  <c r="CS113" i="6"/>
  <c r="CS618" i="6"/>
  <c r="CS149" i="6"/>
  <c r="CS443" i="6"/>
  <c r="CS56" i="6"/>
  <c r="CS31" i="6"/>
  <c r="CS428" i="6"/>
  <c r="CE178" i="6"/>
  <c r="CE274" i="6"/>
  <c r="CE449" i="6"/>
  <c r="CE264" i="6"/>
  <c r="CE453" i="6"/>
  <c r="CE52" i="6"/>
  <c r="CE695" i="6"/>
  <c r="CE115" i="6"/>
  <c r="CE97" i="6"/>
  <c r="CE51" i="6"/>
  <c r="CE459" i="6"/>
  <c r="CE463" i="6"/>
  <c r="CE467" i="6"/>
  <c r="CE266" i="6"/>
  <c r="CE472" i="6"/>
  <c r="CE476" i="6"/>
  <c r="CE480" i="6"/>
  <c r="CE488" i="6"/>
  <c r="CE492" i="6"/>
  <c r="CE496" i="6"/>
  <c r="CE295" i="6"/>
  <c r="CE505" i="6"/>
  <c r="CE509" i="6"/>
  <c r="CE513" i="6"/>
  <c r="CE517" i="6"/>
  <c r="CE521" i="6"/>
  <c r="CE525" i="6"/>
  <c r="CE529" i="6"/>
  <c r="CE533" i="6"/>
  <c r="CS452" i="6"/>
  <c r="CS455" i="6"/>
  <c r="CS63" i="6"/>
  <c r="CS698" i="6"/>
  <c r="CS248" i="6"/>
  <c r="CS214" i="6"/>
  <c r="CS65" i="6"/>
  <c r="CS275" i="6"/>
  <c r="CS462" i="6"/>
  <c r="CS466" i="6"/>
  <c r="CS221" i="6"/>
  <c r="CS475" i="6"/>
  <c r="CS479" i="6"/>
  <c r="CS483" i="6"/>
  <c r="CS487" i="6"/>
  <c r="CS491" i="6"/>
  <c r="CS495" i="6"/>
  <c r="CS294" i="6"/>
  <c r="CS500" i="6"/>
  <c r="CS504" i="6"/>
  <c r="CS508" i="6"/>
  <c r="CS512" i="6"/>
  <c r="CS516" i="6"/>
  <c r="CS520" i="6"/>
  <c r="CS524" i="6"/>
  <c r="CS528" i="6"/>
  <c r="CS532" i="6"/>
  <c r="CS44" i="6"/>
  <c r="CS36" i="6"/>
  <c r="CS122" i="6"/>
  <c r="CS280" i="6"/>
  <c r="CS235" i="6"/>
  <c r="CS46" i="6"/>
  <c r="CS332" i="6"/>
  <c r="CS287" i="6"/>
  <c r="CS225" i="6"/>
  <c r="CS28" i="6"/>
  <c r="CS691" i="6"/>
  <c r="CS253" i="6"/>
  <c r="CS239" i="6"/>
  <c r="CS584" i="6"/>
  <c r="CS76" i="6"/>
  <c r="CS274" i="6"/>
  <c r="CS433" i="6"/>
  <c r="CS41" i="6"/>
  <c r="CE441" i="6"/>
  <c r="CE446" i="6"/>
  <c r="CE450" i="6"/>
  <c r="CE265" i="6"/>
  <c r="CE50" i="6"/>
  <c r="CE692" i="6"/>
  <c r="CE111" i="6"/>
  <c r="CE223" i="6"/>
  <c r="CE42" i="6"/>
  <c r="CE460" i="6"/>
  <c r="CE468" i="6"/>
  <c r="CE473" i="6"/>
  <c r="CE477" i="6"/>
  <c r="CE481" i="6"/>
  <c r="CE489" i="6"/>
  <c r="CE493" i="6"/>
  <c r="CE497" i="6"/>
  <c r="CE498" i="6"/>
  <c r="CE506" i="6"/>
  <c r="CE510" i="6"/>
  <c r="CE514" i="6"/>
  <c r="CE518" i="6"/>
  <c r="CE522" i="6"/>
  <c r="CE526" i="6"/>
  <c r="CE186" i="6"/>
  <c r="CS52" i="6"/>
  <c r="CS695" i="6"/>
  <c r="CS115" i="6"/>
  <c r="CS97" i="6"/>
  <c r="CS51" i="6"/>
  <c r="CS459" i="6"/>
  <c r="CS463" i="6"/>
  <c r="CS467" i="6"/>
  <c r="CS266" i="6"/>
  <c r="CS472" i="6"/>
  <c r="CS476" i="6"/>
  <c r="CS480" i="6"/>
  <c r="CS488" i="6"/>
  <c r="CS492" i="6"/>
  <c r="CS496" i="6"/>
  <c r="CS295" i="6"/>
  <c r="CS505" i="6"/>
  <c r="CS509" i="6"/>
  <c r="CS513" i="6"/>
  <c r="CS517" i="6"/>
  <c r="CS521" i="6"/>
  <c r="CS525" i="6"/>
  <c r="CS529" i="6"/>
  <c r="CS533" i="6"/>
  <c r="CS453" i="6"/>
  <c r="CS104" i="6"/>
  <c r="CS328" i="6"/>
  <c r="CS257" i="6"/>
  <c r="CS329" i="6"/>
  <c r="CS284" i="6"/>
  <c r="CS333" i="6"/>
  <c r="CS334" i="6"/>
  <c r="CS72" i="6"/>
  <c r="CS78" i="6"/>
  <c r="CS341" i="6"/>
  <c r="CS174" i="6"/>
  <c r="CS619" i="6"/>
  <c r="CS449" i="6"/>
  <c r="CS424" i="6"/>
  <c r="CE443" i="6"/>
  <c r="CE447" i="6"/>
  <c r="CE150" i="6"/>
  <c r="CE250" i="6"/>
  <c r="CE455" i="6"/>
  <c r="CE699" i="6"/>
  <c r="CE27" i="6"/>
  <c r="CE61" i="6"/>
  <c r="CE77" i="6"/>
  <c r="CE458" i="6"/>
  <c r="CE461" i="6"/>
  <c r="CE465" i="6"/>
  <c r="CE276" i="6"/>
  <c r="CE474" i="6"/>
  <c r="CE478" i="6"/>
  <c r="CE482" i="6"/>
  <c r="CE486" i="6"/>
  <c r="CE490" i="6"/>
  <c r="CE494" i="6"/>
  <c r="CE293" i="6"/>
  <c r="CE507" i="6"/>
  <c r="CE511" i="6"/>
  <c r="CE515" i="6"/>
  <c r="CE519" i="6"/>
  <c r="CE523" i="6"/>
  <c r="CE527" i="6"/>
  <c r="CE531" i="6"/>
  <c r="CE73" i="6"/>
  <c r="CS50" i="6"/>
  <c r="CS692" i="6"/>
  <c r="CS111" i="6"/>
  <c r="CS223" i="6"/>
  <c r="CS42" i="6"/>
  <c r="CS460" i="6"/>
  <c r="CS468" i="6"/>
  <c r="CS473" i="6"/>
  <c r="CS477" i="6"/>
  <c r="CS481" i="6"/>
  <c r="CS489" i="6"/>
  <c r="CS493" i="6"/>
  <c r="CS497" i="6"/>
  <c r="CS498" i="6"/>
  <c r="CS506" i="6"/>
  <c r="CS510" i="6"/>
  <c r="CS514" i="6"/>
  <c r="CS518" i="6"/>
  <c r="CS522" i="6"/>
  <c r="CS526" i="6"/>
  <c r="CS186" i="6"/>
  <c r="CS69" i="6"/>
  <c r="CS281" i="6"/>
  <c r="CS258" i="6"/>
  <c r="CS330" i="6"/>
  <c r="CS285" i="6"/>
  <c r="CS288" i="6"/>
  <c r="CS335" i="6"/>
  <c r="CS268" i="6"/>
  <c r="CS693" i="6"/>
  <c r="CS664" i="6"/>
  <c r="CS429" i="6"/>
  <c r="CS178" i="6"/>
  <c r="CS264" i="6"/>
  <c r="CS430" i="6"/>
  <c r="CE439" i="6"/>
  <c r="CE445" i="6"/>
  <c r="CE448" i="6"/>
  <c r="CE451" i="6"/>
  <c r="CE452" i="6"/>
  <c r="CE63" i="6"/>
  <c r="CE698" i="6"/>
  <c r="CE248" i="6"/>
  <c r="CE214" i="6"/>
  <c r="CE65" i="6"/>
  <c r="CE275" i="6"/>
  <c r="CE462" i="6"/>
  <c r="CE466" i="6"/>
  <c r="CE221" i="6"/>
  <c r="CE475" i="6"/>
  <c r="CE479" i="6"/>
  <c r="CE483" i="6"/>
  <c r="CE487" i="6"/>
  <c r="CE491" i="6"/>
  <c r="CE495" i="6"/>
  <c r="CE294" i="6"/>
  <c r="CE500" i="6"/>
  <c r="CE504" i="6"/>
  <c r="CE508" i="6"/>
  <c r="CE512" i="6"/>
  <c r="CE516" i="6"/>
  <c r="CE520" i="6"/>
  <c r="CE524" i="6"/>
  <c r="CE528" i="6"/>
  <c r="CE532" i="6"/>
  <c r="CE44" i="6"/>
  <c r="CS699" i="6"/>
  <c r="CS27" i="6"/>
  <c r="CS61" i="6"/>
  <c r="CS77" i="6"/>
  <c r="CS458" i="6"/>
  <c r="CS461" i="6"/>
  <c r="CS465" i="6"/>
  <c r="CS276" i="6"/>
  <c r="CS474" i="6"/>
  <c r="CS478" i="6"/>
  <c r="CS482" i="6"/>
  <c r="CS486" i="6"/>
  <c r="CS490" i="6"/>
  <c r="CS494" i="6"/>
  <c r="CS293" i="6"/>
  <c r="CS507" i="6"/>
  <c r="CS511" i="6"/>
  <c r="CS515" i="6"/>
  <c r="CS519" i="6"/>
  <c r="CS523" i="6"/>
  <c r="CS527" i="6"/>
  <c r="CS531" i="6"/>
  <c r="CS73" i="6"/>
  <c r="CS534" i="6"/>
  <c r="CS282" i="6"/>
  <c r="CS283" i="6"/>
  <c r="CS331" i="6"/>
  <c r="CS286" i="6"/>
  <c r="CS289" i="6"/>
  <c r="CS336" i="6"/>
  <c r="CS340" i="6"/>
  <c r="CS342" i="6"/>
  <c r="CE253" i="6"/>
  <c r="CE691" i="6"/>
  <c r="CE28" i="6"/>
  <c r="CE225" i="6"/>
  <c r="CE287" i="6"/>
  <c r="CE332" i="6"/>
  <c r="CE46" i="6"/>
  <c r="CE235" i="6"/>
  <c r="CE280" i="6"/>
  <c r="CE122" i="6"/>
  <c r="CE36" i="6"/>
  <c r="BJ421" i="6"/>
  <c r="BD151" i="6"/>
  <c r="BJ538" i="6"/>
  <c r="BJ377" i="6"/>
  <c r="BJ616" i="6"/>
  <c r="BJ441" i="6"/>
  <c r="BJ534" i="6"/>
  <c r="BJ491" i="6"/>
  <c r="CE342" i="6"/>
  <c r="CE340" i="6"/>
  <c r="CE336" i="6"/>
  <c r="CE289" i="6"/>
  <c r="CE286" i="6"/>
  <c r="CE331" i="6"/>
  <c r="CE282" i="6"/>
  <c r="CE534" i="6"/>
  <c r="BJ686" i="6"/>
  <c r="BD353" i="6"/>
  <c r="BJ242" i="6"/>
  <c r="BJ620" i="6"/>
  <c r="BD263" i="6"/>
  <c r="BD455" i="6"/>
  <c r="BD491" i="6"/>
  <c r="BJ289" i="6"/>
  <c r="CS135" i="6"/>
  <c r="BD31" i="6"/>
  <c r="BD426" i="6"/>
  <c r="BD250" i="6"/>
  <c r="BD214" i="6"/>
  <c r="BD466" i="6"/>
  <c r="BD479" i="6"/>
  <c r="BD500" i="6"/>
  <c r="BD516" i="6"/>
  <c r="BD44" i="6"/>
  <c r="BD331" i="6"/>
  <c r="BD340" i="6"/>
  <c r="BD706" i="6"/>
  <c r="BJ353" i="6"/>
  <c r="BD405" i="6"/>
  <c r="BD87" i="6"/>
  <c r="BJ263" i="6"/>
  <c r="BJ455" i="6"/>
  <c r="AX22" i="5"/>
  <c r="AS22" i="5"/>
  <c r="BD475" i="6"/>
  <c r="BD528" i="6"/>
  <c r="BD289" i="6"/>
  <c r="BJ475" i="6"/>
  <c r="BJ528" i="6"/>
  <c r="CE135" i="6"/>
  <c r="BJ170" i="6"/>
  <c r="BD423" i="6"/>
  <c r="BJ92" i="6"/>
  <c r="BD11" i="6"/>
  <c r="BJ423" i="6"/>
  <c r="BD92" i="6"/>
  <c r="BJ11" i="6"/>
  <c r="BJ343" i="6"/>
  <c r="BD343" i="6"/>
  <c r="BJ12" i="6"/>
  <c r="BD272" i="6"/>
  <c r="BD91" i="6"/>
  <c r="BD12" i="6"/>
  <c r="BJ91" i="6"/>
  <c r="BJ272" i="6"/>
  <c r="BJ48" i="6"/>
  <c r="BD48" i="6"/>
  <c r="BJ402" i="6"/>
  <c r="BD659" i="6"/>
  <c r="BJ584" i="6"/>
  <c r="BJ325" i="6"/>
  <c r="BD581" i="6"/>
  <c r="BJ483" i="6"/>
  <c r="BD170" i="6"/>
  <c r="BD504" i="6"/>
  <c r="BD67" i="6"/>
  <c r="BD13" i="6"/>
  <c r="BD238" i="6"/>
  <c r="BD287" i="6"/>
  <c r="BJ659" i="6"/>
  <c r="BJ581" i="6"/>
  <c r="BJ504" i="6"/>
  <c r="BJ67" i="6"/>
  <c r="BJ13" i="6"/>
  <c r="BJ238" i="6"/>
  <c r="BJ287" i="6"/>
  <c r="BD63" i="6"/>
  <c r="BD15" i="6"/>
  <c r="BD402" i="6"/>
  <c r="BJ63" i="6"/>
  <c r="BJ15" i="6"/>
  <c r="BD584" i="6"/>
  <c r="BD325" i="6"/>
  <c r="BD483" i="6"/>
  <c r="M168" i="10" l="1"/>
  <c r="N168" i="10"/>
  <c r="M115" i="10"/>
  <c r="N115" i="10"/>
  <c r="N104" i="10"/>
  <c r="M104" i="10"/>
  <c r="N157" i="10"/>
  <c r="M157" i="10"/>
  <c r="M153" i="10"/>
  <c r="N153" i="10"/>
  <c r="N154" i="10"/>
  <c r="M154" i="10"/>
  <c r="N59" i="10"/>
  <c r="N6" i="10" s="1"/>
  <c r="M59" i="10"/>
  <c r="M6" i="10" s="1"/>
  <c r="M62" i="10"/>
  <c r="N62" i="10"/>
  <c r="N183" i="10"/>
  <c r="M183" i="10"/>
  <c r="M88" i="10"/>
  <c r="N88" i="10"/>
  <c r="N50" i="10"/>
  <c r="M50" i="10"/>
  <c r="N137" i="10"/>
  <c r="M137" i="10"/>
  <c r="N54" i="10"/>
  <c r="M54" i="10"/>
  <c r="N85" i="10"/>
  <c r="M85" i="10"/>
  <c r="M127" i="10"/>
  <c r="N127" i="10"/>
  <c r="N116" i="10"/>
  <c r="M116" i="10"/>
  <c r="M74" i="10"/>
  <c r="N74" i="10"/>
  <c r="M165" i="10"/>
  <c r="N165" i="10"/>
  <c r="N166" i="10"/>
  <c r="M166" i="10"/>
  <c r="N71" i="10"/>
  <c r="N10" i="10" s="1"/>
  <c r="M71" i="10"/>
  <c r="M10" i="10" s="1"/>
  <c r="N36" i="10"/>
  <c r="M36" i="10"/>
  <c r="M48" i="10"/>
  <c r="N48" i="10"/>
  <c r="N100" i="10"/>
  <c r="M100" i="10"/>
  <c r="N158" i="10"/>
  <c r="M158" i="10"/>
  <c r="M149" i="10"/>
  <c r="N149" i="10"/>
  <c r="M66" i="10"/>
  <c r="N66" i="10"/>
  <c r="M169" i="10"/>
  <c r="N169" i="10"/>
  <c r="M139" i="10"/>
  <c r="M14" i="10" s="1"/>
  <c r="N139" i="10"/>
  <c r="N14" i="10" s="1"/>
  <c r="M128" i="10"/>
  <c r="N128" i="10"/>
  <c r="N146" i="10"/>
  <c r="M146" i="10"/>
  <c r="M34" i="10"/>
  <c r="N34" i="10"/>
  <c r="N178" i="10"/>
  <c r="N21" i="10" s="1"/>
  <c r="M178" i="10"/>
  <c r="M21" i="10" s="1"/>
  <c r="N83" i="10"/>
  <c r="M83" i="10"/>
  <c r="M120" i="10"/>
  <c r="N120" i="10"/>
  <c r="N108" i="10"/>
  <c r="M108" i="10"/>
  <c r="N112" i="10"/>
  <c r="M112" i="10"/>
  <c r="M63" i="10"/>
  <c r="M9" i="10" s="1"/>
  <c r="N63" i="10"/>
  <c r="N9" i="10" s="1"/>
  <c r="N161" i="10"/>
  <c r="M161" i="10"/>
  <c r="N78" i="10"/>
  <c r="N12" i="10" s="1"/>
  <c r="M78" i="10"/>
  <c r="M12" i="10" s="1"/>
  <c r="N98" i="10"/>
  <c r="M98" i="10"/>
  <c r="M151" i="10"/>
  <c r="N151" i="10"/>
  <c r="M140" i="10"/>
  <c r="N140" i="10"/>
  <c r="M39" i="10"/>
  <c r="N39" i="10"/>
  <c r="N46" i="10"/>
  <c r="M46" i="10"/>
  <c r="M72" i="10"/>
  <c r="N72" i="10"/>
  <c r="N95" i="10"/>
  <c r="M95" i="10"/>
  <c r="M49" i="10"/>
  <c r="N49" i="10"/>
  <c r="M37" i="10"/>
  <c r="N37" i="10"/>
  <c r="N124" i="10"/>
  <c r="M124" i="10"/>
  <c r="M147" i="10"/>
  <c r="N147" i="10"/>
  <c r="M173" i="10"/>
  <c r="N173" i="10"/>
  <c r="N90" i="10"/>
  <c r="M90" i="10"/>
  <c r="N182" i="10"/>
  <c r="M182" i="10"/>
  <c r="M163" i="10"/>
  <c r="N163" i="10"/>
  <c r="N152" i="10"/>
  <c r="M152" i="10"/>
  <c r="M45" i="10"/>
  <c r="N45" i="10"/>
  <c r="N58" i="10"/>
  <c r="M58" i="10"/>
  <c r="M180" i="10"/>
  <c r="M23" i="10" s="1"/>
  <c r="N180" i="10"/>
  <c r="N23" i="10" s="1"/>
  <c r="N107" i="10"/>
  <c r="M107" i="10"/>
  <c r="N133" i="10"/>
  <c r="M133" i="10"/>
  <c r="N109" i="10"/>
  <c r="M109" i="10"/>
  <c r="N136" i="10"/>
  <c r="M136" i="10"/>
  <c r="N41" i="10"/>
  <c r="M41" i="10"/>
  <c r="N185" i="10"/>
  <c r="M185" i="10"/>
  <c r="N102" i="10"/>
  <c r="M102" i="10"/>
  <c r="N31" i="10"/>
  <c r="M31" i="10"/>
  <c r="M175" i="10"/>
  <c r="M18" i="10" s="1"/>
  <c r="N175" i="10"/>
  <c r="N18" i="10" s="1"/>
  <c r="N164" i="10"/>
  <c r="M164" i="10"/>
  <c r="M57" i="10"/>
  <c r="N57" i="10"/>
  <c r="N70" i="10"/>
  <c r="M70" i="10"/>
  <c r="N61" i="10"/>
  <c r="N8" i="10" s="1"/>
  <c r="M61" i="10"/>
  <c r="M8" i="10" s="1"/>
  <c r="N119" i="10"/>
  <c r="M119" i="10"/>
  <c r="N38" i="10"/>
  <c r="M38" i="10"/>
  <c r="N122" i="10"/>
  <c r="M122" i="10"/>
  <c r="M148" i="10"/>
  <c r="N148" i="10"/>
  <c r="N53" i="10"/>
  <c r="N5" i="10" s="1"/>
  <c r="M53" i="10"/>
  <c r="M5" i="10" s="1"/>
  <c r="M132" i="10"/>
  <c r="N132" i="10"/>
  <c r="N114" i="10"/>
  <c r="M114" i="10"/>
  <c r="N43" i="10"/>
  <c r="M43" i="10"/>
  <c r="N32" i="10"/>
  <c r="M32" i="10"/>
  <c r="N176" i="10"/>
  <c r="N19" i="10" s="1"/>
  <c r="M176" i="10"/>
  <c r="M19" i="10" s="1"/>
  <c r="M69" i="10"/>
  <c r="N69" i="10"/>
  <c r="N82" i="10"/>
  <c r="M82" i="10"/>
  <c r="M145" i="10"/>
  <c r="N145" i="10"/>
  <c r="N131" i="10"/>
  <c r="M131" i="10"/>
  <c r="N110" i="10"/>
  <c r="M110" i="10"/>
  <c r="M99" i="10"/>
  <c r="N99" i="10"/>
  <c r="M160" i="10"/>
  <c r="M17" i="10" s="1"/>
  <c r="N160" i="10"/>
  <c r="N17" i="10" s="1"/>
  <c r="M65" i="10"/>
  <c r="N65" i="10"/>
  <c r="M121" i="10"/>
  <c r="N121" i="10"/>
  <c r="N126" i="10"/>
  <c r="M126" i="10"/>
  <c r="N55" i="10"/>
  <c r="M55" i="10"/>
  <c r="N44" i="10"/>
  <c r="M44" i="10"/>
  <c r="N129" i="10"/>
  <c r="M129" i="10"/>
  <c r="M81" i="10"/>
  <c r="N81" i="10"/>
  <c r="N94" i="10"/>
  <c r="M94" i="10"/>
  <c r="N86" i="10"/>
  <c r="M86" i="10"/>
  <c r="M143" i="10"/>
  <c r="N143" i="10"/>
  <c r="N51" i="10"/>
  <c r="N3" i="10" s="1"/>
  <c r="M51" i="10"/>
  <c r="M3" i="10" s="1"/>
  <c r="N159" i="10"/>
  <c r="M159" i="10"/>
  <c r="N172" i="10"/>
  <c r="M172" i="10"/>
  <c r="N77" i="10"/>
  <c r="N11" i="10" s="1"/>
  <c r="M77" i="10"/>
  <c r="M11" i="10" s="1"/>
  <c r="N134" i="10"/>
  <c r="M134" i="10"/>
  <c r="N138" i="10"/>
  <c r="M138" i="10"/>
  <c r="M67" i="10"/>
  <c r="N67" i="10"/>
  <c r="N56" i="10"/>
  <c r="M56" i="10"/>
  <c r="M177" i="10"/>
  <c r="M20" i="10" s="1"/>
  <c r="N177" i="10"/>
  <c r="N20" i="10" s="1"/>
  <c r="N93" i="10"/>
  <c r="M93" i="10"/>
  <c r="N106" i="10"/>
  <c r="M106" i="10"/>
  <c r="N170" i="10"/>
  <c r="M170" i="10"/>
  <c r="N155" i="10"/>
  <c r="M155" i="10"/>
  <c r="N87" i="10"/>
  <c r="M87" i="10"/>
  <c r="N40" i="10"/>
  <c r="M40" i="10"/>
  <c r="M184" i="10"/>
  <c r="N184" i="10"/>
  <c r="N89" i="10"/>
  <c r="M89" i="10"/>
  <c r="M75" i="10"/>
  <c r="N75" i="10"/>
  <c r="N150" i="10"/>
  <c r="M150" i="10"/>
  <c r="N79" i="10"/>
  <c r="M79" i="10"/>
  <c r="M68" i="10"/>
  <c r="N68" i="10"/>
  <c r="N96" i="10"/>
  <c r="M96" i="10"/>
  <c r="M105" i="10"/>
  <c r="N105" i="10"/>
  <c r="N118" i="10"/>
  <c r="M118" i="10"/>
  <c r="M33" i="10"/>
  <c r="N33" i="10"/>
  <c r="N167" i="10"/>
  <c r="M167" i="10"/>
  <c r="N111" i="10"/>
  <c r="M111" i="10"/>
  <c r="N52" i="10"/>
  <c r="N4" i="10" s="1"/>
  <c r="M52" i="10"/>
  <c r="M4" i="10" s="1"/>
  <c r="N60" i="10"/>
  <c r="N7" i="10" s="1"/>
  <c r="M60" i="10"/>
  <c r="M7" i="10" s="1"/>
  <c r="M101" i="10"/>
  <c r="N101" i="10"/>
  <c r="N135" i="10"/>
  <c r="M135" i="10"/>
  <c r="N162" i="10"/>
  <c r="M162" i="10"/>
  <c r="M91" i="10"/>
  <c r="N91" i="10"/>
  <c r="M80" i="10"/>
  <c r="N80" i="10"/>
  <c r="M144" i="10"/>
  <c r="N144" i="10"/>
  <c r="M117" i="10"/>
  <c r="N117" i="10"/>
  <c r="N130" i="10"/>
  <c r="M130" i="10"/>
  <c r="N35" i="10"/>
  <c r="M35" i="10"/>
  <c r="N179" i="10"/>
  <c r="N22" i="10" s="1"/>
  <c r="M179" i="10"/>
  <c r="M22" i="10" s="1"/>
  <c r="N123" i="10"/>
  <c r="M123" i="10"/>
  <c r="M64" i="10"/>
  <c r="N64" i="10"/>
  <c r="M156" i="10"/>
  <c r="M16" i="10" s="1"/>
  <c r="N156" i="10"/>
  <c r="N16" i="10" s="1"/>
  <c r="N113" i="10"/>
  <c r="M113" i="10"/>
  <c r="N30" i="10"/>
  <c r="M30" i="10"/>
  <c r="M174" i="10"/>
  <c r="N174" i="10"/>
  <c r="M84" i="10"/>
  <c r="M13" i="10" s="1"/>
  <c r="N84" i="10"/>
  <c r="N13" i="10" s="1"/>
  <c r="N103" i="10"/>
  <c r="M103" i="10"/>
  <c r="N92" i="10"/>
  <c r="M92" i="10"/>
  <c r="N73" i="10"/>
  <c r="M73" i="10"/>
  <c r="N141" i="10"/>
  <c r="M141" i="10"/>
  <c r="N142" i="10"/>
  <c r="N15" i="10" s="1"/>
  <c r="M142" i="10"/>
  <c r="M15" i="10" s="1"/>
  <c r="N47" i="10"/>
  <c r="M47" i="10"/>
  <c r="N181" i="10"/>
  <c r="M181" i="10"/>
  <c r="N171" i="10"/>
  <c r="M171" i="10"/>
  <c r="N76" i="10"/>
  <c r="M76" i="10"/>
  <c r="M97" i="10"/>
  <c r="N97" i="10"/>
  <c r="M125" i="10"/>
  <c r="N125" i="10"/>
  <c r="M42" i="10"/>
  <c r="N42" i="10"/>
  <c r="N186" i="10"/>
  <c r="M186" i="10"/>
  <c r="N29" i="10"/>
  <c r="M29" i="10"/>
  <c r="CE356" i="6"/>
  <c r="CS356" i="6"/>
  <c r="BJ356" i="6"/>
  <c r="BD356" i="6"/>
  <c r="BD357" i="6"/>
  <c r="BJ357" i="6"/>
  <c r="N26" i="10" l="1"/>
  <c r="M26" i="10"/>
  <c r="CE357" i="6"/>
  <c r="CS357" i="6"/>
  <c r="CE469" i="6"/>
  <c r="CE207" i="6" l="1"/>
  <c r="CS569" i="6"/>
  <c r="CE561" i="6"/>
  <c r="CE38" i="6"/>
  <c r="CE569" i="6"/>
  <c r="CE53" i="6"/>
  <c r="CE704" i="6"/>
  <c r="CS666" i="6"/>
  <c r="CS290" i="6"/>
  <c r="CS678" i="6"/>
  <c r="CE667" i="6"/>
  <c r="CE658" i="6"/>
  <c r="CS646" i="6"/>
  <c r="CE674" i="6"/>
  <c r="CE630" i="6"/>
  <c r="CE169" i="6"/>
  <c r="CE653" i="6"/>
  <c r="CS207" i="6"/>
  <c r="CE231" i="6"/>
  <c r="CS623" i="6"/>
  <c r="CE623" i="6"/>
  <c r="CS499" i="6"/>
  <c r="CS181" i="6"/>
  <c r="CE57" i="6"/>
  <c r="CE222" i="6"/>
  <c r="CE679" i="6"/>
  <c r="CE571" i="6"/>
  <c r="CE32" i="6"/>
  <c r="CS611" i="6"/>
  <c r="CE629" i="6"/>
  <c r="CS277" i="6"/>
  <c r="CE684" i="6"/>
  <c r="CS124" i="6"/>
  <c r="CE612" i="6"/>
  <c r="CE318" i="6"/>
  <c r="CE643" i="6"/>
  <c r="CE128" i="6"/>
  <c r="CS566" i="6"/>
  <c r="CS278" i="6"/>
  <c r="CS232" i="6"/>
  <c r="CS683" i="6"/>
  <c r="CS554" i="6"/>
  <c r="CE573" i="6"/>
  <c r="CS60" i="6"/>
  <c r="CS586" i="6"/>
  <c r="CE267" i="6"/>
  <c r="CS647" i="6"/>
  <c r="CE252" i="6"/>
  <c r="CS682" i="6"/>
  <c r="CE598" i="6"/>
  <c r="CS669" i="6"/>
  <c r="CS68" i="6"/>
  <c r="CE152" i="6"/>
  <c r="CS183" i="6"/>
  <c r="CS484" i="6"/>
  <c r="CE499" i="6"/>
  <c r="CS18" i="6"/>
  <c r="CS603" i="6"/>
  <c r="CE208" i="6"/>
  <c r="CE548" i="6"/>
  <c r="CS572" i="6"/>
  <c r="CE668" i="6"/>
  <c r="CE159" i="6"/>
  <c r="CE278" i="6"/>
  <c r="CS553" i="6"/>
  <c r="CS671" i="6"/>
  <c r="CE631" i="6"/>
  <c r="CE560" i="6"/>
  <c r="CE566" i="6"/>
  <c r="CE503" i="6"/>
  <c r="CS501" i="6"/>
  <c r="CS252" i="6"/>
  <c r="CE605" i="6"/>
  <c r="CS157" i="6"/>
  <c r="CS358" i="6"/>
  <c r="CE359" i="6"/>
  <c r="CS403" i="6"/>
  <c r="CS406" i="6"/>
  <c r="CE18" i="6"/>
  <c r="CS156" i="6"/>
  <c r="CE384" i="6"/>
  <c r="CE177" i="6"/>
  <c r="CS541" i="6"/>
  <c r="CS177" i="6"/>
  <c r="CE625" i="6"/>
  <c r="CE137" i="6"/>
  <c r="CE578" i="6"/>
  <c r="CE437" i="6"/>
  <c r="CS163" i="6"/>
  <c r="CS367" i="6"/>
  <c r="CE145" i="6"/>
  <c r="CS310" i="6"/>
  <c r="CS145" i="6"/>
  <c r="CS547" i="6"/>
  <c r="CS199" i="6"/>
  <c r="CE131" i="6"/>
  <c r="CE134" i="6"/>
  <c r="CE68" i="6"/>
  <c r="CS317" i="6"/>
  <c r="CE300" i="6"/>
  <c r="CS193" i="6"/>
  <c r="CS562" i="6"/>
  <c r="CE327" i="6"/>
  <c r="CS182" i="6"/>
  <c r="CE551" i="6"/>
  <c r="CS105" i="6"/>
  <c r="CE610" i="6"/>
  <c r="CS351" i="6"/>
  <c r="CE175" i="6"/>
  <c r="CS362" i="6"/>
  <c r="CS155" i="6"/>
  <c r="CS211" i="6"/>
  <c r="CS173" i="6"/>
  <c r="CE127" i="6"/>
  <c r="CS179" i="6"/>
  <c r="CE181" i="6"/>
  <c r="CE628" i="6"/>
  <c r="CE129" i="6"/>
  <c r="CE669" i="6"/>
  <c r="CE320" i="6"/>
  <c r="CS643" i="6"/>
  <c r="CE215" i="6"/>
  <c r="CS321" i="6"/>
  <c r="CS307" i="6"/>
  <c r="CE406" i="6"/>
  <c r="CS147" i="6"/>
  <c r="CE646" i="6"/>
  <c r="CS313" i="6"/>
  <c r="CS641" i="6"/>
  <c r="CS601" i="6"/>
  <c r="CE408" i="6"/>
  <c r="CS359" i="6"/>
  <c r="CS175" i="6"/>
  <c r="CE196" i="6"/>
  <c r="CE71" i="6"/>
  <c r="CS291" i="6"/>
  <c r="CS201" i="6"/>
  <c r="CS267" i="6"/>
  <c r="CE180" i="6"/>
  <c r="CE205" i="6"/>
  <c r="CE45" i="6"/>
  <c r="CE609" i="6"/>
  <c r="CS688" i="6"/>
  <c r="CS80" i="6"/>
  <c r="CS213" i="6"/>
  <c r="CS567" i="6"/>
  <c r="CS629" i="6"/>
  <c r="CE204" i="6"/>
  <c r="CS38" i="6"/>
  <c r="CE558" i="6"/>
  <c r="CS578" i="6"/>
  <c r="CS55" i="6"/>
  <c r="CS57" i="6"/>
  <c r="CS219" i="6"/>
  <c r="CS436" i="6"/>
  <c r="CE675" i="6"/>
  <c r="CS610" i="6"/>
  <c r="CE142" i="6"/>
  <c r="CS70" i="6"/>
  <c r="CS390" i="6"/>
  <c r="CS100" i="6"/>
  <c r="CS308" i="6"/>
  <c r="CS159" i="6"/>
  <c r="CS582" i="6"/>
  <c r="CE84" i="6"/>
  <c r="CS471" i="6"/>
  <c r="CS243" i="6"/>
  <c r="CS660" i="6"/>
  <c r="CE47" i="6"/>
  <c r="CS198" i="6"/>
  <c r="CE198" i="6"/>
  <c r="CE351" i="6"/>
  <c r="CS542" i="6"/>
  <c r="CE577" i="6"/>
  <c r="CE666" i="6"/>
  <c r="CS322" i="6"/>
  <c r="CS548" i="6"/>
  <c r="CS557" i="6"/>
  <c r="CE277" i="6"/>
  <c r="CE163" i="6"/>
  <c r="CS195" i="6"/>
  <c r="CS596" i="6"/>
  <c r="CS215" i="6"/>
  <c r="CE156" i="6"/>
  <c r="CS543" i="6"/>
  <c r="CS361" i="6"/>
  <c r="CE398" i="6"/>
  <c r="CS231" i="6"/>
  <c r="CE210" i="6"/>
  <c r="CS32" i="6"/>
  <c r="CE654" i="6"/>
  <c r="CS625" i="6"/>
  <c r="CS160" i="6"/>
  <c r="CE105" i="6"/>
  <c r="CE323" i="6"/>
  <c r="CS549" i="6"/>
  <c r="CE582" i="6"/>
  <c r="CE554" i="6"/>
  <c r="CS101" i="6"/>
  <c r="CE638" i="6"/>
  <c r="CE101" i="6"/>
  <c r="CE583" i="6"/>
  <c r="CS600" i="6"/>
  <c r="CE594" i="6"/>
  <c r="CS684" i="6"/>
  <c r="CE349" i="6"/>
  <c r="CE201" i="6"/>
  <c r="CS196" i="6"/>
  <c r="CE158" i="6"/>
  <c r="CS550" i="6"/>
  <c r="CS327" i="6"/>
  <c r="CE350" i="6"/>
  <c r="CE155" i="6"/>
  <c r="CE319" i="6"/>
  <c r="CS570" i="6"/>
  <c r="CS134" i="6"/>
  <c r="CE160" i="6"/>
  <c r="CS588" i="6"/>
  <c r="CS639" i="6"/>
  <c r="CE588" i="6"/>
  <c r="CS676" i="6"/>
  <c r="CS644" i="6"/>
  <c r="CS612" i="6"/>
  <c r="CS457" i="6"/>
  <c r="CE485" i="6"/>
  <c r="CS142" i="6"/>
  <c r="CS485" i="6"/>
  <c r="CE603" i="6"/>
  <c r="CE565" i="6"/>
  <c r="CE549" i="6"/>
  <c r="CS297" i="6"/>
  <c r="CS627" i="6"/>
  <c r="CE556" i="6"/>
  <c r="CE182" i="6"/>
  <c r="CS552" i="6"/>
  <c r="CE676" i="6"/>
  <c r="CE290" i="6"/>
  <c r="CS679" i="6"/>
  <c r="CE673" i="6"/>
  <c r="CS364" i="6"/>
  <c r="CS398" i="6"/>
  <c r="CE366" i="6"/>
  <c r="CS86" i="6"/>
  <c r="CE146" i="6"/>
  <c r="CE390" i="6"/>
  <c r="CS309" i="6"/>
  <c r="CS633" i="6"/>
  <c r="CS137" i="6"/>
  <c r="CS58" i="6"/>
  <c r="CS502" i="6"/>
  <c r="CS139" i="6"/>
  <c r="CE361" i="6"/>
  <c r="CE70" i="6"/>
  <c r="CS154" i="6"/>
  <c r="CS349" i="6"/>
  <c r="CS363" i="6"/>
  <c r="CS108" i="6"/>
  <c r="CE636" i="6"/>
  <c r="CE193" i="6"/>
  <c r="CE317" i="6"/>
  <c r="CE232" i="6"/>
  <c r="CS208" i="6"/>
  <c r="CE550" i="6"/>
  <c r="CE364" i="6"/>
  <c r="CS318" i="6"/>
  <c r="CS384" i="6"/>
  <c r="CS558" i="6"/>
  <c r="CS43" i="6"/>
  <c r="CS146" i="6"/>
  <c r="CS158" i="6"/>
  <c r="CS300" i="6"/>
  <c r="CS323" i="6"/>
  <c r="CS127" i="6"/>
  <c r="CE162" i="6"/>
  <c r="CS626" i="6"/>
  <c r="CE562" i="6"/>
  <c r="CS209" i="6"/>
  <c r="CS319" i="6"/>
  <c r="CE567" i="6"/>
  <c r="CS634" i="6"/>
  <c r="CE24" i="6"/>
  <c r="CS624" i="6"/>
  <c r="CE547" i="6"/>
  <c r="CE596" i="6"/>
  <c r="CS704" i="6"/>
  <c r="CS129" i="6"/>
  <c r="CE54" i="6"/>
  <c r="CE502" i="6"/>
  <c r="CS658" i="6"/>
  <c r="CE209" i="6"/>
  <c r="CE604" i="6"/>
  <c r="CE362" i="6"/>
  <c r="CE259" i="6"/>
  <c r="CS368" i="6"/>
  <c r="CS320" i="6"/>
  <c r="CS228" i="6"/>
  <c r="CS555" i="6"/>
  <c r="CE363" i="6"/>
  <c r="CS94" i="6"/>
  <c r="CE559" i="6"/>
  <c r="CE183" i="6"/>
  <c r="CE672" i="6"/>
  <c r="CS636" i="6"/>
  <c r="CS571" i="6"/>
  <c r="CE634" i="6"/>
  <c r="CS74" i="6"/>
  <c r="CE464" i="6"/>
  <c r="CE608" i="6"/>
  <c r="CS222" i="6"/>
  <c r="CS638" i="6"/>
  <c r="CS279" i="6"/>
  <c r="CS598" i="6"/>
  <c r="CS259" i="6"/>
  <c r="CS670" i="6"/>
  <c r="CS648" i="6"/>
  <c r="CS594" i="6"/>
  <c r="CS22" i="6"/>
  <c r="CS687" i="6"/>
  <c r="CE530" i="6"/>
  <c r="CS530" i="6"/>
  <c r="CE587" i="6"/>
  <c r="CE635" i="6"/>
  <c r="CE157" i="6"/>
  <c r="CE107" i="6"/>
  <c r="CE307" i="6"/>
  <c r="CS568" i="6"/>
  <c r="CE644" i="6"/>
  <c r="CE75" i="6"/>
  <c r="CE33" i="6"/>
  <c r="CS563" i="6"/>
  <c r="CS632" i="6"/>
  <c r="CE645" i="6"/>
  <c r="CS535" i="6"/>
  <c r="CE108" i="6"/>
  <c r="CE124" i="6"/>
  <c r="CS144" i="6"/>
  <c r="CS605" i="6"/>
  <c r="CE219" i="6"/>
  <c r="CS674" i="6"/>
  <c r="CE457" i="6"/>
  <c r="CS657" i="6"/>
  <c r="CS668" i="6"/>
  <c r="CS672" i="6"/>
  <c r="CS184" i="6"/>
  <c r="CE279" i="6"/>
  <c r="CE173" i="6"/>
  <c r="CS33" i="6"/>
  <c r="CS171" i="6"/>
  <c r="CE602" i="6"/>
  <c r="CS585" i="6"/>
  <c r="CE585" i="6"/>
  <c r="CE606" i="6"/>
  <c r="CS503" i="6"/>
  <c r="CE226" i="6"/>
  <c r="CE572" i="6"/>
  <c r="CE642" i="6"/>
  <c r="CE130" i="6"/>
  <c r="CE633" i="6"/>
  <c r="CE687" i="6"/>
  <c r="CS128" i="6"/>
  <c r="CE545" i="6"/>
  <c r="CE179" i="6"/>
  <c r="CS224" i="6"/>
  <c r="CE501" i="6"/>
  <c r="CE647" i="6"/>
  <c r="CE407" i="6"/>
  <c r="CS296" i="6"/>
  <c r="CS350" i="6"/>
  <c r="CS360" i="6"/>
  <c r="CS407" i="6"/>
  <c r="CS197" i="6"/>
  <c r="CS311" i="6"/>
  <c r="CS560" i="6"/>
  <c r="CS34" i="6"/>
  <c r="CE563" i="6"/>
  <c r="CE555" i="6"/>
  <c r="CE229" i="6"/>
  <c r="CE326" i="6"/>
  <c r="CE121" i="6"/>
  <c r="CE206" i="6"/>
  <c r="CE607" i="6"/>
  <c r="CS326" i="6"/>
  <c r="CS117" i="6"/>
  <c r="CE93" i="6"/>
  <c r="CE144" i="6"/>
  <c r="CE640" i="6"/>
  <c r="CE43" i="6"/>
  <c r="CE176" i="6"/>
  <c r="CS559" i="6"/>
  <c r="CS316" i="6"/>
  <c r="CS366" i="6"/>
  <c r="CS251" i="6"/>
  <c r="CS169" i="6"/>
  <c r="CE639" i="6"/>
  <c r="CS205" i="6"/>
  <c r="CE224" i="6"/>
  <c r="CE58" i="6"/>
  <c r="CS152" i="6"/>
  <c r="CE367" i="6"/>
  <c r="CE228" i="6"/>
  <c r="CE360" i="6"/>
  <c r="CE368" i="6"/>
  <c r="CS299" i="6"/>
  <c r="CS45" i="6"/>
  <c r="CE627" i="6"/>
  <c r="CE322" i="6"/>
  <c r="CE311" i="6"/>
  <c r="CE299" i="6"/>
  <c r="CS107" i="6"/>
  <c r="CE86" i="6"/>
  <c r="CE542" i="6"/>
  <c r="CS630" i="6"/>
  <c r="CE100" i="6"/>
  <c r="CE184" i="6"/>
  <c r="CS564" i="6"/>
  <c r="CS577" i="6"/>
  <c r="CS131" i="6"/>
  <c r="CE291" i="6"/>
  <c r="CE403" i="6"/>
  <c r="CS545" i="6"/>
  <c r="CE199" i="6"/>
  <c r="CE197" i="6"/>
  <c r="CE358" i="6"/>
  <c r="CS176" i="6"/>
  <c r="CS546" i="6"/>
  <c r="CS544" i="6"/>
  <c r="CE308" i="6"/>
  <c r="CE652" i="6"/>
  <c r="CS206" i="6"/>
  <c r="CE138" i="6"/>
  <c r="CE626" i="6"/>
  <c r="CE683" i="6"/>
  <c r="CS130" i="6"/>
  <c r="CS84" i="6"/>
  <c r="CE60" i="6"/>
  <c r="CE316" i="6"/>
  <c r="CE641" i="6"/>
  <c r="CE553" i="6"/>
  <c r="CS642" i="6"/>
  <c r="CS602" i="6"/>
  <c r="CE195" i="6"/>
  <c r="CE570" i="6"/>
  <c r="CS408" i="6"/>
  <c r="CE251" i="6"/>
  <c r="CE541" i="6"/>
  <c r="CS66" i="6"/>
  <c r="CE243" i="6"/>
  <c r="CE470" i="6"/>
  <c r="CS703" i="6"/>
  <c r="CS654" i="6"/>
  <c r="CS597" i="6"/>
  <c r="CS604" i="6"/>
  <c r="CS640" i="6"/>
  <c r="CS437" i="6"/>
  <c r="CS609" i="6"/>
  <c r="CE103" i="6"/>
  <c r="CE660" i="6"/>
  <c r="CS120" i="6"/>
  <c r="CE544" i="6"/>
  <c r="CE599" i="6"/>
  <c r="CE436" i="6"/>
  <c r="CE557" i="6"/>
  <c r="CE665" i="6"/>
  <c r="CS226" i="6"/>
  <c r="CS665" i="6"/>
  <c r="CE611" i="6"/>
  <c r="CE471" i="6"/>
  <c r="CS88" i="6"/>
  <c r="CE88" i="6"/>
  <c r="CS96" i="6"/>
  <c r="CE256" i="6"/>
  <c r="CS551" i="6"/>
  <c r="CS210" i="6"/>
  <c r="CS637" i="6"/>
  <c r="CE671" i="6"/>
  <c r="CE624" i="6"/>
  <c r="CE94" i="6"/>
  <c r="CE161" i="6"/>
  <c r="CS71" i="6"/>
  <c r="CS138" i="6"/>
  <c r="CE484" i="6"/>
  <c r="CS234" i="6"/>
  <c r="CS454" i="6"/>
  <c r="CE59" i="6"/>
  <c r="CS675" i="6"/>
  <c r="CS536" i="6"/>
  <c r="CE139" i="6"/>
  <c r="CE74" i="6"/>
  <c r="CS556" i="6"/>
  <c r="CE657" i="6"/>
  <c r="CE66" i="6"/>
  <c r="CS652" i="6"/>
  <c r="CE682" i="6"/>
  <c r="CS673" i="6"/>
  <c r="CE234" i="6"/>
  <c r="CS606" i="6"/>
  <c r="CS677" i="6"/>
  <c r="CE586" i="6"/>
  <c r="CS121" i="6"/>
  <c r="CE678" i="6"/>
  <c r="CE454" i="6"/>
  <c r="CS583" i="6"/>
  <c r="CS204" i="6"/>
  <c r="CE22" i="6"/>
  <c r="CE595" i="6"/>
  <c r="CS561" i="6"/>
  <c r="CE147" i="6"/>
  <c r="CE535" i="6"/>
  <c r="CE552" i="6"/>
  <c r="CS579" i="6"/>
  <c r="CE233" i="6"/>
  <c r="CE309" i="6"/>
  <c r="CS229" i="6"/>
  <c r="CE600" i="6"/>
  <c r="CS54" i="6"/>
  <c r="CS587" i="6"/>
  <c r="CS53" i="6"/>
  <c r="CS573" i="6"/>
  <c r="CE117" i="6"/>
  <c r="CE297" i="6"/>
  <c r="CE313" i="6"/>
  <c r="CE154" i="6"/>
  <c r="CE677" i="6"/>
  <c r="CS240" i="6"/>
  <c r="CS161" i="6"/>
  <c r="CE670" i="6"/>
  <c r="CS653" i="6"/>
  <c r="CS470" i="6"/>
  <c r="CS456" i="6"/>
  <c r="CE597" i="6"/>
  <c r="CE80" i="6"/>
  <c r="CS256" i="6"/>
  <c r="CS607" i="6"/>
  <c r="CS608" i="6"/>
  <c r="CE564" i="6"/>
  <c r="CE171" i="6"/>
  <c r="CE536" i="6"/>
  <c r="CS180" i="6"/>
  <c r="CS631" i="6"/>
  <c r="CS565" i="6"/>
  <c r="CE579" i="6"/>
  <c r="CE703" i="6"/>
  <c r="CS469" i="6"/>
  <c r="CS47" i="6"/>
  <c r="CS59" i="6"/>
  <c r="CS595" i="6"/>
  <c r="CS599" i="6"/>
  <c r="CS162" i="6"/>
  <c r="CS464" i="6"/>
  <c r="CE546" i="6"/>
  <c r="CE321" i="6"/>
  <c r="CS628" i="6"/>
  <c r="CE568" i="6"/>
  <c r="CE120" i="6"/>
  <c r="CS667" i="6"/>
  <c r="CS24" i="6"/>
  <c r="CE55" i="6"/>
  <c r="CE543" i="6"/>
  <c r="CE648" i="6"/>
  <c r="CE240" i="6"/>
  <c r="CS93" i="6"/>
  <c r="CE211" i="6"/>
  <c r="CE310" i="6"/>
  <c r="CE637" i="6"/>
  <c r="CE632" i="6"/>
  <c r="CS645" i="6"/>
  <c r="CS233" i="6"/>
  <c r="CE96" i="6"/>
  <c r="CS635" i="6"/>
  <c r="CE34" i="6"/>
  <c r="CS75" i="6"/>
  <c r="CE601" i="6"/>
  <c r="CE213" i="6"/>
  <c r="CE456" i="6"/>
  <c r="CS103" i="6"/>
  <c r="CE296" i="6"/>
  <c r="CE688" i="6"/>
  <c r="BD565" i="6"/>
  <c r="BJ233" i="6"/>
  <c r="BJ679" i="6"/>
  <c r="BJ597" i="6"/>
  <c r="BD642" i="6"/>
  <c r="BJ135" i="6"/>
  <c r="BD688" i="6"/>
  <c r="BJ232" i="6"/>
  <c r="BD134" i="6"/>
  <c r="BJ205" i="6"/>
  <c r="BJ665" i="6"/>
  <c r="BJ251" i="6"/>
  <c r="BJ211" i="6"/>
  <c r="BD567" i="6"/>
  <c r="BJ554" i="6"/>
  <c r="BD256" i="6"/>
  <c r="BD68" i="6"/>
  <c r="BD585" i="6"/>
  <c r="BD638" i="6"/>
  <c r="BJ228" i="6"/>
  <c r="BJ609" i="6"/>
  <c r="BD145" i="6"/>
  <c r="BD231" i="6"/>
  <c r="BJ146" i="6"/>
  <c r="BD243" i="6"/>
  <c r="BD687" i="6"/>
  <c r="BD563" i="6"/>
  <c r="BJ313" i="6"/>
  <c r="BD327" i="6"/>
  <c r="BD147" i="6"/>
  <c r="BJ127" i="6"/>
  <c r="BJ586" i="6"/>
  <c r="BJ601" i="6"/>
  <c r="BJ175" i="6"/>
  <c r="BJ360" i="6"/>
  <c r="BD665" i="6"/>
  <c r="BD499" i="6"/>
  <c r="BJ155" i="6"/>
  <c r="BD470" i="6"/>
  <c r="BD633" i="6"/>
  <c r="BJ105" i="6"/>
  <c r="BD232" i="6"/>
  <c r="BJ267" i="6"/>
  <c r="BJ605" i="6"/>
  <c r="BD625" i="6"/>
  <c r="BJ55" i="6"/>
  <c r="BD637" i="6"/>
  <c r="BJ38" i="6"/>
  <c r="BD398" i="6"/>
  <c r="BD127" i="6"/>
  <c r="BJ503" i="6"/>
  <c r="BD586" i="6"/>
  <c r="BJ602" i="6"/>
  <c r="BD175" i="6"/>
  <c r="BD360" i="6"/>
  <c r="BJ547" i="6"/>
  <c r="BJ359" i="6"/>
  <c r="BJ561" i="6"/>
  <c r="BJ311" i="6"/>
  <c r="BJ121" i="6"/>
  <c r="BD564" i="6"/>
  <c r="BJ299" i="6"/>
  <c r="BD259" i="6"/>
  <c r="BD596" i="6"/>
  <c r="BJ645" i="6"/>
  <c r="BD319" i="6"/>
  <c r="BJ350" i="6"/>
  <c r="BJ226" i="6"/>
  <c r="BD632" i="6"/>
  <c r="BJ144" i="6"/>
  <c r="BD55" i="6"/>
  <c r="BJ536" i="6"/>
  <c r="BD366" i="6"/>
  <c r="BJ171" i="6"/>
  <c r="BJ571" i="6"/>
  <c r="BJ437" i="6"/>
  <c r="BJ229" i="6"/>
  <c r="BD549" i="6"/>
  <c r="BJ34" i="6"/>
  <c r="BJ610" i="6"/>
  <c r="BD635" i="6"/>
  <c r="BD158" i="6"/>
  <c r="BD88" i="6"/>
  <c r="BJ552" i="6"/>
  <c r="BD198" i="6"/>
  <c r="BJ436" i="6"/>
  <c r="BJ670" i="6"/>
  <c r="BJ195" i="6"/>
  <c r="BD645" i="6"/>
  <c r="BJ570" i="6"/>
  <c r="BD350" i="6"/>
  <c r="BJ559" i="6"/>
  <c r="BD456" i="6"/>
  <c r="BJ60" i="6"/>
  <c r="BD362" i="6"/>
  <c r="BD502" i="6"/>
  <c r="BJ606" i="6"/>
  <c r="BD38" i="6"/>
  <c r="BJ76" i="6"/>
  <c r="BJ147" i="6"/>
  <c r="BD503" i="6"/>
  <c r="BJ678" i="6"/>
  <c r="BD602" i="6"/>
  <c r="BJ320" i="6"/>
  <c r="BD471" i="6"/>
  <c r="BD666" i="6"/>
  <c r="BJ310" i="6"/>
  <c r="BJ108" i="6"/>
  <c r="BJ363" i="6"/>
  <c r="BJ159" i="6"/>
  <c r="BD469" i="6"/>
  <c r="BD677" i="6"/>
  <c r="BJ24" i="6"/>
  <c r="BD610" i="6"/>
  <c r="BD702" i="6"/>
  <c r="BD233" i="6"/>
  <c r="BJ499" i="6"/>
  <c r="BD679" i="6"/>
  <c r="BJ666" i="6"/>
  <c r="BD59" i="6"/>
  <c r="BJ657" i="6"/>
  <c r="BJ564" i="6"/>
  <c r="BD207" i="6"/>
  <c r="BD558" i="6"/>
  <c r="BJ184" i="6"/>
  <c r="BJ673" i="6"/>
  <c r="BD34" i="6"/>
  <c r="BJ594" i="6"/>
  <c r="BD173" i="6"/>
  <c r="BJ551" i="6"/>
  <c r="BJ208" i="6"/>
  <c r="BD18" i="6"/>
  <c r="BJ234" i="6"/>
  <c r="BD612" i="6"/>
  <c r="BD653" i="6"/>
  <c r="BJ398" i="6"/>
  <c r="BJ631" i="6"/>
  <c r="BD550" i="6"/>
  <c r="BD196" i="6"/>
  <c r="BD609" i="6"/>
  <c r="BD94" i="6"/>
  <c r="BD669" i="6"/>
  <c r="BD568" i="6"/>
  <c r="BD310" i="6"/>
  <c r="BJ682" i="6"/>
  <c r="BJ157" i="6"/>
  <c r="BJ231" i="6"/>
  <c r="BJ142" i="6"/>
  <c r="BD648" i="6"/>
  <c r="BJ573" i="6"/>
  <c r="BJ137" i="6"/>
  <c r="BD152" i="6"/>
  <c r="BD551" i="6"/>
  <c r="BD454" i="6"/>
  <c r="BD208" i="6"/>
  <c r="BJ674" i="6"/>
  <c r="BD124" i="6"/>
  <c r="BJ134" i="6"/>
  <c r="BD251" i="6"/>
  <c r="BD211" i="6"/>
  <c r="BD598" i="6"/>
  <c r="BJ636" i="6"/>
  <c r="BD296" i="6"/>
  <c r="BD367" i="6"/>
  <c r="BJ642" i="6"/>
  <c r="BD205" i="6"/>
  <c r="BD155" i="6"/>
  <c r="BJ278" i="6"/>
  <c r="BD309" i="6"/>
  <c r="BJ629" i="6"/>
  <c r="BJ456" i="6"/>
  <c r="BD672" i="6"/>
  <c r="BD120" i="6"/>
  <c r="BD142" i="6"/>
  <c r="BD573" i="6"/>
  <c r="BJ224" i="6"/>
  <c r="BJ351" i="6"/>
  <c r="BD137" i="6"/>
  <c r="BD484" i="6"/>
  <c r="BD582" i="6"/>
  <c r="BJ84" i="6"/>
  <c r="BD530" i="6"/>
  <c r="BJ687" i="6"/>
  <c r="BD535" i="6"/>
  <c r="BD43" i="6"/>
  <c r="BJ672" i="6"/>
  <c r="BD308" i="6"/>
  <c r="BD131" i="6"/>
  <c r="BD206" i="6"/>
  <c r="BJ535" i="6"/>
  <c r="BJ43" i="6"/>
  <c r="BD569" i="6"/>
  <c r="BD278" i="6"/>
  <c r="BJ179" i="6"/>
  <c r="BJ129" i="6"/>
  <c r="BJ215" i="6"/>
  <c r="BJ88" i="6"/>
  <c r="BJ47" i="6"/>
  <c r="BD588" i="6"/>
  <c r="BD641" i="6"/>
  <c r="BJ567" i="6"/>
  <c r="BD317" i="6"/>
  <c r="BJ196" i="6"/>
  <c r="BD457" i="6"/>
  <c r="BJ627" i="6"/>
  <c r="BJ654" i="6"/>
  <c r="BJ669" i="6"/>
  <c r="BJ643" i="6"/>
  <c r="BD184" i="6"/>
  <c r="BJ207" i="6"/>
  <c r="BD384" i="6"/>
  <c r="BD597" i="6"/>
  <c r="BJ541" i="6"/>
  <c r="BJ107" i="6"/>
  <c r="BJ702" i="6"/>
  <c r="BD631" i="6"/>
  <c r="BJ550" i="6"/>
  <c r="BD107" i="6"/>
  <c r="BD668" i="6"/>
  <c r="BD117" i="6"/>
  <c r="BD183" i="6"/>
  <c r="BD643" i="6"/>
  <c r="BD606" i="6"/>
  <c r="BJ612" i="6"/>
  <c r="BD605" i="6"/>
  <c r="BJ653" i="6"/>
  <c r="BD76" i="6"/>
  <c r="BJ138" i="6"/>
  <c r="BJ70" i="6"/>
  <c r="BJ279" i="6"/>
  <c r="BJ296" i="6"/>
  <c r="BJ367" i="6"/>
  <c r="BD634" i="6"/>
  <c r="BD297" i="6"/>
  <c r="BD86" i="6"/>
  <c r="BD311" i="6"/>
  <c r="BJ128" i="6"/>
  <c r="BD93" i="6"/>
  <c r="BD228" i="6"/>
  <c r="BD160" i="6"/>
  <c r="BJ671" i="6"/>
  <c r="BJ22" i="6"/>
  <c r="BJ688" i="6"/>
  <c r="BJ152" i="6"/>
  <c r="BJ297" i="6"/>
  <c r="BJ86" i="6"/>
  <c r="BD674" i="6"/>
  <c r="BJ578" i="6"/>
  <c r="BJ318" i="6"/>
  <c r="BD121" i="6"/>
  <c r="BD299" i="6"/>
  <c r="BJ684" i="6"/>
  <c r="BD180" i="6"/>
  <c r="BJ204" i="6"/>
  <c r="BJ322" i="6"/>
  <c r="BD33" i="6"/>
  <c r="BJ542" i="6"/>
  <c r="BD671" i="6"/>
  <c r="BD22" i="6"/>
  <c r="BD660" i="6"/>
  <c r="BJ568" i="6"/>
  <c r="BD138" i="6"/>
  <c r="BD159" i="6"/>
  <c r="BJ243" i="6"/>
  <c r="BD601" i="6"/>
  <c r="BJ625" i="6"/>
  <c r="BD545" i="6"/>
  <c r="BD45" i="6"/>
  <c r="BJ454" i="6"/>
  <c r="BJ633" i="6"/>
  <c r="BD108" i="6"/>
  <c r="BD437" i="6"/>
  <c r="BJ624" i="6"/>
  <c r="BJ403" i="6"/>
  <c r="BD684" i="6"/>
  <c r="BD204" i="6"/>
  <c r="BJ210" i="6"/>
  <c r="BD322" i="6"/>
  <c r="BD75" i="6"/>
  <c r="BD570" i="6"/>
  <c r="BJ319" i="6"/>
  <c r="BD464" i="6"/>
  <c r="BD277" i="6"/>
  <c r="BD154" i="6"/>
  <c r="BJ632" i="6"/>
  <c r="BD326" i="6"/>
  <c r="BJ236" i="6"/>
  <c r="BJ646" i="6"/>
  <c r="BD219" i="6"/>
  <c r="BD607" i="6"/>
  <c r="BJ101" i="6"/>
  <c r="BD587" i="6"/>
  <c r="BJ181" i="6"/>
  <c r="BD359" i="6"/>
  <c r="BD229" i="6"/>
  <c r="BD624" i="6"/>
  <c r="BJ549" i="6"/>
  <c r="BD403" i="6"/>
  <c r="BJ595" i="6"/>
  <c r="BJ471" i="6"/>
  <c r="BJ469" i="6"/>
  <c r="BD32" i="6"/>
  <c r="BJ557" i="6"/>
  <c r="BD105" i="6"/>
  <c r="BD80" i="6"/>
  <c r="BJ100" i="6"/>
  <c r="BJ256" i="6"/>
  <c r="BJ68" i="6"/>
  <c r="BJ585" i="6"/>
  <c r="BJ638" i="6"/>
  <c r="BJ57" i="6"/>
  <c r="BD542" i="6"/>
  <c r="BJ160" i="6"/>
  <c r="BJ634" i="6"/>
  <c r="BJ628" i="6"/>
  <c r="BD561" i="6"/>
  <c r="BD678" i="6"/>
  <c r="BD578" i="6"/>
  <c r="BD318" i="6"/>
  <c r="BJ156" i="6"/>
  <c r="BJ608" i="6"/>
  <c r="BJ182" i="6"/>
  <c r="BD323" i="6"/>
  <c r="BD654" i="6"/>
  <c r="BD71" i="6"/>
  <c r="BD657" i="6"/>
  <c r="BJ173" i="6"/>
  <c r="BJ213" i="6"/>
  <c r="BD57" i="6"/>
  <c r="BJ545" i="6"/>
  <c r="BJ45" i="6"/>
  <c r="BJ364" i="6"/>
  <c r="BD234" i="6"/>
  <c r="BD267" i="6"/>
  <c r="BD652" i="6"/>
  <c r="BD577" i="6"/>
  <c r="BJ240" i="6"/>
  <c r="BD58" i="6"/>
  <c r="BJ675" i="6"/>
  <c r="BJ197" i="6"/>
  <c r="BJ611" i="6"/>
  <c r="BD554" i="6"/>
  <c r="BJ579" i="6"/>
  <c r="BJ470" i="6"/>
  <c r="BD157" i="6"/>
  <c r="BJ33" i="6"/>
  <c r="BJ598" i="6"/>
  <c r="BD279" i="6"/>
  <c r="BD628" i="6"/>
  <c r="BD547" i="6"/>
  <c r="BJ71" i="6"/>
  <c r="BD636" i="6"/>
  <c r="BD627" i="6"/>
  <c r="BJ553" i="6"/>
  <c r="BJ565" i="6"/>
  <c r="BD675" i="6"/>
  <c r="BD197" i="6"/>
  <c r="BD135" i="6"/>
  <c r="BD611" i="6"/>
  <c r="BJ660" i="6"/>
  <c r="BD579" i="6"/>
  <c r="BJ18" i="6"/>
  <c r="BJ558" i="6"/>
  <c r="BJ384" i="6"/>
  <c r="BD639" i="6"/>
  <c r="BD213" i="6"/>
  <c r="BD571" i="6"/>
  <c r="BD320" i="6"/>
  <c r="BD146" i="6"/>
  <c r="BJ94" i="6"/>
  <c r="BD541" i="6"/>
  <c r="BD156" i="6"/>
  <c r="BD74" i="6"/>
  <c r="BD96" i="6"/>
  <c r="BJ199" i="6"/>
  <c r="BD640" i="6"/>
  <c r="BD363" i="6"/>
  <c r="BJ163" i="6"/>
  <c r="BD553" i="6"/>
  <c r="BD407" i="6"/>
  <c r="BJ103" i="6"/>
  <c r="BD599" i="6"/>
  <c r="BJ145" i="6"/>
  <c r="BJ485" i="6"/>
  <c r="BJ252" i="6"/>
  <c r="BD179" i="6"/>
  <c r="BJ639" i="6"/>
  <c r="BD704" i="6"/>
  <c r="BJ577" i="6"/>
  <c r="BJ366" i="6"/>
  <c r="BD66" i="6"/>
  <c r="BD53" i="6"/>
  <c r="BD676" i="6"/>
  <c r="BJ161" i="6"/>
  <c r="BJ290" i="6"/>
  <c r="BJ139" i="6"/>
  <c r="BJ630" i="6"/>
  <c r="BD364" i="6"/>
  <c r="BJ582" i="6"/>
  <c r="BD199" i="6"/>
  <c r="BD629" i="6"/>
  <c r="BD226" i="6"/>
  <c r="BJ222" i="6"/>
  <c r="BD169" i="6"/>
  <c r="BJ117" i="6"/>
  <c r="BD177" i="6"/>
  <c r="BD600" i="6"/>
  <c r="BJ648" i="6"/>
  <c r="BD560" i="6"/>
  <c r="BD176" i="6"/>
  <c r="BD572" i="6"/>
  <c r="BJ308" i="6"/>
  <c r="BJ658" i="6"/>
  <c r="BD543" i="6"/>
  <c r="BJ349" i="6"/>
  <c r="BJ317" i="6"/>
  <c r="BJ327" i="6"/>
  <c r="BJ209" i="6"/>
  <c r="BJ560" i="6"/>
  <c r="BJ176" i="6"/>
  <c r="BJ583" i="6"/>
  <c r="BJ124" i="6"/>
  <c r="BJ169" i="6"/>
  <c r="BJ177" i="6"/>
  <c r="BD181" i="6"/>
  <c r="BD682" i="6"/>
  <c r="BJ464" i="6"/>
  <c r="BJ277" i="6"/>
  <c r="BD307" i="6"/>
  <c r="BJ74" i="6"/>
  <c r="BJ96" i="6"/>
  <c r="BJ563" i="6"/>
  <c r="BJ556" i="6"/>
  <c r="BJ201" i="6"/>
  <c r="BJ562" i="6"/>
  <c r="BD408" i="6"/>
  <c r="BJ644" i="6"/>
  <c r="BD667" i="6"/>
  <c r="BJ599" i="6"/>
  <c r="BD673" i="6"/>
  <c r="BJ307" i="6"/>
  <c r="BD594" i="6"/>
  <c r="BJ647" i="6"/>
  <c r="BD566" i="6"/>
  <c r="BJ502" i="6"/>
  <c r="BD210" i="6"/>
  <c r="BD222" i="6"/>
  <c r="BJ668" i="6"/>
  <c r="BJ683" i="6"/>
  <c r="BJ408" i="6"/>
  <c r="BJ316" i="6"/>
  <c r="BD60" i="6"/>
  <c r="BJ323" i="6"/>
  <c r="BJ180" i="6"/>
  <c r="BD548" i="6"/>
  <c r="BD361" i="6"/>
  <c r="BD171" i="6"/>
  <c r="BD556" i="6"/>
  <c r="BD201" i="6"/>
  <c r="BD658" i="6"/>
  <c r="BJ548" i="6"/>
  <c r="BJ361" i="6"/>
  <c r="BD54" i="6"/>
  <c r="BJ501" i="6"/>
  <c r="BD608" i="6"/>
  <c r="BD182" i="6"/>
  <c r="BJ362" i="6"/>
  <c r="BJ193" i="6"/>
  <c r="BD290" i="6"/>
  <c r="BD139" i="6"/>
  <c r="BD630" i="6"/>
  <c r="BJ704" i="6"/>
  <c r="BJ93" i="6"/>
  <c r="BD544" i="6"/>
  <c r="BJ158" i="6"/>
  <c r="BJ259" i="6"/>
  <c r="BJ596" i="6"/>
  <c r="BJ544" i="6"/>
  <c r="BJ546" i="6"/>
  <c r="BJ291" i="6"/>
  <c r="BJ183" i="6"/>
  <c r="BD683" i="6"/>
  <c r="BJ555" i="6"/>
  <c r="BJ309" i="6"/>
  <c r="BD623" i="6"/>
  <c r="BD316" i="6"/>
  <c r="BD358" i="6"/>
  <c r="BD647" i="6"/>
  <c r="BJ59" i="6"/>
  <c r="BD128" i="6"/>
  <c r="BD583" i="6"/>
  <c r="BJ206" i="6"/>
  <c r="BJ457" i="6"/>
  <c r="BD163" i="6"/>
  <c r="BJ154" i="6"/>
  <c r="BJ603" i="6"/>
  <c r="BJ406" i="6"/>
  <c r="BD557" i="6"/>
  <c r="BD236" i="6"/>
  <c r="BJ368" i="6"/>
  <c r="BJ53" i="6"/>
  <c r="BD390" i="6"/>
  <c r="BJ326" i="6"/>
  <c r="BD559" i="6"/>
  <c r="BD546" i="6"/>
  <c r="BD291" i="6"/>
  <c r="BD562" i="6"/>
  <c r="BJ635" i="6"/>
  <c r="BJ703" i="6"/>
  <c r="BJ588" i="6"/>
  <c r="BJ641" i="6"/>
  <c r="BJ131" i="6"/>
  <c r="BD436" i="6"/>
  <c r="BD670" i="6"/>
  <c r="BD195" i="6"/>
  <c r="BD604" i="6"/>
  <c r="BJ652" i="6"/>
  <c r="BJ358" i="6"/>
  <c r="BD485" i="6"/>
  <c r="BD252" i="6"/>
  <c r="BD321" i="6"/>
  <c r="BD84" i="6"/>
  <c r="BD100" i="6"/>
  <c r="BJ640" i="6"/>
  <c r="BJ543" i="6"/>
  <c r="BJ219" i="6"/>
  <c r="BJ607" i="6"/>
  <c r="BD161" i="6"/>
  <c r="BD406" i="6"/>
  <c r="BJ54" i="6"/>
  <c r="BD626" i="6"/>
  <c r="BJ321" i="6"/>
  <c r="BJ484" i="6"/>
  <c r="BJ604" i="6"/>
  <c r="BD240" i="6"/>
  <c r="BD501" i="6"/>
  <c r="BJ676" i="6"/>
  <c r="BJ626" i="6"/>
  <c r="BJ80" i="6"/>
  <c r="BD144" i="6"/>
  <c r="BD536" i="6"/>
  <c r="BD47" i="6"/>
  <c r="BJ637" i="6"/>
  <c r="BD300" i="6"/>
  <c r="BD351" i="6"/>
  <c r="BD644" i="6"/>
  <c r="BD349" i="6"/>
  <c r="BJ572" i="6"/>
  <c r="BD555" i="6"/>
  <c r="BJ390" i="6"/>
  <c r="BD646" i="6"/>
  <c r="BD595" i="6"/>
  <c r="BJ569" i="6"/>
  <c r="BJ300" i="6"/>
  <c r="BD368" i="6"/>
  <c r="BD603" i="6"/>
  <c r="BJ566" i="6"/>
  <c r="BJ32" i="6"/>
  <c r="BD24" i="6"/>
  <c r="BJ530" i="6"/>
  <c r="BJ162" i="6"/>
  <c r="BJ407" i="6"/>
  <c r="BJ120" i="6"/>
  <c r="BD130" i="6"/>
  <c r="BJ58" i="6"/>
  <c r="BD209" i="6"/>
  <c r="BD552" i="6"/>
  <c r="BJ198" i="6"/>
  <c r="BD193" i="6"/>
  <c r="BJ587" i="6"/>
  <c r="BJ75" i="6"/>
  <c r="BD101" i="6"/>
  <c r="BD162" i="6"/>
  <c r="BD313" i="6"/>
  <c r="BD703" i="6"/>
  <c r="BJ667" i="6"/>
  <c r="BJ600" i="6"/>
  <c r="BD224" i="6"/>
  <c r="BD70" i="6"/>
  <c r="BJ677" i="6"/>
  <c r="BJ66" i="6"/>
  <c r="BJ130" i="6"/>
  <c r="BD129" i="6"/>
  <c r="BD103" i="6"/>
  <c r="BD215" i="6"/>
  <c r="BJ623" i="6"/>
  <c r="B10" i="4" l="1"/>
  <c r="C11" i="4" l="1"/>
  <c r="B11" i="4"/>
  <c r="B12" i="4"/>
  <c r="C10" i="4"/>
  <c r="C12" i="4"/>
  <c r="B14" i="4"/>
  <c r="B16" i="4"/>
  <c r="B15" i="4" l="1"/>
  <c r="C16" i="4"/>
  <c r="C14" i="4"/>
  <c r="C15" i="4"/>
  <c r="B20" i="4" l="1"/>
  <c r="B18" i="4"/>
  <c r="B19" i="4"/>
  <c r="C18" i="4"/>
  <c r="C19" i="4"/>
  <c r="C20" i="4"/>
  <c r="B23" i="4" l="1"/>
  <c r="B24" i="4"/>
  <c r="B22" i="4"/>
  <c r="C22" i="4"/>
  <c r="C24" i="4"/>
  <c r="C23" i="4"/>
  <c r="B27" i="4" l="1"/>
  <c r="B28" i="4"/>
  <c r="B26" i="4"/>
  <c r="C28" i="4"/>
  <c r="C26" i="4"/>
  <c r="C27" i="4"/>
  <c r="B30" i="4" l="1"/>
  <c r="B31" i="4"/>
  <c r="B32" i="4"/>
  <c r="C32" i="4"/>
  <c r="C30" i="4"/>
  <c r="C31" i="4"/>
  <c r="C36" i="4" l="1"/>
  <c r="B36" i="4"/>
  <c r="B34" i="4"/>
  <c r="B35" i="4"/>
  <c r="C34" i="4"/>
  <c r="C35" i="4"/>
  <c r="B39" i="4" l="1"/>
  <c r="B40" i="4"/>
  <c r="B38" i="4"/>
  <c r="C38" i="4"/>
  <c r="C40" i="4"/>
  <c r="C39" i="4"/>
  <c r="C43" i="4"/>
  <c r="B44" i="4" l="1"/>
  <c r="B42" i="4"/>
  <c r="B43" i="4"/>
  <c r="C42" i="4"/>
  <c r="C44" i="4"/>
  <c r="B50" i="4" l="1"/>
  <c r="B52" i="4" l="1"/>
  <c r="C52" i="4"/>
  <c r="C50" i="4"/>
  <c r="B8" i="4" l="1"/>
  <c r="B5" i="4" l="1"/>
  <c r="B6" i="4"/>
  <c r="B7" i="4"/>
  <c r="C7" i="4"/>
  <c r="C5" i="4"/>
  <c r="C8" i="4"/>
  <c r="C6" i="4"/>
  <c r="B1720" i="4" l="1"/>
  <c r="C1720" i="4"/>
  <c r="B1718" i="4" l="1"/>
  <c r="B1719" i="4"/>
  <c r="B1724" i="4"/>
  <c r="C1724" i="4"/>
  <c r="C1718" i="4"/>
  <c r="C1719" i="4"/>
  <c r="B1722" i="4" l="1"/>
  <c r="B1728" i="4"/>
  <c r="B1723" i="4"/>
  <c r="C1722" i="4"/>
  <c r="C1723" i="4"/>
  <c r="C1728" i="4"/>
  <c r="B1727" i="4"/>
  <c r="B1726" i="4" l="1"/>
  <c r="B1732" i="4"/>
  <c r="C1727" i="4"/>
  <c r="C1726" i="4"/>
  <c r="C1732" i="4"/>
  <c r="B1731" i="4" l="1"/>
  <c r="B1730" i="4"/>
  <c r="B1736" i="4"/>
  <c r="C1731" i="4"/>
  <c r="C1730" i="4"/>
  <c r="C1736" i="4"/>
  <c r="B1734" i="4" l="1"/>
  <c r="B1740" i="4"/>
  <c r="B1735" i="4"/>
  <c r="C1735" i="4"/>
  <c r="C1740" i="4"/>
  <c r="C1734" i="4"/>
  <c r="B1738" i="4" l="1"/>
  <c r="B1739" i="4"/>
  <c r="C1738" i="4"/>
  <c r="C1739" i="4"/>
  <c r="B1980" i="4" l="1"/>
  <c r="C1980" i="4"/>
  <c r="B1984" i="4" l="1"/>
  <c r="C1979" i="4"/>
  <c r="B1979" i="4"/>
  <c r="B1978" i="4"/>
  <c r="C1984" i="4"/>
  <c r="C1978" i="4"/>
  <c r="B1983" i="4" l="1"/>
  <c r="B1982" i="4"/>
  <c r="B1988" i="4"/>
  <c r="C1983" i="4"/>
  <c r="C1982" i="4"/>
  <c r="C1988" i="4"/>
  <c r="B1987" i="4" l="1"/>
  <c r="B1992" i="4"/>
  <c r="B1986" i="4"/>
  <c r="C1992" i="4"/>
  <c r="C1986" i="4"/>
  <c r="C1987" i="4"/>
  <c r="B1996" i="4" l="1"/>
  <c r="B1991" i="4"/>
  <c r="B1990" i="4"/>
  <c r="C1996" i="4"/>
  <c r="C1990" i="4"/>
  <c r="C1991" i="4"/>
  <c r="B1994" i="4" l="1"/>
  <c r="B1995" i="4"/>
  <c r="B2000" i="4"/>
  <c r="C2000" i="4"/>
  <c r="C1994" i="4"/>
  <c r="C1995" i="4"/>
  <c r="B2004" i="4" l="1"/>
  <c r="B1999" i="4"/>
  <c r="B1998" i="4"/>
  <c r="C2004" i="4"/>
  <c r="C1998" i="4"/>
  <c r="C1999" i="4"/>
  <c r="B2002" i="4" l="1"/>
  <c r="C2008" i="4"/>
  <c r="B2008" i="4"/>
  <c r="B2003" i="4"/>
  <c r="C2002" i="4"/>
  <c r="C2003" i="4"/>
  <c r="B2012" i="4" l="1"/>
  <c r="B2007" i="4"/>
  <c r="B2006" i="4"/>
  <c r="C2006" i="4"/>
  <c r="C2012" i="4"/>
  <c r="C2007" i="4"/>
  <c r="B2010" i="4" l="1"/>
  <c r="B2016" i="4"/>
  <c r="B2011" i="4"/>
  <c r="C2010" i="4"/>
  <c r="C2011" i="4"/>
  <c r="C2016" i="4"/>
  <c r="B2015" i="4" l="1"/>
  <c r="B2020" i="4"/>
  <c r="B2014" i="4"/>
  <c r="C2014" i="4"/>
  <c r="C2015" i="4"/>
  <c r="C2020" i="4"/>
  <c r="B2018" i="4" l="1"/>
  <c r="B2024" i="4"/>
  <c r="B2019" i="4"/>
  <c r="C2024" i="4"/>
  <c r="C2019" i="4"/>
  <c r="C2018" i="4"/>
  <c r="B2023" i="4"/>
  <c r="B2022" i="4" l="1"/>
  <c r="B2028" i="4"/>
  <c r="C2023" i="4"/>
  <c r="C2028" i="4"/>
  <c r="C2022" i="4"/>
  <c r="B2032" i="4" l="1"/>
  <c r="B2026" i="4"/>
  <c r="B2027" i="4"/>
  <c r="C2027" i="4"/>
  <c r="C2032" i="4"/>
  <c r="C2026" i="4"/>
  <c r="B2030" i="4" l="1"/>
  <c r="B2048" i="4"/>
  <c r="C2031" i="4"/>
  <c r="B2031" i="4"/>
  <c r="C2030" i="4"/>
  <c r="C2048" i="4"/>
  <c r="B2052" i="4" l="1"/>
  <c r="B2047" i="4"/>
  <c r="B2046" i="4"/>
  <c r="C2047" i="4"/>
  <c r="C2046" i="4"/>
  <c r="C2052" i="4"/>
  <c r="B2050" i="4" l="1"/>
  <c r="B2051" i="4"/>
  <c r="B2056" i="4"/>
  <c r="C2050" i="4"/>
  <c r="C2056" i="4"/>
  <c r="C2051" i="4"/>
  <c r="B2054" i="4"/>
  <c r="B2055" i="4" l="1"/>
  <c r="B2060" i="4"/>
  <c r="C2060" i="4"/>
  <c r="C2055" i="4"/>
  <c r="C2054" i="4"/>
  <c r="B2058" i="4" l="1"/>
  <c r="B2064" i="4"/>
  <c r="B2059" i="4"/>
  <c r="C2058" i="4"/>
  <c r="C2064" i="4"/>
  <c r="C2059" i="4"/>
  <c r="C2068" i="4" l="1"/>
  <c r="B2068" i="4"/>
  <c r="B2062" i="4"/>
  <c r="B2063" i="4"/>
  <c r="C2062" i="4"/>
  <c r="C2063" i="4"/>
  <c r="B2066" i="4" l="1"/>
  <c r="B2067" i="4"/>
  <c r="C2066" i="4"/>
  <c r="C2067" i="4"/>
  <c r="C2308" i="4" l="1"/>
  <c r="B2308" i="4"/>
  <c r="B2307" i="4" l="1"/>
  <c r="B2306" i="4"/>
  <c r="B2312" i="4"/>
  <c r="C2306" i="4"/>
  <c r="C2312" i="4"/>
  <c r="C2307" i="4"/>
  <c r="B2311" i="4" l="1"/>
  <c r="B2310" i="4"/>
  <c r="B2316" i="4"/>
  <c r="C2316" i="4"/>
  <c r="C2310" i="4"/>
  <c r="C2311" i="4"/>
  <c r="B2315" i="4"/>
  <c r="B2320" i="4" l="1"/>
  <c r="B2314" i="4"/>
  <c r="C2320" i="4"/>
  <c r="C2315" i="4"/>
  <c r="C2314" i="4"/>
  <c r="B2318" i="4" l="1"/>
  <c r="B2319" i="4"/>
  <c r="B2324" i="4"/>
  <c r="C2324" i="4"/>
  <c r="C2318" i="4"/>
  <c r="C2319" i="4"/>
  <c r="B2328" i="4" l="1"/>
  <c r="B2322" i="4"/>
  <c r="B2323" i="4"/>
  <c r="C2322" i="4"/>
  <c r="C2323" i="4"/>
  <c r="C2328" i="4"/>
  <c r="B2327" i="4" l="1"/>
  <c r="B2332" i="4"/>
  <c r="B2326" i="4"/>
  <c r="C2326" i="4"/>
  <c r="C2332" i="4"/>
  <c r="C2327" i="4"/>
  <c r="C2331" i="4" l="1"/>
  <c r="B2331" i="4"/>
  <c r="C2336" i="4"/>
  <c r="B2336" i="4"/>
  <c r="B2330" i="4"/>
  <c r="C2330" i="4"/>
  <c r="B2340" i="4"/>
  <c r="B2334" i="4" l="1"/>
  <c r="C2335" i="4"/>
  <c r="B2335" i="4"/>
  <c r="C2334" i="4"/>
  <c r="C2340" i="4"/>
  <c r="C2338" i="4" l="1"/>
  <c r="B2338" i="4"/>
  <c r="B2344" i="4"/>
  <c r="B2339" i="4"/>
  <c r="C2344" i="4"/>
  <c r="C2339" i="4"/>
  <c r="C2348" i="4" l="1"/>
  <c r="B2348" i="4"/>
  <c r="B2343" i="4"/>
  <c r="B2342" i="4"/>
  <c r="C2343" i="4"/>
  <c r="C2342" i="4"/>
  <c r="B2347" i="4" l="1"/>
  <c r="B2352" i="4"/>
  <c r="B2346" i="4"/>
  <c r="C2347" i="4"/>
  <c r="C2352" i="4"/>
  <c r="C2346" i="4"/>
  <c r="B2350" i="4" l="1"/>
  <c r="B2351" i="4"/>
  <c r="C2356" i="4"/>
  <c r="B2356" i="4"/>
  <c r="C2350" i="4"/>
  <c r="C2351" i="4"/>
  <c r="B2354" i="4" l="1"/>
  <c r="B2360" i="4"/>
  <c r="B2355" i="4"/>
  <c r="C2355" i="4"/>
  <c r="C2354" i="4"/>
  <c r="C2360" i="4"/>
  <c r="B2358" i="4" l="1"/>
  <c r="B2359" i="4"/>
  <c r="C2359" i="4"/>
  <c r="C2358" i="4"/>
  <c r="B2632" i="4" l="1"/>
  <c r="C2632" i="4"/>
  <c r="B2636" i="4" l="1"/>
  <c r="C51" i="4"/>
  <c r="B51" i="4"/>
  <c r="C46" i="4"/>
  <c r="B46" i="4"/>
  <c r="B130" i="4"/>
  <c r="B167" i="4"/>
  <c r="B260" i="4"/>
  <c r="B654" i="4"/>
  <c r="B114" i="4"/>
  <c r="B334" i="4"/>
  <c r="B292" i="4"/>
  <c r="B623" i="4"/>
  <c r="B402" i="4"/>
  <c r="B250" i="4"/>
  <c r="B216" i="4"/>
  <c r="B199" i="4"/>
  <c r="B698" i="4"/>
  <c r="B743" i="4"/>
  <c r="B776" i="4"/>
  <c r="B839" i="4"/>
  <c r="B903" i="4"/>
  <c r="B955" i="4"/>
  <c r="B984" i="4"/>
  <c r="B1039" i="4"/>
  <c r="B1087" i="4"/>
  <c r="B1103" i="4"/>
  <c r="B1139" i="4"/>
  <c r="B1220" i="4"/>
  <c r="B1270" i="4"/>
  <c r="B1291" i="4"/>
  <c r="B1356" i="4"/>
  <c r="B1398" i="4"/>
  <c r="B1434" i="4"/>
  <c r="B1487" i="4"/>
  <c r="B1512" i="4"/>
  <c r="B1546" i="4"/>
  <c r="B1638" i="4"/>
  <c r="B1675" i="4"/>
  <c r="B1702" i="4"/>
  <c r="B1811" i="4"/>
  <c r="B1852" i="4"/>
  <c r="B1890" i="4"/>
  <c r="B1976" i="4"/>
  <c r="B2076" i="4"/>
  <c r="B2155" i="4"/>
  <c r="B2195" i="4"/>
  <c r="B2236" i="4"/>
  <c r="B2295" i="4"/>
  <c r="B2416" i="4"/>
  <c r="B2455" i="4"/>
  <c r="B2475" i="4"/>
  <c r="B2527" i="4"/>
  <c r="B2554" i="4"/>
  <c r="B2590" i="4"/>
  <c r="B2607" i="4"/>
  <c r="B72" i="4"/>
  <c r="B76" i="4"/>
  <c r="B156" i="4"/>
  <c r="B604" i="4"/>
  <c r="B92" i="4"/>
  <c r="B204" i="4"/>
  <c r="B588" i="4"/>
  <c r="B448" i="4"/>
  <c r="B624" i="4"/>
  <c r="B400" i="4"/>
  <c r="B403" i="4"/>
  <c r="B615" i="4"/>
  <c r="B636" i="4"/>
  <c r="B474" i="4"/>
  <c r="B744" i="4"/>
  <c r="B787" i="4"/>
  <c r="B824" i="4"/>
  <c r="B880" i="4"/>
  <c r="B930" i="4"/>
  <c r="B992" i="4"/>
  <c r="B1042" i="4"/>
  <c r="B1078" i="4"/>
  <c r="B1147" i="4"/>
  <c r="B1192" i="4"/>
  <c r="B1210" i="4"/>
  <c r="B1234" i="4"/>
  <c r="B1275" i="4"/>
  <c r="B1315" i="4"/>
  <c r="B1350" i="4"/>
  <c r="B1372" i="4"/>
  <c r="B1387" i="4"/>
  <c r="B1402" i="4"/>
  <c r="B1455" i="4"/>
  <c r="B1478" i="4"/>
  <c r="B1532" i="4"/>
  <c r="B1608" i="4"/>
  <c r="B1646" i="4"/>
  <c r="B1670" i="4"/>
  <c r="B1694" i="4"/>
  <c r="B1762" i="4"/>
  <c r="B1784" i="4"/>
  <c r="B1822" i="4"/>
  <c r="B1880" i="4"/>
  <c r="B1924" i="4"/>
  <c r="B2035" i="4"/>
  <c r="B2119" i="4"/>
  <c r="B2168" i="4"/>
  <c r="B2183" i="4"/>
  <c r="B2234" i="4"/>
  <c r="B2364" i="4"/>
  <c r="B2403" i="4"/>
  <c r="B2463" i="4"/>
  <c r="B2500" i="4"/>
  <c r="B2536" i="4"/>
  <c r="B2548" i="4"/>
  <c r="B2582" i="4"/>
  <c r="B138" i="4"/>
  <c r="B122" i="4"/>
  <c r="B614" i="4"/>
  <c r="B332" i="4"/>
  <c r="B240" i="4"/>
  <c r="B688" i="4"/>
  <c r="B116" i="4"/>
  <c r="B84" i="4"/>
  <c r="B135" i="4"/>
  <c r="B610" i="4"/>
  <c r="B410" i="4"/>
  <c r="B631" i="4"/>
  <c r="B431" i="4"/>
  <c r="B508" i="4"/>
  <c r="B712" i="4"/>
  <c r="B607" i="4"/>
  <c r="B182" i="4"/>
  <c r="B683" i="4"/>
  <c r="B716" i="4"/>
  <c r="B752" i="4"/>
  <c r="B790" i="4"/>
  <c r="B860" i="4"/>
  <c r="B896" i="4"/>
  <c r="B920" i="4"/>
  <c r="B966" i="4"/>
  <c r="B1024" i="4"/>
  <c r="B1046" i="4"/>
  <c r="B1083" i="4"/>
  <c r="B1128" i="4"/>
  <c r="B1156" i="4"/>
  <c r="B1174" i="4"/>
  <c r="B1258" i="4"/>
  <c r="B1287" i="4"/>
  <c r="B1344" i="4"/>
  <c r="B1368" i="4"/>
  <c r="B1419" i="4"/>
  <c r="B1443" i="4"/>
  <c r="B1494" i="4"/>
  <c r="B1558" i="4"/>
  <c r="B1620" i="4"/>
  <c r="B1631" i="4"/>
  <c r="B1678" i="4"/>
  <c r="B1711" i="4"/>
  <c r="B1807" i="4"/>
  <c r="B1847" i="4"/>
  <c r="B1888" i="4"/>
  <c r="B1919" i="4"/>
  <c r="B1971" i="4"/>
  <c r="B2086" i="4"/>
  <c r="B2138" i="4"/>
  <c r="B2160" i="4"/>
  <c r="B2188" i="4"/>
  <c r="B2248" i="4"/>
  <c r="B2268" i="4"/>
  <c r="B2380" i="4"/>
  <c r="B2399" i="4"/>
  <c r="B2434" i="4"/>
  <c r="B2483" i="4"/>
  <c r="B2532" i="4"/>
  <c r="B2567" i="4"/>
  <c r="B2610" i="4"/>
  <c r="B134" i="4"/>
  <c r="B98" i="4"/>
  <c r="B115" i="4"/>
  <c r="B300" i="4"/>
  <c r="B256" i="4"/>
  <c r="B343" i="4"/>
  <c r="B158" i="4"/>
  <c r="B259" i="4"/>
  <c r="B159" i="4"/>
  <c r="B567" i="4"/>
  <c r="B348" i="4"/>
  <c r="B512" i="4"/>
  <c r="B458" i="4"/>
  <c r="B299" i="4"/>
  <c r="B503" i="4"/>
  <c r="B732" i="4"/>
  <c r="B771" i="4"/>
  <c r="B807" i="4"/>
  <c r="B863" i="4"/>
  <c r="B899" i="4"/>
  <c r="B947" i="4"/>
  <c r="B963" i="4"/>
  <c r="B991" i="4"/>
  <c r="B1026" i="4"/>
  <c r="B1080" i="4"/>
  <c r="B1099" i="4"/>
  <c r="B1122" i="4"/>
  <c r="B1204" i="4"/>
  <c r="B1244" i="4"/>
  <c r="B1262" i="4"/>
  <c r="B1290" i="4"/>
  <c r="B1322" i="4"/>
  <c r="B1378" i="4"/>
  <c r="B1403" i="4"/>
  <c r="B1506" i="4"/>
  <c r="B1548" i="4"/>
  <c r="B1579" i="4"/>
  <c r="B1642" i="4"/>
  <c r="B1671" i="4"/>
  <c r="B1763" i="4"/>
  <c r="B1800" i="4"/>
  <c r="B1834" i="4"/>
  <c r="B1866" i="4"/>
  <c r="B1915" i="4"/>
  <c r="B2040" i="4"/>
  <c r="B2100" i="4"/>
  <c r="B2142" i="4"/>
  <c r="B2176" i="4"/>
  <c r="B2222" i="4"/>
  <c r="B2276" i="4"/>
  <c r="B2367" i="4"/>
  <c r="B2404" i="4"/>
  <c r="B2422" i="4"/>
  <c r="B2471" i="4"/>
  <c r="B2496" i="4"/>
  <c r="B398" i="4"/>
  <c r="B468" i="4"/>
  <c r="B254" i="4"/>
  <c r="B611" i="4"/>
  <c r="B352" i="4"/>
  <c r="B407" i="4"/>
  <c r="B340" i="4"/>
  <c r="B472" i="4"/>
  <c r="B692" i="4"/>
  <c r="B478" i="4"/>
  <c r="B680" i="4"/>
  <c r="B496" i="4"/>
  <c r="B464" i="4"/>
  <c r="B548" i="4"/>
  <c r="B416" i="4"/>
  <c r="B540" i="4"/>
  <c r="B418" i="4"/>
  <c r="B723" i="4"/>
  <c r="B779" i="4"/>
  <c r="B838" i="4"/>
  <c r="B874" i="4"/>
  <c r="B898" i="4"/>
  <c r="B943" i="4"/>
  <c r="B994" i="4"/>
  <c r="B1052" i="4"/>
  <c r="B1086" i="4"/>
  <c r="B1115" i="4"/>
  <c r="B1150" i="4"/>
  <c r="B1194" i="4"/>
  <c r="B1226" i="4"/>
  <c r="B1272" i="4"/>
  <c r="B1319" i="4"/>
  <c r="B1351" i="4"/>
  <c r="B1410" i="4"/>
  <c r="B1423" i="4"/>
  <c r="B1459" i="4"/>
  <c r="B1511" i="4"/>
  <c r="B1576" i="4"/>
  <c r="B1602" i="4"/>
  <c r="B1752" i="4"/>
  <c r="B1766" i="4"/>
  <c r="B1836" i="4"/>
  <c r="B1863" i="4"/>
  <c r="B1930" i="4"/>
  <c r="B1955" i="4"/>
  <c r="B2072" i="4"/>
  <c r="B2106" i="4"/>
  <c r="B2190" i="4"/>
  <c r="B2214" i="4"/>
  <c r="B2246" i="4"/>
  <c r="B2282" i="4"/>
  <c r="B2362" i="4"/>
  <c r="B2396" i="4"/>
  <c r="B2452" i="4"/>
  <c r="B2508" i="4"/>
  <c r="B2544" i="4"/>
  <c r="B2587" i="4"/>
  <c r="B727" i="4"/>
  <c r="B531" i="4"/>
  <c r="B120" i="4"/>
  <c r="B55" i="4"/>
  <c r="B480" i="4"/>
  <c r="B232" i="4"/>
  <c r="B519" i="4"/>
  <c r="B276" i="4"/>
  <c r="B359" i="4"/>
  <c r="B326" i="4"/>
  <c r="B119" i="4"/>
  <c r="B479" i="4"/>
  <c r="B211" i="4"/>
  <c r="B583" i="4"/>
  <c r="B526" i="4"/>
  <c r="B706" i="4"/>
  <c r="B618" i="4"/>
  <c r="B714" i="4"/>
  <c r="B767" i="4"/>
  <c r="B808" i="4"/>
  <c r="B848" i="4"/>
  <c r="B883" i="4"/>
  <c r="B927" i="4"/>
  <c r="B9" i="4"/>
  <c r="B990" i="4"/>
  <c r="B1007" i="4"/>
  <c r="B1032" i="4"/>
  <c r="B1118" i="4"/>
  <c r="B1155" i="4"/>
  <c r="B1180" i="4"/>
  <c r="B1208" i="4"/>
  <c r="B1328" i="4"/>
  <c r="B1370" i="4"/>
  <c r="B1420" i="4"/>
  <c r="B1471" i="4"/>
  <c r="B1528" i="4"/>
  <c r="B1580" i="4"/>
  <c r="B1587" i="4"/>
  <c r="B1619" i="4"/>
  <c r="B1666" i="4"/>
  <c r="B1706" i="4"/>
  <c r="B1775" i="4"/>
  <c r="B1830" i="4"/>
  <c r="B1871" i="4"/>
  <c r="B1908" i="4"/>
  <c r="B1940" i="4"/>
  <c r="B1968" i="4"/>
  <c r="B2099" i="4"/>
  <c r="B2132" i="4"/>
  <c r="B2154" i="4"/>
  <c r="B2215" i="4"/>
  <c r="B2242" i="4"/>
  <c r="B2296" i="4"/>
  <c r="B2363" i="4"/>
  <c r="B2391" i="4"/>
  <c r="B2450" i="4"/>
  <c r="B2495" i="4"/>
  <c r="B2523" i="4"/>
  <c r="B2572" i="4"/>
  <c r="B2586" i="4"/>
  <c r="B2598" i="4"/>
  <c r="B2618" i="4"/>
  <c r="B331" i="4"/>
  <c r="B180" i="4"/>
  <c r="B442" i="4"/>
  <c r="B178" i="4"/>
  <c r="B148" i="4"/>
  <c r="B190" i="4"/>
  <c r="B214" i="4"/>
  <c r="B266" i="4"/>
  <c r="B207" i="4"/>
  <c r="B426" i="4"/>
  <c r="B484" i="4"/>
  <c r="B318" i="4"/>
  <c r="B587" i="4"/>
  <c r="B294" i="4"/>
  <c r="B395" i="4"/>
  <c r="B778" i="4"/>
  <c r="B806" i="4"/>
  <c r="B831" i="4"/>
  <c r="B864" i="4"/>
  <c r="B940" i="4"/>
  <c r="B975" i="4"/>
  <c r="B1028" i="4"/>
  <c r="B1063" i="4"/>
  <c r="B1094" i="4"/>
  <c r="B1138" i="4"/>
  <c r="B1170" i="4"/>
  <c r="B1198" i="4"/>
  <c r="B1235" i="4"/>
  <c r="B1307" i="4"/>
  <c r="B1354" i="4"/>
  <c r="B1388" i="4"/>
  <c r="B1426" i="4"/>
  <c r="B1447" i="4"/>
  <c r="B1507" i="4"/>
  <c r="B1530" i="4"/>
  <c r="B1564" i="4"/>
  <c r="B1591" i="4"/>
  <c r="B1610" i="4"/>
  <c r="B1634" i="4"/>
  <c r="B1668" i="4"/>
  <c r="B1710" i="4"/>
  <c r="B1774" i="4"/>
  <c r="B1798" i="4"/>
  <c r="B1826" i="4"/>
  <c r="B1859" i="4"/>
  <c r="B1931" i="4"/>
  <c r="B1967" i="4"/>
  <c r="B2084" i="4"/>
  <c r="B2114" i="4"/>
  <c r="B2147" i="4"/>
  <c r="B2203" i="4"/>
  <c r="B2255" i="4"/>
  <c r="B2302" i="4"/>
  <c r="B2412" i="4"/>
  <c r="B2426" i="4"/>
  <c r="B2503" i="4"/>
  <c r="B2555" i="4"/>
  <c r="B2612" i="4"/>
  <c r="B308" i="4"/>
  <c r="B60" i="4"/>
  <c r="B172" i="4"/>
  <c r="B186" i="4"/>
  <c r="B160" i="4"/>
  <c r="B338" i="4"/>
  <c r="B419" i="4"/>
  <c r="B179" i="4"/>
  <c r="B483" i="4"/>
  <c r="B220" i="4"/>
  <c r="B666" i="4"/>
  <c r="B702" i="4"/>
  <c r="B440" i="4"/>
  <c r="B538" i="4"/>
  <c r="B646" i="4"/>
  <c r="B736" i="4"/>
  <c r="B759" i="4"/>
  <c r="B802" i="4"/>
  <c r="B830" i="4"/>
  <c r="B866" i="4"/>
  <c r="B911" i="4"/>
  <c r="B923" i="4"/>
  <c r="B1006" i="4"/>
  <c r="B1076" i="4"/>
  <c r="B1183" i="4"/>
  <c r="B1228" i="4"/>
  <c r="B1254" i="4"/>
  <c r="B1296" i="4"/>
  <c r="B1324" i="4"/>
  <c r="B1446" i="4"/>
  <c r="B1468" i="4"/>
  <c r="B1496" i="4"/>
  <c r="B1534" i="4"/>
  <c r="B1578" i="4"/>
  <c r="B1612" i="4"/>
  <c r="B1691" i="4"/>
  <c r="B1743" i="4"/>
  <c r="B1780" i="4"/>
  <c r="B1803" i="4"/>
  <c r="B1855" i="4"/>
  <c r="B1895" i="4"/>
  <c r="B1928" i="4"/>
  <c r="B1956" i="4"/>
  <c r="B2079" i="4"/>
  <c r="B2116" i="4"/>
  <c r="B2134" i="4"/>
  <c r="B2179" i="4"/>
  <c r="B2228" i="4"/>
  <c r="B2274" i="4"/>
  <c r="B2398" i="4"/>
  <c r="B2458" i="4"/>
  <c r="B2499" i="4"/>
  <c r="B2591" i="4"/>
  <c r="B2630" i="4"/>
  <c r="B2626" i="4"/>
  <c r="B147" i="4"/>
  <c r="B498" i="4"/>
  <c r="B278" i="4"/>
  <c r="B580" i="4"/>
  <c r="B355" i="4"/>
  <c r="B598" i="4"/>
  <c r="B310" i="4"/>
  <c r="B306" i="4"/>
  <c r="B428" i="4"/>
  <c r="B408" i="4"/>
  <c r="B555" i="4"/>
  <c r="B586" i="4"/>
  <c r="B375" i="4"/>
  <c r="B720" i="4"/>
  <c r="B754" i="4"/>
  <c r="B800" i="4"/>
  <c r="B867" i="4"/>
  <c r="B926" i="4"/>
  <c r="B958" i="4"/>
  <c r="B979" i="4"/>
  <c r="B1068" i="4"/>
  <c r="B1092" i="4"/>
  <c r="B1110" i="4"/>
  <c r="B1152" i="4"/>
  <c r="B1232" i="4"/>
  <c r="B1284" i="4"/>
  <c r="B1294" i="4"/>
  <c r="B1360" i="4"/>
  <c r="B1416" i="4"/>
  <c r="B1464" i="4"/>
  <c r="B1490" i="4"/>
  <c r="B1510" i="4"/>
  <c r="B1566" i="4"/>
  <c r="B1644" i="4"/>
  <c r="B1687" i="4"/>
  <c r="B1712" i="4"/>
  <c r="B1824" i="4"/>
  <c r="B1867" i="4"/>
  <c r="B1902" i="4"/>
  <c r="B1974" i="4"/>
  <c r="B2088" i="4"/>
  <c r="B2158" i="4"/>
  <c r="B2210" i="4"/>
  <c r="B2251" i="4"/>
  <c r="B2371" i="4"/>
  <c r="B2415" i="4"/>
  <c r="B2454" i="4"/>
  <c r="B2490" i="4"/>
  <c r="B2530" i="4"/>
  <c r="B2562" i="4"/>
  <c r="B2600" i="4"/>
  <c r="B2506" i="4"/>
  <c r="B251" i="4"/>
  <c r="B56" i="4"/>
  <c r="B376" i="4"/>
  <c r="B323" i="4"/>
  <c r="B572" i="4"/>
  <c r="B358" i="4"/>
  <c r="B388" i="4"/>
  <c r="B515" i="4"/>
  <c r="B368" i="4"/>
  <c r="B396" i="4"/>
  <c r="B491" i="4"/>
  <c r="B670" i="4"/>
  <c r="B68" i="4"/>
  <c r="B554" i="4"/>
  <c r="B747" i="4"/>
  <c r="B804" i="4"/>
  <c r="B852" i="4"/>
  <c r="B887" i="4"/>
  <c r="B934" i="4"/>
  <c r="B1018" i="4"/>
  <c r="B1051" i="4"/>
  <c r="B1088" i="4"/>
  <c r="B1151" i="4"/>
  <c r="B1187" i="4"/>
  <c r="B1223" i="4"/>
  <c r="B1260" i="4"/>
  <c r="B1304" i="4"/>
  <c r="B1318" i="4"/>
  <c r="B1363" i="4"/>
  <c r="B1371" i="4"/>
  <c r="B1392" i="4"/>
  <c r="B1428" i="4"/>
  <c r="B1462" i="4"/>
  <c r="B1500" i="4"/>
  <c r="B1570" i="4"/>
  <c r="B1627" i="4"/>
  <c r="B1650" i="4"/>
  <c r="B1679" i="4"/>
  <c r="B1748" i="4"/>
  <c r="B1758" i="4"/>
  <c r="B1783" i="4"/>
  <c r="B1844" i="4"/>
  <c r="B1884" i="4"/>
  <c r="B1918" i="4"/>
  <c r="B2074" i="4"/>
  <c r="B2122" i="4"/>
  <c r="B2166" i="4"/>
  <c r="B2186" i="4"/>
  <c r="B2250" i="4"/>
  <c r="B2368" i="4"/>
  <c r="B2431" i="4"/>
  <c r="B2472" i="4"/>
  <c r="B2498" i="4"/>
  <c r="B2534" i="4"/>
  <c r="B2550" i="4"/>
  <c r="B2571" i="4"/>
  <c r="B140" i="4"/>
  <c r="B219" i="4"/>
  <c r="B295" i="4"/>
  <c r="B490" i="4"/>
  <c r="B78" i="4"/>
  <c r="B247" i="4"/>
  <c r="B164" i="4"/>
  <c r="B672" i="4"/>
  <c r="B327" i="4"/>
  <c r="B627" i="4"/>
  <c r="B342" i="4"/>
  <c r="B551" i="4"/>
  <c r="B488" i="4"/>
  <c r="B499" i="4"/>
  <c r="B568" i="4"/>
  <c r="B399" i="4"/>
  <c r="B492" i="4"/>
  <c r="B386" i="4"/>
  <c r="B734" i="4"/>
  <c r="B755" i="4"/>
  <c r="B792" i="4"/>
  <c r="B875" i="4"/>
  <c r="B895" i="4"/>
  <c r="B924" i="4"/>
  <c r="B967" i="4"/>
  <c r="B1022" i="4"/>
  <c r="B1050" i="4"/>
  <c r="B1102" i="4"/>
  <c r="B1127" i="4"/>
  <c r="B1159" i="4"/>
  <c r="B1202" i="4"/>
  <c r="B1276" i="4"/>
  <c r="B1300" i="4"/>
  <c r="B1330" i="4"/>
  <c r="B1400" i="4"/>
  <c r="B1436" i="4"/>
  <c r="B1452" i="4"/>
  <c r="B1527" i="4"/>
  <c r="B1567" i="4"/>
  <c r="B1624" i="4"/>
  <c r="B1639" i="4"/>
  <c r="B1682" i="4"/>
  <c r="B1764" i="4"/>
  <c r="B1818" i="4"/>
  <c r="B1872" i="4"/>
  <c r="B1896" i="4"/>
  <c r="B1932" i="4"/>
  <c r="B17" i="4"/>
  <c r="B2096" i="4"/>
  <c r="B2148" i="4"/>
  <c r="B2164" i="4"/>
  <c r="B2192" i="4"/>
  <c r="B2256" i="4"/>
  <c r="B2271" i="4"/>
  <c r="B2384" i="4"/>
  <c r="B2408" i="4"/>
  <c r="B2474" i="4"/>
  <c r="B2488" i="4"/>
  <c r="B2540" i="4"/>
  <c r="B2579" i="4"/>
  <c r="B2623" i="4"/>
  <c r="B296" i="4"/>
  <c r="B154" i="4"/>
  <c r="B107" i="4"/>
  <c r="B362" i="4"/>
  <c r="B500" i="4"/>
  <c r="B371" i="4"/>
  <c r="B226" i="4"/>
  <c r="B218" i="4"/>
  <c r="B391" i="4"/>
  <c r="B535" i="4"/>
  <c r="B528" i="4"/>
  <c r="B476" i="4"/>
  <c r="B319" i="4"/>
  <c r="B559" i="4"/>
  <c r="B708" i="4"/>
  <c r="B756" i="4"/>
  <c r="B774" i="4"/>
  <c r="B823" i="4"/>
  <c r="B878" i="4"/>
  <c r="B908" i="4"/>
  <c r="B951" i="4"/>
  <c r="B970" i="4"/>
  <c r="B995" i="4"/>
  <c r="B1034" i="4"/>
  <c r="B1096" i="4"/>
  <c r="B1112" i="4"/>
  <c r="B1144" i="4"/>
  <c r="B1215" i="4"/>
  <c r="B1243" i="4"/>
  <c r="B1274" i="4"/>
  <c r="B1303" i="4"/>
  <c r="B1340" i="4"/>
  <c r="B1391" i="4"/>
  <c r="B1415" i="4"/>
  <c r="B1520" i="4"/>
  <c r="B1556" i="4"/>
  <c r="B1594" i="4"/>
  <c r="B1647" i="4"/>
  <c r="B1674" i="4"/>
  <c r="B13" i="4"/>
  <c r="B1799" i="4"/>
  <c r="B1839" i="4"/>
  <c r="B1874" i="4"/>
  <c r="B1935" i="4"/>
  <c r="B2042" i="4"/>
  <c r="B2123" i="4"/>
  <c r="B2162" i="4"/>
  <c r="B2204" i="4"/>
  <c r="B2226" i="4"/>
  <c r="B2288" i="4"/>
  <c r="B2375" i="4"/>
  <c r="B2414" i="4"/>
  <c r="B2430" i="4"/>
  <c r="B2484" i="4"/>
  <c r="B2583" i="4"/>
  <c r="B110" i="4"/>
  <c r="B356" i="4"/>
  <c r="B67" i="4"/>
  <c r="B523" i="4"/>
  <c r="B102" i="4"/>
  <c r="B648" i="4"/>
  <c r="B652" i="4"/>
  <c r="B111" i="4"/>
  <c r="B564" i="4"/>
  <c r="B390" i="4"/>
  <c r="B527" i="4"/>
  <c r="B676" i="4"/>
  <c r="B427" i="4"/>
  <c r="B674" i="4"/>
  <c r="B350" i="4"/>
  <c r="B70" i="4"/>
  <c r="B502" i="4"/>
  <c r="B728" i="4"/>
  <c r="B799" i="4"/>
  <c r="B842" i="4"/>
  <c r="B879" i="4"/>
  <c r="B912" i="4"/>
  <c r="B960" i="4"/>
  <c r="B1008" i="4"/>
  <c r="B1047" i="4"/>
  <c r="B1104" i="4"/>
  <c r="B1123" i="4"/>
  <c r="B1166" i="4"/>
  <c r="B1195" i="4"/>
  <c r="B1242" i="4"/>
  <c r="B1280" i="4"/>
  <c r="B1335" i="4"/>
  <c r="B1382" i="4"/>
  <c r="B1411" i="4"/>
  <c r="B1431" i="4"/>
  <c r="B1492" i="4"/>
  <c r="B1535" i="4"/>
  <c r="B1572" i="4"/>
  <c r="B1607" i="4"/>
  <c r="B1750" i="4"/>
  <c r="B1782" i="4"/>
  <c r="B1843" i="4"/>
  <c r="B1894" i="4"/>
  <c r="B1934" i="4"/>
  <c r="B1964" i="4"/>
  <c r="B2075" i="4"/>
  <c r="B2118" i="4"/>
  <c r="B2200" i="4"/>
  <c r="B2230" i="4"/>
  <c r="B2247" i="4"/>
  <c r="B2292" i="4"/>
  <c r="B2376" i="4"/>
  <c r="B2428" i="4"/>
  <c r="B2468" i="4"/>
  <c r="B2510" i="4"/>
  <c r="B2552" i="4"/>
  <c r="B2594" i="4"/>
  <c r="B224" i="4"/>
  <c r="B663" i="4"/>
  <c r="B231" i="4"/>
  <c r="B99" i="4"/>
  <c r="B222" i="4"/>
  <c r="B88" i="4"/>
  <c r="B90" i="4"/>
  <c r="B516" i="4"/>
  <c r="B291" i="4"/>
  <c r="B700" i="4"/>
  <c r="B347" i="4"/>
  <c r="B272" i="4"/>
  <c r="B634" i="4"/>
  <c r="B694" i="4"/>
  <c r="B668" i="4"/>
  <c r="B707" i="4"/>
  <c r="B131" i="4"/>
  <c r="B715" i="4"/>
  <c r="B780" i="4"/>
  <c r="B828" i="4"/>
  <c r="B846" i="4"/>
  <c r="B904" i="4"/>
  <c r="B931" i="4"/>
  <c r="B978" i="4"/>
  <c r="B1000" i="4"/>
  <c r="B1010" i="4"/>
  <c r="B1040" i="4"/>
  <c r="B1126" i="4"/>
  <c r="B1158" i="4"/>
  <c r="B1182" i="4"/>
  <c r="B1218" i="4"/>
  <c r="B1332" i="4"/>
  <c r="B1367" i="4"/>
  <c r="B1448" i="4"/>
  <c r="B1475" i="4"/>
  <c r="B1531" i="4"/>
  <c r="B1574" i="4"/>
  <c r="B1604" i="4"/>
  <c r="B1632" i="4"/>
  <c r="B1688" i="4"/>
  <c r="B1744" i="4"/>
  <c r="B1788" i="4"/>
  <c r="B1840" i="4"/>
  <c r="B1887" i="4"/>
  <c r="B1912" i="4"/>
  <c r="B1942" i="4"/>
  <c r="B1962" i="4"/>
  <c r="B2112" i="4"/>
  <c r="B2140" i="4"/>
  <c r="B2202" i="4"/>
  <c r="B2227" i="4"/>
  <c r="B2254" i="4"/>
  <c r="B2294" i="4"/>
  <c r="B2378" i="4"/>
  <c r="B2410" i="4"/>
  <c r="B2462" i="4"/>
  <c r="B2511" i="4"/>
  <c r="B2547" i="4"/>
  <c r="B2576" i="4"/>
  <c r="B2599" i="4"/>
  <c r="B2546" i="4"/>
  <c r="B2622" i="4"/>
  <c r="B628" i="4"/>
  <c r="B152" i="4"/>
  <c r="B280" i="4"/>
  <c r="B174" i="4"/>
  <c r="B244" i="4"/>
  <c r="B415" i="4"/>
  <c r="B594" i="4"/>
  <c r="B539" i="4"/>
  <c r="B192" i="4"/>
  <c r="B596" i="4"/>
  <c r="B467" i="4"/>
  <c r="B650" i="4"/>
  <c r="B335" i="4"/>
  <c r="B710" i="4"/>
  <c r="B726" i="4"/>
  <c r="B783" i="4"/>
  <c r="B803" i="4"/>
  <c r="B836" i="4"/>
  <c r="B872" i="4"/>
  <c r="B950" i="4"/>
  <c r="B982" i="4"/>
  <c r="B1036" i="4"/>
  <c r="B1062" i="4"/>
  <c r="B1116" i="4"/>
  <c r="B1143" i="4"/>
  <c r="B1178" i="4"/>
  <c r="B1203" i="4"/>
  <c r="B1252" i="4"/>
  <c r="B1316" i="4"/>
  <c r="B1366" i="4"/>
  <c r="B1408" i="4"/>
  <c r="B1435" i="4"/>
  <c r="B1476" i="4"/>
  <c r="B1524" i="4"/>
  <c r="B1526" i="4"/>
  <c r="B1563" i="4"/>
  <c r="B1595" i="4"/>
  <c r="B1615" i="4"/>
  <c r="B1648" i="4"/>
  <c r="B1680" i="4"/>
  <c r="B1746" i="4"/>
  <c r="B1778" i="4"/>
  <c r="B1808" i="4"/>
  <c r="B1832" i="4"/>
  <c r="B1879" i="4"/>
  <c r="B1938" i="4"/>
  <c r="B1966" i="4"/>
  <c r="B2082" i="4"/>
  <c r="B2128" i="4"/>
  <c r="B2175" i="4"/>
  <c r="B2212" i="4"/>
  <c r="B2262" i="4"/>
  <c r="B2370" i="4"/>
  <c r="B2420" i="4"/>
  <c r="B2438" i="4"/>
  <c r="B2516" i="4"/>
  <c r="B2568" i="4"/>
  <c r="B2619" i="4"/>
  <c r="B80" i="4"/>
  <c r="B91" i="4"/>
  <c r="B510" i="4"/>
  <c r="B675" i="4"/>
  <c r="B411" i="4"/>
  <c r="B424" i="4"/>
  <c r="B302" i="4"/>
  <c r="B324" i="4"/>
  <c r="B475" i="4"/>
  <c r="B638" i="4"/>
  <c r="B311" i="4"/>
  <c r="B511" i="4"/>
  <c r="B372" i="4"/>
  <c r="B576" i="4"/>
  <c r="B494" i="4"/>
  <c r="B763" i="4"/>
  <c r="B762" i="4"/>
  <c r="B815" i="4"/>
  <c r="B843" i="4"/>
  <c r="B870" i="4"/>
  <c r="B916" i="4"/>
  <c r="B938" i="4"/>
  <c r="B1020" i="4"/>
  <c r="B1074" i="4"/>
  <c r="B1188" i="4"/>
  <c r="B1230" i="4"/>
  <c r="B1264" i="4"/>
  <c r="B1308" i="4"/>
  <c r="B1359" i="4"/>
  <c r="B1451" i="4"/>
  <c r="B1466" i="4"/>
  <c r="B1498" i="4"/>
  <c r="B1555" i="4"/>
  <c r="B1584" i="4"/>
  <c r="B1614" i="4"/>
  <c r="B1695" i="4"/>
  <c r="B1742" i="4"/>
  <c r="B1792" i="4"/>
  <c r="B1812" i="4"/>
  <c r="B1858" i="4"/>
  <c r="B1916" i="4"/>
  <c r="B1922" i="4"/>
  <c r="B1960" i="4"/>
  <c r="B2091" i="4"/>
  <c r="B2111" i="4"/>
  <c r="B2150" i="4"/>
  <c r="B2182" i="4"/>
  <c r="B2232" i="4"/>
  <c r="B2278" i="4"/>
  <c r="B2402" i="4"/>
  <c r="B2464" i="4"/>
  <c r="B2520" i="4"/>
  <c r="C48" i="4"/>
  <c r="B48" i="4"/>
  <c r="B2631" i="4"/>
  <c r="B2616" i="4"/>
  <c r="B58" i="4"/>
  <c r="B79" i="4"/>
  <c r="B322" i="4"/>
  <c r="B339" i="4"/>
  <c r="B202" i="4"/>
  <c r="B344" i="4"/>
  <c r="B163" i="4"/>
  <c r="B574" i="4"/>
  <c r="B550" i="4"/>
  <c r="B671" i="4"/>
  <c r="B298" i="4"/>
  <c r="B443" i="4"/>
  <c r="B447" i="4"/>
  <c r="B719" i="4"/>
  <c r="B760" i="4"/>
  <c r="B810" i="4"/>
  <c r="B876" i="4"/>
  <c r="B944" i="4"/>
  <c r="B971" i="4"/>
  <c r="B1016" i="4"/>
  <c r="B1067" i="4"/>
  <c r="B1090" i="4"/>
  <c r="B1119" i="4"/>
  <c r="B1207" i="4"/>
  <c r="B1227" i="4"/>
  <c r="B1283" i="4"/>
  <c r="B1347" i="4"/>
  <c r="B1358" i="4"/>
  <c r="B1422" i="4"/>
  <c r="B1484" i="4"/>
  <c r="B1495" i="4"/>
  <c r="B1514" i="4"/>
  <c r="B1582" i="4"/>
  <c r="B1664" i="4"/>
  <c r="B1698" i="4"/>
  <c r="B1715" i="4"/>
  <c r="B1828" i="4"/>
  <c r="B1878" i="4"/>
  <c r="B1926" i="4"/>
  <c r="B2034" i="4"/>
  <c r="B2107" i="4"/>
  <c r="B2184" i="4"/>
  <c r="B2218" i="4"/>
  <c r="B2264" i="4"/>
  <c r="B2390" i="4"/>
  <c r="B2432" i="4"/>
  <c r="B2460" i="4"/>
  <c r="B2507" i="4"/>
  <c r="B2539" i="4"/>
  <c r="B2580" i="4"/>
  <c r="B2602" i="4"/>
  <c r="B2559" i="4"/>
  <c r="B234" i="4"/>
  <c r="B504" i="4"/>
  <c r="B446" i="4"/>
  <c r="B188" i="4"/>
  <c r="B423" i="4"/>
  <c r="B595" i="4"/>
  <c r="B536" i="4"/>
  <c r="B383" i="4"/>
  <c r="B392" i="4"/>
  <c r="B582" i="4"/>
  <c r="B532" i="4"/>
  <c r="B695" i="4"/>
  <c r="B320" i="4"/>
  <c r="B602" i="4"/>
  <c r="B751" i="4"/>
  <c r="B812" i="4"/>
  <c r="B858" i="4"/>
  <c r="B894" i="4"/>
  <c r="B954" i="4"/>
  <c r="B1044" i="4"/>
  <c r="B1066" i="4"/>
  <c r="B1095" i="4"/>
  <c r="B1184" i="4"/>
  <c r="B1200" i="4"/>
  <c r="B1236" i="4"/>
  <c r="B1268" i="4"/>
  <c r="B1299" i="4"/>
  <c r="B1327" i="4"/>
  <c r="B1364" i="4"/>
  <c r="B1380" i="4"/>
  <c r="B1390" i="4"/>
  <c r="B1427" i="4"/>
  <c r="B1467" i="4"/>
  <c r="B1515" i="4"/>
  <c r="B1559" i="4"/>
  <c r="B1623" i="4"/>
  <c r="B1655" i="4"/>
  <c r="B1686" i="4"/>
  <c r="B1751" i="4"/>
  <c r="B1767" i="4"/>
  <c r="B1791" i="4"/>
  <c r="B1856" i="4"/>
  <c r="B1900" i="4"/>
  <c r="B1959" i="4"/>
  <c r="B2103" i="4"/>
  <c r="B2143" i="4"/>
  <c r="B2174" i="4"/>
  <c r="B2199" i="4"/>
  <c r="B2284" i="4"/>
  <c r="B2383" i="4"/>
  <c r="B2456" i="4"/>
  <c r="B2480" i="4"/>
  <c r="B2502" i="4"/>
  <c r="B2538" i="4"/>
  <c r="B2558" i="4"/>
  <c r="B2624" i="4"/>
  <c r="B175" i="4"/>
  <c r="B198" i="4"/>
  <c r="B142" i="4"/>
  <c r="B223" i="4"/>
  <c r="B699" i="4"/>
  <c r="B66" i="4"/>
  <c r="B560" i="4"/>
  <c r="B215" i="4"/>
  <c r="B196" i="4"/>
  <c r="B558" i="4"/>
  <c r="B262" i="4"/>
  <c r="B684" i="4"/>
  <c r="B520" i="4"/>
  <c r="B546" i="4"/>
  <c r="B506" i="4"/>
  <c r="B662" i="4"/>
  <c r="B616" i="4"/>
  <c r="B463" i="4"/>
  <c r="B739" i="4"/>
  <c r="B766" i="4"/>
  <c r="B827" i="4"/>
  <c r="B892" i="4"/>
  <c r="B906" i="4"/>
  <c r="B948" i="4"/>
  <c r="B988" i="4"/>
  <c r="B1035" i="4"/>
  <c r="B1059" i="4"/>
  <c r="B1111" i="4"/>
  <c r="B1140" i="4"/>
  <c r="B1163" i="4"/>
  <c r="B1224" i="4"/>
  <c r="B1282" i="4"/>
  <c r="B1306" i="4"/>
  <c r="B1331" i="4"/>
  <c r="B1399" i="4"/>
  <c r="B1430" i="4"/>
  <c r="B1470" i="4"/>
  <c r="B1539" i="4"/>
  <c r="B1596" i="4"/>
  <c r="B1628" i="4"/>
  <c r="B1667" i="4"/>
  <c r="B1699" i="4"/>
  <c r="B1771" i="4"/>
  <c r="B1831" i="4"/>
  <c r="B1870" i="4"/>
  <c r="B1903" i="4"/>
  <c r="B1948" i="4"/>
  <c r="B2039" i="4"/>
  <c r="B2104" i="4"/>
  <c r="B2152" i="4"/>
  <c r="B2170" i="4"/>
  <c r="B2219" i="4"/>
  <c r="B2260" i="4"/>
  <c r="B2372" i="4"/>
  <c r="B2386" i="4"/>
  <c r="B2406" i="4"/>
  <c r="B2479" i="4"/>
  <c r="B2486" i="4"/>
  <c r="B2535" i="4"/>
  <c r="B2596" i="4"/>
  <c r="B2628" i="4"/>
  <c r="B54" i="4"/>
  <c r="B62" i="4"/>
  <c r="B563" i="4"/>
  <c r="B422" i="4"/>
  <c r="B287" i="4"/>
  <c r="B270" i="4"/>
  <c r="B544" i="4"/>
  <c r="B667" i="4"/>
  <c r="B704" i="4"/>
  <c r="B584" i="4"/>
  <c r="B626" i="4"/>
  <c r="B543" i="4"/>
  <c r="B570" i="4"/>
  <c r="B406" i="4"/>
  <c r="B304" i="4"/>
  <c r="B770" i="4"/>
  <c r="B786" i="4"/>
  <c r="B832" i="4"/>
  <c r="B884" i="4"/>
  <c r="B919" i="4"/>
  <c r="B964" i="4"/>
  <c r="B983" i="4"/>
  <c r="B1012" i="4"/>
  <c r="B1060" i="4"/>
  <c r="B1091" i="4"/>
  <c r="B1114" i="4"/>
  <c r="B1160" i="4"/>
  <c r="B1240" i="4"/>
  <c r="B1256" i="4"/>
  <c r="B1278" i="4"/>
  <c r="B1314" i="4"/>
  <c r="B1338" i="4"/>
  <c r="B1396" i="4"/>
  <c r="B1472" i="4"/>
  <c r="B1522" i="4"/>
  <c r="B1550" i="4"/>
  <c r="B1635" i="4"/>
  <c r="B1659" i="4"/>
  <c r="B1684" i="4"/>
  <c r="B1787" i="4"/>
  <c r="B1819" i="4"/>
  <c r="B1838" i="4"/>
  <c r="B1875" i="4"/>
  <c r="B1939" i="4"/>
  <c r="B2087" i="4"/>
  <c r="B2130" i="4"/>
  <c r="B2172" i="4"/>
  <c r="B2220" i="4"/>
  <c r="B2235" i="4"/>
  <c r="B2287" i="4"/>
  <c r="B2374" i="4"/>
  <c r="B2418" i="4"/>
  <c r="B2448" i="4"/>
  <c r="B2482" i="4"/>
  <c r="B162" i="4"/>
  <c r="B271" i="4"/>
  <c r="B195" i="4"/>
  <c r="B75" i="4"/>
  <c r="B191" i="4"/>
  <c r="B436" i="4"/>
  <c r="B124" i="4"/>
  <c r="B622" i="4"/>
  <c r="B87" i="4"/>
  <c r="B228" i="4"/>
  <c r="B678" i="4"/>
  <c r="B414" i="4"/>
  <c r="B210" i="4"/>
  <c r="B552" i="4"/>
  <c r="B600" i="4"/>
  <c r="B691" i="4"/>
  <c r="B206" i="4"/>
  <c r="B686" i="4"/>
  <c r="B735" i="4"/>
  <c r="B822" i="4"/>
  <c r="B847" i="4"/>
  <c r="B888" i="4"/>
  <c r="B914" i="4"/>
  <c r="B980" i="4"/>
  <c r="B1015" i="4"/>
  <c r="B1054" i="4"/>
  <c r="B1108" i="4"/>
  <c r="B1131" i="4"/>
  <c r="B1167" i="4"/>
  <c r="B1214" i="4"/>
  <c r="B1246" i="4"/>
  <c r="B1279" i="4"/>
  <c r="B1336" i="4"/>
  <c r="B1386" i="4"/>
  <c r="B1414" i="4"/>
  <c r="B1444" i="4"/>
  <c r="B1491" i="4"/>
  <c r="B1542" i="4"/>
  <c r="B1592" i="4"/>
  <c r="B1660" i="4"/>
  <c r="B1759" i="4"/>
  <c r="B1802" i="4"/>
  <c r="B1851" i="4"/>
  <c r="B1899" i="4"/>
  <c r="B1944" i="4"/>
  <c r="B2038" i="4"/>
  <c r="B2098" i="4"/>
  <c r="B2126" i="4"/>
  <c r="B2208" i="4"/>
  <c r="B2239" i="4"/>
  <c r="B2258" i="4"/>
  <c r="B2291" i="4"/>
  <c r="B2379" i="4"/>
  <c r="B2427" i="4"/>
  <c r="B2476" i="4"/>
  <c r="B2522" i="4"/>
  <c r="B2574" i="4"/>
  <c r="B2608" i="4"/>
  <c r="B106" i="4"/>
  <c r="B336" i="4"/>
  <c r="B612" i="4"/>
  <c r="B434" i="4"/>
  <c r="B184" i="4"/>
  <c r="B454" i="4"/>
  <c r="B144" i="4"/>
  <c r="B690" i="4"/>
  <c r="B171" i="4"/>
  <c r="B507" i="4"/>
  <c r="B590" i="4"/>
  <c r="B619" i="4"/>
  <c r="B696" i="4"/>
  <c r="B364" i="4"/>
  <c r="B288" i="4"/>
  <c r="B514" i="4"/>
  <c r="B235" i="4"/>
  <c r="B740" i="4"/>
  <c r="B788" i="4"/>
  <c r="B834" i="4"/>
  <c r="B856" i="4"/>
  <c r="B915" i="4"/>
  <c r="B939" i="4"/>
  <c r="B987" i="4"/>
  <c r="B998" i="4"/>
  <c r="B1011" i="4"/>
  <c r="B1055" i="4"/>
  <c r="B1148" i="4"/>
  <c r="B1162" i="4"/>
  <c r="B1196" i="4"/>
  <c r="B1248" i="4"/>
  <c r="B1343" i="4"/>
  <c r="B1376" i="4"/>
  <c r="B1454" i="4"/>
  <c r="B1502" i="4"/>
  <c r="B1540" i="4"/>
  <c r="B1583" i="4"/>
  <c r="B1606" i="4"/>
  <c r="B1640" i="4"/>
  <c r="B1683" i="4"/>
  <c r="B1760" i="4"/>
  <c r="B1786" i="4"/>
  <c r="B1854" i="4"/>
  <c r="B1891" i="4"/>
  <c r="B1920" i="4"/>
  <c r="B1951" i="4"/>
  <c r="B1970" i="4"/>
  <c r="B2115" i="4"/>
  <c r="B2139" i="4"/>
  <c r="B2206" i="4"/>
  <c r="B2244" i="4"/>
  <c r="B2263" i="4"/>
  <c r="B2299" i="4"/>
  <c r="B2388" i="4"/>
  <c r="B2440" i="4"/>
  <c r="B2467" i="4"/>
  <c r="B2519" i="4"/>
  <c r="B2551" i="4"/>
  <c r="B2575" i="4"/>
  <c r="B2603" i="4"/>
  <c r="B2627" i="4"/>
  <c r="B2615" i="4"/>
  <c r="B255" i="4"/>
  <c r="B194" i="4"/>
  <c r="B103" i="4"/>
  <c r="B86" i="4"/>
  <c r="B166" i="4"/>
  <c r="B203" i="4"/>
  <c r="B312" i="4"/>
  <c r="B303" i="4"/>
  <c r="B655" i="4"/>
  <c r="B367" i="4"/>
  <c r="B644" i="4"/>
  <c r="B592" i="4"/>
  <c r="B363" i="4"/>
  <c r="B360" i="4"/>
  <c r="B724" i="4"/>
  <c r="B782" i="4"/>
  <c r="B820" i="4"/>
  <c r="B840" i="4"/>
  <c r="B871" i="4"/>
  <c r="B959" i="4"/>
  <c r="B1003" i="4"/>
  <c r="B1048" i="4"/>
  <c r="B1071" i="4"/>
  <c r="B1132" i="4"/>
  <c r="B1164" i="4"/>
  <c r="B1186" i="4"/>
  <c r="B1216" i="4"/>
  <c r="B1302" i="4"/>
  <c r="B1326" i="4"/>
  <c r="B1374" i="4"/>
  <c r="B1412" i="4"/>
  <c r="B1439" i="4"/>
  <c r="B1482" i="4"/>
  <c r="B1516" i="4"/>
  <c r="B1552" i="4"/>
  <c r="B1571" i="4"/>
  <c r="B1598" i="4"/>
  <c r="B1618" i="4"/>
  <c r="B1656" i="4"/>
  <c r="B1690" i="4"/>
  <c r="B1772" i="4"/>
  <c r="B1794" i="4"/>
  <c r="B1806" i="4"/>
  <c r="B1842" i="4"/>
  <c r="B1907" i="4"/>
  <c r="B1943" i="4"/>
  <c r="B1975" i="4"/>
  <c r="B2083" i="4"/>
  <c r="B2135" i="4"/>
  <c r="B2196" i="4"/>
  <c r="B2223" i="4"/>
  <c r="B2280" i="4"/>
  <c r="B2382" i="4"/>
  <c r="B2424" i="4"/>
  <c r="B2443" i="4"/>
  <c r="B2514" i="4"/>
  <c r="B2578" i="4"/>
  <c r="B118" i="4"/>
  <c r="B64" i="4"/>
  <c r="B404" i="4"/>
  <c r="B170" i="4"/>
  <c r="B83" i="4"/>
  <c r="B290" i="4"/>
  <c r="B242" i="4"/>
  <c r="B183" i="4"/>
  <c r="B450" i="4"/>
  <c r="B571" i="4"/>
  <c r="B374" i="4"/>
  <c r="B566" i="4"/>
  <c r="B227" i="4"/>
  <c r="B432" i="4"/>
  <c r="B307" i="4"/>
  <c r="B722" i="4"/>
  <c r="B746" i="4"/>
  <c r="B775" i="4"/>
  <c r="B811" i="4"/>
  <c r="B850" i="4"/>
  <c r="B882" i="4"/>
  <c r="B932" i="4"/>
  <c r="B946" i="4"/>
  <c r="B1031" i="4"/>
  <c r="B1082" i="4"/>
  <c r="B1191" i="4"/>
  <c r="B1247" i="4"/>
  <c r="B1263" i="4"/>
  <c r="B1310" i="4"/>
  <c r="B1383" i="4"/>
  <c r="B1460" i="4"/>
  <c r="B1474" i="4"/>
  <c r="B1536" i="4"/>
  <c r="B1568" i="4"/>
  <c r="B1588" i="4"/>
  <c r="B1652" i="4"/>
  <c r="B1707" i="4"/>
  <c r="B1747" i="4"/>
  <c r="B1796" i="4"/>
  <c r="B1814" i="4"/>
  <c r="B1862" i="4"/>
  <c r="B1911" i="4"/>
  <c r="B1936" i="4"/>
  <c r="B2071" i="4"/>
  <c r="B2095" i="4"/>
  <c r="B2127" i="4"/>
  <c r="B2159" i="4"/>
  <c r="B2191" i="4"/>
  <c r="B2267" i="4"/>
  <c r="B2300" i="4"/>
  <c r="B2439" i="4"/>
  <c r="B2466" i="4"/>
  <c r="B2526" i="4"/>
  <c r="C47" i="4"/>
  <c r="B47" i="4"/>
  <c r="B2614" i="4"/>
  <c r="B155" i="4"/>
  <c r="B470" i="4"/>
  <c r="B282" i="4"/>
  <c r="B275" i="4"/>
  <c r="B146" i="4"/>
  <c r="B108" i="4"/>
  <c r="B579" i="4"/>
  <c r="B606" i="4"/>
  <c r="B620" i="4"/>
  <c r="B387" i="4"/>
  <c r="B703" i="4"/>
  <c r="B640" i="4"/>
  <c r="B562" i="4"/>
  <c r="B750" i="4"/>
  <c r="B772" i="4"/>
  <c r="B818" i="4"/>
  <c r="B890" i="4"/>
  <c r="B942" i="4"/>
  <c r="B974" i="4"/>
  <c r="B1030" i="4"/>
  <c r="B1075" i="4"/>
  <c r="B1098" i="4"/>
  <c r="B1130" i="4"/>
  <c r="B1211" i="4"/>
  <c r="B1266" i="4"/>
  <c r="B1292" i="4"/>
  <c r="B1346" i="4"/>
  <c r="B1375" i="4"/>
  <c r="B1432" i="4"/>
  <c r="B1479" i="4"/>
  <c r="B1499" i="4"/>
  <c r="B1518" i="4"/>
  <c r="B1636" i="4"/>
  <c r="B1663" i="4"/>
  <c r="B1703" i="4"/>
  <c r="B1755" i="4"/>
  <c r="B1848" i="4"/>
  <c r="B1892" i="4"/>
  <c r="B1963" i="4"/>
  <c r="B2043" i="4"/>
  <c r="B2124" i="4"/>
  <c r="B2187" i="4"/>
  <c r="B2240" i="4"/>
  <c r="B2283" i="4"/>
  <c r="B2411" i="4"/>
  <c r="B2435" i="4"/>
  <c r="B2459" i="4"/>
  <c r="B2518" i="4"/>
  <c r="B2556" i="4"/>
  <c r="B2592" i="4"/>
  <c r="B2606" i="4"/>
  <c r="B2566" i="4"/>
  <c r="B314" i="4"/>
  <c r="B248" i="4"/>
  <c r="B547" i="4"/>
  <c r="B444" i="4"/>
  <c r="B74" i="4"/>
  <c r="B286" i="4"/>
  <c r="B151" i="4"/>
  <c r="B608" i="4"/>
  <c r="B379" i="4"/>
  <c r="B542" i="4"/>
  <c r="B267" i="4"/>
  <c r="B578" i="4"/>
  <c r="B384" i="4"/>
  <c r="B738" i="4"/>
  <c r="B791" i="4"/>
  <c r="B814" i="4"/>
  <c r="B868" i="4"/>
  <c r="B910" i="4"/>
  <c r="B972" i="4"/>
  <c r="B1038" i="4"/>
  <c r="B1070" i="4"/>
  <c r="B1134" i="4"/>
  <c r="B1171" i="4"/>
  <c r="B1212" i="4"/>
  <c r="B1231" i="4"/>
  <c r="B1271" i="4"/>
  <c r="B1312" i="4"/>
  <c r="B1334" i="4"/>
  <c r="B1362" i="4"/>
  <c r="B1384" i="4"/>
  <c r="B1404" i="4"/>
  <c r="B1456" i="4"/>
  <c r="B1480" i="4"/>
  <c r="B1519" i="4"/>
  <c r="B1590" i="4"/>
  <c r="B1643" i="4"/>
  <c r="B1662" i="4"/>
  <c r="B1692" i="4"/>
  <c r="B1754" i="4"/>
  <c r="B1779" i="4"/>
  <c r="B1816" i="4"/>
  <c r="B1876" i="4"/>
  <c r="B1898" i="4"/>
  <c r="B1972" i="4"/>
  <c r="B2108" i="4"/>
  <c r="B2146" i="4"/>
  <c r="B2178" i="4"/>
  <c r="B2198" i="4"/>
  <c r="B2286" i="4"/>
  <c r="B2395" i="4"/>
  <c r="B2451" i="4"/>
  <c r="B2491" i="4"/>
  <c r="B2524" i="4"/>
  <c r="B2543" i="4"/>
  <c r="B2570" i="4"/>
  <c r="B2620" i="4"/>
  <c r="B96" i="4"/>
  <c r="B252" i="4"/>
  <c r="B94" i="4"/>
  <c r="B268" i="4"/>
  <c r="B112" i="4"/>
  <c r="B139" i="4"/>
  <c r="B128" i="4"/>
  <c r="B236" i="4"/>
  <c r="B212" i="4"/>
  <c r="B495" i="4"/>
  <c r="B412" i="4"/>
  <c r="B682" i="4"/>
  <c r="B687" i="4"/>
  <c r="B664" i="4"/>
  <c r="B462" i="4"/>
  <c r="B518" i="4"/>
  <c r="B487" i="4"/>
  <c r="B438" i="4"/>
  <c r="B748" i="4"/>
  <c r="B784" i="4"/>
  <c r="B844" i="4"/>
  <c r="B900" i="4"/>
  <c r="B907" i="4"/>
  <c r="B956" i="4"/>
  <c r="B999" i="4"/>
  <c r="B1043" i="4"/>
  <c r="B1072" i="4"/>
  <c r="B1120" i="4"/>
  <c r="B1142" i="4"/>
  <c r="B1176" i="4"/>
  <c r="B1238" i="4"/>
  <c r="B1288" i="4"/>
  <c r="B1311" i="4"/>
  <c r="B1339" i="4"/>
  <c r="B1407" i="4"/>
  <c r="B1440" i="4"/>
  <c r="B1483" i="4"/>
  <c r="B1551" i="4"/>
  <c r="B1599" i="4"/>
  <c r="B1626" i="4"/>
  <c r="B1676" i="4"/>
  <c r="B1704" i="4"/>
  <c r="B1804" i="4"/>
  <c r="B1846" i="4"/>
  <c r="B1883" i="4"/>
  <c r="B1914" i="4"/>
  <c r="B1958" i="4"/>
  <c r="B2078" i="4"/>
  <c r="B2110" i="4"/>
  <c r="B2151" i="4"/>
  <c r="B2180" i="4"/>
  <c r="B2231" i="4"/>
  <c r="B2259" i="4"/>
  <c r="B2366" i="4"/>
  <c r="B2400" i="4"/>
  <c r="B2436" i="4"/>
  <c r="B2478" i="4"/>
  <c r="B2512" i="4"/>
  <c r="B2563" i="4"/>
  <c r="B2604" i="4"/>
  <c r="B59" i="4"/>
  <c r="B258" i="4"/>
  <c r="B143" i="4"/>
  <c r="B451" i="4"/>
  <c r="B455" i="4"/>
  <c r="B187" i="4"/>
  <c r="B346" i="4"/>
  <c r="B71" i="4"/>
  <c r="B354" i="4"/>
  <c r="B482" i="4"/>
  <c r="B459" i="4"/>
  <c r="B632" i="4"/>
  <c r="B328" i="4"/>
  <c r="B435" i="4"/>
  <c r="B658" i="4"/>
  <c r="B263" i="4"/>
  <c r="B768" i="4"/>
  <c r="B795" i="4"/>
  <c r="B851" i="4"/>
  <c r="B891" i="4"/>
  <c r="B935" i="4"/>
  <c r="B968" i="4"/>
  <c r="B986" i="4"/>
  <c r="B1023" i="4"/>
  <c r="B1064" i="4"/>
  <c r="B1100" i="4"/>
  <c r="B1124" i="4"/>
  <c r="B1175" i="4"/>
  <c r="B1239" i="4"/>
  <c r="B1251" i="4"/>
  <c r="B1286" i="4"/>
  <c r="B1323" i="4"/>
  <c r="B1355" i="4"/>
  <c r="B1394" i="4"/>
  <c r="B1503" i="4"/>
  <c r="B1538" i="4"/>
  <c r="B1554" i="4"/>
  <c r="B1630" i="4"/>
  <c r="B1658" i="4"/>
  <c r="B1716" i="4"/>
  <c r="B1790" i="4"/>
  <c r="B1835" i="4"/>
  <c r="B1868" i="4"/>
  <c r="B1886" i="4"/>
  <c r="B1952" i="4"/>
  <c r="B2090" i="4"/>
  <c r="B2131" i="4"/>
  <c r="B2171" i="4"/>
  <c r="B2224" i="4"/>
  <c r="B2266" i="4"/>
  <c r="B2290" i="4"/>
  <c r="B2394" i="4"/>
  <c r="B2419" i="4"/>
  <c r="B2447" i="4"/>
  <c r="B2492" i="4"/>
  <c r="B100" i="4"/>
  <c r="B246" i="4"/>
  <c r="B420" i="4"/>
  <c r="B380" i="4"/>
  <c r="B603" i="4"/>
  <c r="B283" i="4"/>
  <c r="B530" i="4"/>
  <c r="B351" i="4"/>
  <c r="B575" i="4"/>
  <c r="B456" i="4"/>
  <c r="B651" i="4"/>
  <c r="B647" i="4"/>
  <c r="B524" i="4"/>
  <c r="B460" i="4"/>
  <c r="B591" i="4"/>
  <c r="B382" i="4"/>
  <c r="B630" i="4"/>
  <c r="B718" i="4"/>
  <c r="B764" i="4"/>
  <c r="B826" i="4"/>
  <c r="B854" i="4"/>
  <c r="B902" i="4"/>
  <c r="B922" i="4"/>
  <c r="B976" i="4"/>
  <c r="B1027" i="4"/>
  <c r="B1084" i="4"/>
  <c r="B1106" i="4"/>
  <c r="B1154" i="4"/>
  <c r="B1179" i="4"/>
  <c r="B1219" i="4"/>
  <c r="B1259" i="4"/>
  <c r="B1298" i="4"/>
  <c r="B1348" i="4"/>
  <c r="B1406" i="4"/>
  <c r="B1424" i="4"/>
  <c r="B1450" i="4"/>
  <c r="B1504" i="4"/>
  <c r="B1547" i="4"/>
  <c r="B1603" i="4"/>
  <c r="B1672" i="4"/>
  <c r="B1768" i="4"/>
  <c r="B1827" i="4"/>
  <c r="B1850" i="4"/>
  <c r="B1906" i="4"/>
  <c r="B1946" i="4"/>
  <c r="B2044" i="4"/>
  <c r="B2102" i="4"/>
  <c r="B2163" i="4"/>
  <c r="B2211" i="4"/>
  <c r="B2243" i="4"/>
  <c r="B2270" i="4"/>
  <c r="B2303" i="4"/>
  <c r="B2392" i="4"/>
  <c r="B2442" i="4"/>
  <c r="B2494" i="4"/>
  <c r="B2531" i="4"/>
  <c r="B2588" i="4"/>
  <c r="B711" i="4"/>
  <c r="B127" i="4"/>
  <c r="B264" i="4"/>
  <c r="B659" i="4"/>
  <c r="B430" i="4"/>
  <c r="B168" i="4"/>
  <c r="B556" i="4"/>
  <c r="B239" i="4"/>
  <c r="B82" i="4"/>
  <c r="B208" i="4"/>
  <c r="B284" i="4"/>
  <c r="B599" i="4"/>
  <c r="B471" i="4"/>
  <c r="B643" i="4"/>
  <c r="B452" i="4"/>
  <c r="B486" i="4"/>
  <c r="B635" i="4"/>
  <c r="B378" i="4"/>
  <c r="B742" i="4"/>
  <c r="B796" i="4"/>
  <c r="B835" i="4"/>
  <c r="B862" i="4"/>
  <c r="B918" i="4"/>
  <c r="B952" i="4"/>
  <c r="B996" i="4"/>
  <c r="B1004" i="4"/>
  <c r="B1014" i="4"/>
  <c r="B1107" i="4"/>
  <c r="B1146" i="4"/>
  <c r="B1172" i="4"/>
  <c r="B1199" i="4"/>
  <c r="B1255" i="4"/>
  <c r="B1352" i="4"/>
  <c r="B1395" i="4"/>
  <c r="B1463" i="4"/>
  <c r="B1508" i="4"/>
  <c r="B1543" i="4"/>
  <c r="B1586" i="4"/>
  <c r="B1611" i="4"/>
  <c r="B1651" i="4"/>
  <c r="B1708" i="4"/>
  <c r="B1776" i="4"/>
  <c r="B1823" i="4"/>
  <c r="B1860" i="4"/>
  <c r="B1904" i="4"/>
  <c r="B1927" i="4"/>
  <c r="B1954" i="4"/>
  <c r="B2036" i="4"/>
  <c r="B2120" i="4"/>
  <c r="B2156" i="4"/>
  <c r="B2216" i="4"/>
  <c r="B2238" i="4"/>
  <c r="B2275" i="4"/>
  <c r="B2298" i="4"/>
  <c r="B2387" i="4"/>
  <c r="B2444" i="4"/>
  <c r="B2470" i="4"/>
  <c r="B2528" i="4"/>
  <c r="B2564" i="4"/>
  <c r="B2584" i="4"/>
  <c r="B2595" i="4"/>
  <c r="B2611" i="4"/>
  <c r="B315" i="4"/>
  <c r="B176" i="4"/>
  <c r="B370" i="4"/>
  <c r="B200" i="4"/>
  <c r="B238" i="4"/>
  <c r="B150" i="4"/>
  <c r="B316" i="4"/>
  <c r="B132" i="4"/>
  <c r="B243" i="4"/>
  <c r="B274" i="4"/>
  <c r="B642" i="4"/>
  <c r="B123" i="4"/>
  <c r="B679" i="4"/>
  <c r="B534" i="4"/>
  <c r="B394" i="4"/>
  <c r="B731" i="4"/>
  <c r="B798" i="4"/>
  <c r="B819" i="4"/>
  <c r="B859" i="4"/>
  <c r="B936" i="4"/>
  <c r="B962" i="4"/>
  <c r="B1019" i="4"/>
  <c r="B1058" i="4"/>
  <c r="B1079" i="4"/>
  <c r="B1135" i="4"/>
  <c r="B1168" i="4"/>
  <c r="B1190" i="4"/>
  <c r="B1222" i="4"/>
  <c r="B1295" i="4"/>
  <c r="B1342" i="4"/>
  <c r="B1379" i="4"/>
  <c r="B1418" i="4"/>
  <c r="B1442" i="4"/>
  <c r="B1488" i="4"/>
  <c r="B1523" i="4"/>
  <c r="B1560" i="4"/>
  <c r="B1575" i="4"/>
  <c r="B1616" i="4"/>
  <c r="B1622" i="4"/>
  <c r="B1654" i="4"/>
  <c r="B1700" i="4"/>
  <c r="B1770" i="4"/>
  <c r="B1810" i="4"/>
  <c r="B1820" i="4"/>
  <c r="B1864" i="4"/>
  <c r="B1923" i="4"/>
  <c r="B1950" i="4"/>
  <c r="B2080" i="4"/>
  <c r="B2092" i="4"/>
  <c r="B2144" i="4"/>
  <c r="B2194" i="4"/>
  <c r="B2252" i="4"/>
  <c r="B2279" i="4"/>
  <c r="B2407" i="4"/>
  <c r="B2423" i="4"/>
  <c r="B2504" i="4"/>
  <c r="B2542" i="4"/>
  <c r="B2515" i="4"/>
  <c r="B95" i="4"/>
  <c r="B330" i="4"/>
  <c r="B126" i="4"/>
  <c r="B366" i="4"/>
  <c r="B136" i="4"/>
  <c r="B104" i="4"/>
  <c r="B63" i="4"/>
  <c r="B230" i="4"/>
  <c r="B639" i="4"/>
  <c r="B466" i="4"/>
  <c r="B656" i="4"/>
  <c r="B522" i="4"/>
  <c r="B279" i="4"/>
  <c r="B439" i="4"/>
  <c r="B660" i="4"/>
  <c r="B730" i="4"/>
  <c r="B758" i="4"/>
  <c r="B794" i="4"/>
  <c r="B816" i="4"/>
  <c r="B855" i="4"/>
  <c r="B886" i="4"/>
  <c r="B928" i="4"/>
  <c r="B1002" i="4"/>
  <c r="B1056" i="4"/>
  <c r="B1136" i="4"/>
  <c r="B1206" i="4"/>
  <c r="B1250" i="4"/>
  <c r="B1267" i="4"/>
  <c r="B1320" i="4"/>
  <c r="B1438" i="4"/>
  <c r="B1458" i="4"/>
  <c r="B1486" i="4"/>
  <c r="B1544" i="4"/>
  <c r="B1562" i="4"/>
  <c r="B1600" i="4"/>
  <c r="B1696" i="4"/>
  <c r="B1714" i="4"/>
  <c r="B1756" i="4"/>
  <c r="B1795" i="4"/>
  <c r="B1815" i="4"/>
  <c r="B1882" i="4"/>
  <c r="B1910" i="4"/>
  <c r="B1947" i="4"/>
  <c r="B2070" i="4"/>
  <c r="B2094" i="4"/>
  <c r="B2136" i="4"/>
  <c r="B2167" i="4"/>
  <c r="B2207" i="4"/>
  <c r="B2272" i="4"/>
  <c r="B2304" i="4"/>
  <c r="B2446" i="4"/>
  <c r="B2487" i="4"/>
  <c r="B2560" i="4"/>
  <c r="C2636" i="4"/>
  <c r="C2631" i="4"/>
  <c r="C2616" i="4"/>
  <c r="C58" i="4"/>
  <c r="C79" i="4"/>
  <c r="C322" i="4"/>
  <c r="C339" i="4"/>
  <c r="C202" i="4"/>
  <c r="C344" i="4"/>
  <c r="C163" i="4"/>
  <c r="C574" i="4"/>
  <c r="C550" i="4"/>
  <c r="C671" i="4"/>
  <c r="C298" i="4"/>
  <c r="C443" i="4"/>
  <c r="C447" i="4"/>
  <c r="C719" i="4"/>
  <c r="C760" i="4"/>
  <c r="C810" i="4"/>
  <c r="C876" i="4"/>
  <c r="C944" i="4"/>
  <c r="C971" i="4"/>
  <c r="C1016" i="4"/>
  <c r="C1067" i="4"/>
  <c r="C1090" i="4"/>
  <c r="C1119" i="4"/>
  <c r="C1207" i="4"/>
  <c r="C1227" i="4"/>
  <c r="C1283" i="4"/>
  <c r="C1347" i="4"/>
  <c r="C1358" i="4"/>
  <c r="C1422" i="4"/>
  <c r="C1484" i="4"/>
  <c r="C1495" i="4"/>
  <c r="C1514" i="4"/>
  <c r="C1582" i="4"/>
  <c r="C1664" i="4"/>
  <c r="C1698" i="4"/>
  <c r="C1715" i="4"/>
  <c r="C1828" i="4"/>
  <c r="C1878" i="4"/>
  <c r="C1926" i="4"/>
  <c r="C2034" i="4"/>
  <c r="C2107" i="4"/>
  <c r="C2184" i="4"/>
  <c r="C2218" i="4"/>
  <c r="C2264" i="4"/>
  <c r="C2390" i="4"/>
  <c r="C2432" i="4"/>
  <c r="C2460" i="4"/>
  <c r="C2507" i="4"/>
  <c r="C2539" i="4"/>
  <c r="C2580" i="4"/>
  <c r="C2602" i="4"/>
  <c r="C2559" i="4"/>
  <c r="C234" i="4"/>
  <c r="C504" i="4"/>
  <c r="C446" i="4"/>
  <c r="C188" i="4"/>
  <c r="C423" i="4"/>
  <c r="C595" i="4"/>
  <c r="C536" i="4"/>
  <c r="C383" i="4"/>
  <c r="C392" i="4"/>
  <c r="C582" i="4"/>
  <c r="C532" i="4"/>
  <c r="C695" i="4"/>
  <c r="C320" i="4"/>
  <c r="C602" i="4"/>
  <c r="C751" i="4"/>
  <c r="C812" i="4"/>
  <c r="C858" i="4"/>
  <c r="C894" i="4"/>
  <c r="C954" i="4"/>
  <c r="C1044" i="4"/>
  <c r="C1066" i="4"/>
  <c r="C1095" i="4"/>
  <c r="C1184" i="4"/>
  <c r="C1200" i="4"/>
  <c r="C1236" i="4"/>
  <c r="C1268" i="4"/>
  <c r="C1299" i="4"/>
  <c r="C1327" i="4"/>
  <c r="C1364" i="4"/>
  <c r="C1380" i="4"/>
  <c r="C1390" i="4"/>
  <c r="C1427" i="4"/>
  <c r="C1467" i="4"/>
  <c r="C1515" i="4"/>
  <c r="C1559" i="4"/>
  <c r="C1623" i="4"/>
  <c r="C1655" i="4"/>
  <c r="C1686" i="4"/>
  <c r="C1751" i="4"/>
  <c r="C1767" i="4"/>
  <c r="C1791" i="4"/>
  <c r="C1856" i="4"/>
  <c r="C1900" i="4"/>
  <c r="C1959" i="4"/>
  <c r="C2103" i="4"/>
  <c r="C2143" i="4"/>
  <c r="C2174" i="4"/>
  <c r="C2199" i="4"/>
  <c r="C2284" i="4"/>
  <c r="C2383" i="4"/>
  <c r="C2456" i="4"/>
  <c r="C2480" i="4"/>
  <c r="C2502" i="4"/>
  <c r="C2538" i="4"/>
  <c r="C2558" i="4"/>
  <c r="C2624" i="4"/>
  <c r="C175" i="4"/>
  <c r="C198" i="4"/>
  <c r="C142" i="4"/>
  <c r="C223" i="4"/>
  <c r="C699" i="4"/>
  <c r="C66" i="4"/>
  <c r="C560" i="4"/>
  <c r="C215" i="4"/>
  <c r="C196" i="4"/>
  <c r="C558" i="4"/>
  <c r="C262" i="4"/>
  <c r="C684" i="4"/>
  <c r="C520" i="4"/>
  <c r="C546" i="4"/>
  <c r="C506" i="4"/>
  <c r="C662" i="4"/>
  <c r="C616" i="4"/>
  <c r="C463" i="4"/>
  <c r="C739" i="4"/>
  <c r="C766" i="4"/>
  <c r="C827" i="4"/>
  <c r="C892" i="4"/>
  <c r="C906" i="4"/>
  <c r="C948" i="4"/>
  <c r="C988" i="4"/>
  <c r="C1035" i="4"/>
  <c r="C1059" i="4"/>
  <c r="C1111" i="4"/>
  <c r="C1140" i="4"/>
  <c r="C1163" i="4"/>
  <c r="C1224" i="4"/>
  <c r="C1282" i="4"/>
  <c r="C1306" i="4"/>
  <c r="C1331" i="4"/>
  <c r="C1399" i="4"/>
  <c r="C1430" i="4"/>
  <c r="C1470" i="4"/>
  <c r="C1539" i="4"/>
  <c r="C1596" i="4"/>
  <c r="C1628" i="4"/>
  <c r="C1667" i="4"/>
  <c r="C1699" i="4"/>
  <c r="C1771" i="4"/>
  <c r="C1831" i="4"/>
  <c r="C1870" i="4"/>
  <c r="C1903" i="4"/>
  <c r="C1948" i="4"/>
  <c r="C2039" i="4"/>
  <c r="C2104" i="4"/>
  <c r="C2152" i="4"/>
  <c r="C2170" i="4"/>
  <c r="C2219" i="4"/>
  <c r="C2260" i="4"/>
  <c r="C2372" i="4"/>
  <c r="C2386" i="4"/>
  <c r="C2406" i="4"/>
  <c r="C2479" i="4"/>
  <c r="C2486" i="4"/>
  <c r="C2535" i="4"/>
  <c r="C2596" i="4"/>
  <c r="C2628" i="4"/>
  <c r="C54" i="4"/>
  <c r="C62" i="4"/>
  <c r="C563" i="4"/>
  <c r="C422" i="4"/>
  <c r="C287" i="4"/>
  <c r="C270" i="4"/>
  <c r="C544" i="4"/>
  <c r="C667" i="4"/>
  <c r="C704" i="4"/>
  <c r="C584" i="4"/>
  <c r="C626" i="4"/>
  <c r="C543" i="4"/>
  <c r="C570" i="4"/>
  <c r="C406" i="4"/>
  <c r="C304" i="4"/>
  <c r="C770" i="4"/>
  <c r="C786" i="4"/>
  <c r="C832" i="4"/>
  <c r="C884" i="4"/>
  <c r="C919" i="4"/>
  <c r="C964" i="4"/>
  <c r="C983" i="4"/>
  <c r="C1012" i="4"/>
  <c r="C1060" i="4"/>
  <c r="C1091" i="4"/>
  <c r="C1114" i="4"/>
  <c r="C1160" i="4"/>
  <c r="C1240" i="4"/>
  <c r="C1256" i="4"/>
  <c r="C1278" i="4"/>
  <c r="C1314" i="4"/>
  <c r="C1338" i="4"/>
  <c r="C1396" i="4"/>
  <c r="C1472" i="4"/>
  <c r="C1522" i="4"/>
  <c r="C1550" i="4"/>
  <c r="C1635" i="4"/>
  <c r="C1659" i="4"/>
  <c r="C1684" i="4"/>
  <c r="C1787" i="4"/>
  <c r="C1819" i="4"/>
  <c r="C1838" i="4"/>
  <c r="C1875" i="4"/>
  <c r="C1939" i="4"/>
  <c r="C2087" i="4"/>
  <c r="C2130" i="4"/>
  <c r="C2172" i="4"/>
  <c r="C2220" i="4"/>
  <c r="C2235" i="4"/>
  <c r="C2287" i="4"/>
  <c r="C2374" i="4"/>
  <c r="C2418" i="4"/>
  <c r="C2448" i="4"/>
  <c r="C2482" i="4"/>
  <c r="C162" i="4"/>
  <c r="C271" i="4"/>
  <c r="C195" i="4"/>
  <c r="C75" i="4"/>
  <c r="C191" i="4"/>
  <c r="C436" i="4"/>
  <c r="C124" i="4"/>
  <c r="C622" i="4"/>
  <c r="C87" i="4"/>
  <c r="C228" i="4"/>
  <c r="C678" i="4"/>
  <c r="C414" i="4"/>
  <c r="C210" i="4"/>
  <c r="C552" i="4"/>
  <c r="C600" i="4"/>
  <c r="C691" i="4"/>
  <c r="C206" i="4"/>
  <c r="C686" i="4"/>
  <c r="C735" i="4"/>
  <c r="C822" i="4"/>
  <c r="C847" i="4"/>
  <c r="C888" i="4"/>
  <c r="C914" i="4"/>
  <c r="C980" i="4"/>
  <c r="C1015" i="4"/>
  <c r="C1054" i="4"/>
  <c r="C1108" i="4"/>
  <c r="C1131" i="4"/>
  <c r="C1167" i="4"/>
  <c r="C1214" i="4"/>
  <c r="C1246" i="4"/>
  <c r="C1279" i="4"/>
  <c r="C1336" i="4"/>
  <c r="C1386" i="4"/>
  <c r="C1414" i="4"/>
  <c r="C1444" i="4"/>
  <c r="C1491" i="4"/>
  <c r="C1542" i="4"/>
  <c r="C1592" i="4"/>
  <c r="C1660" i="4"/>
  <c r="C1759" i="4"/>
  <c r="C1802" i="4"/>
  <c r="C1851" i="4"/>
  <c r="C1899" i="4"/>
  <c r="C1944" i="4"/>
  <c r="C2038" i="4"/>
  <c r="C2098" i="4"/>
  <c r="C2126" i="4"/>
  <c r="C2208" i="4"/>
  <c r="C2239" i="4"/>
  <c r="C2258" i="4"/>
  <c r="C2291" i="4"/>
  <c r="C2379" i="4"/>
  <c r="C2427" i="4"/>
  <c r="C2476" i="4"/>
  <c r="C2522" i="4"/>
  <c r="C2574" i="4"/>
  <c r="C2608" i="4"/>
  <c r="C106" i="4"/>
  <c r="C336" i="4"/>
  <c r="C612" i="4"/>
  <c r="C434" i="4"/>
  <c r="C184" i="4"/>
  <c r="C454" i="4"/>
  <c r="C144" i="4"/>
  <c r="C690" i="4"/>
  <c r="C171" i="4"/>
  <c r="C507" i="4"/>
  <c r="C590" i="4"/>
  <c r="C619" i="4"/>
  <c r="C696" i="4"/>
  <c r="C364" i="4"/>
  <c r="C288" i="4"/>
  <c r="C514" i="4"/>
  <c r="C235" i="4"/>
  <c r="C740" i="4"/>
  <c r="C788" i="4"/>
  <c r="C834" i="4"/>
  <c r="C856" i="4"/>
  <c r="C915" i="4"/>
  <c r="C939" i="4"/>
  <c r="C987" i="4"/>
  <c r="C998" i="4"/>
  <c r="C1011" i="4"/>
  <c r="C1055" i="4"/>
  <c r="C1148" i="4"/>
  <c r="C1162" i="4"/>
  <c r="C1196" i="4"/>
  <c r="C1248" i="4"/>
  <c r="C1343" i="4"/>
  <c r="C1376" i="4"/>
  <c r="C1454" i="4"/>
  <c r="C1502" i="4"/>
  <c r="C1540" i="4"/>
  <c r="C1583" i="4"/>
  <c r="C1606" i="4"/>
  <c r="C1640" i="4"/>
  <c r="C1683" i="4"/>
  <c r="C1760" i="4"/>
  <c r="C1786" i="4"/>
  <c r="C1854" i="4"/>
  <c r="C1891" i="4"/>
  <c r="C1920" i="4"/>
  <c r="C1951" i="4"/>
  <c r="C1970" i="4"/>
  <c r="C2115" i="4"/>
  <c r="C2139" i="4"/>
  <c r="C2206" i="4"/>
  <c r="C2244" i="4"/>
  <c r="C2263" i="4"/>
  <c r="C2299" i="4"/>
  <c r="C2388" i="4"/>
  <c r="C2440" i="4"/>
  <c r="C2467" i="4"/>
  <c r="C2519" i="4"/>
  <c r="C2551" i="4"/>
  <c r="C2575" i="4"/>
  <c r="C2603" i="4"/>
  <c r="C2627" i="4"/>
  <c r="C2615" i="4"/>
  <c r="C255" i="4"/>
  <c r="C194" i="4"/>
  <c r="C103" i="4"/>
  <c r="C86" i="4"/>
  <c r="C166" i="4"/>
  <c r="C203" i="4"/>
  <c r="C312" i="4"/>
  <c r="C303" i="4"/>
  <c r="C655" i="4"/>
  <c r="C367" i="4"/>
  <c r="C644" i="4"/>
  <c r="C592" i="4"/>
  <c r="C363" i="4"/>
  <c r="C360" i="4"/>
  <c r="C724" i="4"/>
  <c r="C782" i="4"/>
  <c r="C820" i="4"/>
  <c r="C840" i="4"/>
  <c r="C871" i="4"/>
  <c r="C959" i="4"/>
  <c r="C1003" i="4"/>
  <c r="C1048" i="4"/>
  <c r="C1071" i="4"/>
  <c r="C1132" i="4"/>
  <c r="C1164" i="4"/>
  <c r="C1186" i="4"/>
  <c r="C1216" i="4"/>
  <c r="C1302" i="4"/>
  <c r="C1326" i="4"/>
  <c r="C1374" i="4"/>
  <c r="C1412" i="4"/>
  <c r="C1439" i="4"/>
  <c r="C1482" i="4"/>
  <c r="C1516" i="4"/>
  <c r="C1552" i="4"/>
  <c r="C1571" i="4"/>
  <c r="C1598" i="4"/>
  <c r="C1618" i="4"/>
  <c r="C1656" i="4"/>
  <c r="C1690" i="4"/>
  <c r="C1772" i="4"/>
  <c r="C1794" i="4"/>
  <c r="C1806" i="4"/>
  <c r="C1842" i="4"/>
  <c r="C1907" i="4"/>
  <c r="C1943" i="4"/>
  <c r="C1975" i="4"/>
  <c r="C2083" i="4"/>
  <c r="C2135" i="4"/>
  <c r="C2196" i="4"/>
  <c r="C2223" i="4"/>
  <c r="C2280" i="4"/>
  <c r="C2382" i="4"/>
  <c r="C2424" i="4"/>
  <c r="C2443" i="4"/>
  <c r="C2514" i="4"/>
  <c r="C2578" i="4"/>
  <c r="C118" i="4"/>
  <c r="C64" i="4"/>
  <c r="C404" i="4"/>
  <c r="C170" i="4"/>
  <c r="C83" i="4"/>
  <c r="C290" i="4"/>
  <c r="C242" i="4"/>
  <c r="C183" i="4"/>
  <c r="C450" i="4"/>
  <c r="C571" i="4"/>
  <c r="C374" i="4"/>
  <c r="C566" i="4"/>
  <c r="C227" i="4"/>
  <c r="C432" i="4"/>
  <c r="C307" i="4"/>
  <c r="C722" i="4"/>
  <c r="C746" i="4"/>
  <c r="C775" i="4"/>
  <c r="C811" i="4"/>
  <c r="C850" i="4"/>
  <c r="C882" i="4"/>
  <c r="C932" i="4"/>
  <c r="C946" i="4"/>
  <c r="C1031" i="4"/>
  <c r="C1082" i="4"/>
  <c r="C1191" i="4"/>
  <c r="C1247" i="4"/>
  <c r="C1263" i="4"/>
  <c r="C1310" i="4"/>
  <c r="C1383" i="4"/>
  <c r="C1460" i="4"/>
  <c r="C1474" i="4"/>
  <c r="C1536" i="4"/>
  <c r="C1568" i="4"/>
  <c r="C1588" i="4"/>
  <c r="C1652" i="4"/>
  <c r="C1707" i="4"/>
  <c r="C1747" i="4"/>
  <c r="C1796" i="4"/>
  <c r="C1814" i="4"/>
  <c r="C1862" i="4"/>
  <c r="C1911" i="4"/>
  <c r="C1936" i="4"/>
  <c r="C2071" i="4"/>
  <c r="C2095" i="4"/>
  <c r="C2127" i="4"/>
  <c r="C2159" i="4"/>
  <c r="C2191" i="4"/>
  <c r="C2267" i="4"/>
  <c r="C2300" i="4"/>
  <c r="C2439" i="4"/>
  <c r="C2466" i="4"/>
  <c r="C2526" i="4"/>
  <c r="C2614" i="4"/>
  <c r="C155" i="4"/>
  <c r="C470" i="4"/>
  <c r="C282" i="4"/>
  <c r="C275" i="4"/>
  <c r="C146" i="4"/>
  <c r="C108" i="4"/>
  <c r="C579" i="4"/>
  <c r="C606" i="4"/>
  <c r="C620" i="4"/>
  <c r="C387" i="4"/>
  <c r="C703" i="4"/>
  <c r="C640" i="4"/>
  <c r="C562" i="4"/>
  <c r="C750" i="4"/>
  <c r="C772" i="4"/>
  <c r="C818" i="4"/>
  <c r="C890" i="4"/>
  <c r="C942" i="4"/>
  <c r="C974" i="4"/>
  <c r="C1030" i="4"/>
  <c r="C1075" i="4"/>
  <c r="C1098" i="4"/>
  <c r="C1130" i="4"/>
  <c r="C1211" i="4"/>
  <c r="C1266" i="4"/>
  <c r="C1292" i="4"/>
  <c r="C1346" i="4"/>
  <c r="C1375" i="4"/>
  <c r="C1432" i="4"/>
  <c r="C1479" i="4"/>
  <c r="C1499" i="4"/>
  <c r="C1518" i="4"/>
  <c r="C1636" i="4"/>
  <c r="C1663" i="4"/>
  <c r="C1703" i="4"/>
  <c r="C1755" i="4"/>
  <c r="C1848" i="4"/>
  <c r="C1892" i="4"/>
  <c r="C1963" i="4"/>
  <c r="C2043" i="4"/>
  <c r="C2124" i="4"/>
  <c r="C2187" i="4"/>
  <c r="C2240" i="4"/>
  <c r="C2283" i="4"/>
  <c r="C2411" i="4"/>
  <c r="C2435" i="4"/>
  <c r="C2459" i="4"/>
  <c r="C2518" i="4"/>
  <c r="C2556" i="4"/>
  <c r="C2592" i="4"/>
  <c r="C2606" i="4"/>
  <c r="C2566" i="4"/>
  <c r="C314" i="4"/>
  <c r="C248" i="4"/>
  <c r="C547" i="4"/>
  <c r="C444" i="4"/>
  <c r="C74" i="4"/>
  <c r="C286" i="4"/>
  <c r="C151" i="4"/>
  <c r="C608" i="4"/>
  <c r="C379" i="4"/>
  <c r="C542" i="4"/>
  <c r="C267" i="4"/>
  <c r="C578" i="4"/>
  <c r="C384" i="4"/>
  <c r="C738" i="4"/>
  <c r="C791" i="4"/>
  <c r="C814" i="4"/>
  <c r="C868" i="4"/>
  <c r="C910" i="4"/>
  <c r="C972" i="4"/>
  <c r="C1038" i="4"/>
  <c r="C1070" i="4"/>
  <c r="C1134" i="4"/>
  <c r="C1171" i="4"/>
  <c r="C1212" i="4"/>
  <c r="C1231" i="4"/>
  <c r="C1271" i="4"/>
  <c r="C1312" i="4"/>
  <c r="C1334" i="4"/>
  <c r="C1362" i="4"/>
  <c r="C1384" i="4"/>
  <c r="C1404" i="4"/>
  <c r="C1456" i="4"/>
  <c r="C1480" i="4"/>
  <c r="C1519" i="4"/>
  <c r="C1590" i="4"/>
  <c r="C1643" i="4"/>
  <c r="C1662" i="4"/>
  <c r="C1692" i="4"/>
  <c r="C1754" i="4"/>
  <c r="C1779" i="4"/>
  <c r="C1816" i="4"/>
  <c r="C1876" i="4"/>
  <c r="C1898" i="4"/>
  <c r="C1972" i="4"/>
  <c r="C2108" i="4"/>
  <c r="C2146" i="4"/>
  <c r="C2178" i="4"/>
  <c r="C2198" i="4"/>
  <c r="C2286" i="4"/>
  <c r="C2395" i="4"/>
  <c r="C2451" i="4"/>
  <c r="C2491" i="4"/>
  <c r="C2524" i="4"/>
  <c r="C2543" i="4"/>
  <c r="C2570" i="4"/>
  <c r="C2620" i="4"/>
  <c r="C96" i="4"/>
  <c r="C252" i="4"/>
  <c r="C94" i="4"/>
  <c r="C268" i="4"/>
  <c r="C112" i="4"/>
  <c r="C139" i="4"/>
  <c r="C128" i="4"/>
  <c r="C236" i="4"/>
  <c r="C212" i="4"/>
  <c r="C495" i="4"/>
  <c r="C412" i="4"/>
  <c r="C682" i="4"/>
  <c r="C687" i="4"/>
  <c r="C664" i="4"/>
  <c r="C462" i="4"/>
  <c r="C518" i="4"/>
  <c r="C487" i="4"/>
  <c r="C438" i="4"/>
  <c r="C748" i="4"/>
  <c r="C784" i="4"/>
  <c r="C844" i="4"/>
  <c r="C900" i="4"/>
  <c r="C907" i="4"/>
  <c r="C956" i="4"/>
  <c r="C999" i="4"/>
  <c r="C1043" i="4"/>
  <c r="C1072" i="4"/>
  <c r="C1120" i="4"/>
  <c r="C1142" i="4"/>
  <c r="C1176" i="4"/>
  <c r="C1238" i="4"/>
  <c r="C1288" i="4"/>
  <c r="C1311" i="4"/>
  <c r="C1339" i="4"/>
  <c r="C1407" i="4"/>
  <c r="C1440" i="4"/>
  <c r="C1483" i="4"/>
  <c r="C1551" i="4"/>
  <c r="C1599" i="4"/>
  <c r="C1626" i="4"/>
  <c r="C1676" i="4"/>
  <c r="C1704" i="4"/>
  <c r="C1804" i="4"/>
  <c r="C1846" i="4"/>
  <c r="C1883" i="4"/>
  <c r="C1914" i="4"/>
  <c r="C1958" i="4"/>
  <c r="C2078" i="4"/>
  <c r="C2110" i="4"/>
  <c r="C2151" i="4"/>
  <c r="C2180" i="4"/>
  <c r="C2231" i="4"/>
  <c r="C2259" i="4"/>
  <c r="C2366" i="4"/>
  <c r="C2400" i="4"/>
  <c r="C2436" i="4"/>
  <c r="C2478" i="4"/>
  <c r="C2512" i="4"/>
  <c r="C2563" i="4"/>
  <c r="C2604" i="4"/>
  <c r="C59" i="4"/>
  <c r="C258" i="4"/>
  <c r="C143" i="4"/>
  <c r="C451" i="4"/>
  <c r="C455" i="4"/>
  <c r="C187" i="4"/>
  <c r="C346" i="4"/>
  <c r="C71" i="4"/>
  <c r="C354" i="4"/>
  <c r="C482" i="4"/>
  <c r="C459" i="4"/>
  <c r="C632" i="4"/>
  <c r="C328" i="4"/>
  <c r="C435" i="4"/>
  <c r="C658" i="4"/>
  <c r="C263" i="4"/>
  <c r="C768" i="4"/>
  <c r="C795" i="4"/>
  <c r="C851" i="4"/>
  <c r="C891" i="4"/>
  <c r="C935" i="4"/>
  <c r="C968" i="4"/>
  <c r="C986" i="4"/>
  <c r="C1023" i="4"/>
  <c r="C1064" i="4"/>
  <c r="C1100" i="4"/>
  <c r="C1124" i="4"/>
  <c r="C1175" i="4"/>
  <c r="C1239" i="4"/>
  <c r="C1251" i="4"/>
  <c r="C1286" i="4"/>
  <c r="C1323" i="4"/>
  <c r="C1355" i="4"/>
  <c r="C1394" i="4"/>
  <c r="C1503" i="4"/>
  <c r="C1538" i="4"/>
  <c r="C1554" i="4"/>
  <c r="C1630" i="4"/>
  <c r="C1658" i="4"/>
  <c r="C1716" i="4"/>
  <c r="C1790" i="4"/>
  <c r="C1835" i="4"/>
  <c r="C1868" i="4"/>
  <c r="C1886" i="4"/>
  <c r="C1952" i="4"/>
  <c r="C2090" i="4"/>
  <c r="C2131" i="4"/>
  <c r="C2171" i="4"/>
  <c r="C2224" i="4"/>
  <c r="C2266" i="4"/>
  <c r="C2290" i="4"/>
  <c r="C2394" i="4"/>
  <c r="C2419" i="4"/>
  <c r="C2447" i="4"/>
  <c r="C2492" i="4"/>
  <c r="C100" i="4"/>
  <c r="C246" i="4"/>
  <c r="C420" i="4"/>
  <c r="C380" i="4"/>
  <c r="C603" i="4"/>
  <c r="C283" i="4"/>
  <c r="C530" i="4"/>
  <c r="C351" i="4"/>
  <c r="C575" i="4"/>
  <c r="C456" i="4"/>
  <c r="C651" i="4"/>
  <c r="C647" i="4"/>
  <c r="C524" i="4"/>
  <c r="C460" i="4"/>
  <c r="C591" i="4"/>
  <c r="C382" i="4"/>
  <c r="C630" i="4"/>
  <c r="C718" i="4"/>
  <c r="C764" i="4"/>
  <c r="C826" i="4"/>
  <c r="C854" i="4"/>
  <c r="C902" i="4"/>
  <c r="C922" i="4"/>
  <c r="C976" i="4"/>
  <c r="C1027" i="4"/>
  <c r="C1084" i="4"/>
  <c r="C1106" i="4"/>
  <c r="C1154" i="4"/>
  <c r="C1179" i="4"/>
  <c r="C1219" i="4"/>
  <c r="C1259" i="4"/>
  <c r="C1298" i="4"/>
  <c r="C1348" i="4"/>
  <c r="C1406" i="4"/>
  <c r="C1424" i="4"/>
  <c r="C1450" i="4"/>
  <c r="C1504" i="4"/>
  <c r="C1547" i="4"/>
  <c r="C1603" i="4"/>
  <c r="C1672" i="4"/>
  <c r="C1768" i="4"/>
  <c r="C1827" i="4"/>
  <c r="C1850" i="4"/>
  <c r="C1906" i="4"/>
  <c r="C1946" i="4"/>
  <c r="C2044" i="4"/>
  <c r="C2102" i="4"/>
  <c r="C2163" i="4"/>
  <c r="C2211" i="4"/>
  <c r="C2243" i="4"/>
  <c r="C2270" i="4"/>
  <c r="C2303" i="4"/>
  <c r="C2392" i="4"/>
  <c r="C2442" i="4"/>
  <c r="C2494" i="4"/>
  <c r="C2531" i="4"/>
  <c r="C2588" i="4"/>
  <c r="C711" i="4"/>
  <c r="C127" i="4"/>
  <c r="C264" i="4"/>
  <c r="C659" i="4"/>
  <c r="C430" i="4"/>
  <c r="C168" i="4"/>
  <c r="C556" i="4"/>
  <c r="C239" i="4"/>
  <c r="C82" i="4"/>
  <c r="C208" i="4"/>
  <c r="C284" i="4"/>
  <c r="C599" i="4"/>
  <c r="C471" i="4"/>
  <c r="C643" i="4"/>
  <c r="C452" i="4"/>
  <c r="C486" i="4"/>
  <c r="C635" i="4"/>
  <c r="C378" i="4"/>
  <c r="C742" i="4"/>
  <c r="C796" i="4"/>
  <c r="C835" i="4"/>
  <c r="C862" i="4"/>
  <c r="C918" i="4"/>
  <c r="C952" i="4"/>
  <c r="C996" i="4"/>
  <c r="C1004" i="4"/>
  <c r="C1014" i="4"/>
  <c r="C1107" i="4"/>
  <c r="C1146" i="4"/>
  <c r="C1172" i="4"/>
  <c r="C1199" i="4"/>
  <c r="C1255" i="4"/>
  <c r="C1352" i="4"/>
  <c r="C1395" i="4"/>
  <c r="C1463" i="4"/>
  <c r="C1508" i="4"/>
  <c r="C1543" i="4"/>
  <c r="C1586" i="4"/>
  <c r="C1611" i="4"/>
  <c r="C1651" i="4"/>
  <c r="C1708" i="4"/>
  <c r="C1776" i="4"/>
  <c r="C1823" i="4"/>
  <c r="C1860" i="4"/>
  <c r="C1904" i="4"/>
  <c r="C1927" i="4"/>
  <c r="C1954" i="4"/>
  <c r="C2036" i="4"/>
  <c r="C2120" i="4"/>
  <c r="C2156" i="4"/>
  <c r="C2216" i="4"/>
  <c r="C2238" i="4"/>
  <c r="C2275" i="4"/>
  <c r="C2298" i="4"/>
  <c r="C2387" i="4"/>
  <c r="C2444" i="4"/>
  <c r="C2470" i="4"/>
  <c r="C2528" i="4"/>
  <c r="C2564" i="4"/>
  <c r="C2584" i="4"/>
  <c r="C2595" i="4"/>
  <c r="C2611" i="4"/>
  <c r="C315" i="4"/>
  <c r="C176" i="4"/>
  <c r="C370" i="4"/>
  <c r="C200" i="4"/>
  <c r="C238" i="4"/>
  <c r="C150" i="4"/>
  <c r="C316" i="4"/>
  <c r="C132" i="4"/>
  <c r="C243" i="4"/>
  <c r="C274" i="4"/>
  <c r="C642" i="4"/>
  <c r="C123" i="4"/>
  <c r="C679" i="4"/>
  <c r="C534" i="4"/>
  <c r="C394" i="4"/>
  <c r="C731" i="4"/>
  <c r="C798" i="4"/>
  <c r="C819" i="4"/>
  <c r="C859" i="4"/>
  <c r="C936" i="4"/>
  <c r="C962" i="4"/>
  <c r="C1019" i="4"/>
  <c r="C1058" i="4"/>
  <c r="C1079" i="4"/>
  <c r="C1135" i="4"/>
  <c r="C1168" i="4"/>
  <c r="C1190" i="4"/>
  <c r="C1222" i="4"/>
  <c r="C1295" i="4"/>
  <c r="C1342" i="4"/>
  <c r="C1379" i="4"/>
  <c r="C1418" i="4"/>
  <c r="C1442" i="4"/>
  <c r="C1488" i="4"/>
  <c r="C1523" i="4"/>
  <c r="C1560" i="4"/>
  <c r="C1575" i="4"/>
  <c r="C1616" i="4"/>
  <c r="C1622" i="4"/>
  <c r="C1654" i="4"/>
  <c r="C1700" i="4"/>
  <c r="C1770" i="4"/>
  <c r="C1810" i="4"/>
  <c r="C1820" i="4"/>
  <c r="C1864" i="4"/>
  <c r="C1923" i="4"/>
  <c r="C1950" i="4"/>
  <c r="C2080" i="4"/>
  <c r="C2092" i="4"/>
  <c r="C2144" i="4"/>
  <c r="C2194" i="4"/>
  <c r="C2252" i="4"/>
  <c r="C2279" i="4"/>
  <c r="C2407" i="4"/>
  <c r="C2423" i="4"/>
  <c r="C2504" i="4"/>
  <c r="C2542" i="4"/>
  <c r="C2515" i="4"/>
  <c r="C95" i="4"/>
  <c r="C330" i="4"/>
  <c r="C126" i="4"/>
  <c r="C366" i="4"/>
  <c r="C136" i="4"/>
  <c r="C104" i="4"/>
  <c r="C63" i="4"/>
  <c r="C230" i="4"/>
  <c r="C639" i="4"/>
  <c r="C466" i="4"/>
  <c r="C656" i="4"/>
  <c r="C522" i="4"/>
  <c r="C279" i="4"/>
  <c r="C439" i="4"/>
  <c r="C660" i="4"/>
  <c r="C730" i="4"/>
  <c r="C758" i="4"/>
  <c r="C794" i="4"/>
  <c r="C816" i="4"/>
  <c r="C855" i="4"/>
  <c r="C886" i="4"/>
  <c r="C928" i="4"/>
  <c r="C1002" i="4"/>
  <c r="C1056" i="4"/>
  <c r="C1136" i="4"/>
  <c r="C1206" i="4"/>
  <c r="C1250" i="4"/>
  <c r="C1267" i="4"/>
  <c r="C1320" i="4"/>
  <c r="C1438" i="4"/>
  <c r="C1458" i="4"/>
  <c r="C1486" i="4"/>
  <c r="C1544" i="4"/>
  <c r="C1562" i="4"/>
  <c r="C1600" i="4"/>
  <c r="C1696" i="4"/>
  <c r="C1714" i="4"/>
  <c r="C1756" i="4"/>
  <c r="C1795" i="4"/>
  <c r="C1815" i="4"/>
  <c r="C1882" i="4"/>
  <c r="C1910" i="4"/>
  <c r="C1947" i="4"/>
  <c r="C2070" i="4"/>
  <c r="C2094" i="4"/>
  <c r="C2136" i="4"/>
  <c r="C2167" i="4"/>
  <c r="C2207" i="4"/>
  <c r="C2272" i="4"/>
  <c r="C2304" i="4"/>
  <c r="C2446" i="4"/>
  <c r="C2487" i="4"/>
  <c r="C2560" i="4"/>
  <c r="C130" i="4"/>
  <c r="C167" i="4"/>
  <c r="C260" i="4"/>
  <c r="C654" i="4"/>
  <c r="C114" i="4"/>
  <c r="C334" i="4"/>
  <c r="C292" i="4"/>
  <c r="C623" i="4"/>
  <c r="C402" i="4"/>
  <c r="C250" i="4"/>
  <c r="C216" i="4"/>
  <c r="C199" i="4"/>
  <c r="C698" i="4"/>
  <c r="C743" i="4"/>
  <c r="C776" i="4"/>
  <c r="C839" i="4"/>
  <c r="C903" i="4"/>
  <c r="C955" i="4"/>
  <c r="C984" i="4"/>
  <c r="C1039" i="4"/>
  <c r="C1087" i="4"/>
  <c r="C1103" i="4"/>
  <c r="C1139" i="4"/>
  <c r="C1220" i="4"/>
  <c r="C1270" i="4"/>
  <c r="C1291" i="4"/>
  <c r="C1356" i="4"/>
  <c r="C1398" i="4"/>
  <c r="C1434" i="4"/>
  <c r="C1487" i="4"/>
  <c r="C1512" i="4"/>
  <c r="C1546" i="4"/>
  <c r="C1638" i="4"/>
  <c r="C1675" i="4"/>
  <c r="C1702" i="4"/>
  <c r="C1811" i="4"/>
  <c r="C1852" i="4"/>
  <c r="C1890" i="4"/>
  <c r="C1976" i="4"/>
  <c r="C2076" i="4"/>
  <c r="C2155" i="4"/>
  <c r="C2195" i="4"/>
  <c r="C2236" i="4"/>
  <c r="C2295" i="4"/>
  <c r="C2416" i="4"/>
  <c r="C2455" i="4"/>
  <c r="C2475" i="4"/>
  <c r="C2527" i="4"/>
  <c r="C2554" i="4"/>
  <c r="C2590" i="4"/>
  <c r="C2607" i="4"/>
  <c r="C72" i="4"/>
  <c r="C76" i="4"/>
  <c r="C156" i="4"/>
  <c r="C604" i="4"/>
  <c r="C92" i="4"/>
  <c r="C204" i="4"/>
  <c r="C588" i="4"/>
  <c r="C448" i="4"/>
  <c r="C624" i="4"/>
  <c r="C400" i="4"/>
  <c r="C403" i="4"/>
  <c r="C615" i="4"/>
  <c r="C636" i="4"/>
  <c r="C474" i="4"/>
  <c r="C744" i="4"/>
  <c r="C787" i="4"/>
  <c r="C824" i="4"/>
  <c r="C880" i="4"/>
  <c r="C930" i="4"/>
  <c r="C992" i="4"/>
  <c r="C1042" i="4"/>
  <c r="C1078" i="4"/>
  <c r="C1147" i="4"/>
  <c r="C1192" i="4"/>
  <c r="C1210" i="4"/>
  <c r="C1234" i="4"/>
  <c r="C1275" i="4"/>
  <c r="C1315" i="4"/>
  <c r="C1350" i="4"/>
  <c r="C1372" i="4"/>
  <c r="C1387" i="4"/>
  <c r="C1402" i="4"/>
  <c r="C1455" i="4"/>
  <c r="C1478" i="4"/>
  <c r="C1532" i="4"/>
  <c r="C1608" i="4"/>
  <c r="C1646" i="4"/>
  <c r="C1670" i="4"/>
  <c r="C1694" i="4"/>
  <c r="C1762" i="4"/>
  <c r="C1784" i="4"/>
  <c r="C1822" i="4"/>
  <c r="C1880" i="4"/>
  <c r="C1924" i="4"/>
  <c r="C2035" i="4"/>
  <c r="C2119" i="4"/>
  <c r="C2168" i="4"/>
  <c r="C2183" i="4"/>
  <c r="C2234" i="4"/>
  <c r="C2364" i="4"/>
  <c r="C2403" i="4"/>
  <c r="C2463" i="4"/>
  <c r="C2500" i="4"/>
  <c r="C2536" i="4"/>
  <c r="C2548" i="4"/>
  <c r="C2582" i="4"/>
  <c r="C138" i="4"/>
  <c r="C122" i="4"/>
  <c r="C614" i="4"/>
  <c r="C332" i="4"/>
  <c r="C240" i="4"/>
  <c r="C688" i="4"/>
  <c r="C116" i="4"/>
  <c r="C84" i="4"/>
  <c r="C135" i="4"/>
  <c r="C610" i="4"/>
  <c r="C410" i="4"/>
  <c r="C631" i="4"/>
  <c r="C431" i="4"/>
  <c r="C508" i="4"/>
  <c r="C712" i="4"/>
  <c r="C607" i="4"/>
  <c r="C182" i="4"/>
  <c r="C683" i="4"/>
  <c r="C716" i="4"/>
  <c r="C752" i="4"/>
  <c r="C790" i="4"/>
  <c r="C860" i="4"/>
  <c r="C896" i="4"/>
  <c r="C920" i="4"/>
  <c r="C966" i="4"/>
  <c r="C1024" i="4"/>
  <c r="C1046" i="4"/>
  <c r="C1083" i="4"/>
  <c r="C1128" i="4"/>
  <c r="C1156" i="4"/>
  <c r="C1174" i="4"/>
  <c r="C1258" i="4"/>
  <c r="C1287" i="4"/>
  <c r="C1344" i="4"/>
  <c r="C1368" i="4"/>
  <c r="C1419" i="4"/>
  <c r="C1443" i="4"/>
  <c r="C1494" i="4"/>
  <c r="C1558" i="4"/>
  <c r="C1620" i="4"/>
  <c r="C1631" i="4"/>
  <c r="C1678" i="4"/>
  <c r="C1711" i="4"/>
  <c r="C1807" i="4"/>
  <c r="C1847" i="4"/>
  <c r="C1888" i="4"/>
  <c r="C1919" i="4"/>
  <c r="C1971" i="4"/>
  <c r="C2086" i="4"/>
  <c r="C2138" i="4"/>
  <c r="C2160" i="4"/>
  <c r="C2188" i="4"/>
  <c r="C2248" i="4"/>
  <c r="C2268" i="4"/>
  <c r="C2380" i="4"/>
  <c r="C2399" i="4"/>
  <c r="C2434" i="4"/>
  <c r="C2483" i="4"/>
  <c r="C2532" i="4"/>
  <c r="C2567" i="4"/>
  <c r="C2610" i="4"/>
  <c r="C134" i="4"/>
  <c r="C98" i="4"/>
  <c r="C115" i="4"/>
  <c r="C300" i="4"/>
  <c r="C256" i="4"/>
  <c r="C343" i="4"/>
  <c r="C158" i="4"/>
  <c r="C259" i="4"/>
  <c r="C159" i="4"/>
  <c r="C567" i="4"/>
  <c r="C348" i="4"/>
  <c r="C512" i="4"/>
  <c r="C458" i="4"/>
  <c r="C299" i="4"/>
  <c r="C503" i="4"/>
  <c r="C732" i="4"/>
  <c r="C771" i="4"/>
  <c r="C807" i="4"/>
  <c r="C863" i="4"/>
  <c r="C899" i="4"/>
  <c r="C947" i="4"/>
  <c r="C963" i="4"/>
  <c r="C991" i="4"/>
  <c r="C1026" i="4"/>
  <c r="C1080" i="4"/>
  <c r="C1099" i="4"/>
  <c r="C1122" i="4"/>
  <c r="C1204" i="4"/>
  <c r="C1244" i="4"/>
  <c r="C1262" i="4"/>
  <c r="C1290" i="4"/>
  <c r="C1322" i="4"/>
  <c r="C1378" i="4"/>
  <c r="C1403" i="4"/>
  <c r="C1506" i="4"/>
  <c r="C1548" i="4"/>
  <c r="C1579" i="4"/>
  <c r="C1642" i="4"/>
  <c r="C1671" i="4"/>
  <c r="C1763" i="4"/>
  <c r="C1800" i="4"/>
  <c r="C1834" i="4"/>
  <c r="C1866" i="4"/>
  <c r="C1915" i="4"/>
  <c r="C2040" i="4"/>
  <c r="C2100" i="4"/>
  <c r="C2142" i="4"/>
  <c r="C2176" i="4"/>
  <c r="C2222" i="4"/>
  <c r="C2276" i="4"/>
  <c r="C2367" i="4"/>
  <c r="C2404" i="4"/>
  <c r="C2422" i="4"/>
  <c r="C2471" i="4"/>
  <c r="C2496" i="4"/>
  <c r="C398" i="4"/>
  <c r="C468" i="4"/>
  <c r="C254" i="4"/>
  <c r="C611" i="4"/>
  <c r="C352" i="4"/>
  <c r="C407" i="4"/>
  <c r="C340" i="4"/>
  <c r="C472" i="4"/>
  <c r="C692" i="4"/>
  <c r="C478" i="4"/>
  <c r="C680" i="4"/>
  <c r="C496" i="4"/>
  <c r="C464" i="4"/>
  <c r="C548" i="4"/>
  <c r="C416" i="4"/>
  <c r="C540" i="4"/>
  <c r="C418" i="4"/>
  <c r="C723" i="4"/>
  <c r="C779" i="4"/>
  <c r="C838" i="4"/>
  <c r="C874" i="4"/>
  <c r="C898" i="4"/>
  <c r="C943" i="4"/>
  <c r="C994" i="4"/>
  <c r="C1052" i="4"/>
  <c r="C1086" i="4"/>
  <c r="C1115" i="4"/>
  <c r="C1150" i="4"/>
  <c r="C1194" i="4"/>
  <c r="C1226" i="4"/>
  <c r="C1272" i="4"/>
  <c r="C1319" i="4"/>
  <c r="C1351" i="4"/>
  <c r="C1410" i="4"/>
  <c r="C1423" i="4"/>
  <c r="C1459" i="4"/>
  <c r="C1511" i="4"/>
  <c r="C1576" i="4"/>
  <c r="C1602" i="4"/>
  <c r="C1752" i="4"/>
  <c r="C1766" i="4"/>
  <c r="C1836" i="4"/>
  <c r="C1863" i="4"/>
  <c r="C1930" i="4"/>
  <c r="C1955" i="4"/>
  <c r="C2072" i="4"/>
  <c r="C2106" i="4"/>
  <c r="C2190" i="4"/>
  <c r="C2214" i="4"/>
  <c r="C2246" i="4"/>
  <c r="C2282" i="4"/>
  <c r="C2362" i="4"/>
  <c r="C2396" i="4"/>
  <c r="C2452" i="4"/>
  <c r="C2508" i="4"/>
  <c r="C2544" i="4"/>
  <c r="C2587" i="4"/>
  <c r="C727" i="4"/>
  <c r="C531" i="4"/>
  <c r="C120" i="4"/>
  <c r="C55" i="4"/>
  <c r="C480" i="4"/>
  <c r="C232" i="4"/>
  <c r="C519" i="4"/>
  <c r="C276" i="4"/>
  <c r="C359" i="4"/>
  <c r="C326" i="4"/>
  <c r="C119" i="4"/>
  <c r="C479" i="4"/>
  <c r="C211" i="4"/>
  <c r="C583" i="4"/>
  <c r="C526" i="4"/>
  <c r="C706" i="4"/>
  <c r="C618" i="4"/>
  <c r="C714" i="4"/>
  <c r="C767" i="4"/>
  <c r="C808" i="4"/>
  <c r="C848" i="4"/>
  <c r="C883" i="4"/>
  <c r="C927" i="4"/>
  <c r="C9" i="4"/>
  <c r="C990" i="4"/>
  <c r="C1007" i="4"/>
  <c r="C1032" i="4"/>
  <c r="C1118" i="4"/>
  <c r="C1155" i="4"/>
  <c r="C1180" i="4"/>
  <c r="C1208" i="4"/>
  <c r="C1328" i="4"/>
  <c r="C1370" i="4"/>
  <c r="C1420" i="4"/>
  <c r="C1471" i="4"/>
  <c r="C1528" i="4"/>
  <c r="C1580" i="4"/>
  <c r="C1587" i="4"/>
  <c r="C1619" i="4"/>
  <c r="C1666" i="4"/>
  <c r="C1706" i="4"/>
  <c r="C1775" i="4"/>
  <c r="C1830" i="4"/>
  <c r="C1871" i="4"/>
  <c r="C1908" i="4"/>
  <c r="C1940" i="4"/>
  <c r="C1968" i="4"/>
  <c r="C2099" i="4"/>
  <c r="C2132" i="4"/>
  <c r="C2154" i="4"/>
  <c r="C2215" i="4"/>
  <c r="C2242" i="4"/>
  <c r="C2296" i="4"/>
  <c r="C2363" i="4"/>
  <c r="C2391" i="4"/>
  <c r="C2450" i="4"/>
  <c r="C2495" i="4"/>
  <c r="C2523" i="4"/>
  <c r="C2572" i="4"/>
  <c r="C2586" i="4"/>
  <c r="C2598" i="4"/>
  <c r="C2618" i="4"/>
  <c r="C331" i="4"/>
  <c r="C180" i="4"/>
  <c r="C442" i="4"/>
  <c r="C178" i="4"/>
  <c r="C148" i="4"/>
  <c r="C190" i="4"/>
  <c r="C214" i="4"/>
  <c r="C266" i="4"/>
  <c r="C207" i="4"/>
  <c r="C426" i="4"/>
  <c r="C484" i="4"/>
  <c r="C318" i="4"/>
  <c r="C587" i="4"/>
  <c r="C294" i="4"/>
  <c r="C395" i="4"/>
  <c r="C778" i="4"/>
  <c r="C806" i="4"/>
  <c r="C831" i="4"/>
  <c r="C864" i="4"/>
  <c r="C940" i="4"/>
  <c r="C975" i="4"/>
  <c r="C1028" i="4"/>
  <c r="C1063" i="4"/>
  <c r="C1094" i="4"/>
  <c r="C1138" i="4"/>
  <c r="C1170" i="4"/>
  <c r="C1198" i="4"/>
  <c r="C1235" i="4"/>
  <c r="C1307" i="4"/>
  <c r="C1354" i="4"/>
  <c r="C1388" i="4"/>
  <c r="C1426" i="4"/>
  <c r="C1447" i="4"/>
  <c r="C1507" i="4"/>
  <c r="C1530" i="4"/>
  <c r="C1564" i="4"/>
  <c r="C1591" i="4"/>
  <c r="C1610" i="4"/>
  <c r="C1634" i="4"/>
  <c r="C1668" i="4"/>
  <c r="C1710" i="4"/>
  <c r="C1774" i="4"/>
  <c r="C1798" i="4"/>
  <c r="C1826" i="4"/>
  <c r="C1859" i="4"/>
  <c r="C1931" i="4"/>
  <c r="C1967" i="4"/>
  <c r="C2084" i="4"/>
  <c r="C2114" i="4"/>
  <c r="C2147" i="4"/>
  <c r="C2203" i="4"/>
  <c r="C2255" i="4"/>
  <c r="C2302" i="4"/>
  <c r="C2412" i="4"/>
  <c r="C2426" i="4"/>
  <c r="C2503" i="4"/>
  <c r="C2555" i="4"/>
  <c r="C2612" i="4"/>
  <c r="C308" i="4"/>
  <c r="C60" i="4"/>
  <c r="C172" i="4"/>
  <c r="C186" i="4"/>
  <c r="C160" i="4"/>
  <c r="C338" i="4"/>
  <c r="C419" i="4"/>
  <c r="C179" i="4"/>
  <c r="C483" i="4"/>
  <c r="C220" i="4"/>
  <c r="C666" i="4"/>
  <c r="C702" i="4"/>
  <c r="C440" i="4"/>
  <c r="C538" i="4"/>
  <c r="C646" i="4"/>
  <c r="C736" i="4"/>
  <c r="C759" i="4"/>
  <c r="C802" i="4"/>
  <c r="C830" i="4"/>
  <c r="C866" i="4"/>
  <c r="C911" i="4"/>
  <c r="C923" i="4"/>
  <c r="C1006" i="4"/>
  <c r="C1076" i="4"/>
  <c r="C1183" i="4"/>
  <c r="C1228" i="4"/>
  <c r="C1254" i="4"/>
  <c r="C1296" i="4"/>
  <c r="C1324" i="4"/>
  <c r="C1446" i="4"/>
  <c r="C1468" i="4"/>
  <c r="C1496" i="4"/>
  <c r="C1534" i="4"/>
  <c r="C1578" i="4"/>
  <c r="C1612" i="4"/>
  <c r="C1691" i="4"/>
  <c r="C1743" i="4"/>
  <c r="C1780" i="4"/>
  <c r="C1803" i="4"/>
  <c r="C1855" i="4"/>
  <c r="C1895" i="4"/>
  <c r="C1928" i="4"/>
  <c r="C1956" i="4"/>
  <c r="C2079" i="4"/>
  <c r="C2116" i="4"/>
  <c r="C2134" i="4"/>
  <c r="C2179" i="4"/>
  <c r="C2228" i="4"/>
  <c r="C2274" i="4"/>
  <c r="C2398" i="4"/>
  <c r="C2458" i="4"/>
  <c r="C2499" i="4"/>
  <c r="C2591" i="4"/>
  <c r="C2630" i="4"/>
  <c r="C2626" i="4"/>
  <c r="C147" i="4"/>
  <c r="C498" i="4"/>
  <c r="C278" i="4"/>
  <c r="C580" i="4"/>
  <c r="C355" i="4"/>
  <c r="C598" i="4"/>
  <c r="C310" i="4"/>
  <c r="C306" i="4"/>
  <c r="C428" i="4"/>
  <c r="C408" i="4"/>
  <c r="C555" i="4"/>
  <c r="C586" i="4"/>
  <c r="C375" i="4"/>
  <c r="C720" i="4"/>
  <c r="C754" i="4"/>
  <c r="C800" i="4"/>
  <c r="C867" i="4"/>
  <c r="C926" i="4"/>
  <c r="C958" i="4"/>
  <c r="C979" i="4"/>
  <c r="C1068" i="4"/>
  <c r="C1092" i="4"/>
  <c r="C1110" i="4"/>
  <c r="C1152" i="4"/>
  <c r="C1232" i="4"/>
  <c r="C1284" i="4"/>
  <c r="C1294" i="4"/>
  <c r="C1360" i="4"/>
  <c r="C1416" i="4"/>
  <c r="C1464" i="4"/>
  <c r="C1490" i="4"/>
  <c r="C1510" i="4"/>
  <c r="C1566" i="4"/>
  <c r="C1644" i="4"/>
  <c r="C1687" i="4"/>
  <c r="C1712" i="4"/>
  <c r="C1824" i="4"/>
  <c r="C1867" i="4"/>
  <c r="C1902" i="4"/>
  <c r="C1974" i="4"/>
  <c r="C2088" i="4"/>
  <c r="C2158" i="4"/>
  <c r="C2210" i="4"/>
  <c r="C2251" i="4"/>
  <c r="C2371" i="4"/>
  <c r="C2415" i="4"/>
  <c r="C2454" i="4"/>
  <c r="C2490" i="4"/>
  <c r="C2530" i="4"/>
  <c r="C2562" i="4"/>
  <c r="C2600" i="4"/>
  <c r="C2506" i="4"/>
  <c r="C251" i="4"/>
  <c r="C56" i="4"/>
  <c r="C376" i="4"/>
  <c r="C323" i="4"/>
  <c r="C572" i="4"/>
  <c r="C358" i="4"/>
  <c r="C388" i="4"/>
  <c r="C515" i="4"/>
  <c r="C368" i="4"/>
  <c r="C396" i="4"/>
  <c r="C491" i="4"/>
  <c r="C670" i="4"/>
  <c r="C68" i="4"/>
  <c r="C554" i="4"/>
  <c r="C747" i="4"/>
  <c r="C804" i="4"/>
  <c r="C852" i="4"/>
  <c r="C887" i="4"/>
  <c r="C934" i="4"/>
  <c r="C1018" i="4"/>
  <c r="C1051" i="4"/>
  <c r="C1088" i="4"/>
  <c r="C1151" i="4"/>
  <c r="C1187" i="4"/>
  <c r="C1223" i="4"/>
  <c r="C1260" i="4"/>
  <c r="C1304" i="4"/>
  <c r="C1318" i="4"/>
  <c r="C1363" i="4"/>
  <c r="C1371" i="4"/>
  <c r="C1392" i="4"/>
  <c r="C1428" i="4"/>
  <c r="C1462" i="4"/>
  <c r="C1500" i="4"/>
  <c r="C1570" i="4"/>
  <c r="C1627" i="4"/>
  <c r="C1650" i="4"/>
  <c r="C1679" i="4"/>
  <c r="C1748" i="4"/>
  <c r="C1758" i="4"/>
  <c r="C1783" i="4"/>
  <c r="C1844" i="4"/>
  <c r="C1884" i="4"/>
  <c r="C1918" i="4"/>
  <c r="C2074" i="4"/>
  <c r="C2122" i="4"/>
  <c r="C2166" i="4"/>
  <c r="C2186" i="4"/>
  <c r="C2250" i="4"/>
  <c r="C2368" i="4"/>
  <c r="C2431" i="4"/>
  <c r="C2472" i="4"/>
  <c r="C2498" i="4"/>
  <c r="C2534" i="4"/>
  <c r="C2550" i="4"/>
  <c r="C2571" i="4"/>
  <c r="C140" i="4"/>
  <c r="C219" i="4"/>
  <c r="C295" i="4"/>
  <c r="C490" i="4"/>
  <c r="C78" i="4"/>
  <c r="C247" i="4"/>
  <c r="C164" i="4"/>
  <c r="C672" i="4"/>
  <c r="C327" i="4"/>
  <c r="C627" i="4"/>
  <c r="C342" i="4"/>
  <c r="C551" i="4"/>
  <c r="C488" i="4"/>
  <c r="C499" i="4"/>
  <c r="C568" i="4"/>
  <c r="C399" i="4"/>
  <c r="C492" i="4"/>
  <c r="C386" i="4"/>
  <c r="C734" i="4"/>
  <c r="C755" i="4"/>
  <c r="C792" i="4"/>
  <c r="C875" i="4"/>
  <c r="C895" i="4"/>
  <c r="C924" i="4"/>
  <c r="C967" i="4"/>
  <c r="C1022" i="4"/>
  <c r="C1050" i="4"/>
  <c r="C1102" i="4"/>
  <c r="C1127" i="4"/>
  <c r="C1159" i="4"/>
  <c r="C1202" i="4"/>
  <c r="C1276" i="4"/>
  <c r="C1300" i="4"/>
  <c r="C1330" i="4"/>
  <c r="C1400" i="4"/>
  <c r="C1436" i="4"/>
  <c r="C1452" i="4"/>
  <c r="C1527" i="4"/>
  <c r="C1567" i="4"/>
  <c r="C1624" i="4"/>
  <c r="C1639" i="4"/>
  <c r="C1682" i="4"/>
  <c r="C1764" i="4"/>
  <c r="C1818" i="4"/>
  <c r="C1872" i="4"/>
  <c r="C1896" i="4"/>
  <c r="C1932" i="4"/>
  <c r="C17" i="4"/>
  <c r="C2096" i="4"/>
  <c r="C2148" i="4"/>
  <c r="C2164" i="4"/>
  <c r="C2192" i="4"/>
  <c r="C2256" i="4"/>
  <c r="C2271" i="4"/>
  <c r="C2384" i="4"/>
  <c r="C2408" i="4"/>
  <c r="C2474" i="4"/>
  <c r="C2488" i="4"/>
  <c r="C2540" i="4"/>
  <c r="C2579" i="4"/>
  <c r="C2623" i="4"/>
  <c r="C296" i="4"/>
  <c r="C154" i="4"/>
  <c r="C107" i="4"/>
  <c r="C362" i="4"/>
  <c r="C500" i="4"/>
  <c r="C371" i="4"/>
  <c r="C226" i="4"/>
  <c r="C218" i="4"/>
  <c r="C391" i="4"/>
  <c r="C535" i="4"/>
  <c r="C528" i="4"/>
  <c r="C476" i="4"/>
  <c r="C319" i="4"/>
  <c r="C559" i="4"/>
  <c r="C708" i="4"/>
  <c r="C756" i="4"/>
  <c r="C774" i="4"/>
  <c r="C823" i="4"/>
  <c r="C878" i="4"/>
  <c r="C908" i="4"/>
  <c r="C951" i="4"/>
  <c r="C970" i="4"/>
  <c r="C995" i="4"/>
  <c r="C1034" i="4"/>
  <c r="C1096" i="4"/>
  <c r="C1112" i="4"/>
  <c r="C1144" i="4"/>
  <c r="C1215" i="4"/>
  <c r="C1243" i="4"/>
  <c r="C1274" i="4"/>
  <c r="C1303" i="4"/>
  <c r="C1340" i="4"/>
  <c r="C1391" i="4"/>
  <c r="C1415" i="4"/>
  <c r="C1520" i="4"/>
  <c r="C1556" i="4"/>
  <c r="C1594" i="4"/>
  <c r="C1647" i="4"/>
  <c r="C1674" i="4"/>
  <c r="C13" i="4"/>
  <c r="C1799" i="4"/>
  <c r="C1839" i="4"/>
  <c r="C1874" i="4"/>
  <c r="C1935" i="4"/>
  <c r="C2042" i="4"/>
  <c r="C2123" i="4"/>
  <c r="C2162" i="4"/>
  <c r="C2204" i="4"/>
  <c r="C2226" i="4"/>
  <c r="C2288" i="4"/>
  <c r="C2375" i="4"/>
  <c r="C2414" i="4"/>
  <c r="C2430" i="4"/>
  <c r="C2484" i="4"/>
  <c r="C2583" i="4"/>
  <c r="C110" i="4"/>
  <c r="C356" i="4"/>
  <c r="C67" i="4"/>
  <c r="C523" i="4"/>
  <c r="C102" i="4"/>
  <c r="C648" i="4"/>
  <c r="C652" i="4"/>
  <c r="C111" i="4"/>
  <c r="C564" i="4"/>
  <c r="C390" i="4"/>
  <c r="C527" i="4"/>
  <c r="C676" i="4"/>
  <c r="C427" i="4"/>
  <c r="C674" i="4"/>
  <c r="C350" i="4"/>
  <c r="C70" i="4"/>
  <c r="C502" i="4"/>
  <c r="C728" i="4"/>
  <c r="C799" i="4"/>
  <c r="C842" i="4"/>
  <c r="C879" i="4"/>
  <c r="C912" i="4"/>
  <c r="C960" i="4"/>
  <c r="C1008" i="4"/>
  <c r="C1047" i="4"/>
  <c r="C1104" i="4"/>
  <c r="C1123" i="4"/>
  <c r="C1166" i="4"/>
  <c r="C1195" i="4"/>
  <c r="C1242" i="4"/>
  <c r="C1280" i="4"/>
  <c r="C1335" i="4"/>
  <c r="C1382" i="4"/>
  <c r="C1411" i="4"/>
  <c r="C1431" i="4"/>
  <c r="C1492" i="4"/>
  <c r="C1535" i="4"/>
  <c r="C1572" i="4"/>
  <c r="C1607" i="4"/>
  <c r="C1750" i="4"/>
  <c r="C1782" i="4"/>
  <c r="C1843" i="4"/>
  <c r="C1894" i="4"/>
  <c r="C1934" i="4"/>
  <c r="C1964" i="4"/>
  <c r="C2075" i="4"/>
  <c r="C2118" i="4"/>
  <c r="C2200" i="4"/>
  <c r="C2230" i="4"/>
  <c r="C2247" i="4"/>
  <c r="C2292" i="4"/>
  <c r="C2376" i="4"/>
  <c r="C2428" i="4"/>
  <c r="C2468" i="4"/>
  <c r="C2510" i="4"/>
  <c r="C2552" i="4"/>
  <c r="C2594" i="4"/>
  <c r="C224" i="4"/>
  <c r="C663" i="4"/>
  <c r="C231" i="4"/>
  <c r="C99" i="4"/>
  <c r="C222" i="4"/>
  <c r="C88" i="4"/>
  <c r="C90" i="4"/>
  <c r="C516" i="4"/>
  <c r="C291" i="4"/>
  <c r="C700" i="4"/>
  <c r="C347" i="4"/>
  <c r="C272" i="4"/>
  <c r="C634" i="4"/>
  <c r="C694" i="4"/>
  <c r="C668" i="4"/>
  <c r="C707" i="4"/>
  <c r="C131" i="4"/>
  <c r="C715" i="4"/>
  <c r="C780" i="4"/>
  <c r="C828" i="4"/>
  <c r="C846" i="4"/>
  <c r="C904" i="4"/>
  <c r="C931" i="4"/>
  <c r="C978" i="4"/>
  <c r="C1000" i="4"/>
  <c r="C1010" i="4"/>
  <c r="C1040" i="4"/>
  <c r="C1126" i="4"/>
  <c r="C1158" i="4"/>
  <c r="C1182" i="4"/>
  <c r="C1218" i="4"/>
  <c r="C1332" i="4"/>
  <c r="C1367" i="4"/>
  <c r="C1448" i="4"/>
  <c r="C1475" i="4"/>
  <c r="C1531" i="4"/>
  <c r="C1574" i="4"/>
  <c r="C1604" i="4"/>
  <c r="C1632" i="4"/>
  <c r="C1688" i="4"/>
  <c r="C1744" i="4"/>
  <c r="C1788" i="4"/>
  <c r="C1840" i="4"/>
  <c r="C1887" i="4"/>
  <c r="C1912" i="4"/>
  <c r="C1942" i="4"/>
  <c r="C1962" i="4"/>
  <c r="C2112" i="4"/>
  <c r="C2140" i="4"/>
  <c r="C2202" i="4"/>
  <c r="C2227" i="4"/>
  <c r="C2254" i="4"/>
  <c r="C2294" i="4"/>
  <c r="C2378" i="4"/>
  <c r="C2410" i="4"/>
  <c r="C2462" i="4"/>
  <c r="C2511" i="4"/>
  <c r="C2547" i="4"/>
  <c r="C2576" i="4"/>
  <c r="C2599" i="4"/>
  <c r="C2546" i="4"/>
  <c r="C2622" i="4"/>
  <c r="C628" i="4"/>
  <c r="C152" i="4"/>
  <c r="C280" i="4"/>
  <c r="C174" i="4"/>
  <c r="C244" i="4"/>
  <c r="C415" i="4"/>
  <c r="C594" i="4"/>
  <c r="C539" i="4"/>
  <c r="C192" i="4"/>
  <c r="C596" i="4"/>
  <c r="C467" i="4"/>
  <c r="C650" i="4"/>
  <c r="C335" i="4"/>
  <c r="C710" i="4"/>
  <c r="C726" i="4"/>
  <c r="C783" i="4"/>
  <c r="C803" i="4"/>
  <c r="C836" i="4"/>
  <c r="C872" i="4"/>
  <c r="C950" i="4"/>
  <c r="C982" i="4"/>
  <c r="C1036" i="4"/>
  <c r="C1062" i="4"/>
  <c r="C1116" i="4"/>
  <c r="C1143" i="4"/>
  <c r="C1178" i="4"/>
  <c r="C1203" i="4"/>
  <c r="C1252" i="4"/>
  <c r="C1316" i="4"/>
  <c r="C1366" i="4"/>
  <c r="C1408" i="4"/>
  <c r="C1435" i="4"/>
  <c r="C1476" i="4"/>
  <c r="C1524" i="4"/>
  <c r="C1526" i="4"/>
  <c r="C1563" i="4"/>
  <c r="C1595" i="4"/>
  <c r="C1615" i="4"/>
  <c r="C1648" i="4"/>
  <c r="C1680" i="4"/>
  <c r="C1746" i="4"/>
  <c r="C1778" i="4"/>
  <c r="C1808" i="4"/>
  <c r="C1832" i="4"/>
  <c r="C1879" i="4"/>
  <c r="C1938" i="4"/>
  <c r="C1966" i="4"/>
  <c r="C2082" i="4"/>
  <c r="C2128" i="4"/>
  <c r="C2175" i="4"/>
  <c r="C2212" i="4"/>
  <c r="C2262" i="4"/>
  <c r="C2370" i="4"/>
  <c r="C2420" i="4"/>
  <c r="C2438" i="4"/>
  <c r="C2516" i="4"/>
  <c r="C2568" i="4"/>
  <c r="C2619" i="4"/>
  <c r="C80" i="4"/>
  <c r="C91" i="4"/>
  <c r="C510" i="4"/>
  <c r="C675" i="4"/>
  <c r="C411" i="4"/>
  <c r="C424" i="4"/>
  <c r="C302" i="4"/>
  <c r="C324" i="4"/>
  <c r="C475" i="4"/>
  <c r="C638" i="4"/>
  <c r="C311" i="4"/>
  <c r="C511" i="4"/>
  <c r="C372" i="4"/>
  <c r="C576" i="4"/>
  <c r="C494" i="4"/>
  <c r="C763" i="4"/>
  <c r="C762" i="4"/>
  <c r="C815" i="4"/>
  <c r="C843" i="4"/>
  <c r="C870" i="4"/>
  <c r="C916" i="4"/>
  <c r="C938" i="4"/>
  <c r="C1020" i="4"/>
  <c r="C1074" i="4"/>
  <c r="C1188" i="4"/>
  <c r="C1230" i="4"/>
  <c r="C1264" i="4"/>
  <c r="C1308" i="4"/>
  <c r="C1359" i="4"/>
  <c r="C1451" i="4"/>
  <c r="C1466" i="4"/>
  <c r="C1498" i="4"/>
  <c r="C1555" i="4"/>
  <c r="C1584" i="4"/>
  <c r="C1614" i="4"/>
  <c r="C1695" i="4"/>
  <c r="C1742" i="4"/>
  <c r="C1792" i="4"/>
  <c r="C1812" i="4"/>
  <c r="C1858" i="4"/>
  <c r="C1916" i="4"/>
  <c r="C1922" i="4"/>
  <c r="C1960" i="4"/>
  <c r="C2091" i="4"/>
  <c r="C2111" i="4"/>
  <c r="C2150" i="4"/>
  <c r="C2182" i="4"/>
  <c r="C2232" i="4"/>
  <c r="C2278" i="4"/>
  <c r="C2402" i="4"/>
  <c r="C2464" i="4"/>
  <c r="C2520" i="4"/>
  <c r="B2634" i="4" l="1"/>
  <c r="B2635" i="4"/>
  <c r="B2640" i="4"/>
  <c r="C2634" i="4"/>
  <c r="C2640" i="4"/>
  <c r="C2635" i="4"/>
  <c r="B2644" i="4" l="1"/>
  <c r="B2638" i="4"/>
  <c r="B2639" i="4"/>
  <c r="C2644" i="4"/>
  <c r="C2639" i="4"/>
  <c r="C2638" i="4"/>
  <c r="B2648" i="4" l="1"/>
  <c r="B2643" i="4"/>
  <c r="C2642" i="4"/>
  <c r="B2642" i="4"/>
  <c r="C2643" i="4"/>
  <c r="C2648" i="4"/>
  <c r="B2647" i="4" l="1"/>
  <c r="B2646" i="4"/>
  <c r="C2652" i="4"/>
  <c r="B2652" i="4"/>
  <c r="C2646" i="4"/>
  <c r="C2647" i="4"/>
  <c r="B2651" i="4" l="1"/>
  <c r="B2650" i="4"/>
  <c r="B2656" i="4"/>
  <c r="C2656" i="4"/>
  <c r="C2651" i="4"/>
  <c r="C2650" i="4"/>
  <c r="B2660" i="4" l="1"/>
  <c r="B2654" i="4"/>
  <c r="B2655" i="4"/>
  <c r="C2660" i="4"/>
  <c r="C2654" i="4"/>
  <c r="C2655" i="4"/>
  <c r="B2658" i="4" l="1"/>
  <c r="B2664" i="4"/>
  <c r="B2659" i="4"/>
  <c r="C2658" i="4"/>
  <c r="C2659" i="4"/>
  <c r="C2664" i="4"/>
  <c r="B2668" i="4" l="1"/>
  <c r="C2662" i="4"/>
  <c r="B2662" i="4"/>
  <c r="B2663" i="4"/>
  <c r="C2668" i="4"/>
  <c r="C2663" i="4"/>
  <c r="B2672" i="4" l="1"/>
  <c r="B2666" i="4"/>
  <c r="B2667" i="4"/>
  <c r="C2672" i="4"/>
  <c r="C2667" i="4"/>
  <c r="C2666" i="4"/>
  <c r="B2676" i="4" l="1"/>
  <c r="C2671" i="4"/>
  <c r="B2671" i="4"/>
  <c r="B2670" i="4"/>
  <c r="C2670" i="4"/>
  <c r="C2676" i="4"/>
  <c r="B2675" i="4" l="1"/>
  <c r="B2674" i="4"/>
  <c r="B2680" i="4"/>
  <c r="C2675" i="4"/>
  <c r="C2674" i="4"/>
  <c r="C2680" i="4"/>
  <c r="B2678" i="4"/>
  <c r="B2679" i="4" l="1"/>
  <c r="B2684" i="4"/>
  <c r="C2678" i="4"/>
  <c r="C2679" i="4"/>
  <c r="C2684" i="4"/>
  <c r="B2688" i="4" l="1"/>
  <c r="C2683" i="4"/>
  <c r="B2683" i="4"/>
  <c r="B2682" i="4"/>
  <c r="C2688" i="4"/>
  <c r="C2682" i="4"/>
  <c r="B2686" i="4" l="1"/>
  <c r="B2687" i="4"/>
  <c r="B2692" i="4"/>
  <c r="C2687" i="4"/>
  <c r="C2692" i="4"/>
  <c r="C2686" i="4"/>
  <c r="B2690" i="4" l="1"/>
  <c r="B2696" i="4"/>
  <c r="B2691" i="4"/>
  <c r="C2690" i="4"/>
  <c r="C2691" i="4"/>
  <c r="C2696" i="4"/>
  <c r="B2694" i="4" l="1"/>
  <c r="C2695" i="4"/>
  <c r="B2695" i="4"/>
  <c r="B2700" i="4"/>
  <c r="C2694" i="4"/>
  <c r="C2700" i="4"/>
  <c r="B2698" i="4"/>
  <c r="B2704" i="4"/>
  <c r="B2699" i="4"/>
  <c r="C2699" i="4" l="1"/>
  <c r="C2698" i="4"/>
  <c r="C2704" i="4"/>
  <c r="B2702" i="4" l="1"/>
  <c r="C2708" i="4"/>
  <c r="B2708" i="4"/>
  <c r="C2703" i="4"/>
  <c r="B2703" i="4"/>
  <c r="C2702" i="4"/>
  <c r="B2712" i="4" l="1"/>
  <c r="B2707" i="4"/>
  <c r="B2706" i="4"/>
  <c r="C2712" i="4"/>
  <c r="C2707" i="4"/>
  <c r="C2706" i="4"/>
  <c r="C2711" i="4" l="1"/>
  <c r="B2711" i="4"/>
  <c r="C2710" i="4"/>
  <c r="B2710" i="4"/>
  <c r="B2716" i="4"/>
  <c r="C2716" i="4"/>
  <c r="B2720" i="4"/>
  <c r="B2715" i="4" l="1"/>
  <c r="B2714" i="4"/>
  <c r="C2715" i="4"/>
  <c r="C2720" i="4"/>
  <c r="C2714" i="4"/>
  <c r="C2724" i="4" l="1"/>
  <c r="B2724" i="4"/>
  <c r="B2719" i="4"/>
  <c r="B2718" i="4"/>
  <c r="C2718" i="4"/>
  <c r="C2719" i="4"/>
  <c r="C2723" i="4" l="1"/>
  <c r="B2723" i="4"/>
  <c r="C2728" i="4"/>
  <c r="B2728" i="4"/>
  <c r="B2722" i="4"/>
  <c r="C2722" i="4"/>
  <c r="B2726" i="4"/>
  <c r="C2732" i="4" l="1"/>
  <c r="B2732" i="4"/>
  <c r="C2727" i="4"/>
  <c r="B2727" i="4"/>
  <c r="C2726" i="4"/>
  <c r="B2736" i="4"/>
  <c r="B2731" i="4"/>
  <c r="C2730" i="4" l="1"/>
  <c r="B2730" i="4"/>
  <c r="C2736" i="4"/>
  <c r="C2731" i="4"/>
  <c r="C2740" i="4" l="1"/>
  <c r="B2740" i="4"/>
  <c r="C2735" i="4"/>
  <c r="B2735" i="4"/>
  <c r="C2734" i="4"/>
  <c r="B2734" i="4"/>
  <c r="B2744" i="4" l="1"/>
  <c r="B2739" i="4"/>
  <c r="B2738" i="4"/>
  <c r="C2744" i="4"/>
  <c r="C2739" i="4"/>
  <c r="C2738" i="4"/>
  <c r="B2742" i="4"/>
  <c r="B2748" i="4" l="1"/>
  <c r="B2743" i="4"/>
  <c r="C2748" i="4"/>
  <c r="C2743" i="4"/>
  <c r="C2742" i="4"/>
  <c r="B2746" i="4" l="1"/>
  <c r="B2747" i="4"/>
  <c r="B2752" i="4"/>
  <c r="C2747" i="4"/>
  <c r="C2752" i="4"/>
  <c r="C2746" i="4"/>
  <c r="C2756" i="4" l="1"/>
  <c r="B2756" i="4"/>
  <c r="C2751" i="4"/>
  <c r="B2751" i="4"/>
  <c r="B2750" i="4"/>
  <c r="C2750" i="4"/>
  <c r="B2755" i="4" l="1"/>
  <c r="B2754" i="4"/>
  <c r="C2760" i="4"/>
  <c r="B2760" i="4"/>
  <c r="C2755" i="4"/>
  <c r="C2754" i="4"/>
  <c r="B2759" i="4" l="1"/>
  <c r="B2764" i="4"/>
  <c r="B2758" i="4"/>
  <c r="C2759" i="4"/>
  <c r="C2764" i="4"/>
  <c r="C2758" i="4"/>
  <c r="B2763" i="4"/>
  <c r="B2762" i="4" l="1"/>
  <c r="C2768" i="4"/>
  <c r="B2768" i="4"/>
  <c r="C2762" i="4"/>
  <c r="C2763" i="4"/>
  <c r="B2766" i="4"/>
  <c r="B2767" i="4" l="1"/>
  <c r="C2772" i="4"/>
  <c r="B2772" i="4"/>
  <c r="C2766" i="4"/>
  <c r="C2767" i="4"/>
  <c r="B2776" i="4"/>
  <c r="B2770" i="4"/>
  <c r="B2771" i="4" l="1"/>
  <c r="C2770" i="4"/>
  <c r="C2771" i="4"/>
  <c r="C2776" i="4"/>
  <c r="C2780" i="4" l="1"/>
  <c r="B2780" i="4"/>
  <c r="C2775" i="4"/>
  <c r="B2775" i="4"/>
  <c r="C2774" i="4"/>
  <c r="B2774" i="4"/>
  <c r="B2779" i="4"/>
  <c r="B2778" i="4" l="1"/>
  <c r="B2784" i="4"/>
  <c r="C2779" i="4"/>
  <c r="C2778" i="4"/>
  <c r="C2784" i="4"/>
  <c r="B2788" i="4" l="1"/>
  <c r="B2782" i="4"/>
  <c r="B2783" i="4"/>
  <c r="C2788" i="4"/>
  <c r="C2782" i="4"/>
  <c r="C2783" i="4"/>
  <c r="B2786" i="4"/>
  <c r="B2792" i="4" l="1"/>
  <c r="B2787" i="4"/>
  <c r="C2787" i="4"/>
  <c r="C2786" i="4"/>
  <c r="C2792" i="4"/>
  <c r="B2791" i="4" l="1"/>
  <c r="C2796" i="4"/>
  <c r="B2796" i="4"/>
  <c r="C2790" i="4"/>
  <c r="B2790" i="4"/>
  <c r="C2791" i="4"/>
  <c r="B2800" i="4" l="1"/>
  <c r="C2795" i="4"/>
  <c r="B2795" i="4"/>
  <c r="C2794" i="4"/>
  <c r="B2794" i="4"/>
  <c r="C2800" i="4"/>
  <c r="C2798" i="4" l="1"/>
  <c r="B2798" i="4"/>
  <c r="B2804" i="4"/>
  <c r="C2799" i="4"/>
  <c r="B2799" i="4"/>
  <c r="C2804" i="4"/>
  <c r="B2808" i="4" l="1"/>
  <c r="C2802" i="4"/>
  <c r="B2802" i="4"/>
  <c r="B2803" i="4"/>
  <c r="C2803" i="4"/>
  <c r="C2808" i="4"/>
  <c r="B2807" i="4"/>
  <c r="B2806" i="4" l="1"/>
  <c r="C2812" i="4"/>
  <c r="B2812" i="4"/>
  <c r="C2807" i="4"/>
  <c r="C2806" i="4"/>
  <c r="B2810" i="4"/>
  <c r="C2816" i="4" l="1"/>
  <c r="B2816" i="4"/>
  <c r="C2811" i="4"/>
  <c r="B2811" i="4"/>
  <c r="C2810" i="4"/>
  <c r="B2814" i="4" l="1"/>
  <c r="C2815" i="4"/>
  <c r="B2815" i="4"/>
  <c r="C2820" i="4"/>
  <c r="B2820" i="4"/>
  <c r="C2814" i="4"/>
  <c r="B2818" i="4" l="1"/>
  <c r="C2824" i="4"/>
  <c r="B2824" i="4"/>
  <c r="B2819" i="4"/>
  <c r="C2818" i="4"/>
  <c r="C2819" i="4"/>
  <c r="C2828" i="4" l="1"/>
  <c r="B2828" i="4"/>
  <c r="B2822" i="4"/>
  <c r="C2823" i="4"/>
  <c r="B2823" i="4"/>
  <c r="C2822" i="4"/>
  <c r="B2827" i="4" l="1"/>
  <c r="C2826" i="4"/>
  <c r="B2826" i="4"/>
  <c r="C2832" i="4"/>
  <c r="B2832" i="4"/>
  <c r="C2827" i="4"/>
  <c r="B2830" i="4" l="1"/>
  <c r="B2836" i="4"/>
  <c r="B2831" i="4"/>
  <c r="C2831" i="4"/>
  <c r="C2836" i="4"/>
  <c r="C2830" i="4"/>
  <c r="B2834" i="4"/>
  <c r="C2835" i="4" l="1"/>
  <c r="B2835" i="4"/>
  <c r="B2840" i="4"/>
  <c r="C2834" i="4"/>
  <c r="C2840" i="4"/>
  <c r="C2844" i="4" l="1"/>
  <c r="B2844" i="4"/>
  <c r="C2839" i="4"/>
  <c r="B2839" i="4"/>
  <c r="C2838" i="4"/>
  <c r="B2838" i="4"/>
  <c r="B2842" i="4" l="1"/>
  <c r="B2843" i="4"/>
  <c r="B2848" i="4"/>
  <c r="C2842" i="4"/>
  <c r="C2843" i="4"/>
  <c r="C2848" i="4"/>
  <c r="C2847" i="4" l="1"/>
  <c r="B2847" i="4"/>
  <c r="B2846" i="4"/>
  <c r="C2852" i="4"/>
  <c r="B2852" i="4"/>
  <c r="C2846" i="4"/>
  <c r="B2850" i="4" l="1"/>
  <c r="B2851" i="4"/>
  <c r="B2856" i="4"/>
  <c r="C2856" i="4"/>
  <c r="C2850" i="4"/>
  <c r="C2851" i="4"/>
  <c r="B2860" i="4" l="1"/>
  <c r="B2854" i="4"/>
  <c r="B2855" i="4"/>
  <c r="C2860" i="4"/>
  <c r="C2854" i="4"/>
  <c r="C2855" i="4"/>
  <c r="B2864" i="4" l="1"/>
  <c r="B2859" i="4"/>
  <c r="B2858" i="4"/>
  <c r="C2859" i="4"/>
  <c r="C2858" i="4"/>
  <c r="C2864" i="4"/>
  <c r="B2863" i="4" l="1"/>
  <c r="C2868" i="4"/>
  <c r="B2868" i="4"/>
  <c r="C2862" i="4"/>
  <c r="B2862" i="4"/>
  <c r="C2863" i="4"/>
  <c r="B2866" i="4" l="1"/>
  <c r="B2872" i="4"/>
  <c r="B2867" i="4"/>
  <c r="C2866" i="4"/>
  <c r="C2872" i="4"/>
  <c r="C2867" i="4"/>
  <c r="B2870" i="4" l="1"/>
  <c r="C2876" i="4"/>
  <c r="B2876" i="4"/>
  <c r="C2871" i="4"/>
  <c r="B2871" i="4"/>
  <c r="C2870" i="4"/>
  <c r="B2880" i="4" l="1"/>
  <c r="B2874" i="4"/>
  <c r="B2875" i="4"/>
  <c r="C2875" i="4"/>
  <c r="C2874" i="4"/>
  <c r="C2880" i="4"/>
  <c r="B2879" i="4" l="1"/>
  <c r="C2878" i="4"/>
  <c r="B2878" i="4"/>
  <c r="B2884" i="4"/>
  <c r="C2884" i="4"/>
  <c r="C2879" i="4"/>
  <c r="B2882" i="4" l="1"/>
  <c r="B2883" i="4"/>
  <c r="B2888" i="4"/>
  <c r="C2883" i="4"/>
  <c r="C2888" i="4"/>
  <c r="C2882" i="4"/>
  <c r="B2887" i="4" l="1"/>
  <c r="C2886" i="4"/>
  <c r="B2886" i="4"/>
  <c r="B2892" i="4"/>
  <c r="C2892" i="4"/>
  <c r="C2887" i="4"/>
  <c r="C2896" i="4" l="1"/>
  <c r="B2896" i="4"/>
  <c r="C2891" i="4"/>
  <c r="B2891" i="4"/>
  <c r="C2890" i="4"/>
  <c r="B2890" i="4"/>
  <c r="B2894" i="4"/>
  <c r="C2900" i="4" l="1"/>
  <c r="B2900" i="4"/>
  <c r="C2895" i="4"/>
  <c r="B2895" i="4"/>
  <c r="C2894" i="4"/>
  <c r="B2898" i="4" l="1"/>
  <c r="B2904" i="4"/>
  <c r="B2899" i="4"/>
  <c r="C2898" i="4"/>
  <c r="C2904" i="4"/>
  <c r="C2899" i="4"/>
  <c r="B2908" i="4" l="1"/>
  <c r="B2903" i="4"/>
  <c r="C2902" i="4"/>
  <c r="B2902" i="4"/>
  <c r="C2908" i="4"/>
  <c r="C2903" i="4"/>
  <c r="B2907" i="4" l="1"/>
  <c r="C2912" i="4"/>
  <c r="B2912" i="4"/>
  <c r="C2906" i="4"/>
  <c r="B2906" i="4"/>
  <c r="C2907" i="4"/>
  <c r="B2916" i="4" l="1"/>
  <c r="B2911" i="4"/>
  <c r="C2910" i="4"/>
  <c r="B2910" i="4"/>
  <c r="C2916" i="4"/>
  <c r="C2911" i="4"/>
  <c r="B2915" i="4" l="1"/>
  <c r="C2914" i="4"/>
  <c r="B2914" i="4"/>
  <c r="B2920" i="4"/>
  <c r="C2915" i="4"/>
  <c r="C2920" i="4"/>
  <c r="B2919" i="4"/>
  <c r="C2924" i="4" l="1"/>
  <c r="B2924" i="4"/>
  <c r="C2918" i="4"/>
  <c r="B2918" i="4"/>
  <c r="C2919" i="4"/>
  <c r="B2928" i="4" l="1"/>
  <c r="B2922" i="4"/>
  <c r="C2923" i="4"/>
  <c r="B2923" i="4"/>
  <c r="C2922" i="4"/>
  <c r="C2928" i="4"/>
  <c r="B2932" i="4" l="1"/>
  <c r="C2926" i="4"/>
  <c r="B2926" i="4"/>
  <c r="B2927" i="4"/>
  <c r="C2927" i="4"/>
  <c r="C2932" i="4"/>
  <c r="B2931" i="4" l="1"/>
  <c r="C2930" i="4"/>
  <c r="B2930" i="4"/>
  <c r="C2936" i="4"/>
  <c r="B2936" i="4"/>
  <c r="C2931" i="4"/>
  <c r="C2934" i="4" l="1"/>
  <c r="B2934" i="4"/>
  <c r="C2935" i="4"/>
  <c r="B2935" i="4"/>
  <c r="C2940" i="4"/>
  <c r="B2940" i="4"/>
  <c r="B2938" i="4" l="1"/>
  <c r="C2939" i="4"/>
  <c r="B2939" i="4"/>
  <c r="C2944" i="4"/>
  <c r="B2944" i="4"/>
  <c r="C2938" i="4"/>
  <c r="B2948" i="4" l="1"/>
  <c r="B2942" i="4"/>
  <c r="C2943" i="4"/>
  <c r="B2943" i="4"/>
  <c r="C2942" i="4"/>
  <c r="C2948" i="4"/>
  <c r="B2946" i="4" l="1"/>
  <c r="B2947" i="4"/>
  <c r="B2952" i="4"/>
  <c r="C2947" i="4"/>
  <c r="C2946" i="4"/>
  <c r="C2952" i="4"/>
  <c r="B2951" i="4"/>
  <c r="B2956" i="4" l="1"/>
  <c r="C2950" i="4"/>
  <c r="B2950" i="4"/>
  <c r="C2951" i="4"/>
  <c r="C2956" i="4"/>
  <c r="B2955" i="4"/>
  <c r="B2960" i="4"/>
  <c r="B2954" i="4" l="1"/>
  <c r="C2960" i="4"/>
  <c r="C2955" i="4"/>
  <c r="C2954" i="4"/>
  <c r="B2959" i="4"/>
  <c r="B2964" i="4" l="1"/>
  <c r="B2958" i="4"/>
  <c r="C2959" i="4"/>
  <c r="C2958" i="4"/>
  <c r="C2964" i="4"/>
  <c r="B2968" i="4" l="1"/>
  <c r="B2962" i="4"/>
  <c r="B2963" i="4"/>
  <c r="C2962" i="4"/>
  <c r="C2963" i="4"/>
  <c r="C2968" i="4"/>
  <c r="B2966" i="4" l="1"/>
  <c r="B2972" i="4"/>
  <c r="B2967" i="4"/>
  <c r="C2966" i="4"/>
  <c r="C2967" i="4"/>
  <c r="C2972" i="4"/>
  <c r="B2976" i="4" l="1"/>
  <c r="B2971" i="4"/>
  <c r="B2970" i="4"/>
  <c r="C2970" i="4"/>
  <c r="C2976" i="4"/>
  <c r="C2971" i="4"/>
  <c r="B2980" i="4" l="1"/>
  <c r="B2974" i="4"/>
  <c r="B2975" i="4"/>
  <c r="C2980" i="4"/>
  <c r="C2975" i="4"/>
  <c r="C2974" i="4"/>
  <c r="B2984" i="4" l="1"/>
  <c r="B2979" i="4"/>
  <c r="B2978" i="4"/>
  <c r="C2978" i="4"/>
  <c r="C2979" i="4"/>
  <c r="C2984" i="4"/>
  <c r="B2982" i="4" l="1"/>
  <c r="B2983" i="4"/>
  <c r="B2988" i="4"/>
  <c r="C2982" i="4"/>
  <c r="C2983" i="4"/>
  <c r="C2988" i="4"/>
  <c r="B2987" i="4" l="1"/>
  <c r="B2992" i="4"/>
  <c r="C2986" i="4"/>
  <c r="B2986" i="4"/>
  <c r="C2987" i="4"/>
  <c r="C2992" i="4"/>
  <c r="C2990" i="4" l="1"/>
  <c r="B2990" i="4"/>
  <c r="C2991" i="4"/>
  <c r="B2991" i="4"/>
  <c r="B2996" i="4"/>
  <c r="C2996" i="4"/>
  <c r="B2994" i="4"/>
  <c r="C3000" i="4" l="1"/>
  <c r="B3000" i="4"/>
  <c r="B2995" i="4"/>
  <c r="C2994" i="4"/>
  <c r="C2995" i="4"/>
  <c r="B2999" i="4" l="1"/>
  <c r="C2998" i="4"/>
  <c r="B2998" i="4"/>
  <c r="B3004" i="4"/>
  <c r="C3004" i="4"/>
  <c r="C2999" i="4"/>
  <c r="B3003" i="4"/>
  <c r="B3002" i="4" l="1"/>
  <c r="C3008" i="4"/>
  <c r="B3008" i="4"/>
  <c r="C3003" i="4"/>
  <c r="C3002" i="4"/>
  <c r="C3006" i="4" l="1"/>
  <c r="B3006" i="4"/>
  <c r="B3012" i="4"/>
  <c r="C3007" i="4"/>
  <c r="B3007" i="4"/>
  <c r="C3012" i="4"/>
  <c r="B3010" i="4" l="1"/>
  <c r="C3011" i="4"/>
  <c r="B3011" i="4"/>
  <c r="B3016" i="4"/>
  <c r="C3010" i="4"/>
  <c r="C3016" i="4"/>
  <c r="C3020" i="4" l="1"/>
  <c r="B3020" i="4"/>
  <c r="B3015" i="4"/>
  <c r="C3014" i="4"/>
  <c r="B3014" i="4"/>
  <c r="C3015" i="4"/>
  <c r="B3024" i="4" l="1"/>
  <c r="B3019" i="4"/>
  <c r="C3018" i="4"/>
  <c r="B3018" i="4"/>
  <c r="C3024" i="4"/>
  <c r="C3019" i="4"/>
  <c r="C3028" i="4" l="1"/>
  <c r="B3028" i="4"/>
  <c r="B3023" i="4"/>
  <c r="B3022" i="4"/>
  <c r="C3023" i="4"/>
  <c r="C3022" i="4"/>
  <c r="B3026" i="4" l="1"/>
  <c r="C3027" i="4"/>
  <c r="B3027" i="4"/>
  <c r="B3032" i="4"/>
  <c r="C3032" i="4"/>
  <c r="C3026" i="4"/>
  <c r="B3030" i="4" l="1"/>
  <c r="B3031" i="4"/>
  <c r="B3036" i="4"/>
  <c r="C3030" i="4"/>
  <c r="C3031" i="4"/>
  <c r="C3036" i="4"/>
  <c r="B3035" i="4" l="1"/>
  <c r="C3040" i="4"/>
  <c r="B3040" i="4"/>
  <c r="C3034" i="4"/>
  <c r="B3034" i="4"/>
  <c r="C3035" i="4"/>
  <c r="B3038" i="4" l="1"/>
  <c r="C3044" i="4"/>
  <c r="B3044" i="4"/>
  <c r="C3039" i="4"/>
  <c r="B3039" i="4"/>
  <c r="C3038" i="4"/>
  <c r="B3043" i="4" l="1"/>
  <c r="B3042" i="4"/>
  <c r="C3048" i="4"/>
  <c r="B3048" i="4"/>
  <c r="C3043" i="4"/>
  <c r="C3042" i="4"/>
  <c r="B3052" i="4" l="1"/>
  <c r="B3047" i="4"/>
  <c r="C3046" i="4"/>
  <c r="B3046" i="4"/>
  <c r="C3052" i="4"/>
  <c r="C3047" i="4"/>
  <c r="C3051" i="4" l="1"/>
  <c r="B3051" i="4"/>
  <c r="C3056" i="4"/>
  <c r="B3056" i="4"/>
  <c r="B3050" i="4"/>
  <c r="C3050" i="4"/>
  <c r="B3054" i="4"/>
  <c r="B3060" i="4" l="1"/>
  <c r="B3055" i="4"/>
  <c r="C3054" i="4"/>
  <c r="C3060" i="4"/>
  <c r="C3055" i="4"/>
  <c r="B3058" i="4" l="1"/>
  <c r="B3059" i="4"/>
  <c r="C3064" i="4"/>
  <c r="B3064" i="4"/>
  <c r="C3059" i="4"/>
  <c r="C3058" i="4"/>
  <c r="C3068" i="4" l="1"/>
  <c r="B3068" i="4"/>
  <c r="C3062" i="4"/>
  <c r="B3062" i="4"/>
  <c r="B3063" i="4"/>
  <c r="C3063" i="4"/>
  <c r="B3067" i="4" l="1"/>
  <c r="C3066" i="4"/>
  <c r="B3066" i="4"/>
  <c r="B3072" i="4"/>
  <c r="C3072" i="4"/>
  <c r="C3067" i="4"/>
  <c r="B3071" i="4" l="1"/>
  <c r="C3076" i="4"/>
  <c r="B3076" i="4"/>
  <c r="C3070" i="4"/>
  <c r="B3070" i="4"/>
  <c r="C3071" i="4"/>
  <c r="B3074" i="4" l="1"/>
  <c r="B3075" i="4"/>
  <c r="B3080" i="4"/>
  <c r="C3074" i="4"/>
  <c r="C3080" i="4"/>
  <c r="C3075" i="4"/>
  <c r="C3079" i="4" l="1"/>
  <c r="B3079" i="4"/>
  <c r="C3078" i="4"/>
  <c r="B3078" i="4"/>
  <c r="C3084" i="4"/>
  <c r="B3084" i="4"/>
  <c r="B3088" i="4"/>
  <c r="B3082" i="4" l="1"/>
  <c r="B3083" i="4"/>
  <c r="C3088" i="4"/>
  <c r="C3083" i="4"/>
  <c r="C3082" i="4"/>
  <c r="B3092" i="4" l="1"/>
  <c r="B3087" i="4"/>
  <c r="C3086" i="4"/>
  <c r="B3086" i="4"/>
  <c r="C3087" i="4"/>
  <c r="C3092" i="4"/>
  <c r="B3091" i="4" l="1"/>
  <c r="C3096" i="4"/>
  <c r="B3096" i="4"/>
  <c r="B3090" i="4"/>
  <c r="C3091" i="4"/>
  <c r="C3090" i="4"/>
  <c r="C3095" i="4" l="1"/>
  <c r="B3095" i="4"/>
  <c r="B3094" i="4"/>
  <c r="B3100" i="4"/>
  <c r="C3100" i="4"/>
  <c r="C3094" i="4"/>
  <c r="B3104" i="4"/>
  <c r="C3098" i="4" l="1"/>
  <c r="B3098" i="4"/>
  <c r="C3099" i="4"/>
  <c r="B3099" i="4"/>
  <c r="C3104" i="4"/>
  <c r="C3102" i="4" l="1"/>
  <c r="B3102" i="4"/>
  <c r="B3103" i="4"/>
  <c r="B3108" i="4"/>
  <c r="C3108" i="4"/>
  <c r="C3103" i="4"/>
  <c r="B3107" i="4"/>
  <c r="B3106" i="4" l="1"/>
  <c r="C3112" i="4"/>
  <c r="B3112" i="4"/>
  <c r="C3107" i="4"/>
  <c r="C3106" i="4"/>
  <c r="B3110" i="4" l="1"/>
  <c r="B3111" i="4"/>
  <c r="C3116" i="4"/>
  <c r="B3116" i="4"/>
  <c r="C3110" i="4"/>
  <c r="C3111" i="4"/>
  <c r="B3120" i="4"/>
  <c r="B3114" i="4"/>
  <c r="B3115" i="4"/>
  <c r="C3115" i="4" l="1"/>
  <c r="C3114" i="4"/>
  <c r="C3120" i="4"/>
  <c r="B3124" i="4" l="1"/>
  <c r="B3118" i="4"/>
  <c r="B3119" i="4"/>
  <c r="C3124" i="4"/>
  <c r="C3118" i="4"/>
  <c r="C3119" i="4"/>
  <c r="C3122" i="4" l="1"/>
  <c r="B3122" i="4"/>
  <c r="B3123" i="4"/>
  <c r="B3128" i="4"/>
  <c r="C3123" i="4"/>
  <c r="C3128" i="4"/>
  <c r="B3126" i="4" l="1"/>
  <c r="B3132" i="4"/>
  <c r="C3127" i="4"/>
  <c r="B3127" i="4"/>
  <c r="C3126" i="4"/>
  <c r="C3132" i="4"/>
  <c r="B3136" i="4" l="1"/>
  <c r="B3130" i="4"/>
  <c r="C3131" i="4"/>
  <c r="B3131" i="4"/>
  <c r="C3136" i="4"/>
  <c r="C3130" i="4"/>
  <c r="B3134" i="4" l="1"/>
  <c r="C3140" i="4"/>
  <c r="B3140" i="4"/>
  <c r="C3135" i="4"/>
  <c r="B3135" i="4"/>
  <c r="C3134" i="4"/>
  <c r="C3138" i="4" l="1"/>
  <c r="B3138" i="4"/>
  <c r="C3139" i="4"/>
  <c r="B3139" i="4"/>
  <c r="B3144" i="4"/>
  <c r="C3144" i="4"/>
  <c r="B3143" i="4" l="1"/>
  <c r="B3148" i="4"/>
  <c r="B3142" i="4"/>
  <c r="C3148" i="4"/>
  <c r="C3142" i="4"/>
  <c r="C3143" i="4"/>
  <c r="B3152" i="4" l="1"/>
  <c r="C3146" i="4"/>
  <c r="B3146" i="4"/>
  <c r="C3147" i="4"/>
  <c r="B3147" i="4"/>
  <c r="C3152" i="4"/>
  <c r="B3151" i="4" l="1"/>
  <c r="C3150" i="4"/>
  <c r="B3150" i="4"/>
  <c r="C3156" i="4"/>
  <c r="B3156" i="4"/>
  <c r="C3151" i="4"/>
  <c r="B3160" i="4" l="1"/>
  <c r="C3155" i="4"/>
  <c r="B3155" i="4"/>
  <c r="B3154" i="4"/>
  <c r="C3160" i="4"/>
  <c r="C3154" i="4"/>
  <c r="B3159" i="4"/>
  <c r="C3164" i="4" l="1"/>
  <c r="B3164" i="4"/>
  <c r="B3158" i="4"/>
  <c r="C3159" i="4"/>
  <c r="C3158" i="4"/>
  <c r="B3168" i="4" l="1"/>
  <c r="B3163" i="4"/>
  <c r="C3162" i="4"/>
  <c r="B3162" i="4"/>
  <c r="C3168" i="4"/>
  <c r="C3163" i="4"/>
  <c r="C3167" i="4" l="1"/>
  <c r="B3167" i="4"/>
  <c r="C3166" i="4"/>
  <c r="B3166" i="4"/>
  <c r="B3172" i="4"/>
  <c r="C3172" i="4"/>
  <c r="B3176" i="4" l="1"/>
  <c r="C3171" i="4"/>
  <c r="B3171" i="4"/>
  <c r="C3170" i="4"/>
  <c r="B3170" i="4"/>
  <c r="C3176" i="4"/>
  <c r="B3180" i="4"/>
  <c r="B3175" i="4" l="1"/>
  <c r="B3174" i="4"/>
  <c r="C3180" i="4"/>
  <c r="C3174" i="4"/>
  <c r="C3175" i="4"/>
  <c r="B3178" i="4" l="1"/>
  <c r="B3184" i="4"/>
  <c r="B3179" i="4"/>
  <c r="C3178" i="4"/>
  <c r="C3179" i="4"/>
  <c r="C3184" i="4"/>
  <c r="C3188" i="4" l="1"/>
  <c r="B3188" i="4"/>
  <c r="B3182" i="4"/>
  <c r="B3183" i="4"/>
  <c r="C3182" i="4"/>
  <c r="C3183" i="4"/>
  <c r="B3192" i="4" l="1"/>
  <c r="C3186" i="4"/>
  <c r="B3186" i="4"/>
  <c r="B3187" i="4"/>
  <c r="C3187" i="4"/>
  <c r="C3192" i="4"/>
  <c r="B3196" i="4" l="1"/>
  <c r="B3191" i="4"/>
  <c r="B3190" i="4"/>
  <c r="C3196" i="4"/>
  <c r="C3190" i="4"/>
  <c r="C3191" i="4"/>
  <c r="C3194" i="4" l="1"/>
  <c r="B3194" i="4"/>
  <c r="C3200" i="4"/>
  <c r="B3200" i="4"/>
  <c r="B3195" i="4"/>
  <c r="C3195" i="4"/>
  <c r="B3204" i="4"/>
  <c r="C3198" i="4" l="1"/>
  <c r="B3198" i="4"/>
  <c r="B3199" i="4"/>
  <c r="C3199" i="4"/>
  <c r="C3204" i="4"/>
  <c r="B3203" i="4"/>
  <c r="C3208" i="4" l="1"/>
  <c r="B3208" i="4"/>
  <c r="C3202" i="4"/>
  <c r="B3202" i="4"/>
  <c r="C3203" i="4"/>
  <c r="B3207" i="4" l="1"/>
  <c r="B3212" i="4"/>
  <c r="B3206" i="4"/>
  <c r="C3207" i="4"/>
  <c r="C3212" i="4"/>
  <c r="C3206" i="4"/>
  <c r="B3216" i="4" l="1"/>
  <c r="C3210" i="4"/>
  <c r="B3210" i="4"/>
  <c r="B3211" i="4"/>
  <c r="C3216" i="4"/>
  <c r="C3211" i="4"/>
  <c r="C3220" i="4" l="1"/>
  <c r="B3220" i="4"/>
  <c r="C3215" i="4"/>
  <c r="B3215" i="4"/>
  <c r="C3214" i="4"/>
  <c r="B3214" i="4"/>
  <c r="B3218" i="4"/>
  <c r="B3224" i="4" l="1"/>
  <c r="B3219" i="4"/>
  <c r="C3224" i="4"/>
  <c r="C3218" i="4"/>
  <c r="C3219" i="4"/>
  <c r="B3222" i="4" l="1"/>
  <c r="B3228" i="4"/>
  <c r="C3223" i="4"/>
  <c r="B3223" i="4"/>
  <c r="C3228" i="4"/>
  <c r="C3222" i="4"/>
  <c r="B3226" i="4" l="1"/>
  <c r="B3227" i="4"/>
  <c r="B3232" i="4"/>
  <c r="C3226" i="4"/>
  <c r="C3227" i="4"/>
  <c r="C3232" i="4"/>
  <c r="B3236" i="4" l="1"/>
  <c r="B3230" i="4"/>
  <c r="C3231" i="4"/>
  <c r="B3231" i="4"/>
  <c r="C3236" i="4"/>
  <c r="C3230" i="4"/>
  <c r="C3240" i="4" l="1"/>
  <c r="B3240" i="4"/>
  <c r="B3234" i="4"/>
  <c r="B3235" i="4"/>
  <c r="C3234" i="4"/>
  <c r="C3235" i="4"/>
  <c r="B3239" i="4"/>
  <c r="B3244" i="4" l="1"/>
  <c r="B3238" i="4"/>
  <c r="C3239" i="4"/>
  <c r="C3244" i="4"/>
  <c r="C3238" i="4"/>
  <c r="B3243" i="4" l="1"/>
  <c r="B3242" i="4"/>
  <c r="B3248" i="4"/>
  <c r="C3242" i="4"/>
  <c r="C3248" i="4"/>
  <c r="C3243" i="4"/>
  <c r="B3246" i="4" l="1"/>
  <c r="B3252" i="4"/>
  <c r="B3247" i="4"/>
  <c r="C3246" i="4"/>
  <c r="C3252" i="4"/>
  <c r="C3247" i="4"/>
  <c r="C3256" i="4" l="1"/>
  <c r="B3256" i="4"/>
  <c r="B3251" i="4"/>
  <c r="B3250" i="4"/>
  <c r="C3251" i="4"/>
  <c r="C3250" i="4"/>
  <c r="B3254" i="4" l="1"/>
  <c r="B3260" i="4"/>
  <c r="B3255" i="4"/>
  <c r="C3260" i="4"/>
  <c r="C3254" i="4"/>
  <c r="C3255" i="4"/>
  <c r="B3258" i="4"/>
  <c r="B3259" i="4" l="1"/>
  <c r="B3264" i="4"/>
  <c r="C3258" i="4"/>
  <c r="C3259" i="4"/>
  <c r="C3264" i="4"/>
  <c r="B3263" i="4" l="1"/>
  <c r="B3268" i="4"/>
  <c r="B3262" i="4"/>
  <c r="C3268" i="4"/>
  <c r="C3262" i="4"/>
  <c r="C3263" i="4"/>
  <c r="B3272" i="4"/>
  <c r="C3267" i="4" l="1"/>
  <c r="B3267" i="4"/>
  <c r="C3266" i="4"/>
  <c r="B3266" i="4"/>
  <c r="C3272" i="4"/>
  <c r="B3270" i="4" l="1"/>
  <c r="B3271" i="4"/>
  <c r="B3276" i="4"/>
  <c r="C3276" i="4"/>
  <c r="C3271" i="4"/>
  <c r="C3270" i="4"/>
  <c r="B3275" i="4"/>
  <c r="B3280" i="4" l="1"/>
  <c r="B3274" i="4"/>
  <c r="C3280" i="4"/>
  <c r="C3274" i="4"/>
  <c r="C3275" i="4"/>
  <c r="C3284" i="4" l="1"/>
  <c r="B3284" i="4"/>
  <c r="B3279" i="4"/>
  <c r="B3278" i="4"/>
  <c r="C3278" i="4"/>
  <c r="C3279" i="4"/>
  <c r="B3283" i="4"/>
  <c r="B3282" i="4" l="1"/>
  <c r="C3288" i="4"/>
  <c r="B3288" i="4"/>
  <c r="C3283" i="4"/>
  <c r="C3282" i="4"/>
  <c r="C3287" i="4" l="1"/>
  <c r="B3287" i="4"/>
  <c r="C3286" i="4"/>
  <c r="B3286" i="4"/>
  <c r="B3292" i="4"/>
  <c r="C3292" i="4"/>
  <c r="B3291" i="4"/>
  <c r="B3290" i="4" l="1"/>
  <c r="B3296" i="4"/>
  <c r="C3291" i="4"/>
  <c r="C3296" i="4"/>
  <c r="C3290" i="4"/>
  <c r="B3300" i="4"/>
  <c r="B3295" i="4" l="1"/>
  <c r="B3294" i="4"/>
  <c r="C3300" i="4"/>
  <c r="C3294" i="4"/>
  <c r="C3295" i="4"/>
  <c r="B3298" i="4" l="1"/>
  <c r="C3299" i="4"/>
  <c r="B3299" i="4"/>
  <c r="C3304" i="4"/>
  <c r="B3304" i="4"/>
  <c r="C3298" i="4"/>
  <c r="B3308" i="4"/>
  <c r="B3302" i="4" l="1"/>
  <c r="B3303" i="4"/>
  <c r="C3308" i="4"/>
  <c r="C3303" i="4"/>
  <c r="C3302" i="4"/>
  <c r="B3312" i="4" l="1"/>
  <c r="C3306" i="4"/>
  <c r="B3306" i="4"/>
  <c r="C3307" i="4"/>
  <c r="B3307" i="4"/>
  <c r="C3312" i="4"/>
  <c r="C3310" i="4" l="1"/>
  <c r="B3310" i="4"/>
  <c r="C3311" i="4"/>
  <c r="B3311" i="4"/>
  <c r="C3316" i="4"/>
  <c r="B3316" i="4"/>
  <c r="B3320" i="4" l="1"/>
  <c r="C3314" i="4"/>
  <c r="B3314" i="4"/>
  <c r="B3315" i="4"/>
  <c r="C3315" i="4"/>
  <c r="C3320" i="4"/>
  <c r="B3318" i="4" l="1"/>
  <c r="C3324" i="4"/>
  <c r="B3324" i="4"/>
  <c r="C3319" i="4"/>
  <c r="B3319" i="4"/>
  <c r="C3318" i="4"/>
  <c r="C3322" i="4" l="1"/>
  <c r="B3322" i="4"/>
  <c r="C3328" i="4"/>
  <c r="B3328" i="4"/>
  <c r="B3323" i="4"/>
  <c r="C3323" i="4"/>
  <c r="B3327" i="4" l="1"/>
  <c r="B3326" i="4"/>
  <c r="B3332" i="4"/>
  <c r="C3332" i="4"/>
  <c r="C3327" i="4"/>
  <c r="C3326" i="4"/>
  <c r="C3336" i="4" l="1"/>
  <c r="B3336" i="4"/>
  <c r="C3330" i="4"/>
  <c r="B3330" i="4"/>
  <c r="C3331" i="4"/>
  <c r="B3331" i="4"/>
  <c r="B3335" i="4"/>
  <c r="C3340" i="4" l="1"/>
  <c r="B3340" i="4"/>
  <c r="B3334" i="4"/>
  <c r="C3335" i="4"/>
  <c r="C3334" i="4"/>
  <c r="C3344" i="4" l="1"/>
  <c r="B3344" i="4"/>
  <c r="B3339" i="4"/>
  <c r="B3338" i="4"/>
  <c r="C3339" i="4"/>
  <c r="C3338" i="4"/>
  <c r="B3342" i="4" l="1"/>
  <c r="B3348" i="4"/>
  <c r="C3343" i="4"/>
  <c r="B3343" i="4"/>
  <c r="C3342" i="4"/>
  <c r="C3348" i="4"/>
  <c r="B3347" i="4" l="1"/>
  <c r="B3352" i="4"/>
  <c r="C3346" i="4"/>
  <c r="B3346" i="4"/>
  <c r="C3347" i="4"/>
  <c r="C3352" i="4"/>
  <c r="B3356" i="4"/>
  <c r="C3350" i="4" l="1"/>
  <c r="B3350" i="4"/>
  <c r="C3351" i="4"/>
  <c r="B3351" i="4"/>
  <c r="C3356" i="4"/>
  <c r="B3355" i="4"/>
  <c r="C3354" i="4" l="1"/>
  <c r="B3354" i="4"/>
  <c r="B3360" i="4"/>
  <c r="C3355" i="4"/>
  <c r="C3360" i="4"/>
  <c r="B3364" i="4" l="1"/>
  <c r="B3358" i="4"/>
  <c r="C3359" i="4"/>
  <c r="B3359" i="4"/>
  <c r="C3364" i="4"/>
  <c r="C3358" i="4"/>
  <c r="C3368" i="4" l="1"/>
  <c r="B3368" i="4"/>
  <c r="C3363" i="4"/>
  <c r="B3363" i="4"/>
  <c r="C3362" i="4"/>
  <c r="B3362" i="4"/>
  <c r="B3366" i="4"/>
  <c r="B3367" i="4" l="1"/>
  <c r="B3372" i="4"/>
  <c r="C3366" i="4"/>
  <c r="C3367" i="4"/>
  <c r="C3372" i="4"/>
  <c r="B3371" i="4" l="1"/>
  <c r="B3376" i="4"/>
  <c r="B3370" i="4"/>
  <c r="C3370" i="4"/>
  <c r="C3371" i="4"/>
  <c r="C3376" i="4"/>
  <c r="B3380" i="4" l="1"/>
  <c r="C3374" i="4"/>
  <c r="B3374" i="4"/>
  <c r="B3375" i="4"/>
  <c r="C3380" i="4"/>
  <c r="C3375" i="4"/>
  <c r="B3384" i="4" l="1"/>
  <c r="B3379" i="4"/>
  <c r="C3378" i="4"/>
  <c r="B3378" i="4"/>
  <c r="C3379" i="4"/>
  <c r="C3384" i="4"/>
  <c r="B3382" i="4" l="1"/>
  <c r="B3388" i="4"/>
  <c r="B3383" i="4"/>
  <c r="C3382" i="4"/>
  <c r="C3388" i="4"/>
  <c r="C3383" i="4"/>
  <c r="B3386" i="4" l="1"/>
  <c r="B3392" i="4"/>
  <c r="B3387" i="4"/>
  <c r="C3392" i="4"/>
  <c r="C3386" i="4"/>
  <c r="C3387" i="4"/>
  <c r="B3391" i="4" l="1"/>
  <c r="B3390" i="4"/>
  <c r="B3396" i="4"/>
  <c r="C3391" i="4"/>
  <c r="C3390" i="4"/>
  <c r="C3396" i="4"/>
  <c r="B3395" i="4"/>
  <c r="C3400" i="4" l="1"/>
  <c r="B3400" i="4"/>
  <c r="C3394" i="4"/>
  <c r="B3394" i="4"/>
  <c r="C3395" i="4"/>
  <c r="B3398" i="4"/>
  <c r="C3404" i="4" l="1"/>
  <c r="B3404" i="4"/>
  <c r="C3399" i="4"/>
  <c r="B3399" i="4"/>
  <c r="C3398" i="4"/>
  <c r="B3408" i="4"/>
  <c r="B3403" i="4" l="1"/>
  <c r="B3402" i="4"/>
  <c r="C3408" i="4"/>
  <c r="C3402" i="4"/>
  <c r="C3403" i="4"/>
  <c r="B3406" i="4"/>
  <c r="C3412" i="4" l="1"/>
  <c r="B3412" i="4"/>
  <c r="B3407" i="4"/>
  <c r="C3407" i="4"/>
  <c r="C3406" i="4"/>
  <c r="B3411" i="4"/>
  <c r="C3416" i="4" l="1"/>
  <c r="B3416" i="4"/>
  <c r="B3410" i="4"/>
  <c r="C3411" i="4"/>
  <c r="C3410" i="4"/>
  <c r="C3414" i="4" l="1"/>
  <c r="B3414" i="4"/>
  <c r="C3415" i="4"/>
  <c r="B3415" i="4"/>
  <c r="C3420" i="4"/>
  <c r="B3420" i="4"/>
  <c r="B3419" i="4" l="1"/>
  <c r="B3424" i="4"/>
  <c r="B3418" i="4"/>
  <c r="C3419" i="4"/>
  <c r="C3418" i="4"/>
  <c r="C3424" i="4"/>
  <c r="B3428" i="4" l="1"/>
  <c r="C3422" i="4"/>
  <c r="B3422" i="4"/>
  <c r="C3423" i="4"/>
  <c r="B3423" i="4"/>
  <c r="C3428" i="4"/>
  <c r="B3432" i="4" l="1"/>
  <c r="C3427" i="4"/>
  <c r="B3427" i="4"/>
  <c r="B3426" i="4"/>
  <c r="C3426" i="4"/>
  <c r="C3432" i="4"/>
  <c r="B3430" i="4" l="1"/>
  <c r="C3436" i="4"/>
  <c r="B3436" i="4"/>
  <c r="C3431" i="4"/>
  <c r="B3431" i="4"/>
  <c r="C3430" i="4"/>
  <c r="C3440" i="4" l="1"/>
  <c r="B3440" i="4"/>
  <c r="B3435" i="4"/>
  <c r="C3434" i="4"/>
  <c r="B3434" i="4"/>
  <c r="C3435" i="4"/>
  <c r="B3439" i="4" l="1"/>
  <c r="C3444" i="4"/>
  <c r="B3444" i="4"/>
  <c r="C3438" i="4"/>
  <c r="B3438" i="4"/>
  <c r="C3439" i="4"/>
  <c r="B3442" i="4" l="1"/>
  <c r="B3448" i="4"/>
  <c r="B3443" i="4"/>
  <c r="C3442" i="4"/>
  <c r="C3443" i="4"/>
  <c r="C3448" i="4"/>
  <c r="B3446" i="4"/>
  <c r="C3452" i="4" l="1"/>
  <c r="B3452" i="4"/>
  <c r="B3447" i="4"/>
  <c r="C3446" i="4"/>
  <c r="C3447" i="4"/>
  <c r="B3450" i="4" l="1"/>
  <c r="C3456" i="4"/>
  <c r="B3456" i="4"/>
  <c r="B3451" i="4"/>
  <c r="C3451" i="4"/>
  <c r="C3450" i="4"/>
  <c r="B3454" i="4"/>
  <c r="B3460" i="4" l="1"/>
  <c r="B3455" i="4"/>
  <c r="C3454" i="4"/>
  <c r="C3455" i="4"/>
  <c r="C3460" i="4"/>
  <c r="B3459" i="4" l="1"/>
  <c r="C3464" i="4"/>
  <c r="B3464" i="4"/>
  <c r="C3458" i="4"/>
  <c r="B3458" i="4"/>
  <c r="C3459" i="4"/>
  <c r="B3462" i="4" l="1"/>
  <c r="B3468" i="4"/>
  <c r="C3463" i="4"/>
  <c r="B3463" i="4"/>
  <c r="C3468" i="4"/>
  <c r="C3462" i="4"/>
  <c r="B3467" i="4" l="1"/>
  <c r="C3472" i="4"/>
  <c r="B3472" i="4"/>
  <c r="B3466" i="4"/>
  <c r="C3467" i="4"/>
  <c r="C3466" i="4"/>
  <c r="B3470" i="4" l="1"/>
  <c r="B3471" i="4"/>
  <c r="C3476" i="4"/>
  <c r="B3476" i="4"/>
  <c r="C3470" i="4"/>
  <c r="C3471" i="4"/>
  <c r="B3474" i="4" l="1"/>
  <c r="B3480" i="4"/>
  <c r="B3475" i="4"/>
  <c r="C3480" i="4"/>
  <c r="C3475" i="4"/>
  <c r="C3474" i="4"/>
  <c r="B3478" i="4"/>
  <c r="B3479" i="4" l="1"/>
  <c r="B3484" i="4"/>
  <c r="C3479" i="4"/>
  <c r="C3478" i="4"/>
  <c r="C3484" i="4"/>
  <c r="B3488" i="4" l="1"/>
  <c r="B3483" i="4"/>
  <c r="B3482" i="4"/>
  <c r="C3483" i="4"/>
  <c r="C3488" i="4"/>
  <c r="C3482" i="4"/>
  <c r="B3487" i="4" l="1"/>
  <c r="B3492" i="4"/>
  <c r="B3486" i="4"/>
  <c r="C3487" i="4"/>
  <c r="C3486" i="4"/>
  <c r="C3492" i="4"/>
  <c r="B3496" i="4" l="1"/>
  <c r="B3491" i="4"/>
  <c r="B3490" i="4"/>
  <c r="C3496" i="4"/>
  <c r="C3491" i="4"/>
  <c r="C3490" i="4"/>
  <c r="C3495" i="4" l="1"/>
  <c r="B3495" i="4"/>
  <c r="B3500" i="4"/>
  <c r="B3494" i="4"/>
  <c r="C3494" i="4"/>
  <c r="C3500" i="4"/>
  <c r="B3499" i="4" l="1"/>
  <c r="B3498" i="4"/>
  <c r="B3504" i="4"/>
  <c r="C3504" i="4"/>
  <c r="C3498" i="4"/>
  <c r="C3499" i="4"/>
  <c r="C3502" i="4" l="1"/>
  <c r="B3502" i="4"/>
  <c r="C3503" i="4"/>
  <c r="B3503" i="4"/>
  <c r="C3508" i="4"/>
  <c r="B3508" i="4"/>
  <c r="B3512" i="4" l="1"/>
  <c r="C3506" i="4"/>
  <c r="B3506" i="4"/>
  <c r="B3507" i="4"/>
  <c r="C3507" i="4"/>
  <c r="C3512" i="4"/>
  <c r="B3511" i="4" l="1"/>
  <c r="B3516" i="4"/>
  <c r="B3510" i="4"/>
  <c r="C3510" i="4"/>
  <c r="C3511" i="4"/>
  <c r="C3516" i="4"/>
  <c r="B3515" i="4" l="1"/>
  <c r="B3514" i="4"/>
  <c r="B3520" i="4"/>
  <c r="C3514" i="4"/>
  <c r="C3515" i="4"/>
  <c r="C3520" i="4"/>
  <c r="B3518" i="4" l="1"/>
  <c r="C3519" i="4"/>
  <c r="B3519" i="4"/>
  <c r="B3524" i="4"/>
  <c r="C3518" i="4"/>
  <c r="C3524" i="4"/>
  <c r="B3528" i="4"/>
  <c r="B3523" i="4" l="1"/>
  <c r="B3522" i="4"/>
  <c r="C3522" i="4"/>
  <c r="C3523" i="4"/>
  <c r="C3528" i="4"/>
  <c r="C3532" i="4" l="1"/>
  <c r="B3532" i="4"/>
  <c r="B3526" i="4"/>
  <c r="B3527" i="4"/>
  <c r="C3526" i="4"/>
  <c r="C3527" i="4"/>
  <c r="B3531" i="4" l="1"/>
  <c r="C3536" i="4"/>
  <c r="B3536" i="4"/>
  <c r="B3530" i="4"/>
  <c r="C3530" i="4"/>
  <c r="C3531" i="4"/>
  <c r="B3535" i="4"/>
  <c r="B3540" i="4" l="1"/>
  <c r="B3534" i="4"/>
  <c r="C3540" i="4"/>
  <c r="C3535" i="4"/>
  <c r="C3534" i="4"/>
  <c r="B3539" i="4"/>
  <c r="B3544" i="4" l="1"/>
  <c r="B3538" i="4"/>
  <c r="C3538" i="4"/>
  <c r="C3544" i="4"/>
  <c r="C3539" i="4"/>
  <c r="B3542" i="4"/>
  <c r="B3543" i="4" l="1"/>
  <c r="B3548" i="4"/>
  <c r="C3542" i="4"/>
  <c r="C3543" i="4"/>
  <c r="C3548" i="4"/>
  <c r="B3547" i="4"/>
  <c r="C3546" i="4" l="1"/>
  <c r="B3546" i="4"/>
  <c r="B3552" i="4"/>
  <c r="C3547" i="4"/>
  <c r="C3552" i="4"/>
  <c r="B3550" i="4" l="1"/>
  <c r="C3556" i="4"/>
  <c r="B3556" i="4"/>
  <c r="B3551" i="4"/>
  <c r="C3550" i="4"/>
  <c r="C3551" i="4"/>
  <c r="B3555" i="4"/>
  <c r="B3554" i="4" l="1"/>
  <c r="B3560" i="4"/>
  <c r="C3555" i="4"/>
  <c r="C3560" i="4"/>
  <c r="C3554" i="4"/>
  <c r="B3558" i="4"/>
  <c r="B3564" i="4" l="1"/>
  <c r="C3559" i="4"/>
  <c r="B3559" i="4"/>
  <c r="C3558" i="4"/>
  <c r="C3564" i="4"/>
  <c r="C3568" i="4" l="1"/>
  <c r="B3568" i="4"/>
  <c r="C3562" i="4"/>
  <c r="B3562" i="4"/>
  <c r="B3563" i="4"/>
  <c r="C3563" i="4"/>
  <c r="B3566" i="4"/>
  <c r="B3567" i="4" l="1"/>
  <c r="C3572" i="4"/>
  <c r="B3572" i="4"/>
  <c r="C3567" i="4"/>
  <c r="C3566" i="4"/>
  <c r="B3576" i="4" l="1"/>
  <c r="B3571" i="4"/>
  <c r="C3570" i="4"/>
  <c r="B3570" i="4"/>
  <c r="C3576" i="4"/>
  <c r="C3571" i="4"/>
  <c r="C3575" i="4" l="1"/>
  <c r="B3575" i="4"/>
  <c r="C3580" i="4"/>
  <c r="B3580" i="4"/>
  <c r="C3574" i="4"/>
  <c r="B3574" i="4"/>
  <c r="B3578" i="4" l="1"/>
  <c r="B3584" i="4"/>
  <c r="C3579" i="4"/>
  <c r="B3579" i="4"/>
  <c r="C3578" i="4"/>
  <c r="C3584" i="4"/>
  <c r="B3583" i="4"/>
  <c r="B3588" i="4"/>
  <c r="C3582" i="4" l="1"/>
  <c r="B3582" i="4"/>
  <c r="C3583" i="4"/>
  <c r="C3588" i="4"/>
  <c r="B3587" i="4"/>
  <c r="C3586" i="4" l="1"/>
  <c r="B3586" i="4"/>
  <c r="B3592" i="4"/>
  <c r="C3587" i="4"/>
  <c r="C3592" i="4"/>
  <c r="C3596" i="4" l="1"/>
  <c r="B3596" i="4"/>
  <c r="C3590" i="4"/>
  <c r="B3590" i="4"/>
  <c r="B3591" i="4"/>
  <c r="C3591" i="4"/>
  <c r="B3595" i="4"/>
  <c r="B3600" i="4" l="1"/>
  <c r="C3594" i="4"/>
  <c r="B3594" i="4"/>
  <c r="C3600" i="4"/>
  <c r="C3595" i="4"/>
  <c r="B3598" i="4" l="1"/>
  <c r="C3599" i="4"/>
  <c r="B3599" i="4"/>
  <c r="B3604" i="4"/>
  <c r="C3598" i="4"/>
  <c r="C3604" i="4"/>
  <c r="C3602" i="4" l="1"/>
  <c r="B3602" i="4"/>
  <c r="C3608" i="4"/>
  <c r="B3608" i="4"/>
  <c r="C3603" i="4"/>
  <c r="B3603" i="4"/>
  <c r="B3606" i="4" l="1"/>
  <c r="B3607" i="4"/>
  <c r="C3612" i="4"/>
  <c r="B3612" i="4"/>
  <c r="C3606" i="4"/>
  <c r="C3607" i="4"/>
  <c r="C3616" i="4" l="1"/>
  <c r="B3616" i="4"/>
  <c r="C3610" i="4"/>
  <c r="B3610" i="4"/>
  <c r="B3611" i="4"/>
  <c r="C3611" i="4"/>
  <c r="B3614" i="4" l="1"/>
  <c r="C3615" i="4"/>
  <c r="B3615" i="4"/>
  <c r="C3620" i="4"/>
  <c r="B3620" i="4"/>
  <c r="C3614" i="4"/>
  <c r="B3619" i="4" l="1"/>
  <c r="B3624" i="4"/>
  <c r="C3618" i="4"/>
  <c r="B3618" i="4"/>
  <c r="C3619" i="4"/>
  <c r="C3624" i="4"/>
  <c r="C3628" i="4" l="1"/>
  <c r="B3628" i="4"/>
  <c r="B3623" i="4"/>
  <c r="B3622" i="4"/>
  <c r="C3622" i="4"/>
  <c r="C3623" i="4"/>
  <c r="B3627" i="4" l="1"/>
  <c r="C3626" i="4"/>
  <c r="B3626" i="4"/>
  <c r="B3632" i="4"/>
  <c r="C3632" i="4"/>
  <c r="C3627" i="4"/>
  <c r="B3630" i="4" l="1"/>
  <c r="B3636" i="4"/>
  <c r="B3631" i="4"/>
  <c r="C3630" i="4"/>
  <c r="C3636" i="4"/>
  <c r="C3631" i="4"/>
  <c r="B3634" i="4" l="1"/>
  <c r="C3640" i="4"/>
  <c r="B3640" i="4"/>
  <c r="B3635" i="4"/>
  <c r="C3635" i="4"/>
  <c r="C3634" i="4"/>
  <c r="B3644" i="4" l="1"/>
  <c r="C3638" i="4"/>
  <c r="B3638" i="4"/>
  <c r="B3639" i="4"/>
  <c r="C3639" i="4"/>
  <c r="C3644" i="4"/>
  <c r="B3643" i="4" l="1"/>
  <c r="B3642" i="4"/>
  <c r="C3648" i="4"/>
  <c r="B3648" i="4"/>
  <c r="C3642" i="4"/>
  <c r="C3643" i="4"/>
  <c r="B3646" i="4" l="1"/>
  <c r="C3652" i="4"/>
  <c r="B3652" i="4"/>
  <c r="B3647" i="4"/>
  <c r="C3647" i="4"/>
  <c r="C3646" i="4"/>
  <c r="C3651" i="4" l="1"/>
  <c r="B3651" i="4"/>
  <c r="C3656" i="4"/>
  <c r="B3656" i="4"/>
  <c r="C3650" i="4"/>
  <c r="B3650" i="4"/>
  <c r="B3660" i="4" l="1"/>
  <c r="C3654" i="4"/>
  <c r="B3654" i="4"/>
  <c r="B3655" i="4"/>
  <c r="C3655" i="4"/>
  <c r="C3660" i="4"/>
  <c r="B3658" i="4"/>
  <c r="C3659" i="4" l="1"/>
  <c r="B3659" i="4"/>
  <c r="C3664" i="4"/>
  <c r="B3664" i="4"/>
  <c r="C3658" i="4"/>
  <c r="B3662" i="4" l="1"/>
  <c r="C3663" i="4"/>
  <c r="B3663" i="4"/>
  <c r="B3668" i="4"/>
  <c r="C3662" i="4"/>
  <c r="C3668" i="4"/>
  <c r="B3666" i="4"/>
  <c r="C3667" i="4" l="1"/>
  <c r="B3667" i="4"/>
  <c r="B3672" i="4"/>
  <c r="C3666" i="4"/>
  <c r="C3672" i="4"/>
  <c r="B3671" i="4" l="1"/>
  <c r="B3670" i="4"/>
  <c r="C3676" i="4"/>
  <c r="B3676" i="4"/>
  <c r="C3671" i="4"/>
  <c r="C3670" i="4"/>
  <c r="C3674" i="4" l="1"/>
  <c r="B3674" i="4"/>
  <c r="C3675" i="4"/>
  <c r="B3675" i="4"/>
  <c r="B3680" i="4"/>
  <c r="C3680" i="4"/>
  <c r="B3684" i="4" l="1"/>
  <c r="B3678" i="4"/>
  <c r="C3679" i="4"/>
  <c r="B3679" i="4"/>
  <c r="C3684" i="4"/>
  <c r="C3678" i="4"/>
  <c r="B3682" i="4" l="1"/>
  <c r="C3688" i="4"/>
  <c r="B3688" i="4"/>
  <c r="B3683" i="4"/>
  <c r="C3683" i="4"/>
  <c r="C3682" i="4"/>
  <c r="B3687" i="4" l="1"/>
  <c r="B3692" i="4"/>
  <c r="B3686" i="4"/>
  <c r="C3687" i="4"/>
  <c r="C3692" i="4"/>
  <c r="C3686" i="4"/>
  <c r="B3696" i="4"/>
  <c r="B3690" i="4" l="1"/>
  <c r="B3691" i="4"/>
  <c r="C3696" i="4"/>
  <c r="C3690" i="4"/>
  <c r="C3691" i="4"/>
  <c r="B3700" i="4" l="1"/>
  <c r="C3694" i="4"/>
  <c r="B3694" i="4"/>
  <c r="B3695" i="4"/>
  <c r="C3695" i="4"/>
  <c r="C3700" i="4"/>
  <c r="C3698" i="4" l="1"/>
  <c r="B3698" i="4"/>
  <c r="C3699" i="4"/>
  <c r="B3699" i="4"/>
  <c r="B3704" i="4"/>
  <c r="C3704" i="4"/>
  <c r="C3708" i="4" l="1"/>
  <c r="B3708" i="4"/>
  <c r="B3703" i="4"/>
  <c r="C3702" i="4"/>
  <c r="B3702" i="4"/>
  <c r="C3703" i="4"/>
  <c r="B3712" i="4" l="1"/>
  <c r="B3706" i="4"/>
  <c r="B3707" i="4"/>
  <c r="C3707" i="4"/>
  <c r="C3706" i="4"/>
  <c r="C3712" i="4"/>
  <c r="B3710" i="4" l="1"/>
  <c r="B3711" i="4"/>
  <c r="B3716" i="4"/>
  <c r="C3711" i="4"/>
  <c r="C3716" i="4"/>
  <c r="C3710" i="4"/>
  <c r="B3720" i="4"/>
  <c r="B3715" i="4" l="1"/>
  <c r="B3714" i="4"/>
  <c r="C3720" i="4"/>
  <c r="C3715" i="4"/>
  <c r="C3714" i="4"/>
  <c r="B3724" i="4"/>
  <c r="B3718" i="4" l="1"/>
  <c r="B3719" i="4"/>
  <c r="C3718" i="4"/>
  <c r="C3724" i="4"/>
  <c r="C3719" i="4"/>
  <c r="B3723" i="4"/>
  <c r="B3728" i="4"/>
  <c r="C3722" i="4" l="1"/>
  <c r="B3722" i="4"/>
  <c r="C3723" i="4"/>
  <c r="C3728" i="4"/>
  <c r="B3726" i="4" l="1"/>
  <c r="C3727" i="4"/>
  <c r="B3727" i="4"/>
  <c r="C3732" i="4"/>
  <c r="B3732" i="4"/>
  <c r="C3726" i="4"/>
  <c r="B3736" i="4" l="1"/>
  <c r="B3730" i="4"/>
  <c r="B3731" i="4"/>
  <c r="C3736" i="4"/>
  <c r="C3730" i="4"/>
  <c r="C3731" i="4"/>
  <c r="B3740" i="4" l="1"/>
  <c r="C3734" i="4"/>
  <c r="B3734" i="4"/>
  <c r="C3735" i="4"/>
  <c r="B3735" i="4"/>
  <c r="C3740" i="4"/>
  <c r="B3738" i="4"/>
  <c r="B3744" i="4"/>
  <c r="B3739" i="4" l="1"/>
  <c r="C3739" i="4"/>
  <c r="C3738" i="4"/>
  <c r="C3744" i="4"/>
  <c r="B3743" i="4" l="1"/>
  <c r="B3748" i="4"/>
  <c r="B3742" i="4"/>
  <c r="C3743" i="4"/>
  <c r="C3742" i="4"/>
  <c r="C3748" i="4"/>
  <c r="C3747" i="4" l="1"/>
  <c r="B3747" i="4"/>
  <c r="B3746" i="4"/>
  <c r="B3752" i="4"/>
  <c r="C3752" i="4"/>
  <c r="C3746" i="4"/>
  <c r="C3751" i="4" l="1"/>
  <c r="B3751" i="4"/>
  <c r="B3750" i="4"/>
  <c r="C3756" i="4"/>
  <c r="B3756" i="4"/>
  <c r="C3750" i="4"/>
  <c r="B3754" i="4" l="1"/>
  <c r="B3755" i="4"/>
  <c r="B3760" i="4"/>
  <c r="C3754" i="4"/>
  <c r="C3760" i="4"/>
  <c r="C3755" i="4"/>
  <c r="C3758" i="4" l="1"/>
  <c r="B3758" i="4"/>
  <c r="B3764" i="4"/>
  <c r="C3759" i="4"/>
  <c r="B3759" i="4"/>
  <c r="C3764" i="4"/>
  <c r="B3768" i="4" l="1"/>
  <c r="B3762" i="4"/>
  <c r="B3763" i="4"/>
  <c r="C3763" i="4"/>
  <c r="C3768" i="4"/>
  <c r="C3762" i="4"/>
  <c r="B3766" i="4" l="1"/>
  <c r="B3767" i="4"/>
  <c r="B3772" i="4"/>
  <c r="C3772" i="4"/>
  <c r="C3767" i="4"/>
  <c r="C3766" i="4"/>
  <c r="B3771" i="4" l="1"/>
  <c r="B3776" i="4"/>
  <c r="B3770" i="4"/>
  <c r="C3770" i="4"/>
  <c r="C3771" i="4"/>
  <c r="C3776" i="4"/>
  <c r="B3775" i="4" l="1"/>
  <c r="B3780" i="4"/>
  <c r="B3774" i="4"/>
  <c r="C3775" i="4"/>
  <c r="C3774" i="4"/>
  <c r="C3780" i="4"/>
  <c r="B3779" i="4" l="1"/>
  <c r="B3778" i="4"/>
  <c r="B3784" i="4"/>
  <c r="C3779" i="4"/>
  <c r="C3778" i="4"/>
  <c r="C3784" i="4"/>
  <c r="B3782" i="4" l="1"/>
  <c r="B3783" i="4"/>
  <c r="B3788" i="4"/>
  <c r="C3782" i="4"/>
  <c r="C3783" i="4"/>
  <c r="C3788" i="4"/>
  <c r="B3787" i="4"/>
  <c r="C3786" i="4" l="1"/>
  <c r="B3786" i="4"/>
  <c r="B3792" i="4"/>
  <c r="C3792" i="4"/>
  <c r="C3787" i="4"/>
  <c r="B3791" i="4" l="1"/>
  <c r="C3790" i="4"/>
  <c r="B3790" i="4"/>
  <c r="B3796" i="4"/>
  <c r="C3796" i="4"/>
  <c r="C3791" i="4"/>
  <c r="B3800" i="4" l="1"/>
  <c r="B3795" i="4"/>
  <c r="B3794" i="4"/>
  <c r="C3795" i="4"/>
  <c r="C3800" i="4"/>
  <c r="C3794" i="4"/>
  <c r="C3804" i="4" l="1"/>
  <c r="B3804" i="4"/>
  <c r="B3798" i="4"/>
  <c r="C3799" i="4"/>
  <c r="B3799" i="4"/>
  <c r="C3798" i="4"/>
  <c r="B3808" i="4" l="1"/>
  <c r="B3803" i="4"/>
  <c r="C3802" i="4"/>
  <c r="B3802" i="4"/>
  <c r="C3803" i="4"/>
  <c r="C3808" i="4"/>
  <c r="B3812" i="4" l="1"/>
  <c r="B3806" i="4"/>
  <c r="B3807" i="4"/>
  <c r="C3812" i="4"/>
  <c r="C3806" i="4"/>
  <c r="C3807" i="4"/>
  <c r="C3811" i="4" l="1"/>
  <c r="B3811" i="4"/>
  <c r="C3810" i="4"/>
  <c r="B3810" i="4"/>
  <c r="B3816" i="4"/>
  <c r="C3816" i="4"/>
  <c r="B3814" i="4" l="1"/>
  <c r="B3815" i="4"/>
  <c r="B3820" i="4"/>
  <c r="C3814" i="4"/>
  <c r="C3815" i="4"/>
  <c r="C3820" i="4"/>
  <c r="B3819" i="4" l="1"/>
  <c r="B3824" i="4"/>
  <c r="B3818" i="4"/>
  <c r="C3824" i="4"/>
  <c r="C3819" i="4"/>
  <c r="C3818" i="4"/>
  <c r="B3823" i="4" l="1"/>
  <c r="B3828" i="4"/>
  <c r="B3822" i="4"/>
  <c r="C3823" i="4"/>
  <c r="C3828" i="4"/>
  <c r="C3822" i="4"/>
  <c r="B3827" i="4" l="1"/>
  <c r="B3826" i="4"/>
  <c r="C3832" i="4"/>
  <c r="B3832" i="4"/>
  <c r="C3826" i="4"/>
  <c r="C3827" i="4"/>
  <c r="B3830" i="4"/>
  <c r="B3836" i="4" l="1"/>
  <c r="C3831" i="4"/>
  <c r="B3831" i="4"/>
  <c r="C3830" i="4"/>
  <c r="C3836" i="4"/>
  <c r="B3835" i="4" l="1"/>
  <c r="C3840" i="4"/>
  <c r="B3840" i="4"/>
  <c r="B3834" i="4"/>
  <c r="C3835" i="4"/>
  <c r="C3834" i="4"/>
  <c r="B3844" i="4"/>
  <c r="B3838" i="4" l="1"/>
  <c r="C3839" i="4"/>
  <c r="B3839" i="4"/>
  <c r="C3844" i="4"/>
  <c r="C3838" i="4"/>
  <c r="B3843" i="4" l="1"/>
  <c r="B3848" i="4"/>
  <c r="B3842" i="4"/>
  <c r="C3848" i="4"/>
  <c r="C3842" i="4"/>
  <c r="C3843" i="4"/>
  <c r="B3847" i="4" l="1"/>
  <c r="B3852" i="4"/>
  <c r="C3846" i="4"/>
  <c r="B3846" i="4"/>
  <c r="C3847" i="4"/>
  <c r="C3852" i="4"/>
  <c r="B3851" i="4" l="1"/>
  <c r="C3850" i="4"/>
  <c r="B3850" i="4"/>
  <c r="B3856" i="4"/>
  <c r="C3851" i="4"/>
  <c r="C3856" i="4"/>
  <c r="B3855" i="4"/>
  <c r="B3854" i="4" l="1"/>
  <c r="C3860" i="4"/>
  <c r="B3860" i="4"/>
  <c r="C3854" i="4"/>
  <c r="C3855" i="4"/>
  <c r="B3858" i="4" l="1"/>
  <c r="B3864" i="4"/>
  <c r="C3859" i="4"/>
  <c r="B3859" i="4"/>
  <c r="C3858" i="4"/>
  <c r="C3864" i="4"/>
  <c r="B3863" i="4" l="1"/>
  <c r="B3862" i="4"/>
  <c r="C3868" i="4"/>
  <c r="B3868" i="4"/>
  <c r="C3862" i="4"/>
  <c r="C3863" i="4"/>
  <c r="B3867" i="4" l="1"/>
  <c r="B3866" i="4"/>
  <c r="C3872" i="4"/>
  <c r="B3872" i="4"/>
  <c r="C3866" i="4"/>
  <c r="C3867" i="4"/>
  <c r="B3870" i="4" l="1"/>
  <c r="C3871" i="4"/>
  <c r="B3871" i="4"/>
  <c r="C3876" i="4"/>
  <c r="B3876" i="4"/>
  <c r="C3870" i="4"/>
  <c r="C3880" i="4" l="1"/>
  <c r="B3880" i="4"/>
  <c r="B3874" i="4"/>
  <c r="B3875" i="4"/>
  <c r="C3874" i="4"/>
  <c r="C3875" i="4"/>
  <c r="C3879" i="4" l="1"/>
  <c r="B3879" i="4"/>
  <c r="C3884" i="4"/>
  <c r="B3884" i="4"/>
  <c r="C3878" i="4"/>
  <c r="B3878" i="4"/>
  <c r="C3882" i="4" l="1"/>
  <c r="B3882" i="4"/>
  <c r="C3883" i="4"/>
  <c r="B3883" i="4"/>
  <c r="C3888" i="4"/>
  <c r="B3888" i="4"/>
  <c r="B3887" i="4" l="1"/>
  <c r="C3886" i="4"/>
  <c r="B3886" i="4"/>
  <c r="C3892" i="4"/>
  <c r="B3892" i="4"/>
  <c r="C3887" i="4"/>
  <c r="B3891" i="4"/>
  <c r="C3896" i="4" l="1"/>
  <c r="B3896" i="4"/>
  <c r="C3890" i="4"/>
  <c r="B3890" i="4"/>
  <c r="C3891" i="4"/>
  <c r="B3894" i="4"/>
  <c r="C3900" i="4" l="1"/>
  <c r="B3900" i="4"/>
  <c r="C3895" i="4"/>
  <c r="B3895" i="4"/>
  <c r="C3894" i="4"/>
  <c r="C3904" i="4" l="1"/>
  <c r="B3904" i="4"/>
  <c r="C3898" i="4"/>
  <c r="B3898" i="4"/>
  <c r="B3899" i="4"/>
  <c r="C3899" i="4"/>
  <c r="C3903" i="4" l="1"/>
  <c r="B3903" i="4"/>
  <c r="B3902" i="4"/>
  <c r="B3908" i="4"/>
  <c r="C3908" i="4"/>
  <c r="C3902" i="4"/>
  <c r="B3912" i="4"/>
  <c r="B3907" i="4" l="1"/>
  <c r="C3906" i="4"/>
  <c r="B3906" i="4"/>
  <c r="C3912" i="4"/>
  <c r="C3907" i="4"/>
  <c r="B3911" i="4" l="1"/>
  <c r="C3916" i="4"/>
  <c r="B3916" i="4"/>
  <c r="C3910" i="4"/>
  <c r="B3910" i="4"/>
  <c r="C3911" i="4"/>
  <c r="B3920" i="4"/>
  <c r="C3915" i="4" l="1"/>
  <c r="B3915" i="4"/>
  <c r="B3914" i="4"/>
  <c r="C3914" i="4"/>
  <c r="C3920" i="4"/>
  <c r="B3918" i="4"/>
  <c r="C3919" i="4" l="1"/>
  <c r="B3919" i="4"/>
  <c r="C3924" i="4"/>
  <c r="B3924" i="4"/>
  <c r="C3918" i="4"/>
  <c r="C3922" i="4" l="1"/>
  <c r="B3922" i="4"/>
  <c r="C3928" i="4"/>
  <c r="B3928" i="4"/>
  <c r="B3923" i="4"/>
  <c r="C3923" i="4"/>
  <c r="C3932" i="4" l="1"/>
  <c r="B3932" i="4"/>
  <c r="B3926" i="4"/>
  <c r="C3927" i="4"/>
  <c r="B3927" i="4"/>
  <c r="C3926" i="4"/>
  <c r="B3931" i="4" l="1"/>
  <c r="C3930" i="4"/>
  <c r="B3930" i="4"/>
  <c r="C3936" i="4"/>
  <c r="B3936" i="4"/>
  <c r="C3931" i="4"/>
  <c r="C3935" i="4" l="1"/>
  <c r="B3935" i="4"/>
  <c r="C3934" i="4"/>
  <c r="B3934" i="4"/>
  <c r="B3940" i="4"/>
  <c r="C3940" i="4"/>
  <c r="B3939" i="4" l="1"/>
  <c r="C3944" i="4"/>
  <c r="B3944" i="4"/>
  <c r="B3938" i="4"/>
  <c r="C3939" i="4"/>
  <c r="C3938" i="4"/>
  <c r="B3942" i="4"/>
  <c r="B3948" i="4" l="1"/>
  <c r="B3943" i="4"/>
  <c r="C3943" i="4"/>
  <c r="C3942" i="4"/>
  <c r="C3948" i="4"/>
  <c r="B3946" i="4" l="1"/>
  <c r="B3952" i="4"/>
  <c r="B3947" i="4"/>
  <c r="C3946" i="4"/>
  <c r="C3947" i="4"/>
  <c r="C3952" i="4"/>
  <c r="B3951" i="4"/>
  <c r="B3950" i="4" l="1"/>
  <c r="B3956" i="4"/>
  <c r="C3951" i="4"/>
  <c r="C3950" i="4"/>
  <c r="C3956" i="4"/>
  <c r="B3955" i="4" l="1"/>
  <c r="B3960" i="4"/>
  <c r="C3954" i="4"/>
  <c r="B3954" i="4"/>
  <c r="C3955" i="4"/>
  <c r="C3960" i="4"/>
  <c r="B3958" i="4" l="1"/>
  <c r="C3959" i="4"/>
  <c r="B3959" i="4"/>
  <c r="B3964" i="4"/>
  <c r="C3964" i="4"/>
  <c r="C3958" i="4"/>
  <c r="B3963" i="4"/>
  <c r="B3962" i="4"/>
  <c r="B3968" i="4" l="1"/>
  <c r="C3962" i="4"/>
  <c r="C3968" i="4"/>
  <c r="C3963" i="4"/>
  <c r="C3972" i="4" l="1"/>
  <c r="B3972" i="4"/>
  <c r="C3966" i="4"/>
  <c r="B3966" i="4"/>
  <c r="B3967" i="4"/>
  <c r="C3967" i="4"/>
  <c r="B3971" i="4"/>
  <c r="B3970" i="4"/>
  <c r="B3976" i="4" l="1"/>
  <c r="C3970" i="4"/>
  <c r="C3971" i="4"/>
  <c r="C3976" i="4"/>
  <c r="B3975" i="4" l="1"/>
  <c r="B3974" i="4"/>
  <c r="B3980" i="4"/>
  <c r="C3975" i="4"/>
  <c r="C3974" i="4"/>
  <c r="C3980" i="4"/>
  <c r="B3984" i="4" l="1"/>
  <c r="C3978" i="4"/>
  <c r="B3978" i="4"/>
  <c r="C3979" i="4"/>
  <c r="B3979" i="4"/>
  <c r="C3984" i="4"/>
  <c r="B3988" i="4" l="1"/>
  <c r="B3983" i="4"/>
  <c r="B3982" i="4"/>
  <c r="C3988" i="4"/>
  <c r="C3982" i="4"/>
  <c r="C3983" i="4"/>
  <c r="B3986" i="4" l="1"/>
  <c r="B3987" i="4"/>
  <c r="B3992" i="4"/>
  <c r="C3987" i="4"/>
  <c r="C3992" i="4"/>
  <c r="C3986" i="4"/>
  <c r="B3990" i="4" l="1"/>
  <c r="B3996" i="4"/>
  <c r="B3991" i="4"/>
  <c r="C3996" i="4"/>
  <c r="C3991" i="4"/>
  <c r="C3990" i="4"/>
  <c r="B3994" i="4" l="1"/>
  <c r="B4000" i="4"/>
  <c r="B3995" i="4"/>
  <c r="C4000" i="4"/>
  <c r="C3994" i="4"/>
  <c r="C3995" i="4"/>
  <c r="B3999" i="4"/>
  <c r="B4004" i="4" l="1"/>
  <c r="B3998" i="4"/>
  <c r="C4004" i="4"/>
  <c r="C3998" i="4"/>
  <c r="C3999" i="4"/>
  <c r="B4008" i="4" l="1"/>
  <c r="B4003" i="4"/>
  <c r="C4002" i="4"/>
  <c r="B4002" i="4"/>
  <c r="C4008" i="4"/>
  <c r="C4003" i="4"/>
  <c r="B4007" i="4" l="1"/>
  <c r="B4012" i="4"/>
  <c r="B4006" i="4"/>
  <c r="C4007" i="4"/>
  <c r="C4006" i="4"/>
  <c r="C4012" i="4"/>
  <c r="B4011" i="4" l="1"/>
  <c r="B4010" i="4"/>
  <c r="B4016" i="4"/>
  <c r="C4016" i="4"/>
  <c r="C4011" i="4"/>
  <c r="C4010" i="4"/>
  <c r="B4020" i="4" l="1"/>
  <c r="B4015" i="4"/>
  <c r="B4014" i="4"/>
  <c r="C4015" i="4"/>
  <c r="C4020" i="4"/>
  <c r="C4014" i="4"/>
  <c r="B4018" i="4" l="1"/>
  <c r="B4024" i="4"/>
  <c r="B4019" i="4"/>
  <c r="C4019" i="4"/>
  <c r="C4024" i="4"/>
  <c r="C4018" i="4"/>
  <c r="B4022" i="4" l="1"/>
  <c r="B4023" i="4"/>
  <c r="B4028" i="4"/>
  <c r="C4023" i="4"/>
  <c r="C4022" i="4"/>
  <c r="C4028" i="4"/>
  <c r="B4026" i="4"/>
  <c r="C4027" i="4" l="1"/>
  <c r="B4027" i="4"/>
  <c r="C4032" i="4"/>
  <c r="B4032" i="4"/>
  <c r="C4026" i="4"/>
  <c r="C4030" i="4" l="1"/>
  <c r="B4030" i="4"/>
  <c r="B4031" i="4"/>
  <c r="B4036" i="4"/>
  <c r="C4031" i="4"/>
  <c r="C4036" i="4"/>
  <c r="B4040" i="4"/>
  <c r="C4035" i="4" l="1"/>
  <c r="B4035" i="4"/>
  <c r="C4034" i="4"/>
  <c r="B4034" i="4"/>
  <c r="C4040" i="4"/>
  <c r="B4044" i="4" l="1"/>
  <c r="C4039" i="4"/>
  <c r="B4039" i="4"/>
  <c r="C4038" i="4"/>
  <c r="B4038" i="4"/>
  <c r="C4044" i="4"/>
  <c r="C4048" i="4" l="1"/>
  <c r="B4048" i="4"/>
  <c r="B4043" i="4"/>
  <c r="B4042" i="4"/>
  <c r="C4042" i="4"/>
  <c r="C4043" i="4"/>
  <c r="B4052" i="4"/>
  <c r="B4047" i="4"/>
  <c r="B4046" i="4" l="1"/>
  <c r="C4046" i="4"/>
  <c r="C4047" i="4"/>
  <c r="C4052" i="4"/>
  <c r="B4051" i="4" l="1"/>
  <c r="B4050" i="4"/>
  <c r="B4056" i="4"/>
  <c r="C4050" i="4"/>
  <c r="C4056" i="4"/>
  <c r="C4051" i="4"/>
  <c r="B4060" i="4" l="1"/>
  <c r="C4055" i="4"/>
  <c r="B4055" i="4"/>
  <c r="B4054" i="4"/>
  <c r="C4054" i="4"/>
  <c r="C4060" i="4"/>
  <c r="B4059" i="4" l="1"/>
  <c r="C4064" i="4"/>
  <c r="B4064" i="4"/>
  <c r="B4058" i="4"/>
  <c r="C4058" i="4"/>
  <c r="C4059" i="4"/>
  <c r="B4062" i="4" l="1"/>
  <c r="C4068" i="4"/>
  <c r="B4068" i="4"/>
  <c r="C4063" i="4"/>
  <c r="B4063" i="4"/>
  <c r="C4062" i="4"/>
  <c r="B4067" i="4"/>
  <c r="B4066" i="4" l="1"/>
  <c r="C4072" i="4"/>
  <c r="B4072" i="4"/>
  <c r="C4067" i="4"/>
  <c r="C4066" i="4"/>
  <c r="B4076" i="4"/>
  <c r="C4071" i="4" l="1"/>
  <c r="B4071" i="4"/>
  <c r="B4070" i="4"/>
  <c r="C4070" i="4"/>
  <c r="C4076" i="4"/>
  <c r="B4080" i="4" l="1"/>
  <c r="B4074" i="4"/>
  <c r="B4075" i="4"/>
  <c r="C4075" i="4"/>
  <c r="C4080" i="4"/>
  <c r="C4074" i="4"/>
  <c r="B4084" i="4" l="1"/>
  <c r="B4079" i="4"/>
  <c r="C4078" i="4"/>
  <c r="B4078" i="4"/>
  <c r="C4084" i="4"/>
  <c r="C4079" i="4"/>
  <c r="B4082" i="4" l="1"/>
  <c r="B4088" i="4"/>
  <c r="B4083" i="4"/>
  <c r="C4088" i="4"/>
  <c r="C4082" i="4"/>
  <c r="C4083" i="4"/>
  <c r="B4092" i="4" l="1"/>
  <c r="C4086" i="4"/>
  <c r="B4086" i="4"/>
  <c r="B4087" i="4"/>
  <c r="C4092" i="4"/>
  <c r="C4087" i="4"/>
  <c r="B4091" i="4" l="1"/>
  <c r="C4090" i="4"/>
  <c r="B4090" i="4"/>
  <c r="C4096" i="4"/>
  <c r="B4096" i="4"/>
  <c r="C4091" i="4"/>
  <c r="B4095" i="4" l="1"/>
  <c r="B4094" i="4"/>
  <c r="B4100" i="4"/>
  <c r="C4100" i="4"/>
  <c r="C4095" i="4"/>
  <c r="C4094" i="4"/>
  <c r="B4099" i="4"/>
  <c r="B4104" i="4" l="1"/>
  <c r="B4098" i="4"/>
  <c r="C4099" i="4"/>
  <c r="C4098" i="4"/>
  <c r="C4104" i="4"/>
  <c r="C4108" i="4" l="1"/>
  <c r="B4108" i="4"/>
  <c r="B4102" i="4"/>
  <c r="B4103" i="4"/>
  <c r="C4103" i="4"/>
  <c r="C4102" i="4"/>
  <c r="B4106" i="4" l="1"/>
  <c r="C4112" i="4"/>
  <c r="B4112" i="4"/>
  <c r="C4107" i="4"/>
  <c r="B4107" i="4"/>
  <c r="C4106" i="4"/>
  <c r="B4116" i="4" l="1"/>
  <c r="B4110" i="4"/>
  <c r="B4111" i="4"/>
  <c r="C4110" i="4"/>
  <c r="C4116" i="4"/>
  <c r="C4111" i="4"/>
  <c r="B4115" i="4" l="1"/>
  <c r="B4114" i="4"/>
  <c r="C4120" i="4"/>
  <c r="B4120" i="4"/>
  <c r="C4115" i="4"/>
  <c r="C4114" i="4"/>
  <c r="C4119" i="4" l="1"/>
  <c r="B4119" i="4"/>
  <c r="B4124" i="4"/>
  <c r="C4118" i="4"/>
  <c r="B4118" i="4"/>
  <c r="C4124" i="4"/>
  <c r="B4123" i="4" l="1"/>
  <c r="B4122" i="4"/>
  <c r="C4128" i="4"/>
  <c r="B4128" i="4"/>
  <c r="C4123" i="4"/>
  <c r="C4122" i="4"/>
  <c r="B4127" i="4" l="1"/>
  <c r="B4132" i="4"/>
  <c r="B4126" i="4"/>
  <c r="C4127" i="4"/>
  <c r="C4132" i="4"/>
  <c r="C4126" i="4"/>
  <c r="B4130" i="4" l="1"/>
  <c r="B4131" i="4"/>
  <c r="B4136" i="4"/>
  <c r="C4130" i="4"/>
  <c r="C4136" i="4"/>
  <c r="C4131" i="4"/>
  <c r="B4140" i="4" l="1"/>
  <c r="B4134" i="4"/>
  <c r="B4135" i="4"/>
  <c r="C4135" i="4"/>
  <c r="C4134" i="4"/>
  <c r="C4140" i="4"/>
  <c r="B4138" i="4" l="1"/>
  <c r="B4144" i="4"/>
  <c r="B4139" i="4"/>
  <c r="C4138" i="4"/>
  <c r="C4144" i="4"/>
  <c r="C4139" i="4"/>
  <c r="B4148" i="4" l="1"/>
  <c r="B4143" i="4"/>
  <c r="B4142" i="4"/>
  <c r="C4143" i="4"/>
  <c r="C4148" i="4"/>
  <c r="C4142" i="4"/>
  <c r="B4152" i="4" l="1"/>
  <c r="C4146" i="4"/>
  <c r="B4146" i="4"/>
  <c r="B4147" i="4"/>
  <c r="C4147" i="4"/>
  <c r="C4152" i="4"/>
  <c r="B4150" i="4" l="1"/>
  <c r="B4151" i="4"/>
  <c r="C4156" i="4"/>
  <c r="B4156" i="4"/>
  <c r="C4150" i="4"/>
  <c r="C4151" i="4"/>
  <c r="C4154" i="4" l="1"/>
  <c r="B4154" i="4"/>
  <c r="B4155" i="4"/>
  <c r="C4160" i="4"/>
  <c r="B4160" i="4"/>
  <c r="C4155" i="4"/>
  <c r="C4159" i="4" l="1"/>
  <c r="B4159" i="4"/>
  <c r="B4158" i="4"/>
  <c r="B4164" i="4"/>
  <c r="C4158" i="4"/>
  <c r="C4164" i="4"/>
  <c r="B4168" i="4" l="1"/>
  <c r="C4162" i="4"/>
  <c r="B4162" i="4"/>
  <c r="B4163" i="4"/>
  <c r="C4168" i="4"/>
  <c r="C4163" i="4"/>
  <c r="B4172" i="4" l="1"/>
  <c r="B4166" i="4"/>
  <c r="B4167" i="4"/>
  <c r="C4166" i="4"/>
  <c r="C4172" i="4"/>
  <c r="C4167" i="4"/>
  <c r="B4171" i="4" l="1"/>
  <c r="B4170" i="4"/>
  <c r="B4176" i="4"/>
  <c r="C4170" i="4"/>
  <c r="C4176" i="4"/>
  <c r="C4171" i="4"/>
  <c r="B4174" i="4" l="1"/>
  <c r="B4175" i="4"/>
  <c r="B4180" i="4"/>
  <c r="C4174" i="4"/>
  <c r="C4180" i="4"/>
  <c r="C4175" i="4"/>
  <c r="B4184" i="4" l="1"/>
  <c r="C4179" i="4"/>
  <c r="B4179" i="4"/>
  <c r="B4178" i="4"/>
  <c r="C4178" i="4"/>
  <c r="C4184" i="4"/>
  <c r="B4182" i="4" l="1"/>
  <c r="B4183" i="4"/>
  <c r="C4188" i="4"/>
  <c r="B4188" i="4"/>
  <c r="C4182" i="4"/>
  <c r="C4183" i="4"/>
  <c r="B4187" i="4" l="1"/>
  <c r="B4192" i="4"/>
  <c r="B4186" i="4"/>
  <c r="C4192" i="4"/>
  <c r="C4186" i="4"/>
  <c r="C4187" i="4"/>
  <c r="B4196" i="4" l="1"/>
  <c r="B4191" i="4"/>
  <c r="B4190" i="4"/>
  <c r="C4190" i="4"/>
  <c r="C4191" i="4"/>
  <c r="C4196" i="4"/>
  <c r="B4200" i="4" l="1"/>
  <c r="B4194" i="4"/>
  <c r="B4195" i="4"/>
  <c r="C4194" i="4"/>
  <c r="C4195" i="4"/>
  <c r="C4200" i="4"/>
  <c r="B4198" i="4" l="1"/>
  <c r="C4199" i="4"/>
  <c r="B4199" i="4"/>
  <c r="B4204" i="4"/>
  <c r="C4204" i="4"/>
  <c r="C4198" i="4"/>
  <c r="C4202" i="4" l="1"/>
  <c r="B4202" i="4"/>
  <c r="B4203" i="4"/>
  <c r="B4208" i="4"/>
  <c r="C4203" i="4"/>
  <c r="C4208" i="4"/>
  <c r="B4212" i="4" l="1"/>
  <c r="C4207" i="4"/>
  <c r="B4207" i="4"/>
  <c r="B4206" i="4"/>
  <c r="C4206" i="4"/>
  <c r="C4212" i="4"/>
  <c r="B4216" i="4" l="1"/>
  <c r="B4210" i="4"/>
  <c r="B4211" i="4"/>
  <c r="C4210" i="4"/>
  <c r="C4216" i="4"/>
  <c r="C4211" i="4"/>
  <c r="B4215" i="4" l="1"/>
  <c r="B4220" i="4"/>
  <c r="B4214" i="4"/>
  <c r="C4220" i="4"/>
  <c r="C4215" i="4"/>
  <c r="C4214" i="4"/>
  <c r="B4218" i="4" l="1"/>
  <c r="B4224" i="4"/>
  <c r="B4219" i="4"/>
  <c r="C4224" i="4"/>
  <c r="C4218" i="4"/>
  <c r="C4219" i="4"/>
  <c r="B4228" i="4" l="1"/>
  <c r="C4223" i="4"/>
  <c r="B4223" i="4"/>
  <c r="B4222" i="4"/>
  <c r="C4222" i="4"/>
  <c r="C4228" i="4"/>
  <c r="B4226" i="4" l="1"/>
  <c r="B4232" i="4"/>
  <c r="C4227" i="4"/>
  <c r="B4227" i="4"/>
  <c r="C4232" i="4"/>
  <c r="C4226" i="4"/>
  <c r="B4231" i="4" l="1"/>
  <c r="B4236" i="4"/>
  <c r="B4230" i="4"/>
  <c r="C4230" i="4"/>
  <c r="C4236" i="4"/>
  <c r="C4231" i="4"/>
  <c r="B4234" i="4" l="1"/>
  <c r="B4240" i="4"/>
  <c r="B4235" i="4"/>
  <c r="C4234" i="4"/>
  <c r="C4240" i="4"/>
  <c r="C4235" i="4"/>
  <c r="B4238" i="4" l="1"/>
  <c r="B4239" i="4"/>
  <c r="B4244" i="4"/>
  <c r="C4238" i="4"/>
  <c r="C4239" i="4"/>
  <c r="C4244" i="4"/>
  <c r="B4243" i="4" l="1"/>
  <c r="B4242" i="4"/>
  <c r="B4248" i="4"/>
  <c r="C4243" i="4"/>
  <c r="C4242" i="4"/>
  <c r="C4248" i="4"/>
  <c r="C4246" i="4" l="1"/>
  <c r="B4246" i="4"/>
  <c r="B4247" i="4"/>
  <c r="B4252" i="4"/>
  <c r="C4252" i="4"/>
  <c r="C4247" i="4"/>
  <c r="B4250" i="4" l="1"/>
  <c r="B4251" i="4"/>
  <c r="C4256" i="4"/>
  <c r="B4256" i="4"/>
  <c r="C4250" i="4"/>
  <c r="C4251" i="4"/>
  <c r="B4254" i="4" l="1"/>
  <c r="B4255" i="4"/>
  <c r="B4260" i="4"/>
  <c r="C4254" i="4"/>
  <c r="C4255" i="4"/>
  <c r="C4260" i="4"/>
  <c r="B4259" i="4" l="1"/>
  <c r="B4264" i="4"/>
  <c r="B4258" i="4"/>
  <c r="C4264" i="4"/>
  <c r="C4258" i="4"/>
  <c r="C4259" i="4"/>
  <c r="B4263" i="4" l="1"/>
  <c r="B4268" i="4"/>
  <c r="C4262" i="4"/>
  <c r="B4262" i="4"/>
  <c r="C4263" i="4"/>
  <c r="C4268" i="4"/>
  <c r="B4272" i="4" l="1"/>
  <c r="B4266" i="4"/>
  <c r="B4267" i="4"/>
  <c r="C4267" i="4"/>
  <c r="C4272" i="4"/>
  <c r="C4266" i="4"/>
  <c r="B4271" i="4"/>
  <c r="B4270" i="4"/>
  <c r="B4276" i="4" l="1"/>
  <c r="C4270" i="4"/>
  <c r="C4271" i="4"/>
  <c r="C4276" i="4"/>
  <c r="B4274" i="4" l="1"/>
  <c r="B4275" i="4"/>
  <c r="B4280" i="4"/>
  <c r="C4274" i="4"/>
  <c r="C4280" i="4"/>
  <c r="C4275" i="4"/>
  <c r="B4284" i="4"/>
  <c r="B4278" i="4" l="1"/>
  <c r="B4279" i="4"/>
  <c r="C4284" i="4"/>
  <c r="C4278" i="4"/>
  <c r="C4279" i="4"/>
  <c r="B4283" i="4"/>
  <c r="C4288" i="4" l="1"/>
  <c r="B4288" i="4"/>
  <c r="C4282" i="4"/>
  <c r="B4282" i="4"/>
  <c r="C4283" i="4"/>
  <c r="B4287" i="4" l="1"/>
  <c r="C4286" i="4"/>
  <c r="B4286" i="4"/>
  <c r="B4292" i="4"/>
  <c r="C4287" i="4"/>
  <c r="C4292" i="4"/>
  <c r="B4290" i="4" l="1"/>
  <c r="B4291" i="4"/>
  <c r="B4296" i="4"/>
  <c r="C4296" i="4"/>
  <c r="C4290" i="4"/>
  <c r="C4291" i="4"/>
  <c r="B4294" i="4"/>
  <c r="B4295" i="4" l="1"/>
  <c r="B4300" i="4"/>
  <c r="C4300" i="4"/>
  <c r="C4295" i="4"/>
  <c r="C4294" i="4"/>
  <c r="B4298" i="4" l="1"/>
  <c r="B4299" i="4"/>
  <c r="B4304" i="4"/>
  <c r="C4298" i="4"/>
  <c r="C4304" i="4"/>
  <c r="C4299" i="4"/>
  <c r="B4302" i="4" l="1"/>
  <c r="B4303" i="4"/>
  <c r="B4308" i="4"/>
  <c r="C4302" i="4"/>
  <c r="C4303" i="4"/>
  <c r="C4308" i="4"/>
  <c r="B4312" i="4" l="1"/>
  <c r="B4307" i="4"/>
  <c r="B4306" i="4"/>
  <c r="C4307" i="4"/>
  <c r="C4306" i="4"/>
  <c r="C4312" i="4"/>
  <c r="B4310" i="4"/>
  <c r="B4311" i="4" l="1"/>
  <c r="B4316" i="4"/>
  <c r="C4310" i="4"/>
  <c r="C4311" i="4"/>
  <c r="C4316" i="4"/>
  <c r="B4314" i="4" l="1"/>
  <c r="C4320" i="4"/>
  <c r="B4320" i="4"/>
  <c r="C4315" i="4"/>
  <c r="B4315" i="4"/>
  <c r="C4314" i="4"/>
  <c r="B4318" i="4" l="1"/>
  <c r="C4319" i="4"/>
  <c r="B4319" i="4"/>
  <c r="B4324" i="4"/>
  <c r="C4324" i="4"/>
  <c r="C4318" i="4"/>
  <c r="B4328" i="4" l="1"/>
  <c r="B4323" i="4"/>
  <c r="C4322" i="4"/>
  <c r="B4322" i="4"/>
  <c r="C4328" i="4"/>
  <c r="C4323" i="4"/>
  <c r="B4327" i="4"/>
  <c r="B4332" i="4" l="1"/>
  <c r="B4326" i="4"/>
  <c r="C4326" i="4"/>
  <c r="C4327" i="4"/>
  <c r="C4332" i="4"/>
  <c r="B4336" i="4" l="1"/>
  <c r="C4330" i="4"/>
  <c r="B4330" i="4"/>
  <c r="B4331" i="4"/>
  <c r="C4336" i="4"/>
  <c r="C4331" i="4"/>
  <c r="B4340" i="4" l="1"/>
  <c r="C4335" i="4"/>
  <c r="B4335" i="4"/>
  <c r="B4334" i="4"/>
  <c r="C4340" i="4"/>
  <c r="C4334" i="4"/>
  <c r="B4339" i="4" l="1"/>
  <c r="B4338" i="4"/>
  <c r="B4344" i="4"/>
  <c r="C4344" i="4"/>
  <c r="C4338" i="4"/>
  <c r="C4339" i="4"/>
  <c r="B4342" i="4" l="1"/>
  <c r="C4343" i="4"/>
  <c r="B4343" i="4"/>
  <c r="B4348" i="4"/>
  <c r="C4348" i="4"/>
  <c r="C4342" i="4"/>
  <c r="B4346" i="4" l="1"/>
  <c r="B4347" i="4"/>
  <c r="B4352" i="4"/>
  <c r="C4352" i="4"/>
  <c r="C4346" i="4"/>
  <c r="C4347" i="4"/>
  <c r="B4351" i="4"/>
  <c r="C4356" i="4" l="1"/>
  <c r="B4356" i="4"/>
  <c r="B4350" i="4"/>
  <c r="C4351" i="4"/>
  <c r="C4350" i="4"/>
  <c r="B4354" i="4" l="1"/>
  <c r="B4355" i="4"/>
  <c r="B4360" i="4"/>
  <c r="C4354" i="4"/>
  <c r="C4355" i="4"/>
  <c r="C4360" i="4"/>
  <c r="B4358" i="4" l="1"/>
  <c r="B4364" i="4"/>
  <c r="C4359" i="4"/>
  <c r="B4359" i="4"/>
  <c r="C4364" i="4"/>
  <c r="C4358" i="4"/>
  <c r="C4363" i="4" l="1"/>
  <c r="B4363" i="4"/>
  <c r="B4362" i="4"/>
  <c r="B4368" i="4"/>
  <c r="C4362" i="4"/>
  <c r="C4368" i="4"/>
  <c r="B4366" i="4" l="1"/>
  <c r="B4372" i="4"/>
  <c r="B4367" i="4"/>
  <c r="C4372" i="4"/>
  <c r="C4366" i="4"/>
  <c r="C4367" i="4"/>
  <c r="B4370" i="4" l="1"/>
  <c r="C4371" i="4"/>
  <c r="B4371" i="4"/>
  <c r="B4376" i="4"/>
  <c r="C4376" i="4"/>
  <c r="C4370" i="4"/>
  <c r="B4380" i="4" l="1"/>
  <c r="C4375" i="4"/>
  <c r="B4375" i="4"/>
  <c r="B4374" i="4"/>
  <c r="C4380" i="4"/>
  <c r="C4374" i="4"/>
  <c r="B4379" i="4" l="1"/>
  <c r="B4384" i="4"/>
  <c r="B4378" i="4"/>
  <c r="C4379" i="4"/>
  <c r="C4378" i="4"/>
  <c r="C4384" i="4"/>
  <c r="B4382" i="4" l="1"/>
  <c r="C4383" i="4"/>
  <c r="B4383" i="4"/>
  <c r="B4388" i="4"/>
  <c r="C4388" i="4"/>
  <c r="C4382" i="4"/>
  <c r="B4387" i="4" l="1"/>
  <c r="B4392" i="4"/>
  <c r="B4386" i="4"/>
  <c r="C4386" i="4"/>
  <c r="C4392" i="4"/>
  <c r="C4387" i="4"/>
  <c r="B4396" i="4"/>
  <c r="B4391" i="4" l="1"/>
  <c r="C4390" i="4"/>
  <c r="B4390" i="4"/>
  <c r="C4391" i="4"/>
  <c r="C4396" i="4"/>
  <c r="B4394" i="4" l="1"/>
  <c r="B4395" i="4"/>
  <c r="B4400" i="4"/>
  <c r="C4400" i="4"/>
  <c r="C4395" i="4"/>
  <c r="C4394" i="4"/>
  <c r="B4398" i="4" l="1"/>
  <c r="B4399" i="4"/>
  <c r="B4404" i="4"/>
  <c r="C4399" i="4"/>
  <c r="C4398" i="4"/>
  <c r="C4404" i="4"/>
  <c r="B4402" i="4" l="1"/>
  <c r="B4403" i="4"/>
  <c r="B4408" i="4"/>
  <c r="C4402" i="4"/>
  <c r="C4408" i="4"/>
  <c r="C4403" i="4"/>
  <c r="B4412" i="4" l="1"/>
  <c r="B4406" i="4"/>
  <c r="B4407" i="4"/>
  <c r="C4406" i="4"/>
  <c r="C4407" i="4"/>
  <c r="C4412" i="4"/>
  <c r="B4416" i="4" l="1"/>
  <c r="B4411" i="4"/>
  <c r="B4410" i="4"/>
  <c r="C4411" i="4"/>
  <c r="C4416" i="4"/>
  <c r="C4410" i="4"/>
  <c r="B4414" i="4" l="1"/>
  <c r="B4415" i="4"/>
  <c r="B4420" i="4"/>
  <c r="C4415" i="4"/>
  <c r="C4414" i="4"/>
  <c r="C4420" i="4"/>
  <c r="B4424" i="4" l="1"/>
  <c r="B4419" i="4"/>
  <c r="B4418" i="4"/>
  <c r="C4424" i="4"/>
  <c r="C4418" i="4"/>
  <c r="C4419" i="4"/>
  <c r="B4422" i="4" l="1"/>
  <c r="C4428" i="4"/>
  <c r="B4428" i="4"/>
  <c r="B4423" i="4"/>
  <c r="C4422" i="4"/>
  <c r="C4423" i="4"/>
  <c r="B4426" i="4" l="1"/>
  <c r="B4427" i="4"/>
  <c r="C4432" i="4"/>
  <c r="B4432" i="4"/>
  <c r="C4426" i="4"/>
  <c r="C4427" i="4"/>
  <c r="B4430" i="4" l="1"/>
  <c r="B4431" i="4"/>
  <c r="B4436" i="4"/>
  <c r="C4430" i="4"/>
  <c r="C4431" i="4"/>
  <c r="C4436" i="4"/>
  <c r="B4434" i="4" l="1"/>
  <c r="B4435" i="4"/>
  <c r="B4440" i="4"/>
  <c r="C4435" i="4"/>
  <c r="C4434" i="4"/>
  <c r="C4440" i="4"/>
  <c r="B4444" i="4" l="1"/>
  <c r="B4439" i="4"/>
  <c r="B4438" i="4"/>
  <c r="C4439" i="4"/>
  <c r="C4438" i="4"/>
  <c r="C4444" i="4"/>
  <c r="B4443" i="4" l="1"/>
  <c r="B4442" i="4"/>
  <c r="B4448" i="4"/>
  <c r="C4443" i="4"/>
  <c r="C4442" i="4"/>
  <c r="C4448" i="4"/>
  <c r="B4452" i="4" l="1"/>
  <c r="B4446" i="4"/>
  <c r="B4447" i="4"/>
  <c r="C4452" i="4"/>
  <c r="C4447" i="4"/>
  <c r="C4446" i="4"/>
  <c r="B4451" i="4" l="1"/>
  <c r="B4450" i="4"/>
  <c r="B4456" i="4"/>
  <c r="C4451" i="4"/>
  <c r="C4456" i="4"/>
  <c r="C4450" i="4"/>
  <c r="B4460" i="4" l="1"/>
  <c r="B4454" i="4"/>
  <c r="C4455" i="4"/>
  <c r="B4455" i="4"/>
  <c r="C4460" i="4"/>
  <c r="C4454" i="4"/>
  <c r="B4458" i="4" l="1"/>
  <c r="B4459" i="4"/>
  <c r="B4464" i="4"/>
  <c r="C4464" i="4"/>
  <c r="C4458" i="4"/>
  <c r="C4459" i="4"/>
  <c r="B4468" i="4" l="1"/>
  <c r="B4463" i="4"/>
  <c r="C4462" i="4"/>
  <c r="B4462" i="4"/>
  <c r="C4468" i="4"/>
  <c r="C4463" i="4"/>
  <c r="B4466" i="4" l="1"/>
  <c r="B4472" i="4"/>
  <c r="B4467" i="4"/>
  <c r="C4467" i="4"/>
  <c r="C4466" i="4"/>
  <c r="C4472" i="4"/>
  <c r="B4470" i="4" l="1"/>
  <c r="B4476" i="4"/>
  <c r="B4471" i="4"/>
  <c r="C4471" i="4"/>
  <c r="C4476" i="4"/>
  <c r="C4470" i="4"/>
  <c r="B4474" i="4" l="1"/>
  <c r="B4480" i="4"/>
  <c r="B4475" i="4"/>
  <c r="C4474" i="4"/>
  <c r="C4475" i="4"/>
  <c r="C4480" i="4"/>
  <c r="B4478" i="4" l="1"/>
  <c r="B4479" i="4"/>
  <c r="B4484" i="4"/>
  <c r="C4479" i="4"/>
  <c r="C4484" i="4"/>
  <c r="C4478" i="4"/>
  <c r="B4482" i="4" l="1"/>
  <c r="B4483" i="4"/>
  <c r="B4488" i="4"/>
  <c r="C4488" i="4"/>
  <c r="C4483" i="4"/>
  <c r="C4482" i="4"/>
  <c r="B4486" i="4" l="1"/>
  <c r="B4487" i="4"/>
  <c r="B4492" i="4"/>
  <c r="C4487" i="4"/>
  <c r="C4486" i="4"/>
  <c r="C4492" i="4"/>
  <c r="B4491" i="4"/>
  <c r="B4496" i="4" l="1"/>
  <c r="B4490" i="4"/>
  <c r="C4496" i="4"/>
  <c r="C4490" i="4"/>
  <c r="C4491" i="4"/>
  <c r="B4500" i="4" l="1"/>
  <c r="B4495" i="4"/>
  <c r="B4494" i="4"/>
  <c r="C4500" i="4"/>
  <c r="C4495" i="4"/>
  <c r="C4494" i="4"/>
  <c r="B4499" i="4" l="1"/>
  <c r="B4498" i="4"/>
  <c r="B4504" i="4"/>
  <c r="C4504" i="4"/>
  <c r="C4498" i="4"/>
  <c r="C4499" i="4"/>
  <c r="B4503" i="4" l="1"/>
  <c r="B4508" i="4"/>
  <c r="C4502" i="4"/>
  <c r="B4502" i="4"/>
  <c r="C4503" i="4"/>
  <c r="C4508" i="4"/>
  <c r="B4506" i="4" l="1"/>
  <c r="B4507" i="4"/>
  <c r="B4512" i="4"/>
  <c r="C4512" i="4"/>
  <c r="C4507" i="4"/>
  <c r="C4506" i="4"/>
  <c r="B4510" i="4" l="1"/>
  <c r="B4511" i="4"/>
  <c r="B4516" i="4"/>
  <c r="C4511" i="4"/>
  <c r="C4516" i="4"/>
  <c r="C4510" i="4"/>
  <c r="B4515" i="4" l="1"/>
  <c r="C4520" i="4"/>
  <c r="B4520" i="4"/>
  <c r="C4514" i="4"/>
  <c r="B4514" i="4"/>
  <c r="C4515" i="4"/>
  <c r="B4519" i="4" l="1"/>
  <c r="C4524" i="4"/>
  <c r="B4524" i="4"/>
  <c r="B4518" i="4"/>
  <c r="C4519" i="4"/>
  <c r="C4518" i="4"/>
  <c r="B4528" i="4" l="1"/>
  <c r="B4522" i="4"/>
  <c r="B4523" i="4"/>
  <c r="C4523" i="4"/>
  <c r="C4528" i="4"/>
  <c r="C4522" i="4"/>
  <c r="B4526" i="4"/>
  <c r="B4532" i="4" l="1"/>
  <c r="B4527" i="4"/>
  <c r="C4526" i="4"/>
  <c r="C4527" i="4"/>
  <c r="C4532" i="4"/>
  <c r="B4536" i="4" l="1"/>
  <c r="C4531" i="4"/>
  <c r="B4531" i="4"/>
  <c r="B4530" i="4"/>
  <c r="C4530" i="4"/>
  <c r="C4536" i="4"/>
  <c r="B4535" i="4" l="1"/>
  <c r="C4540" i="4"/>
  <c r="B4540" i="4"/>
  <c r="B4534" i="4"/>
  <c r="C4534" i="4"/>
  <c r="C4535" i="4"/>
  <c r="B4544" i="4" l="1"/>
  <c r="B4539" i="4"/>
  <c r="B4538" i="4"/>
  <c r="C4538" i="4"/>
  <c r="C4539" i="4"/>
  <c r="C4544" i="4"/>
  <c r="B4543" i="4"/>
  <c r="B4542" i="4" l="1"/>
  <c r="B4548" i="4"/>
  <c r="C4543" i="4"/>
  <c r="C4548" i="4"/>
  <c r="C4542" i="4"/>
  <c r="B4552" i="4" l="1"/>
  <c r="B4546" i="4"/>
  <c r="B4547" i="4"/>
  <c r="C4547" i="4"/>
  <c r="C4552" i="4"/>
  <c r="C4546" i="4"/>
  <c r="B4551" i="4" l="1"/>
  <c r="B4556" i="4"/>
  <c r="B4550" i="4"/>
  <c r="C4551" i="4"/>
  <c r="C4550" i="4"/>
  <c r="C4556" i="4"/>
  <c r="B4555" i="4" l="1"/>
  <c r="B4560" i="4"/>
  <c r="B4554" i="4"/>
  <c r="C4555" i="4"/>
  <c r="C4560" i="4"/>
  <c r="C4554" i="4"/>
  <c r="B4564" i="4" l="1"/>
  <c r="B4559" i="4"/>
  <c r="B4558" i="4"/>
  <c r="C4558" i="4"/>
  <c r="C4564" i="4"/>
  <c r="C4559" i="4"/>
  <c r="B4563" i="4" l="1"/>
  <c r="B4562" i="4"/>
  <c r="B4568" i="4"/>
  <c r="C4563" i="4"/>
  <c r="C4562" i="4"/>
  <c r="C4568" i="4"/>
  <c r="B4567" i="4" l="1"/>
  <c r="B4566" i="4"/>
  <c r="B4572" i="4"/>
  <c r="C4566" i="4"/>
  <c r="C4572" i="4"/>
  <c r="C4567" i="4"/>
  <c r="B4571" i="4" l="1"/>
  <c r="B4570" i="4"/>
  <c r="B4576" i="4"/>
  <c r="C4570" i="4"/>
  <c r="C4571" i="4"/>
  <c r="C4576" i="4"/>
  <c r="B4574" i="4" l="1"/>
  <c r="B4580" i="4"/>
  <c r="B4575" i="4"/>
  <c r="C4575" i="4"/>
  <c r="C4574" i="4"/>
  <c r="C4580" i="4"/>
  <c r="B4584" i="4" l="1"/>
  <c r="B4579" i="4"/>
  <c r="B4578" i="4"/>
  <c r="C4578" i="4"/>
  <c r="C4579" i="4"/>
  <c r="C4584" i="4"/>
  <c r="B4582" i="4" l="1"/>
  <c r="B4583" i="4"/>
  <c r="B4588" i="4"/>
  <c r="C4582" i="4"/>
  <c r="C4588" i="4"/>
  <c r="C4583" i="4"/>
  <c r="B4586" i="4" l="1"/>
  <c r="B4592" i="4"/>
  <c r="B4587" i="4"/>
  <c r="C4586" i="4"/>
  <c r="C4592" i="4"/>
  <c r="C4587" i="4"/>
  <c r="B4590" i="4" l="1"/>
  <c r="B4591" i="4"/>
  <c r="C4596" i="4"/>
  <c r="B4596" i="4"/>
  <c r="C4591" i="4"/>
  <c r="C4590" i="4"/>
  <c r="B4595" i="4"/>
  <c r="B4594" i="4" l="1"/>
  <c r="B4600" i="4"/>
  <c r="C4594" i="4"/>
  <c r="C4595" i="4"/>
  <c r="C4600" i="4"/>
  <c r="B4604" i="4" l="1"/>
  <c r="B4599" i="4"/>
  <c r="C4598" i="4"/>
  <c r="B4598" i="4"/>
  <c r="C4604" i="4"/>
  <c r="C4599" i="4"/>
  <c r="B4608" i="4" l="1"/>
  <c r="B4603" i="4"/>
  <c r="C4602" i="4"/>
  <c r="B4602" i="4"/>
  <c r="C4608" i="4"/>
  <c r="C4603" i="4"/>
  <c r="B4606" i="4" l="1"/>
  <c r="B4612" i="4"/>
  <c r="B4607" i="4"/>
  <c r="C4612" i="4"/>
  <c r="C4607" i="4"/>
  <c r="C4606" i="4"/>
  <c r="B4611" i="4" l="1"/>
  <c r="B4616" i="4"/>
  <c r="B4610" i="4"/>
  <c r="C4616" i="4"/>
  <c r="C4611" i="4"/>
  <c r="C4610" i="4"/>
  <c r="C4620" i="4" l="1"/>
  <c r="B4620" i="4"/>
  <c r="B4615" i="4"/>
  <c r="B4614" i="4"/>
  <c r="C4614" i="4"/>
  <c r="C4615" i="4"/>
  <c r="B4624" i="4"/>
  <c r="B4619" i="4" l="1"/>
  <c r="B4618" i="4"/>
  <c r="C4624" i="4"/>
  <c r="C4618" i="4"/>
  <c r="C4619" i="4"/>
  <c r="B4622" i="4"/>
  <c r="C4623" i="4" l="1"/>
  <c r="B4623" i="4"/>
  <c r="B4628" i="4"/>
  <c r="C4622" i="4"/>
  <c r="C4628" i="4"/>
  <c r="B4632" i="4" l="1"/>
  <c r="B4627" i="4"/>
  <c r="C4626" i="4"/>
  <c r="B4626" i="4"/>
  <c r="C4627" i="4"/>
  <c r="C4632" i="4"/>
  <c r="B4631" i="4" l="1"/>
  <c r="B4630" i="4"/>
  <c r="B4636" i="4"/>
  <c r="C4630" i="4"/>
  <c r="C4636" i="4"/>
  <c r="C4631" i="4"/>
  <c r="B4640" i="4"/>
  <c r="B4634" i="4" l="1"/>
  <c r="B4635" i="4"/>
  <c r="C4635" i="4"/>
  <c r="C4640" i="4"/>
  <c r="C4634" i="4"/>
  <c r="B4638" i="4" l="1"/>
  <c r="B4639" i="4"/>
  <c r="B4644" i="4"/>
  <c r="C4639" i="4"/>
  <c r="C4638" i="4"/>
  <c r="C4644" i="4"/>
  <c r="B4643" i="4" l="1"/>
  <c r="B4648" i="4"/>
  <c r="B4642" i="4"/>
  <c r="C4648" i="4"/>
  <c r="C4643" i="4"/>
  <c r="C4642" i="4"/>
  <c r="B4652" i="4" l="1"/>
  <c r="B4647" i="4"/>
  <c r="B4646" i="4"/>
  <c r="C4646" i="4"/>
  <c r="C4652" i="4"/>
  <c r="C4647" i="4"/>
  <c r="B4651" i="4" l="1"/>
  <c r="B4656" i="4"/>
  <c r="B4650" i="4"/>
  <c r="C4650" i="4"/>
  <c r="C4656" i="4"/>
  <c r="C4651" i="4"/>
  <c r="B4660" i="4" l="1"/>
  <c r="B4655" i="4"/>
  <c r="C4654" i="4"/>
  <c r="B4654" i="4"/>
  <c r="C4655" i="4"/>
  <c r="C4660" i="4"/>
  <c r="B4664" i="4" l="1"/>
  <c r="B4659" i="4"/>
  <c r="B4658" i="4"/>
  <c r="C4664" i="4"/>
  <c r="C4658" i="4"/>
  <c r="C4659" i="4"/>
  <c r="B4668" i="4" l="1"/>
  <c r="B4662" i="4"/>
  <c r="C4663" i="4"/>
  <c r="B4663" i="4"/>
  <c r="C4668" i="4"/>
  <c r="C4662" i="4"/>
  <c r="B4667" i="4" l="1"/>
  <c r="C4672" i="4"/>
  <c r="B4672" i="4"/>
  <c r="B4666" i="4"/>
  <c r="C4667" i="4"/>
  <c r="C4666" i="4"/>
  <c r="B4671" i="4" l="1"/>
  <c r="B4676" i="4"/>
  <c r="B4670" i="4"/>
  <c r="C4670" i="4"/>
  <c r="C4676" i="4"/>
  <c r="C4671" i="4"/>
  <c r="B4674" i="4"/>
  <c r="B4680" i="4" l="1"/>
  <c r="B4675" i="4"/>
  <c r="C4675" i="4"/>
  <c r="C4674" i="4"/>
  <c r="C4680" i="4"/>
  <c r="B4684" i="4"/>
  <c r="B4679" i="4" l="1"/>
  <c r="B4678" i="4"/>
  <c r="C4678" i="4"/>
  <c r="C4684" i="4"/>
  <c r="C4679" i="4"/>
  <c r="B4683" i="4" l="1"/>
  <c r="B4682" i="4"/>
  <c r="B4688" i="4"/>
  <c r="C4683" i="4"/>
  <c r="C4688" i="4"/>
  <c r="C4682" i="4"/>
  <c r="B4692" i="4" l="1"/>
  <c r="B4686" i="4"/>
  <c r="B4687" i="4"/>
  <c r="C4692" i="4"/>
  <c r="C4687" i="4"/>
  <c r="C4686" i="4"/>
  <c r="B4696" i="4" l="1"/>
  <c r="B4691" i="4"/>
  <c r="B4690" i="4"/>
  <c r="C4696" i="4"/>
  <c r="C4690" i="4"/>
  <c r="C4691" i="4"/>
  <c r="B4695" i="4" l="1"/>
  <c r="B4700" i="4"/>
  <c r="B4694" i="4"/>
  <c r="C4694" i="4"/>
  <c r="C4695" i="4"/>
  <c r="C4700" i="4"/>
  <c r="B4699" i="4" l="1"/>
  <c r="B4704" i="4"/>
  <c r="B4698" i="4"/>
  <c r="C4698" i="4"/>
  <c r="C4704" i="4"/>
  <c r="C4699" i="4"/>
  <c r="B4702" i="4"/>
  <c r="B4703" i="4" l="1"/>
  <c r="B4708" i="4"/>
  <c r="C4702" i="4"/>
  <c r="C4708" i="4"/>
  <c r="C4703" i="4"/>
  <c r="B4706" i="4" l="1"/>
  <c r="B4707" i="4"/>
  <c r="B4712" i="4"/>
  <c r="C4712" i="4"/>
  <c r="C4707" i="4"/>
  <c r="C4706" i="4"/>
  <c r="B4710" i="4" l="1"/>
  <c r="B4716" i="4"/>
  <c r="B4711" i="4"/>
  <c r="C4711" i="4"/>
  <c r="C4716" i="4"/>
  <c r="C4710" i="4"/>
  <c r="B4714" i="4" l="1"/>
  <c r="C4720" i="4"/>
  <c r="B4720" i="4"/>
  <c r="B4715" i="4"/>
  <c r="C4714" i="4"/>
  <c r="C4715" i="4"/>
  <c r="B4724" i="4" l="1"/>
  <c r="C4718" i="4"/>
  <c r="B4718" i="4"/>
  <c r="B4719" i="4"/>
  <c r="C4724" i="4"/>
  <c r="C4719" i="4"/>
  <c r="B4723" i="4" l="1"/>
  <c r="B4722" i="4"/>
  <c r="B4728" i="4"/>
  <c r="C4728" i="4"/>
  <c r="C4723" i="4"/>
  <c r="C4722" i="4"/>
  <c r="B4732" i="4" l="1"/>
  <c r="B4727" i="4"/>
  <c r="B4726" i="4"/>
  <c r="C4727" i="4"/>
  <c r="C4732" i="4"/>
  <c r="C4726" i="4"/>
  <c r="B4730" i="4" l="1"/>
  <c r="B4731" i="4"/>
  <c r="B4736" i="4"/>
  <c r="C4731" i="4"/>
  <c r="C4736" i="4"/>
  <c r="C4730" i="4"/>
  <c r="B4735" i="4" l="1"/>
  <c r="B4734" i="4"/>
  <c r="B4740" i="4"/>
  <c r="C4734" i="4"/>
  <c r="C4740" i="4"/>
  <c r="C4735" i="4"/>
  <c r="B4744" i="4" l="1"/>
  <c r="B4738" i="4"/>
  <c r="B4739" i="4"/>
  <c r="C4739" i="4"/>
  <c r="C4744" i="4"/>
  <c r="C4738" i="4"/>
  <c r="B4743" i="4" l="1"/>
  <c r="B4742" i="4"/>
  <c r="B4748" i="4"/>
  <c r="C4748" i="4"/>
  <c r="C4742" i="4"/>
  <c r="C4743" i="4"/>
  <c r="B4747" i="4" l="1"/>
  <c r="B4746" i="4"/>
  <c r="B4752" i="4"/>
  <c r="C4746" i="4"/>
  <c r="C4752" i="4"/>
  <c r="C4747" i="4"/>
  <c r="B4756" i="4" l="1"/>
  <c r="B4750" i="4"/>
  <c r="B4751" i="4"/>
  <c r="C4750" i="4"/>
  <c r="C4751" i="4"/>
  <c r="C4756" i="4"/>
  <c r="B4755" i="4"/>
  <c r="B4760" i="4" l="1"/>
  <c r="B4754" i="4"/>
  <c r="C4760" i="4"/>
  <c r="C4754" i="4"/>
  <c r="C4755" i="4"/>
  <c r="B4758" i="4" l="1"/>
  <c r="B4759" i="4"/>
  <c r="B4764" i="4"/>
  <c r="C4764" i="4"/>
  <c r="C4758" i="4"/>
  <c r="C4759" i="4"/>
  <c r="B4762" i="4" l="1"/>
  <c r="B4763" i="4"/>
  <c r="B4768" i="4"/>
  <c r="C4768" i="4"/>
  <c r="C4763" i="4"/>
  <c r="C4762" i="4"/>
  <c r="B4767" i="4" l="1"/>
  <c r="C4772" i="4"/>
  <c r="B4772" i="4"/>
  <c r="B4766" i="4"/>
  <c r="C4766" i="4"/>
  <c r="C4767" i="4"/>
  <c r="B4776" i="4" l="1"/>
  <c r="C4771" i="4"/>
  <c r="B4771" i="4"/>
  <c r="B4770" i="4"/>
  <c r="C4776" i="4"/>
  <c r="C4770" i="4"/>
  <c r="B4775" i="4" l="1"/>
  <c r="B4774" i="4"/>
  <c r="B4780" i="4"/>
  <c r="C4774" i="4"/>
  <c r="C4775" i="4"/>
  <c r="C4780" i="4"/>
  <c r="B4779" i="4" l="1"/>
  <c r="B4778" i="4"/>
  <c r="B4784" i="4"/>
  <c r="C4779" i="4"/>
  <c r="C4784" i="4"/>
  <c r="C4778" i="4"/>
  <c r="C4783" i="4" l="1"/>
  <c r="B4783" i="4"/>
  <c r="B4782" i="4"/>
  <c r="C4788" i="4"/>
  <c r="B4788" i="4"/>
  <c r="C4782" i="4"/>
  <c r="B4792" i="4" l="1"/>
  <c r="C4787" i="4"/>
  <c r="B4787" i="4"/>
  <c r="B4786" i="4"/>
  <c r="C4786" i="4"/>
  <c r="C4792" i="4"/>
  <c r="B4796" i="4" l="1"/>
  <c r="B4790" i="4"/>
  <c r="B4791" i="4"/>
  <c r="C4791" i="4"/>
  <c r="C4796" i="4"/>
  <c r="C4790" i="4"/>
  <c r="B4794" i="4" l="1"/>
  <c r="B4800" i="4"/>
  <c r="B4795" i="4"/>
  <c r="C4794" i="4"/>
  <c r="C4795" i="4"/>
  <c r="C4800" i="4"/>
  <c r="B4798" i="4" l="1"/>
  <c r="C4799" i="4"/>
  <c r="B4799" i="4"/>
  <c r="B4804" i="4"/>
  <c r="C4804" i="4"/>
  <c r="C4798" i="4"/>
  <c r="B4808" i="4" l="1"/>
  <c r="B4803" i="4"/>
  <c r="B4802" i="4"/>
  <c r="C4802" i="4"/>
  <c r="C4803" i="4"/>
  <c r="C4808" i="4"/>
  <c r="B4807" i="4" l="1"/>
  <c r="B4812" i="4"/>
  <c r="B4806" i="4"/>
  <c r="C4807" i="4"/>
  <c r="C4806" i="4"/>
  <c r="C4812" i="4"/>
  <c r="B4816" i="4" l="1"/>
  <c r="B4810" i="4"/>
  <c r="B4811" i="4"/>
  <c r="C4810" i="4"/>
  <c r="C4816" i="4"/>
  <c r="C4811" i="4"/>
  <c r="B4815" i="4" l="1"/>
  <c r="B4820" i="4"/>
  <c r="B4814" i="4"/>
  <c r="C4815" i="4"/>
  <c r="C4820" i="4"/>
  <c r="C4814" i="4"/>
  <c r="B4818" i="4" l="1"/>
  <c r="B4824" i="4"/>
  <c r="B4819" i="4"/>
  <c r="C4818" i="4"/>
  <c r="C4824" i="4"/>
  <c r="C4819" i="4"/>
  <c r="B4828" i="4" l="1"/>
  <c r="B4823" i="4"/>
  <c r="B4822" i="4"/>
  <c r="C4822" i="4"/>
  <c r="C4823" i="4"/>
  <c r="C4828" i="4"/>
  <c r="B4832" i="4"/>
  <c r="B4827" i="4" l="1"/>
  <c r="B4826" i="4"/>
  <c r="C4826" i="4"/>
  <c r="C4832" i="4"/>
  <c r="C4827" i="4"/>
  <c r="B4831" i="4"/>
  <c r="B4836" i="4" l="1"/>
  <c r="B4830" i="4"/>
  <c r="C4831" i="4"/>
  <c r="C4830" i="4"/>
  <c r="C4836" i="4"/>
  <c r="B4835" i="4" l="1"/>
  <c r="B4840" i="4"/>
  <c r="B4834" i="4"/>
  <c r="C4840" i="4"/>
  <c r="C4835" i="4"/>
  <c r="C4834" i="4"/>
  <c r="B4844" i="4" l="1"/>
  <c r="C4839" i="4"/>
  <c r="B4839" i="4"/>
  <c r="B4838" i="4"/>
  <c r="C4844" i="4"/>
  <c r="C4838" i="4"/>
  <c r="C4842" i="4" l="1"/>
  <c r="B4842" i="4"/>
  <c r="B4848" i="4"/>
  <c r="B4843" i="4"/>
  <c r="C4843" i="4"/>
  <c r="C4848" i="4"/>
  <c r="B4852" i="4" l="1"/>
  <c r="B4846" i="4"/>
  <c r="B4847" i="4"/>
  <c r="C4852" i="4"/>
  <c r="C4847" i="4"/>
  <c r="C4846" i="4"/>
  <c r="B4850" i="4" l="1"/>
  <c r="B4851" i="4"/>
  <c r="B4856" i="4"/>
  <c r="C4856" i="4"/>
  <c r="C4851" i="4"/>
  <c r="C4850" i="4"/>
  <c r="B4860" i="4" l="1"/>
  <c r="B4855" i="4"/>
  <c r="B4854" i="4"/>
  <c r="C4854" i="4"/>
  <c r="C4860" i="4"/>
  <c r="C4855" i="4"/>
  <c r="B4858" i="4" l="1"/>
  <c r="B4859" i="4"/>
  <c r="C4864" i="4"/>
  <c r="B4864" i="4"/>
  <c r="C4858" i="4"/>
  <c r="C4859" i="4"/>
  <c r="B4868" i="4" l="1"/>
  <c r="B4862" i="4"/>
  <c r="B4863" i="4"/>
  <c r="C4868" i="4"/>
  <c r="C4863" i="4"/>
  <c r="C4862" i="4"/>
  <c r="B4867" i="4" l="1"/>
  <c r="B4866" i="4"/>
  <c r="B4872" i="4"/>
  <c r="C4866" i="4"/>
  <c r="C4867" i="4"/>
  <c r="C4872" i="4"/>
  <c r="B4870" i="4" l="1"/>
  <c r="B4876" i="4"/>
  <c r="B4871" i="4"/>
  <c r="C4876" i="4"/>
  <c r="C4871" i="4"/>
  <c r="C4870" i="4"/>
  <c r="C4874" i="4" l="1"/>
  <c r="B4874" i="4"/>
  <c r="B4875" i="4"/>
  <c r="C4880" i="4"/>
  <c r="B4880" i="4"/>
  <c r="C4875" i="4"/>
  <c r="B4878" i="4" l="1"/>
  <c r="B4884" i="4"/>
  <c r="B4879" i="4"/>
  <c r="C4878" i="4"/>
  <c r="C4884" i="4"/>
  <c r="C4879" i="4"/>
  <c r="B4882" i="4" l="1"/>
  <c r="C4883" i="4"/>
  <c r="B4883" i="4"/>
  <c r="B4888" i="4"/>
  <c r="C4882" i="4"/>
  <c r="C4888" i="4"/>
  <c r="B4887" i="4" l="1"/>
  <c r="C4892" i="4"/>
  <c r="B4892" i="4"/>
  <c r="B4886" i="4"/>
  <c r="C4887" i="4"/>
  <c r="C4886" i="4"/>
  <c r="C4896" i="4" l="1"/>
  <c r="B4896" i="4"/>
  <c r="B4890" i="4"/>
  <c r="B4891" i="4"/>
  <c r="C4890" i="4"/>
  <c r="C4891" i="4"/>
  <c r="B4900" i="4" l="1"/>
  <c r="B4895" i="4"/>
  <c r="B4894" i="4"/>
  <c r="C4900" i="4"/>
  <c r="C4895" i="4"/>
  <c r="C4894" i="4"/>
  <c r="B4899" i="4" l="1"/>
  <c r="B4898" i="4"/>
  <c r="C4904" i="4"/>
  <c r="B4904" i="4"/>
  <c r="C4899" i="4"/>
  <c r="C4898" i="4"/>
  <c r="B4908" i="4"/>
  <c r="B4902" i="4" l="1"/>
  <c r="B4903" i="4"/>
  <c r="C4908" i="4"/>
  <c r="C4902" i="4"/>
  <c r="C4903" i="4"/>
  <c r="B4912" i="4" l="1"/>
  <c r="B4907" i="4"/>
  <c r="B4906" i="4"/>
  <c r="C4907" i="4"/>
  <c r="C4912" i="4"/>
  <c r="C4906" i="4"/>
  <c r="C4910" i="4" l="1"/>
  <c r="B4910" i="4"/>
  <c r="B4916" i="4"/>
  <c r="C4911" i="4"/>
  <c r="B4911" i="4"/>
  <c r="C4916" i="4"/>
  <c r="B4915" i="4" l="1"/>
  <c r="C4920" i="4"/>
  <c r="B4920" i="4"/>
  <c r="C4914" i="4"/>
  <c r="B4914" i="4"/>
  <c r="C4915" i="4"/>
  <c r="B4919" i="4"/>
  <c r="B4918" i="4" l="1"/>
  <c r="B4924" i="4"/>
  <c r="C4919" i="4"/>
  <c r="C4918" i="4"/>
  <c r="C4924" i="4"/>
  <c r="B4928" i="4" l="1"/>
  <c r="B4922" i="4"/>
  <c r="C4923" i="4"/>
  <c r="B4923" i="4"/>
  <c r="C4928" i="4"/>
  <c r="C4922" i="4"/>
  <c r="B4932" i="4" l="1"/>
  <c r="C4927" i="4"/>
  <c r="B4927" i="4"/>
  <c r="B4926" i="4"/>
  <c r="C4932" i="4"/>
  <c r="C4926" i="4"/>
  <c r="B4936" i="4" l="1"/>
  <c r="B4930" i="4"/>
  <c r="B4931" i="4"/>
  <c r="C4936" i="4"/>
  <c r="C4931" i="4"/>
  <c r="C4930" i="4"/>
  <c r="B4934" i="4" l="1"/>
  <c r="B4935" i="4"/>
  <c r="C4940" i="4"/>
  <c r="B4940" i="4"/>
  <c r="C4934" i="4"/>
  <c r="C4935" i="4"/>
  <c r="B4938" i="4"/>
  <c r="C4939" i="4" l="1"/>
  <c r="B4939" i="4"/>
  <c r="B4944" i="4"/>
  <c r="C4938" i="4"/>
  <c r="C4944" i="4"/>
  <c r="B4948" i="4" l="1"/>
  <c r="C4942" i="4"/>
  <c r="B4942" i="4"/>
  <c r="C4943" i="4"/>
  <c r="B4943" i="4"/>
  <c r="C4948" i="4"/>
  <c r="B4952" i="4" l="1"/>
  <c r="C4947" i="4"/>
  <c r="B4947" i="4"/>
  <c r="C4946" i="4"/>
  <c r="B4946" i="4"/>
  <c r="C4952" i="4"/>
  <c r="C4950" i="4" l="1"/>
  <c r="B4950" i="4"/>
  <c r="B4951" i="4"/>
  <c r="C4956" i="4"/>
  <c r="B4956" i="4"/>
  <c r="C4951" i="4"/>
  <c r="B4954" i="4" l="1"/>
  <c r="B4960" i="4"/>
  <c r="C4955" i="4"/>
  <c r="B4955" i="4"/>
  <c r="C4960" i="4"/>
  <c r="C4954" i="4"/>
  <c r="B4958" i="4" l="1"/>
  <c r="C4959" i="4"/>
  <c r="B4959" i="4"/>
  <c r="B4964" i="4"/>
  <c r="C4964" i="4"/>
  <c r="C4958" i="4"/>
  <c r="B4968" i="4" l="1"/>
  <c r="B4962" i="4"/>
  <c r="B4963" i="4"/>
  <c r="C4968" i="4"/>
  <c r="C4962" i="4"/>
  <c r="C4963" i="4"/>
  <c r="C4967" i="4" l="1"/>
  <c r="B4967" i="4"/>
  <c r="B4972" i="4"/>
  <c r="B4966" i="4"/>
  <c r="C4966" i="4"/>
  <c r="C4972" i="4"/>
  <c r="B4970" i="4"/>
  <c r="B4976" i="4" l="1"/>
  <c r="B4971" i="4"/>
  <c r="C4971" i="4"/>
  <c r="C4970" i="4"/>
  <c r="C4976" i="4"/>
  <c r="B4980" i="4"/>
  <c r="B4975" i="4" l="1"/>
  <c r="B4974" i="4"/>
  <c r="C4975" i="4"/>
  <c r="C4980" i="4"/>
  <c r="C4974" i="4"/>
  <c r="B4984" i="4" l="1"/>
  <c r="C4978" i="4"/>
  <c r="B4978" i="4"/>
  <c r="B4979" i="4"/>
  <c r="C4984" i="4"/>
  <c r="C4979" i="4"/>
  <c r="B4983" i="4" l="1"/>
  <c r="B4982" i="4"/>
  <c r="B4988" i="4"/>
  <c r="C4988" i="4"/>
  <c r="C4983" i="4"/>
  <c r="C4982" i="4"/>
  <c r="B4987" i="4" l="1"/>
  <c r="C4992" i="4"/>
  <c r="B4992" i="4"/>
  <c r="B4986" i="4"/>
  <c r="C4987" i="4"/>
  <c r="C4986" i="4"/>
  <c r="B4990" i="4" l="1"/>
  <c r="B4991" i="4"/>
  <c r="B4996" i="4"/>
  <c r="C4996" i="4"/>
  <c r="C4991" i="4"/>
  <c r="C4990" i="4"/>
  <c r="B4994" i="4" l="1"/>
  <c r="B5000" i="4"/>
  <c r="B4995" i="4"/>
  <c r="C4995" i="4"/>
  <c r="C4994" i="4"/>
  <c r="C5000" i="4"/>
  <c r="B5004" i="4" l="1"/>
  <c r="B4998" i="4"/>
  <c r="B4999" i="4"/>
  <c r="C5004" i="4"/>
  <c r="C4999" i="4"/>
  <c r="C4998" i="4"/>
  <c r="B5002" i="4" l="1"/>
  <c r="C5008" i="4"/>
  <c r="B5008" i="4"/>
  <c r="B5003" i="4"/>
  <c r="C5002" i="4"/>
  <c r="C5003" i="4"/>
  <c r="B5007" i="4" l="1"/>
  <c r="B5012" i="4"/>
  <c r="C5006" i="4"/>
  <c r="B5006" i="4"/>
  <c r="C5007" i="4"/>
  <c r="C5012" i="4"/>
  <c r="C5010" i="4" l="1"/>
  <c r="B5010" i="4"/>
  <c r="B5011" i="4"/>
  <c r="B5016" i="4"/>
  <c r="C5011" i="4"/>
  <c r="C5016" i="4"/>
  <c r="B5015" i="4" l="1"/>
  <c r="B5014" i="4"/>
  <c r="B5020" i="4"/>
  <c r="C5015" i="4"/>
  <c r="C5014" i="4"/>
  <c r="C5020" i="4"/>
  <c r="B5019" i="4" l="1"/>
  <c r="B5018" i="4"/>
  <c r="C5024" i="4"/>
  <c r="B5024" i="4"/>
  <c r="C5018" i="4"/>
  <c r="C5019" i="4"/>
  <c r="C5028" i="4" l="1"/>
  <c r="B5028" i="4"/>
  <c r="B5022" i="4"/>
  <c r="B5023" i="4"/>
  <c r="C5022" i="4"/>
  <c r="C5023" i="4"/>
  <c r="B5027" i="4" l="1"/>
  <c r="B5032" i="4"/>
  <c r="B5026" i="4"/>
  <c r="C5032" i="4"/>
  <c r="C5026" i="4"/>
  <c r="C5027" i="4"/>
  <c r="B5031" i="4" l="1"/>
  <c r="B5030" i="4"/>
  <c r="B5036" i="4"/>
  <c r="C5030" i="4"/>
  <c r="C5036" i="4"/>
  <c r="C5031" i="4"/>
  <c r="B5034" i="4" l="1"/>
  <c r="B5040" i="4"/>
  <c r="B5035" i="4"/>
  <c r="C5034" i="4"/>
  <c r="C5035" i="4"/>
  <c r="C5040" i="4"/>
  <c r="B5044" i="4" l="1"/>
  <c r="B5039" i="4"/>
  <c r="B5038" i="4"/>
  <c r="C5044" i="4"/>
  <c r="C5039" i="4"/>
  <c r="C5038" i="4"/>
  <c r="B5042" i="4"/>
  <c r="B5048" i="4" l="1"/>
  <c r="B5043" i="4"/>
  <c r="C5042" i="4"/>
  <c r="C5043" i="4"/>
  <c r="C5048" i="4"/>
  <c r="B5046" i="4" l="1"/>
  <c r="B5052" i="4"/>
  <c r="B5047" i="4"/>
  <c r="C5046" i="4"/>
  <c r="C5052" i="4"/>
  <c r="C5047" i="4"/>
  <c r="B5051" i="4" l="1"/>
  <c r="B5050" i="4"/>
  <c r="B5056" i="4"/>
  <c r="C5056" i="4"/>
  <c r="C5050" i="4"/>
  <c r="C5051" i="4"/>
  <c r="B5054" i="4"/>
  <c r="B5060" i="4" l="1"/>
  <c r="B5055" i="4"/>
  <c r="C5060" i="4"/>
  <c r="C5055" i="4"/>
  <c r="C5054" i="4"/>
  <c r="B5064" i="4" l="1"/>
  <c r="B5059" i="4"/>
  <c r="B5058" i="4"/>
  <c r="C5064" i="4"/>
  <c r="C5059" i="4"/>
  <c r="C5058" i="4"/>
  <c r="B5063" i="4" l="1"/>
  <c r="B5062" i="4"/>
  <c r="C5068" i="4"/>
  <c r="B5068" i="4"/>
  <c r="C5062" i="4"/>
  <c r="C5063" i="4"/>
  <c r="B5072" i="4" l="1"/>
  <c r="B5067" i="4"/>
  <c r="B5066" i="4"/>
  <c r="C5067" i="4"/>
  <c r="C5072" i="4"/>
  <c r="C5066" i="4"/>
  <c r="B5071" i="4" l="1"/>
  <c r="B5076" i="4"/>
  <c r="B5070" i="4"/>
  <c r="C5071" i="4"/>
  <c r="C5076" i="4"/>
  <c r="C5070" i="4"/>
  <c r="B5080" i="4" l="1"/>
  <c r="B5075" i="4"/>
  <c r="B5074" i="4"/>
  <c r="C5080" i="4"/>
  <c r="C5075" i="4"/>
  <c r="C5074" i="4"/>
  <c r="B5079" i="4"/>
  <c r="B5084" i="4" l="1"/>
  <c r="B5078" i="4"/>
  <c r="C5078" i="4"/>
  <c r="C5084" i="4"/>
  <c r="C5079" i="4"/>
  <c r="C5088" i="4" l="1"/>
  <c r="B5088" i="4"/>
  <c r="B5083" i="4"/>
  <c r="B5082" i="4"/>
  <c r="C5082" i="4"/>
  <c r="C5083" i="4"/>
  <c r="B5087" i="4" l="1"/>
  <c r="B5092" i="4"/>
  <c r="B5086" i="4"/>
  <c r="C5087" i="4"/>
  <c r="C5086" i="4"/>
  <c r="C5092" i="4"/>
  <c r="B5096" i="4" l="1"/>
  <c r="B5091" i="4"/>
  <c r="B5090" i="4"/>
  <c r="C5096" i="4"/>
  <c r="C5090" i="4"/>
  <c r="C5091" i="4"/>
  <c r="C5100" i="4" l="1"/>
  <c r="B5100" i="4"/>
  <c r="B5094" i="4"/>
  <c r="B5095" i="4"/>
  <c r="C5094" i="4"/>
  <c r="C5095" i="4"/>
  <c r="B5104" i="4"/>
  <c r="B5098" i="4" l="1"/>
  <c r="B5099" i="4"/>
  <c r="C5104" i="4"/>
  <c r="C5099" i="4"/>
  <c r="C5098" i="4"/>
  <c r="B5108" i="4" l="1"/>
  <c r="B5102" i="4"/>
  <c r="B5103" i="4"/>
  <c r="C5103" i="4"/>
  <c r="C5102" i="4"/>
  <c r="C5108" i="4"/>
  <c r="C5106" i="4" l="1"/>
  <c r="B5106" i="4"/>
  <c r="C5107" i="4"/>
  <c r="B5107" i="4"/>
  <c r="B5112" i="4"/>
  <c r="C5112" i="4"/>
  <c r="B5111" i="4" l="1"/>
  <c r="B5110" i="4"/>
  <c r="B5116" i="4"/>
  <c r="C5111" i="4"/>
  <c r="C5110" i="4"/>
  <c r="C5116" i="4"/>
  <c r="C5120" i="4" l="1"/>
  <c r="B5120" i="4"/>
  <c r="B5115" i="4"/>
  <c r="B5114" i="4"/>
  <c r="C5115" i="4"/>
  <c r="C5114" i="4"/>
  <c r="B5124" i="4" l="1"/>
  <c r="B5119" i="4"/>
  <c r="C5118" i="4"/>
  <c r="B5118" i="4"/>
  <c r="C5124" i="4"/>
  <c r="C5119" i="4"/>
  <c r="B5122" i="4" l="1"/>
  <c r="B5128" i="4"/>
  <c r="B5123" i="4"/>
  <c r="C5128" i="4"/>
  <c r="C5122" i="4"/>
  <c r="C5123" i="4"/>
  <c r="B5132" i="4" l="1"/>
  <c r="B5126" i="4"/>
  <c r="B5127" i="4"/>
  <c r="C5132" i="4"/>
  <c r="C5126" i="4"/>
  <c r="C5127" i="4"/>
  <c r="B5136" i="4" l="1"/>
  <c r="B5130" i="4"/>
  <c r="B5131" i="4"/>
  <c r="C5136" i="4"/>
  <c r="C5130" i="4"/>
  <c r="C5131" i="4"/>
  <c r="B5134" i="4" l="1"/>
  <c r="B5135" i="4"/>
  <c r="C5140" i="4"/>
  <c r="B5140" i="4"/>
  <c r="C5134" i="4"/>
  <c r="C5135" i="4"/>
  <c r="B5138" i="4" l="1"/>
  <c r="C5144" i="4"/>
  <c r="B5144" i="4"/>
  <c r="C5139" i="4"/>
  <c r="B5139" i="4"/>
  <c r="C5138" i="4"/>
  <c r="B5148" i="4" l="1"/>
  <c r="B5142" i="4"/>
  <c r="B5143" i="4"/>
  <c r="C5142" i="4"/>
  <c r="C5148" i="4"/>
  <c r="C5143" i="4"/>
  <c r="B5152" i="4" l="1"/>
  <c r="B5146" i="4"/>
  <c r="B5147" i="4"/>
  <c r="C5147" i="4"/>
  <c r="C5146" i="4"/>
  <c r="C5152" i="4"/>
  <c r="B5156" i="4"/>
  <c r="B5151" i="4" l="1"/>
  <c r="B5150" i="4"/>
  <c r="C5151" i="4"/>
  <c r="C5150" i="4"/>
  <c r="C5156" i="4"/>
  <c r="B5154" i="4" l="1"/>
  <c r="B5160" i="4"/>
  <c r="B5155" i="4"/>
  <c r="C5160" i="4"/>
  <c r="C5154" i="4"/>
  <c r="C5155" i="4"/>
  <c r="B5159" i="4" l="1"/>
  <c r="B5158" i="4"/>
  <c r="B5164" i="4"/>
  <c r="C5158" i="4"/>
  <c r="C5159" i="4"/>
  <c r="C5164" i="4"/>
  <c r="B5163" i="4"/>
  <c r="B5168" i="4" l="1"/>
  <c r="B5162" i="4"/>
  <c r="C5163" i="4"/>
  <c r="C5168" i="4"/>
  <c r="C5162" i="4"/>
  <c r="B5167" i="4" l="1"/>
  <c r="B5172" i="4"/>
  <c r="B5166" i="4"/>
  <c r="C5172" i="4"/>
  <c r="C5167" i="4"/>
  <c r="C5166" i="4"/>
  <c r="B5171" i="4" l="1"/>
  <c r="B5170" i="4"/>
  <c r="B5176" i="4"/>
  <c r="C5176" i="4"/>
  <c r="C5170" i="4"/>
  <c r="C5171" i="4"/>
  <c r="B5180" i="4" l="1"/>
  <c r="C5175" i="4"/>
  <c r="B5175" i="4"/>
  <c r="B5174" i="4"/>
  <c r="C5180" i="4"/>
  <c r="C5174" i="4"/>
  <c r="B5184" i="4" l="1"/>
  <c r="B5178" i="4"/>
  <c r="B5179" i="4"/>
  <c r="C5179" i="4"/>
  <c r="C5178" i="4"/>
  <c r="C5184" i="4"/>
  <c r="B5183" i="4" l="1"/>
  <c r="B5188" i="4"/>
  <c r="B5182" i="4"/>
  <c r="C5183" i="4"/>
  <c r="C5188" i="4"/>
  <c r="C5182" i="4"/>
  <c r="B5187" i="4"/>
  <c r="B5192" i="4" l="1"/>
  <c r="B5186" i="4"/>
  <c r="C5187" i="4"/>
  <c r="C5192" i="4"/>
  <c r="C5186" i="4"/>
  <c r="B5191" i="4" l="1"/>
  <c r="B5196" i="4"/>
  <c r="C5190" i="4"/>
  <c r="B5190" i="4"/>
  <c r="C5196" i="4"/>
  <c r="C5191" i="4"/>
  <c r="B5195" i="4" l="1"/>
  <c r="B5200" i="4"/>
  <c r="B5194" i="4"/>
  <c r="C5195" i="4"/>
  <c r="C5200" i="4"/>
  <c r="C5194" i="4"/>
  <c r="B5198" i="4" l="1"/>
  <c r="B5204" i="4"/>
  <c r="B5199" i="4"/>
  <c r="C5199" i="4"/>
  <c r="C5198" i="4"/>
  <c r="C5204" i="4"/>
  <c r="B5208" i="4" l="1"/>
  <c r="B5203" i="4"/>
  <c r="B5202" i="4"/>
  <c r="C5208" i="4"/>
  <c r="C5203" i="4"/>
  <c r="C5202" i="4"/>
  <c r="B5206" i="4" l="1"/>
  <c r="C5212" i="4"/>
  <c r="B5212" i="4"/>
  <c r="B5207" i="4"/>
  <c r="C5206" i="4"/>
  <c r="C5207" i="4"/>
  <c r="B5211" i="4" l="1"/>
  <c r="B5210" i="4"/>
  <c r="B5216" i="4"/>
  <c r="C5216" i="4"/>
  <c r="C5211" i="4"/>
  <c r="C5210" i="4"/>
  <c r="B5220" i="4" l="1"/>
  <c r="B5215" i="4"/>
  <c r="B5214" i="4"/>
  <c r="C5215" i="4"/>
  <c r="C5214" i="4"/>
  <c r="C5220" i="4"/>
  <c r="B5224" i="4" l="1"/>
  <c r="B5218" i="4"/>
  <c r="C5219" i="4"/>
  <c r="B5219" i="4"/>
  <c r="C5224" i="4"/>
  <c r="C5218" i="4"/>
  <c r="B5228" i="4" l="1"/>
  <c r="B5222" i="4"/>
  <c r="B5223" i="4"/>
  <c r="C5228" i="4"/>
  <c r="C5222" i="4"/>
  <c r="C5223" i="4"/>
  <c r="B5226" i="4" l="1"/>
  <c r="B5227" i="4"/>
  <c r="B5232" i="4"/>
  <c r="C5226" i="4"/>
  <c r="C5227" i="4"/>
  <c r="C5232" i="4"/>
  <c r="B5231" i="4" l="1"/>
  <c r="B5236" i="4"/>
  <c r="B5230" i="4"/>
  <c r="C5230" i="4"/>
  <c r="C5231" i="4"/>
  <c r="C5236" i="4"/>
  <c r="B5234" i="4" l="1"/>
  <c r="B5240" i="4"/>
  <c r="B5235" i="4"/>
  <c r="C5234" i="4"/>
  <c r="C5235" i="4"/>
  <c r="C5240" i="4"/>
  <c r="B5244" i="4" l="1"/>
  <c r="B5238" i="4"/>
  <c r="B5239" i="4"/>
  <c r="C5244" i="4"/>
  <c r="C5238" i="4"/>
  <c r="C5239" i="4"/>
  <c r="B5248" i="4" l="1"/>
  <c r="B5242" i="4"/>
  <c r="B5243" i="4"/>
  <c r="C5242" i="4"/>
  <c r="C5248" i="4"/>
  <c r="C5243" i="4"/>
  <c r="B5252" i="4" l="1"/>
  <c r="B5246" i="4"/>
  <c r="B5247" i="4"/>
  <c r="C5252" i="4"/>
  <c r="C5247" i="4"/>
  <c r="C5246" i="4"/>
  <c r="B5250" i="4" l="1"/>
  <c r="B5251" i="4"/>
  <c r="B5256" i="4"/>
  <c r="C5250" i="4"/>
  <c r="C5256" i="4"/>
  <c r="C5251" i="4"/>
  <c r="B5255" i="4" l="1"/>
  <c r="B5260" i="4"/>
  <c r="B5254" i="4"/>
  <c r="C5255" i="4"/>
  <c r="C5260" i="4"/>
  <c r="C5254" i="4"/>
  <c r="B5258" i="4" l="1"/>
  <c r="B5259" i="4"/>
  <c r="B5264" i="4"/>
  <c r="C5258" i="4"/>
  <c r="C5259" i="4"/>
  <c r="C5264" i="4"/>
  <c r="B5262" i="4" l="1"/>
  <c r="B5268" i="4"/>
  <c r="C5263" i="4"/>
  <c r="B5263" i="4"/>
  <c r="C5262" i="4"/>
  <c r="C5268" i="4"/>
  <c r="B5266" i="4" l="1"/>
  <c r="B5267" i="4"/>
  <c r="C5272" i="4"/>
  <c r="B5272" i="4"/>
  <c r="C5266" i="4"/>
  <c r="C5267" i="4"/>
  <c r="B5270" i="4" l="1"/>
  <c r="C5276" i="4"/>
  <c r="B5276" i="4"/>
  <c r="B5271" i="4"/>
  <c r="C5270" i="4"/>
  <c r="C5271" i="4"/>
  <c r="B5275" i="4" l="1"/>
  <c r="B5280" i="4"/>
  <c r="B5274" i="4"/>
  <c r="C5275" i="4"/>
  <c r="C5280" i="4"/>
  <c r="C5274" i="4"/>
  <c r="B5278" i="4" l="1"/>
  <c r="B5284" i="4"/>
  <c r="B5279" i="4"/>
  <c r="C5284" i="4"/>
  <c r="C5279" i="4"/>
  <c r="C5278" i="4"/>
  <c r="B5283" i="4" l="1"/>
  <c r="B5288" i="4"/>
  <c r="B5282" i="4"/>
  <c r="C5288" i="4"/>
  <c r="C5283" i="4"/>
  <c r="C5282" i="4"/>
  <c r="B5286" i="4" l="1"/>
  <c r="C5292" i="4"/>
  <c r="B5292" i="4"/>
  <c r="B5287" i="4"/>
  <c r="C5286" i="4"/>
  <c r="C5287" i="4"/>
  <c r="B5290" i="4" l="1"/>
  <c r="B5291" i="4"/>
  <c r="B5296" i="4"/>
  <c r="C5290" i="4"/>
  <c r="C5291" i="4"/>
  <c r="C5296" i="4"/>
  <c r="C5300" i="4" l="1"/>
  <c r="B5300" i="4"/>
  <c r="C5295" i="4"/>
  <c r="B5295" i="4"/>
  <c r="B5294" i="4"/>
  <c r="C5294" i="4"/>
  <c r="C5298" i="4" l="1"/>
  <c r="B5298" i="4"/>
  <c r="B5299" i="4"/>
  <c r="B5304" i="4"/>
  <c r="C5299" i="4"/>
  <c r="C5304" i="4"/>
  <c r="B5302" i="4" l="1"/>
  <c r="B5308" i="4"/>
  <c r="B5303" i="4"/>
  <c r="C5303" i="4"/>
  <c r="C5302" i="4"/>
  <c r="C5308" i="4"/>
  <c r="B5312" i="4" l="1"/>
  <c r="B5306" i="4"/>
  <c r="B5307" i="4"/>
  <c r="C5307" i="4"/>
  <c r="C5312" i="4"/>
  <c r="C5306" i="4"/>
  <c r="B5316" i="4" l="1"/>
  <c r="B5310" i="4"/>
  <c r="B5311" i="4"/>
  <c r="C5311" i="4"/>
  <c r="C5310" i="4"/>
  <c r="C5316" i="4"/>
  <c r="B5314" i="4" l="1"/>
  <c r="B5315" i="4"/>
  <c r="B5320" i="4"/>
  <c r="C5315" i="4"/>
  <c r="C5320" i="4"/>
  <c r="C5314" i="4"/>
  <c r="C5319" i="4" l="1"/>
  <c r="B5319" i="4"/>
  <c r="B5324" i="4"/>
  <c r="C5318" i="4"/>
  <c r="B5318" i="4"/>
  <c r="C5324" i="4"/>
  <c r="B5323" i="4" l="1"/>
  <c r="B5322" i="4"/>
  <c r="B5328" i="4"/>
  <c r="C5323" i="4"/>
  <c r="C5322" i="4"/>
  <c r="C5328" i="4"/>
  <c r="B5326" i="4"/>
  <c r="B5332" i="4" l="1"/>
  <c r="B5327" i="4"/>
  <c r="C5332" i="4"/>
  <c r="C5326" i="4"/>
  <c r="C5327" i="4"/>
  <c r="B5336" i="4" l="1"/>
  <c r="B5330" i="4"/>
  <c r="B5331" i="4"/>
  <c r="C5331" i="4"/>
  <c r="C5336" i="4"/>
  <c r="C5330" i="4"/>
  <c r="B5340" i="4" l="1"/>
  <c r="B5335" i="4"/>
  <c r="B5334" i="4"/>
  <c r="C5340" i="4"/>
  <c r="C5335" i="4"/>
  <c r="C5334" i="4"/>
  <c r="B5338" i="4" l="1"/>
  <c r="C5339" i="4"/>
  <c r="B5339" i="4"/>
  <c r="B5344" i="4"/>
  <c r="C5338" i="4"/>
  <c r="C5344" i="4"/>
  <c r="B5342" i="4" l="1"/>
  <c r="B5348" i="4"/>
  <c r="B5343" i="4"/>
  <c r="C5343" i="4"/>
  <c r="C5348" i="4"/>
  <c r="C5342" i="4"/>
  <c r="B5347" i="4"/>
  <c r="B5352" i="4" l="1"/>
  <c r="B5346" i="4"/>
  <c r="C5347" i="4"/>
  <c r="C5346" i="4"/>
  <c r="C5352" i="4"/>
  <c r="B5350" i="4"/>
  <c r="B5351" i="4" l="1"/>
  <c r="B5356" i="4"/>
  <c r="C5351" i="4"/>
  <c r="C5350" i="4"/>
  <c r="C5356" i="4"/>
  <c r="B5354" i="4" l="1"/>
  <c r="B5355" i="4"/>
  <c r="B5360" i="4"/>
  <c r="C5354" i="4"/>
  <c r="C5360" i="4"/>
  <c r="C5355" i="4"/>
  <c r="B5359" i="4" l="1"/>
  <c r="B5358" i="4"/>
  <c r="C5364" i="4"/>
  <c r="B5364" i="4"/>
  <c r="C5359" i="4"/>
  <c r="C5358" i="4"/>
  <c r="B5363" i="4" l="1"/>
  <c r="B5362" i="4"/>
  <c r="C5368" i="4"/>
  <c r="B5368" i="4"/>
  <c r="C5363" i="4"/>
  <c r="C5362" i="4"/>
  <c r="B5367" i="4" l="1"/>
  <c r="B5366" i="4"/>
  <c r="B5372" i="4"/>
  <c r="C5367" i="4"/>
  <c r="C5366" i="4"/>
  <c r="C5372" i="4"/>
  <c r="C5376" i="4" l="1"/>
  <c r="B5376" i="4"/>
  <c r="B5370" i="4"/>
  <c r="B5371" i="4"/>
  <c r="C5371" i="4"/>
  <c r="C5370" i="4"/>
  <c r="B5375" i="4" l="1"/>
  <c r="B5380" i="4"/>
  <c r="B5374" i="4"/>
  <c r="C5375" i="4"/>
  <c r="C5380" i="4"/>
  <c r="C5374" i="4"/>
  <c r="B5384" i="4" l="1"/>
  <c r="B5379" i="4"/>
  <c r="B5378" i="4"/>
  <c r="C5378" i="4"/>
  <c r="C5384" i="4"/>
  <c r="C5379" i="4"/>
  <c r="B5383" i="4" l="1"/>
  <c r="C5388" i="4"/>
  <c r="B5388" i="4"/>
  <c r="C5382" i="4"/>
  <c r="B5382" i="4"/>
  <c r="C5383" i="4"/>
  <c r="B5387" i="4" l="1"/>
  <c r="B5392" i="4"/>
  <c r="B5386" i="4"/>
  <c r="C5386" i="4"/>
  <c r="C5387" i="4"/>
  <c r="C5392" i="4"/>
  <c r="B5390" i="4"/>
  <c r="B5396" i="4" l="1"/>
  <c r="B5391" i="4"/>
  <c r="C5396" i="4"/>
  <c r="C5391" i="4"/>
  <c r="C5390" i="4"/>
  <c r="B5400" i="4" l="1"/>
  <c r="B5394" i="4"/>
  <c r="B5395" i="4"/>
  <c r="C5394" i="4"/>
  <c r="C5400" i="4"/>
  <c r="C5395" i="4"/>
  <c r="B5398" i="4" l="1"/>
  <c r="B5399" i="4"/>
  <c r="B5404" i="4"/>
  <c r="C5398" i="4"/>
  <c r="C5399" i="4"/>
  <c r="C5404" i="4"/>
  <c r="B5403" i="4" l="1"/>
  <c r="C5402" i="4"/>
  <c r="B5402" i="4"/>
  <c r="B5408" i="4"/>
  <c r="C5403" i="4"/>
  <c r="C5408" i="4"/>
  <c r="B5407" i="4"/>
  <c r="B5412" i="4" l="1"/>
  <c r="B5406" i="4"/>
  <c r="C5407" i="4"/>
  <c r="C5412" i="4"/>
  <c r="C5406" i="4"/>
  <c r="C5411" i="4" l="1"/>
  <c r="B5411" i="4"/>
  <c r="C5416" i="4"/>
  <c r="B5416" i="4"/>
  <c r="B5410" i="4"/>
  <c r="C5410" i="4"/>
  <c r="B5414" i="4" l="1"/>
  <c r="C5420" i="4"/>
  <c r="B5420" i="4"/>
  <c r="B5415" i="4"/>
  <c r="C5414" i="4"/>
  <c r="C5415" i="4"/>
  <c r="B5424" i="4" l="1"/>
  <c r="B5418" i="4"/>
  <c r="B5419" i="4"/>
  <c r="C5419" i="4"/>
  <c r="C5418" i="4"/>
  <c r="C5424" i="4"/>
  <c r="B5423" i="4" l="1"/>
  <c r="B5428" i="4"/>
  <c r="C5422" i="4"/>
  <c r="B5422" i="4"/>
  <c r="C5428" i="4"/>
  <c r="C5423" i="4"/>
  <c r="B5432" i="4" l="1"/>
  <c r="B5427" i="4"/>
  <c r="C5426" i="4"/>
  <c r="B5426" i="4"/>
  <c r="C5427" i="4"/>
  <c r="C5432" i="4"/>
  <c r="B5430" i="4" l="1"/>
  <c r="B5431" i="4"/>
  <c r="C5436" i="4"/>
  <c r="B5436" i="4"/>
  <c r="C5431" i="4"/>
  <c r="C5430" i="4"/>
  <c r="B5435" i="4"/>
  <c r="B5440" i="4" l="1"/>
  <c r="B5434" i="4"/>
  <c r="C5435" i="4"/>
  <c r="C5434" i="4"/>
  <c r="C5440" i="4"/>
  <c r="B5439" i="4"/>
  <c r="B5438" i="4" l="1"/>
  <c r="B5444" i="4"/>
  <c r="C5438" i="4"/>
  <c r="C5444" i="4"/>
  <c r="C5439" i="4"/>
  <c r="B5448" i="4" l="1"/>
  <c r="C5443" i="4"/>
  <c r="B5443" i="4"/>
  <c r="B5442" i="4"/>
  <c r="C5448" i="4"/>
  <c r="C5442" i="4"/>
  <c r="B5452" i="4" l="1"/>
  <c r="C5447" i="4"/>
  <c r="B5447" i="4"/>
  <c r="C5446" i="4"/>
  <c r="B5446" i="4"/>
  <c r="C5452" i="4"/>
  <c r="B5450" i="4" l="1"/>
  <c r="B5451" i="4"/>
  <c r="B5456" i="4"/>
  <c r="C5456" i="4"/>
  <c r="C5451" i="4"/>
  <c r="C5450" i="4"/>
  <c r="B5455" i="4"/>
  <c r="B5460" i="4" l="1"/>
  <c r="C5454" i="4"/>
  <c r="B5454" i="4"/>
  <c r="C5455" i="4"/>
  <c r="C5460" i="4"/>
  <c r="B5464" i="4" l="1"/>
  <c r="C5458" i="4"/>
  <c r="B5458" i="4"/>
  <c r="B5459" i="4"/>
  <c r="C5464" i="4"/>
  <c r="C5459" i="4"/>
  <c r="B5462" i="4" l="1"/>
  <c r="B5468" i="4"/>
  <c r="C5463" i="4"/>
  <c r="B5463" i="4"/>
  <c r="C5462" i="4"/>
  <c r="C5468" i="4"/>
  <c r="B5467" i="4" l="1"/>
  <c r="B5472" i="4"/>
  <c r="C5466" i="4"/>
  <c r="B5466" i="4"/>
  <c r="C5467" i="4"/>
  <c r="C5472" i="4"/>
  <c r="B5471" i="4" l="1"/>
  <c r="B5470" i="4"/>
  <c r="B5476" i="4"/>
  <c r="C5470" i="4"/>
  <c r="C5471" i="4"/>
  <c r="C5476" i="4"/>
  <c r="B5480" i="4"/>
  <c r="B5475" i="4"/>
  <c r="B5474" i="4" l="1"/>
  <c r="C5475" i="4"/>
  <c r="C5480" i="4"/>
  <c r="C5474" i="4"/>
  <c r="B5484" i="4" l="1"/>
  <c r="B5479" i="4"/>
  <c r="C5478" i="4"/>
  <c r="B5478" i="4"/>
  <c r="C5484" i="4"/>
  <c r="C5479" i="4"/>
  <c r="B5483" i="4" l="1"/>
  <c r="B5482" i="4"/>
  <c r="C5482" i="4"/>
  <c r="C5483" i="4"/>
  <c r="B21" i="4" l="1"/>
  <c r="B25" i="4"/>
  <c r="C25" i="4"/>
  <c r="C21" i="4"/>
  <c r="B29" i="4" l="1"/>
  <c r="C29" i="4"/>
  <c r="B33" i="4" l="1"/>
  <c r="C33" i="4"/>
  <c r="B37" i="4" l="1"/>
  <c r="C37" i="4"/>
  <c r="B41" i="4" l="1"/>
  <c r="C41" i="4"/>
  <c r="B45" i="4" l="1"/>
  <c r="C45" i="4"/>
  <c r="B49" i="4" l="1"/>
  <c r="C49" i="4"/>
  <c r="B53" i="4" l="1"/>
  <c r="C53" i="4"/>
  <c r="B57" i="4" l="1"/>
  <c r="C57" i="4"/>
  <c r="B61" i="4" l="1"/>
  <c r="C61" i="4"/>
  <c r="B65" i="4" l="1"/>
  <c r="C65" i="4"/>
  <c r="B69" i="4" l="1"/>
  <c r="C69" i="4"/>
  <c r="B73" i="4" l="1"/>
  <c r="C73" i="4"/>
  <c r="B77" i="4" l="1"/>
  <c r="C77" i="4"/>
  <c r="B81" i="4" l="1"/>
  <c r="C81" i="4"/>
  <c r="B85" i="4" l="1"/>
  <c r="C85" i="4"/>
  <c r="B89" i="4" l="1"/>
  <c r="C89" i="4"/>
  <c r="B93" i="4" l="1"/>
  <c r="C93" i="4"/>
  <c r="B97" i="4" l="1"/>
  <c r="C97" i="4"/>
  <c r="B101" i="4" l="1"/>
  <c r="C101" i="4"/>
  <c r="B105" i="4" l="1"/>
  <c r="C105" i="4"/>
  <c r="B109" i="4" l="1"/>
  <c r="C109" i="4"/>
  <c r="B113" i="4" l="1"/>
  <c r="C113" i="4"/>
  <c r="B117" i="4" l="1"/>
  <c r="C117" i="4"/>
  <c r="B121" i="4" l="1"/>
  <c r="C121" i="4"/>
  <c r="B125" i="4" l="1"/>
  <c r="C125" i="4"/>
  <c r="B129" i="4" l="1"/>
  <c r="C129" i="4"/>
  <c r="B133" i="4" l="1"/>
  <c r="C133" i="4"/>
  <c r="B137" i="4" l="1"/>
  <c r="C137" i="4"/>
  <c r="B141" i="4" l="1"/>
  <c r="C141" i="4"/>
  <c r="B145" i="4"/>
  <c r="C145" i="4" l="1"/>
  <c r="B149" i="4" l="1"/>
  <c r="C149" i="4"/>
  <c r="B153" i="4" l="1"/>
  <c r="C153" i="4"/>
  <c r="B157" i="4" l="1"/>
  <c r="C157" i="4"/>
  <c r="B161" i="4" l="1"/>
  <c r="C161" i="4"/>
  <c r="B165" i="4" l="1"/>
  <c r="C165" i="4"/>
  <c r="B169" i="4" l="1"/>
  <c r="C169" i="4"/>
  <c r="B173" i="4" l="1"/>
  <c r="C173" i="4"/>
  <c r="B177" i="4" l="1"/>
  <c r="C177" i="4"/>
  <c r="B181" i="4" l="1"/>
  <c r="C181" i="4"/>
  <c r="B185" i="4"/>
  <c r="C185" i="4" l="1"/>
  <c r="B189" i="4" l="1"/>
  <c r="C189" i="4"/>
  <c r="B193" i="4" l="1"/>
  <c r="C193" i="4"/>
  <c r="B197" i="4" l="1"/>
  <c r="C197" i="4"/>
  <c r="B201" i="4" l="1"/>
  <c r="C201" i="4"/>
  <c r="B205" i="4" l="1"/>
  <c r="C205" i="4"/>
  <c r="B209" i="4" l="1"/>
  <c r="C209" i="4"/>
  <c r="B213" i="4" l="1"/>
  <c r="C213" i="4"/>
  <c r="M172" i="6" l="1"/>
  <c r="M194" i="6"/>
  <c r="M40" i="6"/>
  <c r="M17" i="6"/>
  <c r="M95" i="6"/>
  <c r="M708" i="6"/>
  <c r="M136" i="6"/>
  <c r="M39" i="6"/>
  <c r="M338" i="6"/>
  <c r="M706" i="6"/>
  <c r="M189" i="6"/>
  <c r="M135" i="6"/>
  <c r="M339" i="6"/>
  <c r="M337" i="6"/>
  <c r="M11" i="6"/>
  <c r="M48" i="6"/>
  <c r="M25" i="6"/>
  <c r="B217" i="4"/>
  <c r="C217" i="4"/>
  <c r="B221" i="4" l="1"/>
  <c r="C221" i="4"/>
  <c r="B225" i="4" l="1"/>
  <c r="C225" i="4"/>
  <c r="B229" i="4" l="1"/>
  <c r="C229" i="4"/>
  <c r="B233" i="4"/>
  <c r="C233" i="4" l="1"/>
  <c r="B237" i="4" l="1"/>
  <c r="C237" i="4"/>
  <c r="B241" i="4" l="1"/>
  <c r="C241" i="4"/>
  <c r="B245" i="4" l="1"/>
  <c r="C245" i="4"/>
  <c r="B249" i="4" l="1"/>
  <c r="C249" i="4"/>
  <c r="B253" i="4" l="1"/>
  <c r="C253" i="4"/>
  <c r="B257" i="4" l="1"/>
  <c r="C257" i="4"/>
  <c r="B261" i="4" l="1"/>
  <c r="C261" i="4"/>
  <c r="B265" i="4" l="1"/>
  <c r="C265" i="4"/>
  <c r="B269" i="4" l="1"/>
  <c r="C269" i="4"/>
  <c r="B273" i="4" l="1"/>
  <c r="C273" i="4"/>
  <c r="B277" i="4" l="1"/>
  <c r="C277" i="4"/>
  <c r="B281" i="4" l="1"/>
  <c r="C281" i="4"/>
  <c r="B285" i="4" l="1"/>
  <c r="C285" i="4"/>
  <c r="B289" i="4" l="1"/>
  <c r="C289" i="4"/>
  <c r="B293" i="4" l="1"/>
  <c r="C293" i="4"/>
  <c r="B297" i="4" l="1"/>
  <c r="C297" i="4"/>
  <c r="B301" i="4" l="1"/>
  <c r="C301" i="4"/>
  <c r="B305" i="4" l="1"/>
  <c r="C305" i="4"/>
  <c r="B309" i="4" l="1"/>
  <c r="C309" i="4"/>
  <c r="B313" i="4" l="1"/>
  <c r="C313" i="4"/>
  <c r="B317" i="4" l="1"/>
  <c r="C317" i="4"/>
  <c r="B321" i="4" l="1"/>
  <c r="C321" i="4"/>
  <c r="B325" i="4" l="1"/>
  <c r="C325" i="4"/>
  <c r="B329" i="4" l="1"/>
  <c r="C329" i="4"/>
  <c r="B333" i="4" l="1"/>
  <c r="C333" i="4"/>
  <c r="B337" i="4" l="1"/>
  <c r="C337" i="4"/>
  <c r="B341" i="4" l="1"/>
  <c r="C341" i="4"/>
  <c r="B345" i="4" l="1"/>
  <c r="C345" i="4"/>
  <c r="B349" i="4" l="1"/>
  <c r="C349" i="4"/>
  <c r="B353" i="4" l="1"/>
  <c r="C353" i="4"/>
  <c r="B357" i="4" l="1"/>
  <c r="C357" i="4"/>
  <c r="B361" i="4" l="1"/>
  <c r="C361" i="4"/>
  <c r="B365" i="4" l="1"/>
  <c r="C365" i="4"/>
  <c r="B369" i="4" l="1"/>
  <c r="C369" i="4"/>
  <c r="B373" i="4" l="1"/>
  <c r="C373" i="4"/>
  <c r="B377" i="4" l="1"/>
  <c r="C377" i="4"/>
  <c r="B381" i="4" l="1"/>
  <c r="C381" i="4"/>
  <c r="B385" i="4" l="1"/>
  <c r="C385" i="4"/>
  <c r="B389" i="4" l="1"/>
  <c r="C389" i="4"/>
  <c r="B393" i="4" l="1"/>
  <c r="C393" i="4"/>
  <c r="B397" i="4" l="1"/>
  <c r="C397" i="4"/>
  <c r="B401" i="4" l="1"/>
  <c r="C401" i="4"/>
  <c r="B405" i="4" l="1"/>
  <c r="C405" i="4"/>
  <c r="B409" i="4" l="1"/>
  <c r="C409" i="4"/>
  <c r="B413" i="4" l="1"/>
  <c r="C413" i="4"/>
  <c r="B417" i="4" l="1"/>
  <c r="C417" i="4"/>
  <c r="B421" i="4" l="1"/>
  <c r="C421" i="4"/>
  <c r="B425" i="4" l="1"/>
  <c r="C425" i="4"/>
  <c r="B429" i="4" l="1"/>
  <c r="C429" i="4"/>
  <c r="B433" i="4" l="1"/>
  <c r="C433" i="4"/>
  <c r="B437" i="4" l="1"/>
  <c r="C437" i="4"/>
  <c r="B441" i="4" l="1"/>
  <c r="C441" i="4"/>
  <c r="B445" i="4" l="1"/>
  <c r="C445" i="4"/>
  <c r="B449" i="4" l="1"/>
  <c r="C449" i="4"/>
  <c r="B453" i="4" l="1"/>
  <c r="C453" i="4"/>
  <c r="B457" i="4" l="1"/>
  <c r="C457" i="4"/>
  <c r="B461" i="4" l="1"/>
  <c r="C461" i="4"/>
  <c r="B465" i="4" l="1"/>
  <c r="C465" i="4"/>
  <c r="B469" i="4" l="1"/>
  <c r="C469" i="4"/>
  <c r="B473" i="4" l="1"/>
  <c r="C473" i="4"/>
  <c r="B477" i="4" l="1"/>
  <c r="C477" i="4"/>
  <c r="B481" i="4" l="1"/>
  <c r="C481" i="4"/>
  <c r="B485" i="4" l="1"/>
  <c r="C485" i="4"/>
  <c r="B489" i="4" l="1"/>
  <c r="C489" i="4"/>
  <c r="B493" i="4" l="1"/>
  <c r="C493" i="4"/>
  <c r="B497" i="4" l="1"/>
  <c r="C497" i="4"/>
  <c r="B501" i="4" l="1"/>
  <c r="C501" i="4"/>
  <c r="B505" i="4" l="1"/>
  <c r="C505" i="4"/>
  <c r="B509" i="4" l="1"/>
  <c r="C509" i="4"/>
  <c r="B513" i="4" l="1"/>
  <c r="C513" i="4"/>
  <c r="B517" i="4" l="1"/>
  <c r="C517" i="4"/>
  <c r="B521" i="4" l="1"/>
  <c r="C521" i="4"/>
  <c r="B525" i="4" l="1"/>
  <c r="C525" i="4"/>
  <c r="B529" i="4" l="1"/>
  <c r="C529" i="4"/>
  <c r="B533" i="4" l="1"/>
  <c r="C533" i="4"/>
  <c r="B537" i="4" l="1"/>
  <c r="C537" i="4"/>
  <c r="B541" i="4" l="1"/>
  <c r="C541" i="4"/>
  <c r="B545" i="4" l="1"/>
  <c r="C545" i="4"/>
  <c r="B549" i="4" l="1"/>
  <c r="C549" i="4"/>
  <c r="B553" i="4" l="1"/>
  <c r="C553" i="4"/>
  <c r="B557" i="4" l="1"/>
  <c r="C557" i="4"/>
  <c r="B561" i="4" l="1"/>
  <c r="C561" i="4"/>
  <c r="B565" i="4" l="1"/>
  <c r="C565" i="4"/>
  <c r="B569" i="4" l="1"/>
  <c r="C569" i="4"/>
  <c r="B573" i="4" l="1"/>
  <c r="C573" i="4"/>
  <c r="B577" i="4" l="1"/>
  <c r="C577" i="4"/>
  <c r="B581" i="4" l="1"/>
  <c r="C581" i="4"/>
  <c r="B585" i="4" l="1"/>
  <c r="C585" i="4"/>
  <c r="B589" i="4" l="1"/>
  <c r="C589" i="4"/>
  <c r="B593" i="4" l="1"/>
  <c r="C593" i="4"/>
  <c r="B597" i="4" l="1"/>
  <c r="C597" i="4"/>
  <c r="B601" i="4" l="1"/>
  <c r="C601" i="4"/>
  <c r="B605" i="4" l="1"/>
  <c r="C605" i="4"/>
  <c r="B609" i="4" l="1"/>
  <c r="C609" i="4"/>
  <c r="B613" i="4" l="1"/>
  <c r="C613" i="4"/>
  <c r="B617" i="4" l="1"/>
  <c r="C617" i="4"/>
  <c r="B621" i="4" l="1"/>
  <c r="C621" i="4"/>
  <c r="B625" i="4" l="1"/>
  <c r="C625" i="4"/>
  <c r="B629" i="4" l="1"/>
  <c r="C629" i="4"/>
  <c r="B633" i="4" l="1"/>
  <c r="C633" i="4"/>
  <c r="B637" i="4" l="1"/>
  <c r="C637" i="4"/>
  <c r="B641" i="4" l="1"/>
  <c r="C641" i="4"/>
  <c r="B645" i="4" l="1"/>
  <c r="C645" i="4"/>
  <c r="B649" i="4"/>
  <c r="C649" i="4" l="1"/>
  <c r="B653" i="4" l="1"/>
  <c r="C653" i="4"/>
  <c r="B657" i="4" l="1"/>
  <c r="C657" i="4"/>
  <c r="B661" i="4" l="1"/>
  <c r="C661" i="4"/>
  <c r="B665" i="4" l="1"/>
  <c r="C665" i="4"/>
  <c r="B669" i="4" l="1"/>
  <c r="C669" i="4"/>
  <c r="B673" i="4" l="1"/>
  <c r="C673" i="4"/>
  <c r="B677" i="4" l="1"/>
  <c r="C677" i="4"/>
  <c r="B681" i="4" l="1"/>
  <c r="C681" i="4"/>
  <c r="B685" i="4" l="1"/>
  <c r="C685" i="4"/>
  <c r="B689" i="4" l="1"/>
  <c r="C689" i="4"/>
  <c r="B693" i="4" l="1"/>
  <c r="C693" i="4"/>
  <c r="B697" i="4" l="1"/>
  <c r="C697" i="4"/>
  <c r="B701" i="4" l="1"/>
  <c r="C701" i="4"/>
  <c r="B705" i="4" l="1"/>
  <c r="C705" i="4"/>
  <c r="B709" i="4" l="1"/>
  <c r="C709" i="4"/>
  <c r="B713" i="4" l="1"/>
  <c r="C713" i="4"/>
  <c r="B717" i="4" l="1"/>
  <c r="C717" i="4"/>
  <c r="B721" i="4" l="1"/>
  <c r="C721" i="4"/>
  <c r="B725" i="4" l="1"/>
  <c r="C725" i="4"/>
  <c r="B729" i="4" l="1"/>
  <c r="C729" i="4"/>
  <c r="B733" i="4" l="1"/>
  <c r="C733" i="4"/>
  <c r="B737" i="4" l="1"/>
  <c r="C737" i="4"/>
  <c r="B741" i="4" l="1"/>
  <c r="C741" i="4"/>
  <c r="B745" i="4" l="1"/>
  <c r="C745" i="4"/>
  <c r="B749" i="4" l="1"/>
  <c r="C749" i="4"/>
  <c r="B753" i="4" l="1"/>
  <c r="C753" i="4"/>
  <c r="B757" i="4" l="1"/>
  <c r="C757" i="4"/>
  <c r="B761" i="4" l="1"/>
  <c r="C761" i="4"/>
  <c r="B765" i="4" l="1"/>
  <c r="C765" i="4"/>
  <c r="B769" i="4" l="1"/>
  <c r="C769" i="4"/>
  <c r="B773" i="4" l="1"/>
  <c r="C773" i="4"/>
  <c r="B777" i="4" l="1"/>
  <c r="C777" i="4"/>
  <c r="B781" i="4" l="1"/>
  <c r="C781" i="4"/>
  <c r="B785" i="4" l="1"/>
  <c r="C785" i="4"/>
  <c r="B789" i="4" l="1"/>
  <c r="C789" i="4"/>
  <c r="B793" i="4" l="1"/>
  <c r="C793" i="4"/>
  <c r="B797" i="4" l="1"/>
  <c r="C797" i="4"/>
  <c r="B801" i="4" l="1"/>
  <c r="C801" i="4"/>
  <c r="B805" i="4" l="1"/>
  <c r="C805" i="4"/>
  <c r="B809" i="4" l="1"/>
  <c r="C809" i="4"/>
  <c r="B813" i="4" l="1"/>
  <c r="C813" i="4"/>
  <c r="C817" i="4" l="1"/>
  <c r="B817" i="4"/>
  <c r="B821" i="4" l="1"/>
  <c r="C821" i="4"/>
  <c r="C825" i="4" l="1"/>
  <c r="B825" i="4"/>
  <c r="B829" i="4" l="1"/>
  <c r="C829" i="4"/>
  <c r="C833" i="4" l="1"/>
  <c r="B833" i="4"/>
  <c r="B837" i="4" l="1"/>
  <c r="C837" i="4"/>
  <c r="B841" i="4" l="1"/>
  <c r="C841" i="4"/>
  <c r="B845" i="4" l="1"/>
  <c r="C845" i="4"/>
  <c r="C849" i="4" l="1"/>
  <c r="B849" i="4"/>
  <c r="B853" i="4" l="1"/>
  <c r="C853" i="4"/>
  <c r="B857" i="4" l="1"/>
  <c r="C857" i="4"/>
  <c r="C861" i="4" l="1"/>
  <c r="B861" i="4"/>
  <c r="B865" i="4" l="1"/>
  <c r="C865" i="4"/>
  <c r="B869" i="4" l="1"/>
  <c r="C869" i="4"/>
  <c r="B873" i="4" l="1"/>
  <c r="C873" i="4"/>
  <c r="B877" i="4" l="1"/>
  <c r="C877" i="4"/>
  <c r="B881" i="4" l="1"/>
  <c r="C881" i="4"/>
  <c r="B885" i="4" l="1"/>
  <c r="C885" i="4"/>
  <c r="B889" i="4" l="1"/>
  <c r="C889" i="4"/>
  <c r="B893" i="4" l="1"/>
  <c r="C893" i="4"/>
  <c r="B897" i="4" l="1"/>
  <c r="C897" i="4"/>
  <c r="B901" i="4" l="1"/>
  <c r="C901" i="4"/>
  <c r="B905" i="4" l="1"/>
  <c r="C905" i="4"/>
  <c r="B909" i="4" l="1"/>
  <c r="C909" i="4"/>
  <c r="B913" i="4" l="1"/>
  <c r="C913" i="4"/>
  <c r="B917" i="4" l="1"/>
  <c r="C917" i="4"/>
  <c r="B921" i="4" l="1"/>
  <c r="C921" i="4"/>
  <c r="B925" i="4" l="1"/>
  <c r="C925" i="4"/>
  <c r="B929" i="4" l="1"/>
  <c r="C929" i="4"/>
  <c r="B933" i="4" l="1"/>
  <c r="C933" i="4"/>
  <c r="B937" i="4" l="1"/>
  <c r="C937" i="4"/>
  <c r="B941" i="4" l="1"/>
  <c r="C941" i="4"/>
  <c r="B945" i="4" l="1"/>
  <c r="C945" i="4"/>
  <c r="B949" i="4" l="1"/>
  <c r="C949" i="4"/>
  <c r="B953" i="4" l="1"/>
  <c r="C953" i="4"/>
  <c r="B957" i="4"/>
  <c r="C957" i="4" l="1"/>
  <c r="B961" i="4" l="1"/>
  <c r="C961" i="4"/>
  <c r="B965" i="4" l="1"/>
  <c r="C965" i="4"/>
  <c r="B969" i="4" l="1"/>
  <c r="C969" i="4"/>
  <c r="C973" i="4" l="1"/>
  <c r="B973" i="4"/>
  <c r="B977" i="4" l="1"/>
  <c r="C977" i="4"/>
  <c r="B981" i="4" l="1"/>
  <c r="C981" i="4"/>
  <c r="B985" i="4" l="1"/>
  <c r="C985" i="4"/>
  <c r="B989" i="4" l="1"/>
  <c r="C989" i="4"/>
  <c r="B993" i="4"/>
  <c r="C993" i="4" l="1"/>
  <c r="B997" i="4" l="1"/>
  <c r="C997" i="4"/>
  <c r="B1001" i="4" l="1"/>
  <c r="C1001" i="4"/>
  <c r="B1005" i="4" l="1"/>
  <c r="C1005" i="4"/>
  <c r="B1009" i="4" l="1"/>
  <c r="C1009" i="4"/>
  <c r="B1013" i="4" l="1"/>
  <c r="C1013" i="4"/>
  <c r="B1017" i="4" l="1"/>
  <c r="C1017" i="4"/>
  <c r="B1021" i="4" l="1"/>
  <c r="C1021" i="4"/>
  <c r="B1025" i="4" l="1"/>
  <c r="C1025" i="4"/>
  <c r="B1029" i="4" l="1"/>
  <c r="C1029" i="4"/>
  <c r="B1033" i="4" l="1"/>
  <c r="C1033" i="4"/>
  <c r="B1037" i="4" l="1"/>
  <c r="C1037" i="4"/>
  <c r="B1041" i="4" l="1"/>
  <c r="C1041" i="4"/>
  <c r="B1045" i="4" l="1"/>
  <c r="C1045" i="4"/>
  <c r="B1049" i="4" l="1"/>
  <c r="C1049" i="4"/>
  <c r="B1053" i="4" l="1"/>
  <c r="C1053" i="4"/>
  <c r="B1057" i="4"/>
  <c r="C1057" i="4" l="1"/>
  <c r="B1061" i="4" l="1"/>
  <c r="C1061" i="4"/>
  <c r="C1065" i="4" l="1"/>
  <c r="B1065" i="4"/>
  <c r="B1069" i="4" l="1"/>
  <c r="C1069" i="4"/>
  <c r="B1073" i="4" l="1"/>
  <c r="C1073" i="4"/>
  <c r="B1077" i="4" l="1"/>
  <c r="C1077" i="4"/>
  <c r="B1081" i="4" l="1"/>
  <c r="C1081" i="4"/>
  <c r="B1085" i="4" l="1"/>
  <c r="C1085" i="4"/>
  <c r="B1089" i="4" l="1"/>
  <c r="C1089" i="4"/>
  <c r="B1093" i="4" l="1"/>
  <c r="C1093" i="4"/>
  <c r="B1097" i="4" l="1"/>
  <c r="C1097" i="4"/>
  <c r="B1101" i="4" l="1"/>
  <c r="C1101" i="4"/>
  <c r="B1105" i="4" l="1"/>
  <c r="C1105" i="4"/>
  <c r="B1109" i="4" l="1"/>
  <c r="C1109" i="4"/>
  <c r="B1113" i="4" l="1"/>
  <c r="C1113" i="4"/>
  <c r="B1117" i="4" l="1"/>
  <c r="C1117" i="4"/>
  <c r="B1121" i="4" l="1"/>
  <c r="C1121" i="4"/>
  <c r="B1125" i="4" l="1"/>
  <c r="C1125" i="4"/>
  <c r="B1129" i="4" l="1"/>
  <c r="C1129" i="4"/>
  <c r="B1133" i="4" l="1"/>
  <c r="C1133" i="4"/>
  <c r="B1137" i="4"/>
  <c r="C1137" i="4" l="1"/>
  <c r="B1141" i="4"/>
  <c r="C1141" i="4" l="1"/>
  <c r="B1145" i="4" l="1"/>
  <c r="C1145" i="4"/>
  <c r="B1149" i="4" l="1"/>
  <c r="C1149" i="4"/>
  <c r="B1153" i="4" l="1"/>
  <c r="C1153" i="4"/>
  <c r="B1157" i="4" l="1"/>
  <c r="C1157" i="4"/>
  <c r="B1161" i="4" l="1"/>
  <c r="C1161" i="4"/>
  <c r="B1165" i="4" l="1"/>
  <c r="C1165" i="4"/>
  <c r="B1169" i="4" l="1"/>
  <c r="C1169" i="4"/>
  <c r="B1173" i="4" l="1"/>
  <c r="C1173" i="4"/>
  <c r="B1177" i="4" l="1"/>
  <c r="C1177" i="4"/>
  <c r="B1181" i="4" l="1"/>
  <c r="C1181" i="4"/>
  <c r="B1185" i="4" l="1"/>
  <c r="C1185" i="4"/>
  <c r="B1189" i="4" l="1"/>
  <c r="C1189" i="4"/>
  <c r="B1193" i="4" l="1"/>
  <c r="C1193" i="4"/>
  <c r="B1197" i="4" l="1"/>
  <c r="C1197" i="4"/>
  <c r="B1201" i="4" l="1"/>
  <c r="C1201" i="4"/>
  <c r="B1205" i="4" l="1"/>
  <c r="C1205" i="4"/>
  <c r="B1209" i="4" l="1"/>
  <c r="C1209" i="4"/>
  <c r="B1213" i="4" l="1"/>
  <c r="C1213" i="4"/>
  <c r="B1217" i="4" l="1"/>
  <c r="C1217" i="4"/>
  <c r="B1221" i="4" l="1"/>
  <c r="C1221" i="4"/>
  <c r="B1225" i="4" l="1"/>
  <c r="C1225" i="4"/>
  <c r="B1229" i="4" l="1"/>
  <c r="C1229" i="4"/>
  <c r="B1233" i="4" l="1"/>
  <c r="C1233" i="4"/>
  <c r="B1237" i="4" l="1"/>
  <c r="C1237" i="4"/>
  <c r="B1241" i="4" l="1"/>
  <c r="C1241" i="4"/>
  <c r="B1245" i="4" l="1"/>
  <c r="C1245" i="4"/>
  <c r="B1249" i="4" l="1"/>
  <c r="C1249" i="4"/>
  <c r="B1253" i="4" l="1"/>
  <c r="C1253" i="4"/>
  <c r="B1257" i="4" l="1"/>
  <c r="C1257" i="4"/>
  <c r="B1261" i="4" l="1"/>
  <c r="C1261" i="4"/>
  <c r="B1265" i="4" l="1"/>
  <c r="C1265" i="4"/>
  <c r="B1269" i="4" l="1"/>
  <c r="C1269" i="4"/>
  <c r="B1273" i="4" l="1"/>
  <c r="C1273" i="4"/>
  <c r="B1277" i="4" l="1"/>
  <c r="C1277" i="4"/>
  <c r="B1281" i="4" l="1"/>
  <c r="C1281" i="4"/>
  <c r="B1285" i="4" l="1"/>
  <c r="C1285" i="4"/>
  <c r="B1289" i="4" l="1"/>
  <c r="C1289" i="4"/>
  <c r="B1293" i="4" l="1"/>
  <c r="C1293" i="4"/>
  <c r="B1297" i="4" l="1"/>
  <c r="C1297" i="4"/>
  <c r="B1301" i="4" l="1"/>
  <c r="C1301" i="4"/>
  <c r="B1305" i="4" l="1"/>
  <c r="C1305" i="4"/>
  <c r="B1309" i="4" l="1"/>
  <c r="C1309" i="4"/>
  <c r="B1313" i="4" l="1"/>
  <c r="C1313" i="4"/>
  <c r="B1317" i="4" l="1"/>
  <c r="C1317" i="4"/>
  <c r="B1321" i="4" l="1"/>
  <c r="C1321" i="4"/>
  <c r="B1325" i="4" l="1"/>
  <c r="C1325" i="4"/>
  <c r="B1329" i="4" l="1"/>
  <c r="C1329" i="4"/>
  <c r="B1333" i="4" l="1"/>
  <c r="C1333" i="4"/>
  <c r="B1337" i="4" l="1"/>
  <c r="C1337" i="4"/>
  <c r="B1341" i="4" l="1"/>
  <c r="C1341" i="4"/>
  <c r="B1345" i="4" l="1"/>
  <c r="C1345" i="4"/>
  <c r="B1349" i="4" l="1"/>
  <c r="C1349" i="4"/>
  <c r="B1353" i="4" l="1"/>
  <c r="C1353" i="4"/>
  <c r="B1357" i="4" l="1"/>
  <c r="C1357" i="4"/>
  <c r="B1361" i="4" l="1"/>
  <c r="C1361" i="4"/>
  <c r="B1365" i="4" l="1"/>
  <c r="C1365" i="4"/>
  <c r="B1369" i="4" l="1"/>
  <c r="C1369" i="4"/>
  <c r="B1373" i="4" l="1"/>
  <c r="C1373" i="4"/>
  <c r="B1377" i="4" l="1"/>
  <c r="C1377" i="4"/>
  <c r="B1381" i="4" l="1"/>
  <c r="C1381" i="4"/>
  <c r="B1385" i="4" l="1"/>
  <c r="C1385" i="4"/>
  <c r="B1389" i="4" l="1"/>
  <c r="C1389" i="4"/>
  <c r="B1393" i="4" l="1"/>
  <c r="C1393" i="4"/>
  <c r="B1397" i="4" l="1"/>
  <c r="C1397" i="4"/>
  <c r="B1401" i="4" l="1"/>
  <c r="C1401" i="4"/>
  <c r="B1405" i="4" l="1"/>
  <c r="C1405" i="4"/>
  <c r="B1409" i="4" l="1"/>
  <c r="C1409" i="4"/>
  <c r="B1413" i="4" l="1"/>
  <c r="C1413" i="4"/>
  <c r="B1417" i="4" l="1"/>
  <c r="C1417" i="4"/>
  <c r="B1421" i="4" l="1"/>
  <c r="C1421" i="4"/>
  <c r="B1425" i="4" l="1"/>
  <c r="C1425" i="4"/>
  <c r="B1429" i="4" l="1"/>
  <c r="C1429" i="4"/>
  <c r="B1433" i="4" l="1"/>
  <c r="C1433" i="4"/>
  <c r="B1437" i="4" l="1"/>
  <c r="C1437" i="4"/>
  <c r="B1441" i="4" l="1"/>
  <c r="C1441" i="4"/>
  <c r="B1445" i="4" l="1"/>
  <c r="C1445" i="4"/>
  <c r="B1449" i="4" l="1"/>
  <c r="C1449" i="4"/>
  <c r="B1453" i="4" l="1"/>
  <c r="C1453" i="4"/>
  <c r="B1457" i="4" l="1"/>
  <c r="C1457" i="4"/>
  <c r="B1461" i="4" l="1"/>
  <c r="C1461" i="4"/>
  <c r="B1465" i="4" l="1"/>
  <c r="C1465" i="4"/>
  <c r="B1469" i="4" l="1"/>
  <c r="C1469" i="4"/>
  <c r="C1473" i="4" l="1"/>
  <c r="B1473" i="4"/>
  <c r="B1477" i="4" l="1"/>
  <c r="C1477" i="4"/>
  <c r="B1481" i="4" l="1"/>
  <c r="C1481" i="4"/>
  <c r="B1485" i="4" l="1"/>
  <c r="C1485" i="4"/>
  <c r="B1489" i="4" l="1"/>
  <c r="C1489" i="4"/>
  <c r="B1493" i="4" l="1"/>
  <c r="C1493" i="4"/>
  <c r="B1497" i="4" l="1"/>
  <c r="C1497" i="4"/>
  <c r="B1501" i="4" l="1"/>
  <c r="C1501" i="4"/>
  <c r="B1505" i="4" l="1"/>
  <c r="C1505" i="4"/>
  <c r="B1509" i="4" l="1"/>
  <c r="C1509" i="4"/>
  <c r="B1513" i="4" l="1"/>
  <c r="C1513" i="4"/>
  <c r="B1517" i="4" l="1"/>
  <c r="C1517" i="4"/>
  <c r="B1521" i="4" l="1"/>
  <c r="C1521" i="4"/>
  <c r="B1525" i="4" l="1"/>
  <c r="C1525" i="4"/>
  <c r="B1529" i="4" l="1"/>
  <c r="C1529" i="4"/>
  <c r="B1533" i="4" l="1"/>
  <c r="C1533" i="4"/>
  <c r="B1537" i="4" l="1"/>
  <c r="C1537" i="4"/>
  <c r="B1541" i="4" l="1"/>
  <c r="C1541" i="4"/>
  <c r="B1545" i="4" l="1"/>
  <c r="C1545" i="4"/>
  <c r="B1549" i="4" l="1"/>
  <c r="C1549" i="4"/>
  <c r="B1553" i="4" l="1"/>
  <c r="C1553" i="4"/>
  <c r="B1557" i="4" l="1"/>
  <c r="C1557" i="4"/>
  <c r="B1561" i="4" l="1"/>
  <c r="C1561" i="4"/>
  <c r="B1565" i="4" l="1"/>
  <c r="C1565" i="4"/>
  <c r="B1569" i="4" l="1"/>
  <c r="C1569" i="4"/>
  <c r="B1573" i="4" l="1"/>
  <c r="C1573" i="4"/>
  <c r="B1577" i="4" l="1"/>
  <c r="C1577" i="4"/>
  <c r="B1581" i="4" l="1"/>
  <c r="C1581" i="4"/>
  <c r="B1585" i="4" l="1"/>
  <c r="C1585" i="4"/>
  <c r="B1589" i="4" l="1"/>
  <c r="C1589" i="4"/>
  <c r="B1593" i="4" l="1"/>
  <c r="C1593" i="4"/>
  <c r="B1597" i="4" l="1"/>
  <c r="C1597" i="4"/>
  <c r="B1601" i="4" l="1"/>
  <c r="C1601" i="4"/>
  <c r="B1605" i="4" l="1"/>
  <c r="C1605" i="4"/>
  <c r="B1609" i="4" l="1"/>
  <c r="C1609" i="4"/>
  <c r="B1613" i="4" l="1"/>
  <c r="C1613" i="4"/>
  <c r="B1617" i="4" l="1"/>
  <c r="C1617" i="4"/>
  <c r="B1621" i="4" l="1"/>
  <c r="C1621" i="4"/>
  <c r="B1625" i="4" l="1"/>
  <c r="C1625" i="4"/>
  <c r="B1629" i="4" l="1"/>
  <c r="C1629" i="4"/>
  <c r="B1633" i="4" l="1"/>
  <c r="C1633" i="4"/>
  <c r="B1637" i="4" l="1"/>
  <c r="C1637" i="4"/>
  <c r="B1641" i="4" l="1"/>
  <c r="C1641" i="4"/>
  <c r="B1645" i="4" l="1"/>
  <c r="C1645" i="4"/>
  <c r="B1649" i="4" l="1"/>
  <c r="C1649" i="4"/>
  <c r="B1653" i="4" l="1"/>
  <c r="C1653" i="4"/>
  <c r="B1657" i="4" l="1"/>
  <c r="C1657" i="4"/>
  <c r="B1661" i="4" l="1"/>
  <c r="C1661" i="4"/>
  <c r="B1665" i="4" l="1"/>
  <c r="C1665" i="4"/>
  <c r="B1669" i="4" l="1"/>
  <c r="C1669" i="4"/>
  <c r="B1673" i="4" l="1"/>
  <c r="C1673" i="4"/>
  <c r="B1677" i="4" l="1"/>
  <c r="C1677" i="4"/>
  <c r="B1681" i="4" l="1"/>
  <c r="C1681" i="4"/>
  <c r="B1685" i="4" l="1"/>
  <c r="C1685" i="4"/>
  <c r="B1689" i="4" l="1"/>
  <c r="C1689" i="4"/>
  <c r="B1693" i="4" l="1"/>
  <c r="C1693" i="4"/>
  <c r="B1697" i="4" l="1"/>
  <c r="C1697" i="4"/>
  <c r="B1701" i="4" l="1"/>
  <c r="C1701" i="4"/>
  <c r="B1705" i="4" l="1"/>
  <c r="C1705" i="4"/>
  <c r="B1709" i="4" l="1"/>
  <c r="C1709" i="4"/>
  <c r="B1717" i="4" l="1"/>
  <c r="B1713" i="4"/>
  <c r="C1713" i="4"/>
  <c r="C1717" i="4"/>
  <c r="B1721" i="4" l="1"/>
  <c r="C1721" i="4"/>
  <c r="B1725" i="4" l="1"/>
  <c r="C1725" i="4"/>
  <c r="B1729" i="4" l="1"/>
  <c r="C1729" i="4"/>
  <c r="C1733" i="4" l="1"/>
  <c r="B1733" i="4"/>
  <c r="B1737" i="4" l="1"/>
  <c r="C1737" i="4"/>
  <c r="B1741" i="4" l="1"/>
  <c r="C1741" i="4" l="1"/>
  <c r="B1745" i="4" l="1"/>
  <c r="C1745" i="4"/>
  <c r="B1749" i="4" l="1"/>
  <c r="C1749" i="4"/>
  <c r="B1753" i="4" l="1"/>
  <c r="C1753" i="4"/>
  <c r="B1757" i="4" l="1"/>
  <c r="C1757" i="4"/>
  <c r="B1761" i="4" l="1"/>
  <c r="C1761" i="4"/>
  <c r="B1765" i="4" l="1"/>
  <c r="C1765" i="4"/>
  <c r="B1769" i="4" l="1"/>
  <c r="C1769" i="4"/>
  <c r="B1773" i="4" l="1"/>
  <c r="C1773" i="4"/>
  <c r="B1777" i="4" l="1"/>
  <c r="C1777" i="4"/>
  <c r="B1781" i="4" l="1"/>
  <c r="C1781" i="4"/>
  <c r="B1785" i="4" l="1"/>
  <c r="C1785" i="4"/>
  <c r="B1789" i="4" l="1"/>
  <c r="C1789" i="4"/>
  <c r="B1793" i="4" l="1"/>
  <c r="C1793" i="4"/>
  <c r="B1797" i="4" l="1"/>
  <c r="C1797" i="4"/>
  <c r="B1801" i="4" l="1"/>
  <c r="C1801" i="4"/>
  <c r="B1805" i="4" l="1"/>
  <c r="C1805" i="4"/>
  <c r="B1809" i="4" l="1"/>
  <c r="C1809" i="4"/>
  <c r="B1813" i="4" l="1"/>
  <c r="C1813" i="4"/>
  <c r="B1817" i="4" l="1"/>
  <c r="C1817" i="4"/>
  <c r="B1821" i="4" l="1"/>
  <c r="C1821" i="4"/>
  <c r="B1825" i="4" l="1"/>
  <c r="C1825" i="4"/>
  <c r="B1829" i="4" l="1"/>
  <c r="C1829" i="4"/>
  <c r="B1833" i="4" l="1"/>
  <c r="C1833" i="4"/>
  <c r="B1837" i="4" l="1"/>
  <c r="C1837" i="4"/>
  <c r="B1841" i="4" l="1"/>
  <c r="C1841" i="4"/>
  <c r="B1845" i="4" l="1"/>
  <c r="C1845" i="4"/>
  <c r="B1849" i="4" l="1"/>
  <c r="C1849" i="4"/>
  <c r="B1853" i="4" l="1"/>
  <c r="C1853" i="4"/>
  <c r="B1857" i="4" l="1"/>
  <c r="C1857" i="4"/>
  <c r="B1861" i="4" l="1"/>
  <c r="C1861" i="4"/>
  <c r="B1865" i="4" l="1"/>
  <c r="C1865" i="4"/>
  <c r="B1869" i="4" l="1"/>
  <c r="C1869" i="4"/>
  <c r="B1873" i="4" l="1"/>
  <c r="C1873" i="4"/>
  <c r="B1877" i="4" l="1"/>
  <c r="C1877" i="4"/>
  <c r="B1881" i="4" l="1"/>
  <c r="C1881" i="4"/>
  <c r="B1885" i="4" l="1"/>
  <c r="C1885" i="4"/>
  <c r="B1889" i="4" l="1"/>
  <c r="C1889" i="4"/>
  <c r="B1893" i="4" l="1"/>
  <c r="C1893" i="4"/>
  <c r="B1897" i="4" l="1"/>
  <c r="C1897" i="4"/>
  <c r="B1901" i="4" l="1"/>
  <c r="C1901" i="4"/>
  <c r="B1905" i="4" l="1"/>
  <c r="C1905" i="4"/>
  <c r="B1909" i="4" l="1"/>
  <c r="C1909" i="4"/>
  <c r="B1913" i="4" l="1"/>
  <c r="C1913" i="4"/>
  <c r="B1917" i="4" l="1"/>
  <c r="C1917" i="4"/>
  <c r="B1921" i="4" l="1"/>
  <c r="C1921" i="4"/>
  <c r="B1925" i="4" l="1"/>
  <c r="C1925" i="4"/>
  <c r="C1929" i="4" l="1"/>
  <c r="B1929" i="4"/>
  <c r="C1933" i="4" l="1"/>
  <c r="B1933" i="4"/>
  <c r="C1937" i="4" l="1"/>
  <c r="B1937" i="4"/>
  <c r="B1941" i="4" l="1"/>
  <c r="C1941" i="4"/>
  <c r="B1945" i="4" l="1"/>
  <c r="C1945" i="4"/>
  <c r="B1949" i="4" l="1"/>
  <c r="C1949" i="4"/>
  <c r="B1953" i="4" l="1"/>
  <c r="C1953" i="4"/>
  <c r="B1957" i="4" l="1"/>
  <c r="C1957" i="4"/>
  <c r="B1961" i="4" l="1"/>
  <c r="C1961" i="4"/>
  <c r="B1965" i="4" l="1"/>
  <c r="C1965" i="4"/>
  <c r="B1969" i="4" l="1"/>
  <c r="C1969" i="4"/>
  <c r="B1977" i="4"/>
  <c r="B1973" i="4" l="1"/>
  <c r="C1977" i="4"/>
  <c r="C1973" i="4"/>
  <c r="B1981" i="4" l="1"/>
  <c r="C1981" i="4"/>
  <c r="B1985" i="4" l="1"/>
  <c r="C1985" i="4"/>
  <c r="B1989" i="4" l="1"/>
  <c r="C1989" i="4"/>
  <c r="C1993" i="4" l="1"/>
  <c r="B1993" i="4"/>
  <c r="B1997" i="4" l="1"/>
  <c r="C1997" i="4"/>
  <c r="B2001" i="4" l="1"/>
  <c r="C2001" i="4"/>
  <c r="C2005" i="4" l="1"/>
  <c r="B2005" i="4"/>
  <c r="B2009" i="4" l="1"/>
  <c r="C2009" i="4"/>
  <c r="B2013" i="4"/>
  <c r="C2013" i="4" l="1"/>
  <c r="B2017" i="4" l="1"/>
  <c r="C2017" i="4"/>
  <c r="C2021" i="4" l="1"/>
  <c r="B2021" i="4"/>
  <c r="B2025" i="4" l="1"/>
  <c r="C2025" i="4"/>
  <c r="B2029" i="4" l="1"/>
  <c r="C2029" i="4"/>
  <c r="C2033" i="4" l="1"/>
  <c r="B2033" i="4"/>
  <c r="C2037" i="4" l="1"/>
  <c r="B2037" i="4"/>
  <c r="C2041" i="4" l="1"/>
  <c r="B2041" i="4"/>
  <c r="B2045" i="4"/>
  <c r="C2045" i="4" l="1"/>
  <c r="B2049" i="4" l="1"/>
  <c r="C2049" i="4"/>
  <c r="C2053" i="4" l="1"/>
  <c r="B2053" i="4"/>
  <c r="B2057" i="4" l="1"/>
  <c r="C2057" i="4"/>
  <c r="B2061" i="4" l="1"/>
  <c r="C2061" i="4"/>
  <c r="C2065" i="4" l="1"/>
  <c r="B2065" i="4"/>
  <c r="B2069" i="4" l="1"/>
  <c r="C2069" i="4"/>
  <c r="B2073" i="4" l="1"/>
  <c r="C2073" i="4"/>
  <c r="B2077" i="4" l="1"/>
  <c r="C2077" i="4"/>
  <c r="B2081" i="4" l="1"/>
  <c r="C2081" i="4"/>
  <c r="B2085" i="4" l="1"/>
  <c r="C2085" i="4"/>
  <c r="C2089" i="4" l="1"/>
  <c r="B2089" i="4"/>
  <c r="B2093" i="4" l="1"/>
  <c r="C2093" i="4"/>
  <c r="B2097" i="4" l="1"/>
  <c r="C2097" i="4"/>
  <c r="C2101" i="4" l="1"/>
  <c r="B2101" i="4"/>
  <c r="C2105" i="4" l="1"/>
  <c r="B2105" i="4"/>
  <c r="B2109" i="4" l="1"/>
  <c r="C2109" i="4"/>
  <c r="B2113" i="4" l="1"/>
  <c r="C2113" i="4"/>
  <c r="C2117" i="4" l="1"/>
  <c r="B2117" i="4"/>
  <c r="C2121" i="4" l="1"/>
  <c r="B2121" i="4"/>
  <c r="B2125" i="4"/>
  <c r="C2125" i="4" l="1"/>
  <c r="B2129" i="4" l="1"/>
  <c r="C2129" i="4"/>
  <c r="C2133" i="4" l="1"/>
  <c r="B2133" i="4"/>
  <c r="C2137" i="4" l="1"/>
  <c r="B2137" i="4"/>
  <c r="B2141" i="4" l="1"/>
  <c r="C2141" i="4"/>
  <c r="B2145" i="4"/>
  <c r="C2145" i="4" l="1"/>
  <c r="B2149" i="4" l="1"/>
  <c r="C2149" i="4"/>
  <c r="B2153" i="4" l="1"/>
  <c r="C2153" i="4"/>
  <c r="B2157" i="4" l="1"/>
  <c r="C2157" i="4"/>
  <c r="C2161" i="4" l="1"/>
  <c r="B2161" i="4"/>
  <c r="B2165" i="4" l="1"/>
  <c r="C2165" i="4"/>
  <c r="B2169" i="4"/>
  <c r="C2169" i="4" l="1"/>
  <c r="C2173" i="4" l="1"/>
  <c r="B2173" i="4"/>
  <c r="B2177" i="4" l="1"/>
  <c r="C2177" i="4"/>
  <c r="B2181" i="4" l="1"/>
  <c r="C2181" i="4"/>
  <c r="C2185" i="4" l="1"/>
  <c r="B2185" i="4"/>
  <c r="B2189" i="4" l="1"/>
  <c r="C2189" i="4"/>
  <c r="B2193" i="4" l="1"/>
  <c r="C2193" i="4"/>
  <c r="C2197" i="4" l="1"/>
  <c r="B2197" i="4"/>
  <c r="C2201" i="4" l="1"/>
  <c r="B2201" i="4"/>
  <c r="B2205" i="4" l="1"/>
  <c r="C2205" i="4"/>
  <c r="B2209" i="4" l="1"/>
  <c r="C2209" i="4"/>
  <c r="C2213" i="4" l="1"/>
  <c r="B2213" i="4"/>
  <c r="C2217" i="4" l="1"/>
  <c r="B2217" i="4"/>
  <c r="B2221" i="4" l="1"/>
  <c r="C2221" i="4"/>
  <c r="C2225" i="4" l="1"/>
  <c r="B2225" i="4"/>
  <c r="C2229" i="4" l="1"/>
  <c r="B2229" i="4"/>
  <c r="B2233" i="4" l="1"/>
  <c r="C2233" i="4"/>
  <c r="B2237" i="4" l="1"/>
  <c r="C2237" i="4"/>
  <c r="C2241" i="4" l="1"/>
  <c r="B2241" i="4"/>
  <c r="B2245" i="4" l="1"/>
  <c r="C2245" i="4"/>
  <c r="C2249" i="4" l="1"/>
  <c r="B2249" i="4"/>
  <c r="C2253" i="4" l="1"/>
  <c r="B2253" i="4"/>
  <c r="C2257" i="4" l="1"/>
  <c r="B2257" i="4"/>
  <c r="B2261" i="4" l="1"/>
  <c r="C2261" i="4"/>
  <c r="C2265" i="4" l="1"/>
  <c r="B2265" i="4"/>
  <c r="C2269" i="4" l="1"/>
  <c r="B2269" i="4"/>
  <c r="C2273" i="4" l="1"/>
  <c r="B2273" i="4"/>
  <c r="B2277" i="4"/>
  <c r="C2277" i="4" l="1"/>
  <c r="B2281" i="4" l="1"/>
  <c r="C2281" i="4"/>
  <c r="C2285" i="4" l="1"/>
  <c r="B2285" i="4"/>
  <c r="C2289" i="4" l="1"/>
  <c r="B2289" i="4"/>
  <c r="B2293" i="4" l="1"/>
  <c r="C2293" i="4"/>
  <c r="C2297" i="4" l="1"/>
  <c r="B2297" i="4"/>
  <c r="C2301" i="4" l="1"/>
  <c r="B2301" i="4"/>
  <c r="C2305" i="4" l="1"/>
  <c r="B2305" i="4"/>
  <c r="B2309" i="4" l="1"/>
  <c r="C2309" i="4"/>
  <c r="C2313" i="4" l="1"/>
  <c r="B2313" i="4"/>
  <c r="B2317" i="4" l="1"/>
  <c r="C2317" i="4"/>
  <c r="C2321" i="4" l="1"/>
  <c r="B2321" i="4"/>
  <c r="B2325" i="4" l="1"/>
  <c r="C2325" i="4"/>
  <c r="B2329" i="4"/>
  <c r="C2329" i="4" l="1"/>
  <c r="C2333" i="4" l="1"/>
  <c r="B2333" i="4"/>
  <c r="C2337" i="4" l="1"/>
  <c r="B2337" i="4"/>
  <c r="B2341" i="4" l="1"/>
  <c r="C2341" i="4"/>
  <c r="C2345" i="4" l="1"/>
  <c r="B2345" i="4"/>
  <c r="B2349" i="4" l="1"/>
  <c r="C2349" i="4"/>
  <c r="B2353" i="4" l="1"/>
  <c r="C2353" i="4"/>
  <c r="B2357" i="4" l="1"/>
  <c r="C2357" i="4"/>
  <c r="C2361" i="4" l="1"/>
  <c r="B2361" i="4"/>
  <c r="B2365" i="4" l="1"/>
  <c r="C2365" i="4"/>
  <c r="C2369" i="4" l="1"/>
  <c r="B2369" i="4"/>
  <c r="B2373" i="4" l="1"/>
  <c r="C2373" i="4"/>
  <c r="B2377" i="4" l="1"/>
  <c r="C2377" i="4"/>
  <c r="C2381" i="4" l="1"/>
  <c r="B2381" i="4"/>
  <c r="B2385" i="4" l="1"/>
  <c r="C2385" i="4"/>
  <c r="B2389" i="4"/>
  <c r="C2389" i="4" l="1"/>
  <c r="B2393" i="4" l="1"/>
  <c r="C2393" i="4"/>
  <c r="B2397" i="4" l="1"/>
  <c r="C2397" i="4"/>
  <c r="B2401" i="4" l="1"/>
  <c r="C2401" i="4"/>
  <c r="B2405" i="4"/>
  <c r="C2405" i="4" l="1"/>
  <c r="B2409" i="4" l="1"/>
  <c r="C2409" i="4"/>
  <c r="B2413" i="4"/>
  <c r="C2413" i="4" l="1"/>
  <c r="B2417" i="4" l="1"/>
  <c r="C2417" i="4"/>
  <c r="B2421" i="4" l="1"/>
  <c r="C2421" i="4"/>
  <c r="C2425" i="4" l="1"/>
  <c r="B2425" i="4"/>
  <c r="B2429" i="4" l="1"/>
  <c r="C2429" i="4"/>
  <c r="B2433" i="4"/>
  <c r="C2433" i="4" l="1"/>
  <c r="B2437" i="4" l="1"/>
  <c r="C2437" i="4"/>
  <c r="C2441" i="4" l="1"/>
  <c r="B2441" i="4"/>
  <c r="C2445" i="4" l="1"/>
  <c r="B2445" i="4"/>
  <c r="C2449" i="4" l="1"/>
  <c r="B2449" i="4"/>
  <c r="B2453" i="4" l="1"/>
  <c r="C2453" i="4"/>
  <c r="B2457" i="4"/>
  <c r="C2457" i="4" l="1"/>
  <c r="B2461" i="4" l="1"/>
  <c r="C2461" i="4"/>
  <c r="B2465" i="4" l="1"/>
  <c r="C2465" i="4"/>
  <c r="B2469" i="4" l="1"/>
  <c r="C2469" i="4"/>
  <c r="B2473" i="4" l="1"/>
  <c r="C2473" i="4"/>
  <c r="C2477" i="4" l="1"/>
  <c r="B2477" i="4"/>
  <c r="B2481" i="4" l="1"/>
  <c r="C2481" i="4"/>
  <c r="B2485" i="4"/>
  <c r="C2485" i="4" l="1"/>
  <c r="B2489" i="4" l="1"/>
  <c r="C2489" i="4"/>
  <c r="B2493" i="4" l="1"/>
  <c r="C2493" i="4"/>
  <c r="B2497" i="4" l="1"/>
  <c r="C2497" i="4"/>
  <c r="C2501" i="4" l="1"/>
  <c r="B2501" i="4"/>
  <c r="B2505" i="4" l="1"/>
  <c r="C2505" i="4"/>
  <c r="C2509" i="4" l="1"/>
  <c r="B2509" i="4"/>
  <c r="B2513" i="4" l="1"/>
  <c r="C2513" i="4"/>
  <c r="B2517" i="4" l="1"/>
  <c r="C2517" i="4"/>
  <c r="B2521" i="4" l="1"/>
  <c r="C2521" i="4"/>
  <c r="B2525" i="4" l="1"/>
  <c r="C2525" i="4"/>
  <c r="C2529" i="4" l="1"/>
  <c r="B2529" i="4"/>
  <c r="B2533" i="4" l="1"/>
  <c r="C2533" i="4"/>
  <c r="B2537" i="4" l="1"/>
  <c r="C2537" i="4"/>
  <c r="B2541" i="4" l="1"/>
  <c r="C2541" i="4"/>
  <c r="B2545" i="4" l="1"/>
  <c r="C2545" i="4"/>
  <c r="B2549" i="4"/>
  <c r="C2549" i="4" l="1"/>
  <c r="B2553" i="4" l="1"/>
  <c r="C2553" i="4"/>
  <c r="B2557" i="4" l="1"/>
  <c r="C2557" i="4"/>
  <c r="C2561" i="4" l="1"/>
  <c r="B2561" i="4"/>
  <c r="B2565" i="4" l="1"/>
  <c r="C2565" i="4"/>
  <c r="B2569" i="4" l="1"/>
  <c r="C2569" i="4"/>
  <c r="B2573" i="4" l="1"/>
  <c r="C2573" i="4"/>
  <c r="B2577" i="4" l="1"/>
  <c r="C2577" i="4"/>
  <c r="B2581" i="4" l="1"/>
  <c r="C2581" i="4"/>
  <c r="C2585" i="4" l="1"/>
  <c r="B2585" i="4"/>
  <c r="C2589" i="4" l="1"/>
  <c r="B2589" i="4"/>
  <c r="C2593" i="4" l="1"/>
  <c r="B2593" i="4"/>
  <c r="B2597" i="4" l="1"/>
  <c r="C2597" i="4"/>
  <c r="B2601" i="4" l="1"/>
  <c r="C2601" i="4"/>
  <c r="B2605" i="4" l="1"/>
  <c r="C2605" i="4"/>
  <c r="B2609" i="4" l="1"/>
  <c r="C2609" i="4"/>
  <c r="C2613" i="4" l="1"/>
  <c r="B2613" i="4"/>
  <c r="B2617" i="4" l="1"/>
  <c r="C2617" i="4"/>
  <c r="C2621" i="4" l="1"/>
  <c r="B2621" i="4"/>
  <c r="B2625" i="4" l="1"/>
  <c r="C2625" i="4"/>
  <c r="C2629" i="4" l="1"/>
  <c r="B2629" i="4"/>
  <c r="C2633" i="4" l="1"/>
  <c r="B2633" i="4"/>
  <c r="C2637" i="4" l="1"/>
  <c r="B2637" i="4"/>
  <c r="C2641" i="4" l="1"/>
  <c r="B2641" i="4"/>
  <c r="C2645" i="4" l="1"/>
  <c r="B2645" i="4"/>
  <c r="B2649" i="4" l="1"/>
  <c r="C2649" i="4"/>
  <c r="B2653" i="4" l="1"/>
  <c r="C2653" i="4"/>
  <c r="C2657" i="4" l="1"/>
  <c r="B2657" i="4"/>
  <c r="B2661" i="4" l="1"/>
  <c r="C2661" i="4"/>
  <c r="B2665" i="4" l="1"/>
  <c r="C2665" i="4"/>
  <c r="B2669" i="4" l="1"/>
  <c r="C2669" i="4"/>
  <c r="C2673" i="4" l="1"/>
  <c r="B2673" i="4"/>
  <c r="B2677" i="4" l="1"/>
  <c r="C2677" i="4"/>
  <c r="C2681" i="4" l="1"/>
  <c r="B2681" i="4"/>
  <c r="B2685" i="4" l="1"/>
  <c r="C2685" i="4"/>
  <c r="C2689" i="4" l="1"/>
  <c r="B2689" i="4"/>
  <c r="B2693" i="4" l="1"/>
  <c r="C2693" i="4"/>
  <c r="B2697" i="4" l="1"/>
  <c r="C2697" i="4"/>
  <c r="B2701" i="4" l="1"/>
  <c r="C2701" i="4"/>
  <c r="B2705" i="4"/>
  <c r="C2705" i="4" l="1"/>
  <c r="B2709" i="4" l="1"/>
  <c r="C2709" i="4"/>
  <c r="B2713" i="4" l="1"/>
  <c r="C2713" i="4"/>
  <c r="C2717" i="4" l="1"/>
  <c r="B2717" i="4"/>
  <c r="B2721" i="4" l="1"/>
  <c r="C2721" i="4"/>
  <c r="B2725" i="4" l="1"/>
  <c r="C2725" i="4"/>
  <c r="B2729" i="4" l="1"/>
  <c r="C2729" i="4"/>
  <c r="C2733" i="4" l="1"/>
  <c r="B2733" i="4"/>
  <c r="C2737" i="4" l="1"/>
  <c r="B2737" i="4"/>
  <c r="C2741" i="4" l="1"/>
  <c r="B2741" i="4"/>
  <c r="B2745" i="4" l="1"/>
  <c r="C2745" i="4"/>
  <c r="C2749" i="4" l="1"/>
  <c r="B2749" i="4"/>
  <c r="B2753" i="4" l="1"/>
  <c r="C2753" i="4"/>
  <c r="B2757" i="4" l="1"/>
  <c r="C2757" i="4"/>
  <c r="B2761" i="4" l="1"/>
  <c r="C2761" i="4"/>
  <c r="B2765" i="4" l="1"/>
  <c r="C2765" i="4"/>
  <c r="C2769" i="4" l="1"/>
  <c r="B2769" i="4"/>
  <c r="B2773" i="4"/>
  <c r="C2773" i="4" l="1"/>
  <c r="B2777" i="4" l="1"/>
  <c r="C2777" i="4"/>
  <c r="C2781" i="4" l="1"/>
  <c r="B2781" i="4"/>
  <c r="B2785" i="4" l="1"/>
  <c r="C2785" i="4"/>
  <c r="B2789" i="4" l="1"/>
  <c r="C2789" i="4"/>
  <c r="C2793" i="4" l="1"/>
  <c r="B2793" i="4"/>
  <c r="B2797" i="4" l="1"/>
  <c r="C2797" i="4"/>
  <c r="B2801" i="4" l="1"/>
  <c r="C2801" i="4"/>
  <c r="B2805" i="4" l="1"/>
  <c r="C2805" i="4"/>
  <c r="B2809" i="4" l="1"/>
  <c r="C2809" i="4"/>
  <c r="B2813" i="4" l="1"/>
  <c r="C2813" i="4"/>
  <c r="C2817" i="4" l="1"/>
  <c r="B2817" i="4"/>
  <c r="B2821" i="4" l="1"/>
  <c r="C2821" i="4"/>
  <c r="B2825" i="4" l="1"/>
  <c r="C2825" i="4"/>
  <c r="B2829" i="4" l="1"/>
  <c r="C2829" i="4"/>
  <c r="B2833" i="4" l="1"/>
  <c r="C2833" i="4"/>
  <c r="B2837" i="4" l="1"/>
  <c r="C2837" i="4"/>
  <c r="C2841" i="4" l="1"/>
  <c r="B2841" i="4"/>
  <c r="B2845" i="4" l="1"/>
  <c r="C2845" i="4"/>
  <c r="B2849" i="4"/>
  <c r="C2849" i="4" l="1"/>
  <c r="B2853" i="4" l="1"/>
  <c r="C2853" i="4"/>
  <c r="B2857" i="4" l="1"/>
  <c r="C2857" i="4"/>
  <c r="B2861" i="4" l="1"/>
  <c r="C2861" i="4"/>
  <c r="B2865" i="4" l="1"/>
  <c r="C2865" i="4"/>
  <c r="B2869" i="4" l="1"/>
  <c r="C2869" i="4"/>
  <c r="C2873" i="4" l="1"/>
  <c r="B2873" i="4"/>
  <c r="B2877" i="4" l="1"/>
  <c r="C2877" i="4"/>
  <c r="B2881" i="4" l="1"/>
  <c r="C2881" i="4"/>
  <c r="B2885" i="4"/>
  <c r="C2885" i="4" l="1"/>
  <c r="B2889" i="4" l="1"/>
  <c r="C2889" i="4"/>
  <c r="B2893" i="4" l="1"/>
  <c r="C2893" i="4"/>
  <c r="B2897" i="4" l="1"/>
  <c r="C2897" i="4"/>
  <c r="C2901" i="4" l="1"/>
  <c r="B2901" i="4"/>
  <c r="C2905" i="4" l="1"/>
  <c r="B2905" i="4"/>
  <c r="B2909" i="4" l="1"/>
  <c r="C2909" i="4"/>
  <c r="C2913" i="4" l="1"/>
  <c r="B2913" i="4"/>
  <c r="B2917" i="4"/>
  <c r="C2917" i="4" l="1"/>
  <c r="B2921" i="4" l="1"/>
  <c r="C2921" i="4"/>
  <c r="B2925" i="4" l="1"/>
  <c r="C2925" i="4"/>
  <c r="B2929" i="4" l="1"/>
  <c r="C2929" i="4"/>
  <c r="B2933" i="4" l="1"/>
  <c r="C2933" i="4"/>
  <c r="B2937" i="4" l="1"/>
  <c r="C2937" i="4"/>
  <c r="B2941" i="4" l="1"/>
  <c r="C2941" i="4"/>
  <c r="C2945" i="4" l="1"/>
  <c r="B2945" i="4"/>
  <c r="C2949" i="4" l="1"/>
  <c r="B2949" i="4"/>
  <c r="B2953" i="4" l="1"/>
  <c r="C2953" i="4"/>
  <c r="B2957" i="4" l="1"/>
  <c r="C2957" i="4"/>
  <c r="B2961" i="4" l="1"/>
  <c r="C2961" i="4"/>
  <c r="B2965" i="4" l="1"/>
  <c r="C2965" i="4"/>
  <c r="B2969" i="4" l="1"/>
  <c r="C2969" i="4"/>
  <c r="B2973" i="4" l="1"/>
  <c r="C2973" i="4"/>
  <c r="B2977" i="4" l="1"/>
  <c r="C2977" i="4"/>
  <c r="B2981" i="4" l="1"/>
  <c r="C2981" i="4"/>
  <c r="B2985" i="4" l="1"/>
  <c r="C2985" i="4"/>
  <c r="C2989" i="4" l="1"/>
  <c r="B2989" i="4"/>
  <c r="B2993" i="4" l="1"/>
  <c r="C2993" i="4"/>
  <c r="B2997" i="4" l="1"/>
  <c r="C2997" i="4"/>
  <c r="B3001" i="4" l="1"/>
  <c r="C3001" i="4"/>
  <c r="B3005" i="4" l="1"/>
  <c r="C3005" i="4"/>
  <c r="C3009" i="4" l="1"/>
  <c r="B3009" i="4"/>
  <c r="B3013" i="4" l="1"/>
  <c r="C3013" i="4"/>
  <c r="B3017" i="4" l="1"/>
  <c r="C3017" i="4"/>
  <c r="C3021" i="4" l="1"/>
  <c r="B3021" i="4"/>
  <c r="B3025" i="4" l="1"/>
  <c r="C3025" i="4"/>
  <c r="C3029" i="4" l="1"/>
  <c r="B3029" i="4"/>
  <c r="B3033" i="4" l="1"/>
  <c r="C3033" i="4"/>
  <c r="B3037" i="4"/>
  <c r="C3037" i="4" l="1"/>
  <c r="B3041" i="4" l="1"/>
  <c r="C3041" i="4"/>
  <c r="B3045" i="4" l="1"/>
  <c r="C3045" i="4"/>
  <c r="B3049" i="4" l="1"/>
  <c r="C3049" i="4"/>
  <c r="B3053" i="4" l="1"/>
  <c r="C3053" i="4"/>
  <c r="C3057" i="4" l="1"/>
  <c r="B3057" i="4"/>
  <c r="B3061" i="4" l="1"/>
  <c r="C3061" i="4"/>
  <c r="B3065" i="4" l="1"/>
  <c r="C3065" i="4"/>
  <c r="C3069" i="4" l="1"/>
  <c r="B3069" i="4"/>
  <c r="B3073" i="4" l="1"/>
  <c r="C3073" i="4"/>
  <c r="B3077" i="4"/>
  <c r="C3077" i="4" l="1"/>
  <c r="B3081" i="4" l="1"/>
  <c r="C3081" i="4"/>
  <c r="B3085" i="4" l="1"/>
  <c r="C3085" i="4"/>
  <c r="B3089" i="4"/>
  <c r="C3089" i="4" l="1"/>
  <c r="B3093" i="4" l="1"/>
  <c r="C3093" i="4"/>
  <c r="B3097" i="4" l="1"/>
  <c r="C3097" i="4"/>
  <c r="B3101" i="4"/>
  <c r="C3101" i="4" l="1"/>
  <c r="B3105" i="4" l="1"/>
  <c r="C3105" i="4"/>
  <c r="C3109" i="4" l="1"/>
  <c r="B3109" i="4"/>
  <c r="B3113" i="4" l="1"/>
  <c r="C3113" i="4"/>
  <c r="B3117" i="4" l="1"/>
  <c r="C3117" i="4"/>
  <c r="B3121" i="4" l="1"/>
  <c r="C3121" i="4"/>
  <c r="C3125" i="4" l="1"/>
  <c r="B3125" i="4"/>
  <c r="C3129" i="4" l="1"/>
  <c r="B3129" i="4"/>
  <c r="C3133" i="4" l="1"/>
  <c r="B3133" i="4"/>
  <c r="B3137" i="4" l="1"/>
  <c r="C3137" i="4"/>
  <c r="B3141" i="4"/>
  <c r="C3141" i="4" l="1"/>
  <c r="B3145" i="4" l="1"/>
  <c r="C3145" i="4"/>
  <c r="B3149" i="4" l="1"/>
  <c r="C3149" i="4"/>
  <c r="B3153" i="4" l="1"/>
  <c r="C3153" i="4"/>
  <c r="B3157" i="4" l="1"/>
  <c r="C3157" i="4"/>
  <c r="B3161" i="4" l="1"/>
  <c r="C3161" i="4"/>
  <c r="B3165" i="4" l="1"/>
  <c r="C3165" i="4"/>
  <c r="B3169" i="4" l="1"/>
  <c r="C3169" i="4"/>
  <c r="B3173" i="4" l="1"/>
  <c r="C3173" i="4"/>
  <c r="C3177" i="4" l="1"/>
  <c r="B3177" i="4"/>
  <c r="B3181" i="4" l="1"/>
  <c r="C3181" i="4"/>
  <c r="C3185" i="4" l="1"/>
  <c r="B3185" i="4"/>
  <c r="B3189" i="4" l="1"/>
  <c r="C3189" i="4"/>
  <c r="B3193" i="4" l="1"/>
  <c r="C3193" i="4"/>
  <c r="B3197" i="4" l="1"/>
  <c r="C3197" i="4"/>
  <c r="B3201" i="4" l="1"/>
  <c r="C3201" i="4"/>
  <c r="B3205" i="4" l="1"/>
  <c r="C3205" i="4"/>
  <c r="B3209" i="4" l="1"/>
  <c r="C3209" i="4"/>
  <c r="B3213" i="4" l="1"/>
  <c r="C3213" i="4"/>
  <c r="B3217" i="4" l="1"/>
  <c r="C3217" i="4"/>
  <c r="B3221" i="4" l="1"/>
  <c r="C3221" i="4"/>
  <c r="B3225" i="4" l="1"/>
  <c r="C3225" i="4"/>
  <c r="B3229" i="4" l="1"/>
  <c r="C3229" i="4"/>
  <c r="B3233" i="4"/>
  <c r="C3233" i="4" l="1"/>
  <c r="B3237" i="4"/>
  <c r="C3237" i="4" l="1"/>
  <c r="C3241" i="4" l="1"/>
  <c r="B3241" i="4"/>
  <c r="B3245" i="4" l="1"/>
  <c r="C3245" i="4"/>
  <c r="B3249" i="4" l="1"/>
  <c r="C3249" i="4"/>
  <c r="C3253" i="4" l="1"/>
  <c r="B3253" i="4"/>
  <c r="B3257" i="4" l="1"/>
  <c r="C3257" i="4"/>
  <c r="B3261" i="4" l="1"/>
  <c r="C3261" i="4"/>
  <c r="B3265" i="4" l="1"/>
  <c r="C3265" i="4"/>
  <c r="B3269" i="4" l="1"/>
  <c r="C3269" i="4"/>
  <c r="C3273" i="4" l="1"/>
  <c r="B3273" i="4"/>
  <c r="B3277" i="4" l="1"/>
  <c r="C3277" i="4"/>
  <c r="B3281" i="4" l="1"/>
  <c r="C3281" i="4"/>
  <c r="C3285" i="4" l="1"/>
  <c r="B3285" i="4"/>
  <c r="B3289" i="4" l="1"/>
  <c r="C3289" i="4"/>
  <c r="B3293" i="4" l="1"/>
  <c r="C3293" i="4"/>
  <c r="B3297" i="4" l="1"/>
  <c r="C3297" i="4"/>
  <c r="C3301" i="4" l="1"/>
  <c r="B3301" i="4"/>
  <c r="B3305" i="4" l="1"/>
  <c r="C3305" i="4"/>
  <c r="B3309" i="4" l="1"/>
  <c r="C3309" i="4"/>
  <c r="B3313" i="4" l="1"/>
  <c r="C3313" i="4"/>
  <c r="C3317" i="4" l="1"/>
  <c r="B3317" i="4"/>
  <c r="B3321" i="4"/>
  <c r="C3321" i="4" l="1"/>
  <c r="B3325" i="4" l="1"/>
  <c r="C3325" i="4"/>
  <c r="B3329" i="4" l="1"/>
  <c r="C3329" i="4"/>
  <c r="C3333" i="4" l="1"/>
  <c r="B3333" i="4"/>
  <c r="C3337" i="4" l="1"/>
  <c r="B3337" i="4"/>
  <c r="B3341" i="4"/>
  <c r="C3341" i="4" l="1"/>
  <c r="C3345" i="4" l="1"/>
  <c r="B3345" i="4"/>
  <c r="B3349" i="4" l="1"/>
  <c r="C3349" i="4"/>
  <c r="B3353" i="4" l="1"/>
  <c r="C3353" i="4"/>
  <c r="B3357" i="4" l="1"/>
  <c r="C3357" i="4"/>
  <c r="C3361" i="4" l="1"/>
  <c r="B3361" i="4"/>
  <c r="C3365" i="4" l="1"/>
  <c r="B3365" i="4"/>
  <c r="B3369" i="4" l="1"/>
  <c r="C3369" i="4"/>
  <c r="B3373" i="4" l="1"/>
  <c r="C3373" i="4"/>
  <c r="B3377" i="4" l="1"/>
  <c r="C3377" i="4"/>
  <c r="C3381" i="4" l="1"/>
  <c r="B3381" i="4"/>
  <c r="B3385" i="4" l="1"/>
  <c r="C3385" i="4"/>
  <c r="B3389" i="4" l="1"/>
  <c r="C3389" i="4"/>
  <c r="B3393" i="4" l="1"/>
  <c r="C3393" i="4"/>
  <c r="B3397" i="4" l="1"/>
  <c r="C3397" i="4"/>
  <c r="B3401" i="4" l="1"/>
  <c r="C3401" i="4"/>
  <c r="B3405" i="4" l="1"/>
  <c r="C3405" i="4"/>
  <c r="B3409" i="4" l="1"/>
  <c r="C3409" i="4"/>
  <c r="B3413" i="4" l="1"/>
  <c r="C3413" i="4"/>
  <c r="C3417" i="4" l="1"/>
  <c r="B3417" i="4"/>
  <c r="C3421" i="4" l="1"/>
  <c r="B3421" i="4"/>
  <c r="B3425" i="4" l="1"/>
  <c r="C3425" i="4"/>
  <c r="B3429" i="4"/>
  <c r="C3429" i="4" l="1"/>
  <c r="B3433" i="4" l="1"/>
  <c r="C3433" i="4"/>
  <c r="B3437" i="4" l="1"/>
  <c r="C3437" i="4"/>
  <c r="B3441" i="4" l="1"/>
  <c r="C3441" i="4"/>
  <c r="B3445" i="4" l="1"/>
  <c r="C3445" i="4"/>
  <c r="B3449" i="4" l="1"/>
  <c r="C3449" i="4"/>
  <c r="C3453" i="4" l="1"/>
  <c r="B3453" i="4"/>
  <c r="B3457" i="4" l="1"/>
  <c r="C3457" i="4"/>
  <c r="B3461" i="4" l="1"/>
  <c r="C3461" i="4"/>
  <c r="C3465" i="4" l="1"/>
  <c r="B3465" i="4"/>
  <c r="B3469" i="4" l="1"/>
  <c r="C3469" i="4"/>
  <c r="B3473" i="4" l="1"/>
  <c r="C3473" i="4"/>
  <c r="B3477" i="4" l="1"/>
  <c r="C3477" i="4"/>
  <c r="B3481" i="4" l="1"/>
  <c r="C3481" i="4"/>
  <c r="B3485" i="4" l="1"/>
  <c r="C3485" i="4"/>
  <c r="B3489" i="4" l="1"/>
  <c r="C3489" i="4"/>
  <c r="B3493" i="4" l="1"/>
  <c r="C3493" i="4"/>
  <c r="B3497" i="4" l="1"/>
  <c r="C3497" i="4"/>
  <c r="B3501" i="4" l="1"/>
  <c r="C3501" i="4"/>
  <c r="B3505" i="4" l="1"/>
  <c r="C3505" i="4"/>
  <c r="B3509" i="4"/>
  <c r="C3509" i="4" l="1"/>
  <c r="B3513" i="4"/>
  <c r="C3513" i="4" l="1"/>
  <c r="B3517" i="4" l="1"/>
  <c r="C3517" i="4"/>
  <c r="B3521" i="4" l="1"/>
  <c r="C3521" i="4"/>
  <c r="B3525" i="4" l="1"/>
  <c r="C3525" i="4"/>
  <c r="B3529" i="4" l="1"/>
  <c r="C3529" i="4"/>
  <c r="B3533" i="4" l="1"/>
  <c r="C3533" i="4"/>
  <c r="B3537" i="4" l="1"/>
  <c r="C3537" i="4"/>
  <c r="B3541" i="4"/>
  <c r="C3541" i="4" l="1"/>
  <c r="B3545" i="4" l="1"/>
  <c r="C3545" i="4"/>
  <c r="B3549" i="4" l="1"/>
  <c r="C3549" i="4"/>
  <c r="B3553" i="4" l="1"/>
  <c r="C3553" i="4"/>
  <c r="B3557" i="4" l="1"/>
  <c r="C3557" i="4"/>
  <c r="C3561" i="4" l="1"/>
  <c r="B3561" i="4"/>
  <c r="B3565" i="4" l="1"/>
  <c r="C3565" i="4"/>
  <c r="C3569" i="4" l="1"/>
  <c r="B3569" i="4"/>
  <c r="B3573" i="4" l="1"/>
  <c r="C3573" i="4"/>
  <c r="B3577" i="4" l="1"/>
  <c r="C3577" i="4"/>
  <c r="B3581" i="4"/>
  <c r="C3581" i="4" l="1"/>
  <c r="C3585" i="4" l="1"/>
  <c r="B3585" i="4"/>
  <c r="B3589" i="4" l="1"/>
  <c r="C3589" i="4"/>
  <c r="B3593" i="4" l="1"/>
  <c r="C3593" i="4"/>
  <c r="B3597" i="4" l="1"/>
  <c r="C3597" i="4"/>
  <c r="B3601" i="4" l="1"/>
  <c r="C3601" i="4"/>
  <c r="C3605" i="4" l="1"/>
  <c r="B3605" i="4"/>
  <c r="C3609" i="4" l="1"/>
  <c r="B3609" i="4"/>
  <c r="B3613" i="4" l="1"/>
  <c r="C3613" i="4"/>
  <c r="C3617" i="4" l="1"/>
  <c r="B3617" i="4"/>
  <c r="B3621" i="4" l="1"/>
  <c r="C3621" i="4"/>
  <c r="B3625" i="4"/>
  <c r="C3625" i="4" l="1"/>
  <c r="B3629" i="4" l="1"/>
  <c r="C3629" i="4"/>
  <c r="B3633" i="4" l="1"/>
  <c r="C3633" i="4"/>
  <c r="B3637" i="4" l="1"/>
  <c r="C3637" i="4"/>
  <c r="B3641" i="4"/>
  <c r="C3641" i="4" l="1"/>
  <c r="C3645" i="4" l="1"/>
  <c r="B3645" i="4"/>
  <c r="B3649" i="4" l="1"/>
  <c r="C3649" i="4"/>
  <c r="B3653" i="4" l="1"/>
  <c r="C3653" i="4"/>
  <c r="B3657" i="4" l="1"/>
  <c r="C3657" i="4"/>
  <c r="C3661" i="4" l="1"/>
  <c r="B3661" i="4"/>
  <c r="C3665" i="4" l="1"/>
  <c r="B3665" i="4"/>
  <c r="B3669" i="4" l="1"/>
  <c r="C3669" i="4"/>
  <c r="B3673" i="4" l="1"/>
  <c r="C3673" i="4"/>
  <c r="B3677" i="4" l="1"/>
  <c r="C3677" i="4"/>
  <c r="C3681" i="4" l="1"/>
  <c r="B3681" i="4"/>
  <c r="B3685" i="4" l="1"/>
  <c r="C3685" i="4"/>
  <c r="B3689" i="4" l="1"/>
  <c r="C3689" i="4"/>
  <c r="B3693" i="4" l="1"/>
  <c r="C3693" i="4"/>
  <c r="C3697" i="4" l="1"/>
  <c r="B3697" i="4"/>
  <c r="B3701" i="4" l="1"/>
  <c r="C3701" i="4"/>
  <c r="C3705" i="4" l="1"/>
  <c r="B3705" i="4"/>
  <c r="B3709" i="4" l="1"/>
  <c r="C3709" i="4"/>
  <c r="B3713" i="4" l="1"/>
  <c r="C3713" i="4"/>
  <c r="B3717" i="4" l="1"/>
  <c r="C3717" i="4"/>
  <c r="B3721" i="4" l="1"/>
  <c r="C3721" i="4"/>
  <c r="B3725" i="4" l="1"/>
  <c r="C3725" i="4"/>
  <c r="B3729" i="4" l="1"/>
  <c r="C3729" i="4"/>
  <c r="B3733" i="4" l="1"/>
  <c r="C3733" i="4"/>
  <c r="B3737" i="4" l="1"/>
  <c r="C3737" i="4"/>
  <c r="B3741" i="4" l="1"/>
  <c r="C3741" i="4"/>
  <c r="C3745" i="4" l="1"/>
  <c r="B3745" i="4"/>
  <c r="B3749" i="4" l="1"/>
  <c r="C3749" i="4"/>
  <c r="B3753" i="4" l="1"/>
  <c r="C3753" i="4"/>
  <c r="B3757" i="4" l="1"/>
  <c r="C3757" i="4"/>
  <c r="B3761" i="4" l="1"/>
  <c r="C3761" i="4"/>
  <c r="B3765" i="4" l="1"/>
  <c r="C3765" i="4"/>
  <c r="B3769" i="4" l="1"/>
  <c r="C3769" i="4"/>
  <c r="B3773" i="4" l="1"/>
  <c r="C3773" i="4"/>
  <c r="B3777" i="4" l="1"/>
  <c r="C3777" i="4"/>
  <c r="B3781" i="4" l="1"/>
  <c r="C3781" i="4"/>
  <c r="B3785" i="4" l="1"/>
  <c r="C3785" i="4"/>
  <c r="B3789" i="4" l="1"/>
  <c r="C3789" i="4"/>
  <c r="C3793" i="4" l="1"/>
  <c r="B3793" i="4"/>
  <c r="B3797" i="4"/>
  <c r="C3797" i="4" l="1"/>
  <c r="B3801" i="4" l="1"/>
  <c r="C3801" i="4"/>
  <c r="B3805" i="4" l="1"/>
  <c r="C3805" i="4"/>
  <c r="B3809" i="4" l="1"/>
  <c r="C3809" i="4"/>
  <c r="B3813" i="4" l="1"/>
  <c r="C3813" i="4"/>
  <c r="B3817" i="4" l="1"/>
  <c r="C3817" i="4"/>
  <c r="B3821" i="4" l="1"/>
  <c r="C3821" i="4"/>
  <c r="B3825" i="4" l="1"/>
  <c r="C3825" i="4"/>
  <c r="B3829" i="4" l="1"/>
  <c r="C3829" i="4"/>
  <c r="B3833" i="4"/>
  <c r="C3833" i="4" l="1"/>
  <c r="B3837" i="4" l="1"/>
  <c r="C3837" i="4"/>
  <c r="B3841" i="4" l="1"/>
  <c r="C3841" i="4"/>
  <c r="B3845" i="4" l="1"/>
  <c r="C3845" i="4"/>
  <c r="B3849" i="4" l="1"/>
  <c r="C3849" i="4"/>
  <c r="B3853" i="4" l="1"/>
  <c r="C3853" i="4"/>
  <c r="C3857" i="4" l="1"/>
  <c r="B3857" i="4"/>
  <c r="B3861" i="4" l="1"/>
  <c r="C3861" i="4"/>
  <c r="B3865" i="4" l="1"/>
  <c r="C3865" i="4"/>
  <c r="B3869" i="4" l="1"/>
  <c r="C3869" i="4"/>
  <c r="B3873" i="4" l="1"/>
  <c r="C3873" i="4"/>
  <c r="B3877" i="4" l="1"/>
  <c r="C3877" i="4"/>
  <c r="C3881" i="4" l="1"/>
  <c r="B3881" i="4"/>
  <c r="B3885" i="4" l="1"/>
  <c r="C3885" i="4"/>
  <c r="B3889" i="4"/>
  <c r="C3889" i="4" l="1"/>
  <c r="B3893" i="4" l="1"/>
  <c r="C3893" i="4"/>
  <c r="B3897" i="4" l="1"/>
  <c r="C3897" i="4"/>
  <c r="B3901" i="4" l="1"/>
  <c r="C3901" i="4"/>
  <c r="B3905" i="4" l="1"/>
  <c r="C3905" i="4"/>
  <c r="C3909" i="4" l="1"/>
  <c r="B3909" i="4"/>
  <c r="B3913" i="4" l="1"/>
  <c r="C3913" i="4"/>
  <c r="C3917" i="4" l="1"/>
  <c r="B3917" i="4"/>
  <c r="B3921" i="4" l="1"/>
  <c r="C3921" i="4"/>
  <c r="B3925" i="4" l="1"/>
  <c r="C3925" i="4"/>
  <c r="B3929" i="4"/>
  <c r="C3929" i="4" l="1"/>
  <c r="B3933" i="4" l="1"/>
  <c r="C3933" i="4"/>
  <c r="B3937" i="4"/>
  <c r="C3937" i="4" l="1"/>
  <c r="B3941" i="4" l="1"/>
  <c r="C3941" i="4"/>
  <c r="C3945" i="4" l="1"/>
  <c r="B3945" i="4"/>
  <c r="C3949" i="4" l="1"/>
  <c r="B3949" i="4"/>
  <c r="B3953" i="4"/>
  <c r="C3953" i="4" l="1"/>
  <c r="B3957" i="4" l="1"/>
  <c r="C3957" i="4"/>
  <c r="C3961" i="4" l="1"/>
  <c r="B3961" i="4"/>
  <c r="B3965" i="4" l="1"/>
  <c r="C3965" i="4"/>
  <c r="B3969" i="4" l="1"/>
  <c r="C3969" i="4"/>
  <c r="B3973" i="4" l="1"/>
  <c r="C3973" i="4"/>
  <c r="B3977" i="4" l="1"/>
  <c r="C3977" i="4"/>
  <c r="B3981" i="4" l="1"/>
  <c r="C3981" i="4"/>
  <c r="C3985" i="4" l="1"/>
  <c r="B3985" i="4"/>
  <c r="B3989" i="4"/>
  <c r="C3989" i="4" l="1"/>
  <c r="C3993" i="4" l="1"/>
  <c r="B3993" i="4"/>
  <c r="B3997" i="4" l="1"/>
  <c r="C3997" i="4"/>
  <c r="C4001" i="4" l="1"/>
  <c r="B4001" i="4"/>
  <c r="B4005" i="4"/>
  <c r="C4005" i="4" l="1"/>
  <c r="B4009" i="4" l="1"/>
  <c r="C4009" i="4"/>
  <c r="B4013" i="4" l="1"/>
  <c r="C4013" i="4"/>
  <c r="B4017" i="4"/>
  <c r="C4017" i="4" l="1"/>
  <c r="B4021" i="4" l="1"/>
  <c r="C4021" i="4"/>
  <c r="B4025" i="4" l="1"/>
  <c r="C4025" i="4"/>
  <c r="C4029" i="4" l="1"/>
  <c r="B4029" i="4"/>
  <c r="C4033" i="4" l="1"/>
  <c r="B4033" i="4"/>
  <c r="B4037" i="4" l="1"/>
  <c r="C4037" i="4"/>
  <c r="B4041" i="4" l="1"/>
  <c r="C4041" i="4"/>
  <c r="C4045" i="4" l="1"/>
  <c r="B4045" i="4"/>
  <c r="B4049" i="4" l="1"/>
  <c r="C4049" i="4"/>
  <c r="B4053" i="4"/>
  <c r="C4053" i="4" l="1"/>
  <c r="B4057" i="4" l="1"/>
  <c r="C4057" i="4"/>
  <c r="B4061" i="4" l="1"/>
  <c r="C4061" i="4"/>
  <c r="B4065" i="4" l="1"/>
  <c r="C4065" i="4"/>
  <c r="B4069" i="4" l="1"/>
  <c r="C4069" i="4"/>
  <c r="B4073" i="4" l="1"/>
  <c r="C4073" i="4"/>
  <c r="C4077" i="4" l="1"/>
  <c r="B4077" i="4"/>
  <c r="C4081" i="4" l="1"/>
  <c r="B4081" i="4"/>
  <c r="B4085" i="4" l="1"/>
  <c r="C4085" i="4"/>
  <c r="B4089" i="4" l="1"/>
  <c r="C4089" i="4"/>
  <c r="B4093" i="4" l="1"/>
  <c r="C4093" i="4"/>
  <c r="B4097" i="4" l="1"/>
  <c r="C4097" i="4"/>
  <c r="B4101" i="4" l="1"/>
  <c r="C4101" i="4"/>
  <c r="C4105" i="4" l="1"/>
  <c r="B4105" i="4"/>
  <c r="C4109" i="4" l="1"/>
  <c r="B4109" i="4"/>
  <c r="B4113" i="4" l="1"/>
  <c r="C4113" i="4"/>
  <c r="B4117" i="4" l="1"/>
  <c r="C4117" i="4"/>
  <c r="B4121" i="4" l="1"/>
  <c r="C4121" i="4"/>
  <c r="B4125" i="4" l="1"/>
  <c r="C4125" i="4"/>
  <c r="B4129" i="4" l="1"/>
  <c r="C4129" i="4"/>
  <c r="B4133" i="4" l="1"/>
  <c r="C4133" i="4"/>
  <c r="B4137" i="4"/>
  <c r="C4137" i="4" l="1"/>
  <c r="B4141" i="4" l="1"/>
  <c r="C4141" i="4"/>
  <c r="B4145" i="4" l="1"/>
  <c r="C4145" i="4"/>
  <c r="B4149" i="4" l="1"/>
  <c r="C4149" i="4"/>
  <c r="B4153" i="4" l="1"/>
  <c r="C4153" i="4"/>
  <c r="B4157" i="4" l="1"/>
  <c r="C4157" i="4"/>
  <c r="C4161" i="4" l="1"/>
  <c r="B4161" i="4"/>
  <c r="B4165" i="4" l="1"/>
  <c r="C4165" i="4"/>
  <c r="B4169" i="4" l="1"/>
  <c r="C4169" i="4"/>
  <c r="B4173" i="4" l="1"/>
  <c r="C4173" i="4"/>
  <c r="B4177" i="4"/>
  <c r="C4177" i="4" l="1"/>
  <c r="B4181" i="4" l="1"/>
  <c r="C4181" i="4"/>
  <c r="B4185" i="4" l="1"/>
  <c r="C4185" i="4"/>
  <c r="C4189" i="4" l="1"/>
  <c r="B4189" i="4"/>
  <c r="B4193" i="4" l="1"/>
  <c r="C4193" i="4"/>
  <c r="B4197" i="4" l="1"/>
  <c r="C4197" i="4"/>
  <c r="B4201" i="4" l="1"/>
  <c r="C4201" i="4"/>
  <c r="B4205" i="4" l="1"/>
  <c r="C4205" i="4"/>
  <c r="B4209" i="4" l="1"/>
  <c r="C4209" i="4"/>
  <c r="B4213" i="4" l="1"/>
  <c r="C4213" i="4"/>
  <c r="C4217" i="4" l="1"/>
  <c r="B4217" i="4"/>
  <c r="C4221" i="4" l="1"/>
  <c r="B4221" i="4"/>
  <c r="B4225" i="4" l="1"/>
  <c r="C4225" i="4"/>
  <c r="C4229" i="4" l="1"/>
  <c r="B4229" i="4"/>
  <c r="C4233" i="4" l="1"/>
  <c r="B4233" i="4"/>
  <c r="B4237" i="4" l="1"/>
  <c r="C4237" i="4"/>
  <c r="C4241" i="4" l="1"/>
  <c r="B4241" i="4"/>
  <c r="C4245" i="4" l="1"/>
  <c r="B4245" i="4"/>
  <c r="B4249" i="4" l="1"/>
  <c r="C4249" i="4"/>
  <c r="B4253" i="4" l="1"/>
  <c r="C4253" i="4"/>
  <c r="B4257" i="4" l="1"/>
  <c r="C4257" i="4"/>
  <c r="B4261" i="4" l="1"/>
  <c r="C4261" i="4"/>
  <c r="B4265" i="4" l="1"/>
  <c r="C4265" i="4"/>
  <c r="B4269" i="4" l="1"/>
  <c r="C4269" i="4"/>
  <c r="C4273" i="4" l="1"/>
  <c r="B4273" i="4"/>
  <c r="C4277" i="4" l="1"/>
  <c r="B4277" i="4"/>
  <c r="C4281" i="4" l="1"/>
  <c r="B4281" i="4"/>
  <c r="B4285" i="4"/>
  <c r="C4285" i="4" l="1"/>
  <c r="C4289" i="4" l="1"/>
  <c r="B4289" i="4"/>
  <c r="C4293" i="4" l="1"/>
  <c r="B4293" i="4"/>
  <c r="B4297" i="4" l="1"/>
  <c r="C4297" i="4"/>
  <c r="B4301" i="4" l="1"/>
  <c r="C4301" i="4"/>
  <c r="B4305" i="4" l="1"/>
  <c r="C4305" i="4"/>
  <c r="B4309" i="4" l="1"/>
  <c r="C4309" i="4"/>
  <c r="B4313" i="4" l="1"/>
  <c r="C4313" i="4"/>
  <c r="B4317" i="4" l="1"/>
  <c r="C4317" i="4"/>
  <c r="B4321" i="4" l="1"/>
  <c r="C4321" i="4"/>
  <c r="B4325" i="4" l="1"/>
  <c r="C4325" i="4"/>
  <c r="B4329" i="4" l="1"/>
  <c r="C4329" i="4"/>
  <c r="B4333" i="4" l="1"/>
  <c r="C4333" i="4"/>
  <c r="B4337" i="4" l="1"/>
  <c r="C4337" i="4"/>
  <c r="B4341" i="4" l="1"/>
  <c r="C4341" i="4"/>
  <c r="C4345" i="4" l="1"/>
  <c r="B4345" i="4"/>
  <c r="B4349" i="4"/>
  <c r="C4349" i="4" l="1"/>
  <c r="B4353" i="4" l="1"/>
  <c r="C4353" i="4"/>
  <c r="B4357" i="4" l="1"/>
  <c r="C4357" i="4"/>
  <c r="B4361" i="4" l="1"/>
  <c r="C4361" i="4"/>
  <c r="B4365" i="4" l="1"/>
  <c r="C4365" i="4"/>
  <c r="C4369" i="4" l="1"/>
  <c r="B4369" i="4"/>
  <c r="B4373" i="4" l="1"/>
  <c r="C4373" i="4"/>
  <c r="B4377" i="4" l="1"/>
  <c r="C4377" i="4"/>
  <c r="B4381" i="4" l="1"/>
  <c r="C4381" i="4"/>
  <c r="B4385" i="4" l="1"/>
  <c r="C4385" i="4"/>
  <c r="B4389" i="4" l="1"/>
  <c r="C4389" i="4"/>
  <c r="B4393" i="4" l="1"/>
  <c r="C4393" i="4"/>
  <c r="B4397" i="4" l="1"/>
  <c r="C4397" i="4"/>
  <c r="C4401" i="4" l="1"/>
  <c r="B4401" i="4"/>
  <c r="B4405" i="4" l="1"/>
  <c r="C4405" i="4"/>
  <c r="B4409" i="4" l="1"/>
  <c r="C4409" i="4"/>
  <c r="B4413" i="4" l="1"/>
  <c r="C4413" i="4"/>
  <c r="B4417" i="4" l="1"/>
  <c r="C4417" i="4"/>
  <c r="B4421" i="4" l="1"/>
  <c r="C4421" i="4"/>
  <c r="B4425" i="4" l="1"/>
  <c r="C4425" i="4"/>
  <c r="B4429" i="4" l="1"/>
  <c r="C4429" i="4"/>
  <c r="B4433" i="4" l="1"/>
  <c r="C4433" i="4"/>
  <c r="B4437" i="4" l="1"/>
  <c r="C4437" i="4"/>
  <c r="B4441" i="4" l="1"/>
  <c r="C4441" i="4"/>
  <c r="B4445" i="4" l="1"/>
  <c r="C4445" i="4"/>
  <c r="B4449" i="4" l="1"/>
  <c r="C4449" i="4"/>
  <c r="B4453" i="4" l="1"/>
  <c r="C4453" i="4"/>
  <c r="B4457" i="4" l="1"/>
  <c r="C4457" i="4"/>
  <c r="B4461" i="4"/>
  <c r="C4461" i="4" l="1"/>
  <c r="B4465" i="4" l="1"/>
  <c r="C4465" i="4"/>
  <c r="B4469" i="4" l="1"/>
  <c r="C4469" i="4"/>
  <c r="B4473" i="4" l="1"/>
  <c r="C4473" i="4"/>
  <c r="B4477" i="4" l="1"/>
  <c r="C4477" i="4"/>
  <c r="C4481" i="4" l="1"/>
  <c r="B4481" i="4"/>
  <c r="B4485" i="4"/>
  <c r="C4485" i="4" l="1"/>
  <c r="B4489" i="4" l="1"/>
  <c r="C4489" i="4"/>
  <c r="B4493" i="4" l="1"/>
  <c r="C4493" i="4"/>
  <c r="B4497" i="4" l="1"/>
  <c r="C4497" i="4"/>
  <c r="C4501" i="4" l="1"/>
  <c r="B4501" i="4"/>
  <c r="B4505" i="4" l="1"/>
  <c r="C4505" i="4"/>
  <c r="B4509" i="4"/>
  <c r="C4509" i="4" l="1"/>
  <c r="B4513" i="4" l="1"/>
  <c r="C4513" i="4"/>
  <c r="B4517" i="4" l="1"/>
  <c r="C4517" i="4"/>
  <c r="B4521" i="4" l="1"/>
  <c r="C4521" i="4"/>
  <c r="B4525" i="4"/>
  <c r="C4525" i="4" l="1"/>
  <c r="B4529" i="4" l="1"/>
  <c r="C4529" i="4"/>
  <c r="C4533" i="4" l="1"/>
  <c r="B4533" i="4"/>
  <c r="B4537" i="4" l="1"/>
  <c r="C4537" i="4"/>
  <c r="B4541" i="4" l="1"/>
  <c r="C4541" i="4"/>
  <c r="B4545" i="4" l="1"/>
  <c r="C4545" i="4"/>
  <c r="B4549" i="4" l="1"/>
  <c r="C4549" i="4"/>
  <c r="C4553" i="4" l="1"/>
  <c r="B4553" i="4"/>
  <c r="C4557" i="4" l="1"/>
  <c r="B4557" i="4"/>
  <c r="C4561" i="4" l="1"/>
  <c r="B4561" i="4"/>
  <c r="B4565" i="4" l="1"/>
  <c r="C4565" i="4"/>
  <c r="B4569" i="4" l="1"/>
  <c r="C4569" i="4"/>
  <c r="C4573" i="4" l="1"/>
  <c r="B4573" i="4"/>
  <c r="B4577" i="4" l="1"/>
  <c r="C4577" i="4"/>
  <c r="C4581" i="4" l="1"/>
  <c r="B4581" i="4"/>
  <c r="B4585" i="4"/>
  <c r="C4585" i="4" l="1"/>
  <c r="B4589" i="4" l="1"/>
  <c r="C4589" i="4"/>
  <c r="B4593" i="4"/>
  <c r="C4593" i="4" l="1"/>
  <c r="B4597" i="4"/>
  <c r="C4597" i="4" l="1"/>
  <c r="B4601" i="4" l="1"/>
  <c r="C4601" i="4"/>
  <c r="B4605" i="4" l="1"/>
  <c r="C4605" i="4"/>
  <c r="C4609" i="4" l="1"/>
  <c r="B4609" i="4"/>
  <c r="B4613" i="4" l="1"/>
  <c r="C4613" i="4"/>
  <c r="B4617" i="4" l="1"/>
  <c r="C4617" i="4"/>
  <c r="B4621" i="4" l="1"/>
  <c r="C4621" i="4"/>
  <c r="C4625" i="4" l="1"/>
  <c r="B4625" i="4"/>
  <c r="B4629" i="4" l="1"/>
  <c r="C4629" i="4"/>
  <c r="C4633" i="4" l="1"/>
  <c r="B4633" i="4"/>
  <c r="B4637" i="4" l="1"/>
  <c r="C4637" i="4"/>
  <c r="B4641" i="4" l="1"/>
  <c r="C4641" i="4"/>
  <c r="B4645" i="4" l="1"/>
  <c r="C4645" i="4"/>
  <c r="B4649" i="4" l="1"/>
  <c r="C4649" i="4"/>
  <c r="B4653" i="4"/>
  <c r="C4653" i="4" l="1"/>
  <c r="C4657" i="4" l="1"/>
  <c r="B4657" i="4"/>
  <c r="C4661" i="4" l="1"/>
  <c r="B4661" i="4"/>
  <c r="B4665" i="4" l="1"/>
  <c r="C4665" i="4"/>
  <c r="C4669" i="4" l="1"/>
  <c r="B4669" i="4"/>
  <c r="C4673" i="4" l="1"/>
  <c r="B4673" i="4"/>
  <c r="B4677" i="4" l="1"/>
  <c r="C4677" i="4"/>
  <c r="B4681" i="4" l="1"/>
  <c r="C4681" i="4"/>
  <c r="B4685" i="4" l="1"/>
  <c r="C4685" i="4"/>
  <c r="B4689" i="4" l="1"/>
  <c r="C4689" i="4"/>
  <c r="C4693" i="4" l="1"/>
  <c r="B4693" i="4"/>
  <c r="B4697" i="4" l="1"/>
  <c r="C4697" i="4"/>
  <c r="B4701" i="4" l="1"/>
  <c r="C4701" i="4"/>
  <c r="B4705" i="4" l="1"/>
  <c r="C4705" i="4"/>
  <c r="B4709" i="4" l="1"/>
  <c r="C4709" i="4"/>
  <c r="B4713" i="4"/>
  <c r="C4713" i="4" l="1"/>
  <c r="B4717" i="4" l="1"/>
  <c r="C4717" i="4"/>
  <c r="B4721" i="4" l="1"/>
  <c r="C4721" i="4"/>
  <c r="B4725" i="4" l="1"/>
  <c r="C4725" i="4"/>
  <c r="B4729" i="4" l="1"/>
  <c r="C4729" i="4"/>
  <c r="B4733" i="4" l="1"/>
  <c r="C4733" i="4"/>
  <c r="B4737" i="4" l="1"/>
  <c r="C4737" i="4"/>
  <c r="B4741" i="4"/>
  <c r="C4741" i="4" l="1"/>
  <c r="B4745" i="4" l="1"/>
  <c r="C4745" i="4"/>
  <c r="B4749" i="4" l="1"/>
  <c r="C4749" i="4"/>
  <c r="B4753" i="4" l="1"/>
  <c r="C4753" i="4"/>
  <c r="B4757" i="4" l="1"/>
  <c r="C4757" i="4"/>
  <c r="B4761" i="4" l="1"/>
  <c r="C4761" i="4"/>
  <c r="C4765" i="4" l="1"/>
  <c r="B4765" i="4"/>
  <c r="B4769" i="4" l="1"/>
  <c r="C4769" i="4"/>
  <c r="B4773" i="4"/>
  <c r="C4773" i="4" l="1"/>
  <c r="B4777" i="4"/>
  <c r="C4777" i="4" l="1"/>
  <c r="B4781" i="4"/>
  <c r="C4781" i="4" l="1"/>
  <c r="B4785" i="4"/>
  <c r="C4785" i="4" l="1"/>
  <c r="C4789" i="4" l="1"/>
  <c r="B4789" i="4"/>
  <c r="B4793" i="4"/>
  <c r="C4793" i="4" l="1"/>
  <c r="B4797" i="4" l="1"/>
  <c r="C4797" i="4"/>
  <c r="B4801" i="4" l="1"/>
  <c r="C4801" i="4"/>
  <c r="C4805" i="4" l="1"/>
  <c r="B4805" i="4"/>
  <c r="B4809" i="4" l="1"/>
  <c r="C4809" i="4"/>
  <c r="C4813" i="4" l="1"/>
  <c r="B4813" i="4"/>
  <c r="B4817" i="4" l="1"/>
  <c r="C4817" i="4"/>
  <c r="C4821" i="4" l="1"/>
  <c r="B4821" i="4"/>
  <c r="B4825" i="4" l="1"/>
  <c r="C4825" i="4"/>
  <c r="B4829" i="4" l="1"/>
  <c r="C4829" i="4"/>
  <c r="B4833" i="4" l="1"/>
  <c r="C4833" i="4"/>
  <c r="B4837" i="4"/>
  <c r="C4837" i="4" l="1"/>
  <c r="C4841" i="4" l="1"/>
  <c r="B4841" i="4"/>
  <c r="B4845" i="4" l="1"/>
  <c r="C4845" i="4"/>
  <c r="B4849" i="4" l="1"/>
  <c r="C4849" i="4"/>
  <c r="B4853" i="4" l="1"/>
  <c r="C4853" i="4"/>
  <c r="B4857" i="4" l="1"/>
  <c r="C4857" i="4"/>
  <c r="B4861" i="4"/>
  <c r="C4861" i="4" l="1"/>
  <c r="B4865" i="4" l="1"/>
  <c r="C4865" i="4"/>
  <c r="B4869" i="4" l="1"/>
  <c r="C4869" i="4"/>
  <c r="B4873" i="4" l="1"/>
  <c r="C4873" i="4"/>
  <c r="B4877" i="4" l="1"/>
  <c r="C4877" i="4"/>
  <c r="C4881" i="4" l="1"/>
  <c r="B4881" i="4"/>
  <c r="C4885" i="4" l="1"/>
  <c r="B4885" i="4"/>
  <c r="B4889" i="4" l="1"/>
  <c r="C4889" i="4"/>
  <c r="B4893" i="4" l="1"/>
  <c r="C4893" i="4"/>
  <c r="C4897" i="4" l="1"/>
  <c r="B4897" i="4"/>
  <c r="B4901" i="4" l="1"/>
  <c r="C4901" i="4"/>
  <c r="C4905" i="4" l="1"/>
  <c r="B4905" i="4"/>
  <c r="B4909" i="4" l="1"/>
  <c r="C4909" i="4"/>
  <c r="B4913" i="4" l="1"/>
  <c r="C4913" i="4"/>
  <c r="B4917" i="4"/>
  <c r="C4917" i="4" l="1"/>
  <c r="B4921" i="4" l="1"/>
  <c r="C4921" i="4"/>
  <c r="B4925" i="4" l="1"/>
  <c r="C4925" i="4"/>
  <c r="B4929" i="4" l="1"/>
  <c r="C4929" i="4"/>
  <c r="B4933" i="4" l="1"/>
  <c r="C4933" i="4"/>
  <c r="B4937" i="4" l="1"/>
  <c r="C4937" i="4"/>
  <c r="B4941" i="4"/>
  <c r="C4941" i="4" l="1"/>
  <c r="B4945" i="4" l="1"/>
  <c r="C4945" i="4"/>
  <c r="C4949" i="4" l="1"/>
  <c r="B4949" i="4"/>
  <c r="B4953" i="4" l="1"/>
  <c r="C4953" i="4"/>
  <c r="B4957" i="4" l="1"/>
  <c r="C4957" i="4"/>
  <c r="B4961" i="4" l="1"/>
  <c r="C4961" i="4"/>
  <c r="B4965" i="4" l="1"/>
  <c r="C4965" i="4"/>
  <c r="B4969" i="4"/>
  <c r="C4969" i="4" l="1"/>
  <c r="B4973" i="4" l="1"/>
  <c r="C4973" i="4"/>
  <c r="B4977" i="4" l="1"/>
  <c r="C4977" i="4"/>
  <c r="B4981" i="4" l="1"/>
  <c r="C4981" i="4"/>
  <c r="B4985" i="4" l="1"/>
  <c r="C4985" i="4"/>
  <c r="C4989" i="4" l="1"/>
  <c r="B4989" i="4"/>
  <c r="C4993" i="4" l="1"/>
  <c r="B4993" i="4"/>
  <c r="B4997" i="4" l="1"/>
  <c r="C4997" i="4"/>
  <c r="C5001" i="4" l="1"/>
  <c r="B5001" i="4"/>
  <c r="B5005" i="4" l="1"/>
  <c r="C5005" i="4"/>
  <c r="B5009" i="4" l="1"/>
  <c r="C5009" i="4"/>
  <c r="B5013" i="4"/>
  <c r="C5013" i="4" l="1"/>
  <c r="B5017" i="4" l="1"/>
  <c r="C5017" i="4"/>
  <c r="B5021" i="4" l="1"/>
  <c r="C5021" i="4"/>
  <c r="B5025" i="4"/>
  <c r="C5025" i="4" l="1"/>
  <c r="B5029" i="4" l="1"/>
  <c r="C5029" i="4"/>
  <c r="B5033" i="4" l="1"/>
  <c r="C5033" i="4"/>
  <c r="B5037" i="4" l="1"/>
  <c r="C5037" i="4"/>
  <c r="B5041" i="4" l="1"/>
  <c r="C5041" i="4"/>
  <c r="B5045" i="4" l="1"/>
  <c r="C5045" i="4"/>
  <c r="C5049" i="4" l="1"/>
  <c r="B5049" i="4"/>
  <c r="B5053" i="4" l="1"/>
  <c r="C5053" i="4"/>
  <c r="C5057" i="4" l="1"/>
  <c r="B5057" i="4"/>
  <c r="B5061" i="4" l="1"/>
  <c r="C5061" i="4"/>
  <c r="C5065" i="4" l="1"/>
  <c r="B5065" i="4"/>
  <c r="B5069" i="4" l="1"/>
  <c r="C5069" i="4"/>
  <c r="B5073" i="4"/>
  <c r="C5073" i="4" l="1"/>
  <c r="C5077" i="4" l="1"/>
  <c r="B5077" i="4"/>
  <c r="C5081" i="4" l="1"/>
  <c r="B5081" i="4"/>
  <c r="B5085" i="4" l="1"/>
  <c r="C5085" i="4"/>
  <c r="B5089" i="4"/>
  <c r="C5089" i="4" l="1"/>
  <c r="B5093" i="4" l="1"/>
  <c r="C5093" i="4"/>
  <c r="C5097" i="4" l="1"/>
  <c r="B5097" i="4"/>
  <c r="C5101" i="4" l="1"/>
  <c r="B5101" i="4"/>
  <c r="B5105" i="4" l="1"/>
  <c r="C5105" i="4"/>
  <c r="B5109" i="4" l="1"/>
  <c r="C5109" i="4"/>
  <c r="C5113" i="4" l="1"/>
  <c r="B5113" i="4"/>
  <c r="B5117" i="4" l="1"/>
  <c r="C5117" i="4"/>
  <c r="B5121" i="4"/>
  <c r="C5121" i="4" l="1"/>
  <c r="C5125" i="4" l="1"/>
  <c r="B5125" i="4"/>
  <c r="B5129" i="4" l="1"/>
  <c r="C5129" i="4"/>
  <c r="C5133" i="4" l="1"/>
  <c r="B5133" i="4"/>
  <c r="C5137" i="4" l="1"/>
  <c r="B5137" i="4"/>
  <c r="B5141" i="4" l="1"/>
  <c r="C5141" i="4"/>
  <c r="C5145" i="4" l="1"/>
  <c r="B5145" i="4"/>
  <c r="B5149" i="4" l="1"/>
  <c r="C5149" i="4"/>
  <c r="B5153" i="4"/>
  <c r="C5153" i="4" l="1"/>
  <c r="C5157" i="4" l="1"/>
  <c r="B5157" i="4"/>
  <c r="B5161" i="4" l="1"/>
  <c r="C5161" i="4"/>
  <c r="B5165" i="4" l="1"/>
  <c r="C5165" i="4"/>
  <c r="B5169" i="4" l="1"/>
  <c r="C5169" i="4"/>
  <c r="C5173" i="4" l="1"/>
  <c r="B5173" i="4"/>
  <c r="C5177" i="4" l="1"/>
  <c r="B5177" i="4"/>
  <c r="C5181" i="4" l="1"/>
  <c r="B5181" i="4"/>
  <c r="C5185" i="4" l="1"/>
  <c r="B5185" i="4"/>
  <c r="C5189" i="4" l="1"/>
  <c r="B5189" i="4"/>
  <c r="B5193" i="4" l="1"/>
  <c r="C5193" i="4"/>
  <c r="B5197" i="4" l="1"/>
  <c r="C5197" i="4"/>
  <c r="C5201" i="4" l="1"/>
  <c r="B5201" i="4"/>
  <c r="B5205" i="4" l="1"/>
  <c r="C5205" i="4"/>
  <c r="C5209" i="4" l="1"/>
  <c r="B5209" i="4"/>
  <c r="B5213" i="4"/>
  <c r="C5213" i="4" l="1"/>
  <c r="B5217" i="4" l="1"/>
  <c r="C5217" i="4"/>
  <c r="B5221" i="4" l="1"/>
  <c r="C5221" i="4"/>
  <c r="B5225" i="4" l="1"/>
  <c r="C5225" i="4"/>
  <c r="C5229" i="4" l="1"/>
  <c r="B5229" i="4"/>
  <c r="B5233" i="4" l="1"/>
  <c r="C5233" i="4"/>
  <c r="C5237" i="4" l="1"/>
  <c r="B5237" i="4"/>
  <c r="C5241" i="4" l="1"/>
  <c r="B5241" i="4"/>
  <c r="B5245" i="4" l="1"/>
  <c r="C5245" i="4"/>
  <c r="B5249" i="4" l="1"/>
  <c r="C5249" i="4"/>
  <c r="B5253" i="4" l="1"/>
  <c r="C5253" i="4"/>
  <c r="B5257" i="4" l="1"/>
  <c r="C5257" i="4"/>
  <c r="B5261" i="4" l="1"/>
  <c r="C5261" i="4"/>
  <c r="B5265" i="4" l="1"/>
  <c r="C5265" i="4"/>
  <c r="B5269" i="4" l="1"/>
  <c r="C5269" i="4"/>
  <c r="B5273" i="4" l="1"/>
  <c r="C5273" i="4"/>
  <c r="B5277" i="4"/>
  <c r="C5277" i="4" l="1"/>
  <c r="B5281" i="4"/>
  <c r="C5281" i="4" l="1"/>
  <c r="B5285" i="4" l="1"/>
  <c r="C5285" i="4"/>
  <c r="B5289" i="4" l="1"/>
  <c r="C5289" i="4"/>
  <c r="B5293" i="4" l="1"/>
  <c r="C5293" i="4"/>
  <c r="B5297" i="4" l="1"/>
  <c r="C5297" i="4"/>
  <c r="C5301" i="4" l="1"/>
  <c r="B5301" i="4"/>
  <c r="B5305" i="4" l="1"/>
  <c r="C5305" i="4"/>
  <c r="B5309" i="4" l="1"/>
  <c r="C5309" i="4"/>
  <c r="B5313" i="4" l="1"/>
  <c r="C5313" i="4"/>
  <c r="B5317" i="4" l="1"/>
  <c r="C5317" i="4"/>
  <c r="B5321" i="4" l="1"/>
  <c r="C5321" i="4"/>
  <c r="B5325" i="4" l="1"/>
  <c r="C5325" i="4"/>
  <c r="B5329" i="4" l="1"/>
  <c r="C5329" i="4"/>
  <c r="B5333" i="4" l="1"/>
  <c r="C5333" i="4"/>
  <c r="C5337" i="4" l="1"/>
  <c r="B5337" i="4"/>
  <c r="B5341" i="4" l="1"/>
  <c r="C5341" i="4"/>
  <c r="C5345" i="4" l="1"/>
  <c r="B5345" i="4"/>
  <c r="B5349" i="4" l="1"/>
  <c r="C5349" i="4"/>
  <c r="B5353" i="4" l="1"/>
  <c r="C5353" i="4"/>
  <c r="C5357" i="4" l="1"/>
  <c r="B5357" i="4"/>
  <c r="C5361" i="4" l="1"/>
  <c r="B5361" i="4"/>
  <c r="C5365" i="4" l="1"/>
  <c r="B5365" i="4"/>
  <c r="B5369" i="4" l="1"/>
  <c r="C5369" i="4"/>
  <c r="B5373" i="4" l="1"/>
  <c r="C5373" i="4"/>
  <c r="B5377" i="4" l="1"/>
  <c r="C5377" i="4"/>
  <c r="B5381" i="4" l="1"/>
  <c r="C5381" i="4"/>
  <c r="B5385" i="4" l="1"/>
  <c r="C5385" i="4"/>
  <c r="B5389" i="4" l="1"/>
  <c r="C5389" i="4"/>
  <c r="B5393" i="4"/>
  <c r="C5393" i="4" l="1"/>
  <c r="B5397" i="4" l="1"/>
  <c r="C5397" i="4"/>
  <c r="B5401" i="4" l="1"/>
  <c r="C5401" i="4"/>
  <c r="B5405" i="4" l="1"/>
  <c r="C5405" i="4"/>
  <c r="C5409" i="4" l="1"/>
  <c r="B5409" i="4"/>
  <c r="B5413" i="4"/>
  <c r="C5413" i="4" l="1"/>
  <c r="B5417" i="4" l="1"/>
  <c r="C5417" i="4"/>
  <c r="B5421" i="4" l="1"/>
  <c r="C5421" i="4"/>
  <c r="B5425" i="4" l="1"/>
  <c r="C5425" i="4"/>
  <c r="B5429" i="4" l="1"/>
  <c r="C5429" i="4"/>
  <c r="C5433" i="4" l="1"/>
  <c r="B5433" i="4"/>
  <c r="B5437" i="4" l="1"/>
  <c r="C5437" i="4"/>
  <c r="C5441" i="4" l="1"/>
  <c r="B5441" i="4"/>
  <c r="B5445" i="4" l="1"/>
  <c r="C5445" i="4"/>
  <c r="B5449" i="4" l="1"/>
  <c r="C5449" i="4"/>
  <c r="C5453" i="4" l="1"/>
  <c r="B5453" i="4"/>
  <c r="C5457" i="4" l="1"/>
  <c r="B5457" i="4"/>
  <c r="B5461" i="4" l="1"/>
  <c r="C5461" i="4"/>
  <c r="B5465" i="4" l="1"/>
  <c r="C5465" i="4"/>
  <c r="B5469" i="4" l="1"/>
  <c r="C5469" i="4"/>
  <c r="B5473" i="4" l="1"/>
  <c r="C5473" i="4"/>
  <c r="B5477" i="4" l="1"/>
  <c r="C5477" i="4"/>
  <c r="B5481" i="4" l="1"/>
  <c r="C5481" i="4"/>
  <c r="M288" i="6" l="1"/>
  <c r="M110" i="6"/>
  <c r="M208" i="6"/>
  <c r="M199" i="6"/>
  <c r="M98" i="6"/>
  <c r="M468" i="6"/>
  <c r="M372" i="6"/>
  <c r="M428" i="6"/>
  <c r="M139" i="6"/>
  <c r="M176" i="6"/>
  <c r="M268" i="6"/>
  <c r="M101" i="6"/>
  <c r="M613" i="6"/>
  <c r="M233" i="6"/>
  <c r="M587" i="6"/>
  <c r="M108" i="6"/>
  <c r="M84" i="6"/>
  <c r="M400" i="6"/>
  <c r="M269" i="6"/>
  <c r="M498" i="6"/>
  <c r="M52" i="6"/>
  <c r="M331" i="6"/>
  <c r="M591" i="6"/>
  <c r="M542" i="6"/>
  <c r="M284" i="6"/>
  <c r="M92" i="6"/>
  <c r="M631" i="6"/>
  <c r="M444" i="6"/>
  <c r="M447" i="6"/>
  <c r="M78" i="6"/>
  <c r="M280" i="6"/>
  <c r="M651" i="6"/>
  <c r="M241" i="6"/>
  <c r="M275" i="6"/>
  <c r="M203" i="6"/>
  <c r="M563" i="6"/>
  <c r="M87" i="6"/>
  <c r="M102" i="6"/>
  <c r="M157" i="6"/>
  <c r="M253" i="6"/>
  <c r="M99" i="6"/>
  <c r="M341" i="6"/>
  <c r="M123" i="6"/>
  <c r="M82" i="6"/>
  <c r="M290" i="6"/>
  <c r="M536" i="6"/>
  <c r="M217" i="6"/>
  <c r="M116" i="6"/>
  <c r="M420" i="6"/>
  <c r="M167" i="6"/>
  <c r="M627" i="6"/>
  <c r="M175" i="6"/>
  <c r="M77" i="6"/>
  <c r="M106" i="6"/>
  <c r="M666" i="6"/>
  <c r="M137" i="6"/>
  <c r="M202" i="6"/>
  <c r="M441" i="6"/>
  <c r="M465" i="6"/>
  <c r="M325" i="6"/>
  <c r="M558" i="6"/>
  <c r="M195" i="6"/>
  <c r="M246" i="6"/>
  <c r="M235" i="6"/>
  <c r="M590" i="6"/>
  <c r="M351" i="6"/>
  <c r="M389" i="6"/>
  <c r="M334" i="6"/>
  <c r="M527" i="6"/>
  <c r="M385" i="6"/>
  <c r="M100" i="6"/>
  <c r="M162" i="6"/>
  <c r="M328" i="6"/>
  <c r="M127" i="6"/>
  <c r="M451" i="6"/>
  <c r="M282" i="6"/>
  <c r="M347" i="6"/>
  <c r="M307" i="6"/>
  <c r="M69" i="6"/>
  <c r="M442" i="6"/>
  <c r="M440" i="6"/>
  <c r="M371" i="6"/>
  <c r="M226" i="6"/>
  <c r="M186" i="6"/>
  <c r="M528" i="6"/>
  <c r="M616" i="6"/>
  <c r="M164" i="6"/>
  <c r="M33" i="6"/>
  <c r="M425" i="6"/>
  <c r="M305" i="6"/>
  <c r="M635" i="6"/>
  <c r="M265" i="6"/>
  <c r="M624" i="6"/>
  <c r="M171" i="6"/>
  <c r="M609" i="6"/>
  <c r="M383" i="6"/>
  <c r="M165" i="6"/>
  <c r="M276" i="6"/>
  <c r="M16" i="6"/>
  <c r="M518" i="6"/>
  <c r="M309" i="6"/>
  <c r="M263" i="6"/>
  <c r="M138" i="6"/>
  <c r="M281" i="6"/>
  <c r="M362" i="6"/>
  <c r="M13" i="6"/>
  <c r="M42" i="6"/>
  <c r="M146" i="6"/>
  <c r="M342" i="6"/>
  <c r="M650" i="6"/>
  <c r="M687" i="6"/>
  <c r="M130" i="6"/>
  <c r="M148" i="6"/>
  <c r="M397" i="6"/>
  <c r="M525" i="6"/>
  <c r="M640" i="6"/>
  <c r="M213" i="6"/>
  <c r="M345" i="6"/>
  <c r="M679" i="6"/>
  <c r="M183" i="6"/>
  <c r="M242" i="6"/>
  <c r="M453" i="6"/>
  <c r="M252" i="6"/>
  <c r="M496" i="6"/>
  <c r="M278" i="6"/>
  <c r="M648" i="6"/>
  <c r="M182" i="6"/>
  <c r="M606" i="6"/>
  <c r="M555" i="6"/>
  <c r="M667" i="6"/>
  <c r="M210" i="6"/>
  <c r="M684" i="6"/>
  <c r="M470" i="6"/>
  <c r="M561" i="6"/>
  <c r="M619" i="6"/>
  <c r="M361" i="6"/>
  <c r="M523" i="6"/>
  <c r="M540" i="6"/>
  <c r="M623" i="6"/>
  <c r="M161" i="6"/>
  <c r="M430" i="6"/>
  <c r="M317" i="6"/>
  <c r="M584" i="6"/>
  <c r="M250" i="6"/>
  <c r="M38" i="6"/>
  <c r="M306" i="6"/>
  <c r="M286" i="6"/>
  <c r="M427" i="6"/>
  <c r="M293" i="6"/>
  <c r="M399" i="6"/>
  <c r="M476" i="6"/>
  <c r="M669" i="6"/>
  <c r="M414" i="6"/>
  <c r="M86" i="6"/>
  <c r="M308" i="6"/>
  <c r="M150" i="6"/>
  <c r="M381" i="6"/>
  <c r="M270" i="6"/>
  <c r="M577" i="6"/>
  <c r="M596" i="6"/>
  <c r="M411" i="6"/>
  <c r="M230" i="6"/>
  <c r="M324" i="6"/>
  <c r="M570" i="6"/>
  <c r="M702" i="6"/>
  <c r="M41" i="6"/>
  <c r="M97" i="6"/>
  <c r="M227" i="6"/>
  <c r="M248" i="6"/>
  <c r="M467" i="6"/>
  <c r="M699" i="6"/>
  <c r="M658" i="6"/>
  <c r="M336" i="6"/>
  <c r="M364" i="6"/>
  <c r="M236" i="6"/>
  <c r="M354" i="6"/>
  <c r="M304" i="6"/>
  <c r="M273" i="6"/>
  <c r="M71" i="6"/>
  <c r="M489" i="6"/>
  <c r="M436" i="6"/>
  <c r="M592" i="6"/>
  <c r="M492" i="6"/>
  <c r="M234" i="6"/>
  <c r="M707" i="6"/>
  <c r="M675" i="6"/>
  <c r="M538" i="6"/>
  <c r="M494" i="6"/>
  <c r="M471" i="6"/>
  <c r="M649" i="6"/>
  <c r="M93" i="6"/>
  <c r="M330" i="6"/>
  <c r="M340" i="6"/>
  <c r="M696" i="6"/>
  <c r="M316" i="6"/>
  <c r="M360" i="6"/>
  <c r="M312" i="6"/>
  <c r="M600" i="6"/>
  <c r="M390" i="6"/>
  <c r="M310" i="6"/>
  <c r="M634" i="6"/>
  <c r="M384" i="6"/>
  <c r="M403" i="6"/>
  <c r="M237" i="6"/>
  <c r="M303" i="6"/>
  <c r="M327" i="6"/>
  <c r="M126" i="6"/>
  <c r="M220" i="6"/>
  <c r="M472" i="6"/>
  <c r="M53" i="6"/>
  <c r="M530" i="6"/>
  <c r="M393" i="6"/>
  <c r="M188" i="6"/>
  <c r="M209" i="6"/>
  <c r="M216" i="6"/>
  <c r="M550" i="6"/>
  <c r="M662" i="6"/>
  <c r="M663" i="6"/>
  <c r="M260" i="6"/>
  <c r="M212" i="6"/>
  <c r="M134" i="6"/>
  <c r="M261" i="6"/>
  <c r="M698" i="6"/>
  <c r="M535" i="6"/>
  <c r="M166" i="6"/>
  <c r="M443" i="6"/>
  <c r="M379" i="6"/>
  <c r="M61" i="6"/>
  <c r="M701" i="6"/>
  <c r="M36" i="6"/>
  <c r="M557" i="6"/>
  <c r="M193" i="6"/>
  <c r="M266" i="6"/>
  <c r="M65" i="6"/>
  <c r="M519" i="6"/>
  <c r="M70" i="6"/>
  <c r="M169" i="6"/>
  <c r="M267" i="6"/>
  <c r="M622" i="6"/>
  <c r="M611" i="6"/>
  <c r="M103" i="6"/>
  <c r="M474" i="6"/>
  <c r="M479" i="6"/>
  <c r="M401" i="6"/>
  <c r="M539" i="6"/>
  <c r="M350" i="6"/>
  <c r="M153" i="6"/>
  <c r="M455" i="6"/>
  <c r="M34" i="6"/>
  <c r="M680" i="6"/>
  <c r="M104" i="6"/>
  <c r="M128" i="6"/>
  <c r="M114" i="6"/>
  <c r="M507" i="6"/>
  <c r="M423" i="6"/>
  <c r="M407" i="6"/>
  <c r="M681" i="6"/>
  <c r="M21" i="6"/>
  <c r="M124" i="6"/>
  <c r="M225" i="6"/>
  <c r="M672" i="6"/>
  <c r="M184" i="6"/>
  <c r="M37" i="6"/>
  <c r="M44" i="6"/>
  <c r="M618" i="6"/>
  <c r="M655" i="6"/>
  <c r="M454" i="6"/>
  <c r="M198" i="6"/>
  <c r="M318" i="6"/>
  <c r="M464" i="6"/>
  <c r="M370" i="6"/>
  <c r="M224" i="6"/>
  <c r="M688" i="6"/>
  <c r="M504" i="6"/>
  <c r="M405" i="6"/>
  <c r="M356" i="6"/>
  <c r="M413" i="6"/>
  <c r="M700" i="6"/>
  <c r="M47" i="6"/>
  <c r="M251" i="6"/>
  <c r="M222" i="6"/>
  <c r="M459" i="6"/>
  <c r="M121" i="6"/>
  <c r="M643" i="6"/>
  <c r="M89" i="6"/>
  <c r="M545" i="6"/>
  <c r="M214" i="6"/>
  <c r="M145" i="6"/>
  <c r="M112" i="6"/>
  <c r="M602" i="6"/>
  <c r="M544" i="6"/>
  <c r="M180" i="6"/>
  <c r="M346" i="6"/>
  <c r="M118" i="6"/>
  <c r="M322" i="6"/>
  <c r="M656" i="6"/>
  <c r="M72" i="6"/>
  <c r="M229" i="6"/>
  <c r="M512" i="6"/>
  <c r="M185" i="6"/>
  <c r="M344" i="6"/>
  <c r="M329" i="6"/>
  <c r="M94" i="6"/>
  <c r="M488" i="6"/>
  <c r="M343" i="6"/>
  <c r="M35" i="6"/>
  <c r="M437" i="6"/>
  <c r="M254" i="6"/>
  <c r="M297" i="6"/>
  <c r="M398" i="6"/>
  <c r="M564" i="6"/>
  <c r="M402" i="6"/>
  <c r="M693" i="6"/>
  <c r="M501" i="6"/>
  <c r="M604" i="6"/>
  <c r="M83" i="6"/>
  <c r="M43" i="6"/>
  <c r="M478" i="6"/>
  <c r="M156" i="6"/>
  <c r="M657" i="6"/>
  <c r="M568" i="6"/>
  <c r="M502" i="6"/>
  <c r="M578" i="6"/>
  <c r="M531" i="6"/>
  <c r="M515" i="6"/>
  <c r="M62" i="6"/>
  <c r="M524" i="6"/>
  <c r="M58" i="6"/>
  <c r="M510" i="6"/>
  <c r="M446" i="6"/>
  <c r="M190" i="6"/>
  <c r="M551" i="6"/>
  <c r="M469" i="6"/>
  <c r="M131" i="6"/>
  <c r="M547" i="6"/>
  <c r="M51" i="6"/>
  <c r="M240" i="6"/>
  <c r="M26" i="6"/>
  <c r="M66" i="6"/>
  <c r="M142" i="6"/>
  <c r="M352" i="6"/>
  <c r="M665" i="6"/>
  <c r="M174" i="6"/>
  <c r="M419" i="6"/>
  <c r="M374" i="6"/>
  <c r="M201" i="6"/>
  <c r="M295" i="6"/>
  <c r="M311" i="6"/>
  <c r="M705" i="6"/>
  <c r="M560" i="6"/>
  <c r="M695" i="6"/>
  <c r="M378" i="6"/>
  <c r="M125" i="6"/>
  <c r="M644" i="6"/>
  <c r="M287" i="6"/>
  <c r="M422" i="6"/>
  <c r="M516" i="6"/>
  <c r="M452" i="6"/>
  <c r="M686" i="6"/>
  <c r="M576" i="6"/>
  <c r="M690" i="6"/>
  <c r="M461" i="6"/>
  <c r="M168" i="6"/>
  <c r="M661" i="6"/>
  <c r="M132" i="6"/>
  <c r="M395" i="6"/>
  <c r="M91" i="6"/>
  <c r="M368" i="6"/>
  <c r="M409" i="6"/>
  <c r="M117" i="6"/>
  <c r="M27" i="6"/>
  <c r="M500" i="6"/>
  <c r="M355" i="6"/>
  <c r="M676" i="6"/>
  <c r="M499" i="6"/>
  <c r="M200" i="6"/>
  <c r="M460" i="6"/>
  <c r="M526" i="6"/>
  <c r="M279" i="6"/>
  <c r="M111" i="6"/>
  <c r="M73" i="6"/>
  <c r="M221" i="6"/>
  <c r="M80" i="6"/>
  <c r="M96" i="6"/>
  <c r="M245" i="6"/>
  <c r="M573" i="6"/>
  <c r="M417" i="6"/>
  <c r="M704" i="6"/>
  <c r="M495" i="6"/>
  <c r="M673" i="6"/>
  <c r="M703" i="6"/>
  <c r="M491" i="6"/>
  <c r="M155" i="6"/>
  <c r="M23" i="6"/>
  <c r="M462" i="6"/>
  <c r="M439" i="6"/>
  <c r="M105" i="6"/>
  <c r="M632" i="6"/>
  <c r="M566" i="6"/>
  <c r="M593" i="6"/>
  <c r="M580" i="6"/>
  <c r="M259" i="6"/>
  <c r="M603" i="6"/>
  <c r="M285" i="6"/>
  <c r="M475" i="6"/>
  <c r="M243" i="6"/>
  <c r="M382" i="6"/>
  <c r="M677" i="6"/>
  <c r="M366" i="6"/>
  <c r="M408" i="6"/>
  <c r="M14" i="6"/>
  <c r="M424" i="6"/>
  <c r="M283" i="6"/>
  <c r="M482" i="6"/>
  <c r="M394" i="6"/>
  <c r="M301" i="6"/>
  <c r="M575" i="6"/>
  <c r="M204" i="6"/>
  <c r="M435" i="6"/>
  <c r="M19" i="6"/>
  <c r="M264" i="6"/>
  <c r="M196" i="6"/>
  <c r="M228" i="6"/>
  <c r="M445" i="6"/>
  <c r="M332" i="6"/>
  <c r="M119" i="6"/>
  <c r="M646" i="6"/>
  <c r="M143" i="6"/>
  <c r="M556" i="6"/>
  <c r="M79" i="6"/>
  <c r="M141" i="6"/>
  <c r="M239" i="6"/>
  <c r="M353" i="6"/>
  <c r="M615" i="6"/>
  <c r="M610" i="6"/>
  <c r="M59" i="6"/>
  <c r="M626" i="6"/>
  <c r="M625" i="6"/>
  <c r="M493" i="6"/>
  <c r="M60" i="6"/>
  <c r="M113" i="6"/>
  <c r="M553" i="6"/>
  <c r="M249" i="6"/>
  <c r="M511" i="6"/>
  <c r="M22" i="6"/>
  <c r="M520" i="6"/>
  <c r="M321" i="6"/>
  <c r="M689" i="6"/>
  <c r="M629" i="6"/>
  <c r="M294" i="6"/>
  <c r="M659" i="6"/>
  <c r="M521" i="6"/>
  <c r="M120" i="6"/>
  <c r="M107" i="6"/>
  <c r="M508" i="6"/>
  <c r="M406" i="6"/>
  <c r="M532" i="6"/>
  <c r="M386" i="6"/>
  <c r="M299" i="6"/>
  <c r="M45" i="6"/>
  <c r="M583" i="6"/>
  <c r="M369" i="6"/>
  <c r="M149" i="6"/>
  <c r="M588" i="6"/>
  <c r="M456" i="6"/>
  <c r="M620" i="6"/>
  <c r="M30" i="6"/>
  <c r="M505" i="6"/>
  <c r="M434" i="6"/>
  <c r="M74" i="6"/>
  <c r="M595" i="6"/>
  <c r="M388" i="6"/>
  <c r="M483" i="6"/>
  <c r="M608" i="6"/>
  <c r="M571" i="6"/>
  <c r="M272" i="6"/>
  <c r="M641" i="6"/>
  <c r="M565" i="6"/>
  <c r="M302" i="6"/>
  <c r="M480" i="6"/>
  <c r="M581" i="6"/>
  <c r="M548" i="6"/>
  <c r="M68" i="6"/>
  <c r="M313" i="6"/>
  <c r="M534" i="6"/>
  <c r="M429" i="6"/>
  <c r="M487" i="6"/>
  <c r="M257" i="6"/>
  <c r="M481" i="6"/>
  <c r="M367" i="6"/>
  <c r="M670" i="6"/>
  <c r="M463" i="6"/>
  <c r="M678" i="6"/>
  <c r="M197" i="6"/>
  <c r="M20" i="6"/>
  <c r="M244" i="6"/>
  <c r="M179" i="6"/>
  <c r="M630" i="6"/>
  <c r="M300" i="6"/>
  <c r="M333" i="6"/>
  <c r="M129" i="6"/>
  <c r="M359" i="6"/>
  <c r="M598" i="6"/>
  <c r="M594" i="6"/>
  <c r="M232" i="6"/>
  <c r="M152" i="6"/>
  <c r="M477" i="6"/>
  <c r="M289" i="6"/>
  <c r="M637" i="6"/>
  <c r="M323" i="6"/>
  <c r="M46" i="6"/>
  <c r="M506" i="6"/>
  <c r="M621" i="6"/>
  <c r="M315" i="6"/>
  <c r="M258" i="6"/>
  <c r="M207" i="6"/>
  <c r="M484" i="6"/>
  <c r="M18" i="6"/>
  <c r="M31" i="6"/>
  <c r="M231" i="6"/>
  <c r="M458" i="6"/>
  <c r="M170" i="6"/>
  <c r="M636" i="6"/>
  <c r="M691" i="6"/>
  <c r="M326" i="6"/>
  <c r="M133" i="6"/>
  <c r="M642" i="6"/>
  <c r="M28" i="6"/>
  <c r="M490" i="6"/>
  <c r="M418" i="6"/>
  <c r="M50" i="6"/>
  <c r="M638" i="6"/>
  <c r="M192" i="6"/>
  <c r="M375" i="6"/>
  <c r="M296" i="6"/>
  <c r="M81" i="6"/>
  <c r="M365" i="6"/>
  <c r="M218" i="6"/>
  <c r="M256" i="6"/>
  <c r="M191" i="6"/>
  <c r="M559" i="6"/>
  <c r="M585" i="6"/>
  <c r="M348" i="6"/>
  <c r="M215" i="6"/>
  <c r="M314" i="6"/>
  <c r="M404" i="6"/>
  <c r="M396" i="6"/>
  <c r="M694" i="6"/>
  <c r="M55" i="6"/>
  <c r="M349" i="6"/>
  <c r="M205" i="6"/>
  <c r="M450" i="6"/>
  <c r="M54" i="6"/>
  <c r="M529" i="6"/>
  <c r="M391" i="6"/>
  <c r="M211" i="6"/>
  <c r="M380" i="6"/>
  <c r="M377" i="6"/>
  <c r="M449" i="6"/>
  <c r="M29" i="6"/>
  <c r="M154" i="6"/>
  <c r="M653" i="6"/>
  <c r="M67" i="6"/>
  <c r="M692" i="6"/>
  <c r="M49" i="6"/>
  <c r="M473" i="6"/>
  <c r="M513" i="6"/>
  <c r="M589" i="6"/>
  <c r="M614" i="6"/>
  <c r="M660" i="6"/>
  <c r="M255" i="6"/>
  <c r="M160" i="6"/>
  <c r="M628" i="6"/>
  <c r="M431" i="6"/>
  <c r="M537" i="6"/>
  <c r="M432" i="6"/>
  <c r="M335" i="6"/>
  <c r="M140" i="6"/>
  <c r="M292" i="6"/>
  <c r="M75" i="6"/>
  <c r="M664" i="6"/>
  <c r="M582" i="6"/>
  <c r="M601" i="6"/>
  <c r="M151" i="6"/>
  <c r="M562" i="6"/>
  <c r="M147" i="6"/>
  <c r="M697" i="6"/>
  <c r="M56" i="6"/>
  <c r="M412" i="6"/>
  <c r="M633" i="6"/>
  <c r="M671" i="6"/>
  <c r="M685" i="6"/>
  <c r="M76" i="6"/>
  <c r="M597" i="6"/>
  <c r="M554" i="6"/>
  <c r="M122" i="6"/>
  <c r="M599" i="6"/>
  <c r="M552" i="6"/>
  <c r="M448" i="6"/>
  <c r="M652" i="6"/>
  <c r="M433" i="6"/>
  <c r="M612" i="6"/>
  <c r="M546" i="6"/>
  <c r="M416" i="6"/>
  <c r="M674" i="6"/>
  <c r="M298" i="6"/>
  <c r="M64" i="6"/>
  <c r="M320" i="6"/>
  <c r="M88" i="6"/>
  <c r="M410" i="6"/>
  <c r="M219" i="6"/>
  <c r="M647" i="6"/>
  <c r="M363" i="6"/>
  <c r="M10" i="6"/>
  <c r="M63" i="6"/>
  <c r="M274" i="6"/>
  <c r="M579" i="6"/>
  <c r="M291" i="6"/>
  <c r="M617" i="6"/>
  <c r="M277" i="6"/>
  <c r="M173" i="6"/>
  <c r="M178" i="6"/>
  <c r="M503" i="6"/>
  <c r="M32" i="6"/>
  <c r="M485" i="6"/>
  <c r="M549" i="6"/>
  <c r="M541" i="6"/>
  <c r="M271" i="6"/>
  <c r="M358" i="6"/>
  <c r="M238" i="6"/>
  <c r="M645" i="6"/>
  <c r="M223" i="6"/>
  <c r="M159" i="6"/>
  <c r="M206" i="6"/>
  <c r="M262" i="6"/>
  <c r="M668" i="6"/>
  <c r="M639" i="6"/>
  <c r="M373" i="6"/>
  <c r="M605" i="6"/>
  <c r="M514" i="6"/>
  <c r="M683" i="6"/>
  <c r="M426" i="6"/>
  <c r="M497" i="6"/>
  <c r="M109" i="6"/>
  <c r="M115" i="6"/>
  <c r="M57" i="6"/>
  <c r="M569" i="6"/>
  <c r="M438" i="6"/>
  <c r="M654" i="6"/>
  <c r="M682" i="6"/>
  <c r="M572" i="6"/>
  <c r="M247" i="6"/>
  <c r="M90" i="6"/>
  <c r="M607" i="6"/>
  <c r="M24" i="6"/>
  <c r="M387" i="6"/>
  <c r="M357" i="6"/>
  <c r="M158" i="6"/>
  <c r="M177" i="6"/>
  <c r="M543" i="6"/>
  <c r="M15" i="6"/>
  <c r="M163" i="6"/>
  <c r="M319" i="6"/>
  <c r="M522" i="6"/>
  <c r="M421" i="6"/>
  <c r="M392" i="6"/>
  <c r="M12" i="6"/>
  <c r="M486" i="6"/>
  <c r="M509" i="6"/>
  <c r="M586" i="6"/>
  <c r="M567" i="6"/>
  <c r="M517" i="6"/>
  <c r="M415" i="6"/>
  <c r="M181" i="6"/>
  <c r="M376" i="6"/>
  <c r="M574" i="6"/>
  <c r="M457" i="6"/>
  <c r="M466" i="6"/>
  <c r="M85" i="6"/>
  <c r="M533" i="6"/>
  <c r="M144" i="6"/>
  <c r="M187" i="6"/>
  <c r="AI22" i="5" l="1"/>
  <c r="AH22" i="5"/>
  <c r="AG22" i="5"/>
  <c r="AF22" i="5"/>
  <c r="AE22" i="5"/>
  <c r="X22" i="5"/>
  <c r="W22" i="5"/>
  <c r="V22" i="5"/>
  <c r="U22" i="5"/>
  <c r="O22" i="5"/>
  <c r="N22" i="5"/>
  <c r="M22" i="5"/>
  <c r="H22" i="5" l="1"/>
  <c r="AL22" i="5"/>
  <c r="AM22" i="5" s="1"/>
  <c r="AK22" i="5" l="1"/>
  <c r="Z240" i="6" l="1"/>
  <c r="AM240" i="6" s="1"/>
  <c r="Y240" i="6"/>
  <c r="AL240" i="6" s="1"/>
  <c r="AA267" i="6"/>
  <c r="AN267" i="6" s="1"/>
  <c r="Z267" i="6"/>
  <c r="AM267" i="6" s="1"/>
  <c r="Y13" i="6"/>
  <c r="AL13" i="6" s="1"/>
  <c r="AN107" i="6"/>
  <c r="AN32" i="6"/>
  <c r="AL542" i="6"/>
  <c r="AM626" i="6"/>
  <c r="Z387" i="6"/>
  <c r="AM387" i="6" s="1"/>
  <c r="AL633" i="6"/>
  <c r="AM629" i="6"/>
  <c r="Z375" i="6"/>
  <c r="AM375" i="6" s="1"/>
  <c r="AN535" i="6"/>
  <c r="P375" i="6"/>
  <c r="AL573" i="6"/>
  <c r="AL537" i="6"/>
  <c r="AN625" i="6"/>
  <c r="Y325" i="6"/>
  <c r="AL325" i="6" s="1"/>
  <c r="AM545" i="6"/>
  <c r="AA323" i="6"/>
  <c r="AN323" i="6" s="1"/>
  <c r="P387" i="6"/>
  <c r="AN277" i="6"/>
  <c r="AN557" i="6"/>
  <c r="AN66" i="6"/>
  <c r="Q571" i="6"/>
  <c r="AN627" i="6"/>
  <c r="AM537" i="6"/>
  <c r="AA394" i="6"/>
  <c r="AN394" i="6" s="1"/>
  <c r="AM630" i="6"/>
  <c r="AA409" i="6"/>
  <c r="AN409" i="6" s="1"/>
  <c r="AM632" i="6"/>
  <c r="Z140" i="6"/>
  <c r="AM140" i="6" s="1"/>
  <c r="AM543" i="6"/>
  <c r="AL572" i="6"/>
  <c r="AA192" i="6"/>
  <c r="AN192" i="6" s="1"/>
  <c r="Z188" i="6"/>
  <c r="AM188" i="6" s="1"/>
  <c r="AL544" i="6"/>
  <c r="Z398" i="6"/>
  <c r="AM398" i="6" s="1"/>
  <c r="O201" i="6"/>
  <c r="AL545" i="6"/>
  <c r="AN147" i="6"/>
  <c r="AN578" i="6"/>
  <c r="Z326" i="6"/>
  <c r="AM326" i="6" s="1"/>
  <c r="AL327" i="6"/>
  <c r="AM567" i="6"/>
  <c r="AM277" i="6"/>
  <c r="P32" i="6"/>
  <c r="P188" i="6"/>
  <c r="AN543" i="6"/>
  <c r="AM544" i="6"/>
  <c r="Y374" i="6"/>
  <c r="AL374" i="6" s="1"/>
  <c r="P29" i="6"/>
  <c r="Q581" i="6"/>
  <c r="Y324" i="6"/>
  <c r="AL324" i="6" s="1"/>
  <c r="AM563" i="6"/>
  <c r="AA196" i="6"/>
  <c r="AN196" i="6" s="1"/>
  <c r="AA302" i="6"/>
  <c r="AN302" i="6" s="1"/>
  <c r="Z364" i="6"/>
  <c r="AM364" i="6" s="1"/>
  <c r="AL574" i="6"/>
  <c r="AM89" i="6"/>
  <c r="Q404" i="6"/>
  <c r="P631" i="6"/>
  <c r="AM570" i="6"/>
  <c r="AL626" i="6"/>
  <c r="Y189" i="6"/>
  <c r="AL189" i="6" s="1"/>
  <c r="AA368" i="6"/>
  <c r="AN368" i="6" s="1"/>
  <c r="AN545" i="6"/>
  <c r="AL624" i="6"/>
  <c r="P201" i="6"/>
  <c r="Z370" i="6"/>
  <c r="AM370" i="6" s="1"/>
  <c r="AM327" i="6"/>
  <c r="Q394" i="6"/>
  <c r="Y131" i="6"/>
  <c r="AL131" i="6" s="1"/>
  <c r="AA86" i="6"/>
  <c r="AN86" i="6" s="1"/>
  <c r="Z271" i="6"/>
  <c r="AM271" i="6" s="1"/>
  <c r="Q409" i="6"/>
  <c r="O14" i="6"/>
  <c r="AM625" i="6"/>
  <c r="Z323" i="6"/>
  <c r="AM323" i="6" s="1"/>
  <c r="Y196" i="6"/>
  <c r="AL196" i="6" s="1"/>
  <c r="Z86" i="6"/>
  <c r="AM86" i="6" s="1"/>
  <c r="O133" i="6"/>
  <c r="AL625" i="6"/>
  <c r="AM633" i="6"/>
  <c r="O131" i="6"/>
  <c r="AN45" i="6"/>
  <c r="AA315" i="6"/>
  <c r="AN315" i="6" s="1"/>
  <c r="AL628" i="6"/>
  <c r="P189" i="6"/>
  <c r="O572" i="6"/>
  <c r="P393" i="6"/>
  <c r="BF393" i="6" s="1"/>
  <c r="O16" i="6"/>
  <c r="Q241" i="6"/>
  <c r="AN559" i="6"/>
  <c r="P269" i="6"/>
  <c r="AA70" i="6"/>
  <c r="AN70" i="6" s="1"/>
  <c r="AN581" i="6"/>
  <c r="O205" i="6"/>
  <c r="AA20" i="6"/>
  <c r="AN20" i="6" s="1"/>
  <c r="AL632" i="6"/>
  <c r="AM231" i="6"/>
  <c r="AA116" i="6"/>
  <c r="AN116" i="6" s="1"/>
  <c r="Y140" i="6"/>
  <c r="AL140" i="6" s="1"/>
  <c r="AL629" i="6"/>
  <c r="Z385" i="6"/>
  <c r="AM385" i="6" s="1"/>
  <c r="P630" i="6"/>
  <c r="Q303" i="6"/>
  <c r="P401" i="6"/>
  <c r="Q315" i="6"/>
  <c r="O574" i="6"/>
  <c r="P132" i="6"/>
  <c r="BF132" i="6" s="1"/>
  <c r="AN561" i="6"/>
  <c r="Y14" i="6"/>
  <c r="AL14" i="6" s="1"/>
  <c r="Z129" i="6"/>
  <c r="AM129" i="6" s="1"/>
  <c r="Z352" i="6"/>
  <c r="AM352" i="6" s="1"/>
  <c r="AA197" i="6"/>
  <c r="AN197" i="6" s="1"/>
  <c r="AM29" i="6"/>
  <c r="AM631" i="6"/>
  <c r="P386" i="6"/>
  <c r="Q70" i="6"/>
  <c r="BL70" i="6" s="1"/>
  <c r="P377" i="6"/>
  <c r="AM557" i="6"/>
  <c r="O624" i="6"/>
  <c r="O236" i="6"/>
  <c r="AZ236" i="6" s="1"/>
  <c r="Q302" i="6"/>
  <c r="AN204" i="6"/>
  <c r="Y361" i="6"/>
  <c r="AL361" i="6" s="1"/>
  <c r="Q177" i="6"/>
  <c r="AA153" i="6"/>
  <c r="AN153" i="6" s="1"/>
  <c r="P81" i="6"/>
  <c r="BF81" i="6" s="1"/>
  <c r="AA35" i="6"/>
  <c r="AN35" i="6" s="1"/>
  <c r="AA98" i="6"/>
  <c r="AN98" i="6" s="1"/>
  <c r="Q236" i="6"/>
  <c r="BL236" i="6" s="1"/>
  <c r="P89" i="6"/>
  <c r="AL108" i="6"/>
  <c r="O210" i="6"/>
  <c r="AL277" i="6"/>
  <c r="Y419" i="6"/>
  <c r="AL419" i="6" s="1"/>
  <c r="Z367" i="6"/>
  <c r="AM367" i="6" s="1"/>
  <c r="Z189" i="6"/>
  <c r="AM189" i="6" s="1"/>
  <c r="Q55" i="6"/>
  <c r="AL231" i="6"/>
  <c r="AL32" i="6"/>
  <c r="O185" i="6"/>
  <c r="P406" i="6"/>
  <c r="O383" i="6"/>
  <c r="AM535" i="6"/>
  <c r="Q170" i="6"/>
  <c r="AN628" i="6"/>
  <c r="Y10" i="6"/>
  <c r="AL10" i="6" s="1"/>
  <c r="Q365" i="6"/>
  <c r="AN84" i="6"/>
  <c r="Z185" i="6"/>
  <c r="AM185" i="6" s="1"/>
  <c r="Z26" i="6"/>
  <c r="AM26" i="6" s="1"/>
  <c r="AM581" i="6"/>
  <c r="Y15" i="6"/>
  <c r="AL15" i="6" s="1"/>
  <c r="Z83" i="6"/>
  <c r="AM83" i="6" s="1"/>
  <c r="P154" i="6"/>
  <c r="P399" i="6"/>
  <c r="Y311" i="6"/>
  <c r="AL311" i="6" s="1"/>
  <c r="Q563" i="6"/>
  <c r="O212" i="6"/>
  <c r="AA352" i="6"/>
  <c r="AN352" i="6" s="1"/>
  <c r="O211" i="6"/>
  <c r="Z312" i="6"/>
  <c r="AM312" i="6" s="1"/>
  <c r="O32" i="6"/>
  <c r="O145" i="6"/>
  <c r="Z37" i="6"/>
  <c r="AM37" i="6" s="1"/>
  <c r="O570" i="6"/>
  <c r="P343" i="6"/>
  <c r="BF343" i="6" s="1"/>
  <c r="Z172" i="6"/>
  <c r="AM172" i="6" s="1"/>
  <c r="AA416" i="6"/>
  <c r="AN416" i="6" s="1"/>
  <c r="AL540" i="6"/>
  <c r="AM296" i="6"/>
  <c r="AL127" i="6"/>
  <c r="AA269" i="6"/>
  <c r="AN269" i="6" s="1"/>
  <c r="O397" i="6"/>
  <c r="Z394" i="6"/>
  <c r="AM394" i="6" s="1"/>
  <c r="P58" i="6"/>
  <c r="Y398" i="6"/>
  <c r="AL398" i="6" s="1"/>
  <c r="Z16" i="6"/>
  <c r="AM16" i="6" s="1"/>
  <c r="AA350" i="6"/>
  <c r="AN350" i="6" s="1"/>
  <c r="Z260" i="6"/>
  <c r="AM260" i="6" s="1"/>
  <c r="P390" i="6"/>
  <c r="AM179" i="6"/>
  <c r="AA140" i="6"/>
  <c r="AN140" i="6" s="1"/>
  <c r="AA190" i="6"/>
  <c r="AN190" i="6" s="1"/>
  <c r="Y314" i="6"/>
  <c r="AL314" i="6" s="1"/>
  <c r="Q306" i="6"/>
  <c r="AL84" i="6"/>
  <c r="P371" i="6"/>
  <c r="AN568" i="6"/>
  <c r="Z217" i="6"/>
  <c r="AM217" i="6" s="1"/>
  <c r="Q228" i="6"/>
  <c r="P362" i="6"/>
  <c r="Y228" i="6"/>
  <c r="AL228" i="6" s="1"/>
  <c r="Q344" i="6"/>
  <c r="P116" i="6"/>
  <c r="AM624" i="6"/>
  <c r="Z380" i="6"/>
  <c r="AM380" i="6" s="1"/>
  <c r="Y201" i="6"/>
  <c r="AL201" i="6" s="1"/>
  <c r="AL631" i="6"/>
  <c r="Q371" i="6"/>
  <c r="AN626" i="6"/>
  <c r="AA311" i="6"/>
  <c r="AN311" i="6" s="1"/>
  <c r="O569" i="6"/>
  <c r="O114" i="6"/>
  <c r="Y245" i="6"/>
  <c r="AL245" i="6" s="1"/>
  <c r="P172" i="6"/>
  <c r="O581" i="6"/>
  <c r="O10" i="6"/>
  <c r="AA372" i="6"/>
  <c r="AN372" i="6" s="1"/>
  <c r="AA12" i="6"/>
  <c r="AN12" i="6" s="1"/>
  <c r="AA353" i="6"/>
  <c r="AN353" i="6" s="1"/>
  <c r="Y410" i="6"/>
  <c r="AL410" i="6" s="1"/>
  <c r="Y192" i="6"/>
  <c r="AL192" i="6" s="1"/>
  <c r="Q154" i="6"/>
  <c r="P581" i="6"/>
  <c r="AA326" i="6"/>
  <c r="AN326" i="6" s="1"/>
  <c r="Y110" i="6"/>
  <c r="AL110" i="6" s="1"/>
  <c r="Q354" i="6"/>
  <c r="Y164" i="6"/>
  <c r="AL164" i="6" s="1"/>
  <c r="Z212" i="6"/>
  <c r="AM212" i="6" s="1"/>
  <c r="AL535" i="6"/>
  <c r="Q419" i="6"/>
  <c r="P567" i="6"/>
  <c r="AN544" i="6"/>
  <c r="O417" i="6"/>
  <c r="AM575" i="6"/>
  <c r="Z175" i="6"/>
  <c r="AM175" i="6" s="1"/>
  <c r="AL117" i="6"/>
  <c r="Y345" i="6"/>
  <c r="AL345" i="6" s="1"/>
  <c r="Q308" i="6"/>
  <c r="AA38" i="6"/>
  <c r="AN38" i="6" s="1"/>
  <c r="AN161" i="6"/>
  <c r="Z261" i="6"/>
  <c r="AM261" i="6" s="1"/>
  <c r="O346" i="6"/>
  <c r="AZ346" i="6" s="1"/>
  <c r="AM566" i="6"/>
  <c r="Z196" i="6"/>
  <c r="AM196" i="6" s="1"/>
  <c r="P260" i="6"/>
  <c r="Y249" i="6"/>
  <c r="AL249" i="6" s="1"/>
  <c r="AA146" i="6"/>
  <c r="AN146" i="6" s="1"/>
  <c r="Q168" i="6"/>
  <c r="Y323" i="6"/>
  <c r="AL323" i="6" s="1"/>
  <c r="AM558" i="6"/>
  <c r="Y35" i="6"/>
  <c r="AL35" i="6" s="1"/>
  <c r="P561" i="6"/>
  <c r="AA167" i="6"/>
  <c r="AN167" i="6" s="1"/>
  <c r="Z201" i="6"/>
  <c r="AM201" i="6" s="1"/>
  <c r="Z191" i="6"/>
  <c r="AM191" i="6" s="1"/>
  <c r="P305" i="6"/>
  <c r="AL147" i="6"/>
  <c r="Z406" i="6"/>
  <c r="AM406" i="6" s="1"/>
  <c r="Q245" i="6"/>
  <c r="Y90" i="6"/>
  <c r="AL90" i="6" s="1"/>
  <c r="Z319" i="6"/>
  <c r="AM319" i="6" s="1"/>
  <c r="Y383" i="6"/>
  <c r="AL383" i="6" s="1"/>
  <c r="AA345" i="6"/>
  <c r="AN345" i="6" s="1"/>
  <c r="AN117" i="6"/>
  <c r="AM147" i="6"/>
  <c r="P412" i="6"/>
  <c r="AN631" i="6"/>
  <c r="AN547" i="6"/>
  <c r="AN551" i="6"/>
  <c r="Z351" i="6"/>
  <c r="AM351" i="6" s="1"/>
  <c r="O192" i="6"/>
  <c r="Q421" i="6"/>
  <c r="Z371" i="6"/>
  <c r="AM371" i="6" s="1"/>
  <c r="Z413" i="6"/>
  <c r="AM413" i="6" s="1"/>
  <c r="Y86" i="6"/>
  <c r="AL86" i="6" s="1"/>
  <c r="Z154" i="6"/>
  <c r="AM154" i="6" s="1"/>
  <c r="AA313" i="6"/>
  <c r="AN313" i="6" s="1"/>
  <c r="Q568" i="6"/>
  <c r="AM95" i="6"/>
  <c r="Q175" i="6"/>
  <c r="AL536" i="6"/>
  <c r="AM542" i="6"/>
  <c r="Y190" i="6"/>
  <c r="AL190" i="6" s="1"/>
  <c r="AA344" i="6"/>
  <c r="AN344" i="6" s="1"/>
  <c r="Z304" i="6"/>
  <c r="AM304" i="6" s="1"/>
  <c r="AN251" i="6"/>
  <c r="O43" i="6"/>
  <c r="AZ43" i="6" s="1"/>
  <c r="Y414" i="6"/>
  <c r="AL414" i="6" s="1"/>
  <c r="AM548" i="6"/>
  <c r="P411" i="6"/>
  <c r="Y319" i="6"/>
  <c r="AL319" i="6" s="1"/>
  <c r="Y145" i="6"/>
  <c r="AL145" i="6" s="1"/>
  <c r="Z291" i="6"/>
  <c r="AM291" i="6" s="1"/>
  <c r="Q291" i="6"/>
  <c r="AA99" i="6"/>
  <c r="AN99" i="6" s="1"/>
  <c r="P261" i="6"/>
  <c r="AL578" i="6"/>
  <c r="Y407" i="6"/>
  <c r="AL407" i="6" s="1"/>
  <c r="Q12" i="6"/>
  <c r="P394" i="6"/>
  <c r="P185" i="6"/>
  <c r="O398" i="6"/>
  <c r="AA262" i="6"/>
  <c r="AN262" i="6" s="1"/>
  <c r="AM536" i="6"/>
  <c r="AM541" i="6"/>
  <c r="AA421" i="6"/>
  <c r="AN421" i="6" s="1"/>
  <c r="Y413" i="6"/>
  <c r="AL413" i="6" s="1"/>
  <c r="AM107" i="6"/>
  <c r="P311" i="6"/>
  <c r="AA321" i="6"/>
  <c r="AN321" i="6" s="1"/>
  <c r="AM552" i="6"/>
  <c r="Y362" i="6"/>
  <c r="AL362" i="6" s="1"/>
  <c r="Q313" i="6"/>
  <c r="Y129" i="6"/>
  <c r="AL129" i="6" s="1"/>
  <c r="AM66" i="6"/>
  <c r="Q572" i="6"/>
  <c r="Z349" i="6"/>
  <c r="AM349" i="6" s="1"/>
  <c r="O164" i="6"/>
  <c r="Z116" i="6"/>
  <c r="AM116" i="6" s="1"/>
  <c r="AL627" i="6"/>
  <c r="Q132" i="6"/>
  <c r="BL132" i="6" s="1"/>
  <c r="Q201" i="6"/>
  <c r="AA415" i="6"/>
  <c r="AN415" i="6" s="1"/>
  <c r="AA148" i="6"/>
  <c r="AN148" i="6" s="1"/>
  <c r="Y156" i="6"/>
  <c r="AL156" i="6" s="1"/>
  <c r="AA271" i="6"/>
  <c r="AN271" i="6" s="1"/>
  <c r="P277" i="6"/>
  <c r="BF277" i="6" s="1"/>
  <c r="O134" i="6"/>
  <c r="Z401" i="6"/>
  <c r="AM401" i="6" s="1"/>
  <c r="AM32" i="6"/>
  <c r="AL552" i="6"/>
  <c r="AL251" i="6"/>
  <c r="P575" i="6"/>
  <c r="O231" i="6"/>
  <c r="Z366" i="6"/>
  <c r="AM366" i="6" s="1"/>
  <c r="Y85" i="6"/>
  <c r="AL85" i="6" s="1"/>
  <c r="P198" i="6"/>
  <c r="AA418" i="6"/>
  <c r="AN418" i="6" s="1"/>
  <c r="P158" i="6"/>
  <c r="P291" i="6"/>
  <c r="AA291" i="6"/>
  <c r="AN291" i="6" s="1"/>
  <c r="Q99" i="6"/>
  <c r="O127" i="6"/>
  <c r="O407" i="6"/>
  <c r="Y397" i="6"/>
  <c r="AL397" i="6" s="1"/>
  <c r="Z313" i="6"/>
  <c r="AM313" i="6" s="1"/>
  <c r="O119" i="6"/>
  <c r="P16" i="6"/>
  <c r="Z390" i="6"/>
  <c r="AM390" i="6" s="1"/>
  <c r="Q262" i="6"/>
  <c r="AA154" i="6"/>
  <c r="AN154" i="6" s="1"/>
  <c r="AN327" i="6"/>
  <c r="O197" i="6"/>
  <c r="AM628" i="6"/>
  <c r="AA189" i="6"/>
  <c r="AN189" i="6" s="1"/>
  <c r="Z241" i="6"/>
  <c r="AM241" i="6" s="1"/>
  <c r="AN541" i="6"/>
  <c r="P413" i="6"/>
  <c r="O362" i="6"/>
  <c r="AM627" i="6"/>
  <c r="AA168" i="6"/>
  <c r="AN168" i="6" s="1"/>
  <c r="AA228" i="6"/>
  <c r="AN228" i="6" s="1"/>
  <c r="Q408" i="6"/>
  <c r="AA312" i="6"/>
  <c r="AN312" i="6" s="1"/>
  <c r="Y389" i="6"/>
  <c r="AL389" i="6" s="1"/>
  <c r="AA112" i="6"/>
  <c r="AN112" i="6" s="1"/>
  <c r="Z399" i="6"/>
  <c r="AM399" i="6" s="1"/>
  <c r="Y212" i="6"/>
  <c r="AL212" i="6" s="1"/>
  <c r="AN542" i="6"/>
  <c r="AM561" i="6"/>
  <c r="Q148" i="6"/>
  <c r="AN127" i="6"/>
  <c r="O390" i="6"/>
  <c r="Z298" i="6"/>
  <c r="AM298" i="6" s="1"/>
  <c r="AL538" i="6"/>
  <c r="Q118" i="6"/>
  <c r="P580" i="6"/>
  <c r="Y168" i="6"/>
  <c r="AL168" i="6" s="1"/>
  <c r="Z21" i="6"/>
  <c r="AM21" i="6" s="1"/>
  <c r="O158" i="6"/>
  <c r="O85" i="6"/>
  <c r="AA308" i="6"/>
  <c r="AN308" i="6" s="1"/>
  <c r="AM84" i="6"/>
  <c r="AL570" i="6"/>
  <c r="AA170" i="6"/>
  <c r="AN170" i="6" s="1"/>
  <c r="Y394" i="6"/>
  <c r="AL394" i="6" s="1"/>
  <c r="O578" i="6"/>
  <c r="AA355" i="6"/>
  <c r="AN355" i="6" s="1"/>
  <c r="P566" i="6"/>
  <c r="P313" i="6"/>
  <c r="O565" i="6"/>
  <c r="Q227" i="6"/>
  <c r="BL227" i="6" s="1"/>
  <c r="AM301" i="6"/>
  <c r="O58" i="6"/>
  <c r="P146" i="6"/>
  <c r="Q582" i="6"/>
  <c r="O249" i="6"/>
  <c r="AA212" i="6"/>
  <c r="AN212" i="6" s="1"/>
  <c r="O690" i="6"/>
  <c r="AZ690" i="6" s="1"/>
  <c r="AN577" i="6"/>
  <c r="P95" i="6"/>
  <c r="Y368" i="6"/>
  <c r="AL368" i="6" s="1"/>
  <c r="AA359" i="6"/>
  <c r="AN359" i="6" s="1"/>
  <c r="O409" i="6"/>
  <c r="Q415" i="6"/>
  <c r="AN537" i="6"/>
  <c r="Z249" i="6"/>
  <c r="AM249" i="6" s="1"/>
  <c r="P151" i="6"/>
  <c r="AN60" i="6"/>
  <c r="Q367" i="6"/>
  <c r="Z38" i="6"/>
  <c r="AM38" i="6" s="1"/>
  <c r="P314" i="6"/>
  <c r="AN574" i="6"/>
  <c r="AA324" i="6"/>
  <c r="AN324" i="6" s="1"/>
  <c r="AA224" i="6"/>
  <c r="AN224" i="6" s="1"/>
  <c r="AL630" i="6"/>
  <c r="O567" i="6"/>
  <c r="Q630" i="6"/>
  <c r="P304" i="6"/>
  <c r="Y388" i="6"/>
  <c r="AL388" i="6" s="1"/>
  <c r="Q392" i="6"/>
  <c r="AN633" i="6"/>
  <c r="AN632" i="6"/>
  <c r="Q210" i="6"/>
  <c r="AL543" i="6"/>
  <c r="P564" i="6"/>
  <c r="Q131" i="6"/>
  <c r="Q60" i="6"/>
  <c r="Z357" i="6"/>
  <c r="AM357" i="6" s="1"/>
  <c r="Z324" i="6"/>
  <c r="AM324" i="6" s="1"/>
  <c r="AA417" i="6"/>
  <c r="AN417" i="6" s="1"/>
  <c r="P38" i="6"/>
  <c r="Y317" i="6"/>
  <c r="AL317" i="6" s="1"/>
  <c r="AN630" i="6"/>
  <c r="AM564" i="6"/>
  <c r="Z373" i="6"/>
  <c r="AM373" i="6" s="1"/>
  <c r="Z389" i="6"/>
  <c r="AM389" i="6" s="1"/>
  <c r="AA367" i="6"/>
  <c r="AN367" i="6" s="1"/>
  <c r="Z242" i="6"/>
  <c r="AM242" i="6" s="1"/>
  <c r="Q167" i="6"/>
  <c r="Q270" i="6"/>
  <c r="P249" i="6"/>
  <c r="Z151" i="6"/>
  <c r="AM151" i="6" s="1"/>
  <c r="Y83" i="6"/>
  <c r="AL83" i="6" s="1"/>
  <c r="Z314" i="6"/>
  <c r="AM314" i="6" s="1"/>
  <c r="Z302" i="6"/>
  <c r="AM302" i="6" s="1"/>
  <c r="AA309" i="6"/>
  <c r="AN309" i="6" s="1"/>
  <c r="AL55" i="6"/>
  <c r="Q633" i="6"/>
  <c r="AN554" i="6"/>
  <c r="O381" i="6"/>
  <c r="O306" i="6"/>
  <c r="AN629" i="6"/>
  <c r="P389" i="6"/>
  <c r="Q417" i="6"/>
  <c r="Q356" i="6"/>
  <c r="AL548" i="6"/>
  <c r="AL557" i="6"/>
  <c r="AA131" i="6"/>
  <c r="AN131" i="6" s="1"/>
  <c r="Z381" i="6"/>
  <c r="AM381" i="6" s="1"/>
  <c r="AL546" i="6"/>
  <c r="O83" i="6"/>
  <c r="AA392" i="6"/>
  <c r="AN392" i="6" s="1"/>
  <c r="O55" i="6"/>
  <c r="AN138" i="6"/>
  <c r="AM138" i="6"/>
  <c r="AL138" i="6"/>
  <c r="AN646" i="6"/>
  <c r="AN647" i="6"/>
  <c r="AL646" i="6"/>
  <c r="AM646" i="6"/>
  <c r="Q648" i="6"/>
  <c r="AM647" i="6"/>
  <c r="AL647" i="6"/>
  <c r="AN648" i="6"/>
  <c r="AL648" i="6"/>
  <c r="AN650" i="6"/>
  <c r="AM648" i="6"/>
  <c r="AN649" i="6"/>
  <c r="AL649" i="6"/>
  <c r="AM649" i="6"/>
  <c r="AN651" i="6"/>
  <c r="AM650" i="6"/>
  <c r="AL650" i="6"/>
  <c r="P651" i="6"/>
  <c r="AM651" i="6"/>
  <c r="AN652" i="6"/>
  <c r="AL651" i="6"/>
  <c r="AL652" i="6"/>
  <c r="AM652" i="6"/>
  <c r="AN681" i="6"/>
  <c r="AN682" i="6"/>
  <c r="P681" i="6"/>
  <c r="AL681" i="6"/>
  <c r="AM681" i="6"/>
  <c r="O682" i="6"/>
  <c r="AM682" i="6"/>
  <c r="AL683" i="6"/>
  <c r="AL682" i="6"/>
  <c r="P682" i="6"/>
  <c r="AN683" i="6"/>
  <c r="AN684" i="6"/>
  <c r="AM683" i="6"/>
  <c r="AL685" i="6"/>
  <c r="AM684" i="6"/>
  <c r="AN685" i="6"/>
  <c r="P684" i="6"/>
  <c r="AL684" i="6"/>
  <c r="O685" i="6"/>
  <c r="P685" i="6"/>
  <c r="AN686" i="6"/>
  <c r="Q686" i="6"/>
  <c r="AM685" i="6"/>
  <c r="AL686" i="6"/>
  <c r="AN171" i="6"/>
  <c r="O686" i="6"/>
  <c r="Q171" i="6"/>
  <c r="AM686" i="6"/>
  <c r="O171" i="6"/>
  <c r="AM171" i="6"/>
  <c r="P171" i="6"/>
  <c r="AL171" i="6"/>
  <c r="Q687" i="6"/>
  <c r="BL687" i="6" s="1"/>
  <c r="O687" i="6"/>
  <c r="AZ687" i="6" s="1"/>
  <c r="P687" i="6"/>
  <c r="BF687" i="6" s="1"/>
  <c r="Z601" i="6"/>
  <c r="AM601" i="6" s="1"/>
  <c r="AA618" i="6"/>
  <c r="AN618" i="6" s="1"/>
  <c r="AA49" i="6"/>
  <c r="AN49" i="6" s="1"/>
  <c r="Q618" i="6"/>
  <c r="Q49" i="6"/>
  <c r="Z618" i="6"/>
  <c r="AM618" i="6" s="1"/>
  <c r="O618" i="6"/>
  <c r="P618" i="6"/>
  <c r="Y618" i="6"/>
  <c r="AL618" i="6" s="1"/>
  <c r="Y49" i="6"/>
  <c r="AL49" i="6" s="1"/>
  <c r="P49" i="6"/>
  <c r="Q619" i="6"/>
  <c r="O49" i="6"/>
  <c r="AA619" i="6"/>
  <c r="AN619" i="6" s="1"/>
  <c r="Z49" i="6"/>
  <c r="AM49" i="6" s="1"/>
  <c r="Y619" i="6"/>
  <c r="AL619" i="6" s="1"/>
  <c r="Q174" i="6"/>
  <c r="Z619" i="6"/>
  <c r="AM619" i="6" s="1"/>
  <c r="O619" i="6"/>
  <c r="AA174" i="6"/>
  <c r="AN174" i="6" s="1"/>
  <c r="P619" i="6"/>
  <c r="Y174" i="6"/>
  <c r="AL174" i="6" s="1"/>
  <c r="Q218" i="6"/>
  <c r="Z174" i="6"/>
  <c r="AM174" i="6" s="1"/>
  <c r="AA218" i="6"/>
  <c r="AN218" i="6" s="1"/>
  <c r="O174" i="6"/>
  <c r="P174" i="6"/>
  <c r="AA143" i="6"/>
  <c r="AN143" i="6" s="1"/>
  <c r="Y218" i="6"/>
  <c r="AL218" i="6" s="1"/>
  <c r="Q216" i="6"/>
  <c r="AA216" i="6"/>
  <c r="AN216" i="6" s="1"/>
  <c r="Z216" i="6"/>
  <c r="AM216" i="6" s="1"/>
  <c r="Z218" i="6"/>
  <c r="AM218" i="6" s="1"/>
  <c r="P216" i="6"/>
  <c r="Q143" i="6"/>
  <c r="P218" i="6"/>
  <c r="O218" i="6"/>
  <c r="O216" i="6"/>
  <c r="Q67" i="6"/>
  <c r="Y216" i="6"/>
  <c r="AL216" i="6" s="1"/>
  <c r="AA67" i="6"/>
  <c r="AN67" i="6" s="1"/>
  <c r="P143" i="6"/>
  <c r="O143" i="6"/>
  <c r="Z143" i="6"/>
  <c r="AM143" i="6" s="1"/>
  <c r="Y143" i="6"/>
  <c r="AL143" i="6" s="1"/>
  <c r="P67" i="6"/>
  <c r="Y67" i="6"/>
  <c r="AL67" i="6" s="1"/>
  <c r="Q23" i="6"/>
  <c r="AA23" i="6"/>
  <c r="AN23" i="6" s="1"/>
  <c r="O67" i="6"/>
  <c r="Z67" i="6"/>
  <c r="AM67" i="6" s="1"/>
  <c r="Q19" i="6"/>
  <c r="P23" i="6"/>
  <c r="O23" i="6"/>
  <c r="AA19" i="6"/>
  <c r="AN19" i="6" s="1"/>
  <c r="Y23" i="6"/>
  <c r="AL23" i="6" s="1"/>
  <c r="Z23" i="6"/>
  <c r="AM23" i="6" s="1"/>
  <c r="Y19" i="6"/>
  <c r="AL19" i="6" s="1"/>
  <c r="P19" i="6"/>
  <c r="Z19" i="6"/>
  <c r="AM19" i="6" s="1"/>
  <c r="O19" i="6"/>
  <c r="BL417" i="6" l="1"/>
  <c r="AZ572" i="6"/>
  <c r="AZ10" i="6"/>
  <c r="BO10" i="6" s="1"/>
  <c r="BF567" i="6"/>
  <c r="BL302" i="6"/>
  <c r="AZ55" i="6"/>
  <c r="BL409" i="6"/>
  <c r="BL313" i="6"/>
  <c r="BL633" i="6"/>
  <c r="BF630" i="6"/>
  <c r="BF185" i="6"/>
  <c r="BF216" i="6"/>
  <c r="AZ574" i="6"/>
  <c r="AZ624" i="6"/>
  <c r="AZ174" i="6"/>
  <c r="AZ249" i="6"/>
  <c r="AZ67" i="6"/>
  <c r="BL394" i="6"/>
  <c r="BF260" i="6"/>
  <c r="BL367" i="6"/>
  <c r="BL344" i="6"/>
  <c r="AZ131" i="6"/>
  <c r="BF387" i="6"/>
  <c r="BL19" i="6"/>
  <c r="BL619" i="6"/>
  <c r="BF174" i="6"/>
  <c r="AZ619" i="6"/>
  <c r="BF49" i="6"/>
  <c r="BP49" i="6" s="1"/>
  <c r="AZ682" i="6"/>
  <c r="BL648" i="6"/>
  <c r="BL167" i="6"/>
  <c r="BF38" i="6"/>
  <c r="BF151" i="6"/>
  <c r="BF261" i="6"/>
  <c r="AZ83" i="6"/>
  <c r="BF389" i="6"/>
  <c r="BF618" i="6"/>
  <c r="BL171" i="6"/>
  <c r="BL415" i="6"/>
  <c r="BF566" i="6"/>
  <c r="BF188" i="6"/>
  <c r="BF564" i="6"/>
  <c r="BF95" i="6"/>
  <c r="BF89" i="6"/>
  <c r="AZ218" i="6"/>
  <c r="BO218" i="6" s="1"/>
  <c r="AZ14" i="6"/>
  <c r="AZ383" i="6"/>
  <c r="BF394" i="6"/>
  <c r="BF399" i="6"/>
  <c r="BF19" i="6"/>
  <c r="BL143" i="6"/>
  <c r="BF143" i="6"/>
  <c r="AZ171" i="6"/>
  <c r="BL174" i="6"/>
  <c r="BF371" i="6"/>
  <c r="BL581" i="6"/>
  <c r="BL49" i="6"/>
  <c r="BF685" i="6"/>
  <c r="BL23" i="6"/>
  <c r="AZ685" i="6"/>
  <c r="BF681" i="6"/>
  <c r="BF651" i="6"/>
  <c r="BL392" i="6"/>
  <c r="AZ85" i="6"/>
  <c r="BF575" i="6"/>
  <c r="BF32" i="6"/>
  <c r="AZ201" i="6"/>
  <c r="BF390" i="6"/>
  <c r="BL67" i="6"/>
  <c r="BL218" i="6"/>
  <c r="AZ618" i="6"/>
  <c r="AZ686" i="6"/>
  <c r="BF682" i="6"/>
  <c r="BL60" i="6"/>
  <c r="BF314" i="6"/>
  <c r="BF16" i="6"/>
  <c r="BF291" i="6"/>
  <c r="BF561" i="6"/>
  <c r="AZ145" i="6"/>
  <c r="AZ23" i="6"/>
  <c r="BF67" i="6"/>
  <c r="AZ216" i="6"/>
  <c r="BL216" i="6"/>
  <c r="BF684" i="6"/>
  <c r="BL131" i="6"/>
  <c r="BF304" i="6"/>
  <c r="AZ578" i="6"/>
  <c r="BL148" i="6"/>
  <c r="BL12" i="6"/>
  <c r="BF116" i="6"/>
  <c r="AZ32" i="6"/>
  <c r="BF154" i="6"/>
  <c r="BF631" i="6"/>
  <c r="BF375" i="6"/>
  <c r="BL315" i="6"/>
  <c r="BF201" i="6"/>
  <c r="BF23" i="6"/>
  <c r="AZ49" i="6"/>
  <c r="BF218" i="6"/>
  <c r="BL618" i="6"/>
  <c r="BF171" i="6"/>
  <c r="BL170" i="6"/>
  <c r="BF401" i="6"/>
  <c r="BF29" i="6"/>
  <c r="AZ19" i="6"/>
  <c r="BF619" i="6"/>
  <c r="BF249" i="6"/>
  <c r="BL630" i="6"/>
  <c r="AZ143" i="6"/>
  <c r="BL686" i="6"/>
  <c r="AZ407" i="6"/>
  <c r="BL421" i="6"/>
  <c r="BL168" i="6"/>
  <c r="AZ362" i="6"/>
  <c r="AZ127" i="6"/>
  <c r="AZ192" i="6"/>
  <c r="BF581" i="6"/>
  <c r="BL228" i="6"/>
  <c r="AZ212" i="6"/>
  <c r="BF313" i="6"/>
  <c r="BF413" i="6"/>
  <c r="BL262" i="6"/>
  <c r="BL99" i="6"/>
  <c r="AZ231" i="6"/>
  <c r="AZ164" i="6"/>
  <c r="AZ398" i="6"/>
  <c r="BO398" i="6" s="1"/>
  <c r="BL291" i="6"/>
  <c r="BL568" i="6"/>
  <c r="BL308" i="6"/>
  <c r="BL154" i="6"/>
  <c r="BF172" i="6"/>
  <c r="AZ397" i="6"/>
  <c r="AZ570" i="6"/>
  <c r="BO570" i="6" s="1"/>
  <c r="BF406" i="6"/>
  <c r="BF189" i="6"/>
  <c r="Q271" i="6"/>
  <c r="BL271" i="6" s="1"/>
  <c r="BQ271" i="6" s="1"/>
  <c r="O414" i="6"/>
  <c r="AZ414" i="6" s="1"/>
  <c r="Q254" i="6"/>
  <c r="BL254" i="6" s="1"/>
  <c r="P624" i="6"/>
  <c r="BF624" i="6" s="1"/>
  <c r="P212" i="6"/>
  <c r="BF212" i="6" s="1"/>
  <c r="P563" i="6"/>
  <c r="BF563" i="6" s="1"/>
  <c r="Q277" i="6"/>
  <c r="BL277" i="6" s="1"/>
  <c r="Q355" i="6"/>
  <c r="BL355" i="6" s="1"/>
  <c r="O343" i="6"/>
  <c r="AZ343" i="6" s="1"/>
  <c r="O242" i="6"/>
  <c r="Q413" i="6"/>
  <c r="O360" i="6"/>
  <c r="Q309" i="6"/>
  <c r="BL309" i="6" s="1"/>
  <c r="O35" i="6"/>
  <c r="AZ35" i="6" s="1"/>
  <c r="Q307" i="6"/>
  <c r="Q561" i="6"/>
  <c r="BL561" i="6" s="1"/>
  <c r="Q412" i="6"/>
  <c r="P307" i="6"/>
  <c r="O411" i="6"/>
  <c r="O389" i="6"/>
  <c r="AZ389" i="6" s="1"/>
  <c r="P175" i="6"/>
  <c r="BF175" i="6" s="1"/>
  <c r="P242" i="6"/>
  <c r="BF242" i="6" s="1"/>
  <c r="P25" i="6"/>
  <c r="CC25" i="6" s="1"/>
  <c r="Q391" i="6"/>
  <c r="Q376" i="6"/>
  <c r="O577" i="6"/>
  <c r="AC577" i="6" s="1"/>
  <c r="P391" i="6"/>
  <c r="Q156" i="6"/>
  <c r="P388" i="6"/>
  <c r="Q200" i="6"/>
  <c r="P380" i="6"/>
  <c r="BF380" i="6" s="1"/>
  <c r="Q215" i="6"/>
  <c r="Q385" i="6"/>
  <c r="O82" i="6"/>
  <c r="AZ82" i="6" s="1"/>
  <c r="P346" i="6"/>
  <c r="BF346" i="6" s="1"/>
  <c r="O394" i="6"/>
  <c r="AZ394" i="6" s="1"/>
  <c r="Q397" i="6"/>
  <c r="Q399" i="6"/>
  <c r="P31" i="6"/>
  <c r="O146" i="6"/>
  <c r="Y420" i="6"/>
  <c r="AL420" i="6" s="1"/>
  <c r="Y172" i="6"/>
  <c r="AL172" i="6" s="1"/>
  <c r="Q395" i="6"/>
  <c r="Z392" i="6"/>
  <c r="AM392" i="6" s="1"/>
  <c r="Q189" i="6"/>
  <c r="BL189" i="6" s="1"/>
  <c r="Q405" i="6"/>
  <c r="P312" i="6"/>
  <c r="BF312" i="6" s="1"/>
  <c r="Z388" i="6"/>
  <c r="AN582" i="6"/>
  <c r="BL582" i="6" s="1"/>
  <c r="AA356" i="6"/>
  <c r="AN356" i="6" s="1"/>
  <c r="BL356" i="6" s="1"/>
  <c r="Z119" i="6"/>
  <c r="AM119" i="6" s="1"/>
  <c r="AA201" i="6"/>
  <c r="AN201" i="6" s="1"/>
  <c r="BL201" i="6" s="1"/>
  <c r="Z15" i="6"/>
  <c r="AM15" i="6" s="1"/>
  <c r="Z358" i="6"/>
  <c r="AM358" i="6" s="1"/>
  <c r="Y326" i="6"/>
  <c r="AL326" i="6" s="1"/>
  <c r="AA419" i="6"/>
  <c r="AN419" i="6" s="1"/>
  <c r="BL419" i="6" s="1"/>
  <c r="Z198" i="6"/>
  <c r="AM198" i="6" s="1"/>
  <c r="BF198" i="6" s="1"/>
  <c r="Y409" i="6"/>
  <c r="AL409" i="6" s="1"/>
  <c r="AZ409" i="6" s="1"/>
  <c r="Q574" i="6"/>
  <c r="BL574" i="6" s="1"/>
  <c r="AN553" i="6"/>
  <c r="P694" i="6"/>
  <c r="BF694" i="6" s="1"/>
  <c r="Q411" i="6"/>
  <c r="AN108" i="6"/>
  <c r="Z303" i="6"/>
  <c r="AM303" i="6" s="1"/>
  <c r="Q146" i="6"/>
  <c r="BL146" i="6" s="1"/>
  <c r="Q269" i="6"/>
  <c r="P582" i="6"/>
  <c r="BY582" i="6" s="1"/>
  <c r="CI582" i="6" s="1"/>
  <c r="O412" i="6"/>
  <c r="AM127" i="6"/>
  <c r="AA325" i="6"/>
  <c r="AN325" i="6" s="1"/>
  <c r="AA383" i="6"/>
  <c r="AN383" i="6" s="1"/>
  <c r="Z190" i="6"/>
  <c r="AM190" i="6" s="1"/>
  <c r="Q191" i="6"/>
  <c r="Q343" i="6"/>
  <c r="BL343" i="6" s="1"/>
  <c r="AL541" i="6"/>
  <c r="Y173" i="6"/>
  <c r="AL173" i="6" s="1"/>
  <c r="AN536" i="6"/>
  <c r="P310" i="6"/>
  <c r="Z12" i="6"/>
  <c r="AM12" i="6" s="1"/>
  <c r="O368" i="6"/>
  <c r="AZ368" i="6" s="1"/>
  <c r="Q192" i="6"/>
  <c r="BL192" i="6" s="1"/>
  <c r="BQ192" i="6" s="1"/>
  <c r="O385" i="6"/>
  <c r="P197" i="6"/>
  <c r="P83" i="6"/>
  <c r="BF83" i="6" s="1"/>
  <c r="O187" i="6"/>
  <c r="O90" i="6"/>
  <c r="AZ90" i="6" s="1"/>
  <c r="AL569" i="6"/>
  <c r="AZ569" i="6" s="1"/>
  <c r="AA303" i="6"/>
  <c r="AN303" i="6" s="1"/>
  <c r="BL303" i="6" s="1"/>
  <c r="AA172" i="6"/>
  <c r="AN172" i="6" s="1"/>
  <c r="P236" i="6"/>
  <c r="BF236" i="6" s="1"/>
  <c r="Z325" i="6"/>
  <c r="AM325" i="6" s="1"/>
  <c r="AA413" i="6"/>
  <c r="AN413" i="6" s="1"/>
  <c r="Z24" i="6"/>
  <c r="AM24" i="6" s="1"/>
  <c r="Q418" i="6"/>
  <c r="BL418" i="6" s="1"/>
  <c r="Q81" i="6"/>
  <c r="BL81" i="6" s="1"/>
  <c r="AA130" i="6"/>
  <c r="AN130" i="6" s="1"/>
  <c r="P202" i="6"/>
  <c r="Q185" i="6"/>
  <c r="O99" i="6"/>
  <c r="P196" i="6"/>
  <c r="BF196" i="6" s="1"/>
  <c r="Z164" i="6"/>
  <c r="AM164" i="6" s="1"/>
  <c r="P415" i="6"/>
  <c r="Q304" i="6"/>
  <c r="AN572" i="6"/>
  <c r="BL572" i="6" s="1"/>
  <c r="P372" i="6"/>
  <c r="Y187" i="6"/>
  <c r="AL187" i="6" s="1"/>
  <c r="AA245" i="6"/>
  <c r="AN245" i="6" s="1"/>
  <c r="BL245" i="6" s="1"/>
  <c r="O355" i="6"/>
  <c r="AL179" i="6"/>
  <c r="Z395" i="6"/>
  <c r="AM395" i="6" s="1"/>
  <c r="AN546" i="6"/>
  <c r="Y363" i="6"/>
  <c r="AL363" i="6" s="1"/>
  <c r="AA31" i="6"/>
  <c r="AN31" i="6" s="1"/>
  <c r="P59" i="6"/>
  <c r="AN55" i="6"/>
  <c r="BL55" i="6" s="1"/>
  <c r="Q383" i="6"/>
  <c r="AL107" i="6"/>
  <c r="O196" i="6"/>
  <c r="AZ196" i="6" s="1"/>
  <c r="AM100" i="6"/>
  <c r="P254" i="6"/>
  <c r="BF254" i="6" s="1"/>
  <c r="P572" i="6"/>
  <c r="O388" i="6"/>
  <c r="AZ388" i="6" s="1"/>
  <c r="AN136" i="6"/>
  <c r="Z372" i="6"/>
  <c r="AM372" i="6" s="1"/>
  <c r="AA187" i="6"/>
  <c r="AN187" i="6" s="1"/>
  <c r="AL565" i="6"/>
  <c r="AZ565" i="6" s="1"/>
  <c r="Y114" i="6"/>
  <c r="AL114" i="6" s="1"/>
  <c r="AZ114" i="6" s="1"/>
  <c r="O402" i="6"/>
  <c r="O571" i="6"/>
  <c r="Q372" i="6"/>
  <c r="BL372" i="6" s="1"/>
  <c r="AN354" i="6"/>
  <c r="BL354" i="6" s="1"/>
  <c r="Z173" i="6"/>
  <c r="AM173" i="6" s="1"/>
  <c r="AA319" i="6"/>
  <c r="AN319" i="6" s="1"/>
  <c r="O345" i="6"/>
  <c r="AZ345" i="6" s="1"/>
  <c r="O123" i="6"/>
  <c r="Z362" i="6"/>
  <c r="AM362" i="6" s="1"/>
  <c r="BF362" i="6" s="1"/>
  <c r="AA177" i="6"/>
  <c r="O354" i="6"/>
  <c r="AC354" i="6" s="1"/>
  <c r="P395" i="6"/>
  <c r="AA260" i="6"/>
  <c r="AN260" i="6" s="1"/>
  <c r="AA611" i="6"/>
  <c r="AN611" i="6" s="1"/>
  <c r="O602" i="6"/>
  <c r="Z318" i="6"/>
  <c r="AM318" i="6" s="1"/>
  <c r="Y306" i="6"/>
  <c r="AL306" i="6" s="1"/>
  <c r="AZ306" i="6" s="1"/>
  <c r="Z262" i="6"/>
  <c r="AM262" i="6" s="1"/>
  <c r="Q101" i="6"/>
  <c r="CN101" i="6" s="1"/>
  <c r="CX101" i="6" s="1"/>
  <c r="O95" i="6"/>
  <c r="O311" i="6"/>
  <c r="AZ311" i="6" s="1"/>
  <c r="Z321" i="6"/>
  <c r="AM321" i="6" s="1"/>
  <c r="Q116" i="6"/>
  <c r="BL116" i="6" s="1"/>
  <c r="P136" i="6"/>
  <c r="AM573" i="6"/>
  <c r="Q187" i="6"/>
  <c r="Z176" i="6"/>
  <c r="AM176" i="6" s="1"/>
  <c r="P119" i="6"/>
  <c r="P568" i="6"/>
  <c r="BY568" i="6" s="1"/>
  <c r="CI568" i="6" s="1"/>
  <c r="Y57" i="6"/>
  <c r="AL57" i="6" s="1"/>
  <c r="O215" i="6"/>
  <c r="AA376" i="6"/>
  <c r="AN376" i="6" s="1"/>
  <c r="AA380" i="6"/>
  <c r="AN380" i="6" s="1"/>
  <c r="Z418" i="6"/>
  <c r="AM418" i="6" s="1"/>
  <c r="P402" i="6"/>
  <c r="AM58" i="6"/>
  <c r="BF58" i="6" s="1"/>
  <c r="AA385" i="6"/>
  <c r="AN385" i="6" s="1"/>
  <c r="Y158" i="6"/>
  <c r="AL158" i="6" s="1"/>
  <c r="AZ158" i="6" s="1"/>
  <c r="AA408" i="6"/>
  <c r="AN408" i="6" s="1"/>
  <c r="BL408" i="6" s="1"/>
  <c r="O358" i="6"/>
  <c r="O245" i="6"/>
  <c r="AC245" i="6" s="1"/>
  <c r="O110" i="6"/>
  <c r="AZ110" i="6" s="1"/>
  <c r="AL95" i="6"/>
  <c r="AA21" i="6"/>
  <c r="AN21" i="6" s="1"/>
  <c r="P164" i="6"/>
  <c r="AA210" i="6"/>
  <c r="AN210" i="6" s="1"/>
  <c r="BL210" i="6" s="1"/>
  <c r="P357" i="6"/>
  <c r="BF357" i="6" s="1"/>
  <c r="O270" i="6"/>
  <c r="Z421" i="6"/>
  <c r="AM421" i="6" s="1"/>
  <c r="Y211" i="6"/>
  <c r="AL211" i="6" s="1"/>
  <c r="AZ211" i="6" s="1"/>
  <c r="AM579" i="6"/>
  <c r="Q133" i="6"/>
  <c r="Q577" i="6"/>
  <c r="BL577" i="6" s="1"/>
  <c r="Y422" i="6"/>
  <c r="AL422" i="6" s="1"/>
  <c r="Z365" i="6"/>
  <c r="AM365" i="6" s="1"/>
  <c r="AN563" i="6"/>
  <c r="BL563" i="6" s="1"/>
  <c r="Z197" i="6"/>
  <c r="AM197" i="6" s="1"/>
  <c r="Y217" i="6"/>
  <c r="AL217" i="6" s="1"/>
  <c r="Z360" i="6"/>
  <c r="AM360" i="6" s="1"/>
  <c r="Z202" i="6"/>
  <c r="AM202" i="6" s="1"/>
  <c r="Z377" i="6"/>
  <c r="AM377" i="6" s="1"/>
  <c r="BF377" i="6" s="1"/>
  <c r="AA299" i="6"/>
  <c r="AN299" i="6" s="1"/>
  <c r="O410" i="6"/>
  <c r="AZ410" i="6" s="1"/>
  <c r="P407" i="6"/>
  <c r="Z420" i="6"/>
  <c r="AM420" i="6" s="1"/>
  <c r="AM582" i="6"/>
  <c r="Z228" i="6"/>
  <c r="AM228" i="6" s="1"/>
  <c r="Y412" i="6"/>
  <c r="AL412" i="6" s="1"/>
  <c r="O189" i="6"/>
  <c r="AZ189" i="6" s="1"/>
  <c r="P231" i="6"/>
  <c r="BF231" i="6" s="1"/>
  <c r="AA307" i="6"/>
  <c r="AN307" i="6" s="1"/>
  <c r="O420" i="6"/>
  <c r="AA396" i="6"/>
  <c r="AN396" i="6" s="1"/>
  <c r="P608" i="6"/>
  <c r="AA188" i="6"/>
  <c r="AN188" i="6" s="1"/>
  <c r="Y302" i="6"/>
  <c r="AL302" i="6" s="1"/>
  <c r="Z31" i="6"/>
  <c r="O81" i="6"/>
  <c r="AZ81" i="6" s="1"/>
  <c r="Q357" i="6"/>
  <c r="AL567" i="6"/>
  <c r="AZ567" i="6" s="1"/>
  <c r="P302" i="6"/>
  <c r="BF302" i="6" s="1"/>
  <c r="P576" i="6"/>
  <c r="CM576" i="6" s="1"/>
  <c r="CW576" i="6" s="1"/>
  <c r="Y369" i="6"/>
  <c r="AL369" i="6" s="1"/>
  <c r="Q569" i="6"/>
  <c r="O386" i="6"/>
  <c r="AA26" i="6"/>
  <c r="AN26" i="6" s="1"/>
  <c r="AA37" i="6"/>
  <c r="AN37" i="6" s="1"/>
  <c r="Y118" i="6"/>
  <c r="AL118" i="6" s="1"/>
  <c r="Y99" i="6"/>
  <c r="AL99" i="6" s="1"/>
  <c r="AN566" i="6"/>
  <c r="Y381" i="6"/>
  <c r="AL58" i="6"/>
  <c r="AZ58" i="6" s="1"/>
  <c r="Z299" i="6"/>
  <c r="P241" i="6"/>
  <c r="AD241" i="6" s="1"/>
  <c r="P400" i="6"/>
  <c r="AA395" i="6"/>
  <c r="AN395" i="6" s="1"/>
  <c r="O612" i="6"/>
  <c r="Q703" i="6"/>
  <c r="Q611" i="6"/>
  <c r="O74" i="6"/>
  <c r="P74" i="6"/>
  <c r="Z610" i="6"/>
  <c r="AM610" i="6" s="1"/>
  <c r="Z608" i="6"/>
  <c r="AM608" i="6" s="1"/>
  <c r="AA609" i="6"/>
  <c r="AN609" i="6" s="1"/>
  <c r="AA608" i="6"/>
  <c r="AN608" i="6" s="1"/>
  <c r="Y606" i="6"/>
  <c r="AL606" i="6" s="1"/>
  <c r="P606" i="6"/>
  <c r="AA605" i="6"/>
  <c r="AN605" i="6" s="1"/>
  <c r="Z604" i="6"/>
  <c r="AM604" i="6" s="1"/>
  <c r="Z603" i="6"/>
  <c r="AM603" i="6" s="1"/>
  <c r="AA601" i="6"/>
  <c r="AN601" i="6" s="1"/>
  <c r="Z598" i="6"/>
  <c r="AM598" i="6" s="1"/>
  <c r="O599" i="6"/>
  <c r="O596" i="6"/>
  <c r="Q596" i="6"/>
  <c r="P595" i="6"/>
  <c r="Y595" i="6"/>
  <c r="AL595" i="6" s="1"/>
  <c r="Y594" i="6"/>
  <c r="AL594" i="6" s="1"/>
  <c r="Z593" i="6"/>
  <c r="AM593" i="6" s="1"/>
  <c r="Z592" i="6"/>
  <c r="AM592" i="6" s="1"/>
  <c r="Z591" i="6"/>
  <c r="AM591" i="6" s="1"/>
  <c r="Q592" i="6"/>
  <c r="P591" i="6"/>
  <c r="Q591" i="6"/>
  <c r="P589" i="6"/>
  <c r="Z589" i="6"/>
  <c r="AM589" i="6" s="1"/>
  <c r="AA589" i="6"/>
  <c r="AN589" i="6" s="1"/>
  <c r="O588" i="6"/>
  <c r="Q588" i="6"/>
  <c r="Y586" i="6"/>
  <c r="AL586" i="6" s="1"/>
  <c r="P587" i="6"/>
  <c r="Z586" i="6"/>
  <c r="AM586" i="6" s="1"/>
  <c r="P585" i="6"/>
  <c r="AA586" i="6"/>
  <c r="AN586" i="6" s="1"/>
  <c r="P584" i="6"/>
  <c r="AA585" i="6"/>
  <c r="AN585" i="6" s="1"/>
  <c r="O103" i="6"/>
  <c r="AL688" i="6"/>
  <c r="P688" i="6"/>
  <c r="Q688" i="6"/>
  <c r="AL209" i="6"/>
  <c r="AM209" i="6"/>
  <c r="O184" i="6"/>
  <c r="AL157" i="6"/>
  <c r="P163" i="6"/>
  <c r="P672" i="6"/>
  <c r="AM183" i="6"/>
  <c r="AL671" i="6"/>
  <c r="AN671" i="6"/>
  <c r="AL670" i="6"/>
  <c r="P670" i="6"/>
  <c r="AL279" i="6"/>
  <c r="AM279" i="6"/>
  <c r="P279" i="6"/>
  <c r="O669" i="6"/>
  <c r="AM668" i="6"/>
  <c r="Q667" i="6"/>
  <c r="P666" i="6"/>
  <c r="CM666" i="6" s="1"/>
  <c r="CW666" i="6" s="1"/>
  <c r="Q33" i="6"/>
  <c r="AN666" i="6"/>
  <c r="AL256" i="6"/>
  <c r="AM256" i="6"/>
  <c r="O256" i="6"/>
  <c r="AL144" i="6"/>
  <c r="O664" i="6"/>
  <c r="Q664" i="6"/>
  <c r="CR664" i="6" s="1"/>
  <c r="O661" i="6"/>
  <c r="Q663" i="6"/>
  <c r="O660" i="6"/>
  <c r="AL96" i="6"/>
  <c r="P88" i="6"/>
  <c r="CQ88" i="6" s="1"/>
  <c r="AN96" i="6"/>
  <c r="O121" i="6"/>
  <c r="CP121" i="6" s="1"/>
  <c r="AM182" i="6"/>
  <c r="O658" i="6"/>
  <c r="Q657" i="6"/>
  <c r="P654" i="6"/>
  <c r="O653" i="6"/>
  <c r="P373" i="6"/>
  <c r="AM576" i="6"/>
  <c r="Q380" i="6"/>
  <c r="AA391" i="6"/>
  <c r="AN391" i="6" s="1"/>
  <c r="P262" i="6"/>
  <c r="O228" i="6"/>
  <c r="Y112" i="6"/>
  <c r="AL112" i="6" s="1"/>
  <c r="P10" i="6"/>
  <c r="AL581" i="6"/>
  <c r="AZ581" i="6" s="1"/>
  <c r="P110" i="6"/>
  <c r="Q38" i="6"/>
  <c r="BL38" i="6" s="1"/>
  <c r="O168" i="6"/>
  <c r="BX168" i="6" s="1"/>
  <c r="CH168" i="6" s="1"/>
  <c r="Y148" i="6"/>
  <c r="AL148" i="6" s="1"/>
  <c r="AL571" i="6"/>
  <c r="Y370" i="6"/>
  <c r="AL370" i="6" s="1"/>
  <c r="P227" i="6"/>
  <c r="BF227" i="6" s="1"/>
  <c r="Y197" i="6"/>
  <c r="CB197" i="6" s="1"/>
  <c r="P271" i="6"/>
  <c r="BF271" i="6" s="1"/>
  <c r="Y401" i="6"/>
  <c r="AL401" i="6" s="1"/>
  <c r="AA412" i="6"/>
  <c r="Z305" i="6"/>
  <c r="AM305" i="6" s="1"/>
  <c r="BF305" i="6" s="1"/>
  <c r="AM539" i="6"/>
  <c r="P398" i="6"/>
  <c r="BF398" i="6" s="1"/>
  <c r="Q368" i="6"/>
  <c r="BL368" i="6" s="1"/>
  <c r="P299" i="6"/>
  <c r="Y267" i="6"/>
  <c r="AL267" i="6" s="1"/>
  <c r="Y123" i="6"/>
  <c r="AL123" i="6" s="1"/>
  <c r="P421" i="6"/>
  <c r="Q112" i="6"/>
  <c r="BL112" i="6" s="1"/>
  <c r="Q136" i="6"/>
  <c r="CD136" i="6" s="1"/>
  <c r="AA316" i="6"/>
  <c r="AN316" i="6" s="1"/>
  <c r="AA129" i="6"/>
  <c r="AN129" i="6" s="1"/>
  <c r="Z200" i="6"/>
  <c r="AM200" i="6" s="1"/>
  <c r="O112" i="6"/>
  <c r="Y175" i="6"/>
  <c r="AL175" i="6" s="1"/>
  <c r="AM578" i="6"/>
  <c r="AA16" i="6"/>
  <c r="AN16" i="6" s="1"/>
  <c r="Q398" i="6"/>
  <c r="AN538" i="6"/>
  <c r="AN25" i="6"/>
  <c r="AN34" i="6"/>
  <c r="Q137" i="6"/>
  <c r="O299" i="6"/>
  <c r="P579" i="6"/>
  <c r="BY579" i="6" s="1"/>
  <c r="CI579" i="6" s="1"/>
  <c r="AA199" i="6"/>
  <c r="Y406" i="6"/>
  <c r="AL406" i="6" s="1"/>
  <c r="Y366" i="6"/>
  <c r="AL366" i="6" s="1"/>
  <c r="O12" i="6"/>
  <c r="AA365" i="6"/>
  <c r="CD365" i="6" s="1"/>
  <c r="Q416" i="6"/>
  <c r="BL416" i="6" s="1"/>
  <c r="P420" i="6"/>
  <c r="Q312" i="6"/>
  <c r="AE312" i="6" s="1"/>
  <c r="AA405" i="6"/>
  <c r="Y291" i="6"/>
  <c r="AL291" i="6" s="1"/>
  <c r="AA399" i="6"/>
  <c r="AN399" i="6" s="1"/>
  <c r="Q407" i="6"/>
  <c r="P366" i="6"/>
  <c r="BF366" i="6" s="1"/>
  <c r="Q172" i="6"/>
  <c r="Z412" i="6"/>
  <c r="AD412" i="6" s="1"/>
  <c r="AA358" i="6"/>
  <c r="AN358" i="6" s="1"/>
  <c r="AN575" i="6"/>
  <c r="Y38" i="6"/>
  <c r="AL38" i="6" s="1"/>
  <c r="P361" i="6"/>
  <c r="AA118" i="6"/>
  <c r="BZ118" i="6" s="1"/>
  <c r="O260" i="6"/>
  <c r="Z369" i="6"/>
  <c r="AM369" i="6" s="1"/>
  <c r="Z300" i="6"/>
  <c r="AM300" i="6" s="1"/>
  <c r="Z14" i="6"/>
  <c r="AM14" i="6" s="1"/>
  <c r="Q381" i="6"/>
  <c r="O387" i="6"/>
  <c r="Y133" i="6"/>
  <c r="AL133" i="6" s="1"/>
  <c r="AZ133" i="6" s="1"/>
  <c r="P634" i="6"/>
  <c r="Y269" i="6"/>
  <c r="AL269" i="6" s="1"/>
  <c r="O370" i="6"/>
  <c r="Y402" i="6"/>
  <c r="AL402" i="6" s="1"/>
  <c r="P309" i="6"/>
  <c r="O415" i="6"/>
  <c r="AA185" i="6"/>
  <c r="AN185" i="6" s="1"/>
  <c r="O98" i="6"/>
  <c r="Z361" i="6"/>
  <c r="AM361" i="6" s="1"/>
  <c r="O582" i="6"/>
  <c r="P166" i="6"/>
  <c r="O118" i="6"/>
  <c r="AM60" i="6"/>
  <c r="Y155" i="6"/>
  <c r="AL155" i="6" s="1"/>
  <c r="Z85" i="6"/>
  <c r="AM85" i="6" s="1"/>
  <c r="AN540" i="6"/>
  <c r="Z386" i="6"/>
  <c r="AM386" i="6" s="1"/>
  <c r="BF386" i="6" s="1"/>
  <c r="AM554" i="6"/>
  <c r="Z211" i="6"/>
  <c r="AM211" i="6" s="1"/>
  <c r="Z416" i="6"/>
  <c r="AM416" i="6" s="1"/>
  <c r="Y353" i="6"/>
  <c r="AL353" i="6" s="1"/>
  <c r="Q384" i="6"/>
  <c r="Q580" i="6"/>
  <c r="CR580" i="6" s="1"/>
  <c r="P55" i="6"/>
  <c r="AM108" i="6"/>
  <c r="P306" i="6"/>
  <c r="P48" i="6"/>
  <c r="P40" i="6"/>
  <c r="O194" i="6"/>
  <c r="O338" i="6"/>
  <c r="P272" i="6"/>
  <c r="Z272" i="6"/>
  <c r="AM272" i="6" s="1"/>
  <c r="Y424" i="6"/>
  <c r="AL424" i="6" s="1"/>
  <c r="AA424" i="6"/>
  <c r="AN424" i="6" s="1"/>
  <c r="Y272" i="6"/>
  <c r="AL272" i="6" s="1"/>
  <c r="Z423" i="6"/>
  <c r="AM423" i="6" s="1"/>
  <c r="Y423" i="6"/>
  <c r="AL423" i="6" s="1"/>
  <c r="O41" i="6"/>
  <c r="Z62" i="6"/>
  <c r="AM62" i="6" s="1"/>
  <c r="O64" i="6"/>
  <c r="Q64" i="6"/>
  <c r="Z617" i="6"/>
  <c r="AM617" i="6" s="1"/>
  <c r="P617" i="6"/>
  <c r="Z616" i="6"/>
  <c r="AM616" i="6" s="1"/>
  <c r="P616" i="6"/>
  <c r="Q616" i="6"/>
  <c r="Z113" i="6"/>
  <c r="AM113" i="6" s="1"/>
  <c r="Z126" i="6"/>
  <c r="AM126" i="6" s="1"/>
  <c r="AA113" i="6"/>
  <c r="AN113" i="6" s="1"/>
  <c r="Q113" i="6"/>
  <c r="Y615" i="6"/>
  <c r="AL615" i="6" s="1"/>
  <c r="Z91" i="6"/>
  <c r="AM91" i="6" s="1"/>
  <c r="O91" i="6"/>
  <c r="Z92" i="6"/>
  <c r="AM92" i="6" s="1"/>
  <c r="AA91" i="6"/>
  <c r="AN91" i="6" s="1"/>
  <c r="P613" i="6"/>
  <c r="Z613" i="6"/>
  <c r="AM613" i="6" s="1"/>
  <c r="Z705" i="6"/>
  <c r="AM705" i="6" s="1"/>
  <c r="AA705" i="6"/>
  <c r="AN705" i="6" s="1"/>
  <c r="O702" i="6"/>
  <c r="AA702" i="6"/>
  <c r="AN702" i="6" s="1"/>
  <c r="AA703" i="6"/>
  <c r="Z74" i="6"/>
  <c r="AM74" i="6" s="1"/>
  <c r="Q610" i="6"/>
  <c r="Z605" i="6"/>
  <c r="AM605" i="6" s="1"/>
  <c r="Q606" i="6"/>
  <c r="Z599" i="6"/>
  <c r="AM599" i="6" s="1"/>
  <c r="Q597" i="6"/>
  <c r="P594" i="6"/>
  <c r="P593" i="6"/>
  <c r="AA592" i="6"/>
  <c r="AN592" i="6" s="1"/>
  <c r="P588" i="6"/>
  <c r="Q585" i="6"/>
  <c r="P583" i="6"/>
  <c r="AN184" i="6"/>
  <c r="O672" i="6"/>
  <c r="Q672" i="6"/>
  <c r="AN672" i="6"/>
  <c r="O670" i="6"/>
  <c r="AL666" i="6"/>
  <c r="P128" i="6"/>
  <c r="Q666" i="6"/>
  <c r="O665" i="6"/>
  <c r="AM144" i="6"/>
  <c r="Q144" i="6"/>
  <c r="AN144" i="6"/>
  <c r="O707" i="6"/>
  <c r="AM663" i="6"/>
  <c r="AL662" i="6"/>
  <c r="AN662" i="6"/>
  <c r="AM661" i="6"/>
  <c r="Q243" i="6"/>
  <c r="CR243" i="6" s="1"/>
  <c r="AL660" i="6"/>
  <c r="AN243" i="6"/>
  <c r="Q660" i="6"/>
  <c r="AN660" i="6"/>
  <c r="AM659" i="6"/>
  <c r="Q88" i="6"/>
  <c r="P659" i="6"/>
  <c r="O182" i="6"/>
  <c r="AL182" i="6"/>
  <c r="AN182" i="6"/>
  <c r="AM657" i="6"/>
  <c r="AM656" i="6"/>
  <c r="O656" i="6"/>
  <c r="AM655" i="6"/>
  <c r="AN654" i="6"/>
  <c r="AN653" i="6"/>
  <c r="P653" i="6"/>
  <c r="AM645" i="6"/>
  <c r="P643" i="6"/>
  <c r="Q645" i="6"/>
  <c r="Q644" i="6"/>
  <c r="AL642" i="6"/>
  <c r="AN643" i="6"/>
  <c r="Q642" i="6"/>
  <c r="AN641" i="6"/>
  <c r="AL162" i="6"/>
  <c r="Q181" i="6"/>
  <c r="AM208" i="6"/>
  <c r="AL207" i="6"/>
  <c r="AM207" i="6"/>
  <c r="Q207" i="6"/>
  <c r="AE207" i="6" s="1"/>
  <c r="AN180" i="6"/>
  <c r="O425" i="6"/>
  <c r="Z689" i="6"/>
  <c r="AM689" i="6" s="1"/>
  <c r="P423" i="6"/>
  <c r="Y41" i="6"/>
  <c r="Q423" i="6"/>
  <c r="Q41" i="6"/>
  <c r="AA41" i="6"/>
  <c r="AN41" i="6" s="1"/>
  <c r="Q62" i="6"/>
  <c r="Y616" i="6"/>
  <c r="AL616" i="6" s="1"/>
  <c r="P113" i="6"/>
  <c r="Y113" i="6"/>
  <c r="AL113" i="6" s="1"/>
  <c r="O113" i="6"/>
  <c r="Y126" i="6"/>
  <c r="AL126" i="6" s="1"/>
  <c r="Q126" i="6"/>
  <c r="AA126" i="6"/>
  <c r="AN126" i="6" s="1"/>
  <c r="Y91" i="6"/>
  <c r="AL91" i="6" s="1"/>
  <c r="Q91" i="6"/>
  <c r="Y92" i="6"/>
  <c r="AL92" i="6" s="1"/>
  <c r="Q92" i="6"/>
  <c r="AA92" i="6"/>
  <c r="AN92" i="6" s="1"/>
  <c r="O613" i="6"/>
  <c r="Y613" i="6"/>
  <c r="AL613" i="6" s="1"/>
  <c r="P705" i="6"/>
  <c r="Z702" i="6"/>
  <c r="AM702" i="6" s="1"/>
  <c r="P702" i="6"/>
  <c r="O704" i="6"/>
  <c r="Z704" i="6"/>
  <c r="AM704" i="6" s="1"/>
  <c r="Q704" i="6"/>
  <c r="Y703" i="6"/>
  <c r="AL703" i="6" s="1"/>
  <c r="Y612" i="6"/>
  <c r="AL612" i="6" s="1"/>
  <c r="Z612" i="6"/>
  <c r="AM612" i="6" s="1"/>
  <c r="Q612" i="6"/>
  <c r="Z611" i="6"/>
  <c r="AM611" i="6" s="1"/>
  <c r="Z80" i="6"/>
  <c r="AM80" i="6" s="1"/>
  <c r="O80" i="6"/>
  <c r="Y75" i="6"/>
  <c r="AL75" i="6" s="1"/>
  <c r="P75" i="6"/>
  <c r="O75" i="6"/>
  <c r="Z59" i="6"/>
  <c r="O59" i="6"/>
  <c r="AA75" i="6"/>
  <c r="AN75" i="6" s="1"/>
  <c r="AA59" i="6"/>
  <c r="AN59" i="6" s="1"/>
  <c r="Q57" i="6"/>
  <c r="Q74" i="6"/>
  <c r="Z215" i="6"/>
  <c r="AM215" i="6" s="1"/>
  <c r="O609" i="6"/>
  <c r="Y608" i="6"/>
  <c r="AL608" i="6" s="1"/>
  <c r="O607" i="6"/>
  <c r="Z607" i="6"/>
  <c r="AM607" i="6" s="1"/>
  <c r="AA607" i="6"/>
  <c r="AN607" i="6" s="1"/>
  <c r="AA606" i="6"/>
  <c r="AN606" i="6" s="1"/>
  <c r="O605" i="6"/>
  <c r="Q605" i="6"/>
  <c r="P603" i="6"/>
  <c r="Q603" i="6"/>
  <c r="Z602" i="6"/>
  <c r="AM602" i="6" s="1"/>
  <c r="AA602" i="6"/>
  <c r="AN602" i="6" s="1"/>
  <c r="P601" i="6"/>
  <c r="BY601" i="6" s="1"/>
  <c r="Z600" i="6"/>
  <c r="AM600" i="6" s="1"/>
  <c r="Q601" i="6"/>
  <c r="P599" i="6"/>
  <c r="O598" i="6"/>
  <c r="P597" i="6"/>
  <c r="Y597" i="6"/>
  <c r="AL597" i="6" s="1"/>
  <c r="AA595" i="6"/>
  <c r="AN595" i="6" s="1"/>
  <c r="O593" i="6"/>
  <c r="AA594" i="6"/>
  <c r="AN594" i="6" s="1"/>
  <c r="P590" i="6"/>
  <c r="AA591" i="6"/>
  <c r="AN591" i="6" s="1"/>
  <c r="O589" i="6"/>
  <c r="Q589" i="6"/>
  <c r="O587" i="6"/>
  <c r="P586" i="6"/>
  <c r="AA587" i="6"/>
  <c r="AN587" i="6" s="1"/>
  <c r="Q586" i="6"/>
  <c r="Z425" i="6"/>
  <c r="AM425" i="6" s="1"/>
  <c r="Y425" i="6"/>
  <c r="O689" i="6"/>
  <c r="P689" i="6"/>
  <c r="Y689" i="6"/>
  <c r="AL689" i="6" s="1"/>
  <c r="Z424" i="6"/>
  <c r="AM424" i="6" s="1"/>
  <c r="P424" i="6"/>
  <c r="O424" i="6"/>
  <c r="Q424" i="6"/>
  <c r="Q272" i="6"/>
  <c r="O272" i="6"/>
  <c r="AA272" i="6"/>
  <c r="AN272" i="6" s="1"/>
  <c r="AA423" i="6"/>
  <c r="P41" i="6"/>
  <c r="P62" i="6"/>
  <c r="AA62" i="6"/>
  <c r="AN62" i="6" s="1"/>
  <c r="AA64" i="6"/>
  <c r="AN64" i="6" s="1"/>
  <c r="O617" i="6"/>
  <c r="Q617" i="6"/>
  <c r="AA616" i="6"/>
  <c r="AN616" i="6" s="1"/>
  <c r="O615" i="6"/>
  <c r="Q615" i="6"/>
  <c r="O92" i="6"/>
  <c r="AA615" i="6"/>
  <c r="AN615" i="6" s="1"/>
  <c r="Z614" i="6"/>
  <c r="AM614" i="6" s="1"/>
  <c r="Y614" i="6"/>
  <c r="AL614" i="6" s="1"/>
  <c r="O614" i="6"/>
  <c r="AA614" i="6"/>
  <c r="AN614" i="6" s="1"/>
  <c r="O705" i="6"/>
  <c r="AA613" i="6"/>
  <c r="AN613" i="6" s="1"/>
  <c r="Q613" i="6"/>
  <c r="Y705" i="6"/>
  <c r="AL705" i="6" s="1"/>
  <c r="Q702" i="6"/>
  <c r="P703" i="6"/>
  <c r="P612" i="6"/>
  <c r="Y80" i="6"/>
  <c r="AL80" i="6" s="1"/>
  <c r="AA80" i="6"/>
  <c r="AN80" i="6" s="1"/>
  <c r="Q80" i="6"/>
  <c r="Z75" i="6"/>
  <c r="AM75" i="6" s="1"/>
  <c r="Y59" i="6"/>
  <c r="AL59" i="6" s="1"/>
  <c r="Q59" i="6"/>
  <c r="O57" i="6"/>
  <c r="Z57" i="6"/>
  <c r="AM57" i="6" s="1"/>
  <c r="Y74" i="6"/>
  <c r="AL74" i="6" s="1"/>
  <c r="AA74" i="6"/>
  <c r="AN74" i="6" s="1"/>
  <c r="P610" i="6"/>
  <c r="O610" i="6"/>
  <c r="AA610" i="6"/>
  <c r="AN610" i="6" s="1"/>
  <c r="P609" i="6"/>
  <c r="Q609" i="6"/>
  <c r="Q608" i="6"/>
  <c r="P607" i="6"/>
  <c r="O606" i="6"/>
  <c r="Z606" i="6"/>
  <c r="AM606" i="6" s="1"/>
  <c r="Q607" i="6"/>
  <c r="Y605" i="6"/>
  <c r="AL605" i="6" s="1"/>
  <c r="Y603" i="6"/>
  <c r="AL603" i="6" s="1"/>
  <c r="O603" i="6"/>
  <c r="Q604" i="6"/>
  <c r="AA603" i="6"/>
  <c r="AN603" i="6" s="1"/>
  <c r="Y601" i="6"/>
  <c r="AL601" i="6" s="1"/>
  <c r="Q602" i="6"/>
  <c r="Q600" i="6"/>
  <c r="Y600" i="6"/>
  <c r="AL600" i="6" s="1"/>
  <c r="P598" i="6"/>
  <c r="O597" i="6"/>
  <c r="AA598" i="6"/>
  <c r="AN598" i="6" s="1"/>
  <c r="P596" i="6"/>
  <c r="AA596" i="6"/>
  <c r="AN596" i="6" s="1"/>
  <c r="Z595" i="6"/>
  <c r="AM595" i="6" s="1"/>
  <c r="O594" i="6"/>
  <c r="Z594" i="6"/>
  <c r="AM594" i="6" s="1"/>
  <c r="Y593" i="6"/>
  <c r="AL593" i="6" s="1"/>
  <c r="P592" i="6"/>
  <c r="Q593" i="6"/>
  <c r="O591" i="6"/>
  <c r="O592" i="6"/>
  <c r="O590" i="6"/>
  <c r="Z590" i="6"/>
  <c r="AM590" i="6" s="1"/>
  <c r="Y589" i="6"/>
  <c r="AL589" i="6" s="1"/>
  <c r="AA588" i="6"/>
  <c r="O586" i="6"/>
  <c r="Z587" i="6"/>
  <c r="AM587" i="6" s="1"/>
  <c r="Q587" i="6"/>
  <c r="AA584" i="6"/>
  <c r="AN584" i="6" s="1"/>
  <c r="O583" i="6"/>
  <c r="Q103" i="6"/>
  <c r="BL103" i="6" s="1"/>
  <c r="P425" i="6"/>
  <c r="Q425" i="6"/>
  <c r="AA425" i="6"/>
  <c r="AN425" i="6" s="1"/>
  <c r="AA689" i="6"/>
  <c r="AN689" i="6" s="1"/>
  <c r="Q689" i="6"/>
  <c r="O423" i="6"/>
  <c r="Z41" i="6"/>
  <c r="AM41" i="6" s="1"/>
  <c r="O62" i="6"/>
  <c r="Y62" i="6"/>
  <c r="AL62" i="6" s="1"/>
  <c r="P64" i="6"/>
  <c r="Y64" i="6"/>
  <c r="AL64" i="6" s="1"/>
  <c r="Z64" i="6"/>
  <c r="AM64" i="6" s="1"/>
  <c r="Y617" i="6"/>
  <c r="AL617" i="6" s="1"/>
  <c r="AA617" i="6"/>
  <c r="AN617" i="6" s="1"/>
  <c r="O616" i="6"/>
  <c r="AZ616" i="6" s="1"/>
  <c r="O126" i="6"/>
  <c r="P126" i="6"/>
  <c r="P615" i="6"/>
  <c r="Z615" i="6"/>
  <c r="AM615" i="6" s="1"/>
  <c r="P91" i="6"/>
  <c r="P92" i="6"/>
  <c r="P614" i="6"/>
  <c r="Q614" i="6"/>
  <c r="Q705" i="6"/>
  <c r="Y702" i="6"/>
  <c r="AL702" i="6" s="1"/>
  <c r="Y704" i="6"/>
  <c r="AL704" i="6" s="1"/>
  <c r="P704" i="6"/>
  <c r="AA704" i="6"/>
  <c r="AN704" i="6" s="1"/>
  <c r="Z703" i="6"/>
  <c r="AM703" i="6" s="1"/>
  <c r="O703" i="6"/>
  <c r="AA612" i="6"/>
  <c r="AN612" i="6" s="1"/>
  <c r="Y611" i="6"/>
  <c r="AL611" i="6" s="1"/>
  <c r="P611" i="6"/>
  <c r="O611" i="6"/>
  <c r="P80" i="6"/>
  <c r="Q75" i="6"/>
  <c r="AA57" i="6"/>
  <c r="AN57" i="6" s="1"/>
  <c r="P57" i="6"/>
  <c r="Y215" i="6"/>
  <c r="AL215" i="6" s="1"/>
  <c r="P215" i="6"/>
  <c r="AA215" i="6"/>
  <c r="Y610" i="6"/>
  <c r="AL610" i="6" s="1"/>
  <c r="Y609" i="6"/>
  <c r="AL609" i="6" s="1"/>
  <c r="Z609" i="6"/>
  <c r="AM609" i="6" s="1"/>
  <c r="O608" i="6"/>
  <c r="Y607" i="6"/>
  <c r="AL607" i="6" s="1"/>
  <c r="P605" i="6"/>
  <c r="Y604" i="6"/>
  <c r="AL604" i="6" s="1"/>
  <c r="O604" i="6"/>
  <c r="AA604" i="6"/>
  <c r="AN604" i="6" s="1"/>
  <c r="P604" i="6"/>
  <c r="Y602" i="6"/>
  <c r="AL602" i="6" s="1"/>
  <c r="P602" i="6"/>
  <c r="O601" i="6"/>
  <c r="P600" i="6"/>
  <c r="O600" i="6"/>
  <c r="AA600" i="6"/>
  <c r="AN600" i="6" s="1"/>
  <c r="Y599" i="6"/>
  <c r="AL599" i="6" s="1"/>
  <c r="Q599" i="6"/>
  <c r="Y598" i="6"/>
  <c r="AL598" i="6" s="1"/>
  <c r="AA599" i="6"/>
  <c r="AN599" i="6" s="1"/>
  <c r="Q598" i="6"/>
  <c r="Z597" i="6"/>
  <c r="AM597" i="6" s="1"/>
  <c r="Y596" i="6"/>
  <c r="AL596" i="6" s="1"/>
  <c r="AA597" i="6"/>
  <c r="AN597" i="6" s="1"/>
  <c r="Z596" i="6"/>
  <c r="AM596" i="6" s="1"/>
  <c r="O595" i="6"/>
  <c r="Q595" i="6"/>
  <c r="Q594" i="6"/>
  <c r="AA593" i="6"/>
  <c r="AN593" i="6" s="1"/>
  <c r="Y592" i="6"/>
  <c r="AL592" i="6" s="1"/>
  <c r="Y591" i="6"/>
  <c r="AL591" i="6" s="1"/>
  <c r="Y590" i="6"/>
  <c r="AL590" i="6" s="1"/>
  <c r="Q590" i="6"/>
  <c r="AA590" i="6"/>
  <c r="AN590" i="6" s="1"/>
  <c r="Y588" i="6"/>
  <c r="AL588" i="6" s="1"/>
  <c r="Z588" i="6"/>
  <c r="Y587" i="6"/>
  <c r="AL587" i="6" s="1"/>
  <c r="Z585" i="6"/>
  <c r="AM585" i="6" s="1"/>
  <c r="Y585" i="6"/>
  <c r="AL585" i="6" s="1"/>
  <c r="O585" i="6"/>
  <c r="Y584" i="6"/>
  <c r="AL584" i="6" s="1"/>
  <c r="O584" i="6"/>
  <c r="Z583" i="6"/>
  <c r="AM583" i="6" s="1"/>
  <c r="Q584" i="6"/>
  <c r="AA583" i="6"/>
  <c r="AN583" i="6" s="1"/>
  <c r="Q360" i="6"/>
  <c r="AL579" i="6"/>
  <c r="P381" i="6"/>
  <c r="BF381" i="6" s="1"/>
  <c r="O694" i="6"/>
  <c r="AA403" i="6"/>
  <c r="AN403" i="6" s="1"/>
  <c r="O561" i="6"/>
  <c r="AL553" i="6"/>
  <c r="Y310" i="6"/>
  <c r="AL310" i="6" s="1"/>
  <c r="O251" i="6"/>
  <c r="Z350" i="6"/>
  <c r="AM350" i="6" s="1"/>
  <c r="AA360" i="6"/>
  <c r="AN360" i="6" s="1"/>
  <c r="Q165" i="6"/>
  <c r="CD165" i="6" s="1"/>
  <c r="AN278" i="6"/>
  <c r="O314" i="6"/>
  <c r="AZ314" i="6" s="1"/>
  <c r="Z146" i="6"/>
  <c r="BY146" i="6" s="1"/>
  <c r="CI146" i="6" s="1"/>
  <c r="AN179" i="6"/>
  <c r="Y12" i="6"/>
  <c r="Q575" i="6"/>
  <c r="P165" i="6"/>
  <c r="Y200" i="6"/>
  <c r="AL200" i="6" s="1"/>
  <c r="Y365" i="6"/>
  <c r="AL365" i="6" s="1"/>
  <c r="Y408" i="6"/>
  <c r="AL408" i="6" s="1"/>
  <c r="AM551" i="6"/>
  <c r="P360" i="6"/>
  <c r="Y146" i="6"/>
  <c r="AL146" i="6" s="1"/>
  <c r="Q379" i="6"/>
  <c r="Z110" i="6"/>
  <c r="P359" i="6"/>
  <c r="Y359" i="6"/>
  <c r="AL359" i="6" s="1"/>
  <c r="Y305" i="6"/>
  <c r="AL305" i="6" s="1"/>
  <c r="AL580" i="6"/>
  <c r="P192" i="6"/>
  <c r="AA379" i="6"/>
  <c r="AN379" i="6" s="1"/>
  <c r="AN569" i="6"/>
  <c r="AM161" i="6"/>
  <c r="Z316" i="6"/>
  <c r="AM316" i="6" s="1"/>
  <c r="Z317" i="6"/>
  <c r="AM317" i="6" s="1"/>
  <c r="AM572" i="6"/>
  <c r="O359" i="6"/>
  <c r="Y119" i="6"/>
  <c r="CB119" i="6" s="1"/>
  <c r="Z379" i="6"/>
  <c r="AM379" i="6" s="1"/>
  <c r="Z411" i="6"/>
  <c r="AM411" i="6" s="1"/>
  <c r="BF411" i="6" s="1"/>
  <c r="P376" i="6"/>
  <c r="P408" i="6"/>
  <c r="O200" i="6"/>
  <c r="Y358" i="6"/>
  <c r="Z311" i="6"/>
  <c r="CM311" i="6" s="1"/>
  <c r="CW311" i="6" s="1"/>
  <c r="O413" i="6"/>
  <c r="CP413" i="6" s="1"/>
  <c r="Q211" i="6"/>
  <c r="Z584" i="6"/>
  <c r="AM584" i="6" s="1"/>
  <c r="Y583" i="6"/>
  <c r="AL583" i="6" s="1"/>
  <c r="P103" i="6"/>
  <c r="BF103" i="6" s="1"/>
  <c r="O209" i="6"/>
  <c r="AM184" i="6"/>
  <c r="Q184" i="6"/>
  <c r="Q157" i="6"/>
  <c r="CD157" i="6" s="1"/>
  <c r="AN163" i="6"/>
  <c r="O183" i="6"/>
  <c r="P183" i="6"/>
  <c r="CM183" i="6" s="1"/>
  <c r="CW183" i="6" s="1"/>
  <c r="O671" i="6"/>
  <c r="Q183" i="6"/>
  <c r="AM229" i="6"/>
  <c r="Q229" i="6"/>
  <c r="Q670" i="6"/>
  <c r="AM669" i="6"/>
  <c r="AN669" i="6"/>
  <c r="O667" i="6"/>
  <c r="CB667" i="6" s="1"/>
  <c r="AM33" i="6"/>
  <c r="P667" i="6"/>
  <c r="AN667" i="6"/>
  <c r="AL667" i="6"/>
  <c r="AM667" i="6"/>
  <c r="O33" i="6"/>
  <c r="AN128" i="6"/>
  <c r="AM53" i="6"/>
  <c r="Q128" i="6"/>
  <c r="CN128" i="6" s="1"/>
  <c r="CX128" i="6" s="1"/>
  <c r="P256" i="6"/>
  <c r="AM665" i="6"/>
  <c r="AL665" i="6"/>
  <c r="O144" i="6"/>
  <c r="AM664" i="6"/>
  <c r="P664" i="6"/>
  <c r="AL707" i="6"/>
  <c r="AM707" i="6"/>
  <c r="AN707" i="6"/>
  <c r="O663" i="6"/>
  <c r="P662" i="6"/>
  <c r="AN663" i="6"/>
  <c r="Q661" i="6"/>
  <c r="AM660" i="6"/>
  <c r="O659" i="6"/>
  <c r="CB659" i="6" s="1"/>
  <c r="AL121" i="6"/>
  <c r="P121" i="6"/>
  <c r="P658" i="6"/>
  <c r="Q121" i="6"/>
  <c r="AN658" i="6"/>
  <c r="O657" i="6"/>
  <c r="AC657" i="6" s="1"/>
  <c r="AL657" i="6"/>
  <c r="Q22" i="6"/>
  <c r="BL22" i="6" s="1"/>
  <c r="AL656" i="6"/>
  <c r="O655" i="6"/>
  <c r="AN656" i="6"/>
  <c r="AN655" i="6"/>
  <c r="O645" i="6"/>
  <c r="O644" i="6"/>
  <c r="AN645" i="6"/>
  <c r="O643" i="6"/>
  <c r="AN644" i="6"/>
  <c r="AL641" i="6"/>
  <c r="AN642" i="6"/>
  <c r="AM641" i="6"/>
  <c r="Q641" i="6"/>
  <c r="AL639" i="6"/>
  <c r="AN639" i="6"/>
  <c r="O638" i="6"/>
  <c r="AL638" i="6"/>
  <c r="O162" i="6"/>
  <c r="Q162" i="6"/>
  <c r="AN181" i="6"/>
  <c r="AN208" i="6"/>
  <c r="O207" i="6"/>
  <c r="P180" i="6"/>
  <c r="CC180" i="6" s="1"/>
  <c r="AL180" i="6"/>
  <c r="O206" i="6"/>
  <c r="Q180" i="6"/>
  <c r="Y403" i="6"/>
  <c r="AL403" i="6" s="1"/>
  <c r="AL577" i="6"/>
  <c r="AN635" i="6"/>
  <c r="P70" i="6"/>
  <c r="AN634" i="6"/>
  <c r="O393" i="6"/>
  <c r="AZ393" i="6" s="1"/>
  <c r="P637" i="6"/>
  <c r="Q10" i="6"/>
  <c r="P379" i="6"/>
  <c r="AM45" i="6"/>
  <c r="O379" i="6"/>
  <c r="P363" i="6"/>
  <c r="AA175" i="6"/>
  <c r="CN175" i="6" s="1"/>
  <c r="CX175" i="6" s="1"/>
  <c r="P690" i="6"/>
  <c r="CC690" i="6" s="1"/>
  <c r="O25" i="6"/>
  <c r="O365" i="6"/>
  <c r="AZ365" i="6" s="1"/>
  <c r="Q403" i="6"/>
  <c r="O408" i="6"/>
  <c r="AA407" i="6"/>
  <c r="AN407" i="6" s="1"/>
  <c r="Z409" i="6"/>
  <c r="AM409" i="6" s="1"/>
  <c r="Z130" i="6"/>
  <c r="AM130" i="6" s="1"/>
  <c r="Y411" i="6"/>
  <c r="AL411" i="6" s="1"/>
  <c r="P12" i="6"/>
  <c r="AD12" i="6" s="1"/>
  <c r="O278" i="6"/>
  <c r="Q566" i="6"/>
  <c r="CD566" i="6" s="1"/>
  <c r="P177" i="6"/>
  <c r="Q188" i="6"/>
  <c r="O406" i="6"/>
  <c r="O366" i="6"/>
  <c r="Q634" i="6"/>
  <c r="CN634" i="6" s="1"/>
  <c r="CX634" i="6" s="1"/>
  <c r="O175" i="6"/>
  <c r="P358" i="6"/>
  <c r="O165" i="6"/>
  <c r="AZ165" i="6" s="1"/>
  <c r="Z166" i="6"/>
  <c r="AM166" i="6" s="1"/>
  <c r="Y371" i="6"/>
  <c r="AL371" i="6" s="1"/>
  <c r="Q410" i="6"/>
  <c r="P133" i="6"/>
  <c r="Q58" i="6"/>
  <c r="CD58" i="6" s="1"/>
  <c r="Z382" i="6"/>
  <c r="AM382" i="6" s="1"/>
  <c r="Q576" i="6"/>
  <c r="O70" i="6"/>
  <c r="Z344" i="6"/>
  <c r="AM344" i="6" s="1"/>
  <c r="Z99" i="6"/>
  <c r="AM99" i="6" s="1"/>
  <c r="AL556" i="6"/>
  <c r="Q370" i="6"/>
  <c r="AA314" i="6"/>
  <c r="Q298" i="6"/>
  <c r="Z270" i="6"/>
  <c r="AM270" i="6" s="1"/>
  <c r="AA119" i="6"/>
  <c r="AN119" i="6" s="1"/>
  <c r="P209" i="6"/>
  <c r="CQ209" i="6" s="1"/>
  <c r="Q209" i="6"/>
  <c r="AN209" i="6"/>
  <c r="P157" i="6"/>
  <c r="O163" i="6"/>
  <c r="AC163" i="6" s="1"/>
  <c r="AM163" i="6"/>
  <c r="AL672" i="6"/>
  <c r="AL183" i="6"/>
  <c r="P671" i="6"/>
  <c r="P229" i="6"/>
  <c r="AN229" i="6"/>
  <c r="O229" i="6"/>
  <c r="P669" i="6"/>
  <c r="O668" i="6"/>
  <c r="Q669" i="6"/>
  <c r="CD669" i="6" s="1"/>
  <c r="P33" i="6"/>
  <c r="AL33" i="6"/>
  <c r="O666" i="6"/>
  <c r="O128" i="6"/>
  <c r="AL128" i="6"/>
  <c r="AL53" i="6"/>
  <c r="P53" i="6"/>
  <c r="P665" i="6"/>
  <c r="AN256" i="6"/>
  <c r="Q256" i="6"/>
  <c r="AN665" i="6"/>
  <c r="Q665" i="6"/>
  <c r="CR665" i="6" s="1"/>
  <c r="P707" i="6"/>
  <c r="Q707" i="6"/>
  <c r="AM662" i="6"/>
  <c r="O662" i="6"/>
  <c r="P661" i="6"/>
  <c r="Q662" i="6"/>
  <c r="BZ662" i="6" s="1"/>
  <c r="CJ662" i="6" s="1"/>
  <c r="AM243" i="6"/>
  <c r="O243" i="6"/>
  <c r="AC243" i="6" s="1"/>
  <c r="AL243" i="6"/>
  <c r="P96" i="6"/>
  <c r="AM96" i="6"/>
  <c r="O88" i="6"/>
  <c r="AL88" i="6"/>
  <c r="AN88" i="6"/>
  <c r="AL659" i="6"/>
  <c r="AN659" i="6"/>
  <c r="P182" i="6"/>
  <c r="AL658" i="6"/>
  <c r="AM658" i="6"/>
  <c r="Q182" i="6"/>
  <c r="Q658" i="6"/>
  <c r="P657" i="6"/>
  <c r="P22" i="6"/>
  <c r="BF22" i="6" s="1"/>
  <c r="AL655" i="6"/>
  <c r="P655" i="6"/>
  <c r="AL654" i="6"/>
  <c r="AM654" i="6"/>
  <c r="Q653" i="6"/>
  <c r="AL645" i="6"/>
  <c r="AM644" i="6"/>
  <c r="P644" i="6"/>
  <c r="P645" i="6"/>
  <c r="AL643" i="6"/>
  <c r="AM642" i="6"/>
  <c r="P642" i="6"/>
  <c r="O642" i="6"/>
  <c r="Q643" i="6"/>
  <c r="CD643" i="6" s="1"/>
  <c r="P640" i="6"/>
  <c r="O640" i="6"/>
  <c r="BX640" i="6" s="1"/>
  <c r="CH640" i="6" s="1"/>
  <c r="O639" i="6"/>
  <c r="P639" i="6"/>
  <c r="AL640" i="6"/>
  <c r="Q639" i="6"/>
  <c r="P638" i="6"/>
  <c r="CQ638" i="6" s="1"/>
  <c r="Q638" i="6"/>
  <c r="AM162" i="6"/>
  <c r="AM181" i="6"/>
  <c r="AN162" i="6"/>
  <c r="P181" i="6"/>
  <c r="AL181" i="6"/>
  <c r="P208" i="6"/>
  <c r="O180" i="6"/>
  <c r="CL180" i="6" s="1"/>
  <c r="CV180" i="6" s="1"/>
  <c r="AN207" i="6"/>
  <c r="AM180" i="6"/>
  <c r="AL206" i="6"/>
  <c r="P206" i="6"/>
  <c r="Q206" i="6"/>
  <c r="P167" i="6"/>
  <c r="P30" i="6"/>
  <c r="P409" i="6"/>
  <c r="Y292" i="6"/>
  <c r="AL292" i="6" s="1"/>
  <c r="AN101" i="6"/>
  <c r="AM571" i="6"/>
  <c r="P118" i="6"/>
  <c r="O384" i="6"/>
  <c r="P200" i="6"/>
  <c r="Q278" i="6"/>
  <c r="Q212" i="6"/>
  <c r="AE212" i="6" s="1"/>
  <c r="Y349" i="6"/>
  <c r="AL349" i="6" s="1"/>
  <c r="O310" i="6"/>
  <c r="O292" i="6"/>
  <c r="Z35" i="6"/>
  <c r="AM35" i="6" s="1"/>
  <c r="Q359" i="6"/>
  <c r="CR359" i="6" s="1"/>
  <c r="P301" i="6"/>
  <c r="BY301" i="6" s="1"/>
  <c r="CI301" i="6" s="1"/>
  <c r="Q579" i="6"/>
  <c r="AA242" i="6"/>
  <c r="AN242" i="6" s="1"/>
  <c r="AN637" i="6"/>
  <c r="O708" i="6"/>
  <c r="AA390" i="6"/>
  <c r="AN390" i="6" s="1"/>
  <c r="P137" i="6"/>
  <c r="AA422" i="6"/>
  <c r="AN422" i="6" s="1"/>
  <c r="Q89" i="6"/>
  <c r="CN89" i="6" s="1"/>
  <c r="CX89" i="6" s="1"/>
  <c r="O30" i="6"/>
  <c r="AN570" i="6"/>
  <c r="P168" i="6"/>
  <c r="AA15" i="6"/>
  <c r="AN15" i="6" s="1"/>
  <c r="Y70" i="6"/>
  <c r="AL70" i="6" s="1"/>
  <c r="Y177" i="6"/>
  <c r="AL177" i="6" s="1"/>
  <c r="AN231" i="6"/>
  <c r="Q158" i="6"/>
  <c r="Q300" i="6"/>
  <c r="Q583" i="6"/>
  <c r="O688" i="6"/>
  <c r="AM688" i="6"/>
  <c r="AN688" i="6"/>
  <c r="P184" i="6"/>
  <c r="O157" i="6"/>
  <c r="AM157" i="6"/>
  <c r="AN157" i="6"/>
  <c r="AL163" i="6"/>
  <c r="AM672" i="6"/>
  <c r="Q163" i="6"/>
  <c r="AM671" i="6"/>
  <c r="AN183" i="6"/>
  <c r="Q671" i="6"/>
  <c r="AL229" i="6"/>
  <c r="AN670" i="6"/>
  <c r="O279" i="6"/>
  <c r="CL279" i="6" s="1"/>
  <c r="CV279" i="6" s="1"/>
  <c r="AN279" i="6"/>
  <c r="Q279" i="6"/>
  <c r="CN279" i="6" s="1"/>
  <c r="CX279" i="6" s="1"/>
  <c r="P668" i="6"/>
  <c r="AL668" i="6"/>
  <c r="Q668" i="6"/>
  <c r="AN668" i="6"/>
  <c r="AM128" i="6"/>
  <c r="O53" i="6"/>
  <c r="AN53" i="6"/>
  <c r="Q53" i="6"/>
  <c r="P144" i="6"/>
  <c r="CC144" i="6" s="1"/>
  <c r="AL664" i="6"/>
  <c r="P663" i="6"/>
  <c r="AL663" i="6"/>
  <c r="AN661" i="6"/>
  <c r="P243" i="6"/>
  <c r="CQ243" i="6" s="1"/>
  <c r="P660" i="6"/>
  <c r="O96" i="6"/>
  <c r="Q96" i="6"/>
  <c r="AM121" i="6"/>
  <c r="Q659" i="6"/>
  <c r="AE659" i="6" s="1"/>
  <c r="AN121" i="6"/>
  <c r="O22" i="6"/>
  <c r="CP22" i="6" s="1"/>
  <c r="AN657" i="6"/>
  <c r="P656" i="6"/>
  <c r="Q656" i="6"/>
  <c r="O654" i="6"/>
  <c r="Q655" i="6"/>
  <c r="Q654" i="6"/>
  <c r="AE654" i="6" s="1"/>
  <c r="AL644" i="6"/>
  <c r="AM643" i="6"/>
  <c r="O641" i="6"/>
  <c r="P641" i="6"/>
  <c r="AM640" i="6"/>
  <c r="AM639" i="6"/>
  <c r="Q640" i="6"/>
  <c r="CN640" i="6" s="1"/>
  <c r="CX640" i="6" s="1"/>
  <c r="AN640" i="6"/>
  <c r="P162" i="6"/>
  <c r="BY162" i="6" s="1"/>
  <c r="CI162" i="6" s="1"/>
  <c r="AN638" i="6"/>
  <c r="O181" i="6"/>
  <c r="O208" i="6"/>
  <c r="AL208" i="6"/>
  <c r="P207" i="6"/>
  <c r="Q208" i="6"/>
  <c r="AM206" i="6"/>
  <c r="AN206" i="6"/>
  <c r="AM634" i="6"/>
  <c r="O579" i="6"/>
  <c r="AN560" i="6"/>
  <c r="AA270" i="6"/>
  <c r="AN270" i="6" s="1"/>
  <c r="BL270" i="6" s="1"/>
  <c r="BQ270" i="6" s="1"/>
  <c r="Q402" i="6"/>
  <c r="Z10" i="6"/>
  <c r="AN565" i="6"/>
  <c r="Z378" i="6"/>
  <c r="AM378" i="6" s="1"/>
  <c r="Q694" i="6"/>
  <c r="BL694" i="6" s="1"/>
  <c r="Q414" i="6"/>
  <c r="Y392" i="6"/>
  <c r="AL392" i="6" s="1"/>
  <c r="AA402" i="6"/>
  <c r="AN402" i="6" s="1"/>
  <c r="AL634" i="6"/>
  <c r="AL25" i="6"/>
  <c r="AA191" i="6"/>
  <c r="BZ191" i="6" s="1"/>
  <c r="CJ191" i="6" s="1"/>
  <c r="Z168" i="6"/>
  <c r="P384" i="6"/>
  <c r="AL561" i="6"/>
  <c r="O634" i="6"/>
  <c r="Z310" i="6"/>
  <c r="AM310" i="6" s="1"/>
  <c r="AL204" i="6"/>
  <c r="Z70" i="6"/>
  <c r="Q85" i="6"/>
  <c r="P24" i="6"/>
  <c r="AA414" i="6"/>
  <c r="AN414" i="6" s="1"/>
  <c r="O580" i="6"/>
  <c r="P228" i="6"/>
  <c r="BF228" i="6" s="1"/>
  <c r="Q90" i="6"/>
  <c r="Q353" i="6"/>
  <c r="BL353" i="6" s="1"/>
  <c r="Q25" i="6"/>
  <c r="BZ25" i="6" s="1"/>
  <c r="CJ25" i="6" s="1"/>
  <c r="P578" i="6"/>
  <c r="BY578" i="6" s="1"/>
  <c r="CI578" i="6" s="1"/>
  <c r="O302" i="6"/>
  <c r="O269" i="6"/>
  <c r="AN556" i="6"/>
  <c r="Q166" i="6"/>
  <c r="AM577" i="6"/>
  <c r="Y379" i="6"/>
  <c r="AL379" i="6" s="1"/>
  <c r="Z363" i="6"/>
  <c r="AM363" i="6" s="1"/>
  <c r="AA85" i="6"/>
  <c r="AN85" i="6" s="1"/>
  <c r="P176" i="6"/>
  <c r="Z158" i="6"/>
  <c r="CQ158" i="6" s="1"/>
  <c r="AM560" i="6"/>
  <c r="P43" i="6"/>
  <c r="BF43" i="6" s="1"/>
  <c r="Y24" i="6"/>
  <c r="AL24" i="6" s="1"/>
  <c r="AA398" i="6"/>
  <c r="AN398" i="6" s="1"/>
  <c r="O227" i="6"/>
  <c r="BX227" i="6" s="1"/>
  <c r="O422" i="6"/>
  <c r="AZ422" i="6" s="1"/>
  <c r="Y185" i="6"/>
  <c r="AL185" i="6" s="1"/>
  <c r="AZ185" i="6" s="1"/>
  <c r="O307" i="6"/>
  <c r="AA410" i="6"/>
  <c r="AN410" i="6" s="1"/>
  <c r="Y298" i="6"/>
  <c r="AL298" i="6" s="1"/>
  <c r="Y202" i="6"/>
  <c r="AL202" i="6" s="1"/>
  <c r="Y270" i="6"/>
  <c r="P303" i="6"/>
  <c r="Q16" i="6"/>
  <c r="O305" i="6"/>
  <c r="O392" i="6"/>
  <c r="AA90" i="6"/>
  <c r="AN90" i="6" s="1"/>
  <c r="Y386" i="6"/>
  <c r="AL386" i="6" s="1"/>
  <c r="Q358" i="6"/>
  <c r="Q345" i="6"/>
  <c r="CD345" i="6" s="1"/>
  <c r="AM556" i="6"/>
  <c r="Q565" i="6"/>
  <c r="P35" i="6"/>
  <c r="AL636" i="6"/>
  <c r="AM354" i="6"/>
  <c r="Z384" i="6"/>
  <c r="AM384" i="6" s="1"/>
  <c r="O403" i="6"/>
  <c r="Z192" i="6"/>
  <c r="AM192" i="6" s="1"/>
  <c r="Z320" i="6"/>
  <c r="AM320" i="6" s="1"/>
  <c r="Z307" i="6"/>
  <c r="Z408" i="6"/>
  <c r="Z415" i="6"/>
  <c r="AM415" i="6" s="1"/>
  <c r="P66" i="6"/>
  <c r="BF66" i="6" s="1"/>
  <c r="AA306" i="6"/>
  <c r="AN306" i="6" s="1"/>
  <c r="BL306" i="6" s="1"/>
  <c r="O369" i="6"/>
  <c r="P571" i="6"/>
  <c r="AL278" i="6"/>
  <c r="O400" i="6"/>
  <c r="Y364" i="6"/>
  <c r="AL364" i="6" s="1"/>
  <c r="Y191" i="6"/>
  <c r="AL191" i="6" s="1"/>
  <c r="O155" i="6"/>
  <c r="Y304" i="6"/>
  <c r="AL304" i="6" s="1"/>
  <c r="AA83" i="6"/>
  <c r="AN83" i="6" s="1"/>
  <c r="Q249" i="6"/>
  <c r="Z359" i="6"/>
  <c r="AM359" i="6" s="1"/>
  <c r="Y400" i="6"/>
  <c r="AL400" i="6" s="1"/>
  <c r="O375" i="6"/>
  <c r="Z131" i="6"/>
  <c r="AM131" i="6" s="1"/>
  <c r="P370" i="6"/>
  <c r="BF370" i="6" s="1"/>
  <c r="AL539" i="6"/>
  <c r="Q151" i="6"/>
  <c r="O172" i="6"/>
  <c r="P368" i="6"/>
  <c r="Q578" i="6"/>
  <c r="CR578" i="6" s="1"/>
  <c r="P153" i="6"/>
  <c r="Y375" i="6"/>
  <c r="AL375" i="6" s="1"/>
  <c r="O106" i="6"/>
  <c r="O291" i="6"/>
  <c r="Q260" i="6"/>
  <c r="Z90" i="6"/>
  <c r="AM90" i="6" s="1"/>
  <c r="AA198" i="6"/>
  <c r="AN198" i="6" s="1"/>
  <c r="Y391" i="6"/>
  <c r="AL391" i="6" s="1"/>
  <c r="Q378" i="6"/>
  <c r="O176" i="6"/>
  <c r="P205" i="6"/>
  <c r="AL29" i="6"/>
  <c r="AN573" i="6"/>
  <c r="AM635" i="6"/>
  <c r="AM569" i="6"/>
  <c r="AM553" i="6"/>
  <c r="P374" i="6"/>
  <c r="P410" i="6"/>
  <c r="P367" i="6"/>
  <c r="AA310" i="6"/>
  <c r="AN310" i="6" s="1"/>
  <c r="AN58" i="6"/>
  <c r="AM538" i="6"/>
  <c r="AN576" i="6"/>
  <c r="Q198" i="6"/>
  <c r="Z417" i="6"/>
  <c r="AM417" i="6" s="1"/>
  <c r="Y170" i="6"/>
  <c r="AL170" i="6" s="1"/>
  <c r="O374" i="6"/>
  <c r="Y210" i="6"/>
  <c r="AL210" i="6" s="1"/>
  <c r="AZ210" i="6" s="1"/>
  <c r="AA411" i="6"/>
  <c r="AN411" i="6" s="1"/>
  <c r="AA24" i="6"/>
  <c r="AN24" i="6" s="1"/>
  <c r="AN100" i="6"/>
  <c r="Z400" i="6"/>
  <c r="AM400" i="6" s="1"/>
  <c r="AL137" i="6"/>
  <c r="AN205" i="6"/>
  <c r="P85" i="6"/>
  <c r="Q197" i="6"/>
  <c r="CD197" i="6" s="1"/>
  <c r="Y350" i="6"/>
  <c r="AL350" i="6" s="1"/>
  <c r="P292" i="6"/>
  <c r="Q562" i="6"/>
  <c r="AE562" i="6" s="1"/>
  <c r="AA151" i="6"/>
  <c r="AN151" i="6" s="1"/>
  <c r="AL301" i="6"/>
  <c r="O254" i="6"/>
  <c r="AZ254" i="6" s="1"/>
  <c r="P355" i="6"/>
  <c r="Q637" i="6"/>
  <c r="Z118" i="6"/>
  <c r="AM118" i="6" s="1"/>
  <c r="Y299" i="6"/>
  <c r="AL299" i="6" s="1"/>
  <c r="Q420" i="6"/>
  <c r="Z292" i="6"/>
  <c r="AM292" i="6" s="1"/>
  <c r="AA370" i="6"/>
  <c r="AN370" i="6" s="1"/>
  <c r="AA397" i="6"/>
  <c r="AN636" i="6"/>
  <c r="Q406" i="6"/>
  <c r="O261" i="6"/>
  <c r="O304" i="6"/>
  <c r="Y176" i="6"/>
  <c r="AL176" i="6" s="1"/>
  <c r="Q242" i="6"/>
  <c r="AA317" i="6"/>
  <c r="AN317" i="6" s="1"/>
  <c r="P577" i="6"/>
  <c r="Y300" i="6"/>
  <c r="AL300" i="6" s="1"/>
  <c r="Z308" i="6"/>
  <c r="AM308" i="6" s="1"/>
  <c r="Y21" i="6"/>
  <c r="AL21" i="6" s="1"/>
  <c r="AA158" i="6"/>
  <c r="AN158" i="6" s="1"/>
  <c r="AA364" i="6"/>
  <c r="AN364" i="6" s="1"/>
  <c r="Z177" i="6"/>
  <c r="AM177" i="6" s="1"/>
  <c r="Z410" i="6"/>
  <c r="AM410" i="6" s="1"/>
  <c r="O116" i="6"/>
  <c r="Z224" i="6"/>
  <c r="AM224" i="6" s="1"/>
  <c r="O24" i="6"/>
  <c r="AN89" i="6"/>
  <c r="AL136" i="6"/>
  <c r="P191" i="6"/>
  <c r="AL160" i="6"/>
  <c r="Z148" i="6"/>
  <c r="AM148" i="6" s="1"/>
  <c r="Q301" i="6"/>
  <c r="BZ301" i="6" s="1"/>
  <c r="CJ301" i="6" s="1"/>
  <c r="P369" i="6"/>
  <c r="AL559" i="6"/>
  <c r="Y98" i="6"/>
  <c r="AL98" i="6" s="1"/>
  <c r="AM30" i="6"/>
  <c r="Z167" i="6"/>
  <c r="AM167" i="6" s="1"/>
  <c r="P354" i="6"/>
  <c r="AA14" i="6"/>
  <c r="AN14" i="6" s="1"/>
  <c r="AM562" i="6"/>
  <c r="P300" i="6"/>
  <c r="Y262" i="6"/>
  <c r="AL262" i="6" s="1"/>
  <c r="AL566" i="6"/>
  <c r="Q251" i="6"/>
  <c r="CR251" i="6" s="1"/>
  <c r="O380" i="6"/>
  <c r="AA406" i="6"/>
  <c r="AN406" i="6" s="1"/>
  <c r="Y261" i="6"/>
  <c r="AL261" i="6" s="1"/>
  <c r="O137" i="6"/>
  <c r="CL137" i="6" s="1"/>
  <c r="CV137" i="6" s="1"/>
  <c r="Q153" i="6"/>
  <c r="Q570" i="6"/>
  <c r="BZ570" i="6" s="1"/>
  <c r="CJ570" i="6" s="1"/>
  <c r="O361" i="6"/>
  <c r="CB361" i="6" s="1"/>
  <c r="AA166" i="6"/>
  <c r="AN166" i="6" s="1"/>
  <c r="AA211" i="6"/>
  <c r="AN211" i="6" s="1"/>
  <c r="AA10" i="6"/>
  <c r="AN10" i="6" s="1"/>
  <c r="Y116" i="6"/>
  <c r="AL116" i="6" s="1"/>
  <c r="Y307" i="6"/>
  <c r="AL307" i="6" s="1"/>
  <c r="Z187" i="6"/>
  <c r="AM187" i="6" s="1"/>
  <c r="Q119" i="6"/>
  <c r="Z376" i="6"/>
  <c r="AM376" i="6" s="1"/>
  <c r="P385" i="6"/>
  <c r="BF385" i="6" s="1"/>
  <c r="Q205" i="6"/>
  <c r="Z309" i="6"/>
  <c r="AM309" i="6" s="1"/>
  <c r="AA155" i="6"/>
  <c r="AN155" i="6" s="1"/>
  <c r="P356" i="6"/>
  <c r="AN555" i="6"/>
  <c r="Y421" i="6"/>
  <c r="AL421" i="6" s="1"/>
  <c r="AN562" i="6"/>
  <c r="Y384" i="6"/>
  <c r="AL384" i="6" s="1"/>
  <c r="Z402" i="6"/>
  <c r="Q690" i="6"/>
  <c r="P636" i="6"/>
  <c r="P405" i="6"/>
  <c r="P251" i="6"/>
  <c r="Z356" i="6"/>
  <c r="AM356" i="6" s="1"/>
  <c r="Y377" i="6"/>
  <c r="AL377" i="6" s="1"/>
  <c r="AM159" i="6"/>
  <c r="P396" i="6"/>
  <c r="Z123" i="6"/>
  <c r="AM123" i="6" s="1"/>
  <c r="AA320" i="6"/>
  <c r="AN320" i="6" s="1"/>
  <c r="Y417" i="6"/>
  <c r="AL417" i="6" s="1"/>
  <c r="AZ417" i="6" s="1"/>
  <c r="Q24" i="6"/>
  <c r="O89" i="6"/>
  <c r="Y134" i="6"/>
  <c r="AL134" i="6" s="1"/>
  <c r="AZ134" i="6" s="1"/>
  <c r="Y415" i="6"/>
  <c r="AL415" i="6" s="1"/>
  <c r="Y271" i="6"/>
  <c r="AL271" i="6" s="1"/>
  <c r="AA371" i="6"/>
  <c r="AN371" i="6" s="1"/>
  <c r="BL371" i="6" s="1"/>
  <c r="P82" i="6"/>
  <c r="BF82" i="6" s="1"/>
  <c r="AL30" i="6"/>
  <c r="AM278" i="6"/>
  <c r="P134" i="6"/>
  <c r="Q110" i="6"/>
  <c r="Y387" i="6"/>
  <c r="AL387" i="6" s="1"/>
  <c r="Q386" i="6"/>
  <c r="O636" i="6"/>
  <c r="O298" i="6"/>
  <c r="Q82" i="6"/>
  <c r="Q363" i="6"/>
  <c r="Y316" i="6"/>
  <c r="AL316" i="6" s="1"/>
  <c r="P308" i="6"/>
  <c r="Q422" i="6"/>
  <c r="AL34" i="6"/>
  <c r="Q305" i="6"/>
  <c r="AA378" i="6"/>
  <c r="AN378" i="6" s="1"/>
  <c r="AA249" i="6"/>
  <c r="AN249" i="6" s="1"/>
  <c r="P187" i="6"/>
  <c r="Z210" i="6"/>
  <c r="AM210" i="6" s="1"/>
  <c r="AA381" i="6"/>
  <c r="AN381" i="6" s="1"/>
  <c r="Q155" i="6"/>
  <c r="Q635" i="6"/>
  <c r="AL555" i="6"/>
  <c r="Y106" i="6"/>
  <c r="AL106" i="6" s="1"/>
  <c r="P344" i="6"/>
  <c r="O262" i="6"/>
  <c r="O421" i="6"/>
  <c r="AA420" i="6"/>
  <c r="AN420" i="6" s="1"/>
  <c r="AA106" i="6"/>
  <c r="AN106" i="6" s="1"/>
  <c r="P573" i="6"/>
  <c r="O199" i="6"/>
  <c r="Z134" i="6"/>
  <c r="AM134" i="6" s="1"/>
  <c r="AM251" i="6"/>
  <c r="AN558" i="6"/>
  <c r="AA133" i="6"/>
  <c r="AN133" i="6" s="1"/>
  <c r="Z396" i="6"/>
  <c r="AM396" i="6" s="1"/>
  <c r="AN159" i="6"/>
  <c r="AM550" i="6"/>
  <c r="Q369" i="6"/>
  <c r="Q98" i="6"/>
  <c r="CR98" i="6" s="1"/>
  <c r="AA298" i="6"/>
  <c r="AN298" i="6" s="1"/>
  <c r="AL89" i="6"/>
  <c r="O371" i="6"/>
  <c r="Y260" i="6"/>
  <c r="AL260" i="6" s="1"/>
  <c r="Q14" i="6"/>
  <c r="Q373" i="6"/>
  <c r="Y130" i="6"/>
  <c r="AL130" i="6" s="1"/>
  <c r="P365" i="6"/>
  <c r="O564" i="6"/>
  <c r="O202" i="6"/>
  <c r="O419" i="6"/>
  <c r="CL419" i="6" s="1"/>
  <c r="CV419" i="6" s="1"/>
  <c r="P106" i="6"/>
  <c r="AA369" i="6"/>
  <c r="AN369" i="6" s="1"/>
  <c r="Y708" i="6"/>
  <c r="AL708" i="6" s="1"/>
  <c r="AN549" i="6"/>
  <c r="Z153" i="6"/>
  <c r="AM153" i="6" s="1"/>
  <c r="Y357" i="6"/>
  <c r="AL357" i="6" s="1"/>
  <c r="O154" i="6"/>
  <c r="O300" i="6"/>
  <c r="Y242" i="6"/>
  <c r="AM568" i="6"/>
  <c r="P417" i="6"/>
  <c r="O562" i="6"/>
  <c r="P14" i="6"/>
  <c r="P565" i="6"/>
  <c r="CM565" i="6" s="1"/>
  <c r="CW565" i="6" s="1"/>
  <c r="O301" i="6"/>
  <c r="AL558" i="6"/>
  <c r="AM205" i="6"/>
  <c r="Z355" i="6"/>
  <c r="AM355" i="6" s="1"/>
  <c r="Q310" i="6"/>
  <c r="P210" i="6"/>
  <c r="AA318" i="6"/>
  <c r="AN318" i="6" s="1"/>
  <c r="Z407" i="6"/>
  <c r="AM407" i="6" s="1"/>
  <c r="Q393" i="6"/>
  <c r="BL393" i="6" s="1"/>
  <c r="O372" i="6"/>
  <c r="AM137" i="6"/>
  <c r="AM34" i="6"/>
  <c r="AA363" i="6"/>
  <c r="AN363" i="6" s="1"/>
  <c r="O170" i="6"/>
  <c r="Q29" i="6"/>
  <c r="CR29" i="6" s="1"/>
  <c r="Z397" i="6"/>
  <c r="AM397" i="6" s="1"/>
  <c r="Q106" i="6"/>
  <c r="AM101" i="6"/>
  <c r="AM580" i="6"/>
  <c r="BF580" i="6" s="1"/>
  <c r="AN548" i="6"/>
  <c r="P298" i="6"/>
  <c r="CC298" i="6" s="1"/>
  <c r="P635" i="6"/>
  <c r="P397" i="6"/>
  <c r="Q389" i="6"/>
  <c r="AA304" i="6"/>
  <c r="AN304" i="6" s="1"/>
  <c r="Z374" i="6"/>
  <c r="AM374" i="6" s="1"/>
  <c r="AN579" i="6"/>
  <c r="AL45" i="6"/>
  <c r="Q396" i="6"/>
  <c r="P148" i="6"/>
  <c r="AN137" i="6"/>
  <c r="AA110" i="6"/>
  <c r="Q401" i="6"/>
  <c r="AL354" i="6"/>
  <c r="Z269" i="6"/>
  <c r="BY269" i="6" s="1"/>
  <c r="AL554" i="6"/>
  <c r="AN29" i="6"/>
  <c r="AA389" i="6"/>
  <c r="AN389" i="6" s="1"/>
  <c r="AN550" i="6"/>
  <c r="AA362" i="6"/>
  <c r="AN362" i="6" s="1"/>
  <c r="P270" i="6"/>
  <c r="P378" i="6"/>
  <c r="O357" i="6"/>
  <c r="AN539" i="6"/>
  <c r="O148" i="6"/>
  <c r="P382" i="6"/>
  <c r="Q199" i="6"/>
  <c r="Y318" i="6"/>
  <c r="AL318" i="6" s="1"/>
  <c r="O377" i="6"/>
  <c r="AM540" i="6"/>
  <c r="Y355" i="6"/>
  <c r="AL355" i="6" s="1"/>
  <c r="P99" i="6"/>
  <c r="AA357" i="6"/>
  <c r="AL564" i="6"/>
  <c r="Q299" i="6"/>
  <c r="P123" i="6"/>
  <c r="Y380" i="6"/>
  <c r="AL380" i="6" s="1"/>
  <c r="Q636" i="6"/>
  <c r="CR636" i="6" s="1"/>
  <c r="O38" i="6"/>
  <c r="Q624" i="6"/>
  <c r="CR624" i="6" s="1"/>
  <c r="AN95" i="6"/>
  <c r="O637" i="6"/>
  <c r="CB637" i="6" s="1"/>
  <c r="Y396" i="6"/>
  <c r="AL396" i="6" s="1"/>
  <c r="Z404" i="6"/>
  <c r="AM404" i="6" s="1"/>
  <c r="P145" i="6"/>
  <c r="Q95" i="6"/>
  <c r="O167" i="6"/>
  <c r="Q261" i="6"/>
  <c r="O312" i="6"/>
  <c r="Y315" i="6"/>
  <c r="AL315" i="6" s="1"/>
  <c r="O563" i="6"/>
  <c r="Y418" i="6"/>
  <c r="AL418" i="6" s="1"/>
  <c r="O376" i="6"/>
  <c r="AL568" i="6"/>
  <c r="Y37" i="6"/>
  <c r="AL37" i="6" s="1"/>
  <c r="AA388" i="6"/>
  <c r="AN388" i="6" s="1"/>
  <c r="Q374" i="6"/>
  <c r="Z98" i="6"/>
  <c r="AM98" i="6" s="1"/>
  <c r="AM546" i="6"/>
  <c r="O382" i="6"/>
  <c r="Z708" i="6"/>
  <c r="AM708" i="6" s="1"/>
  <c r="O344" i="6"/>
  <c r="Y167" i="6"/>
  <c r="AL167" i="6" s="1"/>
  <c r="O396" i="6"/>
  <c r="AL101" i="6"/>
  <c r="Y399" i="6"/>
  <c r="AL399" i="6" s="1"/>
  <c r="AN296" i="6"/>
  <c r="AA374" i="6"/>
  <c r="AN374" i="6" s="1"/>
  <c r="Y313" i="6"/>
  <c r="AL313" i="6" s="1"/>
  <c r="AM555" i="6"/>
  <c r="Q30" i="6"/>
  <c r="CN30" i="6" s="1"/>
  <c r="CX30" i="6" s="1"/>
  <c r="Z419" i="6"/>
  <c r="AM419" i="6" s="1"/>
  <c r="P708" i="6"/>
  <c r="AA377" i="6"/>
  <c r="AN377" i="6" s="1"/>
  <c r="AA114" i="6"/>
  <c r="AN114" i="6" s="1"/>
  <c r="AL550" i="6"/>
  <c r="AL60" i="6"/>
  <c r="Q164" i="6"/>
  <c r="Q134" i="6"/>
  <c r="P156" i="6"/>
  <c r="AA382" i="6"/>
  <c r="AN382" i="6" s="1"/>
  <c r="AA400" i="6"/>
  <c r="AN400" i="6" s="1"/>
  <c r="Z245" i="6"/>
  <c r="AM245" i="6" s="1"/>
  <c r="P194" i="6"/>
  <c r="Z11" i="6"/>
  <c r="AM11" i="6" s="1"/>
  <c r="AA706" i="6"/>
  <c r="AN706" i="6" s="1"/>
  <c r="Q39" i="6"/>
  <c r="O17" i="6"/>
  <c r="O40" i="6"/>
  <c r="Q339" i="6"/>
  <c r="O706" i="6"/>
  <c r="AA339" i="6"/>
  <c r="AN339" i="6" s="1"/>
  <c r="Y337" i="6"/>
  <c r="AL337" i="6" s="1"/>
  <c r="Q706" i="6"/>
  <c r="P706" i="6"/>
  <c r="Y16" i="6"/>
  <c r="CL16" i="6" s="1"/>
  <c r="P418" i="6"/>
  <c r="CQ418" i="6" s="1"/>
  <c r="Q83" i="6"/>
  <c r="Z368" i="6"/>
  <c r="AM368" i="6" s="1"/>
  <c r="O378" i="6"/>
  <c r="Y154" i="6"/>
  <c r="AL154" i="6" s="1"/>
  <c r="AA349" i="6"/>
  <c r="AN349" i="6" s="1"/>
  <c r="O271" i="6"/>
  <c r="O364" i="6"/>
  <c r="AL100" i="6"/>
  <c r="O566" i="6"/>
  <c r="CL566" i="6" s="1"/>
  <c r="CV566" i="6" s="1"/>
  <c r="O391" i="6"/>
  <c r="P392" i="6"/>
  <c r="BF392" i="6" s="1"/>
  <c r="P569" i="6"/>
  <c r="BY569" i="6" s="1"/>
  <c r="CI569" i="6" s="1"/>
  <c r="P416" i="6"/>
  <c r="P98" i="6"/>
  <c r="Z306" i="6"/>
  <c r="AM306" i="6" s="1"/>
  <c r="P170" i="6"/>
  <c r="AA134" i="6"/>
  <c r="AN134" i="6" s="1"/>
  <c r="P422" i="6"/>
  <c r="AL637" i="6"/>
  <c r="AA123" i="6"/>
  <c r="AN123" i="6" s="1"/>
  <c r="Z414" i="6"/>
  <c r="AM414" i="6" s="1"/>
  <c r="O575" i="6"/>
  <c r="Z170" i="6"/>
  <c r="AM170" i="6" s="1"/>
  <c r="Q375" i="6"/>
  <c r="Y241" i="6"/>
  <c r="AL241" i="6" s="1"/>
  <c r="AL575" i="6"/>
  <c r="O356" i="6"/>
  <c r="AA375" i="6"/>
  <c r="AN375" i="6" s="1"/>
  <c r="Y367" i="6"/>
  <c r="AL367" i="6" s="1"/>
  <c r="Y344" i="6"/>
  <c r="AL344" i="6" s="1"/>
  <c r="Y303" i="6"/>
  <c r="AL303" i="6" s="1"/>
  <c r="Y309" i="6"/>
  <c r="AL309" i="6" s="1"/>
  <c r="Y198" i="6"/>
  <c r="AL198" i="6" s="1"/>
  <c r="P419" i="6"/>
  <c r="O367" i="6"/>
  <c r="Y405" i="6"/>
  <c r="AL405" i="6" s="1"/>
  <c r="Z199" i="6"/>
  <c r="AM199" i="6" s="1"/>
  <c r="P403" i="6"/>
  <c r="O635" i="6"/>
  <c r="Q387" i="6"/>
  <c r="Q382" i="6"/>
  <c r="Q388" i="6"/>
  <c r="AL547" i="6"/>
  <c r="AN552" i="6"/>
  <c r="Y166" i="6"/>
  <c r="AL166" i="6" s="1"/>
  <c r="Y351" i="6"/>
  <c r="AL351" i="6" s="1"/>
  <c r="Q292" i="6"/>
  <c r="O303" i="6"/>
  <c r="AL635" i="6"/>
  <c r="O339" i="6"/>
  <c r="Y11" i="6"/>
  <c r="AL11" i="6" s="1"/>
  <c r="Y40" i="6"/>
  <c r="AL40" i="6" s="1"/>
  <c r="P17" i="6"/>
  <c r="AA17" i="6"/>
  <c r="AN17" i="6" s="1"/>
  <c r="Q194" i="6"/>
  <c r="Q337" i="6"/>
  <c r="Q40" i="6"/>
  <c r="Z337" i="6"/>
  <c r="AM337" i="6" s="1"/>
  <c r="Y48" i="6"/>
  <c r="AL48" i="6" s="1"/>
  <c r="Y338" i="6"/>
  <c r="AL338" i="6" s="1"/>
  <c r="AA337" i="6"/>
  <c r="AN337" i="6" s="1"/>
  <c r="O48" i="6"/>
  <c r="Q11" i="6"/>
  <c r="AA373" i="6"/>
  <c r="AN373" i="6" s="1"/>
  <c r="AL159" i="6"/>
  <c r="Q573" i="6"/>
  <c r="AA300" i="6"/>
  <c r="AN300" i="6" s="1"/>
  <c r="Z106" i="6"/>
  <c r="AM106" i="6" s="1"/>
  <c r="Q362" i="6"/>
  <c r="O191" i="6"/>
  <c r="Q311" i="6"/>
  <c r="AE311" i="6" s="1"/>
  <c r="Q390" i="6"/>
  <c r="AA351" i="6"/>
  <c r="AN351" i="6" s="1"/>
  <c r="Z133" i="6"/>
  <c r="AM133" i="6" s="1"/>
  <c r="AM636" i="6"/>
  <c r="Y378" i="6"/>
  <c r="AL378" i="6" s="1"/>
  <c r="P90" i="6"/>
  <c r="Q231" i="6"/>
  <c r="Y390" i="6"/>
  <c r="AL390" i="6" s="1"/>
  <c r="AZ390" i="6" s="1"/>
  <c r="Y26" i="6"/>
  <c r="AL26" i="6" s="1"/>
  <c r="AL562" i="6"/>
  <c r="Z391" i="6"/>
  <c r="AM391" i="6" s="1"/>
  <c r="P60" i="6"/>
  <c r="CM60" i="6" s="1"/>
  <c r="CW60" i="6" s="1"/>
  <c r="P101" i="6"/>
  <c r="AA176" i="6"/>
  <c r="AN176" i="6" s="1"/>
  <c r="Q202" i="6"/>
  <c r="Y151" i="6"/>
  <c r="AL151" i="6" s="1"/>
  <c r="AL560" i="6"/>
  <c r="O363" i="6"/>
  <c r="AM547" i="6"/>
  <c r="AM117" i="6"/>
  <c r="Z112" i="6"/>
  <c r="AM112" i="6" s="1"/>
  <c r="AA387" i="6"/>
  <c r="AN387" i="6" s="1"/>
  <c r="P353" i="6"/>
  <c r="O416" i="6"/>
  <c r="O313" i="6"/>
  <c r="Y356" i="6"/>
  <c r="AL356" i="6" s="1"/>
  <c r="O576" i="6"/>
  <c r="Z353" i="6"/>
  <c r="Q377" i="6"/>
  <c r="Q114" i="6"/>
  <c r="P199" i="6"/>
  <c r="AA366" i="6"/>
  <c r="AN366" i="6" s="1"/>
  <c r="Y404" i="6"/>
  <c r="AL404" i="6" s="1"/>
  <c r="AM559" i="6"/>
  <c r="AA708" i="6"/>
  <c r="AN708" i="6" s="1"/>
  <c r="AN624" i="6"/>
  <c r="AA261" i="6"/>
  <c r="AN261" i="6" s="1"/>
  <c r="P404" i="6"/>
  <c r="O153" i="6"/>
  <c r="P245" i="6"/>
  <c r="O308" i="6"/>
  <c r="P315" i="6"/>
  <c r="Y320" i="6"/>
  <c r="AL320" i="6" s="1"/>
  <c r="Q567" i="6"/>
  <c r="Q708" i="6"/>
  <c r="Q145" i="6"/>
  <c r="Q400" i="6"/>
  <c r="Y188" i="6"/>
  <c r="AL188" i="6" s="1"/>
  <c r="AM160" i="6"/>
  <c r="O60" i="6"/>
  <c r="Z155" i="6"/>
  <c r="AM155" i="6" s="1"/>
  <c r="P114" i="6"/>
  <c r="AA145" i="6"/>
  <c r="AN145" i="6" s="1"/>
  <c r="O373" i="6"/>
  <c r="Z383" i="6"/>
  <c r="AM383" i="6" s="1"/>
  <c r="Q123" i="6"/>
  <c r="O151" i="6"/>
  <c r="Y312" i="6"/>
  <c r="AL312" i="6" s="1"/>
  <c r="Z315" i="6"/>
  <c r="AL296" i="6"/>
  <c r="AN564" i="6"/>
  <c r="Q176" i="6"/>
  <c r="Y321" i="6"/>
  <c r="AL321" i="6" s="1"/>
  <c r="Z405" i="6"/>
  <c r="AM405" i="6" s="1"/>
  <c r="Q196" i="6"/>
  <c r="BL196" i="6" s="1"/>
  <c r="O401" i="6"/>
  <c r="AL582" i="6"/>
  <c r="O177" i="6"/>
  <c r="P570" i="6"/>
  <c r="P574" i="6"/>
  <c r="O156" i="6"/>
  <c r="Y360" i="6"/>
  <c r="AC360" i="6" s="1"/>
  <c r="AM565" i="6"/>
  <c r="Q314" i="6"/>
  <c r="AA241" i="6"/>
  <c r="AA305" i="6"/>
  <c r="AN305" i="6" s="1"/>
  <c r="AA156" i="6"/>
  <c r="AN156" i="6" s="1"/>
  <c r="AA404" i="6"/>
  <c r="CD404" i="6" s="1"/>
  <c r="AA200" i="6"/>
  <c r="AN200" i="6" s="1"/>
  <c r="Q35" i="6"/>
  <c r="O136" i="6"/>
  <c r="Y199" i="6"/>
  <c r="AL199" i="6" s="1"/>
  <c r="P278" i="6"/>
  <c r="P364" i="6"/>
  <c r="BF364" i="6" s="1"/>
  <c r="P211" i="6"/>
  <c r="AN301" i="6"/>
  <c r="P131" i="6"/>
  <c r="AA386" i="6"/>
  <c r="AN386" i="6" s="1"/>
  <c r="Y372" i="6"/>
  <c r="AL372" i="6" s="1"/>
  <c r="AA401" i="6"/>
  <c r="AN401" i="6" s="1"/>
  <c r="P562" i="6"/>
  <c r="CM562" i="6" s="1"/>
  <c r="CW562" i="6" s="1"/>
  <c r="O29" i="6"/>
  <c r="AM574" i="6"/>
  <c r="Q364" i="6"/>
  <c r="O132" i="6"/>
  <c r="AC132" i="6" s="1"/>
  <c r="O568" i="6"/>
  <c r="O241" i="6"/>
  <c r="AM549" i="6"/>
  <c r="AM55" i="6"/>
  <c r="O404" i="6"/>
  <c r="O166" i="6"/>
  <c r="P155" i="6"/>
  <c r="Z114" i="6"/>
  <c r="AM114" i="6" s="1"/>
  <c r="Q43" i="6"/>
  <c r="BL43" i="6" s="1"/>
  <c r="O66" i="6"/>
  <c r="O198" i="6"/>
  <c r="AZ198" i="6" s="1"/>
  <c r="AA164" i="6"/>
  <c r="AN164" i="6" s="1"/>
  <c r="Y20" i="6"/>
  <c r="AL20" i="6" s="1"/>
  <c r="Z422" i="6"/>
  <c r="Z339" i="6"/>
  <c r="AM339" i="6" s="1"/>
  <c r="O309" i="6"/>
  <c r="AL549" i="6"/>
  <c r="AA292" i="6"/>
  <c r="AN292" i="6" s="1"/>
  <c r="Z156" i="6"/>
  <c r="AM156" i="6" s="1"/>
  <c r="P383" i="6"/>
  <c r="O188" i="6"/>
  <c r="AN160" i="6"/>
  <c r="AL563" i="6"/>
  <c r="CN571" i="6"/>
  <c r="CX571" i="6" s="1"/>
  <c r="AA202" i="6"/>
  <c r="AN202" i="6" s="1"/>
  <c r="Y416" i="6"/>
  <c r="AL416" i="6" s="1"/>
  <c r="Q361" i="6"/>
  <c r="AM204" i="6"/>
  <c r="Y376" i="6"/>
  <c r="AL376" i="6" s="1"/>
  <c r="Q76" i="6"/>
  <c r="Z56" i="6"/>
  <c r="AM56" i="6" s="1"/>
  <c r="O87" i="6"/>
  <c r="AA56" i="6"/>
  <c r="AN56" i="6" s="1"/>
  <c r="O102" i="6"/>
  <c r="P13" i="6"/>
  <c r="AA13" i="6"/>
  <c r="AN13" i="6" s="1"/>
  <c r="O76" i="6"/>
  <c r="Z76" i="6"/>
  <c r="AM76" i="6" s="1"/>
  <c r="AA76" i="6"/>
  <c r="AN76" i="6" s="1"/>
  <c r="Q222" i="6"/>
  <c r="Q102" i="6"/>
  <c r="Z13" i="6"/>
  <c r="AM13" i="6" s="1"/>
  <c r="Q13" i="6"/>
  <c r="AM252" i="6"/>
  <c r="P139" i="6"/>
  <c r="AN252" i="6"/>
  <c r="AN139" i="6"/>
  <c r="AL678" i="6"/>
  <c r="AL677" i="6"/>
  <c r="AN676" i="6"/>
  <c r="Z20" i="6"/>
  <c r="AM20" i="6" s="1"/>
  <c r="Q346" i="6"/>
  <c r="P345" i="6"/>
  <c r="Y352" i="6"/>
  <c r="AL352" i="6" s="1"/>
  <c r="Y385" i="6"/>
  <c r="AL385" i="6" s="1"/>
  <c r="AA217" i="6"/>
  <c r="AN217" i="6" s="1"/>
  <c r="O418" i="6"/>
  <c r="O399" i="6"/>
  <c r="Y373" i="6"/>
  <c r="AL373" i="6" s="1"/>
  <c r="Z403" i="6"/>
  <c r="AM403" i="6" s="1"/>
  <c r="P414" i="6"/>
  <c r="Y153" i="6"/>
  <c r="AL153" i="6" s="1"/>
  <c r="Y224" i="6"/>
  <c r="AL224" i="6" s="1"/>
  <c r="O101" i="6"/>
  <c r="AA39" i="6"/>
  <c r="Y706" i="6"/>
  <c r="AL706" i="6" s="1"/>
  <c r="Z17" i="6"/>
  <c r="AM17" i="6" s="1"/>
  <c r="AA11" i="6"/>
  <c r="AN11" i="6" s="1"/>
  <c r="Q17" i="6"/>
  <c r="Y17" i="6"/>
  <c r="AL17" i="6" s="1"/>
  <c r="AA40" i="6"/>
  <c r="AN40" i="6" s="1"/>
  <c r="Q48" i="6"/>
  <c r="Y39" i="6"/>
  <c r="AL39" i="6" s="1"/>
  <c r="Y339" i="6"/>
  <c r="AL339" i="6" s="1"/>
  <c r="O11" i="6"/>
  <c r="O337" i="6"/>
  <c r="AA338" i="6"/>
  <c r="AN338" i="6" s="1"/>
  <c r="Y194" i="6"/>
  <c r="AL194" i="6" s="1"/>
  <c r="O39" i="6"/>
  <c r="Z194" i="6"/>
  <c r="AM194" i="6" s="1"/>
  <c r="P76" i="6"/>
  <c r="Z222" i="6"/>
  <c r="AM222" i="6" s="1"/>
  <c r="Y222" i="6"/>
  <c r="AL222" i="6" s="1"/>
  <c r="P56" i="6"/>
  <c r="P87" i="6"/>
  <c r="P102" i="6"/>
  <c r="Y109" i="6"/>
  <c r="AL109" i="6" s="1"/>
  <c r="P109" i="6"/>
  <c r="Z109" i="6"/>
  <c r="O13" i="6"/>
  <c r="BX13" i="6" s="1"/>
  <c r="AA109" i="6"/>
  <c r="AN109" i="6" s="1"/>
  <c r="Q31" i="6"/>
  <c r="AM219" i="6"/>
  <c r="AN239" i="6"/>
  <c r="AL234" i="6"/>
  <c r="AM139" i="6"/>
  <c r="AM678" i="6"/>
  <c r="AM676" i="6"/>
  <c r="AM674" i="6"/>
  <c r="AN623" i="6"/>
  <c r="P94" i="6"/>
  <c r="AN94" i="6"/>
  <c r="O120" i="6"/>
  <c r="AN120" i="6"/>
  <c r="AN193" i="6"/>
  <c r="O93" i="6"/>
  <c r="O621" i="6"/>
  <c r="AZ621" i="6" s="1"/>
  <c r="AM620" i="6"/>
  <c r="AN620" i="6"/>
  <c r="Z237" i="6"/>
  <c r="AM237" i="6" s="1"/>
  <c r="Z322" i="6"/>
  <c r="AM322" i="6" s="1"/>
  <c r="Z220" i="6"/>
  <c r="AM220" i="6" s="1"/>
  <c r="AL161" i="6"/>
  <c r="Q66" i="6"/>
  <c r="BL66" i="6" s="1"/>
  <c r="Y382" i="6"/>
  <c r="AL382" i="6" s="1"/>
  <c r="Z145" i="6"/>
  <c r="AM145" i="6" s="1"/>
  <c r="O353" i="6"/>
  <c r="AL551" i="6"/>
  <c r="O395" i="6"/>
  <c r="Y395" i="6"/>
  <c r="AA384" i="6"/>
  <c r="AN384" i="6" s="1"/>
  <c r="P339" i="6"/>
  <c r="O405" i="6"/>
  <c r="Y308" i="6"/>
  <c r="AL308" i="6" s="1"/>
  <c r="O315" i="6"/>
  <c r="AN567" i="6"/>
  <c r="AA361" i="6"/>
  <c r="AN361" i="6" s="1"/>
  <c r="Q366" i="6"/>
  <c r="AL576" i="6"/>
  <c r="P112" i="6"/>
  <c r="AA173" i="6"/>
  <c r="AN173" i="6" s="1"/>
  <c r="Q564" i="6"/>
  <c r="CN564" i="6" s="1"/>
  <c r="CX564" i="6" s="1"/>
  <c r="O573" i="6"/>
  <c r="AC573" i="6" s="1"/>
  <c r="Z345" i="6"/>
  <c r="AM345" i="6" s="1"/>
  <c r="P338" i="6"/>
  <c r="P11" i="6"/>
  <c r="Z39" i="6"/>
  <c r="AM39" i="6" s="1"/>
  <c r="Z40" i="6"/>
  <c r="AM40" i="6" s="1"/>
  <c r="P337" i="6"/>
  <c r="Z706" i="6"/>
  <c r="Z48" i="6"/>
  <c r="AM48" i="6" s="1"/>
  <c r="Z338" i="6"/>
  <c r="AM338" i="6" s="1"/>
  <c r="P39" i="6"/>
  <c r="AA48" i="6"/>
  <c r="AN48" i="6" s="1"/>
  <c r="AA194" i="6"/>
  <c r="AN194" i="6" s="1"/>
  <c r="Q338" i="6"/>
  <c r="Y76" i="6"/>
  <c r="O222" i="6"/>
  <c r="P222" i="6"/>
  <c r="AA222" i="6"/>
  <c r="AN222" i="6" s="1"/>
  <c r="O56" i="6"/>
  <c r="Y56" i="6"/>
  <c r="AL56" i="6" s="1"/>
  <c r="Y87" i="6"/>
  <c r="AL87" i="6" s="1"/>
  <c r="Q56" i="6"/>
  <c r="Z87" i="6"/>
  <c r="AM87" i="6" s="1"/>
  <c r="Q87" i="6"/>
  <c r="AA87" i="6"/>
  <c r="AN87" i="6" s="1"/>
  <c r="Z102" i="6"/>
  <c r="AM102" i="6" s="1"/>
  <c r="Y102" i="6"/>
  <c r="AA102" i="6"/>
  <c r="AN102" i="6" s="1"/>
  <c r="O109" i="6"/>
  <c r="Q109" i="6"/>
  <c r="Y31" i="6"/>
  <c r="AL31" i="6" s="1"/>
  <c r="O31" i="6"/>
  <c r="AM680" i="6"/>
  <c r="AM239" i="6"/>
  <c r="AL239" i="6"/>
  <c r="AL219" i="6"/>
  <c r="AM234" i="6"/>
  <c r="AM679" i="6"/>
  <c r="AN679" i="6"/>
  <c r="Q678" i="6"/>
  <c r="AN677" i="6"/>
  <c r="AM675" i="6"/>
  <c r="AL674" i="6"/>
  <c r="AL673" i="6"/>
  <c r="AN673" i="6"/>
  <c r="AN105" i="6"/>
  <c r="AM169" i="6"/>
  <c r="AL120" i="6"/>
  <c r="AL297" i="6"/>
  <c r="P195" i="6"/>
  <c r="AN233" i="6"/>
  <c r="O232" i="6"/>
  <c r="AN232" i="6"/>
  <c r="AA244" i="6"/>
  <c r="AN244" i="6" s="1"/>
  <c r="Y322" i="6"/>
  <c r="AL322" i="6" s="1"/>
  <c r="AL680" i="6"/>
  <c r="AN680" i="6"/>
  <c r="AN219" i="6"/>
  <c r="AN234" i="6"/>
  <c r="AL252" i="6"/>
  <c r="AL139" i="6"/>
  <c r="AL679" i="6"/>
  <c r="O678" i="6"/>
  <c r="AM677" i="6"/>
  <c r="AL676" i="6"/>
  <c r="AL675" i="6"/>
  <c r="AN675" i="6"/>
  <c r="AN674" i="6"/>
  <c r="AL623" i="6"/>
  <c r="P105" i="6"/>
  <c r="BY105" i="6" s="1"/>
  <c r="CI105" i="6" s="1"/>
  <c r="AM105" i="6"/>
  <c r="AL94" i="6"/>
  <c r="AL169" i="6"/>
  <c r="AM120" i="6"/>
  <c r="Q120" i="6"/>
  <c r="AM193" i="6"/>
  <c r="AM297" i="6"/>
  <c r="AL93" i="6"/>
  <c r="AN297" i="6"/>
  <c r="AN93" i="6"/>
  <c r="O233" i="6"/>
  <c r="AL232" i="6"/>
  <c r="AL620" i="6"/>
  <c r="Y237" i="6"/>
  <c r="AL237" i="6" s="1"/>
  <c r="Y220" i="6"/>
  <c r="AL220" i="6" s="1"/>
  <c r="Y244" i="6"/>
  <c r="AL244" i="6" s="1"/>
  <c r="AM673" i="6"/>
  <c r="P623" i="6"/>
  <c r="AM623" i="6"/>
  <c r="AL105" i="6"/>
  <c r="AM94" i="6"/>
  <c r="AN169" i="6"/>
  <c r="AL193" i="6"/>
  <c r="AM93" i="6"/>
  <c r="AM195" i="6"/>
  <c r="AL195" i="6"/>
  <c r="AN195" i="6"/>
  <c r="AM233" i="6"/>
  <c r="AL233" i="6"/>
  <c r="AM232" i="6"/>
  <c r="AA220" i="6"/>
  <c r="AN220" i="6" s="1"/>
  <c r="Z244" i="6"/>
  <c r="AM244" i="6" s="1"/>
  <c r="AA237" i="6"/>
  <c r="AN237" i="6" s="1"/>
  <c r="AA322" i="6"/>
  <c r="AN322" i="6" s="1"/>
  <c r="AA240" i="6"/>
  <c r="AN240" i="6" s="1"/>
  <c r="BZ23" i="6"/>
  <c r="CD23" i="6"/>
  <c r="CN23" i="6"/>
  <c r="CR23" i="6"/>
  <c r="AE23" i="6"/>
  <c r="CL143" i="6"/>
  <c r="CP143" i="6"/>
  <c r="BX143" i="6"/>
  <c r="CB143" i="6"/>
  <c r="AC143" i="6"/>
  <c r="CM174" i="6"/>
  <c r="CQ174" i="6"/>
  <c r="CC174" i="6"/>
  <c r="BY174" i="6"/>
  <c r="AD174" i="6"/>
  <c r="CL619" i="6"/>
  <c r="CV619" i="6" s="1"/>
  <c r="CP619" i="6"/>
  <c r="BX619" i="6"/>
  <c r="CH619" i="6" s="1"/>
  <c r="CB619" i="6"/>
  <c r="AC619" i="6"/>
  <c r="BZ619" i="6"/>
  <c r="CJ619" i="6" s="1"/>
  <c r="CD619" i="6"/>
  <c r="CN619" i="6"/>
  <c r="CX619" i="6" s="1"/>
  <c r="CR619" i="6"/>
  <c r="AE619" i="6"/>
  <c r="CM171" i="6"/>
  <c r="CW171" i="6" s="1"/>
  <c r="CQ171" i="6"/>
  <c r="CC171" i="6"/>
  <c r="BY171" i="6"/>
  <c r="CI171" i="6" s="1"/>
  <c r="AD171" i="6"/>
  <c r="BZ686" i="6"/>
  <c r="CJ686" i="6" s="1"/>
  <c r="CD686" i="6"/>
  <c r="CN686" i="6"/>
  <c r="CX686" i="6" s="1"/>
  <c r="CR686" i="6"/>
  <c r="AE686" i="6"/>
  <c r="CM681" i="6"/>
  <c r="CW681" i="6" s="1"/>
  <c r="CQ681" i="6"/>
  <c r="BY681" i="6"/>
  <c r="CI681" i="6" s="1"/>
  <c r="CC681" i="6"/>
  <c r="AD681" i="6"/>
  <c r="CN309" i="6"/>
  <c r="CX309" i="6" s="1"/>
  <c r="CR309" i="6"/>
  <c r="BZ309" i="6"/>
  <c r="CJ309" i="6" s="1"/>
  <c r="CD309" i="6"/>
  <c r="AE309" i="6"/>
  <c r="BY249" i="6"/>
  <c r="CC249" i="6"/>
  <c r="CM249" i="6"/>
  <c r="CQ249" i="6"/>
  <c r="AD249" i="6"/>
  <c r="CN60" i="6"/>
  <c r="CX60" i="6" s="1"/>
  <c r="BZ60" i="6"/>
  <c r="CJ60" i="6" s="1"/>
  <c r="CR60" i="6"/>
  <c r="CD60" i="6"/>
  <c r="AE60" i="6"/>
  <c r="CN210" i="6"/>
  <c r="CX210" i="6" s="1"/>
  <c r="CR210" i="6"/>
  <c r="BZ210" i="6"/>
  <c r="CJ210" i="6" s="1"/>
  <c r="CD210" i="6"/>
  <c r="AE210" i="6"/>
  <c r="CR630" i="6"/>
  <c r="CD630" i="6"/>
  <c r="CN630" i="6"/>
  <c r="CX630" i="6" s="1"/>
  <c r="BZ630" i="6"/>
  <c r="CJ630" i="6" s="1"/>
  <c r="AE630" i="6"/>
  <c r="BY151" i="6"/>
  <c r="CI151" i="6" s="1"/>
  <c r="CC151" i="6"/>
  <c r="CM151" i="6"/>
  <c r="CW151" i="6" s="1"/>
  <c r="CQ151" i="6"/>
  <c r="AD151" i="6"/>
  <c r="AD202" i="6"/>
  <c r="BX407" i="6"/>
  <c r="CH407" i="6" s="1"/>
  <c r="CB407" i="6"/>
  <c r="CP407" i="6"/>
  <c r="CL407" i="6"/>
  <c r="CV407" i="6" s="1"/>
  <c r="AC407" i="6"/>
  <c r="CN99" i="6"/>
  <c r="CX99" i="6" s="1"/>
  <c r="CR99" i="6"/>
  <c r="BZ99" i="6"/>
  <c r="CJ99" i="6" s="1"/>
  <c r="CD99" i="6"/>
  <c r="AE99" i="6"/>
  <c r="CC198" i="6"/>
  <c r="BY694" i="6"/>
  <c r="CI694" i="6" s="1"/>
  <c r="CC694" i="6"/>
  <c r="CQ694" i="6"/>
  <c r="CM694" i="6"/>
  <c r="CW694" i="6" s="1"/>
  <c r="AD694" i="6"/>
  <c r="AD575" i="6"/>
  <c r="BY575" i="6"/>
  <c r="CI575" i="6" s="1"/>
  <c r="CC575" i="6"/>
  <c r="CM575" i="6"/>
  <c r="CW575" i="6" s="1"/>
  <c r="CQ575" i="6"/>
  <c r="CL398" i="6"/>
  <c r="CV398" i="6" s="1"/>
  <c r="CP398" i="6"/>
  <c r="BX398" i="6"/>
  <c r="CH398" i="6" s="1"/>
  <c r="CB398" i="6"/>
  <c r="AC398" i="6"/>
  <c r="BZ12" i="6"/>
  <c r="CD12" i="6"/>
  <c r="CR12" i="6"/>
  <c r="CN12" i="6"/>
  <c r="AE12" i="6"/>
  <c r="BO43" i="6"/>
  <c r="BX43" i="6"/>
  <c r="CH43" i="6" s="1"/>
  <c r="CB43" i="6"/>
  <c r="CL43" i="6"/>
  <c r="CV43" i="6" s="1"/>
  <c r="CP43" i="6"/>
  <c r="AC43" i="6"/>
  <c r="CN146" i="6"/>
  <c r="CX146" i="6" s="1"/>
  <c r="CR146" i="6"/>
  <c r="BZ146" i="6"/>
  <c r="CJ146" i="6" s="1"/>
  <c r="CD146" i="6"/>
  <c r="AE146" i="6"/>
  <c r="AE245" i="6"/>
  <c r="BX343" i="6"/>
  <c r="CH343" i="6" s="1"/>
  <c r="BX346" i="6"/>
  <c r="CH346" i="6" s="1"/>
  <c r="CB346" i="6"/>
  <c r="CL346" i="6"/>
  <c r="CV346" i="6" s="1"/>
  <c r="CP346" i="6"/>
  <c r="AC346" i="6"/>
  <c r="CN154" i="6"/>
  <c r="CX154" i="6" s="1"/>
  <c r="CR154" i="6"/>
  <c r="BZ154" i="6"/>
  <c r="CJ154" i="6" s="1"/>
  <c r="CD154" i="6"/>
  <c r="AE154" i="6"/>
  <c r="AC412" i="6"/>
  <c r="CM116" i="6"/>
  <c r="CW116" i="6" s="1"/>
  <c r="CQ116" i="6"/>
  <c r="BY116" i="6"/>
  <c r="CI116" i="6" s="1"/>
  <c r="CC116" i="6"/>
  <c r="AD116" i="6"/>
  <c r="BZ344" i="6"/>
  <c r="CJ344" i="6" s="1"/>
  <c r="CD344" i="6"/>
  <c r="CR344" i="6"/>
  <c r="CN344" i="6"/>
  <c r="CX344" i="6" s="1"/>
  <c r="AE344" i="6"/>
  <c r="BY83" i="6"/>
  <c r="CC83" i="6"/>
  <c r="CQ83" i="6"/>
  <c r="CM83" i="6"/>
  <c r="AD83" i="6"/>
  <c r="BY154" i="6"/>
  <c r="CI154" i="6" s="1"/>
  <c r="CC154" i="6"/>
  <c r="CM154" i="6"/>
  <c r="CW154" i="6" s="1"/>
  <c r="CQ154" i="6"/>
  <c r="AD154" i="6"/>
  <c r="CN236" i="6"/>
  <c r="CX236" i="6" s="1"/>
  <c r="CR236" i="6"/>
  <c r="BZ236" i="6"/>
  <c r="CJ236" i="6" s="1"/>
  <c r="CD236" i="6"/>
  <c r="AE236" i="6"/>
  <c r="BY81" i="6"/>
  <c r="CC81" i="6"/>
  <c r="CM81" i="6"/>
  <c r="CQ81" i="6"/>
  <c r="AD81" i="6"/>
  <c r="CN302" i="6"/>
  <c r="CX302" i="6" s="1"/>
  <c r="CR302" i="6"/>
  <c r="BZ302" i="6"/>
  <c r="CJ302" i="6" s="1"/>
  <c r="CD302" i="6"/>
  <c r="AE302" i="6"/>
  <c r="BX236" i="6"/>
  <c r="CH236" i="6" s="1"/>
  <c r="CB236" i="6"/>
  <c r="CL236" i="6"/>
  <c r="CV236" i="6" s="1"/>
  <c r="CP236" i="6"/>
  <c r="AC236" i="6"/>
  <c r="BY132" i="6"/>
  <c r="CI132" i="6" s="1"/>
  <c r="CC132" i="6"/>
  <c r="CM132" i="6"/>
  <c r="CW132" i="6" s="1"/>
  <c r="CQ132" i="6"/>
  <c r="AD132" i="6"/>
  <c r="CN315" i="6"/>
  <c r="CX315" i="6" s="1"/>
  <c r="CR315" i="6"/>
  <c r="BZ315" i="6"/>
  <c r="CJ315" i="6" s="1"/>
  <c r="CD315" i="6"/>
  <c r="AE315" i="6"/>
  <c r="CL14" i="6"/>
  <c r="CV14" i="6" s="1"/>
  <c r="CP14" i="6"/>
  <c r="BX14" i="6"/>
  <c r="CH14" i="6" s="1"/>
  <c r="CB14" i="6"/>
  <c r="AC14" i="6"/>
  <c r="BY32" i="6"/>
  <c r="CI32" i="6" s="1"/>
  <c r="CC32" i="6"/>
  <c r="CM32" i="6"/>
  <c r="CW32" i="6" s="1"/>
  <c r="CQ32" i="6"/>
  <c r="AD32" i="6"/>
  <c r="CN277" i="6"/>
  <c r="CX277" i="6" s="1"/>
  <c r="CR277" i="6"/>
  <c r="CD277" i="6"/>
  <c r="AE277" i="6"/>
  <c r="CL23" i="6"/>
  <c r="CP23" i="6"/>
  <c r="BX23" i="6"/>
  <c r="CB23" i="6"/>
  <c r="AC23" i="6"/>
  <c r="CM67" i="6"/>
  <c r="CQ67" i="6"/>
  <c r="CC67" i="6"/>
  <c r="BY67" i="6"/>
  <c r="AD67" i="6"/>
  <c r="BZ67" i="6"/>
  <c r="CD67" i="6"/>
  <c r="CN67" i="6"/>
  <c r="CR67" i="6"/>
  <c r="AE67" i="6"/>
  <c r="BZ143" i="6"/>
  <c r="CD143" i="6"/>
  <c r="CN143" i="6"/>
  <c r="CR143" i="6"/>
  <c r="AE143" i="6"/>
  <c r="BZ216" i="6"/>
  <c r="CD216" i="6"/>
  <c r="CN216" i="6"/>
  <c r="CR216" i="6"/>
  <c r="AE216" i="6"/>
  <c r="CL174" i="6"/>
  <c r="CP174" i="6"/>
  <c r="BX174" i="6"/>
  <c r="CB174" i="6"/>
  <c r="AC174" i="6"/>
  <c r="CM618" i="6"/>
  <c r="CQ618" i="6"/>
  <c r="BY618" i="6"/>
  <c r="CC618" i="6"/>
  <c r="AD618" i="6"/>
  <c r="AC618" i="6"/>
  <c r="CL618" i="6"/>
  <c r="CP618" i="6"/>
  <c r="BX618" i="6"/>
  <c r="CB618" i="6"/>
  <c r="BZ49" i="6"/>
  <c r="CJ49" i="6" s="1"/>
  <c r="CD49" i="6"/>
  <c r="CN49" i="6"/>
  <c r="CX49" i="6" s="1"/>
  <c r="CR49" i="6"/>
  <c r="AE49" i="6"/>
  <c r="AC687" i="6"/>
  <c r="CL687" i="6"/>
  <c r="CV687" i="6" s="1"/>
  <c r="CP687" i="6"/>
  <c r="BX687" i="6"/>
  <c r="CH687" i="6" s="1"/>
  <c r="CB687" i="6"/>
  <c r="CM682" i="6"/>
  <c r="CW682" i="6" s="1"/>
  <c r="CQ682" i="6"/>
  <c r="BY682" i="6"/>
  <c r="CI682" i="6" s="1"/>
  <c r="CC682" i="6"/>
  <c r="AD682" i="6"/>
  <c r="CL682" i="6"/>
  <c r="CV682" i="6" s="1"/>
  <c r="CP682" i="6"/>
  <c r="BX682" i="6"/>
  <c r="CH682" i="6" s="1"/>
  <c r="CB682" i="6"/>
  <c r="AC682" i="6"/>
  <c r="CM651" i="6"/>
  <c r="CW651" i="6" s="1"/>
  <c r="CQ651" i="6"/>
  <c r="BY651" i="6"/>
  <c r="CI651" i="6" s="1"/>
  <c r="CC651" i="6"/>
  <c r="AD651" i="6"/>
  <c r="BX83" i="6"/>
  <c r="CB83" i="6"/>
  <c r="CL83" i="6"/>
  <c r="CP83" i="6"/>
  <c r="AC83" i="6"/>
  <c r="CN417" i="6"/>
  <c r="CX417" i="6" s="1"/>
  <c r="CR417" i="6"/>
  <c r="BZ417" i="6"/>
  <c r="CJ417" i="6" s="1"/>
  <c r="CD417" i="6"/>
  <c r="AE417" i="6"/>
  <c r="BY389" i="6"/>
  <c r="CI389" i="6" s="1"/>
  <c r="CC389" i="6"/>
  <c r="CM389" i="6"/>
  <c r="CW389" i="6" s="1"/>
  <c r="CQ389" i="6"/>
  <c r="AD389" i="6"/>
  <c r="CN131" i="6"/>
  <c r="CX131" i="6" s="1"/>
  <c r="CR131" i="6"/>
  <c r="BZ131" i="6"/>
  <c r="CJ131" i="6" s="1"/>
  <c r="CD131" i="6"/>
  <c r="AE131" i="6"/>
  <c r="AD564" i="6"/>
  <c r="BY564" i="6"/>
  <c r="CI564" i="6" s="1"/>
  <c r="CC564" i="6"/>
  <c r="CM564" i="6"/>
  <c r="CW564" i="6" s="1"/>
  <c r="CQ564" i="6"/>
  <c r="AE376" i="6"/>
  <c r="CR376" i="6"/>
  <c r="CD376" i="6"/>
  <c r="CN376" i="6"/>
  <c r="CX376" i="6" s="1"/>
  <c r="AE367" i="6"/>
  <c r="BZ367" i="6"/>
  <c r="CJ367" i="6" s="1"/>
  <c r="CD367" i="6"/>
  <c r="CR367" i="6"/>
  <c r="CN367" i="6"/>
  <c r="CX367" i="6" s="1"/>
  <c r="CN415" i="6"/>
  <c r="CX415" i="6" s="1"/>
  <c r="CR415" i="6"/>
  <c r="BZ415" i="6"/>
  <c r="CJ415" i="6" s="1"/>
  <c r="CD415" i="6"/>
  <c r="AE415" i="6"/>
  <c r="CN148" i="6"/>
  <c r="CX148" i="6" s="1"/>
  <c r="CR148" i="6"/>
  <c r="BZ148" i="6"/>
  <c r="CJ148" i="6" s="1"/>
  <c r="CD148" i="6"/>
  <c r="AE148" i="6"/>
  <c r="BX127" i="6"/>
  <c r="CH127" i="6" s="1"/>
  <c r="CP127" i="6"/>
  <c r="CB127" i="6"/>
  <c r="CL127" i="6"/>
  <c r="CV127" i="6" s="1"/>
  <c r="AC127" i="6"/>
  <c r="BY291" i="6"/>
  <c r="CI291" i="6" s="1"/>
  <c r="CC291" i="6"/>
  <c r="CQ291" i="6"/>
  <c r="CM291" i="6"/>
  <c r="CW291" i="6" s="1"/>
  <c r="AD291" i="6"/>
  <c r="BZ132" i="6"/>
  <c r="CJ132" i="6" s="1"/>
  <c r="CD132" i="6"/>
  <c r="CN132" i="6"/>
  <c r="CX132" i="6" s="1"/>
  <c r="CR132" i="6"/>
  <c r="AE132" i="6"/>
  <c r="AD212" i="6"/>
  <c r="BY212" i="6"/>
  <c r="CI212" i="6" s="1"/>
  <c r="CC212" i="6"/>
  <c r="CM212" i="6"/>
  <c r="CW212" i="6" s="1"/>
  <c r="CQ212" i="6"/>
  <c r="BX164" i="6"/>
  <c r="CH164" i="6" s="1"/>
  <c r="CB164" i="6"/>
  <c r="CL164" i="6"/>
  <c r="CV164" i="6" s="1"/>
  <c r="CP164" i="6"/>
  <c r="AC164" i="6"/>
  <c r="BY185" i="6"/>
  <c r="CC185" i="6"/>
  <c r="CQ185" i="6"/>
  <c r="CM185" i="6"/>
  <c r="AD185" i="6"/>
  <c r="BY394" i="6"/>
  <c r="CC394" i="6"/>
  <c r="CQ394" i="6"/>
  <c r="CM394" i="6"/>
  <c r="AD394" i="6"/>
  <c r="AE568" i="6"/>
  <c r="CR568" i="6"/>
  <c r="BZ568" i="6"/>
  <c r="CJ568" i="6" s="1"/>
  <c r="CD568" i="6"/>
  <c r="CN568" i="6"/>
  <c r="CX568" i="6" s="1"/>
  <c r="BX110" i="6"/>
  <c r="CH110" i="6" s="1"/>
  <c r="CB110" i="6"/>
  <c r="CL110" i="6"/>
  <c r="CV110" i="6" s="1"/>
  <c r="CP110" i="6"/>
  <c r="AC110" i="6"/>
  <c r="BY567" i="6"/>
  <c r="CI567" i="6" s="1"/>
  <c r="CC567" i="6"/>
  <c r="CM567" i="6"/>
  <c r="CW567" i="6" s="1"/>
  <c r="CQ567" i="6"/>
  <c r="AD567" i="6"/>
  <c r="BY581" i="6"/>
  <c r="CI581" i="6" s="1"/>
  <c r="CC581" i="6"/>
  <c r="CM581" i="6"/>
  <c r="CW581" i="6" s="1"/>
  <c r="CQ581" i="6"/>
  <c r="AD581" i="6"/>
  <c r="BX581" i="6"/>
  <c r="CH581" i="6" s="1"/>
  <c r="CP581" i="6"/>
  <c r="CB581" i="6"/>
  <c r="CL581" i="6"/>
  <c r="CV581" i="6" s="1"/>
  <c r="AC581" i="6"/>
  <c r="BY58" i="6"/>
  <c r="CI58" i="6" s="1"/>
  <c r="CC58" i="6"/>
  <c r="CM58" i="6"/>
  <c r="CW58" i="6" s="1"/>
  <c r="CQ58" i="6"/>
  <c r="AD58" i="6"/>
  <c r="BX145" i="6"/>
  <c r="CH145" i="6" s="1"/>
  <c r="CB145" i="6"/>
  <c r="CL145" i="6"/>
  <c r="CV145" i="6" s="1"/>
  <c r="CP145" i="6"/>
  <c r="AC145" i="6"/>
  <c r="BX32" i="6"/>
  <c r="CH32" i="6" s="1"/>
  <c r="CP32" i="6"/>
  <c r="CB32" i="6"/>
  <c r="CL32" i="6"/>
  <c r="CV32" i="6" s="1"/>
  <c r="AC32" i="6"/>
  <c r="CN170" i="6"/>
  <c r="CX170" i="6" s="1"/>
  <c r="CR170" i="6"/>
  <c r="BZ170" i="6"/>
  <c r="CJ170" i="6" s="1"/>
  <c r="CD170" i="6"/>
  <c r="AE170" i="6"/>
  <c r="CN55" i="6"/>
  <c r="CX55" i="6" s="1"/>
  <c r="BZ55" i="6"/>
  <c r="CJ55" i="6" s="1"/>
  <c r="CR55" i="6"/>
  <c r="CD55" i="6"/>
  <c r="AE55" i="6"/>
  <c r="CM89" i="6"/>
  <c r="CW89" i="6" s="1"/>
  <c r="CQ89" i="6"/>
  <c r="BY89" i="6"/>
  <c r="CI89" i="6" s="1"/>
  <c r="CC89" i="6"/>
  <c r="AD89" i="6"/>
  <c r="CQ377" i="6"/>
  <c r="BY630" i="6"/>
  <c r="CI630" i="6" s="1"/>
  <c r="CC630" i="6"/>
  <c r="CM630" i="6"/>
  <c r="CW630" i="6" s="1"/>
  <c r="CQ630" i="6"/>
  <c r="AD630" i="6"/>
  <c r="BY189" i="6"/>
  <c r="CI189" i="6" s="1"/>
  <c r="CC189" i="6"/>
  <c r="CM189" i="6"/>
  <c r="CW189" i="6" s="1"/>
  <c r="CQ189" i="6"/>
  <c r="AD189" i="6"/>
  <c r="BX131" i="6"/>
  <c r="CH131" i="6" s="1"/>
  <c r="CB131" i="6"/>
  <c r="CL131" i="6"/>
  <c r="CV131" i="6" s="1"/>
  <c r="CP131" i="6"/>
  <c r="AC131" i="6"/>
  <c r="BZ394" i="6"/>
  <c r="CR394" i="6"/>
  <c r="CN394" i="6"/>
  <c r="CD394" i="6"/>
  <c r="AE394" i="6"/>
  <c r="BY201" i="6"/>
  <c r="CI201" i="6" s="1"/>
  <c r="CC201" i="6"/>
  <c r="CM201" i="6"/>
  <c r="CW201" i="6" s="1"/>
  <c r="CQ201" i="6"/>
  <c r="AD201" i="6"/>
  <c r="BY375" i="6"/>
  <c r="CI375" i="6" s="1"/>
  <c r="CC375" i="6"/>
  <c r="CM375" i="6"/>
  <c r="CW375" i="6" s="1"/>
  <c r="CQ375" i="6"/>
  <c r="AD375" i="6"/>
  <c r="BX19" i="6"/>
  <c r="CB19" i="6"/>
  <c r="CP19" i="6"/>
  <c r="CL19" i="6"/>
  <c r="AC19" i="6"/>
  <c r="AD23" i="6"/>
  <c r="CM23" i="6"/>
  <c r="CQ23" i="6"/>
  <c r="BY23" i="6"/>
  <c r="CC23" i="6"/>
  <c r="CL67" i="6"/>
  <c r="CP67" i="6"/>
  <c r="BX67" i="6"/>
  <c r="CB67" i="6"/>
  <c r="AC67" i="6"/>
  <c r="CL216" i="6"/>
  <c r="CP216" i="6"/>
  <c r="BX216" i="6"/>
  <c r="CB216" i="6"/>
  <c r="AC216" i="6"/>
  <c r="CL218" i="6"/>
  <c r="CP218" i="6"/>
  <c r="BX218" i="6"/>
  <c r="CB218" i="6"/>
  <c r="AC218" i="6"/>
  <c r="CM218" i="6"/>
  <c r="CQ218" i="6"/>
  <c r="BY218" i="6"/>
  <c r="CC218" i="6"/>
  <c r="AD218" i="6"/>
  <c r="BZ218" i="6"/>
  <c r="CD218" i="6"/>
  <c r="CN218" i="6"/>
  <c r="CR218" i="6"/>
  <c r="AE218" i="6"/>
  <c r="BZ174" i="6"/>
  <c r="CD174" i="6"/>
  <c r="CN174" i="6"/>
  <c r="CR174" i="6"/>
  <c r="AE174" i="6"/>
  <c r="CL49" i="6"/>
  <c r="CV49" i="6" s="1"/>
  <c r="CP49" i="6"/>
  <c r="BX49" i="6"/>
  <c r="CH49" i="6" s="1"/>
  <c r="CB49" i="6"/>
  <c r="AC49" i="6"/>
  <c r="AC171" i="6"/>
  <c r="CL171" i="6"/>
  <c r="CV171" i="6" s="1"/>
  <c r="CP171" i="6"/>
  <c r="BX171" i="6"/>
  <c r="CH171" i="6" s="1"/>
  <c r="CB171" i="6"/>
  <c r="BZ648" i="6"/>
  <c r="CJ648" i="6" s="1"/>
  <c r="CD648" i="6"/>
  <c r="CR648" i="6"/>
  <c r="CN648" i="6"/>
  <c r="CX648" i="6" s="1"/>
  <c r="AE648" i="6"/>
  <c r="AC55" i="6"/>
  <c r="BX55" i="6"/>
  <c r="CH55" i="6" s="1"/>
  <c r="CP55" i="6"/>
  <c r="CB55" i="6"/>
  <c r="CL55" i="6"/>
  <c r="CV55" i="6" s="1"/>
  <c r="CN167" i="6"/>
  <c r="CX167" i="6" s="1"/>
  <c r="CR167" i="6"/>
  <c r="BZ167" i="6"/>
  <c r="CJ167" i="6" s="1"/>
  <c r="CD167" i="6"/>
  <c r="AE167" i="6"/>
  <c r="BY304" i="6"/>
  <c r="CI304" i="6" s="1"/>
  <c r="CC304" i="6"/>
  <c r="CQ304" i="6"/>
  <c r="CM304" i="6"/>
  <c r="CW304" i="6" s="1"/>
  <c r="AD304" i="6"/>
  <c r="BY314" i="6"/>
  <c r="CI314" i="6" s="1"/>
  <c r="CC314" i="6"/>
  <c r="CM314" i="6"/>
  <c r="CW314" i="6" s="1"/>
  <c r="CQ314" i="6"/>
  <c r="AD314" i="6"/>
  <c r="BY95" i="6"/>
  <c r="CI95" i="6" s="1"/>
  <c r="CC95" i="6"/>
  <c r="CM95" i="6"/>
  <c r="CW95" i="6" s="1"/>
  <c r="CQ95" i="6"/>
  <c r="AD95" i="6"/>
  <c r="CL690" i="6"/>
  <c r="CV690" i="6" s="1"/>
  <c r="CB690" i="6"/>
  <c r="BX690" i="6"/>
  <c r="CH690" i="6" s="1"/>
  <c r="CP690" i="6"/>
  <c r="AC690" i="6"/>
  <c r="BX58" i="6"/>
  <c r="CH58" i="6" s="1"/>
  <c r="CP58" i="6"/>
  <c r="CB58" i="6"/>
  <c r="CL58" i="6"/>
  <c r="CV58" i="6" s="1"/>
  <c r="AC58" i="6"/>
  <c r="BY313" i="6"/>
  <c r="CI313" i="6" s="1"/>
  <c r="CC313" i="6"/>
  <c r="CM313" i="6"/>
  <c r="CW313" i="6" s="1"/>
  <c r="CQ313" i="6"/>
  <c r="AD313" i="6"/>
  <c r="AC578" i="6"/>
  <c r="CP578" i="6"/>
  <c r="CB578" i="6"/>
  <c r="CL578" i="6"/>
  <c r="CV578" i="6" s="1"/>
  <c r="BX578" i="6"/>
  <c r="CH578" i="6" s="1"/>
  <c r="BX85" i="6"/>
  <c r="CH85" i="6" s="1"/>
  <c r="CB85" i="6"/>
  <c r="CP85" i="6"/>
  <c r="CL85" i="6"/>
  <c r="CV85" i="6" s="1"/>
  <c r="AC85" i="6"/>
  <c r="BX362" i="6"/>
  <c r="CH362" i="6" s="1"/>
  <c r="CB362" i="6"/>
  <c r="CL362" i="6"/>
  <c r="CV362" i="6" s="1"/>
  <c r="CP362" i="6"/>
  <c r="AC362" i="6"/>
  <c r="CM413" i="6"/>
  <c r="CW413" i="6" s="1"/>
  <c r="CQ413" i="6"/>
  <c r="BY413" i="6"/>
  <c r="CI413" i="6" s="1"/>
  <c r="CC413" i="6"/>
  <c r="AD413" i="6"/>
  <c r="AE262" i="6"/>
  <c r="CN262" i="6"/>
  <c r="CX262" i="6" s="1"/>
  <c r="CR262" i="6"/>
  <c r="BZ262" i="6"/>
  <c r="CJ262" i="6" s="1"/>
  <c r="CD262" i="6"/>
  <c r="BY277" i="6"/>
  <c r="CI277" i="6" s="1"/>
  <c r="CC277" i="6"/>
  <c r="CM277" i="6"/>
  <c r="CW277" i="6" s="1"/>
  <c r="CQ277" i="6"/>
  <c r="AD277" i="6"/>
  <c r="AE201" i="6"/>
  <c r="CN201" i="6"/>
  <c r="CX201" i="6" s="1"/>
  <c r="BZ201" i="6"/>
  <c r="CJ201" i="6" s="1"/>
  <c r="CD201" i="6"/>
  <c r="CR201" i="6"/>
  <c r="BZ572" i="6"/>
  <c r="CJ572" i="6" s="1"/>
  <c r="BY196" i="6"/>
  <c r="CI196" i="6" s="1"/>
  <c r="CC196" i="6"/>
  <c r="CQ196" i="6"/>
  <c r="CM196" i="6"/>
  <c r="CW196" i="6" s="1"/>
  <c r="AD196" i="6"/>
  <c r="BY261" i="6"/>
  <c r="CC261" i="6"/>
  <c r="CQ261" i="6"/>
  <c r="CM261" i="6"/>
  <c r="AD261" i="6"/>
  <c r="CN291" i="6"/>
  <c r="CX291" i="6" s="1"/>
  <c r="CR291" i="6"/>
  <c r="BZ291" i="6"/>
  <c r="CJ291" i="6" s="1"/>
  <c r="CD291" i="6"/>
  <c r="AE291" i="6"/>
  <c r="CN421" i="6"/>
  <c r="CX421" i="6" s="1"/>
  <c r="CR421" i="6"/>
  <c r="BZ421" i="6"/>
  <c r="CJ421" i="6" s="1"/>
  <c r="CD421" i="6"/>
  <c r="AE421" i="6"/>
  <c r="AD561" i="6"/>
  <c r="CQ561" i="6"/>
  <c r="BY561" i="6"/>
  <c r="CI561" i="6" s="1"/>
  <c r="CC561" i="6"/>
  <c r="CM561" i="6"/>
  <c r="CW561" i="6" s="1"/>
  <c r="BX311" i="6"/>
  <c r="CH311" i="6" s="1"/>
  <c r="CB311" i="6"/>
  <c r="CL311" i="6"/>
  <c r="CV311" i="6" s="1"/>
  <c r="CP311" i="6"/>
  <c r="AC311" i="6"/>
  <c r="AE269" i="6"/>
  <c r="CC582" i="6"/>
  <c r="CM582" i="6"/>
  <c r="CW582" i="6" s="1"/>
  <c r="CQ582" i="6"/>
  <c r="AD582" i="6"/>
  <c r="AE308" i="6"/>
  <c r="CD308" i="6"/>
  <c r="CN308" i="6"/>
  <c r="CX308" i="6" s="1"/>
  <c r="CR308" i="6"/>
  <c r="BZ308" i="6"/>
  <c r="CJ308" i="6" s="1"/>
  <c r="AE354" i="6"/>
  <c r="CN354" i="6"/>
  <c r="CX354" i="6" s="1"/>
  <c r="CR354" i="6"/>
  <c r="BZ354" i="6"/>
  <c r="CJ354" i="6" s="1"/>
  <c r="CD354" i="6"/>
  <c r="CP394" i="6"/>
  <c r="CL394" i="6"/>
  <c r="CB394" i="6"/>
  <c r="BX394" i="6"/>
  <c r="AC394" i="6"/>
  <c r="AC114" i="6"/>
  <c r="CL114" i="6"/>
  <c r="CV114" i="6" s="1"/>
  <c r="CP114" i="6"/>
  <c r="CB114" i="6"/>
  <c r="AE228" i="6"/>
  <c r="CN228" i="6"/>
  <c r="CX228" i="6" s="1"/>
  <c r="CR228" i="6"/>
  <c r="BZ228" i="6"/>
  <c r="CJ228" i="6" s="1"/>
  <c r="CD228" i="6"/>
  <c r="BY390" i="6"/>
  <c r="CI390" i="6" s="1"/>
  <c r="CC390" i="6"/>
  <c r="CQ390" i="6"/>
  <c r="CM390" i="6"/>
  <c r="CW390" i="6" s="1"/>
  <c r="AD390" i="6"/>
  <c r="BZ563" i="6"/>
  <c r="CJ563" i="6" s="1"/>
  <c r="CD563" i="6"/>
  <c r="CN563" i="6"/>
  <c r="CX563" i="6" s="1"/>
  <c r="CR563" i="6"/>
  <c r="AE563" i="6"/>
  <c r="AD406" i="6"/>
  <c r="BY406" i="6"/>
  <c r="CI406" i="6" s="1"/>
  <c r="CQ406" i="6"/>
  <c r="CM406" i="6"/>
  <c r="CW406" i="6" s="1"/>
  <c r="CC406" i="6"/>
  <c r="AC574" i="6"/>
  <c r="CP574" i="6"/>
  <c r="CB574" i="6"/>
  <c r="CL574" i="6"/>
  <c r="CV574" i="6" s="1"/>
  <c r="BX574" i="6"/>
  <c r="CH574" i="6" s="1"/>
  <c r="BY401" i="6"/>
  <c r="CI401" i="6" s="1"/>
  <c r="CC401" i="6"/>
  <c r="CM401" i="6"/>
  <c r="CW401" i="6" s="1"/>
  <c r="CQ401" i="6"/>
  <c r="AD401" i="6"/>
  <c r="CN409" i="6"/>
  <c r="CR409" i="6"/>
  <c r="BZ409" i="6"/>
  <c r="CD409" i="6"/>
  <c r="AE409" i="6"/>
  <c r="AD624" i="6"/>
  <c r="BY624" i="6"/>
  <c r="CI624" i="6" s="1"/>
  <c r="CC624" i="6"/>
  <c r="CM624" i="6"/>
  <c r="CW624" i="6" s="1"/>
  <c r="CQ624" i="6"/>
  <c r="BZ271" i="6"/>
  <c r="CJ271" i="6" s="1"/>
  <c r="CD271" i="6"/>
  <c r="CN271" i="6"/>
  <c r="CX271" i="6" s="1"/>
  <c r="CR271" i="6"/>
  <c r="AE271" i="6"/>
  <c r="CN581" i="6"/>
  <c r="CX581" i="6" s="1"/>
  <c r="BZ581" i="6"/>
  <c r="CJ581" i="6" s="1"/>
  <c r="CR581" i="6"/>
  <c r="CD581" i="6"/>
  <c r="AE581" i="6"/>
  <c r="CC236" i="6"/>
  <c r="CM236" i="6"/>
  <c r="CW236" i="6" s="1"/>
  <c r="CQ236" i="6"/>
  <c r="AD236" i="6"/>
  <c r="BY188" i="6"/>
  <c r="CI188" i="6" s="1"/>
  <c r="CC188" i="6"/>
  <c r="CQ188" i="6"/>
  <c r="CM188" i="6"/>
  <c r="CW188" i="6" s="1"/>
  <c r="AD188" i="6"/>
  <c r="AD231" i="6"/>
  <c r="BY231" i="6"/>
  <c r="CI231" i="6" s="1"/>
  <c r="CC231" i="6"/>
  <c r="CM231" i="6"/>
  <c r="CW231" i="6" s="1"/>
  <c r="CQ231" i="6"/>
  <c r="CL201" i="6"/>
  <c r="CV201" i="6" s="1"/>
  <c r="CP201" i="6"/>
  <c r="CB201" i="6"/>
  <c r="BX201" i="6"/>
  <c r="CH201" i="6" s="1"/>
  <c r="AC201" i="6"/>
  <c r="CL414" i="6"/>
  <c r="CV414" i="6" s="1"/>
  <c r="AD380" i="6"/>
  <c r="BY380" i="6"/>
  <c r="CI380" i="6" s="1"/>
  <c r="CM380" i="6"/>
  <c r="CW380" i="6" s="1"/>
  <c r="CQ380" i="6"/>
  <c r="CM19" i="6"/>
  <c r="CQ19" i="6"/>
  <c r="CC19" i="6"/>
  <c r="BY19" i="6"/>
  <c r="AD19" i="6"/>
  <c r="BZ19" i="6"/>
  <c r="CD19" i="6"/>
  <c r="CN19" i="6"/>
  <c r="CR19" i="6"/>
  <c r="AE19" i="6"/>
  <c r="CM143" i="6"/>
  <c r="CQ143" i="6"/>
  <c r="BY143" i="6"/>
  <c r="CC143" i="6"/>
  <c r="AD143" i="6"/>
  <c r="CM216" i="6"/>
  <c r="CQ216" i="6"/>
  <c r="CC216" i="6"/>
  <c r="BY216" i="6"/>
  <c r="AD216" i="6"/>
  <c r="CM619" i="6"/>
  <c r="CW619" i="6" s="1"/>
  <c r="CQ619" i="6"/>
  <c r="BY619" i="6"/>
  <c r="CI619" i="6" s="1"/>
  <c r="CC619" i="6"/>
  <c r="AD619" i="6"/>
  <c r="CM49" i="6"/>
  <c r="CW49" i="6" s="1"/>
  <c r="CQ49" i="6"/>
  <c r="BY49" i="6"/>
  <c r="CI49" i="6" s="1"/>
  <c r="CC49" i="6"/>
  <c r="AD49" i="6"/>
  <c r="BZ618" i="6"/>
  <c r="CD618" i="6"/>
  <c r="CN618" i="6"/>
  <c r="CR618" i="6"/>
  <c r="AE618" i="6"/>
  <c r="CM687" i="6"/>
  <c r="CW687" i="6" s="1"/>
  <c r="CQ687" i="6"/>
  <c r="BY687" i="6"/>
  <c r="CI687" i="6" s="1"/>
  <c r="CC687" i="6"/>
  <c r="AD687" i="6"/>
  <c r="AE687" i="6"/>
  <c r="CR687" i="6"/>
  <c r="BZ687" i="6"/>
  <c r="CJ687" i="6" s="1"/>
  <c r="CD687" i="6"/>
  <c r="CN687" i="6"/>
  <c r="CX687" i="6" s="1"/>
  <c r="BZ171" i="6"/>
  <c r="CJ171" i="6" s="1"/>
  <c r="CD171" i="6"/>
  <c r="CN171" i="6"/>
  <c r="CX171" i="6" s="1"/>
  <c r="CR171" i="6"/>
  <c r="AE171" i="6"/>
  <c r="AC686" i="6"/>
  <c r="CL686" i="6"/>
  <c r="CV686" i="6" s="1"/>
  <c r="CP686" i="6"/>
  <c r="BX686" i="6"/>
  <c r="CH686" i="6" s="1"/>
  <c r="CB686" i="6"/>
  <c r="CM685" i="6"/>
  <c r="CW685" i="6" s="1"/>
  <c r="CQ685" i="6"/>
  <c r="BY685" i="6"/>
  <c r="CI685" i="6" s="1"/>
  <c r="CC685" i="6"/>
  <c r="AD685" i="6"/>
  <c r="CL685" i="6"/>
  <c r="CV685" i="6" s="1"/>
  <c r="CP685" i="6"/>
  <c r="BX685" i="6"/>
  <c r="CH685" i="6" s="1"/>
  <c r="CB685" i="6"/>
  <c r="AC685" i="6"/>
  <c r="CM684" i="6"/>
  <c r="CW684" i="6" s="1"/>
  <c r="CQ684" i="6"/>
  <c r="BY684" i="6"/>
  <c r="CI684" i="6" s="1"/>
  <c r="CC684" i="6"/>
  <c r="AD684" i="6"/>
  <c r="CR633" i="6"/>
  <c r="CD633" i="6"/>
  <c r="CN633" i="6"/>
  <c r="CX633" i="6" s="1"/>
  <c r="BZ633" i="6"/>
  <c r="CJ633" i="6" s="1"/>
  <c r="AE633" i="6"/>
  <c r="CP388" i="6"/>
  <c r="AD38" i="6"/>
  <c r="BY38" i="6"/>
  <c r="CI38" i="6" s="1"/>
  <c r="CC38" i="6"/>
  <c r="CM38" i="6"/>
  <c r="CW38" i="6" s="1"/>
  <c r="CQ38" i="6"/>
  <c r="CD392" i="6"/>
  <c r="CN392" i="6"/>
  <c r="CX392" i="6" s="1"/>
  <c r="BZ392" i="6"/>
  <c r="CJ392" i="6" s="1"/>
  <c r="CR392" i="6"/>
  <c r="AE392" i="6"/>
  <c r="CL567" i="6"/>
  <c r="CV567" i="6" s="1"/>
  <c r="CP567" i="6"/>
  <c r="BX567" i="6"/>
  <c r="CH567" i="6" s="1"/>
  <c r="CB567" i="6"/>
  <c r="AC567" i="6"/>
  <c r="CL409" i="6"/>
  <c r="AC249" i="6"/>
  <c r="CL249" i="6"/>
  <c r="CB249" i="6"/>
  <c r="BX249" i="6"/>
  <c r="CP249" i="6"/>
  <c r="AE582" i="6"/>
  <c r="CN582" i="6"/>
  <c r="CX582" i="6" s="1"/>
  <c r="BZ582" i="6"/>
  <c r="CJ582" i="6" s="1"/>
  <c r="CR582" i="6"/>
  <c r="CD582" i="6"/>
  <c r="CN227" i="6"/>
  <c r="CD227" i="6"/>
  <c r="CR227" i="6"/>
  <c r="BZ227" i="6"/>
  <c r="AE227" i="6"/>
  <c r="BY566" i="6"/>
  <c r="CI566" i="6" s="1"/>
  <c r="CC566" i="6"/>
  <c r="CM566" i="6"/>
  <c r="CW566" i="6" s="1"/>
  <c r="CQ566" i="6"/>
  <c r="AD566" i="6"/>
  <c r="CR101" i="6"/>
  <c r="CN577" i="6"/>
  <c r="CX577" i="6" s="1"/>
  <c r="BZ577" i="6"/>
  <c r="CJ577" i="6" s="1"/>
  <c r="CR577" i="6"/>
  <c r="AD16" i="6"/>
  <c r="CQ16" i="6"/>
  <c r="BY16" i="6"/>
  <c r="CC16" i="6"/>
  <c r="CM16" i="6"/>
  <c r="AC231" i="6"/>
  <c r="CB231" i="6"/>
  <c r="CL231" i="6"/>
  <c r="CV231" i="6" s="1"/>
  <c r="BX231" i="6"/>
  <c r="CH231" i="6" s="1"/>
  <c r="CP231" i="6"/>
  <c r="CN313" i="6"/>
  <c r="CX313" i="6" s="1"/>
  <c r="CR313" i="6"/>
  <c r="BZ313" i="6"/>
  <c r="CJ313" i="6" s="1"/>
  <c r="CD313" i="6"/>
  <c r="AE313" i="6"/>
  <c r="CD372" i="6"/>
  <c r="BX95" i="6"/>
  <c r="CH95" i="6" s="1"/>
  <c r="CB95" i="6"/>
  <c r="CL95" i="6"/>
  <c r="CV95" i="6" s="1"/>
  <c r="CP95" i="6"/>
  <c r="AC95" i="6"/>
  <c r="BX192" i="6"/>
  <c r="CH192" i="6" s="1"/>
  <c r="CB192" i="6"/>
  <c r="CL192" i="6"/>
  <c r="CV192" i="6" s="1"/>
  <c r="CP192" i="6"/>
  <c r="AC192" i="6"/>
  <c r="CN168" i="6"/>
  <c r="CX168" i="6" s="1"/>
  <c r="CR168" i="6"/>
  <c r="BZ168" i="6"/>
  <c r="CJ168" i="6" s="1"/>
  <c r="CD168" i="6"/>
  <c r="AE168" i="6"/>
  <c r="AD260" i="6"/>
  <c r="CQ260" i="6"/>
  <c r="BY260" i="6"/>
  <c r="CI260" i="6" s="1"/>
  <c r="CC260" i="6"/>
  <c r="CM260" i="6"/>
  <c r="CW260" i="6" s="1"/>
  <c r="CL10" i="6"/>
  <c r="CP10" i="6"/>
  <c r="BX10" i="6"/>
  <c r="CB10" i="6"/>
  <c r="AC10" i="6"/>
  <c r="AD172" i="6"/>
  <c r="BY172" i="6"/>
  <c r="CI172" i="6" s="1"/>
  <c r="CM172" i="6"/>
  <c r="CW172" i="6" s="1"/>
  <c r="CQ172" i="6"/>
  <c r="CC172" i="6"/>
  <c r="AC569" i="6"/>
  <c r="CL569" i="6"/>
  <c r="CV569" i="6" s="1"/>
  <c r="BX569" i="6"/>
  <c r="CH569" i="6" s="1"/>
  <c r="CB569" i="6"/>
  <c r="CP569" i="6"/>
  <c r="BY371" i="6"/>
  <c r="CI371" i="6" s="1"/>
  <c r="CC371" i="6"/>
  <c r="CM371" i="6"/>
  <c r="CW371" i="6" s="1"/>
  <c r="CQ371" i="6"/>
  <c r="AD371" i="6"/>
  <c r="CL397" i="6"/>
  <c r="CV397" i="6" s="1"/>
  <c r="CP397" i="6"/>
  <c r="CB397" i="6"/>
  <c r="BX397" i="6"/>
  <c r="CH397" i="6" s="1"/>
  <c r="AC397" i="6"/>
  <c r="BY343" i="6"/>
  <c r="CI343" i="6" s="1"/>
  <c r="CC343" i="6"/>
  <c r="CM343" i="6"/>
  <c r="CW343" i="6" s="1"/>
  <c r="CQ343" i="6"/>
  <c r="AD343" i="6"/>
  <c r="BX570" i="6"/>
  <c r="CH570" i="6" s="1"/>
  <c r="CP570" i="6"/>
  <c r="CB570" i="6"/>
  <c r="CL570" i="6"/>
  <c r="CV570" i="6" s="1"/>
  <c r="AC570" i="6"/>
  <c r="BX212" i="6"/>
  <c r="CH212" i="6" s="1"/>
  <c r="CB212" i="6"/>
  <c r="CL212" i="6"/>
  <c r="CV212" i="6" s="1"/>
  <c r="CP212" i="6"/>
  <c r="AC212" i="6"/>
  <c r="BY399" i="6"/>
  <c r="CI399" i="6" s="1"/>
  <c r="CC399" i="6"/>
  <c r="CM399" i="6"/>
  <c r="CW399" i="6" s="1"/>
  <c r="CQ399" i="6"/>
  <c r="AD399" i="6"/>
  <c r="CP383" i="6"/>
  <c r="CB383" i="6"/>
  <c r="CL383" i="6"/>
  <c r="CV383" i="6" s="1"/>
  <c r="BX383" i="6"/>
  <c r="CH383" i="6" s="1"/>
  <c r="AC383" i="6"/>
  <c r="AC624" i="6"/>
  <c r="BX624" i="6"/>
  <c r="CH624" i="6" s="1"/>
  <c r="CP624" i="6"/>
  <c r="CB624" i="6"/>
  <c r="CL624" i="6"/>
  <c r="CV624" i="6" s="1"/>
  <c r="CN70" i="6"/>
  <c r="CX70" i="6" s="1"/>
  <c r="CR70" i="6"/>
  <c r="CD70" i="6"/>
  <c r="BZ70" i="6"/>
  <c r="CJ70" i="6" s="1"/>
  <c r="BQ70" i="6"/>
  <c r="AE70" i="6"/>
  <c r="AD393" i="6"/>
  <c r="CM393" i="6"/>
  <c r="BY393" i="6"/>
  <c r="CC393" i="6"/>
  <c r="CQ393" i="6"/>
  <c r="CB572" i="6"/>
  <c r="CL572" i="6"/>
  <c r="CV572" i="6" s="1"/>
  <c r="BX572" i="6"/>
  <c r="CH572" i="6" s="1"/>
  <c r="CP572" i="6"/>
  <c r="AC572" i="6"/>
  <c r="BX354" i="6"/>
  <c r="CH354" i="6" s="1"/>
  <c r="CB354" i="6"/>
  <c r="CL354" i="6"/>
  <c r="CV354" i="6" s="1"/>
  <c r="CP354" i="6"/>
  <c r="BY631" i="6"/>
  <c r="CI631" i="6" s="1"/>
  <c r="CC631" i="6"/>
  <c r="CM631" i="6"/>
  <c r="CW631" i="6" s="1"/>
  <c r="CQ631" i="6"/>
  <c r="AD631" i="6"/>
  <c r="AC189" i="6"/>
  <c r="BX189" i="6"/>
  <c r="CH189" i="6" s="1"/>
  <c r="CB189" i="6"/>
  <c r="CL189" i="6"/>
  <c r="CV189" i="6" s="1"/>
  <c r="CP189" i="6"/>
  <c r="BY29" i="6"/>
  <c r="CI29" i="6" s="1"/>
  <c r="CC29" i="6"/>
  <c r="CM29" i="6"/>
  <c r="CW29" i="6" s="1"/>
  <c r="CQ29" i="6"/>
  <c r="AD29" i="6"/>
  <c r="BY164" i="6"/>
  <c r="CI164" i="6" s="1"/>
  <c r="CC164" i="6"/>
  <c r="CQ164" i="6"/>
  <c r="CM164" i="6"/>
  <c r="CW164" i="6" s="1"/>
  <c r="AD164" i="6"/>
  <c r="AD568" i="6"/>
  <c r="AE395" i="6"/>
  <c r="AD387" i="6"/>
  <c r="BY387" i="6"/>
  <c r="CI387" i="6" s="1"/>
  <c r="CC387" i="6"/>
  <c r="CQ387" i="6"/>
  <c r="CM387" i="6"/>
  <c r="CW387" i="6" s="1"/>
  <c r="O681" i="6"/>
  <c r="AZ681" i="6" s="1"/>
  <c r="Q673" i="6"/>
  <c r="Q105" i="6"/>
  <c r="P677" i="6"/>
  <c r="Q675" i="6"/>
  <c r="Q629" i="6"/>
  <c r="BL629" i="6" s="1"/>
  <c r="P297" i="6"/>
  <c r="O195" i="6"/>
  <c r="P233" i="6"/>
  <c r="Q232" i="6"/>
  <c r="O620" i="6"/>
  <c r="Q683" i="6"/>
  <c r="BL683" i="6" s="1"/>
  <c r="O677" i="6"/>
  <c r="Q93" i="6"/>
  <c r="P686" i="6"/>
  <c r="BF686" i="6" s="1"/>
  <c r="P679" i="6"/>
  <c r="O169" i="6"/>
  <c r="Q628" i="6"/>
  <c r="BL628" i="6" s="1"/>
  <c r="O623" i="6"/>
  <c r="Q94" i="6"/>
  <c r="P169" i="6"/>
  <c r="O679" i="6"/>
  <c r="P628" i="6"/>
  <c r="Q682" i="6"/>
  <c r="BL682" i="6" s="1"/>
  <c r="Q646" i="6"/>
  <c r="BL646" i="6" s="1"/>
  <c r="P673" i="6"/>
  <c r="Q674" i="6"/>
  <c r="O147" i="6"/>
  <c r="AZ147" i="6" s="1"/>
  <c r="P147" i="6"/>
  <c r="BF147" i="6" s="1"/>
  <c r="Q685" i="6"/>
  <c r="BL685" i="6" s="1"/>
  <c r="O633" i="6"/>
  <c r="AZ633" i="6" s="1"/>
  <c r="O626" i="6"/>
  <c r="P683" i="6"/>
  <c r="P652" i="6"/>
  <c r="BF652" i="6" s="1"/>
  <c r="O139" i="6"/>
  <c r="Q684" i="6"/>
  <c r="BL684" i="6" s="1"/>
  <c r="P678" i="6"/>
  <c r="Q679" i="6"/>
  <c r="O676" i="6"/>
  <c r="P675" i="6"/>
  <c r="O684" i="6"/>
  <c r="AZ684" i="6" s="1"/>
  <c r="O647" i="6"/>
  <c r="AZ647" i="6" s="1"/>
  <c r="O675" i="6"/>
  <c r="P674" i="6"/>
  <c r="P633" i="6"/>
  <c r="O683" i="6"/>
  <c r="AZ683" i="6" s="1"/>
  <c r="Q234" i="6"/>
  <c r="O632" i="6"/>
  <c r="AZ632" i="6" s="1"/>
  <c r="Q127" i="6"/>
  <c r="BL127" i="6" s="1"/>
  <c r="Q647" i="6"/>
  <c r="BL647" i="6" s="1"/>
  <c r="O673" i="6"/>
  <c r="Q32" i="6"/>
  <c r="BL32" i="6" s="1"/>
  <c r="Q631" i="6"/>
  <c r="P629" i="6"/>
  <c r="O628" i="6"/>
  <c r="AZ628" i="6" s="1"/>
  <c r="P625" i="6"/>
  <c r="P622" i="6"/>
  <c r="BF622" i="6" s="1"/>
  <c r="O297" i="6"/>
  <c r="P232" i="6"/>
  <c r="Q622" i="6"/>
  <c r="BL622" i="6" s="1"/>
  <c r="O94" i="6"/>
  <c r="Q297" i="6"/>
  <c r="Q147" i="6"/>
  <c r="BL147" i="6" s="1"/>
  <c r="Q195" i="6"/>
  <c r="Q620" i="6"/>
  <c r="P120" i="6"/>
  <c r="O627" i="6"/>
  <c r="AZ627" i="6" s="1"/>
  <c r="Q627" i="6"/>
  <c r="P193" i="6"/>
  <c r="P620" i="6"/>
  <c r="O629" i="6"/>
  <c r="AZ629" i="6" s="1"/>
  <c r="O625" i="6"/>
  <c r="AZ625" i="6" s="1"/>
  <c r="Q625" i="6"/>
  <c r="O105" i="6"/>
  <c r="Q169" i="6"/>
  <c r="P93" i="6"/>
  <c r="O622" i="6"/>
  <c r="AZ622" i="6" s="1"/>
  <c r="P621" i="6"/>
  <c r="BF621" i="6" s="1"/>
  <c r="O652" i="6"/>
  <c r="AZ652" i="6" s="1"/>
  <c r="Q652" i="6"/>
  <c r="Q139" i="6"/>
  <c r="Q676" i="6"/>
  <c r="P632" i="6"/>
  <c r="BF632" i="6" s="1"/>
  <c r="P626" i="6"/>
  <c r="Q626" i="6"/>
  <c r="Q681" i="6"/>
  <c r="O234" i="6"/>
  <c r="P650" i="6"/>
  <c r="BF650" i="6" s="1"/>
  <c r="Q680" i="6"/>
  <c r="O239" i="6"/>
  <c r="P648" i="6"/>
  <c r="O138" i="6"/>
  <c r="AZ138" i="6" s="1"/>
  <c r="Q632" i="6"/>
  <c r="BL632" i="6" s="1"/>
  <c r="Q623" i="6"/>
  <c r="Q233" i="6"/>
  <c r="O651" i="6"/>
  <c r="AZ651" i="6" s="1"/>
  <c r="P649" i="6"/>
  <c r="O648" i="6"/>
  <c r="Q677" i="6"/>
  <c r="P127" i="6"/>
  <c r="O630" i="6"/>
  <c r="AZ630" i="6" s="1"/>
  <c r="O193" i="6"/>
  <c r="Q193" i="6"/>
  <c r="Q650" i="6"/>
  <c r="BL650" i="6" s="1"/>
  <c r="P138" i="6"/>
  <c r="BF138" i="6" s="1"/>
  <c r="Q138" i="6"/>
  <c r="BL138" i="6" s="1"/>
  <c r="O650" i="6"/>
  <c r="AZ650" i="6" s="1"/>
  <c r="O649" i="6"/>
  <c r="O646" i="6"/>
  <c r="AZ646" i="6" s="1"/>
  <c r="P676" i="6"/>
  <c r="O674" i="6"/>
  <c r="O252" i="6"/>
  <c r="Q649" i="6"/>
  <c r="BL649" i="6" s="1"/>
  <c r="P647" i="6"/>
  <c r="P627" i="6"/>
  <c r="BF627" i="6" s="1"/>
  <c r="Q621" i="6"/>
  <c r="BL621" i="6" s="1"/>
  <c r="Q651" i="6"/>
  <c r="BL651" i="6" s="1"/>
  <c r="P646" i="6"/>
  <c r="BF646" i="6" s="1"/>
  <c r="O631" i="6"/>
  <c r="O277" i="6"/>
  <c r="AZ277" i="6" s="1"/>
  <c r="Z135" i="6"/>
  <c r="AM135" i="6" s="1"/>
  <c r="AA135" i="6"/>
  <c r="AN135" i="6" s="1"/>
  <c r="Y135" i="6"/>
  <c r="AL135" i="6" s="1"/>
  <c r="CQ299" i="6" l="1"/>
  <c r="CC187" i="6"/>
  <c r="CQ198" i="6"/>
  <c r="BF262" i="6"/>
  <c r="AZ369" i="6"/>
  <c r="BO369" i="6" s="1"/>
  <c r="CC59" i="6"/>
  <c r="CB343" i="6"/>
  <c r="BL172" i="6"/>
  <c r="CD395" i="6"/>
  <c r="AZ421" i="6"/>
  <c r="CC380" i="6"/>
  <c r="BZ277" i="6"/>
  <c r="CJ277" i="6" s="1"/>
  <c r="AZ586" i="6"/>
  <c r="BO586" i="6" s="1"/>
  <c r="AZ57" i="6"/>
  <c r="CM119" i="6"/>
  <c r="CW119" i="6" s="1"/>
  <c r="BY346" i="6"/>
  <c r="CI346" i="6" s="1"/>
  <c r="CC312" i="6"/>
  <c r="BY312" i="6"/>
  <c r="CI312" i="6" s="1"/>
  <c r="CQ119" i="6"/>
  <c r="CM568" i="6"/>
  <c r="CW568" i="6" s="1"/>
  <c r="CQ568" i="6"/>
  <c r="CC568" i="6"/>
  <c r="AE577" i="6"/>
  <c r="CD577" i="6"/>
  <c r="CN187" i="6"/>
  <c r="CX187" i="6" s="1"/>
  <c r="CQ372" i="6"/>
  <c r="CN412" i="6"/>
  <c r="CX412" i="6" s="1"/>
  <c r="AZ11" i="6"/>
  <c r="BO11" i="6" s="1"/>
  <c r="CN385" i="6"/>
  <c r="CX385" i="6" s="1"/>
  <c r="BZ192" i="6"/>
  <c r="CJ192" i="6" s="1"/>
  <c r="CD189" i="6"/>
  <c r="BZ395" i="6"/>
  <c r="CJ395" i="6" s="1"/>
  <c r="AE355" i="6"/>
  <c r="AE372" i="6"/>
  <c r="BX82" i="6"/>
  <c r="CR385" i="6"/>
  <c r="CP187" i="6"/>
  <c r="BY377" i="6"/>
  <c r="CI377" i="6" s="1"/>
  <c r="CR372" i="6"/>
  <c r="CP409" i="6"/>
  <c r="BZ385" i="6"/>
  <c r="CJ385" i="6" s="1"/>
  <c r="BX187" i="6"/>
  <c r="CH187" i="6" s="1"/>
  <c r="AC343" i="6"/>
  <c r="CQ24" i="6"/>
  <c r="AE413" i="6"/>
  <c r="CR187" i="6"/>
  <c r="CB409" i="6"/>
  <c r="BZ189" i="6"/>
  <c r="CJ189" i="6" s="1"/>
  <c r="CR192" i="6"/>
  <c r="CP389" i="6"/>
  <c r="CD192" i="6"/>
  <c r="CL389" i="6"/>
  <c r="CV389" i="6" s="1"/>
  <c r="CN189" i="6"/>
  <c r="CX189" i="6" s="1"/>
  <c r="AC211" i="6"/>
  <c r="BA211" i="6" s="1"/>
  <c r="CQ175" i="6"/>
  <c r="CN192" i="6"/>
  <c r="CX192" i="6" s="1"/>
  <c r="AC82" i="6"/>
  <c r="BA82" i="6" s="1"/>
  <c r="CP211" i="6"/>
  <c r="CM175" i="6"/>
  <c r="CW175" i="6" s="1"/>
  <c r="CD418" i="6"/>
  <c r="BX389" i="6"/>
  <c r="CH389" i="6" s="1"/>
  <c r="CB270" i="6"/>
  <c r="CP343" i="6"/>
  <c r="CD413" i="6"/>
  <c r="CM377" i="6"/>
  <c r="CW377" i="6" s="1"/>
  <c r="BL260" i="6"/>
  <c r="BQ260" i="6" s="1"/>
  <c r="AC409" i="6"/>
  <c r="AD198" i="6"/>
  <c r="BY198" i="6"/>
  <c r="CI198" i="6" s="1"/>
  <c r="AC389" i="6"/>
  <c r="CP82" i="6"/>
  <c r="CC175" i="6"/>
  <c r="CB389" i="6"/>
  <c r="CR395" i="6"/>
  <c r="BZ413" i="6"/>
  <c r="CJ413" i="6" s="1"/>
  <c r="CL82" i="6"/>
  <c r="CD385" i="6"/>
  <c r="BX211" i="6"/>
  <c r="CH211" i="6" s="1"/>
  <c r="BY175" i="6"/>
  <c r="CI175" i="6" s="1"/>
  <c r="AD377" i="6"/>
  <c r="BZ372" i="6"/>
  <c r="CJ372" i="6" s="1"/>
  <c r="AE192" i="6"/>
  <c r="AE189" i="6"/>
  <c r="CL343" i="6"/>
  <c r="CV343" i="6" s="1"/>
  <c r="AE385" i="6"/>
  <c r="CB211" i="6"/>
  <c r="CN395" i="6"/>
  <c r="CX395" i="6" s="1"/>
  <c r="CN413" i="6"/>
  <c r="CX413" i="6" s="1"/>
  <c r="CB82" i="6"/>
  <c r="AC187" i="6"/>
  <c r="AD175" i="6"/>
  <c r="CC377" i="6"/>
  <c r="CR413" i="6"/>
  <c r="BX414" i="6"/>
  <c r="CH414" i="6" s="1"/>
  <c r="CN356" i="6"/>
  <c r="CX356" i="6" s="1"/>
  <c r="CP577" i="6"/>
  <c r="BZ356" i="6"/>
  <c r="CJ356" i="6" s="1"/>
  <c r="BX577" i="6"/>
  <c r="CH577" i="6" s="1"/>
  <c r="AZ601" i="6"/>
  <c r="BA601" i="6" s="1"/>
  <c r="CR356" i="6"/>
  <c r="AE574" i="6"/>
  <c r="CD245" i="6"/>
  <c r="CR245" i="6"/>
  <c r="BZ81" i="6"/>
  <c r="CN245" i="6"/>
  <c r="CX245" i="6" s="1"/>
  <c r="CM198" i="6"/>
  <c r="CW198" i="6" s="1"/>
  <c r="AC414" i="6"/>
  <c r="CQ395" i="6"/>
  <c r="CD356" i="6"/>
  <c r="BZ574" i="6"/>
  <c r="CJ574" i="6" s="1"/>
  <c r="BZ245" i="6"/>
  <c r="CJ245" i="6" s="1"/>
  <c r="CN574" i="6"/>
  <c r="CX574" i="6" s="1"/>
  <c r="CD574" i="6"/>
  <c r="CL187" i="6"/>
  <c r="CV187" i="6" s="1"/>
  <c r="BL299" i="6"/>
  <c r="BQ299" i="6" s="1"/>
  <c r="BF127" i="6"/>
  <c r="BP127" i="6" s="1"/>
  <c r="CR189" i="6"/>
  <c r="CR574" i="6"/>
  <c r="CB187" i="6"/>
  <c r="CR81" i="6"/>
  <c r="AC388" i="6"/>
  <c r="AD25" i="6"/>
  <c r="CN81" i="6"/>
  <c r="AE101" i="6"/>
  <c r="BQ101" i="6" s="1"/>
  <c r="CB414" i="6"/>
  <c r="AE356" i="6"/>
  <c r="CL577" i="6"/>
  <c r="CV577" i="6" s="1"/>
  <c r="CB388" i="6"/>
  <c r="CB577" i="6"/>
  <c r="BZ101" i="6"/>
  <c r="CJ101" i="6" s="1"/>
  <c r="CP345" i="6"/>
  <c r="CD101" i="6"/>
  <c r="CL388" i="6"/>
  <c r="CV388" i="6" s="1"/>
  <c r="CP414" i="6"/>
  <c r="CM312" i="6"/>
  <c r="CW312" i="6" s="1"/>
  <c r="BX608" i="6"/>
  <c r="CH608" i="6" s="1"/>
  <c r="BF119" i="6"/>
  <c r="BF256" i="6"/>
  <c r="BP256" i="6" s="1"/>
  <c r="AE706" i="6"/>
  <c r="AZ639" i="6"/>
  <c r="BL602" i="6"/>
  <c r="BQ602" i="6" s="1"/>
  <c r="AC92" i="6"/>
  <c r="BF164" i="6"/>
  <c r="BG164" i="6" s="1"/>
  <c r="BL611" i="6"/>
  <c r="BM611" i="6" s="1"/>
  <c r="CN372" i="6"/>
  <c r="CX372" i="6" s="1"/>
  <c r="BX409" i="6"/>
  <c r="CH409" i="6" s="1"/>
  <c r="BX388" i="6"/>
  <c r="CH388" i="6" s="1"/>
  <c r="BY236" i="6"/>
  <c r="CI236" i="6" s="1"/>
  <c r="AZ172" i="6"/>
  <c r="BO172" i="6" s="1"/>
  <c r="CN188" i="6"/>
  <c r="CX188" i="6" s="1"/>
  <c r="BF360" i="6"/>
  <c r="BG360" i="6" s="1"/>
  <c r="CN402" i="6"/>
  <c r="CX402" i="6" s="1"/>
  <c r="BL96" i="6"/>
  <c r="BQ96" i="6" s="1"/>
  <c r="BF668" i="6"/>
  <c r="BP668" i="6" s="1"/>
  <c r="AZ144" i="6"/>
  <c r="BO144" i="6" s="1"/>
  <c r="BF610" i="6"/>
  <c r="BG610" i="6" s="1"/>
  <c r="AC292" i="6"/>
  <c r="AC421" i="6"/>
  <c r="CP357" i="6"/>
  <c r="CD689" i="6"/>
  <c r="CR365" i="6"/>
  <c r="CP412" i="6"/>
  <c r="CL412" i="6"/>
  <c r="CV412" i="6" s="1"/>
  <c r="CB412" i="6"/>
  <c r="CC356" i="6"/>
  <c r="AD392" i="6"/>
  <c r="AD119" i="6"/>
  <c r="BX412" i="6"/>
  <c r="CH412" i="6" s="1"/>
  <c r="CL302" i="6"/>
  <c r="CV302" i="6" s="1"/>
  <c r="CC119" i="6"/>
  <c r="BL94" i="6"/>
  <c r="BY119" i="6"/>
  <c r="CI119" i="6" s="1"/>
  <c r="CR643" i="6"/>
  <c r="BZ669" i="6"/>
  <c r="CJ669" i="6" s="1"/>
  <c r="CM356" i="6"/>
  <c r="CW356" i="6" s="1"/>
  <c r="BY59" i="6"/>
  <c r="CI59" i="6" s="1"/>
  <c r="CC392" i="6"/>
  <c r="CP180" i="6"/>
  <c r="BF11" i="6"/>
  <c r="BP11" i="6" s="1"/>
  <c r="BX417" i="6"/>
  <c r="CH417" i="6" s="1"/>
  <c r="CQ59" i="6"/>
  <c r="AZ300" i="6"/>
  <c r="BO300" i="6" s="1"/>
  <c r="BX194" i="6"/>
  <c r="CM569" i="6"/>
  <c r="CW569" i="6" s="1"/>
  <c r="CQ576" i="6"/>
  <c r="BL614" i="6"/>
  <c r="BM614" i="6" s="1"/>
  <c r="BF586" i="6"/>
  <c r="BP586" i="6" s="1"/>
  <c r="AE665" i="6"/>
  <c r="BZ312" i="6"/>
  <c r="CJ312" i="6" s="1"/>
  <c r="AC81" i="6"/>
  <c r="BY409" i="6"/>
  <c r="CI409" i="6" s="1"/>
  <c r="CN665" i="6"/>
  <c r="CX665" i="6" s="1"/>
  <c r="BL358" i="6"/>
  <c r="BM358" i="6" s="1"/>
  <c r="CP81" i="6"/>
  <c r="CQ409" i="6"/>
  <c r="AD271" i="6"/>
  <c r="AD59" i="6"/>
  <c r="CB81" i="6"/>
  <c r="AC197" i="6"/>
  <c r="CD694" i="6"/>
  <c r="AC279" i="6"/>
  <c r="AE636" i="6"/>
  <c r="BX81" i="6"/>
  <c r="CL197" i="6"/>
  <c r="CV197" i="6" s="1"/>
  <c r="CC607" i="6"/>
  <c r="AD344" i="6"/>
  <c r="CL81" i="6"/>
  <c r="BL139" i="6"/>
  <c r="BF184" i="6"/>
  <c r="BP184" i="6" s="1"/>
  <c r="AZ139" i="6"/>
  <c r="AZ623" i="6"/>
  <c r="AD385" i="6"/>
  <c r="CD90" i="6"/>
  <c r="CC597" i="6"/>
  <c r="CP16" i="6"/>
  <c r="CB378" i="6"/>
  <c r="CQ356" i="6"/>
  <c r="CB417" i="6"/>
  <c r="AE314" i="6"/>
  <c r="BL169" i="6"/>
  <c r="BL674" i="6"/>
  <c r="BY416" i="6"/>
  <c r="CI416" i="6" s="1"/>
  <c r="BX357" i="6"/>
  <c r="CH357" i="6" s="1"/>
  <c r="CN358" i="6"/>
  <c r="CX358" i="6" s="1"/>
  <c r="AE38" i="6"/>
  <c r="BM38" i="6" s="1"/>
  <c r="CD38" i="6"/>
  <c r="BF232" i="6"/>
  <c r="AZ673" i="6"/>
  <c r="AE270" i="6"/>
  <c r="BM270" i="6" s="1"/>
  <c r="CP417" i="6"/>
  <c r="CN90" i="6"/>
  <c r="CX90" i="6" s="1"/>
  <c r="CP608" i="6"/>
  <c r="AE243" i="6"/>
  <c r="CC74" i="6"/>
  <c r="BF112" i="6"/>
  <c r="BP112" i="6" s="1"/>
  <c r="AZ313" i="6"/>
  <c r="BA313" i="6" s="1"/>
  <c r="CC708" i="6"/>
  <c r="BL655" i="6"/>
  <c r="BM655" i="6" s="1"/>
  <c r="BZ39" i="6"/>
  <c r="CJ39" i="6" s="1"/>
  <c r="CL167" i="6"/>
  <c r="CV167" i="6" s="1"/>
  <c r="BL209" i="6"/>
  <c r="AZ423" i="6"/>
  <c r="BO423" i="6" s="1"/>
  <c r="BL163" i="6"/>
  <c r="BY607" i="6"/>
  <c r="CI607" i="6" s="1"/>
  <c r="CR272" i="6"/>
  <c r="CP355" i="6"/>
  <c r="CD353" i="6"/>
  <c r="CM269" i="6"/>
  <c r="CW269" i="6" s="1"/>
  <c r="CP123" i="6"/>
  <c r="CD212" i="6"/>
  <c r="AE56" i="6"/>
  <c r="AC303" i="6"/>
  <c r="AZ594" i="6"/>
  <c r="BO594" i="6" s="1"/>
  <c r="BZ613" i="6"/>
  <c r="CJ613" i="6" s="1"/>
  <c r="AD424" i="6"/>
  <c r="CD270" i="6"/>
  <c r="AE251" i="6"/>
  <c r="CQ146" i="6"/>
  <c r="CB299" i="6"/>
  <c r="CP421" i="6"/>
  <c r="CR353" i="6"/>
  <c r="CD133" i="6"/>
  <c r="AC608" i="6"/>
  <c r="CN365" i="6"/>
  <c r="CX365" i="6" s="1"/>
  <c r="AE402" i="6"/>
  <c r="CN603" i="6"/>
  <c r="CB608" i="6"/>
  <c r="CD570" i="6"/>
  <c r="BZ365" i="6"/>
  <c r="CJ365" i="6" s="1"/>
  <c r="AC123" i="6"/>
  <c r="BZ643" i="6"/>
  <c r="CJ643" i="6" s="1"/>
  <c r="BZ665" i="6"/>
  <c r="CJ665" i="6" s="1"/>
  <c r="BX57" i="6"/>
  <c r="CH57" i="6" s="1"/>
  <c r="CL657" i="6"/>
  <c r="CV657" i="6" s="1"/>
  <c r="CR133" i="6"/>
  <c r="CR706" i="6"/>
  <c r="BZ411" i="6"/>
  <c r="CJ411" i="6" s="1"/>
  <c r="CM146" i="6"/>
  <c r="CW146" i="6" s="1"/>
  <c r="BZ207" i="6"/>
  <c r="CJ207" i="6" s="1"/>
  <c r="AC401" i="6"/>
  <c r="CN83" i="6"/>
  <c r="BF354" i="6"/>
  <c r="BG354" i="6" s="1"/>
  <c r="AD200" i="6"/>
  <c r="BF669" i="6"/>
  <c r="BP669" i="6" s="1"/>
  <c r="BF611" i="6"/>
  <c r="BG611" i="6" s="1"/>
  <c r="BL586" i="6"/>
  <c r="BM586" i="6" s="1"/>
  <c r="AZ670" i="6"/>
  <c r="BO670" i="6" s="1"/>
  <c r="CN420" i="6"/>
  <c r="CX420" i="6" s="1"/>
  <c r="CR640" i="6"/>
  <c r="CD655" i="6"/>
  <c r="CR175" i="6"/>
  <c r="AE655" i="6"/>
  <c r="BZ655" i="6"/>
  <c r="CJ655" i="6" s="1"/>
  <c r="BZ175" i="6"/>
  <c r="CJ175" i="6" s="1"/>
  <c r="BY411" i="6"/>
  <c r="CI411" i="6" s="1"/>
  <c r="CB271" i="6"/>
  <c r="BX367" i="6"/>
  <c r="CH367" i="6" s="1"/>
  <c r="CC608" i="6"/>
  <c r="BL105" i="6"/>
  <c r="BQ105" i="6" s="1"/>
  <c r="BZ420" i="6"/>
  <c r="CJ420" i="6" s="1"/>
  <c r="AE420" i="6"/>
  <c r="CB367" i="6"/>
  <c r="BX279" i="6"/>
  <c r="CH279" i="6" s="1"/>
  <c r="CN570" i="6"/>
  <c r="CX570" i="6" s="1"/>
  <c r="CD251" i="6"/>
  <c r="AE643" i="6"/>
  <c r="AC270" i="6"/>
  <c r="CM227" i="6"/>
  <c r="CW227" i="6" s="1"/>
  <c r="CR207" i="6"/>
  <c r="BY388" i="6"/>
  <c r="CI388" i="6" s="1"/>
  <c r="AC418" i="6"/>
  <c r="BF131" i="6"/>
  <c r="CB357" i="6"/>
  <c r="AZ606" i="6"/>
  <c r="BA606" i="6" s="1"/>
  <c r="CB194" i="6"/>
  <c r="CQ392" i="6"/>
  <c r="BX355" i="6"/>
  <c r="CH355" i="6" s="1"/>
  <c r="CD25" i="6"/>
  <c r="CR90" i="6"/>
  <c r="BZ251" i="6"/>
  <c r="CJ251" i="6" s="1"/>
  <c r="CL211" i="6"/>
  <c r="CV211" i="6" s="1"/>
  <c r="CN118" i="6"/>
  <c r="CB180" i="6"/>
  <c r="BZ416" i="6"/>
  <c r="CJ416" i="6" s="1"/>
  <c r="CP657" i="6"/>
  <c r="CC370" i="6"/>
  <c r="BL31" i="6"/>
  <c r="BQ31" i="6" s="1"/>
  <c r="AZ424" i="6"/>
  <c r="BO424" i="6" s="1"/>
  <c r="BF645" i="6"/>
  <c r="BP645" i="6" s="1"/>
  <c r="CL194" i="6"/>
  <c r="AZ271" i="6"/>
  <c r="BO271" i="6" s="1"/>
  <c r="CB227" i="6"/>
  <c r="BY392" i="6"/>
  <c r="CI392" i="6" s="1"/>
  <c r="AC417" i="6"/>
  <c r="AE614" i="6"/>
  <c r="CD562" i="6"/>
  <c r="CD118" i="6"/>
  <c r="CJ118" i="6" s="1"/>
  <c r="BY209" i="6"/>
  <c r="CI209" i="6" s="1"/>
  <c r="AD576" i="6"/>
  <c r="CQ271" i="6"/>
  <c r="CR358" i="6"/>
  <c r="CP197" i="6"/>
  <c r="CM14" i="6"/>
  <c r="CW14" i="6" s="1"/>
  <c r="BF35" i="6"/>
  <c r="BL639" i="6"/>
  <c r="BM639" i="6" s="1"/>
  <c r="AZ175" i="6"/>
  <c r="BO175" i="6" s="1"/>
  <c r="AZ671" i="6"/>
  <c r="BA671" i="6" s="1"/>
  <c r="CM361" i="6"/>
  <c r="CW361" i="6" s="1"/>
  <c r="BL16" i="6"/>
  <c r="BQ16" i="6" s="1"/>
  <c r="CD85" i="6"/>
  <c r="BX270" i="6"/>
  <c r="CH270" i="6" s="1"/>
  <c r="CQ200" i="6"/>
  <c r="AE91" i="6"/>
  <c r="CQ74" i="6"/>
  <c r="CM584" i="6"/>
  <c r="CW584" i="6" s="1"/>
  <c r="AC38" i="6"/>
  <c r="AZ118" i="6"/>
  <c r="BO118" i="6" s="1"/>
  <c r="CP708" i="6"/>
  <c r="CR594" i="6"/>
  <c r="CD603" i="6"/>
  <c r="CL38" i="6"/>
  <c r="CV38" i="6" s="1"/>
  <c r="CD185" i="6"/>
  <c r="BY306" i="6"/>
  <c r="CI306" i="6" s="1"/>
  <c r="BF675" i="6"/>
  <c r="AD569" i="6"/>
  <c r="BX378" i="6"/>
  <c r="CH378" i="6" s="1"/>
  <c r="BY344" i="6"/>
  <c r="CI344" i="6" s="1"/>
  <c r="CD706" i="6"/>
  <c r="AD209" i="6"/>
  <c r="CQ607" i="6"/>
  <c r="CQ312" i="6"/>
  <c r="CB300" i="6"/>
  <c r="CL134" i="6"/>
  <c r="CV134" i="6" s="1"/>
  <c r="CD81" i="6"/>
  <c r="BZ376" i="6"/>
  <c r="CJ376" i="6" s="1"/>
  <c r="CR38" i="6"/>
  <c r="AC314" i="6"/>
  <c r="BZ16" i="6"/>
  <c r="CJ16" i="6" s="1"/>
  <c r="BY354" i="6"/>
  <c r="CI354" i="6" s="1"/>
  <c r="BF598" i="6"/>
  <c r="BP598" i="6" s="1"/>
  <c r="CR410" i="6"/>
  <c r="AC167" i="6"/>
  <c r="BX299" i="6"/>
  <c r="CH299" i="6" s="1"/>
  <c r="BL297" i="6"/>
  <c r="BY356" i="6"/>
  <c r="CI356" i="6" s="1"/>
  <c r="BX411" i="6"/>
  <c r="CH411" i="6" s="1"/>
  <c r="CM411" i="6"/>
  <c r="CW411" i="6" s="1"/>
  <c r="AE133" i="6"/>
  <c r="CR270" i="6"/>
  <c r="CB616" i="6"/>
  <c r="CN706" i="6"/>
  <c r="CX706" i="6" s="1"/>
  <c r="CR570" i="6"/>
  <c r="CR412" i="6"/>
  <c r="CN116" i="6"/>
  <c r="CX116" i="6" s="1"/>
  <c r="BY666" i="6"/>
  <c r="CI666" i="6" s="1"/>
  <c r="CP367" i="6"/>
  <c r="AC378" i="6"/>
  <c r="CC344" i="6"/>
  <c r="CC409" i="6"/>
  <c r="AZ162" i="6"/>
  <c r="BO162" i="6" s="1"/>
  <c r="AZ209" i="6"/>
  <c r="BO209" i="6" s="1"/>
  <c r="AZ595" i="6"/>
  <c r="BO595" i="6" s="1"/>
  <c r="BF604" i="6"/>
  <c r="BG604" i="6" s="1"/>
  <c r="CN272" i="6"/>
  <c r="CC599" i="6"/>
  <c r="BL605" i="6"/>
  <c r="BQ605" i="6" s="1"/>
  <c r="BY359" i="6"/>
  <c r="CI359" i="6" s="1"/>
  <c r="BX611" i="6"/>
  <c r="CC64" i="6"/>
  <c r="BL59" i="6"/>
  <c r="BQ59" i="6" s="1"/>
  <c r="CB98" i="6"/>
  <c r="BL634" i="6"/>
  <c r="BQ634" i="6" s="1"/>
  <c r="CR39" i="6"/>
  <c r="BF169" i="6"/>
  <c r="CP360" i="6"/>
  <c r="BF93" i="6"/>
  <c r="AD306" i="6"/>
  <c r="CL378" i="6"/>
  <c r="CV378" i="6" s="1"/>
  <c r="CM344" i="6"/>
  <c r="CW344" i="6" s="1"/>
  <c r="CL355" i="6"/>
  <c r="CV355" i="6" s="1"/>
  <c r="CL417" i="6"/>
  <c r="CV417" i="6" s="1"/>
  <c r="CP361" i="6"/>
  <c r="BZ562" i="6"/>
  <c r="CJ562" i="6" s="1"/>
  <c r="CR212" i="6"/>
  <c r="CM200" i="6"/>
  <c r="CW200" i="6" s="1"/>
  <c r="CB360" i="6"/>
  <c r="CR118" i="6"/>
  <c r="CP163" i="6"/>
  <c r="CD602" i="6"/>
  <c r="CD410" i="6"/>
  <c r="CR634" i="6"/>
  <c r="BY576" i="6"/>
  <c r="CI576" i="6" s="1"/>
  <c r="AD666" i="6"/>
  <c r="CR305" i="6"/>
  <c r="AE85" i="6"/>
  <c r="CC272" i="6"/>
  <c r="CL387" i="6"/>
  <c r="CV387" i="6" s="1"/>
  <c r="CM594" i="6"/>
  <c r="CW594" i="6" s="1"/>
  <c r="BY353" i="6"/>
  <c r="CI353" i="6" s="1"/>
  <c r="CL48" i="6"/>
  <c r="CM706" i="6"/>
  <c r="CW706" i="6" s="1"/>
  <c r="CB167" i="6"/>
  <c r="AZ357" i="6"/>
  <c r="BO357" i="6" s="1"/>
  <c r="BY689" i="6"/>
  <c r="CI689" i="6" s="1"/>
  <c r="AE603" i="6"/>
  <c r="CC596" i="6"/>
  <c r="CN311" i="6"/>
  <c r="CX311" i="6" s="1"/>
  <c r="CP48" i="6"/>
  <c r="CD580" i="6"/>
  <c r="CM392" i="6"/>
  <c r="CW392" i="6" s="1"/>
  <c r="CQ344" i="6"/>
  <c r="CC385" i="6"/>
  <c r="AE353" i="6"/>
  <c r="AE90" i="6"/>
  <c r="CB411" i="6"/>
  <c r="BZ85" i="6"/>
  <c r="CJ85" i="6" s="1"/>
  <c r="CN595" i="6"/>
  <c r="CX595" i="6" s="1"/>
  <c r="CN562" i="6"/>
  <c r="CX562" i="6" s="1"/>
  <c r="CB123" i="6"/>
  <c r="AE175" i="6"/>
  <c r="CM409" i="6"/>
  <c r="CW409" i="6" s="1"/>
  <c r="CN602" i="6"/>
  <c r="CD312" i="6"/>
  <c r="CC271" i="6"/>
  <c r="AE358" i="6"/>
  <c r="CC666" i="6"/>
  <c r="BZ10" i="6"/>
  <c r="CJ10" i="6" s="1"/>
  <c r="CP199" i="6"/>
  <c r="CL163" i="6"/>
  <c r="CV163" i="6" s="1"/>
  <c r="CQ596" i="6"/>
  <c r="AC366" i="6"/>
  <c r="BZ185" i="6"/>
  <c r="BL109" i="6"/>
  <c r="BQ109" i="6" s="1"/>
  <c r="BF707" i="6"/>
  <c r="BP707" i="6" s="1"/>
  <c r="BX366" i="6"/>
  <c r="CH366" i="6" s="1"/>
  <c r="CB99" i="6"/>
  <c r="CR13" i="6"/>
  <c r="BF663" i="6"/>
  <c r="BP663" i="6" s="1"/>
  <c r="CP133" i="6"/>
  <c r="BX98" i="6"/>
  <c r="CH98" i="6" s="1"/>
  <c r="CC301" i="6"/>
  <c r="CB583" i="6"/>
  <c r="CQ598" i="6"/>
  <c r="CM62" i="6"/>
  <c r="CW62" i="6" s="1"/>
  <c r="CP366" i="6"/>
  <c r="CR185" i="6"/>
  <c r="AC670" i="6"/>
  <c r="AE155" i="6"/>
  <c r="CD402" i="6"/>
  <c r="CN91" i="6"/>
  <c r="BF673" i="6"/>
  <c r="CR83" i="6"/>
  <c r="CB366" i="6"/>
  <c r="AE128" i="6"/>
  <c r="CR134" i="6"/>
  <c r="AZ38" i="6"/>
  <c r="AZ666" i="6"/>
  <c r="BO666" i="6" s="1"/>
  <c r="BL383" i="6"/>
  <c r="BM383" i="6" s="1"/>
  <c r="CL368" i="6"/>
  <c r="CV368" i="6" s="1"/>
  <c r="BY596" i="6"/>
  <c r="CI596" i="6" s="1"/>
  <c r="CR85" i="6"/>
  <c r="BY200" i="6"/>
  <c r="CI200" i="6" s="1"/>
  <c r="CL133" i="6"/>
  <c r="CV133" i="6" s="1"/>
  <c r="AC98" i="6"/>
  <c r="BX133" i="6"/>
  <c r="CH133" i="6" s="1"/>
  <c r="CM301" i="6"/>
  <c r="CW301" i="6" s="1"/>
  <c r="BX583" i="6"/>
  <c r="CH583" i="6" s="1"/>
  <c r="CP670" i="6"/>
  <c r="CM403" i="6"/>
  <c r="CW403" i="6" s="1"/>
  <c r="CR659" i="6"/>
  <c r="AC133" i="6"/>
  <c r="BA133" i="6" s="1"/>
  <c r="CN303" i="6"/>
  <c r="CX303" i="6" s="1"/>
  <c r="CP583" i="6"/>
  <c r="CP424" i="6"/>
  <c r="AD361" i="6"/>
  <c r="CM420" i="6"/>
  <c r="CW420" i="6" s="1"/>
  <c r="CP393" i="6"/>
  <c r="CR128" i="6"/>
  <c r="BL364" i="6"/>
  <c r="BQ364" i="6" s="1"/>
  <c r="BF404" i="6"/>
  <c r="BG404" i="6" s="1"/>
  <c r="AC708" i="6"/>
  <c r="AD166" i="6"/>
  <c r="AD103" i="6"/>
  <c r="BP103" i="6" s="1"/>
  <c r="BF677" i="6"/>
  <c r="AD301" i="6"/>
  <c r="CN85" i="6"/>
  <c r="CX85" i="6" s="1"/>
  <c r="BL620" i="6"/>
  <c r="BQ620" i="6" s="1"/>
  <c r="CM134" i="6"/>
  <c r="CW134" i="6" s="1"/>
  <c r="CP422" i="6"/>
  <c r="CN314" i="6"/>
  <c r="CX314" i="6" s="1"/>
  <c r="CL670" i="6"/>
  <c r="CV670" i="6" s="1"/>
  <c r="AZ291" i="6"/>
  <c r="BO291" i="6" s="1"/>
  <c r="BF657" i="6"/>
  <c r="BG657" i="6" s="1"/>
  <c r="AD596" i="6"/>
  <c r="AZ195" i="6"/>
  <c r="CP566" i="6"/>
  <c r="CQ385" i="6"/>
  <c r="AE16" i="6"/>
  <c r="BX422" i="6"/>
  <c r="CH422" i="6" s="1"/>
  <c r="AD411" i="6"/>
  <c r="CR414" i="6"/>
  <c r="CD659" i="6"/>
  <c r="CM611" i="6"/>
  <c r="BX361" i="6"/>
  <c r="CH361" i="6" s="1"/>
  <c r="AC254" i="6"/>
  <c r="BA254" i="6" s="1"/>
  <c r="CQ269" i="6"/>
  <c r="BZ212" i="6"/>
  <c r="CJ212" i="6" s="1"/>
  <c r="BX114" i="6"/>
  <c r="CH114" i="6" s="1"/>
  <c r="CD665" i="6"/>
  <c r="AC586" i="6"/>
  <c r="BZ602" i="6"/>
  <c r="AD312" i="6"/>
  <c r="CD412" i="6"/>
  <c r="CQ690" i="6"/>
  <c r="CB393" i="6"/>
  <c r="BX134" i="6"/>
  <c r="CH134" i="6" s="1"/>
  <c r="AE81" i="6"/>
  <c r="BM81" i="6" s="1"/>
  <c r="CC576" i="6"/>
  <c r="CD112" i="6"/>
  <c r="CD128" i="6"/>
  <c r="BZ358" i="6"/>
  <c r="CJ358" i="6" s="1"/>
  <c r="CD243" i="6"/>
  <c r="AZ688" i="6"/>
  <c r="BO688" i="6" s="1"/>
  <c r="BX358" i="6"/>
  <c r="CH358" i="6" s="1"/>
  <c r="BF91" i="6"/>
  <c r="BP91" i="6" s="1"/>
  <c r="BL666" i="6"/>
  <c r="BQ666" i="6" s="1"/>
  <c r="CN16" i="6"/>
  <c r="CX16" i="6" s="1"/>
  <c r="AC422" i="6"/>
  <c r="CP411" i="6"/>
  <c r="AD663" i="6"/>
  <c r="CQ592" i="6"/>
  <c r="BZ128" i="6"/>
  <c r="CJ128" i="6" s="1"/>
  <c r="CD91" i="6"/>
  <c r="AZ279" i="6"/>
  <c r="BL585" i="6"/>
  <c r="BQ585" i="6" s="1"/>
  <c r="BF635" i="6"/>
  <c r="BP635" i="6" s="1"/>
  <c r="BL232" i="6"/>
  <c r="BL673" i="6"/>
  <c r="BX401" i="6"/>
  <c r="CH401" i="6" s="1"/>
  <c r="AZ399" i="6"/>
  <c r="BO399" i="6" s="1"/>
  <c r="AZ241" i="6"/>
  <c r="BO241" i="6" s="1"/>
  <c r="BL390" i="6"/>
  <c r="BM390" i="6" s="1"/>
  <c r="CM170" i="6"/>
  <c r="CW170" i="6" s="1"/>
  <c r="CP638" i="6"/>
  <c r="CC425" i="6"/>
  <c r="CP401" i="6"/>
  <c r="CD420" i="6"/>
  <c r="CP610" i="6"/>
  <c r="AD17" i="6"/>
  <c r="CL356" i="6"/>
  <c r="CV356" i="6" s="1"/>
  <c r="CL401" i="6"/>
  <c r="CV401" i="6" s="1"/>
  <c r="BL400" i="6"/>
  <c r="BQ400" i="6" s="1"/>
  <c r="BF98" i="6"/>
  <c r="BP98" i="6" s="1"/>
  <c r="BY292" i="6"/>
  <c r="CI292" i="6" s="1"/>
  <c r="BF571" i="6"/>
  <c r="BP571" i="6" s="1"/>
  <c r="BX657" i="6"/>
  <c r="CH657" i="6" s="1"/>
  <c r="CL583" i="6"/>
  <c r="CV583" i="6" s="1"/>
  <c r="CC17" i="6"/>
  <c r="CL344" i="6"/>
  <c r="CV344" i="6" s="1"/>
  <c r="BF208" i="6"/>
  <c r="BP208" i="6" s="1"/>
  <c r="BF33" i="6"/>
  <c r="BP33" i="6" s="1"/>
  <c r="CP356" i="6"/>
  <c r="BF679" i="6"/>
  <c r="CB356" i="6"/>
  <c r="BZ603" i="6"/>
  <c r="BX356" i="6"/>
  <c r="CH356" i="6" s="1"/>
  <c r="AC566" i="6"/>
  <c r="BF569" i="6"/>
  <c r="BP569" i="6" s="1"/>
  <c r="BF193" i="6"/>
  <c r="AZ94" i="6"/>
  <c r="BF678" i="6"/>
  <c r="AZ677" i="6"/>
  <c r="CP194" i="6"/>
  <c r="AC367" i="6"/>
  <c r="CM55" i="6"/>
  <c r="CW55" i="6" s="1"/>
  <c r="CC569" i="6"/>
  <c r="CB566" i="6"/>
  <c r="AE83" i="6"/>
  <c r="CL421" i="6"/>
  <c r="CV421" i="6" s="1"/>
  <c r="BY385" i="6"/>
  <c r="CI385" i="6" s="1"/>
  <c r="CR16" i="6"/>
  <c r="CL422" i="6"/>
  <c r="CV422" i="6" s="1"/>
  <c r="CQ415" i="6"/>
  <c r="CN133" i="6"/>
  <c r="CX133" i="6" s="1"/>
  <c r="CN270" i="6"/>
  <c r="CX270" i="6" s="1"/>
  <c r="BZ659" i="6"/>
  <c r="CJ659" i="6" s="1"/>
  <c r="CL357" i="6"/>
  <c r="CV357" i="6" s="1"/>
  <c r="CR562" i="6"/>
  <c r="AD146" i="6"/>
  <c r="AC606" i="6"/>
  <c r="CR312" i="6"/>
  <c r="CN185" i="6"/>
  <c r="CP299" i="6"/>
  <c r="CP270" i="6"/>
  <c r="CB657" i="6"/>
  <c r="CL671" i="6"/>
  <c r="CV671" i="6" s="1"/>
  <c r="CR91" i="6"/>
  <c r="CM271" i="6"/>
  <c r="CW271" i="6" s="1"/>
  <c r="CB121" i="6"/>
  <c r="BX74" i="6"/>
  <c r="CH74" i="6" s="1"/>
  <c r="BF674" i="6"/>
  <c r="BX566" i="6"/>
  <c r="CH566" i="6" s="1"/>
  <c r="CD83" i="6"/>
  <c r="CN29" i="6"/>
  <c r="CX29" i="6" s="1"/>
  <c r="BF210" i="6"/>
  <c r="BP210" i="6" s="1"/>
  <c r="AD396" i="6"/>
  <c r="CB163" i="6"/>
  <c r="CM376" i="6"/>
  <c r="CW376" i="6" s="1"/>
  <c r="CD11" i="6"/>
  <c r="CP98" i="6"/>
  <c r="BY361" i="6"/>
  <c r="CI361" i="6" s="1"/>
  <c r="CR402" i="6"/>
  <c r="CP590" i="6"/>
  <c r="AC425" i="6"/>
  <c r="BL377" i="6"/>
  <c r="BQ377" i="6" s="1"/>
  <c r="BF101" i="6"/>
  <c r="AZ202" i="6"/>
  <c r="BO202" i="6" s="1"/>
  <c r="AZ262" i="6"/>
  <c r="BO262" i="6" s="1"/>
  <c r="AZ24" i="6"/>
  <c r="BO24" i="6" s="1"/>
  <c r="AC208" i="6"/>
  <c r="BL193" i="6"/>
  <c r="AZ234" i="6"/>
  <c r="BF297" i="6"/>
  <c r="CB338" i="6"/>
  <c r="AC356" i="6"/>
  <c r="BZ83" i="6"/>
  <c r="CB421" i="6"/>
  <c r="CN305" i="6"/>
  <c r="CX305" i="6" s="1"/>
  <c r="CM385" i="6"/>
  <c r="CW385" i="6" s="1"/>
  <c r="BZ353" i="6"/>
  <c r="CJ353" i="6" s="1"/>
  <c r="BZ90" i="6"/>
  <c r="CJ90" i="6" s="1"/>
  <c r="CL411" i="6"/>
  <c r="CV411" i="6" s="1"/>
  <c r="CQ411" i="6"/>
  <c r="BZ402" i="6"/>
  <c r="CJ402" i="6" s="1"/>
  <c r="BZ270" i="6"/>
  <c r="CJ270" i="6" s="1"/>
  <c r="CN659" i="6"/>
  <c r="CX659" i="6" s="1"/>
  <c r="CB279" i="6"/>
  <c r="CB595" i="6"/>
  <c r="CL616" i="6"/>
  <c r="BX38" i="6"/>
  <c r="CH38" i="6" s="1"/>
  <c r="AC357" i="6"/>
  <c r="BX180" i="6"/>
  <c r="CH180" i="6" s="1"/>
  <c r="AE602" i="6"/>
  <c r="CQ361" i="6"/>
  <c r="CQ366" i="6"/>
  <c r="AE185" i="6"/>
  <c r="CB134" i="6"/>
  <c r="CC299" i="6"/>
  <c r="BY381" i="6"/>
  <c r="CI381" i="6" s="1"/>
  <c r="CB670" i="6"/>
  <c r="BF344" i="6"/>
  <c r="BP344" i="6" s="1"/>
  <c r="CC660" i="6"/>
  <c r="BY703" i="6"/>
  <c r="CI703" i="6" s="1"/>
  <c r="CB617" i="6"/>
  <c r="CQ166" i="6"/>
  <c r="BF148" i="6"/>
  <c r="BP148" i="6" s="1"/>
  <c r="AZ170" i="6"/>
  <c r="BO170" i="6" s="1"/>
  <c r="AC199" i="6"/>
  <c r="CD10" i="6"/>
  <c r="AD121" i="6"/>
  <c r="AZ200" i="6"/>
  <c r="BO200" i="6" s="1"/>
  <c r="CM48" i="6"/>
  <c r="CQ595" i="6"/>
  <c r="AZ101" i="6"/>
  <c r="AZ309" i="6"/>
  <c r="BO309" i="6" s="1"/>
  <c r="CD39" i="6"/>
  <c r="CN134" i="6"/>
  <c r="CX134" i="6" s="1"/>
  <c r="BF155" i="6"/>
  <c r="BP155" i="6" s="1"/>
  <c r="CN13" i="6"/>
  <c r="CX13" i="6" s="1"/>
  <c r="BL708" i="6"/>
  <c r="AZ252" i="6"/>
  <c r="BO252" i="6" s="1"/>
  <c r="BZ164" i="6"/>
  <c r="CJ164" i="6" s="1"/>
  <c r="AZ193" i="6"/>
  <c r="BL623" i="6"/>
  <c r="BF620" i="6"/>
  <c r="BL679" i="6"/>
  <c r="AZ679" i="6"/>
  <c r="BL93" i="6"/>
  <c r="AC194" i="6"/>
  <c r="CL367" i="6"/>
  <c r="CV367" i="6" s="1"/>
  <c r="CQ55" i="6"/>
  <c r="CQ569" i="6"/>
  <c r="CP378" i="6"/>
  <c r="BX421" i="6"/>
  <c r="CH421" i="6" s="1"/>
  <c r="AD356" i="6"/>
  <c r="CB355" i="6"/>
  <c r="CD16" i="6"/>
  <c r="CB422" i="6"/>
  <c r="CN353" i="6"/>
  <c r="CX353" i="6" s="1"/>
  <c r="AC411" i="6"/>
  <c r="CC411" i="6"/>
  <c r="BZ133" i="6"/>
  <c r="CJ133" i="6" s="1"/>
  <c r="CR655" i="6"/>
  <c r="CP38" i="6"/>
  <c r="CB133" i="6"/>
  <c r="CL123" i="6"/>
  <c r="CV123" i="6" s="1"/>
  <c r="BX360" i="6"/>
  <c r="CH360" i="6" s="1"/>
  <c r="AC180" i="6"/>
  <c r="CR602" i="6"/>
  <c r="CM607" i="6"/>
  <c r="CW607" i="6" s="1"/>
  <c r="CR364" i="6"/>
  <c r="CP134" i="6"/>
  <c r="CR589" i="6"/>
  <c r="AD227" i="6"/>
  <c r="BG227" i="6" s="1"/>
  <c r="CD358" i="6"/>
  <c r="CD207" i="6"/>
  <c r="BZ243" i="6"/>
  <c r="CJ243" i="6" s="1"/>
  <c r="BX670" i="6"/>
  <c r="CH670" i="6" s="1"/>
  <c r="AZ222" i="6"/>
  <c r="BO222" i="6" s="1"/>
  <c r="AZ315" i="6"/>
  <c r="BO315" i="6" s="1"/>
  <c r="AD85" i="6"/>
  <c r="AE22" i="6"/>
  <c r="BM22" i="6" s="1"/>
  <c r="AZ96" i="6"/>
  <c r="BO96" i="6" s="1"/>
  <c r="AZ662" i="6"/>
  <c r="BA662" i="6" s="1"/>
  <c r="BL669" i="6"/>
  <c r="BM669" i="6" s="1"/>
  <c r="BL587" i="6"/>
  <c r="BM587" i="6" s="1"/>
  <c r="BF689" i="6"/>
  <c r="BP689" i="6" s="1"/>
  <c r="CN243" i="6"/>
  <c r="CX243" i="6" s="1"/>
  <c r="BF592" i="6"/>
  <c r="BG592" i="6" s="1"/>
  <c r="CC592" i="6"/>
  <c r="BL609" i="6"/>
  <c r="BQ609" i="6" s="1"/>
  <c r="CD609" i="6"/>
  <c r="CL199" i="6"/>
  <c r="CV199" i="6" s="1"/>
  <c r="CD305" i="6"/>
  <c r="CM354" i="6"/>
  <c r="CW354" i="6" s="1"/>
  <c r="CC166" i="6"/>
  <c r="CB586" i="6"/>
  <c r="CM592" i="6"/>
  <c r="CW592" i="6" s="1"/>
  <c r="AE609" i="6"/>
  <c r="CP57" i="6"/>
  <c r="AC617" i="6"/>
  <c r="AZ136" i="6"/>
  <c r="BO136" i="6" s="1"/>
  <c r="BL242" i="6"/>
  <c r="BQ242" i="6" s="1"/>
  <c r="CR242" i="6"/>
  <c r="AC206" i="6"/>
  <c r="BL424" i="6"/>
  <c r="BQ424" i="6" s="1"/>
  <c r="BZ424" i="6"/>
  <c r="AN365" i="6"/>
  <c r="BL365" i="6" s="1"/>
  <c r="BQ365" i="6" s="1"/>
  <c r="AE365" i="6"/>
  <c r="AL197" i="6"/>
  <c r="AZ197" i="6" s="1"/>
  <c r="BO197" i="6" s="1"/>
  <c r="BX197" i="6"/>
  <c r="CH197" i="6" s="1"/>
  <c r="CB199" i="6"/>
  <c r="AE305" i="6"/>
  <c r="CC354" i="6"/>
  <c r="BY166" i="6"/>
  <c r="CI166" i="6" s="1"/>
  <c r="AD309" i="6"/>
  <c r="BX586" i="6"/>
  <c r="CH586" i="6" s="1"/>
  <c r="CR609" i="6"/>
  <c r="CL57" i="6"/>
  <c r="CV57" i="6" s="1"/>
  <c r="BX617" i="6"/>
  <c r="CC210" i="6"/>
  <c r="CP200" i="6"/>
  <c r="BX359" i="6"/>
  <c r="CH359" i="6" s="1"/>
  <c r="CM659" i="6"/>
  <c r="CW659" i="6" s="1"/>
  <c r="BF76" i="6"/>
  <c r="BP76" i="6" s="1"/>
  <c r="BL123" i="6"/>
  <c r="BQ123" i="6" s="1"/>
  <c r="AZ364" i="6"/>
  <c r="BA364" i="6" s="1"/>
  <c r="BL251" i="6"/>
  <c r="BQ251" i="6" s="1"/>
  <c r="CN251" i="6"/>
  <c r="CX251" i="6" s="1"/>
  <c r="AZ53" i="6"/>
  <c r="BX163" i="6"/>
  <c r="CH163" i="6" s="1"/>
  <c r="AN314" i="6"/>
  <c r="BL314" i="6" s="1"/>
  <c r="BQ314" i="6" s="1"/>
  <c r="BZ314" i="6"/>
  <c r="CJ314" i="6" s="1"/>
  <c r="BF690" i="6"/>
  <c r="BP690" i="6" s="1"/>
  <c r="CM690" i="6"/>
  <c r="CW690" i="6" s="1"/>
  <c r="CL659" i="6"/>
  <c r="CV659" i="6" s="1"/>
  <c r="BF183" i="6"/>
  <c r="BP183" i="6" s="1"/>
  <c r="CC183" i="6"/>
  <c r="BF165" i="6"/>
  <c r="BP165" i="6" s="1"/>
  <c r="AD165" i="6"/>
  <c r="BF425" i="6"/>
  <c r="BP425" i="6" s="1"/>
  <c r="AN118" i="6"/>
  <c r="BL118" i="6" s="1"/>
  <c r="AE118" i="6"/>
  <c r="BX12" i="6"/>
  <c r="CC703" i="6"/>
  <c r="BX167" i="6"/>
  <c r="CH167" i="6" s="1"/>
  <c r="AZ361" i="6"/>
  <c r="BA361" i="6" s="1"/>
  <c r="AC361" i="6"/>
  <c r="AL270" i="6"/>
  <c r="AZ270" i="6" s="1"/>
  <c r="BO270" i="6" s="1"/>
  <c r="CL270" i="6"/>
  <c r="CV270" i="6" s="1"/>
  <c r="BL643" i="6"/>
  <c r="BQ643" i="6" s="1"/>
  <c r="CN643" i="6"/>
  <c r="CX643" i="6" s="1"/>
  <c r="AZ366" i="6"/>
  <c r="BA366" i="6" s="1"/>
  <c r="CL366" i="6"/>
  <c r="CV366" i="6" s="1"/>
  <c r="AN175" i="6"/>
  <c r="BL175" i="6" s="1"/>
  <c r="BQ175" i="6" s="1"/>
  <c r="CD175" i="6"/>
  <c r="BF215" i="6"/>
  <c r="BG215" i="6" s="1"/>
  <c r="AZ126" i="6"/>
  <c r="BO126" i="6" s="1"/>
  <c r="CL98" i="6"/>
  <c r="CV98" i="6" s="1"/>
  <c r="CC361" i="6"/>
  <c r="CM166" i="6"/>
  <c r="CW166" i="6" s="1"/>
  <c r="CQ309" i="6"/>
  <c r="CC48" i="6"/>
  <c r="CC309" i="6"/>
  <c r="AE662" i="6"/>
  <c r="CL586" i="6"/>
  <c r="CV586" i="6" s="1"/>
  <c r="BZ609" i="6"/>
  <c r="CJ609" i="6" s="1"/>
  <c r="CQ703" i="6"/>
  <c r="CL617" i="6"/>
  <c r="AE272" i="6"/>
  <c r="AE10" i="6"/>
  <c r="BY376" i="6"/>
  <c r="CI376" i="6" s="1"/>
  <c r="BX395" i="6"/>
  <c r="CH395" i="6" s="1"/>
  <c r="BF90" i="6"/>
  <c r="BP90" i="6" s="1"/>
  <c r="BL706" i="6"/>
  <c r="BQ706" i="6" s="1"/>
  <c r="BZ706" i="6"/>
  <c r="CJ706" i="6" s="1"/>
  <c r="BL636" i="6"/>
  <c r="BM636" i="6" s="1"/>
  <c r="CD636" i="6"/>
  <c r="BL570" i="6"/>
  <c r="BM570" i="6" s="1"/>
  <c r="AE570" i="6"/>
  <c r="AZ654" i="6"/>
  <c r="BA654" i="6" s="1"/>
  <c r="AM666" i="6"/>
  <c r="BF666" i="6" s="1"/>
  <c r="BP666" i="6" s="1"/>
  <c r="CQ666" i="6"/>
  <c r="BL212" i="6"/>
  <c r="BQ212" i="6" s="1"/>
  <c r="CN212" i="6"/>
  <c r="CX212" i="6" s="1"/>
  <c r="BF409" i="6"/>
  <c r="BG409" i="6" s="1"/>
  <c r="AD409" i="6"/>
  <c r="BL662" i="6"/>
  <c r="BQ662" i="6" s="1"/>
  <c r="AZ207" i="6"/>
  <c r="AC583" i="6"/>
  <c r="BL91" i="6"/>
  <c r="BZ91" i="6"/>
  <c r="BX425" i="6"/>
  <c r="CH425" i="6" s="1"/>
  <c r="BX387" i="6"/>
  <c r="CH387" i="6" s="1"/>
  <c r="AD48" i="6"/>
  <c r="BX199" i="6"/>
  <c r="CH199" i="6" s="1"/>
  <c r="CP586" i="6"/>
  <c r="CN609" i="6"/>
  <c r="CX609" i="6" s="1"/>
  <c r="AC364" i="6"/>
  <c r="CN590" i="6"/>
  <c r="BY309" i="6"/>
  <c r="CI309" i="6" s="1"/>
  <c r="CN662" i="6"/>
  <c r="CX662" i="6" s="1"/>
  <c r="CM703" i="6"/>
  <c r="CW703" i="6" s="1"/>
  <c r="BZ272" i="6"/>
  <c r="CR10" i="6"/>
  <c r="BF270" i="6"/>
  <c r="BP270" i="6" s="1"/>
  <c r="BL24" i="6"/>
  <c r="BQ24" i="6" s="1"/>
  <c r="BF369" i="6"/>
  <c r="BP369" i="6" s="1"/>
  <c r="BL637" i="6"/>
  <c r="BQ637" i="6" s="1"/>
  <c r="AZ634" i="6"/>
  <c r="BO634" i="6" s="1"/>
  <c r="BL278" i="6"/>
  <c r="AZ703" i="6"/>
  <c r="BO703" i="6" s="1"/>
  <c r="BF614" i="6"/>
  <c r="BG614" i="6" s="1"/>
  <c r="AZ615" i="6"/>
  <c r="BO615" i="6" s="1"/>
  <c r="AN199" i="6"/>
  <c r="BL199" i="6" s="1"/>
  <c r="BQ199" i="6" s="1"/>
  <c r="CN199" i="6"/>
  <c r="CX199" i="6" s="1"/>
  <c r="AZ239" i="6"/>
  <c r="AZ105" i="6"/>
  <c r="BZ305" i="6"/>
  <c r="CJ305" i="6" s="1"/>
  <c r="AD592" i="6"/>
  <c r="AC57" i="6"/>
  <c r="AD703" i="6"/>
  <c r="CD272" i="6"/>
  <c r="CN10" i="6"/>
  <c r="CX10" i="6" s="1"/>
  <c r="AC209" i="6"/>
  <c r="BL17" i="6"/>
  <c r="BQ17" i="6" s="1"/>
  <c r="AZ404" i="6"/>
  <c r="BO404" i="6" s="1"/>
  <c r="AZ177" i="6"/>
  <c r="BZ110" i="6"/>
  <c r="CJ110" i="6" s="1"/>
  <c r="BF301" i="6"/>
  <c r="BP301" i="6" s="1"/>
  <c r="CQ301" i="6"/>
  <c r="BF200" i="6"/>
  <c r="BP200" i="6" s="1"/>
  <c r="CC200" i="6"/>
  <c r="BL182" i="6"/>
  <c r="BZ182" i="6"/>
  <c r="CJ182" i="6" s="1"/>
  <c r="AM146" i="6"/>
  <c r="BF146" i="6" s="1"/>
  <c r="BP146" i="6" s="1"/>
  <c r="CC146" i="6"/>
  <c r="AZ608" i="6"/>
  <c r="BO608" i="6" s="1"/>
  <c r="CL608" i="6"/>
  <c r="CV608" i="6" s="1"/>
  <c r="CM596" i="6"/>
  <c r="CW596" i="6" s="1"/>
  <c r="BF607" i="6"/>
  <c r="BP607" i="6" s="1"/>
  <c r="AD607" i="6"/>
  <c r="CR603" i="6"/>
  <c r="AM59" i="6"/>
  <c r="BF59" i="6" s="1"/>
  <c r="CM59" i="6"/>
  <c r="CW59" i="6" s="1"/>
  <c r="BF705" i="6"/>
  <c r="BP705" i="6" s="1"/>
  <c r="CN207" i="6"/>
  <c r="CX207" i="6" s="1"/>
  <c r="CM309" i="6"/>
  <c r="CW309" i="6" s="1"/>
  <c r="BL312" i="6"/>
  <c r="BQ312" i="6" s="1"/>
  <c r="CN312" i="6"/>
  <c r="CX312" i="6" s="1"/>
  <c r="CQ354" i="6"/>
  <c r="CP617" i="6"/>
  <c r="AZ675" i="6"/>
  <c r="BY48" i="6"/>
  <c r="BX185" i="6"/>
  <c r="BF120" i="6"/>
  <c r="CQ48" i="6"/>
  <c r="CR662" i="6"/>
  <c r="BF233" i="6"/>
  <c r="BX271" i="6"/>
  <c r="CH271" i="6" s="1"/>
  <c r="AC355" i="6"/>
  <c r="CN655" i="6"/>
  <c r="CX655" i="6" s="1"/>
  <c r="CP279" i="6"/>
  <c r="CP167" i="6"/>
  <c r="CB38" i="6"/>
  <c r="CL361" i="6"/>
  <c r="CV361" i="6" s="1"/>
  <c r="AD354" i="6"/>
  <c r="CR420" i="6"/>
  <c r="CD662" i="6"/>
  <c r="CM671" i="6"/>
  <c r="CW671" i="6" s="1"/>
  <c r="BY592" i="6"/>
  <c r="CI592" i="6" s="1"/>
  <c r="CB57" i="6"/>
  <c r="CP405" i="6"/>
  <c r="AC299" i="6"/>
  <c r="AC134" i="6"/>
  <c r="BA134" i="6" s="1"/>
  <c r="AC207" i="6"/>
  <c r="CQ353" i="6"/>
  <c r="AZ337" i="6"/>
  <c r="BO337" i="6" s="1"/>
  <c r="BF562" i="6"/>
  <c r="BG562" i="6" s="1"/>
  <c r="BL573" i="6"/>
  <c r="BQ573" i="6" s="1"/>
  <c r="AZ391" i="6"/>
  <c r="BO391" i="6" s="1"/>
  <c r="CL299" i="6"/>
  <c r="CV299" i="6" s="1"/>
  <c r="BX123" i="6"/>
  <c r="CH123" i="6" s="1"/>
  <c r="BY271" i="6"/>
  <c r="CI271" i="6" s="1"/>
  <c r="BL56" i="6"/>
  <c r="BQ56" i="6" s="1"/>
  <c r="AZ60" i="6"/>
  <c r="BO60" i="6" s="1"/>
  <c r="AZ566" i="6"/>
  <c r="BO566" i="6" s="1"/>
  <c r="BL83" i="6"/>
  <c r="BF14" i="6"/>
  <c r="BP14" i="6" s="1"/>
  <c r="CC365" i="6"/>
  <c r="BF577" i="6"/>
  <c r="BP577" i="6" s="1"/>
  <c r="AZ269" i="6"/>
  <c r="BO269" i="6" s="1"/>
  <c r="AZ641" i="6"/>
  <c r="BA641" i="6" s="1"/>
  <c r="BF656" i="6"/>
  <c r="BG656" i="6" s="1"/>
  <c r="BF660" i="6"/>
  <c r="BP660" i="6" s="1"/>
  <c r="BF144" i="6"/>
  <c r="BP144" i="6" s="1"/>
  <c r="CM53" i="6"/>
  <c r="CW53" i="6" s="1"/>
  <c r="BL403" i="6"/>
  <c r="BQ403" i="6" s="1"/>
  <c r="BF379" i="6"/>
  <c r="BP379" i="6" s="1"/>
  <c r="BL595" i="6"/>
  <c r="BQ595" i="6" s="1"/>
  <c r="BL75" i="6"/>
  <c r="BF612" i="6"/>
  <c r="BP612" i="6" s="1"/>
  <c r="AZ272" i="6"/>
  <c r="BO272" i="6" s="1"/>
  <c r="AZ75" i="6"/>
  <c r="CR254" i="6"/>
  <c r="CL176" i="6"/>
  <c r="CV176" i="6" s="1"/>
  <c r="CL562" i="6"/>
  <c r="CV562" i="6" s="1"/>
  <c r="AD636" i="6"/>
  <c r="CP116" i="6"/>
  <c r="BX307" i="6"/>
  <c r="CH307" i="6" s="1"/>
  <c r="CL384" i="6"/>
  <c r="CV384" i="6" s="1"/>
  <c r="CB70" i="6"/>
  <c r="CP561" i="6"/>
  <c r="AD40" i="6"/>
  <c r="CQ584" i="6"/>
  <c r="AD400" i="6"/>
  <c r="CD357" i="6"/>
  <c r="BY415" i="6"/>
  <c r="CI415" i="6" s="1"/>
  <c r="BY310" i="6"/>
  <c r="CI310" i="6" s="1"/>
  <c r="CD411" i="6"/>
  <c r="AE399" i="6"/>
  <c r="BL665" i="6"/>
  <c r="BM665" i="6" s="1"/>
  <c r="CQ416" i="6"/>
  <c r="CM395" i="6"/>
  <c r="CW395" i="6" s="1"/>
  <c r="CL305" i="6"/>
  <c r="CV305" i="6" s="1"/>
  <c r="CL345" i="6"/>
  <c r="CV345" i="6" s="1"/>
  <c r="AD305" i="6"/>
  <c r="CM415" i="6"/>
  <c r="CW415" i="6" s="1"/>
  <c r="CR399" i="6"/>
  <c r="CN414" i="6"/>
  <c r="CX414" i="6" s="1"/>
  <c r="CN694" i="6"/>
  <c r="CX694" i="6" s="1"/>
  <c r="BY660" i="6"/>
  <c r="CI660" i="6" s="1"/>
  <c r="CQ144" i="6"/>
  <c r="CD595" i="6"/>
  <c r="AE75" i="6"/>
  <c r="BY64" i="6"/>
  <c r="CI64" i="6" s="1"/>
  <c r="BX254" i="6"/>
  <c r="CH254" i="6" s="1"/>
  <c r="CR411" i="6"/>
  <c r="AD310" i="6"/>
  <c r="BZ418" i="6"/>
  <c r="CJ418" i="6" s="1"/>
  <c r="BY634" i="6"/>
  <c r="CI634" i="6" s="1"/>
  <c r="AD358" i="6"/>
  <c r="CC379" i="6"/>
  <c r="BZ112" i="6"/>
  <c r="CN589" i="6"/>
  <c r="CP314" i="6"/>
  <c r="CB588" i="6"/>
  <c r="BY608" i="6"/>
  <c r="CI608" i="6" s="1"/>
  <c r="AZ636" i="6"/>
  <c r="BO636" i="6" s="1"/>
  <c r="BF358" i="6"/>
  <c r="BP358" i="6" s="1"/>
  <c r="AZ297" i="6"/>
  <c r="CD382" i="6"/>
  <c r="CM416" i="6"/>
  <c r="CW416" i="6" s="1"/>
  <c r="CC395" i="6"/>
  <c r="AE307" i="6"/>
  <c r="AC307" i="6"/>
  <c r="CB345" i="6"/>
  <c r="CM305" i="6"/>
  <c r="CW305" i="6" s="1"/>
  <c r="CD399" i="6"/>
  <c r="AD242" i="6"/>
  <c r="BG242" i="6" s="1"/>
  <c r="CR694" i="6"/>
  <c r="CP641" i="6"/>
  <c r="CQ660" i="6"/>
  <c r="CM144" i="6"/>
  <c r="CW144" i="6" s="1"/>
  <c r="BZ595" i="6"/>
  <c r="CJ595" i="6" s="1"/>
  <c r="CR75" i="6"/>
  <c r="CQ64" i="6"/>
  <c r="CB254" i="6"/>
  <c r="CN411" i="6"/>
  <c r="CX411" i="6" s="1"/>
  <c r="CQ310" i="6"/>
  <c r="CR418" i="6"/>
  <c r="CQ634" i="6"/>
  <c r="AC395" i="6"/>
  <c r="CQ358" i="6"/>
  <c r="CR112" i="6"/>
  <c r="CD589" i="6"/>
  <c r="BZ98" i="6"/>
  <c r="CJ98" i="6" s="1"/>
  <c r="CL314" i="6"/>
  <c r="CV314" i="6" s="1"/>
  <c r="BX588" i="6"/>
  <c r="CQ608" i="6"/>
  <c r="AZ678" i="6"/>
  <c r="BA678" i="6" s="1"/>
  <c r="AZ191" i="6"/>
  <c r="BO191" i="6" s="1"/>
  <c r="BL205" i="6"/>
  <c r="BF655" i="6"/>
  <c r="BP655" i="6" s="1"/>
  <c r="BL677" i="6"/>
  <c r="BL680" i="6"/>
  <c r="AZ169" i="6"/>
  <c r="CQ563" i="6"/>
  <c r="BY395" i="6"/>
  <c r="CI395" i="6" s="1"/>
  <c r="CD307" i="6"/>
  <c r="CQ400" i="6"/>
  <c r="CP307" i="6"/>
  <c r="BX345" i="6"/>
  <c r="CH345" i="6" s="1"/>
  <c r="CQ305" i="6"/>
  <c r="BZ399" i="6"/>
  <c r="CJ399" i="6" s="1"/>
  <c r="CL35" i="6"/>
  <c r="CV35" i="6" s="1"/>
  <c r="CQ242" i="6"/>
  <c r="BZ694" i="6"/>
  <c r="CJ694" i="6" s="1"/>
  <c r="AC565" i="6"/>
  <c r="CM660" i="6"/>
  <c r="CW660" i="6" s="1"/>
  <c r="CN75" i="6"/>
  <c r="CX75" i="6" s="1"/>
  <c r="CM64" i="6"/>
  <c r="CW64" i="6" s="1"/>
  <c r="AC196" i="6"/>
  <c r="BA196" i="6" s="1"/>
  <c r="CP254" i="6"/>
  <c r="CP410" i="6"/>
  <c r="CM310" i="6"/>
  <c r="CW310" i="6" s="1"/>
  <c r="CN418" i="6"/>
  <c r="CX418" i="6" s="1"/>
  <c r="AD357" i="6"/>
  <c r="CM358" i="6"/>
  <c r="CW358" i="6" s="1"/>
  <c r="AC90" i="6"/>
  <c r="BA90" i="6" s="1"/>
  <c r="AE408" i="6"/>
  <c r="CN112" i="6"/>
  <c r="BZ589" i="6"/>
  <c r="CB176" i="6"/>
  <c r="CB403" i="6"/>
  <c r="CB314" i="6"/>
  <c r="CC583" i="6"/>
  <c r="CP588" i="6"/>
  <c r="CM608" i="6"/>
  <c r="CW608" i="6" s="1"/>
  <c r="BF416" i="6"/>
  <c r="BP416" i="6" s="1"/>
  <c r="BL14" i="6"/>
  <c r="BQ14" i="6" s="1"/>
  <c r="BL155" i="6"/>
  <c r="BQ155" i="6" s="1"/>
  <c r="BL422" i="6"/>
  <c r="BQ422" i="6" s="1"/>
  <c r="BF423" i="6"/>
  <c r="BG423" i="6" s="1"/>
  <c r="CM563" i="6"/>
  <c r="CW563" i="6" s="1"/>
  <c r="AD134" i="6"/>
  <c r="BZ307" i="6"/>
  <c r="CJ307" i="6" s="1"/>
  <c r="CR205" i="6"/>
  <c r="CM400" i="6"/>
  <c r="CW400" i="6" s="1"/>
  <c r="CL307" i="6"/>
  <c r="CV307" i="6" s="1"/>
  <c r="CC305" i="6"/>
  <c r="CN399" i="6"/>
  <c r="CX399" i="6" s="1"/>
  <c r="CB35" i="6"/>
  <c r="CM242" i="6"/>
  <c r="CW242" i="6" s="1"/>
  <c r="BX565" i="6"/>
  <c r="CH565" i="6" s="1"/>
  <c r="CD75" i="6"/>
  <c r="AE689" i="6"/>
  <c r="CL196" i="6"/>
  <c r="CV196" i="6" s="1"/>
  <c r="CL254" i="6"/>
  <c r="CV254" i="6" s="1"/>
  <c r="CL410" i="6"/>
  <c r="CV410" i="6" s="1"/>
  <c r="CC310" i="6"/>
  <c r="CQ357" i="6"/>
  <c r="CN638" i="6"/>
  <c r="CX638" i="6" s="1"/>
  <c r="AE361" i="6"/>
  <c r="CC358" i="6"/>
  <c r="CP90" i="6"/>
  <c r="AE116" i="6"/>
  <c r="BQ116" i="6" s="1"/>
  <c r="CD408" i="6"/>
  <c r="CL183" i="6"/>
  <c r="CV183" i="6" s="1"/>
  <c r="BX314" i="6"/>
  <c r="CH314" i="6" s="1"/>
  <c r="AD584" i="6"/>
  <c r="CL588" i="6"/>
  <c r="AD608" i="6"/>
  <c r="BF207" i="6"/>
  <c r="BP207" i="6" s="1"/>
  <c r="BL195" i="6"/>
  <c r="AZ676" i="6"/>
  <c r="CC563" i="6"/>
  <c r="CC134" i="6"/>
  <c r="CR307" i="6"/>
  <c r="CN205" i="6"/>
  <c r="CX205" i="6" s="1"/>
  <c r="CC400" i="6"/>
  <c r="CB307" i="6"/>
  <c r="BY305" i="6"/>
  <c r="CI305" i="6" s="1"/>
  <c r="AD415" i="6"/>
  <c r="BX35" i="6"/>
  <c r="CH35" i="6" s="1"/>
  <c r="CC242" i="6"/>
  <c r="CB565" i="6"/>
  <c r="BZ75" i="6"/>
  <c r="CJ75" i="6" s="1"/>
  <c r="CN689" i="6"/>
  <c r="CX689" i="6" s="1"/>
  <c r="CP196" i="6"/>
  <c r="CB410" i="6"/>
  <c r="CM357" i="6"/>
  <c r="CW357" i="6" s="1"/>
  <c r="AC188" i="6"/>
  <c r="CP309" i="6"/>
  <c r="BY148" i="6"/>
  <c r="CI148" i="6" s="1"/>
  <c r="BY358" i="6"/>
  <c r="CI358" i="6" s="1"/>
  <c r="CL90" i="6"/>
  <c r="CV90" i="6" s="1"/>
  <c r="CP408" i="6"/>
  <c r="CD116" i="6"/>
  <c r="BZ408" i="6"/>
  <c r="CJ408" i="6" s="1"/>
  <c r="CD378" i="6"/>
  <c r="CC584" i="6"/>
  <c r="AC588" i="6"/>
  <c r="CM616" i="6"/>
  <c r="BL119" i="6"/>
  <c r="AZ403" i="6"/>
  <c r="BO403" i="6" s="1"/>
  <c r="AZ642" i="6"/>
  <c r="BA642" i="6" s="1"/>
  <c r="AD416" i="6"/>
  <c r="CD422" i="6"/>
  <c r="BY134" i="6"/>
  <c r="CI134" i="6" s="1"/>
  <c r="CC415" i="6"/>
  <c r="CP35" i="6"/>
  <c r="BY242" i="6"/>
  <c r="CI242" i="6" s="1"/>
  <c r="CP565" i="6"/>
  <c r="AD144" i="6"/>
  <c r="AE595" i="6"/>
  <c r="CR689" i="6"/>
  <c r="CB196" i="6"/>
  <c r="BX410" i="6"/>
  <c r="CH410" i="6" s="1"/>
  <c r="AE411" i="6"/>
  <c r="CC357" i="6"/>
  <c r="CL188" i="6"/>
  <c r="CV188" i="6" s="1"/>
  <c r="AC170" i="6"/>
  <c r="CB90" i="6"/>
  <c r="BZ116" i="6"/>
  <c r="CJ116" i="6" s="1"/>
  <c r="CR408" i="6"/>
  <c r="CM153" i="6"/>
  <c r="CW153" i="6" s="1"/>
  <c r="BX561" i="6"/>
  <c r="CH561" i="6" s="1"/>
  <c r="BY584" i="6"/>
  <c r="CI584" i="6" s="1"/>
  <c r="BL120" i="6"/>
  <c r="BF300" i="6"/>
  <c r="BP300" i="6" s="1"/>
  <c r="BL656" i="6"/>
  <c r="BQ656" i="6" s="1"/>
  <c r="BF661" i="6"/>
  <c r="BP661" i="6" s="1"/>
  <c r="BF229" i="6"/>
  <c r="BP229" i="6" s="1"/>
  <c r="BL598" i="6"/>
  <c r="BQ598" i="6" s="1"/>
  <c r="BF57" i="6"/>
  <c r="BP57" i="6" s="1"/>
  <c r="BF593" i="6"/>
  <c r="BP593" i="6" s="1"/>
  <c r="BY563" i="6"/>
  <c r="CI563" i="6" s="1"/>
  <c r="CN307" i="6"/>
  <c r="CX307" i="6" s="1"/>
  <c r="BY400" i="6"/>
  <c r="CI400" i="6" s="1"/>
  <c r="CC416" i="6"/>
  <c r="AD563" i="6"/>
  <c r="CQ134" i="6"/>
  <c r="AD395" i="6"/>
  <c r="AC345" i="6"/>
  <c r="AC35" i="6"/>
  <c r="BA35" i="6" s="1"/>
  <c r="AE694" i="6"/>
  <c r="BM694" i="6" s="1"/>
  <c r="CL565" i="6"/>
  <c r="CV565" i="6" s="1"/>
  <c r="AD660" i="6"/>
  <c r="BY144" i="6"/>
  <c r="CI144" i="6" s="1"/>
  <c r="CR595" i="6"/>
  <c r="AD64" i="6"/>
  <c r="BZ689" i="6"/>
  <c r="CJ689" i="6" s="1"/>
  <c r="CN95" i="6"/>
  <c r="CX95" i="6" s="1"/>
  <c r="BX196" i="6"/>
  <c r="CH196" i="6" s="1"/>
  <c r="CL261" i="6"/>
  <c r="AC410" i="6"/>
  <c r="AE418" i="6"/>
  <c r="BY357" i="6"/>
  <c r="CI357" i="6" s="1"/>
  <c r="BX188" i="6"/>
  <c r="CH188" i="6" s="1"/>
  <c r="CM210" i="6"/>
  <c r="CW210" i="6" s="1"/>
  <c r="BX90" i="6"/>
  <c r="CH90" i="6" s="1"/>
  <c r="CR116" i="6"/>
  <c r="CN408" i="6"/>
  <c r="CX408" i="6" s="1"/>
  <c r="AE112" i="6"/>
  <c r="BM112" i="6" s="1"/>
  <c r="AE589" i="6"/>
  <c r="BL366" i="6"/>
  <c r="BM366" i="6" s="1"/>
  <c r="BL382" i="6"/>
  <c r="BM382" i="6" s="1"/>
  <c r="BF665" i="6"/>
  <c r="BP665" i="6" s="1"/>
  <c r="AZ408" i="6"/>
  <c r="BA408" i="6" s="1"/>
  <c r="BL589" i="6"/>
  <c r="BM589" i="6" s="1"/>
  <c r="AZ603" i="6"/>
  <c r="BO603" i="6" s="1"/>
  <c r="CB66" i="6"/>
  <c r="CP154" i="6"/>
  <c r="AE166" i="6"/>
  <c r="BX182" i="6"/>
  <c r="CH182" i="6" s="1"/>
  <c r="CR391" i="6"/>
  <c r="BF708" i="6"/>
  <c r="BP708" i="6" s="1"/>
  <c r="AZ292" i="6"/>
  <c r="BO292" i="6" s="1"/>
  <c r="CL706" i="6"/>
  <c r="CV706" i="6" s="1"/>
  <c r="CP338" i="6"/>
  <c r="CD381" i="6"/>
  <c r="CL146" i="6"/>
  <c r="CV146" i="6" s="1"/>
  <c r="BL126" i="6"/>
  <c r="BQ126" i="6" s="1"/>
  <c r="BL41" i="6"/>
  <c r="BQ41" i="6" s="1"/>
  <c r="CD678" i="6"/>
  <c r="AZ39" i="6"/>
  <c r="BO39" i="6" s="1"/>
  <c r="BX338" i="6"/>
  <c r="CH338" i="6" s="1"/>
  <c r="CD355" i="6"/>
  <c r="CD419" i="6"/>
  <c r="BX99" i="6"/>
  <c r="CH99" i="6" s="1"/>
  <c r="AD92" i="6"/>
  <c r="CN572" i="6"/>
  <c r="CX572" i="6" s="1"/>
  <c r="CP597" i="6"/>
  <c r="CD80" i="6"/>
  <c r="BY391" i="6"/>
  <c r="CI391" i="6" s="1"/>
  <c r="CM398" i="6"/>
  <c r="CW398" i="6" s="1"/>
  <c r="AZ359" i="6"/>
  <c r="BO359" i="6" s="1"/>
  <c r="AC338" i="6"/>
  <c r="BZ355" i="6"/>
  <c r="CJ355" i="6" s="1"/>
  <c r="BZ419" i="6"/>
  <c r="CJ419" i="6" s="1"/>
  <c r="CR584" i="6"/>
  <c r="CN306" i="6"/>
  <c r="CX306" i="6" s="1"/>
  <c r="CD572" i="6"/>
  <c r="CQ640" i="6"/>
  <c r="BY397" i="6"/>
  <c r="CI397" i="6" s="1"/>
  <c r="CC360" i="6"/>
  <c r="AZ614" i="6"/>
  <c r="BO614" i="6" s="1"/>
  <c r="CR355" i="6"/>
  <c r="CR419" i="6"/>
  <c r="CL601" i="6"/>
  <c r="BY407" i="6"/>
  <c r="CI407" i="6" s="1"/>
  <c r="CR572" i="6"/>
  <c r="BX136" i="6"/>
  <c r="CH136" i="6" s="1"/>
  <c r="AE196" i="6"/>
  <c r="BM196" i="6" s="1"/>
  <c r="CQ133" i="6"/>
  <c r="CM222" i="6"/>
  <c r="CW222" i="6" s="1"/>
  <c r="AC368" i="6"/>
  <c r="CN355" i="6"/>
  <c r="CX355" i="6" s="1"/>
  <c r="CN419" i="6"/>
  <c r="CX419" i="6" s="1"/>
  <c r="CB208" i="6"/>
  <c r="AC304" i="6"/>
  <c r="AE303" i="6"/>
  <c r="AE572" i="6"/>
  <c r="CN66" i="6"/>
  <c r="CX66" i="6" s="1"/>
  <c r="CM573" i="6"/>
  <c r="CW573" i="6" s="1"/>
  <c r="CB89" i="6"/>
  <c r="CB368" i="6"/>
  <c r="AE419" i="6"/>
  <c r="AC99" i="6"/>
  <c r="AC423" i="6"/>
  <c r="CM13" i="6"/>
  <c r="CW13" i="6" s="1"/>
  <c r="CD303" i="6"/>
  <c r="BZ653" i="6"/>
  <c r="CJ653" i="6" s="1"/>
  <c r="CB229" i="6"/>
  <c r="CC362" i="6"/>
  <c r="CC421" i="6"/>
  <c r="AC202" i="6"/>
  <c r="CL338" i="6"/>
  <c r="CV338" i="6" s="1"/>
  <c r="BX368" i="6"/>
  <c r="CH368" i="6" s="1"/>
  <c r="CQ43" i="6"/>
  <c r="AC146" i="6"/>
  <c r="CP99" i="6"/>
  <c r="CL312" i="6"/>
  <c r="CV312" i="6" s="1"/>
  <c r="BZ303" i="6"/>
  <c r="CJ303" i="6" s="1"/>
  <c r="AC306" i="6"/>
  <c r="CQ197" i="6"/>
  <c r="CP368" i="6"/>
  <c r="BY228" i="6"/>
  <c r="CI228" i="6" s="1"/>
  <c r="CL99" i="6"/>
  <c r="CV99" i="6" s="1"/>
  <c r="CC384" i="6"/>
  <c r="CR303" i="6"/>
  <c r="CB386" i="6"/>
  <c r="CL306" i="6"/>
  <c r="CV306" i="6" s="1"/>
  <c r="CC315" i="6"/>
  <c r="BL388" i="6"/>
  <c r="BM388" i="6" s="1"/>
  <c r="BF419" i="6"/>
  <c r="BP419" i="6" s="1"/>
  <c r="BZ144" i="6"/>
  <c r="CJ144" i="6" s="1"/>
  <c r="AZ151" i="6"/>
  <c r="BO151" i="6" s="1"/>
  <c r="AZ137" i="6"/>
  <c r="AZ303" i="6"/>
  <c r="BA303" i="6" s="1"/>
  <c r="BF617" i="6"/>
  <c r="BP617" i="6" s="1"/>
  <c r="BF56" i="6"/>
  <c r="BP56" i="6" s="1"/>
  <c r="BF383" i="6"/>
  <c r="BP383" i="6" s="1"/>
  <c r="BF378" i="6"/>
  <c r="BG378" i="6" s="1"/>
  <c r="AZ109" i="6"/>
  <c r="BO109" i="6" s="1"/>
  <c r="BF339" i="6"/>
  <c r="BG339" i="6" s="1"/>
  <c r="BF123" i="6"/>
  <c r="BP123" i="6" s="1"/>
  <c r="CL66" i="6"/>
  <c r="CV66" i="6" s="1"/>
  <c r="AC706" i="6"/>
  <c r="CP563" i="6"/>
  <c r="CQ565" i="6"/>
  <c r="CL154" i="6"/>
  <c r="CV154" i="6" s="1"/>
  <c r="CN166" i="6"/>
  <c r="CX166" i="6" s="1"/>
  <c r="CN300" i="6"/>
  <c r="CX300" i="6" s="1"/>
  <c r="CB30" i="6"/>
  <c r="CN670" i="6"/>
  <c r="CX670" i="6" s="1"/>
  <c r="CM192" i="6"/>
  <c r="CW192" i="6" s="1"/>
  <c r="CP587" i="6"/>
  <c r="AC607" i="6"/>
  <c r="CD616" i="6"/>
  <c r="AC415" i="6"/>
  <c r="BZ381" i="6"/>
  <c r="CJ381" i="6" s="1"/>
  <c r="AC599" i="6"/>
  <c r="CN391" i="6"/>
  <c r="CX391" i="6" s="1"/>
  <c r="BF181" i="6"/>
  <c r="BL53" i="6"/>
  <c r="AZ584" i="6"/>
  <c r="BO584" i="6" s="1"/>
  <c r="AZ638" i="6"/>
  <c r="BO638" i="6" s="1"/>
  <c r="AD308" i="6"/>
  <c r="BX89" i="6"/>
  <c r="CH89" i="6" s="1"/>
  <c r="CD166" i="6"/>
  <c r="AD228" i="6"/>
  <c r="BY384" i="6"/>
  <c r="CI384" i="6" s="1"/>
  <c r="BX208" i="6"/>
  <c r="CH208" i="6" s="1"/>
  <c r="CN584" i="6"/>
  <c r="CX584" i="6" s="1"/>
  <c r="AD602" i="6"/>
  <c r="CC92" i="6"/>
  <c r="CL423" i="6"/>
  <c r="CB706" i="6"/>
  <c r="CB312" i="6"/>
  <c r="CL304" i="6"/>
  <c r="CV304" i="6" s="1"/>
  <c r="AE637" i="6"/>
  <c r="CQ407" i="6"/>
  <c r="CL386" i="6"/>
  <c r="CV386" i="6" s="1"/>
  <c r="CB306" i="6"/>
  <c r="CM640" i="6"/>
  <c r="CW640" i="6" s="1"/>
  <c r="CP229" i="6"/>
  <c r="CL597" i="6"/>
  <c r="CB606" i="6"/>
  <c r="BZ80" i="6"/>
  <c r="AC615" i="6"/>
  <c r="CD66" i="6"/>
  <c r="CD196" i="6"/>
  <c r="CC565" i="6"/>
  <c r="BY133" i="6"/>
  <c r="CI133" i="6" s="1"/>
  <c r="BY362" i="6"/>
  <c r="CI362" i="6" s="1"/>
  <c r="CM197" i="6"/>
  <c r="CW197" i="6" s="1"/>
  <c r="CQ421" i="6"/>
  <c r="AD254" i="6"/>
  <c r="BG254" i="6" s="1"/>
  <c r="AE561" i="6"/>
  <c r="CB202" i="6"/>
  <c r="BY398" i="6"/>
  <c r="CI398" i="6" s="1"/>
  <c r="BY360" i="6"/>
  <c r="CI360" i="6" s="1"/>
  <c r="BZ380" i="6"/>
  <c r="CJ380" i="6" s="1"/>
  <c r="AE144" i="6"/>
  <c r="AD591" i="6"/>
  <c r="BF39" i="6"/>
  <c r="BF397" i="6"/>
  <c r="BG397" i="6" s="1"/>
  <c r="AZ155" i="6"/>
  <c r="BO155" i="6" s="1"/>
  <c r="BL668" i="6"/>
  <c r="BM668" i="6" s="1"/>
  <c r="BL584" i="6"/>
  <c r="BQ584" i="6" s="1"/>
  <c r="BF602" i="6"/>
  <c r="BP602" i="6" s="1"/>
  <c r="BF92" i="6"/>
  <c r="BP92" i="6" s="1"/>
  <c r="AZ674" i="6"/>
  <c r="BL233" i="6"/>
  <c r="BL234" i="6"/>
  <c r="CM308" i="6"/>
  <c r="CW308" i="6" s="1"/>
  <c r="AE24" i="6"/>
  <c r="AC210" i="6"/>
  <c r="BA210" i="6" s="1"/>
  <c r="BZ166" i="6"/>
  <c r="CJ166" i="6" s="1"/>
  <c r="AC634" i="6"/>
  <c r="AD384" i="6"/>
  <c r="CP208" i="6"/>
  <c r="AE583" i="6"/>
  <c r="CD584" i="6"/>
  <c r="CC602" i="6"/>
  <c r="AC703" i="6"/>
  <c r="BY92" i="6"/>
  <c r="CB423" i="6"/>
  <c r="BX396" i="6"/>
  <c r="CH396" i="6" s="1"/>
  <c r="BX312" i="6"/>
  <c r="CH312" i="6" s="1"/>
  <c r="AD99" i="6"/>
  <c r="CP304" i="6"/>
  <c r="BZ637" i="6"/>
  <c r="CJ637" i="6" s="1"/>
  <c r="AE300" i="6"/>
  <c r="CP310" i="6"/>
  <c r="CM407" i="6"/>
  <c r="CW407" i="6" s="1"/>
  <c r="AC386" i="6"/>
  <c r="BX306" i="6"/>
  <c r="CH306" i="6" s="1"/>
  <c r="CL229" i="6"/>
  <c r="CV229" i="6" s="1"/>
  <c r="BX606" i="6"/>
  <c r="CH606" i="6" s="1"/>
  <c r="CB615" i="6"/>
  <c r="CR66" i="6"/>
  <c r="BZ196" i="6"/>
  <c r="CJ196" i="6" s="1"/>
  <c r="BY565" i="6"/>
  <c r="CI565" i="6" s="1"/>
  <c r="CM133" i="6"/>
  <c r="CW133" i="6" s="1"/>
  <c r="CC197" i="6"/>
  <c r="CC302" i="6"/>
  <c r="CQ254" i="6"/>
  <c r="AE670" i="6"/>
  <c r="AC587" i="6"/>
  <c r="CL607" i="6"/>
  <c r="CV607" i="6" s="1"/>
  <c r="AC13" i="6"/>
  <c r="CN561" i="6"/>
  <c r="CX561" i="6" s="1"/>
  <c r="BX202" i="6"/>
  <c r="CH202" i="6" s="1"/>
  <c r="CQ388" i="6"/>
  <c r="CD380" i="6"/>
  <c r="CM593" i="6"/>
  <c r="CW593" i="6" s="1"/>
  <c r="BF245" i="6"/>
  <c r="AZ298" i="6"/>
  <c r="BA298" i="6" s="1"/>
  <c r="AZ392" i="6"/>
  <c r="BO392" i="6" s="1"/>
  <c r="BL608" i="6"/>
  <c r="BM608" i="6" s="1"/>
  <c r="AZ689" i="6"/>
  <c r="BO689" i="6" s="1"/>
  <c r="AE292" i="6"/>
  <c r="CQ308" i="6"/>
  <c r="CP210" i="6"/>
  <c r="CR166" i="6"/>
  <c r="CL634" i="6"/>
  <c r="CV634" i="6" s="1"/>
  <c r="CL208" i="6"/>
  <c r="CV208" i="6" s="1"/>
  <c r="CR583" i="6"/>
  <c r="BZ584" i="6"/>
  <c r="CJ584" i="6" s="1"/>
  <c r="BY602" i="6"/>
  <c r="CB703" i="6"/>
  <c r="CQ92" i="6"/>
  <c r="CP423" i="6"/>
  <c r="CD299" i="6"/>
  <c r="CQ99" i="6"/>
  <c r="AC24" i="6"/>
  <c r="CB304" i="6"/>
  <c r="CN637" i="6"/>
  <c r="CX637" i="6" s="1"/>
  <c r="CD300" i="6"/>
  <c r="CL310" i="6"/>
  <c r="CV310" i="6" s="1"/>
  <c r="CP415" i="6"/>
  <c r="CB370" i="6"/>
  <c r="BX229" i="6"/>
  <c r="CH229" i="6" s="1"/>
  <c r="AD157" i="6"/>
  <c r="CP606" i="6"/>
  <c r="BX615" i="6"/>
  <c r="CR196" i="6"/>
  <c r="CN396" i="6"/>
  <c r="CX396" i="6" s="1"/>
  <c r="BY197" i="6"/>
  <c r="CI197" i="6" s="1"/>
  <c r="CL112" i="6"/>
  <c r="BY302" i="6"/>
  <c r="CI302" i="6" s="1"/>
  <c r="CM254" i="6"/>
  <c r="CW254" i="6" s="1"/>
  <c r="CB587" i="6"/>
  <c r="CB13" i="6"/>
  <c r="CR561" i="6"/>
  <c r="CP202" i="6"/>
  <c r="AE380" i="6"/>
  <c r="AC91" i="6"/>
  <c r="AZ396" i="6"/>
  <c r="BA396" i="6" s="1"/>
  <c r="BL310" i="6"/>
  <c r="BQ310" i="6" s="1"/>
  <c r="BL180" i="6"/>
  <c r="BQ180" i="6" s="1"/>
  <c r="AZ597" i="6"/>
  <c r="BA597" i="6" s="1"/>
  <c r="AZ370" i="6"/>
  <c r="BO370" i="6" s="1"/>
  <c r="BF420" i="6"/>
  <c r="BP420" i="6" s="1"/>
  <c r="BF421" i="6"/>
  <c r="BG421" i="6" s="1"/>
  <c r="BF676" i="6"/>
  <c r="BL675" i="6"/>
  <c r="CM187" i="6"/>
  <c r="CW187" i="6" s="1"/>
  <c r="CC308" i="6"/>
  <c r="CL210" i="6"/>
  <c r="CV210" i="6" s="1"/>
  <c r="CB634" i="6"/>
  <c r="CN583" i="6"/>
  <c r="CX583" i="6" s="1"/>
  <c r="AC601" i="6"/>
  <c r="CQ602" i="6"/>
  <c r="BX703" i="6"/>
  <c r="CH703" i="6" s="1"/>
  <c r="CM92" i="6"/>
  <c r="BX423" i="6"/>
  <c r="AD13" i="6"/>
  <c r="BX563" i="6"/>
  <c r="CH563" i="6" s="1"/>
  <c r="BZ299" i="6"/>
  <c r="CJ299" i="6" s="1"/>
  <c r="CM99" i="6"/>
  <c r="CW99" i="6" s="1"/>
  <c r="BX304" i="6"/>
  <c r="CH304" i="6" s="1"/>
  <c r="AE197" i="6"/>
  <c r="BZ300" i="6"/>
  <c r="CJ300" i="6" s="1"/>
  <c r="CB310" i="6"/>
  <c r="AE306" i="6"/>
  <c r="CB415" i="6"/>
  <c r="BX370" i="6"/>
  <c r="CH370" i="6" s="1"/>
  <c r="AE653" i="6"/>
  <c r="AC229" i="6"/>
  <c r="CC157" i="6"/>
  <c r="CL606" i="6"/>
  <c r="CV606" i="6" s="1"/>
  <c r="CP615" i="6"/>
  <c r="AC136" i="6"/>
  <c r="CN196" i="6"/>
  <c r="CX196" i="6" s="1"/>
  <c r="BZ396" i="6"/>
  <c r="CJ396" i="6" s="1"/>
  <c r="AD420" i="6"/>
  <c r="BX112" i="6"/>
  <c r="CQ302" i="6"/>
  <c r="CC254" i="6"/>
  <c r="BY702" i="6"/>
  <c r="CI702" i="6" s="1"/>
  <c r="AD315" i="6"/>
  <c r="CD561" i="6"/>
  <c r="CL202" i="6"/>
  <c r="CV202" i="6" s="1"/>
  <c r="CB91" i="6"/>
  <c r="BF99" i="6"/>
  <c r="BF573" i="6"/>
  <c r="BG573" i="6" s="1"/>
  <c r="BL635" i="6"/>
  <c r="BM635" i="6" s="1"/>
  <c r="BL380" i="6"/>
  <c r="BM380" i="6" s="1"/>
  <c r="BY308" i="6"/>
  <c r="CI308" i="6" s="1"/>
  <c r="AC89" i="6"/>
  <c r="CB210" i="6"/>
  <c r="CQ228" i="6"/>
  <c r="CP634" i="6"/>
  <c r="CD583" i="6"/>
  <c r="CB601" i="6"/>
  <c r="CM602" i="6"/>
  <c r="CP703" i="6"/>
  <c r="CC13" i="6"/>
  <c r="CC99" i="6"/>
  <c r="BZ197" i="6"/>
  <c r="CJ197" i="6" s="1"/>
  <c r="CR300" i="6"/>
  <c r="BX310" i="6"/>
  <c r="CH310" i="6" s="1"/>
  <c r="CD306" i="6"/>
  <c r="BX415" i="6"/>
  <c r="CH415" i="6" s="1"/>
  <c r="CP370" i="6"/>
  <c r="AD640" i="6"/>
  <c r="CR653" i="6"/>
  <c r="BY157" i="6"/>
  <c r="CI157" i="6" s="1"/>
  <c r="AC597" i="6"/>
  <c r="AE80" i="6"/>
  <c r="CL615" i="6"/>
  <c r="AD222" i="6"/>
  <c r="AC66" i="6"/>
  <c r="CP136" i="6"/>
  <c r="AE396" i="6"/>
  <c r="AD362" i="6"/>
  <c r="CC420" i="6"/>
  <c r="AC112" i="6"/>
  <c r="CM302" i="6"/>
  <c r="CW302" i="6" s="1"/>
  <c r="BY254" i="6"/>
  <c r="CI254" i="6" s="1"/>
  <c r="CM702" i="6"/>
  <c r="CW702" i="6" s="1"/>
  <c r="BZ561" i="6"/>
  <c r="CJ561" i="6" s="1"/>
  <c r="CB291" i="6"/>
  <c r="AD360" i="6"/>
  <c r="CR672" i="6"/>
  <c r="CR616" i="6"/>
  <c r="BF337" i="6"/>
  <c r="BP337" i="6" s="1"/>
  <c r="AZ29" i="6"/>
  <c r="BO29" i="6" s="1"/>
  <c r="BL114" i="6"/>
  <c r="BQ114" i="6" s="1"/>
  <c r="BL362" i="6"/>
  <c r="BM362" i="6" s="1"/>
  <c r="BL95" i="6"/>
  <c r="BQ95" i="6" s="1"/>
  <c r="BL208" i="6"/>
  <c r="BQ208" i="6" s="1"/>
  <c r="AZ310" i="6"/>
  <c r="BA310" i="6" s="1"/>
  <c r="AZ112" i="6"/>
  <c r="BO112" i="6" s="1"/>
  <c r="BF395" i="6"/>
  <c r="BP395" i="6" s="1"/>
  <c r="AZ620" i="6"/>
  <c r="AC298" i="6"/>
  <c r="CP89" i="6"/>
  <c r="BX210" i="6"/>
  <c r="CH210" i="6" s="1"/>
  <c r="CM228" i="6"/>
  <c r="CW228" i="6" s="1"/>
  <c r="BX634" i="6"/>
  <c r="CH634" i="6" s="1"/>
  <c r="CQ384" i="6"/>
  <c r="BZ656" i="6"/>
  <c r="CJ656" i="6" s="1"/>
  <c r="BZ583" i="6"/>
  <c r="CJ583" i="6" s="1"/>
  <c r="BX601" i="6"/>
  <c r="CL703" i="6"/>
  <c r="CV703" i="6" s="1"/>
  <c r="BY13" i="6"/>
  <c r="CI13" i="6" s="1"/>
  <c r="AC312" i="6"/>
  <c r="BY99" i="6"/>
  <c r="CI99" i="6" s="1"/>
  <c r="CP30" i="6"/>
  <c r="AC310" i="6"/>
  <c r="BZ306" i="6"/>
  <c r="CJ306" i="6" s="1"/>
  <c r="CL415" i="6"/>
  <c r="CV415" i="6" s="1"/>
  <c r="AD407" i="6"/>
  <c r="CP386" i="6"/>
  <c r="CL370" i="6"/>
  <c r="CV370" i="6" s="1"/>
  <c r="CC640" i="6"/>
  <c r="CN653" i="6"/>
  <c r="CX653" i="6" s="1"/>
  <c r="CQ157" i="6"/>
  <c r="CB597" i="6"/>
  <c r="CR80" i="6"/>
  <c r="BY222" i="6"/>
  <c r="CI222" i="6" s="1"/>
  <c r="AE66" i="6"/>
  <c r="BM66" i="6" s="1"/>
  <c r="CP66" i="6"/>
  <c r="CL136" i="6"/>
  <c r="CV136" i="6" s="1"/>
  <c r="CR396" i="6"/>
  <c r="AD565" i="6"/>
  <c r="AD133" i="6"/>
  <c r="CQ362" i="6"/>
  <c r="BY420" i="6"/>
  <c r="CI420" i="6" s="1"/>
  <c r="AE391" i="6"/>
  <c r="AD302" i="6"/>
  <c r="CP60" i="6"/>
  <c r="CQ360" i="6"/>
  <c r="CD672" i="6"/>
  <c r="BF278" i="6"/>
  <c r="BP278" i="6" s="1"/>
  <c r="BF308" i="6"/>
  <c r="BP308" i="6" s="1"/>
  <c r="AZ304" i="6"/>
  <c r="BO304" i="6" s="1"/>
  <c r="BF664" i="6"/>
  <c r="BP664" i="6" s="1"/>
  <c r="BL575" i="6"/>
  <c r="BM575" i="6" s="1"/>
  <c r="BL676" i="6"/>
  <c r="CL89" i="6"/>
  <c r="CV89" i="6" s="1"/>
  <c r="CC228" i="6"/>
  <c r="CM384" i="6"/>
  <c r="CW384" i="6" s="1"/>
  <c r="AE584" i="6"/>
  <c r="CP601" i="6"/>
  <c r="CQ13" i="6"/>
  <c r="CP312" i="6"/>
  <c r="CR306" i="6"/>
  <c r="CC407" i="6"/>
  <c r="BX386" i="6"/>
  <c r="CH386" i="6" s="1"/>
  <c r="AC370" i="6"/>
  <c r="CP306" i="6"/>
  <c r="BY640" i="6"/>
  <c r="CI640" i="6" s="1"/>
  <c r="CD653" i="6"/>
  <c r="CM157" i="6"/>
  <c r="CW157" i="6" s="1"/>
  <c r="BX597" i="6"/>
  <c r="CN80" i="6"/>
  <c r="CQ222" i="6"/>
  <c r="BZ66" i="6"/>
  <c r="CJ66" i="6" s="1"/>
  <c r="CB136" i="6"/>
  <c r="CQ397" i="6"/>
  <c r="CC133" i="6"/>
  <c r="CM362" i="6"/>
  <c r="CW362" i="6" s="1"/>
  <c r="CQ420" i="6"/>
  <c r="AD197" i="6"/>
  <c r="AD421" i="6"/>
  <c r="CM360" i="6"/>
  <c r="CW360" i="6" s="1"/>
  <c r="AZ371" i="6"/>
  <c r="BO371" i="6" s="1"/>
  <c r="BL583" i="6"/>
  <c r="BQ583" i="6" s="1"/>
  <c r="BL653" i="6"/>
  <c r="BQ653" i="6" s="1"/>
  <c r="AZ406" i="6"/>
  <c r="BA406" i="6" s="1"/>
  <c r="BL80" i="6"/>
  <c r="BQ80" i="6" s="1"/>
  <c r="BF272" i="6"/>
  <c r="BP272" i="6" s="1"/>
  <c r="BL594" i="6"/>
  <c r="BQ594" i="6" s="1"/>
  <c r="BL672" i="6"/>
  <c r="BM672" i="6" s="1"/>
  <c r="BF53" i="6"/>
  <c r="BP53" i="6" s="1"/>
  <c r="BF623" i="6"/>
  <c r="BP623" i="6" s="1"/>
  <c r="BF199" i="6"/>
  <c r="BP199" i="6" s="1"/>
  <c r="BF96" i="6"/>
  <c r="BP96" i="6" s="1"/>
  <c r="BF667" i="6"/>
  <c r="BG667" i="6" s="1"/>
  <c r="BL599" i="6"/>
  <c r="BQ599" i="6" s="1"/>
  <c r="AZ166" i="6"/>
  <c r="BO166" i="6" s="1"/>
  <c r="BL176" i="6"/>
  <c r="BQ176" i="6" s="1"/>
  <c r="BL198" i="6"/>
  <c r="BQ198" i="6" s="1"/>
  <c r="BF162" i="6"/>
  <c r="BL338" i="6"/>
  <c r="BQ338" i="6" s="1"/>
  <c r="BL659" i="6"/>
  <c r="BQ659" i="6" s="1"/>
  <c r="BL660" i="6"/>
  <c r="BQ660" i="6" s="1"/>
  <c r="AZ256" i="6"/>
  <c r="BO256" i="6" s="1"/>
  <c r="BF591" i="6"/>
  <c r="BG591" i="6" s="1"/>
  <c r="BL13" i="6"/>
  <c r="AZ367" i="6"/>
  <c r="BA367" i="6" s="1"/>
  <c r="BL106" i="6"/>
  <c r="AZ180" i="6"/>
  <c r="BF600" i="6"/>
  <c r="BP600" i="6" s="1"/>
  <c r="BF605" i="6"/>
  <c r="BP605" i="6" s="1"/>
  <c r="BL615" i="6"/>
  <c r="BM615" i="6" s="1"/>
  <c r="BF702" i="6"/>
  <c r="BP702" i="6" s="1"/>
  <c r="BF279" i="6"/>
  <c r="AE681" i="6"/>
  <c r="BL681" i="6"/>
  <c r="BM681" i="6" s="1"/>
  <c r="BF648" i="6"/>
  <c r="BP648" i="6" s="1"/>
  <c r="CL405" i="6"/>
  <c r="CV405" i="6" s="1"/>
  <c r="AZ405" i="6"/>
  <c r="BO405" i="6" s="1"/>
  <c r="BZ346" i="6"/>
  <c r="CJ346" i="6" s="1"/>
  <c r="BL346" i="6"/>
  <c r="BQ346" i="6" s="1"/>
  <c r="CR241" i="6"/>
  <c r="AN241" i="6"/>
  <c r="BL241" i="6" s="1"/>
  <c r="BQ241" i="6" s="1"/>
  <c r="BF114" i="6"/>
  <c r="BP114" i="6" s="1"/>
  <c r="BL567" i="6"/>
  <c r="BQ567" i="6" s="1"/>
  <c r="AZ376" i="6"/>
  <c r="BA376" i="6" s="1"/>
  <c r="BF145" i="6"/>
  <c r="BP145" i="6" s="1"/>
  <c r="AZ372" i="6"/>
  <c r="BO372" i="6" s="1"/>
  <c r="BF106" i="6"/>
  <c r="BP106" i="6" s="1"/>
  <c r="BF292" i="6"/>
  <c r="BL249" i="6"/>
  <c r="BQ249" i="6" s="1"/>
  <c r="AE345" i="6"/>
  <c r="BL345" i="6"/>
  <c r="BM345" i="6" s="1"/>
  <c r="BL402" i="6"/>
  <c r="BM402" i="6" s="1"/>
  <c r="BL640" i="6"/>
  <c r="BM640" i="6" s="1"/>
  <c r="BL638" i="6"/>
  <c r="BM638" i="6" s="1"/>
  <c r="BF157" i="6"/>
  <c r="BP157" i="6" s="1"/>
  <c r="BL370" i="6"/>
  <c r="BQ370" i="6" s="1"/>
  <c r="BF133" i="6"/>
  <c r="BF180" i="6"/>
  <c r="BP180" i="6" s="1"/>
  <c r="AZ183" i="6"/>
  <c r="BO183" i="6" s="1"/>
  <c r="BL379" i="6"/>
  <c r="BM379" i="6" s="1"/>
  <c r="CP600" i="6"/>
  <c r="AZ600" i="6"/>
  <c r="BO600" i="6" s="1"/>
  <c r="AE705" i="6"/>
  <c r="BL705" i="6"/>
  <c r="BQ705" i="6" s="1"/>
  <c r="AZ62" i="6"/>
  <c r="BO62" i="6" s="1"/>
  <c r="BL600" i="6"/>
  <c r="BQ600" i="6" s="1"/>
  <c r="CD607" i="6"/>
  <c r="BL607" i="6"/>
  <c r="BQ607" i="6" s="1"/>
  <c r="AZ610" i="6"/>
  <c r="BA610" i="6" s="1"/>
  <c r="BL613" i="6"/>
  <c r="BQ613" i="6" s="1"/>
  <c r="CL92" i="6"/>
  <c r="AZ92" i="6"/>
  <c r="BO92" i="6" s="1"/>
  <c r="CC62" i="6"/>
  <c r="BF62" i="6"/>
  <c r="BF424" i="6"/>
  <c r="BP424" i="6" s="1"/>
  <c r="AZ593" i="6"/>
  <c r="BO593" i="6" s="1"/>
  <c r="AD601" i="6"/>
  <c r="BF601" i="6"/>
  <c r="BG601" i="6" s="1"/>
  <c r="AZ704" i="6"/>
  <c r="CM113" i="6"/>
  <c r="BF113" i="6"/>
  <c r="BP113" i="6" s="1"/>
  <c r="AZ707" i="6"/>
  <c r="BO707" i="6" s="1"/>
  <c r="BZ33" i="6"/>
  <c r="CJ33" i="6" s="1"/>
  <c r="AN33" i="6"/>
  <c r="BL33" i="6" s="1"/>
  <c r="BQ33" i="6" s="1"/>
  <c r="BL610" i="6"/>
  <c r="BM610" i="6" s="1"/>
  <c r="BF613" i="6"/>
  <c r="BP613" i="6" s="1"/>
  <c r="AZ64" i="6"/>
  <c r="BO64" i="6" s="1"/>
  <c r="BF55" i="6"/>
  <c r="BP55" i="6" s="1"/>
  <c r="AZ98" i="6"/>
  <c r="BF361" i="6"/>
  <c r="BP361" i="6" s="1"/>
  <c r="CQ373" i="6"/>
  <c r="BF373" i="6"/>
  <c r="BP373" i="6" s="1"/>
  <c r="BF688" i="6"/>
  <c r="BP688" i="6" s="1"/>
  <c r="BF587" i="6"/>
  <c r="BP587" i="6" s="1"/>
  <c r="BL596" i="6"/>
  <c r="BQ596" i="6" s="1"/>
  <c r="BF606" i="6"/>
  <c r="BP606" i="6" s="1"/>
  <c r="BX381" i="6"/>
  <c r="CH381" i="6" s="1"/>
  <c r="AL381" i="6"/>
  <c r="AZ381" i="6" s="1"/>
  <c r="BO381" i="6" s="1"/>
  <c r="BL101" i="6"/>
  <c r="AZ354" i="6"/>
  <c r="BO354" i="6" s="1"/>
  <c r="BL185" i="6"/>
  <c r="AZ385" i="6"/>
  <c r="BO385" i="6" s="1"/>
  <c r="BZ269" i="6"/>
  <c r="CJ269" i="6" s="1"/>
  <c r="BL269" i="6"/>
  <c r="BM269" i="6" s="1"/>
  <c r="AZ577" i="6"/>
  <c r="BA577" i="6" s="1"/>
  <c r="BY647" i="6"/>
  <c r="CI647" i="6" s="1"/>
  <c r="BF647" i="6"/>
  <c r="BP647" i="6" s="1"/>
  <c r="CB648" i="6"/>
  <c r="AZ648" i="6"/>
  <c r="BO648" i="6" s="1"/>
  <c r="AZ232" i="6"/>
  <c r="BF13" i="6"/>
  <c r="BP13" i="6" s="1"/>
  <c r="CN361" i="6"/>
  <c r="CX361" i="6" s="1"/>
  <c r="BL361" i="6"/>
  <c r="BM361" i="6" s="1"/>
  <c r="CD314" i="6"/>
  <c r="CB401" i="6"/>
  <c r="AZ401" i="6"/>
  <c r="BO401" i="6" s="1"/>
  <c r="CQ315" i="6"/>
  <c r="AM315" i="6"/>
  <c r="BF315" i="6" s="1"/>
  <c r="CM353" i="6"/>
  <c r="CW353" i="6" s="1"/>
  <c r="AM353" i="6"/>
  <c r="BF353" i="6" s="1"/>
  <c r="BP353" i="6" s="1"/>
  <c r="BY60" i="6"/>
  <c r="CI60" i="6" s="1"/>
  <c r="BF60" i="6"/>
  <c r="BP60" i="6" s="1"/>
  <c r="AZ356" i="6"/>
  <c r="BO356" i="6" s="1"/>
  <c r="AZ378" i="6"/>
  <c r="BO378" i="6" s="1"/>
  <c r="BF194" i="6"/>
  <c r="BP194" i="6" s="1"/>
  <c r="AZ382" i="6"/>
  <c r="BA382" i="6" s="1"/>
  <c r="CP377" i="6"/>
  <c r="AZ377" i="6"/>
  <c r="BO377" i="6" s="1"/>
  <c r="BL401" i="6"/>
  <c r="BM401" i="6" s="1"/>
  <c r="CB301" i="6"/>
  <c r="AZ301" i="6"/>
  <c r="BO301" i="6" s="1"/>
  <c r="CP205" i="6"/>
  <c r="AL205" i="6"/>
  <c r="AZ205" i="6" s="1"/>
  <c r="AC419" i="6"/>
  <c r="AZ419" i="6"/>
  <c r="BA419" i="6" s="1"/>
  <c r="BF134" i="6"/>
  <c r="BP134" i="6" s="1"/>
  <c r="AZ89" i="6"/>
  <c r="BO89" i="6" s="1"/>
  <c r="AZ261" i="6"/>
  <c r="BO261" i="6" s="1"/>
  <c r="BL151" i="6"/>
  <c r="BQ151" i="6" s="1"/>
  <c r="BL90" i="6"/>
  <c r="BQ90" i="6" s="1"/>
  <c r="BL256" i="6"/>
  <c r="BQ256" i="6" s="1"/>
  <c r="CM670" i="6"/>
  <c r="CW670" i="6" s="1"/>
  <c r="AM670" i="6"/>
  <c r="BF670" i="6" s="1"/>
  <c r="BG670" i="6" s="1"/>
  <c r="BL410" i="6"/>
  <c r="BQ410" i="6" s="1"/>
  <c r="BF363" i="6"/>
  <c r="BP363" i="6" s="1"/>
  <c r="AZ644" i="6"/>
  <c r="BA644" i="6" s="1"/>
  <c r="AZ657" i="6"/>
  <c r="BA657" i="6" s="1"/>
  <c r="BL661" i="6"/>
  <c r="BQ661" i="6" s="1"/>
  <c r="AZ33" i="6"/>
  <c r="BL211" i="6"/>
  <c r="BQ211" i="6" s="1"/>
  <c r="CL12" i="6"/>
  <c r="AL12" i="6"/>
  <c r="AZ12" i="6" s="1"/>
  <c r="CB251" i="6"/>
  <c r="AZ251" i="6"/>
  <c r="BL360" i="6"/>
  <c r="BM360" i="6" s="1"/>
  <c r="AZ583" i="6"/>
  <c r="BO583" i="6" s="1"/>
  <c r="AZ590" i="6"/>
  <c r="BA590" i="6" s="1"/>
  <c r="BF41" i="6"/>
  <c r="BP41" i="6" s="1"/>
  <c r="AZ387" i="6"/>
  <c r="BO387" i="6" s="1"/>
  <c r="BF672" i="6"/>
  <c r="BG672" i="6" s="1"/>
  <c r="BL592" i="6"/>
  <c r="BM592" i="6" s="1"/>
  <c r="AZ596" i="6"/>
  <c r="BO596" i="6" s="1"/>
  <c r="BF576" i="6"/>
  <c r="BP576" i="6" s="1"/>
  <c r="BF608" i="6"/>
  <c r="BG608" i="6" s="1"/>
  <c r="BZ187" i="6"/>
  <c r="CJ187" i="6" s="1"/>
  <c r="BL187" i="6"/>
  <c r="BQ187" i="6" s="1"/>
  <c r="CD177" i="6"/>
  <c r="AN177" i="6"/>
  <c r="BL177" i="6" s="1"/>
  <c r="BQ177" i="6" s="1"/>
  <c r="AZ571" i="6"/>
  <c r="BO571" i="6" s="1"/>
  <c r="BF572" i="6"/>
  <c r="BG572" i="6" s="1"/>
  <c r="BF372" i="6"/>
  <c r="BP372" i="6" s="1"/>
  <c r="BF202" i="6"/>
  <c r="BG202" i="6" s="1"/>
  <c r="BL385" i="6"/>
  <c r="BQ385" i="6" s="1"/>
  <c r="BL376" i="6"/>
  <c r="BQ376" i="6" s="1"/>
  <c r="CM649" i="6"/>
  <c r="CW649" i="6" s="1"/>
  <c r="BF649" i="6"/>
  <c r="BG649" i="6" s="1"/>
  <c r="CD625" i="6"/>
  <c r="BL625" i="6"/>
  <c r="BQ625" i="6" s="1"/>
  <c r="CC683" i="6"/>
  <c r="BF683" i="6"/>
  <c r="BG683" i="6" s="1"/>
  <c r="AZ93" i="6"/>
  <c r="BO93" i="6" s="1"/>
  <c r="CP13" i="6"/>
  <c r="AZ13" i="6"/>
  <c r="BO13" i="6" s="1"/>
  <c r="AZ576" i="6"/>
  <c r="BO576" i="6" s="1"/>
  <c r="AZ339" i="6"/>
  <c r="BA339" i="6" s="1"/>
  <c r="AZ706" i="6"/>
  <c r="BO706" i="6" s="1"/>
  <c r="AZ563" i="6"/>
  <c r="BA563" i="6" s="1"/>
  <c r="CN110" i="6"/>
  <c r="CX110" i="6" s="1"/>
  <c r="AN110" i="6"/>
  <c r="BL110" i="6" s="1"/>
  <c r="BQ110" i="6" s="1"/>
  <c r="BL389" i="6"/>
  <c r="BM389" i="6" s="1"/>
  <c r="BF565" i="6"/>
  <c r="BP565" i="6" s="1"/>
  <c r="AZ154" i="6"/>
  <c r="CQ187" i="6"/>
  <c r="BF187" i="6"/>
  <c r="BP187" i="6" s="1"/>
  <c r="BL363" i="6"/>
  <c r="BQ363" i="6" s="1"/>
  <c r="BF251" i="6"/>
  <c r="BP251" i="6" s="1"/>
  <c r="CN153" i="6"/>
  <c r="CX153" i="6" s="1"/>
  <c r="BL153" i="6"/>
  <c r="BQ153" i="6" s="1"/>
  <c r="BL406" i="6"/>
  <c r="BQ406" i="6" s="1"/>
  <c r="CN197" i="6"/>
  <c r="CX197" i="6" s="1"/>
  <c r="BL197" i="6"/>
  <c r="BL166" i="6"/>
  <c r="AZ208" i="6"/>
  <c r="BO208" i="6" s="1"/>
  <c r="AE664" i="6"/>
  <c r="AN664" i="6"/>
  <c r="BL664" i="6" s="1"/>
  <c r="BM664" i="6" s="1"/>
  <c r="BL300" i="6"/>
  <c r="AZ30" i="6"/>
  <c r="BL579" i="6"/>
  <c r="BQ579" i="6" s="1"/>
  <c r="BF30" i="6"/>
  <c r="BP30" i="6" s="1"/>
  <c r="BF642" i="6"/>
  <c r="BG642" i="6" s="1"/>
  <c r="CQ653" i="6"/>
  <c r="AM653" i="6"/>
  <c r="BF653" i="6" s="1"/>
  <c r="CD658" i="6"/>
  <c r="BL658" i="6"/>
  <c r="BQ658" i="6" s="1"/>
  <c r="CR188" i="6"/>
  <c r="BL188" i="6"/>
  <c r="BQ188" i="6" s="1"/>
  <c r="AZ379" i="6"/>
  <c r="BA379" i="6" s="1"/>
  <c r="AE641" i="6"/>
  <c r="BL641" i="6"/>
  <c r="BQ641" i="6" s="1"/>
  <c r="AZ645" i="6"/>
  <c r="BO645" i="6" s="1"/>
  <c r="BL670" i="6"/>
  <c r="BQ670" i="6" s="1"/>
  <c r="BL157" i="6"/>
  <c r="CL413" i="6"/>
  <c r="CV413" i="6" s="1"/>
  <c r="AZ413" i="6"/>
  <c r="BA413" i="6" s="1"/>
  <c r="CL119" i="6"/>
  <c r="CV119" i="6" s="1"/>
  <c r="AL119" i="6"/>
  <c r="AZ119" i="6" s="1"/>
  <c r="BO119" i="6" s="1"/>
  <c r="BF192" i="6"/>
  <c r="BP192" i="6" s="1"/>
  <c r="AZ592" i="6"/>
  <c r="BO592" i="6" s="1"/>
  <c r="AZ705" i="6"/>
  <c r="BO705" i="6" s="1"/>
  <c r="CD423" i="6"/>
  <c r="AN423" i="6"/>
  <c r="BL423" i="6" s="1"/>
  <c r="BM423" i="6" s="1"/>
  <c r="AZ587" i="6"/>
  <c r="BA587" i="6" s="1"/>
  <c r="AZ607" i="6"/>
  <c r="BO607" i="6" s="1"/>
  <c r="AZ59" i="6"/>
  <c r="BO59" i="6" s="1"/>
  <c r="CR612" i="6"/>
  <c r="BL612" i="6"/>
  <c r="BQ612" i="6" s="1"/>
  <c r="BL62" i="6"/>
  <c r="BQ62" i="6" s="1"/>
  <c r="BL642" i="6"/>
  <c r="BQ642" i="6" s="1"/>
  <c r="AZ182" i="6"/>
  <c r="BO182" i="6" s="1"/>
  <c r="BL144" i="6"/>
  <c r="AE703" i="6"/>
  <c r="AN703" i="6"/>
  <c r="BL703" i="6" s="1"/>
  <c r="BL616" i="6"/>
  <c r="BQ616" i="6" s="1"/>
  <c r="AZ338" i="6"/>
  <c r="BA338" i="6" s="1"/>
  <c r="BL384" i="6"/>
  <c r="BQ384" i="6" s="1"/>
  <c r="AZ415" i="6"/>
  <c r="BA415" i="6" s="1"/>
  <c r="BL381" i="6"/>
  <c r="BQ381" i="6" s="1"/>
  <c r="CR405" i="6"/>
  <c r="AN405" i="6"/>
  <c r="BL405" i="6" s="1"/>
  <c r="BL398" i="6"/>
  <c r="BQ398" i="6" s="1"/>
  <c r="BF654" i="6"/>
  <c r="BG654" i="6" s="1"/>
  <c r="AZ660" i="6"/>
  <c r="BA660" i="6" s="1"/>
  <c r="BF163" i="6"/>
  <c r="BP163" i="6" s="1"/>
  <c r="CP103" i="6"/>
  <c r="AZ103" i="6"/>
  <c r="AZ599" i="6"/>
  <c r="BA599" i="6" s="1"/>
  <c r="AZ612" i="6"/>
  <c r="BO612" i="6" s="1"/>
  <c r="BX245" i="6"/>
  <c r="CH245" i="6" s="1"/>
  <c r="AZ245" i="6"/>
  <c r="BA245" i="6" s="1"/>
  <c r="AZ402" i="6"/>
  <c r="BO402" i="6" s="1"/>
  <c r="CC388" i="6"/>
  <c r="AM388" i="6"/>
  <c r="BF388" i="6" s="1"/>
  <c r="BP388" i="6" s="1"/>
  <c r="AZ146" i="6"/>
  <c r="BO146" i="6" s="1"/>
  <c r="BL391" i="6"/>
  <c r="BQ391" i="6" s="1"/>
  <c r="BZ652" i="6"/>
  <c r="CJ652" i="6" s="1"/>
  <c r="BL652" i="6"/>
  <c r="BQ652" i="6" s="1"/>
  <c r="BY625" i="6"/>
  <c r="CI625" i="6" s="1"/>
  <c r="BF625" i="6"/>
  <c r="BP625" i="6" s="1"/>
  <c r="AC626" i="6"/>
  <c r="AZ626" i="6"/>
  <c r="BO626" i="6" s="1"/>
  <c r="BF195" i="6"/>
  <c r="AC102" i="6"/>
  <c r="AL102" i="6"/>
  <c r="AZ102" i="6" s="1"/>
  <c r="BO102" i="6" s="1"/>
  <c r="AZ56" i="6"/>
  <c r="BO56" i="6" s="1"/>
  <c r="BF338" i="6"/>
  <c r="BP338" i="6" s="1"/>
  <c r="CL395" i="6"/>
  <c r="CV395" i="6" s="1"/>
  <c r="AL395" i="6"/>
  <c r="AZ395" i="6" s="1"/>
  <c r="CC109" i="6"/>
  <c r="AM109" i="6"/>
  <c r="BF109" i="6" s="1"/>
  <c r="BP109" i="6" s="1"/>
  <c r="CN39" i="6"/>
  <c r="CX39" i="6" s="1"/>
  <c r="AN39" i="6"/>
  <c r="BL39" i="6" s="1"/>
  <c r="BX418" i="6"/>
  <c r="CH418" i="6" s="1"/>
  <c r="AZ418" i="6"/>
  <c r="BO418" i="6" s="1"/>
  <c r="BL102" i="6"/>
  <c r="BQ102" i="6" s="1"/>
  <c r="CL568" i="6"/>
  <c r="CV568" i="6" s="1"/>
  <c r="AZ568" i="6"/>
  <c r="BO568" i="6" s="1"/>
  <c r="CR35" i="6"/>
  <c r="BL35" i="6"/>
  <c r="BQ35" i="6" s="1"/>
  <c r="CL360" i="6"/>
  <c r="CV360" i="6" s="1"/>
  <c r="AL360" i="6"/>
  <c r="AZ360" i="6" s="1"/>
  <c r="BA360" i="6" s="1"/>
  <c r="CM25" i="6"/>
  <c r="CW25" i="6" s="1"/>
  <c r="AM25" i="6"/>
  <c r="BF25" i="6" s="1"/>
  <c r="AZ308" i="6"/>
  <c r="BA308" i="6" s="1"/>
  <c r="AC363" i="6"/>
  <c r="AZ363" i="6"/>
  <c r="BA363" i="6" s="1"/>
  <c r="BL40" i="6"/>
  <c r="BQ40" i="6" s="1"/>
  <c r="BL339" i="6"/>
  <c r="BM339" i="6" s="1"/>
  <c r="AZ637" i="6"/>
  <c r="BO637" i="6" s="1"/>
  <c r="BL29" i="6"/>
  <c r="BX564" i="6"/>
  <c r="CH564" i="6" s="1"/>
  <c r="AZ564" i="6"/>
  <c r="BO564" i="6" s="1"/>
  <c r="BZ82" i="6"/>
  <c r="BL82" i="6"/>
  <c r="BQ82" i="6" s="1"/>
  <c r="BF405" i="6"/>
  <c r="BP405" i="6" s="1"/>
  <c r="BF356" i="6"/>
  <c r="BP356" i="6" s="1"/>
  <c r="BL301" i="6"/>
  <c r="BQ301" i="6" s="1"/>
  <c r="BF355" i="6"/>
  <c r="BP355" i="6" s="1"/>
  <c r="CM85" i="6"/>
  <c r="CW85" i="6" s="1"/>
  <c r="BF85" i="6"/>
  <c r="BP85" i="6" s="1"/>
  <c r="CL374" i="6"/>
  <c r="CV374" i="6" s="1"/>
  <c r="AZ374" i="6"/>
  <c r="BO374" i="6" s="1"/>
  <c r="BY367" i="6"/>
  <c r="CI367" i="6" s="1"/>
  <c r="BF367" i="6"/>
  <c r="BG367" i="6" s="1"/>
  <c r="BF205" i="6"/>
  <c r="BP205" i="6" s="1"/>
  <c r="AZ106" i="6"/>
  <c r="BO106" i="6" s="1"/>
  <c r="AC580" i="6"/>
  <c r="AZ580" i="6"/>
  <c r="BA580" i="6" s="1"/>
  <c r="BL414" i="6"/>
  <c r="BQ414" i="6" s="1"/>
  <c r="CP579" i="6"/>
  <c r="AZ579" i="6"/>
  <c r="BO579" i="6" s="1"/>
  <c r="CB181" i="6"/>
  <c r="AZ181" i="6"/>
  <c r="BO181" i="6" s="1"/>
  <c r="CM641" i="6"/>
  <c r="CW641" i="6" s="1"/>
  <c r="BF641" i="6"/>
  <c r="BP641" i="6" s="1"/>
  <c r="AE671" i="6"/>
  <c r="BL671" i="6"/>
  <c r="BM671" i="6" s="1"/>
  <c r="CL157" i="6"/>
  <c r="CV157" i="6" s="1"/>
  <c r="AZ157" i="6"/>
  <c r="BO157" i="6" s="1"/>
  <c r="BL158" i="6"/>
  <c r="BQ158" i="6" s="1"/>
  <c r="BL89" i="6"/>
  <c r="BQ89" i="6" s="1"/>
  <c r="BF167" i="6"/>
  <c r="BP167" i="6" s="1"/>
  <c r="AZ88" i="6"/>
  <c r="BO88" i="6" s="1"/>
  <c r="BF671" i="6"/>
  <c r="BP671" i="6" s="1"/>
  <c r="CM209" i="6"/>
  <c r="CW209" i="6" s="1"/>
  <c r="BF209" i="6"/>
  <c r="BP209" i="6" s="1"/>
  <c r="BF177" i="6"/>
  <c r="BL121" i="6"/>
  <c r="CQ662" i="6"/>
  <c r="BF662" i="6"/>
  <c r="BP662" i="6" s="1"/>
  <c r="AE229" i="6"/>
  <c r="BL229" i="6"/>
  <c r="BQ229" i="6" s="1"/>
  <c r="CR184" i="6"/>
  <c r="BL184" i="6"/>
  <c r="BQ184" i="6" s="1"/>
  <c r="BY311" i="6"/>
  <c r="CI311" i="6" s="1"/>
  <c r="AM311" i="6"/>
  <c r="BF311" i="6" s="1"/>
  <c r="BG311" i="6" s="1"/>
  <c r="CM588" i="6"/>
  <c r="AM588" i="6"/>
  <c r="BF588" i="6" s="1"/>
  <c r="BP588" i="6" s="1"/>
  <c r="BL689" i="6"/>
  <c r="BQ689" i="6" s="1"/>
  <c r="AZ591" i="6"/>
  <c r="BA591" i="6" s="1"/>
  <c r="BF596" i="6"/>
  <c r="BP596" i="6" s="1"/>
  <c r="BF597" i="6"/>
  <c r="BP597" i="6" s="1"/>
  <c r="BL603" i="6"/>
  <c r="BQ603" i="6" s="1"/>
  <c r="BL207" i="6"/>
  <c r="BM207" i="6" s="1"/>
  <c r="BF659" i="6"/>
  <c r="BP659" i="6" s="1"/>
  <c r="BL243" i="6"/>
  <c r="BQ243" i="6" s="1"/>
  <c r="BF594" i="6"/>
  <c r="BG594" i="6" s="1"/>
  <c r="AZ91" i="6"/>
  <c r="BF616" i="6"/>
  <c r="BP616" i="6" s="1"/>
  <c r="AZ194" i="6"/>
  <c r="BO194" i="6" s="1"/>
  <c r="BF309" i="6"/>
  <c r="BP309" i="6" s="1"/>
  <c r="CN136" i="6"/>
  <c r="CX136" i="6" s="1"/>
  <c r="BL136" i="6"/>
  <c r="CP228" i="6"/>
  <c r="AZ228" i="6"/>
  <c r="BO228" i="6" s="1"/>
  <c r="BL657" i="6"/>
  <c r="BQ657" i="6" s="1"/>
  <c r="BL663" i="6"/>
  <c r="BQ663" i="6" s="1"/>
  <c r="AZ588" i="6"/>
  <c r="BA588" i="6" s="1"/>
  <c r="BX420" i="6"/>
  <c r="CH420" i="6" s="1"/>
  <c r="AZ420" i="6"/>
  <c r="BO420" i="6" s="1"/>
  <c r="BF407" i="6"/>
  <c r="BG407" i="6" s="1"/>
  <c r="AZ123" i="6"/>
  <c r="BO123" i="6" s="1"/>
  <c r="BL304" i="6"/>
  <c r="BM304" i="6" s="1"/>
  <c r="BL307" i="6"/>
  <c r="BM307" i="6" s="1"/>
  <c r="BX631" i="6"/>
  <c r="CH631" i="6" s="1"/>
  <c r="AZ631" i="6"/>
  <c r="BO631" i="6" s="1"/>
  <c r="CQ628" i="6"/>
  <c r="BF628" i="6"/>
  <c r="BG628" i="6" s="1"/>
  <c r="AZ233" i="6"/>
  <c r="BL48" i="6"/>
  <c r="BQ48" i="6" s="1"/>
  <c r="BL222" i="6"/>
  <c r="BQ222" i="6" s="1"/>
  <c r="AZ87" i="6"/>
  <c r="AE571" i="6"/>
  <c r="AN571" i="6"/>
  <c r="BL571" i="6" s="1"/>
  <c r="BQ571" i="6" s="1"/>
  <c r="CL132" i="6"/>
  <c r="CV132" i="6" s="1"/>
  <c r="AZ132" i="6"/>
  <c r="BO132" i="6" s="1"/>
  <c r="BX156" i="6"/>
  <c r="CH156" i="6" s="1"/>
  <c r="AZ156" i="6"/>
  <c r="BO156" i="6" s="1"/>
  <c r="BL337" i="6"/>
  <c r="BQ337" i="6" s="1"/>
  <c r="BL387" i="6"/>
  <c r="BQ387" i="6" s="1"/>
  <c r="BL375" i="6"/>
  <c r="BQ375" i="6" s="1"/>
  <c r="BF170" i="6"/>
  <c r="BP170" i="6" s="1"/>
  <c r="AD418" i="6"/>
  <c r="BF418" i="6"/>
  <c r="BP418" i="6" s="1"/>
  <c r="AZ40" i="6"/>
  <c r="BO40" i="6" s="1"/>
  <c r="BL374" i="6"/>
  <c r="BQ374" i="6" s="1"/>
  <c r="AZ312" i="6"/>
  <c r="BA312" i="6" s="1"/>
  <c r="BY382" i="6"/>
  <c r="CI382" i="6" s="1"/>
  <c r="BF382" i="6"/>
  <c r="BG382" i="6" s="1"/>
  <c r="AZ562" i="6"/>
  <c r="BA562" i="6" s="1"/>
  <c r="AD365" i="6"/>
  <c r="BF365" i="6"/>
  <c r="BP365" i="6" s="1"/>
  <c r="CD98" i="6"/>
  <c r="BL98" i="6"/>
  <c r="BQ98" i="6" s="1"/>
  <c r="BF636" i="6"/>
  <c r="BG636" i="6" s="1"/>
  <c r="AZ116" i="6"/>
  <c r="CD397" i="6"/>
  <c r="AN397" i="6"/>
  <c r="BL397" i="6" s="1"/>
  <c r="BQ397" i="6" s="1"/>
  <c r="BF410" i="6"/>
  <c r="BP410" i="6" s="1"/>
  <c r="AZ176" i="6"/>
  <c r="BO176" i="6" s="1"/>
  <c r="AZ307" i="6"/>
  <c r="BA307" i="6" s="1"/>
  <c r="BY158" i="6"/>
  <c r="CI158" i="6" s="1"/>
  <c r="AM158" i="6"/>
  <c r="BF158" i="6" s="1"/>
  <c r="BP158" i="6" s="1"/>
  <c r="BF384" i="6"/>
  <c r="BG384" i="6" s="1"/>
  <c r="AE359" i="6"/>
  <c r="BL359" i="6"/>
  <c r="BM359" i="6" s="1"/>
  <c r="AZ384" i="6"/>
  <c r="BO384" i="6" s="1"/>
  <c r="BL206" i="6"/>
  <c r="BQ206" i="6" s="1"/>
  <c r="BF639" i="6"/>
  <c r="BP639" i="6" s="1"/>
  <c r="AC653" i="6"/>
  <c r="AL653" i="6"/>
  <c r="AZ653" i="6" s="1"/>
  <c r="BO653" i="6" s="1"/>
  <c r="AZ668" i="6"/>
  <c r="BA668" i="6" s="1"/>
  <c r="AZ70" i="6"/>
  <c r="BO70" i="6" s="1"/>
  <c r="AE566" i="6"/>
  <c r="BL566" i="6"/>
  <c r="BQ566" i="6" s="1"/>
  <c r="BL162" i="6"/>
  <c r="BQ162" i="6" s="1"/>
  <c r="BF658" i="6"/>
  <c r="BP658" i="6" s="1"/>
  <c r="AZ663" i="6"/>
  <c r="BA663" i="6" s="1"/>
  <c r="CP358" i="6"/>
  <c r="AL358" i="6"/>
  <c r="AZ358" i="6" s="1"/>
  <c r="BA358" i="6" s="1"/>
  <c r="AZ561" i="6"/>
  <c r="BO561" i="6" s="1"/>
  <c r="BL593" i="6"/>
  <c r="BQ593" i="6" s="1"/>
  <c r="BL604" i="6"/>
  <c r="BM604" i="6" s="1"/>
  <c r="BL617" i="6"/>
  <c r="BQ617" i="6" s="1"/>
  <c r="AZ589" i="6"/>
  <c r="BO589" i="6" s="1"/>
  <c r="AZ598" i="6"/>
  <c r="BA598" i="6" s="1"/>
  <c r="CC603" i="6"/>
  <c r="BF603" i="6"/>
  <c r="BP603" i="6" s="1"/>
  <c r="AZ609" i="6"/>
  <c r="BO609" i="6" s="1"/>
  <c r="BL88" i="6"/>
  <c r="AZ665" i="6"/>
  <c r="BA665" i="6" s="1"/>
  <c r="AZ672" i="6"/>
  <c r="BA672" i="6" s="1"/>
  <c r="BL597" i="6"/>
  <c r="BQ597" i="6" s="1"/>
  <c r="AZ702" i="6"/>
  <c r="BO702" i="6" s="1"/>
  <c r="BF40" i="6"/>
  <c r="CM412" i="6"/>
  <c r="CW412" i="6" s="1"/>
  <c r="AM412" i="6"/>
  <c r="BF412" i="6" s="1"/>
  <c r="BG412" i="6" s="1"/>
  <c r="AD579" i="6"/>
  <c r="BF579" i="6"/>
  <c r="BP579" i="6" s="1"/>
  <c r="CQ136" i="6"/>
  <c r="AM136" i="6"/>
  <c r="BF136" i="6" s="1"/>
  <c r="BP136" i="6" s="1"/>
  <c r="AZ658" i="6"/>
  <c r="BO658" i="6" s="1"/>
  <c r="BF584" i="6"/>
  <c r="BP584" i="6" s="1"/>
  <c r="BF400" i="6"/>
  <c r="BP400" i="6" s="1"/>
  <c r="AZ215" i="6"/>
  <c r="BO215" i="6" s="1"/>
  <c r="AZ602" i="6"/>
  <c r="BO602" i="6" s="1"/>
  <c r="BF415" i="6"/>
  <c r="BP415" i="6" s="1"/>
  <c r="BF310" i="6"/>
  <c r="BG310" i="6" s="1"/>
  <c r="BL411" i="6"/>
  <c r="BQ411" i="6" s="1"/>
  <c r="BL399" i="6"/>
  <c r="BQ399" i="6" s="1"/>
  <c r="BL200" i="6"/>
  <c r="BQ200" i="6" s="1"/>
  <c r="CM629" i="6"/>
  <c r="CW629" i="6" s="1"/>
  <c r="BF629" i="6"/>
  <c r="BG629" i="6" s="1"/>
  <c r="BZ678" i="6"/>
  <c r="CJ678" i="6" s="1"/>
  <c r="AN678" i="6"/>
  <c r="BL678" i="6" s="1"/>
  <c r="BQ678" i="6" s="1"/>
  <c r="CC222" i="6"/>
  <c r="BF222" i="6"/>
  <c r="BG222" i="6" s="1"/>
  <c r="BX66" i="6"/>
  <c r="CH66" i="6" s="1"/>
  <c r="AL66" i="6"/>
  <c r="AZ66" i="6" s="1"/>
  <c r="CN580" i="6"/>
  <c r="CX580" i="6" s="1"/>
  <c r="AN580" i="6"/>
  <c r="BL580" i="6" s="1"/>
  <c r="AZ120" i="6"/>
  <c r="BO120" i="6" s="1"/>
  <c r="BZ404" i="6"/>
  <c r="CJ404" i="6" s="1"/>
  <c r="AN404" i="6"/>
  <c r="BL404" i="6" s="1"/>
  <c r="BQ404" i="6" s="1"/>
  <c r="BF574" i="6"/>
  <c r="BP574" i="6" s="1"/>
  <c r="AZ153" i="6"/>
  <c r="BO153" i="6" s="1"/>
  <c r="AZ416" i="6"/>
  <c r="BO416" i="6" s="1"/>
  <c r="BZ311" i="6"/>
  <c r="CJ311" i="6" s="1"/>
  <c r="BL311" i="6"/>
  <c r="BQ311" i="6" s="1"/>
  <c r="BL11" i="6"/>
  <c r="BQ11" i="6" s="1"/>
  <c r="BL194" i="6"/>
  <c r="BQ194" i="6" s="1"/>
  <c r="BL292" i="6"/>
  <c r="AZ635" i="6"/>
  <c r="BO635" i="6" s="1"/>
  <c r="CB16" i="6"/>
  <c r="AL16" i="6"/>
  <c r="AZ16" i="6" s="1"/>
  <c r="BO16" i="6" s="1"/>
  <c r="AZ17" i="6"/>
  <c r="BO17" i="6" s="1"/>
  <c r="BF156" i="6"/>
  <c r="BL261" i="6"/>
  <c r="BL624" i="6"/>
  <c r="BQ624" i="6" s="1"/>
  <c r="AE357" i="6"/>
  <c r="AN357" i="6"/>
  <c r="BL357" i="6" s="1"/>
  <c r="BX148" i="6"/>
  <c r="CH148" i="6" s="1"/>
  <c r="AZ148" i="6"/>
  <c r="BO148" i="6" s="1"/>
  <c r="CD396" i="6"/>
  <c r="BL396" i="6"/>
  <c r="BM396" i="6" s="1"/>
  <c r="AD298" i="6"/>
  <c r="BF298" i="6"/>
  <c r="BP298" i="6" s="1"/>
  <c r="CQ417" i="6"/>
  <c r="BF417" i="6"/>
  <c r="BG417" i="6" s="1"/>
  <c r="BL369" i="6"/>
  <c r="BQ369" i="6" s="1"/>
  <c r="AZ199" i="6"/>
  <c r="BL305" i="6"/>
  <c r="BQ305" i="6" s="1"/>
  <c r="AE690" i="6"/>
  <c r="BL690" i="6"/>
  <c r="BQ690" i="6" s="1"/>
  <c r="BF374" i="6"/>
  <c r="BP374" i="6" s="1"/>
  <c r="BL378" i="6"/>
  <c r="BQ378" i="6" s="1"/>
  <c r="BF153" i="6"/>
  <c r="BP153" i="6" s="1"/>
  <c r="AZ375" i="6"/>
  <c r="AM408" i="6"/>
  <c r="BF408" i="6" s="1"/>
  <c r="BX305" i="6"/>
  <c r="CH305" i="6" s="1"/>
  <c r="AZ305" i="6"/>
  <c r="BO305" i="6" s="1"/>
  <c r="BY176" i="6"/>
  <c r="CI176" i="6" s="1"/>
  <c r="BF176" i="6"/>
  <c r="BP176" i="6" s="1"/>
  <c r="AC302" i="6"/>
  <c r="AZ302" i="6"/>
  <c r="BA302" i="6" s="1"/>
  <c r="BY24" i="6"/>
  <c r="CI24" i="6" s="1"/>
  <c r="BF24" i="6"/>
  <c r="BP24" i="6" s="1"/>
  <c r="CC168" i="6"/>
  <c r="AM168" i="6"/>
  <c r="BF168" i="6" s="1"/>
  <c r="BP168" i="6" s="1"/>
  <c r="AD638" i="6"/>
  <c r="AM638" i="6"/>
  <c r="BF638" i="6" s="1"/>
  <c r="AD243" i="6"/>
  <c r="BF243" i="6"/>
  <c r="CP184" i="6"/>
  <c r="AL184" i="6"/>
  <c r="AZ184" i="6" s="1"/>
  <c r="BF137" i="6"/>
  <c r="BP137" i="6" s="1"/>
  <c r="BF118" i="6"/>
  <c r="BP118" i="6" s="1"/>
  <c r="BF206" i="6"/>
  <c r="BP206" i="6" s="1"/>
  <c r="BZ707" i="6"/>
  <c r="CJ707" i="6" s="1"/>
  <c r="BL707" i="6"/>
  <c r="BL576" i="6"/>
  <c r="BQ576" i="6" s="1"/>
  <c r="AZ278" i="6"/>
  <c r="BL10" i="6"/>
  <c r="BQ10" i="6" s="1"/>
  <c r="AZ655" i="6"/>
  <c r="BA655" i="6" s="1"/>
  <c r="BF121" i="6"/>
  <c r="BP121" i="6" s="1"/>
  <c r="BL183" i="6"/>
  <c r="BQ183" i="6" s="1"/>
  <c r="BY80" i="6"/>
  <c r="BF80" i="6"/>
  <c r="BP80" i="6" s="1"/>
  <c r="BY704" i="6"/>
  <c r="CI704" i="6" s="1"/>
  <c r="BF704" i="6"/>
  <c r="BP704" i="6" s="1"/>
  <c r="BF703" i="6"/>
  <c r="AZ617" i="6"/>
  <c r="BA617" i="6" s="1"/>
  <c r="BL272" i="6"/>
  <c r="BQ272" i="6" s="1"/>
  <c r="CP425" i="6"/>
  <c r="AL425" i="6"/>
  <c r="AZ425" i="6" s="1"/>
  <c r="BO425" i="6" s="1"/>
  <c r="CQ599" i="6"/>
  <c r="BF599" i="6"/>
  <c r="BP599" i="6" s="1"/>
  <c r="BF75" i="6"/>
  <c r="AZ613" i="6"/>
  <c r="BO613" i="6" s="1"/>
  <c r="BL644" i="6"/>
  <c r="BM644" i="6" s="1"/>
  <c r="AZ656" i="6"/>
  <c r="BA656" i="6" s="1"/>
  <c r="BF48" i="6"/>
  <c r="BP48" i="6" s="1"/>
  <c r="BF166" i="6"/>
  <c r="AZ299" i="6"/>
  <c r="BO299" i="6" s="1"/>
  <c r="AE412" i="6"/>
  <c r="AN412" i="6"/>
  <c r="BL412" i="6" s="1"/>
  <c r="CP168" i="6"/>
  <c r="AZ168" i="6"/>
  <c r="BO168" i="6" s="1"/>
  <c r="CM241" i="6"/>
  <c r="CW241" i="6" s="1"/>
  <c r="BF241" i="6"/>
  <c r="BP241" i="6" s="1"/>
  <c r="AZ187" i="6"/>
  <c r="BO187" i="6" s="1"/>
  <c r="BZ626" i="6"/>
  <c r="CJ626" i="6" s="1"/>
  <c r="BL626" i="6"/>
  <c r="BQ626" i="6" s="1"/>
  <c r="CR631" i="6"/>
  <c r="BL631" i="6"/>
  <c r="BQ631" i="6" s="1"/>
  <c r="CC633" i="6"/>
  <c r="BF633" i="6"/>
  <c r="BP633" i="6" s="1"/>
  <c r="AZ31" i="6"/>
  <c r="BL87" i="6"/>
  <c r="BQ87" i="6" s="1"/>
  <c r="CQ706" i="6"/>
  <c r="AM706" i="6"/>
  <c r="BF706" i="6" s="1"/>
  <c r="BP706" i="6" s="1"/>
  <c r="BX573" i="6"/>
  <c r="CH573" i="6" s="1"/>
  <c r="AZ573" i="6"/>
  <c r="BO573" i="6" s="1"/>
  <c r="BF102" i="6"/>
  <c r="BP102" i="6" s="1"/>
  <c r="BL76" i="6"/>
  <c r="BQ76" i="6" s="1"/>
  <c r="AD422" i="6"/>
  <c r="AM422" i="6"/>
  <c r="BF422" i="6" s="1"/>
  <c r="BP422" i="6" s="1"/>
  <c r="BY211" i="6"/>
  <c r="CI211" i="6" s="1"/>
  <c r="BF211" i="6"/>
  <c r="BY570" i="6"/>
  <c r="CI570" i="6" s="1"/>
  <c r="BF570" i="6"/>
  <c r="BG570" i="6" s="1"/>
  <c r="AZ373" i="6"/>
  <c r="BO373" i="6" s="1"/>
  <c r="BL145" i="6"/>
  <c r="BQ145" i="6" s="1"/>
  <c r="CR30" i="6"/>
  <c r="AN30" i="6"/>
  <c r="BL30" i="6" s="1"/>
  <c r="BL202" i="6"/>
  <c r="BZ231" i="6"/>
  <c r="CJ231" i="6" s="1"/>
  <c r="BL231" i="6"/>
  <c r="BQ231" i="6" s="1"/>
  <c r="AZ48" i="6"/>
  <c r="BO48" i="6" s="1"/>
  <c r="BF403" i="6"/>
  <c r="BP403" i="6" s="1"/>
  <c r="AZ575" i="6"/>
  <c r="BO575" i="6" s="1"/>
  <c r="BL134" i="6"/>
  <c r="BQ134" i="6" s="1"/>
  <c r="AZ167" i="6"/>
  <c r="BL373" i="6"/>
  <c r="BM373" i="6" s="1"/>
  <c r="BL386" i="6"/>
  <c r="BM386" i="6" s="1"/>
  <c r="BF396" i="6"/>
  <c r="BP396" i="6" s="1"/>
  <c r="CC402" i="6"/>
  <c r="AM402" i="6"/>
  <c r="BF402" i="6" s="1"/>
  <c r="BP402" i="6" s="1"/>
  <c r="AZ380" i="6"/>
  <c r="BA380" i="6" s="1"/>
  <c r="BY191" i="6"/>
  <c r="CI191" i="6" s="1"/>
  <c r="BF191" i="6"/>
  <c r="BP191" i="6" s="1"/>
  <c r="CD578" i="6"/>
  <c r="BL578" i="6"/>
  <c r="BM578" i="6" s="1"/>
  <c r="AZ400" i="6"/>
  <c r="BO400" i="6" s="1"/>
  <c r="CQ307" i="6"/>
  <c r="AM307" i="6"/>
  <c r="BF307" i="6" s="1"/>
  <c r="BZ565" i="6"/>
  <c r="CJ565" i="6" s="1"/>
  <c r="BL565" i="6"/>
  <c r="BQ565" i="6" s="1"/>
  <c r="CC578" i="6"/>
  <c r="BF578" i="6"/>
  <c r="BP578" i="6" s="1"/>
  <c r="BL85" i="6"/>
  <c r="CR191" i="6"/>
  <c r="AN191" i="6"/>
  <c r="BL191" i="6" s="1"/>
  <c r="BQ191" i="6" s="1"/>
  <c r="CB22" i="6"/>
  <c r="AZ22" i="6"/>
  <c r="BO22" i="6" s="1"/>
  <c r="BL279" i="6"/>
  <c r="BQ279" i="6" s="1"/>
  <c r="AZ640" i="6"/>
  <c r="BO640" i="6" s="1"/>
  <c r="BF644" i="6"/>
  <c r="BG644" i="6" s="1"/>
  <c r="CQ182" i="6"/>
  <c r="BF182" i="6"/>
  <c r="BX669" i="6"/>
  <c r="CH669" i="6" s="1"/>
  <c r="AL669" i="6"/>
  <c r="AZ669" i="6" s="1"/>
  <c r="BA669" i="6" s="1"/>
  <c r="BL298" i="6"/>
  <c r="BY12" i="6"/>
  <c r="BF12" i="6"/>
  <c r="BG12" i="6" s="1"/>
  <c r="AZ25" i="6"/>
  <c r="BO25" i="6" s="1"/>
  <c r="AZ206" i="6"/>
  <c r="BL128" i="6"/>
  <c r="BF359" i="6"/>
  <c r="BP359" i="6" s="1"/>
  <c r="BZ165" i="6"/>
  <c r="CJ165" i="6" s="1"/>
  <c r="BL165" i="6"/>
  <c r="BQ165" i="6" s="1"/>
  <c r="AC694" i="6"/>
  <c r="AZ694" i="6"/>
  <c r="BO694" i="6" s="1"/>
  <c r="BL590" i="6"/>
  <c r="BQ590" i="6" s="1"/>
  <c r="AZ611" i="6"/>
  <c r="BO611" i="6" s="1"/>
  <c r="BF615" i="6"/>
  <c r="BG615" i="6" s="1"/>
  <c r="BF64" i="6"/>
  <c r="BL425" i="6"/>
  <c r="BQ425" i="6" s="1"/>
  <c r="CN588" i="6"/>
  <c r="AN588" i="6"/>
  <c r="BL588" i="6" s="1"/>
  <c r="BF609" i="6"/>
  <c r="BG609" i="6" s="1"/>
  <c r="CD702" i="6"/>
  <c r="BL702" i="6"/>
  <c r="BQ702" i="6" s="1"/>
  <c r="BF590" i="6"/>
  <c r="BP590" i="6" s="1"/>
  <c r="AE601" i="6"/>
  <c r="BL601" i="6"/>
  <c r="BM601" i="6" s="1"/>
  <c r="AZ605" i="6"/>
  <c r="BA605" i="6" s="1"/>
  <c r="BL74" i="6"/>
  <c r="BQ74" i="6" s="1"/>
  <c r="BZ704" i="6"/>
  <c r="CJ704" i="6" s="1"/>
  <c r="BL704" i="6"/>
  <c r="BQ704" i="6" s="1"/>
  <c r="AZ113" i="6"/>
  <c r="CP41" i="6"/>
  <c r="AL41" i="6"/>
  <c r="AZ41" i="6" s="1"/>
  <c r="BO41" i="6" s="1"/>
  <c r="CN645" i="6"/>
  <c r="CX645" i="6" s="1"/>
  <c r="BL645" i="6"/>
  <c r="BQ645" i="6" s="1"/>
  <c r="AD88" i="6"/>
  <c r="AM88" i="6"/>
  <c r="BF88" i="6" s="1"/>
  <c r="AD128" i="6"/>
  <c r="BF128" i="6"/>
  <c r="BF583" i="6"/>
  <c r="BP583" i="6" s="1"/>
  <c r="BL606" i="6"/>
  <c r="BM606" i="6" s="1"/>
  <c r="BL113" i="6"/>
  <c r="BQ113" i="6" s="1"/>
  <c r="BF306" i="6"/>
  <c r="BP306" i="6" s="1"/>
  <c r="AZ582" i="6"/>
  <c r="BA582" i="6" s="1"/>
  <c r="BX260" i="6"/>
  <c r="CH260" i="6" s="1"/>
  <c r="AZ260" i="6"/>
  <c r="BO260" i="6" s="1"/>
  <c r="BL137" i="6"/>
  <c r="BQ137" i="6" s="1"/>
  <c r="BX121" i="6"/>
  <c r="CH121" i="6" s="1"/>
  <c r="AZ121" i="6"/>
  <c r="BO121" i="6" s="1"/>
  <c r="AZ664" i="6"/>
  <c r="BA664" i="6" s="1"/>
  <c r="BL667" i="6"/>
  <c r="BM667" i="6" s="1"/>
  <c r="BF585" i="6"/>
  <c r="BP585" i="6" s="1"/>
  <c r="BF589" i="6"/>
  <c r="BG589" i="6" s="1"/>
  <c r="CM74" i="6"/>
  <c r="CW74" i="6" s="1"/>
  <c r="BF74" i="6"/>
  <c r="BY299" i="6"/>
  <c r="CI299" i="6" s="1"/>
  <c r="AM299" i="6"/>
  <c r="BF299" i="6" s="1"/>
  <c r="AZ386" i="6"/>
  <c r="BO386" i="6" s="1"/>
  <c r="CC31" i="6"/>
  <c r="AM31" i="6"/>
  <c r="BF31" i="6" s="1"/>
  <c r="BP31" i="6" s="1"/>
  <c r="BF568" i="6"/>
  <c r="BG568" i="6" s="1"/>
  <c r="AZ355" i="6"/>
  <c r="BA355" i="6" s="1"/>
  <c r="AZ412" i="6"/>
  <c r="BO412" i="6" s="1"/>
  <c r="BL156" i="6"/>
  <c r="BQ156" i="6" s="1"/>
  <c r="BX649" i="6"/>
  <c r="CH649" i="6" s="1"/>
  <c r="AZ649" i="6"/>
  <c r="BA649" i="6" s="1"/>
  <c r="BY626" i="6"/>
  <c r="CI626" i="6" s="1"/>
  <c r="BF626" i="6"/>
  <c r="CR627" i="6"/>
  <c r="BL627" i="6"/>
  <c r="BQ627" i="6" s="1"/>
  <c r="CC105" i="6"/>
  <c r="BF105" i="6"/>
  <c r="BP105" i="6" s="1"/>
  <c r="CL76" i="6"/>
  <c r="CV76" i="6" s="1"/>
  <c r="AL76" i="6"/>
  <c r="AZ76" i="6" s="1"/>
  <c r="AE564" i="6"/>
  <c r="BL564" i="6"/>
  <c r="BM564" i="6" s="1"/>
  <c r="CL353" i="6"/>
  <c r="CV353" i="6" s="1"/>
  <c r="AZ353" i="6"/>
  <c r="BA353" i="6" s="1"/>
  <c r="BF94" i="6"/>
  <c r="BP94" i="6" s="1"/>
  <c r="BF87" i="6"/>
  <c r="BP87" i="6" s="1"/>
  <c r="CC414" i="6"/>
  <c r="BF414" i="6"/>
  <c r="BP414" i="6" s="1"/>
  <c r="BF345" i="6"/>
  <c r="BP345" i="6" s="1"/>
  <c r="BF139" i="6"/>
  <c r="BP139" i="6" s="1"/>
  <c r="CB188" i="6"/>
  <c r="AZ188" i="6"/>
  <c r="BF17" i="6"/>
  <c r="BP17" i="6" s="1"/>
  <c r="BL164" i="6"/>
  <c r="BQ164" i="6" s="1"/>
  <c r="AZ344" i="6"/>
  <c r="BA344" i="6" s="1"/>
  <c r="CC269" i="6"/>
  <c r="AM269" i="6"/>
  <c r="BF269" i="6" s="1"/>
  <c r="BP269" i="6" s="1"/>
  <c r="BX242" i="6"/>
  <c r="CH242" i="6" s="1"/>
  <c r="AL242" i="6"/>
  <c r="AZ242" i="6" s="1"/>
  <c r="BO242" i="6" s="1"/>
  <c r="CQ637" i="6"/>
  <c r="AM637" i="6"/>
  <c r="BF637" i="6" s="1"/>
  <c r="BG637" i="6" s="1"/>
  <c r="BL420" i="6"/>
  <c r="BQ420" i="6" s="1"/>
  <c r="BL562" i="6"/>
  <c r="BQ562" i="6" s="1"/>
  <c r="BF368" i="6"/>
  <c r="BG368" i="6" s="1"/>
  <c r="CQ303" i="6"/>
  <c r="BF303" i="6"/>
  <c r="BP303" i="6" s="1"/>
  <c r="CP227" i="6"/>
  <c r="AZ227" i="6"/>
  <c r="BO227" i="6" s="1"/>
  <c r="AE25" i="6"/>
  <c r="BL25" i="6"/>
  <c r="CC70" i="6"/>
  <c r="AM70" i="6"/>
  <c r="BF70" i="6" s="1"/>
  <c r="BP70" i="6" s="1"/>
  <c r="AD10" i="6"/>
  <c r="AM10" i="6"/>
  <c r="BF10" i="6" s="1"/>
  <c r="BP10" i="6" s="1"/>
  <c r="BZ654" i="6"/>
  <c r="CJ654" i="6" s="1"/>
  <c r="BL654" i="6"/>
  <c r="BM654" i="6" s="1"/>
  <c r="BX661" i="6"/>
  <c r="CH661" i="6" s="1"/>
  <c r="AL661" i="6"/>
  <c r="AZ661" i="6" s="1"/>
  <c r="BA661" i="6" s="1"/>
  <c r="AZ708" i="6"/>
  <c r="BO708" i="6" s="1"/>
  <c r="BF640" i="6"/>
  <c r="BP640" i="6" s="1"/>
  <c r="AZ243" i="6"/>
  <c r="BO243" i="6" s="1"/>
  <c r="AZ128" i="6"/>
  <c r="BO128" i="6" s="1"/>
  <c r="AZ229" i="6"/>
  <c r="BO229" i="6" s="1"/>
  <c r="AZ163" i="6"/>
  <c r="BO163" i="6" s="1"/>
  <c r="BZ58" i="6"/>
  <c r="CJ58" i="6" s="1"/>
  <c r="BL58" i="6"/>
  <c r="BQ58" i="6" s="1"/>
  <c r="CL643" i="6"/>
  <c r="CV643" i="6" s="1"/>
  <c r="AZ643" i="6"/>
  <c r="BO643" i="6" s="1"/>
  <c r="AZ659" i="6"/>
  <c r="BO659" i="6" s="1"/>
  <c r="AZ667" i="6"/>
  <c r="BO667" i="6" s="1"/>
  <c r="BF376" i="6"/>
  <c r="BP376" i="6" s="1"/>
  <c r="AD110" i="6"/>
  <c r="AM110" i="6"/>
  <c r="BF110" i="6" s="1"/>
  <c r="AZ585" i="6"/>
  <c r="BA585" i="6" s="1"/>
  <c r="AZ604" i="6"/>
  <c r="BO604" i="6" s="1"/>
  <c r="BZ215" i="6"/>
  <c r="CJ215" i="6" s="1"/>
  <c r="AN215" i="6"/>
  <c r="BL215" i="6" s="1"/>
  <c r="BM215" i="6" s="1"/>
  <c r="BY126" i="6"/>
  <c r="BF126" i="6"/>
  <c r="BL57" i="6"/>
  <c r="AZ80" i="6"/>
  <c r="BO80" i="6" s="1"/>
  <c r="BL92" i="6"/>
  <c r="BQ92" i="6" s="1"/>
  <c r="BL181" i="6"/>
  <c r="BQ181" i="6" s="1"/>
  <c r="BF643" i="6"/>
  <c r="BG643" i="6" s="1"/>
  <c r="BL64" i="6"/>
  <c r="BQ64" i="6" s="1"/>
  <c r="BF634" i="6"/>
  <c r="BL407" i="6"/>
  <c r="BM407" i="6" s="1"/>
  <c r="BL688" i="6"/>
  <c r="BQ688" i="6" s="1"/>
  <c r="BL591" i="6"/>
  <c r="BM591" i="6" s="1"/>
  <c r="BF595" i="6"/>
  <c r="BP595" i="6" s="1"/>
  <c r="AZ74" i="6"/>
  <c r="BL569" i="6"/>
  <c r="BM569" i="6" s="1"/>
  <c r="BL133" i="6"/>
  <c r="AZ95" i="6"/>
  <c r="BO95" i="6" s="1"/>
  <c r="AZ99" i="6"/>
  <c r="BO99" i="6" s="1"/>
  <c r="BF197" i="6"/>
  <c r="BF582" i="6"/>
  <c r="BG582" i="6" s="1"/>
  <c r="BL395" i="6"/>
  <c r="BM395" i="6" s="1"/>
  <c r="BF391" i="6"/>
  <c r="BG391" i="6" s="1"/>
  <c r="AZ411" i="6"/>
  <c r="BO411" i="6" s="1"/>
  <c r="BL413" i="6"/>
  <c r="BQ413" i="6" s="1"/>
  <c r="CR564" i="6"/>
  <c r="CN35" i="6"/>
  <c r="CX35" i="6" s="1"/>
  <c r="CP564" i="6"/>
  <c r="CL587" i="6"/>
  <c r="CV587" i="6" s="1"/>
  <c r="BX587" i="6"/>
  <c r="CH587" i="6" s="1"/>
  <c r="CB607" i="6"/>
  <c r="CP607" i="6"/>
  <c r="CC702" i="6"/>
  <c r="CQ702" i="6"/>
  <c r="AD702" i="6"/>
  <c r="BX91" i="6"/>
  <c r="CL91" i="6"/>
  <c r="CL182" i="6"/>
  <c r="CV182" i="6" s="1"/>
  <c r="AC182" i="6"/>
  <c r="CB182" i="6"/>
  <c r="CN144" i="6"/>
  <c r="CX144" i="6" s="1"/>
  <c r="CD144" i="6"/>
  <c r="BZ672" i="6"/>
  <c r="CJ672" i="6" s="1"/>
  <c r="AE672" i="6"/>
  <c r="CN672" i="6"/>
  <c r="CX672" i="6" s="1"/>
  <c r="CC593" i="6"/>
  <c r="CQ593" i="6"/>
  <c r="AD593" i="6"/>
  <c r="BZ616" i="6"/>
  <c r="AE616" i="6"/>
  <c r="CN616" i="6"/>
  <c r="BX41" i="6"/>
  <c r="CH41" i="6" s="1"/>
  <c r="CN381" i="6"/>
  <c r="CX381" i="6" s="1"/>
  <c r="CR381" i="6"/>
  <c r="AE381" i="6"/>
  <c r="BY366" i="6"/>
  <c r="CI366" i="6" s="1"/>
  <c r="CC366" i="6"/>
  <c r="AD366" i="6"/>
  <c r="CN416" i="6"/>
  <c r="CX416" i="6" s="1"/>
  <c r="AE416" i="6"/>
  <c r="CR416" i="6"/>
  <c r="AD398" i="6"/>
  <c r="CC398" i="6"/>
  <c r="CN38" i="6"/>
  <c r="CX38" i="6" s="1"/>
  <c r="BZ38" i="6"/>
  <c r="CJ38" i="6" s="1"/>
  <c r="CP112" i="6"/>
  <c r="CB112" i="6"/>
  <c r="CC397" i="6"/>
  <c r="AD397" i="6"/>
  <c r="AD580" i="6"/>
  <c r="CD29" i="6"/>
  <c r="BY14" i="6"/>
  <c r="CI14" i="6" s="1"/>
  <c r="CC14" i="6"/>
  <c r="CQ14" i="6"/>
  <c r="CP387" i="6"/>
  <c r="AC387" i="6"/>
  <c r="CB387" i="6"/>
  <c r="BX176" i="6"/>
  <c r="CH176" i="6" s="1"/>
  <c r="CP176" i="6"/>
  <c r="AC176" i="6"/>
  <c r="CQ370" i="6"/>
  <c r="CM370" i="6"/>
  <c r="CW370" i="6" s="1"/>
  <c r="CL155" i="6"/>
  <c r="CV155" i="6" s="1"/>
  <c r="AC155" i="6"/>
  <c r="BY66" i="6"/>
  <c r="CI66" i="6" s="1"/>
  <c r="CN410" i="6"/>
  <c r="CX410" i="6" s="1"/>
  <c r="BZ410" i="6"/>
  <c r="CJ410" i="6" s="1"/>
  <c r="CL561" i="6"/>
  <c r="CV561" i="6" s="1"/>
  <c r="AC561" i="6"/>
  <c r="CB561" i="6"/>
  <c r="CM180" i="6"/>
  <c r="CW180" i="6" s="1"/>
  <c r="BY180" i="6"/>
  <c r="CI180" i="6" s="1"/>
  <c r="AD180" i="6"/>
  <c r="CD634" i="6"/>
  <c r="BZ634" i="6"/>
  <c r="CJ634" i="6" s="1"/>
  <c r="AE634" i="6"/>
  <c r="BY690" i="6"/>
  <c r="CI690" i="6" s="1"/>
  <c r="AD690" i="6"/>
  <c r="BX393" i="6"/>
  <c r="CL393" i="6"/>
  <c r="AC393" i="6"/>
  <c r="CP659" i="6"/>
  <c r="AC659" i="6"/>
  <c r="BX659" i="6"/>
  <c r="CH659" i="6" s="1"/>
  <c r="BY183" i="6"/>
  <c r="CI183" i="6" s="1"/>
  <c r="CQ183" i="6"/>
  <c r="AD183" i="6"/>
  <c r="AD376" i="6"/>
  <c r="CQ376" i="6"/>
  <c r="CC376" i="6"/>
  <c r="CM425" i="6"/>
  <c r="CW425" i="6" s="1"/>
  <c r="AE39" i="6"/>
  <c r="BY25" i="6"/>
  <c r="CI25" i="6" s="1"/>
  <c r="AD269" i="6"/>
  <c r="CP353" i="6"/>
  <c r="CM397" i="6"/>
  <c r="CW397" i="6" s="1"/>
  <c r="AE29" i="6"/>
  <c r="AE410" i="6"/>
  <c r="CQ180" i="6"/>
  <c r="CN601" i="6"/>
  <c r="BX607" i="6"/>
  <c r="CH607" i="6" s="1"/>
  <c r="CQ398" i="6"/>
  <c r="CP182" i="6"/>
  <c r="CR144" i="6"/>
  <c r="BY593" i="6"/>
  <c r="CI593" i="6" s="1"/>
  <c r="CP91" i="6"/>
  <c r="CN364" i="6"/>
  <c r="CX364" i="6" s="1"/>
  <c r="CR314" i="6"/>
  <c r="CM315" i="6"/>
  <c r="CW315" i="6" s="1"/>
  <c r="BY315" i="6"/>
  <c r="CI315" i="6" s="1"/>
  <c r="CC353" i="6"/>
  <c r="AD353" i="6"/>
  <c r="CQ60" i="6"/>
  <c r="CC60" i="6"/>
  <c r="AD60" i="6"/>
  <c r="BX390" i="6"/>
  <c r="CH390" i="6" s="1"/>
  <c r="CD311" i="6"/>
  <c r="CR311" i="6"/>
  <c r="CR401" i="6"/>
  <c r="CN304" i="6"/>
  <c r="CX304" i="6" s="1"/>
  <c r="CD304" i="6"/>
  <c r="AE106" i="6"/>
  <c r="CM299" i="6"/>
  <c r="CW299" i="6" s="1"/>
  <c r="CM388" i="6"/>
  <c r="CW388" i="6" s="1"/>
  <c r="CN380" i="6"/>
  <c r="CX380" i="6" s="1"/>
  <c r="AC121" i="6"/>
  <c r="CL121" i="6"/>
  <c r="CV121" i="6" s="1"/>
  <c r="BY74" i="6"/>
  <c r="CI74" i="6" s="1"/>
  <c r="CM405" i="6"/>
  <c r="CW405" i="6" s="1"/>
  <c r="CB564" i="6"/>
  <c r="CB260" i="6"/>
  <c r="AC643" i="6"/>
  <c r="BZ642" i="6"/>
  <c r="CJ642" i="6" s="1"/>
  <c r="CD667" i="6"/>
  <c r="AE610" i="6"/>
  <c r="CN58" i="6"/>
  <c r="CX58" i="6" s="1"/>
  <c r="CQ671" i="6"/>
  <c r="AE180" i="6"/>
  <c r="CL209" i="6"/>
  <c r="CV209" i="6" s="1"/>
  <c r="BZ612" i="6"/>
  <c r="AE608" i="6"/>
  <c r="AD299" i="6"/>
  <c r="AD388" i="6"/>
  <c r="CR380" i="6"/>
  <c r="AD74" i="6"/>
  <c r="CD384" i="6"/>
  <c r="BZ156" i="6"/>
  <c r="CJ156" i="6" s="1"/>
  <c r="CD573" i="6"/>
  <c r="BX24" i="6"/>
  <c r="CH24" i="6" s="1"/>
  <c r="AC175" i="6"/>
  <c r="CM421" i="6"/>
  <c r="CW421" i="6" s="1"/>
  <c r="BZ391" i="6"/>
  <c r="CJ391" i="6" s="1"/>
  <c r="CL13" i="6"/>
  <c r="CV13" i="6" s="1"/>
  <c r="BX93" i="6"/>
  <c r="CH93" i="6" s="1"/>
  <c r="BX102" i="6"/>
  <c r="CH102" i="6" s="1"/>
  <c r="AE114" i="6"/>
  <c r="CC374" i="6"/>
  <c r="CC345" i="6"/>
  <c r="CC245" i="6"/>
  <c r="BX154" i="6"/>
  <c r="CH154" i="6" s="1"/>
  <c r="CQ589" i="6"/>
  <c r="CD301" i="6"/>
  <c r="CC162" i="6"/>
  <c r="BY345" i="6"/>
  <c r="CI345" i="6" s="1"/>
  <c r="CN76" i="6"/>
  <c r="CX76" i="6" s="1"/>
  <c r="BZ106" i="6"/>
  <c r="CJ106" i="6" s="1"/>
  <c r="CB106" i="6"/>
  <c r="CP308" i="6"/>
  <c r="CM345" i="6"/>
  <c r="CW345" i="6" s="1"/>
  <c r="BZ361" i="6"/>
  <c r="CJ361" i="6" s="1"/>
  <c r="CP395" i="6"/>
  <c r="BY109" i="6"/>
  <c r="CI109" i="6" s="1"/>
  <c r="CD13" i="6"/>
  <c r="CP188" i="6"/>
  <c r="CD337" i="6"/>
  <c r="BX303" i="6"/>
  <c r="CH303" i="6" s="1"/>
  <c r="CB60" i="6"/>
  <c r="BZ29" i="6"/>
  <c r="CJ29" i="6" s="1"/>
  <c r="CL564" i="6"/>
  <c r="CV564" i="6" s="1"/>
  <c r="CR151" i="6"/>
  <c r="CM642" i="6"/>
  <c r="CW642" i="6" s="1"/>
  <c r="CQ644" i="6"/>
  <c r="CB243" i="6"/>
  <c r="CL128" i="6"/>
  <c r="CV128" i="6" s="1"/>
  <c r="AC638" i="6"/>
  <c r="CB395" i="6"/>
  <c r="CD361" i="6"/>
  <c r="AD14" i="6"/>
  <c r="AD345" i="6"/>
  <c r="CL363" i="6"/>
  <c r="CV363" i="6" s="1"/>
  <c r="AC154" i="6"/>
  <c r="CB154" i="6"/>
  <c r="AC564" i="6"/>
  <c r="AD112" i="6"/>
  <c r="CN40" i="6"/>
  <c r="CX40" i="6" s="1"/>
  <c r="AD199" i="6"/>
  <c r="BX364" i="6"/>
  <c r="CH364" i="6" s="1"/>
  <c r="CQ210" i="6"/>
  <c r="BZ360" i="6"/>
  <c r="CJ360" i="6" s="1"/>
  <c r="AD611" i="6"/>
  <c r="AE59" i="6"/>
  <c r="CR361" i="6"/>
  <c r="CQ345" i="6"/>
  <c r="CM374" i="6"/>
  <c r="CW374" i="6" s="1"/>
  <c r="CD120" i="6"/>
  <c r="CM76" i="6"/>
  <c r="CW76" i="6" s="1"/>
  <c r="CL166" i="6"/>
  <c r="CV166" i="6" s="1"/>
  <c r="BX344" i="6"/>
  <c r="CH344" i="6" s="1"/>
  <c r="CL391" i="6"/>
  <c r="CV391" i="6" s="1"/>
  <c r="AC271" i="6"/>
  <c r="BX298" i="6"/>
  <c r="CH298" i="6" s="1"/>
  <c r="CC577" i="6"/>
  <c r="CC571" i="6"/>
  <c r="AD379" i="6"/>
  <c r="AD215" i="6"/>
  <c r="CB126" i="6"/>
  <c r="BX616" i="6"/>
  <c r="CQ41" i="6"/>
  <c r="J10" i="5"/>
  <c r="CM623" i="6"/>
  <c r="CW623" i="6" s="1"/>
  <c r="AE640" i="6"/>
  <c r="CP603" i="6"/>
  <c r="CM614" i="6"/>
  <c r="CW614" i="6" s="1"/>
  <c r="CC617" i="6"/>
  <c r="CD155" i="6"/>
  <c r="BY338" i="6"/>
  <c r="CI338" i="6" s="1"/>
  <c r="CN338" i="6"/>
  <c r="CX338" i="6" s="1"/>
  <c r="AE708" i="6"/>
  <c r="CR613" i="6"/>
  <c r="CP613" i="6"/>
  <c r="CR41" i="6"/>
  <c r="AD272" i="6"/>
  <c r="CR222" i="6"/>
  <c r="BZ375" i="6"/>
  <c r="CJ375" i="6" s="1"/>
  <c r="CI83" i="6"/>
  <c r="CW81" i="6"/>
  <c r="CW249" i="6"/>
  <c r="CJ394" i="6"/>
  <c r="CI394" i="6"/>
  <c r="CJ618" i="6"/>
  <c r="CI618" i="6"/>
  <c r="CI393" i="6"/>
  <c r="CX618" i="6"/>
  <c r="CW618" i="6"/>
  <c r="CI81" i="6"/>
  <c r="CI249" i="6"/>
  <c r="CW394" i="6"/>
  <c r="CM105" i="6"/>
  <c r="CW105" i="6" s="1"/>
  <c r="CN678" i="6"/>
  <c r="CX678" i="6" s="1"/>
  <c r="CN87" i="6"/>
  <c r="CX87" i="6" s="1"/>
  <c r="CX394" i="6"/>
  <c r="CD53" i="6"/>
  <c r="BY639" i="6"/>
  <c r="CI639" i="6" s="1"/>
  <c r="CD229" i="6"/>
  <c r="CR74" i="6"/>
  <c r="CV249" i="6"/>
  <c r="CV394" i="6"/>
  <c r="CW261" i="6"/>
  <c r="CW185" i="6"/>
  <c r="CH618" i="6"/>
  <c r="CW393" i="6"/>
  <c r="CV83" i="6"/>
  <c r="CV618" i="6"/>
  <c r="CI261" i="6"/>
  <c r="CI185" i="6"/>
  <c r="CH83" i="6"/>
  <c r="CW83" i="6"/>
  <c r="CH249" i="6"/>
  <c r="CH394" i="6"/>
  <c r="AC399" i="6"/>
  <c r="CM98" i="6"/>
  <c r="CW98" i="6" s="1"/>
  <c r="BY355" i="6"/>
  <c r="CI355" i="6" s="1"/>
  <c r="BY414" i="6"/>
  <c r="CI414" i="6" s="1"/>
  <c r="CC139" i="6"/>
  <c r="BX170" i="6"/>
  <c r="CH170" i="6" s="1"/>
  <c r="AD35" i="6"/>
  <c r="BZ14" i="6"/>
  <c r="CJ14" i="6" s="1"/>
  <c r="CP604" i="6"/>
  <c r="CR92" i="6"/>
  <c r="CL309" i="6"/>
  <c r="CV309" i="6" s="1"/>
  <c r="CC410" i="6"/>
  <c r="CL359" i="6"/>
  <c r="CV359" i="6" s="1"/>
  <c r="CB339" i="6"/>
  <c r="CL262" i="6"/>
  <c r="CV262" i="6" s="1"/>
  <c r="CN24" i="6"/>
  <c r="CX24" i="6" s="1"/>
  <c r="BY251" i="6"/>
  <c r="CI251" i="6" s="1"/>
  <c r="BZ406" i="6"/>
  <c r="CJ406" i="6" s="1"/>
  <c r="CQ153" i="6"/>
  <c r="BX392" i="6"/>
  <c r="CH392" i="6" s="1"/>
  <c r="BZ414" i="6"/>
  <c r="CJ414" i="6" s="1"/>
  <c r="CL584" i="6"/>
  <c r="CV584" i="6" s="1"/>
  <c r="BZ425" i="6"/>
  <c r="CJ425" i="6" s="1"/>
  <c r="CR617" i="6"/>
  <c r="AD372" i="6"/>
  <c r="AC315" i="6"/>
  <c r="BX637" i="6"/>
  <c r="CH637" i="6" s="1"/>
  <c r="CQ636" i="6"/>
  <c r="BX116" i="6"/>
  <c r="CH116" i="6" s="1"/>
  <c r="CN310" i="6"/>
  <c r="CX310" i="6" s="1"/>
  <c r="BX29" i="6"/>
  <c r="CH29" i="6" s="1"/>
  <c r="CQ90" i="6"/>
  <c r="CL400" i="6"/>
  <c r="CV400" i="6" s="1"/>
  <c r="CR422" i="6"/>
  <c r="AC384" i="6"/>
  <c r="CR206" i="6"/>
  <c r="BX668" i="6"/>
  <c r="CH668" i="6" s="1"/>
  <c r="BZ119" i="6"/>
  <c r="CJ119" i="6" s="1"/>
  <c r="AC70" i="6"/>
  <c r="CL403" i="6"/>
  <c r="CV403" i="6" s="1"/>
  <c r="AE656" i="6"/>
  <c r="AD662" i="6"/>
  <c r="CQ609" i="6"/>
  <c r="CQ590" i="6"/>
  <c r="BZ645" i="6"/>
  <c r="CJ645" i="6" s="1"/>
  <c r="CC656" i="6"/>
  <c r="AC662" i="6"/>
  <c r="CQ128" i="6"/>
  <c r="CM583" i="6"/>
  <c r="CW583" i="6" s="1"/>
  <c r="CM705" i="6"/>
  <c r="CW705" i="6" s="1"/>
  <c r="CC306" i="6"/>
  <c r="CB582" i="6"/>
  <c r="CP269" i="6"/>
  <c r="CM300" i="6"/>
  <c r="CW300" i="6" s="1"/>
  <c r="CQ586" i="6"/>
  <c r="CR605" i="6"/>
  <c r="CL74" i="6"/>
  <c r="CV74" i="6" s="1"/>
  <c r="CC623" i="6"/>
  <c r="BZ337" i="6"/>
  <c r="AE375" i="6"/>
  <c r="CC422" i="6"/>
  <c r="BZ155" i="6"/>
  <c r="CJ155" i="6" s="1"/>
  <c r="CR82" i="6"/>
  <c r="AE110" i="6"/>
  <c r="CM636" i="6"/>
  <c r="CW636" i="6" s="1"/>
  <c r="CD119" i="6"/>
  <c r="CP185" i="6"/>
  <c r="AC305" i="6"/>
  <c r="AD176" i="6"/>
  <c r="CL269" i="6"/>
  <c r="CV269" i="6" s="1"/>
  <c r="CN656" i="6"/>
  <c r="CX656" i="6" s="1"/>
  <c r="CQ656" i="6"/>
  <c r="CC611" i="6"/>
  <c r="AD614" i="6"/>
  <c r="AD425" i="6"/>
  <c r="BZ199" i="6"/>
  <c r="CJ199" i="6" s="1"/>
  <c r="AC116" i="6"/>
  <c r="BO116" i="6" s="1"/>
  <c r="BY577" i="6"/>
  <c r="CI577" i="6" s="1"/>
  <c r="BZ397" i="6"/>
  <c r="CJ397" i="6" s="1"/>
  <c r="CQ168" i="6"/>
  <c r="CC136" i="6"/>
  <c r="CB384" i="6"/>
  <c r="AD307" i="6"/>
  <c r="CC639" i="6"/>
  <c r="CC53" i="6"/>
  <c r="CL668" i="6"/>
  <c r="CV668" i="6" s="1"/>
  <c r="AC590" i="6"/>
  <c r="AD598" i="6"/>
  <c r="CL603" i="6"/>
  <c r="CM609" i="6"/>
  <c r="CW609" i="6" s="1"/>
  <c r="BZ702" i="6"/>
  <c r="CJ702" i="6" s="1"/>
  <c r="CD424" i="6"/>
  <c r="CC112" i="6"/>
  <c r="CC570" i="6"/>
  <c r="CM148" i="6"/>
  <c r="CW148" i="6" s="1"/>
  <c r="CR156" i="6"/>
  <c r="CD254" i="6"/>
  <c r="CQ579" i="6"/>
  <c r="CB643" i="6"/>
  <c r="AC667" i="6"/>
  <c r="BZ229" i="6"/>
  <c r="CJ229" i="6" s="1"/>
  <c r="BX183" i="6"/>
  <c r="CH183" i="6" s="1"/>
  <c r="CM586" i="6"/>
  <c r="CW586" i="6" s="1"/>
  <c r="BZ605" i="6"/>
  <c r="CN74" i="6"/>
  <c r="CX74" i="6" s="1"/>
  <c r="CR704" i="6"/>
  <c r="AD311" i="6"/>
  <c r="CL228" i="6"/>
  <c r="CV228" i="6" s="1"/>
  <c r="CQ381" i="6"/>
  <c r="CD642" i="6"/>
  <c r="BX653" i="6"/>
  <c r="CH653" i="6" s="1"/>
  <c r="CM128" i="6"/>
  <c r="CW128" i="6" s="1"/>
  <c r="AD583" i="6"/>
  <c r="CD588" i="6"/>
  <c r="CD215" i="6"/>
  <c r="AC74" i="6"/>
  <c r="BX315" i="6"/>
  <c r="CH315" i="6" s="1"/>
  <c r="BZ120" i="6"/>
  <c r="CJ120" i="6" s="1"/>
  <c r="CR43" i="6"/>
  <c r="AC308" i="6"/>
  <c r="CL576" i="6"/>
  <c r="CV576" i="6" s="1"/>
  <c r="CL60" i="6"/>
  <c r="CV60" i="6" s="1"/>
  <c r="BY378" i="6"/>
  <c r="CI378" i="6" s="1"/>
  <c r="CP562" i="6"/>
  <c r="BY623" i="6"/>
  <c r="CI623" i="6" s="1"/>
  <c r="CR337" i="6"/>
  <c r="AD170" i="6"/>
  <c r="CC418" i="6"/>
  <c r="AD573" i="6"/>
  <c r="AE422" i="6"/>
  <c r="CN82" i="6"/>
  <c r="CC636" i="6"/>
  <c r="CR119" i="6"/>
  <c r="CL185" i="6"/>
  <c r="CR656" i="6"/>
  <c r="CM656" i="6"/>
  <c r="CW656" i="6" s="1"/>
  <c r="BY243" i="6"/>
  <c r="CI243" i="6" s="1"/>
  <c r="BY611" i="6"/>
  <c r="CD76" i="6"/>
  <c r="AE30" i="6"/>
  <c r="AC637" i="6"/>
  <c r="CD199" i="6"/>
  <c r="AC261" i="6"/>
  <c r="BY168" i="6"/>
  <c r="CI168" i="6" s="1"/>
  <c r="BY136" i="6"/>
  <c r="CI136" i="6" s="1"/>
  <c r="CP384" i="6"/>
  <c r="CC638" i="6"/>
  <c r="CQ639" i="6"/>
  <c r="BY53" i="6"/>
  <c r="CI53" i="6" s="1"/>
  <c r="AC668" i="6"/>
  <c r="CC671" i="6"/>
  <c r="CB590" i="6"/>
  <c r="CC598" i="6"/>
  <c r="AE702" i="6"/>
  <c r="CN424" i="6"/>
  <c r="BY112" i="6"/>
  <c r="CQ148" i="6"/>
  <c r="CD156" i="6"/>
  <c r="CR310" i="6"/>
  <c r="CP70" i="6"/>
  <c r="CR566" i="6"/>
  <c r="BZ254" i="6"/>
  <c r="CJ254" i="6" s="1"/>
  <c r="CQ379" i="6"/>
  <c r="CM579" i="6"/>
  <c r="CW579" i="6" s="1"/>
  <c r="AE136" i="6"/>
  <c r="BX643" i="6"/>
  <c r="CH643" i="6" s="1"/>
  <c r="BY662" i="6"/>
  <c r="CI662" i="6" s="1"/>
  <c r="CB183" i="6"/>
  <c r="CD74" i="6"/>
  <c r="CN704" i="6"/>
  <c r="CX704" i="6" s="1"/>
  <c r="AC403" i="6"/>
  <c r="CB228" i="6"/>
  <c r="CM381" i="6"/>
  <c r="CW381" i="6" s="1"/>
  <c r="CC88" i="6"/>
  <c r="BZ588" i="6"/>
  <c r="BY595" i="6"/>
  <c r="CI595" i="6" s="1"/>
  <c r="AD87" i="6"/>
  <c r="CM404" i="6"/>
  <c r="CW404" i="6" s="1"/>
  <c r="BZ310" i="6"/>
  <c r="CJ310" i="6" s="1"/>
  <c r="CN363" i="6"/>
  <c r="CX363" i="6" s="1"/>
  <c r="AD300" i="6"/>
  <c r="CL96" i="6"/>
  <c r="CV96" i="6" s="1"/>
  <c r="CR89" i="6"/>
  <c r="CB379" i="6"/>
  <c r="AE211" i="6"/>
  <c r="CC359" i="6"/>
  <c r="CP75" i="6"/>
  <c r="CQ207" i="6"/>
  <c r="BX642" i="6"/>
  <c r="CH642" i="6" s="1"/>
  <c r="CM40" i="6"/>
  <c r="CW40" i="6" s="1"/>
  <c r="CM668" i="6"/>
  <c r="CW668" i="6" s="1"/>
  <c r="CC572" i="6"/>
  <c r="BY202" i="6"/>
  <c r="CI202" i="6" s="1"/>
  <c r="CB385" i="6"/>
  <c r="CC346" i="6"/>
  <c r="CC391" i="6"/>
  <c r="CN337" i="6"/>
  <c r="CQ170" i="6"/>
  <c r="BY418" i="6"/>
  <c r="CI418" i="6" s="1"/>
  <c r="CQ573" i="6"/>
  <c r="CD110" i="6"/>
  <c r="BY636" i="6"/>
  <c r="CI636" i="6" s="1"/>
  <c r="CN119" i="6"/>
  <c r="CX119" i="6" s="1"/>
  <c r="CB185" i="6"/>
  <c r="CP305" i="6"/>
  <c r="CM43" i="6"/>
  <c r="CW43" i="6" s="1"/>
  <c r="CP302" i="6"/>
  <c r="AD24" i="6"/>
  <c r="CD656" i="6"/>
  <c r="CC243" i="6"/>
  <c r="CQ611" i="6"/>
  <c r="BY425" i="6"/>
  <c r="CI425" i="6" s="1"/>
  <c r="BZ30" i="6"/>
  <c r="CJ30" i="6" s="1"/>
  <c r="CL637" i="6"/>
  <c r="CV637" i="6" s="1"/>
  <c r="CR199" i="6"/>
  <c r="CL116" i="6"/>
  <c r="CV116" i="6" s="1"/>
  <c r="CB261" i="6"/>
  <c r="CM168" i="6"/>
  <c r="CW168" i="6" s="1"/>
  <c r="BZ359" i="6"/>
  <c r="CJ359" i="6" s="1"/>
  <c r="BX384" i="6"/>
  <c r="CH384" i="6" s="1"/>
  <c r="AE206" i="6"/>
  <c r="BY638" i="6"/>
  <c r="CI638" i="6" s="1"/>
  <c r="CM639" i="6"/>
  <c r="CW639" i="6" s="1"/>
  <c r="CQ53" i="6"/>
  <c r="BX590" i="6"/>
  <c r="BY598" i="6"/>
  <c r="CR424" i="6"/>
  <c r="CC148" i="6"/>
  <c r="CL70" i="6"/>
  <c r="CV70" i="6" s="1"/>
  <c r="CN566" i="6"/>
  <c r="CX566" i="6" s="1"/>
  <c r="AE304" i="6"/>
  <c r="CM379" i="6"/>
  <c r="CW379" i="6" s="1"/>
  <c r="CC579" i="6"/>
  <c r="CP390" i="6"/>
  <c r="CP643" i="6"/>
  <c r="CC662" i="6"/>
  <c r="CP183" i="6"/>
  <c r="AD586" i="6"/>
  <c r="CR601" i="6"/>
  <c r="BZ74" i="6"/>
  <c r="CJ74" i="6" s="1"/>
  <c r="CD704" i="6"/>
  <c r="AD705" i="6"/>
  <c r="CQ311" i="6"/>
  <c r="BX228" i="6"/>
  <c r="CH228" i="6" s="1"/>
  <c r="CC381" i="6"/>
  <c r="AE645" i="6"/>
  <c r="BY88" i="6"/>
  <c r="CI88" i="6" s="1"/>
  <c r="BY583" i="6"/>
  <c r="CI583" i="6" s="1"/>
  <c r="CC595" i="6"/>
  <c r="CB74" i="6"/>
  <c r="AC41" i="6"/>
  <c r="AD623" i="6"/>
  <c r="CR338" i="6"/>
  <c r="BZ76" i="6"/>
  <c r="CJ76" i="6" s="1"/>
  <c r="AE400" i="6"/>
  <c r="CQ355" i="6"/>
  <c r="CB668" i="6"/>
  <c r="CB662" i="6"/>
  <c r="BZ591" i="6"/>
  <c r="CJ591" i="6" s="1"/>
  <c r="CN605" i="6"/>
  <c r="CP303" i="6"/>
  <c r="CN375" i="6"/>
  <c r="CX375" i="6" s="1"/>
  <c r="CC170" i="6"/>
  <c r="CM418" i="6"/>
  <c r="CW418" i="6" s="1"/>
  <c r="CC573" i="6"/>
  <c r="BZ422" i="6"/>
  <c r="CJ422" i="6" s="1"/>
  <c r="AE82" i="6"/>
  <c r="CL298" i="6"/>
  <c r="CV298" i="6" s="1"/>
  <c r="CR110" i="6"/>
  <c r="CB305" i="6"/>
  <c r="CC43" i="6"/>
  <c r="CQ176" i="6"/>
  <c r="AC269" i="6"/>
  <c r="CB302" i="6"/>
  <c r="CM24" i="6"/>
  <c r="CW24" i="6" s="1"/>
  <c r="AD656" i="6"/>
  <c r="CM243" i="6"/>
  <c r="CW243" i="6" s="1"/>
  <c r="CC614" i="6"/>
  <c r="CQ425" i="6"/>
  <c r="CD30" i="6"/>
  <c r="CP637" i="6"/>
  <c r="AE199" i="6"/>
  <c r="CB116" i="6"/>
  <c r="AD577" i="6"/>
  <c r="CP261" i="6"/>
  <c r="CC85" i="6"/>
  <c r="AE397" i="6"/>
  <c r="CN359" i="6"/>
  <c r="CX359" i="6" s="1"/>
  <c r="CM307" i="6"/>
  <c r="CW307" i="6" s="1"/>
  <c r="CC412" i="6"/>
  <c r="BZ206" i="6"/>
  <c r="CJ206" i="6" s="1"/>
  <c r="CM638" i="6"/>
  <c r="CW638" i="6" s="1"/>
  <c r="CL590" i="6"/>
  <c r="CM598" i="6"/>
  <c r="AC603" i="6"/>
  <c r="AD609" i="6"/>
  <c r="CP166" i="6"/>
  <c r="BX70" i="6"/>
  <c r="CH70" i="6" s="1"/>
  <c r="BZ566" i="6"/>
  <c r="CJ566" i="6" s="1"/>
  <c r="CR304" i="6"/>
  <c r="BY379" i="6"/>
  <c r="CI379" i="6" s="1"/>
  <c r="CB390" i="6"/>
  <c r="BZ136" i="6"/>
  <c r="CJ136" i="6" s="1"/>
  <c r="CM662" i="6"/>
  <c r="CW662" i="6" s="1"/>
  <c r="BX667" i="6"/>
  <c r="CH667" i="6" s="1"/>
  <c r="AC183" i="6"/>
  <c r="CD601" i="6"/>
  <c r="AE74" i="6"/>
  <c r="CC705" i="6"/>
  <c r="AC374" i="6"/>
  <c r="AD205" i="6"/>
  <c r="BX403" i="6"/>
  <c r="CH403" i="6" s="1"/>
  <c r="CC311" i="6"/>
  <c r="CR645" i="6"/>
  <c r="CM88" i="6"/>
  <c r="CW88" i="6" s="1"/>
  <c r="CQ583" i="6"/>
  <c r="AE588" i="6"/>
  <c r="CM595" i="6"/>
  <c r="CW595" i="6" s="1"/>
  <c r="CP74" i="6"/>
  <c r="CL41" i="6"/>
  <c r="CV41" i="6" s="1"/>
  <c r="AC232" i="6"/>
  <c r="BO232" i="6" s="1"/>
  <c r="BZ145" i="6"/>
  <c r="CJ145" i="6" s="1"/>
  <c r="BY82" i="6"/>
  <c r="CN53" i="6"/>
  <c r="CX53" i="6" s="1"/>
  <c r="AD96" i="6"/>
  <c r="AC585" i="6"/>
  <c r="CQ306" i="6"/>
  <c r="BY170" i="6"/>
  <c r="CI170" i="6" s="1"/>
  <c r="CR155" i="6"/>
  <c r="CC24" i="6"/>
  <c r="CQ577" i="6"/>
  <c r="BX261" i="6"/>
  <c r="BY85" i="6"/>
  <c r="CI85" i="6" s="1"/>
  <c r="CN397" i="6"/>
  <c r="CX397" i="6" s="1"/>
  <c r="CD359" i="6"/>
  <c r="AD136" i="6"/>
  <c r="CC307" i="6"/>
  <c r="BY412" i="6"/>
  <c r="CI412" i="6" s="1"/>
  <c r="CN206" i="6"/>
  <c r="CX206" i="6" s="1"/>
  <c r="CP662" i="6"/>
  <c r="CB603" i="6"/>
  <c r="CC609" i="6"/>
  <c r="CR702" i="6"/>
  <c r="CB166" i="6"/>
  <c r="AD211" i="6"/>
  <c r="AD570" i="6"/>
  <c r="AD378" i="6"/>
  <c r="AE254" i="6"/>
  <c r="AC390" i="6"/>
  <c r="CR136" i="6"/>
  <c r="CP667" i="6"/>
  <c r="CN229" i="6"/>
  <c r="CX229" i="6" s="1"/>
  <c r="CC586" i="6"/>
  <c r="BZ601" i="6"/>
  <c r="BY705" i="6"/>
  <c r="CI705" i="6" s="1"/>
  <c r="AD90" i="6"/>
  <c r="BX106" i="6"/>
  <c r="CH106" i="6" s="1"/>
  <c r="CP403" i="6"/>
  <c r="AE642" i="6"/>
  <c r="CD645" i="6"/>
  <c r="BY128" i="6"/>
  <c r="CI128" i="6" s="1"/>
  <c r="CL184" i="6"/>
  <c r="CV184" i="6" s="1"/>
  <c r="AD595" i="6"/>
  <c r="CB41" i="6"/>
  <c r="CQ39" i="6"/>
  <c r="AC373" i="6"/>
  <c r="AE377" i="6"/>
  <c r="CR387" i="6"/>
  <c r="BZ176" i="6"/>
  <c r="CJ176" i="6" s="1"/>
  <c r="CC98" i="6"/>
  <c r="BX165" i="6"/>
  <c r="CH165" i="6" s="1"/>
  <c r="CD121" i="6"/>
  <c r="CM672" i="6"/>
  <c r="CW672" i="6" s="1"/>
  <c r="CC688" i="6"/>
  <c r="CQ181" i="6"/>
  <c r="BY256" i="6"/>
  <c r="CI256" i="6" s="1"/>
  <c r="AE337" i="6"/>
  <c r="BY573" i="6"/>
  <c r="CI573" i="6" s="1"/>
  <c r="CP298" i="6"/>
  <c r="BY43" i="6"/>
  <c r="CI43" i="6" s="1"/>
  <c r="CM176" i="6"/>
  <c r="CW176" i="6" s="1"/>
  <c r="BX302" i="6"/>
  <c r="CH302" i="6" s="1"/>
  <c r="BY614" i="6"/>
  <c r="CI614" i="6" s="1"/>
  <c r="CQ623" i="6"/>
  <c r="CM306" i="6"/>
  <c r="CW306" i="6" s="1"/>
  <c r="CB303" i="6"/>
  <c r="CR375" i="6"/>
  <c r="CQ98" i="6"/>
  <c r="CN155" i="6"/>
  <c r="CX155" i="6" s="1"/>
  <c r="CN422" i="6"/>
  <c r="CX422" i="6" s="1"/>
  <c r="CD82" i="6"/>
  <c r="CB298" i="6"/>
  <c r="AC185" i="6"/>
  <c r="BA185" i="6" s="1"/>
  <c r="AD43" i="6"/>
  <c r="BG43" i="6" s="1"/>
  <c r="CC176" i="6"/>
  <c r="CB269" i="6"/>
  <c r="BY656" i="6"/>
  <c r="CI656" i="6" s="1"/>
  <c r="CQ614" i="6"/>
  <c r="CN120" i="6"/>
  <c r="CX120" i="6" s="1"/>
  <c r="CM577" i="6"/>
  <c r="CW577" i="6" s="1"/>
  <c r="CQ85" i="6"/>
  <c r="CR397" i="6"/>
  <c r="AD168" i="6"/>
  <c r="CM136" i="6"/>
  <c r="CW136" i="6" s="1"/>
  <c r="BY307" i="6"/>
  <c r="CI307" i="6" s="1"/>
  <c r="CQ412" i="6"/>
  <c r="CD206" i="6"/>
  <c r="AD639" i="6"/>
  <c r="CL662" i="6"/>
  <c r="CV662" i="6" s="1"/>
  <c r="AD53" i="6"/>
  <c r="BX603" i="6"/>
  <c r="BY609" i="6"/>
  <c r="CI609" i="6" s="1"/>
  <c r="CN702" i="6"/>
  <c r="CX702" i="6" s="1"/>
  <c r="AE424" i="6"/>
  <c r="CQ112" i="6"/>
  <c r="BX166" i="6"/>
  <c r="CH166" i="6" s="1"/>
  <c r="CQ211" i="6"/>
  <c r="AD148" i="6"/>
  <c r="CN254" i="6"/>
  <c r="CX254" i="6" s="1"/>
  <c r="CL667" i="6"/>
  <c r="CV667" i="6" s="1"/>
  <c r="CR229" i="6"/>
  <c r="BY586" i="6"/>
  <c r="CI586" i="6" s="1"/>
  <c r="AE704" i="6"/>
  <c r="CQ705" i="6"/>
  <c r="CC90" i="6"/>
  <c r="CB374" i="6"/>
  <c r="AC228" i="6"/>
  <c r="AD381" i="6"/>
  <c r="CC128" i="6"/>
  <c r="CR588" i="6"/>
  <c r="CL303" i="6"/>
  <c r="CV303" i="6" s="1"/>
  <c r="CD375" i="6"/>
  <c r="AE119" i="6"/>
  <c r="BX269" i="6"/>
  <c r="CM112" i="6"/>
  <c r="CC211" i="6"/>
  <c r="CQ570" i="6"/>
  <c r="AE156" i="6"/>
  <c r="CP374" i="6"/>
  <c r="CB242" i="6"/>
  <c r="CR642" i="6"/>
  <c r="AE222" i="6"/>
  <c r="BZ40" i="6"/>
  <c r="CJ40" i="6" s="1"/>
  <c r="AE580" i="6"/>
  <c r="BY422" i="6"/>
  <c r="CI422" i="6" s="1"/>
  <c r="CB262" i="6"/>
  <c r="BY187" i="6"/>
  <c r="CI187" i="6" s="1"/>
  <c r="AE414" i="6"/>
  <c r="AD668" i="6"/>
  <c r="CR120" i="6"/>
  <c r="AE153" i="6"/>
  <c r="CQ300" i="6"/>
  <c r="CP24" i="6"/>
  <c r="AE89" i="6"/>
  <c r="CM372" i="6"/>
  <c r="CW372" i="6" s="1"/>
  <c r="AE87" i="6"/>
  <c r="CL573" i="6"/>
  <c r="CV573" i="6" s="1"/>
  <c r="CD564" i="6"/>
  <c r="CB309" i="6"/>
  <c r="CB132" i="6"/>
  <c r="CQ378" i="6"/>
  <c r="BY298" i="6"/>
  <c r="CI298" i="6" s="1"/>
  <c r="CP170" i="6"/>
  <c r="BY210" i="6"/>
  <c r="CI210" i="6" s="1"/>
  <c r="CP245" i="6"/>
  <c r="AC93" i="6"/>
  <c r="CQ109" i="6"/>
  <c r="BX60" i="6"/>
  <c r="CH60" i="6" s="1"/>
  <c r="CL308" i="6"/>
  <c r="CV308" i="6" s="1"/>
  <c r="CP363" i="6"/>
  <c r="BY365" i="6"/>
  <c r="CI365" i="6" s="1"/>
  <c r="CN98" i="6"/>
  <c r="CX98" i="6" s="1"/>
  <c r="BY370" i="6"/>
  <c r="CI370" i="6" s="1"/>
  <c r="AD66" i="6"/>
  <c r="BG66" i="6" s="1"/>
  <c r="CQ227" i="6"/>
  <c r="CQ202" i="6"/>
  <c r="CN664" i="6"/>
  <c r="CX664" i="6" s="1"/>
  <c r="AD670" i="6"/>
  <c r="CD56" i="6"/>
  <c r="AD102" i="6"/>
  <c r="CP385" i="6"/>
  <c r="BX198" i="6"/>
  <c r="CH198" i="6" s="1"/>
  <c r="CD134" i="6"/>
  <c r="CN369" i="6"/>
  <c r="CX369" i="6" s="1"/>
  <c r="BX30" i="6"/>
  <c r="CH30" i="6" s="1"/>
  <c r="CN198" i="6"/>
  <c r="CX198" i="6" s="1"/>
  <c r="AC375" i="6"/>
  <c r="CL200" i="6"/>
  <c r="CV200" i="6" s="1"/>
  <c r="BY40" i="6"/>
  <c r="CI40" i="6" s="1"/>
  <c r="CQ422" i="6"/>
  <c r="AC420" i="6"/>
  <c r="AE363" i="6"/>
  <c r="CD24" i="6"/>
  <c r="CP392" i="6"/>
  <c r="AD346" i="6"/>
  <c r="CQ572" i="6"/>
  <c r="AE120" i="6"/>
  <c r="AD706" i="6"/>
  <c r="CQ25" i="6"/>
  <c r="BZ153" i="6"/>
  <c r="CJ153" i="6" s="1"/>
  <c r="CC300" i="6"/>
  <c r="CL24" i="6"/>
  <c r="CV24" i="6" s="1"/>
  <c r="CC372" i="6"/>
  <c r="CN269" i="6"/>
  <c r="CX269" i="6" s="1"/>
  <c r="CB573" i="6"/>
  <c r="BZ564" i="6"/>
  <c r="CJ564" i="6" s="1"/>
  <c r="CP315" i="6"/>
  <c r="BX309" i="6"/>
  <c r="CH309" i="6" s="1"/>
  <c r="AE43" i="6"/>
  <c r="BM43" i="6" s="1"/>
  <c r="AC568" i="6"/>
  <c r="BX132" i="6"/>
  <c r="CH132" i="6" s="1"/>
  <c r="AE35" i="6"/>
  <c r="CM378" i="6"/>
  <c r="CW378" i="6" s="1"/>
  <c r="CQ298" i="6"/>
  <c r="CL170" i="6"/>
  <c r="CV170" i="6" s="1"/>
  <c r="AD210" i="6"/>
  <c r="AC562" i="6"/>
  <c r="CL245" i="6"/>
  <c r="CV245" i="6" s="1"/>
  <c r="CM109" i="6"/>
  <c r="CW109" i="6" s="1"/>
  <c r="CP418" i="6"/>
  <c r="CB308" i="6"/>
  <c r="CB363" i="6"/>
  <c r="CM365" i="6"/>
  <c r="CW365" i="6" s="1"/>
  <c r="AD391" i="6"/>
  <c r="AD153" i="6"/>
  <c r="CQ66" i="6"/>
  <c r="CC227" i="6"/>
  <c r="AD359" i="6"/>
  <c r="CM202" i="6"/>
  <c r="CW202" i="6" s="1"/>
  <c r="CD664" i="6"/>
  <c r="CC670" i="6"/>
  <c r="CN43" i="6"/>
  <c r="CX43" i="6" s="1"/>
  <c r="CN378" i="6"/>
  <c r="CX378" i="6" s="1"/>
  <c r="CC40" i="6"/>
  <c r="CM422" i="6"/>
  <c r="CW422" i="6" s="1"/>
  <c r="CL420" i="6"/>
  <c r="CV420" i="6" s="1"/>
  <c r="CD363" i="6"/>
  <c r="BZ24" i="6"/>
  <c r="CJ24" i="6" s="1"/>
  <c r="AE187" i="6"/>
  <c r="CC241" i="6"/>
  <c r="BP346" i="6"/>
  <c r="BZ96" i="6"/>
  <c r="CJ96" i="6" s="1"/>
  <c r="AD105" i="6"/>
  <c r="CD153" i="6"/>
  <c r="BY300" i="6"/>
  <c r="CI300" i="6" s="1"/>
  <c r="CB24" i="6"/>
  <c r="BY372" i="6"/>
  <c r="CI372" i="6" s="1"/>
  <c r="CR269" i="6"/>
  <c r="BZ87" i="6"/>
  <c r="CJ87" i="6" s="1"/>
  <c r="CP573" i="6"/>
  <c r="CL315" i="6"/>
  <c r="CV315" i="6" s="1"/>
  <c r="CD43" i="6"/>
  <c r="CB568" i="6"/>
  <c r="CP132" i="6"/>
  <c r="CC378" i="6"/>
  <c r="CM298" i="6"/>
  <c r="CW298" i="6" s="1"/>
  <c r="CB170" i="6"/>
  <c r="AE188" i="6"/>
  <c r="CB245" i="6"/>
  <c r="CL93" i="6"/>
  <c r="CV93" i="6" s="1"/>
  <c r="CL418" i="6"/>
  <c r="CV418" i="6" s="1"/>
  <c r="BX308" i="6"/>
  <c r="CH308" i="6" s="1"/>
  <c r="BX363" i="6"/>
  <c r="CH363" i="6" s="1"/>
  <c r="CB155" i="6"/>
  <c r="CM66" i="6"/>
  <c r="CW66" i="6" s="1"/>
  <c r="BY227" i="6"/>
  <c r="CC202" i="6"/>
  <c r="BZ664" i="6"/>
  <c r="CJ664" i="6" s="1"/>
  <c r="BY670" i="6"/>
  <c r="CI670" i="6" s="1"/>
  <c r="CN102" i="6"/>
  <c r="CX102" i="6" s="1"/>
  <c r="CC145" i="6"/>
  <c r="BY139" i="6"/>
  <c r="CI139" i="6" s="1"/>
  <c r="CL404" i="6"/>
  <c r="CV404" i="6" s="1"/>
  <c r="BX172" i="6"/>
  <c r="CH172" i="6" s="1"/>
  <c r="CP420" i="6"/>
  <c r="AD187" i="6"/>
  <c r="BZ363" i="6"/>
  <c r="CJ363" i="6" s="1"/>
  <c r="CR24" i="6"/>
  <c r="BY241" i="6"/>
  <c r="CI241" i="6" s="1"/>
  <c r="CQ346" i="6"/>
  <c r="BY706" i="6"/>
  <c r="CI706" i="6" s="1"/>
  <c r="CR153" i="6"/>
  <c r="CD89" i="6"/>
  <c r="CD269" i="6"/>
  <c r="AE678" i="6"/>
  <c r="CD87" i="6"/>
  <c r="CB315" i="6"/>
  <c r="BX568" i="6"/>
  <c r="CH568" i="6" s="1"/>
  <c r="CD35" i="6"/>
  <c r="AE310" i="6"/>
  <c r="CB562" i="6"/>
  <c r="CD188" i="6"/>
  <c r="CB93" i="6"/>
  <c r="CB418" i="6"/>
  <c r="AE98" i="6"/>
  <c r="CM391" i="6"/>
  <c r="CW391" i="6" s="1"/>
  <c r="CC153" i="6"/>
  <c r="AD370" i="6"/>
  <c r="BX155" i="6"/>
  <c r="CH155" i="6" s="1"/>
  <c r="CC66" i="6"/>
  <c r="CM359" i="6"/>
  <c r="CW359" i="6" s="1"/>
  <c r="CQ670" i="6"/>
  <c r="CP233" i="6"/>
  <c r="BX222" i="6"/>
  <c r="CH222" i="6" s="1"/>
  <c r="CL11" i="6"/>
  <c r="CV11" i="6" s="1"/>
  <c r="CD343" i="6"/>
  <c r="BY156" i="6"/>
  <c r="CI156" i="6" s="1"/>
  <c r="CQ419" i="6"/>
  <c r="CR393" i="6"/>
  <c r="CN211" i="6"/>
  <c r="CX211" i="6" s="1"/>
  <c r="BX380" i="6"/>
  <c r="CH380" i="6" s="1"/>
  <c r="BZ242" i="6"/>
  <c r="CJ242" i="6" s="1"/>
  <c r="CQ292" i="6"/>
  <c r="BY363" i="6"/>
  <c r="CI363" i="6" s="1"/>
  <c r="CM70" i="6"/>
  <c r="CW70" i="6" s="1"/>
  <c r="BY10" i="6"/>
  <c r="BZ614" i="6"/>
  <c r="CJ614" i="6" s="1"/>
  <c r="CM424" i="6"/>
  <c r="CP391" i="6"/>
  <c r="CB420" i="6"/>
  <c r="CR363" i="6"/>
  <c r="CD187" i="6"/>
  <c r="CQ241" i="6"/>
  <c r="CD414" i="6"/>
  <c r="CM346" i="6"/>
  <c r="CW346" i="6" s="1"/>
  <c r="CQ105" i="6"/>
  <c r="CC706" i="6"/>
  <c r="BZ89" i="6"/>
  <c r="CJ89" i="6" s="1"/>
  <c r="CR678" i="6"/>
  <c r="CR87" i="6"/>
  <c r="CP568" i="6"/>
  <c r="BZ35" i="6"/>
  <c r="CJ35" i="6" s="1"/>
  <c r="CD310" i="6"/>
  <c r="BX562" i="6"/>
  <c r="CH562" i="6" s="1"/>
  <c r="BZ188" i="6"/>
  <c r="CJ188" i="6" s="1"/>
  <c r="CP93" i="6"/>
  <c r="AD109" i="6"/>
  <c r="AC60" i="6"/>
  <c r="CQ365" i="6"/>
  <c r="CQ391" i="6"/>
  <c r="BY153" i="6"/>
  <c r="CI153" i="6" s="1"/>
  <c r="BP370" i="6"/>
  <c r="CP155" i="6"/>
  <c r="CQ359" i="6"/>
  <c r="CQ40" i="6"/>
  <c r="BZ580" i="6"/>
  <c r="CJ580" i="6" s="1"/>
  <c r="AC339" i="6"/>
  <c r="BZ388" i="6"/>
  <c r="CJ388" i="6" s="1"/>
  <c r="AC575" i="6"/>
  <c r="AC636" i="6"/>
  <c r="BZ158" i="6"/>
  <c r="CJ158" i="6" s="1"/>
  <c r="CP645" i="6"/>
  <c r="CN163" i="6"/>
  <c r="CX163" i="6" s="1"/>
  <c r="CB589" i="6"/>
  <c r="CL609" i="6"/>
  <c r="CV609" i="6" s="1"/>
  <c r="CC207" i="6"/>
  <c r="CM655" i="6"/>
  <c r="CW655" i="6" s="1"/>
  <c r="CB144" i="6"/>
  <c r="BX241" i="6"/>
  <c r="BY245" i="6"/>
  <c r="CI245" i="6" s="1"/>
  <c r="BX300" i="6"/>
  <c r="CH300" i="6" s="1"/>
  <c r="CD386" i="6"/>
  <c r="CB109" i="6"/>
  <c r="CP109" i="6"/>
  <c r="AC109" i="6"/>
  <c r="CQ635" i="6"/>
  <c r="AD635" i="6"/>
  <c r="BY635" i="6"/>
  <c r="CI635" i="6" s="1"/>
  <c r="CC635" i="6"/>
  <c r="CM635" i="6"/>
  <c r="CW635" i="6" s="1"/>
  <c r="CL181" i="6"/>
  <c r="CV181" i="6" s="1"/>
  <c r="CP181" i="6"/>
  <c r="BX181" i="6"/>
  <c r="CH181" i="6" s="1"/>
  <c r="CN222" i="6"/>
  <c r="CX222" i="6" s="1"/>
  <c r="CD571" i="6"/>
  <c r="AC392" i="6"/>
  <c r="BX580" i="6"/>
  <c r="CH580" i="6" s="1"/>
  <c r="CQ615" i="6"/>
  <c r="CP31" i="6"/>
  <c r="AC31" i="6"/>
  <c r="BX31" i="6"/>
  <c r="CB31" i="6"/>
  <c r="CL31" i="6"/>
  <c r="CV31" i="6" s="1"/>
  <c r="CM22" i="6"/>
  <c r="CW22" i="6" s="1"/>
  <c r="CQ22" i="6"/>
  <c r="CC22" i="6"/>
  <c r="BP22" i="6"/>
  <c r="AD22" i="6"/>
  <c r="BX339" i="6"/>
  <c r="CH339" i="6" s="1"/>
  <c r="AC262" i="6"/>
  <c r="CC405" i="6"/>
  <c r="AE40" i="6"/>
  <c r="CR571" i="6"/>
  <c r="BX391" i="6"/>
  <c r="CH391" i="6" s="1"/>
  <c r="AE635" i="6"/>
  <c r="BY405" i="6"/>
  <c r="CI405" i="6" s="1"/>
  <c r="CB392" i="6"/>
  <c r="CB580" i="6"/>
  <c r="AE208" i="6"/>
  <c r="AC157" i="6"/>
  <c r="AC584" i="6"/>
  <c r="BY22" i="6"/>
  <c r="CI22" i="6" s="1"/>
  <c r="CL39" i="6"/>
  <c r="CV39" i="6" s="1"/>
  <c r="AC39" i="6"/>
  <c r="BX39" i="6"/>
  <c r="CH39" i="6" s="1"/>
  <c r="CB39" i="6"/>
  <c r="CP39" i="6"/>
  <c r="CL678" i="6"/>
  <c r="CV678" i="6" s="1"/>
  <c r="CP678" i="6"/>
  <c r="CB678" i="6"/>
  <c r="AC678" i="6"/>
  <c r="AE200" i="6"/>
  <c r="CD200" i="6"/>
  <c r="CN200" i="6"/>
  <c r="CX200" i="6" s="1"/>
  <c r="CR200" i="6"/>
  <c r="AC379" i="6"/>
  <c r="CP379" i="6"/>
  <c r="CL379" i="6"/>
  <c r="CV379" i="6" s="1"/>
  <c r="BX379" i="6"/>
  <c r="CH379" i="6" s="1"/>
  <c r="BZ571" i="6"/>
  <c r="CJ571" i="6" s="1"/>
  <c r="CB391" i="6"/>
  <c r="CP262" i="6"/>
  <c r="AD251" i="6"/>
  <c r="CQ405" i="6"/>
  <c r="CL392" i="6"/>
  <c r="CV392" i="6" s="1"/>
  <c r="AC181" i="6"/>
  <c r="CM208" i="6"/>
  <c r="CW208" i="6" s="1"/>
  <c r="CQ208" i="6"/>
  <c r="CC208" i="6"/>
  <c r="AD208" i="6"/>
  <c r="BY208" i="6"/>
  <c r="CI208" i="6" s="1"/>
  <c r="BZ639" i="6"/>
  <c r="CJ639" i="6" s="1"/>
  <c r="CD639" i="6"/>
  <c r="CN639" i="6"/>
  <c r="CX639" i="6" s="1"/>
  <c r="CR639" i="6"/>
  <c r="AE639" i="6"/>
  <c r="BZ658" i="6"/>
  <c r="CJ658" i="6" s="1"/>
  <c r="CN658" i="6"/>
  <c r="CX658" i="6" s="1"/>
  <c r="CR658" i="6"/>
  <c r="AE658" i="6"/>
  <c r="BY661" i="6"/>
  <c r="CI661" i="6" s="1"/>
  <c r="AD661" i="6"/>
  <c r="CC661" i="6"/>
  <c r="CM661" i="6"/>
  <c r="CW661" i="6" s="1"/>
  <c r="CQ661" i="6"/>
  <c r="CN256" i="6"/>
  <c r="CX256" i="6" s="1"/>
  <c r="BZ256" i="6"/>
  <c r="CJ256" i="6" s="1"/>
  <c r="CD256" i="6"/>
  <c r="CR256" i="6"/>
  <c r="CQ33" i="6"/>
  <c r="CC33" i="6"/>
  <c r="BY33" i="6"/>
  <c r="CI33" i="6" s="1"/>
  <c r="AD33" i="6"/>
  <c r="CM33" i="6"/>
  <c r="CW33" i="6" s="1"/>
  <c r="CN209" i="6"/>
  <c r="CX209" i="6" s="1"/>
  <c r="BZ209" i="6"/>
  <c r="CJ209" i="6" s="1"/>
  <c r="CD209" i="6"/>
  <c r="CR209" i="6"/>
  <c r="AE209" i="6"/>
  <c r="CL371" i="6"/>
  <c r="CV371" i="6" s="1"/>
  <c r="CP371" i="6"/>
  <c r="CB371" i="6"/>
  <c r="BX371" i="6"/>
  <c r="CH371" i="6" s="1"/>
  <c r="AE407" i="6"/>
  <c r="CN407" i="6"/>
  <c r="CX407" i="6" s="1"/>
  <c r="BZ407" i="6"/>
  <c r="CJ407" i="6" s="1"/>
  <c r="CD407" i="6"/>
  <c r="CL645" i="6"/>
  <c r="CV645" i="6" s="1"/>
  <c r="BX645" i="6"/>
  <c r="CH645" i="6" s="1"/>
  <c r="CB645" i="6"/>
  <c r="AC645" i="6"/>
  <c r="BY664" i="6"/>
  <c r="CI664" i="6" s="1"/>
  <c r="CC664" i="6"/>
  <c r="AD664" i="6"/>
  <c r="CM664" i="6"/>
  <c r="CW664" i="6" s="1"/>
  <c r="CQ664" i="6"/>
  <c r="CL33" i="6"/>
  <c r="CV33" i="6" s="1"/>
  <c r="CP33" i="6"/>
  <c r="CB33" i="6"/>
  <c r="BX33" i="6"/>
  <c r="CH33" i="6" s="1"/>
  <c r="AC33" i="6"/>
  <c r="BZ403" i="6"/>
  <c r="CJ403" i="6" s="1"/>
  <c r="CD403" i="6"/>
  <c r="CN403" i="6"/>
  <c r="CX403" i="6" s="1"/>
  <c r="CR403" i="6"/>
  <c r="AE403" i="6"/>
  <c r="CP584" i="6"/>
  <c r="BX584" i="6"/>
  <c r="CH584" i="6" s="1"/>
  <c r="CB584" i="6"/>
  <c r="BZ590" i="6"/>
  <c r="CD590" i="6"/>
  <c r="CR590" i="6"/>
  <c r="AE590" i="6"/>
  <c r="AC595" i="6"/>
  <c r="CL595" i="6"/>
  <c r="CV595" i="6" s="1"/>
  <c r="CP595" i="6"/>
  <c r="BX595" i="6"/>
  <c r="CH595" i="6" s="1"/>
  <c r="BZ599" i="6"/>
  <c r="CD599" i="6"/>
  <c r="CN599" i="6"/>
  <c r="AE599" i="6"/>
  <c r="CC604" i="6"/>
  <c r="AD604" i="6"/>
  <c r="CM604" i="6"/>
  <c r="CQ604" i="6"/>
  <c r="AD80" i="6"/>
  <c r="AD615" i="6"/>
  <c r="BY615" i="6"/>
  <c r="CM615" i="6"/>
  <c r="CC615" i="6"/>
  <c r="CN425" i="6"/>
  <c r="CX425" i="6" s="1"/>
  <c r="CD425" i="6"/>
  <c r="CR425" i="6"/>
  <c r="AE425" i="6"/>
  <c r="CN593" i="6"/>
  <c r="CX593" i="6" s="1"/>
  <c r="AE593" i="6"/>
  <c r="CR593" i="6"/>
  <c r="BZ593" i="6"/>
  <c r="CJ593" i="6" s="1"/>
  <c r="CD593" i="6"/>
  <c r="CN598" i="6"/>
  <c r="CR598" i="6"/>
  <c r="AE598" i="6"/>
  <c r="BZ598" i="6"/>
  <c r="CD604" i="6"/>
  <c r="CN604" i="6"/>
  <c r="CR604" i="6"/>
  <c r="BZ604" i="6"/>
  <c r="CD608" i="6"/>
  <c r="CN608" i="6"/>
  <c r="CX608" i="6" s="1"/>
  <c r="CR608" i="6"/>
  <c r="BZ608" i="6"/>
  <c r="CJ608" i="6" s="1"/>
  <c r="CM57" i="6"/>
  <c r="CW57" i="6" s="1"/>
  <c r="CQ57" i="6"/>
  <c r="BY57" i="6"/>
  <c r="CI57" i="6" s="1"/>
  <c r="AD57" i="6"/>
  <c r="CM612" i="6"/>
  <c r="CQ612" i="6"/>
  <c r="BY612" i="6"/>
  <c r="AD612" i="6"/>
  <c r="BX614" i="6"/>
  <c r="CH614" i="6" s="1"/>
  <c r="CB614" i="6"/>
  <c r="AC614" i="6"/>
  <c r="CL614" i="6"/>
  <c r="CV614" i="6" s="1"/>
  <c r="CP614" i="6"/>
  <c r="BZ617" i="6"/>
  <c r="CD617" i="6"/>
  <c r="CN617" i="6"/>
  <c r="AE617" i="6"/>
  <c r="CL272" i="6"/>
  <c r="BX272" i="6"/>
  <c r="CP272" i="6"/>
  <c r="AC272" i="6"/>
  <c r="CB272" i="6"/>
  <c r="CP689" i="6"/>
  <c r="CB689" i="6"/>
  <c r="CL689" i="6"/>
  <c r="CV689" i="6" s="1"/>
  <c r="AC689" i="6"/>
  <c r="CL598" i="6"/>
  <c r="CP598" i="6"/>
  <c r="BX598" i="6"/>
  <c r="CB598" i="6"/>
  <c r="AC598" i="6"/>
  <c r="CM603" i="6"/>
  <c r="CQ603" i="6"/>
  <c r="BY603" i="6"/>
  <c r="AD603" i="6"/>
  <c r="AC609" i="6"/>
  <c r="CP609" i="6"/>
  <c r="BX609" i="6"/>
  <c r="CH609" i="6" s="1"/>
  <c r="CB609" i="6"/>
  <c r="AC75" i="6"/>
  <c r="CB75" i="6"/>
  <c r="CL75" i="6"/>
  <c r="CV75" i="6" s="1"/>
  <c r="BX75" i="6"/>
  <c r="CH75" i="6" s="1"/>
  <c r="AC612" i="6"/>
  <c r="CP612" i="6"/>
  <c r="BX612" i="6"/>
  <c r="CB612" i="6"/>
  <c r="CN126" i="6"/>
  <c r="CR126" i="6"/>
  <c r="AE126" i="6"/>
  <c r="BZ126" i="6"/>
  <c r="CD126" i="6"/>
  <c r="CD41" i="6"/>
  <c r="BZ41" i="6"/>
  <c r="CJ41" i="6" s="1"/>
  <c r="CN41" i="6"/>
  <c r="CX41" i="6" s="1"/>
  <c r="AE41" i="6"/>
  <c r="AD207" i="6"/>
  <c r="CM207" i="6"/>
  <c r="CW207" i="6" s="1"/>
  <c r="BY207" i="6"/>
  <c r="CI207" i="6" s="1"/>
  <c r="CB642" i="6"/>
  <c r="CL642" i="6"/>
  <c r="CV642" i="6" s="1"/>
  <c r="CP642" i="6"/>
  <c r="AC642" i="6"/>
  <c r="CN88" i="6"/>
  <c r="CX88" i="6" s="1"/>
  <c r="CR88" i="6"/>
  <c r="AE88" i="6"/>
  <c r="BZ88" i="6"/>
  <c r="CJ88" i="6" s="1"/>
  <c r="CD88" i="6"/>
  <c r="CP665" i="6"/>
  <c r="CB665" i="6"/>
  <c r="CR597" i="6"/>
  <c r="BZ597" i="6"/>
  <c r="CD597" i="6"/>
  <c r="BX702" i="6"/>
  <c r="CH702" i="6" s="1"/>
  <c r="CB702" i="6"/>
  <c r="CL702" i="6"/>
  <c r="CV702" i="6" s="1"/>
  <c r="CP702" i="6"/>
  <c r="CC91" i="6"/>
  <c r="AD91" i="6"/>
  <c r="CM91" i="6"/>
  <c r="CQ91" i="6"/>
  <c r="AD616" i="6"/>
  <c r="CQ616" i="6"/>
  <c r="BY616" i="6"/>
  <c r="CC616" i="6"/>
  <c r="BX118" i="6"/>
  <c r="CB118" i="6"/>
  <c r="CP118" i="6"/>
  <c r="AC118" i="6"/>
  <c r="CL402" i="6"/>
  <c r="CV402" i="6" s="1"/>
  <c r="CP402" i="6"/>
  <c r="CB402" i="6"/>
  <c r="BX402" i="6"/>
  <c r="CH402" i="6" s="1"/>
  <c r="AC402" i="6"/>
  <c r="BZ405" i="6"/>
  <c r="CJ405" i="6" s="1"/>
  <c r="CD405" i="6"/>
  <c r="CN405" i="6"/>
  <c r="CX405" i="6" s="1"/>
  <c r="AE405" i="6"/>
  <c r="CB406" i="6"/>
  <c r="BX406" i="6"/>
  <c r="CH406" i="6" s="1"/>
  <c r="AC406" i="6"/>
  <c r="CL406" i="6"/>
  <c r="CV406" i="6" s="1"/>
  <c r="CP406" i="6"/>
  <c r="BZ398" i="6"/>
  <c r="CJ398" i="6" s="1"/>
  <c r="CD398" i="6"/>
  <c r="CN398" i="6"/>
  <c r="CX398" i="6" s="1"/>
  <c r="CR398" i="6"/>
  <c r="AE398" i="6"/>
  <c r="AE368" i="6"/>
  <c r="BQ368" i="6"/>
  <c r="CD368" i="6"/>
  <c r="CN368" i="6"/>
  <c r="CX368" i="6" s="1"/>
  <c r="CR368" i="6"/>
  <c r="BY373" i="6"/>
  <c r="CC373" i="6"/>
  <c r="CM373" i="6"/>
  <c r="CW373" i="6" s="1"/>
  <c r="AD373" i="6"/>
  <c r="CD96" i="6"/>
  <c r="CR96" i="6"/>
  <c r="CN96" i="6"/>
  <c r="CX96" i="6" s="1"/>
  <c r="AE96" i="6"/>
  <c r="CQ668" i="6"/>
  <c r="CC668" i="6"/>
  <c r="BY668" i="6"/>
  <c r="CI668" i="6" s="1"/>
  <c r="AC671" i="6"/>
  <c r="CP671" i="6"/>
  <c r="BX671" i="6"/>
  <c r="CH671" i="6" s="1"/>
  <c r="CB671" i="6"/>
  <c r="AD589" i="6"/>
  <c r="CM589" i="6"/>
  <c r="BY589" i="6"/>
  <c r="CC589" i="6"/>
  <c r="BY610" i="6"/>
  <c r="CI610" i="6" s="1"/>
  <c r="CC610" i="6"/>
  <c r="AD610" i="6"/>
  <c r="CM610" i="6"/>
  <c r="CW610" i="6" s="1"/>
  <c r="CQ610" i="6"/>
  <c r="AE177" i="6"/>
  <c r="BZ177" i="6"/>
  <c r="CJ177" i="6" s="1"/>
  <c r="CN177" i="6"/>
  <c r="CX177" i="6" s="1"/>
  <c r="CR177" i="6"/>
  <c r="CB571" i="6"/>
  <c r="CL571" i="6"/>
  <c r="CV571" i="6" s="1"/>
  <c r="AC571" i="6"/>
  <c r="BX571" i="6"/>
  <c r="CH571" i="6" s="1"/>
  <c r="CP571" i="6"/>
  <c r="AD572" i="6"/>
  <c r="BY572" i="6"/>
  <c r="CI572" i="6" s="1"/>
  <c r="CM572" i="6"/>
  <c r="CW572" i="6" s="1"/>
  <c r="AC87" i="6"/>
  <c r="BX87" i="6"/>
  <c r="CH87" i="6" s="1"/>
  <c r="CB87" i="6"/>
  <c r="CL87" i="6"/>
  <c r="CV87" i="6" s="1"/>
  <c r="CL156" i="6"/>
  <c r="CV156" i="6" s="1"/>
  <c r="CP156" i="6"/>
  <c r="CB156" i="6"/>
  <c r="AC156" i="6"/>
  <c r="CM368" i="6"/>
  <c r="CW368" i="6" s="1"/>
  <c r="CQ368" i="6"/>
  <c r="CL580" i="6"/>
  <c r="CV580" i="6" s="1"/>
  <c r="CD22" i="6"/>
  <c r="CR22" i="6"/>
  <c r="CN22" i="6"/>
  <c r="CX22" i="6" s="1"/>
  <c r="BZ22" i="6"/>
  <c r="CJ22" i="6" s="1"/>
  <c r="AC664" i="6"/>
  <c r="CP664" i="6"/>
  <c r="BX664" i="6"/>
  <c r="CH664" i="6" s="1"/>
  <c r="CB664" i="6"/>
  <c r="BZ671" i="6"/>
  <c r="CJ671" i="6" s="1"/>
  <c r="CD671" i="6"/>
  <c r="CN671" i="6"/>
  <c r="CX671" i="6" s="1"/>
  <c r="AE158" i="6"/>
  <c r="CD158" i="6"/>
  <c r="CN158" i="6"/>
  <c r="CX158" i="6" s="1"/>
  <c r="CR158" i="6"/>
  <c r="AE278" i="6"/>
  <c r="CN278" i="6"/>
  <c r="CX278" i="6" s="1"/>
  <c r="CR278" i="6"/>
  <c r="CD278" i="6"/>
  <c r="CM653" i="6"/>
  <c r="CW653" i="6" s="1"/>
  <c r="BY653" i="6"/>
  <c r="CI653" i="6" s="1"/>
  <c r="CC653" i="6"/>
  <c r="AD653" i="6"/>
  <c r="CD40" i="6"/>
  <c r="AC391" i="6"/>
  <c r="BX262" i="6"/>
  <c r="CH262" i="6" s="1"/>
  <c r="CQ251" i="6"/>
  <c r="AD405" i="6"/>
  <c r="BY604" i="6"/>
  <c r="CC57" i="6"/>
  <c r="CL118" i="6"/>
  <c r="CC612" i="6"/>
  <c r="CB120" i="6"/>
  <c r="CL120" i="6"/>
  <c r="CV120" i="6" s="1"/>
  <c r="CP120" i="6"/>
  <c r="AC120" i="6"/>
  <c r="BZ123" i="6"/>
  <c r="CJ123" i="6" s="1"/>
  <c r="CD123" i="6"/>
  <c r="CR123" i="6"/>
  <c r="CN123" i="6"/>
  <c r="CX123" i="6" s="1"/>
  <c r="CM194" i="6"/>
  <c r="CQ194" i="6"/>
  <c r="BY194" i="6"/>
  <c r="AD194" i="6"/>
  <c r="CB377" i="6"/>
  <c r="CL377" i="6"/>
  <c r="CV377" i="6" s="1"/>
  <c r="BX377" i="6"/>
  <c r="CH377" i="6" s="1"/>
  <c r="AC377" i="6"/>
  <c r="CQ641" i="6"/>
  <c r="BY641" i="6"/>
  <c r="CI641" i="6" s="1"/>
  <c r="CC641" i="6"/>
  <c r="CP96" i="6"/>
  <c r="CB96" i="6"/>
  <c r="BX96" i="6"/>
  <c r="CH96" i="6" s="1"/>
  <c r="AC96" i="6"/>
  <c r="CN668" i="6"/>
  <c r="CX668" i="6" s="1"/>
  <c r="AE668" i="6"/>
  <c r="BZ668" i="6"/>
  <c r="CJ668" i="6" s="1"/>
  <c r="CD668" i="6"/>
  <c r="CP157" i="6"/>
  <c r="BX157" i="6"/>
  <c r="CH157" i="6" s="1"/>
  <c r="CB157" i="6"/>
  <c r="CN579" i="6"/>
  <c r="CX579" i="6" s="1"/>
  <c r="BZ579" i="6"/>
  <c r="CJ579" i="6" s="1"/>
  <c r="CR579" i="6"/>
  <c r="CD579" i="6"/>
  <c r="AD30" i="6"/>
  <c r="CC30" i="6"/>
  <c r="CM30" i="6"/>
  <c r="CW30" i="6" s="1"/>
  <c r="CQ30" i="6"/>
  <c r="BY642" i="6"/>
  <c r="CI642" i="6" s="1"/>
  <c r="CC642" i="6"/>
  <c r="CP88" i="6"/>
  <c r="BX88" i="6"/>
  <c r="CH88" i="6" s="1"/>
  <c r="CB234" i="6"/>
  <c r="Q239" i="6"/>
  <c r="BL239" i="6" s="1"/>
  <c r="BZ222" i="6"/>
  <c r="CJ222" i="6" s="1"/>
  <c r="CR40" i="6"/>
  <c r="CL339" i="6"/>
  <c r="CV339" i="6" s="1"/>
  <c r="CM251" i="6"/>
  <c r="CW251" i="6" s="1"/>
  <c r="CR668" i="6"/>
  <c r="CD598" i="6"/>
  <c r="BX678" i="6"/>
  <c r="CH678" i="6" s="1"/>
  <c r="CP87" i="6"/>
  <c r="BZ200" i="6"/>
  <c r="CJ200" i="6" s="1"/>
  <c r="AE256" i="6"/>
  <c r="AE604" i="6"/>
  <c r="AC144" i="6"/>
  <c r="AE123" i="6"/>
  <c r="BZ368" i="6"/>
  <c r="CJ368" i="6" s="1"/>
  <c r="AD368" i="6"/>
  <c r="BX665" i="6"/>
  <c r="CH665" i="6" s="1"/>
  <c r="CM131" i="6"/>
  <c r="CW131" i="6" s="1"/>
  <c r="CQ131" i="6"/>
  <c r="AD131" i="6"/>
  <c r="BP131" i="6" s="1"/>
  <c r="BY131" i="6"/>
  <c r="CI131" i="6" s="1"/>
  <c r="AQ10" i="5" s="1"/>
  <c r="CC131" i="6"/>
  <c r="CP339" i="6"/>
  <c r="CR388" i="6"/>
  <c r="CC251" i="6"/>
  <c r="CR599" i="6"/>
  <c r="CC194" i="6"/>
  <c r="BY30" i="6"/>
  <c r="CI30" i="6" s="1"/>
  <c r="BX689" i="6"/>
  <c r="CH689" i="6" s="1"/>
  <c r="BX120" i="6"/>
  <c r="CH120" i="6" s="1"/>
  <c r="AC371" i="6"/>
  <c r="CL664" i="6"/>
  <c r="CV664" i="6" s="1"/>
  <c r="CL612" i="6"/>
  <c r="CC337" i="6"/>
  <c r="AD337" i="6"/>
  <c r="CM337" i="6"/>
  <c r="CQ337" i="6"/>
  <c r="BY337" i="6"/>
  <c r="CD339" i="6"/>
  <c r="AE339" i="6"/>
  <c r="CN339" i="6"/>
  <c r="CX339" i="6" s="1"/>
  <c r="CR339" i="6"/>
  <c r="CD641" i="6"/>
  <c r="CN641" i="6"/>
  <c r="CX641" i="6" s="1"/>
  <c r="CR641" i="6"/>
  <c r="BZ641" i="6"/>
  <c r="CJ641" i="6" s="1"/>
  <c r="CD222" i="6"/>
  <c r="CP580" i="6"/>
  <c r="AD641" i="6"/>
  <c r="CR671" i="6"/>
  <c r="BY91" i="6"/>
  <c r="BZ339" i="6"/>
  <c r="CJ339" i="6" s="1"/>
  <c r="AE579" i="6"/>
  <c r="BZ278" i="6"/>
  <c r="CJ278" i="6" s="1"/>
  <c r="CR407" i="6"/>
  <c r="CN401" i="6"/>
  <c r="CX401" i="6" s="1"/>
  <c r="CN636" i="6"/>
  <c r="CX636" i="6" s="1"/>
  <c r="CR637" i="6"/>
  <c r="CD638" i="6"/>
  <c r="CB88" i="6"/>
  <c r="CP144" i="6"/>
  <c r="CB613" i="6"/>
  <c r="BX109" i="6"/>
  <c r="CH109" i="6" s="1"/>
  <c r="CQ404" i="6"/>
  <c r="AC665" i="6"/>
  <c r="CN597" i="6"/>
  <c r="AC702" i="6"/>
  <c r="AC76" i="6"/>
  <c r="BZ292" i="6"/>
  <c r="CJ292" i="6" s="1"/>
  <c r="BX40" i="6"/>
  <c r="CH40" i="6" s="1"/>
  <c r="AD101" i="6"/>
  <c r="AE163" i="6"/>
  <c r="CL365" i="6"/>
  <c r="CV365" i="6" s="1"/>
  <c r="CR575" i="6"/>
  <c r="CN586" i="6"/>
  <c r="CX586" i="6" s="1"/>
  <c r="BZ585" i="6"/>
  <c r="CJ585" i="6" s="1"/>
  <c r="CQ262" i="6"/>
  <c r="CR366" i="6"/>
  <c r="BX382" i="6"/>
  <c r="CH382" i="6" s="1"/>
  <c r="AC621" i="6"/>
  <c r="AD278" i="6"/>
  <c r="BY114" i="6"/>
  <c r="CI114" i="6" s="1"/>
  <c r="CN567" i="6"/>
  <c r="CX567" i="6" s="1"/>
  <c r="BX191" i="6"/>
  <c r="CH191" i="6" s="1"/>
  <c r="BX575" i="6"/>
  <c r="CH575" i="6" s="1"/>
  <c r="CR635" i="6"/>
  <c r="BZ208" i="6"/>
  <c r="CJ208" i="6" s="1"/>
  <c r="CL292" i="6"/>
  <c r="CV292" i="6" s="1"/>
  <c r="CC655" i="6"/>
  <c r="CL592" i="6"/>
  <c r="CV592" i="6" s="1"/>
  <c r="CP594" i="6"/>
  <c r="AD56" i="6"/>
  <c r="CC106" i="6"/>
  <c r="CL611" i="6"/>
  <c r="CL62" i="6"/>
  <c r="CV62" i="6" s="1"/>
  <c r="CD600" i="6"/>
  <c r="CN373" i="6"/>
  <c r="CQ659" i="6"/>
  <c r="CQ617" i="6"/>
  <c r="CQ403" i="6"/>
  <c r="BZ11" i="6"/>
  <c r="CJ11" i="6" s="1"/>
  <c r="CN194" i="6"/>
  <c r="CB635" i="6"/>
  <c r="CN382" i="6"/>
  <c r="CX382" i="6" s="1"/>
  <c r="AC372" i="6"/>
  <c r="CR279" i="6"/>
  <c r="AC654" i="6"/>
  <c r="AC53" i="6"/>
  <c r="CL278" i="6"/>
  <c r="CV278" i="6" s="1"/>
  <c r="BX641" i="6"/>
  <c r="CH641" i="6" s="1"/>
  <c r="CM184" i="6"/>
  <c r="CW184" i="6" s="1"/>
  <c r="AE379" i="6"/>
  <c r="CB579" i="6"/>
  <c r="CM600" i="6"/>
  <c r="CL80" i="6"/>
  <c r="AD704" i="6"/>
  <c r="AD643" i="6"/>
  <c r="BZ657" i="6"/>
  <c r="CJ657" i="6" s="1"/>
  <c r="CQ163" i="6"/>
  <c r="CL688" i="6"/>
  <c r="CV688" i="6" s="1"/>
  <c r="AD587" i="6"/>
  <c r="AE569" i="6"/>
  <c r="CN215" i="6"/>
  <c r="CX215" i="6" s="1"/>
  <c r="CL158" i="6"/>
  <c r="CV158" i="6" s="1"/>
  <c r="CP158" i="6"/>
  <c r="BX158" i="6"/>
  <c r="CH158" i="6" s="1"/>
  <c r="CB158" i="6"/>
  <c r="AC158" i="6"/>
  <c r="BA158" i="6" s="1"/>
  <c r="BX602" i="6"/>
  <c r="CB602" i="6"/>
  <c r="AC602" i="6"/>
  <c r="BZ383" i="6"/>
  <c r="CJ383" i="6" s="1"/>
  <c r="CR383" i="6"/>
  <c r="CD383" i="6"/>
  <c r="CN383" i="6"/>
  <c r="CX383" i="6" s="1"/>
  <c r="AE383" i="6"/>
  <c r="CP337" i="6"/>
  <c r="CL337" i="6"/>
  <c r="AC337" i="6"/>
  <c r="CL376" i="6"/>
  <c r="CV376" i="6" s="1"/>
  <c r="BX376" i="6"/>
  <c r="CH376" i="6" s="1"/>
  <c r="BZ374" i="6"/>
  <c r="CJ374" i="6" s="1"/>
  <c r="CD374" i="6"/>
  <c r="CC123" i="6"/>
  <c r="CM123" i="6"/>
  <c r="CW123" i="6" s="1"/>
  <c r="CQ123" i="6"/>
  <c r="AD123" i="6"/>
  <c r="AE370" i="6"/>
  <c r="BZ370" i="6"/>
  <c r="CJ370" i="6" s="1"/>
  <c r="CD370" i="6"/>
  <c r="CN370" i="6"/>
  <c r="CX370" i="6" s="1"/>
  <c r="AE688" i="6"/>
  <c r="BZ688" i="6"/>
  <c r="CJ688" i="6" s="1"/>
  <c r="CD688" i="6"/>
  <c r="CB658" i="6"/>
  <c r="AC658" i="6"/>
  <c r="CL658" i="6"/>
  <c r="CV658" i="6" s="1"/>
  <c r="CR576" i="6"/>
  <c r="CD576" i="6"/>
  <c r="CN576" i="6"/>
  <c r="CX576" i="6" s="1"/>
  <c r="BZ576" i="6"/>
  <c r="CJ576" i="6" s="1"/>
  <c r="AE576" i="6"/>
  <c r="CM229" i="6"/>
  <c r="CW229" i="6" s="1"/>
  <c r="CQ229" i="6"/>
  <c r="CC229" i="6"/>
  <c r="BY229" i="6"/>
  <c r="CI229" i="6" s="1"/>
  <c r="CN62" i="6"/>
  <c r="CX62" i="6" s="1"/>
  <c r="AE62" i="6"/>
  <c r="CD62" i="6"/>
  <c r="AE92" i="6"/>
  <c r="BZ92" i="6"/>
  <c r="CD92" i="6"/>
  <c r="AE113" i="6"/>
  <c r="BZ113" i="6"/>
  <c r="CD113" i="6"/>
  <c r="BY369" i="6"/>
  <c r="CI369" i="6" s="1"/>
  <c r="CC369" i="6"/>
  <c r="CM369" i="6"/>
  <c r="CW369" i="6" s="1"/>
  <c r="CQ369" i="6"/>
  <c r="CQ279" i="6"/>
  <c r="CC279" i="6"/>
  <c r="BY279" i="6"/>
  <c r="CI279" i="6" s="1"/>
  <c r="AD279" i="6"/>
  <c r="AD606" i="6"/>
  <c r="CM606" i="6"/>
  <c r="CW606" i="6" s="1"/>
  <c r="CQ606" i="6"/>
  <c r="BY606" i="6"/>
  <c r="CI606" i="6" s="1"/>
  <c r="CQ139" i="6"/>
  <c r="CQ31" i="6"/>
  <c r="CP76" i="6"/>
  <c r="CR11" i="6"/>
  <c r="AE194" i="6"/>
  <c r="CP636" i="6"/>
  <c r="BP82" i="6"/>
  <c r="BZ690" i="6"/>
  <c r="CJ690" i="6" s="1"/>
  <c r="CN191" i="6"/>
  <c r="CX191" i="6" s="1"/>
  <c r="BX119" i="6"/>
  <c r="CH119" i="6" s="1"/>
  <c r="BX579" i="6"/>
  <c r="CH579" i="6" s="1"/>
  <c r="CQ162" i="6"/>
  <c r="CL641" i="6"/>
  <c r="CV641" i="6" s="1"/>
  <c r="CL22" i="6"/>
  <c r="CV22" i="6" s="1"/>
  <c r="CC663" i="6"/>
  <c r="BZ53" i="6"/>
  <c r="CJ53" i="6" s="1"/>
  <c r="CR163" i="6"/>
  <c r="CN594" i="6"/>
  <c r="CX594" i="6" s="1"/>
  <c r="CQ600" i="6"/>
  <c r="CL604" i="6"/>
  <c r="CC215" i="6"/>
  <c r="CP611" i="6"/>
  <c r="CM704" i="6"/>
  <c r="CW704" i="6" s="1"/>
  <c r="AC278" i="6"/>
  <c r="CN180" i="6"/>
  <c r="CX180" i="6" s="1"/>
  <c r="AC59" i="6"/>
  <c r="CP80" i="6"/>
  <c r="CN92" i="6"/>
  <c r="BX658" i="6"/>
  <c r="CH658" i="6" s="1"/>
  <c r="CN667" i="6"/>
  <c r="CX667" i="6" s="1"/>
  <c r="CC606" i="6"/>
  <c r="CL232" i="6"/>
  <c r="CV232" i="6" s="1"/>
  <c r="CP232" i="6"/>
  <c r="CQ11" i="6"/>
  <c r="CC11" i="6"/>
  <c r="BY11" i="6"/>
  <c r="CI11" i="6" s="1"/>
  <c r="AD11" i="6"/>
  <c r="CN708" i="6"/>
  <c r="CX708" i="6" s="1"/>
  <c r="CR708" i="6"/>
  <c r="CD708" i="6"/>
  <c r="BZ708" i="6"/>
  <c r="CJ708" i="6" s="1"/>
  <c r="CL644" i="6"/>
  <c r="CV644" i="6" s="1"/>
  <c r="CP644" i="6"/>
  <c r="BX644" i="6"/>
  <c r="CH644" i="6" s="1"/>
  <c r="AD137" i="6"/>
  <c r="BY137" i="6"/>
  <c r="CI137" i="6" s="1"/>
  <c r="CC137" i="6"/>
  <c r="BX672" i="6"/>
  <c r="CH672" i="6" s="1"/>
  <c r="CB672" i="6"/>
  <c r="AC672" i="6"/>
  <c r="CM658" i="6"/>
  <c r="CW658" i="6" s="1"/>
  <c r="CQ658" i="6"/>
  <c r="BY658" i="6"/>
  <c r="CI658" i="6" s="1"/>
  <c r="CC658" i="6"/>
  <c r="BY594" i="6"/>
  <c r="CI594" i="6" s="1"/>
  <c r="CC594" i="6"/>
  <c r="AD594" i="6"/>
  <c r="BX705" i="6"/>
  <c r="CH705" i="6" s="1"/>
  <c r="CB705" i="6"/>
  <c r="AC705" i="6"/>
  <c r="BZ57" i="6"/>
  <c r="CJ57" i="6" s="1"/>
  <c r="CD57" i="6"/>
  <c r="CN57" i="6"/>
  <c r="CX57" i="6" s="1"/>
  <c r="CR57" i="6"/>
  <c r="AE57" i="6"/>
  <c r="AC666" i="6"/>
  <c r="CL666" i="6"/>
  <c r="CV666" i="6" s="1"/>
  <c r="CP666" i="6"/>
  <c r="BX660" i="6"/>
  <c r="CH660" i="6" s="1"/>
  <c r="CB660" i="6"/>
  <c r="AC660" i="6"/>
  <c r="CM139" i="6"/>
  <c r="CW139" i="6" s="1"/>
  <c r="CM31" i="6"/>
  <c r="CB76" i="6"/>
  <c r="CN11" i="6"/>
  <c r="CX11" i="6" s="1"/>
  <c r="AC635" i="6"/>
  <c r="BX636" i="6"/>
  <c r="CH636" i="6" s="1"/>
  <c r="AD82" i="6"/>
  <c r="CN690" i="6"/>
  <c r="CX690" i="6" s="1"/>
  <c r="CD191" i="6"/>
  <c r="CM162" i="6"/>
  <c r="CW162" i="6" s="1"/>
  <c r="BX654" i="6"/>
  <c r="CH654" i="6" s="1"/>
  <c r="BY663" i="6"/>
  <c r="CI663" i="6" s="1"/>
  <c r="CD163" i="6"/>
  <c r="AC688" i="6"/>
  <c r="CD594" i="6"/>
  <c r="CQ215" i="6"/>
  <c r="AC62" i="6"/>
  <c r="CP40" i="6"/>
  <c r="CN374" i="6"/>
  <c r="CX374" i="6" s="1"/>
  <c r="CQ137" i="6"/>
  <c r="AD229" i="6"/>
  <c r="CC367" i="6"/>
  <c r="CB172" i="6"/>
  <c r="CD575" i="6"/>
  <c r="CP658" i="6"/>
  <c r="BY31" i="6"/>
  <c r="CI31" i="6" s="1"/>
  <c r="AC576" i="6"/>
  <c r="BX576" i="6"/>
  <c r="CH576" i="6" s="1"/>
  <c r="CP576" i="6"/>
  <c r="CB576" i="6"/>
  <c r="BY364" i="6"/>
  <c r="CI364" i="6" s="1"/>
  <c r="CC364" i="6"/>
  <c r="CM364" i="6"/>
  <c r="CW364" i="6" s="1"/>
  <c r="BZ95" i="6"/>
  <c r="CJ95" i="6" s="1"/>
  <c r="AE95" i="6"/>
  <c r="CL372" i="6"/>
  <c r="CV372" i="6" s="1"/>
  <c r="CP372" i="6"/>
  <c r="BX372" i="6"/>
  <c r="CH372" i="6" s="1"/>
  <c r="CB372" i="6"/>
  <c r="CR406" i="6"/>
  <c r="AE406" i="6"/>
  <c r="CD162" i="6"/>
  <c r="CN162" i="6"/>
  <c r="CX162" i="6" s="1"/>
  <c r="CR162" i="6"/>
  <c r="AE162" i="6"/>
  <c r="AD669" i="6"/>
  <c r="CM669" i="6"/>
  <c r="CW669" i="6" s="1"/>
  <c r="CQ669" i="6"/>
  <c r="BY669" i="6"/>
  <c r="CI669" i="6" s="1"/>
  <c r="BZ103" i="6"/>
  <c r="CJ103" i="6" s="1"/>
  <c r="CD103" i="6"/>
  <c r="CN103" i="6"/>
  <c r="CX103" i="6" s="1"/>
  <c r="CR103" i="6"/>
  <c r="CL113" i="6"/>
  <c r="CP113" i="6"/>
  <c r="BX113" i="6"/>
  <c r="CB113" i="6"/>
  <c r="CN64" i="6"/>
  <c r="CX64" i="6" s="1"/>
  <c r="CR64" i="6"/>
  <c r="CD64" i="6"/>
  <c r="CR172" i="6"/>
  <c r="CN172" i="6"/>
  <c r="CX172" i="6" s="1"/>
  <c r="BZ172" i="6"/>
  <c r="CJ172" i="6" s="1"/>
  <c r="BQ172" i="6"/>
  <c r="AE172" i="6"/>
  <c r="CM587" i="6"/>
  <c r="CW587" i="6" s="1"/>
  <c r="CQ587" i="6"/>
  <c r="CC587" i="6"/>
  <c r="AE102" i="6"/>
  <c r="BX76" i="6"/>
  <c r="CH76" i="6" s="1"/>
  <c r="BZ194" i="6"/>
  <c r="AE382" i="6"/>
  <c r="CP635" i="6"/>
  <c r="CL636" i="6"/>
  <c r="CV636" i="6" s="1"/>
  <c r="CQ82" i="6"/>
  <c r="CD690" i="6"/>
  <c r="AD578" i="6"/>
  <c r="CB654" i="6"/>
  <c r="CQ663" i="6"/>
  <c r="BZ163" i="6"/>
  <c r="CJ163" i="6" s="1"/>
  <c r="AD184" i="6"/>
  <c r="CB585" i="6"/>
  <c r="BZ594" i="6"/>
  <c r="CJ594" i="6" s="1"/>
  <c r="CM215" i="6"/>
  <c r="CW215" i="6" s="1"/>
  <c r="CR705" i="6"/>
  <c r="AC126" i="6"/>
  <c r="CL40" i="6"/>
  <c r="CV40" i="6" s="1"/>
  <c r="AE374" i="6"/>
  <c r="CM137" i="6"/>
  <c r="CW137" i="6" s="1"/>
  <c r="CC669" i="6"/>
  <c r="AE103" i="6"/>
  <c r="BQ103" i="6" s="1"/>
  <c r="CR370" i="6"/>
  <c r="AC644" i="6"/>
  <c r="CR586" i="6"/>
  <c r="BY262" i="6"/>
  <c r="CI262" i="6" s="1"/>
  <c r="CP660" i="6"/>
  <c r="CM279" i="6"/>
  <c r="CW279" i="6" s="1"/>
  <c r="CR688" i="6"/>
  <c r="BY587" i="6"/>
  <c r="CI587" i="6" s="1"/>
  <c r="AE64" i="6"/>
  <c r="CP404" i="6"/>
  <c r="BX404" i="6"/>
  <c r="CH404" i="6" s="1"/>
  <c r="CB404" i="6"/>
  <c r="AC404" i="6"/>
  <c r="CB101" i="6"/>
  <c r="CL101" i="6"/>
  <c r="CV101" i="6" s="1"/>
  <c r="BX101" i="6"/>
  <c r="CH101" i="6" s="1"/>
  <c r="CP101" i="6"/>
  <c r="BY101" i="6"/>
  <c r="CI101" i="6" s="1"/>
  <c r="CC101" i="6"/>
  <c r="CM101" i="6"/>
  <c r="CW101" i="6" s="1"/>
  <c r="CQ101" i="6"/>
  <c r="CN371" i="6"/>
  <c r="CX371" i="6" s="1"/>
  <c r="AE371" i="6"/>
  <c r="BZ371" i="6"/>
  <c r="CJ371" i="6" s="1"/>
  <c r="CD260" i="6"/>
  <c r="CN260" i="6"/>
  <c r="CX260" i="6" s="1"/>
  <c r="AE260" i="6"/>
  <c r="CM206" i="6"/>
  <c r="CW206" i="6" s="1"/>
  <c r="CQ206" i="6"/>
  <c r="AD206" i="6"/>
  <c r="CM96" i="6"/>
  <c r="CW96" i="6" s="1"/>
  <c r="CQ96" i="6"/>
  <c r="CC96" i="6"/>
  <c r="BY96" i="6"/>
  <c r="CI96" i="6" s="1"/>
  <c r="BX278" i="6"/>
  <c r="CH278" i="6" s="1"/>
  <c r="CP278" i="6"/>
  <c r="CB278" i="6"/>
  <c r="CB663" i="6"/>
  <c r="AC663" i="6"/>
  <c r="CL663" i="6"/>
  <c r="CV663" i="6" s="1"/>
  <c r="AC605" i="6"/>
  <c r="CL605" i="6"/>
  <c r="CP605" i="6"/>
  <c r="BX605" i="6"/>
  <c r="CB605" i="6"/>
  <c r="CQ423" i="6"/>
  <c r="CC423" i="6"/>
  <c r="BY423" i="6"/>
  <c r="AD423" i="6"/>
  <c r="BY386" i="6"/>
  <c r="CI386" i="6" s="1"/>
  <c r="CC386" i="6"/>
  <c r="CQ386" i="6"/>
  <c r="CM386" i="6"/>
  <c r="CW386" i="6" s="1"/>
  <c r="BZ569" i="6"/>
  <c r="CJ569" i="6" s="1"/>
  <c r="CD569" i="6"/>
  <c r="CR569" i="6"/>
  <c r="CN569" i="6"/>
  <c r="CX569" i="6" s="1"/>
  <c r="CD102" i="6"/>
  <c r="CD194" i="6"/>
  <c r="CR292" i="6"/>
  <c r="BX635" i="6"/>
  <c r="CH635" i="6" s="1"/>
  <c r="CP364" i="6"/>
  <c r="CB636" i="6"/>
  <c r="CM82" i="6"/>
  <c r="CR690" i="6"/>
  <c r="AC641" i="6"/>
  <c r="CP654" i="6"/>
  <c r="CM663" i="6"/>
  <c r="CW663" i="6" s="1"/>
  <c r="AE53" i="6"/>
  <c r="BY184" i="6"/>
  <c r="CI184" i="6" s="1"/>
  <c r="CB688" i="6"/>
  <c r="BX585" i="6"/>
  <c r="CH585" i="6" s="1"/>
  <c r="AC600" i="6"/>
  <c r="BY215" i="6"/>
  <c r="CI215" i="6" s="1"/>
  <c r="CN705" i="6"/>
  <c r="CX705" i="6" s="1"/>
  <c r="CB40" i="6"/>
  <c r="CR374" i="6"/>
  <c r="BY123" i="6"/>
  <c r="CI123" i="6" s="1"/>
  <c r="CP705" i="6"/>
  <c r="AD364" i="6"/>
  <c r="BZ162" i="6"/>
  <c r="CJ162" i="6" s="1"/>
  <c r="CB644" i="6"/>
  <c r="CL660" i="6"/>
  <c r="CV660" i="6" s="1"/>
  <c r="CN688" i="6"/>
  <c r="CX688" i="6" s="1"/>
  <c r="BZ64" i="6"/>
  <c r="CJ64" i="6" s="1"/>
  <c r="CN48" i="6"/>
  <c r="CR48" i="6"/>
  <c r="BZ48" i="6"/>
  <c r="CD48" i="6"/>
  <c r="AE48" i="6"/>
  <c r="CN31" i="6"/>
  <c r="CR31" i="6"/>
  <c r="CD31" i="6"/>
  <c r="BZ31" i="6"/>
  <c r="CM708" i="6"/>
  <c r="CW708" i="6" s="1"/>
  <c r="CQ708" i="6"/>
  <c r="CD137" i="6"/>
  <c r="CN137" i="6"/>
  <c r="CX137" i="6" s="1"/>
  <c r="BZ661" i="6"/>
  <c r="CJ661" i="6" s="1"/>
  <c r="CD661" i="6"/>
  <c r="CN661" i="6"/>
  <c r="CX661" i="6" s="1"/>
  <c r="CR661" i="6"/>
  <c r="BZ180" i="6"/>
  <c r="CJ180" i="6" s="1"/>
  <c r="CD180" i="6"/>
  <c r="CR180" i="6"/>
  <c r="BY665" i="6"/>
  <c r="CI665" i="6" s="1"/>
  <c r="CC665" i="6"/>
  <c r="BZ379" i="6"/>
  <c r="CJ379" i="6" s="1"/>
  <c r="CR379" i="6"/>
  <c r="CD379" i="6"/>
  <c r="CN379" i="6"/>
  <c r="CX379" i="6" s="1"/>
  <c r="CL126" i="6"/>
  <c r="CP126" i="6"/>
  <c r="BZ615" i="6"/>
  <c r="CD615" i="6"/>
  <c r="CN615" i="6"/>
  <c r="CR615" i="6"/>
  <c r="AE615" i="6"/>
  <c r="BX80" i="6"/>
  <c r="CB80" i="6"/>
  <c r="AC80" i="6"/>
  <c r="CC262" i="6"/>
  <c r="AD262" i="6"/>
  <c r="BP262" i="6"/>
  <c r="CM262" i="6"/>
  <c r="CW262" i="6" s="1"/>
  <c r="AC381" i="6"/>
  <c r="CP381" i="6"/>
  <c r="CB381" i="6"/>
  <c r="CL381" i="6"/>
  <c r="CV381" i="6" s="1"/>
  <c r="AD139" i="6"/>
  <c r="BZ102" i="6"/>
  <c r="CJ102" i="6" s="1"/>
  <c r="CR194" i="6"/>
  <c r="CN292" i="6"/>
  <c r="CX292" i="6" s="1"/>
  <c r="CR382" i="6"/>
  <c r="CL635" i="6"/>
  <c r="CV635" i="6" s="1"/>
  <c r="CL364" i="6"/>
  <c r="CV364" i="6" s="1"/>
  <c r="AU10" i="5" s="1"/>
  <c r="CC82" i="6"/>
  <c r="AE191" i="6"/>
  <c r="CQ578" i="6"/>
  <c r="AC119" i="6"/>
  <c r="AC579" i="6"/>
  <c r="CL654" i="6"/>
  <c r="CV654" i="6" s="1"/>
  <c r="AC22" i="6"/>
  <c r="CC184" i="6"/>
  <c r="BX688" i="6"/>
  <c r="CH688" i="6" s="1"/>
  <c r="CP585" i="6"/>
  <c r="CB600" i="6"/>
  <c r="AC604" i="6"/>
  <c r="AC611" i="6"/>
  <c r="CD705" i="6"/>
  <c r="BX126" i="6"/>
  <c r="AC376" i="6"/>
  <c r="BQ371" i="6"/>
  <c r="CB666" i="6"/>
  <c r="CL705" i="6"/>
  <c r="CV705" i="6" s="1"/>
  <c r="CQ364" i="6"/>
  <c r="CD172" i="6"/>
  <c r="BZ62" i="6"/>
  <c r="CJ62" i="6" s="1"/>
  <c r="CB337" i="6"/>
  <c r="AC29" i="6"/>
  <c r="CB29" i="6"/>
  <c r="CL29" i="6"/>
  <c r="CV29" i="6" s="1"/>
  <c r="CM367" i="6"/>
  <c r="CW367" i="6" s="1"/>
  <c r="CQ367" i="6"/>
  <c r="AD367" i="6"/>
  <c r="CC118" i="6"/>
  <c r="CM118" i="6"/>
  <c r="CQ118" i="6"/>
  <c r="BA365" i="6"/>
  <c r="AC365" i="6"/>
  <c r="BX365" i="6"/>
  <c r="CH365" i="6" s="1"/>
  <c r="CB365" i="6"/>
  <c r="CR667" i="6"/>
  <c r="AE667" i="6"/>
  <c r="BZ667" i="6"/>
  <c r="CJ667" i="6" s="1"/>
  <c r="AE575" i="6"/>
  <c r="CN575" i="6"/>
  <c r="CX575" i="6" s="1"/>
  <c r="BZ575" i="6"/>
  <c r="CJ575" i="6" s="1"/>
  <c r="CL591" i="6"/>
  <c r="CV591" i="6" s="1"/>
  <c r="CP591" i="6"/>
  <c r="BX591" i="6"/>
  <c r="CH591" i="6" s="1"/>
  <c r="CB591" i="6"/>
  <c r="AC591" i="6"/>
  <c r="CB424" i="6"/>
  <c r="CL424" i="6"/>
  <c r="BX424" i="6"/>
  <c r="AC424" i="6"/>
  <c r="BZ606" i="6"/>
  <c r="CJ606" i="6" s="1"/>
  <c r="CD606" i="6"/>
  <c r="CN606" i="6"/>
  <c r="CX606" i="6" s="1"/>
  <c r="CR606" i="6"/>
  <c r="AE606" i="6"/>
  <c r="CD585" i="6"/>
  <c r="CN585" i="6"/>
  <c r="CX585" i="6" s="1"/>
  <c r="CR585" i="6"/>
  <c r="AE585" i="6"/>
  <c r="CM591" i="6"/>
  <c r="CW591" i="6" s="1"/>
  <c r="CQ591" i="6"/>
  <c r="CC591" i="6"/>
  <c r="BY591" i="6"/>
  <c r="CI591" i="6" s="1"/>
  <c r="AD31" i="6"/>
  <c r="CR102" i="6"/>
  <c r="AE11" i="6"/>
  <c r="CD292" i="6"/>
  <c r="BZ382" i="6"/>
  <c r="CJ382" i="6" s="1"/>
  <c r="CB364" i="6"/>
  <c r="CM578" i="6"/>
  <c r="CW578" i="6" s="1"/>
  <c r="CP119" i="6"/>
  <c r="CL579" i="6"/>
  <c r="CV579" i="6" s="1"/>
  <c r="AD162" i="6"/>
  <c r="CB641" i="6"/>
  <c r="BX22" i="6"/>
  <c r="CH22" i="6" s="1"/>
  <c r="CR53" i="6"/>
  <c r="CQ184" i="6"/>
  <c r="CP688" i="6"/>
  <c r="CL585" i="6"/>
  <c r="CV585" i="6" s="1"/>
  <c r="AE594" i="6"/>
  <c r="BX600" i="6"/>
  <c r="CB604" i="6"/>
  <c r="BZ705" i="6"/>
  <c r="CJ705" i="6" s="1"/>
  <c r="AD708" i="6"/>
  <c r="CB376" i="6"/>
  <c r="CD95" i="6"/>
  <c r="CN406" i="6"/>
  <c r="CX406" i="6" s="1"/>
  <c r="CR371" i="6"/>
  <c r="AD118" i="6"/>
  <c r="CC206" i="6"/>
  <c r="BX666" i="6"/>
  <c r="CH666" i="6" s="1"/>
  <c r="CM11" i="6"/>
  <c r="CW11" i="6" s="1"/>
  <c r="CP365" i="6"/>
  <c r="AD658" i="6"/>
  <c r="BX663" i="6"/>
  <c r="CH663" i="6" s="1"/>
  <c r="AC113" i="6"/>
  <c r="CR62" i="6"/>
  <c r="BX337" i="6"/>
  <c r="CR260" i="6"/>
  <c r="CP672" i="6"/>
  <c r="CP602" i="6"/>
  <c r="CR113" i="6"/>
  <c r="BY145" i="6"/>
  <c r="CI145" i="6" s="1"/>
  <c r="CM145" i="6"/>
  <c r="CW145" i="6" s="1"/>
  <c r="CQ145" i="6"/>
  <c r="AD145" i="6"/>
  <c r="CL177" i="6"/>
  <c r="CV177" i="6" s="1"/>
  <c r="CP177" i="6"/>
  <c r="BX177" i="6"/>
  <c r="CH177" i="6" s="1"/>
  <c r="CB177" i="6"/>
  <c r="AC177" i="6"/>
  <c r="BZ202" i="6"/>
  <c r="CJ202" i="6" s="1"/>
  <c r="CD202" i="6"/>
  <c r="CN202" i="6"/>
  <c r="CX202" i="6" s="1"/>
  <c r="CR202" i="6"/>
  <c r="AE202" i="6"/>
  <c r="AC40" i="6"/>
  <c r="CM106" i="6"/>
  <c r="CW106" i="6" s="1"/>
  <c r="CQ106" i="6"/>
  <c r="AD106" i="6"/>
  <c r="CP172" i="6"/>
  <c r="CL172" i="6"/>
  <c r="CV172" i="6" s="1"/>
  <c r="AC172" i="6"/>
  <c r="AC639" i="6"/>
  <c r="BA639" i="6"/>
  <c r="CL639" i="6"/>
  <c r="CV639" i="6" s="1"/>
  <c r="CP639" i="6"/>
  <c r="BX639" i="6"/>
  <c r="CH639" i="6" s="1"/>
  <c r="CB639" i="6"/>
  <c r="CL655" i="6"/>
  <c r="CV655" i="6" s="1"/>
  <c r="CP655" i="6"/>
  <c r="BX655" i="6"/>
  <c r="CH655" i="6" s="1"/>
  <c r="CB655" i="6"/>
  <c r="AC655" i="6"/>
  <c r="BX62" i="6"/>
  <c r="CH62" i="6" s="1"/>
  <c r="CB62" i="6"/>
  <c r="CP62" i="6"/>
  <c r="CP589" i="6"/>
  <c r="BX589" i="6"/>
  <c r="AC589" i="6"/>
  <c r="CL59" i="6"/>
  <c r="CV59" i="6" s="1"/>
  <c r="CP59" i="6"/>
  <c r="BX59" i="6"/>
  <c r="CH59" i="6" s="1"/>
  <c r="CB59" i="6"/>
  <c r="AE586" i="6"/>
  <c r="BZ586" i="6"/>
  <c r="CJ586" i="6" s="1"/>
  <c r="CD586" i="6"/>
  <c r="CQ704" i="6"/>
  <c r="AD657" i="6"/>
  <c r="CM657" i="6"/>
  <c r="CW657" i="6" s="1"/>
  <c r="CQ657" i="6"/>
  <c r="BY657" i="6"/>
  <c r="CI657" i="6" s="1"/>
  <c r="CC657" i="6"/>
  <c r="CL256" i="6"/>
  <c r="CV256" i="6" s="1"/>
  <c r="CP256" i="6"/>
  <c r="CB256" i="6"/>
  <c r="BX256" i="6"/>
  <c r="CH256" i="6" s="1"/>
  <c r="AC256" i="6"/>
  <c r="BZ596" i="6"/>
  <c r="CJ596" i="6" s="1"/>
  <c r="CD596" i="6"/>
  <c r="CN596" i="6"/>
  <c r="CX596" i="6" s="1"/>
  <c r="CR596" i="6"/>
  <c r="CL600" i="6"/>
  <c r="BX604" i="6"/>
  <c r="CB611" i="6"/>
  <c r="CC704" i="6"/>
  <c r="BY708" i="6"/>
  <c r="CI708" i="6" s="1"/>
  <c r="CP376" i="6"/>
  <c r="CR95" i="6"/>
  <c r="AD369" i="6"/>
  <c r="CD406" i="6"/>
  <c r="AD386" i="6"/>
  <c r="CD371" i="6"/>
  <c r="BY118" i="6"/>
  <c r="BY206" i="6"/>
  <c r="CI206" i="6" s="1"/>
  <c r="CP29" i="6"/>
  <c r="AE661" i="6"/>
  <c r="CP663" i="6"/>
  <c r="CL589" i="6"/>
  <c r="CM423" i="6"/>
  <c r="AE31" i="6"/>
  <c r="AC101" i="6"/>
  <c r="BO101" i="6" s="1"/>
  <c r="BY106" i="6"/>
  <c r="CI106" i="6" s="1"/>
  <c r="BZ260" i="6"/>
  <c r="CJ260" i="6" s="1"/>
  <c r="CL672" i="6"/>
  <c r="CV672" i="6" s="1"/>
  <c r="CQ594" i="6"/>
  <c r="AE596" i="6"/>
  <c r="CL602" i="6"/>
  <c r="CN113" i="6"/>
  <c r="AC56" i="6"/>
  <c r="AD403" i="6"/>
  <c r="CD261" i="6"/>
  <c r="CP53" i="6"/>
  <c r="AD163" i="6"/>
  <c r="CN707" i="6"/>
  <c r="CX707" i="6" s="1"/>
  <c r="BX146" i="6"/>
  <c r="CH146" i="6" s="1"/>
  <c r="CC600" i="6"/>
  <c r="CQ605" i="6"/>
  <c r="BX215" i="6"/>
  <c r="CH215" i="6" s="1"/>
  <c r="CD660" i="6"/>
  <c r="CQ613" i="6"/>
  <c r="AC222" i="6"/>
  <c r="CL621" i="6"/>
  <c r="CV621" i="6" s="1"/>
  <c r="AD114" i="6"/>
  <c r="AD672" i="6"/>
  <c r="CC195" i="6"/>
  <c r="CB56" i="6"/>
  <c r="AC251" i="6"/>
  <c r="CM688" i="6"/>
  <c r="CW688" i="6" s="1"/>
  <c r="CC278" i="6"/>
  <c r="CB191" i="6"/>
  <c r="CR215" i="6"/>
  <c r="CC56" i="6"/>
  <c r="CM339" i="6"/>
  <c r="CW339" i="6" s="1"/>
  <c r="CR114" i="6"/>
  <c r="BY270" i="6"/>
  <c r="CI270" i="6" s="1"/>
  <c r="CM634" i="6"/>
  <c r="CW634" i="6" s="1"/>
  <c r="CD183" i="6"/>
  <c r="CM665" i="6"/>
  <c r="CW665" i="6" s="1"/>
  <c r="AD671" i="6"/>
  <c r="AE181" i="6"/>
  <c r="CR663" i="6"/>
  <c r="CD666" i="6"/>
  <c r="BZ393" i="6"/>
  <c r="CI174" i="6"/>
  <c r="CB232" i="6"/>
  <c r="CQ76" i="6"/>
  <c r="CM643" i="6"/>
  <c r="CW643" i="6" s="1"/>
  <c r="CD657" i="6"/>
  <c r="AE215" i="6"/>
  <c r="BZ109" i="6"/>
  <c r="CJ109" i="6" s="1"/>
  <c r="BX153" i="6"/>
  <c r="CH153" i="6" s="1"/>
  <c r="CN301" i="6"/>
  <c r="CX301" i="6" s="1"/>
  <c r="CR573" i="6"/>
  <c r="CN231" i="6"/>
  <c r="CX231" i="6" s="1"/>
  <c r="CQ177" i="6"/>
  <c r="CQ667" i="6"/>
  <c r="CR157" i="6"/>
  <c r="CR423" i="6"/>
  <c r="CL207" i="6"/>
  <c r="CV207" i="6" s="1"/>
  <c r="CD644" i="6"/>
  <c r="CD184" i="6"/>
  <c r="CM121" i="6"/>
  <c r="CW121" i="6" s="1"/>
  <c r="BZ587" i="6"/>
  <c r="CJ587" i="6" s="1"/>
  <c r="BX593" i="6"/>
  <c r="CH593" i="6" s="1"/>
  <c r="BZ59" i="6"/>
  <c r="CJ59" i="6" s="1"/>
  <c r="AD689" i="6"/>
  <c r="BA570" i="6"/>
  <c r="CR76" i="6"/>
  <c r="CP706" i="6"/>
  <c r="BZ134" i="6"/>
  <c r="CJ134" i="6" s="1"/>
  <c r="CB563" i="6"/>
  <c r="BZ636" i="6"/>
  <c r="CJ636" i="6" s="1"/>
  <c r="AE299" i="6"/>
  <c r="AE301" i="6"/>
  <c r="AD355" i="6"/>
  <c r="CL30" i="6"/>
  <c r="CV30" i="6" s="1"/>
  <c r="AD158" i="6"/>
  <c r="CC634" i="6"/>
  <c r="BZ638" i="6"/>
  <c r="CJ638" i="6" s="1"/>
  <c r="CQ642" i="6"/>
  <c r="CL88" i="6"/>
  <c r="CV88" i="6" s="1"/>
  <c r="AD665" i="6"/>
  <c r="CN669" i="6"/>
  <c r="CX669" i="6" s="1"/>
  <c r="CP668" i="6"/>
  <c r="BY671" i="6"/>
  <c r="CI671" i="6" s="1"/>
  <c r="CC209" i="6"/>
  <c r="BZ56" i="6"/>
  <c r="CJ56" i="6" s="1"/>
  <c r="CB353" i="6"/>
  <c r="AC198" i="6"/>
  <c r="AD155" i="6"/>
  <c r="AC241" i="6"/>
  <c r="AD574" i="6"/>
  <c r="CD401" i="6"/>
  <c r="AC300" i="6"/>
  <c r="AE58" i="6"/>
  <c r="AC408" i="6"/>
  <c r="CL144" i="6"/>
  <c r="CV144" i="6" s="1"/>
  <c r="CR670" i="6"/>
  <c r="CN157" i="6"/>
  <c r="CX157" i="6" s="1"/>
  <c r="BZ184" i="6"/>
  <c r="CJ184" i="6" s="1"/>
  <c r="CM599" i="6"/>
  <c r="CD605" i="6"/>
  <c r="BX613" i="6"/>
  <c r="CH613" i="6" s="1"/>
  <c r="BZ423" i="6"/>
  <c r="BY102" i="6"/>
  <c r="CI102" i="6" s="1"/>
  <c r="BY56" i="6"/>
  <c r="CI56" i="6" s="1"/>
  <c r="AC153" i="6"/>
  <c r="CN114" i="6"/>
  <c r="CX114" i="6" s="1"/>
  <c r="AC313" i="6"/>
  <c r="CD231" i="6"/>
  <c r="BZ573" i="6"/>
  <c r="CJ573" i="6" s="1"/>
  <c r="AE198" i="6"/>
  <c r="BY374" i="6"/>
  <c r="CI374" i="6" s="1"/>
  <c r="CB413" i="6"/>
  <c r="AD408" i="6"/>
  <c r="CQ580" i="6"/>
  <c r="CR181" i="6"/>
  <c r="CC654" i="6"/>
  <c r="CM617" i="6"/>
  <c r="CR56" i="6"/>
  <c r="AD339" i="6"/>
  <c r="BX353" i="6"/>
  <c r="CH353" i="6" s="1"/>
  <c r="BO198" i="6"/>
  <c r="CQ155" i="6"/>
  <c r="CM574" i="6"/>
  <c r="CW574" i="6" s="1"/>
  <c r="AD270" i="6"/>
  <c r="BZ401" i="6"/>
  <c r="CJ401" i="6" s="1"/>
  <c r="CC102" i="6"/>
  <c r="CQ56" i="6"/>
  <c r="CQ199" i="6"/>
  <c r="CD114" i="6"/>
  <c r="CP313" i="6"/>
  <c r="CR231" i="6"/>
  <c r="CN573" i="6"/>
  <c r="CX573" i="6" s="1"/>
  <c r="BX375" i="6"/>
  <c r="CH375" i="6" s="1"/>
  <c r="CC35" i="6"/>
  <c r="BX413" i="6"/>
  <c r="CH413" i="6" s="1"/>
  <c r="CC408" i="6"/>
  <c r="CQ110" i="6"/>
  <c r="CM580" i="6"/>
  <c r="CW580" i="6" s="1"/>
  <c r="BX694" i="6"/>
  <c r="CH694" i="6" s="1"/>
  <c r="CN181" i="6"/>
  <c r="CX181" i="6" s="1"/>
  <c r="CQ654" i="6"/>
  <c r="AE591" i="6"/>
  <c r="BX599" i="6"/>
  <c r="CN109" i="6"/>
  <c r="CX109" i="6" s="1"/>
  <c r="BY383" i="6"/>
  <c r="CI383" i="6" s="1"/>
  <c r="AD562" i="6"/>
  <c r="BX17" i="6"/>
  <c r="CH17" i="6" s="1"/>
  <c r="AC396" i="6"/>
  <c r="AE624" i="6"/>
  <c r="CR389" i="6"/>
  <c r="BY396" i="6"/>
  <c r="CI396" i="6" s="1"/>
  <c r="CQ167" i="6"/>
  <c r="BY177" i="6"/>
  <c r="CI177" i="6" s="1"/>
  <c r="BX137" i="6"/>
  <c r="CH137" i="6" s="1"/>
  <c r="CN249" i="6"/>
  <c r="AE390" i="6"/>
  <c r="BZ298" i="6"/>
  <c r="CJ298" i="6" s="1"/>
  <c r="CQ382" i="6"/>
  <c r="CL25" i="6"/>
  <c r="CV25" i="6" s="1"/>
  <c r="AD637" i="6"/>
  <c r="CB206" i="6"/>
  <c r="AE644" i="6"/>
  <c r="CB656" i="6"/>
  <c r="AD667" i="6"/>
  <c r="CC192" i="6"/>
  <c r="CC75" i="6"/>
  <c r="CM80" i="6"/>
  <c r="CB704" i="6"/>
  <c r="CL162" i="6"/>
  <c r="CV162" i="6" s="1"/>
  <c r="CQ645" i="6"/>
  <c r="CN182" i="6"/>
  <c r="CX182" i="6" s="1"/>
  <c r="CL707" i="6"/>
  <c r="CV707" i="6" s="1"/>
  <c r="CC588" i="6"/>
  <c r="BZ610" i="6"/>
  <c r="CJ610" i="6" s="1"/>
  <c r="CB64" i="6"/>
  <c r="CP260" i="6"/>
  <c r="CR137" i="6"/>
  <c r="BZ663" i="6"/>
  <c r="CJ663" i="6" s="1"/>
  <c r="AE592" i="6"/>
  <c r="CL596" i="6"/>
  <c r="CV596" i="6" s="1"/>
  <c r="BZ703" i="6"/>
  <c r="CJ703" i="6" s="1"/>
  <c r="CL369" i="6"/>
  <c r="CV369" i="6" s="1"/>
  <c r="BZ611" i="6"/>
  <c r="CN56" i="6"/>
  <c r="CX56" i="6" s="1"/>
  <c r="AC405" i="6"/>
  <c r="CC339" i="6"/>
  <c r="CL198" i="6"/>
  <c r="CV198" i="6" s="1"/>
  <c r="CM155" i="6"/>
  <c r="CW155" i="6" s="1"/>
  <c r="CP241" i="6"/>
  <c r="AE364" i="6"/>
  <c r="Z10" i="5" s="1"/>
  <c r="BY574" i="6"/>
  <c r="CI574" i="6" s="1"/>
  <c r="CQ270" i="6"/>
  <c r="CB207" i="6"/>
  <c r="CD670" i="6"/>
  <c r="BZ157" i="6"/>
  <c r="CJ157" i="6" s="1"/>
  <c r="CL613" i="6"/>
  <c r="CV613" i="6" s="1"/>
  <c r="CN423" i="6"/>
  <c r="CQ102" i="6"/>
  <c r="CM56" i="6"/>
  <c r="CW56" i="6" s="1"/>
  <c r="AD245" i="6"/>
  <c r="CP153" i="6"/>
  <c r="CM199" i="6"/>
  <c r="CW199" i="6" s="1"/>
  <c r="BZ114" i="6"/>
  <c r="CJ114" i="6" s="1"/>
  <c r="AC385" i="6"/>
  <c r="CL313" i="6"/>
  <c r="CV313" i="6" s="1"/>
  <c r="CD198" i="6"/>
  <c r="AE578" i="6"/>
  <c r="CL375" i="6"/>
  <c r="CV375" i="6" s="1"/>
  <c r="BY35" i="6"/>
  <c r="CI35" i="6" s="1"/>
  <c r="AC200" i="6"/>
  <c r="BY408" i="6"/>
  <c r="CI408" i="6" s="1"/>
  <c r="CM110" i="6"/>
  <c r="CW110" i="6" s="1"/>
  <c r="AE165" i="6"/>
  <c r="CC580" i="6"/>
  <c r="CB694" i="6"/>
  <c r="CD181" i="6"/>
  <c r="CM654" i="6"/>
  <c r="CW654" i="6" s="1"/>
  <c r="AD659" i="6"/>
  <c r="CR591" i="6"/>
  <c r="CP599" i="6"/>
  <c r="BX706" i="6"/>
  <c r="CH706" i="6" s="1"/>
  <c r="CL563" i="6"/>
  <c r="CV563" i="6" s="1"/>
  <c r="CR299" i="6"/>
  <c r="AE404" i="6"/>
  <c r="CM355" i="6"/>
  <c r="CW355" i="6" s="1"/>
  <c r="CL708" i="6"/>
  <c r="CV708" i="6" s="1"/>
  <c r="CM158" i="6"/>
  <c r="CW158" i="6" s="1"/>
  <c r="AC88" i="6"/>
  <c r="CQ665" i="6"/>
  <c r="CR669" i="6"/>
  <c r="AE338" i="6"/>
  <c r="BY339" i="6"/>
  <c r="CI339" i="6" s="1"/>
  <c r="CP198" i="6"/>
  <c r="CC155" i="6"/>
  <c r="CL241" i="6"/>
  <c r="CM270" i="6"/>
  <c r="CW270" i="6" s="1"/>
  <c r="CL408" i="6"/>
  <c r="CV408" i="6" s="1"/>
  <c r="BX207" i="6"/>
  <c r="CH207" i="6" s="1"/>
  <c r="BZ670" i="6"/>
  <c r="CJ670" i="6" s="1"/>
  <c r="AD599" i="6"/>
  <c r="CL425" i="6"/>
  <c r="CV425" i="6" s="1"/>
  <c r="CM102" i="6"/>
  <c r="CW102" i="6" s="1"/>
  <c r="CL153" i="6"/>
  <c r="CV153" i="6" s="1"/>
  <c r="CC199" i="6"/>
  <c r="CL385" i="6"/>
  <c r="CV385" i="6" s="1"/>
  <c r="CB313" i="6"/>
  <c r="BZ198" i="6"/>
  <c r="CJ198" i="6" s="1"/>
  <c r="BZ578" i="6"/>
  <c r="CJ578" i="6" s="1"/>
  <c r="CB375" i="6"/>
  <c r="CQ35" i="6"/>
  <c r="CQ408" i="6"/>
  <c r="CC110" i="6"/>
  <c r="BY580" i="6"/>
  <c r="CI580" i="6" s="1"/>
  <c r="CL694" i="6"/>
  <c r="CV694" i="6" s="1"/>
  <c r="BZ181" i="6"/>
  <c r="CJ181" i="6" s="1"/>
  <c r="BY654" i="6"/>
  <c r="CI654" i="6" s="1"/>
  <c r="BY659" i="6"/>
  <c r="CI659" i="6" s="1"/>
  <c r="CN591" i="6"/>
  <c r="CX591" i="6" s="1"/>
  <c r="CL599" i="6"/>
  <c r="AE76" i="6"/>
  <c r="AC563" i="6"/>
  <c r="CN299" i="6"/>
  <c r="CX299" i="6" s="1"/>
  <c r="CR301" i="6"/>
  <c r="CR404" i="6"/>
  <c r="CD637" i="6"/>
  <c r="CC355" i="6"/>
  <c r="CR197" i="6"/>
  <c r="AC30" i="6"/>
  <c r="CB708" i="6"/>
  <c r="CC158" i="6"/>
  <c r="AD634" i="6"/>
  <c r="AE638" i="6"/>
  <c r="AD642" i="6"/>
  <c r="BX662" i="6"/>
  <c r="CH662" i="6" s="1"/>
  <c r="AE669" i="6"/>
  <c r="CD338" i="6"/>
  <c r="CB405" i="6"/>
  <c r="CQ339" i="6"/>
  <c r="AC353" i="6"/>
  <c r="CB198" i="6"/>
  <c r="BY155" i="6"/>
  <c r="CI155" i="6" s="1"/>
  <c r="CB241" i="6"/>
  <c r="BZ364" i="6"/>
  <c r="CJ364" i="6" s="1"/>
  <c r="AR10" i="5" s="1"/>
  <c r="CC270" i="6"/>
  <c r="CP300" i="6"/>
  <c r="CB408" i="6"/>
  <c r="CP207" i="6"/>
  <c r="AE184" i="6"/>
  <c r="AE605" i="6"/>
  <c r="CB425" i="6"/>
  <c r="CQ245" i="6"/>
  <c r="CB153" i="6"/>
  <c r="BY199" i="6"/>
  <c r="CI199" i="6" s="1"/>
  <c r="BX385" i="6"/>
  <c r="CH385" i="6" s="1"/>
  <c r="BX313" i="6"/>
  <c r="CH313" i="6" s="1"/>
  <c r="AE231" i="6"/>
  <c r="AE573" i="6"/>
  <c r="CR198" i="6"/>
  <c r="AD374" i="6"/>
  <c r="CN578" i="6"/>
  <c r="CX578" i="6" s="1"/>
  <c r="CP375" i="6"/>
  <c r="CM35" i="6"/>
  <c r="CW35" i="6" s="1"/>
  <c r="AC413" i="6"/>
  <c r="CB200" i="6"/>
  <c r="CM408" i="6"/>
  <c r="CW408" i="6" s="1"/>
  <c r="BY110" i="6"/>
  <c r="CI110" i="6" s="1"/>
  <c r="CR165" i="6"/>
  <c r="CP694" i="6"/>
  <c r="AD654" i="6"/>
  <c r="CC659" i="6"/>
  <c r="CD591" i="6"/>
  <c r="CB599" i="6"/>
  <c r="AD617" i="6"/>
  <c r="AE134" i="6"/>
  <c r="CN404" i="6"/>
  <c r="CX404" i="6" s="1"/>
  <c r="BX708" i="6"/>
  <c r="CH708" i="6" s="1"/>
  <c r="CR638" i="6"/>
  <c r="BX405" i="6"/>
  <c r="CH405" i="6" s="1"/>
  <c r="CD364" i="6"/>
  <c r="AE401" i="6"/>
  <c r="CL300" i="6"/>
  <c r="CV300" i="6" s="1"/>
  <c r="CR58" i="6"/>
  <c r="BX408" i="6"/>
  <c r="CH408" i="6" s="1"/>
  <c r="BX144" i="6"/>
  <c r="CH144" i="6" s="1"/>
  <c r="AE157" i="6"/>
  <c r="CN184" i="6"/>
  <c r="CX184" i="6" s="1"/>
  <c r="BY599" i="6"/>
  <c r="AC613" i="6"/>
  <c r="AE423" i="6"/>
  <c r="CM245" i="6"/>
  <c r="CW245" i="6" s="1"/>
  <c r="CQ374" i="6"/>
  <c r="BX200" i="6"/>
  <c r="CH200" i="6" s="1"/>
  <c r="CN165" i="6"/>
  <c r="CX165" i="6" s="1"/>
  <c r="BY617" i="6"/>
  <c r="BZ338" i="6"/>
  <c r="CJ338" i="6" s="1"/>
  <c r="CC574" i="6"/>
  <c r="AC416" i="6"/>
  <c r="CR373" i="6"/>
  <c r="CR369" i="6"/>
  <c r="AE13" i="6"/>
  <c r="BY419" i="6"/>
  <c r="CI419" i="6" s="1"/>
  <c r="AD98" i="6"/>
  <c r="BZ13" i="6"/>
  <c r="CJ13" i="6" s="1"/>
  <c r="AC48" i="6"/>
  <c r="AE388" i="6"/>
  <c r="BZ387" i="6"/>
  <c r="CJ387" i="6" s="1"/>
  <c r="CM419" i="6"/>
  <c r="CW419" i="6" s="1"/>
  <c r="AD55" i="6"/>
  <c r="BY98" i="6"/>
  <c r="CI98" i="6" s="1"/>
  <c r="CR386" i="6"/>
  <c r="BX16" i="6"/>
  <c r="CH16" i="6" s="1"/>
  <c r="CN241" i="6"/>
  <c r="CX241" i="6" s="1"/>
  <c r="AE205" i="6"/>
  <c r="CM303" i="6"/>
  <c r="CW303" i="6" s="1"/>
  <c r="CL227" i="6"/>
  <c r="CV227" i="6" s="1"/>
  <c r="CL53" i="6"/>
  <c r="CV53" i="6" s="1"/>
  <c r="AE279" i="6"/>
  <c r="BY600" i="6"/>
  <c r="CM605" i="6"/>
  <c r="CR614" i="6"/>
  <c r="AD126" i="6"/>
  <c r="CP616" i="6"/>
  <c r="BX233" i="6"/>
  <c r="CH233" i="6" s="1"/>
  <c r="AD156" i="6"/>
  <c r="AE164" i="6"/>
  <c r="CB344" i="6"/>
  <c r="CL382" i="6"/>
  <c r="CV382" i="6" s="1"/>
  <c r="CM382" i="6"/>
  <c r="CW382" i="6" s="1"/>
  <c r="CP148" i="6"/>
  <c r="CB137" i="6"/>
  <c r="CL380" i="6"/>
  <c r="CV380" i="6" s="1"/>
  <c r="CN242" i="6"/>
  <c r="CX242" i="6" s="1"/>
  <c r="CM292" i="6"/>
  <c r="CW292" i="6" s="1"/>
  <c r="AC582" i="6"/>
  <c r="CL205" i="6"/>
  <c r="CV205" i="6" s="1"/>
  <c r="BZ343" i="6"/>
  <c r="CJ343" i="6" s="1"/>
  <c r="CL358" i="6"/>
  <c r="CV358" i="6" s="1"/>
  <c r="BY402" i="6"/>
  <c r="CI402" i="6" s="1"/>
  <c r="CM181" i="6"/>
  <c r="CW181" i="6" s="1"/>
  <c r="AC640" i="6"/>
  <c r="CM645" i="6"/>
  <c r="CW645" i="6" s="1"/>
  <c r="CM644" i="6"/>
  <c r="CW644" i="6" s="1"/>
  <c r="BY655" i="6"/>
  <c r="CI655" i="6" s="1"/>
  <c r="CR182" i="6"/>
  <c r="CM182" i="6"/>
  <c r="CW182" i="6" s="1"/>
  <c r="CP243" i="6"/>
  <c r="CR707" i="6"/>
  <c r="AD707" i="6"/>
  <c r="AC592" i="6"/>
  <c r="CL594" i="6"/>
  <c r="CV594" i="6" s="1"/>
  <c r="BZ600" i="6"/>
  <c r="BZ607" i="6"/>
  <c r="CJ607" i="6" s="1"/>
  <c r="CB610" i="6"/>
  <c r="CN613" i="6"/>
  <c r="CX613" i="6" s="1"/>
  <c r="BY62" i="6"/>
  <c r="CI62" i="6" s="1"/>
  <c r="CM41" i="6"/>
  <c r="CW41" i="6" s="1"/>
  <c r="CQ195" i="6"/>
  <c r="AE109" i="6"/>
  <c r="CL56" i="6"/>
  <c r="CV56" i="6" s="1"/>
  <c r="CQ338" i="6"/>
  <c r="CN366" i="6"/>
  <c r="CX366" i="6" s="1"/>
  <c r="CQ278" i="6"/>
  <c r="BQ393" i="6"/>
  <c r="CP301" i="6"/>
  <c r="CC417" i="6"/>
  <c r="CR298" i="6"/>
  <c r="AC260" i="6"/>
  <c r="CP165" i="6"/>
  <c r="AD177" i="6"/>
  <c r="CB25" i="6"/>
  <c r="AC12" i="6"/>
  <c r="CB638" i="6"/>
  <c r="BZ121" i="6"/>
  <c r="CJ121" i="6" s="1"/>
  <c r="AD256" i="6"/>
  <c r="CC667" i="6"/>
  <c r="CN183" i="6"/>
  <c r="CX183" i="6" s="1"/>
  <c r="CC590" i="6"/>
  <c r="CP593" i="6"/>
  <c r="CQ75" i="6"/>
  <c r="AE612" i="6"/>
  <c r="CP621" i="6"/>
  <c r="CB11" i="6"/>
  <c r="CR346" i="6"/>
  <c r="CD567" i="6"/>
  <c r="CL291" i="6"/>
  <c r="CV291" i="6" s="1"/>
  <c r="CD151" i="6"/>
  <c r="CD249" i="6"/>
  <c r="BY571" i="6"/>
  <c r="CI571" i="6" s="1"/>
  <c r="CR345" i="6"/>
  <c r="CP359" i="6"/>
  <c r="BY192" i="6"/>
  <c r="CI192" i="6" s="1"/>
  <c r="CL168" i="6"/>
  <c r="CV168" i="6" s="1"/>
  <c r="CR644" i="6"/>
  <c r="CP656" i="6"/>
  <c r="BZ660" i="6"/>
  <c r="CJ660" i="6" s="1"/>
  <c r="CP661" i="6"/>
  <c r="CR666" i="6"/>
  <c r="CP669" i="6"/>
  <c r="BY163" i="6"/>
  <c r="CI163" i="6" s="1"/>
  <c r="BY688" i="6"/>
  <c r="CI688" i="6" s="1"/>
  <c r="CL103" i="6"/>
  <c r="CV103" i="6" s="1"/>
  <c r="AD585" i="6"/>
  <c r="BY588" i="6"/>
  <c r="CP215" i="6"/>
  <c r="CM613" i="6"/>
  <c r="CW613" i="6" s="1"/>
  <c r="BX64" i="6"/>
  <c r="CH64" i="6" s="1"/>
  <c r="CM39" i="6"/>
  <c r="CW39" i="6" s="1"/>
  <c r="BY94" i="6"/>
  <c r="CI94" i="6" s="1"/>
  <c r="CN17" i="6"/>
  <c r="CX17" i="6" s="1"/>
  <c r="CD176" i="6"/>
  <c r="CL373" i="6"/>
  <c r="CD145" i="6"/>
  <c r="BX151" i="6"/>
  <c r="CH151" i="6" s="1"/>
  <c r="AC309" i="6"/>
  <c r="AE362" i="6"/>
  <c r="CD565" i="6"/>
  <c r="AC17" i="6"/>
  <c r="CD164" i="6"/>
  <c r="AE384" i="6"/>
  <c r="CB396" i="6"/>
  <c r="CP344" i="6"/>
  <c r="AE261" i="6"/>
  <c r="CD624" i="6"/>
  <c r="CC382" i="6"/>
  <c r="CP137" i="6"/>
  <c r="BZ357" i="6"/>
  <c r="CJ357" i="6" s="1"/>
  <c r="AD191" i="6"/>
  <c r="CD242" i="6"/>
  <c r="CC292" i="6"/>
  <c r="CL582" i="6"/>
  <c r="CV582" i="6" s="1"/>
  <c r="CB358" i="6"/>
  <c r="AD167" i="6"/>
  <c r="CB640" i="6"/>
  <c r="AD645" i="6"/>
  <c r="CQ655" i="6"/>
  <c r="CD182" i="6"/>
  <c r="CL243" i="6"/>
  <c r="CV243" i="6" s="1"/>
  <c r="CD707" i="6"/>
  <c r="AC128" i="6"/>
  <c r="AE587" i="6"/>
  <c r="BX610" i="6"/>
  <c r="CH610" i="6" s="1"/>
  <c r="CD613" i="6"/>
  <c r="CQ62" i="6"/>
  <c r="CC689" i="6"/>
  <c r="CM195" i="6"/>
  <c r="CW195" i="6" s="1"/>
  <c r="CP56" i="6"/>
  <c r="CM338" i="6"/>
  <c r="CW338" i="6" s="1"/>
  <c r="AD383" i="6"/>
  <c r="CQ562" i="6"/>
  <c r="CM278" i="6"/>
  <c r="CW278" i="6" s="1"/>
  <c r="AE393" i="6"/>
  <c r="CL301" i="6"/>
  <c r="CV301" i="6" s="1"/>
  <c r="BY417" i="6"/>
  <c r="CI417" i="6" s="1"/>
  <c r="CN298" i="6"/>
  <c r="CX298" i="6" s="1"/>
  <c r="CL165" i="6"/>
  <c r="CV165" i="6" s="1"/>
  <c r="BG366" i="6"/>
  <c r="BX25" i="6"/>
  <c r="CH25" i="6" s="1"/>
  <c r="AD70" i="6"/>
  <c r="BZ137" i="6"/>
  <c r="CJ137" i="6" s="1"/>
  <c r="BX638" i="6"/>
  <c r="CH638" i="6" s="1"/>
  <c r="CR121" i="6"/>
  <c r="BY667" i="6"/>
  <c r="CI667" i="6" s="1"/>
  <c r="CR183" i="6"/>
  <c r="BY590" i="6"/>
  <c r="CL593" i="6"/>
  <c r="CV593" i="6" s="1"/>
  <c r="CM75" i="6"/>
  <c r="CW75" i="6" s="1"/>
  <c r="AC704" i="6"/>
  <c r="AD113" i="6"/>
  <c r="BX621" i="6"/>
  <c r="CH621" i="6" s="1"/>
  <c r="BX11" i="6"/>
  <c r="CH11" i="6" s="1"/>
  <c r="CN346" i="6"/>
  <c r="CX346" i="6" s="1"/>
  <c r="BZ567" i="6"/>
  <c r="CJ567" i="6" s="1"/>
  <c r="AC191" i="6"/>
  <c r="CP419" i="6"/>
  <c r="CP291" i="6"/>
  <c r="BZ151" i="6"/>
  <c r="CJ151" i="6" s="1"/>
  <c r="CR249" i="6"/>
  <c r="AC369" i="6"/>
  <c r="CN345" i="6"/>
  <c r="CX345" i="6" s="1"/>
  <c r="CB359" i="6"/>
  <c r="CQ192" i="6"/>
  <c r="CB168" i="6"/>
  <c r="CN644" i="6"/>
  <c r="CX644" i="6" s="1"/>
  <c r="CL656" i="6"/>
  <c r="CV656" i="6" s="1"/>
  <c r="CR660" i="6"/>
  <c r="AE663" i="6"/>
  <c r="CL661" i="6"/>
  <c r="CV661" i="6" s="1"/>
  <c r="CN666" i="6"/>
  <c r="CX666" i="6" s="1"/>
  <c r="CL669" i="6"/>
  <c r="CV669" i="6" s="1"/>
  <c r="CC163" i="6"/>
  <c r="CQ688" i="6"/>
  <c r="CQ588" i="6"/>
  <c r="AC596" i="6"/>
  <c r="CL215" i="6"/>
  <c r="CV215" i="6" s="1"/>
  <c r="AE611" i="6"/>
  <c r="BY272" i="6"/>
  <c r="CB48" i="6"/>
  <c r="BY17" i="6"/>
  <c r="CI17" i="6" s="1"/>
  <c r="CN388" i="6"/>
  <c r="CX388" i="6" s="1"/>
  <c r="CC403" i="6"/>
  <c r="AD419" i="6"/>
  <c r="CC55" i="6"/>
  <c r="CL575" i="6"/>
  <c r="CV575" i="6" s="1"/>
  <c r="CP271" i="6"/>
  <c r="BZ635" i="6"/>
  <c r="CJ635" i="6" s="1"/>
  <c r="AE241" i="6"/>
  <c r="CQ396" i="6"/>
  <c r="CD205" i="6"/>
  <c r="CR25" i="6"/>
  <c r="CP146" i="6"/>
  <c r="CR208" i="6"/>
  <c r="CD640" i="6"/>
  <c r="CN654" i="6"/>
  <c r="CX654" i="6" s="1"/>
  <c r="CD279" i="6"/>
  <c r="AD605" i="6"/>
  <c r="CC80" i="6"/>
  <c r="CC126" i="6"/>
  <c r="AC616" i="6"/>
  <c r="BA616" i="6" s="1"/>
  <c r="CL102" i="6"/>
  <c r="CV102" i="6" s="1"/>
  <c r="CL17" i="6"/>
  <c r="CV17" i="6" s="1"/>
  <c r="CR164" i="6"/>
  <c r="CR384" i="6"/>
  <c r="CP396" i="6"/>
  <c r="AC382" i="6"/>
  <c r="CR261" i="6"/>
  <c r="BZ624" i="6"/>
  <c r="CJ624" i="6" s="1"/>
  <c r="CR357" i="6"/>
  <c r="CM191" i="6"/>
  <c r="CW191" i="6" s="1"/>
  <c r="CP582" i="6"/>
  <c r="BQ343" i="6"/>
  <c r="CB292" i="6"/>
  <c r="BY167" i="6"/>
  <c r="CI167" i="6" s="1"/>
  <c r="AD181" i="6"/>
  <c r="CP640" i="6"/>
  <c r="AD644" i="6"/>
  <c r="AD182" i="6"/>
  <c r="CC707" i="6"/>
  <c r="BX128" i="6"/>
  <c r="CH128" i="6" s="1"/>
  <c r="CR587" i="6"/>
  <c r="AC594" i="6"/>
  <c r="AE600" i="6"/>
  <c r="AE607" i="6"/>
  <c r="CL610" i="6"/>
  <c r="CV610" i="6" s="1"/>
  <c r="CR59" i="6"/>
  <c r="CB92" i="6"/>
  <c r="BY424" i="6"/>
  <c r="CQ689" i="6"/>
  <c r="BY195" i="6"/>
  <c r="CI195" i="6" s="1"/>
  <c r="CD109" i="6"/>
  <c r="BX56" i="6"/>
  <c r="CH56" i="6" s="1"/>
  <c r="AE366" i="6"/>
  <c r="CQ383" i="6"/>
  <c r="CC562" i="6"/>
  <c r="BY278" i="6"/>
  <c r="CI278" i="6" s="1"/>
  <c r="AE389" i="6"/>
  <c r="BZ412" i="6"/>
  <c r="CJ412" i="6" s="1"/>
  <c r="CN393" i="6"/>
  <c r="BX301" i="6"/>
  <c r="CH301" i="6" s="1"/>
  <c r="CM417" i="6"/>
  <c r="CW417" i="6" s="1"/>
  <c r="CL260" i="6"/>
  <c r="CV260" i="6" s="1"/>
  <c r="CB175" i="6"/>
  <c r="CM177" i="6"/>
  <c r="CW177" i="6" s="1"/>
  <c r="CM366" i="6"/>
  <c r="CW366" i="6" s="1"/>
  <c r="AD363" i="6"/>
  <c r="BM416" i="6"/>
  <c r="CB12" i="6"/>
  <c r="CM637" i="6"/>
  <c r="CW637" i="6" s="1"/>
  <c r="BY70" i="6"/>
  <c r="CI70" i="6" s="1"/>
  <c r="CD391" i="6"/>
  <c r="BY421" i="6"/>
  <c r="CI421" i="6" s="1"/>
  <c r="AC162" i="6"/>
  <c r="CL638" i="6"/>
  <c r="CV638" i="6" s="1"/>
  <c r="AE121" i="6"/>
  <c r="CM667" i="6"/>
  <c r="CW667" i="6" s="1"/>
  <c r="BZ183" i="6"/>
  <c r="CJ183" i="6" s="1"/>
  <c r="CC103" i="6"/>
  <c r="CM590" i="6"/>
  <c r="BY597" i="6"/>
  <c r="CQ601" i="6"/>
  <c r="CN612" i="6"/>
  <c r="CB621" i="6"/>
  <c r="CL191" i="6"/>
  <c r="CV191" i="6" s="1"/>
  <c r="CB419" i="6"/>
  <c r="BY410" i="6"/>
  <c r="CI410" i="6" s="1"/>
  <c r="BX291" i="6"/>
  <c r="CH291" i="6" s="1"/>
  <c r="CN151" i="6"/>
  <c r="CX151" i="6" s="1"/>
  <c r="AD571" i="6"/>
  <c r="CB369" i="6"/>
  <c r="BZ345" i="6"/>
  <c r="CJ345" i="6" s="1"/>
  <c r="CD360" i="6"/>
  <c r="BZ644" i="6"/>
  <c r="CJ644" i="6" s="1"/>
  <c r="AE660" i="6"/>
  <c r="CN663" i="6"/>
  <c r="CX663" i="6" s="1"/>
  <c r="AC661" i="6"/>
  <c r="AC707" i="6"/>
  <c r="BZ666" i="6"/>
  <c r="CJ666" i="6" s="1"/>
  <c r="AE33" i="6"/>
  <c r="CM163" i="6"/>
  <c r="CW163" i="6" s="1"/>
  <c r="BY585" i="6"/>
  <c r="CI585" i="6" s="1"/>
  <c r="CR592" i="6"/>
  <c r="CB596" i="6"/>
  <c r="CR610" i="6"/>
  <c r="AD613" i="6"/>
  <c r="AC64" i="6"/>
  <c r="CQ272" i="6"/>
  <c r="BX48" i="6"/>
  <c r="CQ17" i="6"/>
  <c r="CD388" i="6"/>
  <c r="AE387" i="6"/>
  <c r="BY403" i="6"/>
  <c r="CI403" i="6" s="1"/>
  <c r="BY55" i="6"/>
  <c r="CI55" i="6" s="1"/>
  <c r="CB575" i="6"/>
  <c r="CL271" i="6"/>
  <c r="CV271" i="6" s="1"/>
  <c r="CN635" i="6"/>
  <c r="CX635" i="6" s="1"/>
  <c r="AE386" i="6"/>
  <c r="CM396" i="6"/>
  <c r="CW396" i="6" s="1"/>
  <c r="BZ205" i="6"/>
  <c r="CJ205" i="6" s="1"/>
  <c r="AD303" i="6"/>
  <c r="CN25" i="6"/>
  <c r="CX25" i="6" s="1"/>
  <c r="CN208" i="6"/>
  <c r="CX208" i="6" s="1"/>
  <c r="BZ640" i="6"/>
  <c r="CJ640" i="6" s="1"/>
  <c r="CR654" i="6"/>
  <c r="BZ279" i="6"/>
  <c r="CJ279" i="6" s="1"/>
  <c r="AC233" i="6"/>
  <c r="CP102" i="6"/>
  <c r="CP17" i="6"/>
  <c r="CQ156" i="6"/>
  <c r="CN164" i="6"/>
  <c r="CX164" i="6" s="1"/>
  <c r="BZ384" i="6"/>
  <c r="CJ384" i="6" s="1"/>
  <c r="CL396" i="6"/>
  <c r="CV396" i="6" s="1"/>
  <c r="BZ261" i="6"/>
  <c r="CN624" i="6"/>
  <c r="CX624" i="6" s="1"/>
  <c r="CL148" i="6"/>
  <c r="CV148" i="6" s="1"/>
  <c r="AC380" i="6"/>
  <c r="CN357" i="6"/>
  <c r="CX357" i="6" s="1"/>
  <c r="CQ191" i="6"/>
  <c r="BX582" i="6"/>
  <c r="CH582" i="6" s="1"/>
  <c r="AC205" i="6"/>
  <c r="AE343" i="6"/>
  <c r="BX292" i="6"/>
  <c r="CH292" i="6" s="1"/>
  <c r="AD402" i="6"/>
  <c r="CM167" i="6"/>
  <c r="CW167" i="6" s="1"/>
  <c r="CL640" i="6"/>
  <c r="CV640" i="6" s="1"/>
  <c r="CQ707" i="6"/>
  <c r="CB128" i="6"/>
  <c r="CN587" i="6"/>
  <c r="CX587" i="6" s="1"/>
  <c r="CB592" i="6"/>
  <c r="AC610" i="6"/>
  <c r="CN59" i="6"/>
  <c r="CX59" i="6" s="1"/>
  <c r="AE613" i="6"/>
  <c r="BX92" i="6"/>
  <c r="AD41" i="6"/>
  <c r="CC424" i="6"/>
  <c r="CM689" i="6"/>
  <c r="CW689" i="6" s="1"/>
  <c r="CR109" i="6"/>
  <c r="CP222" i="6"/>
  <c r="AD338" i="6"/>
  <c r="CM383" i="6"/>
  <c r="CW383" i="6" s="1"/>
  <c r="BY562" i="6"/>
  <c r="CI562" i="6" s="1"/>
  <c r="BZ389" i="6"/>
  <c r="CJ389" i="6" s="1"/>
  <c r="CR106" i="6"/>
  <c r="CD393" i="6"/>
  <c r="AE298" i="6"/>
  <c r="AC165" i="6"/>
  <c r="BX175" i="6"/>
  <c r="CH175" i="6" s="1"/>
  <c r="CC177" i="6"/>
  <c r="CQ12" i="6"/>
  <c r="AC25" i="6"/>
  <c r="CM363" i="6"/>
  <c r="CW363" i="6" s="1"/>
  <c r="CP12" i="6"/>
  <c r="CC637" i="6"/>
  <c r="CQ70" i="6"/>
  <c r="CP206" i="6"/>
  <c r="CB162" i="6"/>
  <c r="CC121" i="6"/>
  <c r="CC256" i="6"/>
  <c r="CB209" i="6"/>
  <c r="BY103" i="6"/>
  <c r="CI103" i="6" s="1"/>
  <c r="AC593" i="6"/>
  <c r="CQ597" i="6"/>
  <c r="CM601" i="6"/>
  <c r="AD75" i="6"/>
  <c r="CD612" i="6"/>
  <c r="BX704" i="6"/>
  <c r="CH704" i="6" s="1"/>
  <c r="CC113" i="6"/>
  <c r="CQ114" i="6"/>
  <c r="AE567" i="6"/>
  <c r="CP191" i="6"/>
  <c r="BX419" i="6"/>
  <c r="CH419" i="6" s="1"/>
  <c r="CQ410" i="6"/>
  <c r="AE249" i="6"/>
  <c r="BX369" i="6"/>
  <c r="CH369" i="6" s="1"/>
  <c r="CD211" i="6"/>
  <c r="CQ10" i="6"/>
  <c r="CP251" i="6"/>
  <c r="CR360" i="6"/>
  <c r="AC656" i="6"/>
  <c r="CD663" i="6"/>
  <c r="BX707" i="6"/>
  <c r="CH707" i="6" s="1"/>
  <c r="CN33" i="6"/>
  <c r="CX33" i="6" s="1"/>
  <c r="AC669" i="6"/>
  <c r="CC672" i="6"/>
  <c r="AC103" i="6"/>
  <c r="CQ585" i="6"/>
  <c r="CN592" i="6"/>
  <c r="CX592" i="6" s="1"/>
  <c r="BX596" i="6"/>
  <c r="CH596" i="6" s="1"/>
  <c r="CN610" i="6"/>
  <c r="CX610" i="6" s="1"/>
  <c r="AC215" i="6"/>
  <c r="CR611" i="6"/>
  <c r="CR703" i="6"/>
  <c r="CM272" i="6"/>
  <c r="CM17" i="6"/>
  <c r="CW17" i="6" s="1"/>
  <c r="CN387" i="6"/>
  <c r="CX387" i="6" s="1"/>
  <c r="CC419" i="6"/>
  <c r="CP575" i="6"/>
  <c r="CD635" i="6"/>
  <c r="BZ386" i="6"/>
  <c r="CJ386" i="6" s="1"/>
  <c r="BZ241" i="6"/>
  <c r="CC396" i="6"/>
  <c r="CC303" i="6"/>
  <c r="AC227" i="6"/>
  <c r="CB146" i="6"/>
  <c r="CD208" i="6"/>
  <c r="CD654" i="6"/>
  <c r="CB53" i="6"/>
  <c r="AD600" i="6"/>
  <c r="CC605" i="6"/>
  <c r="CQ80" i="6"/>
  <c r="CN614" i="6"/>
  <c r="CX614" i="6" s="1"/>
  <c r="CQ126" i="6"/>
  <c r="CL233" i="6"/>
  <c r="CV233" i="6" s="1"/>
  <c r="CB102" i="6"/>
  <c r="CB17" i="6"/>
  <c r="CM156" i="6"/>
  <c r="CW156" i="6" s="1"/>
  <c r="CN384" i="6"/>
  <c r="CX384" i="6" s="1"/>
  <c r="CB382" i="6"/>
  <c r="CN261" i="6"/>
  <c r="AD382" i="6"/>
  <c r="CB148" i="6"/>
  <c r="CB380" i="6"/>
  <c r="CC191" i="6"/>
  <c r="AD292" i="6"/>
  <c r="CB205" i="6"/>
  <c r="CR343" i="6"/>
  <c r="CP292" i="6"/>
  <c r="AC358" i="6"/>
  <c r="CQ402" i="6"/>
  <c r="CC167" i="6"/>
  <c r="CC181" i="6"/>
  <c r="CC645" i="6"/>
  <c r="CC644" i="6"/>
  <c r="AD655" i="6"/>
  <c r="BY182" i="6"/>
  <c r="CI182" i="6" s="1"/>
  <c r="AE707" i="6"/>
  <c r="CM707" i="6"/>
  <c r="CW707" i="6" s="1"/>
  <c r="CP128" i="6"/>
  <c r="CD587" i="6"/>
  <c r="BX592" i="6"/>
  <c r="CH592" i="6" s="1"/>
  <c r="CB594" i="6"/>
  <c r="CR600" i="6"/>
  <c r="CR607" i="6"/>
  <c r="CD59" i="6"/>
  <c r="CP92" i="6"/>
  <c r="CC41" i="6"/>
  <c r="CQ424" i="6"/>
  <c r="CL222" i="6"/>
  <c r="CV222" i="6" s="1"/>
  <c r="AD39" i="6"/>
  <c r="BZ366" i="6"/>
  <c r="CJ366" i="6" s="1"/>
  <c r="CC383" i="6"/>
  <c r="CN389" i="6"/>
  <c r="CX389" i="6" s="1"/>
  <c r="CN106" i="6"/>
  <c r="CX106" i="6" s="1"/>
  <c r="BO165" i="6"/>
  <c r="CP175" i="6"/>
  <c r="CM12" i="6"/>
  <c r="CQ363" i="6"/>
  <c r="CD416" i="6"/>
  <c r="BY637" i="6"/>
  <c r="CI637" i="6" s="1"/>
  <c r="AE137" i="6"/>
  <c r="BX206" i="6"/>
  <c r="CH206" i="6" s="1"/>
  <c r="BX162" i="6"/>
  <c r="CH162" i="6" s="1"/>
  <c r="BY121" i="6"/>
  <c r="CI121" i="6" s="1"/>
  <c r="CQ256" i="6"/>
  <c r="BX209" i="6"/>
  <c r="CH209" i="6" s="1"/>
  <c r="CQ103" i="6"/>
  <c r="CM597" i="6"/>
  <c r="CC601" i="6"/>
  <c r="CI601" i="6" s="1"/>
  <c r="CP704" i="6"/>
  <c r="BY113" i="6"/>
  <c r="AC11" i="6"/>
  <c r="AE346" i="6"/>
  <c r="CM114" i="6"/>
  <c r="CW114" i="6" s="1"/>
  <c r="CM410" i="6"/>
  <c r="CW410" i="6" s="1"/>
  <c r="CQ571" i="6"/>
  <c r="CP369" i="6"/>
  <c r="BZ211" i="6"/>
  <c r="CJ211" i="6" s="1"/>
  <c r="CM10" i="6"/>
  <c r="CW10" i="6" s="1"/>
  <c r="BX251" i="6"/>
  <c r="CH251" i="6" s="1"/>
  <c r="CN360" i="6"/>
  <c r="CX360" i="6" s="1"/>
  <c r="CB707" i="6"/>
  <c r="CR33" i="6"/>
  <c r="BY672" i="6"/>
  <c r="CI672" i="6" s="1"/>
  <c r="CB103" i="6"/>
  <c r="CM585" i="6"/>
  <c r="CW585" i="6" s="1"/>
  <c r="CD592" i="6"/>
  <c r="CP596" i="6"/>
  <c r="CD610" i="6"/>
  <c r="CN611" i="6"/>
  <c r="CN703" i="6"/>
  <c r="CX703" i="6" s="1"/>
  <c r="BY613" i="6"/>
  <c r="CI613" i="6" s="1"/>
  <c r="CP64" i="6"/>
  <c r="CN386" i="6"/>
  <c r="CX386" i="6" s="1"/>
  <c r="AC16" i="6"/>
  <c r="CD241" i="6"/>
  <c r="BY303" i="6"/>
  <c r="CI303" i="6" s="1"/>
  <c r="BX53" i="6"/>
  <c r="CH53" i="6" s="1"/>
  <c r="BY605" i="6"/>
  <c r="CD614" i="6"/>
  <c r="CM126" i="6"/>
  <c r="CB233" i="6"/>
  <c r="CC156" i="6"/>
  <c r="AC344" i="6"/>
  <c r="CP382" i="6"/>
  <c r="AC148" i="6"/>
  <c r="AC137" i="6"/>
  <c r="CP380" i="6"/>
  <c r="AE242" i="6"/>
  <c r="BX205" i="6"/>
  <c r="CH205" i="6" s="1"/>
  <c r="CN343" i="6"/>
  <c r="CX343" i="6" s="1"/>
  <c r="CM402" i="6"/>
  <c r="CW402" i="6" s="1"/>
  <c r="BY181" i="6"/>
  <c r="CI181" i="6" s="1"/>
  <c r="BY645" i="6"/>
  <c r="CI645" i="6" s="1"/>
  <c r="BY644" i="6"/>
  <c r="CI644" i="6" s="1"/>
  <c r="AE182" i="6"/>
  <c r="CC182" i="6"/>
  <c r="BX243" i="6"/>
  <c r="CH243" i="6" s="1"/>
  <c r="BY707" i="6"/>
  <c r="CI707" i="6" s="1"/>
  <c r="CP592" i="6"/>
  <c r="BX594" i="6"/>
  <c r="CH594" i="6" s="1"/>
  <c r="CN600" i="6"/>
  <c r="CN607" i="6"/>
  <c r="CX607" i="6" s="1"/>
  <c r="AD62" i="6"/>
  <c r="BY41" i="6"/>
  <c r="CI41" i="6" s="1"/>
  <c r="AD195" i="6"/>
  <c r="CB222" i="6"/>
  <c r="CC39" i="6"/>
  <c r="CC338" i="6"/>
  <c r="CD366" i="6"/>
  <c r="CD389" i="6"/>
  <c r="CD106" i="6"/>
  <c r="AC301" i="6"/>
  <c r="AD417" i="6"/>
  <c r="CD298" i="6"/>
  <c r="CB165" i="6"/>
  <c r="CL175" i="6"/>
  <c r="CV175" i="6" s="1"/>
  <c r="CC12" i="6"/>
  <c r="CP25" i="6"/>
  <c r="CC363" i="6"/>
  <c r="CL206" i="6"/>
  <c r="CV206" i="6" s="1"/>
  <c r="CP162" i="6"/>
  <c r="CN121" i="6"/>
  <c r="CX121" i="6" s="1"/>
  <c r="CQ121" i="6"/>
  <c r="CM256" i="6"/>
  <c r="CW256" i="6" s="1"/>
  <c r="AE183" i="6"/>
  <c r="CP209" i="6"/>
  <c r="CM103" i="6"/>
  <c r="CW103" i="6" s="1"/>
  <c r="AD590" i="6"/>
  <c r="CB593" i="6"/>
  <c r="AD597" i="6"/>
  <c r="BY75" i="6"/>
  <c r="CI75" i="6" s="1"/>
  <c r="CL704" i="6"/>
  <c r="CV704" i="6" s="1"/>
  <c r="CQ113" i="6"/>
  <c r="BO621" i="6"/>
  <c r="CP11" i="6"/>
  <c r="CD346" i="6"/>
  <c r="CC114" i="6"/>
  <c r="CR567" i="6"/>
  <c r="AD410" i="6"/>
  <c r="AC291" i="6"/>
  <c r="AE151" i="6"/>
  <c r="BZ249" i="6"/>
  <c r="CM571" i="6"/>
  <c r="CW571" i="6" s="1"/>
  <c r="CR211" i="6"/>
  <c r="AC359" i="6"/>
  <c r="AD192" i="6"/>
  <c r="AC168" i="6"/>
  <c r="CC10" i="6"/>
  <c r="CL251" i="6"/>
  <c r="CV251" i="6" s="1"/>
  <c r="AE360" i="6"/>
  <c r="BX656" i="6"/>
  <c r="CH656" i="6" s="1"/>
  <c r="CN660" i="6"/>
  <c r="CX660" i="6" s="1"/>
  <c r="CB661" i="6"/>
  <c r="CP707" i="6"/>
  <c r="AE666" i="6"/>
  <c r="CD33" i="6"/>
  <c r="CB669" i="6"/>
  <c r="CQ672" i="6"/>
  <c r="AD688" i="6"/>
  <c r="BX103" i="6"/>
  <c r="CH103" i="6" s="1"/>
  <c r="CC585" i="6"/>
  <c r="AD588" i="6"/>
  <c r="BZ592" i="6"/>
  <c r="CJ592" i="6" s="1"/>
  <c r="CB215" i="6"/>
  <c r="CD611" i="6"/>
  <c r="CD703" i="6"/>
  <c r="CC613" i="6"/>
  <c r="CL64" i="6"/>
  <c r="CV64" i="6" s="1"/>
  <c r="CD387" i="6"/>
  <c r="CD14" i="6"/>
  <c r="BM192" i="6"/>
  <c r="BM70" i="6"/>
  <c r="CL399" i="6"/>
  <c r="CV399" i="6" s="1"/>
  <c r="CM90" i="6"/>
  <c r="CW90" i="6" s="1"/>
  <c r="CP400" i="6"/>
  <c r="CH218" i="6"/>
  <c r="BG49" i="6"/>
  <c r="CI19" i="6"/>
  <c r="CV218" i="6"/>
  <c r="AD94" i="6"/>
  <c r="CC87" i="6"/>
  <c r="CQ414" i="6"/>
  <c r="AC151" i="6"/>
  <c r="CB373" i="6"/>
  <c r="CR400" i="6"/>
  <c r="CR145" i="6"/>
  <c r="CC404" i="6"/>
  <c r="CN377" i="6"/>
  <c r="CX377" i="6" s="1"/>
  <c r="CP416" i="6"/>
  <c r="BZ390" i="6"/>
  <c r="CJ390" i="6" s="1"/>
  <c r="BZ362" i="6"/>
  <c r="CJ362" i="6" s="1"/>
  <c r="CD373" i="6"/>
  <c r="CD369" i="6"/>
  <c r="CQ205" i="6"/>
  <c r="CP106" i="6"/>
  <c r="CQ165" i="6"/>
  <c r="CB653" i="6"/>
  <c r="CI16" i="6"/>
  <c r="CL109" i="6"/>
  <c r="CV109" i="6" s="1"/>
  <c r="BZ43" i="6"/>
  <c r="CJ43" i="6" s="1"/>
  <c r="BY87" i="6"/>
  <c r="CI87" i="6" s="1"/>
  <c r="AE17" i="6"/>
  <c r="CM414" i="6"/>
  <c r="CW414" i="6" s="1"/>
  <c r="BX373" i="6"/>
  <c r="CN400" i="6"/>
  <c r="CX400" i="6" s="1"/>
  <c r="CN145" i="6"/>
  <c r="CX145" i="6" s="1"/>
  <c r="BY404" i="6"/>
  <c r="CI404" i="6" s="1"/>
  <c r="CD377" i="6"/>
  <c r="CL416" i="6"/>
  <c r="CV416" i="6" s="1"/>
  <c r="CN390" i="6"/>
  <c r="CX390" i="6" s="1"/>
  <c r="CD362" i="6"/>
  <c r="BZ373" i="6"/>
  <c r="BZ369" i="6"/>
  <c r="CJ369" i="6" s="1"/>
  <c r="CM205" i="6"/>
  <c r="CW205" i="6" s="1"/>
  <c r="CL106" i="6"/>
  <c r="CV106" i="6" s="1"/>
  <c r="CM165" i="6"/>
  <c r="CW165" i="6" s="1"/>
  <c r="CQ94" i="6"/>
  <c r="CQ87" i="6"/>
  <c r="AD76" i="6"/>
  <c r="CD17" i="6"/>
  <c r="CP151" i="6"/>
  <c r="CD400" i="6"/>
  <c r="CR377" i="6"/>
  <c r="CB416" i="6"/>
  <c r="CD390" i="6"/>
  <c r="CR362" i="6"/>
  <c r="AE14" i="6"/>
  <c r="CC205" i="6"/>
  <c r="CC368" i="6"/>
  <c r="AC400" i="6"/>
  <c r="AE565" i="6"/>
  <c r="CC165" i="6"/>
  <c r="CP653" i="6"/>
  <c r="AC184" i="6"/>
  <c r="P252" i="6"/>
  <c r="BX232" i="6"/>
  <c r="CH232" i="6" s="1"/>
  <c r="BY39" i="6"/>
  <c r="CI39" i="6" s="1"/>
  <c r="AC166" i="6"/>
  <c r="CM211" i="6"/>
  <c r="CW211" i="6" s="1"/>
  <c r="CQ574" i="6"/>
  <c r="CM570" i="6"/>
  <c r="CW570" i="6" s="1"/>
  <c r="CN156" i="6"/>
  <c r="CX156" i="6" s="1"/>
  <c r="BZ304" i="6"/>
  <c r="CJ304" i="6" s="1"/>
  <c r="CL390" i="6"/>
  <c r="CV390" i="6" s="1"/>
  <c r="CM94" i="6"/>
  <c r="CW94" i="6" s="1"/>
  <c r="CM87" i="6"/>
  <c r="CW87" i="6" s="1"/>
  <c r="BZ17" i="6"/>
  <c r="CJ17" i="6" s="1"/>
  <c r="BX399" i="6"/>
  <c r="CH399" i="6" s="1"/>
  <c r="AE176" i="6"/>
  <c r="CL151" i="6"/>
  <c r="CV151" i="6" s="1"/>
  <c r="BZ400" i="6"/>
  <c r="CJ400" i="6" s="1"/>
  <c r="BZ377" i="6"/>
  <c r="CJ377" i="6" s="1"/>
  <c r="BX416" i="6"/>
  <c r="CH416" i="6" s="1"/>
  <c r="BY90" i="6"/>
  <c r="CI90" i="6" s="1"/>
  <c r="CR390" i="6"/>
  <c r="CN362" i="6"/>
  <c r="CX362" i="6" s="1"/>
  <c r="BX374" i="6"/>
  <c r="BY205" i="6"/>
  <c r="CI205" i="6" s="1"/>
  <c r="AE378" i="6"/>
  <c r="BY368" i="6"/>
  <c r="CI368" i="6" s="1"/>
  <c r="AC242" i="6"/>
  <c r="BY165" i="6"/>
  <c r="CI165" i="6" s="1"/>
  <c r="CN642" i="6"/>
  <c r="CX642" i="6" s="1"/>
  <c r="BY643" i="6"/>
  <c r="CI643" i="6" s="1"/>
  <c r="CL653" i="6"/>
  <c r="CV653" i="6" s="1"/>
  <c r="AE657" i="6"/>
  <c r="CL665" i="6"/>
  <c r="CV665" i="6" s="1"/>
  <c r="AE597" i="6"/>
  <c r="CC94" i="6"/>
  <c r="BY76" i="6"/>
  <c r="CI76" i="6" s="1"/>
  <c r="CR17" i="6"/>
  <c r="AD414" i="6"/>
  <c r="CB399" i="6"/>
  <c r="CN176" i="6"/>
  <c r="CX176" i="6" s="1"/>
  <c r="CB151" i="6"/>
  <c r="AE145" i="6"/>
  <c r="AD404" i="6"/>
  <c r="AE373" i="6"/>
  <c r="CR14" i="6"/>
  <c r="CR378" i="6"/>
  <c r="CB400" i="6"/>
  <c r="CN565" i="6"/>
  <c r="CX565" i="6" s="1"/>
  <c r="CL242" i="6"/>
  <c r="CV242" i="6" s="1"/>
  <c r="CC643" i="6"/>
  <c r="CR657" i="6"/>
  <c r="BX184" i="6"/>
  <c r="CH184" i="6" s="1"/>
  <c r="CC76" i="6"/>
  <c r="CP399" i="6"/>
  <c r="CR176" i="6"/>
  <c r="CP373" i="6"/>
  <c r="CN14" i="6"/>
  <c r="CX14" i="6" s="1"/>
  <c r="AE369" i="6"/>
  <c r="BZ378" i="6"/>
  <c r="CJ378" i="6" s="1"/>
  <c r="AC106" i="6"/>
  <c r="BX400" i="6"/>
  <c r="CH400" i="6" s="1"/>
  <c r="CR565" i="6"/>
  <c r="CP242" i="6"/>
  <c r="CQ643" i="6"/>
  <c r="CN657" i="6"/>
  <c r="CX657" i="6" s="1"/>
  <c r="CB184" i="6"/>
  <c r="BM271" i="6"/>
  <c r="CV19" i="6"/>
  <c r="CI67" i="6"/>
  <c r="P680" i="6"/>
  <c r="P234" i="6"/>
  <c r="CC646" i="6"/>
  <c r="BY646" i="6"/>
  <c r="CI646" i="6" s="1"/>
  <c r="CM646" i="6"/>
  <c r="CW646" i="6" s="1"/>
  <c r="AD646" i="6"/>
  <c r="CQ646" i="6"/>
  <c r="BP646" i="6"/>
  <c r="CM627" i="6"/>
  <c r="CW627" i="6" s="1"/>
  <c r="BY627" i="6"/>
  <c r="CI627" i="6" s="1"/>
  <c r="BP627" i="6"/>
  <c r="CC627" i="6"/>
  <c r="CQ627" i="6"/>
  <c r="AD627" i="6"/>
  <c r="CL646" i="6"/>
  <c r="CV646" i="6" s="1"/>
  <c r="BO646" i="6"/>
  <c r="CB646" i="6"/>
  <c r="CP646" i="6"/>
  <c r="BX646" i="6"/>
  <c r="CH646" i="6" s="1"/>
  <c r="AC646" i="6"/>
  <c r="CC127" i="6"/>
  <c r="AD127" i="6"/>
  <c r="CQ127" i="6"/>
  <c r="BY127" i="6"/>
  <c r="CI127" i="6" s="1"/>
  <c r="CM127" i="6"/>
  <c r="CW127" i="6" s="1"/>
  <c r="CP651" i="6"/>
  <c r="AC651" i="6"/>
  <c r="CB651" i="6"/>
  <c r="BO651" i="6"/>
  <c r="CL651" i="6"/>
  <c r="CV651" i="6" s="1"/>
  <c r="BX651" i="6"/>
  <c r="CH651" i="6" s="1"/>
  <c r="BX625" i="6"/>
  <c r="CH625" i="6" s="1"/>
  <c r="CB625" i="6"/>
  <c r="BO625" i="6"/>
  <c r="CR147" i="6"/>
  <c r="CN147" i="6"/>
  <c r="CX147" i="6" s="1"/>
  <c r="BZ147" i="6"/>
  <c r="CJ147" i="6" s="1"/>
  <c r="AE147" i="6"/>
  <c r="CR32" i="6"/>
  <c r="CD32" i="6"/>
  <c r="CN32" i="6"/>
  <c r="CX32" i="6" s="1"/>
  <c r="BQ32" i="6"/>
  <c r="BZ32" i="6"/>
  <c r="CJ32" i="6" s="1"/>
  <c r="AE32" i="6"/>
  <c r="CL647" i="6"/>
  <c r="CV647" i="6" s="1"/>
  <c r="BO647" i="6"/>
  <c r="BX647" i="6"/>
  <c r="CH647" i="6" s="1"/>
  <c r="AC647" i="6"/>
  <c r="CP647" i="6"/>
  <c r="CB647" i="6"/>
  <c r="O680" i="6"/>
  <c r="BX680" i="6" s="1"/>
  <c r="CH680" i="6" s="1"/>
  <c r="BP652" i="6"/>
  <c r="CC652" i="6"/>
  <c r="CM652" i="6"/>
  <c r="CW652" i="6" s="1"/>
  <c r="CQ652" i="6"/>
  <c r="BY652" i="6"/>
  <c r="CI652" i="6" s="1"/>
  <c r="AD652" i="6"/>
  <c r="CB147" i="6"/>
  <c r="BX147" i="6"/>
  <c r="CH147" i="6" s="1"/>
  <c r="CP147" i="6"/>
  <c r="AC147" i="6"/>
  <c r="P219" i="6"/>
  <c r="Q219" i="6"/>
  <c r="BL219" i="6" s="1"/>
  <c r="CR625" i="6"/>
  <c r="CM626" i="6"/>
  <c r="CW626" i="6" s="1"/>
  <c r="CQ626" i="6"/>
  <c r="CL631" i="6"/>
  <c r="CV631" i="6" s="1"/>
  <c r="BY633" i="6"/>
  <c r="CI633" i="6" s="1"/>
  <c r="CQ625" i="6"/>
  <c r="BZ631" i="6"/>
  <c r="CJ631" i="6" s="1"/>
  <c r="CW16" i="6"/>
  <c r="AD647" i="6"/>
  <c r="CQ647" i="6"/>
  <c r="CC648" i="6"/>
  <c r="AC648" i="6"/>
  <c r="CP648" i="6"/>
  <c r="CC649" i="6"/>
  <c r="CP649" i="6"/>
  <c r="CN652" i="6"/>
  <c r="CX652" i="6" s="1"/>
  <c r="CN681" i="6"/>
  <c r="CX681" i="6" s="1"/>
  <c r="BY683" i="6"/>
  <c r="CI683" i="6" s="1"/>
  <c r="AC234" i="6"/>
  <c r="CQ629" i="6"/>
  <c r="CD627" i="6"/>
  <c r="BX626" i="6"/>
  <c r="CH626" i="6" s="1"/>
  <c r="CL625" i="6"/>
  <c r="CV625" i="6" s="1"/>
  <c r="CP277" i="6"/>
  <c r="AC277" i="6"/>
  <c r="BA277" i="6" s="1"/>
  <c r="CL277" i="6"/>
  <c r="CV277" i="6" s="1"/>
  <c r="BX277" i="6"/>
  <c r="CH277" i="6" s="1"/>
  <c r="CB277" i="6"/>
  <c r="CN651" i="6"/>
  <c r="CX651" i="6" s="1"/>
  <c r="BZ651" i="6"/>
  <c r="CJ651" i="6" s="1"/>
  <c r="BQ651" i="6"/>
  <c r="AE651" i="6"/>
  <c r="CD651" i="6"/>
  <c r="CR651" i="6"/>
  <c r="CL252" i="6"/>
  <c r="CV252" i="6" s="1"/>
  <c r="AC252" i="6"/>
  <c r="CP252" i="6"/>
  <c r="BX252" i="6"/>
  <c r="CH252" i="6" s="1"/>
  <c r="CB252" i="6"/>
  <c r="CB650" i="6"/>
  <c r="CL650" i="6"/>
  <c r="CV650" i="6" s="1"/>
  <c r="BO650" i="6"/>
  <c r="BX650" i="6"/>
  <c r="CH650" i="6" s="1"/>
  <c r="AC650" i="6"/>
  <c r="CP650" i="6"/>
  <c r="BZ138" i="6"/>
  <c r="CJ138" i="6" s="1"/>
  <c r="BQ138" i="6"/>
  <c r="CN138" i="6"/>
  <c r="CX138" i="6" s="1"/>
  <c r="CR138" i="6"/>
  <c r="AE138" i="6"/>
  <c r="CD138" i="6"/>
  <c r="CR650" i="6"/>
  <c r="BZ650" i="6"/>
  <c r="CJ650" i="6" s="1"/>
  <c r="BM650" i="6"/>
  <c r="CD650" i="6"/>
  <c r="CN650" i="6"/>
  <c r="CX650" i="6" s="1"/>
  <c r="AE650" i="6"/>
  <c r="CN632" i="6"/>
  <c r="CX632" i="6" s="1"/>
  <c r="BZ632" i="6"/>
  <c r="CJ632" i="6" s="1"/>
  <c r="CR632" i="6"/>
  <c r="AE632" i="6"/>
  <c r="CD632" i="6"/>
  <c r="BM632" i="6"/>
  <c r="P239" i="6"/>
  <c r="BF239" i="6" s="1"/>
  <c r="BX138" i="6"/>
  <c r="CH138" i="6" s="1"/>
  <c r="CL138" i="6"/>
  <c r="CV138" i="6" s="1"/>
  <c r="BO138" i="6"/>
  <c r="AC138" i="6"/>
  <c r="CP138" i="6"/>
  <c r="CB138" i="6"/>
  <c r="CN626" i="6"/>
  <c r="CX626" i="6" s="1"/>
  <c r="CR626" i="6"/>
  <c r="CD626" i="6"/>
  <c r="AE626" i="6"/>
  <c r="CM632" i="6"/>
  <c r="CW632" i="6" s="1"/>
  <c r="CQ632" i="6"/>
  <c r="BY632" i="6"/>
  <c r="CI632" i="6" s="1"/>
  <c r="AD632" i="6"/>
  <c r="CC632" i="6"/>
  <c r="BG632" i="6"/>
  <c r="BX633" i="6"/>
  <c r="CH633" i="6" s="1"/>
  <c r="CP633" i="6"/>
  <c r="CB633" i="6"/>
  <c r="AC633" i="6"/>
  <c r="CL633" i="6"/>
  <c r="CV633" i="6" s="1"/>
  <c r="CR646" i="6"/>
  <c r="BZ646" i="6"/>
  <c r="CJ646" i="6" s="1"/>
  <c r="CD646" i="6"/>
  <c r="CN646" i="6"/>
  <c r="CX646" i="6" s="1"/>
  <c r="AE646" i="6"/>
  <c r="CM628" i="6"/>
  <c r="CW628" i="6" s="1"/>
  <c r="BY628" i="6"/>
  <c r="CI628" i="6" s="1"/>
  <c r="CC628" i="6"/>
  <c r="AD628" i="6"/>
  <c r="Q252" i="6"/>
  <c r="CC686" i="6"/>
  <c r="CM686" i="6"/>
  <c r="CW686" i="6" s="1"/>
  <c r="BP686" i="6"/>
  <c r="CQ686" i="6"/>
  <c r="AD686" i="6"/>
  <c r="BY686" i="6"/>
  <c r="CI686" i="6" s="1"/>
  <c r="CR629" i="6"/>
  <c r="CD629" i="6"/>
  <c r="CN629" i="6"/>
  <c r="CX629" i="6" s="1"/>
  <c r="BQ629" i="6"/>
  <c r="BZ629" i="6"/>
  <c r="CJ629" i="6" s="1"/>
  <c r="AE629" i="6"/>
  <c r="BZ625" i="6"/>
  <c r="CJ625" i="6" s="1"/>
  <c r="AE625" i="6"/>
  <c r="AD626" i="6"/>
  <c r="AC631" i="6"/>
  <c r="CB631" i="6"/>
  <c r="CQ633" i="6"/>
  <c r="AD633" i="6"/>
  <c r="CM625" i="6"/>
  <c r="CW625" i="6" s="1"/>
  <c r="CN631" i="6"/>
  <c r="CX631" i="6" s="1"/>
  <c r="CM647" i="6"/>
  <c r="CW647" i="6" s="1"/>
  <c r="CQ648" i="6"/>
  <c r="CL648" i="6"/>
  <c r="CV648" i="6" s="1"/>
  <c r="BY649" i="6"/>
  <c r="CI649" i="6" s="1"/>
  <c r="AC649" i="6"/>
  <c r="CL649" i="6"/>
  <c r="CV649" i="6" s="1"/>
  <c r="CR652" i="6"/>
  <c r="CD681" i="6"/>
  <c r="CQ683" i="6"/>
  <c r="CI216" i="6"/>
  <c r="CC629" i="6"/>
  <c r="BZ627" i="6"/>
  <c r="CJ627" i="6" s="1"/>
  <c r="CL626" i="6"/>
  <c r="CV626" i="6" s="1"/>
  <c r="BZ649" i="6"/>
  <c r="CJ649" i="6" s="1"/>
  <c r="AE649" i="6"/>
  <c r="CN649" i="6"/>
  <c r="CX649" i="6" s="1"/>
  <c r="BM649" i="6"/>
  <c r="CD649" i="6"/>
  <c r="CR649" i="6"/>
  <c r="AD138" i="6"/>
  <c r="CQ138" i="6"/>
  <c r="CC138" i="6"/>
  <c r="BP138" i="6"/>
  <c r="CM138" i="6"/>
  <c r="CW138" i="6" s="1"/>
  <c r="BY138" i="6"/>
  <c r="CI138" i="6" s="1"/>
  <c r="CB630" i="6"/>
  <c r="AC630" i="6"/>
  <c r="BX630" i="6"/>
  <c r="CH630" i="6" s="1"/>
  <c r="CP630" i="6"/>
  <c r="BO630" i="6"/>
  <c r="CL630" i="6"/>
  <c r="CV630" i="6" s="1"/>
  <c r="CL234" i="6"/>
  <c r="CV234" i="6" s="1"/>
  <c r="CB629" i="6"/>
  <c r="CL629" i="6"/>
  <c r="CV629" i="6" s="1"/>
  <c r="BX629" i="6"/>
  <c r="CH629" i="6" s="1"/>
  <c r="BA629" i="6"/>
  <c r="CP629" i="6"/>
  <c r="AC629" i="6"/>
  <c r="BZ647" i="6"/>
  <c r="CJ647" i="6" s="1"/>
  <c r="AE647" i="6"/>
  <c r="CN647" i="6"/>
  <c r="CX647" i="6" s="1"/>
  <c r="CR647" i="6"/>
  <c r="CD647" i="6"/>
  <c r="CN127" i="6"/>
  <c r="CX127" i="6" s="1"/>
  <c r="AE127" i="6"/>
  <c r="BZ127" i="6"/>
  <c r="CJ127" i="6" s="1"/>
  <c r="BQ127" i="6"/>
  <c r="CR127" i="6"/>
  <c r="CD127" i="6"/>
  <c r="CB632" i="6"/>
  <c r="BA632" i="6"/>
  <c r="BX632" i="6"/>
  <c r="CH632" i="6" s="1"/>
  <c r="CL632" i="6"/>
  <c r="CV632" i="6" s="1"/>
  <c r="CP632" i="6"/>
  <c r="AC632" i="6"/>
  <c r="CP683" i="6"/>
  <c r="BA683" i="6"/>
  <c r="BX683" i="6"/>
  <c r="CH683" i="6" s="1"/>
  <c r="CB683" i="6"/>
  <c r="CL683" i="6"/>
  <c r="CV683" i="6" s="1"/>
  <c r="AC683" i="6"/>
  <c r="BX684" i="6"/>
  <c r="CH684" i="6" s="1"/>
  <c r="CB684" i="6"/>
  <c r="CL684" i="6"/>
  <c r="CV684" i="6" s="1"/>
  <c r="BO684" i="6"/>
  <c r="CP684" i="6"/>
  <c r="AC684" i="6"/>
  <c r="BY147" i="6"/>
  <c r="CI147" i="6" s="1"/>
  <c r="CM147" i="6"/>
  <c r="CW147" i="6" s="1"/>
  <c r="CC147" i="6"/>
  <c r="CQ147" i="6"/>
  <c r="AD147" i="6"/>
  <c r="BZ682" i="6"/>
  <c r="CJ682" i="6" s="1"/>
  <c r="CD682" i="6"/>
  <c r="AE682" i="6"/>
  <c r="CN682" i="6"/>
  <c r="CX682" i="6" s="1"/>
  <c r="BQ682" i="6"/>
  <c r="CR682" i="6"/>
  <c r="CD628" i="6"/>
  <c r="AE628" i="6"/>
  <c r="BZ628" i="6"/>
  <c r="CJ628" i="6" s="1"/>
  <c r="CR628" i="6"/>
  <c r="BM628" i="6"/>
  <c r="BZ683" i="6"/>
  <c r="CJ683" i="6" s="1"/>
  <c r="AE683" i="6"/>
  <c r="CD683" i="6"/>
  <c r="BQ683" i="6"/>
  <c r="CN683" i="6"/>
  <c r="CX683" i="6" s="1"/>
  <c r="CR683" i="6"/>
  <c r="CP681" i="6"/>
  <c r="AC681" i="6"/>
  <c r="BX681" i="6"/>
  <c r="CH681" i="6" s="1"/>
  <c r="CB681" i="6"/>
  <c r="CL681" i="6"/>
  <c r="CV681" i="6" s="1"/>
  <c r="BO681" i="6"/>
  <c r="CN625" i="6"/>
  <c r="CX625" i="6" s="1"/>
  <c r="CC626" i="6"/>
  <c r="CP631" i="6"/>
  <c r="CM633" i="6"/>
  <c r="CW633" i="6" s="1"/>
  <c r="AD625" i="6"/>
  <c r="CC625" i="6"/>
  <c r="CD631" i="6"/>
  <c r="CC647" i="6"/>
  <c r="AD648" i="6"/>
  <c r="CM648" i="6"/>
  <c r="CW648" i="6" s="1"/>
  <c r="BX648" i="6"/>
  <c r="CH648" i="6" s="1"/>
  <c r="CQ649" i="6"/>
  <c r="CB649" i="6"/>
  <c r="AE652" i="6"/>
  <c r="CD652" i="6"/>
  <c r="CM683" i="6"/>
  <c r="CW683" i="6" s="1"/>
  <c r="BX234" i="6"/>
  <c r="CH234" i="6" s="1"/>
  <c r="AD629" i="6"/>
  <c r="BY629" i="6"/>
  <c r="CI629" i="6" s="1"/>
  <c r="CN627" i="6"/>
  <c r="CX627" i="6" s="1"/>
  <c r="AC625" i="6"/>
  <c r="CD147" i="6"/>
  <c r="CL147" i="6"/>
  <c r="CV147" i="6" s="1"/>
  <c r="CM650" i="6"/>
  <c r="CW650" i="6" s="1"/>
  <c r="AD650" i="6"/>
  <c r="CC650" i="6"/>
  <c r="CQ650" i="6"/>
  <c r="BY650" i="6"/>
  <c r="CI650" i="6" s="1"/>
  <c r="BG650" i="6"/>
  <c r="BZ681" i="6"/>
  <c r="CJ681" i="6" s="1"/>
  <c r="CB652" i="6"/>
  <c r="CL652" i="6"/>
  <c r="CV652" i="6" s="1"/>
  <c r="CP652" i="6"/>
  <c r="BX652" i="6"/>
  <c r="CH652" i="6" s="1"/>
  <c r="AC652" i="6"/>
  <c r="BX627" i="6"/>
  <c r="CH627" i="6" s="1"/>
  <c r="BA627" i="6"/>
  <c r="CB627" i="6"/>
  <c r="CL627" i="6"/>
  <c r="CV627" i="6" s="1"/>
  <c r="AC627" i="6"/>
  <c r="CP627" i="6"/>
  <c r="BX628" i="6"/>
  <c r="CH628" i="6" s="1"/>
  <c r="CB628" i="6"/>
  <c r="BO628" i="6"/>
  <c r="CL628" i="6"/>
  <c r="CV628" i="6" s="1"/>
  <c r="AC628" i="6"/>
  <c r="O219" i="6"/>
  <c r="AZ219" i="6" s="1"/>
  <c r="CR684" i="6"/>
  <c r="BZ684" i="6"/>
  <c r="CJ684" i="6" s="1"/>
  <c r="BQ684" i="6"/>
  <c r="CD684" i="6"/>
  <c r="AE684" i="6"/>
  <c r="CN684" i="6"/>
  <c r="CX684" i="6" s="1"/>
  <c r="CB626" i="6"/>
  <c r="BZ685" i="6"/>
  <c r="CJ685" i="6" s="1"/>
  <c r="BQ685" i="6"/>
  <c r="CD685" i="6"/>
  <c r="AE685" i="6"/>
  <c r="CN685" i="6"/>
  <c r="CX685" i="6" s="1"/>
  <c r="CR685" i="6"/>
  <c r="AE631" i="6"/>
  <c r="BY648" i="6"/>
  <c r="CI648" i="6" s="1"/>
  <c r="AD649" i="6"/>
  <c r="CR681" i="6"/>
  <c r="AD683" i="6"/>
  <c r="CP234" i="6"/>
  <c r="AE627" i="6"/>
  <c r="CP626" i="6"/>
  <c r="CP625" i="6"/>
  <c r="CP628" i="6"/>
  <c r="CN628" i="6"/>
  <c r="CX628" i="6" s="1"/>
  <c r="BA218" i="6"/>
  <c r="BA43" i="6"/>
  <c r="CJ12" i="6"/>
  <c r="CJ227" i="6"/>
  <c r="CH227" i="6"/>
  <c r="CH10" i="6"/>
  <c r="CV409" i="6"/>
  <c r="CW216" i="6"/>
  <c r="CI143" i="6"/>
  <c r="CJ19" i="6"/>
  <c r="CJ409" i="6"/>
  <c r="CJ174" i="6"/>
  <c r="CX218" i="6"/>
  <c r="CW218" i="6"/>
  <c r="CV216" i="6"/>
  <c r="CH67" i="6"/>
  <c r="CI23" i="6"/>
  <c r="CV174" i="6"/>
  <c r="CX216" i="6"/>
  <c r="CJ143" i="6"/>
  <c r="CX67" i="6"/>
  <c r="CW67" i="6"/>
  <c r="CH23" i="6"/>
  <c r="CW174" i="6"/>
  <c r="CH143" i="6"/>
  <c r="CJ23" i="6"/>
  <c r="CV16" i="6"/>
  <c r="CV10" i="6"/>
  <c r="CX227" i="6"/>
  <c r="CW143" i="6"/>
  <c r="CX19" i="6"/>
  <c r="CW19" i="6"/>
  <c r="CX409" i="6"/>
  <c r="CI269" i="6"/>
  <c r="CX174" i="6"/>
  <c r="CJ218" i="6"/>
  <c r="CI218" i="6"/>
  <c r="CH216" i="6"/>
  <c r="CV67" i="6"/>
  <c r="CW23" i="6"/>
  <c r="CH19" i="6"/>
  <c r="CH174" i="6"/>
  <c r="CJ216" i="6"/>
  <c r="CX143" i="6"/>
  <c r="CJ67" i="6"/>
  <c r="CV23" i="6"/>
  <c r="CH13" i="6"/>
  <c r="CX12" i="6"/>
  <c r="CV143" i="6"/>
  <c r="CX23" i="6"/>
  <c r="AP10" i="5"/>
  <c r="CD233" i="6"/>
  <c r="CN233" i="6"/>
  <c r="CX233" i="6" s="1"/>
  <c r="AE233" i="6"/>
  <c r="BZ233" i="6"/>
  <c r="CJ233" i="6" s="1"/>
  <c r="CR233" i="6"/>
  <c r="CQ93" i="6"/>
  <c r="BY93" i="6"/>
  <c r="CI93" i="6" s="1"/>
  <c r="AD93" i="6"/>
  <c r="CC93" i="6"/>
  <c r="CM93" i="6"/>
  <c r="CW93" i="6" s="1"/>
  <c r="BZ195" i="6"/>
  <c r="CJ195" i="6" s="1"/>
  <c r="AE195" i="6"/>
  <c r="CR195" i="6"/>
  <c r="CD195" i="6"/>
  <c r="CN195" i="6"/>
  <c r="CX195" i="6" s="1"/>
  <c r="CD622" i="6"/>
  <c r="AE622" i="6"/>
  <c r="CN622" i="6"/>
  <c r="CX622" i="6" s="1"/>
  <c r="BZ622" i="6"/>
  <c r="CJ622" i="6" s="1"/>
  <c r="CR622" i="6"/>
  <c r="CL297" i="6"/>
  <c r="CV297" i="6" s="1"/>
  <c r="BX297" i="6"/>
  <c r="CH297" i="6" s="1"/>
  <c r="AC297" i="6"/>
  <c r="CP297" i="6"/>
  <c r="CB297" i="6"/>
  <c r="CB676" i="6"/>
  <c r="CL676" i="6"/>
  <c r="CV676" i="6" s="1"/>
  <c r="CP676" i="6"/>
  <c r="BX676" i="6"/>
  <c r="CH676" i="6" s="1"/>
  <c r="AC676" i="6"/>
  <c r="CR94" i="6"/>
  <c r="CD94" i="6"/>
  <c r="AE94" i="6"/>
  <c r="CN94" i="6"/>
  <c r="CX94" i="6" s="1"/>
  <c r="BZ94" i="6"/>
  <c r="CJ94" i="6" s="1"/>
  <c r="BY679" i="6"/>
  <c r="CI679" i="6" s="1"/>
  <c r="CC679" i="6"/>
  <c r="AD679" i="6"/>
  <c r="CM679" i="6"/>
  <c r="CW679" i="6" s="1"/>
  <c r="CQ679" i="6"/>
  <c r="CP195" i="6"/>
  <c r="CB195" i="6"/>
  <c r="AC195" i="6"/>
  <c r="CL195" i="6"/>
  <c r="CV195" i="6" s="1"/>
  <c r="BX195" i="6"/>
  <c r="CH195" i="6" s="1"/>
  <c r="CQ297" i="6"/>
  <c r="BY297" i="6"/>
  <c r="CI297" i="6" s="1"/>
  <c r="AD297" i="6"/>
  <c r="CC297" i="6"/>
  <c r="CM297" i="6"/>
  <c r="CW297" i="6" s="1"/>
  <c r="CR105" i="6"/>
  <c r="CD105" i="6"/>
  <c r="CN105" i="6"/>
  <c r="CX105" i="6" s="1"/>
  <c r="BZ105" i="6"/>
  <c r="CJ105" i="6" s="1"/>
  <c r="AE105" i="6"/>
  <c r="CR673" i="6"/>
  <c r="AE673" i="6"/>
  <c r="BZ673" i="6"/>
  <c r="CJ673" i="6" s="1"/>
  <c r="CD673" i="6"/>
  <c r="CN673" i="6"/>
  <c r="CX673" i="6" s="1"/>
  <c r="BP29" i="6"/>
  <c r="BG29" i="6"/>
  <c r="BP563" i="6"/>
  <c r="BG563" i="6"/>
  <c r="BG631" i="6"/>
  <c r="BP631" i="6"/>
  <c r="BA624" i="6"/>
  <c r="BO624" i="6"/>
  <c r="BP385" i="6"/>
  <c r="BG385" i="6"/>
  <c r="BQ355" i="6"/>
  <c r="BM355" i="6"/>
  <c r="BO422" i="6"/>
  <c r="BA422" i="6"/>
  <c r="BA569" i="6"/>
  <c r="BO569" i="6"/>
  <c r="BP172" i="6"/>
  <c r="BG172" i="6"/>
  <c r="BQ419" i="6"/>
  <c r="BM419" i="6"/>
  <c r="BA417" i="6"/>
  <c r="BO417" i="6"/>
  <c r="BP260" i="6"/>
  <c r="BG260" i="6"/>
  <c r="BP305" i="6"/>
  <c r="BG305" i="6"/>
  <c r="BO192" i="6"/>
  <c r="BA192" i="6"/>
  <c r="BQ372" i="6"/>
  <c r="BM372" i="6"/>
  <c r="BO231" i="6"/>
  <c r="BA231" i="6"/>
  <c r="BQ577" i="6"/>
  <c r="BM577" i="6"/>
  <c r="BQ694" i="6"/>
  <c r="BA565" i="6"/>
  <c r="BO565" i="6"/>
  <c r="BA249" i="6"/>
  <c r="BO249" i="6"/>
  <c r="BA409" i="6"/>
  <c r="BO409" i="6"/>
  <c r="BP38" i="6"/>
  <c r="BG38" i="6"/>
  <c r="BQ574" i="6"/>
  <c r="BM574" i="6"/>
  <c r="BM171" i="6"/>
  <c r="BQ171" i="6"/>
  <c r="BP216" i="6"/>
  <c r="BG216" i="6"/>
  <c r="BP231" i="6"/>
  <c r="BG231" i="6"/>
  <c r="BP188" i="6"/>
  <c r="BG188" i="6"/>
  <c r="BQ581" i="6"/>
  <c r="BM581" i="6"/>
  <c r="BO254" i="6"/>
  <c r="BO133" i="6"/>
  <c r="BA574" i="6"/>
  <c r="BO574" i="6"/>
  <c r="BP406" i="6"/>
  <c r="BG406" i="6"/>
  <c r="BO394" i="6"/>
  <c r="BA394" i="6"/>
  <c r="BQ308" i="6"/>
  <c r="BM308" i="6"/>
  <c r="BA410" i="6"/>
  <c r="BO410" i="6"/>
  <c r="BQ421" i="6"/>
  <c r="BM421" i="6"/>
  <c r="BP261" i="6"/>
  <c r="BG261" i="6"/>
  <c r="BQ572" i="6"/>
  <c r="BM572" i="6"/>
  <c r="BM262" i="6"/>
  <c r="BQ262" i="6"/>
  <c r="BM648" i="6"/>
  <c r="BQ648" i="6"/>
  <c r="BM174" i="6"/>
  <c r="BQ174" i="6"/>
  <c r="BP218" i="6"/>
  <c r="BG218" i="6"/>
  <c r="BO216" i="6"/>
  <c r="BA216" i="6"/>
  <c r="BQ43" i="6"/>
  <c r="BG201" i="6"/>
  <c r="BP201" i="6"/>
  <c r="BO131" i="6"/>
  <c r="BA131" i="6"/>
  <c r="BP189" i="6"/>
  <c r="BG189" i="6"/>
  <c r="BA32" i="6"/>
  <c r="BO32" i="6"/>
  <c r="BQ568" i="6"/>
  <c r="BM568" i="6"/>
  <c r="BP212" i="6"/>
  <c r="BG212" i="6"/>
  <c r="BO134" i="6"/>
  <c r="BP564" i="6"/>
  <c r="BG564" i="6"/>
  <c r="BG302" i="6"/>
  <c r="BP302" i="6"/>
  <c r="BQ417" i="6"/>
  <c r="BM417" i="6"/>
  <c r="BA618" i="6"/>
  <c r="BO618" i="6"/>
  <c r="BO174" i="6"/>
  <c r="BA174" i="6"/>
  <c r="BQ143" i="6"/>
  <c r="BM143" i="6"/>
  <c r="BP67" i="6"/>
  <c r="BG67" i="6"/>
  <c r="BP398" i="6"/>
  <c r="BG398" i="6"/>
  <c r="BP132" i="6"/>
  <c r="BG132" i="6"/>
  <c r="BO236" i="6"/>
  <c r="BA236" i="6"/>
  <c r="BQ236" i="6"/>
  <c r="BM236" i="6"/>
  <c r="BP227" i="6"/>
  <c r="BP83" i="6"/>
  <c r="BG83" i="6"/>
  <c r="BQ154" i="6"/>
  <c r="BM154" i="6"/>
  <c r="BP694" i="6"/>
  <c r="BG694" i="6"/>
  <c r="BQ99" i="6"/>
  <c r="BM99" i="6"/>
  <c r="BO389" i="6"/>
  <c r="BA389" i="6"/>
  <c r="BP249" i="6"/>
  <c r="BG249" i="6"/>
  <c r="BQ619" i="6"/>
  <c r="BM619" i="6"/>
  <c r="BG174" i="6"/>
  <c r="BP174" i="6"/>
  <c r="BM23" i="6"/>
  <c r="BQ23" i="6"/>
  <c r="P135" i="6"/>
  <c r="BF135" i="6" s="1"/>
  <c r="CD193" i="6"/>
  <c r="CN193" i="6"/>
  <c r="CX193" i="6" s="1"/>
  <c r="BZ193" i="6"/>
  <c r="CJ193" i="6" s="1"/>
  <c r="CR193" i="6"/>
  <c r="AE193" i="6"/>
  <c r="CB193" i="6"/>
  <c r="CL193" i="6"/>
  <c r="CV193" i="6" s="1"/>
  <c r="BX193" i="6"/>
  <c r="CH193" i="6" s="1"/>
  <c r="CP193" i="6"/>
  <c r="AC193" i="6"/>
  <c r="CN623" i="6"/>
  <c r="CX623" i="6" s="1"/>
  <c r="BZ623" i="6"/>
  <c r="CJ623" i="6" s="1"/>
  <c r="AE623" i="6"/>
  <c r="CR623" i="6"/>
  <c r="CD623" i="6"/>
  <c r="BY621" i="6"/>
  <c r="CI621" i="6" s="1"/>
  <c r="AD621" i="6"/>
  <c r="CC621" i="6"/>
  <c r="CM621" i="6"/>
  <c r="CW621" i="6" s="1"/>
  <c r="CQ621" i="6"/>
  <c r="CC620" i="6"/>
  <c r="CM620" i="6"/>
  <c r="CW620" i="6" s="1"/>
  <c r="CQ620" i="6"/>
  <c r="BY620" i="6"/>
  <c r="CI620" i="6" s="1"/>
  <c r="AD620" i="6"/>
  <c r="BY193" i="6"/>
  <c r="CI193" i="6" s="1"/>
  <c r="CC193" i="6"/>
  <c r="CM193" i="6"/>
  <c r="CW193" i="6" s="1"/>
  <c r="CQ193" i="6"/>
  <c r="AD193" i="6"/>
  <c r="BY232" i="6"/>
  <c r="CI232" i="6" s="1"/>
  <c r="CC232" i="6"/>
  <c r="CM232" i="6"/>
  <c r="CW232" i="6" s="1"/>
  <c r="CQ232" i="6"/>
  <c r="AD232" i="6"/>
  <c r="CQ674" i="6"/>
  <c r="BY674" i="6"/>
  <c r="CI674" i="6" s="1"/>
  <c r="CC674" i="6"/>
  <c r="CM674" i="6"/>
  <c r="CW674" i="6" s="1"/>
  <c r="AD674" i="6"/>
  <c r="CB675" i="6"/>
  <c r="CL675" i="6"/>
  <c r="CV675" i="6" s="1"/>
  <c r="CP675" i="6"/>
  <c r="BX675" i="6"/>
  <c r="CH675" i="6" s="1"/>
  <c r="AC675" i="6"/>
  <c r="CM675" i="6"/>
  <c r="CW675" i="6" s="1"/>
  <c r="CQ675" i="6"/>
  <c r="AD675" i="6"/>
  <c r="BY675" i="6"/>
  <c r="CI675" i="6" s="1"/>
  <c r="CC675" i="6"/>
  <c r="CM678" i="6"/>
  <c r="CW678" i="6" s="1"/>
  <c r="CQ678" i="6"/>
  <c r="AD678" i="6"/>
  <c r="BY678" i="6"/>
  <c r="CI678" i="6" s="1"/>
  <c r="CC678" i="6"/>
  <c r="CR674" i="6"/>
  <c r="BZ674" i="6"/>
  <c r="CJ674" i="6" s="1"/>
  <c r="CD674" i="6"/>
  <c r="CN674" i="6"/>
  <c r="CX674" i="6" s="1"/>
  <c r="AE674" i="6"/>
  <c r="CC169" i="6"/>
  <c r="CM169" i="6"/>
  <c r="CW169" i="6" s="1"/>
  <c r="CQ169" i="6"/>
  <c r="AD169" i="6"/>
  <c r="BY169" i="6"/>
  <c r="CI169" i="6" s="1"/>
  <c r="BX169" i="6"/>
  <c r="CH169" i="6" s="1"/>
  <c r="CP169" i="6"/>
  <c r="CB169" i="6"/>
  <c r="CL169" i="6"/>
  <c r="CV169" i="6" s="1"/>
  <c r="AC169" i="6"/>
  <c r="BX620" i="6"/>
  <c r="CH620" i="6" s="1"/>
  <c r="AC620" i="6"/>
  <c r="CP620" i="6"/>
  <c r="CB620" i="6"/>
  <c r="CL620" i="6"/>
  <c r="CV620" i="6" s="1"/>
  <c r="AE232" i="6"/>
  <c r="BZ232" i="6"/>
  <c r="CJ232" i="6" s="1"/>
  <c r="CR232" i="6"/>
  <c r="CD232" i="6"/>
  <c r="CN232" i="6"/>
  <c r="CX232" i="6" s="1"/>
  <c r="CQ233" i="6"/>
  <c r="BY233" i="6"/>
  <c r="CI233" i="6" s="1"/>
  <c r="CC233" i="6"/>
  <c r="CM233" i="6"/>
  <c r="CW233" i="6" s="1"/>
  <c r="AD233" i="6"/>
  <c r="BP393" i="6"/>
  <c r="BG393" i="6"/>
  <c r="BO185" i="6"/>
  <c r="BP399" i="6"/>
  <c r="BG399" i="6"/>
  <c r="BP371" i="6"/>
  <c r="BG371" i="6"/>
  <c r="BQ582" i="6"/>
  <c r="BM582" i="6"/>
  <c r="BO388" i="6"/>
  <c r="BA388" i="6"/>
  <c r="BQ633" i="6"/>
  <c r="BM633" i="6"/>
  <c r="BP684" i="6"/>
  <c r="BG684" i="6"/>
  <c r="BG685" i="6"/>
  <c r="BP685" i="6"/>
  <c r="BP687" i="6"/>
  <c r="BG687" i="6"/>
  <c r="BO616" i="6"/>
  <c r="BQ19" i="6"/>
  <c r="BM19" i="6"/>
  <c r="BO196" i="6"/>
  <c r="BQ303" i="6"/>
  <c r="BM303" i="6"/>
  <c r="BP386" i="6"/>
  <c r="BG386" i="6"/>
  <c r="BO114" i="6"/>
  <c r="BA114" i="6"/>
  <c r="BO311" i="6"/>
  <c r="BA311" i="6"/>
  <c r="BM291" i="6"/>
  <c r="BQ291" i="6"/>
  <c r="BP196" i="6"/>
  <c r="BG196" i="6"/>
  <c r="BO362" i="6"/>
  <c r="BA362" i="6"/>
  <c r="BQ418" i="6"/>
  <c r="BM418" i="6"/>
  <c r="BP313" i="6"/>
  <c r="BG313" i="6"/>
  <c r="BO58" i="6"/>
  <c r="BA58" i="6"/>
  <c r="BA690" i="6"/>
  <c r="BO690" i="6"/>
  <c r="BG314" i="6"/>
  <c r="BP314" i="6"/>
  <c r="BP304" i="6"/>
  <c r="BG304" i="6"/>
  <c r="BM167" i="6"/>
  <c r="BQ167" i="6"/>
  <c r="BO306" i="6"/>
  <c r="BA306" i="6"/>
  <c r="BP23" i="6"/>
  <c r="BG23" i="6"/>
  <c r="BQ66" i="6"/>
  <c r="BP375" i="6"/>
  <c r="BG375" i="6"/>
  <c r="AW10" i="5"/>
  <c r="BM394" i="6"/>
  <c r="BQ394" i="6"/>
  <c r="BG89" i="6"/>
  <c r="BP89" i="6"/>
  <c r="BQ55" i="6"/>
  <c r="BM55" i="6"/>
  <c r="BQ170" i="6"/>
  <c r="BM170" i="6"/>
  <c r="BP567" i="6"/>
  <c r="BG567" i="6"/>
  <c r="BP394" i="6"/>
  <c r="BG394" i="6"/>
  <c r="BG291" i="6"/>
  <c r="BP291" i="6"/>
  <c r="BQ408" i="6"/>
  <c r="BM408" i="6"/>
  <c r="BQ148" i="6"/>
  <c r="BM148" i="6"/>
  <c r="BP254" i="6"/>
  <c r="BO682" i="6"/>
  <c r="BA682" i="6"/>
  <c r="BO687" i="6"/>
  <c r="BA687" i="6"/>
  <c r="BQ315" i="6"/>
  <c r="BM315" i="6"/>
  <c r="BQ302" i="6"/>
  <c r="BM302" i="6"/>
  <c r="BG81" i="6"/>
  <c r="BP81" i="6"/>
  <c r="BP154" i="6"/>
  <c r="BG154" i="6"/>
  <c r="BQ344" i="6"/>
  <c r="BM344" i="6"/>
  <c r="BO346" i="6"/>
  <c r="BA346" i="6"/>
  <c r="BA343" i="6"/>
  <c r="BO343" i="6"/>
  <c r="BQ245" i="6"/>
  <c r="BM245" i="6"/>
  <c r="BQ146" i="6"/>
  <c r="BM146" i="6"/>
  <c r="BO407" i="6"/>
  <c r="BA407" i="6"/>
  <c r="BG580" i="6"/>
  <c r="BP580" i="6"/>
  <c r="BQ60" i="6"/>
  <c r="BM60" i="6"/>
  <c r="BP681" i="6"/>
  <c r="BG681" i="6"/>
  <c r="O135" i="6"/>
  <c r="AZ135" i="6" s="1"/>
  <c r="CD680" i="6"/>
  <c r="CN680" i="6"/>
  <c r="CX680" i="6" s="1"/>
  <c r="AE680" i="6"/>
  <c r="CR680" i="6"/>
  <c r="BZ680" i="6"/>
  <c r="CJ680" i="6" s="1"/>
  <c r="BZ676" i="6"/>
  <c r="CJ676" i="6" s="1"/>
  <c r="CD676" i="6"/>
  <c r="AE676" i="6"/>
  <c r="CN676" i="6"/>
  <c r="CX676" i="6" s="1"/>
  <c r="CR676" i="6"/>
  <c r="CP622" i="6"/>
  <c r="CB622" i="6"/>
  <c r="AC622" i="6"/>
  <c r="CL622" i="6"/>
  <c r="CV622" i="6" s="1"/>
  <c r="BX622" i="6"/>
  <c r="CH622" i="6" s="1"/>
  <c r="CD169" i="6"/>
  <c r="AE169" i="6"/>
  <c r="CN169" i="6"/>
  <c r="CX169" i="6" s="1"/>
  <c r="BZ169" i="6"/>
  <c r="CJ169" i="6" s="1"/>
  <c r="CR169" i="6"/>
  <c r="CQ120" i="6"/>
  <c r="BY120" i="6"/>
  <c r="CI120" i="6" s="1"/>
  <c r="AD120" i="6"/>
  <c r="CC120" i="6"/>
  <c r="CM120" i="6"/>
  <c r="CW120" i="6" s="1"/>
  <c r="BZ297" i="6"/>
  <c r="CJ297" i="6" s="1"/>
  <c r="CR297" i="6"/>
  <c r="CD297" i="6"/>
  <c r="CN297" i="6"/>
  <c r="CX297" i="6" s="1"/>
  <c r="AE297" i="6"/>
  <c r="CP673" i="6"/>
  <c r="BX673" i="6"/>
  <c r="CH673" i="6" s="1"/>
  <c r="CB673" i="6"/>
  <c r="CL673" i="6"/>
  <c r="CV673" i="6" s="1"/>
  <c r="AC673" i="6"/>
  <c r="CD234" i="6"/>
  <c r="CN234" i="6"/>
  <c r="CX234" i="6" s="1"/>
  <c r="CR234" i="6"/>
  <c r="AE234" i="6"/>
  <c r="BZ234" i="6"/>
  <c r="CJ234" i="6" s="1"/>
  <c r="BZ679" i="6"/>
  <c r="CJ679" i="6" s="1"/>
  <c r="CD679" i="6"/>
  <c r="CN679" i="6"/>
  <c r="CX679" i="6" s="1"/>
  <c r="CR679" i="6"/>
  <c r="AE679" i="6"/>
  <c r="CB139" i="6"/>
  <c r="CL139" i="6"/>
  <c r="CV139" i="6" s="1"/>
  <c r="AC139" i="6"/>
  <c r="CP139" i="6"/>
  <c r="BX139" i="6"/>
  <c r="CH139" i="6" s="1"/>
  <c r="CR93" i="6"/>
  <c r="CD93" i="6"/>
  <c r="AE93" i="6"/>
  <c r="CN93" i="6"/>
  <c r="CX93" i="6" s="1"/>
  <c r="BZ93" i="6"/>
  <c r="CJ93" i="6" s="1"/>
  <c r="CR675" i="6"/>
  <c r="BZ675" i="6"/>
  <c r="CJ675" i="6" s="1"/>
  <c r="CD675" i="6"/>
  <c r="CN675" i="6"/>
  <c r="CX675" i="6" s="1"/>
  <c r="AE675" i="6"/>
  <c r="BG387" i="6"/>
  <c r="BP387" i="6"/>
  <c r="BO189" i="6"/>
  <c r="BA189" i="6"/>
  <c r="BO383" i="6"/>
  <c r="BA383" i="6"/>
  <c r="BO212" i="6"/>
  <c r="BA212" i="6"/>
  <c r="BA345" i="6"/>
  <c r="BO345" i="6"/>
  <c r="BP343" i="6"/>
  <c r="BG343" i="6"/>
  <c r="BA10" i="6"/>
  <c r="BP411" i="6"/>
  <c r="BG411" i="6"/>
  <c r="BP16" i="6"/>
  <c r="BG16" i="6"/>
  <c r="BO35" i="6"/>
  <c r="BP242" i="6"/>
  <c r="BQ392" i="6"/>
  <c r="BM392" i="6"/>
  <c r="BP619" i="6"/>
  <c r="BG619" i="6"/>
  <c r="BP380" i="6"/>
  <c r="BG380" i="6"/>
  <c r="BA414" i="6"/>
  <c r="BO414" i="6"/>
  <c r="BO201" i="6"/>
  <c r="BA201" i="6"/>
  <c r="BP624" i="6"/>
  <c r="BG624" i="6"/>
  <c r="BM409" i="6"/>
  <c r="BQ409" i="6"/>
  <c r="BO81" i="6"/>
  <c r="BA81" i="6"/>
  <c r="BP401" i="6"/>
  <c r="BG401" i="6"/>
  <c r="BM563" i="6"/>
  <c r="BQ563" i="6"/>
  <c r="BO211" i="6"/>
  <c r="BP390" i="6"/>
  <c r="BG390" i="6"/>
  <c r="BQ306" i="6"/>
  <c r="BM306" i="6"/>
  <c r="BQ228" i="6"/>
  <c r="BM228" i="6"/>
  <c r="BM354" i="6"/>
  <c r="BQ354" i="6"/>
  <c r="BM201" i="6"/>
  <c r="BQ201" i="6"/>
  <c r="BG175" i="6"/>
  <c r="BP175" i="6"/>
  <c r="BO85" i="6"/>
  <c r="BA85" i="6"/>
  <c r="BO578" i="6"/>
  <c r="BA578" i="6"/>
  <c r="BP357" i="6"/>
  <c r="BG357" i="6"/>
  <c r="BA55" i="6"/>
  <c r="BO55" i="6"/>
  <c r="BO171" i="6"/>
  <c r="BA171" i="6"/>
  <c r="BO57" i="6"/>
  <c r="BQ218" i="6"/>
  <c r="BM218" i="6"/>
  <c r="BP364" i="6"/>
  <c r="BG364" i="6"/>
  <c r="BG312" i="6"/>
  <c r="BP312" i="6"/>
  <c r="BO90" i="6"/>
  <c r="BA145" i="6"/>
  <c r="BO145" i="6"/>
  <c r="BO581" i="6"/>
  <c r="BA581" i="6"/>
  <c r="BP581" i="6"/>
  <c r="BG581" i="6"/>
  <c r="BO393" i="6"/>
  <c r="BA393" i="6"/>
  <c r="BP185" i="6"/>
  <c r="BG185" i="6"/>
  <c r="BO127" i="6"/>
  <c r="BA127" i="6"/>
  <c r="BO158" i="6"/>
  <c r="BM367" i="6"/>
  <c r="BQ367" i="6"/>
  <c r="BP389" i="6"/>
  <c r="BG389" i="6"/>
  <c r="BQ49" i="6"/>
  <c r="BM49" i="6"/>
  <c r="BP618" i="6"/>
  <c r="BG618" i="6"/>
  <c r="BM216" i="6"/>
  <c r="BQ216" i="6"/>
  <c r="BQ561" i="6"/>
  <c r="BM561" i="6"/>
  <c r="BP32" i="6"/>
  <c r="BG32" i="6"/>
  <c r="BO14" i="6"/>
  <c r="BA14" i="6"/>
  <c r="BP66" i="6"/>
  <c r="BP116" i="6"/>
  <c r="BG116" i="6"/>
  <c r="BA398" i="6"/>
  <c r="BP575" i="6"/>
  <c r="BG575" i="6"/>
  <c r="BP151" i="6"/>
  <c r="BG151" i="6"/>
  <c r="BQ630" i="6"/>
  <c r="BM630" i="6"/>
  <c r="BM309" i="6"/>
  <c r="BQ309" i="6"/>
  <c r="BA143" i="6"/>
  <c r="BO143" i="6"/>
  <c r="BZ621" i="6"/>
  <c r="CJ621" i="6" s="1"/>
  <c r="CR621" i="6"/>
  <c r="AE621" i="6"/>
  <c r="CD621" i="6"/>
  <c r="CN621" i="6"/>
  <c r="CX621" i="6" s="1"/>
  <c r="BX674" i="6"/>
  <c r="CH674" i="6" s="1"/>
  <c r="CB674" i="6"/>
  <c r="AC674" i="6"/>
  <c r="CL674" i="6"/>
  <c r="CV674" i="6" s="1"/>
  <c r="CP674" i="6"/>
  <c r="CM676" i="6"/>
  <c r="CW676" i="6" s="1"/>
  <c r="CQ676" i="6"/>
  <c r="CC676" i="6"/>
  <c r="BY676" i="6"/>
  <c r="CI676" i="6" s="1"/>
  <c r="AD676" i="6"/>
  <c r="BZ677" i="6"/>
  <c r="CJ677" i="6" s="1"/>
  <c r="AE677" i="6"/>
  <c r="CD677" i="6"/>
  <c r="CN677" i="6"/>
  <c r="CX677" i="6" s="1"/>
  <c r="CR677" i="6"/>
  <c r="AC239" i="6"/>
  <c r="CB239" i="6"/>
  <c r="CL239" i="6"/>
  <c r="CV239" i="6" s="1"/>
  <c r="CP239" i="6"/>
  <c r="BX239" i="6"/>
  <c r="CH239" i="6" s="1"/>
  <c r="CD139" i="6"/>
  <c r="AE139" i="6"/>
  <c r="CN139" i="6"/>
  <c r="CX139" i="6" s="1"/>
  <c r="CR139" i="6"/>
  <c r="BZ139" i="6"/>
  <c r="CJ139" i="6" s="1"/>
  <c r="CB105" i="6"/>
  <c r="CL105" i="6"/>
  <c r="CV105" i="6" s="1"/>
  <c r="AC105" i="6"/>
  <c r="BX105" i="6"/>
  <c r="CH105" i="6" s="1"/>
  <c r="CP105" i="6"/>
  <c r="CR620" i="6"/>
  <c r="CD620" i="6"/>
  <c r="AE620" i="6"/>
  <c r="CN620" i="6"/>
  <c r="CX620" i="6" s="1"/>
  <c r="BZ620" i="6"/>
  <c r="CJ620" i="6" s="1"/>
  <c r="AC94" i="6"/>
  <c r="CP94" i="6"/>
  <c r="CB94" i="6"/>
  <c r="CL94" i="6"/>
  <c r="CV94" i="6" s="1"/>
  <c r="BX94" i="6"/>
  <c r="CH94" i="6" s="1"/>
  <c r="CQ622" i="6"/>
  <c r="BY622" i="6"/>
  <c r="CI622" i="6" s="1"/>
  <c r="CC622" i="6"/>
  <c r="AD622" i="6"/>
  <c r="CM622" i="6"/>
  <c r="CW622" i="6" s="1"/>
  <c r="CC673" i="6"/>
  <c r="CM673" i="6"/>
  <c r="CW673" i="6" s="1"/>
  <c r="CQ673" i="6"/>
  <c r="BY673" i="6"/>
  <c r="CI673" i="6" s="1"/>
  <c r="AD673" i="6"/>
  <c r="CB679" i="6"/>
  <c r="CL679" i="6"/>
  <c r="CV679" i="6" s="1"/>
  <c r="AC679" i="6"/>
  <c r="CP679" i="6"/>
  <c r="BX679" i="6"/>
  <c r="CH679" i="6" s="1"/>
  <c r="CP623" i="6"/>
  <c r="CB623" i="6"/>
  <c r="CL623" i="6"/>
  <c r="CV623" i="6" s="1"/>
  <c r="BX623" i="6"/>
  <c r="CH623" i="6" s="1"/>
  <c r="AC623" i="6"/>
  <c r="BX677" i="6"/>
  <c r="CH677" i="6" s="1"/>
  <c r="CB677" i="6"/>
  <c r="AC677" i="6"/>
  <c r="CL677" i="6"/>
  <c r="CV677" i="6" s="1"/>
  <c r="CP677" i="6"/>
  <c r="CQ677" i="6"/>
  <c r="BY677" i="6"/>
  <c r="CI677" i="6" s="1"/>
  <c r="AD677" i="6"/>
  <c r="CC677" i="6"/>
  <c r="CM677" i="6"/>
  <c r="CW677" i="6" s="1"/>
  <c r="BP392" i="6"/>
  <c r="BG392" i="6"/>
  <c r="BA421" i="6"/>
  <c r="BO421" i="6"/>
  <c r="BA572" i="6"/>
  <c r="BO572" i="6"/>
  <c r="BO210" i="6"/>
  <c r="BA368" i="6"/>
  <c r="BO368" i="6"/>
  <c r="BO397" i="6"/>
  <c r="BA397" i="6"/>
  <c r="BP43" i="6"/>
  <c r="BQ353" i="6"/>
  <c r="BM353" i="6"/>
  <c r="BP228" i="6"/>
  <c r="BG228" i="6"/>
  <c r="BM168" i="6"/>
  <c r="BQ168" i="6"/>
  <c r="BQ313" i="6"/>
  <c r="BM313" i="6"/>
  <c r="BP566" i="6"/>
  <c r="BG566" i="6"/>
  <c r="BQ227" i="6"/>
  <c r="BM227" i="6"/>
  <c r="BQ189" i="6"/>
  <c r="BM189" i="6"/>
  <c r="BO567" i="6"/>
  <c r="BA567" i="6"/>
  <c r="BO685" i="6"/>
  <c r="BA685" i="6"/>
  <c r="BA686" i="6"/>
  <c r="BO686" i="6"/>
  <c r="BM687" i="6"/>
  <c r="BQ687" i="6"/>
  <c r="BM618" i="6"/>
  <c r="BQ618" i="6"/>
  <c r="BG143" i="6"/>
  <c r="BP143" i="6"/>
  <c r="BP19" i="6"/>
  <c r="BG19" i="6"/>
  <c r="BO82" i="6"/>
  <c r="BP236" i="6"/>
  <c r="BG236" i="6"/>
  <c r="BG561" i="6"/>
  <c r="BP561" i="6"/>
  <c r="BP277" i="6"/>
  <c r="BG277" i="6"/>
  <c r="BP413" i="6"/>
  <c r="BG413" i="6"/>
  <c r="BP95" i="6"/>
  <c r="BG95" i="6"/>
  <c r="BM356" i="6"/>
  <c r="BQ356" i="6"/>
  <c r="BA586" i="6"/>
  <c r="BO49" i="6"/>
  <c r="BA49" i="6"/>
  <c r="BO67" i="6"/>
  <c r="BA67" i="6"/>
  <c r="BA19" i="6"/>
  <c r="BO19" i="6"/>
  <c r="BQ196" i="6"/>
  <c r="BP630" i="6"/>
  <c r="BG630" i="6"/>
  <c r="BP377" i="6"/>
  <c r="BG377" i="6"/>
  <c r="BP58" i="6"/>
  <c r="BG58" i="6"/>
  <c r="BP362" i="6"/>
  <c r="BG362" i="6"/>
  <c r="BO110" i="6"/>
  <c r="BA110" i="6"/>
  <c r="BO164" i="6"/>
  <c r="BA164" i="6"/>
  <c r="BQ132" i="6"/>
  <c r="BM132" i="6"/>
  <c r="BQ81" i="6"/>
  <c r="BA390" i="6"/>
  <c r="BO390" i="6"/>
  <c r="BQ415" i="6"/>
  <c r="BM415" i="6"/>
  <c r="BQ112" i="6"/>
  <c r="BQ131" i="6"/>
  <c r="BM131" i="6"/>
  <c r="BA83" i="6"/>
  <c r="BO83" i="6"/>
  <c r="BP651" i="6"/>
  <c r="BG651" i="6"/>
  <c r="BQ22" i="6"/>
  <c r="BP682" i="6"/>
  <c r="BG682" i="6"/>
  <c r="BM67" i="6"/>
  <c r="BQ67" i="6"/>
  <c r="BA23" i="6"/>
  <c r="BO23" i="6"/>
  <c r="BQ277" i="6"/>
  <c r="BM277" i="6"/>
  <c r="BP271" i="6"/>
  <c r="BG271" i="6"/>
  <c r="BQ38" i="6"/>
  <c r="BQ12" i="6"/>
  <c r="BM12" i="6"/>
  <c r="BP198" i="6"/>
  <c r="BG198" i="6"/>
  <c r="BO314" i="6"/>
  <c r="BA314" i="6"/>
  <c r="BP381" i="6"/>
  <c r="BG381" i="6"/>
  <c r="BQ210" i="6"/>
  <c r="BM210" i="6"/>
  <c r="BQ686" i="6"/>
  <c r="BM686" i="6"/>
  <c r="BP171" i="6"/>
  <c r="BG171" i="6"/>
  <c r="BO619" i="6"/>
  <c r="BA619" i="6"/>
  <c r="Q135" i="6"/>
  <c r="BL135" i="6" s="1"/>
  <c r="BA369" i="6" l="1"/>
  <c r="BA57" i="6"/>
  <c r="CJ424" i="6"/>
  <c r="BG197" i="6"/>
  <c r="CJ612" i="6"/>
  <c r="CI80" i="6"/>
  <c r="BM299" i="6"/>
  <c r="BG40" i="6"/>
  <c r="BM144" i="6"/>
  <c r="BM260" i="6"/>
  <c r="CV82" i="6"/>
  <c r="CH112" i="6"/>
  <c r="CX81" i="6"/>
  <c r="CH82" i="6"/>
  <c r="BM116" i="6"/>
  <c r="CI12" i="6"/>
  <c r="AE239" i="6"/>
  <c r="BM239" i="6" s="1"/>
  <c r="BA199" i="6"/>
  <c r="BO601" i="6"/>
  <c r="CH185" i="6"/>
  <c r="BA144" i="6"/>
  <c r="BA167" i="6"/>
  <c r="BG119" i="6"/>
  <c r="BP119" i="6"/>
  <c r="BM101" i="6"/>
  <c r="CJ81" i="6"/>
  <c r="BP164" i="6"/>
  <c r="BM602" i="6"/>
  <c r="CH194" i="6"/>
  <c r="BG64" i="6"/>
  <c r="CJ82" i="6"/>
  <c r="BG59" i="6"/>
  <c r="BM91" i="6"/>
  <c r="BA180" i="6"/>
  <c r="BG166" i="6"/>
  <c r="BA38" i="6"/>
  <c r="BM83" i="6"/>
  <c r="BM197" i="6"/>
  <c r="BA279" i="6"/>
  <c r="BP360" i="6"/>
  <c r="BP610" i="6"/>
  <c r="BG598" i="6"/>
  <c r="BM128" i="6"/>
  <c r="BM185" i="6"/>
  <c r="CH617" i="6"/>
  <c r="BQ614" i="6"/>
  <c r="CH81" i="6"/>
  <c r="BM425" i="6"/>
  <c r="BG645" i="6"/>
  <c r="CV81" i="6"/>
  <c r="CJ91" i="6"/>
  <c r="BP656" i="6"/>
  <c r="CV590" i="6"/>
  <c r="BQ91" i="6"/>
  <c r="BG241" i="6"/>
  <c r="BM643" i="6"/>
  <c r="BM16" i="6"/>
  <c r="BM706" i="6"/>
  <c r="CI599" i="6"/>
  <c r="BP604" i="6"/>
  <c r="BQ639" i="6"/>
  <c r="BQ358" i="6"/>
  <c r="CX83" i="6"/>
  <c r="BG112" i="6"/>
  <c r="BO671" i="6"/>
  <c r="BA561" i="6"/>
  <c r="CJ272" i="6"/>
  <c r="BA670" i="6"/>
  <c r="BP354" i="6"/>
  <c r="BM113" i="6"/>
  <c r="BA386" i="6"/>
  <c r="BQ569" i="6"/>
  <c r="CV393" i="6"/>
  <c r="BQ586" i="6"/>
  <c r="BA60" i="6"/>
  <c r="BA118" i="6"/>
  <c r="CV194" i="6"/>
  <c r="BA423" i="6"/>
  <c r="CJ185" i="6"/>
  <c r="BQ383" i="6"/>
  <c r="BO606" i="6"/>
  <c r="BA175" i="6"/>
  <c r="CX603" i="6"/>
  <c r="BQ655" i="6"/>
  <c r="BG663" i="6"/>
  <c r="CI597" i="6"/>
  <c r="CX272" i="6"/>
  <c r="CX118" i="6"/>
  <c r="BG133" i="6"/>
  <c r="CH611" i="6"/>
  <c r="BA98" i="6"/>
  <c r="BA424" i="6"/>
  <c r="BA188" i="6"/>
  <c r="BO279" i="6"/>
  <c r="CJ603" i="6"/>
  <c r="BG35" i="6"/>
  <c r="BP35" i="6"/>
  <c r="CW48" i="6"/>
  <c r="BO38" i="6"/>
  <c r="BM708" i="6"/>
  <c r="BA315" i="6"/>
  <c r="CX602" i="6"/>
  <c r="BQ708" i="6"/>
  <c r="CH616" i="6"/>
  <c r="CX185" i="6"/>
  <c r="BG144" i="6"/>
  <c r="BG243" i="6"/>
  <c r="BM119" i="6"/>
  <c r="BM75" i="6"/>
  <c r="BM118" i="6"/>
  <c r="CJ602" i="6"/>
  <c r="BM24" i="6"/>
  <c r="BG388" i="6"/>
  <c r="BP423" i="6"/>
  <c r="BO582" i="6"/>
  <c r="BG585" i="6"/>
  <c r="BM74" i="6"/>
  <c r="BP243" i="6"/>
  <c r="CX91" i="6"/>
  <c r="BG146" i="6"/>
  <c r="CV424" i="6"/>
  <c r="BM662" i="6"/>
  <c r="BM365" i="6"/>
  <c r="BA703" i="6"/>
  <c r="BG707" i="6"/>
  <c r="CV48" i="6"/>
  <c r="BA162" i="6"/>
  <c r="BA604" i="6"/>
  <c r="BA194" i="6"/>
  <c r="BG209" i="6"/>
  <c r="BP397" i="6"/>
  <c r="BO597" i="6"/>
  <c r="BA708" i="6"/>
  <c r="BO678" i="6"/>
  <c r="BM634" i="6"/>
  <c r="BA291" i="6"/>
  <c r="BG593" i="6"/>
  <c r="BA136" i="6"/>
  <c r="BP378" i="6"/>
  <c r="BQ119" i="6"/>
  <c r="BG705" i="6"/>
  <c r="BG703" i="6"/>
  <c r="BO367" i="6"/>
  <c r="BP133" i="6"/>
  <c r="BA337" i="6"/>
  <c r="BG155" i="6"/>
  <c r="CI48" i="6"/>
  <c r="BG690" i="6"/>
  <c r="BG99" i="6"/>
  <c r="BQ118" i="6"/>
  <c r="BA62" i="6"/>
  <c r="BA197" i="6"/>
  <c r="BA374" i="6"/>
  <c r="BM381" i="6"/>
  <c r="BQ75" i="6"/>
  <c r="BA387" i="6"/>
  <c r="BA615" i="6"/>
  <c r="BM41" i="6"/>
  <c r="CJ616" i="6"/>
  <c r="BM133" i="6"/>
  <c r="BM292" i="6"/>
  <c r="BA608" i="6"/>
  <c r="BO588" i="6"/>
  <c r="BQ587" i="6"/>
  <c r="CI272" i="6"/>
  <c r="BQ269" i="6"/>
  <c r="BG301" i="6"/>
  <c r="BG565" i="6"/>
  <c r="BG53" i="6"/>
  <c r="CJ423" i="6"/>
  <c r="BG616" i="6"/>
  <c r="BQ388" i="6"/>
  <c r="BM595" i="6"/>
  <c r="BG416" i="6"/>
  <c r="BM375" i="6"/>
  <c r="BG596" i="6"/>
  <c r="BA24" i="6"/>
  <c r="BP412" i="6"/>
  <c r="CW616" i="6"/>
  <c r="BO361" i="6"/>
  <c r="BM609" i="6"/>
  <c r="BA309" i="6"/>
  <c r="BP636" i="6"/>
  <c r="BG165" i="6"/>
  <c r="BA170" i="6"/>
  <c r="BA202" i="6"/>
  <c r="BA357" i="6"/>
  <c r="BM85" i="6"/>
  <c r="BP99" i="6"/>
  <c r="BO657" i="6"/>
  <c r="BM576" i="6"/>
  <c r="BG14" i="6"/>
  <c r="BO302" i="6"/>
  <c r="BP417" i="6"/>
  <c r="BA356" i="6"/>
  <c r="BP222" i="6"/>
  <c r="BA404" i="6"/>
  <c r="BO303" i="6"/>
  <c r="BM175" i="6"/>
  <c r="BM411" i="6"/>
  <c r="BG372" i="6"/>
  <c r="BG661" i="6"/>
  <c r="BQ570" i="6"/>
  <c r="BG576" i="6"/>
  <c r="BO245" i="6"/>
  <c r="BA666" i="6"/>
  <c r="BM80" i="6"/>
  <c r="BM278" i="6"/>
  <c r="CW611" i="6"/>
  <c r="CJ589" i="6"/>
  <c r="CJ112" i="6"/>
  <c r="BA206" i="6"/>
  <c r="CH601" i="6"/>
  <c r="BM53" i="6"/>
  <c r="BA207" i="6"/>
  <c r="CJ83" i="6"/>
  <c r="BA416" i="6"/>
  <c r="BG395" i="6"/>
  <c r="BM385" i="6"/>
  <c r="BM598" i="6"/>
  <c r="CH588" i="6"/>
  <c r="BO308" i="6"/>
  <c r="BP215" i="6"/>
  <c r="BP703" i="6"/>
  <c r="BP591" i="6"/>
  <c r="BM596" i="6"/>
  <c r="BG85" i="6"/>
  <c r="BG344" i="6"/>
  <c r="BO199" i="6"/>
  <c r="BP384" i="6"/>
  <c r="BG584" i="6"/>
  <c r="BA166" i="6"/>
  <c r="CW598" i="6"/>
  <c r="BQ304" i="6"/>
  <c r="BG345" i="6"/>
  <c r="BQ608" i="6"/>
  <c r="BO654" i="6"/>
  <c r="CI603" i="6"/>
  <c r="BG157" i="6"/>
  <c r="BP40" i="6"/>
  <c r="BO590" i="6"/>
  <c r="BG702" i="6"/>
  <c r="BO207" i="6"/>
  <c r="BQ635" i="6"/>
  <c r="BA659" i="6"/>
  <c r="BG577" i="6"/>
  <c r="BO312" i="6"/>
  <c r="BP614" i="6"/>
  <c r="BQ53" i="6"/>
  <c r="BA688" i="6"/>
  <c r="BQ669" i="6"/>
  <c r="BM166" i="6"/>
  <c r="CV92" i="6"/>
  <c r="BG158" i="6"/>
  <c r="BM229" i="6"/>
  <c r="BA564" i="6"/>
  <c r="BG379" i="6"/>
  <c r="BM399" i="6"/>
  <c r="BM310" i="6"/>
  <c r="BM413" i="6"/>
  <c r="CH393" i="6"/>
  <c r="BM256" i="6"/>
  <c r="CV616" i="6"/>
  <c r="BA299" i="6"/>
  <c r="BG569" i="6"/>
  <c r="BM194" i="6"/>
  <c r="BG583" i="6"/>
  <c r="BG298" i="6"/>
  <c r="BA634" i="6"/>
  <c r="CV261" i="6"/>
  <c r="BA603" i="6"/>
  <c r="BP409" i="6"/>
  <c r="BM424" i="6"/>
  <c r="BM300" i="6"/>
  <c r="BG101" i="6"/>
  <c r="BM199" i="6"/>
  <c r="BM33" i="6"/>
  <c r="CV617" i="6"/>
  <c r="BG183" i="6"/>
  <c r="BO642" i="6"/>
  <c r="BO366" i="6"/>
  <c r="BM312" i="6"/>
  <c r="BQ589" i="6"/>
  <c r="BP592" i="6"/>
  <c r="BQ636" i="6"/>
  <c r="BQ83" i="6"/>
  <c r="BM637" i="6"/>
  <c r="BA391" i="6"/>
  <c r="BG607" i="6"/>
  <c r="BG660" i="6"/>
  <c r="CX589" i="6"/>
  <c r="BM422" i="6"/>
  <c r="CH12" i="6"/>
  <c r="BG612" i="6"/>
  <c r="CB680" i="6"/>
  <c r="BM251" i="6"/>
  <c r="BA403" i="6"/>
  <c r="BM212" i="6"/>
  <c r="BG358" i="6"/>
  <c r="BA566" i="6"/>
  <c r="BG200" i="6"/>
  <c r="BO408" i="6"/>
  <c r="CX590" i="6"/>
  <c r="BA91" i="6"/>
  <c r="BM25" i="6"/>
  <c r="CH423" i="6"/>
  <c r="CX112" i="6"/>
  <c r="BP59" i="6"/>
  <c r="BA573" i="6"/>
  <c r="BG355" i="6"/>
  <c r="BA270" i="6"/>
  <c r="BG396" i="6"/>
  <c r="BO298" i="6"/>
  <c r="BP570" i="6"/>
  <c r="BA208" i="6"/>
  <c r="BP582" i="6"/>
  <c r="BP608" i="6"/>
  <c r="BO598" i="6"/>
  <c r="BQ292" i="6"/>
  <c r="BM404" i="6"/>
  <c r="BP594" i="6"/>
  <c r="BG92" i="6"/>
  <c r="BO360" i="6"/>
  <c r="BG641" i="6"/>
  <c r="BA392" i="6"/>
  <c r="BG617" i="6"/>
  <c r="BA401" i="6"/>
  <c r="BP573" i="6"/>
  <c r="BO663" i="6"/>
  <c r="BQ665" i="6"/>
  <c r="BM90" i="6"/>
  <c r="BQ185" i="6"/>
  <c r="BQ606" i="6"/>
  <c r="BA112" i="6"/>
  <c r="CW599" i="6"/>
  <c r="CV588" i="6"/>
  <c r="BA645" i="6"/>
  <c r="BG80" i="6"/>
  <c r="BP202" i="6"/>
  <c r="BA583" i="6"/>
  <c r="BM420" i="6"/>
  <c r="BO338" i="6"/>
  <c r="BP166" i="6"/>
  <c r="BA123" i="6"/>
  <c r="BA378" i="6"/>
  <c r="BM689" i="6"/>
  <c r="BM599" i="6"/>
  <c r="BO660" i="6"/>
  <c r="BM102" i="6"/>
  <c r="BG102" i="6"/>
  <c r="BP310" i="6"/>
  <c r="BP601" i="6"/>
  <c r="BM98" i="6"/>
  <c r="BA48" i="6"/>
  <c r="BP64" i="6"/>
  <c r="BQ395" i="6"/>
  <c r="BA600" i="6"/>
  <c r="BM164" i="6"/>
  <c r="BG229" i="6"/>
  <c r="CX616" i="6"/>
  <c r="BG74" i="6"/>
  <c r="BG128" i="6"/>
  <c r="CH91" i="6"/>
  <c r="CH615" i="6"/>
  <c r="BA154" i="6"/>
  <c r="BG162" i="6"/>
  <c r="BA87" i="6"/>
  <c r="BM157" i="6"/>
  <c r="CH597" i="6"/>
  <c r="BM29" i="6"/>
  <c r="BA30" i="6"/>
  <c r="BO363" i="6"/>
  <c r="BG308" i="6"/>
  <c r="BA13" i="6"/>
  <c r="BA609" i="6"/>
  <c r="BQ133" i="6"/>
  <c r="BA146" i="6"/>
  <c r="BM10" i="6"/>
  <c r="BO98" i="6"/>
  <c r="BG597" i="6"/>
  <c r="BM249" i="6"/>
  <c r="CV12" i="6"/>
  <c r="BA229" i="6"/>
  <c r="CV615" i="6"/>
  <c r="BQ300" i="6"/>
  <c r="BQ671" i="6"/>
  <c r="BQ157" i="6"/>
  <c r="BP670" i="6"/>
  <c r="BO87" i="6"/>
  <c r="BQ307" i="6"/>
  <c r="BG640" i="6"/>
  <c r="BM642" i="6"/>
  <c r="BA568" i="6"/>
  <c r="BG603" i="6"/>
  <c r="BQ672" i="6"/>
  <c r="BM153" i="6"/>
  <c r="BQ380" i="6"/>
  <c r="BO415" i="6"/>
  <c r="BA187" i="6"/>
  <c r="BA411" i="6"/>
  <c r="BA278" i="6"/>
  <c r="BM180" i="6"/>
  <c r="BQ128" i="6"/>
  <c r="BQ360" i="6"/>
  <c r="BG658" i="6"/>
  <c r="BM597" i="6"/>
  <c r="BG192" i="6"/>
  <c r="BG602" i="6"/>
  <c r="BM616" i="6"/>
  <c r="BM243" i="6"/>
  <c r="BG666" i="6"/>
  <c r="BQ591" i="6"/>
  <c r="CV600" i="6"/>
  <c r="BQ29" i="6"/>
  <c r="BA418" i="6"/>
  <c r="BO310" i="6"/>
  <c r="BM363" i="6"/>
  <c r="CX612" i="6"/>
  <c r="BG167" i="6"/>
  <c r="BM660" i="6"/>
  <c r="BG590" i="6"/>
  <c r="BA80" i="6"/>
  <c r="BA301" i="6"/>
  <c r="BG48" i="6"/>
  <c r="BM151" i="6"/>
  <c r="BP162" i="6"/>
  <c r="BO587" i="6"/>
  <c r="BA576" i="6"/>
  <c r="BO413" i="6"/>
  <c r="BG648" i="6"/>
  <c r="BG376" i="6"/>
  <c r="BO355" i="6"/>
  <c r="BA39" i="6"/>
  <c r="BQ407" i="6"/>
  <c r="BQ339" i="6"/>
  <c r="BG363" i="6"/>
  <c r="BA99" i="6"/>
  <c r="BA607" i="6"/>
  <c r="CW602" i="6"/>
  <c r="BG17" i="6"/>
  <c r="CV112" i="6"/>
  <c r="BA70" i="6"/>
  <c r="BG134" i="6"/>
  <c r="BO577" i="6"/>
  <c r="BM583" i="6"/>
  <c r="BG400" i="6"/>
  <c r="BG405" i="6"/>
  <c r="BQ144" i="6"/>
  <c r="BM410" i="6"/>
  <c r="BO599" i="6"/>
  <c r="BG361" i="6"/>
  <c r="BG309" i="6"/>
  <c r="BQ423" i="6"/>
  <c r="BQ359" i="6"/>
  <c r="BM571" i="6"/>
  <c r="BG418" i="6"/>
  <c r="CX80" i="6"/>
  <c r="BA182" i="6"/>
  <c r="BA128" i="6"/>
  <c r="BQ361" i="6"/>
  <c r="BO154" i="6"/>
  <c r="BO617" i="6"/>
  <c r="BA304" i="6"/>
  <c r="BG180" i="6"/>
  <c r="BP589" i="6"/>
  <c r="BA370" i="6"/>
  <c r="BQ362" i="6"/>
  <c r="BM603" i="6"/>
  <c r="BM305" i="6"/>
  <c r="BA157" i="6"/>
  <c r="BA707" i="6"/>
  <c r="BM579" i="6"/>
  <c r="BP609" i="6"/>
  <c r="BA176" i="6"/>
  <c r="BP128" i="6"/>
  <c r="BP74" i="6"/>
  <c r="BQ664" i="6"/>
  <c r="BO188" i="6"/>
  <c r="BA611" i="6"/>
  <c r="BM89" i="6"/>
  <c r="BA706" i="6"/>
  <c r="BP197" i="6"/>
  <c r="BQ166" i="6"/>
  <c r="BG269" i="6"/>
  <c r="BA163" i="6"/>
  <c r="BM314" i="6"/>
  <c r="BQ402" i="6"/>
  <c r="BM702" i="6"/>
  <c r="BP407" i="6"/>
  <c r="BG96" i="6"/>
  <c r="BM659" i="6"/>
  <c r="BG365" i="6"/>
  <c r="BM584" i="6"/>
  <c r="BG659" i="6"/>
  <c r="BA596" i="6"/>
  <c r="BM206" i="6"/>
  <c r="BM617" i="6"/>
  <c r="BO672" i="6"/>
  <c r="BQ379" i="6"/>
  <c r="BQ85" i="6"/>
  <c r="BO376" i="6"/>
  <c r="CW588" i="6"/>
  <c r="BQ654" i="6"/>
  <c r="BA132" i="6"/>
  <c r="BA354" i="6"/>
  <c r="BO406" i="6"/>
  <c r="BG373" i="6"/>
  <c r="BA412" i="6"/>
  <c r="BP642" i="6"/>
  <c r="BA602" i="6"/>
  <c r="BM301" i="6"/>
  <c r="BG205" i="6"/>
  <c r="BA121" i="6"/>
  <c r="BM704" i="6"/>
  <c r="BA261" i="6"/>
  <c r="BG60" i="6"/>
  <c r="CW92" i="6"/>
  <c r="BG211" i="6"/>
  <c r="CI602" i="6"/>
  <c r="CV423" i="6"/>
  <c r="CV601" i="6"/>
  <c r="CJ80" i="6"/>
  <c r="BA155" i="6"/>
  <c r="CI92" i="6"/>
  <c r="CV597" i="6"/>
  <c r="CX337" i="6"/>
  <c r="BQ39" i="6"/>
  <c r="BM39" i="6"/>
  <c r="BM272" i="6"/>
  <c r="BG118" i="6"/>
  <c r="BO339" i="6"/>
  <c r="BG356" i="6"/>
  <c r="BO379" i="6"/>
  <c r="BA183" i="6"/>
  <c r="BM653" i="6"/>
  <c r="BP211" i="6"/>
  <c r="BP339" i="6"/>
  <c r="BA612" i="6"/>
  <c r="BO167" i="6"/>
  <c r="BQ396" i="6"/>
  <c r="BP568" i="6"/>
  <c r="BQ207" i="6"/>
  <c r="BA667" i="6"/>
  <c r="CN239" i="6"/>
  <c r="CX239" i="6" s="1"/>
  <c r="BM106" i="6"/>
  <c r="BM311" i="6"/>
  <c r="BA305" i="6"/>
  <c r="BO665" i="6"/>
  <c r="BG664" i="6"/>
  <c r="BM566" i="6"/>
  <c r="BO180" i="6"/>
  <c r="BG420" i="6"/>
  <c r="BA89" i="6"/>
  <c r="CD239" i="6"/>
  <c r="BG191" i="6"/>
  <c r="BG579" i="6"/>
  <c r="BP101" i="6"/>
  <c r="BA95" i="6"/>
  <c r="BQ197" i="6"/>
  <c r="BA384" i="6"/>
  <c r="BQ668" i="6"/>
  <c r="BZ239" i="6"/>
  <c r="CJ239" i="6" s="1"/>
  <c r="CI126" i="6"/>
  <c r="BG410" i="6"/>
  <c r="CR239" i="6"/>
  <c r="BQ405" i="6"/>
  <c r="BM405" i="6"/>
  <c r="BG170" i="6"/>
  <c r="BG24" i="6"/>
  <c r="BQ30" i="6"/>
  <c r="BM30" i="6"/>
  <c r="BM703" i="6"/>
  <c r="AE219" i="6"/>
  <c r="BO76" i="6"/>
  <c r="BA76" i="6"/>
  <c r="BP315" i="6"/>
  <c r="BG315" i="6"/>
  <c r="BO395" i="6"/>
  <c r="BA395" i="6"/>
  <c r="BG110" i="6"/>
  <c r="BG13" i="6"/>
  <c r="BM690" i="6"/>
  <c r="BM645" i="6"/>
  <c r="BG639" i="6"/>
  <c r="BO91" i="6"/>
  <c r="BG415" i="6"/>
  <c r="BM376" i="6"/>
  <c r="BO580" i="6"/>
  <c r="BG55" i="6"/>
  <c r="BM705" i="6"/>
  <c r="BA74" i="6"/>
  <c r="BM384" i="6"/>
  <c r="BG353" i="6"/>
  <c r="BQ667" i="6"/>
  <c r="BM562" i="6"/>
  <c r="BO605" i="6"/>
  <c r="BG606" i="6"/>
  <c r="BO307" i="6"/>
  <c r="BP391" i="6"/>
  <c r="BA589" i="6"/>
  <c r="BG671" i="6"/>
  <c r="CW113" i="6"/>
  <c r="CX588" i="6"/>
  <c r="BM134" i="6"/>
  <c r="BM181" i="6"/>
  <c r="BG109" i="6"/>
  <c r="BP307" i="6"/>
  <c r="BG307" i="6"/>
  <c r="BQ580" i="6"/>
  <c r="BM580" i="6"/>
  <c r="BG25" i="6"/>
  <c r="BP25" i="6"/>
  <c r="BP653" i="6"/>
  <c r="BG653" i="6"/>
  <c r="BP299" i="6"/>
  <c r="BG299" i="6"/>
  <c r="BQ412" i="6"/>
  <c r="BM412" i="6"/>
  <c r="BG408" i="6"/>
  <c r="BP408" i="6"/>
  <c r="BA66" i="6"/>
  <c r="BO66" i="6"/>
  <c r="BM357" i="6"/>
  <c r="BQ357" i="6"/>
  <c r="BP88" i="6"/>
  <c r="BG88" i="6"/>
  <c r="BQ588" i="6"/>
  <c r="BM588" i="6"/>
  <c r="BG638" i="6"/>
  <c r="BP638" i="6"/>
  <c r="CM252" i="6"/>
  <c r="CW252" i="6" s="1"/>
  <c r="BF252" i="6"/>
  <c r="BP252" i="6" s="1"/>
  <c r="AD219" i="6"/>
  <c r="BF219" i="6"/>
  <c r="BP219" i="6" s="1"/>
  <c r="BG31" i="6"/>
  <c r="CN219" i="6"/>
  <c r="CX219" i="6" s="1"/>
  <c r="BG706" i="6"/>
  <c r="CD252" i="6"/>
  <c r="BL252" i="6"/>
  <c r="BQ252" i="6" s="1"/>
  <c r="BG136" i="6"/>
  <c r="CL680" i="6"/>
  <c r="CV680" i="6" s="1"/>
  <c r="AZ680" i="6"/>
  <c r="BA680" i="6" s="1"/>
  <c r="AC680" i="6"/>
  <c r="CJ337" i="6"/>
  <c r="AD234" i="6"/>
  <c r="BF234" i="6"/>
  <c r="BP234" i="6" s="1"/>
  <c r="BA12" i="6"/>
  <c r="AD680" i="6"/>
  <c r="BF680" i="6"/>
  <c r="BG680" i="6" s="1"/>
  <c r="CW589" i="6"/>
  <c r="CW590" i="6"/>
  <c r="CV91" i="6"/>
  <c r="CW615" i="6"/>
  <c r="CJ588" i="6"/>
  <c r="CH272" i="6"/>
  <c r="CW91" i="6"/>
  <c r="CI10" i="6"/>
  <c r="CH126" i="6"/>
  <c r="CI617" i="6"/>
  <c r="BM103" i="6"/>
  <c r="BA101" i="6"/>
  <c r="CX393" i="6"/>
  <c r="CV604" i="6"/>
  <c r="CJ604" i="6"/>
  <c r="CX601" i="6"/>
  <c r="CV602" i="6"/>
  <c r="CI600" i="6"/>
  <c r="BM707" i="6"/>
  <c r="CW272" i="6"/>
  <c r="BM120" i="6"/>
  <c r="BG148" i="6"/>
  <c r="CH604" i="6"/>
  <c r="CI605" i="6"/>
  <c r="CI91" i="6"/>
  <c r="BM87" i="6"/>
  <c r="CX605" i="6"/>
  <c r="BM136" i="6"/>
  <c r="CI611" i="6"/>
  <c r="BM202" i="6"/>
  <c r="BG145" i="6"/>
  <c r="CV603" i="6"/>
  <c r="BM191" i="6"/>
  <c r="BG704" i="6"/>
  <c r="BM641" i="6"/>
  <c r="BA571" i="6"/>
  <c r="BA579" i="6"/>
  <c r="BQ389" i="6"/>
  <c r="BQ382" i="6"/>
  <c r="BM62" i="6"/>
  <c r="BO610" i="6"/>
  <c r="BQ278" i="6"/>
  <c r="BQ390" i="6"/>
  <c r="CJ261" i="6"/>
  <c r="CH589" i="6"/>
  <c r="BM137" i="6"/>
  <c r="CJ600" i="6"/>
  <c r="BP368" i="6"/>
  <c r="CH337" i="6"/>
  <c r="CJ615" i="6"/>
  <c r="CJ48" i="6"/>
  <c r="Q10" i="5"/>
  <c r="BM184" i="6"/>
  <c r="BO662" i="6"/>
  <c r="BM56" i="6"/>
  <c r="BP110" i="6"/>
  <c r="BM371" i="6"/>
  <c r="BQ644" i="6"/>
  <c r="BM109" i="6"/>
  <c r="BG121" i="6"/>
  <c r="BO30" i="6"/>
  <c r="CX194" i="6"/>
  <c r="BP366" i="6"/>
  <c r="BP562" i="6"/>
  <c r="BA103" i="6"/>
  <c r="BG156" i="6"/>
  <c r="BM279" i="6"/>
  <c r="CV589" i="6"/>
  <c r="BA22" i="6"/>
  <c r="BA119" i="6"/>
  <c r="BO656" i="6"/>
  <c r="BA25" i="6"/>
  <c r="BG588" i="6"/>
  <c r="BA256" i="6"/>
  <c r="BM163" i="6"/>
  <c r="BP367" i="6"/>
  <c r="BQ163" i="6"/>
  <c r="BO278" i="6"/>
  <c r="CH92" i="6"/>
  <c r="BA29" i="6"/>
  <c r="CH80" i="6"/>
  <c r="CV126" i="6"/>
  <c r="CX48" i="6"/>
  <c r="CV605" i="6"/>
  <c r="BM64" i="6"/>
  <c r="CH113" i="6"/>
  <c r="BM162" i="6"/>
  <c r="AV10" i="5"/>
  <c r="CX611" i="6"/>
  <c r="BM393" i="6"/>
  <c r="BA88" i="6"/>
  <c r="BA40" i="6"/>
  <c r="BA177" i="6"/>
  <c r="BP404" i="6"/>
  <c r="BA373" i="6"/>
  <c r="BA269" i="6"/>
  <c r="BQ592" i="6"/>
  <c r="BA53" i="6"/>
  <c r="BA705" i="6"/>
  <c r="BA59" i="6"/>
  <c r="BG131" i="6"/>
  <c r="BA33" i="6"/>
  <c r="CX424" i="6"/>
  <c r="BG300" i="6"/>
  <c r="CV185" i="6"/>
  <c r="CX82" i="6"/>
  <c r="CV118" i="6"/>
  <c r="BM92" i="6"/>
  <c r="BG338" i="6"/>
  <c r="BP156" i="6"/>
  <c r="BA120" i="6"/>
  <c r="BG57" i="6"/>
  <c r="BA262" i="6"/>
  <c r="BA31" i="6"/>
  <c r="BM187" i="6"/>
  <c r="BA93" i="6"/>
  <c r="BM607" i="6"/>
  <c r="BA592" i="6"/>
  <c r="BM612" i="6"/>
  <c r="BQ610" i="6"/>
  <c r="CI588" i="6"/>
  <c r="BM208" i="6"/>
  <c r="BG210" i="6"/>
  <c r="BM35" i="6"/>
  <c r="BA184" i="6"/>
  <c r="BG94" i="6"/>
  <c r="BG665" i="6"/>
  <c r="BM261" i="6"/>
  <c r="CX126" i="6"/>
  <c r="BM156" i="6"/>
  <c r="BM254" i="6"/>
  <c r="BM205" i="6"/>
  <c r="CV599" i="6"/>
  <c r="BG245" i="6"/>
  <c r="BA96" i="6"/>
  <c r="BG346" i="6"/>
  <c r="BG578" i="6"/>
  <c r="BM398" i="6"/>
  <c r="BQ120" i="6"/>
  <c r="BA126" i="6"/>
  <c r="BA377" i="6"/>
  <c r="BM155" i="6"/>
  <c r="BA228" i="6"/>
  <c r="BG11" i="6"/>
  <c r="BG33" i="6"/>
  <c r="BA637" i="6"/>
  <c r="BG422" i="6"/>
  <c r="CX617" i="6"/>
  <c r="BO31" i="6"/>
  <c r="BG22" i="6"/>
  <c r="BQ261" i="6"/>
  <c r="BA595" i="6"/>
  <c r="BM337" i="6"/>
  <c r="BG90" i="6"/>
  <c r="BQ202" i="6"/>
  <c r="BG586" i="6"/>
  <c r="BQ254" i="6"/>
  <c r="BG168" i="6"/>
  <c r="BG123" i="6"/>
  <c r="BO53" i="6"/>
  <c r="BQ205" i="6"/>
  <c r="BO74" i="6"/>
  <c r="BA653" i="6"/>
  <c r="BO33" i="6"/>
  <c r="BQ136" i="6"/>
  <c r="CX261" i="6"/>
  <c r="BG177" i="6"/>
  <c r="CX92" i="6"/>
  <c r="BG595" i="6"/>
  <c r="BO664" i="6"/>
  <c r="BP311" i="6"/>
  <c r="BG370" i="6"/>
  <c r="BM403" i="6"/>
  <c r="BP657" i="6"/>
  <c r="BM656" i="6"/>
  <c r="BO365" i="6"/>
  <c r="BM397" i="6"/>
  <c r="BG278" i="6"/>
  <c r="BG56" i="6"/>
  <c r="BM391" i="6"/>
  <c r="BM400" i="6"/>
  <c r="BA232" i="6"/>
  <c r="CV612" i="6"/>
  <c r="BA205" i="6"/>
  <c r="BG137" i="6"/>
  <c r="CX597" i="6"/>
  <c r="BO649" i="6"/>
  <c r="BM625" i="6"/>
  <c r="CX600" i="6"/>
  <c r="BG292" i="6"/>
  <c r="CX249" i="6"/>
  <c r="BG689" i="6"/>
  <c r="BA181" i="6"/>
  <c r="BG153" i="6"/>
  <c r="BG207" i="6"/>
  <c r="CH600" i="6"/>
  <c r="BM242" i="6"/>
  <c r="BG114" i="6"/>
  <c r="BA113" i="6"/>
  <c r="BG82" i="6"/>
  <c r="BM57" i="6"/>
  <c r="BM158" i="6"/>
  <c r="BA156" i="6"/>
  <c r="BM88" i="6"/>
  <c r="BM126" i="6"/>
  <c r="BA75" i="6"/>
  <c r="BM40" i="6"/>
  <c r="CW424" i="6"/>
  <c r="BG105" i="6"/>
  <c r="BM110" i="6"/>
  <c r="BM211" i="6"/>
  <c r="BM198" i="6"/>
  <c r="BG599" i="6"/>
  <c r="BP12" i="6"/>
  <c r="BG425" i="6"/>
  <c r="BP615" i="6"/>
  <c r="BG600" i="6"/>
  <c r="BM368" i="6"/>
  <c r="BO313" i="6"/>
  <c r="BM123" i="6"/>
  <c r="BM17" i="6"/>
  <c r="BA109" i="6"/>
  <c r="BQ638" i="6"/>
  <c r="BG668" i="6"/>
  <c r="BG306" i="6"/>
  <c r="BG199" i="6"/>
  <c r="BG662" i="6"/>
  <c r="BG30" i="6"/>
  <c r="BP382" i="6"/>
  <c r="BG176" i="6"/>
  <c r="BA381" i="6"/>
  <c r="BQ601" i="6"/>
  <c r="BM188" i="6"/>
  <c r="BO205" i="6"/>
  <c r="BO380" i="6"/>
  <c r="BM414" i="6"/>
  <c r="BA635" i="6"/>
  <c r="CJ249" i="6"/>
  <c r="CH261" i="6"/>
  <c r="CH590" i="6"/>
  <c r="BM666" i="6"/>
  <c r="BG359" i="6"/>
  <c r="BO113" i="6"/>
  <c r="BA702" i="6"/>
  <c r="BA614" i="6"/>
  <c r="BM593" i="6"/>
  <c r="BP611" i="6"/>
  <c r="BG184" i="6"/>
  <c r="BO669" i="6"/>
  <c r="BA200" i="6"/>
  <c r="BA425" i="6"/>
  <c r="BA593" i="6"/>
  <c r="BM172" i="6"/>
  <c r="BQ106" i="6"/>
  <c r="BO641" i="6"/>
  <c r="BG374" i="6"/>
  <c r="BO177" i="6"/>
  <c r="BA243" i="6"/>
  <c r="BM13" i="6"/>
  <c r="CW605" i="6"/>
  <c r="BM121" i="6"/>
  <c r="CI604" i="6"/>
  <c r="BQ57" i="6"/>
  <c r="BQ564" i="6"/>
  <c r="BM200" i="6"/>
  <c r="BM605" i="6"/>
  <c r="BO562" i="6"/>
  <c r="BO668" i="6"/>
  <c r="BQ611" i="6"/>
  <c r="BA584" i="6"/>
  <c r="BA251" i="6"/>
  <c r="BP177" i="6"/>
  <c r="BM626" i="6"/>
  <c r="BP667" i="6"/>
  <c r="BO563" i="6"/>
  <c r="BP572" i="6"/>
  <c r="BP644" i="6"/>
  <c r="BO358" i="6"/>
  <c r="BG574" i="6"/>
  <c r="CW617" i="6"/>
  <c r="BG147" i="6"/>
  <c r="CW597" i="6"/>
  <c r="CW601" i="6"/>
  <c r="BG41" i="6"/>
  <c r="CI590" i="6"/>
  <c r="CW337" i="6"/>
  <c r="CH118" i="6"/>
  <c r="CH598" i="6"/>
  <c r="CX598" i="6"/>
  <c r="CJ590" i="6"/>
  <c r="CI118" i="6"/>
  <c r="CW82" i="6"/>
  <c r="CH603" i="6"/>
  <c r="CI112" i="6"/>
  <c r="BA17" i="6"/>
  <c r="CW423" i="6"/>
  <c r="BG279" i="6"/>
  <c r="CW194" i="6"/>
  <c r="BO103" i="6"/>
  <c r="CW603" i="6"/>
  <c r="BM32" i="6"/>
  <c r="CM234" i="6"/>
  <c r="CW234" i="6" s="1"/>
  <c r="BA594" i="6"/>
  <c r="BM378" i="6"/>
  <c r="BM565" i="6"/>
  <c r="BA147" i="6"/>
  <c r="BM147" i="6"/>
  <c r="CV113" i="6"/>
  <c r="CJ92" i="6"/>
  <c r="CJ597" i="6"/>
  <c r="BG75" i="6"/>
  <c r="CI113" i="6"/>
  <c r="CI424" i="6"/>
  <c r="BG270" i="6"/>
  <c r="CV611" i="6"/>
  <c r="CX599" i="6"/>
  <c r="CI82" i="6"/>
  <c r="CJ605" i="6"/>
  <c r="AC219" i="6"/>
  <c r="CH599" i="6"/>
  <c r="CH605" i="6"/>
  <c r="BM209" i="6"/>
  <c r="BM96" i="6"/>
  <c r="BA138" i="6"/>
  <c r="BP147" i="6"/>
  <c r="BP629" i="6"/>
  <c r="CP219" i="6"/>
  <c r="BA137" i="6"/>
  <c r="BQ366" i="6"/>
  <c r="CX423" i="6"/>
  <c r="CI616" i="6"/>
  <c r="CH612" i="6"/>
  <c r="CV598" i="6"/>
  <c r="CJ617" i="6"/>
  <c r="CW604" i="6"/>
  <c r="CJ599" i="6"/>
  <c r="CJ611" i="6"/>
  <c r="CJ393" i="6"/>
  <c r="BP195" i="6"/>
  <c r="CI612" i="6"/>
  <c r="CX604" i="6"/>
  <c r="BZ252" i="6"/>
  <c r="CJ252" i="6" s="1"/>
  <c r="BO233" i="6"/>
  <c r="BO704" i="6"/>
  <c r="CX113" i="6"/>
  <c r="CI589" i="6"/>
  <c r="AE252" i="6"/>
  <c r="BM31" i="6"/>
  <c r="CI423" i="6"/>
  <c r="CJ113" i="6"/>
  <c r="CH602" i="6"/>
  <c r="CV272" i="6"/>
  <c r="CW612" i="6"/>
  <c r="CJ598" i="6"/>
  <c r="CJ601" i="6"/>
  <c r="CI598" i="6"/>
  <c r="CN252" i="6"/>
  <c r="CX252" i="6" s="1"/>
  <c r="BM165" i="6"/>
  <c r="BG126" i="6"/>
  <c r="CW80" i="6"/>
  <c r="CW118" i="6"/>
  <c r="CV80" i="6"/>
  <c r="CW112" i="6"/>
  <c r="CC234" i="6"/>
  <c r="CH424" i="6"/>
  <c r="CW600" i="6"/>
  <c r="BM11" i="6"/>
  <c r="BG103" i="6"/>
  <c r="BO147" i="6"/>
  <c r="BM627" i="6"/>
  <c r="BM59" i="6"/>
  <c r="BA375" i="6"/>
  <c r="BM629" i="6"/>
  <c r="BM663" i="6"/>
  <c r="BM647" i="6"/>
  <c r="BO396" i="6"/>
  <c r="BM58" i="6"/>
  <c r="BM377" i="6"/>
  <c r="BQ147" i="6"/>
  <c r="BQ707" i="6"/>
  <c r="BA640" i="6"/>
  <c r="CD219" i="6"/>
  <c r="BO661" i="6"/>
  <c r="BA165" i="6"/>
  <c r="BO627" i="6"/>
  <c r="BZ219" i="6"/>
  <c r="CJ219" i="6" s="1"/>
  <c r="BA209" i="6"/>
  <c r="BA191" i="6"/>
  <c r="BM176" i="6"/>
  <c r="BG70" i="6"/>
  <c r="CR219" i="6"/>
  <c r="BY234" i="6"/>
  <c r="CI234" i="6" s="1"/>
  <c r="CH269" i="6"/>
  <c r="AD239" i="6"/>
  <c r="BG239" i="6" s="1"/>
  <c r="BO629" i="6"/>
  <c r="CQ234" i="6"/>
  <c r="BM624" i="6"/>
  <c r="BO251" i="6"/>
  <c r="BM231" i="6"/>
  <c r="BO353" i="6"/>
  <c r="BG571" i="6"/>
  <c r="BP683" i="6"/>
  <c r="BQ386" i="6"/>
  <c r="BA260" i="6"/>
  <c r="BM573" i="6"/>
  <c r="BG634" i="6"/>
  <c r="BA385" i="6"/>
  <c r="BG688" i="6"/>
  <c r="BA102" i="6"/>
  <c r="CW126" i="6"/>
  <c r="CJ31" i="6"/>
  <c r="CV373" i="6"/>
  <c r="BM76" i="6"/>
  <c r="BP628" i="6"/>
  <c r="BP643" i="6"/>
  <c r="BQ373" i="6"/>
  <c r="BO632" i="6"/>
  <c r="BP245" i="6"/>
  <c r="BA399" i="6"/>
  <c r="BA16" i="6"/>
  <c r="BA222" i="6"/>
  <c r="BQ681" i="6"/>
  <c r="BQ640" i="6"/>
  <c r="BA64" i="6"/>
  <c r="BM594" i="6"/>
  <c r="CX31" i="6"/>
  <c r="BM95" i="6"/>
  <c r="BG194" i="6"/>
  <c r="CI373" i="6"/>
  <c r="BG91" i="6"/>
  <c r="BA272" i="6"/>
  <c r="BG208" i="6"/>
  <c r="CH31" i="6"/>
  <c r="CI227" i="6"/>
  <c r="CH374" i="6"/>
  <c r="BA41" i="6"/>
  <c r="BA116" i="6"/>
  <c r="BM613" i="6"/>
  <c r="BG113" i="6"/>
  <c r="BG256" i="6"/>
  <c r="CX615" i="6"/>
  <c r="BA636" i="6"/>
  <c r="CI337" i="6"/>
  <c r="CI194" i="6"/>
  <c r="BA227" i="6"/>
  <c r="BM298" i="6"/>
  <c r="BG182" i="6"/>
  <c r="CV241" i="6"/>
  <c r="BA172" i="6"/>
  <c r="BQ703" i="6"/>
  <c r="BP632" i="6"/>
  <c r="BQ13" i="6"/>
  <c r="BA405" i="6"/>
  <c r="BA234" i="6"/>
  <c r="BG181" i="6"/>
  <c r="CH48" i="6"/>
  <c r="BA628" i="6"/>
  <c r="BG187" i="6"/>
  <c r="BM346" i="6"/>
  <c r="BO644" i="6"/>
  <c r="BO137" i="6"/>
  <c r="BY239" i="6"/>
  <c r="CI239" i="6" s="1"/>
  <c r="BQ88" i="6"/>
  <c r="BP75" i="6"/>
  <c r="BA402" i="6"/>
  <c r="BX219" i="6"/>
  <c r="CH219" i="6" s="1"/>
  <c r="AP16" i="5" s="1"/>
  <c r="BG262" i="6"/>
  <c r="BG39" i="6"/>
  <c r="BO12" i="6"/>
  <c r="BM370" i="6"/>
  <c r="BO655" i="6"/>
  <c r="BM387" i="6"/>
  <c r="BA153" i="6"/>
  <c r="BA613" i="6"/>
  <c r="CJ126" i="6"/>
  <c r="BA689" i="6"/>
  <c r="BA420" i="6"/>
  <c r="BM82" i="6"/>
  <c r="BM678" i="6"/>
  <c r="BQ628" i="6"/>
  <c r="BG272" i="6"/>
  <c r="BM688" i="6"/>
  <c r="BO234" i="6"/>
  <c r="BM590" i="6"/>
  <c r="BQ401" i="6"/>
  <c r="BO364" i="6"/>
  <c r="BA633" i="6"/>
  <c r="BM183" i="6"/>
  <c r="BM177" i="6"/>
  <c r="BA625" i="6"/>
  <c r="BA271" i="6"/>
  <c r="BQ416" i="6"/>
  <c r="BQ604" i="6"/>
  <c r="BQ215" i="6"/>
  <c r="BM658" i="6"/>
  <c r="BG402" i="6"/>
  <c r="BA241" i="6"/>
  <c r="BM406" i="6"/>
  <c r="BG605" i="6"/>
  <c r="BG106" i="6"/>
  <c r="BA704" i="6"/>
  <c r="BA575" i="6"/>
  <c r="BG62" i="6"/>
  <c r="BG623" i="6"/>
  <c r="BG139" i="6"/>
  <c r="CJ194" i="6"/>
  <c r="BP672" i="6"/>
  <c r="BO375" i="6"/>
  <c r="BG669" i="6"/>
  <c r="BO75" i="6"/>
  <c r="BG369" i="6"/>
  <c r="BG652" i="6"/>
  <c r="BQ615" i="6"/>
  <c r="BG337" i="6"/>
  <c r="BA148" i="6"/>
  <c r="BG251" i="6"/>
  <c r="BG419" i="6"/>
  <c r="BP634" i="6"/>
  <c r="BP654" i="6"/>
  <c r="BQ209" i="6"/>
  <c r="BA648" i="6"/>
  <c r="CC239" i="6"/>
  <c r="BG76" i="6"/>
  <c r="BA643" i="6"/>
  <c r="BO277" i="6"/>
  <c r="BG635" i="6"/>
  <c r="BG647" i="6"/>
  <c r="CQ239" i="6"/>
  <c r="BG627" i="6"/>
  <c r="BQ647" i="6"/>
  <c r="BG138" i="6"/>
  <c r="BM127" i="6"/>
  <c r="BA359" i="6"/>
  <c r="BQ649" i="6"/>
  <c r="CM239" i="6"/>
  <c r="CW239" i="6" s="1"/>
  <c r="BM364" i="6"/>
  <c r="CM680" i="6"/>
  <c r="CW680" i="6" s="1"/>
  <c r="BM600" i="6"/>
  <c r="BG613" i="6"/>
  <c r="BM631" i="6"/>
  <c r="BP126" i="6"/>
  <c r="BG98" i="6"/>
  <c r="BM685" i="6"/>
  <c r="BA252" i="6"/>
  <c r="CW31" i="6"/>
  <c r="CX373" i="6"/>
  <c r="CI615" i="6"/>
  <c r="CH241" i="6"/>
  <c r="BP62" i="6"/>
  <c r="BM222" i="6"/>
  <c r="BG206" i="6"/>
  <c r="BA371" i="6"/>
  <c r="BM374" i="6"/>
  <c r="BQ121" i="6"/>
  <c r="CM219" i="6"/>
  <c r="CW219" i="6" s="1"/>
  <c r="BO591" i="6"/>
  <c r="CC252" i="6"/>
  <c r="CC680" i="6"/>
  <c r="Q18" i="5"/>
  <c r="CQ219" i="6"/>
  <c r="CQ680" i="6"/>
  <c r="BM369" i="6"/>
  <c r="BG646" i="6"/>
  <c r="BA647" i="6"/>
  <c r="BQ578" i="6"/>
  <c r="BG163" i="6"/>
  <c r="BQ650" i="6"/>
  <c r="BA151" i="6"/>
  <c r="BQ25" i="6"/>
  <c r="BG655" i="6"/>
  <c r="BP292" i="6"/>
  <c r="J18" i="5"/>
  <c r="Z18" i="5"/>
  <c r="BA684" i="6"/>
  <c r="BA631" i="6"/>
  <c r="BY219" i="6"/>
  <c r="CI219" i="6" s="1"/>
  <c r="BY252" i="6"/>
  <c r="CI252" i="6" s="1"/>
  <c r="BG10" i="6"/>
  <c r="BO206" i="6"/>
  <c r="BA168" i="6"/>
  <c r="BA215" i="6"/>
  <c r="BG686" i="6"/>
  <c r="BA198" i="6"/>
  <c r="BG708" i="6"/>
  <c r="BA300" i="6"/>
  <c r="BM684" i="6"/>
  <c r="BG383" i="6"/>
  <c r="BG195" i="6"/>
  <c r="BM241" i="6"/>
  <c r="BA658" i="6"/>
  <c r="BG424" i="6"/>
  <c r="BM343" i="6"/>
  <c r="BA621" i="6"/>
  <c r="BO419" i="6"/>
  <c r="BP279" i="6"/>
  <c r="BQ575" i="6"/>
  <c r="BO639" i="6"/>
  <c r="BA694" i="6"/>
  <c r="BM48" i="6"/>
  <c r="BM661" i="6"/>
  <c r="BA372" i="6"/>
  <c r="BA651" i="6"/>
  <c r="BG127" i="6"/>
  <c r="BA292" i="6"/>
  <c r="BG587" i="6"/>
  <c r="BQ345" i="6"/>
  <c r="BM338" i="6"/>
  <c r="BM585" i="6"/>
  <c r="BQ298" i="6"/>
  <c r="BA681" i="6"/>
  <c r="BM651" i="6"/>
  <c r="BM567" i="6"/>
  <c r="BM670" i="6"/>
  <c r="BP182" i="6"/>
  <c r="BO382" i="6"/>
  <c r="BM114" i="6"/>
  <c r="BQ632" i="6"/>
  <c r="BO585" i="6"/>
  <c r="CQ252" i="6"/>
  <c r="BY680" i="6"/>
  <c r="CI680" i="6" s="1"/>
  <c r="BA242" i="6"/>
  <c r="BG87" i="6"/>
  <c r="BA233" i="6"/>
  <c r="CV337" i="6"/>
  <c r="CC219" i="6"/>
  <c r="BA626" i="6"/>
  <c r="CL219" i="6"/>
  <c r="CV219" i="6" s="1"/>
  <c r="BP650" i="6"/>
  <c r="CR252" i="6"/>
  <c r="CP680" i="6"/>
  <c r="BG633" i="6"/>
  <c r="BO683" i="6"/>
  <c r="CB219" i="6"/>
  <c r="BP649" i="6"/>
  <c r="BM182" i="6"/>
  <c r="CW12" i="6"/>
  <c r="BQ182" i="6"/>
  <c r="BO633" i="6"/>
  <c r="BP39" i="6"/>
  <c r="BM145" i="6"/>
  <c r="CJ373" i="6"/>
  <c r="CH373" i="6"/>
  <c r="BG626" i="6"/>
  <c r="BM646" i="6"/>
  <c r="BM138" i="6"/>
  <c r="BM652" i="6"/>
  <c r="BM683" i="6"/>
  <c r="BA646" i="6"/>
  <c r="BA11" i="6"/>
  <c r="BG625" i="6"/>
  <c r="BO344" i="6"/>
  <c r="BP637" i="6"/>
  <c r="BA56" i="6"/>
  <c r="BP626" i="6"/>
  <c r="BO184" i="6"/>
  <c r="CJ241" i="6"/>
  <c r="BQ646" i="6"/>
  <c r="BA106" i="6"/>
  <c r="BP181" i="6"/>
  <c r="BM657" i="6"/>
  <c r="BA630" i="6"/>
  <c r="BG414" i="6"/>
  <c r="BA650" i="6"/>
  <c r="BP421" i="6"/>
  <c r="BG403" i="6"/>
  <c r="BG303" i="6"/>
  <c r="BA638" i="6"/>
  <c r="BA92" i="6"/>
  <c r="BA652" i="6"/>
  <c r="BA400" i="6"/>
  <c r="BO652" i="6"/>
  <c r="BM682" i="6"/>
  <c r="BM14" i="6"/>
  <c r="AD252" i="6"/>
  <c r="BM105" i="6"/>
  <c r="BO239" i="6"/>
  <c r="BA239" i="6"/>
  <c r="BM621" i="6"/>
  <c r="BQ621" i="6"/>
  <c r="BM219" i="6"/>
  <c r="BQ219" i="6"/>
  <c r="BA622" i="6"/>
  <c r="BO622" i="6"/>
  <c r="BQ674" i="6"/>
  <c r="BM674" i="6"/>
  <c r="BA675" i="6"/>
  <c r="BO675" i="6"/>
  <c r="BP621" i="6"/>
  <c r="BG621" i="6"/>
  <c r="BO195" i="6"/>
  <c r="BA195" i="6"/>
  <c r="BP679" i="6"/>
  <c r="BG679" i="6"/>
  <c r="BP622" i="6"/>
  <c r="BG622" i="6"/>
  <c r="BM93" i="6"/>
  <c r="BQ93" i="6"/>
  <c r="BM234" i="6"/>
  <c r="BQ234" i="6"/>
  <c r="BQ169" i="6"/>
  <c r="BM169" i="6"/>
  <c r="BM676" i="6"/>
  <c r="BQ676" i="6"/>
  <c r="BP239" i="6"/>
  <c r="BG233" i="6"/>
  <c r="BP233" i="6"/>
  <c r="BM232" i="6"/>
  <c r="BQ232" i="6"/>
  <c r="BG169" i="6"/>
  <c r="BP169" i="6"/>
  <c r="CC135" i="6"/>
  <c r="AD135" i="6"/>
  <c r="CM135" i="6"/>
  <c r="CW135" i="6" s="1"/>
  <c r="BY135" i="6"/>
  <c r="CI135" i="6" s="1"/>
  <c r="CQ135" i="6"/>
  <c r="BM673" i="6"/>
  <c r="BQ673" i="6"/>
  <c r="BQ94" i="6"/>
  <c r="BM94" i="6"/>
  <c r="BQ239" i="6"/>
  <c r="AE135" i="6"/>
  <c r="CD135" i="6"/>
  <c r="BZ135" i="6"/>
  <c r="CJ135" i="6" s="1"/>
  <c r="CR135" i="6"/>
  <c r="CN135" i="6"/>
  <c r="CX135" i="6" s="1"/>
  <c r="BA679" i="6"/>
  <c r="BO679" i="6"/>
  <c r="BG673" i="6"/>
  <c r="BP673" i="6"/>
  <c r="BO94" i="6"/>
  <c r="BA94" i="6"/>
  <c r="BO105" i="6"/>
  <c r="BA105" i="6"/>
  <c r="BP676" i="6"/>
  <c r="BG676" i="6"/>
  <c r="T10" i="5"/>
  <c r="BO673" i="6"/>
  <c r="BA673" i="6"/>
  <c r="BG120" i="6"/>
  <c r="BP120" i="6"/>
  <c r="BM680" i="6"/>
  <c r="BQ680" i="6"/>
  <c r="AC135" i="6"/>
  <c r="J11" i="5" s="1"/>
  <c r="BX135" i="6"/>
  <c r="CH135" i="6" s="1"/>
  <c r="CP135" i="6"/>
  <c r="CB135" i="6"/>
  <c r="CL135" i="6"/>
  <c r="CV135" i="6" s="1"/>
  <c r="AD10" i="5"/>
  <c r="AC10" i="5"/>
  <c r="BO219" i="6"/>
  <c r="BG674" i="6"/>
  <c r="BP674" i="6"/>
  <c r="BG232" i="6"/>
  <c r="BP232" i="6"/>
  <c r="BA193" i="6"/>
  <c r="BO193" i="6"/>
  <c r="BQ193" i="6"/>
  <c r="BM193" i="6"/>
  <c r="BP297" i="6"/>
  <c r="BG297" i="6"/>
  <c r="BO676" i="6"/>
  <c r="BA676" i="6"/>
  <c r="BQ195" i="6"/>
  <c r="BM195" i="6"/>
  <c r="BP93" i="6"/>
  <c r="BG93" i="6"/>
  <c r="BP677" i="6"/>
  <c r="BG677" i="6"/>
  <c r="BO677" i="6"/>
  <c r="BA677" i="6"/>
  <c r="BO623" i="6"/>
  <c r="BA623" i="6"/>
  <c r="BM620" i="6"/>
  <c r="BM139" i="6"/>
  <c r="BQ139" i="6"/>
  <c r="BQ677" i="6"/>
  <c r="BM677" i="6"/>
  <c r="BO674" i="6"/>
  <c r="BA674" i="6"/>
  <c r="BQ675" i="6"/>
  <c r="BM675" i="6"/>
  <c r="BO139" i="6"/>
  <c r="BA139" i="6"/>
  <c r="BQ679" i="6"/>
  <c r="BM679" i="6"/>
  <c r="BM297" i="6"/>
  <c r="BQ297" i="6"/>
  <c r="BA620" i="6"/>
  <c r="BO620" i="6"/>
  <c r="BO169" i="6"/>
  <c r="BA169" i="6"/>
  <c r="BG678" i="6"/>
  <c r="BP678" i="6"/>
  <c r="BP675" i="6"/>
  <c r="BG675" i="6"/>
  <c r="BG193" i="6"/>
  <c r="BP193" i="6"/>
  <c r="BP620" i="6"/>
  <c r="BG620" i="6"/>
  <c r="BM623" i="6"/>
  <c r="BQ623" i="6"/>
  <c r="BO297" i="6"/>
  <c r="BA297" i="6"/>
  <c r="BQ622" i="6"/>
  <c r="BM622" i="6"/>
  <c r="BM233" i="6"/>
  <c r="BQ233" i="6"/>
  <c r="Z16" i="5" l="1"/>
  <c r="AE16" i="5" s="1"/>
  <c r="AU16" i="5"/>
  <c r="Q16" i="5"/>
  <c r="AR16" i="5"/>
  <c r="J16" i="5"/>
  <c r="AW16" i="5"/>
  <c r="BG219" i="6"/>
  <c r="BM252" i="6"/>
  <c r="BG234" i="6"/>
  <c r="BA219" i="6"/>
  <c r="U18" i="5"/>
  <c r="O18" i="5"/>
  <c r="AE18" i="5"/>
  <c r="AV18" i="5"/>
  <c r="AW18" i="5"/>
  <c r="AR18" i="5"/>
  <c r="AU18" i="5"/>
  <c r="AP18" i="5"/>
  <c r="T18" i="5"/>
  <c r="X18" i="5" s="1"/>
  <c r="AQ18" i="5"/>
  <c r="AD18" i="5"/>
  <c r="AI18" i="5" s="1"/>
  <c r="AC18" i="5"/>
  <c r="BO680" i="6"/>
  <c r="M18" i="5"/>
  <c r="AQ16" i="5"/>
  <c r="BP680" i="6"/>
  <c r="BG252" i="6"/>
  <c r="AV16" i="5"/>
  <c r="AD16" i="5"/>
  <c r="AC16" i="5"/>
  <c r="AE10" i="5"/>
  <c r="U10" i="5"/>
  <c r="Q11" i="5"/>
  <c r="AH10" i="5"/>
  <c r="AI10" i="5"/>
  <c r="AR11" i="5"/>
  <c r="BG135" i="6"/>
  <c r="BP135" i="6"/>
  <c r="M10" i="5"/>
  <c r="AF10" i="5"/>
  <c r="V10" i="5"/>
  <c r="BQ135" i="6"/>
  <c r="BM135" i="6"/>
  <c r="AQ11" i="5"/>
  <c r="O10" i="5"/>
  <c r="N10" i="5"/>
  <c r="AG10" i="5"/>
  <c r="BA135" i="6"/>
  <c r="BO135" i="6"/>
  <c r="X10" i="5"/>
  <c r="W10" i="5"/>
  <c r="Z11" i="5"/>
  <c r="U16" i="5" l="1"/>
  <c r="M16" i="5"/>
  <c r="V18" i="5"/>
  <c r="W18" i="5"/>
  <c r="N18" i="5"/>
  <c r="AF18" i="5"/>
  <c r="T16" i="5"/>
  <c r="X16" i="5" s="1"/>
  <c r="AH18" i="5"/>
  <c r="AG18" i="5"/>
  <c r="N16" i="5"/>
  <c r="AH16" i="5"/>
  <c r="AF16" i="5"/>
  <c r="AI16" i="5"/>
  <c r="AW11" i="5"/>
  <c r="AP11" i="5"/>
  <c r="AV11" i="5"/>
  <c r="AD11" i="5"/>
  <c r="AC11" i="5"/>
  <c r="AU11" i="5"/>
  <c r="T11" i="5"/>
  <c r="AG16" i="5"/>
  <c r="W16" i="5" l="1"/>
  <c r="V16" i="5"/>
  <c r="O16" i="5"/>
  <c r="AE11" i="5"/>
  <c r="M11" i="5"/>
  <c r="U11" i="5"/>
  <c r="AG11" i="5"/>
  <c r="AF11" i="5"/>
  <c r="O11" i="5"/>
  <c r="N11" i="5"/>
  <c r="V11" i="5"/>
  <c r="X11" i="5"/>
  <c r="W11" i="5"/>
  <c r="AI11" i="5"/>
  <c r="AH11" i="5"/>
  <c r="AA426" i="6" l="1"/>
  <c r="AN426" i="6" s="1"/>
  <c r="Q426" i="6"/>
  <c r="BL426" i="6" l="1"/>
  <c r="CR426" i="6"/>
  <c r="AE426" i="6"/>
  <c r="CN426" i="6"/>
  <c r="CX426" i="6" s="1"/>
  <c r="CD426" i="6"/>
  <c r="BZ426" i="6"/>
  <c r="CJ426" i="6" s="1"/>
  <c r="O426" i="6"/>
  <c r="Y426" i="6"/>
  <c r="AL426" i="6" s="1"/>
  <c r="Z426" i="6"/>
  <c r="AM426" i="6" s="1"/>
  <c r="P426" i="6"/>
  <c r="AA427" i="6"/>
  <c r="AN427" i="6" s="1"/>
  <c r="Q427" i="6"/>
  <c r="BF426" i="6" l="1"/>
  <c r="AZ426" i="6"/>
  <c r="BL427" i="6"/>
  <c r="BX426" i="6"/>
  <c r="CH426" i="6" s="1"/>
  <c r="CP426" i="6"/>
  <c r="CB426" i="6"/>
  <c r="AC426" i="6"/>
  <c r="CL426" i="6"/>
  <c r="CV426" i="6" s="1"/>
  <c r="BQ426" i="6"/>
  <c r="BM426" i="6"/>
  <c r="CR427" i="6"/>
  <c r="AE427" i="6"/>
  <c r="CN427" i="6"/>
  <c r="CX427" i="6" s="1"/>
  <c r="CD427" i="6"/>
  <c r="BZ427" i="6"/>
  <c r="CJ427" i="6" s="1"/>
  <c r="CM426" i="6"/>
  <c r="CW426" i="6" s="1"/>
  <c r="AD426" i="6"/>
  <c r="CQ426" i="6"/>
  <c r="CC426" i="6"/>
  <c r="BY426" i="6"/>
  <c r="CI426" i="6" s="1"/>
  <c r="Z427" i="6"/>
  <c r="AM427" i="6" s="1"/>
  <c r="P427" i="6"/>
  <c r="Y427" i="6"/>
  <c r="AL427" i="6" s="1"/>
  <c r="O427" i="6"/>
  <c r="Q428" i="6"/>
  <c r="AA428" i="6"/>
  <c r="AN428" i="6" s="1"/>
  <c r="BF427" i="6" l="1"/>
  <c r="BL428" i="6"/>
  <c r="AZ427" i="6"/>
  <c r="CN428" i="6"/>
  <c r="CX428" i="6" s="1"/>
  <c r="CD428" i="6"/>
  <c r="AE428" i="6"/>
  <c r="BZ428" i="6"/>
  <c r="CJ428" i="6" s="1"/>
  <c r="CR428" i="6"/>
  <c r="CP427" i="6"/>
  <c r="CB427" i="6"/>
  <c r="CL427" i="6"/>
  <c r="CV427" i="6" s="1"/>
  <c r="BX427" i="6"/>
  <c r="CH427" i="6" s="1"/>
  <c r="AC427" i="6"/>
  <c r="CC427" i="6"/>
  <c r="CM427" i="6"/>
  <c r="CW427" i="6" s="1"/>
  <c r="AD427" i="6"/>
  <c r="CQ427" i="6"/>
  <c r="BY427" i="6"/>
  <c r="CI427" i="6" s="1"/>
  <c r="BP426" i="6"/>
  <c r="BG426" i="6"/>
  <c r="BQ427" i="6"/>
  <c r="BM427" i="6"/>
  <c r="BO426" i="6"/>
  <c r="BA426" i="6"/>
  <c r="Z428" i="6"/>
  <c r="AM428" i="6" s="1"/>
  <c r="P428" i="6"/>
  <c r="Y428" i="6"/>
  <c r="AL428" i="6" s="1"/>
  <c r="O428" i="6"/>
  <c r="Q429" i="6"/>
  <c r="AA429" i="6"/>
  <c r="AN429" i="6" s="1"/>
  <c r="AZ428" i="6" l="1"/>
  <c r="BL429" i="6"/>
  <c r="BF428" i="6"/>
  <c r="CL428" i="6"/>
  <c r="CV428" i="6" s="1"/>
  <c r="BX428" i="6"/>
  <c r="CH428" i="6" s="1"/>
  <c r="CP428" i="6"/>
  <c r="CB428" i="6"/>
  <c r="AC428" i="6"/>
  <c r="BO427" i="6"/>
  <c r="BA427" i="6"/>
  <c r="BZ429" i="6"/>
  <c r="CJ429" i="6" s="1"/>
  <c r="CR429" i="6"/>
  <c r="CN429" i="6"/>
  <c r="CX429" i="6" s="1"/>
  <c r="CD429" i="6"/>
  <c r="AE429" i="6"/>
  <c r="CM428" i="6"/>
  <c r="CW428" i="6" s="1"/>
  <c r="AD428" i="6"/>
  <c r="CQ428" i="6"/>
  <c r="BY428" i="6"/>
  <c r="CI428" i="6" s="1"/>
  <c r="CC428" i="6"/>
  <c r="BP427" i="6"/>
  <c r="BG427" i="6"/>
  <c r="BQ428" i="6"/>
  <c r="BM428" i="6"/>
  <c r="O429" i="6"/>
  <c r="Y429" i="6"/>
  <c r="AL429" i="6" s="1"/>
  <c r="P429" i="6"/>
  <c r="Z429" i="6"/>
  <c r="AM429" i="6" s="1"/>
  <c r="AA263" i="6"/>
  <c r="AN263" i="6" s="1"/>
  <c r="Q263" i="6"/>
  <c r="BL263" i="6" l="1"/>
  <c r="AZ429" i="6"/>
  <c r="BF429" i="6"/>
  <c r="BM429" i="6"/>
  <c r="BQ429" i="6"/>
  <c r="BO428" i="6"/>
  <c r="BA428" i="6"/>
  <c r="CC429" i="6"/>
  <c r="BY429" i="6"/>
  <c r="CI429" i="6" s="1"/>
  <c r="CM429" i="6"/>
  <c r="CW429" i="6" s="1"/>
  <c r="CQ429" i="6"/>
  <c r="AD429" i="6"/>
  <c r="BP428" i="6"/>
  <c r="BG428" i="6"/>
  <c r="CR263" i="6"/>
  <c r="AE263" i="6"/>
  <c r="CN263" i="6"/>
  <c r="CD263" i="6"/>
  <c r="BZ263" i="6"/>
  <c r="CB429" i="6"/>
  <c r="CP429" i="6"/>
  <c r="CL429" i="6"/>
  <c r="CV429" i="6" s="1"/>
  <c r="AC429" i="6"/>
  <c r="BX429" i="6"/>
  <c r="CH429" i="6" s="1"/>
  <c r="O263" i="6"/>
  <c r="Y263" i="6"/>
  <c r="AL263" i="6" s="1"/>
  <c r="Z263" i="6"/>
  <c r="AM263" i="6" s="1"/>
  <c r="P263" i="6"/>
  <c r="AA247" i="6"/>
  <c r="AN247" i="6" s="1"/>
  <c r="Q247" i="6"/>
  <c r="AZ263" i="6" l="1"/>
  <c r="BL247" i="6"/>
  <c r="BF263" i="6"/>
  <c r="BP263" i="6" s="1"/>
  <c r="CX263" i="6"/>
  <c r="CJ263" i="6"/>
  <c r="BA429" i="6"/>
  <c r="BO429" i="6"/>
  <c r="BQ263" i="6"/>
  <c r="BM263" i="6"/>
  <c r="BP429" i="6"/>
  <c r="BG429" i="6"/>
  <c r="BZ247" i="6"/>
  <c r="CR247" i="6"/>
  <c r="AE247" i="6"/>
  <c r="CN247" i="6"/>
  <c r="CD247" i="6"/>
  <c r="CM263" i="6"/>
  <c r="CC263" i="6"/>
  <c r="BY263" i="6"/>
  <c r="AD263" i="6"/>
  <c r="CQ263" i="6"/>
  <c r="CB263" i="6"/>
  <c r="AC263" i="6"/>
  <c r="CL263" i="6"/>
  <c r="BX263" i="6"/>
  <c r="CP263" i="6"/>
  <c r="Z247" i="6"/>
  <c r="AM247" i="6" s="1"/>
  <c r="P247" i="6"/>
  <c r="Q125" i="6"/>
  <c r="AA125" i="6"/>
  <c r="AN125" i="6" s="1"/>
  <c r="O247" i="6"/>
  <c r="Y247" i="6"/>
  <c r="AL247" i="6" s="1"/>
  <c r="BF247" i="6" l="1"/>
  <c r="AZ247" i="6"/>
  <c r="BL125" i="6"/>
  <c r="BQ125" i="6" s="1"/>
  <c r="CV263" i="6"/>
  <c r="CW263" i="6"/>
  <c r="CI263" i="6"/>
  <c r="CH263" i="6"/>
  <c r="BG263" i="6"/>
  <c r="CL247" i="6"/>
  <c r="BX247" i="6"/>
  <c r="CP247" i="6"/>
  <c r="CB247" i="6"/>
  <c r="AC247" i="6"/>
  <c r="BM247" i="6"/>
  <c r="BQ247" i="6"/>
  <c r="CM247" i="6"/>
  <c r="AD247" i="6"/>
  <c r="CQ247" i="6"/>
  <c r="CC247" i="6"/>
  <c r="BY247" i="6"/>
  <c r="CX247" i="6"/>
  <c r="CJ247" i="6"/>
  <c r="BO263" i="6"/>
  <c r="BA263" i="6"/>
  <c r="CN125" i="6"/>
  <c r="CD125" i="6"/>
  <c r="AE125" i="6"/>
  <c r="BZ125" i="6"/>
  <c r="CR125" i="6"/>
  <c r="AA230" i="6"/>
  <c r="AN230" i="6" s="1"/>
  <c r="Q230" i="6"/>
  <c r="Z125" i="6"/>
  <c r="AM125" i="6" s="1"/>
  <c r="P125" i="6"/>
  <c r="O125" i="6"/>
  <c r="Y125" i="6"/>
  <c r="AL125" i="6" s="1"/>
  <c r="BL230" i="6" l="1"/>
  <c r="AZ125" i="6"/>
  <c r="BF125" i="6"/>
  <c r="CX125" i="6"/>
  <c r="BP247" i="6"/>
  <c r="BG247" i="6"/>
  <c r="BA247" i="6"/>
  <c r="BO247" i="6"/>
  <c r="CB125" i="6"/>
  <c r="AC125" i="6"/>
  <c r="CL125" i="6"/>
  <c r="BX125" i="6"/>
  <c r="CP125" i="6"/>
  <c r="CJ125" i="6"/>
  <c r="BZ230" i="6"/>
  <c r="CR230" i="6"/>
  <c r="CN230" i="6"/>
  <c r="CD230" i="6"/>
  <c r="AE230" i="6"/>
  <c r="BM125" i="6"/>
  <c r="CI247" i="6"/>
  <c r="CH247" i="6"/>
  <c r="BY125" i="6"/>
  <c r="CC125" i="6"/>
  <c r="AD125" i="6"/>
  <c r="CM125" i="6"/>
  <c r="CQ125" i="6"/>
  <c r="CW247" i="6"/>
  <c r="CV247" i="6"/>
  <c r="O230" i="6"/>
  <c r="Y230" i="6"/>
  <c r="AL230" i="6" s="1"/>
  <c r="Q149" i="6"/>
  <c r="AA149" i="6"/>
  <c r="AN149" i="6" s="1"/>
  <c r="P230" i="6"/>
  <c r="Z230" i="6"/>
  <c r="AM230" i="6" s="1"/>
  <c r="BF230" i="6" l="1"/>
  <c r="AZ230" i="6"/>
  <c r="BL149" i="6"/>
  <c r="CV125" i="6"/>
  <c r="CR149" i="6"/>
  <c r="CN149" i="6"/>
  <c r="CX149" i="6" s="1"/>
  <c r="AE149" i="6"/>
  <c r="CD149" i="6"/>
  <c r="BZ149" i="6"/>
  <c r="CJ149" i="6" s="1"/>
  <c r="BM230" i="6"/>
  <c r="BQ230" i="6"/>
  <c r="CX230" i="6"/>
  <c r="BA125" i="6"/>
  <c r="BO125" i="6"/>
  <c r="BP125" i="6"/>
  <c r="BG125" i="6"/>
  <c r="CI125" i="6"/>
  <c r="CM230" i="6"/>
  <c r="CQ230" i="6"/>
  <c r="CC230" i="6"/>
  <c r="AD230" i="6"/>
  <c r="BY230" i="6"/>
  <c r="BX230" i="6"/>
  <c r="AC230" i="6"/>
  <c r="CL230" i="6"/>
  <c r="CP230" i="6"/>
  <c r="CB230" i="6"/>
  <c r="CW125" i="6"/>
  <c r="CJ230" i="6"/>
  <c r="CH125" i="6"/>
  <c r="O149" i="6"/>
  <c r="Y149" i="6"/>
  <c r="AL149" i="6" s="1"/>
  <c r="AA238" i="6"/>
  <c r="AN238" i="6" s="1"/>
  <c r="Q238" i="6"/>
  <c r="Z149" i="6"/>
  <c r="AM149" i="6" s="1"/>
  <c r="P149" i="6"/>
  <c r="AZ149" i="6" l="1"/>
  <c r="BF149" i="6"/>
  <c r="BL238" i="6"/>
  <c r="CH230" i="6"/>
  <c r="CI230" i="6"/>
  <c r="CC149" i="6"/>
  <c r="BY149" i="6"/>
  <c r="CI149" i="6" s="1"/>
  <c r="CM149" i="6"/>
  <c r="CW149" i="6" s="1"/>
  <c r="AD149" i="6"/>
  <c r="CQ149" i="6"/>
  <c r="BA230" i="6"/>
  <c r="BO230" i="6"/>
  <c r="CL149" i="6"/>
  <c r="CV149" i="6" s="1"/>
  <c r="BX149" i="6"/>
  <c r="CH149" i="6" s="1"/>
  <c r="CP149" i="6"/>
  <c r="CB149" i="6"/>
  <c r="AC149" i="6"/>
  <c r="CV230" i="6"/>
  <c r="CW230" i="6"/>
  <c r="CD238" i="6"/>
  <c r="BZ238" i="6"/>
  <c r="CJ238" i="6" s="1"/>
  <c r="AE238" i="6"/>
  <c r="CR238" i="6"/>
  <c r="CN238" i="6"/>
  <c r="CX238" i="6" s="1"/>
  <c r="BQ149" i="6"/>
  <c r="BM149" i="6"/>
  <c r="BP230" i="6"/>
  <c r="BG230" i="6"/>
  <c r="Y238" i="6"/>
  <c r="AL238" i="6" s="1"/>
  <c r="O238" i="6"/>
  <c r="Z238" i="6"/>
  <c r="AM238" i="6" s="1"/>
  <c r="P238" i="6"/>
  <c r="Q430" i="6"/>
  <c r="AA430" i="6"/>
  <c r="AN430" i="6" s="1"/>
  <c r="AZ238" i="6" l="1"/>
  <c r="BF238" i="6"/>
  <c r="BL430" i="6"/>
  <c r="CC238" i="6"/>
  <c r="AD238" i="6"/>
  <c r="CM238" i="6"/>
  <c r="CW238" i="6" s="1"/>
  <c r="CQ238" i="6"/>
  <c r="BY238" i="6"/>
  <c r="CI238" i="6" s="1"/>
  <c r="CN430" i="6"/>
  <c r="CD430" i="6"/>
  <c r="BZ430" i="6"/>
  <c r="AE430" i="6"/>
  <c r="CR430" i="6"/>
  <c r="CL238" i="6"/>
  <c r="CV238" i="6" s="1"/>
  <c r="BX238" i="6"/>
  <c r="CH238" i="6" s="1"/>
  <c r="CP238" i="6"/>
  <c r="AC238" i="6"/>
  <c r="CB238" i="6"/>
  <c r="BO149" i="6"/>
  <c r="BA149" i="6"/>
  <c r="BG149" i="6"/>
  <c r="BP149" i="6"/>
  <c r="BQ238" i="6"/>
  <c r="BM238" i="6"/>
  <c r="O430" i="6"/>
  <c r="Y430" i="6"/>
  <c r="AL430" i="6" s="1"/>
  <c r="Q431" i="6"/>
  <c r="AA431" i="6"/>
  <c r="AN431" i="6" s="1"/>
  <c r="P430" i="6"/>
  <c r="Z430" i="6"/>
  <c r="AM430" i="6" s="1"/>
  <c r="BF430" i="6" l="1"/>
  <c r="AZ430" i="6"/>
  <c r="BL431" i="6"/>
  <c r="CX430" i="6"/>
  <c r="CJ430" i="6"/>
  <c r="BY430" i="6"/>
  <c r="CC430" i="6"/>
  <c r="CM430" i="6"/>
  <c r="CQ430" i="6"/>
  <c r="AD430" i="6"/>
  <c r="CL430" i="6"/>
  <c r="BX430" i="6"/>
  <c r="CP430" i="6"/>
  <c r="AC430" i="6"/>
  <c r="CB430" i="6"/>
  <c r="BG238" i="6"/>
  <c r="BP238" i="6"/>
  <c r="CN431" i="6"/>
  <c r="AE431" i="6"/>
  <c r="CD431" i="6"/>
  <c r="BZ431" i="6"/>
  <c r="CR431" i="6"/>
  <c r="BO238" i="6"/>
  <c r="BA238" i="6"/>
  <c r="BQ430" i="6"/>
  <c r="BM430" i="6"/>
  <c r="Q432" i="6"/>
  <c r="AA432" i="6"/>
  <c r="AN432" i="6" s="1"/>
  <c r="Z431" i="6"/>
  <c r="AM431" i="6" s="1"/>
  <c r="P431" i="6"/>
  <c r="Y431" i="6"/>
  <c r="AL431" i="6" s="1"/>
  <c r="O431" i="6"/>
  <c r="BF431" i="6" l="1"/>
  <c r="AZ431" i="6"/>
  <c r="BL432" i="6"/>
  <c r="CJ431" i="6"/>
  <c r="CW430" i="6"/>
  <c r="CI430" i="6"/>
  <c r="CH430" i="6"/>
  <c r="CX431" i="6"/>
  <c r="CV430" i="6"/>
  <c r="BX431" i="6"/>
  <c r="AC431" i="6"/>
  <c r="CP431" i="6"/>
  <c r="CB431" i="6"/>
  <c r="CL431" i="6"/>
  <c r="BO430" i="6"/>
  <c r="BA430" i="6"/>
  <c r="BP430" i="6"/>
  <c r="BG430" i="6"/>
  <c r="CM431" i="6"/>
  <c r="AD431" i="6"/>
  <c r="CQ431" i="6"/>
  <c r="CC431" i="6"/>
  <c r="BY431" i="6"/>
  <c r="BZ432" i="6"/>
  <c r="AE432" i="6"/>
  <c r="CR432" i="6"/>
  <c r="CN432" i="6"/>
  <c r="CD432" i="6"/>
  <c r="BQ431" i="6"/>
  <c r="BM431" i="6"/>
  <c r="Y432" i="6"/>
  <c r="AL432" i="6" s="1"/>
  <c r="O432" i="6"/>
  <c r="P432" i="6"/>
  <c r="Z432" i="6"/>
  <c r="AM432" i="6" s="1"/>
  <c r="AA433" i="6"/>
  <c r="AN433" i="6" s="1"/>
  <c r="Q433" i="6"/>
  <c r="BL433" i="6" l="1"/>
  <c r="AZ432" i="6"/>
  <c r="BF432" i="6"/>
  <c r="CX432" i="6"/>
  <c r="CH431" i="6"/>
  <c r="CJ432" i="6"/>
  <c r="CW431" i="6"/>
  <c r="CI431" i="6"/>
  <c r="CV431" i="6"/>
  <c r="BG431" i="6"/>
  <c r="BP431" i="6"/>
  <c r="BO431" i="6"/>
  <c r="BA431" i="6"/>
  <c r="CR433" i="6"/>
  <c r="AE433" i="6"/>
  <c r="CN433" i="6"/>
  <c r="CX433" i="6" s="1"/>
  <c r="CD433" i="6"/>
  <c r="BZ433" i="6"/>
  <c r="CJ433" i="6" s="1"/>
  <c r="CM432" i="6"/>
  <c r="AD432" i="6"/>
  <c r="CQ432" i="6"/>
  <c r="CC432" i="6"/>
  <c r="BY432" i="6"/>
  <c r="BX432" i="6"/>
  <c r="CB432" i="6"/>
  <c r="CL432" i="6"/>
  <c r="CP432" i="6"/>
  <c r="AC432" i="6"/>
  <c r="BQ432" i="6"/>
  <c r="BM432" i="6"/>
  <c r="O433" i="6"/>
  <c r="Y433" i="6"/>
  <c r="AL433" i="6" s="1"/>
  <c r="AA434" i="6"/>
  <c r="AN434" i="6" s="1"/>
  <c r="Q434" i="6"/>
  <c r="Z433" i="6"/>
  <c r="AM433" i="6" s="1"/>
  <c r="P433" i="6"/>
  <c r="BL434" i="6" l="1"/>
  <c r="AZ433" i="6"/>
  <c r="BF433" i="6"/>
  <c r="CI432" i="6"/>
  <c r="CV432" i="6"/>
  <c r="CW432" i="6"/>
  <c r="CH432" i="6"/>
  <c r="CM433" i="6"/>
  <c r="CW433" i="6" s="1"/>
  <c r="AD433" i="6"/>
  <c r="CQ433" i="6"/>
  <c r="CC433" i="6"/>
  <c r="BY433" i="6"/>
  <c r="CI433" i="6" s="1"/>
  <c r="CR434" i="6"/>
  <c r="CN434" i="6"/>
  <c r="CD434" i="6"/>
  <c r="AE434" i="6"/>
  <c r="BZ434" i="6"/>
  <c r="BO432" i="6"/>
  <c r="BA432" i="6"/>
  <c r="CL433" i="6"/>
  <c r="CV433" i="6" s="1"/>
  <c r="CB433" i="6"/>
  <c r="BX433" i="6"/>
  <c r="CH433" i="6" s="1"/>
  <c r="AC433" i="6"/>
  <c r="CP433" i="6"/>
  <c r="BP432" i="6"/>
  <c r="BG432" i="6"/>
  <c r="BQ433" i="6"/>
  <c r="BM433" i="6"/>
  <c r="Q435" i="6"/>
  <c r="AA435" i="6"/>
  <c r="AN435" i="6" s="1"/>
  <c r="O434" i="6"/>
  <c r="Y434" i="6"/>
  <c r="AL434" i="6" s="1"/>
  <c r="Z434" i="6"/>
  <c r="AM434" i="6" s="1"/>
  <c r="P434" i="6"/>
  <c r="AZ434" i="6" l="1"/>
  <c r="BL435" i="6"/>
  <c r="BF434" i="6"/>
  <c r="CJ434" i="6"/>
  <c r="CM434" i="6"/>
  <c r="BY434" i="6"/>
  <c r="CC434" i="6"/>
  <c r="AD434" i="6"/>
  <c r="CQ434" i="6"/>
  <c r="CL434" i="6"/>
  <c r="BX434" i="6"/>
  <c r="CP434" i="6"/>
  <c r="AC434" i="6"/>
  <c r="CB434" i="6"/>
  <c r="CR435" i="6"/>
  <c r="CN435" i="6"/>
  <c r="AE435" i="6"/>
  <c r="CD435" i="6"/>
  <c r="BZ435" i="6"/>
  <c r="BA433" i="6"/>
  <c r="BO433" i="6"/>
  <c r="BM434" i="6"/>
  <c r="BQ434" i="6"/>
  <c r="CX434" i="6"/>
  <c r="BP433" i="6"/>
  <c r="BG433" i="6"/>
  <c r="P435" i="6"/>
  <c r="Z435" i="6"/>
  <c r="AM435" i="6" s="1"/>
  <c r="Y435" i="6"/>
  <c r="AL435" i="6" s="1"/>
  <c r="O435" i="6"/>
  <c r="Q141" i="6"/>
  <c r="AA141" i="6"/>
  <c r="AN141" i="6" s="1"/>
  <c r="BL141" i="6" l="1"/>
  <c r="BF435" i="6"/>
  <c r="AZ435" i="6"/>
  <c r="CH434" i="6"/>
  <c r="BX435" i="6"/>
  <c r="CP435" i="6"/>
  <c r="AC435" i="6"/>
  <c r="CB435" i="6"/>
  <c r="CL435" i="6"/>
  <c r="BO434" i="6"/>
  <c r="BA434" i="6"/>
  <c r="CM435" i="6"/>
  <c r="AD435" i="6"/>
  <c r="CQ435" i="6"/>
  <c r="CC435" i="6"/>
  <c r="BY435" i="6"/>
  <c r="CV434" i="6"/>
  <c r="CI434" i="6"/>
  <c r="CN141" i="6"/>
  <c r="CD141" i="6"/>
  <c r="BZ141" i="6"/>
  <c r="CR141" i="6"/>
  <c r="AE141" i="6"/>
  <c r="CJ435" i="6"/>
  <c r="CX435" i="6"/>
  <c r="BP434" i="6"/>
  <c r="BG434" i="6"/>
  <c r="BQ435" i="6"/>
  <c r="BM435" i="6"/>
  <c r="CW434" i="6"/>
  <c r="Z141" i="6"/>
  <c r="AM141" i="6" s="1"/>
  <c r="P141" i="6"/>
  <c r="Q436" i="6"/>
  <c r="AA436" i="6"/>
  <c r="AN436" i="6" s="1"/>
  <c r="Y141" i="6"/>
  <c r="AL141" i="6" s="1"/>
  <c r="O141" i="6"/>
  <c r="AZ141" i="6" l="1"/>
  <c r="BL436" i="6"/>
  <c r="BF141" i="6"/>
  <c r="CJ141" i="6"/>
  <c r="BP435" i="6"/>
  <c r="BG435" i="6"/>
  <c r="BX141" i="6"/>
  <c r="CP141" i="6"/>
  <c r="CB141" i="6"/>
  <c r="AC141" i="6"/>
  <c r="CL141" i="6"/>
  <c r="BQ141" i="6"/>
  <c r="BM141" i="6"/>
  <c r="CI435" i="6"/>
  <c r="CV435" i="6"/>
  <c r="BA435" i="6"/>
  <c r="BO435" i="6"/>
  <c r="BZ436" i="6"/>
  <c r="CJ436" i="6" s="1"/>
  <c r="CD436" i="6"/>
  <c r="CN436" i="6"/>
  <c r="CX436" i="6" s="1"/>
  <c r="CR436" i="6"/>
  <c r="AE436" i="6"/>
  <c r="CC141" i="6"/>
  <c r="BY141" i="6"/>
  <c r="CM141" i="6"/>
  <c r="CQ141" i="6"/>
  <c r="AD141" i="6"/>
  <c r="CX141" i="6"/>
  <c r="CW435" i="6"/>
  <c r="CH435" i="6"/>
  <c r="O436" i="6"/>
  <c r="Y436" i="6"/>
  <c r="AL436" i="6" s="1"/>
  <c r="P436" i="6"/>
  <c r="Z436" i="6"/>
  <c r="AM436" i="6" s="1"/>
  <c r="AA437" i="6"/>
  <c r="AN437" i="6" s="1"/>
  <c r="Q437" i="6"/>
  <c r="AZ436" i="6" l="1"/>
  <c r="BF436" i="6"/>
  <c r="BL437" i="6"/>
  <c r="CI141" i="6"/>
  <c r="CV141" i="6"/>
  <c r="CW141" i="6"/>
  <c r="CD437" i="6"/>
  <c r="CN437" i="6"/>
  <c r="CX437" i="6" s="1"/>
  <c r="CR437" i="6"/>
  <c r="AE437" i="6"/>
  <c r="BZ437" i="6"/>
  <c r="CJ437" i="6" s="1"/>
  <c r="CH141" i="6"/>
  <c r="BQ436" i="6"/>
  <c r="BM436" i="6"/>
  <c r="BO141" i="6"/>
  <c r="BA141" i="6"/>
  <c r="BY436" i="6"/>
  <c r="CI436" i="6" s="1"/>
  <c r="CC436" i="6"/>
  <c r="AD436" i="6"/>
  <c r="CM436" i="6"/>
  <c r="CW436" i="6" s="1"/>
  <c r="CQ436" i="6"/>
  <c r="BX436" i="6"/>
  <c r="CH436" i="6" s="1"/>
  <c r="CP436" i="6"/>
  <c r="AC436" i="6"/>
  <c r="CB436" i="6"/>
  <c r="CL436" i="6"/>
  <c r="CV436" i="6" s="1"/>
  <c r="BP141" i="6"/>
  <c r="BG141" i="6"/>
  <c r="O437" i="6"/>
  <c r="Y437" i="6"/>
  <c r="AL437" i="6" s="1"/>
  <c r="P437" i="6"/>
  <c r="Z437" i="6"/>
  <c r="AM437" i="6" s="1"/>
  <c r="Q438" i="6"/>
  <c r="AA438" i="6"/>
  <c r="AN438" i="6" s="1"/>
  <c r="BF437" i="6" l="1"/>
  <c r="AZ437" i="6"/>
  <c r="BL438" i="6"/>
  <c r="BX437" i="6"/>
  <c r="CH437" i="6" s="1"/>
  <c r="CB437" i="6"/>
  <c r="AC437" i="6"/>
  <c r="CL437" i="6"/>
  <c r="CV437" i="6" s="1"/>
  <c r="CP437" i="6"/>
  <c r="BA436" i="6"/>
  <c r="BO436" i="6"/>
  <c r="BM437" i="6"/>
  <c r="BQ437" i="6"/>
  <c r="BY437" i="6"/>
  <c r="CI437" i="6" s="1"/>
  <c r="CC437" i="6"/>
  <c r="CM437" i="6"/>
  <c r="CW437" i="6" s="1"/>
  <c r="AD437" i="6"/>
  <c r="CQ437" i="6"/>
  <c r="BZ438" i="6"/>
  <c r="CJ438" i="6" s="1"/>
  <c r="CD438" i="6"/>
  <c r="CN438" i="6"/>
  <c r="CX438" i="6" s="1"/>
  <c r="AE438" i="6"/>
  <c r="CR438" i="6"/>
  <c r="BG436" i="6"/>
  <c r="BP436" i="6"/>
  <c r="Q439" i="6"/>
  <c r="AA439" i="6"/>
  <c r="AN439" i="6" s="1"/>
  <c r="O438" i="6"/>
  <c r="Y438" i="6"/>
  <c r="AL438" i="6" s="1"/>
  <c r="P438" i="6"/>
  <c r="Z438" i="6"/>
  <c r="AM438" i="6" s="1"/>
  <c r="AZ438" i="6" l="1"/>
  <c r="BL439" i="6"/>
  <c r="BF438" i="6"/>
  <c r="BP437" i="6"/>
  <c r="BG437" i="6"/>
  <c r="BX438" i="6"/>
  <c r="CH438" i="6" s="1"/>
  <c r="CB438" i="6"/>
  <c r="AC438" i="6"/>
  <c r="CL438" i="6"/>
  <c r="CV438" i="6" s="1"/>
  <c r="CP438" i="6"/>
  <c r="CN439" i="6"/>
  <c r="CR439" i="6"/>
  <c r="AE439" i="6"/>
  <c r="BZ439" i="6"/>
  <c r="CD439" i="6"/>
  <c r="BM438" i="6"/>
  <c r="BQ438" i="6"/>
  <c r="BA437" i="6"/>
  <c r="BO437" i="6"/>
  <c r="CM438" i="6"/>
  <c r="CW438" i="6" s="1"/>
  <c r="CQ438" i="6"/>
  <c r="BY438" i="6"/>
  <c r="CI438" i="6" s="1"/>
  <c r="CC438" i="6"/>
  <c r="AD438" i="6"/>
  <c r="Y439" i="6"/>
  <c r="AL439" i="6" s="1"/>
  <c r="O439" i="6"/>
  <c r="AA203" i="6"/>
  <c r="AN203" i="6" s="1"/>
  <c r="Q203" i="6"/>
  <c r="P439" i="6"/>
  <c r="Z439" i="6"/>
  <c r="AM439" i="6" s="1"/>
  <c r="AZ439" i="6" l="1"/>
  <c r="BF439" i="6"/>
  <c r="BL203" i="6"/>
  <c r="BZ203" i="6"/>
  <c r="CD203" i="6"/>
  <c r="CN203" i="6"/>
  <c r="AE203" i="6"/>
  <c r="CR203" i="6"/>
  <c r="CB439" i="6"/>
  <c r="CL439" i="6"/>
  <c r="AC439" i="6"/>
  <c r="CP439" i="6"/>
  <c r="BX439" i="6"/>
  <c r="BO438" i="6"/>
  <c r="BA438" i="6"/>
  <c r="BG438" i="6"/>
  <c r="BP438" i="6"/>
  <c r="BM439" i="6"/>
  <c r="BQ439" i="6"/>
  <c r="CQ439" i="6"/>
  <c r="BY439" i="6"/>
  <c r="AD439" i="6"/>
  <c r="CC439" i="6"/>
  <c r="CM439" i="6"/>
  <c r="CJ439" i="6"/>
  <c r="CX439" i="6"/>
  <c r="Y203" i="6"/>
  <c r="AL203" i="6" s="1"/>
  <c r="O203" i="6"/>
  <c r="AA178" i="6"/>
  <c r="AN178" i="6" s="1"/>
  <c r="Q178" i="6"/>
  <c r="P203" i="6"/>
  <c r="Z203" i="6"/>
  <c r="AM203" i="6" s="1"/>
  <c r="AZ203" i="6" l="1"/>
  <c r="BL178" i="6"/>
  <c r="BF203" i="6"/>
  <c r="CH439" i="6"/>
  <c r="CW439" i="6"/>
  <c r="CI439" i="6"/>
  <c r="BA439" i="6"/>
  <c r="BO439" i="6"/>
  <c r="CV439" i="6"/>
  <c r="CL203" i="6"/>
  <c r="BX203" i="6"/>
  <c r="AC203" i="6"/>
  <c r="CB203" i="6"/>
  <c r="CP203" i="6"/>
  <c r="BP439" i="6"/>
  <c r="BG439" i="6"/>
  <c r="CX203" i="6"/>
  <c r="BY203" i="6"/>
  <c r="AD203" i="6"/>
  <c r="CC203" i="6"/>
  <c r="CM203" i="6"/>
  <c r="CQ203" i="6"/>
  <c r="BQ203" i="6"/>
  <c r="BM203" i="6"/>
  <c r="CN178" i="6"/>
  <c r="AE178" i="6"/>
  <c r="CR178" i="6"/>
  <c r="BZ178" i="6"/>
  <c r="CD178" i="6"/>
  <c r="CJ203" i="6"/>
  <c r="P178" i="6"/>
  <c r="Z178" i="6"/>
  <c r="AM178" i="6" s="1"/>
  <c r="O178" i="6"/>
  <c r="Y178" i="6"/>
  <c r="AL178" i="6" s="1"/>
  <c r="Q440" i="6"/>
  <c r="AA440" i="6"/>
  <c r="AN440" i="6" s="1"/>
  <c r="AZ178" i="6" l="1"/>
  <c r="BF178" i="6"/>
  <c r="BL440" i="6"/>
  <c r="CW203" i="6"/>
  <c r="CI203" i="6"/>
  <c r="CH203" i="6"/>
  <c r="CJ178" i="6"/>
  <c r="CX178" i="6"/>
  <c r="BO203" i="6"/>
  <c r="BA203" i="6"/>
  <c r="BX178" i="6"/>
  <c r="AC178" i="6"/>
  <c r="CB178" i="6"/>
  <c r="CL178" i="6"/>
  <c r="CP178" i="6"/>
  <c r="CM178" i="6"/>
  <c r="CQ178" i="6"/>
  <c r="BY178" i="6"/>
  <c r="CC178" i="6"/>
  <c r="AD178" i="6"/>
  <c r="BP203" i="6"/>
  <c r="BG203" i="6"/>
  <c r="CV203" i="6"/>
  <c r="CR440" i="6"/>
  <c r="AE440" i="6"/>
  <c r="BZ440" i="6"/>
  <c r="CJ440" i="6" s="1"/>
  <c r="CD440" i="6"/>
  <c r="CN440" i="6"/>
  <c r="CX440" i="6" s="1"/>
  <c r="BQ178" i="6"/>
  <c r="BM178" i="6"/>
  <c r="Q441" i="6"/>
  <c r="AA441" i="6"/>
  <c r="AN441" i="6" s="1"/>
  <c r="P440" i="6"/>
  <c r="Z440" i="6"/>
  <c r="AM440" i="6" s="1"/>
  <c r="O440" i="6"/>
  <c r="Y440" i="6"/>
  <c r="AL440" i="6" s="1"/>
  <c r="BF440" i="6" l="1"/>
  <c r="AZ440" i="6"/>
  <c r="BL441" i="6"/>
  <c r="CW178" i="6"/>
  <c r="CL440" i="6"/>
  <c r="CV440" i="6" s="1"/>
  <c r="BX440" i="6"/>
  <c r="CH440" i="6" s="1"/>
  <c r="AC440" i="6"/>
  <c r="CB440" i="6"/>
  <c r="CP440" i="6"/>
  <c r="BY440" i="6"/>
  <c r="CI440" i="6" s="1"/>
  <c r="CC440" i="6"/>
  <c r="AD440" i="6"/>
  <c r="CM440" i="6"/>
  <c r="CW440" i="6" s="1"/>
  <c r="CQ440" i="6"/>
  <c r="BP178" i="6"/>
  <c r="BG178" i="6"/>
  <c r="BQ440" i="6"/>
  <c r="BM440" i="6"/>
  <c r="CI178" i="6"/>
  <c r="CV178" i="6"/>
  <c r="CH178" i="6"/>
  <c r="BZ441" i="6"/>
  <c r="CJ441" i="6" s="1"/>
  <c r="CD441" i="6"/>
  <c r="CN441" i="6"/>
  <c r="CX441" i="6" s="1"/>
  <c r="AE441" i="6"/>
  <c r="CR441" i="6"/>
  <c r="BO178" i="6"/>
  <c r="BA178" i="6"/>
  <c r="AA442" i="6"/>
  <c r="AN442" i="6" s="1"/>
  <c r="Q442" i="6"/>
  <c r="P441" i="6"/>
  <c r="Z441" i="6"/>
  <c r="AM441" i="6" s="1"/>
  <c r="Y441" i="6"/>
  <c r="AL441" i="6" s="1"/>
  <c r="O441" i="6"/>
  <c r="BL442" i="6" l="1"/>
  <c r="AZ441" i="6"/>
  <c r="BF441" i="6"/>
  <c r="CP441" i="6"/>
  <c r="BX441" i="6"/>
  <c r="CH441" i="6" s="1"/>
  <c r="AC441" i="6"/>
  <c r="CB441" i="6"/>
  <c r="CL441" i="6"/>
  <c r="CV441" i="6" s="1"/>
  <c r="CN442" i="6"/>
  <c r="CX442" i="6" s="1"/>
  <c r="AE442" i="6"/>
  <c r="CR442" i="6"/>
  <c r="BZ442" i="6"/>
  <c r="CJ442" i="6" s="1"/>
  <c r="CD442" i="6"/>
  <c r="BP440" i="6"/>
  <c r="BG440" i="6"/>
  <c r="CC441" i="6"/>
  <c r="AD441" i="6"/>
  <c r="CM441" i="6"/>
  <c r="CW441" i="6" s="1"/>
  <c r="CQ441" i="6"/>
  <c r="BY441" i="6"/>
  <c r="CI441" i="6" s="1"/>
  <c r="BO440" i="6"/>
  <c r="BA440" i="6"/>
  <c r="BQ441" i="6"/>
  <c r="BM441" i="6"/>
  <c r="AA443" i="6"/>
  <c r="AN443" i="6" s="1"/>
  <c r="Q443" i="6"/>
  <c r="Y442" i="6"/>
  <c r="AL442" i="6" s="1"/>
  <c r="O442" i="6"/>
  <c r="Z442" i="6"/>
  <c r="AM442" i="6" s="1"/>
  <c r="P442" i="6"/>
  <c r="AZ442" i="6" l="1"/>
  <c r="BF442" i="6"/>
  <c r="BL443" i="6"/>
  <c r="CL442" i="6"/>
  <c r="CV442" i="6" s="1"/>
  <c r="CP442" i="6"/>
  <c r="BX442" i="6"/>
  <c r="CH442" i="6" s="1"/>
  <c r="CB442" i="6"/>
  <c r="AC442" i="6"/>
  <c r="BP441" i="6"/>
  <c r="BG441" i="6"/>
  <c r="BQ442" i="6"/>
  <c r="BM442" i="6"/>
  <c r="CQ442" i="6"/>
  <c r="BY442" i="6"/>
  <c r="CI442" i="6" s="1"/>
  <c r="AD442" i="6"/>
  <c r="CC442" i="6"/>
  <c r="CM442" i="6"/>
  <c r="CW442" i="6" s="1"/>
  <c r="BZ443" i="6"/>
  <c r="CJ443" i="6" s="1"/>
  <c r="CR443" i="6"/>
  <c r="CD443" i="6"/>
  <c r="CN443" i="6"/>
  <c r="CX443" i="6" s="1"/>
  <c r="AE443" i="6"/>
  <c r="BO441" i="6"/>
  <c r="BA441" i="6"/>
  <c r="Q444" i="6"/>
  <c r="AA444" i="6"/>
  <c r="AN444" i="6" s="1"/>
  <c r="O443" i="6"/>
  <c r="Y443" i="6"/>
  <c r="AL443" i="6" s="1"/>
  <c r="Z443" i="6"/>
  <c r="AM443" i="6" s="1"/>
  <c r="P443" i="6"/>
  <c r="BL444" i="6" l="1"/>
  <c r="BF443" i="6"/>
  <c r="AZ443" i="6"/>
  <c r="BM443" i="6"/>
  <c r="BQ443" i="6"/>
  <c r="BO442" i="6"/>
  <c r="BA442" i="6"/>
  <c r="BP442" i="6"/>
  <c r="BG442" i="6"/>
  <c r="BX443" i="6"/>
  <c r="CH443" i="6" s="1"/>
  <c r="AC443" i="6"/>
  <c r="CB443" i="6"/>
  <c r="CL443" i="6"/>
  <c r="CV443" i="6" s="1"/>
  <c r="CP443" i="6"/>
  <c r="BZ444" i="6"/>
  <c r="CJ444" i="6" s="1"/>
  <c r="CD444" i="6"/>
  <c r="CN444" i="6"/>
  <c r="CX444" i="6" s="1"/>
  <c r="CR444" i="6"/>
  <c r="AE444" i="6"/>
  <c r="BY443" i="6"/>
  <c r="CI443" i="6" s="1"/>
  <c r="AD443" i="6"/>
  <c r="CC443" i="6"/>
  <c r="CM443" i="6"/>
  <c r="CW443" i="6" s="1"/>
  <c r="CQ443" i="6"/>
  <c r="P444" i="6"/>
  <c r="Z444" i="6"/>
  <c r="AM444" i="6" s="1"/>
  <c r="O444" i="6"/>
  <c r="Y444" i="6"/>
  <c r="AL444" i="6" s="1"/>
  <c r="Q445" i="6"/>
  <c r="AA445" i="6"/>
  <c r="AN445" i="6" s="1"/>
  <c r="BF444" i="6" l="1"/>
  <c r="BL445" i="6"/>
  <c r="AZ444" i="6"/>
  <c r="BM444" i="6"/>
  <c r="BQ444" i="6"/>
  <c r="CB444" i="6"/>
  <c r="AC444" i="6"/>
  <c r="CL444" i="6"/>
  <c r="CV444" i="6" s="1"/>
  <c r="CP444" i="6"/>
  <c r="BX444" i="6"/>
  <c r="CH444" i="6" s="1"/>
  <c r="BP443" i="6"/>
  <c r="BG443" i="6"/>
  <c r="BO443" i="6"/>
  <c r="BA443" i="6"/>
  <c r="AE445" i="6"/>
  <c r="CD445" i="6"/>
  <c r="CR445" i="6"/>
  <c r="BZ445" i="6"/>
  <c r="CJ445" i="6" s="1"/>
  <c r="CN445" i="6"/>
  <c r="CX445" i="6" s="1"/>
  <c r="CM444" i="6"/>
  <c r="CW444" i="6" s="1"/>
  <c r="CQ444" i="6"/>
  <c r="BY444" i="6"/>
  <c r="CI444" i="6" s="1"/>
  <c r="CC444" i="6"/>
  <c r="AD444" i="6"/>
  <c r="Z445" i="6"/>
  <c r="AM445" i="6" s="1"/>
  <c r="P445" i="6"/>
  <c r="AA273" i="6"/>
  <c r="AN273" i="6" s="1"/>
  <c r="Q273" i="6"/>
  <c r="O445" i="6"/>
  <c r="Y445" i="6"/>
  <c r="AL445" i="6" s="1"/>
  <c r="BL273" i="6" l="1"/>
  <c r="AZ445" i="6"/>
  <c r="BF445" i="6"/>
  <c r="CB445" i="6"/>
  <c r="AC445" i="6"/>
  <c r="CL445" i="6"/>
  <c r="CV445" i="6" s="1"/>
  <c r="CP445" i="6"/>
  <c r="BX445" i="6"/>
  <c r="CH445" i="6" s="1"/>
  <c r="BA444" i="6"/>
  <c r="BO444" i="6"/>
  <c r="BP444" i="6"/>
  <c r="BG444" i="6"/>
  <c r="BZ273" i="6"/>
  <c r="CJ273" i="6" s="1"/>
  <c r="AE273" i="6"/>
  <c r="CD273" i="6"/>
  <c r="CN273" i="6"/>
  <c r="CX273" i="6" s="1"/>
  <c r="CR273" i="6"/>
  <c r="CC445" i="6"/>
  <c r="CM445" i="6"/>
  <c r="CW445" i="6" s="1"/>
  <c r="CQ445" i="6"/>
  <c r="BY445" i="6"/>
  <c r="CI445" i="6" s="1"/>
  <c r="AD445" i="6"/>
  <c r="BQ445" i="6"/>
  <c r="BM445" i="6"/>
  <c r="Z273" i="6"/>
  <c r="AM273" i="6" s="1"/>
  <c r="P273" i="6"/>
  <c r="O273" i="6"/>
  <c r="Y273" i="6"/>
  <c r="AL273" i="6" s="1"/>
  <c r="AA274" i="6"/>
  <c r="AN274" i="6" s="1"/>
  <c r="Q274" i="6"/>
  <c r="BL274" i="6" l="1"/>
  <c r="AZ273" i="6"/>
  <c r="BF273" i="6"/>
  <c r="BZ274" i="6"/>
  <c r="CJ274" i="6" s="1"/>
  <c r="CN274" i="6"/>
  <c r="CX274" i="6" s="1"/>
  <c r="AE274" i="6"/>
  <c r="CR274" i="6"/>
  <c r="CD274" i="6"/>
  <c r="BY273" i="6"/>
  <c r="CI273" i="6" s="1"/>
  <c r="CQ273" i="6"/>
  <c r="AD273" i="6"/>
  <c r="CC273" i="6"/>
  <c r="CM273" i="6"/>
  <c r="CW273" i="6" s="1"/>
  <c r="BM273" i="6"/>
  <c r="BQ273" i="6"/>
  <c r="CL273" i="6"/>
  <c r="CV273" i="6" s="1"/>
  <c r="CP273" i="6"/>
  <c r="BX273" i="6"/>
  <c r="CH273" i="6" s="1"/>
  <c r="AC273" i="6"/>
  <c r="CB273" i="6"/>
  <c r="BG445" i="6"/>
  <c r="BP445" i="6"/>
  <c r="BA445" i="6"/>
  <c r="BO445" i="6"/>
  <c r="O274" i="6"/>
  <c r="Y274" i="6"/>
  <c r="AL274" i="6" s="1"/>
  <c r="Z274" i="6"/>
  <c r="AM274" i="6" s="1"/>
  <c r="P274" i="6"/>
  <c r="Q446" i="6"/>
  <c r="AA446" i="6"/>
  <c r="AN446" i="6" s="1"/>
  <c r="BF274" i="6" l="1"/>
  <c r="BL446" i="6"/>
  <c r="AZ274" i="6"/>
  <c r="CD446" i="6"/>
  <c r="CN446" i="6"/>
  <c r="CX446" i="6" s="1"/>
  <c r="CR446" i="6"/>
  <c r="AE446" i="6"/>
  <c r="BZ446" i="6"/>
  <c r="CJ446" i="6" s="1"/>
  <c r="BP273" i="6"/>
  <c r="BG273" i="6"/>
  <c r="BY274" i="6"/>
  <c r="CI274" i="6" s="1"/>
  <c r="AD274" i="6"/>
  <c r="CC274" i="6"/>
  <c r="CM274" i="6"/>
  <c r="CW274" i="6" s="1"/>
  <c r="CQ274" i="6"/>
  <c r="BX274" i="6"/>
  <c r="CH274" i="6" s="1"/>
  <c r="AC274" i="6"/>
  <c r="CB274" i="6"/>
  <c r="CL274" i="6"/>
  <c r="CV274" i="6" s="1"/>
  <c r="CP274" i="6"/>
  <c r="BQ274" i="6"/>
  <c r="BM274" i="6"/>
  <c r="BO273" i="6"/>
  <c r="BA273" i="6"/>
  <c r="P446" i="6"/>
  <c r="Z446" i="6"/>
  <c r="AM446" i="6" s="1"/>
  <c r="Q447" i="6"/>
  <c r="AA447" i="6"/>
  <c r="AN447" i="6" s="1"/>
  <c r="Y446" i="6"/>
  <c r="AL446" i="6" s="1"/>
  <c r="O446" i="6"/>
  <c r="BF446" i="6" l="1"/>
  <c r="AZ446" i="6"/>
  <c r="BL447" i="6"/>
  <c r="BP274" i="6"/>
  <c r="BG274" i="6"/>
  <c r="BQ446" i="6"/>
  <c r="BM446" i="6"/>
  <c r="CB446" i="6"/>
  <c r="CL446" i="6"/>
  <c r="CV446" i="6" s="1"/>
  <c r="CP446" i="6"/>
  <c r="BX446" i="6"/>
  <c r="CH446" i="6" s="1"/>
  <c r="AC446" i="6"/>
  <c r="BZ447" i="6"/>
  <c r="CJ447" i="6" s="1"/>
  <c r="CN447" i="6"/>
  <c r="CX447" i="6" s="1"/>
  <c r="CR447" i="6"/>
  <c r="CD447" i="6"/>
  <c r="AE447" i="6"/>
  <c r="BY446" i="6"/>
  <c r="CI446" i="6" s="1"/>
  <c r="CC446" i="6"/>
  <c r="AD446" i="6"/>
  <c r="CM446" i="6"/>
  <c r="CW446" i="6" s="1"/>
  <c r="CQ446" i="6"/>
  <c r="BA274" i="6"/>
  <c r="BO274" i="6"/>
  <c r="Y447" i="6"/>
  <c r="AL447" i="6" s="1"/>
  <c r="O447" i="6"/>
  <c r="AA448" i="6"/>
  <c r="AN448" i="6" s="1"/>
  <c r="Q448" i="6"/>
  <c r="P447" i="6"/>
  <c r="Z447" i="6"/>
  <c r="AM447" i="6" s="1"/>
  <c r="AZ447" i="6" l="1"/>
  <c r="BF447" i="6"/>
  <c r="BL448" i="6"/>
  <c r="CP447" i="6"/>
  <c r="BX447" i="6"/>
  <c r="CH447" i="6" s="1"/>
  <c r="AC447" i="6"/>
  <c r="CB447" i="6"/>
  <c r="CL447" i="6"/>
  <c r="CV447" i="6" s="1"/>
  <c r="CN448" i="6"/>
  <c r="CX448" i="6" s="1"/>
  <c r="AE448" i="6"/>
  <c r="CR448" i="6"/>
  <c r="BZ448" i="6"/>
  <c r="CJ448" i="6" s="1"/>
  <c r="CD448" i="6"/>
  <c r="BG446" i="6"/>
  <c r="BP446" i="6"/>
  <c r="BO446" i="6"/>
  <c r="BA446" i="6"/>
  <c r="BY447" i="6"/>
  <c r="CI447" i="6" s="1"/>
  <c r="CC447" i="6"/>
  <c r="CM447" i="6"/>
  <c r="CW447" i="6" s="1"/>
  <c r="AD447" i="6"/>
  <c r="CQ447" i="6"/>
  <c r="BQ447" i="6"/>
  <c r="BM447" i="6"/>
  <c r="Q449" i="6"/>
  <c r="AA449" i="6"/>
  <c r="AN449" i="6" s="1"/>
  <c r="Y448" i="6"/>
  <c r="AL448" i="6" s="1"/>
  <c r="O448" i="6"/>
  <c r="Z448" i="6"/>
  <c r="AM448" i="6" s="1"/>
  <c r="P448" i="6"/>
  <c r="BL449" i="6" l="1"/>
  <c r="AZ448" i="6"/>
  <c r="BF448" i="6"/>
  <c r="BY448" i="6"/>
  <c r="CI448" i="6" s="1"/>
  <c r="CM448" i="6"/>
  <c r="CW448" i="6" s="1"/>
  <c r="CQ448" i="6"/>
  <c r="CC448" i="6"/>
  <c r="AD448" i="6"/>
  <c r="CD449" i="6"/>
  <c r="CR449" i="6"/>
  <c r="CN449" i="6"/>
  <c r="CX449" i="6" s="1"/>
  <c r="BZ449" i="6"/>
  <c r="CJ449" i="6" s="1"/>
  <c r="AE449" i="6"/>
  <c r="BG447" i="6"/>
  <c r="BP447" i="6"/>
  <c r="BM448" i="6"/>
  <c r="BQ448" i="6"/>
  <c r="BX448" i="6"/>
  <c r="CH448" i="6" s="1"/>
  <c r="AC448" i="6"/>
  <c r="CB448" i="6"/>
  <c r="CP448" i="6"/>
  <c r="CL448" i="6"/>
  <c r="CV448" i="6" s="1"/>
  <c r="BO447" i="6"/>
  <c r="BA447" i="6"/>
  <c r="Z449" i="6"/>
  <c r="AM449" i="6" s="1"/>
  <c r="P449" i="6"/>
  <c r="Q450" i="6"/>
  <c r="AA450" i="6"/>
  <c r="AN450" i="6" s="1"/>
  <c r="O449" i="6"/>
  <c r="Y449" i="6"/>
  <c r="AL449" i="6" s="1"/>
  <c r="AZ449" i="6" l="1"/>
  <c r="BL450" i="6"/>
  <c r="BF449" i="6"/>
  <c r="BO448" i="6"/>
  <c r="BA448" i="6"/>
  <c r="BX449" i="6"/>
  <c r="CH449" i="6" s="1"/>
  <c r="CP449" i="6"/>
  <c r="CB449" i="6"/>
  <c r="CL449" i="6"/>
  <c r="CV449" i="6" s="1"/>
  <c r="AC449" i="6"/>
  <c r="CQ449" i="6"/>
  <c r="BY449" i="6"/>
  <c r="CI449" i="6" s="1"/>
  <c r="CC449" i="6"/>
  <c r="AD449" i="6"/>
  <c r="CM449" i="6"/>
  <c r="CW449" i="6" s="1"/>
  <c r="BQ449" i="6"/>
  <c r="BM449" i="6"/>
  <c r="BG448" i="6"/>
  <c r="BP448" i="6"/>
  <c r="CR450" i="6"/>
  <c r="CD450" i="6"/>
  <c r="BZ450" i="6"/>
  <c r="CJ450" i="6" s="1"/>
  <c r="CN450" i="6"/>
  <c r="CX450" i="6" s="1"/>
  <c r="AE450" i="6"/>
  <c r="P450" i="6"/>
  <c r="Z450" i="6"/>
  <c r="AM450" i="6" s="1"/>
  <c r="O450" i="6"/>
  <c r="Y450" i="6"/>
  <c r="AL450" i="6" s="1"/>
  <c r="Q150" i="6"/>
  <c r="AA150" i="6"/>
  <c r="AN150" i="6" s="1"/>
  <c r="BL150" i="6" l="1"/>
  <c r="AZ450" i="6"/>
  <c r="BF450" i="6"/>
  <c r="CB450" i="6"/>
  <c r="CP450" i="6"/>
  <c r="AC450" i="6"/>
  <c r="CL450" i="6"/>
  <c r="CV450" i="6" s="1"/>
  <c r="BX450" i="6"/>
  <c r="CH450" i="6" s="1"/>
  <c r="BQ450" i="6"/>
  <c r="BM450" i="6"/>
  <c r="AE150" i="6"/>
  <c r="CN150" i="6"/>
  <c r="CX150" i="6" s="1"/>
  <c r="CR150" i="6"/>
  <c r="CD150" i="6"/>
  <c r="BZ150" i="6"/>
  <c r="CJ150" i="6" s="1"/>
  <c r="BG449" i="6"/>
  <c r="BP449" i="6"/>
  <c r="BA449" i="6"/>
  <c r="BO449" i="6"/>
  <c r="BY450" i="6"/>
  <c r="CI450" i="6" s="1"/>
  <c r="CM450" i="6"/>
  <c r="CW450" i="6" s="1"/>
  <c r="CC450" i="6"/>
  <c r="CQ450" i="6"/>
  <c r="AD450" i="6"/>
  <c r="O150" i="6"/>
  <c r="Y150" i="6"/>
  <c r="AL150" i="6" s="1"/>
  <c r="Q451" i="6"/>
  <c r="AA451" i="6"/>
  <c r="AN451" i="6" s="1"/>
  <c r="P150" i="6"/>
  <c r="Z150" i="6"/>
  <c r="AM150" i="6" s="1"/>
  <c r="BF150" i="6" l="1"/>
  <c r="BP150" i="6" s="1"/>
  <c r="BL451" i="6"/>
  <c r="AZ150" i="6"/>
  <c r="BY150" i="6"/>
  <c r="CI150" i="6" s="1"/>
  <c r="CM150" i="6"/>
  <c r="CW150" i="6" s="1"/>
  <c r="CC150" i="6"/>
  <c r="CQ150" i="6"/>
  <c r="AD150" i="6"/>
  <c r="CP150" i="6"/>
  <c r="AC150" i="6"/>
  <c r="BX150" i="6"/>
  <c r="CH150" i="6" s="1"/>
  <c r="CL150" i="6"/>
  <c r="CV150" i="6" s="1"/>
  <c r="CB150" i="6"/>
  <c r="BA450" i="6"/>
  <c r="BO450" i="6"/>
  <c r="CN451" i="6"/>
  <c r="CX451" i="6" s="1"/>
  <c r="BZ451" i="6"/>
  <c r="CJ451" i="6" s="1"/>
  <c r="AE451" i="6"/>
  <c r="CR451" i="6"/>
  <c r="CD451" i="6"/>
  <c r="BG450" i="6"/>
  <c r="BP450" i="6"/>
  <c r="BQ150" i="6"/>
  <c r="BM150" i="6"/>
  <c r="Q264" i="6"/>
  <c r="AA264" i="6"/>
  <c r="AN264" i="6" s="1"/>
  <c r="O451" i="6"/>
  <c r="Y451" i="6"/>
  <c r="AL451" i="6" s="1"/>
  <c r="P451" i="6"/>
  <c r="Z451" i="6"/>
  <c r="AM451" i="6" s="1"/>
  <c r="BL264" i="6" l="1"/>
  <c r="AZ451" i="6"/>
  <c r="BF451" i="6"/>
  <c r="BZ264" i="6"/>
  <c r="CJ264" i="6" s="1"/>
  <c r="AE264" i="6"/>
  <c r="CD264" i="6"/>
  <c r="CR264" i="6"/>
  <c r="CN264" i="6"/>
  <c r="CX264" i="6" s="1"/>
  <c r="BO150" i="6"/>
  <c r="BA150" i="6"/>
  <c r="CQ451" i="6"/>
  <c r="CC451" i="6"/>
  <c r="AD451" i="6"/>
  <c r="BY451" i="6"/>
  <c r="CI451" i="6" s="1"/>
  <c r="CM451" i="6"/>
  <c r="CW451" i="6" s="1"/>
  <c r="AC451" i="6"/>
  <c r="CB451" i="6"/>
  <c r="CL451" i="6"/>
  <c r="CV451" i="6" s="1"/>
  <c r="BX451" i="6"/>
  <c r="CH451" i="6" s="1"/>
  <c r="CP451" i="6"/>
  <c r="BQ451" i="6"/>
  <c r="BM451" i="6"/>
  <c r="BG150" i="6"/>
  <c r="Z264" i="6"/>
  <c r="AM264" i="6" s="1"/>
  <c r="P264" i="6"/>
  <c r="O264" i="6"/>
  <c r="Y264" i="6"/>
  <c r="AL264" i="6" s="1"/>
  <c r="Q265" i="6"/>
  <c r="AA265" i="6"/>
  <c r="AN265" i="6" s="1"/>
  <c r="BL265" i="6" l="1"/>
  <c r="BF264" i="6"/>
  <c r="AZ264" i="6"/>
  <c r="CM264" i="6"/>
  <c r="CW264" i="6" s="1"/>
  <c r="CC264" i="6"/>
  <c r="AD264" i="6"/>
  <c r="CQ264" i="6"/>
  <c r="BY264" i="6"/>
  <c r="CI264" i="6" s="1"/>
  <c r="BP451" i="6"/>
  <c r="BG451" i="6"/>
  <c r="AE265" i="6"/>
  <c r="CR265" i="6"/>
  <c r="CD265" i="6"/>
  <c r="CN265" i="6"/>
  <c r="CX265" i="6" s="1"/>
  <c r="BZ265" i="6"/>
  <c r="CJ265" i="6" s="1"/>
  <c r="BO451" i="6"/>
  <c r="BA451" i="6"/>
  <c r="BQ264" i="6"/>
  <c r="BM264" i="6"/>
  <c r="CB264" i="6"/>
  <c r="CL264" i="6"/>
  <c r="CV264" i="6" s="1"/>
  <c r="BX264" i="6"/>
  <c r="CH264" i="6" s="1"/>
  <c r="CP264" i="6"/>
  <c r="AC264" i="6"/>
  <c r="Q250" i="6"/>
  <c r="AA250" i="6"/>
  <c r="AN250" i="6" s="1"/>
  <c r="P265" i="6"/>
  <c r="Z265" i="6"/>
  <c r="AM265" i="6" s="1"/>
  <c r="Y265" i="6"/>
  <c r="AL265" i="6" s="1"/>
  <c r="O265" i="6"/>
  <c r="BL250" i="6" l="1"/>
  <c r="AZ265" i="6"/>
  <c r="BF265" i="6"/>
  <c r="BZ250" i="6"/>
  <c r="CJ250" i="6" s="1"/>
  <c r="CN250" i="6"/>
  <c r="CX250" i="6" s="1"/>
  <c r="CD250" i="6"/>
  <c r="CR250" i="6"/>
  <c r="AE250" i="6"/>
  <c r="BQ265" i="6"/>
  <c r="BM265" i="6"/>
  <c r="BP264" i="6"/>
  <c r="BG264" i="6"/>
  <c r="CL265" i="6"/>
  <c r="CV265" i="6" s="1"/>
  <c r="CP265" i="6"/>
  <c r="CB265" i="6"/>
  <c r="AC265" i="6"/>
  <c r="BX265" i="6"/>
  <c r="CH265" i="6" s="1"/>
  <c r="BO264" i="6"/>
  <c r="BA264" i="6"/>
  <c r="CM265" i="6"/>
  <c r="CW265" i="6" s="1"/>
  <c r="BY265" i="6"/>
  <c r="CI265" i="6" s="1"/>
  <c r="AD265" i="6"/>
  <c r="CC265" i="6"/>
  <c r="CQ265" i="6"/>
  <c r="Z250" i="6"/>
  <c r="AM250" i="6" s="1"/>
  <c r="P250" i="6"/>
  <c r="Y250" i="6"/>
  <c r="AL250" i="6" s="1"/>
  <c r="O250" i="6"/>
  <c r="AA452" i="6"/>
  <c r="AN452" i="6" s="1"/>
  <c r="Q452" i="6"/>
  <c r="BL452" i="6" l="1"/>
  <c r="AZ250" i="6"/>
  <c r="BF250" i="6"/>
  <c r="CQ250" i="6"/>
  <c r="AD250" i="6"/>
  <c r="CM250" i="6"/>
  <c r="CW250" i="6" s="1"/>
  <c r="BY250" i="6"/>
  <c r="CI250" i="6" s="1"/>
  <c r="CC250" i="6"/>
  <c r="BP265" i="6"/>
  <c r="BG265" i="6"/>
  <c r="BA265" i="6"/>
  <c r="BO265" i="6"/>
  <c r="BX250" i="6"/>
  <c r="CH250" i="6" s="1"/>
  <c r="CB250" i="6"/>
  <c r="CP250" i="6"/>
  <c r="AC250" i="6"/>
  <c r="CL250" i="6"/>
  <c r="CV250" i="6" s="1"/>
  <c r="BQ250" i="6"/>
  <c r="BM250" i="6"/>
  <c r="BZ452" i="6"/>
  <c r="CJ452" i="6" s="1"/>
  <c r="CN452" i="6"/>
  <c r="CX452" i="6" s="1"/>
  <c r="CD452" i="6"/>
  <c r="CR452" i="6"/>
  <c r="AE452" i="6"/>
  <c r="P452" i="6"/>
  <c r="Z452" i="6"/>
  <c r="AM452" i="6" s="1"/>
  <c r="O452" i="6"/>
  <c r="Y452" i="6"/>
  <c r="AL452" i="6" s="1"/>
  <c r="AA453" i="6"/>
  <c r="AN453" i="6" s="1"/>
  <c r="Q453" i="6"/>
  <c r="BL453" i="6" l="1"/>
  <c r="BQ453" i="6" s="1"/>
  <c r="BF452" i="6"/>
  <c r="AZ452" i="6"/>
  <c r="CB452" i="6"/>
  <c r="CP452" i="6"/>
  <c r="AC452" i="6"/>
  <c r="BX452" i="6"/>
  <c r="CH452" i="6" s="1"/>
  <c r="CL452" i="6"/>
  <c r="CV452" i="6" s="1"/>
  <c r="CQ452" i="6"/>
  <c r="AD452" i="6"/>
  <c r="BY452" i="6"/>
  <c r="CI452" i="6" s="1"/>
  <c r="CC452" i="6"/>
  <c r="CM452" i="6"/>
  <c r="CW452" i="6" s="1"/>
  <c r="BQ452" i="6"/>
  <c r="BM452" i="6"/>
  <c r="BG250" i="6"/>
  <c r="BP250" i="6"/>
  <c r="BO250" i="6"/>
  <c r="BA250" i="6"/>
  <c r="CD453" i="6"/>
  <c r="BZ453" i="6"/>
  <c r="CJ453" i="6" s="1"/>
  <c r="CN453" i="6"/>
  <c r="CX453" i="6" s="1"/>
  <c r="CR453" i="6"/>
  <c r="AE453" i="6"/>
  <c r="P453" i="6"/>
  <c r="Z453" i="6"/>
  <c r="AM453" i="6" s="1"/>
  <c r="O453" i="6"/>
  <c r="Y453" i="6"/>
  <c r="AL453" i="6" s="1"/>
  <c r="Q454" i="6"/>
  <c r="AA454" i="6"/>
  <c r="AN454" i="6" s="1"/>
  <c r="BF453" i="6" l="1"/>
  <c r="AZ453" i="6"/>
  <c r="BL454" i="6"/>
  <c r="BM453" i="6"/>
  <c r="BG452" i="6"/>
  <c r="BP452" i="6"/>
  <c r="BZ454" i="6"/>
  <c r="CJ454" i="6" s="1"/>
  <c r="CD454" i="6"/>
  <c r="CR454" i="6"/>
  <c r="CN454" i="6"/>
  <c r="CX454" i="6" s="1"/>
  <c r="AE454" i="6"/>
  <c r="CL453" i="6"/>
  <c r="CV453" i="6" s="1"/>
  <c r="BX453" i="6"/>
  <c r="CH453" i="6" s="1"/>
  <c r="AC453" i="6"/>
  <c r="CB453" i="6"/>
  <c r="CP453" i="6"/>
  <c r="BY453" i="6"/>
  <c r="CI453" i="6" s="1"/>
  <c r="CQ453" i="6"/>
  <c r="CC453" i="6"/>
  <c r="AD453" i="6"/>
  <c r="CM453" i="6"/>
  <c r="CW453" i="6" s="1"/>
  <c r="BA452" i="6"/>
  <c r="BO452" i="6"/>
  <c r="Y454" i="6"/>
  <c r="AL454" i="6" s="1"/>
  <c r="O454" i="6"/>
  <c r="Z454" i="6"/>
  <c r="AM454" i="6" s="1"/>
  <c r="P454" i="6"/>
  <c r="Q455" i="6"/>
  <c r="AA455" i="6"/>
  <c r="AN455" i="6" s="1"/>
  <c r="AZ454" i="6" l="1"/>
  <c r="BL455" i="6"/>
  <c r="BF454" i="6"/>
  <c r="AD454" i="6"/>
  <c r="BY454" i="6"/>
  <c r="CI454" i="6" s="1"/>
  <c r="CQ454" i="6"/>
  <c r="CM454" i="6"/>
  <c r="CW454" i="6" s="1"/>
  <c r="CC454" i="6"/>
  <c r="BG453" i="6"/>
  <c r="BP453" i="6"/>
  <c r="BO453" i="6"/>
  <c r="BA453" i="6"/>
  <c r="CN455" i="6"/>
  <c r="CX455" i="6" s="1"/>
  <c r="CR455" i="6"/>
  <c r="CD455" i="6"/>
  <c r="BZ455" i="6"/>
  <c r="CJ455" i="6" s="1"/>
  <c r="AE455" i="6"/>
  <c r="AC454" i="6"/>
  <c r="CL454" i="6"/>
  <c r="CV454" i="6" s="1"/>
  <c r="CB454" i="6"/>
  <c r="CP454" i="6"/>
  <c r="BX454" i="6"/>
  <c r="CH454" i="6" s="1"/>
  <c r="BQ454" i="6"/>
  <c r="BM454" i="6"/>
  <c r="P455" i="6"/>
  <c r="Z455" i="6"/>
  <c r="AM455" i="6" s="1"/>
  <c r="Y455" i="6"/>
  <c r="AL455" i="6" s="1"/>
  <c r="O455" i="6"/>
  <c r="Q456" i="6"/>
  <c r="AA456" i="6"/>
  <c r="AN456" i="6" s="1"/>
  <c r="AZ455" i="6" l="1"/>
  <c r="BL456" i="6"/>
  <c r="BF455" i="6"/>
  <c r="BO454" i="6"/>
  <c r="BA454" i="6"/>
  <c r="BG454" i="6"/>
  <c r="BP454" i="6"/>
  <c r="BQ455" i="6"/>
  <c r="BM455" i="6"/>
  <c r="BY455" i="6"/>
  <c r="CI455" i="6" s="1"/>
  <c r="CQ455" i="6"/>
  <c r="CM455" i="6"/>
  <c r="CW455" i="6" s="1"/>
  <c r="AD455" i="6"/>
  <c r="CC455" i="6"/>
  <c r="CN456" i="6"/>
  <c r="CX456" i="6" s="1"/>
  <c r="CD456" i="6"/>
  <c r="CR456" i="6"/>
  <c r="AE456" i="6"/>
  <c r="BZ456" i="6"/>
  <c r="CJ456" i="6" s="1"/>
  <c r="CB455" i="6"/>
  <c r="AC455" i="6"/>
  <c r="CL455" i="6"/>
  <c r="CV455" i="6" s="1"/>
  <c r="BX455" i="6"/>
  <c r="CH455" i="6" s="1"/>
  <c r="CP455" i="6"/>
  <c r="O456" i="6"/>
  <c r="Y456" i="6"/>
  <c r="AL456" i="6" s="1"/>
  <c r="Q457" i="6"/>
  <c r="AA457" i="6"/>
  <c r="AN457" i="6" s="1"/>
  <c r="P456" i="6"/>
  <c r="Z456" i="6"/>
  <c r="AM456" i="6" s="1"/>
  <c r="AZ456" i="6" l="1"/>
  <c r="BF456" i="6"/>
  <c r="BL457" i="6"/>
  <c r="BP455" i="6"/>
  <c r="BG455" i="6"/>
  <c r="BX456" i="6"/>
  <c r="CH456" i="6" s="1"/>
  <c r="CP456" i="6"/>
  <c r="CB456" i="6"/>
  <c r="AC456" i="6"/>
  <c r="CL456" i="6"/>
  <c r="CV456" i="6" s="1"/>
  <c r="BO455" i="6"/>
  <c r="BA455" i="6"/>
  <c r="CC456" i="6"/>
  <c r="CM456" i="6"/>
  <c r="CW456" i="6" s="1"/>
  <c r="BY456" i="6"/>
  <c r="CI456" i="6" s="1"/>
  <c r="CQ456" i="6"/>
  <c r="AD456" i="6"/>
  <c r="CR457" i="6"/>
  <c r="CN457" i="6"/>
  <c r="CX457" i="6" s="1"/>
  <c r="AE457" i="6"/>
  <c r="BZ457" i="6"/>
  <c r="CJ457" i="6" s="1"/>
  <c r="CD457" i="6"/>
  <c r="BQ456" i="6"/>
  <c r="BM456" i="6"/>
  <c r="P457" i="6"/>
  <c r="Z457" i="6"/>
  <c r="AM457" i="6" s="1"/>
  <c r="O457" i="6"/>
  <c r="Y457" i="6"/>
  <c r="AL457" i="6" s="1"/>
  <c r="Q213" i="6"/>
  <c r="AA213" i="6"/>
  <c r="AN213" i="6" s="1"/>
  <c r="BF457" i="6" l="1"/>
  <c r="BL213" i="6"/>
  <c r="AZ457" i="6"/>
  <c r="BP456" i="6"/>
  <c r="BG456" i="6"/>
  <c r="BO456" i="6"/>
  <c r="BA456" i="6"/>
  <c r="BM457" i="6"/>
  <c r="BQ457" i="6"/>
  <c r="BY457" i="6"/>
  <c r="CI457" i="6" s="1"/>
  <c r="CQ457" i="6"/>
  <c r="CC457" i="6"/>
  <c r="CM457" i="6"/>
  <c r="CW457" i="6" s="1"/>
  <c r="AD457" i="6"/>
  <c r="CR213" i="6"/>
  <c r="CN213" i="6"/>
  <c r="CX213" i="6" s="1"/>
  <c r="CD213" i="6"/>
  <c r="BZ213" i="6"/>
  <c r="CJ213" i="6" s="1"/>
  <c r="AE213" i="6"/>
  <c r="BX457" i="6"/>
  <c r="CH457" i="6" s="1"/>
  <c r="AC457" i="6"/>
  <c r="CL457" i="6"/>
  <c r="CV457" i="6" s="1"/>
  <c r="CP457" i="6"/>
  <c r="CB457" i="6"/>
  <c r="P213" i="6"/>
  <c r="Z213" i="6"/>
  <c r="AM213" i="6" s="1"/>
  <c r="AA63" i="6"/>
  <c r="AN63" i="6" s="1"/>
  <c r="Q63" i="6"/>
  <c r="Y213" i="6"/>
  <c r="AL213" i="6" s="1"/>
  <c r="O213" i="6"/>
  <c r="BF213" i="6" l="1"/>
  <c r="AZ213" i="6"/>
  <c r="BL63" i="6"/>
  <c r="CB213" i="6"/>
  <c r="CP213" i="6"/>
  <c r="BX213" i="6"/>
  <c r="CH213" i="6" s="1"/>
  <c r="AC213" i="6"/>
  <c r="CL213" i="6"/>
  <c r="CV213" i="6" s="1"/>
  <c r="BM213" i="6"/>
  <c r="BQ213" i="6"/>
  <c r="CR63" i="6"/>
  <c r="AE63" i="6"/>
  <c r="CN63" i="6"/>
  <c r="CX63" i="6" s="1"/>
  <c r="CD63" i="6"/>
  <c r="BZ63" i="6"/>
  <c r="CJ63" i="6" s="1"/>
  <c r="BO457" i="6"/>
  <c r="BA457" i="6"/>
  <c r="AD213" i="6"/>
  <c r="CQ213" i="6"/>
  <c r="CM213" i="6"/>
  <c r="CW213" i="6" s="1"/>
  <c r="BY213" i="6"/>
  <c r="CI213" i="6" s="1"/>
  <c r="CC213" i="6"/>
  <c r="BG457" i="6"/>
  <c r="BP457" i="6"/>
  <c r="Q52" i="6"/>
  <c r="AA52" i="6"/>
  <c r="AN52" i="6" s="1"/>
  <c r="O63" i="6"/>
  <c r="Y63" i="6"/>
  <c r="AL63" i="6" s="1"/>
  <c r="Z63" i="6"/>
  <c r="AM63" i="6" s="1"/>
  <c r="P63" i="6"/>
  <c r="AZ63" i="6" l="1"/>
  <c r="BL52" i="6"/>
  <c r="BF63" i="6"/>
  <c r="CM63" i="6"/>
  <c r="CW63" i="6" s="1"/>
  <c r="AD63" i="6"/>
  <c r="BY63" i="6"/>
  <c r="CI63" i="6" s="1"/>
  <c r="CQ63" i="6"/>
  <c r="CC63" i="6"/>
  <c r="CD52" i="6"/>
  <c r="BZ52" i="6"/>
  <c r="CJ52" i="6" s="1"/>
  <c r="CR52" i="6"/>
  <c r="AE52" i="6"/>
  <c r="CN52" i="6"/>
  <c r="CX52" i="6" s="1"/>
  <c r="BP213" i="6"/>
  <c r="BG213" i="6"/>
  <c r="CL63" i="6"/>
  <c r="CV63" i="6" s="1"/>
  <c r="BX63" i="6"/>
  <c r="CH63" i="6" s="1"/>
  <c r="AC63" i="6"/>
  <c r="CP63" i="6"/>
  <c r="CB63" i="6"/>
  <c r="BQ63" i="6"/>
  <c r="BM63" i="6"/>
  <c r="BO213" i="6"/>
  <c r="BA213" i="6"/>
  <c r="AA50" i="6"/>
  <c r="AN50" i="6" s="1"/>
  <c r="Q50" i="6"/>
  <c r="Z52" i="6"/>
  <c r="AM52" i="6" s="1"/>
  <c r="P52" i="6"/>
  <c r="Y52" i="6"/>
  <c r="AL52" i="6" s="1"/>
  <c r="O52" i="6"/>
  <c r="AZ52" i="6" l="1"/>
  <c r="BF52" i="6"/>
  <c r="BL50" i="6"/>
  <c r="BX52" i="6"/>
  <c r="CH52" i="6" s="1"/>
  <c r="CL52" i="6"/>
  <c r="CV52" i="6" s="1"/>
  <c r="CP52" i="6"/>
  <c r="CB52" i="6"/>
  <c r="AC52" i="6"/>
  <c r="BQ52" i="6"/>
  <c r="BM52" i="6"/>
  <c r="CQ52" i="6"/>
  <c r="CC52" i="6"/>
  <c r="BY52" i="6"/>
  <c r="CI52" i="6" s="1"/>
  <c r="CM52" i="6"/>
  <c r="CW52" i="6" s="1"/>
  <c r="AD52" i="6"/>
  <c r="BZ50" i="6"/>
  <c r="CJ50" i="6" s="1"/>
  <c r="AE50" i="6"/>
  <c r="CD50" i="6"/>
  <c r="CN50" i="6"/>
  <c r="CX50" i="6" s="1"/>
  <c r="CR50" i="6"/>
  <c r="BG63" i="6"/>
  <c r="BP63" i="6"/>
  <c r="BA63" i="6"/>
  <c r="BO63" i="6"/>
  <c r="Q699" i="6"/>
  <c r="AA699" i="6"/>
  <c r="AN699" i="6" s="1"/>
  <c r="P50" i="6"/>
  <c r="Z50" i="6"/>
  <c r="AM50" i="6" s="1"/>
  <c r="O50" i="6"/>
  <c r="Y50" i="6"/>
  <c r="AL50" i="6" s="1"/>
  <c r="AZ50" i="6" l="1"/>
  <c r="BF50" i="6"/>
  <c r="BL699" i="6"/>
  <c r="AE699" i="6"/>
  <c r="CD699" i="6"/>
  <c r="BZ699" i="6"/>
  <c r="CJ699" i="6" s="1"/>
  <c r="CN699" i="6"/>
  <c r="CX699" i="6" s="1"/>
  <c r="CR699" i="6"/>
  <c r="BQ50" i="6"/>
  <c r="BM50" i="6"/>
  <c r="BP52" i="6"/>
  <c r="BG52" i="6"/>
  <c r="CP50" i="6"/>
  <c r="CB50" i="6"/>
  <c r="AC50" i="6"/>
  <c r="CL50" i="6"/>
  <c r="CV50" i="6" s="1"/>
  <c r="BX50" i="6"/>
  <c r="CH50" i="6" s="1"/>
  <c r="CQ50" i="6"/>
  <c r="AD50" i="6"/>
  <c r="CM50" i="6"/>
  <c r="CW50" i="6" s="1"/>
  <c r="CC50" i="6"/>
  <c r="BY50" i="6"/>
  <c r="CI50" i="6" s="1"/>
  <c r="BO52" i="6"/>
  <c r="BA52" i="6"/>
  <c r="P699" i="6"/>
  <c r="Z699" i="6"/>
  <c r="AM699" i="6" s="1"/>
  <c r="AA698" i="6"/>
  <c r="AN698" i="6" s="1"/>
  <c r="Q698" i="6"/>
  <c r="Y699" i="6"/>
  <c r="AL699" i="6" s="1"/>
  <c r="O699" i="6"/>
  <c r="BL698" i="6" l="1"/>
  <c r="AZ699" i="6"/>
  <c r="BF699" i="6"/>
  <c r="AD699" i="6"/>
  <c r="BY699" i="6"/>
  <c r="CI699" i="6" s="1"/>
  <c r="CC699" i="6"/>
  <c r="CM699" i="6"/>
  <c r="CW699" i="6" s="1"/>
  <c r="CQ699" i="6"/>
  <c r="CR698" i="6"/>
  <c r="BZ698" i="6"/>
  <c r="CJ698" i="6" s="1"/>
  <c r="CN698" i="6"/>
  <c r="CX698" i="6" s="1"/>
  <c r="CD698" i="6"/>
  <c r="AE698" i="6"/>
  <c r="BX699" i="6"/>
  <c r="CH699" i="6" s="1"/>
  <c r="CL699" i="6"/>
  <c r="CV699" i="6" s="1"/>
  <c r="AC699" i="6"/>
  <c r="CB699" i="6"/>
  <c r="CP699" i="6"/>
  <c r="BO50" i="6"/>
  <c r="BA50" i="6"/>
  <c r="BQ699" i="6"/>
  <c r="BM699" i="6"/>
  <c r="BP50" i="6"/>
  <c r="BG50" i="6"/>
  <c r="Y698" i="6"/>
  <c r="AL698" i="6" s="1"/>
  <c r="O698" i="6"/>
  <c r="P698" i="6"/>
  <c r="Z698" i="6"/>
  <c r="AM698" i="6" s="1"/>
  <c r="Q695" i="6"/>
  <c r="AA695" i="6"/>
  <c r="AN695" i="6" s="1"/>
  <c r="BL695" i="6" l="1"/>
  <c r="BF698" i="6"/>
  <c r="AZ698" i="6"/>
  <c r="CN695" i="6"/>
  <c r="CX695" i="6" s="1"/>
  <c r="CR695" i="6"/>
  <c r="BZ695" i="6"/>
  <c r="CJ695" i="6" s="1"/>
  <c r="AE695" i="6"/>
  <c r="CD695" i="6"/>
  <c r="BQ698" i="6"/>
  <c r="BM698" i="6"/>
  <c r="BG699" i="6"/>
  <c r="BP699" i="6"/>
  <c r="BO699" i="6"/>
  <c r="BA699" i="6"/>
  <c r="CQ698" i="6"/>
  <c r="CM698" i="6"/>
  <c r="CW698" i="6" s="1"/>
  <c r="AD698" i="6"/>
  <c r="CC698" i="6"/>
  <c r="BY698" i="6"/>
  <c r="CI698" i="6" s="1"/>
  <c r="AC698" i="6"/>
  <c r="BX698" i="6"/>
  <c r="CH698" i="6" s="1"/>
  <c r="CB698" i="6"/>
  <c r="CP698" i="6"/>
  <c r="CL698" i="6"/>
  <c r="CV698" i="6" s="1"/>
  <c r="Q692" i="6"/>
  <c r="AA692" i="6"/>
  <c r="AN692" i="6" s="1"/>
  <c r="P695" i="6"/>
  <c r="Z695" i="6"/>
  <c r="AM695" i="6" s="1"/>
  <c r="O695" i="6"/>
  <c r="Y695" i="6"/>
  <c r="AL695" i="6" s="1"/>
  <c r="BF695" i="6" l="1"/>
  <c r="AZ695" i="6"/>
  <c r="BL692" i="6"/>
  <c r="CM695" i="6"/>
  <c r="CW695" i="6" s="1"/>
  <c r="BY695" i="6"/>
  <c r="CI695" i="6" s="1"/>
  <c r="CQ695" i="6"/>
  <c r="CC695" i="6"/>
  <c r="AD695" i="6"/>
  <c r="CR692" i="6"/>
  <c r="BZ692" i="6"/>
  <c r="CJ692" i="6" s="1"/>
  <c r="CN692" i="6"/>
  <c r="CX692" i="6" s="1"/>
  <c r="CD692" i="6"/>
  <c r="AE692" i="6"/>
  <c r="BO698" i="6"/>
  <c r="BA698" i="6"/>
  <c r="BM695" i="6"/>
  <c r="BQ695" i="6"/>
  <c r="BG698" i="6"/>
  <c r="BP698" i="6"/>
  <c r="CL695" i="6"/>
  <c r="CV695" i="6" s="1"/>
  <c r="AC695" i="6"/>
  <c r="BX695" i="6"/>
  <c r="CH695" i="6" s="1"/>
  <c r="CB695" i="6"/>
  <c r="CP695" i="6"/>
  <c r="AA27" i="6"/>
  <c r="AN27" i="6" s="1"/>
  <c r="Q27" i="6"/>
  <c r="Y692" i="6"/>
  <c r="AL692" i="6" s="1"/>
  <c r="O692" i="6"/>
  <c r="Z692" i="6"/>
  <c r="AM692" i="6" s="1"/>
  <c r="P692" i="6"/>
  <c r="BF692" i="6" l="1"/>
  <c r="AZ692" i="6"/>
  <c r="BL27" i="6"/>
  <c r="CM692" i="6"/>
  <c r="CW692" i="6" s="1"/>
  <c r="CC692" i="6"/>
  <c r="CQ692" i="6"/>
  <c r="AD692" i="6"/>
  <c r="BY692" i="6"/>
  <c r="CI692" i="6" s="1"/>
  <c r="CP692" i="6"/>
  <c r="BX692" i="6"/>
  <c r="CH692" i="6" s="1"/>
  <c r="AC692" i="6"/>
  <c r="CB692" i="6"/>
  <c r="CL692" i="6"/>
  <c r="CV692" i="6" s="1"/>
  <c r="BQ692" i="6"/>
  <c r="BM692" i="6"/>
  <c r="CD27" i="6"/>
  <c r="AE27" i="6"/>
  <c r="CR27" i="6"/>
  <c r="BZ27" i="6"/>
  <c r="CJ27" i="6" s="1"/>
  <c r="CN27" i="6"/>
  <c r="CX27" i="6" s="1"/>
  <c r="BO695" i="6"/>
  <c r="BA695" i="6"/>
  <c r="BP695" i="6"/>
  <c r="BG695" i="6"/>
  <c r="Z27" i="6"/>
  <c r="AM27" i="6" s="1"/>
  <c r="P27" i="6"/>
  <c r="Y27" i="6"/>
  <c r="AL27" i="6" s="1"/>
  <c r="O27" i="6"/>
  <c r="Q248" i="6"/>
  <c r="AA248" i="6"/>
  <c r="AN248" i="6" s="1"/>
  <c r="AZ27" i="6" l="1"/>
  <c r="BF27" i="6"/>
  <c r="BL248" i="6"/>
  <c r="CP27" i="6"/>
  <c r="CB27" i="6"/>
  <c r="BX27" i="6"/>
  <c r="CH27" i="6" s="1"/>
  <c r="CL27" i="6"/>
  <c r="CV27" i="6" s="1"/>
  <c r="AC27" i="6"/>
  <c r="BO692" i="6"/>
  <c r="BA692" i="6"/>
  <c r="CR248" i="6"/>
  <c r="CN248" i="6"/>
  <c r="CX248" i="6" s="1"/>
  <c r="AE248" i="6"/>
  <c r="CD248" i="6"/>
  <c r="BZ248" i="6"/>
  <c r="CJ248" i="6" s="1"/>
  <c r="BM27" i="6"/>
  <c r="BQ27" i="6"/>
  <c r="BG692" i="6"/>
  <c r="BP692" i="6"/>
  <c r="CQ27" i="6"/>
  <c r="BY27" i="6"/>
  <c r="CI27" i="6" s="1"/>
  <c r="AD27" i="6"/>
  <c r="CC27" i="6"/>
  <c r="CM27" i="6"/>
  <c r="CW27" i="6" s="1"/>
  <c r="Y248" i="6"/>
  <c r="AL248" i="6" s="1"/>
  <c r="O248" i="6"/>
  <c r="Z248" i="6"/>
  <c r="AM248" i="6" s="1"/>
  <c r="P248" i="6"/>
  <c r="Q115" i="6"/>
  <c r="AA115" i="6"/>
  <c r="AN115" i="6" s="1"/>
  <c r="BF248" i="6" l="1"/>
  <c r="AZ248" i="6"/>
  <c r="BL115" i="6"/>
  <c r="CB248" i="6"/>
  <c r="BX248" i="6"/>
  <c r="CH248" i="6" s="1"/>
  <c r="CP248" i="6"/>
  <c r="AC248" i="6"/>
  <c r="CL248" i="6"/>
  <c r="CV248" i="6" s="1"/>
  <c r="BP27" i="6"/>
  <c r="BG27" i="6"/>
  <c r="CD115" i="6"/>
  <c r="BZ115" i="6"/>
  <c r="CN115" i="6"/>
  <c r="CR115" i="6"/>
  <c r="AE115" i="6"/>
  <c r="CM248" i="6"/>
  <c r="CW248" i="6" s="1"/>
  <c r="CC248" i="6"/>
  <c r="CQ248" i="6"/>
  <c r="BY248" i="6"/>
  <c r="CI248" i="6" s="1"/>
  <c r="AD248" i="6"/>
  <c r="BQ248" i="6"/>
  <c r="BM248" i="6"/>
  <c r="BO27" i="6"/>
  <c r="BA27" i="6"/>
  <c r="Y115" i="6"/>
  <c r="AL115" i="6" s="1"/>
  <c r="O115" i="6"/>
  <c r="Q111" i="6"/>
  <c r="AA111" i="6"/>
  <c r="AN111" i="6" s="1"/>
  <c r="P115" i="6"/>
  <c r="Z115" i="6"/>
  <c r="AM115" i="6" s="1"/>
  <c r="BL111" i="6" l="1"/>
  <c r="BF115" i="6"/>
  <c r="AZ115" i="6"/>
  <c r="CJ115" i="6"/>
  <c r="CX115" i="6"/>
  <c r="CQ115" i="6"/>
  <c r="AD115" i="6"/>
  <c r="CM115" i="6"/>
  <c r="BY115" i="6"/>
  <c r="CC115" i="6"/>
  <c r="CR111" i="6"/>
  <c r="CD111" i="6"/>
  <c r="AE111" i="6"/>
  <c r="CN111" i="6"/>
  <c r="BZ111" i="6"/>
  <c r="CP115" i="6"/>
  <c r="CL115" i="6"/>
  <c r="BX115" i="6"/>
  <c r="AC115" i="6"/>
  <c r="CB115" i="6"/>
  <c r="BP248" i="6"/>
  <c r="BG248" i="6"/>
  <c r="BQ115" i="6"/>
  <c r="BM115" i="6"/>
  <c r="BO248" i="6"/>
  <c r="BA248" i="6"/>
  <c r="Q61" i="6"/>
  <c r="AA61" i="6"/>
  <c r="AN61" i="6" s="1"/>
  <c r="O111" i="6"/>
  <c r="Y111" i="6"/>
  <c r="AL111" i="6" s="1"/>
  <c r="Z111" i="6"/>
  <c r="AM111" i="6" s="1"/>
  <c r="P111" i="6"/>
  <c r="AZ111" i="6" l="1"/>
  <c r="BF111" i="6"/>
  <c r="BL61" i="6"/>
  <c r="CJ111" i="6"/>
  <c r="CI115" i="6"/>
  <c r="CX111" i="6"/>
  <c r="CW115" i="6"/>
  <c r="CV115" i="6"/>
  <c r="CH115" i="6"/>
  <c r="CL111" i="6"/>
  <c r="CP111" i="6"/>
  <c r="BX111" i="6"/>
  <c r="CB111" i="6"/>
  <c r="AC111" i="6"/>
  <c r="CD61" i="6"/>
  <c r="CN61" i="6"/>
  <c r="CX61" i="6" s="1"/>
  <c r="BZ61" i="6"/>
  <c r="CJ61" i="6" s="1"/>
  <c r="CR61" i="6"/>
  <c r="AE61" i="6"/>
  <c r="BQ111" i="6"/>
  <c r="BM111" i="6"/>
  <c r="AD111" i="6"/>
  <c r="CC111" i="6"/>
  <c r="BY111" i="6"/>
  <c r="CM111" i="6"/>
  <c r="CQ111" i="6"/>
  <c r="BO115" i="6"/>
  <c r="BA115" i="6"/>
  <c r="BP115" i="6"/>
  <c r="BG115" i="6"/>
  <c r="AA214" i="6"/>
  <c r="AN214" i="6" s="1"/>
  <c r="Q214" i="6"/>
  <c r="P61" i="6"/>
  <c r="Z61" i="6"/>
  <c r="AM61" i="6" s="1"/>
  <c r="O61" i="6"/>
  <c r="Y61" i="6"/>
  <c r="AL61" i="6" s="1"/>
  <c r="AZ61" i="6" l="1"/>
  <c r="BL214" i="6"/>
  <c r="BF61" i="6"/>
  <c r="CW111" i="6"/>
  <c r="CI111" i="6"/>
  <c r="CV111" i="6"/>
  <c r="CH111" i="6"/>
  <c r="AD61" i="6"/>
  <c r="CM61" i="6"/>
  <c r="CW61" i="6" s="1"/>
  <c r="CC61" i="6"/>
  <c r="CQ61" i="6"/>
  <c r="BY61" i="6"/>
  <c r="CI61" i="6" s="1"/>
  <c r="BP111" i="6"/>
  <c r="BG111" i="6"/>
  <c r="CP61" i="6"/>
  <c r="AC61" i="6"/>
  <c r="CB61" i="6"/>
  <c r="CL61" i="6"/>
  <c r="CV61" i="6" s="1"/>
  <c r="BX61" i="6"/>
  <c r="CH61" i="6" s="1"/>
  <c r="BQ61" i="6"/>
  <c r="BM61" i="6"/>
  <c r="BO111" i="6"/>
  <c r="BA111" i="6"/>
  <c r="CR214" i="6"/>
  <c r="CD214" i="6"/>
  <c r="BZ214" i="6"/>
  <c r="CJ214" i="6" s="1"/>
  <c r="CN214" i="6"/>
  <c r="CX214" i="6" s="1"/>
  <c r="AE214" i="6"/>
  <c r="O214" i="6"/>
  <c r="Y214" i="6"/>
  <c r="AL214" i="6" s="1"/>
  <c r="P214" i="6"/>
  <c r="Z214" i="6"/>
  <c r="AM214" i="6" s="1"/>
  <c r="AA97" i="6"/>
  <c r="AN97" i="6" s="1"/>
  <c r="Q97" i="6"/>
  <c r="BF214" i="6" l="1"/>
  <c r="AZ214" i="6"/>
  <c r="BL97" i="6"/>
  <c r="AE97" i="6"/>
  <c r="CR97" i="6"/>
  <c r="CD97" i="6"/>
  <c r="BZ97" i="6"/>
  <c r="CJ97" i="6" s="1"/>
  <c r="CN97" i="6"/>
  <c r="CX97" i="6" s="1"/>
  <c r="BQ214" i="6"/>
  <c r="BM214" i="6"/>
  <c r="CM214" i="6"/>
  <c r="CW214" i="6" s="1"/>
  <c r="CQ214" i="6"/>
  <c r="CC214" i="6"/>
  <c r="AD214" i="6"/>
  <c r="BY214" i="6"/>
  <c r="CI214" i="6" s="1"/>
  <c r="BO61" i="6"/>
  <c r="BA61" i="6"/>
  <c r="BP61" i="6"/>
  <c r="BG61" i="6"/>
  <c r="CL214" i="6"/>
  <c r="CV214" i="6" s="1"/>
  <c r="CB214" i="6"/>
  <c r="AC214" i="6"/>
  <c r="CP214" i="6"/>
  <c r="BX214" i="6"/>
  <c r="CH214" i="6" s="1"/>
  <c r="O97" i="6"/>
  <c r="Y97" i="6"/>
  <c r="AL97" i="6" s="1"/>
  <c r="P97" i="6"/>
  <c r="Z97" i="6"/>
  <c r="AM97" i="6" s="1"/>
  <c r="AA223" i="6"/>
  <c r="AN223" i="6" s="1"/>
  <c r="Q223" i="6"/>
  <c r="AZ97" i="6" l="1"/>
  <c r="BL223" i="6"/>
  <c r="BF97" i="6"/>
  <c r="BP214" i="6"/>
  <c r="BG214" i="6"/>
  <c r="CQ97" i="6"/>
  <c r="CC97" i="6"/>
  <c r="BY97" i="6"/>
  <c r="CI97" i="6" s="1"/>
  <c r="AD97" i="6"/>
  <c r="CM97" i="6"/>
  <c r="CW97" i="6" s="1"/>
  <c r="AC97" i="6"/>
  <c r="CB97" i="6"/>
  <c r="BX97" i="6"/>
  <c r="CH97" i="6" s="1"/>
  <c r="CL97" i="6"/>
  <c r="CV97" i="6" s="1"/>
  <c r="CP97" i="6"/>
  <c r="BQ97" i="6"/>
  <c r="BM97" i="6"/>
  <c r="CN223" i="6"/>
  <c r="CX223" i="6" s="1"/>
  <c r="BZ223" i="6"/>
  <c r="CJ223" i="6" s="1"/>
  <c r="CD223" i="6"/>
  <c r="AE223" i="6"/>
  <c r="CR223" i="6"/>
  <c r="BO214" i="6"/>
  <c r="BA214" i="6"/>
  <c r="O223" i="6"/>
  <c r="Y223" i="6"/>
  <c r="AL223" i="6" s="1"/>
  <c r="AA77" i="6"/>
  <c r="AN77" i="6" s="1"/>
  <c r="Q77" i="6"/>
  <c r="P223" i="6"/>
  <c r="Z223" i="6"/>
  <c r="AM223" i="6" s="1"/>
  <c r="BL77" i="6" l="1"/>
  <c r="AZ223" i="6"/>
  <c r="BF223" i="6"/>
  <c r="BG97" i="6"/>
  <c r="BP97" i="6"/>
  <c r="BZ77" i="6"/>
  <c r="CJ77" i="6" s="1"/>
  <c r="CN77" i="6"/>
  <c r="CX77" i="6" s="1"/>
  <c r="CR77" i="6"/>
  <c r="CD77" i="6"/>
  <c r="AE77" i="6"/>
  <c r="AC223" i="6"/>
  <c r="CB223" i="6"/>
  <c r="BX223" i="6"/>
  <c r="CH223" i="6" s="1"/>
  <c r="CL223" i="6"/>
  <c r="CV223" i="6" s="1"/>
  <c r="CP223" i="6"/>
  <c r="BA97" i="6"/>
  <c r="BO97" i="6"/>
  <c r="CM223" i="6"/>
  <c r="CW223" i="6" s="1"/>
  <c r="AD223" i="6"/>
  <c r="CQ223" i="6"/>
  <c r="BY223" i="6"/>
  <c r="CI223" i="6" s="1"/>
  <c r="CC223" i="6"/>
  <c r="BQ223" i="6"/>
  <c r="BM223" i="6"/>
  <c r="Z77" i="6"/>
  <c r="AM77" i="6" s="1"/>
  <c r="P77" i="6"/>
  <c r="Y77" i="6"/>
  <c r="AL77" i="6" s="1"/>
  <c r="O77" i="6"/>
  <c r="AA65" i="6"/>
  <c r="AN65" i="6" s="1"/>
  <c r="Q65" i="6"/>
  <c r="AZ77" i="6" l="1"/>
  <c r="BL65" i="6"/>
  <c r="BF77" i="6"/>
  <c r="CP77" i="6"/>
  <c r="CB77" i="6"/>
  <c r="BX77" i="6"/>
  <c r="CH77" i="6" s="1"/>
  <c r="CL77" i="6"/>
  <c r="CV77" i="6" s="1"/>
  <c r="BO77" i="6"/>
  <c r="AC77" i="6"/>
  <c r="BM77" i="6"/>
  <c r="BQ77" i="6"/>
  <c r="CD65" i="6"/>
  <c r="CR65" i="6"/>
  <c r="BZ65" i="6"/>
  <c r="CJ65" i="6" s="1"/>
  <c r="AE65" i="6"/>
  <c r="CN65" i="6"/>
  <c r="CX65" i="6" s="1"/>
  <c r="CQ77" i="6"/>
  <c r="CC77" i="6"/>
  <c r="BY77" i="6"/>
  <c r="CI77" i="6" s="1"/>
  <c r="CM77" i="6"/>
  <c r="CW77" i="6" s="1"/>
  <c r="AD77" i="6"/>
  <c r="BP223" i="6"/>
  <c r="BG223" i="6"/>
  <c r="BO223" i="6"/>
  <c r="BA223" i="6"/>
  <c r="Q51" i="6"/>
  <c r="AA51" i="6"/>
  <c r="AN51" i="6" s="1"/>
  <c r="P65" i="6"/>
  <c r="Z65" i="6"/>
  <c r="AM65" i="6" s="1"/>
  <c r="Y65" i="6"/>
  <c r="AL65" i="6" s="1"/>
  <c r="O65" i="6"/>
  <c r="BL51" i="6" l="1"/>
  <c r="AZ65" i="6"/>
  <c r="BF65" i="6"/>
  <c r="BA77" i="6"/>
  <c r="BP77" i="6"/>
  <c r="BG77" i="6"/>
  <c r="CN51" i="6"/>
  <c r="CX51" i="6" s="1"/>
  <c r="BZ51" i="6"/>
  <c r="CJ51" i="6" s="1"/>
  <c r="CD51" i="6"/>
  <c r="CR51" i="6"/>
  <c r="AE51" i="6"/>
  <c r="CC65" i="6"/>
  <c r="CM65" i="6"/>
  <c r="CW65" i="6" s="1"/>
  <c r="BY65" i="6"/>
  <c r="CI65" i="6" s="1"/>
  <c r="CQ65" i="6"/>
  <c r="AD65" i="6"/>
  <c r="BQ65" i="6"/>
  <c r="BM65" i="6"/>
  <c r="CP65" i="6"/>
  <c r="BX65" i="6"/>
  <c r="CH65" i="6" s="1"/>
  <c r="CL65" i="6"/>
  <c r="CV65" i="6" s="1"/>
  <c r="AC65" i="6"/>
  <c r="CB65" i="6"/>
  <c r="AA42" i="6"/>
  <c r="AN42" i="6" s="1"/>
  <c r="Q42" i="6"/>
  <c r="O51" i="6"/>
  <c r="Y51" i="6"/>
  <c r="AL51" i="6" s="1"/>
  <c r="Z51" i="6"/>
  <c r="AM51" i="6" s="1"/>
  <c r="P51" i="6"/>
  <c r="BL42" i="6" l="1"/>
  <c r="BF51" i="6"/>
  <c r="AZ51" i="6"/>
  <c r="CL51" i="6"/>
  <c r="CV51" i="6" s="1"/>
  <c r="AC51" i="6"/>
  <c r="CB51" i="6"/>
  <c r="CP51" i="6"/>
  <c r="BX51" i="6"/>
  <c r="CH51" i="6" s="1"/>
  <c r="AE42" i="6"/>
  <c r="CN42" i="6"/>
  <c r="CX42" i="6" s="1"/>
  <c r="BZ42" i="6"/>
  <c r="CJ42" i="6" s="1"/>
  <c r="CR42" i="6"/>
  <c r="CD42" i="6"/>
  <c r="CM51" i="6"/>
  <c r="CW51" i="6" s="1"/>
  <c r="BY51" i="6"/>
  <c r="CI51" i="6" s="1"/>
  <c r="CQ51" i="6"/>
  <c r="CC51" i="6"/>
  <c r="AD51" i="6"/>
  <c r="BO65" i="6"/>
  <c r="BA65" i="6"/>
  <c r="BP65" i="6"/>
  <c r="BG65" i="6"/>
  <c r="BM51" i="6"/>
  <c r="BQ51" i="6"/>
  <c r="O42" i="6"/>
  <c r="Y42" i="6"/>
  <c r="AL42" i="6" s="1"/>
  <c r="P42" i="6"/>
  <c r="Z42" i="6"/>
  <c r="AM42" i="6" s="1"/>
  <c r="Q458" i="6"/>
  <c r="AA458" i="6"/>
  <c r="AN458" i="6" s="1"/>
  <c r="AZ42" i="6" l="1"/>
  <c r="BF42" i="6"/>
  <c r="BL458" i="6"/>
  <c r="BM42" i="6"/>
  <c r="BQ42" i="6"/>
  <c r="CN458" i="6"/>
  <c r="BZ458" i="6"/>
  <c r="AE458" i="6"/>
  <c r="CD458" i="6"/>
  <c r="CR458" i="6"/>
  <c r="BO51" i="6"/>
  <c r="BA51" i="6"/>
  <c r="CQ42" i="6"/>
  <c r="BY42" i="6"/>
  <c r="CI42" i="6" s="1"/>
  <c r="CM42" i="6"/>
  <c r="CW42" i="6" s="1"/>
  <c r="CC42" i="6"/>
  <c r="AD42" i="6"/>
  <c r="BP51" i="6"/>
  <c r="BG51" i="6"/>
  <c r="CB42" i="6"/>
  <c r="CP42" i="6"/>
  <c r="BX42" i="6"/>
  <c r="CH42" i="6" s="1"/>
  <c r="CL42" i="6"/>
  <c r="CV42" i="6" s="1"/>
  <c r="AC42" i="6"/>
  <c r="O458" i="6"/>
  <c r="Y458" i="6"/>
  <c r="AL458" i="6" s="1"/>
  <c r="Q275" i="6"/>
  <c r="AA275" i="6"/>
  <c r="AN275" i="6" s="1"/>
  <c r="P458" i="6"/>
  <c r="Z458" i="6"/>
  <c r="AM458" i="6" s="1"/>
  <c r="BF458" i="6" l="1"/>
  <c r="AZ458" i="6"/>
  <c r="BL275" i="6"/>
  <c r="CQ458" i="6"/>
  <c r="AD458" i="6"/>
  <c r="CM458" i="6"/>
  <c r="BY458" i="6"/>
  <c r="CC458" i="6"/>
  <c r="BQ458" i="6"/>
  <c r="BM458" i="6"/>
  <c r="CJ458" i="6"/>
  <c r="BP42" i="6"/>
  <c r="BG42" i="6"/>
  <c r="CX458" i="6"/>
  <c r="CR275" i="6"/>
  <c r="CD275" i="6"/>
  <c r="BZ275" i="6"/>
  <c r="CN275" i="6"/>
  <c r="AE275" i="6"/>
  <c r="BX458" i="6"/>
  <c r="AC458" i="6"/>
  <c r="CL458" i="6"/>
  <c r="CP458" i="6"/>
  <c r="CB458" i="6"/>
  <c r="BA42" i="6"/>
  <c r="BO42" i="6"/>
  <c r="Y275" i="6"/>
  <c r="AL275" i="6" s="1"/>
  <c r="O275" i="6"/>
  <c r="Z275" i="6"/>
  <c r="AM275" i="6" s="1"/>
  <c r="P275" i="6"/>
  <c r="Q459" i="6"/>
  <c r="AA459" i="6"/>
  <c r="AN459" i="6" s="1"/>
  <c r="AZ275" i="6" l="1"/>
  <c r="BO275" i="6" s="1"/>
  <c r="BL459" i="6"/>
  <c r="BF275" i="6"/>
  <c r="CC275" i="6"/>
  <c r="CQ275" i="6"/>
  <c r="AD275" i="6"/>
  <c r="BY275" i="6"/>
  <c r="CM275" i="6"/>
  <c r="CL275" i="6"/>
  <c r="BX275" i="6"/>
  <c r="CP275" i="6"/>
  <c r="CB275" i="6"/>
  <c r="AC275" i="6"/>
  <c r="CX275" i="6"/>
  <c r="CI458" i="6"/>
  <c r="CH458" i="6"/>
  <c r="CJ275" i="6"/>
  <c r="CW458" i="6"/>
  <c r="CV458" i="6"/>
  <c r="BP458" i="6"/>
  <c r="BG458" i="6"/>
  <c r="CN459" i="6"/>
  <c r="AE459" i="6"/>
  <c r="CR459" i="6"/>
  <c r="CD459" i="6"/>
  <c r="BZ459" i="6"/>
  <c r="BO458" i="6"/>
  <c r="BA458" i="6"/>
  <c r="BQ275" i="6"/>
  <c r="BM275" i="6"/>
  <c r="P459" i="6"/>
  <c r="Z459" i="6"/>
  <c r="AM459" i="6" s="1"/>
  <c r="O459" i="6"/>
  <c r="Y459" i="6"/>
  <c r="AL459" i="6" s="1"/>
  <c r="Q460" i="6"/>
  <c r="AA460" i="6"/>
  <c r="AN460" i="6" s="1"/>
  <c r="AZ459" i="6" l="1"/>
  <c r="BF459" i="6"/>
  <c r="BL460" i="6"/>
  <c r="CX459" i="6"/>
  <c r="CJ459" i="6"/>
  <c r="BA275" i="6"/>
  <c r="CR460" i="6"/>
  <c r="AE460" i="6"/>
  <c r="BZ460" i="6"/>
  <c r="CJ460" i="6" s="1"/>
  <c r="CN460" i="6"/>
  <c r="CX460" i="6" s="1"/>
  <c r="CD460" i="6"/>
  <c r="CI275" i="6"/>
  <c r="CM459" i="6"/>
  <c r="CC459" i="6"/>
  <c r="CQ459" i="6"/>
  <c r="AD459" i="6"/>
  <c r="BY459" i="6"/>
  <c r="CV275" i="6"/>
  <c r="BP275" i="6"/>
  <c r="BG275" i="6"/>
  <c r="CP459" i="6"/>
  <c r="AC459" i="6"/>
  <c r="CL459" i="6"/>
  <c r="BX459" i="6"/>
  <c r="CB459" i="6"/>
  <c r="BM459" i="6"/>
  <c r="BQ459" i="6"/>
  <c r="CH275" i="6"/>
  <c r="CW275" i="6"/>
  <c r="Q461" i="6"/>
  <c r="AA461" i="6"/>
  <c r="AN461" i="6" s="1"/>
  <c r="O460" i="6"/>
  <c r="Y460" i="6"/>
  <c r="AL460" i="6" s="1"/>
  <c r="P460" i="6"/>
  <c r="Z460" i="6"/>
  <c r="AM460" i="6" s="1"/>
  <c r="BF460" i="6" l="1"/>
  <c r="AZ460" i="6"/>
  <c r="BL461" i="6"/>
  <c r="CI459" i="6"/>
  <c r="CH459" i="6"/>
  <c r="CV459" i="6"/>
  <c r="CW459" i="6"/>
  <c r="BG459" i="6"/>
  <c r="BP459" i="6"/>
  <c r="CC460" i="6"/>
  <c r="CM460" i="6"/>
  <c r="CW460" i="6" s="1"/>
  <c r="BY460" i="6"/>
  <c r="CI460" i="6" s="1"/>
  <c r="CQ460" i="6"/>
  <c r="AD460" i="6"/>
  <c r="BX460" i="6"/>
  <c r="CH460" i="6" s="1"/>
  <c r="AC460" i="6"/>
  <c r="CP460" i="6"/>
  <c r="CB460" i="6"/>
  <c r="CL460" i="6"/>
  <c r="CV460" i="6" s="1"/>
  <c r="CR461" i="6"/>
  <c r="CN461" i="6"/>
  <c r="CX461" i="6" s="1"/>
  <c r="CD461" i="6"/>
  <c r="BZ461" i="6"/>
  <c r="CJ461" i="6" s="1"/>
  <c r="AE461" i="6"/>
  <c r="BO459" i="6"/>
  <c r="BA459" i="6"/>
  <c r="BQ460" i="6"/>
  <c r="BM460" i="6"/>
  <c r="AA462" i="6"/>
  <c r="AN462" i="6" s="1"/>
  <c r="Q462" i="6"/>
  <c r="Z461" i="6"/>
  <c r="AM461" i="6" s="1"/>
  <c r="P461" i="6"/>
  <c r="O461" i="6"/>
  <c r="Y461" i="6"/>
  <c r="AL461" i="6" s="1"/>
  <c r="BL462" i="6" l="1"/>
  <c r="BF461" i="6"/>
  <c r="AZ461" i="6"/>
  <c r="BY461" i="6"/>
  <c r="CI461" i="6" s="1"/>
  <c r="CQ461" i="6"/>
  <c r="CC461" i="6"/>
  <c r="AD461" i="6"/>
  <c r="CM461" i="6"/>
  <c r="CW461" i="6" s="1"/>
  <c r="BZ462" i="6"/>
  <c r="CJ462" i="6" s="1"/>
  <c r="CN462" i="6"/>
  <c r="CX462" i="6" s="1"/>
  <c r="AE462" i="6"/>
  <c r="CR462" i="6"/>
  <c r="CD462" i="6"/>
  <c r="BP460" i="6"/>
  <c r="BG460" i="6"/>
  <c r="AC461" i="6"/>
  <c r="BX461" i="6"/>
  <c r="CH461" i="6" s="1"/>
  <c r="CL461" i="6"/>
  <c r="CV461" i="6" s="1"/>
  <c r="CB461" i="6"/>
  <c r="CP461" i="6"/>
  <c r="BM461" i="6"/>
  <c r="BQ461" i="6"/>
  <c r="BO460" i="6"/>
  <c r="BA460" i="6"/>
  <c r="AA463" i="6"/>
  <c r="AN463" i="6" s="1"/>
  <c r="Q463" i="6"/>
  <c r="Z462" i="6"/>
  <c r="AM462" i="6" s="1"/>
  <c r="P462" i="6"/>
  <c r="O462" i="6"/>
  <c r="Y462" i="6"/>
  <c r="AL462" i="6" s="1"/>
  <c r="BF462" i="6" l="1"/>
  <c r="AZ462" i="6"/>
  <c r="BL463" i="6"/>
  <c r="BO461" i="6"/>
  <c r="BA461" i="6"/>
  <c r="CN463" i="6"/>
  <c r="CX463" i="6" s="1"/>
  <c r="CD463" i="6"/>
  <c r="CR463" i="6"/>
  <c r="AE463" i="6"/>
  <c r="BZ463" i="6"/>
  <c r="CJ463" i="6" s="1"/>
  <c r="BM462" i="6"/>
  <c r="BQ462" i="6"/>
  <c r="BP461" i="6"/>
  <c r="BG461" i="6"/>
  <c r="BX462" i="6"/>
  <c r="CH462" i="6" s="1"/>
  <c r="CL462" i="6"/>
  <c r="CV462" i="6" s="1"/>
  <c r="AC462" i="6"/>
  <c r="CP462" i="6"/>
  <c r="CB462" i="6"/>
  <c r="CQ462" i="6"/>
  <c r="CC462" i="6"/>
  <c r="AD462" i="6"/>
  <c r="CM462" i="6"/>
  <c r="CW462" i="6" s="1"/>
  <c r="BY462" i="6"/>
  <c r="CI462" i="6" s="1"/>
  <c r="Y463" i="6"/>
  <c r="AL463" i="6" s="1"/>
  <c r="O463" i="6"/>
  <c r="Q464" i="6"/>
  <c r="AA464" i="6"/>
  <c r="AN464" i="6" s="1"/>
  <c r="Z463" i="6"/>
  <c r="AM463" i="6" s="1"/>
  <c r="P463" i="6"/>
  <c r="AZ463" i="6" l="1"/>
  <c r="BF463" i="6"/>
  <c r="BL464" i="6"/>
  <c r="CM463" i="6"/>
  <c r="CW463" i="6" s="1"/>
  <c r="AD463" i="6"/>
  <c r="BY463" i="6"/>
  <c r="CI463" i="6" s="1"/>
  <c r="CQ463" i="6"/>
  <c r="CC463" i="6"/>
  <c r="BZ464" i="6"/>
  <c r="CJ464" i="6" s="1"/>
  <c r="AE464" i="6"/>
  <c r="CR464" i="6"/>
  <c r="CD464" i="6"/>
  <c r="CN464" i="6"/>
  <c r="CX464" i="6" s="1"/>
  <c r="BM463" i="6"/>
  <c r="BQ463" i="6"/>
  <c r="CP463" i="6"/>
  <c r="BX463" i="6"/>
  <c r="CH463" i="6" s="1"/>
  <c r="CL463" i="6"/>
  <c r="CV463" i="6" s="1"/>
  <c r="CB463" i="6"/>
  <c r="AC463" i="6"/>
  <c r="BP462" i="6"/>
  <c r="BG462" i="6"/>
  <c r="BO462" i="6"/>
  <c r="BA462" i="6"/>
  <c r="Z464" i="6"/>
  <c r="AM464" i="6" s="1"/>
  <c r="P464" i="6"/>
  <c r="Y464" i="6"/>
  <c r="AL464" i="6" s="1"/>
  <c r="O464" i="6"/>
  <c r="Q465" i="6"/>
  <c r="AA465" i="6"/>
  <c r="AN465" i="6" s="1"/>
  <c r="AZ464" i="6" l="1"/>
  <c r="BL465" i="6"/>
  <c r="BF464" i="6"/>
  <c r="CQ464" i="6"/>
  <c r="BY464" i="6"/>
  <c r="CI464" i="6" s="1"/>
  <c r="CC464" i="6"/>
  <c r="AD464" i="6"/>
  <c r="CM464" i="6"/>
  <c r="CW464" i="6" s="1"/>
  <c r="BA463" i="6"/>
  <c r="BO463" i="6"/>
  <c r="BQ464" i="6"/>
  <c r="BM464" i="6"/>
  <c r="BP463" i="6"/>
  <c r="BG463" i="6"/>
  <c r="AE465" i="6"/>
  <c r="CR465" i="6"/>
  <c r="BZ465" i="6"/>
  <c r="CJ465" i="6" s="1"/>
  <c r="CN465" i="6"/>
  <c r="CX465" i="6" s="1"/>
  <c r="CD465" i="6"/>
  <c r="CB464" i="6"/>
  <c r="CL464" i="6"/>
  <c r="CV464" i="6" s="1"/>
  <c r="CP464" i="6"/>
  <c r="BX464" i="6"/>
  <c r="CH464" i="6" s="1"/>
  <c r="AC464" i="6"/>
  <c r="Z465" i="6"/>
  <c r="AM465" i="6" s="1"/>
  <c r="P465" i="6"/>
  <c r="Q466" i="6"/>
  <c r="AA466" i="6"/>
  <c r="AN466" i="6" s="1"/>
  <c r="Y465" i="6"/>
  <c r="AL465" i="6" s="1"/>
  <c r="O465" i="6"/>
  <c r="AZ465" i="6" l="1"/>
  <c r="BL466" i="6"/>
  <c r="BF465" i="6"/>
  <c r="AC465" i="6"/>
  <c r="BX465" i="6"/>
  <c r="CH465" i="6" s="1"/>
  <c r="CL465" i="6"/>
  <c r="CV465" i="6" s="1"/>
  <c r="CB465" i="6"/>
  <c r="CP465" i="6"/>
  <c r="BO464" i="6"/>
  <c r="BA464" i="6"/>
  <c r="BM465" i="6"/>
  <c r="BQ465" i="6"/>
  <c r="CQ465" i="6"/>
  <c r="CC465" i="6"/>
  <c r="AD465" i="6"/>
  <c r="CM465" i="6"/>
  <c r="CW465" i="6" s="1"/>
  <c r="BY465" i="6"/>
  <c r="CI465" i="6" s="1"/>
  <c r="BZ466" i="6"/>
  <c r="CD466" i="6"/>
  <c r="CR466" i="6"/>
  <c r="CN466" i="6"/>
  <c r="AE466" i="6"/>
  <c r="BP464" i="6"/>
  <c r="BG464" i="6"/>
  <c r="Z466" i="6"/>
  <c r="AM466" i="6" s="1"/>
  <c r="P466" i="6"/>
  <c r="AA467" i="6"/>
  <c r="AN467" i="6" s="1"/>
  <c r="Q467" i="6"/>
  <c r="O466" i="6"/>
  <c r="Y466" i="6"/>
  <c r="AL466" i="6" s="1"/>
  <c r="BL467" i="6" l="1"/>
  <c r="AZ466" i="6"/>
  <c r="BF466" i="6"/>
  <c r="CX466" i="6"/>
  <c r="CJ466" i="6"/>
  <c r="CP466" i="6"/>
  <c r="CL466" i="6"/>
  <c r="BX466" i="6"/>
  <c r="CB466" i="6"/>
  <c r="AC466" i="6"/>
  <c r="AE467" i="6"/>
  <c r="BZ467" i="6"/>
  <c r="CN467" i="6"/>
  <c r="CD467" i="6"/>
  <c r="CR467" i="6"/>
  <c r="BP465" i="6"/>
  <c r="BG465" i="6"/>
  <c r="CQ466" i="6"/>
  <c r="BY466" i="6"/>
  <c r="CM466" i="6"/>
  <c r="AD466" i="6"/>
  <c r="CC466" i="6"/>
  <c r="BQ466" i="6"/>
  <c r="BM466" i="6"/>
  <c r="BA465" i="6"/>
  <c r="BO465" i="6"/>
  <c r="O467" i="6"/>
  <c r="Y467" i="6"/>
  <c r="AL467" i="6" s="1"/>
  <c r="P467" i="6"/>
  <c r="Z467" i="6"/>
  <c r="AM467" i="6" s="1"/>
  <c r="Q468" i="6"/>
  <c r="AA468" i="6"/>
  <c r="AN468" i="6" s="1"/>
  <c r="BL468" i="6" l="1"/>
  <c r="BF467" i="6"/>
  <c r="AZ467" i="6"/>
  <c r="CH466" i="6"/>
  <c r="CV466" i="6"/>
  <c r="CW466" i="6"/>
  <c r="CI466" i="6"/>
  <c r="CR468" i="6"/>
  <c r="CD468" i="6"/>
  <c r="CN468" i="6"/>
  <c r="BZ468" i="6"/>
  <c r="AE468" i="6"/>
  <c r="BO466" i="6"/>
  <c r="BA466" i="6"/>
  <c r="BP466" i="6"/>
  <c r="BG466" i="6"/>
  <c r="BM467" i="6"/>
  <c r="BQ467" i="6"/>
  <c r="CB467" i="6"/>
  <c r="CP467" i="6"/>
  <c r="AC467" i="6"/>
  <c r="BX467" i="6"/>
  <c r="CL467" i="6"/>
  <c r="CX467" i="6"/>
  <c r="BY467" i="6"/>
  <c r="CQ467" i="6"/>
  <c r="CC467" i="6"/>
  <c r="AD467" i="6"/>
  <c r="CM467" i="6"/>
  <c r="CJ467" i="6"/>
  <c r="AA276" i="6"/>
  <c r="AN276" i="6" s="1"/>
  <c r="Q276" i="6"/>
  <c r="Y468" i="6"/>
  <c r="AL468" i="6" s="1"/>
  <c r="O468" i="6"/>
  <c r="Z468" i="6"/>
  <c r="AM468" i="6" s="1"/>
  <c r="P468" i="6"/>
  <c r="BL276" i="6" l="1"/>
  <c r="BF468" i="6"/>
  <c r="AZ468" i="6"/>
  <c r="CV467" i="6"/>
  <c r="CW467" i="6"/>
  <c r="CH467" i="6"/>
  <c r="BP467" i="6"/>
  <c r="BG467" i="6"/>
  <c r="CI467" i="6"/>
  <c r="CX468" i="6"/>
  <c r="CM468" i="6"/>
  <c r="BY468" i="6"/>
  <c r="CQ468" i="6"/>
  <c r="CC468" i="6"/>
  <c r="AD468" i="6"/>
  <c r="BQ468" i="6"/>
  <c r="BM468" i="6"/>
  <c r="CN276" i="6"/>
  <c r="CD276" i="6"/>
  <c r="AE276" i="6"/>
  <c r="CR276" i="6"/>
  <c r="BZ276" i="6"/>
  <c r="BA467" i="6"/>
  <c r="BO467" i="6"/>
  <c r="CB468" i="6"/>
  <c r="CL468" i="6"/>
  <c r="BX468" i="6"/>
  <c r="AC468" i="6"/>
  <c r="CP468" i="6"/>
  <c r="CJ468" i="6"/>
  <c r="Y276" i="6"/>
  <c r="AL276" i="6" s="1"/>
  <c r="O276" i="6"/>
  <c r="AA221" i="6"/>
  <c r="AN221" i="6" s="1"/>
  <c r="Q221" i="6"/>
  <c r="P276" i="6"/>
  <c r="Z276" i="6"/>
  <c r="AM276" i="6" s="1"/>
  <c r="BF276" i="6" l="1"/>
  <c r="AZ276" i="6"/>
  <c r="BL221" i="6"/>
  <c r="CJ276" i="6"/>
  <c r="CC276" i="6"/>
  <c r="CQ276" i="6"/>
  <c r="CM276" i="6"/>
  <c r="BY276" i="6"/>
  <c r="AD276" i="6"/>
  <c r="CH468" i="6"/>
  <c r="BQ276" i="6"/>
  <c r="BM276" i="6"/>
  <c r="CN221" i="6"/>
  <c r="CX221" i="6" s="1"/>
  <c r="CR221" i="6"/>
  <c r="AE221" i="6"/>
  <c r="BZ221" i="6"/>
  <c r="CJ221" i="6" s="1"/>
  <c r="CD221" i="6"/>
  <c r="CV468" i="6"/>
  <c r="BP468" i="6"/>
  <c r="BG468" i="6"/>
  <c r="CI468" i="6"/>
  <c r="CL276" i="6"/>
  <c r="AC276" i="6"/>
  <c r="BX276" i="6"/>
  <c r="CP276" i="6"/>
  <c r="CB276" i="6"/>
  <c r="BO468" i="6"/>
  <c r="BA468" i="6"/>
  <c r="CX276" i="6"/>
  <c r="CW468" i="6"/>
  <c r="Y221" i="6"/>
  <c r="AL221" i="6" s="1"/>
  <c r="O221" i="6"/>
  <c r="P221" i="6"/>
  <c r="Z221" i="6"/>
  <c r="AM221" i="6" s="1"/>
  <c r="Q266" i="6"/>
  <c r="AA266" i="6"/>
  <c r="AN266" i="6" s="1"/>
  <c r="AZ221" i="6" l="1"/>
  <c r="BF221" i="6"/>
  <c r="BL266" i="6"/>
  <c r="CN266" i="6"/>
  <c r="CX266" i="6" s="1"/>
  <c r="CD266" i="6"/>
  <c r="CR266" i="6"/>
  <c r="AE266" i="6"/>
  <c r="BZ266" i="6"/>
  <c r="CJ266" i="6" s="1"/>
  <c r="BY221" i="6"/>
  <c r="CI221" i="6" s="1"/>
  <c r="AD221" i="6"/>
  <c r="CM221" i="6"/>
  <c r="CW221" i="6" s="1"/>
  <c r="CQ221" i="6"/>
  <c r="CC221" i="6"/>
  <c r="CP221" i="6"/>
  <c r="CL221" i="6"/>
  <c r="CV221" i="6" s="1"/>
  <c r="BX221" i="6"/>
  <c r="CH221" i="6" s="1"/>
  <c r="AC221" i="6"/>
  <c r="CB221" i="6"/>
  <c r="CV276" i="6"/>
  <c r="CI276" i="6"/>
  <c r="BQ221" i="6"/>
  <c r="BM221" i="6"/>
  <c r="CW276" i="6"/>
  <c r="CH276" i="6"/>
  <c r="BG276" i="6"/>
  <c r="BP276" i="6"/>
  <c r="BO276" i="6"/>
  <c r="BA276" i="6"/>
  <c r="O266" i="6"/>
  <c r="Y266" i="6"/>
  <c r="AL266" i="6" s="1"/>
  <c r="Q469" i="6"/>
  <c r="AA469" i="6"/>
  <c r="AN469" i="6" s="1"/>
  <c r="P266" i="6"/>
  <c r="Z266" i="6"/>
  <c r="AM266" i="6" s="1"/>
  <c r="BF266" i="6" l="1"/>
  <c r="BL469" i="6"/>
  <c r="AZ266" i="6"/>
  <c r="BX266" i="6"/>
  <c r="CH266" i="6" s="1"/>
  <c r="CP266" i="6"/>
  <c r="CB266" i="6"/>
  <c r="AC266" i="6"/>
  <c r="CL266" i="6"/>
  <c r="CV266" i="6" s="1"/>
  <c r="CD469" i="6"/>
  <c r="CR469" i="6"/>
  <c r="BZ469" i="6"/>
  <c r="CN469" i="6"/>
  <c r="AE469" i="6"/>
  <c r="BQ266" i="6"/>
  <c r="BM266" i="6"/>
  <c r="CM266" i="6"/>
  <c r="CW266" i="6" s="1"/>
  <c r="BY266" i="6"/>
  <c r="CI266" i="6" s="1"/>
  <c r="CQ266" i="6"/>
  <c r="CC266" i="6"/>
  <c r="AD266" i="6"/>
  <c r="BA221" i="6"/>
  <c r="BO221" i="6"/>
  <c r="BG221" i="6"/>
  <c r="BP221" i="6"/>
  <c r="AA470" i="6"/>
  <c r="AN470" i="6" s="1"/>
  <c r="Q470" i="6"/>
  <c r="O469" i="6"/>
  <c r="Y469" i="6"/>
  <c r="AL469" i="6" s="1"/>
  <c r="Z469" i="6"/>
  <c r="AM469" i="6" s="1"/>
  <c r="P469" i="6"/>
  <c r="AZ469" i="6" l="1"/>
  <c r="BL470" i="6"/>
  <c r="BF469" i="6"/>
  <c r="CX469" i="6"/>
  <c r="CJ469" i="6"/>
  <c r="CN470" i="6"/>
  <c r="BZ470" i="6"/>
  <c r="AE470" i="6"/>
  <c r="CD470" i="6"/>
  <c r="CR470" i="6"/>
  <c r="CM469" i="6"/>
  <c r="BY469" i="6"/>
  <c r="AD469" i="6"/>
  <c r="CC469" i="6"/>
  <c r="CQ469" i="6"/>
  <c r="BG266" i="6"/>
  <c r="BP266" i="6"/>
  <c r="CB469" i="6"/>
  <c r="CP469" i="6"/>
  <c r="AC469" i="6"/>
  <c r="BX469" i="6"/>
  <c r="CL469" i="6"/>
  <c r="BA266" i="6"/>
  <c r="BO266" i="6"/>
  <c r="BQ469" i="6"/>
  <c r="BM469" i="6"/>
  <c r="Y470" i="6"/>
  <c r="AL470" i="6" s="1"/>
  <c r="O470" i="6"/>
  <c r="Q471" i="6"/>
  <c r="AA471" i="6"/>
  <c r="AN471" i="6" s="1"/>
  <c r="P470" i="6"/>
  <c r="Z470" i="6"/>
  <c r="AM470" i="6" s="1"/>
  <c r="BF470" i="6" l="1"/>
  <c r="BL471" i="6"/>
  <c r="AZ470" i="6"/>
  <c r="CV469" i="6"/>
  <c r="CH469" i="6"/>
  <c r="CJ470" i="6"/>
  <c r="CX470" i="6"/>
  <c r="CI469" i="6"/>
  <c r="CW469" i="6"/>
  <c r="CM470" i="6"/>
  <c r="CC470" i="6"/>
  <c r="CQ470" i="6"/>
  <c r="AD470" i="6"/>
  <c r="BY470" i="6"/>
  <c r="BX470" i="6"/>
  <c r="AC470" i="6"/>
  <c r="CP470" i="6"/>
  <c r="CB470" i="6"/>
  <c r="CL470" i="6"/>
  <c r="AE471" i="6"/>
  <c r="CN471" i="6"/>
  <c r="BZ471" i="6"/>
  <c r="CD471" i="6"/>
  <c r="CR471" i="6"/>
  <c r="BO469" i="6"/>
  <c r="BA469" i="6"/>
  <c r="BP469" i="6"/>
  <c r="BG469" i="6"/>
  <c r="BQ470" i="6"/>
  <c r="BM470" i="6"/>
  <c r="AA472" i="6"/>
  <c r="AN472" i="6" s="1"/>
  <c r="Q472" i="6"/>
  <c r="Z471" i="6"/>
  <c r="AM471" i="6" s="1"/>
  <c r="P471" i="6"/>
  <c r="O471" i="6"/>
  <c r="Y471" i="6"/>
  <c r="AL471" i="6" s="1"/>
  <c r="BL472" i="6" l="1"/>
  <c r="AZ471" i="6"/>
  <c r="BF471" i="6"/>
  <c r="CW470" i="6"/>
  <c r="CJ471" i="6"/>
  <c r="CH470" i="6"/>
  <c r="CX471" i="6"/>
  <c r="CI470" i="6"/>
  <c r="CV470" i="6"/>
  <c r="AE472" i="6"/>
  <c r="CN472" i="6"/>
  <c r="CX472" i="6" s="1"/>
  <c r="BZ472" i="6"/>
  <c r="CJ472" i="6" s="1"/>
  <c r="CR472" i="6"/>
  <c r="CD472" i="6"/>
  <c r="BM471" i="6"/>
  <c r="BQ471" i="6"/>
  <c r="BA470" i="6"/>
  <c r="BO470" i="6"/>
  <c r="BP470" i="6"/>
  <c r="BG470" i="6"/>
  <c r="CL471" i="6"/>
  <c r="CP471" i="6"/>
  <c r="CB471" i="6"/>
  <c r="BX471" i="6"/>
  <c r="AC471" i="6"/>
  <c r="CC471" i="6"/>
  <c r="AD471" i="6"/>
  <c r="CQ471" i="6"/>
  <c r="CM471" i="6"/>
  <c r="BY471" i="6"/>
  <c r="P472" i="6"/>
  <c r="Z472" i="6"/>
  <c r="AM472" i="6" s="1"/>
  <c r="AA473" i="6"/>
  <c r="AN473" i="6" s="1"/>
  <c r="Q473" i="6"/>
  <c r="Y472" i="6"/>
  <c r="AL472" i="6" s="1"/>
  <c r="O472" i="6"/>
  <c r="BL473" i="6" l="1"/>
  <c r="AZ472" i="6"/>
  <c r="BF472" i="6"/>
  <c r="CI471" i="6"/>
  <c r="CH471" i="6"/>
  <c r="CW471" i="6"/>
  <c r="CV471" i="6"/>
  <c r="BG471" i="6"/>
  <c r="BP471" i="6"/>
  <c r="CC472" i="6"/>
  <c r="BY472" i="6"/>
  <c r="CI472" i="6" s="1"/>
  <c r="CM472" i="6"/>
  <c r="CW472" i="6" s="1"/>
  <c r="AD472" i="6"/>
  <c r="CQ472" i="6"/>
  <c r="CL472" i="6"/>
  <c r="CV472" i="6" s="1"/>
  <c r="CB472" i="6"/>
  <c r="CP472" i="6"/>
  <c r="BX472" i="6"/>
  <c r="CH472" i="6" s="1"/>
  <c r="AC472" i="6"/>
  <c r="AE473" i="6"/>
  <c r="CR473" i="6"/>
  <c r="CN473" i="6"/>
  <c r="BZ473" i="6"/>
  <c r="CD473" i="6"/>
  <c r="BO471" i="6"/>
  <c r="BA471" i="6"/>
  <c r="BQ472" i="6"/>
  <c r="BM472" i="6"/>
  <c r="Q474" i="6"/>
  <c r="AA474" i="6"/>
  <c r="AN474" i="6" s="1"/>
  <c r="P473" i="6"/>
  <c r="Z473" i="6"/>
  <c r="AM473" i="6" s="1"/>
  <c r="Y473" i="6"/>
  <c r="AL473" i="6" s="1"/>
  <c r="O473" i="6"/>
  <c r="AZ473" i="6" l="1"/>
  <c r="BF473" i="6"/>
  <c r="BL474" i="6"/>
  <c r="CQ473" i="6"/>
  <c r="AD473" i="6"/>
  <c r="CC473" i="6"/>
  <c r="BY473" i="6"/>
  <c r="CM473" i="6"/>
  <c r="BO472" i="6"/>
  <c r="BA472" i="6"/>
  <c r="BG472" i="6"/>
  <c r="BP472" i="6"/>
  <c r="CP473" i="6"/>
  <c r="BX473" i="6"/>
  <c r="CL473" i="6"/>
  <c r="CB473" i="6"/>
  <c r="AC473" i="6"/>
  <c r="CN474" i="6"/>
  <c r="BZ474" i="6"/>
  <c r="AE474" i="6"/>
  <c r="CD474" i="6"/>
  <c r="CR474" i="6"/>
  <c r="BQ473" i="6"/>
  <c r="BM473" i="6"/>
  <c r="CJ473" i="6"/>
  <c r="CX473" i="6"/>
  <c r="Z474" i="6"/>
  <c r="AM474" i="6" s="1"/>
  <c r="P474" i="6"/>
  <c r="Y474" i="6"/>
  <c r="AL474" i="6" s="1"/>
  <c r="O474" i="6"/>
  <c r="Q475" i="6"/>
  <c r="AA475" i="6"/>
  <c r="AN475" i="6" s="1"/>
  <c r="BF474" i="6" l="1"/>
  <c r="AZ474" i="6"/>
  <c r="BL475" i="6"/>
  <c r="CW473" i="6"/>
  <c r="CJ474" i="6"/>
  <c r="CH473" i="6"/>
  <c r="CI473" i="6"/>
  <c r="BO473" i="6"/>
  <c r="BA473" i="6"/>
  <c r="CP474" i="6"/>
  <c r="AC474" i="6"/>
  <c r="CL474" i="6"/>
  <c r="BX474" i="6"/>
  <c r="CB474" i="6"/>
  <c r="BQ474" i="6"/>
  <c r="BM474" i="6"/>
  <c r="BG473" i="6"/>
  <c r="BP473" i="6"/>
  <c r="CR475" i="6"/>
  <c r="CN475" i="6"/>
  <c r="BZ475" i="6"/>
  <c r="AE475" i="6"/>
  <c r="CD475" i="6"/>
  <c r="CC474" i="6"/>
  <c r="CM474" i="6"/>
  <c r="CQ474" i="6"/>
  <c r="BY474" i="6"/>
  <c r="AD474" i="6"/>
  <c r="CX474" i="6"/>
  <c r="CV473" i="6"/>
  <c r="Z475" i="6"/>
  <c r="AM475" i="6" s="1"/>
  <c r="P475" i="6"/>
  <c r="Y475" i="6"/>
  <c r="AL475" i="6" s="1"/>
  <c r="O475" i="6"/>
  <c r="Q476" i="6"/>
  <c r="AA476" i="6"/>
  <c r="AN476" i="6" s="1"/>
  <c r="BL476" i="6" l="1"/>
  <c r="AZ475" i="6"/>
  <c r="BF475" i="6"/>
  <c r="CH474" i="6"/>
  <c r="CP475" i="6"/>
  <c r="BX475" i="6"/>
  <c r="CB475" i="6"/>
  <c r="AC475" i="6"/>
  <c r="CL475" i="6"/>
  <c r="CI474" i="6"/>
  <c r="CX475" i="6"/>
  <c r="CV474" i="6"/>
  <c r="BQ475" i="6"/>
  <c r="BM475" i="6"/>
  <c r="BO474" i="6"/>
  <c r="BA474" i="6"/>
  <c r="CQ475" i="6"/>
  <c r="CM475" i="6"/>
  <c r="BY475" i="6"/>
  <c r="AD475" i="6"/>
  <c r="CC475" i="6"/>
  <c r="BP474" i="6"/>
  <c r="BG474" i="6"/>
  <c r="CW474" i="6"/>
  <c r="CN476" i="6"/>
  <c r="CX476" i="6" s="1"/>
  <c r="BZ476" i="6"/>
  <c r="CJ476" i="6" s="1"/>
  <c r="CD476" i="6"/>
  <c r="AE476" i="6"/>
  <c r="CR476" i="6"/>
  <c r="CJ475" i="6"/>
  <c r="Y476" i="6"/>
  <c r="AL476" i="6" s="1"/>
  <c r="O476" i="6"/>
  <c r="Q477" i="6"/>
  <c r="AA477" i="6"/>
  <c r="AN477" i="6" s="1"/>
  <c r="Z476" i="6"/>
  <c r="AM476" i="6" s="1"/>
  <c r="P476" i="6"/>
  <c r="AZ476" i="6" l="1"/>
  <c r="BL477" i="6"/>
  <c r="BF476" i="6"/>
  <c r="CW475" i="6"/>
  <c r="CV475" i="6"/>
  <c r="CI475" i="6"/>
  <c r="CM476" i="6"/>
  <c r="CW476" i="6" s="1"/>
  <c r="CC476" i="6"/>
  <c r="CQ476" i="6"/>
  <c r="AD476" i="6"/>
  <c r="BY476" i="6"/>
  <c r="CI476" i="6" s="1"/>
  <c r="CR477" i="6"/>
  <c r="CN477" i="6"/>
  <c r="CX477" i="6" s="1"/>
  <c r="AE477" i="6"/>
  <c r="BZ477" i="6"/>
  <c r="CJ477" i="6" s="1"/>
  <c r="CD477" i="6"/>
  <c r="BP475" i="6"/>
  <c r="BG475" i="6"/>
  <c r="CB476" i="6"/>
  <c r="BX476" i="6"/>
  <c r="CH476" i="6" s="1"/>
  <c r="CL476" i="6"/>
  <c r="CV476" i="6" s="1"/>
  <c r="AC476" i="6"/>
  <c r="CP476" i="6"/>
  <c r="BO475" i="6"/>
  <c r="BA475" i="6"/>
  <c r="CH475" i="6"/>
  <c r="BQ476" i="6"/>
  <c r="BM476" i="6"/>
  <c r="Q478" i="6"/>
  <c r="AA478" i="6"/>
  <c r="AN478" i="6" s="1"/>
  <c r="O477" i="6"/>
  <c r="Y477" i="6"/>
  <c r="AL477" i="6" s="1"/>
  <c r="Z477" i="6"/>
  <c r="AM477" i="6" s="1"/>
  <c r="P477" i="6"/>
  <c r="BL478" i="6" l="1"/>
  <c r="AZ477" i="6"/>
  <c r="BF477" i="6"/>
  <c r="BO476" i="6"/>
  <c r="BA476" i="6"/>
  <c r="CP477" i="6"/>
  <c r="BX477" i="6"/>
  <c r="CH477" i="6" s="1"/>
  <c r="CL477" i="6"/>
  <c r="CV477" i="6" s="1"/>
  <c r="CB477" i="6"/>
  <c r="AC477" i="6"/>
  <c r="BP476" i="6"/>
  <c r="BG476" i="6"/>
  <c r="AD477" i="6"/>
  <c r="CM477" i="6"/>
  <c r="CW477" i="6" s="1"/>
  <c r="BY477" i="6"/>
  <c r="CI477" i="6" s="1"/>
  <c r="CC477" i="6"/>
  <c r="CQ477" i="6"/>
  <c r="BQ477" i="6"/>
  <c r="BM477" i="6"/>
  <c r="BZ478" i="6"/>
  <c r="CJ478" i="6" s="1"/>
  <c r="CN478" i="6"/>
  <c r="CX478" i="6" s="1"/>
  <c r="CR478" i="6"/>
  <c r="CD478" i="6"/>
  <c r="AE478" i="6"/>
  <c r="Y478" i="6"/>
  <c r="AL478" i="6" s="1"/>
  <c r="O478" i="6"/>
  <c r="Z478" i="6"/>
  <c r="AM478" i="6" s="1"/>
  <c r="P478" i="6"/>
  <c r="AA479" i="6"/>
  <c r="AN479" i="6" s="1"/>
  <c r="Q479" i="6"/>
  <c r="BL479" i="6" l="1"/>
  <c r="BF478" i="6"/>
  <c r="AZ478" i="6"/>
  <c r="CR479" i="6"/>
  <c r="BZ479" i="6"/>
  <c r="AE479" i="6"/>
  <c r="CD479" i="6"/>
  <c r="CN479" i="6"/>
  <c r="CM478" i="6"/>
  <c r="CW478" i="6" s="1"/>
  <c r="BO477" i="6"/>
  <c r="BA477" i="6"/>
  <c r="CQ478" i="6"/>
  <c r="AD478" i="6"/>
  <c r="BY478" i="6"/>
  <c r="CI478" i="6" s="1"/>
  <c r="CC478" i="6"/>
  <c r="CL478" i="6"/>
  <c r="CV478" i="6" s="1"/>
  <c r="CP478" i="6"/>
  <c r="CB478" i="6"/>
  <c r="AC478" i="6"/>
  <c r="BX478" i="6"/>
  <c r="CH478" i="6" s="1"/>
  <c r="BP477" i="6"/>
  <c r="BG477" i="6"/>
  <c r="BQ478" i="6"/>
  <c r="BM478" i="6"/>
  <c r="Q480" i="6"/>
  <c r="AA480" i="6"/>
  <c r="AN480" i="6" s="1"/>
  <c r="Y479" i="6"/>
  <c r="AL479" i="6" s="1"/>
  <c r="O479" i="6"/>
  <c r="P479" i="6"/>
  <c r="Z479" i="6"/>
  <c r="AM479" i="6" s="1"/>
  <c r="AZ479" i="6" l="1"/>
  <c r="BL480" i="6"/>
  <c r="BF479" i="6"/>
  <c r="BX479" i="6"/>
  <c r="CB479" i="6"/>
  <c r="CL479" i="6"/>
  <c r="AC479" i="6"/>
  <c r="CP479" i="6"/>
  <c r="CM479" i="6"/>
  <c r="BY479" i="6"/>
  <c r="CQ479" i="6"/>
  <c r="CC479" i="6"/>
  <c r="AD479" i="6"/>
  <c r="CJ479" i="6"/>
  <c r="CR480" i="6"/>
  <c r="CN480" i="6"/>
  <c r="BZ480" i="6"/>
  <c r="CD480" i="6"/>
  <c r="AE480" i="6"/>
  <c r="BA478" i="6"/>
  <c r="BO478" i="6"/>
  <c r="BG478" i="6"/>
  <c r="BP478" i="6"/>
  <c r="CX479" i="6"/>
  <c r="BM479" i="6"/>
  <c r="BQ479" i="6"/>
  <c r="O480" i="6"/>
  <c r="Y480" i="6"/>
  <c r="AL480" i="6" s="1"/>
  <c r="Z480" i="6"/>
  <c r="AM480" i="6" s="1"/>
  <c r="P480" i="6"/>
  <c r="AA481" i="6"/>
  <c r="AN481" i="6" s="1"/>
  <c r="Q481" i="6"/>
  <c r="BL481" i="6" l="1"/>
  <c r="BF480" i="6"/>
  <c r="AZ480" i="6"/>
  <c r="AD480" i="6"/>
  <c r="BY480" i="6"/>
  <c r="CM480" i="6"/>
  <c r="CC480" i="6"/>
  <c r="CQ480" i="6"/>
  <c r="CJ480" i="6"/>
  <c r="CI479" i="6"/>
  <c r="CV479" i="6"/>
  <c r="CD481" i="6"/>
  <c r="AE481" i="6"/>
  <c r="BZ481" i="6"/>
  <c r="CN481" i="6"/>
  <c r="CR481" i="6"/>
  <c r="BX480" i="6"/>
  <c r="CL480" i="6"/>
  <c r="AC480" i="6"/>
  <c r="CP480" i="6"/>
  <c r="CB480" i="6"/>
  <c r="CX480" i="6"/>
  <c r="CW479" i="6"/>
  <c r="BO479" i="6"/>
  <c r="BA479" i="6"/>
  <c r="BQ480" i="6"/>
  <c r="BM480" i="6"/>
  <c r="BP479" i="6"/>
  <c r="BG479" i="6"/>
  <c r="CH479" i="6"/>
  <c r="Z481" i="6"/>
  <c r="AM481" i="6" s="1"/>
  <c r="P481" i="6"/>
  <c r="O481" i="6"/>
  <c r="Y481" i="6"/>
  <c r="AL481" i="6" s="1"/>
  <c r="Q482" i="6"/>
  <c r="AA482" i="6"/>
  <c r="AN482" i="6" s="1"/>
  <c r="AZ481" i="6" l="1"/>
  <c r="BL482" i="6"/>
  <c r="BF481" i="6"/>
  <c r="CX481" i="6"/>
  <c r="CH480" i="6"/>
  <c r="BQ481" i="6"/>
  <c r="BM481" i="6"/>
  <c r="CR482" i="6"/>
  <c r="BZ482" i="6"/>
  <c r="CJ482" i="6" s="1"/>
  <c r="CN482" i="6"/>
  <c r="CX482" i="6" s="1"/>
  <c r="CD482" i="6"/>
  <c r="AE482" i="6"/>
  <c r="CW480" i="6"/>
  <c r="BP480" i="6"/>
  <c r="BG480" i="6"/>
  <c r="CI480" i="6"/>
  <c r="CL481" i="6"/>
  <c r="BX481" i="6"/>
  <c r="AC481" i="6"/>
  <c r="CB481" i="6"/>
  <c r="CP481" i="6"/>
  <c r="CQ481" i="6"/>
  <c r="CM481" i="6"/>
  <c r="AD481" i="6"/>
  <c r="CC481" i="6"/>
  <c r="BY481" i="6"/>
  <c r="BO480" i="6"/>
  <c r="BA480" i="6"/>
  <c r="CV480" i="6"/>
  <c r="CJ481" i="6"/>
  <c r="P482" i="6"/>
  <c r="Z482" i="6"/>
  <c r="AM482" i="6" s="1"/>
  <c r="Q483" i="6"/>
  <c r="AA483" i="6"/>
  <c r="AN483" i="6" s="1"/>
  <c r="O482" i="6"/>
  <c r="Y482" i="6"/>
  <c r="AL482" i="6" s="1"/>
  <c r="BL483" i="6" l="1"/>
  <c r="BF482" i="6"/>
  <c r="AZ482" i="6"/>
  <c r="CI481" i="6"/>
  <c r="CH481" i="6"/>
  <c r="CP482" i="6"/>
  <c r="CB482" i="6"/>
  <c r="AC482" i="6"/>
  <c r="CL482" i="6"/>
  <c r="CV482" i="6" s="1"/>
  <c r="BX482" i="6"/>
  <c r="CH482" i="6" s="1"/>
  <c r="CD483" i="6"/>
  <c r="CR483" i="6"/>
  <c r="AE483" i="6"/>
  <c r="BZ483" i="6"/>
  <c r="CJ483" i="6" s="1"/>
  <c r="CN483" i="6"/>
  <c r="CX483" i="6" s="1"/>
  <c r="CV481" i="6"/>
  <c r="BO481" i="6"/>
  <c r="BA481" i="6"/>
  <c r="CM482" i="6"/>
  <c r="CW482" i="6" s="1"/>
  <c r="CC482" i="6"/>
  <c r="CQ482" i="6"/>
  <c r="BY482" i="6"/>
  <c r="CI482" i="6" s="1"/>
  <c r="AD482" i="6"/>
  <c r="BG481" i="6"/>
  <c r="BP481" i="6"/>
  <c r="CW481" i="6"/>
  <c r="BM482" i="6"/>
  <c r="BQ482" i="6"/>
  <c r="Y483" i="6"/>
  <c r="AL483" i="6" s="1"/>
  <c r="O483" i="6"/>
  <c r="Z483" i="6"/>
  <c r="AM483" i="6" s="1"/>
  <c r="P483" i="6"/>
  <c r="Q484" i="6"/>
  <c r="AA484" i="6"/>
  <c r="AN484" i="6" s="1"/>
  <c r="BL484" i="6" l="1"/>
  <c r="BF483" i="6"/>
  <c r="AZ483" i="6"/>
  <c r="BZ484" i="6"/>
  <c r="CJ484" i="6" s="1"/>
  <c r="CN484" i="6"/>
  <c r="CX484" i="6" s="1"/>
  <c r="AE484" i="6"/>
  <c r="CR484" i="6"/>
  <c r="CD484" i="6"/>
  <c r="BP482" i="6"/>
  <c r="BG482" i="6"/>
  <c r="BQ483" i="6"/>
  <c r="BM483" i="6"/>
  <c r="CM483" i="6"/>
  <c r="CW483" i="6" s="1"/>
  <c r="CC483" i="6"/>
  <c r="CQ483" i="6"/>
  <c r="BY483" i="6"/>
  <c r="CI483" i="6" s="1"/>
  <c r="AD483" i="6"/>
  <c r="BO482" i="6"/>
  <c r="BA482" i="6"/>
  <c r="CL483" i="6"/>
  <c r="CV483" i="6" s="1"/>
  <c r="BX483" i="6"/>
  <c r="CH483" i="6" s="1"/>
  <c r="AC483" i="6"/>
  <c r="CB483" i="6"/>
  <c r="CP483" i="6"/>
  <c r="P484" i="6"/>
  <c r="Z484" i="6"/>
  <c r="AM484" i="6" s="1"/>
  <c r="Q485" i="6"/>
  <c r="AA485" i="6"/>
  <c r="AN485" i="6" s="1"/>
  <c r="Y484" i="6"/>
  <c r="AL484" i="6" s="1"/>
  <c r="O484" i="6"/>
  <c r="BF484" i="6" l="1"/>
  <c r="AZ484" i="6"/>
  <c r="BL485" i="6"/>
  <c r="AD484" i="6"/>
  <c r="CM484" i="6"/>
  <c r="CW484" i="6" s="1"/>
  <c r="CC484" i="6"/>
  <c r="CQ484" i="6"/>
  <c r="BY484" i="6"/>
  <c r="CI484" i="6" s="1"/>
  <c r="BO483" i="6"/>
  <c r="BA483" i="6"/>
  <c r="BZ485" i="6"/>
  <c r="CJ485" i="6" s="1"/>
  <c r="CN485" i="6"/>
  <c r="CX485" i="6" s="1"/>
  <c r="AE485" i="6"/>
  <c r="CR485" i="6"/>
  <c r="CD485" i="6"/>
  <c r="BP483" i="6"/>
  <c r="BG483" i="6"/>
  <c r="BX484" i="6"/>
  <c r="CH484" i="6" s="1"/>
  <c r="CP484" i="6"/>
  <c r="CB484" i="6"/>
  <c r="AC484" i="6"/>
  <c r="CL484" i="6"/>
  <c r="CV484" i="6" s="1"/>
  <c r="BQ484" i="6"/>
  <c r="BM484" i="6"/>
  <c r="AA486" i="6"/>
  <c r="AN486" i="6" s="1"/>
  <c r="Q486" i="6"/>
  <c r="P485" i="6"/>
  <c r="Z485" i="6"/>
  <c r="AM485" i="6" s="1"/>
  <c r="O485" i="6"/>
  <c r="Y485" i="6"/>
  <c r="AL485" i="6" s="1"/>
  <c r="BL486" i="6" l="1"/>
  <c r="AZ485" i="6"/>
  <c r="BF485" i="6"/>
  <c r="BY485" i="6"/>
  <c r="CI485" i="6" s="1"/>
  <c r="CC485" i="6"/>
  <c r="CQ485" i="6"/>
  <c r="CM485" i="6"/>
  <c r="CW485" i="6" s="1"/>
  <c r="AD485" i="6"/>
  <c r="BO484" i="6"/>
  <c r="BA484" i="6"/>
  <c r="BZ486" i="6"/>
  <c r="CJ486" i="6" s="1"/>
  <c r="AE486" i="6"/>
  <c r="CR486" i="6"/>
  <c r="CD486" i="6"/>
  <c r="CN486" i="6"/>
  <c r="CX486" i="6" s="1"/>
  <c r="CP485" i="6"/>
  <c r="AC485" i="6"/>
  <c r="BX485" i="6"/>
  <c r="CH485" i="6" s="1"/>
  <c r="CL485" i="6"/>
  <c r="CV485" i="6" s="1"/>
  <c r="CB485" i="6"/>
  <c r="BM485" i="6"/>
  <c r="BQ485" i="6"/>
  <c r="BG484" i="6"/>
  <c r="BP484" i="6"/>
  <c r="Y486" i="6"/>
  <c r="AL486" i="6" s="1"/>
  <c r="O486" i="6"/>
  <c r="Q487" i="6"/>
  <c r="AA487" i="6"/>
  <c r="AN487" i="6" s="1"/>
  <c r="Z486" i="6"/>
  <c r="AM486" i="6" s="1"/>
  <c r="P486" i="6"/>
  <c r="BF486" i="6" l="1"/>
  <c r="AZ486" i="6"/>
  <c r="BL487" i="6"/>
  <c r="CQ486" i="6"/>
  <c r="CM486" i="6"/>
  <c r="CW486" i="6" s="1"/>
  <c r="AD486" i="6"/>
  <c r="BY486" i="6"/>
  <c r="CI486" i="6" s="1"/>
  <c r="CC486" i="6"/>
  <c r="BO485" i="6"/>
  <c r="BA485" i="6"/>
  <c r="CL486" i="6"/>
  <c r="CV486" i="6" s="1"/>
  <c r="CP486" i="6"/>
  <c r="CB486" i="6"/>
  <c r="AC486" i="6"/>
  <c r="BX486" i="6"/>
  <c r="CH486" i="6" s="1"/>
  <c r="BM486" i="6"/>
  <c r="BQ486" i="6"/>
  <c r="BG485" i="6"/>
  <c r="BP485" i="6"/>
  <c r="AE487" i="6"/>
  <c r="CN487" i="6"/>
  <c r="CX487" i="6" s="1"/>
  <c r="BZ487" i="6"/>
  <c r="CJ487" i="6" s="1"/>
  <c r="CR487" i="6"/>
  <c r="CD487" i="6"/>
  <c r="Z487" i="6"/>
  <c r="AM487" i="6" s="1"/>
  <c r="P487" i="6"/>
  <c r="AA488" i="6"/>
  <c r="AN488" i="6" s="1"/>
  <c r="Q488" i="6"/>
  <c r="O487" i="6"/>
  <c r="Y487" i="6"/>
  <c r="AL487" i="6" s="1"/>
  <c r="AZ487" i="6" l="1"/>
  <c r="BL488" i="6"/>
  <c r="BF487" i="6"/>
  <c r="CL487" i="6"/>
  <c r="CV487" i="6" s="1"/>
  <c r="AC487" i="6"/>
  <c r="CP487" i="6"/>
  <c r="CB487" i="6"/>
  <c r="BX487" i="6"/>
  <c r="CH487" i="6" s="1"/>
  <c r="CC487" i="6"/>
  <c r="CQ487" i="6"/>
  <c r="CM487" i="6"/>
  <c r="CW487" i="6" s="1"/>
  <c r="BY487" i="6"/>
  <c r="CI487" i="6" s="1"/>
  <c r="AD487" i="6"/>
  <c r="BP486" i="6"/>
  <c r="BG486" i="6"/>
  <c r="BM487" i="6"/>
  <c r="BQ487" i="6"/>
  <c r="AE488" i="6"/>
  <c r="CD488" i="6"/>
  <c r="CR488" i="6"/>
  <c r="BZ488" i="6"/>
  <c r="CJ488" i="6" s="1"/>
  <c r="CN488" i="6"/>
  <c r="CX488" i="6" s="1"/>
  <c r="BO486" i="6"/>
  <c r="BA486" i="6"/>
  <c r="Z488" i="6"/>
  <c r="AM488" i="6" s="1"/>
  <c r="P488" i="6"/>
  <c r="AA489" i="6"/>
  <c r="AN489" i="6" s="1"/>
  <c r="Q489" i="6"/>
  <c r="Y488" i="6"/>
  <c r="AL488" i="6" s="1"/>
  <c r="O488" i="6"/>
  <c r="AZ488" i="6" l="1"/>
  <c r="BF488" i="6"/>
  <c r="BL489" i="6"/>
  <c r="CP488" i="6"/>
  <c r="BX488" i="6"/>
  <c r="CH488" i="6" s="1"/>
  <c r="CL488" i="6"/>
  <c r="CV488" i="6" s="1"/>
  <c r="CB488" i="6"/>
  <c r="AC488" i="6"/>
  <c r="BQ488" i="6"/>
  <c r="BM488" i="6"/>
  <c r="BP487" i="6"/>
  <c r="BG487" i="6"/>
  <c r="BA487" i="6"/>
  <c r="BO487" i="6"/>
  <c r="CD489" i="6"/>
  <c r="BZ489" i="6"/>
  <c r="CJ489" i="6" s="1"/>
  <c r="CN489" i="6"/>
  <c r="CX489" i="6" s="1"/>
  <c r="AE489" i="6"/>
  <c r="CR489" i="6"/>
  <c r="BY488" i="6"/>
  <c r="CI488" i="6" s="1"/>
  <c r="CC488" i="6"/>
  <c r="CQ488" i="6"/>
  <c r="CM488" i="6"/>
  <c r="CW488" i="6" s="1"/>
  <c r="AD488" i="6"/>
  <c r="O489" i="6"/>
  <c r="Y489" i="6"/>
  <c r="AL489" i="6" s="1"/>
  <c r="AA490" i="6"/>
  <c r="AN490" i="6" s="1"/>
  <c r="Q490" i="6"/>
  <c r="Z489" i="6"/>
  <c r="AM489" i="6" s="1"/>
  <c r="P489" i="6"/>
  <c r="BF489" i="6" l="1"/>
  <c r="AZ489" i="6"/>
  <c r="BL490" i="6"/>
  <c r="BY489" i="6"/>
  <c r="CI489" i="6" s="1"/>
  <c r="AD489" i="6"/>
  <c r="CM489" i="6"/>
  <c r="CW489" i="6" s="1"/>
  <c r="CC489" i="6"/>
  <c r="CQ489" i="6"/>
  <c r="BP488" i="6"/>
  <c r="BG488" i="6"/>
  <c r="BZ490" i="6"/>
  <c r="CJ490" i="6" s="1"/>
  <c r="CR490" i="6"/>
  <c r="CD490" i="6"/>
  <c r="AE490" i="6"/>
  <c r="CN490" i="6"/>
  <c r="CX490" i="6" s="1"/>
  <c r="CL489" i="6"/>
  <c r="CV489" i="6" s="1"/>
  <c r="BX489" i="6"/>
  <c r="CH489" i="6" s="1"/>
  <c r="AC489" i="6"/>
  <c r="CB489" i="6"/>
  <c r="CP489" i="6"/>
  <c r="BQ489" i="6"/>
  <c r="BM489" i="6"/>
  <c r="BO488" i="6"/>
  <c r="BA488" i="6"/>
  <c r="P490" i="6"/>
  <c r="Z490" i="6"/>
  <c r="AM490" i="6" s="1"/>
  <c r="Y490" i="6"/>
  <c r="AL490" i="6" s="1"/>
  <c r="O490" i="6"/>
  <c r="Q491" i="6"/>
  <c r="AA491" i="6"/>
  <c r="AN491" i="6" s="1"/>
  <c r="BL491" i="6" l="1"/>
  <c r="AZ490" i="6"/>
  <c r="BF490" i="6"/>
  <c r="BA489" i="6"/>
  <c r="BO489" i="6"/>
  <c r="AC490" i="6"/>
  <c r="CB490" i="6"/>
  <c r="CP490" i="6"/>
  <c r="BX490" i="6"/>
  <c r="CH490" i="6" s="1"/>
  <c r="CL490" i="6"/>
  <c r="CV490" i="6" s="1"/>
  <c r="CM490" i="6"/>
  <c r="CW490" i="6" s="1"/>
  <c r="CC490" i="6"/>
  <c r="AD490" i="6"/>
  <c r="CQ490" i="6"/>
  <c r="BY490" i="6"/>
  <c r="CI490" i="6" s="1"/>
  <c r="AE491" i="6"/>
  <c r="CR491" i="6"/>
  <c r="CD491" i="6"/>
  <c r="CN491" i="6"/>
  <c r="CX491" i="6" s="1"/>
  <c r="BZ491" i="6"/>
  <c r="CJ491" i="6" s="1"/>
  <c r="BP489" i="6"/>
  <c r="BG489" i="6"/>
  <c r="BQ490" i="6"/>
  <c r="BM490" i="6"/>
  <c r="Z491" i="6"/>
  <c r="AM491" i="6" s="1"/>
  <c r="P491" i="6"/>
  <c r="AA492" i="6"/>
  <c r="AN492" i="6" s="1"/>
  <c r="Q492" i="6"/>
  <c r="Y491" i="6"/>
  <c r="AL491" i="6" s="1"/>
  <c r="O491" i="6"/>
  <c r="AZ491" i="6" l="1"/>
  <c r="BF491" i="6"/>
  <c r="BL492" i="6"/>
  <c r="CL491" i="6"/>
  <c r="CV491" i="6" s="1"/>
  <c r="CB491" i="6"/>
  <c r="AC491" i="6"/>
  <c r="CP491" i="6"/>
  <c r="BX491" i="6"/>
  <c r="CH491" i="6" s="1"/>
  <c r="BP490" i="6"/>
  <c r="BG490" i="6"/>
  <c r="BQ491" i="6"/>
  <c r="BM491" i="6"/>
  <c r="BO490" i="6"/>
  <c r="BA490" i="6"/>
  <c r="CR492" i="6"/>
  <c r="AE492" i="6"/>
  <c r="CN492" i="6"/>
  <c r="CX492" i="6" s="1"/>
  <c r="BZ492" i="6"/>
  <c r="CJ492" i="6" s="1"/>
  <c r="CD492" i="6"/>
  <c r="CC491" i="6"/>
  <c r="CM491" i="6"/>
  <c r="CW491" i="6" s="1"/>
  <c r="BY491" i="6"/>
  <c r="CI491" i="6" s="1"/>
  <c r="CQ491" i="6"/>
  <c r="AD491" i="6"/>
  <c r="P492" i="6"/>
  <c r="Z492" i="6"/>
  <c r="AM492" i="6" s="1"/>
  <c r="AA493" i="6"/>
  <c r="AN493" i="6" s="1"/>
  <c r="Q493" i="6"/>
  <c r="O492" i="6"/>
  <c r="Y492" i="6"/>
  <c r="AL492" i="6" s="1"/>
  <c r="BF492" i="6" l="1"/>
  <c r="AZ492" i="6"/>
  <c r="BL493" i="6"/>
  <c r="BX492" i="6"/>
  <c r="CH492" i="6" s="1"/>
  <c r="CL492" i="6"/>
  <c r="CV492" i="6" s="1"/>
  <c r="CP492" i="6"/>
  <c r="CB492" i="6"/>
  <c r="AC492" i="6"/>
  <c r="CC492" i="6"/>
  <c r="CQ492" i="6"/>
  <c r="CM492" i="6"/>
  <c r="CW492" i="6" s="1"/>
  <c r="BY492" i="6"/>
  <c r="CI492" i="6" s="1"/>
  <c r="AD492" i="6"/>
  <c r="BO491" i="6"/>
  <c r="BA491" i="6"/>
  <c r="BP491" i="6"/>
  <c r="BG491" i="6"/>
  <c r="CR493" i="6"/>
  <c r="AE493" i="6"/>
  <c r="CN493" i="6"/>
  <c r="CX493" i="6" s="1"/>
  <c r="BZ493" i="6"/>
  <c r="CJ493" i="6" s="1"/>
  <c r="CD493" i="6"/>
  <c r="BM492" i="6"/>
  <c r="BQ492" i="6"/>
  <c r="P493" i="6"/>
  <c r="Z493" i="6"/>
  <c r="AM493" i="6" s="1"/>
  <c r="Y493" i="6"/>
  <c r="AL493" i="6" s="1"/>
  <c r="O493" i="6"/>
  <c r="AA494" i="6"/>
  <c r="AN494" i="6" s="1"/>
  <c r="Q494" i="6"/>
  <c r="BL494" i="6" l="1"/>
  <c r="AZ493" i="6"/>
  <c r="BF493" i="6"/>
  <c r="CP493" i="6"/>
  <c r="AC493" i="6"/>
  <c r="BX493" i="6"/>
  <c r="CH493" i="6" s="1"/>
  <c r="CL493" i="6"/>
  <c r="CV493" i="6" s="1"/>
  <c r="CB493" i="6"/>
  <c r="BG492" i="6"/>
  <c r="BP492" i="6"/>
  <c r="AE494" i="6"/>
  <c r="CD494" i="6"/>
  <c r="CR494" i="6"/>
  <c r="BZ494" i="6"/>
  <c r="CJ494" i="6" s="1"/>
  <c r="CN494" i="6"/>
  <c r="CX494" i="6" s="1"/>
  <c r="BA492" i="6"/>
  <c r="BO492" i="6"/>
  <c r="CQ493" i="6"/>
  <c r="AD493" i="6"/>
  <c r="BY493" i="6"/>
  <c r="CI493" i="6" s="1"/>
  <c r="CM493" i="6"/>
  <c r="CW493" i="6" s="1"/>
  <c r="CC493" i="6"/>
  <c r="BQ493" i="6"/>
  <c r="BM493" i="6"/>
  <c r="Y494" i="6"/>
  <c r="AL494" i="6" s="1"/>
  <c r="O494" i="6"/>
  <c r="AA495" i="6"/>
  <c r="AN495" i="6" s="1"/>
  <c r="Q495" i="6"/>
  <c r="P494" i="6"/>
  <c r="Z494" i="6"/>
  <c r="AM494" i="6" s="1"/>
  <c r="BL495" i="6" l="1"/>
  <c r="AZ494" i="6"/>
  <c r="BF494" i="6"/>
  <c r="CP494" i="6"/>
  <c r="CB494" i="6"/>
  <c r="BX494" i="6"/>
  <c r="CH494" i="6" s="1"/>
  <c r="AC494" i="6"/>
  <c r="CL494" i="6"/>
  <c r="CV494" i="6" s="1"/>
  <c r="BA493" i="6"/>
  <c r="BO493" i="6"/>
  <c r="BP493" i="6"/>
  <c r="BG493" i="6"/>
  <c r="BQ494" i="6"/>
  <c r="BM494" i="6"/>
  <c r="CM494" i="6"/>
  <c r="CW494" i="6" s="1"/>
  <c r="BY494" i="6"/>
  <c r="CI494" i="6" s="1"/>
  <c r="AD494" i="6"/>
  <c r="CC494" i="6"/>
  <c r="CQ494" i="6"/>
  <c r="CN495" i="6"/>
  <c r="CX495" i="6" s="1"/>
  <c r="BZ495" i="6"/>
  <c r="CJ495" i="6" s="1"/>
  <c r="CD495" i="6"/>
  <c r="CR495" i="6"/>
  <c r="AE495" i="6"/>
  <c r="P495" i="6"/>
  <c r="Z495" i="6"/>
  <c r="AM495" i="6" s="1"/>
  <c r="Y495" i="6"/>
  <c r="AL495" i="6" s="1"/>
  <c r="O495" i="6"/>
  <c r="Q496" i="6"/>
  <c r="AA496" i="6"/>
  <c r="AN496" i="6" s="1"/>
  <c r="AZ495" i="6" l="1"/>
  <c r="BF495" i="6"/>
  <c r="BL496" i="6"/>
  <c r="CP495" i="6"/>
  <c r="CB495" i="6"/>
  <c r="CL495" i="6"/>
  <c r="CV495" i="6" s="1"/>
  <c r="BX495" i="6"/>
  <c r="CH495" i="6" s="1"/>
  <c r="AC495" i="6"/>
  <c r="BO494" i="6"/>
  <c r="BA494" i="6"/>
  <c r="CR496" i="6"/>
  <c r="CD496" i="6"/>
  <c r="BZ496" i="6"/>
  <c r="CJ496" i="6" s="1"/>
  <c r="AE496" i="6"/>
  <c r="CN496" i="6"/>
  <c r="CX496" i="6" s="1"/>
  <c r="BG494" i="6"/>
  <c r="BP494" i="6"/>
  <c r="CQ495" i="6"/>
  <c r="CC495" i="6"/>
  <c r="BY495" i="6"/>
  <c r="CI495" i="6" s="1"/>
  <c r="CM495" i="6"/>
  <c r="CW495" i="6" s="1"/>
  <c r="AD495" i="6"/>
  <c r="BQ495" i="6"/>
  <c r="BM495" i="6"/>
  <c r="Y496" i="6"/>
  <c r="AL496" i="6" s="1"/>
  <c r="O496" i="6"/>
  <c r="Q497" i="6"/>
  <c r="AA497" i="6"/>
  <c r="AN497" i="6" s="1"/>
  <c r="P496" i="6"/>
  <c r="Z496" i="6"/>
  <c r="AM496" i="6" s="1"/>
  <c r="BF496" i="6" l="1"/>
  <c r="BL497" i="6"/>
  <c r="AZ496" i="6"/>
  <c r="CR497" i="6"/>
  <c r="CN497" i="6"/>
  <c r="CX497" i="6" s="1"/>
  <c r="BZ497" i="6"/>
  <c r="CJ497" i="6" s="1"/>
  <c r="AE497" i="6"/>
  <c r="CD497" i="6"/>
  <c r="BQ496" i="6"/>
  <c r="BM496" i="6"/>
  <c r="BP495" i="6"/>
  <c r="BG495" i="6"/>
  <c r="BA495" i="6"/>
  <c r="BO495" i="6"/>
  <c r="CM496" i="6"/>
  <c r="CW496" i="6" s="1"/>
  <c r="BY496" i="6"/>
  <c r="CI496" i="6" s="1"/>
  <c r="AD496" i="6"/>
  <c r="CC496" i="6"/>
  <c r="CQ496" i="6"/>
  <c r="CL496" i="6"/>
  <c r="CV496" i="6" s="1"/>
  <c r="CP496" i="6"/>
  <c r="CB496" i="6"/>
  <c r="AC496" i="6"/>
  <c r="BX496" i="6"/>
  <c r="CH496" i="6" s="1"/>
  <c r="Y497" i="6"/>
  <c r="AL497" i="6" s="1"/>
  <c r="O497" i="6"/>
  <c r="Q293" i="6"/>
  <c r="AA293" i="6"/>
  <c r="AN293" i="6" s="1"/>
  <c r="P497" i="6"/>
  <c r="Z497" i="6"/>
  <c r="AM497" i="6" s="1"/>
  <c r="BF497" i="6" l="1"/>
  <c r="BL293" i="6"/>
  <c r="AZ497" i="6"/>
  <c r="BX497" i="6"/>
  <c r="CH497" i="6" s="1"/>
  <c r="CP497" i="6"/>
  <c r="CB497" i="6"/>
  <c r="AC497" i="6"/>
  <c r="CL497" i="6"/>
  <c r="CV497" i="6" s="1"/>
  <c r="BO496" i="6"/>
  <c r="BA496" i="6"/>
  <c r="CM497" i="6"/>
  <c r="CW497" i="6" s="1"/>
  <c r="BY497" i="6"/>
  <c r="CI497" i="6" s="1"/>
  <c r="AD497" i="6"/>
  <c r="CC497" i="6"/>
  <c r="CQ497" i="6"/>
  <c r="CN293" i="6"/>
  <c r="CX293" i="6" s="1"/>
  <c r="AE293" i="6"/>
  <c r="CD293" i="6"/>
  <c r="CR293" i="6"/>
  <c r="BZ293" i="6"/>
  <c r="CJ293" i="6" s="1"/>
  <c r="BP496" i="6"/>
  <c r="BG496" i="6"/>
  <c r="BM497" i="6"/>
  <c r="BQ497" i="6"/>
  <c r="AA294" i="6"/>
  <c r="AN294" i="6" s="1"/>
  <c r="Q294" i="6"/>
  <c r="BL294" i="6" s="1"/>
  <c r="Y293" i="6"/>
  <c r="AL293" i="6" s="1"/>
  <c r="O293" i="6"/>
  <c r="P293" i="6"/>
  <c r="Z293" i="6"/>
  <c r="AM293" i="6" s="1"/>
  <c r="BF293" i="6" l="1"/>
  <c r="AZ293" i="6"/>
  <c r="CM293" i="6"/>
  <c r="CW293" i="6" s="1"/>
  <c r="CC293" i="6"/>
  <c r="CQ293" i="6"/>
  <c r="AD293" i="6"/>
  <c r="BY293" i="6"/>
  <c r="CI293" i="6" s="1"/>
  <c r="AE294" i="6"/>
  <c r="BZ294" i="6"/>
  <c r="CJ294" i="6" s="1"/>
  <c r="CN294" i="6"/>
  <c r="CX294" i="6" s="1"/>
  <c r="CD294" i="6"/>
  <c r="CR294" i="6"/>
  <c r="BQ293" i="6"/>
  <c r="BM293" i="6"/>
  <c r="BX293" i="6"/>
  <c r="CH293" i="6" s="1"/>
  <c r="CP293" i="6"/>
  <c r="CB293" i="6"/>
  <c r="AC293" i="6"/>
  <c r="CL293" i="6"/>
  <c r="CV293" i="6" s="1"/>
  <c r="BP497" i="6"/>
  <c r="BG497" i="6"/>
  <c r="BO497" i="6"/>
  <c r="BA497" i="6"/>
  <c r="AA295" i="6"/>
  <c r="AN295" i="6" s="1"/>
  <c r="Q295" i="6"/>
  <c r="Z294" i="6"/>
  <c r="AM294" i="6" s="1"/>
  <c r="P294" i="6"/>
  <c r="Y294" i="6"/>
  <c r="AL294" i="6" s="1"/>
  <c r="O294" i="6"/>
  <c r="BF294" i="6" l="1"/>
  <c r="AZ294" i="6"/>
  <c r="BL295" i="6"/>
  <c r="AC294" i="6"/>
  <c r="CL294" i="6"/>
  <c r="CV294" i="6" s="1"/>
  <c r="BX294" i="6"/>
  <c r="CH294" i="6" s="1"/>
  <c r="CP294" i="6"/>
  <c r="CB294" i="6"/>
  <c r="BO293" i="6"/>
  <c r="BA293" i="6"/>
  <c r="BQ294" i="6"/>
  <c r="BM294" i="6"/>
  <c r="BG293" i="6"/>
  <c r="BP293" i="6"/>
  <c r="CD295" i="6"/>
  <c r="AE295" i="6"/>
  <c r="BZ295" i="6"/>
  <c r="CJ295" i="6" s="1"/>
  <c r="CN295" i="6"/>
  <c r="CX295" i="6" s="1"/>
  <c r="CR295" i="6"/>
  <c r="BY294" i="6"/>
  <c r="CI294" i="6" s="1"/>
  <c r="CM294" i="6"/>
  <c r="CW294" i="6" s="1"/>
  <c r="CC294" i="6"/>
  <c r="CQ294" i="6"/>
  <c r="AD294" i="6"/>
  <c r="P295" i="6"/>
  <c r="Z295" i="6"/>
  <c r="AM295" i="6" s="1"/>
  <c r="O295" i="6"/>
  <c r="Y295" i="6"/>
  <c r="AL295" i="6" s="1"/>
  <c r="AA498" i="6"/>
  <c r="AN498" i="6" s="1"/>
  <c r="Q498" i="6"/>
  <c r="BL498" i="6" l="1"/>
  <c r="AZ295" i="6"/>
  <c r="BF295" i="6"/>
  <c r="CL295" i="6"/>
  <c r="CV295" i="6" s="1"/>
  <c r="BX295" i="6"/>
  <c r="CH295" i="6" s="1"/>
  <c r="AC295" i="6"/>
  <c r="CB295" i="6"/>
  <c r="CP295" i="6"/>
  <c r="CM295" i="6"/>
  <c r="CW295" i="6" s="1"/>
  <c r="CQ295" i="6"/>
  <c r="CC295" i="6"/>
  <c r="BY295" i="6"/>
  <c r="CI295" i="6" s="1"/>
  <c r="AD295" i="6"/>
  <c r="BP294" i="6"/>
  <c r="BG294" i="6"/>
  <c r="AE498" i="6"/>
  <c r="BZ498" i="6"/>
  <c r="CJ498" i="6" s="1"/>
  <c r="CN498" i="6"/>
  <c r="CX498" i="6" s="1"/>
  <c r="CD498" i="6"/>
  <c r="CR498" i="6"/>
  <c r="BO294" i="6"/>
  <c r="BA294" i="6"/>
  <c r="BQ295" i="6"/>
  <c r="BM295" i="6"/>
  <c r="Y498" i="6"/>
  <c r="AL498" i="6" s="1"/>
  <c r="O498" i="6"/>
  <c r="P498" i="6"/>
  <c r="Z498" i="6"/>
  <c r="AM498" i="6" s="1"/>
  <c r="AA499" i="6"/>
  <c r="AN499" i="6" s="1"/>
  <c r="Q499" i="6"/>
  <c r="BF498" i="6" l="1"/>
  <c r="AZ498" i="6"/>
  <c r="BL499" i="6"/>
  <c r="BQ498" i="6"/>
  <c r="BM498" i="6"/>
  <c r="BG295" i="6"/>
  <c r="BP295" i="6"/>
  <c r="CM498" i="6"/>
  <c r="CW498" i="6" s="1"/>
  <c r="BY498" i="6"/>
  <c r="CI498" i="6" s="1"/>
  <c r="CQ498" i="6"/>
  <c r="CC498" i="6"/>
  <c r="AD498" i="6"/>
  <c r="CN499" i="6"/>
  <c r="CX499" i="6" s="1"/>
  <c r="BZ499" i="6"/>
  <c r="CJ499" i="6" s="1"/>
  <c r="AE499" i="6"/>
  <c r="CD499" i="6"/>
  <c r="CR499" i="6"/>
  <c r="CB498" i="6"/>
  <c r="CP498" i="6"/>
  <c r="CL498" i="6"/>
  <c r="CV498" i="6" s="1"/>
  <c r="BX498" i="6"/>
  <c r="CH498" i="6" s="1"/>
  <c r="AC498" i="6"/>
  <c r="BO295" i="6"/>
  <c r="BA295" i="6"/>
  <c r="AA500" i="6"/>
  <c r="AN500" i="6" s="1"/>
  <c r="Q500" i="6"/>
  <c r="Z499" i="6"/>
  <c r="AM499" i="6" s="1"/>
  <c r="P499" i="6"/>
  <c r="O499" i="6"/>
  <c r="Y499" i="6"/>
  <c r="AL499" i="6" s="1"/>
  <c r="BL500" i="6" l="1"/>
  <c r="AZ499" i="6"/>
  <c r="BF499" i="6"/>
  <c r="CD500" i="6"/>
  <c r="BZ500" i="6"/>
  <c r="CJ500" i="6" s="1"/>
  <c r="CN500" i="6"/>
  <c r="CX500" i="6" s="1"/>
  <c r="AE500" i="6"/>
  <c r="CR500" i="6"/>
  <c r="BM499" i="6"/>
  <c r="BQ499" i="6"/>
  <c r="CC499" i="6"/>
  <c r="CM499" i="6"/>
  <c r="CW499" i="6" s="1"/>
  <c r="BY499" i="6"/>
  <c r="CI499" i="6" s="1"/>
  <c r="AD499" i="6"/>
  <c r="CQ499" i="6"/>
  <c r="BO498" i="6"/>
  <c r="BA498" i="6"/>
  <c r="BP498" i="6"/>
  <c r="BG498" i="6"/>
  <c r="CB499" i="6"/>
  <c r="BX499" i="6"/>
  <c r="CH499" i="6" s="1"/>
  <c r="CL499" i="6"/>
  <c r="CV499" i="6" s="1"/>
  <c r="AC499" i="6"/>
  <c r="CP499" i="6"/>
  <c r="P500" i="6"/>
  <c r="Z500" i="6"/>
  <c r="AM500" i="6" s="1"/>
  <c r="O500" i="6"/>
  <c r="Y500" i="6"/>
  <c r="AL500" i="6" s="1"/>
  <c r="Q501" i="6"/>
  <c r="AA501" i="6"/>
  <c r="AN501" i="6" s="1"/>
  <c r="BF500" i="6" l="1"/>
  <c r="BL501" i="6"/>
  <c r="AZ500" i="6"/>
  <c r="BO499" i="6"/>
  <c r="BA499" i="6"/>
  <c r="CN501" i="6"/>
  <c r="CX501" i="6" s="1"/>
  <c r="BZ501" i="6"/>
  <c r="CJ501" i="6" s="1"/>
  <c r="AE501" i="6"/>
  <c r="CR501" i="6"/>
  <c r="CD501" i="6"/>
  <c r="AC500" i="6"/>
  <c r="CL500" i="6"/>
  <c r="CV500" i="6" s="1"/>
  <c r="BX500" i="6"/>
  <c r="CH500" i="6" s="1"/>
  <c r="CB500" i="6"/>
  <c r="CP500" i="6"/>
  <c r="CC500" i="6"/>
  <c r="CQ500" i="6"/>
  <c r="CM500" i="6"/>
  <c r="CW500" i="6" s="1"/>
  <c r="BY500" i="6"/>
  <c r="CI500" i="6" s="1"/>
  <c r="AD500" i="6"/>
  <c r="BG499" i="6"/>
  <c r="BP499" i="6"/>
  <c r="BQ500" i="6"/>
  <c r="BM500" i="6"/>
  <c r="AA502" i="6"/>
  <c r="AN502" i="6" s="1"/>
  <c r="Q502" i="6"/>
  <c r="O501" i="6"/>
  <c r="Y501" i="6"/>
  <c r="AL501" i="6" s="1"/>
  <c r="Z501" i="6"/>
  <c r="AM501" i="6" s="1"/>
  <c r="P501" i="6"/>
  <c r="BF501" i="6" l="1"/>
  <c r="AZ501" i="6"/>
  <c r="BL502" i="6"/>
  <c r="BY501" i="6"/>
  <c r="CI501" i="6" s="1"/>
  <c r="CM501" i="6"/>
  <c r="CW501" i="6" s="1"/>
  <c r="AD501" i="6"/>
  <c r="CQ501" i="6"/>
  <c r="CC501" i="6"/>
  <c r="BP500" i="6"/>
  <c r="BG500" i="6"/>
  <c r="CB501" i="6"/>
  <c r="CL501" i="6"/>
  <c r="CV501" i="6" s="1"/>
  <c r="AC501" i="6"/>
  <c r="BX501" i="6"/>
  <c r="CH501" i="6" s="1"/>
  <c r="CP501" i="6"/>
  <c r="AE502" i="6"/>
  <c r="CR502" i="6"/>
  <c r="BZ502" i="6"/>
  <c r="CJ502" i="6" s="1"/>
  <c r="CN502" i="6"/>
  <c r="CX502" i="6" s="1"/>
  <c r="CD502" i="6"/>
  <c r="BA500" i="6"/>
  <c r="BO500" i="6"/>
  <c r="BM501" i="6"/>
  <c r="BQ501" i="6"/>
  <c r="Q503" i="6"/>
  <c r="AA503" i="6"/>
  <c r="AN503" i="6" s="1"/>
  <c r="P502" i="6"/>
  <c r="Z502" i="6"/>
  <c r="AM502" i="6" s="1"/>
  <c r="O502" i="6"/>
  <c r="Y502" i="6"/>
  <c r="AL502" i="6" s="1"/>
  <c r="BL503" i="6" l="1"/>
  <c r="BF502" i="6"/>
  <c r="AZ502" i="6"/>
  <c r="AC502" i="6"/>
  <c r="CP502" i="6"/>
  <c r="CB502" i="6"/>
  <c r="CL502" i="6"/>
  <c r="CV502" i="6" s="1"/>
  <c r="BX502" i="6"/>
  <c r="CH502" i="6" s="1"/>
  <c r="BQ502" i="6"/>
  <c r="BM502" i="6"/>
  <c r="CN503" i="6"/>
  <c r="CX503" i="6" s="1"/>
  <c r="AE503" i="6"/>
  <c r="CD503" i="6"/>
  <c r="CR503" i="6"/>
  <c r="BZ503" i="6"/>
  <c r="CJ503" i="6" s="1"/>
  <c r="BO501" i="6"/>
  <c r="BA501" i="6"/>
  <c r="BY502" i="6"/>
  <c r="CI502" i="6" s="1"/>
  <c r="CM502" i="6"/>
  <c r="CW502" i="6" s="1"/>
  <c r="CC502" i="6"/>
  <c r="CQ502" i="6"/>
  <c r="AD502" i="6"/>
  <c r="BP501" i="6"/>
  <c r="BG501" i="6"/>
  <c r="Z503" i="6"/>
  <c r="AM503" i="6" s="1"/>
  <c r="P503" i="6"/>
  <c r="Y503" i="6"/>
  <c r="AL503" i="6" s="1"/>
  <c r="O503" i="6"/>
  <c r="AA504" i="6"/>
  <c r="AN504" i="6" s="1"/>
  <c r="Q504" i="6"/>
  <c r="AZ503" i="6" l="1"/>
  <c r="BL504" i="6"/>
  <c r="BF503" i="6"/>
  <c r="CB503" i="6"/>
  <c r="BX503" i="6"/>
  <c r="CH503" i="6" s="1"/>
  <c r="AC503" i="6"/>
  <c r="CL503" i="6"/>
  <c r="CV503" i="6" s="1"/>
  <c r="CP503" i="6"/>
  <c r="BO502" i="6"/>
  <c r="BA502" i="6"/>
  <c r="CD504" i="6"/>
  <c r="BZ504" i="6"/>
  <c r="CJ504" i="6" s="1"/>
  <c r="CN504" i="6"/>
  <c r="CX504" i="6" s="1"/>
  <c r="AE504" i="6"/>
  <c r="CR504" i="6"/>
  <c r="CC503" i="6"/>
  <c r="AD503" i="6"/>
  <c r="CQ503" i="6"/>
  <c r="BY503" i="6"/>
  <c r="CI503" i="6" s="1"/>
  <c r="CM503" i="6"/>
  <c r="CW503" i="6" s="1"/>
  <c r="BM503" i="6"/>
  <c r="BQ503" i="6"/>
  <c r="BP502" i="6"/>
  <c r="BG502" i="6"/>
  <c r="Y504" i="6"/>
  <c r="AL504" i="6" s="1"/>
  <c r="O504" i="6"/>
  <c r="P504" i="6"/>
  <c r="Z504" i="6"/>
  <c r="AM504" i="6" s="1"/>
  <c r="Q505" i="6"/>
  <c r="AA505" i="6"/>
  <c r="AN505" i="6" s="1"/>
  <c r="AZ504" i="6" l="1"/>
  <c r="BL505" i="6"/>
  <c r="BF504" i="6"/>
  <c r="BQ504" i="6"/>
  <c r="BM504" i="6"/>
  <c r="BO503" i="6"/>
  <c r="BA503" i="6"/>
  <c r="AE505" i="6"/>
  <c r="CD505" i="6"/>
  <c r="BZ505" i="6"/>
  <c r="CJ505" i="6" s="1"/>
  <c r="CN505" i="6"/>
  <c r="CX505" i="6" s="1"/>
  <c r="CR505" i="6"/>
  <c r="CC504" i="6"/>
  <c r="CQ504" i="6"/>
  <c r="AD504" i="6"/>
  <c r="CM504" i="6"/>
  <c r="CW504" i="6" s="1"/>
  <c r="BY504" i="6"/>
  <c r="CI504" i="6" s="1"/>
  <c r="CP504" i="6"/>
  <c r="AC504" i="6"/>
  <c r="CB504" i="6"/>
  <c r="BX504" i="6"/>
  <c r="CH504" i="6" s="1"/>
  <c r="CL504" i="6"/>
  <c r="CV504" i="6" s="1"/>
  <c r="BG503" i="6"/>
  <c r="BP503" i="6"/>
  <c r="O505" i="6"/>
  <c r="Y505" i="6"/>
  <c r="AL505" i="6" s="1"/>
  <c r="Z505" i="6"/>
  <c r="AM505" i="6" s="1"/>
  <c r="P505" i="6"/>
  <c r="Q506" i="6"/>
  <c r="AA506" i="6"/>
  <c r="AN506" i="6" s="1"/>
  <c r="BF505" i="6" l="1"/>
  <c r="AZ505" i="6"/>
  <c r="BL506" i="6"/>
  <c r="CD506" i="6"/>
  <c r="CR506" i="6"/>
  <c r="AE506" i="6"/>
  <c r="BZ506" i="6"/>
  <c r="CJ506" i="6" s="1"/>
  <c r="CN506" i="6"/>
  <c r="CX506" i="6" s="1"/>
  <c r="AD505" i="6"/>
  <c r="BY505" i="6"/>
  <c r="CI505" i="6" s="1"/>
  <c r="CC505" i="6"/>
  <c r="CQ505" i="6"/>
  <c r="CM505" i="6"/>
  <c r="CW505" i="6" s="1"/>
  <c r="AC505" i="6"/>
  <c r="CP505" i="6"/>
  <c r="CL505" i="6"/>
  <c r="CV505" i="6" s="1"/>
  <c r="BX505" i="6"/>
  <c r="CH505" i="6" s="1"/>
  <c r="CB505" i="6"/>
  <c r="BP504" i="6"/>
  <c r="BG504" i="6"/>
  <c r="BO504" i="6"/>
  <c r="BA504" i="6"/>
  <c r="BQ505" i="6"/>
  <c r="BM505" i="6"/>
  <c r="Q507" i="6"/>
  <c r="AA507" i="6"/>
  <c r="AN507" i="6" s="1"/>
  <c r="Y506" i="6"/>
  <c r="AL506" i="6" s="1"/>
  <c r="O506" i="6"/>
  <c r="P506" i="6"/>
  <c r="Z506" i="6"/>
  <c r="AM506" i="6" s="1"/>
  <c r="BF506" i="6" l="1"/>
  <c r="AZ506" i="6"/>
  <c r="BL507" i="6"/>
  <c r="AC506" i="6"/>
  <c r="BX506" i="6"/>
  <c r="CH506" i="6" s="1"/>
  <c r="CB506" i="6"/>
  <c r="CP506" i="6"/>
  <c r="CL506" i="6"/>
  <c r="CV506" i="6" s="1"/>
  <c r="BZ507" i="6"/>
  <c r="CJ507" i="6" s="1"/>
  <c r="AE507" i="6"/>
  <c r="CD507" i="6"/>
  <c r="CR507" i="6"/>
  <c r="CN507" i="6"/>
  <c r="CX507" i="6" s="1"/>
  <c r="BP505" i="6"/>
  <c r="BG505" i="6"/>
  <c r="BM506" i="6"/>
  <c r="BQ506" i="6"/>
  <c r="BY506" i="6"/>
  <c r="CI506" i="6" s="1"/>
  <c r="CM506" i="6"/>
  <c r="CW506" i="6" s="1"/>
  <c r="AD506" i="6"/>
  <c r="CC506" i="6"/>
  <c r="CQ506" i="6"/>
  <c r="BO505" i="6"/>
  <c r="BA505" i="6"/>
  <c r="O507" i="6"/>
  <c r="Y507" i="6"/>
  <c r="AL507" i="6" s="1"/>
  <c r="AA508" i="6"/>
  <c r="AN508" i="6" s="1"/>
  <c r="P507" i="6"/>
  <c r="Z507" i="6"/>
  <c r="AM507" i="6" s="1"/>
  <c r="BF507" i="6" l="1"/>
  <c r="AZ507" i="6"/>
  <c r="BQ507" i="6"/>
  <c r="BM507" i="6"/>
  <c r="BY507" i="6"/>
  <c r="CI507" i="6" s="1"/>
  <c r="CQ507" i="6"/>
  <c r="CC507" i="6"/>
  <c r="AD507" i="6"/>
  <c r="CM507" i="6"/>
  <c r="CW507" i="6" s="1"/>
  <c r="BX507" i="6"/>
  <c r="CH507" i="6" s="1"/>
  <c r="CB507" i="6"/>
  <c r="CP507" i="6"/>
  <c r="AC507" i="6"/>
  <c r="CL507" i="6"/>
  <c r="CV507" i="6" s="1"/>
  <c r="BG506" i="6"/>
  <c r="BP506" i="6"/>
  <c r="BO506" i="6"/>
  <c r="BA506" i="6"/>
  <c r="AA509" i="6"/>
  <c r="AN509" i="6" s="1"/>
  <c r="Y508" i="6"/>
  <c r="AL508" i="6" s="1"/>
  <c r="Z508" i="6"/>
  <c r="AM508" i="6" s="1"/>
  <c r="BA507" i="6" l="1"/>
  <c r="BO507" i="6"/>
  <c r="BP507" i="6"/>
  <c r="BG507" i="6"/>
  <c r="Y509" i="6"/>
  <c r="AL509" i="6" s="1"/>
  <c r="AA510" i="6"/>
  <c r="AN510" i="6" s="1"/>
  <c r="Z509" i="6"/>
  <c r="AM509" i="6" s="1"/>
  <c r="Y510" i="6" l="1"/>
  <c r="AL510" i="6" s="1"/>
  <c r="Z510" i="6"/>
  <c r="AM510" i="6" s="1"/>
  <c r="AA511" i="6"/>
  <c r="AN511" i="6" s="1"/>
  <c r="Y511" i="6" l="1"/>
  <c r="AL511" i="6" s="1"/>
  <c r="Q512" i="6"/>
  <c r="AA512" i="6"/>
  <c r="AN512" i="6" s="1"/>
  <c r="Z511" i="6"/>
  <c r="AM511" i="6" s="1"/>
  <c r="BL512" i="6" l="1"/>
  <c r="CN512" i="6"/>
  <c r="CX512" i="6" s="1"/>
  <c r="BZ512" i="6"/>
  <c r="CJ512" i="6" s="1"/>
  <c r="AE512" i="6"/>
  <c r="CD512" i="6"/>
  <c r="CR512" i="6"/>
  <c r="P512" i="6"/>
  <c r="Z512" i="6"/>
  <c r="AM512" i="6" s="1"/>
  <c r="AA513" i="6"/>
  <c r="AN513" i="6" s="1"/>
  <c r="Q513" i="6"/>
  <c r="Y512" i="6"/>
  <c r="AL512" i="6" s="1"/>
  <c r="O512" i="6"/>
  <c r="BL513" i="6" l="1"/>
  <c r="BF512" i="6"/>
  <c r="AZ512" i="6"/>
  <c r="CB512" i="6"/>
  <c r="BX512" i="6"/>
  <c r="CH512" i="6" s="1"/>
  <c r="CL512" i="6"/>
  <c r="CV512" i="6" s="1"/>
  <c r="AC512" i="6"/>
  <c r="CP512" i="6"/>
  <c r="CD513" i="6"/>
  <c r="AE513" i="6"/>
  <c r="CN513" i="6"/>
  <c r="CX513" i="6" s="1"/>
  <c r="BZ513" i="6"/>
  <c r="CJ513" i="6" s="1"/>
  <c r="CR513" i="6"/>
  <c r="BM512" i="6"/>
  <c r="BQ512" i="6"/>
  <c r="CM512" i="6"/>
  <c r="CW512" i="6" s="1"/>
  <c r="AD512" i="6"/>
  <c r="CQ512" i="6"/>
  <c r="BY512" i="6"/>
  <c r="CI512" i="6" s="1"/>
  <c r="CC512" i="6"/>
  <c r="AA514" i="6"/>
  <c r="AN514" i="6" s="1"/>
  <c r="Q514" i="6"/>
  <c r="Z513" i="6"/>
  <c r="AM513" i="6" s="1"/>
  <c r="P513" i="6"/>
  <c r="O513" i="6"/>
  <c r="Y513" i="6"/>
  <c r="AL513" i="6" s="1"/>
  <c r="BF513" i="6" l="1"/>
  <c r="AZ513" i="6"/>
  <c r="BL514" i="6"/>
  <c r="BM513" i="6"/>
  <c r="BQ513" i="6"/>
  <c r="CL513" i="6"/>
  <c r="CV513" i="6" s="1"/>
  <c r="CP513" i="6"/>
  <c r="CB513" i="6"/>
  <c r="AC513" i="6"/>
  <c r="BX513" i="6"/>
  <c r="CH513" i="6" s="1"/>
  <c r="CD514" i="6"/>
  <c r="CR514" i="6"/>
  <c r="CN514" i="6"/>
  <c r="CX514" i="6" s="1"/>
  <c r="BZ514" i="6"/>
  <c r="CJ514" i="6" s="1"/>
  <c r="AE514" i="6"/>
  <c r="BG512" i="6"/>
  <c r="BP512" i="6"/>
  <c r="BO512" i="6"/>
  <c r="BA512" i="6"/>
  <c r="CC513" i="6"/>
  <c r="CQ513" i="6"/>
  <c r="AD513" i="6"/>
  <c r="BY513" i="6"/>
  <c r="CI513" i="6" s="1"/>
  <c r="CM513" i="6"/>
  <c r="CW513" i="6" s="1"/>
  <c r="Y514" i="6"/>
  <c r="AL514" i="6" s="1"/>
  <c r="O514" i="6"/>
  <c r="Q515" i="6"/>
  <c r="AA515" i="6"/>
  <c r="AN515" i="6" s="1"/>
  <c r="P514" i="6"/>
  <c r="Z514" i="6"/>
  <c r="AM514" i="6" s="1"/>
  <c r="BF514" i="6" l="1"/>
  <c r="AZ514" i="6"/>
  <c r="BL515" i="6"/>
  <c r="BG513" i="6"/>
  <c r="BP513" i="6"/>
  <c r="CD515" i="6"/>
  <c r="CR515" i="6"/>
  <c r="CN515" i="6"/>
  <c r="CX515" i="6" s="1"/>
  <c r="BZ515" i="6"/>
  <c r="CJ515" i="6" s="1"/>
  <c r="AE515" i="6"/>
  <c r="CL514" i="6"/>
  <c r="CV514" i="6" s="1"/>
  <c r="CB514" i="6"/>
  <c r="CP514" i="6"/>
  <c r="AC514" i="6"/>
  <c r="BX514" i="6"/>
  <c r="CH514" i="6" s="1"/>
  <c r="BO513" i="6"/>
  <c r="BA513" i="6"/>
  <c r="CQ514" i="6"/>
  <c r="CM514" i="6"/>
  <c r="CW514" i="6" s="1"/>
  <c r="BY514" i="6"/>
  <c r="CI514" i="6" s="1"/>
  <c r="AD514" i="6"/>
  <c r="CC514" i="6"/>
  <c r="BM514" i="6"/>
  <c r="BQ514" i="6"/>
  <c r="Q516" i="6"/>
  <c r="AA516" i="6"/>
  <c r="AN516" i="6" s="1"/>
  <c r="Y515" i="6"/>
  <c r="AL515" i="6" s="1"/>
  <c r="O515" i="6"/>
  <c r="P515" i="6"/>
  <c r="Z515" i="6"/>
  <c r="AM515" i="6" s="1"/>
  <c r="AZ515" i="6" l="1"/>
  <c r="BL516" i="6"/>
  <c r="BF515" i="6"/>
  <c r="AC515" i="6"/>
  <c r="BX515" i="6"/>
  <c r="CH515" i="6" s="1"/>
  <c r="CP515" i="6"/>
  <c r="CB515" i="6"/>
  <c r="CL515" i="6"/>
  <c r="CV515" i="6" s="1"/>
  <c r="CR516" i="6"/>
  <c r="CD516" i="6"/>
  <c r="AE516" i="6"/>
  <c r="BZ516" i="6"/>
  <c r="CJ516" i="6" s="1"/>
  <c r="CN516" i="6"/>
  <c r="CX516" i="6" s="1"/>
  <c r="BM515" i="6"/>
  <c r="BQ515" i="6"/>
  <c r="BA514" i="6"/>
  <c r="BO514" i="6"/>
  <c r="CM515" i="6"/>
  <c r="CW515" i="6" s="1"/>
  <c r="BY515" i="6"/>
  <c r="CI515" i="6" s="1"/>
  <c r="CQ515" i="6"/>
  <c r="CC515" i="6"/>
  <c r="AD515" i="6"/>
  <c r="BP514" i="6"/>
  <c r="BG514" i="6"/>
  <c r="O516" i="6"/>
  <c r="Y516" i="6"/>
  <c r="AL516" i="6" s="1"/>
  <c r="Z516" i="6"/>
  <c r="AM516" i="6" s="1"/>
  <c r="P516" i="6"/>
  <c r="AA517" i="6"/>
  <c r="AN517" i="6" s="1"/>
  <c r="Q517" i="6"/>
  <c r="AZ516" i="6" l="1"/>
  <c r="BF516" i="6"/>
  <c r="BL517" i="6"/>
  <c r="BX516" i="6"/>
  <c r="CH516" i="6" s="1"/>
  <c r="AC516" i="6"/>
  <c r="CP516" i="6"/>
  <c r="CB516" i="6"/>
  <c r="CL516" i="6"/>
  <c r="CV516" i="6" s="1"/>
  <c r="BM516" i="6"/>
  <c r="BQ516" i="6"/>
  <c r="AE517" i="6"/>
  <c r="CR517" i="6"/>
  <c r="CD517" i="6"/>
  <c r="BZ517" i="6"/>
  <c r="CJ517" i="6" s="1"/>
  <c r="CN517" i="6"/>
  <c r="CX517" i="6" s="1"/>
  <c r="AD516" i="6"/>
  <c r="CC516" i="6"/>
  <c r="CQ516" i="6"/>
  <c r="CM516" i="6"/>
  <c r="CW516" i="6" s="1"/>
  <c r="BY516" i="6"/>
  <c r="CI516" i="6" s="1"/>
  <c r="BG515" i="6"/>
  <c r="BP515" i="6"/>
  <c r="BO515" i="6"/>
  <c r="BA515" i="6"/>
  <c r="AA518" i="6"/>
  <c r="AN518" i="6" s="1"/>
  <c r="Q518" i="6"/>
  <c r="Y517" i="6"/>
  <c r="AL517" i="6" s="1"/>
  <c r="O517" i="6"/>
  <c r="P517" i="6"/>
  <c r="Z517" i="6"/>
  <c r="AM517" i="6" s="1"/>
  <c r="AZ517" i="6" l="1"/>
  <c r="BL518" i="6"/>
  <c r="BF517" i="6"/>
  <c r="CL517" i="6"/>
  <c r="CV517" i="6" s="1"/>
  <c r="AC517" i="6"/>
  <c r="CP517" i="6"/>
  <c r="CB517" i="6"/>
  <c r="BX517" i="6"/>
  <c r="CH517" i="6" s="1"/>
  <c r="CD518" i="6"/>
  <c r="CN518" i="6"/>
  <c r="CX518" i="6" s="1"/>
  <c r="BZ518" i="6"/>
  <c r="CJ518" i="6" s="1"/>
  <c r="CR518" i="6"/>
  <c r="AE518" i="6"/>
  <c r="BG516" i="6"/>
  <c r="BP516" i="6"/>
  <c r="CM517" i="6"/>
  <c r="CW517" i="6" s="1"/>
  <c r="CC517" i="6"/>
  <c r="CQ517" i="6"/>
  <c r="AD517" i="6"/>
  <c r="BY517" i="6"/>
  <c r="CI517" i="6" s="1"/>
  <c r="BA516" i="6"/>
  <c r="BO516" i="6"/>
  <c r="BM517" i="6"/>
  <c r="BQ517" i="6"/>
  <c r="P518" i="6"/>
  <c r="Z518" i="6"/>
  <c r="AM518" i="6" s="1"/>
  <c r="Y518" i="6"/>
  <c r="AL518" i="6" s="1"/>
  <c r="O518" i="6"/>
  <c r="Q519" i="6"/>
  <c r="AA519" i="6"/>
  <c r="AN519" i="6" s="1"/>
  <c r="BF518" i="6" l="1"/>
  <c r="BL519" i="6"/>
  <c r="AZ518" i="6"/>
  <c r="CN519" i="6"/>
  <c r="CX519" i="6" s="1"/>
  <c r="CD519" i="6"/>
  <c r="CR519" i="6"/>
  <c r="AE519" i="6"/>
  <c r="BZ519" i="6"/>
  <c r="CJ519" i="6" s="1"/>
  <c r="BQ518" i="6"/>
  <c r="BM518" i="6"/>
  <c r="CM518" i="6"/>
  <c r="CW518" i="6" s="1"/>
  <c r="CC518" i="6"/>
  <c r="CQ518" i="6"/>
  <c r="AD518" i="6"/>
  <c r="BY518" i="6"/>
  <c r="CI518" i="6" s="1"/>
  <c r="BP517" i="6"/>
  <c r="BG517" i="6"/>
  <c r="BA517" i="6"/>
  <c r="BO517" i="6"/>
  <c r="CB518" i="6"/>
  <c r="CL518" i="6"/>
  <c r="CV518" i="6" s="1"/>
  <c r="BX518" i="6"/>
  <c r="CH518" i="6" s="1"/>
  <c r="CP518" i="6"/>
  <c r="AC518" i="6"/>
  <c r="O519" i="6"/>
  <c r="Y519" i="6"/>
  <c r="AL519" i="6" s="1"/>
  <c r="Z519" i="6"/>
  <c r="AM519" i="6" s="1"/>
  <c r="P519" i="6"/>
  <c r="Q520" i="6"/>
  <c r="AA520" i="6"/>
  <c r="AN520" i="6" s="1"/>
  <c r="BF519" i="6" l="1"/>
  <c r="BL520" i="6"/>
  <c r="AZ519" i="6"/>
  <c r="AE520" i="6"/>
  <c r="CR520" i="6"/>
  <c r="CN520" i="6"/>
  <c r="CX520" i="6" s="1"/>
  <c r="BZ520" i="6"/>
  <c r="CJ520" i="6" s="1"/>
  <c r="CD520" i="6"/>
  <c r="BO518" i="6"/>
  <c r="BA518" i="6"/>
  <c r="CC519" i="6"/>
  <c r="AD519" i="6"/>
  <c r="CM519" i="6"/>
  <c r="CW519" i="6" s="1"/>
  <c r="BY519" i="6"/>
  <c r="CI519" i="6" s="1"/>
  <c r="CQ519" i="6"/>
  <c r="BP518" i="6"/>
  <c r="BG518" i="6"/>
  <c r="BM519" i="6"/>
  <c r="BQ519" i="6"/>
  <c r="CP519" i="6"/>
  <c r="CB519" i="6"/>
  <c r="BX519" i="6"/>
  <c r="CH519" i="6" s="1"/>
  <c r="CL519" i="6"/>
  <c r="CV519" i="6" s="1"/>
  <c r="AC519" i="6"/>
  <c r="O520" i="6"/>
  <c r="Y520" i="6"/>
  <c r="AL520" i="6" s="1"/>
  <c r="P520" i="6"/>
  <c r="Z520" i="6"/>
  <c r="AM520" i="6" s="1"/>
  <c r="AA521" i="6"/>
  <c r="AN521" i="6" s="1"/>
  <c r="Q521" i="6"/>
  <c r="AZ520" i="6" l="1"/>
  <c r="BF520" i="6"/>
  <c r="BL521" i="6"/>
  <c r="CR521" i="6"/>
  <c r="AE521" i="6"/>
  <c r="BZ521" i="6"/>
  <c r="CJ521" i="6" s="1"/>
  <c r="CN521" i="6"/>
  <c r="CX521" i="6" s="1"/>
  <c r="CD521" i="6"/>
  <c r="BO519" i="6"/>
  <c r="BA519" i="6"/>
  <c r="AD520" i="6"/>
  <c r="CQ520" i="6"/>
  <c r="BY520" i="6"/>
  <c r="CI520" i="6" s="1"/>
  <c r="CM520" i="6"/>
  <c r="CW520" i="6" s="1"/>
  <c r="CC520" i="6"/>
  <c r="CB520" i="6"/>
  <c r="BX520" i="6"/>
  <c r="CH520" i="6" s="1"/>
  <c r="CL520" i="6"/>
  <c r="CV520" i="6" s="1"/>
  <c r="AC520" i="6"/>
  <c r="CP520" i="6"/>
  <c r="BP519" i="6"/>
  <c r="BG519" i="6"/>
  <c r="BM520" i="6"/>
  <c r="BQ520" i="6"/>
  <c r="AA522" i="6"/>
  <c r="AN522" i="6" s="1"/>
  <c r="Q522" i="6"/>
  <c r="Z521" i="6"/>
  <c r="AM521" i="6" s="1"/>
  <c r="P521" i="6"/>
  <c r="O521" i="6"/>
  <c r="Y521" i="6"/>
  <c r="AL521" i="6" s="1"/>
  <c r="BF521" i="6" l="1"/>
  <c r="BL522" i="6"/>
  <c r="AZ521" i="6"/>
  <c r="AC521" i="6"/>
  <c r="CP521" i="6"/>
  <c r="CB521" i="6"/>
  <c r="CL521" i="6"/>
  <c r="CV521" i="6" s="1"/>
  <c r="BX521" i="6"/>
  <c r="CH521" i="6" s="1"/>
  <c r="BO520" i="6"/>
  <c r="BA520" i="6"/>
  <c r="CM521" i="6"/>
  <c r="CW521" i="6" s="1"/>
  <c r="CC521" i="6"/>
  <c r="AD521" i="6"/>
  <c r="CQ521" i="6"/>
  <c r="BY521" i="6"/>
  <c r="CI521" i="6" s="1"/>
  <c r="BZ522" i="6"/>
  <c r="CJ522" i="6" s="1"/>
  <c r="CN522" i="6"/>
  <c r="CX522" i="6" s="1"/>
  <c r="CD522" i="6"/>
  <c r="CR522" i="6"/>
  <c r="AE522" i="6"/>
  <c r="BP520" i="6"/>
  <c r="BG520" i="6"/>
  <c r="BM521" i="6"/>
  <c r="BQ521" i="6"/>
  <c r="AA523" i="6"/>
  <c r="AN523" i="6" s="1"/>
  <c r="Q523" i="6"/>
  <c r="O522" i="6"/>
  <c r="Y522" i="6"/>
  <c r="AL522" i="6" s="1"/>
  <c r="P522" i="6"/>
  <c r="Z522" i="6"/>
  <c r="AM522" i="6" s="1"/>
  <c r="BF522" i="6" l="1"/>
  <c r="AZ522" i="6"/>
  <c r="BL523" i="6"/>
  <c r="CC522" i="6"/>
  <c r="AD522" i="6"/>
  <c r="BY522" i="6"/>
  <c r="CI522" i="6" s="1"/>
  <c r="CM522" i="6"/>
  <c r="CW522" i="6" s="1"/>
  <c r="CQ522" i="6"/>
  <c r="CD523" i="6"/>
  <c r="BZ523" i="6"/>
  <c r="CJ523" i="6" s="1"/>
  <c r="AE523" i="6"/>
  <c r="CN523" i="6"/>
  <c r="CX523" i="6" s="1"/>
  <c r="CR523" i="6"/>
  <c r="BA521" i="6"/>
  <c r="BO521" i="6"/>
  <c r="BQ522" i="6"/>
  <c r="BM522" i="6"/>
  <c r="BG521" i="6"/>
  <c r="BP521" i="6"/>
  <c r="AC522" i="6"/>
  <c r="CP522" i="6"/>
  <c r="CB522" i="6"/>
  <c r="CL522" i="6"/>
  <c r="CV522" i="6" s="1"/>
  <c r="BX522" i="6"/>
  <c r="CH522" i="6" s="1"/>
  <c r="O523" i="6"/>
  <c r="Y523" i="6"/>
  <c r="AL523" i="6" s="1"/>
  <c r="P523" i="6"/>
  <c r="Z523" i="6"/>
  <c r="AM523" i="6" s="1"/>
  <c r="Q524" i="6"/>
  <c r="AA524" i="6"/>
  <c r="AN524" i="6" s="1"/>
  <c r="AZ523" i="6" l="1"/>
  <c r="BL524" i="6"/>
  <c r="BF523" i="6"/>
  <c r="CC523" i="6"/>
  <c r="CQ523" i="6"/>
  <c r="CM523" i="6"/>
  <c r="CW523" i="6" s="1"/>
  <c r="BY523" i="6"/>
  <c r="CI523" i="6" s="1"/>
  <c r="AD523" i="6"/>
  <c r="CR524" i="6"/>
  <c r="BZ524" i="6"/>
  <c r="CJ524" i="6" s="1"/>
  <c r="CN524" i="6"/>
  <c r="CX524" i="6" s="1"/>
  <c r="CD524" i="6"/>
  <c r="AE524" i="6"/>
  <c r="BA522" i="6"/>
  <c r="BO522" i="6"/>
  <c r="BQ523" i="6"/>
  <c r="BM523" i="6"/>
  <c r="BG522" i="6"/>
  <c r="BP522" i="6"/>
  <c r="CL523" i="6"/>
  <c r="CV523" i="6" s="1"/>
  <c r="CB523" i="6"/>
  <c r="CP523" i="6"/>
  <c r="AC523" i="6"/>
  <c r="BX523" i="6"/>
  <c r="CH523" i="6" s="1"/>
  <c r="Y524" i="6"/>
  <c r="AL524" i="6" s="1"/>
  <c r="O524" i="6"/>
  <c r="Q525" i="6"/>
  <c r="AA525" i="6"/>
  <c r="AN525" i="6" s="1"/>
  <c r="Z524" i="6"/>
  <c r="AM524" i="6" s="1"/>
  <c r="P524" i="6"/>
  <c r="BL525" i="6" l="1"/>
  <c r="BF524" i="6"/>
  <c r="AZ524" i="6"/>
  <c r="CR525" i="6"/>
  <c r="CD525" i="6"/>
  <c r="BZ525" i="6"/>
  <c r="CJ525" i="6" s="1"/>
  <c r="AE525" i="6"/>
  <c r="CN525" i="6"/>
  <c r="CX525" i="6" s="1"/>
  <c r="BA523" i="6"/>
  <c r="BO523" i="6"/>
  <c r="CQ524" i="6"/>
  <c r="AD524" i="6"/>
  <c r="BY524" i="6"/>
  <c r="CI524" i="6" s="1"/>
  <c r="CM524" i="6"/>
  <c r="CW524" i="6" s="1"/>
  <c r="CC524" i="6"/>
  <c r="BQ524" i="6"/>
  <c r="BM524" i="6"/>
  <c r="CP524" i="6"/>
  <c r="BX524" i="6"/>
  <c r="CH524" i="6" s="1"/>
  <c r="AC524" i="6"/>
  <c r="CB524" i="6"/>
  <c r="CL524" i="6"/>
  <c r="CV524" i="6" s="1"/>
  <c r="BP523" i="6"/>
  <c r="BG523" i="6"/>
  <c r="Y525" i="6"/>
  <c r="AL525" i="6" s="1"/>
  <c r="O525" i="6"/>
  <c r="Q526" i="6"/>
  <c r="AA526" i="6"/>
  <c r="AN526" i="6" s="1"/>
  <c r="Z525" i="6"/>
  <c r="AM525" i="6" s="1"/>
  <c r="P525" i="6"/>
  <c r="AZ525" i="6" l="1"/>
  <c r="BL526" i="6"/>
  <c r="BF525" i="6"/>
  <c r="CC525" i="6"/>
  <c r="BY525" i="6"/>
  <c r="CI525" i="6" s="1"/>
  <c r="CM525" i="6"/>
  <c r="CW525" i="6" s="1"/>
  <c r="AD525" i="6"/>
  <c r="CQ525" i="6"/>
  <c r="CL525" i="6"/>
  <c r="CV525" i="6" s="1"/>
  <c r="AC525" i="6"/>
  <c r="BX525" i="6"/>
  <c r="CH525" i="6" s="1"/>
  <c r="CB525" i="6"/>
  <c r="CP525" i="6"/>
  <c r="BO524" i="6"/>
  <c r="BA524" i="6"/>
  <c r="BZ526" i="6"/>
  <c r="CJ526" i="6" s="1"/>
  <c r="CD526" i="6"/>
  <c r="AE526" i="6"/>
  <c r="CN526" i="6"/>
  <c r="CX526" i="6" s="1"/>
  <c r="CR526" i="6"/>
  <c r="BP524" i="6"/>
  <c r="BG524" i="6"/>
  <c r="BM525" i="6"/>
  <c r="BQ525" i="6"/>
  <c r="P526" i="6"/>
  <c r="Z526" i="6"/>
  <c r="AM526" i="6" s="1"/>
  <c r="O526" i="6"/>
  <c r="Y526" i="6"/>
  <c r="AL526" i="6" s="1"/>
  <c r="Q527" i="6"/>
  <c r="AA527" i="6"/>
  <c r="AN527" i="6" s="1"/>
  <c r="BF526" i="6" l="1"/>
  <c r="BL527" i="6"/>
  <c r="AZ526" i="6"/>
  <c r="CL526" i="6"/>
  <c r="CV526" i="6" s="1"/>
  <c r="BX526" i="6"/>
  <c r="CH526" i="6" s="1"/>
  <c r="CB526" i="6"/>
  <c r="AC526" i="6"/>
  <c r="CP526" i="6"/>
  <c r="BQ526" i="6"/>
  <c r="BM526" i="6"/>
  <c r="BA525" i="6"/>
  <c r="BO525" i="6"/>
  <c r="AD526" i="6"/>
  <c r="CC526" i="6"/>
  <c r="CQ526" i="6"/>
  <c r="CM526" i="6"/>
  <c r="CW526" i="6" s="1"/>
  <c r="BY526" i="6"/>
  <c r="CI526" i="6" s="1"/>
  <c r="BG525" i="6"/>
  <c r="BP525" i="6"/>
  <c r="CD527" i="6"/>
  <c r="CR527" i="6"/>
  <c r="CN527" i="6"/>
  <c r="CX527" i="6" s="1"/>
  <c r="BZ527" i="6"/>
  <c r="CJ527" i="6" s="1"/>
  <c r="AE527" i="6"/>
  <c r="P527" i="6"/>
  <c r="Z527" i="6"/>
  <c r="AM527" i="6" s="1"/>
  <c r="O527" i="6"/>
  <c r="Y527" i="6"/>
  <c r="AL527" i="6" s="1"/>
  <c r="AA528" i="6"/>
  <c r="AN528" i="6" s="1"/>
  <c r="Q528" i="6"/>
  <c r="BL528" i="6" l="1"/>
  <c r="BF527" i="6"/>
  <c r="AZ527" i="6"/>
  <c r="BG526" i="6"/>
  <c r="BP526" i="6"/>
  <c r="CB527" i="6"/>
  <c r="CP527" i="6"/>
  <c r="CL527" i="6"/>
  <c r="CV527" i="6" s="1"/>
  <c r="AC527" i="6"/>
  <c r="BX527" i="6"/>
  <c r="CH527" i="6" s="1"/>
  <c r="BY527" i="6"/>
  <c r="CI527" i="6" s="1"/>
  <c r="CC527" i="6"/>
  <c r="CQ527" i="6"/>
  <c r="AD527" i="6"/>
  <c r="CM527" i="6"/>
  <c r="CW527" i="6" s="1"/>
  <c r="BQ527" i="6"/>
  <c r="BM527" i="6"/>
  <c r="CR528" i="6"/>
  <c r="CD528" i="6"/>
  <c r="BZ528" i="6"/>
  <c r="CJ528" i="6" s="1"/>
  <c r="CN528" i="6"/>
  <c r="CX528" i="6" s="1"/>
  <c r="AE528" i="6"/>
  <c r="BA526" i="6"/>
  <c r="BO526" i="6"/>
  <c r="Y528" i="6"/>
  <c r="AL528" i="6" s="1"/>
  <c r="O528" i="6"/>
  <c r="Q529" i="6"/>
  <c r="AA529" i="6"/>
  <c r="AN529" i="6" s="1"/>
  <c r="Z528" i="6"/>
  <c r="AM528" i="6" s="1"/>
  <c r="P528" i="6"/>
  <c r="BL529" i="6" l="1"/>
  <c r="AZ528" i="6"/>
  <c r="BF528" i="6"/>
  <c r="AD528" i="6"/>
  <c r="CM528" i="6"/>
  <c r="CW528" i="6" s="1"/>
  <c r="BY528" i="6"/>
  <c r="CI528" i="6" s="1"/>
  <c r="CQ528" i="6"/>
  <c r="CC528" i="6"/>
  <c r="CN529" i="6"/>
  <c r="CX529" i="6" s="1"/>
  <c r="CR529" i="6"/>
  <c r="CD529" i="6"/>
  <c r="BZ529" i="6"/>
  <c r="CJ529" i="6" s="1"/>
  <c r="AE529" i="6"/>
  <c r="CL528" i="6"/>
  <c r="CV528" i="6" s="1"/>
  <c r="AC528" i="6"/>
  <c r="BX528" i="6"/>
  <c r="CH528" i="6" s="1"/>
  <c r="CP528" i="6"/>
  <c r="CB528" i="6"/>
  <c r="BM528" i="6"/>
  <c r="BQ528" i="6"/>
  <c r="BA527" i="6"/>
  <c r="BO527" i="6"/>
  <c r="BP527" i="6"/>
  <c r="BG527" i="6"/>
  <c r="Q530" i="6"/>
  <c r="AA530" i="6"/>
  <c r="AN530" i="6" s="1"/>
  <c r="Z529" i="6"/>
  <c r="AM529" i="6" s="1"/>
  <c r="P529" i="6"/>
  <c r="Y529" i="6"/>
  <c r="AL529" i="6" s="1"/>
  <c r="O529" i="6"/>
  <c r="AZ529" i="6" l="1"/>
  <c r="BL530" i="6"/>
  <c r="BF529" i="6"/>
  <c r="CL529" i="6"/>
  <c r="CV529" i="6" s="1"/>
  <c r="CP529" i="6"/>
  <c r="BX529" i="6"/>
  <c r="CH529" i="6" s="1"/>
  <c r="CB529" i="6"/>
  <c r="AC529" i="6"/>
  <c r="CQ529" i="6"/>
  <c r="CC529" i="6"/>
  <c r="CM529" i="6"/>
  <c r="CW529" i="6" s="1"/>
  <c r="BY529" i="6"/>
  <c r="CI529" i="6" s="1"/>
  <c r="AD529" i="6"/>
  <c r="BA528" i="6"/>
  <c r="BO528" i="6"/>
  <c r="BG528" i="6"/>
  <c r="BP528" i="6"/>
  <c r="CD530" i="6"/>
  <c r="AE530" i="6"/>
  <c r="BZ530" i="6"/>
  <c r="CJ530" i="6" s="1"/>
  <c r="CN530" i="6"/>
  <c r="CX530" i="6" s="1"/>
  <c r="CR530" i="6"/>
  <c r="BQ529" i="6"/>
  <c r="BM529" i="6"/>
  <c r="AA531" i="6"/>
  <c r="AN531" i="6" s="1"/>
  <c r="Q531" i="6"/>
  <c r="Z530" i="6"/>
  <c r="AM530" i="6" s="1"/>
  <c r="P530" i="6"/>
  <c r="O530" i="6"/>
  <c r="Y530" i="6"/>
  <c r="AL530" i="6" s="1"/>
  <c r="BF530" i="6" l="1"/>
  <c r="BL531" i="6"/>
  <c r="AZ530" i="6"/>
  <c r="CC530" i="6"/>
  <c r="BY530" i="6"/>
  <c r="CI530" i="6" s="1"/>
  <c r="CM530" i="6"/>
  <c r="CW530" i="6" s="1"/>
  <c r="AD530" i="6"/>
  <c r="CQ530" i="6"/>
  <c r="BQ530" i="6"/>
  <c r="BM530" i="6"/>
  <c r="BX530" i="6"/>
  <c r="CH530" i="6" s="1"/>
  <c r="CL530" i="6"/>
  <c r="CV530" i="6" s="1"/>
  <c r="AC530" i="6"/>
  <c r="CP530" i="6"/>
  <c r="CB530" i="6"/>
  <c r="CD531" i="6"/>
  <c r="CR531" i="6"/>
  <c r="CN531" i="6"/>
  <c r="CX531" i="6" s="1"/>
  <c r="AE531" i="6"/>
  <c r="BZ531" i="6"/>
  <c r="CJ531" i="6" s="1"/>
  <c r="BG529" i="6"/>
  <c r="BP529" i="6"/>
  <c r="BA529" i="6"/>
  <c r="BO529" i="6"/>
  <c r="O531" i="6"/>
  <c r="Y531" i="6"/>
  <c r="AL531" i="6" s="1"/>
  <c r="AA532" i="6"/>
  <c r="AN532" i="6" s="1"/>
  <c r="Q532" i="6"/>
  <c r="P531" i="6"/>
  <c r="Z531" i="6"/>
  <c r="AM531" i="6" s="1"/>
  <c r="AZ531" i="6" l="1"/>
  <c r="BF531" i="6"/>
  <c r="BL532" i="6"/>
  <c r="CL531" i="6"/>
  <c r="CV531" i="6" s="1"/>
  <c r="CP531" i="6"/>
  <c r="BX531" i="6"/>
  <c r="CH531" i="6" s="1"/>
  <c r="CB531" i="6"/>
  <c r="AC531" i="6"/>
  <c r="BM531" i="6"/>
  <c r="BQ531" i="6"/>
  <c r="BO530" i="6"/>
  <c r="BA530" i="6"/>
  <c r="CC531" i="6"/>
  <c r="CM531" i="6"/>
  <c r="CW531" i="6" s="1"/>
  <c r="BY531" i="6"/>
  <c r="CI531" i="6" s="1"/>
  <c r="CQ531" i="6"/>
  <c r="AD531" i="6"/>
  <c r="CR532" i="6"/>
  <c r="CN532" i="6"/>
  <c r="CX532" i="6" s="1"/>
  <c r="AE532" i="6"/>
  <c r="BZ532" i="6"/>
  <c r="CJ532" i="6" s="1"/>
  <c r="CD532" i="6"/>
  <c r="BP530" i="6"/>
  <c r="BG530" i="6"/>
  <c r="P532" i="6"/>
  <c r="Z532" i="6"/>
  <c r="AM532" i="6" s="1"/>
  <c r="O532" i="6"/>
  <c r="Y532" i="6"/>
  <c r="AL532" i="6" s="1"/>
  <c r="AA533" i="6"/>
  <c r="AN533" i="6" s="1"/>
  <c r="Q533" i="6"/>
  <c r="BF532" i="6" l="1"/>
  <c r="BL533" i="6"/>
  <c r="AZ532" i="6"/>
  <c r="BX532" i="6"/>
  <c r="CH532" i="6" s="1"/>
  <c r="CL532" i="6"/>
  <c r="CV532" i="6" s="1"/>
  <c r="CP532" i="6"/>
  <c r="AC532" i="6"/>
  <c r="CB532" i="6"/>
  <c r="AE533" i="6"/>
  <c r="BZ533" i="6"/>
  <c r="CJ533" i="6" s="1"/>
  <c r="CD533" i="6"/>
  <c r="CR533" i="6"/>
  <c r="CN533" i="6"/>
  <c r="CX533" i="6" s="1"/>
  <c r="CC532" i="6"/>
  <c r="CQ532" i="6"/>
  <c r="BY532" i="6"/>
  <c r="CI532" i="6" s="1"/>
  <c r="CM532" i="6"/>
  <c r="CW532" i="6" s="1"/>
  <c r="AD532" i="6"/>
  <c r="BM532" i="6"/>
  <c r="BQ532" i="6"/>
  <c r="BP531" i="6"/>
  <c r="BG531" i="6"/>
  <c r="BA531" i="6"/>
  <c r="BO531" i="6"/>
  <c r="Z533" i="6"/>
  <c r="AM533" i="6" s="1"/>
  <c r="P533" i="6"/>
  <c r="AA186" i="6"/>
  <c r="AN186" i="6" s="1"/>
  <c r="Q186" i="6"/>
  <c r="O533" i="6"/>
  <c r="Y533" i="6"/>
  <c r="AL533" i="6" s="1"/>
  <c r="BF533" i="6" l="1"/>
  <c r="AZ533" i="6"/>
  <c r="BL186" i="6"/>
  <c r="BQ533" i="6"/>
  <c r="BM533" i="6"/>
  <c r="AC533" i="6"/>
  <c r="CL533" i="6"/>
  <c r="CV533" i="6" s="1"/>
  <c r="CP533" i="6"/>
  <c r="BX533" i="6"/>
  <c r="CH533" i="6" s="1"/>
  <c r="CB533" i="6"/>
  <c r="CR186" i="6"/>
  <c r="BZ186" i="6"/>
  <c r="CJ186" i="6" s="1"/>
  <c r="CD186" i="6"/>
  <c r="AE186" i="6"/>
  <c r="CN186" i="6"/>
  <c r="CX186" i="6" s="1"/>
  <c r="BY533" i="6"/>
  <c r="CI533" i="6" s="1"/>
  <c r="CM533" i="6"/>
  <c r="CW533" i="6" s="1"/>
  <c r="AD533" i="6"/>
  <c r="CQ533" i="6"/>
  <c r="CC533" i="6"/>
  <c r="BG532" i="6"/>
  <c r="BP532" i="6"/>
  <c r="BA532" i="6"/>
  <c r="BO532" i="6"/>
  <c r="Y186" i="6"/>
  <c r="AL186" i="6" s="1"/>
  <c r="O186" i="6"/>
  <c r="Q73" i="6"/>
  <c r="AA73" i="6"/>
  <c r="AN73" i="6" s="1"/>
  <c r="Z186" i="6"/>
  <c r="AM186" i="6" s="1"/>
  <c r="P186" i="6"/>
  <c r="AZ186" i="6" l="1"/>
  <c r="BF186" i="6"/>
  <c r="BL73" i="6"/>
  <c r="CC186" i="6"/>
  <c r="CM186" i="6"/>
  <c r="CW186" i="6" s="1"/>
  <c r="BY186" i="6"/>
  <c r="CI186" i="6" s="1"/>
  <c r="AD186" i="6"/>
  <c r="CQ186" i="6"/>
  <c r="BM186" i="6"/>
  <c r="BQ186" i="6"/>
  <c r="BG533" i="6"/>
  <c r="BP533" i="6"/>
  <c r="BA533" i="6"/>
  <c r="BO533" i="6"/>
  <c r="CN73" i="6"/>
  <c r="CX73" i="6" s="1"/>
  <c r="BZ73" i="6"/>
  <c r="CJ73" i="6" s="1"/>
  <c r="CD73" i="6"/>
  <c r="CR73" i="6"/>
  <c r="AE73" i="6"/>
  <c r="AC186" i="6"/>
  <c r="CL186" i="6"/>
  <c r="CV186" i="6" s="1"/>
  <c r="CP186" i="6"/>
  <c r="CB186" i="6"/>
  <c r="BX186" i="6"/>
  <c r="CH186" i="6" s="1"/>
  <c r="P73" i="6"/>
  <c r="Z73" i="6"/>
  <c r="AM73" i="6" s="1"/>
  <c r="AA44" i="6"/>
  <c r="AN44" i="6" s="1"/>
  <c r="O73" i="6"/>
  <c r="Y73" i="6"/>
  <c r="AL73" i="6" s="1"/>
  <c r="AZ73" i="6" l="1"/>
  <c r="BF73" i="6"/>
  <c r="CM73" i="6"/>
  <c r="CW73" i="6" s="1"/>
  <c r="AD73" i="6"/>
  <c r="CQ73" i="6"/>
  <c r="CC73" i="6"/>
  <c r="BY73" i="6"/>
  <c r="CI73" i="6" s="1"/>
  <c r="BO186" i="6"/>
  <c r="BA186" i="6"/>
  <c r="BP186" i="6"/>
  <c r="BG186" i="6"/>
  <c r="CB73" i="6"/>
  <c r="CP73" i="6"/>
  <c r="CL73" i="6"/>
  <c r="CV73" i="6" s="1"/>
  <c r="BX73" i="6"/>
  <c r="CH73" i="6" s="1"/>
  <c r="AC73" i="6"/>
  <c r="BQ73" i="6"/>
  <c r="BM73" i="6"/>
  <c r="Z44" i="6"/>
  <c r="AM44" i="6" s="1"/>
  <c r="AA36" i="6"/>
  <c r="AN36" i="6" s="1"/>
  <c r="Y44" i="6"/>
  <c r="AL44" i="6" s="1"/>
  <c r="BO73" i="6" l="1"/>
  <c r="BA73" i="6"/>
  <c r="BP73" i="6"/>
  <c r="BG73" i="6"/>
  <c r="Y36" i="6"/>
  <c r="AL36" i="6" s="1"/>
  <c r="AA47" i="6"/>
  <c r="AN47" i="6" s="1"/>
  <c r="Z36" i="6"/>
  <c r="AM36" i="6" s="1"/>
  <c r="AA18" i="6" l="1"/>
  <c r="AN18" i="6" s="1"/>
  <c r="Z47" i="6"/>
  <c r="AM47" i="6" s="1"/>
  <c r="Y47" i="6"/>
  <c r="AL47" i="6" s="1"/>
  <c r="Z18" i="6" l="1"/>
  <c r="AM18" i="6" s="1"/>
  <c r="AA124" i="6"/>
  <c r="AN124" i="6" s="1"/>
  <c r="Q124" i="6"/>
  <c r="Y18" i="6"/>
  <c r="AL18" i="6" s="1"/>
  <c r="BL124" i="6" l="1"/>
  <c r="BZ124" i="6"/>
  <c r="CJ124" i="6" s="1"/>
  <c r="CN124" i="6"/>
  <c r="CX124" i="6" s="1"/>
  <c r="CR124" i="6"/>
  <c r="CD124" i="6"/>
  <c r="AE124" i="6"/>
  <c r="Y124" i="6"/>
  <c r="AL124" i="6" s="1"/>
  <c r="O124" i="6"/>
  <c r="Q122" i="6"/>
  <c r="AA122" i="6"/>
  <c r="AN122" i="6" s="1"/>
  <c r="P124" i="6"/>
  <c r="Z124" i="6"/>
  <c r="AM124" i="6" s="1"/>
  <c r="BL122" i="6" l="1"/>
  <c r="AZ124" i="6"/>
  <c r="BF124" i="6"/>
  <c r="BY124" i="6"/>
  <c r="CI124" i="6" s="1"/>
  <c r="CQ124" i="6"/>
  <c r="AD124" i="6"/>
  <c r="CC124" i="6"/>
  <c r="CM124" i="6"/>
  <c r="CW124" i="6" s="1"/>
  <c r="CD122" i="6"/>
  <c r="AE122" i="6"/>
  <c r="CR122" i="6"/>
  <c r="BZ122" i="6"/>
  <c r="CJ122" i="6" s="1"/>
  <c r="CN122" i="6"/>
  <c r="CX122" i="6" s="1"/>
  <c r="CP124" i="6"/>
  <c r="BX124" i="6"/>
  <c r="CH124" i="6" s="1"/>
  <c r="CL124" i="6"/>
  <c r="CV124" i="6" s="1"/>
  <c r="CB124" i="6"/>
  <c r="AC124" i="6"/>
  <c r="BQ124" i="6"/>
  <c r="BM124" i="6"/>
  <c r="Q104" i="6"/>
  <c r="AA104" i="6"/>
  <c r="AN104" i="6" s="1"/>
  <c r="P122" i="6"/>
  <c r="Z122" i="6"/>
  <c r="AM122" i="6" s="1"/>
  <c r="O122" i="6"/>
  <c r="Y122" i="6"/>
  <c r="AL122" i="6" s="1"/>
  <c r="AZ122" i="6" l="1"/>
  <c r="BF122" i="6"/>
  <c r="BL104" i="6"/>
  <c r="BY122" i="6"/>
  <c r="CI122" i="6" s="1"/>
  <c r="CC122" i="6"/>
  <c r="CQ122" i="6"/>
  <c r="CM122" i="6"/>
  <c r="CW122" i="6" s="1"/>
  <c r="AD122" i="6"/>
  <c r="BP124" i="6"/>
  <c r="BG124" i="6"/>
  <c r="BQ122" i="6"/>
  <c r="BM122" i="6"/>
  <c r="CB122" i="6"/>
  <c r="CL122" i="6"/>
  <c r="CV122" i="6" s="1"/>
  <c r="BX122" i="6"/>
  <c r="CH122" i="6" s="1"/>
  <c r="CP122" i="6"/>
  <c r="AC122" i="6"/>
  <c r="BZ104" i="6"/>
  <c r="CJ104" i="6" s="1"/>
  <c r="CR104" i="6"/>
  <c r="AE104" i="6"/>
  <c r="CD104" i="6"/>
  <c r="CN104" i="6"/>
  <c r="CX104" i="6" s="1"/>
  <c r="BO124" i="6"/>
  <c r="BA124" i="6"/>
  <c r="AA69" i="6"/>
  <c r="AN69" i="6" s="1"/>
  <c r="Q69" i="6"/>
  <c r="P104" i="6"/>
  <c r="Z104" i="6"/>
  <c r="AM104" i="6" s="1"/>
  <c r="O104" i="6"/>
  <c r="Y104" i="6"/>
  <c r="AL104" i="6" s="1"/>
  <c r="BL69" i="6" l="1"/>
  <c r="AZ104" i="6"/>
  <c r="BF104" i="6"/>
  <c r="AD104" i="6"/>
  <c r="CQ104" i="6"/>
  <c r="CC104" i="6"/>
  <c r="CM104" i="6"/>
  <c r="CW104" i="6" s="1"/>
  <c r="BY104" i="6"/>
  <c r="CI104" i="6" s="1"/>
  <c r="AC104" i="6"/>
  <c r="CB104" i="6"/>
  <c r="CP104" i="6"/>
  <c r="BX104" i="6"/>
  <c r="CH104" i="6" s="1"/>
  <c r="CL104" i="6"/>
  <c r="CV104" i="6" s="1"/>
  <c r="CD69" i="6"/>
  <c r="CN69" i="6"/>
  <c r="CX69" i="6" s="1"/>
  <c r="BZ69" i="6"/>
  <c r="CJ69" i="6" s="1"/>
  <c r="CR69" i="6"/>
  <c r="AE69" i="6"/>
  <c r="BQ104" i="6"/>
  <c r="BM104" i="6"/>
  <c r="BA122" i="6"/>
  <c r="BO122" i="6"/>
  <c r="BP122" i="6"/>
  <c r="BG122" i="6"/>
  <c r="O69" i="6"/>
  <c r="Y69" i="6"/>
  <c r="AL69" i="6" s="1"/>
  <c r="AA534" i="6"/>
  <c r="AN534" i="6" s="1"/>
  <c r="Q534" i="6"/>
  <c r="P69" i="6"/>
  <c r="Z69" i="6"/>
  <c r="AM69" i="6" s="1"/>
  <c r="AZ69" i="6" l="1"/>
  <c r="BF69" i="6"/>
  <c r="BL534" i="6"/>
  <c r="AE534" i="6"/>
  <c r="CR534" i="6"/>
  <c r="CD534" i="6"/>
  <c r="CN534" i="6"/>
  <c r="CX534" i="6" s="1"/>
  <c r="BZ534" i="6"/>
  <c r="CJ534" i="6" s="1"/>
  <c r="BP104" i="6"/>
  <c r="BG104" i="6"/>
  <c r="CQ69" i="6"/>
  <c r="CM69" i="6"/>
  <c r="CW69" i="6" s="1"/>
  <c r="AD69" i="6"/>
  <c r="BY69" i="6"/>
  <c r="CI69" i="6" s="1"/>
  <c r="CC69" i="6"/>
  <c r="BQ69" i="6"/>
  <c r="BM69" i="6"/>
  <c r="BO104" i="6"/>
  <c r="BA104" i="6"/>
  <c r="AC69" i="6"/>
  <c r="CB69" i="6"/>
  <c r="CP69" i="6"/>
  <c r="BX69" i="6"/>
  <c r="CH69" i="6" s="1"/>
  <c r="CL69" i="6"/>
  <c r="CV69" i="6" s="1"/>
  <c r="Q280" i="6"/>
  <c r="AN280" i="6"/>
  <c r="O534" i="6"/>
  <c r="Y534" i="6"/>
  <c r="AL534" i="6" s="1"/>
  <c r="Z534" i="6"/>
  <c r="AM534" i="6" s="1"/>
  <c r="P534" i="6"/>
  <c r="AZ534" i="6" l="1"/>
  <c r="BF534" i="6"/>
  <c r="BL280" i="6"/>
  <c r="BQ534" i="6"/>
  <c r="BM534" i="6"/>
  <c r="CM534" i="6"/>
  <c r="CW534" i="6" s="1"/>
  <c r="BY534" i="6"/>
  <c r="CI534" i="6" s="1"/>
  <c r="CQ534" i="6"/>
  <c r="CC534" i="6"/>
  <c r="AD534" i="6"/>
  <c r="BP69" i="6"/>
  <c r="BG69" i="6"/>
  <c r="BO69" i="6"/>
  <c r="BA69" i="6"/>
  <c r="CL534" i="6"/>
  <c r="CV534" i="6" s="1"/>
  <c r="AC534" i="6"/>
  <c r="CP534" i="6"/>
  <c r="CB534" i="6"/>
  <c r="BX534" i="6"/>
  <c r="CH534" i="6" s="1"/>
  <c r="CD280" i="6"/>
  <c r="AE280" i="6"/>
  <c r="CN280" i="6"/>
  <c r="CX280" i="6" s="1"/>
  <c r="BZ280" i="6"/>
  <c r="CJ280" i="6" s="1"/>
  <c r="CR280" i="6"/>
  <c r="AL280" i="6"/>
  <c r="AM280" i="6"/>
  <c r="AN328" i="6"/>
  <c r="BQ280" i="6" l="1"/>
  <c r="BM280" i="6"/>
  <c r="BP534" i="6"/>
  <c r="BG534" i="6"/>
  <c r="BO534" i="6"/>
  <c r="BA534" i="6"/>
  <c r="AM328" i="6"/>
  <c r="P328" i="6"/>
  <c r="Q281" i="6"/>
  <c r="AN281" i="6"/>
  <c r="Q328" i="6"/>
  <c r="BL328" i="6" s="1"/>
  <c r="O280" i="6"/>
  <c r="AZ280" i="6" s="1"/>
  <c r="P280" i="6"/>
  <c r="BF280" i="6" s="1"/>
  <c r="O328" i="6"/>
  <c r="AL328" i="6"/>
  <c r="BL281" i="6" l="1"/>
  <c r="BF328" i="6"/>
  <c r="AZ328" i="6"/>
  <c r="BX280" i="6"/>
  <c r="CH280" i="6" s="1"/>
  <c r="CL280" i="6"/>
  <c r="CV280" i="6" s="1"/>
  <c r="CB280" i="6"/>
  <c r="CP280" i="6"/>
  <c r="AC280" i="6"/>
  <c r="BZ281" i="6"/>
  <c r="CJ281" i="6" s="1"/>
  <c r="CN281" i="6"/>
  <c r="CX281" i="6" s="1"/>
  <c r="CR281" i="6"/>
  <c r="AE281" i="6"/>
  <c r="CD281" i="6"/>
  <c r="CM328" i="6"/>
  <c r="CW328" i="6" s="1"/>
  <c r="BY328" i="6"/>
  <c r="CI328" i="6" s="1"/>
  <c r="AD328" i="6"/>
  <c r="CC328" i="6"/>
  <c r="CQ328" i="6"/>
  <c r="CB328" i="6"/>
  <c r="BX328" i="6"/>
  <c r="CH328" i="6" s="1"/>
  <c r="CL328" i="6"/>
  <c r="CV328" i="6" s="1"/>
  <c r="AC328" i="6"/>
  <c r="CP328" i="6"/>
  <c r="CM280" i="6"/>
  <c r="CW280" i="6" s="1"/>
  <c r="CQ280" i="6"/>
  <c r="CC280" i="6"/>
  <c r="AD280" i="6"/>
  <c r="BY280" i="6"/>
  <c r="CI280" i="6" s="1"/>
  <c r="BZ328" i="6"/>
  <c r="CJ328" i="6" s="1"/>
  <c r="AE328" i="6"/>
  <c r="CN328" i="6"/>
  <c r="CX328" i="6" s="1"/>
  <c r="CR328" i="6"/>
  <c r="CD328" i="6"/>
  <c r="P281" i="6"/>
  <c r="AM281" i="6"/>
  <c r="AL281" i="6"/>
  <c r="O281" i="6"/>
  <c r="AN282" i="6"/>
  <c r="Q282" i="6"/>
  <c r="AZ281" i="6" l="1"/>
  <c r="BL282" i="6"/>
  <c r="BF281" i="6"/>
  <c r="CM281" i="6"/>
  <c r="CW281" i="6" s="1"/>
  <c r="BY281" i="6"/>
  <c r="CI281" i="6" s="1"/>
  <c r="AD281" i="6"/>
  <c r="CC281" i="6"/>
  <c r="CQ281" i="6"/>
  <c r="BO328" i="6"/>
  <c r="BA328" i="6"/>
  <c r="CD282" i="6"/>
  <c r="BZ282" i="6"/>
  <c r="CJ282" i="6" s="1"/>
  <c r="CN282" i="6"/>
  <c r="CX282" i="6" s="1"/>
  <c r="AE282" i="6"/>
  <c r="CR282" i="6"/>
  <c r="BQ328" i="6"/>
  <c r="BM328" i="6"/>
  <c r="BP280" i="6"/>
  <c r="BG280" i="6"/>
  <c r="CL281" i="6"/>
  <c r="CV281" i="6" s="1"/>
  <c r="AC281" i="6"/>
  <c r="BX281" i="6"/>
  <c r="CH281" i="6" s="1"/>
  <c r="CB281" i="6"/>
  <c r="CP281" i="6"/>
  <c r="BP328" i="6"/>
  <c r="BG328" i="6"/>
  <c r="BQ281" i="6"/>
  <c r="BM281" i="6"/>
  <c r="BO280" i="6"/>
  <c r="BA280" i="6"/>
  <c r="AN235" i="6"/>
  <c r="Q235" i="6"/>
  <c r="AL282" i="6"/>
  <c r="O282" i="6"/>
  <c r="P282" i="6"/>
  <c r="AM282" i="6"/>
  <c r="BF282" i="6" l="1"/>
  <c r="AZ282" i="6"/>
  <c r="BL235" i="6"/>
  <c r="BY282" i="6"/>
  <c r="CI282" i="6" s="1"/>
  <c r="CM282" i="6"/>
  <c r="CW282" i="6" s="1"/>
  <c r="CC282" i="6"/>
  <c r="CQ282" i="6"/>
  <c r="AD282" i="6"/>
  <c r="CD235" i="6"/>
  <c r="CN235" i="6"/>
  <c r="CX235" i="6" s="1"/>
  <c r="BZ235" i="6"/>
  <c r="CJ235" i="6" s="1"/>
  <c r="AE235" i="6"/>
  <c r="CR235" i="6"/>
  <c r="CP282" i="6"/>
  <c r="AC282" i="6"/>
  <c r="BX282" i="6"/>
  <c r="CH282" i="6" s="1"/>
  <c r="CL282" i="6"/>
  <c r="CV282" i="6" s="1"/>
  <c r="CB282" i="6"/>
  <c r="BO281" i="6"/>
  <c r="BA281" i="6"/>
  <c r="BM282" i="6"/>
  <c r="BQ282" i="6"/>
  <c r="BP281" i="6"/>
  <c r="BG281" i="6"/>
  <c r="Q257" i="6"/>
  <c r="AN257" i="6"/>
  <c r="AL235" i="6"/>
  <c r="O235" i="6"/>
  <c r="P235" i="6"/>
  <c r="AM235" i="6"/>
  <c r="AZ235" i="6" l="1"/>
  <c r="BF235" i="6"/>
  <c r="BL257" i="6"/>
  <c r="CQ235" i="6"/>
  <c r="AD235" i="6"/>
  <c r="CM235" i="6"/>
  <c r="CW235" i="6" s="1"/>
  <c r="BY235" i="6"/>
  <c r="CI235" i="6" s="1"/>
  <c r="CC235" i="6"/>
  <c r="CL235" i="6"/>
  <c r="CV235" i="6" s="1"/>
  <c r="BX235" i="6"/>
  <c r="CH235" i="6" s="1"/>
  <c r="CP235" i="6"/>
  <c r="CB235" i="6"/>
  <c r="AC235" i="6"/>
  <c r="BQ235" i="6"/>
  <c r="BM235" i="6"/>
  <c r="CN257" i="6"/>
  <c r="CX257" i="6" s="1"/>
  <c r="AE257" i="6"/>
  <c r="CD257" i="6"/>
  <c r="CR257" i="6"/>
  <c r="BZ257" i="6"/>
  <c r="CJ257" i="6" s="1"/>
  <c r="BO282" i="6"/>
  <c r="BA282" i="6"/>
  <c r="BP282" i="6"/>
  <c r="BG282" i="6"/>
  <c r="AL257" i="6"/>
  <c r="O257" i="6"/>
  <c r="AN258" i="6"/>
  <c r="Q258" i="6"/>
  <c r="P257" i="6"/>
  <c r="AM257" i="6"/>
  <c r="BL258" i="6" l="1"/>
  <c r="AZ257" i="6"/>
  <c r="BF257" i="6"/>
  <c r="CD258" i="6"/>
  <c r="AE258" i="6"/>
  <c r="BZ258" i="6"/>
  <c r="CJ258" i="6" s="1"/>
  <c r="CN258" i="6"/>
  <c r="CX258" i="6" s="1"/>
  <c r="CR258" i="6"/>
  <c r="AC257" i="6"/>
  <c r="CL257" i="6"/>
  <c r="CV257" i="6" s="1"/>
  <c r="BX257" i="6"/>
  <c r="CH257" i="6" s="1"/>
  <c r="CP257" i="6"/>
  <c r="CB257" i="6"/>
  <c r="BO235" i="6"/>
  <c r="BA235" i="6"/>
  <c r="CQ257" i="6"/>
  <c r="AD257" i="6"/>
  <c r="BY257" i="6"/>
  <c r="CI257" i="6" s="1"/>
  <c r="CM257" i="6"/>
  <c r="CW257" i="6" s="1"/>
  <c r="CC257" i="6"/>
  <c r="BQ257" i="6"/>
  <c r="BM257" i="6"/>
  <c r="BG235" i="6"/>
  <c r="BP235" i="6"/>
  <c r="AN283" i="6"/>
  <c r="Q283" i="6"/>
  <c r="AL258" i="6"/>
  <c r="O258" i="6"/>
  <c r="AZ258" i="6" s="1"/>
  <c r="P258" i="6"/>
  <c r="AM258" i="6"/>
  <c r="BF258" i="6" l="1"/>
  <c r="BL283" i="6"/>
  <c r="BG257" i="6"/>
  <c r="BP257" i="6"/>
  <c r="BO257" i="6"/>
  <c r="BA257" i="6"/>
  <c r="CQ258" i="6"/>
  <c r="BY258" i="6"/>
  <c r="CI258" i="6" s="1"/>
  <c r="CM258" i="6"/>
  <c r="CW258" i="6" s="1"/>
  <c r="AD258" i="6"/>
  <c r="CC258" i="6"/>
  <c r="CL258" i="6"/>
  <c r="CV258" i="6" s="1"/>
  <c r="CB258" i="6"/>
  <c r="CP258" i="6"/>
  <c r="AC258" i="6"/>
  <c r="BX258" i="6"/>
  <c r="CH258" i="6" s="1"/>
  <c r="BZ283" i="6"/>
  <c r="CJ283" i="6" s="1"/>
  <c r="CR283" i="6"/>
  <c r="CD283" i="6"/>
  <c r="CN283" i="6"/>
  <c r="CX283" i="6" s="1"/>
  <c r="AE283" i="6"/>
  <c r="BQ258" i="6"/>
  <c r="BM258" i="6"/>
  <c r="AN46" i="6"/>
  <c r="Q46" i="6"/>
  <c r="AM283" i="6"/>
  <c r="P283" i="6"/>
  <c r="AL283" i="6"/>
  <c r="O283" i="6"/>
  <c r="AZ283" i="6" s="1"/>
  <c r="BF283" i="6" l="1"/>
  <c r="BL46" i="6"/>
  <c r="CP283" i="6"/>
  <c r="CL283" i="6"/>
  <c r="CV283" i="6" s="1"/>
  <c r="BX283" i="6"/>
  <c r="CH283" i="6" s="1"/>
  <c r="AC283" i="6"/>
  <c r="CB283" i="6"/>
  <c r="CR46" i="6"/>
  <c r="CD46" i="6"/>
  <c r="BZ46" i="6"/>
  <c r="CJ46" i="6" s="1"/>
  <c r="AE46" i="6"/>
  <c r="CN46" i="6"/>
  <c r="CX46" i="6" s="1"/>
  <c r="BM283" i="6"/>
  <c r="BQ283" i="6"/>
  <c r="CC283" i="6"/>
  <c r="AD283" i="6"/>
  <c r="CM283" i="6"/>
  <c r="CW283" i="6" s="1"/>
  <c r="BY283" i="6"/>
  <c r="CI283" i="6" s="1"/>
  <c r="CQ283" i="6"/>
  <c r="BA258" i="6"/>
  <c r="BO258" i="6"/>
  <c r="BP258" i="6"/>
  <c r="BG258" i="6"/>
  <c r="P46" i="6"/>
  <c r="AM46" i="6"/>
  <c r="AN329" i="6"/>
  <c r="Q329" i="6"/>
  <c r="BL329" i="6" s="1"/>
  <c r="O46" i="6"/>
  <c r="AL46" i="6"/>
  <c r="AZ46" i="6" l="1"/>
  <c r="BF46" i="6"/>
  <c r="BP46" i="6" s="1"/>
  <c r="BP283" i="6"/>
  <c r="BG283" i="6"/>
  <c r="BX46" i="6"/>
  <c r="CH46" i="6" s="1"/>
  <c r="AC46" i="6"/>
  <c r="CL46" i="6"/>
  <c r="CV46" i="6" s="1"/>
  <c r="CB46" i="6"/>
  <c r="CP46" i="6"/>
  <c r="CD329" i="6"/>
  <c r="BZ329" i="6"/>
  <c r="CJ329" i="6" s="1"/>
  <c r="CN329" i="6"/>
  <c r="CX329" i="6" s="1"/>
  <c r="AE329" i="6"/>
  <c r="CR329" i="6"/>
  <c r="CM46" i="6"/>
  <c r="CW46" i="6" s="1"/>
  <c r="BY46" i="6"/>
  <c r="CI46" i="6" s="1"/>
  <c r="CC46" i="6"/>
  <c r="AD46" i="6"/>
  <c r="CQ46" i="6"/>
  <c r="BQ46" i="6"/>
  <c r="BM46" i="6"/>
  <c r="BO283" i="6"/>
  <c r="BA283" i="6"/>
  <c r="P329" i="6"/>
  <c r="AM329" i="6"/>
  <c r="O329" i="6"/>
  <c r="AL329" i="6"/>
  <c r="AZ329" i="6" l="1"/>
  <c r="BF329" i="6"/>
  <c r="BG46" i="6"/>
  <c r="BQ329" i="6"/>
  <c r="BM329" i="6"/>
  <c r="BO46" i="6"/>
  <c r="BA46" i="6"/>
  <c r="CP329" i="6"/>
  <c r="CB329" i="6"/>
  <c r="BX329" i="6"/>
  <c r="CH329" i="6" s="1"/>
  <c r="CL329" i="6"/>
  <c r="CV329" i="6" s="1"/>
  <c r="AC329" i="6"/>
  <c r="CC329" i="6"/>
  <c r="BY329" i="6"/>
  <c r="CI329" i="6" s="1"/>
  <c r="CM329" i="6"/>
  <c r="CW329" i="6" s="1"/>
  <c r="AD329" i="6"/>
  <c r="CQ329" i="6"/>
  <c r="BA329" i="6" l="1"/>
  <c r="BO329" i="6"/>
  <c r="BP329" i="6"/>
  <c r="BG329" i="6"/>
  <c r="Q330" i="6" l="1"/>
  <c r="AN330" i="6"/>
  <c r="BL330" i="6" l="1"/>
  <c r="CN330" i="6"/>
  <c r="CX330" i="6" s="1"/>
  <c r="AE330" i="6"/>
  <c r="BZ330" i="6"/>
  <c r="CJ330" i="6" s="1"/>
  <c r="CD330" i="6"/>
  <c r="CR330" i="6"/>
  <c r="P330" i="6"/>
  <c r="AM330" i="6"/>
  <c r="AL330" i="6"/>
  <c r="O330" i="6"/>
  <c r="Q331" i="6"/>
  <c r="AN331" i="6"/>
  <c r="AZ330" i="6" l="1"/>
  <c r="BF330" i="6"/>
  <c r="BL331" i="6"/>
  <c r="CP330" i="6"/>
  <c r="CL330" i="6"/>
  <c r="CV330" i="6" s="1"/>
  <c r="BX330" i="6"/>
  <c r="CH330" i="6" s="1"/>
  <c r="AC330" i="6"/>
  <c r="CB330" i="6"/>
  <c r="BY330" i="6"/>
  <c r="CI330" i="6" s="1"/>
  <c r="CM330" i="6"/>
  <c r="CW330" i="6" s="1"/>
  <c r="AD330" i="6"/>
  <c r="CQ330" i="6"/>
  <c r="CC330" i="6"/>
  <c r="CN331" i="6"/>
  <c r="CX331" i="6" s="1"/>
  <c r="BZ331" i="6"/>
  <c r="CJ331" i="6" s="1"/>
  <c r="CD331" i="6"/>
  <c r="CR331" i="6"/>
  <c r="AE331" i="6"/>
  <c r="BQ330" i="6"/>
  <c r="BM330" i="6"/>
  <c r="O331" i="6"/>
  <c r="AL331" i="6"/>
  <c r="Q332" i="6"/>
  <c r="AN332" i="6"/>
  <c r="P331" i="6"/>
  <c r="AM331" i="6"/>
  <c r="BF331" i="6" l="1"/>
  <c r="AZ331" i="6"/>
  <c r="BL332" i="6"/>
  <c r="AE332" i="6"/>
  <c r="BZ332" i="6"/>
  <c r="CJ332" i="6" s="1"/>
  <c r="CN332" i="6"/>
  <c r="CX332" i="6" s="1"/>
  <c r="CD332" i="6"/>
  <c r="CR332" i="6"/>
  <c r="CP331" i="6"/>
  <c r="CL331" i="6"/>
  <c r="CV331" i="6" s="1"/>
  <c r="BX331" i="6"/>
  <c r="CH331" i="6" s="1"/>
  <c r="CB331" i="6"/>
  <c r="AC331" i="6"/>
  <c r="BQ331" i="6"/>
  <c r="BM331" i="6"/>
  <c r="BP330" i="6"/>
  <c r="BG330" i="6"/>
  <c r="BY331" i="6"/>
  <c r="CI331" i="6" s="1"/>
  <c r="AD331" i="6"/>
  <c r="CQ331" i="6"/>
  <c r="CC331" i="6"/>
  <c r="CM331" i="6"/>
  <c r="CW331" i="6" s="1"/>
  <c r="BO330" i="6"/>
  <c r="BA330" i="6"/>
  <c r="AM332" i="6"/>
  <c r="P332" i="6"/>
  <c r="AN284" i="6"/>
  <c r="Q284" i="6"/>
  <c r="BL284" i="6" s="1"/>
  <c r="O332" i="6"/>
  <c r="AL332" i="6"/>
  <c r="AZ332" i="6" l="1"/>
  <c r="BF332" i="6"/>
  <c r="CP332" i="6"/>
  <c r="CL332" i="6"/>
  <c r="CV332" i="6" s="1"/>
  <c r="AC332" i="6"/>
  <c r="BX332" i="6"/>
  <c r="CH332" i="6" s="1"/>
  <c r="CB332" i="6"/>
  <c r="CC332" i="6"/>
  <c r="CQ332" i="6"/>
  <c r="AD332" i="6"/>
  <c r="BY332" i="6"/>
  <c r="CI332" i="6" s="1"/>
  <c r="CM332" i="6"/>
  <c r="CW332" i="6" s="1"/>
  <c r="CR284" i="6"/>
  <c r="CD284" i="6"/>
  <c r="BZ284" i="6"/>
  <c r="CJ284" i="6" s="1"/>
  <c r="CN284" i="6"/>
  <c r="CX284" i="6" s="1"/>
  <c r="AE284" i="6"/>
  <c r="BP331" i="6"/>
  <c r="BG331" i="6"/>
  <c r="BO331" i="6"/>
  <c r="BA331" i="6"/>
  <c r="BQ332" i="6"/>
  <c r="BM332" i="6"/>
  <c r="Q285" i="6"/>
  <c r="AN285" i="6"/>
  <c r="P284" i="6"/>
  <c r="AM284" i="6"/>
  <c r="O284" i="6"/>
  <c r="AL284" i="6"/>
  <c r="BL285" i="6" l="1"/>
  <c r="AZ284" i="6"/>
  <c r="BF284" i="6"/>
  <c r="BZ285" i="6"/>
  <c r="CJ285" i="6" s="1"/>
  <c r="CN285" i="6"/>
  <c r="CX285" i="6" s="1"/>
  <c r="AE285" i="6"/>
  <c r="CR285" i="6"/>
  <c r="CD285" i="6"/>
  <c r="CB284" i="6"/>
  <c r="BX284" i="6"/>
  <c r="CH284" i="6" s="1"/>
  <c r="AC284" i="6"/>
  <c r="CL284" i="6"/>
  <c r="CV284" i="6" s="1"/>
  <c r="CP284" i="6"/>
  <c r="BG332" i="6"/>
  <c r="BP332" i="6"/>
  <c r="BO332" i="6"/>
  <c r="BA332" i="6"/>
  <c r="BM284" i="6"/>
  <c r="BQ284" i="6"/>
  <c r="BY284" i="6"/>
  <c r="CI284" i="6" s="1"/>
  <c r="CM284" i="6"/>
  <c r="CW284" i="6" s="1"/>
  <c r="AD284" i="6"/>
  <c r="CQ284" i="6"/>
  <c r="CC284" i="6"/>
  <c r="AM285" i="6"/>
  <c r="P285" i="6"/>
  <c r="AN286" i="6"/>
  <c r="Q286" i="6"/>
  <c r="O285" i="6"/>
  <c r="AL285" i="6"/>
  <c r="BL286" i="6" l="1"/>
  <c r="AZ285" i="6"/>
  <c r="BF285" i="6"/>
  <c r="BP284" i="6"/>
  <c r="BG284" i="6"/>
  <c r="CB285" i="6"/>
  <c r="BX285" i="6"/>
  <c r="CH285" i="6" s="1"/>
  <c r="CL285" i="6"/>
  <c r="CV285" i="6" s="1"/>
  <c r="AC285" i="6"/>
  <c r="CP285" i="6"/>
  <c r="BY285" i="6"/>
  <c r="CI285" i="6" s="1"/>
  <c r="AD285" i="6"/>
  <c r="CQ285" i="6"/>
  <c r="CC285" i="6"/>
  <c r="CM285" i="6"/>
  <c r="CW285" i="6" s="1"/>
  <c r="BO284" i="6"/>
  <c r="BA284" i="6"/>
  <c r="BZ286" i="6"/>
  <c r="CJ286" i="6" s="1"/>
  <c r="CR286" i="6"/>
  <c r="CD286" i="6"/>
  <c r="AE286" i="6"/>
  <c r="CN286" i="6"/>
  <c r="CX286" i="6" s="1"/>
  <c r="BM285" i="6"/>
  <c r="BQ285" i="6"/>
  <c r="AN287" i="6"/>
  <c r="Q287" i="6"/>
  <c r="BL287" i="6" s="1"/>
  <c r="O286" i="6"/>
  <c r="AL286" i="6"/>
  <c r="P286" i="6"/>
  <c r="AM286" i="6"/>
  <c r="BF286" i="6" l="1"/>
  <c r="AZ286" i="6"/>
  <c r="CQ286" i="6"/>
  <c r="AD286" i="6"/>
  <c r="CM286" i="6"/>
  <c r="CW286" i="6" s="1"/>
  <c r="BY286" i="6"/>
  <c r="CI286" i="6" s="1"/>
  <c r="CC286" i="6"/>
  <c r="CP286" i="6"/>
  <c r="AC286" i="6"/>
  <c r="CL286" i="6"/>
  <c r="CV286" i="6" s="1"/>
  <c r="BX286" i="6"/>
  <c r="CH286" i="6" s="1"/>
  <c r="CB286" i="6"/>
  <c r="BM286" i="6"/>
  <c r="BQ286" i="6"/>
  <c r="BG285" i="6"/>
  <c r="BP285" i="6"/>
  <c r="BA285" i="6"/>
  <c r="BO285" i="6"/>
  <c r="CD287" i="6"/>
  <c r="CR287" i="6"/>
  <c r="CN287" i="6"/>
  <c r="CX287" i="6" s="1"/>
  <c r="BZ287" i="6"/>
  <c r="CJ287" i="6" s="1"/>
  <c r="AE287" i="6"/>
  <c r="AN333" i="6"/>
  <c r="Q333" i="6"/>
  <c r="P287" i="6"/>
  <c r="AM287" i="6"/>
  <c r="AL287" i="6"/>
  <c r="O287" i="6"/>
  <c r="BL333" i="6" l="1"/>
  <c r="AZ287" i="6"/>
  <c r="BF287" i="6"/>
  <c r="BY287" i="6"/>
  <c r="CI287" i="6" s="1"/>
  <c r="CM287" i="6"/>
  <c r="CW287" i="6" s="1"/>
  <c r="CC287" i="6"/>
  <c r="CQ287" i="6"/>
  <c r="AD287" i="6"/>
  <c r="CR333" i="6"/>
  <c r="CD333" i="6"/>
  <c r="CN333" i="6"/>
  <c r="CX333" i="6" s="1"/>
  <c r="AE333" i="6"/>
  <c r="BZ333" i="6"/>
  <c r="CJ333" i="6" s="1"/>
  <c r="BA286" i="6"/>
  <c r="BO286" i="6"/>
  <c r="BQ287" i="6"/>
  <c r="BM287" i="6"/>
  <c r="AC287" i="6"/>
  <c r="BX287" i="6"/>
  <c r="CH287" i="6" s="1"/>
  <c r="CL287" i="6"/>
  <c r="CV287" i="6" s="1"/>
  <c r="CP287" i="6"/>
  <c r="CB287" i="6"/>
  <c r="BG286" i="6"/>
  <c r="BP286" i="6"/>
  <c r="Q288" i="6"/>
  <c r="AN288" i="6"/>
  <c r="AM333" i="6"/>
  <c r="P333" i="6"/>
  <c r="O333" i="6"/>
  <c r="AL333" i="6"/>
  <c r="BF333" i="6" l="1"/>
  <c r="BL288" i="6"/>
  <c r="AZ333" i="6"/>
  <c r="CN288" i="6"/>
  <c r="CX288" i="6" s="1"/>
  <c r="BZ288" i="6"/>
  <c r="CJ288" i="6" s="1"/>
  <c r="AE288" i="6"/>
  <c r="CD288" i="6"/>
  <c r="CR288" i="6"/>
  <c r="BA287" i="6"/>
  <c r="BO287" i="6"/>
  <c r="CP333" i="6"/>
  <c r="BX333" i="6"/>
  <c r="CH333" i="6" s="1"/>
  <c r="CB333" i="6"/>
  <c r="AC333" i="6"/>
  <c r="CL333" i="6"/>
  <c r="CV333" i="6" s="1"/>
  <c r="BP287" i="6"/>
  <c r="BG287" i="6"/>
  <c r="CM333" i="6"/>
  <c r="CW333" i="6" s="1"/>
  <c r="CQ333" i="6"/>
  <c r="CC333" i="6"/>
  <c r="AD333" i="6"/>
  <c r="BY333" i="6"/>
  <c r="CI333" i="6" s="1"/>
  <c r="BQ333" i="6"/>
  <c r="BM333" i="6"/>
  <c r="Q289" i="6"/>
  <c r="AN289" i="6"/>
  <c r="AL288" i="6"/>
  <c r="O288" i="6"/>
  <c r="AM288" i="6"/>
  <c r="P288" i="6"/>
  <c r="AZ288" i="6" l="1"/>
  <c r="BL289" i="6"/>
  <c r="BF288" i="6"/>
  <c r="CQ288" i="6"/>
  <c r="AD288" i="6"/>
  <c r="CM288" i="6"/>
  <c r="CW288" i="6" s="1"/>
  <c r="BY288" i="6"/>
  <c r="CI288" i="6" s="1"/>
  <c r="CC288" i="6"/>
  <c r="BG333" i="6"/>
  <c r="BP333" i="6"/>
  <c r="CD289" i="6"/>
  <c r="AE289" i="6"/>
  <c r="CR289" i="6"/>
  <c r="CN289" i="6"/>
  <c r="CX289" i="6" s="1"/>
  <c r="BZ289" i="6"/>
  <c r="CJ289" i="6" s="1"/>
  <c r="BO333" i="6"/>
  <c r="BA333" i="6"/>
  <c r="BQ288" i="6"/>
  <c r="BM288" i="6"/>
  <c r="CB288" i="6"/>
  <c r="CL288" i="6"/>
  <c r="CV288" i="6" s="1"/>
  <c r="CP288" i="6"/>
  <c r="BX288" i="6"/>
  <c r="CH288" i="6" s="1"/>
  <c r="AC288" i="6"/>
  <c r="AL289" i="6"/>
  <c r="O289" i="6"/>
  <c r="P289" i="6"/>
  <c r="AM289" i="6"/>
  <c r="Q290" i="6"/>
  <c r="AN290" i="6"/>
  <c r="AZ289" i="6" l="1"/>
  <c r="BL290" i="6"/>
  <c r="BF289" i="6"/>
  <c r="BZ290" i="6"/>
  <c r="CJ290" i="6" s="1"/>
  <c r="CR290" i="6"/>
  <c r="AE290" i="6"/>
  <c r="CD290" i="6"/>
  <c r="CN290" i="6"/>
  <c r="CX290" i="6" s="1"/>
  <c r="CM289" i="6"/>
  <c r="CW289" i="6" s="1"/>
  <c r="AD289" i="6"/>
  <c r="BY289" i="6"/>
  <c r="CI289" i="6" s="1"/>
  <c r="CQ289" i="6"/>
  <c r="CC289" i="6"/>
  <c r="BA288" i="6"/>
  <c r="BO288" i="6"/>
  <c r="BM289" i="6"/>
  <c r="BQ289" i="6"/>
  <c r="BG288" i="6"/>
  <c r="BP288" i="6"/>
  <c r="AC289" i="6"/>
  <c r="CP289" i="6"/>
  <c r="CB289" i="6"/>
  <c r="CL289" i="6"/>
  <c r="CV289" i="6" s="1"/>
  <c r="BX289" i="6"/>
  <c r="CH289" i="6" s="1"/>
  <c r="O290" i="6"/>
  <c r="AL290" i="6"/>
  <c r="P290" i="6"/>
  <c r="AM290" i="6"/>
  <c r="Q334" i="6"/>
  <c r="AN334" i="6"/>
  <c r="BL334" i="6" l="1"/>
  <c r="BF290" i="6"/>
  <c r="AZ290" i="6"/>
  <c r="CN334" i="6"/>
  <c r="CX334" i="6" s="1"/>
  <c r="AE334" i="6"/>
  <c r="CR334" i="6"/>
  <c r="CD334" i="6"/>
  <c r="BZ334" i="6"/>
  <c r="CJ334" i="6" s="1"/>
  <c r="BG289" i="6"/>
  <c r="BP289" i="6"/>
  <c r="CC290" i="6"/>
  <c r="BY290" i="6"/>
  <c r="CI290" i="6" s="1"/>
  <c r="AD290" i="6"/>
  <c r="CM290" i="6"/>
  <c r="CW290" i="6" s="1"/>
  <c r="CQ290" i="6"/>
  <c r="BQ290" i="6"/>
  <c r="BM290" i="6"/>
  <c r="BO289" i="6"/>
  <c r="BA289" i="6"/>
  <c r="AC290" i="6"/>
  <c r="BX290" i="6"/>
  <c r="CH290" i="6" s="1"/>
  <c r="CL290" i="6"/>
  <c r="CV290" i="6" s="1"/>
  <c r="CP290" i="6"/>
  <c r="CB290" i="6"/>
  <c r="O334" i="6"/>
  <c r="AL334" i="6"/>
  <c r="AM334" i="6"/>
  <c r="P334" i="6"/>
  <c r="AA335" i="6"/>
  <c r="AN335" i="6" s="1"/>
  <c r="Q335" i="6"/>
  <c r="BL335" i="6" l="1"/>
  <c r="AZ334" i="6"/>
  <c r="BF334" i="6"/>
  <c r="BP290" i="6"/>
  <c r="BG290" i="6"/>
  <c r="CD335" i="6"/>
  <c r="CR335" i="6"/>
  <c r="AE335" i="6"/>
  <c r="BZ335" i="6"/>
  <c r="CJ335" i="6" s="1"/>
  <c r="CN335" i="6"/>
  <c r="CX335" i="6" s="1"/>
  <c r="CC334" i="6"/>
  <c r="AD334" i="6"/>
  <c r="BY334" i="6"/>
  <c r="CI334" i="6" s="1"/>
  <c r="CM334" i="6"/>
  <c r="CW334" i="6" s="1"/>
  <c r="CQ334" i="6"/>
  <c r="BO290" i="6"/>
  <c r="BA290" i="6"/>
  <c r="BX334" i="6"/>
  <c r="CH334" i="6" s="1"/>
  <c r="CB334" i="6"/>
  <c r="CP334" i="6"/>
  <c r="CL334" i="6"/>
  <c r="CV334" i="6" s="1"/>
  <c r="AC334" i="6"/>
  <c r="BQ334" i="6"/>
  <c r="BM334" i="6"/>
  <c r="O335" i="6"/>
  <c r="Y335" i="6"/>
  <c r="AL335" i="6" s="1"/>
  <c r="AA336" i="6"/>
  <c r="AN336" i="6" s="1"/>
  <c r="Q336" i="6"/>
  <c r="Z335" i="6"/>
  <c r="AM335" i="6" s="1"/>
  <c r="P335" i="6"/>
  <c r="BF335" i="6" l="1"/>
  <c r="AZ335" i="6"/>
  <c r="BL336" i="6"/>
  <c r="CM335" i="6"/>
  <c r="CW335" i="6" s="1"/>
  <c r="CC335" i="6"/>
  <c r="CQ335" i="6"/>
  <c r="AD335" i="6"/>
  <c r="BY335" i="6"/>
  <c r="CI335" i="6" s="1"/>
  <c r="BM335" i="6"/>
  <c r="BQ335" i="6"/>
  <c r="CL335" i="6"/>
  <c r="CV335" i="6" s="1"/>
  <c r="CP335" i="6"/>
  <c r="CB335" i="6"/>
  <c r="BX335" i="6"/>
  <c r="CH335" i="6" s="1"/>
  <c r="AC335" i="6"/>
  <c r="BO334" i="6"/>
  <c r="BA334" i="6"/>
  <c r="CR336" i="6"/>
  <c r="CD336" i="6"/>
  <c r="BZ336" i="6"/>
  <c r="CJ336" i="6" s="1"/>
  <c r="CN336" i="6"/>
  <c r="CX336" i="6" s="1"/>
  <c r="AE336" i="6"/>
  <c r="BP334" i="6"/>
  <c r="BG334" i="6"/>
  <c r="Z336" i="6"/>
  <c r="AM336" i="6" s="1"/>
  <c r="P336" i="6"/>
  <c r="AA225" i="6"/>
  <c r="AN225" i="6" s="1"/>
  <c r="Q225" i="6"/>
  <c r="O336" i="6"/>
  <c r="Y336" i="6"/>
  <c r="AL336" i="6" s="1"/>
  <c r="BF336" i="6" l="1"/>
  <c r="AZ336" i="6"/>
  <c r="BL225" i="6"/>
  <c r="CD225" i="6"/>
  <c r="CN225" i="6"/>
  <c r="CX225" i="6" s="1"/>
  <c r="BZ225" i="6"/>
  <c r="CJ225" i="6" s="1"/>
  <c r="AE225" i="6"/>
  <c r="CR225" i="6"/>
  <c r="CB336" i="6"/>
  <c r="BX336" i="6"/>
  <c r="CH336" i="6" s="1"/>
  <c r="CL336" i="6"/>
  <c r="CV336" i="6" s="1"/>
  <c r="AC336" i="6"/>
  <c r="CP336" i="6"/>
  <c r="BM336" i="6"/>
  <c r="BQ336" i="6"/>
  <c r="BG335" i="6"/>
  <c r="BP335" i="6"/>
  <c r="BY336" i="6"/>
  <c r="CI336" i="6" s="1"/>
  <c r="CM336" i="6"/>
  <c r="CW336" i="6" s="1"/>
  <c r="CQ336" i="6"/>
  <c r="CC336" i="6"/>
  <c r="AD336" i="6"/>
  <c r="BO335" i="6"/>
  <c r="BA335" i="6"/>
  <c r="Z225" i="6"/>
  <c r="AM225" i="6" s="1"/>
  <c r="P225" i="6"/>
  <c r="Y225" i="6"/>
  <c r="AL225" i="6" s="1"/>
  <c r="O225" i="6"/>
  <c r="AA72" i="6"/>
  <c r="AN72" i="6" s="1"/>
  <c r="Q72" i="6"/>
  <c r="AZ225" i="6" l="1"/>
  <c r="BL72" i="6"/>
  <c r="BF225" i="6"/>
  <c r="AC225" i="6"/>
  <c r="BX225" i="6"/>
  <c r="CH225" i="6" s="1"/>
  <c r="CL225" i="6"/>
  <c r="CV225" i="6" s="1"/>
  <c r="CB225" i="6"/>
  <c r="CP225" i="6"/>
  <c r="BG336" i="6"/>
  <c r="BP336" i="6"/>
  <c r="BA336" i="6"/>
  <c r="BO336" i="6"/>
  <c r="CN72" i="6"/>
  <c r="CX72" i="6" s="1"/>
  <c r="AE72" i="6"/>
  <c r="CD72" i="6"/>
  <c r="CR72" i="6"/>
  <c r="BZ72" i="6"/>
  <c r="CJ72" i="6" s="1"/>
  <c r="BY225" i="6"/>
  <c r="CI225" i="6" s="1"/>
  <c r="CC225" i="6"/>
  <c r="CQ225" i="6"/>
  <c r="AD225" i="6"/>
  <c r="CM225" i="6"/>
  <c r="CW225" i="6" s="1"/>
  <c r="BQ225" i="6"/>
  <c r="BM225" i="6"/>
  <c r="Y72" i="6"/>
  <c r="AL72" i="6" s="1"/>
  <c r="O72" i="6"/>
  <c r="P72" i="6"/>
  <c r="Z72" i="6"/>
  <c r="AM72" i="6" s="1"/>
  <c r="Q71" i="6"/>
  <c r="AA71" i="6"/>
  <c r="AN71" i="6" s="1"/>
  <c r="BL71" i="6" l="1"/>
  <c r="BF72" i="6"/>
  <c r="AZ72" i="6"/>
  <c r="CM72" i="6"/>
  <c r="CW72" i="6" s="1"/>
  <c r="CC72" i="6"/>
  <c r="AD72" i="6"/>
  <c r="CQ72" i="6"/>
  <c r="BY72" i="6"/>
  <c r="CI72" i="6" s="1"/>
  <c r="CB72" i="6"/>
  <c r="AC72" i="6"/>
  <c r="BX72" i="6"/>
  <c r="CH72" i="6" s="1"/>
  <c r="CL72" i="6"/>
  <c r="CV72" i="6" s="1"/>
  <c r="CP72" i="6"/>
  <c r="BQ72" i="6"/>
  <c r="BM72" i="6"/>
  <c r="BO225" i="6"/>
  <c r="BA225" i="6"/>
  <c r="CN71" i="6"/>
  <c r="CX71" i="6" s="1"/>
  <c r="AE71" i="6"/>
  <c r="BZ71" i="6"/>
  <c r="CJ71" i="6" s="1"/>
  <c r="CR71" i="6"/>
  <c r="CD71" i="6"/>
  <c r="BP225" i="6"/>
  <c r="BG225" i="6"/>
  <c r="O71" i="6"/>
  <c r="Y71" i="6"/>
  <c r="AL71" i="6" s="1"/>
  <c r="Q54" i="6"/>
  <c r="AA54" i="6"/>
  <c r="AN54" i="6" s="1"/>
  <c r="P71" i="6"/>
  <c r="Z71" i="6"/>
  <c r="AM71" i="6" s="1"/>
  <c r="AZ71" i="6" l="1"/>
  <c r="BL54" i="6"/>
  <c r="BF71" i="6"/>
  <c r="CC71" i="6"/>
  <c r="BY71" i="6"/>
  <c r="CI71" i="6" s="1"/>
  <c r="AD71" i="6"/>
  <c r="CQ71" i="6"/>
  <c r="CM71" i="6"/>
  <c r="CW71" i="6" s="1"/>
  <c r="BA72" i="6"/>
  <c r="BO72" i="6"/>
  <c r="BP72" i="6"/>
  <c r="BG72" i="6"/>
  <c r="BM71" i="6"/>
  <c r="BQ71" i="6"/>
  <c r="CD54" i="6"/>
  <c r="CR54" i="6"/>
  <c r="BZ54" i="6"/>
  <c r="CJ54" i="6" s="1"/>
  <c r="AE54" i="6"/>
  <c r="CN54" i="6"/>
  <c r="CX54" i="6" s="1"/>
  <c r="CL71" i="6"/>
  <c r="CV71" i="6" s="1"/>
  <c r="AC71" i="6"/>
  <c r="CP71" i="6"/>
  <c r="CB71" i="6"/>
  <c r="BX71" i="6"/>
  <c r="CH71" i="6" s="1"/>
  <c r="P54" i="6"/>
  <c r="Z54" i="6"/>
  <c r="AM54" i="6" s="1"/>
  <c r="Q28" i="6"/>
  <c r="AA28" i="6"/>
  <c r="AN28" i="6" s="1"/>
  <c r="Y54" i="6"/>
  <c r="AL54" i="6" s="1"/>
  <c r="O54" i="6"/>
  <c r="BF54" i="6" l="1"/>
  <c r="AZ54" i="6"/>
  <c r="BL28" i="6"/>
  <c r="AE28" i="6"/>
  <c r="CD28" i="6"/>
  <c r="CR28" i="6"/>
  <c r="CN28" i="6"/>
  <c r="CX28" i="6" s="1"/>
  <c r="BZ28" i="6"/>
  <c r="CJ28" i="6" s="1"/>
  <c r="BA71" i="6"/>
  <c r="BO71" i="6"/>
  <c r="CB54" i="6"/>
  <c r="CP54" i="6"/>
  <c r="AC54" i="6"/>
  <c r="BX54" i="6"/>
  <c r="CH54" i="6" s="1"/>
  <c r="CL54" i="6"/>
  <c r="CV54" i="6" s="1"/>
  <c r="BY54" i="6"/>
  <c r="CI54" i="6" s="1"/>
  <c r="CC54" i="6"/>
  <c r="CQ54" i="6"/>
  <c r="CM54" i="6"/>
  <c r="CW54" i="6" s="1"/>
  <c r="AD54" i="6"/>
  <c r="BG71" i="6"/>
  <c r="BP71" i="6"/>
  <c r="BQ54" i="6"/>
  <c r="BM54" i="6"/>
  <c r="O28" i="6"/>
  <c r="Y28" i="6"/>
  <c r="AL28" i="6" s="1"/>
  <c r="P28" i="6"/>
  <c r="Z28" i="6"/>
  <c r="AM28" i="6" s="1"/>
  <c r="AA78" i="6"/>
  <c r="AN78" i="6" s="1"/>
  <c r="Q78" i="6"/>
  <c r="BL78" i="6" l="1"/>
  <c r="AZ28" i="6"/>
  <c r="BF28" i="6"/>
  <c r="CC28" i="6"/>
  <c r="AD28" i="6"/>
  <c r="BY28" i="6"/>
  <c r="CI28" i="6" s="1"/>
  <c r="CQ28" i="6"/>
  <c r="CM28" i="6"/>
  <c r="CW28" i="6" s="1"/>
  <c r="BA54" i="6"/>
  <c r="BO54" i="6"/>
  <c r="BG54" i="6"/>
  <c r="BP54" i="6"/>
  <c r="CR78" i="6"/>
  <c r="CD78" i="6"/>
  <c r="BZ78" i="6"/>
  <c r="AE78" i="6"/>
  <c r="CN78" i="6"/>
  <c r="CL28" i="6"/>
  <c r="CV28" i="6" s="1"/>
  <c r="AC28" i="6"/>
  <c r="BX28" i="6"/>
  <c r="CH28" i="6" s="1"/>
  <c r="CP28" i="6"/>
  <c r="CB28" i="6"/>
  <c r="BM28" i="6"/>
  <c r="BQ28" i="6"/>
  <c r="AA268" i="6"/>
  <c r="AN268" i="6" s="1"/>
  <c r="Q268" i="6"/>
  <c r="P78" i="6"/>
  <c r="Z78" i="6"/>
  <c r="AM78" i="6" s="1"/>
  <c r="Y78" i="6"/>
  <c r="AL78" i="6" s="1"/>
  <c r="O78" i="6"/>
  <c r="AZ78" i="6" l="1"/>
  <c r="BF78" i="6"/>
  <c r="BL268" i="6"/>
  <c r="CX78" i="6"/>
  <c r="CJ78" i="6"/>
  <c r="CN268" i="6"/>
  <c r="AE268" i="6"/>
  <c r="BZ268" i="6"/>
  <c r="CR268" i="6"/>
  <c r="CD268" i="6"/>
  <c r="BQ78" i="6"/>
  <c r="BM78" i="6"/>
  <c r="BX78" i="6"/>
  <c r="AC78" i="6"/>
  <c r="CB78" i="6"/>
  <c r="CP78" i="6"/>
  <c r="CL78" i="6"/>
  <c r="CC78" i="6"/>
  <c r="BY78" i="6"/>
  <c r="CQ78" i="6"/>
  <c r="AD78" i="6"/>
  <c r="CM78" i="6"/>
  <c r="BO28" i="6"/>
  <c r="BA28" i="6"/>
  <c r="BP28" i="6"/>
  <c r="BG28" i="6"/>
  <c r="Z268" i="6"/>
  <c r="AM268" i="6" s="1"/>
  <c r="P268" i="6"/>
  <c r="Q340" i="6"/>
  <c r="AA340" i="6"/>
  <c r="AN340" i="6" s="1"/>
  <c r="Y268" i="6"/>
  <c r="AL268" i="6" s="1"/>
  <c r="O268" i="6"/>
  <c r="BF268" i="6" l="1"/>
  <c r="BL340" i="6"/>
  <c r="AZ268" i="6"/>
  <c r="CW78" i="6"/>
  <c r="CJ268" i="6"/>
  <c r="CV78" i="6"/>
  <c r="CX268" i="6"/>
  <c r="CI78" i="6"/>
  <c r="CH78" i="6"/>
  <c r="BY268" i="6"/>
  <c r="CM268" i="6"/>
  <c r="AD268" i="6"/>
  <c r="CC268" i="6"/>
  <c r="CQ268" i="6"/>
  <c r="BP78" i="6"/>
  <c r="BG78" i="6"/>
  <c r="BO78" i="6"/>
  <c r="BA78" i="6"/>
  <c r="BZ340" i="6"/>
  <c r="CD340" i="6"/>
  <c r="CR340" i="6"/>
  <c r="CN340" i="6"/>
  <c r="AE340" i="6"/>
  <c r="BQ268" i="6"/>
  <c r="BM268" i="6"/>
  <c r="AC268" i="6"/>
  <c r="CP268" i="6"/>
  <c r="CL268" i="6"/>
  <c r="BX268" i="6"/>
  <c r="CB268" i="6"/>
  <c r="O340" i="6"/>
  <c r="Y340" i="6"/>
  <c r="AL340" i="6" s="1"/>
  <c r="P340" i="6"/>
  <c r="Z340" i="6"/>
  <c r="AM340" i="6" s="1"/>
  <c r="BF340" i="6" l="1"/>
  <c r="AZ340" i="6"/>
  <c r="BO340" i="6" s="1"/>
  <c r="CW268" i="6"/>
  <c r="CI268" i="6"/>
  <c r="CH268" i="6"/>
  <c r="CX340" i="6"/>
  <c r="CV268" i="6"/>
  <c r="CJ340" i="6"/>
  <c r="BO268" i="6"/>
  <c r="BA268" i="6"/>
  <c r="BQ340" i="6"/>
  <c r="BM340" i="6"/>
  <c r="BG268" i="6"/>
  <c r="BP268" i="6"/>
  <c r="CQ340" i="6"/>
  <c r="BY340" i="6"/>
  <c r="AD340" i="6"/>
  <c r="CM340" i="6"/>
  <c r="CC340" i="6"/>
  <c r="CP340" i="6"/>
  <c r="CL340" i="6"/>
  <c r="BX340" i="6"/>
  <c r="CB340" i="6"/>
  <c r="AC340" i="6"/>
  <c r="CI340" i="6" l="1"/>
  <c r="CH340" i="6"/>
  <c r="CV340" i="6"/>
  <c r="CW340" i="6"/>
  <c r="BA340" i="6"/>
  <c r="BP340" i="6"/>
  <c r="BG340" i="6"/>
  <c r="Q691" i="6"/>
  <c r="AA691" i="6"/>
  <c r="AN691" i="6" s="1"/>
  <c r="BL691" i="6" l="1"/>
  <c r="CD691" i="6"/>
  <c r="CN691" i="6"/>
  <c r="CX691" i="6" s="1"/>
  <c r="BZ691" i="6"/>
  <c r="CJ691" i="6" s="1"/>
  <c r="CR691" i="6"/>
  <c r="AE691" i="6"/>
  <c r="AA341" i="6"/>
  <c r="AN341" i="6" s="1"/>
  <c r="Q341" i="6"/>
  <c r="P691" i="6"/>
  <c r="Z691" i="6"/>
  <c r="AM691" i="6" s="1"/>
  <c r="O691" i="6"/>
  <c r="Y691" i="6"/>
  <c r="AL691" i="6" s="1"/>
  <c r="BL341" i="6" l="1"/>
  <c r="AZ691" i="6"/>
  <c r="BF691" i="6"/>
  <c r="BQ691" i="6"/>
  <c r="BM691" i="6"/>
  <c r="CQ691" i="6"/>
  <c r="CM691" i="6"/>
  <c r="CW691" i="6" s="1"/>
  <c r="BY691" i="6"/>
  <c r="CI691" i="6" s="1"/>
  <c r="AD691" i="6"/>
  <c r="CC691" i="6"/>
  <c r="CN341" i="6"/>
  <c r="CX341" i="6" s="1"/>
  <c r="AW23" i="5" s="1"/>
  <c r="CR341" i="6"/>
  <c r="CD341" i="6"/>
  <c r="AE341" i="6"/>
  <c r="BZ341" i="6"/>
  <c r="CJ341" i="6" s="1"/>
  <c r="AR23" i="5" s="1"/>
  <c r="BX691" i="6"/>
  <c r="CH691" i="6" s="1"/>
  <c r="CL691" i="6"/>
  <c r="CV691" i="6" s="1"/>
  <c r="AC691" i="6"/>
  <c r="CB691" i="6"/>
  <c r="CP691" i="6"/>
  <c r="O341" i="6"/>
  <c r="Y341" i="6"/>
  <c r="AL341" i="6" s="1"/>
  <c r="P341" i="6"/>
  <c r="Z341" i="6"/>
  <c r="AM341" i="6" s="1"/>
  <c r="BF341" i="6" l="1"/>
  <c r="AZ341" i="6"/>
  <c r="CQ341" i="6"/>
  <c r="CC341" i="6"/>
  <c r="AD341" i="6"/>
  <c r="BY341" i="6"/>
  <c r="CI341" i="6" s="1"/>
  <c r="AQ23" i="5" s="1"/>
  <c r="CM341" i="6"/>
  <c r="CW341" i="6" s="1"/>
  <c r="AV23" i="5" s="1"/>
  <c r="AC341" i="6"/>
  <c r="CL341" i="6"/>
  <c r="CV341" i="6" s="1"/>
  <c r="AU23" i="5" s="1"/>
  <c r="BX341" i="6"/>
  <c r="CH341" i="6" s="1"/>
  <c r="AP23" i="5" s="1"/>
  <c r="CB341" i="6"/>
  <c r="CP341" i="6"/>
  <c r="BA691" i="6"/>
  <c r="BO691" i="6"/>
  <c r="BQ341" i="6"/>
  <c r="BM341" i="6"/>
  <c r="BP691" i="6"/>
  <c r="BG691" i="6"/>
  <c r="AC23" i="5"/>
  <c r="AG23" i="5" l="1"/>
  <c r="BO341" i="6"/>
  <c r="BA341" i="6"/>
  <c r="AF23" i="5"/>
  <c r="BP341" i="6"/>
  <c r="T23" i="5" s="1"/>
  <c r="BG341" i="6"/>
  <c r="W23" i="5" l="1"/>
  <c r="AA693" i="6" l="1"/>
  <c r="AN693" i="6" s="1"/>
  <c r="Q693" i="6"/>
  <c r="BL693" i="6" l="1"/>
  <c r="CD693" i="6"/>
  <c r="CN693" i="6"/>
  <c r="CX693" i="6" s="1"/>
  <c r="CR693" i="6"/>
  <c r="BZ693" i="6"/>
  <c r="CJ693" i="6" s="1"/>
  <c r="AE693" i="6"/>
  <c r="Q342" i="6"/>
  <c r="AA342" i="6"/>
  <c r="AN342" i="6" s="1"/>
  <c r="P693" i="6"/>
  <c r="Z693" i="6"/>
  <c r="AM693" i="6" s="1"/>
  <c r="Y693" i="6"/>
  <c r="AL693" i="6" s="1"/>
  <c r="O693" i="6"/>
  <c r="AZ693" i="6" l="1"/>
  <c r="BF693" i="6"/>
  <c r="BL342" i="6"/>
  <c r="CN342" i="6"/>
  <c r="CX342" i="6" s="1"/>
  <c r="AE342" i="6"/>
  <c r="BZ342" i="6"/>
  <c r="CJ342" i="6" s="1"/>
  <c r="CR342" i="6"/>
  <c r="CD342" i="6"/>
  <c r="BQ693" i="6"/>
  <c r="BM693" i="6"/>
  <c r="CL693" i="6"/>
  <c r="CV693" i="6" s="1"/>
  <c r="BX693" i="6"/>
  <c r="CH693" i="6" s="1"/>
  <c r="AC693" i="6"/>
  <c r="CP693" i="6"/>
  <c r="CB693" i="6"/>
  <c r="AD693" i="6"/>
  <c r="BY693" i="6"/>
  <c r="CI693" i="6" s="1"/>
  <c r="CQ693" i="6"/>
  <c r="CC693" i="6"/>
  <c r="CM693" i="6"/>
  <c r="CW693" i="6" s="1"/>
  <c r="O342" i="6"/>
  <c r="Y342" i="6"/>
  <c r="AL342" i="6" s="1"/>
  <c r="Q253" i="6"/>
  <c r="AA253" i="6"/>
  <c r="AN253" i="6" s="1"/>
  <c r="Z342" i="6"/>
  <c r="AM342" i="6" s="1"/>
  <c r="P342" i="6"/>
  <c r="BF342" i="6" l="1"/>
  <c r="BL253" i="6"/>
  <c r="AZ342" i="6"/>
  <c r="BO693" i="6"/>
  <c r="BA693" i="6"/>
  <c r="CL342" i="6"/>
  <c r="CV342" i="6" s="1"/>
  <c r="AC342" i="6"/>
  <c r="CP342" i="6"/>
  <c r="CB342" i="6"/>
  <c r="BX342" i="6"/>
  <c r="CH342" i="6" s="1"/>
  <c r="BQ342" i="6"/>
  <c r="BM342" i="6"/>
  <c r="CD253" i="6"/>
  <c r="CR253" i="6"/>
  <c r="CN253" i="6"/>
  <c r="CX253" i="6" s="1"/>
  <c r="AE253" i="6"/>
  <c r="BZ253" i="6"/>
  <c r="CJ253" i="6" s="1"/>
  <c r="AD342" i="6"/>
  <c r="CC342" i="6"/>
  <c r="CM342" i="6"/>
  <c r="CW342" i="6" s="1"/>
  <c r="BY342" i="6"/>
  <c r="CI342" i="6" s="1"/>
  <c r="CQ342" i="6"/>
  <c r="BG693" i="6"/>
  <c r="BP693" i="6"/>
  <c r="Z253" i="6"/>
  <c r="AM253" i="6" s="1"/>
  <c r="P253" i="6"/>
  <c r="O253" i="6"/>
  <c r="Y253" i="6"/>
  <c r="AL253" i="6" s="1"/>
  <c r="AA259" i="6"/>
  <c r="AN259" i="6" s="1"/>
  <c r="Q259" i="6"/>
  <c r="BL259" i="6" l="1"/>
  <c r="AZ253" i="6"/>
  <c r="BF253" i="6"/>
  <c r="BQ253" i="6"/>
  <c r="BM253" i="6"/>
  <c r="BX253" i="6"/>
  <c r="CH253" i="6" s="1"/>
  <c r="CL253" i="6"/>
  <c r="CV253" i="6" s="1"/>
  <c r="CB253" i="6"/>
  <c r="CP253" i="6"/>
  <c r="AC253" i="6"/>
  <c r="BP342" i="6"/>
  <c r="BG342" i="6"/>
  <c r="BA342" i="6"/>
  <c r="BO342" i="6"/>
  <c r="CD259" i="6"/>
  <c r="CN259" i="6"/>
  <c r="CX259" i="6" s="1"/>
  <c r="BZ259" i="6"/>
  <c r="CJ259" i="6" s="1"/>
  <c r="CR259" i="6"/>
  <c r="AE259" i="6"/>
  <c r="CM253" i="6"/>
  <c r="CW253" i="6" s="1"/>
  <c r="AD253" i="6"/>
  <c r="CC253" i="6"/>
  <c r="CQ253" i="6"/>
  <c r="BY253" i="6"/>
  <c r="CI253" i="6" s="1"/>
  <c r="P259" i="6"/>
  <c r="Z259" i="6"/>
  <c r="AM259" i="6" s="1"/>
  <c r="AN68" i="6"/>
  <c r="Q68" i="6"/>
  <c r="O259" i="6"/>
  <c r="Y259" i="6"/>
  <c r="AL259" i="6" s="1"/>
  <c r="BL68" i="6" l="1"/>
  <c r="BF259" i="6"/>
  <c r="AZ259" i="6"/>
  <c r="BQ259" i="6"/>
  <c r="BM259" i="6"/>
  <c r="BP253" i="6"/>
  <c r="BG253" i="6"/>
  <c r="CB259" i="6"/>
  <c r="CP259" i="6"/>
  <c r="AC259" i="6"/>
  <c r="BX259" i="6"/>
  <c r="CH259" i="6" s="1"/>
  <c r="CL259" i="6"/>
  <c r="CV259" i="6" s="1"/>
  <c r="CD68" i="6"/>
  <c r="AE68" i="6"/>
  <c r="BZ68" i="6"/>
  <c r="CJ68" i="6" s="1"/>
  <c r="CN68" i="6"/>
  <c r="CX68" i="6" s="1"/>
  <c r="CR68" i="6"/>
  <c r="BY259" i="6"/>
  <c r="CI259" i="6" s="1"/>
  <c r="CC259" i="6"/>
  <c r="CQ259" i="6"/>
  <c r="CM259" i="6"/>
  <c r="CW259" i="6" s="1"/>
  <c r="AD259" i="6"/>
  <c r="BO253" i="6"/>
  <c r="BA253" i="6"/>
  <c r="AN152" i="6"/>
  <c r="Q152" i="6"/>
  <c r="P68" i="6"/>
  <c r="AM68" i="6"/>
  <c r="O68" i="6"/>
  <c r="AL68" i="6"/>
  <c r="AZ68" i="6" l="1"/>
  <c r="BF68" i="6"/>
  <c r="BL152" i="6"/>
  <c r="BY68" i="6"/>
  <c r="CI68" i="6" s="1"/>
  <c r="CQ68" i="6"/>
  <c r="CC68" i="6"/>
  <c r="AD68" i="6"/>
  <c r="CM68" i="6"/>
  <c r="CW68" i="6" s="1"/>
  <c r="BZ152" i="6"/>
  <c r="AE152" i="6"/>
  <c r="CD152" i="6"/>
  <c r="CR152" i="6"/>
  <c r="CN152" i="6"/>
  <c r="BO259" i="6"/>
  <c r="BA259" i="6"/>
  <c r="BP259" i="6"/>
  <c r="BG259" i="6"/>
  <c r="BQ68" i="6"/>
  <c r="BM68" i="6"/>
  <c r="BX68" i="6"/>
  <c r="CH68" i="6" s="1"/>
  <c r="CB68" i="6"/>
  <c r="CL68" i="6"/>
  <c r="CV68" i="6" s="1"/>
  <c r="CP68" i="6"/>
  <c r="AC68" i="6"/>
  <c r="P152" i="6"/>
  <c r="AM152" i="6"/>
  <c r="AL152" i="6"/>
  <c r="O152" i="6"/>
  <c r="AN226" i="6"/>
  <c r="Q226" i="6"/>
  <c r="BF152" i="6" l="1"/>
  <c r="AZ152" i="6"/>
  <c r="BL226" i="6"/>
  <c r="CN226" i="6"/>
  <c r="CD226" i="6"/>
  <c r="AE226" i="6"/>
  <c r="CR226" i="6"/>
  <c r="BZ226" i="6"/>
  <c r="CP152" i="6"/>
  <c r="CL152" i="6"/>
  <c r="BX152" i="6"/>
  <c r="AC152" i="6"/>
  <c r="CB152" i="6"/>
  <c r="CX152" i="6"/>
  <c r="AD152" i="6"/>
  <c r="CM152" i="6"/>
  <c r="BY152" i="6"/>
  <c r="CC152" i="6"/>
  <c r="CQ152" i="6"/>
  <c r="BM152" i="6"/>
  <c r="BQ152" i="6"/>
  <c r="CJ152" i="6"/>
  <c r="BO68" i="6"/>
  <c r="BA68" i="6"/>
  <c r="BG68" i="6"/>
  <c r="BP68" i="6"/>
  <c r="P226" i="6"/>
  <c r="AM226" i="6"/>
  <c r="AL226" i="6"/>
  <c r="O226" i="6"/>
  <c r="AA142" i="6"/>
  <c r="AN142" i="6" s="1"/>
  <c r="Q142" i="6"/>
  <c r="BF226" i="6" l="1"/>
  <c r="BL142" i="6"/>
  <c r="AZ226" i="6"/>
  <c r="CJ226" i="6"/>
  <c r="CV152" i="6"/>
  <c r="CL226" i="6"/>
  <c r="AC226" i="6"/>
  <c r="CB226" i="6"/>
  <c r="CP226" i="6"/>
  <c r="BX226" i="6"/>
  <c r="CW152" i="6"/>
  <c r="BQ226" i="6"/>
  <c r="BM226" i="6"/>
  <c r="CH152" i="6"/>
  <c r="BG152" i="6"/>
  <c r="BP152" i="6"/>
  <c r="CX226" i="6"/>
  <c r="BZ142" i="6"/>
  <c r="CR142" i="6"/>
  <c r="CD142" i="6"/>
  <c r="CN142" i="6"/>
  <c r="AE142" i="6"/>
  <c r="CC226" i="6"/>
  <c r="CQ226" i="6"/>
  <c r="CM226" i="6"/>
  <c r="BY226" i="6"/>
  <c r="AD226" i="6"/>
  <c r="CI152" i="6"/>
  <c r="BA152" i="6"/>
  <c r="BO152" i="6"/>
  <c r="Z142" i="6"/>
  <c r="AM142" i="6" s="1"/>
  <c r="P142" i="6"/>
  <c r="O142" i="6"/>
  <c r="Y142" i="6"/>
  <c r="AL142" i="6" s="1"/>
  <c r="AZ142" i="6" l="1"/>
  <c r="BF142" i="6"/>
  <c r="CI226" i="6"/>
  <c r="AC142" i="6"/>
  <c r="BX142" i="6"/>
  <c r="CL142" i="6"/>
  <c r="CP142" i="6"/>
  <c r="CB142" i="6"/>
  <c r="CM142" i="6"/>
  <c r="CC142" i="6"/>
  <c r="CQ142" i="6"/>
  <c r="AD142" i="6"/>
  <c r="BY142" i="6"/>
  <c r="CW226" i="6"/>
  <c r="CX142" i="6"/>
  <c r="CJ142" i="6"/>
  <c r="BQ142" i="6"/>
  <c r="BM142" i="6"/>
  <c r="CH226" i="6"/>
  <c r="BO226" i="6"/>
  <c r="BA226" i="6"/>
  <c r="BP226" i="6"/>
  <c r="BG226" i="6"/>
  <c r="CV226" i="6"/>
  <c r="CI142" i="6" l="1"/>
  <c r="CH142" i="6"/>
  <c r="CW142" i="6"/>
  <c r="BG142" i="6"/>
  <c r="BP142" i="6"/>
  <c r="BO142" i="6"/>
  <c r="BA142" i="6"/>
  <c r="CV142" i="6"/>
  <c r="X135" i="6" l="1"/>
  <c r="AK135" i="6" s="1"/>
  <c r="N135" i="6"/>
  <c r="AS135" i="6" l="1"/>
  <c r="CK135" i="6"/>
  <c r="CU135" i="6" s="1"/>
  <c r="AB135" i="6"/>
  <c r="AF135" i="6" s="1"/>
  <c r="CO135" i="6"/>
  <c r="BW135" i="6"/>
  <c r="CG135" i="6" s="1"/>
  <c r="CA135" i="6"/>
  <c r="N39" i="6"/>
  <c r="X39" i="6"/>
  <c r="AK39" i="6" s="1"/>
  <c r="AS39" i="6" l="1"/>
  <c r="CO39" i="6"/>
  <c r="BW39" i="6"/>
  <c r="CG39" i="6" s="1"/>
  <c r="CA39" i="6"/>
  <c r="AB39" i="6"/>
  <c r="AF39" i="6" s="1"/>
  <c r="CK39" i="6"/>
  <c r="CU39" i="6" s="1"/>
  <c r="AT135" i="6"/>
  <c r="BN135" i="6"/>
  <c r="BR135" i="6" s="1"/>
  <c r="N40" i="6"/>
  <c r="X40" i="6"/>
  <c r="AK40" i="6" s="1"/>
  <c r="AS40" i="6" l="1"/>
  <c r="BN39" i="6"/>
  <c r="BR39" i="6" s="1"/>
  <c r="AT39" i="6"/>
  <c r="CK40" i="6"/>
  <c r="CU40" i="6" s="1"/>
  <c r="CO40" i="6"/>
  <c r="BW40" i="6"/>
  <c r="CG40" i="6" s="1"/>
  <c r="AB40" i="6"/>
  <c r="AF40" i="6" s="1"/>
  <c r="CA40" i="6"/>
  <c r="X17" i="6"/>
  <c r="AK17" i="6" s="1"/>
  <c r="N17" i="6"/>
  <c r="AS17" i="6" l="1"/>
  <c r="CO17" i="6"/>
  <c r="CK17" i="6"/>
  <c r="CU17" i="6" s="1"/>
  <c r="BW17" i="6"/>
  <c r="CG17" i="6" s="1"/>
  <c r="AB17" i="6"/>
  <c r="AF17" i="6" s="1"/>
  <c r="CA17" i="6"/>
  <c r="BN40" i="6"/>
  <c r="BR40" i="6" s="1"/>
  <c r="AT40" i="6"/>
  <c r="Z23" i="5"/>
  <c r="AE23" i="5" s="1"/>
  <c r="X11" i="6"/>
  <c r="AK11" i="6" s="1"/>
  <c r="N11" i="6"/>
  <c r="AS11" i="6" l="1"/>
  <c r="AB11" i="6"/>
  <c r="AF11" i="6" s="1"/>
  <c r="CO11" i="6"/>
  <c r="BW11" i="6"/>
  <c r="CG11" i="6" s="1"/>
  <c r="CA11" i="6"/>
  <c r="CK11" i="6"/>
  <c r="CU11" i="6" s="1"/>
  <c r="J23" i="5"/>
  <c r="O23" i="5" s="1"/>
  <c r="AD23" i="5"/>
  <c r="Q23" i="5"/>
  <c r="X23" i="5" s="1"/>
  <c r="BN17" i="6"/>
  <c r="BR17" i="6" s="1"/>
  <c r="AT17" i="6"/>
  <c r="N48" i="6"/>
  <c r="X48" i="6"/>
  <c r="AK48" i="6" s="1"/>
  <c r="AS48" i="6" l="1"/>
  <c r="AB48" i="6"/>
  <c r="AF48" i="6" s="1"/>
  <c r="CA48" i="6"/>
  <c r="CO48" i="6"/>
  <c r="CK48" i="6"/>
  <c r="BW48" i="6"/>
  <c r="BN11" i="6"/>
  <c r="BR11" i="6" s="1"/>
  <c r="AT11" i="6"/>
  <c r="AI23" i="5"/>
  <c r="AH23" i="5"/>
  <c r="X194" i="6"/>
  <c r="AK194" i="6" s="1"/>
  <c r="N194" i="6"/>
  <c r="AS194" i="6" l="1"/>
  <c r="CG48" i="6"/>
  <c r="M23" i="5"/>
  <c r="N23" i="5"/>
  <c r="AT48" i="6"/>
  <c r="BN48" i="6"/>
  <c r="BR48" i="6" s="1"/>
  <c r="CA194" i="6"/>
  <c r="CK194" i="6"/>
  <c r="AB194" i="6"/>
  <c r="AF194" i="6" s="1"/>
  <c r="CO194" i="6"/>
  <c r="BW194" i="6"/>
  <c r="U23" i="5"/>
  <c r="V23" i="5"/>
  <c r="CU48" i="6"/>
  <c r="X337" i="6"/>
  <c r="AK337" i="6" s="1"/>
  <c r="N337" i="6"/>
  <c r="AS337" i="6" l="1"/>
  <c r="CG194" i="6"/>
  <c r="CU194" i="6"/>
  <c r="CO337" i="6"/>
  <c r="BW337" i="6"/>
  <c r="CA337" i="6"/>
  <c r="CK337" i="6"/>
  <c r="AB337" i="6"/>
  <c r="AF337" i="6" s="1"/>
  <c r="BN194" i="6"/>
  <c r="BR194" i="6" s="1"/>
  <c r="AT194" i="6"/>
  <c r="N706" i="6"/>
  <c r="X706" i="6"/>
  <c r="AK706" i="6" s="1"/>
  <c r="AS706" i="6" l="1"/>
  <c r="CU337" i="6"/>
  <c r="BN337" i="6"/>
  <c r="BR337" i="6" s="1"/>
  <c r="AT337" i="6"/>
  <c r="CG337" i="6"/>
  <c r="CK706" i="6"/>
  <c r="CU706" i="6" s="1"/>
  <c r="BW706" i="6"/>
  <c r="CG706" i="6" s="1"/>
  <c r="CO706" i="6"/>
  <c r="CA706" i="6"/>
  <c r="AB706" i="6"/>
  <c r="AF706" i="6" s="1"/>
  <c r="X338" i="6"/>
  <c r="AK338" i="6" s="1"/>
  <c r="N338" i="6"/>
  <c r="AS338" i="6" l="1"/>
  <c r="BW338" i="6"/>
  <c r="CG338" i="6" s="1"/>
  <c r="CA338" i="6"/>
  <c r="AB338" i="6"/>
  <c r="AF338" i="6" s="1"/>
  <c r="CO338" i="6"/>
  <c r="CK338" i="6"/>
  <c r="CU338" i="6" s="1"/>
  <c r="BN706" i="6"/>
  <c r="BR706" i="6" s="1"/>
  <c r="AT706" i="6"/>
  <c r="N708" i="6"/>
  <c r="X708" i="6"/>
  <c r="AK708" i="6" s="1"/>
  <c r="AS708" i="6" l="1"/>
  <c r="BW708" i="6"/>
  <c r="CG708" i="6" s="1"/>
  <c r="CA708" i="6"/>
  <c r="CO708" i="6"/>
  <c r="CK708" i="6"/>
  <c r="CU708" i="6" s="1"/>
  <c r="AB708" i="6"/>
  <c r="AF708" i="6" s="1"/>
  <c r="AT338" i="6"/>
  <c r="BN338" i="6"/>
  <c r="BR338" i="6" s="1"/>
  <c r="N339" i="6"/>
  <c r="BN708" i="6" l="1"/>
  <c r="BR708" i="6" s="1"/>
  <c r="AT708" i="6"/>
  <c r="X339" i="6"/>
  <c r="N172" i="6"/>
  <c r="X172" i="6"/>
  <c r="AK172" i="6" s="1"/>
  <c r="CK339" i="6" l="1"/>
  <c r="CU339" i="6" s="1"/>
  <c r="AK339" i="6"/>
  <c r="AS172" i="6"/>
  <c r="BW339" i="6"/>
  <c r="CG339" i="6" s="1"/>
  <c r="CO339" i="6"/>
  <c r="CK172" i="6"/>
  <c r="CU172" i="6" s="1"/>
  <c r="AB172" i="6"/>
  <c r="AF172" i="6" s="1"/>
  <c r="CO172" i="6"/>
  <c r="BW172" i="6"/>
  <c r="CG172" i="6" s="1"/>
  <c r="CA172" i="6"/>
  <c r="CA339" i="6"/>
  <c r="AB339" i="6"/>
  <c r="AF339" i="6" s="1"/>
  <c r="Z20" i="5"/>
  <c r="Z17" i="5"/>
  <c r="Z21" i="5"/>
  <c r="AC17" i="5"/>
  <c r="AD17" i="5"/>
  <c r="AC21" i="5"/>
  <c r="AD21" i="5"/>
  <c r="N189" i="6"/>
  <c r="X189" i="6"/>
  <c r="AK189" i="6" s="1"/>
  <c r="AS339" i="6" l="1"/>
  <c r="AS189" i="6"/>
  <c r="AE17" i="5"/>
  <c r="AF17" i="5"/>
  <c r="AE21" i="5"/>
  <c r="CA189" i="6"/>
  <c r="BW189" i="6"/>
  <c r="CG189" i="6" s="1"/>
  <c r="AB189" i="6"/>
  <c r="AF189" i="6" s="1"/>
  <c r="CK189" i="6"/>
  <c r="CU189" i="6" s="1"/>
  <c r="CO189" i="6"/>
  <c r="BN339" i="6"/>
  <c r="BR339" i="6" s="1"/>
  <c r="AT339" i="6"/>
  <c r="AT172" i="6"/>
  <c r="BN172" i="6"/>
  <c r="BR172" i="6" s="1"/>
  <c r="AF21" i="5"/>
  <c r="AG21" i="5"/>
  <c r="AG17" i="5"/>
  <c r="J20" i="5"/>
  <c r="J17" i="5"/>
  <c r="J21" i="5"/>
  <c r="AR20" i="5"/>
  <c r="AR17" i="5"/>
  <c r="AR21" i="5"/>
  <c r="Q20" i="5"/>
  <c r="Q17" i="5"/>
  <c r="Q21" i="5"/>
  <c r="AW20" i="5"/>
  <c r="AW17" i="5"/>
  <c r="AW21" i="5"/>
  <c r="AH21" i="5"/>
  <c r="AI21" i="5"/>
  <c r="AH17" i="5"/>
  <c r="AI17" i="5"/>
  <c r="AK25" i="6"/>
  <c r="N25" i="6"/>
  <c r="AS25" i="6" l="1"/>
  <c r="AD20" i="5"/>
  <c r="AC20" i="5"/>
  <c r="AE20" i="5"/>
  <c r="CO25" i="6"/>
  <c r="BW25" i="6"/>
  <c r="CG25" i="6" s="1"/>
  <c r="CK25" i="6"/>
  <c r="CU25" i="6" s="1"/>
  <c r="AB25" i="6"/>
  <c r="AF25" i="6" s="1"/>
  <c r="CA25" i="6"/>
  <c r="M20" i="5"/>
  <c r="BN189" i="6"/>
  <c r="BR189" i="6" s="1"/>
  <c r="AT189" i="6"/>
  <c r="T20" i="5"/>
  <c r="U20" i="5"/>
  <c r="T17" i="5"/>
  <c r="U17" i="5"/>
  <c r="U21" i="5"/>
  <c r="T21" i="5"/>
  <c r="AV20" i="5"/>
  <c r="AV17" i="5"/>
  <c r="AV21" i="5"/>
  <c r="M17" i="5"/>
  <c r="M21" i="5"/>
  <c r="AQ20" i="5"/>
  <c r="AQ17" i="5"/>
  <c r="AQ21" i="5"/>
  <c r="AU20" i="5"/>
  <c r="AU17" i="5"/>
  <c r="AU21" i="5"/>
  <c r="AP20" i="5"/>
  <c r="AP17" i="5"/>
  <c r="AP21" i="5"/>
  <c r="N95" i="6"/>
  <c r="AK95" i="6"/>
  <c r="AS95" i="6" l="1"/>
  <c r="O20" i="5"/>
  <c r="AG20" i="5"/>
  <c r="AH20" i="5"/>
  <c r="AI20" i="5"/>
  <c r="AT25" i="6"/>
  <c r="BN25" i="6"/>
  <c r="BR25" i="6" s="1"/>
  <c r="AB95" i="6"/>
  <c r="AF95" i="6" s="1"/>
  <c r="BW95" i="6"/>
  <c r="CG95" i="6" s="1"/>
  <c r="CK95" i="6"/>
  <c r="CU95" i="6" s="1"/>
  <c r="CA95" i="6"/>
  <c r="CO95" i="6"/>
  <c r="AF20" i="5"/>
  <c r="V17" i="5"/>
  <c r="V21" i="5"/>
  <c r="O21" i="5"/>
  <c r="N21" i="5"/>
  <c r="V20" i="5"/>
  <c r="W20" i="5"/>
  <c r="X20" i="5"/>
  <c r="N17" i="5"/>
  <c r="O17" i="5"/>
  <c r="X21" i="5"/>
  <c r="W21" i="5"/>
  <c r="W17" i="5"/>
  <c r="X17" i="5"/>
  <c r="AK136" i="6"/>
  <c r="N136" i="6"/>
  <c r="AS136" i="6" l="1"/>
  <c r="N20" i="5"/>
  <c r="CO136" i="6"/>
  <c r="AT95" i="6"/>
  <c r="BN95" i="6"/>
  <c r="BR95" i="6" s="1"/>
  <c r="CA136" i="6"/>
  <c r="CK136" i="6"/>
  <c r="CU136" i="6" s="1"/>
  <c r="BW136" i="6"/>
  <c r="CG136" i="6" s="1"/>
  <c r="AB136" i="6"/>
  <c r="AF136" i="6" s="1"/>
  <c r="N236" i="6"/>
  <c r="AS236" i="6" l="1"/>
  <c r="CO236" i="6"/>
  <c r="BW236" i="6"/>
  <c r="CG236" i="6" s="1"/>
  <c r="CK236" i="6"/>
  <c r="CU236" i="6" s="1"/>
  <c r="AB236" i="6"/>
  <c r="AF236" i="6" s="1"/>
  <c r="CA236" i="6"/>
  <c r="AT136" i="6"/>
  <c r="BN136" i="6"/>
  <c r="BR136" i="6" s="1"/>
  <c r="N227" i="6"/>
  <c r="AS227" i="6" l="1"/>
  <c r="BN236" i="6"/>
  <c r="BR236" i="6" s="1"/>
  <c r="AT236" i="6"/>
  <c r="AB227" i="6"/>
  <c r="AF227" i="6" s="1"/>
  <c r="CO227" i="6"/>
  <c r="CA227" i="6"/>
  <c r="CK227" i="6"/>
  <c r="BW227" i="6"/>
  <c r="N254" i="6"/>
  <c r="AS254" i="6" l="1"/>
  <c r="CG227" i="6"/>
  <c r="BN227" i="6"/>
  <c r="BR227" i="6" s="1"/>
  <c r="AT227" i="6"/>
  <c r="AB254" i="6"/>
  <c r="AF254" i="6" s="1"/>
  <c r="BW254" i="6"/>
  <c r="CG254" i="6" s="1"/>
  <c r="CK254" i="6"/>
  <c r="CU254" i="6" s="1"/>
  <c r="CO254" i="6"/>
  <c r="CA254" i="6"/>
  <c r="CU227" i="6"/>
  <c r="N132" i="6"/>
  <c r="AS132" i="6" l="1"/>
  <c r="AB132" i="6"/>
  <c r="AF132" i="6" s="1"/>
  <c r="BW132" i="6"/>
  <c r="CG132" i="6" s="1"/>
  <c r="CK132" i="6"/>
  <c r="CU132" i="6" s="1"/>
  <c r="CO132" i="6"/>
  <c r="CA132" i="6"/>
  <c r="AT254" i="6"/>
  <c r="BN254" i="6"/>
  <c r="BR254" i="6" s="1"/>
  <c r="N165" i="6"/>
  <c r="AS165" i="6" l="1"/>
  <c r="AT132" i="6"/>
  <c r="BN132" i="6"/>
  <c r="BR132" i="6" s="1"/>
  <c r="BW165" i="6"/>
  <c r="CG165" i="6" s="1"/>
  <c r="CK165" i="6"/>
  <c r="CU165" i="6" s="1"/>
  <c r="CA165" i="6"/>
  <c r="CO165" i="6"/>
  <c r="AB165" i="6"/>
  <c r="AF165" i="6" s="1"/>
  <c r="N343" i="6"/>
  <c r="AS343" i="6" l="1"/>
  <c r="CO343" i="6"/>
  <c r="CK343" i="6"/>
  <c r="CU343" i="6" s="1"/>
  <c r="BW343" i="6"/>
  <c r="CG343" i="6" s="1"/>
  <c r="AB343" i="6"/>
  <c r="AF343" i="6" s="1"/>
  <c r="CA343" i="6"/>
  <c r="AT165" i="6"/>
  <c r="BN165" i="6"/>
  <c r="BR165" i="6" s="1"/>
  <c r="X12" i="6"/>
  <c r="AK12" i="6" s="1"/>
  <c r="N12" i="6"/>
  <c r="AS12" i="6" l="1"/>
  <c r="CK12" i="6"/>
  <c r="CA12" i="6"/>
  <c r="AB12" i="6"/>
  <c r="AF12" i="6" s="1"/>
  <c r="CO12" i="6"/>
  <c r="BW12" i="6"/>
  <c r="AT343" i="6"/>
  <c r="BN343" i="6"/>
  <c r="BR343" i="6" s="1"/>
  <c r="N10" i="6"/>
  <c r="X10" i="6"/>
  <c r="AK10" i="6" s="1"/>
  <c r="AS10" i="6" l="1"/>
  <c r="CG12" i="6"/>
  <c r="CA10" i="6"/>
  <c r="BW10" i="6"/>
  <c r="AB10" i="6"/>
  <c r="AF10" i="6" s="1"/>
  <c r="CK10" i="6"/>
  <c r="CO10" i="6"/>
  <c r="BN12" i="6"/>
  <c r="BR12" i="6" s="1"/>
  <c r="AT12" i="6"/>
  <c r="CU12" i="6"/>
  <c r="X16" i="6"/>
  <c r="AK16" i="6" s="1"/>
  <c r="N16" i="6"/>
  <c r="AS16" i="6" l="1"/>
  <c r="CU10" i="6"/>
  <c r="CK16" i="6"/>
  <c r="CA16" i="6"/>
  <c r="CO16" i="6"/>
  <c r="AB16" i="6"/>
  <c r="AF16" i="6" s="1"/>
  <c r="BW16" i="6"/>
  <c r="AT10" i="6"/>
  <c r="BN10" i="6"/>
  <c r="BR10" i="6" s="1"/>
  <c r="CG10" i="6"/>
  <c r="X14" i="6"/>
  <c r="AK14" i="6" s="1"/>
  <c r="N14" i="6"/>
  <c r="AS14" i="6" l="1"/>
  <c r="AT16" i="6"/>
  <c r="BN16" i="6"/>
  <c r="BR16" i="6" s="1"/>
  <c r="CA14" i="6"/>
  <c r="BW14" i="6"/>
  <c r="CG14" i="6" s="1"/>
  <c r="CK14" i="6"/>
  <c r="CU14" i="6" s="1"/>
  <c r="AB14" i="6"/>
  <c r="AF14" i="6" s="1"/>
  <c r="CO14" i="6"/>
  <c r="CG16" i="6"/>
  <c r="CU16" i="6"/>
  <c r="N344" i="6"/>
  <c r="X344" i="6"/>
  <c r="AK344" i="6" s="1"/>
  <c r="AS344" i="6" l="1"/>
  <c r="BN14" i="6"/>
  <c r="BR14" i="6" s="1"/>
  <c r="AT14" i="6"/>
  <c r="CK344" i="6"/>
  <c r="CU344" i="6" s="1"/>
  <c r="BW344" i="6"/>
  <c r="CG344" i="6" s="1"/>
  <c r="CA344" i="6"/>
  <c r="CO344" i="6"/>
  <c r="AB344" i="6"/>
  <c r="AF344" i="6" s="1"/>
  <c r="X345" i="6"/>
  <c r="AK345" i="6" s="1"/>
  <c r="N345" i="6"/>
  <c r="AS345" i="6" l="1"/>
  <c r="CA345" i="6"/>
  <c r="AB345" i="6"/>
  <c r="AF345" i="6" s="1"/>
  <c r="BW345" i="6"/>
  <c r="CG345" i="6" s="1"/>
  <c r="CK345" i="6"/>
  <c r="CU345" i="6" s="1"/>
  <c r="CO345" i="6"/>
  <c r="AT344" i="6"/>
  <c r="BN344" i="6"/>
  <c r="BR344" i="6" s="1"/>
  <c r="X83" i="6"/>
  <c r="AK83" i="6" s="1"/>
  <c r="N83" i="6"/>
  <c r="AS83" i="6" l="1"/>
  <c r="BW83" i="6"/>
  <c r="AB83" i="6"/>
  <c r="AF83" i="6" s="1"/>
  <c r="CK83" i="6"/>
  <c r="CO83" i="6"/>
  <c r="CA83" i="6"/>
  <c r="AT345" i="6"/>
  <c r="BN345" i="6"/>
  <c r="BR345" i="6" s="1"/>
  <c r="N81" i="6"/>
  <c r="AS81" i="6" l="1"/>
  <c r="CU83" i="6"/>
  <c r="CG83" i="6"/>
  <c r="BN83" i="6"/>
  <c r="BR83" i="6" s="1"/>
  <c r="AT83" i="6"/>
  <c r="CK81" i="6"/>
  <c r="CA81" i="6"/>
  <c r="CO81" i="6"/>
  <c r="AB81" i="6"/>
  <c r="AF81" i="6" s="1"/>
  <c r="BW81" i="6"/>
  <c r="N112" i="6"/>
  <c r="X112" i="6"/>
  <c r="AK112" i="6" s="1"/>
  <c r="AS112" i="6" l="1"/>
  <c r="CU81" i="6"/>
  <c r="CG81" i="6"/>
  <c r="AB112" i="6"/>
  <c r="AF112" i="6" s="1"/>
  <c r="CK112" i="6"/>
  <c r="CO112" i="6"/>
  <c r="CA112" i="6"/>
  <c r="BW112" i="6"/>
  <c r="AT81" i="6"/>
  <c r="BN81" i="6"/>
  <c r="BR81" i="6" s="1"/>
  <c r="N118" i="6"/>
  <c r="X118" i="6"/>
  <c r="AK118" i="6" s="1"/>
  <c r="AS118" i="6" l="1"/>
  <c r="CG112" i="6"/>
  <c r="CU112" i="6"/>
  <c r="CK118" i="6"/>
  <c r="AB118" i="6"/>
  <c r="AF118" i="6" s="1"/>
  <c r="CA118" i="6"/>
  <c r="CO118" i="6"/>
  <c r="BW118" i="6"/>
  <c r="AT112" i="6"/>
  <c r="BN112" i="6"/>
  <c r="BR112" i="6" s="1"/>
  <c r="X185" i="6"/>
  <c r="AK185" i="6" s="1"/>
  <c r="N185" i="6"/>
  <c r="AS185" i="6" l="1"/>
  <c r="CG118" i="6"/>
  <c r="CU118" i="6"/>
  <c r="CO185" i="6"/>
  <c r="CK185" i="6"/>
  <c r="AB185" i="6"/>
  <c r="AF185" i="6" s="1"/>
  <c r="CA185" i="6"/>
  <c r="BW185" i="6"/>
  <c r="BN118" i="6"/>
  <c r="BR118" i="6" s="1"/>
  <c r="AT118" i="6"/>
  <c r="N82" i="6"/>
  <c r="AS82" i="6" l="1"/>
  <c r="CG185" i="6"/>
  <c r="CU185" i="6"/>
  <c r="CK82" i="6"/>
  <c r="CO82" i="6"/>
  <c r="CA82" i="6"/>
  <c r="AB82" i="6"/>
  <c r="AF82" i="6" s="1"/>
  <c r="BW82" i="6"/>
  <c r="AT185" i="6"/>
  <c r="BN185" i="6"/>
  <c r="BR185" i="6" s="1"/>
  <c r="CG82" i="6" l="1"/>
  <c r="CU82" i="6"/>
  <c r="AT82" i="6"/>
  <c r="BN82" i="6"/>
  <c r="BR82" i="6" s="1"/>
  <c r="N346" i="6" l="1"/>
  <c r="AS346" i="6" l="1"/>
  <c r="CK346" i="6"/>
  <c r="CU346" i="6" s="1"/>
  <c r="BW346" i="6"/>
  <c r="CG346" i="6" s="1"/>
  <c r="CA346" i="6"/>
  <c r="CO346" i="6"/>
  <c r="AB346" i="6"/>
  <c r="AF346" i="6" s="1"/>
  <c r="N347" i="6"/>
  <c r="AS347" i="6" l="1"/>
  <c r="BN346" i="6"/>
  <c r="BR346" i="6" s="1"/>
  <c r="AT346" i="6"/>
  <c r="CO347" i="6"/>
  <c r="BW347" i="6"/>
  <c r="CG347" i="6" s="1"/>
  <c r="CK347" i="6"/>
  <c r="CU347" i="6" s="1"/>
  <c r="AB347" i="6"/>
  <c r="CA347" i="6"/>
  <c r="N348" i="6"/>
  <c r="AS348" i="6" l="1"/>
  <c r="BN347" i="6"/>
  <c r="AT347" i="6"/>
  <c r="CK348" i="6"/>
  <c r="CU348" i="6" s="1"/>
  <c r="BW348" i="6"/>
  <c r="CG348" i="6" s="1"/>
  <c r="AB348" i="6"/>
  <c r="CO348" i="6"/>
  <c r="CA348" i="6"/>
  <c r="N246" i="6"/>
  <c r="AS246" i="6" l="1"/>
  <c r="CA246" i="6"/>
  <c r="CK246" i="6"/>
  <c r="AB246" i="6"/>
  <c r="BW246" i="6"/>
  <c r="CO246" i="6"/>
  <c r="BN348" i="6"/>
  <c r="AT348" i="6"/>
  <c r="N255" i="6"/>
  <c r="AS255" i="6" l="1"/>
  <c r="CG246" i="6"/>
  <c r="CU246" i="6"/>
  <c r="CK255" i="6"/>
  <c r="CO255" i="6"/>
  <c r="CA255" i="6"/>
  <c r="BW255" i="6"/>
  <c r="AB255" i="6"/>
  <c r="BN246" i="6"/>
  <c r="AT246" i="6"/>
  <c r="CG255" i="6" l="1"/>
  <c r="CU255" i="6"/>
  <c r="AT255" i="6"/>
  <c r="BN255" i="6"/>
  <c r="N43" i="6"/>
  <c r="AS43" i="6" l="1"/>
  <c r="CO43" i="6"/>
  <c r="AB43" i="6"/>
  <c r="AF43" i="6" s="1"/>
  <c r="CK43" i="6"/>
  <c r="CU43" i="6" s="1"/>
  <c r="BW43" i="6"/>
  <c r="CG43" i="6" s="1"/>
  <c r="CA43" i="6"/>
  <c r="X131" i="6"/>
  <c r="AK131" i="6" s="1"/>
  <c r="N131" i="6"/>
  <c r="AS131" i="6" l="1"/>
  <c r="AB131" i="6"/>
  <c r="AF131" i="6" s="1"/>
  <c r="CO131" i="6"/>
  <c r="CA131" i="6"/>
  <c r="CK131" i="6"/>
  <c r="CU131" i="6" s="1"/>
  <c r="BW131" i="6"/>
  <c r="CG131" i="6" s="1"/>
  <c r="BN43" i="6"/>
  <c r="BR43" i="6" s="1"/>
  <c r="AT43" i="6"/>
  <c r="X145" i="6"/>
  <c r="AK145" i="6" s="1"/>
  <c r="N145" i="6"/>
  <c r="AS145" i="6" l="1"/>
  <c r="AT131" i="6"/>
  <c r="BN131" i="6"/>
  <c r="BR131" i="6" s="1"/>
  <c r="CK145" i="6"/>
  <c r="CU145" i="6" s="1"/>
  <c r="CO145" i="6"/>
  <c r="CA145" i="6"/>
  <c r="AB145" i="6"/>
  <c r="AF145" i="6" s="1"/>
  <c r="BW145" i="6"/>
  <c r="CG145" i="6" s="1"/>
  <c r="X228" i="6"/>
  <c r="AK228" i="6" s="1"/>
  <c r="N228" i="6"/>
  <c r="AS228" i="6" l="1"/>
  <c r="BN145" i="6"/>
  <c r="BR145" i="6" s="1"/>
  <c r="AT145" i="6"/>
  <c r="CA228" i="6"/>
  <c r="AB228" i="6"/>
  <c r="AF228" i="6" s="1"/>
  <c r="BW228" i="6"/>
  <c r="CG228" i="6" s="1"/>
  <c r="CK228" i="6"/>
  <c r="CU228" i="6" s="1"/>
  <c r="CO228" i="6"/>
  <c r="X349" i="6"/>
  <c r="AK349" i="6" s="1"/>
  <c r="N349" i="6"/>
  <c r="AS349" i="6" l="1"/>
  <c r="CO349" i="6"/>
  <c r="CA349" i="6"/>
  <c r="CK349" i="6"/>
  <c r="CU349" i="6" s="1"/>
  <c r="BW349" i="6"/>
  <c r="CG349" i="6" s="1"/>
  <c r="AB349" i="6"/>
  <c r="AT228" i="6"/>
  <c r="BN228" i="6"/>
  <c r="BR228" i="6" s="1"/>
  <c r="N350" i="6"/>
  <c r="AT349" i="6" l="1"/>
  <c r="BN349" i="6"/>
  <c r="X350" i="6"/>
  <c r="X37" i="6"/>
  <c r="AK37" i="6" s="1"/>
  <c r="CK350" i="6" l="1"/>
  <c r="CU350" i="6" s="1"/>
  <c r="AK350" i="6"/>
  <c r="CA350" i="6"/>
  <c r="CO350" i="6"/>
  <c r="AB350" i="6"/>
  <c r="BW350" i="6"/>
  <c r="CG350" i="6" s="1"/>
  <c r="X26" i="6"/>
  <c r="AK26" i="6" s="1"/>
  <c r="N26" i="6"/>
  <c r="AS350" i="6" l="1"/>
  <c r="AT350" i="6" s="1"/>
  <c r="AS26" i="6"/>
  <c r="CO26" i="6"/>
  <c r="AB26" i="6"/>
  <c r="CK26" i="6"/>
  <c r="BW26" i="6"/>
  <c r="CA26" i="6"/>
  <c r="X21" i="6"/>
  <c r="AK21" i="6" s="1"/>
  <c r="N21" i="6"/>
  <c r="BN350" i="6" l="1"/>
  <c r="AS21" i="6"/>
  <c r="BN26" i="6"/>
  <c r="AT26" i="6"/>
  <c r="CG26" i="6"/>
  <c r="CA21" i="6"/>
  <c r="CO21" i="6"/>
  <c r="BW21" i="6"/>
  <c r="AB21" i="6"/>
  <c r="CK21" i="6"/>
  <c r="CU26" i="6"/>
  <c r="X15" i="6"/>
  <c r="AK15" i="6" s="1"/>
  <c r="CU21" i="6" l="1"/>
  <c r="BN21" i="6"/>
  <c r="AT21" i="6"/>
  <c r="CG21" i="6"/>
  <c r="N15" i="6"/>
  <c r="X20" i="6"/>
  <c r="AK20" i="6" s="1"/>
  <c r="N20" i="6"/>
  <c r="AS15" i="6" l="1"/>
  <c r="AS20" i="6"/>
  <c r="CA15" i="6"/>
  <c r="AB15" i="6"/>
  <c r="BW15" i="6"/>
  <c r="CK15" i="6"/>
  <c r="CO15" i="6"/>
  <c r="CO20" i="6"/>
  <c r="CK20" i="6"/>
  <c r="BW20" i="6"/>
  <c r="AB20" i="6"/>
  <c r="CA20" i="6"/>
  <c r="X190" i="6"/>
  <c r="AK190" i="6" s="1"/>
  <c r="CU20" i="6" l="1"/>
  <c r="CU15" i="6"/>
  <c r="CG20" i="6"/>
  <c r="AT20" i="6"/>
  <c r="BN20" i="6"/>
  <c r="CG15" i="6"/>
  <c r="BN15" i="6"/>
  <c r="AT15" i="6"/>
  <c r="X217" i="6"/>
  <c r="AK217" i="6" s="1"/>
  <c r="X351" i="6" l="1"/>
  <c r="AK351" i="6" s="1"/>
  <c r="X352" i="6" l="1"/>
  <c r="AK352" i="6" s="1"/>
  <c r="X353" i="6" l="1"/>
  <c r="AK353" i="6" s="1"/>
  <c r="N353" i="6"/>
  <c r="AS353" i="6" l="1"/>
  <c r="BW353" i="6"/>
  <c r="CG353" i="6" s="1"/>
  <c r="CK353" i="6"/>
  <c r="CU353" i="6" s="1"/>
  <c r="AB353" i="6"/>
  <c r="AF353" i="6" s="1"/>
  <c r="CA353" i="6"/>
  <c r="CO353" i="6"/>
  <c r="N354" i="6"/>
  <c r="AK354" i="6"/>
  <c r="AS354" i="6" l="1"/>
  <c r="AB354" i="6"/>
  <c r="AF354" i="6" s="1"/>
  <c r="CK354" i="6"/>
  <c r="CU354" i="6" s="1"/>
  <c r="CO354" i="6"/>
  <c r="BW354" i="6"/>
  <c r="CG354" i="6" s="1"/>
  <c r="CA354" i="6"/>
  <c r="BN353" i="6"/>
  <c r="BR353" i="6" s="1"/>
  <c r="AT353" i="6"/>
  <c r="X166" i="6"/>
  <c r="AK166" i="6" s="1"/>
  <c r="N166" i="6"/>
  <c r="AS166" i="6" l="1"/>
  <c r="CK166" i="6"/>
  <c r="CU166" i="6" s="1"/>
  <c r="CA166" i="6"/>
  <c r="AB166" i="6"/>
  <c r="AF166" i="6" s="1"/>
  <c r="BW166" i="6"/>
  <c r="CG166" i="6" s="1"/>
  <c r="CO166" i="6"/>
  <c r="BN354" i="6"/>
  <c r="BR354" i="6" s="1"/>
  <c r="AT354" i="6"/>
  <c r="N355" i="6"/>
  <c r="X355" i="6"/>
  <c r="AK355" i="6" s="1"/>
  <c r="AS355" i="6" l="1"/>
  <c r="CO355" i="6"/>
  <c r="AB355" i="6"/>
  <c r="AF355" i="6" s="1"/>
  <c r="CA355" i="6"/>
  <c r="BW355" i="6"/>
  <c r="CG355" i="6" s="1"/>
  <c r="CK355" i="6"/>
  <c r="CU355" i="6" s="1"/>
  <c r="AT166" i="6"/>
  <c r="BN166" i="6"/>
  <c r="BR166" i="6" s="1"/>
  <c r="X133" i="6"/>
  <c r="AK133" i="6" s="1"/>
  <c r="N133" i="6"/>
  <c r="AS133" i="6" l="1"/>
  <c r="AB133" i="6"/>
  <c r="AF133" i="6" s="1"/>
  <c r="CO133" i="6"/>
  <c r="BW133" i="6"/>
  <c r="CG133" i="6" s="1"/>
  <c r="CK133" i="6"/>
  <c r="CU133" i="6" s="1"/>
  <c r="CA133" i="6"/>
  <c r="AT355" i="6"/>
  <c r="BN355" i="6"/>
  <c r="BR355" i="6" s="1"/>
  <c r="X167" i="6"/>
  <c r="AK167" i="6" s="1"/>
  <c r="N167" i="6"/>
  <c r="AS167" i="6" l="1"/>
  <c r="CO167" i="6"/>
  <c r="AB167" i="6"/>
  <c r="AF167" i="6" s="1"/>
  <c r="BW167" i="6"/>
  <c r="CG167" i="6" s="1"/>
  <c r="CA167" i="6"/>
  <c r="CK167" i="6"/>
  <c r="CU167" i="6" s="1"/>
  <c r="BN133" i="6"/>
  <c r="BR133" i="6" s="1"/>
  <c r="AT133" i="6"/>
  <c r="N168" i="6"/>
  <c r="X168" i="6"/>
  <c r="AK168" i="6" s="1"/>
  <c r="AS168" i="6" l="1"/>
  <c r="CO168" i="6"/>
  <c r="AB168" i="6"/>
  <c r="AF168" i="6" s="1"/>
  <c r="BW168" i="6"/>
  <c r="CG168" i="6" s="1"/>
  <c r="CK168" i="6"/>
  <c r="CU168" i="6" s="1"/>
  <c r="CA168" i="6"/>
  <c r="BN167" i="6"/>
  <c r="BR167" i="6" s="1"/>
  <c r="AT167" i="6"/>
  <c r="N356" i="6"/>
  <c r="X356" i="6"/>
  <c r="AK356" i="6" s="1"/>
  <c r="AS356" i="6" l="1"/>
  <c r="CA356" i="6"/>
  <c r="CO356" i="6"/>
  <c r="CK356" i="6"/>
  <c r="CU356" i="6" s="1"/>
  <c r="BW356" i="6"/>
  <c r="CG356" i="6" s="1"/>
  <c r="AB356" i="6"/>
  <c r="AF356" i="6" s="1"/>
  <c r="BN168" i="6"/>
  <c r="BR168" i="6" s="1"/>
  <c r="AT168" i="6"/>
  <c r="X357" i="6"/>
  <c r="AK357" i="6" s="1"/>
  <c r="N357" i="6"/>
  <c r="AS357" i="6" l="1"/>
  <c r="BN356" i="6"/>
  <c r="BR356" i="6" s="1"/>
  <c r="AT356" i="6"/>
  <c r="CK357" i="6"/>
  <c r="CU357" i="6" s="1"/>
  <c r="CO357" i="6"/>
  <c r="CA357" i="6"/>
  <c r="BW357" i="6"/>
  <c r="CG357" i="6" s="1"/>
  <c r="AB357" i="6"/>
  <c r="AF357" i="6" s="1"/>
  <c r="X291" i="6"/>
  <c r="AK291" i="6" s="1"/>
  <c r="N291" i="6"/>
  <c r="AS291" i="6" l="1"/>
  <c r="CA291" i="6"/>
  <c r="CO291" i="6"/>
  <c r="AB291" i="6"/>
  <c r="AF291" i="6" s="1"/>
  <c r="BW291" i="6"/>
  <c r="CG291" i="6" s="1"/>
  <c r="CK291" i="6"/>
  <c r="CU291" i="6" s="1"/>
  <c r="BN357" i="6"/>
  <c r="BR357" i="6" s="1"/>
  <c r="AT357" i="6"/>
  <c r="N358" i="6"/>
  <c r="X358" i="6"/>
  <c r="AK358" i="6" s="1"/>
  <c r="AS358" i="6" l="1"/>
  <c r="CK358" i="6"/>
  <c r="CU358" i="6" s="1"/>
  <c r="CO358" i="6"/>
  <c r="CA358" i="6"/>
  <c r="AB358" i="6"/>
  <c r="AF358" i="6" s="1"/>
  <c r="BW358" i="6"/>
  <c r="CG358" i="6" s="1"/>
  <c r="BN291" i="6"/>
  <c r="BR291" i="6" s="1"/>
  <c r="AT291" i="6"/>
  <c r="N359" i="6"/>
  <c r="X359" i="6"/>
  <c r="AK359" i="6" s="1"/>
  <c r="AS359" i="6" l="1"/>
  <c r="CO359" i="6"/>
  <c r="AB359" i="6"/>
  <c r="AF359" i="6" s="1"/>
  <c r="CK359" i="6"/>
  <c r="CU359" i="6" s="1"/>
  <c r="CA359" i="6"/>
  <c r="BW359" i="6"/>
  <c r="CG359" i="6" s="1"/>
  <c r="AT358" i="6"/>
  <c r="BN358" i="6"/>
  <c r="BR358" i="6" s="1"/>
  <c r="X360" i="6"/>
  <c r="AK360" i="6" s="1"/>
  <c r="N360" i="6"/>
  <c r="AS360" i="6" l="1"/>
  <c r="CK360" i="6"/>
  <c r="CU360" i="6" s="1"/>
  <c r="CO360" i="6"/>
  <c r="CA360" i="6"/>
  <c r="BW360" i="6"/>
  <c r="CG360" i="6" s="1"/>
  <c r="AB360" i="6"/>
  <c r="AF360" i="6" s="1"/>
  <c r="BN359" i="6"/>
  <c r="BR359" i="6" s="1"/>
  <c r="AT359" i="6"/>
  <c r="X361" i="6"/>
  <c r="AK361" i="6" s="1"/>
  <c r="N361" i="6"/>
  <c r="AS361" i="6" l="1"/>
  <c r="CK361" i="6"/>
  <c r="CU361" i="6" s="1"/>
  <c r="AB361" i="6"/>
  <c r="AF361" i="6" s="1"/>
  <c r="BW361" i="6"/>
  <c r="CG361" i="6" s="1"/>
  <c r="CO361" i="6"/>
  <c r="CA361" i="6"/>
  <c r="BN360" i="6"/>
  <c r="BR360" i="6" s="1"/>
  <c r="AT360" i="6"/>
  <c r="N362" i="6"/>
  <c r="X362" i="6"/>
  <c r="AK362" i="6" s="1"/>
  <c r="AS362" i="6" l="1"/>
  <c r="BW362" i="6"/>
  <c r="CG362" i="6" s="1"/>
  <c r="CA362" i="6"/>
  <c r="CK362" i="6"/>
  <c r="CU362" i="6" s="1"/>
  <c r="AB362" i="6"/>
  <c r="AF362" i="6" s="1"/>
  <c r="CO362" i="6"/>
  <c r="AT361" i="6"/>
  <c r="BN361" i="6"/>
  <c r="BR361" i="6" s="1"/>
  <c r="X196" i="6"/>
  <c r="AK196" i="6" s="1"/>
  <c r="N196" i="6"/>
  <c r="AS196" i="6" l="1"/>
  <c r="CK196" i="6"/>
  <c r="CU196" i="6" s="1"/>
  <c r="AB196" i="6"/>
  <c r="AF196" i="6" s="1"/>
  <c r="BW196" i="6"/>
  <c r="CG196" i="6" s="1"/>
  <c r="CO196" i="6"/>
  <c r="CA196" i="6"/>
  <c r="BN362" i="6"/>
  <c r="BR362" i="6" s="1"/>
  <c r="AT362" i="6"/>
  <c r="X197" i="6"/>
  <c r="AK197" i="6" s="1"/>
  <c r="N197" i="6"/>
  <c r="AS197" i="6" l="1"/>
  <c r="CO197" i="6"/>
  <c r="BW197" i="6"/>
  <c r="CG197" i="6" s="1"/>
  <c r="CA197" i="6"/>
  <c r="CK197" i="6"/>
  <c r="CU197" i="6" s="1"/>
  <c r="AB197" i="6"/>
  <c r="AF197" i="6" s="1"/>
  <c r="BN196" i="6"/>
  <c r="BR196" i="6" s="1"/>
  <c r="AT196" i="6"/>
  <c r="X198" i="6"/>
  <c r="AK198" i="6" s="1"/>
  <c r="N198" i="6"/>
  <c r="AS198" i="6" l="1"/>
  <c r="BW198" i="6"/>
  <c r="CG198" i="6" s="1"/>
  <c r="CK198" i="6"/>
  <c r="CU198" i="6" s="1"/>
  <c r="CO198" i="6"/>
  <c r="AB198" i="6"/>
  <c r="AF198" i="6" s="1"/>
  <c r="CA198" i="6"/>
  <c r="AT197" i="6"/>
  <c r="BN197" i="6"/>
  <c r="BR197" i="6" s="1"/>
  <c r="X199" i="6"/>
  <c r="AK199" i="6" s="1"/>
  <c r="N199" i="6"/>
  <c r="AS199" i="6" l="1"/>
  <c r="CA199" i="6"/>
  <c r="CK199" i="6"/>
  <c r="CU199" i="6" s="1"/>
  <c r="BW199" i="6"/>
  <c r="CG199" i="6" s="1"/>
  <c r="AB199" i="6"/>
  <c r="AF199" i="6" s="1"/>
  <c r="CO199" i="6"/>
  <c r="BN198" i="6"/>
  <c r="BR198" i="6" s="1"/>
  <c r="AT198" i="6"/>
  <c r="N363" i="6"/>
  <c r="X363" i="6"/>
  <c r="AK363" i="6" s="1"/>
  <c r="AS363" i="6" l="1"/>
  <c r="CK363" i="6"/>
  <c r="CU363" i="6" s="1"/>
  <c r="AB363" i="6"/>
  <c r="AF363" i="6" s="1"/>
  <c r="BW363" i="6"/>
  <c r="CG363" i="6" s="1"/>
  <c r="CO363" i="6"/>
  <c r="CA363" i="6"/>
  <c r="BN199" i="6"/>
  <c r="BR199" i="6" s="1"/>
  <c r="AT199" i="6"/>
  <c r="X364" i="6"/>
  <c r="AK364" i="6" s="1"/>
  <c r="N364" i="6"/>
  <c r="AS364" i="6" l="1"/>
  <c r="CO364" i="6"/>
  <c r="CK364" i="6"/>
  <c r="CU364" i="6" s="1"/>
  <c r="AT10" i="5" s="1"/>
  <c r="AX10" i="5" s="1"/>
  <c r="BW364" i="6"/>
  <c r="CG364" i="6" s="1"/>
  <c r="AO10" i="5" s="1"/>
  <c r="AS10" i="5" s="1"/>
  <c r="AB364" i="6"/>
  <c r="F10" i="5" s="1"/>
  <c r="CA364" i="6"/>
  <c r="AT363" i="6"/>
  <c r="BN363" i="6"/>
  <c r="BR363" i="6" s="1"/>
  <c r="AT364" i="6" l="1"/>
  <c r="BN364" i="6"/>
  <c r="AF364" i="6"/>
  <c r="AK10" i="5"/>
  <c r="G10" i="5" l="1"/>
  <c r="BR364" i="6"/>
  <c r="H10" i="5" l="1"/>
  <c r="AL10" i="5"/>
  <c r="AM10" i="5" s="1"/>
  <c r="X365" i="6" l="1"/>
  <c r="AK365" i="6" s="1"/>
  <c r="N365" i="6"/>
  <c r="AS365" i="6" l="1"/>
  <c r="CO365" i="6"/>
  <c r="BW365" i="6"/>
  <c r="CG365" i="6" s="1"/>
  <c r="CK365" i="6"/>
  <c r="CU365" i="6" s="1"/>
  <c r="CA365" i="6"/>
  <c r="AB365" i="6"/>
  <c r="AF365" i="6" s="1"/>
  <c r="N366" i="6"/>
  <c r="X366" i="6"/>
  <c r="AK366" i="6" s="1"/>
  <c r="AS366" i="6" l="1"/>
  <c r="BN365" i="6"/>
  <c r="BR365" i="6" s="1"/>
  <c r="AT365" i="6"/>
  <c r="BW366" i="6"/>
  <c r="CG366" i="6" s="1"/>
  <c r="CK366" i="6"/>
  <c r="CU366" i="6" s="1"/>
  <c r="CA366" i="6"/>
  <c r="CO366" i="6"/>
  <c r="AB366" i="6"/>
  <c r="AF366" i="6" s="1"/>
  <c r="N367" i="6"/>
  <c r="X367" i="6"/>
  <c r="AK367" i="6" s="1"/>
  <c r="AS367" i="6" l="1"/>
  <c r="BW367" i="6"/>
  <c r="CG367" i="6" s="1"/>
  <c r="CA367" i="6"/>
  <c r="CK367" i="6"/>
  <c r="CU367" i="6" s="1"/>
  <c r="AB367" i="6"/>
  <c r="AF367" i="6" s="1"/>
  <c r="CO367" i="6"/>
  <c r="AT366" i="6"/>
  <c r="BN366" i="6"/>
  <c r="BR366" i="6" s="1"/>
  <c r="N368" i="6"/>
  <c r="X368" i="6"/>
  <c r="AK368" i="6" s="1"/>
  <c r="AS368" i="6" l="1"/>
  <c r="CK368" i="6"/>
  <c r="CU368" i="6" s="1"/>
  <c r="AB368" i="6"/>
  <c r="AF368" i="6" s="1"/>
  <c r="BW368" i="6"/>
  <c r="CG368" i="6" s="1"/>
  <c r="CA368" i="6"/>
  <c r="CO368" i="6"/>
  <c r="AT367" i="6"/>
  <c r="BN367" i="6"/>
  <c r="BR367" i="6" s="1"/>
  <c r="X369" i="6"/>
  <c r="AK369" i="6" s="1"/>
  <c r="N369" i="6"/>
  <c r="AS369" i="6" l="1"/>
  <c r="AT368" i="6"/>
  <c r="BN368" i="6"/>
  <c r="BR368" i="6" s="1"/>
  <c r="AB369" i="6"/>
  <c r="AF369" i="6" s="1"/>
  <c r="BW369" i="6"/>
  <c r="CG369" i="6" s="1"/>
  <c r="CO369" i="6"/>
  <c r="CK369" i="6"/>
  <c r="CU369" i="6" s="1"/>
  <c r="CA369" i="6"/>
  <c r="N370" i="6"/>
  <c r="X370" i="6"/>
  <c r="AK370" i="6" s="1"/>
  <c r="AS370" i="6" l="1"/>
  <c r="AT369" i="6"/>
  <c r="BN369" i="6"/>
  <c r="BR369" i="6" s="1"/>
  <c r="CO370" i="6"/>
  <c r="BW370" i="6"/>
  <c r="CG370" i="6" s="1"/>
  <c r="CK370" i="6"/>
  <c r="CU370" i="6" s="1"/>
  <c r="AB370" i="6"/>
  <c r="AF370" i="6" s="1"/>
  <c r="CA370" i="6"/>
  <c r="X371" i="6"/>
  <c r="AK371" i="6" s="1"/>
  <c r="N371" i="6"/>
  <c r="AS371" i="6" l="1"/>
  <c r="CO371" i="6"/>
  <c r="AB371" i="6"/>
  <c r="AF371" i="6" s="1"/>
  <c r="CK371" i="6"/>
  <c r="CU371" i="6" s="1"/>
  <c r="BW371" i="6"/>
  <c r="CG371" i="6" s="1"/>
  <c r="CA371" i="6"/>
  <c r="BN370" i="6"/>
  <c r="BR370" i="6" s="1"/>
  <c r="AT370" i="6"/>
  <c r="X372" i="6"/>
  <c r="AK372" i="6" s="1"/>
  <c r="N372" i="6"/>
  <c r="AS372" i="6" l="1"/>
  <c r="CK372" i="6"/>
  <c r="CU372" i="6" s="1"/>
  <c r="BW372" i="6"/>
  <c r="CG372" i="6" s="1"/>
  <c r="CO372" i="6"/>
  <c r="CA372" i="6"/>
  <c r="AB372" i="6"/>
  <c r="AF372" i="6" s="1"/>
  <c r="AT371" i="6"/>
  <c r="BN371" i="6"/>
  <c r="BR371" i="6" s="1"/>
  <c r="N373" i="6"/>
  <c r="X373" i="6"/>
  <c r="AK373" i="6" s="1"/>
  <c r="AS373" i="6" l="1"/>
  <c r="CO373" i="6"/>
  <c r="CA373" i="6"/>
  <c r="CK373" i="6"/>
  <c r="AB373" i="6"/>
  <c r="AF373" i="6" s="1"/>
  <c r="BW373" i="6"/>
  <c r="AT372" i="6"/>
  <c r="BN372" i="6"/>
  <c r="BR372" i="6" s="1"/>
  <c r="N374" i="6"/>
  <c r="X374" i="6"/>
  <c r="AK374" i="6" s="1"/>
  <c r="AS374" i="6" l="1"/>
  <c r="CG373" i="6"/>
  <c r="CU373" i="6"/>
  <c r="CA374" i="6"/>
  <c r="CO374" i="6"/>
  <c r="CK374" i="6"/>
  <c r="BW374" i="6"/>
  <c r="AB374" i="6"/>
  <c r="AF374" i="6" s="1"/>
  <c r="AT373" i="6"/>
  <c r="BN373" i="6"/>
  <c r="BR373" i="6" s="1"/>
  <c r="N269" i="6"/>
  <c r="X269" i="6"/>
  <c r="AK269" i="6" s="1"/>
  <c r="AS269" i="6" l="1"/>
  <c r="CO269" i="6"/>
  <c r="CK269" i="6"/>
  <c r="BW269" i="6"/>
  <c r="AB269" i="6"/>
  <c r="AF269" i="6" s="1"/>
  <c r="CA269" i="6"/>
  <c r="CG374" i="6"/>
  <c r="BN374" i="6"/>
  <c r="BR374" i="6" s="1"/>
  <c r="AT374" i="6"/>
  <c r="CU374" i="6"/>
  <c r="N260" i="6"/>
  <c r="X260" i="6"/>
  <c r="AK260" i="6" s="1"/>
  <c r="AS260" i="6" l="1"/>
  <c r="CG269" i="6"/>
  <c r="CO260" i="6"/>
  <c r="AB260" i="6"/>
  <c r="AF260" i="6" s="1"/>
  <c r="BW260" i="6"/>
  <c r="CG260" i="6" s="1"/>
  <c r="CK260" i="6"/>
  <c r="CU260" i="6" s="1"/>
  <c r="CA260" i="6"/>
  <c r="BN269" i="6"/>
  <c r="BR269" i="6" s="1"/>
  <c r="AT269" i="6"/>
  <c r="CU269" i="6"/>
  <c r="X270" i="6"/>
  <c r="AK270" i="6" s="1"/>
  <c r="N270" i="6"/>
  <c r="AS270" i="6" l="1"/>
  <c r="BN260" i="6"/>
  <c r="BR260" i="6" s="1"/>
  <c r="AT260" i="6"/>
  <c r="CA270" i="6"/>
  <c r="BW270" i="6"/>
  <c r="CG270" i="6" s="1"/>
  <c r="CO270" i="6"/>
  <c r="CK270" i="6"/>
  <c r="CU270" i="6" s="1"/>
  <c r="AB270" i="6"/>
  <c r="AF270" i="6" s="1"/>
  <c r="X375" i="6"/>
  <c r="AK375" i="6" s="1"/>
  <c r="N375" i="6"/>
  <c r="AS375" i="6" l="1"/>
  <c r="AT270" i="6"/>
  <c r="BN270" i="6"/>
  <c r="BR270" i="6" s="1"/>
  <c r="CO375" i="6"/>
  <c r="CA375" i="6"/>
  <c r="CK375" i="6"/>
  <c r="CU375" i="6" s="1"/>
  <c r="AB375" i="6"/>
  <c r="AF375" i="6" s="1"/>
  <c r="BW375" i="6"/>
  <c r="CG375" i="6" s="1"/>
  <c r="X376" i="6"/>
  <c r="AK376" i="6" s="1"/>
  <c r="N376" i="6"/>
  <c r="AS376" i="6" l="1"/>
  <c r="CO376" i="6"/>
  <c r="CA376" i="6"/>
  <c r="CK376" i="6"/>
  <c r="CU376" i="6" s="1"/>
  <c r="AB376" i="6"/>
  <c r="AF376" i="6" s="1"/>
  <c r="BW376" i="6"/>
  <c r="CG376" i="6" s="1"/>
  <c r="BN375" i="6"/>
  <c r="BR375" i="6" s="1"/>
  <c r="AT375" i="6"/>
  <c r="X377" i="6"/>
  <c r="AK377" i="6" s="1"/>
  <c r="N377" i="6"/>
  <c r="AS377" i="6" l="1"/>
  <c r="CK377" i="6"/>
  <c r="CU377" i="6" s="1"/>
  <c r="AB377" i="6"/>
  <c r="AF377" i="6" s="1"/>
  <c r="CO377" i="6"/>
  <c r="CA377" i="6"/>
  <c r="BW377" i="6"/>
  <c r="CG377" i="6" s="1"/>
  <c r="BN376" i="6"/>
  <c r="BR376" i="6" s="1"/>
  <c r="AT376" i="6"/>
  <c r="N378" i="6"/>
  <c r="X378" i="6"/>
  <c r="AK378" i="6" s="1"/>
  <c r="AS378" i="6" l="1"/>
  <c r="CO378" i="6"/>
  <c r="CK378" i="6"/>
  <c r="CU378" i="6" s="1"/>
  <c r="BW378" i="6"/>
  <c r="CG378" i="6" s="1"/>
  <c r="CA378" i="6"/>
  <c r="AB378" i="6"/>
  <c r="AF378" i="6" s="1"/>
  <c r="BN377" i="6"/>
  <c r="BR377" i="6" s="1"/>
  <c r="AT377" i="6"/>
  <c r="BN378" i="6" l="1"/>
  <c r="BR378" i="6" s="1"/>
  <c r="AT378" i="6"/>
  <c r="X380" i="6"/>
  <c r="AK380" i="6" s="1"/>
  <c r="N380" i="6"/>
  <c r="X379" i="6"/>
  <c r="AK379" i="6" s="1"/>
  <c r="N379" i="6"/>
  <c r="AS379" i="6" l="1"/>
  <c r="AS380" i="6"/>
  <c r="BW379" i="6"/>
  <c r="CG379" i="6" s="1"/>
  <c r="CK379" i="6"/>
  <c r="CU379" i="6" s="1"/>
  <c r="AB379" i="6"/>
  <c r="AF379" i="6" s="1"/>
  <c r="CO379" i="6"/>
  <c r="CA379" i="6"/>
  <c r="CO380" i="6"/>
  <c r="BW380" i="6"/>
  <c r="CG380" i="6" s="1"/>
  <c r="CK380" i="6"/>
  <c r="CU380" i="6" s="1"/>
  <c r="AB380" i="6"/>
  <c r="AF380" i="6" s="1"/>
  <c r="CA380" i="6"/>
  <c r="X381" i="6"/>
  <c r="AK381" i="6" s="1"/>
  <c r="N381" i="6"/>
  <c r="AS381" i="6" l="1"/>
  <c r="CO381" i="6"/>
  <c r="CK381" i="6"/>
  <c r="CU381" i="6" s="1"/>
  <c r="BW381" i="6"/>
  <c r="CG381" i="6" s="1"/>
  <c r="AB381" i="6"/>
  <c r="AF381" i="6" s="1"/>
  <c r="CA381" i="6"/>
  <c r="AT380" i="6"/>
  <c r="BN380" i="6"/>
  <c r="BR380" i="6" s="1"/>
  <c r="BN379" i="6"/>
  <c r="BR379" i="6" s="1"/>
  <c r="AT379" i="6"/>
  <c r="N382" i="6"/>
  <c r="X382" i="6"/>
  <c r="AK382" i="6" s="1"/>
  <c r="AS382" i="6" l="1"/>
  <c r="CK382" i="6"/>
  <c r="CU382" i="6" s="1"/>
  <c r="CO382" i="6"/>
  <c r="AB382" i="6"/>
  <c r="AF382" i="6" s="1"/>
  <c r="CA382" i="6"/>
  <c r="BW382" i="6"/>
  <c r="CG382" i="6" s="1"/>
  <c r="AT381" i="6"/>
  <c r="BN381" i="6"/>
  <c r="BR381" i="6" s="1"/>
  <c r="X383" i="6"/>
  <c r="AK383" i="6" s="1"/>
  <c r="N383" i="6"/>
  <c r="AS383" i="6" l="1"/>
  <c r="CO383" i="6"/>
  <c r="CK383" i="6"/>
  <c r="CU383" i="6" s="1"/>
  <c r="BW383" i="6"/>
  <c r="CG383" i="6" s="1"/>
  <c r="AB383" i="6"/>
  <c r="AF383" i="6" s="1"/>
  <c r="CA383" i="6"/>
  <c r="BN382" i="6"/>
  <c r="BR382" i="6" s="1"/>
  <c r="AT382" i="6"/>
  <c r="X384" i="6"/>
  <c r="AK384" i="6" s="1"/>
  <c r="N384" i="6"/>
  <c r="AS384" i="6" l="1"/>
  <c r="BN383" i="6"/>
  <c r="BR383" i="6" s="1"/>
  <c r="AT383" i="6"/>
  <c r="CA384" i="6"/>
  <c r="AB384" i="6"/>
  <c r="AF384" i="6" s="1"/>
  <c r="CK384" i="6"/>
  <c r="CU384" i="6" s="1"/>
  <c r="CO384" i="6"/>
  <c r="BW384" i="6"/>
  <c r="CG384" i="6" s="1"/>
  <c r="N385" i="6"/>
  <c r="X385" i="6"/>
  <c r="AK385" i="6" s="1"/>
  <c r="AS385" i="6" l="1"/>
  <c r="AT384" i="6"/>
  <c r="BN384" i="6"/>
  <c r="BR384" i="6" s="1"/>
  <c r="CK385" i="6"/>
  <c r="CU385" i="6" s="1"/>
  <c r="CA385" i="6"/>
  <c r="CO385" i="6"/>
  <c r="AB385" i="6"/>
  <c r="AF385" i="6" s="1"/>
  <c r="BW385" i="6"/>
  <c r="CG385" i="6" s="1"/>
  <c r="N386" i="6"/>
  <c r="X386" i="6"/>
  <c r="AK386" i="6" s="1"/>
  <c r="AS386" i="6" l="1"/>
  <c r="BN385" i="6"/>
  <c r="BR385" i="6" s="1"/>
  <c r="AT385" i="6"/>
  <c r="CK386" i="6"/>
  <c r="CU386" i="6" s="1"/>
  <c r="CO386" i="6"/>
  <c r="CA386" i="6"/>
  <c r="BW386" i="6"/>
  <c r="CG386" i="6" s="1"/>
  <c r="AB386" i="6"/>
  <c r="AF386" i="6" s="1"/>
  <c r="X387" i="6"/>
  <c r="AK387" i="6" s="1"/>
  <c r="N387" i="6"/>
  <c r="AS387" i="6" l="1"/>
  <c r="BW387" i="6"/>
  <c r="CG387" i="6" s="1"/>
  <c r="CO387" i="6"/>
  <c r="CA387" i="6"/>
  <c r="CK387" i="6"/>
  <c r="CU387" i="6" s="1"/>
  <c r="AB387" i="6"/>
  <c r="AF387" i="6" s="1"/>
  <c r="AT386" i="6"/>
  <c r="BN386" i="6"/>
  <c r="BR386" i="6" s="1"/>
  <c r="N388" i="6"/>
  <c r="X388" i="6"/>
  <c r="AK388" i="6" s="1"/>
  <c r="AS388" i="6" l="1"/>
  <c r="AB388" i="6"/>
  <c r="AF388" i="6" s="1"/>
  <c r="CA388" i="6"/>
  <c r="CK388" i="6"/>
  <c r="CU388" i="6" s="1"/>
  <c r="CO388" i="6"/>
  <c r="BW388" i="6"/>
  <c r="CG388" i="6" s="1"/>
  <c r="BN387" i="6"/>
  <c r="BR387" i="6" s="1"/>
  <c r="AT387" i="6"/>
  <c r="X389" i="6"/>
  <c r="AK389" i="6" s="1"/>
  <c r="N389" i="6"/>
  <c r="AS389" i="6" l="1"/>
  <c r="BN388" i="6"/>
  <c r="BR388" i="6" s="1"/>
  <c r="AT388" i="6"/>
  <c r="CK389" i="6"/>
  <c r="CU389" i="6" s="1"/>
  <c r="AB389" i="6"/>
  <c r="AF389" i="6" s="1"/>
  <c r="CA389" i="6"/>
  <c r="CO389" i="6"/>
  <c r="BW389" i="6"/>
  <c r="CG389" i="6" s="1"/>
  <c r="N390" i="6"/>
  <c r="X390" i="6"/>
  <c r="AK390" i="6" s="1"/>
  <c r="AS390" i="6" l="1"/>
  <c r="CK390" i="6"/>
  <c r="CU390" i="6" s="1"/>
  <c r="CO390" i="6"/>
  <c r="BW390" i="6"/>
  <c r="CG390" i="6" s="1"/>
  <c r="AB390" i="6"/>
  <c r="AF390" i="6" s="1"/>
  <c r="CA390" i="6"/>
  <c r="AT389" i="6"/>
  <c r="BN389" i="6"/>
  <c r="BR389" i="6" s="1"/>
  <c r="X391" i="6"/>
  <c r="AK391" i="6" s="1"/>
  <c r="N391" i="6"/>
  <c r="AS391" i="6" l="1"/>
  <c r="CK391" i="6"/>
  <c r="CU391" i="6" s="1"/>
  <c r="CO391" i="6"/>
  <c r="BW391" i="6"/>
  <c r="CG391" i="6" s="1"/>
  <c r="CA391" i="6"/>
  <c r="AB391" i="6"/>
  <c r="AF391" i="6" s="1"/>
  <c r="AT390" i="6"/>
  <c r="BN390" i="6"/>
  <c r="BR390" i="6" s="1"/>
  <c r="X392" i="6"/>
  <c r="AK392" i="6" s="1"/>
  <c r="N392" i="6"/>
  <c r="AS392" i="6" l="1"/>
  <c r="CK392" i="6"/>
  <c r="CU392" i="6" s="1"/>
  <c r="BW392" i="6"/>
  <c r="CG392" i="6" s="1"/>
  <c r="CO392" i="6"/>
  <c r="AB392" i="6"/>
  <c r="AF392" i="6" s="1"/>
  <c r="CA392" i="6"/>
  <c r="BN391" i="6"/>
  <c r="BR391" i="6" s="1"/>
  <c r="AT391" i="6"/>
  <c r="X242" i="6"/>
  <c r="AK242" i="6" s="1"/>
  <c r="N242" i="6"/>
  <c r="AS242" i="6" l="1"/>
  <c r="BN392" i="6"/>
  <c r="BR392" i="6" s="1"/>
  <c r="AT392" i="6"/>
  <c r="AB242" i="6"/>
  <c r="AF242" i="6" s="1"/>
  <c r="CK242" i="6"/>
  <c r="CU242" i="6" s="1"/>
  <c r="CO242" i="6"/>
  <c r="CA242" i="6"/>
  <c r="BW242" i="6"/>
  <c r="CG242" i="6" s="1"/>
  <c r="N393" i="6"/>
  <c r="AS393" i="6" l="1"/>
  <c r="AT242" i="6"/>
  <c r="BN242" i="6"/>
  <c r="BR242" i="6" s="1"/>
  <c r="CO393" i="6"/>
  <c r="AB393" i="6"/>
  <c r="AF393" i="6" s="1"/>
  <c r="CA393" i="6"/>
  <c r="CK393" i="6"/>
  <c r="BW393" i="6"/>
  <c r="N394" i="6"/>
  <c r="X394" i="6"/>
  <c r="AK394" i="6" s="1"/>
  <c r="AS394" i="6" l="1"/>
  <c r="CG393" i="6"/>
  <c r="CU393" i="6"/>
  <c r="CO394" i="6"/>
  <c r="CA394" i="6"/>
  <c r="CK394" i="6"/>
  <c r="AB394" i="6"/>
  <c r="AF394" i="6" s="1"/>
  <c r="BW394" i="6"/>
  <c r="AT393" i="6"/>
  <c r="BN393" i="6"/>
  <c r="BR393" i="6" s="1"/>
  <c r="X261" i="6"/>
  <c r="AK261" i="6" s="1"/>
  <c r="N261" i="6"/>
  <c r="AS261" i="6" l="1"/>
  <c r="CG394" i="6"/>
  <c r="CU394" i="6"/>
  <c r="BN394" i="6"/>
  <c r="BR394" i="6" s="1"/>
  <c r="AT394" i="6"/>
  <c r="CO261" i="6"/>
  <c r="AB261" i="6"/>
  <c r="AF261" i="6" s="1"/>
  <c r="CA261" i="6"/>
  <c r="CK261" i="6"/>
  <c r="BW261" i="6"/>
  <c r="N249" i="6"/>
  <c r="X249" i="6"/>
  <c r="AK249" i="6" s="1"/>
  <c r="AS249" i="6" l="1"/>
  <c r="CG261" i="6"/>
  <c r="CU261" i="6"/>
  <c r="AT261" i="6"/>
  <c r="BN261" i="6"/>
  <c r="BR261" i="6" s="1"/>
  <c r="CK249" i="6"/>
  <c r="CO249" i="6"/>
  <c r="CA249" i="6"/>
  <c r="AB249" i="6"/>
  <c r="AF249" i="6" s="1"/>
  <c r="BW249" i="6"/>
  <c r="N690" i="6"/>
  <c r="AS690" i="6" l="1"/>
  <c r="CU249" i="6"/>
  <c r="CG249" i="6"/>
  <c r="AB690" i="6"/>
  <c r="AF690" i="6" s="1"/>
  <c r="CA690" i="6"/>
  <c r="BW690" i="6"/>
  <c r="CG690" i="6" s="1"/>
  <c r="CK690" i="6"/>
  <c r="CU690" i="6" s="1"/>
  <c r="CO690" i="6"/>
  <c r="AT249" i="6"/>
  <c r="BN249" i="6"/>
  <c r="BR249" i="6" s="1"/>
  <c r="N694" i="6"/>
  <c r="AS694" i="6" l="1"/>
  <c r="BN690" i="6"/>
  <c r="BR690" i="6" s="1"/>
  <c r="AT690" i="6"/>
  <c r="CO694" i="6"/>
  <c r="BW694" i="6"/>
  <c r="CG694" i="6" s="1"/>
  <c r="CA694" i="6"/>
  <c r="AB694" i="6"/>
  <c r="AF694" i="6" s="1"/>
  <c r="CK694" i="6"/>
  <c r="CU694" i="6" s="1"/>
  <c r="N191" i="6"/>
  <c r="X191" i="6"/>
  <c r="AK191" i="6" s="1"/>
  <c r="AS191" i="6" l="1"/>
  <c r="BW191" i="6"/>
  <c r="CG191" i="6" s="1"/>
  <c r="CO191" i="6"/>
  <c r="CK191" i="6"/>
  <c r="CU191" i="6" s="1"/>
  <c r="CA191" i="6"/>
  <c r="AB191" i="6"/>
  <c r="AF191" i="6" s="1"/>
  <c r="AT694" i="6"/>
  <c r="BN694" i="6"/>
  <c r="BR694" i="6" s="1"/>
  <c r="X395" i="6"/>
  <c r="AK395" i="6" s="1"/>
  <c r="N395" i="6"/>
  <c r="AS395" i="6" l="1"/>
  <c r="CA395" i="6"/>
  <c r="AB395" i="6"/>
  <c r="AF395" i="6" s="1"/>
  <c r="CO395" i="6"/>
  <c r="BW395" i="6"/>
  <c r="CG395" i="6" s="1"/>
  <c r="CK395" i="6"/>
  <c r="CU395" i="6" s="1"/>
  <c r="BN191" i="6"/>
  <c r="BR191" i="6" s="1"/>
  <c r="AT191" i="6"/>
  <c r="X123" i="6"/>
  <c r="AK123" i="6" s="1"/>
  <c r="N123" i="6"/>
  <c r="AS123" i="6" l="1"/>
  <c r="CO123" i="6"/>
  <c r="BW123" i="6"/>
  <c r="CG123" i="6" s="1"/>
  <c r="CK123" i="6"/>
  <c r="CU123" i="6" s="1"/>
  <c r="AB123" i="6"/>
  <c r="AF123" i="6" s="1"/>
  <c r="CA123" i="6"/>
  <c r="BN395" i="6"/>
  <c r="BR395" i="6" s="1"/>
  <c r="AT395" i="6"/>
  <c r="X106" i="6"/>
  <c r="AK106" i="6" s="1"/>
  <c r="N106" i="6"/>
  <c r="AS106" i="6" l="1"/>
  <c r="BN123" i="6"/>
  <c r="BR123" i="6" s="1"/>
  <c r="AT123" i="6"/>
  <c r="CO106" i="6"/>
  <c r="CK106" i="6"/>
  <c r="CU106" i="6" s="1"/>
  <c r="CA106" i="6"/>
  <c r="AB106" i="6"/>
  <c r="AF106" i="6" s="1"/>
  <c r="BW106" i="6"/>
  <c r="CG106" i="6" s="1"/>
  <c r="X114" i="6"/>
  <c r="AK114" i="6" s="1"/>
  <c r="N114" i="6"/>
  <c r="AS114" i="6" l="1"/>
  <c r="BN106" i="6"/>
  <c r="BR106" i="6" s="1"/>
  <c r="AT106" i="6"/>
  <c r="CK114" i="6"/>
  <c r="CU114" i="6" s="1"/>
  <c r="BW114" i="6"/>
  <c r="CG114" i="6" s="1"/>
  <c r="AB114" i="6"/>
  <c r="AF114" i="6" s="1"/>
  <c r="CA114" i="6"/>
  <c r="CO114" i="6"/>
  <c r="N396" i="6"/>
  <c r="X396" i="6"/>
  <c r="AK396" i="6" s="1"/>
  <c r="AS396" i="6" l="1"/>
  <c r="CK396" i="6"/>
  <c r="CU396" i="6" s="1"/>
  <c r="AB396" i="6"/>
  <c r="AF396" i="6" s="1"/>
  <c r="CA396" i="6"/>
  <c r="CO396" i="6"/>
  <c r="BW396" i="6"/>
  <c r="CG396" i="6" s="1"/>
  <c r="BN114" i="6"/>
  <c r="BR114" i="6" s="1"/>
  <c r="AT114" i="6"/>
  <c r="N397" i="6"/>
  <c r="X397" i="6"/>
  <c r="AK397" i="6" s="1"/>
  <c r="AS397" i="6" l="1"/>
  <c r="CO397" i="6"/>
  <c r="CK397" i="6"/>
  <c r="CU397" i="6" s="1"/>
  <c r="AB397" i="6"/>
  <c r="AF397" i="6" s="1"/>
  <c r="CA397" i="6"/>
  <c r="BW397" i="6"/>
  <c r="CG397" i="6" s="1"/>
  <c r="AT396" i="6"/>
  <c r="BN396" i="6"/>
  <c r="BR396" i="6" s="1"/>
  <c r="N271" i="6"/>
  <c r="X271" i="6"/>
  <c r="AK271" i="6" s="1"/>
  <c r="AS271" i="6" l="1"/>
  <c r="CO271" i="6"/>
  <c r="BW271" i="6"/>
  <c r="CG271" i="6" s="1"/>
  <c r="CK271" i="6"/>
  <c r="CU271" i="6" s="1"/>
  <c r="CA271" i="6"/>
  <c r="AB271" i="6"/>
  <c r="AF271" i="6" s="1"/>
  <c r="BN397" i="6"/>
  <c r="BR397" i="6" s="1"/>
  <c r="AT397" i="6"/>
  <c r="X292" i="6"/>
  <c r="AK292" i="6" s="1"/>
  <c r="N292" i="6"/>
  <c r="AS292" i="6" l="1"/>
  <c r="AT271" i="6"/>
  <c r="BN271" i="6"/>
  <c r="BR271" i="6" s="1"/>
  <c r="BW292" i="6"/>
  <c r="CG292" i="6" s="1"/>
  <c r="CK292" i="6"/>
  <c r="CU292" i="6" s="1"/>
  <c r="CA292" i="6"/>
  <c r="CO292" i="6"/>
  <c r="AB292" i="6"/>
  <c r="AF292" i="6" s="1"/>
  <c r="X398" i="6"/>
  <c r="AK398" i="6" s="1"/>
  <c r="N398" i="6"/>
  <c r="AS398" i="6" l="1"/>
  <c r="AT292" i="6"/>
  <c r="BN292" i="6"/>
  <c r="BR292" i="6" s="1"/>
  <c r="CO398" i="6"/>
  <c r="CA398" i="6"/>
  <c r="BW398" i="6"/>
  <c r="CG398" i="6" s="1"/>
  <c r="AB398" i="6"/>
  <c r="AF398" i="6" s="1"/>
  <c r="CK398" i="6"/>
  <c r="CU398" i="6" s="1"/>
  <c r="N399" i="6"/>
  <c r="X399" i="6"/>
  <c r="AK399" i="6" s="1"/>
  <c r="AS399" i="6" l="1"/>
  <c r="BN398" i="6"/>
  <c r="BR398" i="6" s="1"/>
  <c r="AT398" i="6"/>
  <c r="CK399" i="6"/>
  <c r="CU399" i="6" s="1"/>
  <c r="CO399" i="6"/>
  <c r="CA399" i="6"/>
  <c r="AB399" i="6"/>
  <c r="AF399" i="6" s="1"/>
  <c r="BW399" i="6"/>
  <c r="CG399" i="6" s="1"/>
  <c r="X400" i="6"/>
  <c r="AK400" i="6" s="1"/>
  <c r="N400" i="6"/>
  <c r="AS400" i="6" l="1"/>
  <c r="CK400" i="6"/>
  <c r="CU400" i="6" s="1"/>
  <c r="BW400" i="6"/>
  <c r="CG400" i="6" s="1"/>
  <c r="CA400" i="6"/>
  <c r="CO400" i="6"/>
  <c r="AB400" i="6"/>
  <c r="AF400" i="6" s="1"/>
  <c r="AT399" i="6"/>
  <c r="BN399" i="6"/>
  <c r="BR399" i="6" s="1"/>
  <c r="N200" i="6"/>
  <c r="X200" i="6"/>
  <c r="AK200" i="6" s="1"/>
  <c r="AS200" i="6" l="1"/>
  <c r="BN400" i="6"/>
  <c r="BR400" i="6" s="1"/>
  <c r="AT400" i="6"/>
  <c r="CO200" i="6"/>
  <c r="CK200" i="6"/>
  <c r="CU200" i="6" s="1"/>
  <c r="AB200" i="6"/>
  <c r="AF200" i="6" s="1"/>
  <c r="BW200" i="6"/>
  <c r="CG200" i="6" s="1"/>
  <c r="CA200" i="6"/>
  <c r="N175" i="6"/>
  <c r="BN200" i="6" l="1"/>
  <c r="BR200" i="6" s="1"/>
  <c r="AT200" i="6"/>
  <c r="X175" i="6"/>
  <c r="N201" i="6"/>
  <c r="X201" i="6"/>
  <c r="AK201" i="6" s="1"/>
  <c r="AS201" i="6" l="1"/>
  <c r="CA175" i="6"/>
  <c r="AK175" i="6"/>
  <c r="CO201" i="6"/>
  <c r="CK201" i="6"/>
  <c r="CU201" i="6" s="1"/>
  <c r="BW201" i="6"/>
  <c r="CG201" i="6" s="1"/>
  <c r="AB201" i="6"/>
  <c r="AF201" i="6" s="1"/>
  <c r="CA201" i="6"/>
  <c r="BW175" i="6"/>
  <c r="CG175" i="6" s="1"/>
  <c r="CO175" i="6"/>
  <c r="AB175" i="6"/>
  <c r="AF175" i="6" s="1"/>
  <c r="CK175" i="6"/>
  <c r="CU175" i="6" s="1"/>
  <c r="N158" i="6"/>
  <c r="X158" i="6"/>
  <c r="AK158" i="6" s="1"/>
  <c r="AS175" i="6" l="1"/>
  <c r="AT175" i="6" s="1"/>
  <c r="AS158" i="6"/>
  <c r="AB158" i="6"/>
  <c r="AF158" i="6" s="1"/>
  <c r="BW158" i="6"/>
  <c r="CG158" i="6" s="1"/>
  <c r="CK158" i="6"/>
  <c r="CU158" i="6" s="1"/>
  <c r="CO158" i="6"/>
  <c r="CA158" i="6"/>
  <c r="AT201" i="6"/>
  <c r="BN201" i="6"/>
  <c r="BR201" i="6" s="1"/>
  <c r="X155" i="6"/>
  <c r="AK155" i="6" s="1"/>
  <c r="N155" i="6"/>
  <c r="BN175" i="6" l="1"/>
  <c r="BR175" i="6" s="1"/>
  <c r="AS155" i="6"/>
  <c r="AT158" i="6"/>
  <c r="BN158" i="6"/>
  <c r="BR158" i="6" s="1"/>
  <c r="CK155" i="6"/>
  <c r="CU155" i="6" s="1"/>
  <c r="BW155" i="6"/>
  <c r="CG155" i="6" s="1"/>
  <c r="AB155" i="6"/>
  <c r="AF155" i="6" s="1"/>
  <c r="CA155" i="6"/>
  <c r="CO155" i="6"/>
  <c r="X156" i="6"/>
  <c r="AK156" i="6" s="1"/>
  <c r="N156" i="6"/>
  <c r="AS156" i="6" l="1"/>
  <c r="CA156" i="6"/>
  <c r="BW156" i="6"/>
  <c r="CG156" i="6" s="1"/>
  <c r="AB156" i="6"/>
  <c r="AF156" i="6" s="1"/>
  <c r="CK156" i="6"/>
  <c r="CU156" i="6" s="1"/>
  <c r="CO156" i="6"/>
  <c r="AT155" i="6"/>
  <c r="BN155" i="6"/>
  <c r="BR155" i="6" s="1"/>
  <c r="X176" i="6"/>
  <c r="AK176" i="6" s="1"/>
  <c r="N176" i="6"/>
  <c r="AS176" i="6" l="1"/>
  <c r="CK176" i="6"/>
  <c r="CU176" i="6" s="1"/>
  <c r="CO176" i="6"/>
  <c r="CA176" i="6"/>
  <c r="BW176" i="6"/>
  <c r="CG176" i="6" s="1"/>
  <c r="AB176" i="6"/>
  <c r="AF176" i="6" s="1"/>
  <c r="AT156" i="6"/>
  <c r="BN156" i="6"/>
  <c r="BR156" i="6" s="1"/>
  <c r="X177" i="6"/>
  <c r="AK177" i="6" s="1"/>
  <c r="N177" i="6"/>
  <c r="AS177" i="6" l="1"/>
  <c r="CK177" i="6"/>
  <c r="CU177" i="6" s="1"/>
  <c r="CA177" i="6"/>
  <c r="CO177" i="6"/>
  <c r="AB177" i="6"/>
  <c r="AF177" i="6" s="1"/>
  <c r="BW177" i="6"/>
  <c r="CG177" i="6" s="1"/>
  <c r="AT176" i="6"/>
  <c r="BN176" i="6"/>
  <c r="BR176" i="6" s="1"/>
  <c r="X202" i="6"/>
  <c r="AK202" i="6" s="1"/>
  <c r="N202" i="6"/>
  <c r="AS202" i="6" l="1"/>
  <c r="CK202" i="6"/>
  <c r="CU202" i="6" s="1"/>
  <c r="CA202" i="6"/>
  <c r="CO202" i="6"/>
  <c r="AB202" i="6"/>
  <c r="AF202" i="6" s="1"/>
  <c r="BW202" i="6"/>
  <c r="CG202" i="6" s="1"/>
  <c r="AT177" i="6"/>
  <c r="BN177" i="6"/>
  <c r="BR177" i="6" s="1"/>
  <c r="X401" i="6"/>
  <c r="AK401" i="6" s="1"/>
  <c r="N401" i="6"/>
  <c r="AS401" i="6" l="1"/>
  <c r="AB401" i="6"/>
  <c r="AF401" i="6" s="1"/>
  <c r="CO401" i="6"/>
  <c r="CA401" i="6"/>
  <c r="CK401" i="6"/>
  <c r="CU401" i="6" s="1"/>
  <c r="BW401" i="6"/>
  <c r="CG401" i="6" s="1"/>
  <c r="BN202" i="6"/>
  <c r="BR202" i="6" s="1"/>
  <c r="AT202" i="6"/>
  <c r="N402" i="6"/>
  <c r="X402" i="6"/>
  <c r="AK402" i="6" s="1"/>
  <c r="AS402" i="6" l="1"/>
  <c r="BN401" i="6"/>
  <c r="BR401" i="6" s="1"/>
  <c r="AT401" i="6"/>
  <c r="CK402" i="6"/>
  <c r="CU402" i="6" s="1"/>
  <c r="AB402" i="6"/>
  <c r="AF402" i="6" s="1"/>
  <c r="CA402" i="6"/>
  <c r="BW402" i="6"/>
  <c r="CG402" i="6" s="1"/>
  <c r="CO402" i="6"/>
  <c r="N403" i="6"/>
  <c r="X403" i="6"/>
  <c r="AK403" i="6" s="1"/>
  <c r="AS403" i="6" l="1"/>
  <c r="CK403" i="6"/>
  <c r="CU403" i="6" s="1"/>
  <c r="CA403" i="6"/>
  <c r="AB403" i="6"/>
  <c r="AF403" i="6" s="1"/>
  <c r="BW403" i="6"/>
  <c r="CG403" i="6" s="1"/>
  <c r="CO403" i="6"/>
  <c r="AT402" i="6"/>
  <c r="BN402" i="6"/>
  <c r="BR402" i="6" s="1"/>
  <c r="N404" i="6"/>
  <c r="X404" i="6"/>
  <c r="AK404" i="6" s="1"/>
  <c r="AS404" i="6" l="1"/>
  <c r="BN404" i="6" s="1"/>
  <c r="BR404" i="6" s="1"/>
  <c r="CO404" i="6"/>
  <c r="CA404" i="6"/>
  <c r="CK404" i="6"/>
  <c r="CU404" i="6" s="1"/>
  <c r="AB404" i="6"/>
  <c r="AF404" i="6" s="1"/>
  <c r="BW404" i="6"/>
  <c r="CG404" i="6" s="1"/>
  <c r="BN403" i="6"/>
  <c r="BR403" i="6" s="1"/>
  <c r="AT403" i="6"/>
  <c r="N405" i="6"/>
  <c r="X405" i="6"/>
  <c r="AK405" i="6" s="1"/>
  <c r="AS405" i="6" l="1"/>
  <c r="AT404" i="6"/>
  <c r="CK405" i="6"/>
  <c r="CU405" i="6" s="1"/>
  <c r="BW405" i="6"/>
  <c r="CG405" i="6" s="1"/>
  <c r="CO405" i="6"/>
  <c r="AB405" i="6"/>
  <c r="AF405" i="6" s="1"/>
  <c r="CA405" i="6"/>
  <c r="N406" i="6"/>
  <c r="X406" i="6"/>
  <c r="AK406" i="6" s="1"/>
  <c r="AS406" i="6" l="1"/>
  <c r="AT405" i="6"/>
  <c r="BN405" i="6"/>
  <c r="BR405" i="6" s="1"/>
  <c r="CA406" i="6"/>
  <c r="BW406" i="6"/>
  <c r="CG406" i="6" s="1"/>
  <c r="AB406" i="6"/>
  <c r="AF406" i="6" s="1"/>
  <c r="CO406" i="6"/>
  <c r="CK406" i="6"/>
  <c r="CU406" i="6" s="1"/>
  <c r="X407" i="6"/>
  <c r="AK407" i="6" s="1"/>
  <c r="N407" i="6"/>
  <c r="AS407" i="6" l="1"/>
  <c r="CA407" i="6"/>
  <c r="AB407" i="6"/>
  <c r="AF407" i="6" s="1"/>
  <c r="BW407" i="6"/>
  <c r="CG407" i="6" s="1"/>
  <c r="CO407" i="6"/>
  <c r="CK407" i="6"/>
  <c r="CU407" i="6" s="1"/>
  <c r="BN406" i="6"/>
  <c r="BR406" i="6" s="1"/>
  <c r="AT406" i="6"/>
  <c r="N119" i="6"/>
  <c r="X119" i="6"/>
  <c r="AK119" i="6" s="1"/>
  <c r="N146" i="6"/>
  <c r="AS119" i="6" l="1"/>
  <c r="AB119" i="6"/>
  <c r="AF119" i="6" s="1"/>
  <c r="CA119" i="6"/>
  <c r="CK119" i="6"/>
  <c r="CU119" i="6" s="1"/>
  <c r="BW119" i="6"/>
  <c r="CG119" i="6" s="1"/>
  <c r="CO119" i="6"/>
  <c r="AT407" i="6"/>
  <c r="BN407" i="6"/>
  <c r="BR407" i="6" s="1"/>
  <c r="AT119" i="6" l="1"/>
  <c r="BN119" i="6"/>
  <c r="BR119" i="6" s="1"/>
  <c r="X146" i="6"/>
  <c r="AK146" i="6" s="1"/>
  <c r="X408" i="6"/>
  <c r="AK408" i="6" s="1"/>
  <c r="N408" i="6"/>
  <c r="AS146" i="6" l="1"/>
  <c r="AS408" i="6"/>
  <c r="AB408" i="6"/>
  <c r="AF408" i="6" s="1"/>
  <c r="CK408" i="6"/>
  <c r="CU408" i="6" s="1"/>
  <c r="BW408" i="6"/>
  <c r="CG408" i="6" s="1"/>
  <c r="CA408" i="6"/>
  <c r="CO408" i="6"/>
  <c r="CK146" i="6"/>
  <c r="CU146" i="6" s="1"/>
  <c r="CO146" i="6"/>
  <c r="CA146" i="6"/>
  <c r="BW146" i="6"/>
  <c r="CG146" i="6" s="1"/>
  <c r="AB146" i="6"/>
  <c r="AF146" i="6" s="1"/>
  <c r="X262" i="6"/>
  <c r="AK262" i="6" s="1"/>
  <c r="N262" i="6"/>
  <c r="AS262" i="6" l="1"/>
  <c r="AT408" i="6"/>
  <c r="BN408" i="6"/>
  <c r="BR408" i="6" s="1"/>
  <c r="CA262" i="6"/>
  <c r="AB262" i="6"/>
  <c r="AF262" i="6" s="1"/>
  <c r="BW262" i="6"/>
  <c r="CG262" i="6" s="1"/>
  <c r="CK262" i="6"/>
  <c r="CU262" i="6" s="1"/>
  <c r="CO262" i="6"/>
  <c r="AT146" i="6"/>
  <c r="BN146" i="6"/>
  <c r="BR146" i="6" s="1"/>
  <c r="N241" i="6"/>
  <c r="X241" i="6"/>
  <c r="AK241" i="6" s="1"/>
  <c r="AS241" i="6" l="1"/>
  <c r="CK241" i="6"/>
  <c r="BW241" i="6"/>
  <c r="CO241" i="6"/>
  <c r="CA241" i="6"/>
  <c r="AB241" i="6"/>
  <c r="AF241" i="6" s="1"/>
  <c r="BN262" i="6"/>
  <c r="BR262" i="6" s="1"/>
  <c r="AT262" i="6"/>
  <c r="X409" i="6"/>
  <c r="AK409" i="6" s="1"/>
  <c r="N409" i="6"/>
  <c r="AS409" i="6" l="1"/>
  <c r="CO409" i="6"/>
  <c r="AB409" i="6"/>
  <c r="AF409" i="6" s="1"/>
  <c r="CK409" i="6"/>
  <c r="BW409" i="6"/>
  <c r="CA409" i="6"/>
  <c r="CG241" i="6"/>
  <c r="CU241" i="6"/>
  <c r="BN241" i="6"/>
  <c r="BR241" i="6" s="1"/>
  <c r="AT241" i="6"/>
  <c r="N410" i="6"/>
  <c r="X410" i="6"/>
  <c r="AK410" i="6" s="1"/>
  <c r="AS410" i="6" l="1"/>
  <c r="CG409" i="6"/>
  <c r="CO410" i="6"/>
  <c r="AB410" i="6"/>
  <c r="AF410" i="6" s="1"/>
  <c r="CK410" i="6"/>
  <c r="BW410" i="6"/>
  <c r="CA410" i="6"/>
  <c r="CU409" i="6"/>
  <c r="AT409" i="6"/>
  <c r="BN409" i="6"/>
  <c r="BR409" i="6" s="1"/>
  <c r="X411" i="6"/>
  <c r="AK411" i="6" s="1"/>
  <c r="N411" i="6"/>
  <c r="AS411" i="6" l="1"/>
  <c r="CU410" i="6"/>
  <c r="BN410" i="6"/>
  <c r="BR410" i="6" s="1"/>
  <c r="AT410" i="6"/>
  <c r="CO411" i="6"/>
  <c r="CK411" i="6"/>
  <c r="AB411" i="6"/>
  <c r="AF411" i="6" s="1"/>
  <c r="BW411" i="6"/>
  <c r="CA411" i="6"/>
  <c r="CG410" i="6"/>
  <c r="X412" i="6"/>
  <c r="AK412" i="6" s="1"/>
  <c r="N412" i="6"/>
  <c r="AS412" i="6" l="1"/>
  <c r="CG411" i="6"/>
  <c r="AT411" i="6"/>
  <c r="BN411" i="6"/>
  <c r="BR411" i="6" s="1"/>
  <c r="CO412" i="6"/>
  <c r="BW412" i="6"/>
  <c r="CG412" i="6" s="1"/>
  <c r="AB412" i="6"/>
  <c r="AF412" i="6" s="1"/>
  <c r="CA412" i="6"/>
  <c r="CK412" i="6"/>
  <c r="CU412" i="6" s="1"/>
  <c r="CU411" i="6"/>
  <c r="N413" i="6"/>
  <c r="X413" i="6"/>
  <c r="AK413" i="6" s="1"/>
  <c r="AS413" i="6" l="1"/>
  <c r="AB413" i="6"/>
  <c r="AF413" i="6" s="1"/>
  <c r="CO413" i="6"/>
  <c r="CA413" i="6"/>
  <c r="BW413" i="6"/>
  <c r="CG413" i="6" s="1"/>
  <c r="CK413" i="6"/>
  <c r="CU413" i="6" s="1"/>
  <c r="AT412" i="6"/>
  <c r="BN412" i="6"/>
  <c r="BR412" i="6" s="1"/>
  <c r="N414" i="6"/>
  <c r="X414" i="6"/>
  <c r="AK414" i="6" s="1"/>
  <c r="AS414" i="6" l="1"/>
  <c r="BW414" i="6"/>
  <c r="CG414" i="6" s="1"/>
  <c r="CO414" i="6"/>
  <c r="CA414" i="6"/>
  <c r="AB414" i="6"/>
  <c r="AF414" i="6" s="1"/>
  <c r="CK414" i="6"/>
  <c r="CU414" i="6" s="1"/>
  <c r="AT413" i="6"/>
  <c r="BN413" i="6"/>
  <c r="BR413" i="6" s="1"/>
  <c r="X415" i="6"/>
  <c r="AK415" i="6" s="1"/>
  <c r="N415" i="6"/>
  <c r="AS415" i="6" l="1"/>
  <c r="CO415" i="6"/>
  <c r="CA415" i="6"/>
  <c r="BW415" i="6"/>
  <c r="CG415" i="6" s="1"/>
  <c r="AB415" i="6"/>
  <c r="AF415" i="6" s="1"/>
  <c r="CK415" i="6"/>
  <c r="CU415" i="6" s="1"/>
  <c r="BN414" i="6"/>
  <c r="BR414" i="6" s="1"/>
  <c r="AT414" i="6"/>
  <c r="X416" i="6"/>
  <c r="AK416" i="6" s="1"/>
  <c r="N416" i="6"/>
  <c r="AS416" i="6" l="1"/>
  <c r="CA416" i="6"/>
  <c r="AB416" i="6"/>
  <c r="AF416" i="6" s="1"/>
  <c r="BW416" i="6"/>
  <c r="CG416" i="6" s="1"/>
  <c r="CO416" i="6"/>
  <c r="CK416" i="6"/>
  <c r="CU416" i="6" s="1"/>
  <c r="BN415" i="6"/>
  <c r="BR415" i="6" s="1"/>
  <c r="AT415" i="6"/>
  <c r="X134" i="6"/>
  <c r="AK134" i="6" s="1"/>
  <c r="N134" i="6"/>
  <c r="AS134" i="6" l="1"/>
  <c r="AB134" i="6"/>
  <c r="AF134" i="6" s="1"/>
  <c r="BW134" i="6"/>
  <c r="CG134" i="6" s="1"/>
  <c r="CK134" i="6"/>
  <c r="CU134" i="6" s="1"/>
  <c r="CA134" i="6"/>
  <c r="CO134" i="6"/>
  <c r="BN416" i="6"/>
  <c r="BR416" i="6" s="1"/>
  <c r="AT416" i="6"/>
  <c r="N35" i="6"/>
  <c r="X35" i="6"/>
  <c r="AK35" i="6" s="1"/>
  <c r="AS35" i="6" l="1"/>
  <c r="CA35" i="6"/>
  <c r="CO35" i="6"/>
  <c r="AB35" i="6"/>
  <c r="AF35" i="6" s="1"/>
  <c r="BW35" i="6"/>
  <c r="CG35" i="6" s="1"/>
  <c r="CK35" i="6"/>
  <c r="CU35" i="6" s="1"/>
  <c r="BN134" i="6"/>
  <c r="BR134" i="6" s="1"/>
  <c r="AT134" i="6"/>
  <c r="N417" i="6"/>
  <c r="X417" i="6"/>
  <c r="AK417" i="6" s="1"/>
  <c r="AS417" i="6" l="1"/>
  <c r="BW417" i="6"/>
  <c r="CG417" i="6" s="1"/>
  <c r="CK417" i="6"/>
  <c r="CU417" i="6" s="1"/>
  <c r="AB417" i="6"/>
  <c r="AF417" i="6" s="1"/>
  <c r="CO417" i="6"/>
  <c r="CA417" i="6"/>
  <c r="AT35" i="6"/>
  <c r="BN35" i="6"/>
  <c r="BR35" i="6" s="1"/>
  <c r="X192" i="6"/>
  <c r="AK192" i="6" s="1"/>
  <c r="N192" i="6"/>
  <c r="AS192" i="6" l="1"/>
  <c r="AB192" i="6"/>
  <c r="AF192" i="6" s="1"/>
  <c r="CK192" i="6"/>
  <c r="CU192" i="6" s="1"/>
  <c r="BW192" i="6"/>
  <c r="CG192" i="6" s="1"/>
  <c r="CA192" i="6"/>
  <c r="CO192" i="6"/>
  <c r="BN417" i="6"/>
  <c r="BR417" i="6" s="1"/>
  <c r="AT417" i="6"/>
  <c r="N418" i="6"/>
  <c r="X418" i="6"/>
  <c r="AK418" i="6" s="1"/>
  <c r="AS418" i="6" l="1"/>
  <c r="AT192" i="6"/>
  <c r="BN192" i="6"/>
  <c r="BR192" i="6" s="1"/>
  <c r="AB418" i="6"/>
  <c r="AF418" i="6" s="1"/>
  <c r="CK418" i="6"/>
  <c r="CU418" i="6" s="1"/>
  <c r="CA418" i="6"/>
  <c r="BW418" i="6"/>
  <c r="CG418" i="6" s="1"/>
  <c r="CO418" i="6"/>
  <c r="N419" i="6"/>
  <c r="BN418" i="6" l="1"/>
  <c r="BR418" i="6" s="1"/>
  <c r="AT418" i="6"/>
  <c r="X419" i="6"/>
  <c r="N420" i="6"/>
  <c r="X420" i="6"/>
  <c r="AK420" i="6" s="1"/>
  <c r="AS420" i="6" l="1"/>
  <c r="CA419" i="6"/>
  <c r="AK419" i="6"/>
  <c r="CK419" i="6"/>
  <c r="CU419" i="6" s="1"/>
  <c r="AB419" i="6"/>
  <c r="AF419" i="6" s="1"/>
  <c r="BW419" i="6"/>
  <c r="CG419" i="6" s="1"/>
  <c r="CK420" i="6"/>
  <c r="CU420" i="6" s="1"/>
  <c r="BW420" i="6"/>
  <c r="CG420" i="6" s="1"/>
  <c r="CA420" i="6"/>
  <c r="CO420" i="6"/>
  <c r="AB420" i="6"/>
  <c r="AF420" i="6" s="1"/>
  <c r="CO419" i="6"/>
  <c r="N70" i="6"/>
  <c r="X70" i="6"/>
  <c r="AK70" i="6" s="1"/>
  <c r="AS419" i="6" l="1"/>
  <c r="BN419" i="6" s="1"/>
  <c r="BR419" i="6" s="1"/>
  <c r="AS70" i="6"/>
  <c r="CK70" i="6"/>
  <c r="CU70" i="6" s="1"/>
  <c r="AB70" i="6"/>
  <c r="AF70" i="6" s="1"/>
  <c r="BW70" i="6"/>
  <c r="CG70" i="6" s="1"/>
  <c r="CO70" i="6"/>
  <c r="CA70" i="6"/>
  <c r="BN420" i="6"/>
  <c r="BR420" i="6" s="1"/>
  <c r="AT420" i="6"/>
  <c r="X421" i="6"/>
  <c r="AK421" i="6" s="1"/>
  <c r="N421" i="6"/>
  <c r="AT419" i="6" l="1"/>
  <c r="AS421" i="6"/>
  <c r="AT70" i="6"/>
  <c r="BN70" i="6"/>
  <c r="BR70" i="6" s="1"/>
  <c r="BW421" i="6"/>
  <c r="CG421" i="6" s="1"/>
  <c r="CO421" i="6"/>
  <c r="CA421" i="6"/>
  <c r="AB421" i="6"/>
  <c r="AF421" i="6" s="1"/>
  <c r="CK421" i="6"/>
  <c r="CU421" i="6" s="1"/>
  <c r="N422" i="6"/>
  <c r="X422" i="6"/>
  <c r="AK422" i="6" s="1"/>
  <c r="AS422" i="6" l="1"/>
  <c r="AT421" i="6"/>
  <c r="BN421" i="6"/>
  <c r="BR421" i="6" s="1"/>
  <c r="BW422" i="6"/>
  <c r="CG422" i="6" s="1"/>
  <c r="CO422" i="6"/>
  <c r="CA422" i="6"/>
  <c r="AB422" i="6"/>
  <c r="AF422" i="6" s="1"/>
  <c r="CK422" i="6"/>
  <c r="CU422" i="6" s="1"/>
  <c r="X116" i="6"/>
  <c r="AK116" i="6" s="1"/>
  <c r="N116" i="6"/>
  <c r="AS116" i="6" l="1"/>
  <c r="AB116" i="6"/>
  <c r="AF116" i="6" s="1"/>
  <c r="BW116" i="6"/>
  <c r="CG116" i="6" s="1"/>
  <c r="CK116" i="6"/>
  <c r="CU116" i="6" s="1"/>
  <c r="CO116" i="6"/>
  <c r="CA116" i="6"/>
  <c r="AT422" i="6"/>
  <c r="BN422" i="6"/>
  <c r="BR422" i="6" s="1"/>
  <c r="AK301" i="6"/>
  <c r="N301" i="6"/>
  <c r="AS301" i="6" l="1"/>
  <c r="BW301" i="6"/>
  <c r="CG301" i="6" s="1"/>
  <c r="CO301" i="6"/>
  <c r="CA301" i="6"/>
  <c r="AB301" i="6"/>
  <c r="AF301" i="6" s="1"/>
  <c r="CK301" i="6"/>
  <c r="CU301" i="6" s="1"/>
  <c r="BN116" i="6"/>
  <c r="BR116" i="6" s="1"/>
  <c r="AT116" i="6"/>
  <c r="N89" i="6"/>
  <c r="AK89" i="6"/>
  <c r="AS89" i="6" l="1"/>
  <c r="BN301" i="6"/>
  <c r="BR301" i="6" s="1"/>
  <c r="AT301" i="6"/>
  <c r="BW89" i="6"/>
  <c r="CG89" i="6" s="1"/>
  <c r="CA89" i="6"/>
  <c r="CO89" i="6"/>
  <c r="AB89" i="6"/>
  <c r="AF89" i="6" s="1"/>
  <c r="CK89" i="6"/>
  <c r="CU89" i="6" s="1"/>
  <c r="X302" i="6"/>
  <c r="AK302" i="6" s="1"/>
  <c r="N302" i="6"/>
  <c r="AS302" i="6" l="1"/>
  <c r="BW302" i="6"/>
  <c r="CG302" i="6" s="1"/>
  <c r="AB302" i="6"/>
  <c r="AF302" i="6" s="1"/>
  <c r="CK302" i="6"/>
  <c r="CU302" i="6" s="1"/>
  <c r="CA302" i="6"/>
  <c r="CO302" i="6"/>
  <c r="AT89" i="6"/>
  <c r="BN89" i="6"/>
  <c r="BR89" i="6" s="1"/>
  <c r="N298" i="6"/>
  <c r="X298" i="6"/>
  <c r="AK298" i="6" s="1"/>
  <c r="AS298" i="6" l="1"/>
  <c r="AB298" i="6"/>
  <c r="AF298" i="6" s="1"/>
  <c r="BW298" i="6"/>
  <c r="CG298" i="6" s="1"/>
  <c r="CK298" i="6"/>
  <c r="CU298" i="6" s="1"/>
  <c r="CO298" i="6"/>
  <c r="CA298" i="6"/>
  <c r="AT302" i="6"/>
  <c r="BN302" i="6"/>
  <c r="BR302" i="6" s="1"/>
  <c r="X153" i="6"/>
  <c r="AK153" i="6" s="1"/>
  <c r="N153" i="6"/>
  <c r="AS153" i="6" l="1"/>
  <c r="AT298" i="6"/>
  <c r="BN298" i="6"/>
  <c r="BR298" i="6" s="1"/>
  <c r="BW153" i="6"/>
  <c r="CG153" i="6" s="1"/>
  <c r="CO153" i="6"/>
  <c r="CA153" i="6"/>
  <c r="AB153" i="6"/>
  <c r="AF153" i="6" s="1"/>
  <c r="CK153" i="6"/>
  <c r="CU153" i="6" s="1"/>
  <c r="N98" i="6"/>
  <c r="X98" i="6"/>
  <c r="AK98" i="6" s="1"/>
  <c r="AS98" i="6" l="1"/>
  <c r="BW98" i="6"/>
  <c r="CG98" i="6" s="1"/>
  <c r="CO98" i="6"/>
  <c r="CA98" i="6"/>
  <c r="AB98" i="6"/>
  <c r="AF98" i="6" s="1"/>
  <c r="CK98" i="6"/>
  <c r="CU98" i="6" s="1"/>
  <c r="AT153" i="6"/>
  <c r="BN153" i="6"/>
  <c r="BR153" i="6" s="1"/>
  <c r="N303" i="6"/>
  <c r="X303" i="6"/>
  <c r="AK303" i="6" s="1"/>
  <c r="AS303" i="6" l="1"/>
  <c r="BW303" i="6"/>
  <c r="CG303" i="6" s="1"/>
  <c r="CO303" i="6"/>
  <c r="AB303" i="6"/>
  <c r="AF303" i="6" s="1"/>
  <c r="CA303" i="6"/>
  <c r="CK303" i="6"/>
  <c r="CU303" i="6" s="1"/>
  <c r="BN98" i="6"/>
  <c r="BR98" i="6" s="1"/>
  <c r="AT98" i="6"/>
  <c r="X85" i="6"/>
  <c r="AK85" i="6" s="1"/>
  <c r="N85" i="6"/>
  <c r="AS85" i="6" l="1"/>
  <c r="CA85" i="6"/>
  <c r="BW85" i="6"/>
  <c r="CG85" i="6" s="1"/>
  <c r="CK85" i="6"/>
  <c r="CU85" i="6" s="1"/>
  <c r="AB85" i="6"/>
  <c r="AF85" i="6" s="1"/>
  <c r="CO85" i="6"/>
  <c r="AT303" i="6"/>
  <c r="BN303" i="6"/>
  <c r="BR303" i="6" s="1"/>
  <c r="X90" i="6"/>
  <c r="AK90" i="6" s="1"/>
  <c r="N90" i="6"/>
  <c r="AS90" i="6" l="1"/>
  <c r="BN85" i="6"/>
  <c r="BR85" i="6" s="1"/>
  <c r="AT85" i="6"/>
  <c r="CA90" i="6"/>
  <c r="CK90" i="6"/>
  <c r="CU90" i="6" s="1"/>
  <c r="BW90" i="6"/>
  <c r="CG90" i="6" s="1"/>
  <c r="AB90" i="6"/>
  <c r="AF90" i="6" s="1"/>
  <c r="CO90" i="6"/>
  <c r="N304" i="6"/>
  <c r="X304" i="6"/>
  <c r="AK304" i="6" s="1"/>
  <c r="AS304" i="6" l="1"/>
  <c r="CK304" i="6"/>
  <c r="CU304" i="6" s="1"/>
  <c r="BW304" i="6"/>
  <c r="CG304" i="6" s="1"/>
  <c r="CO304" i="6"/>
  <c r="CA304" i="6"/>
  <c r="AB304" i="6"/>
  <c r="AF304" i="6" s="1"/>
  <c r="BN90" i="6"/>
  <c r="BR90" i="6" s="1"/>
  <c r="AT90" i="6"/>
  <c r="N305" i="6"/>
  <c r="X305" i="6"/>
  <c r="AK305" i="6" s="1"/>
  <c r="AS305" i="6" l="1"/>
  <c r="CK305" i="6"/>
  <c r="CU305" i="6" s="1"/>
  <c r="CO305" i="6"/>
  <c r="AB305" i="6"/>
  <c r="AF305" i="6" s="1"/>
  <c r="CA305" i="6"/>
  <c r="BW305" i="6"/>
  <c r="CG305" i="6" s="1"/>
  <c r="AT304" i="6"/>
  <c r="BN304" i="6"/>
  <c r="BR304" i="6" s="1"/>
  <c r="X245" i="6"/>
  <c r="AK245" i="6" s="1"/>
  <c r="N245" i="6"/>
  <c r="AS245" i="6" l="1"/>
  <c r="CA245" i="6"/>
  <c r="BW245" i="6"/>
  <c r="CG245" i="6" s="1"/>
  <c r="CK245" i="6"/>
  <c r="CU245" i="6" s="1"/>
  <c r="AB245" i="6"/>
  <c r="AF245" i="6" s="1"/>
  <c r="CO245" i="6"/>
  <c r="AT305" i="6"/>
  <c r="BN305" i="6"/>
  <c r="BR305" i="6" s="1"/>
  <c r="X306" i="6"/>
  <c r="AK306" i="6" s="1"/>
  <c r="N306" i="6"/>
  <c r="AS306" i="6" l="1"/>
  <c r="BN245" i="6"/>
  <c r="BR245" i="6" s="1"/>
  <c r="AT245" i="6"/>
  <c r="CA306" i="6"/>
  <c r="CK306" i="6"/>
  <c r="CU306" i="6" s="1"/>
  <c r="BW306" i="6"/>
  <c r="CG306" i="6" s="1"/>
  <c r="AB306" i="6"/>
  <c r="AF306" i="6" s="1"/>
  <c r="CO306" i="6"/>
  <c r="N151" i="6"/>
  <c r="X151" i="6"/>
  <c r="AK151" i="6" s="1"/>
  <c r="AS151" i="6" l="1"/>
  <c r="AT306" i="6"/>
  <c r="BN306" i="6"/>
  <c r="BR306" i="6" s="1"/>
  <c r="CK151" i="6"/>
  <c r="CU151" i="6" s="1"/>
  <c r="CO151" i="6"/>
  <c r="CA151" i="6"/>
  <c r="AB151" i="6"/>
  <c r="AF151" i="6" s="1"/>
  <c r="BW151" i="6"/>
  <c r="CG151" i="6" s="1"/>
  <c r="X164" i="6"/>
  <c r="AK164" i="6" s="1"/>
  <c r="N164" i="6"/>
  <c r="AS164" i="6" l="1"/>
  <c r="CK164" i="6"/>
  <c r="CU164" i="6" s="1"/>
  <c r="AB164" i="6"/>
  <c r="AF164" i="6" s="1"/>
  <c r="CO164" i="6"/>
  <c r="CA164" i="6"/>
  <c r="BW164" i="6"/>
  <c r="CG164" i="6" s="1"/>
  <c r="AT151" i="6"/>
  <c r="BN151" i="6"/>
  <c r="BR151" i="6" s="1"/>
  <c r="N307" i="6"/>
  <c r="X307" i="6"/>
  <c r="AK307" i="6" s="1"/>
  <c r="AS307" i="6" l="1"/>
  <c r="AB307" i="6"/>
  <c r="AF307" i="6" s="1"/>
  <c r="BW307" i="6"/>
  <c r="CG307" i="6" s="1"/>
  <c r="CK307" i="6"/>
  <c r="CU307" i="6" s="1"/>
  <c r="CA307" i="6"/>
  <c r="CO307" i="6"/>
  <c r="AT164" i="6"/>
  <c r="BN164" i="6"/>
  <c r="BR164" i="6" s="1"/>
  <c r="X110" i="6"/>
  <c r="AK110" i="6" s="1"/>
  <c r="N110" i="6"/>
  <c r="AS110" i="6" l="1"/>
  <c r="CK110" i="6"/>
  <c r="CU110" i="6" s="1"/>
  <c r="BW110" i="6"/>
  <c r="CG110" i="6" s="1"/>
  <c r="CA110" i="6"/>
  <c r="CO110" i="6"/>
  <c r="AB110" i="6"/>
  <c r="AF110" i="6" s="1"/>
  <c r="AT307" i="6"/>
  <c r="BN307" i="6"/>
  <c r="BR307" i="6" s="1"/>
  <c r="N99" i="6"/>
  <c r="BN110" i="6" l="1"/>
  <c r="BR110" i="6" s="1"/>
  <c r="AT110" i="6"/>
  <c r="X99" i="6"/>
  <c r="X148" i="6"/>
  <c r="AK148" i="6" s="1"/>
  <c r="N148" i="6"/>
  <c r="AS148" i="6" l="1"/>
  <c r="BW99" i="6"/>
  <c r="CG99" i="6" s="1"/>
  <c r="AK99" i="6"/>
  <c r="CA99" i="6"/>
  <c r="CK99" i="6"/>
  <c r="CU99" i="6" s="1"/>
  <c r="BW148" i="6"/>
  <c r="CG148" i="6" s="1"/>
  <c r="CA148" i="6"/>
  <c r="CO148" i="6"/>
  <c r="CK148" i="6"/>
  <c r="CU148" i="6" s="1"/>
  <c r="AB148" i="6"/>
  <c r="AF148" i="6" s="1"/>
  <c r="AB99" i="6"/>
  <c r="AF99" i="6" s="1"/>
  <c r="CO99" i="6"/>
  <c r="N24" i="6"/>
  <c r="X24" i="6"/>
  <c r="AK24" i="6" s="1"/>
  <c r="AS99" i="6" l="1"/>
  <c r="AS24" i="6"/>
  <c r="CK24" i="6"/>
  <c r="CU24" i="6" s="1"/>
  <c r="CO24" i="6"/>
  <c r="BW24" i="6"/>
  <c r="CG24" i="6" s="1"/>
  <c r="AB24" i="6"/>
  <c r="AF24" i="6" s="1"/>
  <c r="CA24" i="6"/>
  <c r="BN99" i="6"/>
  <c r="BR99" i="6" s="1"/>
  <c r="AT99" i="6"/>
  <c r="AT148" i="6"/>
  <c r="BN148" i="6"/>
  <c r="BR148" i="6" s="1"/>
  <c r="N299" i="6"/>
  <c r="X299" i="6"/>
  <c r="AK299" i="6" s="1"/>
  <c r="AS299" i="6" l="1"/>
  <c r="CK299" i="6"/>
  <c r="CU299" i="6" s="1"/>
  <c r="CA299" i="6"/>
  <c r="CO299" i="6"/>
  <c r="AB299" i="6"/>
  <c r="AF299" i="6" s="1"/>
  <c r="BW299" i="6"/>
  <c r="CG299" i="6" s="1"/>
  <c r="AT24" i="6"/>
  <c r="BN24" i="6"/>
  <c r="BR24" i="6" s="1"/>
  <c r="X38" i="6"/>
  <c r="AK38" i="6" s="1"/>
  <c r="N38" i="6"/>
  <c r="AS38" i="6" l="1"/>
  <c r="AT299" i="6"/>
  <c r="BN299" i="6"/>
  <c r="BR299" i="6" s="1"/>
  <c r="CK38" i="6"/>
  <c r="CU38" i="6" s="1"/>
  <c r="AB38" i="6"/>
  <c r="AF38" i="6" s="1"/>
  <c r="CA38" i="6"/>
  <c r="CO38" i="6"/>
  <c r="BW38" i="6"/>
  <c r="CG38" i="6" s="1"/>
  <c r="N308" i="6"/>
  <c r="X308" i="6"/>
  <c r="AK308" i="6" s="1"/>
  <c r="AS308" i="6" l="1"/>
  <c r="CO308" i="6"/>
  <c r="AB308" i="6"/>
  <c r="AF308" i="6" s="1"/>
  <c r="CK308" i="6"/>
  <c r="CU308" i="6" s="1"/>
  <c r="CA308" i="6"/>
  <c r="BW308" i="6"/>
  <c r="CG308" i="6" s="1"/>
  <c r="BN38" i="6"/>
  <c r="BR38" i="6" s="1"/>
  <c r="AT38" i="6"/>
  <c r="N309" i="6"/>
  <c r="X309" i="6"/>
  <c r="AK309" i="6" s="1"/>
  <c r="AS309" i="6" l="1"/>
  <c r="AB309" i="6"/>
  <c r="AF309" i="6" s="1"/>
  <c r="BW309" i="6"/>
  <c r="CG309" i="6" s="1"/>
  <c r="CO309" i="6"/>
  <c r="CK309" i="6"/>
  <c r="CU309" i="6" s="1"/>
  <c r="CA309" i="6"/>
  <c r="BN308" i="6"/>
  <c r="BR308" i="6" s="1"/>
  <c r="AT308" i="6"/>
  <c r="N310" i="6"/>
  <c r="X310" i="6"/>
  <c r="AK310" i="6" s="1"/>
  <c r="AS310" i="6" l="1"/>
  <c r="AT309" i="6"/>
  <c r="BN309" i="6"/>
  <c r="BR309" i="6" s="1"/>
  <c r="AB310" i="6"/>
  <c r="AF310" i="6" s="1"/>
  <c r="CK310" i="6"/>
  <c r="CU310" i="6" s="1"/>
  <c r="CO310" i="6"/>
  <c r="CA310" i="6"/>
  <c r="BW310" i="6"/>
  <c r="CG310" i="6" s="1"/>
  <c r="N311" i="6"/>
  <c r="AT310" i="6" l="1"/>
  <c r="BN310" i="6"/>
  <c r="BR310" i="6" s="1"/>
  <c r="X311" i="6"/>
  <c r="AK311" i="6" s="1"/>
  <c r="AS311" i="6" s="1"/>
  <c r="X312" i="6"/>
  <c r="AK312" i="6" s="1"/>
  <c r="N312" i="6"/>
  <c r="AS312" i="6" l="1"/>
  <c r="BN311" i="6"/>
  <c r="BR311" i="6" s="1"/>
  <c r="AT311" i="6"/>
  <c r="CK312" i="6"/>
  <c r="CU312" i="6" s="1"/>
  <c r="BW312" i="6"/>
  <c r="CG312" i="6" s="1"/>
  <c r="CO312" i="6"/>
  <c r="AB312" i="6"/>
  <c r="AF312" i="6" s="1"/>
  <c r="CA312" i="6"/>
  <c r="CA311" i="6"/>
  <c r="CK311" i="6"/>
  <c r="CU311" i="6" s="1"/>
  <c r="BW311" i="6"/>
  <c r="CG311" i="6" s="1"/>
  <c r="CO311" i="6"/>
  <c r="AB311" i="6"/>
  <c r="AF311" i="6" s="1"/>
  <c r="N187" i="6"/>
  <c r="X187" i="6"/>
  <c r="AK187" i="6" s="1"/>
  <c r="AS187" i="6" l="1"/>
  <c r="BN312" i="6"/>
  <c r="BR312" i="6" s="1"/>
  <c r="AT312" i="6"/>
  <c r="CK187" i="6"/>
  <c r="CU187" i="6" s="1"/>
  <c r="CA187" i="6"/>
  <c r="CO187" i="6"/>
  <c r="BW187" i="6"/>
  <c r="CG187" i="6" s="1"/>
  <c r="AB187" i="6"/>
  <c r="AF187" i="6" s="1"/>
  <c r="N170" i="6"/>
  <c r="X170" i="6"/>
  <c r="AK170" i="6" s="1"/>
  <c r="AS170" i="6" l="1"/>
  <c r="BW170" i="6"/>
  <c r="CG170" i="6" s="1"/>
  <c r="CA170" i="6"/>
  <c r="CK170" i="6"/>
  <c r="CU170" i="6" s="1"/>
  <c r="AB170" i="6"/>
  <c r="AF170" i="6" s="1"/>
  <c r="CO170" i="6"/>
  <c r="BN187" i="6"/>
  <c r="BR187" i="6" s="1"/>
  <c r="AT187" i="6"/>
  <c r="X154" i="6"/>
  <c r="AK154" i="6" s="1"/>
  <c r="N154" i="6"/>
  <c r="AS154" i="6" l="1"/>
  <c r="CO154" i="6"/>
  <c r="CK154" i="6"/>
  <c r="CU154" i="6" s="1"/>
  <c r="BW154" i="6"/>
  <c r="CG154" i="6" s="1"/>
  <c r="AB154" i="6"/>
  <c r="AF154" i="6" s="1"/>
  <c r="CA154" i="6"/>
  <c r="BN170" i="6"/>
  <c r="BR170" i="6" s="1"/>
  <c r="AT170" i="6"/>
  <c r="N188" i="6"/>
  <c r="X188" i="6"/>
  <c r="AK188" i="6" s="1"/>
  <c r="AS188" i="6" l="1"/>
  <c r="AB188" i="6"/>
  <c r="AF188" i="6" s="1"/>
  <c r="CK188" i="6"/>
  <c r="CU188" i="6" s="1"/>
  <c r="BW188" i="6"/>
  <c r="CG188" i="6" s="1"/>
  <c r="CO188" i="6"/>
  <c r="CA188" i="6"/>
  <c r="AT154" i="6"/>
  <c r="BN154" i="6"/>
  <c r="BR154" i="6" s="1"/>
  <c r="N210" i="6"/>
  <c r="X210" i="6"/>
  <c r="AK210" i="6" s="1"/>
  <c r="AS210" i="6" l="1"/>
  <c r="CO210" i="6"/>
  <c r="BW210" i="6"/>
  <c r="CG210" i="6" s="1"/>
  <c r="CK210" i="6"/>
  <c r="CU210" i="6" s="1"/>
  <c r="AB210" i="6"/>
  <c r="AF210" i="6" s="1"/>
  <c r="CA210" i="6"/>
  <c r="BN188" i="6"/>
  <c r="BR188" i="6" s="1"/>
  <c r="AT188" i="6"/>
  <c r="X211" i="6"/>
  <c r="AK211" i="6" s="1"/>
  <c r="N211" i="6"/>
  <c r="AS211" i="6" l="1"/>
  <c r="BN210" i="6"/>
  <c r="BR210" i="6" s="1"/>
  <c r="AT210" i="6"/>
  <c r="BW211" i="6"/>
  <c r="CG211" i="6" s="1"/>
  <c r="CA211" i="6"/>
  <c r="AB211" i="6"/>
  <c r="AF211" i="6" s="1"/>
  <c r="CK211" i="6"/>
  <c r="CU211" i="6" s="1"/>
  <c r="CO211" i="6"/>
  <c r="N212" i="6"/>
  <c r="X212" i="6"/>
  <c r="AK212" i="6" s="1"/>
  <c r="AS212" i="6" l="1"/>
  <c r="BN211" i="6"/>
  <c r="BR211" i="6" s="1"/>
  <c r="AT211" i="6"/>
  <c r="CO212" i="6"/>
  <c r="CA212" i="6"/>
  <c r="BW212" i="6"/>
  <c r="CG212" i="6" s="1"/>
  <c r="CK212" i="6"/>
  <c r="CU212" i="6" s="1"/>
  <c r="AB212" i="6"/>
  <c r="AF212" i="6" s="1"/>
  <c r="N300" i="6"/>
  <c r="X300" i="6"/>
  <c r="AK300" i="6" s="1"/>
  <c r="AS300" i="6" l="1"/>
  <c r="BN212" i="6"/>
  <c r="BR212" i="6" s="1"/>
  <c r="AT212" i="6"/>
  <c r="CK300" i="6"/>
  <c r="CU300" i="6" s="1"/>
  <c r="CO300" i="6"/>
  <c r="BW300" i="6"/>
  <c r="CG300" i="6" s="1"/>
  <c r="CA300" i="6"/>
  <c r="AB300" i="6"/>
  <c r="AF300" i="6" s="1"/>
  <c r="X313" i="6"/>
  <c r="AK313" i="6" s="1"/>
  <c r="BN300" i="6" l="1"/>
  <c r="BR300" i="6" s="1"/>
  <c r="AT300" i="6"/>
  <c r="N313" i="6"/>
  <c r="AS313" i="6" l="1"/>
  <c r="CA313" i="6"/>
  <c r="CO313" i="6"/>
  <c r="BW313" i="6"/>
  <c r="CG313" i="6" s="1"/>
  <c r="AB313" i="6"/>
  <c r="AF313" i="6" s="1"/>
  <c r="CK313" i="6"/>
  <c r="CU313" i="6" s="1"/>
  <c r="N314" i="6"/>
  <c r="X314" i="6"/>
  <c r="AK314" i="6" s="1"/>
  <c r="N315" i="6"/>
  <c r="X315" i="6"/>
  <c r="AK315" i="6" s="1"/>
  <c r="AS315" i="6" l="1"/>
  <c r="AS314" i="6"/>
  <c r="CK315" i="6"/>
  <c r="CU315" i="6" s="1"/>
  <c r="CA315" i="6"/>
  <c r="CO315" i="6"/>
  <c r="AB315" i="6"/>
  <c r="AF315" i="6" s="1"/>
  <c r="BW315" i="6"/>
  <c r="CG315" i="6" s="1"/>
  <c r="AT313" i="6"/>
  <c r="BN313" i="6"/>
  <c r="BR313" i="6" s="1"/>
  <c r="CK314" i="6"/>
  <c r="CU314" i="6" s="1"/>
  <c r="BW314" i="6"/>
  <c r="CG314" i="6" s="1"/>
  <c r="AB314" i="6"/>
  <c r="AF314" i="6" s="1"/>
  <c r="CA314" i="6"/>
  <c r="CO314" i="6"/>
  <c r="BN314" i="6" l="1"/>
  <c r="BR314" i="6" s="1"/>
  <c r="AT314" i="6"/>
  <c r="BN315" i="6"/>
  <c r="BR315" i="6" s="1"/>
  <c r="AT315" i="6"/>
  <c r="X316" i="6" l="1"/>
  <c r="AK316" i="6" s="1"/>
  <c r="X317" i="6" l="1"/>
  <c r="AK317" i="6" s="1"/>
  <c r="X318" i="6" l="1"/>
  <c r="AK318" i="6" s="1"/>
  <c r="X129" i="6" l="1"/>
  <c r="AK129" i="6" s="1"/>
  <c r="X130" i="6" l="1"/>
  <c r="AK130" i="6" s="1"/>
  <c r="X319" i="6" l="1"/>
  <c r="AK319" i="6" s="1"/>
  <c r="X320" i="6" l="1"/>
  <c r="AK320" i="6" s="1"/>
  <c r="X173" i="6" l="1"/>
  <c r="AK173" i="6" s="1"/>
  <c r="X321" i="6" l="1"/>
  <c r="AK321" i="6" s="1"/>
  <c r="X224" i="6" l="1"/>
  <c r="AK224" i="6" s="1"/>
  <c r="X244" i="6" l="1"/>
  <c r="AK244" i="6" s="1"/>
  <c r="X220" i="6"/>
  <c r="AK220" i="6" s="1"/>
  <c r="X240" i="6" l="1"/>
  <c r="AK240" i="6" s="1"/>
  <c r="X237" i="6"/>
  <c r="AK237" i="6" s="1"/>
  <c r="X267" i="6" l="1"/>
  <c r="AK267" i="6" s="1"/>
  <c r="X322" i="6" l="1"/>
  <c r="AK322" i="6" s="1"/>
  <c r="X140" i="6" l="1"/>
  <c r="AK140" i="6" s="1"/>
  <c r="X323" i="6" l="1"/>
  <c r="AK323" i="6" s="1"/>
  <c r="X324" i="6" l="1"/>
  <c r="AK324" i="6" s="1"/>
  <c r="X325" i="6" l="1"/>
  <c r="AK325" i="6" s="1"/>
  <c r="X326" i="6" l="1"/>
  <c r="AK326" i="6" s="1"/>
  <c r="AK84" i="6" l="1"/>
  <c r="X86" i="6" l="1"/>
  <c r="AK86" i="6" s="1"/>
  <c r="AK327" i="6" l="1"/>
  <c r="AK535" i="6" l="1"/>
  <c r="AK536" i="6" l="1"/>
  <c r="AK537" i="6" l="1"/>
  <c r="AK538" i="6" l="1"/>
  <c r="AK539" i="6" l="1"/>
  <c r="AK540" i="6" l="1"/>
  <c r="AK541" i="6" l="1"/>
  <c r="AK542" i="6" l="1"/>
  <c r="AK543" i="6" l="1"/>
  <c r="AK544" i="6" l="1"/>
  <c r="AK545" i="6" l="1"/>
  <c r="AK107" i="6" l="1"/>
  <c r="AK546" i="6" l="1"/>
  <c r="AK117" i="6" l="1"/>
  <c r="AK547" i="6" l="1"/>
  <c r="AK100" i="6" l="1"/>
  <c r="AK548" i="6" l="1"/>
  <c r="AK549" i="6" l="1"/>
  <c r="AK550" i="6" l="1"/>
  <c r="AK551" i="6" l="1"/>
  <c r="AK552" i="6" l="1"/>
  <c r="AK553" i="6" l="1"/>
  <c r="AK108" i="6" l="1"/>
  <c r="AK554" i="6" l="1"/>
  <c r="AK555" i="6" l="1"/>
  <c r="AK34" i="6" l="1"/>
  <c r="AK296" i="6" l="1"/>
  <c r="AK45" i="6" l="1"/>
  <c r="AK556" i="6" l="1"/>
  <c r="AK557" i="6" l="1"/>
  <c r="AK558" i="6" l="1"/>
  <c r="AK559" i="6" l="1"/>
  <c r="AK560" i="6" l="1"/>
  <c r="AK179" i="6" l="1"/>
  <c r="AK159" i="6" l="1"/>
  <c r="AK160" i="6" l="1"/>
  <c r="AK161" i="6" l="1"/>
  <c r="AK204" i="6" l="1"/>
  <c r="AK205" i="6" l="1"/>
  <c r="N205" i="6"/>
  <c r="AS205" i="6" l="1"/>
  <c r="CO205" i="6"/>
  <c r="CK205" i="6"/>
  <c r="CU205" i="6" s="1"/>
  <c r="CA205" i="6"/>
  <c r="AB205" i="6"/>
  <c r="AF205" i="6" s="1"/>
  <c r="BW205" i="6"/>
  <c r="CG205" i="6" s="1"/>
  <c r="N561" i="6"/>
  <c r="AK561" i="6"/>
  <c r="AS561" i="6" l="1"/>
  <c r="AB561" i="6"/>
  <c r="AF561" i="6" s="1"/>
  <c r="CA561" i="6"/>
  <c r="CO561" i="6"/>
  <c r="BW561" i="6"/>
  <c r="CG561" i="6" s="1"/>
  <c r="CK561" i="6"/>
  <c r="CU561" i="6" s="1"/>
  <c r="BN205" i="6"/>
  <c r="BR205" i="6" s="1"/>
  <c r="AT205" i="6"/>
  <c r="N562" i="6"/>
  <c r="AK562" i="6"/>
  <c r="AS562" i="6" l="1"/>
  <c r="AT561" i="6"/>
  <c r="BN561" i="6"/>
  <c r="BR561" i="6" s="1"/>
  <c r="AB562" i="6"/>
  <c r="AF562" i="6" s="1"/>
  <c r="CO562" i="6"/>
  <c r="CA562" i="6"/>
  <c r="BW562" i="6"/>
  <c r="CG562" i="6" s="1"/>
  <c r="CK562" i="6"/>
  <c r="CU562" i="6" s="1"/>
  <c r="N563" i="6"/>
  <c r="AK563" i="6"/>
  <c r="AS563" i="6" l="1"/>
  <c r="AT562" i="6"/>
  <c r="BN562" i="6"/>
  <c r="BR562" i="6" s="1"/>
  <c r="AB563" i="6"/>
  <c r="AF563" i="6" s="1"/>
  <c r="CO563" i="6"/>
  <c r="CA563" i="6"/>
  <c r="BW563" i="6"/>
  <c r="CG563" i="6" s="1"/>
  <c r="CK563" i="6"/>
  <c r="CU563" i="6" s="1"/>
  <c r="N564" i="6"/>
  <c r="AK564" i="6"/>
  <c r="AS564" i="6" l="1"/>
  <c r="BN563" i="6"/>
  <c r="BR563" i="6" s="1"/>
  <c r="AT563" i="6"/>
  <c r="AB564" i="6"/>
  <c r="AF564" i="6" s="1"/>
  <c r="CA564" i="6"/>
  <c r="CO564" i="6"/>
  <c r="BW564" i="6"/>
  <c r="CG564" i="6" s="1"/>
  <c r="CK564" i="6"/>
  <c r="CU564" i="6" s="1"/>
  <c r="AK565" i="6"/>
  <c r="N565" i="6"/>
  <c r="AS565" i="6" l="1"/>
  <c r="CK565" i="6"/>
  <c r="CU565" i="6" s="1"/>
  <c r="CO565" i="6"/>
  <c r="CA565" i="6"/>
  <c r="BW565" i="6"/>
  <c r="CG565" i="6" s="1"/>
  <c r="AB565" i="6"/>
  <c r="AF565" i="6" s="1"/>
  <c r="BN564" i="6"/>
  <c r="BR564" i="6" s="1"/>
  <c r="AT564" i="6"/>
  <c r="AK566" i="6"/>
  <c r="N566" i="6"/>
  <c r="AS566" i="6" l="1"/>
  <c r="AB566" i="6"/>
  <c r="AF566" i="6" s="1"/>
  <c r="CK566" i="6"/>
  <c r="CU566" i="6" s="1"/>
  <c r="CO566" i="6"/>
  <c r="CA566" i="6"/>
  <c r="BW566" i="6"/>
  <c r="CG566" i="6" s="1"/>
  <c r="AT565" i="6"/>
  <c r="BN565" i="6"/>
  <c r="BR565" i="6" s="1"/>
  <c r="AK567" i="6"/>
  <c r="N567" i="6"/>
  <c r="AS567" i="6" l="1"/>
  <c r="CA567" i="6"/>
  <c r="BW567" i="6"/>
  <c r="CG567" i="6" s="1"/>
  <c r="CK567" i="6"/>
  <c r="CU567" i="6" s="1"/>
  <c r="AB567" i="6"/>
  <c r="AF567" i="6" s="1"/>
  <c r="CO567" i="6"/>
  <c r="BN566" i="6"/>
  <c r="BR566" i="6" s="1"/>
  <c r="AT566" i="6"/>
  <c r="AK568" i="6"/>
  <c r="N568" i="6"/>
  <c r="AS568" i="6" l="1"/>
  <c r="AB568" i="6"/>
  <c r="AF568" i="6" s="1"/>
  <c r="BW568" i="6"/>
  <c r="CG568" i="6" s="1"/>
  <c r="CK568" i="6"/>
  <c r="CU568" i="6" s="1"/>
  <c r="CO568" i="6"/>
  <c r="CA568" i="6"/>
  <c r="AT567" i="6"/>
  <c r="BN567" i="6"/>
  <c r="BR567" i="6" s="1"/>
  <c r="N137" i="6"/>
  <c r="AK137" i="6"/>
  <c r="AS137" i="6" l="1"/>
  <c r="BN568" i="6"/>
  <c r="BR568" i="6" s="1"/>
  <c r="AT568" i="6"/>
  <c r="CO137" i="6"/>
  <c r="CA137" i="6"/>
  <c r="AB137" i="6"/>
  <c r="AF137" i="6" s="1"/>
  <c r="CK137" i="6"/>
  <c r="CU137" i="6" s="1"/>
  <c r="BW137" i="6"/>
  <c r="CG137" i="6" s="1"/>
  <c r="AK569" i="6"/>
  <c r="N569" i="6"/>
  <c r="AS569" i="6" l="1"/>
  <c r="BN137" i="6"/>
  <c r="BR137" i="6" s="1"/>
  <c r="AT137" i="6"/>
  <c r="BW569" i="6"/>
  <c r="CG569" i="6" s="1"/>
  <c r="CO569" i="6"/>
  <c r="CK569" i="6"/>
  <c r="CU569" i="6" s="1"/>
  <c r="AB569" i="6"/>
  <c r="AF569" i="6" s="1"/>
  <c r="CA569" i="6"/>
  <c r="AK570" i="6"/>
  <c r="N570" i="6"/>
  <c r="AS570" i="6" l="1"/>
  <c r="CK570" i="6"/>
  <c r="CU570" i="6" s="1"/>
  <c r="CO570" i="6"/>
  <c r="AB570" i="6"/>
  <c r="AF570" i="6" s="1"/>
  <c r="BW570" i="6"/>
  <c r="CG570" i="6" s="1"/>
  <c r="CA570" i="6"/>
  <c r="BN569" i="6"/>
  <c r="BR569" i="6" s="1"/>
  <c r="AT569" i="6"/>
  <c r="N251" i="6"/>
  <c r="AK251" i="6"/>
  <c r="AS251" i="6" l="1"/>
  <c r="CK251" i="6"/>
  <c r="CU251" i="6" s="1"/>
  <c r="AB251" i="6"/>
  <c r="AF251" i="6" s="1"/>
  <c r="CA251" i="6"/>
  <c r="CO251" i="6"/>
  <c r="BW251" i="6"/>
  <c r="CG251" i="6" s="1"/>
  <c r="BN570" i="6"/>
  <c r="BR570" i="6" s="1"/>
  <c r="AT570" i="6"/>
  <c r="AK571" i="6"/>
  <c r="N571" i="6"/>
  <c r="AS571" i="6" l="1"/>
  <c r="AB571" i="6"/>
  <c r="AF571" i="6" s="1"/>
  <c r="CO571" i="6"/>
  <c r="CK571" i="6"/>
  <c r="CU571" i="6" s="1"/>
  <c r="BW571" i="6"/>
  <c r="CG571" i="6" s="1"/>
  <c r="CA571" i="6"/>
  <c r="BN251" i="6"/>
  <c r="BR251" i="6" s="1"/>
  <c r="AT251" i="6"/>
  <c r="N572" i="6"/>
  <c r="AK572" i="6"/>
  <c r="AS572" i="6" l="1"/>
  <c r="BW572" i="6"/>
  <c r="CG572" i="6" s="1"/>
  <c r="AB572" i="6"/>
  <c r="AF572" i="6" s="1"/>
  <c r="CK572" i="6"/>
  <c r="CU572" i="6" s="1"/>
  <c r="CA572" i="6"/>
  <c r="CO572" i="6"/>
  <c r="BN571" i="6"/>
  <c r="BR571" i="6" s="1"/>
  <c r="AT571" i="6"/>
  <c r="AK573" i="6"/>
  <c r="N573" i="6"/>
  <c r="AS573" i="6" l="1"/>
  <c r="AT572" i="6"/>
  <c r="BN572" i="6"/>
  <c r="BR572" i="6" s="1"/>
  <c r="CK573" i="6"/>
  <c r="CU573" i="6" s="1"/>
  <c r="CO573" i="6"/>
  <c r="CA573" i="6"/>
  <c r="BW573" i="6"/>
  <c r="CG573" i="6" s="1"/>
  <c r="AB573" i="6"/>
  <c r="AF573" i="6" s="1"/>
  <c r="AK574" i="6"/>
  <c r="N574" i="6"/>
  <c r="AS574" i="6" l="1"/>
  <c r="CK574" i="6"/>
  <c r="CU574" i="6" s="1"/>
  <c r="AB574" i="6"/>
  <c r="AF574" i="6" s="1"/>
  <c r="CA574" i="6"/>
  <c r="CO574" i="6"/>
  <c r="BW574" i="6"/>
  <c r="CG574" i="6" s="1"/>
  <c r="AT573" i="6"/>
  <c r="BN573" i="6"/>
  <c r="BR573" i="6" s="1"/>
  <c r="N575" i="6"/>
  <c r="AK575" i="6"/>
  <c r="AS575" i="6" l="1"/>
  <c r="CA575" i="6"/>
  <c r="CK575" i="6"/>
  <c r="CU575" i="6" s="1"/>
  <c r="BW575" i="6"/>
  <c r="CG575" i="6" s="1"/>
  <c r="AB575" i="6"/>
  <c r="AF575" i="6" s="1"/>
  <c r="CO575" i="6"/>
  <c r="AT574" i="6"/>
  <c r="BN574" i="6"/>
  <c r="BR574" i="6" s="1"/>
  <c r="AK576" i="6"/>
  <c r="N576" i="6"/>
  <c r="AS576" i="6" l="1"/>
  <c r="CO576" i="6"/>
  <c r="BW576" i="6"/>
  <c r="CG576" i="6" s="1"/>
  <c r="CK576" i="6"/>
  <c r="CU576" i="6" s="1"/>
  <c r="CA576" i="6"/>
  <c r="AB576" i="6"/>
  <c r="AF576" i="6" s="1"/>
  <c r="BN575" i="6"/>
  <c r="BR575" i="6" s="1"/>
  <c r="AT575" i="6"/>
  <c r="N577" i="6"/>
  <c r="AK577" i="6"/>
  <c r="AS577" i="6" l="1"/>
  <c r="CO577" i="6"/>
  <c r="BW577" i="6"/>
  <c r="CG577" i="6" s="1"/>
  <c r="CK577" i="6"/>
  <c r="CU577" i="6" s="1"/>
  <c r="CA577" i="6"/>
  <c r="AB577" i="6"/>
  <c r="AF577" i="6" s="1"/>
  <c r="AT576" i="6"/>
  <c r="BN576" i="6"/>
  <c r="BR576" i="6" s="1"/>
  <c r="AK578" i="6"/>
  <c r="N578" i="6"/>
  <c r="AS578" i="6" l="1"/>
  <c r="CK578" i="6"/>
  <c r="CU578" i="6" s="1"/>
  <c r="CO578" i="6"/>
  <c r="CA578" i="6"/>
  <c r="AB578" i="6"/>
  <c r="AF578" i="6" s="1"/>
  <c r="BW578" i="6"/>
  <c r="CG578" i="6" s="1"/>
  <c r="AT577" i="6"/>
  <c r="BN577" i="6"/>
  <c r="BR577" i="6" s="1"/>
  <c r="N579" i="6"/>
  <c r="AK579" i="6"/>
  <c r="AS579" i="6" l="1"/>
  <c r="AT578" i="6"/>
  <c r="BN578" i="6"/>
  <c r="BR578" i="6" s="1"/>
  <c r="CK579" i="6"/>
  <c r="CU579" i="6" s="1"/>
  <c r="CO579" i="6"/>
  <c r="CA579" i="6"/>
  <c r="BW579" i="6"/>
  <c r="CG579" i="6" s="1"/>
  <c r="AB579" i="6"/>
  <c r="AF579" i="6" s="1"/>
  <c r="AK30" i="6"/>
  <c r="N30" i="6"/>
  <c r="AS30" i="6" l="1"/>
  <c r="AB30" i="6"/>
  <c r="AF30" i="6" s="1"/>
  <c r="CK30" i="6"/>
  <c r="CU30" i="6" s="1"/>
  <c r="BW30" i="6"/>
  <c r="CG30" i="6" s="1"/>
  <c r="CO30" i="6"/>
  <c r="CA30" i="6"/>
  <c r="BN579" i="6"/>
  <c r="BR579" i="6" s="1"/>
  <c r="AT579" i="6"/>
  <c r="N60" i="6"/>
  <c r="AK60" i="6"/>
  <c r="AS60" i="6" l="1"/>
  <c r="CK60" i="6"/>
  <c r="CU60" i="6" s="1"/>
  <c r="CO60" i="6"/>
  <c r="CA60" i="6"/>
  <c r="AB60" i="6"/>
  <c r="AF60" i="6" s="1"/>
  <c r="BW60" i="6"/>
  <c r="CG60" i="6" s="1"/>
  <c r="BN30" i="6"/>
  <c r="BR30" i="6" s="1"/>
  <c r="AT30" i="6"/>
  <c r="N580" i="6"/>
  <c r="AK580" i="6"/>
  <c r="AS580" i="6" l="1"/>
  <c r="AT60" i="6"/>
  <c r="BN60" i="6"/>
  <c r="BR60" i="6" s="1"/>
  <c r="CK580" i="6"/>
  <c r="CU580" i="6" s="1"/>
  <c r="BW580" i="6"/>
  <c r="CG580" i="6" s="1"/>
  <c r="AB580" i="6"/>
  <c r="AF580" i="6" s="1"/>
  <c r="CA580" i="6"/>
  <c r="CO580" i="6"/>
  <c r="N581" i="6"/>
  <c r="AK581" i="6"/>
  <c r="AS581" i="6" l="1"/>
  <c r="AT580" i="6"/>
  <c r="BN580" i="6"/>
  <c r="BR580" i="6" s="1"/>
  <c r="CO581" i="6"/>
  <c r="AB581" i="6"/>
  <c r="AF581" i="6" s="1"/>
  <c r="BW581" i="6"/>
  <c r="CG581" i="6" s="1"/>
  <c r="CK581" i="6"/>
  <c r="CU581" i="6" s="1"/>
  <c r="CA581" i="6"/>
  <c r="AK101" i="6"/>
  <c r="N101" i="6"/>
  <c r="AS101" i="6" l="1"/>
  <c r="AB101" i="6"/>
  <c r="AF101" i="6" s="1"/>
  <c r="CK101" i="6"/>
  <c r="CU101" i="6" s="1"/>
  <c r="BW101" i="6"/>
  <c r="CG101" i="6" s="1"/>
  <c r="CA101" i="6"/>
  <c r="CO101" i="6"/>
  <c r="AT581" i="6"/>
  <c r="BN581" i="6"/>
  <c r="BR581" i="6" s="1"/>
  <c r="N582" i="6"/>
  <c r="AK582" i="6"/>
  <c r="AS582" i="6" l="1"/>
  <c r="BN101" i="6"/>
  <c r="BR101" i="6" s="1"/>
  <c r="AT101" i="6"/>
  <c r="CK582" i="6"/>
  <c r="CU582" i="6" s="1"/>
  <c r="BW582" i="6"/>
  <c r="CG582" i="6" s="1"/>
  <c r="CO582" i="6"/>
  <c r="CA582" i="6"/>
  <c r="AB582" i="6"/>
  <c r="AF582" i="6" s="1"/>
  <c r="AK231" i="6"/>
  <c r="N231" i="6"/>
  <c r="AS231" i="6" l="1"/>
  <c r="AB231" i="6"/>
  <c r="AF231" i="6" s="1"/>
  <c r="BW231" i="6"/>
  <c r="CG231" i="6" s="1"/>
  <c r="CK231" i="6"/>
  <c r="CU231" i="6" s="1"/>
  <c r="CO231" i="6"/>
  <c r="CA231" i="6"/>
  <c r="BN582" i="6"/>
  <c r="BR582" i="6" s="1"/>
  <c r="AT582" i="6"/>
  <c r="AK58" i="6"/>
  <c r="N58" i="6"/>
  <c r="AS58" i="6" l="1"/>
  <c r="BN231" i="6"/>
  <c r="BR231" i="6" s="1"/>
  <c r="AT231" i="6"/>
  <c r="CA58" i="6"/>
  <c r="AB58" i="6"/>
  <c r="AF58" i="6" s="1"/>
  <c r="BW58" i="6"/>
  <c r="CG58" i="6" s="1"/>
  <c r="CK58" i="6"/>
  <c r="CU58" i="6" s="1"/>
  <c r="CO58" i="6"/>
  <c r="N66" i="6"/>
  <c r="AK66" i="6"/>
  <c r="AS66" i="6" l="1"/>
  <c r="AT58" i="6"/>
  <c r="BN58" i="6"/>
  <c r="BR58" i="6" s="1"/>
  <c r="AB66" i="6"/>
  <c r="AF66" i="6" s="1"/>
  <c r="CK66" i="6"/>
  <c r="CU66" i="6" s="1"/>
  <c r="BW66" i="6"/>
  <c r="CG66" i="6" s="1"/>
  <c r="CO66" i="6"/>
  <c r="CA66" i="6"/>
  <c r="N55" i="6"/>
  <c r="AK55" i="6"/>
  <c r="AS55" i="6" l="1"/>
  <c r="BN66" i="6"/>
  <c r="BR66" i="6" s="1"/>
  <c r="AT66" i="6"/>
  <c r="AB55" i="6"/>
  <c r="AF55" i="6" s="1"/>
  <c r="CO55" i="6"/>
  <c r="CA55" i="6"/>
  <c r="BW55" i="6"/>
  <c r="CG55" i="6" s="1"/>
  <c r="CK55" i="6"/>
  <c r="CU55" i="6" s="1"/>
  <c r="N29" i="6"/>
  <c r="AK29" i="6"/>
  <c r="AS29" i="6" l="1"/>
  <c r="AT55" i="6"/>
  <c r="BN55" i="6"/>
  <c r="BR55" i="6" s="1"/>
  <c r="CK29" i="6"/>
  <c r="CU29" i="6" s="1"/>
  <c r="CA29" i="6"/>
  <c r="CO29" i="6"/>
  <c r="AB29" i="6"/>
  <c r="AF29" i="6" s="1"/>
  <c r="BW29" i="6"/>
  <c r="CG29" i="6" s="1"/>
  <c r="N620" i="6"/>
  <c r="AK620" i="6"/>
  <c r="AS620" i="6" l="1"/>
  <c r="BN29" i="6"/>
  <c r="BR29" i="6" s="1"/>
  <c r="AT29" i="6"/>
  <c r="CO620" i="6"/>
  <c r="BW620" i="6"/>
  <c r="CG620" i="6" s="1"/>
  <c r="CA620" i="6"/>
  <c r="AB620" i="6"/>
  <c r="AF620" i="6" s="1"/>
  <c r="CK620" i="6"/>
  <c r="CU620" i="6" s="1"/>
  <c r="N621" i="6"/>
  <c r="AS621" i="6" l="1"/>
  <c r="BN620" i="6"/>
  <c r="BR620" i="6" s="1"/>
  <c r="AT620" i="6"/>
  <c r="CK621" i="6"/>
  <c r="CU621" i="6" s="1"/>
  <c r="CO621" i="6"/>
  <c r="CA621" i="6"/>
  <c r="AB621" i="6"/>
  <c r="AF621" i="6" s="1"/>
  <c r="BW621" i="6"/>
  <c r="CG621" i="6" s="1"/>
  <c r="N622" i="6"/>
  <c r="AS622" i="6" l="1"/>
  <c r="AB622" i="6"/>
  <c r="AF622" i="6" s="1"/>
  <c r="BW622" i="6"/>
  <c r="CG622" i="6" s="1"/>
  <c r="CK622" i="6"/>
  <c r="CU622" i="6" s="1"/>
  <c r="CO622" i="6"/>
  <c r="CA622" i="6"/>
  <c r="BN621" i="6"/>
  <c r="BR621" i="6" s="1"/>
  <c r="AT621" i="6"/>
  <c r="N232" i="6"/>
  <c r="AK232" i="6"/>
  <c r="AS232" i="6" l="1"/>
  <c r="AT622" i="6"/>
  <c r="BN622" i="6"/>
  <c r="BR622" i="6" s="1"/>
  <c r="AB232" i="6"/>
  <c r="AF232" i="6" s="1"/>
  <c r="BW232" i="6"/>
  <c r="CG232" i="6" s="1"/>
  <c r="CK232" i="6"/>
  <c r="CU232" i="6" s="1"/>
  <c r="CO232" i="6"/>
  <c r="CA232" i="6"/>
  <c r="N233" i="6"/>
  <c r="AK233" i="6"/>
  <c r="AS233" i="6" l="1"/>
  <c r="BW233" i="6"/>
  <c r="CG233" i="6" s="1"/>
  <c r="CK233" i="6"/>
  <c r="CU233" i="6" s="1"/>
  <c r="AB233" i="6"/>
  <c r="AF233" i="6" s="1"/>
  <c r="CO233" i="6"/>
  <c r="CA233" i="6"/>
  <c r="BN232" i="6"/>
  <c r="BR232" i="6" s="1"/>
  <c r="AT232" i="6"/>
  <c r="AK195" i="6"/>
  <c r="N195" i="6"/>
  <c r="AS195" i="6" l="1"/>
  <c r="AB195" i="6"/>
  <c r="AF195" i="6" s="1"/>
  <c r="CA195" i="6"/>
  <c r="CK195" i="6"/>
  <c r="CU195" i="6" s="1"/>
  <c r="CO195" i="6"/>
  <c r="BW195" i="6"/>
  <c r="CG195" i="6" s="1"/>
  <c r="BN233" i="6"/>
  <c r="BR233" i="6" s="1"/>
  <c r="AT233" i="6"/>
  <c r="AK93" i="6"/>
  <c r="N93" i="6"/>
  <c r="AS93" i="6" l="1"/>
  <c r="BN195" i="6"/>
  <c r="BR195" i="6" s="1"/>
  <c r="AT195" i="6"/>
  <c r="CO93" i="6"/>
  <c r="BW93" i="6"/>
  <c r="CG93" i="6" s="1"/>
  <c r="CK93" i="6"/>
  <c r="CU93" i="6" s="1"/>
  <c r="CA93" i="6"/>
  <c r="AB93" i="6"/>
  <c r="AF93" i="6" s="1"/>
  <c r="N297" i="6"/>
  <c r="AK297" i="6"/>
  <c r="AS297" i="6" l="1"/>
  <c r="CO297" i="6"/>
  <c r="CA297" i="6"/>
  <c r="BW297" i="6"/>
  <c r="CG297" i="6" s="1"/>
  <c r="CK297" i="6"/>
  <c r="CU297" i="6" s="1"/>
  <c r="AB297" i="6"/>
  <c r="AF297" i="6" s="1"/>
  <c r="BN93" i="6"/>
  <c r="BR93" i="6" s="1"/>
  <c r="AT93" i="6"/>
  <c r="AK193" i="6"/>
  <c r="N193" i="6"/>
  <c r="AS193" i="6" l="1"/>
  <c r="CK193" i="6"/>
  <c r="CU193" i="6" s="1"/>
  <c r="CA193" i="6"/>
  <c r="BW193" i="6"/>
  <c r="CG193" i="6" s="1"/>
  <c r="AB193" i="6"/>
  <c r="AF193" i="6" s="1"/>
  <c r="CO193" i="6"/>
  <c r="BN297" i="6"/>
  <c r="BR297" i="6" s="1"/>
  <c r="AT297" i="6"/>
  <c r="AK120" i="6"/>
  <c r="N120" i="6"/>
  <c r="AS120" i="6" l="1"/>
  <c r="BN193" i="6"/>
  <c r="BR193" i="6" s="1"/>
  <c r="AT193" i="6"/>
  <c r="CA120" i="6"/>
  <c r="CO120" i="6"/>
  <c r="CK120" i="6"/>
  <c r="CU120" i="6" s="1"/>
  <c r="BW120" i="6"/>
  <c r="CG120" i="6" s="1"/>
  <c r="AB120" i="6"/>
  <c r="AF120" i="6" s="1"/>
  <c r="N169" i="6"/>
  <c r="AK169" i="6"/>
  <c r="AS169" i="6" l="1"/>
  <c r="AT120" i="6"/>
  <c r="BN120" i="6"/>
  <c r="BR120" i="6" s="1"/>
  <c r="CO169" i="6"/>
  <c r="AB169" i="6"/>
  <c r="AF169" i="6" s="1"/>
  <c r="CK169" i="6"/>
  <c r="CU169" i="6" s="1"/>
  <c r="BW169" i="6"/>
  <c r="CG169" i="6" s="1"/>
  <c r="CA169" i="6"/>
  <c r="AK94" i="6"/>
  <c r="N94" i="6"/>
  <c r="AS94" i="6" l="1"/>
  <c r="BN169" i="6"/>
  <c r="BR169" i="6" s="1"/>
  <c r="AT169" i="6"/>
  <c r="CA94" i="6"/>
  <c r="CO94" i="6"/>
  <c r="CK94" i="6"/>
  <c r="CU94" i="6" s="1"/>
  <c r="BW94" i="6"/>
  <c r="CG94" i="6" s="1"/>
  <c r="AB94" i="6"/>
  <c r="AF94" i="6" s="1"/>
  <c r="AK105" i="6"/>
  <c r="N105" i="6"/>
  <c r="AS105" i="6" l="1"/>
  <c r="AT94" i="6"/>
  <c r="BN94" i="6"/>
  <c r="BR94" i="6" s="1"/>
  <c r="CK105" i="6"/>
  <c r="CU105" i="6" s="1"/>
  <c r="CO105" i="6"/>
  <c r="CA105" i="6"/>
  <c r="AB105" i="6"/>
  <c r="AF105" i="6" s="1"/>
  <c r="BW105" i="6"/>
  <c r="CG105" i="6" s="1"/>
  <c r="AK623" i="6"/>
  <c r="N623" i="6"/>
  <c r="AS623" i="6" l="1"/>
  <c r="CO623" i="6"/>
  <c r="BW623" i="6"/>
  <c r="CG623" i="6" s="1"/>
  <c r="CK623" i="6"/>
  <c r="CU623" i="6" s="1"/>
  <c r="AB623" i="6"/>
  <c r="AF623" i="6" s="1"/>
  <c r="CA623" i="6"/>
  <c r="BN105" i="6"/>
  <c r="BR105" i="6" s="1"/>
  <c r="AT105" i="6"/>
  <c r="N624" i="6"/>
  <c r="AK624" i="6"/>
  <c r="AS624" i="6" l="1"/>
  <c r="CO624" i="6"/>
  <c r="CK624" i="6"/>
  <c r="CU624" i="6" s="1"/>
  <c r="BW624" i="6"/>
  <c r="CG624" i="6" s="1"/>
  <c r="AB624" i="6"/>
  <c r="AF624" i="6" s="1"/>
  <c r="CA624" i="6"/>
  <c r="AT623" i="6"/>
  <c r="BN623" i="6"/>
  <c r="BR623" i="6" s="1"/>
  <c r="AK625" i="6"/>
  <c r="N625" i="6"/>
  <c r="AS625" i="6" l="1"/>
  <c r="AT624" i="6"/>
  <c r="BN624" i="6"/>
  <c r="BR624" i="6" s="1"/>
  <c r="BW625" i="6"/>
  <c r="CG625" i="6" s="1"/>
  <c r="CK625" i="6"/>
  <c r="CU625" i="6" s="1"/>
  <c r="CO625" i="6"/>
  <c r="AB625" i="6"/>
  <c r="AF625" i="6" s="1"/>
  <c r="CA625" i="6"/>
  <c r="AK147" i="6"/>
  <c r="N147" i="6"/>
  <c r="AS147" i="6" l="1"/>
  <c r="BN625" i="6"/>
  <c r="BR625" i="6" s="1"/>
  <c r="AT625" i="6"/>
  <c r="CK147" i="6"/>
  <c r="CU147" i="6" s="1"/>
  <c r="CO147" i="6"/>
  <c r="CA147" i="6"/>
  <c r="BW147" i="6"/>
  <c r="CG147" i="6" s="1"/>
  <c r="AB147" i="6"/>
  <c r="AF147" i="6" s="1"/>
  <c r="AK626" i="6"/>
  <c r="N626" i="6"/>
  <c r="AS626" i="6" l="1"/>
  <c r="AT147" i="6"/>
  <c r="BN147" i="6"/>
  <c r="BR147" i="6" s="1"/>
  <c r="CO626" i="6"/>
  <c r="CA626" i="6"/>
  <c r="BW626" i="6"/>
  <c r="CG626" i="6" s="1"/>
  <c r="CK626" i="6"/>
  <c r="CU626" i="6" s="1"/>
  <c r="AB626" i="6"/>
  <c r="AF626" i="6" s="1"/>
  <c r="AK627" i="6"/>
  <c r="N627" i="6"/>
  <c r="AS627" i="6" l="1"/>
  <c r="AT626" i="6"/>
  <c r="BN626" i="6"/>
  <c r="BR626" i="6" s="1"/>
  <c r="CO627" i="6"/>
  <c r="CK627" i="6"/>
  <c r="CU627" i="6" s="1"/>
  <c r="CA627" i="6"/>
  <c r="AB627" i="6"/>
  <c r="AF627" i="6" s="1"/>
  <c r="BW627" i="6"/>
  <c r="CG627" i="6" s="1"/>
  <c r="N628" i="6"/>
  <c r="AK628" i="6"/>
  <c r="AS628" i="6" l="1"/>
  <c r="AT627" i="6"/>
  <c r="BN627" i="6"/>
  <c r="BR627" i="6" s="1"/>
  <c r="BW628" i="6"/>
  <c r="CG628" i="6" s="1"/>
  <c r="CK628" i="6"/>
  <c r="CU628" i="6" s="1"/>
  <c r="CA628" i="6"/>
  <c r="CO628" i="6"/>
  <c r="AB628" i="6"/>
  <c r="AF628" i="6" s="1"/>
  <c r="N629" i="6"/>
  <c r="AK629" i="6"/>
  <c r="AS629" i="6" l="1"/>
  <c r="CA629" i="6"/>
  <c r="CO629" i="6"/>
  <c r="BW629" i="6"/>
  <c r="CG629" i="6" s="1"/>
  <c r="CK629" i="6"/>
  <c r="CU629" i="6" s="1"/>
  <c r="AB629" i="6"/>
  <c r="AF629" i="6" s="1"/>
  <c r="BN628" i="6"/>
  <c r="BR628" i="6" s="1"/>
  <c r="AT628" i="6"/>
  <c r="N630" i="6"/>
  <c r="AK630" i="6"/>
  <c r="AS630" i="6" l="1"/>
  <c r="CA630" i="6"/>
  <c r="BW630" i="6"/>
  <c r="CG630" i="6" s="1"/>
  <c r="AB630" i="6"/>
  <c r="AF630" i="6" s="1"/>
  <c r="CK630" i="6"/>
  <c r="CU630" i="6" s="1"/>
  <c r="CO630" i="6"/>
  <c r="BN629" i="6"/>
  <c r="BR629" i="6" s="1"/>
  <c r="AT629" i="6"/>
  <c r="N277" i="6"/>
  <c r="AK277" i="6"/>
  <c r="AS277" i="6" l="1"/>
  <c r="CK277" i="6"/>
  <c r="CU277" i="6" s="1"/>
  <c r="CO277" i="6"/>
  <c r="CA277" i="6"/>
  <c r="BW277" i="6"/>
  <c r="CG277" i="6" s="1"/>
  <c r="AB277" i="6"/>
  <c r="AF277" i="6" s="1"/>
  <c r="BN630" i="6"/>
  <c r="BR630" i="6" s="1"/>
  <c r="AT630" i="6"/>
  <c r="N631" i="6"/>
  <c r="AK631" i="6"/>
  <c r="AS631" i="6" l="1"/>
  <c r="CO631" i="6"/>
  <c r="CA631" i="6"/>
  <c r="CK631" i="6"/>
  <c r="CU631" i="6" s="1"/>
  <c r="AB631" i="6"/>
  <c r="AF631" i="6" s="1"/>
  <c r="BW631" i="6"/>
  <c r="CG631" i="6" s="1"/>
  <c r="AT277" i="6"/>
  <c r="BN277" i="6"/>
  <c r="BR277" i="6" s="1"/>
  <c r="N127" i="6"/>
  <c r="AK127" i="6"/>
  <c r="AS127" i="6" l="1"/>
  <c r="CA127" i="6"/>
  <c r="BW127" i="6"/>
  <c r="CG127" i="6" s="1"/>
  <c r="CK127" i="6"/>
  <c r="CU127" i="6" s="1"/>
  <c r="AB127" i="6"/>
  <c r="AF127" i="6" s="1"/>
  <c r="CO127" i="6"/>
  <c r="BN631" i="6"/>
  <c r="BR631" i="6" s="1"/>
  <c r="AT631" i="6"/>
  <c r="N632" i="6"/>
  <c r="AK632" i="6"/>
  <c r="AS632" i="6" l="1"/>
  <c r="CA632" i="6"/>
  <c r="BW632" i="6"/>
  <c r="CG632" i="6" s="1"/>
  <c r="AB632" i="6"/>
  <c r="AF632" i="6" s="1"/>
  <c r="CK632" i="6"/>
  <c r="CU632" i="6" s="1"/>
  <c r="CO632" i="6"/>
  <c r="BN127" i="6"/>
  <c r="BR127" i="6" s="1"/>
  <c r="AT127" i="6"/>
  <c r="N32" i="6"/>
  <c r="AK32" i="6"/>
  <c r="AS32" i="6" l="1"/>
  <c r="BN632" i="6"/>
  <c r="BR632" i="6" s="1"/>
  <c r="AT632" i="6"/>
  <c r="CA32" i="6"/>
  <c r="CK32" i="6"/>
  <c r="CU32" i="6" s="1"/>
  <c r="CO32" i="6"/>
  <c r="AB32" i="6"/>
  <c r="AF32" i="6" s="1"/>
  <c r="BW32" i="6"/>
  <c r="CG32" i="6" s="1"/>
  <c r="N633" i="6"/>
  <c r="AK633" i="6"/>
  <c r="AS633" i="6" l="1"/>
  <c r="BN32" i="6"/>
  <c r="BR32" i="6" s="1"/>
  <c r="AT32" i="6"/>
  <c r="CA633" i="6"/>
  <c r="BW633" i="6"/>
  <c r="CG633" i="6" s="1"/>
  <c r="CK633" i="6"/>
  <c r="CU633" i="6" s="1"/>
  <c r="AB633" i="6"/>
  <c r="AF633" i="6" s="1"/>
  <c r="CO633" i="6"/>
  <c r="AK634" i="6"/>
  <c r="N634" i="6"/>
  <c r="AS634" i="6" l="1"/>
  <c r="CK634" i="6"/>
  <c r="CU634" i="6" s="1"/>
  <c r="CA634" i="6"/>
  <c r="AB634" i="6"/>
  <c r="AF634" i="6" s="1"/>
  <c r="CO634" i="6"/>
  <c r="BW634" i="6"/>
  <c r="CG634" i="6" s="1"/>
  <c r="AT633" i="6"/>
  <c r="BN633" i="6"/>
  <c r="BR633" i="6" s="1"/>
  <c r="AK635" i="6"/>
  <c r="N635" i="6"/>
  <c r="AS635" i="6" l="1"/>
  <c r="CK635" i="6"/>
  <c r="CU635" i="6" s="1"/>
  <c r="CA635" i="6"/>
  <c r="CO635" i="6"/>
  <c r="BW635" i="6"/>
  <c r="CG635" i="6" s="1"/>
  <c r="AB635" i="6"/>
  <c r="AF635" i="6" s="1"/>
  <c r="BN634" i="6"/>
  <c r="BR634" i="6" s="1"/>
  <c r="AT634" i="6"/>
  <c r="AK278" i="6"/>
  <c r="N278" i="6"/>
  <c r="AS278" i="6" l="1"/>
  <c r="BN635" i="6"/>
  <c r="BR635" i="6" s="1"/>
  <c r="AT635" i="6"/>
  <c r="CA278" i="6"/>
  <c r="BW278" i="6"/>
  <c r="CG278" i="6" s="1"/>
  <c r="CK278" i="6"/>
  <c r="CU278" i="6" s="1"/>
  <c r="AB278" i="6"/>
  <c r="AF278" i="6" s="1"/>
  <c r="CO278" i="6"/>
  <c r="AK636" i="6"/>
  <c r="N636" i="6"/>
  <c r="AS636" i="6" l="1"/>
  <c r="AT278" i="6"/>
  <c r="BN278" i="6"/>
  <c r="BR278" i="6" s="1"/>
  <c r="CK636" i="6"/>
  <c r="CU636" i="6" s="1"/>
  <c r="AB636" i="6"/>
  <c r="AF636" i="6" s="1"/>
  <c r="CA636" i="6"/>
  <c r="CO636" i="6"/>
  <c r="BW636" i="6"/>
  <c r="CG636" i="6" s="1"/>
  <c r="N637" i="6"/>
  <c r="AK637" i="6"/>
  <c r="AS637" i="6" l="1"/>
  <c r="CA637" i="6"/>
  <c r="CO637" i="6"/>
  <c r="CK637" i="6"/>
  <c r="CU637" i="6" s="1"/>
  <c r="AB637" i="6"/>
  <c r="AF637" i="6" s="1"/>
  <c r="BW637" i="6"/>
  <c r="CG637" i="6" s="1"/>
  <c r="AT636" i="6"/>
  <c r="BN636" i="6"/>
  <c r="BR636" i="6" s="1"/>
  <c r="BN637" i="6" l="1"/>
  <c r="BR637" i="6" s="1"/>
  <c r="AT637" i="6"/>
  <c r="N206" i="6" l="1"/>
  <c r="AK206" i="6"/>
  <c r="AS206" i="6" l="1"/>
  <c r="CK206" i="6"/>
  <c r="CU206" i="6" s="1"/>
  <c r="AB206" i="6"/>
  <c r="AF206" i="6" s="1"/>
  <c r="CA206" i="6"/>
  <c r="CO206" i="6"/>
  <c r="BW206" i="6"/>
  <c r="CG206" i="6" s="1"/>
  <c r="AK180" i="6"/>
  <c r="N180" i="6"/>
  <c r="AS180" i="6" l="1"/>
  <c r="BN206" i="6"/>
  <c r="BR206" i="6" s="1"/>
  <c r="AT206" i="6"/>
  <c r="CO180" i="6"/>
  <c r="CA180" i="6"/>
  <c r="AB180" i="6"/>
  <c r="AF180" i="6" s="1"/>
  <c r="CK180" i="6"/>
  <c r="CU180" i="6" s="1"/>
  <c r="BW180" i="6"/>
  <c r="CG180" i="6" s="1"/>
  <c r="N207" i="6"/>
  <c r="AK207" i="6"/>
  <c r="AS207" i="6" l="1"/>
  <c r="BW207" i="6"/>
  <c r="CG207" i="6" s="1"/>
  <c r="CO207" i="6"/>
  <c r="AB207" i="6"/>
  <c r="AF207" i="6" s="1"/>
  <c r="CK207" i="6"/>
  <c r="CU207" i="6" s="1"/>
  <c r="CA207" i="6"/>
  <c r="BN180" i="6"/>
  <c r="BR180" i="6" s="1"/>
  <c r="AT180" i="6"/>
  <c r="AK208" i="6"/>
  <c r="N208" i="6"/>
  <c r="AS208" i="6" l="1"/>
  <c r="AT207" i="6"/>
  <c r="BN207" i="6"/>
  <c r="BR207" i="6" s="1"/>
  <c r="CA208" i="6"/>
  <c r="AB208" i="6"/>
  <c r="AF208" i="6" s="1"/>
  <c r="CO208" i="6"/>
  <c r="CK208" i="6"/>
  <c r="CU208" i="6" s="1"/>
  <c r="BW208" i="6"/>
  <c r="CG208" i="6" s="1"/>
  <c r="AK181" i="6"/>
  <c r="N181" i="6"/>
  <c r="AS181" i="6" l="1"/>
  <c r="AT208" i="6"/>
  <c r="BN208" i="6"/>
  <c r="BR208" i="6" s="1"/>
  <c r="BW181" i="6"/>
  <c r="CG181" i="6" s="1"/>
  <c r="CA181" i="6"/>
  <c r="CO181" i="6"/>
  <c r="CK181" i="6"/>
  <c r="CU181" i="6" s="1"/>
  <c r="AB181" i="6"/>
  <c r="AF181" i="6" s="1"/>
  <c r="N162" i="6"/>
  <c r="AK162" i="6"/>
  <c r="AS162" i="6" l="1"/>
  <c r="BN181" i="6"/>
  <c r="BR181" i="6" s="1"/>
  <c r="AT181" i="6"/>
  <c r="CO162" i="6"/>
  <c r="CK162" i="6"/>
  <c r="CU162" i="6" s="1"/>
  <c r="AB162" i="6"/>
  <c r="AF162" i="6" s="1"/>
  <c r="BW162" i="6"/>
  <c r="CG162" i="6" s="1"/>
  <c r="CA162" i="6"/>
  <c r="AK638" i="6"/>
  <c r="N638" i="6"/>
  <c r="AS638" i="6" l="1"/>
  <c r="CO638" i="6"/>
  <c r="CA638" i="6"/>
  <c r="BW638" i="6"/>
  <c r="CG638" i="6" s="1"/>
  <c r="AB638" i="6"/>
  <c r="AF638" i="6" s="1"/>
  <c r="CK638" i="6"/>
  <c r="CU638" i="6" s="1"/>
  <c r="AT162" i="6"/>
  <c r="BN162" i="6"/>
  <c r="BR162" i="6" s="1"/>
  <c r="AK639" i="6"/>
  <c r="N639" i="6"/>
  <c r="AS639" i="6" l="1"/>
  <c r="AB639" i="6"/>
  <c r="AF639" i="6" s="1"/>
  <c r="CO639" i="6"/>
  <c r="CA639" i="6"/>
  <c r="CK639" i="6"/>
  <c r="CU639" i="6" s="1"/>
  <c r="BW639" i="6"/>
  <c r="CG639" i="6" s="1"/>
  <c r="AT638" i="6"/>
  <c r="BN638" i="6"/>
  <c r="BR638" i="6" s="1"/>
  <c r="N640" i="6"/>
  <c r="AK640" i="6"/>
  <c r="AS640" i="6" l="1"/>
  <c r="BN639" i="6"/>
  <c r="BR639" i="6" s="1"/>
  <c r="AT639" i="6"/>
  <c r="CK640" i="6"/>
  <c r="CU640" i="6" s="1"/>
  <c r="BW640" i="6"/>
  <c r="CG640" i="6" s="1"/>
  <c r="CO640" i="6"/>
  <c r="CA640" i="6"/>
  <c r="AB640" i="6"/>
  <c r="AF640" i="6" s="1"/>
  <c r="AK641" i="6"/>
  <c r="N641" i="6"/>
  <c r="AS641" i="6" l="1"/>
  <c r="AB641" i="6"/>
  <c r="AF641" i="6" s="1"/>
  <c r="CK641" i="6"/>
  <c r="CU641" i="6" s="1"/>
  <c r="CO641" i="6"/>
  <c r="CA641" i="6"/>
  <c r="BW641" i="6"/>
  <c r="CG641" i="6" s="1"/>
  <c r="BN640" i="6"/>
  <c r="BR640" i="6" s="1"/>
  <c r="AT640" i="6"/>
  <c r="AK642" i="6"/>
  <c r="N642" i="6"/>
  <c r="AS642" i="6" l="1"/>
  <c r="CK642" i="6"/>
  <c r="CU642" i="6" s="1"/>
  <c r="CA642" i="6"/>
  <c r="BW642" i="6"/>
  <c r="CG642" i="6" s="1"/>
  <c r="AB642" i="6"/>
  <c r="AF642" i="6" s="1"/>
  <c r="CO642" i="6"/>
  <c r="BN641" i="6"/>
  <c r="BR641" i="6" s="1"/>
  <c r="AT641" i="6"/>
  <c r="N643" i="6"/>
  <c r="AK643" i="6"/>
  <c r="AS643" i="6" l="1"/>
  <c r="CA643" i="6"/>
  <c r="CK643" i="6"/>
  <c r="CU643" i="6" s="1"/>
  <c r="BW643" i="6"/>
  <c r="CG643" i="6" s="1"/>
  <c r="AB643" i="6"/>
  <c r="AF643" i="6" s="1"/>
  <c r="CO643" i="6"/>
  <c r="BN642" i="6"/>
  <c r="BR642" i="6" s="1"/>
  <c r="AT642" i="6"/>
  <c r="N644" i="6"/>
  <c r="AK644" i="6"/>
  <c r="AS644" i="6" l="1"/>
  <c r="BN643" i="6"/>
  <c r="BR643" i="6" s="1"/>
  <c r="AT643" i="6"/>
  <c r="CK644" i="6"/>
  <c r="CU644" i="6" s="1"/>
  <c r="CA644" i="6"/>
  <c r="CO644" i="6"/>
  <c r="BW644" i="6"/>
  <c r="CG644" i="6" s="1"/>
  <c r="AB644" i="6"/>
  <c r="AF644" i="6" s="1"/>
  <c r="N645" i="6"/>
  <c r="AK645" i="6"/>
  <c r="AS645" i="6" l="1"/>
  <c r="BN644" i="6"/>
  <c r="BR644" i="6" s="1"/>
  <c r="AT644" i="6"/>
  <c r="CA645" i="6"/>
  <c r="BW645" i="6"/>
  <c r="CG645" i="6" s="1"/>
  <c r="CK645" i="6"/>
  <c r="CU645" i="6" s="1"/>
  <c r="AB645" i="6"/>
  <c r="AF645" i="6" s="1"/>
  <c r="CO645" i="6"/>
  <c r="N138" i="6"/>
  <c r="AK138" i="6"/>
  <c r="AS138" i="6" l="1"/>
  <c r="BN645" i="6"/>
  <c r="BR645" i="6" s="1"/>
  <c r="AT645" i="6"/>
  <c r="CO138" i="6"/>
  <c r="BW138" i="6"/>
  <c r="CG138" i="6" s="1"/>
  <c r="AB138" i="6"/>
  <c r="AF138" i="6" s="1"/>
  <c r="CA138" i="6"/>
  <c r="CK138" i="6"/>
  <c r="CU138" i="6" s="1"/>
  <c r="N646" i="6"/>
  <c r="AK646" i="6"/>
  <c r="AS646" i="6" l="1"/>
  <c r="BN138" i="6"/>
  <c r="BR138" i="6" s="1"/>
  <c r="AT138" i="6"/>
  <c r="AB646" i="6"/>
  <c r="AF646" i="6" s="1"/>
  <c r="CK646" i="6"/>
  <c r="CU646" i="6" s="1"/>
  <c r="BW646" i="6"/>
  <c r="CG646" i="6" s="1"/>
  <c r="CO646" i="6"/>
  <c r="CA646" i="6"/>
  <c r="N647" i="6"/>
  <c r="AK647" i="6"/>
  <c r="AS647" i="6" l="1"/>
  <c r="AT646" i="6"/>
  <c r="BN646" i="6"/>
  <c r="BR646" i="6" s="1"/>
  <c r="CA647" i="6"/>
  <c r="BW647" i="6"/>
  <c r="CG647" i="6" s="1"/>
  <c r="CO647" i="6"/>
  <c r="AB647" i="6"/>
  <c r="AF647" i="6" s="1"/>
  <c r="CK647" i="6"/>
  <c r="CU647" i="6" s="1"/>
  <c r="AK648" i="6"/>
  <c r="N648" i="6"/>
  <c r="AS648" i="6" l="1"/>
  <c r="BN647" i="6"/>
  <c r="BR647" i="6" s="1"/>
  <c r="AT647" i="6"/>
  <c r="CA648" i="6"/>
  <c r="BW648" i="6"/>
  <c r="CG648" i="6" s="1"/>
  <c r="CO648" i="6"/>
  <c r="AB648" i="6"/>
  <c r="AF648" i="6" s="1"/>
  <c r="CK648" i="6"/>
  <c r="CU648" i="6" s="1"/>
  <c r="N649" i="6"/>
  <c r="AK649" i="6"/>
  <c r="AS649" i="6" l="1"/>
  <c r="BN648" i="6"/>
  <c r="BR648" i="6" s="1"/>
  <c r="AT648" i="6"/>
  <c r="CA649" i="6"/>
  <c r="CO649" i="6"/>
  <c r="CK649" i="6"/>
  <c r="CU649" i="6" s="1"/>
  <c r="BW649" i="6"/>
  <c r="CG649" i="6" s="1"/>
  <c r="AB649" i="6"/>
  <c r="AF649" i="6" s="1"/>
  <c r="N650" i="6"/>
  <c r="AK650" i="6"/>
  <c r="AS650" i="6" l="1"/>
  <c r="AT649" i="6"/>
  <c r="BN649" i="6"/>
  <c r="BR649" i="6" s="1"/>
  <c r="CK650" i="6"/>
  <c r="CU650" i="6" s="1"/>
  <c r="BW650" i="6"/>
  <c r="CG650" i="6" s="1"/>
  <c r="AB650" i="6"/>
  <c r="AF650" i="6" s="1"/>
  <c r="CO650" i="6"/>
  <c r="CA650" i="6"/>
  <c r="N651" i="6"/>
  <c r="AK651" i="6"/>
  <c r="AS651" i="6" l="1"/>
  <c r="CA651" i="6"/>
  <c r="CK651" i="6"/>
  <c r="CU651" i="6" s="1"/>
  <c r="AB651" i="6"/>
  <c r="AF651" i="6" s="1"/>
  <c r="BW651" i="6"/>
  <c r="CG651" i="6" s="1"/>
  <c r="CO651" i="6"/>
  <c r="BN650" i="6"/>
  <c r="BR650" i="6" s="1"/>
  <c r="AT650" i="6"/>
  <c r="AK652" i="6"/>
  <c r="N652" i="6"/>
  <c r="AS652" i="6" l="1"/>
  <c r="CO652" i="6"/>
  <c r="CA652" i="6"/>
  <c r="AB652" i="6"/>
  <c r="AF652" i="6" s="1"/>
  <c r="BW652" i="6"/>
  <c r="CG652" i="6" s="1"/>
  <c r="CK652" i="6"/>
  <c r="CU652" i="6" s="1"/>
  <c r="BN651" i="6"/>
  <c r="BR651" i="6" s="1"/>
  <c r="AT651" i="6"/>
  <c r="N653" i="6"/>
  <c r="AK653" i="6"/>
  <c r="AS653" i="6" l="1"/>
  <c r="BN652" i="6"/>
  <c r="BR652" i="6" s="1"/>
  <c r="AT652" i="6"/>
  <c r="CO653" i="6"/>
  <c r="BW653" i="6"/>
  <c r="CG653" i="6" s="1"/>
  <c r="AB653" i="6"/>
  <c r="AF653" i="6" s="1"/>
  <c r="CA653" i="6"/>
  <c r="CK653" i="6"/>
  <c r="CU653" i="6" s="1"/>
  <c r="N654" i="6"/>
  <c r="AK654" i="6"/>
  <c r="AS654" i="6" l="1"/>
  <c r="BN653" i="6"/>
  <c r="BR653" i="6" s="1"/>
  <c r="AT653" i="6"/>
  <c r="BW654" i="6"/>
  <c r="CG654" i="6" s="1"/>
  <c r="CA654" i="6"/>
  <c r="CO654" i="6"/>
  <c r="AB654" i="6"/>
  <c r="AF654" i="6" s="1"/>
  <c r="CK654" i="6"/>
  <c r="CU654" i="6" s="1"/>
  <c r="N655" i="6"/>
  <c r="AK655" i="6"/>
  <c r="AS655" i="6" l="1"/>
  <c r="BN654" i="6"/>
  <c r="BR654" i="6" s="1"/>
  <c r="AT654" i="6"/>
  <c r="CK655" i="6"/>
  <c r="CU655" i="6" s="1"/>
  <c r="BW655" i="6"/>
  <c r="CG655" i="6" s="1"/>
  <c r="CO655" i="6"/>
  <c r="AB655" i="6"/>
  <c r="AF655" i="6" s="1"/>
  <c r="CA655" i="6"/>
  <c r="AK656" i="6"/>
  <c r="N656" i="6"/>
  <c r="AS656" i="6" l="1"/>
  <c r="CO656" i="6"/>
  <c r="BW656" i="6"/>
  <c r="CG656" i="6" s="1"/>
  <c r="AB656" i="6"/>
  <c r="AF656" i="6" s="1"/>
  <c r="CA656" i="6"/>
  <c r="CK656" i="6"/>
  <c r="CU656" i="6" s="1"/>
  <c r="AT655" i="6"/>
  <c r="BN655" i="6"/>
  <c r="BR655" i="6" s="1"/>
  <c r="N657" i="6"/>
  <c r="AK657" i="6"/>
  <c r="AS657" i="6" l="1"/>
  <c r="CA657" i="6"/>
  <c r="CK657" i="6"/>
  <c r="CU657" i="6" s="1"/>
  <c r="AB657" i="6"/>
  <c r="AF657" i="6" s="1"/>
  <c r="BW657" i="6"/>
  <c r="CG657" i="6" s="1"/>
  <c r="CO657" i="6"/>
  <c r="AT656" i="6"/>
  <c r="BN656" i="6"/>
  <c r="BR656" i="6" s="1"/>
  <c r="N22" i="6"/>
  <c r="AS22" i="6" l="1"/>
  <c r="AB22" i="6"/>
  <c r="AF22" i="6" s="1"/>
  <c r="BW22" i="6"/>
  <c r="CG22" i="6" s="1"/>
  <c r="CO22" i="6"/>
  <c r="CA22" i="6"/>
  <c r="CK22" i="6"/>
  <c r="CU22" i="6" s="1"/>
  <c r="AT657" i="6"/>
  <c r="BN657" i="6"/>
  <c r="BR657" i="6" s="1"/>
  <c r="N658" i="6"/>
  <c r="AK658" i="6"/>
  <c r="AS658" i="6" l="1"/>
  <c r="AB658" i="6"/>
  <c r="AF658" i="6" s="1"/>
  <c r="CA658" i="6"/>
  <c r="CK658" i="6"/>
  <c r="CU658" i="6" s="1"/>
  <c r="BW658" i="6"/>
  <c r="CG658" i="6" s="1"/>
  <c r="CO658" i="6"/>
  <c r="AT22" i="6"/>
  <c r="BN22" i="6"/>
  <c r="BR22" i="6" s="1"/>
  <c r="N182" i="6"/>
  <c r="AK182" i="6"/>
  <c r="AS182" i="6" l="1"/>
  <c r="AT658" i="6"/>
  <c r="BN658" i="6"/>
  <c r="BR658" i="6" s="1"/>
  <c r="BW182" i="6"/>
  <c r="CG182" i="6" s="1"/>
  <c r="CK182" i="6"/>
  <c r="CU182" i="6" s="1"/>
  <c r="AB182" i="6"/>
  <c r="AF182" i="6" s="1"/>
  <c r="CO182" i="6"/>
  <c r="CA182" i="6"/>
  <c r="N121" i="6"/>
  <c r="AK121" i="6"/>
  <c r="AS121" i="6" l="1"/>
  <c r="BN182" i="6"/>
  <c r="BR182" i="6" s="1"/>
  <c r="AT182" i="6"/>
  <c r="CA121" i="6"/>
  <c r="CO121" i="6"/>
  <c r="AB121" i="6"/>
  <c r="AF121" i="6" s="1"/>
  <c r="BW121" i="6"/>
  <c r="CG121" i="6" s="1"/>
  <c r="CK121" i="6"/>
  <c r="CU121" i="6" s="1"/>
  <c r="N659" i="6"/>
  <c r="AK659" i="6"/>
  <c r="AS659" i="6" l="1"/>
  <c r="CA659" i="6"/>
  <c r="BW659" i="6"/>
  <c r="CG659" i="6" s="1"/>
  <c r="AB659" i="6"/>
  <c r="AF659" i="6" s="1"/>
  <c r="CO659" i="6"/>
  <c r="CK659" i="6"/>
  <c r="CU659" i="6" s="1"/>
  <c r="AT121" i="6"/>
  <c r="BN121" i="6"/>
  <c r="BR121" i="6" s="1"/>
  <c r="N88" i="6"/>
  <c r="AK88" i="6"/>
  <c r="AS88" i="6" l="1"/>
  <c r="BN659" i="6"/>
  <c r="BR659" i="6" s="1"/>
  <c r="AT659" i="6"/>
  <c r="AB88" i="6"/>
  <c r="AF88" i="6" s="1"/>
  <c r="CK88" i="6"/>
  <c r="CU88" i="6" s="1"/>
  <c r="CA88" i="6"/>
  <c r="BW88" i="6"/>
  <c r="CG88" i="6" s="1"/>
  <c r="CO88" i="6"/>
  <c r="N96" i="6"/>
  <c r="AK96" i="6"/>
  <c r="AS96" i="6" l="1"/>
  <c r="AT88" i="6"/>
  <c r="BN88" i="6"/>
  <c r="BR88" i="6" s="1"/>
  <c r="CA96" i="6"/>
  <c r="CK96" i="6"/>
  <c r="CU96" i="6" s="1"/>
  <c r="BW96" i="6"/>
  <c r="CG96" i="6" s="1"/>
  <c r="CO96" i="6"/>
  <c r="AB96" i="6"/>
  <c r="AF96" i="6" s="1"/>
  <c r="AK660" i="6"/>
  <c r="N660" i="6"/>
  <c r="AS660" i="6" l="1"/>
  <c r="CA660" i="6"/>
  <c r="CO660" i="6"/>
  <c r="BW660" i="6"/>
  <c r="CG660" i="6" s="1"/>
  <c r="CK660" i="6"/>
  <c r="CU660" i="6" s="1"/>
  <c r="AB660" i="6"/>
  <c r="AF660" i="6" s="1"/>
  <c r="BN96" i="6"/>
  <c r="BR96" i="6" s="1"/>
  <c r="AT96" i="6"/>
  <c r="N243" i="6"/>
  <c r="AK243" i="6"/>
  <c r="AS243" i="6" l="1"/>
  <c r="CA243" i="6"/>
  <c r="CO243" i="6"/>
  <c r="CK243" i="6"/>
  <c r="CU243" i="6" s="1"/>
  <c r="BW243" i="6"/>
  <c r="CG243" i="6" s="1"/>
  <c r="AB243" i="6"/>
  <c r="AF243" i="6" s="1"/>
  <c r="BN660" i="6"/>
  <c r="BR660" i="6" s="1"/>
  <c r="AT660" i="6"/>
  <c r="N661" i="6"/>
  <c r="AK661" i="6"/>
  <c r="AS661" i="6" l="1"/>
  <c r="BW661" i="6"/>
  <c r="CG661" i="6" s="1"/>
  <c r="CA661" i="6"/>
  <c r="CK661" i="6"/>
  <c r="CU661" i="6" s="1"/>
  <c r="AB661" i="6"/>
  <c r="AF661" i="6" s="1"/>
  <c r="CO661" i="6"/>
  <c r="AT243" i="6"/>
  <c r="BN243" i="6"/>
  <c r="BR243" i="6" s="1"/>
  <c r="N662" i="6"/>
  <c r="AK662" i="6"/>
  <c r="AS662" i="6" l="1"/>
  <c r="CK662" i="6"/>
  <c r="CU662" i="6" s="1"/>
  <c r="AB662" i="6"/>
  <c r="AF662" i="6" s="1"/>
  <c r="CO662" i="6"/>
  <c r="CA662" i="6"/>
  <c r="BW662" i="6"/>
  <c r="CG662" i="6" s="1"/>
  <c r="AT661" i="6"/>
  <c r="BN661" i="6"/>
  <c r="BR661" i="6" s="1"/>
  <c r="N663" i="6"/>
  <c r="AK663" i="6"/>
  <c r="AS663" i="6" l="1"/>
  <c r="BW663" i="6"/>
  <c r="CG663" i="6" s="1"/>
  <c r="CA663" i="6"/>
  <c r="CK663" i="6"/>
  <c r="CU663" i="6" s="1"/>
  <c r="CO663" i="6"/>
  <c r="AB663" i="6"/>
  <c r="AF663" i="6" s="1"/>
  <c r="AT662" i="6"/>
  <c r="BN662" i="6"/>
  <c r="BR662" i="6" s="1"/>
  <c r="N707" i="6"/>
  <c r="AK707" i="6"/>
  <c r="AS707" i="6" l="1"/>
  <c r="BW707" i="6"/>
  <c r="CG707" i="6" s="1"/>
  <c r="CK707" i="6"/>
  <c r="CU707" i="6" s="1"/>
  <c r="CO707" i="6"/>
  <c r="CA707" i="6"/>
  <c r="AB707" i="6"/>
  <c r="AF707" i="6" s="1"/>
  <c r="BN663" i="6"/>
  <c r="BR663" i="6" s="1"/>
  <c r="AT663" i="6"/>
  <c r="N664" i="6"/>
  <c r="AK664" i="6"/>
  <c r="AS664" i="6" l="1"/>
  <c r="BN707" i="6"/>
  <c r="BR707" i="6" s="1"/>
  <c r="AT707" i="6"/>
  <c r="BW664" i="6"/>
  <c r="CG664" i="6" s="1"/>
  <c r="CO664" i="6"/>
  <c r="CK664" i="6"/>
  <c r="CU664" i="6" s="1"/>
  <c r="AB664" i="6"/>
  <c r="AF664" i="6" s="1"/>
  <c r="CA664" i="6"/>
  <c r="AK144" i="6"/>
  <c r="N144" i="6"/>
  <c r="AS144" i="6" l="1"/>
  <c r="CO144" i="6"/>
  <c r="CK144" i="6"/>
  <c r="CU144" i="6" s="1"/>
  <c r="AB144" i="6"/>
  <c r="AF144" i="6" s="1"/>
  <c r="BW144" i="6"/>
  <c r="CG144" i="6" s="1"/>
  <c r="CA144" i="6"/>
  <c r="AT664" i="6"/>
  <c r="BN664" i="6"/>
  <c r="BR664" i="6" s="1"/>
  <c r="AK665" i="6"/>
  <c r="N665" i="6"/>
  <c r="AS665" i="6" l="1"/>
  <c r="BN144" i="6"/>
  <c r="BR144" i="6" s="1"/>
  <c r="AT144" i="6"/>
  <c r="AB665" i="6"/>
  <c r="AF665" i="6" s="1"/>
  <c r="CO665" i="6"/>
  <c r="CK665" i="6"/>
  <c r="CU665" i="6" s="1"/>
  <c r="BW665" i="6"/>
  <c r="CG665" i="6" s="1"/>
  <c r="CA665" i="6"/>
  <c r="AK256" i="6"/>
  <c r="N256" i="6"/>
  <c r="AS256" i="6" l="1"/>
  <c r="CK256" i="6"/>
  <c r="CU256" i="6" s="1"/>
  <c r="BW256" i="6"/>
  <c r="CG256" i="6" s="1"/>
  <c r="CO256" i="6"/>
  <c r="AB256" i="6"/>
  <c r="AF256" i="6" s="1"/>
  <c r="CA256" i="6"/>
  <c r="BN665" i="6"/>
  <c r="BR665" i="6" s="1"/>
  <c r="AT665" i="6"/>
  <c r="N53" i="6"/>
  <c r="AK53" i="6"/>
  <c r="AS53" i="6" l="1"/>
  <c r="BN256" i="6"/>
  <c r="BR256" i="6" s="1"/>
  <c r="AT256" i="6"/>
  <c r="CO53" i="6"/>
  <c r="BW53" i="6"/>
  <c r="CG53" i="6" s="1"/>
  <c r="CA53" i="6"/>
  <c r="CK53" i="6"/>
  <c r="CU53" i="6" s="1"/>
  <c r="AB53" i="6"/>
  <c r="AF53" i="6" s="1"/>
  <c r="AK128" i="6"/>
  <c r="N128" i="6"/>
  <c r="AS128" i="6" l="1"/>
  <c r="BW128" i="6"/>
  <c r="CG128" i="6" s="1"/>
  <c r="AB128" i="6"/>
  <c r="AF128" i="6" s="1"/>
  <c r="CK128" i="6"/>
  <c r="CU128" i="6" s="1"/>
  <c r="CA128" i="6"/>
  <c r="CO128" i="6"/>
  <c r="BN53" i="6"/>
  <c r="BR53" i="6" s="1"/>
  <c r="AT53" i="6"/>
  <c r="AK666" i="6"/>
  <c r="N666" i="6"/>
  <c r="AS666" i="6" l="1"/>
  <c r="BW666" i="6"/>
  <c r="CG666" i="6" s="1"/>
  <c r="CK666" i="6"/>
  <c r="CU666" i="6" s="1"/>
  <c r="AB666" i="6"/>
  <c r="AF666" i="6" s="1"/>
  <c r="CA666" i="6"/>
  <c r="CO666" i="6"/>
  <c r="BN128" i="6"/>
  <c r="BR128" i="6" s="1"/>
  <c r="AT128" i="6"/>
  <c r="N33" i="6"/>
  <c r="AK33" i="6"/>
  <c r="AS33" i="6" l="1"/>
  <c r="AT666" i="6"/>
  <c r="BN666" i="6"/>
  <c r="BR666" i="6" s="1"/>
  <c r="BW33" i="6"/>
  <c r="CG33" i="6" s="1"/>
  <c r="CA33" i="6"/>
  <c r="CO33" i="6"/>
  <c r="AB33" i="6"/>
  <c r="AF33" i="6" s="1"/>
  <c r="CK33" i="6"/>
  <c r="CU33" i="6" s="1"/>
  <c r="AK667" i="6"/>
  <c r="AT33" i="6" l="1"/>
  <c r="BN33" i="6"/>
  <c r="BR33" i="6" s="1"/>
  <c r="N667" i="6"/>
  <c r="AK668" i="6"/>
  <c r="N668" i="6"/>
  <c r="AS667" i="6" l="1"/>
  <c r="AS668" i="6"/>
  <c r="BW667" i="6"/>
  <c r="CG667" i="6" s="1"/>
  <c r="CA667" i="6"/>
  <c r="CK667" i="6"/>
  <c r="CU667" i="6" s="1"/>
  <c r="CO667" i="6"/>
  <c r="AB667" i="6"/>
  <c r="AF667" i="6" s="1"/>
  <c r="CO668" i="6"/>
  <c r="CK668" i="6"/>
  <c r="CU668" i="6" s="1"/>
  <c r="BW668" i="6"/>
  <c r="CG668" i="6" s="1"/>
  <c r="CA668" i="6"/>
  <c r="AB668" i="6"/>
  <c r="AF668" i="6" s="1"/>
  <c r="N669" i="6"/>
  <c r="AK669" i="6"/>
  <c r="AS669" i="6" l="1"/>
  <c r="BN668" i="6"/>
  <c r="BR668" i="6" s="1"/>
  <c r="AT668" i="6"/>
  <c r="CA669" i="6"/>
  <c r="CO669" i="6"/>
  <c r="BW669" i="6"/>
  <c r="CG669" i="6" s="1"/>
  <c r="CK669" i="6"/>
  <c r="CU669" i="6" s="1"/>
  <c r="AB669" i="6"/>
  <c r="AF669" i="6" s="1"/>
  <c r="BN667" i="6"/>
  <c r="BR667" i="6" s="1"/>
  <c r="AT667" i="6"/>
  <c r="N279" i="6"/>
  <c r="AK279" i="6"/>
  <c r="AS279" i="6" l="1"/>
  <c r="BN669" i="6"/>
  <c r="BR669" i="6" s="1"/>
  <c r="AT669" i="6"/>
  <c r="CK279" i="6"/>
  <c r="CU279" i="6" s="1"/>
  <c r="AB279" i="6"/>
  <c r="AF279" i="6" s="1"/>
  <c r="BW279" i="6"/>
  <c r="CG279" i="6" s="1"/>
  <c r="CO279" i="6"/>
  <c r="CA279" i="6"/>
  <c r="AK670" i="6"/>
  <c r="N670" i="6"/>
  <c r="AS670" i="6" l="1"/>
  <c r="BW670" i="6"/>
  <c r="CG670" i="6" s="1"/>
  <c r="AB670" i="6"/>
  <c r="AF670" i="6" s="1"/>
  <c r="CK670" i="6"/>
  <c r="CU670" i="6" s="1"/>
  <c r="CA670" i="6"/>
  <c r="CO670" i="6"/>
  <c r="AT279" i="6"/>
  <c r="BN279" i="6"/>
  <c r="BR279" i="6" s="1"/>
  <c r="N229" i="6"/>
  <c r="AK229" i="6"/>
  <c r="AS229" i="6" l="1"/>
  <c r="BN670" i="6"/>
  <c r="BR670" i="6" s="1"/>
  <c r="AT670" i="6"/>
  <c r="CA229" i="6"/>
  <c r="CK229" i="6"/>
  <c r="CU229" i="6" s="1"/>
  <c r="CO229" i="6"/>
  <c r="AB229" i="6"/>
  <c r="AF229" i="6" s="1"/>
  <c r="BW229" i="6"/>
  <c r="CG229" i="6" s="1"/>
  <c r="AK671" i="6"/>
  <c r="N671" i="6"/>
  <c r="AS671" i="6" l="1"/>
  <c r="AT229" i="6"/>
  <c r="BN229" i="6"/>
  <c r="BR229" i="6" s="1"/>
  <c r="BW671" i="6"/>
  <c r="CG671" i="6" s="1"/>
  <c r="CK671" i="6"/>
  <c r="CU671" i="6" s="1"/>
  <c r="CO671" i="6"/>
  <c r="AB671" i="6"/>
  <c r="AF671" i="6" s="1"/>
  <c r="CA671" i="6"/>
  <c r="N183" i="6"/>
  <c r="AK183" i="6"/>
  <c r="AS183" i="6" l="1"/>
  <c r="AT671" i="6"/>
  <c r="BN671" i="6"/>
  <c r="BR671" i="6" s="1"/>
  <c r="CO183" i="6"/>
  <c r="AB183" i="6"/>
  <c r="AF183" i="6" s="1"/>
  <c r="CK183" i="6"/>
  <c r="CU183" i="6" s="1"/>
  <c r="BW183" i="6"/>
  <c r="CG183" i="6" s="1"/>
  <c r="CA183" i="6"/>
  <c r="AK672" i="6"/>
  <c r="N672" i="6"/>
  <c r="AS672" i="6" l="1"/>
  <c r="AT183" i="6"/>
  <c r="BN183" i="6"/>
  <c r="BR183" i="6" s="1"/>
  <c r="BW672" i="6"/>
  <c r="CG672" i="6" s="1"/>
  <c r="AB672" i="6"/>
  <c r="AF672" i="6" s="1"/>
  <c r="CO672" i="6"/>
  <c r="CA672" i="6"/>
  <c r="CK672" i="6"/>
  <c r="CU672" i="6" s="1"/>
  <c r="AK163" i="6"/>
  <c r="N163" i="6"/>
  <c r="AS163" i="6" l="1"/>
  <c r="AT672" i="6"/>
  <c r="BN672" i="6"/>
  <c r="BR672" i="6" s="1"/>
  <c r="BW163" i="6"/>
  <c r="CG163" i="6" s="1"/>
  <c r="CA163" i="6"/>
  <c r="CO163" i="6"/>
  <c r="CK163" i="6"/>
  <c r="CU163" i="6" s="1"/>
  <c r="AB163" i="6"/>
  <c r="AF163" i="6" s="1"/>
  <c r="AK157" i="6"/>
  <c r="N157" i="6"/>
  <c r="AS157" i="6" l="1"/>
  <c r="BN163" i="6"/>
  <c r="BR163" i="6" s="1"/>
  <c r="AT163" i="6"/>
  <c r="CA157" i="6"/>
  <c r="BW157" i="6"/>
  <c r="CG157" i="6" s="1"/>
  <c r="CO157" i="6"/>
  <c r="AB157" i="6"/>
  <c r="AF157" i="6" s="1"/>
  <c r="CK157" i="6"/>
  <c r="CU157" i="6" s="1"/>
  <c r="AK184" i="6"/>
  <c r="N184" i="6"/>
  <c r="AS184" i="6" l="1"/>
  <c r="BN157" i="6"/>
  <c r="BR157" i="6" s="1"/>
  <c r="AT157" i="6"/>
  <c r="BW184" i="6"/>
  <c r="CG184" i="6" s="1"/>
  <c r="CO184" i="6"/>
  <c r="CA184" i="6"/>
  <c r="AB184" i="6"/>
  <c r="AF184" i="6" s="1"/>
  <c r="CK184" i="6"/>
  <c r="CU184" i="6" s="1"/>
  <c r="AK209" i="6"/>
  <c r="N209" i="6"/>
  <c r="AS209" i="6" l="1"/>
  <c r="CK209" i="6"/>
  <c r="CU209" i="6" s="1"/>
  <c r="BW209" i="6"/>
  <c r="CG209" i="6" s="1"/>
  <c r="CO209" i="6"/>
  <c r="AB209" i="6"/>
  <c r="AF209" i="6" s="1"/>
  <c r="CA209" i="6"/>
  <c r="BN184" i="6"/>
  <c r="BR184" i="6" s="1"/>
  <c r="AT184" i="6"/>
  <c r="AK673" i="6"/>
  <c r="N673" i="6"/>
  <c r="AS673" i="6" l="1"/>
  <c r="BN209" i="6"/>
  <c r="BR209" i="6" s="1"/>
  <c r="AT209" i="6"/>
  <c r="AB673" i="6"/>
  <c r="AF673" i="6" s="1"/>
  <c r="CO673" i="6"/>
  <c r="CA673" i="6"/>
  <c r="BW673" i="6"/>
  <c r="CG673" i="6" s="1"/>
  <c r="CK673" i="6"/>
  <c r="CU673" i="6" s="1"/>
  <c r="N674" i="6"/>
  <c r="AK674" i="6"/>
  <c r="AS674" i="6" l="1"/>
  <c r="BW674" i="6"/>
  <c r="CG674" i="6" s="1"/>
  <c r="CO674" i="6"/>
  <c r="AB674" i="6"/>
  <c r="AF674" i="6" s="1"/>
  <c r="CA674" i="6"/>
  <c r="CK674" i="6"/>
  <c r="CU674" i="6" s="1"/>
  <c r="AT673" i="6"/>
  <c r="BN673" i="6"/>
  <c r="BR673" i="6" s="1"/>
  <c r="N675" i="6"/>
  <c r="AK675" i="6"/>
  <c r="AS675" i="6" l="1"/>
  <c r="BN674" i="6"/>
  <c r="BR674" i="6" s="1"/>
  <c r="AT674" i="6"/>
  <c r="BW675" i="6"/>
  <c r="CG675" i="6" s="1"/>
  <c r="AB675" i="6"/>
  <c r="AF675" i="6" s="1"/>
  <c r="CK675" i="6"/>
  <c r="CU675" i="6" s="1"/>
  <c r="CA675" i="6"/>
  <c r="CO675" i="6"/>
  <c r="N676" i="6"/>
  <c r="AK676" i="6"/>
  <c r="AS676" i="6" l="1"/>
  <c r="CO676" i="6"/>
  <c r="CA676" i="6"/>
  <c r="BW676" i="6"/>
  <c r="CG676" i="6" s="1"/>
  <c r="CK676" i="6"/>
  <c r="CU676" i="6" s="1"/>
  <c r="AB676" i="6"/>
  <c r="AF676" i="6" s="1"/>
  <c r="AT675" i="6"/>
  <c r="BN675" i="6"/>
  <c r="BR675" i="6" s="1"/>
  <c r="AK677" i="6"/>
  <c r="N677" i="6"/>
  <c r="AS677" i="6" l="1"/>
  <c r="CA677" i="6"/>
  <c r="CK677" i="6"/>
  <c r="CU677" i="6" s="1"/>
  <c r="BW677" i="6"/>
  <c r="CG677" i="6" s="1"/>
  <c r="AB677" i="6"/>
  <c r="AF677" i="6" s="1"/>
  <c r="CO677" i="6"/>
  <c r="AT676" i="6"/>
  <c r="BN676" i="6"/>
  <c r="BR676" i="6" s="1"/>
  <c r="AK678" i="6"/>
  <c r="N678" i="6"/>
  <c r="AS678" i="6" l="1"/>
  <c r="CA678" i="6"/>
  <c r="CK678" i="6"/>
  <c r="CU678" i="6" s="1"/>
  <c r="BW678" i="6"/>
  <c r="CG678" i="6" s="1"/>
  <c r="AB678" i="6"/>
  <c r="AF678" i="6" s="1"/>
  <c r="CO678" i="6"/>
  <c r="BN677" i="6"/>
  <c r="BR677" i="6" s="1"/>
  <c r="AT677" i="6"/>
  <c r="AK679" i="6"/>
  <c r="N679" i="6"/>
  <c r="AS679" i="6" l="1"/>
  <c r="BN678" i="6"/>
  <c r="BR678" i="6" s="1"/>
  <c r="AT678" i="6"/>
  <c r="CA679" i="6"/>
  <c r="CO679" i="6"/>
  <c r="BW679" i="6"/>
  <c r="CG679" i="6" s="1"/>
  <c r="AB679" i="6"/>
  <c r="AF679" i="6" s="1"/>
  <c r="CK679" i="6"/>
  <c r="CU679" i="6" s="1"/>
  <c r="N139" i="6"/>
  <c r="AK139" i="6"/>
  <c r="AS139" i="6" l="1"/>
  <c r="BN679" i="6"/>
  <c r="BR679" i="6" s="1"/>
  <c r="AT679" i="6"/>
  <c r="CA139" i="6"/>
  <c r="BW139" i="6"/>
  <c r="CG139" i="6" s="1"/>
  <c r="CK139" i="6"/>
  <c r="CU139" i="6" s="1"/>
  <c r="AB139" i="6"/>
  <c r="AF139" i="6" s="1"/>
  <c r="CO139" i="6"/>
  <c r="AK252" i="6"/>
  <c r="N252" i="6"/>
  <c r="AS252" i="6" l="1"/>
  <c r="CA252" i="6"/>
  <c r="CK252" i="6"/>
  <c r="CU252" i="6" s="1"/>
  <c r="BW252" i="6"/>
  <c r="CG252" i="6" s="1"/>
  <c r="CO252" i="6"/>
  <c r="AB252" i="6"/>
  <c r="AF252" i="6" s="1"/>
  <c r="BN139" i="6"/>
  <c r="BR139" i="6" s="1"/>
  <c r="AT139" i="6"/>
  <c r="N234" i="6"/>
  <c r="AK234" i="6"/>
  <c r="AS234" i="6" l="1"/>
  <c r="BW234" i="6"/>
  <c r="CG234" i="6" s="1"/>
  <c r="CA234" i="6"/>
  <c r="CO234" i="6"/>
  <c r="CK234" i="6"/>
  <c r="CU234" i="6" s="1"/>
  <c r="AB234" i="6"/>
  <c r="AF234" i="6" s="1"/>
  <c r="AT252" i="6"/>
  <c r="BN252" i="6"/>
  <c r="BR252" i="6" s="1"/>
  <c r="N219" i="6"/>
  <c r="AK219" i="6"/>
  <c r="AS219" i="6" l="1"/>
  <c r="AB219" i="6"/>
  <c r="AF219" i="6" s="1"/>
  <c r="CA219" i="6"/>
  <c r="CK219" i="6"/>
  <c r="CU219" i="6" s="1"/>
  <c r="BW219" i="6"/>
  <c r="CG219" i="6" s="1"/>
  <c r="CO219" i="6"/>
  <c r="BN234" i="6"/>
  <c r="BR234" i="6" s="1"/>
  <c r="AT234" i="6"/>
  <c r="N239" i="6"/>
  <c r="AK239" i="6"/>
  <c r="AS239" i="6" l="1"/>
  <c r="BN219" i="6"/>
  <c r="BR219" i="6" s="1"/>
  <c r="AT219" i="6"/>
  <c r="CO239" i="6"/>
  <c r="CA239" i="6"/>
  <c r="BW239" i="6"/>
  <c r="CG239" i="6" s="1"/>
  <c r="CK239" i="6"/>
  <c r="CU239" i="6" s="1"/>
  <c r="AB239" i="6"/>
  <c r="AF239" i="6" s="1"/>
  <c r="AK680" i="6"/>
  <c r="N680" i="6"/>
  <c r="AS680" i="6" l="1"/>
  <c r="BN239" i="6"/>
  <c r="BR239" i="6" s="1"/>
  <c r="AT239" i="6"/>
  <c r="CK680" i="6"/>
  <c r="CU680" i="6" s="1"/>
  <c r="BW680" i="6"/>
  <c r="CG680" i="6" s="1"/>
  <c r="CO680" i="6"/>
  <c r="CA680" i="6"/>
  <c r="AB680" i="6"/>
  <c r="AF680" i="6" s="1"/>
  <c r="AK681" i="6"/>
  <c r="N681" i="6"/>
  <c r="AS681" i="6" l="1"/>
  <c r="BN680" i="6"/>
  <c r="BR680" i="6" s="1"/>
  <c r="AT680" i="6"/>
  <c r="CA681" i="6"/>
  <c r="CK681" i="6"/>
  <c r="CU681" i="6" s="1"/>
  <c r="BW681" i="6"/>
  <c r="CG681" i="6" s="1"/>
  <c r="CO681" i="6"/>
  <c r="AB681" i="6"/>
  <c r="AF681" i="6" s="1"/>
  <c r="AK682" i="6"/>
  <c r="N682" i="6"/>
  <c r="AS682" i="6" l="1"/>
  <c r="BN681" i="6"/>
  <c r="BR681" i="6" s="1"/>
  <c r="AT681" i="6"/>
  <c r="CA682" i="6"/>
  <c r="CO682" i="6"/>
  <c r="BW682" i="6"/>
  <c r="CG682" i="6" s="1"/>
  <c r="AB682" i="6"/>
  <c r="AF682" i="6" s="1"/>
  <c r="CK682" i="6"/>
  <c r="CU682" i="6" s="1"/>
  <c r="AK683" i="6"/>
  <c r="N683" i="6"/>
  <c r="AS683" i="6" l="1"/>
  <c r="BN682" i="6"/>
  <c r="BR682" i="6" s="1"/>
  <c r="AT682" i="6"/>
  <c r="CK683" i="6"/>
  <c r="CU683" i="6" s="1"/>
  <c r="BW683" i="6"/>
  <c r="CG683" i="6" s="1"/>
  <c r="CO683" i="6"/>
  <c r="CA683" i="6"/>
  <c r="AB683" i="6"/>
  <c r="AF683" i="6" s="1"/>
  <c r="N684" i="6"/>
  <c r="AK684" i="6"/>
  <c r="AS684" i="6" l="1"/>
  <c r="BN683" i="6"/>
  <c r="BR683" i="6" s="1"/>
  <c r="AT683" i="6"/>
  <c r="CK684" i="6"/>
  <c r="CU684" i="6" s="1"/>
  <c r="CO684" i="6"/>
  <c r="BW684" i="6"/>
  <c r="CG684" i="6" s="1"/>
  <c r="CA684" i="6"/>
  <c r="AB684" i="6"/>
  <c r="AF684" i="6" s="1"/>
  <c r="N685" i="6"/>
  <c r="AK685" i="6"/>
  <c r="AS685" i="6" l="1"/>
  <c r="AT684" i="6"/>
  <c r="BN684" i="6"/>
  <c r="BR684" i="6" s="1"/>
  <c r="BW685" i="6"/>
  <c r="CG685" i="6" s="1"/>
  <c r="CA685" i="6"/>
  <c r="CO685" i="6"/>
  <c r="CK685" i="6"/>
  <c r="CU685" i="6" s="1"/>
  <c r="AB685" i="6"/>
  <c r="AF685" i="6" s="1"/>
  <c r="N686" i="6"/>
  <c r="AK686" i="6"/>
  <c r="AS686" i="6" l="1"/>
  <c r="CA686" i="6"/>
  <c r="BW686" i="6"/>
  <c r="CG686" i="6" s="1"/>
  <c r="CK686" i="6"/>
  <c r="CU686" i="6" s="1"/>
  <c r="CO686" i="6"/>
  <c r="AB686" i="6"/>
  <c r="AF686" i="6" s="1"/>
  <c r="BN685" i="6"/>
  <c r="BR685" i="6" s="1"/>
  <c r="AT685" i="6"/>
  <c r="N171" i="6"/>
  <c r="AK171" i="6"/>
  <c r="AS171" i="6" l="1"/>
  <c r="CO171" i="6"/>
  <c r="AB171" i="6"/>
  <c r="AF171" i="6" s="1"/>
  <c r="CK171" i="6"/>
  <c r="CU171" i="6" s="1"/>
  <c r="BW171" i="6"/>
  <c r="CG171" i="6" s="1"/>
  <c r="CA171" i="6"/>
  <c r="BN686" i="6"/>
  <c r="BR686" i="6" s="1"/>
  <c r="AT686" i="6"/>
  <c r="N687" i="6"/>
  <c r="AS687" i="6" l="1"/>
  <c r="CA687" i="6"/>
  <c r="CK687" i="6"/>
  <c r="CU687" i="6" s="1"/>
  <c r="BW687" i="6"/>
  <c r="CG687" i="6" s="1"/>
  <c r="AB687" i="6"/>
  <c r="AF687" i="6" s="1"/>
  <c r="CO687" i="6"/>
  <c r="AT171" i="6"/>
  <c r="BN171" i="6"/>
  <c r="BR171" i="6" s="1"/>
  <c r="AK688" i="6"/>
  <c r="N688" i="6"/>
  <c r="AS688" i="6" l="1"/>
  <c r="BW688" i="6"/>
  <c r="CG688" i="6" s="1"/>
  <c r="AB688" i="6"/>
  <c r="AF688" i="6" s="1"/>
  <c r="CO688" i="6"/>
  <c r="CA688" i="6"/>
  <c r="CK688" i="6"/>
  <c r="CU688" i="6" s="1"/>
  <c r="BN687" i="6"/>
  <c r="BR687" i="6" s="1"/>
  <c r="AT687" i="6"/>
  <c r="N103" i="6"/>
  <c r="AS103" i="6" l="1"/>
  <c r="AB103" i="6"/>
  <c r="AF103" i="6" s="1"/>
  <c r="CA103" i="6"/>
  <c r="CO103" i="6"/>
  <c r="BW103" i="6"/>
  <c r="CG103" i="6" s="1"/>
  <c r="CK103" i="6"/>
  <c r="CU103" i="6" s="1"/>
  <c r="BN688" i="6"/>
  <c r="BR688" i="6" s="1"/>
  <c r="AT688" i="6"/>
  <c r="N583" i="6"/>
  <c r="X583" i="6"/>
  <c r="AK583" i="6" s="1"/>
  <c r="AS583" i="6" l="1"/>
  <c r="AB583" i="6"/>
  <c r="AF583" i="6" s="1"/>
  <c r="CA583" i="6"/>
  <c r="CK583" i="6"/>
  <c r="CU583" i="6" s="1"/>
  <c r="BW583" i="6"/>
  <c r="CG583" i="6" s="1"/>
  <c r="CO583" i="6"/>
  <c r="AT103" i="6"/>
  <c r="BN103" i="6"/>
  <c r="BR103" i="6" s="1"/>
  <c r="N584" i="6"/>
  <c r="X584" i="6"/>
  <c r="AK584" i="6" s="1"/>
  <c r="AS584" i="6" l="1"/>
  <c r="CK584" i="6"/>
  <c r="CU584" i="6" s="1"/>
  <c r="AB584" i="6"/>
  <c r="AF584" i="6" s="1"/>
  <c r="CA584" i="6"/>
  <c r="CO584" i="6"/>
  <c r="BW584" i="6"/>
  <c r="CG584" i="6" s="1"/>
  <c r="BN583" i="6"/>
  <c r="BR583" i="6" s="1"/>
  <c r="AT583" i="6"/>
  <c r="X585" i="6"/>
  <c r="AK585" i="6" s="1"/>
  <c r="BN584" i="6" l="1"/>
  <c r="BR584" i="6" s="1"/>
  <c r="AT584" i="6"/>
  <c r="X586" i="6"/>
  <c r="AK586" i="6" s="1"/>
  <c r="N586" i="6"/>
  <c r="N585" i="6"/>
  <c r="AS585" i="6" l="1"/>
  <c r="AS586" i="6"/>
  <c r="BW585" i="6"/>
  <c r="CG585" i="6" s="1"/>
  <c r="CO585" i="6"/>
  <c r="CA585" i="6"/>
  <c r="AB585" i="6"/>
  <c r="AF585" i="6" s="1"/>
  <c r="CK585" i="6"/>
  <c r="CU585" i="6" s="1"/>
  <c r="AB586" i="6"/>
  <c r="AF586" i="6" s="1"/>
  <c r="BW586" i="6"/>
  <c r="CG586" i="6" s="1"/>
  <c r="CK586" i="6"/>
  <c r="CU586" i="6" s="1"/>
  <c r="CO586" i="6"/>
  <c r="CA586" i="6"/>
  <c r="N587" i="6"/>
  <c r="X587" i="6"/>
  <c r="AK587" i="6" s="1"/>
  <c r="AS587" i="6" l="1"/>
  <c r="BN586" i="6"/>
  <c r="BR586" i="6" s="1"/>
  <c r="AT586" i="6"/>
  <c r="AT585" i="6"/>
  <c r="BN585" i="6"/>
  <c r="BR585" i="6" s="1"/>
  <c r="BW587" i="6"/>
  <c r="CG587" i="6" s="1"/>
  <c r="CA587" i="6"/>
  <c r="CO587" i="6"/>
  <c r="CK587" i="6"/>
  <c r="CU587" i="6" s="1"/>
  <c r="AB587" i="6"/>
  <c r="AF587" i="6" s="1"/>
  <c r="N588" i="6"/>
  <c r="X588" i="6"/>
  <c r="AK588" i="6" s="1"/>
  <c r="AS588" i="6" l="1"/>
  <c r="CA588" i="6"/>
  <c r="AB588" i="6"/>
  <c r="AF588" i="6" s="1"/>
  <c r="CO588" i="6"/>
  <c r="BW588" i="6"/>
  <c r="CK588" i="6"/>
  <c r="BN587" i="6"/>
  <c r="BR587" i="6" s="1"/>
  <c r="AT587" i="6"/>
  <c r="X589" i="6"/>
  <c r="AK589" i="6" s="1"/>
  <c r="N589" i="6"/>
  <c r="AS589" i="6" l="1"/>
  <c r="CU588" i="6"/>
  <c r="CG588" i="6"/>
  <c r="BW589" i="6"/>
  <c r="CO589" i="6"/>
  <c r="AB589" i="6"/>
  <c r="AF589" i="6" s="1"/>
  <c r="CA589" i="6"/>
  <c r="CK589" i="6"/>
  <c r="BN588" i="6"/>
  <c r="BR588" i="6" s="1"/>
  <c r="AT588" i="6"/>
  <c r="X590" i="6"/>
  <c r="AK590" i="6" s="1"/>
  <c r="N590" i="6"/>
  <c r="AS590" i="6" l="1"/>
  <c r="CU589" i="6"/>
  <c r="CG589" i="6"/>
  <c r="AT589" i="6"/>
  <c r="BN589" i="6"/>
  <c r="BR589" i="6" s="1"/>
  <c r="BW590" i="6"/>
  <c r="CO590" i="6"/>
  <c r="CK590" i="6"/>
  <c r="CA590" i="6"/>
  <c r="AB590" i="6"/>
  <c r="AF590" i="6" s="1"/>
  <c r="N591" i="6"/>
  <c r="X591" i="6"/>
  <c r="AK591" i="6" s="1"/>
  <c r="AS591" i="6" l="1"/>
  <c r="CU590" i="6"/>
  <c r="CG590" i="6"/>
  <c r="AB591" i="6"/>
  <c r="AF591" i="6" s="1"/>
  <c r="BW591" i="6"/>
  <c r="CG591" i="6" s="1"/>
  <c r="CK591" i="6"/>
  <c r="CU591" i="6" s="1"/>
  <c r="CA591" i="6"/>
  <c r="CO591" i="6"/>
  <c r="AT590" i="6"/>
  <c r="BN590" i="6"/>
  <c r="BR590" i="6" s="1"/>
  <c r="X592" i="6"/>
  <c r="AK592" i="6" s="1"/>
  <c r="N592" i="6"/>
  <c r="AS592" i="6" l="1"/>
  <c r="CO592" i="6"/>
  <c r="AB592" i="6"/>
  <c r="AF592" i="6" s="1"/>
  <c r="CK592" i="6"/>
  <c r="CU592" i="6" s="1"/>
  <c r="BW592" i="6"/>
  <c r="CG592" i="6" s="1"/>
  <c r="CA592" i="6"/>
  <c r="AT591" i="6"/>
  <c r="BN591" i="6"/>
  <c r="BR591" i="6" s="1"/>
  <c r="N593" i="6"/>
  <c r="X593" i="6"/>
  <c r="AK593" i="6" s="1"/>
  <c r="AS593" i="6" l="1"/>
  <c r="CO593" i="6"/>
  <c r="AB593" i="6"/>
  <c r="AF593" i="6" s="1"/>
  <c r="CK593" i="6"/>
  <c r="CU593" i="6" s="1"/>
  <c r="BW593" i="6"/>
  <c r="CG593" i="6" s="1"/>
  <c r="CA593" i="6"/>
  <c r="BN592" i="6"/>
  <c r="BR592" i="6" s="1"/>
  <c r="AT592" i="6"/>
  <c r="N594" i="6"/>
  <c r="X594" i="6"/>
  <c r="AK594" i="6" s="1"/>
  <c r="AS594" i="6" l="1"/>
  <c r="BN593" i="6"/>
  <c r="BR593" i="6" s="1"/>
  <c r="AT593" i="6"/>
  <c r="BW594" i="6"/>
  <c r="CG594" i="6" s="1"/>
  <c r="CO594" i="6"/>
  <c r="CA594" i="6"/>
  <c r="CK594" i="6"/>
  <c r="CU594" i="6" s="1"/>
  <c r="AB594" i="6"/>
  <c r="AF594" i="6" s="1"/>
  <c r="X595" i="6"/>
  <c r="AK595" i="6" s="1"/>
  <c r="N595" i="6"/>
  <c r="AS595" i="6" l="1"/>
  <c r="AT594" i="6"/>
  <c r="BN594" i="6"/>
  <c r="BR594" i="6" s="1"/>
  <c r="AB595" i="6"/>
  <c r="AF595" i="6" s="1"/>
  <c r="CK595" i="6"/>
  <c r="CU595" i="6" s="1"/>
  <c r="BW595" i="6"/>
  <c r="CG595" i="6" s="1"/>
  <c r="CA595" i="6"/>
  <c r="CO595" i="6"/>
  <c r="X596" i="6"/>
  <c r="AK596" i="6" s="1"/>
  <c r="N596" i="6"/>
  <c r="AS596" i="6" l="1"/>
  <c r="CK596" i="6"/>
  <c r="CU596" i="6" s="1"/>
  <c r="BW596" i="6"/>
  <c r="CG596" i="6" s="1"/>
  <c r="CA596" i="6"/>
  <c r="AB596" i="6"/>
  <c r="AF596" i="6" s="1"/>
  <c r="CO596" i="6"/>
  <c r="BN595" i="6"/>
  <c r="BR595" i="6" s="1"/>
  <c r="AT595" i="6"/>
  <c r="N597" i="6"/>
  <c r="X597" i="6"/>
  <c r="AK597" i="6" s="1"/>
  <c r="AS597" i="6" l="1"/>
  <c r="CA597" i="6"/>
  <c r="CK597" i="6"/>
  <c r="BW597" i="6"/>
  <c r="AB597" i="6"/>
  <c r="AF597" i="6" s="1"/>
  <c r="CO597" i="6"/>
  <c r="AT596" i="6"/>
  <c r="BN596" i="6"/>
  <c r="BR596" i="6" s="1"/>
  <c r="X598" i="6"/>
  <c r="AK598" i="6" s="1"/>
  <c r="N598" i="6"/>
  <c r="AS598" i="6" l="1"/>
  <c r="CG597" i="6"/>
  <c r="CU597" i="6"/>
  <c r="AT597" i="6"/>
  <c r="BN597" i="6"/>
  <c r="BR597" i="6" s="1"/>
  <c r="AB598" i="6"/>
  <c r="AF598" i="6" s="1"/>
  <c r="CK598" i="6"/>
  <c r="CA598" i="6"/>
  <c r="CO598" i="6"/>
  <c r="BW598" i="6"/>
  <c r="X599" i="6"/>
  <c r="AK599" i="6" s="1"/>
  <c r="N599" i="6"/>
  <c r="AS599" i="6" l="1"/>
  <c r="CU598" i="6"/>
  <c r="CG598" i="6"/>
  <c r="BN598" i="6"/>
  <c r="BR598" i="6" s="1"/>
  <c r="AT598" i="6"/>
  <c r="CK599" i="6"/>
  <c r="BW599" i="6"/>
  <c r="CO599" i="6"/>
  <c r="CA599" i="6"/>
  <c r="AB599" i="6"/>
  <c r="AF599" i="6" s="1"/>
  <c r="X600" i="6"/>
  <c r="AK600" i="6" s="1"/>
  <c r="N600" i="6"/>
  <c r="AS600" i="6" l="1"/>
  <c r="CG599" i="6"/>
  <c r="CU599" i="6"/>
  <c r="AT599" i="6"/>
  <c r="BN599" i="6"/>
  <c r="BR599" i="6" s="1"/>
  <c r="CK600" i="6"/>
  <c r="BW600" i="6"/>
  <c r="CA600" i="6"/>
  <c r="AB600" i="6"/>
  <c r="AF600" i="6" s="1"/>
  <c r="CO600" i="6"/>
  <c r="X601" i="6"/>
  <c r="AK601" i="6" s="1"/>
  <c r="N601" i="6"/>
  <c r="AS601" i="6" l="1"/>
  <c r="CG600" i="6"/>
  <c r="CU600" i="6"/>
  <c r="BN600" i="6"/>
  <c r="BR600" i="6" s="1"/>
  <c r="AT600" i="6"/>
  <c r="CA601" i="6"/>
  <c r="BW601" i="6"/>
  <c r="CK601" i="6"/>
  <c r="AB601" i="6"/>
  <c r="AF601" i="6" s="1"/>
  <c r="CO601" i="6"/>
  <c r="N602" i="6"/>
  <c r="X602" i="6"/>
  <c r="AK602" i="6" s="1"/>
  <c r="AS602" i="6" l="1"/>
  <c r="CU601" i="6"/>
  <c r="CG601" i="6"/>
  <c r="BN601" i="6"/>
  <c r="BR601" i="6" s="1"/>
  <c r="AT601" i="6"/>
  <c r="CA602" i="6"/>
  <c r="CO602" i="6"/>
  <c r="BW602" i="6"/>
  <c r="CK602" i="6"/>
  <c r="AB602" i="6"/>
  <c r="AF602" i="6" s="1"/>
  <c r="N603" i="6"/>
  <c r="X603" i="6"/>
  <c r="AK603" i="6" s="1"/>
  <c r="AS603" i="6" l="1"/>
  <c r="CU602" i="6"/>
  <c r="CG602" i="6"/>
  <c r="BN602" i="6"/>
  <c r="BR602" i="6" s="1"/>
  <c r="AT602" i="6"/>
  <c r="AB603" i="6"/>
  <c r="AF603" i="6" s="1"/>
  <c r="CA603" i="6"/>
  <c r="CO603" i="6"/>
  <c r="CK603" i="6"/>
  <c r="BW603" i="6"/>
  <c r="N604" i="6"/>
  <c r="X604" i="6"/>
  <c r="AK604" i="6" s="1"/>
  <c r="AS604" i="6" l="1"/>
  <c r="CU603" i="6"/>
  <c r="CG603" i="6"/>
  <c r="CO604" i="6"/>
  <c r="BW604" i="6"/>
  <c r="CK604" i="6"/>
  <c r="CA604" i="6"/>
  <c r="AB604" i="6"/>
  <c r="AF604" i="6" s="1"/>
  <c r="AT603" i="6"/>
  <c r="BN603" i="6"/>
  <c r="BR603" i="6" s="1"/>
  <c r="N605" i="6"/>
  <c r="X605" i="6"/>
  <c r="AK605" i="6" s="1"/>
  <c r="AS605" i="6" l="1"/>
  <c r="CU604" i="6"/>
  <c r="CG604" i="6"/>
  <c r="CA605" i="6"/>
  <c r="CK605" i="6"/>
  <c r="BW605" i="6"/>
  <c r="AB605" i="6"/>
  <c r="AF605" i="6" s="1"/>
  <c r="CO605" i="6"/>
  <c r="AT604" i="6"/>
  <c r="BN604" i="6"/>
  <c r="BR604" i="6" s="1"/>
  <c r="N606" i="6"/>
  <c r="X606" i="6"/>
  <c r="AK606" i="6" s="1"/>
  <c r="AS606" i="6" l="1"/>
  <c r="CG605" i="6"/>
  <c r="CU605" i="6"/>
  <c r="CK606" i="6"/>
  <c r="CU606" i="6" s="1"/>
  <c r="CO606" i="6"/>
  <c r="BW606" i="6"/>
  <c r="CG606" i="6" s="1"/>
  <c r="AB606" i="6"/>
  <c r="AF606" i="6" s="1"/>
  <c r="CA606" i="6"/>
  <c r="AT605" i="6"/>
  <c r="BN605" i="6"/>
  <c r="BR605" i="6" s="1"/>
  <c r="X607" i="6"/>
  <c r="AK607" i="6" s="1"/>
  <c r="N607" i="6"/>
  <c r="AS607" i="6" l="1"/>
  <c r="BW607" i="6"/>
  <c r="CG607" i="6" s="1"/>
  <c r="CA607" i="6"/>
  <c r="CO607" i="6"/>
  <c r="CK607" i="6"/>
  <c r="CU607" i="6" s="1"/>
  <c r="AB607" i="6"/>
  <c r="AF607" i="6" s="1"/>
  <c r="BN606" i="6"/>
  <c r="BR606" i="6" s="1"/>
  <c r="AT606" i="6"/>
  <c r="N608" i="6"/>
  <c r="X608" i="6"/>
  <c r="AK608" i="6" s="1"/>
  <c r="AS608" i="6" l="1"/>
  <c r="BW608" i="6"/>
  <c r="CG608" i="6" s="1"/>
  <c r="CO608" i="6"/>
  <c r="AB608" i="6"/>
  <c r="AF608" i="6" s="1"/>
  <c r="CA608" i="6"/>
  <c r="CK608" i="6"/>
  <c r="CU608" i="6" s="1"/>
  <c r="BN607" i="6"/>
  <c r="BR607" i="6" s="1"/>
  <c r="AT607" i="6"/>
  <c r="N609" i="6"/>
  <c r="X609" i="6"/>
  <c r="AK609" i="6" s="1"/>
  <c r="AS609" i="6" l="1"/>
  <c r="AT608" i="6"/>
  <c r="BN608" i="6"/>
  <c r="BR608" i="6" s="1"/>
  <c r="BW609" i="6"/>
  <c r="CG609" i="6" s="1"/>
  <c r="AB609" i="6"/>
  <c r="AF609" i="6" s="1"/>
  <c r="CK609" i="6"/>
  <c r="CU609" i="6" s="1"/>
  <c r="CO609" i="6"/>
  <c r="CA609" i="6"/>
  <c r="N610" i="6"/>
  <c r="X610" i="6"/>
  <c r="AK610" i="6" s="1"/>
  <c r="AS610" i="6" l="1"/>
  <c r="BN609" i="6"/>
  <c r="BR609" i="6" s="1"/>
  <c r="AT609" i="6"/>
  <c r="AB610" i="6"/>
  <c r="AF610" i="6" s="1"/>
  <c r="CK610" i="6"/>
  <c r="CU610" i="6" s="1"/>
  <c r="CA610" i="6"/>
  <c r="BW610" i="6"/>
  <c r="CG610" i="6" s="1"/>
  <c r="CO610" i="6"/>
  <c r="N215" i="6"/>
  <c r="X215" i="6"/>
  <c r="AK215" i="6" s="1"/>
  <c r="AS215" i="6" l="1"/>
  <c r="BW215" i="6"/>
  <c r="CG215" i="6" s="1"/>
  <c r="CK215" i="6"/>
  <c r="CU215" i="6" s="1"/>
  <c r="CO215" i="6"/>
  <c r="CA215" i="6"/>
  <c r="AB215" i="6"/>
  <c r="AF215" i="6" s="1"/>
  <c r="BN610" i="6"/>
  <c r="BR610" i="6" s="1"/>
  <c r="AT610" i="6"/>
  <c r="X74" i="6"/>
  <c r="AK74" i="6" s="1"/>
  <c r="N74" i="6"/>
  <c r="AS74" i="6" l="1"/>
  <c r="AT215" i="6"/>
  <c r="BN215" i="6"/>
  <c r="BR215" i="6" s="1"/>
  <c r="CO74" i="6"/>
  <c r="CK74" i="6"/>
  <c r="CU74" i="6" s="1"/>
  <c r="BW74" i="6"/>
  <c r="CG74" i="6" s="1"/>
  <c r="AB74" i="6"/>
  <c r="AF74" i="6" s="1"/>
  <c r="CA74" i="6"/>
  <c r="X57" i="6"/>
  <c r="AK57" i="6" s="1"/>
  <c r="N57" i="6"/>
  <c r="AS57" i="6" l="1"/>
  <c r="BN74" i="6"/>
  <c r="BR74" i="6" s="1"/>
  <c r="AT74" i="6"/>
  <c r="CO57" i="6"/>
  <c r="CA57" i="6"/>
  <c r="BW57" i="6"/>
  <c r="CG57" i="6" s="1"/>
  <c r="CK57" i="6"/>
  <c r="CU57" i="6" s="1"/>
  <c r="AB57" i="6"/>
  <c r="AF57" i="6" s="1"/>
  <c r="X59" i="6"/>
  <c r="AK59" i="6" s="1"/>
  <c r="N59" i="6"/>
  <c r="AS59" i="6" l="1"/>
  <c r="BN57" i="6"/>
  <c r="BR57" i="6" s="1"/>
  <c r="AT57" i="6"/>
  <c r="BW59" i="6"/>
  <c r="CG59" i="6" s="1"/>
  <c r="AB59" i="6"/>
  <c r="AF59" i="6" s="1"/>
  <c r="CK59" i="6"/>
  <c r="CU59" i="6" s="1"/>
  <c r="CA59" i="6"/>
  <c r="CO59" i="6"/>
  <c r="N75" i="6"/>
  <c r="X75" i="6"/>
  <c r="AK75" i="6" s="1"/>
  <c r="AS75" i="6" l="1"/>
  <c r="BN59" i="6"/>
  <c r="BR59" i="6" s="1"/>
  <c r="AT59" i="6"/>
  <c r="AB75" i="6"/>
  <c r="AF75" i="6" s="1"/>
  <c r="CK75" i="6"/>
  <c r="CU75" i="6" s="1"/>
  <c r="BW75" i="6"/>
  <c r="CG75" i="6" s="1"/>
  <c r="CA75" i="6"/>
  <c r="CO75" i="6"/>
  <c r="X80" i="6"/>
  <c r="AK80" i="6" s="1"/>
  <c r="N80" i="6"/>
  <c r="AS80" i="6" l="1"/>
  <c r="CO80" i="6"/>
  <c r="CA80" i="6"/>
  <c r="AB80" i="6"/>
  <c r="AF80" i="6" s="1"/>
  <c r="CK80" i="6"/>
  <c r="BW80" i="6"/>
  <c r="AT75" i="6"/>
  <c r="BN75" i="6"/>
  <c r="BR75" i="6" s="1"/>
  <c r="X611" i="6"/>
  <c r="AK611" i="6" s="1"/>
  <c r="CU80" i="6" l="1"/>
  <c r="CG80" i="6"/>
  <c r="AT80" i="6"/>
  <c r="BN80" i="6"/>
  <c r="BR80" i="6" s="1"/>
  <c r="N611" i="6"/>
  <c r="N612" i="6"/>
  <c r="X612" i="6"/>
  <c r="AK612" i="6" s="1"/>
  <c r="AS611" i="6" l="1"/>
  <c r="AS612" i="6"/>
  <c r="BW612" i="6"/>
  <c r="CK612" i="6"/>
  <c r="AB612" i="6"/>
  <c r="AF612" i="6" s="1"/>
  <c r="CO612" i="6"/>
  <c r="CA612" i="6"/>
  <c r="CK611" i="6"/>
  <c r="BW611" i="6"/>
  <c r="AB611" i="6"/>
  <c r="AF611" i="6" s="1"/>
  <c r="CO611" i="6"/>
  <c r="CA611" i="6"/>
  <c r="X703" i="6"/>
  <c r="AK703" i="6" s="1"/>
  <c r="N703" i="6"/>
  <c r="AS703" i="6" l="1"/>
  <c r="CU611" i="6"/>
  <c r="CU612" i="6"/>
  <c r="CG611" i="6"/>
  <c r="CG612" i="6"/>
  <c r="CO703" i="6"/>
  <c r="CA703" i="6"/>
  <c r="BW703" i="6"/>
  <c r="CG703" i="6" s="1"/>
  <c r="CK703" i="6"/>
  <c r="CU703" i="6" s="1"/>
  <c r="AB703" i="6"/>
  <c r="AF703" i="6" s="1"/>
  <c r="BN611" i="6"/>
  <c r="BR611" i="6" s="1"/>
  <c r="AT611" i="6"/>
  <c r="BN612" i="6"/>
  <c r="BR612" i="6" s="1"/>
  <c r="AT612" i="6"/>
  <c r="N704" i="6"/>
  <c r="X704" i="6"/>
  <c r="AK704" i="6" s="1"/>
  <c r="AS704" i="6" l="1"/>
  <c r="BW704" i="6"/>
  <c r="CG704" i="6" s="1"/>
  <c r="CK704" i="6"/>
  <c r="CU704" i="6" s="1"/>
  <c r="AB704" i="6"/>
  <c r="AF704" i="6" s="1"/>
  <c r="CO704" i="6"/>
  <c r="CA704" i="6"/>
  <c r="BN703" i="6"/>
  <c r="BR703" i="6" s="1"/>
  <c r="AT703" i="6"/>
  <c r="BN704" i="6" l="1"/>
  <c r="BR704" i="6" s="1"/>
  <c r="AT704" i="6"/>
  <c r="X702" i="6" l="1"/>
  <c r="AK702" i="6" s="1"/>
  <c r="N702" i="6"/>
  <c r="AS702" i="6" l="1"/>
  <c r="BW702" i="6"/>
  <c r="CG702" i="6" s="1"/>
  <c r="AB702" i="6"/>
  <c r="AF702" i="6" s="1"/>
  <c r="CO702" i="6"/>
  <c r="CK702" i="6"/>
  <c r="CU702" i="6" s="1"/>
  <c r="CA702" i="6"/>
  <c r="X705" i="6"/>
  <c r="AK705" i="6" s="1"/>
  <c r="N705" i="6"/>
  <c r="AS705" i="6" l="1"/>
  <c r="AB705" i="6"/>
  <c r="AF705" i="6" s="1"/>
  <c r="CA705" i="6"/>
  <c r="CK705" i="6"/>
  <c r="CU705" i="6" s="1"/>
  <c r="CO705" i="6"/>
  <c r="BW705" i="6"/>
  <c r="CG705" i="6" s="1"/>
  <c r="AT702" i="6"/>
  <c r="BN702" i="6"/>
  <c r="BR702" i="6" s="1"/>
  <c r="X613" i="6"/>
  <c r="AK613" i="6" s="1"/>
  <c r="N613" i="6"/>
  <c r="AS613" i="6" l="1"/>
  <c r="CA613" i="6"/>
  <c r="CO613" i="6"/>
  <c r="CK613" i="6"/>
  <c r="CU613" i="6" s="1"/>
  <c r="AB613" i="6"/>
  <c r="AF613" i="6" s="1"/>
  <c r="BW613" i="6"/>
  <c r="CG613" i="6" s="1"/>
  <c r="AT705" i="6"/>
  <c r="BN705" i="6"/>
  <c r="BR705" i="6" s="1"/>
  <c r="N614" i="6"/>
  <c r="X614" i="6"/>
  <c r="AK614" i="6" s="1"/>
  <c r="AS614" i="6" l="1"/>
  <c r="BN613" i="6"/>
  <c r="BR613" i="6" s="1"/>
  <c r="AT613" i="6"/>
  <c r="CA614" i="6"/>
  <c r="CO614" i="6"/>
  <c r="CK614" i="6"/>
  <c r="CU614" i="6" s="1"/>
  <c r="BW614" i="6"/>
  <c r="CG614" i="6" s="1"/>
  <c r="AB614" i="6"/>
  <c r="AF614" i="6" s="1"/>
  <c r="N92" i="6"/>
  <c r="X92" i="6"/>
  <c r="AK92" i="6" s="1"/>
  <c r="AS92" i="6" l="1"/>
  <c r="AT614" i="6"/>
  <c r="BN614" i="6"/>
  <c r="BR614" i="6" s="1"/>
  <c r="CA92" i="6"/>
  <c r="AB92" i="6"/>
  <c r="AF92" i="6" s="1"/>
  <c r="BW92" i="6"/>
  <c r="CK92" i="6"/>
  <c r="CO92" i="6"/>
  <c r="X91" i="6"/>
  <c r="AK91" i="6" s="1"/>
  <c r="N91" i="6"/>
  <c r="AS91" i="6" l="1"/>
  <c r="CG92" i="6"/>
  <c r="CU92" i="6"/>
  <c r="CA91" i="6"/>
  <c r="CK91" i="6"/>
  <c r="CO91" i="6"/>
  <c r="AB91" i="6"/>
  <c r="AF91" i="6" s="1"/>
  <c r="BW91" i="6"/>
  <c r="BN92" i="6"/>
  <c r="BR92" i="6" s="1"/>
  <c r="AT92" i="6"/>
  <c r="X615" i="6"/>
  <c r="AK615" i="6" s="1"/>
  <c r="N615" i="6"/>
  <c r="AS615" i="6" l="1"/>
  <c r="CG91" i="6"/>
  <c r="CK615" i="6"/>
  <c r="BW615" i="6"/>
  <c r="AB615" i="6"/>
  <c r="AF615" i="6" s="1"/>
  <c r="CO615" i="6"/>
  <c r="CA615" i="6"/>
  <c r="AT91" i="6"/>
  <c r="BN91" i="6"/>
  <c r="BR91" i="6" s="1"/>
  <c r="CU91" i="6"/>
  <c r="N126" i="6"/>
  <c r="X126" i="6"/>
  <c r="AK126" i="6" s="1"/>
  <c r="AS126" i="6" l="1"/>
  <c r="CG615" i="6"/>
  <c r="AB126" i="6"/>
  <c r="AF126" i="6" s="1"/>
  <c r="CK126" i="6"/>
  <c r="BW126" i="6"/>
  <c r="CO126" i="6"/>
  <c r="CA126" i="6"/>
  <c r="CU615" i="6"/>
  <c r="AT615" i="6"/>
  <c r="BN615" i="6"/>
  <c r="BR615" i="6" s="1"/>
  <c r="N113" i="6"/>
  <c r="X113" i="6"/>
  <c r="AK113" i="6" s="1"/>
  <c r="AS113" i="6" l="1"/>
  <c r="CG126" i="6"/>
  <c r="CU126" i="6"/>
  <c r="BW113" i="6"/>
  <c r="CO113" i="6"/>
  <c r="CA113" i="6"/>
  <c r="AB113" i="6"/>
  <c r="AF113" i="6" s="1"/>
  <c r="CK113" i="6"/>
  <c r="BN126" i="6"/>
  <c r="BR126" i="6" s="1"/>
  <c r="AT126" i="6"/>
  <c r="N616" i="6"/>
  <c r="X616" i="6"/>
  <c r="AK616" i="6" s="1"/>
  <c r="AS616" i="6" l="1"/>
  <c r="CU113" i="6"/>
  <c r="CG113" i="6"/>
  <c r="BN113" i="6"/>
  <c r="BR113" i="6" s="1"/>
  <c r="AT113" i="6"/>
  <c r="BW616" i="6"/>
  <c r="CK616" i="6"/>
  <c r="AB616" i="6"/>
  <c r="AF616" i="6" s="1"/>
  <c r="CA616" i="6"/>
  <c r="CO616" i="6"/>
  <c r="N617" i="6"/>
  <c r="X617" i="6"/>
  <c r="AK617" i="6" s="1"/>
  <c r="AS617" i="6" l="1"/>
  <c r="CU616" i="6"/>
  <c r="CG616" i="6"/>
  <c r="BW617" i="6"/>
  <c r="CA617" i="6"/>
  <c r="CO617" i="6"/>
  <c r="AB617" i="6"/>
  <c r="AF617" i="6" s="1"/>
  <c r="CK617" i="6"/>
  <c r="AT616" i="6"/>
  <c r="BN616" i="6"/>
  <c r="BR616" i="6" s="1"/>
  <c r="N618" i="6"/>
  <c r="X618" i="6"/>
  <c r="AK618" i="6" s="1"/>
  <c r="AS618" i="6" l="1"/>
  <c r="CU617" i="6"/>
  <c r="CG617" i="6"/>
  <c r="BN617" i="6"/>
  <c r="BR617" i="6" s="1"/>
  <c r="AT617" i="6"/>
  <c r="BW618" i="6"/>
  <c r="CO618" i="6"/>
  <c r="CA618" i="6"/>
  <c r="CK618" i="6"/>
  <c r="AB618" i="6"/>
  <c r="AF618" i="6" s="1"/>
  <c r="X49" i="6"/>
  <c r="AK49" i="6" s="1"/>
  <c r="N49" i="6"/>
  <c r="AS49" i="6" l="1"/>
  <c r="CG618" i="6"/>
  <c r="CU618" i="6"/>
  <c r="AT618" i="6"/>
  <c r="BN618" i="6"/>
  <c r="BR618" i="6" s="1"/>
  <c r="CA49" i="6"/>
  <c r="CK49" i="6"/>
  <c r="CU49" i="6" s="1"/>
  <c r="BW49" i="6"/>
  <c r="CG49" i="6" s="1"/>
  <c r="CO49" i="6"/>
  <c r="AB49" i="6"/>
  <c r="AF49" i="6" s="1"/>
  <c r="X619" i="6"/>
  <c r="AK619" i="6" s="1"/>
  <c r="N619" i="6"/>
  <c r="AS619" i="6" l="1"/>
  <c r="BN49" i="6"/>
  <c r="BR49" i="6" s="1"/>
  <c r="AT49" i="6"/>
  <c r="AB619" i="6"/>
  <c r="AF619" i="6" s="1"/>
  <c r="CA619" i="6"/>
  <c r="CK619" i="6"/>
  <c r="CU619" i="6" s="1"/>
  <c r="CO619" i="6"/>
  <c r="BW619" i="6"/>
  <c r="CG619" i="6" s="1"/>
  <c r="X174" i="6"/>
  <c r="AK174" i="6" s="1"/>
  <c r="N174" i="6"/>
  <c r="AS174" i="6" l="1"/>
  <c r="BW174" i="6"/>
  <c r="CA174" i="6"/>
  <c r="CO174" i="6"/>
  <c r="CK174" i="6"/>
  <c r="AB174" i="6"/>
  <c r="AF174" i="6" s="1"/>
  <c r="AT619" i="6"/>
  <c r="BN619" i="6"/>
  <c r="BR619" i="6" s="1"/>
  <c r="N218" i="6"/>
  <c r="X218" i="6"/>
  <c r="AK218" i="6" s="1"/>
  <c r="AS218" i="6" l="1"/>
  <c r="CU174" i="6"/>
  <c r="BW218" i="6"/>
  <c r="CO218" i="6"/>
  <c r="AB218" i="6"/>
  <c r="AF218" i="6" s="1"/>
  <c r="CA218" i="6"/>
  <c r="CK218" i="6"/>
  <c r="BN174" i="6"/>
  <c r="BR174" i="6" s="1"/>
  <c r="AT174" i="6"/>
  <c r="CG174" i="6"/>
  <c r="X216" i="6"/>
  <c r="AK216" i="6" s="1"/>
  <c r="N216" i="6"/>
  <c r="AS216" i="6" l="1"/>
  <c r="AT218" i="6"/>
  <c r="BN218" i="6"/>
  <c r="BR218" i="6" s="1"/>
  <c r="CO216" i="6"/>
  <c r="BW216" i="6"/>
  <c r="CK216" i="6"/>
  <c r="AB216" i="6"/>
  <c r="AF216" i="6" s="1"/>
  <c r="CA216" i="6"/>
  <c r="CU218" i="6"/>
  <c r="CG218" i="6"/>
  <c r="N143" i="6"/>
  <c r="X143" i="6"/>
  <c r="AK143" i="6" s="1"/>
  <c r="AS143" i="6" l="1"/>
  <c r="BW143" i="6"/>
  <c r="CO143" i="6"/>
  <c r="CA143" i="6"/>
  <c r="CK143" i="6"/>
  <c r="AB143" i="6"/>
  <c r="AF143" i="6" s="1"/>
  <c r="AT216" i="6"/>
  <c r="BN216" i="6"/>
  <c r="BR216" i="6" s="1"/>
  <c r="CU216" i="6"/>
  <c r="CG216" i="6"/>
  <c r="X67" i="6"/>
  <c r="AK67" i="6" s="1"/>
  <c r="N67" i="6"/>
  <c r="AS67" i="6" l="1"/>
  <c r="CU143" i="6"/>
  <c r="AT143" i="6"/>
  <c r="BN143" i="6"/>
  <c r="BR143" i="6" s="1"/>
  <c r="CA67" i="6"/>
  <c r="CO67" i="6"/>
  <c r="BW67" i="6"/>
  <c r="CK67" i="6"/>
  <c r="AB67" i="6"/>
  <c r="AF67" i="6" s="1"/>
  <c r="CG143" i="6"/>
  <c r="X23" i="6"/>
  <c r="AK23" i="6" s="1"/>
  <c r="N23" i="6"/>
  <c r="AS23" i="6" l="1"/>
  <c r="CU67" i="6"/>
  <c r="CG67" i="6"/>
  <c r="CO23" i="6"/>
  <c r="BW23" i="6"/>
  <c r="AB23" i="6"/>
  <c r="AF23" i="6" s="1"/>
  <c r="CA23" i="6"/>
  <c r="CK23" i="6"/>
  <c r="AT67" i="6"/>
  <c r="BN67" i="6"/>
  <c r="BR67" i="6" s="1"/>
  <c r="N19" i="6"/>
  <c r="X19" i="6"/>
  <c r="AK19" i="6" s="1"/>
  <c r="AS19" i="6" l="1"/>
  <c r="CU23" i="6"/>
  <c r="CA19" i="6"/>
  <c r="CO19" i="6"/>
  <c r="CK19" i="6"/>
  <c r="BW19" i="6"/>
  <c r="AB19" i="6"/>
  <c r="AF19" i="6" s="1"/>
  <c r="CG23" i="6"/>
  <c r="AT23" i="6"/>
  <c r="BN23" i="6"/>
  <c r="BR23" i="6" s="1"/>
  <c r="N31" i="6"/>
  <c r="X31" i="6"/>
  <c r="AK31" i="6" s="1"/>
  <c r="AS31" i="6" l="1"/>
  <c r="CG19" i="6"/>
  <c r="BW31" i="6"/>
  <c r="CK31" i="6"/>
  <c r="CA31" i="6"/>
  <c r="CO31" i="6"/>
  <c r="AB31" i="6"/>
  <c r="AF31" i="6" s="1"/>
  <c r="CU19" i="6"/>
  <c r="AT19" i="6"/>
  <c r="BN19" i="6"/>
  <c r="BR19" i="6" s="1"/>
  <c r="X13" i="6"/>
  <c r="AK13" i="6" s="1"/>
  <c r="N13" i="6"/>
  <c r="AS13" i="6" l="1"/>
  <c r="BN31" i="6"/>
  <c r="BR31" i="6" s="1"/>
  <c r="AT31" i="6"/>
  <c r="CU31" i="6"/>
  <c r="CG31" i="6"/>
  <c r="AB13" i="6"/>
  <c r="AF13" i="6" s="1"/>
  <c r="CK13" i="6"/>
  <c r="CU13" i="6" s="1"/>
  <c r="BW13" i="6"/>
  <c r="CG13" i="6" s="1"/>
  <c r="CA13" i="6"/>
  <c r="CO13" i="6"/>
  <c r="N109" i="6"/>
  <c r="X109" i="6"/>
  <c r="AK109" i="6" s="1"/>
  <c r="AS109" i="6" l="1"/>
  <c r="BN13" i="6"/>
  <c r="BR13" i="6" s="1"/>
  <c r="AT13" i="6"/>
  <c r="BW109" i="6"/>
  <c r="CG109" i="6" s="1"/>
  <c r="CO109" i="6"/>
  <c r="CK109" i="6"/>
  <c r="CU109" i="6" s="1"/>
  <c r="CA109" i="6"/>
  <c r="AB109" i="6"/>
  <c r="AF109" i="6" s="1"/>
  <c r="X102" i="6"/>
  <c r="AK102" i="6" s="1"/>
  <c r="BN109" i="6" l="1"/>
  <c r="BR109" i="6" s="1"/>
  <c r="AT109" i="6"/>
  <c r="X87" i="6"/>
  <c r="AK87" i="6" s="1"/>
  <c r="N87" i="6"/>
  <c r="N102" i="6"/>
  <c r="AS102" i="6" l="1"/>
  <c r="AS87" i="6"/>
  <c r="CA87" i="6"/>
  <c r="CK87" i="6"/>
  <c r="CU87" i="6" s="1"/>
  <c r="BW87" i="6"/>
  <c r="CG87" i="6" s="1"/>
  <c r="AB87" i="6"/>
  <c r="AF87" i="6" s="1"/>
  <c r="CO87" i="6"/>
  <c r="CA102" i="6"/>
  <c r="CO102" i="6"/>
  <c r="BW102" i="6"/>
  <c r="CG102" i="6" s="1"/>
  <c r="CK102" i="6"/>
  <c r="CU102" i="6" s="1"/>
  <c r="AB102" i="6"/>
  <c r="AF102" i="6" s="1"/>
  <c r="N56" i="6"/>
  <c r="X56" i="6"/>
  <c r="AK56" i="6" s="1"/>
  <c r="AS56" i="6" l="1"/>
  <c r="BN102" i="6"/>
  <c r="BR102" i="6" s="1"/>
  <c r="AT102" i="6"/>
  <c r="AB56" i="6"/>
  <c r="AF56" i="6" s="1"/>
  <c r="CK56" i="6"/>
  <c r="CU56" i="6" s="1"/>
  <c r="BW56" i="6"/>
  <c r="CG56" i="6" s="1"/>
  <c r="CA56" i="6"/>
  <c r="CO56" i="6"/>
  <c r="AT87" i="6"/>
  <c r="BN87" i="6"/>
  <c r="BR87" i="6" s="1"/>
  <c r="N222" i="6"/>
  <c r="X222" i="6"/>
  <c r="AK222" i="6" s="1"/>
  <c r="AS222" i="6" l="1"/>
  <c r="CK222" i="6"/>
  <c r="CU222" i="6" s="1"/>
  <c r="AB222" i="6"/>
  <c r="AF222" i="6" s="1"/>
  <c r="CO222" i="6"/>
  <c r="CA222" i="6"/>
  <c r="BW222" i="6"/>
  <c r="CG222" i="6" s="1"/>
  <c r="AT56" i="6"/>
  <c r="BN56" i="6"/>
  <c r="BR56" i="6" s="1"/>
  <c r="N76" i="6"/>
  <c r="X76" i="6"/>
  <c r="AK76" i="6" s="1"/>
  <c r="AS76" i="6" l="1"/>
  <c r="AT222" i="6"/>
  <c r="BN222" i="6"/>
  <c r="BR222" i="6" s="1"/>
  <c r="CA76" i="6"/>
  <c r="BW76" i="6"/>
  <c r="CG76" i="6" s="1"/>
  <c r="CK76" i="6"/>
  <c r="CU76" i="6" s="1"/>
  <c r="AB76" i="6"/>
  <c r="AF76" i="6" s="1"/>
  <c r="CO76" i="6"/>
  <c r="N64" i="6"/>
  <c r="X64" i="6"/>
  <c r="AK64" i="6" s="1"/>
  <c r="AS64" i="6" l="1"/>
  <c r="BN76" i="6"/>
  <c r="BR76" i="6" s="1"/>
  <c r="AT76" i="6"/>
  <c r="BW64" i="6"/>
  <c r="CG64" i="6" s="1"/>
  <c r="CK64" i="6"/>
  <c r="CU64" i="6" s="1"/>
  <c r="CA64" i="6"/>
  <c r="CO64" i="6"/>
  <c r="AB64" i="6"/>
  <c r="AF64" i="6" s="1"/>
  <c r="N62" i="6"/>
  <c r="X62" i="6"/>
  <c r="AK62" i="6" s="1"/>
  <c r="AS62" i="6" l="1"/>
  <c r="CO62" i="6"/>
  <c r="CK62" i="6"/>
  <c r="CU62" i="6" s="1"/>
  <c r="BW62" i="6"/>
  <c r="CG62" i="6" s="1"/>
  <c r="AB62" i="6"/>
  <c r="AF62" i="6" s="1"/>
  <c r="CA62" i="6"/>
  <c r="BN64" i="6"/>
  <c r="BR64" i="6" s="1"/>
  <c r="AT64" i="6"/>
  <c r="N41" i="6"/>
  <c r="X41" i="6"/>
  <c r="AK41" i="6" s="1"/>
  <c r="AS41" i="6" l="1"/>
  <c r="BW41" i="6"/>
  <c r="CG41" i="6" s="1"/>
  <c r="CK41" i="6"/>
  <c r="CU41" i="6" s="1"/>
  <c r="CA41" i="6"/>
  <c r="AB41" i="6"/>
  <c r="AF41" i="6" s="1"/>
  <c r="CO41" i="6"/>
  <c r="AT62" i="6"/>
  <c r="BN62" i="6"/>
  <c r="BR62" i="6" s="1"/>
  <c r="X423" i="6"/>
  <c r="AK423" i="6" s="1"/>
  <c r="N423" i="6"/>
  <c r="AS423" i="6" l="1"/>
  <c r="CK423" i="6"/>
  <c r="AB423" i="6"/>
  <c r="AF423" i="6" s="1"/>
  <c r="CO423" i="6"/>
  <c r="BW423" i="6"/>
  <c r="CA423" i="6"/>
  <c r="BN41" i="6"/>
  <c r="BR41" i="6" s="1"/>
  <c r="AT41" i="6"/>
  <c r="X272" i="6"/>
  <c r="AK272" i="6" s="1"/>
  <c r="N272" i="6"/>
  <c r="AS272" i="6" l="1"/>
  <c r="CG423" i="6"/>
  <c r="CU423" i="6"/>
  <c r="BW272" i="6"/>
  <c r="CA272" i="6"/>
  <c r="CK272" i="6"/>
  <c r="AB272" i="6"/>
  <c r="AF272" i="6" s="1"/>
  <c r="CO272" i="6"/>
  <c r="BN423" i="6"/>
  <c r="BR423" i="6" s="1"/>
  <c r="AT423" i="6"/>
  <c r="X424" i="6"/>
  <c r="AK424" i="6" s="1"/>
  <c r="N424" i="6"/>
  <c r="AS424" i="6" l="1"/>
  <c r="CU272" i="6"/>
  <c r="CG272" i="6"/>
  <c r="AT272" i="6"/>
  <c r="BN272" i="6"/>
  <c r="BR272" i="6" s="1"/>
  <c r="BW424" i="6"/>
  <c r="CO424" i="6"/>
  <c r="CK424" i="6"/>
  <c r="CA424" i="6"/>
  <c r="AB424" i="6"/>
  <c r="AF424" i="6" s="1"/>
  <c r="X689" i="6"/>
  <c r="AK689" i="6" s="1"/>
  <c r="N689" i="6"/>
  <c r="AS689" i="6" l="1"/>
  <c r="CU424" i="6"/>
  <c r="CG424" i="6"/>
  <c r="BW689" i="6"/>
  <c r="CG689" i="6" s="1"/>
  <c r="CK689" i="6"/>
  <c r="CU689" i="6" s="1"/>
  <c r="CA689" i="6"/>
  <c r="AB689" i="6"/>
  <c r="AF689" i="6" s="1"/>
  <c r="CO689" i="6"/>
  <c r="AT424" i="6"/>
  <c r="BN424" i="6"/>
  <c r="BR424" i="6" s="1"/>
  <c r="N425" i="6"/>
  <c r="X425" i="6"/>
  <c r="AK425" i="6" s="1"/>
  <c r="AS425" i="6" l="1"/>
  <c r="CK425" i="6"/>
  <c r="CU425" i="6" s="1"/>
  <c r="CA425" i="6"/>
  <c r="BW425" i="6"/>
  <c r="CG425" i="6" s="1"/>
  <c r="AB425" i="6"/>
  <c r="AF425" i="6" s="1"/>
  <c r="CO425" i="6"/>
  <c r="AT689" i="6"/>
  <c r="BN689" i="6"/>
  <c r="BR689" i="6" s="1"/>
  <c r="BN425" i="6" l="1"/>
  <c r="BR425" i="6" s="1"/>
  <c r="AT425" i="6"/>
  <c r="X426" i="6" l="1"/>
  <c r="AK426" i="6" s="1"/>
  <c r="N426" i="6"/>
  <c r="AS426" i="6" l="1"/>
  <c r="CK426" i="6"/>
  <c r="CU426" i="6" s="1"/>
  <c r="CA426" i="6"/>
  <c r="CO426" i="6"/>
  <c r="BW426" i="6"/>
  <c r="CG426" i="6" s="1"/>
  <c r="AB426" i="6"/>
  <c r="AF426" i="6" s="1"/>
  <c r="N427" i="6"/>
  <c r="X427" i="6"/>
  <c r="AK427" i="6" s="1"/>
  <c r="AS427" i="6" l="1"/>
  <c r="CK427" i="6"/>
  <c r="CU427" i="6" s="1"/>
  <c r="CO427" i="6"/>
  <c r="CA427" i="6"/>
  <c r="BW427" i="6"/>
  <c r="CG427" i="6" s="1"/>
  <c r="AB427" i="6"/>
  <c r="AF427" i="6" s="1"/>
  <c r="AT426" i="6"/>
  <c r="BN426" i="6"/>
  <c r="BR426" i="6" s="1"/>
  <c r="N428" i="6"/>
  <c r="X428" i="6"/>
  <c r="AK428" i="6" s="1"/>
  <c r="AS428" i="6" l="1"/>
  <c r="CK428" i="6"/>
  <c r="CU428" i="6" s="1"/>
  <c r="BW428" i="6"/>
  <c r="CG428" i="6" s="1"/>
  <c r="AB428" i="6"/>
  <c r="AF428" i="6" s="1"/>
  <c r="CA428" i="6"/>
  <c r="CO428" i="6"/>
  <c r="AT427" i="6"/>
  <c r="BN427" i="6"/>
  <c r="BR427" i="6" s="1"/>
  <c r="X429" i="6"/>
  <c r="AK429" i="6" s="1"/>
  <c r="N429" i="6"/>
  <c r="AS429" i="6" l="1"/>
  <c r="CA429" i="6"/>
  <c r="CO429" i="6"/>
  <c r="BW429" i="6"/>
  <c r="CG429" i="6" s="1"/>
  <c r="AB429" i="6"/>
  <c r="AF429" i="6" s="1"/>
  <c r="CK429" i="6"/>
  <c r="CU429" i="6" s="1"/>
  <c r="BN428" i="6"/>
  <c r="BR428" i="6" s="1"/>
  <c r="AT428" i="6"/>
  <c r="X263" i="6"/>
  <c r="AK263" i="6" s="1"/>
  <c r="N263" i="6"/>
  <c r="AS263" i="6" l="1"/>
  <c r="BN429" i="6"/>
  <c r="BR429" i="6" s="1"/>
  <c r="AT429" i="6"/>
  <c r="CA263" i="6"/>
  <c r="AB263" i="6"/>
  <c r="AF263" i="6" s="1"/>
  <c r="BW263" i="6"/>
  <c r="CO263" i="6"/>
  <c r="CK263" i="6"/>
  <c r="N247" i="6"/>
  <c r="X247" i="6"/>
  <c r="AK247" i="6" s="1"/>
  <c r="AS247" i="6" l="1"/>
  <c r="CU263" i="6"/>
  <c r="CG263" i="6"/>
  <c r="BN263" i="6"/>
  <c r="BR263" i="6" s="1"/>
  <c r="AT263" i="6"/>
  <c r="CA247" i="6"/>
  <c r="CK247" i="6"/>
  <c r="AB247" i="6"/>
  <c r="AF247" i="6" s="1"/>
  <c r="BW247" i="6"/>
  <c r="CO247" i="6"/>
  <c r="N125" i="6"/>
  <c r="X125" i="6"/>
  <c r="AK125" i="6" s="1"/>
  <c r="AS125" i="6" l="1"/>
  <c r="CA125" i="6"/>
  <c r="AB125" i="6"/>
  <c r="AF125" i="6" s="1"/>
  <c r="CO125" i="6"/>
  <c r="BW125" i="6"/>
  <c r="CK125" i="6"/>
  <c r="CG247" i="6"/>
  <c r="AT247" i="6"/>
  <c r="BN247" i="6"/>
  <c r="BR247" i="6" s="1"/>
  <c r="CU247" i="6"/>
  <c r="N230" i="6"/>
  <c r="X230" i="6"/>
  <c r="AK230" i="6" s="1"/>
  <c r="AS230" i="6" l="1"/>
  <c r="CG125" i="6"/>
  <c r="CU125" i="6"/>
  <c r="AT125" i="6"/>
  <c r="BN125" i="6"/>
  <c r="BR125" i="6" s="1"/>
  <c r="BW230" i="6"/>
  <c r="AB230" i="6"/>
  <c r="AF230" i="6" s="1"/>
  <c r="CO230" i="6"/>
  <c r="CA230" i="6"/>
  <c r="CK230" i="6"/>
  <c r="X149" i="6"/>
  <c r="AK149" i="6" s="1"/>
  <c r="N149" i="6"/>
  <c r="AS149" i="6" l="1"/>
  <c r="CK149" i="6"/>
  <c r="CU149" i="6" s="1"/>
  <c r="AB149" i="6"/>
  <c r="AF149" i="6" s="1"/>
  <c r="CA149" i="6"/>
  <c r="BW149" i="6"/>
  <c r="CG149" i="6" s="1"/>
  <c r="CO149" i="6"/>
  <c r="CU230" i="6"/>
  <c r="CG230" i="6"/>
  <c r="BN230" i="6"/>
  <c r="BR230" i="6" s="1"/>
  <c r="AT230" i="6"/>
  <c r="N238" i="6"/>
  <c r="X238" i="6"/>
  <c r="AK238" i="6" s="1"/>
  <c r="AS238" i="6" l="1"/>
  <c r="BW238" i="6"/>
  <c r="CG238" i="6" s="1"/>
  <c r="CA238" i="6"/>
  <c r="AB238" i="6"/>
  <c r="AF238" i="6" s="1"/>
  <c r="CO238" i="6"/>
  <c r="CK238" i="6"/>
  <c r="CU238" i="6" s="1"/>
  <c r="BN149" i="6"/>
  <c r="BR149" i="6" s="1"/>
  <c r="AT149" i="6"/>
  <c r="X430" i="6"/>
  <c r="AK430" i="6" s="1"/>
  <c r="N430" i="6"/>
  <c r="AS430" i="6" l="1"/>
  <c r="AB430" i="6"/>
  <c r="AF430" i="6" s="1"/>
  <c r="BW430" i="6"/>
  <c r="CK430" i="6"/>
  <c r="CA430" i="6"/>
  <c r="CO430" i="6"/>
  <c r="BN238" i="6"/>
  <c r="BR238" i="6" s="1"/>
  <c r="AT238" i="6"/>
  <c r="N431" i="6"/>
  <c r="X431" i="6"/>
  <c r="AK431" i="6" s="1"/>
  <c r="AS431" i="6" l="1"/>
  <c r="CU430" i="6"/>
  <c r="CG430" i="6"/>
  <c r="CA431" i="6"/>
  <c r="CO431" i="6"/>
  <c r="BW431" i="6"/>
  <c r="CK431" i="6"/>
  <c r="AB431" i="6"/>
  <c r="AF431" i="6" s="1"/>
  <c r="BN430" i="6"/>
  <c r="BR430" i="6" s="1"/>
  <c r="AT430" i="6"/>
  <c r="X432" i="6"/>
  <c r="AK432" i="6" s="1"/>
  <c r="N432" i="6"/>
  <c r="AS432" i="6" l="1"/>
  <c r="CU431" i="6"/>
  <c r="CG431" i="6"/>
  <c r="BW432" i="6"/>
  <c r="AB432" i="6"/>
  <c r="AF432" i="6" s="1"/>
  <c r="CK432" i="6"/>
  <c r="CA432" i="6"/>
  <c r="CO432" i="6"/>
  <c r="BN431" i="6"/>
  <c r="BR431" i="6" s="1"/>
  <c r="AT431" i="6"/>
  <c r="N433" i="6"/>
  <c r="X433" i="6"/>
  <c r="AK433" i="6" s="1"/>
  <c r="AS433" i="6" l="1"/>
  <c r="CU432" i="6"/>
  <c r="CG432" i="6"/>
  <c r="BN432" i="6"/>
  <c r="BR432" i="6" s="1"/>
  <c r="AT432" i="6"/>
  <c r="CA433" i="6"/>
  <c r="CK433" i="6"/>
  <c r="CU433" i="6" s="1"/>
  <c r="BW433" i="6"/>
  <c r="CG433" i="6" s="1"/>
  <c r="CO433" i="6"/>
  <c r="AB433" i="6"/>
  <c r="AF433" i="6" s="1"/>
  <c r="N434" i="6"/>
  <c r="X434" i="6"/>
  <c r="AK434" i="6" s="1"/>
  <c r="AS434" i="6" l="1"/>
  <c r="BW434" i="6"/>
  <c r="CO434" i="6"/>
  <c r="CA434" i="6"/>
  <c r="CK434" i="6"/>
  <c r="AB434" i="6"/>
  <c r="AF434" i="6" s="1"/>
  <c r="AT433" i="6"/>
  <c r="BN433" i="6"/>
  <c r="BR433" i="6" s="1"/>
  <c r="N435" i="6"/>
  <c r="X435" i="6"/>
  <c r="AK435" i="6" s="1"/>
  <c r="AS435" i="6" l="1"/>
  <c r="CU434" i="6"/>
  <c r="AT434" i="6"/>
  <c r="BN434" i="6"/>
  <c r="BR434" i="6" s="1"/>
  <c r="AB435" i="6"/>
  <c r="AF435" i="6" s="1"/>
  <c r="CO435" i="6"/>
  <c r="BW435" i="6"/>
  <c r="CK435" i="6"/>
  <c r="CA435" i="6"/>
  <c r="CG434" i="6"/>
  <c r="N141" i="6"/>
  <c r="X141" i="6"/>
  <c r="AK141" i="6" s="1"/>
  <c r="AS141" i="6" l="1"/>
  <c r="BW141" i="6"/>
  <c r="AB141" i="6"/>
  <c r="AF141" i="6" s="1"/>
  <c r="CK141" i="6"/>
  <c r="CA141" i="6"/>
  <c r="CO141" i="6"/>
  <c r="CU435" i="6"/>
  <c r="CG435" i="6"/>
  <c r="BN435" i="6"/>
  <c r="BR435" i="6" s="1"/>
  <c r="AT435" i="6"/>
  <c r="N436" i="6"/>
  <c r="X436" i="6"/>
  <c r="AK436" i="6" s="1"/>
  <c r="AS436" i="6" l="1"/>
  <c r="CU141" i="6"/>
  <c r="CO436" i="6"/>
  <c r="CA436" i="6"/>
  <c r="BW436" i="6"/>
  <c r="CG436" i="6" s="1"/>
  <c r="CK436" i="6"/>
  <c r="CU436" i="6" s="1"/>
  <c r="AB436" i="6"/>
  <c r="AF436" i="6" s="1"/>
  <c r="BN141" i="6"/>
  <c r="BR141" i="6" s="1"/>
  <c r="AT141" i="6"/>
  <c r="CG141" i="6"/>
  <c r="X437" i="6"/>
  <c r="AK437" i="6" s="1"/>
  <c r="N437" i="6"/>
  <c r="AS437" i="6" l="1"/>
  <c r="BN436" i="6"/>
  <c r="BR436" i="6" s="1"/>
  <c r="AT436" i="6"/>
  <c r="CO437" i="6"/>
  <c r="AB437" i="6"/>
  <c r="AF437" i="6" s="1"/>
  <c r="CA437" i="6"/>
  <c r="CK437" i="6"/>
  <c r="CU437" i="6" s="1"/>
  <c r="BW437" i="6"/>
  <c r="CG437" i="6" s="1"/>
  <c r="X438" i="6"/>
  <c r="AK438" i="6" s="1"/>
  <c r="N438" i="6"/>
  <c r="AS438" i="6" l="1"/>
  <c r="BW438" i="6"/>
  <c r="CG438" i="6" s="1"/>
  <c r="CA438" i="6"/>
  <c r="AB438" i="6"/>
  <c r="AF438" i="6" s="1"/>
  <c r="CK438" i="6"/>
  <c r="CU438" i="6" s="1"/>
  <c r="CO438" i="6"/>
  <c r="BN437" i="6"/>
  <c r="BR437" i="6" s="1"/>
  <c r="AT437" i="6"/>
  <c r="N439" i="6"/>
  <c r="X439" i="6"/>
  <c r="AK439" i="6" s="1"/>
  <c r="AS439" i="6" l="1"/>
  <c r="CK439" i="6"/>
  <c r="BW439" i="6"/>
  <c r="CA439" i="6"/>
  <c r="AB439" i="6"/>
  <c r="AF439" i="6" s="1"/>
  <c r="CO439" i="6"/>
  <c r="BN438" i="6"/>
  <c r="BR438" i="6" s="1"/>
  <c r="AT438" i="6"/>
  <c r="N203" i="6"/>
  <c r="X203" i="6"/>
  <c r="AK203" i="6" s="1"/>
  <c r="AS203" i="6" l="1"/>
  <c r="AT439" i="6"/>
  <c r="BN439" i="6"/>
  <c r="BR439" i="6" s="1"/>
  <c r="CO203" i="6"/>
  <c r="CA203" i="6"/>
  <c r="BW203" i="6"/>
  <c r="CK203" i="6"/>
  <c r="AB203" i="6"/>
  <c r="AF203" i="6" s="1"/>
  <c r="CG439" i="6"/>
  <c r="CU439" i="6"/>
  <c r="N178" i="6"/>
  <c r="X178" i="6"/>
  <c r="AK178" i="6" s="1"/>
  <c r="AS178" i="6" l="1"/>
  <c r="CU203" i="6"/>
  <c r="BN203" i="6"/>
  <c r="BR203" i="6" s="1"/>
  <c r="AT203" i="6"/>
  <c r="CA178" i="6"/>
  <c r="BW178" i="6"/>
  <c r="AB178" i="6"/>
  <c r="AF178" i="6" s="1"/>
  <c r="CK178" i="6"/>
  <c r="CO178" i="6"/>
  <c r="CG203" i="6"/>
  <c r="N440" i="6"/>
  <c r="X440" i="6"/>
  <c r="AK440" i="6" s="1"/>
  <c r="AS440" i="6" l="1"/>
  <c r="CU178" i="6"/>
  <c r="BN178" i="6"/>
  <c r="BR178" i="6" s="1"/>
  <c r="AT178" i="6"/>
  <c r="CO440" i="6"/>
  <c r="CA440" i="6"/>
  <c r="AB440" i="6"/>
  <c r="AF440" i="6" s="1"/>
  <c r="CK440" i="6"/>
  <c r="CU440" i="6" s="1"/>
  <c r="BW440" i="6"/>
  <c r="CG440" i="6" s="1"/>
  <c r="CG178" i="6"/>
  <c r="N441" i="6"/>
  <c r="X441" i="6"/>
  <c r="AK441" i="6" s="1"/>
  <c r="AS441" i="6" l="1"/>
  <c r="BW441" i="6"/>
  <c r="CG441" i="6" s="1"/>
  <c r="CK441" i="6"/>
  <c r="CU441" i="6" s="1"/>
  <c r="AB441" i="6"/>
  <c r="AF441" i="6" s="1"/>
  <c r="CO441" i="6"/>
  <c r="CA441" i="6"/>
  <c r="BN440" i="6"/>
  <c r="BR440" i="6" s="1"/>
  <c r="AT440" i="6"/>
  <c r="N442" i="6"/>
  <c r="X442" i="6"/>
  <c r="AK442" i="6" s="1"/>
  <c r="AS442" i="6" l="1"/>
  <c r="CK442" i="6"/>
  <c r="CU442" i="6" s="1"/>
  <c r="BW442" i="6"/>
  <c r="CG442" i="6" s="1"/>
  <c r="CA442" i="6"/>
  <c r="CO442" i="6"/>
  <c r="AB442" i="6"/>
  <c r="AF442" i="6" s="1"/>
  <c r="AT441" i="6"/>
  <c r="BN441" i="6"/>
  <c r="BR441" i="6" s="1"/>
  <c r="X443" i="6"/>
  <c r="AK443" i="6" s="1"/>
  <c r="N443" i="6"/>
  <c r="AS443" i="6" l="1"/>
  <c r="CO443" i="6"/>
  <c r="BW443" i="6"/>
  <c r="CG443" i="6" s="1"/>
  <c r="CK443" i="6"/>
  <c r="CU443" i="6" s="1"/>
  <c r="AB443" i="6"/>
  <c r="AF443" i="6" s="1"/>
  <c r="CA443" i="6"/>
  <c r="BN442" i="6"/>
  <c r="BR442" i="6" s="1"/>
  <c r="AT442" i="6"/>
  <c r="N444" i="6"/>
  <c r="X444" i="6"/>
  <c r="AK444" i="6" s="1"/>
  <c r="AS444" i="6" l="1"/>
  <c r="BN443" i="6"/>
  <c r="BR443" i="6" s="1"/>
  <c r="AT443" i="6"/>
  <c r="CO444" i="6"/>
  <c r="CA444" i="6"/>
  <c r="BW444" i="6"/>
  <c r="CG444" i="6" s="1"/>
  <c r="CK444" i="6"/>
  <c r="CU444" i="6" s="1"/>
  <c r="AB444" i="6"/>
  <c r="AF444" i="6" s="1"/>
  <c r="N445" i="6"/>
  <c r="X445" i="6"/>
  <c r="AK445" i="6" s="1"/>
  <c r="AS445" i="6" l="1"/>
  <c r="AT444" i="6"/>
  <c r="BN444" i="6"/>
  <c r="BR444" i="6" s="1"/>
  <c r="AB445" i="6"/>
  <c r="AF445" i="6" s="1"/>
  <c r="CA445" i="6"/>
  <c r="CK445" i="6"/>
  <c r="CU445" i="6" s="1"/>
  <c r="CO445" i="6"/>
  <c r="BW445" i="6"/>
  <c r="CG445" i="6" s="1"/>
  <c r="X273" i="6"/>
  <c r="AK273" i="6" s="1"/>
  <c r="N273" i="6"/>
  <c r="AS273" i="6" l="1"/>
  <c r="CO273" i="6"/>
  <c r="BW273" i="6"/>
  <c r="CG273" i="6" s="1"/>
  <c r="CK273" i="6"/>
  <c r="CU273" i="6" s="1"/>
  <c r="AB273" i="6"/>
  <c r="AF273" i="6" s="1"/>
  <c r="CA273" i="6"/>
  <c r="AT445" i="6"/>
  <c r="BN445" i="6"/>
  <c r="BR445" i="6" s="1"/>
  <c r="X274" i="6"/>
  <c r="AK274" i="6" s="1"/>
  <c r="N274" i="6"/>
  <c r="AS274" i="6" l="1"/>
  <c r="BN273" i="6"/>
  <c r="BR273" i="6" s="1"/>
  <c r="AT273" i="6"/>
  <c r="CK274" i="6"/>
  <c r="CU274" i="6" s="1"/>
  <c r="CO274" i="6"/>
  <c r="CA274" i="6"/>
  <c r="BW274" i="6"/>
  <c r="CG274" i="6" s="1"/>
  <c r="AB274" i="6"/>
  <c r="AF274" i="6" s="1"/>
  <c r="N446" i="6"/>
  <c r="X446" i="6"/>
  <c r="AK446" i="6" s="1"/>
  <c r="AS446" i="6" l="1"/>
  <c r="AT274" i="6"/>
  <c r="BN274" i="6"/>
  <c r="BR274" i="6" s="1"/>
  <c r="BW446" i="6"/>
  <c r="CG446" i="6" s="1"/>
  <c r="AB446" i="6"/>
  <c r="AF446" i="6" s="1"/>
  <c r="CA446" i="6"/>
  <c r="CK446" i="6"/>
  <c r="CU446" i="6" s="1"/>
  <c r="CO446" i="6"/>
  <c r="X447" i="6"/>
  <c r="AK447" i="6" s="1"/>
  <c r="N447" i="6"/>
  <c r="AS447" i="6" l="1"/>
  <c r="BN446" i="6"/>
  <c r="BR446" i="6" s="1"/>
  <c r="AT446" i="6"/>
  <c r="CA447" i="6"/>
  <c r="CK447" i="6"/>
  <c r="CU447" i="6" s="1"/>
  <c r="AB447" i="6"/>
  <c r="AF447" i="6" s="1"/>
  <c r="CO447" i="6"/>
  <c r="BW447" i="6"/>
  <c r="CG447" i="6" s="1"/>
  <c r="N448" i="6"/>
  <c r="X448" i="6"/>
  <c r="AK448" i="6" s="1"/>
  <c r="AS448" i="6" l="1"/>
  <c r="CK448" i="6"/>
  <c r="CU448" i="6" s="1"/>
  <c r="AB448" i="6"/>
  <c r="AF448" i="6" s="1"/>
  <c r="CO448" i="6"/>
  <c r="CA448" i="6"/>
  <c r="BW448" i="6"/>
  <c r="CG448" i="6" s="1"/>
  <c r="BN447" i="6"/>
  <c r="BR447" i="6" s="1"/>
  <c r="AT447" i="6"/>
  <c r="N449" i="6"/>
  <c r="X449" i="6"/>
  <c r="AK449" i="6" s="1"/>
  <c r="AS449" i="6" l="1"/>
  <c r="CA449" i="6"/>
  <c r="BW449" i="6"/>
  <c r="CG449" i="6" s="1"/>
  <c r="AB449" i="6"/>
  <c r="AF449" i="6" s="1"/>
  <c r="CK449" i="6"/>
  <c r="CU449" i="6" s="1"/>
  <c r="CO449" i="6"/>
  <c r="BN448" i="6"/>
  <c r="BR448" i="6" s="1"/>
  <c r="AT448" i="6"/>
  <c r="N450" i="6"/>
  <c r="X450" i="6"/>
  <c r="AK450" i="6" s="1"/>
  <c r="AS450" i="6" l="1"/>
  <c r="AB450" i="6"/>
  <c r="AF450" i="6" s="1"/>
  <c r="CA450" i="6"/>
  <c r="CO450" i="6"/>
  <c r="BW450" i="6"/>
  <c r="CG450" i="6" s="1"/>
  <c r="CK450" i="6"/>
  <c r="CU450" i="6" s="1"/>
  <c r="BN449" i="6"/>
  <c r="BR449" i="6" s="1"/>
  <c r="AT449" i="6"/>
  <c r="X150" i="6"/>
  <c r="AK150" i="6" s="1"/>
  <c r="N150" i="6"/>
  <c r="AS150" i="6" l="1"/>
  <c r="CK150" i="6"/>
  <c r="CU150" i="6" s="1"/>
  <c r="CO150" i="6"/>
  <c r="AB150" i="6"/>
  <c r="AF150" i="6" s="1"/>
  <c r="CA150" i="6"/>
  <c r="BW150" i="6"/>
  <c r="CG150" i="6" s="1"/>
  <c r="AT450" i="6"/>
  <c r="BN450" i="6"/>
  <c r="BR450" i="6" s="1"/>
  <c r="N451" i="6"/>
  <c r="X451" i="6"/>
  <c r="AK451" i="6" s="1"/>
  <c r="AS451" i="6" l="1"/>
  <c r="CO451" i="6"/>
  <c r="CA451" i="6"/>
  <c r="AB451" i="6"/>
  <c r="AF451" i="6" s="1"/>
  <c r="CK451" i="6"/>
  <c r="CU451" i="6" s="1"/>
  <c r="BW451" i="6"/>
  <c r="CG451" i="6" s="1"/>
  <c r="AT150" i="6"/>
  <c r="BN150" i="6"/>
  <c r="BR150" i="6" s="1"/>
  <c r="N264" i="6"/>
  <c r="X264" i="6"/>
  <c r="AK264" i="6" s="1"/>
  <c r="AS264" i="6" l="1"/>
  <c r="CO264" i="6"/>
  <c r="AB264" i="6"/>
  <c r="AF264" i="6" s="1"/>
  <c r="CK264" i="6"/>
  <c r="CU264" i="6" s="1"/>
  <c r="BW264" i="6"/>
  <c r="CG264" i="6" s="1"/>
  <c r="CA264" i="6"/>
  <c r="AT451" i="6"/>
  <c r="BN451" i="6"/>
  <c r="BR451" i="6" s="1"/>
  <c r="X265" i="6"/>
  <c r="AK265" i="6" s="1"/>
  <c r="N265" i="6"/>
  <c r="AS265" i="6" l="1"/>
  <c r="BW265" i="6"/>
  <c r="CG265" i="6" s="1"/>
  <c r="CK265" i="6"/>
  <c r="CU265" i="6" s="1"/>
  <c r="CA265" i="6"/>
  <c r="CO265" i="6"/>
  <c r="AB265" i="6"/>
  <c r="AF265" i="6" s="1"/>
  <c r="BN264" i="6"/>
  <c r="BR264" i="6" s="1"/>
  <c r="AT264" i="6"/>
  <c r="X250" i="6"/>
  <c r="AK250" i="6" s="1"/>
  <c r="N250" i="6"/>
  <c r="AS250" i="6" l="1"/>
  <c r="AB250" i="6"/>
  <c r="AF250" i="6" s="1"/>
  <c r="CO250" i="6"/>
  <c r="CA250" i="6"/>
  <c r="BW250" i="6"/>
  <c r="CG250" i="6" s="1"/>
  <c r="CK250" i="6"/>
  <c r="CU250" i="6" s="1"/>
  <c r="BN265" i="6"/>
  <c r="BR265" i="6" s="1"/>
  <c r="AT265" i="6"/>
  <c r="X452" i="6"/>
  <c r="AK452" i="6" s="1"/>
  <c r="N452" i="6"/>
  <c r="AS452" i="6" l="1"/>
  <c r="BN250" i="6"/>
  <c r="BR250" i="6" s="1"/>
  <c r="AT250" i="6"/>
  <c r="CO452" i="6"/>
  <c r="AB452" i="6"/>
  <c r="AF452" i="6" s="1"/>
  <c r="CK452" i="6"/>
  <c r="CU452" i="6" s="1"/>
  <c r="BW452" i="6"/>
  <c r="CG452" i="6" s="1"/>
  <c r="CA452" i="6"/>
  <c r="N453" i="6"/>
  <c r="X453" i="6"/>
  <c r="AK453" i="6" s="1"/>
  <c r="AS453" i="6" l="1"/>
  <c r="CA453" i="6"/>
  <c r="CO453" i="6"/>
  <c r="BW453" i="6"/>
  <c r="CG453" i="6" s="1"/>
  <c r="AB453" i="6"/>
  <c r="AF453" i="6" s="1"/>
  <c r="CK453" i="6"/>
  <c r="CU453" i="6" s="1"/>
  <c r="BN452" i="6"/>
  <c r="BR452" i="6" s="1"/>
  <c r="AT452" i="6"/>
  <c r="X454" i="6"/>
  <c r="AK454" i="6" s="1"/>
  <c r="N454" i="6"/>
  <c r="AS454" i="6" l="1"/>
  <c r="AT453" i="6"/>
  <c r="BN453" i="6"/>
  <c r="BR453" i="6" s="1"/>
  <c r="BW454" i="6"/>
  <c r="CG454" i="6" s="1"/>
  <c r="AB454" i="6"/>
  <c r="AF454" i="6" s="1"/>
  <c r="CA454" i="6"/>
  <c r="CK454" i="6"/>
  <c r="CU454" i="6" s="1"/>
  <c r="CO454" i="6"/>
  <c r="N455" i="6"/>
  <c r="X455" i="6"/>
  <c r="AK455" i="6" s="1"/>
  <c r="AS455" i="6" l="1"/>
  <c r="CO455" i="6"/>
  <c r="AB455" i="6"/>
  <c r="AF455" i="6" s="1"/>
  <c r="CA455" i="6"/>
  <c r="BW455" i="6"/>
  <c r="CG455" i="6" s="1"/>
  <c r="CK455" i="6"/>
  <c r="CU455" i="6" s="1"/>
  <c r="BN454" i="6"/>
  <c r="BR454" i="6" s="1"/>
  <c r="AT454" i="6"/>
  <c r="N456" i="6"/>
  <c r="X456" i="6"/>
  <c r="AK456" i="6" s="1"/>
  <c r="AS456" i="6" l="1"/>
  <c r="AT455" i="6"/>
  <c r="BN455" i="6"/>
  <c r="BR455" i="6" s="1"/>
  <c r="BW456" i="6"/>
  <c r="CG456" i="6" s="1"/>
  <c r="CK456" i="6"/>
  <c r="CU456" i="6" s="1"/>
  <c r="CA456" i="6"/>
  <c r="AB456" i="6"/>
  <c r="AF456" i="6" s="1"/>
  <c r="CO456" i="6"/>
  <c r="N457" i="6"/>
  <c r="X457" i="6"/>
  <c r="AK457" i="6" s="1"/>
  <c r="AS457" i="6" l="1"/>
  <c r="BN456" i="6"/>
  <c r="BR456" i="6" s="1"/>
  <c r="AT456" i="6"/>
  <c r="CA457" i="6"/>
  <c r="CO457" i="6"/>
  <c r="BW457" i="6"/>
  <c r="CG457" i="6" s="1"/>
  <c r="CK457" i="6"/>
  <c r="CU457" i="6" s="1"/>
  <c r="AB457" i="6"/>
  <c r="AF457" i="6" s="1"/>
  <c r="X213" i="6"/>
  <c r="AK213" i="6" s="1"/>
  <c r="N213" i="6"/>
  <c r="AS213" i="6" l="1"/>
  <c r="BN457" i="6"/>
  <c r="BR457" i="6" s="1"/>
  <c r="AT457" i="6"/>
  <c r="AB213" i="6"/>
  <c r="AF213" i="6" s="1"/>
  <c r="CK213" i="6"/>
  <c r="CU213" i="6" s="1"/>
  <c r="BW213" i="6"/>
  <c r="CG213" i="6" s="1"/>
  <c r="CO213" i="6"/>
  <c r="CA213" i="6"/>
  <c r="X63" i="6"/>
  <c r="AK63" i="6" s="1"/>
  <c r="N63" i="6"/>
  <c r="AS63" i="6" l="1"/>
  <c r="AB63" i="6"/>
  <c r="AF63" i="6" s="1"/>
  <c r="BW63" i="6"/>
  <c r="CG63" i="6" s="1"/>
  <c r="CO63" i="6"/>
  <c r="CA63" i="6"/>
  <c r="CK63" i="6"/>
  <c r="CU63" i="6" s="1"/>
  <c r="AT213" i="6"/>
  <c r="BN213" i="6"/>
  <c r="BR213" i="6" s="1"/>
  <c r="X52" i="6"/>
  <c r="AK52" i="6" s="1"/>
  <c r="N52" i="6"/>
  <c r="AS52" i="6" l="1"/>
  <c r="BW52" i="6"/>
  <c r="CG52" i="6" s="1"/>
  <c r="CK52" i="6"/>
  <c r="CU52" i="6" s="1"/>
  <c r="AB52" i="6"/>
  <c r="AF52" i="6" s="1"/>
  <c r="CA52" i="6"/>
  <c r="CO52" i="6"/>
  <c r="BN63" i="6"/>
  <c r="BR63" i="6" s="1"/>
  <c r="AT63" i="6"/>
  <c r="N50" i="6"/>
  <c r="X50" i="6"/>
  <c r="AK50" i="6" s="1"/>
  <c r="AS50" i="6" l="1"/>
  <c r="BW50" i="6"/>
  <c r="CG50" i="6" s="1"/>
  <c r="CK50" i="6"/>
  <c r="CU50" i="6" s="1"/>
  <c r="AB50" i="6"/>
  <c r="AF50" i="6" s="1"/>
  <c r="CO50" i="6"/>
  <c r="CA50" i="6"/>
  <c r="BN52" i="6"/>
  <c r="BR52" i="6" s="1"/>
  <c r="AT52" i="6"/>
  <c r="X699" i="6"/>
  <c r="AK699" i="6" s="1"/>
  <c r="N699" i="6"/>
  <c r="AS699" i="6" l="1"/>
  <c r="CA699" i="6"/>
  <c r="CK699" i="6"/>
  <c r="CU699" i="6" s="1"/>
  <c r="BW699" i="6"/>
  <c r="CG699" i="6" s="1"/>
  <c r="AB699" i="6"/>
  <c r="AF699" i="6" s="1"/>
  <c r="CO699" i="6"/>
  <c r="BN50" i="6"/>
  <c r="BR50" i="6" s="1"/>
  <c r="AT50" i="6"/>
  <c r="N698" i="6"/>
  <c r="X698" i="6"/>
  <c r="AK698" i="6" s="1"/>
  <c r="AS698" i="6" l="1"/>
  <c r="BN699" i="6"/>
  <c r="BR699" i="6" s="1"/>
  <c r="AT699" i="6"/>
  <c r="CK698" i="6"/>
  <c r="CU698" i="6" s="1"/>
  <c r="BW698" i="6"/>
  <c r="CG698" i="6" s="1"/>
  <c r="CO698" i="6"/>
  <c r="CA698" i="6"/>
  <c r="AB698" i="6"/>
  <c r="AF698" i="6" s="1"/>
  <c r="X695" i="6"/>
  <c r="AK695" i="6" s="1"/>
  <c r="N695" i="6"/>
  <c r="AS695" i="6" l="1"/>
  <c r="CK695" i="6"/>
  <c r="CU695" i="6" s="1"/>
  <c r="BW695" i="6"/>
  <c r="CG695" i="6" s="1"/>
  <c r="CO695" i="6"/>
  <c r="CA695" i="6"/>
  <c r="AB695" i="6"/>
  <c r="AF695" i="6" s="1"/>
  <c r="BN698" i="6"/>
  <c r="BR698" i="6" s="1"/>
  <c r="AT698" i="6"/>
  <c r="X692" i="6"/>
  <c r="AK692" i="6" s="1"/>
  <c r="N692" i="6"/>
  <c r="AS692" i="6" l="1"/>
  <c r="BW692" i="6"/>
  <c r="CG692" i="6" s="1"/>
  <c r="AB692" i="6"/>
  <c r="AF692" i="6" s="1"/>
  <c r="CO692" i="6"/>
  <c r="CA692" i="6"/>
  <c r="CK692" i="6"/>
  <c r="CU692" i="6" s="1"/>
  <c r="BN695" i="6"/>
  <c r="BR695" i="6" s="1"/>
  <c r="AT695" i="6"/>
  <c r="X27" i="6"/>
  <c r="AK27" i="6" s="1"/>
  <c r="N27" i="6"/>
  <c r="AS27" i="6" l="1"/>
  <c r="BN692" i="6"/>
  <c r="BR692" i="6" s="1"/>
  <c r="AT692" i="6"/>
  <c r="CA27" i="6"/>
  <c r="CK27" i="6"/>
  <c r="CU27" i="6" s="1"/>
  <c r="BW27" i="6"/>
  <c r="CG27" i="6" s="1"/>
  <c r="AB27" i="6"/>
  <c r="AF27" i="6" s="1"/>
  <c r="CO27" i="6"/>
  <c r="N248" i="6"/>
  <c r="X248" i="6"/>
  <c r="AK248" i="6" s="1"/>
  <c r="AS248" i="6" l="1"/>
  <c r="CA248" i="6"/>
  <c r="CK248" i="6"/>
  <c r="CU248" i="6" s="1"/>
  <c r="BW248" i="6"/>
  <c r="CG248" i="6" s="1"/>
  <c r="AB248" i="6"/>
  <c r="AF248" i="6" s="1"/>
  <c r="CO248" i="6"/>
  <c r="BN27" i="6"/>
  <c r="BR27" i="6" s="1"/>
  <c r="AT27" i="6"/>
  <c r="N115" i="6"/>
  <c r="X115" i="6"/>
  <c r="AK115" i="6" s="1"/>
  <c r="AS115" i="6" l="1"/>
  <c r="CK115" i="6"/>
  <c r="BW115" i="6"/>
  <c r="CO115" i="6"/>
  <c r="CA115" i="6"/>
  <c r="AB115" i="6"/>
  <c r="AF115" i="6" s="1"/>
  <c r="BN248" i="6"/>
  <c r="BR248" i="6" s="1"/>
  <c r="AT248" i="6"/>
  <c r="X111" i="6"/>
  <c r="AK111" i="6" s="1"/>
  <c r="N111" i="6"/>
  <c r="AS111" i="6" l="1"/>
  <c r="CG115" i="6"/>
  <c r="CU115" i="6"/>
  <c r="CA111" i="6"/>
  <c r="CK111" i="6"/>
  <c r="BW111" i="6"/>
  <c r="AB111" i="6"/>
  <c r="AF111" i="6" s="1"/>
  <c r="CO111" i="6"/>
  <c r="BN115" i="6"/>
  <c r="BR115" i="6" s="1"/>
  <c r="AT115" i="6"/>
  <c r="X61" i="6"/>
  <c r="AK61" i="6" s="1"/>
  <c r="N61" i="6"/>
  <c r="AS61" i="6" l="1"/>
  <c r="CG111" i="6"/>
  <c r="CU111" i="6"/>
  <c r="BN111" i="6"/>
  <c r="BR111" i="6" s="1"/>
  <c r="AT111" i="6"/>
  <c r="CA61" i="6"/>
  <c r="CK61" i="6"/>
  <c r="CU61" i="6" s="1"/>
  <c r="BW61" i="6"/>
  <c r="CG61" i="6" s="1"/>
  <c r="AB61" i="6"/>
  <c r="AF61" i="6" s="1"/>
  <c r="CO61" i="6"/>
  <c r="X214" i="6"/>
  <c r="AK214" i="6" s="1"/>
  <c r="N214" i="6"/>
  <c r="AS214" i="6" l="1"/>
  <c r="AT61" i="6"/>
  <c r="BN61" i="6"/>
  <c r="BR61" i="6" s="1"/>
  <c r="CA214" i="6"/>
  <c r="CK214" i="6"/>
  <c r="CU214" i="6" s="1"/>
  <c r="BW214" i="6"/>
  <c r="CG214" i="6" s="1"/>
  <c r="AB214" i="6"/>
  <c r="AF214" i="6" s="1"/>
  <c r="CO214" i="6"/>
  <c r="X97" i="6"/>
  <c r="AK97" i="6" s="1"/>
  <c r="N97" i="6"/>
  <c r="AS97" i="6" l="1"/>
  <c r="BW97" i="6"/>
  <c r="CG97" i="6" s="1"/>
  <c r="AB97" i="6"/>
  <c r="AF97" i="6" s="1"/>
  <c r="CO97" i="6"/>
  <c r="CA97" i="6"/>
  <c r="CK97" i="6"/>
  <c r="CU97" i="6" s="1"/>
  <c r="BN214" i="6"/>
  <c r="BR214" i="6" s="1"/>
  <c r="AT214" i="6"/>
  <c r="X223" i="6"/>
  <c r="AK223" i="6" s="1"/>
  <c r="N223" i="6"/>
  <c r="AS223" i="6" l="1"/>
  <c r="AB223" i="6"/>
  <c r="AF223" i="6" s="1"/>
  <c r="BW223" i="6"/>
  <c r="CG223" i="6" s="1"/>
  <c r="CA223" i="6"/>
  <c r="CO223" i="6"/>
  <c r="CK223" i="6"/>
  <c r="CU223" i="6" s="1"/>
  <c r="AT97" i="6"/>
  <c r="BN97" i="6"/>
  <c r="BR97" i="6" s="1"/>
  <c r="X77" i="6"/>
  <c r="AK77" i="6" s="1"/>
  <c r="N77" i="6"/>
  <c r="AS77" i="6" l="1"/>
  <c r="BN223" i="6"/>
  <c r="BR223" i="6" s="1"/>
  <c r="AT223" i="6"/>
  <c r="CA77" i="6"/>
  <c r="CO77" i="6"/>
  <c r="AB77" i="6"/>
  <c r="AF77" i="6" s="1"/>
  <c r="CK77" i="6"/>
  <c r="CU77" i="6" s="1"/>
  <c r="BW77" i="6"/>
  <c r="CG77" i="6" s="1"/>
  <c r="X65" i="6"/>
  <c r="AK65" i="6" s="1"/>
  <c r="N65" i="6"/>
  <c r="AS65" i="6" l="1"/>
  <c r="AB65" i="6"/>
  <c r="AF65" i="6" s="1"/>
  <c r="CO65" i="6"/>
  <c r="CK65" i="6"/>
  <c r="CU65" i="6" s="1"/>
  <c r="BW65" i="6"/>
  <c r="CG65" i="6" s="1"/>
  <c r="CA65" i="6"/>
  <c r="BN77" i="6"/>
  <c r="BR77" i="6" s="1"/>
  <c r="AT77" i="6"/>
  <c r="X51" i="6"/>
  <c r="AK51" i="6" s="1"/>
  <c r="N51" i="6"/>
  <c r="AS51" i="6" l="1"/>
  <c r="CA51" i="6"/>
  <c r="CK51" i="6"/>
  <c r="CU51" i="6" s="1"/>
  <c r="BW51" i="6"/>
  <c r="CG51" i="6" s="1"/>
  <c r="AB51" i="6"/>
  <c r="AF51" i="6" s="1"/>
  <c r="CO51" i="6"/>
  <c r="AT65" i="6"/>
  <c r="BN65" i="6"/>
  <c r="BR65" i="6" s="1"/>
  <c r="N42" i="6"/>
  <c r="X42" i="6"/>
  <c r="AK42" i="6" s="1"/>
  <c r="AS42" i="6" l="1"/>
  <c r="CA42" i="6"/>
  <c r="CK42" i="6"/>
  <c r="CU42" i="6" s="1"/>
  <c r="BW42" i="6"/>
  <c r="CG42" i="6" s="1"/>
  <c r="AB42" i="6"/>
  <c r="AF42" i="6" s="1"/>
  <c r="CO42" i="6"/>
  <c r="AT51" i="6"/>
  <c r="BN51" i="6"/>
  <c r="BR51" i="6" s="1"/>
  <c r="X458" i="6"/>
  <c r="AK458" i="6" s="1"/>
  <c r="N458" i="6"/>
  <c r="AS458" i="6" l="1"/>
  <c r="BW458" i="6"/>
  <c r="CK458" i="6"/>
  <c r="AB458" i="6"/>
  <c r="AF458" i="6" s="1"/>
  <c r="CO458" i="6"/>
  <c r="CA458" i="6"/>
  <c r="AT42" i="6"/>
  <c r="BN42" i="6"/>
  <c r="BR42" i="6" s="1"/>
  <c r="X275" i="6"/>
  <c r="AK275" i="6" s="1"/>
  <c r="N275" i="6"/>
  <c r="AS275" i="6" l="1"/>
  <c r="CK275" i="6"/>
  <c r="BW275" i="6"/>
  <c r="CO275" i="6"/>
  <c r="CA275" i="6"/>
  <c r="AB275" i="6"/>
  <c r="AF275" i="6" s="1"/>
  <c r="BN458" i="6"/>
  <c r="BR458" i="6" s="1"/>
  <c r="AT458" i="6"/>
  <c r="CU458" i="6"/>
  <c r="CG458" i="6"/>
  <c r="X459" i="6"/>
  <c r="AK459" i="6" s="1"/>
  <c r="N459" i="6"/>
  <c r="AS459" i="6" l="1"/>
  <c r="CG275" i="6"/>
  <c r="BN275" i="6"/>
  <c r="BR275" i="6" s="1"/>
  <c r="AT275" i="6"/>
  <c r="CO459" i="6"/>
  <c r="CA459" i="6"/>
  <c r="CK459" i="6"/>
  <c r="BW459" i="6"/>
  <c r="AB459" i="6"/>
  <c r="AF459" i="6" s="1"/>
  <c r="CU275" i="6"/>
  <c r="N460" i="6"/>
  <c r="X460" i="6"/>
  <c r="AK460" i="6" s="1"/>
  <c r="AS460" i="6" l="1"/>
  <c r="CG459" i="6"/>
  <c r="CU459" i="6"/>
  <c r="CA460" i="6"/>
  <c r="CO460" i="6"/>
  <c r="AB460" i="6"/>
  <c r="AF460" i="6" s="1"/>
  <c r="BW460" i="6"/>
  <c r="CG460" i="6" s="1"/>
  <c r="CK460" i="6"/>
  <c r="CU460" i="6" s="1"/>
  <c r="AT459" i="6"/>
  <c r="BN459" i="6"/>
  <c r="BR459" i="6" s="1"/>
  <c r="N461" i="6"/>
  <c r="X461" i="6"/>
  <c r="AK461" i="6" s="1"/>
  <c r="AS461" i="6" l="1"/>
  <c r="BW461" i="6"/>
  <c r="CG461" i="6" s="1"/>
  <c r="CA461" i="6"/>
  <c r="CO461" i="6"/>
  <c r="CK461" i="6"/>
  <c r="CU461" i="6" s="1"/>
  <c r="AB461" i="6"/>
  <c r="AF461" i="6" s="1"/>
  <c r="BN460" i="6"/>
  <c r="BR460" i="6" s="1"/>
  <c r="AT460" i="6"/>
  <c r="N462" i="6"/>
  <c r="X462" i="6"/>
  <c r="AK462" i="6" s="1"/>
  <c r="AS462" i="6" l="1"/>
  <c r="BW462" i="6"/>
  <c r="CG462" i="6" s="1"/>
  <c r="CO462" i="6"/>
  <c r="CA462" i="6"/>
  <c r="AB462" i="6"/>
  <c r="AF462" i="6" s="1"/>
  <c r="CK462" i="6"/>
  <c r="CU462" i="6" s="1"/>
  <c r="AT461" i="6"/>
  <c r="BN461" i="6"/>
  <c r="BR461" i="6" s="1"/>
  <c r="X463" i="6"/>
  <c r="AK463" i="6" s="1"/>
  <c r="N463" i="6"/>
  <c r="AS463" i="6" l="1"/>
  <c r="CA463" i="6"/>
  <c r="CO463" i="6"/>
  <c r="BW463" i="6"/>
  <c r="CG463" i="6" s="1"/>
  <c r="AB463" i="6"/>
  <c r="AF463" i="6" s="1"/>
  <c r="CK463" i="6"/>
  <c r="CU463" i="6" s="1"/>
  <c r="BN462" i="6"/>
  <c r="BR462" i="6" s="1"/>
  <c r="AT462" i="6"/>
  <c r="N464" i="6"/>
  <c r="X464" i="6"/>
  <c r="AK464" i="6" s="1"/>
  <c r="AS464" i="6" l="1"/>
  <c r="AB464" i="6"/>
  <c r="AF464" i="6" s="1"/>
  <c r="CK464" i="6"/>
  <c r="CU464" i="6" s="1"/>
  <c r="BW464" i="6"/>
  <c r="CG464" i="6" s="1"/>
  <c r="CA464" i="6"/>
  <c r="CO464" i="6"/>
  <c r="BN463" i="6"/>
  <c r="BR463" i="6" s="1"/>
  <c r="AT463" i="6"/>
  <c r="N465" i="6"/>
  <c r="X465" i="6"/>
  <c r="AK465" i="6" s="1"/>
  <c r="AS465" i="6" l="1"/>
  <c r="CO465" i="6"/>
  <c r="AB465" i="6"/>
  <c r="AF465" i="6" s="1"/>
  <c r="BW465" i="6"/>
  <c r="CG465" i="6" s="1"/>
  <c r="CK465" i="6"/>
  <c r="CU465" i="6" s="1"/>
  <c r="CA465" i="6"/>
  <c r="BN464" i="6"/>
  <c r="BR464" i="6" s="1"/>
  <c r="AT464" i="6"/>
  <c r="X466" i="6"/>
  <c r="AK466" i="6" s="1"/>
  <c r="N466" i="6"/>
  <c r="AS466" i="6" l="1"/>
  <c r="AB466" i="6"/>
  <c r="AF466" i="6" s="1"/>
  <c r="BW466" i="6"/>
  <c r="CK466" i="6"/>
  <c r="CA466" i="6"/>
  <c r="CO466" i="6"/>
  <c r="AT465" i="6"/>
  <c r="BN465" i="6"/>
  <c r="BR465" i="6" s="1"/>
  <c r="N467" i="6"/>
  <c r="X467" i="6"/>
  <c r="AK467" i="6" s="1"/>
  <c r="AS467" i="6" l="1"/>
  <c r="CU466" i="6"/>
  <c r="CG466" i="6"/>
  <c r="CA467" i="6"/>
  <c r="AB467" i="6"/>
  <c r="AF467" i="6" s="1"/>
  <c r="CK467" i="6"/>
  <c r="BW467" i="6"/>
  <c r="CO467" i="6"/>
  <c r="AT466" i="6"/>
  <c r="BN466" i="6"/>
  <c r="BR466" i="6" s="1"/>
  <c r="N468" i="6"/>
  <c r="X468" i="6"/>
  <c r="AK468" i="6" s="1"/>
  <c r="AS468" i="6" l="1"/>
  <c r="AB468" i="6"/>
  <c r="AF468" i="6" s="1"/>
  <c r="CA468" i="6"/>
  <c r="CO468" i="6"/>
  <c r="BW468" i="6"/>
  <c r="CK468" i="6"/>
  <c r="CG467" i="6"/>
  <c r="CU467" i="6"/>
  <c r="AT467" i="6"/>
  <c r="BN467" i="6"/>
  <c r="BR467" i="6" s="1"/>
  <c r="N276" i="6"/>
  <c r="X276" i="6"/>
  <c r="AK276" i="6" s="1"/>
  <c r="AS276" i="6" l="1"/>
  <c r="CU468" i="6"/>
  <c r="AB276" i="6"/>
  <c r="AF276" i="6" s="1"/>
  <c r="CA276" i="6"/>
  <c r="CO276" i="6"/>
  <c r="BW276" i="6"/>
  <c r="CK276" i="6"/>
  <c r="BN468" i="6"/>
  <c r="BR468" i="6" s="1"/>
  <c r="AT468" i="6"/>
  <c r="CG468" i="6"/>
  <c r="N221" i="6"/>
  <c r="X221" i="6"/>
  <c r="AK221" i="6" s="1"/>
  <c r="AS221" i="6" l="1"/>
  <c r="CU276" i="6"/>
  <c r="AT276" i="6"/>
  <c r="BN276" i="6"/>
  <c r="BR276" i="6" s="1"/>
  <c r="BW221" i="6"/>
  <c r="CG221" i="6" s="1"/>
  <c r="AB221" i="6"/>
  <c r="AF221" i="6" s="1"/>
  <c r="CO221" i="6"/>
  <c r="CA221" i="6"/>
  <c r="CK221" i="6"/>
  <c r="CU221" i="6" s="1"/>
  <c r="CG276" i="6"/>
  <c r="X266" i="6"/>
  <c r="AK266" i="6" s="1"/>
  <c r="N266" i="6"/>
  <c r="AS266" i="6" l="1"/>
  <c r="CA266" i="6"/>
  <c r="AB266" i="6"/>
  <c r="AF266" i="6" s="1"/>
  <c r="CK266" i="6"/>
  <c r="CU266" i="6" s="1"/>
  <c r="BW266" i="6"/>
  <c r="CG266" i="6" s="1"/>
  <c r="CO266" i="6"/>
  <c r="BN221" i="6"/>
  <c r="BR221" i="6" s="1"/>
  <c r="AT221" i="6"/>
  <c r="N469" i="6"/>
  <c r="X469" i="6"/>
  <c r="AK469" i="6" s="1"/>
  <c r="AS469" i="6" l="1"/>
  <c r="CA469" i="6"/>
  <c r="BW469" i="6"/>
  <c r="AB469" i="6"/>
  <c r="AF469" i="6" s="1"/>
  <c r="CO469" i="6"/>
  <c r="CK469" i="6"/>
  <c r="BN266" i="6"/>
  <c r="BR266" i="6" s="1"/>
  <c r="AT266" i="6"/>
  <c r="N470" i="6"/>
  <c r="X470" i="6"/>
  <c r="AK470" i="6" s="1"/>
  <c r="AS470" i="6" l="1"/>
  <c r="CU469" i="6"/>
  <c r="CG469" i="6"/>
  <c r="AT469" i="6"/>
  <c r="BN469" i="6"/>
  <c r="BR469" i="6" s="1"/>
  <c r="CA470" i="6"/>
  <c r="BW470" i="6"/>
  <c r="CK470" i="6"/>
  <c r="CO470" i="6"/>
  <c r="AB470" i="6"/>
  <c r="AF470" i="6" s="1"/>
  <c r="X471" i="6"/>
  <c r="AK471" i="6" s="1"/>
  <c r="N471" i="6"/>
  <c r="AS471" i="6" l="1"/>
  <c r="CU470" i="6"/>
  <c r="CG470" i="6"/>
  <c r="CA471" i="6"/>
  <c r="CO471" i="6"/>
  <c r="AB471" i="6"/>
  <c r="AF471" i="6" s="1"/>
  <c r="BW471" i="6"/>
  <c r="CK471" i="6"/>
  <c r="AT470" i="6"/>
  <c r="BN470" i="6"/>
  <c r="BR470" i="6" s="1"/>
  <c r="N472" i="6"/>
  <c r="X472" i="6"/>
  <c r="AK472" i="6" s="1"/>
  <c r="AS472" i="6" l="1"/>
  <c r="CU471" i="6"/>
  <c r="CG471" i="6"/>
  <c r="CK472" i="6"/>
  <c r="CU472" i="6" s="1"/>
  <c r="BW472" i="6"/>
  <c r="CG472" i="6" s="1"/>
  <c r="CO472" i="6"/>
  <c r="CA472" i="6"/>
  <c r="AB472" i="6"/>
  <c r="AF472" i="6" s="1"/>
  <c r="AT471" i="6"/>
  <c r="BN471" i="6"/>
  <c r="BR471" i="6" s="1"/>
  <c r="N473" i="6"/>
  <c r="X473" i="6"/>
  <c r="AK473" i="6" s="1"/>
  <c r="AS473" i="6" l="1"/>
  <c r="CO473" i="6"/>
  <c r="CK473" i="6"/>
  <c r="AB473" i="6"/>
  <c r="AF473" i="6" s="1"/>
  <c r="BW473" i="6"/>
  <c r="CA473" i="6"/>
  <c r="AT472" i="6"/>
  <c r="BN472" i="6"/>
  <c r="BR472" i="6" s="1"/>
  <c r="X474" i="6"/>
  <c r="AK474" i="6" s="1"/>
  <c r="N474" i="6"/>
  <c r="AS474" i="6" l="1"/>
  <c r="AT473" i="6"/>
  <c r="BN473" i="6"/>
  <c r="BR473" i="6" s="1"/>
  <c r="CU473" i="6"/>
  <c r="CA474" i="6"/>
  <c r="AB474" i="6"/>
  <c r="AF474" i="6" s="1"/>
  <c r="CO474" i="6"/>
  <c r="CK474" i="6"/>
  <c r="BW474" i="6"/>
  <c r="CG473" i="6"/>
  <c r="N475" i="6"/>
  <c r="X475" i="6"/>
  <c r="AK475" i="6" s="1"/>
  <c r="AS475" i="6" l="1"/>
  <c r="CG474" i="6"/>
  <c r="CO475" i="6"/>
  <c r="AB475" i="6"/>
  <c r="AF475" i="6" s="1"/>
  <c r="CK475" i="6"/>
  <c r="BW475" i="6"/>
  <c r="CA475" i="6"/>
  <c r="CU474" i="6"/>
  <c r="AT474" i="6"/>
  <c r="BN474" i="6"/>
  <c r="BR474" i="6" s="1"/>
  <c r="N476" i="6"/>
  <c r="X476" i="6"/>
  <c r="AK476" i="6" s="1"/>
  <c r="AS476" i="6" l="1"/>
  <c r="CA476" i="6"/>
  <c r="CK476" i="6"/>
  <c r="CU476" i="6" s="1"/>
  <c r="BW476" i="6"/>
  <c r="CG476" i="6" s="1"/>
  <c r="AB476" i="6"/>
  <c r="AF476" i="6" s="1"/>
  <c r="CO476" i="6"/>
  <c r="CU475" i="6"/>
  <c r="BN475" i="6"/>
  <c r="BR475" i="6" s="1"/>
  <c r="AT475" i="6"/>
  <c r="CG475" i="6"/>
  <c r="X477" i="6"/>
  <c r="AK477" i="6" s="1"/>
  <c r="N477" i="6"/>
  <c r="AS477" i="6" l="1"/>
  <c r="AB477" i="6"/>
  <c r="AF477" i="6" s="1"/>
  <c r="CA477" i="6"/>
  <c r="BW477" i="6"/>
  <c r="CG477" i="6" s="1"/>
  <c r="CK477" i="6"/>
  <c r="CU477" i="6" s="1"/>
  <c r="CO477" i="6"/>
  <c r="AT476" i="6"/>
  <c r="BN476" i="6"/>
  <c r="BR476" i="6" s="1"/>
  <c r="N478" i="6"/>
  <c r="X478" i="6"/>
  <c r="AK478" i="6" s="1"/>
  <c r="AS478" i="6" l="1"/>
  <c r="CK478" i="6"/>
  <c r="CU478" i="6" s="1"/>
  <c r="BW478" i="6"/>
  <c r="CG478" i="6" s="1"/>
  <c r="CO478" i="6"/>
  <c r="CA478" i="6"/>
  <c r="AB478" i="6"/>
  <c r="AF478" i="6" s="1"/>
  <c r="BN477" i="6"/>
  <c r="BR477" i="6" s="1"/>
  <c r="AT477" i="6"/>
  <c r="X479" i="6"/>
  <c r="AK479" i="6" s="1"/>
  <c r="N479" i="6"/>
  <c r="AS479" i="6" l="1"/>
  <c r="BW479" i="6"/>
  <c r="CK479" i="6"/>
  <c r="AB479" i="6"/>
  <c r="AF479" i="6" s="1"/>
  <c r="CO479" i="6"/>
  <c r="CA479" i="6"/>
  <c r="AT478" i="6"/>
  <c r="BN478" i="6"/>
  <c r="BR478" i="6" s="1"/>
  <c r="X480" i="6"/>
  <c r="AK480" i="6" s="1"/>
  <c r="N480" i="6"/>
  <c r="AS480" i="6" l="1"/>
  <c r="CA480" i="6"/>
  <c r="CK480" i="6"/>
  <c r="BW480" i="6"/>
  <c r="AB480" i="6"/>
  <c r="AF480" i="6" s="1"/>
  <c r="CO480" i="6"/>
  <c r="AT479" i="6"/>
  <c r="BN479" i="6"/>
  <c r="BR479" i="6" s="1"/>
  <c r="CU479" i="6"/>
  <c r="CG479" i="6"/>
  <c r="X481" i="6"/>
  <c r="AK481" i="6" s="1"/>
  <c r="N481" i="6"/>
  <c r="AS481" i="6" l="1"/>
  <c r="AB481" i="6"/>
  <c r="AF481" i="6" s="1"/>
  <c r="CK481" i="6"/>
  <c r="BW481" i="6"/>
  <c r="CA481" i="6"/>
  <c r="CO481" i="6"/>
  <c r="AT480" i="6"/>
  <c r="BN480" i="6"/>
  <c r="BR480" i="6" s="1"/>
  <c r="CG480" i="6"/>
  <c r="CU480" i="6"/>
  <c r="X482" i="6"/>
  <c r="AK482" i="6" s="1"/>
  <c r="N482" i="6"/>
  <c r="AS482" i="6" l="1"/>
  <c r="AT481" i="6"/>
  <c r="BN481" i="6"/>
  <c r="BR481" i="6" s="1"/>
  <c r="CG481" i="6"/>
  <c r="CU481" i="6"/>
  <c r="BW482" i="6"/>
  <c r="CG482" i="6" s="1"/>
  <c r="CA482" i="6"/>
  <c r="CO482" i="6"/>
  <c r="AB482" i="6"/>
  <c r="AF482" i="6" s="1"/>
  <c r="CK482" i="6"/>
  <c r="CU482" i="6" s="1"/>
  <c r="N483" i="6"/>
  <c r="X483" i="6"/>
  <c r="AK483" i="6" s="1"/>
  <c r="AS483" i="6" l="1"/>
  <c r="AT482" i="6"/>
  <c r="BN482" i="6"/>
  <c r="BR482" i="6" s="1"/>
  <c r="CA483" i="6"/>
  <c r="CK483" i="6"/>
  <c r="CU483" i="6" s="1"/>
  <c r="CO483" i="6"/>
  <c r="AB483" i="6"/>
  <c r="AF483" i="6" s="1"/>
  <c r="BW483" i="6"/>
  <c r="CG483" i="6" s="1"/>
  <c r="X484" i="6"/>
  <c r="AK484" i="6" s="1"/>
  <c r="N484" i="6"/>
  <c r="AS484" i="6" l="1"/>
  <c r="BN483" i="6"/>
  <c r="BR483" i="6" s="1"/>
  <c r="AT483" i="6"/>
  <c r="BW484" i="6"/>
  <c r="CG484" i="6" s="1"/>
  <c r="CO484" i="6"/>
  <c r="AB484" i="6"/>
  <c r="AF484" i="6" s="1"/>
  <c r="CA484" i="6"/>
  <c r="CK484" i="6"/>
  <c r="CU484" i="6" s="1"/>
  <c r="X485" i="6"/>
  <c r="AK485" i="6" s="1"/>
  <c r="N485" i="6"/>
  <c r="AS485" i="6" l="1"/>
  <c r="CA485" i="6"/>
  <c r="CO485" i="6"/>
  <c r="BW485" i="6"/>
  <c r="CG485" i="6" s="1"/>
  <c r="CK485" i="6"/>
  <c r="CU485" i="6" s="1"/>
  <c r="AB485" i="6"/>
  <c r="AF485" i="6" s="1"/>
  <c r="BN484" i="6"/>
  <c r="BR484" i="6" s="1"/>
  <c r="AT484" i="6"/>
  <c r="N486" i="6"/>
  <c r="X486" i="6"/>
  <c r="AK486" i="6" s="1"/>
  <c r="AS486" i="6" l="1"/>
  <c r="CK486" i="6"/>
  <c r="CU486" i="6" s="1"/>
  <c r="CO486" i="6"/>
  <c r="BW486" i="6"/>
  <c r="CG486" i="6" s="1"/>
  <c r="CA486" i="6"/>
  <c r="AB486" i="6"/>
  <c r="AF486" i="6" s="1"/>
  <c r="BN485" i="6"/>
  <c r="BR485" i="6" s="1"/>
  <c r="AT485" i="6"/>
  <c r="X487" i="6"/>
  <c r="AK487" i="6" s="1"/>
  <c r="N487" i="6"/>
  <c r="AS487" i="6" l="1"/>
  <c r="CK487" i="6"/>
  <c r="CU487" i="6" s="1"/>
  <c r="BW487" i="6"/>
  <c r="CG487" i="6" s="1"/>
  <c r="CO487" i="6"/>
  <c r="CA487" i="6"/>
  <c r="AB487" i="6"/>
  <c r="AF487" i="6" s="1"/>
  <c r="AT486" i="6"/>
  <c r="BN486" i="6"/>
  <c r="BR486" i="6" s="1"/>
  <c r="X488" i="6"/>
  <c r="AK488" i="6" s="1"/>
  <c r="N488" i="6"/>
  <c r="AS488" i="6" l="1"/>
  <c r="BW488" i="6"/>
  <c r="CG488" i="6" s="1"/>
  <c r="CA488" i="6"/>
  <c r="CO488" i="6"/>
  <c r="CK488" i="6"/>
  <c r="CU488" i="6" s="1"/>
  <c r="AB488" i="6"/>
  <c r="AF488" i="6" s="1"/>
  <c r="BN487" i="6"/>
  <c r="BR487" i="6" s="1"/>
  <c r="AT487" i="6"/>
  <c r="N489" i="6"/>
  <c r="X489" i="6"/>
  <c r="AK489" i="6" s="1"/>
  <c r="AS489" i="6" l="1"/>
  <c r="BW489" i="6"/>
  <c r="CG489" i="6" s="1"/>
  <c r="CO489" i="6"/>
  <c r="CA489" i="6"/>
  <c r="AB489" i="6"/>
  <c r="AF489" i="6" s="1"/>
  <c r="CK489" i="6"/>
  <c r="CU489" i="6" s="1"/>
  <c r="BN488" i="6"/>
  <c r="BR488" i="6" s="1"/>
  <c r="AT488" i="6"/>
  <c r="N490" i="6"/>
  <c r="X490" i="6"/>
  <c r="AK490" i="6" s="1"/>
  <c r="AS490" i="6" l="1"/>
  <c r="AT489" i="6"/>
  <c r="BN489" i="6"/>
  <c r="BR489" i="6" s="1"/>
  <c r="CA490" i="6"/>
  <c r="CO490" i="6"/>
  <c r="CK490" i="6"/>
  <c r="CU490" i="6" s="1"/>
  <c r="BW490" i="6"/>
  <c r="CG490" i="6" s="1"/>
  <c r="AB490" i="6"/>
  <c r="AF490" i="6" s="1"/>
  <c r="X491" i="6"/>
  <c r="AK491" i="6" s="1"/>
  <c r="N491" i="6"/>
  <c r="AS491" i="6" l="1"/>
  <c r="BW491" i="6"/>
  <c r="CG491" i="6" s="1"/>
  <c r="CK491" i="6"/>
  <c r="CU491" i="6" s="1"/>
  <c r="AB491" i="6"/>
  <c r="AF491" i="6" s="1"/>
  <c r="CO491" i="6"/>
  <c r="CA491" i="6"/>
  <c r="AT490" i="6"/>
  <c r="BN490" i="6"/>
  <c r="BR490" i="6" s="1"/>
  <c r="X492" i="6"/>
  <c r="AK492" i="6" s="1"/>
  <c r="N492" i="6"/>
  <c r="AS492" i="6" l="1"/>
  <c r="BN491" i="6"/>
  <c r="BR491" i="6" s="1"/>
  <c r="AT491" i="6"/>
  <c r="BW492" i="6"/>
  <c r="CG492" i="6" s="1"/>
  <c r="CK492" i="6"/>
  <c r="CU492" i="6" s="1"/>
  <c r="AB492" i="6"/>
  <c r="AF492" i="6" s="1"/>
  <c r="CO492" i="6"/>
  <c r="CA492" i="6"/>
  <c r="X493" i="6"/>
  <c r="AK493" i="6" s="1"/>
  <c r="N493" i="6"/>
  <c r="AS493" i="6" l="1"/>
  <c r="AT492" i="6"/>
  <c r="BN492" i="6"/>
  <c r="BR492" i="6" s="1"/>
  <c r="BW493" i="6"/>
  <c r="CG493" i="6" s="1"/>
  <c r="CK493" i="6"/>
  <c r="CU493" i="6" s="1"/>
  <c r="AB493" i="6"/>
  <c r="AF493" i="6" s="1"/>
  <c r="CO493" i="6"/>
  <c r="CA493" i="6"/>
  <c r="N494" i="6"/>
  <c r="X494" i="6"/>
  <c r="AK494" i="6" s="1"/>
  <c r="AS494" i="6" l="1"/>
  <c r="AT493" i="6"/>
  <c r="BN493" i="6"/>
  <c r="BR493" i="6" s="1"/>
  <c r="BW494" i="6"/>
  <c r="CG494" i="6" s="1"/>
  <c r="CK494" i="6"/>
  <c r="CU494" i="6" s="1"/>
  <c r="AB494" i="6"/>
  <c r="AF494" i="6" s="1"/>
  <c r="CO494" i="6"/>
  <c r="CA494" i="6"/>
  <c r="N495" i="6"/>
  <c r="X495" i="6"/>
  <c r="AK495" i="6" s="1"/>
  <c r="AS495" i="6" l="1"/>
  <c r="CO495" i="6"/>
  <c r="AB495" i="6"/>
  <c r="AF495" i="6" s="1"/>
  <c r="CK495" i="6"/>
  <c r="CU495" i="6" s="1"/>
  <c r="CA495" i="6"/>
  <c r="BW495" i="6"/>
  <c r="CG495" i="6" s="1"/>
  <c r="BN494" i="6"/>
  <c r="BR494" i="6" s="1"/>
  <c r="AT494" i="6"/>
  <c r="N496" i="6"/>
  <c r="X496" i="6"/>
  <c r="AK496" i="6" s="1"/>
  <c r="AS496" i="6" l="1"/>
  <c r="CO496" i="6"/>
  <c r="CA496" i="6"/>
  <c r="BW496" i="6"/>
  <c r="CG496" i="6" s="1"/>
  <c r="CK496" i="6"/>
  <c r="CU496" i="6" s="1"/>
  <c r="AB496" i="6"/>
  <c r="AF496" i="6" s="1"/>
  <c r="AT495" i="6"/>
  <c r="BN495" i="6"/>
  <c r="BR495" i="6" s="1"/>
  <c r="X497" i="6"/>
  <c r="AK497" i="6" s="1"/>
  <c r="N497" i="6"/>
  <c r="AS497" i="6" l="1"/>
  <c r="CA497" i="6"/>
  <c r="BW497" i="6"/>
  <c r="CG497" i="6" s="1"/>
  <c r="AB497" i="6"/>
  <c r="AF497" i="6" s="1"/>
  <c r="CK497" i="6"/>
  <c r="CU497" i="6" s="1"/>
  <c r="CO497" i="6"/>
  <c r="BN496" i="6"/>
  <c r="BR496" i="6" s="1"/>
  <c r="AT496" i="6"/>
  <c r="X293" i="6"/>
  <c r="AK293" i="6" s="1"/>
  <c r="N293" i="6"/>
  <c r="AS293" i="6" l="1"/>
  <c r="AB293" i="6"/>
  <c r="AF293" i="6" s="1"/>
  <c r="CO293" i="6"/>
  <c r="CA293" i="6"/>
  <c r="BW293" i="6"/>
  <c r="CG293" i="6" s="1"/>
  <c r="CK293" i="6"/>
  <c r="CU293" i="6" s="1"/>
  <c r="AT497" i="6"/>
  <c r="BN497" i="6"/>
  <c r="BR497" i="6" s="1"/>
  <c r="N294" i="6"/>
  <c r="X294" i="6"/>
  <c r="AK294" i="6" s="1"/>
  <c r="AS294" i="6" l="1"/>
  <c r="CO294" i="6"/>
  <c r="CK294" i="6"/>
  <c r="CU294" i="6" s="1"/>
  <c r="BW294" i="6"/>
  <c r="CG294" i="6" s="1"/>
  <c r="AB294" i="6"/>
  <c r="AF294" i="6" s="1"/>
  <c r="CA294" i="6"/>
  <c r="AT293" i="6"/>
  <c r="BN293" i="6"/>
  <c r="BR293" i="6" s="1"/>
  <c r="N295" i="6"/>
  <c r="X295" i="6"/>
  <c r="AK295" i="6" s="1"/>
  <c r="AS295" i="6" l="1"/>
  <c r="BN294" i="6"/>
  <c r="BR294" i="6" s="1"/>
  <c r="AT294" i="6"/>
  <c r="AB295" i="6"/>
  <c r="AF295" i="6" s="1"/>
  <c r="CA295" i="6"/>
  <c r="CO295" i="6"/>
  <c r="BW295" i="6"/>
  <c r="CG295" i="6" s="1"/>
  <c r="CK295" i="6"/>
  <c r="CU295" i="6" s="1"/>
  <c r="N498" i="6"/>
  <c r="X498" i="6"/>
  <c r="AK498" i="6" s="1"/>
  <c r="AS498" i="6" l="1"/>
  <c r="CK498" i="6"/>
  <c r="CU498" i="6" s="1"/>
  <c r="CA498" i="6"/>
  <c r="BW498" i="6"/>
  <c r="CG498" i="6" s="1"/>
  <c r="CO498" i="6"/>
  <c r="AB498" i="6"/>
  <c r="AF498" i="6" s="1"/>
  <c r="BN295" i="6"/>
  <c r="BR295" i="6" s="1"/>
  <c r="AT295" i="6"/>
  <c r="X499" i="6"/>
  <c r="AK499" i="6" s="1"/>
  <c r="N499" i="6"/>
  <c r="AS499" i="6" l="1"/>
  <c r="BW499" i="6"/>
  <c r="CG499" i="6" s="1"/>
  <c r="CO499" i="6"/>
  <c r="CA499" i="6"/>
  <c r="AB499" i="6"/>
  <c r="AF499" i="6" s="1"/>
  <c r="CK499" i="6"/>
  <c r="CU499" i="6" s="1"/>
  <c r="BN498" i="6"/>
  <c r="BR498" i="6" s="1"/>
  <c r="AT498" i="6"/>
  <c r="X500" i="6"/>
  <c r="AK500" i="6" s="1"/>
  <c r="N500" i="6"/>
  <c r="AS500" i="6" l="1"/>
  <c r="BW500" i="6"/>
  <c r="CG500" i="6" s="1"/>
  <c r="CK500" i="6"/>
  <c r="CU500" i="6" s="1"/>
  <c r="CO500" i="6"/>
  <c r="CA500" i="6"/>
  <c r="AB500" i="6"/>
  <c r="AF500" i="6" s="1"/>
  <c r="BN499" i="6"/>
  <c r="BR499" i="6" s="1"/>
  <c r="AT499" i="6"/>
  <c r="N501" i="6"/>
  <c r="X501" i="6"/>
  <c r="AK501" i="6" s="1"/>
  <c r="AS501" i="6" l="1"/>
  <c r="CO501" i="6"/>
  <c r="BW501" i="6"/>
  <c r="CG501" i="6" s="1"/>
  <c r="CA501" i="6"/>
  <c r="AB501" i="6"/>
  <c r="AF501" i="6" s="1"/>
  <c r="CK501" i="6"/>
  <c r="CU501" i="6" s="1"/>
  <c r="AT500" i="6"/>
  <c r="BN500" i="6"/>
  <c r="BR500" i="6" s="1"/>
  <c r="X502" i="6"/>
  <c r="AK502" i="6" s="1"/>
  <c r="N502" i="6"/>
  <c r="AS502" i="6" l="1"/>
  <c r="BW502" i="6"/>
  <c r="CG502" i="6" s="1"/>
  <c r="CK502" i="6"/>
  <c r="CU502" i="6" s="1"/>
  <c r="AB502" i="6"/>
  <c r="AF502" i="6" s="1"/>
  <c r="CO502" i="6"/>
  <c r="CA502" i="6"/>
  <c r="BN501" i="6"/>
  <c r="BR501" i="6" s="1"/>
  <c r="AT501" i="6"/>
  <c r="X503" i="6"/>
  <c r="AK503" i="6" s="1"/>
  <c r="N503" i="6"/>
  <c r="AS503" i="6" l="1"/>
  <c r="CA503" i="6"/>
  <c r="AB503" i="6"/>
  <c r="AF503" i="6" s="1"/>
  <c r="BW503" i="6"/>
  <c r="CG503" i="6" s="1"/>
  <c r="CK503" i="6"/>
  <c r="CU503" i="6" s="1"/>
  <c r="CO503" i="6"/>
  <c r="AT502" i="6"/>
  <c r="BN502" i="6"/>
  <c r="BR502" i="6" s="1"/>
  <c r="N504" i="6"/>
  <c r="X504" i="6"/>
  <c r="AK504" i="6" s="1"/>
  <c r="AS504" i="6" l="1"/>
  <c r="AB504" i="6"/>
  <c r="AF504" i="6" s="1"/>
  <c r="CK504" i="6"/>
  <c r="CU504" i="6" s="1"/>
  <c r="BW504" i="6"/>
  <c r="CG504" i="6" s="1"/>
  <c r="CA504" i="6"/>
  <c r="CO504" i="6"/>
  <c r="BN503" i="6"/>
  <c r="BR503" i="6" s="1"/>
  <c r="AT503" i="6"/>
  <c r="X505" i="6"/>
  <c r="AK505" i="6" s="1"/>
  <c r="N505" i="6"/>
  <c r="AS505" i="6" l="1"/>
  <c r="BN504" i="6"/>
  <c r="BR504" i="6" s="1"/>
  <c r="AT504" i="6"/>
  <c r="BW505" i="6"/>
  <c r="CG505" i="6" s="1"/>
  <c r="CO505" i="6"/>
  <c r="CA505" i="6"/>
  <c r="AB505" i="6"/>
  <c r="AF505" i="6" s="1"/>
  <c r="CK505" i="6"/>
  <c r="CU505" i="6" s="1"/>
  <c r="X506" i="6"/>
  <c r="AK506" i="6" s="1"/>
  <c r="N506" i="6"/>
  <c r="AS506" i="6" l="1"/>
  <c r="BW506" i="6"/>
  <c r="CG506" i="6" s="1"/>
  <c r="AB506" i="6"/>
  <c r="AF506" i="6" s="1"/>
  <c r="CO506" i="6"/>
  <c r="CA506" i="6"/>
  <c r="CK506" i="6"/>
  <c r="CU506" i="6" s="1"/>
  <c r="BN505" i="6"/>
  <c r="BR505" i="6" s="1"/>
  <c r="AT505" i="6"/>
  <c r="N507" i="6"/>
  <c r="X507" i="6"/>
  <c r="AK507" i="6" s="1"/>
  <c r="AS507" i="6" l="1"/>
  <c r="CO507" i="6"/>
  <c r="AB507" i="6"/>
  <c r="AF507" i="6" s="1"/>
  <c r="CK507" i="6"/>
  <c r="CU507" i="6" s="1"/>
  <c r="BW507" i="6"/>
  <c r="CG507" i="6" s="1"/>
  <c r="CA507" i="6"/>
  <c r="BN506" i="6"/>
  <c r="BR506" i="6" s="1"/>
  <c r="AT506" i="6"/>
  <c r="X508" i="6"/>
  <c r="AK508" i="6" s="1"/>
  <c r="AT507" i="6" l="1"/>
  <c r="BN507" i="6"/>
  <c r="BR507" i="6" s="1"/>
  <c r="X509" i="6"/>
  <c r="AK509" i="6" s="1"/>
  <c r="X510" i="6" l="1"/>
  <c r="AK510" i="6" s="1"/>
  <c r="X511" i="6" l="1"/>
  <c r="AK511" i="6" s="1"/>
  <c r="N512" i="6" l="1"/>
  <c r="X512" i="6"/>
  <c r="AK512" i="6" s="1"/>
  <c r="AS512" i="6" l="1"/>
  <c r="CA512" i="6"/>
  <c r="BW512" i="6"/>
  <c r="CG512" i="6" s="1"/>
  <c r="CK512" i="6"/>
  <c r="CU512" i="6" s="1"/>
  <c r="AB512" i="6"/>
  <c r="AF512" i="6" s="1"/>
  <c r="CO512" i="6"/>
  <c r="X513" i="6"/>
  <c r="AK513" i="6" s="1"/>
  <c r="BN512" i="6" l="1"/>
  <c r="BR512" i="6" s="1"/>
  <c r="AT512" i="6"/>
  <c r="N514" i="6"/>
  <c r="X514" i="6"/>
  <c r="AK514" i="6" s="1"/>
  <c r="N513" i="6"/>
  <c r="AS513" i="6" l="1"/>
  <c r="AS514" i="6"/>
  <c r="CO513" i="6"/>
  <c r="CA513" i="6"/>
  <c r="CK513" i="6"/>
  <c r="CU513" i="6" s="1"/>
  <c r="AB513" i="6"/>
  <c r="AF513" i="6" s="1"/>
  <c r="BW513" i="6"/>
  <c r="CG513" i="6" s="1"/>
  <c r="CK514" i="6"/>
  <c r="CU514" i="6" s="1"/>
  <c r="CO514" i="6"/>
  <c r="CA514" i="6"/>
  <c r="BW514" i="6"/>
  <c r="CG514" i="6" s="1"/>
  <c r="AB514" i="6"/>
  <c r="AF514" i="6" s="1"/>
  <c r="X515" i="6"/>
  <c r="AK515" i="6" s="1"/>
  <c r="N515" i="6"/>
  <c r="AS515" i="6" l="1"/>
  <c r="CO515" i="6"/>
  <c r="CK515" i="6"/>
  <c r="CU515" i="6" s="1"/>
  <c r="BW515" i="6"/>
  <c r="CG515" i="6" s="1"/>
  <c r="AB515" i="6"/>
  <c r="AF515" i="6" s="1"/>
  <c r="CA515" i="6"/>
  <c r="BN514" i="6"/>
  <c r="BR514" i="6" s="1"/>
  <c r="AT514" i="6"/>
  <c r="AT513" i="6"/>
  <c r="BN513" i="6"/>
  <c r="BR513" i="6" s="1"/>
  <c r="N516" i="6"/>
  <c r="X516" i="6"/>
  <c r="AK516" i="6" s="1"/>
  <c r="AS516" i="6" l="1"/>
  <c r="AT515" i="6"/>
  <c r="BN515" i="6"/>
  <c r="BR515" i="6" s="1"/>
  <c r="BW516" i="6"/>
  <c r="CG516" i="6" s="1"/>
  <c r="CK516" i="6"/>
  <c r="CU516" i="6" s="1"/>
  <c r="CO516" i="6"/>
  <c r="AB516" i="6"/>
  <c r="AF516" i="6" s="1"/>
  <c r="CA516" i="6"/>
  <c r="N517" i="6"/>
  <c r="X517" i="6"/>
  <c r="AK517" i="6" s="1"/>
  <c r="AS517" i="6" l="1"/>
  <c r="BN516" i="6"/>
  <c r="BR516" i="6" s="1"/>
  <c r="AT516" i="6"/>
  <c r="CA517" i="6"/>
  <c r="CK517" i="6"/>
  <c r="CU517" i="6" s="1"/>
  <c r="BW517" i="6"/>
  <c r="CG517" i="6" s="1"/>
  <c r="AB517" i="6"/>
  <c r="AF517" i="6" s="1"/>
  <c r="CO517" i="6"/>
  <c r="X518" i="6"/>
  <c r="AK518" i="6" s="1"/>
  <c r="N518" i="6"/>
  <c r="AS518" i="6" l="1"/>
  <c r="CK518" i="6"/>
  <c r="CU518" i="6" s="1"/>
  <c r="AB518" i="6"/>
  <c r="AF518" i="6" s="1"/>
  <c r="BW518" i="6"/>
  <c r="CG518" i="6" s="1"/>
  <c r="CO518" i="6"/>
  <c r="CA518" i="6"/>
  <c r="AT517" i="6"/>
  <c r="BN517" i="6"/>
  <c r="BR517" i="6" s="1"/>
  <c r="X519" i="6"/>
  <c r="AK519" i="6" s="1"/>
  <c r="N519" i="6"/>
  <c r="AS519" i="6" l="1"/>
  <c r="BN518" i="6"/>
  <c r="BR518" i="6" s="1"/>
  <c r="AT518" i="6"/>
  <c r="CA519" i="6"/>
  <c r="CK519" i="6"/>
  <c r="CU519" i="6" s="1"/>
  <c r="BW519" i="6"/>
  <c r="CG519" i="6" s="1"/>
  <c r="CO519" i="6"/>
  <c r="AB519" i="6"/>
  <c r="AF519" i="6" s="1"/>
  <c r="N520" i="6"/>
  <c r="X520" i="6"/>
  <c r="AK520" i="6" s="1"/>
  <c r="AS520" i="6" l="1"/>
  <c r="AT519" i="6"/>
  <c r="BN519" i="6"/>
  <c r="BR519" i="6" s="1"/>
  <c r="BW520" i="6"/>
  <c r="CG520" i="6" s="1"/>
  <c r="CO520" i="6"/>
  <c r="AB520" i="6"/>
  <c r="AF520" i="6" s="1"/>
  <c r="CA520" i="6"/>
  <c r="CK520" i="6"/>
  <c r="CU520" i="6" s="1"/>
  <c r="N521" i="6"/>
  <c r="X521" i="6"/>
  <c r="AK521" i="6" s="1"/>
  <c r="AS521" i="6" l="1"/>
  <c r="CO521" i="6"/>
  <c r="CK521" i="6"/>
  <c r="CU521" i="6" s="1"/>
  <c r="AB521" i="6"/>
  <c r="AF521" i="6" s="1"/>
  <c r="BW521" i="6"/>
  <c r="CG521" i="6" s="1"/>
  <c r="CA521" i="6"/>
  <c r="AT520" i="6"/>
  <c r="BN520" i="6"/>
  <c r="BR520" i="6" s="1"/>
  <c r="X522" i="6"/>
  <c r="AK522" i="6" s="1"/>
  <c r="N522" i="6"/>
  <c r="AS522" i="6" l="1"/>
  <c r="BW522" i="6"/>
  <c r="CG522" i="6" s="1"/>
  <c r="CK522" i="6"/>
  <c r="CU522" i="6" s="1"/>
  <c r="AB522" i="6"/>
  <c r="AF522" i="6" s="1"/>
  <c r="CO522" i="6"/>
  <c r="CA522" i="6"/>
  <c r="AT521" i="6"/>
  <c r="BN521" i="6"/>
  <c r="BR521" i="6" s="1"/>
  <c r="X523" i="6"/>
  <c r="AK523" i="6" s="1"/>
  <c r="N523" i="6"/>
  <c r="AS523" i="6" l="1"/>
  <c r="CA523" i="6"/>
  <c r="CK523" i="6"/>
  <c r="CU523" i="6" s="1"/>
  <c r="BW523" i="6"/>
  <c r="CG523" i="6" s="1"/>
  <c r="CO523" i="6"/>
  <c r="AB523" i="6"/>
  <c r="AF523" i="6" s="1"/>
  <c r="AT522" i="6"/>
  <c r="BN522" i="6"/>
  <c r="BR522" i="6" s="1"/>
  <c r="X524" i="6"/>
  <c r="AK524" i="6" s="1"/>
  <c r="N524" i="6"/>
  <c r="AS524" i="6" l="1"/>
  <c r="BW524" i="6"/>
  <c r="CG524" i="6" s="1"/>
  <c r="AB524" i="6"/>
  <c r="AF524" i="6" s="1"/>
  <c r="CO524" i="6"/>
  <c r="CA524" i="6"/>
  <c r="CK524" i="6"/>
  <c r="CU524" i="6" s="1"/>
  <c r="BN523" i="6"/>
  <c r="BR523" i="6" s="1"/>
  <c r="AT523" i="6"/>
  <c r="X525" i="6"/>
  <c r="AK525" i="6" s="1"/>
  <c r="N525" i="6"/>
  <c r="AS525" i="6" l="1"/>
  <c r="BW525" i="6"/>
  <c r="CG525" i="6" s="1"/>
  <c r="AB525" i="6"/>
  <c r="AF525" i="6" s="1"/>
  <c r="CO525" i="6"/>
  <c r="CA525" i="6"/>
  <c r="CK525" i="6"/>
  <c r="CU525" i="6" s="1"/>
  <c r="AT524" i="6"/>
  <c r="BN524" i="6"/>
  <c r="BR524" i="6" s="1"/>
  <c r="N526" i="6"/>
  <c r="X526" i="6"/>
  <c r="AK526" i="6" s="1"/>
  <c r="AS526" i="6" l="1"/>
  <c r="AB526" i="6"/>
  <c r="AF526" i="6" s="1"/>
  <c r="CO526" i="6"/>
  <c r="BW526" i="6"/>
  <c r="CG526" i="6" s="1"/>
  <c r="CK526" i="6"/>
  <c r="CU526" i="6" s="1"/>
  <c r="CA526" i="6"/>
  <c r="AT525" i="6"/>
  <c r="BN525" i="6"/>
  <c r="BR525" i="6" s="1"/>
  <c r="N527" i="6"/>
  <c r="X527" i="6"/>
  <c r="AK527" i="6" s="1"/>
  <c r="AS527" i="6" l="1"/>
  <c r="CA527" i="6"/>
  <c r="CK527" i="6"/>
  <c r="CU527" i="6" s="1"/>
  <c r="BW527" i="6"/>
  <c r="CG527" i="6" s="1"/>
  <c r="AB527" i="6"/>
  <c r="AF527" i="6" s="1"/>
  <c r="CO527" i="6"/>
  <c r="AT526" i="6"/>
  <c r="BN526" i="6"/>
  <c r="BR526" i="6" s="1"/>
  <c r="X528" i="6"/>
  <c r="AK528" i="6" s="1"/>
  <c r="N528" i="6"/>
  <c r="AS528" i="6" l="1"/>
  <c r="CA528" i="6"/>
  <c r="CK528" i="6"/>
  <c r="CU528" i="6" s="1"/>
  <c r="BW528" i="6"/>
  <c r="CG528" i="6" s="1"/>
  <c r="AB528" i="6"/>
  <c r="AF528" i="6" s="1"/>
  <c r="CO528" i="6"/>
  <c r="BN527" i="6"/>
  <c r="BR527" i="6" s="1"/>
  <c r="AT527" i="6"/>
  <c r="N529" i="6"/>
  <c r="X529" i="6"/>
  <c r="AK529" i="6" s="1"/>
  <c r="AS529" i="6" l="1"/>
  <c r="BN528" i="6"/>
  <c r="BR528" i="6" s="1"/>
  <c r="AT528" i="6"/>
  <c r="BW529" i="6"/>
  <c r="CG529" i="6" s="1"/>
  <c r="CK529" i="6"/>
  <c r="CU529" i="6" s="1"/>
  <c r="CO529" i="6"/>
  <c r="CA529" i="6"/>
  <c r="AB529" i="6"/>
  <c r="AF529" i="6" s="1"/>
  <c r="N530" i="6"/>
  <c r="X530" i="6"/>
  <c r="AK530" i="6" s="1"/>
  <c r="AS530" i="6" l="1"/>
  <c r="BW530" i="6"/>
  <c r="CG530" i="6" s="1"/>
  <c r="CA530" i="6"/>
  <c r="CO530" i="6"/>
  <c r="AB530" i="6"/>
  <c r="AF530" i="6" s="1"/>
  <c r="CK530" i="6"/>
  <c r="CU530" i="6" s="1"/>
  <c r="BN529" i="6"/>
  <c r="BR529" i="6" s="1"/>
  <c r="AT529" i="6"/>
  <c r="X531" i="6"/>
  <c r="AK531" i="6" s="1"/>
  <c r="N531" i="6"/>
  <c r="AS531" i="6" l="1"/>
  <c r="AB531" i="6"/>
  <c r="AF531" i="6" s="1"/>
  <c r="CK531" i="6"/>
  <c r="CU531" i="6" s="1"/>
  <c r="BW531" i="6"/>
  <c r="CG531" i="6" s="1"/>
  <c r="CO531" i="6"/>
  <c r="CA531" i="6"/>
  <c r="AT530" i="6"/>
  <c r="BN530" i="6"/>
  <c r="BR530" i="6" s="1"/>
  <c r="N532" i="6"/>
  <c r="X532" i="6"/>
  <c r="AK532" i="6" s="1"/>
  <c r="AS532" i="6" l="1"/>
  <c r="BW532" i="6"/>
  <c r="CG532" i="6" s="1"/>
  <c r="CA532" i="6"/>
  <c r="CK532" i="6"/>
  <c r="CU532" i="6" s="1"/>
  <c r="CO532" i="6"/>
  <c r="AB532" i="6"/>
  <c r="AF532" i="6" s="1"/>
  <c r="BN531" i="6"/>
  <c r="BR531" i="6" s="1"/>
  <c r="AT531" i="6"/>
  <c r="X533" i="6"/>
  <c r="AK533" i="6" s="1"/>
  <c r="N533" i="6"/>
  <c r="AS533" i="6" l="1"/>
  <c r="CA533" i="6"/>
  <c r="BW533" i="6"/>
  <c r="CG533" i="6" s="1"/>
  <c r="CK533" i="6"/>
  <c r="CU533" i="6" s="1"/>
  <c r="CO533" i="6"/>
  <c r="AB533" i="6"/>
  <c r="AF533" i="6" s="1"/>
  <c r="AT532" i="6"/>
  <c r="BN532" i="6"/>
  <c r="BR532" i="6" s="1"/>
  <c r="X186" i="6"/>
  <c r="AK186" i="6" s="1"/>
  <c r="AT533" i="6" l="1"/>
  <c r="BN533" i="6"/>
  <c r="BR533" i="6" s="1"/>
  <c r="N186" i="6"/>
  <c r="N73" i="6"/>
  <c r="X73" i="6"/>
  <c r="AK73" i="6" s="1"/>
  <c r="AS186" i="6" l="1"/>
  <c r="AS73" i="6"/>
  <c r="CO186" i="6"/>
  <c r="CK186" i="6"/>
  <c r="CU186" i="6" s="1"/>
  <c r="AB186" i="6"/>
  <c r="AF186" i="6" s="1"/>
  <c r="BW186" i="6"/>
  <c r="CG186" i="6" s="1"/>
  <c r="CA186" i="6"/>
  <c r="BW73" i="6"/>
  <c r="CG73" i="6" s="1"/>
  <c r="CA73" i="6"/>
  <c r="CO73" i="6"/>
  <c r="AB73" i="6"/>
  <c r="AF73" i="6" s="1"/>
  <c r="CK73" i="6"/>
  <c r="CU73" i="6" s="1"/>
  <c r="X44" i="6"/>
  <c r="AK44" i="6" s="1"/>
  <c r="BN186" i="6" l="1"/>
  <c r="BR186" i="6" s="1"/>
  <c r="AT186" i="6"/>
  <c r="AT73" i="6"/>
  <c r="BN73" i="6"/>
  <c r="BR73" i="6" s="1"/>
  <c r="X36" i="6"/>
  <c r="AK36" i="6" s="1"/>
  <c r="X47" i="6" l="1"/>
  <c r="AK47" i="6" s="1"/>
  <c r="X18" i="6" l="1"/>
  <c r="AK18" i="6" s="1"/>
  <c r="X124" i="6" l="1"/>
  <c r="AK124" i="6" s="1"/>
  <c r="N124" i="6"/>
  <c r="AS124" i="6" l="1"/>
  <c r="CO124" i="6"/>
  <c r="CK124" i="6"/>
  <c r="CU124" i="6" s="1"/>
  <c r="BW124" i="6"/>
  <c r="CG124" i="6" s="1"/>
  <c r="AB124" i="6"/>
  <c r="AF124" i="6" s="1"/>
  <c r="CA124" i="6"/>
  <c r="N122" i="6"/>
  <c r="X122" i="6"/>
  <c r="AK122" i="6" s="1"/>
  <c r="AS122" i="6" l="1"/>
  <c r="CO122" i="6"/>
  <c r="BW122" i="6"/>
  <c r="CG122" i="6" s="1"/>
  <c r="CK122" i="6"/>
  <c r="CU122" i="6" s="1"/>
  <c r="CA122" i="6"/>
  <c r="AB122" i="6"/>
  <c r="AF122" i="6" s="1"/>
  <c r="BN124" i="6"/>
  <c r="BR124" i="6" s="1"/>
  <c r="AT124" i="6"/>
  <c r="X104" i="6"/>
  <c r="AK104" i="6" s="1"/>
  <c r="N104" i="6"/>
  <c r="AS104" i="6" l="1"/>
  <c r="BN122" i="6"/>
  <c r="BR122" i="6" s="1"/>
  <c r="AT122" i="6"/>
  <c r="AB104" i="6"/>
  <c r="AF104" i="6" s="1"/>
  <c r="CK104" i="6"/>
  <c r="CU104" i="6" s="1"/>
  <c r="BW104" i="6"/>
  <c r="CG104" i="6" s="1"/>
  <c r="CO104" i="6"/>
  <c r="CA104" i="6"/>
  <c r="X69" i="6"/>
  <c r="AK69" i="6" s="1"/>
  <c r="N69" i="6"/>
  <c r="AS69" i="6" l="1"/>
  <c r="CK69" i="6"/>
  <c r="CU69" i="6" s="1"/>
  <c r="BW69" i="6"/>
  <c r="CG69" i="6" s="1"/>
  <c r="AB69" i="6"/>
  <c r="AF69" i="6" s="1"/>
  <c r="CA69" i="6"/>
  <c r="CO69" i="6"/>
  <c r="BN104" i="6"/>
  <c r="BR104" i="6" s="1"/>
  <c r="AT104" i="6"/>
  <c r="N534" i="6"/>
  <c r="X534" i="6"/>
  <c r="AK534" i="6" s="1"/>
  <c r="AS534" i="6" l="1"/>
  <c r="CO534" i="6"/>
  <c r="BW534" i="6"/>
  <c r="CG534" i="6" s="1"/>
  <c r="CK534" i="6"/>
  <c r="CU534" i="6" s="1"/>
  <c r="AB534" i="6"/>
  <c r="AF534" i="6" s="1"/>
  <c r="CA534" i="6"/>
  <c r="BN69" i="6"/>
  <c r="BR69" i="6" s="1"/>
  <c r="AT69" i="6"/>
  <c r="N280" i="6"/>
  <c r="AK280" i="6"/>
  <c r="AS280" i="6" l="1"/>
  <c r="AB280" i="6"/>
  <c r="AF280" i="6" s="1"/>
  <c r="BW280" i="6"/>
  <c r="CG280" i="6" s="1"/>
  <c r="CK280" i="6"/>
  <c r="CU280" i="6" s="1"/>
  <c r="CO280" i="6"/>
  <c r="CA280" i="6"/>
  <c r="AT534" i="6"/>
  <c r="BN534" i="6"/>
  <c r="BR534" i="6" s="1"/>
  <c r="AK328" i="6"/>
  <c r="N328" i="6"/>
  <c r="AS328" i="6" l="1"/>
  <c r="BN280" i="6"/>
  <c r="BR280" i="6" s="1"/>
  <c r="AT280" i="6"/>
  <c r="CO328" i="6"/>
  <c r="CA328" i="6"/>
  <c r="BW328" i="6"/>
  <c r="CG328" i="6" s="1"/>
  <c r="CK328" i="6"/>
  <c r="CU328" i="6" s="1"/>
  <c r="AB328" i="6"/>
  <c r="AF328" i="6" s="1"/>
  <c r="N281" i="6"/>
  <c r="AK281" i="6"/>
  <c r="AS281" i="6" l="1"/>
  <c r="BN328" i="6"/>
  <c r="BR328" i="6" s="1"/>
  <c r="AT328" i="6"/>
  <c r="CA281" i="6"/>
  <c r="BW281" i="6"/>
  <c r="CG281" i="6" s="1"/>
  <c r="AB281" i="6"/>
  <c r="AF281" i="6" s="1"/>
  <c r="CK281" i="6"/>
  <c r="CU281" i="6" s="1"/>
  <c r="CO281" i="6"/>
  <c r="N282" i="6"/>
  <c r="AK282" i="6"/>
  <c r="AS282" i="6" l="1"/>
  <c r="CA282" i="6"/>
  <c r="BW282" i="6"/>
  <c r="CG282" i="6" s="1"/>
  <c r="CK282" i="6"/>
  <c r="CU282" i="6" s="1"/>
  <c r="AB282" i="6"/>
  <c r="AF282" i="6" s="1"/>
  <c r="CO282" i="6"/>
  <c r="BN281" i="6"/>
  <c r="BR281" i="6" s="1"/>
  <c r="AT281" i="6"/>
  <c r="AK235" i="6"/>
  <c r="N235" i="6"/>
  <c r="AS235" i="6" l="1"/>
  <c r="CO235" i="6"/>
  <c r="BW235" i="6"/>
  <c r="CG235" i="6" s="1"/>
  <c r="CK235" i="6"/>
  <c r="CU235" i="6" s="1"/>
  <c r="CA235" i="6"/>
  <c r="AB235" i="6"/>
  <c r="AF235" i="6" s="1"/>
  <c r="AT282" i="6"/>
  <c r="BN282" i="6"/>
  <c r="BR282" i="6" s="1"/>
  <c r="N257" i="6"/>
  <c r="AK257" i="6"/>
  <c r="AS257" i="6" l="1"/>
  <c r="CO257" i="6"/>
  <c r="BW257" i="6"/>
  <c r="CG257" i="6" s="1"/>
  <c r="CK257" i="6"/>
  <c r="CU257" i="6" s="1"/>
  <c r="AB257" i="6"/>
  <c r="AF257" i="6" s="1"/>
  <c r="CA257" i="6"/>
  <c r="AT235" i="6"/>
  <c r="BN235" i="6"/>
  <c r="BR235" i="6" s="1"/>
  <c r="N258" i="6"/>
  <c r="AK258" i="6"/>
  <c r="AS258" i="6" l="1"/>
  <c r="BW258" i="6"/>
  <c r="CG258" i="6" s="1"/>
  <c r="AB258" i="6"/>
  <c r="AF258" i="6" s="1"/>
  <c r="CK258" i="6"/>
  <c r="CU258" i="6" s="1"/>
  <c r="CA258" i="6"/>
  <c r="CO258" i="6"/>
  <c r="BN257" i="6"/>
  <c r="BR257" i="6" s="1"/>
  <c r="AT257" i="6"/>
  <c r="N283" i="6"/>
  <c r="AK283" i="6"/>
  <c r="AS283" i="6" l="1"/>
  <c r="BN283" i="6" s="1"/>
  <c r="BR283" i="6" s="1"/>
  <c r="AT258" i="6"/>
  <c r="BN258" i="6"/>
  <c r="BR258" i="6" s="1"/>
  <c r="CO283" i="6"/>
  <c r="CK283" i="6"/>
  <c r="CU283" i="6" s="1"/>
  <c r="CA283" i="6"/>
  <c r="AB283" i="6"/>
  <c r="AF283" i="6" s="1"/>
  <c r="BW283" i="6"/>
  <c r="CG283" i="6" s="1"/>
  <c r="N46" i="6"/>
  <c r="AK46" i="6"/>
  <c r="AS46" i="6" l="1"/>
  <c r="AT283" i="6"/>
  <c r="CK46" i="6"/>
  <c r="CU46" i="6" s="1"/>
  <c r="AB46" i="6"/>
  <c r="AF46" i="6" s="1"/>
  <c r="CO46" i="6"/>
  <c r="BW46" i="6"/>
  <c r="CG46" i="6" s="1"/>
  <c r="CA46" i="6"/>
  <c r="AK329" i="6"/>
  <c r="N329" i="6"/>
  <c r="AS329" i="6" l="1"/>
  <c r="CK329" i="6"/>
  <c r="CU329" i="6" s="1"/>
  <c r="CA329" i="6"/>
  <c r="AB329" i="6"/>
  <c r="AF329" i="6" s="1"/>
  <c r="CO329" i="6"/>
  <c r="BW329" i="6"/>
  <c r="CG329" i="6" s="1"/>
  <c r="BN46" i="6"/>
  <c r="BR46" i="6" s="1"/>
  <c r="AT46" i="6"/>
  <c r="BN329" i="6" l="1"/>
  <c r="BR329" i="6" s="1"/>
  <c r="AT329" i="6"/>
  <c r="N330" i="6" l="1"/>
  <c r="AK330" i="6"/>
  <c r="AS330" i="6" l="1"/>
  <c r="CA330" i="6"/>
  <c r="CO330" i="6"/>
  <c r="CK330" i="6"/>
  <c r="CU330" i="6" s="1"/>
  <c r="BW330" i="6"/>
  <c r="CG330" i="6" s="1"/>
  <c r="AB330" i="6"/>
  <c r="AF330" i="6" s="1"/>
  <c r="N331" i="6"/>
  <c r="AK331" i="6"/>
  <c r="AS331" i="6" l="1"/>
  <c r="AB331" i="6"/>
  <c r="AF331" i="6" s="1"/>
  <c r="CK331" i="6"/>
  <c r="CU331" i="6" s="1"/>
  <c r="BW331" i="6"/>
  <c r="CG331" i="6" s="1"/>
  <c r="CO331" i="6"/>
  <c r="CA331" i="6"/>
  <c r="BN330" i="6"/>
  <c r="BR330" i="6" s="1"/>
  <c r="AT330" i="6"/>
  <c r="AK332" i="6"/>
  <c r="N332" i="6"/>
  <c r="AS332" i="6" l="1"/>
  <c r="CK332" i="6"/>
  <c r="CU332" i="6" s="1"/>
  <c r="CA332" i="6"/>
  <c r="AB332" i="6"/>
  <c r="AF332" i="6" s="1"/>
  <c r="BW332" i="6"/>
  <c r="CG332" i="6" s="1"/>
  <c r="CO332" i="6"/>
  <c r="BN331" i="6"/>
  <c r="BR331" i="6" s="1"/>
  <c r="AT331" i="6"/>
  <c r="AK284" i="6"/>
  <c r="N284" i="6"/>
  <c r="AS284" i="6" l="1"/>
  <c r="BN332" i="6"/>
  <c r="BR332" i="6" s="1"/>
  <c r="AT332" i="6"/>
  <c r="CA284" i="6"/>
  <c r="CO284" i="6"/>
  <c r="AB284" i="6"/>
  <c r="AF284" i="6" s="1"/>
  <c r="BW284" i="6"/>
  <c r="CG284" i="6" s="1"/>
  <c r="CK284" i="6"/>
  <c r="CU284" i="6" s="1"/>
  <c r="AK285" i="6"/>
  <c r="N285" i="6"/>
  <c r="AS285" i="6" l="1"/>
  <c r="BN284" i="6"/>
  <c r="BR284" i="6" s="1"/>
  <c r="AT284" i="6"/>
  <c r="CA285" i="6"/>
  <c r="CK285" i="6"/>
  <c r="CU285" i="6" s="1"/>
  <c r="AB285" i="6"/>
  <c r="AF285" i="6" s="1"/>
  <c r="CO285" i="6"/>
  <c r="BW285" i="6"/>
  <c r="CG285" i="6" s="1"/>
  <c r="AK286" i="6"/>
  <c r="N286" i="6"/>
  <c r="AS286" i="6" l="1"/>
  <c r="AB286" i="6"/>
  <c r="AF286" i="6" s="1"/>
  <c r="CO286" i="6"/>
  <c r="CK286" i="6"/>
  <c r="CU286" i="6" s="1"/>
  <c r="CA286" i="6"/>
  <c r="BW286" i="6"/>
  <c r="CG286" i="6" s="1"/>
  <c r="AT285" i="6"/>
  <c r="BN285" i="6"/>
  <c r="BR285" i="6" s="1"/>
  <c r="N287" i="6"/>
  <c r="AK287" i="6"/>
  <c r="AS287" i="6" l="1"/>
  <c r="AT286" i="6"/>
  <c r="BN286" i="6"/>
  <c r="BR286" i="6" s="1"/>
  <c r="CO287" i="6"/>
  <c r="CA287" i="6"/>
  <c r="CK287" i="6"/>
  <c r="CU287" i="6" s="1"/>
  <c r="AB287" i="6"/>
  <c r="AF287" i="6" s="1"/>
  <c r="BW287" i="6"/>
  <c r="CG287" i="6" s="1"/>
  <c r="AK333" i="6"/>
  <c r="AT287" i="6" l="1"/>
  <c r="BN287" i="6"/>
  <c r="BR287" i="6" s="1"/>
  <c r="N333" i="6"/>
  <c r="N288" i="6"/>
  <c r="AK288" i="6"/>
  <c r="AS333" i="6" l="1"/>
  <c r="AS288" i="6"/>
  <c r="CA288" i="6"/>
  <c r="CO288" i="6"/>
  <c r="BW288" i="6"/>
  <c r="CG288" i="6" s="1"/>
  <c r="CK288" i="6"/>
  <c r="CU288" i="6" s="1"/>
  <c r="AB288" i="6"/>
  <c r="AF288" i="6" s="1"/>
  <c r="BW333" i="6"/>
  <c r="CG333" i="6" s="1"/>
  <c r="CO333" i="6"/>
  <c r="CA333" i="6"/>
  <c r="AB333" i="6"/>
  <c r="AF333" i="6" s="1"/>
  <c r="CK333" i="6"/>
  <c r="CU333" i="6" s="1"/>
  <c r="N289" i="6"/>
  <c r="AK289" i="6"/>
  <c r="AS289" i="6" l="1"/>
  <c r="BN333" i="6"/>
  <c r="BR333" i="6" s="1"/>
  <c r="AT333" i="6"/>
  <c r="AT288" i="6"/>
  <c r="BN288" i="6"/>
  <c r="BR288" i="6" s="1"/>
  <c r="BW289" i="6"/>
  <c r="CG289" i="6" s="1"/>
  <c r="CK289" i="6"/>
  <c r="CU289" i="6" s="1"/>
  <c r="CA289" i="6"/>
  <c r="CO289" i="6"/>
  <c r="AB289" i="6"/>
  <c r="AF289" i="6" s="1"/>
  <c r="AK290" i="6"/>
  <c r="N290" i="6"/>
  <c r="AS290" i="6" l="1"/>
  <c r="CK290" i="6"/>
  <c r="CU290" i="6" s="1"/>
  <c r="CO290" i="6"/>
  <c r="CA290" i="6"/>
  <c r="AB290" i="6"/>
  <c r="AF290" i="6" s="1"/>
  <c r="BW290" i="6"/>
  <c r="CG290" i="6" s="1"/>
  <c r="BN289" i="6"/>
  <c r="BR289" i="6" s="1"/>
  <c r="AT289" i="6"/>
  <c r="AK334" i="6"/>
  <c r="N334" i="6"/>
  <c r="AS334" i="6" l="1"/>
  <c r="BW334" i="6"/>
  <c r="CG334" i="6" s="1"/>
  <c r="CO334" i="6"/>
  <c r="CA334" i="6"/>
  <c r="AB334" i="6"/>
  <c r="AF334" i="6" s="1"/>
  <c r="CK334" i="6"/>
  <c r="CU334" i="6" s="1"/>
  <c r="AT290" i="6"/>
  <c r="BN290" i="6"/>
  <c r="BR290" i="6" s="1"/>
  <c r="X335" i="6"/>
  <c r="AK335" i="6" s="1"/>
  <c r="N335" i="6"/>
  <c r="AS335" i="6" l="1"/>
  <c r="BN334" i="6"/>
  <c r="BR334" i="6" s="1"/>
  <c r="AT334" i="6"/>
  <c r="AB335" i="6"/>
  <c r="AF335" i="6" s="1"/>
  <c r="CA335" i="6"/>
  <c r="CK335" i="6"/>
  <c r="CU335" i="6" s="1"/>
  <c r="CO335" i="6"/>
  <c r="BW335" i="6"/>
  <c r="CG335" i="6" s="1"/>
  <c r="N336" i="6"/>
  <c r="X336" i="6"/>
  <c r="AK336" i="6" s="1"/>
  <c r="AS336" i="6" l="1"/>
  <c r="BN335" i="6"/>
  <c r="BR335" i="6" s="1"/>
  <c r="AT335" i="6"/>
  <c r="CK336" i="6"/>
  <c r="CU336" i="6" s="1"/>
  <c r="CO336" i="6"/>
  <c r="CA336" i="6"/>
  <c r="AB336" i="6"/>
  <c r="AF336" i="6" s="1"/>
  <c r="BW336" i="6"/>
  <c r="CG336" i="6" s="1"/>
  <c r="N225" i="6"/>
  <c r="X225" i="6"/>
  <c r="AK225" i="6" s="1"/>
  <c r="AS225" i="6" l="1"/>
  <c r="CO225" i="6"/>
  <c r="BW225" i="6"/>
  <c r="CG225" i="6" s="1"/>
  <c r="CK225" i="6"/>
  <c r="CU225" i="6" s="1"/>
  <c r="CA225" i="6"/>
  <c r="AB225" i="6"/>
  <c r="AF225" i="6" s="1"/>
  <c r="BN336" i="6"/>
  <c r="BR336" i="6" s="1"/>
  <c r="AT336" i="6"/>
  <c r="X72" i="6"/>
  <c r="AK72" i="6" s="1"/>
  <c r="N72" i="6"/>
  <c r="AS72" i="6" l="1"/>
  <c r="CO72" i="6"/>
  <c r="CK72" i="6"/>
  <c r="CU72" i="6" s="1"/>
  <c r="BW72" i="6"/>
  <c r="CG72" i="6" s="1"/>
  <c r="AB72" i="6"/>
  <c r="AF72" i="6" s="1"/>
  <c r="CA72" i="6"/>
  <c r="BN225" i="6"/>
  <c r="BR225" i="6" s="1"/>
  <c r="AT225" i="6"/>
  <c r="N71" i="6"/>
  <c r="X71" i="6"/>
  <c r="AK71" i="6" s="1"/>
  <c r="AS71" i="6" l="1"/>
  <c r="CA71" i="6"/>
  <c r="BW71" i="6"/>
  <c r="CG71" i="6" s="1"/>
  <c r="CK71" i="6"/>
  <c r="CU71" i="6" s="1"/>
  <c r="AB71" i="6"/>
  <c r="AF71" i="6" s="1"/>
  <c r="CO71" i="6"/>
  <c r="BN72" i="6"/>
  <c r="BR72" i="6" s="1"/>
  <c r="AT72" i="6"/>
  <c r="N54" i="6"/>
  <c r="X54" i="6"/>
  <c r="AK54" i="6" s="1"/>
  <c r="AS54" i="6" l="1"/>
  <c r="CO54" i="6"/>
  <c r="CA54" i="6"/>
  <c r="CK54" i="6"/>
  <c r="CU54" i="6" s="1"/>
  <c r="BW54" i="6"/>
  <c r="CG54" i="6" s="1"/>
  <c r="AB54" i="6"/>
  <c r="AF54" i="6" s="1"/>
  <c r="BN71" i="6"/>
  <c r="BR71" i="6" s="1"/>
  <c r="AT71" i="6"/>
  <c r="X28" i="6"/>
  <c r="AK28" i="6" s="1"/>
  <c r="N28" i="6"/>
  <c r="AS28" i="6" l="1"/>
  <c r="CK28" i="6"/>
  <c r="CU28" i="6" s="1"/>
  <c r="CA28" i="6"/>
  <c r="AB28" i="6"/>
  <c r="AF28" i="6" s="1"/>
  <c r="CO28" i="6"/>
  <c r="BW28" i="6"/>
  <c r="CG28" i="6" s="1"/>
  <c r="BN54" i="6"/>
  <c r="BR54" i="6" s="1"/>
  <c r="AT54" i="6"/>
  <c r="N78" i="6"/>
  <c r="X78" i="6"/>
  <c r="AK78" i="6" s="1"/>
  <c r="AS78" i="6" l="1"/>
  <c r="BN28" i="6"/>
  <c r="BR28" i="6" s="1"/>
  <c r="AT28" i="6"/>
  <c r="CK78" i="6"/>
  <c r="AB78" i="6"/>
  <c r="AF78" i="6" s="1"/>
  <c r="CA78" i="6"/>
  <c r="CO78" i="6"/>
  <c r="BW78" i="6"/>
  <c r="N268" i="6"/>
  <c r="X268" i="6"/>
  <c r="AK268" i="6" s="1"/>
  <c r="AS268" i="6" l="1"/>
  <c r="CG78" i="6"/>
  <c r="CU78" i="6"/>
  <c r="CK268" i="6"/>
  <c r="AB268" i="6"/>
  <c r="AF268" i="6" s="1"/>
  <c r="CA268" i="6"/>
  <c r="CO268" i="6"/>
  <c r="BW268" i="6"/>
  <c r="BN78" i="6"/>
  <c r="BR78" i="6" s="1"/>
  <c r="AT78" i="6"/>
  <c r="X340" i="6"/>
  <c r="AK340" i="6" s="1"/>
  <c r="N340" i="6"/>
  <c r="AS340" i="6" l="1"/>
  <c r="CG268" i="6"/>
  <c r="CU268" i="6"/>
  <c r="CO340" i="6"/>
  <c r="CA340" i="6"/>
  <c r="AB340" i="6"/>
  <c r="AF340" i="6" s="1"/>
  <c r="CK340" i="6"/>
  <c r="BW340" i="6"/>
  <c r="BN268" i="6"/>
  <c r="BR268" i="6" s="1"/>
  <c r="AT268" i="6"/>
  <c r="CG340" i="6" l="1"/>
  <c r="CU340" i="6"/>
  <c r="BN340" i="6"/>
  <c r="BR340" i="6" s="1"/>
  <c r="AT340" i="6"/>
  <c r="N691" i="6" l="1"/>
  <c r="X691" i="6"/>
  <c r="AK691" i="6" s="1"/>
  <c r="AS691" i="6" l="1"/>
  <c r="AB691" i="6"/>
  <c r="CO691" i="6"/>
  <c r="CA691" i="6"/>
  <c r="CK691" i="6"/>
  <c r="CU691" i="6" s="1"/>
  <c r="BW691" i="6"/>
  <c r="CG691" i="6" s="1"/>
  <c r="N341" i="6"/>
  <c r="X341" i="6"/>
  <c r="AK341" i="6" s="1"/>
  <c r="AS341" i="6" l="1"/>
  <c r="AT691" i="6"/>
  <c r="BN691" i="6"/>
  <c r="BR691" i="6" s="1"/>
  <c r="BW341" i="6"/>
  <c r="CG341" i="6" s="1"/>
  <c r="AO23" i="5" s="1"/>
  <c r="AS23" i="5" s="1"/>
  <c r="CK341" i="6"/>
  <c r="CU341" i="6" s="1"/>
  <c r="AT23" i="5" s="1"/>
  <c r="AX23" i="5" s="1"/>
  <c r="AB341" i="6"/>
  <c r="AF341" i="6" s="1"/>
  <c r="CO341" i="6"/>
  <c r="CA341" i="6"/>
  <c r="AF691" i="6"/>
  <c r="F23" i="5"/>
  <c r="AK23" i="5" s="1"/>
  <c r="AT341" i="6" l="1"/>
  <c r="BN341" i="6"/>
  <c r="BR341" i="6" l="1"/>
  <c r="G23" i="5"/>
  <c r="AL23" i="5" l="1"/>
  <c r="AM23" i="5" s="1"/>
  <c r="H23" i="5"/>
  <c r="N693" i="6" l="1"/>
  <c r="X693" i="6"/>
  <c r="AK693" i="6" s="1"/>
  <c r="AS693" i="6" l="1"/>
  <c r="AB693" i="6"/>
  <c r="AF693" i="6" s="1"/>
  <c r="CO693" i="6"/>
  <c r="CA693" i="6"/>
  <c r="BW693" i="6"/>
  <c r="CG693" i="6" s="1"/>
  <c r="CK693" i="6"/>
  <c r="CU693" i="6" s="1"/>
  <c r="X342" i="6"/>
  <c r="AK342" i="6" s="1"/>
  <c r="N342" i="6"/>
  <c r="AS342" i="6" l="1"/>
  <c r="CK342" i="6"/>
  <c r="CU342" i="6" s="1"/>
  <c r="CA342" i="6"/>
  <c r="AB342" i="6"/>
  <c r="AF342" i="6" s="1"/>
  <c r="CO342" i="6"/>
  <c r="BW342" i="6"/>
  <c r="CG342" i="6" s="1"/>
  <c r="BN693" i="6"/>
  <c r="BR693" i="6" s="1"/>
  <c r="AT693" i="6"/>
  <c r="X253" i="6"/>
  <c r="AK253" i="6" s="1"/>
  <c r="N253" i="6"/>
  <c r="AS253" i="6" l="1"/>
  <c r="BN342" i="6"/>
  <c r="BR342" i="6" s="1"/>
  <c r="AT342" i="6"/>
  <c r="CO253" i="6"/>
  <c r="BW253" i="6"/>
  <c r="CG253" i="6" s="1"/>
  <c r="CK253" i="6"/>
  <c r="CU253" i="6" s="1"/>
  <c r="CA253" i="6"/>
  <c r="AB253" i="6"/>
  <c r="AF253" i="6" s="1"/>
  <c r="N259" i="6"/>
  <c r="X259" i="6"/>
  <c r="AK259" i="6" s="1"/>
  <c r="AS259" i="6" l="1"/>
  <c r="BN253" i="6"/>
  <c r="BR253" i="6" s="1"/>
  <c r="AT253" i="6"/>
  <c r="CK259" i="6"/>
  <c r="CU259" i="6" s="1"/>
  <c r="CO259" i="6"/>
  <c r="CA259" i="6"/>
  <c r="BW259" i="6"/>
  <c r="CG259" i="6" s="1"/>
  <c r="AB259" i="6"/>
  <c r="AF259" i="6" s="1"/>
  <c r="AK68" i="6"/>
  <c r="N68" i="6"/>
  <c r="AS68" i="6" l="1"/>
  <c r="BN259" i="6"/>
  <c r="BR259" i="6" s="1"/>
  <c r="AT259" i="6"/>
  <c r="CK68" i="6"/>
  <c r="CU68" i="6" s="1"/>
  <c r="AB68" i="6"/>
  <c r="AF68" i="6" s="1"/>
  <c r="CA68" i="6"/>
  <c r="CO68" i="6"/>
  <c r="BW68" i="6"/>
  <c r="CG68" i="6" s="1"/>
  <c r="AK152" i="6"/>
  <c r="AT68" i="6" l="1"/>
  <c r="BN68" i="6"/>
  <c r="BR68" i="6" s="1"/>
  <c r="N152" i="6"/>
  <c r="N226" i="6"/>
  <c r="AK226" i="6"/>
  <c r="AS152" i="6" l="1"/>
  <c r="AS226" i="6"/>
  <c r="CA226" i="6"/>
  <c r="BW226" i="6"/>
  <c r="AB226" i="6"/>
  <c r="AF226" i="6" s="1"/>
  <c r="CK226" i="6"/>
  <c r="CO226" i="6"/>
  <c r="CO152" i="6"/>
  <c r="CK152" i="6"/>
  <c r="CA152" i="6"/>
  <c r="BW152" i="6"/>
  <c r="AB152" i="6"/>
  <c r="AF152" i="6" s="1"/>
  <c r="X142" i="6"/>
  <c r="AK142" i="6" s="1"/>
  <c r="N142" i="6"/>
  <c r="AS142" i="6" l="1"/>
  <c r="CG152" i="6"/>
  <c r="CU152" i="6"/>
  <c r="BN152" i="6"/>
  <c r="BR152" i="6" s="1"/>
  <c r="AT152" i="6"/>
  <c r="CG226" i="6"/>
  <c r="CO142" i="6"/>
  <c r="CK142" i="6"/>
  <c r="AB142" i="6"/>
  <c r="AF142" i="6" s="1"/>
  <c r="BW142" i="6"/>
  <c r="CA142" i="6"/>
  <c r="CU226" i="6"/>
  <c r="BN226" i="6"/>
  <c r="BR226" i="6" s="1"/>
  <c r="AT226" i="6"/>
  <c r="CG142" i="6" l="1"/>
  <c r="AT142" i="6"/>
  <c r="BN142" i="6"/>
  <c r="BR142" i="6" s="1"/>
  <c r="CU142" i="6"/>
  <c r="F20" i="5" l="1"/>
  <c r="AK20" i="5" s="1"/>
  <c r="F11" i="5"/>
  <c r="AK11" i="5" s="1"/>
  <c r="F16" i="5"/>
  <c r="AK16" i="5" s="1"/>
  <c r="F18" i="5"/>
  <c r="AK18" i="5" s="1"/>
  <c r="F17" i="5"/>
  <c r="AK17" i="5" s="1"/>
  <c r="F21" i="5"/>
  <c r="AK21" i="5" s="1"/>
  <c r="AO20" i="5" l="1"/>
  <c r="AO11" i="5"/>
  <c r="AO16" i="5"/>
  <c r="AO18" i="5"/>
  <c r="AO17" i="5"/>
  <c r="AO21" i="5"/>
  <c r="AT20" i="5"/>
  <c r="AX20" i="5" s="1"/>
  <c r="AT11" i="5"/>
  <c r="AT16" i="5"/>
  <c r="AX16" i="5" s="1"/>
  <c r="AT18" i="5"/>
  <c r="AX18" i="5" s="1"/>
  <c r="AT17" i="5"/>
  <c r="AX17" i="5" s="1"/>
  <c r="AT21" i="5"/>
  <c r="AX21" i="5" s="1"/>
  <c r="G20" i="5"/>
  <c r="G11" i="5"/>
  <c r="G16" i="5"/>
  <c r="G18" i="5"/>
  <c r="G17" i="5"/>
  <c r="G21" i="5"/>
  <c r="AS17" i="5" l="1"/>
  <c r="AS18" i="5"/>
  <c r="AS16" i="5"/>
  <c r="AS21" i="5"/>
  <c r="AS20" i="5"/>
  <c r="H16" i="5"/>
  <c r="AL16" i="5"/>
  <c r="AM16" i="5" s="1"/>
  <c r="H21" i="5"/>
  <c r="AL21" i="5"/>
  <c r="AM21" i="5" s="1"/>
  <c r="AL11" i="5"/>
  <c r="H11" i="5"/>
  <c r="AL17" i="5"/>
  <c r="AM17" i="5" s="1"/>
  <c r="H17" i="5"/>
  <c r="AL20" i="5"/>
  <c r="AM20" i="5" s="1"/>
  <c r="H20" i="5"/>
  <c r="AX11" i="5"/>
  <c r="AS11" i="5"/>
  <c r="AL18" i="5"/>
  <c r="AM18" i="5" s="1"/>
  <c r="H18" i="5"/>
  <c r="AM11" i="5" l="1"/>
  <c r="Q36" i="6" l="1"/>
  <c r="BL36" i="6" s="1"/>
  <c r="Q509" i="6"/>
  <c r="BL509" i="6" s="1"/>
  <c r="CN509" i="6" l="1"/>
  <c r="CX509" i="6" s="1"/>
  <c r="CR509" i="6"/>
  <c r="BZ509" i="6"/>
  <c r="CJ509" i="6" s="1"/>
  <c r="AE509" i="6"/>
  <c r="CD509" i="6"/>
  <c r="BZ36" i="6"/>
  <c r="CJ36" i="6" s="1"/>
  <c r="AE36" i="6"/>
  <c r="CD36" i="6"/>
  <c r="CN36" i="6"/>
  <c r="CX36" i="6" s="1"/>
  <c r="CR36" i="6"/>
  <c r="BQ509" i="6" l="1"/>
  <c r="BM509" i="6"/>
  <c r="BQ36" i="6"/>
  <c r="BM36" i="6"/>
  <c r="O47" i="6"/>
  <c r="AZ47" i="6" s="1"/>
  <c r="O510" i="6"/>
  <c r="AZ510" i="6" s="1"/>
  <c r="BX510" i="6" l="1"/>
  <c r="CH510" i="6" s="1"/>
  <c r="CB510" i="6"/>
  <c r="AC510" i="6"/>
  <c r="CP510" i="6"/>
  <c r="CL510" i="6"/>
  <c r="CV510" i="6" s="1"/>
  <c r="CL47" i="6"/>
  <c r="CV47" i="6" s="1"/>
  <c r="AC47" i="6"/>
  <c r="CP47" i="6"/>
  <c r="BX47" i="6"/>
  <c r="CH47" i="6" s="1"/>
  <c r="CB47" i="6"/>
  <c r="Q18" i="6"/>
  <c r="BL18" i="6" s="1"/>
  <c r="Q511" i="6"/>
  <c r="BL511" i="6" s="1"/>
  <c r="BO510" i="6" l="1"/>
  <c r="BA510" i="6"/>
  <c r="BZ511" i="6"/>
  <c r="CJ511" i="6" s="1"/>
  <c r="CD511" i="6"/>
  <c r="AE511" i="6"/>
  <c r="CN511" i="6"/>
  <c r="CX511" i="6" s="1"/>
  <c r="CR511" i="6"/>
  <c r="CN18" i="6"/>
  <c r="CX18" i="6" s="1"/>
  <c r="AE18" i="6"/>
  <c r="BZ18" i="6"/>
  <c r="CJ18" i="6" s="1"/>
  <c r="CD18" i="6"/>
  <c r="CR18" i="6"/>
  <c r="BO47" i="6"/>
  <c r="BA47" i="6"/>
  <c r="O36" i="6"/>
  <c r="AZ36" i="6" s="1"/>
  <c r="O509" i="6"/>
  <c r="AZ509" i="6" s="1"/>
  <c r="BX509" i="6" l="1"/>
  <c r="CH509" i="6" s="1"/>
  <c r="CB509" i="6"/>
  <c r="AC509" i="6"/>
  <c r="CL509" i="6"/>
  <c r="CV509" i="6" s="1"/>
  <c r="CP509" i="6"/>
  <c r="BQ18" i="6"/>
  <c r="BM18" i="6"/>
  <c r="CP36" i="6"/>
  <c r="AC36" i="6"/>
  <c r="BX36" i="6"/>
  <c r="CH36" i="6" s="1"/>
  <c r="CB36" i="6"/>
  <c r="CL36" i="6"/>
  <c r="CV36" i="6" s="1"/>
  <c r="BQ511" i="6"/>
  <c r="BM511" i="6"/>
  <c r="Q47" i="6"/>
  <c r="BL47" i="6" s="1"/>
  <c r="Q510" i="6"/>
  <c r="BL510" i="6" s="1"/>
  <c r="BO509" i="6" l="1"/>
  <c r="BA509" i="6"/>
  <c r="BZ510" i="6"/>
  <c r="CJ510" i="6" s="1"/>
  <c r="CD510" i="6"/>
  <c r="CN510" i="6"/>
  <c r="CX510" i="6" s="1"/>
  <c r="CR510" i="6"/>
  <c r="AE510" i="6"/>
  <c r="BZ47" i="6"/>
  <c r="CJ47" i="6" s="1"/>
  <c r="CD47" i="6"/>
  <c r="CN47" i="6"/>
  <c r="CX47" i="6" s="1"/>
  <c r="AE47" i="6"/>
  <c r="CR47" i="6"/>
  <c r="BO36" i="6"/>
  <c r="BA36" i="6"/>
  <c r="P47" i="6"/>
  <c r="BF47" i="6" s="1"/>
  <c r="P510" i="6"/>
  <c r="BF510" i="6" s="1"/>
  <c r="BM47" i="6" l="1"/>
  <c r="BQ47" i="6"/>
  <c r="CM510" i="6"/>
  <c r="CW510" i="6" s="1"/>
  <c r="AD510" i="6"/>
  <c r="CQ510" i="6"/>
  <c r="BY510" i="6"/>
  <c r="CI510" i="6" s="1"/>
  <c r="CC510" i="6"/>
  <c r="CM47" i="6"/>
  <c r="CW47" i="6" s="1"/>
  <c r="CQ47" i="6"/>
  <c r="BY47" i="6"/>
  <c r="CI47" i="6" s="1"/>
  <c r="CC47" i="6"/>
  <c r="AD47" i="6"/>
  <c r="BM510" i="6"/>
  <c r="BQ510" i="6"/>
  <c r="BG510" i="6" l="1"/>
  <c r="BP510" i="6"/>
  <c r="BP47" i="6"/>
  <c r="BG47" i="6"/>
  <c r="P18" i="6" l="1"/>
  <c r="BF18" i="6" s="1"/>
  <c r="P511" i="6"/>
  <c r="BF511" i="6" s="1"/>
  <c r="BY18" i="6" l="1"/>
  <c r="CI18" i="6" s="1"/>
  <c r="CC18" i="6"/>
  <c r="CM18" i="6"/>
  <c r="CW18" i="6" s="1"/>
  <c r="CQ18" i="6"/>
  <c r="AD18" i="6"/>
  <c r="CM511" i="6"/>
  <c r="CW511" i="6" s="1"/>
  <c r="CQ511" i="6"/>
  <c r="BY511" i="6"/>
  <c r="CI511" i="6" s="1"/>
  <c r="AD511" i="6"/>
  <c r="CC511" i="6"/>
  <c r="BP511" i="6" l="1"/>
  <c r="BG511" i="6"/>
  <c r="BG18" i="6"/>
  <c r="BP18" i="6"/>
  <c r="O18" i="6" l="1"/>
  <c r="AZ18" i="6" s="1"/>
  <c r="O511" i="6"/>
  <c r="AZ511" i="6" s="1"/>
  <c r="BX511" i="6" l="1"/>
  <c r="CH511" i="6" s="1"/>
  <c r="AC511" i="6"/>
  <c r="CB511" i="6"/>
  <c r="CP511" i="6"/>
  <c r="CL511" i="6"/>
  <c r="CV511" i="6" s="1"/>
  <c r="CL18" i="6"/>
  <c r="CV18" i="6" s="1"/>
  <c r="CP18" i="6"/>
  <c r="BX18" i="6"/>
  <c r="CH18" i="6" s="1"/>
  <c r="AC18" i="6"/>
  <c r="CB18" i="6"/>
  <c r="BO18" i="6" l="1"/>
  <c r="BA18" i="6"/>
  <c r="BA511" i="6"/>
  <c r="BO511" i="6"/>
  <c r="P36" i="6" l="1"/>
  <c r="BF36" i="6" s="1"/>
  <c r="P509" i="6"/>
  <c r="BF509" i="6" s="1"/>
  <c r="BY36" i="6" l="1"/>
  <c r="CI36" i="6" s="1"/>
  <c r="AD36" i="6"/>
  <c r="CC36" i="6"/>
  <c r="CM36" i="6"/>
  <c r="CW36" i="6" s="1"/>
  <c r="CQ36" i="6"/>
  <c r="CM509" i="6"/>
  <c r="CW509" i="6" s="1"/>
  <c r="CQ509" i="6"/>
  <c r="BY509" i="6"/>
  <c r="CI509" i="6" s="1"/>
  <c r="AD509" i="6"/>
  <c r="CC509" i="6"/>
  <c r="BG36" i="6" l="1"/>
  <c r="BP36" i="6"/>
  <c r="BP509" i="6"/>
  <c r="BG509" i="6"/>
  <c r="N36" i="6"/>
  <c r="N509" i="6"/>
  <c r="AS509" i="6" l="1"/>
  <c r="AS36" i="6"/>
  <c r="BW509" i="6"/>
  <c r="CG509" i="6" s="1"/>
  <c r="AB509" i="6"/>
  <c r="AF509" i="6" s="1"/>
  <c r="CA509" i="6"/>
  <c r="CK509" i="6"/>
  <c r="CU509" i="6" s="1"/>
  <c r="CO509" i="6"/>
  <c r="CK36" i="6"/>
  <c r="CU36" i="6" s="1"/>
  <c r="AB36" i="6"/>
  <c r="AF36" i="6" s="1"/>
  <c r="BW36" i="6"/>
  <c r="CG36" i="6" s="1"/>
  <c r="CA36" i="6"/>
  <c r="CO36" i="6"/>
  <c r="N47" i="6"/>
  <c r="N510" i="6"/>
  <c r="AS510" i="6" l="1"/>
  <c r="AS47" i="6"/>
  <c r="BN509" i="6"/>
  <c r="BR509" i="6" s="1"/>
  <c r="AT509" i="6"/>
  <c r="CK47" i="6"/>
  <c r="CU47" i="6" s="1"/>
  <c r="CO47" i="6"/>
  <c r="BW47" i="6"/>
  <c r="CG47" i="6" s="1"/>
  <c r="AB47" i="6"/>
  <c r="AF47" i="6" s="1"/>
  <c r="CA47" i="6"/>
  <c r="CK510" i="6"/>
  <c r="CU510" i="6" s="1"/>
  <c r="AB510" i="6"/>
  <c r="AF510" i="6" s="1"/>
  <c r="CO510" i="6"/>
  <c r="BW510" i="6"/>
  <c r="CG510" i="6" s="1"/>
  <c r="CA510" i="6"/>
  <c r="AT36" i="6"/>
  <c r="BN36" i="6"/>
  <c r="BR36" i="6" s="1"/>
  <c r="N18" i="6"/>
  <c r="N511" i="6"/>
  <c r="AS511" i="6" l="1"/>
  <c r="AS18" i="6"/>
  <c r="CK18" i="6"/>
  <c r="CU18" i="6" s="1"/>
  <c r="BW18" i="6"/>
  <c r="CG18" i="6" s="1"/>
  <c r="CO18" i="6"/>
  <c r="CA18" i="6"/>
  <c r="AB18" i="6"/>
  <c r="AF18" i="6" s="1"/>
  <c r="BN47" i="6"/>
  <c r="BR47" i="6" s="1"/>
  <c r="AT47" i="6"/>
  <c r="CK511" i="6"/>
  <c r="CU511" i="6" s="1"/>
  <c r="CO511" i="6"/>
  <c r="BW511" i="6"/>
  <c r="CG511" i="6" s="1"/>
  <c r="CA511" i="6"/>
  <c r="AB511" i="6"/>
  <c r="AF511" i="6" s="1"/>
  <c r="AT510" i="6"/>
  <c r="BN510" i="6"/>
  <c r="BR510" i="6" s="1"/>
  <c r="AT511" i="6" l="1"/>
  <c r="BN511" i="6"/>
  <c r="BR511" i="6" s="1"/>
  <c r="BN18" i="6"/>
  <c r="BR18" i="6" s="1"/>
  <c r="AT18" i="6"/>
  <c r="O44" i="6" l="1"/>
  <c r="AZ44" i="6" s="1"/>
  <c r="O508" i="6"/>
  <c r="AZ508" i="6" s="1"/>
  <c r="BX508" i="6" l="1"/>
  <c r="CH508" i="6" s="1"/>
  <c r="CB508" i="6"/>
  <c r="CL508" i="6"/>
  <c r="CV508" i="6" s="1"/>
  <c r="CP508" i="6"/>
  <c r="AC508" i="6"/>
  <c r="CB44" i="6"/>
  <c r="AC44" i="6"/>
  <c r="CP44" i="6"/>
  <c r="BX44" i="6"/>
  <c r="CH44" i="6" s="1"/>
  <c r="CL44" i="6"/>
  <c r="CV44" i="6" s="1"/>
  <c r="AU19" i="5" l="1"/>
  <c r="BA44" i="6"/>
  <c r="BO44" i="6"/>
  <c r="BO508" i="6"/>
  <c r="BA508" i="6"/>
  <c r="J19" i="5"/>
  <c r="AP19" i="5"/>
  <c r="M19" i="5" l="1"/>
  <c r="P44" i="6"/>
  <c r="BF44" i="6" s="1"/>
  <c r="P508" i="6"/>
  <c r="BF508" i="6" s="1"/>
  <c r="BY44" i="6" l="1"/>
  <c r="CI44" i="6" s="1"/>
  <c r="CC44" i="6"/>
  <c r="AD44" i="6"/>
  <c r="CM44" i="6"/>
  <c r="CW44" i="6" s="1"/>
  <c r="CQ44" i="6"/>
  <c r="O19" i="5"/>
  <c r="N19" i="5"/>
  <c r="CM508" i="6"/>
  <c r="CW508" i="6" s="1"/>
  <c r="CQ508" i="6"/>
  <c r="BY508" i="6"/>
  <c r="CI508" i="6" s="1"/>
  <c r="AD508" i="6"/>
  <c r="Q19" i="5" s="1"/>
  <c r="CC508" i="6"/>
  <c r="AQ19" i="5" l="1"/>
  <c r="BP508" i="6"/>
  <c r="BG508" i="6"/>
  <c r="BG44" i="6"/>
  <c r="BP44" i="6"/>
  <c r="AV19" i="5"/>
  <c r="Q44" i="6"/>
  <c r="BL44" i="6" s="1"/>
  <c r="N44" i="6"/>
  <c r="Q508" i="6"/>
  <c r="BL508" i="6" s="1"/>
  <c r="N508" i="6"/>
  <c r="AS44" i="6" l="1"/>
  <c r="AS508" i="6"/>
  <c r="BW508" i="6"/>
  <c r="CG508" i="6" s="1"/>
  <c r="CA508" i="6"/>
  <c r="CK508" i="6"/>
  <c r="CU508" i="6" s="1"/>
  <c r="CO508" i="6"/>
  <c r="AB508" i="6"/>
  <c r="BW44" i="6"/>
  <c r="CG44" i="6" s="1"/>
  <c r="CA44" i="6"/>
  <c r="CK44" i="6"/>
  <c r="CU44" i="6" s="1"/>
  <c r="AB44" i="6"/>
  <c r="CO44" i="6"/>
  <c r="CN508" i="6"/>
  <c r="CX508" i="6" s="1"/>
  <c r="CR508" i="6"/>
  <c r="BZ508" i="6"/>
  <c r="CJ508" i="6" s="1"/>
  <c r="CD508" i="6"/>
  <c r="AE508" i="6"/>
  <c r="BZ44" i="6"/>
  <c r="CJ44" i="6" s="1"/>
  <c r="CR44" i="6"/>
  <c r="CN44" i="6"/>
  <c r="CX44" i="6" s="1"/>
  <c r="CD44" i="6"/>
  <c r="AE44" i="6"/>
  <c r="U19" i="5"/>
  <c r="T19" i="5"/>
  <c r="Z19" i="5" l="1"/>
  <c r="V19" i="5"/>
  <c r="BQ508" i="6"/>
  <c r="BM508" i="6"/>
  <c r="BN44" i="6"/>
  <c r="AT44" i="6"/>
  <c r="AT508" i="6"/>
  <c r="BN508" i="6"/>
  <c r="X19" i="5"/>
  <c r="W19" i="5"/>
  <c r="BM44" i="6"/>
  <c r="BQ44" i="6"/>
  <c r="AW19" i="5"/>
  <c r="AT19" i="5"/>
  <c r="AF44" i="6"/>
  <c r="AF508" i="6"/>
  <c r="F19" i="5"/>
  <c r="AR19" i="5"/>
  <c r="AO19" i="5"/>
  <c r="AK19" i="5" l="1"/>
  <c r="BR44" i="6"/>
  <c r="AS19" i="5"/>
  <c r="AX19" i="5"/>
  <c r="G19" i="5"/>
  <c r="BR508" i="6"/>
  <c r="AE19" i="5"/>
  <c r="AC19" i="5"/>
  <c r="AD19" i="5"/>
  <c r="AG19" i="5" l="1"/>
  <c r="AF19" i="5"/>
  <c r="AI19" i="5"/>
  <c r="AH19" i="5"/>
  <c r="H19" i="5"/>
  <c r="AL19" i="5"/>
  <c r="AM19" i="5" s="1"/>
  <c r="N161" i="6" l="1"/>
  <c r="N204" i="6"/>
  <c r="AS204" i="6" l="1"/>
  <c r="AS161" i="6"/>
  <c r="CA204" i="6"/>
  <c r="CO204" i="6"/>
  <c r="BW204" i="6"/>
  <c r="CG204" i="6" s="1"/>
  <c r="CK204" i="6"/>
  <c r="CU204" i="6" s="1"/>
  <c r="AB204" i="6"/>
  <c r="BW161" i="6"/>
  <c r="CG161" i="6" s="1"/>
  <c r="CA161" i="6"/>
  <c r="CK161" i="6"/>
  <c r="CU161" i="6" s="1"/>
  <c r="CO161" i="6"/>
  <c r="AB161" i="6"/>
  <c r="N160" i="6"/>
  <c r="AS160" i="6" l="1"/>
  <c r="CK160" i="6"/>
  <c r="CU160" i="6" s="1"/>
  <c r="BW160" i="6"/>
  <c r="CG160" i="6" s="1"/>
  <c r="CO160" i="6"/>
  <c r="CA160" i="6"/>
  <c r="AB160" i="6"/>
  <c r="AT161" i="6"/>
  <c r="BN161" i="6"/>
  <c r="AT204" i="6"/>
  <c r="BN204" i="6"/>
  <c r="N159" i="6"/>
  <c r="AS159" i="6" l="1"/>
  <c r="AT160" i="6"/>
  <c r="BN160" i="6"/>
  <c r="CO159" i="6"/>
  <c r="CK159" i="6"/>
  <c r="CU159" i="6" s="1"/>
  <c r="BW159" i="6"/>
  <c r="CG159" i="6" s="1"/>
  <c r="AB159" i="6"/>
  <c r="CA159" i="6"/>
  <c r="N560" i="6"/>
  <c r="AS560" i="6" l="1"/>
  <c r="AB560" i="6"/>
  <c r="CK560" i="6"/>
  <c r="CU560" i="6" s="1"/>
  <c r="CA560" i="6"/>
  <c r="BW560" i="6"/>
  <c r="CG560" i="6" s="1"/>
  <c r="CO560" i="6"/>
  <c r="AT159" i="6"/>
  <c r="BN159" i="6"/>
  <c r="N179" i="6"/>
  <c r="AS179" i="6" l="1"/>
  <c r="BW179" i="6"/>
  <c r="CG179" i="6" s="1"/>
  <c r="CK179" i="6"/>
  <c r="CU179" i="6" s="1"/>
  <c r="CO179" i="6"/>
  <c r="CA179" i="6"/>
  <c r="AB179" i="6"/>
  <c r="BN560" i="6"/>
  <c r="AT560" i="6"/>
  <c r="N559" i="6"/>
  <c r="AS559" i="6" l="1"/>
  <c r="AT179" i="6"/>
  <c r="BN179" i="6"/>
  <c r="CA559" i="6"/>
  <c r="AB559" i="6"/>
  <c r="CK559" i="6"/>
  <c r="CU559" i="6" s="1"/>
  <c r="BW559" i="6"/>
  <c r="CG559" i="6" s="1"/>
  <c r="CO559" i="6"/>
  <c r="N558" i="6"/>
  <c r="AS558" i="6" l="1"/>
  <c r="AB558" i="6"/>
  <c r="CO558" i="6"/>
  <c r="BW558" i="6"/>
  <c r="CG558" i="6" s="1"/>
  <c r="CK558" i="6"/>
  <c r="CU558" i="6" s="1"/>
  <c r="CA558" i="6"/>
  <c r="BN559" i="6"/>
  <c r="AT559" i="6"/>
  <c r="N557" i="6"/>
  <c r="AS557" i="6" l="1"/>
  <c r="CO557" i="6"/>
  <c r="CA557" i="6"/>
  <c r="BW557" i="6"/>
  <c r="CG557" i="6" s="1"/>
  <c r="CK557" i="6"/>
  <c r="CU557" i="6" s="1"/>
  <c r="AB557" i="6"/>
  <c r="AT558" i="6"/>
  <c r="BN558" i="6"/>
  <c r="N556" i="6"/>
  <c r="AS556" i="6" l="1"/>
  <c r="AT557" i="6"/>
  <c r="BN557" i="6"/>
  <c r="BW556" i="6"/>
  <c r="CG556" i="6" s="1"/>
  <c r="CO556" i="6"/>
  <c r="AB556" i="6"/>
  <c r="CA556" i="6"/>
  <c r="CK556" i="6"/>
  <c r="CU556" i="6" s="1"/>
  <c r="N45" i="6"/>
  <c r="AS45" i="6" l="1"/>
  <c r="BN556" i="6"/>
  <c r="AT556" i="6"/>
  <c r="CA45" i="6"/>
  <c r="BW45" i="6"/>
  <c r="CG45" i="6" s="1"/>
  <c r="CK45" i="6"/>
  <c r="CU45" i="6" s="1"/>
  <c r="AB45" i="6"/>
  <c r="CO45" i="6"/>
  <c r="N296" i="6"/>
  <c r="AS296" i="6" l="1"/>
  <c r="AT45" i="6"/>
  <c r="BN45" i="6"/>
  <c r="CK296" i="6"/>
  <c r="CU296" i="6" s="1"/>
  <c r="CA296" i="6"/>
  <c r="CO296" i="6"/>
  <c r="AB296" i="6"/>
  <c r="BW296" i="6"/>
  <c r="CG296" i="6" s="1"/>
  <c r="N34" i="6"/>
  <c r="AS34" i="6" l="1"/>
  <c r="CO34" i="6"/>
  <c r="CK34" i="6"/>
  <c r="CU34" i="6" s="1"/>
  <c r="AB34" i="6"/>
  <c r="BW34" i="6"/>
  <c r="CG34" i="6" s="1"/>
  <c r="CA34" i="6"/>
  <c r="BN296" i="6"/>
  <c r="AT296" i="6"/>
  <c r="N555" i="6"/>
  <c r="AS555" i="6" l="1"/>
  <c r="CO555" i="6"/>
  <c r="AB555" i="6"/>
  <c r="CK555" i="6"/>
  <c r="CU555" i="6" s="1"/>
  <c r="CA555" i="6"/>
  <c r="BW555" i="6"/>
  <c r="CG555" i="6" s="1"/>
  <c r="BN34" i="6"/>
  <c r="AT34" i="6"/>
  <c r="N554" i="6"/>
  <c r="AS554" i="6" l="1"/>
  <c r="CA554" i="6"/>
  <c r="CO554" i="6"/>
  <c r="AB554" i="6"/>
  <c r="BW554" i="6"/>
  <c r="CG554" i="6" s="1"/>
  <c r="CK554" i="6"/>
  <c r="CU554" i="6" s="1"/>
  <c r="AT555" i="6"/>
  <c r="BN555" i="6"/>
  <c r="N108" i="6"/>
  <c r="AS108" i="6" l="1"/>
  <c r="AT554" i="6"/>
  <c r="BN554" i="6"/>
  <c r="CA108" i="6"/>
  <c r="BW108" i="6"/>
  <c r="CG108" i="6" s="1"/>
  <c r="AB108" i="6"/>
  <c r="CK108" i="6"/>
  <c r="CU108" i="6" s="1"/>
  <c r="CO108" i="6"/>
  <c r="N553" i="6"/>
  <c r="AS553" i="6" l="1"/>
  <c r="AB553" i="6"/>
  <c r="BW553" i="6"/>
  <c r="CG553" i="6" s="1"/>
  <c r="CK553" i="6"/>
  <c r="CU553" i="6" s="1"/>
  <c r="CO553" i="6"/>
  <c r="CA553" i="6"/>
  <c r="BN108" i="6"/>
  <c r="AT108" i="6"/>
  <c r="N552" i="6"/>
  <c r="AS552" i="6" l="1"/>
  <c r="AB552" i="6"/>
  <c r="CK552" i="6"/>
  <c r="CU552" i="6" s="1"/>
  <c r="CA552" i="6"/>
  <c r="CO552" i="6"/>
  <c r="BW552" i="6"/>
  <c r="CG552" i="6" s="1"/>
  <c r="BN553" i="6"/>
  <c r="AT553" i="6"/>
  <c r="N550" i="6"/>
  <c r="AS550" i="6" l="1"/>
  <c r="AT552" i="6"/>
  <c r="BN552" i="6"/>
  <c r="BW550" i="6"/>
  <c r="CG550" i="6" s="1"/>
  <c r="CK550" i="6"/>
  <c r="CU550" i="6" s="1"/>
  <c r="CA550" i="6"/>
  <c r="CO550" i="6"/>
  <c r="AB550" i="6"/>
  <c r="N551" i="6"/>
  <c r="AS551" i="6" l="1"/>
  <c r="CO551" i="6"/>
  <c r="CK551" i="6"/>
  <c r="CU551" i="6" s="1"/>
  <c r="BW551" i="6"/>
  <c r="CG551" i="6" s="1"/>
  <c r="AB551" i="6"/>
  <c r="CA551" i="6"/>
  <c r="BN550" i="6"/>
  <c r="AT550" i="6"/>
  <c r="N549" i="6"/>
  <c r="AS549" i="6" l="1"/>
  <c r="BN551" i="6"/>
  <c r="AT551" i="6"/>
  <c r="CO549" i="6"/>
  <c r="CK549" i="6"/>
  <c r="CU549" i="6" s="1"/>
  <c r="BW549" i="6"/>
  <c r="CG549" i="6" s="1"/>
  <c r="AB549" i="6"/>
  <c r="CA549" i="6"/>
  <c r="N548" i="6"/>
  <c r="AS548" i="6" l="1"/>
  <c r="CK548" i="6"/>
  <c r="CU548" i="6" s="1"/>
  <c r="CO548" i="6"/>
  <c r="BW548" i="6"/>
  <c r="CG548" i="6" s="1"/>
  <c r="AB548" i="6"/>
  <c r="CA548" i="6"/>
  <c r="AT549" i="6"/>
  <c r="BN549" i="6"/>
  <c r="N100" i="6"/>
  <c r="AS100" i="6" l="1"/>
  <c r="AT548" i="6"/>
  <c r="BN548" i="6"/>
  <c r="CK100" i="6"/>
  <c r="CU100" i="6" s="1"/>
  <c r="CO100" i="6"/>
  <c r="CA100" i="6"/>
  <c r="BW100" i="6"/>
  <c r="CG100" i="6" s="1"/>
  <c r="AB100" i="6"/>
  <c r="N547" i="6"/>
  <c r="AS547" i="6" l="1"/>
  <c r="AT100" i="6"/>
  <c r="BN100" i="6"/>
  <c r="CK547" i="6"/>
  <c r="CU547" i="6" s="1"/>
  <c r="CO547" i="6"/>
  <c r="CA547" i="6"/>
  <c r="BW547" i="6"/>
  <c r="CG547" i="6" s="1"/>
  <c r="AB547" i="6"/>
  <c r="N117" i="6"/>
  <c r="AS117" i="6" l="1"/>
  <c r="CK117" i="6"/>
  <c r="CU117" i="6" s="1"/>
  <c r="BW117" i="6"/>
  <c r="CG117" i="6" s="1"/>
  <c r="CA117" i="6"/>
  <c r="AB117" i="6"/>
  <c r="CO117" i="6"/>
  <c r="BN547" i="6"/>
  <c r="AT547" i="6"/>
  <c r="N546" i="6"/>
  <c r="AS546" i="6" l="1"/>
  <c r="CA546" i="6"/>
  <c r="CK546" i="6"/>
  <c r="CU546" i="6" s="1"/>
  <c r="AB546" i="6"/>
  <c r="CO546" i="6"/>
  <c r="BW546" i="6"/>
  <c r="CG546" i="6" s="1"/>
  <c r="AT117" i="6"/>
  <c r="BN117" i="6"/>
  <c r="N107" i="6"/>
  <c r="AS107" i="6" l="1"/>
  <c r="CO107" i="6"/>
  <c r="BW107" i="6"/>
  <c r="CG107" i="6" s="1"/>
  <c r="CK107" i="6"/>
  <c r="CU107" i="6" s="1"/>
  <c r="AB107" i="6"/>
  <c r="CA107" i="6"/>
  <c r="AT546" i="6"/>
  <c r="BN546" i="6"/>
  <c r="N545" i="6"/>
  <c r="AS545" i="6" l="1"/>
  <c r="BN107" i="6"/>
  <c r="AT107" i="6"/>
  <c r="CO545" i="6"/>
  <c r="BW545" i="6"/>
  <c r="CG545" i="6" s="1"/>
  <c r="CK545" i="6"/>
  <c r="CU545" i="6" s="1"/>
  <c r="CA545" i="6"/>
  <c r="AB545" i="6"/>
  <c r="N544" i="6"/>
  <c r="AS544" i="6" l="1"/>
  <c r="AB544" i="6"/>
  <c r="CK544" i="6"/>
  <c r="CU544" i="6" s="1"/>
  <c r="BW544" i="6"/>
  <c r="CG544" i="6" s="1"/>
  <c r="CO544" i="6"/>
  <c r="CA544" i="6"/>
  <c r="BN545" i="6"/>
  <c r="AT545" i="6"/>
  <c r="N543" i="6"/>
  <c r="AS543" i="6" l="1"/>
  <c r="AT544" i="6"/>
  <c r="BN544" i="6"/>
  <c r="AB543" i="6"/>
  <c r="CO543" i="6"/>
  <c r="BW543" i="6"/>
  <c r="CG543" i="6" s="1"/>
  <c r="CK543" i="6"/>
  <c r="CU543" i="6" s="1"/>
  <c r="CA543" i="6"/>
  <c r="N542" i="6"/>
  <c r="AS542" i="6" l="1"/>
  <c r="BW542" i="6"/>
  <c r="CG542" i="6" s="1"/>
  <c r="CK542" i="6"/>
  <c r="CU542" i="6" s="1"/>
  <c r="CO542" i="6"/>
  <c r="CA542" i="6"/>
  <c r="AB542" i="6"/>
  <c r="AT543" i="6"/>
  <c r="BN543" i="6"/>
  <c r="N540" i="6"/>
  <c r="AS540" i="6" l="1"/>
  <c r="CA540" i="6"/>
  <c r="BW540" i="6"/>
  <c r="CG540" i="6" s="1"/>
  <c r="AB540" i="6"/>
  <c r="CK540" i="6"/>
  <c r="CU540" i="6" s="1"/>
  <c r="CO540" i="6"/>
  <c r="BN542" i="6"/>
  <c r="AT542" i="6"/>
  <c r="N541" i="6"/>
  <c r="AS541" i="6" l="1"/>
  <c r="BN540" i="6"/>
  <c r="AT540" i="6"/>
  <c r="CO541" i="6"/>
  <c r="BW541" i="6"/>
  <c r="CG541" i="6" s="1"/>
  <c r="CK541" i="6"/>
  <c r="CU541" i="6" s="1"/>
  <c r="CA541" i="6"/>
  <c r="AB541" i="6"/>
  <c r="N539" i="6"/>
  <c r="AS539" i="6" l="1"/>
  <c r="CK539" i="6"/>
  <c r="CU539" i="6" s="1"/>
  <c r="CA539" i="6"/>
  <c r="AB539" i="6"/>
  <c r="BW539" i="6"/>
  <c r="CG539" i="6" s="1"/>
  <c r="CO539" i="6"/>
  <c r="BN541" i="6"/>
  <c r="AT541" i="6"/>
  <c r="N538" i="6"/>
  <c r="AS538" i="6" l="1"/>
  <c r="CK538" i="6"/>
  <c r="CU538" i="6" s="1"/>
  <c r="AB538" i="6"/>
  <c r="CO538" i="6"/>
  <c r="CA538" i="6"/>
  <c r="BW538" i="6"/>
  <c r="CG538" i="6" s="1"/>
  <c r="BN539" i="6"/>
  <c r="AT539" i="6"/>
  <c r="N537" i="6"/>
  <c r="AS537" i="6" l="1"/>
  <c r="AT538" i="6"/>
  <c r="BN538" i="6"/>
  <c r="CO537" i="6"/>
  <c r="BW537" i="6"/>
  <c r="CG537" i="6" s="1"/>
  <c r="CK537" i="6"/>
  <c r="CU537" i="6" s="1"/>
  <c r="AB537" i="6"/>
  <c r="CA537" i="6"/>
  <c r="N536" i="6"/>
  <c r="AS536" i="6" l="1"/>
  <c r="BN537" i="6"/>
  <c r="AT537" i="6"/>
  <c r="AB536" i="6"/>
  <c r="BW536" i="6"/>
  <c r="CG536" i="6" s="1"/>
  <c r="CK536" i="6"/>
  <c r="CU536" i="6" s="1"/>
  <c r="CO536" i="6"/>
  <c r="CA536" i="6"/>
  <c r="N535" i="6"/>
  <c r="AS535" i="6" l="1"/>
  <c r="BW535" i="6"/>
  <c r="CG535" i="6" s="1"/>
  <c r="AO15" i="5" s="1"/>
  <c r="CA535" i="6"/>
  <c r="AB535" i="6"/>
  <c r="F15" i="5" s="1"/>
  <c r="CK535" i="6"/>
  <c r="CU535" i="6" s="1"/>
  <c r="AT15" i="5" s="1"/>
  <c r="CO535" i="6"/>
  <c r="AT536" i="6"/>
  <c r="BN536" i="6"/>
  <c r="N327" i="6"/>
  <c r="AS327" i="6" l="1"/>
  <c r="BN535" i="6"/>
  <c r="G15" i="5" s="1"/>
  <c r="AT535" i="6"/>
  <c r="CA327" i="6"/>
  <c r="BW327" i="6"/>
  <c r="CG327" i="6" s="1"/>
  <c r="CK327" i="6"/>
  <c r="CU327" i="6" s="1"/>
  <c r="AB327" i="6"/>
  <c r="CO327" i="6"/>
  <c r="N326" i="6"/>
  <c r="AS326" i="6" l="1"/>
  <c r="H15" i="5"/>
  <c r="CO326" i="6"/>
  <c r="AB326" i="6"/>
  <c r="CK326" i="6"/>
  <c r="CU326" i="6" s="1"/>
  <c r="CA326" i="6"/>
  <c r="BW326" i="6"/>
  <c r="CG326" i="6" s="1"/>
  <c r="AT327" i="6"/>
  <c r="BN327" i="6"/>
  <c r="N86" i="6"/>
  <c r="AS86" i="6" l="1"/>
  <c r="CK86" i="6"/>
  <c r="CU86" i="6" s="1"/>
  <c r="CA86" i="6"/>
  <c r="AB86" i="6"/>
  <c r="BW86" i="6"/>
  <c r="CG86" i="6" s="1"/>
  <c r="CO86" i="6"/>
  <c r="BN326" i="6"/>
  <c r="AT326" i="6"/>
  <c r="N84" i="6"/>
  <c r="AS84" i="6" l="1"/>
  <c r="CK84" i="6"/>
  <c r="CU84" i="6" s="1"/>
  <c r="AB84" i="6"/>
  <c r="CA84" i="6"/>
  <c r="CO84" i="6"/>
  <c r="BW84" i="6"/>
  <c r="CG84" i="6" s="1"/>
  <c r="AT86" i="6"/>
  <c r="BN86" i="6"/>
  <c r="N325" i="6"/>
  <c r="AS325" i="6" l="1"/>
  <c r="BN84" i="6"/>
  <c r="AT84" i="6"/>
  <c r="CA325" i="6"/>
  <c r="BW325" i="6"/>
  <c r="CG325" i="6" s="1"/>
  <c r="CO325" i="6"/>
  <c r="AB325" i="6"/>
  <c r="CK325" i="6"/>
  <c r="CU325" i="6" s="1"/>
  <c r="N324" i="6"/>
  <c r="AS324" i="6" l="1"/>
  <c r="BN325" i="6"/>
  <c r="AT325" i="6"/>
  <c r="CO324" i="6"/>
  <c r="CA324" i="6"/>
  <c r="AB324" i="6"/>
  <c r="BW324" i="6"/>
  <c r="CG324" i="6" s="1"/>
  <c r="CK324" i="6"/>
  <c r="CU324" i="6" s="1"/>
  <c r="N323" i="6"/>
  <c r="AS323" i="6" l="1"/>
  <c r="CO323" i="6"/>
  <c r="CA323" i="6"/>
  <c r="BW323" i="6"/>
  <c r="CG323" i="6" s="1"/>
  <c r="CK323" i="6"/>
  <c r="CU323" i="6" s="1"/>
  <c r="AB323" i="6"/>
  <c r="AT324" i="6"/>
  <c r="BN324" i="6"/>
  <c r="N140" i="6"/>
  <c r="AS140" i="6" l="1"/>
  <c r="CA140" i="6"/>
  <c r="BW140" i="6"/>
  <c r="CG140" i="6" s="1"/>
  <c r="CK140" i="6"/>
  <c r="CU140" i="6" s="1"/>
  <c r="CO140" i="6"/>
  <c r="AB140" i="6"/>
  <c r="BN323" i="6"/>
  <c r="AT323" i="6"/>
  <c r="N322" i="6"/>
  <c r="AS322" i="6" l="1"/>
  <c r="AT140" i="6"/>
  <c r="BN140" i="6"/>
  <c r="CO322" i="6"/>
  <c r="BW322" i="6"/>
  <c r="CG322" i="6" s="1"/>
  <c r="CK322" i="6"/>
  <c r="CU322" i="6" s="1"/>
  <c r="CA322" i="6"/>
  <c r="AB322" i="6"/>
  <c r="N267" i="6"/>
  <c r="AS267" i="6" l="1"/>
  <c r="AT322" i="6"/>
  <c r="BN322" i="6"/>
  <c r="AB267" i="6"/>
  <c r="BW267" i="6"/>
  <c r="CG267" i="6" s="1"/>
  <c r="CK267" i="6"/>
  <c r="CU267" i="6" s="1"/>
  <c r="CA267" i="6"/>
  <c r="CO267" i="6"/>
  <c r="N237" i="6"/>
  <c r="AS237" i="6" l="1"/>
  <c r="CA237" i="6"/>
  <c r="BW237" i="6"/>
  <c r="CG237" i="6" s="1"/>
  <c r="CK237" i="6"/>
  <c r="CU237" i="6" s="1"/>
  <c r="AB237" i="6"/>
  <c r="CO237" i="6"/>
  <c r="BN267" i="6"/>
  <c r="AT267" i="6"/>
  <c r="N240" i="6"/>
  <c r="AS240" i="6" l="1"/>
  <c r="AT237" i="6"/>
  <c r="BN237" i="6"/>
  <c r="AB240" i="6"/>
  <c r="CO240" i="6"/>
  <c r="CA240" i="6"/>
  <c r="CK240" i="6"/>
  <c r="CU240" i="6" s="1"/>
  <c r="BW240" i="6"/>
  <c r="CG240" i="6" s="1"/>
  <c r="N244" i="6"/>
  <c r="AS244" i="6" l="1"/>
  <c r="CO244" i="6"/>
  <c r="CA244" i="6"/>
  <c r="AB244" i="6"/>
  <c r="CK244" i="6"/>
  <c r="CU244" i="6" s="1"/>
  <c r="BW244" i="6"/>
  <c r="CG244" i="6" s="1"/>
  <c r="BN240" i="6"/>
  <c r="AT240" i="6"/>
  <c r="N220" i="6"/>
  <c r="AS220" i="6" l="1"/>
  <c r="BN244" i="6"/>
  <c r="AT244" i="6"/>
  <c r="CK220" i="6"/>
  <c r="CU220" i="6" s="1"/>
  <c r="BW220" i="6"/>
  <c r="CG220" i="6" s="1"/>
  <c r="CA220" i="6"/>
  <c r="CO220" i="6"/>
  <c r="AB220" i="6"/>
  <c r="N224" i="6"/>
  <c r="AS224" i="6" l="1"/>
  <c r="CK224" i="6"/>
  <c r="CU224" i="6" s="1"/>
  <c r="CA224" i="6"/>
  <c r="CO224" i="6"/>
  <c r="AB224" i="6"/>
  <c r="BW224" i="6"/>
  <c r="CG224" i="6" s="1"/>
  <c r="AT220" i="6"/>
  <c r="BN220" i="6"/>
  <c r="N321" i="6"/>
  <c r="AS321" i="6" l="1"/>
  <c r="AB321" i="6"/>
  <c r="BW321" i="6"/>
  <c r="CG321" i="6" s="1"/>
  <c r="CA321" i="6"/>
  <c r="CO321" i="6"/>
  <c r="CK321" i="6"/>
  <c r="CU321" i="6" s="1"/>
  <c r="BN224" i="6"/>
  <c r="AT224" i="6"/>
  <c r="N173" i="6"/>
  <c r="AS173" i="6" l="1"/>
  <c r="BN321" i="6"/>
  <c r="AT321" i="6"/>
  <c r="AB173" i="6"/>
  <c r="CO173" i="6"/>
  <c r="BW173" i="6"/>
  <c r="CG173" i="6" s="1"/>
  <c r="CK173" i="6"/>
  <c r="CU173" i="6" s="1"/>
  <c r="CA173" i="6"/>
  <c r="N320" i="6"/>
  <c r="AS320" i="6" l="1"/>
  <c r="AB320" i="6"/>
  <c r="CK320" i="6"/>
  <c r="CU320" i="6" s="1"/>
  <c r="CO320" i="6"/>
  <c r="BW320" i="6"/>
  <c r="CG320" i="6" s="1"/>
  <c r="CA320" i="6"/>
  <c r="BN173" i="6"/>
  <c r="AT173" i="6"/>
  <c r="BN320" i="6" l="1"/>
  <c r="AT320" i="6"/>
  <c r="N319" i="6"/>
  <c r="AS319" i="6" l="1"/>
  <c r="CA319" i="6"/>
  <c r="CK319" i="6"/>
  <c r="CU319" i="6" s="1"/>
  <c r="AB319" i="6"/>
  <c r="CO319" i="6"/>
  <c r="BW319" i="6"/>
  <c r="CG319" i="6" s="1"/>
  <c r="N130" i="6"/>
  <c r="AS130" i="6" l="1"/>
  <c r="CK130" i="6"/>
  <c r="CU130" i="6" s="1"/>
  <c r="AB130" i="6"/>
  <c r="CO130" i="6"/>
  <c r="BW130" i="6"/>
  <c r="CG130" i="6" s="1"/>
  <c r="CA130" i="6"/>
  <c r="BN319" i="6"/>
  <c r="AT319" i="6"/>
  <c r="N129" i="6"/>
  <c r="AS129" i="6" l="1"/>
  <c r="BN130" i="6"/>
  <c r="AT130" i="6"/>
  <c r="CO129" i="6"/>
  <c r="BW129" i="6"/>
  <c r="CG129" i="6" s="1"/>
  <c r="CK129" i="6"/>
  <c r="CU129" i="6" s="1"/>
  <c r="CA129" i="6"/>
  <c r="AB129" i="6"/>
  <c r="N318" i="6"/>
  <c r="AS318" i="6" l="1"/>
  <c r="CK318" i="6"/>
  <c r="CU318" i="6" s="1"/>
  <c r="CA318" i="6"/>
  <c r="CO318" i="6"/>
  <c r="AB318" i="6"/>
  <c r="BW318" i="6"/>
  <c r="CG318" i="6" s="1"/>
  <c r="BN129" i="6"/>
  <c r="AT129" i="6"/>
  <c r="P549" i="6"/>
  <c r="BF549" i="6" s="1"/>
  <c r="AD549" i="6" l="1"/>
  <c r="CQ549" i="6"/>
  <c r="BY549" i="6"/>
  <c r="CI549" i="6" s="1"/>
  <c r="CC549" i="6"/>
  <c r="CM549" i="6"/>
  <c r="CW549" i="6" s="1"/>
  <c r="AT318" i="6"/>
  <c r="BN318" i="6"/>
  <c r="O320" i="6"/>
  <c r="AZ320" i="6" s="1"/>
  <c r="CB320" i="6" l="1"/>
  <c r="CP320" i="6"/>
  <c r="AC320" i="6"/>
  <c r="BX320" i="6"/>
  <c r="CH320" i="6" s="1"/>
  <c r="CL320" i="6"/>
  <c r="CV320" i="6" s="1"/>
  <c r="BG549" i="6"/>
  <c r="BP549" i="6"/>
  <c r="O224" i="6"/>
  <c r="AZ224" i="6" s="1"/>
  <c r="BA320" i="6" l="1"/>
  <c r="BO320" i="6"/>
  <c r="CL224" i="6"/>
  <c r="CV224" i="6" s="1"/>
  <c r="CP224" i="6"/>
  <c r="BX224" i="6"/>
  <c r="CH224" i="6" s="1"/>
  <c r="CB224" i="6"/>
  <c r="AC224" i="6"/>
  <c r="P129" i="6"/>
  <c r="BF129" i="6" s="1"/>
  <c r="BO224" i="6" l="1"/>
  <c r="BA224" i="6"/>
  <c r="AD129" i="6"/>
  <c r="CQ129" i="6"/>
  <c r="CM129" i="6"/>
  <c r="CW129" i="6" s="1"/>
  <c r="BY129" i="6"/>
  <c r="CI129" i="6" s="1"/>
  <c r="CC129" i="6"/>
  <c r="P224" i="6"/>
  <c r="BF224" i="6" s="1"/>
  <c r="BY224" i="6" l="1"/>
  <c r="CI224" i="6" s="1"/>
  <c r="AD224" i="6"/>
  <c r="CC224" i="6"/>
  <c r="CM224" i="6"/>
  <c r="CW224" i="6" s="1"/>
  <c r="CQ224" i="6"/>
  <c r="BP129" i="6"/>
  <c r="BG129" i="6"/>
  <c r="P552" i="6"/>
  <c r="BF552" i="6" s="1"/>
  <c r="BP224" i="6" l="1"/>
  <c r="BG224" i="6"/>
  <c r="BY552" i="6"/>
  <c r="CI552" i="6" s="1"/>
  <c r="CC552" i="6"/>
  <c r="AD552" i="6"/>
  <c r="CQ552" i="6"/>
  <c r="CM552" i="6"/>
  <c r="CW552" i="6" s="1"/>
  <c r="Q552" i="6"/>
  <c r="BL552" i="6" s="1"/>
  <c r="BZ552" i="6" l="1"/>
  <c r="CJ552" i="6" s="1"/>
  <c r="CD552" i="6"/>
  <c r="CN552" i="6"/>
  <c r="CX552" i="6" s="1"/>
  <c r="CR552" i="6"/>
  <c r="AE552" i="6"/>
  <c r="BG552" i="6"/>
  <c r="BP552" i="6"/>
  <c r="P173" i="6"/>
  <c r="BF173" i="6" s="1"/>
  <c r="BM552" i="6" l="1"/>
  <c r="BQ552" i="6"/>
  <c r="BY173" i="6"/>
  <c r="CI173" i="6" s="1"/>
  <c r="CM173" i="6"/>
  <c r="CW173" i="6" s="1"/>
  <c r="CQ173" i="6"/>
  <c r="AD173" i="6"/>
  <c r="CC173" i="6"/>
  <c r="P159" i="6"/>
  <c r="BF159" i="6" s="1"/>
  <c r="BY159" i="6" l="1"/>
  <c r="CI159" i="6" s="1"/>
  <c r="CC159" i="6"/>
  <c r="AD159" i="6"/>
  <c r="CM159" i="6"/>
  <c r="CW159" i="6" s="1"/>
  <c r="CQ159" i="6"/>
  <c r="BP173" i="6"/>
  <c r="BG173" i="6"/>
  <c r="P34" i="6"/>
  <c r="BF34" i="6" s="1"/>
  <c r="BP159" i="6" l="1"/>
  <c r="BG159" i="6"/>
  <c r="CM34" i="6"/>
  <c r="CW34" i="6" s="1"/>
  <c r="CQ34" i="6"/>
  <c r="BY34" i="6"/>
  <c r="CI34" i="6" s="1"/>
  <c r="CC34" i="6"/>
  <c r="AD34" i="6"/>
  <c r="O552" i="6"/>
  <c r="AZ552" i="6" s="1"/>
  <c r="BX552" i="6" l="1"/>
  <c r="CH552" i="6" s="1"/>
  <c r="CL552" i="6"/>
  <c r="CV552" i="6" s="1"/>
  <c r="CP552" i="6"/>
  <c r="AC552" i="6"/>
  <c r="AF552" i="6" s="1"/>
  <c r="CB552" i="6"/>
  <c r="BP34" i="6"/>
  <c r="BG34" i="6"/>
  <c r="P554" i="6"/>
  <c r="BF554" i="6" s="1"/>
  <c r="BP554" i="6" l="1"/>
  <c r="CQ554" i="6"/>
  <c r="BY554" i="6"/>
  <c r="CI554" i="6" s="1"/>
  <c r="AD554" i="6"/>
  <c r="CC554" i="6"/>
  <c r="CM554" i="6"/>
  <c r="CW554" i="6" s="1"/>
  <c r="BO552" i="6"/>
  <c r="BR552" i="6" s="1"/>
  <c r="BA552" i="6"/>
  <c r="O548" i="6"/>
  <c r="AZ548" i="6" s="1"/>
  <c r="BG554" i="6" l="1"/>
  <c r="BX548" i="6"/>
  <c r="CH548" i="6" s="1"/>
  <c r="CL548" i="6"/>
  <c r="CV548" i="6" s="1"/>
  <c r="CB548" i="6"/>
  <c r="CP548" i="6"/>
  <c r="AC548" i="6"/>
  <c r="O321" i="6"/>
  <c r="AZ321" i="6" s="1"/>
  <c r="BA548" i="6" l="1"/>
  <c r="BO548" i="6"/>
  <c r="CL321" i="6"/>
  <c r="CV321" i="6" s="1"/>
  <c r="BX321" i="6"/>
  <c r="CH321" i="6" s="1"/>
  <c r="AC321" i="6"/>
  <c r="CB321" i="6"/>
  <c r="CP321" i="6"/>
  <c r="Q173" i="6"/>
  <c r="BL173" i="6" s="1"/>
  <c r="BA321" i="6" l="1"/>
  <c r="BO321" i="6"/>
  <c r="BZ173" i="6"/>
  <c r="CJ173" i="6" s="1"/>
  <c r="CN173" i="6"/>
  <c r="CX173" i="6" s="1"/>
  <c r="AE173" i="6"/>
  <c r="CR173" i="6"/>
  <c r="CD173" i="6"/>
  <c r="O130" i="6"/>
  <c r="AZ130" i="6" s="1"/>
  <c r="CL130" i="6" l="1"/>
  <c r="CV130" i="6" s="1"/>
  <c r="CP130" i="6"/>
  <c r="BX130" i="6"/>
  <c r="CH130" i="6" s="1"/>
  <c r="CB130" i="6"/>
  <c r="AC130" i="6"/>
  <c r="BQ173" i="6"/>
  <c r="BM173" i="6"/>
  <c r="P320" i="6"/>
  <c r="BF320" i="6" s="1"/>
  <c r="CM320" i="6" l="1"/>
  <c r="CW320" i="6" s="1"/>
  <c r="BY320" i="6"/>
  <c r="CI320" i="6" s="1"/>
  <c r="AD320" i="6"/>
  <c r="CC320" i="6"/>
  <c r="CQ320" i="6"/>
  <c r="BO130" i="6"/>
  <c r="BA130" i="6"/>
  <c r="O547" i="6"/>
  <c r="AZ547" i="6" s="1"/>
  <c r="CL547" i="6" l="1"/>
  <c r="CV547" i="6" s="1"/>
  <c r="CP547" i="6"/>
  <c r="BX547" i="6"/>
  <c r="CH547" i="6" s="1"/>
  <c r="CB547" i="6"/>
  <c r="AC547" i="6"/>
  <c r="BP320" i="6"/>
  <c r="BG320" i="6"/>
  <c r="O551" i="6"/>
  <c r="AZ551" i="6" s="1"/>
  <c r="BX551" i="6" l="1"/>
  <c r="CH551" i="6" s="1"/>
  <c r="AC551" i="6"/>
  <c r="CB551" i="6"/>
  <c r="CL551" i="6"/>
  <c r="CV551" i="6" s="1"/>
  <c r="CP551" i="6"/>
  <c r="BO547" i="6"/>
  <c r="BA547" i="6"/>
  <c r="Q554" i="6"/>
  <c r="BL554" i="6" s="1"/>
  <c r="BO551" i="6" l="1"/>
  <c r="BA551" i="6"/>
  <c r="BZ554" i="6"/>
  <c r="CJ554" i="6" s="1"/>
  <c r="CN554" i="6"/>
  <c r="CX554" i="6" s="1"/>
  <c r="BQ554" i="6"/>
  <c r="CR554" i="6"/>
  <c r="CD554" i="6"/>
  <c r="AE554" i="6"/>
  <c r="P559" i="6"/>
  <c r="BF559" i="6" s="1"/>
  <c r="CM559" i="6" l="1"/>
  <c r="CW559" i="6" s="1"/>
  <c r="CQ559" i="6"/>
  <c r="BY559" i="6"/>
  <c r="CI559" i="6" s="1"/>
  <c r="AD559" i="6"/>
  <c r="CC559" i="6"/>
  <c r="BM554" i="6"/>
  <c r="O560" i="6"/>
  <c r="AZ560" i="6" s="1"/>
  <c r="BG559" i="6" l="1"/>
  <c r="BP559" i="6"/>
  <c r="CB560" i="6"/>
  <c r="CL560" i="6"/>
  <c r="CV560" i="6" s="1"/>
  <c r="AC560" i="6"/>
  <c r="CP560" i="6"/>
  <c r="BX560" i="6"/>
  <c r="CH560" i="6" s="1"/>
  <c r="Q45" i="6"/>
  <c r="BL45" i="6" s="1"/>
  <c r="BZ45" i="6" l="1"/>
  <c r="CJ45" i="6" s="1"/>
  <c r="CD45" i="6"/>
  <c r="CN45" i="6"/>
  <c r="CX45" i="6" s="1"/>
  <c r="AE45" i="6"/>
  <c r="CR45" i="6"/>
  <c r="BO560" i="6"/>
  <c r="BA560" i="6"/>
  <c r="O220" i="6"/>
  <c r="AZ220" i="6" s="1"/>
  <c r="BM45" i="6" l="1"/>
  <c r="BQ45" i="6"/>
  <c r="BX220" i="6"/>
  <c r="CH220" i="6" s="1"/>
  <c r="CL220" i="6"/>
  <c r="CV220" i="6" s="1"/>
  <c r="AC220" i="6"/>
  <c r="CP220" i="6"/>
  <c r="CB220" i="6"/>
  <c r="P538" i="6"/>
  <c r="BF538" i="6" s="1"/>
  <c r="BY538" i="6" l="1"/>
  <c r="CI538" i="6" s="1"/>
  <c r="AD538" i="6"/>
  <c r="CM538" i="6"/>
  <c r="CW538" i="6" s="1"/>
  <c r="CC538" i="6"/>
  <c r="CQ538" i="6"/>
  <c r="BA220" i="6"/>
  <c r="BO220" i="6"/>
  <c r="P244" i="6"/>
  <c r="BF244" i="6" s="1"/>
  <c r="BP538" i="6" l="1"/>
  <c r="BG538" i="6"/>
  <c r="CC244" i="6"/>
  <c r="BY244" i="6"/>
  <c r="CI244" i="6" s="1"/>
  <c r="AD244" i="6"/>
  <c r="CM244" i="6"/>
  <c r="CW244" i="6" s="1"/>
  <c r="CQ244" i="6"/>
  <c r="Q557" i="6"/>
  <c r="BL557" i="6" s="1"/>
  <c r="BP244" i="6" l="1"/>
  <c r="BG244" i="6"/>
  <c r="BZ557" i="6"/>
  <c r="CJ557" i="6" s="1"/>
  <c r="CD557" i="6"/>
  <c r="CN557" i="6"/>
  <c r="CX557" i="6" s="1"/>
  <c r="CR557" i="6"/>
  <c r="AE557" i="6"/>
  <c r="P100" i="6"/>
  <c r="BF100" i="6" s="1"/>
  <c r="BY100" i="6" l="1"/>
  <c r="CI100" i="6" s="1"/>
  <c r="CM100" i="6"/>
  <c r="CW100" i="6" s="1"/>
  <c r="CC100" i="6"/>
  <c r="CQ100" i="6"/>
  <c r="AD100" i="6"/>
  <c r="BM557" i="6"/>
  <c r="BQ557" i="6"/>
  <c r="P540" i="6"/>
  <c r="BF540" i="6" s="1"/>
  <c r="CM540" i="6" l="1"/>
  <c r="CW540" i="6" s="1"/>
  <c r="CQ540" i="6"/>
  <c r="BY540" i="6"/>
  <c r="CI540" i="6" s="1"/>
  <c r="CC540" i="6"/>
  <c r="AD540" i="6"/>
  <c r="BP100" i="6"/>
  <c r="BG100" i="6"/>
  <c r="Q220" i="6"/>
  <c r="BL220" i="6" s="1"/>
  <c r="BG540" i="6" l="1"/>
  <c r="BP540" i="6"/>
  <c r="AE220" i="6"/>
  <c r="BZ220" i="6"/>
  <c r="CJ220" i="6" s="1"/>
  <c r="CD220" i="6"/>
  <c r="CR220" i="6"/>
  <c r="CN220" i="6"/>
  <c r="CX220" i="6" s="1"/>
  <c r="O159" i="6"/>
  <c r="AZ159" i="6" s="1"/>
  <c r="BQ220" i="6" l="1"/>
  <c r="BM220" i="6"/>
  <c r="BX159" i="6"/>
  <c r="CH159" i="6" s="1"/>
  <c r="CB159" i="6"/>
  <c r="CL159" i="6"/>
  <c r="CV159" i="6" s="1"/>
  <c r="CP159" i="6"/>
  <c r="AC159" i="6"/>
  <c r="Q559" i="6"/>
  <c r="BL559" i="6" s="1"/>
  <c r="BA159" i="6" l="1"/>
  <c r="BO159" i="6"/>
  <c r="BZ559" i="6"/>
  <c r="CJ559" i="6" s="1"/>
  <c r="CN559" i="6"/>
  <c r="CX559" i="6" s="1"/>
  <c r="CR559" i="6"/>
  <c r="CD559" i="6"/>
  <c r="AE559" i="6"/>
  <c r="P557" i="6"/>
  <c r="BF557" i="6" s="1"/>
  <c r="AD557" i="6" l="1"/>
  <c r="CQ557" i="6"/>
  <c r="BY557" i="6"/>
  <c r="CI557" i="6" s="1"/>
  <c r="CC557" i="6"/>
  <c r="CM557" i="6"/>
  <c r="CW557" i="6" s="1"/>
  <c r="BM559" i="6"/>
  <c r="BQ559" i="6"/>
  <c r="P179" i="6"/>
  <c r="BF179" i="6" s="1"/>
  <c r="CM179" i="6" l="1"/>
  <c r="CW179" i="6" s="1"/>
  <c r="CQ179" i="6"/>
  <c r="BY179" i="6"/>
  <c r="CI179" i="6" s="1"/>
  <c r="AD179" i="6"/>
  <c r="CC179" i="6"/>
  <c r="BP557" i="6"/>
  <c r="BG557" i="6"/>
  <c r="O108" i="6"/>
  <c r="AZ108" i="6" s="1"/>
  <c r="BX108" i="6" l="1"/>
  <c r="CH108" i="6" s="1"/>
  <c r="CL108" i="6"/>
  <c r="CV108" i="6" s="1"/>
  <c r="CP108" i="6"/>
  <c r="CB108" i="6"/>
  <c r="AC108" i="6"/>
  <c r="BG179" i="6"/>
  <c r="BP179" i="6"/>
  <c r="O540" i="6"/>
  <c r="AZ540" i="6" s="1"/>
  <c r="CL540" i="6" l="1"/>
  <c r="CV540" i="6" s="1"/>
  <c r="BX540" i="6"/>
  <c r="CH540" i="6" s="1"/>
  <c r="AC540" i="6"/>
  <c r="CB540" i="6"/>
  <c r="CP540" i="6"/>
  <c r="BO108" i="6"/>
  <c r="BA108" i="6"/>
  <c r="P321" i="6"/>
  <c r="BF321" i="6" s="1"/>
  <c r="BO540" i="6" l="1"/>
  <c r="BA540" i="6"/>
  <c r="CQ321" i="6"/>
  <c r="BY321" i="6"/>
  <c r="CI321" i="6" s="1"/>
  <c r="AD321" i="6"/>
  <c r="CC321" i="6"/>
  <c r="CM321" i="6"/>
  <c r="CW321" i="6" s="1"/>
  <c r="P220" i="6"/>
  <c r="BF220" i="6" s="1"/>
  <c r="CC220" i="6" l="1"/>
  <c r="BY220" i="6"/>
  <c r="CI220" i="6" s="1"/>
  <c r="AD220" i="6"/>
  <c r="AF220" i="6" s="1"/>
  <c r="CM220" i="6"/>
  <c r="CW220" i="6" s="1"/>
  <c r="CQ220" i="6"/>
  <c r="BP321" i="6"/>
  <c r="BG321" i="6"/>
  <c r="P555" i="6"/>
  <c r="BF555" i="6" s="1"/>
  <c r="CQ555" i="6" l="1"/>
  <c r="CM555" i="6"/>
  <c r="CW555" i="6" s="1"/>
  <c r="BY555" i="6"/>
  <c r="CI555" i="6" s="1"/>
  <c r="CC555" i="6"/>
  <c r="AD555" i="6"/>
  <c r="BP220" i="6"/>
  <c r="BR220" i="6" s="1"/>
  <c r="BG220" i="6"/>
  <c r="Q538" i="6"/>
  <c r="BL538" i="6" s="1"/>
  <c r="BG555" i="6" l="1"/>
  <c r="BP555" i="6"/>
  <c r="BZ538" i="6"/>
  <c r="CJ538" i="6" s="1"/>
  <c r="CD538" i="6"/>
  <c r="CN538" i="6"/>
  <c r="CX538" i="6" s="1"/>
  <c r="AE538" i="6"/>
  <c r="CR538" i="6"/>
  <c r="P547" i="6"/>
  <c r="BF547" i="6" s="1"/>
  <c r="BQ538" i="6" l="1"/>
  <c r="BM538" i="6"/>
  <c r="CM547" i="6"/>
  <c r="CW547" i="6" s="1"/>
  <c r="CQ547" i="6"/>
  <c r="BY547" i="6"/>
  <c r="CI547" i="6" s="1"/>
  <c r="AD547" i="6"/>
  <c r="CC547" i="6"/>
  <c r="P108" i="6"/>
  <c r="BF108" i="6" s="1"/>
  <c r="BG547" i="6" l="1"/>
  <c r="BP547" i="6"/>
  <c r="BY108" i="6"/>
  <c r="CI108" i="6" s="1"/>
  <c r="CC108" i="6"/>
  <c r="AD108" i="6"/>
  <c r="CM108" i="6"/>
  <c r="CW108" i="6" s="1"/>
  <c r="CQ108" i="6"/>
  <c r="P160" i="6"/>
  <c r="BF160" i="6" s="1"/>
  <c r="CM160" i="6" l="1"/>
  <c r="CW160" i="6" s="1"/>
  <c r="CQ160" i="6"/>
  <c r="BY160" i="6"/>
  <c r="CI160" i="6" s="1"/>
  <c r="CC160" i="6"/>
  <c r="AD160" i="6"/>
  <c r="BP108" i="6"/>
  <c r="BG108" i="6"/>
  <c r="Q321" i="6"/>
  <c r="BL321" i="6" s="1"/>
  <c r="BP160" i="6" l="1"/>
  <c r="BG160" i="6"/>
  <c r="BZ321" i="6"/>
  <c r="CJ321" i="6" s="1"/>
  <c r="CN321" i="6"/>
  <c r="CX321" i="6" s="1"/>
  <c r="CR321" i="6"/>
  <c r="AE321" i="6"/>
  <c r="AF321" i="6" s="1"/>
  <c r="CD321" i="6"/>
  <c r="Q160" i="6"/>
  <c r="BL160" i="6" s="1"/>
  <c r="BZ160" i="6" l="1"/>
  <c r="CJ160" i="6" s="1"/>
  <c r="AE160" i="6"/>
  <c r="CD160" i="6"/>
  <c r="CR160" i="6"/>
  <c r="CN160" i="6"/>
  <c r="CX160" i="6" s="1"/>
  <c r="BQ321" i="6"/>
  <c r="BR321" i="6" s="1"/>
  <c r="BM321" i="6"/>
  <c r="P556" i="6"/>
  <c r="BF556" i="6" s="1"/>
  <c r="CQ556" i="6" l="1"/>
  <c r="BY556" i="6"/>
  <c r="CI556" i="6" s="1"/>
  <c r="CM556" i="6"/>
  <c r="CW556" i="6" s="1"/>
  <c r="AD556" i="6"/>
  <c r="CC556" i="6"/>
  <c r="BQ160" i="6"/>
  <c r="BM160" i="6"/>
  <c r="P560" i="6"/>
  <c r="BF560" i="6" s="1"/>
  <c r="BY560" i="6" l="1"/>
  <c r="CI560" i="6" s="1"/>
  <c r="CC560" i="6"/>
  <c r="AD560" i="6"/>
  <c r="CQ560" i="6"/>
  <c r="CM560" i="6"/>
  <c r="CW560" i="6" s="1"/>
  <c r="BP556" i="6"/>
  <c r="BG556" i="6"/>
  <c r="O549" i="6"/>
  <c r="AZ549" i="6" s="1"/>
  <c r="BX549" i="6" l="1"/>
  <c r="CH549" i="6" s="1"/>
  <c r="CP549" i="6"/>
  <c r="AC549" i="6"/>
  <c r="CB549" i="6"/>
  <c r="CL549" i="6"/>
  <c r="CV549" i="6" s="1"/>
  <c r="BG560" i="6"/>
  <c r="BP560" i="6"/>
  <c r="Q159" i="6"/>
  <c r="BL159" i="6" s="1"/>
  <c r="BA549" i="6" l="1"/>
  <c r="BO549" i="6"/>
  <c r="CN159" i="6"/>
  <c r="CX159" i="6" s="1"/>
  <c r="BZ159" i="6"/>
  <c r="CJ159" i="6" s="1"/>
  <c r="AE159" i="6"/>
  <c r="AF159" i="6" s="1"/>
  <c r="CD159" i="6"/>
  <c r="CR159" i="6"/>
  <c r="Q34" i="6"/>
  <c r="BL34" i="6" s="1"/>
  <c r="CN34" i="6" l="1"/>
  <c r="CX34" i="6" s="1"/>
  <c r="CR34" i="6"/>
  <c r="AE34" i="6"/>
  <c r="BZ34" i="6"/>
  <c r="CJ34" i="6" s="1"/>
  <c r="CD34" i="6"/>
  <c r="BQ159" i="6"/>
  <c r="BR159" i="6" s="1"/>
  <c r="BM159" i="6"/>
  <c r="Q550" i="6"/>
  <c r="BL550" i="6" s="1"/>
  <c r="CR550" i="6" l="1"/>
  <c r="BZ550" i="6"/>
  <c r="CJ550" i="6" s="1"/>
  <c r="CD550" i="6"/>
  <c r="AE550" i="6"/>
  <c r="CN550" i="6"/>
  <c r="CX550" i="6" s="1"/>
  <c r="BQ34" i="6"/>
  <c r="BM34" i="6"/>
  <c r="O546" i="6"/>
  <c r="AZ546" i="6" s="1"/>
  <c r="AC546" i="6" l="1"/>
  <c r="CP546" i="6"/>
  <c r="BX546" i="6"/>
  <c r="CH546" i="6" s="1"/>
  <c r="CB546" i="6"/>
  <c r="CL546" i="6"/>
  <c r="CV546" i="6" s="1"/>
  <c r="BM550" i="6"/>
  <c r="BQ550" i="6"/>
  <c r="Q237" i="6"/>
  <c r="BL237" i="6" s="1"/>
  <c r="BA546" i="6" l="1"/>
  <c r="BO546" i="6"/>
  <c r="BZ237" i="6"/>
  <c r="CJ237" i="6" s="1"/>
  <c r="CN237" i="6"/>
  <c r="CX237" i="6" s="1"/>
  <c r="AE237" i="6"/>
  <c r="CD237" i="6"/>
  <c r="CR237" i="6"/>
  <c r="O319" i="6"/>
  <c r="AZ319" i="6" s="1"/>
  <c r="BM237" i="6" l="1"/>
  <c r="BQ237" i="6"/>
  <c r="CL319" i="6"/>
  <c r="CV319" i="6" s="1"/>
  <c r="CP319" i="6"/>
  <c r="BX319" i="6"/>
  <c r="CH319" i="6" s="1"/>
  <c r="CB319" i="6"/>
  <c r="AC319" i="6"/>
  <c r="Q546" i="6"/>
  <c r="BL546" i="6" s="1"/>
  <c r="CN546" i="6" l="1"/>
  <c r="CX546" i="6" s="1"/>
  <c r="CR546" i="6"/>
  <c r="AE546" i="6"/>
  <c r="BZ546" i="6"/>
  <c r="CJ546" i="6" s="1"/>
  <c r="CD546" i="6"/>
  <c r="BO319" i="6"/>
  <c r="BA319" i="6"/>
  <c r="Q179" i="6"/>
  <c r="BL179" i="6" s="1"/>
  <c r="CR179" i="6" l="1"/>
  <c r="BZ179" i="6"/>
  <c r="CJ179" i="6" s="1"/>
  <c r="AE179" i="6"/>
  <c r="CN179" i="6"/>
  <c r="CX179" i="6" s="1"/>
  <c r="CD179" i="6"/>
  <c r="BQ546" i="6"/>
  <c r="BM546" i="6"/>
  <c r="O318" i="6"/>
  <c r="AZ318" i="6" s="1"/>
  <c r="BQ179" i="6" l="1"/>
  <c r="BM179" i="6"/>
  <c r="BX318" i="6"/>
  <c r="CH318" i="6" s="1"/>
  <c r="CB318" i="6"/>
  <c r="AC318" i="6"/>
  <c r="CL318" i="6"/>
  <c r="CV318" i="6" s="1"/>
  <c r="CP318" i="6"/>
  <c r="Q555" i="6"/>
  <c r="BL555" i="6" s="1"/>
  <c r="BO318" i="6" l="1"/>
  <c r="BA318" i="6"/>
  <c r="BZ555" i="6"/>
  <c r="CJ555" i="6" s="1"/>
  <c r="CN555" i="6"/>
  <c r="CX555" i="6" s="1"/>
  <c r="CR555" i="6"/>
  <c r="AE555" i="6"/>
  <c r="CD555" i="6"/>
  <c r="Q540" i="6"/>
  <c r="BL540" i="6" s="1"/>
  <c r="CN540" i="6" l="1"/>
  <c r="CX540" i="6" s="1"/>
  <c r="AE540" i="6"/>
  <c r="AF540" i="6" s="1"/>
  <c r="BZ540" i="6"/>
  <c r="CJ540" i="6" s="1"/>
  <c r="CR540" i="6"/>
  <c r="CD540" i="6"/>
  <c r="BQ555" i="6"/>
  <c r="BM555" i="6"/>
  <c r="O553" i="6"/>
  <c r="AZ553" i="6" s="1"/>
  <c r="CL553" i="6" l="1"/>
  <c r="CV553" i="6" s="1"/>
  <c r="BX553" i="6"/>
  <c r="CH553" i="6" s="1"/>
  <c r="AC553" i="6"/>
  <c r="CB553" i="6"/>
  <c r="CP553" i="6"/>
  <c r="BM540" i="6"/>
  <c r="BQ540" i="6"/>
  <c r="BR540" i="6" s="1"/>
  <c r="O204" i="6"/>
  <c r="AZ204" i="6" s="1"/>
  <c r="CP204" i="6" l="1"/>
  <c r="AC204" i="6"/>
  <c r="CB204" i="6"/>
  <c r="CL204" i="6"/>
  <c r="CV204" i="6" s="1"/>
  <c r="BX204" i="6"/>
  <c r="CH204" i="6" s="1"/>
  <c r="BO553" i="6"/>
  <c r="BA553" i="6"/>
  <c r="O559" i="6"/>
  <c r="AZ559" i="6" s="1"/>
  <c r="CP559" i="6" l="1"/>
  <c r="BX559" i="6"/>
  <c r="CH559" i="6" s="1"/>
  <c r="AC559" i="6"/>
  <c r="AF559" i="6" s="1"/>
  <c r="CB559" i="6"/>
  <c r="CL559" i="6"/>
  <c r="CV559" i="6" s="1"/>
  <c r="BO204" i="6"/>
  <c r="BA204" i="6"/>
  <c r="O557" i="6"/>
  <c r="AZ557" i="6" s="1"/>
  <c r="BX557" i="6" l="1"/>
  <c r="CH557" i="6" s="1"/>
  <c r="AC557" i="6"/>
  <c r="AF557" i="6" s="1"/>
  <c r="CB557" i="6"/>
  <c r="CL557" i="6"/>
  <c r="CV557" i="6" s="1"/>
  <c r="CP557" i="6"/>
  <c r="BA559" i="6"/>
  <c r="BO559" i="6"/>
  <c r="BR559" i="6" s="1"/>
  <c r="O556" i="6"/>
  <c r="AZ556" i="6" s="1"/>
  <c r="BA557" i="6" l="1"/>
  <c r="BO557" i="6"/>
  <c r="BR557" i="6" s="1"/>
  <c r="CL556" i="6"/>
  <c r="CV556" i="6" s="1"/>
  <c r="CP556" i="6"/>
  <c r="BX556" i="6"/>
  <c r="CH556" i="6" s="1"/>
  <c r="AC556" i="6"/>
  <c r="CB556" i="6"/>
  <c r="P550" i="6"/>
  <c r="BF550" i="6" s="1"/>
  <c r="BA556" i="6" l="1"/>
  <c r="BO556" i="6"/>
  <c r="CM550" i="6"/>
  <c r="CW550" i="6" s="1"/>
  <c r="BY550" i="6"/>
  <c r="CI550" i="6" s="1"/>
  <c r="CC550" i="6"/>
  <c r="CQ550" i="6"/>
  <c r="AD550" i="6"/>
  <c r="O244" i="6"/>
  <c r="AZ244" i="6" s="1"/>
  <c r="CP244" i="6" l="1"/>
  <c r="CB244" i="6"/>
  <c r="CL244" i="6"/>
  <c r="CV244" i="6" s="1"/>
  <c r="BX244" i="6"/>
  <c r="CH244" i="6" s="1"/>
  <c r="AC244" i="6"/>
  <c r="BP550" i="6"/>
  <c r="BG550" i="6"/>
  <c r="P204" i="6"/>
  <c r="BF204" i="6" s="1"/>
  <c r="BO244" i="6" l="1"/>
  <c r="BA244" i="6"/>
  <c r="BY204" i="6"/>
  <c r="CI204" i="6" s="1"/>
  <c r="BP204" i="6"/>
  <c r="CC204" i="6"/>
  <c r="AD204" i="6"/>
  <c r="CM204" i="6"/>
  <c r="CW204" i="6" s="1"/>
  <c r="CQ204" i="6"/>
  <c r="O538" i="6"/>
  <c r="AZ538" i="6" s="1"/>
  <c r="BG204" i="6" l="1"/>
  <c r="CL538" i="6"/>
  <c r="CV538" i="6" s="1"/>
  <c r="CP538" i="6"/>
  <c r="BX538" i="6"/>
  <c r="CH538" i="6" s="1"/>
  <c r="AC538" i="6"/>
  <c r="AF538" i="6" s="1"/>
  <c r="CB538" i="6"/>
  <c r="P558" i="6"/>
  <c r="BF558" i="6" s="1"/>
  <c r="CQ558" i="6" l="1"/>
  <c r="CM558" i="6"/>
  <c r="CW558" i="6" s="1"/>
  <c r="BY558" i="6"/>
  <c r="CI558" i="6" s="1"/>
  <c r="CC558" i="6"/>
  <c r="AD558" i="6"/>
  <c r="BO538" i="6"/>
  <c r="BR538" i="6" s="1"/>
  <c r="BA538" i="6"/>
  <c r="P117" i="6"/>
  <c r="BF117" i="6" s="1"/>
  <c r="BP558" i="6" l="1"/>
  <c r="BG558" i="6"/>
  <c r="CC117" i="6"/>
  <c r="CM117" i="6"/>
  <c r="CW117" i="6" s="1"/>
  <c r="BP117" i="6"/>
  <c r="CQ117" i="6"/>
  <c r="BY117" i="6"/>
  <c r="CI117" i="6" s="1"/>
  <c r="AD117" i="6"/>
  <c r="BG117" i="6" s="1"/>
  <c r="Q556" i="6"/>
  <c r="BL556" i="6" s="1"/>
  <c r="BZ556" i="6" l="1"/>
  <c r="CJ556" i="6" s="1"/>
  <c r="CN556" i="6"/>
  <c r="CX556" i="6" s="1"/>
  <c r="AE556" i="6"/>
  <c r="AF556" i="6" s="1"/>
  <c r="CR556" i="6"/>
  <c r="CD556" i="6"/>
  <c r="P551" i="6"/>
  <c r="BF551" i="6" s="1"/>
  <c r="BQ556" i="6" l="1"/>
  <c r="BR556" i="6" s="1"/>
  <c r="BM556" i="6"/>
  <c r="CM551" i="6"/>
  <c r="CW551" i="6" s="1"/>
  <c r="BY551" i="6"/>
  <c r="CI551" i="6" s="1"/>
  <c r="CQ551" i="6"/>
  <c r="AD551" i="6"/>
  <c r="CC551" i="6"/>
  <c r="Q549" i="6"/>
  <c r="BL549" i="6" s="1"/>
  <c r="CD549" i="6" l="1"/>
  <c r="BZ549" i="6"/>
  <c r="CJ549" i="6" s="1"/>
  <c r="CN549" i="6"/>
  <c r="CX549" i="6" s="1"/>
  <c r="CR549" i="6"/>
  <c r="AE549" i="6"/>
  <c r="AF549" i="6" s="1"/>
  <c r="BP551" i="6"/>
  <c r="BG551" i="6"/>
  <c r="Q100" i="6"/>
  <c r="BL100" i="6" s="1"/>
  <c r="CN100" i="6" l="1"/>
  <c r="CX100" i="6" s="1"/>
  <c r="BZ100" i="6"/>
  <c r="CJ100" i="6" s="1"/>
  <c r="CR100" i="6"/>
  <c r="CD100" i="6"/>
  <c r="AE100" i="6"/>
  <c r="BM549" i="6"/>
  <c r="BQ549" i="6"/>
  <c r="BR549" i="6" s="1"/>
  <c r="O539" i="6"/>
  <c r="AZ539" i="6" s="1"/>
  <c r="CL539" i="6" l="1"/>
  <c r="CV539" i="6" s="1"/>
  <c r="BX539" i="6"/>
  <c r="CH539" i="6" s="1"/>
  <c r="AC539" i="6"/>
  <c r="CB539" i="6"/>
  <c r="CP539" i="6"/>
  <c r="BQ100" i="6"/>
  <c r="BM100" i="6"/>
  <c r="O554" i="6"/>
  <c r="AZ554" i="6" s="1"/>
  <c r="CL554" i="6" l="1"/>
  <c r="CV554" i="6" s="1"/>
  <c r="BX554" i="6"/>
  <c r="CH554" i="6" s="1"/>
  <c r="AC554" i="6"/>
  <c r="AF554" i="6" s="1"/>
  <c r="CB554" i="6"/>
  <c r="CP554" i="6"/>
  <c r="BA539" i="6"/>
  <c r="BO539" i="6"/>
  <c r="P296" i="6"/>
  <c r="BF296" i="6" s="1"/>
  <c r="BY296" i="6" l="1"/>
  <c r="CI296" i="6" s="1"/>
  <c r="AD296" i="6"/>
  <c r="CC296" i="6"/>
  <c r="CM296" i="6"/>
  <c r="CW296" i="6" s="1"/>
  <c r="CQ296" i="6"/>
  <c r="BA554" i="6"/>
  <c r="BO554" i="6"/>
  <c r="BR554" i="6" s="1"/>
  <c r="O550" i="6"/>
  <c r="AZ550" i="6" s="1"/>
  <c r="BP296" i="6" l="1"/>
  <c r="BG296" i="6"/>
  <c r="BX550" i="6"/>
  <c r="CH550" i="6" s="1"/>
  <c r="AC550" i="6"/>
  <c r="AF550" i="6" s="1"/>
  <c r="CB550" i="6"/>
  <c r="CL550" i="6"/>
  <c r="CV550" i="6" s="1"/>
  <c r="CP550" i="6"/>
  <c r="P318" i="6"/>
  <c r="BF318" i="6" s="1"/>
  <c r="BY318" i="6" l="1"/>
  <c r="CI318" i="6" s="1"/>
  <c r="CC318" i="6"/>
  <c r="AD318" i="6"/>
  <c r="CM318" i="6"/>
  <c r="CW318" i="6" s="1"/>
  <c r="CQ318" i="6"/>
  <c r="BA550" i="6"/>
  <c r="BO550" i="6"/>
  <c r="BR550" i="6" s="1"/>
  <c r="O117" i="6"/>
  <c r="AZ117" i="6" s="1"/>
  <c r="CB117" i="6" l="1"/>
  <c r="AC117" i="6"/>
  <c r="CL117" i="6"/>
  <c r="CV117" i="6" s="1"/>
  <c r="CP117" i="6"/>
  <c r="BX117" i="6"/>
  <c r="CH117" i="6" s="1"/>
  <c r="BG318" i="6"/>
  <c r="BP318" i="6"/>
  <c r="Q129" i="6"/>
  <c r="BL129" i="6" s="1"/>
  <c r="BZ129" i="6" l="1"/>
  <c r="CJ129" i="6" s="1"/>
  <c r="CN129" i="6"/>
  <c r="CX129" i="6" s="1"/>
  <c r="AE129" i="6"/>
  <c r="CR129" i="6"/>
  <c r="CD129" i="6"/>
  <c r="BA117" i="6"/>
  <c r="BO117" i="6"/>
  <c r="O237" i="6"/>
  <c r="AZ237" i="6" s="1"/>
  <c r="BX237" i="6" l="1"/>
  <c r="CH237" i="6" s="1"/>
  <c r="AC237" i="6"/>
  <c r="CB237" i="6"/>
  <c r="CP237" i="6"/>
  <c r="CL237" i="6"/>
  <c r="CV237" i="6" s="1"/>
  <c r="BM129" i="6"/>
  <c r="BQ129" i="6"/>
  <c r="O160" i="6"/>
  <c r="AZ160" i="6" s="1"/>
  <c r="BO237" i="6" l="1"/>
  <c r="BA237" i="6"/>
  <c r="CP160" i="6"/>
  <c r="AC160" i="6"/>
  <c r="AF160" i="6" s="1"/>
  <c r="BX160" i="6"/>
  <c r="CH160" i="6" s="1"/>
  <c r="CL160" i="6"/>
  <c r="CV160" i="6" s="1"/>
  <c r="CB160" i="6"/>
  <c r="O129" i="6"/>
  <c r="AZ129" i="6" s="1"/>
  <c r="BO160" i="6" l="1"/>
  <c r="BR160" i="6" s="1"/>
  <c r="BA160" i="6"/>
  <c r="CL129" i="6"/>
  <c r="CV129" i="6" s="1"/>
  <c r="BX129" i="6"/>
  <c r="CH129" i="6" s="1"/>
  <c r="AC129" i="6"/>
  <c r="AF129" i="6" s="1"/>
  <c r="CB129" i="6"/>
  <c r="CP129" i="6"/>
  <c r="O45" i="6"/>
  <c r="AZ45" i="6" s="1"/>
  <c r="CL45" i="6" l="1"/>
  <c r="CV45" i="6" s="1"/>
  <c r="BX45" i="6"/>
  <c r="CH45" i="6" s="1"/>
  <c r="AC45" i="6"/>
  <c r="CB45" i="6"/>
  <c r="CP45" i="6"/>
  <c r="BO129" i="6"/>
  <c r="BR129" i="6" s="1"/>
  <c r="BA129" i="6"/>
  <c r="P539" i="6"/>
  <c r="BF539" i="6" s="1"/>
  <c r="BO45" i="6" l="1"/>
  <c r="BA45" i="6"/>
  <c r="BY539" i="6"/>
  <c r="CI539" i="6" s="1"/>
  <c r="AD539" i="6"/>
  <c r="CQ539" i="6"/>
  <c r="CC539" i="6"/>
  <c r="CM539" i="6"/>
  <c r="CW539" i="6" s="1"/>
  <c r="Q296" i="6"/>
  <c r="BL296" i="6" s="1"/>
  <c r="BZ296" i="6" l="1"/>
  <c r="CJ296" i="6" s="1"/>
  <c r="CD296" i="6"/>
  <c r="CN296" i="6"/>
  <c r="CX296" i="6" s="1"/>
  <c r="AE296" i="6"/>
  <c r="CR296" i="6"/>
  <c r="BG539" i="6"/>
  <c r="BP539" i="6"/>
  <c r="Q224" i="6"/>
  <c r="BL224" i="6" s="1"/>
  <c r="BZ224" i="6" l="1"/>
  <c r="CJ224" i="6" s="1"/>
  <c r="CN224" i="6"/>
  <c r="CX224" i="6" s="1"/>
  <c r="CR224" i="6"/>
  <c r="CD224" i="6"/>
  <c r="AE224" i="6"/>
  <c r="AF224" i="6" s="1"/>
  <c r="BQ296" i="6"/>
  <c r="BM296" i="6"/>
  <c r="Q560" i="6"/>
  <c r="BL560" i="6" s="1"/>
  <c r="BM224" i="6" l="1"/>
  <c r="BQ224" i="6"/>
  <c r="BR224" i="6" s="1"/>
  <c r="CN560" i="6"/>
  <c r="CX560" i="6" s="1"/>
  <c r="AE560" i="6"/>
  <c r="AF560" i="6" s="1"/>
  <c r="CR560" i="6"/>
  <c r="CD560" i="6"/>
  <c r="BZ560" i="6"/>
  <c r="CJ560" i="6" s="1"/>
  <c r="Q161" i="6"/>
  <c r="BL161" i="6" s="1"/>
  <c r="BM560" i="6" l="1"/>
  <c r="BQ560" i="6"/>
  <c r="BR560" i="6" s="1"/>
  <c r="BZ161" i="6"/>
  <c r="CJ161" i="6" s="1"/>
  <c r="CD161" i="6"/>
  <c r="AE161" i="6"/>
  <c r="CN161" i="6"/>
  <c r="CX161" i="6" s="1"/>
  <c r="CR161" i="6"/>
  <c r="Q204" i="6"/>
  <c r="BL204" i="6" s="1"/>
  <c r="BZ204" i="6" l="1"/>
  <c r="CJ204" i="6" s="1"/>
  <c r="AE204" i="6"/>
  <c r="AF204" i="6" s="1"/>
  <c r="CD204" i="6"/>
  <c r="CN204" i="6"/>
  <c r="CX204" i="6" s="1"/>
  <c r="CR204" i="6"/>
  <c r="BQ161" i="6"/>
  <c r="BM161" i="6"/>
  <c r="O34" i="6"/>
  <c r="AZ34" i="6" s="1"/>
  <c r="BX34" i="6" l="1"/>
  <c r="CH34" i="6" s="1"/>
  <c r="CB34" i="6"/>
  <c r="AC34" i="6"/>
  <c r="AF34" i="6" s="1"/>
  <c r="CL34" i="6"/>
  <c r="CV34" i="6" s="1"/>
  <c r="CP34" i="6"/>
  <c r="BM204" i="6"/>
  <c r="BQ204" i="6"/>
  <c r="BR204" i="6" s="1"/>
  <c r="Q130" i="6"/>
  <c r="BL130" i="6" s="1"/>
  <c r="CR130" i="6" l="1"/>
  <c r="BZ130" i="6"/>
  <c r="CJ130" i="6" s="1"/>
  <c r="BQ130" i="6"/>
  <c r="CD130" i="6"/>
  <c r="CN130" i="6"/>
  <c r="CX130" i="6" s="1"/>
  <c r="AE130" i="6"/>
  <c r="BA34" i="6"/>
  <c r="BO34" i="6"/>
  <c r="BR34" i="6" s="1"/>
  <c r="Q551" i="6"/>
  <c r="BL551" i="6" s="1"/>
  <c r="BM130" i="6" l="1"/>
  <c r="BZ551" i="6"/>
  <c r="CJ551" i="6" s="1"/>
  <c r="CN551" i="6"/>
  <c r="CX551" i="6" s="1"/>
  <c r="AE551" i="6"/>
  <c r="AF551" i="6" s="1"/>
  <c r="CR551" i="6"/>
  <c r="CD551" i="6"/>
  <c r="Q539" i="6"/>
  <c r="BL539" i="6" s="1"/>
  <c r="CN539" i="6" l="1"/>
  <c r="CX539" i="6" s="1"/>
  <c r="BZ539" i="6"/>
  <c r="CJ539" i="6" s="1"/>
  <c r="CD539" i="6"/>
  <c r="CR539" i="6"/>
  <c r="AE539" i="6"/>
  <c r="AF539" i="6" s="1"/>
  <c r="BQ551" i="6"/>
  <c r="BR551" i="6" s="1"/>
  <c r="BM551" i="6"/>
  <c r="Q558" i="6"/>
  <c r="BL558" i="6" s="1"/>
  <c r="BQ539" i="6" l="1"/>
  <c r="BR539" i="6" s="1"/>
  <c r="BM539" i="6"/>
  <c r="CN558" i="6"/>
  <c r="CX558" i="6" s="1"/>
  <c r="AE558" i="6"/>
  <c r="CR558" i="6"/>
  <c r="CD558" i="6"/>
  <c r="BZ558" i="6"/>
  <c r="CJ558" i="6" s="1"/>
  <c r="P161" i="6"/>
  <c r="BF161" i="6" s="1"/>
  <c r="CM161" i="6" l="1"/>
  <c r="CW161" i="6" s="1"/>
  <c r="CQ161" i="6"/>
  <c r="BY161" i="6"/>
  <c r="CI161" i="6" s="1"/>
  <c r="AD161" i="6"/>
  <c r="CC161" i="6"/>
  <c r="BQ558" i="6"/>
  <c r="BM558" i="6"/>
  <c r="Q244" i="6"/>
  <c r="BL244" i="6" s="1"/>
  <c r="CR244" i="6" l="1"/>
  <c r="CD244" i="6"/>
  <c r="AE244" i="6"/>
  <c r="AF244" i="6" s="1"/>
  <c r="BZ244" i="6"/>
  <c r="CJ244" i="6" s="1"/>
  <c r="CN244" i="6"/>
  <c r="CX244" i="6" s="1"/>
  <c r="BG161" i="6"/>
  <c r="BP161" i="6"/>
  <c r="P553" i="6"/>
  <c r="BF553" i="6" s="1"/>
  <c r="AD553" i="6" l="1"/>
  <c r="CC553" i="6"/>
  <c r="CQ553" i="6"/>
  <c r="BY553" i="6"/>
  <c r="CI553" i="6" s="1"/>
  <c r="CM553" i="6"/>
  <c r="CW553" i="6" s="1"/>
  <c r="BM244" i="6"/>
  <c r="BQ244" i="6"/>
  <c r="BR244" i="6" s="1"/>
  <c r="O161" i="6"/>
  <c r="AZ161" i="6" s="1"/>
  <c r="CL161" i="6" l="1"/>
  <c r="CV161" i="6" s="1"/>
  <c r="CP161" i="6"/>
  <c r="AC161" i="6"/>
  <c r="AF161" i="6" s="1"/>
  <c r="BX161" i="6"/>
  <c r="CH161" i="6" s="1"/>
  <c r="CB161" i="6"/>
  <c r="BP553" i="6"/>
  <c r="BG553" i="6"/>
  <c r="P548" i="6"/>
  <c r="BF548" i="6" s="1"/>
  <c r="CQ548" i="6" l="1"/>
  <c r="CM548" i="6"/>
  <c r="CW548" i="6" s="1"/>
  <c r="BY548" i="6"/>
  <c r="CI548" i="6" s="1"/>
  <c r="CC548" i="6"/>
  <c r="AD548" i="6"/>
  <c r="BO161" i="6"/>
  <c r="BR161" i="6" s="1"/>
  <c r="BA161" i="6"/>
  <c r="P130" i="6"/>
  <c r="BF130" i="6" s="1"/>
  <c r="BY130" i="6" l="1"/>
  <c r="CI130" i="6" s="1"/>
  <c r="CQ130" i="6"/>
  <c r="AD130" i="6"/>
  <c r="AF130" i="6" s="1"/>
  <c r="CC130" i="6"/>
  <c r="CM130" i="6"/>
  <c r="CW130" i="6" s="1"/>
  <c r="BG548" i="6"/>
  <c r="BP548" i="6"/>
  <c r="Q318" i="6"/>
  <c r="BL318" i="6" s="1"/>
  <c r="BZ318" i="6" l="1"/>
  <c r="CJ318" i="6" s="1"/>
  <c r="CD318" i="6"/>
  <c r="CN318" i="6"/>
  <c r="CX318" i="6" s="1"/>
  <c r="CR318" i="6"/>
  <c r="AE318" i="6"/>
  <c r="AF318" i="6" s="1"/>
  <c r="BP130" i="6"/>
  <c r="BR130" i="6" s="1"/>
  <c r="BG130" i="6"/>
  <c r="O555" i="6"/>
  <c r="AZ555" i="6" s="1"/>
  <c r="BQ318" i="6" l="1"/>
  <c r="BR318" i="6" s="1"/>
  <c r="BM318" i="6"/>
  <c r="BX555" i="6"/>
  <c r="CH555" i="6" s="1"/>
  <c r="CB555" i="6"/>
  <c r="AC555" i="6"/>
  <c r="AF555" i="6" s="1"/>
  <c r="CL555" i="6"/>
  <c r="CV555" i="6" s="1"/>
  <c r="CP555" i="6"/>
  <c r="O179" i="6"/>
  <c r="AZ179" i="6" s="1"/>
  <c r="CB179" i="6" l="1"/>
  <c r="AC179" i="6"/>
  <c r="AF179" i="6" s="1"/>
  <c r="CP179" i="6"/>
  <c r="BX179" i="6"/>
  <c r="CH179" i="6" s="1"/>
  <c r="CL179" i="6"/>
  <c r="CV179" i="6" s="1"/>
  <c r="BO555" i="6"/>
  <c r="BR555" i="6" s="1"/>
  <c r="BA555" i="6"/>
  <c r="Q553" i="6"/>
  <c r="BL553" i="6" s="1"/>
  <c r="CN553" i="6" l="1"/>
  <c r="CX553" i="6" s="1"/>
  <c r="CR553" i="6"/>
  <c r="AE553" i="6"/>
  <c r="AF553" i="6" s="1"/>
  <c r="BZ553" i="6"/>
  <c r="CJ553" i="6" s="1"/>
  <c r="CD553" i="6"/>
  <c r="BA179" i="6"/>
  <c r="BO179" i="6"/>
  <c r="BR179" i="6" s="1"/>
  <c r="P45" i="6"/>
  <c r="BF45" i="6" s="1"/>
  <c r="CC45" i="6" l="1"/>
  <c r="AD45" i="6"/>
  <c r="AF45" i="6" s="1"/>
  <c r="CQ45" i="6"/>
  <c r="BY45" i="6"/>
  <c r="CI45" i="6" s="1"/>
  <c r="CM45" i="6"/>
  <c r="CW45" i="6" s="1"/>
  <c r="BQ553" i="6"/>
  <c r="BR553" i="6" s="1"/>
  <c r="BM553" i="6"/>
  <c r="O296" i="6"/>
  <c r="AZ296" i="6" s="1"/>
  <c r="CL296" i="6" l="1"/>
  <c r="CV296" i="6" s="1"/>
  <c r="BX296" i="6"/>
  <c r="CH296" i="6" s="1"/>
  <c r="AC296" i="6"/>
  <c r="AF296" i="6" s="1"/>
  <c r="CB296" i="6"/>
  <c r="CP296" i="6"/>
  <c r="BP45" i="6"/>
  <c r="BR45" i="6" s="1"/>
  <c r="BG45" i="6"/>
  <c r="Q320" i="6"/>
  <c r="BL320" i="6" s="1"/>
  <c r="CN320" i="6" l="1"/>
  <c r="CX320" i="6" s="1"/>
  <c r="BZ320" i="6"/>
  <c r="CJ320" i="6" s="1"/>
  <c r="CR320" i="6"/>
  <c r="CD320" i="6"/>
  <c r="AE320" i="6"/>
  <c r="AF320" i="6" s="1"/>
  <c r="BO296" i="6"/>
  <c r="BR296" i="6" s="1"/>
  <c r="BA296" i="6"/>
  <c r="P546" i="6"/>
  <c r="BF546" i="6" s="1"/>
  <c r="CQ546" i="6" l="1"/>
  <c r="CC546" i="6"/>
  <c r="CM546" i="6"/>
  <c r="CW546" i="6" s="1"/>
  <c r="AD546" i="6"/>
  <c r="AF546" i="6" s="1"/>
  <c r="BY546" i="6"/>
  <c r="CI546" i="6" s="1"/>
  <c r="BM320" i="6"/>
  <c r="BQ320" i="6"/>
  <c r="BR320" i="6" s="1"/>
  <c r="Q547" i="6"/>
  <c r="BL547" i="6" s="1"/>
  <c r="BP546" i="6" l="1"/>
  <c r="BR546" i="6" s="1"/>
  <c r="BG546" i="6"/>
  <c r="CN547" i="6"/>
  <c r="CX547" i="6" s="1"/>
  <c r="AE547" i="6"/>
  <c r="AF547" i="6" s="1"/>
  <c r="BZ547" i="6"/>
  <c r="CJ547" i="6" s="1"/>
  <c r="CR547" i="6"/>
  <c r="CD547" i="6"/>
  <c r="O173" i="6"/>
  <c r="AZ173" i="6" s="1"/>
  <c r="BX173" i="6" l="1"/>
  <c r="CH173" i="6" s="1"/>
  <c r="CL173" i="6"/>
  <c r="CV173" i="6" s="1"/>
  <c r="CP173" i="6"/>
  <c r="CB173" i="6"/>
  <c r="AC173" i="6"/>
  <c r="AF173" i="6" s="1"/>
  <c r="BQ547" i="6"/>
  <c r="BR547" i="6" s="1"/>
  <c r="BM547" i="6"/>
  <c r="P319" i="6"/>
  <c r="BF319" i="6" s="1"/>
  <c r="CM319" i="6" l="1"/>
  <c r="CW319" i="6" s="1"/>
  <c r="BY319" i="6"/>
  <c r="CI319" i="6" s="1"/>
  <c r="CC319" i="6"/>
  <c r="AD319" i="6"/>
  <c r="CQ319" i="6"/>
  <c r="BO173" i="6"/>
  <c r="BR173" i="6" s="1"/>
  <c r="BA173" i="6"/>
  <c r="Q108" i="6"/>
  <c r="BL108" i="6" s="1"/>
  <c r="BP319" i="6" l="1"/>
  <c r="BG319" i="6"/>
  <c r="CN108" i="6"/>
  <c r="CX108" i="6" s="1"/>
  <c r="AE108" i="6"/>
  <c r="AF108" i="6" s="1"/>
  <c r="BZ108" i="6"/>
  <c r="CJ108" i="6" s="1"/>
  <c r="CD108" i="6"/>
  <c r="CR108" i="6"/>
  <c r="Q319" i="6"/>
  <c r="BL319" i="6" s="1"/>
  <c r="BM108" i="6" l="1"/>
  <c r="BQ108" i="6"/>
  <c r="BR108" i="6" s="1"/>
  <c r="BZ319" i="6"/>
  <c r="CJ319" i="6" s="1"/>
  <c r="CN319" i="6"/>
  <c r="CX319" i="6" s="1"/>
  <c r="CR319" i="6"/>
  <c r="CD319" i="6"/>
  <c r="AE319" i="6"/>
  <c r="AF319" i="6" s="1"/>
  <c r="P237" i="6"/>
  <c r="BF237" i="6" s="1"/>
  <c r="BY237" i="6" l="1"/>
  <c r="CI237" i="6" s="1"/>
  <c r="CQ237" i="6"/>
  <c r="AD237" i="6"/>
  <c r="AF237" i="6" s="1"/>
  <c r="CM237" i="6"/>
  <c r="CW237" i="6" s="1"/>
  <c r="CC237" i="6"/>
  <c r="BM319" i="6"/>
  <c r="BQ319" i="6"/>
  <c r="BR319" i="6" s="1"/>
  <c r="Q117" i="6"/>
  <c r="BL117" i="6" s="1"/>
  <c r="BG237" i="6" l="1"/>
  <c r="BP237" i="6"/>
  <c r="BR237" i="6" s="1"/>
  <c r="BZ117" i="6"/>
  <c r="CJ117" i="6" s="1"/>
  <c r="CN117" i="6"/>
  <c r="CX117" i="6" s="1"/>
  <c r="CR117" i="6"/>
  <c r="CD117" i="6"/>
  <c r="AE117" i="6"/>
  <c r="AF117" i="6" s="1"/>
  <c r="O100" i="6"/>
  <c r="AZ100" i="6" s="1"/>
  <c r="BX100" i="6" l="1"/>
  <c r="CH100" i="6" s="1"/>
  <c r="AC100" i="6"/>
  <c r="AF100" i="6" s="1"/>
  <c r="CB100" i="6"/>
  <c r="CL100" i="6"/>
  <c r="CV100" i="6" s="1"/>
  <c r="CP100" i="6"/>
  <c r="BQ117" i="6"/>
  <c r="BR117" i="6" s="1"/>
  <c r="BM117" i="6"/>
  <c r="Q548" i="6"/>
  <c r="BL548" i="6" s="1"/>
  <c r="BO100" i="6" l="1"/>
  <c r="BR100" i="6" s="1"/>
  <c r="BA100" i="6"/>
  <c r="BZ548" i="6"/>
  <c r="CJ548" i="6" s="1"/>
  <c r="CD548" i="6"/>
  <c r="CN548" i="6"/>
  <c r="CX548" i="6" s="1"/>
  <c r="CR548" i="6"/>
  <c r="AE548" i="6"/>
  <c r="AF548" i="6" s="1"/>
  <c r="BQ548" i="6" l="1"/>
  <c r="BR548" i="6" s="1"/>
  <c r="BM548" i="6"/>
  <c r="Q84" i="6"/>
  <c r="BL84" i="6" s="1"/>
  <c r="BZ84" i="6" l="1"/>
  <c r="CJ84" i="6" s="1"/>
  <c r="CD84" i="6"/>
  <c r="CN84" i="6"/>
  <c r="CX84" i="6" s="1"/>
  <c r="AE84" i="6"/>
  <c r="CR84" i="6"/>
  <c r="Q537" i="6"/>
  <c r="BL537" i="6" s="1"/>
  <c r="AE537" i="6" l="1"/>
  <c r="CR537" i="6"/>
  <c r="CD537" i="6"/>
  <c r="CN537" i="6"/>
  <c r="CX537" i="6" s="1"/>
  <c r="BZ537" i="6"/>
  <c r="CJ537" i="6" s="1"/>
  <c r="BM84" i="6"/>
  <c r="BQ84" i="6"/>
  <c r="O86" i="6"/>
  <c r="AZ86" i="6" s="1"/>
  <c r="AC86" i="6" l="1"/>
  <c r="BX86" i="6"/>
  <c r="CH86" i="6" s="1"/>
  <c r="CB86" i="6"/>
  <c r="CP86" i="6"/>
  <c r="CL86" i="6"/>
  <c r="CV86" i="6" s="1"/>
  <c r="BQ537" i="6"/>
  <c r="BM537" i="6"/>
  <c r="Q322" i="6"/>
  <c r="BL322" i="6" s="1"/>
  <c r="CN322" i="6" l="1"/>
  <c r="CX322" i="6" s="1"/>
  <c r="CD322" i="6"/>
  <c r="CR322" i="6"/>
  <c r="AE322" i="6"/>
  <c r="BZ322" i="6"/>
  <c r="CJ322" i="6" s="1"/>
  <c r="BA86" i="6"/>
  <c r="BO86" i="6"/>
  <c r="O544" i="6"/>
  <c r="AZ544" i="6" s="1"/>
  <c r="CL544" i="6" l="1"/>
  <c r="CV544" i="6" s="1"/>
  <c r="CP544" i="6"/>
  <c r="BX544" i="6"/>
  <c r="CH544" i="6" s="1"/>
  <c r="AC544" i="6"/>
  <c r="CB544" i="6"/>
  <c r="BQ322" i="6"/>
  <c r="BM322" i="6"/>
  <c r="O537" i="6"/>
  <c r="AZ537" i="6" s="1"/>
  <c r="CL537" i="6" l="1"/>
  <c r="CV537" i="6" s="1"/>
  <c r="CP537" i="6"/>
  <c r="BX537" i="6"/>
  <c r="CH537" i="6" s="1"/>
  <c r="AC537" i="6"/>
  <c r="CB537" i="6"/>
  <c r="BO544" i="6"/>
  <c r="BA544" i="6"/>
  <c r="Q543" i="6"/>
  <c r="BL543" i="6" s="1"/>
  <c r="CN543" i="6" l="1"/>
  <c r="CX543" i="6" s="1"/>
  <c r="AE543" i="6"/>
  <c r="CR543" i="6"/>
  <c r="BZ543" i="6"/>
  <c r="CJ543" i="6" s="1"/>
  <c r="CD543" i="6"/>
  <c r="BO537" i="6"/>
  <c r="BA537" i="6"/>
  <c r="P545" i="6"/>
  <c r="BF545" i="6" s="1"/>
  <c r="BY545" i="6" l="1"/>
  <c r="CI545" i="6" s="1"/>
  <c r="AD545" i="6"/>
  <c r="CC545" i="6"/>
  <c r="CM545" i="6"/>
  <c r="CW545" i="6" s="1"/>
  <c r="CQ545" i="6"/>
  <c r="BQ543" i="6"/>
  <c r="BM543" i="6"/>
  <c r="Q535" i="6"/>
  <c r="BL535" i="6" s="1"/>
  <c r="CN535" i="6" l="1"/>
  <c r="CX535" i="6" s="1"/>
  <c r="AE535" i="6"/>
  <c r="CR535" i="6"/>
  <c r="BZ535" i="6"/>
  <c r="CJ535" i="6" s="1"/>
  <c r="CD535" i="6"/>
  <c r="BP545" i="6"/>
  <c r="BG545" i="6"/>
  <c r="O84" i="6"/>
  <c r="AZ84" i="6" s="1"/>
  <c r="BM535" i="6" l="1"/>
  <c r="BQ535" i="6"/>
  <c r="CL84" i="6"/>
  <c r="CV84" i="6" s="1"/>
  <c r="CP84" i="6"/>
  <c r="BX84" i="6"/>
  <c r="CH84" i="6" s="1"/>
  <c r="CB84" i="6"/>
  <c r="AC84" i="6"/>
  <c r="P84" i="6"/>
  <c r="BF84" i="6" s="1"/>
  <c r="CM84" i="6" l="1"/>
  <c r="CW84" i="6" s="1"/>
  <c r="CQ84" i="6"/>
  <c r="BY84" i="6"/>
  <c r="CI84" i="6" s="1"/>
  <c r="AD84" i="6"/>
  <c r="AF84" i="6" s="1"/>
  <c r="CC84" i="6"/>
  <c r="BO84" i="6"/>
  <c r="BA84" i="6"/>
  <c r="Q325" i="6"/>
  <c r="BL325" i="6" s="1"/>
  <c r="BP84" i="6" l="1"/>
  <c r="BR84" i="6" s="1"/>
  <c r="BG84" i="6"/>
  <c r="AE325" i="6"/>
  <c r="CD325" i="6"/>
  <c r="CN325" i="6"/>
  <c r="CX325" i="6" s="1"/>
  <c r="CR325" i="6"/>
  <c r="BZ325" i="6"/>
  <c r="CJ325" i="6" s="1"/>
  <c r="P267" i="6"/>
  <c r="BF267" i="6" s="1"/>
  <c r="BQ325" i="6" l="1"/>
  <c r="BM325" i="6"/>
  <c r="BY267" i="6"/>
  <c r="CI267" i="6" s="1"/>
  <c r="CM267" i="6"/>
  <c r="CW267" i="6" s="1"/>
  <c r="CC267" i="6"/>
  <c r="AD267" i="6"/>
  <c r="CQ267" i="6"/>
  <c r="P322" i="6"/>
  <c r="BF322" i="6" s="1"/>
  <c r="CC322" i="6" l="1"/>
  <c r="CQ322" i="6"/>
  <c r="CM322" i="6"/>
  <c r="CW322" i="6" s="1"/>
  <c r="AD322" i="6"/>
  <c r="BY322" i="6"/>
  <c r="CI322" i="6" s="1"/>
  <c r="BP267" i="6"/>
  <c r="BG267" i="6"/>
  <c r="P324" i="6"/>
  <c r="BF324" i="6" s="1"/>
  <c r="BP322" i="6" l="1"/>
  <c r="BG322" i="6"/>
  <c r="CM324" i="6"/>
  <c r="CW324" i="6" s="1"/>
  <c r="CQ324" i="6"/>
  <c r="BY324" i="6"/>
  <c r="CI324" i="6" s="1"/>
  <c r="AD324" i="6"/>
  <c r="CC324" i="6"/>
  <c r="Q240" i="6"/>
  <c r="BL240" i="6" s="1"/>
  <c r="BG324" i="6" l="1"/>
  <c r="BP324" i="6"/>
  <c r="BZ240" i="6"/>
  <c r="CJ240" i="6" s="1"/>
  <c r="CN240" i="6"/>
  <c r="CX240" i="6" s="1"/>
  <c r="CD240" i="6"/>
  <c r="AE240" i="6"/>
  <c r="CR240" i="6"/>
  <c r="O240" i="6"/>
  <c r="AZ240" i="6" s="1"/>
  <c r="AC240" i="6" l="1"/>
  <c r="CP240" i="6"/>
  <c r="CB240" i="6"/>
  <c r="BX240" i="6"/>
  <c r="CH240" i="6" s="1"/>
  <c r="CL240" i="6"/>
  <c r="CV240" i="6" s="1"/>
  <c r="BQ240" i="6"/>
  <c r="BM240" i="6"/>
  <c r="O326" i="6"/>
  <c r="AZ326" i="6" s="1"/>
  <c r="BX326" i="6" l="1"/>
  <c r="CH326" i="6" s="1"/>
  <c r="CL326" i="6"/>
  <c r="CV326" i="6" s="1"/>
  <c r="CP326" i="6"/>
  <c r="CB326" i="6"/>
  <c r="AC326" i="6"/>
  <c r="BA240" i="6"/>
  <c r="BO240" i="6"/>
  <c r="O542" i="6"/>
  <c r="AZ542" i="6" s="1"/>
  <c r="BX542" i="6" l="1"/>
  <c r="CH542" i="6" s="1"/>
  <c r="AC542" i="6"/>
  <c r="CB542" i="6"/>
  <c r="CL542" i="6"/>
  <c r="CV542" i="6" s="1"/>
  <c r="CP542" i="6"/>
  <c r="BO326" i="6"/>
  <c r="BA326" i="6"/>
  <c r="P542" i="6"/>
  <c r="BF542" i="6" s="1"/>
  <c r="BY542" i="6" l="1"/>
  <c r="CI542" i="6" s="1"/>
  <c r="AD542" i="6"/>
  <c r="CC542" i="6"/>
  <c r="CM542" i="6"/>
  <c r="CW542" i="6" s="1"/>
  <c r="CQ542" i="6"/>
  <c r="BO542" i="6"/>
  <c r="BA542" i="6"/>
  <c r="P537" i="6"/>
  <c r="BF537" i="6" s="1"/>
  <c r="CM537" i="6" l="1"/>
  <c r="CW537" i="6" s="1"/>
  <c r="BY537" i="6"/>
  <c r="CI537" i="6" s="1"/>
  <c r="CC537" i="6"/>
  <c r="AD537" i="6"/>
  <c r="AF537" i="6" s="1"/>
  <c r="CQ537" i="6"/>
  <c r="BP542" i="6"/>
  <c r="BG542" i="6"/>
  <c r="P543" i="6"/>
  <c r="BF543" i="6" s="1"/>
  <c r="BG537" i="6" l="1"/>
  <c r="BP537" i="6"/>
  <c r="BR537" i="6" s="1"/>
  <c r="CQ543" i="6"/>
  <c r="BY543" i="6"/>
  <c r="CI543" i="6" s="1"/>
  <c r="CM543" i="6"/>
  <c r="CW543" i="6" s="1"/>
  <c r="AD543" i="6"/>
  <c r="CC543" i="6"/>
  <c r="Q107" i="6"/>
  <c r="BL107" i="6" s="1"/>
  <c r="CN107" i="6" l="1"/>
  <c r="CX107" i="6" s="1"/>
  <c r="CR107" i="6"/>
  <c r="AE107" i="6"/>
  <c r="BZ107" i="6"/>
  <c r="CJ107" i="6" s="1"/>
  <c r="CD107" i="6"/>
  <c r="BP543" i="6"/>
  <c r="BG543" i="6"/>
  <c r="P107" i="6"/>
  <c r="BF107" i="6" s="1"/>
  <c r="CM107" i="6" l="1"/>
  <c r="CW107" i="6" s="1"/>
  <c r="CQ107" i="6"/>
  <c r="BY107" i="6"/>
  <c r="CI107" i="6" s="1"/>
  <c r="AD107" i="6"/>
  <c r="CC107" i="6"/>
  <c r="BM107" i="6"/>
  <c r="BQ107" i="6"/>
  <c r="P541" i="6"/>
  <c r="BF541" i="6" s="1"/>
  <c r="CC541" i="6" l="1"/>
  <c r="CM541" i="6"/>
  <c r="CW541" i="6" s="1"/>
  <c r="CQ541" i="6"/>
  <c r="BY541" i="6"/>
  <c r="CI541" i="6" s="1"/>
  <c r="AD541" i="6"/>
  <c r="BG107" i="6"/>
  <c r="BP107" i="6"/>
  <c r="O541" i="6"/>
  <c r="AZ541" i="6" s="1"/>
  <c r="BG541" i="6" l="1"/>
  <c r="BP541" i="6"/>
  <c r="CB541" i="6"/>
  <c r="CL541" i="6"/>
  <c r="CV541" i="6" s="1"/>
  <c r="AC541" i="6"/>
  <c r="CP541" i="6"/>
  <c r="BX541" i="6"/>
  <c r="CH541" i="6" s="1"/>
  <c r="Q545" i="6"/>
  <c r="BL545" i="6" s="1"/>
  <c r="BZ545" i="6" l="1"/>
  <c r="CJ545" i="6" s="1"/>
  <c r="CD545" i="6"/>
  <c r="CN545" i="6"/>
  <c r="CX545" i="6" s="1"/>
  <c r="AE545" i="6"/>
  <c r="CR545" i="6"/>
  <c r="BO541" i="6"/>
  <c r="BA541" i="6"/>
  <c r="Q267" i="6"/>
  <c r="BL267" i="6" s="1"/>
  <c r="BZ267" i="6" l="1"/>
  <c r="CJ267" i="6" s="1"/>
  <c r="CN267" i="6"/>
  <c r="CX267" i="6" s="1"/>
  <c r="AE267" i="6"/>
  <c r="CD267" i="6"/>
  <c r="CR267" i="6"/>
  <c r="BQ545" i="6"/>
  <c r="BM545" i="6"/>
  <c r="Q541" i="6"/>
  <c r="BL541" i="6" s="1"/>
  <c r="CN541" i="6" l="1"/>
  <c r="CX541" i="6" s="1"/>
  <c r="BZ541" i="6"/>
  <c r="CJ541" i="6" s="1"/>
  <c r="CD541" i="6"/>
  <c r="CR541" i="6"/>
  <c r="AE541" i="6"/>
  <c r="AF541" i="6" s="1"/>
  <c r="BQ267" i="6"/>
  <c r="BM267" i="6"/>
  <c r="Q536" i="6"/>
  <c r="BL536" i="6" s="1"/>
  <c r="BZ536" i="6" l="1"/>
  <c r="CJ536" i="6" s="1"/>
  <c r="CD536" i="6"/>
  <c r="CN536" i="6"/>
  <c r="CX536" i="6" s="1"/>
  <c r="CR536" i="6"/>
  <c r="AE536" i="6"/>
  <c r="BM541" i="6"/>
  <c r="BQ541" i="6"/>
  <c r="BR541" i="6" s="1"/>
  <c r="O536" i="6"/>
  <c r="AZ536" i="6" s="1"/>
  <c r="BM536" i="6" l="1"/>
  <c r="BQ536" i="6"/>
  <c r="CL536" i="6"/>
  <c r="CV536" i="6" s="1"/>
  <c r="CP536" i="6"/>
  <c r="BX536" i="6"/>
  <c r="CH536" i="6" s="1"/>
  <c r="AC536" i="6"/>
  <c r="CB536" i="6"/>
  <c r="P536" i="6"/>
  <c r="BF536" i="6" s="1"/>
  <c r="BA536" i="6" l="1"/>
  <c r="BO536" i="6"/>
  <c r="BY536" i="6"/>
  <c r="CI536" i="6" s="1"/>
  <c r="CC536" i="6"/>
  <c r="AD536" i="6"/>
  <c r="AF536" i="6" s="1"/>
  <c r="CM536" i="6"/>
  <c r="CW536" i="6" s="1"/>
  <c r="CQ536" i="6"/>
  <c r="Q542" i="6"/>
  <c r="BL542" i="6" s="1"/>
  <c r="CN542" i="6" l="1"/>
  <c r="CX542" i="6" s="1"/>
  <c r="CR542" i="6"/>
  <c r="AE542" i="6"/>
  <c r="BZ542" i="6"/>
  <c r="CJ542" i="6" s="1"/>
  <c r="CD542" i="6"/>
  <c r="BG536" i="6"/>
  <c r="BP536" i="6"/>
  <c r="BR536" i="6" s="1"/>
  <c r="Q140" i="6"/>
  <c r="BL140" i="6" s="1"/>
  <c r="AF542" i="6" l="1"/>
  <c r="BQ542" i="6"/>
  <c r="BM542" i="6"/>
  <c r="BZ140" i="6"/>
  <c r="CJ140" i="6" s="1"/>
  <c r="CN140" i="6"/>
  <c r="CX140" i="6" s="1"/>
  <c r="AE140" i="6"/>
  <c r="CR140" i="6"/>
  <c r="CD140" i="6"/>
  <c r="P535" i="6"/>
  <c r="BF535" i="6" s="1"/>
  <c r="BR542" i="6" l="1"/>
  <c r="BQ140" i="6"/>
  <c r="BM140" i="6"/>
  <c r="BY535" i="6"/>
  <c r="CI535" i="6" s="1"/>
  <c r="CC535" i="6"/>
  <c r="CQ535" i="6"/>
  <c r="AD535" i="6"/>
  <c r="CM535" i="6"/>
  <c r="CW535" i="6" s="1"/>
  <c r="O545" i="6"/>
  <c r="AZ545" i="6" s="1"/>
  <c r="BX545" i="6" l="1"/>
  <c r="CH545" i="6" s="1"/>
  <c r="BO545" i="6"/>
  <c r="BR545" i="6" s="1"/>
  <c r="CL545" i="6"/>
  <c r="CV545" i="6" s="1"/>
  <c r="CB545" i="6"/>
  <c r="AC545" i="6"/>
  <c r="CP545" i="6"/>
  <c r="BP535" i="6"/>
  <c r="BG535" i="6"/>
  <c r="Q544" i="6"/>
  <c r="BL544" i="6" s="1"/>
  <c r="CN544" i="6" l="1"/>
  <c r="CX544" i="6" s="1"/>
  <c r="AW15" i="5" s="1"/>
  <c r="BZ544" i="6"/>
  <c r="CJ544" i="6" s="1"/>
  <c r="AR15" i="5" s="1"/>
  <c r="CR544" i="6"/>
  <c r="CD544" i="6"/>
  <c r="AE544" i="6"/>
  <c r="Z15" i="5" s="1"/>
  <c r="BA545" i="6"/>
  <c r="AF545" i="6"/>
  <c r="O543" i="6"/>
  <c r="AZ543" i="6" s="1"/>
  <c r="CL543" i="6" l="1"/>
  <c r="CV543" i="6" s="1"/>
  <c r="BX543" i="6"/>
  <c r="CH543" i="6" s="1"/>
  <c r="CP543" i="6"/>
  <c r="AC543" i="6"/>
  <c r="AF543" i="6" s="1"/>
  <c r="CB543" i="6"/>
  <c r="BQ544" i="6"/>
  <c r="BM544" i="6"/>
  <c r="O324" i="6"/>
  <c r="AZ324" i="6" s="1"/>
  <c r="AC15" i="5" l="1"/>
  <c r="AE15" i="5"/>
  <c r="AD15" i="5"/>
  <c r="BX324" i="6"/>
  <c r="CH324" i="6" s="1"/>
  <c r="AC324" i="6"/>
  <c r="CB324" i="6"/>
  <c r="CL324" i="6"/>
  <c r="CV324" i="6" s="1"/>
  <c r="CP324" i="6"/>
  <c r="BA543" i="6"/>
  <c r="BO543" i="6"/>
  <c r="BR543" i="6" s="1"/>
  <c r="O107" i="6"/>
  <c r="AZ107" i="6" s="1"/>
  <c r="AG15" i="5" l="1"/>
  <c r="AI15" i="5"/>
  <c r="AH15" i="5"/>
  <c r="AF15" i="5"/>
  <c r="BO324" i="6"/>
  <c r="BA324" i="6"/>
  <c r="CL107" i="6"/>
  <c r="CV107" i="6" s="1"/>
  <c r="BX107" i="6"/>
  <c r="CH107" i="6" s="1"/>
  <c r="CP107" i="6"/>
  <c r="AC107" i="6"/>
  <c r="AF107" i="6" s="1"/>
  <c r="CB107" i="6"/>
  <c r="P544" i="6"/>
  <c r="BF544" i="6" s="1"/>
  <c r="BY544" i="6" l="1"/>
  <c r="CI544" i="6" s="1"/>
  <c r="AQ15" i="5" s="1"/>
  <c r="CM544" i="6"/>
  <c r="CW544" i="6" s="1"/>
  <c r="AV15" i="5" s="1"/>
  <c r="CQ544" i="6"/>
  <c r="CC544" i="6"/>
  <c r="AD544" i="6"/>
  <c r="BA107" i="6"/>
  <c r="BO107" i="6"/>
  <c r="BR107" i="6" s="1"/>
  <c r="Q323" i="6"/>
  <c r="BL323" i="6" s="1"/>
  <c r="AF544" i="6" l="1"/>
  <c r="Q15" i="5"/>
  <c r="BZ323" i="6"/>
  <c r="CJ323" i="6" s="1"/>
  <c r="CD323" i="6"/>
  <c r="CN323" i="6"/>
  <c r="CX323" i="6" s="1"/>
  <c r="AE323" i="6"/>
  <c r="CR323" i="6"/>
  <c r="BP544" i="6"/>
  <c r="BG544" i="6"/>
  <c r="O535" i="6"/>
  <c r="AZ535" i="6" s="1"/>
  <c r="BR544" i="6" l="1"/>
  <c r="U15" i="5"/>
  <c r="T15" i="5"/>
  <c r="AC535" i="6"/>
  <c r="CL535" i="6"/>
  <c r="CV535" i="6" s="1"/>
  <c r="BX535" i="6"/>
  <c r="CH535" i="6" s="1"/>
  <c r="CB535" i="6"/>
  <c r="CP535" i="6"/>
  <c r="BQ323" i="6"/>
  <c r="BM323" i="6"/>
  <c r="Q326" i="6"/>
  <c r="BL326" i="6" s="1"/>
  <c r="V15" i="5" l="1"/>
  <c r="AF535" i="6"/>
  <c r="X15" i="5"/>
  <c r="W15" i="5"/>
  <c r="BZ326" i="6"/>
  <c r="CJ326" i="6" s="1"/>
  <c r="CN326" i="6"/>
  <c r="CX326" i="6" s="1"/>
  <c r="AE326" i="6"/>
  <c r="CR326" i="6"/>
  <c r="CD326" i="6"/>
  <c r="BO535" i="6"/>
  <c r="BA535" i="6"/>
  <c r="Q324" i="6"/>
  <c r="BL324" i="6" s="1"/>
  <c r="BR535" i="6" l="1"/>
  <c r="CN324" i="6"/>
  <c r="CX324" i="6" s="1"/>
  <c r="AE324" i="6"/>
  <c r="AF324" i="6" s="1"/>
  <c r="BZ324" i="6"/>
  <c r="CJ324" i="6" s="1"/>
  <c r="CR324" i="6"/>
  <c r="CD324" i="6"/>
  <c r="BQ326" i="6"/>
  <c r="BM326" i="6"/>
  <c r="P325" i="6"/>
  <c r="BF325" i="6" s="1"/>
  <c r="CM325" i="6" l="1"/>
  <c r="CW325" i="6" s="1"/>
  <c r="BY325" i="6"/>
  <c r="CI325" i="6" s="1"/>
  <c r="AD325" i="6"/>
  <c r="CC325" i="6"/>
  <c r="CQ325" i="6"/>
  <c r="BQ324" i="6"/>
  <c r="BR324" i="6" s="1"/>
  <c r="BM324" i="6"/>
  <c r="O327" i="6"/>
  <c r="AZ327" i="6" s="1"/>
  <c r="BX327" i="6" l="1"/>
  <c r="CH327" i="6" s="1"/>
  <c r="AC327" i="6"/>
  <c r="CB327" i="6"/>
  <c r="CL327" i="6"/>
  <c r="CV327" i="6" s="1"/>
  <c r="CP327" i="6"/>
  <c r="BP325" i="6"/>
  <c r="BG325" i="6"/>
  <c r="P323" i="6"/>
  <c r="BF323" i="6" s="1"/>
  <c r="BO327" i="6" l="1"/>
  <c r="BA327" i="6"/>
  <c r="BY323" i="6"/>
  <c r="CI323" i="6" s="1"/>
  <c r="CC323" i="6"/>
  <c r="AD323" i="6"/>
  <c r="CM323" i="6"/>
  <c r="CW323" i="6" s="1"/>
  <c r="CQ323" i="6"/>
  <c r="O140" i="6"/>
  <c r="AZ140" i="6" s="1"/>
  <c r="CL140" i="6" l="1"/>
  <c r="CV140" i="6" s="1"/>
  <c r="CP140" i="6"/>
  <c r="BX140" i="6"/>
  <c r="CH140" i="6" s="1"/>
  <c r="CB140" i="6"/>
  <c r="AC140" i="6"/>
  <c r="BP323" i="6"/>
  <c r="BG323" i="6"/>
  <c r="O323" i="6"/>
  <c r="AZ323" i="6" s="1"/>
  <c r="BA140" i="6" l="1"/>
  <c r="BO140" i="6"/>
  <c r="CL323" i="6"/>
  <c r="CV323" i="6" s="1"/>
  <c r="CP323" i="6"/>
  <c r="BX323" i="6"/>
  <c r="CH323" i="6" s="1"/>
  <c r="CB323" i="6"/>
  <c r="AC323" i="6"/>
  <c r="AF323" i="6" s="1"/>
  <c r="O322" i="6"/>
  <c r="AZ322" i="6" s="1"/>
  <c r="CB322" i="6" l="1"/>
  <c r="CL322" i="6"/>
  <c r="CV322" i="6" s="1"/>
  <c r="AC322" i="6"/>
  <c r="AF322" i="6" s="1"/>
  <c r="BX322" i="6"/>
  <c r="CH322" i="6" s="1"/>
  <c r="CP322" i="6"/>
  <c r="BA323" i="6"/>
  <c r="BO323" i="6"/>
  <c r="BR323" i="6" s="1"/>
  <c r="O325" i="6"/>
  <c r="AZ325" i="6" s="1"/>
  <c r="CL325" i="6" l="1"/>
  <c r="CV325" i="6" s="1"/>
  <c r="CP325" i="6"/>
  <c r="BX325" i="6"/>
  <c r="CH325" i="6" s="1"/>
  <c r="AC325" i="6"/>
  <c r="AF325" i="6" s="1"/>
  <c r="CB325" i="6"/>
  <c r="BA322" i="6"/>
  <c r="BO322" i="6"/>
  <c r="BR322" i="6" s="1"/>
  <c r="P240" i="6"/>
  <c r="BF240" i="6" s="1"/>
  <c r="BY240" i="6" l="1"/>
  <c r="CI240" i="6" s="1"/>
  <c r="CM240" i="6"/>
  <c r="CW240" i="6" s="1"/>
  <c r="AD240" i="6"/>
  <c r="AF240" i="6" s="1"/>
  <c r="CC240" i="6"/>
  <c r="CQ240" i="6"/>
  <c r="BO325" i="6"/>
  <c r="BR325" i="6" s="1"/>
  <c r="BA325" i="6"/>
  <c r="Q327" i="6"/>
  <c r="BL327" i="6" s="1"/>
  <c r="CN327" i="6" l="1"/>
  <c r="CX327" i="6" s="1"/>
  <c r="AE327" i="6"/>
  <c r="CR327" i="6"/>
  <c r="BZ327" i="6"/>
  <c r="CJ327" i="6" s="1"/>
  <c r="CD327" i="6"/>
  <c r="BP240" i="6"/>
  <c r="BR240" i="6" s="1"/>
  <c r="BG240" i="6"/>
  <c r="BM327" i="6" l="1"/>
  <c r="BQ327" i="6"/>
  <c r="P140" i="6"/>
  <c r="BF140" i="6" s="1"/>
  <c r="CQ140" i="6" l="1"/>
  <c r="CM140" i="6"/>
  <c r="CW140" i="6" s="1"/>
  <c r="BY140" i="6"/>
  <c r="CI140" i="6" s="1"/>
  <c r="CC140" i="6"/>
  <c r="AD140" i="6"/>
  <c r="AF140" i="6" s="1"/>
  <c r="BP140" i="6" l="1"/>
  <c r="BR140" i="6" s="1"/>
  <c r="BG140" i="6"/>
  <c r="P326" i="6"/>
  <c r="BF326" i="6" s="1"/>
  <c r="CQ326" i="6" l="1"/>
  <c r="AD326" i="6"/>
  <c r="AF326" i="6" s="1"/>
  <c r="CM326" i="6"/>
  <c r="CW326" i="6" s="1"/>
  <c r="BY326" i="6"/>
  <c r="CI326" i="6" s="1"/>
  <c r="CC326" i="6"/>
  <c r="O267" i="6"/>
  <c r="AZ267" i="6" s="1"/>
  <c r="CB267" i="6" l="1"/>
  <c r="CP267" i="6"/>
  <c r="AC267" i="6"/>
  <c r="AF267" i="6" s="1"/>
  <c r="BX267" i="6"/>
  <c r="CH267" i="6" s="1"/>
  <c r="CL267" i="6"/>
  <c r="CV267" i="6" s="1"/>
  <c r="BG326" i="6"/>
  <c r="BP326" i="6"/>
  <c r="BR326" i="6" s="1"/>
  <c r="BO267" i="6" l="1"/>
  <c r="BR267" i="6" s="1"/>
  <c r="BA267" i="6"/>
  <c r="P86" i="6" l="1"/>
  <c r="BF86" i="6" s="1"/>
  <c r="CC86" i="6" l="1"/>
  <c r="CQ86" i="6"/>
  <c r="AD86" i="6"/>
  <c r="BY86" i="6"/>
  <c r="CI86" i="6" s="1"/>
  <c r="CM86" i="6"/>
  <c r="CW86" i="6" s="1"/>
  <c r="BG86" i="6" l="1"/>
  <c r="BP86" i="6"/>
  <c r="Q86" i="6"/>
  <c r="BL86" i="6" s="1"/>
  <c r="CN86" i="6" l="1"/>
  <c r="CX86" i="6" s="1"/>
  <c r="AE86" i="6"/>
  <c r="AF86" i="6" s="1"/>
  <c r="CR86" i="6"/>
  <c r="BZ86" i="6"/>
  <c r="CJ86" i="6" s="1"/>
  <c r="CD86" i="6"/>
  <c r="P327" i="6"/>
  <c r="BF327" i="6" s="1"/>
  <c r="CM327" i="6" l="1"/>
  <c r="CW327" i="6" s="1"/>
  <c r="CQ327" i="6"/>
  <c r="BY327" i="6"/>
  <c r="CI327" i="6" s="1"/>
  <c r="AD327" i="6"/>
  <c r="AF327" i="6" s="1"/>
  <c r="CC327" i="6"/>
  <c r="BM86" i="6"/>
  <c r="BQ86" i="6"/>
  <c r="BR86" i="6" s="1"/>
  <c r="BG327" i="6" l="1"/>
  <c r="BP327" i="6"/>
  <c r="BR327" i="6" s="1"/>
  <c r="N317" i="6"/>
  <c r="AS317" i="6" l="1"/>
  <c r="CK317" i="6"/>
  <c r="CU317" i="6" s="1"/>
  <c r="CA317" i="6"/>
  <c r="AB317" i="6"/>
  <c r="CO317" i="6"/>
  <c r="BW317" i="6"/>
  <c r="CG317" i="6" s="1"/>
  <c r="BN317" i="6" l="1"/>
  <c r="AT317" i="6"/>
  <c r="Q317" i="6" l="1"/>
  <c r="BL317" i="6" s="1"/>
  <c r="CN317" i="6" l="1"/>
  <c r="CX317" i="6" s="1"/>
  <c r="AE317" i="6"/>
  <c r="BZ317" i="6"/>
  <c r="CJ317" i="6" s="1"/>
  <c r="CD317" i="6"/>
  <c r="CR317" i="6"/>
  <c r="P317" i="6"/>
  <c r="BF317" i="6" s="1"/>
  <c r="O317" i="6"/>
  <c r="AZ317" i="6" s="1"/>
  <c r="BX317" i="6" l="1"/>
  <c r="CH317" i="6" s="1"/>
  <c r="AC317" i="6"/>
  <c r="CL317" i="6"/>
  <c r="CV317" i="6" s="1"/>
  <c r="CB317" i="6"/>
  <c r="CP317" i="6"/>
  <c r="BY317" i="6"/>
  <c r="CI317" i="6" s="1"/>
  <c r="CM317" i="6"/>
  <c r="CW317" i="6" s="1"/>
  <c r="CC317" i="6"/>
  <c r="CQ317" i="6"/>
  <c r="AD317" i="6"/>
  <c r="BM317" i="6"/>
  <c r="BQ317" i="6"/>
  <c r="BP317" i="6" l="1"/>
  <c r="BG317" i="6"/>
  <c r="BA317" i="6"/>
  <c r="BO317" i="6"/>
  <c r="AF317" i="6"/>
  <c r="BR317" i="6" l="1"/>
  <c r="N316" i="6"/>
  <c r="AS316" i="6" l="1"/>
  <c r="CO316" i="6"/>
  <c r="AB316" i="6"/>
  <c r="F14" i="5" s="1"/>
  <c r="CK316" i="6"/>
  <c r="CU316" i="6" s="1"/>
  <c r="AT14" i="5" s="1"/>
  <c r="CA316" i="6"/>
  <c r="BW316" i="6"/>
  <c r="CG316" i="6" s="1"/>
  <c r="AO14" i="5" s="1"/>
  <c r="BN316" i="6" l="1"/>
  <c r="G14" i="5" s="1"/>
  <c r="H14" i="5" s="1"/>
  <c r="AT316" i="6"/>
  <c r="O558" i="6" l="1"/>
  <c r="AZ558" i="6" s="1"/>
  <c r="CL558" i="6" l="1"/>
  <c r="CV558" i="6" s="1"/>
  <c r="AU15" i="5" s="1"/>
  <c r="AX15" i="5" s="1"/>
  <c r="CP558" i="6"/>
  <c r="BX558" i="6"/>
  <c r="CH558" i="6" s="1"/>
  <c r="AP15" i="5" s="1"/>
  <c r="AS15" i="5" s="1"/>
  <c r="AC558" i="6"/>
  <c r="CB558" i="6"/>
  <c r="AF558" i="6" l="1"/>
  <c r="J15" i="5"/>
  <c r="AK15" i="5" s="1"/>
  <c r="BO558" i="6"/>
  <c r="BA558" i="6"/>
  <c r="BR558" i="6" l="1"/>
  <c r="M15" i="5"/>
  <c r="P316" i="6"/>
  <c r="BF316" i="6" s="1"/>
  <c r="O316" i="6"/>
  <c r="AZ316" i="6" s="1"/>
  <c r="Q316" i="6"/>
  <c r="BL316" i="6" s="1"/>
  <c r="O15" i="5" l="1"/>
  <c r="N15" i="5"/>
  <c r="AL15" i="5"/>
  <c r="AM15" i="5" s="1"/>
  <c r="BY316" i="6"/>
  <c r="CI316" i="6" s="1"/>
  <c r="CC316" i="6"/>
  <c r="AD316" i="6"/>
  <c r="Q14" i="5" s="1"/>
  <c r="CQ316" i="6"/>
  <c r="CM316" i="6"/>
  <c r="CW316" i="6" s="1"/>
  <c r="CR316" i="6"/>
  <c r="BZ316" i="6"/>
  <c r="CJ316" i="6" s="1"/>
  <c r="AE316" i="6"/>
  <c r="Z14" i="5" s="1"/>
  <c r="CD316" i="6"/>
  <c r="CN316" i="6"/>
  <c r="CX316" i="6" s="1"/>
  <c r="CB316" i="6"/>
  <c r="AC316" i="6"/>
  <c r="CL316" i="6"/>
  <c r="CV316" i="6" s="1"/>
  <c r="CP316" i="6"/>
  <c r="BX316" i="6"/>
  <c r="CH316" i="6" s="1"/>
  <c r="AU14" i="5" l="1"/>
  <c r="AV14" i="5"/>
  <c r="AP14" i="5"/>
  <c r="AW14" i="5"/>
  <c r="AR14" i="5"/>
  <c r="BQ316" i="6"/>
  <c r="BM316" i="6"/>
  <c r="BO316" i="6"/>
  <c r="BA316" i="6"/>
  <c r="J14" i="5"/>
  <c r="AK14" i="5" s="1"/>
  <c r="AF316" i="6"/>
  <c r="BP316" i="6"/>
  <c r="BG316" i="6"/>
  <c r="AQ14" i="5"/>
  <c r="AX14" i="5" l="1"/>
  <c r="AS14" i="5"/>
  <c r="AE14" i="5"/>
  <c r="AD14" i="5"/>
  <c r="AC14" i="5"/>
  <c r="M14" i="5"/>
  <c r="BR316" i="6"/>
  <c r="U14" i="5"/>
  <c r="T14" i="5"/>
  <c r="V14" i="5" l="1"/>
  <c r="AF14" i="5"/>
  <c r="AG14" i="5"/>
  <c r="O14" i="5"/>
  <c r="N14" i="5"/>
  <c r="AL14" i="5"/>
  <c r="AM14" i="5" s="1"/>
  <c r="AI14" i="5"/>
  <c r="AH14" i="5"/>
  <c r="W14" i="5"/>
  <c r="X14" i="5"/>
  <c r="O347" i="6" l="1"/>
  <c r="AZ347" i="6" s="1"/>
  <c r="P26" i="6"/>
  <c r="BF26" i="6" s="1"/>
  <c r="Q246" i="6"/>
  <c r="BL246" i="6" s="1"/>
  <c r="O26" i="6"/>
  <c r="AZ26" i="6" s="1"/>
  <c r="O255" i="6"/>
  <c r="AZ255" i="6" s="1"/>
  <c r="O20" i="6"/>
  <c r="AZ20" i="6" s="1"/>
  <c r="O21" i="6"/>
  <c r="AZ21" i="6" s="1"/>
  <c r="O190" i="6"/>
  <c r="AZ190" i="6" s="1"/>
  <c r="Q21" i="6"/>
  <c r="BL21" i="6" s="1"/>
  <c r="P190" i="6"/>
  <c r="BF190" i="6" s="1"/>
  <c r="Q255" i="6"/>
  <c r="BL255" i="6" s="1"/>
  <c r="O349" i="6"/>
  <c r="AZ349" i="6" s="1"/>
  <c r="P20" i="6"/>
  <c r="BF20" i="6" s="1"/>
  <c r="P347" i="6"/>
  <c r="BF347" i="6" s="1"/>
  <c r="O37" i="6"/>
  <c r="AZ37" i="6" s="1"/>
  <c r="Q350" i="6"/>
  <c r="BL350" i="6" s="1"/>
  <c r="P15" i="6"/>
  <c r="BF15" i="6" s="1"/>
  <c r="N37" i="6"/>
  <c r="P350" i="6"/>
  <c r="BF350" i="6" s="1"/>
  <c r="P37" i="6"/>
  <c r="BF37" i="6" s="1"/>
  <c r="Q349" i="6"/>
  <c r="BL349" i="6" s="1"/>
  <c r="O348" i="6"/>
  <c r="AZ348" i="6" s="1"/>
  <c r="P255" i="6"/>
  <c r="BF255" i="6" s="1"/>
  <c r="Q347" i="6"/>
  <c r="BL347" i="6" s="1"/>
  <c r="Q79" i="6"/>
  <c r="BL79" i="6" s="1"/>
  <c r="P349" i="6"/>
  <c r="BF349" i="6" s="1"/>
  <c r="Q26" i="6"/>
  <c r="BL26" i="6" s="1"/>
  <c r="O350" i="6"/>
  <c r="AZ350" i="6" s="1"/>
  <c r="Q20" i="6"/>
  <c r="BL20" i="6" s="1"/>
  <c r="O79" i="6"/>
  <c r="AZ79" i="6" s="1"/>
  <c r="O15" i="6"/>
  <c r="AZ15" i="6" s="1"/>
  <c r="P21" i="6"/>
  <c r="BF21" i="6" s="1"/>
  <c r="Q15" i="6"/>
  <c r="BL15" i="6" s="1"/>
  <c r="N190" i="6"/>
  <c r="P79" i="6"/>
  <c r="BF79" i="6" s="1"/>
  <c r="P348" i="6"/>
  <c r="BF348" i="6" s="1"/>
  <c r="O246" i="6"/>
  <c r="AZ246" i="6" s="1"/>
  <c r="Q348" i="6"/>
  <c r="BL348" i="6" s="1"/>
  <c r="P246" i="6"/>
  <c r="BF246" i="6" s="1"/>
  <c r="N79" i="6"/>
  <c r="AS79" i="6" l="1"/>
  <c r="AS190" i="6"/>
  <c r="AS37" i="6"/>
  <c r="BY246" i="6"/>
  <c r="CC246" i="6"/>
  <c r="CM246" i="6"/>
  <c r="AD246" i="6"/>
  <c r="CQ246" i="6"/>
  <c r="BX246" i="6"/>
  <c r="CB246" i="6"/>
  <c r="CL246" i="6"/>
  <c r="AC246" i="6"/>
  <c r="CP246" i="6"/>
  <c r="BY79" i="6"/>
  <c r="CI79" i="6" s="1"/>
  <c r="CC79" i="6"/>
  <c r="CM79" i="6"/>
  <c r="CW79" i="6" s="1"/>
  <c r="AD79" i="6"/>
  <c r="CQ79" i="6"/>
  <c r="BY190" i="6"/>
  <c r="CC190" i="6"/>
  <c r="CM190" i="6"/>
  <c r="AD190" i="6"/>
  <c r="CQ190" i="6"/>
  <c r="BZ21" i="6"/>
  <c r="AE21" i="6"/>
  <c r="CD21" i="6"/>
  <c r="CN21" i="6"/>
  <c r="CR21" i="6"/>
  <c r="BX190" i="6"/>
  <c r="AC190" i="6"/>
  <c r="CB190" i="6"/>
  <c r="CL190" i="6"/>
  <c r="CP190" i="6"/>
  <c r="CB21" i="6"/>
  <c r="BX21" i="6"/>
  <c r="AC21" i="6"/>
  <c r="CL21" i="6"/>
  <c r="CP21" i="6"/>
  <c r="BX20" i="6"/>
  <c r="CB20" i="6"/>
  <c r="AC20" i="6"/>
  <c r="CL20" i="6"/>
  <c r="CP20" i="6"/>
  <c r="BX255" i="6"/>
  <c r="AC255" i="6"/>
  <c r="CB255" i="6"/>
  <c r="CL255" i="6"/>
  <c r="CP255" i="6"/>
  <c r="BX26" i="6"/>
  <c r="CB26" i="6"/>
  <c r="CL26" i="6"/>
  <c r="CP26" i="6"/>
  <c r="AC26" i="6"/>
  <c r="CN246" i="6"/>
  <c r="CR246" i="6"/>
  <c r="AE246" i="6"/>
  <c r="BZ246" i="6"/>
  <c r="CD246" i="6"/>
  <c r="BY26" i="6"/>
  <c r="CC26" i="6"/>
  <c r="CM26" i="6"/>
  <c r="AD26" i="6"/>
  <c r="CQ26" i="6"/>
  <c r="BX347" i="6"/>
  <c r="CH347" i="6" s="1"/>
  <c r="CB347" i="6"/>
  <c r="CL347" i="6"/>
  <c r="CV347" i="6" s="1"/>
  <c r="CP347" i="6"/>
  <c r="AC347" i="6"/>
  <c r="CK79" i="6"/>
  <c r="CU79" i="6" s="1"/>
  <c r="CO79" i="6"/>
  <c r="BW79" i="6"/>
  <c r="CG79" i="6" s="1"/>
  <c r="CA79" i="6"/>
  <c r="AB79" i="6"/>
  <c r="CN348" i="6"/>
  <c r="CX348" i="6" s="1"/>
  <c r="CR348" i="6"/>
  <c r="BZ348" i="6"/>
  <c r="CJ348" i="6" s="1"/>
  <c r="CD348" i="6"/>
  <c r="AE348" i="6"/>
  <c r="BY348" i="6"/>
  <c r="CI348" i="6" s="1"/>
  <c r="CC348" i="6"/>
  <c r="CQ348" i="6"/>
  <c r="CM348" i="6"/>
  <c r="CW348" i="6" s="1"/>
  <c r="AD348" i="6"/>
  <c r="CK190" i="6"/>
  <c r="CO190" i="6"/>
  <c r="BW190" i="6"/>
  <c r="AB190" i="6"/>
  <c r="CA190" i="6"/>
  <c r="AE15" i="6"/>
  <c r="CN15" i="6"/>
  <c r="CR15" i="6"/>
  <c r="BZ15" i="6"/>
  <c r="CD15" i="6"/>
  <c r="CC21" i="6"/>
  <c r="CM21" i="6"/>
  <c r="BY21" i="6"/>
  <c r="AD21" i="6"/>
  <c r="CQ21" i="6"/>
  <c r="BX15" i="6"/>
  <c r="CB15" i="6"/>
  <c r="CL15" i="6"/>
  <c r="CP15" i="6"/>
  <c r="AC15" i="6"/>
  <c r="BX79" i="6"/>
  <c r="CH79" i="6" s="1"/>
  <c r="CB79" i="6"/>
  <c r="AC79" i="6"/>
  <c r="CL79" i="6"/>
  <c r="CV79" i="6" s="1"/>
  <c r="CP79" i="6"/>
  <c r="CN20" i="6"/>
  <c r="CR20" i="6"/>
  <c r="BZ20" i="6"/>
  <c r="AE20" i="6"/>
  <c r="CD20" i="6"/>
  <c r="BX350" i="6"/>
  <c r="CH350" i="6" s="1"/>
  <c r="CB350" i="6"/>
  <c r="AC350" i="6"/>
  <c r="CL350" i="6"/>
  <c r="CV350" i="6" s="1"/>
  <c r="CP350" i="6"/>
  <c r="CN26" i="6"/>
  <c r="CR26" i="6"/>
  <c r="BZ26" i="6"/>
  <c r="CD26" i="6"/>
  <c r="AE26" i="6"/>
  <c r="BY349" i="6"/>
  <c r="CI349" i="6" s="1"/>
  <c r="AD349" i="6"/>
  <c r="CC349" i="6"/>
  <c r="CQ349" i="6"/>
  <c r="CM349" i="6"/>
  <c r="CW349" i="6" s="1"/>
  <c r="CN79" i="6"/>
  <c r="CX79" i="6" s="1"/>
  <c r="AE79" i="6"/>
  <c r="CR79" i="6"/>
  <c r="BZ79" i="6"/>
  <c r="CJ79" i="6" s="1"/>
  <c r="CD79" i="6"/>
  <c r="CN347" i="6"/>
  <c r="CX347" i="6" s="1"/>
  <c r="AE347" i="6"/>
  <c r="CR347" i="6"/>
  <c r="BZ347" i="6"/>
  <c r="CJ347" i="6" s="1"/>
  <c r="CD347" i="6"/>
  <c r="BY255" i="6"/>
  <c r="CC255" i="6"/>
  <c r="AD255" i="6"/>
  <c r="CM255" i="6"/>
  <c r="CQ255" i="6"/>
  <c r="BX348" i="6"/>
  <c r="CH348" i="6" s="1"/>
  <c r="CB348" i="6"/>
  <c r="CL348" i="6"/>
  <c r="CV348" i="6" s="1"/>
  <c r="CP348" i="6"/>
  <c r="AC348" i="6"/>
  <c r="CN349" i="6"/>
  <c r="CX349" i="6" s="1"/>
  <c r="CR349" i="6"/>
  <c r="BZ349" i="6"/>
  <c r="CJ349" i="6" s="1"/>
  <c r="AE349" i="6"/>
  <c r="CD349" i="6"/>
  <c r="BY37" i="6"/>
  <c r="CC37" i="6"/>
  <c r="CM37" i="6"/>
  <c r="CQ37" i="6"/>
  <c r="AD37" i="6"/>
  <c r="BY350" i="6"/>
  <c r="CI350" i="6" s="1"/>
  <c r="CC350" i="6"/>
  <c r="CM350" i="6"/>
  <c r="CW350" i="6" s="1"/>
  <c r="AD350" i="6"/>
  <c r="CQ350" i="6"/>
  <c r="CK37" i="6"/>
  <c r="CO37" i="6"/>
  <c r="BW37" i="6"/>
  <c r="AB37" i="6"/>
  <c r="CA37" i="6"/>
  <c r="BP15" i="6"/>
  <c r="BY15" i="6"/>
  <c r="AD15" i="6"/>
  <c r="CC15" i="6"/>
  <c r="CQ15" i="6"/>
  <c r="CM15" i="6"/>
  <c r="CW15" i="6" s="1"/>
  <c r="CN350" i="6"/>
  <c r="CX350" i="6" s="1"/>
  <c r="CR350" i="6"/>
  <c r="BZ350" i="6"/>
  <c r="CJ350" i="6" s="1"/>
  <c r="AE350" i="6"/>
  <c r="CD350" i="6"/>
  <c r="BX37" i="6"/>
  <c r="CB37" i="6"/>
  <c r="AC37" i="6"/>
  <c r="CL37" i="6"/>
  <c r="CP37" i="6"/>
  <c r="BY347" i="6"/>
  <c r="CI347" i="6" s="1"/>
  <c r="CC347" i="6"/>
  <c r="CM347" i="6"/>
  <c r="CW347" i="6" s="1"/>
  <c r="AD347" i="6"/>
  <c r="CQ347" i="6"/>
  <c r="BY20" i="6"/>
  <c r="AD20" i="6"/>
  <c r="CC20" i="6"/>
  <c r="CM20" i="6"/>
  <c r="CQ20" i="6"/>
  <c r="BX349" i="6"/>
  <c r="CH349" i="6" s="1"/>
  <c r="CB349" i="6"/>
  <c r="AC349" i="6"/>
  <c r="CL349" i="6"/>
  <c r="CV349" i="6" s="1"/>
  <c r="CP349" i="6"/>
  <c r="CN255" i="6"/>
  <c r="CR255" i="6"/>
  <c r="AE255" i="6"/>
  <c r="BZ255" i="6"/>
  <c r="CD255" i="6"/>
  <c r="Q37" i="6"/>
  <c r="BL37" i="6" s="1"/>
  <c r="Q190" i="6"/>
  <c r="BL190" i="6" s="1"/>
  <c r="CW20" i="6" l="1"/>
  <c r="CH246" i="6"/>
  <c r="CJ255" i="6"/>
  <c r="CW255" i="6"/>
  <c r="CX246" i="6"/>
  <c r="CV255" i="6"/>
  <c r="CX255" i="6"/>
  <c r="CI255" i="6"/>
  <c r="CW246" i="6"/>
  <c r="CV246" i="6"/>
  <c r="CJ246" i="6"/>
  <c r="CH255" i="6"/>
  <c r="CI246" i="6"/>
  <c r="AF348" i="6"/>
  <c r="CV20" i="6"/>
  <c r="BG15" i="6"/>
  <c r="CU190" i="6"/>
  <c r="CJ26" i="6"/>
  <c r="CI190" i="6"/>
  <c r="CJ20" i="6"/>
  <c r="CV37" i="6"/>
  <c r="CW26" i="6"/>
  <c r="CW190" i="6"/>
  <c r="CW37" i="6"/>
  <c r="CI21" i="6"/>
  <c r="CX15" i="6"/>
  <c r="CI15" i="6"/>
  <c r="CG190" i="6"/>
  <c r="CI20" i="6"/>
  <c r="CH37" i="6"/>
  <c r="CG37" i="6"/>
  <c r="CX26" i="6"/>
  <c r="CX20" i="6"/>
  <c r="CH15" i="6"/>
  <c r="CW21" i="6"/>
  <c r="CJ15" i="6"/>
  <c r="CI26" i="6"/>
  <c r="CH26" i="6"/>
  <c r="CH20" i="6"/>
  <c r="CH21" i="6"/>
  <c r="CV190" i="6"/>
  <c r="CH190" i="6"/>
  <c r="CU37" i="6"/>
  <c r="CI37" i="6"/>
  <c r="CV15" i="6"/>
  <c r="CV26" i="6"/>
  <c r="CV21" i="6"/>
  <c r="CX21" i="6"/>
  <c r="CJ21" i="6"/>
  <c r="AF349" i="6"/>
  <c r="CN37" i="6"/>
  <c r="AE37" i="6"/>
  <c r="AF37" i="6" s="1"/>
  <c r="CR37" i="6"/>
  <c r="BZ37" i="6"/>
  <c r="CD37" i="6"/>
  <c r="BP20" i="6"/>
  <c r="BG20" i="6"/>
  <c r="BQ349" i="6"/>
  <c r="BM349" i="6"/>
  <c r="BQ347" i="6"/>
  <c r="BM347" i="6"/>
  <c r="AF350" i="6"/>
  <c r="BA15" i="6"/>
  <c r="BO15" i="6"/>
  <c r="BQ348" i="6"/>
  <c r="BM348" i="6"/>
  <c r="AF79" i="6"/>
  <c r="BP26" i="6"/>
  <c r="BG26" i="6"/>
  <c r="AF26" i="6"/>
  <c r="BO20" i="6"/>
  <c r="BA20" i="6"/>
  <c r="AF21" i="6"/>
  <c r="BP246" i="6"/>
  <c r="BG246" i="6"/>
  <c r="BP347" i="6"/>
  <c r="BG347" i="6"/>
  <c r="BO37" i="6"/>
  <c r="BA37" i="6"/>
  <c r="BO348" i="6"/>
  <c r="BA348" i="6"/>
  <c r="BP255" i="6"/>
  <c r="BG255" i="6"/>
  <c r="AF15" i="6"/>
  <c r="BO26" i="6"/>
  <c r="BA26" i="6"/>
  <c r="AF255" i="6"/>
  <c r="BP190" i="6"/>
  <c r="BG190" i="6"/>
  <c r="AF246" i="6"/>
  <c r="CD190" i="6"/>
  <c r="AE190" i="6"/>
  <c r="AF190" i="6" s="1"/>
  <c r="CN190" i="6"/>
  <c r="CR190" i="6"/>
  <c r="BZ190" i="6"/>
  <c r="BA349" i="6"/>
  <c r="BO349" i="6"/>
  <c r="BM350" i="6"/>
  <c r="BQ350" i="6"/>
  <c r="BN37" i="6"/>
  <c r="AT37" i="6"/>
  <c r="BP37" i="6"/>
  <c r="BG37" i="6"/>
  <c r="BQ79" i="6"/>
  <c r="BM79" i="6"/>
  <c r="BG349" i="6"/>
  <c r="BP349" i="6"/>
  <c r="BQ26" i="6"/>
  <c r="BM26" i="6"/>
  <c r="BA350" i="6"/>
  <c r="BO350" i="6"/>
  <c r="BO79" i="6"/>
  <c r="BA79" i="6"/>
  <c r="BP21" i="6"/>
  <c r="BG21" i="6"/>
  <c r="BQ15" i="6"/>
  <c r="BM15" i="6"/>
  <c r="BN190" i="6"/>
  <c r="AT190" i="6"/>
  <c r="AT79" i="6"/>
  <c r="BN79" i="6"/>
  <c r="BA347" i="6"/>
  <c r="BO347" i="6"/>
  <c r="BQ246" i="6"/>
  <c r="BM246" i="6"/>
  <c r="BO255" i="6"/>
  <c r="BA255" i="6"/>
  <c r="BO21" i="6"/>
  <c r="BA21" i="6"/>
  <c r="BQ21" i="6"/>
  <c r="BM21" i="6"/>
  <c r="BP79" i="6"/>
  <c r="BG79" i="6"/>
  <c r="BQ255" i="6"/>
  <c r="BM255" i="6"/>
  <c r="BP350" i="6"/>
  <c r="BG350" i="6"/>
  <c r="BQ20" i="6"/>
  <c r="BM20" i="6"/>
  <c r="BP348" i="6"/>
  <c r="BG348" i="6"/>
  <c r="AF347" i="6"/>
  <c r="AF20" i="6"/>
  <c r="BA190" i="6"/>
  <c r="BO190" i="6"/>
  <c r="BO246" i="6"/>
  <c r="BA246" i="6"/>
  <c r="CJ190" i="6" l="1"/>
  <c r="CX190" i="6"/>
  <c r="BR246" i="6"/>
  <c r="CJ37" i="6"/>
  <c r="CX37" i="6"/>
  <c r="BR348" i="6"/>
  <c r="BR349" i="6"/>
  <c r="BR26" i="6"/>
  <c r="BR255" i="6"/>
  <c r="BR347" i="6"/>
  <c r="BR350" i="6"/>
  <c r="BR20" i="6"/>
  <c r="BQ37" i="6"/>
  <c r="BR37" i="6" s="1"/>
  <c r="BM37" i="6"/>
  <c r="BM190" i="6"/>
  <c r="BQ190" i="6"/>
  <c r="BR190" i="6" s="1"/>
  <c r="BR15" i="6"/>
  <c r="BR21" i="6"/>
  <c r="BR79" i="6"/>
  <c r="N697" i="6" l="1"/>
  <c r="N352" i="6"/>
  <c r="AS352" i="6" l="1"/>
  <c r="AS697" i="6"/>
  <c r="CK697" i="6"/>
  <c r="CU697" i="6" s="1"/>
  <c r="AB697" i="6"/>
  <c r="CO697" i="6"/>
  <c r="BW697" i="6"/>
  <c r="CG697" i="6" s="1"/>
  <c r="CA697" i="6"/>
  <c r="CA352" i="6"/>
  <c r="AB352" i="6"/>
  <c r="BW352" i="6"/>
  <c r="CG352" i="6" s="1"/>
  <c r="CO352" i="6"/>
  <c r="CK352" i="6"/>
  <c r="CU352" i="6" s="1"/>
  <c r="P701" i="6"/>
  <c r="BF701" i="6" s="1"/>
  <c r="AT352" i="6" l="1"/>
  <c r="BN352" i="6"/>
  <c r="AT697" i="6"/>
  <c r="BN697" i="6"/>
  <c r="CM701" i="6"/>
  <c r="AD701" i="6"/>
  <c r="CQ701" i="6"/>
  <c r="BY701" i="6"/>
  <c r="CC701" i="6"/>
  <c r="Q696" i="6"/>
  <c r="BL696" i="6" s="1"/>
  <c r="CW701" i="6" l="1"/>
  <c r="CI701" i="6"/>
  <c r="BP701" i="6"/>
  <c r="BG701" i="6"/>
  <c r="CD696" i="6"/>
  <c r="AE696" i="6"/>
  <c r="CN696" i="6"/>
  <c r="CX696" i="6" s="1"/>
  <c r="CR696" i="6"/>
  <c r="BZ696" i="6"/>
  <c r="CJ696" i="6" s="1"/>
  <c r="O697" i="6"/>
  <c r="AZ697" i="6" s="1"/>
  <c r="CP697" i="6" l="1"/>
  <c r="BX697" i="6"/>
  <c r="CH697" i="6" s="1"/>
  <c r="CB697" i="6"/>
  <c r="CL697" i="6"/>
  <c r="CV697" i="6" s="1"/>
  <c r="AC697" i="6"/>
  <c r="BQ696" i="6"/>
  <c r="BM696" i="6"/>
  <c r="N701" i="6"/>
  <c r="AS701" i="6" l="1"/>
  <c r="BW701" i="6"/>
  <c r="AB701" i="6"/>
  <c r="CA701" i="6"/>
  <c r="CK701" i="6"/>
  <c r="CO701" i="6"/>
  <c r="BO697" i="6"/>
  <c r="BA697" i="6"/>
  <c r="O701" i="6"/>
  <c r="AZ701" i="6" s="1"/>
  <c r="CU701" i="6" l="1"/>
  <c r="CG701" i="6"/>
  <c r="AT701" i="6"/>
  <c r="BN701" i="6"/>
  <c r="BX701" i="6"/>
  <c r="AC701" i="6"/>
  <c r="CL701" i="6"/>
  <c r="CB701" i="6"/>
  <c r="CP701" i="6"/>
  <c r="N351" i="6"/>
  <c r="AS351" i="6" l="1"/>
  <c r="CV701" i="6"/>
  <c r="CH701" i="6"/>
  <c r="CK351" i="6"/>
  <c r="CU351" i="6" s="1"/>
  <c r="BW351" i="6"/>
  <c r="CG351" i="6" s="1"/>
  <c r="CO351" i="6"/>
  <c r="CA351" i="6"/>
  <c r="AB351" i="6"/>
  <c r="BA701" i="6"/>
  <c r="BO701" i="6"/>
  <c r="N696" i="6"/>
  <c r="AS696" i="6" l="1"/>
  <c r="CK696" i="6"/>
  <c r="CU696" i="6" s="1"/>
  <c r="AB696" i="6"/>
  <c r="CO696" i="6"/>
  <c r="CA696" i="6"/>
  <c r="BW696" i="6"/>
  <c r="CG696" i="6" s="1"/>
  <c r="AT351" i="6"/>
  <c r="BN351" i="6"/>
  <c r="Q701" i="6"/>
  <c r="BL701" i="6" s="1"/>
  <c r="CD701" i="6" l="1"/>
  <c r="AE701" i="6"/>
  <c r="AF701" i="6" s="1"/>
  <c r="CN701" i="6"/>
  <c r="CR701" i="6"/>
  <c r="BZ701" i="6"/>
  <c r="AT696" i="6"/>
  <c r="BN696" i="6"/>
  <c r="P700" i="6"/>
  <c r="BF700" i="6" s="1"/>
  <c r="CX701" i="6" l="1"/>
  <c r="CJ701" i="6"/>
  <c r="BM701" i="6"/>
  <c r="BQ701" i="6"/>
  <c r="BR701" i="6" s="1"/>
  <c r="CQ700" i="6"/>
  <c r="AD700" i="6"/>
  <c r="BY700" i="6"/>
  <c r="CC700" i="6"/>
  <c r="CM700" i="6"/>
  <c r="P697" i="6"/>
  <c r="BF697" i="6" s="1"/>
  <c r="CI700" i="6" l="1"/>
  <c r="CW700" i="6"/>
  <c r="BP700" i="6"/>
  <c r="BG700" i="6"/>
  <c r="CQ697" i="6"/>
  <c r="BY697" i="6"/>
  <c r="CI697" i="6" s="1"/>
  <c r="AD697" i="6"/>
  <c r="CC697" i="6"/>
  <c r="CM697" i="6"/>
  <c r="CW697" i="6" s="1"/>
  <c r="Q700" i="6"/>
  <c r="BL700" i="6" s="1"/>
  <c r="BG697" i="6" l="1"/>
  <c r="BP697" i="6"/>
  <c r="CD700" i="6"/>
  <c r="CN700" i="6"/>
  <c r="CR700" i="6"/>
  <c r="AE700" i="6"/>
  <c r="BZ700" i="6"/>
  <c r="Q697" i="6"/>
  <c r="BL697" i="6" s="1"/>
  <c r="CJ700" i="6" l="1"/>
  <c r="CX700" i="6"/>
  <c r="BQ700" i="6"/>
  <c r="BM700" i="6"/>
  <c r="CN697" i="6"/>
  <c r="CX697" i="6" s="1"/>
  <c r="AE697" i="6"/>
  <c r="AF697" i="6" s="1"/>
  <c r="CR697" i="6"/>
  <c r="CD697" i="6"/>
  <c r="BZ697" i="6"/>
  <c r="CJ697" i="6" s="1"/>
  <c r="O352" i="6"/>
  <c r="AZ352" i="6" s="1"/>
  <c r="CL352" i="6" l="1"/>
  <c r="CV352" i="6" s="1"/>
  <c r="CP352" i="6"/>
  <c r="AC352" i="6"/>
  <c r="BX352" i="6"/>
  <c r="CH352" i="6" s="1"/>
  <c r="CB352" i="6"/>
  <c r="BQ697" i="6"/>
  <c r="BR697" i="6" s="1"/>
  <c r="BM697" i="6"/>
  <c r="P352" i="6"/>
  <c r="BF352" i="6" s="1"/>
  <c r="BA352" i="6" l="1"/>
  <c r="BO352" i="6"/>
  <c r="CQ352" i="6"/>
  <c r="CC352" i="6"/>
  <c r="CM352" i="6"/>
  <c r="CW352" i="6" s="1"/>
  <c r="AD352" i="6"/>
  <c r="BY352" i="6"/>
  <c r="CI352" i="6" s="1"/>
  <c r="Q352" i="6"/>
  <c r="BL352" i="6" s="1"/>
  <c r="BP352" i="6" l="1"/>
  <c r="BG352" i="6"/>
  <c r="CD352" i="6"/>
  <c r="AE352" i="6"/>
  <c r="AF352" i="6" s="1"/>
  <c r="CN352" i="6"/>
  <c r="CX352" i="6" s="1"/>
  <c r="BZ352" i="6"/>
  <c r="CJ352" i="6" s="1"/>
  <c r="CR352" i="6"/>
  <c r="P351" i="6"/>
  <c r="BF351" i="6" s="1"/>
  <c r="CC351" i="6" l="1"/>
  <c r="AD351" i="6"/>
  <c r="CM351" i="6"/>
  <c r="CW351" i="6" s="1"/>
  <c r="BY351" i="6"/>
  <c r="CI351" i="6" s="1"/>
  <c r="CQ351" i="6"/>
  <c r="BQ352" i="6"/>
  <c r="BR352" i="6" s="1"/>
  <c r="BM352" i="6"/>
  <c r="O351" i="6"/>
  <c r="AZ351" i="6" s="1"/>
  <c r="CP351" i="6" l="1"/>
  <c r="AC351" i="6"/>
  <c r="BX351" i="6"/>
  <c r="CH351" i="6" s="1"/>
  <c r="CL351" i="6"/>
  <c r="CV351" i="6" s="1"/>
  <c r="CB351" i="6"/>
  <c r="BP351" i="6"/>
  <c r="BG351" i="6"/>
  <c r="O696" i="6"/>
  <c r="AZ696" i="6" s="1"/>
  <c r="CP696" i="6" l="1"/>
  <c r="BX696" i="6"/>
  <c r="CH696" i="6" s="1"/>
  <c r="CB696" i="6"/>
  <c r="CL696" i="6"/>
  <c r="CV696" i="6" s="1"/>
  <c r="AC696" i="6"/>
  <c r="BA351" i="6"/>
  <c r="BO351" i="6"/>
  <c r="Q351" i="6"/>
  <c r="BL351" i="6" s="1"/>
  <c r="BA696" i="6" l="1"/>
  <c r="BO696" i="6"/>
  <c r="CN351" i="6"/>
  <c r="CX351" i="6" s="1"/>
  <c r="BZ351" i="6"/>
  <c r="CJ351" i="6" s="1"/>
  <c r="AE351" i="6"/>
  <c r="AF351" i="6" s="1"/>
  <c r="CD351" i="6"/>
  <c r="CR351" i="6"/>
  <c r="N700" i="6"/>
  <c r="AS700" i="6" l="1"/>
  <c r="CA700" i="6"/>
  <c r="CK700" i="6"/>
  <c r="AB700" i="6"/>
  <c r="BW700" i="6"/>
  <c r="CO700" i="6"/>
  <c r="BQ351" i="6"/>
  <c r="BR351" i="6" s="1"/>
  <c r="BM351" i="6"/>
  <c r="O700" i="6"/>
  <c r="AZ700" i="6" s="1"/>
  <c r="CG700" i="6" l="1"/>
  <c r="CU700" i="6"/>
  <c r="CP700" i="6"/>
  <c r="BX700" i="6"/>
  <c r="CB700" i="6"/>
  <c r="CL700" i="6"/>
  <c r="AC700" i="6"/>
  <c r="AF700" i="6" s="1"/>
  <c r="AT700" i="6"/>
  <c r="BN700" i="6"/>
  <c r="P696" i="6"/>
  <c r="BF696" i="6" s="1"/>
  <c r="CV700" i="6" l="1"/>
  <c r="CH700" i="6"/>
  <c r="CM696" i="6"/>
  <c r="CW696" i="6" s="1"/>
  <c r="AD696" i="6"/>
  <c r="AF696" i="6" s="1"/>
  <c r="BY696" i="6"/>
  <c r="CI696" i="6" s="1"/>
  <c r="CC696" i="6"/>
  <c r="CQ696" i="6"/>
  <c r="BO700" i="6"/>
  <c r="BR700" i="6" s="1"/>
  <c r="BA700" i="6"/>
  <c r="BG696" i="6" l="1"/>
  <c r="BP696" i="6"/>
  <c r="BR696" i="6" s="1"/>
  <c r="N217" i="6" l="1"/>
  <c r="AS217" i="6" l="1"/>
  <c r="CK217" i="6"/>
  <c r="AB217" i="6"/>
  <c r="F13" i="5" s="1"/>
  <c r="CO217" i="6"/>
  <c r="BW217" i="6"/>
  <c r="CA217" i="6"/>
  <c r="O217" i="6"/>
  <c r="AZ217" i="6" s="1"/>
  <c r="CG217" i="6" l="1"/>
  <c r="CU217" i="6"/>
  <c r="CP217" i="6"/>
  <c r="BX217" i="6"/>
  <c r="CB217" i="6"/>
  <c r="AC217" i="6"/>
  <c r="J13" i="5" s="1"/>
  <c r="CL217" i="6"/>
  <c r="AB711" i="6"/>
  <c r="F12" i="5"/>
  <c r="AT217" i="6"/>
  <c r="AT711" i="6" s="1"/>
  <c r="BN217" i="6"/>
  <c r="G13" i="5" s="1"/>
  <c r="P217" i="6"/>
  <c r="BF217" i="6" s="1"/>
  <c r="C7" i="8" l="1"/>
  <c r="AT13" i="5"/>
  <c r="CH217" i="6"/>
  <c r="H13" i="5"/>
  <c r="CV217" i="6"/>
  <c r="C4" i="8"/>
  <c r="AO13" i="5"/>
  <c r="G12" i="5"/>
  <c r="BN711" i="6"/>
  <c r="BA217" i="6"/>
  <c r="BA711" i="6" s="1"/>
  <c r="BO217" i="6"/>
  <c r="CM217" i="6"/>
  <c r="CQ217" i="6"/>
  <c r="AD217" i="6"/>
  <c r="Q13" i="5" s="1"/>
  <c r="BY217" i="6"/>
  <c r="CC217" i="6"/>
  <c r="F25" i="5"/>
  <c r="AB712" i="6" s="1"/>
  <c r="AB713" i="6" s="1"/>
  <c r="AC711" i="6"/>
  <c r="J12" i="5"/>
  <c r="J25" i="5" s="1"/>
  <c r="AC712" i="6" s="1"/>
  <c r="AT12" i="5"/>
  <c r="CU711" i="6"/>
  <c r="CG711" i="6"/>
  <c r="AO12" i="5"/>
  <c r="Q217" i="6"/>
  <c r="BL217" i="6" s="1"/>
  <c r="D7" i="8" l="1"/>
  <c r="AU13" i="5"/>
  <c r="CI217" i="6"/>
  <c r="CW217" i="6"/>
  <c r="M13" i="5"/>
  <c r="D4" i="8"/>
  <c r="AP13" i="5"/>
  <c r="BO711" i="6"/>
  <c r="AP12" i="5"/>
  <c r="CH711" i="6"/>
  <c r="Q12" i="5"/>
  <c r="Q25" i="5" s="1"/>
  <c r="AD712" i="6" s="1"/>
  <c r="AD711" i="6"/>
  <c r="G25" i="5"/>
  <c r="H12" i="5"/>
  <c r="H25" i="5" s="1"/>
  <c r="BZ217" i="6"/>
  <c r="CD217" i="6"/>
  <c r="CN217" i="6"/>
  <c r="CR217" i="6"/>
  <c r="AE217" i="6"/>
  <c r="Z13" i="5" s="1"/>
  <c r="AK13" i="5" s="1"/>
  <c r="BP217" i="6"/>
  <c r="BG217" i="6"/>
  <c r="BG711" i="6" s="1"/>
  <c r="CV711" i="6"/>
  <c r="AU12" i="5"/>
  <c r="AO25" i="5"/>
  <c r="CG712" i="6" s="1"/>
  <c r="CG713" i="6" s="1"/>
  <c r="AT25" i="5"/>
  <c r="CU712" i="6" s="1"/>
  <c r="CU713" i="6" s="1"/>
  <c r="AC713" i="6"/>
  <c r="AV12" i="5"/>
  <c r="E7" i="8" l="1"/>
  <c r="CW711" i="6"/>
  <c r="AU25" i="5"/>
  <c r="CV712" i="6" s="1"/>
  <c r="CV713" i="6" s="1"/>
  <c r="AV13" i="5"/>
  <c r="AV25" i="5" s="1"/>
  <c r="CW712" i="6" s="1"/>
  <c r="CW713" i="6" s="1"/>
  <c r="BN712" i="6"/>
  <c r="BN713" i="6" s="1"/>
  <c r="AP25" i="5"/>
  <c r="CH712" i="6" s="1"/>
  <c r="CH713" i="6" s="1"/>
  <c r="O13" i="5"/>
  <c r="N13" i="5"/>
  <c r="E4" i="8"/>
  <c r="AQ13" i="5"/>
  <c r="U13" i="5"/>
  <c r="T13" i="5"/>
  <c r="CJ217" i="6"/>
  <c r="CX217" i="6"/>
  <c r="Z12" i="5"/>
  <c r="Z25" i="5" s="1"/>
  <c r="AE712" i="6" s="1"/>
  <c r="AE711" i="6"/>
  <c r="AF711" i="6" s="1"/>
  <c r="AF217" i="6"/>
  <c r="BQ217" i="6"/>
  <c r="BM217" i="6"/>
  <c r="BM711" i="6" s="1"/>
  <c r="AD713" i="6"/>
  <c r="CI711" i="6"/>
  <c r="AQ12" i="5"/>
  <c r="T12" i="5"/>
  <c r="BP711" i="6"/>
  <c r="M12" i="5"/>
  <c r="M25" i="5" s="1"/>
  <c r="K25" i="5"/>
  <c r="N12" i="5"/>
  <c r="O12" i="5"/>
  <c r="L25" i="5"/>
  <c r="BO712" i="6" s="1"/>
  <c r="BO713" i="6" s="1"/>
  <c r="F7" i="8" l="1"/>
  <c r="AW13" i="5"/>
  <c r="AX13" i="5" s="1"/>
  <c r="N25" i="5"/>
  <c r="N26" i="5" s="1"/>
  <c r="O25" i="5"/>
  <c r="V13" i="5"/>
  <c r="BR217" i="6"/>
  <c r="BR711" i="6" s="1"/>
  <c r="AE13" i="5"/>
  <c r="AD13" i="5"/>
  <c r="AC13" i="5"/>
  <c r="F4" i="8"/>
  <c r="AR13" i="5"/>
  <c r="AS13" i="5" s="1"/>
  <c r="X13" i="5"/>
  <c r="W13" i="5"/>
  <c r="AK12" i="5"/>
  <c r="AK25" i="5" s="1"/>
  <c r="W12" i="5"/>
  <c r="X12" i="5"/>
  <c r="T25" i="5"/>
  <c r="BP712" i="6" s="1"/>
  <c r="BP713" i="6" s="1"/>
  <c r="BQ711" i="6"/>
  <c r="AC12" i="5"/>
  <c r="AD12" i="5"/>
  <c r="V12" i="5"/>
  <c r="S25" i="5"/>
  <c r="AR12" i="5"/>
  <c r="CJ711" i="6"/>
  <c r="CX711" i="6"/>
  <c r="AW12" i="5"/>
  <c r="U12" i="5"/>
  <c r="U25" i="5" s="1"/>
  <c r="R25" i="5"/>
  <c r="AE713" i="6"/>
  <c r="AQ25" i="5"/>
  <c r="CI712" i="6" s="1"/>
  <c r="CI713" i="6" s="1"/>
  <c r="X25" i="5" l="1"/>
  <c r="V25" i="5"/>
  <c r="W25" i="5"/>
  <c r="AR25" i="5"/>
  <c r="CJ712" i="6" s="1"/>
  <c r="CJ713" i="6" s="1"/>
  <c r="AF13" i="5"/>
  <c r="AG13" i="5"/>
  <c r="AI13" i="5"/>
  <c r="AH13" i="5"/>
  <c r="AL13" i="5"/>
  <c r="AM13" i="5" s="1"/>
  <c r="AL12" i="5"/>
  <c r="AH12" i="5"/>
  <c r="AI12" i="5"/>
  <c r="AD25" i="5"/>
  <c r="BQ712" i="6" s="1"/>
  <c r="BQ713" i="6" s="1"/>
  <c r="AW25" i="5"/>
  <c r="CX712" i="6" s="1"/>
  <c r="CX713" i="6" s="1"/>
  <c r="AX12" i="5"/>
  <c r="AX25" i="5" s="1"/>
  <c r="AG12" i="5"/>
  <c r="AC25" i="5"/>
  <c r="AS12" i="5"/>
  <c r="AS25" i="5" s="1"/>
  <c r="AF12" i="5"/>
  <c r="AB25" i="5"/>
  <c r="AE12" i="5"/>
  <c r="AE25" i="5" s="1"/>
  <c r="AA25" i="5"/>
  <c r="AH25" i="5" l="1"/>
  <c r="AG25" i="5"/>
  <c r="AF25" i="5"/>
  <c r="AI25" i="5"/>
  <c r="AM12" i="5"/>
  <c r="AM25" i="5" s="1"/>
  <c r="AL25" i="5"/>
  <c r="C22" i="5" l="1"/>
  <c r="B22" i="5" s="1"/>
  <c r="C19" i="5" l="1"/>
  <c r="B19" i="5" s="1"/>
  <c r="C11" i="5"/>
  <c r="B11" i="5" s="1"/>
  <c r="C13" i="5"/>
  <c r="B13" i="5" s="1"/>
  <c r="C23" i="5"/>
  <c r="B23" i="5" s="1"/>
  <c r="C16" i="5"/>
  <c r="B16" i="5" s="1"/>
  <c r="C15" i="5"/>
  <c r="B15" i="5" s="1"/>
  <c r="C18" i="5"/>
  <c r="B18" i="5" s="1"/>
  <c r="C17" i="5"/>
  <c r="B17" i="5" s="1"/>
  <c r="C10" i="5"/>
  <c r="B10" i="5" s="1"/>
  <c r="C12" i="5"/>
  <c r="B12" i="5" s="1"/>
  <c r="C20" i="5" l="1"/>
  <c r="B20" i="5" s="1"/>
  <c r="C21" i="5"/>
  <c r="B21" i="5" s="1"/>
  <c r="C14" i="5" l="1"/>
  <c r="B14"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tc={161FFA1C-F3E8-4A52-9688-7C43A664BD08}</author>
  </authors>
  <commentList>
    <comment ref="I28" authorId="0" shapeId="0" xr:uid="{161FFA1C-F3E8-4A52-9688-7C43A664BD08}">
      <text>
        <t>[Threaded comment]
Your version of Excel allows you to read this threaded comment; however, any edits to it will get removed if the file is opened in a newer version of Excel. Learn more: https://go.microsoft.com/fwlink/?linkid=870924
Comment:
    Confirm whether revisions impact gas savings.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s>
  <commentList>
    <comment ref="E1" authorId="0" shapeId="0" xr:uid="{5208BC6B-BD0E-4B76-9488-11F3881BC85E}">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E2" authorId="0" shapeId="0" xr:uid="{8FB4DD2E-03B4-47EB-99E0-13F914EE9677}">
      <text>
        <r>
          <rPr>
            <sz val="9"/>
            <color indexed="81"/>
            <rFont val="Tahoma"/>
            <family val="2"/>
          </rPr>
          <t xml:space="preserve">Please specify the current date in this cell and in the filename when saving the document.
</t>
        </r>
      </text>
    </comment>
    <comment ref="E3" authorId="0" shapeId="0" xr:uid="{0EA8966B-A3A6-4EA2-9752-3502F9BD594A}">
      <text>
        <r>
          <rPr>
            <sz val="9"/>
            <color indexed="81"/>
            <rFont val="Tahoma"/>
            <family val="2"/>
          </rPr>
          <t>Please specify the name of the Program Administrator.</t>
        </r>
      </text>
    </comment>
    <comment ref="F5" authorId="0" shapeId="0" xr:uid="{0F339C9E-50B4-4392-B05F-A26C5F9FA193}">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G5" authorId="0" shapeId="0" xr:uid="{383A3E16-4179-451C-A41A-4F36825AE16B}">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H5" authorId="0" shapeId="0" xr:uid="{98E5C57A-F8ED-4A4F-B17B-9D7FE142198F}">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I5" authorId="0" shapeId="0" xr:uid="{D07D2670-8911-4090-9D11-706118D02500}">
      <text>
        <r>
          <rPr>
            <sz val="9"/>
            <color indexed="81"/>
            <rFont val="Tahoma"/>
            <family val="2"/>
          </rPr>
          <t>Briefly describe the main cause of the significant savings goal adjustments.</t>
        </r>
      </text>
    </comment>
    <comment ref="J5" authorId="0" shapeId="0" xr:uid="{E1404046-7505-4E05-B541-FAF41E8AA743}">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K5" authorId="0" shapeId="0" xr:uid="{2FF07E17-23BF-45C1-8BC6-5FA5CD36ED88}">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M5" authorId="0" shapeId="0" xr:uid="{DE7211C2-52F6-4073-BF18-B9A154F87FDD}">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P5" authorId="0" shapeId="0" xr:uid="{926E355A-E5D8-41B7-8DEC-08066E4581A2}">
      <text>
        <r>
          <rPr>
            <sz val="9"/>
            <color indexed="81"/>
            <rFont val="Tahoma"/>
            <family val="2"/>
          </rPr>
          <t xml:space="preserve">Briefly describe the main cause of the significant savings goal adjustments.
</t>
        </r>
      </text>
    </comment>
    <comment ref="Q5" authorId="0" shapeId="0" xr:uid="{523629AF-95A4-49E7-912D-EF0D0FF5398A}">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R5" authorId="0" shapeId="0" xr:uid="{3342E1B8-9BF7-4CCF-952E-1D891C4B8615}">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U5" authorId="0" shapeId="0" xr:uid="{DDF19D33-4EB1-4360-9465-A92A034D53B7}">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Y5" authorId="0" shapeId="0" xr:uid="{E5FACC72-F892-4F5B-9905-BC42097BCE96}">
      <text>
        <r>
          <rPr>
            <sz val="9"/>
            <color indexed="81"/>
            <rFont val="Tahoma"/>
            <family val="2"/>
          </rPr>
          <t>Briefly describe the main cause of the significant savings goal adjustments.</t>
        </r>
      </text>
    </comment>
    <comment ref="Z5" authorId="0" shapeId="0" xr:uid="{8EDCA92E-DE0C-492E-A18D-9A45B4F433BC}">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AE5" authorId="0" shapeId="0" xr:uid="{5AD3BFB1-7949-4C7F-A508-6C4C3187EFAE}">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J5" authorId="0" shapeId="0" xr:uid="{41DA6403-E314-4662-8DBE-EF386A11341D}">
      <text>
        <r>
          <rPr>
            <sz val="9"/>
            <color indexed="81"/>
            <rFont val="Tahoma"/>
            <family val="2"/>
          </rPr>
          <t>Briefly describe the main cause of the significant savings goal adjustments.</t>
        </r>
      </text>
    </comment>
    <comment ref="AK5" authorId="1" shapeId="0" xr:uid="{B5410E6E-4A2D-4873-B05F-F21426D2E74F}">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AL5" authorId="0" shapeId="0" xr:uid="{62C43E7E-5997-4667-BB46-D4C0D679B285}">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AM5" authorId="0" shapeId="0" xr:uid="{40DE7A11-F220-4341-907D-7B100D27306E}">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E7" authorId="0" shapeId="0" xr:uid="{9AECD2AB-AD84-4856-BEA7-9168DED8657E}">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E25" authorId="0" shapeId="0" xr:uid="{E739F9C9-8963-49D2-9760-C5908D68DCC2}">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5" authorId="0" shapeId="0" xr:uid="{A5865C75-31BC-432A-B40F-4C560A4BEE5C}">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5" authorId="0" shapeId="0" xr:uid="{BCEE3B82-C137-4A09-9A65-44828F64CD4E}">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H25" authorId="0" shapeId="0" xr:uid="{C4248843-53FB-46D9-8AC7-21DD77684CA9}">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J25" authorId="0" shapeId="0" xr:uid="{4BD76C41-6D70-4534-9B8C-CA454B0F52B1}">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5" authorId="0" shapeId="0" xr:uid="{B051EF97-1AAF-44F6-910E-887A355E60BE}">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L25" authorId="0" shapeId="0" xr:uid="{C7C226B0-2ABC-47AB-8939-9FFC4F3602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M25" authorId="0" shapeId="0" xr:uid="{643C115E-34D4-494B-BD1E-C4251C2BF34F}">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N25" authorId="0" shapeId="0" xr:uid="{FD49BC5A-502C-4773-BEEE-1E0520A2A9EE}">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O25" authorId="0" shapeId="0" xr:uid="{B424D688-1FC5-4F23-99B4-3D54AB5BFD6C}">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Q25" authorId="0" shapeId="0" xr:uid="{EC93177D-BC51-4C3B-B926-4682B1E7EC31}">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R25" authorId="0" shapeId="0" xr:uid="{E1FA657C-63CE-4BB2-9FE2-3FF7B32564F2}">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S25" authorId="0" shapeId="0" xr:uid="{45C7DEB7-BACE-44F5-BE5D-F7AB0F3561BD}">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T25" authorId="0" shapeId="0" xr:uid="{ECD36FAE-ACB1-45D8-8B80-2ED05C7EC103}">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U25" authorId="0" shapeId="0" xr:uid="{2E54185D-70FE-4440-8C37-0125046276D9}">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V25" authorId="0" shapeId="0" xr:uid="{E72DE6B0-69AE-47D7-B0B2-72B220EA1B75}">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W25" authorId="0" shapeId="0" xr:uid="{BF7A9E96-AA22-492A-906C-131F4D605863}">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X25" authorId="0" shapeId="0" xr:uid="{B0938EEC-7E77-4255-AE33-1AE45DE5E031}">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Z25" authorId="0" shapeId="0" xr:uid="{A7DFDB32-1E36-49AE-9134-32D98E11E7ED}">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A25" authorId="0" shapeId="0" xr:uid="{F9873825-9373-486A-AC5B-EB783CEE4ABE}">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B25" authorId="0" shapeId="0" xr:uid="{C633FA1D-3B29-4182-AA0E-6A67C20F6DB9}">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C25" authorId="0" shapeId="0" xr:uid="{32EBBD60-57C3-4525-A5FE-03944C3F73D5}">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D25" authorId="0" shapeId="0" xr:uid="{1DF92563-E3E2-4FA8-BB5C-FC96A0AE2B29}">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E25" authorId="0" shapeId="0" xr:uid="{C8A3E916-D017-4052-919D-7DDC90CF931E}">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F25" authorId="0" shapeId="0" xr:uid="{71C97C7C-5F21-485A-96AB-78CACAF153A3}">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G25" authorId="0" shapeId="0" xr:uid="{B711B44A-8057-4E53-A17B-22848658DCCA}">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H25" authorId="0" shapeId="0" xr:uid="{F7E2AF4E-0477-4C75-A57A-3374AA38143A}">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I25" authorId="0" shapeId="0" xr:uid="{0DB33B88-29FB-4D33-AF6E-4029575E7E94}">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K25" authorId="0" shapeId="0" xr:uid="{AF6B9242-6985-44B3-9A8C-D92952D0A33A}">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L25" authorId="0" shapeId="0" xr:uid="{4282DB89-1C10-49D7-B565-D5F6214A722C}">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AM25" authorId="0" shapeId="0" xr:uid="{A2B60BB9-F059-4C84-A8D8-5BC23A5766B6}">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tc={0F6B96A2-2BA9-4250-83F1-38AA326AAB41}</author>
    <author>tc={27ADF7FA-14A5-4835-AFD2-00B6BF5091C4}</author>
    <author>tc={67C224BE-C9C7-46B6-AC07-5FFA6CC583F4}</author>
    <author>tc={DD75B024-13C5-45EF-9FE1-5F3AADCC8EE0}</author>
    <author>tc={07254782-1130-4C6B-9B00-391FF09C2F47}</author>
    <author>tc={B6719DC5-E09B-44C9-902C-AA8E535F36CF}</author>
    <author>tc={CA4B19EE-2B52-4670-8CE7-526182D077B7}</author>
    <author>tc={CC728E57-8702-4F2A-9EAF-0610C2401346}</author>
    <author>tc={DB92DDCA-684F-4797-9330-637297EDD942}</author>
    <author>tc={B094BAAE-58BB-4F67-BBFC-AED4959BEB5D}</author>
    <author>tc={2770E2D9-D6F2-4809-9A31-B7A7AC53ED11}</author>
    <author>tc={C89A10CF-9FF3-40C0-983F-AD96C4FD1F54}</author>
    <author>tc={B40B9D49-EB75-41E3-B6BA-9FDCEBD0F233}</author>
    <author>tc={2C356EBF-CE38-4399-8E83-9520423F48AD}</author>
    <author>tc={A1B88961-47EA-4ED3-B883-B1775D0760F6}</author>
    <author>tc={9BE859D3-7418-412B-87AB-078BA0BCE3F8}</author>
    <author>tc={DE362E10-E272-4182-95ED-3EB347EABA8D}</author>
    <author>tc={077B2766-1A46-4645-AAA3-BF08DCA1C75F}</author>
    <author>tc={83ED6CE6-B3B9-4702-BEB3-AB4F158F4120}</author>
    <author>tc={E2A8E4A5-F429-4B77-8A1A-35E0F5CC737C}</author>
    <author>tc={9962BCD9-B54E-4BE6-B790-294B84F59545}</author>
    <author>tc={9CC0FF10-0021-4657-9015-88A07D123B0A}</author>
    <author>tc={FB1E967E-058E-4414-ABA4-8E09AB025937}</author>
    <author>tc={AA1C3077-FAA9-4BD8-B620-2519539B3AC0}</author>
    <author>tc={ACACE9D6-77E4-46FE-9AA7-6D8695A14750}</author>
    <author>tc={0E69CAE9-10B9-4271-9E54-0B5324D7F819}</author>
    <author>tc={18906C47-7303-42BD-9C0E-2143736CB084}</author>
    <author>tc={CE0CC1D6-A9DA-4A9F-A17F-5C2725351B17}</author>
    <author>tc={1E9865CA-FC48-41BB-8A30-86274B415835}</author>
    <author>tc={A56CB6A6-46C8-4458-AC57-0FABB42AEDE8}</author>
    <author>tc={0308AFD6-6B3D-4F57-9B9E-DDC909B8B75B}</author>
    <author>tc={E9E29732-7F40-4F55-A71A-8FB9E8CDEF5F}</author>
    <author>tc={EBDD32AC-D0B4-4E42-8ABF-46A05189678B}</author>
    <author>tc={D55331AD-729E-45DD-A621-216747052EA8}</author>
    <author>tc={CBFD51F3-02EA-4798-8E8B-4BFF75E605B0}</author>
    <author>tc={C8528CE9-5202-4C57-9EFE-97064F1D7DE0}</author>
    <author>tc={531016AE-79DA-4D2D-A1C3-F46D22377F49}</author>
    <author>tc={90653EA0-AC5B-4F6A-AC72-A627A81CE575}</author>
    <author>tc={0B759A66-5AFD-457D-B80D-7B84D2FD51EA}</author>
    <author>tc={69830C8B-1F05-4A68-B428-9F6E9758A462}</author>
    <author>tc={04C9B9C1-E3E1-45DF-A600-6D2EE6F4E60F}</author>
    <author>tc={CCE32FF8-EFC2-499B-BBDA-D989A6A2547F}</author>
    <author>tc={A545B9FA-93FC-4995-A54C-126F03E00D1A}</author>
    <author>tc={84424A4B-5B19-4F36-9772-BBFFDC17F112}</author>
    <author>tc={BA90C4AF-0D80-4726-90A4-2839321F8CC1}</author>
    <author>tc={EE0157F8-E4E0-4057-AF7B-8227BAA1B2B1}</author>
    <author>tc={A7B78B61-4270-445D-A5CB-C2DD72BA220C}</author>
    <author>tc={8CE71689-60D2-4E80-8CE7-90433EE0B2E4}</author>
    <author>tc={257EE893-5D6F-4216-97A7-F7F7C02EBAEB}</author>
    <author>tc={45FFCA95-54A7-47D8-A659-F5A114B322D7}</author>
    <author>tc={5BFA3A96-0E05-4994-9B1D-F8FB70A8C4E2}</author>
    <author>tc={6B8345AE-B44B-42E5-AB56-EAEBDDC5192A}</author>
    <author>tc={BEB491D1-A9A9-46BD-904D-2ACA266F2ACD}</author>
    <author>tc={6026BE70-4AA2-41B9-96CB-B4FBF93EC1C7}</author>
    <author>tc={831B1DE3-6B3F-40C1-B183-A777A299AC4B}</author>
    <author>tc={AB92C3B1-A83F-477D-93F5-2E59BB6FD9C5}</author>
    <author>tc={F341CB3D-18C8-4412-B9A0-E6FE89264A6F}</author>
    <author>tc={BF3F595F-E057-495D-AE73-BC97DDE238AB}</author>
    <author>tc={EDA1BAA4-49E5-40F5-B6FD-EE51A68701F6}</author>
    <author>tc={177696FD-06D7-4FE2-B2B6-6E5606AF6415}</author>
    <author>tc={604931B7-A322-4C83-AB71-0167349DDC83}</author>
    <author>tc={6A8257AD-7D61-4C72-A695-81940758EE42}</author>
    <author>tc={2E07AD1C-A2FF-43F0-938B-A564631B9425}</author>
    <author>tc={12E884BC-9874-4726-B53B-1D0D6689B0DB}</author>
    <author>tc={B20CD638-19FF-4ACF-BEB4-31A6F606CBC6}</author>
    <author>tc={FA711B76-1057-4146-BAD3-3E560525DF42}</author>
    <author>tc={1B6A49D2-D9F1-4F01-AA5F-19310C6D2C79}</author>
    <author>tc={D8A4BF3E-9E1F-4389-BC98-EA77F87308C8}</author>
    <author>tc={5E506803-67FE-4A7E-973E-E508E864493B}</author>
    <author>tc={6961D442-329A-4F06-979A-395E084A3AFD}</author>
    <author>tc={3D7E166C-2FA1-46D8-9267-C261C9C6E1EE}</author>
    <author>tc={0672CF02-92D9-4562-9AD2-F09852820CB8}</author>
    <author>tc={12097110-D79B-413C-AFC9-8EAD4B8829BD}</author>
    <author>tc={D37BF3F7-ACE7-471B-AC76-DAB2EA64E5B7}</author>
    <author>tc={D62399E4-28B7-457B-8DC4-C59930C34CE0}</author>
    <author>tc={0178D16C-6A19-41CD-A086-D7C69841CDB4}</author>
    <author>tc={67FF9188-DF50-4CE9-9128-E8E395E30118}</author>
    <author>tc={737FCE89-2765-4445-9506-FF586C3999E1}</author>
    <author>tc={62713F58-ADE9-41A0-AA59-3FF163AC2AFF}</author>
    <author>tc={30D4E4C2-EEDE-4158-A768-5C49D2507496}</author>
    <author>tc={0CCA8DA4-4D7E-4886-A17A-7959CC51B9F0}</author>
    <author>tc={1B6BCB53-E189-406D-869D-7BADDB8B19E0}</author>
    <author>tc={2BA60AF8-749F-4A1C-A4D7-E50724F0D388}</author>
    <author>tc={31FD1710-9F5A-4C29-99D9-141ED19B45BD}</author>
    <author>tc={B5B101C0-2CBF-4848-88DF-8AC4D1CB6626}</author>
    <author>tc={774250AD-CD05-4D8D-8763-D418A3410E7F}</author>
    <author>tc={285E62FC-0CD2-4554-9220-D481EAC4788C}</author>
    <author>tc={0FC4942D-EE72-4D25-B76B-C982504C28D3}</author>
    <author>tc={A289CE7F-063C-4705-A69F-B1BB3E83DBAE}</author>
    <author>tc={4CE30655-894E-47AB-BB8B-9972B5792D8E}</author>
    <author>tc={7E0C2489-EEFA-4EED-A852-6A9B44F848B7}</author>
    <author>tc={F75518F9-F9AE-4ECD-B77F-A16E88B3261A}</author>
    <author>tc={4FA1BC51-B3A8-4DFC-A5EE-EE348B384A35}</author>
    <author>tc={E9828179-EC76-4BC4-953A-C9075DD5F388}</author>
    <author>tc={E92E885F-C3F1-46EA-89FC-478531FBD69A}</author>
    <author>tc={09D655E8-078B-4648-9C2D-DCDFEF517A50}</author>
    <author>tc={75EFF086-8F2B-4392-8249-EC45EFE45DE7}</author>
    <author>tc={861F36C1-729A-403F-A7D8-8705EA498D21}</author>
    <author>tc={CA1CC7C4-8BAB-4CC6-BF1C-2B8BA75EF06D}</author>
    <author>tc={0D1CE774-CE74-4C59-89F4-C18C37204E10}</author>
    <author>tc={E871CD5F-C87F-4790-8C8D-888463BE313E}</author>
    <author>tc={C180678E-CC51-449A-993D-C6D66805B500}</author>
    <author>tc={4DA3E113-8A2A-46B9-A9F2-A3B733771EAD}</author>
    <author>tc={88C61BDA-7C75-406F-815C-99806701C5BB}</author>
    <author>tc={0A6CD3E6-0A52-43A4-8723-1E5162101E45}</author>
    <author>tc={65BFEF09-905B-46A2-B4B1-2D24907CB595}</author>
    <author>tc={D098B00D-09FA-4647-BF8B-1C1F8E7277A2}</author>
    <author>tc={14B12E20-425A-487C-B754-43B033D26200}</author>
    <author>tc={D382C0EF-E481-48E5-BB31-271D772348BC}</author>
    <author>tc={F39FBDFD-8AA0-43C7-9A5A-41388E3DF2FF}</author>
    <author>tc={7AAEDDE6-08C0-4619-96FE-364F2E99D118}</author>
    <author>tc={9EF2513C-D3C0-4D80-8683-9A1AE3E03249}</author>
    <author>tc={7073DC5B-1181-49B1-A454-36282093B899}</author>
    <author>tc={2DD52E6D-993D-4FDB-80C1-CD424F61EBC7}</author>
    <author>tc={BAD2F192-027C-426F-96B9-36DF4D9E3703}</author>
    <author>tc={F1DF3047-9676-4102-8ECF-12513952115C}</author>
    <author>tc={11914BF0-FBFF-4D76-8D3D-54F5C77943AC}</author>
    <author>tc={9035ABCC-7A45-4DA8-81A7-4CB5AC9EF98C}</author>
    <author>tc={8ABAC439-1109-4A83-BCD2-7A250A1CB407}</author>
    <author>tc={05497319-3499-4A30-9334-E20A548561A1}</author>
    <author>tc={09270D40-8287-456E-8B96-65BFE6952FBE}</author>
    <author>tc={814E73C5-F6CE-4EDB-A29A-999793E47189}</author>
    <author>tc={DE95995C-CBF7-4555-B7A6-342140BE64B8}</author>
    <author>tc={4A58A9E3-8FDB-4E5F-8C8B-AE2F018F5F4D}</author>
    <author>tc={A8DE00AF-8541-4AF9-AA2B-1077A639B699}</author>
    <author>tc={6DEE00F9-B250-4115-B26F-E6A9D0FAD9FF}</author>
    <author>tc={713062D7-C481-4519-AF73-B13B2FD4FB82}</author>
    <author>tc={43214119-435F-4499-AAFD-4D2A876D66AD}</author>
    <author>tc={5E5D459E-F081-429E-AB0F-671E0AB93015}</author>
    <author>tc={36A29412-99A9-4722-828D-E0D9F053FF2B}</author>
    <author>tc={3A969E4D-A848-4435-AFAC-A1EF9CA39C17}</author>
    <author>tc={F4C3385E-E974-4ACA-B55C-6F1698A3A36A}</author>
    <author>tc={0A3A888D-7AFD-487D-9494-3F1CC9131B93}</author>
    <author>tc={C6D2B77E-0E1C-4BBB-9AA2-4D5D3458D617}</author>
    <author>tc={DF465E47-BD73-4539-A460-83F4FEE5C1FC}</author>
    <author>tc={FBC2C5AE-AF18-471F-91B7-FEAA7FCF097F}</author>
    <author>tc={3EF499CE-FAC8-43FA-9F31-935AACF89C1E}</author>
    <author>tc={14249D78-5ED4-48B7-9D82-409BA8E03B18}</author>
    <author>tc={A70E1C5E-E942-467E-9188-C381D9828034}</author>
    <author>tc={64998486-BFC4-4DB2-BFED-75D87CFFFFE5}</author>
    <author>tc={90E2BBA9-88D4-4B0A-BC3C-6BE7101FB00A}</author>
    <author>tc={784F585C-876F-42B8-AAAC-8F06388FC8EB}</author>
    <author>tc={E90BDAA0-AC92-4503-BCF1-CFDB9064487A}</author>
    <author>tc={252E32C5-9A49-482C-B03D-3E2A4F6B4688}</author>
    <author>tc={11F3B48E-C9DC-4D64-B078-3A5B566B2D0D}</author>
    <author>tc={84851677-4273-404E-9C2C-9E62A8474BEC}</author>
    <author>tc={9A4CF362-196B-4FB6-BE4B-1413F83CD074}</author>
    <author>tc={27327007-4BD5-4260-91D7-363708AA14EF}</author>
    <author>tc={6AF6611D-7B73-41D3-B525-975E360E937F}</author>
    <author>tc={8B8F6957-95A5-48CE-8865-AC024CDC936D}</author>
    <author>tc={FDD419DC-FB59-4591-A3EC-A67FFB885169}</author>
    <author>tc={C85900B4-35AB-42A5-93DB-AC4CEA97911E}</author>
    <author>tc={9D6E2709-259F-4FF8-AFA8-9DBB4DC1EFF6}</author>
    <author>tc={FCE8020E-647A-4A69-8E1F-FF5360D3DE61}</author>
    <author>tc={6F818481-7CD0-4D60-8B5D-9234F28B412A}</author>
    <author>tc={4FBEE8D9-8276-4463-A28F-8D71127E2A86}</author>
    <author>tc={134C2AB5-AD9E-4680-B631-1EF774AA6243}</author>
    <author>tc={3B255433-2866-41B4-AA1A-412FB94627A0}</author>
    <author>tc={A13C6D6A-DE05-4B9D-8DD1-0480E2A02ABA}</author>
    <author>tc={68FA4E9B-6251-48C5-87AF-5F49A8B908C6}</author>
    <author>tc={BE26110F-A077-4A7A-94E2-57559A2AC25C}</author>
    <author>tc={228E765E-CC82-4C26-A196-2D18EEA5059C}</author>
    <author>tc={02B3402A-EDC7-4BB9-AEB0-5FFB15DB88FF}</author>
    <author>tc={1886C7AA-EB57-469B-A76C-FA04824CF072}</author>
    <author>tc={4E6DCDB8-8D85-4F9A-967F-F5BECE7983F3}</author>
    <author>tc={347E76E1-75EF-4E1A-813D-C20A773A0312}</author>
    <author>tc={D4418BF4-0D8A-4062-932A-10265D0CB274}</author>
    <author>tc={8A598482-9071-4FAD-8D1E-CBBFAF549EBB}</author>
    <author>tc={799C570D-ECD4-4EF6-9F86-63CF3432687B}</author>
    <author>tc={2AE4AB6D-ABA3-4AEB-B9F9-7F6E9C168112}</author>
    <author>tc={44EB36B3-2A24-47BB-BB3B-3B6CB5AEE656}</author>
    <author>tc={930F7EAC-2ECE-4AEC-9FEC-D50B38A810F1}</author>
    <author>tc={045C8785-A174-4DF2-B7FD-F0B5978919D5}</author>
    <author>tc={4040472E-C56F-4516-855C-5A73DF083CCD}</author>
    <author>tc={7EB43E95-A0DD-4742-8E6C-130012E28815}</author>
    <author>tc={CFA314AC-E795-4001-85C8-FF18B4A472A1}</author>
    <author>tc={776E7C95-25A5-474E-A7E3-C82E32C1583A}</author>
    <author>tc={99D77F14-B314-4999-ACE0-E49F1F47DCBB}</author>
    <author>tc={64ABAAF2-C7A9-498E-A800-390FC15F41D5}</author>
    <author>tc={2DD66289-C6EF-4598-999D-EB03D34378FF}</author>
    <author>tc={0EC4521F-C5E3-4F63-A532-709ABC93E4B9}</author>
    <author>tc={A5FA8B68-225C-471D-90D1-CA3B8409F8C2}</author>
    <author>tc={49F14310-CB64-41EA-9A29-03B0E1EE643D}</author>
    <author>tc={BBA8B9F9-0C04-45D5-9694-DDA5A421F62C}</author>
    <author>tc={66E7516D-25FA-4CE1-A5CF-64BEB9D23F18}</author>
    <author>tc={E74A4546-0598-4418-87F0-382B70066458}</author>
    <author>tc={7BF7D03F-401D-43CF-AD0F-266AD56AC08A}</author>
    <author>tc={FB047638-5A2D-405B-9063-5FB5ECBCEA95}</author>
    <author>tc={F2D9C4F2-D70E-49EE-9275-3EBD1C8F4BC1}</author>
    <author>tc={46D16609-32F5-444E-9715-9A7926B69B74}</author>
    <author>tc={9CAEC889-7910-4F60-B2F3-76FE8C571640}</author>
    <author>tc={BFE7E528-5980-46BB-85BC-CFE070DD667D}</author>
    <author>tc={E889D8AE-4B0E-4F69-9F62-E1C51B01880A}</author>
    <author>tc={1FC5FFF2-CE47-43EA-83E8-7BE80BF243C8}</author>
    <author>tc={83597DF3-FC2B-49F1-93CD-69B3539AC652}</author>
    <author>tc={8D3931E5-3245-433D-B167-DC3F6BE1EF46}</author>
    <author>tc={5D573D4D-48B1-4A43-864D-82108415E15C}</author>
    <author>tc={B5FB1AD3-505F-4A93-90D9-E29BB6B71364}</author>
    <author>tc={DD16ECD9-5D55-4BDB-A334-4DE02DC4EC0C}</author>
    <author>tc={0C72C518-BFBA-494A-9858-4815031DFCE8}</author>
    <author>tc={BE88D033-B983-4933-9E8D-8F31575BA86D}</author>
    <author>tc={DAA73F70-C03B-4779-B577-A7A5D4897018}</author>
    <author>tc={EFBB5A9F-2AE1-48E9-A0F0-4FD028DD216B}</author>
    <author>tc={8A729CED-064F-48C9-BA89-F4EB3F12537A}</author>
    <author>tc={AC8F1C3E-7F76-458C-952F-3B540388DEF3}</author>
    <author>tc={E7748DF2-474F-4002-AFDA-D833CC9BE239}</author>
    <author>tc={1FFB9C11-E2E6-4A84-A23F-6D0D13E6B1DC}</author>
    <author>tc={2527FC2B-9981-454A-9A86-F1A7A08A510F}</author>
    <author>tc={255FE400-D612-4BD4-AF17-0FB254F8C559}</author>
    <author>tc={87F592DD-5031-431B-946F-EEA230866576}</author>
    <author>tc={072857CF-3FCD-401C-A3EE-F0ED8363F5E1}</author>
    <author>tc={A22A3889-9A83-4D9B-86C3-DF8B87A19675}</author>
    <author>tc={23E18AE8-C9F4-44BF-AB75-40A2F3688739}</author>
    <author>tc={BAED64B8-C280-4854-9DAD-72DC1E9B56B4}</author>
    <author>tc={88068482-181A-4BC5-8047-9E05C316A68E}</author>
    <author>tc={69573CD6-0B75-439F-9184-877DC1CA1F35}</author>
    <author>tc={28475D5B-65A3-47D5-B451-DB44B9229CF0}</author>
    <author>tc={66B7C521-8273-4677-BB2E-A4FD63F85E7C}</author>
    <author>tc={66FE9634-1068-4E8C-B893-8BD5E1984328}</author>
    <author>tc={5D9C7766-1689-48A7-92FE-D3D0FD9B811C}</author>
    <author>tc={2D71D915-6C9A-4DBF-A471-DA46358382C5}</author>
    <author>tc={6AECD202-2649-48F8-AC5B-6662EEDE186D}</author>
    <author>tc={8C3E0895-7176-4B3B-A8C2-235C9B2A61EE}</author>
    <author>tc={299F3333-EEB8-40B2-AFB4-5200771EF35C}</author>
    <author>tc={35623422-B963-4D6B-A644-DF4AEBF18CC7}</author>
    <author>tc={7CD5C64F-67AA-4238-8FD4-095AE7DBA112}</author>
    <author>tc={295A66FC-A2C3-43ED-90E3-1D053D86A310}</author>
    <author>tc={C100F896-E0F9-4350-9382-118C6E3AD6FC}</author>
    <author>tc={3A11B648-934A-498F-9664-3629CE0AF38E}</author>
    <author>tc={8B637E61-8B70-4092-9C9E-1C6ED8374739}</author>
    <author>tc={55828A71-B0D2-4876-A084-9C801DB2E197}</author>
    <author>tc={463AFB46-27E9-4729-AB4C-F5F855CEFB44}</author>
    <author>tc={C01F4694-BC02-4785-8EE2-11C76F4FE7D8}</author>
    <author>tc={6D722918-20E1-4D81-B04C-7097514CAB76}</author>
    <author>tc={43B6836A-06B7-4A9D-8ACC-90F9C92F23DF}</author>
    <author>tc={BF1D5D9B-E03A-4338-BF74-EAF73DDF89A8}</author>
    <author>tc={252C0DF3-95D6-4637-9C4E-F6D8E5DF4FA3}</author>
    <author>tc={8CCAB502-2C0C-48AE-B065-5B083185E847}</author>
    <author>tc={5EACFE7A-0576-400E-B66A-4C1082E1800B}</author>
    <author>tc={99A4AE7A-451C-4215-B255-B3B366A98F4C}</author>
    <author>tc={C9848176-F09E-44D7-B3F6-1FF65810E3D7}</author>
    <author>tc={8585B154-DB2C-429E-94D8-D567245596A7}</author>
    <author>tc={D59E7921-6F83-47ED-8129-09189FC5A376}</author>
    <author>tc={1A1D522A-C447-4789-BC12-D2BC0343339D}</author>
    <author>tc={F594F43D-6166-4CB8-9F79-2CD198A8AE24}</author>
    <author>tc={52007EAF-7B84-4625-8B0E-53C359FD9211}</author>
    <author>tc={13133DF9-CA5F-4B56-A199-B31DA5C76E84}</author>
    <author>tc={625E8145-1F63-42C4-9685-71D8FABDA8BC}</author>
    <author>tc={29324101-7035-4ABD-B4D4-E1436949707D}</author>
    <author>tc={8947D717-8E66-4B3B-9BED-0E38211C10D7}</author>
    <author>tc={FDE96C06-FAFD-4E84-A2CF-B7CC2EC0FA4B}</author>
    <author>tc={F96C49EF-3206-491C-9288-A50036BCF201}</author>
    <author>tc={D7526A84-EB3B-484D-9513-6DED03940C62}</author>
    <author>tc={B9389F5F-BC18-4B9E-9D34-235BAB47D5C5}</author>
    <author>tc={F9F9F6AA-8F25-4852-B023-63C6353D0046}</author>
    <author>tc={FB178944-6CD0-4465-8E41-AD09FB190955}</author>
    <author>tc={8B8E6857-3600-439F-862E-0663F0C56DDD}</author>
    <author>tc={02C883C9-599B-4601-BEE0-FC6E48557FF0}</author>
    <author>tc={33593276-9BF8-4022-9F50-ED80C578B009}</author>
    <author>tc={1763B161-FBB4-47BA-9E18-2250CFE6C577}</author>
    <author>tc={87DF4AE8-F479-4E52-926B-9375D11BEDCE}</author>
    <author>tc={3ACFFB31-0C90-40D3-9278-9849E8A38C43}</author>
    <author>tc={A4F33AA0-88C1-4FDE-9431-E70F136F3B66}</author>
    <author>tc={EE9B46B0-EA01-4BF4-A666-D63475D25C7B}</author>
    <author>tc={9999F82D-DF2E-482A-987F-20BC6558A92A}</author>
    <author>tc={F0F8AAA9-B73C-4EC3-BC88-5576D333386B}</author>
    <author>tc={47773E44-38E0-4712-988A-E6BB1CFBD8B5}</author>
    <author>tc={57ECCAAC-B610-42EC-BB05-75BD96D4F67D}</author>
    <author>tc={0B415509-CD0C-46E1-B739-1F3B1AD095EB}</author>
    <author>tc={02E7D095-891A-4365-8DE2-08C5AB0F2647}</author>
    <author>tc={FEEAB44B-E92B-4687-9FA9-70AA7F080015}</author>
    <author>tc={9D986DC2-8009-4846-9756-48307FAD9DD6}</author>
    <author>tc={C3A7544A-51AF-4DAB-BE2F-21CA49A20E5E}</author>
    <author>tc={8B218C8A-FE6F-4984-9778-D6830417E777}</author>
    <author>tc={95BA5B2C-012F-4FF3-A495-657098448C31}</author>
    <author>tc={53C69C0A-7379-41B9-8989-F1D0730A0A16}</author>
    <author>tc={9A26159C-DF3E-4106-B278-ED1A254074AD}</author>
    <author>tc={8624CD84-CF52-442B-9EAB-DD515DB6E718}</author>
    <author>tc={170FC89C-3669-4D30-9952-07779C3E985E}</author>
    <author>tc={AC758E13-5728-4CA7-B4A6-C3753C9D5D8E}</author>
    <author>tc={DF768C15-C505-4671-AF28-9B04C55B643E}</author>
    <author>tc={6ACE645A-CEFE-4F26-B5A0-AF608DE49FC0}</author>
    <author>tc={3C709744-BB06-4EB1-909A-ECFB49E3B653}</author>
    <author>tc={C92ED2C2-A174-4790-A08A-A754A97E7B1B}</author>
    <author>tc={04A3326C-1D7D-4370-9A81-6257E77826E1}</author>
    <author>tc={D927407B-F5F7-4271-B96B-2EB822D75576}</author>
    <author>tc={3488E7BE-FE66-4AEE-9A92-E8FD05026F21}</author>
    <author>tc={747A6979-9690-4424-9620-6A2B7C9ADAC5}</author>
    <author>tc={AFAF631C-8727-47E1-9BC1-44BD440F829F}</author>
    <author>tc={45B3AEB5-ED2B-4458-8E54-9D52D948F80B}</author>
    <author>tc={51D4C11D-7CA2-4C35-8169-576FDBFC915D}</author>
    <author>tc={EC1A5C60-1E85-4BC0-814D-DAC93E5C3774}</author>
    <author>tc={30D852EF-F30B-4E46-A78E-2EE44E3A3BCB}</author>
    <author>tc={F28C0971-BF16-448D-9401-F29C83B655B5}</author>
    <author>tc={448B1D45-060E-46A5-80B7-FD85FB870B99}</author>
    <author>tc={D4E03EC5-511B-48F6-AC93-465E82D1953F}</author>
    <author>tc={E1589EDC-1969-4AFE-A799-3DB29EA88706}</author>
    <author>tc={1502B112-3BE8-4BCC-8D80-0F3050250C21}</author>
    <author>tc={071D60E4-CFDD-46BF-A660-61C1B24A0B30}</author>
    <author>tc={20ECFB99-1E9C-4292-8762-73F9B80A786E}</author>
    <author>tc={69D0143C-57BD-4B7E-8275-8DB21E4B5DCB}</author>
    <author>tc={6B8C5989-E707-4707-8A68-CE82F2487728}</author>
    <author>tc={8C4FF39A-DCCA-4E03-B3DD-9D2F82670A4D}</author>
    <author>tc={4E277134-46B7-4AEB-998A-A05A838E6A8B}</author>
    <author>tc={EC732B15-936A-4825-9411-2DC24B9157EF}</author>
    <author>tc={39B5E613-1B4A-4863-A99F-A51FA929EF72}</author>
    <author>tc={F5633EA9-811C-4941-9DDA-29B8973D05E4}</author>
    <author>tc={1722520F-DB57-4035-8ED7-9EE506D42A78}</author>
    <author>tc={9C8C7127-BA84-4349-A504-AF01BCDF887C}</author>
    <author>tc={D963BEE1-5CD6-44C9-8122-44ACA24F01F2}</author>
    <author>tc={3F369879-D699-4C1F-9E5E-B471436A16AC}</author>
    <author>tc={D1032503-4012-4EF9-8380-CC1CFB54E22B}</author>
    <author>tc={8B61A97A-F060-4730-B9E5-56A2ADEFD031}</author>
    <author>tc={42ED58A1-9E5A-4B20-A9F4-AF93304DF4E4}</author>
    <author>tc={B4991274-525B-4B93-A6E0-F12C06265186}</author>
    <author>tc={96D054EE-68CE-45C8-9B4A-F28CF50F7578}</author>
    <author>tc={87668C8C-E1C8-4C0F-A889-A836D6E08E23}</author>
    <author>tc={514EF9A8-11ED-4933-B4E4-010AC6E1FD88}</author>
    <author>tc={4C7D23CC-BA57-4089-8434-E3D30B63C349}</author>
    <author>tc={95791A47-6D0F-4E00-B31B-64AD850967FA}</author>
    <author>tc={A0F148D1-155A-4183-BA2B-9D0842111141}</author>
    <author>tc={28DA77CB-4D6C-42A3-9FEA-F2B3BB65123F}</author>
    <author>tc={94761867-F56B-43AD-8F16-80749F3A3AC5}</author>
    <author>tc={D8D0F1F9-4D5B-47FF-B0F4-E9AE0F4C7301}</author>
    <author>tc={17300923-5EFF-4B9E-BCC2-600B8A7E8984}</author>
    <author>tc={B0B3D1B9-8DE4-403A-AA54-36784AADBB3F}</author>
    <author>tc={99E0091D-7A23-4A4E-874C-109A6351E380}</author>
    <author>tc={D87EF616-EC98-4124-8D88-AA7753927CC6}</author>
    <author>tc={799FFC4F-24BD-4960-9AD1-5A3A813DA7F5}</author>
    <author>tc={88B832F0-82DB-4BCA-BC87-7D916D0F6C76}</author>
    <author>tc={EBD4ED46-B39D-410D-81F1-EB1F1C336E67}</author>
    <author>tc={1B417A49-DF16-4F19-8B16-253E234E202D}</author>
    <author>tc={6D1B693F-3F18-4313-BCC4-12A4A2738299}</author>
    <author>tc={0C5F029C-DC25-4C05-ABB2-93C544F4C7AF}</author>
    <author>tc={570ACA27-E65A-4777-A4E0-B0134F0FBC9A}</author>
    <author>tc={C11A4084-E116-48EF-8436-5500236001DB}</author>
    <author>tc={40F2C1E0-5C4D-4EFC-91CC-7DECF891E4D7}</author>
    <author>tc={FB91B61B-8DEB-48D0-9F36-14EBB27A6FAD}</author>
    <author>tc={A28F39E8-9802-4241-A790-70634C5C8238}</author>
    <author>tc={7DA91C5B-9F2A-40DB-999E-F95C0C2C1E41}</author>
    <author>tc={A07B17C1-41BB-4007-BC87-F13974B30A90}</author>
    <author>tc={8D20498C-D334-47A0-97DE-28138A946C99}</author>
    <author>tc={B17DAD3C-D353-4F28-872E-739449B7E35F}</author>
    <author>tc={91AB8B7B-E8EA-4555-99DA-F14DA8478865}</author>
    <author>tc={84CD7548-20B1-46D3-A557-0006A33B1EB7}</author>
    <author>tc={88E685E8-A4EE-40E1-8FA3-3EC0FC9DD36B}</author>
    <author>tc={7143337C-2CDB-4E2C-A127-0405D072D515}</author>
    <author>tc={14BD2AF1-70BB-4E1D-BAC5-AA51AC746525}</author>
    <author>tc={83402DF7-F0FF-4DDA-A56B-2E0244FE1B6D}</author>
    <author>tc={55DA68A2-8513-465B-B431-5B9CBDB49B97}</author>
    <author>tc={D8010AAE-4678-480C-91E3-7EA2E39ABCA5}</author>
    <author>tc={B6A2CCD8-C71C-45D8-A7DB-9AF70610C1DB}</author>
    <author>tc={AD3E4083-AFFF-4D67-9679-763D9561B91B}</author>
    <author>tc={2E36001A-FBB1-4ED5-A7A0-A862738F9B65}</author>
    <author>tc={16CFFD37-EA29-4D7F-9217-005EE18C9A2D}</author>
    <author>tc={7BDCF5D2-6951-4187-BA7E-10E70C7DAB66}</author>
    <author>tc={411286F0-E8F3-46AF-9A6D-0418A0015742}</author>
    <author>tc={4B430B58-43C9-4938-8D23-F7256B6E7F17}</author>
    <author>tc={418A93BA-2648-44B8-9D91-C5E31E0E06C7}</author>
    <author>tc={16EDEFCD-489B-426C-AAF7-DACB8871F5D9}</author>
    <author>tc={89016E57-074B-4F13-A92A-0E8A85EEA72E}</author>
    <author>tc={BF89A2FC-6D09-420A-89BF-6E1CC01EF81F}</author>
    <author>tc={7F9D86C1-AEE8-4CC3-9294-A9BDEAEE1148}</author>
    <author>tc={C752B301-F07F-45D2-8732-455F8EBA92B5}</author>
    <author>tc={6A16AEDA-3B62-4D8A-AB5E-055B65A02D9E}</author>
    <author>tc={6DCF2913-AA71-45CA-8CBF-1873669CD954}</author>
    <author>tc={86D344E9-AD6D-4916-82CF-685D6CD252BB}</author>
    <author>tc={9D2A72B4-DBAD-4A8A-B54B-E18982DE759A}</author>
    <author>tc={CBD96CCB-971E-4FB7-9884-391D306333D1}</author>
    <author>tc={C37AB700-FD9E-4E8B-B593-0F6A7CC2E612}</author>
    <author>tc={9512C433-122C-4A97-B380-DA77C48C5683}</author>
    <author>tc={A6F312E4-2EDD-4E84-B986-8558255AEB47}</author>
    <author>tc={D614C2CA-A9D3-4DE7-92F2-F821D9787E31}</author>
    <author>tc={4D1896F7-5938-46DD-B60B-336B5355ECE2}</author>
    <author>tc={87766765-2736-4497-AC58-936ABEDE48E2}</author>
    <author>tc={E20B0E57-8119-46E1-B2E8-B698B231CCA2}</author>
    <author>tc={4B6CA1B0-7BB5-4BDB-99AC-35075762A899}</author>
    <author>tc={B529B875-2DD8-46E7-B038-58A084A9E28F}</author>
    <author>tc={98330F7A-38F9-4BFF-9DB8-E6676A9E63ED}</author>
    <author>tc={A448DA14-705C-48E3-8BBF-A6A962EBFF03}</author>
    <author>tc={42ADABC0-130D-4590-9EEC-5E708EA0950C}</author>
    <author>tc={60B0CFA4-7653-45CB-9FDF-47A569E29125}</author>
    <author>tc={4F505A91-6672-4A6C-9A15-41A5669AA935}</author>
    <author>tc={8E08A9E2-3907-4BCD-9066-4961762A42CD}</author>
    <author>tc={F1B90AB3-E6D9-4E70-B6E0-3F8CC0A72A91}</author>
    <author>tc={B12DBA63-43D8-41E5-96BE-C78AD2071B87}</author>
    <author>tc={D489F7B1-86B0-42EF-B123-F086B752310C}</author>
    <author>tc={B82C2616-BF2B-4B16-B66C-B1F8897EE05B}</author>
    <author>tc={146C7480-5630-416F-A5B7-C1CAA030ABE0}</author>
    <author>tc={390552E7-574A-4280-B416-4FBAC4042DA7}</author>
    <author>tc={B6B78B3F-9BB1-4E9F-9FC8-C4002774A35D}</author>
    <author>tc={B7AF7D62-DF18-4BC0-8015-8C9F738E4ED9}</author>
    <author>tc={94B5EB2D-D5CA-4E7C-B141-1949A271D00E}</author>
    <author>tc={391199D6-A4BA-462D-BF71-9FFC27C439C8}</author>
    <author>tc={99EFC7FD-90E2-4EEB-BE2E-F0B16B3A2F68}</author>
    <author>tc={1018FF01-53C1-4AA2-B124-7B819882762C}</author>
    <author>tc={8A5AB621-4B8F-4F88-A5A7-60CC54DC2561}</author>
    <author>tc={E5ECB412-73E0-49FB-9E8F-FD6C884A4EBB}</author>
    <author>tc={B854DAFD-9653-40CD-9308-DFC9996CE1B5}</author>
    <author>tc={5CD41FDD-B096-44F9-BFE6-C810EBAA9FA3}</author>
    <author>tc={FDE7693B-52AE-4B2B-B2B9-91C02D09FAE7}</author>
    <author>tc={BE272481-53E4-45B9-8336-CDC14E14729B}</author>
    <author>tc={B2301FA8-812F-4C8C-A072-A6207C6A4CB2}</author>
    <author>tc={3F46212A-0AA0-4131-9A14-97689BFD32EB}</author>
    <author>tc={006425CE-52FF-4810-95CD-9D25F8A01F42}</author>
    <author>tc={08D026EB-D4A7-4BAC-8AE0-2202D77C5041}</author>
    <author>tc={F41C3DAA-F6DC-4CB0-9CCC-7B6EFC34F394}</author>
    <author>tc={A866BA1B-18DF-4CCB-B800-E6CC97B6C4C7}</author>
    <author>tc={AE7363B5-73F7-4FE9-BF6E-568EC1A864C2}</author>
    <author>tc={D5725947-01D8-4F7F-B4EB-B81FC0427FFC}</author>
    <author>tc={9C54B39B-B2D6-490C-BAAF-CB2A179E06FA}</author>
    <author>tc={8C6C2D61-C5E4-4C0D-98F3-D6C566C4CB8E}</author>
    <author>tc={D4307830-F366-4546-BEBF-345FD7E63D7D}</author>
    <author>tc={9DB64AAA-00F0-449F-BC72-1EA75BDF117C}</author>
    <author>tc={D599B2D2-0659-4998-B018-586EF260FA48}</author>
    <author>tc={763CAD81-E9C9-46B4-8E6B-1845CDFDE1E2}</author>
    <author>tc={883C7967-F963-4D95-8BFA-4173748A7F6F}</author>
    <author>tc={9093F336-05FE-4358-82F7-8D4B84FD7225}</author>
    <author>tc={AF739005-3F04-4769-9131-8A30E5AD1F6C}</author>
    <author>tc={3F9C2806-1C68-4ABC-93F6-947DFF472651}</author>
    <author>tc={E966D46F-430D-4532-B339-CAD32B7530A6}</author>
    <author>tc={02E1726B-AFDE-4C75-AAA5-0FE8E6D50608}</author>
    <author>tc={EE0167B8-26DB-4933-A317-BD3CF0A91AEA}</author>
    <author>tc={CE2D7B2F-297E-4E7C-88F4-71261F191505}</author>
    <author>tc={0A107A67-7857-4EB9-B191-F68AAC593FE9}</author>
    <author>tc={175DB92E-985D-40C9-B790-FAD997343D51}</author>
    <author>tc={B38BAB0F-58A9-4949-9848-0C89CA74107C}</author>
    <author>tc={974BFB0F-B436-47B6-9B84-9AFC71044913}</author>
    <author>tc={C0777191-0A27-4480-9967-5D0B37F0E20F}</author>
    <author>tc={1781DF4C-A55B-434B-9967-D2FE381D7E5F}</author>
    <author>tc={DA7E3CDA-C928-46D7-BE97-3E3E2C818E03}</author>
    <author>tc={4E9A5841-0E2B-4A8C-A293-5CA4047ABA9C}</author>
    <author>tc={82D29748-85BC-45EC-BCAE-F5BE82BE61C3}</author>
    <author>tc={7AC0FC20-C5D7-4081-A3A9-9D0B5289D7ED}</author>
    <author>tc={3D65EC09-E8B4-4915-8055-400CBB7181D7}</author>
    <author>tc={6C9058BE-E2B8-43D6-BA1B-888E1E10E8E6}</author>
    <author>tc={A89E3CB6-73D3-4A87-9464-FB7D2FFF8E24}</author>
    <author>tc={01D63E5D-186A-47C7-9CAE-4FF4CA46B131}</author>
    <author>tc={0CB75289-BE80-45E6-81DD-90EE5F34E547}</author>
    <author>tc={A79FA4C8-3CA2-407D-8AA6-59650AE56877}</author>
    <author>tc={39839606-0E18-417E-846F-DE89CAB613D3}</author>
    <author>tc={40C3EBB5-1DEE-49F2-B461-65A05F6188DE}</author>
    <author>tc={E00D1E40-A818-4FC3-A110-1611175A39B3}</author>
    <author>tc={2DC4A62B-94C1-4446-9C18-90E2C2C4E3F6}</author>
    <author>tc={E5481F5E-65F7-4BFB-B546-94045FC1A1D3}</author>
    <author>tc={DDFE3B09-09DE-405A-B6E8-D7A8018CAD76}</author>
    <author>tc={0585E240-6B7D-4BB2-A216-B2CD3C9BB6BC}</author>
    <author>tc={143FB04C-0CD6-4625-A491-4C877C602270}</author>
    <author>tc={9F478C93-43C2-481A-9BE0-752BE7E16FE4}</author>
    <author>tc={B661E659-5C8C-475C-B89F-7685A7BB5252}</author>
    <author>tc={66260BF8-ABBB-4A84-B104-9A81265BD8BC}</author>
    <author>tc={3955C989-EA78-4E13-B20C-E88C41A79F90}</author>
    <author>tc={15968D09-18E0-42C2-ADCE-98648164F5C4}</author>
    <author>tc={7D5334E9-97EF-4204-AF2B-31611930E3D3}</author>
    <author>tc={A2E099C3-1D91-40D5-B432-2A77650F7C23}</author>
    <author>tc={CEF3F055-30F2-4437-BE68-9A0A44C9DF83}</author>
    <author>tc={857133FF-A453-4BCD-9ADC-A17B1C48FE69}</author>
    <author>tc={45548294-EE3C-45CF-A9B6-1C1842D65862}</author>
    <author>tc={2A1CA254-081D-4F34-8BBD-B9DBD851FDED}</author>
    <author>tc={2297C1A3-094B-4334-AD3A-CEECE5E87AE1}</author>
    <author>tc={16747A37-E422-4285-94B0-A62B6F7BD2F5}</author>
    <author>tc={610A233C-9309-4237-B695-B8D2614B6A34}</author>
    <author>tc={C5DF037D-22E1-41C8-B065-BB5A8E19FCDA}</author>
    <author>tc={B1292EB7-84A6-448B-9F6D-95ABF5B708E4}</author>
    <author>tc={37A71C69-57C5-4513-9F3E-584F277F9C19}</author>
    <author>tc={7ACF9419-73B5-4E11-AC4F-A0C4AD92C052}</author>
    <author>tc={5B7B257C-5635-4141-A388-734481464151}</author>
    <author>tc={7B461AD5-FD74-4199-B9CA-6ED873B128A6}</author>
    <author>tc={BA9B75D3-8DDB-43F7-967F-6E9F579AD328}</author>
    <author>tc={03EC3085-E786-4EE0-8062-450F45B6FDF0}</author>
    <author>tc={79587C86-907D-4A10-9F94-CBB29CC3583A}</author>
    <author>tc={AE14D13E-3E05-4E74-BD9A-BD5F2BCF53C5}</author>
    <author>tc={F98DE57B-A2F6-4E87-9A58-294CF2C66B86}</author>
    <author>tc={91E03141-5623-463C-8338-6CA674144FBE}</author>
    <author>tc={9D57664F-42D7-4D29-B5C1-136909761231}</author>
    <author>tc={29CF5FEE-9397-4FC0-BE46-2AA076987C27}</author>
    <author>tc={C82508CC-9EC5-48DC-A864-43A891B24E01}</author>
    <author>tc={DA5154BB-FA5A-406C-851A-3C382A0C37F2}</author>
    <author>tc={7FD8D25D-5BD6-400F-9D74-69D95E9E2AB2}</author>
    <author>tc={CE5F0B63-0520-4D78-B236-B026D57F11BF}</author>
    <author>tc={B79D438C-676A-4EBB-B359-B88FDDC6645B}</author>
    <author>tc={7427AC08-C1C7-4E7F-A2C8-A1EB3F445091}</author>
    <author>tc={5453A568-58EA-41DC-89EC-6D0FA37CCE32}</author>
    <author>tc={185EB7AB-BADC-44DD-8792-28AE8D635298}</author>
    <author>tc={5524BA7E-7F4B-4773-A545-492C951AAB4A}</author>
    <author>tc={19631834-3FAA-4780-8666-8D8B63A43BE9}</author>
    <author>tc={3FB9FF8F-818C-473C-A0FF-85E590F05300}</author>
    <author>tc={F5C3436A-B612-475E-8E80-FB289A79C210}</author>
    <author>tc={E2D20DF6-C7AD-414E-BFF0-598670B3DE41}</author>
    <author>tc={E0694693-60FE-43C3-85E2-CC27DE46204E}</author>
    <author>tc={F7084DBD-6842-431B-9FD5-DE0D59DED0AF}</author>
    <author>tc={AA0CA336-6C8D-46A2-A0DE-E8FB25AFA5E8}</author>
    <author>tc={2BF79C3C-2832-4055-9CD2-90FBB16E4BC4}</author>
    <author>tc={5C60D14C-76A4-41A6-8C7E-6920C4E0920A}</author>
    <author>tc={9B5CB188-2974-4F62-BE78-1D7DE6FF2ED9}</author>
    <author>tc={5A6D4E41-8B99-40D6-BE12-33295403E647}</author>
    <author>tc={CA561C5C-F127-4309-8A7D-F3A42A26F415}</author>
    <author>tc={4103D81A-19FD-40AA-AF47-5625665F5DE7}</author>
    <author>tc={49CB10C1-0577-4D01-B27C-B5AE630673EA}</author>
    <author>tc={2E1C3407-118F-42D0-82F8-6B3B1AB58A25}</author>
    <author>tc={5AE7DAA8-69CB-4BF7-B1C9-34C868EBA0E8}</author>
    <author>tc={BBC2AAC8-0E74-4142-B294-334C16984019}</author>
    <author>tc={2BE573FD-48E4-4AF9-8428-B64F6A34B624}</author>
    <author>tc={35B88000-02A0-4B54-AAC8-147F62502966}</author>
    <author>tc={BE7AE08E-C90E-44F9-BB00-14458127A85B}</author>
    <author>tc={77D3BF90-2DE5-4DFC-A948-C3C3C21E2B0F}</author>
    <author>tc={FE3BFDBD-4D52-49BE-927F-3B2258EDA552}</author>
    <author>tc={9696F645-4FE9-4F74-9FB8-6EDAE94471D9}</author>
    <author>tc={CF327A26-2EB6-40BD-8F4C-B126AEE76441}</author>
    <author>tc={7ACF4F99-CBD2-4EBE-96E5-B2ED44E3F9F9}</author>
    <author>tc={AC8DD438-83FA-4DBB-A859-C8F77626EE46}</author>
    <author>tc={300C26E4-DD5D-4298-8EE9-0FF21CBCA3A7}</author>
    <author>tc={4318DCB5-AE87-464D-9F7E-8F1C7032829A}</author>
    <author>tc={6C87D16F-567E-4BBB-83DD-C363D1DF54FA}</author>
    <author>tc={D811963B-84A0-4C5A-9A74-A86E94CB1403}</author>
    <author>tc={52434316-42C6-4266-8586-92E425969BD3}</author>
    <author>tc={AB8807B3-9E85-48DF-B42F-490C0CFC1D4D}</author>
    <author>tc={74446463-EB17-4889-AA11-1ACACC1738F4}</author>
    <author>tc={299EC75D-04DE-4BC8-A74D-DE0BD197C349}</author>
    <author>tc={1827B8B9-A7FB-45A4-A2B1-7D3C7ABC6A4F}</author>
    <author>tc={8758108A-5AA9-4526-A07B-31D9454D1B5F}</author>
    <author>tc={F197800E-E8B2-4372-B172-F69B2ACF2BB3}</author>
    <author>tc={B64C5261-D3EF-41B1-966D-66D7B29D0A42}</author>
    <author>tc={AB747422-97F1-4C3E-BEA4-3377D35B978B}</author>
    <author>tc={C879E603-2608-4D2A-8DDD-5DB2F10B021B}</author>
    <author>tc={5B561BB9-736E-4D6C-B375-A6B8C3541518}</author>
    <author>tc={D8C169BF-8B41-4648-8346-0454026451EC}</author>
    <author>tc={3F7A6BD1-12D5-4041-A90B-F23C8DCC8877}</author>
    <author>tc={F1CB991A-55FF-4CDB-AD92-9AB10A6F327D}</author>
    <author>tc={9BF8D901-E0E3-4970-9F37-FAC36DF2B380}</author>
    <author>tc={E263A455-CC55-4A73-8BE6-76A8292265F8}</author>
    <author>tc={DA036F75-833E-4155-9E4D-C68EC25892D5}</author>
    <author>tc={AFBC8CBC-12D9-4C62-AD9F-D69A92E0EBD4}</author>
    <author>tc={8E3F3BEF-68A8-42BB-972F-AD0C744DFD4E}</author>
    <author>tc={66FAD1B9-A43E-41C6-9371-791ADF6C063F}</author>
    <author>tc={A34C0997-2523-4DBA-8B9C-DC5E00AD5311}</author>
    <author>tc={CE13254E-F160-437D-875D-76688AE8C259}</author>
    <author>tc={0426AC57-7669-40AD-971B-422857F2BB03}</author>
    <author>tc={84B111CA-A622-4247-A580-F07DF90E6689}</author>
    <author>tc={7E9C2829-1C80-4696-90FE-AE42E511AF39}</author>
    <author>tc={720A2EA3-2014-4511-AFF5-0A2E61F23929}</author>
    <author>tc={9E95EBD6-5EF2-4C1D-A3B4-92E7CF8ECE52}</author>
    <author>tc={74382E65-C10B-4DA3-8563-4E05CF0BBA33}</author>
    <author>tc={D625AAF8-1ADE-4AC9-9799-A2A00478B300}</author>
    <author>tc={E136E018-0627-4280-886D-7605F7077ECC}</author>
    <author>tc={10D6714E-74B9-44DC-8534-696605EEC9E2}</author>
    <author>tc={87CC0EEF-CFAD-4E3C-89E5-E3D1AE578ACF}</author>
    <author>tc={0A8CB856-296C-4E0B-AC65-CBB649197FA9}</author>
    <author>tc={D20BD669-0551-4F56-AFA6-5C71385313CE}</author>
    <author>tc={6DEC53E2-3D77-423A-8FCC-636D14E1E178}</author>
    <author>tc={BFBF3266-496C-4B21-99DC-3D829253F60F}</author>
    <author>tc={6C4E6ECF-180A-48A4-B350-B66628AB9FCF}</author>
    <author>tc={2A8B49F1-E356-4376-BBCE-1C66B2770709}</author>
    <author>tc={200E6981-A6EC-4C2C-8271-B3960C6F9712}</author>
    <author>tc={29E20707-F51F-4DA2-9D05-BBE5DCC0DC91}</author>
    <author>tc={E04D6023-222D-4720-9B2B-9C5A780EAD18}</author>
    <author>tc={88049AB8-7A45-4D08-A108-14FAC3895AEA}</author>
    <author>tc={2E2CC914-6597-450C-90DD-121CC58393A8}</author>
    <author>tc={B317671B-EF18-4E0F-BE38-A5F25438878E}</author>
    <author>tc={69EE5AE5-2FF8-427D-88F4-5F9D530A8260}</author>
    <author>tc={001B25A4-0FEE-406D-992B-68CD3B536F03}</author>
    <author>tc={1442A63A-6BEE-4BB5-A6D0-D618DEC1DA9B}</author>
    <author>tc={B7796FB4-D666-4B0D-B18E-29650B3FC26B}</author>
    <author>tc={93AFFE27-6898-4FC6-986A-6B20822EC56F}</author>
    <author>tc={0DC7C07B-93DE-4B23-9C65-7DEE5FD359E3}</author>
    <author>tc={84BA6C97-E7AF-470A-9C42-0D5B500FDF16}</author>
    <author>tc={1868234E-FB07-49A6-B4BC-E60ADED8E37E}</author>
    <author>tc={9A5EA82A-93B5-44AA-A685-D76837396E83}</author>
    <author>tc={75F6622C-0A20-4D53-A38E-D37F484C48B3}</author>
    <author>tc={75F1B78E-24E1-43EB-A9BB-722A37F1004D}</author>
    <author>tc={3399A101-C5B4-4B70-8064-370CD65B5835}</author>
    <author>tc={070538B2-A491-48C2-B6E6-8CE76F9A1B60}</author>
    <author>tc={D1EB8E31-CE24-4F4B-A045-00A4BA6765F5}</author>
    <author>tc={CE806692-30E4-4186-BFDA-487B6811A222}</author>
    <author>tc={6C52F1F5-7843-4CBD-B6C4-6CE045C1C8F1}</author>
    <author>tc={8492839E-E5D7-4E11-9231-711A0223AB41}</author>
    <author>tc={6FA77F25-C37D-4DE9-A20C-28077AD4A52F}</author>
    <author>tc={A71ED18B-82E9-43BD-9761-066809A7523B}</author>
    <author>tc={3AD5CDC6-AACA-4E73-A915-B4B75C57ED7C}</author>
    <author>tc={09832C84-227F-4843-9044-E865A1E431F9}</author>
    <author>tc={09FD7249-990A-4DC2-BF8C-581E5FD5AF61}</author>
    <author>tc={EA993046-5C05-48BD-93DF-75227B520EF0}</author>
    <author>tc={DBC5CFBB-329F-41AA-9EF4-ED9000F0385C}</author>
    <author>tc={CC2969CB-06CA-444B-853B-ED75DB3C224F}</author>
    <author>tc={9E6C356B-B847-422A-A348-71B6C2621549}</author>
    <author>tc={CC242C3F-49B9-40B9-9637-0C5B670FD5BC}</author>
    <author>tc={9EE3404F-6C96-4304-B85F-B1C68DB2339C}</author>
    <author>tc={9822796F-6A6E-4CF7-B713-136643825FB8}</author>
    <author>tc={CC3E528F-12A7-486B-AF45-663BF66F3C45}</author>
    <author>tc={3BA76838-FC75-4801-AA35-54864353C60E}</author>
    <author>tc={426811C6-FBB4-40DC-B6A3-0FD4574036CC}</author>
    <author>tc={88D61CF8-7E4E-4F4C-9611-803721C564F1}</author>
    <author>tc={F4F8A6CF-CE33-4B1A-A7B6-251E4E0F9DD2}</author>
    <author>tc={46D5B5FC-8B2E-4211-9415-030323EA76A4}</author>
    <author>tc={FB836290-D1D3-46AA-BD3E-44F54A9861B5}</author>
    <author>tc={BC9838CC-57F3-475D-A442-52682628E472}</author>
    <author>tc={5C1E267D-6672-478A-B071-C7E2C5314523}</author>
    <author>tc={B2F94B7D-B816-409C-9EF4-E4F9DCE4AF1E}</author>
    <author>tc={C9805E35-4C5E-4BF3-B54A-467C482C1627}</author>
    <author>tc={82200260-93EA-42B4-9C7C-D52263ABD866}</author>
    <author>tc={287D6BF9-D1FE-4DA8-BF0B-E16F0866C697}</author>
    <author>tc={60BCCF16-28DD-429D-A1AD-7B40BA25474A}</author>
    <author>tc={3B0F0451-582F-4BB3-A37D-0745E36F3F4B}</author>
    <author>tc={BAED4831-55D3-4704-8D81-A1D9C847CF93}</author>
    <author>tc={B5B4D33E-5CA8-4987-8E60-4F0CBF673429}</author>
    <author>tc={3D6FADFB-4225-4E96-BA64-2E720A735738}</author>
    <author>tc={E4ABFA67-C429-44F2-B8A1-8A7CA357440C}</author>
    <author>tc={E68AA097-0BBD-41A3-9146-80E78A175E55}</author>
    <author>tc={A7009E0D-2A45-4585-A038-6524457A69C6}</author>
    <author>tc={102F965B-FFFB-45E3-BA20-4EEB2C19D172}</author>
    <author>tc={CE883D46-F3A8-47DF-BC89-7DDA6688738C}</author>
    <author>tc={852E4B89-262D-47CA-BC07-7B6171751D06}</author>
    <author>tc={1D7C8B73-6A47-42C1-B7D9-0F9EA23C2F95}</author>
    <author>tc={FAEEE3C0-01D5-48E1-B3C8-9C2363191F38}</author>
    <author>tc={540CB99A-5FB2-457D-94D2-0220C3F4F9FD}</author>
    <author>tc={9735BBA9-E81E-453B-BC69-EE4249EB5D7C}</author>
    <author>tc={B8F2AEF6-5175-46D7-A23F-6B2997A1ECB4}</author>
    <author>tc={9D3EF746-D796-4D2B-A494-F345456C7530}</author>
    <author>tc={23A73575-3838-4715-8ED0-C3FC40EF6FFF}</author>
    <author>tc={11BDA4A9-7D7C-4789-96E4-7A248811D850}</author>
    <author>tc={11F5E02E-41B2-4C5F-88CE-9AD8141BD316}</author>
    <author>tc={B5DA54A1-002C-4176-AAB7-6DDE2972103E}</author>
    <author>tc={20F8620B-BB08-446A-9333-3115A66CC666}</author>
    <author>tc={B8B7E17E-8B60-4161-8211-262C6CAA0960}</author>
    <author>tc={9BF193F7-ED2C-4875-9C8F-2693D337093E}</author>
    <author>tc={058A695C-3082-4084-9226-B2E09C634076}</author>
    <author>tc={C1DE750C-E775-4A3F-AAAA-40B70464056D}</author>
    <author>tc={02728F94-1BE1-4A6F-AF78-E60A005F03CE}</author>
    <author>tc={B072B6B6-72AE-45B4-90CF-80CE4EFB3568}</author>
    <author>tc={093F7A9B-1B91-401C-9050-68355768CEEE}</author>
    <author>tc={A9ABD435-6563-4E61-AD52-8B00105BFB35}</author>
    <author>tc={3B631728-B498-46BC-9E59-DE50E63CB5B6}</author>
    <author>tc={5F5CBF3F-8447-4A3B-B76C-CCE61001135C}</author>
    <author>tc={232C586C-C91E-4EA1-A0C1-45916D1C879C}</author>
    <author>tc={E0787C80-7FFE-45BE-90AB-54A647E846EA}</author>
    <author>tc={60358C42-8002-45A0-980B-37E5A1EBB005}</author>
    <author>tc={21B2A23C-A6EF-44F3-8DE5-C78729767641}</author>
    <author>tc={36AB92CB-DB23-4768-8BCC-9BB9FE627C75}</author>
    <author>tc={5F07BDDD-87E7-4841-B15A-3E9C5858F777}</author>
    <author>tc={8FC694E4-3C5C-4AE6-9DA9-DE42FF99B847}</author>
    <author>tc={57B704FE-5F16-4926-B238-F00C08AE80D1}</author>
    <author>tc={44B32361-753E-4E91-98D3-821EDAAE0AE5}</author>
    <author>tc={EFA1B8EA-C52D-42CE-A4CB-D2DBEDA8625A}</author>
    <author>tc={95D410A7-DB08-411A-9DBA-F8403581E3AE}</author>
    <author>tc={2B8D8A34-E24E-472E-B577-7BD7FB8B3F29}</author>
    <author>tc={EDE863A3-4569-4CA2-9337-28F28DAB64B1}</author>
    <author>tc={BD02AAD0-E622-4C1F-959D-622156A86B30}</author>
    <author>tc={40E18B3D-C9BA-47AF-AA5C-23C018D325CC}</author>
    <author>tc={83D2D605-FB90-41F7-8FA4-EC855AE227CD}</author>
    <author>tc={62A1BE2C-6695-48E1-8437-0359CF129EB5}</author>
    <author>tc={78F46F42-EA21-433E-8506-72F7C864183F}</author>
    <author>tc={7F2675B5-43D1-472E-B2A5-8E464BD51B25}</author>
    <author>tc={5AB2ECA5-E505-4087-8A68-8544C464D6B9}</author>
    <author>tc={D990E07C-2AC4-4A9C-ACD8-933961430C6B}</author>
    <author>tc={3425864B-7848-40DC-889A-F77F0392AB7C}</author>
    <author>tc={ADC55B72-57B0-4E31-AAB0-2529A55F93E1}</author>
    <author>tc={BBC7A37F-BFF0-45E6-A432-0383CD8BB99A}</author>
    <author>tc={249C9E66-C1E8-4AAB-8BE1-FAC783EEB2E2}</author>
    <author>tc={3A6FF562-4197-4B59-B603-298FE13A54DC}</author>
    <author>tc={E5813693-CAAA-4FD7-8259-7ED545B939EE}</author>
    <author>tc={B97DFAE2-BCDE-4600-8CA3-63EE08B2AFCD}</author>
    <author>tc={2CE51972-41E3-4B6B-A287-75B9103275EF}</author>
    <author>tc={316ABF7F-1889-4E97-ADDC-2145B5D8C93D}</author>
    <author>tc={B70FC299-5D52-45F3-95A9-57580B0B1256}</author>
    <author>tc={8D746E1F-84AE-4BC2-B0EA-EB6D19B656E8}</author>
    <author>tc={8DFC6E8E-566C-404A-9580-41783EA142B3}</author>
    <author>tc={B54A681E-498E-40D6-A9B2-CBE3C08D9F0C}</author>
    <author>tc={828FC727-BCB4-4C43-B3A6-3E231F33CC1B}</author>
    <author>tc={6ABDD6CA-DA0C-4D90-B60D-A5166D6B6848}</author>
    <author>tc={5312FAD4-33B2-49BA-9945-0C6A9A6000E2}</author>
    <author>tc={87777AC8-C66A-4081-BD1D-B1E9C4B98754}</author>
    <author>tc={8ECA3198-1332-4915-AFD3-6E0FEC6FEC6C}</author>
    <author>tc={365550E1-DA66-49E1-B9C6-7DE3357299C9}</author>
    <author>tc={C80A1907-AFDF-4A1C-BE96-0BDA3FDF4743}</author>
    <author>tc={BC61B2C0-402D-4581-BD3C-13571ECEA6A3}</author>
    <author>tc={B46AE67B-D0B1-4AFA-8771-8AB80F7A7B69}</author>
    <author>tc={4D76ADAA-FD12-4F1E-A6F4-04F554578699}</author>
    <author>tc={FA18CF46-0108-4625-9DA7-D6F0C1F964D1}</author>
    <author>tc={938FFA4A-611D-4BC6-BBDD-E25A582FD2B0}</author>
    <author>tc={7EA605AA-A892-4198-953D-2365CA48A578}</author>
    <author>tc={703C437D-653F-4826-86E4-BB249342E208}</author>
    <author>tc={D239AF46-E1BB-47BA-BBD1-9DD4795C6162}</author>
    <author>tc={DF7ADA41-7C5C-4BF6-A0DB-C73C46B415D8}</author>
    <author>tc={DD21A92F-8C4A-4344-8EED-C9B9684FE568}</author>
    <author>tc={942F629E-03A6-440E-89C1-816FCA80F9F7}</author>
    <author>tc={87E9477E-43E0-4087-85A2-6734BE765684}</author>
    <author>tc={363F3308-036E-424A-B872-E3CFFC203E2C}</author>
    <author>tc={33CF82BA-F910-4447-BDF7-C2B5E314F84A}</author>
    <author>tc={3AAA7F9C-28F2-4DA5-B3E3-4AEE045F2C48}</author>
    <author>tc={181D9097-A8D1-4159-A27D-84C51CAE7DA2}</author>
    <author>tc={C60913F9-97F6-4FF3-8722-2509194FCA4B}</author>
    <author>tc={601CBFD7-FEC1-4134-B1AE-3A029EA50E55}</author>
    <author>tc={60E4EB3F-4A1E-46D9-A788-847CC45B1009}</author>
    <author>tc={06C767DF-2F5C-4400-B14C-2993D5089CE9}</author>
    <author>tc={4D76CCC1-81BF-40D7-BA57-565568CBB947}</author>
    <author>tc={95138EA9-0A89-4833-96D1-B340A60B5C2A}</author>
    <author>tc={EE9B2556-BC09-4A79-AABB-5565B01F979F}</author>
    <author>tc={3497F20E-AFD0-49CF-A4C1-F452CAA6152A}</author>
    <author>tc={989614C3-7A7A-4AC6-8C93-5AD343A1C6EE}</author>
    <author>tc={1DC0E89B-061A-4998-94ED-814E35B59DA1}</author>
    <author>tc={44DC99BF-A9FB-473A-A476-6D4E812550D6}</author>
    <author>tc={3820308D-4012-4609-BAC1-0FDFD4383FD2}</author>
    <author>tc={FFF58108-A034-4A1C-A326-A1AAD7B2A14E}</author>
    <author>tc={8CD8E8F1-E606-437B-98CC-CEEB8F428A80}</author>
    <author>tc={AC9AFE20-E806-4DAD-A436-3F242491331D}</author>
    <author>tc={484E4258-F65E-4D3B-A96B-FB93B4BEB74D}</author>
    <author>tc={CAFA458D-C6C8-4034-BCCD-49D4572B2BCB}</author>
    <author>tc={6FC766D3-4848-4E5D-9A38-65761A317DFE}</author>
    <author>tc={BA3237E3-FD55-49EA-9C76-7AACB79E259D}</author>
    <author>tc={DB289F45-8BA5-44F9-B73A-762F0B31EF8E}</author>
    <author>tc={93B7F459-37FA-404A-8B10-BC1FD0F92933}</author>
    <author>tc={056FC4A0-EB9D-4040-A71E-09A0A6A72F70}</author>
    <author>tc={AA622CA3-237B-4F14-B44E-3E1FE523E01B}</author>
    <author>tc={709AEFCA-AE36-4DE6-B46B-E689FE45B7A5}</author>
    <author>tc={1D1FB12C-278A-45C5-B757-3857E1A6F50B}</author>
    <author>tc={C89C53F8-9DB6-4044-A430-EC58A46C6E96}</author>
    <author>tc={20A54566-E19A-4482-9913-89F15CAE763E}</author>
    <author>tc={89A495D5-A989-4014-9E65-2A7A78771825}</author>
    <author>tc={443902B8-7296-4523-914E-8C23430A4013}</author>
    <author>tc={540CA247-150A-4636-95D0-3A9C5327A1FF}</author>
    <author>tc={40AE3C53-3F52-4CF7-AFD0-A0FE40DA27DE}</author>
    <author>tc={D2754904-6471-48CE-A6CD-AD3D408A850A}</author>
    <author>tc={0C72A536-0AFA-41A4-815A-42CEA9B73D9C}</author>
    <author>tc={C6DC3DA5-F566-4948-BD4F-5FA379CF3E13}</author>
    <author>tc={0DE3A6D9-58AC-426E-9072-1A4399C8C9AE}</author>
    <author>tc={34CF9396-76C4-4BD4-9CF9-0E599D42A7D6}</author>
    <author>tc={ECA6F232-0816-487A-8163-9891C0A2FD47}</author>
    <author>tc={AC8669A0-CF73-4B23-816D-BE91E47F9DF2}</author>
    <author>tc={B29C88BF-6B0B-4F2D-9901-393D47ECD9D5}</author>
    <author>tc={9AD4B463-E9A9-427E-8BD4-1D593571F3FE}</author>
    <author>tc={137B2AE0-A696-4A87-B762-F83D8F06AE84}</author>
    <author>tc={6ECE6370-73DA-494D-80F7-26437AE5F6A2}</author>
    <author>tc={AA85111E-C2DF-452F-B296-0DA1C9C51129}</author>
    <author>tc={8E4038CD-9B0D-402D-B276-D8B4E57C3111}</author>
    <author>tc={E212A032-05CE-45F8-B045-E7354862E953}</author>
    <author>tc={F6337C3B-444F-40AD-8B00-BDC2B373D66C}</author>
    <author>tc={BEEE3ABE-CC28-4E9E-A7CF-57B2DDDBE463}</author>
    <author>tc={DFF38EEA-18FB-48C8-AAC7-F3F41A7FEE15}</author>
    <author>tc={2BD46A12-595E-4097-9F74-0A984FB15485}</author>
    <author>tc={1301540D-C484-4A7E-BE4B-85F2F3CC985B}</author>
    <author>tc={2C6B4CDA-FA81-43E1-9599-B8CD4E83B787}</author>
    <author>tc={6C34F67C-2851-4B04-9254-9B0D90B93860}</author>
    <author>tc={FB779146-6F5D-4BD2-92BC-3A8629DF575B}</author>
    <author>tc={EDE85E29-3257-47E5-9BF4-BD8471D44C56}</author>
    <author>tc={11E3CA4F-2347-4463-BAFB-6A8BCBCAA74E}</author>
    <author>tc={FC4D2AA3-D77F-43A4-BBAA-527A3F1CEF48}</author>
    <author>tc={254503A2-CE47-434B-957C-CB0FE7DF5D2E}</author>
    <author>tc={BD54019B-FE57-4EC9-9A19-05524405B296}</author>
    <author>tc={E81BD402-6611-4327-A9AF-6E327EE79E23}</author>
    <author>tc={3F87F835-8382-4449-823B-A021F751F7A6}</author>
    <author>tc={34D26764-41E9-4DF8-B19B-EFCBA82A367F}</author>
    <author>tc={E0C8C35F-3E2A-40D6-BA3B-B040A8017D93}</author>
    <author>tc={8F841CE9-3BDE-4BAB-9D13-6F20AB9E4552}</author>
    <author>tc={EFFE9C55-BDA4-4EEF-BE13-76C1985C4E66}</author>
    <author>tc={F4CAB3D2-FD14-45DB-9283-88639EC1AFED}</author>
    <author>tc={DA76A768-00DF-4C45-A26F-E3C4CED6BE22}</author>
    <author>tc={C29769D0-340C-4CDC-B0B9-0B735AD2BC9C}</author>
    <author>tc={2013C1FC-616C-4A48-A8F6-9039ABAFACB7}</author>
    <author>tc={BC6D0AB2-9488-454E-A928-81AA3CAA084B}</author>
    <author>tc={5E1457F9-C620-40E9-A42B-2AF6715570E1}</author>
    <author>tc={3AA5FFDD-E7A4-426B-B2E4-65453A61577E}</author>
    <author>tc={FDE00DC6-7CE2-49F5-9746-41104AEE67CC}</author>
    <author>tc={551AD92F-77CA-4E35-B8E5-E9C9D42762C7}</author>
    <author>tc={379B46F1-2560-4890-ABEE-D9319D5B7228}</author>
    <author>tc={1D1C8F4C-FB5E-402B-AE92-1E8C332ACFA7}</author>
    <author>tc={F54EDD82-BA83-440C-97A5-5A9DFDB6A592}</author>
    <author>tc={C55858AB-1AD0-4061-91FD-C8F55F5DE974}</author>
    <author>tc={38F9AE3E-60BB-4C86-94EC-7A19290CC63E}</author>
    <author>tc={60028B6B-0226-4A7C-BA13-1CF112BAC69F}</author>
    <author>tc={22023A49-5E68-49DB-9103-2F0E862A6DCD}</author>
    <author>tc={49174512-FFF5-4A4C-82D2-6A4199F56432}</author>
    <author>tc={30CFD9C7-1BE3-4841-8248-7B0236275459}</author>
    <author>tc={47579231-AA4D-4AF2-BE65-8C2E8F13B91C}</author>
    <author>tc={EF8CFFFD-2A27-4D0F-A3CA-2643B947E1E2}</author>
    <author>tc={4D9E18AD-E85D-4FE5-836A-B9AA4F798A56}</author>
    <author>tc={8AC1906B-9BCA-479E-B429-DAF771289C18}</author>
    <author>tc={E3198751-6258-4E8A-A192-83C1588452CD}</author>
    <author>tc={068FDB22-E5B7-4038-98BA-17A725E6D6BB}</author>
    <author>tc={684E167D-9142-4410-BFB2-7914A5499279}</author>
    <author>tc={B0C7822D-492F-42BF-9D1F-F91060CE8529}</author>
    <author>tc={2262CAF4-D224-4038-942A-971D0DC616EF}</author>
    <author>tc={751B884C-4FA0-45E2-BCBD-775C5852018B}</author>
    <author>tc={5B5F613D-D8AD-4B67-9320-547D137B9B84}</author>
    <author>tc={34C86527-3B46-4E32-9AC6-9E7FF3B6FC03}</author>
    <author>tc={0F3E13D5-CC5C-4BD8-A231-D9CDF1071B5E}</author>
    <author>tc={5C83FDC8-6DE1-44D0-83AB-2E86D67120E8}</author>
    <author>tc={256C6A6F-0946-4F8A-8CDD-88E5998C4355}</author>
    <author>tc={30175296-B4BC-4A9A-A665-23A8EB6C56F9}</author>
    <author>tc={91415670-5D80-44BB-9241-B1E248356610}</author>
    <author>tc={308C299F-9B5A-45F1-BF8B-002150639BE7}</author>
    <author>tc={F03F25D8-3189-4754-8FC5-58426CD2B1B8}</author>
    <author>tc={44882D3F-0CF5-4C75-AD23-F07A7EEFC919}</author>
    <author>tc={34F24A8A-68A2-42D3-A4B5-15DEE882647F}</author>
    <author>tc={0A629A78-283F-4E1C-AB9F-2C64E32C52F1}</author>
    <author>tc={00F3E52F-B7EF-4BF7-BD1D-AA8043742917}</author>
    <author>tc={00B33A8D-FA6C-4C83-B417-FF350F0F6AF9}</author>
    <author>tc={F915634F-BAD7-480C-8246-C865B89CEF44}</author>
    <author>tc={F68632B3-D380-42DF-8BC2-647BABD203A2}</author>
    <author>tc={02A24BE4-25D9-45B8-840B-5497C970ED5A}</author>
    <author>tc={CB51373B-BFE7-4339-B4AC-ED82B326EF40}</author>
    <author>tc={9BE7427D-528C-4ABE-BD6D-7EDB4D9FE656}</author>
    <author>tc={43A64E2A-AB00-452B-A2AE-FC2815C73F54}</author>
    <author>tc={CD0EE354-E25E-4820-B6A9-24B7B10DF530}</author>
    <author>tc={94BA9317-088A-424B-B1E9-E3B909B313A9}</author>
    <author>tc={BEAB3D8A-DA84-4CDA-BC05-610FA7363B43}</author>
    <author>tc={DFD060E6-7711-4B86-8AE6-75FCC0A72B45}</author>
    <author>tc={2C8AF045-4A05-4983-AB1B-4AB7D396EFF7}</author>
    <author>tc={5D7F8912-1CF7-4F84-B917-6C13F2851269}</author>
    <author>tc={15B3E099-3A76-437B-9079-08DDB86E3C4E}</author>
    <author>tc={B58612D1-1BAC-4FB5-85BA-1E863D715EB5}</author>
    <author>tc={E89B0C46-DAC7-46F3-B159-658377979A45}</author>
    <author>tc={9AB3FD58-EDF5-4FD8-A762-19F0C0C1B576}</author>
    <author>tc={CD940079-C16B-4F4E-BEA0-9F2242883DF6}</author>
    <author>tc={47517254-B3B1-43E1-A412-82913301DDC3}</author>
    <author>tc={38962781-E1FB-478A-AE8F-5E192A78BCDC}</author>
    <author>tc={355CDBC9-105E-458A-B902-CDA0647E556E}</author>
    <author>tc={30F225AA-B3BA-43DF-AA38-B879BF83F368}</author>
    <author>tc={EFFCB46E-C61D-40EC-83DB-1E21C864DF6A}</author>
    <author>tc={86ABD1D7-B26A-4E88-8FC8-46593B2A11B5}</author>
    <author>tc={20DAC89F-B8BA-4EE7-AE50-4BBC022A190B}</author>
    <author>tc={9D96D735-C47C-45CE-B67F-5F54FA286645}</author>
    <author>tc={728E685A-BC70-4D49-8D5E-0BACE25B0115}</author>
    <author>tc={5277A5C7-C289-45D6-98F0-EDABC2F87A9E}</author>
    <author>tc={B8A09844-688C-4780-B211-0B8B112104C3}</author>
    <author>tc={4E634543-2EF3-424F-93C7-7A9351175FBE}</author>
    <author>tc={CF160A84-1510-41DA-8E95-44FCDF805296}</author>
    <author>tc={967EC74B-AB43-4D35-864F-3E8438A23047}</author>
    <author>tc={7586A35D-3E4E-4F63-B200-522B848213D5}</author>
    <author>tc={84D89414-2EE4-4AB0-8AC9-4E18C4BB42E8}</author>
    <author>tc={8066F5A6-5831-44C9-A6AA-6AB24050DA97}</author>
    <author>tc={1F2CEC20-84F1-4332-8065-5B0FB05B8CF3}</author>
    <author>tc={9D92FB41-70A0-4EBE-A91D-AA64374FACA3}</author>
    <author>tc={26138B28-7272-4B5F-8E5E-7960583AC1F2}</author>
    <author>tc={0E68C01D-9129-4FAD-9C48-9320AC7E79B3}</author>
    <author>tc={FEDE057D-075B-4460-8088-E33062C9CBD8}</author>
    <author>tc={D54B8507-5A3B-46A0-939F-C253ACC95024}</author>
    <author>tc={A723ED18-BFBF-4CC7-83F3-9677BB75E882}</author>
    <author>tc={D111F904-991B-487B-8F60-F676E06F2B6E}</author>
    <author>tc={1B8D5032-D0E0-4DA0-AF0E-703E97B5731F}</author>
    <author>tc={41A09C4A-F0B2-4F4D-A9D4-5DFF334B6E52}</author>
    <author>tc={1DD31F03-5422-4D66-9BA5-69A8E6DC0D63}</author>
    <author>tc={19D2E69F-0FCA-4C97-B03B-7A387A3B3427}</author>
    <author>tc={213FD449-07E8-469F-BEBA-BBF353334DA6}</author>
    <author>tc={8BDD865C-5097-49C4-8F24-9E022633B796}</author>
    <author>tc={61B32DA4-783D-40E5-BBC9-9C3F3E8B07F9}</author>
    <author>tc={F16F2FE4-6192-405A-8699-0C6AA513371C}</author>
    <author>tc={0C7C56E9-611F-4F67-B14D-43C3ABF3BCCC}</author>
    <author>tc={97943B10-3D5B-4220-BD6F-24B5F9C9C774}</author>
    <author>tc={A6AEAF4A-0265-458B-AC06-DA26968B3DE9}</author>
    <author>tc={8082718A-C7BC-4ED3-A119-CE5DE513FE36}</author>
    <author>tc={98B3553F-8E19-4160-ADB5-78450F4DD3C9}</author>
    <author>tc={81F9F1CB-F904-4E05-87F4-6768694D8335}</author>
    <author>tc={D71A4537-BCBD-43EA-8C80-8B28C1344BA2}</author>
    <author>tc={34428777-F8A1-4A73-963B-6CF472FE8554}</author>
    <author>tc={C10E944A-4508-49C8-B7CD-850C410D04DC}</author>
    <author>tc={00B09F7F-D651-4256-8422-08727EB16734}</author>
    <author>tc={1750AEA3-0C49-4F07-A9D6-7D6F26D0D8BB}</author>
    <author>tc={43928FC5-1B44-479B-A3FD-A1949C816A75}</author>
    <author>tc={0D9A0F84-F545-4D8E-9C7F-AC1406557D14}</author>
    <author>tc={9FB3E068-8ABF-4907-B66F-93F840260639}</author>
    <author>tc={6C6685D6-BBA9-42F4-8B8F-1CA541E59F42}</author>
    <author>tc={0FFB1350-4A60-447D-8E69-FD4304309DC9}</author>
    <author>tc={4EC51376-A75E-48DD-8C6F-86DDF95DBB00}</author>
    <author>tc={01E4F022-2B6F-4CCF-9B3A-48A87C76CBB7}</author>
    <author>tc={7738C45C-5F8F-42C4-9AB3-BBE59AEB6106}</author>
    <author>tc={01904AB2-7459-4E90-9C28-BD0BE015A919}</author>
    <author>tc={CB3F4005-FB2F-4B1C-8F68-3AF2A88477B4}</author>
    <author>tc={83D6B5FC-AED9-445B-9BA8-7F2BC5FB4653}</author>
    <author>tc={5CCFF448-39E4-478A-9646-2548B3C57045}</author>
    <author>tc={97A614BA-F588-4593-9AF6-43856A6A5554}</author>
    <author>tc={5675136E-1090-4744-8ECA-18EF6DBE995B}</author>
    <author>tc={C808D3E5-1C56-434F-8856-DCA9376BDC50}</author>
    <author>tc={6C275FAC-75FA-4BAA-B343-0EAD93A825B4}</author>
    <author>tc={1C97CB5C-4AB2-468B-B7EF-C457802CB2BD}</author>
    <author>tc={59B6FEEE-455D-465D-9352-6E4E06C2058A}</author>
    <author>tc={F3757003-AB67-464A-8710-EDAD426F0096}</author>
    <author>tc={30433DCC-AFD0-40FB-8479-12276B6DE66C}</author>
    <author>tc={4D7CD110-B37F-42DC-BD5D-3ADDE81CC6B9}</author>
    <author>tc={525F4D03-FECB-4909-B185-45F4523D0D04}</author>
    <author>tc={1913A825-C96B-4547-BAD6-0094941D8680}</author>
    <author>tc={B174983B-C1DD-4FFA-8F92-5362E6782EED}</author>
    <author>tc={5446D855-8EC7-4AE1-9186-0AAAFA23E467}</author>
    <author>tc={2D80103A-FD24-4DAB-A1D2-6DCE4ABE9CFA}</author>
    <author>tc={A5C3CE45-758D-4F7D-9EF1-E4417D249760}</author>
    <author>tc={9C585D32-5A86-439E-AC3D-D43BEFC137EE}</author>
    <author>tc={7A377D93-43B5-44F1-A096-DB7456FD67BD}</author>
    <author>tc={B02A94C2-64D2-4F05-B732-AC85F80A4716}</author>
    <author>tc={A7525D9C-DE77-43D7-A335-E43DB91E9D0A}</author>
    <author>tc={CD9511F0-9DBD-4A32-BA0E-0A3C72259EAD}</author>
    <author>tc={8CAD5376-2D67-44AD-A6BF-9B66AE833687}</author>
    <author>tc={5FDBC804-8616-4227-8C66-25510E85B6DA}</author>
    <author>tc={070F3CDF-91DE-44A4-9117-ADA771A9F8E3}</author>
    <author>tc={7709CC18-7649-426C-B508-B3F8F7BA2C2C}</author>
    <author>tc={8869520E-789A-4ED4-AE10-B819C46A62FC}</author>
    <author>tc={4BBD236D-32F3-429A-A74D-6822375686B0}</author>
    <author>tc={C984D285-A4BE-48E2-A955-B09E482EAD4F}</author>
    <author>tc={CD221F86-EA90-4232-B7A2-868705558A2E}</author>
    <author>tc={008FE716-4B6F-47A4-B782-8237BAA1ED6D}</author>
    <author>tc={99931B60-EE9D-4E60-B748-1A76C41192C2}</author>
    <author>tc={A5B264D7-4FFA-4D11-90CF-8A6E3288DB0C}</author>
    <author>tc={3069EAF3-074D-456B-9037-A104F427B048}</author>
    <author>tc={9FDF21F2-357A-4F8F-85F1-DB1893A8C430}</author>
    <author>tc={2D2A62AA-D5D6-45B1-ACF5-D7929BA90D81}</author>
    <author>tc={9A0921E9-E82B-4781-AC9F-7510A9F47157}</author>
    <author>tc={1C2E97DB-3E57-47DD-BAC2-188D92A23DB3}</author>
    <author>tc={7B6FB97C-39A9-4109-B123-0ED2DDEEED4C}</author>
    <author>tc={5C15B033-F90F-4E54-A2C8-797E7BABB2E0}</author>
    <author>tc={D771A400-A047-4322-8600-97D50B595DAD}</author>
    <author>tc={96CE0F4B-6783-4D42-AF32-71DC2AD15D24}</author>
    <author>tc={9FE8109E-CA5B-44B5-BAE6-29A87569FF1A}</author>
    <author>tc={9030E473-5802-429C-AD2A-0C8237C8EDC8}</author>
    <author>tc={C6FBC07D-BA57-4FC5-B204-7A249E2E970A}</author>
    <author>tc={982CC450-78AE-41DF-A4DB-D854489D9B9D}</author>
    <author>tc={E2CC06C3-1529-4E63-9230-376E0ADCB728}</author>
    <author>tc={F1EBBA93-7798-463E-8204-EA6D5EDBFE5C}</author>
    <author>tc={FAC565F8-EAAE-4DB0-AB62-9D013936AF52}</author>
    <author>tc={462B75D9-143A-4F06-8B24-0BA269108C60}</author>
    <author>tc={80FF6120-DBCC-4E40-82A8-4D10EE41E6D8}</author>
    <author>tc={F4990CC1-71AB-4A55-8006-7F1AE65AB97F}</author>
    <author>tc={DC969B9E-A402-40E3-AA26-C8E479D1F7B7}</author>
    <author>tc={E4355A4E-E61F-45CD-ACE8-4FF6FD314F2F}</author>
    <author>tc={86BA0F17-EA69-498E-A337-8B48B0FD9CDC}</author>
    <author>tc={70B3D3BF-B745-46A4-88A1-F096CAED13C9}</author>
    <author>tc={7859F736-DC7A-4C20-BD77-A60AEB563AE4}</author>
    <author>tc={9B1C393E-C5F0-419B-83A8-3BBDAAA42336}</author>
    <author>tc={A54C320C-0E80-428C-AC69-AC3EA81F8469}</author>
    <author>tc={1B692CFB-6F3E-460B-AC09-19957307AEE8}</author>
    <author>tc={04AD80CE-A641-427B-9ECE-1DAD5D304659}</author>
    <author>tc={972E23C3-9046-4E3F-BCE1-0F27E4D7215B}</author>
    <author>tc={CCC91BEC-AF4D-40F9-B4E8-C4E0F4D4E56D}</author>
    <author>tc={1E854BDC-DEEB-4673-AA66-6A78BAE5380A}</author>
    <author>tc={42E16F34-BAB1-48CD-A9EC-365E20FE0BBA}</author>
    <author>tc={195BA58E-00CA-44D6-8726-E547CD33FE0E}</author>
    <author>tc={4A5B9602-CE83-4972-BF58-D4183AE4CBC9}</author>
    <author>tc={20D1D592-015E-4271-9718-302C2B2C1FE4}</author>
    <author>tc={DB435D9B-4A58-479E-9C05-B0DCC4E1FF02}</author>
    <author>tc={57C484FD-91DB-4E9C-B7E7-27748AC41ACB}</author>
    <author>tc={C9756564-3F0C-400D-A5E4-EAB2655107FB}</author>
    <author>tc={6CDC08A8-9302-4267-A6F4-14D9D6AEDE56}</author>
    <author>tc={234BDAC0-BB76-4A05-99BD-E1EC3AF324F4}</author>
    <author>tc={18BAD878-F7D4-4085-B20E-CF905208EE9C}</author>
    <author>tc={572FE990-F62A-4E9F-B027-0919B32A2455}</author>
    <author>tc={D6281047-E01B-4947-8C58-D6236DDA3971}</author>
    <author>tc={5054F597-24AA-4D60-854D-41964791FFD8}</author>
    <author>tc={F9F900EC-CE8F-48D3-AD85-A3504F7AC8E6}</author>
    <author>tc={01D33B19-DFE0-41F7-B580-19B703950B03}</author>
    <author>tc={6757884D-A6F5-4EB7-859D-7D71188C9339}</author>
    <author>tc={0F12A704-82CB-48BC-9484-55916E610406}</author>
    <author>tc={DBD4FCBB-914C-4BD8-B89A-CDA10FC6F31A}</author>
    <author>tc={31F430D9-94C5-444B-9EC5-D45B0FFBCC48}</author>
    <author>tc={3FCC8465-91C7-4AFD-A361-84E60E3A316B}</author>
    <author>tc={5D994BD8-B3AC-469D-AC15-7BFDB25E94B0}</author>
    <author>tc={4B0F2F06-1BE4-4BA4-ABFF-16A240E28627}</author>
    <author>tc={17F427D3-451B-4987-9873-7787D755D4D8}</author>
    <author>tc={848FAB2F-F941-4169-838D-E658B323CCDA}</author>
    <author>tc={531A2C22-BD10-4000-93F9-568300D0237B}</author>
    <author>tc={192D133D-BCE1-4CE5-8234-A0E0417207D1}</author>
    <author>tc={60105FAE-0F5C-408B-91FD-A620A4027741}</author>
    <author>tc={BE099397-96D7-42CB-8270-DB7418EBBBEB}</author>
    <author>tc={43B4EF1D-CFA1-4587-AC4D-D0A3DDFF23E7}</author>
    <author>tc={765EDFAC-40BA-4051-9B1A-E3B7FC61EBE0}</author>
    <author>tc={0236357C-575D-4746-A49E-003D273DEAD1}</author>
    <author>tc={545A99B7-A585-4722-9F4C-0C46862A69FB}</author>
    <author>tc={66643C01-BD18-4516-AF1B-DA60EAE33125}</author>
    <author>tc={E1569F55-A1EB-46AD-BDC4-8F3B15CD0867}</author>
    <author>tc={7D22D5CD-0761-407D-BC02-1926D0DD9558}</author>
    <author>tc={30B0D966-62B4-4AE5-B74B-ED83DBC4BEC8}</author>
    <author>tc={0733E592-8B18-4824-BDDB-172607F9E673}</author>
    <author>tc={E784430A-E733-47B6-AB55-0C72073165D0}</author>
    <author>tc={9652036E-1282-4FD6-9B5A-03802254CC5D}</author>
    <author>tc={1DD7F6B7-82AC-4EB6-A7D4-05DBBA93A8E7}</author>
    <author>tc={99348C0F-0810-4DAF-9D4E-A34613F00CC6}</author>
    <author>tc={39085E5C-58DE-45CF-8184-0A357E240822}</author>
    <author>tc={F783C2DF-06C2-47E3-B667-29A7257F13F7}</author>
    <author>tc={6FE1FBD6-DE31-4282-8258-AB398B448849}</author>
    <author>tc={688ABAF3-CFAE-4541-8B23-B7129A3B012D}</author>
    <author>tc={55EC1C5C-1BA6-451C-BCCB-9F991503DF75}</author>
    <author>tc={D3EE8E94-774D-49E5-B94C-4240B0C59382}</author>
    <author>tc={F069FA96-72B5-409E-9345-5A64896BD643}</author>
    <author>tc={BC24E951-B29C-48B3-8EF9-F17D02B8CE86}</author>
    <author>tc={670E0FED-B918-4F5A-8563-35B0A7C2CAA4}</author>
    <author>tc={46FDA9F2-8B79-4277-B432-CAEF47583C32}</author>
    <author>tc={3BAD8DA5-5143-44EE-A319-69FC41153898}</author>
    <author>tc={3872EC6D-915C-42EB-9DF9-1B4BAF43AC1B}</author>
    <author>tc={D781ADE1-C580-46A5-911D-F4C34658844D}</author>
    <author>tc={0A4E477F-AB74-43D6-BF24-F1A5261272DD}</author>
    <author>tc={A23958A3-97CD-47E3-84A8-5C0E031971DD}</author>
    <author>tc={7FF592A6-1401-4183-A9A8-D0102A0D6F13}</author>
    <author>tc={39E45C88-CBFE-45C2-B420-EF38FFCBB8F5}</author>
    <author>tc={F19261FA-716C-4B2A-8C63-455BFFDF3AF8}</author>
    <author>tc={78F18D8D-F7F6-4879-AB1D-013981F4801A}</author>
    <author>tc={EB13EF7C-E46A-40A5-89C1-ADB3CC513D80}</author>
    <author>tc={DBD87E5C-8A4B-44DB-89CF-82FFE3CC9CA9}</author>
    <author>tc={721DAE0E-8E49-4CA9-A542-6BCC1F4347CD}</author>
    <author>tc={EDE68DE4-5746-4B1B-8C7C-610DA39084E2}</author>
    <author>tc={186911B5-8EA5-4DD3-8CFD-C0C3116E32BB}</author>
    <author>tc={1DD245C2-2BF2-4171-9D41-091A9EE6C41E}</author>
    <author>tc={956E1455-EDDF-4A62-B0FD-BE08A91B4B22}</author>
    <author>tc={F26E38D3-A8D1-4E46-98D1-3023CD95042A}</author>
    <author>tc={6624DFF3-05EE-47F0-A1C7-030CC809FEA3}</author>
    <author>tc={957CAFFD-F9E4-43EA-ABEA-CC002C104140}</author>
    <author>tc={6115544F-B092-46AB-AA9A-0F486186C4EF}</author>
    <author>tc={492D54DD-435D-41DA-8CEF-52B4A110908F}</author>
    <author>tc={1B606E47-EADF-4960-940D-71A1CF60153F}</author>
    <author>tc={1E6C5637-F230-4EB2-9A7B-8648AFB430C2}</author>
    <author>tc={02E33DA6-A339-4ABA-9C47-2EFE8E43A688}</author>
    <author>tc={1731DAEB-C301-4C11-BA63-B52A86C09F0B}</author>
    <author>tc={BADD7D39-DCE4-4278-83F4-052E05CC15C0}</author>
    <author>tc={C81C03DE-8AA7-4459-AD50-4BA71F86E83C}</author>
    <author>tc={BB49972F-A959-469C-AFB4-F09597F9CC0F}</author>
    <author>tc={8EEFD20C-A71D-4396-AFAA-D0615B7C4B21}</author>
    <author>tc={3C13E5B8-D38B-4D5E-8BDD-64A00FF1EB98}</author>
    <author>tc={3A166D97-1C5F-4C13-9386-F89DC452CD7D}</author>
    <author>tc={B160476E-5718-482B-8142-25CC9A6DCCE8}</author>
    <author>tc={5E121D27-A3F0-466D-906A-A1396F8D4E62}</author>
    <author>tc={8ACBEBD1-9EF1-44C0-8F71-339C2BE91CDA}</author>
    <author>tc={B1CF621F-F86A-47F3-8307-A92831169AE6}</author>
    <author>tc={8795B41B-D0A9-4420-813B-7561C385BDF8}</author>
    <author>tc={F23E4000-8F61-4BA3-BC89-69C4E5177585}</author>
    <author>tc={D2F65C98-8013-4C81-A4EE-E17BB337A03A}</author>
    <author>tc={198351DA-6EF5-439A-B227-8337499F9F6A}</author>
    <author>tc={0CA971E4-EA33-46A4-A11D-D202A88D8469}</author>
    <author>tc={087E0A6E-530F-4CA2-A078-3D54726A60CC}</author>
    <author>tc={4B3BCA89-5AA4-4370-8D8B-2530B061C9D0}</author>
    <author>tc={5BB40024-64D6-47C3-B0AF-1CD02415E1E6}</author>
    <author>tc={54B3056C-7253-4665-BF5E-F960D6C19258}</author>
    <author>tc={68B312C8-0F4C-467B-8A13-564009E0C3F9}</author>
    <author>tc={35E8FC6A-3495-40D6-9F76-929D66B6BD0C}</author>
    <author>tc={0725C189-C781-464E-8524-E13468877A25}</author>
    <author>tc={EAF9ECC3-B0AA-4CCE-95DE-37475E5B8410}</author>
    <author>tc={69ECCEFC-DDC9-49AB-ACE7-8B8F14397748}</author>
    <author>tc={F22CAB70-0DA2-4D66-B9AB-3DCE96064610}</author>
    <author>tc={3CA3D6CF-A9F7-40DE-8349-489E66042C77}</author>
    <author>tc={BF5747AC-0BF8-46E5-AC3A-1E87570D2F8E}</author>
    <author>tc={0636E246-E466-4FEE-8D19-FC89D0A6B2C6}</author>
    <author>tc={EF395C7E-FCDD-4DA8-A862-B85C35530F6F}</author>
    <author>tc={5F8B93B7-7259-41A9-B0A8-A5765CD5C335}</author>
    <author>tc={C5F3EF38-B2F4-4C89-9453-93A477185332}</author>
    <author>tc={3CC53DE6-D50B-49D7-9187-B17975424921}</author>
    <author>tc={8FA6CEBD-1CD1-4BF8-B5AE-95DBBBF60C9C}</author>
    <author>tc={EFE98B0F-84FB-484D-B368-9A387CA0B9EA}</author>
    <author>tc={35A8A6DC-0325-425D-A1A1-C714C9D4A0B6}</author>
    <author>tc={DB794EED-B71A-45FC-A195-5F95AEE20859}</author>
    <author>tc={A0F51804-7E8A-412D-9F45-A81639BAF497}</author>
    <author>tc={8B0457D7-4D59-4E6F-9585-342B199832AE}</author>
    <author>tc={EE3F1767-84C7-44F0-90A3-71806C6979A0}</author>
    <author>tc={DD2A85C8-2C70-45E4-A628-B52FA9AB662F}</author>
    <author>tc={A6E0305B-C056-4540-B3C2-7EB9DAA10504}</author>
    <author>tc={2EF4C0D4-5055-487D-851F-F4DE19DF2A0E}</author>
    <author>tc={257696E1-F96A-4C04-889F-AE81FD113B5E}</author>
    <author>tc={00E313A7-9CF5-45E8-B65E-3DF394A43F05}</author>
    <author>tc={3154B9D3-FD85-4248-BE1D-AEDC61958834}</author>
    <author>tc={F3C75496-9AD9-4471-BD58-65FB3ADC828D}</author>
    <author>tc={B7F1DFBE-BDE5-4667-913A-237130B3DD77}</author>
    <author>tc={55FC8843-1B87-4CA5-AD62-D83422D372B8}</author>
    <author>tc={21C9086E-463A-47DD-88A7-0524ACC4BBB1}</author>
    <author>tc={DD43EDD1-35A2-4CF5-A917-9526C4A529C2}</author>
    <author>tc={E8E87671-549F-448F-8875-5FEFB279ADCD}</author>
    <author>tc={67FA0C21-4599-438B-B7BB-A31436A6117E}</author>
    <author>tc={91EFF804-B088-41E8-BBDD-8C5A3C367E36}</author>
    <author>tc={E89D6489-F755-421B-9555-0F5F2D8CE1DC}</author>
    <author>tc={FD57E019-A813-4378-9121-BFDA379FFAEA}</author>
    <author>tc={0163179A-5D73-47C0-B481-5A9BC2CA5F99}</author>
    <author>tc={61DDB700-2789-4E59-9946-352D53353963}</author>
    <author>tc={C1C2F2B9-8ABC-435A-952E-68D7040908DE}</author>
    <author>tc={5AD9899E-A80B-44EF-AC61-CE3538248E8C}</author>
    <author>tc={9FE007EA-E734-44D3-8186-C0B1B1396CEE}</author>
    <author>tc={042DD7B5-CAA2-4404-8D4A-27C6C35F8E43}</author>
    <author>tc={14F9A111-62CF-4BE2-BE26-83B26C48B164}</author>
    <author>tc={32589B45-2614-4F86-8E1A-6C514EA674AC}</author>
    <author>tc={883F9461-57BD-4F26-9778-DC0E2EF7826F}</author>
    <author>tc={68CBFC73-BD3E-4AA2-A7E8-62FBED890ED8}</author>
    <author>tc={77C70A84-D7D9-4B71-A4F0-ED9533B936B5}</author>
    <author>tc={2A754A6D-2F45-4522-85A1-BA51DC03A9E1}</author>
    <author>tc={D72975BD-35A0-49A8-B989-A66B009AFEF1}</author>
    <author>tc={5D47003C-5B34-4A43-AB1A-1E8A8C407F6A}</author>
    <author>tc={D1A40166-0500-4C73-8526-50BB04599031}</author>
    <author>tc={7DBD0D93-04F1-4A6D-8272-BD9940FD3FB6}</author>
    <author>tc={7F66C403-4512-4F6C-A723-96C0ACC68E88}</author>
    <author>tc={9C85C63A-CAE9-4ABF-9C59-2763FF961F5D}</author>
    <author>tc={1AD5DB92-DA5A-4C2C-BEFD-E54217EA9EEB}</author>
    <author>tc={6EA60734-32D2-4A24-8995-440BD7CA56E6}</author>
    <author>tc={8B14D548-BA58-4218-AF50-378FE42AA4C3}</author>
    <author>tc={E8BDB62F-9829-43BE-B4A8-2E9005F50957}</author>
    <author>tc={299461EC-127D-469C-A8BE-EC2D7900B784}</author>
    <author>tc={EFA38EE4-5E2C-4CA8-867A-4CA88493FA1C}</author>
    <author>tc={913331D8-70FA-43BA-8E66-EAAE47DD5B23}</author>
    <author>tc={DB7C05D2-8A2A-4BE1-AE4E-C2FA7522243A}</author>
    <author>tc={AE10787B-C79F-4799-9D24-E8B92536B599}</author>
    <author>tc={84CC7F51-249D-4616-BC5E-9052C54E3ED1}</author>
    <author>tc={42FB42E0-5188-441F-BD87-5C551476B8D4}</author>
    <author>tc={CC53F96C-591A-4480-B8C5-4DD9082DB3C6}</author>
    <author>tc={B32AC664-A6F6-4812-87CD-01ADD6AA9EB2}</author>
    <author>tc={B46C0E34-1546-45CE-A16A-E39D2D7EA0BF}</author>
    <author>tc={CCDAC762-F281-4B5F-9D9F-2FBFC23F91B4}</author>
    <author>tc={9CEC78D5-63F6-4B0B-9DCA-D09E267EB263}</author>
    <author>tc={9728F74C-31AA-4DBC-BB49-F4D2B4A67A9C}</author>
    <author>tc={00647DEB-8B82-4A5B-9699-D8D26E693607}</author>
    <author>tc={D2CA3582-DB9C-44FD-92BC-80D5A8F64044}</author>
    <author>tc={B78CE17C-7E0B-47FC-BFD5-9DEA18EAD896}</author>
    <author>tc={6286C764-F2E9-4AAC-A1BD-5C1B246E3016}</author>
    <author>tc={A85D939C-B607-444D-A635-4160DFC9E22F}</author>
    <author>tc={BAEC90B4-DE64-4AB4-9E81-0B31E5DD737B}</author>
    <author>tc={4F941E3E-0345-4A12-9839-81C4A2162C50}</author>
    <author>tc={C6CD6FEA-6E3A-418F-AFF3-7C51DF064D40}</author>
    <author>tc={BF353807-1D78-45A3-A7D2-4B338AAC6565}</author>
    <author>tc={FCED8324-B500-461E-B712-249B328CDA20}</author>
    <author>tc={2FD0FB37-3B2C-4588-8E65-298BBCE8C321}</author>
    <author>tc={FCCD0B2D-A049-45D2-876B-C741A86C7B87}</author>
    <author>tc={FC1713E0-015C-4C2E-B738-3B8C8897600E}</author>
    <author>tc={C024A5D3-50A7-44C8-8E4D-014D7C388B5F}</author>
    <author>tc={0730ADB3-488A-46A5-A472-65B7EF61A541}</author>
    <author>tc={B8220291-AEE5-4BB6-B0E8-F047F60683BF}</author>
    <author>tc={ED0D4946-4793-428E-8A7D-ED41644D3AE7}</author>
    <author>tc={32AE2DDF-B94B-4FF5-9EA1-81DE11F27849}</author>
    <author>tc={27BEDAA9-AFD2-42D6-B75B-0230F05E4BEB}</author>
    <author>tc={E0F19354-F983-498F-99F8-567396574DF0}</author>
    <author>tc={2432F91E-71E1-441C-8E9C-DE37E056C01C}</author>
    <author>tc={D93990CC-E2C2-4F58-BD0C-2AFF8D4AE3D2}</author>
    <author>tc={6681BC69-227B-4F7C-A550-A53144E57A30}</author>
    <author>tc={AF62BF14-8026-4B57-80D5-B00E8BAE08E2}</author>
    <author>tc={3B46AB47-F18C-4BBC-9A66-6809C23F97F0}</author>
    <author>tc={98F167D0-9C9B-4536-A73A-C2E911069EF7}</author>
    <author>tc={25D4E7CA-F6A8-4F5C-A68F-7D68FF059633}</author>
    <author>tc={46A2D0D7-5227-4DB2-89BD-87B0E9AB5802}</author>
    <author>tc={C9F498E8-3057-4166-878E-D9FD1F02C736}</author>
    <author>tc={04F98712-C679-48DF-9CFD-4E44C74C51EF}</author>
    <author>tc={2E480539-BE65-451F-A0B6-19F2224EBD1F}</author>
    <author>tc={68EDED08-366F-4A23-9C8B-0F3D3677B239}</author>
    <author>tc={8A674B50-9A47-4A19-8A90-5790105567A7}</author>
    <author>tc={91A5D17E-1BA6-410D-9B83-99FA60595FB1}</author>
    <author>tc={0AAE82B5-68FD-4C71-9353-D42899EC3999}</author>
    <author>tc={4FD5C217-35FB-4E0C-B7E0-C457568CA16E}</author>
    <author>tc={82749490-D109-40C3-9F87-C6C9F406C43F}</author>
    <author>tc={B88DB254-9D90-4AE2-AE19-F8B1C8965744}</author>
    <author>tc={36040B5D-655F-48A6-B25C-D247F66EC64E}</author>
    <author>tc={6B2151CD-87DD-4453-A048-00334BF6234A}</author>
    <author>tc={D70742BD-CFE3-4726-9A78-AEE8061D9DC6}</author>
    <author>tc={12EE5869-24D1-4412-BB54-B5E8B362E568}</author>
    <author>tc={525D7180-5122-454E-8CF1-2FC343225BEA}</author>
    <author>tc={DBEF8E0B-A16A-4034-850D-95B1AF013B8A}</author>
    <author>tc={E0FA2CF2-388D-4711-A1BF-E9F62170925F}</author>
  </authors>
  <commentList>
    <comment ref="D1" authorId="0" shapeId="0" xr:uid="{3585ACD6-34BA-400D-94DB-BB2130C44DB4}">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D2" authorId="0" shapeId="0" xr:uid="{827CDF14-3682-4D67-AAB7-C0ECF0D3E841}">
      <text>
        <r>
          <rPr>
            <sz val="9"/>
            <color indexed="81"/>
            <rFont val="Tahoma"/>
            <family val="2"/>
          </rPr>
          <t xml:space="preserve">Please specify the current date in this cell and in the filename when saving the document.
</t>
        </r>
      </text>
    </comment>
    <comment ref="D3" authorId="0" shapeId="0" xr:uid="{8637483A-7ED5-4FD0-94AA-A5E5FD5980C3}">
      <text>
        <r>
          <rPr>
            <sz val="9"/>
            <color indexed="81"/>
            <rFont val="Tahoma"/>
            <family val="2"/>
          </rPr>
          <t xml:space="preserve">Please specify the name of the Program Administrator.
</t>
        </r>
      </text>
    </comment>
    <comment ref="AU4" authorId="1" shapeId="0" xr:uid="{E7D21770-905F-4A02-BA15-4C57E0AC4838}">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BH4" authorId="1" shapeId="0" xr:uid="{4FB59BA7-7B92-4C3D-96DD-0116CAFB184E}">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F6" authorId="0" shapeId="0" xr:uid="{BDC18DEF-1A62-47C5-9E2C-EF110544B68D}">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H6" authorId="0" shapeId="0" xr:uid="{5F9D95EF-1808-4034-AFAF-9178DEFC41B8}">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K6" authorId="0" shapeId="0" xr:uid="{51205A21-59DC-4ECB-9375-D2B2C95DA34D}">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L6" authorId="0" shapeId="0" xr:uid="{81FA6429-4FA5-44C4-9F2E-3C588A9BB20A}">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M6" authorId="0" shapeId="0" xr:uid="{F06BC07F-455B-458C-B101-390B47159706}">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N6" authorId="0" shapeId="0" xr:uid="{D98BA263-4C32-4AE0-B1E4-97AA054A5B6F}">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O6" authorId="0" shapeId="0" xr:uid="{C9DFB0D3-E6BE-4674-95B5-AC936008079F}">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P6" authorId="0" shapeId="0" xr:uid="{13FEB982-0332-4E97-B8B3-F42D7BE52EF3}">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Q6" authorId="0" shapeId="0" xr:uid="{6CF5ED87-D2FB-4CE4-A50F-D218D85F31D6}">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R6" authorId="0" shapeId="0" xr:uid="{89C6788A-0A8C-44B9-A953-A2FB6EC7BD01}">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S6" authorId="0" shapeId="0" xr:uid="{27B8CB1C-A3EB-4B08-B0CD-738F574D859F}">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T6" authorId="0" shapeId="0" xr:uid="{19F9D4B9-E8E1-4868-B6C8-A6E821F1254E}">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U6" authorId="0" shapeId="0" xr:uid="{A51C10F1-D8C3-4438-B291-AB9E958CBFA3}">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V6" authorId="0" shapeId="0" xr:uid="{6545B63A-48D4-480B-BCE5-A13236CE5598}">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W6" authorId="0" shapeId="0" xr:uid="{1ACD43D2-0A78-49DE-A0C8-8C70E8146972}">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AB6" authorId="0" shapeId="0" xr:uid="{2554427A-C82E-478F-9AD7-AFDA7D468564}">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AC6" authorId="0" shapeId="0" xr:uid="{37DC1566-5A96-4585-B88D-87A383D24528}">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AD6" authorId="0" shapeId="0" xr:uid="{B1283999-E783-460E-85C6-D68424D5BFBB}">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AE6" authorId="0" shapeId="0" xr:uid="{B9D48311-0200-479A-A089-712ED47DF072}">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AF6" authorId="0" shapeId="0" xr:uid="{2728AA47-2CBD-455E-8B9F-4A92D6F01D7E}">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O6" authorId="0" shapeId="0" xr:uid="{699EBFDC-7C56-4DA9-B5CC-1AF3B412D3CA}">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P6" authorId="0" shapeId="0" xr:uid="{D34148C7-D981-4322-AC83-62DF7BDE66C0}">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Q6" authorId="1" shapeId="0" xr:uid="{42293F01-FA6B-48C9-A97A-FF8AE495C99B}">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R6" authorId="1" shapeId="0" xr:uid="{E76D3274-8E3B-46EE-A34A-3FE6F905D7F8}">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S6" authorId="0" shapeId="0" xr:uid="{B2601A04-6D0A-4891-9ACD-C8554D23F74F}">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T6" authorId="0" shapeId="0" xr:uid="{005A3CA2-06B3-4DE2-88B2-2B988FE92D4A}">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U6" authorId="0" shapeId="0" xr:uid="{B34B3E5B-BCC6-4595-B989-4EB90E3684BE}">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V6" authorId="0" shapeId="0" xr:uid="{8F30CEE5-96FF-4631-8A93-13EC19B1AE71}">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W6" authorId="0" shapeId="0" xr:uid="{7D32AA7A-0259-47AB-8303-50AC21F3DE95}">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X6" authorId="0" shapeId="0" xr:uid="{1491DB58-2D34-445E-9365-A2DB3B7B4BFE}">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Y6" authorId="0" shapeId="0" xr:uid="{D0BE58EB-9839-4EC0-9230-A8816C2B6189}">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Z6" authorId="0" shapeId="0" xr:uid="{3E6575D3-6D22-4163-A6D8-B03AF3059546}">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BA6" authorId="0" shapeId="0" xr:uid="{3D8BAB28-2F34-4357-A78E-67F5779CE126}">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BB6" authorId="0" shapeId="0" xr:uid="{2D94C01C-24A0-4F13-BCB3-6AD03B302933}">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BC6" authorId="0" shapeId="0" xr:uid="{CDE1380F-376F-4EAD-AEBB-2390777F3BAB}">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BD6" authorId="0" shapeId="0" xr:uid="{6989C296-7E37-4D15-A5FF-BCFDD3256A40}">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BE6" authorId="0" shapeId="0" xr:uid="{731F0316-4055-4943-A09C-F830CFEC57CE}">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BF6" authorId="0" shapeId="0" xr:uid="{DADE1F48-07C2-4EF6-AE0C-27798FDBAB27}">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BG6" authorId="0" shapeId="0" xr:uid="{503C591C-4FB6-415B-A55C-F09ECE1797FC}">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BH6" authorId="0" shapeId="0" xr:uid="{2BFF75E8-91FF-40A1-BC18-AF743477C3CF}">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BI6" authorId="0" shapeId="0" xr:uid="{9A8F879F-6DD1-40EB-8D65-F7BC78C18AB5}">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BJ6" authorId="0" shapeId="0" xr:uid="{AE030F75-F31C-48EB-986D-A889D1A44944}">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BK6" authorId="0" shapeId="0" xr:uid="{8B6A3030-B94B-4FFC-8E9D-7B65163CCC92}">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BL6" authorId="0" shapeId="0" xr:uid="{D5EA5A74-CCE4-481B-9AC6-F0C6760B5614}">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BM6" authorId="0" shapeId="0" xr:uid="{1C115ADD-7219-4305-86FA-61ED2E522680}">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BN6" authorId="0" shapeId="0" xr:uid="{545032D2-D23A-4C57-BBAE-C627D0A20B18}">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BO6" authorId="0" shapeId="0" xr:uid="{FFA34836-9C42-4D2B-BCB3-6815BF5F1EC1}">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P6" authorId="0" shapeId="0" xr:uid="{C183C816-5959-4C7E-8F62-AEE0F397EA2A}">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Q6" authorId="0" shapeId="0" xr:uid="{03264C47-32DA-411C-B1CF-B6807EA1F45D}">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R6" authorId="1" shapeId="0" xr:uid="{5DDB2E72-3E54-466B-BD17-02E2904746AB}">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S6" authorId="2" shapeId="0" xr:uid="{0A20D964-45B0-43D5-B164-7C8E38AC0266}">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T6" authorId="2" shapeId="0" xr:uid="{11E82C84-CDA8-405F-9843-F3902619047E}">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BN8" authorId="0" shapeId="0" xr:uid="{213DA5A1-A0FD-4390-BF07-4B11B7420939}">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BO8" authorId="0" shapeId="0" xr:uid="{D55E399C-9C0C-41F3-BA7D-E54422A95DC5}">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P8" authorId="0" shapeId="0" xr:uid="{3C92091A-65D4-4070-9E60-8BD0C9DB19C9}">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Q8" authorId="0" shapeId="0" xr:uid="{8387F86E-132A-442F-969F-AE44CCE90906}">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AI10" authorId="3" shapeId="0" xr:uid="{0F6B96A2-2BA9-4250-83F1-38AA326AAB41}">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J10" authorId="4" shapeId="0" xr:uid="{27ADF7FA-14A5-4835-AFD2-00B6BF5091C4}">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I11" authorId="5" shapeId="0" xr:uid="{67C224BE-C9C7-46B6-AC07-5FFA6CC583F4}">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88%.</t>
      </text>
    </comment>
    <comment ref="AJ11" authorId="6" shapeId="0" xr:uid="{DD75B024-13C5-45EF-9FE1-5F3AADCC8EE0}">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88%.</t>
      </text>
    </comment>
    <comment ref="AI12" authorId="7" shapeId="0" xr:uid="{07254782-1130-4C6B-9B00-391FF09C2F47}">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J12" authorId="8" shapeId="0" xr:uid="{B6719DC5-E09B-44C9-902C-AA8E535F36CF}">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I14" authorId="9" shapeId="0" xr:uid="{CA4B19EE-2B52-4670-8CE7-526182D077B7}">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J14" authorId="10" shapeId="0" xr:uid="{CC728E57-8702-4F2A-9EAF-0610C2401346}">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I16" authorId="11" shapeId="0" xr:uid="{DB92DDCA-684F-4797-9330-637297EDD942}">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J16" authorId="12" shapeId="0" xr:uid="{B094BAAE-58BB-4F67-BBFC-AED4959BEB5D}">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I17" authorId="13" shapeId="0" xr:uid="{2770E2D9-D6F2-4809-9A31-B7A7AC53ED11}">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102%.</t>
      </text>
    </comment>
    <comment ref="AJ17" authorId="14" shapeId="0" xr:uid="{C89A10CF-9FF3-40C0-983F-AD96C4FD1F54}">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102%.</t>
      </text>
    </comment>
    <comment ref="X22" authorId="15" shapeId="0" xr:uid="{B40B9D49-EB75-41E3-B6BA-9FDCEBD0F23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2" authorId="16" shapeId="0" xr:uid="{2C356EBF-CE38-4399-8E83-9520423F48A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2" authorId="17" shapeId="0" xr:uid="{A1B88961-47EA-4ED3-B883-B1775D0760F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2" authorId="18" shapeId="0" xr:uid="{9BE859D3-7418-412B-87AB-078BA0BCE3F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H22" authorId="19" shapeId="0" xr:uid="{DE362E10-E272-4182-95ED-3EB347EABA8D}">
      <text>
        <t>[Threaded comment]
Your version of Excel allows you to read this threaded comment; however, any edits to it will get removed if the file is opened in a newer version of Excel. Learn more: https://go.microsoft.com/fwlink/?linkid=870924
Comment:
    2023 Guidehouse NTG value</t>
      </text>
    </comment>
    <comment ref="AI22" authorId="20" shapeId="0" xr:uid="{077B2766-1A46-4645-AAA3-BF08DCA1C75F}">
      <text>
        <t>[Threaded comment]
Your version of Excel allows you to read this threaded comment; however, any edits to it will get removed if the file is opened in a newer version of Excel. Learn more: https://go.microsoft.com/fwlink/?linkid=870924
Comment:
    2023 Guidehouse NTG value</t>
      </text>
    </comment>
    <comment ref="AJ22" authorId="21" shapeId="0" xr:uid="{83ED6CE6-B3B9-4702-BEB3-AB4F158F4120}">
      <text>
        <t>[Threaded comment]
Your version of Excel allows you to read this threaded comment; however, any edits to it will get removed if the file is opened in a newer version of Excel. Learn more: https://go.microsoft.com/fwlink/?linkid=870924
Comment:
    2023 Guidehouse NTG value</t>
      </text>
    </comment>
    <comment ref="X25" authorId="22" shapeId="0" xr:uid="{E2A8E4A5-F429-4B77-8A1A-35E0F5CC737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5" authorId="23" shapeId="0" xr:uid="{9962BCD9-B54E-4BE6-B790-294B84F5954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5" authorId="24" shapeId="0" xr:uid="{9CC0FF10-0021-4657-9015-88A07D123B0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5" authorId="25" shapeId="0" xr:uid="{FB1E967E-058E-4414-ABA4-8E09AB02593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25" authorId="26" shapeId="0" xr:uid="{AA1C3077-FAA9-4BD8-B620-2519539B3AC0}">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88%.</t>
      </text>
    </comment>
    <comment ref="AJ25" authorId="27" shapeId="0" xr:uid="{ACACE9D6-77E4-46FE-9AA7-6D8695A14750}">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88%.</t>
      </text>
    </comment>
    <comment ref="X29" authorId="28" shapeId="0" xr:uid="{0E69CAE9-10B9-4271-9E54-0B5324D7F81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9" authorId="29" shapeId="0" xr:uid="{18906C47-7303-42BD-9C0E-2143736CB08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9" authorId="30" shapeId="0" xr:uid="{CE0CC1D6-A9DA-4A9F-A17F-5C2725351B1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9" authorId="31" shapeId="0" xr:uid="{1E9865CA-FC48-41BB-8A30-86274B41583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0" authorId="32" shapeId="0" xr:uid="{A56CB6A6-46C8-4458-AC57-0FABB42AED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0" authorId="33" shapeId="0" xr:uid="{0308AFD6-6B3D-4F57-9B9E-DDC909B8B75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0" authorId="34" shapeId="0" xr:uid="{E9E29732-7F40-4F55-A71A-8FB9E8CDEF5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0" authorId="35" shapeId="0" xr:uid="{EBDD32AC-D0B4-4E42-8ABF-46A05189678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2" authorId="36" shapeId="0" xr:uid="{D55331AD-729E-45DD-A621-216747052EA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2" authorId="37" shapeId="0" xr:uid="{CBFD51F3-02EA-4798-8E8B-4BFF75E605B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2" authorId="38" shapeId="0" xr:uid="{C8528CE9-5202-4C57-9EFE-97064F1D7DE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2" authorId="39" shapeId="0" xr:uid="{531016AE-79DA-4D2D-A1C3-F46D22377F4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3" authorId="40" shapeId="0" xr:uid="{90653EA0-AC5B-4F6A-AC72-A627A81CE57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3" authorId="41" shapeId="0" xr:uid="{0B759A66-5AFD-457D-B80D-7B84D2FD51E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3" authorId="42" shapeId="0" xr:uid="{69830C8B-1F05-4A68-B428-9F6E9758A46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3" authorId="43" shapeId="0" xr:uid="{04C9B9C1-E3E1-45DF-A600-6D2EE6F4E60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4" authorId="44" shapeId="0" xr:uid="{CCE32FF8-EFC2-499B-BBDA-D989A6A2547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4" authorId="45" shapeId="0" xr:uid="{A545B9FA-93FC-4995-A54C-126F03E00D1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4" authorId="46" shapeId="0" xr:uid="{84424A4B-5B19-4F36-9772-BBFFDC17F11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4" authorId="47" shapeId="0" xr:uid="{BA90C4AF-0D80-4726-90A4-2839321F8CC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35" authorId="48" shapeId="0" xr:uid="{EE0157F8-E4E0-4057-AF7B-8227BAA1B2B1}">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35" authorId="49" shapeId="0" xr:uid="{A7B78B61-4270-445D-A5CB-C2DD72BA220C}">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39" authorId="50" shapeId="0" xr:uid="{8CE71689-60D2-4E80-8CE7-90433EE0B2E4}">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102%.</t>
      </text>
    </comment>
    <comment ref="AJ39" authorId="51" shapeId="0" xr:uid="{257EE893-5D6F-4216-97A7-F7F7C02EBAEB}">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102%.</t>
      </text>
    </comment>
    <comment ref="AI40" authorId="52" shapeId="0" xr:uid="{45FFCA95-54A7-47D8-A659-F5A114B322D7}">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102%.</t>
      </text>
    </comment>
    <comment ref="AJ40" authorId="53" shapeId="0" xr:uid="{5BFA3A96-0E05-4994-9B1D-F8FB70A8C4E2}">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102%.</t>
      </text>
    </comment>
    <comment ref="X43" authorId="54" shapeId="0" xr:uid="{6B8345AE-B44B-42E5-AB56-EAEBDDC5192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43" authorId="55" shapeId="0" xr:uid="{BEB491D1-A9A9-46BD-904D-2ACA266F2A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43" authorId="56" shapeId="0" xr:uid="{6026BE70-4AA2-41B9-96CB-B4FBF93EC1C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43" authorId="57" shapeId="0" xr:uid="{831B1DE3-6B3F-40C1-B183-A777A299AC4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45" authorId="58" shapeId="0" xr:uid="{AB92C3B1-A83F-477D-93F5-2E59BB6FD9C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45" authorId="59" shapeId="0" xr:uid="{F341CB3D-18C8-4412-B9A0-E6FE89264A6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45" authorId="60" shapeId="0" xr:uid="{BF3F595F-E057-495D-AE73-BC97DDE238A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45" authorId="61" shapeId="0" xr:uid="{EDA1BAA4-49E5-40F5-B6FD-EE51A68701F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46" authorId="62" shapeId="0" xr:uid="{177696FD-06D7-4FE2-B2B6-6E5606AF641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46" authorId="63" shapeId="0" xr:uid="{604931B7-A322-4C83-AB71-0167349DDC8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46" authorId="64" shapeId="0" xr:uid="{6A8257AD-7D61-4C72-A695-81940758EE4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46" authorId="65" shapeId="0" xr:uid="{2E07AD1C-A2FF-43F0-938B-A564631B94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48" authorId="66" shapeId="0" xr:uid="{12E884BC-9874-4726-B53B-1D0D6689B0DB}">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88%.</t>
      </text>
    </comment>
    <comment ref="AJ48" authorId="67" shapeId="0" xr:uid="{B20CD638-19FF-4ACF-BEB4-31A6F606CBC6}">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88%.</t>
      </text>
    </comment>
    <comment ref="X53" authorId="68" shapeId="0" xr:uid="{FA711B76-1057-4146-BAD3-3E560525DF4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3" authorId="69" shapeId="0" xr:uid="{1B6A49D2-D9F1-4F01-AA5F-19310C6D2C7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3" authorId="70" shapeId="0" xr:uid="{D8A4BF3E-9E1F-4389-BC98-EA77F87308C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3" authorId="71" shapeId="0" xr:uid="{5E506803-67FE-4A7E-973E-E508E864493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 authorId="72" shapeId="0" xr:uid="{6961D442-329A-4F06-979A-395E084A3AF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 authorId="73" shapeId="0" xr:uid="{3D7E166C-2FA1-46D8-9267-C261C9C6E1E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 authorId="74" shapeId="0" xr:uid="{0672CF02-92D9-4562-9AD2-F09852820CB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5" authorId="75" shapeId="0" xr:uid="{12097110-D79B-413C-AFC9-8EAD4B8829B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8" authorId="76" shapeId="0" xr:uid="{D37BF3F7-ACE7-471B-AC76-DAB2EA64E5B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8" authorId="77" shapeId="0" xr:uid="{D62399E4-28B7-457B-8DC4-C59930C34CE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8" authorId="78" shapeId="0" xr:uid="{0178D16C-6A19-41CD-A086-D7C69841CDB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8" authorId="79" shapeId="0" xr:uid="{67FF9188-DF50-4CE9-9128-E8E395E301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0" authorId="80" shapeId="0" xr:uid="{737FCE89-2765-4445-9506-FF586C3999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0" authorId="81" shapeId="0" xr:uid="{62713F58-ADE9-41A0-AA59-3FF163AC2AF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0" authorId="82" shapeId="0" xr:uid="{30D4E4C2-EEDE-4158-A768-5C49D250749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0" authorId="83" shapeId="0" xr:uid="{0CCA8DA4-4D7E-4886-A17A-7959CC51B9F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 authorId="84" shapeId="0" xr:uid="{1B6BCB53-E189-406D-869D-7BADDB8B19E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 authorId="85" shapeId="0" xr:uid="{2BA60AF8-749F-4A1C-A4D7-E50724F0D38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 authorId="86" shapeId="0" xr:uid="{31FD1710-9F5A-4C29-99D9-141ED19B45B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6" authorId="87" shapeId="0" xr:uid="{B5B101C0-2CBF-4848-88DF-8AC4D1CB662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G68" authorId="88" shapeId="0" xr:uid="{774250AD-CD05-4D8D-8763-D418A3410E7F}">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H68" authorId="89" shapeId="0" xr:uid="{285E62FC-0CD2-4554-9220-D481EAC4788C}">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I68" authorId="90" shapeId="0" xr:uid="{0FC4942D-EE72-4D25-B76B-C982504C28D3}">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J68" authorId="91" shapeId="0" xr:uid="{A289CE7F-063C-4705-A69F-B1BB3E83DBAE}">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I70" authorId="92" shapeId="0" xr:uid="{4CE30655-894E-47AB-BB8B-9972B5792D8E}">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70" authorId="93" shapeId="0" xr:uid="{7E0C2489-EEFA-4EED-A852-6A9B44F848B7}">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X79" authorId="94" shapeId="0" xr:uid="{F75518F9-F9AE-4ECD-B77F-A16E88B3261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79" authorId="95" shapeId="0" xr:uid="{4FA1BC51-B3A8-4DFC-A5EE-EE348B384A3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79" authorId="96" shapeId="0" xr:uid="{E9828179-EC76-4BC4-953A-C9075DD5F38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79" authorId="97" shapeId="0" xr:uid="{E92E885F-C3F1-46EA-89FC-478531FBD69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81" authorId="98" shapeId="0" xr:uid="{09D655E8-078B-4648-9C2D-DCDFEF517A5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81" authorId="99" shapeId="0" xr:uid="{75EFF086-8F2B-4392-8249-EC45EFE45DE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81" authorId="100" shapeId="0" xr:uid="{861F36C1-729A-403F-A7D8-8705EA498D2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81" authorId="101" shapeId="0" xr:uid="{CA1CC7C4-8BAB-4CC6-BF1C-2B8BA75EF06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82" authorId="102" shapeId="0" xr:uid="{0D1CE774-CE74-4C59-89F4-C18C37204E1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82" authorId="103" shapeId="0" xr:uid="{E871CD5F-C87F-4790-8C8D-888463BE313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82" authorId="104" shapeId="0" xr:uid="{C180678E-CC51-449A-993D-C6D66805B50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82" authorId="105" shapeId="0" xr:uid="{4DA3E113-8A2A-46B9-A9F2-A3B733771EA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84" authorId="106" shapeId="0" xr:uid="{88C61BDA-7C75-406F-815C-99806701C5B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84" authorId="107" shapeId="0" xr:uid="{0A6CD3E6-0A52-43A4-8723-1E5162101E4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84" authorId="108" shapeId="0" xr:uid="{65BFEF09-905B-46A2-B4B1-2D24907CB59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84" authorId="109" shapeId="0" xr:uid="{D098B00D-09FA-4647-BF8B-1C1F8E7277A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88" authorId="110" shapeId="0" xr:uid="{14B12E20-425A-487C-B754-43B033D2620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88" authorId="111" shapeId="0" xr:uid="{D382C0EF-E481-48E5-BB31-271D772348B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88" authorId="112" shapeId="0" xr:uid="{F39FBDFD-8AA0-43C7-9A5A-41388E3DF2F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88" authorId="113" shapeId="0" xr:uid="{7AAEDDE6-08C0-4619-96FE-364F2E99D1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89" authorId="114" shapeId="0" xr:uid="{9EF2513C-D3C0-4D80-8683-9A1AE3E0324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89" authorId="115" shapeId="0" xr:uid="{7073DC5B-1181-49B1-A454-36282093B8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89" authorId="116" shapeId="0" xr:uid="{2DD52E6D-993D-4FDB-80C1-CD424F61EBC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89" authorId="117" shapeId="0" xr:uid="{BAD2F192-027C-426F-96B9-36DF4D9E370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93" authorId="118" shapeId="0" xr:uid="{F1DF3047-9676-4102-8ECF-12513952115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93" authorId="119" shapeId="0" xr:uid="{11914BF0-FBFF-4D76-8D3D-54F5C77943A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93" authorId="120" shapeId="0" xr:uid="{9035ABCC-7A45-4DA8-81A7-4CB5AC9EF98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93" authorId="121" shapeId="0" xr:uid="{8ABAC439-1109-4A83-BCD2-7A250A1CB40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94" authorId="122" shapeId="0" xr:uid="{05497319-3499-4A30-9334-E20A548561A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94" authorId="123" shapeId="0" xr:uid="{09270D40-8287-456E-8B96-65BFE6952FB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94" authorId="124" shapeId="0" xr:uid="{814E73C5-F6CE-4EDB-A29A-999793E4718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94" authorId="125" shapeId="0" xr:uid="{DE95995C-CBF7-4555-B7A6-342140BE64B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95" authorId="126" shapeId="0" xr:uid="{4A58A9E3-8FDB-4E5F-8C8B-AE2F018F5F4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95" authorId="127" shapeId="0" xr:uid="{A8DE00AF-8541-4AF9-AA2B-1077A639B6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95" authorId="128" shapeId="0" xr:uid="{6DEE00F9-B250-4115-B26F-E6A9D0FAD9F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95" authorId="129" shapeId="0" xr:uid="{713062D7-C481-4519-AF73-B13B2FD4FB8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95" authorId="130" shapeId="0" xr:uid="{43214119-435F-4499-AAFD-4D2A876D66AD}">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88%.</t>
      </text>
    </comment>
    <comment ref="AJ95" authorId="131" shapeId="0" xr:uid="{5E5D459E-F081-429E-AB0F-671E0AB93015}">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88%.</t>
      </text>
    </comment>
    <comment ref="X96" authorId="132" shapeId="0" xr:uid="{36A29412-99A9-4722-828D-E0D9F053FF2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96" authorId="133" shapeId="0" xr:uid="{3A969E4D-A848-4435-AFAC-A1EF9CA39C1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96" authorId="134" shapeId="0" xr:uid="{F4C3385E-E974-4ACA-B55C-6F1698A3A36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96" authorId="135" shapeId="0" xr:uid="{0A3A888D-7AFD-487D-9494-3F1CC9131B9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00" authorId="136" shapeId="0" xr:uid="{C6D2B77E-0E1C-4BBB-9AA2-4D5D3458D61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00" authorId="137" shapeId="0" xr:uid="{DF465E47-BD73-4539-A460-83F4FEE5C1F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00" authorId="138" shapeId="0" xr:uid="{FBC2C5AE-AF18-471F-91B7-FEAA7FCF097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00" authorId="139" shapeId="0" xr:uid="{3EF499CE-FAC8-43FA-9F31-935AACF89C1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01" authorId="140" shapeId="0" xr:uid="{14249D78-5ED4-48B7-9D82-409BA8E03B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01" authorId="141" shapeId="0" xr:uid="{A70E1C5E-E942-467E-9188-C381D982803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01" authorId="142" shapeId="0" xr:uid="{64998486-BFC4-4DB2-BFED-75D87CFFFFE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01" authorId="143" shapeId="0" xr:uid="{90E2BBA9-88D4-4B0A-BC3C-6BE7101FB00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03" authorId="144" shapeId="0" xr:uid="{784F585C-876F-42B8-AAAC-8F06388FC8E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03" authorId="145" shapeId="0" xr:uid="{E90BDAA0-AC92-4503-BCF1-CFDB9064487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03" authorId="146" shapeId="0" xr:uid="{252E32C5-9A49-482C-B03D-3E2A4F6B468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03" authorId="147" shapeId="0" xr:uid="{11F3B48E-C9DC-4D64-B078-3A5B566B2D0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05" authorId="148" shapeId="0" xr:uid="{84851677-4273-404E-9C2C-9E62A8474BE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05" authorId="149" shapeId="0" xr:uid="{9A4CF362-196B-4FB6-BE4B-1413F83CD07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05" authorId="150" shapeId="0" xr:uid="{27327007-4BD5-4260-91D7-363708AA14E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05" authorId="151" shapeId="0" xr:uid="{6AF6611D-7B73-41D3-B525-975E360E937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106" authorId="152" shapeId="0" xr:uid="{8B8F6957-95A5-48CE-8865-AC024CDC936D}">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106" authorId="153" shapeId="0" xr:uid="{FDD419DC-FB59-4591-A3EC-A67FFB885169}">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X107" authorId="154" shapeId="0" xr:uid="{C85900B4-35AB-42A5-93DB-AC4CEA97911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07" authorId="155" shapeId="0" xr:uid="{9D6E2709-259F-4FF8-AFA8-9DBB4DC1EFF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07" authorId="156" shapeId="0" xr:uid="{FCE8020E-647A-4A69-8E1F-FF5360D3DE6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07" authorId="157" shapeId="0" xr:uid="{6F818481-7CD0-4D60-8B5D-9234F28B412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08" authorId="158" shapeId="0" xr:uid="{4FBEE8D9-8276-4463-A28F-8D71127E2A8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08" authorId="159" shapeId="0" xr:uid="{134C2AB5-AD9E-4680-B631-1EF774AA624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08" authorId="160" shapeId="0" xr:uid="{3B255433-2866-41B4-AA1A-412FB94627A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08" authorId="161" shapeId="0" xr:uid="{A13C6D6A-DE05-4B9D-8DD1-0480E2A02AB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114" authorId="162" shapeId="0" xr:uid="{68FA4E9B-6251-48C5-87AF-5F49A8B908C6}">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114" authorId="163" shapeId="0" xr:uid="{BE26110F-A077-4A7A-94E2-57559A2AC25C}">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X117" authorId="164" shapeId="0" xr:uid="{228E765E-CC82-4C26-A196-2D18EEA5059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17" authorId="165" shapeId="0" xr:uid="{02B3402A-EDC7-4BB9-AEB0-5FFB15DB88F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17" authorId="166" shapeId="0" xr:uid="{1886C7AA-EB57-469B-A76C-FA04824CF07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17" authorId="167" shapeId="0" xr:uid="{4E6DCDB8-8D85-4F9A-967F-F5BECE7983F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119" authorId="168" shapeId="0" xr:uid="{347E76E1-75EF-4E1A-813D-C20A773A0312}">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119" authorId="169" shapeId="0" xr:uid="{D4418BF4-0D8A-4062-932A-10265D0CB274}">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X120" authorId="170" shapeId="0" xr:uid="{8A598482-9071-4FAD-8D1E-CBBFAF549EB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20" authorId="171" shapeId="0" xr:uid="{799C570D-ECD4-4EF6-9F86-63CF3432687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20" authorId="172" shapeId="0" xr:uid="{2AE4AB6D-ABA3-4AEB-B9F9-7F6E9C16811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20" authorId="173" shapeId="0" xr:uid="{44EB36B3-2A24-47BB-BB3B-3B6CB5AEE65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21" authorId="174" shapeId="0" xr:uid="{930F7EAC-2ECE-4AEC-9FEC-D50B38A810F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21" authorId="175" shapeId="0" xr:uid="{045C8785-A174-4DF2-B7FD-F0B5978919D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21" authorId="176" shapeId="0" xr:uid="{4040472E-C56F-4516-855C-5A73DF083C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21" authorId="177" shapeId="0" xr:uid="{7EB43E95-A0DD-4742-8E6C-130012E2881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123" authorId="178" shapeId="0" xr:uid="{CFA314AC-E795-4001-85C8-FF18B4A472A1}">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123" authorId="179" shapeId="0" xr:uid="{776E7C95-25A5-474E-A7E3-C82E32C1583A}">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X127" authorId="180" shapeId="0" xr:uid="{99D77F14-B314-4999-ACE0-E49F1F47DCB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27" authorId="181" shapeId="0" xr:uid="{64ABAAF2-C7A9-498E-A800-390FC15F41D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27" authorId="182" shapeId="0" xr:uid="{2DD66289-C6EF-4598-999D-EB03D34378F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27" authorId="183" shapeId="0" xr:uid="{0EC4521F-C5E3-4F63-A532-709ABC93E4B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28" authorId="184" shapeId="0" xr:uid="{A5FA8B68-225C-471D-90D1-CA3B8409F8C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28" authorId="185" shapeId="0" xr:uid="{49F14310-CB64-41EA-9A29-03B0E1EE643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28" authorId="186" shapeId="0" xr:uid="{BBA8B9F9-0C04-45D5-9694-DDA5A421F62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28" authorId="187" shapeId="0" xr:uid="{66E7516D-25FA-4CE1-A5CF-64BEB9D23F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32" authorId="188" shapeId="0" xr:uid="{E74A4546-0598-4418-87F0-382B7006645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32" authorId="189" shapeId="0" xr:uid="{7BF7D03F-401D-43CF-AD0F-266AD56AC08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32" authorId="190" shapeId="0" xr:uid="{FB047638-5A2D-405B-9063-5FB5ECBCEA9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32" authorId="191" shapeId="0" xr:uid="{F2D9C4F2-D70E-49EE-9275-3EBD1C8F4BC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134" authorId="192" shapeId="0" xr:uid="{46D16609-32F5-444E-9715-9A7926B69B74}">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134" authorId="193" shapeId="0" xr:uid="{9CAEC889-7910-4F60-B2F3-76FE8C571640}">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X136" authorId="194" shapeId="0" xr:uid="{BFE7E528-5980-46BB-85BC-CFE070DD667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36" authorId="195" shapeId="0" xr:uid="{E889D8AE-4B0E-4F69-9F62-E1C51B01880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36" authorId="196" shapeId="0" xr:uid="{1FC5FFF2-CE47-43EA-83E8-7BE80BF243C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36" authorId="197" shapeId="0" xr:uid="{83597DF3-FC2B-49F1-93CD-69B3539AC65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136" authorId="198" shapeId="0" xr:uid="{8D3931E5-3245-433D-B167-DC3F6BE1EF46}">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88%.</t>
      </text>
    </comment>
    <comment ref="AJ136" authorId="199" shapeId="0" xr:uid="{5D573D4D-48B1-4A43-864D-82108415E15C}">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88%.</t>
      </text>
    </comment>
    <comment ref="X137" authorId="200" shapeId="0" xr:uid="{B5FB1AD3-505F-4A93-90D9-E29BB6B7136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37" authorId="201" shapeId="0" xr:uid="{DD16ECD9-5D55-4BDB-A334-4DE02DC4EC0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37" authorId="202" shapeId="0" xr:uid="{0C72C518-BFBA-494A-9858-4815031DFC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37" authorId="203" shapeId="0" xr:uid="{BE88D033-B983-4933-9E8D-8F31575BA86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38" authorId="204" shapeId="0" xr:uid="{DAA73F70-C03B-4779-B577-A7A5D48970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38" authorId="205" shapeId="0" xr:uid="{EFBB5A9F-2AE1-48E9-A0F0-4FD028DD216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38" authorId="206" shapeId="0" xr:uid="{8A729CED-064F-48C9-BA89-F4EB3F12537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38" authorId="207" shapeId="0" xr:uid="{AC8F1C3E-7F76-458C-952F-3B540388DEF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39" authorId="208" shapeId="0" xr:uid="{E7748DF2-474F-4002-AFDA-D833CC9BE23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39" authorId="209" shapeId="0" xr:uid="{1FFB9C11-E2E6-4A84-A23F-6D0D13E6B1D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39" authorId="210" shapeId="0" xr:uid="{2527FC2B-9981-454A-9A86-F1A7A08A510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39" authorId="211" shapeId="0" xr:uid="{255FE400-D612-4BD4-AF17-0FB254F8C55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44" authorId="212" shapeId="0" xr:uid="{87F592DD-5031-431B-946F-EEA23086657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44" authorId="213" shapeId="0" xr:uid="{072857CF-3FCD-401C-A3EE-F0ED8363F5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44" authorId="214" shapeId="0" xr:uid="{A22A3889-9A83-4D9B-86C3-DF8B87A1967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44" authorId="215" shapeId="0" xr:uid="{23E18AE8-C9F4-44BF-AB75-40A2F368873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146" authorId="216" shapeId="0" xr:uid="{BAED64B8-C280-4854-9DAD-72DC1E9B56B4}">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146" authorId="217" shapeId="0" xr:uid="{88068482-181A-4BC5-8047-9E05C316A68E}">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X147" authorId="218" shapeId="0" xr:uid="{69573CD6-0B75-439F-9184-877DC1CA1F3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47" authorId="219" shapeId="0" xr:uid="{28475D5B-65A3-47D5-B451-DB44B9229CF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47" authorId="220" shapeId="0" xr:uid="{66B7C521-8273-4677-BB2E-A4FD63F85E7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47" authorId="221" shapeId="0" xr:uid="{66FE9634-1068-4E8C-B893-8BD5E198432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G152" authorId="222" shapeId="0" xr:uid="{5D9C7766-1689-48A7-92FE-D3D0FD9B811C}">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H152" authorId="223" shapeId="0" xr:uid="{2D71D915-6C9A-4DBF-A471-DA46358382C5}">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I152" authorId="224" shapeId="0" xr:uid="{6AECD202-2649-48F8-AC5B-6662EEDE186D}">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J152" authorId="225" shapeId="0" xr:uid="{8C3E0895-7176-4B3B-A8C2-235C9B2A61EE}">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I155" authorId="226" shapeId="0" xr:uid="{299F3333-EEB8-40B2-AFB4-5200771EF35C}">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155" authorId="227" shapeId="0" xr:uid="{35623422-B963-4D6B-A644-DF4AEBF18CC7}">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156" authorId="228" shapeId="0" xr:uid="{7CD5C64F-67AA-4238-8FD4-095AE7DBA112}">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156" authorId="229" shapeId="0" xr:uid="{295A66FC-A2C3-43ED-90E3-1D053D86A310}">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X157" authorId="230" shapeId="0" xr:uid="{C100F896-E0F9-4350-9382-118C6E3AD6F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57" authorId="231" shapeId="0" xr:uid="{3A11B648-934A-498F-9664-3629CE0AF38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57" authorId="232" shapeId="0" xr:uid="{8B637E61-8B70-4092-9C9E-1C6ED837473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57" authorId="233" shapeId="0" xr:uid="{55828A71-B0D2-4876-A084-9C801DB2E19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158" authorId="234" shapeId="0" xr:uid="{463AFB46-27E9-4729-AB4C-F5F855CEFB44}">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158" authorId="235" shapeId="0" xr:uid="{C01F4694-BC02-4785-8EE2-11C76F4FE7D8}">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X159" authorId="236" shapeId="0" xr:uid="{6D722918-20E1-4D81-B04C-7097514CAB7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59" authorId="237" shapeId="0" xr:uid="{43B6836A-06B7-4A9D-8ACC-90F9C92F23D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59" authorId="238" shapeId="0" xr:uid="{BF1D5D9B-E03A-4338-BF74-EAF73DDF89A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59" authorId="239" shapeId="0" xr:uid="{252C0DF3-95D6-4637-9C4E-F6D8E5DF4FA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60" authorId="240" shapeId="0" xr:uid="{8CCAB502-2C0C-48AE-B065-5B083185E84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60" authorId="241" shapeId="0" xr:uid="{5EACFE7A-0576-400E-B66A-4C1082E1800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60" authorId="242" shapeId="0" xr:uid="{99A4AE7A-451C-4215-B255-B3B366A98F4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60" authorId="243" shapeId="0" xr:uid="{C9848176-F09E-44D7-B3F6-1FF65810E3D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61" authorId="244" shapeId="0" xr:uid="{8585B154-DB2C-429E-94D8-D567245596A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61" authorId="245" shapeId="0" xr:uid="{D59E7921-6F83-47ED-8129-09189FC5A37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61" authorId="246" shapeId="0" xr:uid="{1A1D522A-C447-4789-BC12-D2BC0343339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61" authorId="247" shapeId="0" xr:uid="{F594F43D-6166-4CB8-9F79-2CD198A8AE2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62" authorId="248" shapeId="0" xr:uid="{52007EAF-7B84-4625-8B0E-53C359FD921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62" authorId="249" shapeId="0" xr:uid="{13133DF9-CA5F-4B56-A199-B31DA5C76E8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62" authorId="250" shapeId="0" xr:uid="{625E8145-1F63-42C4-9685-71D8FABDA8B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62" authorId="251" shapeId="0" xr:uid="{29324101-7035-4ABD-B4D4-E1436949707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63" authorId="252" shapeId="0" xr:uid="{8947D717-8E66-4B3B-9BED-0E38211C10D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63" authorId="253" shapeId="0" xr:uid="{FDE96C06-FAFD-4E84-A2CF-B7CC2EC0FA4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63" authorId="254" shapeId="0" xr:uid="{F96C49EF-3206-491C-9288-A50036BCF20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63" authorId="255" shapeId="0" xr:uid="{D7526A84-EB3B-484D-9513-6DED03940C6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65" authorId="256" shapeId="0" xr:uid="{B9389F5F-BC18-4B9E-9D34-235BAB47D5C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65" authorId="257" shapeId="0" xr:uid="{F9F9F6AA-8F25-4852-B023-63C6353D004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65" authorId="258" shapeId="0" xr:uid="{FB178944-6CD0-4465-8E41-AD09FB19095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65" authorId="259" shapeId="0" xr:uid="{8B8E6857-3600-439F-862E-0663F0C56DD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69" authorId="260" shapeId="0" xr:uid="{02C883C9-599B-4601-BEE0-FC6E48557FF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69" authorId="261" shapeId="0" xr:uid="{33593276-9BF8-4022-9F50-ED80C578B00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69" authorId="262" shapeId="0" xr:uid="{1763B161-FBB4-47BA-9E18-2250CFE6C57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69" authorId="263" shapeId="0" xr:uid="{87DF4AE8-F479-4E52-926B-9375D11BEDC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71" authorId="264" shapeId="0" xr:uid="{3ACFFB31-0C90-40D3-9278-9849E8A38C4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71" authorId="265" shapeId="0" xr:uid="{A4F33AA0-88C1-4FDE-9431-E70F136F3B6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71" authorId="266" shapeId="0" xr:uid="{EE9B46B0-EA01-4BF4-A666-D63475D25C7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71" authorId="267" shapeId="0" xr:uid="{9999F82D-DF2E-482A-987F-20BC6558A92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172" authorId="268" shapeId="0" xr:uid="{F0F8AAA9-B73C-4EC3-BC88-5576D333386B}">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80%.</t>
      </text>
    </comment>
    <comment ref="AJ172" authorId="269" shapeId="0" xr:uid="{47773E44-38E0-4712-988A-E6BB1CFBD8B5}">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80%.</t>
      </text>
    </comment>
    <comment ref="AI175" authorId="270" shapeId="0" xr:uid="{57ECCAAC-B610-42EC-BB05-75BD96D4F67D}">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175" authorId="271" shapeId="0" xr:uid="{0B415509-CD0C-46E1-B739-1F3B1AD095EB}">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176" authorId="272" shapeId="0" xr:uid="{02E7D095-891A-4365-8DE2-08C5AB0F2647}">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176" authorId="273" shapeId="0" xr:uid="{FEEAB44B-E92B-4687-9FA9-70AA7F080015}">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177" authorId="274" shapeId="0" xr:uid="{9D986DC2-8009-4846-9756-48307FAD9DD6}">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177" authorId="275" shapeId="0" xr:uid="{C3A7544A-51AF-4DAB-BE2F-21CA49A20E5E}">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X179" authorId="276" shapeId="0" xr:uid="{8B218C8A-FE6F-4984-9778-D6830417E77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79" authorId="277" shapeId="0" xr:uid="{95BA5B2C-012F-4FF3-A495-657098448C3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79" authorId="278" shapeId="0" xr:uid="{53C69C0A-7379-41B9-8989-F1D0730A0A1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79" authorId="279" shapeId="0" xr:uid="{9A26159C-DF3E-4106-B278-ED1A254074A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80" authorId="280" shapeId="0" xr:uid="{8624CD84-CF52-442B-9EAB-DD515DB6E7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80" authorId="281" shapeId="0" xr:uid="{170FC89C-3669-4D30-9952-07779C3E985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80" authorId="282" shapeId="0" xr:uid="{AC758E13-5728-4CA7-B4A6-C3753C9D5D8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80" authorId="283" shapeId="0" xr:uid="{DF768C15-C505-4671-AF28-9B04C55B643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81" authorId="284" shapeId="0" xr:uid="{6ACE645A-CEFE-4F26-B5A0-AF608DE49FC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81" authorId="285" shapeId="0" xr:uid="{3C709744-BB06-4EB1-909A-ECFB49E3B65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81" authorId="286" shapeId="0" xr:uid="{C92ED2C2-A174-4790-A08A-A754A97E7B1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81" authorId="287" shapeId="0" xr:uid="{04A3326C-1D7D-4370-9A81-6257E77826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82" authorId="288" shapeId="0" xr:uid="{D927407B-F5F7-4271-B96B-2EB822D7557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82" authorId="289" shapeId="0" xr:uid="{3488E7BE-FE66-4AEE-9A92-E8FD05026F2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82" authorId="290" shapeId="0" xr:uid="{747A6979-9690-4424-9620-6A2B7C9ADAC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82" authorId="291" shapeId="0" xr:uid="{AFAF631C-8727-47E1-9BC1-44BD440F829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83" authorId="292" shapeId="0" xr:uid="{45B3AEB5-ED2B-4458-8E54-9D52D948F80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83" authorId="293" shapeId="0" xr:uid="{51D4C11D-7CA2-4C35-8169-576FDBFC915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83" authorId="294" shapeId="0" xr:uid="{EC1A5C60-1E85-4BC0-814D-DAC93E5C377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83" authorId="295" shapeId="0" xr:uid="{30D852EF-F30B-4E46-A78E-2EE44E3A3BC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184" authorId="296" shapeId="0" xr:uid="{F28C0971-BF16-448D-9401-F29C83B655B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84" authorId="297" shapeId="0" xr:uid="{448B1D45-060E-46A5-80B7-FD85FB870B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84" authorId="298" shapeId="0" xr:uid="{D4E03EC5-511B-48F6-AC93-465E82D1953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84" authorId="299" shapeId="0" xr:uid="{E1589EDC-1969-4AFE-A799-3DB29EA8870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189" authorId="300" shapeId="0" xr:uid="{1502B112-3BE8-4BCC-8D80-0F3050250C21}">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80%.</t>
      </text>
    </comment>
    <comment ref="AJ189" authorId="301" shapeId="0" xr:uid="{071D60E4-CFDD-46BF-A660-61C1B24A0B30}">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80%.</t>
      </text>
    </comment>
    <comment ref="AI191" authorId="302" shapeId="0" xr:uid="{20ECFB99-1E9C-4292-8762-73F9B80A786E}">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191" authorId="303" shapeId="0" xr:uid="{69D0143C-57BD-4B7E-8275-8DB21E4B5DCB}">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192" authorId="304" shapeId="0" xr:uid="{6B8C5989-E707-4707-8A68-CE82F2487728}">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192" authorId="305" shapeId="0" xr:uid="{8C4FF39A-DCCA-4E03-B3DD-9D2F82670A4D}">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X193" authorId="306" shapeId="0" xr:uid="{4E277134-46B7-4AEB-998A-A05A838E6A8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93" authorId="307" shapeId="0" xr:uid="{EC732B15-936A-4825-9411-2DC24B9157E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93" authorId="308" shapeId="0" xr:uid="{39B5E613-1B4A-4863-A99F-A51FA929EF7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93" authorId="309" shapeId="0" xr:uid="{F5633EA9-811C-4941-9DDA-29B8973D05E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194" authorId="310" shapeId="0" xr:uid="{1722520F-DB57-4035-8ED7-9EE506D42A78}">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88%.</t>
      </text>
    </comment>
    <comment ref="AJ194" authorId="311" shapeId="0" xr:uid="{9C8C7127-BA84-4349-A504-AF01BCDF887C}">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88%.</t>
      </text>
    </comment>
    <comment ref="X195" authorId="312" shapeId="0" xr:uid="{D963BEE1-5CD6-44C9-8122-44ACA24F01F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195" authorId="313" shapeId="0" xr:uid="{3F369879-D699-4C1F-9E5E-B471436A16A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195" authorId="314" shapeId="0" xr:uid="{D1032503-4012-4EF9-8380-CC1CFB54E22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195" authorId="315" shapeId="0" xr:uid="{8B61A97A-F060-4730-B9E5-56A2ADEFD03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200" authorId="316" shapeId="0" xr:uid="{42ED58A1-9E5A-4B20-A9F4-AF93304DF4E4}">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200" authorId="317" shapeId="0" xr:uid="{B4991274-525B-4B93-A6E0-F12C06265186}">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201" authorId="318" shapeId="0" xr:uid="{96D054EE-68CE-45C8-9B4A-F28CF50F7578}">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201" authorId="319" shapeId="0" xr:uid="{87668C8C-E1C8-4C0F-A889-A836D6E08E23}">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202" authorId="320" shapeId="0" xr:uid="{514EF9A8-11ED-4933-B4E4-010AC6E1FD88}">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202" authorId="321" shapeId="0" xr:uid="{4C7D23CC-BA57-4089-8434-E3D30B63C349}">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X204" authorId="322" shapeId="0" xr:uid="{95791A47-6D0F-4E00-B31B-64AD850967F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04" authorId="323" shapeId="0" xr:uid="{A0F148D1-155A-4183-BA2B-9D084211114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04" authorId="324" shapeId="0" xr:uid="{28DA77CB-4D6C-42A3-9FEA-F2B3BB65123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04" authorId="325" shapeId="0" xr:uid="{94761867-F56B-43AD-8F16-80749F3A3AC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05" authorId="326" shapeId="0" xr:uid="{D8D0F1F9-4D5B-47FF-B0F4-E9AE0F4C730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05" authorId="327" shapeId="0" xr:uid="{17300923-5EFF-4B9E-BCC2-600B8A7E898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05" authorId="328" shapeId="0" xr:uid="{B0B3D1B9-8DE4-403A-AA54-36784AADBB3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05" authorId="329" shapeId="0" xr:uid="{99E0091D-7A23-4A4E-874C-109A6351E38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06" authorId="330" shapeId="0" xr:uid="{D87EF616-EC98-4124-8D88-AA7753927CC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06" authorId="331" shapeId="0" xr:uid="{799FFC4F-24BD-4960-9AD1-5A3A813DA7F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06" authorId="332" shapeId="0" xr:uid="{88B832F0-82DB-4BCA-BC87-7D916D0F6C7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06" authorId="333" shapeId="0" xr:uid="{EBD4ED46-B39D-410D-81F1-EB1F1C336E6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07" authorId="334" shapeId="0" xr:uid="{1B417A49-DF16-4F19-8B16-253E234E202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07" authorId="335" shapeId="0" xr:uid="{6D1B693F-3F18-4313-BCC4-12A4A27382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07" authorId="336" shapeId="0" xr:uid="{0C5F029C-DC25-4C05-ABB2-93C544F4C7A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07" authorId="337" shapeId="0" xr:uid="{570ACA27-E65A-4777-A4E0-B0134F0FBC9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08" authorId="338" shapeId="0" xr:uid="{C11A4084-E116-48EF-8436-5500236001D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08" authorId="339" shapeId="0" xr:uid="{40F2C1E0-5C4D-4EFC-91CC-7DECF891E4D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08" authorId="340" shapeId="0" xr:uid="{FB91B61B-8DEB-48D0-9F36-14EBB27A6FA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08" authorId="341" shapeId="0" xr:uid="{A28F39E8-9802-4241-A790-70634C5C823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09" authorId="342" shapeId="0" xr:uid="{7DA91C5B-9F2A-40DB-999E-F95C0C2C1E4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09" authorId="343" shapeId="0" xr:uid="{A07B17C1-41BB-4007-BC87-F13974B30A9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09" authorId="344" shapeId="0" xr:uid="{8D20498C-D334-47A0-97DE-28138A946C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09" authorId="345" shapeId="0" xr:uid="{B17DAD3C-D353-4F28-872E-739449B7E35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19" authorId="346" shapeId="0" xr:uid="{91AB8B7B-E8EA-4555-99DA-F14DA847886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19" authorId="347" shapeId="0" xr:uid="{84CD7548-20B1-46D3-A557-0006A33B1EB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19" authorId="348" shapeId="0" xr:uid="{88E685E8-A4EE-40E1-8FA3-3EC0FC9DD36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19" authorId="349" shapeId="0" xr:uid="{7143337C-2CDB-4E2C-A127-0405D072D51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G226" authorId="350" shapeId="0" xr:uid="{14BD2AF1-70BB-4E1D-BAC5-AA51AC746525}">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H226" authorId="351" shapeId="0" xr:uid="{83402DF7-F0FF-4DDA-A56B-2E0244FE1B6D}">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I226" authorId="352" shapeId="0" xr:uid="{55DA68A2-8513-465B-B431-5B9CBDB49B97}">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AJ226" authorId="353" shapeId="0" xr:uid="{D8010AAE-4678-480C-91E3-7EA2E39ABCA5}">
      <text>
        <t>[Threaded comment]
Your version of Excel allows you to read this threaded comment; however, any edits to it will get removed if the file is opened in a newer version of Excel. Learn more: https://go.microsoft.com/fwlink/?linkid=870924
Comment:
    Corrected per 2023 Guidehouse review.</t>
      </text>
    </comment>
    <comment ref="X227" authorId="354" shapeId="0" xr:uid="{B6A2CCD8-C71C-45D8-A7DB-9AF70610C1D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27" authorId="355" shapeId="0" xr:uid="{AD3E4083-AFFF-4D67-9679-763D9561B91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27" authorId="356" shapeId="0" xr:uid="{2E36001A-FBB1-4ED5-A7A0-A862738F9B6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27" authorId="357" shapeId="0" xr:uid="{16CFFD37-EA29-4D7F-9217-005EE18C9A2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29" authorId="358" shapeId="0" xr:uid="{7BDCF5D2-6951-4187-BA7E-10E70C7DAB6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29" authorId="359" shapeId="0" xr:uid="{411286F0-E8F3-46AF-9A6D-0418A001574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29" authorId="360" shapeId="0" xr:uid="{4B430B58-43C9-4938-8D23-F7256B6E7F1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29" authorId="361" shapeId="0" xr:uid="{418A93BA-2648-44B8-9D91-C5E31E0E06C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31" authorId="362" shapeId="0" xr:uid="{16EDEFCD-489B-426C-AAF7-DACB8871F5D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31" authorId="363" shapeId="0" xr:uid="{89016E57-074B-4F13-A92A-0E8A85EEA72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31" authorId="364" shapeId="0" xr:uid="{BF89A2FC-6D09-420A-89BF-6E1CC01EF81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31" authorId="365" shapeId="0" xr:uid="{7F9D86C1-AEE8-4CC3-9294-A9BDEAEE114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32" authorId="366" shapeId="0" xr:uid="{C752B301-F07F-45D2-8732-455F8EBA92B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32" authorId="367" shapeId="0" xr:uid="{6A16AEDA-3B62-4D8A-AB5E-055B65A02D9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32" authorId="368" shapeId="0" xr:uid="{6DCF2913-AA71-45CA-8CBF-1873669CD95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32" authorId="369" shapeId="0" xr:uid="{86D344E9-AD6D-4916-82CF-685D6CD252B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33" authorId="370" shapeId="0" xr:uid="{9D2A72B4-DBAD-4A8A-B54B-E18982DE759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33" authorId="371" shapeId="0" xr:uid="{CBD96CCB-971E-4FB7-9884-391D306333D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33" authorId="372" shapeId="0" xr:uid="{C37AB700-FD9E-4E8B-B593-0F6A7CC2E61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33" authorId="373" shapeId="0" xr:uid="{9512C433-122C-4A97-B380-DA77C48C568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34" authorId="374" shapeId="0" xr:uid="{A6F312E4-2EDD-4E84-B986-8558255AEB4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34" authorId="375" shapeId="0" xr:uid="{D614C2CA-A9D3-4DE7-92F2-F821D9787E3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34" authorId="376" shapeId="0" xr:uid="{4D1896F7-5938-46DD-B60B-336B5355EC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34" authorId="377" shapeId="0" xr:uid="{87766765-2736-4497-AC58-936ABEDE48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35" authorId="378" shapeId="0" xr:uid="{E20B0E57-8119-46E1-B2E8-B698B231CCA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35" authorId="379" shapeId="0" xr:uid="{4B6CA1B0-7BB5-4BDB-99AC-35075762A8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35" authorId="380" shapeId="0" xr:uid="{B529B875-2DD8-46E7-B038-58A084A9E28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35" authorId="381" shapeId="0" xr:uid="{98330F7A-38F9-4BFF-9DB8-E6676A9E63E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36" authorId="382" shapeId="0" xr:uid="{A448DA14-705C-48E3-8BBF-A6A962EBFF0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36" authorId="383" shapeId="0" xr:uid="{42ADABC0-130D-4590-9EEC-5E708EA0950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36" authorId="384" shapeId="0" xr:uid="{60B0CFA4-7653-45CB-9FDF-47A569E291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36" authorId="385" shapeId="0" xr:uid="{4F505A91-6672-4A6C-9A15-41A5669AA93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39" authorId="386" shapeId="0" xr:uid="{8E08A9E2-3907-4BCD-9066-4961762A42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39" authorId="387" shapeId="0" xr:uid="{F1B90AB3-E6D9-4E70-B6E0-3F8CC0A72A9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39" authorId="388" shapeId="0" xr:uid="{B12DBA63-43D8-41E5-96BE-C78AD2071B8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39" authorId="389" shapeId="0" xr:uid="{D489F7B1-86B0-42EF-B123-F086B752310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241" authorId="390" shapeId="0" xr:uid="{B82C2616-BF2B-4B16-B66C-B1F8897EE05B}">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241" authorId="391" shapeId="0" xr:uid="{146C7480-5630-416F-A5B7-C1CAA030ABE0}">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X243" authorId="392" shapeId="0" xr:uid="{390552E7-574A-4280-B416-4FBAC4042DA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43" authorId="393" shapeId="0" xr:uid="{B6B78B3F-9BB1-4E9F-9FC8-C4002774A35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43" authorId="394" shapeId="0" xr:uid="{B7AF7D62-DF18-4BC0-8015-8C9F738E4ED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43" authorId="395" shapeId="0" xr:uid="{94B5EB2D-D5CA-4E7C-B141-1949A271D00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46" authorId="396" shapeId="0" xr:uid="{391199D6-A4BA-462D-BF71-9FFC27C439C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46" authorId="397" shapeId="0" xr:uid="{99EFC7FD-90E2-4EEB-BE2E-F0B16B3A2F6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46" authorId="398" shapeId="0" xr:uid="{1018FF01-53C1-4AA2-B124-7B819882762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46" authorId="399" shapeId="0" xr:uid="{8A5AB621-4B8F-4F88-A5A7-60CC54DC256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249" authorId="400" shapeId="0" xr:uid="{E5ECB412-73E0-49FB-9E8F-FD6C884A4EBB}">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249" authorId="401" shapeId="0" xr:uid="{B854DAFD-9653-40CD-9308-DFC9996CE1B5}">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X251" authorId="402" shapeId="0" xr:uid="{5CD41FDD-B096-44F9-BFE6-C810EBAA9FA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51" authorId="403" shapeId="0" xr:uid="{FDE7693B-52AE-4B2B-B2B9-91C02D09FAE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51" authorId="404" shapeId="0" xr:uid="{BE272481-53E4-45B9-8336-CDC14E14729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51" authorId="405" shapeId="0" xr:uid="{B2301FA8-812F-4C8C-A072-A6207C6A4CB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52" authorId="406" shapeId="0" xr:uid="{3F46212A-0AA0-4131-9A14-97689BFD32E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52" authorId="407" shapeId="0" xr:uid="{006425CE-52FF-4810-95CD-9D25F8A01F4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52" authorId="408" shapeId="0" xr:uid="{08D026EB-D4A7-4BAC-8AE0-2202D77C504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52" authorId="409" shapeId="0" xr:uid="{F41C3DAA-F6DC-4CB0-9CCC-7B6EFC34F39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54" authorId="410" shapeId="0" xr:uid="{A866BA1B-18DF-4CCB-B800-E6CC97B6C4C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54" authorId="411" shapeId="0" xr:uid="{AE7363B5-73F7-4FE9-BF6E-568EC1A864C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54" authorId="412" shapeId="0" xr:uid="{D5725947-01D8-4F7F-B4EB-B81FC0427FF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54" authorId="413" shapeId="0" xr:uid="{9C54B39B-B2D6-490C-BAAF-CB2A179E06F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55" authorId="414" shapeId="0" xr:uid="{8C6C2D61-C5E4-4C0D-98F3-D6C566C4CB8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55" authorId="415" shapeId="0" xr:uid="{D4307830-F366-4546-BEBF-345FD7E63D7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55" authorId="416" shapeId="0" xr:uid="{9DB64AAA-00F0-449F-BC72-1EA75BDF117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55" authorId="417" shapeId="0" xr:uid="{D599B2D2-0659-4998-B018-586EF260FA4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56" authorId="418" shapeId="0" xr:uid="{763CAD81-E9C9-46B4-8E6B-1845CDFDE1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56" authorId="419" shapeId="0" xr:uid="{883C7967-F963-4D95-8BFA-4173748A7F6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56" authorId="420" shapeId="0" xr:uid="{9093F336-05FE-4358-82F7-8D4B84FD72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56" authorId="421" shapeId="0" xr:uid="{AF739005-3F04-4769-9131-8A30E5AD1F6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57" authorId="422" shapeId="0" xr:uid="{3F9C2806-1C68-4ABC-93F6-947DFF47265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57" authorId="423" shapeId="0" xr:uid="{E966D46F-430D-4532-B339-CAD32B7530A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57" authorId="424" shapeId="0" xr:uid="{02E1726B-AFDE-4C75-AAA5-0FE8E6D5060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57" authorId="425" shapeId="0" xr:uid="{EE0167B8-26DB-4933-A317-BD3CF0A91AE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58" authorId="426" shapeId="0" xr:uid="{CE2D7B2F-297E-4E7C-88F4-71261F19150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58" authorId="427" shapeId="0" xr:uid="{0A107A67-7857-4EB9-B191-F68AAC593FE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58" authorId="428" shapeId="0" xr:uid="{175DB92E-985D-40C9-B790-FAD997343D5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58" authorId="429" shapeId="0" xr:uid="{B38BAB0F-58A9-4949-9848-0C89CA74107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261" authorId="430" shapeId="0" xr:uid="{974BFB0F-B436-47B6-9B84-9AFC71044913}">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261" authorId="431" shapeId="0" xr:uid="{C0777191-0A27-4480-9967-5D0B37F0E20F}">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262" authorId="432" shapeId="0" xr:uid="{1781DF4C-A55B-434B-9967-D2FE381D7E5F}">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262" authorId="433" shapeId="0" xr:uid="{DA7E3CDA-C928-46D7-BE97-3E3E2C818E03}">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271" authorId="434" shapeId="0" xr:uid="{4E9A5841-0E2B-4A8C-A293-5CA4047ABA9C}">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271" authorId="435" shapeId="0" xr:uid="{82D29748-85BC-45EC-BCAE-F5BE82BE61C3}">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X277" authorId="436" shapeId="0" xr:uid="{7AC0FC20-C5D7-4081-A3A9-9D0B5289D7E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77" authorId="437" shapeId="0" xr:uid="{3D65EC09-E8B4-4915-8055-400CBB7181D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77" authorId="438" shapeId="0" xr:uid="{6C9058BE-E2B8-43D6-BA1B-888E1E10E8E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77" authorId="439" shapeId="0" xr:uid="{A89E3CB6-73D3-4A87-9464-FB7D2FFF8E2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78" authorId="440" shapeId="0" xr:uid="{01D63E5D-186A-47C7-9CAE-4FF4CA46B13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78" authorId="441" shapeId="0" xr:uid="{0CB75289-BE80-45E6-81DD-90EE5F34E54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78" authorId="442" shapeId="0" xr:uid="{A79FA4C8-3CA2-407D-8AA6-59650AE5687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78" authorId="443" shapeId="0" xr:uid="{39839606-0E18-417E-846F-DE89CAB613D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79" authorId="444" shapeId="0" xr:uid="{40C3EBB5-1DEE-49F2-B461-65A05F6188D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79" authorId="445" shapeId="0" xr:uid="{E00D1E40-A818-4FC3-A110-1611175A39B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79" authorId="446" shapeId="0" xr:uid="{2DC4A62B-94C1-4446-9C18-90E2C2C4E3F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79" authorId="447" shapeId="0" xr:uid="{E5481F5E-65F7-4BFB-B546-94045FC1A1D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0" authorId="448" shapeId="0" xr:uid="{DDFE3B09-09DE-405A-B6E8-D7A8018CAD7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0" authorId="449" shapeId="0" xr:uid="{0585E240-6B7D-4BB2-A216-B2CD3C9BB6B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0" authorId="450" shapeId="0" xr:uid="{143FB04C-0CD6-4625-A491-4C877C60227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80" authorId="451" shapeId="0" xr:uid="{9F478C93-43C2-481A-9BE0-752BE7E16FE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1" authorId="452" shapeId="0" xr:uid="{B661E659-5C8C-475C-B89F-7685A7BB525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1" authorId="453" shapeId="0" xr:uid="{66260BF8-ABBB-4A84-B104-9A81265BD8B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1" authorId="454" shapeId="0" xr:uid="{3955C989-EA78-4E13-B20C-E88C41A79F9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81" authorId="455" shapeId="0" xr:uid="{15968D09-18E0-42C2-ADCE-98648164F5C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2" authorId="456" shapeId="0" xr:uid="{7D5334E9-97EF-4204-AF2B-31611930E3D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2" authorId="457" shapeId="0" xr:uid="{A2E099C3-1D91-40D5-B432-2A77650F7C2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2" authorId="458" shapeId="0" xr:uid="{CEF3F055-30F2-4437-BE68-9A0A44C9DF8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82" authorId="459" shapeId="0" xr:uid="{857133FF-A453-4BCD-9ADC-A17B1C48FE6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3" authorId="460" shapeId="0" xr:uid="{45548294-EE3C-45CF-A9B6-1C1842D6586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3" authorId="461" shapeId="0" xr:uid="{2A1CA254-081D-4F34-8BBD-B9DBD851FDE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3" authorId="462" shapeId="0" xr:uid="{2297C1A3-094B-4334-AD3A-CEECE5E87A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83" authorId="463" shapeId="0" xr:uid="{16747A37-E422-4285-94B0-A62B6F7BD2F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CE283" authorId="464" shapeId="0" xr:uid="{610A233C-9309-4237-B695-B8D2614B6A34}">
      <text>
        <t>[Threaded comment]
Your version of Excel allows you to read this threaded comment; however, any edits to it will get removed if the file is opened in a newer version of Excel. Learn more: https://go.microsoft.com/fwlink/?linkid=870924
Comment:
    Updated per IL TRM v12, page 112. Previous value 17.</t>
      </text>
    </comment>
    <comment ref="X284" authorId="465" shapeId="0" xr:uid="{C5DF037D-22E1-41C8-B065-BB5A8E19FCD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4" authorId="466" shapeId="0" xr:uid="{B1292EB7-84A6-448B-9F6D-95ABF5B708E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4" authorId="467" shapeId="0" xr:uid="{37A71C69-57C5-4513-9F3E-584F277F9C1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84" authorId="468" shapeId="0" xr:uid="{7ACF9419-73B5-4E11-AC4F-A0C4AD92C05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5" authorId="469" shapeId="0" xr:uid="{5B7B257C-5635-4141-A388-73448146415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5" authorId="470" shapeId="0" xr:uid="{7B461AD5-FD74-4199-B9CA-6ED873B128A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5" authorId="471" shapeId="0" xr:uid="{BA9B75D3-8DDB-43F7-967F-6E9F579AD32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85" authorId="472" shapeId="0" xr:uid="{03EC3085-E786-4EE0-8062-450F45B6FDF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6" authorId="473" shapeId="0" xr:uid="{79587C86-907D-4A10-9F94-CBB29CC3583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6" authorId="474" shapeId="0" xr:uid="{AE14D13E-3E05-4E74-BD9A-BD5F2BCF53C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6" authorId="475" shapeId="0" xr:uid="{F98DE57B-A2F6-4E87-9A58-294CF2C66B8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86" authorId="476" shapeId="0" xr:uid="{91E03141-5623-463C-8338-6CA674144FB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7" authorId="477" shapeId="0" xr:uid="{9D57664F-42D7-4D29-B5C1-13690976123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7" authorId="478" shapeId="0" xr:uid="{29CF5FEE-9397-4FC0-BE46-2AA076987C2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7" authorId="479" shapeId="0" xr:uid="{C82508CC-9EC5-48DC-A864-43A891B24E0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87" authorId="480" shapeId="0" xr:uid="{DA5154BB-FA5A-406C-851A-3C382A0C37F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8" authorId="481" shapeId="0" xr:uid="{7FD8D25D-5BD6-400F-9D74-69D95E9E2AB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8" authorId="482" shapeId="0" xr:uid="{CE5F0B63-0520-4D78-B236-B026D57F11B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8" authorId="483" shapeId="0" xr:uid="{B79D438C-676A-4EBB-B359-B88FDDC6645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88" authorId="484" shapeId="0" xr:uid="{7427AC08-C1C7-4E7F-A2C8-A1EB3F44509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89" authorId="485" shapeId="0" xr:uid="{5453A568-58EA-41DC-89EC-6D0FA37CCE3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89" authorId="486" shapeId="0" xr:uid="{185EB7AB-BADC-44DD-8792-28AE8D63529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89" authorId="487" shapeId="0" xr:uid="{5524BA7E-7F4B-4773-A545-492C951AAB4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89" authorId="488" shapeId="0" xr:uid="{19631834-3FAA-4780-8666-8D8B63A43BE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90" authorId="489" shapeId="0" xr:uid="{3FB9FF8F-818C-473C-A0FF-85E590F0530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90" authorId="490" shapeId="0" xr:uid="{F5C3436A-B612-475E-8E80-FB289A79C21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90" authorId="491" shapeId="0" xr:uid="{E2D20DF6-C7AD-414E-BFF0-598670B3DE4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90" authorId="492" shapeId="0" xr:uid="{E0694693-60FE-43C3-85E2-CC27DE46204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292" authorId="493" shapeId="0" xr:uid="{F7084DBD-6842-431B-9FD5-DE0D59DED0AF}">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292" authorId="494" shapeId="0" xr:uid="{AA0CA336-6C8D-46A2-A0DE-E8FB25AFA5E8}">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X296" authorId="495" shapeId="0" xr:uid="{2BF79C3C-2832-4055-9CD2-90FBB16E4BC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96" authorId="496" shapeId="0" xr:uid="{5C60D14C-76A4-41A6-8C7E-6920C4E0920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96" authorId="497" shapeId="0" xr:uid="{9B5CB188-2974-4F62-BE78-1D7DE6FF2ED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96" authorId="498" shapeId="0" xr:uid="{5A6D4E41-8B99-40D6-BE12-33295403E64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297" authorId="499" shapeId="0" xr:uid="{CA561C5C-F127-4309-8A7D-F3A42A26F41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297" authorId="500" shapeId="0" xr:uid="{4103D81A-19FD-40AA-AF47-5625665F5DE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297" authorId="501" shapeId="0" xr:uid="{49CB10C1-0577-4D01-B27C-B5AE630673E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297" authorId="502" shapeId="0" xr:uid="{2E1C3407-118F-42D0-82F8-6B3B1AB58A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01" authorId="503" shapeId="0" xr:uid="{5AE7DAA8-69CB-4BF7-B1C9-34C868EBA0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01" authorId="504" shapeId="0" xr:uid="{BBC2AAC8-0E74-4142-B294-334C1698401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01" authorId="505" shapeId="0" xr:uid="{2BE573FD-48E4-4AF9-8428-B64F6A34B62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01" authorId="506" shapeId="0" xr:uid="{35B88000-02A0-4B54-AAC8-147F6250296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27" authorId="507" shapeId="0" xr:uid="{BE7AE08E-C90E-44F9-BB00-14458127A85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27" authorId="508" shapeId="0" xr:uid="{77D3BF90-2DE5-4DFC-A948-C3C3C21E2B0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27" authorId="509" shapeId="0" xr:uid="{FE3BFDBD-4D52-49BE-927F-3B2258EDA55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27" authorId="510" shapeId="0" xr:uid="{9696F645-4FE9-4F74-9FB8-6EDAE94471D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327" authorId="511" shapeId="0" xr:uid="{CF327A26-2EB6-40BD-8F4C-B126AEE76441}">
      <text>
        <t>[Threaded comment]
Your version of Excel allows you to read this threaded comment; however, any edits to it will get removed if the file is opened in a newer version of Excel. Learn more: https://go.microsoft.com/fwlink/?linkid=870924
Comment:
    Per PG &amp; NSG 2024 final NTG ratios. Value did not change from 2023 to 2024.</t>
      </text>
    </comment>
    <comment ref="AJ327" authorId="512" shapeId="0" xr:uid="{7ACF4F99-CBD2-4EBE-96E5-B2ED44E3F9F9}">
      <text>
        <t>[Threaded comment]
Your version of Excel allows you to read this threaded comment; however, any edits to it will get removed if the file is opened in a newer version of Excel. Learn more: https://go.microsoft.com/fwlink/?linkid=870924
Comment:
    Per PG &amp; NSG 2024 final NTG ratios. Value did not change from 2023 to 2024.</t>
      </text>
    </comment>
    <comment ref="X328" authorId="513" shapeId="0" xr:uid="{AC8DD438-83FA-4DBB-A859-C8F77626EE4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28" authorId="514" shapeId="0" xr:uid="{300C26E4-DD5D-4298-8EE9-0FF21CBCA3A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28" authorId="515" shapeId="0" xr:uid="{4318DCB5-AE87-464D-9F7E-8F1C7032829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28" authorId="516" shapeId="0" xr:uid="{6C87D16F-567E-4BBB-83DD-C363D1DF54F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29" authorId="517" shapeId="0" xr:uid="{D811963B-84A0-4C5A-9A74-A86E94CB140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29" authorId="518" shapeId="0" xr:uid="{52434316-42C6-4266-8586-92E425969BD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29" authorId="519" shapeId="0" xr:uid="{AB8807B3-9E85-48DF-B42F-490C0CFC1D4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29" authorId="520" shapeId="0" xr:uid="{74446463-EB17-4889-AA11-1ACACC1738F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30" authorId="521" shapeId="0" xr:uid="{299EC75D-04DE-4BC8-A74D-DE0BD197C34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30" authorId="522" shapeId="0" xr:uid="{1827B8B9-A7FB-45A4-A2B1-7D3C7ABC6A4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30" authorId="523" shapeId="0" xr:uid="{8758108A-5AA9-4526-A07B-31D9454D1B5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30" authorId="524" shapeId="0" xr:uid="{F197800E-E8B2-4372-B172-F69B2ACF2BB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31" authorId="525" shapeId="0" xr:uid="{B64C5261-D3EF-41B1-966D-66D7B29D0A4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31" authorId="526" shapeId="0" xr:uid="{AB747422-97F1-4C3E-BEA4-3377D35B978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31" authorId="527" shapeId="0" xr:uid="{C879E603-2608-4D2A-8DDD-5DB2F10B021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31" authorId="528" shapeId="0" xr:uid="{5B561BB9-736E-4D6C-B375-A6B8C35415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32" authorId="529" shapeId="0" xr:uid="{D8C169BF-8B41-4648-8346-0454026451E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32" authorId="530" shapeId="0" xr:uid="{3F7A6BD1-12D5-4041-A90B-F23C8DCC887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32" authorId="531" shapeId="0" xr:uid="{F1CB991A-55FF-4CDB-AD92-9AB10A6F327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32" authorId="532" shapeId="0" xr:uid="{9BF8D901-E0E3-4970-9F37-FAC36DF2B38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33" authorId="533" shapeId="0" xr:uid="{E263A455-CC55-4A73-8BE6-76A8292265F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33" authorId="534" shapeId="0" xr:uid="{DA036F75-833E-4155-9E4D-C68EC25892D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33" authorId="535" shapeId="0" xr:uid="{AFBC8CBC-12D9-4C62-AD9F-D69A92E0EBD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33" authorId="536" shapeId="0" xr:uid="{8E3F3BEF-68A8-42BB-972F-AD0C744DFD4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34" authorId="537" shapeId="0" xr:uid="{66FAD1B9-A43E-41C6-9371-791ADF6C063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34" authorId="538" shapeId="0" xr:uid="{A34C0997-2523-4DBA-8B9C-DC5E00AD531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34" authorId="539" shapeId="0" xr:uid="{CE13254E-F160-437D-875D-76688AE8C25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34" authorId="540" shapeId="0" xr:uid="{0426AC57-7669-40AD-971B-422857F2BB0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337" authorId="541" shapeId="0" xr:uid="{84B111CA-A622-4247-A580-F07DF90E6689}">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88%.</t>
      </text>
    </comment>
    <comment ref="AJ337" authorId="542" shapeId="0" xr:uid="{7E9C2829-1C80-4696-90FE-AE42E511AF39}">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88%.</t>
      </text>
    </comment>
    <comment ref="AI338" authorId="543" shapeId="0" xr:uid="{720A2EA3-2014-4511-AFF5-0A2E61F23929}">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J338" authorId="544" shapeId="0" xr:uid="{9E95EBD6-5EF2-4C1D-A3B4-92E7CF8ECE52}">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I339" authorId="545" shapeId="0" xr:uid="{74382E65-C10B-4DA3-8563-4E05CF0BBA33}">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J339" authorId="546" shapeId="0" xr:uid="{D625AAF8-1ADE-4AC9-9799-A2A00478B300}">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X343" authorId="547" shapeId="0" xr:uid="{E136E018-0627-4280-886D-7605F7077EC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43" authorId="548" shapeId="0" xr:uid="{10D6714E-74B9-44DC-8534-696605EEC9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43" authorId="549" shapeId="0" xr:uid="{87CC0EEF-CFAD-4E3C-89E5-E3D1AE578AC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43" authorId="550" shapeId="0" xr:uid="{0A8CB856-296C-4E0B-AC65-CBB649197FA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344" authorId="551" shapeId="0" xr:uid="{D20BD669-0551-4F56-AFA6-5C71385313CE}">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J344" authorId="552" shapeId="0" xr:uid="{6DEC53E2-3D77-423A-8FCC-636D14E1E178}">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I345" authorId="553" shapeId="0" xr:uid="{BFBF3266-496C-4B21-99DC-3D829253F60F}">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J345" authorId="554" shapeId="0" xr:uid="{6C4E6ECF-180A-48A4-B350-B66628AB9FCF}">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X346" authorId="555" shapeId="0" xr:uid="{2A8B49F1-E356-4376-BBCE-1C66B277070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46" authorId="556" shapeId="0" xr:uid="{200E6981-A6EC-4C2C-8271-B3960C6F971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46" authorId="557" shapeId="0" xr:uid="{29E20707-F51F-4DA2-9D05-BBE5DCC0DC9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46" authorId="558" shapeId="0" xr:uid="{E04D6023-222D-4720-9B2B-9C5A780EAD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47" authorId="559" shapeId="0" xr:uid="{88049AB8-7A45-4D08-A108-14FAC3895AE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47" authorId="560" shapeId="0" xr:uid="{2E2CC914-6597-450C-90DD-121CC58393A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47" authorId="561" shapeId="0" xr:uid="{B317671B-EF18-4E0F-BE38-A5F25438878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47" authorId="562" shapeId="0" xr:uid="{69EE5AE5-2FF8-427D-88F4-5F9D530A826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48" authorId="563" shapeId="0" xr:uid="{001B25A4-0FEE-406D-992B-68CD3B536F0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48" authorId="564" shapeId="0" xr:uid="{1442A63A-6BEE-4BB5-A6D0-D618DEC1DA9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48" authorId="565" shapeId="0" xr:uid="{B7796FB4-D666-4B0D-B18E-29650B3FC26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48" authorId="566" shapeId="0" xr:uid="{93AFFE27-6898-4FC6-986A-6B20822EC56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54" authorId="567" shapeId="0" xr:uid="{0DC7C07B-93DE-4B23-9C65-7DEE5FD359E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54" authorId="568" shapeId="0" xr:uid="{84BA6C97-E7AF-470A-9C42-0D5B500FDF1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54" authorId="569" shapeId="0" xr:uid="{1868234E-FB07-49A6-B4BC-E60ADED8E37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54" authorId="570" shapeId="0" xr:uid="{9A5EA82A-93B5-44AA-A685-D76837396E8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393" authorId="571" shapeId="0" xr:uid="{75F6622C-0A20-4D53-A38E-D37F484C48B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393" authorId="572" shapeId="0" xr:uid="{75F1B78E-24E1-43EB-A9BB-722A37F1004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393" authorId="573" shapeId="0" xr:uid="{3399A101-C5B4-4B70-8064-370CD65B583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393" authorId="574" shapeId="0" xr:uid="{070538B2-A491-48C2-B6E6-8CE76F9A1B6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H393" authorId="575" shapeId="0" xr:uid="{D1EB8E31-CE24-4F4B-A045-00A4BA6765F5}">
      <text>
        <t>[Threaded comment]
Your version of Excel allows you to read this threaded comment; however, any edits to it will get removed if the file is opened in a newer version of Excel. Learn more: https://go.microsoft.com/fwlink/?linkid=870924
Comment:
    2023 Guidehouse NTG</t>
      </text>
    </comment>
    <comment ref="AI393" authorId="576" shapeId="0" xr:uid="{CE806692-30E4-4186-BFDA-487B6811A222}">
      <text>
        <t>[Threaded comment]
Your version of Excel allows you to read this threaded comment; however, any edits to it will get removed if the file is opened in a newer version of Excel. Learn more: https://go.microsoft.com/fwlink/?linkid=870924
Comment:
    2023 Guidehouse NTG
Reply:
    Updated per PG &amp; NSG 2024 final NTG ratios. Previous value 87%.</t>
      </text>
    </comment>
    <comment ref="AJ393" authorId="577" shapeId="0" xr:uid="{6C52F1F5-7843-4CBD-B6C4-6CE045C1C8F1}">
      <text>
        <t>[Threaded comment]
Your version of Excel allows you to read this threaded comment; however, any edits to it will get removed if the file is opened in a newer version of Excel. Learn more: https://go.microsoft.com/fwlink/?linkid=870924
Comment:
    2023 Guidehouse NTG
Reply:
    Updated per PG &amp; NSG 2024 final NTG ratios. Previous value 87%.</t>
      </text>
    </comment>
    <comment ref="AI394" authorId="578" shapeId="0" xr:uid="{8492839E-E5D7-4E11-9231-711A0223AB41}">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394" authorId="579" shapeId="0" xr:uid="{6FA77F25-C37D-4DE9-A20C-28077AD4A52F}">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395" authorId="580" shapeId="0" xr:uid="{A71ED18B-82E9-43BD-9761-066809A7523B}">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395" authorId="581" shapeId="0" xr:uid="{3AD5CDC6-AACA-4E73-A915-B4B75C57ED7C}">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396" authorId="582" shapeId="0" xr:uid="{09832C84-227F-4843-9044-E865A1E431F9}">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396" authorId="583" shapeId="0" xr:uid="{09FD7249-990A-4DC2-BF8C-581E5FD5AF61}">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397" authorId="584" shapeId="0" xr:uid="{EA993046-5C05-48BD-93DF-75227B520EF0}">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397" authorId="585" shapeId="0" xr:uid="{DBC5CFBB-329F-41AA-9EF4-ED9000F0385C}">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398" authorId="586" shapeId="0" xr:uid="{CC2969CB-06CA-444B-853B-ED75DB3C224F}">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398" authorId="587" shapeId="0" xr:uid="{9E6C356B-B847-422A-A348-71B6C2621549}">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399" authorId="588" shapeId="0" xr:uid="{CC242C3F-49B9-40B9-9637-0C5B670FD5BC}">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399" authorId="589" shapeId="0" xr:uid="{9EE3404F-6C96-4304-B85F-B1C68DB2339C}">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00" authorId="590" shapeId="0" xr:uid="{9822796F-6A6E-4CF7-B713-136643825FB8}">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00" authorId="591" shapeId="0" xr:uid="{CC3E528F-12A7-486B-AF45-663BF66F3C45}">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01" authorId="592" shapeId="0" xr:uid="{3BA76838-FC75-4801-AA35-54864353C60E}">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01" authorId="593" shapeId="0" xr:uid="{426811C6-FBB4-40DC-B6A3-0FD4574036CC}">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02" authorId="594" shapeId="0" xr:uid="{88D61CF8-7E4E-4F4C-9611-803721C564F1}">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02" authorId="595" shapeId="0" xr:uid="{F4F8A6CF-CE33-4B1A-A7B6-251E4E0F9DD2}">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03" authorId="596" shapeId="0" xr:uid="{46D5B5FC-8B2E-4211-9415-030323EA76A4}">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03" authorId="597" shapeId="0" xr:uid="{FB836290-D1D3-46AA-BD3E-44F54A9861B5}">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04" authorId="598" shapeId="0" xr:uid="{BC9838CC-57F3-475D-A442-52682628E472}">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04" authorId="599" shapeId="0" xr:uid="{5C1E267D-6672-478A-B071-C7E2C5314523}">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05" authorId="600" shapeId="0" xr:uid="{B2F94B7D-B816-409C-9EF4-E4F9DCE4AF1E}">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05" authorId="601" shapeId="0" xr:uid="{C9805E35-4C5E-4BF3-B54A-467C482C1627}">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06" authorId="602" shapeId="0" xr:uid="{82200260-93EA-42B4-9C7C-D52263ABD866}">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06" authorId="603" shapeId="0" xr:uid="{287D6BF9-D1FE-4DA8-BF0B-E16F0866C697}">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07" authorId="604" shapeId="0" xr:uid="{60BCCF16-28DD-429D-A1AD-7B40BA25474A}">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07" authorId="605" shapeId="0" xr:uid="{3B0F0451-582F-4BB3-A37D-0745E36F3F4B}">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08" authorId="606" shapeId="0" xr:uid="{BAED4831-55D3-4704-8D81-A1D9C847CF93}">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08" authorId="607" shapeId="0" xr:uid="{B5B4D33E-5CA8-4987-8E60-4F0CBF673429}">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09" authorId="608" shapeId="0" xr:uid="{3D6FADFB-4225-4E96-BA64-2E720A735738}">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09" authorId="609" shapeId="0" xr:uid="{E4ABFA67-C429-44F2-B8A1-8A7CA357440C}">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10" authorId="610" shapeId="0" xr:uid="{E68AA097-0BBD-41A3-9146-80E78A175E55}">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10" authorId="611" shapeId="0" xr:uid="{A7009E0D-2A45-4585-A038-6524457A69C6}">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11" authorId="612" shapeId="0" xr:uid="{102F965B-FFFB-45E3-BA20-4EEB2C19D172}">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11" authorId="613" shapeId="0" xr:uid="{CE883D46-F3A8-47DF-BC89-7DDA6688738C}">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12" authorId="614" shapeId="0" xr:uid="{852E4B89-262D-47CA-BC07-7B6171751D06}">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12" authorId="615" shapeId="0" xr:uid="{1D7C8B73-6A47-42C1-B7D9-0F9EA23C2F95}">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13" authorId="616" shapeId="0" xr:uid="{FAEEE3C0-01D5-48E1-B3C8-9C2363191F38}">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13" authorId="617" shapeId="0" xr:uid="{540CB99A-5FB2-457D-94D2-0220C3F4F9FD}">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14" authorId="618" shapeId="0" xr:uid="{9735BBA9-E81E-453B-BC69-EE4249EB5D7C}">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14" authorId="619" shapeId="0" xr:uid="{B8F2AEF6-5175-46D7-A23F-6B2997A1ECB4}">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15" authorId="620" shapeId="0" xr:uid="{9D3EF746-D796-4D2B-A494-F345456C7530}">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15" authorId="621" shapeId="0" xr:uid="{23A73575-3838-4715-8ED0-C3FC40EF6FFF}">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16" authorId="622" shapeId="0" xr:uid="{11BDA4A9-7D7C-4789-96E4-7A248811D850}">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16" authorId="623" shapeId="0" xr:uid="{11F5E02E-41B2-4C5F-88CE-9AD8141BD316}">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17" authorId="624" shapeId="0" xr:uid="{B5DA54A1-002C-4176-AAB7-6DDE2972103E}">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17" authorId="625" shapeId="0" xr:uid="{20F8620B-BB08-446A-9333-3115A66CC666}">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18" authorId="626" shapeId="0" xr:uid="{B8B7E17E-8B60-4161-8211-262C6CAA0960}">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18" authorId="627" shapeId="0" xr:uid="{9BF193F7-ED2C-4875-9C8F-2693D337093E}">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19" authorId="628" shapeId="0" xr:uid="{058A695C-3082-4084-9226-B2E09C634076}">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19" authorId="629" shapeId="0" xr:uid="{C1DE750C-E775-4A3F-AAAA-40B70464056D}">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20" authorId="630" shapeId="0" xr:uid="{02728F94-1BE1-4A6F-AF78-E60A005F03CE}">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20" authorId="631" shapeId="0" xr:uid="{B072B6B6-72AE-45B4-90CF-80CE4EFB3568}">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21" authorId="632" shapeId="0" xr:uid="{093F7A9B-1B91-401C-9050-68355768CEEE}">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21" authorId="633" shapeId="0" xr:uid="{A9ABD435-6563-4E61-AD52-8B00105BFB35}">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I422" authorId="634" shapeId="0" xr:uid="{3B631728-B498-46BC-9E59-DE50E63CB5B6}">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AJ422" authorId="635" shapeId="0" xr:uid="{5F5CBF3F-8447-4A3B-B76C-CCE61001135C}">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87%.</t>
      </text>
    </comment>
    <comment ref="X535" authorId="636" shapeId="0" xr:uid="{232C586C-C91E-4EA1-A0C1-45916D1C879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35" authorId="637" shapeId="0" xr:uid="{E0787C80-7FFE-45BE-90AB-54A647E846E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35" authorId="638" shapeId="0" xr:uid="{60358C42-8002-45A0-980B-37E5A1EBB00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35" authorId="639" shapeId="0" xr:uid="{21B2A23C-A6EF-44F3-8DE5-C7872976764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36" authorId="640" shapeId="0" xr:uid="{36AB92CB-DB23-4768-8BCC-9BB9FE627C7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36" authorId="641" shapeId="0" xr:uid="{5F07BDDD-87E7-4841-B15A-3E9C5858F77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36" authorId="642" shapeId="0" xr:uid="{8FC694E4-3C5C-4AE6-9DA9-DE42FF99B84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36" authorId="643" shapeId="0" xr:uid="{57B704FE-5F16-4926-B238-F00C08AE80D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37" authorId="644" shapeId="0" xr:uid="{44B32361-753E-4E91-98D3-821EDAAE0AE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37" authorId="645" shapeId="0" xr:uid="{EFA1B8EA-C52D-42CE-A4CB-D2DBEDA8625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37" authorId="646" shapeId="0" xr:uid="{95D410A7-DB08-411A-9DBA-F8403581E3A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37" authorId="647" shapeId="0" xr:uid="{2B8D8A34-E24E-472E-B577-7BD7FB8B3F2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38" authorId="648" shapeId="0" xr:uid="{EDE863A3-4569-4CA2-9337-28F28DAB64B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38" authorId="649" shapeId="0" xr:uid="{BD02AAD0-E622-4C1F-959D-622156A86B3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38" authorId="650" shapeId="0" xr:uid="{40E18B3D-C9BA-47AF-AA5C-23C018D325C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38" authorId="651" shapeId="0" xr:uid="{83D2D605-FB90-41F7-8FA4-EC855AE227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39" authorId="652" shapeId="0" xr:uid="{62A1BE2C-6695-48E1-8437-0359CF129EB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39" authorId="653" shapeId="0" xr:uid="{78F46F42-EA21-433E-8506-72F7C864183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39" authorId="654" shapeId="0" xr:uid="{7F2675B5-43D1-472E-B2A5-8E464BD51B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39" authorId="655" shapeId="0" xr:uid="{5AB2ECA5-E505-4087-8A68-8544C464D6B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0" authorId="656" shapeId="0" xr:uid="{D990E07C-2AC4-4A9C-ACD8-933961430C6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0" authorId="657" shapeId="0" xr:uid="{3425864B-7848-40DC-889A-F77F0392AB7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0" authorId="658" shapeId="0" xr:uid="{ADC55B72-57B0-4E31-AAB0-2529A55F93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40" authorId="659" shapeId="0" xr:uid="{BBC7A37F-BFF0-45E6-A432-0383CD8BB99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1" authorId="660" shapeId="0" xr:uid="{249C9E66-C1E8-4AAB-8BE1-FAC783EEB2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1" authorId="661" shapeId="0" xr:uid="{3A6FF562-4197-4B59-B603-298FE13A54D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1" authorId="662" shapeId="0" xr:uid="{E5813693-CAAA-4FD7-8259-7ED545B939E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41" authorId="663" shapeId="0" xr:uid="{B97DFAE2-BCDE-4600-8CA3-63EE08B2AF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2" authorId="664" shapeId="0" xr:uid="{2CE51972-41E3-4B6B-A287-75B9103275E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2" authorId="665" shapeId="0" xr:uid="{316ABF7F-1889-4E97-ADDC-2145B5D8C93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2" authorId="666" shapeId="0" xr:uid="{B70FC299-5D52-45F3-95A9-57580B0B125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42" authorId="667" shapeId="0" xr:uid="{8D746E1F-84AE-4BC2-B0EA-EB6D19B656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3" authorId="668" shapeId="0" xr:uid="{8DFC6E8E-566C-404A-9580-41783EA142B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3" authorId="669" shapeId="0" xr:uid="{B54A681E-498E-40D6-A9B2-CBE3C08D9F0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3" authorId="670" shapeId="0" xr:uid="{828FC727-BCB4-4C43-B3A6-3E231F33CC1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43" authorId="671" shapeId="0" xr:uid="{6ABDD6CA-DA0C-4D90-B60D-A5166D6B684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4" authorId="672" shapeId="0" xr:uid="{5312FAD4-33B2-49BA-9945-0C6A9A6000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4" authorId="673" shapeId="0" xr:uid="{87777AC8-C66A-4081-BD1D-B1E9C4B9875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4" authorId="674" shapeId="0" xr:uid="{8ECA3198-1332-4915-AFD3-6E0FEC6FEC6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44" authorId="675" shapeId="0" xr:uid="{365550E1-DA66-49E1-B9C6-7DE3357299C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5" authorId="676" shapeId="0" xr:uid="{C80A1907-AFDF-4A1C-BE96-0BDA3FDF474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5" authorId="677" shapeId="0" xr:uid="{BC61B2C0-402D-4581-BD3C-13571ECEA6A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5" authorId="678" shapeId="0" xr:uid="{B46AE67B-D0B1-4AFA-8771-8AB80F7A7B6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45" authorId="679" shapeId="0" xr:uid="{4D76ADAA-FD12-4F1E-A6F4-04F5545786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6" authorId="680" shapeId="0" xr:uid="{FA18CF46-0108-4625-9DA7-D6F0C1F964D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6" authorId="681" shapeId="0" xr:uid="{938FFA4A-611D-4BC6-BBDD-E25A582FD2B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6" authorId="682" shapeId="0" xr:uid="{7EA605AA-A892-4198-953D-2365CA48A57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46" authorId="683" shapeId="0" xr:uid="{703C437D-653F-4826-86E4-BB249342E20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7" authorId="684" shapeId="0" xr:uid="{D239AF46-E1BB-47BA-BBD1-9DD4795C616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7" authorId="685" shapeId="0" xr:uid="{DF7ADA41-7C5C-4BF6-A0DB-C73C46B415D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7" authorId="686" shapeId="0" xr:uid="{DD21A92F-8C4A-4344-8EED-C9B9684FE56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47" authorId="687" shapeId="0" xr:uid="{942F629E-03A6-440E-89C1-816FCA80F9F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8" authorId="688" shapeId="0" xr:uid="{87E9477E-43E0-4087-85A2-6734BE76568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8" authorId="689" shapeId="0" xr:uid="{363F3308-036E-424A-B872-E3CFFC203E2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8" authorId="690" shapeId="0" xr:uid="{33CF82BA-F910-4447-BDF7-C2B5E314F84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48" authorId="691" shapeId="0" xr:uid="{3AAA7F9C-28F2-4DA5-B3E3-4AEE045F2C4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49" authorId="692" shapeId="0" xr:uid="{181D9097-A8D1-4159-A27D-84C51CAE7DA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49" authorId="693" shapeId="0" xr:uid="{C60913F9-97F6-4FF3-8722-2509194FCA4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49" authorId="694" shapeId="0" xr:uid="{601CBFD7-FEC1-4134-B1AE-3A029EA50E5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49" authorId="695" shapeId="0" xr:uid="{60E4EB3F-4A1E-46D9-A788-847CC45B100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0" authorId="696" shapeId="0" xr:uid="{06C767DF-2F5C-4400-B14C-2993D5089CE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0" authorId="697" shapeId="0" xr:uid="{4D76CCC1-81BF-40D7-BA57-565568CBB94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0" authorId="698" shapeId="0" xr:uid="{95138EA9-0A89-4833-96D1-B340A60B5C2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50" authorId="699" shapeId="0" xr:uid="{EE9B2556-BC09-4A79-AABB-5565B01F979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1" authorId="700" shapeId="0" xr:uid="{3497F20E-AFD0-49CF-A4C1-F452CAA6152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1" authorId="701" shapeId="0" xr:uid="{989614C3-7A7A-4AC6-8C93-5AD343A1C6E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1" authorId="702" shapeId="0" xr:uid="{1DC0E89B-061A-4998-94ED-814E35B59DA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51" authorId="703" shapeId="0" xr:uid="{44DC99BF-A9FB-473A-A476-6D4E812550D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2" authorId="704" shapeId="0" xr:uid="{3820308D-4012-4609-BAC1-0FDFD4383FD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2" authorId="705" shapeId="0" xr:uid="{FFF58108-A034-4A1C-A326-A1AAD7B2A14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2" authorId="706" shapeId="0" xr:uid="{8CD8E8F1-E606-437B-98CC-CEEB8F428A8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52" authorId="707" shapeId="0" xr:uid="{AC9AFE20-E806-4DAD-A436-3F242491331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3" authorId="708" shapeId="0" xr:uid="{484E4258-F65E-4D3B-A96B-FB93B4BEB74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3" authorId="709" shapeId="0" xr:uid="{CAFA458D-C6C8-4034-BCCD-49D4572B2BC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3" authorId="710" shapeId="0" xr:uid="{6FC766D3-4848-4E5D-9A38-65761A317DF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53" authorId="711" shapeId="0" xr:uid="{BA3237E3-FD55-49EA-9C76-7AACB79E259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4" authorId="712" shapeId="0" xr:uid="{DB289F45-8BA5-44F9-B73A-762F0B31EF8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4" authorId="713" shapeId="0" xr:uid="{93B7F459-37FA-404A-8B10-BC1FD0F9293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4" authorId="714" shapeId="0" xr:uid="{056FC4A0-EB9D-4040-A71E-09A0A6A72F7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54" authorId="715" shapeId="0" xr:uid="{AA622CA3-237B-4F14-B44E-3E1FE523E01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5" authorId="716" shapeId="0" xr:uid="{709AEFCA-AE36-4DE6-B46B-E689FE45B7A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5" authorId="717" shapeId="0" xr:uid="{1D1FB12C-278A-45C5-B757-3857E1A6F50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5" authorId="718" shapeId="0" xr:uid="{C89C53F8-9DB6-4044-A430-EC58A46C6E9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55" authorId="719" shapeId="0" xr:uid="{20A54566-E19A-4482-9913-89F15CAE763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6" authorId="720" shapeId="0" xr:uid="{89A495D5-A989-4014-9E65-2A7A787718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6" authorId="721" shapeId="0" xr:uid="{443902B8-7296-4523-914E-8C23430A401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6" authorId="722" shapeId="0" xr:uid="{540CA247-150A-4636-95D0-3A9C5327A1F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56" authorId="723" shapeId="0" xr:uid="{40AE3C53-3F52-4CF7-AFD0-A0FE40DA27D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7" authorId="724" shapeId="0" xr:uid="{D2754904-6471-48CE-A6CD-AD3D408A850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7" authorId="725" shapeId="0" xr:uid="{0C72A536-0AFA-41A4-815A-42CEA9B73D9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7" authorId="726" shapeId="0" xr:uid="{C6DC3DA5-F566-4948-BD4F-5FA379CF3E1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57" authorId="727" shapeId="0" xr:uid="{0DE3A6D9-58AC-426E-9072-1A4399C8C9A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8" authorId="728" shapeId="0" xr:uid="{34CF9396-76C4-4BD4-9CF9-0E599D42A7D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8" authorId="729" shapeId="0" xr:uid="{ECA6F232-0816-487A-8163-9891C0A2FD4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8" authorId="730" shapeId="0" xr:uid="{AC8669A0-CF73-4B23-816D-BE91E47F9DF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58" authorId="731" shapeId="0" xr:uid="{B29C88BF-6B0B-4F2D-9901-393D47ECD9D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59" authorId="732" shapeId="0" xr:uid="{9AD4B463-E9A9-427E-8BD4-1D593571F3F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59" authorId="733" shapeId="0" xr:uid="{137B2AE0-A696-4A87-B762-F83D8F06AE8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59" authorId="734" shapeId="0" xr:uid="{6ECE6370-73DA-494D-80F7-26437AE5F6A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59" authorId="735" shapeId="0" xr:uid="{AA85111E-C2DF-452F-B296-0DA1C9C5112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0" authorId="736" shapeId="0" xr:uid="{8E4038CD-9B0D-402D-B276-D8B4E57C311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0" authorId="737" shapeId="0" xr:uid="{E212A032-05CE-45F8-B045-E7354862E95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0" authorId="738" shapeId="0" xr:uid="{F6337C3B-444F-40AD-8B00-BDC2B373D66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60" authorId="739" shapeId="0" xr:uid="{BEEE3ABE-CC28-4E9E-A7CF-57B2DDDBE46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1" authorId="740" shapeId="0" xr:uid="{DFF38EEA-18FB-48C8-AAC7-F3F41A7FEE1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1" authorId="741" shapeId="0" xr:uid="{2BD46A12-595E-4097-9F74-0A984FB1548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1" authorId="742" shapeId="0" xr:uid="{1301540D-C484-4A7E-BE4B-85F2F3CC985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61" authorId="743" shapeId="0" xr:uid="{2C6B4CDA-FA81-43E1-9599-B8CD4E83B78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2" authorId="744" shapeId="0" xr:uid="{6C34F67C-2851-4B04-9254-9B0D90B9386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2" authorId="745" shapeId="0" xr:uid="{FB779146-6F5D-4BD2-92BC-3A8629DF575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2" authorId="746" shapeId="0" xr:uid="{EDE85E29-3257-47E5-9BF4-BD8471D44C5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62" authorId="747" shapeId="0" xr:uid="{11E3CA4F-2347-4463-BAFB-6A8BCBCAA74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3" authorId="748" shapeId="0" xr:uid="{FC4D2AA3-D77F-43A4-BBAA-527A3F1CEF4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3" authorId="749" shapeId="0" xr:uid="{254503A2-CE47-434B-957C-CB0FE7DF5D2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3" authorId="750" shapeId="0" xr:uid="{BD54019B-FE57-4EC9-9A19-05524405B29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63" authorId="751" shapeId="0" xr:uid="{E81BD402-6611-4327-A9AF-6E327EE79E2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4" authorId="752" shapeId="0" xr:uid="{3F87F835-8382-4449-823B-A021F751F7A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4" authorId="753" shapeId="0" xr:uid="{34D26764-41E9-4DF8-B19B-EFCBA82A367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4" authorId="754" shapeId="0" xr:uid="{E0C8C35F-3E2A-40D6-BA3B-B040A8017D9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64" authorId="755" shapeId="0" xr:uid="{8F841CE9-3BDE-4BAB-9D13-6F20AB9E455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5" authorId="756" shapeId="0" xr:uid="{EFFE9C55-BDA4-4EEF-BE13-76C1985C4E6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5" authorId="757" shapeId="0" xr:uid="{F4CAB3D2-FD14-45DB-9283-88639EC1AFE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5" authorId="758" shapeId="0" xr:uid="{DA76A768-00DF-4C45-A26F-E3C4CED6BE2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65" authorId="759" shapeId="0" xr:uid="{C29769D0-340C-4CDC-B0B9-0B735AD2BC9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6" authorId="760" shapeId="0" xr:uid="{2013C1FC-616C-4A48-A8F6-9039ABAFACB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6" authorId="761" shapeId="0" xr:uid="{BC6D0AB2-9488-454E-A928-81AA3CAA084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6" authorId="762" shapeId="0" xr:uid="{5E1457F9-C620-40E9-A42B-2AF6715570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66" authorId="763" shapeId="0" xr:uid="{3AA5FFDD-E7A4-426B-B2E4-65453A61577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7" authorId="764" shapeId="0" xr:uid="{FDE00DC6-7CE2-49F5-9746-41104AEE67C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7" authorId="765" shapeId="0" xr:uid="{551AD92F-77CA-4E35-B8E5-E9C9D42762C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7" authorId="766" shapeId="0" xr:uid="{379B46F1-2560-4890-ABEE-D9319D5B722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67" authorId="767" shapeId="0" xr:uid="{1D1C8F4C-FB5E-402B-AE92-1E8C332ACFA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8" authorId="768" shapeId="0" xr:uid="{F54EDD82-BA83-440C-97A5-5A9DFDB6A59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8" authorId="769" shapeId="0" xr:uid="{C55858AB-1AD0-4061-91FD-C8F55F5DE97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8" authorId="770" shapeId="0" xr:uid="{38F9AE3E-60BB-4C86-94EC-7A19290CC63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68" authorId="771" shapeId="0" xr:uid="{60028B6B-0226-4A7C-BA13-1CF112BAC69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69" authorId="772" shapeId="0" xr:uid="{22023A49-5E68-49DB-9103-2F0E862A6D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69" authorId="773" shapeId="0" xr:uid="{49174512-FFF5-4A4C-82D2-6A4199F5643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69" authorId="774" shapeId="0" xr:uid="{30CFD9C7-1BE3-4841-8248-7B023627545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69" authorId="775" shapeId="0" xr:uid="{47579231-AA4D-4AF2-BE65-8C2E8F13B91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0" authorId="776" shapeId="0" xr:uid="{EF8CFFFD-2A27-4D0F-A3CA-2643B947E1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0" authorId="777" shapeId="0" xr:uid="{4D9E18AD-E85D-4FE5-836A-B9AA4F798A5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0" authorId="778" shapeId="0" xr:uid="{8AC1906B-9BCA-479E-B429-DAF771289C1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70" authorId="779" shapeId="0" xr:uid="{E3198751-6258-4E8A-A192-83C1588452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1" authorId="780" shapeId="0" xr:uid="{068FDB22-E5B7-4038-98BA-17A725E6D6B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1" authorId="781" shapeId="0" xr:uid="{684E167D-9142-4410-BFB2-7914A549927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1" authorId="782" shapeId="0" xr:uid="{B0C7822D-492F-42BF-9D1F-F91060CE852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71" authorId="783" shapeId="0" xr:uid="{2262CAF4-D224-4038-942A-971D0DC616E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2" authorId="784" shapeId="0" xr:uid="{751B884C-4FA0-45E2-BCBD-775C5852018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2" authorId="785" shapeId="0" xr:uid="{5B5F613D-D8AD-4B67-9320-547D137B9B8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2" authorId="786" shapeId="0" xr:uid="{34C86527-3B46-4E32-9AC6-9E7FF3B6FC0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72" authorId="787" shapeId="0" xr:uid="{0F3E13D5-CC5C-4BD8-A231-D9CDF1071B5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3" authorId="788" shapeId="0" xr:uid="{5C83FDC8-6DE1-44D0-83AB-2E86D67120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3" authorId="789" shapeId="0" xr:uid="{256C6A6F-0946-4F8A-8CDD-88E5998C435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3" authorId="790" shapeId="0" xr:uid="{30175296-B4BC-4A9A-A665-23A8EB6C56F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73" authorId="791" shapeId="0" xr:uid="{91415670-5D80-44BB-9241-B1E24835661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4" authorId="792" shapeId="0" xr:uid="{308C299F-9B5A-45F1-BF8B-002150639BE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4" authorId="793" shapeId="0" xr:uid="{F03F25D8-3189-4754-8FC5-58426CD2B1B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4" authorId="794" shapeId="0" xr:uid="{44882D3F-0CF5-4C75-AD23-F07A7EEFC91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74" authorId="795" shapeId="0" xr:uid="{34F24A8A-68A2-42D3-A4B5-15DEE882647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5" authorId="796" shapeId="0" xr:uid="{0A629A78-283F-4E1C-AB9F-2C64E32C52F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5" authorId="797" shapeId="0" xr:uid="{00F3E52F-B7EF-4BF7-BD1D-AA804374291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5" authorId="798" shapeId="0" xr:uid="{00B33A8D-FA6C-4C83-B417-FF350F0F6AF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75" authorId="799" shapeId="0" xr:uid="{F915634F-BAD7-480C-8246-C865B89CEF4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6" authorId="800" shapeId="0" xr:uid="{F68632B3-D380-42DF-8BC2-647BABD203A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6" authorId="801" shapeId="0" xr:uid="{02A24BE4-25D9-45B8-840B-5497C970ED5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6" authorId="802" shapeId="0" xr:uid="{CB51373B-BFE7-4339-B4AC-ED82B326EF4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76" authorId="803" shapeId="0" xr:uid="{9BE7427D-528C-4ABE-BD6D-7EDB4D9FE65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7" authorId="804" shapeId="0" xr:uid="{43A64E2A-AB00-452B-A2AE-FC2815C73F5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7" authorId="805" shapeId="0" xr:uid="{CD0EE354-E25E-4820-B6A9-24B7B10DF53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7" authorId="806" shapeId="0" xr:uid="{94BA9317-088A-424B-B1E9-E3B909B313A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77" authorId="807" shapeId="0" xr:uid="{BEAB3D8A-DA84-4CDA-BC05-610FA7363B4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8" authorId="808" shapeId="0" xr:uid="{DFD060E6-7711-4B86-8AE6-75FCC0A72B4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8" authorId="809" shapeId="0" xr:uid="{2C8AF045-4A05-4983-AB1B-4AB7D396EFF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8" authorId="810" shapeId="0" xr:uid="{5D7F8912-1CF7-4F84-B917-6C13F285126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78" authorId="811" shapeId="0" xr:uid="{15B3E099-3A76-437B-9079-08DDB86E3C4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79" authorId="812" shapeId="0" xr:uid="{B58612D1-1BAC-4FB5-85BA-1E863D715EB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79" authorId="813" shapeId="0" xr:uid="{E89B0C46-DAC7-46F3-B159-658377979A4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79" authorId="814" shapeId="0" xr:uid="{9AB3FD58-EDF5-4FD8-A762-19F0C0C1B57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79" authorId="815" shapeId="0" xr:uid="{CD940079-C16B-4F4E-BEA0-9F2242883DF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80" authorId="816" shapeId="0" xr:uid="{47517254-B3B1-43E1-A412-82913301DDC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80" authorId="817" shapeId="0" xr:uid="{38962781-E1FB-478A-AE8F-5E192A78BCD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80" authorId="818" shapeId="0" xr:uid="{355CDBC9-105E-458A-B902-CDA0647E556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80" authorId="819" shapeId="0" xr:uid="{30F225AA-B3BA-43DF-AA38-B879BF83F36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81" authorId="820" shapeId="0" xr:uid="{EFFCB46E-C61D-40EC-83DB-1E21C864DF6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81" authorId="821" shapeId="0" xr:uid="{86ABD1D7-B26A-4E88-8FC8-46593B2A11B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81" authorId="822" shapeId="0" xr:uid="{20DAC89F-B8BA-4EE7-AE50-4BBC022A190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81" authorId="823" shapeId="0" xr:uid="{9D96D735-C47C-45CE-B67F-5F54FA28664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582" authorId="824" shapeId="0" xr:uid="{728E685A-BC70-4D49-8D5E-0BACE25B011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582" authorId="825" shapeId="0" xr:uid="{5277A5C7-C289-45D6-98F0-EDABC2F87A9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582" authorId="826" shapeId="0" xr:uid="{B8A09844-688C-4780-B211-0B8B112104C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582" authorId="827" shapeId="0" xr:uid="{4E634543-2EF3-424F-93C7-7A9351175FB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582" authorId="828" shapeId="0" xr:uid="{CF160A84-1510-41DA-8E95-44FCDF805296}">
      <text>
        <t>[Threaded comment]
Your version of Excel allows you to read this threaded comment; however, any edits to it will get removed if the file is opened in a newer version of Excel. Learn more: https://go.microsoft.com/fwlink/?linkid=870924
Comment:
    Per PG &amp; NSG 2024 final NTG ratios. Value did not change from 2023 to 2024.</t>
      </text>
    </comment>
    <comment ref="AJ582" authorId="829" shapeId="0" xr:uid="{967EC74B-AB43-4D35-864F-3E8438A23047}">
      <text>
        <t>[Threaded comment]
Your version of Excel allows you to read this threaded comment; however, any edits to it will get removed if the file is opened in a newer version of Excel. Learn more: https://go.microsoft.com/fwlink/?linkid=870924
Comment:
    Per PG &amp; NSG 2024 final NTG ratios. Value did not change from 2023 to 2024.</t>
      </text>
    </comment>
    <comment ref="X620" authorId="830" shapeId="0" xr:uid="{7586A35D-3E4E-4F63-B200-522B848213D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0" authorId="831" shapeId="0" xr:uid="{84D89414-2EE4-4AB0-8AC9-4E18C4BB42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0" authorId="832" shapeId="0" xr:uid="{8066F5A6-5831-44C9-A6AA-6AB24050DA9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20" authorId="833" shapeId="0" xr:uid="{1F2CEC20-84F1-4332-8065-5B0FB05B8CF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1" authorId="834" shapeId="0" xr:uid="{9D92FB41-70A0-4EBE-A91D-AA64374FACA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1" authorId="835" shapeId="0" xr:uid="{26138B28-7272-4B5F-8E5E-7960583AC1F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1" authorId="836" shapeId="0" xr:uid="{0E68C01D-9129-4FAD-9C48-9320AC7E79B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21" authorId="837" shapeId="0" xr:uid="{FEDE057D-075B-4460-8088-E33062C9CBD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2" authorId="838" shapeId="0" xr:uid="{D54B8507-5A3B-46A0-939F-C253ACC9502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2" authorId="839" shapeId="0" xr:uid="{A723ED18-BFBF-4CC7-83F3-9677BB75E88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2" authorId="840" shapeId="0" xr:uid="{D111F904-991B-487B-8F60-F676E06F2B6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22" authorId="841" shapeId="0" xr:uid="{1B8D5032-D0E0-4DA0-AF0E-703E97B5731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3" authorId="842" shapeId="0" xr:uid="{41A09C4A-F0B2-4F4D-A9D4-5DFF334B6E5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3" authorId="843" shapeId="0" xr:uid="{1DD31F03-5422-4D66-9BA5-69A8E6DC0D6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3" authorId="844" shapeId="0" xr:uid="{19D2E69F-0FCA-4C97-B03B-7A387A3B342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23" authorId="845" shapeId="0" xr:uid="{213FD449-07E8-469F-BEBA-BBF353334DA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4" authorId="846" shapeId="0" xr:uid="{8BDD865C-5097-49C4-8F24-9E022633B79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4" authorId="847" shapeId="0" xr:uid="{61B32DA4-783D-40E5-BBC9-9C3F3E8B07F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4" authorId="848" shapeId="0" xr:uid="{F16F2FE4-6192-405A-8699-0C6AA513371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24" authorId="849" shapeId="0" xr:uid="{0C7C56E9-611F-4F67-B14D-43C3ABF3BCC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5" authorId="850" shapeId="0" xr:uid="{97943B10-3D5B-4220-BD6F-24B5F9C9C77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5" authorId="851" shapeId="0" xr:uid="{A6AEAF4A-0265-458B-AC06-DA26968B3DE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5" authorId="852" shapeId="0" xr:uid="{8082718A-C7BC-4ED3-A119-CE5DE513FE3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25" authorId="853" shapeId="0" xr:uid="{98B3553F-8E19-4160-ADB5-78450F4DD3C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6" authorId="854" shapeId="0" xr:uid="{81F9F1CB-F904-4E05-87F4-6768694D833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6" authorId="855" shapeId="0" xr:uid="{D71A4537-BCBD-43EA-8C80-8B28C1344BA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6" authorId="856" shapeId="0" xr:uid="{34428777-F8A1-4A73-963B-6CF472FE855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26" authorId="857" shapeId="0" xr:uid="{C10E944A-4508-49C8-B7CD-850C410D04D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7" authorId="858" shapeId="0" xr:uid="{00B09F7F-D651-4256-8422-08727EB1673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7" authorId="859" shapeId="0" xr:uid="{1750AEA3-0C49-4F07-A9D6-7D6F26D0D8B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7" authorId="860" shapeId="0" xr:uid="{43928FC5-1B44-479B-A3FD-A1949C816A7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27" authorId="861" shapeId="0" xr:uid="{0D9A0F84-F545-4D8E-9C7F-AC1406557D1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8" authorId="862" shapeId="0" xr:uid="{9FB3E068-8ABF-4907-B66F-93F84026063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8" authorId="863" shapeId="0" xr:uid="{6C6685D6-BBA9-42F4-8B8F-1CA541E59F4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8" authorId="864" shapeId="0" xr:uid="{0FFB1350-4A60-447D-8E69-FD4304309DC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28" authorId="865" shapeId="0" xr:uid="{4EC51376-A75E-48DD-8C6F-86DDF95DBB0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29" authorId="866" shapeId="0" xr:uid="{01E4F022-2B6F-4CCF-9B3A-48A87C76CBB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29" authorId="867" shapeId="0" xr:uid="{7738C45C-5F8F-42C4-9AB3-BBE59AEB610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29" authorId="868" shapeId="0" xr:uid="{01904AB2-7459-4E90-9C28-BD0BE015A91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29" authorId="869" shapeId="0" xr:uid="{CB3F4005-FB2F-4B1C-8F68-3AF2A88477B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0" authorId="870" shapeId="0" xr:uid="{83D6B5FC-AED9-445B-9BA8-7F2BC5FB465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0" authorId="871" shapeId="0" xr:uid="{5CCFF448-39E4-478A-9646-2548B3C5704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0" authorId="872" shapeId="0" xr:uid="{97A614BA-F588-4593-9AF6-43856A6A555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30" authorId="873" shapeId="0" xr:uid="{5675136E-1090-4744-8ECA-18EF6DBE995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1" authorId="874" shapeId="0" xr:uid="{C808D3E5-1C56-434F-8856-DCA9376BDC5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1" authorId="875" shapeId="0" xr:uid="{6C275FAC-75FA-4BAA-B343-0EAD93A825B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1" authorId="876" shapeId="0" xr:uid="{1C97CB5C-4AB2-468B-B7EF-C457802CB2B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31" authorId="877" shapeId="0" xr:uid="{59B6FEEE-455D-465D-9352-6E4E06C2058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2" authorId="878" shapeId="0" xr:uid="{F3757003-AB67-464A-8710-EDAD426F009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2" authorId="879" shapeId="0" xr:uid="{30433DCC-AFD0-40FB-8479-12276B6DE66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2" authorId="880" shapeId="0" xr:uid="{4D7CD110-B37F-42DC-BD5D-3ADDE81CC6B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32" authorId="881" shapeId="0" xr:uid="{525F4D03-FECB-4909-B185-45F4523D0D0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3" authorId="882" shapeId="0" xr:uid="{1913A825-C96B-4547-BAD6-0094941D868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3" authorId="883" shapeId="0" xr:uid="{B174983B-C1DD-4FFA-8F92-5362E6782EE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3" authorId="884" shapeId="0" xr:uid="{5446D855-8EC7-4AE1-9186-0AAAFA23E46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33" authorId="885" shapeId="0" xr:uid="{2D80103A-FD24-4DAB-A1D2-6DCE4ABE9CF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4" authorId="886" shapeId="0" xr:uid="{A5C3CE45-758D-4F7D-9EF1-E4417D24976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4" authorId="887" shapeId="0" xr:uid="{9C585D32-5A86-439E-AC3D-D43BEFC137E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4" authorId="888" shapeId="0" xr:uid="{7A377D93-43B5-44F1-A096-DB7456FD67B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34" authorId="889" shapeId="0" xr:uid="{B02A94C2-64D2-4F05-B732-AC85F80A471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5" authorId="890" shapeId="0" xr:uid="{A7525D9C-DE77-43D7-A335-E43DB91E9D0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5" authorId="891" shapeId="0" xr:uid="{CD9511F0-9DBD-4A32-BA0E-0A3C72259EA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5" authorId="892" shapeId="0" xr:uid="{8CAD5376-2D67-44AD-A6BF-9B66AE83368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35" authorId="893" shapeId="0" xr:uid="{5FDBC804-8616-4227-8C66-25510E85B6D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6" authorId="894" shapeId="0" xr:uid="{070F3CDF-91DE-44A4-9117-ADA771A9F8E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6" authorId="895" shapeId="0" xr:uid="{7709CC18-7649-426C-B508-B3F8F7BA2C2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6" authorId="896" shapeId="0" xr:uid="{8869520E-789A-4ED4-AE10-B819C46A62F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36" authorId="897" shapeId="0" xr:uid="{4BBD236D-32F3-429A-A74D-6822375686B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7" authorId="898" shapeId="0" xr:uid="{C984D285-A4BE-48E2-A955-B09E482EAD4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7" authorId="899" shapeId="0" xr:uid="{CD221F86-EA90-4232-B7A2-868705558A2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7" authorId="900" shapeId="0" xr:uid="{008FE716-4B6F-47A4-B782-8237BAA1ED6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37" authorId="901" shapeId="0" xr:uid="{99931B60-EE9D-4E60-B748-1A76C41192C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8" authorId="902" shapeId="0" xr:uid="{A5B264D7-4FFA-4D11-90CF-8A6E3288DB0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8" authorId="903" shapeId="0" xr:uid="{3069EAF3-074D-456B-9037-A104F427B04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8" authorId="904" shapeId="0" xr:uid="{9FDF21F2-357A-4F8F-85F1-DB1893A8C43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38" authorId="905" shapeId="0" xr:uid="{2D2A62AA-D5D6-45B1-ACF5-D7929BA90D8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39" authorId="906" shapeId="0" xr:uid="{9A0921E9-E82B-4781-AC9F-7510A9F4715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39" authorId="907" shapeId="0" xr:uid="{1C2E97DB-3E57-47DD-BAC2-188D92A23DB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39" authorId="908" shapeId="0" xr:uid="{7B6FB97C-39A9-4109-B123-0ED2DDEEED4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39" authorId="909" shapeId="0" xr:uid="{5C15B033-F90F-4E54-A2C8-797E7BABB2E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0" authorId="910" shapeId="0" xr:uid="{D771A400-A047-4322-8600-97D50B595DA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0" authorId="911" shapeId="0" xr:uid="{96CE0F4B-6783-4D42-AF32-71DC2AD15D2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0" authorId="912" shapeId="0" xr:uid="{9FE8109E-CA5B-44B5-BAE6-29A87569FF1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40" authorId="913" shapeId="0" xr:uid="{9030E473-5802-429C-AD2A-0C8237C8EDC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1" authorId="914" shapeId="0" xr:uid="{C6FBC07D-BA57-4FC5-B204-7A249E2E970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1" authorId="915" shapeId="0" xr:uid="{982CC450-78AE-41DF-A4DB-D854489D9B9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1" authorId="916" shapeId="0" xr:uid="{E2CC06C3-1529-4E63-9230-376E0ADCB72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41" authorId="917" shapeId="0" xr:uid="{F1EBBA93-7798-463E-8204-EA6D5EDBFE5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2" authorId="918" shapeId="0" xr:uid="{FAC565F8-EAAE-4DB0-AB62-9D013936AF5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2" authorId="919" shapeId="0" xr:uid="{462B75D9-143A-4F06-8B24-0BA269108C6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2" authorId="920" shapeId="0" xr:uid="{80FF6120-DBCC-4E40-82A8-4D10EE41E6D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42" authorId="921" shapeId="0" xr:uid="{F4990CC1-71AB-4A55-8006-7F1AE65AB97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3" authorId="922" shapeId="0" xr:uid="{DC969B9E-A402-40E3-AA26-C8E479D1F7B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3" authorId="923" shapeId="0" xr:uid="{E4355A4E-E61F-45CD-ACE8-4FF6FD314F2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3" authorId="924" shapeId="0" xr:uid="{86BA0F17-EA69-498E-A337-8B48B0FD9CD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43" authorId="925" shapeId="0" xr:uid="{70B3D3BF-B745-46A4-88A1-F096CAED13C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4" authorId="926" shapeId="0" xr:uid="{7859F736-DC7A-4C20-BD77-A60AEB563AE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4" authorId="927" shapeId="0" xr:uid="{9B1C393E-C5F0-419B-83A8-3BBDAAA4233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4" authorId="928" shapeId="0" xr:uid="{A54C320C-0E80-428C-AC69-AC3EA81F846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44" authorId="929" shapeId="0" xr:uid="{1B692CFB-6F3E-460B-AC09-19957307AE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5" authorId="930" shapeId="0" xr:uid="{04AD80CE-A641-427B-9ECE-1DAD5D30465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5" authorId="931" shapeId="0" xr:uid="{972E23C3-9046-4E3F-BCE1-0F27E4D7215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5" authorId="932" shapeId="0" xr:uid="{CCC91BEC-AF4D-40F9-B4E8-C4E0F4D4E56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45" authorId="933" shapeId="0" xr:uid="{1E854BDC-DEEB-4673-AA66-6A78BAE5380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6" authorId="934" shapeId="0" xr:uid="{42E16F34-BAB1-48CD-A9EC-365E20FE0BB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6" authorId="935" shapeId="0" xr:uid="{195BA58E-00CA-44D6-8726-E547CD33FE0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6" authorId="936" shapeId="0" xr:uid="{4A5B9602-CE83-4972-BF58-D4183AE4CBC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46" authorId="937" shapeId="0" xr:uid="{20D1D592-015E-4271-9718-302C2B2C1FE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7" authorId="938" shapeId="0" xr:uid="{DB435D9B-4A58-479E-9C05-B0DCC4E1FF0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7" authorId="939" shapeId="0" xr:uid="{57C484FD-91DB-4E9C-B7E7-27748AC41AC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7" authorId="940" shapeId="0" xr:uid="{C9756564-3F0C-400D-A5E4-EAB2655107F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47" authorId="941" shapeId="0" xr:uid="{6CDC08A8-9302-4267-A6F4-14D9D6AEDE5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8" authorId="942" shapeId="0" xr:uid="{234BDAC0-BB76-4A05-99BD-E1EC3AF324F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8" authorId="943" shapeId="0" xr:uid="{18BAD878-F7D4-4085-B20E-CF905208EE9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8" authorId="944" shapeId="0" xr:uid="{572FE990-F62A-4E9F-B027-0919B32A245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48" authorId="945" shapeId="0" xr:uid="{D6281047-E01B-4947-8C58-D6236DDA397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49" authorId="946" shapeId="0" xr:uid="{5054F597-24AA-4D60-854D-41964791FFD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49" authorId="947" shapeId="0" xr:uid="{F9F900EC-CE8F-48D3-AD85-A3504F7AC8E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49" authorId="948" shapeId="0" xr:uid="{01D33B19-DFE0-41F7-B580-19B703950B0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49" authorId="949" shapeId="0" xr:uid="{6757884D-A6F5-4EB7-859D-7D71188C933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0" authorId="950" shapeId="0" xr:uid="{0F12A704-82CB-48BC-9484-55916E61040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0" authorId="951" shapeId="0" xr:uid="{DBD4FCBB-914C-4BD8-B89A-CDA10FC6F31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0" authorId="952" shapeId="0" xr:uid="{31F430D9-94C5-444B-9EC5-D45B0FFBCC4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50" authorId="953" shapeId="0" xr:uid="{3FCC8465-91C7-4AFD-A361-84E60E3A316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1" authorId="954" shapeId="0" xr:uid="{5D994BD8-B3AC-469D-AC15-7BFDB25E94B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1" authorId="955" shapeId="0" xr:uid="{4B0F2F06-1BE4-4BA4-ABFF-16A240E2862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1" authorId="956" shapeId="0" xr:uid="{17F427D3-451B-4987-9873-7787D755D4D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51" authorId="957" shapeId="0" xr:uid="{848FAB2F-F941-4169-838D-E658B323CCD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2" authorId="958" shapeId="0" xr:uid="{531A2C22-BD10-4000-93F9-568300D0237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2" authorId="959" shapeId="0" xr:uid="{192D133D-BCE1-4CE5-8234-A0E0417207D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2" authorId="960" shapeId="0" xr:uid="{60105FAE-0F5C-408B-91FD-A620A402774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52" authorId="961" shapeId="0" xr:uid="{BE099397-96D7-42CB-8270-DB7418EBBBE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3" authorId="962" shapeId="0" xr:uid="{43B4EF1D-CFA1-4587-AC4D-D0A3DDFF23E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3" authorId="963" shapeId="0" xr:uid="{765EDFAC-40BA-4051-9B1A-E3B7FC61EBE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3" authorId="964" shapeId="0" xr:uid="{0236357C-575D-4746-A49E-003D273DEAD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53" authorId="965" shapeId="0" xr:uid="{545A99B7-A585-4722-9F4C-0C46862A69F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4" authorId="966" shapeId="0" xr:uid="{66643C01-BD18-4516-AF1B-DA60EAE331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4" authorId="967" shapeId="0" xr:uid="{E1569F55-A1EB-46AD-BDC4-8F3B15CD086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4" authorId="968" shapeId="0" xr:uid="{7D22D5CD-0761-407D-BC02-1926D0DD955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54" authorId="969" shapeId="0" xr:uid="{30B0D966-62B4-4AE5-B74B-ED83DBC4BEC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5" authorId="970" shapeId="0" xr:uid="{0733E592-8B18-4824-BDDB-172607F9E67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5" authorId="971" shapeId="0" xr:uid="{E784430A-E733-47B6-AB55-0C72073165D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5" authorId="972" shapeId="0" xr:uid="{9652036E-1282-4FD6-9B5A-03802254CC5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55" authorId="973" shapeId="0" xr:uid="{1DD7F6B7-82AC-4EB6-A7D4-05DBBA93A8E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6" authorId="974" shapeId="0" xr:uid="{99348C0F-0810-4DAF-9D4E-A34613F00CC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6" authorId="975" shapeId="0" xr:uid="{39085E5C-58DE-45CF-8184-0A357E24082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6" authorId="976" shapeId="0" xr:uid="{F783C2DF-06C2-47E3-B667-29A7257F13F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56" authorId="977" shapeId="0" xr:uid="{6FE1FBD6-DE31-4282-8258-AB398B44884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7" authorId="978" shapeId="0" xr:uid="{688ABAF3-CFAE-4541-8B23-B7129A3B012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7" authorId="979" shapeId="0" xr:uid="{55EC1C5C-1BA6-451C-BCCB-9F991503DF7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7" authorId="980" shapeId="0" xr:uid="{D3EE8E94-774D-49E5-B94C-4240B0C5938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57" authorId="981" shapeId="0" xr:uid="{F069FA96-72B5-409E-9345-5A64896BD64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8" authorId="982" shapeId="0" xr:uid="{BC24E951-B29C-48B3-8EF9-F17D02B8CE8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8" authorId="983" shapeId="0" xr:uid="{670E0FED-B918-4F5A-8563-35B0A7C2CAA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8" authorId="984" shapeId="0" xr:uid="{46FDA9F2-8B79-4277-B432-CAEF47583C3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58" authorId="985" shapeId="0" xr:uid="{3BAD8DA5-5143-44EE-A319-69FC4115389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59" authorId="986" shapeId="0" xr:uid="{3872EC6D-915C-42EB-9DF9-1B4BAF43AC1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59" authorId="987" shapeId="0" xr:uid="{D781ADE1-C580-46A5-911D-F4C34658844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59" authorId="988" shapeId="0" xr:uid="{0A4E477F-AB74-43D6-BF24-F1A5261272D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59" authorId="989" shapeId="0" xr:uid="{A23958A3-97CD-47E3-84A8-5C0E031971D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0" authorId="990" shapeId="0" xr:uid="{7FF592A6-1401-4183-A9A8-D0102A0D6F1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0" authorId="991" shapeId="0" xr:uid="{39E45C88-CBFE-45C2-B420-EF38FFCBB8F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0" authorId="992" shapeId="0" xr:uid="{F19261FA-716C-4B2A-8C63-455BFFDF3AF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60" authorId="993" shapeId="0" xr:uid="{78F18D8D-F7F6-4879-AB1D-013981F4801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1" authorId="994" shapeId="0" xr:uid="{EB13EF7C-E46A-40A5-89C1-ADB3CC513D8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1" authorId="995" shapeId="0" xr:uid="{DBD87E5C-8A4B-44DB-89CF-82FFE3CC9CA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1" authorId="996" shapeId="0" xr:uid="{721DAE0E-8E49-4CA9-A542-6BCC1F4347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61" authorId="997" shapeId="0" xr:uid="{EDE68DE4-5746-4B1B-8C7C-610DA39084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2" authorId="998" shapeId="0" xr:uid="{186911B5-8EA5-4DD3-8CFD-C0C3116E32B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2" authorId="999" shapeId="0" xr:uid="{1DD245C2-2BF2-4171-9D41-091A9EE6C41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2" authorId="1000" shapeId="0" xr:uid="{956E1455-EDDF-4A62-B0FD-BE08A91B4B2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62" authorId="1001" shapeId="0" xr:uid="{F26E38D3-A8D1-4E46-98D1-3023CD95042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3" authorId="1002" shapeId="0" xr:uid="{6624DFF3-05EE-47F0-A1C7-030CC809FEA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3" authorId="1003" shapeId="0" xr:uid="{957CAFFD-F9E4-43EA-ABEA-CC002C10414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3" authorId="1004" shapeId="0" xr:uid="{6115544F-B092-46AB-AA9A-0F486186C4E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63" authorId="1005" shapeId="0" xr:uid="{492D54DD-435D-41DA-8CEF-52B4A110908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4" authorId="1006" shapeId="0" xr:uid="{1B606E47-EADF-4960-940D-71A1CF60153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4" authorId="1007" shapeId="0" xr:uid="{1E6C5637-F230-4EB2-9A7B-8648AFB430C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4" authorId="1008" shapeId="0" xr:uid="{02E33DA6-A339-4ABA-9C47-2EFE8E43A68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64" authorId="1009" shapeId="0" xr:uid="{1731DAEB-C301-4C11-BA63-B52A86C09F0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5" authorId="1010" shapeId="0" xr:uid="{BADD7D39-DCE4-4278-83F4-052E05CC15C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5" authorId="1011" shapeId="0" xr:uid="{C81C03DE-8AA7-4459-AD50-4BA71F86E83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5" authorId="1012" shapeId="0" xr:uid="{BB49972F-A959-469C-AFB4-F09597F9CC0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65" authorId="1013" shapeId="0" xr:uid="{8EEFD20C-A71D-4396-AFAA-D0615B7C4B2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6" authorId="1014" shapeId="0" xr:uid="{3C13E5B8-D38B-4D5E-8BDD-64A00FF1EB9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6" authorId="1015" shapeId="0" xr:uid="{3A166D97-1C5F-4C13-9386-F89DC452CD7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6" authorId="1016" shapeId="0" xr:uid="{B160476E-5718-482B-8142-25CC9A6DCC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66" authorId="1017" shapeId="0" xr:uid="{5E121D27-A3F0-466D-906A-A1396F8D4E6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7" authorId="1018" shapeId="0" xr:uid="{8ACBEBD1-9EF1-44C0-8F71-339C2BE91CD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7" authorId="1019" shapeId="0" xr:uid="{B1CF621F-F86A-47F3-8307-A92831169AE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7" authorId="1020" shapeId="0" xr:uid="{8795B41B-D0A9-4420-813B-7561C385BDF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67" authorId="1021" shapeId="0" xr:uid="{F23E4000-8F61-4BA3-BC89-69C4E517758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8" authorId="1022" shapeId="0" xr:uid="{D2F65C98-8013-4C81-A4EE-E17BB337A03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8" authorId="1023" shapeId="0" xr:uid="{198351DA-6EF5-439A-B227-8337499F9F6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8" authorId="1024" shapeId="0" xr:uid="{0CA971E4-EA33-46A4-A11D-D202A88D846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68" authorId="1025" shapeId="0" xr:uid="{087E0A6E-530F-4CA2-A078-3D54726A60C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69" authorId="1026" shapeId="0" xr:uid="{4B3BCA89-5AA4-4370-8D8B-2530B061C9D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69" authorId="1027" shapeId="0" xr:uid="{5BB40024-64D6-47C3-B0AF-1CD02415E1E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69" authorId="1028" shapeId="0" xr:uid="{54B3056C-7253-4665-BF5E-F960D6C1925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69" authorId="1029" shapeId="0" xr:uid="{68B312C8-0F4C-467B-8A13-564009E0C3F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0" authorId="1030" shapeId="0" xr:uid="{35E8FC6A-3495-40D6-9F76-929D66B6BD0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0" authorId="1031" shapeId="0" xr:uid="{0725C189-C781-464E-8524-E13468877A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0" authorId="1032" shapeId="0" xr:uid="{EAF9ECC3-B0AA-4CCE-95DE-37475E5B841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70" authorId="1033" shapeId="0" xr:uid="{69ECCEFC-DDC9-49AB-ACE7-8B8F1439774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1" authorId="1034" shapeId="0" xr:uid="{F22CAB70-0DA2-4D66-B9AB-3DCE9606461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1" authorId="1035" shapeId="0" xr:uid="{3CA3D6CF-A9F7-40DE-8349-489E66042C7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1" authorId="1036" shapeId="0" xr:uid="{BF5747AC-0BF8-46E5-AC3A-1E87570D2F8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71" authorId="1037" shapeId="0" xr:uid="{0636E246-E466-4FEE-8D19-FC89D0A6B2C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2" authorId="1038" shapeId="0" xr:uid="{EF395C7E-FCDD-4DA8-A862-B85C35530F6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2" authorId="1039" shapeId="0" xr:uid="{5F8B93B7-7259-41A9-B0A8-A5765CD5C33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2" authorId="1040" shapeId="0" xr:uid="{C5F3EF38-B2F4-4C89-9453-93A47718533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72" authorId="1041" shapeId="0" xr:uid="{3CC53DE6-D50B-49D7-9187-B1797542492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3" authorId="1042" shapeId="0" xr:uid="{8FA6CEBD-1CD1-4BF8-B5AE-95DBBBF60C9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3" authorId="1043" shapeId="0" xr:uid="{EFE98B0F-84FB-484D-B368-9A387CA0B9E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3" authorId="1044" shapeId="0" xr:uid="{35A8A6DC-0325-425D-A1A1-C714C9D4A0B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73" authorId="1045" shapeId="0" xr:uid="{DB794EED-B71A-45FC-A195-5F95AEE2085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4" authorId="1046" shapeId="0" xr:uid="{A0F51804-7E8A-412D-9F45-A81639BAF49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4" authorId="1047" shapeId="0" xr:uid="{8B0457D7-4D59-4E6F-9585-342B199832A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4" authorId="1048" shapeId="0" xr:uid="{EE3F1767-84C7-44F0-90A3-71806C6979A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74" authorId="1049" shapeId="0" xr:uid="{DD2A85C8-2C70-45E4-A628-B52FA9AB662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5" authorId="1050" shapeId="0" xr:uid="{A6E0305B-C056-4540-B3C2-7EB9DAA1050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5" authorId="1051" shapeId="0" xr:uid="{2EF4C0D4-5055-487D-851F-F4DE19DF2A0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5" authorId="1052" shapeId="0" xr:uid="{257696E1-F96A-4C04-889F-AE81FD113B5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75" authorId="1053" shapeId="0" xr:uid="{00E313A7-9CF5-45E8-B65E-3DF394A43F0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6" authorId="1054" shapeId="0" xr:uid="{3154B9D3-FD85-4248-BE1D-AEDC6195883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6" authorId="1055" shapeId="0" xr:uid="{F3C75496-9AD9-4471-BD58-65FB3ADC828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6" authorId="1056" shapeId="0" xr:uid="{B7F1DFBE-BDE5-4667-913A-237130B3DD7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76" authorId="1057" shapeId="0" xr:uid="{55FC8843-1B87-4CA5-AD62-D83422D372B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7" authorId="1058" shapeId="0" xr:uid="{21C9086E-463A-47DD-88A7-0524ACC4BBB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7" authorId="1059" shapeId="0" xr:uid="{DD43EDD1-35A2-4CF5-A917-9526C4A529C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7" authorId="1060" shapeId="0" xr:uid="{E8E87671-549F-448F-8875-5FEFB279ADC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77" authorId="1061" shapeId="0" xr:uid="{67FA0C21-4599-438B-B7BB-A31436A6117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8" authorId="1062" shapeId="0" xr:uid="{91EFF804-B088-41E8-BBDD-8C5A3C367E3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8" authorId="1063" shapeId="0" xr:uid="{E89D6489-F755-421B-9555-0F5F2D8CE1D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8" authorId="1064" shapeId="0" xr:uid="{FD57E019-A813-4378-9121-BFDA379FFAE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78" authorId="1065" shapeId="0" xr:uid="{0163179A-5D73-47C0-B481-5A9BC2CA5F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79" authorId="1066" shapeId="0" xr:uid="{61DDB700-2789-4E59-9946-352D5335396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79" authorId="1067" shapeId="0" xr:uid="{C1C2F2B9-8ABC-435A-952E-68D7040908D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79" authorId="1068" shapeId="0" xr:uid="{5AD9899E-A80B-44EF-AC61-CE3538248E8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79" authorId="1069" shapeId="0" xr:uid="{9FE007EA-E734-44D3-8186-C0B1B1396CE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80" authorId="1070" shapeId="0" xr:uid="{042DD7B5-CAA2-4404-8D4A-27C6C35F8E4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0" authorId="1071" shapeId="0" xr:uid="{14F9A111-62CF-4BE2-BE26-83B26C48B16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0" authorId="1072" shapeId="0" xr:uid="{32589B45-2614-4F86-8E1A-6C514EA674A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80" authorId="1073" shapeId="0" xr:uid="{883F9461-57BD-4F26-9778-DC0E2EF7826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81" authorId="1074" shapeId="0" xr:uid="{68CBFC73-BD3E-4AA2-A7E8-62FBED890ED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1" authorId="1075" shapeId="0" xr:uid="{77C70A84-D7D9-4B71-A4F0-ED9533B936B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1" authorId="1076" shapeId="0" xr:uid="{2A754A6D-2F45-4522-85A1-BA51DC03A9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81" authorId="1077" shapeId="0" xr:uid="{D72975BD-35A0-49A8-B989-A66B009AFEF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82" authorId="1078" shapeId="0" xr:uid="{5D47003C-5B34-4A43-AB1A-1E8A8C407F6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2" authorId="1079" shapeId="0" xr:uid="{D1A40166-0500-4C73-8526-50BB0459903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2" authorId="1080" shapeId="0" xr:uid="{7DBD0D93-04F1-4A6D-8272-BD9940FD3FB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82" authorId="1081" shapeId="0" xr:uid="{7F66C403-4512-4F6C-A723-96C0ACC68E8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83" authorId="1082" shapeId="0" xr:uid="{9C85C63A-CAE9-4ABF-9C59-2763FF961F5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3" authorId="1083" shapeId="0" xr:uid="{1AD5DB92-DA5A-4C2C-BEFD-E54217EA9EE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3" authorId="1084" shapeId="0" xr:uid="{6EA60734-32D2-4A24-8995-440BD7CA56E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83" authorId="1085" shapeId="0" xr:uid="{8B14D548-BA58-4218-AF50-378FE42AA4C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84" authorId="1086" shapeId="0" xr:uid="{E8BDB62F-9829-43BE-B4A8-2E9005F5095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4" authorId="1087" shapeId="0" xr:uid="{299461EC-127D-469C-A8BE-EC2D7900B78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4" authorId="1088" shapeId="0" xr:uid="{EFA38EE4-5E2C-4CA8-867A-4CA88493FA1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84" authorId="1089" shapeId="0" xr:uid="{913331D8-70FA-43BA-8E66-EAAE47DD5B2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85" authorId="1090" shapeId="0" xr:uid="{DB7C05D2-8A2A-4BE1-AE4E-C2FA7522243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5" authorId="1091" shapeId="0" xr:uid="{AE10787B-C79F-4799-9D24-E8B92536B5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5" authorId="1092" shapeId="0" xr:uid="{84CC7F51-249D-4616-BC5E-9052C54E3ED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85" authorId="1093" shapeId="0" xr:uid="{42FB42E0-5188-441F-BD87-5C551476B8D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86" authorId="1094" shapeId="0" xr:uid="{CC53F96C-591A-4480-B8C5-4DD9082DB3C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6" authorId="1095" shapeId="0" xr:uid="{B32AC664-A6F6-4812-87CD-01ADD6AA9EB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6" authorId="1096" shapeId="0" xr:uid="{B46C0E34-1546-45CE-A16A-E39D2D7EA0B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86" authorId="1097" shapeId="0" xr:uid="{CCDAC762-F281-4B5F-9D9F-2FBFC23F91B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87" authorId="1098" shapeId="0" xr:uid="{9CEC78D5-63F6-4B0B-9DCA-D09E267EB26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7" authorId="1099" shapeId="0" xr:uid="{9728F74C-31AA-4DBC-BB49-F4D2B4A67A9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7" authorId="1100" shapeId="0" xr:uid="{00647DEB-8B82-4A5B-9699-D8D26E69360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87" authorId="1101" shapeId="0" xr:uid="{D2CA3582-DB9C-44FD-92BC-80D5A8F6404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H687" authorId="1102" shapeId="0" xr:uid="{B78CE17C-7E0B-47FC-BFD5-9DEA18EAD896}">
      <text>
        <t>[Threaded comment]
Your version of Excel allows you to read this threaded comment; however, any edits to it will get removed if the file is opened in a newer version of Excel. Learn more: https://go.microsoft.com/fwlink/?linkid=870924
Comment:
    2023 Guidehouse NTG value</t>
      </text>
    </comment>
    <comment ref="AI687" authorId="1103" shapeId="0" xr:uid="{6286C764-F2E9-4AAC-A1BD-5C1B246E3016}">
      <text>
        <t>[Threaded comment]
Your version of Excel allows you to read this threaded comment; however, any edits to it will get removed if the file is opened in a newer version of Excel. Learn more: https://go.microsoft.com/fwlink/?linkid=870924
Comment:
    2023 Guidehouse NTG value</t>
      </text>
    </comment>
    <comment ref="AJ687" authorId="1104" shapeId="0" xr:uid="{A85D939C-B607-444D-A635-4160DFC9E22F}">
      <text>
        <t>[Threaded comment]
Your version of Excel allows you to read this threaded comment; however, any edits to it will get removed if the file is opened in a newer version of Excel. Learn more: https://go.microsoft.com/fwlink/?linkid=870924
Comment:
    2023 Guidehouse NTG value</t>
      </text>
    </comment>
    <comment ref="X688" authorId="1105" shapeId="0" xr:uid="{BAEC90B4-DE64-4AB4-9E81-0B31E5DD737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88" authorId="1106" shapeId="0" xr:uid="{4F941E3E-0345-4A12-9839-81C4A2162C5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88" authorId="1107" shapeId="0" xr:uid="{C6CD6FEA-6E3A-418F-AFF3-7C51DF064D4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88" authorId="1108" shapeId="0" xr:uid="{BF353807-1D78-45A3-A7D2-4B338AAC656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90" authorId="1109" shapeId="0" xr:uid="{FCED8324-B500-461E-B712-249B328CDA2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90" authorId="1110" shapeId="0" xr:uid="{2FD0FB37-3B2C-4588-8E65-298BBCE8C32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90" authorId="1111" shapeId="0" xr:uid="{FCCD0B2D-A049-45D2-876B-C741A86C7B8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90" authorId="1112" shapeId="0" xr:uid="{FC1713E0-015C-4C2E-B738-3B8C8897600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690" authorId="1113" shapeId="0" xr:uid="{C024A5D3-50A7-44C8-8E4D-014D7C388B5F}">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J690" authorId="1114" shapeId="0" xr:uid="{0730ADB3-488A-46A5-A472-65B7EF61A541}">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X694" authorId="1115" shapeId="0" xr:uid="{B8220291-AEE5-4BB6-B0E8-F047F60683B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94" authorId="1116" shapeId="0" xr:uid="{ED0D4946-4793-428E-8A7D-ED41644D3AE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94" authorId="1117" shapeId="0" xr:uid="{32AE2DDF-B94B-4FF5-9EA1-81DE11F2784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94" authorId="1118" shapeId="0" xr:uid="{27BEDAA9-AFD2-42D6-B75B-0230F05E4BE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694" authorId="1119" shapeId="0" xr:uid="{E0F19354-F983-498F-99F8-567396574DF0}">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J694" authorId="1120" shapeId="0" xr:uid="{2432F91E-71E1-441C-8E9C-DE37E056C01C}">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X696" authorId="1121" shapeId="0" xr:uid="{D93990CC-E2C2-4F58-BD0C-2AFF8D4AE3D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96" authorId="1122" shapeId="0" xr:uid="{6681BC69-227B-4F7C-A550-A53144E57A3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96" authorId="1123" shapeId="0" xr:uid="{AF62BF14-8026-4B57-80D5-B00E8BAE08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96" authorId="1124" shapeId="0" xr:uid="{3B46AB47-F18C-4BBC-9A66-6809C23F97F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697" authorId="1125" shapeId="0" xr:uid="{98F167D0-9C9B-4536-A73A-C2E911069EF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697" authorId="1126" shapeId="0" xr:uid="{25D4E7CA-F6A8-4F5C-A68F-7D68FF05963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697" authorId="1127" shapeId="0" xr:uid="{46A2D0D7-5227-4DB2-89BD-87B0E9AB580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697" authorId="1128" shapeId="0" xr:uid="{C9F498E8-3057-4166-878E-D9FD1F02C73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700" authorId="1129" shapeId="0" xr:uid="{04F98712-C679-48DF-9CFD-4E44C74C51E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700" authorId="1130" shapeId="0" xr:uid="{2E480539-BE65-451F-A0B6-19F2224EBD1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700" authorId="1131" shapeId="0" xr:uid="{68EDED08-366F-4A23-9C8B-0F3D3677B23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700" authorId="1132" shapeId="0" xr:uid="{8A674B50-9A47-4A19-8A90-5790105567A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X701" authorId="1133" shapeId="0" xr:uid="{91A5D17E-1BA6-410D-9B83-99FA60595FB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701" authorId="1134" shapeId="0" xr:uid="{0AAE82B5-68FD-4C71-9353-D42899EC399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701" authorId="1135" shapeId="0" xr:uid="{4FD5C217-35FB-4E0C-B7E0-C457568CA16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701" authorId="1136" shapeId="0" xr:uid="{82749490-D109-40C3-9F87-C6C9F406C43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706" authorId="1137" shapeId="0" xr:uid="{B88DB254-9D90-4AE2-AE19-F8B1C8965744}">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J706" authorId="1138" shapeId="0" xr:uid="{36040B5D-655F-48A6-B25C-D247F66EC64E}">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X707" authorId="1139" shapeId="0" xr:uid="{6B2151CD-87DD-4453-A048-00334BF6234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Y707" authorId="1140" shapeId="0" xr:uid="{D70742BD-CFE3-4726-9A78-AEE8061D9DC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Z707" authorId="1141" shapeId="0" xr:uid="{12EE5869-24D1-4412-BB54-B5E8B362E56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A707" authorId="1142" shapeId="0" xr:uid="{525D7180-5122-454E-8CF1-2FC343225BE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I708" authorId="1143" shapeId="0" xr:uid="{DBEF8E0B-A16A-4034-850D-95B1AF013B8A}">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AJ708" authorId="1144" shapeId="0" xr:uid="{E0FA2CF2-388D-4711-A1BF-E9F62170925F}">
      <text>
        <t>[Threaded comment]
Your version of Excel allows you to read this threaded comment; however, any edits to it will get removed if the file is opened in a newer version of Excel. Learn more: https://go.microsoft.com/fwlink/?linkid=870924
Comment:
    Updated per PG &amp; NSG 2024 final NTG ratios. Previous value 90%.</t>
      </text>
    </comment>
    <comment ref="D711" authorId="0" shapeId="0" xr:uid="{248D9DD4-638B-4FF8-815C-159C907973A2}">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AB711" authorId="0" shapeId="0" xr:uid="{271E42C0-AB97-4E6D-A587-8C28A5BCE700}">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AC711" authorId="0" shapeId="0" xr:uid="{35B71101-92B6-4218-9830-97B785B45704}">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AD711" authorId="0" shapeId="0" xr:uid="{071F8E94-ABE3-4ED5-AFA3-20EF142B5FD1}">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AE711" authorId="0" shapeId="0" xr:uid="{F0274A35-4D89-48CE-A539-E3BF22271DD0}">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AF711" authorId="0" shapeId="0" xr:uid="{63BFAF05-6F76-4134-AAE3-FC2E404B136E}">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N711" authorId="0" shapeId="0" xr:uid="{41CCBA1F-8F27-4BB2-8BC5-1E1ACF2A7102}">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BO711" authorId="0" shapeId="0" xr:uid="{FA9872A1-A6B4-4F78-9EF2-E71EE845AAA3}">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P711" authorId="0" shapeId="0" xr:uid="{D238AEDA-C512-407D-9AF6-DE31155B49AD}">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Q711" authorId="0" shapeId="0" xr:uid="{53B56172-4184-47B4-B47A-93F7ECED60E7}">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R711" authorId="0" shapeId="0" xr:uid="{87B15903-B310-4847-AC9E-F22A8447073D}">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CG711" authorId="0" shapeId="0" xr:uid="{A9CD5BFB-897F-44C6-B13F-A566B9A92925}">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CH711" authorId="0" shapeId="0" xr:uid="{E0375320-A51D-4D1C-988B-F8B727EE2B68}">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CI711" authorId="0" shapeId="0" xr:uid="{78AAAA87-B35C-431E-AC44-5CE35F379F5D}">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CJ711" authorId="0" shapeId="0" xr:uid="{52181214-C490-42C9-98E7-67EA8CA83BFB}">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CU711" authorId="0" shapeId="0" xr:uid="{A8AD31A6-410E-4A0A-BF35-6E4D7D7C8051}">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CV711" authorId="0" shapeId="0" xr:uid="{38DC9960-6010-46A2-B884-17C0FEC4BB99}">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CW711" authorId="0" shapeId="0" xr:uid="{648CAC1A-9314-4B37-8B73-AD1C7F318D04}">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CX711" authorId="0" shapeId="0" xr:uid="{DD5E3E55-F054-4D78-B182-D5D845C0BAFE}">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tc={1E523C98-1899-463B-93B3-C3AB5D24BA53}</author>
    <author>tc={5C84806B-7E10-49B0-A415-CBFC860544C9}</author>
    <author>tc={53167203-0BAC-4910-A41D-BC37F10E2659}</author>
    <author>tc={37DCE39A-FBDA-447F-80D5-ED5DC2756FB8}</author>
    <author>tc={3666E8CE-F260-458B-897E-4FD075BCD26B}</author>
    <author>tc={076224A3-1557-4B13-9E51-4EE83A06F9A6}</author>
    <author>tc={72031342-EFED-4D8F-BCA8-D2450FB341AC}</author>
    <author>tc={87E4D091-8512-41DC-9AB3-B77BA3AEF654}</author>
    <author>tc={2362E95E-4A9B-47EE-ACC6-9FC832AB79AF}</author>
    <author>tc={9FBA4CB6-F362-4B2F-958E-74448F1B0DA6}</author>
    <author>tc={D2F04D04-4346-4D92-9710-3AF451635CC1}</author>
    <author>tc={DF992F21-6DE3-41D6-BA68-DA416AB68BFA}</author>
    <author>tc={671A479A-3A37-4948-A972-8D17BA837932}</author>
    <author>tc={B403CFD5-1BB1-43C4-B8BD-6F610152B2A2}</author>
    <author>tc={869C54F0-2ABF-4629-BC30-A1623AE068BC}</author>
    <author>tc={A79DB855-8681-4B2C-A3A7-99AACE75B84F}</author>
    <author>tc={C94E523A-F4C6-4C4A-8083-5FA727E7A9F4}</author>
    <author>tc={2A69EBE5-8966-451A-80A5-084784028587}</author>
    <author>tc={52CF489B-6960-41AC-A8DF-090033DCF375}</author>
    <author>tc={FD092DC4-442D-46B3-8865-548F5DA66FF7}</author>
    <author>tc={56BB70E5-3FC5-42D0-87E3-FCDA19A40139}</author>
    <author>tc={0E9404A4-6FBD-413A-BC2C-993DFA1C4B49}</author>
    <author>tc={B3ECF82B-6370-451F-9209-C9A9BA8AE133}</author>
    <author>tc={623F89C7-E009-40D9-9CD4-08B6F3E580A7}</author>
    <author>tc={E13A2B29-7EFF-474B-8C6B-99E15F2D8D13}</author>
    <author>tc={AFAA028C-EE4F-4C7C-8171-150F6CCB9742}</author>
    <author>tc={E073919D-5043-4AA8-9EB3-24E0035AF1CF}</author>
    <author>tc={38CA3092-9AD1-4EBF-B811-3B2351B8EB8E}</author>
    <author>tc={C8A0E632-3805-46C0-93A3-637722642DE7}</author>
    <author>tc={ED92666F-97D5-4873-B900-F9903F8DB941}</author>
    <author>tc={C8132ABB-B06E-46D2-A8AE-D19A0F78A7D3}</author>
    <author>tc={35DD3E5B-D7A5-4E5F-A5E9-0D7A008B2DB7}</author>
    <author>tc={3A725442-013F-4069-AD2E-E51BF41FCB2F}</author>
    <author>tc={E5A05EAF-5C0F-4EC3-BD64-5CF153036250}</author>
    <author>tc={47647DDA-B96C-45F6-A11C-DEEE233A1B83}</author>
    <author>tc={2D6C5A9D-293D-451E-B4C0-6FEC77F2A6A3}</author>
    <author>tc={1B38C46B-13B2-4BCA-A193-0FDB1CCD865E}</author>
    <author>tc={5F097DCF-B728-4AA0-83E4-73B0A58B0BE9}</author>
    <author>tc={86F7BC33-1581-45E8-BDDA-A386EE923E86}</author>
    <author>tc={8D1A833E-BF1A-48B6-A61D-1E71DB062352}</author>
    <author>tc={16AF79DE-853B-4E62-83BF-911E780E6D0A}</author>
    <author>tc={1FEE8598-2BB8-49AD-BED8-21691644E68B}</author>
    <author>tc={037A3E4A-D91C-4832-9A06-6095A33A5DD9}</author>
    <author>tc={77E7D3D9-4D4C-4B77-847A-ACA3FAF229A3}</author>
    <author>tc={66BBC6C4-A3AF-4BD2-868C-E8552E71D523}</author>
    <author>tc={D6498BAA-97B1-46FF-A0D5-5763D13BFAB7}</author>
    <author>tc={55A47787-A882-4D9B-8E44-4765EF7EC024}</author>
    <author>tc={98817D9F-D70E-4710-BEFC-61EA68AB6506}</author>
    <author>tc={93703F13-E3AB-45D0-8FCA-13FA58A4F9C0}</author>
    <author>tc={3CE7E228-183C-43A7-867A-5D1E35BB88A2}</author>
    <author>tc={CA3FF610-3293-435B-BAE1-BE756AD412EB}</author>
    <author>tc={5A342576-4282-453C-98E2-A01FD6C3CD8B}</author>
    <author>tc={6CEE7D97-E4D5-4D05-80E8-E45767E6C6D0}</author>
    <author>tc={F8F20293-0A6A-4782-A991-40A2FAD81F3E}</author>
    <author>tc={12C4ED1B-232B-46D0-8A3C-A27CC23D59CD}</author>
    <author>tc={FB4F27A2-C1BC-456D-921B-DCE72940CEA3}</author>
    <author>tc={F98352C0-E752-4BD4-AD0D-B58731D692F1}</author>
    <author>tc={E5E22211-8CAE-4914-AD80-E393C1C6DFC8}</author>
    <author>tc={1630C3B0-1557-4A7E-B507-38F9714F247B}</author>
    <author>tc={600300C1-240D-4A6D-BE01-7AE513DF22F2}</author>
    <author>tc={1E547235-7FE2-471E-ADBD-8C8DB5B132B6}</author>
    <author>tc={A8CC6AA6-B5D8-4CDA-A18F-7D69D021855A}</author>
    <author>tc={21911140-08C7-4777-A91E-7BEA40252394}</author>
    <author>tc={34441D23-D859-45D1-BDB4-1EDF40BB082B}</author>
    <author>tc={086078B7-ABF3-43F5-9596-9101A21E0C16}</author>
    <author>tc={7F239D21-93D7-4BF7-A95C-4689CF35816C}</author>
    <author>tc={D24FF411-F965-494D-BCD8-54A0BC8C4A6A}</author>
    <author>tc={57F3D4A4-4680-4F46-962F-AE1745AB9992}</author>
    <author>tc={83D344A5-2278-4224-A8AA-893E0262CA60}</author>
    <author>tc={A88F2D57-27B0-4D1F-A782-C8A68B536BD5}</author>
    <author>tc={9C4E33B1-2E61-4B45-8BF4-30EE7E0A5305}</author>
    <author>tc={C759CFE0-A8E5-433C-81C5-168A2C47269D}</author>
    <author>tc={CF49778B-2B58-4FA1-941D-992C3E334AED}</author>
    <author>tc={D7505334-F27F-4837-93AF-F32910C927A8}</author>
    <author>tc={5C07C21F-988E-41F3-8CA3-61FD8EA5CED4}</author>
    <author>tc={A65E6806-6DFD-4E9F-9822-95E623119620}</author>
    <author>tc={1257981E-3551-4A37-B375-4628A8225FCF}</author>
    <author>tc={3AAD55C3-EFFF-4D9B-AF22-5E6FC62A8BC9}</author>
    <author>tc={D2CBE7D6-C770-4BE3-BFE5-5009F1A147EE}</author>
    <author>tc={ABF0EBDF-585E-4689-9EF5-2FEDA084D45A}</author>
    <author>tc={490DC731-2988-4CED-A4B5-57CA52FA382E}</author>
    <author>tc={379EFD85-345D-4D13-95A2-B0C35995ABAD}</author>
    <author>tc={E377C0B3-B324-463A-BF80-CB3213FC19E8}</author>
    <author>tc={0C677841-7FC7-48B5-81A0-06CAA82B0F38}</author>
    <author>tc={72AF09AE-1F18-41CD-80AD-0A2A01B804FA}</author>
    <author>tc={E9F07293-F013-472C-A740-EE4D7D7A113E}</author>
    <author>tc={7E82CE1F-FB4F-42C4-83FC-A1487D622CB8}</author>
    <author>tc={4DB7AF01-502A-44DD-8A6B-16E4CC5DCFB6}</author>
    <author>tc={2CE95E5E-E3A2-4F0C-A792-3EFD1478FD55}</author>
    <author>tc={6DCCF419-A379-4235-A234-7BA905DCDA30}</author>
    <author>tc={88111EEE-55D3-41DF-9295-4174B9D4D489}</author>
    <author>tc={76C0D6B4-AA4B-49B1-A7B7-BB98CFE975AB}</author>
    <author>tc={7413CD42-EF98-40B4-823C-699342024DBE}</author>
    <author>tc={29A0F9E3-58C9-477C-9FA1-679E2FEECA6E}</author>
    <author>tc={AAD5DB5D-1680-492E-9A00-2D2DC76E425E}</author>
    <author>tc={C81C1E65-36FB-47AF-8478-5F37FB910FF5}</author>
    <author>tc={BC681E7B-88B7-4458-BA1E-B036920684DF}</author>
    <author>tc={5CE05914-BD9F-4DED-BBFC-1759FDFC9BCF}</author>
    <author>tc={00A69867-90E5-42EA-9C8E-F68ECD6C6F19}</author>
    <author>tc={933AD65B-0362-450E-A60B-DF3B58145B56}</author>
    <author>tc={053FCD8C-DBA9-461B-A79D-7758C281857D}</author>
    <author>tc={09CB2477-7F00-4055-88BA-712E07A3EA65}</author>
    <author>tc={B1DC32F3-2659-4171-AF3E-ADC407835291}</author>
    <author>tc={D94628AF-FB8C-4110-96E6-E9347ED00565}</author>
    <author>tc={F26588DA-F765-4BA4-9591-5813C7BBB672}</author>
    <author>tc={0A17929B-884C-48E0-8002-6F3B6F75C1BA}</author>
    <author>tc={298C54CC-09A0-4D1A-839F-7B8752E658C4}</author>
    <author>tc={B0D96B67-9480-4588-BB8C-1B2AA8156CC2}</author>
    <author>tc={2319328A-91D6-4543-AB02-F38A078C6329}</author>
    <author>tc={1DBAAEFD-4B35-49AF-95C4-8FA14A85E891}</author>
    <author>tc={7A6B746F-5E66-481A-8BE5-A88713723024}</author>
    <author>tc={474F099A-360C-4A70-8F65-9D8C4D44ADDC}</author>
    <author>tc={DE9015CC-0DF0-4DCC-A98D-EB1664758D7A}</author>
    <author>tc={83D41B96-F809-4AAE-B5DA-49553E43EE7C}</author>
    <author>tc={D50E2295-791A-482B-9735-73CD3193E17E}</author>
    <author>tc={32E5D79C-5DE3-44A6-A529-C6A1ADA0FB1F}</author>
    <author>tc={90DB1BF8-4519-4D92-BB84-3C0424E1F325}</author>
    <author>tc={AC180A7E-B32B-4ACB-84C3-617AD6F0F526}</author>
    <author>tc={28EC1D76-D527-4063-ACB1-BB4DFE988893}</author>
    <author>tc={C0D99152-EF9C-4D3D-929E-6A3BBDD086CF}</author>
    <author>tc={5ACA0E90-74FA-407F-8091-E5D7D282F691}</author>
    <author>tc={96F95E30-D12A-400E-9F7C-DD4FAABC5BDE}</author>
    <author>tc={74FB0E78-4BDD-4AB9-943B-79ED157718DE}</author>
    <author>tc={1C1B6A9A-2DBA-4E45-A807-9B9DBEA9679A}</author>
    <author>tc={4FD5AC03-D428-47FB-88BE-ECB7ED795EE5}</author>
    <author>tc={B1B6159A-E59C-4F5C-9377-09B66B692678}</author>
    <author>tc={9A9F8C70-3902-409F-8281-5613BA6B57F4}</author>
    <author>tc={A2CBE7CD-789C-4BA4-8DF0-F5332E71005A}</author>
    <author>tc={24EBC97B-8415-40DB-AC86-82A91242CC1E}</author>
    <author>tc={46034884-E51A-4939-BBE5-F000979C1EF9}</author>
    <author>tc={FB3CE72A-8D54-4D78-AA18-1E027CA3F977}</author>
    <author>tc={5402B1B5-2238-459D-A6F2-69DAA7D24C84}</author>
    <author>tc={9EB20E66-FF75-4CED-A32F-2021EF1E51C6}</author>
    <author>tc={C8CF514A-ECAC-48AF-9657-0C6950DC7EEC}</author>
    <author>tc={B4E3BDAE-BBEB-44D1-8128-1B927BC343A9}</author>
    <author>tc={5C65BE3D-E815-4D73-A535-DA4AF27796D9}</author>
    <author>tc={AF844715-956E-48B8-AEA1-2674D6E93FBA}</author>
    <author>tc={ECD1AA9B-E211-41C5-9CF6-244191AD207A}</author>
    <author>tc={1927AD12-1D48-470E-9437-1A8681B70680}</author>
    <author>tc={16D5A9F1-5BF8-4413-9165-5507CB0F70F8}</author>
    <author>tc={FA6ADB59-B21B-4CCB-88D1-09CE51E1D755}</author>
    <author>tc={2DBD38D9-D31F-42B7-AEB6-55B1E5CA38A0}</author>
    <author>tc={AEE64ED0-91A1-4146-9A53-5952A56F9931}</author>
    <author>tc={A5C7090A-7831-48CC-9B0B-2013DA5C777E}</author>
    <author>tc={1023E600-E2EE-4081-BC5C-03126547B92F}</author>
    <author>tc={5ED5A243-C0FB-4A87-AC6F-750265027899}</author>
    <author>tc={812D73E6-9324-4B8D-ADC2-25FEE9D01D08}</author>
    <author>tc={D50A8D27-CB7D-4DA8-82A3-CCE42AADBA58}</author>
    <author>tc={E7208B89-F30B-445F-A197-CA7FCA4F4C5B}</author>
    <author>tc={0C7CA9A8-C340-42BF-BF0E-814E484B8484}</author>
    <author>tc={61890627-1C3C-417B-9039-5A9A409225DB}</author>
    <author>tc={89251DC9-8555-49D4-A6D6-BD214EE1A16F}</author>
    <author>tc={DF4CCCE8-CEDC-4399-B293-C6A95DB776A7}</author>
    <author>tc={59F51E62-D005-4F0D-A788-AE2CC2523E26}</author>
    <author>tc={A546E257-A8B6-43FC-BD1A-5DE7E7587DF7}</author>
    <author>tc={B3E02963-1DC6-4404-8EA4-6954E49CE5F4}</author>
    <author>tc={F2D5AD26-BEAB-4C2C-8463-744E701D90B3}</author>
    <author>tc={187E628F-0FD1-4496-802F-20CED9E62CFE}</author>
    <author>tc={FD6919F2-9159-472A-99E8-6173E168ECCB}</author>
    <author>tc={9B3F57EE-8651-4C03-9269-39E7413BF4F5}</author>
    <author>tc={28DC0F2B-399C-4A4E-9EB8-6FBB96D2A5FB}</author>
    <author>tc={E5507E2A-4A9B-46A7-94DC-0F4752FEE742}</author>
    <author>tc={DC15BF3A-A7BE-45B6-9EF5-344E1248A998}</author>
    <author>tc={A3445535-4B49-4D28-A1F8-EAEF6706DC0E}</author>
    <author>tc={BFA952F7-A709-487F-A43D-4747349D13D5}</author>
    <author>tc={A2D63605-6D46-4E35-8282-29D464A2D0C2}</author>
    <author>tc={CE7422EA-5AC0-4CDB-BC5F-C3C55F623F60}</author>
    <author>tc={3BD5ED6C-ECDF-4BD9-BF04-9A1AF40CD8C2}</author>
    <author>tc={40492447-98A7-47B0-96CF-4A9B56915117}</author>
    <author>tc={22FFAD26-7578-4795-B97D-2124B8E633B1}</author>
    <author>tc={C063640B-3E38-4F4D-961C-9030ABFB0E45}</author>
    <author>tc={75EA1A62-0334-4085-8505-AFA8DFBC8E39}</author>
    <author>tc={647031CF-74FF-49F7-9A72-393E13B1102A}</author>
    <author>tc={0EEF5771-F79D-4CF6-B591-B98EADDD267C}</author>
    <author>tc={A51F8CCE-67BC-4A98-8489-F459CF3C7B42}</author>
    <author>tc={C36FF9E2-DB5C-4E09-A1EF-97C8F100EF59}</author>
    <author>tc={AD239D53-B3E4-49F5-B104-F3A7DD335D10}</author>
    <author>tc={39CE0CE5-5446-483A-BEDC-585D043EF06E}</author>
    <author>tc={1CF153A6-FCE0-43C0-A6FF-F9364CF92553}</author>
    <author>tc={CD3873FB-E12D-4D5F-900C-DF88CBD341E6}</author>
    <author>tc={1BE73253-3C04-4927-9772-BE32EE857250}</author>
    <author>tc={A03DF3D2-80CA-4535-A392-C72F304D4166}</author>
    <author>tc={32C75101-463E-402B-A731-0B587B1BA3F3}</author>
    <author>tc={24E505C5-4C4B-411E-99EC-0C0A9AAE94FF}</author>
    <author>tc={122D4F38-2907-4BC9-9094-0E6265769744}</author>
    <author>tc={134639D6-6200-4933-90C4-0DCB0EC2EEA3}</author>
    <author>tc={0685D531-EBCA-4CBC-88CE-8298C8669886}</author>
    <author>tc={4A16498E-D7E0-4D9F-80EF-5AF6C541050B}</author>
    <author>tc={8D3F07D5-94DF-479F-AE19-AB207AE33E17}</author>
    <author>tc={930EF374-5373-4543-A4F3-611D8DA0F940}</author>
    <author>tc={85295867-83A4-4181-AF15-7A8FBA92DB8C}</author>
    <author>tc={9A6EEED2-3EA8-4B95-89E1-A8D08BE5A961}</author>
    <author>tc={D73D98E3-2322-49E2-BF0A-99290695BB77}</author>
    <author>tc={3CE3AD5C-EFA5-4284-B565-C7A65A92EEB3}</author>
    <author>tc={CFDED881-584A-4BA4-9669-F0E2FAFD0495}</author>
    <author>tc={FC29D70B-A43D-4BDD-A3DC-C863D9F0A082}</author>
    <author>tc={FB15EF35-A146-4B86-A5B2-490233E50F69}</author>
    <author>tc={F7329593-5C62-4510-B866-537D2A9E6908}</author>
    <author>tc={B77C98CC-3BDE-4C4C-891F-583026B7EBBB}</author>
    <author>tc={AF492D9B-0CC3-4A43-A716-77C4766D6971}</author>
    <author>tc={C6C502D0-2CD1-4816-A25E-E4D7D6D00BD8}</author>
    <author>tc={0EEB6E00-7E79-45A8-8F31-5843A247A450}</author>
    <author>tc={323CEAE8-D26A-4BC4-80D4-38B9F241F48C}</author>
    <author>tc={759F6218-34BC-4C77-BC75-28A558E30759}</author>
    <author>tc={4293B150-AC69-4C44-89F1-B0EBD0747D40}</author>
    <author>tc={431E66C1-AC05-4532-A2B7-52E4004E48A8}</author>
    <author>tc={9085C68C-5463-4374-8701-30B2BFAD38BC}</author>
    <author>tc={009585B5-4CFC-422A-818B-1B55F5FD8BBE}</author>
    <author>tc={74142F4F-30BC-4A89-8579-4E98419A4006}</author>
    <author>tc={FA4A7941-03E6-43F5-8247-F59FD8D0B430}</author>
    <author>tc={BEB511EA-29CA-4D02-8290-4E0363F4DFC3}</author>
    <author>tc={882ECFE6-C836-4597-9DC6-5C6D3C24B3F7}</author>
    <author>tc={6AE8A925-3D91-45A8-9A97-02D8B24EA2DF}</author>
    <author>tc={9D491822-D969-4F45-BB06-86B5BE1338EE}</author>
    <author>tc={7D1B0092-6647-4201-B93D-08A69FDF3BF6}</author>
    <author>tc={81C8BAEC-B177-43D2-9EBF-5F26BAF1165B}</author>
    <author>tc={37633540-F8BB-4550-AD5E-28BC548211B3}</author>
    <author>tc={E65507F6-AA8C-44D1-B1A8-ECCBA6AAF488}</author>
    <author>tc={ADDF4CBB-B25A-4FF1-B810-4D5F2297F8EF}</author>
    <author>tc={9CEF3F50-7D61-4B05-93D3-E58A15F83C2B}</author>
    <author>tc={E5551E8A-7E20-49A6-92C2-561B2E984EE7}</author>
    <author>tc={4B442D0B-E663-45C7-9DD9-9D441BA37800}</author>
    <author>tc={CDF007B6-0E5F-4A2F-8290-17BF9967D0A4}</author>
    <author>tc={CEBF809C-AD25-40A1-B535-3C2CA42C6245}</author>
    <author>tc={5B809A01-2D95-4D5F-BA5D-ACC0251C5D35}</author>
    <author>tc={5B3964C1-1E60-4638-B7B4-76FD7AA2881D}</author>
    <author>tc={1C7606D9-3824-41FD-A298-C9B8279DCFF3}</author>
    <author>tc={D4C4D027-6FC9-4C70-B0D6-D2F28C032279}</author>
    <author>tc={3D092FD2-8463-4E34-9E48-813F976F51CF}</author>
    <author>tc={37BA515A-2A01-4CF9-B1E7-878E0D0EED54}</author>
    <author>tc={4CA30828-CECD-42E4-8AB5-D1BF62312028}</author>
    <author>tc={11D01EF1-A9B3-4CD6-A91B-4BE4844FC0D2}</author>
    <author>tc={FAA9E725-10C7-4848-A9C7-E4C7201F032C}</author>
    <author>tc={4651CF73-CCBB-4FE4-9F4F-63FF5F36185E}</author>
    <author>tc={13E5E845-24FC-4DF2-9246-B99923CCED26}</author>
    <author>tc={BCB61E0A-5ABF-41BD-AD1A-461613B10FCC}</author>
    <author>tc={26A904BD-3690-42AA-8369-6213ABC7BD75}</author>
    <author>tc={8E4CE09A-053B-47A1-83B8-4E076AF38AB3}</author>
    <author>tc={33688DC4-07A2-42C3-895C-2426DCED9055}</author>
    <author>tc={DCDF5C69-D8A5-43B8-B227-9308DF484EF8}</author>
    <author>tc={A72652D0-045D-4FDB-9CC3-45270A2CFD46}</author>
    <author>tc={C085E5A1-36E6-43AD-A6FD-B743AA130A2B}</author>
    <author>tc={FD5C98DA-1047-4861-9E72-6F0E8FF0C4C5}</author>
    <author>tc={5552DC5D-0815-4262-99CB-244700ACCB7D}</author>
    <author>tc={67286798-6312-436A-944F-6E822D877073}</author>
    <author>tc={989D7EF7-0A75-440B-B31F-43DF59501DB0}</author>
    <author>tc={2F27F69E-73D3-4532-9FE5-FC37C709085C}</author>
    <author>tc={9792857E-C90D-41B0-9291-2633F431EAFF}</author>
    <author>tc={83B0F872-939D-45F2-A69E-3676F332A024}</author>
    <author>tc={E0B355C1-42BE-4552-81F7-9ED1ECED3FC3}</author>
    <author>tc={39C142C7-2AFA-4E10-BF00-ABA82F91A8C3}</author>
    <author>tc={42A32B0D-04D9-4970-9AFB-9034B3802763}</author>
    <author>tc={788CBE2E-E933-4175-86A8-3BBED5CE0659}</author>
    <author>tc={AEB1C282-CE0C-4CDE-AD47-AED22BE02200}</author>
    <author>tc={129D3FAD-7CC4-46E1-B5AC-69C7A7E9C052}</author>
    <author>tc={78798D36-A416-4943-9114-16419AA11879}</author>
    <author>tc={AB919723-98FF-4B97-BFDC-777A2150F22A}</author>
    <author>tc={79399AC2-1718-42EB-8A2C-72E4202D5ECF}</author>
    <author>tc={B903518B-D7AB-477E-8AC3-61DA082D278F}</author>
    <author>tc={48DFE9C5-1E02-41E1-9D77-BE55469F6AED}</author>
    <author>tc={C0033F74-C2B6-4616-B6D3-AA17B600EF46}</author>
    <author>tc={135E0C87-0782-4EF6-B426-657E72F51A8E}</author>
    <author>tc={23CB0D46-8F70-496F-83CB-DC777FC22274}</author>
    <author>tc={3C76236A-7EF7-4561-8C7A-3D8737EEDEC8}</author>
    <author>tc={40295072-176B-46DA-BC53-BD9C25DFC6BD}</author>
    <author>tc={8A313579-09C1-42EA-AA57-58203F857812}</author>
    <author>tc={FB7A7AC1-9436-4E55-9CB7-F41C50B400E4}</author>
    <author>tc={1049471C-5701-4CE8-9AFB-263C032FCF2C}</author>
    <author>tc={4AD73009-F904-41D2-BA09-146656C39BF6}</author>
    <author>tc={25237D2E-13A1-45F6-A6E9-74F058F99E8D}</author>
    <author>tc={F539CA6F-5C6F-4B7E-A21C-5CA410DBE266}</author>
    <author>tc={FA3776F9-8AD4-4810-B270-0E4EB05F325B}</author>
    <author>tc={8CA1C87E-7A08-4270-9076-AD7F75A4B64E}</author>
    <author>tc={5BB41744-CDC8-4885-84F3-3C67193B019B}</author>
    <author>tc={148F895E-2A79-486F-A85C-97990F9C1E39}</author>
    <author>tc={28BB7F0E-7873-4A6E-893E-BE9832B8FB45}</author>
    <author>tc={AB9437A6-2C88-40A2-8207-D0F56176BF34}</author>
    <author>tc={CEB41BB5-3F15-4113-B27C-E02F6B90269E}</author>
    <author>tc={C70CBB13-9445-429D-ABF5-F45CDB8F38CA}</author>
    <author>tc={D86EDFD0-1973-44CD-BD87-17141156AF5D}</author>
    <author>tc={18E8DBDA-898B-4325-880F-B6B9790661F0}</author>
    <author>tc={EF0D079C-1822-482D-A9E7-2638377C955E}</author>
    <author>tc={022E9F07-B059-4286-9562-8B30F0AC020E}</author>
    <author>tc={B9772E7C-B50B-4024-9F05-377E7D10A71A}</author>
    <author>tc={B95FC3BF-B467-495E-AF65-EFFFA4C500A3}</author>
    <author>tc={F2BEE86F-5CA5-4665-9560-3C4CA513D3CF}</author>
    <author>tc={765D43FB-ECA4-45BF-9DBF-86584B7E5AA7}</author>
    <author>tc={20AF2215-BA24-44F0-8CD8-9E1EC4247BA3}</author>
    <author>tc={531D939C-C4E2-4CD2-93DF-978A4A6DFD10}</author>
    <author>tc={B5A3E029-530A-4D04-84F9-950E301D70AA}</author>
    <author>tc={7E739B03-83D3-4842-87D6-56D1700C7197}</author>
    <author>tc={8E62F2B2-7CF0-44D7-BD36-E2B206E1960E}</author>
    <author>tc={7460A6E9-0674-4461-A628-5D4CD4731C42}</author>
    <author>tc={F0F04CAF-94FB-4240-951C-478939B86727}</author>
    <author>tc={3009F7D6-ECF1-4565-828A-5A4DF73EB101}</author>
    <author>tc={1CB2CEF6-6DF5-458C-9A69-F067046936C0}</author>
    <author>tc={7610C89F-855C-4603-8B8E-1188173DD108}</author>
    <author>tc={F1DDA319-B15C-4286-AB54-ABCD3EDA3A9F}</author>
    <author>tc={A439CB65-7CA1-4417-84CD-06DC84158ED2}</author>
    <author>tc={D3DDFBA1-BE97-4B26-A177-C855C1FFADB7}</author>
    <author>tc={D70C0E0F-78ED-4564-8802-C11ACFD85EF8}</author>
    <author>tc={5745450A-CADC-4AC4-B338-CDE91F845CDC}</author>
    <author>tc={DD6618D1-C468-4D2A-B31E-9794A816BE78}</author>
    <author>tc={C12F0FAA-8C04-48FA-BF3C-360E4FD7DBBF}</author>
    <author>tc={CF352CC4-41B2-4442-8923-0472AFC93E6F}</author>
    <author>tc={046B7CE0-A066-43E5-B44F-32887FC51CC6}</author>
    <author>tc={72272E69-772D-446F-ADAA-9388DACAAEE1}</author>
    <author>tc={3180BCFB-80E6-443A-92B6-6DD1AAE99701}</author>
    <author>tc={DD24A83A-551A-469F-B137-34160CE2469E}</author>
    <author>tc={075AF19C-1A98-4BDD-ADC3-4915AA91DC4F}</author>
    <author>tc={09C6E5FA-33E7-4FAC-91EE-3BA8BD8A9E67}</author>
    <author>tc={0852898A-567A-464B-8576-2CE442041FC3}</author>
    <author>tc={5AEAE618-9F16-4524-A131-9AE08FFB779B}</author>
    <author>tc={939C7A1A-D350-4811-8572-65A990E523F9}</author>
    <author>tc={E0CFDB3C-FD76-4D58-8065-DA659C537242}</author>
    <author>tc={CFE99290-A8DC-4783-B6E2-D404FBCF18A5}</author>
    <author>tc={D531E55A-B1A7-406C-90B9-A22814907B6E}</author>
    <author>tc={C934C5DD-A5C1-4888-A364-6DACED50B161}</author>
    <author>tc={E9B82FCD-A297-4463-8C8C-D3C8CDE353FD}</author>
    <author>tc={5F3C30FF-5E7D-43FD-BC97-60BA01616361}</author>
    <author>tc={076F7CF6-1507-4876-BE54-CA5CED17567B}</author>
    <author>tc={F6AA1FDA-3CC7-4B3B-8E62-24A3D6A37823}</author>
    <author>tc={DFFDD0CF-2197-4063-A2D4-9B406D0FF654}</author>
    <author>tc={074FE7D5-6C3B-4E32-9281-5DF73BED935B}</author>
    <author>tc={34537A57-DC9A-431C-B3D7-8FAD17D88F80}</author>
    <author>tc={C30E223C-240A-49E8-BF94-3559CF76F11D}</author>
    <author>tc={2E840AFA-A76F-4CD6-8409-D59163632F25}</author>
    <author>tc={9EFF4B4D-EB58-426A-B436-5B09037868BF}</author>
    <author>tc={416B6DED-01B1-4637-8C6D-83B044E9DF2E}</author>
    <author>tc={0A131E26-0C34-4312-8394-F7CD05ED9BFF}</author>
    <author>tc={2F5E40E0-C66C-49CE-878E-3BE9D05D115B}</author>
    <author>tc={57BB2AAA-41C7-45C4-A71B-99FD45D8401C}</author>
    <author>tc={24FE74FA-9B3C-4EB7-A88F-42D04B3528D1}</author>
    <author>tc={D4DD48C5-FEE1-4773-A50F-93EEAFC4B64F}</author>
    <author>tc={0320505F-476A-4554-AC91-133A46FCAF48}</author>
    <author>tc={7698A827-9BC9-4B08-ABDD-50CD3429DC06}</author>
    <author>tc={FDFE29FF-92E5-4049-B6A8-79CB2D950A43}</author>
    <author>tc={ED80D12B-1EB7-4B56-887E-13140B5676FE}</author>
    <author>Taylor Weyenberg</author>
    <author>tc={6F6B896A-A344-4882-9D17-4F6698DDFA6F}</author>
    <author>tc={08FD8C35-FD5B-4437-8EA1-29EA1E972F7D}</author>
    <author>tc={7101B557-BCA2-4F1A-9A3C-28B938C4AD6F}</author>
    <author>tc={4B1812DB-A44F-4F1A-926B-EDB63F91C9E1}</author>
  </authors>
  <commentList>
    <comment ref="G18" authorId="0" shapeId="0" xr:uid="{1E523C98-1899-463B-93B3-C3AB5D24BA53}">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54" authorId="1" shapeId="0" xr:uid="{5C84806B-7E10-49B0-A415-CBFC860544C9}">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72" authorId="2" shapeId="0" xr:uid="{53167203-0BAC-4910-A41D-BC37F10E2659}">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108" authorId="3" shapeId="0" xr:uid="{37DCE39A-FBDA-447F-80D5-ED5DC2756FB8}">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126" authorId="4" shapeId="0" xr:uid="{3666E8CE-F260-458B-897E-4FD075BCD26B}">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162" authorId="5" shapeId="0" xr:uid="{076224A3-1557-4B13-9E51-4EE83A06F9A6}">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173" authorId="6" shapeId="0" xr:uid="{72031342-EFED-4D8F-BCA8-D2450FB341AC}">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63" authorId="7" shapeId="0" xr:uid="{87E4D091-8512-41DC-9AB3-B77BA3AEF654}">
      <text>
        <t>[Threaded comment]
Your version of Excel allows you to read this threaded comment; however, any edits to it will get removed if the file is opened in a newer version of Excel. Learn more: https://go.microsoft.com/fwlink/?linkid=870924
Comment:
    Updated per IL TRM v12, page 394. Previous value 4 assumed from Plan 3</t>
      </text>
    </comment>
    <comment ref="G265" authorId="8" shapeId="0" xr:uid="{2362E95E-4A9B-47EE-ACC6-9FC832AB79AF}">
      <text>
        <t>[Threaded comment]
Your version of Excel allows you to read this threaded comment; however, any edits to it will get removed if the file is opened in a newer version of Excel. Learn more: https://go.microsoft.com/fwlink/?linkid=870924
Comment:
    Updated per IL TRM v12, page 394. Previous value 4 assumed from Plan 3</t>
      </text>
    </comment>
    <comment ref="H265" authorId="9" shapeId="0" xr:uid="{9FBA4CB6-F362-4B2F-958E-74448F1B0DA6}">
      <text>
        <t>[Threaded comment]
Your version of Excel allows you to read this threaded comment; however, any edits to it will get removed if the file is opened in a newer version of Excel. Learn more: https://go.microsoft.com/fwlink/?linkid=870924
Comment:
    Updated per IL TRM v12, page 394. Previous - "Assumed 1 sq ft to match Plan 3"</t>
      </text>
    </comment>
    <comment ref="G277" authorId="10" shapeId="0" xr:uid="{D2F04D04-4346-4D92-9710-3AF451635CC1}">
      <text>
        <t>[Threaded comment]
Your version of Excel allows you to read this threaded comment; however, any edits to it will get removed if the file is opened in a newer version of Excel. Learn more: https://go.microsoft.com/fwlink/?linkid=870924
Comment:
    Updated per IL TRM v12, page 396. Previous value 5113</t>
      </text>
    </comment>
    <comment ref="G281" authorId="11" shapeId="0" xr:uid="{DF992F21-6DE3-41D6-BA68-DA416AB68BFA}">
      <text>
        <t>[Threaded comment]
Your version of Excel allows you to read this threaded comment; however, any edits to it will get removed if the file is opened in a newer version of Excel. Learn more: https://go.microsoft.com/fwlink/?linkid=870924
Comment:
    Updated per IL TRM v12, page 397. Previous value 0.60</t>
      </text>
    </comment>
    <comment ref="G287" authorId="12" shapeId="0" xr:uid="{671A479A-3A37-4948-A972-8D17BA837932}">
      <text>
        <t>[Threaded comment]
Your version of Excel allows you to read this threaded comment; however, any edits to it will get removed if the file is opened in a newer version of Excel. Learn more: https://go.microsoft.com/fwlink/?linkid=870924
Comment:
    Updated per IL TRM v12, page 392. Previous value 20</t>
      </text>
    </comment>
    <comment ref="G296" authorId="13" shapeId="0" xr:uid="{B403CFD5-1BB1-43C4-B8BD-6F610152B2A2}">
      <text>
        <t>[Threaded comment]
Your version of Excel allows you to read this threaded comment; however, any edits to it will get removed if the file is opened in a newer version of Excel. Learn more: https://go.microsoft.com/fwlink/?linkid=870924
Comment:
    Updated per IL TRM v12, page 428. Previous value 5113</t>
      </text>
    </comment>
    <comment ref="G297" authorId="14" shapeId="0" xr:uid="{869C54F0-2ABF-4629-BC30-A1623AE068BC}">
      <text>
        <t>[Threaded comment]
Your version of Excel allows you to read this threaded comment; however, any edits to it will get removed if the file is opened in a newer version of Excel. Learn more: https://go.microsoft.com/fwlink/?linkid=870924
Comment:
    Updated per IL TRM v12, page 429. Previous value 0.72</t>
      </text>
    </comment>
    <comment ref="G308" authorId="15" shapeId="0" xr:uid="{A79DB855-8681-4B2C-A3A7-99AACE75B84F}">
      <text>
        <t>[Threaded comment]
Your version of Excel allows you to read this threaded comment; however, any edits to it will get removed if the file is opened in a newer version of Excel. Learn more: https://go.microsoft.com/fwlink/?linkid=870924
Comment:
    Updated per IL TRM v12, page 421. Previous value 20</t>
      </text>
    </comment>
    <comment ref="G330" authorId="16" shapeId="0" xr:uid="{C94E523A-F4C6-4C4A-8083-5FA727E7A9F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H330" authorId="17" shapeId="0" xr:uid="{2A69EBE5-8966-451A-80A5-08478402858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360" authorId="18" shapeId="0" xr:uid="{52CF489B-6960-41AC-A8DF-090033DCF37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H360" authorId="19" shapeId="0" xr:uid="{FD092DC4-442D-46B3-8865-548F5DA66FF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425" authorId="20" shapeId="0" xr:uid="{56BB70E5-3FC5-42D0-87E3-FCDA19A40139}">
      <text>
        <t>[Threaded comment]
Your version of Excel allows you to read this threaded comment; however, any edits to it will get removed if the file is opened in a newer version of Excel. Learn more: https://go.microsoft.com/fwlink/?linkid=870924
Comment:
    Updated per IL TRM v12, page 138. Previous value 1840</t>
      </text>
    </comment>
    <comment ref="G434" authorId="21" shapeId="0" xr:uid="{0E9404A4-6FBD-413A-BC2C-993DFA1C4B49}">
      <text>
        <t>[Threaded comment]
Your version of Excel allows you to read this threaded comment; however, any edits to it will get removed if the file is opened in a newer version of Excel. Learn more: https://go.microsoft.com/fwlink/?linkid=870924
Comment:
    Updated per IL TRM v12, page 148. Previous value 0.90</t>
      </text>
    </comment>
    <comment ref="E437" authorId="22" shapeId="0" xr:uid="{B3ECF82B-6370-451F-9209-C9A9BA8AE133}">
      <text>
        <t>[Threaded comment]
Your version of Excel allows you to read this threaded comment; however, any edits to it will get removed if the file is opened in a newer version of Excel. Learn more: https://go.microsoft.com/fwlink/?linkid=870924
Comment:
    Updated per 2024 Adjustable Goals Guidehouse review. Previously Method 1.</t>
      </text>
    </comment>
    <comment ref="E438" authorId="23" shapeId="0" xr:uid="{623F89C7-E009-40D9-9CD4-08B6F3E580A7}">
      <text>
        <t>[Threaded comment]
Your version of Excel allows you to read this threaded comment; however, any edits to it will get removed if the file is opened in a newer version of Excel. Learn more: https://go.microsoft.com/fwlink/?linkid=870924
Comment:
    Updated per 2024 Adjustable Goals Guidehouse review. Previously Method 1.</t>
      </text>
    </comment>
    <comment ref="E439" authorId="24" shapeId="0" xr:uid="{E13A2B29-7EFF-474B-8C6B-99E15F2D8D13}">
      <text>
        <t>[Threaded comment]
Your version of Excel allows you to read this threaded comment; however, any edits to it will get removed if the file is opened in a newer version of Excel. Learn more: https://go.microsoft.com/fwlink/?linkid=870924
Comment:
    Updated per 2024 Adjustable Goals Guidehouse review. Previously Method 1.</t>
      </text>
    </comment>
    <comment ref="E442" authorId="25" shapeId="0" xr:uid="{AFAA028C-EE4F-4C7C-8171-150F6CCB9742}">
      <text>
        <t>[Threaded comment]
Your version of Excel allows you to read this threaded comment; however, any edits to it will get removed if the file is opened in a newer version of Excel. Learn more: https://go.microsoft.com/fwlink/?linkid=870924
Comment:
    Updated per 2024 Adjustable Goals Guidehouse review. Previously Method 2.</t>
      </text>
    </comment>
    <comment ref="E443" authorId="26" shapeId="0" xr:uid="{E073919D-5043-4AA8-9EB3-24E0035AF1CF}">
      <text>
        <t>[Threaded comment]
Your version of Excel allows you to read this threaded comment; however, any edits to it will get removed if the file is opened in a newer version of Excel. Learn more: https://go.microsoft.com/fwlink/?linkid=870924
Comment:
    Updated per 2024 Adjustable Goals Guidehouse review. Previously Method 2.</t>
      </text>
    </comment>
    <comment ref="E444" authorId="27" shapeId="0" xr:uid="{38CA3092-9AD1-4EBF-B811-3B2351B8EB8E}">
      <text>
        <t>[Threaded comment]
Your version of Excel allows you to read this threaded comment; however, any edits to it will get removed if the file is opened in a newer version of Excel. Learn more: https://go.microsoft.com/fwlink/?linkid=870924
Comment:
    Updated per 2024 Adjustable Goals Guidehouse review. Previously Method 2.</t>
      </text>
    </comment>
    <comment ref="G446" authorId="28" shapeId="0" xr:uid="{C8A0E632-3805-46C0-93A3-637722642DE7}">
      <text>
        <t>[Threaded comment]
Your version of Excel allows you to read this threaded comment; however, any edits to it will get removed if the file is opened in a newer version of Excel. Learn more: https://go.microsoft.com/fwlink/?linkid=870924
Comment:
    Updated per IL TRM v12, page 148.</t>
      </text>
    </comment>
    <comment ref="G447" authorId="29" shapeId="0" xr:uid="{ED92666F-97D5-4873-B900-F9903F8DB941}">
      <text>
        <t>[Threaded comment]
Your version of Excel allows you to read this threaded comment; however, any edits to it will get removed if the file is opened in a newer version of Excel. Learn more: https://go.microsoft.com/fwlink/?linkid=870924
Comment:
    Updated per IL TRM v12, page 147.</t>
      </text>
    </comment>
    <comment ref="G450" authorId="30" shapeId="0" xr:uid="{C8132ABB-B06E-46D2-A8AE-D19A0F78A7D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451" authorId="31" shapeId="0" xr:uid="{35DD3E5B-D7A5-4E5F-A5E9-0D7A008B2DB7}">
      <text>
        <t>[Threaded comment]
Your version of Excel allows you to read this threaded comment; however, any edits to it will get removed if the file is opened in a newer version of Excel. Learn more: https://go.microsoft.com/fwlink/?linkid=870924
Comment:
    Updated per IL TRM v12, page 148. Previous value 0.66</t>
      </text>
    </comment>
    <comment ref="G469" authorId="32" shapeId="0" xr:uid="{3A725442-013F-4069-AD2E-E51BF41FCB2F}">
      <text>
        <t>[Threaded comment]
Your version of Excel allows you to read this threaded comment; however, any edits to it will get removed if the file is opened in a newer version of Excel. Learn more: https://go.microsoft.com/fwlink/?linkid=870924
Comment:
    Updated per IL TRM v12, page 138. Previous value 1840</t>
      </text>
    </comment>
    <comment ref="G478" authorId="33" shapeId="0" xr:uid="{E5A05EAF-5C0F-4EC3-BD64-5CF153036250}">
      <text>
        <t>[Threaded comment]
Your version of Excel allows you to read this threaded comment; however, any edits to it will get removed if the file is opened in a newer version of Excel. Learn more: https://go.microsoft.com/fwlink/?linkid=870924
Comment:
    Updated per IL TRM v12, page 148. Previous value 0.90</t>
      </text>
    </comment>
    <comment ref="E481" authorId="34" shapeId="0" xr:uid="{47647DDA-B96C-45F6-A11C-DEEE233A1B83}">
      <text>
        <t>[Threaded comment]
Your version of Excel allows you to read this threaded comment; however, any edits to it will get removed if the file is opened in a newer version of Excel. Learn more: https://go.microsoft.com/fwlink/?linkid=870924
Comment:
    Updated per 2024 Adjustable Goals Guidehouse review. Previously Method 1.</t>
      </text>
    </comment>
    <comment ref="E482" authorId="35" shapeId="0" xr:uid="{2D6C5A9D-293D-451E-B4C0-6FEC77F2A6A3}">
      <text>
        <t>[Threaded comment]
Your version of Excel allows you to read this threaded comment; however, any edits to it will get removed if the file is opened in a newer version of Excel. Learn more: https://go.microsoft.com/fwlink/?linkid=870924
Comment:
    Updated per 2024 Adjustable Goals Guidehouse review. Previously Method 1.</t>
      </text>
    </comment>
    <comment ref="E483" authorId="36" shapeId="0" xr:uid="{1B38C46B-13B2-4BCA-A193-0FDB1CCD865E}">
      <text>
        <t>[Threaded comment]
Your version of Excel allows you to read this threaded comment; however, any edits to it will get removed if the file is opened in a newer version of Excel. Learn more: https://go.microsoft.com/fwlink/?linkid=870924
Comment:
    Updated per 2024 Adjustable Goals Guidehouse review. Previously Method 1.</t>
      </text>
    </comment>
    <comment ref="E486" authorId="37" shapeId="0" xr:uid="{5F097DCF-B728-4AA0-83E4-73B0A58B0BE9}">
      <text>
        <t>[Threaded comment]
Your version of Excel allows you to read this threaded comment; however, any edits to it will get removed if the file is opened in a newer version of Excel. Learn more: https://go.microsoft.com/fwlink/?linkid=870924
Comment:
    Updated per 2024 Adjustable Goals Guidehouse review. Previously Method 2.</t>
      </text>
    </comment>
    <comment ref="E487" authorId="38" shapeId="0" xr:uid="{86F7BC33-1581-45E8-BDDA-A386EE923E86}">
      <text>
        <t>[Threaded comment]
Your version of Excel allows you to read this threaded comment; however, any edits to it will get removed if the file is opened in a newer version of Excel. Learn more: https://go.microsoft.com/fwlink/?linkid=870924
Comment:
    Updated per 2024 Adjustable Goals Guidehouse review. Previously Method 2.</t>
      </text>
    </comment>
    <comment ref="E488" authorId="39" shapeId="0" xr:uid="{8D1A833E-BF1A-48B6-A61D-1E71DB062352}">
      <text>
        <t>[Threaded comment]
Your version of Excel allows you to read this threaded comment; however, any edits to it will get removed if the file is opened in a newer version of Excel. Learn more: https://go.microsoft.com/fwlink/?linkid=870924
Comment:
    Updated per 2024 Adjustable Goals Guidehouse review. Previously Method 2.</t>
      </text>
    </comment>
    <comment ref="G490" authorId="40" shapeId="0" xr:uid="{16AF79DE-853B-4E62-83BF-911E780E6D0A}">
      <text>
        <t>[Threaded comment]
Your version of Excel allows you to read this threaded comment; however, any edits to it will get removed if the file is opened in a newer version of Excel. Learn more: https://go.microsoft.com/fwlink/?linkid=870924
Comment:
    Updated per IL TRM v12, page 148.</t>
      </text>
    </comment>
    <comment ref="G491" authorId="41" shapeId="0" xr:uid="{1FEE8598-2BB8-49AD-BED8-21691644E68B}">
      <text>
        <t>[Threaded comment]
Your version of Excel allows you to read this threaded comment; however, any edits to it will get removed if the file is opened in a newer version of Excel. Learn more: https://go.microsoft.com/fwlink/?linkid=870924
Comment:
    Updated per IL TRM v12, page 147.</t>
      </text>
    </comment>
    <comment ref="G492" authorId="42" shapeId="0" xr:uid="{037A3E4A-D91C-4832-9A06-6095A33A5DD9}">
      <text>
        <t>[Threaded comment]
Your version of Excel allows you to read this threaded comment; however, any edits to it will get removed if the file is opened in a newer version of Excel. Learn more: https://go.microsoft.com/fwlink/?linkid=870924
Comment:
    Updated per IL TRM v12, page 147.</t>
      </text>
    </comment>
    <comment ref="G496" authorId="43" shapeId="0" xr:uid="{77E7D3D9-4D4C-4B77-847A-ACA3FAF229A3}">
      <text>
        <t>[Threaded comment]
Your version of Excel allows you to read this threaded comment; however, any edits to it will get removed if the file is opened in a newer version of Excel. Learn more: https://go.microsoft.com/fwlink/?linkid=870924
Comment:
    Updated per IL TRM v12, page 148. Previous value 0.66</t>
      </text>
    </comment>
    <comment ref="G541" authorId="44" shapeId="0" xr:uid="{66BBC6C4-A3AF-4BD2-868C-E8552E71D523}">
      <text>
        <t>[Threaded comment]
Your version of Excel allows you to read this threaded comment; however, any edits to it will get removed if the file is opened in a newer version of Excel. Learn more: https://go.microsoft.com/fwlink/?linkid=870924
Comment:
    Updated per IL TRM v12, page 405. Previous value 3079</t>
      </text>
    </comment>
    <comment ref="G543" authorId="45" shapeId="0" xr:uid="{D6498BAA-97B1-46FF-A0D5-5763D13BFAB7}">
      <text>
        <t>[Threaded comment]
Your version of Excel allows you to read this threaded comment; however, any edits to it will get removed if the file is opened in a newer version of Excel. Learn more: https://go.microsoft.com/fwlink/?linkid=870924
Comment:
    Updated per IL TRM v12, page 406. Previous value 0.60</t>
      </text>
    </comment>
    <comment ref="G552" authorId="46" shapeId="0" xr:uid="{55A47787-A882-4D9B-8E44-4765EF7EC024}">
      <text>
        <t>[Threaded comment]
Your version of Excel allows you to read this threaded comment; however, any edits to it will get removed if the file is opened in a newer version of Excel. Learn more: https://go.microsoft.com/fwlink/?linkid=870924
Comment:
    Updated per IL TRM v12, page 402. Previous value 20</t>
      </text>
    </comment>
    <comment ref="G572" authorId="47" shapeId="0" xr:uid="{98817D9F-D70E-4710-BEFC-61EA68AB6506}">
      <text>
        <t>[Threaded comment]
Your version of Excel allows you to read this threaded comment; however, any edits to it will get removed if the file is opened in a newer version of Excel. Learn more: https://go.microsoft.com/fwlink/?linkid=870924
Comment:
    Updated per IL TRM v12, page 435. Previous value 3079</t>
      </text>
    </comment>
    <comment ref="G574" authorId="48" shapeId="0" xr:uid="{93703F13-E3AB-45D0-8FCA-13FA58A4F9C0}">
      <text>
        <t>[Threaded comment]
Your version of Excel allows you to read this threaded comment; however, any edits to it will get removed if the file is opened in a newer version of Excel. Learn more: https://go.microsoft.com/fwlink/?linkid=870924
Comment:
    Updated per IL TRM v12, page 436. Previous value 0.60</t>
      </text>
    </comment>
    <comment ref="G591" authorId="49" shapeId="0" xr:uid="{3CE7E228-183C-43A7-867A-5D1E35BB88A2}">
      <text>
        <t>[Threaded comment]
Your version of Excel allows you to read this threaded comment; however, any edits to it will get removed if the file is opened in a newer version of Excel. Learn more: https://go.microsoft.com/fwlink/?linkid=870924
Comment:
    Updated per IL TRM v12, page 435. Previous value 5113.</t>
      </text>
    </comment>
    <comment ref="G593" authorId="50" shapeId="0" xr:uid="{CA3FF610-3293-435B-BAE1-BE756AD412EB}">
      <text>
        <t>[Threaded comment]
Your version of Excel allows you to read this threaded comment; however, any edits to it will get removed if the file is opened in a newer version of Excel. Learn more: https://go.microsoft.com/fwlink/?linkid=870924
Comment:
    Updated per IL TRM v12, page 436. Previous value 0.60</t>
      </text>
    </comment>
    <comment ref="G603" authorId="51" shapeId="0" xr:uid="{5A342576-4282-453C-98E2-A01FD6C3CD8B}">
      <text>
        <t>[Threaded comment]
Your version of Excel allows you to read this threaded comment; however, any edits to it will get removed if the file is opened in a newer version of Excel. Learn more: https://go.microsoft.com/fwlink/?linkid=870924
Comment:
    Updated per IL TRM v12, page 432. Previous value 20</t>
      </text>
    </comment>
    <comment ref="G616" authorId="52" shapeId="0" xr:uid="{6CEE7D97-E4D5-4D05-80E8-E45767E6C6D0}">
      <text>
        <t>[Threaded comment]
Your version of Excel allows you to read this threaded comment; however, any edits to it will get removed if the file is opened in a newer version of Excel. Learn more: https://go.microsoft.com/fwlink/?linkid=870924
Comment:
    Updated per IL TRM v12, page 415. Previous value 0.60</t>
      </text>
    </comment>
    <comment ref="G617" authorId="53" shapeId="0" xr:uid="{F8F20293-0A6A-4782-A991-40A2FAD81F3E}">
      <text>
        <t>[Threaded comment]
Your version of Excel allows you to read this threaded comment; however, any edits to it will get removed if the file is opened in a newer version of Excel. Learn more: https://go.microsoft.com/fwlink/?linkid=870924
Comment:
    Updated per IL TRM v12, page 418. Previous value 5113</t>
      </text>
    </comment>
    <comment ref="G640" authorId="54" shapeId="0" xr:uid="{12C4ED1B-232B-46D0-8A3C-A27CC23D59CD}">
      <text>
        <t>[Threaded comment]
Your version of Excel allows you to read this threaded comment; however, any edits to it will get removed if the file is opened in a newer version of Excel. Learn more: https://go.microsoft.com/fwlink/?linkid=870924
Comment:
    Updated per IL TRM v12, page 411. Previous value 20</t>
      </text>
    </comment>
    <comment ref="G653" authorId="55" shapeId="0" xr:uid="{FB4F27A2-C1BC-456D-921B-DCE72940CEA3}">
      <text>
        <t>[Threaded comment]
Your version of Excel allows you to read this threaded comment; however, any edits to it will get removed if the file is opened in a newer version of Excel. Learn more: https://go.microsoft.com/fwlink/?linkid=870924
Comment:
    Updated per IL TRM v12, page 415. Previous value 0.60</t>
      </text>
    </comment>
    <comment ref="G654" authorId="56" shapeId="0" xr:uid="{F98352C0-E752-4BD4-AD0D-B58731D692F1}">
      <text>
        <t>[Threaded comment]
Your version of Excel allows you to read this threaded comment; however, any edits to it will get removed if the file is opened in a newer version of Excel. Learn more: https://go.microsoft.com/fwlink/?linkid=870924
Comment:
    Updated per IL TRM v12, page 418. Previous value 5113</t>
      </text>
    </comment>
    <comment ref="G677" authorId="57" shapeId="0" xr:uid="{E5E22211-8CAE-4914-AD80-E393C1C6DFC8}">
      <text>
        <t>[Threaded comment]
Your version of Excel allows you to read this threaded comment; however, any edits to it will get removed if the file is opened in a newer version of Excel. Learn more: https://go.microsoft.com/fwlink/?linkid=870924
Comment:
    Updated per IL TRM v12, page 411. Previous value 20</t>
      </text>
    </comment>
    <comment ref="G690" authorId="58" shapeId="0" xr:uid="{1630C3B0-1557-4A7E-B507-38F9714F247B}">
      <text>
        <t>[Threaded comment]
Your version of Excel allows you to read this threaded comment; however, any edits to it will get removed if the file is opened in a newer version of Excel. Learn more: https://go.microsoft.com/fwlink/?linkid=870924
Comment:
    Updated per IL TRM v12, page 415. Previous value 0.60</t>
      </text>
    </comment>
    <comment ref="G691" authorId="59" shapeId="0" xr:uid="{600300C1-240D-4A6D-BE01-7AE513DF22F2}">
      <text>
        <t>[Threaded comment]
Your version of Excel allows you to read this threaded comment; however, any edits to it will get removed if the file is opened in a newer version of Excel. Learn more: https://go.microsoft.com/fwlink/?linkid=870924
Comment:
    Updated per IL TRM v12, page 418. Previous value 5113</t>
      </text>
    </comment>
    <comment ref="G714" authorId="60" shapeId="0" xr:uid="{1E547235-7FE2-471E-ADBD-8C8DB5B132B6}">
      <text>
        <t>[Threaded comment]
Your version of Excel allows you to read this threaded comment; however, any edits to it will get removed if the file is opened in a newer version of Excel. Learn more: https://go.microsoft.com/fwlink/?linkid=870924
Comment:
    Updated per IL TRM v12, page 411. Previous value 20</t>
      </text>
    </comment>
    <comment ref="G794" authorId="61" shapeId="0" xr:uid="{A8CC6AA6-B5D8-4CDA-A18F-7D69D021855A}">
      <text>
        <t>[Threaded comment]
Your version of Excel allows you to read this threaded comment; however, any edits to it will get removed if the file is opened in a newer version of Excel. Learn more: https://go.microsoft.com/fwlink/?linkid=870924
Comment:
    Updated per IL TRM v12, page 244. Previous value 0.9390 from 2020 MMDB.</t>
      </text>
    </comment>
    <comment ref="G796" authorId="62" shapeId="0" xr:uid="{21911140-08C7-4777-A91E-7BEA40252394}">
      <text>
        <t>[Threaded comment]
Your version of Excel allows you to read this threaded comment; however, any edits to it will get removed if the file is opened in a newer version of Excel. Learn more: https://go.microsoft.com/fwlink/?linkid=870924
Comment:
    Updated per IL TRM v12, page 245. Previous value 13.</t>
      </text>
    </comment>
    <comment ref="G797" authorId="63" shapeId="0" xr:uid="{34441D23-D859-45D1-BDB4-1EDF40BB082B}">
      <text>
        <t>[Threaded comment]
Your version of Excel allows you to read this threaded comment; however, any edits to it will get removed if the file is opened in a newer version of Excel. Learn more: https://go.microsoft.com/fwlink/?linkid=870924
Comment:
    Updated per IL TRM v12, page 245. Previous value $605.</t>
      </text>
    </comment>
    <comment ref="G822" authorId="64" shapeId="0" xr:uid="{086078B7-ABF3-43F5-9596-9101A21E0C16}">
      <text>
        <t>[Threaded comment]
Your version of Excel allows you to read this threaded comment; however, any edits to it will get removed if the file is opened in a newer version of Excel. Learn more: https://go.microsoft.com/fwlink/?linkid=870924
Comment:
    Updated per IL TRM v12, page 244. Previous value 0.67 from 2020 MMDB.</t>
      </text>
    </comment>
    <comment ref="G824" authorId="65" shapeId="0" xr:uid="{7F239D21-93D7-4BF7-A95C-4689CF35816C}">
      <text>
        <t>[Threaded comment]
Your version of Excel allows you to read this threaded comment; however, any edits to it will get removed if the file is opened in a newer version of Excel. Learn more: https://go.microsoft.com/fwlink/?linkid=870924
Comment:
    Updated per IL TRM v12, page 245. Previous value 13.</t>
      </text>
    </comment>
    <comment ref="G825" authorId="66" shapeId="0" xr:uid="{D24FF411-F965-494D-BCD8-54A0BC8C4A6A}">
      <text>
        <t>[Threaded comment]
Your version of Excel allows you to read this threaded comment; however, any edits to it will get removed if the file is opened in a newer version of Excel. Learn more: https://go.microsoft.com/fwlink/?linkid=870924
Comment:
    Updated per IL TRM v12, page 245. Previous value $400.</t>
      </text>
    </comment>
    <comment ref="G834" authorId="67" shapeId="0" xr:uid="{57F3D4A4-4680-4F46-962F-AE1745AB9992}">
      <text>
        <t>[Threaded comment]
Your version of Excel allows you to read this threaded comment; however, any edits to it will get removed if the file is opened in a newer version of Excel. Learn more: https://go.microsoft.com/fwlink/?linkid=870924
Comment:
    Updated per IL TRM v12, page 387. Previous value 5113</t>
      </text>
    </comment>
    <comment ref="F840" authorId="68" shapeId="0" xr:uid="{83D344A5-2278-4224-A8AA-893E0262CA60}">
      <text>
        <t>[Threaded comment]
Your version of Excel allows you to read this threaded comment; however, any edits to it will get removed if the file is opened in a newer version of Excel. Learn more: https://go.microsoft.com/fwlink/?linkid=870924
Comment:
    Per project CFM reduction</t>
      </text>
    </comment>
    <comment ref="G853" authorId="69" shapeId="0" xr:uid="{A88F2D57-27B0-4D1F-A782-C8A68B536BD5}">
      <text>
        <t>[Threaded comment]
Your version of Excel allows you to read this threaded comment; however, any edits to it will get removed if the file is opened in a newer version of Excel. Learn more: https://go.microsoft.com/fwlink/?linkid=870924
Comment:
    Updated per IL TRM v12, page 388. Previous value 0.72</t>
      </text>
    </comment>
    <comment ref="G855" authorId="70" shapeId="0" xr:uid="{9C4E33B1-2E61-4B45-8BF4-30EE7E0A5305}">
      <text>
        <t>[Threaded comment]
Your version of Excel allows you to read this threaded comment; however, any edits to it will get removed if the file is opened in a newer version of Excel. Learn more: https://go.microsoft.com/fwlink/?linkid=870924
Comment:
    Updated per IL TRM v12, page 387. Previous value 5113</t>
      </text>
    </comment>
    <comment ref="G874" authorId="71" shapeId="0" xr:uid="{C759CFE0-A8E5-433C-81C5-168A2C47269D}">
      <text>
        <t>[Threaded comment]
Your version of Excel allows you to read this threaded comment; however, any edits to it will get removed if the file is opened in a newer version of Excel. Learn more: https://go.microsoft.com/fwlink/?linkid=870924
Comment:
    Updated per IL TRM v12, page 388. Previous value 0.72</t>
      </text>
    </comment>
    <comment ref="G876" authorId="72" shapeId="0" xr:uid="{CF49778B-2B58-4FA1-941D-992C3E334AED}">
      <text>
        <t>[Threaded comment]
Your version of Excel allows you to read this threaded comment; however, any edits to it will get removed if the file is opened in a newer version of Excel. Learn more: https://go.microsoft.com/fwlink/?linkid=870924
Comment:
    Updated per IL TRM v12, page 387. Previous value 5113</t>
      </text>
    </comment>
    <comment ref="H891" authorId="73" shapeId="0" xr:uid="{D7505334-F27F-4837-93AF-F32910C927A8}">
      <text>
        <t>[Threaded comment]
Your version of Excel allows you to read this threaded comment; however, any edits to it will get removed if the file is opened in a newer version of Excel. Learn more: https://go.microsoft.com/fwlink/?linkid=870924
Comment:
    Per project CFM reduction</t>
      </text>
    </comment>
    <comment ref="H892" authorId="74" shapeId="0" xr:uid="{5C07C21F-988E-41F3-8CA3-61FD8EA5CED4}">
      <text>
        <t>[Threaded comment]
Your version of Excel allows you to read this threaded comment; however, any edits to it will get removed if the file is opened in a newer version of Excel. Learn more: https://go.microsoft.com/fwlink/?linkid=870924
Comment:
    Per project CFM reduction</t>
      </text>
    </comment>
    <comment ref="G898" authorId="75" shapeId="0" xr:uid="{A65E6806-6DFD-4E9F-9822-95E623119620}">
      <text>
        <t>[Threaded comment]
Your version of Excel allows you to read this threaded comment; however, any edits to it will get removed if the file is opened in a newer version of Excel. Learn more: https://go.microsoft.com/fwlink/?linkid=870924
Comment:
    Updated per IL TRM v12, page 387. Previous value 5113</t>
      </text>
    </comment>
    <comment ref="H903" authorId="76" shapeId="0" xr:uid="{1257981E-3551-4A37-B375-4628A8225FCF}">
      <text>
        <t>[Threaded comment]
Your version of Excel allows you to read this threaded comment; however, any edits to it will get removed if the file is opened in a newer version of Excel. Learn more: https://go.microsoft.com/fwlink/?linkid=870924
Comment:
    Per project CFM reduction
Reply:
    Updated per 2024 Adjustable Goals Guidehouse review.</t>
      </text>
    </comment>
    <comment ref="G913" authorId="77" shapeId="0" xr:uid="{3AAD55C3-EFFF-4D9B-AF22-5E6FC62A8BC9}">
      <text>
        <t>[Threaded comment]
Your version of Excel allows you to read this threaded comment; however, any edits to it will get removed if the file is opened in a newer version of Excel. Learn more: https://go.microsoft.com/fwlink/?linkid=870924
Comment:
    Updated per IL TRM v12, page 246. Previous value 0.580</t>
      </text>
    </comment>
    <comment ref="G914" authorId="78" shapeId="0" xr:uid="{D2CBE7D6-C770-4BE3-BFE5-5009F1A147EE}">
      <text>
        <t>[Threaded comment]
Your version of Excel allows you to read this threaded comment; however, any edits to it will get removed if the file is opened in a newer version of Excel. Learn more: https://go.microsoft.com/fwlink/?linkid=870924
Comment:
    Updated per IL TRM v12, page 247. Previous value 0.933</t>
      </text>
    </comment>
    <comment ref="G923" authorId="79" shapeId="0" xr:uid="{ABF0EBDF-585E-4689-9EF5-2FEDA084D45A}">
      <text>
        <t>[Threaded comment]
Your version of Excel allows you to read this threaded comment; however, any edits to it will get removed if the file is opened in a newer version of Excel. Learn more: https://go.microsoft.com/fwlink/?linkid=870924
Comment:
    Updated per IL TRM v12, page 245. Previous value 13.</t>
      </text>
    </comment>
    <comment ref="G924" authorId="80" shapeId="0" xr:uid="{490DC731-2988-4CED-A4B5-57CA52FA382E}">
      <text>
        <t>[Threaded comment]
Your version of Excel allows you to read this threaded comment; however, any edits to it will get removed if the file is opened in a newer version of Excel. Learn more: https://go.microsoft.com/fwlink/?linkid=870924
Comment:
    Updated per IL TRM v12, page 245. Previous value $1,824.</t>
      </text>
    </comment>
    <comment ref="J935" authorId="81" shapeId="0" xr:uid="{379EFD85-345D-4D13-95A2-B0C35995ABA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37" authorId="82" shapeId="0" xr:uid="{E377C0B3-B324-463A-BF80-CB3213FC19E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38" authorId="83" shapeId="0" xr:uid="{0C677841-7FC7-48B5-81A0-06CAA82B0F3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39" authorId="84" shapeId="0" xr:uid="{72AF09AE-1F18-41CD-80AD-0A2A01B804F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0" authorId="85" shapeId="0" xr:uid="{E9F07293-F013-472C-A740-EE4D7D7A113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1" authorId="86" shapeId="0" xr:uid="{7E82CE1F-FB4F-42C4-83FC-A1487D622CB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2" authorId="87" shapeId="0" xr:uid="{4DB7AF01-502A-44DD-8A6B-16E4CC5DCFB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3" authorId="88" shapeId="0" xr:uid="{2CE95E5E-E3A2-4F0C-A792-3EFD1478FD5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4" authorId="89" shapeId="0" xr:uid="{6DCCF419-A379-4235-A234-7BA905DCDA3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5" authorId="90" shapeId="0" xr:uid="{88111EEE-55D3-41DF-9295-4174B9D4D48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7" authorId="91" shapeId="0" xr:uid="{76C0D6B4-AA4B-49B1-A7B7-BB98CFE975A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8" authorId="92" shapeId="0" xr:uid="{7413CD42-EF98-40B4-823C-699342024DB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49" authorId="93" shapeId="0" xr:uid="{29A0F9E3-58C9-477C-9FA1-679E2FEECA6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50" authorId="94" shapeId="0" xr:uid="{AAD5DB5D-1680-492E-9A00-2D2DC76E425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51" authorId="95" shapeId="0" xr:uid="{C81C1E65-36FB-47AF-8478-5F37FB910FF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52" authorId="96" shapeId="0" xr:uid="{BC681E7B-88B7-4458-BA1E-B036920684D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53" authorId="97" shapeId="0" xr:uid="{5CE05914-BD9F-4DED-BBFC-1759FDFC9BC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54" authorId="98" shapeId="0" xr:uid="{00A69867-90E5-42EA-9C8E-F68ECD6C6F1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55" authorId="99" shapeId="0" xr:uid="{933AD65B-0362-450E-A60B-DF3B58145B5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J956" authorId="100" shapeId="0" xr:uid="{053FCD8C-DBA9-461B-A79D-7758C281857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966" authorId="101" shapeId="0" xr:uid="{09CB2477-7F00-4055-88BA-712E07A3EA65}">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979" authorId="102" shapeId="0" xr:uid="{B1DC32F3-2659-4171-AF3E-ADC407835291}">
      <text>
        <t>[Threaded comment]
Your version of Excel allows you to read this threaded comment; however, any edits to it will get removed if the file is opened in a newer version of Excel. Learn more: https://go.microsoft.com/fwlink/?linkid=870924
Comment:
    Updated per IL TRM v11
Reply:
    Updated per IL TRM v12, page 338. Previous value 79%</t>
      </text>
    </comment>
    <comment ref="H979" authorId="103" shapeId="0" xr:uid="{D94628AF-FB8C-4110-96E6-E9347ED00565}">
      <text>
        <t>[Threaded comment]
Your version of Excel allows you to read this threaded comment; however, any edits to it will get removed if the file is opened in a newer version of Excel. Learn more: https://go.microsoft.com/fwlink/?linkid=870924
Comment:
    Updated per IL TRM v11
Reply:
    Updated per IL TRM v12, page 338.</t>
      </text>
    </comment>
    <comment ref="G980" authorId="104" shapeId="0" xr:uid="{F26588DA-F765-4BA4-9591-5813C7BBB672}">
      <text>
        <t>[Threaded comment]
Your version of Excel allows you to read this threaded comment; however, any edits to it will get removed if the file is opened in a newer version of Excel. Learn more: https://go.microsoft.com/fwlink/?linkid=870924
Comment:
    Updated per IL TRM v12, page 336. Previous value 82% from 2020 MMDB.</t>
      </text>
    </comment>
    <comment ref="H988" authorId="105" shapeId="0" xr:uid="{0A17929B-884C-48E0-8002-6F3B6F75C1BA}">
      <text>
        <t>[Threaded comment]
Your version of Excel allows you to read this threaded comment; however, any edits to it will get removed if the file is opened in a newer version of Excel. Learn more: https://go.microsoft.com/fwlink/?linkid=870924
Comment:
    Updated assumption per IL TRM v12, page 338.</t>
      </text>
    </comment>
    <comment ref="H989" authorId="106" shapeId="0" xr:uid="{298C54CC-09A0-4D1A-839F-7B8752E658C4}">
      <text>
        <t>[Threaded comment]
Your version of Excel allows you to read this threaded comment; however, any edits to it will get removed if the file is opened in a newer version of Excel. Learn more: https://go.microsoft.com/fwlink/?linkid=870924
Comment:
    Updated assumption per 2024 Adjustable Goals Guidehouse review.</t>
      </text>
    </comment>
    <comment ref="I989" authorId="107" shapeId="0" xr:uid="{B0D96B67-9480-4588-BB8C-1B2AA8156CC2}">
      <text>
        <t>[Threaded comment]
Your version of Excel allows you to read this threaded comment; however, any edits to it will get removed if the file is opened in a newer version of Excel. Learn more: https://go.microsoft.com/fwlink/?linkid=870924
Comment:
    Updated per IL TRM v12. Previously "2020 MMDB."</t>
      </text>
    </comment>
    <comment ref="G997" authorId="108" shapeId="0" xr:uid="{2319328A-91D6-4543-AB02-F38A078C6329}">
      <text>
        <t>[Threaded comment]
Your version of Excel allows you to read this threaded comment; however, any edits to it will get removed if the file is opened in a newer version of Excel. Learn more: https://go.microsoft.com/fwlink/?linkid=870924
Comment:
    Updated per IL TRM v11
Reply:
    Updated per IL TRM v12, page 338. Previous value 80%</t>
      </text>
    </comment>
    <comment ref="H997" authorId="109" shapeId="0" xr:uid="{1DBAAEFD-4B35-49AF-95C4-8FA14A85E891}">
      <text>
        <t>[Threaded comment]
Your version of Excel allows you to read this threaded comment; however, any edits to it will get removed if the file is opened in a newer version of Excel. Learn more: https://go.microsoft.com/fwlink/?linkid=870924
Comment:
    Updated assumption per IL TRM v12, page 338.</t>
      </text>
    </comment>
    <comment ref="H998" authorId="110" shapeId="0" xr:uid="{7A6B746F-5E66-481A-8BE5-A88713723024}">
      <text>
        <t>[Threaded comment]
Your version of Excel allows you to read this threaded comment; however, any edits to it will get removed if the file is opened in a newer version of Excel. Learn more: https://go.microsoft.com/fwlink/?linkid=870924
Comment:
    Updated assumption per 2024 Adjustable Goals Guidehouse review.</t>
      </text>
    </comment>
    <comment ref="I998" authorId="111" shapeId="0" xr:uid="{474F099A-360C-4A70-8F65-9D8C4D44ADDC}">
      <text>
        <t>[Threaded comment]
Your version of Excel allows you to read this threaded comment; however, any edits to it will get removed if the file is opened in a newer version of Excel. Learn more: https://go.microsoft.com/fwlink/?linkid=870924
Comment:
    Updated per IL TRM v12. Previously "2020 MMDB."</t>
      </text>
    </comment>
    <comment ref="G1150" authorId="112" shapeId="0" xr:uid="{DE9015CC-0DF0-4DCC-A98D-EB1664758D7A}">
      <text>
        <t>[Threaded comment]
Your version of Excel allows you to read this threaded comment; however, any edits to it will get removed if the file is opened in a newer version of Excel. Learn more: https://go.microsoft.com/fwlink/?linkid=870924
Comment:
    Updated per IL TRM v12, page 345. Previous value 80%.</t>
      </text>
    </comment>
    <comment ref="G1228" authorId="113" shapeId="0" xr:uid="{83D41B96-F809-4AAE-B5DA-49553E43EE7C}">
      <text>
        <t>[Threaded comment]
Your version of Excel allows you to read this threaded comment; however, any edits to it will get removed if the file is opened in a newer version of Excel. Learn more: https://go.microsoft.com/fwlink/?linkid=870924
Comment:
    Updated per IL TRM v12, page 123. Previous value 1840</t>
      </text>
    </comment>
    <comment ref="G1231" authorId="114" shapeId="0" xr:uid="{D50E2295-791A-482B-9735-73CD3193E17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H1231" authorId="115" shapeId="0" xr:uid="{32E5D79C-5DE3-44A6-A529-C6A1ADA0FB1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1232" authorId="116" shapeId="0" xr:uid="{90DB1BF8-4519-4D92-BB84-3C0424E1F3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H1232" authorId="117" shapeId="0" xr:uid="{AC180A7E-B32B-4ACB-84C3-617AD6F0F52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1249" authorId="118" shapeId="0" xr:uid="{28EC1D76-D527-4063-ACB1-BB4DFE988893}">
      <text>
        <t>[Threaded comment]
Your version of Excel allows you to read this threaded comment; however, any edits to it will get removed if the file is opened in a newer version of Excel. Learn more: https://go.microsoft.com/fwlink/?linkid=870924
Comment:
    Updated per IL TRM v12, page 123. Previous value 1840</t>
      </text>
    </comment>
    <comment ref="H1252" authorId="119" shapeId="0" xr:uid="{C0D99152-EF9C-4D3D-929E-6A3BBDD086C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H1253" authorId="120" shapeId="0" xr:uid="{5ACA0E90-74FA-407F-8091-E5D7D282F69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1291" authorId="121" shapeId="0" xr:uid="{96F95E30-D12A-400E-9F7C-DD4FAABC5BDE}">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1317" authorId="122" shapeId="0" xr:uid="{74FB0E78-4BDD-4AB9-943B-79ED157718DE}">
      <text>
        <t>[Threaded comment]
Your version of Excel allows you to read this threaded comment; however, any edits to it will get removed if the file is opened in a newer version of Excel. Learn more: https://go.microsoft.com/fwlink/?linkid=870924
Comment:
    Updated per IL TRM v12, page 278. Previous value 135</t>
      </text>
    </comment>
    <comment ref="G1318" authorId="123" shapeId="0" xr:uid="{1C1B6A9A-2DBA-4E45-A807-9B9DBEA9679A}">
      <text>
        <t>[Threaded comment]
Your version of Excel allows you to read this threaded comment; however, any edits to it will get removed if the file is opened in a newer version of Excel. Learn more: https://go.microsoft.com/fwlink/?linkid=870924
Comment:
    Updated per IL TRM v12, page 278. Previous value 120</t>
      </text>
    </comment>
    <comment ref="G1328" authorId="124" shapeId="0" xr:uid="{4FD5AC03-D428-47FB-88BE-ECB7ED795EE5}">
      <text>
        <t>[Threaded comment]
Your version of Excel allows you to read this threaded comment; however, any edits to it will get removed if the file is opened in a newer version of Excel. Learn more: https://go.microsoft.com/fwlink/?linkid=870924
Comment:
    Updated per IL TRM v12, page 278. Previous value 135</t>
      </text>
    </comment>
    <comment ref="G1329" authorId="125" shapeId="0" xr:uid="{B1B6159A-E59C-4F5C-9377-09B66B692678}">
      <text>
        <t>[Threaded comment]
Your version of Excel allows you to read this threaded comment; however, any edits to it will get removed if the file is opened in a newer version of Excel. Learn more: https://go.microsoft.com/fwlink/?linkid=870924
Comment:
    Updated per IL TRM v12, page 278. Previous value 120</t>
      </text>
    </comment>
    <comment ref="H1331" authorId="126" shapeId="0" xr:uid="{9A9F8C70-3902-409F-8281-5613BA6B57F4}">
      <text>
        <t>[Threaded comment]
Your version of Excel allows you to read this threaded comment; however, any edits to it will get removed if the file is opened in a newer version of Excel. Learn more: https://go.microsoft.com/fwlink/?linkid=870924
Comment:
    Updated per IL TRM v12, page 278. Previous ISR 13% if school kit instructions.</t>
      </text>
    </comment>
    <comment ref="G1339" authorId="127" shapeId="0" xr:uid="{A2CBE7CD-789C-4BA4-8DF0-F5332E71005A}">
      <text>
        <t>[Threaded comment]
Your version of Excel allows you to read this threaded comment; however, any edits to it will get removed if the file is opened in a newer version of Excel. Learn more: https://go.microsoft.com/fwlink/?linkid=870924
Comment:
    Updated per IL TRM v12, page 278. Previous value 135</t>
      </text>
    </comment>
    <comment ref="G1340" authorId="128" shapeId="0" xr:uid="{24EBC97B-8415-40DB-AC86-82A91242CC1E}">
      <text>
        <t>[Threaded comment]
Your version of Excel allows you to read this threaded comment; however, any edits to it will get removed if the file is opened in a newer version of Excel. Learn more: https://go.microsoft.com/fwlink/?linkid=870924
Comment:
    Updated per IL TRM v12, page 278. Previous value 120</t>
      </text>
    </comment>
    <comment ref="G1906" authorId="129" shapeId="0" xr:uid="{46034884-E51A-4939-BBE5-F000979C1EF9}">
      <text>
        <t>[Threaded comment]
Your version of Excel allows you to read this threaded comment; however, any edits to it will get removed if the file is opened in a newer version of Excel. Learn more: https://go.microsoft.com/fwlink/?linkid=870924
Comment:
    Updated per IL TRM v11
Reply:
    Updated per IL TRM v12, page 257. 
Previous value 22.44%.</t>
      </text>
    </comment>
    <comment ref="G1908" authorId="130" shapeId="0" xr:uid="{FB3CE72A-8D54-4D78-AA18-1E027CA3F977}">
      <text>
        <t>[Threaded comment]
Your version of Excel allows you to read this threaded comment; however, any edits to it will get removed if the file is opened in a newer version of Excel. Learn more: https://go.microsoft.com/fwlink/?linkid=870924
Comment:
    Updated per IL TRM v11
Reply:
    Updated per IL TRM v12, page 257. 
Previous value 44.57%.</t>
      </text>
    </comment>
    <comment ref="H1919" authorId="131" shapeId="0" xr:uid="{5402B1B5-2238-459D-A6F2-69DAA7D24C84}">
      <text>
        <t>[Threaded comment]
Your version of Excel allows you to read this threaded comment; however, any edits to it will get removed if the file is opened in a newer version of Excel. Learn more: https://go.microsoft.com/fwlink/?linkid=870924
Comment:
    Updated per 2024 Adjustable Goals Guidehouse review.</t>
      </text>
    </comment>
    <comment ref="G2396" authorId="132" shapeId="0" xr:uid="{9EB20E66-FF75-4CED-A32F-2021EF1E51C6}">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397" authorId="133" shapeId="0" xr:uid="{C8CF514A-ECAC-48AF-9657-0C6950DC7EEC}">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398" authorId="134" shapeId="0" xr:uid="{B4E3BDAE-BBEB-44D1-8128-1B927BC343A9}">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399" authorId="135" shapeId="0" xr:uid="{5C65BE3D-E815-4D73-A535-DA4AF27796D9}">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400" authorId="136" shapeId="0" xr:uid="{AF844715-956E-48B8-AEA1-2674D6E93FBA}">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401" authorId="137" shapeId="0" xr:uid="{ECD1AA9B-E211-41C5-9CF6-244191AD207A}">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402" authorId="138" shapeId="0" xr:uid="{1927AD12-1D48-470E-9437-1A8681B70680}">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403" authorId="139" shapeId="0" xr:uid="{16D5A9F1-5BF8-4413-9165-5507CB0F70F8}">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404" authorId="140" shapeId="0" xr:uid="{FA6ADB59-B21B-4CCB-88D1-09CE51E1D755}">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405" authorId="141" shapeId="0" xr:uid="{2DBD38D9-D31F-42B7-AEB6-55B1E5CA38A0}">
      <text>
        <t>[Threaded comment]
Your version of Excel allows you to read this threaded comment; however, any edits to it will get removed if the file is opened in a newer version of Excel. Learn more: https://go.microsoft.com/fwlink/?linkid=870924
Comment:
    Updated per IL TRM v12, page 114.</t>
      </text>
    </comment>
    <comment ref="G2406" authorId="142" shapeId="0" xr:uid="{AEE64ED0-91A1-4146-9A53-5952A56F9931}">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407" authorId="143" shapeId="0" xr:uid="{A5C7090A-7831-48CC-9B0B-2013DA5C777E}">
      <text>
        <t>[Threaded comment]
Your version of Excel allows you to read this threaded comment; however, any edits to it will get removed if the file is opened in a newer version of Excel. Learn more: https://go.microsoft.com/fwlink/?linkid=870924
Comment:
    Updated per IL TRM v12, page 114.</t>
      </text>
    </comment>
    <comment ref="G2408" authorId="144" shapeId="0" xr:uid="{1023E600-E2EE-4081-BC5C-03126547B92F}">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409" authorId="145" shapeId="0" xr:uid="{5ED5A243-C0FB-4A87-AC6F-750265027899}">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410" authorId="146" shapeId="0" xr:uid="{812D73E6-9324-4B8D-ADC2-25FEE9D01D08}">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411" authorId="147" shapeId="0" xr:uid="{D50A8D27-CB7D-4DA8-82A3-CCE42AADBA58}">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412" authorId="148" shapeId="0" xr:uid="{E7208B89-F30B-445F-A197-CA7FCA4F4C5B}">
      <text>
        <t>[Threaded comment]
Your version of Excel allows you to read this threaded comment; however, any edits to it will get removed if the file is opened in a newer version of Excel. Learn more: https://go.microsoft.com/fwlink/?linkid=870924
Comment:
    Updated per IL TRM v12, page 114.</t>
      </text>
    </comment>
    <comment ref="G2413" authorId="149" shapeId="0" xr:uid="{0C7CA9A8-C340-42BF-BF0E-814E484B8484}">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414" authorId="150" shapeId="0" xr:uid="{61890627-1C3C-417B-9039-5A9A409225DB}">
      <text>
        <t>[Threaded comment]
Your version of Excel allows you to read this threaded comment; however, any edits to it will get removed if the file is opened in a newer version of Excel. Learn more: https://go.microsoft.com/fwlink/?linkid=870924
Comment:
    Updated per IL TRM v12, page 114.</t>
      </text>
    </comment>
    <comment ref="G2415" authorId="151" shapeId="0" xr:uid="{89251DC9-8555-49D4-A6D6-BD214EE1A16F}">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416" authorId="152" shapeId="0" xr:uid="{DF4CCCE8-CEDC-4399-B293-C6A95DB776A7}">
      <text>
        <t>[Threaded comment]
Your version of Excel allows you to read this threaded comment; however, any edits to it will get removed if the file is opened in a newer version of Excel. Learn more: https://go.microsoft.com/fwlink/?linkid=870924
Comment:
    Updated per IL TRM v12, page 114.</t>
      </text>
    </comment>
    <comment ref="G2417" authorId="153" shapeId="0" xr:uid="{59F51E62-D005-4F0D-A788-AE2CC2523E26}">
      <text>
        <t>[Threaded comment]
Your version of Excel allows you to read this threaded comment; however, any edits to it will get removed if the file is opened in a newer version of Excel. Learn more: https://go.microsoft.com/fwlink/?linkid=870924
Comment:
    Updated per IL TRM v12, page 114.</t>
      </text>
    </comment>
    <comment ref="G2418" authorId="154" shapeId="0" xr:uid="{A546E257-A8B6-43FC-BD1A-5DE7E7587DF7}">
      <text>
        <t>[Threaded comment]
Your version of Excel allows you to read this threaded comment; however, any edits to it will get removed if the file is opened in a newer version of Excel. Learn more: https://go.microsoft.com/fwlink/?linkid=870924
Comment:
    Updated per IL TRM v12, page 114.</t>
      </text>
    </comment>
    <comment ref="G2419" authorId="155" shapeId="0" xr:uid="{B3E02963-1DC6-4404-8EA4-6954E49CE5F4}">
      <text>
        <t>[Threaded comment]
Your version of Excel allows you to read this threaded comment; however, any edits to it will get removed if the file is opened in a newer version of Excel. Learn more: https://go.microsoft.com/fwlink/?linkid=870924
Comment:
    Updated per IL TRM v12, page 114.</t>
      </text>
    </comment>
    <comment ref="G2420" authorId="156" shapeId="0" xr:uid="{F2D5AD26-BEAB-4C2C-8463-744E701D90B3}">
      <text>
        <t>[Threaded comment]
Your version of Excel allows you to read this threaded comment; however, any edits to it will get removed if the file is opened in a newer version of Excel. Learn more: https://go.microsoft.com/fwlink/?linkid=870924
Comment:
    Updated per IL TRM v12, page 114.</t>
      </text>
    </comment>
    <comment ref="G2421" authorId="157" shapeId="0" xr:uid="{187E628F-0FD1-4496-802F-20CED9E62CFE}">
      <text>
        <t>[Threaded comment]
Your version of Excel allows you to read this threaded comment; however, any edits to it will get removed if the file is opened in a newer version of Excel. Learn more: https://go.microsoft.com/fwlink/?linkid=870924
Comment:
    Updated per IL TRM v12, page 114.</t>
      </text>
    </comment>
    <comment ref="G2422" authorId="158" shapeId="0" xr:uid="{FD6919F2-9159-472A-99E8-6173E168ECCB}">
      <text>
        <t>[Threaded comment]
Your version of Excel allows you to read this threaded comment; however, any edits to it will get removed if the file is opened in a newer version of Excel. Learn more: https://go.microsoft.com/fwlink/?linkid=870924
Comment:
    Updated per IL TRM v12, page 114.</t>
      </text>
    </comment>
    <comment ref="G2423" authorId="159" shapeId="0" xr:uid="{9B3F57EE-8651-4C03-9269-39E7413BF4F5}">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424" authorId="160" shapeId="0" xr:uid="{28DC0F2B-399C-4A4E-9EB8-6FBB96D2A5FB}">
      <text>
        <t>[Threaded comment]
Your version of Excel allows you to read this threaded comment; however, any edits to it will get removed if the file is opened in a newer version of Excel. Learn more: https://go.microsoft.com/fwlink/?linkid=870924
Comment:
    Updated per IL TRM v12, page 113.</t>
      </text>
    </comment>
    <comment ref="G2427" authorId="161" shapeId="0" xr:uid="{E5507E2A-4A9B-46A7-94DC-0F4752FEE742}">
      <text>
        <t>[Threaded comment]
Your version of Excel allows you to read this threaded comment; however, any edits to it will get removed if the file is opened in a newer version of Excel. Learn more: https://go.microsoft.com/fwlink/?linkid=870924
Comment:
    Updated per IL TRM v12, page 113. Previously deemed value of 884, now algorithmic</t>
      </text>
    </comment>
    <comment ref="G2428" authorId="162" shapeId="0" xr:uid="{DC15BF3A-A7BE-45B6-9EF5-344E1248A998}">
      <text>
        <t>[Threaded comment]
Your version of Excel allows you to read this threaded comment; however, any edits to it will get removed if the file is opened in a newer version of Excel. Learn more: https://go.microsoft.com/fwlink/?linkid=870924
Comment:
    Updated per IL TRM v12, page 112. Previous value 17.</t>
      </text>
    </comment>
    <comment ref="G2429" authorId="163" shapeId="0" xr:uid="{A3445535-4B49-4D28-A1F8-EAEF6706DC0E}">
      <text>
        <t>[Threaded comment]
Your version of Excel allows you to read this threaded comment; however, any edits to it will get removed if the file is opened in a newer version of Excel. Learn more: https://go.microsoft.com/fwlink/?linkid=870924
Comment:
    Updated per IL TRM v12, page 112. Previously value $1800.</t>
      </text>
    </comment>
    <comment ref="G2457" authorId="164" shapeId="0" xr:uid="{BFA952F7-A709-487F-A43D-4747349D13D5}">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458" authorId="165" shapeId="0" xr:uid="{A2D63605-6D46-4E35-8282-29D464A2D0C2}">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H2458" authorId="166" shapeId="0" xr:uid="{CE7422EA-5AC0-4CDB-BC5F-C3C55F623F60}">
      <text>
        <t>[Threaded comment]
Your version of Excel allows you to read this threaded comment; however, any edits to it will get removed if the file is opened in a newer version of Excel. Learn more: https://go.microsoft.com/fwlink/?linkid=870924
Comment:
    Updated per IL TRM v12, page 120. Removed "default unknown" terminology.</t>
      </text>
    </comment>
    <comment ref="G2459" authorId="167" shapeId="0" xr:uid="{3BD5ED6C-ECDF-4BD9-BF04-9A1AF40CD8C2}">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460" authorId="168" shapeId="0" xr:uid="{40492447-98A7-47B0-96CF-4A9B56915117}">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461" authorId="169" shapeId="0" xr:uid="{22FFAD26-7578-4795-B97D-2124B8E633B1}">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462" authorId="170" shapeId="0" xr:uid="{C063640B-3E38-4F4D-961C-9030ABFB0E45}">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H2462" authorId="171" shapeId="0" xr:uid="{75EA1A62-0334-4085-8505-AFA8DFBC8E39}">
      <text>
        <t>[Threaded comment]
Your version of Excel allows you to read this threaded comment; however, any edits to it will get removed if the file is opened in a newer version of Excel. Learn more: https://go.microsoft.com/fwlink/?linkid=870924
Comment:
    Updated per IL TRM v12, page 118. Removed "default unknown" terminology.</t>
      </text>
    </comment>
    <comment ref="G2463" authorId="172" shapeId="0" xr:uid="{647031CF-74FF-49F7-9A72-393E13B1102A}">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2464" authorId="173" shapeId="0" xr:uid="{0EEF5771-F79D-4CF6-B591-B98EADDD267C}">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H2464" authorId="174" shapeId="0" xr:uid="{A51F8CCE-67BC-4A98-8489-F459CF3C7B42}">
      <text>
        <t>[Threaded comment]
Your version of Excel allows you to read this threaded comment; however, any edits to it will get removed if the file is opened in a newer version of Excel. Learn more: https://go.microsoft.com/fwlink/?linkid=870924
Comment:
    Updated per IL TRM v12, page 119. Removed "default unknown" terminology.</t>
      </text>
    </comment>
    <comment ref="G2468" authorId="175" shapeId="0" xr:uid="{C36FF9E2-DB5C-4E09-A1EF-97C8F100EF59}">
      <text>
        <t>[Threaded comment]
Your version of Excel allows you to read this threaded comment; however, any edits to it will get removed if the file is opened in a newer version of Excel. Learn more: https://go.microsoft.com/fwlink/?linkid=870924
Comment:
    Updated per IL TRM v12, page 117.</t>
      </text>
    </comment>
    <comment ref="G2469" authorId="176" shapeId="0" xr:uid="{AD239D53-B3E4-49F5-B104-F3A7DD335D10}">
      <text>
        <t>[Threaded comment]
Your version of Excel allows you to read this threaded comment; however, any edits to it will get removed if the file is opened in a newer version of Excel. Learn more: https://go.microsoft.com/fwlink/?linkid=870924
Comment:
    Updated per IL TRM v12, page 120.</t>
      </text>
    </comment>
    <comment ref="G2470" authorId="177" shapeId="0" xr:uid="{39CE0CE5-5446-483A-BEDC-585D043EF06E}">
      <text>
        <t>[Threaded comment]
Your version of Excel allows you to read this threaded comment; however, any edits to it will get removed if the file is opened in a newer version of Excel. Learn more: https://go.microsoft.com/fwlink/?linkid=870924
Comment:
    Updated per IL TRM v12, page 119.</t>
      </text>
    </comment>
    <comment ref="G2471" authorId="178" shapeId="0" xr:uid="{1CF153A6-FCE0-43C0-A6FF-F9364CF92553}">
      <text>
        <t>[Threaded comment]
Your version of Excel allows you to read this threaded comment; however, any edits to it will get removed if the file is opened in a newer version of Excel. Learn more: https://go.microsoft.com/fwlink/?linkid=870924
Comment:
    Updated per IL TRM v12, page 117.</t>
      </text>
    </comment>
    <comment ref="G2472" authorId="179" shapeId="0" xr:uid="{CD3873FB-E12D-4D5F-900C-DF88CBD341E6}">
      <text>
        <t>[Threaded comment]
Your version of Excel allows you to read this threaded comment; however, any edits to it will get removed if the file is opened in a newer version of Excel. Learn more: https://go.microsoft.com/fwlink/?linkid=870924
Comment:
    Updated per IL TRM v12, page 120.</t>
      </text>
    </comment>
    <comment ref="G2473" authorId="180" shapeId="0" xr:uid="{1BE73253-3C04-4927-9772-BE32EE857250}">
      <text>
        <t>[Threaded comment]
Your version of Excel allows you to read this threaded comment; however, any edits to it will get removed if the file is opened in a newer version of Excel. Learn more: https://go.microsoft.com/fwlink/?linkid=870924
Comment:
    Updated per IL TRM v12, page 120.</t>
      </text>
    </comment>
    <comment ref="G2474" authorId="181" shapeId="0" xr:uid="{A03DF3D2-80CA-4535-A392-C72F304D4166}">
      <text>
        <t>[Threaded comment]
Your version of Excel allows you to read this threaded comment; however, any edits to it will get removed if the file is opened in a newer version of Excel. Learn more: https://go.microsoft.com/fwlink/?linkid=870924
Comment:
    Updated per IL TRM v12, page 119.</t>
      </text>
    </comment>
    <comment ref="G2475" authorId="182" shapeId="0" xr:uid="{32C75101-463E-402B-A731-0B587B1BA3F3}">
      <text>
        <t>[Threaded comment]
Your version of Excel allows you to read this threaded comment; however, any edits to it will get removed if the file is opened in a newer version of Excel. Learn more: https://go.microsoft.com/fwlink/?linkid=870924
Comment:
    Updated per IL TRM v12, page 117.</t>
      </text>
    </comment>
    <comment ref="G2476" authorId="183" shapeId="0" xr:uid="{24E505C5-4C4B-411E-99EC-0C0A9AAE94FF}">
      <text>
        <t>[Threaded comment]
Your version of Excel allows you to read this threaded comment; however, any edits to it will get removed if the file is opened in a newer version of Excel. Learn more: https://go.microsoft.com/fwlink/?linkid=870924
Comment:
    Updated per IL TRM v12, page 120.</t>
      </text>
    </comment>
    <comment ref="G2477" authorId="184" shapeId="0" xr:uid="{122D4F38-2907-4BC9-9094-0E6265769744}">
      <text>
        <t>[Threaded comment]
Your version of Excel allows you to read this threaded comment; however, any edits to it will get removed if the file is opened in a newer version of Excel. Learn more: https://go.microsoft.com/fwlink/?linkid=870924
Comment:
    Updated per IL TRM v12, page 116. Fossil fuel savings now include preheat savings. Previous value 183.29</t>
      </text>
    </comment>
    <comment ref="G2484" authorId="185" shapeId="0" xr:uid="{134639D6-6200-4933-90C4-0DCB0EC2EEA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2501" authorId="186" shapeId="0" xr:uid="{0685D531-EBCA-4CBC-88CE-8298C866988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E2517" authorId="187" shapeId="0" xr:uid="{4A16498E-D7E0-4D9F-80EF-5AF6C541050B}">
      <text>
        <t>[Threaded comment]
Your version of Excel allows you to read this threaded comment; however, any edits to it will get removed if the file is opened in a newer version of Excel. Learn more: https://go.microsoft.com/fwlink/?linkid=870924
Comment:
    Updated per IL TRM v12, page 105.</t>
      </text>
    </comment>
    <comment ref="G2521" authorId="188" shapeId="0" xr:uid="{8D3F07D5-94DF-479F-AE19-AB207AE33E17}">
      <text>
        <t>[Threaded comment]
Your version of Excel allows you to read this threaded comment; however, any edits to it will get removed if the file is opened in a newer version of Excel. Learn more: https://go.microsoft.com/fwlink/?linkid=870924
Comment:
    Updated per IL TRM v12, page 106. Previous value 0.25</t>
      </text>
    </comment>
    <comment ref="E2525" authorId="189" shapeId="0" xr:uid="{930EF374-5373-4543-A4F3-611D8DA0F940}">
      <text>
        <t>[Threaded comment]
Your version of Excel allows you to read this threaded comment; however, any edits to it will get removed if the file is opened in a newer version of Excel. Learn more: https://go.microsoft.com/fwlink/?linkid=870924
Comment:
    Updated per IL TRM v12, page 106.</t>
      </text>
    </comment>
    <comment ref="E2528" authorId="190" shapeId="0" xr:uid="{85295867-83A4-4181-AF15-7A8FBA92DB8C}">
      <text>
        <t>[Threaded comment]
Your version of Excel allows you to read this threaded comment; however, any edits to it will get removed if the file is opened in a newer version of Excel. Learn more: https://go.microsoft.com/fwlink/?linkid=870924
Comment:
    Updated per IL TRM v12, page 105.</t>
      </text>
    </comment>
    <comment ref="E2530" authorId="191" shapeId="0" xr:uid="{9A6EEED2-3EA8-4B95-89E1-A8D08BE5A961}">
      <text>
        <t>[Threaded comment]
Your version of Excel allows you to read this threaded comment; however, any edits to it will get removed if the file is opened in a newer version of Excel. Learn more: https://go.microsoft.com/fwlink/?linkid=870924
Comment:
    Updated per IL TRM v12, page 106.</t>
      </text>
    </comment>
    <comment ref="G2532" authorId="192" shapeId="0" xr:uid="{D73D98E3-2322-49E2-BF0A-99290695BB77}">
      <text>
        <t>[Threaded comment]
Your version of Excel allows you to read this threaded comment; however, any edits to it will get removed if the file is opened in a newer version of Excel. Learn more: https://go.microsoft.com/fwlink/?linkid=870924
Comment:
    Updated per IL TRM v12, page 107. Previous value 0.25</t>
      </text>
    </comment>
    <comment ref="G2533" authorId="193" shapeId="0" xr:uid="{3CE3AD5C-EFA5-4284-B565-C7A65A92EEB3}">
      <text>
        <t>[Threaded comment]
Your version of Excel allows you to read this threaded comment; however, any edits to it will get removed if the file is opened in a newer version of Excel. Learn more: https://go.microsoft.com/fwlink/?linkid=870924
Comment:
    Updated per IL TRM v12, page 104. Inclusion of "PreTime" inputs.</t>
      </text>
    </comment>
    <comment ref="G2535" authorId="194" shapeId="0" xr:uid="{CFDED881-584A-4BA4-9669-F0E2FAFD0495}">
      <text>
        <t>[Threaded comment]
Your version of Excel allows you to read this threaded comment; however, any edits to it will get removed if the file is opened in a newer version of Excel. Learn more: https://go.microsoft.com/fwlink/?linkid=870924
Comment:
    Updated per IL TRM v12, page 106.</t>
      </text>
    </comment>
    <comment ref="G2536" authorId="195" shapeId="0" xr:uid="{FC29D70B-A43D-4BDD-A3DC-C863D9F0A082}">
      <text>
        <t>[Threaded comment]
Your version of Excel allows you to read this threaded comment; however, any edits to it will get removed if the file is opened in a newer version of Excel. Learn more: https://go.microsoft.com/fwlink/?linkid=870924
Comment:
    Updated per IL TRM v12, page 106.</t>
      </text>
    </comment>
    <comment ref="G2537" authorId="196" shapeId="0" xr:uid="{FB15EF35-A146-4B86-A5B2-490233E50F69}">
      <text>
        <t>[Threaded comment]
Your version of Excel allows you to read this threaded comment; however, any edits to it will get removed if the file is opened in a newer version of Excel. Learn more: https://go.microsoft.com/fwlink/?linkid=870924
Comment:
    Updated per IL TRM v12, page 104. Addition of Preheat_Base and Preheat_EE</t>
      </text>
    </comment>
    <comment ref="E2543" authorId="197" shapeId="0" xr:uid="{F7329593-5C62-4510-B866-537D2A9E6908}">
      <text>
        <t>[Threaded comment]
Your version of Excel allows you to read this threaded comment; however, any edits to it will get removed if the file is opened in a newer version of Excel. Learn more: https://go.microsoft.com/fwlink/?linkid=870924
Comment:
    Updated per IL TRM v12, page 107.</t>
      </text>
    </comment>
    <comment ref="E2547" authorId="198" shapeId="0" xr:uid="{B77C98CC-3BDE-4C4C-891F-583026B7EBBB}">
      <text>
        <t>[Threaded comment]
Your version of Excel allows you to read this threaded comment; however, any edits to it will get removed if the file is opened in a newer version of Excel. Learn more: https://go.microsoft.com/fwlink/?linkid=870924
Comment:
    Updated per IL TRM v12, page 105.</t>
      </text>
    </comment>
    <comment ref="E2548" authorId="199" shapeId="0" xr:uid="{AF492D9B-0CC3-4A43-A716-77C4766D6971}">
      <text>
        <t>[Threaded comment]
Your version of Excel allows you to read this threaded comment; however, any edits to it will get removed if the file is opened in a newer version of Excel. Learn more: https://go.microsoft.com/fwlink/?linkid=870924
Comment:
    Updated per IL TRM v12, page 107.</t>
      </text>
    </comment>
    <comment ref="G2556" authorId="200" shapeId="0" xr:uid="{C6C502D0-2CD1-4816-A25E-E4D7D6D00BD8}">
      <text>
        <t>[Threaded comment]
Your version of Excel allows you to read this threaded comment; however, any edits to it will get removed if the file is opened in a newer version of Excel. Learn more: https://go.microsoft.com/fwlink/?linkid=870924
Comment:
    Updated per IL TRM v12, page 103.</t>
      </text>
    </comment>
    <comment ref="E2567" authorId="201" shapeId="0" xr:uid="{0EEB6E00-7E79-45A8-8F31-5843A247A450}">
      <text>
        <t>[Threaded comment]
Your version of Excel allows you to read this threaded comment; however, any edits to it will get removed if the file is opened in a newer version of Excel. Learn more: https://go.microsoft.com/fwlink/?linkid=870924
Comment:
    Updated per IL TRM v12, page 105.</t>
      </text>
    </comment>
    <comment ref="G2571" authorId="202" shapeId="0" xr:uid="{323CEAE8-D26A-4BC4-80D4-38B9F241F48C}">
      <text>
        <t>[Threaded comment]
Your version of Excel allows you to read this threaded comment; however, any edits to it will get removed if the file is opened in a newer version of Excel. Learn more: https://go.microsoft.com/fwlink/?linkid=870924
Comment:
    Updated per IL TRM v12, page 106. Previous value 0.25</t>
      </text>
    </comment>
    <comment ref="E2575" authorId="203" shapeId="0" xr:uid="{759F6218-34BC-4C77-BC75-28A558E30759}">
      <text>
        <t>[Threaded comment]
Your version of Excel allows you to read this threaded comment; however, any edits to it will get removed if the file is opened in a newer version of Excel. Learn more: https://go.microsoft.com/fwlink/?linkid=870924
Comment:
    Updated per IL TRM v12, page 106.</t>
      </text>
    </comment>
    <comment ref="E2578" authorId="204" shapeId="0" xr:uid="{4293B150-AC69-4C44-89F1-B0EBD0747D40}">
      <text>
        <t>[Threaded comment]
Your version of Excel allows you to read this threaded comment; however, any edits to it will get removed if the file is opened in a newer version of Excel. Learn more: https://go.microsoft.com/fwlink/?linkid=870924
Comment:
    Updated per IL TRM v12, page 105.</t>
      </text>
    </comment>
    <comment ref="E2580" authorId="205" shapeId="0" xr:uid="{431E66C1-AC05-4532-A2B7-52E4004E48A8}">
      <text>
        <t>[Threaded comment]
Your version of Excel allows you to read this threaded comment; however, any edits to it will get removed if the file is opened in a newer version of Excel. Learn more: https://go.microsoft.com/fwlink/?linkid=870924
Comment:
    Updated per IL TRM v12, page 106.</t>
      </text>
    </comment>
    <comment ref="G2582" authorId="206" shapeId="0" xr:uid="{9085C68C-5463-4374-8701-30B2BFAD38BC}">
      <text>
        <t>[Threaded comment]
Your version of Excel allows you to read this threaded comment; however, any edits to it will get removed if the file is opened in a newer version of Excel. Learn more: https://go.microsoft.com/fwlink/?linkid=870924
Comment:
    Updated per IL TRM v12, page 107. Previous value 0.25</t>
      </text>
    </comment>
    <comment ref="G2583" authorId="207" shapeId="0" xr:uid="{009585B5-4CFC-422A-818B-1B55F5FD8BBE}">
      <text>
        <t>[Threaded comment]
Your version of Excel allows you to read this threaded comment; however, any edits to it will get removed if the file is opened in a newer version of Excel. Learn more: https://go.microsoft.com/fwlink/?linkid=870924
Comment:
    Updated per IL TRM v12, page 104. Inclusion of "PreTime" inputs.</t>
      </text>
    </comment>
    <comment ref="G2585" authorId="208" shapeId="0" xr:uid="{74142F4F-30BC-4A89-8579-4E98419A4006}">
      <text>
        <t>[Threaded comment]
Your version of Excel allows you to read this threaded comment; however, any edits to it will get removed if the file is opened in a newer version of Excel. Learn more: https://go.microsoft.com/fwlink/?linkid=870924
Comment:
    Updated per IL TRM v12, page 106.</t>
      </text>
    </comment>
    <comment ref="G2586" authorId="209" shapeId="0" xr:uid="{FA4A7941-03E6-43F5-8247-F59FD8D0B430}">
      <text>
        <t>[Threaded comment]
Your version of Excel allows you to read this threaded comment; however, any edits to it will get removed if the file is opened in a newer version of Excel. Learn more: https://go.microsoft.com/fwlink/?linkid=870924
Comment:
    Updated per IL TRM v12, page 106.</t>
      </text>
    </comment>
    <comment ref="G2587" authorId="210" shapeId="0" xr:uid="{BEB511EA-29CA-4D02-8290-4E0363F4DFC3}">
      <text>
        <t>[Threaded comment]
Your version of Excel allows you to read this threaded comment; however, any edits to it will get removed if the file is opened in a newer version of Excel. Learn more: https://go.microsoft.com/fwlink/?linkid=870924
Comment:
    Updated per IL TRM v12, page 104. Addition of Preheat_Base and Preheat_EE</t>
      </text>
    </comment>
    <comment ref="E2593" authorId="211" shapeId="0" xr:uid="{882ECFE6-C836-4597-9DC6-5C6D3C24B3F7}">
      <text>
        <t>[Threaded comment]
Your version of Excel allows you to read this threaded comment; however, any edits to it will get removed if the file is opened in a newer version of Excel. Learn more: https://go.microsoft.com/fwlink/?linkid=870924
Comment:
    Updated per IL TRM v12, page 107.</t>
      </text>
    </comment>
    <comment ref="E2597" authorId="212" shapeId="0" xr:uid="{6AE8A925-3D91-45A8-9A97-02D8B24EA2DF}">
      <text>
        <t>[Threaded comment]
Your version of Excel allows you to read this threaded comment; however, any edits to it will get removed if the file is opened in a newer version of Excel. Learn more: https://go.microsoft.com/fwlink/?linkid=870924
Comment:
    Updated per IL TRM v12, page 105.</t>
      </text>
    </comment>
    <comment ref="E2598" authorId="213" shapeId="0" xr:uid="{9D491822-D969-4F45-BB06-86B5BE1338EE}">
      <text>
        <t>[Threaded comment]
Your version of Excel allows you to read this threaded comment; however, any edits to it will get removed if the file is opened in a newer version of Excel. Learn more: https://go.microsoft.com/fwlink/?linkid=870924
Comment:
    Updated per IL TRM v12, page 107.</t>
      </text>
    </comment>
    <comment ref="G2606" authorId="214" shapeId="0" xr:uid="{7D1B0092-6647-4201-B93D-08A69FDF3BF6}">
      <text>
        <t>[Threaded comment]
Your version of Excel allows you to read this threaded comment; however, any edits to it will get removed if the file is opened in a newer version of Excel. Learn more: https://go.microsoft.com/fwlink/?linkid=870924
Comment:
    Updated per IL TRM v12, page 103.</t>
      </text>
    </comment>
    <comment ref="E2617" authorId="215" shapeId="0" xr:uid="{81C8BAEC-B177-43D2-9EBF-5F26BAF1165B}">
      <text>
        <t>[Threaded comment]
Your version of Excel allows you to read this threaded comment; however, any edits to it will get removed if the file is opened in a newer version of Excel. Learn more: https://go.microsoft.com/fwlink/?linkid=870924
Comment:
    Updated per IL TRM v12, page 105.</t>
      </text>
    </comment>
    <comment ref="G2621" authorId="216" shapeId="0" xr:uid="{37633540-F8BB-4550-AD5E-28BC548211B3}">
      <text>
        <t>[Threaded comment]
Your version of Excel allows you to read this threaded comment; however, any edits to it will get removed if the file is opened in a newer version of Excel. Learn more: https://go.microsoft.com/fwlink/?linkid=870924
Comment:
    Updated per IL TRM v12, page 106. Previous value 0.25</t>
      </text>
    </comment>
    <comment ref="E2625" authorId="217" shapeId="0" xr:uid="{E65507F6-AA8C-44D1-B1A8-ECCBA6AAF488}">
      <text>
        <t>[Threaded comment]
Your version of Excel allows you to read this threaded comment; however, any edits to it will get removed if the file is opened in a newer version of Excel. Learn more: https://go.microsoft.com/fwlink/?linkid=870924
Comment:
    Updated per IL TRM v12, page 106.</t>
      </text>
    </comment>
    <comment ref="E2628" authorId="218" shapeId="0" xr:uid="{ADDF4CBB-B25A-4FF1-B810-4D5F2297F8EF}">
      <text>
        <t>[Threaded comment]
Your version of Excel allows you to read this threaded comment; however, any edits to it will get removed if the file is opened in a newer version of Excel. Learn more: https://go.microsoft.com/fwlink/?linkid=870924
Comment:
    Updated per IL TRM v12, page 105.</t>
      </text>
    </comment>
    <comment ref="E2630" authorId="219" shapeId="0" xr:uid="{9CEF3F50-7D61-4B05-93D3-E58A15F83C2B}">
      <text>
        <t>[Threaded comment]
Your version of Excel allows you to read this threaded comment; however, any edits to it will get removed if the file is opened in a newer version of Excel. Learn more: https://go.microsoft.com/fwlink/?linkid=870924
Comment:
    Updated per IL TRM v12, page 106.</t>
      </text>
    </comment>
    <comment ref="G2632" authorId="220" shapeId="0" xr:uid="{E5551E8A-7E20-49A6-92C2-561B2E984EE7}">
      <text>
        <t>[Threaded comment]
Your version of Excel allows you to read this threaded comment; however, any edits to it will get removed if the file is opened in a newer version of Excel. Learn more: https://go.microsoft.com/fwlink/?linkid=870924
Comment:
    Updated per IL TRM v12, page 107. Previous value 0.25</t>
      </text>
    </comment>
    <comment ref="G2633" authorId="221" shapeId="0" xr:uid="{4B442D0B-E663-45C7-9DD9-9D441BA37800}">
      <text>
        <t>[Threaded comment]
Your version of Excel allows you to read this threaded comment; however, any edits to it will get removed if the file is opened in a newer version of Excel. Learn more: https://go.microsoft.com/fwlink/?linkid=870924
Comment:
    Updated per IL TRM v12, page 104. Inclusion of "PreTime" inputs.</t>
      </text>
    </comment>
    <comment ref="G2635" authorId="222" shapeId="0" xr:uid="{CDF007B6-0E5F-4A2F-8290-17BF9967D0A4}">
      <text>
        <t>[Threaded comment]
Your version of Excel allows you to read this threaded comment; however, any edits to it will get removed if the file is opened in a newer version of Excel. Learn more: https://go.microsoft.com/fwlink/?linkid=870924
Comment:
    Updated per IL TRM v12, page 106.</t>
      </text>
    </comment>
    <comment ref="G2636" authorId="223" shapeId="0" xr:uid="{CEBF809C-AD25-40A1-B535-3C2CA42C6245}">
      <text>
        <t>[Threaded comment]
Your version of Excel allows you to read this threaded comment; however, any edits to it will get removed if the file is opened in a newer version of Excel. Learn more: https://go.microsoft.com/fwlink/?linkid=870924
Comment:
    Updated per IL TRM v12, page 106.</t>
      </text>
    </comment>
    <comment ref="G2637" authorId="224" shapeId="0" xr:uid="{5B809A01-2D95-4D5F-BA5D-ACC0251C5D35}">
      <text>
        <t>[Threaded comment]
Your version of Excel allows you to read this threaded comment; however, any edits to it will get removed if the file is opened in a newer version of Excel. Learn more: https://go.microsoft.com/fwlink/?linkid=870924
Comment:
    Updated per IL TRM v12, page 104. Addition of Preheat_Base and Preheat_EE</t>
      </text>
    </comment>
    <comment ref="E2643" authorId="225" shapeId="0" xr:uid="{5B3964C1-1E60-4638-B7B4-76FD7AA2881D}">
      <text>
        <t>[Threaded comment]
Your version of Excel allows you to read this threaded comment; however, any edits to it will get removed if the file is opened in a newer version of Excel. Learn more: https://go.microsoft.com/fwlink/?linkid=870924
Comment:
    Updated per IL TRM v12, page 107.</t>
      </text>
    </comment>
    <comment ref="E2647" authorId="226" shapeId="0" xr:uid="{1C7606D9-3824-41FD-A298-C9B8279DCFF3}">
      <text>
        <t>[Threaded comment]
Your version of Excel allows you to read this threaded comment; however, any edits to it will get removed if the file is opened in a newer version of Excel. Learn more: https://go.microsoft.com/fwlink/?linkid=870924
Comment:
    Updated per IL TRM v12, page 105.</t>
      </text>
    </comment>
    <comment ref="E2648" authorId="227" shapeId="0" xr:uid="{D4C4D027-6FC9-4C70-B0D6-D2F28C032279}">
      <text>
        <t>[Threaded comment]
Your version of Excel allows you to read this threaded comment; however, any edits to it will get removed if the file is opened in a newer version of Excel. Learn more: https://go.microsoft.com/fwlink/?linkid=870924
Comment:
    Updated per IL TRM v12, page 107.</t>
      </text>
    </comment>
    <comment ref="G2656" authorId="228" shapeId="0" xr:uid="{3D092FD2-8463-4E34-9E48-813F976F51CF}">
      <text>
        <t>[Threaded comment]
Your version of Excel allows you to read this threaded comment; however, any edits to it will get removed if the file is opened in a newer version of Excel. Learn more: https://go.microsoft.com/fwlink/?linkid=870924
Comment:
    Updated per IL TRM v12, page 103.</t>
      </text>
    </comment>
    <comment ref="E2667" authorId="229" shapeId="0" xr:uid="{37BA515A-2A01-4CF9-B1E7-878E0D0EED54}">
      <text>
        <t>[Threaded comment]
Your version of Excel allows you to read this threaded comment; however, any edits to it will get removed if the file is opened in a newer version of Excel. Learn more: https://go.microsoft.com/fwlink/?linkid=870924
Comment:
    Updated per IL TRM v12, page 105.</t>
      </text>
    </comment>
    <comment ref="G2671" authorId="230" shapeId="0" xr:uid="{4CA30828-CECD-42E4-8AB5-D1BF62312028}">
      <text>
        <t>[Threaded comment]
Your version of Excel allows you to read this threaded comment; however, any edits to it will get removed if the file is opened in a newer version of Excel. Learn more: https://go.microsoft.com/fwlink/?linkid=870924
Comment:
    Updated per IL TRM v12, page 106. Previous value 0.25</t>
      </text>
    </comment>
    <comment ref="E2675" authorId="231" shapeId="0" xr:uid="{11D01EF1-A9B3-4CD6-A91B-4BE4844FC0D2}">
      <text>
        <t>[Threaded comment]
Your version of Excel allows you to read this threaded comment; however, any edits to it will get removed if the file is opened in a newer version of Excel. Learn more: https://go.microsoft.com/fwlink/?linkid=870924
Comment:
    Updated per IL TRM v12, page 106.</t>
      </text>
    </comment>
    <comment ref="E2678" authorId="232" shapeId="0" xr:uid="{FAA9E725-10C7-4848-A9C7-E4C7201F032C}">
      <text>
        <t>[Threaded comment]
Your version of Excel allows you to read this threaded comment; however, any edits to it will get removed if the file is opened in a newer version of Excel. Learn more: https://go.microsoft.com/fwlink/?linkid=870924
Comment:
    Updated per IL TRM v12, page 105.</t>
      </text>
    </comment>
    <comment ref="E2680" authorId="233" shapeId="0" xr:uid="{4651CF73-CCBB-4FE4-9F4F-63FF5F36185E}">
      <text>
        <t>[Threaded comment]
Your version of Excel allows you to read this threaded comment; however, any edits to it will get removed if the file is opened in a newer version of Excel. Learn more: https://go.microsoft.com/fwlink/?linkid=870924
Comment:
    Updated per IL TRM v12, page 106.</t>
      </text>
    </comment>
    <comment ref="G2682" authorId="234" shapeId="0" xr:uid="{13E5E845-24FC-4DF2-9246-B99923CCED26}">
      <text>
        <t>[Threaded comment]
Your version of Excel allows you to read this threaded comment; however, any edits to it will get removed if the file is opened in a newer version of Excel. Learn more: https://go.microsoft.com/fwlink/?linkid=870924
Comment:
    Updated per IL TRM v12, page 107. Previous value 0.25</t>
      </text>
    </comment>
    <comment ref="G2683" authorId="235" shapeId="0" xr:uid="{BCB61E0A-5ABF-41BD-AD1A-461613B10FCC}">
      <text>
        <t>[Threaded comment]
Your version of Excel allows you to read this threaded comment; however, any edits to it will get removed if the file is opened in a newer version of Excel. Learn more: https://go.microsoft.com/fwlink/?linkid=870924
Comment:
    Updated per IL TRM v12, page 104. Inclusion of "PreTime" inputs.</t>
      </text>
    </comment>
    <comment ref="G2685" authorId="236" shapeId="0" xr:uid="{26A904BD-3690-42AA-8369-6213ABC7BD75}">
      <text>
        <t>[Threaded comment]
Your version of Excel allows you to read this threaded comment; however, any edits to it will get removed if the file is opened in a newer version of Excel. Learn more: https://go.microsoft.com/fwlink/?linkid=870924
Comment:
    Updated per IL TRM v12, page 106.</t>
      </text>
    </comment>
    <comment ref="G2686" authorId="237" shapeId="0" xr:uid="{8E4CE09A-053B-47A1-83B8-4E076AF38AB3}">
      <text>
        <t>[Threaded comment]
Your version of Excel allows you to read this threaded comment; however, any edits to it will get removed if the file is opened in a newer version of Excel. Learn more: https://go.microsoft.com/fwlink/?linkid=870924
Comment:
    Updated per IL TRM v12, page 106.</t>
      </text>
    </comment>
    <comment ref="G2687" authorId="238" shapeId="0" xr:uid="{33688DC4-07A2-42C3-895C-2426DCED9055}">
      <text>
        <t>[Threaded comment]
Your version of Excel allows you to read this threaded comment; however, any edits to it will get removed if the file is opened in a newer version of Excel. Learn more: https://go.microsoft.com/fwlink/?linkid=870924
Comment:
    Updated per IL TRM v12, page 104. Addition of Preheat_Base and Preheat_EE</t>
      </text>
    </comment>
    <comment ref="E2693" authorId="239" shapeId="0" xr:uid="{DCDF5C69-D8A5-43B8-B227-9308DF484EF8}">
      <text>
        <t>[Threaded comment]
Your version of Excel allows you to read this threaded comment; however, any edits to it will get removed if the file is opened in a newer version of Excel. Learn more: https://go.microsoft.com/fwlink/?linkid=870924
Comment:
    Updated per IL TRM v12, page 107.</t>
      </text>
    </comment>
    <comment ref="E2697" authorId="240" shapeId="0" xr:uid="{A72652D0-045D-4FDB-9CC3-45270A2CFD46}">
      <text>
        <t>[Threaded comment]
Your version of Excel allows you to read this threaded comment; however, any edits to it will get removed if the file is opened in a newer version of Excel. Learn more: https://go.microsoft.com/fwlink/?linkid=870924
Comment:
    Updated per IL TRM v12, page 105.</t>
      </text>
    </comment>
    <comment ref="E2698" authorId="241" shapeId="0" xr:uid="{C085E5A1-36E6-43AD-A6FD-B743AA130A2B}">
      <text>
        <t>[Threaded comment]
Your version of Excel allows you to read this threaded comment; however, any edits to it will get removed if the file is opened in a newer version of Excel. Learn more: https://go.microsoft.com/fwlink/?linkid=870924
Comment:
    Updated per IL TRM v12, page 107.</t>
      </text>
    </comment>
    <comment ref="G2706" authorId="242" shapeId="0" xr:uid="{FD5C98DA-1047-4861-9E72-6F0E8FF0C4C5}">
      <text>
        <t>[Threaded comment]
Your version of Excel allows you to read this threaded comment; however, any edits to it will get removed if the file is opened in a newer version of Excel. Learn more: https://go.microsoft.com/fwlink/?linkid=870924
Comment:
    Updated per IL TRM v12, page 103.</t>
      </text>
    </comment>
    <comment ref="G2752" authorId="243" shapeId="0" xr:uid="{5552DC5D-0815-4262-99CB-244700ACCB7D}">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53" authorId="244" shapeId="0" xr:uid="{67286798-6312-436A-944F-6E822D877073}">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54" authorId="245" shapeId="0" xr:uid="{989D7EF7-0A75-440B-B31F-43DF59501DB0}">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55" authorId="246" shapeId="0" xr:uid="{2F27F69E-73D3-4532-9FE5-FC37C709085C}">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56" authorId="247" shapeId="0" xr:uid="{9792857E-C90D-41B0-9291-2633F431EAFF}">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57" authorId="248" shapeId="0" xr:uid="{83B0F872-939D-45F2-A69E-3676F332A024}">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58" authorId="249" shapeId="0" xr:uid="{E0B355C1-42BE-4552-81F7-9ED1ECED3FC3}">
      <text>
        <t>[Threaded comment]
Your version of Excel allows you to read this threaded comment; however, any edits to it will get removed if the file is opened in a newer version of Excel. Learn more: https://go.microsoft.com/fwlink/?linkid=870924
Comment:
    Updated per IL TRM v12, page 179.</t>
      </text>
    </comment>
    <comment ref="G2759" authorId="250" shapeId="0" xr:uid="{39C142C7-2AFA-4E10-BF00-ABA82F91A8C3}">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60" authorId="251" shapeId="0" xr:uid="{42A32B0D-04D9-4970-9AFB-9034B3802763}">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61" authorId="252" shapeId="0" xr:uid="{788CBE2E-E933-4175-86A8-3BBED5CE0659}">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62" authorId="253" shapeId="0" xr:uid="{AEB1C282-CE0C-4CDE-AD47-AED22BE02200}">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63" authorId="254" shapeId="0" xr:uid="{129D3FAD-7CC4-46E1-B5AC-69C7A7E9C052}">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64" authorId="255" shapeId="0" xr:uid="{78798D36-A416-4943-9114-16419AA11879}">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65" authorId="256" shapeId="0" xr:uid="{AB919723-98FF-4B97-BFDC-777A2150F22A}">
      <text>
        <t>[Threaded comment]
Your version of Excel allows you to read this threaded comment; however, any edits to it will get removed if the file is opened in a newer version of Excel. Learn more: https://go.microsoft.com/fwlink/?linkid=870924
Comment:
    Updated per IL TRM v12, page 179.</t>
      </text>
    </comment>
    <comment ref="G2766" authorId="257" shapeId="0" xr:uid="{79399AC2-1718-42EB-8A2C-72E4202D5ECF}">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67" authorId="258" shapeId="0" xr:uid="{B903518B-D7AB-477E-8AC3-61DA082D278F}">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68" authorId="259" shapeId="0" xr:uid="{48DFE9C5-1E02-41E1-9D77-BE55469F6AED}">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69" authorId="260" shapeId="0" xr:uid="{C0033F74-C2B6-4616-B6D3-AA17B600EF46}">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70" authorId="261" shapeId="0" xr:uid="{135E0C87-0782-4EF6-B426-657E72F51A8E}">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71" authorId="262" shapeId="0" xr:uid="{23CB0D46-8F70-496F-83CB-DC777FC22274}">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72" authorId="263" shapeId="0" xr:uid="{3C76236A-7EF7-4561-8C7A-3D8737EEDEC8}">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73" authorId="264" shapeId="0" xr:uid="{40295072-176B-46DA-BC53-BD9C25DFC6BD}">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74" authorId="265" shapeId="0" xr:uid="{8A313579-09C1-42EA-AA57-58203F857812}">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75" authorId="266" shapeId="0" xr:uid="{FB7A7AC1-9436-4E55-9CB7-F41C50B400E4}">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76" authorId="267" shapeId="0" xr:uid="{1049471C-5701-4CE8-9AFB-263C032FCF2C}">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77" authorId="268" shapeId="0" xr:uid="{4AD73009-F904-41D2-BA09-146656C39BF6}">
      <text>
        <t>[Threaded comment]
Your version of Excel allows you to read this threaded comment; however, any edits to it will get removed if the file is opened in a newer version of Excel. Learn more: https://go.microsoft.com/fwlink/?linkid=870924
Comment:
    Updated per IL TRM v12, page 178.</t>
      </text>
    </comment>
    <comment ref="G2778" authorId="269" shapeId="0" xr:uid="{25237D2E-13A1-45F6-A6E9-74F058F99E8D}">
      <text>
        <t>[Threaded comment]
Your version of Excel allows you to read this threaded comment; however, any edits to it will get removed if the file is opened in a newer version of Excel. Learn more: https://go.microsoft.com/fwlink/?linkid=870924
Comment:
    Updated per IL TRM v12, page 179.</t>
      </text>
    </comment>
    <comment ref="G2779" authorId="270" shapeId="0" xr:uid="{F539CA6F-5C6F-4B7E-A21C-5CA410DBE266}">
      <text>
        <t>[Threaded comment]
Your version of Excel allows you to read this threaded comment; however, any edits to it will get removed if the file is opened in a newer version of Excel. Learn more: https://go.microsoft.com/fwlink/?linkid=870924
Comment:
    Updated per IL TRM v12, page 179.</t>
      </text>
    </comment>
    <comment ref="G2780" authorId="271" shapeId="0" xr:uid="{FA3776F9-8AD4-4810-B270-0E4EB05F325B}">
      <text>
        <t>[Threaded comment]
Your version of Excel allows you to read this threaded comment; however, any edits to it will get removed if the file is opened in a newer version of Excel. Learn more: https://go.microsoft.com/fwlink/?linkid=870924
Comment:
    Updated per IL TRM v12. Algorithm adjusted to account for additional inputs, previous value 1930.50</t>
      </text>
    </comment>
    <comment ref="G2787" authorId="272" shapeId="0" xr:uid="{8CA1C87E-7A08-4270-9076-AD7F75A4B64E}">
      <text>
        <t>[Threaded comment]
Your version of Excel allows you to read this threaded comment; however, any edits to it will get removed if the file is opened in a newer version of Excel. Learn more: https://go.microsoft.com/fwlink/?linkid=870924
Comment:
    Updated per IL TRM v12, page 171.</t>
      </text>
    </comment>
    <comment ref="G2788" authorId="273" shapeId="0" xr:uid="{5BB41744-CDC8-4885-84F3-3C67193B019B}">
      <text>
        <t>[Threaded comment]
Your version of Excel allows you to read this threaded comment; however, any edits to it will get removed if the file is opened in a newer version of Excel. Learn more: https://go.microsoft.com/fwlink/?linkid=870924
Comment:
    Updated per IL TRM v12, page 171.</t>
      </text>
    </comment>
    <comment ref="G2789" authorId="274" shapeId="0" xr:uid="{148F895E-2A79-486F-A85C-97990F9C1E39}">
      <text>
        <t>[Threaded comment]
Your version of Excel allows you to read this threaded comment; however, any edits to it will get removed if the file is opened in a newer version of Excel. Learn more: https://go.microsoft.com/fwlink/?linkid=870924
Comment:
    Updated per IL TRM v12, page 170.</t>
      </text>
    </comment>
    <comment ref="G2796" authorId="275" shapeId="0" xr:uid="{28BB7F0E-7873-4A6E-893E-BE9832B8FB45}">
      <text>
        <t>[Threaded comment]
Your version of Excel allows you to read this threaded comment; however, any edits to it will get removed if the file is opened in a newer version of Excel. Learn more: https://go.microsoft.com/fwlink/?linkid=870924
Comment:
    Updated per IL TRM v12, page 169.</t>
      </text>
    </comment>
    <comment ref="G2797" authorId="276" shapeId="0" xr:uid="{AB9437A6-2C88-40A2-8207-D0F56176BF34}">
      <text>
        <t>[Threaded comment]
Your version of Excel allows you to read this threaded comment; however, any edits to it will get removed if the file is opened in a newer version of Excel. Learn more: https://go.microsoft.com/fwlink/?linkid=870924
Comment:
    Updated per IL TRM v12, page 169.</t>
      </text>
    </comment>
    <comment ref="G2798" authorId="277" shapeId="0" xr:uid="{CEB41BB5-3F15-4113-B27C-E02F6B90269E}">
      <text>
        <t>[Threaded comment]
Your version of Excel allows you to read this threaded comment; however, any edits to it will get removed if the file is opened in a newer version of Excel. Learn more: https://go.microsoft.com/fwlink/?linkid=870924
Comment:
    Updated per IL TRM v12, page 168.</t>
      </text>
    </comment>
    <comment ref="G2805" authorId="278" shapeId="0" xr:uid="{C70CBB13-9445-429D-ABF5-F45CDB8F38CA}">
      <text>
        <t>[Threaded comment]
Your version of Excel allows you to read this threaded comment; however, any edits to it will get removed if the file is opened in a newer version of Excel. Learn more: https://go.microsoft.com/fwlink/?linkid=870924
Comment:
    Updated per IL TRM v12, page 167.</t>
      </text>
    </comment>
    <comment ref="G2806" authorId="279" shapeId="0" xr:uid="{D86EDFD0-1973-44CD-BD87-17141156AF5D}">
      <text>
        <t>[Threaded comment]
Your version of Excel allows you to read this threaded comment; however, any edits to it will get removed if the file is opened in a newer version of Excel. Learn more: https://go.microsoft.com/fwlink/?linkid=870924
Comment:
    Updated per IL TRM v12, page 167.</t>
      </text>
    </comment>
    <comment ref="G2807" authorId="280" shapeId="0" xr:uid="{18E8DBDA-898B-4325-880F-B6B9790661F0}">
      <text>
        <t>[Threaded comment]
Your version of Excel allows you to read this threaded comment; however, any edits to it will get removed if the file is opened in a newer version of Excel. Learn more: https://go.microsoft.com/fwlink/?linkid=870924
Comment:
    Updated per IL TRM v12, page 166.</t>
      </text>
    </comment>
    <comment ref="G3002" authorId="281" shapeId="0" xr:uid="{EF0D079C-1822-482D-A9E7-2638377C955E}">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014" authorId="282" shapeId="0" xr:uid="{022E9F07-B059-4286-9562-8B30F0AC020E}">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H3019" authorId="283" shapeId="0" xr:uid="{B9772E7C-B50B-4024-9F05-377E7D10A71A}">
      <text>
        <t>[Threaded comment]
Your version of Excel allows you to read this threaded comment; however, any edits to it will get removed if the file is opened in a newer version of Excel. Learn more: https://go.microsoft.com/fwlink/?linkid=870924
Comment:
    Updated assumption per IL TRM v12, page 338.</t>
      </text>
    </comment>
    <comment ref="H3020" authorId="284" shapeId="0" xr:uid="{B95FC3BF-B467-495E-AF65-EFFFA4C500A3}">
      <text>
        <t>[Threaded comment]
Your version of Excel allows you to read this threaded comment; however, any edits to it will get removed if the file is opened in a newer version of Excel. Learn more: https://go.microsoft.com/fwlink/?linkid=870924
Comment:
    Updated assumption per 2024 Adjustable Goals Guidehouse review.</t>
      </text>
    </comment>
    <comment ref="I3020" authorId="285" shapeId="0" xr:uid="{F2BEE86F-5CA5-4665-9560-3C4CA513D3CF}">
      <text>
        <t>[Threaded comment]
Your version of Excel allows you to read this threaded comment; however, any edits to it will get removed if the file is opened in a newer version of Excel. Learn more: https://go.microsoft.com/fwlink/?linkid=870924
Comment:
    Updated per IL TRM v12. Previously "2020 MMDB."</t>
      </text>
    </comment>
    <comment ref="G3028" authorId="286" shapeId="0" xr:uid="{765D43FB-ECA4-45BF-9DBF-86584B7E5AA7}">
      <text>
        <t>[Threaded comment]
Your version of Excel allows you to read this threaded comment; however, any edits to it will get removed if the file is opened in a newer version of Excel. Learn more: https://go.microsoft.com/fwlink/?linkid=870924
Comment:
    Updated per IL TRM v12, page 338. Previous value 80%</t>
      </text>
    </comment>
    <comment ref="H3028" authorId="287" shapeId="0" xr:uid="{20AF2215-BA24-44F0-8CD8-9E1EC4247BA3}">
      <text>
        <t>[Threaded comment]
Your version of Excel allows you to read this threaded comment; however, any edits to it will get removed if the file is opened in a newer version of Excel. Learn more: https://go.microsoft.com/fwlink/?linkid=870924
Comment:
    Updated assumption per IL TRM v12, page 338.</t>
      </text>
    </comment>
    <comment ref="H3029" authorId="288" shapeId="0" xr:uid="{531D939C-C4E2-4CD2-93DF-978A4A6DFD10}">
      <text>
        <t>[Threaded comment]
Your version of Excel allows you to read this threaded comment; however, any edits to it will get removed if the file is opened in a newer version of Excel. Learn more: https://go.microsoft.com/fwlink/?linkid=870924
Comment:
    Updated assumption per 2024 Adjustable Goals Guidehouse review.</t>
      </text>
    </comment>
    <comment ref="I3029" authorId="289" shapeId="0" xr:uid="{B5A3E029-530A-4D04-84F9-950E301D70AA}">
      <text>
        <t>[Threaded comment]
Your version of Excel allows you to read this threaded comment; however, any edits to it will get removed if the file is opened in a newer version of Excel. Learn more: https://go.microsoft.com/fwlink/?linkid=870924
Comment:
    Updated per IL TRM v12. Previously "2020 MMDB."</t>
      </text>
    </comment>
    <comment ref="G3037" authorId="290" shapeId="0" xr:uid="{7E739B03-83D3-4842-87D6-56D1700C7197}">
      <text>
        <t>[Threaded comment]
Your version of Excel allows you to read this threaded comment; however, any edits to it will get removed if the file is opened in a newer version of Excel. Learn more: https://go.microsoft.com/fwlink/?linkid=870924
Comment:
    Updated per IL TRM v12, page 338. Previous value 79%</t>
      </text>
    </comment>
    <comment ref="H3037" authorId="291" shapeId="0" xr:uid="{8E62F2B2-7CF0-44D7-BD36-E2B206E1960E}">
      <text>
        <t>[Threaded comment]
Your version of Excel allows you to read this threaded comment; however, any edits to it will get removed if the file is opened in a newer version of Excel. Learn more: https://go.microsoft.com/fwlink/?linkid=870924
Comment:
    Updated per IL TRM v11
Reply:
    Updated per IL TRM v12, page 338.</t>
      </text>
    </comment>
    <comment ref="G3038" authorId="292" shapeId="0" xr:uid="{7460A6E9-0674-4461-A628-5D4CD4731C42}">
      <text>
        <t>[Threaded comment]
Your version of Excel allows you to read this threaded comment; however, any edits to it will get removed if the file is opened in a newer version of Excel. Learn more: https://go.microsoft.com/fwlink/?linkid=870924
Comment:
    Updated per IL TRM v12, page 336. Previous value 82% from 2020 MMDB.</t>
      </text>
    </comment>
    <comment ref="G3052" authorId="293" shapeId="0" xr:uid="{F0F04CAF-94FB-4240-951C-478939B86727}">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167" authorId="294" shapeId="0" xr:uid="{3009F7D6-ECF1-4565-828A-5A4DF73EB101}">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171" authorId="295" shapeId="0" xr:uid="{1CB2CEF6-6DF5-458C-9A69-F067046936C0}">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193" authorId="296" shapeId="0" xr:uid="{7610C89F-855C-4603-8B8E-1188173DD108}">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197" authorId="297" shapeId="0" xr:uid="{F1DDA319-B15C-4286-AB54-ABCD3EDA3A9F}">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309" authorId="298" shapeId="0" xr:uid="{A439CB65-7CA1-4417-84CD-06DC84158ED2}">
      <text>
        <t>[Threaded comment]
Your version of Excel allows you to read this threaded comment; however, any edits to it will get removed if the file is opened in a newer version of Excel. Learn more: https://go.microsoft.com/fwlink/?linkid=870924
Comment:
    Updated per IL TRM v12, page 338. Previous value 79%</t>
      </text>
    </comment>
    <comment ref="H3309" authorId="299" shapeId="0" xr:uid="{D3DDFBA1-BE97-4B26-A177-C855C1FFADB7}">
      <text>
        <t>[Threaded comment]
Your version of Excel allows you to read this threaded comment; however, any edits to it will get removed if the file is opened in a newer version of Excel. Learn more: https://go.microsoft.com/fwlink/?linkid=870924
Comment:
    Updated per IL TRM v11
Reply:
    Updated per IL TRM v12, page 338.</t>
      </text>
    </comment>
    <comment ref="G3310" authorId="300" shapeId="0" xr:uid="{D70C0E0F-78ED-4564-8802-C11ACFD85EF8}">
      <text>
        <t>[Threaded comment]
Your version of Excel allows you to read this threaded comment; however, any edits to it will get removed if the file is opened in a newer version of Excel. Learn more: https://go.microsoft.com/fwlink/?linkid=870924
Comment:
    Updated per IL TRM v12, page 336. Previous value 81% from 2020 MMDB.</t>
      </text>
    </comment>
    <comment ref="G3318" authorId="301" shapeId="0" xr:uid="{5745450A-CADC-4AC4-B338-CDE91F845CDC}">
      <text>
        <t>[Threaded comment]
Your version of Excel allows you to read this threaded comment; however, any edits to it will get removed if the file is opened in a newer version of Excel. Learn more: https://go.microsoft.com/fwlink/?linkid=870924
Comment:
    Updated per IL TRM v12, page 338. Previous value 79%</t>
      </text>
    </comment>
    <comment ref="H3318" authorId="302" shapeId="0" xr:uid="{DD6618D1-C468-4D2A-B31E-9794A816BE78}">
      <text>
        <t>[Threaded comment]
Your version of Excel allows you to read this threaded comment; however, any edits to it will get removed if the file is opened in a newer version of Excel. Learn more: https://go.microsoft.com/fwlink/?linkid=870924
Comment:
    Updated per IL TRM v11
Reply:
    Updated per IL TRM v12, page 338.</t>
      </text>
    </comment>
    <comment ref="G3319" authorId="303" shapeId="0" xr:uid="{C12F0FAA-8C04-48FA-BF3C-360E4FD7DBBF}">
      <text>
        <t>[Threaded comment]
Your version of Excel allows you to read this threaded comment; however, any edits to it will get removed if the file is opened in a newer version of Excel. Learn more: https://go.microsoft.com/fwlink/?linkid=870924
Comment:
    Updated per IL TRM v12, page 336. Previous value 81.4% from 2020 MMDB.</t>
      </text>
    </comment>
    <comment ref="G3328" authorId="304" shapeId="0" xr:uid="{CF352CC4-41B2-4442-8923-0472AFC93E6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3345" authorId="305" shapeId="0" xr:uid="{046B7CE0-A066-43E5-B44F-32887FC51CC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3383" authorId="306" shapeId="0" xr:uid="{72272E69-772D-446F-ADAA-9388DACAAEE1}">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384" authorId="307" shapeId="0" xr:uid="{3180BCFB-80E6-443A-92B6-6DD1AAE99701}">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385" authorId="308" shapeId="0" xr:uid="{DD24A83A-551A-469F-B137-34160CE2469E}">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386" authorId="309" shapeId="0" xr:uid="{075AF19C-1A98-4BDD-ADC3-4915AA91DC4F}">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E3393" authorId="310" shapeId="0" xr:uid="{09C6E5FA-33E7-4FAC-91EE-3BA8BD8A9E67}">
      <text>
        <t>[Threaded comment]
Your version of Excel allows you to read this threaded comment; however, any edits to it will get removed if the file is opened in a newer version of Excel. Learn more: https://go.microsoft.com/fwlink/?linkid=870924
Comment:
    Added per IL TRM v11</t>
      </text>
    </comment>
    <comment ref="G3400" authorId="311" shapeId="0" xr:uid="{0852898A-567A-464B-8576-2CE442041FC3}">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402" authorId="312" shapeId="0" xr:uid="{5AEAE618-9F16-4524-A131-9AE08FFB779B}">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E3412" authorId="313" shapeId="0" xr:uid="{939C7A1A-D350-4811-8572-65A990E523F9}">
      <text>
        <t>[Threaded comment]
Your version of Excel allows you to read this threaded comment; however, any edits to it will get removed if the file is opened in a newer version of Excel. Learn more: https://go.microsoft.com/fwlink/?linkid=870924
Comment:
    Added per IL TRM v11</t>
      </text>
    </comment>
    <comment ref="G3485" authorId="314" shapeId="0" xr:uid="{E0CFDB3C-FD76-4D58-8065-DA659C537242}">
      <text>
        <t>[Threaded comment]
Your version of Excel allows you to read this threaded comment; however, any edits to it will get removed if the file is opened in a newer version of Excel. Learn more: https://go.microsoft.com/fwlink/?linkid=870924
Comment:
    Updated per IL TRM v12, page 431. Previously 70-(-1.5), now 70-(-1.0)</t>
      </text>
    </comment>
    <comment ref="G3568" authorId="315" shapeId="0" xr:uid="{CFE99290-A8DC-4783-B6E2-D404FBCF18A5}">
      <text>
        <t>[Threaded comment]
Your version of Excel allows you to read this threaded comment; however, any edits to it will get removed if the file is opened in a newer version of Excel. Learn more: https://go.microsoft.com/fwlink/?linkid=870924
Comment:
    Updated per IL TRM v12, page 345. Previous value 80%.</t>
      </text>
    </comment>
    <comment ref="G3585" authorId="316" shapeId="0" xr:uid="{D531E55A-B1A7-406C-90B9-A22814907B6E}">
      <text>
        <t>[Threaded comment]
Your version of Excel allows you to read this threaded comment; however, any edits to it will get removed if the file is opened in a newer version of Excel. Learn more: https://go.microsoft.com/fwlink/?linkid=870924
Comment:
    Updated per IL TRM v12, page 244. Previous value 0.64</t>
      </text>
    </comment>
    <comment ref="G3587" authorId="317" shapeId="0" xr:uid="{C934C5DD-A5C1-4888-A364-6DACED50B161}">
      <text>
        <t>[Threaded comment]
Your version of Excel allows you to read this threaded comment; however, any edits to it will get removed if the file is opened in a newer version of Excel. Learn more: https://go.microsoft.com/fwlink/?linkid=870924
Comment:
    Updated per IL TRM v12, page 245. Previous value 13.</t>
      </text>
    </comment>
    <comment ref="G3588" authorId="318" shapeId="0" xr:uid="{E9B82FCD-A297-4463-8C8C-D3C8CDE353FD}">
      <text>
        <t>[Threaded comment]
Your version of Excel allows you to read this threaded comment; however, any edits to it will get removed if the file is opened in a newer version of Excel. Learn more: https://go.microsoft.com/fwlink/?linkid=870924
Comment:
    Updated per IL TRM v12, page 245. Previous value $400.</t>
      </text>
    </comment>
    <comment ref="G3601" authorId="319" shapeId="0" xr:uid="{5F3C30FF-5E7D-43FD-BC97-60BA01616361}">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605" authorId="320" shapeId="0" xr:uid="{076F7CF6-1507-4876-BE54-CA5CED17567B}">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783" authorId="321" shapeId="0" xr:uid="{F6AA1FDA-3CC7-4B3B-8E62-24A3D6A37823}">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787" authorId="322" shapeId="0" xr:uid="{DFFDD0CF-2197-4063-A2D4-9B406D0FF654}">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3976" authorId="323" shapeId="0" xr:uid="{074FE7D5-6C3B-4E32-9281-5DF73BED935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H3976" authorId="324" shapeId="0" xr:uid="{34537A57-DC9A-431C-B3D7-8FAD17D88F8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4006" authorId="325" shapeId="0" xr:uid="{C30E223C-240A-49E8-BF94-3559CF76F11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H4006" authorId="326" shapeId="0" xr:uid="{2E840AFA-A76F-4CD6-8409-D59163632F2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4107" authorId="327" shapeId="0" xr:uid="{9EFF4B4D-EB58-426A-B436-5B09037868BF}">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4111" authorId="328" shapeId="0" xr:uid="{416B6DED-01B1-4637-8C6D-83B044E9DF2E}">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4133" authorId="329" shapeId="0" xr:uid="{0A131E26-0C34-4312-8394-F7CD05ED9BFF}">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4137" authorId="330" shapeId="0" xr:uid="{2F5E40E0-C66C-49CE-878E-3BE9D05D115B}">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4159" authorId="331" shapeId="0" xr:uid="{57BB2AAA-41C7-45C4-A71B-99FD45D8401C}">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4163" authorId="332" shapeId="0" xr:uid="{24FE74FA-9B3C-4EB7-A88F-42D04B3528D1}">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4341" authorId="333" shapeId="0" xr:uid="{D4DD48C5-FEE1-4773-A50F-93EEAFC4B64F}">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4345" authorId="334" shapeId="0" xr:uid="{0320505F-476A-4554-AC91-133A46FCAF48}">
      <text>
        <t>[Threaded comment]
Your version of Excel allows you to read this threaded comment; however, any edits to it will get removed if the file is opened in a newer version of Excel. Learn more: https://go.microsoft.com/fwlink/?linkid=870924
Comment:
    Updated per IL TRM v11</t>
      </text>
    </comment>
    <comment ref="G4579" authorId="335" shapeId="0" xr:uid="{7698A827-9BC9-4B08-ABDD-50CD3429DC06}">
      <text>
        <t>[Threaded comment]
Your version of Excel allows you to read this threaded comment; however, any edits to it will get removed if the file is opened in a newer version of Excel. Learn more: https://go.microsoft.com/fwlink/?linkid=870924
Comment:
    Updated per IL TRM v12, page 388. Previous value 0.72</t>
      </text>
    </comment>
    <comment ref="G4581" authorId="336" shapeId="0" xr:uid="{FDFE29FF-92E5-4049-B6A8-79CB2D950A43}">
      <text>
        <t>[Threaded comment]
Your version of Excel allows you to read this threaded comment; however, any edits to it will get removed if the file is opened in a newer version of Excel. Learn more: https://go.microsoft.com/fwlink/?linkid=870924
Comment:
    Updated per IL TRM v12, page 387. Previous value 5113</t>
      </text>
    </comment>
    <comment ref="H4587" authorId="337" shapeId="0" xr:uid="{ED80D12B-1EB7-4B56-887E-13140B5676FE}">
      <text>
        <t>[Threaded comment]
Your version of Excel allows you to read this threaded comment; however, any edits to it will get removed if the file is opened in a newer version of Excel. Learn more: https://go.microsoft.com/fwlink/?linkid=870924
Comment:
    Per project CFM reduction
Reply:
    Updated per 2024 Adjustable Goals Guidehouse review.</t>
      </text>
    </comment>
    <comment ref="G4614" authorId="338" shapeId="0" xr:uid="{2A48AE5F-F7D1-4D02-ADB8-7EB6BED7BF51}">
      <text>
        <r>
          <rPr>
            <b/>
            <sz val="9"/>
            <color indexed="81"/>
            <rFont val="Tahoma"/>
            <family val="2"/>
          </rPr>
          <t>Taylor Weyenberg:</t>
        </r>
        <r>
          <rPr>
            <sz val="9"/>
            <color indexed="81"/>
            <rFont val="Tahoma"/>
            <family val="2"/>
          </rPr>
          <t xml:space="preserve">
Value derived from (52) projects in 2019 up to 9/5/19. Actual project data used in response to Navigant 2019 HER wave 1 review.</t>
        </r>
      </text>
    </comment>
    <comment ref="G4616" authorId="339" shapeId="0" xr:uid="{6F6B896A-A344-4882-9D17-4F6698DDFA6F}">
      <text>
        <t>[Threaded comment]
Your version of Excel allows you to read this threaded comment; however, any edits to it will get removed if the file is opened in a newer version of Excel. Learn more: https://go.microsoft.com/fwlink/?linkid=870924
Comment:
    Updated per IL TRM v12, page 245. Previous value 13.</t>
      </text>
    </comment>
    <comment ref="G4617" authorId="340" shapeId="0" xr:uid="{08FD8C35-FD5B-4437-8EA1-29EA1E972F7D}">
      <text>
        <t>[Threaded comment]
Your version of Excel allows you to read this threaded comment; however, any edits to it will get removed if the file is opened in a newer version of Excel. Learn more: https://go.microsoft.com/fwlink/?linkid=870924
Comment:
    Updated per IL TRM v12, page 245. Previous value $605.</t>
      </text>
    </comment>
    <comment ref="G4658" authorId="341" shapeId="0" xr:uid="{7101B557-BCA2-4F1A-9A3C-28B938C4AD6F}">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G4659" authorId="342" shapeId="0" xr:uid="{4B1812DB-A44F-4F1A-926B-EDB63F91C9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tc={29C172E8-CA81-4B73-981D-27D1713D3C5C}</author>
    <author>tc={2AC13706-2951-4770-B1F7-1CB9BE7F23B0}</author>
  </authors>
  <commentList>
    <comment ref="C2" authorId="0" shapeId="0" xr:uid="{29C172E8-CA81-4B73-981D-27D1713D3C5C}">
      <text>
        <t>[Threaded comment]
Your version of Excel allows you to read this threaded comment; however, any edits to it will get removed if the file is opened in a newer version of Excel. Learn more: https://go.microsoft.com/fwlink/?linkid=870924
Comment:
    Copy and paste as values old measure codes</t>
      </text>
    </comment>
    <comment ref="D2" authorId="1" shapeId="0" xr:uid="{2AC13706-2951-4770-B1F7-1CB9BE7F23B0}">
      <text>
        <t>[Threaded comment]
Your version of Excel allows you to read this threaded comment; however, any edits to it will get removed if the file is opened in a newer version of Excel. Learn more: https://go.microsoft.com/fwlink/?linkid=870924
Comment:
    Find and replace old measure codes with new measure codes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Taylor Weyenberg</author>
    <author>tc={764C8D1A-793D-40A4-800B-C960EB973495}</author>
    <author>tc={937F957A-DBEE-4B38-A7FB-7F1EDAAE4458}</author>
    <author>tc={677FF1C4-EED8-4935-A4B3-68B05CE9CCA2}</author>
    <author>tc={6E2749DA-BA71-4823-87C5-F4A2E0B3007C}</author>
    <author>tc={7721A016-2AD5-473E-B7F7-EAD6B7033BFE}</author>
    <author>tc={611EA8CE-0E04-4DBC-821E-3D10DA4C3D87}</author>
    <author>tc={E6BF9E9A-F10B-47C0-933F-79E7ABA6FC5C}</author>
    <author>tc={F1334943-3C1C-4D23-AE9C-CB68D59618F1}</author>
    <author>Leah Maggio</author>
    <author>tc={B2513F4F-4306-4A73-92D5-2F515F356776}</author>
    <author>tc={78391341-ED04-44BD-B94D-AEC7E23FBFA5}</author>
    <author>tc={31905C7C-D7D2-47E3-A420-FDC8FE71843B}</author>
    <author>tc={72E0E015-A3F6-4C53-A6E2-D5F198BDBE61}</author>
    <author>tc={E6BD489D-0274-465D-B096-1305C3E337DE}</author>
    <author>tc={6079BB83-2E3B-4724-9604-CDA6915CA9B0}</author>
    <author>tc={6F04D571-7E5F-4182-AE7C-F24AB3880167}</author>
    <author>tc={6D0C422A-3D78-4488-AC86-9DCC7AE3061C}</author>
    <author>tc={5BFF94F1-B5D1-4370-9C6B-254268D535A5}</author>
    <author>tc={F6D3B3A2-0EB7-44A2-A17C-4F85CBB8D07B}</author>
    <author>tc={6D2EF820-E63A-4A80-A4F7-BD245BC07093}</author>
    <author>tc={8353B23F-3A12-4532-BAE8-71C313F68D34}</author>
    <author>tc={2759E2E4-28D0-4D7F-A4F5-EAC05B1B7A2D}</author>
    <author>tc={C1F6B1E2-1A9A-4351-BC2E-0FB84EA9CA87}</author>
    <author>tc={40B9DDA2-4F0E-4F00-8364-585C75A9B4EC}</author>
    <author>tc={475ADEE0-9A79-49C6-A09B-42DB7169EA6E}</author>
    <author>tc={29A9E546-8123-4AC5-AD35-E92B11B4D17D}</author>
    <author>tc={46BD0433-8D2C-4674-B801-11B3975C3086}</author>
    <author>tc={1698774C-23A0-450F-8889-165E86AD3469}</author>
    <author>tc={FD27D453-FBEE-47BE-A294-56193313F80C}</author>
    <author>tc={E8A73636-E782-41FA-81CF-6E0D896C43E1}</author>
    <author>tc={BBFC9373-1A67-4FC5-B0DE-BA7EA0FF0544}</author>
    <author>tc={1B5E7852-CCA9-4433-BEF9-FF071B0E772D}</author>
    <author>tc={4990645B-C395-472D-8D33-75BD759C430B}</author>
    <author>tc={5C69975D-CC00-47DA-B414-692F6130F0E2}</author>
    <author>tc={4407D8C4-7AF4-45DA-9142-E324E08F33F6}</author>
    <author>tc={C23D8805-1B4C-4619-99CD-878ED1C5D4C2}</author>
    <author>tc={3337A4D0-CDFD-4BAE-B06A-21A4BB282FA8}</author>
    <author>tc={F80267ED-0C2A-4641-A0CB-CF9E3725A895}</author>
    <author>tc={0EC3898B-EFB6-4A47-AE49-5AB6BA5C6C1D}</author>
    <author>tc={8804B068-3320-483C-B806-BC295E44F66A}</author>
    <author>tc={C7E1FE12-6A02-4CC9-9DBE-3C87858D2BA2}</author>
    <author>tc={E32CA8E6-7387-40C5-A517-DFED8A324600}</author>
    <author>tc={AA43187B-B8D5-4A32-9E13-8B24DB6000D4}</author>
    <author>tc={DCF010DA-D53B-4065-B2F7-00FF794E071A}</author>
  </authors>
  <commentList>
    <comment ref="X13" authorId="0" shapeId="0" xr:uid="{EC2E8CB5-68DB-4622-BB6C-AB9F68D48ACB}">
      <text>
        <r>
          <rPr>
            <b/>
            <sz val="9"/>
            <color indexed="81"/>
            <rFont val="Tahoma"/>
            <family val="2"/>
          </rPr>
          <t>Taylor Weyenberg:</t>
        </r>
        <r>
          <rPr>
            <sz val="9"/>
            <color indexed="81"/>
            <rFont val="Tahoma"/>
            <family val="2"/>
          </rPr>
          <t xml:space="preserve">
All steam pipe from 1"-2" is considered to be condensate return pipe. This assumption is due to the fact that installing contractors are unable to reliably differentiate between condensate and steam pipes, thus the more conservative option has been chosen. </t>
        </r>
      </text>
    </comment>
    <comment ref="A33" authorId="1" shapeId="0" xr:uid="{764C8D1A-793D-40A4-800B-C960EB97349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B33" authorId="2" shapeId="0" xr:uid="{937F957A-DBEE-4B38-A7FB-7F1EDAAE445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C33" authorId="3" shapeId="0" xr:uid="{677FF1C4-EED8-4935-A4B3-68B05CE9CCA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E33" authorId="4" shapeId="0" xr:uid="{6E2749DA-BA71-4823-87C5-F4A2E0B3007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34" authorId="5" shapeId="0" xr:uid="{7721A016-2AD5-473E-B7F7-EAD6B7033BF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B34" authorId="6" shapeId="0" xr:uid="{611EA8CE-0E04-4DBC-821E-3D10DA4C3D8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C34" authorId="7" shapeId="0" xr:uid="{E6BF9E9A-F10B-47C0-933F-79E7ABA6FC5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E34" authorId="8" shapeId="0" xr:uid="{F1334943-3C1C-4D23-AE9C-CB68D59618F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37" authorId="9" shapeId="0" xr:uid="{9036ADB4-F463-4EC9-A047-7187FBA3F64F}">
      <text>
        <r>
          <rPr>
            <b/>
            <sz val="9"/>
            <color indexed="81"/>
            <rFont val="Tahoma"/>
            <family val="2"/>
          </rPr>
          <t>Leah Maggio:</t>
        </r>
        <r>
          <rPr>
            <sz val="9"/>
            <color indexed="81"/>
            <rFont val="Tahoma"/>
            <family val="2"/>
          </rPr>
          <t xml:space="preserve">
MF DI ONLY</t>
        </r>
      </text>
    </comment>
    <comment ref="A38" authorId="9" shapeId="0" xr:uid="{D4395A84-A7DE-4672-B86D-A4A9600F9E41}">
      <text>
        <r>
          <rPr>
            <b/>
            <sz val="9"/>
            <color indexed="81"/>
            <rFont val="Tahoma"/>
            <family val="2"/>
          </rPr>
          <t>Leah Maggio:</t>
        </r>
        <r>
          <rPr>
            <sz val="9"/>
            <color indexed="81"/>
            <rFont val="Tahoma"/>
            <family val="2"/>
          </rPr>
          <t xml:space="preserve">
MF DI ONLY</t>
        </r>
      </text>
    </comment>
    <comment ref="J46" authorId="0" shapeId="0" xr:uid="{8E8E1D0E-B644-4F9E-8F72-9B41694C842E}">
      <text>
        <r>
          <rPr>
            <b/>
            <sz val="9"/>
            <color indexed="81"/>
            <rFont val="Tahoma"/>
            <family val="2"/>
          </rPr>
          <t>Taylor Weyenberg:</t>
        </r>
        <r>
          <rPr>
            <sz val="9"/>
            <color indexed="81"/>
            <rFont val="Tahoma"/>
            <family val="2"/>
          </rPr>
          <t xml:space="preserve">
IU Savings Calculated using the same weighted method as the CA values. Navigant made the following comment in 2019 Wave 1: Since the measure is installed in the in-unit space of a multi-family building, the verified savings are calculated using the residential section (measure 5.4.1) of the TRM. Franklin has fulfilled this request with the addition of this table. </t>
        </r>
      </text>
    </comment>
    <comment ref="A57" authorId="10" shapeId="0" xr:uid="{B2513F4F-4306-4A73-92D5-2F515F356776}">
      <text>
        <t>[Threaded comment]
Your version of Excel allows you to read this threaded comment; however, any edits to it will get removed if the file is opened in a newer version of Excel. Learn more: https://go.microsoft.com/fwlink/?linkid=870924
Comment:
    Unused</t>
      </text>
    </comment>
    <comment ref="AU129" authorId="11" shapeId="0" xr:uid="{78391341-ED04-44BD-B94D-AEC7E23FBFA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145" authorId="12" shapeId="0" xr:uid="{31905C7C-D7D2-47E3-A420-FDC8FE71843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B145" authorId="13" shapeId="0" xr:uid="{72E0E015-A3F6-4C53-A6E2-D5F198BDBE6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C145" authorId="14" shapeId="0" xr:uid="{E6BD489D-0274-465D-B096-1305C3E337D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D145" authorId="15" shapeId="0" xr:uid="{6079BB83-2E3B-4724-9604-CDA6915CA9B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E145" authorId="16" shapeId="0" xr:uid="{6F04D571-7E5F-4182-AE7C-F24AB388016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F145" authorId="17" shapeId="0" xr:uid="{6D0C422A-3D78-4488-AC86-9DCC7AE3061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146" authorId="18" shapeId="0" xr:uid="{5BFF94F1-B5D1-4370-9C6B-254268D535A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B146" authorId="19" shapeId="0" xr:uid="{F6D3B3A2-0EB7-44A2-A17C-4F85CBB8D07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C146" authorId="20" shapeId="0" xr:uid="{6D2EF820-E63A-4A80-A4F7-BD245BC07093}">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D146" authorId="21" shapeId="0" xr:uid="{8353B23F-3A12-4532-BAE8-71C313F68D3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E146" authorId="22" shapeId="0" xr:uid="{2759E2E4-28D0-4D7F-A4F5-EAC05B1B7A2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F146" authorId="23" shapeId="0" xr:uid="{C1F6B1E2-1A9A-4351-BC2E-0FB84EA9CA87}">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B147" authorId="24" shapeId="0" xr:uid="{40B9DDA2-4F0E-4F00-8364-585C75A9B4E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C147" authorId="25" shapeId="0" xr:uid="{475ADEE0-9A79-49C6-A09B-42DB7169EA6E}">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D147" authorId="26" shapeId="0" xr:uid="{29A9E546-8123-4AC5-AD35-E92B11B4D17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E147" authorId="27" shapeId="0" xr:uid="{46BD0433-8D2C-4674-B801-11B3975C308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F147" authorId="28" shapeId="0" xr:uid="{1698774C-23A0-450F-8889-165E86AD3469}">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E160" authorId="29" shapeId="0" xr:uid="{FD27D453-FBEE-47BE-A294-56193313F80C}">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160" authorId="30" shapeId="0" xr:uid="{E8A73636-E782-41FA-81CF-6E0D896C43E1}">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E161" authorId="31" shapeId="0" xr:uid="{BBFC9373-1A67-4FC5-B0DE-BA7EA0FF054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161" authorId="32" shapeId="0" xr:uid="{1B5E7852-CCA9-4433-BEF9-FF071B0E772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E162" authorId="33" shapeId="0" xr:uid="{4990645B-C395-472D-8D33-75BD759C430B}">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162" authorId="34" shapeId="0" xr:uid="{5C69975D-CC00-47DA-B414-692F6130F0E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E163" authorId="35" shapeId="0" xr:uid="{4407D8C4-7AF4-45DA-9142-E324E08F33F6}">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163" authorId="36" shapeId="0" xr:uid="{C23D8805-1B4C-4619-99CD-878ED1C5D4C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E164" authorId="37" shapeId="0" xr:uid="{3337A4D0-CDFD-4BAE-B06A-21A4BB282FA8}">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164" authorId="38" shapeId="0" xr:uid="{F80267ED-0C2A-4641-A0CB-CF9E3725A895}">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E165" authorId="39" shapeId="0" xr:uid="{0EC3898B-EFB6-4A47-AE49-5AB6BA5C6C1D}">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165" authorId="40" shapeId="0" xr:uid="{8804B068-3320-483C-B806-BC295E44F66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E166" authorId="41" shapeId="0" xr:uid="{C7E1FE12-6A02-4CC9-9DBE-3C87858D2BA2}">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166" authorId="42" shapeId="0" xr:uid="{E32CA8E6-7387-40C5-A517-DFED8A324600}">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E167" authorId="43" shapeId="0" xr:uid="{AA43187B-B8D5-4A32-9E13-8B24DB6000D4}">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 ref="AF167" authorId="44" shapeId="0" xr:uid="{DCF010DA-D53B-4065-B2F7-00FF794E071A}">
      <text>
        <t>[Threaded comment]
Your version of Excel allows you to read this threaded comment; however, any edits to it will get removed if the file is opened in a newer version of Excel. Learn more: https://go.microsoft.com/fwlink/?linkid=870924
Comment:
    Updated per Guidehouse review.</t>
      </text>
    </comment>
  </commentList>
</comments>
</file>

<file path=xl/sharedStrings.xml><?xml version="1.0" encoding="utf-8"?>
<sst xmlns="http://schemas.openxmlformats.org/spreadsheetml/2006/main" count="86836" uniqueCount="2633">
  <si>
    <t>Program</t>
  </si>
  <si>
    <t>Sector</t>
  </si>
  <si>
    <t>Residential</t>
  </si>
  <si>
    <t>Business</t>
  </si>
  <si>
    <t>Direct Install</t>
  </si>
  <si>
    <t>Custom</t>
  </si>
  <si>
    <t>Door Sweep</t>
  </si>
  <si>
    <t>Advanced Thermostat</t>
  </si>
  <si>
    <t>Water Heater</t>
  </si>
  <si>
    <t>ENERGY STAR Dishwasher</t>
  </si>
  <si>
    <t>Thermostatic Restrictor Shower Valve</t>
  </si>
  <si>
    <t>Energy Recovery Ventilator</t>
  </si>
  <si>
    <t>Modulating Commercial Gas Clothes Dryer</t>
  </si>
  <si>
    <t>Condensing Unit Heater</t>
  </si>
  <si>
    <t>Demand Controlled Ventilation</t>
  </si>
  <si>
    <t>Low Flow Showerhead</t>
  </si>
  <si>
    <t>Ozone Laundry</t>
  </si>
  <si>
    <t>Heat Recovery Grease Trap Filter</t>
  </si>
  <si>
    <t>Infrared Charbroiler</t>
  </si>
  <si>
    <t>Infrared Rotisserie Oven</t>
  </si>
  <si>
    <t>Infrared Salamander Broiler</t>
  </si>
  <si>
    <t>Infrared Upright Broiler</t>
  </si>
  <si>
    <t>Pasta Cooker</t>
  </si>
  <si>
    <t>RS-HWE-LFSH-V08-200101</t>
  </si>
  <si>
    <t>RS-HVC-ADTH-V04-200101</t>
  </si>
  <si>
    <t>CI-HVC-BLRC-V04-210101</t>
  </si>
  <si>
    <t>CI-HWE-CDHW-V02-180101</t>
  </si>
  <si>
    <t>CI-HVC-ERVE-V04-200101</t>
  </si>
  <si>
    <t>CI-HVC-LBC-V05-160601</t>
  </si>
  <si>
    <t>CI-MSC-MODD-V01-160601</t>
  </si>
  <si>
    <t>CI-HWE-MDHW-V04-200101</t>
  </si>
  <si>
    <t>CI-HVC-BLRT-V07-210101</t>
  </si>
  <si>
    <t>CI-HVC-CUHT-V01-190101</t>
  </si>
  <si>
    <t>CI-HVC-IRHT-V02-210101</t>
  </si>
  <si>
    <t>CI-HVC-DCV-V05-190101</t>
  </si>
  <si>
    <t>CI-HWE-LFFA-V09-190101</t>
  </si>
  <si>
    <t>CI-HWE-LFSH-V07-200101</t>
  </si>
  <si>
    <t>CI-HVC-STRE-V06-200101</t>
  </si>
  <si>
    <t>CI-HWE-GRTF-V02-200601</t>
  </si>
  <si>
    <t>CI-FSE-STMC-V05-190101</t>
  </si>
  <si>
    <t>CI-FSE-ESDW-V05-190101</t>
  </si>
  <si>
    <t>CI-FSE-ESFR-V02-190101</t>
  </si>
  <si>
    <t>CI-FSE-ESGR-V04-200101</t>
  </si>
  <si>
    <t>CI-FSE-CVOV-V02-180101</t>
  </si>
  <si>
    <t>CI-FSE-IRCB-V02-180101</t>
  </si>
  <si>
    <t>CI-FSE-IROV-V02-180101</t>
  </si>
  <si>
    <t>I-FSE-IRBL-V02-180101</t>
  </si>
  <si>
    <t>CI-FSE-IRUB-V02-180101</t>
  </si>
  <si>
    <t>CI-FSE-VENT-V04-210101</t>
  </si>
  <si>
    <t>CI-FSE-PCOK-V02-180101</t>
  </si>
  <si>
    <t>CI-FSE-RKOV-VO2-180101</t>
  </si>
  <si>
    <t>Program Administrator:</t>
  </si>
  <si>
    <t>Plan Energy Savings Goal (Therm)</t>
  </si>
  <si>
    <t>Adjusted Energy Savings Goal (Therm)</t>
  </si>
  <si>
    <t>Energy Savings Adjustment to Plan Goal (Therm)</t>
  </si>
  <si>
    <t>Brief Explanation of Significant Adjustments</t>
  </si>
  <si>
    <t>Plan Period</t>
  </si>
  <si>
    <t>(a)</t>
  </si>
  <si>
    <t>(b)</t>
  </si>
  <si>
    <t>(c)</t>
  </si>
  <si>
    <t>(d)=(c-b)</t>
  </si>
  <si>
    <t>(e)</t>
  </si>
  <si>
    <t>(f)</t>
  </si>
  <si>
    <t>(g)</t>
  </si>
  <si>
    <t>(m)</t>
  </si>
  <si>
    <t>(n)</t>
  </si>
  <si>
    <t>(o)</t>
  </si>
  <si>
    <t>Check</t>
  </si>
  <si>
    <t>Plan</t>
  </si>
  <si>
    <t>Portfolio Total (Therms)</t>
  </si>
  <si>
    <t>Approved Energy Efficiency Plan Key Assumptions - Plan Participation</t>
  </si>
  <si>
    <t>Approved Energy Efficiency Plan Key Assumptions</t>
  </si>
  <si>
    <t>Final Adjusted Net Energy Savings Goals</t>
  </si>
  <si>
    <t>Approved Energy Efficiency Plan Key Assumptions - Measure-Level Algorithm Inputs</t>
  </si>
  <si>
    <t>Plan Number of Units (Fixed Parameters for Calculating Adjustable Savings Goals)</t>
  </si>
  <si>
    <t>Plan Gross Unit Savings (Therms)</t>
  </si>
  <si>
    <t>Plan Energy Savings Goals (Therms)</t>
  </si>
  <si>
    <t>Adjusted Energy Savings Goal (Therms)</t>
  </si>
  <si>
    <t>Energy Savings Adjustment to Plan Goal (Therms)</t>
  </si>
  <si>
    <t>Derived from the IL-TRM that, if changed in the IL-TRM in the future, would therefore necessitate a savings goal adjustment, unless consensus is reached at SAG that the extenuating circumstance warrants no adjustment.</t>
  </si>
  <si>
    <t>Measure</t>
  </si>
  <si>
    <t xml:space="preserve">IL-TRM Adjustable?
(1 if yes; 0 if no) </t>
  </si>
  <si>
    <t>IL-TRM Section / Custom</t>
  </si>
  <si>
    <t>Unit of Participation</t>
  </si>
  <si>
    <t>Reference Document Explaining Gross Unit Savings Calculation Details</t>
  </si>
  <si>
    <t>Total Plan Period Goal</t>
  </si>
  <si>
    <t>Gross Unit Savings Adjustment Explanation</t>
  </si>
  <si>
    <t>Plan Period Final Savings Goal (Therms)</t>
  </si>
  <si>
    <t>Key Custom Input Assumptions (if none, specify NA)</t>
  </si>
  <si>
    <t>Key IL-TRM Input Assumptions</t>
  </si>
  <si>
    <t>(h)</t>
  </si>
  <si>
    <t>(l)</t>
  </si>
  <si>
    <t>(p)</t>
  </si>
  <si>
    <t>(y)</t>
  </si>
  <si>
    <t>(z)</t>
  </si>
  <si>
    <t>(af)</t>
  </si>
  <si>
    <t>(am)</t>
  </si>
  <si>
    <t>(an)</t>
  </si>
  <si>
    <t>(as)</t>
  </si>
  <si>
    <t>NA</t>
  </si>
  <si>
    <t>5.3.11</t>
  </si>
  <si>
    <t>5.3.16</t>
  </si>
  <si>
    <t>5.4.5</t>
  </si>
  <si>
    <t>5.4.4</t>
  </si>
  <si>
    <t>5.4.1</t>
  </si>
  <si>
    <t>5.4.6</t>
  </si>
  <si>
    <t>5.6.1</t>
  </si>
  <si>
    <t>5.6.4</t>
  </si>
  <si>
    <t>5.6.6</t>
  </si>
  <si>
    <t>5.6.2</t>
  </si>
  <si>
    <t>5.3.6</t>
  </si>
  <si>
    <t>5.3.4</t>
  </si>
  <si>
    <t>5.3.7</t>
  </si>
  <si>
    <t>5.6.5</t>
  </si>
  <si>
    <t>4.2.6</t>
  </si>
  <si>
    <t>4.4.11</t>
  </si>
  <si>
    <t>4.4.4</t>
  </si>
  <si>
    <t>4.4.12</t>
  </si>
  <si>
    <t>4.4.5</t>
  </si>
  <si>
    <t>4.2.15</t>
  </si>
  <si>
    <t>4.2.14</t>
  </si>
  <si>
    <t>4.2.12</t>
  </si>
  <si>
    <t>4.2.13</t>
  </si>
  <si>
    <t>4.2.17</t>
  </si>
  <si>
    <t>4.2.18</t>
  </si>
  <si>
    <t>4.2.16</t>
  </si>
  <si>
    <t>4.4.27</t>
  </si>
  <si>
    <t>4.3.7</t>
  </si>
  <si>
    <t>4.4.19</t>
  </si>
  <si>
    <t>4.3.3</t>
  </si>
  <si>
    <t>4.4.16</t>
  </si>
  <si>
    <t>4.3.2</t>
  </si>
  <si>
    <t>4.8.4</t>
  </si>
  <si>
    <t>4.4.10</t>
  </si>
  <si>
    <t>4.3.1</t>
  </si>
  <si>
    <t>4.2.3</t>
  </si>
  <si>
    <t>4.2.8</t>
  </si>
  <si>
    <t>4.2.7</t>
  </si>
  <si>
    <t>CI-FSE-CBOV-V02-160601</t>
  </si>
  <si>
    <t>January 1, 2022 - December 31, 2022, Plan Year 2022</t>
  </si>
  <si>
    <t>January 1, 2023 - December 31, 2023, Plan Year 2023</t>
  </si>
  <si>
    <t>January 1, 2024 - December 31, 2024, Plan Year 2024</t>
  </si>
  <si>
    <t>January 1, 2025 - December 31, 2025, Plan Year 2025</t>
  </si>
  <si>
    <t>January 1, 2022 - December 31, 2025 Plan Period</t>
  </si>
  <si>
    <t>IL TRM v9</t>
  </si>
  <si>
    <t>IL TRM v10</t>
  </si>
  <si>
    <t>Plan Goal to IL TRM v10</t>
  </si>
  <si>
    <t>IL TRM v11</t>
  </si>
  <si>
    <t>Energy Savings Adjustment (Therm)</t>
  </si>
  <si>
    <t>IL TRM v9 to v10</t>
  </si>
  <si>
    <t>IL TRM v10 to v11</t>
  </si>
  <si>
    <t>Plan Goal to IL TRM v11</t>
  </si>
  <si>
    <t>IL TRM v12</t>
  </si>
  <si>
    <t>IL TRM v11 to v12</t>
  </si>
  <si>
    <t>Plan Goal to IL TRM v12</t>
  </si>
  <si>
    <t>IL TRM v13</t>
  </si>
  <si>
    <t>IL TRM v12 to 13</t>
  </si>
  <si>
    <t>Plan Goal to IL TRM v13</t>
  </si>
  <si>
    <t>(u)</t>
  </si>
  <si>
    <t>(v)</t>
  </si>
  <si>
    <t>(w)</t>
  </si>
  <si>
    <t>(x)</t>
  </si>
  <si>
    <t>(i)=(g-f)</t>
  </si>
  <si>
    <t>(j)=(h-g)</t>
  </si>
  <si>
    <t>(k)=(h-f)</t>
  </si>
  <si>
    <t>(q)=(n-m)</t>
  </si>
  <si>
    <t>(r)=(o-n)</t>
  </si>
  <si>
    <t>(s)=(p-o)</t>
  </si>
  <si>
    <t>(t)=(p-m)</t>
  </si>
  <si>
    <t>(aa)=(w-v)</t>
  </si>
  <si>
    <t>(ab)=(x-w)</t>
  </si>
  <si>
    <t>(ac)=(y-x)</t>
  </si>
  <si>
    <t>(ad)=(z-y)</t>
  </si>
  <si>
    <t>(ae)=(z-v)</t>
  </si>
  <si>
    <t>(ag)=(b+f+m+v)</t>
  </si>
  <si>
    <t>(ah)=(c+h+p+z)</t>
  </si>
  <si>
    <t>(ai)=(ah-ag)</t>
  </si>
  <si>
    <t>IL-TRM Measure Code from IL-TRM v9</t>
  </si>
  <si>
    <t>2022 Plan Number of Units (Fixed)</t>
  </si>
  <si>
    <t>2023 Plan Number of Units (Fixed)</t>
  </si>
  <si>
    <t>2024 Plan Number of Units (Fixed)</t>
  </si>
  <si>
    <t>2025 Plan Number of Units (Fixed)</t>
  </si>
  <si>
    <t>2022 Plan Gross Unit Savings</t>
  </si>
  <si>
    <t>2023 Plan Gross Unit Savings</t>
  </si>
  <si>
    <t>2024 Plan Gross Unit Savings</t>
  </si>
  <si>
    <t>2025 Plan Gross Unit Savings</t>
  </si>
  <si>
    <t>2022 Plan Goal</t>
  </si>
  <si>
    <t>2023 Plan Goal</t>
  </si>
  <si>
    <t>2024 Plan Goal</t>
  </si>
  <si>
    <t>2025 Plan Goal</t>
  </si>
  <si>
    <t>IL-TRM Measure Code from IL-TRM v9 or errata applicable to 2022</t>
  </si>
  <si>
    <t>Plan Year 2022 Savings Goal Adjustment</t>
  </si>
  <si>
    <t>2022 Gross Unit Savings, Effective January 1, 2022 - December 31, 2022</t>
  </si>
  <si>
    <t>2022 Gross Unit Savings (Therms)</t>
  </si>
  <si>
    <t>2022 Adjusted Goal</t>
  </si>
  <si>
    <t>2022 IL-TRM Adjustment</t>
  </si>
  <si>
    <t>(aj)</t>
  </si>
  <si>
    <t>(ao)</t>
  </si>
  <si>
    <t>(ap)</t>
  </si>
  <si>
    <t>Plan Year 2023 Savings Goal Adjustment</t>
  </si>
  <si>
    <t>2023 Gross Unit Savings, Effective January 1, 2023 - December 31, 2023</t>
  </si>
  <si>
    <t>IL-TRM Measure Code from the 2023 IL-TRM or errata applicable to 2023</t>
  </si>
  <si>
    <t>2023 Gross Unit Savings (Therms)</t>
  </si>
  <si>
    <t>2023 IL-TRM Adjustment</t>
  </si>
  <si>
    <t>Plan Year 2024 Savings Goal Adjustment</t>
  </si>
  <si>
    <t>2024 Gross Unit Savings, Effective January 1, 2024 - December 31, 2024</t>
  </si>
  <si>
    <t>IL-TRM Measure Code from the 2024 IL-TRM or errata applicable to 2024</t>
  </si>
  <si>
    <t>2024 Gross Unit Savings (Therms)</t>
  </si>
  <si>
    <t>2024 Adjusted Goal</t>
  </si>
  <si>
    <t>2024 IL-TRM Adjustment</t>
  </si>
  <si>
    <t>Plan Year 2025 Savings Goal Adjustment</t>
  </si>
  <si>
    <t>2025 Gross Unit Savings, Effective January 1, 2025 - December 31, 2025</t>
  </si>
  <si>
    <t>IL-TRM Measure Code from the 2025 IL-TRM or errata applicable to 2025</t>
  </si>
  <si>
    <t>2025 Gross Unit Savings (Therms)</t>
  </si>
  <si>
    <t>2025 Adjusted Goal</t>
  </si>
  <si>
    <t>2025 IL-TRM Adjustment</t>
  </si>
  <si>
    <t>2022 Final Savings Goal (Therms)</t>
  </si>
  <si>
    <t>2023 Final Savings Goal (Therms)</t>
  </si>
  <si>
    <t>2024 Final Savings Goal (Therms)</t>
  </si>
  <si>
    <t>2025 Final Savings Goal (Therms)</t>
  </si>
  <si>
    <t>TRM Measure Code</t>
  </si>
  <si>
    <t>Air Sealing</t>
  </si>
  <si>
    <t>Wall Insulation</t>
  </si>
  <si>
    <t>Water Heater Temperature Setback</t>
  </si>
  <si>
    <t>Programmable Thermostat</t>
  </si>
  <si>
    <t>Commercial Dry Cleaners</t>
  </si>
  <si>
    <t>High Pressure ≥125 &lt;175 psig</t>
  </si>
  <si>
    <t>High Pressure ≥175 &lt;250 psig</t>
  </si>
  <si>
    <t>High Pressure ≥250 ≤300 psig</t>
  </si>
  <si>
    <t>High Pressure ≥75 &lt;125 psig</t>
  </si>
  <si>
    <t>Medium Pressure ≥30 &lt;75 psig</t>
  </si>
  <si>
    <t>ENERGY STAR Griddle</t>
  </si>
  <si>
    <t>Natural Gas</t>
  </si>
  <si>
    <t>4.3.8</t>
  </si>
  <si>
    <t>4.4.21</t>
  </si>
  <si>
    <t>4.4.2</t>
  </si>
  <si>
    <t>4.4.48</t>
  </si>
  <si>
    <t>4.3.9</t>
  </si>
  <si>
    <t>5.4.8</t>
  </si>
  <si>
    <t>5.4.2</t>
  </si>
  <si>
    <t>ADJUSTABLE GOALS OUTPUT</t>
  </si>
  <si>
    <t>Health &amp; Safety</t>
  </si>
  <si>
    <t>Combination Oven</t>
  </si>
  <si>
    <t>CI-FSE-ESCV-V02-180101</t>
  </si>
  <si>
    <t>Floor Insulation Above Crawlspace</t>
  </si>
  <si>
    <t>Full Key</t>
  </si>
  <si>
    <t>Efficiency Requirement</t>
  </si>
  <si>
    <t>Source</t>
  </si>
  <si>
    <t>TRM Section</t>
  </si>
  <si>
    <t>FLH Cooling</t>
  </si>
  <si>
    <t>FLH Heating</t>
  </si>
  <si>
    <t>Cooling Capacity</t>
  </si>
  <si>
    <t>Heating Capacity</t>
  </si>
  <si>
    <t>CF</t>
  </si>
  <si>
    <t>Remaining Year kWh</t>
  </si>
  <si>
    <t>kWh Saved per Unit</t>
  </si>
  <si>
    <t>Remaining Year kW</t>
  </si>
  <si>
    <t>Coincident Peak kW Saved per Unit</t>
  </si>
  <si>
    <t>Remaining Life</t>
  </si>
  <si>
    <t>Lifetime (years)</t>
  </si>
  <si>
    <t>Incremental Cost</t>
  </si>
  <si>
    <t>EFLH Cooling</t>
  </si>
  <si>
    <t>5.3.5</t>
  </si>
  <si>
    <t>Days per Year</t>
  </si>
  <si>
    <t>Tank Temperature</t>
  </si>
  <si>
    <t>Incoming Water Temperature</t>
  </si>
  <si>
    <t>Heat Capacity of Water</t>
  </si>
  <si>
    <t>ISR</t>
  </si>
  <si>
    <t>% Electric Heating</t>
  </si>
  <si>
    <t>% Gas Heating</t>
  </si>
  <si>
    <t>Capacity</t>
  </si>
  <si>
    <t>SEER</t>
  </si>
  <si>
    <t>EER</t>
  </si>
  <si>
    <t>Electric Heating Consumption</t>
  </si>
  <si>
    <t>Unknown</t>
  </si>
  <si>
    <t>Gas Heating Consumption</t>
  </si>
  <si>
    <t>Household Factor</t>
  </si>
  <si>
    <t>Furnace Fan Energy Consumption %</t>
  </si>
  <si>
    <t>% of Annual Fuel Consumption</t>
  </si>
  <si>
    <t>Heating Energy Reduction</t>
  </si>
  <si>
    <t>Electric Fan Savings</t>
  </si>
  <si>
    <t>Electric Heating Savings</t>
  </si>
  <si>
    <t>Added equipment cost and installation cost</t>
  </si>
  <si>
    <t>Hours</t>
  </si>
  <si>
    <t>Conversion</t>
  </si>
  <si>
    <t>Diameter of Existing Pipe</t>
  </si>
  <si>
    <t>Assumed value from example.</t>
  </si>
  <si>
    <t>Diameter of New Pipe</t>
  </si>
  <si>
    <t>Depth of Insulation</t>
  </si>
  <si>
    <t>Note insulation is installed on both sides of pipe. So depth of insulation must be multiplied by 2 to get diameter. This is done in the circumference equation of new pipe. Assumed same value from example.</t>
  </si>
  <si>
    <t>Circumference of Existing Pipe</t>
  </si>
  <si>
    <t>Assumed .5" Diameter. Circumference = Diameter*π</t>
  </si>
  <si>
    <t>Circumference of New Pipe</t>
  </si>
  <si>
    <t>Assumed .5" Diameter and 3/8" foam on both sides</t>
  </si>
  <si>
    <t>Heat Loss Coefficient of Existing Pipe</t>
  </si>
  <si>
    <t>R value of Insulation</t>
  </si>
  <si>
    <t>Assumed R-5 wrap.</t>
  </si>
  <si>
    <t>Heat Loss Coefficient of New Pipe</t>
  </si>
  <si>
    <t>Length of Pipe</t>
  </si>
  <si>
    <t>Average Temperature Difference Between Air and Hot Water</t>
  </si>
  <si>
    <t>Recovery Efficiency of Gas Hot Water Heater</t>
  </si>
  <si>
    <t>Efficient GPM</t>
  </si>
  <si>
    <t>Assumed Unknown TRM value</t>
  </si>
  <si>
    <t>Baseline GPM</t>
  </si>
  <si>
    <t>People per Household</t>
  </si>
  <si>
    <t>Drain Factor</t>
  </si>
  <si>
    <t>Faucets per household</t>
  </si>
  <si>
    <t>Therms per Gallon of Water Used</t>
  </si>
  <si>
    <t>Assumed Direct Install</t>
  </si>
  <si>
    <t>Assumed Direct Install TRM value</t>
  </si>
  <si>
    <t>Shower Minutes</t>
  </si>
  <si>
    <t>Shower/day/person</t>
  </si>
  <si>
    <t>Heat Transfer Coefficient of Tank</t>
  </si>
  <si>
    <t>Surface Area of Tank</t>
  </si>
  <si>
    <t>Setpoint Temperature Prior Adjustment</t>
  </si>
  <si>
    <t>Setpoint Temperature Post Adjustment</t>
  </si>
  <si>
    <t>Assumed Contractor Time</t>
  </si>
  <si>
    <t>Assumed Unknown</t>
  </si>
  <si>
    <t>E_water_total</t>
  </si>
  <si>
    <t>Usage</t>
  </si>
  <si>
    <t>Remaining Year Therms</t>
  </si>
  <si>
    <t>EFLH</t>
  </si>
  <si>
    <t>Boiler Output Capacity</t>
  </si>
  <si>
    <t>Assumed Summer Peak during utility peak hour.</t>
  </si>
  <si>
    <t>Gas Heating Savings</t>
  </si>
  <si>
    <t>Income Eligible</t>
  </si>
  <si>
    <t>Therm Saved per Unit</t>
  </si>
  <si>
    <t>O&amp;M Cost Adjustment</t>
  </si>
  <si>
    <t>Measure Delivery Cost</t>
  </si>
  <si>
    <t>default</t>
  </si>
  <si>
    <t>kW/CFM</t>
  </si>
  <si>
    <t>CFM</t>
  </si>
  <si>
    <t>$/CFM</t>
  </si>
  <si>
    <t>HP</t>
  </si>
  <si>
    <t>Delta_kWh_water</t>
  </si>
  <si>
    <t>Btuh_in</t>
  </si>
  <si>
    <t>Multi-Family Buildings</t>
  </si>
  <si>
    <t>tnormal_occ</t>
  </si>
  <si>
    <t>Rnormal_occ</t>
  </si>
  <si>
    <t>tlow_occ</t>
  </si>
  <si>
    <t>Rlow_occ</t>
  </si>
  <si>
    <t>#Units</t>
  </si>
  <si>
    <t>Deemed</t>
  </si>
  <si>
    <t>Meal/Day</t>
  </si>
  <si>
    <t>Full Service Restaurant</t>
  </si>
  <si>
    <t>HW/Meal</t>
  </si>
  <si>
    <t>lbs/gal</t>
  </si>
  <si>
    <t>BTU/lbF</t>
  </si>
  <si>
    <t>ΔT/filter</t>
  </si>
  <si>
    <t>Qty_Filter</t>
  </si>
  <si>
    <t>ηHeaterGas</t>
  </si>
  <si>
    <t>Estimated</t>
  </si>
  <si>
    <t>%ElectricDHW</t>
  </si>
  <si>
    <t>%FossilDHW</t>
  </si>
  <si>
    <t>GPM_base</t>
  </si>
  <si>
    <t>GPM_low</t>
  </si>
  <si>
    <t>Other Building Type</t>
  </si>
  <si>
    <t>EPG_electric</t>
  </si>
  <si>
    <t>EPG_gas</t>
  </si>
  <si>
    <t>Delta_kWh</t>
  </si>
  <si>
    <t>Not Cook County</t>
  </si>
  <si>
    <t>Health</t>
  </si>
  <si>
    <t>LFR</t>
  </si>
  <si>
    <t>L_base</t>
  </si>
  <si>
    <t>L_low</t>
  </si>
  <si>
    <t>NSPD</t>
  </si>
  <si>
    <t>TRM example</t>
  </si>
  <si>
    <t>MFHH</t>
  </si>
  <si>
    <t>GPD</t>
  </si>
  <si>
    <t>yWater</t>
  </si>
  <si>
    <t>Tout</t>
  </si>
  <si>
    <t>Tin</t>
  </si>
  <si>
    <t>Eff_base</t>
  </si>
  <si>
    <t>Eff_ee</t>
  </si>
  <si>
    <t>SL</t>
  </si>
  <si>
    <t>Single Family</t>
  </si>
  <si>
    <t>default unknown</t>
  </si>
  <si>
    <t>T_out</t>
  </si>
  <si>
    <t>V</t>
  </si>
  <si>
    <t>SL_eff</t>
  </si>
  <si>
    <t>Tankless</t>
  </si>
  <si>
    <t>T_in</t>
  </si>
  <si>
    <t>HotWaterUse_Gallon</t>
  </si>
  <si>
    <t>UEF_gasbase</t>
  </si>
  <si>
    <t>Commercial Gas Storage Water Heater, &gt;= 155,000 Btu/h</t>
  </si>
  <si>
    <t>UEF_Eff</t>
  </si>
  <si>
    <t>Delta_Therms</t>
  </si>
  <si>
    <t>Q</t>
  </si>
  <si>
    <t>SL_gasbase</t>
  </si>
  <si>
    <t>Delta_Therms_Standby</t>
  </si>
  <si>
    <t>Natural gas tankless</t>
  </si>
  <si>
    <t>Storage</t>
  </si>
  <si>
    <t>Gas Storage Water Heaters, &gt; 75,000 Btu/h, 0.90 Et</t>
  </si>
  <si>
    <t>rated energy recovery ventilator supply air flow</t>
  </si>
  <si>
    <t>Exhaust Air Transfer Ratio</t>
  </si>
  <si>
    <t>(cfm)</t>
  </si>
  <si>
    <t>Normalized Electric Energy Savings</t>
  </si>
  <si>
    <t>Normalized Electric Peak Demand Savings</t>
  </si>
  <si>
    <t>Delta_T</t>
  </si>
  <si>
    <t>TE_ERV</t>
  </si>
  <si>
    <t>OccHours</t>
  </si>
  <si>
    <t>μHeat</t>
  </si>
  <si>
    <t>Plate Heat Exchanger</t>
  </si>
  <si>
    <t>Delta_kWh_cooling</t>
  </si>
  <si>
    <t>Pipe Insulation</t>
  </si>
  <si>
    <t>4.4.14</t>
  </si>
  <si>
    <t>TRF</t>
  </si>
  <si>
    <t>kBtu/hr</t>
  </si>
  <si>
    <t>Binput</t>
  </si>
  <si>
    <t>SF</t>
  </si>
  <si>
    <t>ConditionSpace</t>
  </si>
  <si>
    <t>SFcooling</t>
  </si>
  <si>
    <t>SFheatgas</t>
  </si>
  <si>
    <t>kBtu/hrcool</t>
  </si>
  <si>
    <t>kBtu/hrheat</t>
  </si>
  <si>
    <t>Heating Savings</t>
  </si>
  <si>
    <t>Cooling Savings</t>
  </si>
  <si>
    <t>Unknown AC</t>
  </si>
  <si>
    <t>Shoulder Season Savings</t>
  </si>
  <si>
    <t>Unknown Building Type</t>
  </si>
  <si>
    <t>Ngi</t>
  </si>
  <si>
    <t>Load Factor</t>
  </si>
  <si>
    <t>Assumed gas heat</t>
  </si>
  <si>
    <t>HSPF</t>
  </si>
  <si>
    <t>Heating_Reduction</t>
  </si>
  <si>
    <t>Fe</t>
  </si>
  <si>
    <t>Delta_kWh_heating</t>
  </si>
  <si>
    <t>Cooling_Reduction</t>
  </si>
  <si>
    <t>AFUE</t>
  </si>
  <si>
    <t>Effbefore</t>
  </si>
  <si>
    <t>Ei</t>
  </si>
  <si>
    <t>LF</t>
  </si>
  <si>
    <t>N_cycles</t>
  </si>
  <si>
    <t>N_cycles (reference)</t>
  </si>
  <si>
    <t>Coin- Operated Laundromats</t>
  </si>
  <si>
    <t>Multi-family Dryers</t>
  </si>
  <si>
    <t>On-Premise Laundromats</t>
  </si>
  <si>
    <t>L</t>
  </si>
  <si>
    <t>kWh/sqft</t>
  </si>
  <si>
    <t>CSM%Baseline</t>
  </si>
  <si>
    <t>IDLEBASE</t>
  </si>
  <si>
    <t>Natural Gas, 3 Pans</t>
  </si>
  <si>
    <t>PCBASE</t>
  </si>
  <si>
    <t>EFOOD</t>
  </si>
  <si>
    <t>F</t>
  </si>
  <si>
    <t>PCBase</t>
  </si>
  <si>
    <t>PREnumber</t>
  </si>
  <si>
    <t>CSM%ENERGYSTAR</t>
  </si>
  <si>
    <t>IDLEENERGYSTAR</t>
  </si>
  <si>
    <t>Delta_Idle_Energy</t>
  </si>
  <si>
    <t>Delta_Preheat_Energy</t>
  </si>
  <si>
    <t>Delta_Cooking_Energy</t>
  </si>
  <si>
    <t>Delta_Savings</t>
  </si>
  <si>
    <t>WBASE</t>
  </si>
  <si>
    <t>WENERGYSTAR</t>
  </si>
  <si>
    <t>Avg Efficient</t>
  </si>
  <si>
    <t>Delta_Water_Gallons</t>
  </si>
  <si>
    <t>E_water_supply</t>
  </si>
  <si>
    <t>Full Service Expanded Menu</t>
  </si>
  <si>
    <t>LB</t>
  </si>
  <si>
    <t>Hours of Operation</t>
  </si>
  <si>
    <t>Assumed Standard Fryer</t>
  </si>
  <si>
    <t>Idle Energy Rate</t>
  </si>
  <si>
    <t>Pounds per Day</t>
  </si>
  <si>
    <t>Energy of Food</t>
  </si>
  <si>
    <t>Idle Energy Usage</t>
  </si>
  <si>
    <t>Cooking Energy Usage</t>
  </si>
  <si>
    <t>Coincidence Factor</t>
  </si>
  <si>
    <t>Width</t>
  </si>
  <si>
    <t>Depth</t>
  </si>
  <si>
    <t>Preheats / day</t>
  </si>
  <si>
    <t>Preheat Time</t>
  </si>
  <si>
    <t>Preheat Energy Rate</t>
  </si>
  <si>
    <t>Preheat Energy Usage</t>
  </si>
  <si>
    <t># of Preheates</t>
  </si>
  <si>
    <t>Duty</t>
  </si>
  <si>
    <t>Preheat Energy</t>
  </si>
  <si>
    <t>Cooking Energy</t>
  </si>
  <si>
    <t>Assumed Retrofit Measure</t>
  </si>
  <si>
    <t>Btu/hr</t>
  </si>
  <si>
    <t>placeholder</t>
  </si>
  <si>
    <t>CFM50_existing</t>
  </si>
  <si>
    <t>CFM50_new</t>
  </si>
  <si>
    <t>CDD</t>
  </si>
  <si>
    <t>DUA</t>
  </si>
  <si>
    <t>ηCool</t>
  </si>
  <si>
    <t>%Cool</t>
  </si>
  <si>
    <t>HDD</t>
  </si>
  <si>
    <t>Delta_kWh_heatingGas</t>
  </si>
  <si>
    <t>Delta_kW</t>
  </si>
  <si>
    <t>Furnace</t>
  </si>
  <si>
    <t>Delta_therms</t>
  </si>
  <si>
    <t>R_old</t>
  </si>
  <si>
    <t>R_attic</t>
  </si>
  <si>
    <t>per sqft</t>
  </si>
  <si>
    <t>R_wall</t>
  </si>
  <si>
    <t>R_old_AG</t>
  </si>
  <si>
    <t>R_added</t>
  </si>
  <si>
    <t>TRM e.g.</t>
  </si>
  <si>
    <t>L_basement_wall_total</t>
  </si>
  <si>
    <t>H_basement_wall_AG</t>
  </si>
  <si>
    <t>Framing_factor</t>
  </si>
  <si>
    <t>Studs and cavity insulation</t>
  </si>
  <si>
    <t>R_old_BG</t>
  </si>
  <si>
    <t>H_basement_wall_total</t>
  </si>
  <si>
    <t>Household</t>
  </si>
  <si>
    <t>SF Direct Install</t>
  </si>
  <si>
    <t>Sa</t>
  </si>
  <si>
    <t>Hv</t>
  </si>
  <si>
    <t>Hs</t>
  </si>
  <si>
    <t>P1</t>
  </si>
  <si>
    <t>T1</t>
  </si>
  <si>
    <t>Tsource</t>
  </si>
  <si>
    <t>GAL</t>
  </si>
  <si>
    <t>Commercial Heating (including Multifamily), low pressure steam</t>
  </si>
  <si>
    <t>Therms(base)</t>
  </si>
  <si>
    <t>Therms(IR)</t>
  </si>
  <si>
    <t>Placeholder</t>
  </si>
  <si>
    <t>ADJRxAirsealing</t>
  </si>
  <si>
    <t>4.2.1</t>
  </si>
  <si>
    <t>4.2.5</t>
  </si>
  <si>
    <t>4.2.4</t>
  </si>
  <si>
    <t>5.6.3</t>
  </si>
  <si>
    <t>Area</t>
  </si>
  <si>
    <t>ΔTherms</t>
  </si>
  <si>
    <t>Peoples Gas</t>
  </si>
  <si>
    <t>Market Offering</t>
  </si>
  <si>
    <t>Program - Market Offering</t>
  </si>
  <si>
    <t>Key</t>
  </si>
  <si>
    <t>Input</t>
  </si>
  <si>
    <t>Unit</t>
  </si>
  <si>
    <t>Value</t>
  </si>
  <si>
    <t>Assumption</t>
  </si>
  <si>
    <t>Low Flow Kitchen Aerator</t>
  </si>
  <si>
    <t>RS-HWE-LFFA-V09-200101</t>
  </si>
  <si>
    <t>Daily faucet use</t>
  </si>
  <si>
    <t>Min/person/day</t>
  </si>
  <si>
    <t>people/house</t>
  </si>
  <si>
    <t>days/year</t>
  </si>
  <si>
    <t>%</t>
  </si>
  <si>
    <t>Faucets/house</t>
  </si>
  <si>
    <t>Water Temperature</t>
  </si>
  <si>
    <t>T</t>
  </si>
  <si>
    <t>RE_Gas</t>
  </si>
  <si>
    <t>EPG_Gas</t>
  </si>
  <si>
    <t>Therms/gal</t>
  </si>
  <si>
    <t>Assumed Direct Install SF</t>
  </si>
  <si>
    <t>Gallons Saved per Unit</t>
  </si>
  <si>
    <t>Years</t>
  </si>
  <si>
    <t>$</t>
  </si>
  <si>
    <t>IE Kit</t>
  </si>
  <si>
    <t>IE</t>
  </si>
  <si>
    <t>Kit Distrbution</t>
  </si>
  <si>
    <t>MF</t>
  </si>
  <si>
    <t>Assumed Direct Install MF</t>
  </si>
  <si>
    <t>Low Flow Bathroom Aerator</t>
  </si>
  <si>
    <t>Bathroom</t>
  </si>
  <si>
    <t>Bathroom SF</t>
  </si>
  <si>
    <t>Bathroom MF</t>
  </si>
  <si>
    <t>Assumed 1.5 GPM TRM value</t>
  </si>
  <si>
    <t>Min</t>
  </si>
  <si>
    <t>Showerheads per Household</t>
  </si>
  <si>
    <t>Shower Temp</t>
  </si>
  <si>
    <t>Outlet and Switch Gaskets</t>
  </si>
  <si>
    <t>therms</t>
  </si>
  <si>
    <t>kWh</t>
  </si>
  <si>
    <t>Chicago, average of HP and Elec Resistance</t>
  </si>
  <si>
    <t>SF Chicago</t>
  </si>
  <si>
    <t>average between heat pump and CAC</t>
  </si>
  <si>
    <t>kwh/unit</t>
  </si>
  <si>
    <t>per gasket</t>
  </si>
  <si>
    <t>kw/unit - coincident</t>
  </si>
  <si>
    <t>therm/unit</t>
  </si>
  <si>
    <t>: RS-SHL-AIRS-V08-200109</t>
  </si>
  <si>
    <t>Window Kit</t>
  </si>
  <si>
    <t>therms/sqft</t>
  </si>
  <si>
    <t>Weatherstripping</t>
  </si>
  <si>
    <t>Linear feet</t>
  </si>
  <si>
    <t>ln</t>
  </si>
  <si>
    <t>per ln foot</t>
  </si>
  <si>
    <t>kW Saved per Unit</t>
  </si>
  <si>
    <t>IE SF</t>
  </si>
  <si>
    <t>DI</t>
  </si>
  <si>
    <t>leave behind kit</t>
  </si>
  <si>
    <t>Franklin estimate</t>
  </si>
  <si>
    <t>leave behind lit</t>
  </si>
  <si>
    <t>per sweep</t>
  </si>
  <si>
    <t>MF/CI</t>
  </si>
  <si>
    <t>Wusage</t>
  </si>
  <si>
    <t>gal/lb</t>
  </si>
  <si>
    <t>Assumed all others</t>
  </si>
  <si>
    <t>4.3.6</t>
  </si>
  <si>
    <t>CI-HWE-OZLD-V05-210101</t>
  </si>
  <si>
    <t>%water_savings</t>
  </si>
  <si>
    <t>WHE</t>
  </si>
  <si>
    <t>therm/gal</t>
  </si>
  <si>
    <t>Wutiliz</t>
  </si>
  <si>
    <t>lbs/year</t>
  </si>
  <si>
    <t>Wusage_hot</t>
  </si>
  <si>
    <t>%hot_water_savings</t>
  </si>
  <si>
    <t>lbs</t>
  </si>
  <si>
    <t>default, taken from 2020 MMDB</t>
  </si>
  <si>
    <t>kWh/lbs capacity</t>
  </si>
  <si>
    <t>gal/lbs capacity</t>
  </si>
  <si>
    <t>Unit= 250 lb capacity</t>
  </si>
  <si>
    <t>therm/lbs capacity</t>
  </si>
  <si>
    <t>$/lbs capacity</t>
  </si>
  <si>
    <t>maintenance= $0.79/lb</t>
  </si>
  <si>
    <t>Foundation Insulation</t>
  </si>
  <si>
    <t>therm</t>
  </si>
  <si>
    <t>RS-SHL-BINS-V10-200101</t>
  </si>
  <si>
    <t>kWh/therm</t>
  </si>
  <si>
    <t>R-value</t>
  </si>
  <si>
    <t>Assumed from Plan 3</t>
  </si>
  <si>
    <t>Plan 3</t>
  </si>
  <si>
    <t>Assumed 1 sq ft to match Plan 3</t>
  </si>
  <si>
    <t>ft</t>
  </si>
  <si>
    <t>4ft below grade</t>
  </si>
  <si>
    <t>hrs/day</t>
  </si>
  <si>
    <t>Assumed Chicago, conditioned basement</t>
  </si>
  <si>
    <t>ηHeat - gas</t>
  </si>
  <si>
    <t>ηHeat - gas- MLA</t>
  </si>
  <si>
    <t>Btu/therm</t>
  </si>
  <si>
    <t>ADJ_BasementHeat</t>
  </si>
  <si>
    <t>Assume NG</t>
  </si>
  <si>
    <t>therm/sq ft</t>
  </si>
  <si>
    <t>Therm Saved per Unit- MLA</t>
  </si>
  <si>
    <t>Unit= CFM_50, Assumed Furnace not boiler</t>
  </si>
  <si>
    <t>Lifetime (years) - Remaining Years</t>
  </si>
  <si>
    <t>Requires recalculation with nHeat - gas= 76.5% AFUE for furnaces. For boilers, use 13 years and 82% AFUE</t>
  </si>
  <si>
    <t>Assumed Residential Rebates</t>
  </si>
  <si>
    <t>Attic Insulation</t>
  </si>
  <si>
    <t>RS-SHL-AINS-V02-200101</t>
  </si>
  <si>
    <t>2020 MMDB</t>
  </si>
  <si>
    <t>sqft</t>
  </si>
  <si>
    <t>Use actual</t>
  </si>
  <si>
    <t>Assumed Chicago</t>
  </si>
  <si>
    <t>ADJ-atticgasheat</t>
  </si>
  <si>
    <t>ADJ-atticheatfan</t>
  </si>
  <si>
    <t>Assumed unknown</t>
  </si>
  <si>
    <t>Assumed NG</t>
  </si>
  <si>
    <t>per sqft, Assumed Furnace not boiler</t>
  </si>
  <si>
    <t>2019 TRC Inputs from Guidehouse evaluation, avg across programs</t>
  </si>
  <si>
    <t>TRC EEPS3 Filing, TRM SF $.7/sf</t>
  </si>
  <si>
    <t>Steam Traps</t>
  </si>
  <si>
    <t>HVAC Repair/Rep - Audit</t>
  </si>
  <si>
    <t>gal</t>
  </si>
  <si>
    <t>hrs/year</t>
  </si>
  <si>
    <t>MF Space Heating LPS, EFLH average of MF High Rise and MF Mid Rise building types</t>
  </si>
  <si>
    <t>With Audit</t>
  </si>
  <si>
    <t>kWh/mil gal</t>
  </si>
  <si>
    <t>Btu/lb</t>
  </si>
  <si>
    <t>Specific heat of water</t>
  </si>
  <si>
    <t>Average steam trap inlet pressure (absolute psia), Franklin Assumption</t>
  </si>
  <si>
    <t>Temperature of Saturated Steam (°R)</t>
  </si>
  <si>
    <t>Incoming water temp (°R)</t>
  </si>
  <si>
    <t>Asumed from 2020 MMDB, average of MF High Rise and MF Mid Rise building types</t>
  </si>
  <si>
    <t>n_B</t>
  </si>
  <si>
    <t>kW</t>
  </si>
  <si>
    <t>standard steam trap</t>
  </si>
  <si>
    <t>HVAC Repair/Rep - No Audit</t>
  </si>
  <si>
    <t>Dry Cleaner/Industrial</t>
  </si>
  <si>
    <t>MF/CI/SMB</t>
  </si>
  <si>
    <t>Commercial Dry Cleaners (2020 MMDB)</t>
  </si>
  <si>
    <t>Average steam trap inlet pressure (absolute psia), Commercial Dry Cleaners</t>
  </si>
  <si>
    <t>Steam boilers, except multifamily low-pressure</t>
  </si>
  <si>
    <t>Direct Fired Heaters</t>
  </si>
  <si>
    <t>MBH</t>
  </si>
  <si>
    <t>Estimate</t>
  </si>
  <si>
    <t>Therm Savings (Rooftop Unit)</t>
  </si>
  <si>
    <t>Therm</t>
  </si>
  <si>
    <t>Deemed for Chicago</t>
  </si>
  <si>
    <t>4.4.39</t>
  </si>
  <si>
    <t>CI-HVC-HTHV-V01-180101</t>
  </si>
  <si>
    <t>kWh/HDD</t>
  </si>
  <si>
    <t>Chicago</t>
  </si>
  <si>
    <t>kWh/MBH</t>
  </si>
  <si>
    <t>kW/MBH</t>
  </si>
  <si>
    <t>Therm/MBH</t>
  </si>
  <si>
    <t>$/MBH</t>
  </si>
  <si>
    <t>Duct Sealing</t>
  </si>
  <si>
    <t>CFM50 Whole House Before</t>
  </si>
  <si>
    <t>Utilized values from example.</t>
  </si>
  <si>
    <t>CFM50 Envelope Only Before</t>
  </si>
  <si>
    <t>RS-HVC-DINS-V08-200101</t>
  </si>
  <si>
    <t>CFM50 Whole House After</t>
  </si>
  <si>
    <t>CFM50 Envelope Only After</t>
  </si>
  <si>
    <t>SCF Before</t>
  </si>
  <si>
    <t>House to Duct Pressure of 45 Pascals</t>
  </si>
  <si>
    <t>SCF After</t>
  </si>
  <si>
    <t>House to Duct Pressure of 43 Pascals</t>
  </si>
  <si>
    <t>CFM50 to CFM25 Conversion</t>
  </si>
  <si>
    <t>Supply Loss Factor</t>
  </si>
  <si>
    <t>Assumed default value</t>
  </si>
  <si>
    <t>Return Loss Factor</t>
  </si>
  <si>
    <t>Delta CFM25 Duct Leakage Reduction</t>
  </si>
  <si>
    <t>Assumed Franklin unit= 1 reduction in CFM25</t>
  </si>
  <si>
    <t>29 - Air&amp;Duct Sealing</t>
  </si>
  <si>
    <t>Assumed Chicago, Multifamily</t>
  </si>
  <si>
    <t>Assumed Chicago location</t>
  </si>
  <si>
    <t>CFM/Ton</t>
  </si>
  <si>
    <t>CFM/Btu/hr</t>
  </si>
  <si>
    <t>Thermal Regain Factor</t>
  </si>
  <si>
    <t>Assumed Semi-Conditioned Spaces</t>
  </si>
  <si>
    <t>% of Homes with Central Cooling</t>
  </si>
  <si>
    <t>Evaluation %</t>
  </si>
  <si>
    <t>% of Homes with Electric Central Heating</t>
  </si>
  <si>
    <t>% of Homes with Gas Central Heating</t>
  </si>
  <si>
    <t>Utilized values from unknown system type.</t>
  </si>
  <si>
    <t>COP</t>
  </si>
  <si>
    <t>Heating Equipment Efficiency- MLA</t>
  </si>
  <si>
    <t>Assumed unknown value from TRM.</t>
  </si>
  <si>
    <t>Heating Equipment Efficiency</t>
  </si>
  <si>
    <t>Pre Duct Sealing Heating Equipment Efficiency</t>
  </si>
  <si>
    <t>Duct Efficiency Before</t>
  </si>
  <si>
    <t>Chose values from example</t>
  </si>
  <si>
    <t>Duct Efficiency After</t>
  </si>
  <si>
    <t>Therms</t>
  </si>
  <si>
    <t>Summer System Peak, Central A/C</t>
  </si>
  <si>
    <t>Requires recalculation using nEquipmentnNEW= 90% AFUE  in this equation--&gt; ∆Therms = ((DEafter – DEbefore)/ DEafter)) * FLHheat * InputCapacityHeat * TRFheat * %GasHeat * (ηEquipment / (ηEquipmentNew * DEafter)) / 100,000</t>
  </si>
  <si>
    <t>cubic ft/min</t>
  </si>
  <si>
    <t>Assumed Chicago, Single Family Home</t>
  </si>
  <si>
    <t>Cooling kWh Savings using Method 2:</t>
  </si>
  <si>
    <t>Heating kWh Savings using Method 2:</t>
  </si>
  <si>
    <t>incremental capital cost</t>
  </si>
  <si>
    <t>High Speed Washer</t>
  </si>
  <si>
    <t>Average number of daily washer cycles</t>
  </si>
  <si>
    <t>cycles</t>
  </si>
  <si>
    <t>assumed multifamily</t>
  </si>
  <si>
    <t>4.8.5</t>
  </si>
  <si>
    <t>CI-MSC-HSCW-V01-180101</t>
  </si>
  <si>
    <t>Days of Operation per Year</t>
  </si>
  <si>
    <t>assumed unknown value</t>
  </si>
  <si>
    <t>lb/cycle</t>
  </si>
  <si>
    <t>taken from 2020 MMDB</t>
  </si>
  <si>
    <t>Retained Moisture Content</t>
  </si>
  <si>
    <t>Heat required to evaporate water</t>
  </si>
  <si>
    <t>Dryer Efficiency</t>
  </si>
  <si>
    <t>Dryer Use</t>
  </si>
  <si>
    <t>Unit= 1 washer (250 lb capacity)</t>
  </si>
  <si>
    <t>assumed not early replacement</t>
  </si>
  <si>
    <t>Assumed TOS, $/lb=9.7</t>
  </si>
  <si>
    <t>Infrared Heater</t>
  </si>
  <si>
    <t>btu/hr</t>
  </si>
  <si>
    <t>RSF (Radiation Sizing Factor)</t>
  </si>
  <si>
    <t>factor</t>
  </si>
  <si>
    <t>Assuming Gross Radiant Coefficient is unknown</t>
  </si>
  <si>
    <t>Assumed unknown, Chicago</t>
  </si>
  <si>
    <t>assumed 150 MBH average size from 2020 MMDB</t>
  </si>
  <si>
    <t>$/MBH/hr</t>
  </si>
  <si>
    <t>RS-SHL-FINS-V11-200101</t>
  </si>
  <si>
    <t>sq ft</t>
  </si>
  <si>
    <t>FramingFactor_Floor</t>
  </si>
  <si>
    <t>Assume Chicago, unconditioned</t>
  </si>
  <si>
    <t>ADJ_FloorHeat</t>
  </si>
  <si>
    <t>Assume all heating systems are NG</t>
  </si>
  <si>
    <t>ηHeat_gas</t>
  </si>
  <si>
    <t>Assume unknown, use existing system</t>
  </si>
  <si>
    <t>therm/ sq ft</t>
  </si>
  <si>
    <t>Rim Joist Insulation</t>
  </si>
  <si>
    <t>Assumed uninsulated</t>
  </si>
  <si>
    <t>RS-SHL-RINS-V02-200101</t>
  </si>
  <si>
    <t>R_Rim</t>
  </si>
  <si>
    <t>Assumed average of Franklin R finals</t>
  </si>
  <si>
    <t>30 - Rim Joist Insulation</t>
  </si>
  <si>
    <t>Column AJ</t>
  </si>
  <si>
    <t>A_Rim</t>
  </si>
  <si>
    <t>unit= 1 sqft</t>
  </si>
  <si>
    <t>FramingFactor_Rim</t>
  </si>
  <si>
    <t>Assumed Chicago, unconditioned</t>
  </si>
  <si>
    <t>ADJ_BasementCool</t>
  </si>
  <si>
    <t>Assume Unknown</t>
  </si>
  <si>
    <t>Btu/kBtu</t>
  </si>
  <si>
    <t>Assume unknown equipment age</t>
  </si>
  <si>
    <t>Uninsulated</t>
  </si>
  <si>
    <t>ηHeat_electric</t>
  </si>
  <si>
    <t>Btu/kWh</t>
  </si>
  <si>
    <t>Delta_heatingElectric</t>
  </si>
  <si>
    <t>Assume Chicago, SF</t>
  </si>
  <si>
    <t>Assume Chicago, conditioned basement</t>
  </si>
  <si>
    <t>Assume existing system</t>
  </si>
  <si>
    <t>Knee Wall Insulation</t>
  </si>
  <si>
    <t>Assumed minimum of R-5 for uninsulated assemblies</t>
  </si>
  <si>
    <t>RS-SHL-WINS-V09-200101</t>
  </si>
  <si>
    <t>22 - Wall Insulation</t>
  </si>
  <si>
    <t>Column AN</t>
  </si>
  <si>
    <t>Assumed Franklin values</t>
  </si>
  <si>
    <t>ADJ-wallcool</t>
  </si>
  <si>
    <t>kBtu/kWh</t>
  </si>
  <si>
    <t>MMDB tracking data</t>
  </si>
  <si>
    <t>ADJ-wallheat</t>
  </si>
  <si>
    <t>ηHeat - electric</t>
  </si>
  <si>
    <t>Assumed Resistance</t>
  </si>
  <si>
    <t>Assumed Summer System Peak for Central AC</t>
  </si>
  <si>
    <t>Assumed Chicago, Single Family</t>
  </si>
  <si>
    <t>Cooling Energy Savings</t>
  </si>
  <si>
    <t>(kWh/sqft)</t>
  </si>
  <si>
    <t xml:space="preserve">Space Heating Energy Savings </t>
  </si>
  <si>
    <t>Furnace Fan Energy Savings</t>
  </si>
  <si>
    <t>Cooling Demand Savings</t>
  </si>
  <si>
    <t>(kW/sqft)</t>
  </si>
  <si>
    <t>Space Heating Energy Savings</t>
  </si>
  <si>
    <t>(therms/sqft)</t>
  </si>
  <si>
    <t>(kWh/HH)</t>
  </si>
  <si>
    <t>(kW/HH)</t>
  </si>
  <si>
    <t>(therms/HH)</t>
  </si>
  <si>
    <t>Condensate Tank Insulation</t>
  </si>
  <si>
    <t>r</t>
  </si>
  <si>
    <t>assumed TRM example size</t>
  </si>
  <si>
    <t>4.3.12</t>
  </si>
  <si>
    <t>CI-HWE-TKIN-V01-210101</t>
  </si>
  <si>
    <t>h</t>
  </si>
  <si>
    <t>ESFb</t>
  </si>
  <si>
    <t>Btu/hr/ft2</t>
  </si>
  <si>
    <t>Assumed Outdoor tank body, low pressure steam</t>
  </si>
  <si>
    <t>Ab</t>
  </si>
  <si>
    <t>ft2</t>
  </si>
  <si>
    <t>16-Cond. Tank Insulation</t>
  </si>
  <si>
    <t>ESFe</t>
  </si>
  <si>
    <t>Assumed Outdoor, vertical tank end- top with low pressure steam</t>
  </si>
  <si>
    <t>Ae</t>
  </si>
  <si>
    <t>hrs/yr (all hours below 55 deg. F. per IL TRM)</t>
  </si>
  <si>
    <t>Assumed from example, need values for actual calc</t>
  </si>
  <si>
    <t>Assumed Outdoor tank location</t>
  </si>
  <si>
    <t>η</t>
  </si>
  <si>
    <t>Annual Gas Consumption</t>
  </si>
  <si>
    <t>Input to calculate specific LF</t>
  </si>
  <si>
    <t>Nameplate Heating Capacity</t>
  </si>
  <si>
    <t>Total Area (Ab + Ae)</t>
  </si>
  <si>
    <t>550 sqft tank</t>
  </si>
  <si>
    <t>$/sq ft</t>
  </si>
  <si>
    <t>$/sq footage</t>
  </si>
  <si>
    <t>DHW Storage Tank Insulation</t>
  </si>
  <si>
    <t>radius</t>
  </si>
  <si>
    <t>assumed sourced example</t>
  </si>
  <si>
    <t>Example Tank</t>
  </si>
  <si>
    <t>https://www.homedepot.com/p/Rheem-Performance-40-Gal-Tall-6-Year-36-000-BTU-Natural-Gas-Tank-Water-Heater-XG40T06EC36U1/313657858</t>
  </si>
  <si>
    <t>height</t>
  </si>
  <si>
    <t>Assumed Indoor tank body, low pressure steam</t>
  </si>
  <si>
    <t>12-DHW Storage Tank Insulation</t>
  </si>
  <si>
    <t>Assumed Indoor, vertical tank end- top with low pressure steam</t>
  </si>
  <si>
    <t>Assumed from example</t>
  </si>
  <si>
    <t>Assumed from example, need values for calc</t>
  </si>
  <si>
    <t>56 sqft tank</t>
  </si>
  <si>
    <t>OLD</t>
  </si>
  <si>
    <t>(semi-conditioned space, IL TRM)</t>
  </si>
  <si>
    <t>Operating Temp</t>
  </si>
  <si>
    <t>Temp Ambient</t>
  </si>
  <si>
    <t>3E+ Bare heat loss (R-0)</t>
  </si>
  <si>
    <t>3E+ Insulated heat loss (R-6)</t>
  </si>
  <si>
    <t>Assumed R-Value of 4, thickness of 1</t>
  </si>
  <si>
    <t>Area Effective</t>
  </si>
  <si>
    <t>(to account for end portions of tank not able to be insulated)</t>
  </si>
  <si>
    <t>Efficiency</t>
  </si>
  <si>
    <t>(MF low pressure steam boilers, IL TRM)</t>
  </si>
  <si>
    <t>Insulation Thickness</t>
  </si>
  <si>
    <t>in</t>
  </si>
  <si>
    <t>R-Value</t>
  </si>
  <si>
    <t>unit= sq ft</t>
  </si>
  <si>
    <t>Temp DHW</t>
  </si>
  <si>
    <t>Btu/hr/sq ft R-0</t>
  </si>
  <si>
    <t>Btu/hr/sq-ft R-3</t>
  </si>
  <si>
    <t>Efficiency Heating</t>
  </si>
  <si>
    <t>$/therm</t>
  </si>
  <si>
    <t>Total Incremental Cost</t>
  </si>
  <si>
    <t>Tankless Water Heater</t>
  </si>
  <si>
    <t>RS-HWE-GWHT-V08-190101</t>
  </si>
  <si>
    <t>gal/day/person</t>
  </si>
  <si>
    <t>Storage Capacity</t>
  </si>
  <si>
    <t>Assumed from example and Plan 3</t>
  </si>
  <si>
    <t>Assumed SF</t>
  </si>
  <si>
    <t>days/yr</t>
  </si>
  <si>
    <t>UEF gas base</t>
  </si>
  <si>
    <t>Assumed &lt;= 55 gals, medium draw</t>
  </si>
  <si>
    <t>UEF efficient</t>
  </si>
  <si>
    <t>2020 MMDB assumptions</t>
  </si>
  <si>
    <t>GHPWH (≤55 gallons)- Replace Boiler</t>
  </si>
  <si>
    <t>Heat Pump Pilot</t>
  </si>
  <si>
    <t>Nicor Gas Pilot</t>
  </si>
  <si>
    <t>Storage 0.67 EF</t>
  </si>
  <si>
    <t>Unit= CFM_50</t>
  </si>
  <si>
    <t>RS-SHL-AIRS-V08-200101</t>
  </si>
  <si>
    <t>min/hr</t>
  </si>
  <si>
    <t>Specific Heat Capacity of Air</t>
  </si>
  <si>
    <t>Btu/cubic ft*T</t>
  </si>
  <si>
    <t>ADJ</t>
  </si>
  <si>
    <t>Attic sealing without attic insulation</t>
  </si>
  <si>
    <t>Nheat</t>
  </si>
  <si>
    <t>Assumed Chicago, 1.5 stories</t>
  </si>
  <si>
    <t>Requires recalculating above with 76.5% AFUE nHeat - gas (furnace). If boiler, 13 years and recalculate with 82% AFUE</t>
  </si>
  <si>
    <t>Air Sealing w/ Attic Insulation</t>
  </si>
  <si>
    <t>w/o attic insul</t>
  </si>
  <si>
    <t>Attic sealing with attic insulation</t>
  </si>
  <si>
    <t>IEnetCorrection (with attic insulation)</t>
  </si>
  <si>
    <t>Net savings adjustment</t>
  </si>
  <si>
    <t>CFM 50 reduction</t>
  </si>
  <si>
    <t>per project</t>
  </si>
  <si>
    <t>Boiler - DHW Two-in-One</t>
  </si>
  <si>
    <t>UEF baseline</t>
  </si>
  <si>
    <t>assumed storage tank size unknown</t>
  </si>
  <si>
    <t>assumed gas storage WH &gt; 55 gal</t>
  </si>
  <si>
    <t>assumed daily household use of 45.5</t>
  </si>
  <si>
    <t>assumed single family</t>
  </si>
  <si>
    <t>Municipal System Water Temperature</t>
  </si>
  <si>
    <t>Btu/lb*T</t>
  </si>
  <si>
    <t>assumed time of sale / new construction</t>
  </si>
  <si>
    <t>Boiler Tune Up</t>
  </si>
  <si>
    <t>Space Heating</t>
  </si>
  <si>
    <t>assumed 2020 MMDB Capacity= 1000, Unit= 200</t>
  </si>
  <si>
    <t>CI-HVC-BLRT-V06-160601</t>
  </si>
  <si>
    <t>4.4 HVAC End Use</t>
  </si>
  <si>
    <t>Efficiency of Boiler Before Tune Up</t>
  </si>
  <si>
    <t>Efficiency Improvements of the Boiler Tune Up Measure</t>
  </si>
  <si>
    <t>$/Unit/hr/tune-up=0.83; Unit=200 MBH</t>
  </si>
  <si>
    <t>Furnace Tune Up</t>
  </si>
  <si>
    <t>assumed from example (matches MMDB boiler default)</t>
  </si>
  <si>
    <t>CI-HVC-FTUN-V03-200101</t>
  </si>
  <si>
    <t>Efficiency Before Tune Up</t>
  </si>
  <si>
    <t>assumed from example</t>
  </si>
  <si>
    <t>Efficiency Improvements of the Tune Up Measure</t>
  </si>
  <si>
    <t>unit=200</t>
  </si>
  <si>
    <t>2022 MMDB</t>
  </si>
  <si>
    <t>Assumed unknown building type, Chicago</t>
  </si>
  <si>
    <t>Boiler tune up example</t>
  </si>
  <si>
    <t>Process</t>
  </si>
  <si>
    <t>Boiler Gas Input Size</t>
  </si>
  <si>
    <t>4.4.3</t>
  </si>
  <si>
    <t>CI-HVC-PBTU-V05-160601</t>
  </si>
  <si>
    <t>UF</t>
  </si>
  <si>
    <t>assumed default amount</t>
  </si>
  <si>
    <t>Boiler Combustion Efficiency Before</t>
  </si>
  <si>
    <t>Boiler Combustion Efficiency After</t>
  </si>
  <si>
    <t>Hours per Year</t>
  </si>
  <si>
    <t>NOT USED</t>
  </si>
  <si>
    <t>Steam Boiler Averaging Controls</t>
  </si>
  <si>
    <t>Savings factor</t>
  </si>
  <si>
    <t>4.4.36</t>
  </si>
  <si>
    <t>CI-HVC-SBAC-V02-190101</t>
  </si>
  <si>
    <t>Steam Boiler</t>
  </si>
  <si>
    <t xml:space="preserve"> &gt;=1500MBH, &gt;=82% TE</t>
  </si>
  <si>
    <t>Assumed from 2020 MMDB, average of MF High Rise and MF Mid Rise building types</t>
  </si>
  <si>
    <t>Btu</t>
  </si>
  <si>
    <t>CI-HVC-BOIL-V08-200101</t>
  </si>
  <si>
    <t>therm/MBH</t>
  </si>
  <si>
    <t>Boiler</t>
  </si>
  <si>
    <t>≥88% AFUE, &lt;300MBh</t>
  </si>
  <si>
    <t>≥88% AFUE, ≥300MBh TE</t>
  </si>
  <si>
    <t>Hyd. Boiler Sm ≤1.25"</t>
  </si>
  <si>
    <t>"3 - Res Pipe Insulation" worksheet</t>
  </si>
  <si>
    <t>$/ft</t>
  </si>
  <si>
    <t>Assumed 1 inch (Indoor) insulation + jacket cost</t>
  </si>
  <si>
    <t>Hyd. Boiler Med 1.25-2"</t>
  </si>
  <si>
    <t>Hyd. Boiler Large ≥2"</t>
  </si>
  <si>
    <t>HW Small 1" to 2"</t>
  </si>
  <si>
    <t>HW Medium 2.1" to 4"</t>
  </si>
  <si>
    <t>HW Large &gt;4"</t>
  </si>
  <si>
    <t>Steam - Small 1" to 2"</t>
  </si>
  <si>
    <t>Steam - Med 2.1" to 5"</t>
  </si>
  <si>
    <t>Steam - Large 5.1" to 8"</t>
  </si>
  <si>
    <t>Assumed from Plan 3 value, confirmed on 2020 MMDB</t>
  </si>
  <si>
    <t>Steam - X-Large &gt;8"</t>
  </si>
  <si>
    <t>Steam Small Fitting</t>
  </si>
  <si>
    <t>Steam Med Fitting</t>
  </si>
  <si>
    <t>Steam Large Fitting</t>
  </si>
  <si>
    <t>Steam X-Large Fitting</t>
  </si>
  <si>
    <t>Steam Small Valve</t>
  </si>
  <si>
    <t>Steam Med Valve</t>
  </si>
  <si>
    <t>Steam Large Valve</t>
  </si>
  <si>
    <t>Steam X-Large Valve</t>
  </si>
  <si>
    <t>Dry Cleaners</t>
  </si>
  <si>
    <t>CI/SMB</t>
  </si>
  <si>
    <t>Draft Controls</t>
  </si>
  <si>
    <t>&gt; 2,000 MBH</t>
  </si>
  <si>
    <t>4.4.23</t>
  </si>
  <si>
    <t>default assumes unconditioned space</t>
  </si>
  <si>
    <t>Asumed from 2020 MMDB, average of all building types</t>
  </si>
  <si>
    <t>16 in MMDB but TRM says 15 as the highest</t>
  </si>
  <si>
    <t>deemed, use actual if available (does not inculed $150 O&amp;M cost in year 10)</t>
  </si>
  <si>
    <t>Boiler Reset Controls</t>
  </si>
  <si>
    <t>Boiler Input Capacity</t>
  </si>
  <si>
    <t>kBtu/h</t>
  </si>
  <si>
    <t>kBtu/therm</t>
  </si>
  <si>
    <t>&gt;95% AFUE</t>
  </si>
  <si>
    <t>CI-HVC-FRNC-V10-200101</t>
  </si>
  <si>
    <t>Assumed from 2020 MMDB</t>
  </si>
  <si>
    <t>AFUE_ee</t>
  </si>
  <si>
    <t>AFUE_base</t>
  </si>
  <si>
    <t>Assumed TOS</t>
  </si>
  <si>
    <t>Furnace (In Unit)</t>
  </si>
  <si>
    <t>TOS no longer applies</t>
  </si>
  <si>
    <t>RS-HVC-GHEF-V10-200101</t>
  </si>
  <si>
    <t>Furnace Output Capacity</t>
  </si>
  <si>
    <t>Baseline AFUE Time of Sale</t>
  </si>
  <si>
    <t>Baseline- Derating Efficient Option</t>
  </si>
  <si>
    <t>Assumed all efficient options were not Quality Install.</t>
  </si>
  <si>
    <t>Baseline Time of Sale Usage</t>
  </si>
  <si>
    <t>Efficient AFUE Time of Sale</t>
  </si>
  <si>
    <t>Efficient- Derating Efficient Option</t>
  </si>
  <si>
    <t>Efficient Time of Sale Usage</t>
  </si>
  <si>
    <t>Assumed TOS incremental install cost</t>
  </si>
  <si>
    <t>&gt;97% AFUE</t>
  </si>
  <si>
    <t>Gas Heat Pump Replace Furnace - 140% AFUE</t>
  </si>
  <si>
    <t>CAPInput</t>
  </si>
  <si>
    <t>1 - Derating_eff</t>
  </si>
  <si>
    <t>Assumes Quality Install. Use (1-6.4%) for w/o quality install</t>
  </si>
  <si>
    <t>1 - Derating_base</t>
  </si>
  <si>
    <t>Conservative estimate to match IL TRM air-source HPs</t>
  </si>
  <si>
    <t>5.3.2</t>
  </si>
  <si>
    <t>RS-HWE-PINS-V03-190101</t>
  </si>
  <si>
    <t>(hr-F-ft)/Btu</t>
  </si>
  <si>
    <t>Chicago boiler without reset control</t>
  </si>
  <si>
    <t>Full Load Hours</t>
  </si>
  <si>
    <t>hours</t>
  </si>
  <si>
    <t>Efficiency of Boiler Pre Mid Life Adjustment</t>
  </si>
  <si>
    <t>Efficiency of Boiler at Mid Life Adjustment</t>
  </si>
  <si>
    <t>therms/year</t>
  </si>
  <si>
    <t>Recalculate savings using baseline AFUE 82%</t>
  </si>
  <si>
    <t>Added material &amp; install cost for$3/linear ft</t>
  </si>
  <si>
    <t>Added material &amp; install cost</t>
  </si>
  <si>
    <t>DHW</t>
  </si>
  <si>
    <t>2 3ft pipes</t>
  </si>
  <si>
    <t>Btu/Hr-F-ft^2</t>
  </si>
  <si>
    <t>RS-HWE-TMPS-V07-200101</t>
  </si>
  <si>
    <t>ft^2</t>
  </si>
  <si>
    <t>50-gallon tank</t>
  </si>
  <si>
    <t>SF Home</t>
  </si>
  <si>
    <t>MF Home</t>
  </si>
  <si>
    <t>Hot Water Waste Time Avoided</t>
  </si>
  <si>
    <t>Showers per household</t>
  </si>
  <si>
    <t>Showers/house</t>
  </si>
  <si>
    <t>Assumed included labor cost.</t>
  </si>
  <si>
    <t>Shower Timer</t>
  </si>
  <si>
    <t>5.4.9</t>
  </si>
  <si>
    <t>RS-DHW-SHTM-V03-190101</t>
  </si>
  <si>
    <t>Baseline Length of shower</t>
  </si>
  <si>
    <t>Length of Shower with Timer</t>
  </si>
  <si>
    <t>Usage Factor</t>
  </si>
  <si>
    <t>referenced gaskets</t>
  </si>
  <si>
    <t>Furnace (DI)</t>
  </si>
  <si>
    <t>All NG</t>
  </si>
  <si>
    <t>Assumed Chicago Electric Heat Pump Consumption</t>
  </si>
  <si>
    <t>default, MMDB appears 31.83</t>
  </si>
  <si>
    <t>Furnace (P)</t>
  </si>
  <si>
    <t>Assumed Prescriptive</t>
  </si>
  <si>
    <t>Assumed MF</t>
  </si>
  <si>
    <t>Boiler (DI)</t>
  </si>
  <si>
    <t>Boiler (P)</t>
  </si>
  <si>
    <t>Furnace (Replace Manual)</t>
  </si>
  <si>
    <t>Manual</t>
  </si>
  <si>
    <t>Furnace (Replace Programmable)</t>
  </si>
  <si>
    <t>Furnace (Replace Unknown)</t>
  </si>
  <si>
    <t>Boiler (Replace Manual)</t>
  </si>
  <si>
    <t>Boiler (Replace Programmable)</t>
  </si>
  <si>
    <t>programmable</t>
  </si>
  <si>
    <t>Boiler (Replace Unknown)</t>
  </si>
  <si>
    <t>Thermostat - Reprogram</t>
  </si>
  <si>
    <t>Assumed heating fuel is NG</t>
  </si>
  <si>
    <t>RS-HVC-GHEB-V08-200101</t>
  </si>
  <si>
    <t>Btu/h</t>
  </si>
  <si>
    <t xml:space="preserve">2020 MMDB for Boiler DHW Two-in-One </t>
  </si>
  <si>
    <t>Assumed TOS AFUE 90% discounted to 88% AFUE (inc.+install costs)*(actual AUFE/deemed value AFUE)</t>
  </si>
  <si>
    <t>≥82% AFUE, &lt;300MBh</t>
  </si>
  <si>
    <t>Federal std is 82%</t>
  </si>
  <si>
    <t>Fed Std</t>
  </si>
  <si>
    <t>Assumed TOS AFUE 82% (inc.+install costs)</t>
  </si>
  <si>
    <t>persons/unit</t>
  </si>
  <si>
    <t>Central/Indirect MF ≥88% TE</t>
  </si>
  <si>
    <t>units</t>
  </si>
  <si>
    <t>gal/person/day</t>
  </si>
  <si>
    <t>Input Capacity</t>
  </si>
  <si>
    <t>Btuh</t>
  </si>
  <si>
    <t>Tank Volume</t>
  </si>
  <si>
    <t>Gallons</t>
  </si>
  <si>
    <t>Not on a per living unit, not accounted for in the MMDB</t>
  </si>
  <si>
    <t>300-2500 kBtuh Capacity Range, $38</t>
  </si>
  <si>
    <t>On Demand DHW Circulation System</t>
  </si>
  <si>
    <t>includes installation cots</t>
  </si>
  <si>
    <t>DCV - Kitchen</t>
  </si>
  <si>
    <t>cfm/HP</t>
  </si>
  <si>
    <t>Annual Heating Load</t>
  </si>
  <si>
    <t>Btu/cfm</t>
  </si>
  <si>
    <t>kWh/HP</t>
  </si>
  <si>
    <t>kW/HP</t>
  </si>
  <si>
    <t>Therm/HP</t>
  </si>
  <si>
    <t>$/HP</t>
  </si>
  <si>
    <t>Thousand sq ft</t>
  </si>
  <si>
    <t>Default (non-garage), Zone 2 (Chicago)</t>
  </si>
  <si>
    <t>Default, Chicago</t>
  </si>
  <si>
    <t>Unit= 1 sq ft</t>
  </si>
  <si>
    <t xml:space="preserve">2020 MMDB </t>
  </si>
  <si>
    <t>Unit Visit</t>
  </si>
  <si>
    <t>Plan 3 Estimate</t>
  </si>
  <si>
    <t>New Construction</t>
  </si>
  <si>
    <t>20-25% over IL 2015 Code</t>
  </si>
  <si>
    <t>25-30% over IL 2015 Code</t>
  </si>
  <si>
    <t>30-40% over IL 2015 Code</t>
  </si>
  <si>
    <t>≥40% over IL 2015 Code</t>
  </si>
  <si>
    <t>Test</t>
  </si>
  <si>
    <t>Gas Optimization</t>
  </si>
  <si>
    <t>Home Energy Report</t>
  </si>
  <si>
    <t>2022, Year 1, PGL</t>
  </si>
  <si>
    <t>2019 Evaluation Results</t>
  </si>
  <si>
    <t>2022, Year 2, PGL</t>
  </si>
  <si>
    <t>2022, Year 3, PGL</t>
  </si>
  <si>
    <t>2022, Year 4, PGL</t>
  </si>
  <si>
    <t>2022, Year 5, PGL</t>
  </si>
  <si>
    <t>2022, Year 6, PGL</t>
  </si>
  <si>
    <t>2022, Year 7, PGL</t>
  </si>
  <si>
    <t>2023, Year 1, PGL</t>
  </si>
  <si>
    <t>2023, Year 2, PGL</t>
  </si>
  <si>
    <t>2023, Year 3, PGL</t>
  </si>
  <si>
    <t>2023, Year 4, PGL</t>
  </si>
  <si>
    <t>2023, Year 5, PGL</t>
  </si>
  <si>
    <t>2023, Year 6, PGL</t>
  </si>
  <si>
    <t>2023, Year 7, PGL</t>
  </si>
  <si>
    <t>2024, Year 1, PGL</t>
  </si>
  <si>
    <t>2024, Year 2, PGL</t>
  </si>
  <si>
    <t>2024, Year 3, PGL</t>
  </si>
  <si>
    <t>2024, Year 4, PGL</t>
  </si>
  <si>
    <t>2024, Year 5, PGL</t>
  </si>
  <si>
    <t>2024, Year 6, PGL</t>
  </si>
  <si>
    <t>2024, Year 7, PGL</t>
  </si>
  <si>
    <t>2025, Year 1, PGL</t>
  </si>
  <si>
    <t>2025, Year 2, PGL</t>
  </si>
  <si>
    <t>2025, Year 3, PGL</t>
  </si>
  <si>
    <t>2025, Year 4, PGL</t>
  </si>
  <si>
    <t>2025, Year 5, PGL</t>
  </si>
  <si>
    <t>2025, Year 6, PGL</t>
  </si>
  <si>
    <t>2025, Year 7, PGL</t>
  </si>
  <si>
    <t>2022, Year 1, NSG</t>
  </si>
  <si>
    <t>2022, Year 2, NSG</t>
  </si>
  <si>
    <t>2022, Year 3, NSG</t>
  </si>
  <si>
    <t>2022, Year 4, NSG</t>
  </si>
  <si>
    <t>2022, Year 5, NSG</t>
  </si>
  <si>
    <t>2022, Year 6, NSG</t>
  </si>
  <si>
    <t>2022, Year 7, NSG</t>
  </si>
  <si>
    <t>2023, Year 1, NSG</t>
  </si>
  <si>
    <t>2023, Year 2, NSG</t>
  </si>
  <si>
    <t>2023, Year 3, NSG</t>
  </si>
  <si>
    <t>2023, Year 4, NSG</t>
  </si>
  <si>
    <t>2023, Year 5, NSG</t>
  </si>
  <si>
    <t>2023, Year 6, NSG</t>
  </si>
  <si>
    <t>2023, Year 7, NSG</t>
  </si>
  <si>
    <t>2024, Year 1, NSG</t>
  </si>
  <si>
    <t>2024, Year 2, NSG</t>
  </si>
  <si>
    <t>2024, Year 3, NSG</t>
  </si>
  <si>
    <t>2024, Year 4, NSG</t>
  </si>
  <si>
    <t>2024, Year 5, NSG</t>
  </si>
  <si>
    <t>2024, Year 6, NSG</t>
  </si>
  <si>
    <t>2024, Year 7, NSG</t>
  </si>
  <si>
    <t>2025, Year 1, NSG</t>
  </si>
  <si>
    <t>2025, Year 2, NSG</t>
  </si>
  <si>
    <t>2025, Year 3, NSG</t>
  </si>
  <si>
    <t>2025, Year 4, NSG</t>
  </si>
  <si>
    <t>2025, Year 5, NSG</t>
  </si>
  <si>
    <t>2025, Year 6, NSG</t>
  </si>
  <si>
    <t>2025, Year 7, NSG</t>
  </si>
  <si>
    <t>Affordable Housing New Construction</t>
  </si>
  <si>
    <t>2019 Evaluation Results - 2x project incentive</t>
  </si>
  <si>
    <t>CI</t>
  </si>
  <si>
    <t>"3 - Pipe Insulation" worksheet</t>
  </si>
  <si>
    <t>Assumed 1 inch (Indoor) insulation</t>
  </si>
  <si>
    <t>Hotel/Motel/Hospital</t>
  </si>
  <si>
    <t>per lb</t>
  </si>
  <si>
    <t>Energy Star Conveyer Oven</t>
  </si>
  <si>
    <t>Hours of Operation per Day</t>
  </si>
  <si>
    <t>Production Capacity (PC)</t>
  </si>
  <si>
    <t>Eff</t>
  </si>
  <si>
    <t>Energy Star Convection Oven</t>
  </si>
  <si>
    <t>Average Daily Operation</t>
  </si>
  <si>
    <t>lbs/hr</t>
  </si>
  <si>
    <t>Eff_ENERGY STAR</t>
  </si>
  <si>
    <t>Eff_Base</t>
  </si>
  <si>
    <t>ENERGY STAR Production Capacity</t>
  </si>
  <si>
    <t>Base Production Capacity</t>
  </si>
  <si>
    <t>IdleENERGYSTAR</t>
  </si>
  <si>
    <t>IdleBase</t>
  </si>
  <si>
    <t>IdleENERGYSTARTime</t>
  </si>
  <si>
    <t>hrs</t>
  </si>
  <si>
    <t>IdleBaseTime</t>
  </si>
  <si>
    <t>btu/pound</t>
  </si>
  <si>
    <t>Delta_DailyIdleEnergy</t>
  </si>
  <si>
    <t>Delta_DailyCookingEnergy</t>
  </si>
  <si>
    <t>CI-HVC-THST-V01-200101</t>
  </si>
  <si>
    <t>EFLH Heat</t>
  </si>
  <si>
    <t>Assumed 5 ton packaged HVAC unit</t>
  </si>
  <si>
    <t>Energy Star Steamer</t>
  </si>
  <si>
    <t>3 Pans</t>
  </si>
  <si>
    <t>NG</t>
  </si>
  <si>
    <t>4 Pans</t>
  </si>
  <si>
    <t>Natural Gas, 4 Pans</t>
  </si>
  <si>
    <t>lbs/day</t>
  </si>
  <si>
    <t>days</t>
  </si>
  <si>
    <t>5 Pans</t>
  </si>
  <si>
    <t>Natural Gas, 5 Pans</t>
  </si>
  <si>
    <t>6 Pans</t>
  </si>
  <si>
    <t>Natural Gas, 6 Pans</t>
  </si>
  <si>
    <t>Energy Star Fryer</t>
  </si>
  <si>
    <t>Baseline Idle Energy Rate</t>
  </si>
  <si>
    <t>Efficient Idle Energy Rate</t>
  </si>
  <si>
    <t>Baseline Production Capacity</t>
  </si>
  <si>
    <t>Efficient Production Capacity</t>
  </si>
  <si>
    <t>Baseline Cooking Efficiency</t>
  </si>
  <si>
    <t>Efficient Cooking Efficiency</t>
  </si>
  <si>
    <t>Baseline Idle Energy Usage</t>
  </si>
  <si>
    <t>Efficient Idle Energy Usage</t>
  </si>
  <si>
    <t>Baseline Cooking Energy Usage</t>
  </si>
  <si>
    <t>Efficient Cooking Energy Usage</t>
  </si>
  <si>
    <t>Baseline Electricity Usage</t>
  </si>
  <si>
    <t>Efficient Electricity Usage</t>
  </si>
  <si>
    <t>Double Rack Oven</t>
  </si>
  <si>
    <t>Therm/Unit</t>
  </si>
  <si>
    <t>Input Rate_Base</t>
  </si>
  <si>
    <t>Input Rate_EE</t>
  </si>
  <si>
    <t>Preheat Energy Rate_Base</t>
  </si>
  <si>
    <t>Preheat Energy Rate_EE</t>
  </si>
  <si>
    <t>Preheat/day</t>
  </si>
  <si>
    <t>Min/preheat</t>
  </si>
  <si>
    <t>Therm / MBH</t>
  </si>
  <si>
    <t>Pre-Rinse Sprayer</t>
  </si>
  <si>
    <t>SMB</t>
  </si>
  <si>
    <t>FLObase</t>
  </si>
  <si>
    <t>gal/min</t>
  </si>
  <si>
    <t>2020 MMDB custom</t>
  </si>
  <si>
    <t>FLOeff</t>
  </si>
  <si>
    <t>2020 MMDb</t>
  </si>
  <si>
    <t>4.2.11</t>
  </si>
  <si>
    <t>Assumed Medium Restaurants</t>
  </si>
  <si>
    <t>6 Days a week</t>
  </si>
  <si>
    <t>Specific Heat of Water</t>
  </si>
  <si>
    <t>Temperature Out</t>
  </si>
  <si>
    <t>assumed unknown</t>
  </si>
  <si>
    <t>Temperature In</t>
  </si>
  <si>
    <t>Gas Water Heater Efficiency</t>
  </si>
  <si>
    <t>MMDB custom</t>
  </si>
  <si>
    <t>IL Total Water Energy Factor</t>
  </si>
  <si>
    <t>Assumed in Cook County</t>
  </si>
  <si>
    <t>Secondary kWh Water Savings</t>
  </si>
  <si>
    <t>from Plan 3, $54 if unknown</t>
  </si>
  <si>
    <t>DI assumption</t>
  </si>
  <si>
    <t>2020 MMDB, average of 3 application options</t>
  </si>
  <si>
    <t xml:space="preserve">Large institutional establishments
with cafeteria </t>
  </si>
  <si>
    <t>Electric Water Heater Efficiency</t>
  </si>
  <si>
    <t>Electric or Gas Water Heater</t>
  </si>
  <si>
    <t>1 if electric, 0 if Gas.</t>
  </si>
  <si>
    <t>Laminar</t>
  </si>
  <si>
    <t>Fuel DHW</t>
  </si>
  <si>
    <t>GPM</t>
  </si>
  <si>
    <t>min</t>
  </si>
  <si>
    <t>Plan 3 assumption</t>
  </si>
  <si>
    <t>kWh/gal</t>
  </si>
  <si>
    <t>In Cook County</t>
  </si>
  <si>
    <t>Kitchen</t>
  </si>
  <si>
    <t>Hotels &amp; Hospitals</t>
  </si>
  <si>
    <t>therms/cycle</t>
  </si>
  <si>
    <t>Laundromat &amp; MF Dorms</t>
  </si>
  <si>
    <t>MF/SMB</t>
  </si>
  <si>
    <t>average of MF Dryers &amp; On-Premise Laundromat</t>
  </si>
  <si>
    <t>Effafter</t>
  </si>
  <si>
    <t>hrs/yr</t>
  </si>
  <si>
    <t>Average of MF High Rise and MF Mid Rise, matching MMDB 2020</t>
  </si>
  <si>
    <t>Chicago, unknown building type, matching 2020 MMDB</t>
  </si>
  <si>
    <t>Storage 88% TE ≥75MBh</t>
  </si>
  <si>
    <t>CI-HWE-STWH-V05-200101</t>
  </si>
  <si>
    <t>gals</t>
  </si>
  <si>
    <t>Assumed Large/Small office building consumption/cap and 250 capacity</t>
  </si>
  <si>
    <t>Heat of Water</t>
  </si>
  <si>
    <t>Btu/lb T</t>
  </si>
  <si>
    <t>Standy Loss Input</t>
  </si>
  <si>
    <t>Standby Loss Input</t>
  </si>
  <si>
    <t>Delta _Therms_per_foot</t>
  </si>
  <si>
    <t>DHW system type, Chicago</t>
  </si>
  <si>
    <t>CI-HVC-PINS-V05-190101</t>
  </si>
  <si>
    <t>1 inch (indoor) total cost per foot</t>
  </si>
  <si>
    <t>Dry Cleaner/Industrial - No Audit</t>
  </si>
  <si>
    <t>Dry Cleaner/Industrial - Audit</t>
  </si>
  <si>
    <t>Commercial Space Heating LPS, Chicago</t>
  </si>
  <si>
    <t>without audit</t>
  </si>
  <si>
    <t>LPS Commercial Space Heating</t>
  </si>
  <si>
    <t>Average steam trap inlet pressure (absolute psia), LPS Commercial Space Heating (excluding Multifamily)</t>
  </si>
  <si>
    <t>with audit</t>
  </si>
  <si>
    <t>Engineering Study</t>
  </si>
  <si>
    <t>Staffing</t>
  </si>
  <si>
    <t>C&amp;I Gas Optimization</t>
  </si>
  <si>
    <t>C&amp;I Retrocommissioning</t>
  </si>
  <si>
    <t>C&amp;I Custom</t>
  </si>
  <si>
    <t>C&amp;I New Construction</t>
  </si>
  <si>
    <t>Linkageless Controls</t>
  </si>
  <si>
    <t>Savings Factor (SF)</t>
  </si>
  <si>
    <t>Average of MF buildings</t>
  </si>
  <si>
    <t>$/Mbtu/hr</t>
  </si>
  <si>
    <t>Dock Door Seals</t>
  </si>
  <si>
    <t>Air Sealing Measure</t>
  </si>
  <si>
    <t xml:space="preserve">≥75 MBH, ≥88% TE </t>
  </si>
  <si>
    <t>CI-HWE-STWH-V06-200101</t>
  </si>
  <si>
    <t>150 gal tank * average of all building types</t>
  </si>
  <si>
    <t>Residential-duty Commercial, medium draw</t>
  </si>
  <si>
    <t>per MBH</t>
  </si>
  <si>
    <t>Assumes 150 gal capacity and 200,000 Btu/h input</t>
  </si>
  <si>
    <t>150 gal tank * MF building type</t>
  </si>
  <si>
    <t>&gt;=300MBH, &lt;1,500, &gt;=81% AFUE</t>
  </si>
  <si>
    <t>Average of MF High Rise and MF Mid Rise, MMDB 2020</t>
  </si>
  <si>
    <t>Small Commercial Advanced Thermostat</t>
  </si>
  <si>
    <t>2020 MMDB average capacity</t>
  </si>
  <si>
    <t>Central Lodging 88% TE</t>
  </si>
  <si>
    <t>Est 150MBH</t>
  </si>
  <si>
    <t>according to MMDB- average of all building types including unknown</t>
  </si>
  <si>
    <t>Baseline Convection Efficiency</t>
  </si>
  <si>
    <t>Baseline Steam Efficiency</t>
  </si>
  <si>
    <t>Baseline Idle Energy Rate in Convection Mode</t>
  </si>
  <si>
    <t>assumed 22 Pans according to MMDB 15-30 range</t>
  </si>
  <si>
    <t>Baseline Idle Energy Rate in Steam Mode</t>
  </si>
  <si>
    <t>Baseline Production Capacity Convection Mode</t>
  </si>
  <si>
    <t>Baseline Production Capacity Steam Mode</t>
  </si>
  <si>
    <t>Baseline Convection Cooking Energy</t>
  </si>
  <si>
    <t>Baseline Steam Cooking Energy</t>
  </si>
  <si>
    <t>Baseline Convection Idle Energy</t>
  </si>
  <si>
    <t>Baseline Steam Idle Energy</t>
  </si>
  <si>
    <t>Pans</t>
  </si>
  <si>
    <t>Mass of Food Cooked/day</t>
  </si>
  <si>
    <t>Energy Absorbed by Food during convection</t>
  </si>
  <si>
    <t>Energy Absorbed by Food during steam</t>
  </si>
  <si>
    <t>Efficient Convection Efficiency</t>
  </si>
  <si>
    <t>Efficient Steam Efficiency</t>
  </si>
  <si>
    <t>Efficient Idle Energy Rate in Convection Mode</t>
  </si>
  <si>
    <t>Efficient Idle Energy Rate in Steam Mode</t>
  </si>
  <si>
    <t>Efficient Production Capacity Convection Mode</t>
  </si>
  <si>
    <t>Efficient Production Capacity Steam Mode</t>
  </si>
  <si>
    <t>% of Time in Convection Mode</t>
  </si>
  <si>
    <t>% of Time in Steam Mode</t>
  </si>
  <si>
    <t>Efficient Convection Cooking Energy</t>
  </si>
  <si>
    <t>Efficient Steam Cooking Energy</t>
  </si>
  <si>
    <t>Efficient Convection Idle Energy</t>
  </si>
  <si>
    <t>Efficient Steam Idle Energy</t>
  </si>
  <si>
    <t>Baseline Therms Usage</t>
  </si>
  <si>
    <t>Efficient Therms Usage</t>
  </si>
  <si>
    <t>Assumed value for Pizza</t>
  </si>
  <si>
    <t>Single Tank Conveyor</t>
  </si>
  <si>
    <t>NG building &amp; NG booster water heating, High temp, Single Tank Conveyor</t>
  </si>
  <si>
    <t>High Temp, Single Tank Conveyor</t>
  </si>
  <si>
    <t>Stationary Single Tank</t>
  </si>
  <si>
    <t>NG building &amp; NG booster water heating, High Temp, Stationary Single Tank</t>
  </si>
  <si>
    <t>High Temp, Stationary Single Tank</t>
  </si>
  <si>
    <t>Multi Tank Conveyor</t>
  </si>
  <si>
    <t>NG building &amp; NG booster water heating, High Temp, Multi Tank Conveyor</t>
  </si>
  <si>
    <t>High Temp, Multi Tank Conveyor</t>
  </si>
  <si>
    <t>NG building &amp; NG booster water heating, Low Temp, Under Counter</t>
  </si>
  <si>
    <t>Low Temp, Under Counter</t>
  </si>
  <si>
    <t>Enthalpy Plate - 50% sensible and latent effectiveness, Office, Zone 2 (Chicago)</t>
  </si>
  <si>
    <t>Constant</t>
  </si>
  <si>
    <t>Btu/h/CFM</t>
  </si>
  <si>
    <t>2020 MMDB, average of all equip. types</t>
  </si>
  <si>
    <t>2020 MMDB, assumed unknown building type</t>
  </si>
  <si>
    <t>2020 MMDB custom (accounts for hours/day already</t>
  </si>
  <si>
    <t>kWh/CFM</t>
  </si>
  <si>
    <t>Therm/CFM</t>
  </si>
  <si>
    <t>Laundromat</t>
  </si>
  <si>
    <t>Coin-operated Laundromats</t>
  </si>
  <si>
    <t>Res Gas Storage Water Heaters ≤75,000 Btu/h, ≤55 gallon tanks, &gt;4000 Btu/h/gal, medium draw</t>
  </si>
  <si>
    <t>storage unit</t>
  </si>
  <si>
    <t>Cannot find where MMDB gets this equations, it's not one of the options- between medium and high draw Res Das storage &lt;=55 gal</t>
  </si>
  <si>
    <t>MMDB assumption</t>
  </si>
  <si>
    <t>Indirect Water Heater</t>
  </si>
  <si>
    <t>≥88% AFUE</t>
  </si>
  <si>
    <t>SMB Kit</t>
  </si>
  <si>
    <t>AEG Reviewed Program Data - 2019 Tracting data</t>
  </si>
  <si>
    <t>place holder</t>
  </si>
  <si>
    <t>Industrial or Process Low Pressure, &lt;15
psig</t>
  </si>
  <si>
    <t>Average steam trap inlet pressure (absolute psia), Industrial or Process Low Pressure, &lt;15 psig</t>
  </si>
  <si>
    <t>low pressure steam</t>
  </si>
  <si>
    <t xml:space="preserve">Medium Pressure &gt;15 psig &lt; 30 psig </t>
  </si>
  <si>
    <t>Average steam trap inlet pressure (absolute psia), High Pressure ≥250 ≤300 psig</t>
  </si>
  <si>
    <t>Average steam trap inlet pressure (absolute psia), Medium Pressure ≥30 &lt;75 psig</t>
  </si>
  <si>
    <t>Steam Trap, Industrial Medium Pressure ≥30 &lt;75 psig</t>
  </si>
  <si>
    <t>Industrial/Process Audit - 125 ≤ psig &lt; 175</t>
  </si>
  <si>
    <t>Industrial/Process Audit - 175 ≤ psig &lt; 250</t>
  </si>
  <si>
    <t>Industrial/Process Audit - 250 ≤ psig</t>
  </si>
  <si>
    <t>Average steam trap inlet pressure (absolute psia), Medium Pressure &gt;15 psig &lt; 30 psig</t>
  </si>
  <si>
    <t>Average steam trap inlet pressure (absolute psia), High Pressure ≥75 &lt;125 psig</t>
  </si>
  <si>
    <t>Average steam trap inlet pressure (absolute psia), High Pressure ≥125 &lt;175 psig</t>
  </si>
  <si>
    <t>Average steam trap inlet pressure (absolute psia), High Pressure ≥175 &lt;250 psig</t>
  </si>
  <si>
    <t>Steam Traps- Venturi</t>
  </si>
  <si>
    <t>Venturi trap replacing faulty trap</t>
  </si>
  <si>
    <t>Industrial/Process Audit - psig ≤ 15</t>
  </si>
  <si>
    <t>Industrial/Process Audit - 15 &lt; psig &lt; 30</t>
  </si>
  <si>
    <t>Industrial/Process Audit - 30 ≤ psig &lt; 75</t>
  </si>
  <si>
    <t>Industrial/Process Audit - 75 ≤ psig &lt; 125</t>
  </si>
  <si>
    <t>High/Medium Draw (UEF &gt;0.64 and &gt;0.68)</t>
  </si>
  <si>
    <t>capacity= 30, MF building type</t>
  </si>
  <si>
    <t>Residential-duty Commercial
High Capacity Storage GasFired Storage Water Heaters
&gt; 75,000 Btu/h, capacity=30, medium draw</t>
  </si>
  <si>
    <t>MMDB</t>
  </si>
  <si>
    <t>hr/year</t>
  </si>
  <si>
    <t>MMDB does not include standby therms-- is this correct</t>
  </si>
  <si>
    <t>Motel Kit</t>
  </si>
  <si>
    <t>8-10-20 IL kits calculator V3.xlsx</t>
  </si>
  <si>
    <t>School - Grocery</t>
  </si>
  <si>
    <t>General - Worship</t>
  </si>
  <si>
    <t>Strategic Energy Management</t>
  </si>
  <si>
    <t>IE MF</t>
  </si>
  <si>
    <t>kw/unit</t>
  </si>
  <si>
    <t>A/C Cover and Gap Sealer</t>
  </si>
  <si>
    <t>4.4.38</t>
  </si>
  <si>
    <t xml:space="preserve">Gas Savings per Unit </t>
  </si>
  <si>
    <t>(Therms/Unit)</t>
  </si>
  <si>
    <t>Deemed, floor 10 in chicago</t>
  </si>
  <si>
    <t>per unit</t>
  </si>
  <si>
    <t>2019 TRC Inputs - Guidehouse evaluation</t>
  </si>
  <si>
    <t>Furnace (Replace Manual) - Non DI</t>
  </si>
  <si>
    <t>Furnace (Replace Programmable) - Non DI</t>
  </si>
  <si>
    <t>Furnace (Replace Unknown) - Non DI</t>
  </si>
  <si>
    <t>Boiler (Replace Manual) - Non DI</t>
  </si>
  <si>
    <t>Boiler (Replace Programmable) - Non DI</t>
  </si>
  <si>
    <t>Boiler (Replace Unknown) - Non DI</t>
  </si>
  <si>
    <t>Path</t>
  </si>
  <si>
    <t>Home Energy Jumpstart</t>
  </si>
  <si>
    <t>Core</t>
  </si>
  <si>
    <t>Leave Behind Kit</t>
  </si>
  <si>
    <t>Home Energy Rebate</t>
  </si>
  <si>
    <t>Standard Rebate</t>
  </si>
  <si>
    <t>Outreach and Education</t>
  </si>
  <si>
    <t>Elementary Energy Education</t>
  </si>
  <si>
    <t>Energy Education Kits</t>
  </si>
  <si>
    <t>Multi-Family</t>
  </si>
  <si>
    <t>CA</t>
  </si>
  <si>
    <t>Large Building Assessment Fee (35+ units)</t>
  </si>
  <si>
    <t>Small Building Assessment Fee (3-34 units)</t>
  </si>
  <si>
    <t>Custom Rebate</t>
  </si>
  <si>
    <t>C&amp;I</t>
  </si>
  <si>
    <t>Retrocommissioning</t>
  </si>
  <si>
    <t>Rebates</t>
  </si>
  <si>
    <t>Public Sector</t>
  </si>
  <si>
    <t>Assessments</t>
  </si>
  <si>
    <t>Small/Mid-Size Business</t>
  </si>
  <si>
    <t>Ci</t>
  </si>
  <si>
    <t>Kits</t>
  </si>
  <si>
    <t>Staffing Grant</t>
  </si>
  <si>
    <t>Air sealing w/ attic insulation</t>
  </si>
  <si>
    <t>Health and Safety</t>
  </si>
  <si>
    <t>no savings</t>
  </si>
  <si>
    <t>IHWAP</t>
  </si>
  <si>
    <t>IE Kits</t>
  </si>
  <si>
    <t>MF IHWAP</t>
  </si>
  <si>
    <t>Sf</t>
  </si>
  <si>
    <t>Shut Off Flue Damper</t>
  </si>
  <si>
    <t>Commercial Food Service Program</t>
  </si>
  <si>
    <t>Upstream Rebate</t>
  </si>
  <si>
    <t>Research &amp; Development (Emerging Technologies)</t>
  </si>
  <si>
    <t>Gas Heat Pump Pilot</t>
  </si>
  <si>
    <t>Algorithm Key</t>
  </si>
  <si>
    <t>Utility</t>
  </si>
  <si>
    <t>Research &amp; Development (Emerging Technologies) - Gas Heat Pump Pilot</t>
  </si>
  <si>
    <t>Residential - Outreach and Education</t>
  </si>
  <si>
    <t>Residential - Home Energy Jumpstart</t>
  </si>
  <si>
    <t>Residential - Home Energy Rebate</t>
  </si>
  <si>
    <t>Residential - Multi-Family</t>
  </si>
  <si>
    <t>Business - C&amp;I</t>
  </si>
  <si>
    <t>Business - Public Sector</t>
  </si>
  <si>
    <t>Business - Small/Mid-Size Business</t>
  </si>
  <si>
    <t>Business - Commercial Food Service Program</t>
  </si>
  <si>
    <t>Income Eligible - Single Family</t>
  </si>
  <si>
    <t>Income Eligible - Multi-Family</t>
  </si>
  <si>
    <t>Income Eligible - Outreach and Education</t>
  </si>
  <si>
    <t>Income Eligible - Home Energy Jumpstart</t>
  </si>
  <si>
    <t>Residential - Market Development Initiative</t>
  </si>
  <si>
    <t>Unit Definition</t>
  </si>
  <si>
    <t>Units</t>
  </si>
  <si>
    <t>Participation</t>
  </si>
  <si>
    <t>Total Units</t>
  </si>
  <si>
    <t>Key_Year</t>
  </si>
  <si>
    <t>n/a</t>
  </si>
  <si>
    <t>Weighted Average Measure Life</t>
  </si>
  <si>
    <t>Program Year</t>
  </si>
  <si>
    <t>Approved Plan Filing</t>
  </si>
  <si>
    <t>PY 2022 Adjustable Goals</t>
  </si>
  <si>
    <t>PY 2023 Adjustable Goals</t>
  </si>
  <si>
    <t>PY 2024 Adjustable Goals</t>
  </si>
  <si>
    <t>PY 2025 Adjustable Goals</t>
  </si>
  <si>
    <t>TBD</t>
  </si>
  <si>
    <t>Annual Savings (Therms)</t>
  </si>
  <si>
    <t>2022 Plan</t>
  </si>
  <si>
    <t>2023 Plan</t>
  </si>
  <si>
    <t>2024 Plan</t>
  </si>
  <si>
    <t>2025 Plan</t>
  </si>
  <si>
    <t>Lifetime Savings (Therms)</t>
  </si>
  <si>
    <t>Annual Savings - Mid-Life Adjustment (Therms)</t>
  </si>
  <si>
    <t>Plan Life Cycle Savings</t>
  </si>
  <si>
    <t>Adjusted Life Cycle Savings</t>
  </si>
  <si>
    <t xml:space="preserve">Plan Life Cycle Savings (Therms) </t>
  </si>
  <si>
    <t>Total Plan Life Cycle Savings (Therms)</t>
  </si>
  <si>
    <t>Adjusted Life Cycle Savings (Therms)</t>
  </si>
  <si>
    <t xml:space="preserve"> Total Adjusted Life Cycle Savings (Therms)</t>
  </si>
  <si>
    <t>(ak)</t>
  </si>
  <si>
    <t>(al)</t>
  </si>
  <si>
    <t>(aq)</t>
  </si>
  <si>
    <t>(ar)</t>
  </si>
  <si>
    <t>Approved Energy Efficiency Plan Lifecycle Savings</t>
  </si>
  <si>
    <t>Adjusted Lifecycle Savings</t>
  </si>
  <si>
    <t>Average</t>
  </si>
  <si>
    <t>Elbows</t>
  </si>
  <si>
    <t>Condensate</t>
  </si>
  <si>
    <t>Supply</t>
  </si>
  <si>
    <t>btu/hr-ft</t>
  </si>
  <si>
    <t>Savings</t>
  </si>
  <si>
    <t>Insulated loss</t>
  </si>
  <si>
    <t>Uninsulated loss</t>
  </si>
  <si>
    <t>SM</t>
  </si>
  <si>
    <t>T_Condensate</t>
  </si>
  <si>
    <t>Thickness</t>
  </si>
  <si>
    <t>Tamb</t>
  </si>
  <si>
    <t>T_Supply</t>
  </si>
  <si>
    <t>Hours**(IL TRM)</t>
  </si>
  <si>
    <t>JEFFERSON PARK VALET SHOP - 6022 N Keystone Ave (#997264) - Custom Pipe Insul</t>
  </si>
  <si>
    <t>Evergreen Plaza Cleaners -1101378 - Pipe Insulation</t>
  </si>
  <si>
    <t>JO, CHANG dba VILLAGE CLEANERS - 1120366 - Steam Pipe Insulation</t>
  </si>
  <si>
    <t>large</t>
  </si>
  <si>
    <t>medium</t>
  </si>
  <si>
    <t>small</t>
  </si>
  <si>
    <t>Projects</t>
  </si>
  <si>
    <t>Lengths</t>
  </si>
  <si>
    <t>Gross savings</t>
  </si>
  <si>
    <t>Cost</t>
  </si>
  <si>
    <t>Business specific process steam pipe insulation (e.g. dry cleaner steam pipe)</t>
  </si>
  <si>
    <t>Pipe Insulation - Dry Cleaners</t>
  </si>
  <si>
    <t>&lt;----</t>
  </si>
  <si>
    <t xml:space="preserve">As the pipe insulation measures are groupings by size.  Smaller pipe sizes are assumed to be more prevalent than large, overall and within each range. The Assumed prevalence is inversely proportional to the capacity of the pipe and likelyhood of use.
28.716*Dia^3 is the equation that relates the Water Service Fixture Units (WSFU) to the pipe diameter.  Diameters vs WSFU was plotted.  The power equation trendline is R^2 = 0.997 (power function gave the best fit). WSFU is used because adjustment based capacity gives too much weight to larger pipe sizes. During times of peak heat flow for the building is likely peak flow in the main, but not necessarily peak flow for all of the branches. This seemed therefore to be a quick conservative approach over just averaging the sizes in a range.
</t>
  </si>
  <si>
    <t>Explaination of 28.716*Dia^3</t>
  </si>
  <si>
    <t>WSFU</t>
  </si>
  <si>
    <t>DIA</t>
  </si>
  <si>
    <t>SB TA</t>
  </si>
  <si>
    <t>SB DI</t>
  </si>
  <si>
    <t>SB P</t>
  </si>
  <si>
    <t>PS P</t>
  </si>
  <si>
    <t>C&amp;I P</t>
  </si>
  <si>
    <t>Pipe Insulation - Steam X-Large Valve</t>
  </si>
  <si>
    <t>Pipe Insulation - Steam X-Large Fitting</t>
  </si>
  <si>
    <t>Pipe Insulation - Steam X-Large &gt;8"</t>
  </si>
  <si>
    <t>Pipe Insulation - Steam Large Valve</t>
  </si>
  <si>
    <t>Pipe Insulation - Steam Large Fitting</t>
  </si>
  <si>
    <t>Pipe Insulation - Steam Large 5.1" to 8"</t>
  </si>
  <si>
    <t>Pipe Insulation - Steam Med Valve</t>
  </si>
  <si>
    <t>Pipe Insulation - Steam Med Fitting</t>
  </si>
  <si>
    <t>Pipe Insulation - Steam Small Valve</t>
  </si>
  <si>
    <t>Pipe Insulation - Steam Small Fitting</t>
  </si>
  <si>
    <t>Pipe Insulation - Steam Very Small Valve</t>
  </si>
  <si>
    <t>Pipe Insulation - Steam Very Small Fitting</t>
  </si>
  <si>
    <t>Updated for 2020 : All pipe/fittings/valves that are 2" and less are assumed to be condensate return. Previously the assumption was all pipe/fittings/valves 3" and less assumed to be condensate return.  This is to counter the fact that contractors will likely be using the Pipe Insulation rebates for Steam Heating systems for condensate return items as well as steam items. Differentiating between these types would be burdensome on the program so this is the conservative approach.</t>
  </si>
  <si>
    <t>Pipe Insulation - Steam Med 2.1" to 5"</t>
  </si>
  <si>
    <t>Pipe Insulation - Steam Small 1" to 2"</t>
  </si>
  <si>
    <t>Pipe Insulation - Steam Very Small &lt;1"</t>
  </si>
  <si>
    <t>Pipe Insulation - DHW Large &gt;4"</t>
  </si>
  <si>
    <t>Pipe Insulation - DHW Medium 2.1" to 4"</t>
  </si>
  <si>
    <t>Pipe Insulation - DHW Small 1" to 2"</t>
  </si>
  <si>
    <t>Pipe Insulation - HW Large &gt;4"</t>
  </si>
  <si>
    <t>Pipe Insulation - HW Medium 2.1" to 4"</t>
  </si>
  <si>
    <t>Pipe Insulation - HW Small 1" to 2"</t>
  </si>
  <si>
    <t>Pipe Insulation - Steam - X-Large Valve</t>
  </si>
  <si>
    <t>Pipe Insulation - Steam - X-Large Fitting</t>
  </si>
  <si>
    <t>Pipe Insulation - Steam - X-Large 8-12"</t>
  </si>
  <si>
    <t>Pipe Insulation - Steam - Small Valve</t>
  </si>
  <si>
    <t>Pipe Insulation - Steam - Small Fitting</t>
  </si>
  <si>
    <t>Pipe Insulation - Steam - Small &lt;2"</t>
  </si>
  <si>
    <t>Pipe Insulation - Steam - Condensate Return</t>
  </si>
  <si>
    <t>Pipe Insulation - Steam - Med Valve</t>
  </si>
  <si>
    <t>Equivalent Length of flange</t>
  </si>
  <si>
    <t>[ft2]</t>
  </si>
  <si>
    <t>[in2]</t>
  </si>
  <si>
    <t>H area [in2]</t>
  </si>
  <si>
    <t>O area [in2]</t>
  </si>
  <si>
    <t>C area [in2]</t>
  </si>
  <si>
    <t>Bore</t>
  </si>
  <si>
    <t>Thickness of Flange</t>
  </si>
  <si>
    <t>Number of Holes</t>
  </si>
  <si>
    <t>Diameter of Bolt Holes</t>
  </si>
  <si>
    <t>Outside Diameter flange</t>
  </si>
  <si>
    <t>Size (inches)</t>
  </si>
  <si>
    <t>Pipe Insulation - Steam - Med Fitting</t>
  </si>
  <si>
    <t>Total area</t>
  </si>
  <si>
    <t># Flanges</t>
  </si>
  <si>
    <t>From Weldbend Catalog tables on pages 86 &amp; 87:</t>
  </si>
  <si>
    <t>Pipe Insulation - Steam - Med 2.1" to 5"</t>
  </si>
  <si>
    <t>Pipe Insulation - Steam - Large Valve</t>
  </si>
  <si>
    <t>Pipe Insulation - Steam - Large Fitting</t>
  </si>
  <si>
    <t>Pipe Insulation - Steam - Large 5.1" to 8"</t>
  </si>
  <si>
    <t>Pipe Insulation - HW - Large &gt;=4"</t>
  </si>
  <si>
    <t>Pipe Insulation - HW - Medium 2-4"</t>
  </si>
  <si>
    <t>Pipe Insulation - HW - Small &lt;=2"</t>
  </si>
  <si>
    <t>Pipe Insulation - Hyd. Boiler Large &gt;=2"</t>
  </si>
  <si>
    <t>Pipe Insulation - Hyd. Boiler Med 1.25-2"</t>
  </si>
  <si>
    <t>Pipe Insulation - Hyd. Boiler Sm &lt;=1.25"</t>
  </si>
  <si>
    <t>Pipe Insulation - DHW Outlet</t>
  </si>
  <si>
    <t>Pipe Insulation - DHW Large &gt;2"</t>
  </si>
  <si>
    <t>Equivalent Length of Valve</t>
  </si>
  <si>
    <t>Area of Valve</t>
  </si>
  <si>
    <t>Area oF Pipe</t>
  </si>
  <si>
    <t>Equivalent Length Tee</t>
  </si>
  <si>
    <t>Equivalent Length Elbow</t>
  </si>
  <si>
    <t>Area of Elbow</t>
  </si>
  <si>
    <t>From IL TRM from tables on pages 206 &amp; 207 (Version 7 updates highlighted):</t>
  </si>
  <si>
    <t>SAVINGS SUMMARY</t>
  </si>
  <si>
    <t>X-Large &gt;8"</t>
  </si>
  <si>
    <t>X-Large Fitting</t>
  </si>
  <si>
    <t>X-Large Valve</t>
  </si>
  <si>
    <t>-</t>
  </si>
  <si>
    <t>X-Large 8-12"</t>
  </si>
  <si>
    <t>Large 5-1" to 8"</t>
  </si>
  <si>
    <t>Large Fitting</t>
  </si>
  <si>
    <t>Large Valve</t>
  </si>
  <si>
    <t>Large 5-8"</t>
  </si>
  <si>
    <t>Large &gt;4"</t>
  </si>
  <si>
    <t>Medium 2.1" to 5"</t>
  </si>
  <si>
    <t>Medium 2.1 to 4"</t>
  </si>
  <si>
    <t>Large 2"&gt;</t>
  </si>
  <si>
    <t>Med Fitting</t>
  </si>
  <si>
    <t>Med Valve</t>
  </si>
  <si>
    <t>Med 2-5"</t>
  </si>
  <si>
    <t>Med. 1.25"-2"</t>
  </si>
  <si>
    <t>Small 1" to 2"</t>
  </si>
  <si>
    <t>Med. 1"-2"</t>
  </si>
  <si>
    <t>Small Fitting</t>
  </si>
  <si>
    <t>Small Valve</t>
  </si>
  <si>
    <t>Small 0.5-1.5"</t>
  </si>
  <si>
    <t>Small &lt;2"</t>
  </si>
  <si>
    <t>Very Small &lt;1"</t>
  </si>
  <si>
    <t>Small &lt;1.25"</t>
  </si>
  <si>
    <t>Small &lt;1"</t>
  </si>
  <si>
    <t>MF Steam</t>
  </si>
  <si>
    <t>Com. Steam</t>
  </si>
  <si>
    <t>Size</t>
  </si>
  <si>
    <t>HW</t>
  </si>
  <si>
    <t>WSFU to Pipe Diamater Adjustment Values</t>
  </si>
  <si>
    <t>MF Condensate Return</t>
  </si>
  <si>
    <t>Com. Condensate Return</t>
  </si>
  <si>
    <t>Nominal Therms/ft (DHW)</t>
  </si>
  <si>
    <t>Nominal Therms/ft (HW)</t>
  </si>
  <si>
    <t>Nominal Therms/ft (MF Condensate Return)</t>
  </si>
  <si>
    <t>Nominal Therms/ft (Com. Condensate Return)</t>
  </si>
  <si>
    <t>Nominal Therms/ft (MF Steam)</t>
  </si>
  <si>
    <t>Nominal Therms/ft (Com. Steam)</t>
  </si>
  <si>
    <t xml:space="preserve">Space Heating TRF </t>
  </si>
  <si>
    <t xml:space="preserve">Year Round TRF </t>
  </si>
  <si>
    <t xml:space="preserve">Space Heating Hours/ year </t>
  </si>
  <si>
    <t xml:space="preserve">DHW Hours/ year </t>
  </si>
  <si>
    <t>Btu loss/hr, insulated 125 deg.</t>
  </si>
  <si>
    <t>Btu loss/hr, insulated 145 deg.</t>
  </si>
  <si>
    <t>Btu loss/hr, insulated 170 deg. (Condensate/HW)</t>
  </si>
  <si>
    <t>Btu loss/hr, insulated, 225 deg. (STEAM)</t>
  </si>
  <si>
    <t>Btu loss/hr, uninsulated, 125 deg.</t>
  </si>
  <si>
    <t>Btu loss/hr, uninsulated, 145 deg.</t>
  </si>
  <si>
    <t>Btu loss/hr, uninsulated, 170 deg. (Condensate/HW)</t>
  </si>
  <si>
    <t>Btu loss/hr, uninsulated, 225 deg. (STEAM)</t>
  </si>
  <si>
    <t>Combustion Eff. (HW)</t>
  </si>
  <si>
    <t>Combustion Eff. (MF Steam)</t>
  </si>
  <si>
    <t>Combustion Eff. (Com. Steam)</t>
  </si>
  <si>
    <t>Ambient temperature</t>
  </si>
  <si>
    <t>Feet of pipe</t>
  </si>
  <si>
    <t>R Value of pipe insulation</t>
  </si>
  <si>
    <t>NPS (nominal pipe size)</t>
  </si>
  <si>
    <t>Measure Size</t>
  </si>
  <si>
    <t>VALVE</t>
  </si>
  <si>
    <t>FITTING</t>
  </si>
  <si>
    <t>PIPE</t>
  </si>
  <si>
    <t>Insulation</t>
  </si>
  <si>
    <t>Insulation -Fitting</t>
  </si>
  <si>
    <t>Insulation -Valve</t>
  </si>
  <si>
    <t>Insulation -Pipe</t>
  </si>
  <si>
    <t>HOURS</t>
  </si>
  <si>
    <t>Qeff (3e Plus)</t>
  </si>
  <si>
    <t>Qbase (3e Plus)</t>
  </si>
  <si>
    <t>ηBoiler</t>
  </si>
  <si>
    <t>Updates</t>
  </si>
  <si>
    <t>Highlighted Cell values have been verified as the calculated results from 3e PLUS</t>
  </si>
  <si>
    <t>Pipe = Horizontal; Dimension Standard = ASTM C 585 Rigid, Wind Speed = 0; Base Metal = Steel, Insulation = 450 MF Blanket, Type II, C553-11, Fixed 1" thickness; Jacket = 0.9 All Service Jacket</t>
  </si>
  <si>
    <t>Assumptions/3e Plus settings:</t>
  </si>
  <si>
    <t>Δtherms = (Lsp + Loc,i) * Δtherms per foot</t>
  </si>
  <si>
    <t>Δtherms per foot = ((Qbase – Qeff) * TRF * HOURS) / (100,000 * ηBoiler)</t>
  </si>
  <si>
    <t>CI-HVC-PINS-V02-140601</t>
  </si>
  <si>
    <t>Commercial</t>
  </si>
  <si>
    <t>TRM Algorithm</t>
  </si>
  <si>
    <t>CI/SMB pipe insulation calculations below</t>
  </si>
  <si>
    <t>As the pipe insulation measures are groupings by size.  Smaller pipe sizes are assumed to be more prevalent than large, overall and within each range. The Assumed prevalence is inversely proportional to the capacity of the pipe and likelyhood of use.
28.716*Dia^3 is the equation that relates the Water Service Fixture Units (WSFU) to the pipe diameter.  Diameters vs WSFU was plotted.  The power equation trendline is R^2 = 0.997 (power function gave the best fit). WSFU is used because adjustment based capacity gives too much weight to larger pipe sizes. During times of peak heat flow for the building is likely peak flow in the main, but not necessarily peak flow for all of the branches. This seemed therefore to be a quick conservative approach over simply averaging the sizes in a range.</t>
  </si>
  <si>
    <t>This color means we are missing it on our measure list</t>
  </si>
  <si>
    <t>SF - Electric - Pipe Insulation - Hot Water Space Heat Outlet</t>
  </si>
  <si>
    <t>SF - Gas - Pipe Insulation - HW Space Heat Outlet</t>
  </si>
  <si>
    <t>SF - Gas - Pipe Insulation - DHW Outlet</t>
  </si>
  <si>
    <t>IU - Gas - Pipe Insulation - DHW Outlet</t>
  </si>
  <si>
    <t>SF - Electric - Pipe Insulation - DHW Outlet</t>
  </si>
  <si>
    <t>IU - Electric - Pipe Insulation - DHW Outlet</t>
  </si>
  <si>
    <t>IU - Electric - Pipe Insulation - Hyd. Boiler Large &gt;=2"</t>
  </si>
  <si>
    <t>IU - Electric - Pipe Insulation - Hyd. Boiler Med 1.25-2"</t>
  </si>
  <si>
    <t>IU - Electric - Pipe Insulation - Hyd. Boiler Sm &lt;=1.25"</t>
  </si>
  <si>
    <t>IU - Electric - Pipe Insulation - DHW Large &gt;2"</t>
  </si>
  <si>
    <t>IU - Electric - Pipe Insulation - DHW Medium 1.26-2"</t>
  </si>
  <si>
    <t>IU - Electric - Pipe Insulation - DHW Small &lt;=1.25"</t>
  </si>
  <si>
    <t>CA - Electric - Pipe Insulation - Hyd. Boiler Large &gt;=2"</t>
  </si>
  <si>
    <t>CA - Electric - Pipe Insulation - Hyd. Boiler Med 1.25-2"</t>
  </si>
  <si>
    <t>CA - Electric - Pipe Insulation - Hyd. Boiler Sm &lt;=1.25"</t>
  </si>
  <si>
    <t>CA - Electric - Pipe Insulation - DHW Large &gt;2"</t>
  </si>
  <si>
    <t>CA - Electric - Pipe Insulation - DHW Medium 1.26-2"</t>
  </si>
  <si>
    <t>CA - Electric - Pipe Insulation - DHW Small &lt;=1.25"</t>
  </si>
  <si>
    <t>IU - Gas - Pipe Insulation - Hyd. Boiler Sm &lt;=1.25"</t>
  </si>
  <si>
    <t>IU - Gas - Pipe Insulation - Hyd. Boiler Med 1.25-2"</t>
  </si>
  <si>
    <t>IU - Gas - Pipe Insulation - Hyd. Boiler Large &gt;=2"</t>
  </si>
  <si>
    <t>IU - Gas - Pipe Insulation - DHW Small &lt;=1.25"</t>
  </si>
  <si>
    <t>IU - Gas - Pipe Insulation - DHW Medium 1.26-2"</t>
  </si>
  <si>
    <t>IU - Gas - Pipe Insulation - DHW Large &gt;2"</t>
  </si>
  <si>
    <t>CA - Gas - Pipe Insulation - Steam X-Large Valve</t>
  </si>
  <si>
    <t>CA - Gas - Pipe Insulation - Steam X-Large Fitting</t>
  </si>
  <si>
    <t>CA - Gas - Pipe Insulation - Steam X-Large &gt;8"</t>
  </si>
  <si>
    <t>CA - Gas - Pipe Insulation - Steam Large Valve</t>
  </si>
  <si>
    <t>CA - Gas - Pipe Insulation - Steam Large Fitting</t>
  </si>
  <si>
    <t>CA - Gas - Pipe Insulation - Steam Large 5.1" to 8"</t>
  </si>
  <si>
    <t>CA - Gas - Pipe Insulation - Steam Med Valve</t>
  </si>
  <si>
    <t>CA - Gas - Pipe Insulation - Steam Med Fitting</t>
  </si>
  <si>
    <t>CA - Gas - Pipe Insulation - Steam Small Valve</t>
  </si>
  <si>
    <t>CA - Gas - Pipe Insulation - Steam Small Fitting</t>
  </si>
  <si>
    <t>Equivalent Length fo flange</t>
  </si>
  <si>
    <t>Domestic Hot Water - In Unit Savings</t>
  </si>
  <si>
    <t>CA - Gas - Pipe Insulation - Steam Med 2.1" to 5"</t>
  </si>
  <si>
    <t>CA - Gas - Pipe Insulation - Steam Small 1" to 2"</t>
  </si>
  <si>
    <t>CA - Gas - Pipe Insulation - DHW Large &gt;4"</t>
  </si>
  <si>
    <t>Large - Nominal Pipe Diameter (Greater Than 4 Inches)</t>
  </si>
  <si>
    <t>CA - Gas - Pipe Insulation - DHW Medium 2.1" to 4"</t>
  </si>
  <si>
    <t>CA - Gas - Pipe Insulation - DHW Small 1" to 2"</t>
  </si>
  <si>
    <t>CA - Gas - Pipe Insulation - HW Large &gt;4"</t>
  </si>
  <si>
    <t>CA - Gas - Pipe Insulation - HW Medium 2.1" to 4"</t>
  </si>
  <si>
    <t>Medium - Nominal Pipe Diameter (2.1 to 4 Inches)</t>
  </si>
  <si>
    <t>CA - Gas - Pipe Insulation - HW Small 1" to 2"</t>
  </si>
  <si>
    <t>CA - Gas - Pipe Insulation - Hyd. Boiler Large &gt;=2"</t>
  </si>
  <si>
    <t>CA - Gas - Pipe Insulation - Hyd. Boiler Med 1.25-2"</t>
  </si>
  <si>
    <t>CA - Gas - Pipe Insulation - Hyd. Boiler Sm &lt;=1.25"</t>
  </si>
  <si>
    <t>Small - Nominal Pipe Diameter (1 to 2 Inches)</t>
  </si>
  <si>
    <t xml:space="preserve">Hot Water Space Heating Boiler Savings </t>
  </si>
  <si>
    <t>CA - Gas - Pipe Insulation - DHW Large &gt;2"</t>
  </si>
  <si>
    <t>Weighted Nominal kWh/ft</t>
  </si>
  <si>
    <t>Weighted Nominal Therms/ft</t>
  </si>
  <si>
    <t>Therms/ft</t>
  </si>
  <si>
    <t>Nominal KWh/ft</t>
  </si>
  <si>
    <t>Nominal Therms/ft</t>
  </si>
  <si>
    <t>Boiler Efficiency (Elec)</t>
  </si>
  <si>
    <t>Boiler Efficiency (Gas)</t>
  </si>
  <si>
    <t>Delta T</t>
  </si>
  <si>
    <t>C_New</t>
  </si>
  <si>
    <t>C_Exist</t>
  </si>
  <si>
    <t>FLH_Heat / Hours</t>
  </si>
  <si>
    <t>R_New</t>
  </si>
  <si>
    <t>R_Exist</t>
  </si>
  <si>
    <t>MF LI PHES</t>
  </si>
  <si>
    <t>MF LI IEMS</t>
  </si>
  <si>
    <t>SF P</t>
  </si>
  <si>
    <t>SF DI</t>
  </si>
  <si>
    <t>MF P</t>
  </si>
  <si>
    <t>MF IE PTA</t>
  </si>
  <si>
    <t>MF PTA</t>
  </si>
  <si>
    <t>MF DI MFES</t>
  </si>
  <si>
    <t>From IL TRM from tables on pages 246 &amp; 247:</t>
  </si>
  <si>
    <t>IN-UNIT SAVINGS VALUES - Values Deriverd From Residential Version of Ill TRM Secion 5.3.2</t>
  </si>
  <si>
    <t>X-Large - Nominal Pipe Diameter (Larger Than 8")</t>
  </si>
  <si>
    <t>Large - Nominal Pipe Diameter (5.1 to 8 Inches)</t>
  </si>
  <si>
    <t>Medium - Nominal Pipe Diameter (2.1 to 5 Inches)</t>
  </si>
  <si>
    <t>Nominal kWh/ft (DHW)</t>
  </si>
  <si>
    <t>Nominal kWh/ft (HW Boiler)</t>
  </si>
  <si>
    <t>Weighted DHW</t>
  </si>
  <si>
    <t>DOMESTIC HOT WATER SIZE CATAGORIES</t>
  </si>
  <si>
    <t>Weighted HW</t>
  </si>
  <si>
    <t>PIPE INSULATION CATAGORIES FOR HOT WATER HEATING BOILER SYSTEMS</t>
  </si>
  <si>
    <t>Weighted MF Condensate Return</t>
  </si>
  <si>
    <t>Weighted MF Steam</t>
  </si>
  <si>
    <t>PIPE INSULATION CATAGORIES FOR STEAM HEATING BOILER SYSTEMS</t>
  </si>
  <si>
    <t>Common Area Savings - Calculations Follow Methodology of C&amp;I TRM 4.4.14</t>
  </si>
  <si>
    <t>Pipe Insulation - Electric Fuel Source</t>
  </si>
  <si>
    <t>Insulation - Steam Fittings</t>
  </si>
  <si>
    <t>Insulation - Steam Valves</t>
  </si>
  <si>
    <t>Heat Loss Values Have Been Collected From 3E+</t>
  </si>
  <si>
    <t>NSG_Residential_Outreach and Education_Elementary Energy Education_*_*_*</t>
  </si>
  <si>
    <t>NSG_Residential_Home Energy Jumpstart_*_*_*_*</t>
  </si>
  <si>
    <t>NSG_Residential_Home Energy Rebate_*_*_*_*</t>
  </si>
  <si>
    <t>NSG_Residential_Multi-Family_*_*_*_*</t>
  </si>
  <si>
    <t>NSG_Business_C&amp;I_*_*_*_*</t>
  </si>
  <si>
    <t>NSG_Business_Public Sector_*_*_*_*</t>
  </si>
  <si>
    <t>NSG_Business_Small/Mid-Size Business_*_*_*_*</t>
  </si>
  <si>
    <t>NSG_Business_Commercial Food Service Program_*_*_*_*</t>
  </si>
  <si>
    <t>NSG_Income Eligible_Single Family_*_*_*_*</t>
  </si>
  <si>
    <t>NSG_Income Eligible_Multi-Family_*_*_*_*</t>
  </si>
  <si>
    <t>NSG_Income Eligible_Outreach and Education_Elementary Energy Education_*_*_*</t>
  </si>
  <si>
    <t>NSG_Income Eligible_Home Energy Jumpstart_*_*_*_*</t>
  </si>
  <si>
    <t>NSG_Residential_Market Development Initiative_*_*_*_*</t>
  </si>
  <si>
    <t>NSG_Research &amp; Development (Emerging Technologies)_Gas Heat Pump Pilot_*_*_*_*</t>
  </si>
  <si>
    <t>NSG</t>
  </si>
  <si>
    <t>Efficiency Kit</t>
  </si>
  <si>
    <t>Avg SF, MF</t>
  </si>
  <si>
    <t>Measure Code</t>
  </si>
  <si>
    <t>Gross Therm Savings</t>
  </si>
  <si>
    <t>NTG Gas</t>
  </si>
  <si>
    <t>Net Therm Savings</t>
  </si>
  <si>
    <t>PGL</t>
  </si>
  <si>
    <t>Each</t>
  </si>
  <si>
    <t>Feet</t>
  </si>
  <si>
    <t>linear foot</t>
  </si>
  <si>
    <t>each</t>
  </si>
  <si>
    <t>Partner Trade Ally Rebate</t>
  </si>
  <si>
    <t>CFM_50</t>
  </si>
  <si>
    <t>CFM_25</t>
  </si>
  <si>
    <t>linear feet</t>
  </si>
  <si>
    <t>lb-capacity</t>
  </si>
  <si>
    <t>living unit</t>
  </si>
  <si>
    <t>00REMOVE</t>
  </si>
  <si>
    <t>Remove</t>
  </si>
  <si>
    <t>grant</t>
  </si>
  <si>
    <t>kit</t>
  </si>
  <si>
    <t>CBA</t>
  </si>
  <si>
    <t>linear ft</t>
  </si>
  <si>
    <t>kits</t>
  </si>
  <si>
    <t>Whole Building - DI</t>
  </si>
  <si>
    <t>Whole Building - Prescriptive</t>
  </si>
  <si>
    <t>project</t>
  </si>
  <si>
    <t>per door</t>
  </si>
  <si>
    <t>Living Unit</t>
  </si>
  <si>
    <t>Whole Building - Public Housing</t>
  </si>
  <si>
    <t>CA - Gas - Pipe Insulation - DHW Small &lt;1.25"</t>
  </si>
  <si>
    <t>Pipe Insulation - DHW Small &lt;1.25"</t>
  </si>
  <si>
    <t>CA - Gas - Pipe Insulation - DHW Medium 1.25-2"</t>
  </si>
  <si>
    <t>Pipe Insulation - DHW Medium 1.25-2"</t>
  </si>
  <si>
    <t>Programmable</t>
  </si>
  <si>
    <t>5.3.13</t>
  </si>
  <si>
    <t>Per CFM reduction</t>
  </si>
  <si>
    <t>Plan Net-to-Gross Values</t>
  </si>
  <si>
    <t>Plan Adjusted Net-to Gross Values</t>
  </si>
  <si>
    <t>Recommended Deemed Net-to Gross Values</t>
  </si>
  <si>
    <t>Column added by AEG</t>
  </si>
  <si>
    <t>Table 1.3: Summary of Measure Revisions</t>
  </si>
  <si>
    <t>Volume</t>
  </si>
  <si>
    <t>End Use</t>
  </si>
  <si>
    <t>Section</t>
  </si>
  <si>
    <t>Measure Name</t>
  </si>
  <si>
    <t>Change Type</t>
  </si>
  <si>
    <t>Explanation</t>
  </si>
  <si>
    <t>Impact on Savings</t>
  </si>
  <si>
    <t>Impact on Savings (T/F)</t>
  </si>
  <si>
    <t>Overall Measure Impact (T/F)</t>
  </si>
  <si>
    <t>Portfolio Measure (T/F)</t>
  </si>
  <si>
    <t>Portfolio Errata (T/F)</t>
  </si>
  <si>
    <t>Portfolio Revision (T/F)</t>
  </si>
  <si>
    <t>Adjusted (T/F)</t>
  </si>
  <si>
    <t>Notes</t>
  </si>
  <si>
    <t>Reference</t>
  </si>
  <si>
    <t>Link</t>
  </si>
  <si>
    <t>Volume 1: Overview</t>
  </si>
  <si>
    <t>N/A</t>
  </si>
  <si>
    <t>Revision</t>
  </si>
  <si>
    <t>New</t>
  </si>
  <si>
    <t>New measure</t>
  </si>
  <si>
    <t>Increase</t>
  </si>
  <si>
    <t>4.2.7 ENERGY STAR Fryer</t>
  </si>
  <si>
    <t>Dependent on inputs</t>
  </si>
  <si>
    <t>4.3.1 Water Heater</t>
  </si>
  <si>
    <t>Errata</t>
  </si>
  <si>
    <t>Decrease</t>
  </si>
  <si>
    <t>4.3.7 Multifamily Central Domestic Hot Water Plants</t>
  </si>
  <si>
    <t>4.3.8 Controls for Central Domestic Hot Water</t>
  </si>
  <si>
    <t>4.4.9 Air and Water Source Heat Pump Systems</t>
  </si>
  <si>
    <t>4.4.10 High Efficiency Boiler</t>
  </si>
  <si>
    <t>4.4.11 High Efficiency Furnace</t>
  </si>
  <si>
    <t>4.4.15 Single-Package and Split System Unitary Air Conditioners</t>
  </si>
  <si>
    <t>4.4.16 Steam Trap Replacement or Repair</t>
  </si>
  <si>
    <t>4.4.26 Variable Speed Drives for HVAC Supply and Return Fans</t>
  </si>
  <si>
    <t>4.4.44 Commercial Ground Source and Ground Water Source Heat Pump</t>
  </si>
  <si>
    <t>4.4.48 Small Commercial Thermostats</t>
  </si>
  <si>
    <t>4.4.55 Commercial Gas Heat Pump</t>
  </si>
  <si>
    <t>4.5.4 LED Bulbs and Fixtures</t>
  </si>
  <si>
    <t>4.5.7 Lighting Power Density</t>
  </si>
  <si>
    <t>4.8.2 Roof Insulation for C&amp;I Facilities</t>
  </si>
  <si>
    <t>4.8.23 Lithium Ion Forklift Batteries</t>
  </si>
  <si>
    <t>5.3.2 Boiler Pipe Insulation</t>
  </si>
  <si>
    <t>5.3.4 Duct Insulation and Sealing</t>
  </si>
  <si>
    <t>5.3.5 Furnace Blower Motor</t>
  </si>
  <si>
    <t>5.3.6 Gas High Efficiency Boiler</t>
  </si>
  <si>
    <t>5.3.8 Ground Source Heat Pump</t>
  </si>
  <si>
    <t>5.3.12 Ductless Heat Pumps</t>
  </si>
  <si>
    <t>5.3.16 Advanced Thermostats</t>
  </si>
  <si>
    <t>5.4.1 Domestic Hot Water Pipe Insulation</t>
  </si>
  <si>
    <t>5.4.3 Heat Pump Water Heaters</t>
  </si>
  <si>
    <t>5.4.4 Low Flow Faucet Aerators</t>
  </si>
  <si>
    <t>5.5.6 LED Specialty Lamps</t>
  </si>
  <si>
    <t>5.5.8 LED Screw Based Omnidirectional Bulbs</t>
  </si>
  <si>
    <t>5.5.9 LED Fixtures</t>
  </si>
  <si>
    <t>5.6.1 Air Sealing</t>
  </si>
  <si>
    <t>5.6.3 Floor Insulation Above Crawlspace</t>
  </si>
  <si>
    <t>5.6.4 Wall Insulation</t>
  </si>
  <si>
    <t>5.6.5 Ceiling/Attic Insulation</t>
  </si>
  <si>
    <t>5.6.6 Rim/Band Joist Insulation</t>
  </si>
  <si>
    <t>updated value from 90% to 100%</t>
  </si>
  <si>
    <t>added attribute, default value</t>
  </si>
  <si>
    <t>updated calculation</t>
  </si>
  <si>
    <t>Baseline Daily Preheat Energy</t>
  </si>
  <si>
    <t>Efficient Daily Preheat Energy</t>
  </si>
  <si>
    <t>assumed unknown, updated from 54.1 to 50.7</t>
  </si>
  <si>
    <t>Updated value from 0.0058 to 0.0063</t>
  </si>
  <si>
    <t>Bathroom, updated value from 0.00397 to 0.0044</t>
  </si>
  <si>
    <t>Kitchen, updated value from 0.00484 to 0.0053</t>
  </si>
  <si>
    <t>Health, updated value from 0.00695 to 0.0074</t>
  </si>
  <si>
    <t>Assumed Indoor tank location, semi-heated; updated value from 0.60 to 0.84</t>
  </si>
  <si>
    <t>unknown Chicago value</t>
  </si>
  <si>
    <t>updated based on algorithm provided</t>
  </si>
  <si>
    <t>%ElectricHeat</t>
  </si>
  <si>
    <t>assumed gas heat</t>
  </si>
  <si>
    <t>BAF</t>
  </si>
  <si>
    <t>unknown baseline</t>
  </si>
  <si>
    <t>updated algorithm</t>
  </si>
  <si>
    <t>Inside Circumference of Pipe</t>
  </si>
  <si>
    <t>Effective Length of Pipe</t>
  </si>
  <si>
    <t>updated value from 0.82 to 0.84</t>
  </si>
  <si>
    <t>Assumed Gas Hot Water Heater, Unit= 1 ft; updated algorithm</t>
  </si>
  <si>
    <t>Assumed 1 for a bare pipe.; assumed 3/4" copper pipe value</t>
  </si>
  <si>
    <t>Assumed 0.75" value</t>
  </si>
  <si>
    <t>Assumed Gas Hot Water Heater, Unit= 3 ft; updated equation</t>
  </si>
  <si>
    <t>Assumed Gas Hot Water Heater, 1 ft; updated equation</t>
  </si>
  <si>
    <t>updated value from 54 to 50.7</t>
  </si>
  <si>
    <t>Single Family; updated value from 0.00501 to 0.0054</t>
  </si>
  <si>
    <t>Single Family; updated value from 0.00583 to 0.0063</t>
  </si>
  <si>
    <t>%GasHeat</t>
  </si>
  <si>
    <t>Unit= CFM_50; updated to include %GasHeat</t>
  </si>
  <si>
    <t>Unit= CFM_50, Assumed Furnace not boiler; updated to include %GasHeat</t>
  </si>
  <si>
    <t>updated to include %GasHeat</t>
  </si>
  <si>
    <t>Assumed Furnace not boiler; updated to include %GasHeat</t>
  </si>
  <si>
    <t>Default baseline; updated value from 76.5% to 68%</t>
  </si>
  <si>
    <t>updated based on incoming water temp</t>
  </si>
  <si>
    <t>manual baseline</t>
  </si>
  <si>
    <t>Circumference = Diameter*π</t>
  </si>
  <si>
    <t>Diameter and 3/8" foam on both sides</t>
  </si>
  <si>
    <t>Assumed 1 for a bare pipe.; updated to 3/4" copper pipe assumption</t>
  </si>
  <si>
    <t>assumed 0.75" pipe value</t>
  </si>
  <si>
    <t>dimensions from example with 0.75" pipe assumption</t>
  </si>
  <si>
    <t>Assumed 1 ft, resulting in the same therm/ft as deemed value with lower R value</t>
  </si>
  <si>
    <t>assume bath</t>
  </si>
  <si>
    <t>area of 1 sqft</t>
  </si>
  <si>
    <t>therm/sqft</t>
  </si>
  <si>
    <t>kBtu</t>
  </si>
  <si>
    <t>assumes delivery is not through kit</t>
  </si>
  <si>
    <t>%FossilHeat</t>
  </si>
  <si>
    <t>assumes direct install delivery</t>
  </si>
  <si>
    <t>assumes gas heating requirement for rebate offering</t>
  </si>
  <si>
    <t>North Shore Gas</t>
  </si>
  <si>
    <t>Location not specified - Commercial. Updated from 0.15 to 0.77.</t>
  </si>
  <si>
    <t>2019 Process Evaluation Report, same as IL TRM v10</t>
  </si>
  <si>
    <t>multifamily low-pressure steam boilers</t>
  </si>
  <si>
    <t>4.2.1 Combination Oven</t>
  </si>
  <si>
    <t>4.2.5 ENERGY STAR Convection Oven</t>
  </si>
  <si>
    <t>CI-HVC-PBTU-V07-230101</t>
  </si>
  <si>
    <t>CI-MSC-MODD-V02-230101</t>
  </si>
  <si>
    <t>5.4.5 Low Flow Showerheads</t>
  </si>
  <si>
    <t>Remaining:</t>
  </si>
  <si>
    <t>Retired</t>
  </si>
  <si>
    <t>4.1.5 Fan Thermostat Controller</t>
  </si>
  <si>
    <t>4.2.3 Steam Cooker</t>
  </si>
  <si>
    <t>4.2.8 ENERGY STAR Griddle</t>
  </si>
  <si>
    <t>4.2.16 Kitchen Demand Ventilation Controls</t>
  </si>
  <si>
    <t>CI-HWE-LFSH-V09-230101</t>
  </si>
  <si>
    <t>4.3.4 Commercial Pool Covers</t>
  </si>
  <si>
    <t>CI-HVC-CUHT-V03-230101</t>
  </si>
  <si>
    <t>4.4.6 Electric Chiller</t>
  </si>
  <si>
    <t>CI-HVC-IRHT-V03-230101</t>
  </si>
  <si>
    <t>CI-HVC-PINS-V08-230101</t>
  </si>
  <si>
    <t>4.4.17 Variable Speed Drives for HVAC Pumps and Cooling Tower Fans</t>
  </si>
  <si>
    <t>4.4.27 Energy Recovery Ventilator</t>
  </si>
  <si>
    <t>4.4.33 Industrial Air Curtain</t>
  </si>
  <si>
    <t>4.4.34 Destratification Fan</t>
  </si>
  <si>
    <t>4.4.37 Unitary HVAC Condensing Furnace</t>
  </si>
  <si>
    <t>CI-HVC-CRAC-V03-230101</t>
  </si>
  <si>
    <t>4.4.50 Electric Chillers with Integrated Controls</t>
  </si>
  <si>
    <t>4.4.59 Ductless Heat Pump</t>
  </si>
  <si>
    <t>4.8.7 Advanced Power Strip – Tier 1 Commercial</t>
  </si>
  <si>
    <t>4.8.13 Variable Speed Drives for Process Fans</t>
  </si>
  <si>
    <t>4.8.27 C&amp;I Air Sealing</t>
  </si>
  <si>
    <t>4.8.30 Commercial Wall Insulation</t>
  </si>
  <si>
    <t>5.1.5 ENERGY STAR Freezer</t>
  </si>
  <si>
    <t>5.1.9 Room Air Conditioner Recycling</t>
  </si>
  <si>
    <t>5.1.10 ENERGY STAR Clothes Dryer</t>
  </si>
  <si>
    <t>5.1.14 Residential Induction Cooktop</t>
  </si>
  <si>
    <t>5.3.1 Centrally Ducted Air Source Heat Pump</t>
  </si>
  <si>
    <t>5.3.3 Central Air Conditioning</t>
  </si>
  <si>
    <t>RS-HVC-FTUN-V07-230101</t>
  </si>
  <si>
    <t>RS-HWE-TRVA-V07-230101</t>
  </si>
  <si>
    <t>RS-DHW-SHTM-V05-230101</t>
  </si>
  <si>
    <t>5.5.10 Holiday String Lighting</t>
  </si>
  <si>
    <t>5.5.12 Connected LED Lamps</t>
  </si>
  <si>
    <t>5.6.2  Basement Sidewall Insulation</t>
  </si>
  <si>
    <t>5.6.9 Insulated Cellular Shades</t>
  </si>
  <si>
    <t>5.7.5 Tree Planting</t>
  </si>
  <si>
    <t>Reduction to measure in-service rates.</t>
  </si>
  <si>
    <t>Measure in-service rates, DHW circulation system inputs.</t>
  </si>
  <si>
    <t>C&amp;I space heating and industrial/process low pressure steam traps.</t>
  </si>
  <si>
    <t>Combination and convection oven inputs and assumptions.</t>
  </si>
  <si>
    <t>PreheatBaseGas</t>
  </si>
  <si>
    <t>&gt;= 15 pan capacity</t>
  </si>
  <si>
    <t>PreheatEEGas</t>
  </si>
  <si>
    <t>2023 Adjusted Goal (v10)</t>
  </si>
  <si>
    <t>2023 Adjusted Goal (v11)</t>
  </si>
  <si>
    <t>Grand Total</t>
  </si>
  <si>
    <t>Sum of 2023 v11 - 2023 v10</t>
  </si>
  <si>
    <t>Franklin Data, 8-10-20 IL kits calculator V3.xlsx</t>
  </si>
  <si>
    <t>CI-HVC-HTHV-V02-230101</t>
  </si>
  <si>
    <t>CI-HVC-LBC-V06-220101</t>
  </si>
  <si>
    <t>CI-HVC-SBAC-V03-230101</t>
  </si>
  <si>
    <t>CI-HWE-OZLD-V07-230101</t>
  </si>
  <si>
    <t>RS-HVC-PROG-V08-220101</t>
  </si>
  <si>
    <t>Unknown Building Type, assumed 55 gal</t>
  </si>
  <si>
    <t>Industrial/Process Low Pressure: psig &lt; 15</t>
  </si>
  <si>
    <t>Multifamily LPS Space Heating</t>
  </si>
  <si>
    <t>Commercial Space Heating (including Multifamily) LPS</t>
  </si>
  <si>
    <t>Commercial Heating (including Multifamily) LPS</t>
  </si>
  <si>
    <t>Sum of V11-V10 2023</t>
  </si>
  <si>
    <t>Business Total</t>
  </si>
  <si>
    <t>Research &amp; Development (Emerging Technologies) Total</t>
  </si>
  <si>
    <t>Residential Total</t>
  </si>
  <si>
    <t>Income Eligible Total</t>
  </si>
  <si>
    <t>Sum of V10-V9 2023</t>
  </si>
  <si>
    <t>v12 Revisions</t>
  </si>
  <si>
    <t>Complete</t>
  </si>
  <si>
    <t>Volume 2 – Commercial and Industrial Measures</t>
  </si>
  <si>
    <t>Food Service Equipment</t>
  </si>
  <si>
    <t>4.2.4 Conveyor Oven</t>
  </si>
  <si>
    <t>CI-FSE-CVOV-V03-240101</t>
  </si>
  <si>
    <t>Measure updated from entirely deemed savings to algorithmic approach. Update to measure life and incremental cost.</t>
  </si>
  <si>
    <t>CI-FSE-ESCV-V04-230101</t>
  </si>
  <si>
    <t>Added savings associated with pre heat which were inadvertently not included when electric and gas measures were combined.</t>
  </si>
  <si>
    <t>CI-FSE-IROV-V04-240101</t>
  </si>
  <si>
    <t>Split annual hours in to days * hours/day</t>
  </si>
  <si>
    <t>4.2.14 Infrared Salamander Broiler</t>
  </si>
  <si>
    <t>CI-FSE-IRBL-V03-240101</t>
  </si>
  <si>
    <t>4.2.15 Infrared Upright
Broiler</t>
  </si>
  <si>
    <t>CI-FSE-IRUB-V03-240101</t>
  </si>
  <si>
    <t>4.2.18 Rack Oven - Double Oven</t>
  </si>
  <si>
    <t>CI-FSE-RKOV-V03-240101</t>
  </si>
  <si>
    <t>Updates to efficient and baseline criteria. Algorithm adjusted to account for additional inputs.</t>
  </si>
  <si>
    <t>Hot Water</t>
  </si>
  <si>
    <t>CI-HWE-CDHW-V05- 230101</t>
  </si>
  <si>
    <t>Between version 10 and 11, assumptions for the reduction in operating hours for normal and low occupancy were incorrectly switched between multi family and dormitories.</t>
  </si>
  <si>
    <t>HVAC</t>
  </si>
  <si>
    <t>CI-HVC-BOIL-V11-240101</t>
  </si>
  <si>
    <t>Adoption of new federal standard as baseline. Additional capacity ranges added. Language update to reflect IECC 2021 not yet being effective but expected late 2023.</t>
  </si>
  <si>
    <t>CI-HVC-FRNC-V13-240101</t>
  </si>
  <si>
    <t>Adoption of new federal standard as baseline. Clarification on costs. Set minimum Early Replacement efficiencies removed.</t>
  </si>
  <si>
    <t>CI-HVC-ERVE-V06-240101</t>
  </si>
  <si>
    <t>Design Day temperature values updated weather station data and to be consistent with insulation measure. Language update to reflect IECC 2021 not yet being effective but expected late 2023.</t>
  </si>
  <si>
    <t>Volume 3 – Residential Measures</t>
  </si>
  <si>
    <t>RS-HVC-PINS-V07-240101</t>
  </si>
  <si>
    <t>Full Load Hours updated based on NCDC Annual Normals 15 yr (2006 - 2020).</t>
  </si>
  <si>
    <t>RS-HVC-DINS-V12-240101</t>
  </si>
  <si>
    <t>Updates to accommodate advanced sealing applications and materials.  Addition of Pressurized Duct Test as evaluation option. Unknown HP efficiency assumption added. Full Load Hours updated based on NCDC Annual Normals 15 yr (2006 - 2020).</t>
  </si>
  <si>
    <t>RS-HVC-GHEB-V11- 240101</t>
  </si>
  <si>
    <t>Efficient criteria to be determined by the program, however ENERGY STAR specifications maintained for reference.</t>
  </si>
  <si>
    <t>5.4.2 Gas Water Heater</t>
  </si>
  <si>
    <t>RS-HWE-GWHT-V11- 240101</t>
  </si>
  <si>
    <t>Updates to ENERGY STAR specification v5.0 and associated savings estimates. Updates to measure life. Updates to measure cost.</t>
  </si>
  <si>
    <t>5.4.6 Water Heater Temperature Setback</t>
  </si>
  <si>
    <t>RS-HWE-TMPS-V09- 240101</t>
  </si>
  <si>
    <t>Updates to pre and post temperatures for distributed efficiency kits</t>
  </si>
  <si>
    <t>Shell</t>
  </si>
  <si>
    <t>RS-SHL-AIRS-V13-240101</t>
  </si>
  <si>
    <t>Addition of multifamily and PJM heat pump coincidence factors. Interactive effects clarification.  Unknown HP efficiency assumption added. ISR for Opt-In Weatherization Kits updated to reflect “future install” participants. Prescriptive cooling assumptions updated using methodology matching the Rx heating. Full Load Hours and CDD/HDD assumptions updated based on NCDC Annual Normals 15 yr (2006 - 2020). Shell Adjustment Factors updated to bring resultant savings back to the evaluation determined best estimate.</t>
  </si>
  <si>
    <t>RS-SHL-BINS-V14-240101</t>
  </si>
  <si>
    <t>Update to measure life to 30 years. Addition of multifamily and PJM heat pump coincidence factors. Interactive effects clarification. Full Load Hours and CDD/HDD assumptions  updated based on NCDC Annual Normals 15 yr (2006 - 2020). Shell Adjustment Factors updated to bring resultant savings back to the evaluation determined best estimate.</t>
  </si>
  <si>
    <t>RS-SHL-FINS-V15-240101</t>
  </si>
  <si>
    <t>RS-SHL-WINS-V13-240101</t>
  </si>
  <si>
    <t>RS-SHL-AINS-V07-240101</t>
  </si>
  <si>
    <t>RS-SHL-RINS-V06-240101</t>
  </si>
  <si>
    <t>Note added that where new HVAC installed at same time as shell measures, the old HVAC unit efficiency should be used (pending further guidance from SAG and discussion)</t>
  </si>
  <si>
    <t>1.1 Acknowledgements</t>
  </si>
  <si>
    <t>Updates to list of TAC/SAG stakeholders</t>
  </si>
  <si>
    <t>1.3 Enabling ICC Policy</t>
  </si>
  <si>
    <t>1.4 Development Process</t>
  </si>
  <si>
    <t>Addition of ICC Docket Numbers</t>
  </si>
  <si>
    <t>2.3 Program Delivery &amp; Baseline Definitions</t>
  </si>
  <si>
    <t>Updates to language on early replacement, specifically specifying that program influence should be captured through the NTG ratio.</t>
  </si>
  <si>
    <t>3.3.2 Early Replacement Baseline Assumptions</t>
  </si>
  <si>
    <t>Removal of maximum HVAC efficiency ratings for classification as early replacement – and specifying that decision should be made by the programs.</t>
  </si>
  <si>
    <t>3.9 Heating and Cooling Degree-Day Data</t>
  </si>
  <si>
    <t>Fixing v11 CDD55 values for Zone 2 – Chicago, Zone 4 – Belleville and Zone 5 – Marion, and State Average.</t>
  </si>
  <si>
    <t>HDD/CDD assumptions updated for v12 based upon NCDC 15 year climate normals (2006-2020). All hourly modeling applications will use TMYx data (2007-2021)</t>
  </si>
  <si>
    <t>3.11 Discount Rates, Inflation Rates, and O&amp;M Costs</t>
  </si>
  <si>
    <t>Addition of language to specify policy on timing of when updates can be made.</t>
  </si>
  <si>
    <t>3.12 Interactive Effects</t>
  </si>
  <si>
    <t>Edits to clarify that interactive effects should be handled sequentially in accordance with best practice with respect to building science, with example for Shell and HVAC upgrade calculations provided.</t>
  </si>
  <si>
    <t>Agricultural</t>
  </si>
  <si>
    <t>4.1.1 Engine Block Timer for Agricultural Equipment</t>
  </si>
  <si>
    <t>CI-AGE-EBLT-V03-240101</t>
  </si>
  <si>
    <t>UseSeason variable now dependent on climate zone, utilizing TMYx data.</t>
  </si>
  <si>
    <t>4.1.2 High Volume Low Speed Fans</t>
  </si>
  <si>
    <t>CI-AGE-HVSF-V03-240101</t>
  </si>
  <si>
    <t>Update to incremental cost.
Measure updated from entirely deemed savings to algorithmic approach with defaults provided.</t>
  </si>
  <si>
    <t>4.1.3 High Speed Fans</t>
  </si>
  <si>
    <t>CI-AGE-HSF-V03-240101</t>
  </si>
  <si>
    <t>Measure updated from entirely deemed savings to algorithmic approach with defaults provided. Incremental cost and lifetime updates.</t>
  </si>
  <si>
    <t>4.1.4 Livestock Waterer</t>
  </si>
  <si>
    <t>CI-AGE-LSW1-V04-240101</t>
  </si>
  <si>
    <t>Measure updated from entirely deemed savings to algorithmic approach with defaults provided. Added retrofit scenario.
Update to measure cost.</t>
  </si>
  <si>
    <t>CI-AGE-FNTC-V03-240101</t>
  </si>
  <si>
    <t>Hours of operation variable updated utilizing NCDC Hourly Normals 15 yr (2006 - 2020).</t>
  </si>
  <si>
    <t>4.1.9 Scroll Compressor for Dairy Refrigeration</t>
  </si>
  <si>
    <t>CI-AGE-SCRC-V02-240101</t>
  </si>
  <si>
    <t>Update to incremental costs.</t>
  </si>
  <si>
    <t>4.1.10 Dairy Refrigeration
Heat Recovery</t>
  </si>
  <si>
    <t>CI-AGE-DRHR-V02-240101</t>
  </si>
  <si>
    <t>Addition of Fossil Fuel algorithm</t>
  </si>
  <si>
    <t>4.1.12 Swine Heat Pads</t>
  </si>
  <si>
    <t>CI-AGE-HPAD-V02-240101</t>
  </si>
  <si>
    <t>Update to incremental and O&amp;M costs. Addition of savings from temperature controllers. Updates to default wattage assumptions and associated default savings.</t>
  </si>
  <si>
    <t>4.1.19 ENERGY STAR Dairy
Water Heater</t>
  </si>
  <si>
    <t>CI-AGE-ESWH-V03- 240101</t>
  </si>
  <si>
    <t>Language update to reflect IECC 2021 not yet being effective but expected late 2023.</t>
  </si>
  <si>
    <t>4.1.20 Commercial Electric Lawn Mower</t>
  </si>
  <si>
    <t>CI-AGE-CELM-V01-240101</t>
  </si>
  <si>
    <t>CI-FSE-CBOV-V04-230101</t>
  </si>
  <si>
    <t>Added ‘* 1000’ to ElecIDLESteamEE algorithm for 3-4 Pan capacity in order to calculate watts rather than kW.</t>
  </si>
  <si>
    <t>CI-FSE-CBOV-V05-240101</t>
  </si>
  <si>
    <t>Addition of actual option for inputs in addition to defaults. Addition of default costs – for use with midstream scenarios.</t>
  </si>
  <si>
    <t>4.2.2 Commercial Solid and
Glass Door Refrigerators &amp; Freezers</t>
  </si>
  <si>
    <t>CI-FSE-CSDO-V03-240101</t>
  </si>
  <si>
    <t>ENERGY STAR version 5.0 update. Updates to incremental costs. Allowing actual efficiency values.</t>
  </si>
  <si>
    <t>CI-FSE-STMC-V07-240101</t>
  </si>
  <si>
    <t>Addition of actual option for inputs in addition to defaults. Addition of 10-pan units. Measure costs updated</t>
  </si>
  <si>
    <t>Addition of preheat energy savings in algorithm.</t>
  </si>
  <si>
    <t>CI-FSE-ESCV-V05-240101</t>
  </si>
  <si>
    <t>Measure costs updated to provide base and efficient costs for electric and fossil fuel units.</t>
  </si>
  <si>
    <t>4.2.6 ENERGY STAR Dishwasher</t>
  </si>
  <si>
    <t>CI-FSE-ESDW-V07-240101</t>
  </si>
  <si>
    <t>Addition of fuel switch scenario from ‘High Temp Dishwasher with an Electric Booster Heater and a Gas Building Heater’ to ‘High Temp Heat Recovery Dishwasher with an Electric Booster Heater and no associated Building Heater energy usage’.</t>
  </si>
  <si>
    <t>CI-FSE-ESFR-V05-240101</t>
  </si>
  <si>
    <t>Addition of actual option for inputs in addition to defaults.</t>
  </si>
  <si>
    <t>CI-FSE-ESGR-V06-240101</t>
  </si>
  <si>
    <t>Summer Coincident Peak Demand Savings section edited to use actual kWh impacts (as opposed to the kWh equivalent savings).</t>
  </si>
  <si>
    <t>4.2.10 Ice Maker</t>
  </si>
  <si>
    <t>CI-FSE-ESIM-V07-240101</t>
  </si>
  <si>
    <t>Split annual hours in to days * hours/day ; savings remain the same</t>
  </si>
  <si>
    <t>CI-FSE-VENT-V06-240101</t>
  </si>
  <si>
    <t>Updates to kWh per HP, and default HP based on more recent Sourthern California Edison Workpaper.</t>
  </si>
  <si>
    <t>4.2.23 Electric Deck Oven</t>
  </si>
  <si>
    <t>CI-FSE-EDOV-V01-240101</t>
  </si>
  <si>
    <t>4.2.24 Gas and Electric Pressure Fryers</t>
  </si>
  <si>
    <t>4.2.25 Efficient Cooktop</t>
  </si>
  <si>
    <t>CI-FSE-INDC-V01-240101</t>
  </si>
  <si>
    <t>CI-HWE-STWH-V10- 240101</t>
  </si>
  <si>
    <t>n/a - language only.</t>
  </si>
  <si>
    <t>4.3.3 Low Flow Faucet Aerators</t>
  </si>
  <si>
    <t>CI-HWE-LFFA-V12-240101</t>
  </si>
  <si>
    <t>Removal of GPM specs in baseline language.</t>
  </si>
  <si>
    <t>CI-HWE-PLCV-V05-240101</t>
  </si>
  <si>
    <t>CI-HWE-MDHW-V07- 240101</t>
  </si>
  <si>
    <t>Updated reduction(%) in total operating hours for normal and low occupancy period.</t>
  </si>
  <si>
    <t>CI-HWE-CDHW-V06- 240101</t>
  </si>
  <si>
    <t>4.3.9 Heat Recovery Grease Trap Filter</t>
  </si>
  <si>
    <t>CI-HWE-GRTF-V03-230101</t>
  </si>
  <si>
    <t>Fixing conversion from BTU to kWh: 0.000293 kWh/BTU not 0.00293 kWh/BTU</t>
  </si>
  <si>
    <t>4.3.13 Tankless Water Heater Array</t>
  </si>
  <si>
    <t>CI-HWE-TWHA-V01- 240101</t>
  </si>
  <si>
    <t>CI-HVC-CHIL-V09-240101</t>
  </si>
  <si>
    <t>Consolidated measure with ‘4.4.50 Electric Chillers with Integrated Controls’. Enhanced electric energy savings calculation added to include a comparison of a baseline chiller to a proposed chiller using NPLV efficiency that has been adjusted to actual Illinois conditions, rather than national averages.</t>
  </si>
  <si>
    <t>CI-HVC-HPSY-V11-240101</t>
  </si>
  <si>
    <t>Update to new ratings throughout. Added single phase specifications and updated effective date of the 3-phase to 1/1/2025. Removal of SEERadj/HSPFadj factor now new ratings are utilized. Addition of blended baseline HSPF2 value when unknown</t>
  </si>
  <si>
    <t>CI-HVC-SPUA-V10-240101</t>
  </si>
  <si>
    <t>Adoption of new federal standard as baseline.  Language update to reflect IECC 2021 not yet being effective but expected late 2023.</t>
  </si>
  <si>
    <t>CI-HVC-STRE-V10-240101</t>
  </si>
  <si>
    <t>Clarification that actual costs should be used and include survey and installation costs, and that the default costs provided are for trap cost only.</t>
  </si>
  <si>
    <t>n/a - costs only.</t>
  </si>
  <si>
    <t>CI-HVC-VSDHP-V10- 240101</t>
  </si>
  <si>
    <t>4.4.19 Demand Controlled Ventilation</t>
  </si>
  <si>
    <t>CI-HVC-DCV-V07-240101</t>
  </si>
  <si>
    <t>Update to code minimum OA assumption. Updates to measure costs.</t>
  </si>
  <si>
    <t>n/a - language and costs.</t>
  </si>
  <si>
    <t>CI-HVC-VSDF-V09-240101</t>
  </si>
  <si>
    <t>Updated temperature on design day of outside air.</t>
  </si>
  <si>
    <t>CI-HVC-AIRC-V06-240101</t>
  </si>
  <si>
    <t>CI-HVC-DSFN-V07-240101</t>
  </si>
  <si>
    <t>CI-HVC-DSFN-V05-240101</t>
  </si>
  <si>
    <t>Adoption of new federal standard as baseline. HDD updated and savings tables updated after modeling with new TMYx data.</t>
  </si>
  <si>
    <t>CI-HVC-GSHP-V08-240101</t>
  </si>
  <si>
    <t>Language update to reflect IECC 2021 not yet being effective but expected late 2023. Update to efficiency factors to SEER2/EER2/HSPF2.</t>
  </si>
  <si>
    <t>4.4.47 Air Deflectors for Unit Ventilators – PROVISIONAL MEASURE</t>
  </si>
  <si>
    <t>Measure removed. Evaluation results were inconclusive and implementation challenges make this not a viable measure at this time.</t>
  </si>
  <si>
    <t>CI-HVC-THST-V06-240101</t>
  </si>
  <si>
    <t>Addition of blended baseline HSPF2 value when unknown. Update to SEER2/EER2/HSPF2</t>
  </si>
  <si>
    <t>Measure removed and combined with 4.4.6 Chillers</t>
  </si>
  <si>
    <t>4.4.51 Advanced Rooftop Controls</t>
  </si>
  <si>
    <t>CI-HVC-HSRM-V04- 240101</t>
  </si>
  <si>
    <t>4.4.53 HVAC Supply, Return and Exhaust Fans – Fan
Energy Index</t>
  </si>
  <si>
    <t>CI-HVC-FFEI-V03-240101</t>
  </si>
  <si>
    <t>4.4.54 Process Heating</t>
  </si>
  <si>
    <t>CI-HVC-PHBO-V03-240101</t>
  </si>
  <si>
    <t>CI-HVC-GFHP-V03-240101</t>
  </si>
  <si>
    <t>CI-HVC-DHP-V2-240101</t>
  </si>
  <si>
    <t>Update to new efficiency ratings and conversions. Set minimum Early Replacement efficiencies removed to be determined by program.</t>
  </si>
  <si>
    <t>4.4.60 PROVISIONAL Variable
Refrigerant Flow HVAC System</t>
  </si>
  <si>
    <t>CI-HVC-VFFY-V2-230101</t>
  </si>
  <si>
    <t>Fix error in HPSiteCoolingImpact algorithm to correctly convert to MMBtu</t>
  </si>
  <si>
    <t>CI-HVC-VFFY-V3-240101</t>
  </si>
  <si>
    <t>Update to baseline specifications.  Update to incremental costs. Adjustment factors appliet to savings calculation. Algorithms updated to separate savings from system switch and from efficiency improvement. Provisional status removed</t>
  </si>
  <si>
    <t>4.4.63 Boiler Blowdown Heat
Recovery</t>
  </si>
  <si>
    <t>CI-HVC-BBHR-V01-240101</t>
  </si>
  <si>
    <t>4.4.64 Steam Vent Condensers</t>
  </si>
  <si>
    <t>CI-HVC-STVC-V01-240101</t>
  </si>
  <si>
    <t>Lighting</t>
  </si>
  <si>
    <t>CI-LTG-LEDB-V16-230101</t>
  </si>
  <si>
    <t>Added column to lamp tables to indicate which are impacted by EISA backstop. Added distinction in measure life section for common area lighting in Income Qualified multi family applications to align with the Residential IQ 8 year assumption.</t>
  </si>
  <si>
    <t>CI-LTG-LEDB-V17-240101</t>
  </si>
  <si>
    <t>Removed discussion of screw based lamp except for in IQ common areas or direct install. Addition of leakage rate for bulbs. Updated default LED wattages based on updated DLC specifications. Removal of EISA Inc as baseline for AG Fixtures. Update of incremental cost assumptions for LED Exterior and High and Low Bay categories. Addition of Mogul LED lamp assumptions.  Updated lifetime assumptions for exterior fixtures.</t>
  </si>
  <si>
    <t>CI-LTG-LPDE-V09-240101</t>
  </si>
  <si>
    <t>4.5.8 Miscellaneous Commercial / Industrial
Lighting</t>
  </si>
  <si>
    <t>CI-LTG-MSCI-V05-240101</t>
  </si>
  <si>
    <t>Updated lifetime assumptions for exterior fixtures.</t>
  </si>
  <si>
    <t>4.5.10 Lighting Controls</t>
  </si>
  <si>
    <t>CI-LTG-OSLC-V08-240101</t>
  </si>
  <si>
    <t>Additional language on eligibility requirements when non-DLC listed. Addition of Exterior Networked Lighting Control assumptions.</t>
  </si>
  <si>
    <t>4.5.18 Ultra-Efficient LED
Lighting</t>
  </si>
  <si>
    <t>CI-LTG-ULED-V01-240101</t>
  </si>
  <si>
    <t>Refrigeration</t>
  </si>
  <si>
    <t>4.6.8 Refrigeration Economizers</t>
  </si>
  <si>
    <t>CI-RFG-ECON-V07-240101</t>
  </si>
  <si>
    <t>Updated kW assumptions and reference materials.</t>
  </si>
  <si>
    <t>4.6.9 Night Covers for Open Refrigerated Display Cases</t>
  </si>
  <si>
    <t>CI-RFG-NCOV-V02-240101</t>
  </si>
  <si>
    <t>Updated reference materials. No change to savings.</t>
  </si>
  <si>
    <t>Compressed Air</t>
  </si>
  <si>
    <t>4.7.6 Vortex Tube Thermostat – Provisional</t>
  </si>
  <si>
    <t>Measure removed. No uptake or evaluation. TAC decision to remove.</t>
  </si>
  <si>
    <t>4.7.13 Compressed Air Leak
Repair</t>
  </si>
  <si>
    <t>CI-CPA-CALR-V01-240101</t>
  </si>
  <si>
    <t>Miscellaneous</t>
  </si>
  <si>
    <t>CI-MSC-RINS-V08-240101</t>
  </si>
  <si>
    <t>Update from average delta T to full load delta T to be consistent with use of EFLH. Language update to reflect IECC 2021 not yet being effective but expected late 2023.</t>
  </si>
  <si>
    <t>4.8.5 High Speed Clothes
Washer</t>
  </si>
  <si>
    <t>CI-MSC-HSCW-V03-
240101</t>
  </si>
  <si>
    <t>CI-MSC-APSC-V05-240101</t>
  </si>
  <si>
    <t>Providing base and efficient cost for use in midstream programs</t>
  </si>
  <si>
    <t>CI-MSC-VSDP-V03-240101</t>
  </si>
  <si>
    <t>CI-MSC-LION-V03-230101</t>
  </si>
  <si>
    <t>Fix to the efficiency terms in the algorithm to reflect that battery capacity values represent output capacities. Added clarity on fuel switch opportunity.  Updates to default savings.</t>
  </si>
  <si>
    <t>CI-MSC-CAIR-V02-230101</t>
  </si>
  <si>
    <t>CDD55 assumptions for Chicago, Belleville and Marion were switched.</t>
  </si>
  <si>
    <t>CI-MSC-CAIR-V03-240101</t>
  </si>
  <si>
    <t>Values updated based on NCDC Annual Normals 15 yr (2006 - 2020).</t>
  </si>
  <si>
    <t>CI-HVC-WINS-V02-230101</t>
  </si>
  <si>
    <t>CI-HVC-WINS-V03-240101</t>
  </si>
  <si>
    <t>Appliances</t>
  </si>
  <si>
    <t>5.1.1 ENERGY STAR Air
Purifier/Cleaner</t>
  </si>
  <si>
    <t>RS-APL-ESAP-V06-240101</t>
  </si>
  <si>
    <t>Measure cost for IQ participants added. Adjustments added for IQ populations to reflect that portion of market will utilize secondary market. IQAdj added to algorithm and IQ deemed savings assumptions added to tables.</t>
  </si>
  <si>
    <t>Increase for IQ
customers</t>
  </si>
  <si>
    <t>5.1.2 ENERGY STAR Clothes
Washer</t>
  </si>
  <si>
    <t>RS-APL-ESCL-V11-240101</t>
  </si>
  <si>
    <t>5.1.3 ENERGY STAR
Dehumidifier</t>
  </si>
  <si>
    <t>RS-APL-ESDH-V10-240101</t>
  </si>
  <si>
    <t>5.1.4 ENERGY STAR
Dishwasher</t>
  </si>
  <si>
    <t>RS-APL-ESDI-V09-240101</t>
  </si>
  <si>
    <t>New ENERGY STAR standard. Deemed savings updated. Measure cost for IQ participants added.  Adjustments added for IQ populations to reflect that portion of market will utilize secondary market. IQAdj added to algorithm and IQ deemed savings assumptions added to tables.</t>
  </si>
  <si>
    <t>RS-APL-ESFR-V05-240101</t>
  </si>
  <si>
    <t>5.1.6 ENERGY STAR and CEE
Tier 2 Refrigerator</t>
  </si>
  <si>
    <t>RS-APL-ESRE-V10-240101</t>
  </si>
  <si>
    <t>5.1.7 ENERGY STAR and CEE
Tier 2 Room Air Conditioner</t>
  </si>
  <si>
    <t>RS-APL-ESRA-V10-240101</t>
  </si>
  <si>
    <t>5.1.8 Refrigerator and Freezer Recycling</t>
  </si>
  <si>
    <t>RS-APL-RFRC-V09-240101</t>
  </si>
  <si>
    <t>HDD and CDD update using NCDC Annual Normals 15 yr (2006 - 2020).</t>
  </si>
  <si>
    <t>RS-APL-RARC-V04-240101</t>
  </si>
  <si>
    <t>RS-APL-ESDR-V06-240101</t>
  </si>
  <si>
    <t>Replacing ΔkWh in the Summer Coincident Peak Demand Savings section with the calculation of actual kWh impacts (as opposed to the kWh equivalent savings). Added clarity in baseline section. Measure cost for IQ participants added.
Adjustments added for IQ populations to reflect that portion of market will utilize secondary market. IQAdj added to algorithm and IQ deemed savings assumptions added to tables.</t>
  </si>
  <si>
    <t>5.1.11 ENERGY STAR Water
Coolers</t>
  </si>
  <si>
    <t>RS-APL-WTCL-V02-240101</t>
  </si>
  <si>
    <t>New ENERGY STAR standard v3.0. Update to incremental cost. Update to baseline and efficient consumption and resultant energy savings. Fix to calculated values for Hot and Cold Water – On Demand.</t>
  </si>
  <si>
    <t>5.1.13 Income Qualified: ENERGY STAR Room Air
Conditioner</t>
  </si>
  <si>
    <t>RS-APL-IQRA-V04-240101</t>
  </si>
  <si>
    <t>RS-MSC-INDC-V02-240101</t>
  </si>
  <si>
    <t>Measure name updated to ‘Residential Induction Cooking Appliances’ and measure now incorporates range upgrades. Addition of heating penalty and cooking savings due to reduced waste heat.</t>
  </si>
  <si>
    <t>5.1.16 Electric Lawn and Garden Equipment</t>
  </si>
  <si>
    <t>RS-APL-ELGE-V01-240101</t>
  </si>
  <si>
    <t>Consumer Electronics</t>
  </si>
  <si>
    <t>5.2.1 Advanced Power Strip –
Tier 1</t>
  </si>
  <si>
    <t>RS-CEL-SSTR-V09-240101</t>
  </si>
  <si>
    <t>Providing base and efficient cost for use in midstream programs.</t>
  </si>
  <si>
    <t>5.2.2 Tier 2 Advanced Power Strips (APS) – Residential Audio Visual</t>
  </si>
  <si>
    <t>RS-CEL-APS2-V06-240101</t>
  </si>
  <si>
    <t>Added baseline equipment cost for use where unknown.</t>
  </si>
  <si>
    <t>5.2.4 Smart Sockets</t>
  </si>
  <si>
    <t>RS-CEL-SSOC-V01-240101</t>
  </si>
  <si>
    <t>RS-HVC-ASHP-V13-230101</t>
  </si>
  <si>
    <t>Addition of baselines for ‘space constrained’ units as per the Federal Standard.</t>
  </si>
  <si>
    <t>RS-HVC-ASHP-V14-240101</t>
  </si>
  <si>
    <t>Combined with 5.3.12 Ductless Heat Pumps. Efficient criteria to be determined by the program. Updates to deemed early replacement rates. Update to new ratings. Removal of SEERadj/HSPFadj factor. Addition of ability to analyze partial displacement scenarios – addition of HeatLoadFactor and PD_Adj. Full Load Hours updated based on NCDC Annual Normals 15 yr (2006 - 2020).</t>
  </si>
  <si>
    <t>Updated full load hours of heating from 1840 to 1726.</t>
  </si>
  <si>
    <t>RS-HVC-CAC1-V11-230101</t>
  </si>
  <si>
    <t>RS-HVC-CAC1-V12-240101</t>
  </si>
  <si>
    <t>Update to new ratings. Removal of SEERadj/HSPFadj factor now new ratings are utilized. Incremental cost update. Full Load Hours updated based on NCDC Annual Normals 15 yr (2006 - 2020).</t>
  </si>
  <si>
    <t>RS-HVC-FBMT-V09- 240101</t>
  </si>
  <si>
    <t>Note added to clarify that motor savings should not be claimed when new HVAC (furnace or CAC) is installed and additional clarification provided for early replacement scenarios.</t>
  </si>
  <si>
    <t>5.3.7 Gas High Efficiency Furnace</t>
  </si>
  <si>
    <t>RS-HVC-GHEF-V13-240101</t>
  </si>
  <si>
    <t>RS-HVC-GSHP-V14- 240101</t>
  </si>
  <si>
    <t>Efficient criteria to be determined by the program, however ENERGY STAR specifications maintained for reference. DGX systems now separate category.</t>
  </si>
  <si>
    <t>5.3.9 High Efficiency Bathroom Exhaust Fan</t>
  </si>
  <si>
    <t>RS-HVC-BAFA-V03-240101</t>
  </si>
  <si>
    <t>Update to incremental cost. Updated savings based on review of available product.</t>
  </si>
  <si>
    <t>5.3.10 HVAC Tune Up (Central Air Conditioning or Air Source Heat Pump)</t>
  </si>
  <si>
    <t>RS-HVC-TUNE-V08- 240101</t>
  </si>
  <si>
    <t>RS-HVC-DHP-V11-230101</t>
  </si>
  <si>
    <t>Measure combined with 5.3.1 Air Source Heat Pump.</t>
  </si>
  <si>
    <t>5.3.14 Boiler Reset Controls</t>
  </si>
  <si>
    <t>RS-HVC-BREC-V04-240101</t>
  </si>
  <si>
    <t>AFUE default provided</t>
  </si>
  <si>
    <t>RS-HVC-ADTH-V09- 240101</t>
  </si>
  <si>
    <t>5.3.20 Residential Energy Recovery Ventilator (ERV)</t>
  </si>
  <si>
    <t>RS-HVC-ERVS-V02-240101</t>
  </si>
  <si>
    <t>Unknown HP efficiency assumption added.</t>
  </si>
  <si>
    <t>5.3.22 High Efficiency Kitchen Exhaust Fans</t>
  </si>
  <si>
    <t>RS-HVC-KEXF-V01-240101</t>
  </si>
  <si>
    <t>RS-HWE-PINS-V07-240101</t>
  </si>
  <si>
    <t>Clarification added in footnote to ISR sources.</t>
  </si>
  <si>
    <t>RS-HWE-HPWH-V13- 240101</t>
  </si>
  <si>
    <t>Defining ΔkWh in the Summer Coincident Peak Demand Savings section to be from electric savings when non-fuel switch, or from Cost Effectiveness section (showing actual kWh increase) for fuel switch scenarios.</t>
  </si>
  <si>
    <t>RS-HWE-LFFA-V13-240101</t>
  </si>
  <si>
    <t>Update to Distributed School Efficiency Kit ISR, incorporating ‘future install’ survey participants.</t>
  </si>
  <si>
    <t>RS-HWE-LFSH-V12- 240101</t>
  </si>
  <si>
    <t>5.4.10 Pool Covers</t>
  </si>
  <si>
    <t>RS-HWE-PLCV-V02-
240101</t>
  </si>
  <si>
    <t>Update to incremental cost.</t>
  </si>
  <si>
    <t>5.4.11 Drainwater Heat Recovery</t>
  </si>
  <si>
    <t>RS-DHW-DWHR-V04- 240101</t>
  </si>
  <si>
    <t>Npersons term replaced with Household and custom entry allowed to be consistent with other measures.</t>
  </si>
  <si>
    <t>RS-LTG-LEDD-V16-230101</t>
  </si>
  <si>
    <t>EISA exempt bulb types (&lt;310 and &gt;3300 lumens) removed from measure.</t>
  </si>
  <si>
    <t>RS-LTG-LEDD-V17-240101</t>
  </si>
  <si>
    <t>Updates to reflect now only applicable for IQ programs or direct install. Removal of new construction assumptions. Unknown HP efficiency assumption added.</t>
  </si>
  <si>
    <t>5.5.7 LED Exit Signs</t>
  </si>
  <si>
    <t>RS-LTG-LEDE-V04-240101</t>
  </si>
  <si>
    <t>RS-LTG-LEDA-V15-230101</t>
  </si>
  <si>
    <t>RS-LTG-LEDA-V16-240101</t>
  </si>
  <si>
    <t>RS-LTG-LDFX-V07-240101</t>
  </si>
  <si>
    <t>Clarification of treatment of desk lamps. Updates to reflect now only applicable for IQ programs or direct install. Removal of new construction assumptions. Unknown HP efficiency assumption added.</t>
  </si>
  <si>
    <t>RS-LTG-LEDH-V04-240101</t>
  </si>
  <si>
    <t>5.5.11 LED Nightlights</t>
  </si>
  <si>
    <t>RS-LTG-NITL-V02-240101</t>
  </si>
  <si>
    <t>RS-LTG-LEDC-V03-240101</t>
  </si>
  <si>
    <t>Addition of heating penalty sections – to be consistent with other lighting measures</t>
  </si>
  <si>
    <t>5.5.13 EISA Exempt LED
Lighting</t>
  </si>
  <si>
    <t>RS-LTG-LEDE-V2-230101</t>
  </si>
  <si>
    <t>EISA exempt decorative and directional bulb types added to measure.</t>
  </si>
  <si>
    <t>RS-LTG-LEDE-V3-240101</t>
  </si>
  <si>
    <t>5.5.14 Ultra-Efficient LED
Lighting</t>
  </si>
  <si>
    <t>RS-LTG-ULED-V1-240101</t>
  </si>
  <si>
    <t>Updated HDD from 5113 to 4798 and shell adjustment factor from 0.72 to 0.76.</t>
  </si>
  <si>
    <t>5.6.7 Low-E Storm Windows</t>
  </si>
  <si>
    <t>RS-SHL-LESW-V03-240101</t>
  </si>
  <si>
    <t>Addition of multifamily and PJM heat pump coincidence factors. Full Load Hours assumptions updated based on NCDC Annual Normals 15 yr (2006 - 2020).</t>
  </si>
  <si>
    <t>5.6.8 High Performance Windows</t>
  </si>
  <si>
    <t>RS-SHL-TTWI-V03-240101</t>
  </si>
  <si>
    <t>Measure name changed from ‘Triple Pane and Thin Triple Windows’ to ‘High Performance Windows’. Update to specifications to align with ENERGY STAR v7.0 and associated update of savings. Updates to measure cost. Modeling outputs updated to use TMYx climate data.
Savings from an additional baseline of a single pane window
provided.</t>
  </si>
  <si>
    <t>RS-SHL-INCS-V02-240101</t>
  </si>
  <si>
    <t>5.6.11 Insulated Concrete
Forms</t>
  </si>
  <si>
    <t>RS-SHL-ICF-V01-240101</t>
  </si>
  <si>
    <t>RS-HVC-TREE-V2-240101</t>
  </si>
  <si>
    <t>Adjustment of maximum distance trees must be planted from buildings to 30 feet. Full Load Hours and CDD/HDD assumptions updated based on NCDC Annual Normals 15 yr (2006 - 2020).</t>
  </si>
  <si>
    <t>Volume 4 – Cross- Cutting Measures and Attachments</t>
  </si>
  <si>
    <t>6.1.1 Attachment B: Effective Useful Life for Custom Measure Guidelines</t>
  </si>
  <si>
    <t>Addition of lifetime assumption for energy savings measures completed by users of the Business Energy Analyzer tool.</t>
  </si>
  <si>
    <t>Old</t>
  </si>
  <si>
    <t>RS-HWE-LFSH-V12-240101</t>
  </si>
  <si>
    <t>CI-MSC-HSCW-V03-240101</t>
  </si>
  <si>
    <t>CI-HWE-TKIN-V03-240101</t>
  </si>
  <si>
    <t>RS-HWE-GWHT-V11-240101</t>
  </si>
  <si>
    <t>CI-HVC-SODP-V03-240101</t>
  </si>
  <si>
    <t>CI-HVC-BLRC-V05-240101</t>
  </si>
  <si>
    <t>RS-HVC-FBMT-V09-240101</t>
  </si>
  <si>
    <t>RS-HWE-TMPS-V09-240101</t>
  </si>
  <si>
    <t>RS-HVC-ADTH-V09-240101</t>
  </si>
  <si>
    <t>RS-HVC-GHEB-V11-240101</t>
  </si>
  <si>
    <t>CI-HWE-MDHW-V07-240101</t>
  </si>
  <si>
    <t>CI-HWE-CDHW-V06-240101</t>
  </si>
  <si>
    <t>CI-FSE-PCOK-V03-240101</t>
  </si>
  <si>
    <t>CI-HWE-GRTF-V04-240101</t>
  </si>
  <si>
    <t>CI-FSE-IRCB-V03-240101</t>
  </si>
  <si>
    <t>CI-FSE-SPRY-V08-220101</t>
  </si>
  <si>
    <t>CI-HWE-STWH-V10-240101</t>
  </si>
  <si>
    <t>Delta_DailyPreheat Energy</t>
  </si>
  <si>
    <t>Calculation</t>
  </si>
  <si>
    <t>PreheatNumber</t>
  </si>
  <si>
    <t>preheats/day</t>
  </si>
  <si>
    <t>unknown</t>
  </si>
  <si>
    <t>PreheatTimeBase</t>
  </si>
  <si>
    <t>minutes</t>
  </si>
  <si>
    <t>unknown, natural gas</t>
  </si>
  <si>
    <t>PreheatRateBase</t>
  </si>
  <si>
    <t>Btu/day</t>
  </si>
  <si>
    <t>PreheatTimeENERGYSTAR</t>
  </si>
  <si>
    <t>PreheatRateENERGYSTAR</t>
  </si>
  <si>
    <t>Updated kit ISR</t>
  </si>
  <si>
    <t>No savings impacts with existing measure assumptions.</t>
  </si>
  <si>
    <t>Applies to electrification only.</t>
  </si>
  <si>
    <t>Updated ISR</t>
  </si>
  <si>
    <t>Updated measure lifetime.</t>
  </si>
  <si>
    <t>Updated inputs for Commercial LPS Space Heating and Industrial/Process Low Pressure</t>
  </si>
  <si>
    <t>Updated inputs and preheat assumptions.</t>
  </si>
  <si>
    <t>Updated inputs and preheat assumptions ; Addition of preheat energy savings in algorithm.</t>
  </si>
  <si>
    <t>Updated inputs to new multifamily assumptions; Updated reduction(%) in total operating hours for normal and low occupancy period.</t>
  </si>
  <si>
    <t>ΔDailyPreheatEnergy</t>
  </si>
  <si>
    <t>PreheatEnergy_Base</t>
  </si>
  <si>
    <t>Preheats</t>
  </si>
  <si>
    <t>PreheatEnergy_EE</t>
  </si>
  <si>
    <t>ΔDailyIdleEnergy</t>
  </si>
  <si>
    <t>IdleRateGas_Base</t>
  </si>
  <si>
    <t>FoodCooked</t>
  </si>
  <si>
    <t>pizzas</t>
  </si>
  <si>
    <t>ProductionGas_Base</t>
  </si>
  <si>
    <t>pizzas/hour</t>
  </si>
  <si>
    <t>PreheatTime</t>
  </si>
  <si>
    <t>IdleRateGas_EE</t>
  </si>
  <si>
    <t>ProductionGas_EE</t>
  </si>
  <si>
    <t>ΔDailyCookingEnergy</t>
  </si>
  <si>
    <t>EFOOD_Gas</t>
  </si>
  <si>
    <t>Btu/pizza</t>
  </si>
  <si>
    <t>EFF_Base</t>
  </si>
  <si>
    <t>EFF_EE</t>
  </si>
  <si>
    <t>Days</t>
  </si>
  <si>
    <t>previously deemed value, now algorithmic per IL TRM v12</t>
  </si>
  <si>
    <t>4.2.13 Infrared Rotisserie Oven</t>
  </si>
  <si>
    <t>HoursDay</t>
  </si>
  <si>
    <t>1.1</t>
  </si>
  <si>
    <t>1.3</t>
  </si>
  <si>
    <t>1.4</t>
  </si>
  <si>
    <t>2.3</t>
  </si>
  <si>
    <t>3.3.2</t>
  </si>
  <si>
    <t>3.9</t>
  </si>
  <si>
    <t>3.11</t>
  </si>
  <si>
    <t>3.12</t>
  </si>
  <si>
    <t>4.1.1</t>
  </si>
  <si>
    <t>4.1.2</t>
  </si>
  <si>
    <t>4.1.3</t>
  </si>
  <si>
    <t>4.1.4</t>
  </si>
  <si>
    <t>4.1.5</t>
  </si>
  <si>
    <t>4.1.9</t>
  </si>
  <si>
    <t>4.1.10</t>
  </si>
  <si>
    <t>4.1.12</t>
  </si>
  <si>
    <t>4.1.19</t>
  </si>
  <si>
    <t>4.1.20</t>
  </si>
  <si>
    <t>4.2.2</t>
  </si>
  <si>
    <t>4.2.10</t>
  </si>
  <si>
    <t>4.2.23</t>
  </si>
  <si>
    <t>4.2.24</t>
  </si>
  <si>
    <t>4.2.25</t>
  </si>
  <si>
    <t>4.3.4</t>
  </si>
  <si>
    <t>4.3.13</t>
  </si>
  <si>
    <t>4.4.6</t>
  </si>
  <si>
    <t>4.4.9</t>
  </si>
  <si>
    <t>4.4.15</t>
  </si>
  <si>
    <t>4.4.17</t>
  </si>
  <si>
    <t>4.4.26</t>
  </si>
  <si>
    <t>4.4.33</t>
  </si>
  <si>
    <t>4.4.34</t>
  </si>
  <si>
    <t>4.4.37</t>
  </si>
  <si>
    <t>4.4.44</t>
  </si>
  <si>
    <t>4.4.47</t>
  </si>
  <si>
    <t>4.4.50</t>
  </si>
  <si>
    <t>4.4.51</t>
  </si>
  <si>
    <t>4.4.53</t>
  </si>
  <si>
    <t>4.4.54</t>
  </si>
  <si>
    <t>4.4.55</t>
  </si>
  <si>
    <t>4.4.59</t>
  </si>
  <si>
    <t>4.4.60</t>
  </si>
  <si>
    <t>4.4.63</t>
  </si>
  <si>
    <t>4.4.64</t>
  </si>
  <si>
    <t>4.5.4</t>
  </si>
  <si>
    <t>4.5.7</t>
  </si>
  <si>
    <t>4.5.8</t>
  </si>
  <si>
    <t>4.5.10</t>
  </si>
  <si>
    <t>4.5.18</t>
  </si>
  <si>
    <t>4.6.8</t>
  </si>
  <si>
    <t>4.6.9</t>
  </si>
  <si>
    <t>4.7.6</t>
  </si>
  <si>
    <t>4.7.13</t>
  </si>
  <si>
    <t>4.8.2</t>
  </si>
  <si>
    <t>4.8.7</t>
  </si>
  <si>
    <t>4.8.13</t>
  </si>
  <si>
    <t>4.8.23</t>
  </si>
  <si>
    <t>4.8.27</t>
  </si>
  <si>
    <t>4.8.30</t>
  </si>
  <si>
    <t>5.1.1</t>
  </si>
  <si>
    <t>5.1.2</t>
  </si>
  <si>
    <t>5.1.3</t>
  </si>
  <si>
    <t>5.1.4</t>
  </si>
  <si>
    <t>5.1.5</t>
  </si>
  <si>
    <t>5.1.6</t>
  </si>
  <si>
    <t>5.1.7</t>
  </si>
  <si>
    <t>5.1.8</t>
  </si>
  <si>
    <t>5.1.9</t>
  </si>
  <si>
    <t>5.1.10</t>
  </si>
  <si>
    <t>5.1.11</t>
  </si>
  <si>
    <t>5.1.13</t>
  </si>
  <si>
    <t>5.1.14</t>
  </si>
  <si>
    <t>5.1.16</t>
  </si>
  <si>
    <t>5.2.1</t>
  </si>
  <si>
    <t>5.2.2</t>
  </si>
  <si>
    <t>5.2.4</t>
  </si>
  <si>
    <t>5.3.1</t>
  </si>
  <si>
    <t>5.3.3</t>
  </si>
  <si>
    <t>5.3.8</t>
  </si>
  <si>
    <t>5.3.9</t>
  </si>
  <si>
    <t>5.3.10</t>
  </si>
  <si>
    <t>5.3.12</t>
  </si>
  <si>
    <t>5.3.14</t>
  </si>
  <si>
    <t>5.3.20</t>
  </si>
  <si>
    <t>5.3.22</t>
  </si>
  <si>
    <t>5.4.3</t>
  </si>
  <si>
    <t>5.4.10</t>
  </si>
  <si>
    <t>5.4.11</t>
  </si>
  <si>
    <t>5.5.6</t>
  </si>
  <si>
    <t>5.5.7</t>
  </si>
  <si>
    <t>5.5.8</t>
  </si>
  <si>
    <t>5.5.9</t>
  </si>
  <si>
    <t>5.5.10</t>
  </si>
  <si>
    <t>5.5.11</t>
  </si>
  <si>
    <t>5.5.12</t>
  </si>
  <si>
    <t>5.5.13</t>
  </si>
  <si>
    <t>5.5.14</t>
  </si>
  <si>
    <t>5.6.7</t>
  </si>
  <si>
    <t>5.6.8</t>
  </si>
  <si>
    <t>5.6.9</t>
  </si>
  <si>
    <t>5.6.11</t>
  </si>
  <si>
    <t>5.7.5</t>
  </si>
  <si>
    <t>6.1.1</t>
  </si>
  <si>
    <t>Summary of Revisions Section</t>
  </si>
  <si>
    <t>In Plan?</t>
  </si>
  <si>
    <t>Delta_DailyPreheatEnergy</t>
  </si>
  <si>
    <t>DailyPreheats</t>
  </si>
  <si>
    <t>PreheatEnergyBase</t>
  </si>
  <si>
    <t>PreheatEnergyEE</t>
  </si>
  <si>
    <t>IdleRateBase</t>
  </si>
  <si>
    <t>lb/day</t>
  </si>
  <si>
    <t>IdleRateEE</t>
  </si>
  <si>
    <t>PCEE</t>
  </si>
  <si>
    <t>EffBase</t>
  </si>
  <si>
    <t>EffEE</t>
  </si>
  <si>
    <t>based on oven operating schedule of 12 hours per day, 6 days per week, 52 weeks per year</t>
  </si>
  <si>
    <t>Btu to therms</t>
  </si>
  <si>
    <t>Revised algorithm to accomodate additional inputs.</t>
  </si>
  <si>
    <t>Updated baseline Furnace Annual Fuel Utilization Efficiency (AFUE) rating from 80% to 81%.</t>
  </si>
  <si>
    <t>Gas</t>
  </si>
  <si>
    <t>Gas ; Distributed school efficient kit instructions, Instructions provided in all other kit programs</t>
  </si>
  <si>
    <t>Updated all pre and post temperatures.</t>
  </si>
  <si>
    <t>n/a - only affects algorithms for electric combination ovens, not natural gas.</t>
  </si>
  <si>
    <t>n/a - plans make assumptions, actuals n/a.</t>
  </si>
  <si>
    <t>n/a - only measure costs being updated.</t>
  </si>
  <si>
    <t>n/a - fuel-switching.</t>
  </si>
  <si>
    <t>n/a - kW peak demand savings.</t>
  </si>
  <si>
    <t>n/a - only affects electric energy savings algorithm.</t>
  </si>
  <si>
    <t>Updated baseline and efficient boiler efficiency ratings.</t>
  </si>
  <si>
    <t>n/a - update to language, efficient criteria to be determined by program.</t>
  </si>
  <si>
    <t>n/a - AFUE ≥ 95 eligibility tier, efficient AFUE value already 96.0% in plan.</t>
  </si>
  <si>
    <t>n/a - FLH not in fossil fuel energy savings algorithm.</t>
  </si>
  <si>
    <t>n/a - plan assumes Direct Install, not Distributed School Efficiency Kit.</t>
  </si>
  <si>
    <t>Steam Boiler &gt; 300,000 Btu/h and &lt; 2,500,000 Btu/h</t>
  </si>
  <si>
    <t>Hot Water Boiler &gt; 300,000 Btu/h and &lt; 2,500,000 Btu/h</t>
  </si>
  <si>
    <t>Gas Instantaneous</t>
  </si>
  <si>
    <t>Gas Storage, &lt;= 55 gals, medium draw</t>
  </si>
  <si>
    <t>assumed gas storage, ≤ 55 gallons, medium draw</t>
  </si>
  <si>
    <t>Reduction in full load hours and HDD. Increase in shell adjustment factors.</t>
  </si>
  <si>
    <t>Update to water heating baseline and efficient criteria. Reduction in HDD value, increase in shell adjustment factors.</t>
  </si>
  <si>
    <t>Reduction in full load hours and HDD. Increase in shell adjustment factors. Update to water heating and space heating baseline and efficient criteria.</t>
  </si>
  <si>
    <t>Update to space heating baseline and efficient criteria - boilers and furnaces.</t>
  </si>
  <si>
    <t>Revised algorithms for food service ovens.</t>
  </si>
  <si>
    <t>Reduction in full load hours and HDD. Increase in shell adjustment factors. Update to water heating baseline and efficient criteria.</t>
  </si>
  <si>
    <t>Reduction in full load hours and HDD. Increase in shell adjustment factors. Update to space heating baseline and efficient criteria - boilers and furnaces.</t>
  </si>
  <si>
    <t>Go to Update</t>
  </si>
  <si>
    <t>Algorithms!$G$2796</t>
  </si>
  <si>
    <t>Algorithms!$G$2787</t>
  </si>
  <si>
    <t>Algorithms!$G$2743</t>
  </si>
  <si>
    <t>Algorithms!$G$425</t>
  </si>
  <si>
    <t>Algorithms!$G$277</t>
  </si>
  <si>
    <t>Algorithms!$G$296</t>
  </si>
  <si>
    <t>Custom calculation, otherwise use deemed value of 1930 therms based on default values.</t>
  </si>
  <si>
    <t>PreTimeBase</t>
  </si>
  <si>
    <t>hr</t>
  </si>
  <si>
    <t>PreTimeEE</t>
  </si>
  <si>
    <t>PREheat_Base</t>
  </si>
  <si>
    <t>PREheat_EE</t>
  </si>
  <si>
    <t>DE_after</t>
  </si>
  <si>
    <t>CFM50_DL After</t>
  </si>
  <si>
    <t>Example value</t>
  </si>
  <si>
    <t>Methodology 2: Pressurized Duct Test</t>
  </si>
  <si>
    <t>CFM50_Whole House Aftter</t>
  </si>
  <si>
    <t>Assumed gas instantaneous water heaters</t>
  </si>
  <si>
    <t>Non-school kit. 20% if school kit instructions</t>
  </si>
  <si>
    <t>Assumed unknown value from TRM</t>
  </si>
  <si>
    <t>Updated preheat energy savings in algorithm ; Addition of PreTimeBase, PreTimeEE, PREheat_Base, and PREheat_EE inputs.</t>
  </si>
  <si>
    <t>Algorithms!$G$2537</t>
  </si>
  <si>
    <t>Algorithms!$G$2396</t>
  </si>
  <si>
    <t>Algorithms!$G$2468</t>
  </si>
  <si>
    <t>Algorithms!$G$2805</t>
  </si>
  <si>
    <t>n/a - HP assumed in units of participation.</t>
  </si>
  <si>
    <t>Algorithms!$G$1906</t>
  </si>
  <si>
    <t>Algorithms!$G$979</t>
  </si>
  <si>
    <t>Algorithms!$G$1150</t>
  </si>
  <si>
    <t>Algorithms!$G$3485</t>
  </si>
  <si>
    <t>Algorithms!$G$1228</t>
  </si>
  <si>
    <t>Updated full load hours of heating from 1840 to 1726 ; Revision of mid-life adjustment algorithm.</t>
  </si>
  <si>
    <t>Algorithms!$G$794</t>
  </si>
  <si>
    <t>Algorithms!$G$1317</t>
  </si>
  <si>
    <t>Algorithms!$G$834</t>
  </si>
  <si>
    <t>Updated HDD from 5113 to 4798 and shell adjustment factor from 0.60 to 0.63 ; Updated measure life to 30 years.</t>
  </si>
  <si>
    <t>Updated HDD from 3079 to 2845 and shell adjustment factor from 0.60 to 0.63 ; Updated measure life to 30 years.</t>
  </si>
  <si>
    <t>Algorithms!$G$541</t>
  </si>
  <si>
    <t>Algorithms!$G$616</t>
  </si>
  <si>
    <t>Updated HDD from 5113 to 4798 and shell adjustment factor from 0.72 to 0.76 ; Updated measure life to 30 years.</t>
  </si>
  <si>
    <t>Updated HDD from 3079 to 2845 and shell adjustment factor from 0.60 to 0.63, despite this revision not being explicitly stated in explanation of change ; Updated measure life to 30 years.</t>
  </si>
  <si>
    <t>Algorithms!$G$572</t>
  </si>
  <si>
    <t>4.2.13 Infrared Rotisserie
Oven</t>
  </si>
  <si>
    <t>Measure updated from entirely deemed savings to algorithmic approach ; Measure life updated to 12 years and incremental cost updated to $2,230.</t>
  </si>
  <si>
    <t>Hot Water Boiler &lt; 300,000 Btu/h</t>
  </si>
  <si>
    <t>Hot Water &lt;300,000 Btu/hr</t>
  </si>
  <si>
    <t>HOURS_day</t>
  </si>
  <si>
    <t>PCENERGYSTAR</t>
  </si>
  <si>
    <t xml:space="preserve">Custom value based on participation, updated default value of 9.65 is not used. </t>
  </si>
  <si>
    <t>Baseline and efficient water heater criteria updated ; Updated measure life to 13.3 years for gas storage water heaters and 18.3 for gas instantaneous water heaters ; Updated incremental cost based on water heater type.</t>
  </si>
  <si>
    <t>Assumed gas instantaneous water heater</t>
  </si>
  <si>
    <t>Assumed gas storage water heater, &lt;= 55 gals, medium draw</t>
  </si>
  <si>
    <t>Assumed gas storage water heater</t>
  </si>
  <si>
    <t>Assumed gas storage water heater, &gt; 55 gal</t>
  </si>
  <si>
    <t>Per Project CFM reduction, AEG custom value used as a planning assumption</t>
  </si>
  <si>
    <t>Deemed value</t>
  </si>
  <si>
    <t>Heating Therms Savings using Method 2:</t>
  </si>
  <si>
    <t>Cooling Savings using Method 3:</t>
  </si>
  <si>
    <t>Heating Savings using Method 3:</t>
  </si>
  <si>
    <t>Heating Therm Savings using Method 3:</t>
  </si>
  <si>
    <t>AEG Planning Assumption</t>
  </si>
  <si>
    <r>
      <t xml:space="preserve">EEDR Adjustable Savings Goal Template - </t>
    </r>
    <r>
      <rPr>
        <i/>
        <sz val="11"/>
        <color theme="1"/>
        <rFont val="Calibri"/>
        <family val="2"/>
        <scheme val="minor"/>
      </rPr>
      <t>Program-Level Adjustments Tab</t>
    </r>
  </si>
  <si>
    <r>
      <t xml:space="preserve">EEDR Adjustable Savings Goal Template - </t>
    </r>
    <r>
      <rPr>
        <i/>
        <sz val="11"/>
        <color theme="1"/>
        <rFont val="Calibri"/>
        <family val="2"/>
        <scheme val="minor"/>
      </rPr>
      <t>Measure-Level Adjustments Tab</t>
    </r>
  </si>
  <si>
    <r>
      <t xml:space="preserve">Not derived from values in the IL-TRM, and therefore will not necessitate a change in savings goals if the IL-TRM is updated. Note: The Key Custom Input Assumptions specified in column (bb) should remain </t>
    </r>
    <r>
      <rPr>
        <i/>
        <u/>
        <sz val="11"/>
        <color theme="1"/>
        <rFont val="Calibri"/>
        <family val="2"/>
        <scheme val="minor"/>
      </rPr>
      <t>fixed</t>
    </r>
    <r>
      <rPr>
        <i/>
        <sz val="11"/>
        <color theme="1"/>
        <rFont val="Calibri"/>
        <family val="2"/>
        <scheme val="minor"/>
      </rPr>
      <t xml:space="preserve"> over the Plan period when calculating the Gross Unit Savings for the Measure for the applicable Program Years set forth in columns (aa), (ag), (am), and (as), unless consensus is reached at SAG that the extenuating circumstance warrants an adjustment.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</si>
</sst>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8" formatCode="&quot;$&quot;#,##0.00_);[Red]\(&quot;$&quot;#,##0.00\)"/>
    <numFmt numFmtId="43" formatCode="_(* #,##0.00_);_(* \(#,##0.00\);_(* &quot;-&quot;??_);_(@_)"/>
    <numFmt numFmtId="164" formatCode="_(* #,##0_);_(* \(#,##0\);_(* &quot;-&quot;??_);_(@_)"/>
    <numFmt numFmtId="165" formatCode="#,##0.0"/>
    <numFmt numFmtId="166" formatCode="0.0"/>
    <numFmt numFmtId="167" formatCode="#,##0;\(#,##0\);&quot;-&quot;"/>
    <numFmt numFmtId="168" formatCode="#,##0.0000"/>
    <numFmt numFmtId="169" formatCode="0.0000"/>
    <numFmt numFmtId="170" formatCode="#,##0.00000"/>
    <numFmt numFmtId="171" formatCode="&quot;$&quot;#,##0.00"/>
    <numFmt numFmtId="172" formatCode="#,##0.000"/>
    <numFmt numFmtId="173" formatCode="0.000"/>
    <numFmt numFmtId="174" formatCode="0.0%"/>
    <numFmt numFmtId="175" formatCode="&quot;$&quot;#,##0"/>
    <numFmt numFmtId="176" formatCode="_(* #,##0.0_);_(* \(#,##0.0\);_(* &quot;-&quot;??_);_(@_)"/>
    <numFmt numFmtId="177" formatCode="0.00000"/>
  </numFmts>
  <fonts count="37" x14ac:knownFonts="1">
    <font>
      <sz val="11"/>
      <color theme="1"/>
      <name val="Calibri"/>
      <family val="2"/>
      <scheme val="minor"/>
    </font>
    <font>
      <sz val="11"/>
      <color theme="1"/>
      <name val="Aptos"/>
      <family val="2"/>
    </font>
    <font>
      <sz val="11"/>
      <color theme="1"/>
      <name val="Aptos"/>
      <family val="2"/>
    </font>
    <font>
      <sz val="11"/>
      <color theme="1"/>
      <name val="Aptos"/>
      <family val="2"/>
    </font>
    <font>
      <sz val="11"/>
      <color theme="1"/>
      <name val="Aptos"/>
      <family val="2"/>
    </font>
    <font>
      <sz val="11"/>
      <color theme="1"/>
      <name val="Aptos"/>
      <family val="2"/>
    </font>
    <font>
      <sz val="11"/>
      <color theme="1"/>
      <name val="Calibri"/>
      <family val="2"/>
      <scheme val="minor"/>
    </font>
    <font>
      <sz val="9"/>
      <color indexed="81"/>
      <name val="Tahoma"/>
      <family val="2"/>
    </font>
    <font>
      <b/>
      <sz val="9"/>
      <color indexed="81"/>
      <name val="Tahoma"/>
      <family val="2"/>
    </font>
    <font>
      <u/>
      <sz val="9"/>
      <color indexed="81"/>
      <name val="Tahoma"/>
      <family val="2"/>
    </font>
    <font>
      <b/>
      <u/>
      <sz val="9"/>
      <color indexed="81"/>
      <name val="Tahoma"/>
      <family val="2"/>
    </font>
    <font>
      <u/>
      <sz val="11"/>
      <color theme="10"/>
      <name val="Calibri"/>
      <family val="2"/>
      <scheme val="minor"/>
    </font>
    <font>
      <b/>
      <sz val="11"/>
      <color theme="1"/>
      <name val="Aptos"/>
      <family val="2"/>
    </font>
    <font>
      <sz val="11"/>
      <color theme="0"/>
      <name val="Aptos"/>
      <family val="2"/>
    </font>
    <font>
      <sz val="11"/>
      <color rgb="FF000000"/>
      <name val="Aptos"/>
      <family val="2"/>
    </font>
    <font>
      <sz val="11"/>
      <name val="Aptos"/>
      <family val="2"/>
    </font>
    <font>
      <b/>
      <sz val="11"/>
      <color rgb="FFFFFFFF"/>
      <name val="Aptos"/>
      <family val="2"/>
    </font>
    <font>
      <b/>
      <sz val="11"/>
      <name val="Aptos"/>
      <family val="2"/>
    </font>
    <font>
      <u/>
      <sz val="11"/>
      <color theme="10"/>
      <name val="Aptos"/>
      <family val="2"/>
    </font>
    <font>
      <b/>
      <sz val="11"/>
      <color rgb="FFFF0000"/>
      <name val="Aptos"/>
      <family val="2"/>
    </font>
    <font>
      <sz val="9"/>
      <color rgb="FFFF0000"/>
      <name val="Aptos"/>
      <family val="2"/>
    </font>
    <font>
      <i/>
      <sz val="11"/>
      <color theme="1"/>
      <name val="Calibri"/>
      <family val="2"/>
      <scheme val="minor"/>
    </font>
    <font>
      <b/>
      <sz val="11"/>
      <color theme="1"/>
      <name val="Calibri"/>
      <family val="2"/>
      <scheme val="minor"/>
    </font>
    <font>
      <b/>
      <i/>
      <sz val="11"/>
      <color theme="1"/>
      <name val="Calibri"/>
      <family val="2"/>
      <scheme val="minor"/>
    </font>
    <font>
      <i/>
      <u/>
      <sz val="11"/>
      <color theme="1"/>
      <name val="Calibri"/>
      <family val="2"/>
      <scheme val="minor"/>
    </font>
    <font>
      <b/>
      <i/>
      <sz val="11"/>
      <name val="Calibri"/>
      <family val="2"/>
      <scheme val="minor"/>
    </font>
    <font>
      <sz val="11"/>
      <name val="Calibri"/>
      <family val="2"/>
      <scheme val="minor"/>
    </font>
    <font>
      <b/>
      <sz val="11"/>
      <name val="Calibri"/>
      <family val="2"/>
      <scheme val="minor"/>
    </font>
    <font>
      <sz val="11"/>
      <color theme="1" tint="0.34998626667073579"/>
      <name val="Calibri"/>
      <family val="2"/>
      <scheme val="minor"/>
    </font>
    <font>
      <sz val="11"/>
      <color theme="0"/>
      <name val="Calibri"/>
      <family val="2"/>
      <scheme val="minor"/>
    </font>
    <font>
      <b/>
      <sz val="11"/>
      <color theme="0"/>
      <name val="Calibri"/>
      <family val="2"/>
      <scheme val="minor"/>
    </font>
    <font>
      <strike/>
      <sz val="11"/>
      <color theme="1"/>
      <name val="Calibri"/>
      <family val="2"/>
      <scheme val="minor"/>
    </font>
    <font>
      <b/>
      <sz val="11"/>
      <color rgb="FF008080"/>
      <name val="Calibri"/>
      <family val="2"/>
      <scheme val="minor"/>
    </font>
    <font>
      <sz val="11"/>
      <color rgb="FFFF0000"/>
      <name val="Calibri"/>
      <family val="2"/>
      <scheme val="minor"/>
    </font>
    <font>
      <b/>
      <strike/>
      <sz val="11"/>
      <color rgb="FF008080"/>
      <name val="Calibri"/>
      <family val="2"/>
      <scheme val="minor"/>
    </font>
    <font>
      <u/>
      <sz val="11"/>
      <color theme="1"/>
      <name val="Calibri"/>
      <family val="2"/>
      <scheme val="minor"/>
    </font>
    <font>
      <b/>
      <sz val="11"/>
      <color rgb="FFFFFFFF"/>
      <name val="Calibri"/>
      <family val="2"/>
      <scheme val="minor"/>
    </font>
  </fonts>
  <fills count="44">
    <fill>
      <patternFill patternType="none"/>
    </fill>
    <fill>
      <patternFill patternType="gray125"/>
    </fill>
    <fill>
      <patternFill patternType="solid">
        <fgColor theme="3"/>
        <bgColor indexed="64"/>
      </patternFill>
    </fill>
    <fill>
      <patternFill patternType="solid">
        <fgColor theme="5" tint="0.79998168889431442"/>
        <bgColor indexed="64"/>
      </patternFill>
    </fill>
    <fill>
      <patternFill patternType="solid">
        <fgColor rgb="FFCFFEFF"/>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6" tint="0.59999389629810485"/>
        <bgColor indexed="64"/>
      </patternFill>
    </fill>
    <fill>
      <patternFill patternType="lightDown">
        <bgColor auto="1"/>
      </patternFill>
    </fill>
    <fill>
      <patternFill patternType="solid">
        <fgColor theme="2" tint="-9.9978637043366805E-2"/>
        <bgColor indexed="64"/>
      </patternFill>
    </fill>
    <fill>
      <patternFill patternType="lightDown">
        <fgColor auto="1"/>
        <bgColor auto="1"/>
      </patternFill>
    </fill>
    <fill>
      <patternFill patternType="solid">
        <fgColor rgb="FFFFFF00"/>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0"/>
        <bgColor indexed="64"/>
      </patternFill>
    </fill>
    <fill>
      <patternFill patternType="solid">
        <fgColor rgb="FF0070C0"/>
        <bgColor indexed="64"/>
      </patternFill>
    </fill>
    <fill>
      <patternFill patternType="solid">
        <fgColor rgb="FFC0C0C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C000"/>
        <bgColor indexed="64"/>
      </patternFill>
    </fill>
    <fill>
      <patternFill patternType="darkUp">
        <bgColor theme="1" tint="0.34998626667073579"/>
      </patternFill>
    </fill>
    <fill>
      <patternFill patternType="solid">
        <fgColor rgb="FF92D050"/>
        <bgColor indexed="64"/>
      </patternFill>
    </fill>
    <fill>
      <patternFill patternType="solid">
        <fgColor theme="4" tint="0.59999389629810485"/>
        <bgColor indexed="64"/>
      </patternFill>
    </fill>
    <fill>
      <patternFill patternType="solid">
        <fgColor theme="1"/>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CCCCFF"/>
        <bgColor indexed="64"/>
      </patternFill>
    </fill>
    <fill>
      <patternFill patternType="solid">
        <fgColor rgb="FFCCFFCC"/>
        <bgColor indexed="64"/>
      </patternFill>
    </fill>
    <fill>
      <patternFill patternType="solid">
        <fgColor rgb="FFFF99CC"/>
        <bgColor indexed="64"/>
      </patternFill>
    </fill>
    <fill>
      <patternFill patternType="solid">
        <fgColor rgb="FFFF9900"/>
        <bgColor indexed="64"/>
      </patternFill>
    </fill>
    <fill>
      <patternFill patternType="solid">
        <fgColor rgb="FFCCCC00"/>
        <bgColor indexed="64"/>
      </patternFill>
    </fill>
    <fill>
      <patternFill patternType="solid">
        <fgColor rgb="FF996633"/>
        <bgColor indexed="64"/>
      </patternFill>
    </fill>
    <fill>
      <patternFill patternType="solid">
        <fgColor rgb="FF7030A0"/>
        <bgColor indexed="64"/>
      </patternFill>
    </fill>
    <fill>
      <patternFill patternType="solid">
        <fgColor theme="8" tint="0.39997558519241921"/>
        <bgColor indexed="64"/>
      </patternFill>
    </fill>
    <fill>
      <patternFill patternType="solid">
        <fgColor theme="7"/>
        <bgColor indexed="64"/>
      </patternFill>
    </fill>
    <fill>
      <patternFill patternType="solid">
        <fgColor rgb="FFCC9900"/>
        <bgColor indexed="64"/>
      </patternFill>
    </fill>
    <fill>
      <patternFill patternType="solid">
        <fgColor rgb="FF00B050"/>
        <bgColor indexed="64"/>
      </patternFill>
    </fill>
    <fill>
      <patternFill patternType="solid">
        <fgColor rgb="FF808080"/>
        <bgColor indexed="64"/>
      </patternFill>
    </fill>
    <fill>
      <patternFill patternType="solid">
        <fgColor rgb="FFFF0000"/>
        <bgColor indexed="64"/>
      </patternFill>
    </fill>
  </fills>
  <borders count="106">
    <border>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double">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thick">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ck">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ck">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ck">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s>
  <cellStyleXfs count="4">
    <xf numFmtId="0" fontId="0" fillId="0" borderId="0"/>
    <xf numFmtId="9" fontId="6" fillId="0" borderId="0" applyFont="0" applyFill="0" applyBorder="0" applyAlignment="0" applyProtection="0"/>
    <xf numFmtId="43" fontId="6" fillId="0" borderId="0" applyFont="0" applyFill="0" applyBorder="0" applyAlignment="0" applyProtection="0"/>
    <xf numFmtId="0" fontId="11" fillId="0" borderId="0" applyNumberFormat="0" applyFill="0" applyBorder="0" applyAlignment="0" applyProtection="0"/>
  </cellStyleXfs>
  <cellXfs count="949">
    <xf numFmtId="0" fontId="0" fillId="0" borderId="0" xfId="0"/>
    <xf numFmtId="0" fontId="12" fillId="0" borderId="0" xfId="0" applyFont="1"/>
    <xf numFmtId="0" fontId="5" fillId="0" borderId="0" xfId="0" applyFont="1"/>
    <xf numFmtId="0" fontId="14" fillId="0" borderId="2" xfId="0" applyFont="1" applyBorder="1" applyAlignment="1">
      <alignment horizontal="left"/>
    </xf>
    <xf numFmtId="0" fontId="15" fillId="14" borderId="0" xfId="0" applyFont="1" applyFill="1"/>
    <xf numFmtId="0" fontId="16" fillId="42" borderId="2" xfId="0" applyFont="1" applyFill="1" applyBorder="1" applyAlignment="1">
      <alignment horizontal="center" vertical="center" wrapText="1"/>
    </xf>
    <xf numFmtId="0" fontId="17" fillId="14" borderId="2" xfId="0" applyFont="1" applyFill="1" applyBorder="1" applyAlignment="1">
      <alignment horizontal="center" vertical="center" wrapText="1"/>
    </xf>
    <xf numFmtId="0" fontId="5" fillId="0" borderId="0" xfId="0" applyFont="1" applyAlignment="1">
      <alignment horizontal="left"/>
    </xf>
    <xf numFmtId="0" fontId="14" fillId="0" borderId="0" xfId="0" applyFont="1" applyAlignment="1">
      <alignment horizontal="left"/>
    </xf>
    <xf numFmtId="0" fontId="18" fillId="0" borderId="2" xfId="3" applyFont="1" applyFill="1" applyBorder="1"/>
    <xf numFmtId="3" fontId="5" fillId="0" borderId="0" xfId="0" applyNumberFormat="1" applyFont="1"/>
    <xf numFmtId="9" fontId="5" fillId="0" borderId="0" xfId="0" applyNumberFormat="1" applyFont="1"/>
    <xf numFmtId="164" fontId="5" fillId="0" borderId="0" xfId="0" applyNumberFormat="1" applyFont="1"/>
    <xf numFmtId="0" fontId="19" fillId="14" borderId="0" xfId="0" applyFont="1" applyFill="1"/>
    <xf numFmtId="0" fontId="19" fillId="14" borderId="0" xfId="0" applyFont="1" applyFill="1" applyAlignment="1">
      <alignment wrapText="1"/>
    </xf>
    <xf numFmtId="164" fontId="19" fillId="14" borderId="0" xfId="0" applyNumberFormat="1" applyFont="1" applyFill="1" applyAlignment="1">
      <alignment wrapText="1"/>
    </xf>
    <xf numFmtId="9" fontId="19" fillId="14" borderId="0" xfId="0" applyNumberFormat="1" applyFont="1" applyFill="1" applyAlignment="1">
      <alignment wrapText="1"/>
    </xf>
    <xf numFmtId="9" fontId="13" fillId="2" borderId="46" xfId="1" applyFont="1" applyFill="1" applyBorder="1" applyAlignment="1">
      <alignment horizontal="center" vertical="center" wrapText="1"/>
    </xf>
    <xf numFmtId="0" fontId="12" fillId="0" borderId="0" xfId="0" applyFont="1" applyAlignment="1">
      <alignment horizontal="left"/>
    </xf>
    <xf numFmtId="0" fontId="5" fillId="0" borderId="45" xfId="0" applyFont="1" applyBorder="1" applyAlignment="1">
      <alignment horizontal="left"/>
    </xf>
    <xf numFmtId="3" fontId="5" fillId="0" borderId="45" xfId="0" applyNumberFormat="1" applyFont="1" applyBorder="1"/>
    <xf numFmtId="9" fontId="5" fillId="0" borderId="45" xfId="0" applyNumberFormat="1" applyFont="1" applyBorder="1"/>
    <xf numFmtId="0" fontId="5" fillId="0" borderId="0" xfId="0" pivotButton="1" applyFont="1"/>
    <xf numFmtId="0" fontId="20" fillId="0" borderId="0" xfId="0" applyFont="1"/>
    <xf numFmtId="0" fontId="14" fillId="23" borderId="2" xfId="0" applyFont="1" applyFill="1" applyBorder="1" applyAlignment="1">
      <alignment horizontal="left"/>
    </xf>
    <xf numFmtId="0" fontId="12" fillId="0" borderId="0" xfId="0" applyFont="1" applyAlignment="1">
      <alignment wrapText="1"/>
    </xf>
    <xf numFmtId="0" fontId="4" fillId="0" borderId="0" xfId="0" applyFont="1"/>
    <xf numFmtId="0" fontId="3" fillId="0" borderId="2" xfId="0" applyFont="1" applyBorder="1"/>
    <xf numFmtId="0" fontId="3" fillId="0" borderId="0" xfId="0" applyFont="1"/>
    <xf numFmtId="0" fontId="3" fillId="0" borderId="2" xfId="0" applyFont="1" applyBorder="1" applyAlignment="1">
      <alignment horizontal="left"/>
    </xf>
    <xf numFmtId="0" fontId="3" fillId="0" borderId="0" xfId="0" applyFont="1" applyAlignment="1">
      <alignment horizontal="left"/>
    </xf>
    <xf numFmtId="0" fontId="3" fillId="0" borderId="0" xfId="0" applyFont="1" applyAlignment="1">
      <alignment horizontal="center"/>
    </xf>
    <xf numFmtId="0" fontId="3" fillId="0" borderId="0" xfId="0" quotePrefix="1" applyFont="1"/>
    <xf numFmtId="0" fontId="3" fillId="0" borderId="2" xfId="0" applyFont="1" applyBorder="1" applyAlignment="1">
      <alignment horizontal="center"/>
    </xf>
    <xf numFmtId="4" fontId="3" fillId="0" borderId="0" xfId="0" quotePrefix="1" applyNumberFormat="1" applyFont="1"/>
    <xf numFmtId="0" fontId="2" fillId="0" borderId="2" xfId="0" applyFont="1" applyBorder="1" applyAlignment="1">
      <alignment horizontal="center"/>
    </xf>
    <xf numFmtId="0" fontId="2" fillId="0" borderId="2" xfId="0" applyFont="1" applyBorder="1"/>
    <xf numFmtId="4" fontId="2" fillId="0" borderId="2" xfId="0" quotePrefix="1" applyNumberFormat="1" applyFont="1" applyBorder="1"/>
    <xf numFmtId="0" fontId="2" fillId="0" borderId="2" xfId="0" quotePrefix="1" applyFont="1" applyBorder="1"/>
    <xf numFmtId="3" fontId="2" fillId="0" borderId="2" xfId="0" quotePrefix="1" applyNumberFormat="1" applyFont="1" applyBorder="1"/>
    <xf numFmtId="9" fontId="2" fillId="0" borderId="2" xfId="0" quotePrefix="1" applyNumberFormat="1" applyFont="1" applyBorder="1"/>
    <xf numFmtId="2" fontId="2" fillId="0" borderId="2" xfId="0" quotePrefix="1" applyNumberFormat="1" applyFont="1" applyBorder="1"/>
    <xf numFmtId="0" fontId="2" fillId="25" borderId="0" xfId="0" applyFont="1" applyFill="1"/>
    <xf numFmtId="0" fontId="2" fillId="0" borderId="2" xfId="0" applyFont="1" applyBorder="1" applyAlignment="1">
      <alignment horizontal="left"/>
    </xf>
    <xf numFmtId="0" fontId="2" fillId="43" borderId="0" xfId="0" applyFont="1" applyFill="1"/>
    <xf numFmtId="0" fontId="1" fillId="0" borderId="2" xfId="0" applyFont="1" applyBorder="1"/>
    <xf numFmtId="14" fontId="21" fillId="4" borderId="0" xfId="0" applyNumberFormat="1" applyFont="1" applyFill="1"/>
    <xf numFmtId="0" fontId="0" fillId="0" borderId="0" xfId="0" applyAlignment="1">
      <alignment wrapText="1"/>
    </xf>
    <xf numFmtId="0" fontId="0" fillId="4" borderId="0" xfId="0" applyFill="1"/>
    <xf numFmtId="0" fontId="22" fillId="0" borderId="44" xfId="0" applyFont="1" applyBorder="1" applyAlignment="1">
      <alignment wrapText="1"/>
    </xf>
    <xf numFmtId="0" fontId="22" fillId="3" borderId="32" xfId="0" applyFont="1" applyFill="1" applyBorder="1" applyAlignment="1">
      <alignment horizontal="centerContinuous" vertical="center" wrapText="1"/>
    </xf>
    <xf numFmtId="0" fontId="22" fillId="3" borderId="33" xfId="0" applyFont="1" applyFill="1" applyBorder="1" applyAlignment="1">
      <alignment horizontal="centerContinuous" vertical="center" wrapText="1"/>
    </xf>
    <xf numFmtId="0" fontId="22" fillId="3" borderId="34" xfId="0" applyFont="1" applyFill="1" applyBorder="1" applyAlignment="1">
      <alignment horizontal="centerContinuous" vertical="center" wrapText="1"/>
    </xf>
    <xf numFmtId="0" fontId="22" fillId="5" borderId="35" xfId="0" applyFont="1" applyFill="1" applyBorder="1" applyAlignment="1">
      <alignment horizontal="centerContinuous" vertical="center" wrapText="1"/>
    </xf>
    <xf numFmtId="0" fontId="22" fillId="5" borderId="33" xfId="0" applyFont="1" applyFill="1" applyBorder="1" applyAlignment="1">
      <alignment horizontal="centerContinuous" vertical="center" wrapText="1"/>
    </xf>
    <xf numFmtId="0" fontId="22" fillId="5" borderId="34" xfId="0" applyFont="1" applyFill="1" applyBorder="1" applyAlignment="1">
      <alignment horizontal="centerContinuous" vertical="center" wrapText="1"/>
    </xf>
    <xf numFmtId="0" fontId="22" fillId="6" borderId="35" xfId="0" applyFont="1" applyFill="1" applyBorder="1" applyAlignment="1">
      <alignment horizontal="centerContinuous" vertical="center" wrapText="1"/>
    </xf>
    <xf numFmtId="0" fontId="22" fillId="6" borderId="33" xfId="0" applyFont="1" applyFill="1" applyBorder="1" applyAlignment="1">
      <alignment horizontal="centerContinuous" vertical="center" wrapText="1"/>
    </xf>
    <xf numFmtId="0" fontId="22" fillId="6" borderId="34" xfId="0" applyFont="1" applyFill="1" applyBorder="1" applyAlignment="1">
      <alignment horizontal="centerContinuous" vertical="center" wrapText="1"/>
    </xf>
    <xf numFmtId="0" fontId="22" fillId="7" borderId="35" xfId="0" applyFont="1" applyFill="1" applyBorder="1" applyAlignment="1">
      <alignment horizontal="centerContinuous" vertical="center" wrapText="1"/>
    </xf>
    <xf numFmtId="0" fontId="22" fillId="7" borderId="33" xfId="0" applyFont="1" applyFill="1" applyBorder="1" applyAlignment="1">
      <alignment horizontal="centerContinuous" vertical="center" wrapText="1"/>
    </xf>
    <xf numFmtId="0" fontId="22" fillId="7" borderId="34" xfId="0" applyFont="1" applyFill="1" applyBorder="1" applyAlignment="1">
      <alignment horizontal="centerContinuous" vertical="center" wrapText="1"/>
    </xf>
    <xf numFmtId="0" fontId="22" fillId="8" borderId="35" xfId="0" applyFont="1" applyFill="1" applyBorder="1" applyAlignment="1">
      <alignment horizontal="centerContinuous" vertical="center" wrapText="1"/>
    </xf>
    <xf numFmtId="0" fontId="22" fillId="8" borderId="33" xfId="0" applyFont="1" applyFill="1" applyBorder="1" applyAlignment="1">
      <alignment horizontal="centerContinuous" vertical="center" wrapText="1"/>
    </xf>
    <xf numFmtId="0" fontId="22" fillId="8" borderId="34" xfId="0" applyFont="1" applyFill="1" applyBorder="1" applyAlignment="1">
      <alignment horizontal="centerContinuous" vertical="center" wrapText="1"/>
    </xf>
    <xf numFmtId="0" fontId="22" fillId="9" borderId="48" xfId="0" applyFont="1" applyFill="1" applyBorder="1" applyAlignment="1">
      <alignment horizontal="centerContinuous" vertical="center" wrapText="1"/>
    </xf>
    <xf numFmtId="0" fontId="22" fillId="9" borderId="44" xfId="0" applyFont="1" applyFill="1" applyBorder="1" applyAlignment="1">
      <alignment horizontal="centerContinuous" vertical="center" wrapText="1"/>
    </xf>
    <xf numFmtId="0" fontId="22" fillId="9" borderId="32" xfId="0" applyFont="1" applyFill="1" applyBorder="1" applyAlignment="1">
      <alignment horizontal="centerContinuous" vertical="center" wrapText="1"/>
    </xf>
    <xf numFmtId="0" fontId="22" fillId="9" borderId="49" xfId="0" applyFont="1" applyFill="1" applyBorder="1" applyAlignment="1">
      <alignment horizontal="centerContinuous" vertical="center" wrapText="1"/>
    </xf>
    <xf numFmtId="0" fontId="22" fillId="10" borderId="48" xfId="0" applyFont="1" applyFill="1" applyBorder="1" applyAlignment="1">
      <alignment horizontal="centerContinuous" vertical="center" wrapText="1"/>
    </xf>
    <xf numFmtId="0" fontId="22" fillId="10" borderId="44" xfId="0" applyFont="1" applyFill="1" applyBorder="1" applyAlignment="1">
      <alignment horizontal="centerContinuous" vertical="center" wrapText="1"/>
    </xf>
    <xf numFmtId="0" fontId="22" fillId="10" borderId="32" xfId="0" applyFont="1" applyFill="1" applyBorder="1" applyAlignment="1">
      <alignment horizontal="centerContinuous" vertical="center" wrapText="1"/>
    </xf>
    <xf numFmtId="0" fontId="22" fillId="10" borderId="49" xfId="0" applyFont="1" applyFill="1" applyBorder="1" applyAlignment="1">
      <alignment horizontal="centerContinuous" vertical="center" wrapText="1"/>
    </xf>
    <xf numFmtId="0" fontId="0" fillId="0" borderId="0" xfId="0" applyAlignment="1">
      <alignment horizontal="center" vertical="center" wrapText="1"/>
    </xf>
    <xf numFmtId="0" fontId="22" fillId="0" borderId="6" xfId="0" applyFont="1" applyBorder="1" applyAlignment="1">
      <alignment horizontal="center" vertical="center" wrapText="1"/>
    </xf>
    <xf numFmtId="0" fontId="22" fillId="9" borderId="25"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22" fillId="3" borderId="26" xfId="0" applyFont="1" applyFill="1" applyBorder="1" applyAlignment="1">
      <alignment horizontal="center" vertical="center" wrapText="1"/>
    </xf>
    <xf numFmtId="0" fontId="22" fillId="9" borderId="27" xfId="0" applyFont="1" applyFill="1" applyBorder="1" applyAlignment="1">
      <alignment horizontal="center" vertical="center" wrapText="1"/>
    </xf>
    <xf numFmtId="0" fontId="22" fillId="5" borderId="6" xfId="0" applyFont="1" applyFill="1" applyBorder="1" applyAlignment="1">
      <alignment horizontal="centerContinuous" vertical="center" wrapText="1"/>
    </xf>
    <xf numFmtId="0" fontId="22" fillId="5" borderId="12" xfId="0" applyFont="1" applyFill="1" applyBorder="1" applyAlignment="1">
      <alignment horizontal="centerContinuous" vertical="center" wrapText="1"/>
    </xf>
    <xf numFmtId="0" fontId="22" fillId="5" borderId="43" xfId="0" applyFont="1" applyFill="1" applyBorder="1" applyAlignment="1">
      <alignment horizontal="centerContinuous" vertical="center" wrapText="1"/>
    </xf>
    <xf numFmtId="0" fontId="22" fillId="5" borderId="13" xfId="0" applyFont="1" applyFill="1" applyBorder="1" applyAlignment="1">
      <alignment horizontal="centerContinuous" vertical="center" wrapText="1"/>
    </xf>
    <xf numFmtId="0" fontId="22" fillId="5" borderId="26" xfId="0" applyFont="1" applyFill="1" applyBorder="1" applyAlignment="1">
      <alignment horizontal="center" vertical="center" wrapText="1"/>
    </xf>
    <xf numFmtId="0" fontId="22" fillId="6" borderId="6" xfId="0" applyFont="1" applyFill="1" applyBorder="1" applyAlignment="1">
      <alignment horizontal="centerContinuous" vertical="center" wrapText="1"/>
    </xf>
    <xf numFmtId="0" fontId="22" fillId="6" borderId="12" xfId="0" applyFont="1" applyFill="1" applyBorder="1" applyAlignment="1">
      <alignment horizontal="centerContinuous" vertical="center" wrapText="1"/>
    </xf>
    <xf numFmtId="0" fontId="22" fillId="6" borderId="43" xfId="0" applyFont="1" applyFill="1" applyBorder="1" applyAlignment="1">
      <alignment horizontal="centerContinuous" vertical="center" wrapText="1"/>
    </xf>
    <xf numFmtId="0" fontId="22" fillId="6" borderId="13" xfId="0" applyFont="1" applyFill="1" applyBorder="1" applyAlignment="1">
      <alignment horizontal="centerContinuous" vertical="center" wrapText="1"/>
    </xf>
    <xf numFmtId="0" fontId="22" fillId="6" borderId="26" xfId="0" applyFont="1" applyFill="1" applyBorder="1" applyAlignment="1">
      <alignment horizontal="center" vertical="center" wrapText="1"/>
    </xf>
    <xf numFmtId="0" fontId="22" fillId="7" borderId="6" xfId="0" applyFont="1" applyFill="1" applyBorder="1" applyAlignment="1">
      <alignment horizontal="centerContinuous" vertical="center" wrapText="1"/>
    </xf>
    <xf numFmtId="0" fontId="22" fillId="7" borderId="12" xfId="0" applyFont="1" applyFill="1" applyBorder="1" applyAlignment="1">
      <alignment horizontal="centerContinuous" vertical="center" wrapText="1"/>
    </xf>
    <xf numFmtId="0" fontId="22" fillId="7" borderId="43" xfId="0" applyFont="1" applyFill="1" applyBorder="1" applyAlignment="1">
      <alignment horizontal="centerContinuous" vertical="center" wrapText="1"/>
    </xf>
    <xf numFmtId="0" fontId="22" fillId="7" borderId="13" xfId="0" applyFont="1" applyFill="1" applyBorder="1" applyAlignment="1">
      <alignment horizontal="centerContinuous" vertical="center" wrapText="1"/>
    </xf>
    <xf numFmtId="0" fontId="22" fillId="7" borderId="26" xfId="0" applyFont="1" applyFill="1" applyBorder="1" applyAlignment="1">
      <alignment horizontal="center" vertical="center" wrapText="1"/>
    </xf>
    <xf numFmtId="0" fontId="22" fillId="10" borderId="25" xfId="0" applyFont="1" applyFill="1" applyBorder="1" applyAlignment="1">
      <alignment horizontal="center" vertical="center" wrapText="1"/>
    </xf>
    <xf numFmtId="0" fontId="22" fillId="10" borderId="26" xfId="0" applyFont="1" applyFill="1" applyBorder="1" applyAlignment="1">
      <alignment horizontal="center" vertical="center" wrapText="1"/>
    </xf>
    <xf numFmtId="0" fontId="22" fillId="9" borderId="27" xfId="0" applyFont="1" applyFill="1" applyBorder="1" applyAlignment="1">
      <alignment horizontal="centerContinuous" vertical="center" wrapText="1"/>
    </xf>
    <xf numFmtId="0" fontId="22" fillId="9" borderId="25" xfId="0" applyFont="1" applyFill="1" applyBorder="1" applyAlignment="1">
      <alignment horizontal="centerContinuous" vertical="center" wrapText="1"/>
    </xf>
    <xf numFmtId="0" fontId="22" fillId="9" borderId="6" xfId="0" applyFont="1" applyFill="1" applyBorder="1" applyAlignment="1">
      <alignment horizontal="centerContinuous" vertical="center" wrapText="1"/>
    </xf>
    <xf numFmtId="0" fontId="22" fillId="9" borderId="26" xfId="0" applyFont="1" applyFill="1" applyBorder="1" applyAlignment="1">
      <alignment horizontal="center" vertical="center" wrapText="1"/>
    </xf>
    <xf numFmtId="0" fontId="22" fillId="10" borderId="27" xfId="0" applyFont="1" applyFill="1" applyBorder="1" applyAlignment="1">
      <alignment horizontal="centerContinuous" vertical="center" wrapText="1"/>
    </xf>
    <xf numFmtId="0" fontId="22" fillId="10" borderId="25" xfId="0" applyFont="1" applyFill="1" applyBorder="1" applyAlignment="1">
      <alignment horizontal="centerContinuous" vertical="center" wrapText="1"/>
    </xf>
    <xf numFmtId="0" fontId="22" fillId="10" borderId="6" xfId="0" applyFont="1" applyFill="1" applyBorder="1" applyAlignment="1">
      <alignment horizontal="centerContinuous" vertical="center" wrapText="1"/>
    </xf>
    <xf numFmtId="0" fontId="22" fillId="9" borderId="2" xfId="0" applyFont="1" applyFill="1" applyBorder="1" applyAlignment="1">
      <alignment horizontal="center" vertical="center" wrapText="1"/>
    </xf>
    <xf numFmtId="0" fontId="22" fillId="3" borderId="4" xfId="0" applyFont="1" applyFill="1" applyBorder="1" applyAlignment="1">
      <alignment horizontal="center" vertical="center" wrapText="1"/>
    </xf>
    <xf numFmtId="0" fontId="22" fillId="3" borderId="38" xfId="0" applyFont="1" applyFill="1" applyBorder="1" applyAlignment="1">
      <alignment horizontal="center" vertical="center" wrapText="1"/>
    </xf>
    <xf numFmtId="0" fontId="22" fillId="3" borderId="18" xfId="0" applyFont="1" applyFill="1" applyBorder="1" applyAlignment="1">
      <alignment horizontal="center" vertical="center" wrapText="1"/>
    </xf>
    <xf numFmtId="0" fontId="22" fillId="9" borderId="2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38" xfId="0" applyFont="1" applyFill="1" applyBorder="1" applyAlignment="1">
      <alignment horizontal="center" vertical="center" wrapText="1"/>
    </xf>
    <xf numFmtId="0" fontId="22" fillId="5" borderId="18" xfId="0" applyFont="1" applyFill="1" applyBorder="1" applyAlignment="1">
      <alignment horizontal="center" vertical="center" wrapText="1"/>
    </xf>
    <xf numFmtId="0" fontId="22" fillId="6" borderId="2" xfId="0" applyFont="1" applyFill="1" applyBorder="1" applyAlignment="1">
      <alignment horizontal="center" vertical="center" wrapText="1"/>
    </xf>
    <xf numFmtId="0" fontId="22" fillId="6" borderId="4" xfId="0" applyFont="1" applyFill="1" applyBorder="1" applyAlignment="1">
      <alignment horizontal="center" vertical="center" wrapText="1"/>
    </xf>
    <xf numFmtId="0" fontId="22" fillId="6" borderId="38" xfId="0" applyFont="1" applyFill="1" applyBorder="1" applyAlignment="1">
      <alignment horizontal="center" vertical="center" wrapText="1"/>
    </xf>
    <xf numFmtId="0" fontId="22" fillId="6" borderId="18" xfId="0" applyFont="1" applyFill="1" applyBorder="1" applyAlignment="1">
      <alignment horizontal="center" vertical="center" wrapText="1"/>
    </xf>
    <xf numFmtId="0" fontId="22" fillId="7" borderId="2" xfId="0" applyFont="1" applyFill="1" applyBorder="1" applyAlignment="1">
      <alignment horizontal="center" vertical="center" wrapText="1"/>
    </xf>
    <xf numFmtId="0" fontId="22" fillId="7" borderId="4" xfId="0" applyFont="1" applyFill="1" applyBorder="1" applyAlignment="1">
      <alignment horizontal="center" vertical="center" wrapText="1"/>
    </xf>
    <xf numFmtId="0" fontId="22" fillId="7" borderId="38" xfId="0" applyFont="1" applyFill="1" applyBorder="1" applyAlignment="1">
      <alignment horizontal="center" vertical="center" wrapText="1"/>
    </xf>
    <xf numFmtId="0" fontId="22" fillId="7" borderId="18" xfId="0" applyFont="1" applyFill="1" applyBorder="1" applyAlignment="1">
      <alignment horizontal="center" vertical="center" wrapText="1"/>
    </xf>
    <xf numFmtId="0" fontId="22" fillId="10" borderId="2" xfId="0" applyFont="1" applyFill="1" applyBorder="1" applyAlignment="1">
      <alignment horizontal="center" vertical="center" wrapText="1"/>
    </xf>
    <xf numFmtId="0" fontId="22" fillId="10" borderId="18" xfId="0" applyFont="1" applyFill="1" applyBorder="1" applyAlignment="1">
      <alignment horizontal="center" vertical="center" wrapText="1"/>
    </xf>
    <xf numFmtId="0" fontId="22" fillId="9" borderId="4" xfId="0" applyFont="1" applyFill="1" applyBorder="1" applyAlignment="1">
      <alignment horizontal="center" vertical="center" wrapText="1"/>
    </xf>
    <xf numFmtId="0" fontId="22" fillId="9" borderId="18" xfId="0" applyFont="1" applyFill="1" applyBorder="1" applyAlignment="1">
      <alignment horizontal="center" vertical="center" wrapText="1"/>
    </xf>
    <xf numFmtId="0" fontId="22" fillId="10" borderId="21" xfId="0" applyFont="1" applyFill="1" applyBorder="1" applyAlignment="1">
      <alignment horizontal="center" vertical="center" wrapText="1"/>
    </xf>
    <xf numFmtId="0" fontId="22" fillId="10" borderId="4" xfId="0" applyFont="1" applyFill="1" applyBorder="1" applyAlignment="1">
      <alignment horizontal="center" vertical="center" wrapText="1"/>
    </xf>
    <xf numFmtId="0" fontId="22" fillId="0" borderId="4" xfId="0" applyFont="1" applyBorder="1" applyAlignment="1">
      <alignment horizontal="center" vertical="center" wrapText="1"/>
    </xf>
    <xf numFmtId="0" fontId="21" fillId="0" borderId="0" xfId="0" applyFont="1" applyAlignment="1">
      <alignment horizontal="center" vertical="center" wrapText="1"/>
    </xf>
    <xf numFmtId="0" fontId="23" fillId="0" borderId="4" xfId="0" applyFont="1" applyBorder="1" applyAlignment="1">
      <alignment horizontal="center" vertical="center" wrapText="1"/>
    </xf>
    <xf numFmtId="0" fontId="23" fillId="9" borderId="24" xfId="0" applyFont="1" applyFill="1" applyBorder="1" applyAlignment="1">
      <alignment horizontal="center" vertical="center" wrapText="1"/>
    </xf>
    <xf numFmtId="0" fontId="23" fillId="3" borderId="37" xfId="0" applyFont="1" applyFill="1" applyBorder="1" applyAlignment="1">
      <alignment horizontal="center" vertical="center" wrapText="1"/>
    </xf>
    <xf numFmtId="0" fontId="23" fillId="3" borderId="39" xfId="0" applyFont="1" applyFill="1" applyBorder="1" applyAlignment="1">
      <alignment horizontal="center" vertical="center" wrapText="1"/>
    </xf>
    <xf numFmtId="0" fontId="23" fillId="3" borderId="28" xfId="0" applyFont="1" applyFill="1" applyBorder="1" applyAlignment="1">
      <alignment horizontal="center" vertical="center" wrapText="1"/>
    </xf>
    <xf numFmtId="0" fontId="23" fillId="9" borderId="29"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23" fillId="5" borderId="37" xfId="0" applyFont="1" applyFill="1" applyBorder="1" applyAlignment="1">
      <alignment horizontal="center" vertical="center" wrapText="1"/>
    </xf>
    <xf numFmtId="0" fontId="23" fillId="5" borderId="39" xfId="0" applyFont="1" applyFill="1" applyBorder="1" applyAlignment="1">
      <alignment horizontal="center" vertical="center" wrapText="1"/>
    </xf>
    <xf numFmtId="0" fontId="23" fillId="5" borderId="28" xfId="0" applyFont="1" applyFill="1" applyBorder="1" applyAlignment="1">
      <alignment horizontal="center" vertical="center" wrapText="1"/>
    </xf>
    <xf numFmtId="0" fontId="23" fillId="6" borderId="24" xfId="0" applyFont="1" applyFill="1" applyBorder="1" applyAlignment="1">
      <alignment horizontal="center" vertical="center" wrapText="1"/>
    </xf>
    <xf numFmtId="0" fontId="23" fillId="6" borderId="37" xfId="0" applyFont="1" applyFill="1" applyBorder="1" applyAlignment="1">
      <alignment horizontal="center" vertical="center" wrapText="1"/>
    </xf>
    <xf numFmtId="0" fontId="23" fillId="6" borderId="39" xfId="0" applyFont="1" applyFill="1" applyBorder="1" applyAlignment="1">
      <alignment horizontal="center" vertical="center" wrapText="1"/>
    </xf>
    <xf numFmtId="0" fontId="23" fillId="6" borderId="28" xfId="0" applyFont="1" applyFill="1" applyBorder="1" applyAlignment="1">
      <alignment horizontal="center" vertical="center" wrapText="1"/>
    </xf>
    <xf numFmtId="0" fontId="23" fillId="7" borderId="24" xfId="0" applyFont="1" applyFill="1" applyBorder="1" applyAlignment="1">
      <alignment horizontal="center" vertical="center" wrapText="1"/>
    </xf>
    <xf numFmtId="0" fontId="23" fillId="7" borderId="37" xfId="0" applyFont="1" applyFill="1" applyBorder="1" applyAlignment="1">
      <alignment horizontal="center" vertical="center" wrapText="1"/>
    </xf>
    <xf numFmtId="0" fontId="23" fillId="7" borderId="39" xfId="0" applyFont="1" applyFill="1" applyBorder="1" applyAlignment="1">
      <alignment horizontal="center" vertical="center" wrapText="1"/>
    </xf>
    <xf numFmtId="0" fontId="23" fillId="7" borderId="28" xfId="0" applyFont="1" applyFill="1" applyBorder="1" applyAlignment="1">
      <alignment horizontal="center" vertical="center" wrapText="1"/>
    </xf>
    <xf numFmtId="0" fontId="23" fillId="10" borderId="24" xfId="0" applyFont="1" applyFill="1" applyBorder="1" applyAlignment="1">
      <alignment horizontal="center" vertical="center" wrapText="1"/>
    </xf>
    <xf numFmtId="0" fontId="23" fillId="10" borderId="28" xfId="0" applyFont="1" applyFill="1" applyBorder="1" applyAlignment="1">
      <alignment horizontal="center" vertical="center" wrapText="1"/>
    </xf>
    <xf numFmtId="0" fontId="23" fillId="9" borderId="37" xfId="0" applyFont="1" applyFill="1" applyBorder="1" applyAlignment="1">
      <alignment horizontal="center" vertical="center" wrapText="1"/>
    </xf>
    <xf numFmtId="0" fontId="23" fillId="9" borderId="28" xfId="0" applyFont="1" applyFill="1" applyBorder="1" applyAlignment="1">
      <alignment horizontal="center" vertical="center" wrapText="1"/>
    </xf>
    <xf numFmtId="0" fontId="23" fillId="10" borderId="29" xfId="0" applyFont="1" applyFill="1" applyBorder="1" applyAlignment="1">
      <alignment horizontal="center" vertical="center" wrapText="1"/>
    </xf>
    <xf numFmtId="0" fontId="23" fillId="10" borderId="37" xfId="0" quotePrefix="1" applyFont="1" applyFill="1" applyBorder="1" applyAlignment="1">
      <alignment horizontal="center" vertical="center" wrapText="1"/>
    </xf>
    <xf numFmtId="0" fontId="0" fillId="0" borderId="0" xfId="0" applyAlignment="1">
      <alignment vertical="center" wrapText="1"/>
    </xf>
    <xf numFmtId="0" fontId="22" fillId="0" borderId="2" xfId="0" applyFont="1" applyBorder="1" applyAlignment="1">
      <alignment vertical="center" wrapText="1"/>
    </xf>
    <xf numFmtId="0" fontId="22" fillId="0" borderId="25" xfId="0" applyFont="1" applyBorder="1" applyAlignment="1">
      <alignment horizontal="center" vertical="center" wrapText="1"/>
    </xf>
    <xf numFmtId="0" fontId="22" fillId="0" borderId="40" xfId="0" applyFont="1" applyBorder="1" applyAlignment="1">
      <alignment vertical="center" wrapText="1"/>
    </xf>
    <xf numFmtId="0" fontId="0" fillId="0" borderId="26" xfId="0" applyBorder="1" applyAlignment="1">
      <alignment vertical="center"/>
    </xf>
    <xf numFmtId="0" fontId="22" fillId="0" borderId="27" xfId="0" applyFont="1" applyBorder="1" applyAlignment="1">
      <alignment horizontal="center" vertical="center" wrapText="1"/>
    </xf>
    <xf numFmtId="0" fontId="22" fillId="0" borderId="25" xfId="0" applyFont="1" applyBorder="1" applyAlignment="1">
      <alignment vertical="center" wrapText="1"/>
    </xf>
    <xf numFmtId="0" fontId="22" fillId="0" borderId="26" xfId="0" applyFont="1" applyBorder="1" applyAlignment="1">
      <alignment vertical="center" wrapText="1"/>
    </xf>
    <xf numFmtId="0" fontId="22" fillId="0" borderId="26" xfId="0" applyFont="1" applyBorder="1" applyAlignment="1">
      <alignment horizontal="center" vertical="center" wrapText="1"/>
    </xf>
    <xf numFmtId="3" fontId="0" fillId="0" borderId="0" xfId="0" applyNumberFormat="1" applyAlignment="1">
      <alignment vertical="center" wrapText="1"/>
    </xf>
    <xf numFmtId="3" fontId="0" fillId="0" borderId="0" xfId="0" applyNumberFormat="1"/>
    <xf numFmtId="0" fontId="0" fillId="0" borderId="2" xfId="0" applyBorder="1"/>
    <xf numFmtId="3" fontId="22" fillId="0" borderId="2" xfId="0" applyNumberFormat="1" applyFont="1" applyBorder="1" applyAlignment="1">
      <alignment horizontal="center" vertical="center" wrapText="1"/>
    </xf>
    <xf numFmtId="3" fontId="22" fillId="0" borderId="4" xfId="0" applyNumberFormat="1" applyFont="1" applyBorder="1" applyAlignment="1">
      <alignment horizontal="center" vertical="center" wrapText="1"/>
    </xf>
    <xf numFmtId="3" fontId="22" fillId="0" borderId="38" xfId="0" applyNumberFormat="1" applyFont="1" applyBorder="1" applyAlignment="1">
      <alignment vertical="center" wrapText="1"/>
    </xf>
    <xf numFmtId="0" fontId="0" fillId="0" borderId="18" xfId="0" applyBorder="1" applyAlignment="1">
      <alignment vertical="center"/>
    </xf>
    <xf numFmtId="3" fontId="22" fillId="0" borderId="21" xfId="0" applyNumberFormat="1" applyFont="1" applyBorder="1" applyAlignment="1">
      <alignment horizontal="center" vertical="center" wrapText="1"/>
    </xf>
    <xf numFmtId="3" fontId="22" fillId="0" borderId="2" xfId="0" applyNumberFormat="1" applyFont="1" applyBorder="1" applyAlignment="1">
      <alignment vertical="center" wrapText="1"/>
    </xf>
    <xf numFmtId="3" fontId="22" fillId="0" borderId="18" xfId="0" applyNumberFormat="1" applyFont="1" applyBorder="1" applyAlignment="1">
      <alignment vertical="center" wrapText="1"/>
    </xf>
    <xf numFmtId="3" fontId="22" fillId="0" borderId="18" xfId="0" applyNumberFormat="1" applyFont="1" applyBorder="1" applyAlignment="1">
      <alignment horizontal="center" vertical="center" wrapText="1"/>
    </xf>
    <xf numFmtId="0" fontId="0" fillId="0" borderId="0" xfId="0" applyAlignment="1">
      <alignment vertical="center"/>
    </xf>
    <xf numFmtId="0" fontId="22" fillId="0" borderId="7" xfId="0" applyFont="1" applyBorder="1" applyAlignment="1">
      <alignment vertical="center"/>
    </xf>
    <xf numFmtId="0" fontId="0" fillId="0" borderId="7" xfId="0" applyBorder="1" applyAlignment="1">
      <alignment horizontal="center" vertical="center"/>
    </xf>
    <xf numFmtId="0" fontId="0" fillId="0" borderId="1" xfId="0" applyBorder="1" applyAlignment="1">
      <alignment horizontal="center" vertical="center"/>
    </xf>
    <xf numFmtId="0" fontId="0" fillId="0" borderId="41" xfId="0" applyBorder="1" applyAlignment="1">
      <alignment vertical="center"/>
    </xf>
    <xf numFmtId="0" fontId="0" fillId="0" borderId="19" xfId="0" applyBorder="1" applyAlignment="1">
      <alignment vertical="center"/>
    </xf>
    <xf numFmtId="0" fontId="0" fillId="0" borderId="22" xfId="0" applyBorder="1" applyAlignment="1">
      <alignment horizontal="center" vertical="center"/>
    </xf>
    <xf numFmtId="0" fontId="0" fillId="0" borderId="7" xfId="0" applyBorder="1" applyAlignment="1">
      <alignment vertical="center"/>
    </xf>
    <xf numFmtId="0" fontId="0" fillId="0" borderId="30" xfId="0" applyBorder="1" applyAlignment="1">
      <alignment horizontal="center" vertical="center"/>
    </xf>
    <xf numFmtId="0" fontId="0" fillId="0" borderId="8" xfId="0" applyBorder="1" applyAlignment="1">
      <alignment horizontal="center" vertical="center"/>
    </xf>
    <xf numFmtId="0" fontId="0" fillId="0" borderId="31" xfId="0" applyBorder="1" applyAlignment="1">
      <alignment vertical="center"/>
    </xf>
    <xf numFmtId="0" fontId="0" fillId="0" borderId="14" xfId="0" applyBorder="1" applyAlignment="1">
      <alignment horizontal="center" vertical="center"/>
    </xf>
    <xf numFmtId="0" fontId="0" fillId="0" borderId="31" xfId="0" applyBorder="1" applyAlignment="1">
      <alignment horizontal="center" vertical="center"/>
    </xf>
    <xf numFmtId="3" fontId="0" fillId="0" borderId="0" xfId="0" applyNumberFormat="1" applyAlignment="1">
      <alignment vertical="center"/>
    </xf>
    <xf numFmtId="0" fontId="22" fillId="0" borderId="9" xfId="0" applyFont="1" applyBorder="1" applyAlignment="1">
      <alignment vertical="center"/>
    </xf>
    <xf numFmtId="3" fontId="22" fillId="9" borderId="9" xfId="0" applyNumberFormat="1" applyFont="1" applyFill="1" applyBorder="1" applyAlignment="1">
      <alignment horizontal="center" vertical="center"/>
    </xf>
    <xf numFmtId="3" fontId="22" fillId="9" borderId="15" xfId="0" applyNumberFormat="1" applyFont="1" applyFill="1" applyBorder="1" applyAlignment="1">
      <alignment horizontal="center" vertical="center"/>
    </xf>
    <xf numFmtId="3" fontId="22" fillId="9" borderId="42" xfId="0" applyNumberFormat="1" applyFont="1" applyFill="1" applyBorder="1" applyAlignment="1">
      <alignment horizontal="center" vertical="center"/>
    </xf>
    <xf numFmtId="3" fontId="22" fillId="11" borderId="20" xfId="0" applyNumberFormat="1" applyFont="1" applyFill="1" applyBorder="1" applyAlignment="1">
      <alignment vertical="center"/>
    </xf>
    <xf numFmtId="3" fontId="22" fillId="9" borderId="23" xfId="0" applyNumberFormat="1" applyFont="1" applyFill="1" applyBorder="1" applyAlignment="1">
      <alignment horizontal="center" vertical="center"/>
    </xf>
    <xf numFmtId="3" fontId="22" fillId="9" borderId="20" xfId="0" applyNumberFormat="1" applyFont="1" applyFill="1" applyBorder="1" applyAlignment="1">
      <alignment horizontal="center" vertical="center"/>
    </xf>
    <xf numFmtId="3" fontId="22" fillId="10" borderId="23" xfId="0" applyNumberFormat="1" applyFont="1" applyFill="1" applyBorder="1" applyAlignment="1">
      <alignment horizontal="center" vertical="center"/>
    </xf>
    <xf numFmtId="3" fontId="22" fillId="10" borderId="9" xfId="0" applyNumberFormat="1" applyFont="1" applyFill="1" applyBorder="1" applyAlignment="1">
      <alignment horizontal="center" vertical="center"/>
    </xf>
    <xf numFmtId="3" fontId="22" fillId="10" borderId="15" xfId="0" applyNumberFormat="1" applyFont="1" applyFill="1" applyBorder="1" applyAlignment="1">
      <alignment horizontal="center" vertical="center"/>
    </xf>
    <xf numFmtId="3" fontId="22" fillId="10" borderId="20" xfId="0" applyNumberFormat="1" applyFont="1" applyFill="1" applyBorder="1" applyAlignment="1">
      <alignment horizontal="center" vertical="center"/>
    </xf>
    <xf numFmtId="9" fontId="0" fillId="0" borderId="0" xfId="0" applyNumberFormat="1"/>
    <xf numFmtId="43" fontId="0" fillId="0" borderId="0" xfId="2" applyFont="1"/>
    <xf numFmtId="43" fontId="0" fillId="0" borderId="0" xfId="0" applyNumberFormat="1"/>
    <xf numFmtId="0" fontId="0" fillId="0" borderId="1" xfId="0" applyBorder="1" applyAlignment="1">
      <alignment vertical="center" wrapText="1"/>
    </xf>
    <xf numFmtId="0" fontId="0" fillId="0" borderId="10" xfId="0" applyBorder="1" applyAlignment="1">
      <alignment vertical="center" wrapText="1"/>
    </xf>
    <xf numFmtId="0" fontId="22" fillId="9" borderId="4" xfId="0" applyFont="1" applyFill="1" applyBorder="1" applyAlignment="1">
      <alignment horizontal="centerContinuous" vertical="center" wrapText="1"/>
    </xf>
    <xf numFmtId="0" fontId="22" fillId="9" borderId="3" xfId="0" applyFont="1" applyFill="1" applyBorder="1" applyAlignment="1">
      <alignment horizontal="centerContinuous" vertical="center" wrapText="1"/>
    </xf>
    <xf numFmtId="0" fontId="22" fillId="9" borderId="5" xfId="0" applyFont="1" applyFill="1" applyBorder="1" applyAlignment="1">
      <alignment horizontal="centerContinuous" vertical="center" wrapText="1"/>
    </xf>
    <xf numFmtId="0" fontId="22" fillId="12" borderId="4" xfId="0" applyFont="1" applyFill="1" applyBorder="1" applyAlignment="1">
      <alignment horizontal="centerContinuous" vertical="center" wrapText="1"/>
    </xf>
    <xf numFmtId="0" fontId="22" fillId="12" borderId="3" xfId="0" applyFont="1" applyFill="1" applyBorder="1" applyAlignment="1">
      <alignment horizontal="centerContinuous" vertical="center" wrapText="1"/>
    </xf>
    <xf numFmtId="0" fontId="22" fillId="3" borderId="4" xfId="0" applyFont="1" applyFill="1" applyBorder="1" applyAlignment="1">
      <alignment horizontal="centerContinuous" vertical="center" wrapText="1"/>
    </xf>
    <xf numFmtId="0" fontId="22" fillId="3" borderId="3" xfId="0" applyFont="1" applyFill="1" applyBorder="1" applyAlignment="1">
      <alignment horizontal="centerContinuous" vertical="center" wrapText="1"/>
    </xf>
    <xf numFmtId="0" fontId="22" fillId="3" borderId="5" xfId="0" applyFont="1" applyFill="1" applyBorder="1" applyAlignment="1">
      <alignment horizontal="centerContinuous" vertical="center" wrapText="1"/>
    </xf>
    <xf numFmtId="0" fontId="22" fillId="5" borderId="4" xfId="0" applyFont="1" applyFill="1" applyBorder="1" applyAlignment="1">
      <alignment horizontal="centerContinuous" vertical="center" wrapText="1"/>
    </xf>
    <xf numFmtId="0" fontId="22" fillId="5" borderId="3" xfId="0" applyFont="1" applyFill="1" applyBorder="1" applyAlignment="1">
      <alignment horizontal="centerContinuous" vertical="center" wrapText="1"/>
    </xf>
    <xf numFmtId="0" fontId="22" fillId="5" borderId="5" xfId="0" applyFont="1" applyFill="1" applyBorder="1" applyAlignment="1">
      <alignment horizontal="centerContinuous" vertical="center" wrapText="1"/>
    </xf>
    <xf numFmtId="0" fontId="22" fillId="6" borderId="4" xfId="0" applyFont="1" applyFill="1" applyBorder="1" applyAlignment="1">
      <alignment horizontal="centerContinuous" vertical="center" wrapText="1"/>
    </xf>
    <xf numFmtId="0" fontId="22" fillId="6" borderId="3" xfId="0" applyFont="1" applyFill="1" applyBorder="1" applyAlignment="1">
      <alignment horizontal="centerContinuous" vertical="center" wrapText="1"/>
    </xf>
    <xf numFmtId="0" fontId="22" fillId="6" borderId="5" xfId="0" applyFont="1" applyFill="1" applyBorder="1" applyAlignment="1">
      <alignment horizontal="centerContinuous" vertical="center" wrapText="1"/>
    </xf>
    <xf numFmtId="0" fontId="22" fillId="7" borderId="4" xfId="0" applyFont="1" applyFill="1" applyBorder="1" applyAlignment="1">
      <alignment horizontal="centerContinuous" vertical="center" wrapText="1"/>
    </xf>
    <xf numFmtId="0" fontId="22" fillId="7" borderId="3" xfId="0" applyFont="1" applyFill="1" applyBorder="1" applyAlignment="1">
      <alignment horizontal="centerContinuous" vertical="center" wrapText="1"/>
    </xf>
    <xf numFmtId="0" fontId="22" fillId="7" borderId="5" xfId="0" applyFont="1" applyFill="1" applyBorder="1" applyAlignment="1">
      <alignment horizontal="centerContinuous" vertical="center" wrapText="1"/>
    </xf>
    <xf numFmtId="0" fontId="22" fillId="8" borderId="1" xfId="0" applyFont="1" applyFill="1" applyBorder="1" applyAlignment="1">
      <alignment horizontal="centerContinuous" vertical="center" wrapText="1"/>
    </xf>
    <xf numFmtId="0" fontId="22" fillId="8" borderId="10" xfId="0" applyFont="1" applyFill="1" applyBorder="1" applyAlignment="1">
      <alignment horizontal="centerContinuous" vertical="center" wrapText="1"/>
    </xf>
    <xf numFmtId="0" fontId="22" fillId="8" borderId="11" xfId="0" applyFont="1" applyFill="1" applyBorder="1" applyAlignment="1">
      <alignment horizontal="centerContinuous" vertical="center" wrapText="1"/>
    </xf>
    <xf numFmtId="0" fontId="22" fillId="9" borderId="4" xfId="0" applyFont="1" applyFill="1" applyBorder="1" applyAlignment="1">
      <alignment vertical="center" wrapText="1"/>
    </xf>
    <xf numFmtId="0" fontId="22" fillId="9" borderId="5" xfId="0" applyFont="1" applyFill="1" applyBorder="1" applyAlignment="1">
      <alignment vertical="center" wrapText="1"/>
    </xf>
    <xf numFmtId="0" fontId="22" fillId="8" borderId="4" xfId="0" applyFont="1" applyFill="1" applyBorder="1" applyAlignment="1">
      <alignment horizontal="centerContinuous" vertical="center" wrapText="1"/>
    </xf>
    <xf numFmtId="0" fontId="22" fillId="8" borderId="3" xfId="0" applyFont="1" applyFill="1" applyBorder="1" applyAlignment="1">
      <alignment horizontal="centerContinuous" vertical="center" wrapText="1"/>
    </xf>
    <xf numFmtId="0" fontId="22" fillId="8" borderId="5" xfId="0" applyFont="1" applyFill="1" applyBorder="1" applyAlignment="1">
      <alignment horizontal="centerContinuous" vertical="center" wrapText="1"/>
    </xf>
    <xf numFmtId="0" fontId="0" fillId="0" borderId="6" xfId="0" applyBorder="1" applyAlignment="1">
      <alignment horizontal="center" vertical="center" wrapText="1"/>
    </xf>
    <xf numFmtId="0" fontId="0" fillId="0" borderId="12" xfId="0" applyBorder="1" applyAlignment="1">
      <alignment horizontal="center" vertical="center" wrapText="1"/>
    </xf>
    <xf numFmtId="0" fontId="22" fillId="12" borderId="5" xfId="0" applyFont="1" applyFill="1" applyBorder="1" applyAlignment="1">
      <alignment horizontal="centerContinuous" vertical="center" wrapText="1"/>
    </xf>
    <xf numFmtId="0" fontId="22" fillId="3" borderId="2" xfId="0" applyFont="1" applyFill="1" applyBorder="1" applyAlignment="1">
      <alignment horizontal="center" vertical="center" wrapText="1"/>
    </xf>
    <xf numFmtId="0" fontId="22" fillId="8" borderId="6" xfId="0" applyFont="1" applyFill="1" applyBorder="1" applyAlignment="1">
      <alignment horizontal="centerContinuous" vertical="center" wrapText="1"/>
    </xf>
    <xf numFmtId="0" fontId="22" fillId="8" borderId="12" xfId="0" applyFont="1" applyFill="1" applyBorder="1" applyAlignment="1">
      <alignment horizontal="centerContinuous" vertical="center" wrapText="1"/>
    </xf>
    <xf numFmtId="0" fontId="22" fillId="8" borderId="13" xfId="0" applyFont="1" applyFill="1" applyBorder="1" applyAlignment="1">
      <alignment horizontal="centerContinuous" vertical="center" wrapText="1"/>
    </xf>
    <xf numFmtId="0" fontId="21" fillId="12" borderId="14" xfId="0" applyFont="1" applyFill="1" applyBorder="1" applyAlignment="1">
      <alignment horizontal="center" vertical="center" wrapText="1"/>
    </xf>
    <xf numFmtId="0" fontId="21" fillId="9" borderId="2" xfId="0" applyFont="1" applyFill="1" applyBorder="1" applyAlignment="1">
      <alignment horizontal="center" vertical="center" wrapText="1"/>
    </xf>
    <xf numFmtId="0" fontId="22" fillId="0" borderId="2" xfId="0" applyFont="1" applyBorder="1" applyAlignment="1">
      <alignment horizontal="center" vertical="center" wrapText="1"/>
    </xf>
    <xf numFmtId="0" fontId="0" fillId="0" borderId="2" xfId="0" applyBorder="1" applyAlignment="1">
      <alignment horizontal="center" vertical="center" wrapText="1"/>
    </xf>
    <xf numFmtId="0" fontId="0" fillId="12" borderId="2" xfId="0" applyFill="1" applyBorder="1" applyAlignment="1">
      <alignment horizontal="center" vertical="center" wrapText="1"/>
    </xf>
    <xf numFmtId="0" fontId="22" fillId="12" borderId="2" xfId="0" applyFont="1" applyFill="1" applyBorder="1" applyAlignment="1">
      <alignment horizontal="center" vertical="center" wrapText="1"/>
    </xf>
    <xf numFmtId="0" fontId="0" fillId="9" borderId="2" xfId="0" applyFill="1" applyBorder="1" applyAlignment="1">
      <alignment horizontal="center" vertical="center" wrapText="1"/>
    </xf>
    <xf numFmtId="0" fontId="0" fillId="3" borderId="2" xfId="0" applyFill="1" applyBorder="1" applyAlignment="1">
      <alignment horizontal="center" vertical="center" wrapText="1"/>
    </xf>
    <xf numFmtId="0" fontId="0" fillId="5" borderId="2" xfId="0" applyFill="1" applyBorder="1" applyAlignment="1">
      <alignment horizontal="center" vertical="center" wrapText="1"/>
    </xf>
    <xf numFmtId="0" fontId="0" fillId="6" borderId="2" xfId="0" applyFill="1" applyBorder="1" applyAlignment="1">
      <alignment horizontal="center" vertical="center" wrapText="1"/>
    </xf>
    <xf numFmtId="0" fontId="0" fillId="7" borderId="2" xfId="0" applyFill="1" applyBorder="1" applyAlignment="1">
      <alignment horizontal="center" vertical="center" wrapText="1"/>
    </xf>
    <xf numFmtId="0" fontId="0" fillId="8" borderId="2" xfId="0" applyFill="1" applyBorder="1" applyAlignment="1">
      <alignment horizontal="center" vertical="center" wrapText="1"/>
    </xf>
    <xf numFmtId="0" fontId="23" fillId="0" borderId="0" xfId="0" applyFont="1" applyAlignment="1">
      <alignment horizontal="center" vertical="center" wrapText="1"/>
    </xf>
    <xf numFmtId="0" fontId="23" fillId="0" borderId="2" xfId="0" applyFont="1" applyBorder="1" applyAlignment="1">
      <alignment horizontal="center" vertical="center" wrapText="1"/>
    </xf>
    <xf numFmtId="0" fontId="23" fillId="12" borderId="2" xfId="0" applyFont="1" applyFill="1" applyBorder="1" applyAlignment="1">
      <alignment horizontal="center" vertical="center" wrapText="1"/>
    </xf>
    <xf numFmtId="0" fontId="23" fillId="9" borderId="2"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3" fillId="6" borderId="2" xfId="0" applyFont="1" applyFill="1" applyBorder="1" applyAlignment="1">
      <alignment horizontal="center" vertical="center" wrapText="1"/>
    </xf>
    <xf numFmtId="0" fontId="23" fillId="7" borderId="2" xfId="0" applyFont="1" applyFill="1" applyBorder="1" applyAlignment="1">
      <alignment horizontal="center" vertical="center" wrapText="1"/>
    </xf>
    <xf numFmtId="0" fontId="25" fillId="6"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10" borderId="4" xfId="0" applyFont="1" applyFill="1" applyBorder="1" applyAlignment="1">
      <alignment horizontal="center" vertical="center" wrapText="1"/>
    </xf>
    <xf numFmtId="0" fontId="25" fillId="12" borderId="2" xfId="0" applyFont="1" applyFill="1" applyBorder="1" applyAlignment="1">
      <alignment horizontal="center" vertical="center" wrapText="1"/>
    </xf>
    <xf numFmtId="0" fontId="25" fillId="9" borderId="2" xfId="0" applyFont="1" applyFill="1" applyBorder="1" applyAlignment="1">
      <alignment horizontal="center" vertical="center" wrapText="1"/>
    </xf>
    <xf numFmtId="0" fontId="23" fillId="8" borderId="2" xfId="0" applyFont="1" applyFill="1" applyBorder="1" applyAlignment="1">
      <alignment horizontal="center" vertical="center" wrapText="1"/>
    </xf>
    <xf numFmtId="0" fontId="22" fillId="0" borderId="0" xfId="0" applyFont="1"/>
    <xf numFmtId="0" fontId="0" fillId="0" borderId="2" xfId="0" applyBorder="1" applyAlignment="1">
      <alignment wrapText="1"/>
    </xf>
    <xf numFmtId="0" fontId="0" fillId="0" borderId="2" xfId="0" applyBorder="1" applyAlignment="1">
      <alignment horizontal="center" wrapText="1"/>
    </xf>
    <xf numFmtId="3" fontId="0" fillId="0" borderId="2" xfId="0" applyNumberFormat="1" applyBorder="1" applyAlignment="1">
      <alignment wrapText="1"/>
    </xf>
    <xf numFmtId="165" fontId="0" fillId="0" borderId="2" xfId="0" applyNumberFormat="1" applyBorder="1" applyAlignment="1">
      <alignment wrapText="1"/>
    </xf>
    <xf numFmtId="3" fontId="0" fillId="0" borderId="2" xfId="0" applyNumberFormat="1" applyBorder="1" applyAlignment="1">
      <alignment horizontal="center" wrapText="1"/>
    </xf>
    <xf numFmtId="166" fontId="0" fillId="0" borderId="2" xfId="0" applyNumberFormat="1" applyBorder="1" applyAlignment="1">
      <alignment wrapText="1"/>
    </xf>
    <xf numFmtId="3" fontId="0" fillId="0" borderId="4" xfId="0" applyNumberFormat="1" applyBorder="1" applyAlignment="1">
      <alignment horizontal="center" wrapText="1"/>
    </xf>
    <xf numFmtId="0" fontId="0" fillId="0" borderId="4" xfId="0" applyBorder="1" applyAlignment="1">
      <alignment wrapText="1"/>
    </xf>
    <xf numFmtId="0" fontId="0" fillId="0" borderId="2" xfId="0" applyBorder="1" applyAlignment="1">
      <alignment horizontal="left"/>
    </xf>
    <xf numFmtId="164" fontId="0" fillId="0" borderId="2" xfId="2" applyNumberFormat="1" applyFont="1" applyBorder="1" applyAlignment="1">
      <alignment horizontal="center" wrapText="1"/>
    </xf>
    <xf numFmtId="4" fontId="0" fillId="0" borderId="2" xfId="2" applyNumberFormat="1" applyFont="1" applyBorder="1" applyAlignment="1">
      <alignment horizontal="center" wrapText="1"/>
    </xf>
    <xf numFmtId="9" fontId="0" fillId="0" borderId="2" xfId="2" applyNumberFormat="1" applyFont="1" applyBorder="1" applyAlignment="1">
      <alignment horizontal="center" wrapText="1"/>
    </xf>
    <xf numFmtId="9" fontId="0" fillId="0" borderId="2" xfId="2" applyNumberFormat="1" applyFont="1" applyFill="1" applyBorder="1" applyAlignment="1">
      <alignment horizontal="center" wrapText="1"/>
    </xf>
    <xf numFmtId="9" fontId="0" fillId="41" borderId="2" xfId="2" applyNumberFormat="1" applyFont="1" applyFill="1" applyBorder="1" applyAlignment="1">
      <alignment horizontal="center" vertical="center" wrapText="1"/>
    </xf>
    <xf numFmtId="9" fontId="0" fillId="23" borderId="2" xfId="2" applyNumberFormat="1" applyFont="1" applyFill="1" applyBorder="1" applyAlignment="1">
      <alignment horizontal="center" vertical="center" wrapText="1"/>
    </xf>
    <xf numFmtId="0" fontId="0" fillId="0" borderId="4" xfId="0" applyBorder="1"/>
    <xf numFmtId="3" fontId="0" fillId="14" borderId="2" xfId="0" applyNumberFormat="1" applyFill="1" applyBorder="1" applyAlignment="1">
      <alignment horizontal="center" wrapText="1"/>
    </xf>
    <xf numFmtId="0" fontId="0" fillId="0" borderId="50" xfId="0" applyBorder="1"/>
    <xf numFmtId="0" fontId="22" fillId="0" borderId="9" xfId="0" applyFont="1" applyBorder="1"/>
    <xf numFmtId="0" fontId="0" fillId="0" borderId="9" xfId="0" applyBorder="1"/>
    <xf numFmtId="0" fontId="0" fillId="0" borderId="15" xfId="0" applyBorder="1"/>
    <xf numFmtId="0" fontId="0" fillId="13" borderId="15" xfId="0" applyFill="1" applyBorder="1" applyAlignment="1">
      <alignment horizontal="center"/>
    </xf>
    <xf numFmtId="0" fontId="0" fillId="13" borderId="16" xfId="0" applyFill="1" applyBorder="1"/>
    <xf numFmtId="0" fontId="0" fillId="13" borderId="17" xfId="0" applyFill="1" applyBorder="1"/>
    <xf numFmtId="3" fontId="0" fillId="9" borderId="9" xfId="0" applyNumberFormat="1" applyFill="1" applyBorder="1" applyAlignment="1">
      <alignment horizontal="center"/>
    </xf>
    <xf numFmtId="3" fontId="22" fillId="9" borderId="9" xfId="0" applyNumberFormat="1" applyFont="1" applyFill="1" applyBorder="1" applyAlignment="1">
      <alignment horizontal="center"/>
    </xf>
    <xf numFmtId="0" fontId="0" fillId="11" borderId="15" xfId="0" applyFill="1" applyBorder="1"/>
    <xf numFmtId="0" fontId="0" fillId="11" borderId="16" xfId="0" applyFill="1" applyBorder="1"/>
    <xf numFmtId="0" fontId="0" fillId="11" borderId="17" xfId="0" applyFill="1" applyBorder="1"/>
    <xf numFmtId="3" fontId="0" fillId="0" borderId="9" xfId="0" applyNumberFormat="1" applyBorder="1"/>
    <xf numFmtId="3" fontId="22" fillId="3" borderId="9" xfId="0" applyNumberFormat="1" applyFont="1" applyFill="1" applyBorder="1" applyAlignment="1">
      <alignment horizontal="center"/>
    </xf>
    <xf numFmtId="3" fontId="22" fillId="5" borderId="9" xfId="0" applyNumberFormat="1" applyFont="1" applyFill="1" applyBorder="1" applyAlignment="1">
      <alignment horizontal="center"/>
    </xf>
    <xf numFmtId="3" fontId="22" fillId="6" borderId="9" xfId="0" applyNumberFormat="1" applyFont="1" applyFill="1" applyBorder="1" applyAlignment="1">
      <alignment horizontal="center"/>
    </xf>
    <xf numFmtId="3" fontId="22" fillId="7" borderId="9" xfId="0" applyNumberFormat="1" applyFont="1" applyFill="1" applyBorder="1" applyAlignment="1">
      <alignment horizontal="center"/>
    </xf>
    <xf numFmtId="3" fontId="22" fillId="10" borderId="9" xfId="0" applyNumberFormat="1" applyFont="1" applyFill="1" applyBorder="1" applyAlignment="1">
      <alignment horizontal="center"/>
    </xf>
    <xf numFmtId="164" fontId="0" fillId="0" borderId="0" xfId="0" applyNumberFormat="1"/>
    <xf numFmtId="0" fontId="26" fillId="0" borderId="0" xfId="0" applyFont="1"/>
    <xf numFmtId="0" fontId="11" fillId="0" borderId="0" xfId="3" applyAlignment="1">
      <alignment vertical="top"/>
    </xf>
    <xf numFmtId="169" fontId="0" fillId="0" borderId="0" xfId="0" applyNumberFormat="1"/>
    <xf numFmtId="0" fontId="27" fillId="0" borderId="0" xfId="0" applyFont="1"/>
    <xf numFmtId="0" fontId="28" fillId="0" borderId="47" xfId="0" applyFont="1" applyBorder="1" applyAlignment="1">
      <alignment vertical="center"/>
    </xf>
    <xf numFmtId="0" fontId="26" fillId="0" borderId="47" xfId="0" applyFont="1" applyBorder="1" applyAlignment="1">
      <alignment vertical="center"/>
    </xf>
    <xf numFmtId="43" fontId="26" fillId="0" borderId="47" xfId="2" applyFont="1" applyBorder="1" applyAlignment="1">
      <alignment vertical="center"/>
    </xf>
    <xf numFmtId="0" fontId="26" fillId="0" borderId="2" xfId="0" applyFont="1" applyBorder="1" applyAlignment="1">
      <alignment vertical="center"/>
    </xf>
    <xf numFmtId="4" fontId="26" fillId="15" borderId="2" xfId="1" applyNumberFormat="1" applyFont="1" applyFill="1" applyBorder="1" applyAlignment="1">
      <alignment vertical="center"/>
    </xf>
    <xf numFmtId="4" fontId="26" fillId="15" borderId="2" xfId="0" applyNumberFormat="1" applyFont="1" applyFill="1" applyBorder="1" applyAlignment="1">
      <alignment vertical="center"/>
    </xf>
    <xf numFmtId="9" fontId="26" fillId="15" borderId="2" xfId="1" applyFont="1" applyFill="1" applyBorder="1" applyAlignment="1">
      <alignment vertical="center"/>
    </xf>
    <xf numFmtId="4" fontId="26" fillId="0" borderId="2" xfId="0" applyNumberFormat="1" applyFont="1" applyBorder="1" applyAlignment="1">
      <alignment vertical="center"/>
    </xf>
    <xf numFmtId="4" fontId="26" fillId="14" borderId="2" xfId="1" applyNumberFormat="1" applyFont="1" applyFill="1" applyBorder="1" applyAlignment="1">
      <alignment vertical="center"/>
    </xf>
    <xf numFmtId="0" fontId="26" fillId="14" borderId="2" xfId="0" applyFont="1" applyFill="1" applyBorder="1" applyAlignment="1">
      <alignment vertical="center"/>
    </xf>
    <xf numFmtId="170" fontId="26" fillId="15" borderId="2" xfId="1" applyNumberFormat="1" applyFont="1" applyFill="1" applyBorder="1" applyAlignment="1">
      <alignment vertical="center"/>
    </xf>
    <xf numFmtId="9" fontId="26" fillId="5" borderId="2" xfId="1" applyFont="1" applyFill="1" applyBorder="1" applyAlignment="1">
      <alignment vertical="center"/>
    </xf>
    <xf numFmtId="0" fontId="26" fillId="16" borderId="2" xfId="0" applyFont="1" applyFill="1" applyBorder="1" applyAlignment="1">
      <alignment vertical="center"/>
    </xf>
    <xf numFmtId="4" fontId="26" fillId="16" borderId="2" xfId="1" applyNumberFormat="1" applyFont="1" applyFill="1" applyBorder="1" applyAlignment="1">
      <alignment vertical="center"/>
    </xf>
    <xf numFmtId="171" fontId="26" fillId="16" borderId="2" xfId="0" applyNumberFormat="1" applyFont="1" applyFill="1" applyBorder="1" applyAlignment="1">
      <alignment vertical="center"/>
    </xf>
    <xf numFmtId="0" fontId="29" fillId="17" borderId="0" xfId="0" applyFont="1" applyFill="1" applyAlignment="1">
      <alignment vertical="center"/>
    </xf>
    <xf numFmtId="0" fontId="0" fillId="17" borderId="0" xfId="0" applyFill="1" applyAlignment="1">
      <alignment vertical="center"/>
    </xf>
    <xf numFmtId="4" fontId="0" fillId="17" borderId="0" xfId="0" applyNumberFormat="1" applyFill="1" applyAlignment="1">
      <alignment vertical="center"/>
    </xf>
    <xf numFmtId="0" fontId="26" fillId="17" borderId="0" xfId="0" applyFont="1" applyFill="1" applyAlignment="1">
      <alignment vertical="center"/>
    </xf>
    <xf numFmtId="0" fontId="0" fillId="17" borderId="0" xfId="0" applyFill="1"/>
    <xf numFmtId="9" fontId="26" fillId="14" borderId="2" xfId="1" applyFont="1" applyFill="1" applyBorder="1" applyAlignment="1">
      <alignment vertical="center"/>
    </xf>
    <xf numFmtId="4" fontId="29" fillId="17" borderId="0" xfId="0" applyNumberFormat="1" applyFont="1" applyFill="1" applyAlignment="1">
      <alignment vertical="center"/>
    </xf>
    <xf numFmtId="0" fontId="29" fillId="17" borderId="0" xfId="0" applyFont="1" applyFill="1"/>
    <xf numFmtId="164" fontId="26" fillId="15" borderId="2" xfId="2" applyNumberFormat="1" applyFont="1" applyFill="1" applyBorder="1" applyAlignment="1">
      <alignment vertical="center"/>
    </xf>
    <xf numFmtId="4" fontId="26" fillId="16" borderId="2" xfId="0" applyNumberFormat="1" applyFont="1" applyFill="1" applyBorder="1" applyAlignment="1">
      <alignment vertical="center"/>
    </xf>
    <xf numFmtId="8" fontId="26" fillId="16" borderId="2" xfId="0" applyNumberFormat="1" applyFont="1" applyFill="1" applyBorder="1" applyAlignment="1">
      <alignment vertical="center"/>
    </xf>
    <xf numFmtId="171" fontId="26" fillId="16" borderId="2" xfId="1" applyNumberFormat="1" applyFont="1" applyFill="1" applyBorder="1" applyAlignment="1">
      <alignment vertical="center"/>
    </xf>
    <xf numFmtId="4" fontId="26" fillId="17" borderId="0" xfId="0" applyNumberFormat="1" applyFont="1" applyFill="1" applyAlignment="1">
      <alignment vertical="center"/>
    </xf>
    <xf numFmtId="0" fontId="29" fillId="0" borderId="0" xfId="0" applyFont="1"/>
    <xf numFmtId="8" fontId="26" fillId="16" borderId="2" xfId="1" applyNumberFormat="1" applyFont="1" applyFill="1" applyBorder="1" applyAlignment="1">
      <alignment vertical="center"/>
    </xf>
    <xf numFmtId="43" fontId="29" fillId="17" borderId="0" xfId="0" applyNumberFormat="1" applyFont="1" applyFill="1" applyAlignment="1">
      <alignment vertical="center"/>
    </xf>
    <xf numFmtId="10" fontId="26" fillId="15" borderId="2" xfId="1" applyNumberFormat="1" applyFont="1" applyFill="1" applyBorder="1" applyAlignment="1">
      <alignment vertical="center"/>
    </xf>
    <xf numFmtId="4" fontId="26" fillId="14" borderId="2" xfId="0" applyNumberFormat="1" applyFont="1" applyFill="1" applyBorder="1" applyAlignment="1">
      <alignment vertical="center"/>
    </xf>
    <xf numFmtId="3" fontId="26" fillId="14" borderId="2" xfId="1" applyNumberFormat="1" applyFont="1" applyFill="1" applyBorder="1" applyAlignment="1">
      <alignment vertical="center"/>
    </xf>
    <xf numFmtId="168" fontId="26" fillId="16" borderId="2" xfId="1" applyNumberFormat="1" applyFont="1" applyFill="1" applyBorder="1" applyAlignment="1">
      <alignment vertical="center"/>
    </xf>
    <xf numFmtId="3" fontId="26" fillId="14" borderId="2" xfId="0" applyNumberFormat="1" applyFont="1" applyFill="1" applyBorder="1" applyAlignment="1">
      <alignment vertical="center"/>
    </xf>
    <xf numFmtId="172" fontId="26" fillId="16" borderId="2" xfId="1" applyNumberFormat="1" applyFont="1" applyFill="1" applyBorder="1" applyAlignment="1">
      <alignment vertical="center"/>
    </xf>
    <xf numFmtId="3" fontId="26" fillId="15" borderId="2" xfId="1" applyNumberFormat="1" applyFont="1" applyFill="1" applyBorder="1" applyAlignment="1">
      <alignment vertical="center"/>
    </xf>
    <xf numFmtId="0" fontId="26" fillId="6" borderId="2" xfId="0" applyFont="1" applyFill="1" applyBorder="1" applyAlignment="1">
      <alignment vertical="center"/>
    </xf>
    <xf numFmtId="4" fontId="26" fillId="6" borderId="2" xfId="0" applyNumberFormat="1" applyFont="1" applyFill="1" applyBorder="1" applyAlignment="1">
      <alignment vertical="center"/>
    </xf>
    <xf numFmtId="0" fontId="26" fillId="6" borderId="2" xfId="0" applyFont="1" applyFill="1" applyBorder="1" applyAlignment="1">
      <alignment horizontal="left" vertical="center"/>
    </xf>
    <xf numFmtId="168" fontId="26" fillId="6" borderId="2" xfId="0" applyNumberFormat="1" applyFont="1" applyFill="1" applyBorder="1" applyAlignment="1">
      <alignment vertical="center"/>
    </xf>
    <xf numFmtId="4" fontId="26" fillId="41" borderId="2" xfId="1" applyNumberFormat="1" applyFont="1" applyFill="1" applyBorder="1" applyAlignment="1">
      <alignment vertical="center"/>
    </xf>
    <xf numFmtId="0" fontId="26" fillId="41" borderId="2" xfId="0" applyFont="1" applyFill="1" applyBorder="1" applyAlignment="1">
      <alignment vertical="center"/>
    </xf>
    <xf numFmtId="4" fontId="26" fillId="6" borderId="2" xfId="1" applyNumberFormat="1" applyFont="1" applyFill="1" applyBorder="1" applyAlignment="1">
      <alignment vertical="center"/>
    </xf>
    <xf numFmtId="43" fontId="26" fillId="15" borderId="2" xfId="2" applyFont="1" applyFill="1" applyBorder="1" applyAlignment="1">
      <alignment vertical="center"/>
    </xf>
    <xf numFmtId="4" fontId="26" fillId="15" borderId="2" xfId="2" applyNumberFormat="1" applyFont="1" applyFill="1" applyBorder="1" applyAlignment="1">
      <alignment vertical="center"/>
    </xf>
    <xf numFmtId="4" fontId="26" fillId="14" borderId="2" xfId="2" applyNumberFormat="1" applyFont="1" applyFill="1" applyBorder="1" applyAlignment="1">
      <alignment vertical="center"/>
    </xf>
    <xf numFmtId="168" fontId="26" fillId="15" borderId="2" xfId="0" applyNumberFormat="1" applyFont="1" applyFill="1" applyBorder="1" applyAlignment="1">
      <alignment vertical="center"/>
    </xf>
    <xf numFmtId="2" fontId="26" fillId="15" borderId="2" xfId="1" applyNumberFormat="1" applyFont="1" applyFill="1" applyBorder="1" applyAlignment="1">
      <alignment vertical="center"/>
    </xf>
    <xf numFmtId="164" fontId="26" fillId="14" borderId="2" xfId="2" applyNumberFormat="1" applyFont="1" applyFill="1" applyBorder="1" applyAlignment="1">
      <alignment vertical="center"/>
    </xf>
    <xf numFmtId="174" fontId="26" fillId="14" borderId="2" xfId="1" applyNumberFormat="1" applyFont="1" applyFill="1" applyBorder="1" applyAlignment="1">
      <alignment vertical="center"/>
    </xf>
    <xf numFmtId="3" fontId="26" fillId="15" borderId="2" xfId="0" applyNumberFormat="1" applyFont="1" applyFill="1" applyBorder="1" applyAlignment="1">
      <alignment vertical="center"/>
    </xf>
    <xf numFmtId="0" fontId="26" fillId="15" borderId="2" xfId="1" applyNumberFormat="1" applyFont="1" applyFill="1" applyBorder="1" applyAlignment="1">
      <alignment vertical="center"/>
    </xf>
    <xf numFmtId="9" fontId="26" fillId="15" borderId="2" xfId="0" applyNumberFormat="1" applyFont="1" applyFill="1" applyBorder="1" applyAlignment="1">
      <alignment vertical="center"/>
    </xf>
    <xf numFmtId="171" fontId="26" fillId="0" borderId="2" xfId="0" applyNumberFormat="1" applyFont="1" applyBorder="1" applyAlignment="1">
      <alignment vertical="center"/>
    </xf>
    <xf numFmtId="2" fontId="26" fillId="15" borderId="2" xfId="0" applyNumberFormat="1" applyFont="1" applyFill="1" applyBorder="1" applyAlignment="1">
      <alignment vertical="center"/>
    </xf>
    <xf numFmtId="2" fontId="26" fillId="14" borderId="2" xfId="0" applyNumberFormat="1" applyFont="1" applyFill="1" applyBorder="1" applyAlignment="1">
      <alignment vertical="center"/>
    </xf>
    <xf numFmtId="1" fontId="26" fillId="14" borderId="2" xfId="0" applyNumberFormat="1" applyFont="1" applyFill="1" applyBorder="1" applyAlignment="1">
      <alignment vertical="center"/>
    </xf>
    <xf numFmtId="168" fontId="26" fillId="16" borderId="2" xfId="0" applyNumberFormat="1" applyFont="1" applyFill="1" applyBorder="1" applyAlignment="1">
      <alignment vertical="center"/>
    </xf>
    <xf numFmtId="173" fontId="26" fillId="15" borderId="2" xfId="0" applyNumberFormat="1" applyFont="1" applyFill="1" applyBorder="1" applyAlignment="1">
      <alignment vertical="center"/>
    </xf>
    <xf numFmtId="169" fontId="26" fillId="15" borderId="2" xfId="0" applyNumberFormat="1" applyFont="1" applyFill="1" applyBorder="1" applyAlignment="1">
      <alignment vertical="center"/>
    </xf>
    <xf numFmtId="172" fontId="26" fillId="16" borderId="2" xfId="0" applyNumberFormat="1" applyFont="1" applyFill="1" applyBorder="1" applyAlignment="1">
      <alignment vertical="center"/>
    </xf>
    <xf numFmtId="169" fontId="26" fillId="0" borderId="2" xfId="0" applyNumberFormat="1" applyFont="1" applyBorder="1" applyAlignment="1">
      <alignment vertical="center"/>
    </xf>
    <xf numFmtId="0" fontId="11" fillId="0" borderId="2" xfId="3" applyBorder="1" applyAlignment="1">
      <alignment vertical="center"/>
    </xf>
    <xf numFmtId="172" fontId="26" fillId="15" borderId="2" xfId="0" applyNumberFormat="1" applyFont="1" applyFill="1" applyBorder="1" applyAlignment="1">
      <alignment vertical="center"/>
    </xf>
    <xf numFmtId="171" fontId="26" fillId="14" borderId="2" xfId="1" applyNumberFormat="1" applyFont="1" applyFill="1" applyBorder="1" applyAlignment="1">
      <alignment vertical="center"/>
    </xf>
    <xf numFmtId="168" fontId="26" fillId="14" borderId="2" xfId="1" applyNumberFormat="1" applyFont="1" applyFill="1" applyBorder="1" applyAlignment="1">
      <alignment vertical="center"/>
    </xf>
    <xf numFmtId="172" fontId="26" fillId="14" borderId="2" xfId="1" applyNumberFormat="1" applyFont="1" applyFill="1" applyBorder="1" applyAlignment="1">
      <alignment vertical="center"/>
    </xf>
    <xf numFmtId="172" fontId="26" fillId="14" borderId="2" xfId="0" applyNumberFormat="1" applyFont="1" applyFill="1" applyBorder="1" applyAlignment="1">
      <alignment vertical="center"/>
    </xf>
    <xf numFmtId="10" fontId="26" fillId="0" borderId="2" xfId="0" applyNumberFormat="1" applyFont="1" applyBorder="1" applyAlignment="1">
      <alignment vertical="center"/>
    </xf>
    <xf numFmtId="174" fontId="26" fillId="15" borderId="2" xfId="1" applyNumberFormat="1" applyFont="1" applyFill="1" applyBorder="1" applyAlignment="1">
      <alignment vertical="center"/>
    </xf>
    <xf numFmtId="169" fontId="26" fillId="15" borderId="2" xfId="1" applyNumberFormat="1" applyFont="1" applyFill="1" applyBorder="1" applyAlignment="1">
      <alignment vertical="center"/>
    </xf>
    <xf numFmtId="4" fontId="26" fillId="5" borderId="2" xfId="1" applyNumberFormat="1" applyFont="1" applyFill="1" applyBorder="1" applyAlignment="1">
      <alignment vertical="center"/>
    </xf>
    <xf numFmtId="1" fontId="26" fillId="0" borderId="2" xfId="0" applyNumberFormat="1" applyFont="1" applyBorder="1" applyAlignment="1">
      <alignment vertical="center"/>
    </xf>
    <xf numFmtId="43" fontId="26" fillId="0" borderId="47" xfId="2" applyFont="1" applyFill="1" applyBorder="1" applyAlignment="1">
      <alignment vertical="center"/>
    </xf>
    <xf numFmtId="167" fontId="26" fillId="0" borderId="47" xfId="2" applyNumberFormat="1" applyFont="1" applyFill="1" applyBorder="1" applyAlignment="1">
      <alignment vertical="center"/>
    </xf>
    <xf numFmtId="167" fontId="26" fillId="0" borderId="47" xfId="2" applyNumberFormat="1" applyFont="1" applyBorder="1" applyAlignment="1">
      <alignment vertical="center"/>
    </xf>
    <xf numFmtId="167" fontId="29" fillId="17" borderId="0" xfId="0" applyNumberFormat="1" applyFont="1" applyFill="1" applyAlignment="1">
      <alignment vertical="center"/>
    </xf>
    <xf numFmtId="172" fontId="26" fillId="15" borderId="2" xfId="1" applyNumberFormat="1" applyFont="1" applyFill="1" applyBorder="1" applyAlignment="1">
      <alignment vertical="center"/>
    </xf>
    <xf numFmtId="0" fontId="26" fillId="14" borderId="2" xfId="1" applyNumberFormat="1" applyFont="1" applyFill="1" applyBorder="1" applyAlignment="1">
      <alignment vertical="center"/>
    </xf>
    <xf numFmtId="18" fontId="26" fillId="14" borderId="2" xfId="0" applyNumberFormat="1" applyFont="1" applyFill="1" applyBorder="1" applyAlignment="1">
      <alignment vertical="center"/>
    </xf>
    <xf numFmtId="170" fontId="26" fillId="14" borderId="2" xfId="1" applyNumberFormat="1" applyFont="1" applyFill="1" applyBorder="1" applyAlignment="1">
      <alignment vertical="center"/>
    </xf>
    <xf numFmtId="0" fontId="26" fillId="18" borderId="2" xfId="0" applyFont="1" applyFill="1" applyBorder="1" applyAlignment="1">
      <alignment vertical="center"/>
    </xf>
    <xf numFmtId="168" fontId="26" fillId="14" borderId="2" xfId="0" applyNumberFormat="1" applyFont="1" applyFill="1" applyBorder="1" applyAlignment="1">
      <alignment vertical="center"/>
    </xf>
    <xf numFmtId="167" fontId="26" fillId="0" borderId="47" xfId="0" applyNumberFormat="1" applyFont="1" applyBorder="1" applyAlignment="1">
      <alignment vertical="center"/>
    </xf>
    <xf numFmtId="3" fontId="26" fillId="16" borderId="2" xfId="0" applyNumberFormat="1" applyFont="1" applyFill="1" applyBorder="1" applyAlignment="1">
      <alignment vertical="center"/>
    </xf>
    <xf numFmtId="165" fontId="26" fillId="16" borderId="2" xfId="0" applyNumberFormat="1" applyFont="1" applyFill="1" applyBorder="1" applyAlignment="1">
      <alignment vertical="center"/>
    </xf>
    <xf numFmtId="0" fontId="26" fillId="14" borderId="2" xfId="0" applyFont="1" applyFill="1" applyBorder="1" applyAlignment="1">
      <alignment horizontal="left" vertical="center"/>
    </xf>
    <xf numFmtId="37" fontId="26" fillId="14" borderId="2" xfId="2" applyNumberFormat="1" applyFont="1" applyFill="1" applyBorder="1" applyAlignment="1">
      <alignment horizontal="left" vertical="center"/>
    </xf>
    <xf numFmtId="3" fontId="26" fillId="0" borderId="2" xfId="0" applyNumberFormat="1" applyFont="1" applyBorder="1" applyAlignment="1">
      <alignment vertical="center"/>
    </xf>
    <xf numFmtId="4" fontId="26" fillId="41" borderId="2" xfId="0" applyNumberFormat="1" applyFont="1" applyFill="1" applyBorder="1" applyAlignment="1">
      <alignment vertical="center"/>
    </xf>
    <xf numFmtId="43" fontId="26" fillId="14" borderId="2" xfId="2" applyFont="1" applyFill="1" applyBorder="1" applyAlignment="1">
      <alignment vertical="center"/>
    </xf>
    <xf numFmtId="3" fontId="26" fillId="14" borderId="2" xfId="2" applyNumberFormat="1" applyFont="1" applyFill="1" applyBorder="1" applyAlignment="1">
      <alignment horizontal="left" vertical="center"/>
    </xf>
    <xf numFmtId="3" fontId="26" fillId="16" borderId="2" xfId="1" applyNumberFormat="1" applyFont="1" applyFill="1" applyBorder="1" applyAlignment="1">
      <alignment vertical="center"/>
    </xf>
    <xf numFmtId="175" fontId="26" fillId="16" borderId="2" xfId="1" applyNumberFormat="1" applyFont="1" applyFill="1" applyBorder="1" applyAlignment="1">
      <alignment vertical="center"/>
    </xf>
    <xf numFmtId="165" fontId="26" fillId="15" borderId="2" xfId="1" applyNumberFormat="1" applyFont="1" applyFill="1" applyBorder="1" applyAlignment="1">
      <alignment vertical="center"/>
    </xf>
    <xf numFmtId="176" fontId="26" fillId="15" borderId="2" xfId="2" applyNumberFormat="1" applyFont="1" applyFill="1" applyBorder="1" applyAlignment="1">
      <alignment vertical="center"/>
    </xf>
    <xf numFmtId="165" fontId="26" fillId="14" borderId="2" xfId="1" applyNumberFormat="1" applyFont="1" applyFill="1" applyBorder="1" applyAlignment="1">
      <alignment vertical="center"/>
    </xf>
    <xf numFmtId="4" fontId="26" fillId="5" borderId="2" xfId="0" applyNumberFormat="1" applyFont="1" applyFill="1" applyBorder="1" applyAlignment="1">
      <alignment vertical="center"/>
    </xf>
    <xf numFmtId="43" fontId="26" fillId="0" borderId="47" xfId="2" applyFont="1" applyBorder="1" applyAlignment="1">
      <alignment horizontal="left" vertical="center"/>
    </xf>
    <xf numFmtId="2" fontId="26" fillId="16" borderId="2" xfId="1" applyNumberFormat="1" applyFont="1" applyFill="1" applyBorder="1" applyAlignment="1">
      <alignment vertical="center"/>
    </xf>
    <xf numFmtId="6" fontId="26" fillId="16" borderId="2" xfId="1" applyNumberFormat="1" applyFont="1" applyFill="1" applyBorder="1" applyAlignment="1">
      <alignment vertical="center"/>
    </xf>
    <xf numFmtId="0" fontId="26" fillId="5" borderId="2" xfId="0" applyFont="1" applyFill="1" applyBorder="1" applyAlignment="1">
      <alignment vertical="center"/>
    </xf>
    <xf numFmtId="168" fontId="26" fillId="15" borderId="2" xfId="1" applyNumberFormat="1" applyFont="1" applyFill="1" applyBorder="1" applyAlignment="1">
      <alignment vertical="center"/>
    </xf>
    <xf numFmtId="0" fontId="22" fillId="29" borderId="36" xfId="0" applyFont="1" applyFill="1" applyBorder="1"/>
    <xf numFmtId="0" fontId="22" fillId="29" borderId="69" xfId="0" applyFont="1" applyFill="1" applyBorder="1"/>
    <xf numFmtId="0" fontId="22" fillId="29" borderId="56" xfId="0" applyFont="1" applyFill="1" applyBorder="1"/>
    <xf numFmtId="0" fontId="22" fillId="29" borderId="86" xfId="0" applyFont="1" applyFill="1" applyBorder="1"/>
    <xf numFmtId="0" fontId="22" fillId="29" borderId="55" xfId="0" applyFont="1" applyFill="1" applyBorder="1"/>
    <xf numFmtId="0" fontId="22" fillId="29" borderId="0" xfId="0" applyFont="1" applyFill="1"/>
    <xf numFmtId="0" fontId="0" fillId="0" borderId="79" xfId="0" applyBorder="1" applyAlignment="1">
      <alignment horizontal="left"/>
    </xf>
    <xf numFmtId="0" fontId="0" fillId="0" borderId="84" xfId="0" applyBorder="1" applyAlignment="1">
      <alignment horizontal="left"/>
    </xf>
    <xf numFmtId="0" fontId="0" fillId="0" borderId="72" xfId="0" applyBorder="1" applyAlignment="1">
      <alignment horizontal="left"/>
    </xf>
    <xf numFmtId="0" fontId="0" fillId="0" borderId="38" xfId="0" applyBorder="1" applyAlignment="1">
      <alignment horizontal="left"/>
    </xf>
    <xf numFmtId="0" fontId="0" fillId="0" borderId="5" xfId="0" applyBorder="1" applyAlignment="1">
      <alignment horizontal="left"/>
    </xf>
    <xf numFmtId="0" fontId="0" fillId="0" borderId="4" xfId="0" applyBorder="1" applyAlignment="1">
      <alignment horizontal="left"/>
    </xf>
    <xf numFmtId="0" fontId="0" fillId="0" borderId="54" xfId="0" applyBorder="1" applyAlignment="1">
      <alignment horizontal="left"/>
    </xf>
    <xf numFmtId="0" fontId="0" fillId="0" borderId="0" xfId="0" applyAlignment="1">
      <alignment horizontal="left"/>
    </xf>
    <xf numFmtId="0" fontId="0" fillId="0" borderId="68" xfId="0" applyBorder="1"/>
    <xf numFmtId="0" fontId="0" fillId="0" borderId="73" xfId="0" applyBorder="1"/>
    <xf numFmtId="0" fontId="0" fillId="0" borderId="53" xfId="0" applyBorder="1"/>
    <xf numFmtId="0" fontId="0" fillId="0" borderId="96" xfId="0" applyBorder="1"/>
    <xf numFmtId="0" fontId="0" fillId="0" borderId="52" xfId="0" applyBorder="1"/>
    <xf numFmtId="0" fontId="0" fillId="25" borderId="0" xfId="0" applyFill="1"/>
    <xf numFmtId="0" fontId="22" fillId="0" borderId="0" xfId="0" applyFont="1" applyAlignment="1">
      <alignment horizontal="center"/>
    </xf>
    <xf numFmtId="0" fontId="22" fillId="26" borderId="59" xfId="0" applyFont="1" applyFill="1" applyBorder="1" applyAlignment="1">
      <alignment horizontal="center"/>
    </xf>
    <xf numFmtId="0" fontId="22" fillId="26" borderId="59" xfId="0" applyFont="1" applyFill="1" applyBorder="1"/>
    <xf numFmtId="0" fontId="22" fillId="26" borderId="62" xfId="0" applyFont="1" applyFill="1" applyBorder="1"/>
    <xf numFmtId="0" fontId="22" fillId="26" borderId="51" xfId="0" applyFont="1" applyFill="1" applyBorder="1"/>
    <xf numFmtId="0" fontId="22" fillId="26" borderId="61" xfId="0" applyFont="1" applyFill="1" applyBorder="1" applyAlignment="1">
      <alignment horizontal="center"/>
    </xf>
    <xf numFmtId="0" fontId="22" fillId="26" borderId="87" xfId="0" applyFont="1" applyFill="1" applyBorder="1" applyAlignment="1">
      <alignment horizontal="center"/>
    </xf>
    <xf numFmtId="0" fontId="22" fillId="26" borderId="60" xfId="0" applyFont="1" applyFill="1" applyBorder="1" applyAlignment="1">
      <alignment horizontal="center"/>
    </xf>
    <xf numFmtId="0" fontId="0" fillId="26" borderId="51" xfId="0" applyFill="1" applyBorder="1"/>
    <xf numFmtId="0" fontId="22" fillId="25" borderId="93" xfId="0" applyFont="1" applyFill="1" applyBorder="1" applyAlignment="1">
      <alignment horizontal="center" vertical="center" wrapText="1"/>
    </xf>
    <xf numFmtId="0" fontId="22" fillId="25" borderId="92" xfId="0" applyFont="1" applyFill="1" applyBorder="1" applyAlignment="1">
      <alignment horizontal="center" vertical="center" wrapText="1"/>
    </xf>
    <xf numFmtId="0" fontId="22" fillId="25" borderId="56" xfId="0" applyFont="1" applyFill="1" applyBorder="1" applyAlignment="1">
      <alignment horizontal="center" vertical="center" wrapText="1"/>
    </xf>
    <xf numFmtId="0" fontId="22" fillId="26" borderId="105" xfId="0" applyFont="1" applyFill="1" applyBorder="1" applyAlignment="1">
      <alignment horizontal="center" vertical="center" wrapText="1"/>
    </xf>
    <xf numFmtId="0" fontId="22" fillId="26" borderId="104" xfId="0" applyFont="1" applyFill="1" applyBorder="1" applyAlignment="1">
      <alignment horizontal="center" vertical="center" wrapText="1"/>
    </xf>
    <xf numFmtId="0" fontId="30" fillId="37" borderId="104" xfId="0" applyFont="1" applyFill="1" applyBorder="1" applyAlignment="1">
      <alignment horizontal="center" vertical="center" wrapText="1"/>
    </xf>
    <xf numFmtId="0" fontId="30" fillId="37" borderId="95" xfId="0" applyFont="1" applyFill="1" applyBorder="1" applyAlignment="1">
      <alignment horizontal="center" vertical="center" wrapText="1"/>
    </xf>
    <xf numFmtId="0" fontId="22" fillId="25" borderId="55" xfId="0" applyFont="1" applyFill="1" applyBorder="1" applyAlignment="1">
      <alignment horizontal="center" vertical="center" wrapText="1"/>
    </xf>
    <xf numFmtId="0" fontId="22" fillId="26" borderId="95" xfId="0" applyFont="1" applyFill="1" applyBorder="1" applyAlignment="1">
      <alignment horizontal="center" vertical="center" wrapText="1"/>
    </xf>
    <xf numFmtId="0" fontId="22" fillId="25" borderId="91" xfId="0" applyFont="1" applyFill="1" applyBorder="1" applyAlignment="1">
      <alignment horizontal="center" vertical="center" wrapText="1"/>
    </xf>
    <xf numFmtId="0" fontId="22" fillId="26" borderId="87" xfId="0" applyFont="1" applyFill="1" applyBorder="1" applyAlignment="1">
      <alignment horizontal="center" vertical="center" wrapText="1"/>
    </xf>
    <xf numFmtId="0" fontId="22" fillId="26" borderId="51" xfId="0" applyFont="1" applyFill="1" applyBorder="1" applyAlignment="1">
      <alignment horizontal="center" vertical="center" wrapText="1"/>
    </xf>
    <xf numFmtId="0" fontId="30" fillId="37" borderId="51" xfId="0" applyFont="1" applyFill="1" applyBorder="1" applyAlignment="1">
      <alignment horizontal="center" vertical="center" wrapText="1"/>
    </xf>
    <xf numFmtId="0" fontId="22" fillId="26" borderId="93" xfId="0" applyFont="1" applyFill="1" applyBorder="1" applyAlignment="1">
      <alignment horizontal="center" vertical="center" wrapText="1"/>
    </xf>
    <xf numFmtId="0" fontId="22" fillId="26" borderId="94" xfId="0" applyFont="1" applyFill="1" applyBorder="1" applyAlignment="1">
      <alignment horizontal="center" vertical="center" wrapText="1"/>
    </xf>
    <xf numFmtId="0" fontId="22" fillId="26" borderId="66" xfId="0" applyFont="1" applyFill="1" applyBorder="1" applyAlignment="1">
      <alignment horizontal="center" vertical="center" wrapText="1"/>
    </xf>
    <xf numFmtId="0" fontId="22" fillId="21" borderId="100" xfId="0" applyFont="1" applyFill="1" applyBorder="1" applyAlignment="1">
      <alignment horizontal="center" vertical="center" wrapText="1"/>
    </xf>
    <xf numFmtId="0" fontId="22" fillId="21" borderId="80" xfId="0" applyFont="1" applyFill="1" applyBorder="1" applyAlignment="1">
      <alignment horizontal="center" vertical="center" wrapText="1"/>
    </xf>
    <xf numFmtId="0" fontId="22" fillId="0" borderId="0" xfId="0" applyFont="1" applyAlignment="1">
      <alignment horizontal="center" vertical="center" wrapText="1"/>
    </xf>
    <xf numFmtId="0" fontId="0" fillId="0" borderId="40" xfId="0" applyBorder="1"/>
    <xf numFmtId="166" fontId="0" fillId="0" borderId="25" xfId="0" applyNumberFormat="1" applyBorder="1"/>
    <xf numFmtId="0" fontId="0" fillId="0" borderId="25" xfId="0" applyBorder="1"/>
    <xf numFmtId="174" fontId="0" fillId="0" borderId="25" xfId="0" applyNumberFormat="1" applyBorder="1"/>
    <xf numFmtId="0" fontId="26" fillId="0" borderId="25" xfId="0" applyFont="1" applyBorder="1"/>
    <xf numFmtId="2" fontId="0" fillId="0" borderId="25" xfId="0" applyNumberFormat="1" applyBorder="1"/>
    <xf numFmtId="3" fontId="0" fillId="0" borderId="25" xfId="0" applyNumberFormat="1" applyBorder="1"/>
    <xf numFmtId="172" fontId="0" fillId="27" borderId="25" xfId="0" applyNumberFormat="1" applyFill="1" applyBorder="1"/>
    <xf numFmtId="172" fontId="0" fillId="27" borderId="2" xfId="0" applyNumberFormat="1" applyFill="1" applyBorder="1"/>
    <xf numFmtId="0" fontId="22" fillId="27" borderId="0" xfId="0" applyFont="1" applyFill="1" applyAlignment="1">
      <alignment horizontal="center" vertical="center" wrapText="1"/>
    </xf>
    <xf numFmtId="172" fontId="0" fillId="27" borderId="4" xfId="0" applyNumberFormat="1" applyFill="1" applyBorder="1"/>
    <xf numFmtId="172" fontId="0" fillId="33" borderId="83" xfId="0" applyNumberFormat="1" applyFill="1" applyBorder="1"/>
    <xf numFmtId="0" fontId="22" fillId="27" borderId="100" xfId="0" applyFont="1" applyFill="1" applyBorder="1" applyAlignment="1">
      <alignment horizontal="center" vertical="center" wrapText="1"/>
    </xf>
    <xf numFmtId="3" fontId="0" fillId="0" borderId="76" xfId="0" applyNumberFormat="1" applyBorder="1" applyAlignment="1">
      <alignment horizontal="center"/>
    </xf>
    <xf numFmtId="173" fontId="22" fillId="0" borderId="100" xfId="0" applyNumberFormat="1" applyFont="1" applyBorder="1" applyAlignment="1">
      <alignment horizontal="center" vertical="center" wrapText="1"/>
    </xf>
    <xf numFmtId="173" fontId="22" fillId="33" borderId="80" xfId="0" applyNumberFormat="1" applyFont="1" applyFill="1" applyBorder="1" applyAlignment="1">
      <alignment horizontal="center" vertical="center" wrapText="1"/>
    </xf>
    <xf numFmtId="0" fontId="0" fillId="0" borderId="38" xfId="0" applyBorder="1"/>
    <xf numFmtId="166" fontId="0" fillId="0" borderId="2" xfId="0" applyNumberFormat="1" applyBorder="1"/>
    <xf numFmtId="174" fontId="0" fillId="0" borderId="2" xfId="0" applyNumberFormat="1" applyBorder="1"/>
    <xf numFmtId="0" fontId="26" fillId="0" borderId="2" xfId="0" applyFont="1" applyBorder="1"/>
    <xf numFmtId="2" fontId="0" fillId="0" borderId="2" xfId="0" applyNumberFormat="1" applyBorder="1"/>
    <xf numFmtId="3" fontId="0" fillId="0" borderId="2" xfId="0" applyNumberFormat="1" applyBorder="1"/>
    <xf numFmtId="0" fontId="0" fillId="27" borderId="76" xfId="0" applyFill="1" applyBorder="1" applyAlignment="1">
      <alignment vertical="center" wrapText="1"/>
    </xf>
    <xf numFmtId="177" fontId="26" fillId="27" borderId="102" xfId="0" applyNumberFormat="1" applyFont="1" applyFill="1" applyBorder="1" applyAlignment="1">
      <alignment vertical="center"/>
    </xf>
    <xf numFmtId="177" fontId="0" fillId="27" borderId="102" xfId="0" applyNumberFormat="1" applyFill="1" applyBorder="1" applyAlignment="1">
      <alignment vertical="center"/>
    </xf>
    <xf numFmtId="172" fontId="0" fillId="27" borderId="1" xfId="0" applyNumberFormat="1" applyFill="1" applyBorder="1"/>
    <xf numFmtId="177" fontId="0" fillId="27" borderId="76" xfId="0" applyNumberFormat="1" applyFill="1" applyBorder="1" applyAlignment="1">
      <alignment vertical="center"/>
    </xf>
    <xf numFmtId="172" fontId="0" fillId="33" borderId="76" xfId="0" applyNumberFormat="1" applyFill="1" applyBorder="1"/>
    <xf numFmtId="0" fontId="0" fillId="27" borderId="0" xfId="0" applyFill="1"/>
    <xf numFmtId="172" fontId="0" fillId="0" borderId="2" xfId="0" applyNumberFormat="1" applyBorder="1"/>
    <xf numFmtId="172" fontId="0" fillId="40" borderId="2" xfId="0" applyNumberFormat="1" applyFill="1" applyBorder="1"/>
    <xf numFmtId="172" fontId="0" fillId="36" borderId="83" xfId="0" applyNumberFormat="1" applyFill="1" applyBorder="1"/>
    <xf numFmtId="172" fontId="0" fillId="33" borderId="71" xfId="0" applyNumberFormat="1" applyFill="1" applyBorder="1"/>
    <xf numFmtId="3" fontId="0" fillId="0" borderId="103" xfId="0" applyNumberFormat="1" applyBorder="1" applyAlignment="1">
      <alignment horizontal="center"/>
    </xf>
    <xf numFmtId="173" fontId="22" fillId="36" borderId="100" xfId="0" applyNumberFormat="1" applyFont="1" applyFill="1" applyBorder="1" applyAlignment="1">
      <alignment horizontal="center" vertical="center" wrapText="1"/>
    </xf>
    <xf numFmtId="172" fontId="0" fillId="36" borderId="76" xfId="0" applyNumberFormat="1" applyFill="1" applyBorder="1"/>
    <xf numFmtId="172" fontId="0" fillId="32" borderId="83" xfId="0" applyNumberFormat="1" applyFill="1" applyBorder="1"/>
    <xf numFmtId="173" fontId="22" fillId="32" borderId="80" xfId="0" applyNumberFormat="1" applyFont="1" applyFill="1" applyBorder="1" applyAlignment="1">
      <alignment horizontal="center" vertical="center" wrapText="1"/>
    </xf>
    <xf numFmtId="172" fontId="0" fillId="32" borderId="76" xfId="0" applyNumberFormat="1" applyFill="1" applyBorder="1"/>
    <xf numFmtId="172" fontId="0" fillId="32" borderId="71" xfId="0" applyNumberFormat="1" applyFill="1" applyBorder="1"/>
    <xf numFmtId="172" fontId="0" fillId="14" borderId="2" xfId="0" applyNumberFormat="1" applyFill="1" applyBorder="1"/>
    <xf numFmtId="172" fontId="0" fillId="35" borderId="76" xfId="0" applyNumberFormat="1" applyFill="1" applyBorder="1"/>
    <xf numFmtId="172" fontId="0" fillId="31" borderId="83" xfId="0" applyNumberFormat="1" applyFill="1" applyBorder="1"/>
    <xf numFmtId="173" fontId="22" fillId="35" borderId="100" xfId="0" applyNumberFormat="1" applyFont="1" applyFill="1" applyBorder="1" applyAlignment="1">
      <alignment horizontal="center" vertical="center" wrapText="1"/>
    </xf>
    <xf numFmtId="173" fontId="22" fillId="31" borderId="80" xfId="0" applyNumberFormat="1" applyFont="1" applyFill="1" applyBorder="1" applyAlignment="1">
      <alignment horizontal="center" vertical="center" wrapText="1"/>
    </xf>
    <xf numFmtId="172" fontId="0" fillId="31" borderId="76" xfId="0" applyNumberFormat="1" applyFill="1" applyBorder="1"/>
    <xf numFmtId="172" fontId="0" fillId="31" borderId="71" xfId="0" applyNumberFormat="1" applyFill="1" applyBorder="1"/>
    <xf numFmtId="172" fontId="0" fillId="34" borderId="76" xfId="0" applyNumberFormat="1" applyFill="1" applyBorder="1"/>
    <xf numFmtId="172" fontId="31" fillId="27" borderId="88" xfId="0" applyNumberFormat="1" applyFont="1" applyFill="1" applyBorder="1"/>
    <xf numFmtId="0" fontId="0" fillId="0" borderId="0" xfId="0" applyAlignment="1">
      <alignment horizontal="center" vertical="center"/>
    </xf>
    <xf numFmtId="173" fontId="22" fillId="34" borderId="100" xfId="0" applyNumberFormat="1" applyFont="1" applyFill="1" applyBorder="1" applyAlignment="1">
      <alignment horizontal="center" vertical="center" wrapText="1"/>
    </xf>
    <xf numFmtId="173" fontId="22" fillId="0" borderId="80" xfId="0" applyNumberFormat="1" applyFont="1" applyBorder="1" applyAlignment="1">
      <alignment horizontal="center" vertical="center" wrapText="1"/>
    </xf>
    <xf numFmtId="172" fontId="31" fillId="27" borderId="77" xfId="0" applyNumberFormat="1" applyFont="1" applyFill="1" applyBorder="1"/>
    <xf numFmtId="2" fontId="26" fillId="0" borderId="2" xfId="0" applyNumberFormat="1" applyFont="1" applyBorder="1"/>
    <xf numFmtId="172" fontId="0" fillId="23" borderId="2" xfId="0" applyNumberFormat="1" applyFill="1" applyBorder="1"/>
    <xf numFmtId="172" fontId="0" fillId="34" borderId="71" xfId="0" applyNumberFormat="1" applyFill="1" applyBorder="1"/>
    <xf numFmtId="166" fontId="26" fillId="0" borderId="2" xfId="0" applyNumberFormat="1" applyFont="1" applyBorder="1"/>
    <xf numFmtId="172" fontId="0" fillId="27" borderId="6" xfId="0" applyNumberFormat="1" applyFill="1" applyBorder="1"/>
    <xf numFmtId="2" fontId="0" fillId="27" borderId="80" xfId="0" applyNumberFormat="1" applyFill="1" applyBorder="1" applyAlignment="1">
      <alignment vertical="center" wrapText="1"/>
    </xf>
    <xf numFmtId="2" fontId="0" fillId="27" borderId="65" xfId="0" applyNumberFormat="1" applyFill="1" applyBorder="1" applyAlignment="1">
      <alignment vertical="center"/>
    </xf>
    <xf numFmtId="172" fontId="31" fillId="27" borderId="76" xfId="0" applyNumberFormat="1" applyFont="1" applyFill="1" applyBorder="1"/>
    <xf numFmtId="172" fontId="0" fillId="38" borderId="2" xfId="0" applyNumberFormat="1" applyFill="1" applyBorder="1"/>
    <xf numFmtId="166" fontId="0" fillId="0" borderId="53" xfId="0" applyNumberFormat="1" applyBorder="1"/>
    <xf numFmtId="174" fontId="0" fillId="0" borderId="53" xfId="0" applyNumberFormat="1" applyBorder="1"/>
    <xf numFmtId="166" fontId="26" fillId="0" borderId="53" xfId="0" applyNumberFormat="1" applyFont="1" applyBorder="1"/>
    <xf numFmtId="0" fontId="26" fillId="0" borderId="53" xfId="0" applyFont="1" applyBorder="1"/>
    <xf numFmtId="2" fontId="26" fillId="0" borderId="53" xfId="0" applyNumberFormat="1" applyFont="1" applyBorder="1"/>
    <xf numFmtId="2" fontId="0" fillId="0" borderId="53" xfId="0" applyNumberFormat="1" applyBorder="1"/>
    <xf numFmtId="3" fontId="0" fillId="0" borderId="53" xfId="0" applyNumberFormat="1" applyBorder="1"/>
    <xf numFmtId="172" fontId="0" fillId="38" borderId="53" xfId="0" applyNumberFormat="1" applyFill="1" applyBorder="1"/>
    <xf numFmtId="172" fontId="0" fillId="27" borderId="96" xfId="0" applyNumberFormat="1" applyFill="1" applyBorder="1"/>
    <xf numFmtId="2" fontId="0" fillId="27" borderId="64" xfId="0" applyNumberFormat="1" applyFill="1" applyBorder="1" applyAlignment="1">
      <alignment vertical="center" wrapText="1"/>
    </xf>
    <xf numFmtId="2" fontId="0" fillId="27" borderId="57" xfId="0" applyNumberFormat="1" applyFill="1" applyBorder="1" applyAlignment="1">
      <alignment vertical="center"/>
    </xf>
    <xf numFmtId="172" fontId="31" fillId="27" borderId="71" xfId="0" applyNumberFormat="1" applyFont="1" applyFill="1" applyBorder="1"/>
    <xf numFmtId="3" fontId="0" fillId="0" borderId="71" xfId="0" applyNumberFormat="1" applyBorder="1" applyAlignment="1">
      <alignment horizontal="center"/>
    </xf>
    <xf numFmtId="173" fontId="22" fillId="0" borderId="79" xfId="0" applyNumberFormat="1" applyFont="1" applyBorder="1" applyAlignment="1">
      <alignment horizontal="center" vertical="center" wrapText="1"/>
    </xf>
    <xf numFmtId="173" fontId="22" fillId="0" borderId="64" xfId="0" applyNumberFormat="1" applyFont="1" applyBorder="1" applyAlignment="1">
      <alignment horizontal="center" vertical="center" wrapText="1"/>
    </xf>
    <xf numFmtId="0" fontId="22" fillId="21" borderId="43" xfId="0" applyFont="1" applyFill="1" applyBorder="1"/>
    <xf numFmtId="0" fontId="22" fillId="21" borderId="70" xfId="0" applyFont="1" applyFill="1" applyBorder="1"/>
    <xf numFmtId="0" fontId="22" fillId="21" borderId="87" xfId="0" applyFont="1" applyFill="1" applyBorder="1"/>
    <xf numFmtId="0" fontId="0" fillId="21" borderId="87" xfId="0" applyFill="1" applyBorder="1"/>
    <xf numFmtId="0" fontId="0" fillId="21" borderId="60" xfId="0" applyFill="1" applyBorder="1"/>
    <xf numFmtId="0" fontId="22" fillId="14" borderId="63" xfId="0" applyFont="1" applyFill="1" applyBorder="1" applyAlignment="1">
      <alignment horizontal="center"/>
    </xf>
    <xf numFmtId="0" fontId="22" fillId="14" borderId="59" xfId="0" applyFont="1" applyFill="1" applyBorder="1" applyAlignment="1">
      <alignment horizontal="center"/>
    </xf>
    <xf numFmtId="0" fontId="22" fillId="14" borderId="62" xfId="0" applyFont="1" applyFill="1" applyBorder="1" applyAlignment="1">
      <alignment horizontal="center"/>
    </xf>
    <xf numFmtId="0" fontId="0" fillId="26" borderId="0" xfId="0" applyFill="1" applyAlignment="1">
      <alignment horizontal="center"/>
    </xf>
    <xf numFmtId="0" fontId="22" fillId="21" borderId="68" xfId="0" applyFont="1" applyFill="1" applyBorder="1"/>
    <xf numFmtId="166" fontId="22" fillId="21" borderId="53" xfId="0" applyNumberFormat="1" applyFont="1" applyFill="1" applyBorder="1"/>
    <xf numFmtId="0" fontId="22" fillId="21" borderId="53" xfId="0" applyFont="1" applyFill="1" applyBorder="1"/>
    <xf numFmtId="174" fontId="22" fillId="21" borderId="53" xfId="1" applyNumberFormat="1" applyFont="1" applyFill="1" applyBorder="1"/>
    <xf numFmtId="174" fontId="22" fillId="21" borderId="2" xfId="1" applyNumberFormat="1" applyFont="1" applyFill="1" applyBorder="1"/>
    <xf numFmtId="0" fontId="22" fillId="21" borderId="2" xfId="0" applyFont="1" applyFill="1" applyBorder="1"/>
    <xf numFmtId="0" fontId="22" fillId="25" borderId="8" xfId="0" applyFont="1" applyFill="1" applyBorder="1" applyAlignment="1">
      <alignment horizontal="center" vertical="center" wrapText="1"/>
    </xf>
    <xf numFmtId="0" fontId="22" fillId="26" borderId="92" xfId="0" applyFont="1" applyFill="1" applyBorder="1" applyAlignment="1">
      <alignment horizontal="center" vertical="center" wrapText="1"/>
    </xf>
    <xf numFmtId="0" fontId="30" fillId="37" borderId="0" xfId="0" applyFont="1" applyFill="1" applyAlignment="1">
      <alignment horizontal="center" vertical="center" wrapText="1"/>
    </xf>
    <xf numFmtId="0" fontId="0" fillId="26" borderId="51" xfId="0" applyFill="1" applyBorder="1" applyAlignment="1">
      <alignment wrapText="1"/>
    </xf>
    <xf numFmtId="0" fontId="0" fillId="26" borderId="59" xfId="0" applyFill="1" applyBorder="1" applyAlignment="1">
      <alignment wrapText="1"/>
    </xf>
    <xf numFmtId="0" fontId="0" fillId="26" borderId="0" xfId="0" applyFill="1" applyAlignment="1">
      <alignment wrapText="1"/>
    </xf>
    <xf numFmtId="0" fontId="0" fillId="41" borderId="25" xfId="0" applyFill="1" applyBorder="1"/>
    <xf numFmtId="172" fontId="0" fillId="41" borderId="25" xfId="0" applyNumberFormat="1" applyFill="1" applyBorder="1"/>
    <xf numFmtId="172" fontId="0" fillId="5" borderId="25" xfId="0" applyNumberFormat="1" applyFill="1" applyBorder="1"/>
    <xf numFmtId="0" fontId="0" fillId="5" borderId="25" xfId="0" applyFill="1" applyBorder="1"/>
    <xf numFmtId="0" fontId="0" fillId="5" borderId="2" xfId="0" applyFill="1" applyBorder="1"/>
    <xf numFmtId="172" fontId="0" fillId="5" borderId="2" xfId="0" applyNumberFormat="1" applyFill="1" applyBorder="1"/>
    <xf numFmtId="0" fontId="0" fillId="27" borderId="87" xfId="0" applyFill="1" applyBorder="1" applyAlignment="1">
      <alignment vertical="center"/>
    </xf>
    <xf numFmtId="3" fontId="0" fillId="27" borderId="0" xfId="0" applyNumberFormat="1" applyFill="1"/>
    <xf numFmtId="0" fontId="0" fillId="0" borderId="51" xfId="0" applyBorder="1" applyAlignment="1">
      <alignment horizontal="center"/>
    </xf>
    <xf numFmtId="0" fontId="32" fillId="0" borderId="57" xfId="0" applyFont="1" applyBorder="1" applyAlignment="1">
      <alignment horizontal="center" vertical="center"/>
    </xf>
    <xf numFmtId="2" fontId="0" fillId="25" borderId="66" xfId="0" applyNumberFormat="1" applyFill="1" applyBorder="1"/>
    <xf numFmtId="0" fontId="31" fillId="0" borderId="51" xfId="0" applyFont="1" applyBorder="1"/>
    <xf numFmtId="0" fontId="31" fillId="0" borderId="64" xfId="0" applyFont="1" applyBorder="1"/>
    <xf numFmtId="0" fontId="32" fillId="0" borderId="64" xfId="0" applyFont="1" applyBorder="1" applyAlignment="1">
      <alignment horizontal="center" vertical="center"/>
    </xf>
    <xf numFmtId="2" fontId="0" fillId="0" borderId="51" xfId="0" applyNumberFormat="1" applyBorder="1"/>
    <xf numFmtId="0" fontId="0" fillId="41" borderId="2" xfId="0" applyFill="1" applyBorder="1"/>
    <xf numFmtId="172" fontId="0" fillId="41" borderId="2" xfId="0" applyNumberFormat="1" applyFill="1" applyBorder="1"/>
    <xf numFmtId="0" fontId="0" fillId="27" borderId="0" xfId="0" applyFill="1" applyAlignment="1">
      <alignment vertical="center"/>
    </xf>
    <xf numFmtId="0" fontId="0" fillId="0" borderId="51" xfId="0" applyBorder="1"/>
    <xf numFmtId="0" fontId="0" fillId="30" borderId="2" xfId="0" applyFill="1" applyBorder="1"/>
    <xf numFmtId="0" fontId="0" fillId="36" borderId="2" xfId="0" applyFill="1" applyBorder="1"/>
    <xf numFmtId="49" fontId="0" fillId="0" borderId="2" xfId="0" applyNumberFormat="1" applyBorder="1"/>
    <xf numFmtId="0" fontId="0" fillId="27" borderId="65" xfId="0" applyFill="1" applyBorder="1"/>
    <xf numFmtId="0" fontId="0" fillId="0" borderId="64" xfId="0" applyBorder="1"/>
    <xf numFmtId="0" fontId="0" fillId="35" borderId="2" xfId="0" applyFill="1" applyBorder="1"/>
    <xf numFmtId="0" fontId="32" fillId="0" borderId="0" xfId="0" applyFont="1" applyAlignment="1">
      <alignment horizontal="center" vertical="center"/>
    </xf>
    <xf numFmtId="2" fontId="0" fillId="0" borderId="57" xfId="0" applyNumberFormat="1" applyBorder="1"/>
    <xf numFmtId="0" fontId="0" fillId="27" borderId="57" xfId="0" applyFill="1" applyBorder="1"/>
    <xf numFmtId="0" fontId="0" fillId="34" borderId="2" xfId="0" applyFill="1" applyBorder="1"/>
    <xf numFmtId="2" fontId="32" fillId="0" borderId="57" xfId="0" applyNumberFormat="1" applyFont="1" applyBorder="1" applyAlignment="1">
      <alignment horizontal="center" vertical="center"/>
    </xf>
    <xf numFmtId="172" fontId="26" fillId="5" borderId="2" xfId="0" applyNumberFormat="1" applyFont="1" applyFill="1" applyBorder="1"/>
    <xf numFmtId="0" fontId="33" fillId="5" borderId="2" xfId="0" applyFont="1" applyFill="1" applyBorder="1"/>
    <xf numFmtId="0" fontId="0" fillId="0" borderId="0" xfId="0" applyAlignment="1">
      <alignment horizontal="center"/>
    </xf>
    <xf numFmtId="0" fontId="0" fillId="0" borderId="0" xfId="0" applyAlignment="1">
      <alignment horizontal="right"/>
    </xf>
    <xf numFmtId="173" fontId="0" fillId="5" borderId="2" xfId="0" applyNumberFormat="1" applyFill="1" applyBorder="1"/>
    <xf numFmtId="0" fontId="0" fillId="33" borderId="2" xfId="0" applyFill="1" applyBorder="1"/>
    <xf numFmtId="0" fontId="0" fillId="0" borderId="8" xfId="0" applyBorder="1"/>
    <xf numFmtId="0" fontId="0" fillId="26" borderId="51" xfId="0" applyFill="1" applyBorder="1" applyAlignment="1">
      <alignment horizontal="center" vertical="center" wrapText="1"/>
    </xf>
    <xf numFmtId="0" fontId="0" fillId="26" borderId="59" xfId="0" applyFill="1" applyBorder="1" applyAlignment="1">
      <alignment horizontal="center" vertical="center" wrapText="1"/>
    </xf>
    <xf numFmtId="0" fontId="31" fillId="23" borderId="51" xfId="0" applyFont="1" applyFill="1" applyBorder="1" applyAlignment="1">
      <alignment horizontal="center"/>
    </xf>
    <xf numFmtId="2" fontId="34" fillId="23" borderId="51" xfId="0" applyNumberFormat="1" applyFont="1" applyFill="1" applyBorder="1" applyAlignment="1">
      <alignment horizontal="center" vertical="center"/>
    </xf>
    <xf numFmtId="0" fontId="34" fillId="23" borderId="51" xfId="0" applyFont="1" applyFill="1" applyBorder="1" applyAlignment="1">
      <alignment horizontal="center" vertical="center"/>
    </xf>
    <xf numFmtId="2" fontId="31" fillId="23" borderId="51" xfId="0" applyNumberFormat="1" applyFont="1" applyFill="1" applyBorder="1" applyAlignment="1">
      <alignment horizontal="center" vertical="center"/>
    </xf>
    <xf numFmtId="2" fontId="31" fillId="23" borderId="57" xfId="0" applyNumberFormat="1" applyFont="1" applyFill="1" applyBorder="1" applyAlignment="1">
      <alignment horizontal="center" vertical="center"/>
    </xf>
    <xf numFmtId="2" fontId="34" fillId="23" borderId="57" xfId="0" applyNumberFormat="1" applyFont="1" applyFill="1" applyBorder="1" applyAlignment="1">
      <alignment horizontal="center" vertical="center"/>
    </xf>
    <xf numFmtId="0" fontId="34" fillId="23" borderId="57" xfId="0" applyFont="1" applyFill="1" applyBorder="1" applyAlignment="1">
      <alignment horizontal="center" vertical="center"/>
    </xf>
    <xf numFmtId="0" fontId="0" fillId="32" borderId="2" xfId="0" applyFill="1" applyBorder="1"/>
    <xf numFmtId="0" fontId="0" fillId="23" borderId="51" xfId="0" applyFill="1" applyBorder="1" applyAlignment="1">
      <alignment horizontal="center"/>
    </xf>
    <xf numFmtId="2" fontId="32" fillId="23" borderId="57" xfId="0" applyNumberFormat="1" applyFont="1" applyFill="1" applyBorder="1" applyAlignment="1">
      <alignment horizontal="center" vertical="center"/>
    </xf>
    <xf numFmtId="0" fontId="32" fillId="23" borderId="57" xfId="0" applyFont="1" applyFill="1" applyBorder="1" applyAlignment="1">
      <alignment horizontal="center" vertical="center"/>
    </xf>
    <xf numFmtId="2" fontId="0" fillId="23" borderId="51" xfId="0" applyNumberFormat="1" applyFill="1" applyBorder="1" applyAlignment="1">
      <alignment horizontal="center" vertical="center"/>
    </xf>
    <xf numFmtId="0" fontId="0" fillId="31" borderId="2" xfId="0" applyFill="1" applyBorder="1"/>
    <xf numFmtId="0" fontId="29" fillId="0" borderId="0" xfId="0" applyFont="1" applyAlignment="1">
      <alignment vertical="center"/>
    </xf>
    <xf numFmtId="0" fontId="29" fillId="0" borderId="0" xfId="0" applyFont="1" applyAlignment="1">
      <alignment vertical="center" wrapText="1"/>
    </xf>
    <xf numFmtId="3" fontId="29" fillId="0" borderId="0" xfId="0" applyNumberFormat="1" applyFont="1"/>
    <xf numFmtId="0" fontId="0" fillId="14" borderId="2" xfId="0" applyFill="1" applyBorder="1"/>
    <xf numFmtId="0" fontId="22" fillId="30" borderId="0" xfId="0" applyFont="1" applyFill="1"/>
    <xf numFmtId="166" fontId="22" fillId="0" borderId="0" xfId="0" applyNumberFormat="1" applyFont="1"/>
    <xf numFmtId="174" fontId="22" fillId="0" borderId="0" xfId="1" applyNumberFormat="1" applyFont="1" applyFill="1" applyBorder="1"/>
    <xf numFmtId="0" fontId="0" fillId="0" borderId="14" xfId="0" applyBorder="1" applyAlignment="1">
      <alignment horizontal="center" vertical="top" wrapText="1"/>
    </xf>
    <xf numFmtId="0" fontId="0" fillId="0" borderId="0" xfId="0" applyAlignment="1">
      <alignment horizontal="center" vertical="top" wrapText="1"/>
    </xf>
    <xf numFmtId="0" fontId="0" fillId="0" borderId="50" xfId="0"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29" fillId="27" borderId="0" xfId="0" applyFont="1" applyFill="1"/>
    <xf numFmtId="0" fontId="0" fillId="14" borderId="0" xfId="0" applyFill="1"/>
    <xf numFmtId="0" fontId="0" fillId="23" borderId="0" xfId="0" applyFill="1"/>
    <xf numFmtId="0" fontId="22" fillId="24" borderId="61" xfId="0" applyFont="1" applyFill="1" applyBorder="1" applyAlignment="1">
      <alignment horizontal="center"/>
    </xf>
    <xf numFmtId="0" fontId="22" fillId="24" borderId="87" xfId="0" applyFont="1" applyFill="1" applyBorder="1" applyAlignment="1">
      <alignment horizontal="center"/>
    </xf>
    <xf numFmtId="0" fontId="22" fillId="24" borderId="60" xfId="0" applyFont="1" applyFill="1" applyBorder="1" applyAlignment="1">
      <alignment horizontal="center"/>
    </xf>
    <xf numFmtId="0" fontId="0" fillId="26" borderId="59" xfId="0" applyFill="1" applyBorder="1"/>
    <xf numFmtId="0" fontId="22" fillId="25" borderId="0" xfId="0" applyFont="1" applyFill="1" applyAlignment="1">
      <alignment horizontal="center" vertical="center" wrapText="1"/>
    </xf>
    <xf numFmtId="0" fontId="22" fillId="24" borderId="93" xfId="0" applyFont="1" applyFill="1" applyBorder="1" applyAlignment="1">
      <alignment horizontal="center" vertical="center" wrapText="1"/>
    </xf>
    <xf numFmtId="0" fontId="22" fillId="24" borderId="92" xfId="0" applyFont="1" applyFill="1" applyBorder="1" applyAlignment="1">
      <alignment horizontal="center" vertical="center" wrapText="1"/>
    </xf>
    <xf numFmtId="0" fontId="22" fillId="24" borderId="94" xfId="0" applyFont="1" applyFill="1" applyBorder="1" applyAlignment="1">
      <alignment horizontal="center" vertical="center" wrapText="1"/>
    </xf>
    <xf numFmtId="0" fontId="22" fillId="24" borderId="90" xfId="0" applyFont="1" applyFill="1" applyBorder="1" applyAlignment="1">
      <alignment horizontal="center" vertical="center" wrapText="1"/>
    </xf>
    <xf numFmtId="0" fontId="22" fillId="24" borderId="95" xfId="0" applyFont="1" applyFill="1" applyBorder="1" applyAlignment="1">
      <alignment horizontal="center" vertical="center" wrapText="1"/>
    </xf>
    <xf numFmtId="0" fontId="22" fillId="24" borderId="91" xfId="0" applyFont="1" applyFill="1" applyBorder="1" applyAlignment="1">
      <alignment horizontal="center" vertical="center" wrapText="1"/>
    </xf>
    <xf numFmtId="0" fontId="22" fillId="26" borderId="59" xfId="0" applyFont="1" applyFill="1" applyBorder="1" applyAlignment="1">
      <alignment horizontal="center" vertical="center" wrapText="1"/>
    </xf>
    <xf numFmtId="0" fontId="22" fillId="26" borderId="61" xfId="0" applyFont="1" applyFill="1" applyBorder="1" applyAlignment="1">
      <alignment horizontal="center" vertical="center" wrapText="1"/>
    </xf>
    <xf numFmtId="0" fontId="22" fillId="28" borderId="51" xfId="0" applyFont="1" applyFill="1" applyBorder="1" applyAlignment="1">
      <alignment horizontal="center" vertical="center" wrapText="1"/>
    </xf>
    <xf numFmtId="166" fontId="0" fillId="0" borderId="0" xfId="0" applyNumberFormat="1"/>
    <xf numFmtId="174" fontId="0" fillId="0" borderId="0" xfId="0" applyNumberFormat="1"/>
    <xf numFmtId="2" fontId="0" fillId="0" borderId="0" xfId="0" applyNumberFormat="1"/>
    <xf numFmtId="172" fontId="0" fillId="0" borderId="0" xfId="0" applyNumberFormat="1"/>
    <xf numFmtId="0" fontId="22" fillId="24" borderId="82" xfId="0" applyFont="1" applyFill="1" applyBorder="1" applyAlignment="1">
      <alignment horizontal="center" vertical="center" wrapText="1"/>
    </xf>
    <xf numFmtId="0" fontId="22" fillId="24" borderId="0" xfId="0" applyFont="1" applyFill="1" applyAlignment="1">
      <alignment horizontal="center" vertical="center" wrapText="1"/>
    </xf>
    <xf numFmtId="0" fontId="22" fillId="24" borderId="89" xfId="0" applyFont="1" applyFill="1" applyBorder="1" applyAlignment="1">
      <alignment horizontal="center" vertical="center" wrapText="1"/>
    </xf>
    <xf numFmtId="0" fontId="22" fillId="24" borderId="13" xfId="0" applyFont="1" applyFill="1" applyBorder="1" applyAlignment="1">
      <alignment horizontal="center" vertical="center" wrapText="1"/>
    </xf>
    <xf numFmtId="0" fontId="22" fillId="24" borderId="88" xfId="0" applyFont="1" applyFill="1" applyBorder="1" applyAlignment="1">
      <alignment horizontal="center" vertical="center" wrapText="1"/>
    </xf>
    <xf numFmtId="3" fontId="0" fillId="24" borderId="83" xfId="0" applyNumberFormat="1" applyFill="1" applyBorder="1" applyAlignment="1">
      <alignment horizontal="center"/>
    </xf>
    <xf numFmtId="0" fontId="22" fillId="24" borderId="61" xfId="0" applyFont="1" applyFill="1" applyBorder="1" applyAlignment="1">
      <alignment horizontal="center" vertical="center" wrapText="1"/>
    </xf>
    <xf numFmtId="0" fontId="22" fillId="24" borderId="87" xfId="0" applyFont="1" applyFill="1" applyBorder="1" applyAlignment="1">
      <alignment horizontal="center" vertical="center" wrapText="1"/>
    </xf>
    <xf numFmtId="0" fontId="22" fillId="24" borderId="60" xfId="0" applyFont="1" applyFill="1" applyBorder="1" applyAlignment="1">
      <alignment horizontal="center" vertical="center" wrapText="1"/>
    </xf>
    <xf numFmtId="0" fontId="26" fillId="14" borderId="0" xfId="0" applyFont="1" applyFill="1"/>
    <xf numFmtId="0" fontId="0" fillId="24" borderId="79" xfId="0" applyFill="1" applyBorder="1"/>
    <xf numFmtId="0" fontId="0" fillId="24" borderId="84" xfId="0" applyFill="1" applyBorder="1"/>
    <xf numFmtId="0" fontId="0" fillId="24" borderId="64" xfId="0" applyFill="1" applyBorder="1"/>
    <xf numFmtId="3" fontId="0" fillId="0" borderId="83" xfId="0" applyNumberFormat="1" applyBorder="1" applyAlignment="1">
      <alignment horizontal="center"/>
    </xf>
    <xf numFmtId="0" fontId="0" fillId="27" borderId="0" xfId="0" applyFill="1" applyAlignment="1">
      <alignment horizontal="center" vertical="center"/>
    </xf>
    <xf numFmtId="0" fontId="0" fillId="24" borderId="0" xfId="0" applyFill="1" applyAlignment="1">
      <alignment horizontal="center" vertical="center"/>
    </xf>
    <xf numFmtId="2" fontId="26" fillId="0" borderId="0" xfId="0" applyNumberFormat="1" applyFont="1"/>
    <xf numFmtId="166" fontId="26" fillId="0" borderId="0" xfId="0" applyNumberFormat="1" applyFont="1"/>
    <xf numFmtId="0" fontId="22" fillId="21" borderId="52" xfId="0" applyFont="1" applyFill="1" applyBorder="1"/>
    <xf numFmtId="0" fontId="0" fillId="41" borderId="40" xfId="0" applyFill="1" applyBorder="1"/>
    <xf numFmtId="172" fontId="0" fillId="41" borderId="55" xfId="0" applyNumberFormat="1" applyFill="1" applyBorder="1"/>
    <xf numFmtId="2" fontId="0" fillId="0" borderId="66" xfId="0" applyNumberFormat="1" applyBorder="1"/>
    <xf numFmtId="0" fontId="34" fillId="0" borderId="64" xfId="0" applyFont="1" applyBorder="1" applyAlignment="1">
      <alignment horizontal="center" vertical="center"/>
    </xf>
    <xf numFmtId="0" fontId="0" fillId="41" borderId="38" xfId="0" applyFill="1" applyBorder="1"/>
    <xf numFmtId="172" fontId="0" fillId="41" borderId="67" xfId="0" applyNumberFormat="1" applyFill="1" applyBorder="1"/>
    <xf numFmtId="0" fontId="0" fillId="25" borderId="38" xfId="0" applyFill="1" applyBorder="1"/>
    <xf numFmtId="0" fontId="0" fillId="25" borderId="2" xfId="0" applyFill="1" applyBorder="1"/>
    <xf numFmtId="0" fontId="0" fillId="25" borderId="54" xfId="0" applyFill="1" applyBorder="1"/>
    <xf numFmtId="49" fontId="0" fillId="25" borderId="0" xfId="0" applyNumberFormat="1" applyFill="1"/>
    <xf numFmtId="172" fontId="0" fillId="25" borderId="2" xfId="0" applyNumberFormat="1" applyFill="1" applyBorder="1"/>
    <xf numFmtId="172" fontId="0" fillId="25" borderId="54" xfId="0" applyNumberFormat="1" applyFill="1" applyBorder="1"/>
    <xf numFmtId="0" fontId="32" fillId="27" borderId="64" xfId="0" applyFont="1" applyFill="1" applyBorder="1" applyAlignment="1">
      <alignment horizontal="center" vertical="center"/>
    </xf>
    <xf numFmtId="0" fontId="0" fillId="27" borderId="51" xfId="0" applyFill="1" applyBorder="1"/>
    <xf numFmtId="0" fontId="0" fillId="24" borderId="38" xfId="0" applyFill="1" applyBorder="1"/>
    <xf numFmtId="172" fontId="0" fillId="24" borderId="2" xfId="0" applyNumberFormat="1" applyFill="1" applyBorder="1"/>
    <xf numFmtId="172" fontId="0" fillId="24" borderId="54" xfId="0" applyNumberFormat="1" applyFill="1" applyBorder="1"/>
    <xf numFmtId="0" fontId="0" fillId="24" borderId="2" xfId="0" applyFill="1" applyBorder="1"/>
    <xf numFmtId="0" fontId="0" fillId="24" borderId="54" xfId="0" applyFill="1" applyBorder="1"/>
    <xf numFmtId="0" fontId="31" fillId="25" borderId="51" xfId="0" applyFont="1" applyFill="1" applyBorder="1" applyAlignment="1">
      <alignment horizontal="center"/>
    </xf>
    <xf numFmtId="2" fontId="34" fillId="25" borderId="51" xfId="0" applyNumberFormat="1" applyFont="1" applyFill="1" applyBorder="1" applyAlignment="1">
      <alignment horizontal="center" vertical="center"/>
    </xf>
    <xf numFmtId="0" fontId="34" fillId="25" borderId="51" xfId="0" applyFont="1" applyFill="1" applyBorder="1" applyAlignment="1">
      <alignment horizontal="center" vertical="center"/>
    </xf>
    <xf numFmtId="2" fontId="31" fillId="41" borderId="51" xfId="0" applyNumberFormat="1" applyFont="1" applyFill="1" applyBorder="1" applyAlignment="1">
      <alignment horizontal="center" vertical="center"/>
    </xf>
    <xf numFmtId="2" fontId="31" fillId="25" borderId="51" xfId="0" applyNumberFormat="1" applyFont="1" applyFill="1" applyBorder="1" applyAlignment="1">
      <alignment horizontal="center" vertical="center"/>
    </xf>
    <xf numFmtId="2" fontId="31" fillId="25" borderId="57" xfId="0" applyNumberFormat="1" applyFont="1" applyFill="1" applyBorder="1" applyAlignment="1">
      <alignment horizontal="center" vertical="center"/>
    </xf>
    <xf numFmtId="2" fontId="34" fillId="25" borderId="57" xfId="0" applyNumberFormat="1" applyFont="1" applyFill="1" applyBorder="1" applyAlignment="1">
      <alignment horizontal="center" vertical="center"/>
    </xf>
    <xf numFmtId="0" fontId="34" fillId="25" borderId="57" xfId="0" applyFont="1" applyFill="1" applyBorder="1" applyAlignment="1">
      <alignment horizontal="center" vertical="center"/>
    </xf>
    <xf numFmtId="2" fontId="0" fillId="41" borderId="51" xfId="0" applyNumberFormat="1" applyFill="1" applyBorder="1" applyAlignment="1">
      <alignment horizontal="center" vertical="center"/>
    </xf>
    <xf numFmtId="0" fontId="0" fillId="24" borderId="41" xfId="0" applyFill="1" applyBorder="1"/>
    <xf numFmtId="0" fontId="0" fillId="24" borderId="7" xfId="0" applyFill="1" applyBorder="1"/>
    <xf numFmtId="0" fontId="0" fillId="24" borderId="58" xfId="0" applyFill="1" applyBorder="1"/>
    <xf numFmtId="0" fontId="0" fillId="0" borderId="36" xfId="0" applyBorder="1"/>
    <xf numFmtId="172" fontId="0" fillId="0" borderId="56" xfId="0" applyNumberFormat="1" applyBorder="1"/>
    <xf numFmtId="0" fontId="0" fillId="0" borderId="56" xfId="0" applyBorder="1"/>
    <xf numFmtId="172" fontId="0" fillId="0" borderId="55" xfId="0" applyNumberFormat="1" applyBorder="1"/>
    <xf numFmtId="172" fontId="0" fillId="0" borderId="54" xfId="0" applyNumberFormat="1" applyBorder="1"/>
    <xf numFmtId="2" fontId="32" fillId="0" borderId="0" xfId="0" applyNumberFormat="1" applyFont="1" applyAlignment="1">
      <alignment horizontal="center" vertical="center"/>
    </xf>
    <xf numFmtId="0" fontId="33" fillId="0" borderId="2" xfId="0" applyFont="1" applyBorder="1"/>
    <xf numFmtId="172" fontId="33" fillId="0" borderId="2" xfId="0" applyNumberFormat="1" applyFont="1" applyBorder="1"/>
    <xf numFmtId="172" fontId="26" fillId="0" borderId="2" xfId="0" applyNumberFormat="1" applyFont="1" applyBorder="1"/>
    <xf numFmtId="172" fontId="0" fillId="22" borderId="2" xfId="0" applyNumberFormat="1" applyFill="1" applyBorder="1"/>
    <xf numFmtId="0" fontId="0" fillId="0" borderId="0" xfId="0" applyAlignment="1">
      <alignment vertical="top"/>
    </xf>
    <xf numFmtId="0" fontId="35" fillId="0" borderId="0" xfId="0" applyFont="1" applyAlignment="1">
      <alignment vertical="top"/>
    </xf>
    <xf numFmtId="0" fontId="11" fillId="0" borderId="0" xfId="3"/>
    <xf numFmtId="173" fontId="33" fillId="0" borderId="51" xfId="0" applyNumberFormat="1" applyFont="1" applyBorder="1"/>
    <xf numFmtId="173" fontId="33" fillId="0" borderId="0" xfId="0" applyNumberFormat="1" applyFont="1"/>
    <xf numFmtId="0" fontId="33" fillId="0" borderId="51" xfId="0" applyFont="1" applyBorder="1"/>
    <xf numFmtId="173" fontId="0" fillId="0" borderId="51" xfId="0" applyNumberFormat="1" applyBorder="1"/>
    <xf numFmtId="0" fontId="36" fillId="19" borderId="2" xfId="0" applyFont="1" applyFill="1" applyBorder="1"/>
    <xf numFmtId="0" fontId="36" fillId="19" borderId="2" xfId="0" applyFont="1" applyFill="1" applyBorder="1" applyAlignment="1">
      <alignment horizontal="center"/>
    </xf>
    <xf numFmtId="4" fontId="0" fillId="0" borderId="2" xfId="0" applyNumberFormat="1" applyBorder="1"/>
    <xf numFmtId="0" fontId="0" fillId="20" borderId="2" xfId="0" applyFill="1" applyBorder="1"/>
    <xf numFmtId="9" fontId="0" fillId="14" borderId="2" xfId="2" applyNumberFormat="1" applyFont="1" applyFill="1" applyBorder="1" applyAlignment="1">
      <alignment horizontal="center" wrapText="1"/>
    </xf>
    <xf numFmtId="0" fontId="0" fillId="26" borderId="61" xfId="0" applyFill="1" applyBorder="1" applyAlignment="1">
      <alignment horizontal="center" vertical="center" wrapText="1"/>
    </xf>
    <xf numFmtId="0" fontId="0" fillId="26" borderId="60" xfId="0" applyFill="1" applyBorder="1" applyAlignment="1">
      <alignment horizontal="center" vertical="center" wrapText="1"/>
    </xf>
    <xf numFmtId="0" fontId="0" fillId="0" borderId="2" xfId="0"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5" xfId="0" applyBorder="1" applyAlignment="1">
      <alignment horizontal="center" vertical="center"/>
    </xf>
    <xf numFmtId="2" fontId="0" fillId="16" borderId="41" xfId="0" applyNumberFormat="1" applyFill="1" applyBorder="1" applyAlignment="1">
      <alignment horizontal="center" vertical="center" wrapText="1"/>
    </xf>
    <xf numFmtId="2" fontId="0" fillId="16" borderId="82" xfId="0" applyNumberFormat="1" applyFill="1" applyBorder="1" applyAlignment="1">
      <alignment horizontal="center" vertical="center" wrapText="1"/>
    </xf>
    <xf numFmtId="2" fontId="0" fillId="16" borderId="40" xfId="0" applyNumberFormat="1" applyFill="1" applyBorder="1" applyAlignment="1">
      <alignment horizontal="center" vertical="center" wrapText="1"/>
    </xf>
    <xf numFmtId="0" fontId="0" fillId="16" borderId="41" xfId="0" applyFill="1" applyBorder="1" applyAlignment="1">
      <alignment horizontal="center" vertical="center" wrapText="1"/>
    </xf>
    <xf numFmtId="0" fontId="0" fillId="16" borderId="82" xfId="0" applyFill="1" applyBorder="1" applyAlignment="1">
      <alignment horizontal="center" vertical="center" wrapText="1"/>
    </xf>
    <xf numFmtId="0" fontId="0" fillId="16" borderId="40" xfId="0" applyFill="1" applyBorder="1" applyAlignment="1">
      <alignment horizontal="center" vertical="center" wrapText="1"/>
    </xf>
    <xf numFmtId="0" fontId="0" fillId="16" borderId="41" xfId="0" applyFill="1" applyBorder="1" applyAlignment="1">
      <alignment horizontal="center" vertical="center"/>
    </xf>
    <xf numFmtId="0" fontId="0" fillId="16" borderId="82" xfId="0" applyFill="1" applyBorder="1" applyAlignment="1">
      <alignment horizontal="center" vertical="center"/>
    </xf>
    <xf numFmtId="0" fontId="0" fillId="16" borderId="40" xfId="0" applyFill="1" applyBorder="1" applyAlignment="1">
      <alignment horizontal="center" vertical="center"/>
    </xf>
    <xf numFmtId="0" fontId="0" fillId="0" borderId="2" xfId="0" applyBorder="1" applyAlignment="1">
      <alignment horizontal="center" vertical="center"/>
    </xf>
    <xf numFmtId="0" fontId="0" fillId="26" borderId="63" xfId="0" applyFill="1" applyBorder="1" applyAlignment="1">
      <alignment horizontal="center"/>
    </xf>
    <xf numFmtId="0" fontId="0" fillId="26" borderId="59" xfId="0" applyFill="1" applyBorder="1" applyAlignment="1">
      <alignment horizontal="center"/>
    </xf>
    <xf numFmtId="0" fontId="0" fillId="26" borderId="62" xfId="0" applyFill="1" applyBorder="1" applyAlignment="1">
      <alignment horizontal="center"/>
    </xf>
    <xf numFmtId="0" fontId="0" fillId="38" borderId="7" xfId="0" applyFill="1" applyBorder="1" applyAlignment="1">
      <alignment horizontal="center" vertical="center"/>
    </xf>
    <xf numFmtId="0" fontId="0" fillId="38" borderId="8" xfId="0" applyFill="1" applyBorder="1" applyAlignment="1">
      <alignment horizontal="center" vertical="center"/>
    </xf>
    <xf numFmtId="0" fontId="0" fillId="38" borderId="25" xfId="0" applyFill="1" applyBorder="1" applyAlignment="1">
      <alignment horizontal="center" vertical="center"/>
    </xf>
    <xf numFmtId="2" fontId="0" fillId="23" borderId="2" xfId="0" applyNumberFormat="1" applyFill="1" applyBorder="1" applyAlignment="1">
      <alignment horizontal="center" vertical="center"/>
    </xf>
    <xf numFmtId="2" fontId="0" fillId="23" borderId="4" xfId="0" applyNumberFormat="1" applyFill="1" applyBorder="1" applyAlignment="1">
      <alignment horizontal="center" vertical="center"/>
    </xf>
    <xf numFmtId="2" fontId="0" fillId="38" borderId="7" xfId="0" applyNumberFormat="1" applyFill="1" applyBorder="1" applyAlignment="1">
      <alignment horizontal="center" vertical="center"/>
    </xf>
    <xf numFmtId="2" fontId="0" fillId="38" borderId="8" xfId="0" applyNumberFormat="1" applyFill="1" applyBorder="1" applyAlignment="1">
      <alignment horizontal="center" vertical="center"/>
    </xf>
    <xf numFmtId="2" fontId="0" fillId="38" borderId="25" xfId="0" applyNumberFormat="1" applyFill="1" applyBorder="1" applyAlignment="1">
      <alignment horizontal="center" vertical="center"/>
    </xf>
    <xf numFmtId="2" fontId="0" fillId="38" borderId="1" xfId="0" applyNumberFormat="1" applyFill="1" applyBorder="1" applyAlignment="1">
      <alignment horizontal="center" vertical="center"/>
    </xf>
    <xf numFmtId="2" fontId="0" fillId="38" borderId="14" xfId="0" applyNumberFormat="1" applyFill="1" applyBorder="1" applyAlignment="1">
      <alignment horizontal="center" vertical="center"/>
    </xf>
    <xf numFmtId="2" fontId="0" fillId="38" borderId="6" xfId="0" applyNumberFormat="1" applyFill="1" applyBorder="1" applyAlignment="1">
      <alignment horizontal="center" vertical="center"/>
    </xf>
    <xf numFmtId="0" fontId="0" fillId="0" borderId="84" xfId="0" applyBorder="1" applyAlignment="1">
      <alignment horizontal="center"/>
    </xf>
    <xf numFmtId="0" fontId="0" fillId="0" borderId="64" xfId="0" applyBorder="1" applyAlignment="1">
      <alignment horizontal="center"/>
    </xf>
    <xf numFmtId="0" fontId="22" fillId="0" borderId="0" xfId="0" applyFont="1" applyAlignment="1">
      <alignment horizontal="center"/>
    </xf>
    <xf numFmtId="0" fontId="22" fillId="26" borderId="63" xfId="0" applyFont="1" applyFill="1" applyBorder="1" applyAlignment="1">
      <alignment horizontal="center"/>
    </xf>
    <xf numFmtId="0" fontId="22" fillId="26" borderId="59" xfId="0" applyFont="1" applyFill="1" applyBorder="1" applyAlignment="1">
      <alignment horizontal="center"/>
    </xf>
    <xf numFmtId="0" fontId="22" fillId="26" borderId="62" xfId="0" applyFont="1" applyFill="1" applyBorder="1" applyAlignment="1">
      <alignment horizontal="center"/>
    </xf>
    <xf numFmtId="0" fontId="22" fillId="21" borderId="61" xfId="0" applyFont="1" applyFill="1" applyBorder="1" applyAlignment="1">
      <alignment horizontal="center" wrapText="1"/>
    </xf>
    <xf numFmtId="0" fontId="22" fillId="21" borderId="60" xfId="0" applyFont="1" applyFill="1" applyBorder="1" applyAlignment="1">
      <alignment horizontal="center" wrapText="1"/>
    </xf>
    <xf numFmtId="0" fontId="22" fillId="21" borderId="79" xfId="0" applyFont="1" applyFill="1" applyBorder="1" applyAlignment="1">
      <alignment horizontal="center" wrapText="1"/>
    </xf>
    <xf numFmtId="0" fontId="22" fillId="21" borderId="64" xfId="0" applyFont="1" applyFill="1" applyBorder="1" applyAlignment="1">
      <alignment horizontal="center" wrapText="1"/>
    </xf>
    <xf numFmtId="0" fontId="0" fillId="14" borderId="2" xfId="0" applyFill="1" applyBorder="1" applyAlignment="1">
      <alignment horizontal="center" vertical="center"/>
    </xf>
    <xf numFmtId="2" fontId="0" fillId="14" borderId="2" xfId="0" applyNumberFormat="1" applyFill="1" applyBorder="1" applyAlignment="1">
      <alignment horizontal="center" vertical="center"/>
    </xf>
    <xf numFmtId="2" fontId="0" fillId="14" borderId="4" xfId="0" applyNumberFormat="1" applyFill="1" applyBorder="1" applyAlignment="1">
      <alignment horizontal="center" vertical="center"/>
    </xf>
    <xf numFmtId="2" fontId="0" fillId="16" borderId="102" xfId="0" applyNumberFormat="1" applyFill="1" applyBorder="1" applyAlignment="1">
      <alignment horizontal="center" vertical="center" wrapText="1"/>
    </xf>
    <xf numFmtId="2" fontId="0" fillId="16" borderId="65" xfId="0" applyNumberFormat="1" applyFill="1" applyBorder="1" applyAlignment="1">
      <alignment horizontal="center" vertical="center" wrapText="1"/>
    </xf>
    <xf numFmtId="2" fontId="0" fillId="16" borderId="57" xfId="0" applyNumberFormat="1" applyFill="1" applyBorder="1" applyAlignment="1">
      <alignment horizontal="center" vertical="center" wrapText="1"/>
    </xf>
    <xf numFmtId="2" fontId="0" fillId="34" borderId="102" xfId="0" applyNumberFormat="1" applyFill="1" applyBorder="1" applyAlignment="1">
      <alignment horizontal="center" vertical="center"/>
    </xf>
    <xf numFmtId="2" fontId="0" fillId="34" borderId="65" xfId="0" applyNumberFormat="1" applyFill="1" applyBorder="1" applyAlignment="1">
      <alignment horizontal="center" vertical="center"/>
    </xf>
    <xf numFmtId="2" fontId="0" fillId="34" borderId="57" xfId="0" applyNumberFormat="1" applyFill="1" applyBorder="1" applyAlignment="1">
      <alignment horizontal="center" vertical="center"/>
    </xf>
    <xf numFmtId="172" fontId="0" fillId="34" borderId="76" xfId="0" applyNumberFormat="1" applyFill="1" applyBorder="1" applyAlignment="1">
      <alignment horizontal="center" vertical="center"/>
    </xf>
    <xf numFmtId="172" fontId="0" fillId="34" borderId="71" xfId="0" applyNumberFormat="1" applyFill="1" applyBorder="1" applyAlignment="1">
      <alignment horizontal="center" vertical="center"/>
    </xf>
    <xf numFmtId="0" fontId="0" fillId="39" borderId="2" xfId="0" applyFill="1" applyBorder="1" applyAlignment="1">
      <alignment horizontal="center" vertical="center"/>
    </xf>
    <xf numFmtId="2" fontId="0" fillId="39" borderId="2" xfId="0" applyNumberFormat="1" applyFill="1" applyBorder="1" applyAlignment="1">
      <alignment horizontal="center" vertical="center"/>
    </xf>
    <xf numFmtId="2" fontId="0" fillId="39" borderId="4" xfId="0" applyNumberFormat="1" applyFill="1" applyBorder="1" applyAlignment="1">
      <alignment horizontal="center" vertical="center"/>
    </xf>
    <xf numFmtId="2" fontId="0" fillId="35" borderId="102" xfId="0" applyNumberFormat="1" applyFill="1" applyBorder="1" applyAlignment="1">
      <alignment horizontal="center" vertical="center"/>
    </xf>
    <xf numFmtId="2" fontId="0" fillId="35" borderId="65" xfId="0" applyNumberFormat="1" applyFill="1" applyBorder="1" applyAlignment="1">
      <alignment horizontal="center" vertical="center"/>
    </xf>
    <xf numFmtId="2" fontId="0" fillId="35" borderId="103" xfId="0" applyNumberFormat="1" applyFill="1" applyBorder="1" applyAlignment="1">
      <alignment horizontal="center" vertical="center"/>
    </xf>
    <xf numFmtId="0" fontId="0" fillId="16" borderId="10" xfId="0" applyFill="1" applyBorder="1" applyAlignment="1">
      <alignment horizontal="center" vertical="center" wrapText="1"/>
    </xf>
    <xf numFmtId="0" fontId="0" fillId="16" borderId="0" xfId="0" applyFill="1" applyAlignment="1">
      <alignment horizontal="center" vertical="center" wrapText="1"/>
    </xf>
    <xf numFmtId="0" fontId="0" fillId="16" borderId="12" xfId="0" applyFill="1" applyBorder="1" applyAlignment="1">
      <alignment horizontal="center" vertical="center" wrapText="1"/>
    </xf>
    <xf numFmtId="2" fontId="26" fillId="14" borderId="2" xfId="0" applyNumberFormat="1" applyFont="1" applyFill="1" applyBorder="1" applyAlignment="1">
      <alignment horizontal="center" vertical="center"/>
    </xf>
    <xf numFmtId="2" fontId="26" fillId="14" borderId="4" xfId="0" applyNumberFormat="1" applyFont="1" applyFill="1" applyBorder="1" applyAlignment="1">
      <alignment horizontal="center" vertical="center"/>
    </xf>
    <xf numFmtId="172" fontId="0" fillId="35" borderId="76" xfId="0" applyNumberFormat="1" applyFill="1" applyBorder="1" applyAlignment="1">
      <alignment horizontal="center" vertical="center"/>
    </xf>
    <xf numFmtId="0" fontId="0" fillId="16" borderId="102" xfId="0" applyFill="1" applyBorder="1" applyAlignment="1">
      <alignment horizontal="center" vertical="center"/>
    </xf>
    <xf numFmtId="0" fontId="0" fillId="16" borderId="65" xfId="0" applyFill="1" applyBorder="1" applyAlignment="1">
      <alignment horizontal="center" vertical="center"/>
    </xf>
    <xf numFmtId="0" fontId="0" fillId="16" borderId="57" xfId="0" applyFill="1" applyBorder="1" applyAlignment="1">
      <alignment horizontal="center" vertical="center"/>
    </xf>
    <xf numFmtId="177" fontId="0" fillId="40" borderId="1" xfId="0" applyNumberFormat="1" applyFill="1" applyBorder="1" applyAlignment="1">
      <alignment horizontal="center" vertical="center"/>
    </xf>
    <xf numFmtId="177" fontId="0" fillId="40" borderId="14" xfId="0" applyNumberFormat="1" applyFill="1" applyBorder="1" applyAlignment="1">
      <alignment horizontal="center" vertical="center"/>
    </xf>
    <xf numFmtId="177" fontId="0" fillId="40" borderId="6" xfId="0" applyNumberFormat="1" applyFill="1" applyBorder="1" applyAlignment="1">
      <alignment horizontal="center" vertical="center"/>
    </xf>
    <xf numFmtId="0" fontId="0" fillId="16" borderId="103" xfId="0" applyFill="1" applyBorder="1" applyAlignment="1">
      <alignment horizontal="center" vertical="center"/>
    </xf>
    <xf numFmtId="172" fontId="0" fillId="32" borderId="66" xfId="0" applyNumberFormat="1" applyFill="1" applyBorder="1" applyAlignment="1">
      <alignment horizontal="center" vertical="center"/>
    </xf>
    <xf numFmtId="172" fontId="0" fillId="32" borderId="65" xfId="0" applyNumberFormat="1" applyFill="1" applyBorder="1" applyAlignment="1">
      <alignment horizontal="center" vertical="center"/>
    </xf>
    <xf numFmtId="172" fontId="0" fillId="32" borderId="57" xfId="0" applyNumberFormat="1" applyFill="1" applyBorder="1" applyAlignment="1">
      <alignment horizontal="center" vertical="center"/>
    </xf>
    <xf numFmtId="0" fontId="0" fillId="16" borderId="66" xfId="0" applyFill="1" applyBorder="1" applyAlignment="1">
      <alignment horizontal="center" vertical="center" wrapText="1"/>
    </xf>
    <xf numFmtId="0" fontId="0" fillId="16" borderId="65" xfId="0" applyFill="1" applyBorder="1" applyAlignment="1">
      <alignment horizontal="center" vertical="center" wrapText="1"/>
    </xf>
    <xf numFmtId="0" fontId="0" fillId="16" borderId="103" xfId="0" applyFill="1" applyBorder="1" applyAlignment="1">
      <alignment horizontal="center" vertical="center" wrapText="1"/>
    </xf>
    <xf numFmtId="2" fontId="0" fillId="14" borderId="5" xfId="0" applyNumberFormat="1" applyFill="1" applyBorder="1" applyAlignment="1">
      <alignment horizontal="center" vertical="center"/>
    </xf>
    <xf numFmtId="2" fontId="0" fillId="16" borderId="103" xfId="0" applyNumberFormat="1" applyFill="1" applyBorder="1" applyAlignment="1">
      <alignment horizontal="center" vertical="center" wrapText="1"/>
    </xf>
    <xf numFmtId="0" fontId="0" fillId="16" borderId="101" xfId="0" applyFill="1" applyBorder="1" applyAlignment="1">
      <alignment horizontal="center" vertical="center" wrapText="1"/>
    </xf>
    <xf numFmtId="0" fontId="0" fillId="16" borderId="100" xfId="0" applyFill="1" applyBorder="1" applyAlignment="1">
      <alignment horizontal="center" vertical="center" wrapText="1"/>
    </xf>
    <xf numFmtId="0" fontId="0" fillId="16" borderId="89" xfId="0" applyFill="1" applyBorder="1" applyAlignment="1">
      <alignment horizontal="center" vertical="center" wrapText="1"/>
    </xf>
    <xf numFmtId="172" fontId="0" fillId="31" borderId="66" xfId="0" applyNumberFormat="1" applyFill="1" applyBorder="1" applyAlignment="1">
      <alignment horizontal="center" vertical="center"/>
    </xf>
    <xf numFmtId="172" fontId="0" fillId="31" borderId="65" xfId="0" applyNumberFormat="1" applyFill="1" applyBorder="1" applyAlignment="1">
      <alignment horizontal="center" vertical="center"/>
    </xf>
    <xf numFmtId="172" fontId="0" fillId="31" borderId="57" xfId="0" applyNumberFormat="1" applyFill="1" applyBorder="1" applyAlignment="1">
      <alignment horizontal="center" vertical="center"/>
    </xf>
    <xf numFmtId="172" fontId="0" fillId="33" borderId="100" xfId="0" applyNumberFormat="1" applyFill="1" applyBorder="1" applyAlignment="1">
      <alignment horizontal="center" vertical="center" wrapText="1"/>
    </xf>
    <xf numFmtId="172" fontId="0" fillId="33" borderId="66" xfId="0" applyNumberFormat="1" applyFill="1" applyBorder="1" applyAlignment="1">
      <alignment horizontal="center" vertical="center" wrapText="1"/>
    </xf>
    <xf numFmtId="172" fontId="0" fillId="33" borderId="65" xfId="0" applyNumberFormat="1" applyFill="1" applyBorder="1" applyAlignment="1">
      <alignment horizontal="center" vertical="center" wrapText="1"/>
    </xf>
    <xf numFmtId="172" fontId="0" fillId="33" borderId="57" xfId="0" applyNumberFormat="1" applyFill="1" applyBorder="1" applyAlignment="1">
      <alignment horizontal="center" vertical="center" wrapText="1"/>
    </xf>
    <xf numFmtId="172" fontId="0" fillId="36" borderId="83" xfId="0" applyNumberFormat="1" applyFill="1" applyBorder="1" applyAlignment="1">
      <alignment horizontal="center" vertical="center"/>
    </xf>
    <xf numFmtId="172" fontId="0" fillId="36" borderId="76" xfId="0" applyNumberFormat="1" applyFill="1" applyBorder="1" applyAlignment="1">
      <alignment horizontal="center" vertical="center"/>
    </xf>
    <xf numFmtId="177" fontId="0" fillId="40" borderId="11" xfId="0" applyNumberFormat="1" applyFill="1" applyBorder="1" applyAlignment="1">
      <alignment horizontal="center" vertical="center"/>
    </xf>
    <xf numFmtId="177" fontId="0" fillId="40" borderId="50" xfId="0" applyNumberFormat="1" applyFill="1" applyBorder="1" applyAlignment="1">
      <alignment horizontal="center" vertical="center"/>
    </xf>
    <xf numFmtId="177" fontId="0" fillId="40" borderId="13" xfId="0" applyNumberFormat="1" applyFill="1" applyBorder="1" applyAlignment="1">
      <alignment horizontal="center" vertical="center"/>
    </xf>
    <xf numFmtId="0" fontId="0" fillId="40" borderId="7" xfId="0" applyFill="1" applyBorder="1" applyAlignment="1">
      <alignment horizontal="center" vertical="center"/>
    </xf>
    <xf numFmtId="0" fontId="0" fillId="40" borderId="8" xfId="0" applyFill="1" applyBorder="1" applyAlignment="1">
      <alignment horizontal="center" vertical="center"/>
    </xf>
    <xf numFmtId="0" fontId="0" fillId="40" borderId="25" xfId="0" applyFill="1" applyBorder="1" applyAlignment="1">
      <alignment horizontal="center" vertical="center"/>
    </xf>
    <xf numFmtId="177" fontId="0" fillId="40" borderId="7" xfId="0" applyNumberFormat="1" applyFill="1" applyBorder="1" applyAlignment="1">
      <alignment horizontal="center" vertical="center"/>
    </xf>
    <xf numFmtId="177" fontId="0" fillId="40" borderId="8" xfId="0" applyNumberFormat="1" applyFill="1" applyBorder="1" applyAlignment="1">
      <alignment horizontal="center" vertical="center"/>
    </xf>
    <xf numFmtId="177" fontId="0" fillId="40" borderId="25" xfId="0" applyNumberFormat="1" applyFill="1" applyBorder="1" applyAlignment="1">
      <alignment horizontal="center" vertical="center"/>
    </xf>
    <xf numFmtId="0" fontId="0" fillId="16" borderId="61" xfId="0" applyFill="1" applyBorder="1" applyAlignment="1">
      <alignment horizontal="center" vertical="center" wrapText="1"/>
    </xf>
    <xf numFmtId="177" fontId="26" fillId="40" borderId="2" xfId="0" applyNumberFormat="1" applyFont="1" applyFill="1" applyBorder="1" applyAlignment="1">
      <alignment horizontal="center" vertical="center"/>
    </xf>
    <xf numFmtId="177" fontId="0" fillId="40" borderId="2" xfId="0" applyNumberFormat="1" applyFill="1" applyBorder="1" applyAlignment="1">
      <alignment horizontal="center" vertical="center"/>
    </xf>
    <xf numFmtId="177" fontId="26" fillId="40" borderId="4" xfId="0" applyNumberFormat="1" applyFont="1" applyFill="1" applyBorder="1" applyAlignment="1">
      <alignment horizontal="center" vertical="center"/>
    </xf>
    <xf numFmtId="0" fontId="22" fillId="29" borderId="56" xfId="0" applyFont="1" applyFill="1" applyBorder="1"/>
    <xf numFmtId="0" fontId="22" fillId="29" borderId="86" xfId="0" applyFont="1" applyFill="1" applyBorder="1"/>
    <xf numFmtId="0" fontId="22" fillId="29" borderId="36" xfId="0" applyFont="1" applyFill="1" applyBorder="1"/>
    <xf numFmtId="0" fontId="22" fillId="29" borderId="69" xfId="0" applyFont="1" applyFill="1" applyBorder="1"/>
    <xf numFmtId="0" fontId="22" fillId="29" borderId="55" xfId="0" applyFont="1" applyFill="1" applyBorder="1"/>
    <xf numFmtId="0" fontId="0" fillId="0" borderId="72" xfId="0" applyBorder="1" applyAlignment="1">
      <alignment horizontal="left"/>
    </xf>
    <xf numFmtId="0" fontId="0" fillId="0" borderId="38" xfId="0" applyBorder="1" applyAlignment="1">
      <alignment horizontal="left"/>
    </xf>
    <xf numFmtId="0" fontId="0" fillId="0" borderId="5" xfId="0" applyBorder="1" applyAlignment="1">
      <alignment horizontal="left"/>
    </xf>
    <xf numFmtId="0" fontId="0" fillId="0" borderId="2" xfId="0" applyBorder="1" applyAlignment="1">
      <alignment horizontal="left"/>
    </xf>
    <xf numFmtId="0" fontId="0" fillId="0" borderId="4" xfId="0" applyBorder="1" applyAlignment="1">
      <alignment horizontal="left"/>
    </xf>
    <xf numFmtId="0" fontId="0" fillId="0" borderId="54" xfId="0" applyBorder="1" applyAlignment="1">
      <alignment horizontal="left"/>
    </xf>
    <xf numFmtId="177" fontId="0" fillId="16" borderId="66" xfId="0" applyNumberFormat="1" applyFill="1" applyBorder="1" applyAlignment="1">
      <alignment horizontal="center" vertical="center" wrapText="1"/>
    </xf>
    <xf numFmtId="177" fontId="0" fillId="16" borderId="65" xfId="0" applyNumberFormat="1" applyFill="1" applyBorder="1" applyAlignment="1">
      <alignment horizontal="center" vertical="center" wrapText="1"/>
    </xf>
    <xf numFmtId="177" fontId="0" fillId="16" borderId="103" xfId="0" applyNumberFormat="1" applyFill="1" applyBorder="1" applyAlignment="1">
      <alignment horizontal="center" vertical="center" wrapText="1"/>
    </xf>
    <xf numFmtId="177" fontId="0" fillId="36" borderId="66" xfId="0" applyNumberFormat="1" applyFill="1" applyBorder="1" applyAlignment="1">
      <alignment horizontal="center" vertical="center"/>
    </xf>
    <xf numFmtId="177" fontId="0" fillId="36" borderId="65" xfId="0" applyNumberFormat="1" applyFill="1" applyBorder="1" applyAlignment="1">
      <alignment horizontal="center" vertical="center"/>
    </xf>
    <xf numFmtId="177" fontId="0" fillId="36" borderId="103" xfId="0" applyNumberFormat="1" applyFill="1" applyBorder="1" applyAlignment="1">
      <alignment horizontal="center" vertical="center"/>
    </xf>
    <xf numFmtId="0" fontId="0" fillId="0" borderId="68" xfId="0" applyBorder="1"/>
    <xf numFmtId="0" fontId="0" fillId="0" borderId="73" xfId="0" applyBorder="1"/>
    <xf numFmtId="0" fontId="0" fillId="0" borderId="53" xfId="0" applyBorder="1"/>
    <xf numFmtId="0" fontId="0" fillId="0" borderId="96" xfId="0" applyBorder="1"/>
    <xf numFmtId="0" fontId="0" fillId="0" borderId="52" xfId="0" applyBorder="1"/>
    <xf numFmtId="0" fontId="0" fillId="16" borderId="78" xfId="0" applyFill="1" applyBorder="1" applyAlignment="1">
      <alignment horizontal="center" vertical="center" wrapText="1"/>
    </xf>
    <xf numFmtId="0" fontId="0" fillId="16" borderId="75" xfId="0" applyFill="1" applyBorder="1" applyAlignment="1">
      <alignment horizontal="center" vertical="center" wrapText="1"/>
    </xf>
    <xf numFmtId="2" fontId="0" fillId="38" borderId="2" xfId="0" applyNumberFormat="1" applyFill="1" applyBorder="1" applyAlignment="1">
      <alignment horizontal="center" vertical="center"/>
    </xf>
    <xf numFmtId="0" fontId="0" fillId="0" borderId="1" xfId="0"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16" borderId="99" xfId="0" applyFill="1" applyBorder="1" applyAlignment="1">
      <alignment horizontal="center" vertical="center" wrapText="1"/>
    </xf>
    <xf numFmtId="0" fontId="0" fillId="16" borderId="98" xfId="0" applyFill="1" applyBorder="1" applyAlignment="1">
      <alignment horizontal="center" vertical="center" wrapText="1"/>
    </xf>
    <xf numFmtId="0" fontId="0" fillId="16" borderId="97" xfId="0" applyFill="1" applyBorder="1" applyAlignment="1">
      <alignment horizontal="center" vertical="center" wrapText="1"/>
    </xf>
    <xf numFmtId="177" fontId="0" fillId="16" borderId="90" xfId="0" applyNumberFormat="1" applyFill="1" applyBorder="1" applyAlignment="1">
      <alignment horizontal="center" vertical="center" wrapText="1"/>
    </xf>
    <xf numFmtId="177" fontId="0" fillId="16" borderId="82" xfId="0" applyNumberFormat="1" applyFill="1" applyBorder="1" applyAlignment="1">
      <alignment horizontal="center" vertical="center" wrapText="1"/>
    </xf>
    <xf numFmtId="177" fontId="0" fillId="16" borderId="40" xfId="0" applyNumberFormat="1" applyFill="1" applyBorder="1" applyAlignment="1">
      <alignment horizontal="center" vertical="center" wrapText="1"/>
    </xf>
    <xf numFmtId="0" fontId="0" fillId="0" borderId="61" xfId="0" applyBorder="1" applyAlignment="1">
      <alignment horizontal="center" vertical="center"/>
    </xf>
    <xf numFmtId="0" fontId="0" fillId="0" borderId="65" xfId="0" applyBorder="1" applyAlignment="1">
      <alignment horizontal="center" vertical="center"/>
    </xf>
    <xf numFmtId="0" fontId="0" fillId="0" borderId="57" xfId="0" applyBorder="1" applyAlignment="1">
      <alignment horizontal="center" vertical="center"/>
    </xf>
    <xf numFmtId="0" fontId="0" fillId="24" borderId="36" xfId="0" applyFill="1" applyBorder="1" applyAlignment="1">
      <alignment horizontal="center" vertical="center"/>
    </xf>
    <xf numFmtId="0" fontId="0" fillId="24" borderId="38" xfId="0" applyFill="1" applyBorder="1" applyAlignment="1">
      <alignment horizontal="center" vertical="center"/>
    </xf>
    <xf numFmtId="177" fontId="0" fillId="24" borderId="56" xfId="0" applyNumberFormat="1" applyFill="1" applyBorder="1" applyAlignment="1">
      <alignment horizontal="center" vertical="center"/>
    </xf>
    <xf numFmtId="177" fontId="0" fillId="24" borderId="2" xfId="0" applyNumberFormat="1" applyFill="1" applyBorder="1" applyAlignment="1">
      <alignment horizontal="center" vertical="center"/>
    </xf>
    <xf numFmtId="177" fontId="26" fillId="24" borderId="56" xfId="0" applyNumberFormat="1" applyFont="1" applyFill="1" applyBorder="1" applyAlignment="1">
      <alignment horizontal="center" vertical="center"/>
    </xf>
    <xf numFmtId="177" fontId="26" fillId="24" borderId="2" xfId="0" applyNumberFormat="1" applyFont="1" applyFill="1" applyBorder="1" applyAlignment="1">
      <alignment horizontal="center" vertical="center"/>
    </xf>
    <xf numFmtId="0" fontId="0" fillId="26" borderId="79" xfId="0" applyFill="1" applyBorder="1" applyAlignment="1">
      <alignment horizontal="center"/>
    </xf>
    <xf numFmtId="0" fontId="0" fillId="26" borderId="84" xfId="0" applyFill="1" applyBorder="1" applyAlignment="1">
      <alignment horizontal="center"/>
    </xf>
    <xf numFmtId="0" fontId="0" fillId="26" borderId="64" xfId="0" applyFill="1" applyBorder="1" applyAlignment="1">
      <alignment horizontal="center"/>
    </xf>
    <xf numFmtId="173" fontId="0" fillId="0" borderId="66" xfId="0" applyNumberFormat="1" applyBorder="1" applyAlignment="1">
      <alignment horizontal="center"/>
    </xf>
    <xf numFmtId="173" fontId="0" fillId="0" borderId="65" xfId="0" applyNumberFormat="1" applyBorder="1" applyAlignment="1">
      <alignment horizontal="center"/>
    </xf>
    <xf numFmtId="173" fontId="0" fillId="0" borderId="57" xfId="0" applyNumberFormat="1" applyBorder="1" applyAlignment="1">
      <alignment horizontal="center"/>
    </xf>
    <xf numFmtId="173" fontId="0" fillId="28" borderId="66" xfId="0" applyNumberFormat="1" applyFill="1" applyBorder="1" applyAlignment="1">
      <alignment horizontal="center"/>
    </xf>
    <xf numFmtId="173" fontId="0" fillId="28" borderId="65" xfId="0" applyNumberFormat="1" applyFill="1" applyBorder="1" applyAlignment="1">
      <alignment horizontal="center"/>
    </xf>
    <xf numFmtId="173" fontId="0" fillId="28" borderId="57" xfId="0" applyNumberFormat="1" applyFill="1" applyBorder="1" applyAlignment="1">
      <alignment horizontal="center"/>
    </xf>
    <xf numFmtId="0" fontId="22" fillId="26" borderId="61" xfId="0" applyFont="1" applyFill="1" applyBorder="1" applyAlignment="1">
      <alignment horizontal="center"/>
    </xf>
    <xf numFmtId="0" fontId="22" fillId="26" borderId="87" xfId="0" applyFont="1" applyFill="1" applyBorder="1" applyAlignment="1">
      <alignment horizontal="center"/>
    </xf>
    <xf numFmtId="0" fontId="22" fillId="26" borderId="60" xfId="0" applyFont="1" applyFill="1" applyBorder="1" applyAlignment="1">
      <alignment horizontal="center"/>
    </xf>
    <xf numFmtId="177" fontId="0" fillId="24" borderId="86" xfId="0" applyNumberFormat="1" applyFill="1" applyBorder="1" applyAlignment="1">
      <alignment horizontal="center" vertical="center"/>
    </xf>
    <xf numFmtId="177" fontId="0" fillId="24" borderId="4" xfId="0" applyNumberFormat="1" applyFill="1" applyBorder="1" applyAlignment="1">
      <alignment horizontal="center" vertical="center"/>
    </xf>
    <xf numFmtId="0" fontId="0" fillId="0" borderId="66" xfId="0" applyBorder="1" applyAlignment="1">
      <alignment horizontal="center" vertical="center"/>
    </xf>
    <xf numFmtId="0" fontId="0" fillId="0" borderId="60" xfId="0" applyBorder="1" applyAlignment="1">
      <alignment horizontal="center"/>
    </xf>
    <xf numFmtId="0" fontId="0" fillId="0" borderId="80" xfId="0" applyBorder="1" applyAlignment="1">
      <alignment horizontal="center"/>
    </xf>
    <xf numFmtId="172" fontId="0" fillId="0" borderId="66" xfId="0" applyNumberFormat="1" applyBorder="1" applyAlignment="1">
      <alignment horizontal="center"/>
    </xf>
    <xf numFmtId="0" fontId="0" fillId="0" borderId="65" xfId="0" applyBorder="1" applyAlignment="1">
      <alignment horizontal="center"/>
    </xf>
    <xf numFmtId="0" fontId="0" fillId="0" borderId="57" xfId="0" applyBorder="1" applyAlignment="1">
      <alignment horizontal="center"/>
    </xf>
    <xf numFmtId="2" fontId="0" fillId="24" borderId="2" xfId="0" applyNumberFormat="1" applyFill="1" applyBorder="1" applyAlignment="1">
      <alignment horizontal="center" vertical="center"/>
    </xf>
    <xf numFmtId="0" fontId="0" fillId="0" borderId="66" xfId="0" applyBorder="1" applyAlignment="1">
      <alignment horizontal="center" vertical="center" wrapText="1"/>
    </xf>
    <xf numFmtId="0" fontId="22" fillId="0" borderId="57" xfId="0" applyFont="1" applyBorder="1" applyAlignment="1">
      <alignment horizontal="center" vertical="center" wrapText="1"/>
    </xf>
    <xf numFmtId="0" fontId="0" fillId="24" borderId="90" xfId="0" applyFill="1" applyBorder="1" applyAlignment="1">
      <alignment horizontal="center" vertical="center" wrapText="1"/>
    </xf>
    <xf numFmtId="0" fontId="0" fillId="24" borderId="82" xfId="0" applyFill="1" applyBorder="1" applyAlignment="1">
      <alignment horizontal="center" vertical="center" wrapText="1"/>
    </xf>
    <xf numFmtId="0" fontId="0" fillId="24" borderId="40" xfId="0" applyFill="1" applyBorder="1" applyAlignment="1">
      <alignment horizontal="center" vertical="center" wrapText="1"/>
    </xf>
    <xf numFmtId="172" fontId="0" fillId="24" borderId="55" xfId="0" applyNumberFormat="1" applyFill="1" applyBorder="1" applyAlignment="1">
      <alignment horizontal="center" vertical="center" wrapText="1"/>
    </xf>
    <xf numFmtId="172" fontId="0" fillId="24" borderId="54" xfId="0" applyNumberFormat="1" applyFill="1" applyBorder="1" applyAlignment="1">
      <alignment horizontal="center" vertical="center" wrapText="1"/>
    </xf>
    <xf numFmtId="0" fontId="0" fillId="24" borderId="87" xfId="0" applyFill="1" applyBorder="1" applyAlignment="1">
      <alignment horizontal="center" vertical="center" wrapText="1"/>
    </xf>
    <xf numFmtId="0" fontId="0" fillId="24" borderId="84" xfId="0" applyFill="1" applyBorder="1" applyAlignment="1">
      <alignment horizontal="center" vertical="center" wrapText="1"/>
    </xf>
    <xf numFmtId="173" fontId="0" fillId="24" borderId="66" xfId="0" applyNumberFormat="1" applyFill="1" applyBorder="1" applyAlignment="1">
      <alignment horizontal="center" vertical="center" wrapText="1"/>
    </xf>
    <xf numFmtId="173" fontId="0" fillId="24" borderId="57" xfId="0" applyNumberFormat="1" applyFill="1" applyBorder="1" applyAlignment="1">
      <alignment horizontal="center" vertical="center" wrapText="1"/>
    </xf>
    <xf numFmtId="0" fontId="0" fillId="24" borderId="41" xfId="0" applyFill="1" applyBorder="1" applyAlignment="1">
      <alignment horizontal="center" vertical="center"/>
    </xf>
    <xf numFmtId="0" fontId="0" fillId="24" borderId="82" xfId="0" applyFill="1" applyBorder="1" applyAlignment="1">
      <alignment horizontal="center" vertical="center"/>
    </xf>
    <xf numFmtId="0" fontId="0" fillId="24" borderId="40" xfId="0" applyFill="1" applyBorder="1" applyAlignment="1">
      <alignment horizontal="center" vertical="center"/>
    </xf>
    <xf numFmtId="172" fontId="0" fillId="24" borderId="54" xfId="0" applyNumberFormat="1" applyFill="1" applyBorder="1" applyAlignment="1">
      <alignment horizontal="center" vertical="center"/>
    </xf>
    <xf numFmtId="2" fontId="0" fillId="24" borderId="3" xfId="0" applyNumberFormat="1" applyFill="1" applyBorder="1" applyAlignment="1">
      <alignment horizontal="center" vertical="center"/>
    </xf>
    <xf numFmtId="2" fontId="0" fillId="24" borderId="78" xfId="0" applyNumberFormat="1" applyFill="1" applyBorder="1" applyAlignment="1">
      <alignment horizontal="center" vertical="center"/>
    </xf>
    <xf numFmtId="0" fontId="0" fillId="24" borderId="2" xfId="0" applyFill="1" applyBorder="1" applyAlignment="1">
      <alignment horizontal="center" vertical="center"/>
    </xf>
    <xf numFmtId="0" fontId="0" fillId="24" borderId="77" xfId="0" applyFill="1" applyBorder="1" applyAlignment="1">
      <alignment horizontal="center" vertical="center"/>
    </xf>
    <xf numFmtId="177" fontId="0" fillId="24" borderId="70" xfId="0" applyNumberFormat="1" applyFill="1" applyBorder="1" applyAlignment="1">
      <alignment horizontal="center" vertical="center"/>
    </xf>
    <xf numFmtId="177" fontId="0" fillId="24" borderId="3" xfId="0" applyNumberFormat="1" applyFill="1" applyBorder="1" applyAlignment="1">
      <alignment horizontal="center" vertical="center"/>
    </xf>
    <xf numFmtId="0" fontId="0" fillId="24" borderId="56" xfId="0" applyFill="1" applyBorder="1" applyAlignment="1">
      <alignment horizontal="center" vertical="center"/>
    </xf>
    <xf numFmtId="0" fontId="0" fillId="24" borderId="85" xfId="0" applyFill="1" applyBorder="1" applyAlignment="1">
      <alignment horizontal="center" vertical="center"/>
    </xf>
    <xf numFmtId="177" fontId="0" fillId="24" borderId="38" xfId="0" applyNumberFormat="1" applyFill="1" applyBorder="1" applyAlignment="1">
      <alignment horizontal="center" vertical="center"/>
    </xf>
    <xf numFmtId="177" fontId="0" fillId="24" borderId="5" xfId="0" applyNumberFormat="1" applyFill="1" applyBorder="1" applyAlignment="1">
      <alignment horizontal="center" vertical="center"/>
    </xf>
    <xf numFmtId="2" fontId="0" fillId="24" borderId="38" xfId="0" applyNumberFormat="1" applyFill="1" applyBorder="1" applyAlignment="1">
      <alignment horizontal="center" vertical="center"/>
    </xf>
    <xf numFmtId="2" fontId="0" fillId="24" borderId="5" xfId="0" applyNumberFormat="1" applyFill="1" applyBorder="1" applyAlignment="1">
      <alignment horizontal="center" vertical="center"/>
    </xf>
    <xf numFmtId="172" fontId="0" fillId="0" borderId="65" xfId="0" applyNumberFormat="1" applyBorder="1" applyAlignment="1">
      <alignment horizontal="center"/>
    </xf>
    <xf numFmtId="172" fontId="0" fillId="0" borderId="57" xfId="0" applyNumberFormat="1" applyBorder="1" applyAlignment="1">
      <alignment horizontal="center"/>
    </xf>
    <xf numFmtId="173" fontId="0" fillId="22" borderId="66" xfId="0" applyNumberFormat="1" applyFill="1" applyBorder="1" applyAlignment="1">
      <alignment horizontal="center"/>
    </xf>
    <xf numFmtId="173" fontId="0" fillId="22" borderId="65" xfId="0" applyNumberFormat="1" applyFill="1" applyBorder="1" applyAlignment="1">
      <alignment horizontal="center"/>
    </xf>
    <xf numFmtId="173" fontId="0" fillId="22" borderId="57" xfId="0" applyNumberFormat="1" applyFill="1" applyBorder="1" applyAlignment="1">
      <alignment horizontal="center"/>
    </xf>
    <xf numFmtId="172" fontId="0" fillId="41" borderId="66" xfId="0" applyNumberFormat="1" applyFill="1" applyBorder="1" applyAlignment="1">
      <alignment horizontal="center"/>
    </xf>
    <xf numFmtId="0" fontId="0" fillId="41" borderId="65" xfId="0" applyFill="1" applyBorder="1" applyAlignment="1">
      <alignment horizontal="center"/>
    </xf>
    <xf numFmtId="0" fontId="0" fillId="41" borderId="57" xfId="0" applyFill="1" applyBorder="1" applyAlignment="1">
      <alignment horizontal="center"/>
    </xf>
    <xf numFmtId="172" fontId="0" fillId="0" borderId="79" xfId="0" applyNumberFormat="1" applyBorder="1" applyAlignment="1">
      <alignment horizontal="center"/>
    </xf>
    <xf numFmtId="2" fontId="26" fillId="24" borderId="2" xfId="0" applyNumberFormat="1" applyFont="1" applyFill="1" applyBorder="1" applyAlignment="1">
      <alignment horizontal="center" vertical="center"/>
    </xf>
    <xf numFmtId="177" fontId="0" fillId="24" borderId="77" xfId="0" applyNumberFormat="1" applyFill="1" applyBorder="1" applyAlignment="1">
      <alignment horizontal="center" vertical="center"/>
    </xf>
    <xf numFmtId="0" fontId="0" fillId="24" borderId="81" xfId="0" applyFill="1" applyBorder="1" applyAlignment="1">
      <alignment horizontal="center" vertical="center"/>
    </xf>
    <xf numFmtId="0" fontId="0" fillId="24" borderId="54" xfId="0" applyFill="1" applyBorder="1" applyAlignment="1">
      <alignment horizontal="center" vertical="center"/>
    </xf>
    <xf numFmtId="0" fontId="0" fillId="24" borderId="52" xfId="0" applyFill="1" applyBorder="1" applyAlignment="1">
      <alignment horizontal="center" vertical="center"/>
    </xf>
    <xf numFmtId="0" fontId="0" fillId="0" borderId="66" xfId="0" applyBorder="1" applyAlignment="1">
      <alignment horizontal="center"/>
    </xf>
    <xf numFmtId="2" fontId="0" fillId="24" borderId="54" xfId="0" applyNumberFormat="1" applyFill="1" applyBorder="1" applyAlignment="1">
      <alignment horizontal="center" vertical="center"/>
    </xf>
    <xf numFmtId="0" fontId="0" fillId="0" borderId="14" xfId="0" applyBorder="1" applyAlignment="1">
      <alignment horizontal="center" vertical="top" wrapText="1"/>
    </xf>
    <xf numFmtId="0" fontId="0" fillId="0" borderId="0" xfId="0" applyAlignment="1">
      <alignment horizontal="center" vertical="top" wrapText="1"/>
    </xf>
    <xf numFmtId="0" fontId="0" fillId="0" borderId="50" xfId="0"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2" fontId="0" fillId="24" borderId="53" xfId="0" applyNumberFormat="1" applyFill="1" applyBorder="1" applyAlignment="1">
      <alignment horizontal="center" vertical="center"/>
    </xf>
    <xf numFmtId="2" fontId="0" fillId="24" borderId="4" xfId="0" applyNumberFormat="1" applyFill="1" applyBorder="1" applyAlignment="1">
      <alignment horizontal="center" vertical="center"/>
    </xf>
    <xf numFmtId="2" fontId="0" fillId="24" borderId="68" xfId="0" applyNumberFormat="1" applyFill="1" applyBorder="1" applyAlignment="1">
      <alignment horizontal="center" vertical="center"/>
    </xf>
    <xf numFmtId="2" fontId="0" fillId="24" borderId="73" xfId="0" applyNumberFormat="1" applyFill="1" applyBorder="1" applyAlignment="1">
      <alignment horizontal="center" vertical="center"/>
    </xf>
    <xf numFmtId="2" fontId="0" fillId="24" borderId="72" xfId="0" applyNumberFormat="1" applyFill="1" applyBorder="1" applyAlignment="1">
      <alignment horizontal="center" vertical="center"/>
    </xf>
    <xf numFmtId="0" fontId="22" fillId="21" borderId="43" xfId="0" applyFont="1" applyFill="1" applyBorder="1" applyAlignment="1">
      <alignment horizontal="center"/>
    </xf>
    <xf numFmtId="0" fontId="22" fillId="21" borderId="70" xfId="0" applyFont="1" applyFill="1" applyBorder="1" applyAlignment="1">
      <alignment horizontal="center"/>
    </xf>
    <xf numFmtId="0" fontId="22" fillId="21" borderId="69" xfId="0" applyFont="1" applyFill="1" applyBorder="1" applyAlignment="1">
      <alignment horizontal="center"/>
    </xf>
    <xf numFmtId="0" fontId="0" fillId="22" borderId="1" xfId="0" applyFill="1" applyBorder="1" applyAlignment="1">
      <alignment horizontal="left" vertical="top" wrapText="1"/>
    </xf>
    <xf numFmtId="0" fontId="0" fillId="22" borderId="10" xfId="0" applyFill="1" applyBorder="1" applyAlignment="1">
      <alignment horizontal="left" vertical="top" wrapText="1"/>
    </xf>
    <xf numFmtId="0" fontId="0" fillId="22" borderId="11" xfId="0" applyFill="1" applyBorder="1" applyAlignment="1">
      <alignment horizontal="left" vertical="top" wrapText="1"/>
    </xf>
    <xf numFmtId="0" fontId="0" fillId="22" borderId="14" xfId="0" applyFill="1" applyBorder="1" applyAlignment="1">
      <alignment horizontal="left" vertical="top" wrapText="1"/>
    </xf>
    <xf numFmtId="0" fontId="0" fillId="22" borderId="0" xfId="0" applyFill="1" applyAlignment="1">
      <alignment horizontal="left" vertical="top" wrapText="1"/>
    </xf>
    <xf numFmtId="0" fontId="0" fillId="22" borderId="50" xfId="0" applyFill="1" applyBorder="1" applyAlignment="1">
      <alignment horizontal="left" vertical="top" wrapText="1"/>
    </xf>
    <xf numFmtId="0" fontId="0" fillId="22" borderId="6" xfId="0" applyFill="1" applyBorder="1" applyAlignment="1">
      <alignment horizontal="left" vertical="top" wrapText="1"/>
    </xf>
    <xf numFmtId="0" fontId="0" fillId="22" borderId="12" xfId="0" applyFill="1" applyBorder="1" applyAlignment="1">
      <alignment horizontal="left" vertical="top" wrapText="1"/>
    </xf>
    <xf numFmtId="0" fontId="0" fillId="22" borderId="13" xfId="0" applyFill="1" applyBorder="1" applyAlignment="1">
      <alignment horizontal="left" vertical="top" wrapText="1"/>
    </xf>
    <xf numFmtId="0" fontId="0" fillId="24" borderId="68" xfId="0" applyFill="1" applyBorder="1" applyAlignment="1">
      <alignment horizontal="center" vertical="center"/>
    </xf>
    <xf numFmtId="2" fontId="0" fillId="24" borderId="52" xfId="0" applyNumberFormat="1" applyFill="1" applyBorder="1" applyAlignment="1">
      <alignment horizontal="center" vertical="center"/>
    </xf>
    <xf numFmtId="2" fontId="0" fillId="24" borderId="75" xfId="0" applyNumberFormat="1" applyFill="1" applyBorder="1" applyAlignment="1">
      <alignment horizontal="center" vertical="center"/>
    </xf>
    <xf numFmtId="0" fontId="0" fillId="24" borderId="53" xfId="0" applyFill="1" applyBorder="1" applyAlignment="1">
      <alignment horizontal="center" vertical="center"/>
    </xf>
    <xf numFmtId="0" fontId="0" fillId="24" borderId="74" xfId="0" applyFill="1" applyBorder="1" applyAlignment="1">
      <alignment horizontal="center" vertical="center"/>
    </xf>
  </cellXfs>
  <cellStyles count="4">
    <cellStyle name="Comma" xfId="2" builtinId="3"/>
    <cellStyle name="Hyperlink" xfId="3" builtinId="8"/>
    <cellStyle name="Normal" xfId="0" builtinId="0"/>
    <cellStyle name="Percent" xfId="1" builtinId="5"/>
  </cellStyles>
  <dxfs count="24">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numFmt numFmtId="3" formatCode="#,##0"/>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alignment wrapText="1"/>
    </dxf>
    <dxf>
      <numFmt numFmtId="3" formatCode="#,##0"/>
    </dxf>
    <dxf>
      <alignment wrapText="1"/>
    </dxf>
    <dxf>
      <alignment wrapText="1"/>
    </dxf>
  </dxfs>
  <tableStyles count="0" defaultTableStyle="TableStyleMedium2" defaultPivotStyle="PivotStyleLight16"/>
  <colors>
    <mruColors>
      <color rgb="FFC0C0C0"/>
      <color rgb="FFFFFFFF"/>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theme" Target="theme/theme1.xml"/><Relationship Id="rId30" Type="http://schemas.microsoft.com/office/2017/10/relationships/person" Target="persons/person.xml"/></Relationships>
</file>

<file path=xl/drawings/drawing1.xml><?xml version="1.0" encoding="utf-8"?>
<xdr:wsDr xmlns:xdr="http://schemas.openxmlformats.org/drawingml/2006/spreadsheetDrawing" xmlns:a="http://schemas.openxmlformats.org/drawingml/2006/main">
  <xdr:twoCellAnchor>
    <xdr:from>
      <xdr:col>10</xdr:col>
      <xdr:colOff>1270000</xdr:colOff>
      <xdr:row>31</xdr:row>
      <xdr:rowOff>746125</xdr:rowOff>
    </xdr:from>
    <xdr:to>
      <xdr:col>26</xdr:col>
      <xdr:colOff>997585</xdr:colOff>
      <xdr:row>55</xdr:row>
      <xdr:rowOff>15240</xdr:rowOff>
    </xdr:to>
    <xdr:sp macro="" textlink="">
      <xdr:nvSpPr>
        <xdr:cNvPr id="2" name="Rectangle 1">
          <a:extLst>
            <a:ext uri="{FF2B5EF4-FFF2-40B4-BE49-F238E27FC236}">
              <a16:creationId xmlns:a16="http://schemas.microsoft.com/office/drawing/2014/main" id="{CF9D420E-B04A-4CFD-9E58-016E46A99519}"/>
            </a:ext>
          </a:extLst>
        </xdr:cNvPr>
        <xdr:cNvSpPr/>
      </xdr:nvSpPr>
      <xdr:spPr>
        <a:xfrm>
          <a:off x="16049625" y="7651750"/>
          <a:ext cx="20253960" cy="4587240"/>
        </a:xfrm>
        <a:prstGeom prst="rect">
          <a:avLst/>
        </a:prstGeom>
        <a:pattFill prst="openDmnd">
          <a:fgClr>
            <a:schemeClr val="bg1">
              <a:lumMod val="50000"/>
            </a:schemeClr>
          </a:fgClr>
          <a:bgClr>
            <a:schemeClr val="tx1">
              <a:lumMod val="75000"/>
              <a:lumOff val="25000"/>
            </a:schemeClr>
          </a:bgClr>
        </a:patt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5400"/>
            <a:t>These</a:t>
          </a:r>
          <a:r>
            <a:rPr lang="en-US" sz="5400" baseline="0"/>
            <a:t> values are not used in the savings calculations. This table has not been updated for IL TRM v10.</a:t>
          </a:r>
          <a:endParaRPr lang="en-US" sz="5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pfiler1\acumen\Personal\Deals\Unisource\Springerville%20model\Springerville34_Base%207%2025_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pacc2000\accounts\Users\Models\Standard\Misc\LP%20ex%20arooj%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ail.ashb.aes.com/DOCUME~1/DROTSA~1.000/LOCALS~1/Temp/RasLa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EG/Clients/Peoples%20Gas%20Chicago/Plan%204/BenCost%20Model/PGL_NSG%20BenCost_DRAFT_%20PGL%20NSG%20Draft_v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EG/Clients/Peoples%20Gas%20Chicago/Plan%204/Data%20Request/Program%20Data/Copy%20of%208-24-20%20IL%20kits%20calculator%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d\Projects\BHCRates\PSCModels\2005.04.14\Clean\CAS%20Electric%20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eresco.com\d\Excel2000f\ROA%20v.%20Bundled\Templates\Rev%20Credit%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eresco.com\d\BHP\2005\Rate%20Case\BHP%20Cost%20of%20Service%20Model%20(Excel)%203.07.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eresco.com\d\Rates\Black%20Hills%20Power,%20Inc\Rate%20Case\2009%20-%20BHP%20-%20SD\Cost%20of%20Service%20Models\Master%20Rate%20Filing%20Statement-July%2008%20-%20June%2009-Settlement%20with%20Staf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eresco.com\d\Documents%20and%20Settings\ckilpatr\My%20Documents\Rate%20Class%20Info\COS%20Exercise%206%20with%20answe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EG/Clients/Peoples%20Gas%20Chicago/Plan%204/BenCost%20Model/PGL_NSG%20BenCost_DRAFT_%20PGL%20NSG%20Draft_v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oulder-data\webdrive\Common\DSM\DSM%20Incentive%20Analysis\SUMMIT%20BLUE%2006-01-05\Lighting%20100s\Incentive%20analysis%20-%20ligh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Users\Audit\D%20&amp;%20T\deferred%20exchange%20loss-lalpi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sheetName val="Assumptions &amp; Log"/>
      <sheetName val="Inputs"/>
      <sheetName val="Con"/>
      <sheetName val="Summary"/>
      <sheetName val="Ptnr Returns (Lease)"/>
      <sheetName val="UNS Retuns"/>
      <sheetName val="Performance"/>
      <sheetName val="Costs"/>
      <sheetName val="Rev"/>
      <sheetName val="Inc (Lease)"/>
      <sheetName val="Cash (Lease)"/>
      <sheetName val="Bal"/>
      <sheetName val="Depn"/>
      <sheetName val="Property Tax"/>
      <sheetName val="Common Facilities"/>
      <sheetName val="Debt"/>
      <sheetName val="CSFB Debt"/>
      <sheetName val="EPC Calcs"/>
      <sheetName val="50 50 "/>
      <sheetName val="100"/>
      <sheetName val="Cash"/>
      <sheetName val="Inc"/>
      <sheetName val="Ptnr Returns"/>
      <sheetName val="CLEAResult Rates"/>
      <sheetName val="Tool Set-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 $ Final (3)"/>
      <sheetName val="Dec Y Final (3)"/>
      <sheetName val="Dec $ Final (2)"/>
      <sheetName val="Dec Y Final (2)"/>
      <sheetName val="$ 01Final"/>
      <sheetName val="Y 01 Final"/>
      <sheetName val="1 $ 97 to 01 Actual"/>
      <sheetName val="1 ¥ 97 to 01 Actual"/>
      <sheetName val="$ DP"/>
      <sheetName val="Y DP"/>
      <sheetName val="IFC"/>
      <sheetName val="JEXIM"/>
      <sheetName val="Rates"/>
      <sheetName val="Rates (2)"/>
      <sheetName val="Proj Rates"/>
      <sheetName val="XREF"/>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LL"/>
      <sheetName val="Annual St"/>
      <sheetName val="Input"/>
      <sheetName val="Workings"/>
      <sheetName val="Questions"/>
      <sheetName val="Valuation"/>
      <sheetName val="Revenue"/>
      <sheetName val="Statements"/>
      <sheetName val="Input-Time"/>
      <sheetName val="Solve&amp;Print"/>
      <sheetName val="Construction"/>
      <sheetName val="Debt"/>
      <sheetName val="Funding"/>
      <sheetName val="O&amp;M"/>
      <sheetName val="Tariff"/>
      <sheetName val="Early Gene"/>
      <sheetName val="Summary"/>
      <sheetName val="Escalation"/>
      <sheetName val="Ratios"/>
      <sheetName val="Tax &amp; Dep"/>
      <sheetName val="Repay Profiles"/>
      <sheetName val="CFADS vs DS"/>
      <sheetName val="DSCR vs PA DSCR"/>
      <sheetName val="RasL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rorCheck"/>
      <sheetName val="Contents"/>
      <sheetName val="Program Viewer"/>
      <sheetName val="Measure Viewer"/>
      <sheetName val="Historical Comparison Summary"/>
      <sheetName val="SAG Pres Tables"/>
      <sheetName val="Oct 2020 Portfolio - PGL"/>
      <sheetName val="Oct 2020 Portfolio - NSG"/>
      <sheetName val="Portfolio Tables"/>
      <sheetName val="Portfolio Tables (2)"/>
      <sheetName val="PGL Tables"/>
      <sheetName val="NSG Tables"/>
      <sheetName val="Portfolio Development"/>
      <sheetName val="Outreach Edu"/>
      <sheetName val="SF"/>
      <sheetName val="MF"/>
      <sheetName val="Jumpstart"/>
      <sheetName val="CI"/>
      <sheetName val="PS"/>
      <sheetName val="CFS"/>
      <sheetName val="SMB"/>
      <sheetName val="IE SF"/>
      <sheetName val="IE Jumpstart"/>
      <sheetName val="IE MF"/>
      <sheetName val="GHP Pilot"/>
      <sheetName val="IE Outreach Edu"/>
      <sheetName val="Algorithms"/>
      <sheetName val="Measure Inputs"/>
      <sheetName val="General Inputs"/>
      <sheetName val="Model Updates-Followup"/>
      <sheetName val="Comparison"/>
      <sheetName val="Analysis"/>
      <sheetName val="Batch File"/>
      <sheetName val="NTG"/>
      <sheetName val="3 - Pipe Insulation"/>
      <sheetName val="2019 Evaluations"/>
      <sheetName val="Joint Program Costs"/>
      <sheetName val="Co-Funding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A2" t="str">
            <v>Total Net Therm Savings_2022</v>
          </cell>
        </row>
        <row r="3">
          <cell r="AA3" t="str">
            <v>Total Net Therm Savings</v>
          </cell>
        </row>
        <row r="4">
          <cell r="AA4" t="str">
            <v>Total Net Therm Savings</v>
          </cell>
        </row>
        <row r="5">
          <cell r="B5" t="str">
            <v>Key</v>
          </cell>
          <cell r="AA5">
            <v>2022</v>
          </cell>
        </row>
        <row r="6">
          <cell r="B6" t="str">
            <v>PGL_Residential_Outreach and Education_Elementary Energy Education_*_*_*</v>
          </cell>
          <cell r="AA6">
            <v>13254.061592097616</v>
          </cell>
        </row>
        <row r="7">
          <cell r="B7" t="str">
            <v>PGL_Residential_Home Energy Jumpstart_*_*_*_*</v>
          </cell>
          <cell r="AA7">
            <v>284204.88322956936</v>
          </cell>
        </row>
        <row r="8">
          <cell r="B8" t="str">
            <v>PGL_Residential_Home Energy Rebate_*_*_*_*</v>
          </cell>
          <cell r="AA8">
            <v>724597.9848011022</v>
          </cell>
        </row>
        <row r="9">
          <cell r="B9" t="str">
            <v>PGL_Residential_Multi-Family_*_*_*_*</v>
          </cell>
          <cell r="AA9">
            <v>2037877.6317690653</v>
          </cell>
        </row>
        <row r="10">
          <cell r="B10" t="str">
            <v>PGL_Business_C&amp;I_*_*_*_*</v>
          </cell>
          <cell r="AA10">
            <v>2127167.4669218319</v>
          </cell>
        </row>
        <row r="11">
          <cell r="B11" t="str">
            <v>PGL_Business_Public Sector_*_*_*_*</v>
          </cell>
          <cell r="AA11">
            <v>518772.86482257233</v>
          </cell>
        </row>
        <row r="12">
          <cell r="B12" t="str">
            <v>PGL_Business_Small/Mid-Size Business_*_*_*_*</v>
          </cell>
          <cell r="AA12">
            <v>1521828.8416248499</v>
          </cell>
        </row>
        <row r="13">
          <cell r="B13" t="str">
            <v>PGL_Business_Commercial Food Service Program_*_*_*_*</v>
          </cell>
          <cell r="AA13">
            <v>63881.242424943288</v>
          </cell>
        </row>
        <row r="14">
          <cell r="B14" t="str">
            <v>PGL_Income Eligible_Single Family_*_*_*_*</v>
          </cell>
          <cell r="AA14">
            <v>428242.72677039361</v>
          </cell>
        </row>
        <row r="15">
          <cell r="B15" t="str">
            <v>PGL_Income Eligible_Multi-Family_*_*_*_*</v>
          </cell>
          <cell r="AA15">
            <v>754754.64036518196</v>
          </cell>
        </row>
        <row r="16">
          <cell r="B16" t="str">
            <v>PGL_Income Eligible_Outreach and Education_Elementary Energy Education_*_*_*</v>
          </cell>
          <cell r="AA16">
            <v>318097.47821034282</v>
          </cell>
        </row>
        <row r="17">
          <cell r="B17" t="str">
            <v>PGL_Income Eligible_Home Energy Jumpstart_*_*_*_*</v>
          </cell>
          <cell r="AA17">
            <v>17261.178030103943</v>
          </cell>
        </row>
        <row r="18">
          <cell r="B18" t="str">
            <v>PGL_Residential_Market Development Initiative_*_*_*_*</v>
          </cell>
          <cell r="AA18">
            <v>0</v>
          </cell>
        </row>
        <row r="19">
          <cell r="B19" t="str">
            <v>PGL___*_*_*_*</v>
          </cell>
          <cell r="AA19">
            <v>0</v>
          </cell>
        </row>
        <row r="20">
          <cell r="B20" t="str">
            <v>PGL_Residential_*_*_*_*_*</v>
          </cell>
          <cell r="AA20">
            <v>3059934.5613918342</v>
          </cell>
        </row>
        <row r="21">
          <cell r="B21" t="str">
            <v>PGL_Business_*_*_*_*_*</v>
          </cell>
          <cell r="AA21">
            <v>4231650.4157941975</v>
          </cell>
        </row>
        <row r="22">
          <cell r="B22" t="str">
            <v>PGL_Income Eligible_*_*_*_*_*</v>
          </cell>
          <cell r="AA22">
            <v>1518356.0233760222</v>
          </cell>
        </row>
        <row r="24">
          <cell r="B24" t="str">
            <v>PGL_Research &amp; Development (Emerging Technologies)_Gas Heat Pump Pilot_*_*_*_*</v>
          </cell>
          <cell r="AA24">
            <v>0</v>
          </cell>
        </row>
        <row r="30">
          <cell r="AA30">
            <v>0</v>
          </cell>
        </row>
        <row r="32">
          <cell r="B32" t="str">
            <v>PGL_*_*_*_*_*_*</v>
          </cell>
          <cell r="AA32">
            <v>8809941.0005620532</v>
          </cell>
        </row>
        <row r="33">
          <cell r="B33" t="str">
            <v>NSG_Residential_Outreach and Education_Elementary Energy Education_*_*_*</v>
          </cell>
          <cell r="AA33">
            <v>22394.47265625</v>
          </cell>
        </row>
        <row r="34">
          <cell r="B34" t="str">
            <v>NSG_Residential_Home Energy Jumpstart_*_*_*_*</v>
          </cell>
          <cell r="AA34">
            <v>65252.925750190792</v>
          </cell>
        </row>
        <row r="35">
          <cell r="B35" t="str">
            <v>NSG_Residential_Home Energy Rebate_*_*_*_*</v>
          </cell>
          <cell r="AA35">
            <v>414716.15492956183</v>
          </cell>
        </row>
        <row r="36">
          <cell r="B36" t="str">
            <v>NSG_Residential_Multi-Family_*_*_*_*</v>
          </cell>
          <cell r="AA36">
            <v>81939.940490672147</v>
          </cell>
        </row>
        <row r="37">
          <cell r="B37" t="str">
            <v>NSG_Business_C&amp;I_*_*_*_*</v>
          </cell>
          <cell r="AA37">
            <v>712297.31404349674</v>
          </cell>
        </row>
        <row r="38">
          <cell r="B38" t="str">
            <v>NSG_Business_Public Sector_*_*_*_*</v>
          </cell>
          <cell r="AA38">
            <v>45760.329090018167</v>
          </cell>
        </row>
        <row r="39">
          <cell r="B39" t="str">
            <v>NSG_Business_Small/Mid-Size Business_*_*_*_*</v>
          </cell>
          <cell r="AA39">
            <v>184998.18078254946</v>
          </cell>
        </row>
        <row r="40">
          <cell r="B40" t="str">
            <v>NSG_Business_Commercial Food Service Program_*_*_*_*</v>
          </cell>
          <cell r="AA40">
            <v>28489.740290808659</v>
          </cell>
        </row>
        <row r="41">
          <cell r="B41" t="str">
            <v>NSG_Income Eligible_Single Family_*_*_*_*</v>
          </cell>
          <cell r="AA41">
            <v>37657.544127389876</v>
          </cell>
        </row>
        <row r="42">
          <cell r="B42" t="str">
            <v>NSG_Income Eligible_Multi-Family_*_*_*_*</v>
          </cell>
          <cell r="AA42">
            <v>28794.518048335587</v>
          </cell>
        </row>
        <row r="43">
          <cell r="B43" t="str">
            <v>NSG_Income Eligible_Outreach and Education_Elementary Energy Education_*_*_*</v>
          </cell>
          <cell r="AA43">
            <v>13725.64453125</v>
          </cell>
        </row>
        <row r="44">
          <cell r="B44" t="str">
            <v>NSG_Income Eligible_Home Energy Jumpstart_*_*_*_*</v>
          </cell>
          <cell r="AA44">
            <v>1916.330793792313</v>
          </cell>
        </row>
        <row r="45">
          <cell r="B45" t="str">
            <v>NSG_Residential_Market Development Initiative_*_*_*_*</v>
          </cell>
          <cell r="AA45">
            <v>0</v>
          </cell>
        </row>
        <row r="46">
          <cell r="B46" t="str">
            <v>NSG___*_*_*_*</v>
          </cell>
          <cell r="AA46">
            <v>0</v>
          </cell>
        </row>
        <row r="47">
          <cell r="B47" t="str">
            <v>NSG_Residential_*_*_*_*_*</v>
          </cell>
          <cell r="AA47">
            <v>584303.49382667476</v>
          </cell>
        </row>
        <row r="48">
          <cell r="B48" t="str">
            <v>NSG_Business_*_*_*_*_*</v>
          </cell>
          <cell r="AA48">
            <v>971545.56420687295</v>
          </cell>
        </row>
        <row r="49">
          <cell r="B49" t="str">
            <v>NSG_Income Eligible_*_*_*_*_*</v>
          </cell>
          <cell r="AA49">
            <v>82094.037500767779</v>
          </cell>
        </row>
        <row r="51">
          <cell r="B51" t="str">
            <v>NSG_Research &amp; Development (Emerging Technologies)_Gas Heat Pump Pilot_*_*_*_*</v>
          </cell>
          <cell r="AA51">
            <v>0</v>
          </cell>
        </row>
        <row r="59">
          <cell r="B59" t="str">
            <v>NSG_*_*_*_*_*_*</v>
          </cell>
          <cell r="AA59">
            <v>1637943.0955343156</v>
          </cell>
        </row>
        <row r="67">
          <cell r="AA67" t="str">
            <v>Incentive</v>
          </cell>
        </row>
        <row r="68">
          <cell r="AA68" t="e">
            <v>#REF!</v>
          </cell>
        </row>
        <row r="69">
          <cell r="AA69">
            <v>0.90866454606369607</v>
          </cell>
        </row>
        <row r="70">
          <cell r="AA70">
            <v>0.806701667254065</v>
          </cell>
        </row>
        <row r="71">
          <cell r="AA71">
            <v>0.43310919231010314</v>
          </cell>
        </row>
        <row r="72">
          <cell r="AA72">
            <v>0.69744603139223527</v>
          </cell>
        </row>
        <row r="73">
          <cell r="AA73">
            <v>0.68289484783460774</v>
          </cell>
        </row>
        <row r="74">
          <cell r="AA74">
            <v>0.4935875718402436</v>
          </cell>
        </row>
        <row r="75">
          <cell r="AA75">
            <v>0.43831693690271012</v>
          </cell>
        </row>
        <row r="76">
          <cell r="AA76">
            <v>0.92107200939143308</v>
          </cell>
        </row>
        <row r="77">
          <cell r="AA77">
            <v>0.62071056454107398</v>
          </cell>
        </row>
        <row r="80">
          <cell r="AA80" t="e">
            <v>#REF!</v>
          </cell>
        </row>
        <row r="81">
          <cell r="AA81">
            <v>0.90866454606369618</v>
          </cell>
        </row>
        <row r="83">
          <cell r="AA83">
            <v>0.80566017414344282</v>
          </cell>
        </row>
        <row r="84">
          <cell r="AA84">
            <v>0.53362164946161839</v>
          </cell>
        </row>
        <row r="85">
          <cell r="AA85">
            <v>0.56922990738341728</v>
          </cell>
        </row>
        <row r="87">
          <cell r="AA87">
            <v>0.60098621313190825</v>
          </cell>
        </row>
        <row r="88">
          <cell r="AA88">
            <v>0.52593460684575366</v>
          </cell>
        </row>
        <row r="89">
          <cell r="AA89">
            <v>0.82673341164635339</v>
          </cell>
        </row>
        <row r="90">
          <cell r="AA90">
            <v>0.61943469251087691</v>
          </cell>
        </row>
        <row r="97">
          <cell r="B97">
            <v>1</v>
          </cell>
          <cell r="AA97">
            <v>26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1">
          <cell r="II11" t="str">
            <v>PGL</v>
          </cell>
        </row>
      </sheetData>
      <sheetData sheetId="32"/>
      <sheetData sheetId="33"/>
      <sheetData sheetId="34"/>
      <sheetData sheetId="35"/>
      <sheetData sheetId="36"/>
      <sheetData sheetId="3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Worship"/>
      <sheetName val="office kit"/>
      <sheetName val="School-Grocery Kit"/>
      <sheetName val="Motel Kit"/>
      <sheetName val="Kit"/>
      <sheetName val="Measures Savings"/>
    </sheetNames>
    <sheetDataSet>
      <sheetData sheetId="0" refreshError="1">
        <row r="19">
          <cell r="H19">
            <v>45.185399999999994</v>
          </cell>
        </row>
      </sheetData>
      <sheetData sheetId="1" refreshError="1"/>
      <sheetData sheetId="2" refreshError="1">
        <row r="19">
          <cell r="H19">
            <v>108.2208</v>
          </cell>
        </row>
      </sheetData>
      <sheetData sheetId="3" refreshError="1">
        <row r="20">
          <cell r="H20">
            <v>134.51339999999999</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ate Tbl"/>
      <sheetName val="Input"/>
      <sheetName val="Revenue"/>
      <sheetName val="MC"/>
      <sheetName val="PF"/>
      <sheetName val="Max Capital"/>
      <sheetName val="Summary"/>
      <sheetName val="Financials"/>
      <sheetName val="Principal Int."/>
      <sheetName val="Rates"/>
      <sheetName val="Rate Table"/>
      <sheetName val="Forecast Fuel"/>
      <sheetName val="Depreciation"/>
      <sheetName val="Capital Invest"/>
      <sheetName val="Inpu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rorCheck"/>
      <sheetName val="Contents"/>
      <sheetName val="Program Viewer"/>
      <sheetName val="Measure Viewer"/>
      <sheetName val="Historical Comparison Summary"/>
      <sheetName val="SAG Pres Tables"/>
      <sheetName val="Oct 2020 Portfolio - PGL"/>
      <sheetName val="Oct 2020 Portfolio - NSG"/>
      <sheetName val="Portfolio Tables"/>
      <sheetName val="PGL Tables"/>
      <sheetName val="NSG Tables"/>
      <sheetName val="Portfolio Development"/>
      <sheetName val="Outreach Edu"/>
      <sheetName val="SF"/>
      <sheetName val="MF"/>
      <sheetName val="Jumpstart"/>
      <sheetName val="CI"/>
      <sheetName val="PS"/>
      <sheetName val="CFS"/>
      <sheetName val="SMB"/>
      <sheetName val="IE SF"/>
      <sheetName val="Algorithms"/>
      <sheetName val="IE Jumpstart"/>
      <sheetName val="IE MF"/>
      <sheetName val="GHP Pilot"/>
      <sheetName val="IE Outreach Edu"/>
      <sheetName val="Measure Inputs"/>
      <sheetName val="General Inputs"/>
      <sheetName val="Model Updates-Followup"/>
      <sheetName val="Comparison"/>
      <sheetName val="Analysis"/>
      <sheetName val="NTG"/>
      <sheetName val="3 - Pipe Insulation"/>
      <sheetName val="Behavior_modified approach"/>
      <sheetName val="2019 Evaluations"/>
      <sheetName val="Joint Program Costs"/>
      <sheetName val="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J5">
            <v>2022</v>
          </cell>
        </row>
        <row r="8">
          <cell r="J8">
            <v>2.4E-2</v>
          </cell>
        </row>
        <row r="17">
          <cell r="J17">
            <v>0.1118</v>
          </cell>
        </row>
        <row r="18">
          <cell r="J18">
            <v>0.11409999999999999</v>
          </cell>
        </row>
        <row r="19">
          <cell r="J19">
            <v>2.76E-2</v>
          </cell>
          <cell r="K19">
            <v>8.0000000000000002E-3</v>
          </cell>
        </row>
      </sheetData>
      <sheetData sheetId="28"/>
      <sheetData sheetId="29"/>
      <sheetData sheetId="30"/>
      <sheetData sheetId="31"/>
      <sheetData sheetId="32"/>
      <sheetData sheetId="33">
        <row r="51">
          <cell r="L51">
            <v>311742.64551254915</v>
          </cell>
          <cell r="M51">
            <v>213220.37559566813</v>
          </cell>
          <cell r="N51">
            <v>145834.80708714167</v>
          </cell>
          <cell r="O51">
            <v>98873.173986732218</v>
          </cell>
          <cell r="P51">
            <v>68193.855975053477</v>
          </cell>
          <cell r="Q51">
            <v>47696.624763420026</v>
          </cell>
          <cell r="R51">
            <v>33294.114540740251</v>
          </cell>
        </row>
        <row r="52">
          <cell r="L52">
            <v>0</v>
          </cell>
          <cell r="M52">
            <v>0</v>
          </cell>
          <cell r="N52">
            <v>0</v>
          </cell>
          <cell r="O52">
            <v>0</v>
          </cell>
          <cell r="P52">
            <v>0</v>
          </cell>
          <cell r="Q52">
            <v>0</v>
          </cell>
          <cell r="R52"/>
        </row>
        <row r="53">
          <cell r="M53">
            <v>396197.98706769745</v>
          </cell>
          <cell r="N53">
            <v>270984.68826402992</v>
          </cell>
          <cell r="O53">
            <v>185343.44865564955</v>
          </cell>
          <cell r="P53">
            <v>125659.26757993273</v>
          </cell>
          <cell r="Q53">
            <v>86668.503192044154</v>
          </cell>
          <cell r="R53">
            <v>60618.292021357716</v>
          </cell>
          <cell r="S53">
            <v>42313.945018830083</v>
          </cell>
        </row>
        <row r="54">
          <cell r="M54">
            <v>0</v>
          </cell>
          <cell r="N54">
            <v>0</v>
          </cell>
          <cell r="O54">
            <v>0</v>
          </cell>
          <cell r="P54">
            <v>0</v>
          </cell>
          <cell r="Q54">
            <v>0</v>
          </cell>
          <cell r="R54">
            <v>0</v>
          </cell>
          <cell r="S54"/>
        </row>
        <row r="55">
          <cell r="N55">
            <v>400377.20560946915</v>
          </cell>
          <cell r="O55">
            <v>273843.11831843539</v>
          </cell>
          <cell r="Q55">
            <v>126984.76028347283</v>
          </cell>
          <cell r="R55">
            <v>87582.709289375751</v>
          </cell>
          <cell r="S55">
            <v>61257.712458248789</v>
          </cell>
          <cell r="T55">
            <v>42760.28555909131</v>
          </cell>
        </row>
        <row r="56">
          <cell r="N56">
            <v>0</v>
          </cell>
          <cell r="O56">
            <v>0</v>
          </cell>
          <cell r="Q56">
            <v>0</v>
          </cell>
          <cell r="R56"/>
          <cell r="S56"/>
          <cell r="T56"/>
        </row>
        <row r="57">
          <cell r="O57">
            <v>357969.04477069469</v>
          </cell>
          <cell r="P57">
            <v>244837.51349494967</v>
          </cell>
          <cell r="Q57">
            <v>167459.7535459779</v>
          </cell>
          <cell r="R57">
            <v>113534.46875157305</v>
          </cell>
          <cell r="S57">
            <v>78305.903391833344</v>
          </cell>
          <cell r="T57">
            <v>54769.263849916293</v>
          </cell>
          <cell r="U57">
            <v>38231.093981510196</v>
          </cell>
        </row>
        <row r="58">
          <cell r="O58">
            <v>0</v>
          </cell>
          <cell r="P58">
            <v>0</v>
          </cell>
          <cell r="Q58">
            <v>0</v>
          </cell>
          <cell r="R58"/>
          <cell r="S58"/>
          <cell r="T58"/>
          <cell r="U58"/>
        </row>
        <row r="78">
          <cell r="L78">
            <v>289507.93092259043</v>
          </cell>
          <cell r="M78">
            <v>198012.65774128609</v>
          </cell>
          <cell r="N78">
            <v>135433.29366079284</v>
          </cell>
          <cell r="O78">
            <v>91821.14938937944</v>
          </cell>
          <cell r="P78">
            <v>63330.001298061485</v>
          </cell>
          <cell r="Q78">
            <v>44294.713431156342</v>
          </cell>
          <cell r="R78">
            <v>30919.447022532655</v>
          </cell>
        </row>
        <row r="79">
          <cell r="L79">
            <v>0</v>
          </cell>
          <cell r="M79">
            <v>0</v>
          </cell>
          <cell r="N79">
            <v>0</v>
          </cell>
          <cell r="O79">
            <v>0</v>
          </cell>
          <cell r="P79">
            <v>0</v>
          </cell>
          <cell r="Q79">
            <v>0</v>
          </cell>
          <cell r="R79"/>
        </row>
        <row r="80">
          <cell r="M80">
            <v>371629.01883869461</v>
          </cell>
          <cell r="N80">
            <v>254180.42773312624</v>
          </cell>
          <cell r="O80">
            <v>173849.95941513911</v>
          </cell>
          <cell r="P80">
            <v>117866.90453513106</v>
          </cell>
          <cell r="Q80">
            <v>81294.029391356409</v>
          </cell>
          <cell r="R80">
            <v>56859.239882320282</v>
          </cell>
          <cell r="S80">
            <v>39689.979211972583</v>
          </cell>
        </row>
        <row r="81">
          <cell r="M81">
            <v>0</v>
          </cell>
          <cell r="N81">
            <v>0</v>
          </cell>
          <cell r="O81">
            <v>0</v>
          </cell>
          <cell r="P81">
            <v>0</v>
          </cell>
          <cell r="Q81">
            <v>0</v>
          </cell>
          <cell r="R81">
            <v>0</v>
          </cell>
          <cell r="S81"/>
        </row>
        <row r="82">
          <cell r="N82">
            <v>369508.50017190294</v>
          </cell>
          <cell r="O82">
            <v>252730.07182866675</v>
          </cell>
          <cell r="P82">
            <v>172857.96991627602</v>
          </cell>
          <cell r="Q82">
            <v>117194.35487244667</v>
          </cell>
          <cell r="R82">
            <v>80830.164897238661</v>
          </cell>
          <cell r="S82">
            <v>56534.800526301158</v>
          </cell>
          <cell r="T82">
            <v>39463.507818359227</v>
          </cell>
        </row>
        <row r="83">
          <cell r="N83">
            <v>0</v>
          </cell>
          <cell r="O83">
            <v>0</v>
          </cell>
          <cell r="P83">
            <v>0</v>
          </cell>
          <cell r="Q83">
            <v>0</v>
          </cell>
          <cell r="R83"/>
          <cell r="S83"/>
          <cell r="T83"/>
        </row>
        <row r="84">
          <cell r="O84">
            <v>332538.65034950379</v>
          </cell>
          <cell r="P84">
            <v>227444.06948565377</v>
          </cell>
          <cell r="Q84">
            <v>155563.28471840775</v>
          </cell>
          <cell r="R84">
            <v>105468.89335355964</v>
          </cell>
          <cell r="S84">
            <v>72742.992190845005</v>
          </cell>
          <cell r="T84">
            <v>50878.413503474083</v>
          </cell>
          <cell r="U84">
            <v>35515.127857327003</v>
          </cell>
        </row>
        <row r="85">
          <cell r="O85">
            <v>0</v>
          </cell>
          <cell r="P85">
            <v>0</v>
          </cell>
          <cell r="Q85">
            <v>0</v>
          </cell>
          <cell r="R85"/>
          <cell r="S85"/>
          <cell r="T85"/>
          <cell r="U85"/>
        </row>
      </sheetData>
      <sheetData sheetId="34">
        <row r="7">
          <cell r="B7">
            <v>19.2</v>
          </cell>
        </row>
      </sheetData>
      <sheetData sheetId="35"/>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sheetName val="old"/>
      <sheetName val="list"/>
    </sheetNames>
    <sheetDataSet>
      <sheetData sheetId="0" refreshError="1"/>
      <sheetData sheetId="1">
        <row r="5">
          <cell r="V5">
            <v>2</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Yen"/>
      <sheetName val="XREF"/>
      <sheetName val="$ (2)"/>
      <sheetName val="Yen (2)"/>
      <sheetName val="IMPORT"/>
    </sheetNames>
    <sheetDataSet>
      <sheetData sheetId="0" refreshError="1"/>
      <sheetData sheetId="1" refreshError="1"/>
      <sheetData sheetId="2" refreshError="1"/>
      <sheetData sheetId="3" refreshError="1"/>
      <sheetData sheetId="4" refreshError="1"/>
      <sheetData sheetId="5" refreshError="1"/>
    </sheetDataSet>
  </externalBook>
</externalLink>
</file>

<file path=xl/persons/person.xml><?xml version="1.0" encoding="utf-8"?>
<personList xmlns="http://schemas.microsoft.com/office/spreadsheetml/2018/threadedcomments" xmlns:x="http://schemas.openxmlformats.org/spreadsheetml/2006/main">
  <person displayName="Froio, Zach" id="{2BE53071-80F4-4D6F-A2F0-916AAB200931}" userId="S::zfroio@ameresco.com::ef5ccb52-72b8-4928-910a-25b3a13ee2a8" providerId="AD"/>
  <person displayName="Applegate, Elizabeth" id="{FA7E3B4C-1102-4378-B7D0-F89DC99F55A8}" userId="S::eapplegate@ameresco.com::2891bff5-0fc3-4fe6-8329-0b36faee8a0b" providerId="AD"/>
  <person displayName="Grace Wroblewski" id="{0A831BE0-8E9C-476D-A0E3-509D1336B973}" userId="S::gwroblewski@ameresco.com::d8447632-9f28-487e-8b57-d844c6613f54"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oio, Zach" refreshedDate="44973.647341435186" createdVersion="8" refreshedVersion="8" minRefreshableVersion="3" recordCount="703" xr:uid="{4ED99E74-ACAC-4B53-AE11-12B9B1194C9B}">
  <cacheSource type="worksheet">
    <worksheetSource ref="D6:BT709" sheet="Measure-Level Adj Gas"/>
  </cacheSource>
  <cacheFields count="70">
    <cacheField name="Utility" numFmtId="0">
      <sharedItems containsBlank="1"/>
    </cacheField>
    <cacheField name="Program" numFmtId="0">
      <sharedItems containsBlank="1" containsMixedTypes="1" containsNumber="1" containsInteger="1" minValue="1" maxValue="1" count="7">
        <n v="1"/>
        <s v="(a)"/>
        <m/>
        <s v="Residential"/>
        <s v="Income Eligible"/>
        <s v="Business"/>
        <s v="Research &amp; Development (Emerging Technologies)"/>
      </sharedItems>
    </cacheField>
    <cacheField name="Market Offering" numFmtId="0">
      <sharedItems containsBlank="1" containsMixedTypes="1" containsNumber="1" containsInteger="1" minValue="2" maxValue="2" count="13">
        <n v="2"/>
        <s v="(b)"/>
        <m/>
        <s v="Home Energy Rebate"/>
        <s v="Home Energy Jumpstart"/>
        <s v="Single Family"/>
        <s v="Multi-Family"/>
        <s v="Small/Mid-Size Business"/>
        <s v="C&amp;I"/>
        <s v="Public Sector"/>
        <s v="Commercial Food Service Program"/>
        <s v="Outreach and Education"/>
        <s v="Gas Heat Pump Pilot"/>
      </sharedItems>
    </cacheField>
    <cacheField name="Path" numFmtId="0">
      <sharedItems containsBlank="1" containsMixedTypes="1" containsNumber="1" containsInteger="1" minValue="3" maxValue="3"/>
    </cacheField>
    <cacheField name="Measure" numFmtId="0">
      <sharedItems containsBlank="1" containsMixedTypes="1" containsNumber="1" containsInteger="1" minValue="4" maxValue="4" count="91">
        <n v="4"/>
        <s v="(d)"/>
        <m/>
        <s v="Advanced Thermostat"/>
        <s v="Pipe Insulation"/>
        <s v="Low Flow Showerhead"/>
        <s v="Programmable Thermostat"/>
        <s v="Low Flow Kitchen Aerator"/>
        <s v="DHW Storage Tank Insulation"/>
        <s v="Shower Timer"/>
        <s v="Pre-Rinse Sprayer"/>
        <s v="Low Flow Bathroom Aerator"/>
        <s v="Water Heater"/>
        <s v="Tankless Water Heater"/>
        <s v="Energy Star Fryer"/>
        <s v="Water Heater Temperature Setback"/>
        <s v="Indirect Water Heater"/>
        <s v="Attic Insulation"/>
        <s v="Air Sealing w/ Attic Insulation"/>
        <s v="Air Sealing"/>
        <s v="Strategic Energy Management"/>
        <s v="Boiler Tune Up"/>
        <s v="C&amp;I Custom"/>
        <s v="Window Kit"/>
        <s v="C&amp;I Retrocommissioning"/>
        <s v="C&amp;I Gas Optimization"/>
        <s v="Weatherstripping"/>
        <s v="Custom"/>
        <s v="Boiler"/>
        <s v="Linkageless Controls"/>
        <s v="Outlet and Switch Gaskets"/>
        <s v="Demand Controlled Ventilation"/>
        <s v="Wall Insulation"/>
        <s v="Duct Sealing"/>
        <s v="Boiler Reset Controls"/>
        <s v="Steam Boiler"/>
        <s v="Energy Education Kits"/>
        <s v="Furnace"/>
        <s v="Condensate Tank Insulation"/>
        <s v="Unit Visit"/>
        <s v="Door Sweep"/>
        <s v="Steam Traps"/>
        <s v="IE Kits"/>
        <s v="High Speed Washer"/>
        <s v="Thermostat - Reprogram"/>
        <s v="Foundation Insulation"/>
        <s v="On Demand DHW Circulation System"/>
        <s v="SMB Kit"/>
        <s v="Health &amp; Safety"/>
        <s v="Health and Safety"/>
        <s v="DCV - Kitchen"/>
        <s v="Boiler - DHW Two-in-One"/>
        <s v="A/C Cover and Gap Sealer"/>
        <s v="Double Rack Oven"/>
        <s v="Energy Star Convection Oven"/>
        <s v="Steam Boiler Averaging Controls"/>
        <s v="Modulating Commercial Gas Clothes Dryer"/>
        <s v="ENERGY STAR Griddle"/>
        <s v="Pasta Cooker"/>
        <s v="Combination Oven"/>
        <s v="Energy Star Conveyer Oven"/>
        <s v="ENERGY STAR Dishwasher"/>
        <s v="Infrared Charbroiler"/>
        <s v="Infrared Rotisserie Oven"/>
        <s v="Infrared Salamander Broiler"/>
        <s v="Furnace (In Unit)"/>
        <s v="Dock Door Seals"/>
        <s v="Staffing Grant"/>
        <s v="Staffing"/>
        <s v="Engineering Study"/>
        <s v="Condensing Unit Heater"/>
        <s v="Direct Fired Heaters"/>
        <s v="Small Commercial Advanced Thermostat"/>
        <s v="Infrared Heater"/>
        <s v="Ozone Laundry"/>
        <s v="Energy Recovery Ventilator"/>
        <s v="C&amp;I New Construction"/>
        <s v="Energy Star Steamer"/>
        <s v="Heat Recovery Grease Trap Filter"/>
        <s v="Infrared Upright Broiler"/>
        <s v="Gas Heat Pump Replace Furnace - 140% AFUE"/>
        <s v="GHPWH (≤55 gallons)- Replace Boiler"/>
        <s v="Furnace Tune Up"/>
        <s v="Large Building Assessment Fee (35+ units)"/>
        <s v="Small Building Assessment Fee (3-34 units)"/>
        <s v="Gas Optimization"/>
        <s v="Floor Insulation Above Crawlspace"/>
        <s v="Shut Off Flue Damper"/>
        <s v="Affordable Housing New Construction"/>
        <s v="Rim Joist Insulation"/>
        <s v="Knee Wall Insulation"/>
      </sharedItems>
    </cacheField>
    <cacheField name="Efficiency Requirement" numFmtId="0">
      <sharedItems containsBlank="1" containsMixedTypes="1" containsNumber="1" containsInteger="1" minValue="0" maxValue="5"/>
    </cacheField>
    <cacheField name="Sector" numFmtId="0">
      <sharedItems containsBlank="1" containsMixedTypes="1" containsNumber="1" containsInteger="1" minValue="6" maxValue="6"/>
    </cacheField>
    <cacheField name="IL-TRM Adjustable?_x000a_(1 if yes; 0 if no) " numFmtId="0">
      <sharedItems containsBlank="1" containsMixedTypes="1" containsNumber="1" containsInteger="1" minValue="0" maxValue="7" count="5">
        <n v="7"/>
        <s v="(g)"/>
        <m/>
        <n v="1"/>
        <n v="0"/>
      </sharedItems>
    </cacheField>
    <cacheField name="IL-TRM Section / Custom" numFmtId="0">
      <sharedItems containsBlank="1" containsMixedTypes="1" containsNumber="1" containsInteger="1" minValue="0" maxValue="8"/>
    </cacheField>
    <cacheField name="Unit of Participation" numFmtId="0">
      <sharedItems containsBlank="1" containsMixedTypes="1" containsNumber="1" containsInteger="1" minValue="0" maxValue="9"/>
    </cacheField>
    <cacheField name="2022 Plan Number of Units (Fixed)" numFmtId="0">
      <sharedItems containsBlank="1" containsMixedTypes="1" containsNumber="1" minValue="0" maxValue="240000"/>
    </cacheField>
    <cacheField name="2023 Plan Number of Units (Fixed)" numFmtId="0">
      <sharedItems containsBlank="1" containsMixedTypes="1" containsNumber="1" minValue="0" maxValue="240000"/>
    </cacheField>
    <cacheField name="2024 Plan Number of Units (Fixed)" numFmtId="0">
      <sharedItems containsBlank="1" containsMixedTypes="1" containsNumber="1" minValue="0" maxValue="240000"/>
    </cacheField>
    <cacheField name="2025 Plan Number of Units (Fixed)" numFmtId="0">
      <sharedItems containsBlank="1" containsMixedTypes="1" containsNumber="1" minValue="0" maxValue="240000"/>
    </cacheField>
    <cacheField name="IL-TRM Measure Code from IL-TRM v9" numFmtId="0">
      <sharedItems containsBlank="1" containsMixedTypes="1" containsNumber="1" containsInteger="1" minValue="0" maxValue="14"/>
    </cacheField>
    <cacheField name="Reference Document Explaining Gross Unit Savings Calculation Details" numFmtId="0">
      <sharedItems containsBlank="1" containsMixedTypes="1" containsNumber="1" containsInteger="1" minValue="15" maxValue="15"/>
    </cacheField>
    <cacheField name="2022 Plan Gross Unit Savings" numFmtId="0">
      <sharedItems containsBlank="1" containsMixedTypes="1" containsNumber="1" minValue="0" maxValue="12689.405899537758"/>
    </cacheField>
    <cacheField name="2023 Plan Gross Unit Savings" numFmtId="0">
      <sharedItems containsBlank="1" containsMixedTypes="1" containsNumber="1" minValue="0" maxValue="12689.405899537758"/>
    </cacheField>
    <cacheField name="2024 Plan Gross Unit Savings" numFmtId="0">
      <sharedItems containsBlank="1" containsMixedTypes="1" containsNumber="1" minValue="0" maxValue="12689.405899537758"/>
    </cacheField>
    <cacheField name="2025 Plan Gross Unit Savings" numFmtId="0">
      <sharedItems containsBlank="1" containsMixedTypes="1" containsNumber="1" minValue="0" maxValue="12689.405899537758"/>
    </cacheField>
    <cacheField name="2022" numFmtId="0">
      <sharedItems containsBlank="1" containsMixedTypes="1" containsNumber="1" minValue="0" maxValue="20"/>
    </cacheField>
    <cacheField name="2023" numFmtId="0">
      <sharedItems containsBlank="1" containsMixedTypes="1" containsNumber="1" minValue="0" maxValue="21"/>
    </cacheField>
    <cacheField name="2024" numFmtId="0">
      <sharedItems containsBlank="1" containsMixedTypes="1" containsNumber="1" minValue="0" maxValue="22"/>
    </cacheField>
    <cacheField name="2025" numFmtId="0">
      <sharedItems containsBlank="1" containsMixedTypes="1" containsNumber="1" minValue="0" maxValue="23"/>
    </cacheField>
    <cacheField name="2022 Plan Goal" numFmtId="0">
      <sharedItems containsBlank="1" containsMixedTypes="1" containsNumber="1" minValue="0" maxValue="164840.09145299139"/>
    </cacheField>
    <cacheField name="2023 Plan Goal" numFmtId="0">
      <sharedItems containsBlank="1" containsMixedTypes="1" containsNumber="1" minValue="0" maxValue="137366.7428774928"/>
    </cacheField>
    <cacheField name="2024 Plan Goal" numFmtId="0">
      <sharedItems containsBlank="1" containsMixedTypes="1" containsNumber="1" minValue="0" maxValue="109893.39430199425"/>
    </cacheField>
    <cacheField name="2025 Plan Goal" numFmtId="0">
      <sharedItems containsBlank="1" containsMixedTypes="1" containsNumber="1" minValue="0" maxValue="100077.12000000001"/>
    </cacheField>
    <cacheField name="Total Plan Period Goal" numFmtId="0">
      <sharedItems containsBlank="1" containsMixedTypes="1" containsNumber="1" minValue="0" maxValue="494520.27435897407"/>
    </cacheField>
    <cacheField name="20222" numFmtId="0">
      <sharedItems containsBlank="1" containsMixedTypes="1" containsNumber="1" minValue="0" maxValue="29"/>
    </cacheField>
    <cacheField name="20232" numFmtId="0">
      <sharedItems containsBlank="1" containsMixedTypes="1" containsNumber="1" minValue="0" maxValue="30"/>
    </cacheField>
    <cacheField name="20242" numFmtId="0">
      <sharedItems containsBlank="1" containsMixedTypes="1" containsNumber="1" minValue="0" maxValue="31"/>
    </cacheField>
    <cacheField name="20252" numFmtId="0">
      <sharedItems containsBlank="1" containsMixedTypes="1" containsNumber="1" minValue="0" maxValue="32"/>
    </cacheField>
    <cacheField name="20223" numFmtId="0">
      <sharedItems containsBlank="1" containsMixedTypes="1" containsNumber="1" minValue="0" maxValue="33"/>
    </cacheField>
    <cacheField name="20233" numFmtId="0">
      <sharedItems containsBlank="1" containsMixedTypes="1" containsNumber="1" minValue="0" maxValue="34"/>
    </cacheField>
    <cacheField name="20243" numFmtId="0">
      <sharedItems containsBlank="1" containsMixedTypes="1" containsNumber="1" minValue="0" maxValue="35"/>
    </cacheField>
    <cacheField name="20253" numFmtId="0">
      <sharedItems containsBlank="1" containsMixedTypes="1" containsNumber="1" minValue="0" maxValue="36"/>
    </cacheField>
    <cacheField name="IL-TRM Measure Code from IL-TRM v9 or errata applicable to 2022" numFmtId="0">
      <sharedItems containsBlank="1" containsMixedTypes="1" containsNumber="1" containsInteger="1" minValue="37" maxValue="37"/>
    </cacheField>
    <cacheField name="Reference Document Explaining Gross Unit Savings Calculation Details2" numFmtId="0">
      <sharedItems containsBlank="1" containsMixedTypes="1" containsNumber="1" containsInteger="1" minValue="38" maxValue="38"/>
    </cacheField>
    <cacheField name="2022 Gross Unit Savings (Therms)" numFmtId="0">
      <sharedItems containsBlank="1" containsMixedTypes="1" containsNumber="1" minValue="0" maxValue="12689.405899537758"/>
    </cacheField>
    <cacheField name="Gross Unit Savings Adjustment Explanation" numFmtId="0">
      <sharedItems containsBlank="1" containsMixedTypes="1" containsNumber="1" containsInteger="1" minValue="40" maxValue="40"/>
    </cacheField>
    <cacheField name="2022 Adjusted Goal" numFmtId="0">
      <sharedItems containsBlank="1" containsMixedTypes="1" containsNumber="1" minValue="0" maxValue="164840.09145299139"/>
    </cacheField>
    <cacheField name="2022 IL-TRM Adjustment" numFmtId="0">
      <sharedItems containsBlank="1" containsMixedTypes="1" containsNumber="1" minValue="-200.79900000000089" maxValue="8981.2799999999988"/>
    </cacheField>
    <cacheField name="IL-TRM Measure Code from the 2023 IL-TRM or errata applicable to 2023" numFmtId="0">
      <sharedItems containsBlank="1" containsMixedTypes="1" containsNumber="1" containsInteger="1" minValue="43" maxValue="43"/>
    </cacheField>
    <cacheField name="Reference Document Explaining Gross Unit Savings Calculation Details3" numFmtId="0">
      <sharedItems containsBlank="1" containsMixedTypes="1" containsNumber="1" containsInteger="1" minValue="44" maxValue="44"/>
    </cacheField>
    <cacheField name="2023 Gross Unit Savings (Therms)" numFmtId="0">
      <sharedItems containsBlank="1" containsMixedTypes="1" containsNumber="1" minValue="0" maxValue="12689.405899537758"/>
    </cacheField>
    <cacheField name="Gross Unit Savings Adjustment Explanation2" numFmtId="0">
      <sharedItems containsBlank="1" containsMixedTypes="1" containsNumber="1" containsInteger="1" minValue="46" maxValue="46"/>
    </cacheField>
    <cacheField name="2023 Adjusted Goal (v10)" numFmtId="0">
      <sharedItems containsBlank="1" containsMixedTypes="1" containsNumber="1" minValue="0" maxValue="137366.7428774928"/>
    </cacheField>
    <cacheField name="2023 Adjusted Goal (v11)" numFmtId="0">
      <sharedItems containsBlank="1" containsMixedTypes="1" containsNumber="1" minValue="0" maxValue="137366.7428774928"/>
    </cacheField>
    <cacheField name="2023 IL-TRM Adjustment" numFmtId="0">
      <sharedItems containsBlank="1" containsMixedTypes="1" containsNumber="1" minValue="-576.9023369036031" maxValue="57688.795856294331"/>
    </cacheField>
    <cacheField name="IL-TRM Measure Code from the 2024 IL-TRM or errata applicable to 2024" numFmtId="0">
      <sharedItems containsBlank="1" containsMixedTypes="1" containsNumber="1" containsInteger="1" minValue="49" maxValue="49"/>
    </cacheField>
    <cacheField name="Reference Document Explaining Gross Unit Savings Calculation Details4" numFmtId="0">
      <sharedItems containsBlank="1" containsMixedTypes="1" containsNumber="1" containsInteger="1" minValue="50" maxValue="50"/>
    </cacheField>
    <cacheField name="2024 Gross Unit Savings (Therms)" numFmtId="0">
      <sharedItems containsBlank="1" containsMixedTypes="1" containsNumber="1" minValue="0" maxValue="12689.405899537758"/>
    </cacheField>
    <cacheField name="Gross Unit Savings Adjustment Explanation3" numFmtId="0">
      <sharedItems containsBlank="1" containsMixedTypes="1" containsNumber="1" containsInteger="1" minValue="52" maxValue="52"/>
    </cacheField>
    <cacheField name="2024 Adjusted Goal" numFmtId="0">
      <sharedItems containsBlank="1" containsMixedTypes="1" containsNumber="1" minValue="0" maxValue="109893.39430199425"/>
    </cacheField>
    <cacheField name="2024 IL-TRM Adjustment" numFmtId="0">
      <sharedItems containsBlank="1" containsMixedTypes="1" containsNumber="1" minValue="-675.0191234489439" maxValue="50477.696374257524"/>
    </cacheField>
    <cacheField name="IL-TRM Measure Code from the 2025 IL-TRM or errata applicable to 2025" numFmtId="0">
      <sharedItems containsBlank="1" containsMixedTypes="1" containsNumber="1" containsInteger="1" minValue="55" maxValue="55"/>
    </cacheField>
    <cacheField name="Reference Document Explaining Gross Unit Savings Calculation Details5" numFmtId="0">
      <sharedItems containsBlank="1" containsMixedTypes="1" containsNumber="1" containsInteger="1" minValue="56" maxValue="56"/>
    </cacheField>
    <cacheField name="2025 Gross Unit Savings (Therms)" numFmtId="0">
      <sharedItems containsBlank="1" containsMixedTypes="1" containsNumber="1" minValue="0" maxValue="12689.405899537758"/>
    </cacheField>
    <cacheField name="Gross Unit Savings Adjustment Explanation4" numFmtId="0">
      <sharedItems containsBlank="1" containsMixedTypes="1" containsNumber="1" containsInteger="1" minValue="58" maxValue="58"/>
    </cacheField>
    <cacheField name="2025 Adjusted Goal" numFmtId="0">
      <sharedItems containsBlank="1" containsMixedTypes="1" containsNumber="1" minValue="0" maxValue="109058.40000000001"/>
    </cacheField>
    <cacheField name="2025 IL-TRM Adjustment" numFmtId="0">
      <sharedItems containsBlank="1" containsMixedTypes="1" containsNumber="1" minValue="-945.02677282852142" maxValue="49035.47647785017"/>
    </cacheField>
    <cacheField name="2022 Final Savings Goal (Therms)" numFmtId="0">
      <sharedItems containsBlank="1" containsMixedTypes="1" containsNumber="1" minValue="0" maxValue="164840.09145299139"/>
    </cacheField>
    <cacheField name="2023 Final Savings Goal (Therms)" numFmtId="0">
      <sharedItems containsBlank="1" containsMixedTypes="1" containsNumber="1" minValue="0" maxValue="137366.7428774928"/>
    </cacheField>
    <cacheField name="2024 Final Savings Goal (Therms)" numFmtId="0">
      <sharedItems containsBlank="1" containsMixedTypes="1" containsNumber="1" minValue="0" maxValue="109893.39430199425"/>
    </cacheField>
    <cacheField name="2025 Final Savings Goal (Therms)" numFmtId="0">
      <sharedItems containsBlank="1" containsMixedTypes="1" containsNumber="1" minValue="0" maxValue="109058.40000000001"/>
    </cacheField>
    <cacheField name="Plan Period Final Savings Goal (Therms)" numFmtId="0">
      <sharedItems containsBlank="1" containsMixedTypes="1" containsNumber="1" minValue="0" maxValue="494520.27435897407"/>
    </cacheField>
    <cacheField name="Key Custom Input Assumptions (if none, specify NA)" numFmtId="0">
      <sharedItems containsBlank="1" containsMixedTypes="1" containsNumber="1" containsInteger="1" minValue="66" maxValue="66"/>
    </cacheField>
    <cacheField name="Key IL-TRM Input Assumptions" numFmtId="0">
      <sharedItems containsBlank="1" containsMixedTypes="1" containsNumber="1" containsInteger="1" minValue="67" maxValue="67"/>
    </cacheField>
    <cacheField name="2023 v11 - 2023 v10" numFmtId="0" formula="'2023 Adjusted Goal (v11)'-'2023 Adjusted Goal (v10)'"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oio, Zach" refreshedDate="45063.672722800926" createdVersion="8" refreshedVersion="8" minRefreshableVersion="3" recordCount="705" xr:uid="{ECDE6CCA-42D6-4E89-A6E3-104127342F74}">
  <cacheSource type="worksheet">
    <worksheetSource ref="D6:BT711" sheet="Measure-Level Adj Gas"/>
  </cacheSource>
  <cacheFields count="71">
    <cacheField name="Utility" numFmtId="0">
      <sharedItems containsBlank="1"/>
    </cacheField>
    <cacheField name="Program" numFmtId="0">
      <sharedItems containsBlank="1" containsMixedTypes="1" containsNumber="1" containsInteger="1" minValue="1" maxValue="1" count="7">
        <n v="1"/>
        <s v="(a)"/>
        <m/>
        <s v="Residential"/>
        <s v="Income Eligible"/>
        <s v="Business"/>
        <s v="Research &amp; Development (Emerging Technologies)"/>
      </sharedItems>
    </cacheField>
    <cacheField name="Market Offering" numFmtId="0">
      <sharedItems containsBlank="1" containsMixedTypes="1" containsNumber="1" containsInteger="1" minValue="2" maxValue="2"/>
    </cacheField>
    <cacheField name="Path" numFmtId="0">
      <sharedItems containsBlank="1" containsMixedTypes="1" containsNumber="1" containsInteger="1" minValue="3" maxValue="3"/>
    </cacheField>
    <cacheField name="Measure" numFmtId="0">
      <sharedItems containsBlank="1" containsMixedTypes="1" containsNumber="1" containsInteger="1" minValue="4" maxValue="4" count="91">
        <n v="4"/>
        <s v="(d)"/>
        <m/>
        <s v="Advanced Thermostat"/>
        <s v="Pipe Insulation"/>
        <s v="Low Flow Showerhead"/>
        <s v="Programmable Thermostat"/>
        <s v="Low Flow Kitchen Aerator"/>
        <s v="DHW Storage Tank Insulation"/>
        <s v="Shower Timer"/>
        <s v="Pre-Rinse Sprayer"/>
        <s v="Low Flow Bathroom Aerator"/>
        <s v="Water Heater"/>
        <s v="Tankless Water Heater"/>
        <s v="Energy Star Fryer"/>
        <s v="Water Heater Temperature Setback"/>
        <s v="Indirect Water Heater"/>
        <s v="Attic Insulation"/>
        <s v="Air Sealing w/ Attic Insulation"/>
        <s v="Air Sealing"/>
        <s v="Strategic Energy Management"/>
        <s v="Boiler Tune Up"/>
        <s v="C&amp;I Custom"/>
        <s v="Window Kit"/>
        <s v="C&amp;I Retrocommissioning"/>
        <s v="C&amp;I Gas Optimization"/>
        <s v="Weatherstripping"/>
        <s v="Custom"/>
        <s v="Boiler"/>
        <s v="Linkageless Controls"/>
        <s v="Outlet and Switch Gaskets"/>
        <s v="Demand Controlled Ventilation"/>
        <s v="Wall Insulation"/>
        <s v="Duct Sealing"/>
        <s v="Boiler Reset Controls"/>
        <s v="Steam Boiler"/>
        <s v="Energy Education Kits"/>
        <s v="Furnace"/>
        <s v="Condensate Tank Insulation"/>
        <s v="Unit Visit"/>
        <s v="Door Sweep"/>
        <s v="Steam Traps"/>
        <s v="IE Kits"/>
        <s v="High Speed Washer"/>
        <s v="Thermostat - Reprogram"/>
        <s v="Foundation Insulation"/>
        <s v="On Demand DHW Circulation System"/>
        <s v="SMB Kit"/>
        <s v="Health &amp; Safety"/>
        <s v="Health and Safety"/>
        <s v="DCV - Kitchen"/>
        <s v="Boiler - DHW Two-in-One"/>
        <s v="A/C Cover and Gap Sealer"/>
        <s v="Double Rack Oven"/>
        <s v="Energy Star Convection Oven"/>
        <s v="Steam Boiler Averaging Controls"/>
        <s v="Modulating Commercial Gas Clothes Dryer"/>
        <s v="ENERGY STAR Griddle"/>
        <s v="Pasta Cooker"/>
        <s v="Combination Oven"/>
        <s v="Energy Star Conveyer Oven"/>
        <s v="ENERGY STAR Dishwasher"/>
        <s v="Infrared Charbroiler"/>
        <s v="Infrared Rotisserie Oven"/>
        <s v="Infrared Salamander Broiler"/>
        <s v="Furnace (In Unit)"/>
        <s v="Dock Door Seals"/>
        <s v="Staffing Grant"/>
        <s v="Staffing"/>
        <s v="Engineering Study"/>
        <s v="Condensing Unit Heater"/>
        <s v="Direct Fired Heaters"/>
        <s v="Small Commercial Advanced Thermostat"/>
        <s v="Infrared Heater"/>
        <s v="Ozone Laundry"/>
        <s v="Energy Recovery Ventilator"/>
        <s v="C&amp;I New Construction"/>
        <s v="Energy Star Steamer"/>
        <s v="Heat Recovery Grease Trap Filter"/>
        <s v="Infrared Upright Broiler"/>
        <s v="Gas Heat Pump Replace Furnace - 140% AFUE"/>
        <s v="GHPWH (≤55 gallons)- Replace Boiler"/>
        <s v="Furnace Tune Up"/>
        <s v="Large Building Assessment Fee (35+ units)"/>
        <s v="Small Building Assessment Fee (3-34 units)"/>
        <s v="Gas Optimization"/>
        <s v="Floor Insulation Above Crawlspace"/>
        <s v="Shut Off Flue Damper"/>
        <s v="Affordable Housing New Construction"/>
        <s v="Rim Joist Insulation"/>
        <s v="Knee Wall Insulation"/>
      </sharedItems>
    </cacheField>
    <cacheField name="Efficiency Requirement" numFmtId="0">
      <sharedItems containsBlank="1" containsMixedTypes="1" containsNumber="1" containsInteger="1" minValue="0" maxValue="5"/>
    </cacheField>
    <cacheField name="Sector" numFmtId="0">
      <sharedItems containsBlank="1" containsMixedTypes="1" containsNumber="1" containsInteger="1" minValue="6" maxValue="6"/>
    </cacheField>
    <cacheField name="IL-TRM Adjustable?_x000a_(1 if yes; 0 if no) " numFmtId="0">
      <sharedItems containsBlank="1" containsMixedTypes="1" containsNumber="1" containsInteger="1" minValue="0" maxValue="7" count="5">
        <n v="7"/>
        <s v="(g)"/>
        <m/>
        <n v="1"/>
        <n v="0"/>
      </sharedItems>
    </cacheField>
    <cacheField name="IL-TRM Section / Custom" numFmtId="0">
      <sharedItems containsBlank="1" containsMixedTypes="1" containsNumber="1" containsInteger="1" minValue="0" maxValue="8"/>
    </cacheField>
    <cacheField name="Unit of Participation" numFmtId="0">
      <sharedItems containsBlank="1" containsMixedTypes="1" containsNumber="1" containsInteger="1" minValue="0" maxValue="9"/>
    </cacheField>
    <cacheField name="2022 Plan Number of Units (Fixed)" numFmtId="0">
      <sharedItems containsBlank="1" containsMixedTypes="1" containsNumber="1" minValue="0" maxValue="240000"/>
    </cacheField>
    <cacheField name="2023 Plan Number of Units (Fixed)" numFmtId="0">
      <sharedItems containsBlank="1" containsMixedTypes="1" containsNumber="1" minValue="0" maxValue="240000"/>
    </cacheField>
    <cacheField name="2024 Plan Number of Units (Fixed)" numFmtId="0">
      <sharedItems containsBlank="1" containsMixedTypes="1" containsNumber="1" minValue="0" maxValue="240000"/>
    </cacheField>
    <cacheField name="2025 Plan Number of Units (Fixed)" numFmtId="0">
      <sharedItems containsBlank="1" containsMixedTypes="1" containsNumber="1" minValue="0" maxValue="240000"/>
    </cacheField>
    <cacheField name="IL-TRM Measure Code from IL-TRM v9" numFmtId="0">
      <sharedItems containsBlank="1" containsMixedTypes="1" containsNumber="1" containsInteger="1" minValue="0" maxValue="14"/>
    </cacheField>
    <cacheField name="Reference Document Explaining Gross Unit Savings Calculation Details" numFmtId="0">
      <sharedItems containsBlank="1" containsMixedTypes="1" containsNumber="1" containsInteger="1" minValue="15" maxValue="15"/>
    </cacheField>
    <cacheField name="2022 Plan Gross Unit Savings" numFmtId="0">
      <sharedItems containsBlank="1" containsMixedTypes="1" containsNumber="1" minValue="0" maxValue="12689.405899537758"/>
    </cacheField>
    <cacheField name="2023 Plan Gross Unit Savings" numFmtId="0">
      <sharedItems containsBlank="1" containsMixedTypes="1" containsNumber="1" minValue="0" maxValue="12689.405899537758"/>
    </cacheField>
    <cacheField name="2024 Plan Gross Unit Savings" numFmtId="0">
      <sharedItems containsBlank="1" containsMixedTypes="1" containsNumber="1" minValue="0" maxValue="12689.405899537758"/>
    </cacheField>
    <cacheField name="2025 Plan Gross Unit Savings" numFmtId="0">
      <sharedItems containsBlank="1" containsMixedTypes="1" containsNumber="1" minValue="0" maxValue="12689.405899537758"/>
    </cacheField>
    <cacheField name="2022" numFmtId="0">
      <sharedItems containsBlank="1" containsMixedTypes="1" containsNumber="1" minValue="0" maxValue="20"/>
    </cacheField>
    <cacheField name="2023" numFmtId="0">
      <sharedItems containsBlank="1" containsMixedTypes="1" containsNumber="1" minValue="0" maxValue="21"/>
    </cacheField>
    <cacheField name="2024" numFmtId="0">
      <sharedItems containsBlank="1" containsMixedTypes="1" containsNumber="1" minValue="0" maxValue="22"/>
    </cacheField>
    <cacheField name="2025" numFmtId="0">
      <sharedItems containsBlank="1" containsMixedTypes="1" containsNumber="1" minValue="0" maxValue="23"/>
    </cacheField>
    <cacheField name="2022 Plan Goal" numFmtId="0">
      <sharedItems containsBlank="1" containsMixedTypes="1" containsNumber="1" minValue="0" maxValue="1664852.6997827382"/>
    </cacheField>
    <cacheField name="2023 Plan Goal" numFmtId="0">
      <sharedItems containsBlank="1" containsMixedTypes="1" containsNumber="1" minValue="0" maxValue="1612312.8214387703"/>
    </cacheField>
    <cacheField name="2024 Plan Goal" numFmtId="0">
      <sharedItems containsBlank="1" containsMixedTypes="1" containsNumber="1" minValue="0" maxValue="1504589.1260986596"/>
    </cacheField>
    <cacheField name="2025 Plan Goal" numFmtId="0">
      <sharedItems containsBlank="1" containsMixedTypes="1" containsNumber="1" minValue="0" maxValue="1466711.7263261187"/>
    </cacheField>
    <cacheField name="Total Plan Period Goal" numFmtId="0">
      <sharedItems containsBlank="1" containsMixedTypes="1" containsNumber="1" minValue="0" maxValue="6248466.3736462872"/>
    </cacheField>
    <cacheField name="20222" numFmtId="0">
      <sharedItems containsBlank="1" containsMixedTypes="1" containsNumber="1" minValue="0" maxValue="29"/>
    </cacheField>
    <cacheField name="20232" numFmtId="0">
      <sharedItems containsBlank="1" containsMixedTypes="1" containsNumber="1" minValue="0" maxValue="30"/>
    </cacheField>
    <cacheField name="20242" numFmtId="0">
      <sharedItems containsBlank="1" containsMixedTypes="1" containsNumber="1" minValue="0" maxValue="31"/>
    </cacheField>
    <cacheField name="20252" numFmtId="0">
      <sharedItems containsBlank="1" containsMixedTypes="1" containsNumber="1" minValue="0" maxValue="32"/>
    </cacheField>
    <cacheField name="20223" numFmtId="0">
      <sharedItems containsBlank="1" containsMixedTypes="1" containsNumber="1" minValue="0" maxValue="33"/>
    </cacheField>
    <cacheField name="20233" numFmtId="0">
      <sharedItems containsBlank="1" containsMixedTypes="1" containsNumber="1" minValue="0" maxValue="34"/>
    </cacheField>
    <cacheField name="20243" numFmtId="0">
      <sharedItems containsBlank="1" containsMixedTypes="1" containsNumber="1" minValue="0" maxValue="35"/>
    </cacheField>
    <cacheField name="20253" numFmtId="0">
      <sharedItems containsBlank="1" containsMixedTypes="1" containsNumber="1" minValue="0" maxValue="36"/>
    </cacheField>
    <cacheField name="IL-TRM Measure Code from IL-TRM v9 or errata applicable to 2022" numFmtId="0">
      <sharedItems containsBlank="1" containsMixedTypes="1" containsNumber="1" containsInteger="1" minValue="37" maxValue="37"/>
    </cacheField>
    <cacheField name="Reference Document Explaining Gross Unit Savings Calculation Details2" numFmtId="0">
      <sharedItems containsBlank="1" containsMixedTypes="1" containsNumber="1" containsInteger="1" minValue="38" maxValue="38"/>
    </cacheField>
    <cacheField name="2022 Gross Unit Savings (Therms)" numFmtId="0">
      <sharedItems containsBlank="1" containsMixedTypes="1" containsNumber="1" minValue="0" maxValue="12689.405899537758"/>
    </cacheField>
    <cacheField name="Gross Unit Savings Adjustment Explanation" numFmtId="0">
      <sharedItems containsBlank="1" containsMixedTypes="1" containsNumber="1" containsInteger="1" minValue="40" maxValue="40"/>
    </cacheField>
    <cacheField name="2022 Adjusted Goal" numFmtId="0">
      <sharedItems containsBlank="1" containsMixedTypes="1" containsNumber="1" minValue="0" maxValue="164840.09145299139"/>
    </cacheField>
    <cacheField name="2022 IL-TRM Adjustment" numFmtId="0">
      <sharedItems containsBlank="1" containsMixedTypes="1" containsNumber="1" minValue="-200.79900000000089" maxValue="35295.011291189818"/>
    </cacheField>
    <cacheField name="IL-TRM Measure Code from the 2023 IL-TRM or errata applicable to 2023" numFmtId="0">
      <sharedItems containsBlank="1" containsMixedTypes="1" containsNumber="1" containsInteger="1" minValue="43" maxValue="43"/>
    </cacheField>
    <cacheField name="Reference Document Explaining Gross Unit Savings Calculation Details3" numFmtId="0">
      <sharedItems containsBlank="1" containsMixedTypes="1" containsNumber="1" containsInteger="1" minValue="44" maxValue="44"/>
    </cacheField>
    <cacheField name="2023 Gross Unit Savings (Therms)" numFmtId="0">
      <sharedItems containsBlank="1" containsMixedTypes="1" containsNumber="1" minValue="0" maxValue="12689.405899537758"/>
    </cacheField>
    <cacheField name="Gross Unit Savings Adjustment Explanation2" numFmtId="0">
      <sharedItems containsBlank="1" containsMixedTypes="1" containsNumber="1" containsInteger="1" minValue="46" maxValue="46"/>
    </cacheField>
    <cacheField name="2023 Adjusted Goal (v10)" numFmtId="0">
      <sharedItems containsBlank="1" containsMixedTypes="1" containsNumber="1" minValue="0" maxValue="137366.7428774928"/>
    </cacheField>
    <cacheField name="2023 Adjusted Goal (v11)" numFmtId="0">
      <sharedItems containsBlank="1" containsMixedTypes="1" containsNumber="1" minValue="0" maxValue="137366.7428774928"/>
    </cacheField>
    <cacheField name="2023 IL-TRM Adjustment" numFmtId="0">
      <sharedItems containsBlank="1" containsMixedTypes="1" containsNumber="1" minValue="-576.9023369036031" maxValue="131648.54490751089"/>
    </cacheField>
    <cacheField name="IL-TRM Measure Code from the 2024 IL-TRM or errata applicable to 2024" numFmtId="0">
      <sharedItems containsBlank="1" containsMixedTypes="1" containsNumber="1" containsInteger="1" minValue="49" maxValue="49"/>
    </cacheField>
    <cacheField name="Reference Document Explaining Gross Unit Savings Calculation Details4" numFmtId="0">
      <sharedItems containsBlank="1" containsMixedTypes="1" containsNumber="1" containsInteger="1" minValue="50" maxValue="50"/>
    </cacheField>
    <cacheField name="2024 Gross Unit Savings (Therms)" numFmtId="0">
      <sharedItems containsBlank="1" containsMixedTypes="1" containsNumber="1" minValue="0" maxValue="12689.405899537758"/>
    </cacheField>
    <cacheField name="Gross Unit Savings Adjustment Explanation3" numFmtId="0">
      <sharedItems containsBlank="1" containsMixedTypes="1" containsNumber="1" containsInteger="1" minValue="52" maxValue="52"/>
    </cacheField>
    <cacheField name="2024 Adjusted Goal" numFmtId="0">
      <sharedItems containsBlank="1" containsMixedTypes="1" containsNumber="1" minValue="0" maxValue="109893.39430199425"/>
    </cacheField>
    <cacheField name="2024 IL-TRM Adjustment" numFmtId="0">
      <sharedItems containsBlank="1" containsMixedTypes="1" containsNumber="1" minValue="-675.0191234489439" maxValue="121958.5652326644"/>
    </cacheField>
    <cacheField name="IL-TRM Measure Code from the 2025 IL-TRM or errata applicable to 2025" numFmtId="0">
      <sharedItems containsBlank="1" containsMixedTypes="1" containsNumber="1" containsInteger="1" minValue="55" maxValue="55"/>
    </cacheField>
    <cacheField name="Reference Document Explaining Gross Unit Savings Calculation Details5" numFmtId="0">
      <sharedItems containsBlank="1" containsMixedTypes="1" containsNumber="1" containsInteger="1" minValue="56" maxValue="56"/>
    </cacheField>
    <cacheField name="2025 Gross Unit Savings (Therms)" numFmtId="0">
      <sharedItems containsBlank="1" containsMixedTypes="1" containsNumber="1" minValue="0" maxValue="12689.405899537758"/>
    </cacheField>
    <cacheField name="Gross Unit Savings Adjustment Explanation4" numFmtId="0">
      <sharedItems containsBlank="1" containsMixedTypes="1" containsNumber="1" containsInteger="1" minValue="58" maxValue="58"/>
    </cacheField>
    <cacheField name="2025 Adjusted Goal" numFmtId="0">
      <sharedItems containsBlank="1" containsMixedTypes="1" containsNumber="1" minValue="0" maxValue="109058.40000000001"/>
    </cacheField>
    <cacheField name="2025 IL-TRM Adjustment" numFmtId="0">
      <sharedItems containsBlank="1" containsMixedTypes="1" containsNumber="1" minValue="-945.02677282852142" maxValue="122863.45454318592"/>
    </cacheField>
    <cacheField name="2022 Final Savings Goal (Therms)" numFmtId="0">
      <sharedItems containsBlank="1" containsMixedTypes="1" containsNumber="1" minValue="0" maxValue="1700147.7110739278"/>
    </cacheField>
    <cacheField name="2023 Final Savings Goal (Therms)" numFmtId="0">
      <sharedItems containsBlank="1" containsMixedTypes="1" containsNumber="1" minValue="0" maxValue="1743961.366346281"/>
    </cacheField>
    <cacheField name="2024 Final Savings Goal (Therms)" numFmtId="0">
      <sharedItems containsBlank="1" containsMixedTypes="1" containsNumber="1" minValue="0" maxValue="1626547.6913313232"/>
    </cacheField>
    <cacheField name="2025 Final Savings Goal (Therms)" numFmtId="0">
      <sharedItems containsBlank="1" containsMixedTypes="1" containsNumber="1" minValue="0" maxValue="1589575.1808693034"/>
    </cacheField>
    <cacheField name="Plan Period Final Savings Goal (Therms)" numFmtId="0">
      <sharedItems containsBlank="1" containsMixedTypes="1" containsNumber="1" minValue="0" maxValue="6660231.9496208318"/>
    </cacheField>
    <cacheField name="Key Custom Input Assumptions (if none, specify NA)" numFmtId="0">
      <sharedItems containsBlank="1" containsMixedTypes="1" containsNumber="1" containsInteger="1" minValue="66" maxValue="66"/>
    </cacheField>
    <cacheField name="Key IL-TRM Input Assumptions" numFmtId="0">
      <sharedItems containsBlank="1" containsMixedTypes="1" containsNumber="1" containsInteger="1" minValue="67" maxValue="67"/>
    </cacheField>
    <cacheField name="V11-V10 2023" numFmtId="0" formula="'2023 Adjusted Goal (v11)'-'2023 Adjusted Goal (v10)'" databaseField="0"/>
    <cacheField name="V10-V9 2023" numFmtId="0" formula="'2023 Adjusted Goal (v10)'-'2023 Plan Goal'"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3">
  <r>
    <m/>
    <x v="0"/>
    <x v="0"/>
    <n v="3"/>
    <x v="0"/>
    <n v="5"/>
    <n v="6"/>
    <x v="0"/>
    <n v="8"/>
    <n v="9"/>
    <n v="10"/>
    <n v="11"/>
    <n v="12"/>
    <n v="13"/>
    <n v="14"/>
    <n v="15"/>
    <n v="16"/>
    <n v="17"/>
    <n v="18"/>
    <n v="19"/>
    <n v="20"/>
    <n v="21"/>
    <n v="22"/>
    <n v="23"/>
    <n v="24"/>
    <n v="25"/>
    <n v="26"/>
    <n v="27"/>
    <n v="28"/>
    <n v="29"/>
    <n v="30"/>
    <n v="31"/>
    <n v="32"/>
    <n v="33"/>
    <n v="34"/>
    <n v="35"/>
    <n v="36"/>
    <n v="37"/>
    <n v="38"/>
    <n v="39"/>
    <n v="40"/>
    <n v="41"/>
    <n v="42"/>
    <n v="43"/>
    <n v="44"/>
    <n v="45"/>
    <n v="46"/>
    <n v="46"/>
    <n v="47"/>
    <n v="48"/>
    <n v="49"/>
    <n v="50"/>
    <n v="51"/>
    <n v="52"/>
    <n v="53"/>
    <n v="54"/>
    <n v="55"/>
    <n v="56"/>
    <n v="57"/>
    <n v="58"/>
    <n v="59"/>
    <n v="60"/>
    <n v="61"/>
    <n v="62"/>
    <n v="63"/>
    <n v="64"/>
    <n v="65"/>
    <n v="66"/>
    <n v="67"/>
  </r>
  <r>
    <m/>
    <x v="1"/>
    <x v="1"/>
    <s v="(c)"/>
    <x v="1"/>
    <s v="(e)"/>
    <s v="(f)"/>
    <x v="1"/>
    <s v="(h)"/>
    <s v="(i)"/>
    <s v="(j)"/>
    <s v="(k)"/>
    <s v="(l)"/>
    <s v="(m)"/>
    <s v="(n)"/>
    <s v="(o)"/>
    <s v="(p)"/>
    <s v="(q)"/>
    <s v="(r)"/>
    <s v="(s)"/>
    <s v="(t)"/>
    <s v="(u)"/>
    <s v="(v)"/>
    <s v="(w)"/>
    <s v="(x)"/>
    <s v="(y)"/>
    <s v="(z)"/>
    <s v="(aa)"/>
    <s v="(ab)"/>
    <s v="(ac)"/>
    <s v="(ad)"/>
    <s v="(ae)"/>
    <s v="(af)"/>
    <s v="(ag)"/>
    <s v="(ah)"/>
    <s v="(ai)"/>
    <s v="(aj)"/>
    <s v="(ak)"/>
    <s v="(al)"/>
    <s v="(am)"/>
    <s v="(an)"/>
    <s v="(ao)"/>
    <s v="(ap)"/>
    <s v="(aq)"/>
    <s v="(ar)"/>
    <s v="(as)"/>
    <s v="(at)"/>
    <s v="(at)"/>
    <s v="(au)"/>
    <s v="(av)"/>
    <s v="(aw)"/>
    <s v="(ax)"/>
    <s v="(ay)"/>
    <s v="(az)"/>
    <s v="(ba)"/>
    <s v="(bb)"/>
    <s v="(bc)"/>
    <s v="(bd)"/>
    <s v="(be)"/>
    <s v="(bf)"/>
    <s v="(bg)"/>
    <s v="(bh)"/>
    <s v="(bi)"/>
    <s v="(bj)"/>
    <s v="(bk)"/>
    <s v="(bl)"/>
    <s v="(bm)"/>
    <s v="(bn)"/>
    <s v="(bo)"/>
  </r>
  <r>
    <m/>
    <x v="2"/>
    <x v="2"/>
    <m/>
    <x v="2"/>
    <m/>
    <m/>
    <x v="2"/>
    <m/>
    <m/>
    <m/>
    <m/>
    <m/>
    <m/>
    <m/>
    <m/>
    <m/>
    <m/>
    <m/>
    <m/>
    <m/>
    <m/>
    <m/>
    <m/>
    <m/>
    <m/>
    <m/>
    <m/>
    <m/>
    <m/>
    <m/>
    <m/>
    <m/>
    <m/>
    <m/>
    <m/>
    <m/>
    <m/>
    <m/>
    <m/>
    <m/>
    <m/>
    <m/>
    <m/>
    <m/>
    <m/>
    <m/>
    <m/>
    <m/>
    <m/>
    <m/>
    <m/>
    <m/>
    <m/>
    <m/>
    <m/>
    <m/>
    <m/>
    <m/>
    <m/>
    <m/>
    <m/>
    <m/>
    <m/>
    <m/>
    <m/>
    <m/>
    <m/>
    <m/>
  </r>
  <r>
    <s v="NSG"/>
    <x v="3"/>
    <x v="3"/>
    <s v="Standard Rebate"/>
    <x v="3"/>
    <s v="Boiler (Replace Manual) - Non DI"/>
    <s v="SF"/>
    <x v="3"/>
    <s v="5.3.16"/>
    <s v="each"/>
    <n v="800"/>
    <n v="800"/>
    <n v="800"/>
    <n v="800"/>
    <s v="RS-HVC-ADTH-V08-230101"/>
    <m/>
    <n v="138.99600000000001"/>
    <n v="138.99600000000001"/>
    <n v="138.99600000000001"/>
    <n v="138.99600000000001"/>
    <n v="0.9"/>
    <n v="0.9"/>
    <n v="0.9"/>
    <n v="0.9"/>
    <n v="100077.12000000001"/>
    <n v="100077.12000000001"/>
    <n v="100077.12000000001"/>
    <n v="100077.12000000001"/>
    <n v="400308.48000000004"/>
    <n v="0.9"/>
    <n v="0.9"/>
    <n v="0.9"/>
    <n v="0.9"/>
    <n v="0.9"/>
    <n v="0.9"/>
    <n v="0.9"/>
    <n v="0.9"/>
    <m/>
    <m/>
    <n v="151.47"/>
    <m/>
    <n v="109058.40000000001"/>
    <n v="8981.2799999999988"/>
    <m/>
    <m/>
    <n v="151.47"/>
    <s v="n/a"/>
    <n v="109058.40000000001"/>
    <n v="109058.40000000001"/>
    <n v="8981.2799999999988"/>
    <m/>
    <m/>
    <n v="151.47"/>
    <m/>
    <n v="109058.40000000001"/>
    <n v="8981.2799999999988"/>
    <m/>
    <m/>
    <n v="151.47"/>
    <m/>
    <n v="109058.40000000001"/>
    <n v="8981.2799999999988"/>
    <n v="109058.40000000001"/>
    <n v="109058.40000000001"/>
    <n v="109058.40000000001"/>
    <n v="109058.40000000001"/>
    <n v="436233.60000000003"/>
    <s v="NA"/>
    <m/>
  </r>
  <r>
    <s v="NSG"/>
    <x v="3"/>
    <x v="4"/>
    <s v="Core"/>
    <x v="4"/>
    <s v="DHW"/>
    <s v="SF"/>
    <x v="3"/>
    <s v="5.4.1"/>
    <s v="Feet"/>
    <n v="5208"/>
    <n v="4686"/>
    <n v="4167"/>
    <n v="3645"/>
    <s v="RS-HWE-PINS-V06-230101"/>
    <m/>
    <n v="0.88266670517205537"/>
    <n v="0.88266670517205537"/>
    <n v="0.88266670517205537"/>
    <n v="0.88266670517205537"/>
    <n v="0.88"/>
    <n v="0.88"/>
    <n v="0.88"/>
    <n v="0.88"/>
    <n v="4045.2968164717367"/>
    <n v="3639.8350387839014"/>
    <n v="3236.7035011977205"/>
    <n v="2831.2417235098847"/>
    <n v="13753.077079963245"/>
    <n v="0.88"/>
    <n v="0.88"/>
    <n v="0.88"/>
    <n v="0.88"/>
    <n v="0.88"/>
    <n v="0.88"/>
    <n v="0.88"/>
    <n v="0.88"/>
    <m/>
    <m/>
    <n v="2.4087097696290445"/>
    <m/>
    <n v="11039.213222600696"/>
    <n v="6993.9164061289594"/>
    <m/>
    <m/>
    <n v="2.4087097696290445"/>
    <s v="Updated kit ISR"/>
    <n v="9932.7483028238967"/>
    <n v="9932.7483028238967"/>
    <n v="6292.9132640399948"/>
    <m/>
    <m/>
    <n v="2.4087097696290445"/>
    <m/>
    <n v="8832.6423768389213"/>
    <n v="5595.9388756412009"/>
    <m/>
    <m/>
    <n v="2.4087097696290445"/>
    <m/>
    <n v="7726.1774570621228"/>
    <n v="4894.9357335522382"/>
    <n v="11039.213222600696"/>
    <n v="9932.7483028238967"/>
    <n v="8832.6423768389213"/>
    <n v="7726.1774570621228"/>
    <n v="37530.781359325636"/>
    <s v="NA"/>
    <m/>
  </r>
  <r>
    <s v="NSG"/>
    <x v="3"/>
    <x v="3"/>
    <s v="Standard Rebate"/>
    <x v="3"/>
    <s v="Furnace (Replace Manual) - Non DI"/>
    <s v="SF"/>
    <x v="3"/>
    <s v="5.3.16"/>
    <s v="each"/>
    <n v="600"/>
    <n v="600"/>
    <n v="600"/>
    <n v="600"/>
    <s v="RS-HVC-ADTH-V08-230101"/>
    <m/>
    <n v="94.067999999999998"/>
    <n v="94.067999999999998"/>
    <n v="94.067999999999998"/>
    <n v="94.067999999999998"/>
    <n v="0.9"/>
    <n v="0.9"/>
    <n v="0.9"/>
    <n v="0.9"/>
    <n v="50796.719999999994"/>
    <n v="50796.719999999994"/>
    <n v="50796.719999999994"/>
    <n v="50796.719999999994"/>
    <n v="203186.87999999998"/>
    <n v="0.9"/>
    <n v="0.9"/>
    <n v="0.9"/>
    <n v="0.9"/>
    <n v="0.9"/>
    <n v="0.9"/>
    <n v="0.9"/>
    <n v="0.9"/>
    <m/>
    <m/>
    <n v="102.50999999999999"/>
    <m/>
    <n v="55355.399999999994"/>
    <n v="4558.68"/>
    <m/>
    <m/>
    <n v="102.50999999999999"/>
    <s v="n/a"/>
    <n v="55355.399999999994"/>
    <n v="55355.399999999994"/>
    <n v="4558.68"/>
    <m/>
    <m/>
    <n v="102.50999999999999"/>
    <m/>
    <n v="55355.399999999994"/>
    <n v="4558.68"/>
    <m/>
    <m/>
    <n v="102.50999999999999"/>
    <m/>
    <n v="55355.399999999994"/>
    <n v="4558.68"/>
    <n v="55355.399999999994"/>
    <n v="55355.399999999994"/>
    <n v="55355.399999999994"/>
    <n v="55355.399999999994"/>
    <n v="221421.59999999998"/>
    <s v="NA"/>
    <m/>
  </r>
  <r>
    <s v="NSG"/>
    <x v="4"/>
    <x v="5"/>
    <s v="IE Kits"/>
    <x v="4"/>
    <s v="IE Kit"/>
    <s v="IE"/>
    <x v="3"/>
    <s v="5.4.1"/>
    <s v="linear ft"/>
    <n v="3360"/>
    <n v="3360"/>
    <n v="3360"/>
    <n v="3360"/>
    <s v="RS-HWE-PINS-V06-230101"/>
    <m/>
    <n v="0.49429335489635107"/>
    <n v="0.49429335489635107"/>
    <n v="0.49429335489635107"/>
    <n v="0.49429335489635107"/>
    <n v="1"/>
    <n v="1"/>
    <n v="1"/>
    <n v="1"/>
    <n v="1660.8256724517396"/>
    <n v="1660.8256724517396"/>
    <n v="1660.8256724517396"/>
    <n v="1660.8256724517396"/>
    <n v="6643.3026898069584"/>
    <n v="1"/>
    <n v="1"/>
    <n v="1"/>
    <n v="1"/>
    <n v="1"/>
    <n v="1"/>
    <n v="1"/>
    <n v="1"/>
    <m/>
    <m/>
    <n v="1.3488774709922651"/>
    <m/>
    <n v="4532.2283025340103"/>
    <n v="2871.4026300822707"/>
    <m/>
    <m/>
    <n v="1.2043548848145222"/>
    <s v="Updated kit ISR"/>
    <n v="4532.2283025340103"/>
    <n v="4046.6324129767945"/>
    <n v="2385.8067405250549"/>
    <m/>
    <m/>
    <n v="1.2043548848145222"/>
    <m/>
    <n v="4046.6324129767945"/>
    <n v="2385.8067405250549"/>
    <m/>
    <m/>
    <n v="1.2043548848145222"/>
    <m/>
    <n v="4046.6324129767945"/>
    <n v="2385.8067405250549"/>
    <n v="4532.2283025340103"/>
    <n v="4046.6324129767945"/>
    <n v="4046.6324129767945"/>
    <n v="4046.6324129767945"/>
    <n v="16672.125541464393"/>
    <s v="NA"/>
    <m/>
  </r>
  <r>
    <s v="NSG"/>
    <x v="3"/>
    <x v="3"/>
    <s v="Standard Rebate"/>
    <x v="3"/>
    <s v="Boiler (Replace Programmable) - Non DI"/>
    <s v="SF"/>
    <x v="3"/>
    <s v="5.3.16"/>
    <s v="each"/>
    <n v="400"/>
    <n v="400"/>
    <n v="400"/>
    <n v="400"/>
    <s v="RS-HVC-ADTH-V08-230101"/>
    <m/>
    <n v="97.564499999999995"/>
    <n v="97.564499999999995"/>
    <n v="97.564499999999995"/>
    <n v="97.564499999999995"/>
    <n v="0.9"/>
    <n v="0.9"/>
    <n v="0.9"/>
    <n v="0.9"/>
    <n v="35123.219999999994"/>
    <n v="35123.219999999994"/>
    <n v="35123.219999999994"/>
    <n v="35123.219999999994"/>
    <n v="140492.87999999998"/>
    <n v="0.9"/>
    <n v="0.9"/>
    <n v="0.9"/>
    <n v="0.9"/>
    <n v="0.9"/>
    <n v="0.9"/>
    <n v="0.9"/>
    <n v="0.9"/>
    <m/>
    <m/>
    <n v="105.43499999999999"/>
    <m/>
    <n v="37956.599999999991"/>
    <n v="2833.3799999999974"/>
    <m/>
    <m/>
    <n v="105.43499999999999"/>
    <s v="n/a"/>
    <n v="37956.599999999991"/>
    <n v="37956.599999999991"/>
    <n v="2833.3799999999974"/>
    <m/>
    <m/>
    <n v="105.43499999999999"/>
    <m/>
    <n v="37956.599999999991"/>
    <n v="2833.3799999999974"/>
    <m/>
    <m/>
    <n v="105.43499999999999"/>
    <m/>
    <n v="37956.599999999991"/>
    <n v="2833.3799999999974"/>
    <n v="37956.599999999991"/>
    <n v="37956.599999999991"/>
    <n v="37956.599999999991"/>
    <n v="37956.599999999991"/>
    <n v="151826.39999999997"/>
    <s v="NA"/>
    <m/>
  </r>
  <r>
    <s v="NSG"/>
    <x v="3"/>
    <x v="6"/>
    <s v="Direct Install"/>
    <x v="4"/>
    <s v="DHW"/>
    <s v="MF"/>
    <x v="3"/>
    <s v="5.4.1"/>
    <s v="ft"/>
    <n v="1449"/>
    <n v="1449"/>
    <n v="1449"/>
    <n v="1449"/>
    <s v="RS-HWE-PINS-V06-230101"/>
    <m/>
    <n v="0.88266670517205537"/>
    <n v="0.88266670517205537"/>
    <n v="0.88266670517205537"/>
    <n v="0.88266670517205537"/>
    <n v="0.96"/>
    <n v="0.96"/>
    <n v="0.96"/>
    <n v="0.96"/>
    <n v="1227.8246935625359"/>
    <n v="1227.8246935625359"/>
    <n v="1227.8246935625359"/>
    <n v="1227.8246935625359"/>
    <n v="4911.2987742501437"/>
    <n v="0.96"/>
    <n v="0.96"/>
    <n v="0.96"/>
    <n v="0.96"/>
    <n v="0.96"/>
    <n v="0.96"/>
    <n v="0.96"/>
    <n v="0.96"/>
    <m/>
    <m/>
    <n v="2.4087097696290445"/>
    <m/>
    <n v="3350.6116379447858"/>
    <n v="2122.7869443822501"/>
    <m/>
    <m/>
    <n v="2.4087097696290445"/>
    <s v="Updated kit ISR"/>
    <n v="3350.6116379447858"/>
    <n v="3350.6116379447858"/>
    <n v="2122.7869443822501"/>
    <m/>
    <m/>
    <n v="2.4087097696290445"/>
    <m/>
    <n v="3350.6116379447858"/>
    <n v="2122.7869443822501"/>
    <m/>
    <m/>
    <n v="2.4087097696290445"/>
    <m/>
    <n v="3350.6116379447858"/>
    <n v="2122.7869443822501"/>
    <n v="3350.6116379447858"/>
    <n v="3350.6116379447858"/>
    <n v="3350.6116379447858"/>
    <n v="3350.6116379447858"/>
    <n v="13402.446551779143"/>
    <s v="NA"/>
    <m/>
  </r>
  <r>
    <s v="NSG"/>
    <x v="3"/>
    <x v="3"/>
    <s v="Standard Rebate"/>
    <x v="3"/>
    <s v="Furnace (Replace Programmable) - Non DI"/>
    <s v="SF"/>
    <x v="3"/>
    <s v="5.3.16"/>
    <s v="each"/>
    <n v="200"/>
    <n v="600"/>
    <n v="650"/>
    <n v="650"/>
    <s v="RS-HVC-ADTH-V08-230101"/>
    <m/>
    <n v="66.028499999999994"/>
    <n v="66.028499999999994"/>
    <n v="66.028499999999994"/>
    <n v="66.028499999999994"/>
    <n v="0.9"/>
    <n v="0.9"/>
    <n v="0.9"/>
    <n v="0.9"/>
    <n v="11885.13"/>
    <n v="35655.39"/>
    <n v="38626.672499999993"/>
    <n v="38626.672499999993"/>
    <n v="124793.86499999999"/>
    <n v="0.9"/>
    <n v="0.9"/>
    <n v="0.9"/>
    <n v="0.9"/>
    <n v="0.9"/>
    <n v="0.9"/>
    <n v="0.9"/>
    <n v="0.9"/>
    <m/>
    <m/>
    <n v="71.35499999999999"/>
    <m/>
    <n v="12843.899999999998"/>
    <n v="958.76999999999862"/>
    <m/>
    <m/>
    <n v="71.35499999999999"/>
    <s v="n/a"/>
    <n v="38531.699999999997"/>
    <n v="38531.699999999997"/>
    <n v="2876.3099999999977"/>
    <m/>
    <m/>
    <n v="71.35499999999999"/>
    <m/>
    <n v="41742.674999999996"/>
    <n v="3116.0025000000023"/>
    <m/>
    <m/>
    <n v="71.35499999999999"/>
    <m/>
    <n v="41742.674999999996"/>
    <n v="3116.0025000000023"/>
    <n v="12843.899999999998"/>
    <n v="38531.699999999997"/>
    <n v="41742.674999999996"/>
    <n v="41742.674999999996"/>
    <n v="134860.94999999998"/>
    <s v="NA"/>
    <m/>
  </r>
  <r>
    <s v="NSG"/>
    <x v="3"/>
    <x v="4"/>
    <s v="Core"/>
    <x v="5"/>
    <n v="0"/>
    <s v="SF"/>
    <x v="3"/>
    <s v="5.4.5"/>
    <s v="each"/>
    <n v="1155"/>
    <n v="1039"/>
    <n v="924"/>
    <n v="808"/>
    <s v="RS-HWE-LFSH-V11-230101"/>
    <m/>
    <n v="8.7892072937103034"/>
    <n v="8.7892072937103034"/>
    <n v="8.7892072937103034"/>
    <n v="8.7892072937103034"/>
    <n v="1.02"/>
    <n v="1.02"/>
    <n v="1.02"/>
    <n v="1.02"/>
    <n v="10354.565112720109"/>
    <n v="9314.6261057283064"/>
    <n v="8283.6520901760869"/>
    <n v="7243.7130831842842"/>
    <n v="35196.556391808786"/>
    <n v="1.02"/>
    <n v="1.02"/>
    <n v="1.02"/>
    <n v="1.02"/>
    <n v="1.02"/>
    <n v="1.02"/>
    <n v="1.02"/>
    <n v="1.02"/>
    <m/>
    <m/>
    <n v="9.4263779717191518"/>
    <m/>
    <n v="11105.215888482333"/>
    <n v="750.65077576222393"/>
    <m/>
    <m/>
    <n v="9.3291988173715321"/>
    <s v="Updated kit ISR"/>
    <n v="9989.8868468685232"/>
    <n v="9886.898322674002"/>
    <n v="572.27221694569562"/>
    <m/>
    <m/>
    <n v="9.3291988173715321"/>
    <m/>
    <n v="8792.583301396322"/>
    <n v="508.93121122023513"/>
    <m/>
    <m/>
    <n v="9.3291988173715321"/>
    <m/>
    <n v="7688.7524973249219"/>
    <n v="445.03941414063775"/>
    <n v="11105.215888482333"/>
    <n v="9886.898322674002"/>
    <n v="8792.583301396322"/>
    <n v="7688.7524973249219"/>
    <n v="37473.450009877582"/>
    <s v="NA"/>
    <m/>
  </r>
  <r>
    <s v="NSG"/>
    <x v="4"/>
    <x v="6"/>
    <s v="IE Kits"/>
    <x v="4"/>
    <s v="IE Kit"/>
    <s v="IE"/>
    <x v="3"/>
    <s v="5.4.1"/>
    <s v="linear ft"/>
    <n v="840"/>
    <n v="840"/>
    <n v="840"/>
    <n v="840"/>
    <s v="RS-HWE-PINS-V06-230101"/>
    <m/>
    <n v="0.49429335489635107"/>
    <n v="0.49429335489635107"/>
    <n v="0.49429335489635107"/>
    <n v="0.49429335489635107"/>
    <n v="1"/>
    <n v="1"/>
    <n v="1"/>
    <n v="1"/>
    <n v="415.2064181129349"/>
    <n v="415.2064181129349"/>
    <n v="415.2064181129349"/>
    <n v="415.2064181129349"/>
    <n v="1660.8256724517396"/>
    <n v="1"/>
    <n v="1"/>
    <n v="1"/>
    <n v="1"/>
    <n v="1"/>
    <n v="1"/>
    <n v="1"/>
    <n v="1"/>
    <m/>
    <m/>
    <n v="1.3488774709922651"/>
    <m/>
    <n v="1133.0570756335026"/>
    <n v="717.85065752056767"/>
    <m/>
    <m/>
    <n v="1.2043548848145222"/>
    <s v="Updated kit ISR"/>
    <n v="1133.0570756335026"/>
    <n v="1011.6581032441986"/>
    <n v="596.45168513126373"/>
    <m/>
    <m/>
    <n v="1.2043548848145222"/>
    <m/>
    <n v="1011.6581032441986"/>
    <n v="596.45168513126373"/>
    <m/>
    <m/>
    <n v="1.2043548848145222"/>
    <m/>
    <n v="1011.6581032441986"/>
    <n v="596.45168513126373"/>
    <n v="1133.0570756335026"/>
    <n v="1011.6581032441986"/>
    <n v="1011.6581032441986"/>
    <n v="1011.6581032441986"/>
    <n v="4168.0313853660982"/>
    <s v="NA"/>
    <m/>
  </r>
  <r>
    <s v="NSG"/>
    <x v="4"/>
    <x v="5"/>
    <s v="IE Kits"/>
    <x v="5"/>
    <s v="IE Kit"/>
    <s v="IE"/>
    <x v="3"/>
    <s v="5.4.5"/>
    <s v="each"/>
    <n v="560"/>
    <n v="560"/>
    <n v="560"/>
    <n v="560"/>
    <s v="RS-HWE-LFSH-V11-230101"/>
    <m/>
    <n v="6.255766610843156"/>
    <n v="6.255766610843156"/>
    <n v="6.255766610843156"/>
    <n v="6.255766610843156"/>
    <n v="1"/>
    <n v="1"/>
    <n v="1"/>
    <n v="1"/>
    <n v="3503.2293020721672"/>
    <n v="3503.2293020721672"/>
    <n v="3503.2293020721672"/>
    <n v="3503.2293020721672"/>
    <n v="14012.917208288669"/>
    <n v="1"/>
    <n v="1"/>
    <n v="1"/>
    <n v="1"/>
    <n v="1"/>
    <n v="1"/>
    <n v="1"/>
    <n v="1"/>
    <m/>
    <m/>
    <n v="7.2182559285293824"/>
    <m/>
    <n v="4042.2233199764541"/>
    <n v="538.99401790428692"/>
    <m/>
    <m/>
    <n v="7.2182559285293824"/>
    <s v="Updated kit ISR"/>
    <n v="4042.2233199764541"/>
    <n v="4042.2233199764541"/>
    <n v="538.99401790428692"/>
    <m/>
    <m/>
    <n v="7.2182559285293824"/>
    <m/>
    <n v="4042.2233199764541"/>
    <n v="538.99401790428692"/>
    <m/>
    <m/>
    <n v="7.2182559285293824"/>
    <m/>
    <n v="4042.2233199764541"/>
    <n v="538.99401790428692"/>
    <n v="4042.2233199764541"/>
    <n v="4042.2233199764541"/>
    <n v="4042.2233199764541"/>
    <n v="4042.2233199764541"/>
    <n v="16168.893279905817"/>
    <s v="NA"/>
    <m/>
  </r>
  <r>
    <s v="NSG"/>
    <x v="3"/>
    <x v="6"/>
    <s v="Direct Install"/>
    <x v="4"/>
    <s v="Boiler"/>
    <s v="MF"/>
    <x v="3"/>
    <s v="5.3.2"/>
    <s v="ft"/>
    <n v="1002"/>
    <n v="1002"/>
    <n v="1002"/>
    <n v="1002"/>
    <s v="RS-HWE-PINS-V06-230101"/>
    <m/>
    <n v="0.63522312995661756"/>
    <n v="0.63522312995661756"/>
    <n v="0.63522312995661756"/>
    <n v="0.63522312995661756"/>
    <n v="0.96"/>
    <n v="0.96"/>
    <n v="0.96"/>
    <n v="0.96"/>
    <n v="611.03383316786949"/>
    <n v="611.03383316786949"/>
    <n v="611.03383316786949"/>
    <n v="611.03383316786949"/>
    <n v="2444.135332671478"/>
    <n v="0.96"/>
    <n v="0.96"/>
    <n v="0.96"/>
    <n v="0.96"/>
    <n v="0.96"/>
    <n v="0.96"/>
    <n v="0.96"/>
    <n v="0.96"/>
    <m/>
    <m/>
    <n v="1.0111854839419214"/>
    <m/>
    <n v="972.67954071341308"/>
    <n v="361.64570754554359"/>
    <m/>
    <m/>
    <n v="1.0111854839419214"/>
    <s v="n/a"/>
    <n v="972.67954071341308"/>
    <n v="972.67954071341308"/>
    <n v="361.64570754554359"/>
    <m/>
    <m/>
    <n v="1.0111854839419214"/>
    <m/>
    <n v="972.67954071341308"/>
    <n v="361.64570754554359"/>
    <m/>
    <m/>
    <n v="1.0111854839419214"/>
    <m/>
    <n v="972.67954071341308"/>
    <n v="361.64570754554359"/>
    <n v="972.67954071341308"/>
    <n v="972.67954071341308"/>
    <n v="972.67954071341308"/>
    <n v="972.67954071341308"/>
    <n v="3890.7181628536523"/>
    <s v="NA"/>
    <m/>
  </r>
  <r>
    <s v="NSG"/>
    <x v="3"/>
    <x v="6"/>
    <s v="Direct Install"/>
    <x v="5"/>
    <n v="0"/>
    <s v="MF"/>
    <x v="3"/>
    <s v="5.4.5"/>
    <s v="each"/>
    <n v="405"/>
    <n v="405"/>
    <n v="405"/>
    <n v="405"/>
    <s v="RS-HWE-LFSH-V11-230101"/>
    <m/>
    <n v="11.319060638969999"/>
    <n v="11.319060638969999"/>
    <n v="11.319060638969999"/>
    <n v="11.319060638969999"/>
    <n v="1.01"/>
    <n v="1.01"/>
    <n v="1.01"/>
    <n v="1.01"/>
    <n v="4630.0617543706776"/>
    <n v="4630.0617543706776"/>
    <n v="4630.0617543706776"/>
    <n v="4630.0617543706776"/>
    <n v="18520.24701748271"/>
    <n v="1.01"/>
    <n v="1.01"/>
    <n v="1.01"/>
    <n v="1.01"/>
    <n v="1.01"/>
    <n v="1.01"/>
    <n v="1.01"/>
    <n v="1.01"/>
    <m/>
    <m/>
    <n v="12.139632199151192"/>
    <m/>
    <n v="4965.7165510627947"/>
    <n v="335.65479669211709"/>
    <m/>
    <m/>
    <n v="12.26741780124752"/>
    <s v="Updated kit ISR"/>
    <n v="4965.7165510627947"/>
    <n v="5017.9872516002979"/>
    <n v="387.92549722962031"/>
    <m/>
    <m/>
    <n v="12.26741780124752"/>
    <m/>
    <n v="5017.9872516002979"/>
    <n v="387.92549722962031"/>
    <m/>
    <m/>
    <n v="12.26741780124752"/>
    <m/>
    <n v="5017.9872516002979"/>
    <n v="387.92549722962031"/>
    <n v="4965.7165510627947"/>
    <n v="5017.9872516002979"/>
    <n v="5017.9872516002979"/>
    <n v="5017.9872516002979"/>
    <n v="20019.678305863687"/>
    <s v="NA"/>
    <m/>
  </r>
  <r>
    <s v="NSG"/>
    <x v="5"/>
    <x v="7"/>
    <s v="Rebates"/>
    <x v="6"/>
    <n v="0"/>
    <s v="CI"/>
    <x v="3"/>
    <s v="4.4.48"/>
    <s v="each"/>
    <n v="7"/>
    <n v="7"/>
    <n v="6"/>
    <n v="6"/>
    <s v="CI-HVC-THST-V05-230101"/>
    <m/>
    <n v="159.30512500000003"/>
    <n v="159.30512500000003"/>
    <n v="159.30512500000003"/>
    <n v="159.30512500000003"/>
    <n v="0.96"/>
    <n v="0.96"/>
    <n v="0.96"/>
    <n v="0.96"/>
    <n v="1070.5304400000002"/>
    <n v="1070.5304400000002"/>
    <n v="917.59752000000015"/>
    <n v="917.59752000000015"/>
    <n v="3976.255920000001"/>
    <n v="0.96"/>
    <n v="0.97"/>
    <n v="0.97"/>
    <n v="0.97"/>
    <n v="0.96"/>
    <n v="0.96"/>
    <n v="0.96"/>
    <n v="0.96"/>
    <m/>
    <m/>
    <n v="200.26929999999999"/>
    <m/>
    <n v="1345.809696"/>
    <n v="275.2792559999998"/>
    <m/>
    <m/>
    <n v="200.26929999999999"/>
    <s v="n/a"/>
    <n v="1345.809696"/>
    <n v="1345.809696"/>
    <n v="275.2792559999998"/>
    <m/>
    <m/>
    <n v="200.26929999999999"/>
    <m/>
    <n v="1153.551168"/>
    <n v="235.95364799999982"/>
    <m/>
    <m/>
    <n v="200.26929999999999"/>
    <m/>
    <n v="1153.551168"/>
    <n v="235.95364799999982"/>
    <n v="1345.809696"/>
    <n v="1345.809696"/>
    <n v="1153.551168"/>
    <n v="1153.551168"/>
    <n v="4998.7217280000004"/>
    <s v="NA"/>
    <m/>
  </r>
  <r>
    <s v="NSG"/>
    <x v="4"/>
    <x v="5"/>
    <s v="IE Kits"/>
    <x v="7"/>
    <s v="IE Kit"/>
    <s v="IE"/>
    <x v="3"/>
    <s v="5.4.4"/>
    <s v="each"/>
    <n v="560"/>
    <n v="560"/>
    <n v="560"/>
    <n v="560"/>
    <s v="RS-HWE-LFFA-V12-230101"/>
    <m/>
    <n v="4.9752596113338461"/>
    <n v="4.9752596113338461"/>
    <n v="4.9752596113338461"/>
    <n v="4.9752596113338461"/>
    <n v="1"/>
    <n v="1"/>
    <n v="1"/>
    <n v="1"/>
    <n v="2786.1453823469537"/>
    <n v="2786.1453823469537"/>
    <n v="2786.1453823469537"/>
    <n v="2786.1453823469537"/>
    <n v="11144.581529387815"/>
    <n v="1"/>
    <n v="1"/>
    <n v="1"/>
    <n v="1"/>
    <n v="1"/>
    <n v="1"/>
    <n v="1"/>
    <n v="1"/>
    <m/>
    <m/>
    <n v="5.4101152071830771"/>
    <m/>
    <n v="3029.664516022523"/>
    <n v="243.51913367556926"/>
    <m/>
    <m/>
    <n v="5.4101152071830771"/>
    <s v="Updated kit ISR"/>
    <n v="3029.664516022523"/>
    <n v="3029.664516022523"/>
    <n v="243.51913367556926"/>
    <m/>
    <m/>
    <n v="5.4101152071830771"/>
    <m/>
    <n v="3029.664516022523"/>
    <n v="243.51913367556926"/>
    <m/>
    <m/>
    <n v="5.4101152071830771"/>
    <m/>
    <n v="3029.664516022523"/>
    <n v="243.51913367556926"/>
    <n v="3029.664516022523"/>
    <n v="3029.664516022523"/>
    <n v="3029.664516022523"/>
    <n v="3029.664516022523"/>
    <n v="12118.658064090092"/>
    <s v="NA"/>
    <m/>
  </r>
  <r>
    <s v="NSG"/>
    <x v="5"/>
    <x v="8"/>
    <s v="Rebates"/>
    <x v="8"/>
    <n v="0"/>
    <s v="MF/CI/SMB"/>
    <x v="3"/>
    <s v="4.3.12"/>
    <s v="sqft"/>
    <n v="95.2"/>
    <n v="89.600000000000009"/>
    <n v="78.399999999999991"/>
    <n v="76.160000000000011"/>
    <s v="CI-HWE-TKIN-V02-220101"/>
    <m/>
    <n v="6.9553729140568805"/>
    <n v="6.9553729140568805"/>
    <n v="6.9553729140568805"/>
    <n v="6.9553729140568805"/>
    <n v="0.91"/>
    <n v="0.91"/>
    <n v="0.91"/>
    <n v="0.91"/>
    <n v="602.5578662905757"/>
    <n v="567.1132859205419"/>
    <n v="496.22412518047406"/>
    <n v="482.0462930324606"/>
    <n v="2147.9415704240523"/>
    <n v="0.91"/>
    <n v="0.91"/>
    <n v="0.91"/>
    <n v="0.91"/>
    <n v="0.91"/>
    <n v="0.91"/>
    <n v="0.91"/>
    <n v="0.91"/>
    <m/>
    <m/>
    <n v="9.7375220796796338"/>
    <m/>
    <n v="843.58101280680614"/>
    <n v="241.02314651623044"/>
    <m/>
    <m/>
    <n v="9.7375220796796338"/>
    <s v="n/a"/>
    <n v="793.95860028875882"/>
    <n v="793.95860028875882"/>
    <n v="226.84531436821692"/>
    <m/>
    <m/>
    <n v="9.7375220796796338"/>
    <m/>
    <n v="694.71377525266371"/>
    <n v="198.48965007218965"/>
    <m/>
    <m/>
    <n v="9.7375220796796338"/>
    <m/>
    <n v="674.86481024544491"/>
    <n v="192.81851721298432"/>
    <n v="843.58101280680614"/>
    <n v="793.95860028875882"/>
    <n v="694.71377525266371"/>
    <n v="674.86481024544491"/>
    <n v="3007.1181985936737"/>
    <s v="NA"/>
    <m/>
  </r>
  <r>
    <s v="NSG"/>
    <x v="3"/>
    <x v="4"/>
    <s v="Leave Behind Kit"/>
    <x v="9"/>
    <n v="0"/>
    <s v="SF"/>
    <x v="3"/>
    <s v="5.4.9"/>
    <s v="each"/>
    <n v="1000"/>
    <n v="900"/>
    <n v="800"/>
    <n v="700"/>
    <s v="RS-DHW-SHTM-V05-230101"/>
    <m/>
    <n v="3.7072463788108796"/>
    <n v="3.7072463788108796"/>
    <n v="3.7072463788108796"/>
    <n v="3.7072463788108796"/>
    <n v="0.88"/>
    <n v="0.88"/>
    <n v="0.88"/>
    <n v="0.88"/>
    <n v="3262.3768133535737"/>
    <n v="2936.1391320182165"/>
    <n v="2609.9014506828594"/>
    <n v="2283.6637693475018"/>
    <n v="11092.081165402151"/>
    <n v="0.88"/>
    <n v="0.88"/>
    <n v="0.88"/>
    <n v="0.88"/>
    <n v="0.88"/>
    <n v="0.88"/>
    <n v="0.88"/>
    <n v="0.88"/>
    <m/>
    <m/>
    <n v="3.9749540034683961"/>
    <m/>
    <n v="3497.9595230521886"/>
    <n v="235.58270969861496"/>
    <m/>
    <m/>
    <n v="3.9749540034683961"/>
    <s v="No savings impacts with existing measure assumptions."/>
    <n v="3148.1635707469695"/>
    <n v="3148.1635707469695"/>
    <n v="212.02443872875301"/>
    <m/>
    <m/>
    <n v="3.9749540034683961"/>
    <m/>
    <n v="2798.3676184417509"/>
    <n v="188.46616775889152"/>
    <m/>
    <m/>
    <n v="3.9749540034683961"/>
    <m/>
    <n v="2448.5716661365323"/>
    <n v="164.90789678903047"/>
    <n v="3497.9595230521886"/>
    <n v="3148.1635707469695"/>
    <n v="2798.3676184417509"/>
    <n v="2448.5716661365323"/>
    <n v="11893.062378377443"/>
    <s v="NA"/>
    <m/>
  </r>
  <r>
    <s v="NSG"/>
    <x v="3"/>
    <x v="6"/>
    <s v="Direct Install"/>
    <x v="7"/>
    <n v="0"/>
    <s v="MF"/>
    <x v="3"/>
    <s v="5.4.4"/>
    <s v="each"/>
    <n v="335"/>
    <n v="335"/>
    <n v="335"/>
    <n v="335"/>
    <s v="RS-HWE-LFFA-V12-230101"/>
    <m/>
    <n v="7.8612856931203403"/>
    <n v="7.8612856931203403"/>
    <n v="7.8612856931203403"/>
    <n v="7.8612856931203403"/>
    <n v="1.01"/>
    <n v="1.01"/>
    <n v="1.01"/>
    <n v="1.01"/>
    <n v="2659.866014267267"/>
    <n v="2659.866014267267"/>
    <n v="2659.866014267267"/>
    <n v="2659.866014267267"/>
    <n v="10639.464057069068"/>
    <n v="1.01"/>
    <n v="1.01"/>
    <n v="1.01"/>
    <n v="1.01"/>
    <n v="1.01"/>
    <n v="1.01"/>
    <n v="1.01"/>
    <n v="1.01"/>
    <m/>
    <m/>
    <n v="8.5483903552439671"/>
    <m/>
    <n v="2892.3478766967964"/>
    <n v="232.48186242952943"/>
    <m/>
    <m/>
    <n v="8.7362670663482316"/>
    <s v="Updated kit ISR"/>
    <n v="2892.3478766967964"/>
    <n v="2955.9159618989243"/>
    <n v="296.04994763165723"/>
    <m/>
    <m/>
    <n v="8.7362670663482316"/>
    <m/>
    <n v="2955.9159618989243"/>
    <n v="296.04994763165723"/>
    <m/>
    <m/>
    <n v="8.7362670663482316"/>
    <m/>
    <n v="2955.9159618989243"/>
    <n v="296.04994763165723"/>
    <n v="2892.3478766967964"/>
    <n v="2955.9159618989243"/>
    <n v="2955.9159618989243"/>
    <n v="2955.9159618989243"/>
    <n v="11760.095762393568"/>
    <s v="NA"/>
    <m/>
  </r>
  <r>
    <s v="NSG"/>
    <x v="4"/>
    <x v="6"/>
    <s v="MF IHWAP"/>
    <x v="4"/>
    <s v="DHW"/>
    <s v="MF"/>
    <x v="3"/>
    <s v="5.4.1"/>
    <s v="ft"/>
    <n v="144"/>
    <n v="180"/>
    <n v="324"/>
    <n v="360"/>
    <s v="RS-HWE-PINS-V06-230101"/>
    <m/>
    <n v="0.88266670517205537"/>
    <n v="0.88266670517205537"/>
    <n v="0.88266670517205537"/>
    <n v="0.88266670517205537"/>
    <n v="1"/>
    <n v="1"/>
    <n v="1"/>
    <n v="1"/>
    <n v="127.10400554477597"/>
    <n v="158.88000693096996"/>
    <n v="285.98401247574594"/>
    <n v="317.76001386193991"/>
    <n v="889.72803881343179"/>
    <n v="1"/>
    <n v="1"/>
    <n v="1"/>
    <n v="1"/>
    <n v="1"/>
    <n v="1"/>
    <n v="1"/>
    <n v="1"/>
    <m/>
    <m/>
    <n v="2.4087097696290445"/>
    <m/>
    <n v="346.85420682658241"/>
    <n v="219.75020128180643"/>
    <m/>
    <m/>
    <n v="2.4087097696290445"/>
    <s v="Updated kit ISR"/>
    <n v="433.56775853322802"/>
    <n v="433.56775853322802"/>
    <n v="274.68775160225806"/>
    <m/>
    <m/>
    <n v="2.4087097696290445"/>
    <m/>
    <n v="780.42196535981043"/>
    <n v="494.43795288406449"/>
    <m/>
    <m/>
    <n v="2.4087097696290445"/>
    <m/>
    <n v="867.13551706645603"/>
    <n v="549.37550320451612"/>
    <n v="346.85420682658241"/>
    <n v="433.56775853322802"/>
    <n v="780.42196535981043"/>
    <n v="867.13551706645603"/>
    <n v="2427.9794477860769"/>
    <s v="NA"/>
    <m/>
  </r>
  <r>
    <s v="NSG"/>
    <x v="4"/>
    <x v="4"/>
    <s v="Core"/>
    <x v="4"/>
    <s v="DHW"/>
    <s v="SF"/>
    <x v="3"/>
    <s v="5.4.1"/>
    <s v="Feet"/>
    <n v="132"/>
    <n v="327"/>
    <n v="657"/>
    <n v="789"/>
    <s v="RS-HWE-PINS-V06-230101"/>
    <m/>
    <n v="0.88266670517205537"/>
    <n v="0.88266670517205537"/>
    <n v="0.88266670517205537"/>
    <n v="0.88266670517205537"/>
    <n v="1"/>
    <n v="1"/>
    <n v="1"/>
    <n v="1"/>
    <n v="116.51200508271131"/>
    <n v="288.63201259126208"/>
    <n v="579.91202529804036"/>
    <n v="696.42403038075167"/>
    <n v="1681.4800733527654"/>
    <n v="1"/>
    <n v="1"/>
    <n v="1"/>
    <n v="1"/>
    <n v="1"/>
    <n v="1"/>
    <n v="1"/>
    <n v="1"/>
    <m/>
    <m/>
    <n v="2.4087097696290445"/>
    <m/>
    <n v="317.94968959103386"/>
    <n v="201.43768450832255"/>
    <m/>
    <m/>
    <n v="2.4087097696290445"/>
    <s v="Updated kit ISR"/>
    <n v="787.64809466869758"/>
    <n v="787.64809466869758"/>
    <n v="499.0160820774355"/>
    <m/>
    <m/>
    <n v="2.4087097696290445"/>
    <m/>
    <n v="1582.5223186462822"/>
    <n v="1002.6102933482418"/>
    <m/>
    <m/>
    <n v="2.4087097696290445"/>
    <m/>
    <n v="1900.472008237316"/>
    <n v="1204.0479778565643"/>
    <n v="317.94968959103386"/>
    <n v="787.64809466869758"/>
    <n v="1582.5223186462822"/>
    <n v="1900.472008237316"/>
    <n v="4588.5921111433299"/>
    <s v="NA"/>
    <m/>
  </r>
  <r>
    <s v="NSG"/>
    <x v="5"/>
    <x v="7"/>
    <s v="Assessments"/>
    <x v="10"/>
    <n v="0"/>
    <s v="CI"/>
    <x v="3"/>
    <s v="4.2.11"/>
    <s v="each"/>
    <n v="18"/>
    <n v="16"/>
    <n v="16"/>
    <n v="15"/>
    <s v="CI-FSE-CVOV-V02-180101"/>
    <m/>
    <n v="235.77765120000004"/>
    <n v="235.77765120000004"/>
    <n v="235.77765120000004"/>
    <n v="235.77765120000004"/>
    <n v="0.93"/>
    <n v="0.93"/>
    <n v="0.93"/>
    <n v="0.93"/>
    <n v="3946.9178810880007"/>
    <n v="3508.3714498560007"/>
    <n v="3508.3714498560007"/>
    <n v="3289.0982342400007"/>
    <n v="14252.759015040003"/>
    <n v="0.93"/>
    <n v="0.93"/>
    <n v="0.93"/>
    <n v="0.93"/>
    <n v="0.93"/>
    <n v="0.93"/>
    <n v="0.93"/>
    <n v="0.93"/>
    <m/>
    <m/>
    <n v="247.22970854399998"/>
    <m/>
    <n v="4138.6253210265595"/>
    <n v="191.70743993855876"/>
    <m/>
    <m/>
    <n v="247.22970854399998"/>
    <s v="n/a"/>
    <n v="3678.77806313472"/>
    <n v="3678.77806313472"/>
    <n v="170.40661327871931"/>
    <m/>
    <m/>
    <n v="247.22970854399998"/>
    <m/>
    <n v="3678.77806313472"/>
    <n v="170.40661327871931"/>
    <m/>
    <m/>
    <n v="247.22970854399998"/>
    <m/>
    <n v="3448.8544341888"/>
    <n v="159.75619994879935"/>
    <n v="4138.6253210265595"/>
    <n v="3678.77806313472"/>
    <n v="3678.77806313472"/>
    <n v="3448.8544341888"/>
    <n v="14945.0358814848"/>
    <s v="NA"/>
    <m/>
  </r>
  <r>
    <s v="NSG"/>
    <x v="5"/>
    <x v="9"/>
    <s v="Rebates"/>
    <x v="6"/>
    <n v="0"/>
    <s v="CI"/>
    <x v="3"/>
    <s v="4.4.48"/>
    <s v="each"/>
    <n v="5"/>
    <n v="5"/>
    <n v="5"/>
    <n v="5"/>
    <s v="CI-HVC-THST-V05-230101"/>
    <m/>
    <n v="159.30512500000003"/>
    <n v="159.30512500000003"/>
    <n v="159.30512500000003"/>
    <n v="159.30512500000003"/>
    <n v="0.93"/>
    <n v="0.93"/>
    <n v="0.93"/>
    <n v="0.93"/>
    <n v="740.76883125000029"/>
    <n v="740.76883125000029"/>
    <n v="740.76883125000029"/>
    <n v="740.76883125000029"/>
    <n v="2963.0753250000012"/>
    <n v="0.93"/>
    <n v="0.93"/>
    <n v="0.93"/>
    <n v="0.93"/>
    <n v="0.93"/>
    <n v="0.93"/>
    <n v="0.93"/>
    <n v="0.93"/>
    <m/>
    <m/>
    <n v="200.26929999999999"/>
    <m/>
    <n v="931.2522449999999"/>
    <n v="190.48341374999961"/>
    <m/>
    <m/>
    <n v="200.26929999999999"/>
    <s v="n/a"/>
    <n v="931.2522449999999"/>
    <n v="931.2522449999999"/>
    <n v="190.48341374999961"/>
    <m/>
    <m/>
    <n v="200.26929999999999"/>
    <m/>
    <n v="931.2522449999999"/>
    <n v="190.48341374999961"/>
    <m/>
    <m/>
    <n v="200.26929999999999"/>
    <m/>
    <n v="931.2522449999999"/>
    <n v="190.48341374999961"/>
    <n v="931.2522449999999"/>
    <n v="931.2522449999999"/>
    <n v="931.2522449999999"/>
    <n v="931.2522449999999"/>
    <n v="3725.0089799999996"/>
    <s v="NA"/>
    <m/>
  </r>
  <r>
    <s v="NSG"/>
    <x v="4"/>
    <x v="5"/>
    <s v="IE Kits"/>
    <x v="9"/>
    <s v="IE Kit"/>
    <s v="IE"/>
    <x v="3"/>
    <s v="5.4.9"/>
    <s v="each"/>
    <n v="560"/>
    <n v="560"/>
    <n v="560"/>
    <n v="560"/>
    <s v="RS-DHW-SHTM-V05-230101"/>
    <m/>
    <n v="3.7072463788108796"/>
    <n v="3.7072463788108796"/>
    <n v="3.7072463788108796"/>
    <n v="3.7072463788108796"/>
    <n v="1"/>
    <n v="1"/>
    <n v="1"/>
    <n v="1"/>
    <n v="2076.0579721340928"/>
    <n v="2076.0579721340928"/>
    <n v="2076.0579721340928"/>
    <n v="2076.0579721340928"/>
    <n v="8304.2318885363711"/>
    <n v="1"/>
    <n v="1"/>
    <n v="1"/>
    <n v="1"/>
    <n v="1"/>
    <n v="1"/>
    <n v="1"/>
    <n v="1"/>
    <m/>
    <m/>
    <n v="3.9749540034683961"/>
    <m/>
    <n v="2225.9742419423019"/>
    <n v="149.91626980820911"/>
    <m/>
    <m/>
    <n v="3.9749540034683961"/>
    <s v="No savings impacts with existing measure assumptions."/>
    <n v="2225.9742419423019"/>
    <n v="2225.9742419423019"/>
    <n v="149.91626980820911"/>
    <m/>
    <m/>
    <n v="3.9749540034683961"/>
    <m/>
    <n v="2225.9742419423019"/>
    <n v="149.91626980820911"/>
    <m/>
    <m/>
    <n v="3.9749540034683961"/>
    <m/>
    <n v="2225.9742419423019"/>
    <n v="149.91626980820911"/>
    <n v="2225.9742419423019"/>
    <n v="2225.9742419423019"/>
    <n v="2225.9742419423019"/>
    <n v="2225.9742419423019"/>
    <n v="8903.8969677692075"/>
    <s v="NA"/>
    <m/>
  </r>
  <r>
    <s v="NSG"/>
    <x v="5"/>
    <x v="7"/>
    <s v="Rebates"/>
    <x v="8"/>
    <n v="0"/>
    <s v="MF/CI/SMB"/>
    <x v="3"/>
    <s v="4.3.12"/>
    <s v="sqft"/>
    <n v="56"/>
    <n v="56"/>
    <n v="56"/>
    <n v="56"/>
    <s v="CI-HWE-TKIN-V02-220101"/>
    <m/>
    <n v="6.9553729140568805"/>
    <n v="6.9553729140568805"/>
    <n v="6.9553729140568805"/>
    <n v="6.9553729140568805"/>
    <n v="0.93"/>
    <n v="0.93"/>
    <n v="0.93"/>
    <n v="0.93"/>
    <n v="362.23582136408237"/>
    <n v="362.23582136408237"/>
    <n v="362.23582136408237"/>
    <n v="362.23582136408237"/>
    <n v="1448.9432854563295"/>
    <n v="0.93"/>
    <n v="0.93"/>
    <n v="0.93"/>
    <n v="0.93"/>
    <n v="0.93"/>
    <n v="0.93"/>
    <n v="0.93"/>
    <n v="0.93"/>
    <m/>
    <m/>
    <n v="9.7375220796796338"/>
    <m/>
    <n v="507.13014990971533"/>
    <n v="144.89432854563296"/>
    <m/>
    <m/>
    <n v="9.7375220796796338"/>
    <s v="n/a"/>
    <n v="507.13014990971533"/>
    <n v="507.13014990971533"/>
    <n v="144.89432854563296"/>
    <m/>
    <m/>
    <n v="9.7375220796796338"/>
    <m/>
    <n v="507.13014990971533"/>
    <n v="144.89432854563296"/>
    <m/>
    <m/>
    <n v="9.7375220796796338"/>
    <m/>
    <n v="507.13014990971533"/>
    <n v="144.89432854563296"/>
    <n v="507.13014990971533"/>
    <n v="507.13014990971533"/>
    <n v="507.13014990971533"/>
    <n v="507.13014990971533"/>
    <n v="2028.5205996388613"/>
    <s v="NA"/>
    <m/>
  </r>
  <r>
    <s v="NSG"/>
    <x v="5"/>
    <x v="7"/>
    <s v="Partner Trade Ally Rebate"/>
    <x v="8"/>
    <n v="0"/>
    <s v="MF/CI/SMB"/>
    <x v="3"/>
    <s v="4.3.12"/>
    <s v="sqft"/>
    <n v="56"/>
    <n v="56"/>
    <n v="56"/>
    <n v="56"/>
    <s v="CI-HWE-TKIN-V02-220101"/>
    <m/>
    <n v="6.9553729140568805"/>
    <n v="6.9553729140568805"/>
    <n v="6.9553729140568805"/>
    <n v="6.9553729140568805"/>
    <n v="0.93"/>
    <n v="0.93"/>
    <n v="0.93"/>
    <n v="0.93"/>
    <n v="362.23582136408237"/>
    <n v="362.23582136408237"/>
    <n v="362.23582136408237"/>
    <n v="362.23582136408237"/>
    <n v="1448.9432854563295"/>
    <n v="0.93"/>
    <n v="0.93"/>
    <n v="0.93"/>
    <n v="0.93"/>
    <n v="0.93"/>
    <n v="0.93"/>
    <n v="0.93"/>
    <n v="0.93"/>
    <m/>
    <m/>
    <n v="9.7375220796796338"/>
    <m/>
    <n v="507.13014990971533"/>
    <n v="144.89432854563296"/>
    <m/>
    <m/>
    <n v="9.7375220796796338"/>
    <s v="n/a"/>
    <n v="507.13014990971533"/>
    <n v="507.13014990971533"/>
    <n v="144.89432854563296"/>
    <m/>
    <m/>
    <n v="9.7375220796796338"/>
    <m/>
    <n v="507.13014990971533"/>
    <n v="144.89432854563296"/>
    <m/>
    <m/>
    <n v="9.7375220796796338"/>
    <m/>
    <n v="507.13014990971533"/>
    <n v="144.89432854563296"/>
    <n v="507.13014990971533"/>
    <n v="507.13014990971533"/>
    <n v="507.13014990971533"/>
    <n v="507.13014990971533"/>
    <n v="2028.5205996388613"/>
    <s v="NA"/>
    <m/>
  </r>
  <r>
    <s v="NSG"/>
    <x v="5"/>
    <x v="9"/>
    <s v="Rebates"/>
    <x v="8"/>
    <n v="0"/>
    <s v="MF/CI/SMB"/>
    <x v="3"/>
    <s v="4.3.12"/>
    <s v="sqft"/>
    <n v="56"/>
    <n v="56"/>
    <n v="56"/>
    <n v="56"/>
    <s v="CI-HWE-TKIN-V02-220101"/>
    <m/>
    <n v="6.9553729140568805"/>
    <n v="6.9553729140568805"/>
    <n v="6.9553729140568805"/>
    <n v="6.9553729140568805"/>
    <n v="0.92"/>
    <n v="0.92"/>
    <n v="0.92"/>
    <n v="0.92"/>
    <n v="358.34081253221052"/>
    <n v="358.34081253221052"/>
    <n v="358.34081253221052"/>
    <n v="358.34081253221052"/>
    <n v="1433.3632501288421"/>
    <n v="0.92"/>
    <n v="0.92"/>
    <n v="0.92"/>
    <n v="0.92"/>
    <n v="0.92"/>
    <n v="0.92"/>
    <n v="0.92"/>
    <n v="0.92"/>
    <m/>
    <m/>
    <n v="9.7375220796796338"/>
    <m/>
    <n v="501.67713754509475"/>
    <n v="143.33632501288423"/>
    <m/>
    <m/>
    <n v="9.7375220796796338"/>
    <s v="n/a"/>
    <n v="501.67713754509475"/>
    <n v="501.67713754509475"/>
    <n v="143.33632501288423"/>
    <m/>
    <m/>
    <n v="9.7375220796796338"/>
    <m/>
    <n v="501.67713754509475"/>
    <n v="143.33632501288423"/>
    <m/>
    <m/>
    <n v="9.7375220796796338"/>
    <m/>
    <n v="501.67713754509475"/>
    <n v="143.33632501288423"/>
    <n v="501.67713754509475"/>
    <n v="501.67713754509475"/>
    <n v="501.67713754509475"/>
    <n v="501.67713754509475"/>
    <n v="2006.708550180379"/>
    <s v="NA"/>
    <m/>
  </r>
  <r>
    <s v="NSG"/>
    <x v="3"/>
    <x v="6"/>
    <s v="Partner Trade Ally Rebate"/>
    <x v="8"/>
    <n v="0"/>
    <s v="MF/CI/SMB"/>
    <x v="3"/>
    <s v="4.3.12"/>
    <s v="sqft"/>
    <n v="56"/>
    <n v="56"/>
    <n v="56"/>
    <n v="56"/>
    <s v="CI-HWE-TKIN-V02-220101"/>
    <m/>
    <n v="6.9553729140568805"/>
    <n v="6.9553729140568805"/>
    <n v="6.9553729140568805"/>
    <n v="6.9553729140568805"/>
    <n v="0.87"/>
    <n v="0.87"/>
    <n v="0.87"/>
    <n v="0.87"/>
    <n v="338.86576837285122"/>
    <n v="338.86576837285122"/>
    <n v="338.86576837285122"/>
    <n v="338.86576837285122"/>
    <n v="1355.4630734914049"/>
    <n v="0.87"/>
    <n v="0.87"/>
    <n v="0.87"/>
    <n v="0.87"/>
    <n v="0.87"/>
    <n v="0.87"/>
    <n v="0.87"/>
    <n v="0.87"/>
    <m/>
    <m/>
    <n v="9.7375220796796338"/>
    <m/>
    <n v="474.41207572199176"/>
    <n v="135.54630734914053"/>
    <m/>
    <m/>
    <n v="9.7375220796796338"/>
    <s v="n/a"/>
    <n v="474.41207572199176"/>
    <n v="474.41207572199176"/>
    <n v="135.54630734914053"/>
    <m/>
    <m/>
    <n v="9.7375220796796338"/>
    <m/>
    <n v="474.41207572199176"/>
    <n v="135.54630734914053"/>
    <m/>
    <m/>
    <n v="9.7375220796796338"/>
    <m/>
    <n v="474.41207572199176"/>
    <n v="135.54630734914053"/>
    <n v="474.41207572199176"/>
    <n v="474.41207572199176"/>
    <n v="474.41207572199176"/>
    <n v="474.41207572199176"/>
    <n v="1897.648302887967"/>
    <s v="NA"/>
    <m/>
  </r>
  <r>
    <s v="NSG"/>
    <x v="4"/>
    <x v="6"/>
    <s v="IE Kits"/>
    <x v="5"/>
    <s v="IE Kit"/>
    <s v="IE"/>
    <x v="3"/>
    <s v="5.4.5"/>
    <s v="each"/>
    <n v="140"/>
    <n v="140"/>
    <n v="140"/>
    <n v="140"/>
    <s v="RS-HWE-LFSH-V11-230101"/>
    <m/>
    <n v="6.255766610843156"/>
    <n v="6.255766610843156"/>
    <n v="6.255766610843156"/>
    <n v="6.255766610843156"/>
    <n v="1"/>
    <n v="1"/>
    <n v="1"/>
    <n v="1"/>
    <n v="875.80732551804181"/>
    <n v="875.80732551804181"/>
    <n v="875.80732551804181"/>
    <n v="875.80732551804181"/>
    <n v="3503.2293020721672"/>
    <n v="1"/>
    <n v="1"/>
    <n v="1"/>
    <n v="1"/>
    <n v="1"/>
    <n v="1"/>
    <n v="1"/>
    <n v="1"/>
    <m/>
    <m/>
    <n v="7.2182559285293824"/>
    <m/>
    <n v="1010.5558299941135"/>
    <n v="134.74850447607173"/>
    <m/>
    <m/>
    <n v="7.2182559285293824"/>
    <s v="Updated kit ISR"/>
    <n v="1010.5558299941135"/>
    <n v="1010.5558299941135"/>
    <n v="134.74850447607173"/>
    <m/>
    <m/>
    <n v="7.2182559285293824"/>
    <m/>
    <n v="1010.5558299941135"/>
    <n v="134.74850447607173"/>
    <m/>
    <m/>
    <n v="7.2182559285293824"/>
    <m/>
    <n v="1010.5558299941135"/>
    <n v="134.74850447607173"/>
    <n v="1010.5558299941135"/>
    <n v="1010.5558299941135"/>
    <n v="1010.5558299941135"/>
    <n v="1010.5558299941135"/>
    <n v="4042.2233199764541"/>
    <s v="NA"/>
    <m/>
  </r>
  <r>
    <s v="NSG"/>
    <x v="3"/>
    <x v="6"/>
    <s v="Direct Install"/>
    <x v="11"/>
    <n v="0"/>
    <s v="MF"/>
    <x v="3"/>
    <s v="5.4.4"/>
    <s v="each"/>
    <n v="447"/>
    <n v="447"/>
    <n v="447"/>
    <n v="447"/>
    <s v="RS-HWE-LFFA-V12-230101"/>
    <m/>
    <n v="1.5695120815920003"/>
    <n v="1.5695120815920003"/>
    <n v="1.5695120815920003"/>
    <n v="1.5695120815920003"/>
    <n v="1.01"/>
    <n v="1.01"/>
    <n v="1.01"/>
    <n v="1.01"/>
    <n v="708.58761947634036"/>
    <n v="708.58761947634036"/>
    <n v="708.58761947634036"/>
    <n v="708.58761947634036"/>
    <n v="2834.3504779053615"/>
    <n v="1.01"/>
    <n v="1.01"/>
    <n v="1.01"/>
    <n v="1.01"/>
    <n v="1.01"/>
    <n v="1.01"/>
    <n v="1.01"/>
    <n v="1.01"/>
    <m/>
    <m/>
    <n v="1.8113454036983285"/>
    <m/>
    <n v="817.76810940768439"/>
    <n v="109.18048993134403"/>
    <m/>
    <m/>
    <n v="1.773211816252048"/>
    <s v="Updated kit ISR"/>
    <n v="817.76810940768439"/>
    <n v="800.55193868331207"/>
    <n v="91.964319206971709"/>
    <m/>
    <m/>
    <n v="1.773211816252048"/>
    <m/>
    <n v="800.55193868331207"/>
    <n v="91.964319206971709"/>
    <m/>
    <m/>
    <n v="1.773211816252048"/>
    <m/>
    <n v="800.55193868331207"/>
    <n v="91.964319206971709"/>
    <n v="817.76810940768439"/>
    <n v="800.55193868331207"/>
    <n v="800.55193868331207"/>
    <n v="800.55193868331207"/>
    <n v="3219.4239254576205"/>
    <s v="NA"/>
    <m/>
  </r>
  <r>
    <s v="NSG"/>
    <x v="5"/>
    <x v="8"/>
    <s v="Rebates"/>
    <x v="12"/>
    <s v="≥75 MBH, ≥88% TE "/>
    <s v="CI"/>
    <x v="3"/>
    <s v="4.3.1"/>
    <s v="MBH"/>
    <n v="850"/>
    <n v="800"/>
    <n v="700"/>
    <n v="680"/>
    <s v="CI-HWE-STWH-V09-230101"/>
    <m/>
    <n v="2.4977693963210257"/>
    <n v="2.4977693963210257"/>
    <n v="2.4977693963210257"/>
    <n v="2.4977693963210257"/>
    <n v="0.91"/>
    <n v="0.91"/>
    <n v="0.91"/>
    <n v="0.91"/>
    <n v="1932.0246280543133"/>
    <n v="1818.3761205217068"/>
    <n v="1591.0791054564934"/>
    <n v="1545.6197024434507"/>
    <n v="6887.0995564759642"/>
    <n v="0.91"/>
    <n v="0.91"/>
    <n v="0.91"/>
    <n v="0.91"/>
    <n v="0.91"/>
    <n v="0.91"/>
    <n v="0.91"/>
    <n v="0.91"/>
    <m/>
    <m/>
    <n v="2.6035838480037183"/>
    <m/>
    <n v="2013.8721064308761"/>
    <n v="81.847478376562776"/>
    <m/>
    <m/>
    <n v="2.6035838480037183"/>
    <s v="n/a"/>
    <n v="1895.409041346707"/>
    <n v="1895.409041346707"/>
    <n v="77.032920825000247"/>
    <m/>
    <m/>
    <n v="2.6035838480037183"/>
    <m/>
    <n v="1658.4829111783686"/>
    <n v="67.403805721875187"/>
    <m/>
    <m/>
    <n v="2.6035838480037183"/>
    <m/>
    <n v="1611.097685144701"/>
    <n v="65.477982701250312"/>
    <n v="2013.8721064308761"/>
    <n v="1895.409041346707"/>
    <n v="1658.4829111783686"/>
    <n v="1611.097685144701"/>
    <n v="7178.8617441006527"/>
    <s v="NA"/>
    <m/>
  </r>
  <r>
    <s v="NSG"/>
    <x v="3"/>
    <x v="4"/>
    <s v="Core"/>
    <x v="11"/>
    <n v="0"/>
    <s v="SF"/>
    <x v="3"/>
    <s v="5.4.4"/>
    <s v="each"/>
    <n v="797"/>
    <n v="717"/>
    <n v="637"/>
    <n v="558"/>
    <s v="RS-HWE-LFFA-V12-230101"/>
    <m/>
    <n v="0.90936082797455842"/>
    <n v="0.90936082797455842"/>
    <n v="0.90936082797455842"/>
    <n v="0.90936082797455842"/>
    <n v="1.02"/>
    <n v="1.02"/>
    <n v="1.02"/>
    <n v="1.02"/>
    <n v="739.2557914936375"/>
    <n v="665.05194793091357"/>
    <n v="590.84810436818964"/>
    <n v="517.57180884999968"/>
    <n v="2512.7276526427404"/>
    <n v="1.02"/>
    <n v="1.02"/>
    <n v="1.02"/>
    <n v="1.02"/>
    <n v="1.02"/>
    <n v="1.02"/>
    <n v="1.02"/>
    <n v="1.02"/>
    <m/>
    <m/>
    <n v="1.0053261226599404"/>
    <m/>
    <n v="817.26981815517195"/>
    <n v="78.014026661534444"/>
    <m/>
    <m/>
    <n v="0.98416136218288908"/>
    <s v="Updated kit ISR"/>
    <n v="735.23520654612082"/>
    <n v="719.75657061883408"/>
    <n v="54.704622687920505"/>
    <m/>
    <m/>
    <n v="0.98416136218288908"/>
    <m/>
    <n v="639.44900346471036"/>
    <n v="48.60089909652072"/>
    <m/>
    <m/>
    <n v="0.98416136218288908"/>
    <m/>
    <n v="560.14528090001318"/>
    <n v="42.573472050013493"/>
    <n v="817.26981815517195"/>
    <n v="719.75657061883408"/>
    <n v="639.44900346471036"/>
    <n v="560.14528090001318"/>
    <n v="2736.6206731387292"/>
    <s v="NA"/>
    <m/>
  </r>
  <r>
    <s v="NSG"/>
    <x v="3"/>
    <x v="4"/>
    <s v="Core"/>
    <x v="7"/>
    <n v="0"/>
    <s v="SF"/>
    <x v="3"/>
    <s v="5.4.4"/>
    <s v="each"/>
    <n v="99"/>
    <n v="89"/>
    <n v="79"/>
    <n v="69"/>
    <s v="RS-HWE-LFFA-V12-230101"/>
    <m/>
    <n v="8.5936302377584592"/>
    <n v="8.5936302377584592"/>
    <n v="8.5936302377584592"/>
    <n v="8.5936302377584592"/>
    <n v="1.02"/>
    <n v="1.02"/>
    <n v="1.02"/>
    <n v="1.02"/>
    <n v="867.7847814088492"/>
    <n v="780.12975298371293"/>
    <n v="692.47472455857667"/>
    <n v="604.81969613344029"/>
    <n v="2945.208955084579"/>
    <n v="1.02"/>
    <n v="1.02"/>
    <n v="1.02"/>
    <n v="1.02"/>
    <n v="1.02"/>
    <n v="1.02"/>
    <n v="1.02"/>
    <n v="1.02"/>
    <m/>
    <m/>
    <n v="9.3447444487707685"/>
    <m/>
    <n v="943.63229443687214"/>
    <n v="75.847513028022945"/>
    <m/>
    <m/>
    <n v="9.148012986691386"/>
    <s v="Updated kit ISR"/>
    <n v="848.31590105941041"/>
    <n v="830.4566189318441"/>
    <n v="50.326865948131172"/>
    <m/>
    <m/>
    <n v="9.148012986691386"/>
    <m/>
    <n v="737.14688646759191"/>
    <n v="44.672161909015244"/>
    <m/>
    <m/>
    <n v="9.148012986691386"/>
    <m/>
    <n v="643.83715400333972"/>
    <n v="39.017457869899431"/>
    <n v="943.63229443687214"/>
    <n v="830.4566189318441"/>
    <n v="737.14688646759191"/>
    <n v="643.83715400333972"/>
    <n v="3155.0729538396481"/>
    <s v="NA"/>
    <m/>
  </r>
  <r>
    <s v="NSG"/>
    <x v="4"/>
    <x v="6"/>
    <s v="Whole Building - DI"/>
    <x v="4"/>
    <s v="DHW"/>
    <s v="MF"/>
    <x v="3"/>
    <s v="5.4.1"/>
    <s v="ft"/>
    <n v="45"/>
    <n v="45"/>
    <n v="45"/>
    <n v="45"/>
    <s v="RS-HWE-PINS-V06-230101"/>
    <m/>
    <n v="0.88266670517205537"/>
    <n v="0.88266670517205537"/>
    <n v="0.88266670517205537"/>
    <n v="0.88266670517205537"/>
    <n v="1"/>
    <n v="1"/>
    <n v="1"/>
    <n v="1"/>
    <n v="39.720001732742489"/>
    <n v="39.720001732742489"/>
    <n v="39.720001732742489"/>
    <n v="39.720001732742489"/>
    <n v="158.88000693096996"/>
    <n v="1"/>
    <n v="1"/>
    <n v="1"/>
    <n v="1"/>
    <n v="1"/>
    <n v="1"/>
    <n v="1"/>
    <n v="1"/>
    <m/>
    <m/>
    <n v="2.4087097696290445"/>
    <m/>
    <n v="108.391939633307"/>
    <n v="68.671937900564515"/>
    <m/>
    <m/>
    <n v="2.4087097696290445"/>
    <s v="Updated kit ISR"/>
    <n v="108.391939633307"/>
    <n v="108.391939633307"/>
    <n v="68.671937900564515"/>
    <m/>
    <m/>
    <n v="2.4087097696290445"/>
    <m/>
    <n v="108.391939633307"/>
    <n v="68.671937900564515"/>
    <m/>
    <m/>
    <n v="2.4087097696290445"/>
    <m/>
    <n v="108.391939633307"/>
    <n v="68.671937900564515"/>
    <n v="108.391939633307"/>
    <n v="108.391939633307"/>
    <n v="108.391939633307"/>
    <n v="108.391939633307"/>
    <n v="433.56775853322802"/>
    <s v="NA"/>
    <m/>
  </r>
  <r>
    <s v="NSG"/>
    <x v="4"/>
    <x v="6"/>
    <s v="Whole Building - Public Housing"/>
    <x v="4"/>
    <s v="DHW"/>
    <s v="MF"/>
    <x v="3"/>
    <s v="5.4.1"/>
    <s v="each"/>
    <n v="45"/>
    <n v="45"/>
    <n v="45"/>
    <n v="45"/>
    <s v="RS-HWE-PINS-V06-230101"/>
    <m/>
    <n v="0.88266670517205537"/>
    <n v="0.88266670517205537"/>
    <n v="0.88266670517205537"/>
    <n v="0.88266670517205537"/>
    <n v="1"/>
    <n v="1"/>
    <n v="1"/>
    <n v="1"/>
    <n v="39.720001732742489"/>
    <n v="39.720001732742489"/>
    <n v="39.720001732742489"/>
    <n v="39.720001732742489"/>
    <n v="158.88000693096996"/>
    <n v="1"/>
    <n v="1"/>
    <n v="1"/>
    <n v="1"/>
    <n v="1"/>
    <n v="1"/>
    <n v="1"/>
    <n v="1"/>
    <m/>
    <m/>
    <n v="2.4087097696290445"/>
    <m/>
    <n v="108.391939633307"/>
    <n v="68.671937900564515"/>
    <m/>
    <m/>
    <n v="2.4087097696290445"/>
    <s v="Updated kit ISR"/>
    <n v="108.391939633307"/>
    <n v="108.391939633307"/>
    <n v="68.671937900564515"/>
    <m/>
    <m/>
    <n v="2.4087097696290445"/>
    <m/>
    <n v="108.391939633307"/>
    <n v="68.671937900564515"/>
    <m/>
    <m/>
    <n v="2.4087097696290445"/>
    <m/>
    <n v="108.391939633307"/>
    <n v="68.671937900564515"/>
    <n v="108.391939633307"/>
    <n v="108.391939633307"/>
    <n v="108.391939633307"/>
    <n v="108.391939633307"/>
    <n v="433.56775853322802"/>
    <s v="NA"/>
    <m/>
  </r>
  <r>
    <s v="NSG"/>
    <x v="3"/>
    <x v="3"/>
    <s v="Standard Rebate"/>
    <x v="13"/>
    <n v="0"/>
    <s v="SF"/>
    <x v="3"/>
    <s v="5.4.2"/>
    <s v="each"/>
    <n v="30"/>
    <n v="20"/>
    <n v="10"/>
    <n v="5"/>
    <s v="RS-HWE-GWHT-V10-220101"/>
    <m/>
    <n v="64.074938492834164"/>
    <n v="64.074938492834164"/>
    <n v="64.074938492834164"/>
    <n v="64.074938492834164"/>
    <n v="0.74"/>
    <n v="0.74"/>
    <n v="0.74"/>
    <n v="0.74"/>
    <n v="1422.4636345409185"/>
    <n v="948.30908969394568"/>
    <n v="474.15454484697284"/>
    <n v="237.07727242348642"/>
    <n v="3082.0045415053237"/>
    <n v="0.74"/>
    <n v="0.74"/>
    <n v="0.74"/>
    <n v="0.74"/>
    <n v="0.74"/>
    <n v="0.74"/>
    <n v="0.74"/>
    <n v="0.74"/>
    <m/>
    <m/>
    <n v="67.053069436867304"/>
    <m/>
    <n v="1488.5781414984542"/>
    <n v="66.114506957535696"/>
    <m/>
    <m/>
    <n v="67.053069436867304"/>
    <s v="n/a"/>
    <n v="992.38542766563603"/>
    <n v="992.38542766563603"/>
    <n v="44.07633797169035"/>
    <m/>
    <m/>
    <n v="67.053069436867304"/>
    <m/>
    <n v="496.19271383281801"/>
    <n v="22.038168985845175"/>
    <m/>
    <m/>
    <n v="67.053069436867304"/>
    <m/>
    <n v="248.09635691640901"/>
    <n v="11.019084492922588"/>
    <n v="1488.5781414984542"/>
    <n v="992.38542766563603"/>
    <n v="496.19271383281801"/>
    <n v="248.09635691640901"/>
    <n v="3225.2526399133171"/>
    <s v="NA"/>
    <m/>
  </r>
  <r>
    <s v="NSG"/>
    <x v="4"/>
    <x v="6"/>
    <s v="IE Kits"/>
    <x v="7"/>
    <s v="IE Kit"/>
    <s v="IE"/>
    <x v="3"/>
    <s v="5.4.4"/>
    <s v="each"/>
    <n v="140"/>
    <n v="140"/>
    <n v="140"/>
    <n v="140"/>
    <s v="RS-HWE-LFFA-V12-230101"/>
    <m/>
    <n v="4.9752596113338461"/>
    <n v="4.9752596113338461"/>
    <n v="4.9752596113338461"/>
    <n v="4.9752596113338461"/>
    <n v="1"/>
    <n v="1"/>
    <n v="1"/>
    <n v="1"/>
    <n v="696.53634558673843"/>
    <n v="696.53634558673843"/>
    <n v="696.53634558673843"/>
    <n v="696.53634558673843"/>
    <n v="2786.1453823469537"/>
    <n v="1"/>
    <n v="1"/>
    <n v="1"/>
    <n v="1"/>
    <n v="1"/>
    <n v="1"/>
    <n v="1"/>
    <n v="1"/>
    <m/>
    <m/>
    <n v="5.4101152071830771"/>
    <m/>
    <n v="757.41612900563075"/>
    <n v="60.879783418892316"/>
    <m/>
    <m/>
    <n v="5.4101152071830771"/>
    <s v="Updated kit ISR"/>
    <n v="757.41612900563075"/>
    <n v="757.41612900563075"/>
    <n v="60.879783418892316"/>
    <m/>
    <m/>
    <n v="5.4101152071830771"/>
    <m/>
    <n v="757.41612900563075"/>
    <n v="60.879783418892316"/>
    <m/>
    <m/>
    <n v="5.4101152071830771"/>
    <m/>
    <n v="757.41612900563075"/>
    <n v="60.879783418892316"/>
    <n v="757.41612900563075"/>
    <n v="757.41612900563075"/>
    <n v="757.41612900563075"/>
    <n v="757.41612900563075"/>
    <n v="3029.664516022523"/>
    <s v="NA"/>
    <m/>
  </r>
  <r>
    <s v="NSG"/>
    <x v="5"/>
    <x v="9"/>
    <s v="Rebates"/>
    <x v="12"/>
    <s v="≥75 MBH, ≥88% TE "/>
    <s v="CI"/>
    <x v="3"/>
    <s v="4.3.1"/>
    <s v="MBH"/>
    <n v="500"/>
    <n v="500"/>
    <n v="500"/>
    <n v="500"/>
    <s v="CI-HWE-STWH-V09-230101"/>
    <m/>
    <n v="2.4977693963210257"/>
    <n v="2.4977693963210257"/>
    <n v="2.4977693963210257"/>
    <n v="2.4977693963210257"/>
    <n v="0.92"/>
    <n v="0.92"/>
    <n v="0.92"/>
    <n v="0.92"/>
    <n v="1148.973922307672"/>
    <n v="1148.973922307672"/>
    <n v="1148.973922307672"/>
    <n v="1148.973922307672"/>
    <n v="4595.8956892306878"/>
    <n v="0.92"/>
    <n v="0.92"/>
    <n v="0.92"/>
    <n v="0.92"/>
    <n v="0.92"/>
    <n v="0.92"/>
    <n v="0.92"/>
    <n v="0.92"/>
    <m/>
    <m/>
    <n v="2.6035838480037183"/>
    <m/>
    <n v="1197.6485700817104"/>
    <n v="48.674647774038476"/>
    <m/>
    <m/>
    <n v="2.6035838480037183"/>
    <s v="n/a"/>
    <n v="1197.6485700817104"/>
    <n v="1197.6485700817104"/>
    <n v="48.674647774038476"/>
    <m/>
    <m/>
    <n v="2.6035838480037183"/>
    <m/>
    <n v="1197.6485700817104"/>
    <n v="48.674647774038476"/>
    <m/>
    <m/>
    <n v="2.6035838480037183"/>
    <m/>
    <n v="1197.6485700817104"/>
    <n v="48.674647774038476"/>
    <n v="1197.6485700817104"/>
    <n v="1197.6485700817104"/>
    <n v="1197.6485700817104"/>
    <n v="1197.6485700817104"/>
    <n v="4790.5942803268417"/>
    <s v="NA"/>
    <m/>
  </r>
  <r>
    <s v="NSG"/>
    <x v="5"/>
    <x v="10"/>
    <s v="Upstream Rebate"/>
    <x v="14"/>
    <n v="0"/>
    <s v="CI"/>
    <x v="3"/>
    <s v="4.2.7"/>
    <s v="each"/>
    <n v="12"/>
    <n v="16"/>
    <n v="20"/>
    <n v="26"/>
    <s v="CI-FSE-ESFR-V04-230101"/>
    <m/>
    <n v="507.89818681318684"/>
    <n v="507.89818681318684"/>
    <n v="507.89818681318684"/>
    <n v="507.89818681318684"/>
    <n v="0.8"/>
    <n v="0.8"/>
    <n v="0.8"/>
    <n v="0.8"/>
    <n v="4875.822593406594"/>
    <n v="6501.0967912087917"/>
    <n v="8126.3709890109894"/>
    <n v="10564.282285714287"/>
    <n v="30067.572659340665"/>
    <n v="0.8"/>
    <n v="0.8"/>
    <n v="0.8"/>
    <n v="0.8"/>
    <n v="0.8"/>
    <n v="0.8"/>
    <n v="0.8"/>
    <n v="0.8"/>
    <m/>
    <m/>
    <n v="512.46381181318702"/>
    <m/>
    <n v="4919.6525934065958"/>
    <n v="43.830000000001746"/>
    <m/>
    <m/>
    <n v="512.46381181318702"/>
    <s v="Applies to electrification only."/>
    <n v="6559.5367912087941"/>
    <n v="6559.5367912087941"/>
    <n v="58.440000000002328"/>
    <m/>
    <m/>
    <n v="512.46381181318702"/>
    <m/>
    <n v="8199.4209890109923"/>
    <n v="73.05000000000291"/>
    <m/>
    <m/>
    <n v="512.46381181318702"/>
    <m/>
    <n v="10659.247285714291"/>
    <n v="94.965000000003783"/>
    <n v="4919.6525934065958"/>
    <n v="6559.5367912087941"/>
    <n v="8199.4209890109923"/>
    <n v="10659.247285714291"/>
    <n v="30337.857659340676"/>
    <s v="NA"/>
    <m/>
  </r>
  <r>
    <s v="NSG"/>
    <x v="4"/>
    <x v="6"/>
    <s v="IE Kits"/>
    <x v="9"/>
    <s v="IE Kit"/>
    <s v="IE"/>
    <x v="3"/>
    <s v="5.4.9"/>
    <s v="each"/>
    <n v="140"/>
    <n v="140"/>
    <n v="140"/>
    <n v="140"/>
    <s v="RS-DHW-SHTM-V05-230101"/>
    <m/>
    <n v="3.7072463788108796"/>
    <n v="3.7072463788108796"/>
    <n v="3.7072463788108796"/>
    <n v="3.7072463788108796"/>
    <n v="1"/>
    <n v="1"/>
    <n v="1"/>
    <n v="1"/>
    <n v="519.01449303352319"/>
    <n v="519.01449303352319"/>
    <n v="519.01449303352319"/>
    <n v="519.01449303352319"/>
    <n v="2076.0579721340928"/>
    <n v="1"/>
    <n v="1"/>
    <n v="1"/>
    <n v="1"/>
    <n v="1"/>
    <n v="1"/>
    <n v="1"/>
    <n v="1"/>
    <m/>
    <m/>
    <n v="3.9749540034683961"/>
    <m/>
    <n v="556.49356048557547"/>
    <n v="37.479067452052277"/>
    <m/>
    <m/>
    <n v="3.9749540034683961"/>
    <s v="No savings impacts with existing measure assumptions."/>
    <n v="556.49356048557547"/>
    <n v="556.49356048557547"/>
    <n v="37.479067452052277"/>
    <m/>
    <m/>
    <n v="3.9749540034683961"/>
    <m/>
    <n v="556.49356048557547"/>
    <n v="37.479067452052277"/>
    <m/>
    <m/>
    <n v="3.9749540034683961"/>
    <m/>
    <n v="556.49356048557547"/>
    <n v="37.479067452052277"/>
    <n v="556.49356048557547"/>
    <n v="556.49356048557547"/>
    <n v="556.49356048557547"/>
    <n v="556.49356048557547"/>
    <n v="2225.9742419423019"/>
    <s v="NA"/>
    <m/>
  </r>
  <r>
    <s v="NSG"/>
    <x v="3"/>
    <x v="4"/>
    <s v="Core"/>
    <x v="4"/>
    <s v="Boiler"/>
    <s v="SF"/>
    <x v="3"/>
    <s v="5.3.2"/>
    <s v="Feet"/>
    <n v="93"/>
    <n v="84"/>
    <n v="75"/>
    <n v="66"/>
    <s v="RS-HWE-PINS-V06-230101"/>
    <m/>
    <n v="0.63522312995661756"/>
    <n v="0.63522312995661756"/>
    <n v="0.63522312995661756"/>
    <n v="0.63522312995661756"/>
    <n v="0.88"/>
    <n v="0.88"/>
    <n v="0.88"/>
    <n v="0.88"/>
    <n v="51.986660955649583"/>
    <n v="46.955693766393168"/>
    <n v="41.924726577136759"/>
    <n v="36.893759387880351"/>
    <n v="177.76084068705987"/>
    <n v="0.88"/>
    <n v="0.88"/>
    <n v="0.88"/>
    <n v="0.88"/>
    <n v="0.88"/>
    <n v="0.88"/>
    <n v="0.88"/>
    <n v="0.88"/>
    <m/>
    <m/>
    <n v="1.0111854839419214"/>
    <m/>
    <n v="82.755420005806855"/>
    <n v="30.768759050157271"/>
    <m/>
    <m/>
    <n v="1.0111854839419214"/>
    <s v="n/a"/>
    <n v="74.746830972986842"/>
    <n v="74.746830972986842"/>
    <n v="27.791137206593675"/>
    <m/>
    <m/>
    <n v="1.0111854839419214"/>
    <m/>
    <n v="66.738241940166816"/>
    <n v="24.813515363030056"/>
    <m/>
    <m/>
    <n v="1.0111854839419214"/>
    <m/>
    <n v="58.729652907346797"/>
    <n v="21.835893519466445"/>
    <n v="82.755420005806855"/>
    <n v="74.746830972986842"/>
    <n v="66.738241940166816"/>
    <n v="58.729652907346797"/>
    <n v="282.97014582630732"/>
    <s v="NA"/>
    <m/>
  </r>
  <r>
    <s v="NSG"/>
    <x v="4"/>
    <x v="5"/>
    <s v="IHWAP"/>
    <x v="12"/>
    <s v="Storage 0.67 EF"/>
    <s v="SF"/>
    <x v="3"/>
    <s v="5.4.2"/>
    <s v="each"/>
    <n v="29"/>
    <n v="31"/>
    <n v="40"/>
    <n v="43"/>
    <s v="RS-HWE-GWHT-V10-220101"/>
    <m/>
    <n v="22.454907874999904"/>
    <n v="22.454907874999904"/>
    <n v="22.454907874999904"/>
    <n v="22.454907874999904"/>
    <n v="1"/>
    <n v="1"/>
    <n v="1"/>
    <n v="1"/>
    <n v="651.19232837499726"/>
    <n v="696.10214412499704"/>
    <n v="898.19631499999616"/>
    <n v="965.56103862499583"/>
    <n v="3211.0518261249863"/>
    <n v="1"/>
    <n v="1"/>
    <n v="1"/>
    <n v="1"/>
    <n v="1"/>
    <n v="1"/>
    <n v="1"/>
    <n v="1"/>
    <m/>
    <m/>
    <n v="23.498586691725251"/>
    <m/>
    <n v="681.45901406003225"/>
    <n v="30.266685685034986"/>
    <m/>
    <m/>
    <n v="23.498586691725251"/>
    <s v="n/a"/>
    <n v="728.4561874434828"/>
    <n v="728.4561874434828"/>
    <n v="32.354043318485765"/>
    <m/>
    <m/>
    <n v="23.498586691725251"/>
    <m/>
    <n v="939.94346766901003"/>
    <n v="41.747152669013872"/>
    <m/>
    <m/>
    <n v="23.498586691725251"/>
    <m/>
    <n v="1010.4392277441858"/>
    <n v="44.878189119189983"/>
    <n v="681.45901406003225"/>
    <n v="728.4561874434828"/>
    <n v="939.94346766901003"/>
    <n v="1010.4392277441858"/>
    <n v="3360.2978969167107"/>
    <s v="NA"/>
    <m/>
  </r>
  <r>
    <s v="NSG"/>
    <x v="4"/>
    <x v="6"/>
    <s v="MF IHWAP"/>
    <x v="5"/>
    <n v="0"/>
    <s v="MF"/>
    <x v="3"/>
    <s v="5.4.5"/>
    <s v="each"/>
    <n v="36"/>
    <n v="45"/>
    <n v="81"/>
    <n v="90"/>
    <s v="RS-HWE-LFSH-V11-230101"/>
    <m/>
    <n v="11.319060638969999"/>
    <n v="11.319060638969999"/>
    <n v="11.319060638969999"/>
    <n v="11.319060638969999"/>
    <n v="1"/>
    <n v="1"/>
    <n v="1"/>
    <n v="1"/>
    <n v="407.48618300291997"/>
    <n v="509.35772875364995"/>
    <n v="916.84391175656992"/>
    <n v="1018.7154575072999"/>
    <n v="2852.4032810204399"/>
    <n v="1"/>
    <n v="1"/>
    <n v="1"/>
    <n v="1"/>
    <n v="1"/>
    <n v="1"/>
    <n v="1"/>
    <n v="1"/>
    <m/>
    <m/>
    <n v="12.139632199151192"/>
    <m/>
    <n v="437.02675916944293"/>
    <n v="29.540576166522953"/>
    <m/>
    <m/>
    <n v="12.26741780124752"/>
    <s v="Updated kit ISR"/>
    <n v="546.28344896180363"/>
    <n v="552.03380105613837"/>
    <n v="42.676072302488421"/>
    <m/>
    <m/>
    <n v="12.26741780124752"/>
    <m/>
    <n v="993.66084190104914"/>
    <n v="76.816930144479215"/>
    <m/>
    <m/>
    <n v="12.26741780124752"/>
    <m/>
    <n v="1104.0676021122767"/>
    <n v="85.352144604976843"/>
    <n v="437.02675916944293"/>
    <n v="552.03380105613837"/>
    <n v="993.66084190104914"/>
    <n v="1104.0676021122767"/>
    <n v="3086.7890042389072"/>
    <s v="NA"/>
    <m/>
  </r>
  <r>
    <s v="NSG"/>
    <x v="4"/>
    <x v="6"/>
    <s v="Whole Building - Public Housing"/>
    <x v="5"/>
    <n v="0"/>
    <s v="MF"/>
    <x v="3"/>
    <s v="5.4.5"/>
    <s v="each"/>
    <n v="36"/>
    <n v="36"/>
    <n v="36"/>
    <n v="36"/>
    <s v="RS-HWE-LFSH-V11-230101"/>
    <m/>
    <n v="11.319060638969999"/>
    <n v="11.319060638969999"/>
    <n v="11.319060638969999"/>
    <n v="11.319060638969999"/>
    <n v="1"/>
    <n v="1"/>
    <n v="1"/>
    <n v="1"/>
    <n v="407.48618300291997"/>
    <n v="407.48618300291997"/>
    <n v="407.48618300291997"/>
    <n v="407.48618300291997"/>
    <n v="1629.9447320116799"/>
    <n v="1"/>
    <n v="1"/>
    <n v="1"/>
    <n v="1"/>
    <n v="1"/>
    <n v="1"/>
    <n v="1"/>
    <n v="1"/>
    <m/>
    <m/>
    <n v="12.139632199151192"/>
    <m/>
    <n v="437.02675916944293"/>
    <n v="29.540576166522953"/>
    <m/>
    <m/>
    <n v="12.26741780124752"/>
    <s v="Updated kit ISR"/>
    <n v="437.02675916944293"/>
    <n v="441.62704084491071"/>
    <n v="34.140857841990737"/>
    <m/>
    <m/>
    <n v="12.26741780124752"/>
    <m/>
    <n v="441.62704084491071"/>
    <n v="34.140857841990737"/>
    <m/>
    <m/>
    <n v="12.26741780124752"/>
    <m/>
    <n v="441.62704084491071"/>
    <n v="34.140857841990737"/>
    <n v="437.02675916944293"/>
    <n v="441.62704084491071"/>
    <n v="441.62704084491071"/>
    <n v="441.62704084491071"/>
    <n v="1761.907881704175"/>
    <s v="NA"/>
    <m/>
  </r>
  <r>
    <s v="NSG"/>
    <x v="4"/>
    <x v="6"/>
    <s v="MF IHWAP"/>
    <x v="7"/>
    <n v="0"/>
    <s v="MF"/>
    <x v="3"/>
    <s v="5.4.4"/>
    <s v="each"/>
    <n v="36"/>
    <n v="45"/>
    <n v="81"/>
    <n v="90"/>
    <s v="RS-HWE-LFFA-V12-230101"/>
    <m/>
    <n v="7.8612856931203403"/>
    <n v="7.8612856931203403"/>
    <n v="7.8612856931203403"/>
    <n v="7.8612856931203403"/>
    <n v="1"/>
    <n v="1"/>
    <n v="1"/>
    <n v="1"/>
    <n v="283.00628495233224"/>
    <n v="353.75785619041534"/>
    <n v="636.76414114274758"/>
    <n v="707.51571238083068"/>
    <n v="1981.0439946663259"/>
    <n v="1"/>
    <n v="1"/>
    <n v="1"/>
    <n v="1"/>
    <n v="1"/>
    <n v="1"/>
    <n v="1"/>
    <n v="1"/>
    <m/>
    <m/>
    <n v="8.5483903552439671"/>
    <m/>
    <n v="307.74205278878281"/>
    <n v="24.735767836450577"/>
    <m/>
    <m/>
    <n v="8.7362670663482316"/>
    <s v="Updated kit ISR"/>
    <n v="384.6775659859785"/>
    <n v="393.13201798567042"/>
    <n v="39.374161795255077"/>
    <m/>
    <m/>
    <n v="8.7362670663482316"/>
    <m/>
    <n v="707.63763237420676"/>
    <n v="70.873491231459184"/>
    <m/>
    <m/>
    <n v="8.7362670663482316"/>
    <m/>
    <n v="786.26403597134083"/>
    <n v="78.748323590510154"/>
    <n v="307.74205278878281"/>
    <n v="393.13201798567042"/>
    <n v="707.63763237420676"/>
    <n v="786.26403597134083"/>
    <n v="2194.7757391200007"/>
    <s v="NA"/>
    <m/>
  </r>
  <r>
    <s v="NSG"/>
    <x v="5"/>
    <x v="7"/>
    <s v="Partner Trade Ally Rebate"/>
    <x v="12"/>
    <s v="≥75 MBH, ≥88% TE "/>
    <s v="CI"/>
    <x v="3"/>
    <s v="4.3.1"/>
    <s v="MBH"/>
    <n v="250"/>
    <n v="250"/>
    <n v="250"/>
    <n v="250"/>
    <s v="CI-HWE-STWH-V09-230101"/>
    <m/>
    <n v="2.4977693963210257"/>
    <n v="2.4977693963210257"/>
    <n v="2.4977693963210257"/>
    <n v="2.4977693963210257"/>
    <n v="0.93"/>
    <n v="0.93"/>
    <n v="0.93"/>
    <n v="0.93"/>
    <n v="580.73138464463852"/>
    <n v="580.73138464463852"/>
    <n v="580.73138464463852"/>
    <n v="580.73138464463852"/>
    <n v="2322.9255385785541"/>
    <n v="0.93"/>
    <n v="0.93"/>
    <n v="0.93"/>
    <n v="0.93"/>
    <n v="0.93"/>
    <n v="0.93"/>
    <n v="0.93"/>
    <n v="0.93"/>
    <m/>
    <m/>
    <n v="2.6035838480037183"/>
    <m/>
    <n v="605.33324466086447"/>
    <n v="24.601860016225942"/>
    <m/>
    <m/>
    <n v="2.6035838480037183"/>
    <s v="n/a"/>
    <n v="605.33324466086447"/>
    <n v="605.33324466086447"/>
    <n v="24.601860016225942"/>
    <m/>
    <m/>
    <n v="2.6035838480037183"/>
    <m/>
    <n v="605.33324466086447"/>
    <n v="24.601860016225942"/>
    <m/>
    <m/>
    <n v="2.6035838480037183"/>
    <m/>
    <n v="605.33324466086447"/>
    <n v="24.601860016225942"/>
    <n v="605.33324466086447"/>
    <n v="605.33324466086447"/>
    <n v="605.33324466086447"/>
    <n v="605.33324466086447"/>
    <n v="2421.3329786434579"/>
    <s v="NA"/>
    <m/>
  </r>
  <r>
    <s v="NSG"/>
    <x v="4"/>
    <x v="4"/>
    <s v="Core"/>
    <x v="5"/>
    <n v="0"/>
    <s v="SF"/>
    <x v="3"/>
    <s v="5.4.5"/>
    <s v="each"/>
    <n v="29"/>
    <n v="73"/>
    <n v="146"/>
    <n v="175"/>
    <s v="RS-HWE-LFSH-V11-230101"/>
    <m/>
    <n v="8.7892072937103034"/>
    <n v="8.7892072937103034"/>
    <n v="8.7892072937103034"/>
    <n v="8.7892072937103034"/>
    <n v="1"/>
    <n v="1"/>
    <n v="1"/>
    <n v="1"/>
    <n v="254.88701151759881"/>
    <n v="641.61213244085218"/>
    <n v="1283.2242648817044"/>
    <n v="1538.1112763993031"/>
    <n v="3717.8346852394588"/>
    <n v="1"/>
    <n v="1"/>
    <n v="1"/>
    <n v="1"/>
    <n v="1"/>
    <n v="1"/>
    <n v="1"/>
    <n v="1"/>
    <m/>
    <m/>
    <n v="9.4263779717191518"/>
    <m/>
    <n v="273.36496117985541"/>
    <n v="18.477949662256606"/>
    <m/>
    <m/>
    <n v="9.3291988173715321"/>
    <s v="Updated kit ISR"/>
    <n v="688.12559193549805"/>
    <n v="681.03151366812187"/>
    <n v="39.419381227269696"/>
    <m/>
    <m/>
    <n v="9.3291988173715321"/>
    <m/>
    <n v="1362.0630273362437"/>
    <n v="78.838762454539392"/>
    <m/>
    <m/>
    <n v="9.3291988173715321"/>
    <m/>
    <n v="1632.6097930400181"/>
    <n v="94.498516640715025"/>
    <n v="273.36496117985541"/>
    <n v="681.03151366812187"/>
    <n v="1362.0630273362437"/>
    <n v="1632.6097930400181"/>
    <n v="3949.0692952242389"/>
    <s v="NA"/>
    <m/>
  </r>
  <r>
    <s v="NSG"/>
    <x v="5"/>
    <x v="7"/>
    <s v="Assessments"/>
    <x v="5"/>
    <n v="0"/>
    <s v="CI"/>
    <x v="3"/>
    <s v="4.3.3"/>
    <s v="each"/>
    <n v="13"/>
    <n v="11"/>
    <n v="11"/>
    <n v="11"/>
    <s v="CI-HWE-LFSH-V09-230101"/>
    <m/>
    <n v="20.024378968229996"/>
    <n v="20.024378968229996"/>
    <n v="20.024378968229996"/>
    <n v="20.024378968229996"/>
    <n v="0.93"/>
    <n v="0.93"/>
    <n v="0.93"/>
    <n v="0.93"/>
    <n v="242.09474172590066"/>
    <n v="204.84939684499287"/>
    <n v="204.84939684499287"/>
    <n v="204.84939684499287"/>
    <n v="856.64293226087921"/>
    <n v="0.93"/>
    <n v="0.93"/>
    <n v="0.93"/>
    <n v="0.93"/>
    <n v="0.93"/>
    <n v="0.93"/>
    <n v="0.93"/>
    <n v="0.93"/>
    <m/>
    <m/>
    <n v="21.476039703666711"/>
    <m/>
    <n v="259.64532001733056"/>
    <n v="17.5505782914299"/>
    <m/>
    <m/>
    <n v="21.476039703666711"/>
    <s v="No savings impacts with existing measure assumptions."/>
    <n v="219.69988616851046"/>
    <n v="219.69988616851046"/>
    <n v="14.850489323517593"/>
    <m/>
    <m/>
    <n v="21.476039703666711"/>
    <m/>
    <n v="219.69988616851046"/>
    <n v="14.850489323517593"/>
    <m/>
    <m/>
    <n v="21.476039703666711"/>
    <m/>
    <n v="219.69988616851046"/>
    <n v="14.850489323517593"/>
    <n v="259.64532001733056"/>
    <n v="219.69988616851046"/>
    <n v="219.69988616851046"/>
    <n v="219.69988616851046"/>
    <n v="918.74497852286197"/>
    <s v="NA"/>
    <m/>
  </r>
  <r>
    <s v="NSG"/>
    <x v="4"/>
    <x v="5"/>
    <s v="IE Kits"/>
    <x v="15"/>
    <s v="IE Kit"/>
    <s v="IE"/>
    <x v="3"/>
    <s v="5.4.6"/>
    <s v="each"/>
    <n v="560"/>
    <n v="560"/>
    <n v="560"/>
    <n v="560"/>
    <s v="RS-HWE-TMPS-V08-210101"/>
    <m/>
    <n v="0.34965719653846161"/>
    <n v="0.34965719653846161"/>
    <n v="0.34965719653846161"/>
    <n v="0.34965719653846161"/>
    <n v="1"/>
    <n v="1"/>
    <n v="1"/>
    <n v="1"/>
    <n v="195.80803006153849"/>
    <n v="195.80803006153849"/>
    <n v="195.80803006153849"/>
    <n v="195.80803006153849"/>
    <n v="783.23212024615395"/>
    <n v="1"/>
    <n v="1"/>
    <n v="1"/>
    <n v="1"/>
    <n v="1"/>
    <n v="1"/>
    <n v="1"/>
    <n v="1"/>
    <m/>
    <m/>
    <n v="0.3761829148965517"/>
    <m/>
    <n v="210.66243234206894"/>
    <n v="14.854402280530451"/>
    <m/>
    <m/>
    <n v="0.3761829148965517"/>
    <s v="n/a"/>
    <n v="210.66243234206894"/>
    <n v="210.66243234206894"/>
    <n v="14.854402280530451"/>
    <m/>
    <m/>
    <n v="0.3761829148965517"/>
    <m/>
    <n v="210.66243234206894"/>
    <n v="14.854402280530451"/>
    <m/>
    <m/>
    <n v="0.3761829148965517"/>
    <m/>
    <n v="210.66243234206894"/>
    <n v="14.854402280530451"/>
    <n v="210.66243234206894"/>
    <n v="210.66243234206894"/>
    <n v="210.66243234206894"/>
    <n v="210.66243234206894"/>
    <n v="842.64972936827576"/>
    <s v="NA"/>
    <m/>
  </r>
  <r>
    <s v="NSG"/>
    <x v="4"/>
    <x v="5"/>
    <s v="IHWAP"/>
    <x v="7"/>
    <n v="0"/>
    <s v="SF"/>
    <x v="3"/>
    <s v="5.4.4"/>
    <s v="each"/>
    <n v="18"/>
    <n v="20"/>
    <n v="25"/>
    <n v="27"/>
    <s v="RS-HWE-LFFA-V12-230101"/>
    <m/>
    <n v="8.5936302377584592"/>
    <n v="8.5936302377584592"/>
    <n v="8.5936302377584592"/>
    <n v="8.5936302377584592"/>
    <n v="1"/>
    <n v="1"/>
    <n v="1"/>
    <n v="1"/>
    <n v="154.68534427965227"/>
    <n v="171.87260475516919"/>
    <n v="214.84075594396148"/>
    <n v="232.0280164194784"/>
    <n v="773.42672139826129"/>
    <n v="1"/>
    <n v="1"/>
    <n v="1"/>
    <n v="1"/>
    <n v="1"/>
    <n v="1"/>
    <n v="1"/>
    <n v="1"/>
    <m/>
    <m/>
    <n v="9.3447444487707685"/>
    <m/>
    <n v="168.20540007787383"/>
    <n v="13.520055798221563"/>
    <m/>
    <m/>
    <n v="9.148012986691386"/>
    <s v="Updated kit ISR"/>
    <n v="186.89488897541537"/>
    <n v="182.96025973382771"/>
    <n v="11.08765497865852"/>
    <m/>
    <m/>
    <n v="9.148012986691386"/>
    <m/>
    <n v="228.70032466728466"/>
    <n v="13.859568723323179"/>
    <m/>
    <m/>
    <n v="9.148012986691386"/>
    <m/>
    <n v="246.99635064066743"/>
    <n v="14.968334221189025"/>
    <n v="168.20540007787383"/>
    <n v="182.96025973382771"/>
    <n v="228.70032466728466"/>
    <n v="246.99635064066743"/>
    <n v="826.86233511965361"/>
    <s v="NA"/>
    <m/>
  </r>
  <r>
    <s v="NSG"/>
    <x v="5"/>
    <x v="7"/>
    <s v="Assessments"/>
    <x v="11"/>
    <n v="0"/>
    <s v="CI"/>
    <x v="3"/>
    <s v="4.3.2"/>
    <s v="each"/>
    <n v="20"/>
    <n v="17"/>
    <n v="17"/>
    <n v="16"/>
    <s v="CI-HWE-LFFA-V11-230101"/>
    <m/>
    <n v="6.1049460431654667"/>
    <n v="6.1049460431654667"/>
    <n v="6.1049460431654667"/>
    <n v="6.1049460431654667"/>
    <n v="0.93"/>
    <n v="0.93"/>
    <n v="0.93"/>
    <n v="0.93"/>
    <n v="113.55199640287768"/>
    <n v="96.51919694244603"/>
    <n v="96.51919694244603"/>
    <n v="90.841597122302147"/>
    <n v="397.43198741007188"/>
    <n v="0.93"/>
    <n v="0.93"/>
    <n v="0.93"/>
    <n v="0.93"/>
    <n v="0.93"/>
    <n v="0.93"/>
    <n v="0.93"/>
    <n v="0.93"/>
    <m/>
    <m/>
    <n v="6.7661870503597124"/>
    <m/>
    <n v="125.85107913669067"/>
    <n v="12.299082733812995"/>
    <m/>
    <m/>
    <n v="6.7661870503597124"/>
    <s v="No savings impacts with existing measure assumptions."/>
    <n v="106.97341726618707"/>
    <n v="106.97341726618707"/>
    <n v="10.45422032374104"/>
    <m/>
    <m/>
    <n v="6.7661870503597124"/>
    <m/>
    <n v="106.97341726618707"/>
    <n v="10.45422032374104"/>
    <m/>
    <m/>
    <n v="6.7661870503597124"/>
    <m/>
    <n v="100.68086330935253"/>
    <n v="9.8392661870503844"/>
    <n v="125.85107913669067"/>
    <n v="106.97341726618707"/>
    <n v="106.97341726618707"/>
    <n v="100.68086330935253"/>
    <n v="440.47877697841739"/>
    <s v="NA"/>
    <m/>
  </r>
  <r>
    <s v="NSG"/>
    <x v="4"/>
    <x v="5"/>
    <s v="IHWAP"/>
    <x v="5"/>
    <n v="0"/>
    <s v="SF"/>
    <x v="3"/>
    <s v="5.4.5"/>
    <s v="each"/>
    <n v="18"/>
    <n v="20"/>
    <n v="25"/>
    <n v="27"/>
    <s v="RS-HWE-LFSH-V11-230101"/>
    <m/>
    <n v="8.7892072937103034"/>
    <n v="8.7892072937103034"/>
    <n v="8.7892072937103034"/>
    <n v="8.7892072937103034"/>
    <n v="1"/>
    <n v="1"/>
    <n v="1"/>
    <n v="1"/>
    <n v="158.20573128678546"/>
    <n v="175.78414587420608"/>
    <n v="219.73018234275759"/>
    <n v="237.3085969301782"/>
    <n v="791.02865643392727"/>
    <n v="1"/>
    <n v="1"/>
    <n v="1"/>
    <n v="1"/>
    <n v="1"/>
    <n v="1"/>
    <n v="1"/>
    <n v="1"/>
    <m/>
    <m/>
    <n v="9.4263779717191518"/>
    <m/>
    <n v="169.67480349094473"/>
    <n v="11.469072204159261"/>
    <m/>
    <m/>
    <n v="9.3291988173715321"/>
    <s v="Updated kit ISR"/>
    <n v="188.52755943438302"/>
    <n v="186.58397634743065"/>
    <n v="10.799830473224574"/>
    <m/>
    <m/>
    <n v="9.3291988173715321"/>
    <m/>
    <n v="233.2299704342883"/>
    <n v="13.499788091530718"/>
    <m/>
    <m/>
    <n v="9.3291988173715321"/>
    <m/>
    <n v="251.88836806903137"/>
    <n v="14.579771138853175"/>
    <n v="169.67480349094473"/>
    <n v="186.58397634743065"/>
    <n v="233.2299704342883"/>
    <n v="251.88836806903137"/>
    <n v="841.37711834169511"/>
    <s v="NA"/>
    <m/>
  </r>
  <r>
    <s v="NSG"/>
    <x v="5"/>
    <x v="9"/>
    <s v="Rebates"/>
    <x v="12"/>
    <s v="Storage 88% TE ≥75MBh"/>
    <s v="CI"/>
    <x v="3"/>
    <s v="4.3.1"/>
    <s v="each"/>
    <n v="3"/>
    <n v="3"/>
    <n v="3"/>
    <n v="3"/>
    <s v="CI-HWE-STWH-V09-230101"/>
    <m/>
    <n v="135.66827090062347"/>
    <n v="135.66827090062347"/>
    <n v="135.66827090062347"/>
    <n v="135.66827090062347"/>
    <n v="0.92"/>
    <n v="0.92"/>
    <n v="0.92"/>
    <n v="0.92"/>
    <n v="374.44442768572077"/>
    <n v="374.44442768572077"/>
    <n v="374.44442768572077"/>
    <n v="374.44442768572077"/>
    <n v="1497.7777107428831"/>
    <n v="0.92"/>
    <n v="0.92"/>
    <n v="0.92"/>
    <n v="0.92"/>
    <n v="0.92"/>
    <n v="0.92"/>
    <n v="0.92"/>
    <n v="0.92"/>
    <m/>
    <m/>
    <n v="139.65886152562348"/>
    <m/>
    <n v="385.4584578107208"/>
    <n v="11.014030125000033"/>
    <m/>
    <m/>
    <n v="139.65886152562348"/>
    <s v="n/a"/>
    <n v="385.4584578107208"/>
    <n v="385.4584578107208"/>
    <n v="11.014030125000033"/>
    <m/>
    <m/>
    <n v="139.65886152562348"/>
    <m/>
    <n v="385.4584578107208"/>
    <n v="11.014030125000033"/>
    <m/>
    <m/>
    <n v="139.65886152562348"/>
    <m/>
    <n v="385.4584578107208"/>
    <n v="11.014030125000033"/>
    <n v="385.4584578107208"/>
    <n v="385.4584578107208"/>
    <n v="385.4584578107208"/>
    <n v="385.4584578107208"/>
    <n v="1541.8338312428832"/>
    <s v="NA"/>
    <m/>
  </r>
  <r>
    <s v="NSG"/>
    <x v="4"/>
    <x v="6"/>
    <s v="MF IHWAP"/>
    <x v="12"/>
    <s v="Storage 0.67 EF"/>
    <s v="MF"/>
    <x v="3"/>
    <s v="4.3.1"/>
    <s v="each"/>
    <n v="6"/>
    <n v="8"/>
    <n v="14"/>
    <n v="15"/>
    <s v="CI-HWE-STWH-V09-230101"/>
    <m/>
    <n v="35.435517834876244"/>
    <n v="35.435517834876244"/>
    <n v="35.435517834876244"/>
    <n v="35.435517834876244"/>
    <n v="1"/>
    <n v="1"/>
    <n v="1"/>
    <n v="1"/>
    <n v="212.61310700925748"/>
    <n v="283.48414267900995"/>
    <n v="496.09724968826742"/>
    <n v="531.53276752314366"/>
    <n v="1523.7272668996784"/>
    <n v="1"/>
    <n v="1"/>
    <n v="1"/>
    <n v="1"/>
    <n v="1"/>
    <n v="1"/>
    <n v="1"/>
    <n v="1"/>
    <m/>
    <m/>
    <n v="37.082520776497255"/>
    <m/>
    <n v="222.49512465898351"/>
    <n v="9.8820176497260377"/>
    <m/>
    <m/>
    <n v="36.883152385225763"/>
    <s v="n/a"/>
    <n v="296.66016621197804"/>
    <n v="295.06521908180611"/>
    <n v="11.581076402796157"/>
    <m/>
    <m/>
    <n v="36.883152385225763"/>
    <m/>
    <n v="516.36413339316073"/>
    <n v="20.266883704893303"/>
    <m/>
    <m/>
    <n v="36.883152385225763"/>
    <m/>
    <n v="553.24728577838641"/>
    <n v="21.714518255242751"/>
    <n v="222.49512465898351"/>
    <n v="295.06521908180611"/>
    <n v="516.36413339316073"/>
    <n v="553.24728577838641"/>
    <n v="1587.1717629123368"/>
    <s v="NA"/>
    <m/>
  </r>
  <r>
    <s v="NSG"/>
    <x v="4"/>
    <x v="6"/>
    <s v="Whole Building - DI"/>
    <x v="5"/>
    <n v="0"/>
    <s v="MF"/>
    <x v="3"/>
    <s v="5.4.5"/>
    <s v="each"/>
    <n v="12"/>
    <n v="12"/>
    <n v="12"/>
    <n v="12"/>
    <s v="RS-HWE-LFSH-V11-230101"/>
    <m/>
    <n v="11.319060638969999"/>
    <n v="11.319060638969999"/>
    <n v="11.319060638969999"/>
    <n v="11.319060638969999"/>
    <n v="1"/>
    <n v="1"/>
    <n v="1"/>
    <n v="1"/>
    <n v="135.82872766763998"/>
    <n v="135.82872766763998"/>
    <n v="135.82872766763998"/>
    <n v="135.82872766763998"/>
    <n v="543.31491067055993"/>
    <n v="1"/>
    <n v="1"/>
    <n v="1"/>
    <n v="1"/>
    <n v="1"/>
    <n v="1"/>
    <n v="1"/>
    <n v="1"/>
    <m/>
    <m/>
    <n v="12.139632199151192"/>
    <m/>
    <n v="145.6755863898143"/>
    <n v="9.8468587221743178"/>
    <m/>
    <m/>
    <n v="12.26741780124752"/>
    <s v="Updated kit ISR"/>
    <n v="145.6755863898143"/>
    <n v="147.20901361497025"/>
    <n v="11.380285947330265"/>
    <m/>
    <m/>
    <n v="12.26741780124752"/>
    <m/>
    <n v="147.20901361497025"/>
    <n v="11.380285947330265"/>
    <m/>
    <m/>
    <n v="12.26741780124752"/>
    <m/>
    <n v="147.20901361497025"/>
    <n v="11.380285947330265"/>
    <n v="145.6755863898143"/>
    <n v="147.20901361497025"/>
    <n v="147.20901361497025"/>
    <n v="147.20901361497025"/>
    <n v="587.30262723472504"/>
    <s v="NA"/>
    <m/>
  </r>
  <r>
    <s v="NSG"/>
    <x v="4"/>
    <x v="6"/>
    <s v="MF IHWAP"/>
    <x v="11"/>
    <n v="0"/>
    <s v="MF"/>
    <x v="3"/>
    <s v="5.4.4"/>
    <s v="each"/>
    <n v="36"/>
    <n v="45"/>
    <n v="81"/>
    <n v="90"/>
    <s v="RS-HWE-LFFA-V12-230101"/>
    <m/>
    <n v="1.5695120815920003"/>
    <n v="1.5695120815920003"/>
    <n v="1.5695120815920003"/>
    <n v="1.5695120815920003"/>
    <n v="1"/>
    <n v="1"/>
    <n v="1"/>
    <n v="1"/>
    <n v="56.50243493731201"/>
    <n v="70.628043671640015"/>
    <n v="127.13047860895202"/>
    <n v="141.25608734328003"/>
    <n v="395.51704456118409"/>
    <n v="1"/>
    <n v="1"/>
    <n v="1"/>
    <n v="1"/>
    <n v="1"/>
    <n v="1"/>
    <n v="1"/>
    <n v="1"/>
    <m/>
    <m/>
    <n v="1.8113454036983285"/>
    <m/>
    <n v="65.208434533139823"/>
    <n v="8.7059995958278122"/>
    <m/>
    <m/>
    <n v="1.773211816252048"/>
    <s v="Updated kit ISR"/>
    <n v="81.510543166424782"/>
    <n v="79.794531731342161"/>
    <n v="9.1664880597021465"/>
    <m/>
    <m/>
    <n v="1.773211816252048"/>
    <m/>
    <n v="143.63015711641589"/>
    <n v="16.499678507463869"/>
    <m/>
    <m/>
    <n v="1.773211816252048"/>
    <m/>
    <n v="159.58906346268432"/>
    <n v="18.332976119404293"/>
    <n v="65.208434533139823"/>
    <n v="79.794531731342161"/>
    <n v="143.63015711641589"/>
    <n v="159.58906346268432"/>
    <n v="448.22218684358222"/>
    <s v="NA"/>
    <m/>
  </r>
  <r>
    <s v="NSG"/>
    <x v="4"/>
    <x v="6"/>
    <s v="Whole Building - DI"/>
    <x v="7"/>
    <n v="0"/>
    <s v="MF"/>
    <x v="3"/>
    <s v="5.4.4"/>
    <s v="each"/>
    <n v="12"/>
    <n v="12"/>
    <n v="12"/>
    <n v="12"/>
    <s v="RS-HWE-LFFA-V12-230101"/>
    <m/>
    <n v="7.8612856931203403"/>
    <n v="7.8612856931203403"/>
    <n v="7.8612856931203403"/>
    <n v="7.8612856931203403"/>
    <n v="1"/>
    <n v="1"/>
    <n v="1"/>
    <n v="1"/>
    <n v="94.335428317444084"/>
    <n v="94.335428317444084"/>
    <n v="94.335428317444084"/>
    <n v="94.335428317444084"/>
    <n v="377.34171326977633"/>
    <n v="1"/>
    <n v="1"/>
    <n v="1"/>
    <n v="1"/>
    <n v="1"/>
    <n v="1"/>
    <n v="1"/>
    <n v="1"/>
    <m/>
    <m/>
    <n v="8.5483903552439671"/>
    <m/>
    <n v="102.5806842629276"/>
    <n v="8.245255945483521"/>
    <m/>
    <m/>
    <n v="8.7362670663482316"/>
    <s v="Updated kit ISR"/>
    <n v="102.5806842629276"/>
    <n v="104.83520479617877"/>
    <n v="10.499776478734688"/>
    <m/>
    <m/>
    <n v="8.7362670663482316"/>
    <m/>
    <n v="104.83520479617877"/>
    <n v="10.499776478734688"/>
    <m/>
    <m/>
    <n v="8.7362670663482316"/>
    <m/>
    <n v="104.83520479617877"/>
    <n v="10.499776478734688"/>
    <n v="102.5806842629276"/>
    <n v="104.83520479617877"/>
    <n v="104.83520479617877"/>
    <n v="104.83520479617877"/>
    <n v="417.08629865146395"/>
    <s v="NA"/>
    <m/>
  </r>
  <r>
    <s v="NSG"/>
    <x v="4"/>
    <x v="6"/>
    <s v="Whole Building - Public Housing"/>
    <x v="7"/>
    <n v="0"/>
    <s v="MF"/>
    <x v="3"/>
    <s v="5.4.4"/>
    <s v="each"/>
    <n v="12"/>
    <n v="12"/>
    <n v="12"/>
    <n v="12"/>
    <s v="RS-HWE-LFFA-V12-230101"/>
    <m/>
    <n v="7.8612856931203403"/>
    <n v="7.8612856931203403"/>
    <n v="7.8612856931203403"/>
    <n v="7.8612856931203403"/>
    <n v="1"/>
    <n v="1"/>
    <n v="1"/>
    <n v="1"/>
    <n v="94.335428317444084"/>
    <n v="94.335428317444084"/>
    <n v="94.335428317444084"/>
    <n v="94.335428317444084"/>
    <n v="377.34171326977633"/>
    <n v="1"/>
    <n v="1"/>
    <n v="1"/>
    <n v="1"/>
    <n v="1"/>
    <n v="1"/>
    <n v="1"/>
    <n v="1"/>
    <m/>
    <m/>
    <n v="8.5483903552439671"/>
    <m/>
    <n v="102.5806842629276"/>
    <n v="8.245255945483521"/>
    <m/>
    <m/>
    <n v="8.7362670663482316"/>
    <s v="Updated kit ISR"/>
    <n v="102.5806842629276"/>
    <n v="104.83520479617877"/>
    <n v="10.499776478734688"/>
    <m/>
    <m/>
    <n v="8.7362670663482316"/>
    <m/>
    <n v="104.83520479617877"/>
    <n v="10.499776478734688"/>
    <m/>
    <m/>
    <n v="8.7362670663482316"/>
    <m/>
    <n v="104.83520479617877"/>
    <n v="10.499776478734688"/>
    <n v="102.5806842629276"/>
    <n v="104.83520479617877"/>
    <n v="104.83520479617877"/>
    <n v="104.83520479617877"/>
    <n v="417.08629865146395"/>
    <s v="NA"/>
    <m/>
  </r>
  <r>
    <s v="NSG"/>
    <x v="5"/>
    <x v="7"/>
    <s v="Assessments"/>
    <x v="7"/>
    <n v="0"/>
    <s v="CI"/>
    <x v="3"/>
    <s v="4.3.2"/>
    <s v="each"/>
    <n v="11"/>
    <n v="10"/>
    <n v="10"/>
    <n v="9"/>
    <s v="CI-HWE-LFFA-V11-230101"/>
    <m/>
    <n v="7.4428057553956828"/>
    <n v="7.4428057553956828"/>
    <n v="7.4428057553956828"/>
    <n v="7.4428057553956828"/>
    <n v="0.93"/>
    <n v="0.93"/>
    <n v="0.93"/>
    <n v="0.93"/>
    <n v="76.13990287769785"/>
    <n v="69.218093525179853"/>
    <n v="69.218093525179853"/>
    <n v="62.296284172661871"/>
    <n v="276.87237410071941"/>
    <n v="0.93"/>
    <n v="0.93"/>
    <n v="0.93"/>
    <n v="0.93"/>
    <n v="0.93"/>
    <n v="0.93"/>
    <n v="0.93"/>
    <n v="0.93"/>
    <m/>
    <m/>
    <n v="8.1501798561151073"/>
    <m/>
    <n v="83.376339928057547"/>
    <n v="7.2364370503596973"/>
    <m/>
    <m/>
    <n v="8.1501798561151073"/>
    <s v="No savings impacts with existing measure assumptions."/>
    <n v="75.796672661870502"/>
    <n v="75.796672661870502"/>
    <n v="6.5785791366906494"/>
    <m/>
    <m/>
    <n v="8.1501798561151073"/>
    <m/>
    <n v="75.796672661870502"/>
    <n v="6.5785791366906494"/>
    <m/>
    <m/>
    <n v="8.1501798561151073"/>
    <m/>
    <n v="68.217005395683444"/>
    <n v="5.9207212230215731"/>
    <n v="83.376339928057547"/>
    <n v="75.796672661870502"/>
    <n v="75.796672661870502"/>
    <n v="68.217005395683444"/>
    <n v="303.18669064748201"/>
    <s v="NA"/>
    <m/>
  </r>
  <r>
    <s v="NSG"/>
    <x v="4"/>
    <x v="5"/>
    <s v="IE Kits"/>
    <x v="11"/>
    <s v="IE Kit"/>
    <s v="IE"/>
    <x v="3"/>
    <s v="5.4.4"/>
    <s v="each"/>
    <n v="560"/>
    <n v="560"/>
    <n v="560"/>
    <n v="560"/>
    <s v="RS-HWE-LFFA-V12-230101"/>
    <m/>
    <n v="0.5904178513594347"/>
    <n v="0.5904178513594347"/>
    <n v="0.5904178513594347"/>
    <n v="0.5904178513594347"/>
    <n v="1"/>
    <n v="1"/>
    <n v="1"/>
    <n v="1"/>
    <n v="330.63399676128341"/>
    <n v="330.63399676128341"/>
    <n v="330.63399676128341"/>
    <n v="330.63399676128341"/>
    <n v="1322.5359870451337"/>
    <n v="1"/>
    <n v="1"/>
    <n v="1"/>
    <n v="1"/>
    <n v="1"/>
    <n v="1"/>
    <n v="1"/>
    <n v="1"/>
    <m/>
    <m/>
    <n v="0.60319567359596415"/>
    <m/>
    <n v="337.7895772137399"/>
    <n v="7.1555804524564905"/>
    <m/>
    <m/>
    <n v="0.60319567359596415"/>
    <s v="Updated kit ISR"/>
    <n v="337.7895772137399"/>
    <n v="337.7895772137399"/>
    <n v="7.1555804524564905"/>
    <m/>
    <m/>
    <n v="0.60319567359596415"/>
    <m/>
    <n v="337.7895772137399"/>
    <n v="7.1555804524564905"/>
    <m/>
    <m/>
    <n v="0.60319567359596415"/>
    <m/>
    <n v="337.7895772137399"/>
    <n v="7.1555804524564905"/>
    <n v="337.7895772137399"/>
    <n v="337.7895772137399"/>
    <n v="337.7895772137399"/>
    <n v="337.7895772137399"/>
    <n v="1351.1583088549596"/>
    <s v="NA"/>
    <m/>
  </r>
  <r>
    <s v="NSG"/>
    <x v="4"/>
    <x v="4"/>
    <s v="Leave Behind Kit"/>
    <x v="9"/>
    <n v="0"/>
    <s v="SF"/>
    <x v="3"/>
    <s v="5.4.9"/>
    <s v="each"/>
    <n v="25"/>
    <n v="63"/>
    <n v="126"/>
    <n v="151"/>
    <s v="RS-DHW-SHTM-V05-230101"/>
    <m/>
    <n v="3.7072463788108796"/>
    <n v="3.7072463788108796"/>
    <n v="3.7072463788108796"/>
    <n v="3.7072463788108796"/>
    <n v="1"/>
    <n v="1"/>
    <n v="1"/>
    <n v="1"/>
    <n v="92.681159470271993"/>
    <n v="233.55652186508541"/>
    <n v="467.11304373017083"/>
    <n v="559.79420320044278"/>
    <n v="1353.144928265971"/>
    <n v="1"/>
    <n v="1"/>
    <n v="1"/>
    <n v="1"/>
    <n v="1"/>
    <n v="1"/>
    <n v="1"/>
    <n v="1"/>
    <m/>
    <m/>
    <n v="3.9749540034683961"/>
    <m/>
    <n v="99.373850086709908"/>
    <n v="6.6926906164379147"/>
    <m/>
    <m/>
    <n v="3.9749540034683961"/>
    <s v="No savings impacts with existing measure assumptions."/>
    <n v="220.37144995228789"/>
    <n v="250.42210221850897"/>
    <n v="16.865580353423553"/>
    <m/>
    <m/>
    <n v="3.9749540034683961"/>
    <m/>
    <n v="500.84420443701794"/>
    <n v="33.731160706847106"/>
    <m/>
    <m/>
    <n v="3.9749540034683961"/>
    <m/>
    <n v="600.2180545237278"/>
    <n v="40.423851323285021"/>
    <n v="99.373850086709908"/>
    <n v="250.42210221850897"/>
    <n v="500.84420443701794"/>
    <n v="600.2180545237278"/>
    <n v="1450.8582112659647"/>
    <s v="NA"/>
    <m/>
  </r>
  <r>
    <s v="NSG"/>
    <x v="4"/>
    <x v="6"/>
    <s v="IE Kits"/>
    <x v="15"/>
    <s v="IE Kit"/>
    <s v="IE"/>
    <x v="3"/>
    <s v="5.4.6"/>
    <s v="each"/>
    <n v="140"/>
    <n v="140"/>
    <n v="140"/>
    <n v="140"/>
    <s v="RS-HWE-TMPS-V08-210101"/>
    <m/>
    <n v="0.34965719653846161"/>
    <n v="0.34965719653846161"/>
    <n v="0.34965719653846161"/>
    <n v="0.34965719653846161"/>
    <n v="1"/>
    <n v="1"/>
    <n v="1"/>
    <n v="1"/>
    <n v="48.952007515384622"/>
    <n v="48.952007515384622"/>
    <n v="48.952007515384622"/>
    <n v="48.952007515384622"/>
    <n v="195.80803006153849"/>
    <n v="1"/>
    <n v="1"/>
    <n v="1"/>
    <n v="1"/>
    <n v="1"/>
    <n v="1"/>
    <n v="1"/>
    <n v="1"/>
    <m/>
    <m/>
    <n v="0.3761829148965517"/>
    <m/>
    <n v="52.665608085517235"/>
    <n v="3.7136005701326127"/>
    <m/>
    <m/>
    <n v="0.3761829148965517"/>
    <s v="n/a"/>
    <n v="52.665608085517235"/>
    <n v="52.665608085517235"/>
    <n v="3.7136005701326127"/>
    <m/>
    <m/>
    <n v="0.3761829148965517"/>
    <m/>
    <n v="52.665608085517235"/>
    <n v="3.7136005701326127"/>
    <m/>
    <m/>
    <n v="0.3761829148965517"/>
    <m/>
    <n v="52.665608085517235"/>
    <n v="3.7136005701326127"/>
    <n v="52.665608085517235"/>
    <n v="52.665608085517235"/>
    <n v="52.665608085517235"/>
    <n v="52.665608085517235"/>
    <n v="210.66243234206894"/>
    <s v="NA"/>
    <m/>
  </r>
  <r>
    <s v="NSG"/>
    <x v="3"/>
    <x v="6"/>
    <s v="Partner Trade Ally Rebate"/>
    <x v="12"/>
    <s v="Storage 0.67 EF"/>
    <s v="MF"/>
    <x v="3"/>
    <s v="4.3.1"/>
    <s v="each"/>
    <n v="2"/>
    <n v="2"/>
    <n v="2"/>
    <n v="2"/>
    <s v="CI-HWE-STWH-V09-230101"/>
    <m/>
    <n v="35.435517834876244"/>
    <n v="35.435517834876244"/>
    <n v="35.435517834876244"/>
    <n v="35.435517834876244"/>
    <n v="0.87"/>
    <n v="0.87"/>
    <n v="0.87"/>
    <n v="0.87"/>
    <n v="61.657801032684667"/>
    <n v="61.657801032684667"/>
    <n v="61.657801032684667"/>
    <n v="61.657801032684667"/>
    <n v="246.63120413073867"/>
    <n v="0.87"/>
    <n v="0.87"/>
    <n v="0.87"/>
    <n v="0.87"/>
    <n v="0.87"/>
    <n v="0.87"/>
    <n v="0.87"/>
    <n v="0.87"/>
    <m/>
    <m/>
    <n v="37.082520776497255"/>
    <m/>
    <n v="64.523586151105221"/>
    <n v="2.8657851184205541"/>
    <m/>
    <m/>
    <n v="36.883152385225763"/>
    <s v="n/a"/>
    <n v="64.523586151105221"/>
    <n v="64.176685150292826"/>
    <n v="2.5188841176081596"/>
    <m/>
    <m/>
    <n v="36.883152385225763"/>
    <m/>
    <n v="64.176685150292826"/>
    <n v="2.5188841176081596"/>
    <m/>
    <m/>
    <n v="36.883152385225763"/>
    <m/>
    <n v="64.176685150292826"/>
    <n v="2.5188841176081596"/>
    <n v="64.523586151105221"/>
    <n v="64.176685150292826"/>
    <n v="64.176685150292826"/>
    <n v="64.176685150292826"/>
    <n v="257.05364160198371"/>
    <s v="NA"/>
    <m/>
  </r>
  <r>
    <s v="NSG"/>
    <x v="4"/>
    <x v="4"/>
    <s v="Core"/>
    <x v="7"/>
    <n v="0"/>
    <s v="SF"/>
    <x v="3"/>
    <s v="5.4.4"/>
    <s v="each"/>
    <n v="3"/>
    <n v="6"/>
    <n v="13"/>
    <n v="15"/>
    <s v="RS-HWE-LFFA-V12-230101"/>
    <m/>
    <n v="8.5936302377584592"/>
    <n v="8.5936302377584592"/>
    <n v="8.5936302377584592"/>
    <n v="8.5936302377584592"/>
    <n v="1"/>
    <n v="1"/>
    <n v="1"/>
    <n v="1"/>
    <n v="25.780890713275376"/>
    <n v="51.561781426550752"/>
    <n v="111.71719309085996"/>
    <n v="128.9044535663769"/>
    <n v="317.96431879706302"/>
    <n v="1"/>
    <n v="1"/>
    <n v="1"/>
    <n v="1"/>
    <n v="1"/>
    <n v="1"/>
    <n v="1"/>
    <n v="1"/>
    <m/>
    <m/>
    <n v="9.3447444487707685"/>
    <m/>
    <n v="28.034233346312305"/>
    <n v="2.2533426330369295"/>
    <m/>
    <m/>
    <n v="9.148012986691386"/>
    <s v="Updated kit ISR"/>
    <n v="56.068466692624611"/>
    <n v="54.888077920148319"/>
    <n v="3.3262964935975674"/>
    <m/>
    <m/>
    <n v="9.148012986691386"/>
    <m/>
    <n v="118.92416882698802"/>
    <n v="7.206975736128058"/>
    <m/>
    <m/>
    <n v="9.148012986691386"/>
    <m/>
    <n v="137.22019480037079"/>
    <n v="8.3157412339938901"/>
    <n v="28.034233346312305"/>
    <n v="54.888077920148319"/>
    <n v="118.92416882698802"/>
    <n v="137.22019480037079"/>
    <n v="339.06667489381942"/>
    <s v="NA"/>
    <m/>
  </r>
  <r>
    <s v="NSG"/>
    <x v="4"/>
    <x v="4"/>
    <s v="Core"/>
    <x v="11"/>
    <n v="0"/>
    <s v="SF"/>
    <x v="3"/>
    <s v="5.4.4"/>
    <s v="each"/>
    <n v="20"/>
    <n v="50"/>
    <n v="100"/>
    <n v="121"/>
    <s v="RS-HWE-LFFA-V12-230101"/>
    <m/>
    <n v="0.90936082797455842"/>
    <n v="0.90936082797455842"/>
    <n v="0.90936082797455842"/>
    <n v="0.90936082797455842"/>
    <n v="1"/>
    <n v="1"/>
    <n v="1"/>
    <n v="1"/>
    <n v="18.187216559491169"/>
    <n v="45.468041398727919"/>
    <n v="90.936082797455839"/>
    <n v="110.03266018492157"/>
    <n v="264.62400094059649"/>
    <n v="1"/>
    <n v="1"/>
    <n v="1"/>
    <n v="1"/>
    <n v="1"/>
    <n v="1"/>
    <n v="1"/>
    <n v="1"/>
    <m/>
    <m/>
    <n v="1.0053261226599404"/>
    <m/>
    <n v="20.106522453198806"/>
    <n v="1.9193058937076373"/>
    <m/>
    <m/>
    <n v="0.98416136218288908"/>
    <s v="Updated kit ISR"/>
    <n v="50.266306132997016"/>
    <n v="49.208068109144456"/>
    <n v="3.7400267104165366"/>
    <m/>
    <m/>
    <n v="0.98416136218288908"/>
    <m/>
    <n v="98.416136218288912"/>
    <n v="7.4800534208330731"/>
    <m/>
    <m/>
    <n v="0.98416136218288908"/>
    <m/>
    <n v="119.08352482412958"/>
    <n v="9.0508646392080152"/>
    <n v="20.106522453198806"/>
    <n v="49.208068109144456"/>
    <n v="98.416136218288912"/>
    <n v="119.08352482412958"/>
    <n v="286.81425160476175"/>
    <s v="NA"/>
    <m/>
  </r>
  <r>
    <s v="NSG"/>
    <x v="4"/>
    <x v="6"/>
    <s v="IE Kits"/>
    <x v="11"/>
    <s v="IE Kit"/>
    <s v="IE"/>
    <x v="3"/>
    <s v="5.4.4"/>
    <s v="each"/>
    <n v="140"/>
    <n v="140"/>
    <n v="140"/>
    <n v="140"/>
    <s v="RS-HWE-LFFA-V12-230101"/>
    <m/>
    <n v="0.5904178513594347"/>
    <n v="0.5904178513594347"/>
    <n v="0.5904178513594347"/>
    <n v="0.5904178513594347"/>
    <n v="1"/>
    <n v="1"/>
    <n v="1"/>
    <n v="1"/>
    <n v="82.658499190320853"/>
    <n v="82.658499190320853"/>
    <n v="82.658499190320853"/>
    <n v="82.658499190320853"/>
    <n v="330.63399676128341"/>
    <n v="1"/>
    <n v="1"/>
    <n v="1"/>
    <n v="1"/>
    <n v="1"/>
    <n v="1"/>
    <n v="1"/>
    <n v="1"/>
    <m/>
    <m/>
    <n v="0.60319567359596415"/>
    <m/>
    <n v="84.447394303434976"/>
    <n v="1.7888951131141226"/>
    <m/>
    <m/>
    <n v="0.60319567359596415"/>
    <s v="Updated kit ISR"/>
    <n v="84.447394303434976"/>
    <n v="84.447394303434976"/>
    <n v="1.7888951131141226"/>
    <m/>
    <m/>
    <n v="0.60319567359596415"/>
    <m/>
    <n v="84.447394303434976"/>
    <n v="1.7888951131141226"/>
    <m/>
    <m/>
    <n v="0.60319567359596415"/>
    <m/>
    <n v="84.447394303434976"/>
    <n v="1.7888951131141226"/>
    <n v="84.447394303434976"/>
    <n v="84.447394303434976"/>
    <n v="84.447394303434976"/>
    <n v="84.447394303434976"/>
    <n v="337.7895772137399"/>
    <s v="NA"/>
    <m/>
  </r>
  <r>
    <s v="NSG"/>
    <x v="4"/>
    <x v="5"/>
    <s v="IHWAP"/>
    <x v="11"/>
    <n v="0"/>
    <s v="SF"/>
    <x v="3"/>
    <s v="5.4.4"/>
    <s v="each"/>
    <n v="18"/>
    <n v="20"/>
    <n v="25"/>
    <n v="27"/>
    <s v="RS-HWE-LFFA-V12-230101"/>
    <m/>
    <n v="0.90936082797455842"/>
    <n v="0.90936082797455842"/>
    <n v="0.90936082797455842"/>
    <n v="0.90936082797455842"/>
    <n v="1"/>
    <n v="1"/>
    <n v="1"/>
    <n v="1"/>
    <n v="16.36849490354205"/>
    <n v="18.187216559491169"/>
    <n v="22.73402069936396"/>
    <n v="24.552742355313079"/>
    <n v="81.842474517710258"/>
    <n v="1"/>
    <n v="1"/>
    <n v="1"/>
    <n v="1"/>
    <n v="1"/>
    <n v="1"/>
    <n v="1"/>
    <n v="1"/>
    <m/>
    <m/>
    <n v="1.0053261226599404"/>
    <m/>
    <n v="18.095870207878928"/>
    <n v="1.7273753043368778"/>
    <m/>
    <m/>
    <n v="0.98416136218288908"/>
    <s v="Updated kit ISR"/>
    <n v="20.106522453198806"/>
    <n v="19.683227243657782"/>
    <n v="1.4960106841666132"/>
    <m/>
    <m/>
    <n v="0.98416136218288908"/>
    <m/>
    <n v="24.604034054572228"/>
    <n v="1.8700133552082683"/>
    <m/>
    <m/>
    <n v="0.98416136218288908"/>
    <m/>
    <n v="26.572356778938005"/>
    <n v="2.019614423624926"/>
    <n v="18.095870207878928"/>
    <n v="19.683227243657782"/>
    <n v="24.604034054572228"/>
    <n v="26.572356778938005"/>
    <n v="88.95548828504694"/>
    <s v="NA"/>
    <m/>
  </r>
  <r>
    <s v="NSG"/>
    <x v="4"/>
    <x v="5"/>
    <s v="IHWAP"/>
    <x v="4"/>
    <s v="DHW"/>
    <s v="SF"/>
    <x v="3"/>
    <s v="5.4.1"/>
    <s v="Feet"/>
    <n v="1"/>
    <n v="1"/>
    <n v="1"/>
    <n v="1"/>
    <s v="RS-HWE-PINS-V06-230101"/>
    <m/>
    <n v="0.88266670517205537"/>
    <n v="0.88266670517205537"/>
    <n v="0.88266670517205537"/>
    <n v="0.88266670517205537"/>
    <n v="1"/>
    <n v="1"/>
    <n v="1"/>
    <n v="1"/>
    <n v="0.88266670517205537"/>
    <n v="0.88266670517205537"/>
    <n v="0.88266670517205537"/>
    <n v="0.88266670517205537"/>
    <n v="3.5306668206882215"/>
    <n v="1"/>
    <n v="1"/>
    <n v="1"/>
    <n v="1"/>
    <n v="1"/>
    <n v="1"/>
    <n v="1"/>
    <n v="1"/>
    <m/>
    <m/>
    <n v="2.4087097696290445"/>
    <m/>
    <n v="2.4087097696290445"/>
    <n v="1.5260430644569891"/>
    <m/>
    <m/>
    <n v="2.4087097696290445"/>
    <s v="Updated kit ISR"/>
    <n v="2.4087097696290445"/>
    <n v="2.4087097696290445"/>
    <n v="1.5260430644569891"/>
    <m/>
    <m/>
    <n v="2.4087097696290445"/>
    <m/>
    <n v="2.4087097696290445"/>
    <n v="1.5260430644569891"/>
    <m/>
    <m/>
    <n v="2.4087097696290445"/>
    <m/>
    <n v="2.4087097696290445"/>
    <n v="1.5260430644569891"/>
    <n v="2.4087097696290445"/>
    <n v="2.4087097696290445"/>
    <n v="2.4087097696290445"/>
    <n v="2.4087097696290445"/>
    <n v="9.6348390785161779"/>
    <s v="NA"/>
    <m/>
  </r>
  <r>
    <s v="NSG"/>
    <x v="4"/>
    <x v="6"/>
    <s v="Whole Building - DI"/>
    <x v="11"/>
    <n v="0"/>
    <s v="MF"/>
    <x v="3"/>
    <s v="5.4.4"/>
    <s v="each"/>
    <n v="5"/>
    <n v="5"/>
    <n v="5"/>
    <n v="5"/>
    <s v="RS-HWE-LFFA-V12-230101"/>
    <m/>
    <n v="1.5695120815920003"/>
    <n v="1.5695120815920003"/>
    <n v="1.5695120815920003"/>
    <n v="1.5695120815920003"/>
    <n v="1"/>
    <n v="1"/>
    <n v="1"/>
    <n v="1"/>
    <n v="7.8475604079600014"/>
    <n v="7.8475604079600014"/>
    <n v="7.8475604079600014"/>
    <n v="7.8475604079600014"/>
    <n v="31.390241631840006"/>
    <n v="1"/>
    <n v="1"/>
    <n v="1"/>
    <n v="1"/>
    <n v="1"/>
    <n v="1"/>
    <n v="1"/>
    <n v="1"/>
    <m/>
    <m/>
    <n v="1.8113454036983285"/>
    <m/>
    <n v="9.0567270184916424"/>
    <n v="1.209166610531641"/>
    <m/>
    <m/>
    <n v="1.773211816252048"/>
    <s v="Updated kit ISR"/>
    <n v="9.0567270184916424"/>
    <n v="8.8660590812602393"/>
    <n v="1.0184986733002379"/>
    <m/>
    <m/>
    <n v="1.773211816252048"/>
    <m/>
    <n v="8.8660590812602393"/>
    <n v="1.0184986733002379"/>
    <m/>
    <m/>
    <n v="1.773211816252048"/>
    <m/>
    <n v="8.8660590812602393"/>
    <n v="1.0184986733002379"/>
    <n v="9.0567270184916424"/>
    <n v="8.8660590812602393"/>
    <n v="8.8660590812602393"/>
    <n v="8.8660590812602393"/>
    <n v="35.65490426227236"/>
    <s v="NA"/>
    <m/>
  </r>
  <r>
    <s v="NSG"/>
    <x v="4"/>
    <x v="6"/>
    <s v="Whole Building - Public Housing"/>
    <x v="11"/>
    <n v="0"/>
    <s v="MF"/>
    <x v="3"/>
    <s v="5.4.4"/>
    <s v="each"/>
    <n v="5"/>
    <n v="5"/>
    <n v="5"/>
    <n v="5"/>
    <s v="RS-HWE-LFFA-V12-230101"/>
    <m/>
    <n v="1.5695120815920003"/>
    <n v="1.5695120815920003"/>
    <n v="1.5695120815920003"/>
    <n v="1.5695120815920003"/>
    <n v="1"/>
    <n v="1"/>
    <n v="1"/>
    <n v="1"/>
    <n v="7.8475604079600014"/>
    <n v="7.8475604079600014"/>
    <n v="7.8475604079600014"/>
    <n v="7.8475604079600014"/>
    <n v="31.390241631840006"/>
    <n v="1"/>
    <n v="1"/>
    <n v="1"/>
    <n v="1"/>
    <n v="1"/>
    <n v="1"/>
    <n v="1"/>
    <n v="1"/>
    <m/>
    <m/>
    <n v="1.8113454036983285"/>
    <m/>
    <n v="9.0567270184916424"/>
    <n v="1.209166610531641"/>
    <m/>
    <m/>
    <n v="1.773211816252048"/>
    <s v="Updated kit ISR"/>
    <n v="9.0567270184916424"/>
    <n v="8.8660590812602393"/>
    <n v="1.0184986733002379"/>
    <m/>
    <m/>
    <n v="1.773211816252048"/>
    <m/>
    <n v="8.8660590812602393"/>
    <n v="1.0184986733002379"/>
    <m/>
    <m/>
    <n v="1.773211816252048"/>
    <m/>
    <n v="8.8660590812602393"/>
    <n v="1.0184986733002379"/>
    <n v="9.0567270184916424"/>
    <n v="8.8660590812602393"/>
    <n v="8.8660590812602393"/>
    <n v="8.8660590812602393"/>
    <n v="35.65490426227236"/>
    <s v="NA"/>
    <m/>
  </r>
  <r>
    <s v="NSG"/>
    <x v="4"/>
    <x v="4"/>
    <s v="Core"/>
    <x v="4"/>
    <s v="Boiler"/>
    <s v="SF"/>
    <x v="3"/>
    <s v="5.3.2"/>
    <s v="Feet"/>
    <n v="3"/>
    <n v="6"/>
    <n v="12"/>
    <n v="15"/>
    <s v="RS-HWE-PINS-V06-230101"/>
    <m/>
    <n v="0.63522312995661756"/>
    <n v="0.63522312995661756"/>
    <n v="0.63522312995661756"/>
    <n v="0.63522312995661756"/>
    <n v="1"/>
    <n v="1"/>
    <n v="1"/>
    <n v="1"/>
    <n v="1.9056693898698527"/>
    <n v="3.8113387797397054"/>
    <n v="7.6226775594794107"/>
    <n v="9.5283469493492632"/>
    <n v="22.868032678438233"/>
    <n v="1"/>
    <n v="1"/>
    <n v="1"/>
    <n v="1"/>
    <n v="1"/>
    <n v="1"/>
    <n v="1"/>
    <n v="1"/>
    <m/>
    <m/>
    <n v="1.0111854839419214"/>
    <m/>
    <n v="3.0335564518257643"/>
    <n v="1.1278870619559116"/>
    <m/>
    <m/>
    <n v="1.0111854839419214"/>
    <s v="n/a"/>
    <n v="6.0671129036515286"/>
    <n v="6.0671129036515286"/>
    <n v="2.2557741239118232"/>
    <m/>
    <m/>
    <n v="1.0111854839419214"/>
    <m/>
    <n v="12.134225807303057"/>
    <n v="4.5115482478236464"/>
    <m/>
    <m/>
    <n v="1.0111854839419214"/>
    <m/>
    <n v="15.16778225912882"/>
    <n v="5.6394353097795573"/>
    <n v="3.0335564518257643"/>
    <n v="6.0671129036515286"/>
    <n v="12.134225807303057"/>
    <n v="15.16778225912882"/>
    <n v="36.402677421909175"/>
    <s v="NA"/>
    <m/>
  </r>
  <r>
    <s v="NSG"/>
    <x v="3"/>
    <x v="3"/>
    <s v="Standard Rebate"/>
    <x v="16"/>
    <s v="≥88% AFUE"/>
    <s v="SF"/>
    <x v="3"/>
    <s v="5.4.2"/>
    <s v="each"/>
    <n v="1"/>
    <n v="1"/>
    <n v="1"/>
    <n v="1"/>
    <s v="RS-HWE-GWHT-V10-220101"/>
    <m/>
    <n v="20.799292584298428"/>
    <n v="20.799292584298428"/>
    <n v="20.799292584298428"/>
    <n v="20.799292584298428"/>
    <n v="0.74"/>
    <n v="0.74"/>
    <n v="0.74"/>
    <n v="0.74"/>
    <n v="15.391476512380835"/>
    <n v="15.391476512380835"/>
    <n v="15.391476512380835"/>
    <n v="15.391476512380835"/>
    <n v="61.565906049523342"/>
    <n v="0.74"/>
    <n v="0.74"/>
    <n v="0.74"/>
    <n v="0.74"/>
    <n v="0.74"/>
    <n v="0.74"/>
    <n v="0.74"/>
    <n v="0.74"/>
    <m/>
    <m/>
    <n v="21.766020267793987"/>
    <m/>
    <n v="16.106854998167549"/>
    <n v="0.71537848578671337"/>
    <m/>
    <m/>
    <n v="21.766020267793987"/>
    <s v="n/a"/>
    <n v="16.106854998167549"/>
    <n v="16.106854998167549"/>
    <n v="0.71537848578671337"/>
    <m/>
    <m/>
    <n v="21.766020267793987"/>
    <m/>
    <n v="16.106854998167549"/>
    <n v="0.71537848578671337"/>
    <m/>
    <m/>
    <n v="21.766020267793987"/>
    <m/>
    <n v="16.106854998167549"/>
    <n v="0.71537848578671337"/>
    <n v="16.106854998167549"/>
    <n v="16.106854998167549"/>
    <n v="16.106854998167549"/>
    <n v="16.106854998167549"/>
    <n v="64.427419992670195"/>
    <s v="NA"/>
    <m/>
  </r>
  <r>
    <s v="NSG"/>
    <x v="4"/>
    <x v="5"/>
    <s v="IHWAP"/>
    <x v="4"/>
    <s v="Boiler"/>
    <s v="SF"/>
    <x v="3"/>
    <s v="5.3.2"/>
    <s v="Feet"/>
    <n v="1"/>
    <n v="1"/>
    <n v="1"/>
    <n v="1"/>
    <s v="RS-HWE-PINS-V06-230101"/>
    <m/>
    <n v="0.63522312995661756"/>
    <n v="0.63522312995661756"/>
    <n v="0.63522312995661756"/>
    <n v="0.63522312995661756"/>
    <n v="1"/>
    <n v="1"/>
    <n v="1"/>
    <n v="1"/>
    <n v="0.63522312995661756"/>
    <n v="0.63522312995661756"/>
    <n v="0.63522312995661756"/>
    <n v="0.63522312995661756"/>
    <n v="2.5408925198264702"/>
    <n v="1"/>
    <n v="1"/>
    <n v="1"/>
    <n v="1"/>
    <n v="1"/>
    <n v="1"/>
    <n v="1"/>
    <n v="1"/>
    <m/>
    <m/>
    <n v="1.0111854839419214"/>
    <m/>
    <n v="1.0111854839419214"/>
    <n v="0.37596235398530387"/>
    <m/>
    <m/>
    <n v="1.0111854839419214"/>
    <s v="n/a"/>
    <n v="1.0111854839419214"/>
    <n v="1.0111854839419214"/>
    <n v="0.37596235398530387"/>
    <m/>
    <m/>
    <n v="1.0111854839419214"/>
    <m/>
    <n v="1.0111854839419214"/>
    <n v="0.37596235398530387"/>
    <m/>
    <m/>
    <n v="1.0111854839419214"/>
    <m/>
    <n v="1.0111854839419214"/>
    <n v="0.37596235398530387"/>
    <n v="1.0111854839419214"/>
    <n v="1.0111854839419214"/>
    <n v="1.0111854839419214"/>
    <n v="1.0111854839419214"/>
    <n v="4.0447419357676857"/>
    <s v="NA"/>
    <m/>
  </r>
  <r>
    <s v="NSG"/>
    <x v="3"/>
    <x v="3"/>
    <s v="Partner Trade Ally Rebate"/>
    <x v="17"/>
    <n v="0"/>
    <s v="SF"/>
    <x v="3"/>
    <s v="5.6.5"/>
    <s v="sq ft"/>
    <n v="240000"/>
    <n v="240000"/>
    <n v="240000"/>
    <n v="240000"/>
    <s v="RS-SHL-AINS-V06-230101"/>
    <m/>
    <n v="8.0457181447124299E-2"/>
    <n v="8.0457181447124299E-2"/>
    <n v="8.0457181447124299E-2"/>
    <n v="8.0457181447124299E-2"/>
    <n v="0.89"/>
    <n v="0.89"/>
    <n v="0.89"/>
    <n v="0.89"/>
    <n v="17185.653957105747"/>
    <n v="17185.653957105747"/>
    <n v="17185.653957105747"/>
    <n v="17185.653957105747"/>
    <n v="68742.61582842299"/>
    <n v="0.89"/>
    <n v="0.89"/>
    <n v="0.89"/>
    <n v="0.89"/>
    <n v="0.89"/>
    <n v="0.89"/>
    <n v="0.89"/>
    <n v="0.89"/>
    <m/>
    <m/>
    <n v="8.0457181447124299E-2"/>
    <m/>
    <n v="17185.653957105747"/>
    <n v="0"/>
    <m/>
    <m/>
    <n v="8.0457181447124299E-2"/>
    <s v="No savings impacts with existing measure assumptions."/>
    <n v="17185.653957105747"/>
    <n v="17185.653957105747"/>
    <n v="0"/>
    <m/>
    <m/>
    <n v="8.0457181447124299E-2"/>
    <m/>
    <n v="17185.653957105747"/>
    <n v="0"/>
    <m/>
    <m/>
    <n v="8.0457181447124299E-2"/>
    <m/>
    <n v="17185.653957105747"/>
    <n v="0"/>
    <n v="17185.653957105747"/>
    <n v="17185.653957105747"/>
    <n v="17185.653957105747"/>
    <n v="17185.653957105747"/>
    <n v="68742.61582842299"/>
    <s v="NA"/>
    <m/>
  </r>
  <r>
    <s v="NSG"/>
    <x v="3"/>
    <x v="3"/>
    <s v="Partner Trade Ally Rebate"/>
    <x v="18"/>
    <n v="0"/>
    <s v="SF"/>
    <x v="3"/>
    <s v="5.6.1"/>
    <s v="CFM_50"/>
    <n v="178377.59999999995"/>
    <n v="178377.59999999995"/>
    <n v="178377.59999999995"/>
    <n v="178377.59999999995"/>
    <s v="RS-SHL-AIRS-V12-230101"/>
    <m/>
    <n v="6.2809933649289093E-2"/>
    <n v="6.2809933649289093E-2"/>
    <n v="6.2809933649289093E-2"/>
    <n v="6.2809933649289093E-2"/>
    <n v="0.88"/>
    <n v="0.88"/>
    <n v="0.88"/>
    <n v="0.88"/>
    <n v="9859.4189940570959"/>
    <n v="9859.4189940570959"/>
    <n v="9859.4189940570959"/>
    <n v="9859.4189940570959"/>
    <n v="39437.675976228384"/>
    <n v="0.88"/>
    <n v="0.88"/>
    <n v="0.88"/>
    <n v="0.88"/>
    <n v="0.88"/>
    <n v="0.88"/>
    <n v="0.88"/>
    <n v="0.88"/>
    <m/>
    <m/>
    <n v="6.2809933649289093E-2"/>
    <m/>
    <n v="9859.4189940570959"/>
    <n v="0"/>
    <m/>
    <m/>
    <n v="6.2809933649289093E-2"/>
    <s v="Updated ISR"/>
    <n v="9859.4189940570959"/>
    <n v="9859.4189940570959"/>
    <n v="0"/>
    <m/>
    <m/>
    <n v="6.2809933649289093E-2"/>
    <m/>
    <n v="9859.4189940570959"/>
    <n v="0"/>
    <m/>
    <m/>
    <n v="6.2809933649289093E-2"/>
    <m/>
    <n v="9859.4189940570959"/>
    <n v="0"/>
    <n v="9859.4189940570959"/>
    <n v="9859.4189940570959"/>
    <n v="9859.4189940570959"/>
    <n v="9859.4189940570959"/>
    <n v="39437.675976228384"/>
    <s v="NA"/>
    <m/>
  </r>
  <r>
    <s v="NSG"/>
    <x v="3"/>
    <x v="3"/>
    <s v="Partner Trade Ally Rebate"/>
    <x v="19"/>
    <n v="0"/>
    <s v="SF"/>
    <x v="3"/>
    <s v="5.6.1"/>
    <s v="CFM_50"/>
    <n v="114161.66399999998"/>
    <n v="114161.66399999998"/>
    <n v="114161.66399999998"/>
    <n v="114161.66399999998"/>
    <s v="RS-SHL-AIRS-V12-230101"/>
    <m/>
    <n v="8.7236018957345965E-2"/>
    <n v="8.7236018957345965E-2"/>
    <n v="8.7236018957345965E-2"/>
    <n v="8.7236018957345965E-2"/>
    <n v="0.77"/>
    <n v="0.77"/>
    <n v="0.77"/>
    <n v="0.77"/>
    <n v="7668.4369953777423"/>
    <n v="7668.4369953777423"/>
    <n v="7668.4369953777423"/>
    <n v="7668.4369953777423"/>
    <n v="30673.747981510969"/>
    <n v="0.77"/>
    <n v="0.77"/>
    <n v="0.77"/>
    <n v="0.77"/>
    <n v="0.77"/>
    <n v="0.77"/>
    <n v="0.77"/>
    <n v="0.77"/>
    <m/>
    <m/>
    <n v="8.7236018957345965E-2"/>
    <m/>
    <n v="7668.4369953777423"/>
    <n v="0"/>
    <m/>
    <m/>
    <n v="8.7236018957345965E-2"/>
    <s v="Updated ISR"/>
    <n v="7668.4369953777423"/>
    <n v="7668.4369953777423"/>
    <n v="0"/>
    <m/>
    <m/>
    <n v="8.7236018957345965E-2"/>
    <m/>
    <n v="7668.4369953777423"/>
    <n v="0"/>
    <m/>
    <m/>
    <n v="8.7236018957345965E-2"/>
    <m/>
    <n v="7668.4369953777423"/>
    <n v="0"/>
    <n v="7668.4369953777423"/>
    <n v="7668.4369953777423"/>
    <n v="7668.4369953777423"/>
    <n v="7668.4369953777423"/>
    <n v="30673.747981510969"/>
    <s v="NA"/>
    <m/>
  </r>
  <r>
    <s v="NSG"/>
    <x v="5"/>
    <x v="8"/>
    <s v="Strategic Energy Management"/>
    <x v="20"/>
    <n v="0"/>
    <s v="CI"/>
    <x v="3"/>
    <n v="0"/>
    <s v="therm"/>
    <n v="105503.63461538462"/>
    <n v="99297.538461538468"/>
    <n v="86885.346153846156"/>
    <n v="84402.907692307708"/>
    <n v="0"/>
    <m/>
    <n v="1"/>
    <n v="1"/>
    <n v="1"/>
    <n v="1"/>
    <n v="0.97"/>
    <n v="0.97"/>
    <n v="0.97"/>
    <n v="0.97"/>
    <n v="102338.52557692309"/>
    <n v="96318.61230769231"/>
    <n v="84278.785769230773"/>
    <n v="81870.820461538475"/>
    <n v="364806.74411538464"/>
    <n v="0.97"/>
    <n v="0.97"/>
    <n v="0.97"/>
    <n v="0.97"/>
    <n v="0.97"/>
    <n v="0.97"/>
    <n v="0.97"/>
    <n v="0.97"/>
    <m/>
    <m/>
    <n v="1"/>
    <m/>
    <n v="102338.52557692309"/>
    <n v="0"/>
    <m/>
    <m/>
    <n v="1"/>
    <s v="n/a"/>
    <n v="96318.61230769231"/>
    <n v="96318.61230769231"/>
    <n v="0"/>
    <m/>
    <m/>
    <n v="1"/>
    <m/>
    <n v="84278.785769230773"/>
    <n v="0"/>
    <m/>
    <m/>
    <n v="1"/>
    <m/>
    <n v="81870.820461538475"/>
    <n v="0"/>
    <n v="102338.52557692309"/>
    <n v="96318.61230769231"/>
    <n v="84278.785769230773"/>
    <n v="81870.820461538475"/>
    <n v="364806.74411538464"/>
    <s v="NA"/>
    <m/>
  </r>
  <r>
    <s v="NSG"/>
    <x v="5"/>
    <x v="8"/>
    <s v="Rebates"/>
    <x v="21"/>
    <s v="Process"/>
    <s v="MF/CI"/>
    <x v="3"/>
    <s v="4.4.3"/>
    <s v="MBH"/>
    <n v="102000"/>
    <n v="96000"/>
    <n v="84000"/>
    <n v="81600.000000000015"/>
    <s v="CI-HVC-PBTU-V07-230101"/>
    <m/>
    <n v="1.0227353753026578"/>
    <n v="1.0227353753026578"/>
    <n v="1.0227353753026578"/>
    <n v="1.0227353753026578"/>
    <n v="0.91"/>
    <n v="0.91"/>
    <n v="0.91"/>
    <n v="0.91"/>
    <n v="94930.297535592705"/>
    <n v="89346.162386440192"/>
    <n v="78177.892088135166"/>
    <n v="75944.238028474167"/>
    <n v="338398.59003864223"/>
    <n v="0.91"/>
    <n v="0.91"/>
    <n v="0.91"/>
    <n v="0.91"/>
    <n v="0.91"/>
    <n v="0.91"/>
    <n v="0.91"/>
    <n v="0.91"/>
    <m/>
    <m/>
    <n v="1.0227353753026578"/>
    <m/>
    <n v="94930.297535592705"/>
    <n v="0"/>
    <m/>
    <m/>
    <n v="1.0227353753026578"/>
    <s v="Updated measure lifetime."/>
    <n v="89346.162386440192"/>
    <n v="89346.162386440192"/>
    <n v="0"/>
    <m/>
    <m/>
    <n v="1.0227353753026578"/>
    <m/>
    <n v="78177.892088135166"/>
    <n v="0"/>
    <m/>
    <m/>
    <n v="1.0227353753026578"/>
    <m/>
    <n v="75944.238028474167"/>
    <n v="0"/>
    <n v="94930.297535592705"/>
    <n v="89346.162386440192"/>
    <n v="78177.892088135166"/>
    <n v="75944.238028474167"/>
    <n v="338398.59003864223"/>
    <s v="NA"/>
    <m/>
  </r>
  <r>
    <s v="NSG"/>
    <x v="5"/>
    <x v="8"/>
    <s v="Custom"/>
    <x v="22"/>
    <n v="0"/>
    <s v="CI"/>
    <x v="4"/>
    <n v="0"/>
    <s v="therm"/>
    <n v="50976"/>
    <n v="54374.400000000001"/>
    <n v="47577.599999999999"/>
    <n v="46218.240000000005"/>
    <n v="0"/>
    <m/>
    <n v="1"/>
    <n v="1"/>
    <n v="1"/>
    <n v="1"/>
    <n v="0.74"/>
    <n v="0.74"/>
    <n v="0.74"/>
    <n v="0.74"/>
    <n v="37722.239999999998"/>
    <n v="40237.056000000004"/>
    <n v="35207.423999999999"/>
    <n v="34201.497600000002"/>
    <n v="147368.2176"/>
    <n v="0.74"/>
    <n v="0.74"/>
    <n v="0.74"/>
    <n v="0.74"/>
    <n v="0.74"/>
    <n v="0.74"/>
    <n v="0.74"/>
    <n v="0.74"/>
    <m/>
    <m/>
    <n v="1"/>
    <m/>
    <n v="37722.239999999998"/>
    <n v="0"/>
    <m/>
    <m/>
    <n v="1"/>
    <s v="n/a"/>
    <n v="40237.056000000004"/>
    <n v="40237.056000000004"/>
    <n v="0"/>
    <m/>
    <m/>
    <n v="1"/>
    <m/>
    <n v="35207.423999999999"/>
    <n v="0"/>
    <m/>
    <m/>
    <n v="1"/>
    <m/>
    <n v="34201.497600000002"/>
    <n v="0"/>
    <n v="37722.239999999998"/>
    <n v="40237.056000000004"/>
    <n v="35207.423999999999"/>
    <n v="34201.497600000002"/>
    <n v="147368.2176"/>
    <s v="NA"/>
    <m/>
  </r>
  <r>
    <s v="NSG"/>
    <x v="4"/>
    <x v="5"/>
    <s v="IE Kits"/>
    <x v="23"/>
    <s v="IE Kit"/>
    <s v="IE"/>
    <x v="3"/>
    <s v="5.6.1"/>
    <s v="sqft"/>
    <n v="42000"/>
    <n v="42000"/>
    <n v="42000"/>
    <n v="42000"/>
    <s v="RS-SHL-AIRS-V12-230101"/>
    <m/>
    <n v="8.3447999999999994E-2"/>
    <n v="8.3447999999999994E-2"/>
    <n v="8.3447999999999994E-2"/>
    <n v="8.3447999999999994E-2"/>
    <n v="1"/>
    <n v="1"/>
    <n v="1"/>
    <n v="1"/>
    <n v="3504.8159999999998"/>
    <n v="3504.8159999999998"/>
    <n v="3504.8159999999998"/>
    <n v="3504.8159999999998"/>
    <n v="14019.263999999999"/>
    <n v="1"/>
    <n v="1"/>
    <n v="1"/>
    <n v="1"/>
    <n v="1"/>
    <n v="1"/>
    <n v="1"/>
    <n v="1"/>
    <m/>
    <m/>
    <n v="8.3447999999999994E-2"/>
    <m/>
    <n v="3504.8159999999998"/>
    <n v="0"/>
    <m/>
    <m/>
    <n v="8.3447999999999994E-2"/>
    <s v="Updated ISR"/>
    <n v="3504.8159999999998"/>
    <n v="3504.8159999999998"/>
    <n v="0"/>
    <m/>
    <m/>
    <n v="8.3447999999999994E-2"/>
    <m/>
    <n v="3504.8159999999998"/>
    <n v="0"/>
    <m/>
    <m/>
    <n v="8.3447999999999994E-2"/>
    <m/>
    <n v="3504.8159999999998"/>
    <n v="0"/>
    <n v="3504.8159999999998"/>
    <n v="3504.8159999999998"/>
    <n v="3504.8159999999998"/>
    <n v="3504.8159999999998"/>
    <n v="14019.263999999999"/>
    <s v="NA"/>
    <m/>
  </r>
  <r>
    <s v="NSG"/>
    <x v="5"/>
    <x v="7"/>
    <s v="Partner Trade Ally Rebate"/>
    <x v="21"/>
    <s v="Process"/>
    <s v="MF/CI"/>
    <x v="3"/>
    <s v="4.4.3"/>
    <s v="MBH"/>
    <n v="36945.131999999998"/>
    <n v="36945.131999999998"/>
    <n v="31667.256000000001"/>
    <n v="31667.256000000001"/>
    <s v="CI-HVC-PBTU-V07-230101"/>
    <m/>
    <n v="1.0227353753026578"/>
    <n v="1.0227353753026578"/>
    <n v="1.0227353753026578"/>
    <n v="1.0227353753026578"/>
    <n v="0.93"/>
    <n v="0.93"/>
    <n v="0.93"/>
    <n v="0.93"/>
    <n v="35140.136900712394"/>
    <n v="35140.136900712394"/>
    <n v="30120.117343467773"/>
    <n v="30120.117343467773"/>
    <n v="130520.50848836034"/>
    <n v="0.93"/>
    <n v="0.93"/>
    <n v="0.93"/>
    <n v="0.93"/>
    <n v="0.93"/>
    <n v="0.93"/>
    <n v="0.93"/>
    <n v="0.93"/>
    <m/>
    <m/>
    <n v="1.0227353753026578"/>
    <m/>
    <n v="35140.136900712394"/>
    <n v="0"/>
    <m/>
    <m/>
    <n v="1.0227353753026578"/>
    <s v="Updated measure lifetime."/>
    <n v="35140.136900712394"/>
    <n v="35140.136900712394"/>
    <n v="0"/>
    <m/>
    <m/>
    <n v="1.0227353753026578"/>
    <m/>
    <n v="30120.117343467773"/>
    <n v="0"/>
    <m/>
    <m/>
    <n v="1.0227353753026578"/>
    <m/>
    <n v="30120.117343467773"/>
    <n v="0"/>
    <n v="35140.136900712394"/>
    <n v="35140.136900712394"/>
    <n v="30120.117343467773"/>
    <n v="30120.117343467773"/>
    <n v="130520.50848836034"/>
    <s v="NA"/>
    <m/>
  </r>
  <r>
    <s v="NSG"/>
    <x v="5"/>
    <x v="8"/>
    <s v="Retrocommissioning"/>
    <x v="24"/>
    <n v="0"/>
    <s v="CI"/>
    <x v="3"/>
    <n v="0"/>
    <s v="therm"/>
    <n v="35681.399999999994"/>
    <n v="38060.159999999996"/>
    <n v="33302.639999999999"/>
    <n v="32351.135999999999"/>
    <n v="0"/>
    <m/>
    <n v="1"/>
    <n v="1"/>
    <n v="1"/>
    <n v="1"/>
    <n v="0.98"/>
    <n v="0.98"/>
    <n v="0.98"/>
    <n v="0.98"/>
    <n v="34967.771999999997"/>
    <n v="37298.956799999993"/>
    <n v="32636.587199999998"/>
    <n v="31704.113279999998"/>
    <n v="136607.42927999998"/>
    <n v="0.98"/>
    <n v="0.98"/>
    <n v="0.98"/>
    <n v="0.98"/>
    <n v="0.98"/>
    <n v="0.98"/>
    <n v="0.98"/>
    <n v="0.98"/>
    <m/>
    <m/>
    <n v="1"/>
    <m/>
    <n v="34967.771999999997"/>
    <n v="0"/>
    <m/>
    <m/>
    <n v="1"/>
    <s v="n/a"/>
    <n v="37298.956799999993"/>
    <n v="37298.956799999993"/>
    <n v="0"/>
    <m/>
    <m/>
    <n v="1"/>
    <m/>
    <n v="32636.587199999998"/>
    <n v="0"/>
    <m/>
    <m/>
    <n v="1"/>
    <m/>
    <n v="31704.113279999998"/>
    <n v="0"/>
    <n v="34967.771999999997"/>
    <n v="37298.956799999993"/>
    <n v="32636.587199999998"/>
    <n v="31704.113279999998"/>
    <n v="136607.42927999998"/>
    <s v="NA"/>
    <m/>
  </r>
  <r>
    <s v="NSG"/>
    <x v="5"/>
    <x v="8"/>
    <s v="Rebates"/>
    <x v="21"/>
    <s v="Space Heating"/>
    <s v="CI"/>
    <x v="3"/>
    <s v="4.4.2"/>
    <s v="MBH"/>
    <n v="25500"/>
    <n v="24000"/>
    <n v="21000"/>
    <n v="20400.000000000004"/>
    <s v="CI-HVC-BLRT-V07-210101"/>
    <m/>
    <n v="0.46874846625766969"/>
    <n v="0.46874846625766969"/>
    <n v="0.46874846625766969"/>
    <n v="0.46874846625766969"/>
    <n v="0.91"/>
    <n v="0.91"/>
    <n v="0.91"/>
    <n v="0.91"/>
    <n v="10877.308159509226"/>
    <n v="10237.466503067506"/>
    <n v="8957.7831901840673"/>
    <n v="8701.8465276073821"/>
    <n v="38774.404380368185"/>
    <n v="0.91"/>
    <n v="0.91"/>
    <n v="0.91"/>
    <n v="0.91"/>
    <n v="0.91"/>
    <n v="0.91"/>
    <n v="0.91"/>
    <n v="0.91"/>
    <m/>
    <m/>
    <n v="0.46874846625766969"/>
    <m/>
    <n v="10877.308159509226"/>
    <n v="0"/>
    <m/>
    <m/>
    <n v="0.46874846625766969"/>
    <s v="n/a"/>
    <n v="10237.466503067506"/>
    <n v="10237.466503067506"/>
    <n v="0"/>
    <m/>
    <m/>
    <n v="0.46874846625766969"/>
    <m/>
    <n v="8957.7831901840673"/>
    <n v="0"/>
    <m/>
    <m/>
    <n v="0.46874846625766969"/>
    <m/>
    <n v="8701.8465276073821"/>
    <n v="0"/>
    <n v="10877.308159509226"/>
    <n v="10237.466503067506"/>
    <n v="8957.7831901840673"/>
    <n v="8701.8465276073821"/>
    <n v="38774.404380368185"/>
    <s v="NA"/>
    <m/>
  </r>
  <r>
    <s v="NSG"/>
    <x v="4"/>
    <x v="5"/>
    <s v="IHWAP"/>
    <x v="17"/>
    <n v="0"/>
    <s v="SF"/>
    <x v="3"/>
    <s v="5.6.5"/>
    <s v="sq ft"/>
    <n v="24000"/>
    <n v="26400"/>
    <n v="33600"/>
    <n v="36000"/>
    <s v="RS-SHL-AINS-V06-230101"/>
    <m/>
    <n v="8.0457181447124299E-2"/>
    <n v="8.0457181447124299E-2"/>
    <n v="8.0457181447124299E-2"/>
    <n v="8.0457181447124299E-2"/>
    <n v="1"/>
    <n v="1"/>
    <n v="1"/>
    <n v="1"/>
    <n v="1930.9723547309832"/>
    <n v="2124.0695902040816"/>
    <n v="2703.3612966233763"/>
    <n v="2896.4585320964748"/>
    <n v="9654.8617736549149"/>
    <n v="1"/>
    <n v="1"/>
    <n v="1"/>
    <n v="1"/>
    <n v="1"/>
    <n v="1"/>
    <n v="1"/>
    <n v="1"/>
    <m/>
    <m/>
    <n v="8.0457181447124299E-2"/>
    <m/>
    <n v="1930.9723547309832"/>
    <n v="0"/>
    <m/>
    <m/>
    <n v="8.0457181447124299E-2"/>
    <s v="No savings impacts with existing measure assumptions."/>
    <n v="2124.0695902040816"/>
    <n v="2124.0695902040816"/>
    <n v="0"/>
    <m/>
    <m/>
    <n v="8.0457181447124299E-2"/>
    <m/>
    <n v="2703.3612966233763"/>
    <n v="0"/>
    <m/>
    <m/>
    <n v="8.0457181447124299E-2"/>
    <m/>
    <n v="2896.4585320964748"/>
    <n v="0"/>
    <n v="1930.9723547309832"/>
    <n v="2124.0695902040816"/>
    <n v="2703.3612966233763"/>
    <n v="2896.4585320964748"/>
    <n v="9654.8617736549149"/>
    <s v="NA"/>
    <m/>
  </r>
  <r>
    <s v="NSG"/>
    <x v="4"/>
    <x v="5"/>
    <s v="IHWAP"/>
    <x v="19"/>
    <n v="0"/>
    <s v="SF"/>
    <x v="3"/>
    <s v="5.6.1"/>
    <s v="CFM_50"/>
    <n v="23783.679999999997"/>
    <n v="26013.399999999998"/>
    <n v="33445.799999999996"/>
    <n v="35675.519999999997"/>
    <s v="RS-SHL-AIRS-V12-230101"/>
    <m/>
    <n v="8.7236018957345965E-2"/>
    <n v="8.7236018957345965E-2"/>
    <n v="8.7236018957345965E-2"/>
    <n v="8.7236018957345965E-2"/>
    <n v="1"/>
    <n v="1"/>
    <n v="1"/>
    <n v="1"/>
    <n v="2074.7935593554498"/>
    <n v="2269.3054555450235"/>
    <n v="2917.6784428436013"/>
    <n v="3112.190339033175"/>
    <n v="10373.96779677725"/>
    <n v="1"/>
    <n v="1"/>
    <n v="1"/>
    <n v="1"/>
    <n v="1"/>
    <n v="1"/>
    <n v="1"/>
    <n v="1"/>
    <m/>
    <m/>
    <n v="8.7236018957345965E-2"/>
    <m/>
    <n v="2074.7935593554498"/>
    <n v="0"/>
    <m/>
    <m/>
    <n v="8.7236018957345965E-2"/>
    <s v="Updated ISR"/>
    <n v="2269.3054555450235"/>
    <n v="2269.3054555450235"/>
    <n v="0"/>
    <m/>
    <m/>
    <n v="8.7236018957345965E-2"/>
    <m/>
    <n v="2917.6784428436013"/>
    <n v="0"/>
    <m/>
    <m/>
    <n v="8.7236018957345965E-2"/>
    <m/>
    <n v="3112.190339033175"/>
    <n v="0"/>
    <n v="2074.7935593554498"/>
    <n v="2269.3054555450235"/>
    <n v="2917.6784428436013"/>
    <n v="3112.190339033175"/>
    <n v="10373.96779677725"/>
    <s v="NA"/>
    <m/>
  </r>
  <r>
    <s v="NSG"/>
    <x v="5"/>
    <x v="7"/>
    <s v="Gas Optimization"/>
    <x v="25"/>
    <n v="0"/>
    <s v="CI"/>
    <x v="3"/>
    <n v="0"/>
    <s v="therm"/>
    <n v="21177.16"/>
    <n v="21177.16"/>
    <n v="21177.16"/>
    <n v="21177.16"/>
    <n v="0"/>
    <m/>
    <n v="1"/>
    <n v="1"/>
    <n v="1"/>
    <n v="1"/>
    <n v="0.94"/>
    <n v="0.94"/>
    <n v="0.94"/>
    <n v="0.94"/>
    <n v="19906.5304"/>
    <n v="19906.5304"/>
    <n v="19906.5304"/>
    <n v="19906.5304"/>
    <n v="79626.121599999999"/>
    <n v="0.94"/>
    <n v="0.94"/>
    <n v="0.94"/>
    <n v="0.94"/>
    <n v="0.94"/>
    <n v="0.94"/>
    <n v="0.94"/>
    <n v="0.94"/>
    <m/>
    <m/>
    <n v="1"/>
    <m/>
    <n v="19906.5304"/>
    <n v="0"/>
    <m/>
    <m/>
    <n v="1"/>
    <s v="n/a"/>
    <n v="19906.5304"/>
    <n v="19906.5304"/>
    <n v="0"/>
    <m/>
    <m/>
    <n v="1"/>
    <m/>
    <n v="19906.5304"/>
    <n v="0"/>
    <m/>
    <m/>
    <n v="1"/>
    <m/>
    <n v="19906.5304"/>
    <n v="0"/>
    <n v="19906.5304"/>
    <n v="19906.5304"/>
    <n v="19906.5304"/>
    <n v="19906.5304"/>
    <n v="79626.121599999999"/>
    <s v="NA"/>
    <m/>
  </r>
  <r>
    <s v="NSG"/>
    <x v="5"/>
    <x v="7"/>
    <s v="Rebates"/>
    <x v="21"/>
    <s v="Process"/>
    <s v="MF/CI"/>
    <x v="3"/>
    <s v="4.4.3"/>
    <s v="MBH"/>
    <n v="21111.504000000001"/>
    <n v="15833.628000000001"/>
    <n v="15833.628000000001"/>
    <n v="15833.628000000001"/>
    <s v="CI-HVC-PBTU-V07-230101"/>
    <m/>
    <n v="1.0227353753026578"/>
    <n v="1.0227353753026578"/>
    <n v="1.0227353753026578"/>
    <n v="1.0227353753026578"/>
    <n v="0.93"/>
    <n v="0.93"/>
    <n v="0.93"/>
    <n v="0.93"/>
    <n v="20080.078228978513"/>
    <n v="15060.058671733887"/>
    <n v="15060.058671733887"/>
    <n v="15060.058671733887"/>
    <n v="65260.254244180178"/>
    <n v="0.93"/>
    <n v="0.93"/>
    <n v="0.93"/>
    <n v="0.93"/>
    <n v="0.93"/>
    <n v="0.93"/>
    <n v="0.93"/>
    <n v="0.93"/>
    <m/>
    <m/>
    <n v="1.0227353753026578"/>
    <m/>
    <n v="20080.078228978513"/>
    <n v="0"/>
    <m/>
    <m/>
    <n v="1.0227353753026578"/>
    <s v="Updated measure lifetime."/>
    <n v="15060.058671733887"/>
    <n v="15060.058671733887"/>
    <n v="0"/>
    <m/>
    <m/>
    <n v="1.0227353753026578"/>
    <m/>
    <n v="15060.058671733887"/>
    <n v="0"/>
    <m/>
    <m/>
    <n v="1.0227353753026578"/>
    <m/>
    <n v="15060.058671733887"/>
    <n v="0"/>
    <n v="20080.078228978513"/>
    <n v="15060.058671733887"/>
    <n v="15060.058671733887"/>
    <n v="15060.058671733887"/>
    <n v="65260.254244180178"/>
    <s v="NA"/>
    <m/>
  </r>
  <r>
    <s v="NSG"/>
    <x v="3"/>
    <x v="4"/>
    <s v="Leave Behind Kit"/>
    <x v="26"/>
    <n v="0"/>
    <s v="SF"/>
    <x v="3"/>
    <s v="5.6.1"/>
    <s v="linear foot"/>
    <n v="16000"/>
    <n v="14400"/>
    <n v="12800"/>
    <n v="11200"/>
    <s v="RS-SHL-AIRS-V12-230101"/>
    <m/>
    <n v="0.42455999999999999"/>
    <n v="0.42455999999999999"/>
    <n v="0.42455999999999999"/>
    <n v="0.42455999999999999"/>
    <n v="0.88"/>
    <n v="0.88"/>
    <n v="0.88"/>
    <n v="0.88"/>
    <n v="5977.8047999999999"/>
    <n v="5380.0243199999995"/>
    <n v="4782.2438399999992"/>
    <n v="4184.4633599999997"/>
    <n v="20324.536319999999"/>
    <n v="0.88"/>
    <n v="0.88"/>
    <n v="0.88"/>
    <n v="0.88"/>
    <n v="0.88"/>
    <n v="0.88"/>
    <n v="0.88"/>
    <n v="0.88"/>
    <m/>
    <m/>
    <n v="0.42455999999999999"/>
    <m/>
    <n v="5977.8047999999999"/>
    <n v="0"/>
    <m/>
    <m/>
    <n v="0.42455999999999999"/>
    <s v="Updated ISR"/>
    <n v="5380.0243199999995"/>
    <n v="5380.0243199999995"/>
    <n v="0"/>
    <m/>
    <m/>
    <n v="0.42455999999999999"/>
    <m/>
    <n v="4782.2438399999992"/>
    <n v="0"/>
    <m/>
    <m/>
    <n v="0.42455999999999999"/>
    <m/>
    <n v="4184.4633599999997"/>
    <n v="0"/>
    <n v="5977.8047999999999"/>
    <n v="5380.0243199999995"/>
    <n v="4782.2438399999992"/>
    <n v="4184.4633599999997"/>
    <n v="20324.536319999999"/>
    <s v="NA"/>
    <m/>
  </r>
  <r>
    <s v="NSG"/>
    <x v="5"/>
    <x v="7"/>
    <s v="Partner Trade Ally Rebate"/>
    <x v="21"/>
    <s v="Space Heating"/>
    <s v="CI"/>
    <x v="3"/>
    <s v="4.4.2"/>
    <s v="MBH"/>
    <n v="15235.5"/>
    <n v="10157"/>
    <n v="10157"/>
    <n v="10157"/>
    <s v="CI-HVC-BLRT-V07-210101"/>
    <m/>
    <n v="0.46874846625766969"/>
    <n v="0.46874846625766969"/>
    <n v="0.46874846625766969"/>
    <n v="0.46874846625766969"/>
    <n v="0.93"/>
    <n v="0.93"/>
    <n v="0.93"/>
    <n v="0.93"/>
    <n v="6641.704049631916"/>
    <n v="4427.8026997546112"/>
    <n v="4427.8026997546112"/>
    <n v="4427.8026997546112"/>
    <n v="19925.112148895751"/>
    <n v="0.93"/>
    <n v="0.93"/>
    <n v="0.93"/>
    <n v="0.93"/>
    <n v="0.93"/>
    <n v="0.93"/>
    <n v="0.93"/>
    <n v="0.93"/>
    <m/>
    <m/>
    <n v="0.46874846625766969"/>
    <m/>
    <n v="6641.704049631916"/>
    <n v="0"/>
    <m/>
    <m/>
    <n v="0.46874846625766969"/>
    <s v="n/a"/>
    <n v="4427.8026997546112"/>
    <n v="4427.8026997546112"/>
    <n v="0"/>
    <m/>
    <m/>
    <n v="0.46874846625766969"/>
    <m/>
    <n v="4427.8026997546112"/>
    <n v="0"/>
    <m/>
    <m/>
    <n v="0.46874846625766969"/>
    <m/>
    <n v="4427.8026997546112"/>
    <n v="0"/>
    <n v="6641.704049631916"/>
    <n v="4427.8026997546112"/>
    <n v="4427.8026997546112"/>
    <n v="4427.8026997546112"/>
    <n v="19925.112148895751"/>
    <s v="NA"/>
    <m/>
  </r>
  <r>
    <s v="NSG"/>
    <x v="4"/>
    <x v="6"/>
    <s v="MF IHWAP"/>
    <x v="27"/>
    <n v="0"/>
    <s v="MF"/>
    <x v="4"/>
    <n v="0"/>
    <s v="therm"/>
    <n v="13600"/>
    <n v="13600"/>
    <n v="13600"/>
    <n v="13600"/>
    <n v="0"/>
    <m/>
    <n v="1"/>
    <n v="1"/>
    <n v="1"/>
    <n v="1"/>
    <n v="1"/>
    <n v="1"/>
    <n v="1"/>
    <n v="1"/>
    <n v="13600"/>
    <n v="13600"/>
    <n v="13600"/>
    <n v="13600"/>
    <n v="54400"/>
    <n v="1"/>
    <n v="1"/>
    <n v="1"/>
    <n v="1"/>
    <n v="1"/>
    <n v="1"/>
    <n v="1"/>
    <n v="1"/>
    <m/>
    <m/>
    <n v="1"/>
    <m/>
    <n v="13600"/>
    <n v="0"/>
    <m/>
    <m/>
    <n v="1"/>
    <s v="n/a"/>
    <n v="13600"/>
    <n v="13600"/>
    <n v="0"/>
    <m/>
    <m/>
    <n v="1"/>
    <m/>
    <n v="13600"/>
    <n v="0"/>
    <m/>
    <m/>
    <n v="1"/>
    <m/>
    <n v="13600"/>
    <n v="0"/>
    <n v="13600"/>
    <n v="13600"/>
    <n v="13600"/>
    <n v="13600"/>
    <n v="54400"/>
    <s v="NA"/>
    <m/>
  </r>
  <r>
    <s v="NSG"/>
    <x v="5"/>
    <x v="8"/>
    <s v="Rebates"/>
    <x v="28"/>
    <s v="≥88% AFUE, ≥300MBh TE"/>
    <s v="CI"/>
    <x v="3"/>
    <s v="4.4.10"/>
    <s v="MBH"/>
    <n v="12750"/>
    <n v="12000.000000000002"/>
    <n v="10499.999999999998"/>
    <n v="10200"/>
    <s v="CI-HVC-BOIL-V10-230101"/>
    <m/>
    <n v="1.6609999999999991"/>
    <n v="1.6609999999999991"/>
    <n v="1.6609999999999991"/>
    <n v="1.6609999999999991"/>
    <n v="0.91"/>
    <n v="0.91"/>
    <n v="0.91"/>
    <n v="0.91"/>
    <n v="19271.752499999991"/>
    <n v="18138.119999999995"/>
    <n v="15870.85499999999"/>
    <n v="15417.401999999991"/>
    <n v="68698.129499999966"/>
    <n v="0.91"/>
    <n v="0.91"/>
    <n v="0.91"/>
    <n v="0.91"/>
    <n v="0.91"/>
    <n v="0.91"/>
    <n v="0.91"/>
    <n v="0.91"/>
    <m/>
    <m/>
    <n v="1.6609999999999991"/>
    <m/>
    <n v="19271.752499999991"/>
    <n v="0"/>
    <m/>
    <m/>
    <n v="1.6609999999999991"/>
    <s v="n/a"/>
    <n v="18138.119999999995"/>
    <n v="18138.119999999995"/>
    <n v="0"/>
    <m/>
    <m/>
    <n v="1.6609999999999991"/>
    <m/>
    <n v="15870.85499999999"/>
    <n v="0"/>
    <m/>
    <m/>
    <n v="1.6609999999999991"/>
    <m/>
    <n v="15417.401999999991"/>
    <n v="0"/>
    <n v="19271.752499999991"/>
    <n v="18138.119999999995"/>
    <n v="15870.85499999999"/>
    <n v="15417.401999999991"/>
    <n v="68698.129499999966"/>
    <s v="NA"/>
    <m/>
  </r>
  <r>
    <s v="NSG"/>
    <x v="5"/>
    <x v="8"/>
    <s v="Rebates"/>
    <x v="29"/>
    <n v="0"/>
    <s v="CI"/>
    <x v="3"/>
    <s v="4.4.21"/>
    <s v="MBH"/>
    <n v="12750"/>
    <n v="12000.000000000002"/>
    <n v="10499.999999999998"/>
    <n v="10200"/>
    <s v="CI-HVC-LBC-V06-220101"/>
    <m/>
    <n v="0.56277999999999995"/>
    <n v="0.56277999999999995"/>
    <n v="0.56277999999999995"/>
    <n v="0.56277999999999995"/>
    <n v="0.91"/>
    <n v="0.91"/>
    <n v="0.91"/>
    <n v="0.91"/>
    <n v="6529.6549500000001"/>
    <n v="6145.557600000001"/>
    <n v="5377.3628999999992"/>
    <n v="5223.7239600000003"/>
    <n v="23276.29941"/>
    <n v="0.91"/>
    <n v="0.91"/>
    <n v="0.91"/>
    <n v="0.91"/>
    <n v="0.91"/>
    <n v="0.91"/>
    <n v="0.91"/>
    <n v="0.91"/>
    <m/>
    <m/>
    <n v="0.56277999999999995"/>
    <m/>
    <n v="6529.6549500000001"/>
    <n v="0"/>
    <m/>
    <m/>
    <n v="0.56277999999999995"/>
    <s v="n/a"/>
    <n v="6145.557600000001"/>
    <n v="6145.557600000001"/>
    <n v="0"/>
    <m/>
    <m/>
    <n v="0.56277999999999995"/>
    <m/>
    <n v="5377.3628999999992"/>
    <n v="0"/>
    <m/>
    <m/>
    <n v="0.56277999999999995"/>
    <m/>
    <n v="5223.7239600000003"/>
    <n v="0"/>
    <n v="6529.6549500000001"/>
    <n v="6145.557600000001"/>
    <n v="5377.3628999999992"/>
    <n v="5223.7239600000003"/>
    <n v="23276.29941"/>
    <s v="NA"/>
    <m/>
  </r>
  <r>
    <s v="NSG"/>
    <x v="5"/>
    <x v="9"/>
    <s v="Rebates"/>
    <x v="21"/>
    <s v="Space Heating"/>
    <s v="CI"/>
    <x v="3"/>
    <s v="4.4.2"/>
    <s v="MBH"/>
    <n v="12000"/>
    <n v="12000"/>
    <n v="12000"/>
    <n v="12000"/>
    <s v="CI-HVC-BLRT-V07-210101"/>
    <m/>
    <n v="0.46874846625766969"/>
    <n v="0.46874846625766969"/>
    <n v="0.46874846625766969"/>
    <n v="0.46874846625766969"/>
    <n v="0.92"/>
    <n v="0.92"/>
    <n v="0.92"/>
    <n v="0.92"/>
    <n v="5174.9830674846735"/>
    <n v="5174.9830674846735"/>
    <n v="5174.9830674846735"/>
    <n v="5174.9830674846735"/>
    <n v="20699.932269938694"/>
    <n v="0.92"/>
    <n v="0.92"/>
    <n v="0.92"/>
    <n v="0.92"/>
    <n v="0.92"/>
    <n v="0.92"/>
    <n v="0.92"/>
    <n v="0.92"/>
    <m/>
    <m/>
    <n v="0.46874846625766969"/>
    <m/>
    <n v="5174.9830674846735"/>
    <n v="0"/>
    <m/>
    <m/>
    <n v="0.46874846625766969"/>
    <s v="n/a"/>
    <n v="5174.9830674846735"/>
    <n v="5174.9830674846735"/>
    <n v="0"/>
    <m/>
    <m/>
    <n v="0.46874846625766969"/>
    <m/>
    <n v="5174.9830674846735"/>
    <n v="0"/>
    <m/>
    <m/>
    <n v="0.46874846625766969"/>
    <m/>
    <n v="5174.9830674846735"/>
    <n v="0"/>
    <n v="5174.9830674846735"/>
    <n v="5174.9830674846735"/>
    <n v="5174.9830674846735"/>
    <n v="5174.9830674846735"/>
    <n v="20699.932269938694"/>
    <s v="NA"/>
    <m/>
  </r>
  <r>
    <s v="NSG"/>
    <x v="5"/>
    <x v="9"/>
    <s v="Custom"/>
    <x v="22"/>
    <n v="0"/>
    <s v="CI"/>
    <x v="4"/>
    <n v="0"/>
    <s v="therm"/>
    <n v="11869.5"/>
    <n v="11869.5"/>
    <n v="11869.5"/>
    <n v="11869.5"/>
    <n v="0"/>
    <m/>
    <n v="1"/>
    <n v="1"/>
    <n v="1"/>
    <n v="1"/>
    <n v="0.92"/>
    <n v="0.92"/>
    <n v="0.92"/>
    <n v="0.92"/>
    <n v="10919.94"/>
    <n v="10919.94"/>
    <n v="10919.94"/>
    <n v="10919.94"/>
    <n v="43679.76"/>
    <n v="0.92"/>
    <n v="0.92"/>
    <n v="0.92"/>
    <n v="0.92"/>
    <n v="0.92"/>
    <n v="0.92"/>
    <n v="0.92"/>
    <n v="0.92"/>
    <m/>
    <m/>
    <n v="1"/>
    <m/>
    <n v="10919.94"/>
    <n v="0"/>
    <m/>
    <m/>
    <n v="1"/>
    <s v="n/a"/>
    <n v="10919.94"/>
    <n v="10919.94"/>
    <n v="0"/>
    <m/>
    <m/>
    <n v="1"/>
    <m/>
    <n v="10919.94"/>
    <n v="0"/>
    <m/>
    <m/>
    <n v="1"/>
    <m/>
    <n v="10919.94"/>
    <n v="0"/>
    <n v="10919.94"/>
    <n v="10919.94"/>
    <n v="10919.94"/>
    <n v="10919.94"/>
    <n v="43679.76"/>
    <s v="NA"/>
    <m/>
  </r>
  <r>
    <s v="NSG"/>
    <x v="4"/>
    <x v="5"/>
    <s v="IE Kits"/>
    <x v="30"/>
    <s v="IE Kit"/>
    <s v="IE"/>
    <x v="3"/>
    <s v="5.6.1"/>
    <s v="each"/>
    <n v="11200"/>
    <n v="11200"/>
    <n v="11200"/>
    <n v="11200"/>
    <s v="RS-SHL-AIRS-V12-230101"/>
    <m/>
    <n v="0.19176000000000001"/>
    <n v="0.19176000000000001"/>
    <n v="0.19176000000000001"/>
    <n v="0.19176000000000001"/>
    <n v="1"/>
    <n v="1"/>
    <n v="1"/>
    <n v="1"/>
    <n v="2147.712"/>
    <n v="2147.712"/>
    <n v="2147.712"/>
    <n v="2147.712"/>
    <n v="8590.848"/>
    <n v="1"/>
    <n v="1"/>
    <n v="1"/>
    <n v="1"/>
    <n v="1"/>
    <n v="1"/>
    <n v="1"/>
    <n v="1"/>
    <m/>
    <m/>
    <n v="0.19176000000000001"/>
    <m/>
    <n v="2147.712"/>
    <n v="0"/>
    <m/>
    <m/>
    <n v="0.15040000000000001"/>
    <s v="Updated ISR"/>
    <n v="2147.712"/>
    <n v="1684.48"/>
    <n v="-463.23199999999997"/>
    <m/>
    <m/>
    <n v="0.15040000000000001"/>
    <m/>
    <n v="1684.48"/>
    <n v="-463.23199999999997"/>
    <m/>
    <m/>
    <n v="0.15040000000000001"/>
    <m/>
    <n v="1684.48"/>
    <n v="-463.23199999999997"/>
    <n v="2147.712"/>
    <n v="1684.48"/>
    <n v="1684.48"/>
    <n v="1684.48"/>
    <n v="7201.152"/>
    <s v="NA"/>
    <m/>
  </r>
  <r>
    <s v="NSG"/>
    <x v="5"/>
    <x v="7"/>
    <s v="Custom"/>
    <x v="22"/>
    <n v="0"/>
    <s v="CI"/>
    <x v="4"/>
    <n v="0"/>
    <s v="therm"/>
    <n v="10784"/>
    <n v="10784"/>
    <n v="10784"/>
    <n v="10784"/>
    <n v="0"/>
    <m/>
    <n v="1"/>
    <n v="1"/>
    <n v="1"/>
    <n v="1"/>
    <n v="0.93"/>
    <n v="0.93"/>
    <n v="0.93"/>
    <n v="0.93"/>
    <n v="10029.120000000001"/>
    <n v="10029.120000000001"/>
    <n v="10029.120000000001"/>
    <n v="10029.120000000001"/>
    <n v="40116.480000000003"/>
    <n v="0.93"/>
    <n v="0.93"/>
    <n v="0.93"/>
    <n v="0.93"/>
    <n v="0.93"/>
    <n v="0.93"/>
    <n v="0.93"/>
    <n v="0.93"/>
    <m/>
    <m/>
    <n v="1"/>
    <m/>
    <n v="10029.120000000001"/>
    <n v="0"/>
    <m/>
    <m/>
    <n v="1"/>
    <s v="n/a"/>
    <n v="10029.120000000001"/>
    <n v="10029.120000000001"/>
    <n v="0"/>
    <m/>
    <m/>
    <n v="1"/>
    <m/>
    <n v="10029.120000000001"/>
    <n v="0"/>
    <m/>
    <m/>
    <n v="1"/>
    <m/>
    <n v="10029.120000000001"/>
    <n v="0"/>
    <n v="10029.120000000001"/>
    <n v="10029.120000000001"/>
    <n v="10029.120000000001"/>
    <n v="10029.120000000001"/>
    <n v="40116.480000000003"/>
    <s v="NA"/>
    <m/>
  </r>
  <r>
    <s v="NSG"/>
    <x v="4"/>
    <x v="6"/>
    <s v="IE Kits"/>
    <x v="23"/>
    <s v="IE Kit"/>
    <s v="IE"/>
    <x v="3"/>
    <s v="5.6.1"/>
    <s v="sqft"/>
    <n v="10500"/>
    <n v="10500"/>
    <n v="10500"/>
    <n v="10500"/>
    <s v="RS-SHL-AIRS-V12-230101"/>
    <m/>
    <n v="8.3447999999999994E-2"/>
    <n v="8.3447999999999994E-2"/>
    <n v="8.3447999999999994E-2"/>
    <n v="8.3447999999999994E-2"/>
    <n v="1"/>
    <n v="1"/>
    <n v="1"/>
    <n v="1"/>
    <n v="876.20399999999995"/>
    <n v="876.20399999999995"/>
    <n v="876.20399999999995"/>
    <n v="876.20399999999995"/>
    <n v="3504.8159999999998"/>
    <n v="1"/>
    <n v="1"/>
    <n v="1"/>
    <n v="1"/>
    <n v="1"/>
    <n v="1"/>
    <n v="1"/>
    <n v="1"/>
    <m/>
    <m/>
    <n v="8.3447999999999994E-2"/>
    <m/>
    <n v="876.20399999999995"/>
    <n v="0"/>
    <m/>
    <m/>
    <n v="8.3447999999999994E-2"/>
    <s v="Updated ISR"/>
    <n v="876.20399999999995"/>
    <n v="876.20399999999995"/>
    <n v="0"/>
    <m/>
    <m/>
    <n v="8.3447999999999994E-2"/>
    <m/>
    <n v="876.20399999999995"/>
    <n v="0"/>
    <m/>
    <m/>
    <n v="8.3447999999999994E-2"/>
    <m/>
    <n v="876.20399999999995"/>
    <n v="0"/>
    <n v="876.20399999999995"/>
    <n v="876.20399999999995"/>
    <n v="876.20399999999995"/>
    <n v="876.20399999999995"/>
    <n v="3504.8159999999998"/>
    <s v="NA"/>
    <m/>
  </r>
  <r>
    <s v="NSG"/>
    <x v="5"/>
    <x v="7"/>
    <s v="Rebates"/>
    <x v="21"/>
    <s v="Space Heating"/>
    <s v="CI"/>
    <x v="3"/>
    <s v="4.4.2"/>
    <s v="MBH"/>
    <n v="10157"/>
    <n v="10157"/>
    <n v="10157"/>
    <n v="10157"/>
    <s v="CI-HVC-BLRT-V07-210101"/>
    <m/>
    <n v="0.46874846625766969"/>
    <n v="0.46874846625766969"/>
    <n v="0.46874846625766969"/>
    <n v="0.46874846625766969"/>
    <n v="0.93"/>
    <n v="0.93"/>
    <n v="0.93"/>
    <n v="0.93"/>
    <n v="4427.8026997546112"/>
    <n v="4427.8026997546112"/>
    <n v="4427.8026997546112"/>
    <n v="4427.8026997546112"/>
    <n v="17711.210799018445"/>
    <n v="0.93"/>
    <n v="0.93"/>
    <n v="0.93"/>
    <n v="0.93"/>
    <n v="0.93"/>
    <n v="0.93"/>
    <n v="0.93"/>
    <n v="0.93"/>
    <m/>
    <m/>
    <n v="0.46874846625766969"/>
    <m/>
    <n v="4427.8026997546112"/>
    <n v="0"/>
    <m/>
    <m/>
    <n v="0.46874846625766969"/>
    <s v="n/a"/>
    <n v="4427.8026997546112"/>
    <n v="4427.8026997546112"/>
    <n v="0"/>
    <m/>
    <m/>
    <n v="0.46874846625766969"/>
    <m/>
    <n v="4427.8026997546112"/>
    <n v="0"/>
    <m/>
    <m/>
    <n v="0.46874846625766969"/>
    <m/>
    <n v="4427.8026997546112"/>
    <n v="0"/>
    <n v="4427.8026997546112"/>
    <n v="4427.8026997546112"/>
    <n v="4427.8026997546112"/>
    <n v="4427.8026997546112"/>
    <n v="17711.210799018445"/>
    <s v="NA"/>
    <m/>
  </r>
  <r>
    <s v="NSG"/>
    <x v="3"/>
    <x v="6"/>
    <s v="Partner Trade Ally Rebate"/>
    <x v="21"/>
    <s v="Process"/>
    <s v="MF/CI"/>
    <x v="3"/>
    <s v="4.4.3"/>
    <s v="MBH"/>
    <n v="10000"/>
    <n v="10000"/>
    <n v="10000"/>
    <n v="10000"/>
    <s v="CI-HVC-PBTU-V07-230101"/>
    <m/>
    <n v="1.0227353753026578"/>
    <n v="1.0227353753026578"/>
    <n v="1.0227353753026578"/>
    <n v="1.0227353753026578"/>
    <n v="0.87"/>
    <n v="0.87"/>
    <n v="0.87"/>
    <n v="0.87"/>
    <n v="8897.7977651331239"/>
    <n v="8897.7977651331239"/>
    <n v="8897.7977651331239"/>
    <n v="8897.7977651331239"/>
    <n v="35591.191060532496"/>
    <n v="0.87"/>
    <n v="0.87"/>
    <n v="0.87"/>
    <n v="0.87"/>
    <n v="0.87"/>
    <n v="0.87"/>
    <n v="0.87"/>
    <n v="0.87"/>
    <m/>
    <m/>
    <n v="1.0227353753026578"/>
    <m/>
    <n v="8897.7977651331239"/>
    <n v="0"/>
    <m/>
    <m/>
    <n v="1.0227353753026578"/>
    <s v="Updated measure lifetime."/>
    <n v="8897.7977651331239"/>
    <n v="8897.7977651331239"/>
    <n v="0"/>
    <m/>
    <m/>
    <n v="1.0227353753026578"/>
    <m/>
    <n v="8897.7977651331239"/>
    <n v="0"/>
    <m/>
    <m/>
    <n v="1.0227353753026578"/>
    <m/>
    <n v="8897.7977651331239"/>
    <n v="0"/>
    <n v="8897.7977651331239"/>
    <n v="8897.7977651331239"/>
    <n v="8897.7977651331239"/>
    <n v="8897.7977651331239"/>
    <n v="35591.191060532496"/>
    <s v="NA"/>
    <m/>
  </r>
  <r>
    <s v="NSG"/>
    <x v="5"/>
    <x v="9"/>
    <s v="Rebates"/>
    <x v="28"/>
    <s v="≥88% AFUE, ≥300MBh TE"/>
    <s v="CI"/>
    <x v="3"/>
    <s v="4.4.10"/>
    <s v="MBH"/>
    <n v="10000"/>
    <n v="10000"/>
    <n v="10000"/>
    <n v="10000"/>
    <s v="CI-HVC-BOIL-V10-230101"/>
    <m/>
    <n v="1.6609999999999991"/>
    <n v="1.6609999999999991"/>
    <n v="1.6609999999999991"/>
    <n v="1.6609999999999991"/>
    <n v="0.92"/>
    <n v="0.92"/>
    <n v="0.92"/>
    <n v="0.92"/>
    <n v="15281.199999999993"/>
    <n v="15281.199999999993"/>
    <n v="15281.199999999993"/>
    <n v="15281.199999999993"/>
    <n v="61124.799999999974"/>
    <n v="0.92"/>
    <n v="0.92"/>
    <n v="0.92"/>
    <n v="0.92"/>
    <n v="0.92"/>
    <n v="0.92"/>
    <n v="0.92"/>
    <n v="0.92"/>
    <m/>
    <m/>
    <n v="1.6609999999999991"/>
    <m/>
    <n v="15281.199999999993"/>
    <n v="0"/>
    <m/>
    <m/>
    <n v="1.6609999999999991"/>
    <s v="n/a"/>
    <n v="15281.199999999993"/>
    <n v="15281.199999999993"/>
    <n v="0"/>
    <m/>
    <m/>
    <n v="1.6609999999999991"/>
    <m/>
    <n v="15281.199999999993"/>
    <n v="0"/>
    <m/>
    <m/>
    <n v="1.6609999999999991"/>
    <m/>
    <n v="15281.199999999993"/>
    <n v="0"/>
    <n v="15281.199999999993"/>
    <n v="15281.199999999993"/>
    <n v="15281.199999999993"/>
    <n v="15281.199999999993"/>
    <n v="61124.799999999974"/>
    <s v="NA"/>
    <m/>
  </r>
  <r>
    <s v="NSG"/>
    <x v="5"/>
    <x v="9"/>
    <s v="Rebates"/>
    <x v="31"/>
    <n v="0"/>
    <s v="MF/CI/SMB"/>
    <x v="3"/>
    <s v="4.4.19"/>
    <s v="sqft"/>
    <n v="10000"/>
    <n v="10000"/>
    <n v="10000"/>
    <n v="10000"/>
    <s v="CI-HVC-DCV-V06-220101"/>
    <m/>
    <n v="6.8000000000000005E-2"/>
    <n v="6.8000000000000005E-2"/>
    <n v="6.8000000000000005E-2"/>
    <n v="6.8000000000000005E-2"/>
    <n v="0.92"/>
    <n v="0.92"/>
    <n v="0.92"/>
    <n v="0.92"/>
    <n v="625.6"/>
    <n v="625.6"/>
    <n v="625.6"/>
    <n v="625.6"/>
    <n v="2502.4"/>
    <n v="0.92"/>
    <n v="0.92"/>
    <n v="0.92"/>
    <n v="0.92"/>
    <n v="0.92"/>
    <n v="0.92"/>
    <n v="0.92"/>
    <n v="0.92"/>
    <m/>
    <m/>
    <n v="6.8000000000000005E-2"/>
    <m/>
    <n v="625.6"/>
    <n v="0"/>
    <m/>
    <m/>
    <n v="6.8000000000000005E-2"/>
    <s v="n/a"/>
    <n v="625.6"/>
    <n v="625.6"/>
    <n v="0"/>
    <m/>
    <m/>
    <n v="6.8000000000000005E-2"/>
    <m/>
    <n v="625.6"/>
    <n v="0"/>
    <m/>
    <m/>
    <n v="6.8000000000000005E-2"/>
    <m/>
    <n v="625.6"/>
    <n v="0"/>
    <n v="625.6"/>
    <n v="625.6"/>
    <n v="625.6"/>
    <n v="625.6"/>
    <n v="2502.4"/>
    <s v="NA"/>
    <m/>
  </r>
  <r>
    <s v="NSG"/>
    <x v="4"/>
    <x v="5"/>
    <s v="IE Kits"/>
    <x v="26"/>
    <s v="IE Kit"/>
    <s v="IE"/>
    <x v="3"/>
    <s v="5.6.1"/>
    <s v="linear ft"/>
    <n v="9520"/>
    <n v="9520"/>
    <n v="9520"/>
    <n v="9520"/>
    <s v="RS-SHL-AIRS-V12-230101"/>
    <m/>
    <n v="0.30743999999999999"/>
    <n v="0.30743999999999999"/>
    <n v="0.30743999999999999"/>
    <n v="0.30743999999999999"/>
    <n v="1"/>
    <n v="1"/>
    <n v="1"/>
    <n v="1"/>
    <n v="2926.8287999999998"/>
    <n v="2926.8287999999998"/>
    <n v="2926.8287999999998"/>
    <n v="2926.8287999999998"/>
    <n v="11707.315199999999"/>
    <n v="1"/>
    <n v="1"/>
    <n v="1"/>
    <n v="1"/>
    <n v="1"/>
    <n v="1"/>
    <n v="1"/>
    <n v="1"/>
    <m/>
    <m/>
    <n v="0.30743999999999999"/>
    <m/>
    <n v="2926.8287999999998"/>
    <n v="0"/>
    <m/>
    <m/>
    <n v="0.30743999999999999"/>
    <s v="Updated ISR"/>
    <n v="2926.8287999999998"/>
    <n v="2926.8287999999998"/>
    <n v="0"/>
    <m/>
    <m/>
    <n v="0.30743999999999999"/>
    <m/>
    <n v="2926.8287999999998"/>
    <n v="0"/>
    <m/>
    <m/>
    <n v="0.30743999999999999"/>
    <m/>
    <n v="2926.8287999999998"/>
    <n v="0"/>
    <n v="2926.8287999999998"/>
    <n v="2926.8287999999998"/>
    <n v="2926.8287999999998"/>
    <n v="2926.8287999999998"/>
    <n v="11707.315199999999"/>
    <s v="NA"/>
    <m/>
  </r>
  <r>
    <s v="NSG"/>
    <x v="5"/>
    <x v="8"/>
    <s v="Rebates"/>
    <x v="31"/>
    <n v="0"/>
    <s v="MF/CI/SMB"/>
    <x v="3"/>
    <s v="4.4.19"/>
    <s v="sqft"/>
    <n v="8500"/>
    <n v="8000"/>
    <n v="7000"/>
    <n v="6800.0000000000009"/>
    <s v="CI-HVC-DCV-V06-220101"/>
    <m/>
    <n v="6.8000000000000005E-2"/>
    <n v="6.8000000000000005E-2"/>
    <n v="6.8000000000000005E-2"/>
    <n v="6.8000000000000005E-2"/>
    <n v="0.91"/>
    <n v="0.91"/>
    <n v="0.91"/>
    <n v="0.91"/>
    <n v="525.98"/>
    <n v="495.04"/>
    <n v="433.16000000000008"/>
    <n v="420.78400000000011"/>
    <n v="1874.9640000000002"/>
    <n v="0.91"/>
    <n v="0.91"/>
    <n v="0.91"/>
    <n v="0.91"/>
    <n v="0.91"/>
    <n v="0.91"/>
    <n v="0.91"/>
    <n v="0.91"/>
    <m/>
    <m/>
    <n v="6.8000000000000005E-2"/>
    <m/>
    <n v="525.98"/>
    <n v="0"/>
    <m/>
    <m/>
    <n v="6.8000000000000005E-2"/>
    <s v="n/a"/>
    <n v="495.04"/>
    <n v="495.04"/>
    <n v="0"/>
    <m/>
    <m/>
    <n v="6.8000000000000005E-2"/>
    <m/>
    <n v="433.16000000000008"/>
    <n v="0"/>
    <m/>
    <m/>
    <n v="6.8000000000000005E-2"/>
    <m/>
    <n v="420.78400000000011"/>
    <n v="0"/>
    <n v="525.98"/>
    <n v="495.04"/>
    <n v="433.16000000000008"/>
    <n v="420.78400000000011"/>
    <n v="1874.9640000000002"/>
    <s v="NA"/>
    <m/>
  </r>
  <r>
    <s v="NSG"/>
    <x v="4"/>
    <x v="6"/>
    <s v="MF IHWAP"/>
    <x v="32"/>
    <n v="0"/>
    <s v="SF"/>
    <x v="3"/>
    <s v="5.6.4"/>
    <s v="sq ft"/>
    <n v="7200"/>
    <n v="9000"/>
    <n v="16200"/>
    <n v="18000"/>
    <s v="RS-SHL-WINS-V12-230101"/>
    <m/>
    <n v="0.10827529411764705"/>
    <n v="0.10827529411764705"/>
    <n v="0.10827529411764705"/>
    <n v="0.10827529411764705"/>
    <n v="1"/>
    <n v="1"/>
    <n v="1"/>
    <n v="1"/>
    <n v="779.58211764705879"/>
    <n v="974.47764705882344"/>
    <n v="1754.0597647058823"/>
    <n v="1948.9552941176469"/>
    <n v="5457.0748235294113"/>
    <n v="1"/>
    <n v="1"/>
    <n v="1"/>
    <n v="1"/>
    <n v="1"/>
    <n v="1"/>
    <n v="1"/>
    <n v="1"/>
    <m/>
    <m/>
    <n v="0.10827529411764705"/>
    <m/>
    <n v="779.58211764705879"/>
    <n v="0"/>
    <m/>
    <m/>
    <n v="0.10827529411764705"/>
    <s v="No savings impacts with existing measure assumptions."/>
    <n v="974.47764705882344"/>
    <n v="974.47764705882344"/>
    <n v="0"/>
    <m/>
    <m/>
    <n v="0.10827529411764705"/>
    <m/>
    <n v="1754.0597647058823"/>
    <n v="0"/>
    <m/>
    <m/>
    <n v="0.10827529411764705"/>
    <m/>
    <n v="1948.9552941176469"/>
    <n v="0"/>
    <n v="779.58211764705879"/>
    <n v="974.47764705882344"/>
    <n v="1754.0597647058823"/>
    <n v="1948.9552941176469"/>
    <n v="5457.0748235294113"/>
    <s v="NA"/>
    <m/>
  </r>
  <r>
    <s v="NSG"/>
    <x v="3"/>
    <x v="3"/>
    <s v="Partner Trade Ally Rebate"/>
    <x v="33"/>
    <n v="0"/>
    <s v="SF"/>
    <x v="3"/>
    <s v="5.3.4"/>
    <s v="CFM_25"/>
    <n v="6000"/>
    <n v="6000"/>
    <n v="6000"/>
    <n v="6000"/>
    <s v="RS-HVC-DINS-V11-230101"/>
    <m/>
    <n v="0.70396939263510283"/>
    <n v="0.70396939263510283"/>
    <n v="0.70396939263510283"/>
    <n v="0.70396939263510283"/>
    <n v="0.87"/>
    <n v="0.87"/>
    <n v="0.87"/>
    <n v="0.87"/>
    <n v="3674.720229555237"/>
    <n v="3674.720229555237"/>
    <n v="3674.720229555237"/>
    <n v="3674.720229555237"/>
    <n v="14698.880918220948"/>
    <n v="0.87"/>
    <n v="0.87"/>
    <n v="0.87"/>
    <n v="0.87"/>
    <n v="0.87"/>
    <n v="0.87"/>
    <n v="0.87"/>
    <n v="0.87"/>
    <m/>
    <m/>
    <n v="0.70396939263510283"/>
    <m/>
    <n v="3674.720229555237"/>
    <n v="0"/>
    <m/>
    <m/>
    <n v="0.70396939263510283"/>
    <s v="n/a"/>
    <n v="3674.720229555237"/>
    <n v="3674.720229555237"/>
    <n v="0"/>
    <m/>
    <m/>
    <n v="0.70396939263510283"/>
    <m/>
    <n v="3674.720229555237"/>
    <n v="0"/>
    <m/>
    <m/>
    <n v="0.70396939263510283"/>
    <m/>
    <n v="3674.720229555237"/>
    <n v="0"/>
    <n v="3674.720229555237"/>
    <n v="3674.720229555237"/>
    <n v="3674.720229555237"/>
    <n v="3674.720229555237"/>
    <n v="14698.880918220948"/>
    <s v="NA"/>
    <m/>
  </r>
  <r>
    <s v="NSG"/>
    <x v="4"/>
    <x v="5"/>
    <s v="IHWAP"/>
    <x v="32"/>
    <n v="0"/>
    <s v="SF"/>
    <x v="3"/>
    <s v="5.6.4"/>
    <s v="sq ft"/>
    <n v="5000"/>
    <n v="5500"/>
    <n v="7000"/>
    <n v="7500"/>
    <s v="RS-SHL-WINS-V12-230101"/>
    <m/>
    <n v="0.10827529411764705"/>
    <n v="0.10827529411764705"/>
    <n v="0.10827529411764705"/>
    <n v="0.10827529411764705"/>
    <n v="1"/>
    <n v="1"/>
    <n v="1"/>
    <n v="1"/>
    <n v="541.37647058823529"/>
    <n v="595.51411764705881"/>
    <n v="757.92705882352936"/>
    <n v="812.06470588235288"/>
    <n v="2706.8823529411766"/>
    <n v="1"/>
    <n v="1"/>
    <n v="1"/>
    <n v="1"/>
    <n v="1"/>
    <n v="1"/>
    <n v="1"/>
    <n v="1"/>
    <m/>
    <m/>
    <n v="0.10827529411764705"/>
    <m/>
    <n v="541.37647058823529"/>
    <n v="0"/>
    <m/>
    <m/>
    <n v="0.10827529411764705"/>
    <s v="No savings impacts with existing measure assumptions."/>
    <n v="595.51411764705881"/>
    <n v="595.51411764705881"/>
    <n v="0"/>
    <m/>
    <m/>
    <n v="0.10827529411764705"/>
    <m/>
    <n v="757.92705882352936"/>
    <n v="0"/>
    <m/>
    <m/>
    <n v="0.10827529411764705"/>
    <m/>
    <n v="812.06470588235288"/>
    <n v="0"/>
    <n v="541.37647058823529"/>
    <n v="595.51411764705881"/>
    <n v="757.92705882352936"/>
    <n v="812.06470588235288"/>
    <n v="2706.8823529411766"/>
    <s v="NA"/>
    <m/>
  </r>
  <r>
    <s v="NSG"/>
    <x v="3"/>
    <x v="6"/>
    <s v="Partner Trade Ally Rebate"/>
    <x v="21"/>
    <s v="Space Heating"/>
    <s v="MF"/>
    <x v="3"/>
    <s v="4.4.2"/>
    <s v="MBH"/>
    <n v="4800"/>
    <n v="4800"/>
    <n v="4800"/>
    <n v="4800"/>
    <s v="CI-HVC-BLRT-V07-210101"/>
    <m/>
    <n v="0.46874846625766969"/>
    <n v="0.46874846625766969"/>
    <n v="0.46874846625766969"/>
    <n v="0.46874846625766969"/>
    <n v="0.87"/>
    <n v="0.87"/>
    <n v="0.87"/>
    <n v="0.87"/>
    <n v="1957.4935950920287"/>
    <n v="1957.4935950920287"/>
    <n v="1957.4935950920287"/>
    <n v="1957.4935950920287"/>
    <n v="7829.9743803681149"/>
    <n v="0.87"/>
    <n v="0.87"/>
    <n v="0.87"/>
    <n v="0.87"/>
    <n v="0.87"/>
    <n v="0.87"/>
    <n v="0.87"/>
    <n v="0.87"/>
    <m/>
    <m/>
    <n v="0.46874846625766969"/>
    <m/>
    <n v="1957.4935950920287"/>
    <n v="0"/>
    <m/>
    <m/>
    <n v="0.46874846625766969"/>
    <s v="n/a"/>
    <n v="1957.4935950920287"/>
    <n v="1957.4935950920287"/>
    <n v="0"/>
    <m/>
    <m/>
    <n v="0.46874846625766969"/>
    <m/>
    <n v="1957.4935950920287"/>
    <n v="0"/>
    <m/>
    <m/>
    <n v="0.46874846625766969"/>
    <m/>
    <n v="1957.4935950920287"/>
    <n v="0"/>
    <n v="1957.4935950920287"/>
    <n v="1957.4935950920287"/>
    <n v="1957.4935950920287"/>
    <n v="1957.4935950920287"/>
    <n v="7829.9743803681149"/>
    <s v="NA"/>
    <m/>
  </r>
  <r>
    <s v="NSG"/>
    <x v="4"/>
    <x v="6"/>
    <s v="MF IHWAP"/>
    <x v="17"/>
    <n v="0"/>
    <s v="SF"/>
    <x v="3"/>
    <s v="5.6.5"/>
    <s v="sq ft"/>
    <n v="3993.1428571428569"/>
    <n v="4991.4285714285716"/>
    <n v="8984.5714285714294"/>
    <n v="9982.8571428571431"/>
    <s v="RS-SHL-AINS-V06-230101"/>
    <m/>
    <n v="8.0457181447124299E-2"/>
    <n v="8.0457181447124299E-2"/>
    <n v="8.0457181447124299E-2"/>
    <n v="8.0457181447124299E-2"/>
    <n v="1"/>
    <n v="1"/>
    <n v="1"/>
    <n v="1"/>
    <n v="321.27701940143118"/>
    <n v="401.596274251789"/>
    <n v="722.87329365322023"/>
    <n v="803.192548503578"/>
    <n v="2248.9391358100183"/>
    <n v="1"/>
    <n v="1"/>
    <n v="1"/>
    <n v="1"/>
    <n v="1"/>
    <n v="1"/>
    <n v="1"/>
    <n v="1"/>
    <m/>
    <m/>
    <n v="8.0457181447124299E-2"/>
    <m/>
    <n v="321.27701940143118"/>
    <n v="0"/>
    <m/>
    <m/>
    <n v="8.0457181447124299E-2"/>
    <s v="No savings impacts with existing measure assumptions."/>
    <n v="401.596274251789"/>
    <n v="401.596274251789"/>
    <n v="0"/>
    <m/>
    <m/>
    <n v="8.0457181447124299E-2"/>
    <m/>
    <n v="722.87329365322023"/>
    <n v="0"/>
    <m/>
    <m/>
    <n v="8.0457181447124299E-2"/>
    <m/>
    <n v="803.192548503578"/>
    <n v="0"/>
    <n v="321.27701940143118"/>
    <n v="401.596274251789"/>
    <n v="722.87329365322023"/>
    <n v="803.192548503578"/>
    <n v="2248.9391358100183"/>
    <s v="NA"/>
    <m/>
  </r>
  <r>
    <s v="NSG"/>
    <x v="3"/>
    <x v="6"/>
    <s v="Custom Rebate"/>
    <x v="27"/>
    <n v="0"/>
    <s v="MF"/>
    <x v="4"/>
    <n v="0"/>
    <s v="therm"/>
    <n v="3921"/>
    <n v="3921"/>
    <n v="3921"/>
    <n v="3921"/>
    <n v="0"/>
    <m/>
    <n v="1"/>
    <n v="1"/>
    <n v="1"/>
    <n v="1"/>
    <n v="0.87"/>
    <n v="0.87"/>
    <n v="0.87"/>
    <n v="0.87"/>
    <n v="3411.27"/>
    <n v="3411.27"/>
    <n v="3411.27"/>
    <n v="3411.27"/>
    <n v="13645.08"/>
    <n v="0.87"/>
    <n v="0.87"/>
    <n v="0.87"/>
    <n v="0.87"/>
    <n v="0.87"/>
    <n v="0.87"/>
    <n v="0.87"/>
    <n v="0.87"/>
    <m/>
    <m/>
    <n v="1"/>
    <m/>
    <n v="3411.27"/>
    <n v="0"/>
    <m/>
    <m/>
    <n v="1"/>
    <s v="n/a"/>
    <n v="3411.27"/>
    <n v="3411.27"/>
    <n v="0"/>
    <m/>
    <m/>
    <n v="1"/>
    <m/>
    <n v="3411.27"/>
    <n v="0"/>
    <m/>
    <m/>
    <n v="1"/>
    <m/>
    <n v="3411.27"/>
    <n v="0"/>
    <n v="3411.27"/>
    <n v="3411.27"/>
    <n v="3411.27"/>
    <n v="3411.27"/>
    <n v="13645.08"/>
    <s v="NA"/>
    <m/>
  </r>
  <r>
    <s v="NSG"/>
    <x v="5"/>
    <x v="9"/>
    <s v="Rebates"/>
    <x v="34"/>
    <n v="0"/>
    <s v="CI"/>
    <x v="3"/>
    <s v="4.4.4"/>
    <s v="MBH"/>
    <n v="3600"/>
    <n v="3600"/>
    <n v="3600"/>
    <n v="3600"/>
    <s v="CI-HVC-BLRC-V04-210101"/>
    <m/>
    <n v="1.3424"/>
    <n v="1.3424"/>
    <n v="1.3424"/>
    <n v="1.3424"/>
    <n v="0.92"/>
    <n v="0.92"/>
    <n v="0.92"/>
    <n v="0.92"/>
    <n v="4446.0288"/>
    <n v="4446.0288"/>
    <n v="4446.0288"/>
    <n v="4446.0288"/>
    <n v="17784.1152"/>
    <n v="0.92"/>
    <n v="0.92"/>
    <n v="0.92"/>
    <n v="0.92"/>
    <n v="0.92"/>
    <n v="0.92"/>
    <n v="0.92"/>
    <n v="0.92"/>
    <m/>
    <m/>
    <n v="1.3424"/>
    <m/>
    <n v="4446.0288"/>
    <n v="0"/>
    <m/>
    <m/>
    <n v="1.3424"/>
    <s v="n/a"/>
    <n v="4446.0288"/>
    <n v="4446.0288"/>
    <n v="0"/>
    <m/>
    <m/>
    <n v="1.3424"/>
    <m/>
    <n v="4446.0288"/>
    <n v="0"/>
    <m/>
    <m/>
    <n v="1.3424"/>
    <m/>
    <n v="4446.0288"/>
    <n v="0"/>
    <n v="4446.0288"/>
    <n v="4446.0288"/>
    <n v="4446.0288"/>
    <n v="4446.0288"/>
    <n v="17784.1152"/>
    <s v="NA"/>
    <m/>
  </r>
  <r>
    <s v="NSG"/>
    <x v="3"/>
    <x v="3"/>
    <s v="Partner Trade Ally Rebate"/>
    <x v="32"/>
    <n v="0"/>
    <s v="SF"/>
    <x v="3"/>
    <s v="5.6.4"/>
    <s v="sq ft"/>
    <n v="3500"/>
    <n v="3500"/>
    <n v="3500"/>
    <n v="3500"/>
    <s v="RS-SHL-WINS-V12-230101"/>
    <m/>
    <n v="0.10827529411764705"/>
    <n v="0.10827529411764705"/>
    <n v="0.10827529411764705"/>
    <n v="0.10827529411764705"/>
    <n v="0.79"/>
    <n v="0.79"/>
    <n v="0.79"/>
    <n v="0.79"/>
    <n v="299.38118823529413"/>
    <n v="299.38118823529413"/>
    <n v="299.38118823529413"/>
    <n v="299.38118823529413"/>
    <n v="1197.5247529411765"/>
    <n v="0.79"/>
    <n v="0.79"/>
    <n v="0.79"/>
    <n v="0.79"/>
    <n v="0.79"/>
    <n v="0.79"/>
    <n v="0.79"/>
    <n v="0.79"/>
    <m/>
    <m/>
    <n v="0.10827529411764705"/>
    <m/>
    <n v="299.38118823529413"/>
    <n v="0"/>
    <m/>
    <m/>
    <n v="0.10827529411764705"/>
    <s v="No savings impacts with existing measure assumptions."/>
    <n v="299.38118823529413"/>
    <n v="299.38118823529413"/>
    <n v="0"/>
    <m/>
    <m/>
    <n v="0.10827529411764705"/>
    <m/>
    <n v="299.38118823529413"/>
    <n v="0"/>
    <m/>
    <m/>
    <n v="0.10827529411764705"/>
    <m/>
    <n v="299.38118823529413"/>
    <n v="0"/>
    <n v="299.38118823529413"/>
    <n v="299.38118823529413"/>
    <n v="299.38118823529413"/>
    <n v="299.38118823529413"/>
    <n v="1197.5247529411765"/>
    <s v="NA"/>
    <m/>
  </r>
  <r>
    <s v="NSG"/>
    <x v="3"/>
    <x v="6"/>
    <s v="Partner Trade Ally Rebate"/>
    <x v="35"/>
    <s v=" &gt;=1500MBH, &gt;=82% TE"/>
    <s v="MF"/>
    <x v="3"/>
    <s v="4.4.10"/>
    <s v="MBH"/>
    <n v="3000"/>
    <n v="3000"/>
    <n v="3000"/>
    <n v="3000"/>
    <s v="CI-HVC-BOIL-V10-230101"/>
    <m/>
    <n v="0.85179487179487012"/>
    <n v="0.85179487179487012"/>
    <n v="0.85179487179487012"/>
    <n v="0.85179487179487012"/>
    <n v="0.87"/>
    <n v="0.87"/>
    <n v="0.87"/>
    <n v="0.87"/>
    <n v="2223.1846153846109"/>
    <n v="2223.1846153846109"/>
    <n v="2223.1846153846109"/>
    <n v="2223.1846153846109"/>
    <n v="8892.7384615384435"/>
    <n v="0.87"/>
    <n v="0.87"/>
    <n v="0.87"/>
    <n v="0.87"/>
    <n v="0.87"/>
    <n v="0.87"/>
    <n v="0.87"/>
    <n v="0.87"/>
    <m/>
    <m/>
    <n v="0.85179487179487012"/>
    <m/>
    <n v="2223.1846153846109"/>
    <n v="0"/>
    <m/>
    <m/>
    <n v="0.63075949367088424"/>
    <s v="n/a"/>
    <n v="2223.1846153846109"/>
    <n v="1646.2822784810078"/>
    <n v="-576.9023369036031"/>
    <m/>
    <m/>
    <n v="0.63075949367088424"/>
    <m/>
    <n v="1646.2822784810078"/>
    <n v="-576.9023369036031"/>
    <m/>
    <m/>
    <n v="0.63075949367088424"/>
    <m/>
    <n v="1646.2822784810078"/>
    <n v="-576.9023369036031"/>
    <n v="2223.1846153846109"/>
    <n v="1646.2822784810078"/>
    <n v="1646.2822784810078"/>
    <n v="1646.2822784810078"/>
    <n v="7162.0314508276342"/>
    <s v="NA"/>
    <m/>
  </r>
  <r>
    <s v="NSG"/>
    <x v="5"/>
    <x v="7"/>
    <s v="Rebates"/>
    <x v="28"/>
    <s v="≥88% AFUE, ≥300MBh TE"/>
    <s v="CI"/>
    <x v="3"/>
    <s v="4.4.10"/>
    <s v="MBH"/>
    <n v="3000"/>
    <n v="3000"/>
    <n v="3000"/>
    <n v="3000"/>
    <s v="CI-HVC-BOIL-V10-230101"/>
    <m/>
    <n v="1.6609999999999991"/>
    <n v="1.6609999999999991"/>
    <n v="1.6609999999999991"/>
    <n v="1.6609999999999991"/>
    <n v="0.93"/>
    <n v="0.93"/>
    <n v="0.93"/>
    <n v="0.93"/>
    <n v="4634.1899999999978"/>
    <n v="4634.1899999999978"/>
    <n v="4634.1899999999978"/>
    <n v="4634.1899999999978"/>
    <n v="18536.759999999991"/>
    <n v="0.93"/>
    <n v="0.93"/>
    <n v="0.93"/>
    <n v="0.93"/>
    <n v="0.93"/>
    <n v="0.93"/>
    <n v="0.93"/>
    <n v="0.93"/>
    <m/>
    <m/>
    <n v="1.6609999999999991"/>
    <m/>
    <n v="4634.1899999999978"/>
    <n v="0"/>
    <m/>
    <m/>
    <n v="1.6609999999999991"/>
    <s v="n/a"/>
    <n v="4634.1899999999978"/>
    <n v="4634.1899999999978"/>
    <n v="0"/>
    <m/>
    <m/>
    <n v="1.6609999999999991"/>
    <m/>
    <n v="4634.1899999999978"/>
    <n v="0"/>
    <m/>
    <m/>
    <n v="1.6609999999999991"/>
    <m/>
    <n v="4634.1899999999978"/>
    <n v="0"/>
    <n v="4634.1899999999978"/>
    <n v="4634.1899999999978"/>
    <n v="4634.1899999999978"/>
    <n v="4634.1899999999978"/>
    <n v="18536.759999999991"/>
    <s v="NA"/>
    <m/>
  </r>
  <r>
    <s v="NSG"/>
    <x v="5"/>
    <x v="7"/>
    <s v="Partner Trade Ally Rebate"/>
    <x v="28"/>
    <s v="≥88% AFUE, ≥300MBh TE"/>
    <s v="CI"/>
    <x v="3"/>
    <s v="4.4.10"/>
    <s v="MBH"/>
    <n v="3000"/>
    <n v="3000"/>
    <n v="3000"/>
    <n v="3000"/>
    <s v="CI-HVC-BOIL-V10-230101"/>
    <m/>
    <n v="1.6609999999999991"/>
    <n v="1.6609999999999991"/>
    <n v="1.6609999999999991"/>
    <n v="1.6609999999999991"/>
    <n v="0.93"/>
    <n v="0.93"/>
    <n v="0.93"/>
    <n v="0.93"/>
    <n v="4634.1899999999978"/>
    <n v="4634.1899999999978"/>
    <n v="4634.1899999999978"/>
    <n v="4634.1899999999978"/>
    <n v="18536.759999999991"/>
    <n v="0.93"/>
    <n v="0.93"/>
    <n v="0.93"/>
    <n v="0.93"/>
    <n v="0.93"/>
    <n v="0.93"/>
    <n v="0.93"/>
    <n v="0.93"/>
    <m/>
    <m/>
    <n v="1.6609999999999991"/>
    <m/>
    <n v="4634.1899999999978"/>
    <n v="0"/>
    <m/>
    <m/>
    <n v="1.6609999999999991"/>
    <s v="n/a"/>
    <n v="4634.1899999999978"/>
    <n v="4634.1899999999978"/>
    <n v="0"/>
    <m/>
    <m/>
    <n v="1.6609999999999991"/>
    <m/>
    <n v="4634.1899999999978"/>
    <n v="0"/>
    <m/>
    <m/>
    <n v="1.6609999999999991"/>
    <m/>
    <n v="4634.1899999999978"/>
    <n v="0"/>
    <n v="4634.1899999999978"/>
    <n v="4634.1899999999978"/>
    <n v="4634.1899999999978"/>
    <n v="4634.1899999999978"/>
    <n v="18536.759999999991"/>
    <s v="NA"/>
    <m/>
  </r>
  <r>
    <s v="NSG"/>
    <x v="4"/>
    <x v="6"/>
    <s v="IE Kits"/>
    <x v="30"/>
    <s v="IE Kit"/>
    <s v="IE"/>
    <x v="3"/>
    <s v="5.6.1"/>
    <s v="each"/>
    <n v="2800"/>
    <n v="2800"/>
    <n v="2800"/>
    <n v="2800"/>
    <s v="RS-SHL-AIRS-V12-230101"/>
    <m/>
    <n v="0.19176000000000001"/>
    <n v="0.19176000000000001"/>
    <n v="0.19176000000000001"/>
    <n v="0.19176000000000001"/>
    <n v="1"/>
    <n v="1"/>
    <n v="1"/>
    <n v="1"/>
    <n v="536.928"/>
    <n v="536.928"/>
    <n v="536.928"/>
    <n v="536.928"/>
    <n v="2147.712"/>
    <n v="1"/>
    <n v="1"/>
    <n v="1"/>
    <n v="1"/>
    <n v="1"/>
    <n v="1"/>
    <n v="1"/>
    <n v="1"/>
    <m/>
    <m/>
    <n v="0.19176000000000001"/>
    <m/>
    <n v="536.928"/>
    <n v="0"/>
    <m/>
    <m/>
    <n v="0.15040000000000001"/>
    <s v="Updated ISR"/>
    <n v="536.928"/>
    <n v="421.12"/>
    <n v="-115.80799999999999"/>
    <m/>
    <m/>
    <n v="0.15040000000000001"/>
    <m/>
    <n v="421.12"/>
    <n v="-115.80799999999999"/>
    <m/>
    <m/>
    <n v="0.15040000000000001"/>
    <m/>
    <n v="421.12"/>
    <n v="-115.80799999999999"/>
    <n v="536.928"/>
    <n v="421.12"/>
    <n v="421.12"/>
    <n v="421.12"/>
    <n v="1800.288"/>
    <s v="NA"/>
    <m/>
  </r>
  <r>
    <s v="NSG"/>
    <x v="3"/>
    <x v="6"/>
    <s v="Partner Trade Ally Rebate"/>
    <x v="34"/>
    <n v="0"/>
    <s v="MF"/>
    <x v="3"/>
    <s v="4.4.4"/>
    <s v="MBH"/>
    <n v="2400"/>
    <n v="2400"/>
    <n v="2400"/>
    <n v="2400"/>
    <s v="CI-HVC-BLRC-V04-210101"/>
    <m/>
    <n v="1.3288"/>
    <n v="1.3288"/>
    <n v="1.3288"/>
    <n v="1.3288"/>
    <n v="0.87"/>
    <n v="0.87"/>
    <n v="0.87"/>
    <n v="0.87"/>
    <n v="2774.5344"/>
    <n v="2774.5344"/>
    <n v="2774.5344"/>
    <n v="2774.5344"/>
    <n v="11098.1376"/>
    <n v="0.87"/>
    <n v="0.87"/>
    <n v="0.87"/>
    <n v="0.87"/>
    <n v="0.87"/>
    <n v="0.87"/>
    <n v="0.87"/>
    <n v="0.87"/>
    <m/>
    <m/>
    <n v="1.3288"/>
    <m/>
    <n v="2774.5344"/>
    <n v="0"/>
    <m/>
    <m/>
    <n v="1.3288"/>
    <s v="n/a"/>
    <n v="2774.5344"/>
    <n v="2774.5344"/>
    <n v="0"/>
    <m/>
    <m/>
    <n v="1.3288"/>
    <m/>
    <n v="2774.5344"/>
    <n v="0"/>
    <m/>
    <m/>
    <n v="1.3288"/>
    <m/>
    <n v="2774.5344"/>
    <n v="0"/>
    <n v="2774.5344"/>
    <n v="2774.5344"/>
    <n v="2774.5344"/>
    <n v="2774.5344"/>
    <n v="11098.1376"/>
    <s v="NA"/>
    <m/>
  </r>
  <r>
    <s v="NSG"/>
    <x v="4"/>
    <x v="6"/>
    <s v="IE Kits"/>
    <x v="26"/>
    <s v="IE Kit"/>
    <s v="IE"/>
    <x v="3"/>
    <s v="5.6.1"/>
    <s v="linear ft"/>
    <n v="2380"/>
    <n v="2380"/>
    <n v="2380"/>
    <n v="2380"/>
    <s v="RS-SHL-AIRS-V12-230101"/>
    <m/>
    <n v="0.30743999999999999"/>
    <n v="0.30743999999999999"/>
    <n v="0.30743999999999999"/>
    <n v="0.30743999999999999"/>
    <n v="1"/>
    <n v="1"/>
    <n v="1"/>
    <n v="1"/>
    <n v="731.70719999999994"/>
    <n v="731.70719999999994"/>
    <n v="731.70719999999994"/>
    <n v="731.70719999999994"/>
    <n v="2926.8287999999998"/>
    <n v="1"/>
    <n v="1"/>
    <n v="1"/>
    <n v="1"/>
    <n v="1"/>
    <n v="1"/>
    <n v="1"/>
    <n v="1"/>
    <m/>
    <m/>
    <n v="0.30743999999999999"/>
    <m/>
    <n v="731.70719999999994"/>
    <n v="0"/>
    <m/>
    <m/>
    <n v="0.30743999999999999"/>
    <s v="Updated ISR"/>
    <n v="731.70719999999994"/>
    <n v="731.70719999999994"/>
    <n v="0"/>
    <m/>
    <m/>
    <n v="0.30743999999999999"/>
    <m/>
    <n v="731.70719999999994"/>
    <n v="0"/>
    <m/>
    <m/>
    <n v="0.30743999999999999"/>
    <m/>
    <n v="731.70719999999994"/>
    <n v="0"/>
    <n v="731.70719999999994"/>
    <n v="731.70719999999994"/>
    <n v="731.70719999999994"/>
    <n v="731.70719999999994"/>
    <n v="2926.8287999999998"/>
    <s v="NA"/>
    <m/>
  </r>
  <r>
    <s v="NSG"/>
    <x v="4"/>
    <x v="6"/>
    <s v="Whole Building - Prescriptive"/>
    <x v="17"/>
    <n v="0"/>
    <s v="SF"/>
    <x v="3"/>
    <s v="5.6.5"/>
    <s v="sq ft"/>
    <n v="1996.5714285714284"/>
    <n v="1996.5714285714284"/>
    <n v="1996.5714285714284"/>
    <n v="1996.5714285714284"/>
    <s v="RS-SHL-AINS-V06-230101"/>
    <m/>
    <n v="8.0457181447124299E-2"/>
    <n v="8.0457181447124299E-2"/>
    <n v="8.0457181447124299E-2"/>
    <n v="8.0457181447124299E-2"/>
    <n v="1"/>
    <n v="1"/>
    <n v="1"/>
    <n v="1"/>
    <n v="160.63850970071559"/>
    <n v="160.63850970071559"/>
    <n v="160.63850970071559"/>
    <n v="160.63850970071559"/>
    <n v="642.55403880286235"/>
    <n v="1"/>
    <n v="1"/>
    <n v="1"/>
    <n v="1"/>
    <n v="1"/>
    <n v="1"/>
    <n v="1"/>
    <n v="1"/>
    <m/>
    <m/>
    <n v="8.0457181447124299E-2"/>
    <m/>
    <n v="160.63850970071559"/>
    <n v="0"/>
    <m/>
    <m/>
    <n v="8.0457181447124299E-2"/>
    <s v="No savings impacts with existing measure assumptions."/>
    <n v="160.63850970071559"/>
    <n v="160.63850970071559"/>
    <n v="0"/>
    <m/>
    <m/>
    <n v="8.0457181447124299E-2"/>
    <m/>
    <n v="160.63850970071559"/>
    <n v="0"/>
    <m/>
    <m/>
    <n v="8.0457181447124299E-2"/>
    <m/>
    <n v="160.63850970071559"/>
    <n v="0"/>
    <n v="160.63850970071559"/>
    <n v="160.63850970071559"/>
    <n v="160.63850970071559"/>
    <n v="160.63850970071559"/>
    <n v="642.55403880286235"/>
    <s v="NA"/>
    <m/>
  </r>
  <r>
    <s v="NSG"/>
    <x v="4"/>
    <x v="5"/>
    <s v="IHWAP"/>
    <x v="33"/>
    <n v="0"/>
    <s v="SF"/>
    <x v="3"/>
    <s v="5.3.4"/>
    <s v="CFM_25"/>
    <n v="1800"/>
    <n v="2040"/>
    <n v="2520"/>
    <n v="2760"/>
    <s v="RS-HVC-DINS-V11-230101"/>
    <m/>
    <n v="0.70396939263510283"/>
    <n v="0.70396939263510283"/>
    <n v="0.70396939263510283"/>
    <n v="0.70396939263510283"/>
    <n v="1"/>
    <n v="1"/>
    <n v="1"/>
    <n v="1"/>
    <n v="1267.1449067431852"/>
    <n v="1436.0975609756097"/>
    <n v="1774.0028694404591"/>
    <n v="1942.9555236728838"/>
    <n v="6420.2008608321376"/>
    <n v="1"/>
    <n v="1"/>
    <n v="1"/>
    <n v="1"/>
    <n v="1"/>
    <n v="1"/>
    <n v="1"/>
    <n v="1"/>
    <m/>
    <m/>
    <n v="0.70396939263510283"/>
    <m/>
    <n v="1267.1449067431852"/>
    <n v="0"/>
    <m/>
    <m/>
    <n v="0.70396939263510283"/>
    <s v="n/a"/>
    <n v="1436.0975609756097"/>
    <n v="1436.0975609756097"/>
    <n v="0"/>
    <m/>
    <m/>
    <n v="0.70396939263510283"/>
    <m/>
    <n v="1774.0028694404591"/>
    <n v="0"/>
    <m/>
    <m/>
    <n v="0.70396939263510283"/>
    <m/>
    <n v="1942.9555236728838"/>
    <n v="0"/>
    <n v="1267.1449067431852"/>
    <n v="1436.0975609756097"/>
    <n v="1774.0028694404591"/>
    <n v="1942.9555236728838"/>
    <n v="6420.2008608321376"/>
    <s v="NA"/>
    <m/>
  </r>
  <r>
    <s v="NSG"/>
    <x v="5"/>
    <x v="7"/>
    <s v="Rebates"/>
    <x v="29"/>
    <n v="0"/>
    <s v="CI"/>
    <x v="3"/>
    <s v="4.4.21"/>
    <s v="MBH"/>
    <n v="1500"/>
    <n v="1500"/>
    <n v="1500"/>
    <n v="1500"/>
    <s v="CI-HVC-LBC-V06-220101"/>
    <m/>
    <n v="0.56277999999999995"/>
    <n v="0.56277999999999995"/>
    <n v="0.56277999999999995"/>
    <n v="0.56277999999999995"/>
    <n v="0.93"/>
    <n v="0.93"/>
    <n v="0.93"/>
    <n v="0.93"/>
    <n v="785.07809999999995"/>
    <n v="785.07809999999995"/>
    <n v="785.07809999999995"/>
    <n v="785.07809999999995"/>
    <n v="3140.3123999999998"/>
    <n v="0.93"/>
    <n v="0.93"/>
    <n v="0.93"/>
    <n v="0.93"/>
    <n v="0.93"/>
    <n v="0.93"/>
    <n v="0.93"/>
    <n v="0.93"/>
    <m/>
    <m/>
    <n v="0.56277999999999995"/>
    <m/>
    <n v="785.07809999999995"/>
    <n v="0"/>
    <m/>
    <m/>
    <n v="0.56277999999999995"/>
    <s v="n/a"/>
    <n v="785.07809999999995"/>
    <n v="785.07809999999995"/>
    <n v="0"/>
    <m/>
    <m/>
    <n v="0.56277999999999995"/>
    <m/>
    <n v="785.07809999999995"/>
    <n v="0"/>
    <m/>
    <m/>
    <n v="0.56277999999999995"/>
    <m/>
    <n v="785.07809999999995"/>
    <n v="0"/>
    <n v="785.07809999999995"/>
    <n v="785.07809999999995"/>
    <n v="785.07809999999995"/>
    <n v="785.07809999999995"/>
    <n v="3140.3123999999998"/>
    <s v="NA"/>
    <m/>
  </r>
  <r>
    <s v="NSG"/>
    <x v="5"/>
    <x v="7"/>
    <s v="Partner Trade Ally Rebate"/>
    <x v="29"/>
    <n v="0"/>
    <s v="CI"/>
    <x v="3"/>
    <s v="4.4.21"/>
    <s v="MBH"/>
    <n v="1500"/>
    <n v="1500"/>
    <n v="1500"/>
    <n v="1500"/>
    <s v="CI-HVC-LBC-V06-220101"/>
    <m/>
    <n v="0.56277999999999995"/>
    <n v="0.56277999999999995"/>
    <n v="0.56277999999999995"/>
    <n v="0.56277999999999995"/>
    <n v="0.93"/>
    <n v="0.93"/>
    <n v="0.93"/>
    <n v="0.93"/>
    <n v="785.07809999999995"/>
    <n v="785.07809999999995"/>
    <n v="785.07809999999995"/>
    <n v="785.07809999999995"/>
    <n v="3140.3123999999998"/>
    <n v="0.93"/>
    <n v="0.93"/>
    <n v="0.93"/>
    <n v="0.93"/>
    <n v="0.93"/>
    <n v="0.93"/>
    <n v="0.93"/>
    <n v="0.93"/>
    <m/>
    <m/>
    <n v="0.56277999999999995"/>
    <m/>
    <n v="785.07809999999995"/>
    <n v="0"/>
    <m/>
    <m/>
    <n v="0.56277999999999995"/>
    <s v="n/a"/>
    <n v="785.07809999999995"/>
    <n v="785.07809999999995"/>
    <n v="0"/>
    <m/>
    <m/>
    <n v="0.56277999999999995"/>
    <m/>
    <n v="785.07809999999995"/>
    <n v="0"/>
    <m/>
    <m/>
    <n v="0.56277999999999995"/>
    <m/>
    <n v="785.07809999999995"/>
    <n v="0"/>
    <n v="785.07809999999995"/>
    <n v="785.07809999999995"/>
    <n v="785.07809999999995"/>
    <n v="785.07809999999995"/>
    <n v="3140.3123999999998"/>
    <s v="NA"/>
    <m/>
  </r>
  <r>
    <s v="NSG"/>
    <x v="5"/>
    <x v="8"/>
    <s v="Rebates"/>
    <x v="35"/>
    <s v=" &gt;=1500MBH, &gt;=82% TE"/>
    <s v="CI"/>
    <x v="3"/>
    <s v="4.4.10"/>
    <s v="MBH"/>
    <n v="1275"/>
    <n v="1200"/>
    <n v="1050"/>
    <n v="1020.0000000000001"/>
    <s v="CI-HVC-BOIL-V10-230101"/>
    <m/>
    <n v="0.85179487179487012"/>
    <n v="0.85179487179487012"/>
    <n v="0.85179487179487012"/>
    <n v="0.85179487179487012"/>
    <n v="0.91"/>
    <n v="0.91"/>
    <n v="0.91"/>
    <n v="0.91"/>
    <n v="988.29499999999803"/>
    <n v="930.15999999999815"/>
    <n v="813.88999999999851"/>
    <n v="790.63599999999849"/>
    <n v="3522.9809999999934"/>
    <n v="0.91"/>
    <n v="0.91"/>
    <n v="0.91"/>
    <n v="0.91"/>
    <n v="0.91"/>
    <n v="0.91"/>
    <n v="0.91"/>
    <n v="0.91"/>
    <m/>
    <m/>
    <n v="0.85179487179487012"/>
    <m/>
    <n v="988.29499999999803"/>
    <n v="0"/>
    <m/>
    <m/>
    <n v="0.63075949367088424"/>
    <s v="n/a"/>
    <n v="930.15999999999815"/>
    <n v="688.78936708860556"/>
    <n v="-241.37063291139259"/>
    <m/>
    <m/>
    <n v="0.63075949367088424"/>
    <m/>
    <n v="602.69069620252992"/>
    <n v="-211.19930379746859"/>
    <m/>
    <m/>
    <n v="0.63075949367088424"/>
    <m/>
    <n v="585.47096202531486"/>
    <n v="-205.16503797468363"/>
    <n v="988.29499999999803"/>
    <n v="688.78936708860556"/>
    <n v="602.69069620252992"/>
    <n v="585.47096202531486"/>
    <n v="2865.2460253164481"/>
    <s v="NA"/>
    <m/>
  </r>
  <r>
    <s v="NSG"/>
    <x v="5"/>
    <x v="8"/>
    <s v="Rebates"/>
    <x v="35"/>
    <s v="&gt;=300MBH, &lt;1,500, &gt;=81% AFUE"/>
    <s v="CI"/>
    <x v="3"/>
    <s v="4.4.10"/>
    <s v="MBH"/>
    <n v="1275"/>
    <n v="1200.0000000000002"/>
    <n v="1049.9999999999998"/>
    <n v="1020"/>
    <s v="CI-HVC-BOIL-V10-230101"/>
    <m/>
    <n v="0.72402564102563916"/>
    <n v="0.72402564102563916"/>
    <n v="0.72402564102563916"/>
    <n v="0.72402564102563916"/>
    <n v="0.91"/>
    <n v="0.91"/>
    <n v="0.91"/>
    <n v="0.91"/>
    <n v="840.05074999999783"/>
    <n v="790.63599999999815"/>
    <n v="691.8064999999981"/>
    <n v="672.04059999999834"/>
    <n v="2994.5338499999925"/>
    <n v="0.91"/>
    <n v="0.91"/>
    <n v="0.91"/>
    <n v="0.91"/>
    <n v="0.91"/>
    <n v="0.91"/>
    <n v="0.91"/>
    <n v="0.91"/>
    <m/>
    <m/>
    <n v="0.72402564102563916"/>
    <m/>
    <n v="840.05074999999783"/>
    <n v="0"/>
    <m/>
    <m/>
    <n v="0.50460759493670693"/>
    <s v="n/a"/>
    <n v="790.63599999999815"/>
    <n v="551.03149367088406"/>
    <n v="-239.60450632911409"/>
    <m/>
    <m/>
    <n v="0.50460759493670693"/>
    <m/>
    <n v="482.15255696202337"/>
    <n v="-209.65394303797473"/>
    <m/>
    <m/>
    <n v="0.50460759493670693"/>
    <m/>
    <n v="468.37676962025137"/>
    <n v="-203.66383037974697"/>
    <n v="840.05074999999783"/>
    <n v="551.03149367088406"/>
    <n v="482.15255696202337"/>
    <n v="468.37676962025137"/>
    <n v="2341.6115702531565"/>
    <s v="NA"/>
    <m/>
  </r>
  <r>
    <s v="NSG"/>
    <x v="3"/>
    <x v="11"/>
    <s v="Elementary Energy Education"/>
    <x v="36"/>
    <n v="0"/>
    <s v="SF"/>
    <x v="4"/>
    <s v="n/a"/>
    <s v="Household"/>
    <n v="1240"/>
    <n v="1240"/>
    <n v="1240"/>
    <n v="1240"/>
    <s v="n/a"/>
    <m/>
    <n v="18.06005859375"/>
    <n v="18.06005859375"/>
    <n v="18.06005859375"/>
    <n v="18.06005859375"/>
    <n v="1"/>
    <n v="1"/>
    <n v="1"/>
    <n v="1"/>
    <n v="22394.47265625"/>
    <n v="22394.47265625"/>
    <n v="22394.47265625"/>
    <n v="22394.47265625"/>
    <n v="89577.890625"/>
    <n v="1"/>
    <n v="1"/>
    <n v="1"/>
    <n v="1"/>
    <n v="1"/>
    <n v="1"/>
    <n v="1"/>
    <n v="1"/>
    <m/>
    <m/>
    <n v="18.06005859375"/>
    <m/>
    <n v="22394.47265625"/>
    <n v="0"/>
    <m/>
    <m/>
    <n v="18.06005859375"/>
    <s v="n/a"/>
    <n v="22394.47265625"/>
    <n v="22394.47265625"/>
    <n v="0"/>
    <m/>
    <m/>
    <n v="18.06005859375"/>
    <m/>
    <n v="22394.47265625"/>
    <n v="0"/>
    <m/>
    <m/>
    <n v="18.06005859375"/>
    <m/>
    <n v="22394.47265625"/>
    <n v="0"/>
    <n v="22394.47265625"/>
    <n v="22394.47265625"/>
    <n v="22394.47265625"/>
    <n v="22394.47265625"/>
    <n v="89577.890625"/>
    <s v="NA"/>
    <m/>
  </r>
  <r>
    <s v="NSG"/>
    <x v="3"/>
    <x v="3"/>
    <s v="Standard Rebate"/>
    <x v="37"/>
    <s v="&gt;95% AFUE"/>
    <s v="SF"/>
    <x v="3"/>
    <s v="5.3.7"/>
    <s v="each"/>
    <n v="1200"/>
    <n v="1000"/>
    <n v="800"/>
    <n v="600"/>
    <s v="RS-HVC-GHEF-V12-230101"/>
    <m/>
    <n v="185.63073361823353"/>
    <n v="185.63073361823353"/>
    <n v="185.63073361823353"/>
    <n v="185.63073361823353"/>
    <n v="0.74"/>
    <n v="0.74"/>
    <n v="0.74"/>
    <n v="0.74"/>
    <n v="164840.09145299139"/>
    <n v="137366.7428774928"/>
    <n v="109893.39430199425"/>
    <n v="82420.045726495693"/>
    <n v="494520.27435897407"/>
    <n v="0.74"/>
    <n v="0.74"/>
    <n v="0.74"/>
    <n v="0.74"/>
    <n v="0.74"/>
    <n v="0.74"/>
    <n v="0.74"/>
    <n v="0.74"/>
    <m/>
    <m/>
    <n v="185.63073361823353"/>
    <m/>
    <n v="164840.09145299139"/>
    <n v="0"/>
    <m/>
    <m/>
    <n v="185.63073361823353"/>
    <s v="n/a"/>
    <n v="137366.7428774928"/>
    <n v="137366.7428774928"/>
    <n v="0"/>
    <m/>
    <m/>
    <n v="185.63073361823353"/>
    <m/>
    <n v="109893.39430199425"/>
    <n v="0"/>
    <m/>
    <m/>
    <n v="185.63073361823353"/>
    <m/>
    <n v="82420.045726495693"/>
    <n v="0"/>
    <n v="164840.09145299139"/>
    <n v="137366.7428774928"/>
    <n v="109893.39430199425"/>
    <n v="82420.045726495693"/>
    <n v="494520.27435897407"/>
    <s v="NA"/>
    <m/>
  </r>
  <r>
    <s v="NSG"/>
    <x v="3"/>
    <x v="6"/>
    <s v="Standard Rebate"/>
    <x v="34"/>
    <n v="0"/>
    <s v="MF"/>
    <x v="3"/>
    <s v="4.4.4"/>
    <s v="MBH"/>
    <n v="1200"/>
    <n v="1200"/>
    <n v="1200"/>
    <n v="1200"/>
    <s v="CI-HVC-BLRC-V04-210101"/>
    <m/>
    <n v="1.3288"/>
    <n v="1.3288"/>
    <n v="1.3288"/>
    <n v="1.3288"/>
    <n v="0.87"/>
    <n v="0.87"/>
    <n v="0.87"/>
    <n v="0.87"/>
    <n v="1387.2672"/>
    <n v="1387.2672"/>
    <n v="1387.2672"/>
    <n v="1387.2672"/>
    <n v="5549.0688"/>
    <n v="0.87"/>
    <n v="0.87"/>
    <n v="0.87"/>
    <n v="0.87"/>
    <n v="0.87"/>
    <n v="0.87"/>
    <n v="0.87"/>
    <n v="0.87"/>
    <m/>
    <m/>
    <n v="1.3288"/>
    <m/>
    <n v="1387.2672"/>
    <n v="0"/>
    <m/>
    <m/>
    <n v="1.3288"/>
    <s v="n/a"/>
    <n v="1387.2672"/>
    <n v="1387.2672"/>
    <n v="0"/>
    <m/>
    <m/>
    <n v="1.3288"/>
    <m/>
    <n v="1387.2672"/>
    <n v="0"/>
    <m/>
    <m/>
    <n v="1.3288"/>
    <m/>
    <n v="1387.2672"/>
    <n v="0"/>
    <n v="1387.2672"/>
    <n v="1387.2672"/>
    <n v="1387.2672"/>
    <n v="1387.2672"/>
    <n v="5549.0688"/>
    <s v="NA"/>
    <m/>
  </r>
  <r>
    <s v="NSG"/>
    <x v="3"/>
    <x v="6"/>
    <s v="Partner Trade Ally Rebate"/>
    <x v="38"/>
    <n v="0"/>
    <s v="MF/CI/SMB"/>
    <x v="3"/>
    <s v="4.3.12"/>
    <s v="sqft"/>
    <n v="1100"/>
    <n v="1100"/>
    <n v="1100"/>
    <n v="1100"/>
    <s v="CI-HWE-TKIN-V02-220101"/>
    <m/>
    <n v="16.746197539658972"/>
    <n v="16.746197539658972"/>
    <n v="16.746197539658972"/>
    <n v="16.746197539658972"/>
    <n v="0.87"/>
    <n v="0.87"/>
    <n v="0.87"/>
    <n v="0.87"/>
    <n v="16026.111045453637"/>
    <n v="16026.111045453637"/>
    <n v="16026.111045453637"/>
    <n v="16026.111045453637"/>
    <n v="64104.44418181455"/>
    <n v="0.87"/>
    <n v="0.87"/>
    <n v="0.87"/>
    <n v="0.87"/>
    <n v="0.87"/>
    <n v="0.87"/>
    <n v="0.87"/>
    <n v="0.87"/>
    <m/>
    <m/>
    <n v="16.746197539658972"/>
    <m/>
    <n v="16026.111045453637"/>
    <n v="0"/>
    <m/>
    <m/>
    <n v="16.746197539658972"/>
    <s v="n/a"/>
    <n v="16026.111045453637"/>
    <n v="16026.111045453637"/>
    <n v="0"/>
    <m/>
    <m/>
    <n v="16.746197539658972"/>
    <m/>
    <n v="16026.111045453637"/>
    <n v="0"/>
    <m/>
    <m/>
    <n v="16.746197539658972"/>
    <m/>
    <n v="16026.111045453637"/>
    <n v="0"/>
    <n v="16026.111045453637"/>
    <n v="16026.111045453637"/>
    <n v="16026.111045453637"/>
    <n v="16026.111045453637"/>
    <n v="64104.44418181455"/>
    <s v="NA"/>
    <m/>
  </r>
  <r>
    <s v="NSG"/>
    <x v="3"/>
    <x v="4"/>
    <s v="Core"/>
    <x v="39"/>
    <n v="0"/>
    <s v="SF"/>
    <x v="3"/>
    <s v="n/a"/>
    <s v="Household"/>
    <n v="1000"/>
    <n v="900"/>
    <n v="800"/>
    <n v="700"/>
    <s v="n/a"/>
    <m/>
    <n v="0"/>
    <n v="0"/>
    <n v="0"/>
    <n v="0"/>
    <n v="1"/>
    <n v="1"/>
    <n v="1"/>
    <n v="1"/>
    <n v="0"/>
    <n v="0"/>
    <n v="0"/>
    <n v="0"/>
    <n v="0"/>
    <n v="1"/>
    <n v="1"/>
    <n v="1"/>
    <n v="1"/>
    <n v="1"/>
    <n v="1"/>
    <n v="1"/>
    <n v="1"/>
    <m/>
    <m/>
    <n v="0"/>
    <m/>
    <n v="0"/>
    <n v="0"/>
    <m/>
    <m/>
    <n v="0"/>
    <s v="n/a"/>
    <n v="0"/>
    <n v="0"/>
    <n v="0"/>
    <m/>
    <m/>
    <n v="0"/>
    <m/>
    <n v="0"/>
    <n v="0"/>
    <m/>
    <m/>
    <n v="0"/>
    <m/>
    <n v="0"/>
    <n v="0"/>
    <n v="0"/>
    <n v="0"/>
    <n v="0"/>
    <n v="0"/>
    <n v="0"/>
    <s v="NA"/>
    <m/>
  </r>
  <r>
    <s v="NSG"/>
    <x v="3"/>
    <x v="4"/>
    <s v="Leave Behind Kit"/>
    <x v="40"/>
    <n v="0"/>
    <s v="SF"/>
    <x v="3"/>
    <s v="5.6.1"/>
    <s v="each"/>
    <n v="1000"/>
    <n v="900"/>
    <n v="800"/>
    <n v="700"/>
    <s v="RS-SHL-AIRS-V12-230101"/>
    <m/>
    <n v="6.3544800000000006"/>
    <n v="6.3544800000000006"/>
    <n v="6.3544800000000006"/>
    <n v="6.3544800000000006"/>
    <n v="0.88"/>
    <n v="0.88"/>
    <n v="0.88"/>
    <n v="0.88"/>
    <n v="5591.9424000000008"/>
    <n v="5032.7481600000001"/>
    <n v="4473.5539200000003"/>
    <n v="3914.3596800000005"/>
    <n v="19012.604160000003"/>
    <n v="0.88"/>
    <n v="0.88"/>
    <n v="0.88"/>
    <n v="0.88"/>
    <n v="0.88"/>
    <n v="0.88"/>
    <n v="0.88"/>
    <n v="0.88"/>
    <m/>
    <m/>
    <n v="6.3544800000000006"/>
    <m/>
    <n v="5591.9424000000008"/>
    <n v="0"/>
    <m/>
    <m/>
    <n v="6.3544800000000006"/>
    <s v="Updated ISR"/>
    <n v="5032.7481600000001"/>
    <n v="5032.7481600000001"/>
    <n v="0"/>
    <m/>
    <m/>
    <n v="6.3544800000000006"/>
    <m/>
    <n v="4473.5539200000003"/>
    <n v="0"/>
    <m/>
    <m/>
    <n v="6.3544800000000006"/>
    <m/>
    <n v="3914.3596800000005"/>
    <n v="0"/>
    <n v="5591.9424000000008"/>
    <n v="5032.7481600000001"/>
    <n v="4473.5539200000003"/>
    <n v="3914.3596800000005"/>
    <n v="19012.604160000003"/>
    <s v="NA"/>
    <m/>
  </r>
  <r>
    <s v="NSG"/>
    <x v="5"/>
    <x v="9"/>
    <s v="Rebates"/>
    <x v="35"/>
    <s v="&gt;=300MBH, &lt;1,500, &gt;=81% AFUE"/>
    <s v="CI"/>
    <x v="3"/>
    <s v="4.4.10"/>
    <s v="MBH"/>
    <n v="1000"/>
    <n v="1000"/>
    <n v="1000"/>
    <n v="1000"/>
    <s v="CI-HVC-BOIL-V10-230101"/>
    <m/>
    <n v="0.72402564102563916"/>
    <n v="0.72402564102563916"/>
    <n v="0.72402564102563916"/>
    <n v="0.72402564102563916"/>
    <n v="0.92"/>
    <n v="0.92"/>
    <n v="0.92"/>
    <n v="0.92"/>
    <n v="666.10358974358803"/>
    <n v="666.10358974358803"/>
    <n v="666.10358974358803"/>
    <n v="666.10358974358803"/>
    <n v="2664.4143589743521"/>
    <n v="0.92"/>
    <n v="0.92"/>
    <n v="0.92"/>
    <n v="0.92"/>
    <n v="0.92"/>
    <n v="0.92"/>
    <n v="0.92"/>
    <n v="0.92"/>
    <m/>
    <m/>
    <n v="0.72402564102563916"/>
    <m/>
    <n v="666.10358974358803"/>
    <n v="0"/>
    <m/>
    <m/>
    <n v="0.50460759493670693"/>
    <s v="n/a"/>
    <n v="666.10358974358803"/>
    <n v="464.23898734177038"/>
    <n v="-201.86460240181765"/>
    <m/>
    <m/>
    <n v="0.50460759493670693"/>
    <m/>
    <n v="464.23898734177038"/>
    <n v="-201.86460240181765"/>
    <m/>
    <m/>
    <n v="0.50460759493670693"/>
    <m/>
    <n v="464.23898734177038"/>
    <n v="-201.86460240181765"/>
    <n v="666.10358974358803"/>
    <n v="464.23898734177038"/>
    <n v="464.23898734177038"/>
    <n v="464.23898734177038"/>
    <n v="2058.8205517688993"/>
    <s v="NA"/>
    <m/>
  </r>
  <r>
    <s v="NSG"/>
    <x v="5"/>
    <x v="7"/>
    <s v="Rebates"/>
    <x v="35"/>
    <s v="&gt;=300MBH, &lt;1,500, &gt;=81% AFUE"/>
    <s v="CI"/>
    <x v="3"/>
    <s v="4.4.10"/>
    <s v="MBH"/>
    <n v="1000"/>
    <n v="1000"/>
    <n v="1000"/>
    <n v="1000"/>
    <s v="CI-HVC-BOIL-V10-230101"/>
    <m/>
    <n v="0.72402564102563916"/>
    <n v="0.72402564102563916"/>
    <n v="0.72402564102563916"/>
    <n v="0.72402564102563916"/>
    <n v="0.93"/>
    <n v="0.93"/>
    <n v="0.93"/>
    <n v="0.93"/>
    <n v="673.34384615384442"/>
    <n v="673.34384615384442"/>
    <n v="673.34384615384442"/>
    <n v="673.34384615384442"/>
    <n v="2693.3753846153777"/>
    <n v="0.93"/>
    <n v="0.93"/>
    <n v="0.93"/>
    <n v="0.93"/>
    <n v="0.93"/>
    <n v="0.93"/>
    <n v="0.93"/>
    <n v="0.93"/>
    <m/>
    <m/>
    <n v="0.72402564102563916"/>
    <m/>
    <n v="673.34384615384442"/>
    <n v="0"/>
    <m/>
    <m/>
    <n v="0.50460759493670693"/>
    <s v="n/a"/>
    <n v="673.34384615384442"/>
    <n v="469.28506329113742"/>
    <n v="-204.05878286270701"/>
    <m/>
    <m/>
    <n v="0.50460759493670693"/>
    <m/>
    <n v="469.28506329113742"/>
    <n v="-204.05878286270701"/>
    <m/>
    <m/>
    <n v="0.50460759493670693"/>
    <m/>
    <n v="469.28506329113742"/>
    <n v="-204.05878286270701"/>
    <n v="673.34384615384442"/>
    <n v="469.28506329113742"/>
    <n v="469.28506329113742"/>
    <n v="469.28506329113742"/>
    <n v="2081.1990360272566"/>
    <s v="NA"/>
    <m/>
  </r>
  <r>
    <s v="NSG"/>
    <x v="5"/>
    <x v="7"/>
    <s v="Partner Trade Ally Rebate"/>
    <x v="35"/>
    <s v="&gt;=300MBH, &lt;1,500, &gt;=81% AFUE"/>
    <s v="CI"/>
    <x v="3"/>
    <s v="4.4.10"/>
    <s v="MBH"/>
    <n v="1000"/>
    <n v="1000"/>
    <n v="1000"/>
    <n v="1000"/>
    <s v="CI-HVC-BOIL-V10-230101"/>
    <m/>
    <n v="0.72402564102563916"/>
    <n v="0.72402564102563916"/>
    <n v="0.72402564102563916"/>
    <n v="0.72402564102563916"/>
    <n v="0.93"/>
    <n v="0.93"/>
    <n v="0.93"/>
    <n v="0.93"/>
    <n v="673.34384615384442"/>
    <n v="673.34384615384442"/>
    <n v="673.34384615384442"/>
    <n v="673.34384615384442"/>
    <n v="2693.3753846153777"/>
    <n v="0.93"/>
    <n v="0.93"/>
    <n v="0.93"/>
    <n v="0.93"/>
    <n v="0.93"/>
    <n v="0.93"/>
    <n v="0.93"/>
    <n v="0.93"/>
    <m/>
    <m/>
    <n v="0.72402564102563916"/>
    <m/>
    <n v="673.34384615384442"/>
    <n v="0"/>
    <m/>
    <m/>
    <n v="0.50460759493670693"/>
    <s v="n/a"/>
    <n v="673.34384615384442"/>
    <n v="469.28506329113742"/>
    <n v="-204.05878286270701"/>
    <m/>
    <m/>
    <n v="0.50460759493670693"/>
    <m/>
    <n v="469.28506329113742"/>
    <n v="-204.05878286270701"/>
    <m/>
    <m/>
    <n v="0.50460759493670693"/>
    <m/>
    <n v="469.28506329113742"/>
    <n v="-204.05878286270701"/>
    <n v="673.34384615384442"/>
    <n v="469.28506329113742"/>
    <n v="469.28506329113742"/>
    <n v="469.28506329113742"/>
    <n v="2081.1990360272566"/>
    <s v="NA"/>
    <m/>
  </r>
  <r>
    <s v="NSG"/>
    <x v="5"/>
    <x v="8"/>
    <s v="Rebates"/>
    <x v="41"/>
    <s v="Test"/>
    <s v="CI"/>
    <x v="3"/>
    <n v="0"/>
    <s v="each"/>
    <n v="850"/>
    <n v="800"/>
    <n v="700"/>
    <n v="680"/>
    <n v="0"/>
    <m/>
    <n v="0"/>
    <n v="0"/>
    <n v="0"/>
    <n v="0"/>
    <n v="0.91"/>
    <n v="0.91"/>
    <n v="0.91"/>
    <n v="0.91"/>
    <n v="0"/>
    <n v="0"/>
    <n v="0"/>
    <n v="0"/>
    <n v="0"/>
    <n v="0.91"/>
    <n v="0.91"/>
    <n v="0.91"/>
    <n v="0.91"/>
    <n v="0.91"/>
    <n v="0.91"/>
    <n v="0.91"/>
    <n v="0.91"/>
    <m/>
    <m/>
    <n v="0"/>
    <m/>
    <n v="0"/>
    <n v="0"/>
    <m/>
    <m/>
    <n v="0"/>
    <s v="n/a"/>
    <n v="0"/>
    <n v="0"/>
    <n v="0"/>
    <m/>
    <m/>
    <n v="0"/>
    <m/>
    <n v="0"/>
    <n v="0"/>
    <m/>
    <m/>
    <n v="0"/>
    <m/>
    <n v="0"/>
    <n v="0"/>
    <n v="0"/>
    <n v="0"/>
    <n v="0"/>
    <n v="0"/>
    <n v="0"/>
    <s v="NA"/>
    <m/>
  </r>
  <r>
    <s v="NSG"/>
    <x v="4"/>
    <x v="6"/>
    <s v="Whole Building - Prescriptive"/>
    <x v="21"/>
    <s v="Space Heating"/>
    <s v="MF"/>
    <x v="3"/>
    <s v="4.4.2"/>
    <s v="MBH"/>
    <n v="800"/>
    <n v="800"/>
    <n v="800"/>
    <n v="800"/>
    <s v="CI-HVC-BLRT-V07-210101"/>
    <m/>
    <n v="0.46874846625766969"/>
    <n v="0.46874846625766969"/>
    <n v="0.46874846625766969"/>
    <n v="0.46874846625766969"/>
    <n v="1"/>
    <n v="1"/>
    <n v="1"/>
    <n v="1"/>
    <n v="374.99877300613576"/>
    <n v="374.99877300613576"/>
    <n v="374.99877300613576"/>
    <n v="374.99877300613576"/>
    <n v="1499.9950920245431"/>
    <n v="1"/>
    <n v="1"/>
    <n v="1"/>
    <n v="1"/>
    <n v="1"/>
    <n v="1"/>
    <n v="1"/>
    <n v="1"/>
    <m/>
    <m/>
    <n v="0.46874846625766969"/>
    <m/>
    <n v="374.99877300613576"/>
    <n v="0"/>
    <m/>
    <m/>
    <n v="0.46874846625766969"/>
    <s v="n/a"/>
    <n v="374.99877300613576"/>
    <n v="374.99877300613576"/>
    <n v="0"/>
    <m/>
    <m/>
    <n v="0.46874846625766969"/>
    <m/>
    <n v="374.99877300613576"/>
    <n v="0"/>
    <m/>
    <m/>
    <n v="0.46874846625766969"/>
    <m/>
    <n v="374.99877300613576"/>
    <n v="0"/>
    <n v="374.99877300613576"/>
    <n v="374.99877300613576"/>
    <n v="374.99877300613576"/>
    <n v="374.99877300613576"/>
    <n v="1499.9950920245431"/>
    <s v="NA"/>
    <m/>
  </r>
  <r>
    <s v="NSG"/>
    <x v="4"/>
    <x v="11"/>
    <s v="Elementary Energy Education"/>
    <x v="36"/>
    <n v="0"/>
    <s v="SF"/>
    <x v="4"/>
    <s v="n/a"/>
    <s v="Household"/>
    <n v="760"/>
    <n v="760"/>
    <n v="760"/>
    <n v="760"/>
    <s v="n/a"/>
    <m/>
    <n v="18.06005859375"/>
    <n v="18.06005859375"/>
    <n v="18.06005859375"/>
    <n v="18.06005859375"/>
    <n v="1"/>
    <n v="1"/>
    <n v="1"/>
    <n v="1"/>
    <n v="13725.64453125"/>
    <n v="13725.64453125"/>
    <n v="13725.64453125"/>
    <n v="13725.64453125"/>
    <n v="54902.578125"/>
    <n v="1"/>
    <n v="1"/>
    <n v="1"/>
    <n v="1"/>
    <n v="1"/>
    <n v="1"/>
    <n v="1"/>
    <n v="1"/>
    <m/>
    <m/>
    <n v="18.06005859375"/>
    <m/>
    <n v="13725.64453125"/>
    <n v="0"/>
    <m/>
    <m/>
    <n v="18.06005859375"/>
    <s v="n/a"/>
    <n v="13725.64453125"/>
    <n v="13725.64453125"/>
    <n v="0"/>
    <m/>
    <m/>
    <n v="18.06005859375"/>
    <m/>
    <n v="13725.64453125"/>
    <n v="0"/>
    <m/>
    <m/>
    <n v="18.06005859375"/>
    <m/>
    <n v="13725.64453125"/>
    <n v="0"/>
    <n v="13725.64453125"/>
    <n v="13725.64453125"/>
    <n v="13725.64453125"/>
    <n v="13725.64453125"/>
    <n v="54902.578125"/>
    <s v="NA"/>
    <m/>
  </r>
  <r>
    <s v="NSG"/>
    <x v="4"/>
    <x v="5"/>
    <s v="IE Kits"/>
    <x v="42"/>
    <s v="IE Kit"/>
    <s v="IE"/>
    <x v="3"/>
    <s v="n/a"/>
    <s v="kits"/>
    <n v="560"/>
    <n v="560"/>
    <n v="560"/>
    <n v="560"/>
    <s v="n/a"/>
    <m/>
    <n v="0"/>
    <n v="0"/>
    <n v="0"/>
    <n v="0"/>
    <n v="1"/>
    <n v="1"/>
    <n v="1"/>
    <n v="1"/>
    <n v="0"/>
    <n v="0"/>
    <n v="0"/>
    <n v="0"/>
    <n v="0"/>
    <n v="1"/>
    <n v="1"/>
    <n v="1"/>
    <n v="1"/>
    <n v="1"/>
    <n v="1"/>
    <n v="1"/>
    <n v="1"/>
    <m/>
    <m/>
    <n v="0"/>
    <m/>
    <n v="0"/>
    <n v="0"/>
    <m/>
    <m/>
    <n v="0"/>
    <s v="n/a"/>
    <n v="0"/>
    <n v="0"/>
    <n v="0"/>
    <m/>
    <m/>
    <n v="0"/>
    <m/>
    <n v="0"/>
    <n v="0"/>
    <m/>
    <m/>
    <n v="0"/>
    <m/>
    <n v="0"/>
    <n v="0"/>
    <n v="0"/>
    <n v="0"/>
    <n v="0"/>
    <n v="0"/>
    <n v="0"/>
    <s v="NA"/>
    <m/>
  </r>
  <r>
    <s v="NSG"/>
    <x v="5"/>
    <x v="7"/>
    <s v="Partner Trade Ally Rebate"/>
    <x v="38"/>
    <n v="0"/>
    <s v="MF/CI/SMB"/>
    <x v="3"/>
    <s v="4.3.12"/>
    <s v="sqft"/>
    <n v="550"/>
    <n v="550"/>
    <n v="550"/>
    <n v="550"/>
    <s v="CI-HWE-TKIN-V02-220101"/>
    <m/>
    <n v="16.746197539658972"/>
    <n v="16.746197539658972"/>
    <n v="16.746197539658972"/>
    <n v="16.746197539658972"/>
    <n v="0.93"/>
    <n v="0.93"/>
    <n v="0.93"/>
    <n v="0.93"/>
    <n v="8565.6800415355647"/>
    <n v="8565.6800415355647"/>
    <n v="8565.6800415355647"/>
    <n v="8565.6800415355647"/>
    <n v="34262.720166142259"/>
    <n v="0.93"/>
    <n v="0.93"/>
    <n v="0.93"/>
    <n v="0.93"/>
    <n v="0.93"/>
    <n v="0.93"/>
    <n v="0.93"/>
    <n v="0.93"/>
    <m/>
    <m/>
    <n v="16.746197539658972"/>
    <m/>
    <n v="8565.6800415355647"/>
    <n v="0"/>
    <m/>
    <m/>
    <n v="16.746197539658972"/>
    <s v="n/a"/>
    <n v="8565.6800415355647"/>
    <n v="8565.6800415355647"/>
    <n v="0"/>
    <m/>
    <m/>
    <n v="16.746197539658972"/>
    <m/>
    <n v="8565.6800415355647"/>
    <n v="0"/>
    <m/>
    <m/>
    <n v="16.746197539658972"/>
    <m/>
    <n v="8565.6800415355647"/>
    <n v="0"/>
    <n v="8565.6800415355647"/>
    <n v="8565.6800415355647"/>
    <n v="8565.6800415355647"/>
    <n v="8565.6800415355647"/>
    <n v="34262.720166142259"/>
    <s v="NA"/>
    <m/>
  </r>
  <r>
    <s v="NSG"/>
    <x v="3"/>
    <x v="6"/>
    <s v="Direct Install"/>
    <x v="39"/>
    <n v="0"/>
    <s v="MF"/>
    <x v="3"/>
    <n v="0"/>
    <s v="each"/>
    <n v="500"/>
    <n v="500"/>
    <n v="500"/>
    <n v="500"/>
    <n v="0"/>
    <m/>
    <n v="0"/>
    <n v="0"/>
    <n v="0"/>
    <n v="0"/>
    <n v="0.96"/>
    <n v="0.96"/>
    <n v="0.96"/>
    <n v="0.96"/>
    <n v="0"/>
    <n v="0"/>
    <n v="0"/>
    <n v="0"/>
    <n v="0"/>
    <n v="0.96"/>
    <n v="0.96"/>
    <n v="0.96"/>
    <n v="0.96"/>
    <n v="0.96"/>
    <n v="0.96"/>
    <n v="0.96"/>
    <n v="0.96"/>
    <m/>
    <m/>
    <n v="0"/>
    <m/>
    <n v="0"/>
    <n v="0"/>
    <m/>
    <m/>
    <n v="0"/>
    <s v="n/a"/>
    <n v="0"/>
    <n v="0"/>
    <n v="0"/>
    <m/>
    <m/>
    <n v="0"/>
    <m/>
    <n v="0"/>
    <n v="0"/>
    <m/>
    <m/>
    <n v="0"/>
    <m/>
    <n v="0"/>
    <n v="0"/>
    <n v="0"/>
    <n v="0"/>
    <n v="0"/>
    <n v="0"/>
    <n v="0"/>
    <s v="NA"/>
    <m/>
  </r>
  <r>
    <s v="NSG"/>
    <x v="3"/>
    <x v="6"/>
    <s v="Partner Trade Ally Rebate"/>
    <x v="35"/>
    <s v="&gt;=300MBH, &lt;1,500, &gt;=81% AFUE"/>
    <s v="MF"/>
    <x v="3"/>
    <s v="4.4.10"/>
    <s v="MBH"/>
    <n v="500"/>
    <n v="500"/>
    <n v="500"/>
    <n v="500"/>
    <s v="CI-HVC-BOIL-V10-230101"/>
    <m/>
    <n v="0.63884615384615429"/>
    <n v="0.63884615384615429"/>
    <n v="0.63884615384615429"/>
    <n v="0.63884615384615429"/>
    <n v="0.87"/>
    <n v="0.87"/>
    <n v="0.87"/>
    <n v="0.87"/>
    <n v="277.8980769230771"/>
    <n v="277.8980769230771"/>
    <n v="277.8980769230771"/>
    <n v="277.8980769230771"/>
    <n v="1111.5923076923084"/>
    <n v="0.87"/>
    <n v="0.87"/>
    <n v="0.87"/>
    <n v="0.87"/>
    <n v="0.87"/>
    <n v="0.87"/>
    <n v="0.87"/>
    <n v="0.87"/>
    <m/>
    <m/>
    <n v="0.63884615384615429"/>
    <m/>
    <n v="277.8980769230771"/>
    <n v="0"/>
    <m/>
    <m/>
    <n v="0.42050632911392438"/>
    <s v="n/a"/>
    <n v="277.8980769230771"/>
    <n v="182.9202531645571"/>
    <n v="-94.977823758520003"/>
    <m/>
    <m/>
    <n v="0.42050632911392438"/>
    <m/>
    <n v="182.9202531645571"/>
    <n v="-94.977823758520003"/>
    <m/>
    <m/>
    <n v="0.42050632911392438"/>
    <m/>
    <n v="182.9202531645571"/>
    <n v="-94.977823758520003"/>
    <n v="277.8980769230771"/>
    <n v="182.9202531645571"/>
    <n v="182.9202531645571"/>
    <n v="182.9202531645571"/>
    <n v="826.6588364167485"/>
    <s v="NA"/>
    <m/>
  </r>
  <r>
    <s v="NSG"/>
    <x v="5"/>
    <x v="7"/>
    <s v="Rebates"/>
    <x v="43"/>
    <s v="Hotel/Motel/Hospital"/>
    <s v="CI"/>
    <x v="3"/>
    <s v="4.8.5"/>
    <s v="lb-capacity"/>
    <n v="500"/>
    <n v="500"/>
    <n v="500"/>
    <n v="500"/>
    <s v="CI-MSC-HSCW-V02-210101"/>
    <m/>
    <n v="6.7459391999999996"/>
    <n v="6.7459391999999996"/>
    <n v="6.7459391999999996"/>
    <n v="6.7459391999999996"/>
    <n v="0.93"/>
    <n v="0.93"/>
    <n v="0.93"/>
    <n v="0.93"/>
    <n v="3136.8617279999999"/>
    <n v="3136.8617279999999"/>
    <n v="3136.8617279999999"/>
    <n v="3136.8617279999999"/>
    <n v="12547.446911999999"/>
    <n v="0.93"/>
    <n v="0.93"/>
    <n v="0.93"/>
    <n v="0.93"/>
    <n v="0.93"/>
    <n v="0.93"/>
    <n v="0.93"/>
    <n v="0.93"/>
    <m/>
    <m/>
    <n v="6.7459391999999996"/>
    <m/>
    <n v="3136.8617279999999"/>
    <n v="0"/>
    <m/>
    <m/>
    <n v="6.7459391999999996"/>
    <s v="n/a"/>
    <n v="3136.8617279999999"/>
    <n v="3136.8617279999999"/>
    <n v="0"/>
    <m/>
    <m/>
    <n v="6.7459391999999996"/>
    <m/>
    <n v="3136.8617279999999"/>
    <n v="0"/>
    <m/>
    <m/>
    <n v="6.7459391999999996"/>
    <m/>
    <n v="3136.8617279999999"/>
    <n v="0"/>
    <n v="3136.8617279999999"/>
    <n v="3136.8617279999999"/>
    <n v="3136.8617279999999"/>
    <n v="3136.8617279999999"/>
    <n v="12547.446911999999"/>
    <s v="NA"/>
    <m/>
  </r>
  <r>
    <s v="NSG"/>
    <x v="5"/>
    <x v="8"/>
    <s v="Rebates"/>
    <x v="38"/>
    <n v="0"/>
    <s v="MF/CI/SMB"/>
    <x v="3"/>
    <s v="4.3.12"/>
    <s v="sqft"/>
    <n v="467.5"/>
    <n v="440"/>
    <n v="385"/>
    <n v="374"/>
    <s v="CI-HWE-TKIN-V02-220101"/>
    <m/>
    <n v="16.746197539658972"/>
    <n v="16.746197539658972"/>
    <n v="16.746197539658972"/>
    <n v="16.746197539658972"/>
    <n v="0.91"/>
    <n v="0.91"/>
    <n v="0.91"/>
    <n v="0.91"/>
    <n v="7124.2510883094183"/>
    <n v="6705.1774948794528"/>
    <n v="5867.0303080195208"/>
    <n v="5699.4008706475342"/>
    <n v="25395.859761855929"/>
    <n v="0.91"/>
    <n v="0.91"/>
    <n v="0.91"/>
    <n v="0.91"/>
    <n v="0.91"/>
    <n v="0.91"/>
    <n v="0.91"/>
    <n v="0.91"/>
    <m/>
    <m/>
    <n v="16.746197539658972"/>
    <m/>
    <n v="7124.2510883094183"/>
    <n v="0"/>
    <m/>
    <m/>
    <n v="16.746197539658972"/>
    <s v="n/a"/>
    <n v="6705.1774948794528"/>
    <n v="6705.1774948794528"/>
    <n v="0"/>
    <m/>
    <m/>
    <n v="16.746197539658972"/>
    <m/>
    <n v="5867.0303080195208"/>
    <n v="0"/>
    <m/>
    <m/>
    <n v="16.746197539658972"/>
    <m/>
    <n v="5699.4008706475342"/>
    <n v="0"/>
    <n v="7124.2510883094183"/>
    <n v="6705.1774948794528"/>
    <n v="5867.0303080195208"/>
    <n v="5699.4008706475342"/>
    <n v="25395.859761855929"/>
    <s v="NA"/>
    <m/>
  </r>
  <r>
    <s v="NSG"/>
    <x v="4"/>
    <x v="6"/>
    <s v="Whole Building - Prescriptive"/>
    <x v="26"/>
    <n v="0"/>
    <s v="IE MF"/>
    <x v="3"/>
    <s v="5.6.1"/>
    <s v="linear ft"/>
    <n v="459"/>
    <n v="459"/>
    <n v="459"/>
    <n v="459"/>
    <s v="RS-SHL-AIRS-V12-230101"/>
    <m/>
    <n v="0.48799999999999999"/>
    <n v="0.48799999999999999"/>
    <n v="0.48799999999999999"/>
    <n v="0.48799999999999999"/>
    <n v="1"/>
    <n v="1"/>
    <n v="1"/>
    <n v="1"/>
    <n v="223.99199999999999"/>
    <n v="223.99199999999999"/>
    <n v="223.99199999999999"/>
    <n v="223.99199999999999"/>
    <n v="895.96799999999996"/>
    <n v="1"/>
    <n v="1"/>
    <n v="1"/>
    <n v="1"/>
    <n v="1"/>
    <n v="1"/>
    <n v="1"/>
    <n v="1"/>
    <m/>
    <m/>
    <n v="0.48799999999999999"/>
    <m/>
    <n v="223.99199999999999"/>
    <n v="0"/>
    <m/>
    <m/>
    <n v="0.48799999999999999"/>
    <s v="Updated ISR"/>
    <n v="223.99199999999999"/>
    <n v="223.99199999999999"/>
    <n v="0"/>
    <m/>
    <m/>
    <n v="0.48799999999999999"/>
    <m/>
    <n v="223.99199999999999"/>
    <n v="0"/>
    <m/>
    <m/>
    <n v="0.48799999999999999"/>
    <m/>
    <n v="223.99199999999999"/>
    <n v="0"/>
    <n v="223.99199999999999"/>
    <n v="223.99199999999999"/>
    <n v="223.99199999999999"/>
    <n v="223.99199999999999"/>
    <n v="895.96799999999996"/>
    <s v="NA"/>
    <m/>
  </r>
  <r>
    <s v="NSG"/>
    <x v="4"/>
    <x v="6"/>
    <s v="Whole Building - Prescriptive"/>
    <x v="35"/>
    <s v="&gt;=300MBH, &lt;1,500, &gt;=81% AFUE"/>
    <s v="MF"/>
    <x v="3"/>
    <s v="4.4.10"/>
    <s v="MBH"/>
    <n v="450"/>
    <n v="450"/>
    <n v="450"/>
    <n v="450"/>
    <s v="CI-HVC-BOIL-V10-230101"/>
    <m/>
    <n v="0.63884615384615429"/>
    <n v="0.63884615384615429"/>
    <n v="0.63884615384615429"/>
    <n v="0.63884615384615429"/>
    <n v="1"/>
    <n v="1"/>
    <n v="1"/>
    <n v="1"/>
    <n v="287.48076923076945"/>
    <n v="287.48076923076945"/>
    <n v="287.48076923076945"/>
    <n v="287.48076923076945"/>
    <n v="1149.9230769230778"/>
    <n v="1"/>
    <n v="1"/>
    <n v="1"/>
    <n v="1"/>
    <n v="1"/>
    <n v="1"/>
    <n v="1"/>
    <n v="1"/>
    <m/>
    <m/>
    <n v="0.63884615384615429"/>
    <m/>
    <n v="287.48076923076945"/>
    <n v="0"/>
    <m/>
    <m/>
    <n v="0.42050632911392438"/>
    <s v="n/a"/>
    <n v="287.48076923076945"/>
    <n v="189.22784810126598"/>
    <n v="-98.252921129503477"/>
    <m/>
    <m/>
    <n v="0.42050632911392438"/>
    <m/>
    <n v="189.22784810126598"/>
    <n v="-98.252921129503477"/>
    <m/>
    <m/>
    <n v="0.42050632911392438"/>
    <m/>
    <n v="189.22784810126598"/>
    <n v="-98.252921129503477"/>
    <n v="287.48076923076945"/>
    <n v="189.22784810126598"/>
    <n v="189.22784810126598"/>
    <n v="189.22784810126598"/>
    <n v="855.16431353456744"/>
    <s v="NA"/>
    <m/>
  </r>
  <r>
    <s v="NSG"/>
    <x v="5"/>
    <x v="8"/>
    <s v="Rebates"/>
    <x v="43"/>
    <s v="Hotel/Motel/Hospital"/>
    <s v="CI"/>
    <x v="3"/>
    <s v="4.8.5"/>
    <s v="lb-capacity"/>
    <n v="425"/>
    <n v="400"/>
    <n v="350"/>
    <n v="340"/>
    <s v="CI-MSC-HSCW-V02-210101"/>
    <m/>
    <n v="6.7459391999999996"/>
    <n v="6.7459391999999996"/>
    <n v="6.7459391999999996"/>
    <n v="6.7459391999999996"/>
    <n v="0.91"/>
    <n v="0.91"/>
    <n v="0.91"/>
    <n v="0.91"/>
    <n v="2608.9919856000001"/>
    <n v="2455.5218687999995"/>
    <n v="2148.5816352000002"/>
    <n v="2087.19358848"/>
    <n v="9300.2890780800008"/>
    <n v="0.91"/>
    <n v="0.91"/>
    <n v="0.91"/>
    <n v="0.91"/>
    <n v="0.91"/>
    <n v="0.91"/>
    <n v="0.91"/>
    <n v="0.91"/>
    <m/>
    <m/>
    <n v="6.7459391999999996"/>
    <m/>
    <n v="2608.9919856000001"/>
    <n v="0"/>
    <m/>
    <m/>
    <n v="6.7459391999999996"/>
    <s v="n/a"/>
    <n v="2455.5218687999995"/>
    <n v="2455.5218687999995"/>
    <n v="0"/>
    <m/>
    <m/>
    <n v="6.7459391999999996"/>
    <m/>
    <n v="2148.5816352000002"/>
    <n v="0"/>
    <m/>
    <m/>
    <n v="6.7459391999999996"/>
    <m/>
    <n v="2087.19358848"/>
    <n v="0"/>
    <n v="2608.9919856000001"/>
    <n v="2455.5218687999995"/>
    <n v="2148.5816352000002"/>
    <n v="2087.19358848"/>
    <n v="9300.2890780800008"/>
    <s v="NA"/>
    <m/>
  </r>
  <r>
    <s v="NSG"/>
    <x v="4"/>
    <x v="4"/>
    <s v="Leave Behind Kit"/>
    <x v="26"/>
    <n v="0"/>
    <s v="SF"/>
    <x v="3"/>
    <s v="5.6.1"/>
    <s v="linear foot"/>
    <n v="400"/>
    <n v="1008"/>
    <n v="2016"/>
    <n v="2416"/>
    <s v="RS-SHL-AIRS-V12-230101"/>
    <m/>
    <n v="0.42455999999999999"/>
    <n v="0.42455999999999999"/>
    <n v="0.42455999999999999"/>
    <n v="0.42455999999999999"/>
    <n v="1"/>
    <n v="1"/>
    <n v="1"/>
    <n v="1"/>
    <n v="169.82399999999998"/>
    <n v="427.95648"/>
    <n v="855.91296"/>
    <n v="1025.73696"/>
    <n v="2479.4304000000002"/>
    <n v="1"/>
    <n v="1"/>
    <n v="1"/>
    <n v="1"/>
    <n v="1"/>
    <n v="1"/>
    <n v="1"/>
    <n v="1"/>
    <m/>
    <m/>
    <n v="0.42455999999999999"/>
    <m/>
    <n v="169.82399999999998"/>
    <n v="0"/>
    <m/>
    <m/>
    <n v="0.42455999999999999"/>
    <s v="Updated ISR"/>
    <n v="376.60170240000002"/>
    <n v="427.95648"/>
    <n v="0"/>
    <m/>
    <m/>
    <n v="0.42455999999999999"/>
    <m/>
    <n v="855.91296"/>
    <n v="0"/>
    <m/>
    <m/>
    <n v="0.42455999999999999"/>
    <m/>
    <n v="1025.73696"/>
    <n v="0"/>
    <n v="169.82399999999998"/>
    <n v="427.95648"/>
    <n v="855.91296"/>
    <n v="1025.73696"/>
    <n v="2479.4304000000002"/>
    <s v="NA"/>
    <m/>
  </r>
  <r>
    <s v="NSG"/>
    <x v="5"/>
    <x v="8"/>
    <s v="Rebates"/>
    <x v="28"/>
    <s v="≥88% AFUE, &lt;300MBh"/>
    <s v="CI"/>
    <x v="3"/>
    <s v="4.4.10"/>
    <s v="MBH"/>
    <n v="340"/>
    <n v="320"/>
    <n v="280"/>
    <n v="272"/>
    <s v="CI-HVC-BOIL-V10-230101"/>
    <m/>
    <n v="0.79095238095238163"/>
    <n v="0.79095238095238163"/>
    <n v="0.79095238095238163"/>
    <n v="0.79095238095238163"/>
    <n v="0.91"/>
    <n v="0.91"/>
    <n v="0.91"/>
    <n v="0.91"/>
    <n v="244.72066666666692"/>
    <n v="230.32533333333353"/>
    <n v="201.53466666666685"/>
    <n v="195.7765333333335"/>
    <n v="872.35720000000083"/>
    <n v="0.91"/>
    <n v="0.91"/>
    <n v="0.91"/>
    <n v="0.91"/>
    <n v="0.91"/>
    <n v="0.91"/>
    <n v="0.91"/>
    <n v="0.91"/>
    <m/>
    <m/>
    <n v="0.79095238095238163"/>
    <m/>
    <n v="244.72066666666692"/>
    <n v="0"/>
    <m/>
    <m/>
    <n v="0.79095238095238163"/>
    <s v="n/a"/>
    <n v="230.32533333333353"/>
    <n v="230.32533333333353"/>
    <n v="0"/>
    <m/>
    <m/>
    <n v="0.79095238095238163"/>
    <m/>
    <n v="201.53466666666685"/>
    <n v="0"/>
    <m/>
    <m/>
    <n v="0.79095238095238163"/>
    <m/>
    <n v="195.7765333333335"/>
    <n v="0"/>
    <n v="244.72066666666692"/>
    <n v="230.32533333333353"/>
    <n v="201.53466666666685"/>
    <n v="195.7765333333335"/>
    <n v="872.35720000000083"/>
    <s v="NA"/>
    <m/>
  </r>
  <r>
    <s v="NSG"/>
    <x v="5"/>
    <x v="8"/>
    <s v="Rebates"/>
    <x v="4"/>
    <s v="HW Large &gt;4&quot;"/>
    <s v="MF/CI/SMB"/>
    <x v="3"/>
    <s v="&quot;3 - Res Pipe Insulation&quot; worksheet"/>
    <s v="ft"/>
    <n v="318.75"/>
    <n v="300"/>
    <n v="262.5"/>
    <n v="255.00000000000003"/>
    <n v="0"/>
    <m/>
    <n v="9.0407613085908682"/>
    <n v="9.0407613085908682"/>
    <n v="9.0407613085908682"/>
    <n v="9.0407613085908682"/>
    <n v="0.91"/>
    <n v="0.91"/>
    <n v="0.91"/>
    <n v="0.91"/>
    <n v="2622.3858270731389"/>
    <n v="2468.1278372453071"/>
    <n v="2159.6118575896435"/>
    <n v="2097.9086616585114"/>
    <n v="9348.0341835666004"/>
    <n v="0.91"/>
    <n v="0.91"/>
    <n v="0.91"/>
    <n v="0.91"/>
    <n v="0.91"/>
    <n v="0.91"/>
    <n v="0.91"/>
    <n v="0.91"/>
    <m/>
    <m/>
    <n v="9.0407613085908682"/>
    <m/>
    <n v="2622.3858270731389"/>
    <n v="0"/>
    <m/>
    <m/>
    <n v="9.0407613085908682"/>
    <s v="n/a"/>
    <n v="2468.1278372453071"/>
    <n v="2468.1278372453071"/>
    <n v="0"/>
    <m/>
    <m/>
    <n v="9.0407613085908682"/>
    <m/>
    <n v="2159.6118575896435"/>
    <n v="0"/>
    <m/>
    <m/>
    <n v="9.0407613085908682"/>
    <m/>
    <n v="2097.9086616585114"/>
    <n v="0"/>
    <n v="2622.3858270731389"/>
    <n v="2468.1278372453071"/>
    <n v="2159.6118575896435"/>
    <n v="2097.9086616585114"/>
    <n v="9348.0341835666004"/>
    <s v="NA"/>
    <m/>
  </r>
  <r>
    <s v="NSG"/>
    <x v="3"/>
    <x v="6"/>
    <s v="Partner Trade Ally Rebate"/>
    <x v="4"/>
    <s v="HW Medium 2.1&quot; to 4&quot;"/>
    <s v="MF/CI/SMB"/>
    <x v="3"/>
    <s v="&quot;3 - Res Pipe Insulation&quot; worksheet"/>
    <s v="ft"/>
    <n v="300"/>
    <n v="300"/>
    <n v="300"/>
    <n v="300"/>
    <n v="0"/>
    <m/>
    <n v="5.2492031493764015"/>
    <n v="5.2492031493764015"/>
    <n v="5.2492031493764015"/>
    <n v="5.2492031493764015"/>
    <n v="0.87"/>
    <n v="0.87"/>
    <n v="0.87"/>
    <n v="0.87"/>
    <n v="1370.0420219872408"/>
    <n v="1370.0420219872408"/>
    <n v="1370.0420219872408"/>
    <n v="1370.0420219872408"/>
    <n v="5480.1680879489631"/>
    <n v="0.87"/>
    <n v="0.87"/>
    <n v="0.87"/>
    <n v="0.87"/>
    <n v="0.87"/>
    <n v="0.87"/>
    <n v="0.87"/>
    <n v="0.87"/>
    <m/>
    <m/>
    <n v="5.2492031493764015"/>
    <m/>
    <n v="1370.0420219872408"/>
    <n v="0"/>
    <m/>
    <m/>
    <n v="5.2492031493764015"/>
    <s v="n/a"/>
    <n v="1370.0420219872408"/>
    <n v="1370.0420219872408"/>
    <n v="0"/>
    <m/>
    <m/>
    <n v="5.2492031493764015"/>
    <m/>
    <n v="1370.0420219872408"/>
    <n v="0"/>
    <m/>
    <m/>
    <n v="5.2492031493764015"/>
    <m/>
    <n v="1370.0420219872408"/>
    <n v="0"/>
    <n v="1370.0420219872408"/>
    <n v="1370.0420219872408"/>
    <n v="1370.0420219872408"/>
    <n v="1370.0420219872408"/>
    <n v="5480.1680879489631"/>
    <s v="NA"/>
    <m/>
  </r>
  <r>
    <s v="NSG"/>
    <x v="3"/>
    <x v="6"/>
    <s v="Partner Trade Ally Rebate"/>
    <x v="4"/>
    <s v="HW Large &gt;4&quot;"/>
    <s v="MF/CI/SMB"/>
    <x v="3"/>
    <s v="&quot;3 - Res Pipe Insulation&quot; worksheet"/>
    <s v="ft"/>
    <n v="300"/>
    <n v="300"/>
    <n v="300"/>
    <n v="300"/>
    <n v="0"/>
    <m/>
    <n v="9.0407613085908682"/>
    <n v="9.0407613085908682"/>
    <n v="9.0407613085908682"/>
    <n v="9.0407613085908682"/>
    <n v="0.87"/>
    <n v="0.87"/>
    <n v="0.87"/>
    <n v="0.87"/>
    <n v="2359.6387015422165"/>
    <n v="2359.6387015422165"/>
    <n v="2359.6387015422165"/>
    <n v="2359.6387015422165"/>
    <n v="9438.554806168866"/>
    <n v="0.87"/>
    <n v="0.87"/>
    <n v="0.87"/>
    <n v="0.87"/>
    <n v="0.87"/>
    <n v="0.87"/>
    <n v="0.87"/>
    <n v="0.87"/>
    <m/>
    <m/>
    <n v="9.0407613085908682"/>
    <m/>
    <n v="2359.6387015422165"/>
    <n v="0"/>
    <m/>
    <m/>
    <n v="9.0407613085908682"/>
    <s v="n/a"/>
    <n v="2359.6387015422165"/>
    <n v="2359.6387015422165"/>
    <n v="0"/>
    <m/>
    <m/>
    <n v="9.0407613085908682"/>
    <m/>
    <n v="2359.6387015422165"/>
    <n v="0"/>
    <m/>
    <m/>
    <n v="9.0407613085908682"/>
    <m/>
    <n v="2359.6387015422165"/>
    <n v="0"/>
    <n v="2359.6387015422165"/>
    <n v="2359.6387015422165"/>
    <n v="2359.6387015422165"/>
    <n v="2359.6387015422165"/>
    <n v="9438.554806168866"/>
    <s v="NA"/>
    <m/>
  </r>
  <r>
    <s v="NSG"/>
    <x v="5"/>
    <x v="7"/>
    <s v="Partner Trade Ally Rebate"/>
    <x v="4"/>
    <s v="Steam - Med 2.1&quot; to 5&quot;"/>
    <s v="CI"/>
    <x v="3"/>
    <s v="&quot;3 - Pipe Insulation&quot; worksheet"/>
    <s v="ft"/>
    <n v="300"/>
    <n v="225"/>
    <n v="225"/>
    <n v="225"/>
    <n v="0"/>
    <m/>
    <n v="12.811046084448035"/>
    <n v="12.811046084448035"/>
    <n v="12.811046084448035"/>
    <n v="12.811046084448035"/>
    <n v="0.93"/>
    <n v="0.93"/>
    <n v="0.93"/>
    <n v="0.93"/>
    <n v="3574.2818575610017"/>
    <n v="2680.7113931707518"/>
    <n v="2680.7113931707518"/>
    <n v="2680.7113931707518"/>
    <n v="11616.416037073257"/>
    <n v="0.93"/>
    <n v="0.93"/>
    <n v="0.93"/>
    <n v="0.93"/>
    <n v="0.93"/>
    <n v="0.93"/>
    <n v="0.93"/>
    <n v="0.93"/>
    <m/>
    <m/>
    <n v="12.811046084448035"/>
    <m/>
    <n v="3574.2818575610017"/>
    <n v="0"/>
    <m/>
    <m/>
    <n v="12.811046084448035"/>
    <s v="n/a"/>
    <n v="2680.7113931707518"/>
    <n v="2680.7113931707518"/>
    <n v="0"/>
    <m/>
    <m/>
    <n v="12.811046084448035"/>
    <m/>
    <n v="2680.7113931707518"/>
    <n v="0"/>
    <m/>
    <m/>
    <n v="12.811046084448035"/>
    <m/>
    <n v="2680.7113931707518"/>
    <n v="0"/>
    <n v="3574.2818575610017"/>
    <n v="2680.7113931707518"/>
    <n v="2680.7113931707518"/>
    <n v="2680.7113931707518"/>
    <n v="11616.416037073257"/>
    <s v="NA"/>
    <m/>
  </r>
  <r>
    <s v="NSG"/>
    <x v="3"/>
    <x v="6"/>
    <s v="Partner Trade Ally Rebate"/>
    <x v="4"/>
    <s v="HW Small 1&quot; to 2&quot;"/>
    <s v="MF/CI/SMB"/>
    <x v="3"/>
    <s v="&quot;3 - Res Pipe Insulation&quot; worksheet"/>
    <s v="ft"/>
    <n v="225"/>
    <n v="225"/>
    <n v="225"/>
    <n v="225"/>
    <n v="0"/>
    <m/>
    <n v="2.6588140926267867"/>
    <n v="2.6588140926267867"/>
    <n v="2.6588140926267867"/>
    <n v="2.6588140926267867"/>
    <n v="0.87"/>
    <n v="0.87"/>
    <n v="0.87"/>
    <n v="0.87"/>
    <n v="520.46285863169351"/>
    <n v="520.46285863169351"/>
    <n v="520.46285863169351"/>
    <n v="520.46285863169351"/>
    <n v="2081.851434526774"/>
    <n v="0.87"/>
    <n v="0.87"/>
    <n v="0.87"/>
    <n v="0.87"/>
    <n v="0.87"/>
    <n v="0.87"/>
    <n v="0.87"/>
    <n v="0.87"/>
    <m/>
    <m/>
    <n v="2.6588140926267867"/>
    <m/>
    <n v="520.46285863169351"/>
    <n v="0"/>
    <m/>
    <m/>
    <n v="2.6588140926267867"/>
    <s v="n/a"/>
    <n v="520.46285863169351"/>
    <n v="520.46285863169351"/>
    <n v="0"/>
    <m/>
    <m/>
    <n v="2.6588140926267867"/>
    <m/>
    <n v="520.46285863169351"/>
    <n v="0"/>
    <m/>
    <m/>
    <n v="2.6588140926267867"/>
    <m/>
    <n v="520.46285863169351"/>
    <n v="0"/>
    <n v="520.46285863169351"/>
    <n v="520.46285863169351"/>
    <n v="520.46285863169351"/>
    <n v="520.46285863169351"/>
    <n v="2081.851434526774"/>
    <s v="NA"/>
    <m/>
  </r>
  <r>
    <s v="NSG"/>
    <x v="5"/>
    <x v="9"/>
    <s v="Rebates"/>
    <x v="4"/>
    <s v="HW Medium 2.1&quot; to 4&quot;"/>
    <s v="MF/CI/SMB"/>
    <x v="3"/>
    <s v="&quot;3 - Res Pipe Insulation&quot; worksheet"/>
    <s v="ft"/>
    <n v="225"/>
    <n v="225"/>
    <n v="225"/>
    <n v="225"/>
    <n v="0"/>
    <m/>
    <n v="5.2492031493764015"/>
    <n v="5.2492031493764015"/>
    <n v="5.2492031493764015"/>
    <n v="5.2492031493764015"/>
    <n v="0.92"/>
    <n v="0.92"/>
    <n v="0.92"/>
    <n v="0.92"/>
    <n v="1086.5850519209152"/>
    <n v="1086.5850519209152"/>
    <n v="1086.5850519209152"/>
    <n v="1086.5850519209152"/>
    <n v="4346.340207683661"/>
    <n v="0.92"/>
    <n v="0.92"/>
    <n v="0.92"/>
    <n v="0.92"/>
    <n v="0.92"/>
    <n v="0.92"/>
    <n v="0.92"/>
    <n v="0.92"/>
    <m/>
    <m/>
    <n v="5.2492031493764015"/>
    <m/>
    <n v="1086.5850519209152"/>
    <n v="0"/>
    <m/>
    <m/>
    <n v="5.2492031493764015"/>
    <s v="n/a"/>
    <n v="1086.5850519209152"/>
    <n v="1086.5850519209152"/>
    <n v="0"/>
    <m/>
    <m/>
    <n v="5.2492031493764015"/>
    <m/>
    <n v="1086.5850519209152"/>
    <n v="0"/>
    <m/>
    <m/>
    <n v="5.2492031493764015"/>
    <m/>
    <n v="1086.5850519209152"/>
    <n v="0"/>
    <n v="1086.5850519209152"/>
    <n v="1086.5850519209152"/>
    <n v="1086.5850519209152"/>
    <n v="1086.5850519209152"/>
    <n v="4346.340207683661"/>
    <s v="NA"/>
    <m/>
  </r>
  <r>
    <s v="NSG"/>
    <x v="5"/>
    <x v="9"/>
    <s v="Rebates"/>
    <x v="4"/>
    <s v="HW Large &gt;4&quot;"/>
    <s v="MF/CI/SMB"/>
    <x v="3"/>
    <s v="&quot;3 - Res Pipe Insulation&quot; worksheet"/>
    <s v="ft"/>
    <n v="225"/>
    <n v="225"/>
    <n v="225"/>
    <n v="225"/>
    <n v="0"/>
    <m/>
    <n v="9.0407613085908682"/>
    <n v="9.0407613085908682"/>
    <n v="9.0407613085908682"/>
    <n v="9.0407613085908682"/>
    <n v="0.92"/>
    <n v="0.92"/>
    <n v="0.92"/>
    <n v="0.92"/>
    <n v="1871.4375908783099"/>
    <n v="1871.4375908783099"/>
    <n v="1871.4375908783099"/>
    <n v="1871.4375908783099"/>
    <n v="7485.7503635132398"/>
    <n v="0.92"/>
    <n v="0.92"/>
    <n v="0.92"/>
    <n v="0.92"/>
    <n v="0.92"/>
    <n v="0.92"/>
    <n v="0.92"/>
    <n v="0.92"/>
    <m/>
    <m/>
    <n v="9.0407613085908682"/>
    <m/>
    <n v="1871.4375908783099"/>
    <n v="0"/>
    <m/>
    <m/>
    <n v="9.0407613085908682"/>
    <s v="n/a"/>
    <n v="1871.4375908783099"/>
    <n v="1871.4375908783099"/>
    <n v="0"/>
    <m/>
    <m/>
    <n v="9.0407613085908682"/>
    <m/>
    <n v="1871.4375908783099"/>
    <n v="0"/>
    <m/>
    <m/>
    <n v="9.0407613085908682"/>
    <m/>
    <n v="1871.4375908783099"/>
    <n v="0"/>
    <n v="1871.4375908783099"/>
    <n v="1871.4375908783099"/>
    <n v="1871.4375908783099"/>
    <n v="1871.4375908783099"/>
    <n v="7485.7503635132398"/>
    <s v="NA"/>
    <m/>
  </r>
  <r>
    <s v="NSG"/>
    <x v="5"/>
    <x v="9"/>
    <s v="Rebates"/>
    <x v="4"/>
    <s v="Steam - Small 1&quot; to 2&quot;"/>
    <s v="CI"/>
    <x v="3"/>
    <s v="&quot;3 - Pipe Insulation&quot; worksheet"/>
    <s v="ft"/>
    <n v="225"/>
    <n v="225"/>
    <n v="225"/>
    <n v="225"/>
    <n v="0"/>
    <m/>
    <n v="3.1854757047967208"/>
    <n v="3.1854757047967208"/>
    <n v="3.1854757047967208"/>
    <n v="3.1854757047967208"/>
    <n v="0.92"/>
    <n v="0.92"/>
    <n v="0.92"/>
    <n v="0.92"/>
    <n v="659.39347089292119"/>
    <n v="659.39347089292119"/>
    <n v="659.39347089292119"/>
    <n v="659.39347089292119"/>
    <n v="2637.5738835716847"/>
    <n v="0.92"/>
    <n v="0.92"/>
    <n v="0.92"/>
    <n v="0.92"/>
    <n v="0.92"/>
    <n v="0.92"/>
    <n v="0.92"/>
    <n v="0.92"/>
    <m/>
    <m/>
    <n v="3.1854757047967208"/>
    <m/>
    <n v="659.39347089292119"/>
    <n v="0"/>
    <m/>
    <m/>
    <n v="3.1854757047967208"/>
    <s v="n/a"/>
    <n v="659.39347089292119"/>
    <n v="659.39347089292119"/>
    <n v="0"/>
    <m/>
    <m/>
    <n v="3.1854757047967208"/>
    <m/>
    <n v="659.39347089292119"/>
    <n v="0"/>
    <m/>
    <m/>
    <n v="3.1854757047967208"/>
    <m/>
    <n v="659.39347089292119"/>
    <n v="0"/>
    <n v="659.39347089292119"/>
    <n v="659.39347089292119"/>
    <n v="659.39347089292119"/>
    <n v="659.39347089292119"/>
    <n v="2637.5738835716847"/>
    <s v="NA"/>
    <m/>
  </r>
  <r>
    <s v="NSG"/>
    <x v="5"/>
    <x v="7"/>
    <s v="Rebates"/>
    <x v="4"/>
    <s v="Steam - Large 5.1&quot; to 8&quot;"/>
    <s v="CI"/>
    <x v="3"/>
    <s v="&quot;3 - Pipe Insulation&quot; worksheet"/>
    <s v="ft"/>
    <n v="225"/>
    <n v="150"/>
    <n v="150"/>
    <n v="150"/>
    <n v="0"/>
    <m/>
    <n v="24.999763600321025"/>
    <n v="24.999763600321025"/>
    <n v="24.999763600321025"/>
    <n v="24.999763600321025"/>
    <n v="0.93"/>
    <n v="0.93"/>
    <n v="0.93"/>
    <n v="0.93"/>
    <n v="5231.200533367175"/>
    <n v="3487.467022244783"/>
    <n v="3487.467022244783"/>
    <n v="3487.467022244783"/>
    <n v="15693.601600101523"/>
    <n v="0.93"/>
    <n v="0.93"/>
    <n v="0.93"/>
    <n v="0.93"/>
    <n v="0.93"/>
    <n v="0.93"/>
    <n v="0.93"/>
    <n v="0.93"/>
    <m/>
    <m/>
    <n v="24.999763600321025"/>
    <m/>
    <n v="5231.200533367175"/>
    <n v="0"/>
    <m/>
    <m/>
    <n v="24.999763600321025"/>
    <s v="n/a"/>
    <n v="3487.467022244783"/>
    <n v="3487.467022244783"/>
    <n v="0"/>
    <m/>
    <m/>
    <n v="24.999763600321025"/>
    <m/>
    <n v="3487.467022244783"/>
    <n v="0"/>
    <m/>
    <m/>
    <n v="24.999763600321025"/>
    <m/>
    <n v="3487.467022244783"/>
    <n v="0"/>
    <n v="5231.200533367175"/>
    <n v="3487.467022244783"/>
    <n v="3487.467022244783"/>
    <n v="3487.467022244783"/>
    <n v="15693.601600101523"/>
    <s v="NA"/>
    <m/>
  </r>
  <r>
    <s v="NSG"/>
    <x v="5"/>
    <x v="7"/>
    <s v="Partner Trade Ally Rebate"/>
    <x v="4"/>
    <s v="Steam - Small 1&quot; to 2&quot;"/>
    <s v="CI"/>
    <x v="3"/>
    <s v="&quot;3 - Pipe Insulation&quot; worksheet"/>
    <s v="ft"/>
    <n v="225"/>
    <n v="150"/>
    <n v="150"/>
    <n v="150"/>
    <n v="0"/>
    <m/>
    <n v="3.1854757047967208"/>
    <n v="3.1854757047967208"/>
    <n v="3.1854757047967208"/>
    <n v="3.1854757047967208"/>
    <n v="0.93"/>
    <n v="0.93"/>
    <n v="0.93"/>
    <n v="0.93"/>
    <n v="666.56079122871381"/>
    <n v="444.37386081914258"/>
    <n v="444.37386081914258"/>
    <n v="444.37386081914258"/>
    <n v="1999.6823736861415"/>
    <n v="0.93"/>
    <n v="0.93"/>
    <n v="0.93"/>
    <n v="0.93"/>
    <n v="0.93"/>
    <n v="0.93"/>
    <n v="0.93"/>
    <n v="0.93"/>
    <m/>
    <m/>
    <n v="3.1854757047967208"/>
    <m/>
    <n v="666.56079122871381"/>
    <n v="0"/>
    <m/>
    <m/>
    <n v="3.1854757047967208"/>
    <s v="n/a"/>
    <n v="444.37386081914258"/>
    <n v="444.37386081914258"/>
    <n v="0"/>
    <m/>
    <m/>
    <n v="3.1854757047967208"/>
    <m/>
    <n v="444.37386081914258"/>
    <n v="0"/>
    <m/>
    <m/>
    <n v="3.1854757047967208"/>
    <m/>
    <n v="444.37386081914258"/>
    <n v="0"/>
    <n v="666.56079122871381"/>
    <n v="444.37386081914258"/>
    <n v="444.37386081914258"/>
    <n v="444.37386081914258"/>
    <n v="1999.6823736861415"/>
    <s v="NA"/>
    <m/>
  </r>
  <r>
    <s v="NSG"/>
    <x v="5"/>
    <x v="8"/>
    <s v="Rebates"/>
    <x v="43"/>
    <s v="Laundromat"/>
    <s v="SMB"/>
    <x v="3"/>
    <s v="4.8.5"/>
    <s v="lb-capacity"/>
    <n v="212.5"/>
    <n v="200"/>
    <n v="175"/>
    <n v="170"/>
    <s v="CI-MSC-HSCW-V02-210101"/>
    <m/>
    <n v="2.7891864000000002"/>
    <n v="2.7891864000000002"/>
    <n v="2.7891864000000002"/>
    <n v="2.7891864000000002"/>
    <n v="0.91"/>
    <n v="0.91"/>
    <n v="0.91"/>
    <n v="0.91"/>
    <n v="539.35892010000009"/>
    <n v="507.63192480000009"/>
    <n v="444.17793420000004"/>
    <n v="431.48713608000003"/>
    <n v="1922.6559151800002"/>
    <n v="0.91"/>
    <n v="0.91"/>
    <n v="0.91"/>
    <n v="0.91"/>
    <n v="0.91"/>
    <n v="0.91"/>
    <n v="0.91"/>
    <n v="0.91"/>
    <m/>
    <m/>
    <n v="2.7891864000000002"/>
    <m/>
    <n v="539.35892010000009"/>
    <n v="0"/>
    <m/>
    <m/>
    <n v="2.7891864000000002"/>
    <s v="n/a"/>
    <n v="507.63192480000009"/>
    <n v="507.63192480000009"/>
    <n v="0"/>
    <m/>
    <m/>
    <n v="2.7891864000000002"/>
    <m/>
    <n v="444.17793420000004"/>
    <n v="0"/>
    <m/>
    <m/>
    <n v="2.7891864000000002"/>
    <m/>
    <n v="431.48713608000003"/>
    <n v="0"/>
    <n v="539.35892010000009"/>
    <n v="507.63192480000009"/>
    <n v="444.17793420000004"/>
    <n v="431.48713608000003"/>
    <n v="1922.6559151800002"/>
    <s v="NA"/>
    <m/>
  </r>
  <r>
    <s v="NSG"/>
    <x v="3"/>
    <x v="3"/>
    <s v="Standard Rebate"/>
    <x v="37"/>
    <s v="&gt;97% AFUE"/>
    <s v="SF"/>
    <x v="3"/>
    <s v="5.3.7"/>
    <s v="each"/>
    <n v="200"/>
    <n v="100"/>
    <n v="50"/>
    <n v="25"/>
    <s v="RS-HVC-GHEF-V12-230101"/>
    <m/>
    <n v="199.9100208196362"/>
    <n v="199.9100208196362"/>
    <n v="199.9100208196362"/>
    <n v="199.9100208196362"/>
    <n v="0.74"/>
    <n v="0.74"/>
    <n v="0.74"/>
    <n v="0.74"/>
    <n v="29586.683081306157"/>
    <n v="14793.341540653078"/>
    <n v="7396.6707703265392"/>
    <n v="3698.3353851632696"/>
    <n v="55475.03077744905"/>
    <n v="0.74"/>
    <n v="0.74"/>
    <n v="0.74"/>
    <n v="0.74"/>
    <n v="0.74"/>
    <n v="0.74"/>
    <n v="0.74"/>
    <n v="0.74"/>
    <m/>
    <m/>
    <n v="199.9100208196362"/>
    <m/>
    <n v="29586.683081306157"/>
    <n v="0"/>
    <m/>
    <m/>
    <n v="199.9100208196362"/>
    <s v="n/a"/>
    <n v="14793.341540653078"/>
    <n v="14793.341540653078"/>
    <n v="0"/>
    <m/>
    <m/>
    <n v="199.9100208196362"/>
    <m/>
    <n v="7396.6707703265392"/>
    <n v="0"/>
    <m/>
    <m/>
    <n v="199.9100208196362"/>
    <m/>
    <n v="3698.3353851632696"/>
    <n v="0"/>
    <n v="29586.683081306157"/>
    <n v="14793.341540653078"/>
    <n v="7396.6707703265392"/>
    <n v="3698.3353851632696"/>
    <n v="55475.03077744905"/>
    <s v="NA"/>
    <m/>
  </r>
  <r>
    <s v="NSG"/>
    <x v="3"/>
    <x v="6"/>
    <s v="Standard Rebate"/>
    <x v="28"/>
    <s v="≥88% AFUE, &lt;300MBh"/>
    <s v="MF"/>
    <x v="3"/>
    <s v="4.4.10"/>
    <s v="MBH"/>
    <n v="200"/>
    <n v="200"/>
    <n v="200"/>
    <n v="200"/>
    <s v="CI-HVC-BOIL-V10-230101"/>
    <m/>
    <n v="0.79095238095238163"/>
    <n v="0.79095238095238163"/>
    <n v="0.79095238095238163"/>
    <n v="0.79095238095238163"/>
    <n v="0.87"/>
    <n v="0.87"/>
    <n v="0.87"/>
    <n v="0.87"/>
    <n v="137.62571428571439"/>
    <n v="137.62571428571439"/>
    <n v="137.62571428571439"/>
    <n v="137.62571428571439"/>
    <n v="550.50285714285758"/>
    <n v="0.87"/>
    <n v="0.87"/>
    <n v="0.87"/>
    <n v="0.87"/>
    <n v="0.87"/>
    <n v="0.87"/>
    <n v="0.87"/>
    <n v="0.87"/>
    <m/>
    <m/>
    <n v="0.79095238095238163"/>
    <m/>
    <n v="137.62571428571439"/>
    <n v="0"/>
    <m/>
    <m/>
    <n v="0.79095238095238163"/>
    <s v="n/a"/>
    <n v="137.62571428571439"/>
    <n v="137.62571428571439"/>
    <n v="0"/>
    <m/>
    <m/>
    <n v="0.79095238095238163"/>
    <m/>
    <n v="137.62571428571439"/>
    <n v="0"/>
    <m/>
    <m/>
    <n v="0.79095238095238163"/>
    <m/>
    <n v="137.62571428571439"/>
    <n v="0"/>
    <n v="137.62571428571439"/>
    <n v="137.62571428571439"/>
    <n v="137.62571428571439"/>
    <n v="137.62571428571439"/>
    <n v="550.50285714285758"/>
    <s v="NA"/>
    <m/>
  </r>
  <r>
    <s v="NSG"/>
    <x v="3"/>
    <x v="6"/>
    <s v="Standard Rebate"/>
    <x v="21"/>
    <s v="Process"/>
    <s v="MF/CI"/>
    <x v="3"/>
    <s v="4.4.3"/>
    <s v="MBH"/>
    <n v="200"/>
    <n v="200"/>
    <n v="200"/>
    <n v="200"/>
    <s v="CI-HVC-PBTU-V07-230101"/>
    <m/>
    <n v="1.0227353753026578"/>
    <n v="1.0227353753026578"/>
    <n v="1.0227353753026578"/>
    <n v="1.0227353753026578"/>
    <n v="0.87"/>
    <n v="0.87"/>
    <n v="0.87"/>
    <n v="0.87"/>
    <n v="177.95595530266246"/>
    <n v="177.95595530266246"/>
    <n v="177.95595530266246"/>
    <n v="177.95595530266246"/>
    <n v="711.82382121064984"/>
    <n v="0.87"/>
    <n v="0.87"/>
    <n v="0.87"/>
    <n v="0.87"/>
    <n v="0.87"/>
    <n v="0.87"/>
    <n v="0.87"/>
    <n v="0.87"/>
    <m/>
    <m/>
    <n v="1.0227353753026578"/>
    <m/>
    <n v="177.95595530266246"/>
    <n v="0"/>
    <m/>
    <m/>
    <n v="1.0227353753026578"/>
    <s v="Updated measure lifetime."/>
    <n v="177.95595530266246"/>
    <n v="177.95595530266246"/>
    <n v="0"/>
    <m/>
    <m/>
    <n v="1.0227353753026578"/>
    <m/>
    <n v="177.95595530266246"/>
    <n v="0"/>
    <m/>
    <m/>
    <n v="1.0227353753026578"/>
    <m/>
    <n v="177.95595530266246"/>
    <n v="0"/>
    <n v="177.95595530266246"/>
    <n v="177.95595530266246"/>
    <n v="177.95595530266246"/>
    <n v="177.95595530266246"/>
    <n v="711.82382121064984"/>
    <s v="NA"/>
    <m/>
  </r>
  <r>
    <s v="NSG"/>
    <x v="3"/>
    <x v="6"/>
    <s v="Standard Rebate"/>
    <x v="21"/>
    <s v="Space Heating"/>
    <s v="MF"/>
    <x v="3"/>
    <s v="4.4.2"/>
    <s v="MBH"/>
    <n v="200"/>
    <n v="200"/>
    <n v="200"/>
    <n v="200"/>
    <s v="CI-HVC-BLRT-V07-210101"/>
    <m/>
    <n v="0.46874846625766969"/>
    <n v="0.46874846625766969"/>
    <n v="0.46874846625766969"/>
    <n v="0.46874846625766969"/>
    <n v="0.87"/>
    <n v="0.87"/>
    <n v="0.87"/>
    <n v="0.87"/>
    <n v="81.562233128834535"/>
    <n v="81.562233128834535"/>
    <n v="81.562233128834535"/>
    <n v="81.562233128834535"/>
    <n v="326.24893251533814"/>
    <n v="0.87"/>
    <n v="0.87"/>
    <n v="0.87"/>
    <n v="0.87"/>
    <n v="0.87"/>
    <n v="0.87"/>
    <n v="0.87"/>
    <n v="0.87"/>
    <m/>
    <m/>
    <n v="0.46874846625766969"/>
    <m/>
    <n v="81.562233128834535"/>
    <n v="0"/>
    <m/>
    <m/>
    <n v="0.46874846625766969"/>
    <s v="n/a"/>
    <n v="81.562233128834535"/>
    <n v="81.562233128834535"/>
    <n v="0"/>
    <m/>
    <m/>
    <n v="0.46874846625766969"/>
    <m/>
    <n v="81.562233128834535"/>
    <n v="0"/>
    <m/>
    <m/>
    <n v="0.46874846625766969"/>
    <m/>
    <n v="81.562233128834535"/>
    <n v="0"/>
    <n v="81.562233128834535"/>
    <n v="81.562233128834535"/>
    <n v="81.562233128834535"/>
    <n v="81.562233128834535"/>
    <n v="326.24893251533814"/>
    <s v="NA"/>
    <m/>
  </r>
  <r>
    <s v="NSG"/>
    <x v="5"/>
    <x v="7"/>
    <s v="Rebates"/>
    <x v="34"/>
    <n v="0"/>
    <s v="CI"/>
    <x v="3"/>
    <s v="4.4.4"/>
    <s v="MBH"/>
    <n v="200"/>
    <n v="200"/>
    <n v="200"/>
    <n v="200"/>
    <s v="CI-HVC-BLRC-V04-210101"/>
    <m/>
    <n v="1.3424"/>
    <n v="1.3424"/>
    <n v="1.3424"/>
    <n v="1.3424"/>
    <n v="0.93"/>
    <n v="0.93"/>
    <n v="0.93"/>
    <n v="0.93"/>
    <n v="249.68640000000002"/>
    <n v="249.68640000000002"/>
    <n v="249.68640000000002"/>
    <n v="249.68640000000002"/>
    <n v="998.74560000000008"/>
    <n v="0.93"/>
    <n v="0.93"/>
    <n v="0.93"/>
    <n v="0.93"/>
    <n v="0.93"/>
    <n v="0.93"/>
    <n v="0.93"/>
    <n v="0.93"/>
    <m/>
    <m/>
    <n v="1.3424"/>
    <m/>
    <n v="249.68640000000002"/>
    <n v="0"/>
    <m/>
    <m/>
    <n v="1.3424"/>
    <s v="n/a"/>
    <n v="249.68640000000002"/>
    <n v="249.68640000000002"/>
    <n v="0"/>
    <m/>
    <m/>
    <n v="1.3424"/>
    <m/>
    <n v="249.68640000000002"/>
    <n v="0"/>
    <m/>
    <m/>
    <n v="1.3424"/>
    <m/>
    <n v="249.68640000000002"/>
    <n v="0"/>
    <n v="249.68640000000002"/>
    <n v="249.68640000000002"/>
    <n v="249.68640000000002"/>
    <n v="249.68640000000002"/>
    <n v="998.74560000000008"/>
    <s v="NA"/>
    <m/>
  </r>
  <r>
    <s v="NSG"/>
    <x v="5"/>
    <x v="8"/>
    <s v="Rebates"/>
    <x v="4"/>
    <s v="HW Medium 2.1&quot; to 4&quot;"/>
    <s v="MF/CI/SMB"/>
    <x v="3"/>
    <s v="&quot;3 - Res Pipe Insulation&quot; worksheet"/>
    <s v="ft"/>
    <n v="191.25"/>
    <n v="180.00000000000003"/>
    <n v="157.49999999999997"/>
    <n v="153"/>
    <n v="0"/>
    <m/>
    <n v="5.2492031493764015"/>
    <n v="5.2492031493764015"/>
    <n v="5.2492031493764015"/>
    <n v="5.2492031493764015"/>
    <n v="0.91"/>
    <n v="0.91"/>
    <n v="0.91"/>
    <n v="0.91"/>
    <n v="913.55819310959555"/>
    <n v="859.81947586785475"/>
    <n v="752.34204138437258"/>
    <n v="730.84655448767649"/>
    <n v="3256.566264849499"/>
    <n v="0.91"/>
    <n v="0.91"/>
    <n v="0.91"/>
    <n v="0.91"/>
    <n v="0.91"/>
    <n v="0.91"/>
    <n v="0.91"/>
    <n v="0.91"/>
    <m/>
    <m/>
    <n v="5.2492031493764015"/>
    <m/>
    <n v="913.55819310959555"/>
    <n v="0"/>
    <m/>
    <m/>
    <n v="5.2492031493764015"/>
    <s v="n/a"/>
    <n v="859.81947586785475"/>
    <n v="859.81947586785475"/>
    <n v="0"/>
    <m/>
    <m/>
    <n v="5.2492031493764015"/>
    <m/>
    <n v="752.34204138437258"/>
    <n v="0"/>
    <m/>
    <m/>
    <n v="5.2492031493764015"/>
    <m/>
    <n v="730.84655448767649"/>
    <n v="0"/>
    <n v="913.55819310959555"/>
    <n v="859.81947586785475"/>
    <n v="752.34204138437258"/>
    <n v="730.84655448767649"/>
    <n v="3256.566264849499"/>
    <s v="NA"/>
    <m/>
  </r>
  <r>
    <s v="NSG"/>
    <x v="5"/>
    <x v="7"/>
    <s v="Partner Trade Ally Rebate"/>
    <x v="41"/>
    <s v="Test"/>
    <s v="CI"/>
    <x v="3"/>
    <n v="0"/>
    <s v="each"/>
    <n v="180"/>
    <n v="164"/>
    <n v="160"/>
    <n v="150"/>
    <n v="0"/>
    <m/>
    <n v="0"/>
    <n v="0"/>
    <n v="0"/>
    <n v="0"/>
    <n v="0.93"/>
    <n v="0.93"/>
    <n v="0.93"/>
    <n v="0.93"/>
    <n v="0"/>
    <n v="0"/>
    <n v="0"/>
    <n v="0"/>
    <n v="0"/>
    <n v="0.93"/>
    <n v="0.93"/>
    <n v="0.93"/>
    <n v="0.93"/>
    <n v="0.93"/>
    <n v="0.93"/>
    <n v="0.93"/>
    <n v="0.93"/>
    <m/>
    <m/>
    <n v="0"/>
    <m/>
    <n v="0"/>
    <n v="0"/>
    <m/>
    <m/>
    <n v="0"/>
    <s v="n/a"/>
    <n v="0"/>
    <n v="0"/>
    <n v="0"/>
    <m/>
    <m/>
    <n v="0"/>
    <m/>
    <n v="0"/>
    <n v="0"/>
    <m/>
    <m/>
    <n v="0"/>
    <m/>
    <n v="0"/>
    <n v="0"/>
    <n v="0"/>
    <n v="0"/>
    <n v="0"/>
    <n v="0"/>
    <n v="0"/>
    <s v="NA"/>
    <m/>
  </r>
  <r>
    <s v="NSG"/>
    <x v="3"/>
    <x v="4"/>
    <s v="Core"/>
    <x v="44"/>
    <s v="Furnace (DI)"/>
    <s v="SF"/>
    <x v="3"/>
    <s v="5.3.11"/>
    <s v="each"/>
    <n v="178"/>
    <n v="160"/>
    <n v="142"/>
    <n v="125"/>
    <s v="RS-HVC-ADTH-V08-230101"/>
    <m/>
    <n v="62.31"/>
    <n v="62.31"/>
    <n v="62.31"/>
    <n v="62.31"/>
    <n v="0.8"/>
    <n v="0.8"/>
    <n v="0.8"/>
    <n v="0.8"/>
    <n v="8872.9440000000013"/>
    <n v="7975.68"/>
    <n v="7078.4160000000011"/>
    <n v="6231"/>
    <n v="30158.040000000005"/>
    <n v="0.8"/>
    <n v="0.8"/>
    <n v="0.8"/>
    <n v="0.8"/>
    <n v="0.8"/>
    <n v="0.8"/>
    <n v="0.8"/>
    <n v="0.8"/>
    <m/>
    <m/>
    <n v="62.31"/>
    <m/>
    <n v="8872.9440000000013"/>
    <n v="0"/>
    <m/>
    <m/>
    <n v="62.31"/>
    <s v="n/a"/>
    <n v="7975.68"/>
    <n v="7975.68"/>
    <n v="0"/>
    <m/>
    <m/>
    <n v="62.31"/>
    <m/>
    <n v="7078.4160000000011"/>
    <n v="0"/>
    <m/>
    <m/>
    <n v="62.31"/>
    <m/>
    <n v="6231"/>
    <n v="0"/>
    <n v="8872.9440000000013"/>
    <n v="7975.68"/>
    <n v="7078.4160000000011"/>
    <n v="6231"/>
    <n v="30158.040000000005"/>
    <s v="NA"/>
    <m/>
  </r>
  <r>
    <s v="NSG"/>
    <x v="5"/>
    <x v="8"/>
    <s v="Rebates"/>
    <x v="41"/>
    <s v="HVAC Repair/Rep - Audit"/>
    <s v="CI"/>
    <x v="3"/>
    <s v="4.4.16"/>
    <s v="each"/>
    <n v="170"/>
    <n v="160"/>
    <n v="140"/>
    <n v="136"/>
    <s v="CI-HVC-STRE-V09-230101"/>
    <m/>
    <n v="383.76733095846322"/>
    <n v="383.76733095846322"/>
    <n v="383.76733095846322"/>
    <n v="383.76733095846322"/>
    <n v="0.91"/>
    <n v="0.91"/>
    <n v="0.91"/>
    <n v="0.91"/>
    <n v="59368.806099274261"/>
    <n v="55876.523387552246"/>
    <n v="48891.957964108216"/>
    <n v="47495.044879419409"/>
    <n v="211632.33233035414"/>
    <n v="0.91"/>
    <n v="0.91"/>
    <n v="0.91"/>
    <n v="0.91"/>
    <n v="0.91"/>
    <n v="0.91"/>
    <n v="0.91"/>
    <n v="0.91"/>
    <m/>
    <m/>
    <n v="383.76733095846322"/>
    <m/>
    <n v="59368.806099274261"/>
    <n v="0"/>
    <m/>
    <m/>
    <n v="779.98158821323193"/>
    <s v="Updated inputs for Commercial LPS Space Heating and Industrial/Process Low Pressure"/>
    <n v="55876.523387552246"/>
    <n v="113565.31924384658"/>
    <n v="57688.795856294331"/>
    <m/>
    <m/>
    <n v="779.98158821323193"/>
    <m/>
    <n v="99369.654338365741"/>
    <n v="50477.696374257524"/>
    <m/>
    <m/>
    <n v="779.98158821323193"/>
    <m/>
    <n v="96530.521357269579"/>
    <n v="49035.47647785017"/>
    <n v="59368.806099274261"/>
    <n v="113565.31924384658"/>
    <n v="99369.654338365741"/>
    <n v="96530.521357269579"/>
    <n v="368834.30103875615"/>
    <s v="NA"/>
    <m/>
  </r>
  <r>
    <s v="NSG"/>
    <x v="4"/>
    <x v="5"/>
    <s v="IHWAP"/>
    <x v="26"/>
    <n v="0"/>
    <s v="IE SF"/>
    <x v="3"/>
    <s v="5.6.1"/>
    <s v="linear ft"/>
    <n v="170"/>
    <n v="187"/>
    <n v="238"/>
    <n v="255"/>
    <s v="RS-SHL-AIRS-V12-230101"/>
    <m/>
    <n v="0.48799999999999999"/>
    <n v="0.48799999999999999"/>
    <n v="0.48799999999999999"/>
    <n v="0.48799999999999999"/>
    <n v="1"/>
    <n v="1"/>
    <n v="1"/>
    <n v="1"/>
    <n v="82.96"/>
    <n v="91.256"/>
    <n v="116.14399999999999"/>
    <n v="124.44"/>
    <n v="414.8"/>
    <n v="1"/>
    <n v="1"/>
    <n v="1"/>
    <n v="1"/>
    <n v="1"/>
    <n v="1"/>
    <n v="1"/>
    <n v="1"/>
    <m/>
    <m/>
    <n v="0.48799999999999999"/>
    <m/>
    <n v="82.96"/>
    <n v="0"/>
    <m/>
    <m/>
    <n v="0.48799999999999999"/>
    <s v="Updated ISR"/>
    <n v="91.256"/>
    <n v="91.256"/>
    <n v="0"/>
    <m/>
    <m/>
    <n v="0.48799999999999999"/>
    <m/>
    <n v="116.14399999999999"/>
    <n v="0"/>
    <m/>
    <m/>
    <n v="0.48799999999999999"/>
    <m/>
    <n v="124.44"/>
    <n v="0"/>
    <n v="82.96"/>
    <n v="91.256"/>
    <n v="116.14399999999999"/>
    <n v="124.44"/>
    <n v="414.8"/>
    <s v="NA"/>
    <m/>
  </r>
  <r>
    <s v="NSG"/>
    <x v="3"/>
    <x v="6"/>
    <s v="Partner Trade Ally Rebate"/>
    <x v="4"/>
    <s v="Hyd. Boiler Med 1.25-2&quot;"/>
    <s v="MF"/>
    <x v="3"/>
    <s v="&quot;3 - Res Pipe Insulation&quot; worksheet"/>
    <s v="ft"/>
    <n v="150"/>
    <n v="150"/>
    <n v="150"/>
    <n v="150"/>
    <n v="0"/>
    <m/>
    <n v="3.6034773504273505"/>
    <n v="3.6034773504273505"/>
    <n v="3.6034773504273505"/>
    <n v="3.6034773504273505"/>
    <n v="0.87"/>
    <n v="0.87"/>
    <n v="0.87"/>
    <n v="0.87"/>
    <n v="470.25379423076919"/>
    <n v="470.25379423076919"/>
    <n v="470.25379423076919"/>
    <n v="470.25379423076919"/>
    <n v="1881.0151769230768"/>
    <n v="0.87"/>
    <n v="0.87"/>
    <n v="0.87"/>
    <n v="0.87"/>
    <n v="0.87"/>
    <n v="0.87"/>
    <n v="0.87"/>
    <n v="0.87"/>
    <m/>
    <m/>
    <n v="3.6034773504273505"/>
    <m/>
    <n v="470.25379423076919"/>
    <n v="0"/>
    <m/>
    <m/>
    <n v="3.6034773504273505"/>
    <s v="n/a"/>
    <n v="470.25379423076919"/>
    <n v="470.25379423076919"/>
    <n v="0"/>
    <m/>
    <m/>
    <n v="3.6034773504273505"/>
    <m/>
    <n v="470.25379423076919"/>
    <n v="0"/>
    <m/>
    <m/>
    <n v="3.6034773504273505"/>
    <m/>
    <n v="470.25379423076919"/>
    <n v="0"/>
    <n v="470.25379423076919"/>
    <n v="470.25379423076919"/>
    <n v="470.25379423076919"/>
    <n v="470.25379423076919"/>
    <n v="1881.0151769230768"/>
    <s v="NA"/>
    <m/>
  </r>
  <r>
    <s v="NSG"/>
    <x v="3"/>
    <x v="6"/>
    <s v="Partner Trade Ally Rebate"/>
    <x v="4"/>
    <s v="Steam - Small 1&quot; to 2&quot;"/>
    <s v="MF"/>
    <x v="3"/>
    <s v="&quot;3 - Res Pipe Insulation&quot; worksheet"/>
    <s v="ft"/>
    <n v="150"/>
    <n v="150"/>
    <n v="150"/>
    <n v="150"/>
    <n v="0"/>
    <m/>
    <n v="3.967097058288509"/>
    <n v="3.967097058288509"/>
    <n v="3.967097058288509"/>
    <n v="3.967097058288509"/>
    <n v="0.87"/>
    <n v="0.87"/>
    <n v="0.87"/>
    <n v="0.87"/>
    <n v="517.70616610665047"/>
    <n v="517.70616610665047"/>
    <n v="517.70616610665047"/>
    <n v="517.70616610665047"/>
    <n v="2070.8246644266019"/>
    <n v="0.87"/>
    <n v="0.87"/>
    <n v="0.87"/>
    <n v="0.87"/>
    <n v="0.87"/>
    <n v="0.87"/>
    <n v="0.87"/>
    <n v="0.87"/>
    <m/>
    <m/>
    <n v="3.967097058288509"/>
    <m/>
    <n v="517.70616610665047"/>
    <n v="0"/>
    <m/>
    <m/>
    <n v="3.967097058288509"/>
    <s v="n/a"/>
    <n v="517.70616610665047"/>
    <n v="517.70616610665047"/>
    <n v="0"/>
    <m/>
    <m/>
    <n v="3.967097058288509"/>
    <m/>
    <n v="517.70616610665047"/>
    <n v="0"/>
    <m/>
    <m/>
    <n v="3.967097058288509"/>
    <m/>
    <n v="517.70616610665047"/>
    <n v="0"/>
    <n v="517.70616610665047"/>
    <n v="517.70616610665047"/>
    <n v="517.70616610665047"/>
    <n v="517.70616610665047"/>
    <n v="2070.8246644266019"/>
    <s v="NA"/>
    <m/>
  </r>
  <r>
    <s v="NSG"/>
    <x v="3"/>
    <x v="6"/>
    <s v="Partner Trade Ally Rebate"/>
    <x v="4"/>
    <s v="Steam - Med 2.1&quot; to 5&quot;"/>
    <s v="MF"/>
    <x v="3"/>
    <s v="&quot;3 - Res Pipe Insulation&quot; worksheet"/>
    <s v="ft"/>
    <n v="150"/>
    <n v="150"/>
    <n v="150"/>
    <n v="150"/>
    <n v="0"/>
    <m/>
    <n v="15.954497207020932"/>
    <n v="15.954497207020932"/>
    <n v="15.954497207020932"/>
    <n v="15.954497207020932"/>
    <n v="0.87"/>
    <n v="0.87"/>
    <n v="0.87"/>
    <n v="0.87"/>
    <n v="2082.0618855162315"/>
    <n v="2082.0618855162315"/>
    <n v="2082.0618855162315"/>
    <n v="2082.0618855162315"/>
    <n v="8328.2475420649262"/>
    <n v="0.87"/>
    <n v="0.87"/>
    <n v="0.87"/>
    <n v="0.87"/>
    <n v="0.87"/>
    <n v="0.87"/>
    <n v="0.87"/>
    <n v="0.87"/>
    <m/>
    <m/>
    <n v="15.954497207020932"/>
    <m/>
    <n v="2082.0618855162315"/>
    <n v="0"/>
    <m/>
    <m/>
    <n v="15.954497207020932"/>
    <s v="n/a"/>
    <n v="2082.0618855162315"/>
    <n v="2082.0618855162315"/>
    <n v="0"/>
    <m/>
    <m/>
    <n v="15.954497207020932"/>
    <m/>
    <n v="2082.0618855162315"/>
    <n v="0"/>
    <m/>
    <m/>
    <n v="15.954497207020932"/>
    <m/>
    <n v="2082.0618855162315"/>
    <n v="0"/>
    <n v="2082.0618855162315"/>
    <n v="2082.0618855162315"/>
    <n v="2082.0618855162315"/>
    <n v="2082.0618855162315"/>
    <n v="8328.2475420649262"/>
    <s v="NA"/>
    <m/>
  </r>
  <r>
    <s v="NSG"/>
    <x v="4"/>
    <x v="6"/>
    <s v="Whole Building - Prescriptive"/>
    <x v="4"/>
    <s v="HW Medium 2.1&quot; to 4&quot;"/>
    <s v="MF/CI/SMB"/>
    <x v="3"/>
    <s v="&quot;3 - Res Pipe Insulation&quot; worksheet"/>
    <s v="ft"/>
    <n v="150"/>
    <n v="150"/>
    <n v="150"/>
    <n v="150"/>
    <n v="0"/>
    <m/>
    <n v="5.2492031493764015"/>
    <n v="5.2492031493764015"/>
    <n v="5.2492031493764015"/>
    <n v="5.2492031493764015"/>
    <n v="1"/>
    <n v="1"/>
    <n v="1"/>
    <n v="1"/>
    <n v="787.38047240646029"/>
    <n v="787.38047240646029"/>
    <n v="787.38047240646029"/>
    <n v="787.38047240646029"/>
    <n v="3149.5218896258411"/>
    <n v="1"/>
    <n v="1"/>
    <n v="1"/>
    <n v="1"/>
    <n v="1"/>
    <n v="1"/>
    <n v="1"/>
    <n v="1"/>
    <m/>
    <m/>
    <n v="5.2492031493764015"/>
    <m/>
    <n v="787.38047240646029"/>
    <n v="0"/>
    <m/>
    <m/>
    <n v="5.2492031493764015"/>
    <s v="n/a"/>
    <n v="787.38047240646029"/>
    <n v="787.38047240646029"/>
    <n v="0"/>
    <m/>
    <m/>
    <n v="5.2492031493764015"/>
    <m/>
    <n v="787.38047240646029"/>
    <n v="0"/>
    <m/>
    <m/>
    <n v="5.2492031493764015"/>
    <m/>
    <n v="787.38047240646029"/>
    <n v="0"/>
    <n v="787.38047240646029"/>
    <n v="787.38047240646029"/>
    <n v="787.38047240646029"/>
    <n v="787.38047240646029"/>
    <n v="3149.5218896258411"/>
    <s v="NA"/>
    <m/>
  </r>
  <r>
    <s v="NSG"/>
    <x v="5"/>
    <x v="9"/>
    <s v="Rebates"/>
    <x v="4"/>
    <s v="HW Small 1&quot; to 2&quot;"/>
    <s v="MF/CI/SMB"/>
    <x v="3"/>
    <s v="&quot;3 - Res Pipe Insulation&quot; worksheet"/>
    <s v="ft"/>
    <n v="150"/>
    <n v="150"/>
    <n v="150"/>
    <n v="150"/>
    <n v="0"/>
    <m/>
    <n v="2.6588140926267867"/>
    <n v="2.6588140926267867"/>
    <n v="2.6588140926267867"/>
    <n v="2.6588140926267867"/>
    <n v="0.92"/>
    <n v="0.92"/>
    <n v="0.92"/>
    <n v="0.92"/>
    <n v="366.91634478249659"/>
    <n v="366.91634478249659"/>
    <n v="366.91634478249659"/>
    <n v="366.91634478249659"/>
    <n v="1467.6653791299864"/>
    <n v="0.92"/>
    <n v="0.92"/>
    <n v="0.92"/>
    <n v="0.92"/>
    <n v="0.92"/>
    <n v="0.92"/>
    <n v="0.92"/>
    <n v="0.92"/>
    <m/>
    <m/>
    <n v="2.6588140926267867"/>
    <m/>
    <n v="366.91634478249659"/>
    <n v="0"/>
    <m/>
    <m/>
    <n v="2.6588140926267867"/>
    <s v="n/a"/>
    <n v="366.91634478249659"/>
    <n v="366.91634478249659"/>
    <n v="0"/>
    <m/>
    <m/>
    <n v="2.6588140926267867"/>
    <m/>
    <n v="366.91634478249659"/>
    <n v="0"/>
    <m/>
    <m/>
    <n v="2.6588140926267867"/>
    <m/>
    <n v="366.91634478249659"/>
    <n v="0"/>
    <n v="366.91634478249659"/>
    <n v="366.91634478249659"/>
    <n v="366.91634478249659"/>
    <n v="366.91634478249659"/>
    <n v="1467.6653791299864"/>
    <s v="NA"/>
    <m/>
  </r>
  <r>
    <s v="NSG"/>
    <x v="5"/>
    <x v="7"/>
    <s v="Rebates"/>
    <x v="4"/>
    <s v="HW Medium 2.1&quot; to 4&quot;"/>
    <s v="MF/CI/SMB"/>
    <x v="3"/>
    <s v="&quot;3 - Res Pipe Insulation&quot; worksheet"/>
    <s v="ft"/>
    <n v="150"/>
    <n v="150"/>
    <n v="150"/>
    <n v="150"/>
    <n v="0"/>
    <m/>
    <n v="5.2492031493764015"/>
    <n v="5.2492031493764015"/>
    <n v="5.2492031493764015"/>
    <n v="5.2492031493764015"/>
    <n v="0.93"/>
    <n v="0.93"/>
    <n v="0.93"/>
    <n v="0.93"/>
    <n v="732.2638393380081"/>
    <n v="732.2638393380081"/>
    <n v="732.2638393380081"/>
    <n v="732.2638393380081"/>
    <n v="2929.0553573520324"/>
    <n v="0.93"/>
    <n v="0.93"/>
    <n v="0.93"/>
    <n v="0.93"/>
    <n v="0.93"/>
    <n v="0.93"/>
    <n v="0.93"/>
    <n v="0.93"/>
    <m/>
    <m/>
    <n v="5.2492031493764015"/>
    <m/>
    <n v="732.2638393380081"/>
    <n v="0"/>
    <m/>
    <m/>
    <n v="5.2492031493764015"/>
    <s v="n/a"/>
    <n v="732.2638393380081"/>
    <n v="732.2638393380081"/>
    <n v="0"/>
    <m/>
    <m/>
    <n v="5.2492031493764015"/>
    <m/>
    <n v="732.2638393380081"/>
    <n v="0"/>
    <m/>
    <m/>
    <n v="5.2492031493764015"/>
    <m/>
    <n v="732.2638393380081"/>
    <n v="0"/>
    <n v="732.2638393380081"/>
    <n v="732.2638393380081"/>
    <n v="732.2638393380081"/>
    <n v="732.2638393380081"/>
    <n v="2929.0553573520324"/>
    <s v="NA"/>
    <m/>
  </r>
  <r>
    <s v="NSG"/>
    <x v="5"/>
    <x v="7"/>
    <s v="Rebates"/>
    <x v="4"/>
    <s v="Steam - Med 2.1&quot; to 5&quot;"/>
    <s v="CI"/>
    <x v="3"/>
    <s v="&quot;3 - Pipe Insulation&quot; worksheet"/>
    <s v="ft"/>
    <n v="150"/>
    <n v="150"/>
    <n v="150"/>
    <n v="150"/>
    <n v="0"/>
    <m/>
    <n v="12.811046084448035"/>
    <n v="12.811046084448035"/>
    <n v="12.811046084448035"/>
    <n v="12.811046084448035"/>
    <n v="0.93"/>
    <n v="0.93"/>
    <n v="0.93"/>
    <n v="0.93"/>
    <n v="1787.1409287805009"/>
    <n v="1787.1409287805009"/>
    <n v="1787.1409287805009"/>
    <n v="1787.1409287805009"/>
    <n v="7148.5637151220035"/>
    <n v="0.93"/>
    <n v="0.93"/>
    <n v="0.93"/>
    <n v="0.93"/>
    <n v="0.93"/>
    <n v="0.93"/>
    <n v="0.93"/>
    <n v="0.93"/>
    <m/>
    <m/>
    <n v="12.811046084448035"/>
    <m/>
    <n v="1787.1409287805009"/>
    <n v="0"/>
    <m/>
    <m/>
    <n v="12.811046084448035"/>
    <s v="n/a"/>
    <n v="1787.1409287805009"/>
    <n v="1787.1409287805009"/>
    <n v="0"/>
    <m/>
    <m/>
    <n v="12.811046084448035"/>
    <m/>
    <n v="1787.1409287805009"/>
    <n v="0"/>
    <m/>
    <m/>
    <n v="12.811046084448035"/>
    <m/>
    <n v="1787.1409287805009"/>
    <n v="0"/>
    <n v="1787.1409287805009"/>
    <n v="1787.1409287805009"/>
    <n v="1787.1409287805009"/>
    <n v="1787.1409287805009"/>
    <n v="7148.5637151220035"/>
    <s v="NA"/>
    <m/>
  </r>
  <r>
    <s v="NSG"/>
    <x v="5"/>
    <x v="7"/>
    <s v="Partner Trade Ally Rebate"/>
    <x v="28"/>
    <s v="≥88% AFUE, &lt;300MBh"/>
    <s v="CI"/>
    <x v="3"/>
    <s v="4.4.10"/>
    <s v="MBH"/>
    <n v="150"/>
    <n v="150"/>
    <n v="150"/>
    <n v="150"/>
    <s v="CI-HVC-BOIL-V10-230101"/>
    <m/>
    <n v="0.79095238095238163"/>
    <n v="0.79095238095238163"/>
    <n v="0.79095238095238163"/>
    <n v="0.79095238095238163"/>
    <n v="0.93"/>
    <n v="0.93"/>
    <n v="0.93"/>
    <n v="0.93"/>
    <n v="110.33785714285723"/>
    <n v="110.33785714285723"/>
    <n v="110.33785714285723"/>
    <n v="110.33785714285723"/>
    <n v="441.35142857142893"/>
    <n v="0.93"/>
    <n v="0.93"/>
    <n v="0.93"/>
    <n v="0.93"/>
    <n v="0.93"/>
    <n v="0.93"/>
    <n v="0.93"/>
    <n v="0.93"/>
    <m/>
    <m/>
    <n v="0.79095238095238163"/>
    <m/>
    <n v="110.33785714285723"/>
    <n v="0"/>
    <m/>
    <m/>
    <n v="0.79095238095238163"/>
    <s v="n/a"/>
    <n v="110.33785714285723"/>
    <n v="110.33785714285723"/>
    <n v="0"/>
    <m/>
    <m/>
    <n v="0.79095238095238163"/>
    <m/>
    <n v="110.33785714285723"/>
    <n v="0"/>
    <m/>
    <m/>
    <n v="0.79095238095238163"/>
    <m/>
    <n v="110.33785714285723"/>
    <n v="0"/>
    <n v="110.33785714285723"/>
    <n v="110.33785714285723"/>
    <n v="110.33785714285723"/>
    <n v="110.33785714285723"/>
    <n v="441.35142857142893"/>
    <s v="NA"/>
    <m/>
  </r>
  <r>
    <s v="NSG"/>
    <x v="5"/>
    <x v="7"/>
    <s v="Partner Trade Ally Rebate"/>
    <x v="4"/>
    <s v="HW Medium 2.1&quot; to 4&quot;"/>
    <s v="MF/CI/SMB"/>
    <x v="3"/>
    <s v="&quot;3 - Res Pipe Insulation&quot; worksheet"/>
    <s v="ft"/>
    <n v="150"/>
    <n v="150"/>
    <n v="150"/>
    <n v="150"/>
    <n v="0"/>
    <m/>
    <n v="5.2492031493764015"/>
    <n v="5.2492031493764015"/>
    <n v="5.2492031493764015"/>
    <n v="5.2492031493764015"/>
    <n v="0.93"/>
    <n v="0.93"/>
    <n v="0.93"/>
    <n v="0.93"/>
    <n v="732.2638393380081"/>
    <n v="732.2638393380081"/>
    <n v="732.2638393380081"/>
    <n v="732.2638393380081"/>
    <n v="2929.0553573520324"/>
    <n v="0.93"/>
    <n v="0.93"/>
    <n v="0.93"/>
    <n v="0.93"/>
    <n v="0.93"/>
    <n v="0.93"/>
    <n v="0.93"/>
    <n v="0.93"/>
    <m/>
    <m/>
    <n v="5.2492031493764015"/>
    <m/>
    <n v="732.2638393380081"/>
    <n v="0"/>
    <m/>
    <m/>
    <n v="5.2492031493764015"/>
    <s v="n/a"/>
    <n v="732.2638393380081"/>
    <n v="732.2638393380081"/>
    <n v="0"/>
    <m/>
    <m/>
    <n v="5.2492031493764015"/>
    <m/>
    <n v="732.2638393380081"/>
    <n v="0"/>
    <m/>
    <m/>
    <n v="5.2492031493764015"/>
    <m/>
    <n v="732.2638393380081"/>
    <n v="0"/>
    <n v="732.2638393380081"/>
    <n v="732.2638393380081"/>
    <n v="732.2638393380081"/>
    <n v="732.2638393380081"/>
    <n v="2929.0553573520324"/>
    <s v="NA"/>
    <m/>
  </r>
  <r>
    <s v="NSG"/>
    <x v="5"/>
    <x v="7"/>
    <s v="Partner Trade Ally Rebate"/>
    <x v="4"/>
    <s v="Steam - Large 5.1&quot; to 8&quot;"/>
    <s v="CI"/>
    <x v="3"/>
    <s v="&quot;3 - Pipe Insulation&quot; worksheet"/>
    <s v="ft"/>
    <n v="150"/>
    <n v="150"/>
    <n v="150"/>
    <n v="150"/>
    <n v="0"/>
    <m/>
    <n v="24.999763600321025"/>
    <n v="24.999763600321025"/>
    <n v="24.999763600321025"/>
    <n v="24.999763600321025"/>
    <n v="0.93"/>
    <n v="0.93"/>
    <n v="0.93"/>
    <n v="0.93"/>
    <n v="3487.467022244783"/>
    <n v="3487.467022244783"/>
    <n v="3487.467022244783"/>
    <n v="3487.467022244783"/>
    <n v="13949.868088979132"/>
    <n v="0.93"/>
    <n v="0.93"/>
    <n v="0.93"/>
    <n v="0.93"/>
    <n v="0.93"/>
    <n v="0.93"/>
    <n v="0.93"/>
    <n v="0.93"/>
    <m/>
    <m/>
    <n v="24.999763600321025"/>
    <m/>
    <n v="3487.467022244783"/>
    <n v="0"/>
    <m/>
    <m/>
    <n v="24.999763600321025"/>
    <s v="n/a"/>
    <n v="3487.467022244783"/>
    <n v="3487.467022244783"/>
    <n v="0"/>
    <m/>
    <m/>
    <n v="24.999763600321025"/>
    <m/>
    <n v="3487.467022244783"/>
    <n v="0"/>
    <m/>
    <m/>
    <n v="24.999763600321025"/>
    <m/>
    <n v="3487.467022244783"/>
    <n v="0"/>
    <n v="3487.467022244783"/>
    <n v="3487.467022244783"/>
    <n v="3487.467022244783"/>
    <n v="3487.467022244783"/>
    <n v="13949.868088979132"/>
    <s v="NA"/>
    <m/>
  </r>
  <r>
    <s v="NSG"/>
    <x v="3"/>
    <x v="3"/>
    <s v="Partner Trade Ally Rebate"/>
    <x v="45"/>
    <n v="0"/>
    <s v="SF"/>
    <x v="3"/>
    <s v="5.6.2"/>
    <s v="sq ft"/>
    <n v="140"/>
    <n v="140"/>
    <n v="140"/>
    <n v="140"/>
    <s v="RS-SHL-BINS-V13-230101"/>
    <m/>
    <n v="0.13695535714285714"/>
    <n v="0.13695535714285714"/>
    <n v="0.13695535714285714"/>
    <n v="0.13695535714285714"/>
    <n v="0.79"/>
    <n v="0.79"/>
    <n v="0.79"/>
    <n v="0.79"/>
    <n v="15.1472625"/>
    <n v="15.1472625"/>
    <n v="15.1472625"/>
    <n v="15.1472625"/>
    <n v="60.58905"/>
    <n v="0.79"/>
    <n v="0.79"/>
    <n v="0.79"/>
    <n v="0.79"/>
    <n v="0.79"/>
    <n v="0.79"/>
    <n v="0.79"/>
    <n v="0.79"/>
    <m/>
    <m/>
    <n v="0.13695535714285714"/>
    <m/>
    <n v="15.1472625"/>
    <n v="0"/>
    <m/>
    <m/>
    <n v="0.13695535714285714"/>
    <s v="No savings impacts with existing measure assumptions."/>
    <n v="15.1472625"/>
    <n v="15.1472625"/>
    <n v="0"/>
    <m/>
    <m/>
    <n v="0.13695535714285714"/>
    <m/>
    <n v="15.1472625"/>
    <n v="0"/>
    <m/>
    <m/>
    <n v="0.13695535714285714"/>
    <m/>
    <n v="15.1472625"/>
    <n v="0"/>
    <n v="15.1472625"/>
    <n v="15.1472625"/>
    <n v="15.1472625"/>
    <n v="15.1472625"/>
    <n v="60.58905"/>
    <s v="NA"/>
    <m/>
  </r>
  <r>
    <s v="NSG"/>
    <x v="4"/>
    <x v="6"/>
    <s v="IE Kits"/>
    <x v="42"/>
    <s v="IE Kit"/>
    <s v="IE"/>
    <x v="3"/>
    <s v="n/a"/>
    <n v="1"/>
    <n v="140"/>
    <n v="140"/>
    <n v="140"/>
    <n v="140"/>
    <s v="n/a"/>
    <m/>
    <n v="0"/>
    <n v="0"/>
    <n v="0"/>
    <n v="0"/>
    <n v="1"/>
    <n v="1"/>
    <n v="1"/>
    <n v="1"/>
    <n v="0"/>
    <n v="0"/>
    <n v="0"/>
    <n v="0"/>
    <n v="0"/>
    <n v="1"/>
    <n v="1"/>
    <n v="1"/>
    <n v="1"/>
    <n v="1"/>
    <n v="1"/>
    <n v="1"/>
    <n v="1"/>
    <m/>
    <m/>
    <n v="0"/>
    <m/>
    <n v="0"/>
    <n v="0"/>
    <m/>
    <m/>
    <n v="0"/>
    <s v="n/a"/>
    <n v="0"/>
    <n v="0"/>
    <n v="0"/>
    <m/>
    <m/>
    <n v="0"/>
    <m/>
    <n v="0"/>
    <n v="0"/>
    <m/>
    <m/>
    <n v="0"/>
    <m/>
    <n v="0"/>
    <n v="0"/>
    <n v="0"/>
    <n v="0"/>
    <n v="0"/>
    <n v="0"/>
    <n v="0"/>
    <s v="NA"/>
    <m/>
  </r>
  <r>
    <s v="NSG"/>
    <x v="5"/>
    <x v="8"/>
    <s v="Rebates"/>
    <x v="4"/>
    <s v="HW Small 1&quot; to 2&quot;"/>
    <s v="MF/CI/SMB"/>
    <x v="3"/>
    <s v="&quot;3 - Res Pipe Insulation&quot; worksheet"/>
    <s v="ft"/>
    <n v="127.5"/>
    <n v="120"/>
    <n v="105"/>
    <n v="102.00000000000001"/>
    <n v="0"/>
    <m/>
    <n v="2.6588140926267867"/>
    <n v="2.6588140926267867"/>
    <n v="2.6588140926267867"/>
    <n v="2.6588140926267867"/>
    <n v="0.91"/>
    <n v="0.91"/>
    <n v="0.91"/>
    <n v="0.91"/>
    <n v="308.48890509702295"/>
    <n v="290.34249891484512"/>
    <n v="254.04968655048947"/>
    <n v="246.79112407761835"/>
    <n v="1099.6722146399759"/>
    <n v="0.91"/>
    <n v="0.91"/>
    <n v="0.91"/>
    <n v="0.91"/>
    <n v="0.91"/>
    <n v="0.91"/>
    <n v="0.91"/>
    <n v="0.91"/>
    <m/>
    <m/>
    <n v="2.6588140926267867"/>
    <m/>
    <n v="308.48890509702295"/>
    <n v="0"/>
    <m/>
    <m/>
    <n v="2.6588140926267867"/>
    <s v="n/a"/>
    <n v="290.34249891484512"/>
    <n v="290.34249891484512"/>
    <n v="0"/>
    <m/>
    <m/>
    <n v="2.6588140926267867"/>
    <m/>
    <n v="254.04968655048947"/>
    <n v="0"/>
    <m/>
    <m/>
    <n v="2.6588140926267867"/>
    <m/>
    <n v="246.79112407761835"/>
    <n v="0"/>
    <n v="308.48890509702295"/>
    <n v="290.34249891484512"/>
    <n v="254.04968655048947"/>
    <n v="246.79112407761835"/>
    <n v="1099.6722146399759"/>
    <s v="NA"/>
    <m/>
  </r>
  <r>
    <s v="NSG"/>
    <x v="5"/>
    <x v="8"/>
    <s v="Rebates"/>
    <x v="4"/>
    <s v="Steam - Small 1&quot; to 2&quot;"/>
    <s v="CI"/>
    <x v="3"/>
    <s v="&quot;3 - Pipe Insulation&quot; worksheet"/>
    <s v="ft"/>
    <n v="127.5"/>
    <n v="120"/>
    <n v="105"/>
    <n v="102.00000000000001"/>
    <n v="0"/>
    <m/>
    <n v="3.1854757047967208"/>
    <n v="3.1854757047967208"/>
    <n v="3.1854757047967208"/>
    <n v="3.1854757047967208"/>
    <n v="0.91"/>
    <n v="0.91"/>
    <n v="0.91"/>
    <n v="0.91"/>
    <n v="369.5948186490395"/>
    <n v="347.85394696380189"/>
    <n v="304.37220359332667"/>
    <n v="295.67585491923165"/>
    <n v="1317.4968241253996"/>
    <n v="0.91"/>
    <n v="0.91"/>
    <n v="0.91"/>
    <n v="0.91"/>
    <n v="0.91"/>
    <n v="0.91"/>
    <n v="0.91"/>
    <n v="0.91"/>
    <m/>
    <m/>
    <n v="3.1854757047967208"/>
    <m/>
    <n v="369.5948186490395"/>
    <n v="0"/>
    <m/>
    <m/>
    <n v="3.1854757047967208"/>
    <s v="n/a"/>
    <n v="347.85394696380189"/>
    <n v="347.85394696380189"/>
    <n v="0"/>
    <m/>
    <m/>
    <n v="3.1854757047967208"/>
    <m/>
    <n v="304.37220359332667"/>
    <n v="0"/>
    <m/>
    <m/>
    <n v="3.1854757047967208"/>
    <m/>
    <n v="295.67585491923165"/>
    <n v="0"/>
    <n v="369.5948186490395"/>
    <n v="347.85394696380189"/>
    <n v="304.37220359332667"/>
    <n v="295.67585491923165"/>
    <n v="1317.4968241253996"/>
    <s v="NA"/>
    <m/>
  </r>
  <r>
    <s v="NSG"/>
    <x v="3"/>
    <x v="4"/>
    <s v="Core"/>
    <x v="44"/>
    <s v="Boiler (DI)"/>
    <s v="SF"/>
    <x v="3"/>
    <s v="5.3.11"/>
    <s v="each"/>
    <n v="119"/>
    <n v="107"/>
    <n v="95"/>
    <n v="83"/>
    <s v="RS-HVC-ADTH-V08-230101"/>
    <m/>
    <n v="92.194000000000003"/>
    <n v="92.194000000000003"/>
    <n v="92.194000000000003"/>
    <n v="92.194000000000003"/>
    <n v="0.8"/>
    <n v="0.8"/>
    <n v="0.8"/>
    <n v="0.8"/>
    <n v="8776.868800000002"/>
    <n v="7891.8064000000004"/>
    <n v="7006.7440000000006"/>
    <n v="6121.6815999999999"/>
    <n v="29797.100800000004"/>
    <n v="0.8"/>
    <n v="0.8"/>
    <n v="0.8"/>
    <n v="0.8"/>
    <n v="0.8"/>
    <n v="0.8"/>
    <n v="0.8"/>
    <n v="0.8"/>
    <m/>
    <m/>
    <n v="92.194000000000003"/>
    <m/>
    <n v="8776.868800000002"/>
    <n v="0"/>
    <m/>
    <m/>
    <n v="92.194000000000003"/>
    <s v="n/a"/>
    <n v="7891.8064000000004"/>
    <n v="7891.8064000000004"/>
    <n v="0"/>
    <m/>
    <m/>
    <n v="92.194000000000003"/>
    <m/>
    <n v="7006.7440000000006"/>
    <n v="0"/>
    <m/>
    <m/>
    <n v="92.194000000000003"/>
    <m/>
    <n v="6121.6815999999999"/>
    <n v="0"/>
    <n v="8776.868800000002"/>
    <n v="7891.8064000000004"/>
    <n v="7006.7440000000006"/>
    <n v="6121.6815999999999"/>
    <n v="29797.100800000004"/>
    <s v="NA"/>
    <m/>
  </r>
  <r>
    <s v="NSG"/>
    <x v="3"/>
    <x v="6"/>
    <s v="Direct Install"/>
    <x v="6"/>
    <s v="Furnace (DI)"/>
    <s v="MF"/>
    <x v="3"/>
    <s v="5.3.11"/>
    <s v="each"/>
    <n v="118"/>
    <n v="118"/>
    <n v="118"/>
    <n v="118"/>
    <s v="RS-HVC-ADTH-V08-230101"/>
    <m/>
    <n v="40.5015"/>
    <n v="40.5015"/>
    <n v="40.5015"/>
    <n v="40.5015"/>
    <n v="0.96"/>
    <n v="0.96"/>
    <n v="0.96"/>
    <n v="0.96"/>
    <n v="4588.0099199999995"/>
    <n v="4588.0099199999995"/>
    <n v="4588.0099199999995"/>
    <n v="4588.0099199999995"/>
    <n v="18352.039679999998"/>
    <n v="0.96"/>
    <n v="0.96"/>
    <n v="0.96"/>
    <n v="0.96"/>
    <n v="0.96"/>
    <n v="0.96"/>
    <n v="0.96"/>
    <n v="0.96"/>
    <m/>
    <m/>
    <n v="40.5015"/>
    <m/>
    <n v="4588.0099199999995"/>
    <n v="0"/>
    <m/>
    <m/>
    <n v="40.5015"/>
    <s v="n/a"/>
    <n v="4588.0099199999995"/>
    <n v="4588.0099199999995"/>
    <n v="0"/>
    <m/>
    <m/>
    <n v="40.5015"/>
    <m/>
    <n v="4588.0099199999995"/>
    <n v="0"/>
    <m/>
    <m/>
    <n v="40.5015"/>
    <m/>
    <n v="4588.0099199999995"/>
    <n v="0"/>
    <n v="4588.0099199999995"/>
    <n v="4588.0099199999995"/>
    <n v="4588.0099199999995"/>
    <n v="4588.0099199999995"/>
    <n v="18352.039679999998"/>
    <s v="NA"/>
    <m/>
  </r>
  <r>
    <s v="NSG"/>
    <x v="3"/>
    <x v="6"/>
    <s v="Partner Trade Ally Rebate"/>
    <x v="28"/>
    <s v="≥88% AFUE, &lt;300MBh"/>
    <s v="MF"/>
    <x v="3"/>
    <s v="4.4.10"/>
    <s v="MBH"/>
    <n v="100"/>
    <n v="100"/>
    <n v="100"/>
    <n v="100"/>
    <s v="CI-HVC-BOIL-V10-230101"/>
    <m/>
    <n v="0.79095238095238163"/>
    <n v="0.79095238095238163"/>
    <n v="0.79095238095238163"/>
    <n v="0.79095238095238163"/>
    <n v="0.87"/>
    <n v="0.87"/>
    <n v="0.87"/>
    <n v="0.87"/>
    <n v="68.812857142857197"/>
    <n v="68.812857142857197"/>
    <n v="68.812857142857197"/>
    <n v="68.812857142857197"/>
    <n v="275.25142857142879"/>
    <n v="0.87"/>
    <n v="0.87"/>
    <n v="0.87"/>
    <n v="0.87"/>
    <n v="0.87"/>
    <n v="0.87"/>
    <n v="0.87"/>
    <n v="0.87"/>
    <m/>
    <m/>
    <n v="0.79095238095238163"/>
    <m/>
    <n v="68.812857142857197"/>
    <n v="0"/>
    <m/>
    <m/>
    <n v="0.79095238095238163"/>
    <s v="n/a"/>
    <n v="68.812857142857197"/>
    <n v="68.812857142857197"/>
    <n v="0"/>
    <m/>
    <m/>
    <n v="0.79095238095238163"/>
    <m/>
    <n v="68.812857142857197"/>
    <n v="0"/>
    <m/>
    <m/>
    <n v="0.79095238095238163"/>
    <m/>
    <n v="68.812857142857197"/>
    <n v="0"/>
    <n v="68.812857142857197"/>
    <n v="68.812857142857197"/>
    <n v="68.812857142857197"/>
    <n v="68.812857142857197"/>
    <n v="275.25142857142879"/>
    <s v="NA"/>
    <m/>
  </r>
  <r>
    <s v="NSG"/>
    <x v="3"/>
    <x v="6"/>
    <s v="Partner Trade Ally Rebate"/>
    <x v="46"/>
    <n v="0"/>
    <s v="MF"/>
    <x v="3"/>
    <s v="4.3.8"/>
    <s v="living unit"/>
    <n v="100"/>
    <n v="100"/>
    <n v="100"/>
    <n v="100"/>
    <s v="CI-HWE-CDHW-V04-230101"/>
    <m/>
    <n v="62.687100553999997"/>
    <n v="62.687100553999997"/>
    <n v="62.687100553999997"/>
    <n v="62.687100553999997"/>
    <n v="0.87"/>
    <n v="0.87"/>
    <n v="0.87"/>
    <n v="0.87"/>
    <n v="5453.7777481980002"/>
    <n v="5453.7777481980002"/>
    <n v="5453.7777481980002"/>
    <n v="5453.7777481980002"/>
    <n v="21815.110992792001"/>
    <n v="0.87"/>
    <n v="0.87"/>
    <n v="0.87"/>
    <n v="0.87"/>
    <n v="0.87"/>
    <n v="0.87"/>
    <n v="0.87"/>
    <n v="0.87"/>
    <m/>
    <m/>
    <n v="62.687100553999997"/>
    <m/>
    <n v="5453.7777481980002"/>
    <n v="0"/>
    <m/>
    <m/>
    <n v="58.563635988000001"/>
    <s v="Updated inputs to new multifamily assumptions"/>
    <n v="5453.7777481980002"/>
    <n v="5095.0363309560007"/>
    <n v="-358.74141724199944"/>
    <m/>
    <m/>
    <n v="58.563635988000001"/>
    <m/>
    <n v="5095.0363309560007"/>
    <n v="-358.74141724199944"/>
    <m/>
    <m/>
    <n v="58.563635988000001"/>
    <m/>
    <n v="5095.0363309560007"/>
    <n v="-358.74141724199944"/>
    <n v="5453.7777481980002"/>
    <n v="5095.0363309560007"/>
    <n v="5095.0363309560007"/>
    <n v="5095.0363309560007"/>
    <n v="20738.886741066002"/>
    <s v="NA"/>
    <m/>
  </r>
  <r>
    <s v="NSG"/>
    <x v="5"/>
    <x v="7"/>
    <s v="Rebates"/>
    <x v="28"/>
    <s v="≥88% AFUE, &lt;300MBh"/>
    <s v="CI"/>
    <x v="3"/>
    <s v="4.4.10"/>
    <s v="MBH"/>
    <n v="100"/>
    <n v="100"/>
    <n v="100"/>
    <n v="100"/>
    <s v="CI-HVC-BOIL-V10-230101"/>
    <m/>
    <n v="0.79095238095238163"/>
    <n v="0.79095238095238163"/>
    <n v="0.79095238095238163"/>
    <n v="0.79095238095238163"/>
    <n v="0.93"/>
    <n v="0.93"/>
    <n v="0.93"/>
    <n v="0.93"/>
    <n v="73.558571428571497"/>
    <n v="73.558571428571497"/>
    <n v="73.558571428571497"/>
    <n v="73.558571428571497"/>
    <n v="294.23428571428599"/>
    <n v="0.93"/>
    <n v="0.93"/>
    <n v="0.93"/>
    <n v="0.93"/>
    <n v="0.93"/>
    <n v="0.93"/>
    <n v="0.93"/>
    <n v="0.93"/>
    <m/>
    <m/>
    <n v="0.79095238095238163"/>
    <m/>
    <n v="73.558571428571497"/>
    <n v="0"/>
    <m/>
    <m/>
    <n v="0.79095238095238163"/>
    <s v="n/a"/>
    <n v="73.558571428571497"/>
    <n v="73.558571428571497"/>
    <n v="0"/>
    <m/>
    <m/>
    <n v="0.79095238095238163"/>
    <m/>
    <n v="73.558571428571497"/>
    <n v="0"/>
    <m/>
    <m/>
    <n v="0.79095238095238163"/>
    <m/>
    <n v="73.558571428571497"/>
    <n v="0"/>
    <n v="73.558571428571497"/>
    <n v="73.558571428571497"/>
    <n v="73.558571428571497"/>
    <n v="73.558571428571497"/>
    <n v="294.23428571428599"/>
    <s v="NA"/>
    <m/>
  </r>
  <r>
    <s v="NSG"/>
    <x v="3"/>
    <x v="4"/>
    <s v="Core"/>
    <x v="6"/>
    <s v="Furnace (DI)"/>
    <s v="SF"/>
    <x v="3"/>
    <s v="5.3.11"/>
    <s v="each"/>
    <n v="92"/>
    <n v="82"/>
    <n v="73"/>
    <n v="64"/>
    <s v="RS-HVC-ADTH-V08-230101"/>
    <m/>
    <n v="62.31"/>
    <n v="62.31"/>
    <n v="62.31"/>
    <n v="62.31"/>
    <n v="0.88"/>
    <n v="0.88"/>
    <n v="0.88"/>
    <n v="0.88"/>
    <n v="5044.6176000000005"/>
    <n v="4496.2896000000001"/>
    <n v="4002.7944000000002"/>
    <n v="3509.2991999999999"/>
    <n v="17053.000800000002"/>
    <n v="0.88"/>
    <n v="0.88"/>
    <n v="0.88"/>
    <n v="0.88"/>
    <n v="0.88"/>
    <n v="0.88"/>
    <n v="0.88"/>
    <n v="0.88"/>
    <m/>
    <m/>
    <n v="62.31"/>
    <m/>
    <n v="5044.6176000000005"/>
    <n v="0"/>
    <m/>
    <m/>
    <n v="62.31"/>
    <s v="n/a"/>
    <n v="4496.2896000000001"/>
    <n v="4496.2896000000001"/>
    <n v="0"/>
    <m/>
    <m/>
    <n v="62.31"/>
    <m/>
    <n v="4002.7944000000002"/>
    <n v="0"/>
    <m/>
    <m/>
    <n v="62.31"/>
    <m/>
    <n v="3509.2991999999999"/>
    <n v="0"/>
    <n v="5044.6176000000005"/>
    <n v="4496.2896000000001"/>
    <n v="4002.7944000000002"/>
    <n v="3509.2991999999999"/>
    <n v="17053.000800000002"/>
    <s v="NA"/>
    <m/>
  </r>
  <r>
    <s v="NSG"/>
    <x v="5"/>
    <x v="7"/>
    <s v="Kits"/>
    <x v="47"/>
    <s v="General - Worship"/>
    <s v="SMB"/>
    <x v="4"/>
    <s v="n/a"/>
    <s v="kit"/>
    <n v="90"/>
    <n v="82"/>
    <n v="80"/>
    <n v="75"/>
    <s v="n/a"/>
    <m/>
    <n v="45.185399999999994"/>
    <n v="45.185399999999994"/>
    <n v="45.185399999999994"/>
    <n v="45.185399999999994"/>
    <n v="0.93"/>
    <n v="0.93"/>
    <n v="0.93"/>
    <n v="0.93"/>
    <n v="3782.0179800000001"/>
    <n v="3445.8386039999996"/>
    <n v="3361.7937599999996"/>
    <n v="3151.68165"/>
    <n v="13741.331993999998"/>
    <n v="0.93"/>
    <n v="0.93"/>
    <n v="0.93"/>
    <n v="0.93"/>
    <n v="0.93"/>
    <n v="0.93"/>
    <n v="0.93"/>
    <n v="0.93"/>
    <m/>
    <m/>
    <n v="45.185399999999994"/>
    <m/>
    <n v="3782.0179800000001"/>
    <n v="0"/>
    <m/>
    <m/>
    <n v="45.185399999999994"/>
    <s v="n/a"/>
    <n v="3445.8386039999996"/>
    <n v="3445.8386039999996"/>
    <n v="0"/>
    <m/>
    <m/>
    <n v="45.185399999999994"/>
    <m/>
    <n v="3361.7937599999996"/>
    <n v="0"/>
    <m/>
    <m/>
    <n v="45.185399999999994"/>
    <m/>
    <n v="3151.68165"/>
    <n v="0"/>
    <n v="3782.0179800000001"/>
    <n v="3445.8386039999996"/>
    <n v="3361.7937599999996"/>
    <n v="3151.68165"/>
    <n v="13741.331993999998"/>
    <s v="NA"/>
    <m/>
  </r>
  <r>
    <s v="NSG"/>
    <x v="3"/>
    <x v="6"/>
    <s v="Standard Rebate"/>
    <x v="4"/>
    <s v="Hyd. Boiler Large ≥2&quot;"/>
    <s v="MF"/>
    <x v="3"/>
    <s v="&quot;3 - Res Pipe Insulation&quot; worksheet"/>
    <s v="ft"/>
    <n v="75"/>
    <n v="75"/>
    <n v="75"/>
    <n v="75"/>
    <n v="0"/>
    <m/>
    <n v="6.1867824786324785"/>
    <n v="6.1867824786324785"/>
    <n v="6.1867824786324785"/>
    <n v="6.1867824786324785"/>
    <n v="0.87"/>
    <n v="0.87"/>
    <n v="0.87"/>
    <n v="0.87"/>
    <n v="403.68755673076924"/>
    <n v="403.68755673076924"/>
    <n v="403.68755673076924"/>
    <n v="403.68755673076924"/>
    <n v="1614.750226923077"/>
    <n v="0.87"/>
    <n v="0.87"/>
    <n v="0.87"/>
    <n v="0.87"/>
    <n v="0.87"/>
    <n v="0.87"/>
    <n v="0.87"/>
    <n v="0.87"/>
    <m/>
    <m/>
    <n v="6.1867824786324785"/>
    <m/>
    <n v="403.68755673076924"/>
    <n v="0"/>
    <m/>
    <m/>
    <n v="6.1867824786324785"/>
    <s v="n/a"/>
    <n v="403.68755673076924"/>
    <n v="403.68755673076924"/>
    <n v="0"/>
    <m/>
    <m/>
    <n v="6.1867824786324785"/>
    <m/>
    <n v="403.68755673076924"/>
    <n v="0"/>
    <m/>
    <m/>
    <n v="6.1867824786324785"/>
    <m/>
    <n v="403.68755673076924"/>
    <n v="0"/>
    <n v="403.68755673076924"/>
    <n v="403.68755673076924"/>
    <n v="403.68755673076924"/>
    <n v="403.68755673076924"/>
    <n v="1614.750226923077"/>
    <s v="NA"/>
    <m/>
  </r>
  <r>
    <s v="NSG"/>
    <x v="3"/>
    <x v="6"/>
    <s v="Standard Rebate"/>
    <x v="4"/>
    <s v="HW Small 1&quot; to 2&quot;"/>
    <s v="MF/CI/SMB"/>
    <x v="3"/>
    <s v="&quot;3 - Res Pipe Insulation&quot; worksheet"/>
    <s v="ft"/>
    <n v="75"/>
    <n v="75"/>
    <n v="75"/>
    <n v="75"/>
    <n v="0"/>
    <m/>
    <n v="2.6588140926267867"/>
    <n v="2.6588140926267867"/>
    <n v="2.6588140926267867"/>
    <n v="2.6588140926267867"/>
    <n v="0.87"/>
    <n v="0.87"/>
    <n v="0.87"/>
    <n v="0.87"/>
    <n v="173.48761954389784"/>
    <n v="173.48761954389784"/>
    <n v="173.48761954389784"/>
    <n v="173.48761954389784"/>
    <n v="693.95047817559134"/>
    <n v="0.87"/>
    <n v="0.87"/>
    <n v="0.87"/>
    <n v="0.87"/>
    <n v="0.87"/>
    <n v="0.87"/>
    <n v="0.87"/>
    <n v="0.87"/>
    <m/>
    <m/>
    <n v="2.6588140926267867"/>
    <m/>
    <n v="173.48761954389784"/>
    <n v="0"/>
    <m/>
    <m/>
    <n v="2.6588140926267867"/>
    <s v="n/a"/>
    <n v="173.48761954389784"/>
    <n v="173.48761954389784"/>
    <n v="0"/>
    <m/>
    <m/>
    <n v="2.6588140926267867"/>
    <m/>
    <n v="173.48761954389784"/>
    <n v="0"/>
    <m/>
    <m/>
    <n v="2.6588140926267867"/>
    <m/>
    <n v="173.48761954389784"/>
    <n v="0"/>
    <n v="173.48761954389784"/>
    <n v="173.48761954389784"/>
    <n v="173.48761954389784"/>
    <n v="173.48761954389784"/>
    <n v="693.95047817559134"/>
    <s v="NA"/>
    <m/>
  </r>
  <r>
    <s v="NSG"/>
    <x v="3"/>
    <x v="6"/>
    <s v="Standard Rebate"/>
    <x v="4"/>
    <s v="HW Medium 2.1&quot; to 4&quot;"/>
    <s v="MF/CI/SMB"/>
    <x v="3"/>
    <s v="&quot;3 - Res Pipe Insulation&quot; worksheet"/>
    <s v="ft"/>
    <n v="75"/>
    <n v="75"/>
    <n v="75"/>
    <n v="75"/>
    <n v="0"/>
    <m/>
    <n v="5.2492031493764015"/>
    <n v="5.2492031493764015"/>
    <n v="5.2492031493764015"/>
    <n v="5.2492031493764015"/>
    <n v="0.87"/>
    <n v="0.87"/>
    <n v="0.87"/>
    <n v="0.87"/>
    <n v="342.5105054968102"/>
    <n v="342.5105054968102"/>
    <n v="342.5105054968102"/>
    <n v="342.5105054968102"/>
    <n v="1370.0420219872408"/>
    <n v="0.87"/>
    <n v="0.87"/>
    <n v="0.87"/>
    <n v="0.87"/>
    <n v="0.87"/>
    <n v="0.87"/>
    <n v="0.87"/>
    <n v="0.87"/>
    <m/>
    <m/>
    <n v="5.2492031493764015"/>
    <m/>
    <n v="342.5105054968102"/>
    <n v="0"/>
    <m/>
    <m/>
    <n v="5.2492031493764015"/>
    <s v="n/a"/>
    <n v="342.5105054968102"/>
    <n v="342.5105054968102"/>
    <n v="0"/>
    <m/>
    <m/>
    <n v="5.2492031493764015"/>
    <m/>
    <n v="342.5105054968102"/>
    <n v="0"/>
    <m/>
    <m/>
    <n v="5.2492031493764015"/>
    <m/>
    <n v="342.5105054968102"/>
    <n v="0"/>
    <n v="342.5105054968102"/>
    <n v="342.5105054968102"/>
    <n v="342.5105054968102"/>
    <n v="342.5105054968102"/>
    <n v="1370.0420219872408"/>
    <s v="NA"/>
    <m/>
  </r>
  <r>
    <s v="NSG"/>
    <x v="3"/>
    <x v="6"/>
    <s v="Standard Rebate"/>
    <x v="4"/>
    <s v="HW Large &gt;4&quot;"/>
    <s v="MF/CI/SMB"/>
    <x v="3"/>
    <s v="&quot;3 - Res Pipe Insulation&quot; worksheet"/>
    <s v="ft"/>
    <n v="75"/>
    <n v="75"/>
    <n v="75"/>
    <n v="75"/>
    <n v="0"/>
    <m/>
    <n v="9.0407613085908682"/>
    <n v="9.0407613085908682"/>
    <n v="9.0407613085908682"/>
    <n v="9.0407613085908682"/>
    <n v="0.87"/>
    <n v="0.87"/>
    <n v="0.87"/>
    <n v="0.87"/>
    <n v="589.90967538555412"/>
    <n v="589.90967538555412"/>
    <n v="589.90967538555412"/>
    <n v="589.90967538555412"/>
    <n v="2359.6387015422165"/>
    <n v="0.87"/>
    <n v="0.87"/>
    <n v="0.87"/>
    <n v="0.87"/>
    <n v="0.87"/>
    <n v="0.87"/>
    <n v="0.87"/>
    <n v="0.87"/>
    <m/>
    <m/>
    <n v="9.0407613085908682"/>
    <m/>
    <n v="589.90967538555412"/>
    <n v="0"/>
    <m/>
    <m/>
    <n v="9.0407613085908682"/>
    <s v="n/a"/>
    <n v="589.90967538555412"/>
    <n v="589.90967538555412"/>
    <n v="0"/>
    <m/>
    <m/>
    <n v="9.0407613085908682"/>
    <m/>
    <n v="589.90967538555412"/>
    <n v="0"/>
    <m/>
    <m/>
    <n v="9.0407613085908682"/>
    <m/>
    <n v="589.90967538555412"/>
    <n v="0"/>
    <n v="589.90967538555412"/>
    <n v="589.90967538555412"/>
    <n v="589.90967538555412"/>
    <n v="589.90967538555412"/>
    <n v="2359.6387015422165"/>
    <s v="NA"/>
    <m/>
  </r>
  <r>
    <s v="NSG"/>
    <x v="3"/>
    <x v="6"/>
    <s v="Partner Trade Ally Rebate"/>
    <x v="4"/>
    <s v="Hyd. Boiler Sm ≤1.25&quot;"/>
    <s v="MF"/>
    <x v="3"/>
    <s v="&quot;3 - Res Pipe Insulation&quot; worksheet"/>
    <s v="ft"/>
    <n v="75"/>
    <n v="75"/>
    <n v="75"/>
    <n v="75"/>
    <n v="0"/>
    <m/>
    <n v="2.0682348076923076"/>
    <n v="2.0682348076923076"/>
    <n v="2.0682348076923076"/>
    <n v="2.0682348076923076"/>
    <n v="0.87"/>
    <n v="0.87"/>
    <n v="0.87"/>
    <n v="0.87"/>
    <n v="134.95232120192307"/>
    <n v="134.95232120192307"/>
    <n v="134.95232120192307"/>
    <n v="134.95232120192307"/>
    <n v="539.80928480769228"/>
    <n v="0.87"/>
    <n v="0.87"/>
    <n v="0.87"/>
    <n v="0.87"/>
    <n v="0.87"/>
    <n v="0.87"/>
    <n v="0.87"/>
    <n v="0.87"/>
    <m/>
    <m/>
    <n v="2.0682348076923076"/>
    <m/>
    <n v="134.95232120192307"/>
    <n v="0"/>
    <m/>
    <m/>
    <n v="2.0682348076923076"/>
    <s v="n/a"/>
    <n v="134.95232120192307"/>
    <n v="134.95232120192307"/>
    <n v="0"/>
    <m/>
    <m/>
    <n v="2.0682348076923076"/>
    <m/>
    <n v="134.95232120192307"/>
    <n v="0"/>
    <m/>
    <m/>
    <n v="2.0682348076923076"/>
    <m/>
    <n v="134.95232120192307"/>
    <n v="0"/>
    <n v="134.95232120192307"/>
    <n v="134.95232120192307"/>
    <n v="134.95232120192307"/>
    <n v="134.95232120192307"/>
    <n v="539.80928480769228"/>
    <s v="NA"/>
    <m/>
  </r>
  <r>
    <s v="NSG"/>
    <x v="3"/>
    <x v="6"/>
    <s v="Partner Trade Ally Rebate"/>
    <x v="4"/>
    <s v="Hyd. Boiler Large ≥2&quot;"/>
    <s v="MF"/>
    <x v="3"/>
    <s v="&quot;3 - Res Pipe Insulation&quot; worksheet"/>
    <s v="ft"/>
    <n v="75"/>
    <n v="75"/>
    <n v="75"/>
    <n v="75"/>
    <n v="0"/>
    <m/>
    <n v="6.1867824786324785"/>
    <n v="6.1867824786324785"/>
    <n v="6.1867824786324785"/>
    <n v="6.1867824786324785"/>
    <n v="0.87"/>
    <n v="0.87"/>
    <n v="0.87"/>
    <n v="0.87"/>
    <n v="403.68755673076924"/>
    <n v="403.68755673076924"/>
    <n v="403.68755673076924"/>
    <n v="403.68755673076924"/>
    <n v="1614.750226923077"/>
    <n v="0.87"/>
    <n v="0.87"/>
    <n v="0.87"/>
    <n v="0.87"/>
    <n v="0.87"/>
    <n v="0.87"/>
    <n v="0.87"/>
    <n v="0.87"/>
    <m/>
    <m/>
    <n v="6.1867824786324785"/>
    <m/>
    <n v="403.68755673076924"/>
    <n v="0"/>
    <m/>
    <m/>
    <n v="6.1867824786324785"/>
    <s v="n/a"/>
    <n v="403.68755673076924"/>
    <n v="403.68755673076924"/>
    <n v="0"/>
    <m/>
    <m/>
    <n v="6.1867824786324785"/>
    <m/>
    <n v="403.68755673076924"/>
    <n v="0"/>
    <m/>
    <m/>
    <n v="6.1867824786324785"/>
    <m/>
    <n v="403.68755673076924"/>
    <n v="0"/>
    <n v="403.68755673076924"/>
    <n v="403.68755673076924"/>
    <n v="403.68755673076924"/>
    <n v="403.68755673076924"/>
    <n v="1614.750226923077"/>
    <s v="NA"/>
    <m/>
  </r>
  <r>
    <s v="NSG"/>
    <x v="3"/>
    <x v="6"/>
    <s v="Partner Trade Ally Rebate"/>
    <x v="4"/>
    <s v="Steam - Large 5.1&quot; to 8&quot;"/>
    <s v="MF"/>
    <x v="3"/>
    <s v="&quot;3 - Res Pipe Insulation&quot; worksheet"/>
    <s v="ft"/>
    <n v="75"/>
    <n v="75"/>
    <n v="75"/>
    <n v="75"/>
    <n v="0"/>
    <m/>
    <n v="31.133964854103496"/>
    <n v="31.133964854103496"/>
    <n v="31.133964854103496"/>
    <n v="31.133964854103496"/>
    <n v="0.87"/>
    <n v="0.87"/>
    <n v="0.87"/>
    <n v="0.87"/>
    <n v="2031.491206730253"/>
    <n v="2031.491206730253"/>
    <n v="2031.491206730253"/>
    <n v="2031.491206730253"/>
    <n v="8125.964826921012"/>
    <n v="0.87"/>
    <n v="0.87"/>
    <n v="0.87"/>
    <n v="0.87"/>
    <n v="0.87"/>
    <n v="0.87"/>
    <n v="0.87"/>
    <n v="0.87"/>
    <m/>
    <m/>
    <n v="31.133964854103496"/>
    <m/>
    <n v="2031.491206730253"/>
    <n v="0"/>
    <m/>
    <m/>
    <n v="31.133964854103496"/>
    <s v="n/a"/>
    <n v="2031.491206730253"/>
    <n v="2031.491206730253"/>
    <n v="0"/>
    <m/>
    <m/>
    <n v="31.133964854103496"/>
    <m/>
    <n v="2031.491206730253"/>
    <n v="0"/>
    <m/>
    <m/>
    <n v="31.133964854103496"/>
    <m/>
    <n v="2031.491206730253"/>
    <n v="0"/>
    <n v="2031.491206730253"/>
    <n v="2031.491206730253"/>
    <n v="2031.491206730253"/>
    <n v="2031.491206730253"/>
    <n v="8125.964826921012"/>
    <s v="NA"/>
    <m/>
  </r>
  <r>
    <s v="NSG"/>
    <x v="4"/>
    <x v="6"/>
    <s v="Whole Building - Prescriptive"/>
    <x v="4"/>
    <s v="HW Small 1&quot; to 2&quot;"/>
    <s v="MF/CI/SMB"/>
    <x v="3"/>
    <s v="&quot;3 - Res Pipe Insulation&quot; worksheet"/>
    <s v="ft"/>
    <n v="75"/>
    <n v="75"/>
    <n v="75"/>
    <n v="75"/>
    <n v="0"/>
    <m/>
    <n v="2.6588140926267867"/>
    <n v="2.6588140926267867"/>
    <n v="2.6588140926267867"/>
    <n v="2.6588140926267867"/>
    <n v="1"/>
    <n v="1"/>
    <n v="1"/>
    <n v="1"/>
    <n v="199.411056947009"/>
    <n v="199.411056947009"/>
    <n v="199.411056947009"/>
    <n v="199.411056947009"/>
    <n v="797.64422778803601"/>
    <n v="1"/>
    <n v="1"/>
    <n v="1"/>
    <n v="1"/>
    <n v="1"/>
    <n v="1"/>
    <n v="1"/>
    <n v="1"/>
    <m/>
    <m/>
    <n v="2.6588140926267867"/>
    <m/>
    <n v="199.411056947009"/>
    <n v="0"/>
    <m/>
    <m/>
    <n v="2.6588140926267867"/>
    <s v="n/a"/>
    <n v="199.411056947009"/>
    <n v="199.411056947009"/>
    <n v="0"/>
    <m/>
    <m/>
    <n v="2.6588140926267867"/>
    <m/>
    <n v="199.411056947009"/>
    <n v="0"/>
    <m/>
    <m/>
    <n v="2.6588140926267867"/>
    <m/>
    <n v="199.411056947009"/>
    <n v="0"/>
    <n v="199.411056947009"/>
    <n v="199.411056947009"/>
    <n v="199.411056947009"/>
    <n v="199.411056947009"/>
    <n v="797.64422778803601"/>
    <s v="NA"/>
    <m/>
  </r>
  <r>
    <s v="NSG"/>
    <x v="5"/>
    <x v="9"/>
    <s v="Rebates"/>
    <x v="4"/>
    <s v="Steam - Med 2.1&quot; to 5&quot;"/>
    <s v="CI"/>
    <x v="3"/>
    <s v="&quot;3 - Pipe Insulation&quot; worksheet"/>
    <s v="ft"/>
    <n v="75"/>
    <n v="75"/>
    <n v="75"/>
    <n v="75"/>
    <n v="0"/>
    <m/>
    <n v="12.811046084448035"/>
    <n v="12.811046084448035"/>
    <n v="12.811046084448035"/>
    <n v="12.811046084448035"/>
    <n v="0.92"/>
    <n v="0.92"/>
    <n v="0.92"/>
    <n v="0.92"/>
    <n v="883.96217982691439"/>
    <n v="883.96217982691439"/>
    <n v="883.96217982691439"/>
    <n v="883.96217982691439"/>
    <n v="3535.8487193076576"/>
    <n v="0.92"/>
    <n v="0.92"/>
    <n v="0.92"/>
    <n v="0.92"/>
    <n v="0.92"/>
    <n v="0.92"/>
    <n v="0.92"/>
    <n v="0.92"/>
    <m/>
    <m/>
    <n v="12.811046084448035"/>
    <m/>
    <n v="883.96217982691439"/>
    <n v="0"/>
    <m/>
    <m/>
    <n v="12.811046084448035"/>
    <s v="n/a"/>
    <n v="883.96217982691439"/>
    <n v="883.96217982691439"/>
    <n v="0"/>
    <m/>
    <m/>
    <n v="12.811046084448035"/>
    <m/>
    <n v="883.96217982691439"/>
    <n v="0"/>
    <m/>
    <m/>
    <n v="12.811046084448035"/>
    <m/>
    <n v="883.96217982691439"/>
    <n v="0"/>
    <n v="883.96217982691439"/>
    <n v="883.96217982691439"/>
    <n v="883.96217982691439"/>
    <n v="883.96217982691439"/>
    <n v="3535.8487193076576"/>
    <s v="NA"/>
    <m/>
  </r>
  <r>
    <s v="NSG"/>
    <x v="5"/>
    <x v="9"/>
    <s v="Rebates"/>
    <x v="4"/>
    <s v="Steam - Large 5.1&quot; to 8&quot;"/>
    <s v="CI"/>
    <x v="3"/>
    <s v="&quot;3 - Pipe Insulation&quot; worksheet"/>
    <s v="ft"/>
    <n v="75"/>
    <n v="75"/>
    <n v="75"/>
    <n v="75"/>
    <n v="0"/>
    <m/>
    <n v="24.999763600321025"/>
    <n v="24.999763600321025"/>
    <n v="24.999763600321025"/>
    <n v="24.999763600321025"/>
    <n v="0.92"/>
    <n v="0.92"/>
    <n v="0.92"/>
    <n v="0.92"/>
    <n v="1724.9836884221506"/>
    <n v="1724.9836884221506"/>
    <n v="1724.9836884221506"/>
    <n v="1724.9836884221506"/>
    <n v="6899.9347536886025"/>
    <n v="0.92"/>
    <n v="0.92"/>
    <n v="0.92"/>
    <n v="0.92"/>
    <n v="0.92"/>
    <n v="0.92"/>
    <n v="0.92"/>
    <n v="0.92"/>
    <m/>
    <m/>
    <n v="24.999763600321025"/>
    <m/>
    <n v="1724.9836884221506"/>
    <n v="0"/>
    <m/>
    <m/>
    <n v="24.999763600321025"/>
    <s v="n/a"/>
    <n v="1724.9836884221506"/>
    <n v="1724.9836884221506"/>
    <n v="0"/>
    <m/>
    <m/>
    <n v="24.999763600321025"/>
    <m/>
    <n v="1724.9836884221506"/>
    <n v="0"/>
    <m/>
    <m/>
    <n v="24.999763600321025"/>
    <m/>
    <n v="1724.9836884221506"/>
    <n v="0"/>
    <n v="1724.9836884221506"/>
    <n v="1724.9836884221506"/>
    <n v="1724.9836884221506"/>
    <n v="1724.9836884221506"/>
    <n v="6899.9347536886025"/>
    <s v="NA"/>
    <m/>
  </r>
  <r>
    <s v="NSG"/>
    <x v="5"/>
    <x v="7"/>
    <s v="Rebates"/>
    <x v="4"/>
    <s v="HW Small 1&quot; to 2&quot;"/>
    <s v="MF/CI/SMB"/>
    <x v="3"/>
    <s v="&quot;3 - Res Pipe Insulation&quot; worksheet"/>
    <s v="ft"/>
    <n v="75"/>
    <n v="75"/>
    <n v="75"/>
    <n v="75"/>
    <n v="0"/>
    <m/>
    <n v="2.6588140926267867"/>
    <n v="2.6588140926267867"/>
    <n v="2.6588140926267867"/>
    <n v="2.6588140926267867"/>
    <n v="0.93"/>
    <n v="0.93"/>
    <n v="0.93"/>
    <n v="0.93"/>
    <n v="185.45228296071838"/>
    <n v="185.45228296071838"/>
    <n v="185.45228296071838"/>
    <n v="185.45228296071838"/>
    <n v="741.80913184287351"/>
    <n v="0.93"/>
    <n v="0.93"/>
    <n v="0.93"/>
    <n v="0.93"/>
    <n v="0.93"/>
    <n v="0.93"/>
    <n v="0.93"/>
    <n v="0.93"/>
    <m/>
    <m/>
    <n v="2.6588140926267867"/>
    <m/>
    <n v="185.45228296071838"/>
    <n v="0"/>
    <m/>
    <m/>
    <n v="2.6588140926267867"/>
    <s v="n/a"/>
    <n v="185.45228296071838"/>
    <n v="185.45228296071838"/>
    <n v="0"/>
    <m/>
    <m/>
    <n v="2.6588140926267867"/>
    <m/>
    <n v="185.45228296071838"/>
    <n v="0"/>
    <m/>
    <m/>
    <n v="2.6588140926267867"/>
    <m/>
    <n v="185.45228296071838"/>
    <n v="0"/>
    <n v="185.45228296071838"/>
    <n v="185.45228296071838"/>
    <n v="185.45228296071838"/>
    <n v="185.45228296071838"/>
    <n v="741.80913184287351"/>
    <s v="NA"/>
    <m/>
  </r>
  <r>
    <s v="NSG"/>
    <x v="5"/>
    <x v="7"/>
    <s v="Rebates"/>
    <x v="4"/>
    <s v="HW Large &gt;4&quot;"/>
    <s v="MF/CI/SMB"/>
    <x v="3"/>
    <s v="&quot;3 - Res Pipe Insulation&quot; worksheet"/>
    <s v="ft"/>
    <n v="75"/>
    <n v="75"/>
    <n v="75"/>
    <n v="75"/>
    <n v="0"/>
    <m/>
    <n v="9.0407613085908682"/>
    <n v="9.0407613085908682"/>
    <n v="9.0407613085908682"/>
    <n v="9.0407613085908682"/>
    <n v="0.93"/>
    <n v="0.93"/>
    <n v="0.93"/>
    <n v="0.93"/>
    <n v="630.59310127421304"/>
    <n v="630.59310127421304"/>
    <n v="630.59310127421304"/>
    <n v="630.59310127421304"/>
    <n v="2522.3724050968522"/>
    <n v="0.93"/>
    <n v="0.93"/>
    <n v="0.93"/>
    <n v="0.93"/>
    <n v="0.93"/>
    <n v="0.93"/>
    <n v="0.93"/>
    <n v="0.93"/>
    <m/>
    <m/>
    <n v="9.0407613085908682"/>
    <m/>
    <n v="630.59310127421304"/>
    <n v="0"/>
    <m/>
    <m/>
    <n v="9.0407613085908682"/>
    <s v="n/a"/>
    <n v="630.59310127421304"/>
    <n v="630.59310127421304"/>
    <n v="0"/>
    <m/>
    <m/>
    <n v="9.0407613085908682"/>
    <m/>
    <n v="630.59310127421304"/>
    <n v="0"/>
    <m/>
    <m/>
    <n v="9.0407613085908682"/>
    <m/>
    <n v="630.59310127421304"/>
    <n v="0"/>
    <n v="630.59310127421304"/>
    <n v="630.59310127421304"/>
    <n v="630.59310127421304"/>
    <n v="630.59310127421304"/>
    <n v="2522.3724050968522"/>
    <s v="NA"/>
    <m/>
  </r>
  <r>
    <s v="NSG"/>
    <x v="5"/>
    <x v="7"/>
    <s v="Rebates"/>
    <x v="4"/>
    <s v="Steam - Small 1&quot; to 2&quot;"/>
    <s v="CI"/>
    <x v="3"/>
    <s v="&quot;3 - Pipe Insulation&quot; worksheet"/>
    <s v="ft"/>
    <n v="75"/>
    <n v="75"/>
    <n v="75"/>
    <n v="75"/>
    <n v="0"/>
    <m/>
    <n v="3.1854757047967208"/>
    <n v="3.1854757047967208"/>
    <n v="3.1854757047967208"/>
    <n v="3.1854757047967208"/>
    <n v="0.93"/>
    <n v="0.93"/>
    <n v="0.93"/>
    <n v="0.93"/>
    <n v="222.18693040957129"/>
    <n v="222.18693040957129"/>
    <n v="222.18693040957129"/>
    <n v="222.18693040957129"/>
    <n v="888.74772163828516"/>
    <n v="0.93"/>
    <n v="0.93"/>
    <n v="0.93"/>
    <n v="0.93"/>
    <n v="0.93"/>
    <n v="0.93"/>
    <n v="0.93"/>
    <n v="0.93"/>
    <m/>
    <m/>
    <n v="3.1854757047967208"/>
    <m/>
    <n v="222.18693040957129"/>
    <n v="0"/>
    <m/>
    <m/>
    <n v="3.1854757047967208"/>
    <s v="n/a"/>
    <n v="222.18693040957129"/>
    <n v="222.18693040957129"/>
    <n v="0"/>
    <m/>
    <m/>
    <n v="3.1854757047967208"/>
    <m/>
    <n v="222.18693040957129"/>
    <n v="0"/>
    <m/>
    <m/>
    <n v="3.1854757047967208"/>
    <m/>
    <n v="222.18693040957129"/>
    <n v="0"/>
    <n v="222.18693040957129"/>
    <n v="222.18693040957129"/>
    <n v="222.18693040957129"/>
    <n v="222.18693040957129"/>
    <n v="888.74772163828516"/>
    <s v="NA"/>
    <m/>
  </r>
  <r>
    <s v="NSG"/>
    <x v="5"/>
    <x v="7"/>
    <s v="Partner Trade Ally Rebate"/>
    <x v="4"/>
    <s v="Steam - X-Large &gt;8&quot;"/>
    <s v="CI"/>
    <x v="3"/>
    <s v="&quot;3 - Pipe Insulation&quot; worksheet"/>
    <s v="ft"/>
    <n v="75"/>
    <n v="75"/>
    <n v="75"/>
    <n v="75"/>
    <n v="0"/>
    <m/>
    <n v="35.984797966765058"/>
    <n v="35.984797966765058"/>
    <n v="35.984797966765058"/>
    <n v="35.984797966765058"/>
    <n v="0.93"/>
    <n v="0.93"/>
    <n v="0.93"/>
    <n v="0.93"/>
    <n v="2509.9396581818633"/>
    <n v="2509.9396581818633"/>
    <n v="2509.9396581818633"/>
    <n v="2509.9396581818633"/>
    <n v="10039.758632727453"/>
    <n v="0.93"/>
    <n v="0.93"/>
    <n v="0.93"/>
    <n v="0.93"/>
    <n v="0.93"/>
    <n v="0.93"/>
    <n v="0.93"/>
    <n v="0.93"/>
    <m/>
    <m/>
    <n v="35.984797966765058"/>
    <m/>
    <n v="2509.9396581818633"/>
    <n v="0"/>
    <m/>
    <m/>
    <n v="35.984797966765058"/>
    <s v="n/a"/>
    <n v="2509.9396581818633"/>
    <n v="2509.9396581818633"/>
    <n v="0"/>
    <m/>
    <m/>
    <n v="35.984797966765058"/>
    <m/>
    <n v="2509.9396581818633"/>
    <n v="0"/>
    <m/>
    <m/>
    <n v="35.984797966765058"/>
    <m/>
    <n v="2509.9396581818633"/>
    <n v="0"/>
    <n v="2509.9396581818633"/>
    <n v="2509.9396581818633"/>
    <n v="2509.9396581818633"/>
    <n v="2509.9396581818633"/>
    <n v="10039.758632727453"/>
    <s v="NA"/>
    <m/>
  </r>
  <r>
    <s v="NSG"/>
    <x v="5"/>
    <x v="8"/>
    <s v="Rebates"/>
    <x v="4"/>
    <s v="Steam - Med 2.1&quot; to 5&quot;"/>
    <s v="CI"/>
    <x v="3"/>
    <s v="&quot;3 - Pipe Insulation&quot; worksheet"/>
    <s v="ft"/>
    <n v="63.75"/>
    <n v="60"/>
    <n v="52.5"/>
    <n v="51.000000000000007"/>
    <n v="0"/>
    <m/>
    <n v="12.811046084448035"/>
    <n v="12.811046084448035"/>
    <n v="12.811046084448035"/>
    <n v="12.811046084448035"/>
    <n v="0.91"/>
    <n v="0.91"/>
    <n v="0.91"/>
    <n v="0.91"/>
    <n v="743.20081097404159"/>
    <n v="699.4831162108627"/>
    <n v="612.04772668450482"/>
    <n v="594.56064877923347"/>
    <n v="2649.2923026486428"/>
    <n v="0.91"/>
    <n v="0.91"/>
    <n v="0.91"/>
    <n v="0.91"/>
    <n v="0.91"/>
    <n v="0.91"/>
    <n v="0.91"/>
    <n v="0.91"/>
    <m/>
    <m/>
    <n v="12.811046084448035"/>
    <m/>
    <n v="743.20081097404159"/>
    <n v="0"/>
    <m/>
    <m/>
    <n v="12.811046084448035"/>
    <s v="n/a"/>
    <n v="699.4831162108627"/>
    <n v="699.4831162108627"/>
    <n v="0"/>
    <m/>
    <m/>
    <n v="12.811046084448035"/>
    <m/>
    <n v="612.04772668450482"/>
    <n v="0"/>
    <m/>
    <m/>
    <n v="12.811046084448035"/>
    <m/>
    <n v="594.56064877923347"/>
    <n v="0"/>
    <n v="743.20081097404159"/>
    <n v="699.4831162108627"/>
    <n v="612.04772668450482"/>
    <n v="594.56064877923347"/>
    <n v="2649.2923026486428"/>
    <s v="NA"/>
    <m/>
  </r>
  <r>
    <s v="NSG"/>
    <x v="5"/>
    <x v="8"/>
    <s v="Rebates"/>
    <x v="4"/>
    <s v="Steam - Large 5.1&quot; to 8&quot;"/>
    <s v="CI"/>
    <x v="3"/>
    <s v="&quot;3 - Pipe Insulation&quot; worksheet"/>
    <s v="ft"/>
    <n v="63.75"/>
    <n v="60"/>
    <n v="52.5"/>
    <n v="51.000000000000007"/>
    <n v="0"/>
    <m/>
    <n v="24.999763600321025"/>
    <n v="24.999763600321025"/>
    <n v="24.999763600321025"/>
    <n v="24.999763600321025"/>
    <n v="0.91"/>
    <n v="0.91"/>
    <n v="0.91"/>
    <n v="0.91"/>
    <n v="1450.2987858636236"/>
    <n v="1364.9870925775278"/>
    <n v="1194.363706005337"/>
    <n v="1160.239028690899"/>
    <n v="5169.8886131373874"/>
    <n v="0.91"/>
    <n v="0.91"/>
    <n v="0.91"/>
    <n v="0.91"/>
    <n v="0.91"/>
    <n v="0.91"/>
    <n v="0.91"/>
    <n v="0.91"/>
    <m/>
    <m/>
    <n v="24.999763600321025"/>
    <m/>
    <n v="1450.2987858636236"/>
    <n v="0"/>
    <m/>
    <m/>
    <n v="24.999763600321025"/>
    <s v="n/a"/>
    <n v="1364.9870925775278"/>
    <n v="1364.9870925775278"/>
    <n v="0"/>
    <m/>
    <m/>
    <n v="24.999763600321025"/>
    <m/>
    <n v="1194.363706005337"/>
    <n v="0"/>
    <m/>
    <m/>
    <n v="24.999763600321025"/>
    <m/>
    <n v="1160.239028690899"/>
    <n v="0"/>
    <n v="1450.2987858636236"/>
    <n v="1364.9870925775278"/>
    <n v="1194.363706005337"/>
    <n v="1160.239028690899"/>
    <n v="5169.8886131373874"/>
    <s v="NA"/>
    <m/>
  </r>
  <r>
    <s v="NSG"/>
    <x v="5"/>
    <x v="8"/>
    <s v="Rebates"/>
    <x v="4"/>
    <s v="Steam - X-Large &gt;8&quot;"/>
    <s v="CI"/>
    <x v="3"/>
    <s v="&quot;3 - Pipe Insulation&quot; worksheet"/>
    <s v="ft"/>
    <n v="63.75"/>
    <n v="60"/>
    <n v="52.5"/>
    <n v="51.000000000000007"/>
    <n v="0"/>
    <m/>
    <n v="35.984797966765058"/>
    <n v="35.984797966765058"/>
    <n v="35.984797966765058"/>
    <n v="35.984797966765058"/>
    <n v="0.91"/>
    <n v="0.91"/>
    <n v="0.91"/>
    <n v="0.91"/>
    <n v="2087.5680920469581"/>
    <n v="1964.7699689853721"/>
    <n v="1719.1737228622007"/>
    <n v="1670.0544736375666"/>
    <n v="7441.5662575320976"/>
    <n v="0.91"/>
    <n v="0.91"/>
    <n v="0.91"/>
    <n v="0.91"/>
    <n v="0.91"/>
    <n v="0.91"/>
    <n v="0.91"/>
    <n v="0.91"/>
    <m/>
    <m/>
    <n v="35.984797966765058"/>
    <m/>
    <n v="2087.5680920469581"/>
    <n v="0"/>
    <m/>
    <m/>
    <n v="35.984797966765058"/>
    <s v="n/a"/>
    <n v="1964.7699689853721"/>
    <n v="1964.7699689853721"/>
    <n v="0"/>
    <m/>
    <m/>
    <n v="35.984797966765058"/>
    <m/>
    <n v="1719.1737228622007"/>
    <n v="0"/>
    <m/>
    <m/>
    <n v="35.984797966765058"/>
    <m/>
    <n v="1670.0544736375666"/>
    <n v="0"/>
    <n v="2087.5680920469581"/>
    <n v="1964.7699689853721"/>
    <n v="1719.1737228622007"/>
    <n v="1670.0544736375666"/>
    <n v="7441.5662575320976"/>
    <s v="NA"/>
    <m/>
  </r>
  <r>
    <s v="NSG"/>
    <x v="4"/>
    <x v="6"/>
    <s v="MF IHWAP"/>
    <x v="39"/>
    <n v="0"/>
    <s v="MF"/>
    <x v="3"/>
    <n v="0"/>
    <n v="0"/>
    <n v="60"/>
    <n v="75"/>
    <n v="135"/>
    <n v="150"/>
    <n v="0"/>
    <m/>
    <n v="0"/>
    <n v="0"/>
    <n v="0"/>
    <n v="0"/>
    <n v="1"/>
    <n v="1"/>
    <n v="1"/>
    <n v="1"/>
    <n v="0"/>
    <n v="0"/>
    <n v="0"/>
    <n v="0"/>
    <n v="0"/>
    <n v="1"/>
    <n v="1"/>
    <n v="1"/>
    <n v="1"/>
    <n v="1"/>
    <n v="1"/>
    <n v="1"/>
    <n v="1"/>
    <m/>
    <m/>
    <n v="0"/>
    <m/>
    <n v="0"/>
    <n v="0"/>
    <m/>
    <m/>
    <n v="0"/>
    <s v="n/a"/>
    <n v="0"/>
    <n v="0"/>
    <n v="0"/>
    <m/>
    <m/>
    <n v="0"/>
    <m/>
    <n v="0"/>
    <n v="0"/>
    <m/>
    <m/>
    <n v="0"/>
    <m/>
    <n v="0"/>
    <n v="0"/>
    <n v="0"/>
    <n v="0"/>
    <n v="0"/>
    <n v="0"/>
    <n v="0"/>
    <s v="NA"/>
    <m/>
  </r>
  <r>
    <s v="NSG"/>
    <x v="4"/>
    <x v="6"/>
    <s v="MF IHWAP"/>
    <x v="48"/>
    <n v="0"/>
    <s v="MF"/>
    <x v="3"/>
    <s v="n/a"/>
    <s v="each"/>
    <n v="60"/>
    <n v="75"/>
    <n v="135"/>
    <n v="150"/>
    <s v="n/a"/>
    <m/>
    <n v="0"/>
    <n v="0"/>
    <n v="0"/>
    <n v="0"/>
    <n v="1"/>
    <n v="1"/>
    <n v="1"/>
    <n v="1"/>
    <n v="0"/>
    <n v="0"/>
    <n v="0"/>
    <n v="0"/>
    <n v="0"/>
    <n v="1"/>
    <n v="1"/>
    <n v="1"/>
    <n v="1"/>
    <n v="1"/>
    <n v="1"/>
    <n v="1"/>
    <n v="1"/>
    <m/>
    <m/>
    <n v="0"/>
    <m/>
    <n v="0"/>
    <n v="0"/>
    <m/>
    <m/>
    <n v="0"/>
    <s v="n/a"/>
    <n v="0"/>
    <n v="0"/>
    <n v="0"/>
    <m/>
    <m/>
    <n v="0"/>
    <m/>
    <n v="0"/>
    <n v="0"/>
    <m/>
    <m/>
    <n v="0"/>
    <m/>
    <n v="0"/>
    <n v="0"/>
    <n v="0"/>
    <n v="0"/>
    <n v="0"/>
    <n v="0"/>
    <n v="0"/>
    <s v="NA"/>
    <m/>
  </r>
  <r>
    <s v="NSG"/>
    <x v="4"/>
    <x v="5"/>
    <s v="IHWAP"/>
    <x v="39"/>
    <n v="0"/>
    <s v="SF"/>
    <x v="3"/>
    <s v="n/a"/>
    <s v="Household"/>
    <n v="50"/>
    <n v="55"/>
    <n v="70"/>
    <n v="75"/>
    <s v="n/a"/>
    <m/>
    <n v="0"/>
    <n v="0"/>
    <n v="0"/>
    <n v="0"/>
    <n v="1"/>
    <n v="1"/>
    <n v="1"/>
    <n v="1"/>
    <n v="0"/>
    <n v="0"/>
    <n v="0"/>
    <n v="0"/>
    <n v="0"/>
    <n v="1"/>
    <n v="1"/>
    <n v="1"/>
    <n v="1"/>
    <n v="1"/>
    <n v="1"/>
    <n v="1"/>
    <n v="1"/>
    <m/>
    <m/>
    <n v="0"/>
    <m/>
    <n v="0"/>
    <n v="0"/>
    <m/>
    <m/>
    <n v="0"/>
    <s v="n/a"/>
    <n v="0"/>
    <n v="0"/>
    <n v="0"/>
    <m/>
    <m/>
    <n v="0"/>
    <m/>
    <n v="0"/>
    <n v="0"/>
    <m/>
    <m/>
    <n v="0"/>
    <m/>
    <n v="0"/>
    <n v="0"/>
    <n v="0"/>
    <n v="0"/>
    <n v="0"/>
    <n v="0"/>
    <n v="0"/>
    <s v="NA"/>
    <m/>
  </r>
  <r>
    <s v="NSG"/>
    <x v="4"/>
    <x v="5"/>
    <s v="IHWAP"/>
    <x v="49"/>
    <s v="no savings"/>
    <s v="SF"/>
    <x v="3"/>
    <s v="n/a"/>
    <s v="each"/>
    <n v="50"/>
    <n v="55"/>
    <n v="70"/>
    <n v="75"/>
    <s v="n/a"/>
    <m/>
    <n v="0"/>
    <n v="0"/>
    <n v="0"/>
    <n v="0"/>
    <n v="1"/>
    <n v="1"/>
    <n v="1"/>
    <n v="1"/>
    <n v="0"/>
    <n v="0"/>
    <n v="0"/>
    <n v="0"/>
    <n v="0"/>
    <n v="1"/>
    <n v="1"/>
    <n v="1"/>
    <n v="1"/>
    <n v="1"/>
    <n v="1"/>
    <n v="1"/>
    <n v="1"/>
    <m/>
    <m/>
    <n v="0"/>
    <m/>
    <n v="0"/>
    <n v="0"/>
    <m/>
    <m/>
    <n v="0"/>
    <s v="n/a"/>
    <n v="0"/>
    <n v="0"/>
    <n v="0"/>
    <m/>
    <m/>
    <n v="0"/>
    <m/>
    <n v="0"/>
    <n v="0"/>
    <m/>
    <m/>
    <n v="0"/>
    <m/>
    <n v="0"/>
    <n v="0"/>
    <n v="0"/>
    <n v="0"/>
    <n v="0"/>
    <n v="0"/>
    <n v="0"/>
    <s v="NA"/>
    <m/>
  </r>
  <r>
    <s v="NSG"/>
    <x v="3"/>
    <x v="6"/>
    <s v="Direct Install"/>
    <x v="6"/>
    <s v="Boiler (DI)"/>
    <s v="MF"/>
    <x v="3"/>
    <s v="5.3.11"/>
    <s v="each"/>
    <n v="39"/>
    <n v="39"/>
    <n v="39"/>
    <n v="39"/>
    <s v="RS-HVC-ADTH-V08-230101"/>
    <m/>
    <n v="59.845499999999994"/>
    <n v="59.845499999999994"/>
    <n v="59.845499999999994"/>
    <n v="59.845499999999994"/>
    <n v="0.96"/>
    <n v="0.96"/>
    <n v="0.96"/>
    <n v="0.96"/>
    <n v="2240.6155199999998"/>
    <n v="2240.6155199999998"/>
    <n v="2240.6155199999998"/>
    <n v="2240.6155199999998"/>
    <n v="8962.4620799999993"/>
    <n v="0.96"/>
    <n v="0.96"/>
    <n v="0.96"/>
    <n v="0.96"/>
    <n v="0.96"/>
    <n v="0.96"/>
    <n v="0.96"/>
    <n v="0.96"/>
    <m/>
    <m/>
    <n v="59.845499999999994"/>
    <m/>
    <n v="2240.6155199999998"/>
    <n v="0"/>
    <m/>
    <m/>
    <n v="59.845499999999994"/>
    <s v="n/a"/>
    <n v="2240.6155199999998"/>
    <n v="2240.6155199999998"/>
    <n v="0"/>
    <m/>
    <m/>
    <n v="59.845499999999994"/>
    <m/>
    <n v="2240.6155199999998"/>
    <n v="0"/>
    <m/>
    <m/>
    <n v="59.845499999999994"/>
    <m/>
    <n v="2240.6155199999998"/>
    <n v="0"/>
    <n v="2240.6155199999998"/>
    <n v="2240.6155199999998"/>
    <n v="2240.6155199999998"/>
    <n v="2240.6155199999998"/>
    <n v="8962.4620799999993"/>
    <s v="NA"/>
    <m/>
  </r>
  <r>
    <s v="NSG"/>
    <x v="4"/>
    <x v="5"/>
    <s v="IHWAP"/>
    <x v="37"/>
    <s v="&gt;95% AFUE"/>
    <s v="SF"/>
    <x v="3"/>
    <s v="5.3.7"/>
    <s v="each"/>
    <n v="39"/>
    <n v="43"/>
    <n v="55"/>
    <n v="59"/>
    <s v="RS-HVC-GHEF-V12-230101"/>
    <m/>
    <n v="185.63073361823353"/>
    <n v="185.63073361823353"/>
    <n v="185.63073361823353"/>
    <n v="185.63073361823353"/>
    <n v="1"/>
    <n v="1"/>
    <n v="1"/>
    <n v="1"/>
    <n v="7239.5986111111079"/>
    <n v="7982.121545584042"/>
    <n v="10209.690349002845"/>
    <n v="10952.213283475779"/>
    <n v="36383.623789173776"/>
    <n v="1"/>
    <n v="1"/>
    <n v="1"/>
    <n v="1"/>
    <n v="1"/>
    <n v="1"/>
    <n v="1"/>
    <n v="1"/>
    <m/>
    <m/>
    <n v="185.63073361823353"/>
    <m/>
    <n v="7239.5986111111079"/>
    <n v="0"/>
    <m/>
    <m/>
    <n v="185.63073361823353"/>
    <s v="n/a"/>
    <n v="7982.121545584042"/>
    <n v="7982.121545584042"/>
    <n v="0"/>
    <m/>
    <m/>
    <n v="185.63073361823353"/>
    <m/>
    <n v="10209.690349002845"/>
    <n v="0"/>
    <m/>
    <m/>
    <n v="185.63073361823353"/>
    <m/>
    <n v="10952.213283475779"/>
    <n v="0"/>
    <n v="7239.5986111111079"/>
    <n v="7982.121545584042"/>
    <n v="10209.690349002845"/>
    <n v="10952.213283475779"/>
    <n v="36383.623789173776"/>
    <s v="NA"/>
    <m/>
  </r>
  <r>
    <s v="NSG"/>
    <x v="5"/>
    <x v="7"/>
    <s v="Partner Trade Ally Rebate"/>
    <x v="41"/>
    <s v="HVAC Repair/Rep - Audit"/>
    <s v="CI"/>
    <x v="3"/>
    <s v="4.4.16"/>
    <s v="each"/>
    <n v="36"/>
    <n v="33"/>
    <n v="32"/>
    <n v="30"/>
    <s v="CI-HVC-STRE-V09-230101"/>
    <m/>
    <n v="383.76733095846322"/>
    <n v="383.76733095846322"/>
    <n v="383.76733095846322"/>
    <n v="383.76733095846322"/>
    <n v="0.93"/>
    <n v="0.93"/>
    <n v="0.93"/>
    <n v="0.93"/>
    <n v="12848.53024048935"/>
    <n v="11777.819387115236"/>
    <n v="11420.915769323867"/>
    <n v="10707.108533741124"/>
    <n v="46754.373930669579"/>
    <n v="0.93"/>
    <n v="0.93"/>
    <n v="0.93"/>
    <n v="0.93"/>
    <n v="0.93"/>
    <n v="0.93"/>
    <n v="0.93"/>
    <n v="0.93"/>
    <m/>
    <m/>
    <n v="383.76733095846322"/>
    <m/>
    <n v="12848.53024048935"/>
    <n v="0"/>
    <m/>
    <m/>
    <n v="779.98158821323193"/>
    <s v="Updated inputs for Commercial LPS Space Heating and Industrial/Process Low Pressure"/>
    <n v="11777.819387115236"/>
    <n v="23937.634942264089"/>
    <n v="12159.815555148853"/>
    <m/>
    <m/>
    <n v="779.98158821323193"/>
    <m/>
    <n v="23212.252065225784"/>
    <n v="11791.336295901918"/>
    <m/>
    <m/>
    <n v="779.98158821323193"/>
    <m/>
    <n v="21761.486311149172"/>
    <n v="11054.377777408048"/>
    <n v="12848.53024048935"/>
    <n v="23937.634942264089"/>
    <n v="23212.252065225784"/>
    <n v="21761.486311149172"/>
    <n v="81759.90355912839"/>
    <s v="NA"/>
    <m/>
  </r>
  <r>
    <s v="NSG"/>
    <x v="5"/>
    <x v="8"/>
    <s v="Rebates"/>
    <x v="41"/>
    <s v="Industrial/Process Audit - 30 ≤ psig &lt; 75"/>
    <s v="CI/SMB"/>
    <x v="3"/>
    <s v="4.4.16"/>
    <s v="each"/>
    <n v="34"/>
    <n v="32"/>
    <n v="28"/>
    <n v="27.200000000000003"/>
    <s v="CI-HVC-STRE-V09-230101"/>
    <m/>
    <n v="2777.6636840634392"/>
    <n v="2777.6636840634392"/>
    <n v="2777.6636840634392"/>
    <n v="2777.6636840634392"/>
    <n v="0.91"/>
    <n v="0.91"/>
    <n v="0.91"/>
    <n v="0.91"/>
    <n v="85940.914384922813"/>
    <n v="80885.566479927351"/>
    <n v="70774.870669936441"/>
    <n v="68752.731507938268"/>
    <n v="306354.08304272487"/>
    <n v="0.91"/>
    <n v="0.91"/>
    <n v="0.91"/>
    <n v="0.91"/>
    <n v="0.91"/>
    <n v="0.91"/>
    <n v="0.91"/>
    <n v="0.91"/>
    <m/>
    <m/>
    <n v="2777.6636840634392"/>
    <m/>
    <n v="85940.914384922813"/>
    <n v="0"/>
    <m/>
    <m/>
    <n v="2777.6636840634392"/>
    <s v="Updated inputs for Commercial LPS Space Heating and Industrial/Process Low Pressure"/>
    <n v="80885.566479927351"/>
    <n v="80885.566479927351"/>
    <n v="0"/>
    <m/>
    <m/>
    <n v="2777.6636840634392"/>
    <m/>
    <n v="70774.870669936441"/>
    <n v="0"/>
    <m/>
    <m/>
    <n v="2777.6636840634392"/>
    <m/>
    <n v="68752.731507938268"/>
    <n v="0"/>
    <n v="85940.914384922813"/>
    <n v="80885.566479927351"/>
    <n v="70774.870669936441"/>
    <n v="68752.731507938268"/>
    <n v="306354.08304272487"/>
    <s v="NA"/>
    <m/>
  </r>
  <r>
    <s v="NSG"/>
    <x v="4"/>
    <x v="6"/>
    <s v="Whole Building - Public Housing"/>
    <x v="26"/>
    <n v="0"/>
    <s v="IE MF"/>
    <x v="3"/>
    <s v="5.6.1"/>
    <s v="linear ft"/>
    <n v="34"/>
    <n v="34"/>
    <n v="34"/>
    <n v="34"/>
    <s v="RS-SHL-AIRS-V12-230101"/>
    <m/>
    <n v="0.48799999999999999"/>
    <n v="0.48799999999999999"/>
    <n v="0.48799999999999999"/>
    <n v="0.48799999999999999"/>
    <n v="1"/>
    <n v="1"/>
    <n v="1"/>
    <n v="1"/>
    <n v="16.591999999999999"/>
    <n v="16.591999999999999"/>
    <n v="16.591999999999999"/>
    <n v="16.591999999999999"/>
    <n v="66.367999999999995"/>
    <n v="1"/>
    <n v="1"/>
    <n v="1"/>
    <n v="1"/>
    <n v="1"/>
    <n v="1"/>
    <n v="1"/>
    <n v="1"/>
    <m/>
    <m/>
    <n v="0.48799999999999999"/>
    <m/>
    <n v="16.591999999999999"/>
    <n v="0"/>
    <m/>
    <m/>
    <n v="0.48799999999999999"/>
    <s v="Updated ISR"/>
    <n v="16.591999999999999"/>
    <n v="16.591999999999999"/>
    <n v="0"/>
    <m/>
    <m/>
    <n v="0.48799999999999999"/>
    <m/>
    <n v="16.591999999999999"/>
    <n v="0"/>
    <m/>
    <m/>
    <n v="0.48799999999999999"/>
    <m/>
    <n v="16.591999999999999"/>
    <n v="0"/>
    <n v="16.591999999999999"/>
    <n v="16.591999999999999"/>
    <n v="16.591999999999999"/>
    <n v="16.591999999999999"/>
    <n v="66.367999999999995"/>
    <s v="NA"/>
    <m/>
  </r>
  <r>
    <s v="NSG"/>
    <x v="4"/>
    <x v="6"/>
    <s v="Whole Building - DI"/>
    <x v="39"/>
    <n v="0"/>
    <s v="MF"/>
    <x v="3"/>
    <n v="0"/>
    <s v="each"/>
    <n v="30"/>
    <n v="30"/>
    <n v="30"/>
    <n v="30"/>
    <n v="0"/>
    <m/>
    <n v="0"/>
    <n v="0"/>
    <n v="0"/>
    <n v="0"/>
    <n v="1"/>
    <n v="1"/>
    <n v="1"/>
    <n v="1"/>
    <n v="0"/>
    <n v="0"/>
    <n v="0"/>
    <n v="0"/>
    <n v="0"/>
    <n v="1"/>
    <n v="1"/>
    <n v="1"/>
    <n v="1"/>
    <n v="1"/>
    <n v="1"/>
    <n v="1"/>
    <n v="1"/>
    <m/>
    <m/>
    <n v="0"/>
    <m/>
    <n v="0"/>
    <n v="0"/>
    <m/>
    <m/>
    <n v="0"/>
    <s v="n/a"/>
    <n v="0"/>
    <n v="0"/>
    <n v="0"/>
    <m/>
    <m/>
    <n v="0"/>
    <m/>
    <n v="0"/>
    <n v="0"/>
    <m/>
    <m/>
    <n v="0"/>
    <m/>
    <n v="0"/>
    <n v="0"/>
    <n v="0"/>
    <n v="0"/>
    <n v="0"/>
    <n v="0"/>
    <n v="0"/>
    <s v="NA"/>
    <m/>
  </r>
  <r>
    <s v="NSG"/>
    <x v="4"/>
    <x v="6"/>
    <s v="Whole Building - Public Housing"/>
    <x v="39"/>
    <n v="0"/>
    <s v="MF"/>
    <x v="3"/>
    <n v="0"/>
    <s v="units"/>
    <n v="30"/>
    <n v="30"/>
    <n v="30"/>
    <n v="30"/>
    <n v="0"/>
    <m/>
    <n v="0"/>
    <n v="0"/>
    <n v="0"/>
    <n v="0"/>
    <n v="1"/>
    <n v="1"/>
    <n v="1"/>
    <n v="1"/>
    <n v="0"/>
    <n v="0"/>
    <n v="0"/>
    <n v="0"/>
    <n v="0"/>
    <n v="1"/>
    <n v="1"/>
    <n v="1"/>
    <n v="1"/>
    <n v="1"/>
    <n v="1"/>
    <n v="1"/>
    <n v="1"/>
    <m/>
    <m/>
    <n v="0"/>
    <m/>
    <n v="0"/>
    <n v="0"/>
    <m/>
    <m/>
    <n v="0"/>
    <s v="n/a"/>
    <n v="0"/>
    <n v="0"/>
    <n v="0"/>
    <m/>
    <m/>
    <n v="0"/>
    <m/>
    <n v="0"/>
    <n v="0"/>
    <m/>
    <m/>
    <n v="0"/>
    <m/>
    <n v="0"/>
    <n v="0"/>
    <n v="0"/>
    <n v="0"/>
    <n v="0"/>
    <n v="0"/>
    <n v="0"/>
    <s v="NA"/>
    <m/>
  </r>
  <r>
    <s v="NSG"/>
    <x v="5"/>
    <x v="8"/>
    <s v="Rebates"/>
    <x v="41"/>
    <s v="Industrial/Process Audit - psig ≤ 15"/>
    <s v="CI/SMB"/>
    <x v="3"/>
    <s v="4.4.16"/>
    <s v="each"/>
    <n v="25.5"/>
    <n v="24"/>
    <n v="21"/>
    <n v="20.400000000000002"/>
    <s v="CI-HVC-STRE-V09-230101"/>
    <m/>
    <n v="788.87094440257943"/>
    <n v="788.87094440257943"/>
    <n v="788.87094440257943"/>
    <n v="788.87094440257943"/>
    <n v="0.91"/>
    <n v="0.91"/>
    <n v="0.91"/>
    <n v="0.91"/>
    <n v="18305.750264861854"/>
    <n v="17228.941425752335"/>
    <n v="15075.323747533293"/>
    <n v="14644.600211889487"/>
    <n v="65254.615650036969"/>
    <n v="0.91"/>
    <n v="0.91"/>
    <n v="0.91"/>
    <n v="0.91"/>
    <n v="0.91"/>
    <n v="0.91"/>
    <n v="0.91"/>
    <n v="0.91"/>
    <m/>
    <m/>
    <n v="788.87094440257943"/>
    <m/>
    <n v="18305.750264861854"/>
    <n v="0"/>
    <m/>
    <m/>
    <n v="1603.3277521921041"/>
    <s v="Updated inputs for Commercial LPS Space Heating and Industrial/Process Low Pressure"/>
    <n v="17228.941425752335"/>
    <n v="35016.678107875552"/>
    <n v="17787.736682123217"/>
    <m/>
    <m/>
    <n v="1603.3277521921041"/>
    <m/>
    <n v="30639.593344391113"/>
    <n v="15564.269596857819"/>
    <m/>
    <m/>
    <n v="1603.3277521921041"/>
    <m/>
    <n v="29764.176391694225"/>
    <n v="15119.576179804739"/>
    <n v="18305.750264861854"/>
    <n v="35016.678107875552"/>
    <n v="30639.593344391113"/>
    <n v="29764.176391694225"/>
    <n v="113726.19810882275"/>
    <s v="NA"/>
    <m/>
  </r>
  <r>
    <s v="NSG"/>
    <x v="4"/>
    <x v="4"/>
    <s v="Core"/>
    <x v="39"/>
    <n v="0"/>
    <s v="SF"/>
    <x v="3"/>
    <s v="n/a"/>
    <s v="Household"/>
    <n v="25.22"/>
    <n v="63.050000000000004"/>
    <n v="126.10000000000001"/>
    <n v="151.32"/>
    <s v="n/a"/>
    <m/>
    <n v="0"/>
    <n v="0"/>
    <n v="0"/>
    <n v="0"/>
    <n v="1"/>
    <n v="1"/>
    <n v="1"/>
    <n v="1"/>
    <n v="0"/>
    <n v="0"/>
    <n v="0"/>
    <n v="0"/>
    <n v="0"/>
    <n v="1"/>
    <n v="1"/>
    <n v="1"/>
    <n v="1"/>
    <n v="1"/>
    <n v="1"/>
    <n v="1"/>
    <n v="1"/>
    <m/>
    <m/>
    <n v="0"/>
    <m/>
    <n v="0"/>
    <n v="0"/>
    <m/>
    <m/>
    <n v="0"/>
    <s v="n/a"/>
    <n v="0"/>
    <n v="0"/>
    <n v="0"/>
    <m/>
    <m/>
    <n v="0"/>
    <m/>
    <n v="0"/>
    <n v="0"/>
    <m/>
    <m/>
    <n v="0"/>
    <m/>
    <n v="0"/>
    <n v="0"/>
    <n v="0"/>
    <n v="0"/>
    <n v="0"/>
    <n v="0"/>
    <n v="0"/>
    <s v="NA"/>
    <m/>
  </r>
  <r>
    <s v="NSG"/>
    <x v="4"/>
    <x v="4"/>
    <s v="Leave Behind Kit"/>
    <x v="40"/>
    <n v="0"/>
    <s v="SF"/>
    <x v="3"/>
    <s v="5.6.1"/>
    <s v="each"/>
    <n v="25"/>
    <n v="63"/>
    <n v="126"/>
    <n v="151"/>
    <s v="RS-SHL-AIRS-V12-230101"/>
    <m/>
    <n v="6.3544800000000006"/>
    <n v="6.3544800000000006"/>
    <n v="6.3544800000000006"/>
    <n v="6.3544800000000006"/>
    <n v="1"/>
    <n v="1"/>
    <n v="1"/>
    <n v="1"/>
    <n v="158.86200000000002"/>
    <n v="400.33224000000001"/>
    <n v="800.66448000000003"/>
    <n v="959.52648000000011"/>
    <n v="2319.3852000000002"/>
    <n v="1"/>
    <n v="1"/>
    <n v="1"/>
    <n v="1"/>
    <n v="1"/>
    <n v="1"/>
    <n v="1"/>
    <n v="1"/>
    <m/>
    <m/>
    <n v="6.3544800000000006"/>
    <m/>
    <n v="158.86200000000002"/>
    <n v="0"/>
    <m/>
    <m/>
    <n v="6.3544800000000006"/>
    <s v="Updated ISR"/>
    <n v="352.29237119999999"/>
    <n v="400.33224000000001"/>
    <n v="0"/>
    <m/>
    <m/>
    <n v="6.3544800000000006"/>
    <m/>
    <n v="800.66448000000003"/>
    <n v="0"/>
    <m/>
    <m/>
    <n v="6.3544800000000006"/>
    <m/>
    <n v="959.52648000000011"/>
    <n v="0"/>
    <n v="158.86200000000002"/>
    <n v="400.33224000000001"/>
    <n v="800.66448000000003"/>
    <n v="959.52648000000011"/>
    <n v="2319.3852000000002"/>
    <s v="NA"/>
    <m/>
  </r>
  <r>
    <s v="NSG"/>
    <x v="3"/>
    <x v="3"/>
    <s v="Standard Rebate"/>
    <x v="28"/>
    <s v="≥88% AFUE, &lt;300MBh"/>
    <s v="SF"/>
    <x v="3"/>
    <s v="5.3.6"/>
    <s v="each"/>
    <n v="25"/>
    <n v="25"/>
    <n v="25"/>
    <n v="25"/>
    <s v="RS-HVC-GHEB-V10-230101"/>
    <m/>
    <n v="147.38374603174603"/>
    <n v="147.38374603174603"/>
    <n v="147.38374603174603"/>
    <n v="147.38374603174603"/>
    <n v="0.74"/>
    <n v="0.74"/>
    <n v="0.74"/>
    <n v="0.74"/>
    <n v="2726.5993015873014"/>
    <n v="2726.5993015873014"/>
    <n v="2726.5993015873014"/>
    <n v="2726.5993015873014"/>
    <n v="10906.397206349206"/>
    <n v="0.74"/>
    <n v="0.74"/>
    <n v="0.74"/>
    <n v="0.74"/>
    <n v="0.74"/>
    <n v="0.74"/>
    <n v="0.74"/>
    <n v="0.74"/>
    <m/>
    <m/>
    <n v="147.38374603174603"/>
    <m/>
    <n v="2726.5993015873014"/>
    <n v="0"/>
    <m/>
    <m/>
    <n v="147.38374603174603"/>
    <s v="n/a"/>
    <n v="2726.5993015873014"/>
    <n v="2726.5993015873014"/>
    <n v="0"/>
    <m/>
    <m/>
    <n v="147.38374603174603"/>
    <m/>
    <n v="2726.5993015873014"/>
    <n v="0"/>
    <m/>
    <m/>
    <n v="147.38374603174603"/>
    <m/>
    <n v="2726.5993015873014"/>
    <n v="0"/>
    <n v="2726.5993015873014"/>
    <n v="2726.5993015873014"/>
    <n v="2726.5993015873014"/>
    <n v="2726.5993015873014"/>
    <n v="10906.397206349206"/>
    <s v="NA"/>
    <m/>
  </r>
  <r>
    <s v="NSG"/>
    <x v="3"/>
    <x v="6"/>
    <s v="Direct Install"/>
    <x v="39"/>
    <s v="CA"/>
    <s v="MF"/>
    <x v="3"/>
    <s v="n/a"/>
    <s v="each"/>
    <n v="20"/>
    <n v="20"/>
    <n v="20"/>
    <n v="20"/>
    <s v="n/a"/>
    <m/>
    <n v="0"/>
    <n v="0"/>
    <n v="0"/>
    <n v="0"/>
    <n v="0.96"/>
    <n v="0.96"/>
    <n v="0.96"/>
    <n v="0.96"/>
    <n v="0"/>
    <n v="0"/>
    <n v="0"/>
    <n v="0"/>
    <n v="0"/>
    <n v="0.96"/>
    <n v="0.96"/>
    <n v="0.96"/>
    <n v="0.96"/>
    <n v="0.96"/>
    <n v="0.96"/>
    <n v="0.96"/>
    <n v="0.96"/>
    <m/>
    <m/>
    <n v="0"/>
    <m/>
    <n v="0"/>
    <n v="0"/>
    <m/>
    <m/>
    <n v="0"/>
    <s v="n/a"/>
    <n v="0"/>
    <n v="0"/>
    <n v="0"/>
    <m/>
    <m/>
    <n v="0"/>
    <m/>
    <n v="0"/>
    <n v="0"/>
    <m/>
    <m/>
    <n v="0"/>
    <m/>
    <n v="0"/>
    <n v="0"/>
    <n v="0"/>
    <n v="0"/>
    <n v="0"/>
    <n v="0"/>
    <n v="0"/>
    <s v="NA"/>
    <m/>
  </r>
  <r>
    <s v="NSG"/>
    <x v="5"/>
    <x v="7"/>
    <s v="Partner Trade Ally Rebate"/>
    <x v="4"/>
    <s v="Dry Cleaners"/>
    <s v="CI/SMB"/>
    <x v="3"/>
    <s v="&quot;3 - Res Pipe Insulation&quot; worksheet"/>
    <s v="linear feet"/>
    <n v="20"/>
    <n v="15"/>
    <n v="15"/>
    <n v="15"/>
    <n v="0"/>
    <m/>
    <n v="2.6562680100025178"/>
    <n v="2.6562680100025178"/>
    <n v="2.6562680100025178"/>
    <n v="2.6562680100025178"/>
    <n v="0.93"/>
    <n v="0.93"/>
    <n v="0.93"/>
    <n v="0.93"/>
    <n v="49.40658498604683"/>
    <n v="37.054938739535125"/>
    <n v="37.054938739535125"/>
    <n v="37.054938739535125"/>
    <n v="160.5714012046522"/>
    <n v="0.93"/>
    <n v="0.93"/>
    <n v="0.93"/>
    <n v="0.93"/>
    <n v="0.93"/>
    <n v="0.93"/>
    <n v="0.93"/>
    <n v="0.93"/>
    <m/>
    <m/>
    <n v="2.6562680100025178"/>
    <m/>
    <n v="49.40658498604683"/>
    <n v="0"/>
    <m/>
    <m/>
    <n v="2.6562680100025178"/>
    <s v="n/a"/>
    <n v="37.054938739535125"/>
    <n v="37.054938739535125"/>
    <n v="0"/>
    <m/>
    <m/>
    <n v="2.6562680100025178"/>
    <m/>
    <n v="37.054938739535125"/>
    <n v="0"/>
    <m/>
    <m/>
    <n v="2.6562680100025178"/>
    <m/>
    <n v="37.054938739535125"/>
    <n v="0"/>
    <n v="49.40658498604683"/>
    <n v="37.054938739535125"/>
    <n v="37.054938739535125"/>
    <n v="37.054938739535125"/>
    <n v="160.5714012046522"/>
    <s v="NA"/>
    <m/>
  </r>
  <r>
    <s v="NSG"/>
    <x v="4"/>
    <x v="6"/>
    <s v="Whole Building - Prescriptive"/>
    <x v="40"/>
    <n v="0"/>
    <s v="IE MF"/>
    <x v="3"/>
    <s v="5.6.1"/>
    <s v="per door"/>
    <n v="18"/>
    <n v="18"/>
    <n v="18"/>
    <n v="18"/>
    <s v="RS-SHL-AIRS-V12-230101"/>
    <m/>
    <n v="7.3040000000000012"/>
    <n v="7.3040000000000012"/>
    <n v="7.3040000000000012"/>
    <n v="7.3040000000000012"/>
    <n v="1"/>
    <n v="1"/>
    <n v="1"/>
    <n v="1"/>
    <n v="131.47200000000001"/>
    <n v="131.47200000000001"/>
    <n v="131.47200000000001"/>
    <n v="131.47200000000001"/>
    <n v="525.88800000000003"/>
    <n v="1"/>
    <n v="1"/>
    <n v="1"/>
    <n v="1"/>
    <n v="1"/>
    <n v="1"/>
    <n v="1"/>
    <n v="1"/>
    <m/>
    <m/>
    <n v="7.3040000000000012"/>
    <m/>
    <n v="131.47200000000001"/>
    <n v="0"/>
    <m/>
    <m/>
    <n v="7.3040000000000012"/>
    <s v="Updated ISR"/>
    <n v="131.47200000000001"/>
    <n v="131.47200000000001"/>
    <n v="0"/>
    <m/>
    <m/>
    <n v="7.3040000000000012"/>
    <m/>
    <n v="131.47200000000001"/>
    <n v="0"/>
    <m/>
    <m/>
    <n v="7.3040000000000012"/>
    <m/>
    <n v="131.47200000000001"/>
    <n v="0"/>
    <n v="131.47200000000001"/>
    <n v="131.47200000000001"/>
    <n v="131.47200000000001"/>
    <n v="131.47200000000001"/>
    <n v="525.88800000000003"/>
    <s v="NA"/>
    <m/>
  </r>
  <r>
    <s v="NSG"/>
    <x v="5"/>
    <x v="7"/>
    <s v="Assessments"/>
    <x v="39"/>
    <n v="0"/>
    <s v="CI"/>
    <x v="3"/>
    <n v="0"/>
    <s v="each"/>
    <n v="18"/>
    <n v="16"/>
    <n v="16"/>
    <n v="15"/>
    <n v="0"/>
    <m/>
    <n v="0"/>
    <n v="0"/>
    <n v="0"/>
    <n v="0"/>
    <n v="0.93"/>
    <n v="0.93"/>
    <n v="0.93"/>
    <n v="0.93"/>
    <n v="0"/>
    <n v="0"/>
    <n v="0"/>
    <n v="0"/>
    <n v="0"/>
    <n v="0.93"/>
    <n v="0.93"/>
    <n v="0.93"/>
    <n v="0.93"/>
    <n v="0.93"/>
    <n v="0.93"/>
    <n v="0.93"/>
    <n v="0.93"/>
    <m/>
    <m/>
    <n v="0"/>
    <m/>
    <n v="0"/>
    <n v="0"/>
    <m/>
    <m/>
    <n v="0"/>
    <s v="n/a"/>
    <n v="0"/>
    <n v="0"/>
    <n v="0"/>
    <m/>
    <m/>
    <n v="0"/>
    <m/>
    <n v="0"/>
    <n v="0"/>
    <m/>
    <m/>
    <n v="0"/>
    <m/>
    <n v="0"/>
    <n v="0"/>
    <n v="0"/>
    <n v="0"/>
    <n v="0"/>
    <n v="0"/>
    <n v="0"/>
    <s v="NA"/>
    <m/>
  </r>
  <r>
    <s v="NSG"/>
    <x v="5"/>
    <x v="7"/>
    <s v="Kits"/>
    <x v="47"/>
    <s v="Motel Kit"/>
    <s v="SMB"/>
    <x v="4"/>
    <s v="n/a"/>
    <s v="kit"/>
    <n v="18"/>
    <n v="16"/>
    <n v="16"/>
    <n v="15"/>
    <s v="n/a"/>
    <m/>
    <n v="134.51339999999999"/>
    <n v="134.51339999999999"/>
    <n v="134.51339999999999"/>
    <n v="134.51339999999999"/>
    <n v="0.93"/>
    <n v="0.93"/>
    <n v="0.93"/>
    <n v="0.93"/>
    <n v="2251.754316"/>
    <n v="2001.5593919999999"/>
    <n v="2001.5593919999999"/>
    <n v="1876.4619299999999"/>
    <n v="8131.3350300000002"/>
    <n v="0.93"/>
    <n v="0.93"/>
    <n v="0.93"/>
    <n v="0.93"/>
    <n v="0.93"/>
    <n v="0.93"/>
    <n v="0.93"/>
    <n v="0.93"/>
    <m/>
    <m/>
    <n v="134.51339999999999"/>
    <m/>
    <n v="2251.754316"/>
    <n v="0"/>
    <m/>
    <m/>
    <n v="134.51339999999999"/>
    <s v="n/a"/>
    <n v="2001.5593919999999"/>
    <n v="2001.5593919999999"/>
    <n v="0"/>
    <m/>
    <m/>
    <n v="134.51339999999999"/>
    <m/>
    <n v="2001.5593919999999"/>
    <n v="0"/>
    <m/>
    <m/>
    <n v="134.51339999999999"/>
    <m/>
    <n v="1876.4619299999999"/>
    <n v="0"/>
    <n v="2251.754316"/>
    <n v="2001.5593919999999"/>
    <n v="2001.5593919999999"/>
    <n v="1876.4619299999999"/>
    <n v="8131.3350300000002"/>
    <s v="NA"/>
    <m/>
  </r>
  <r>
    <s v="NSG"/>
    <x v="5"/>
    <x v="7"/>
    <s v="Kits"/>
    <x v="47"/>
    <s v="School - Grocery"/>
    <s v="SMB"/>
    <x v="4"/>
    <s v="n/a"/>
    <s v="kit"/>
    <n v="18"/>
    <n v="16"/>
    <n v="16"/>
    <n v="15"/>
    <s v="n/a"/>
    <m/>
    <n v="108.2208"/>
    <n v="108.2208"/>
    <n v="108.2208"/>
    <n v="108.2208"/>
    <n v="0.93"/>
    <n v="0.93"/>
    <n v="0.93"/>
    <n v="0.93"/>
    <n v="1811.6161920000002"/>
    <n v="1610.3255040000001"/>
    <n v="1610.3255040000001"/>
    <n v="1509.6801599999999"/>
    <n v="6541.9473600000001"/>
    <n v="0.93"/>
    <n v="0.93"/>
    <n v="0.93"/>
    <n v="0.93"/>
    <n v="0.93"/>
    <n v="0.93"/>
    <n v="0.93"/>
    <n v="0.93"/>
    <m/>
    <m/>
    <n v="108.2208"/>
    <m/>
    <n v="1811.6161920000002"/>
    <n v="0"/>
    <m/>
    <m/>
    <n v="108.2208"/>
    <s v="n/a"/>
    <n v="1610.3255040000001"/>
    <n v="1610.3255040000001"/>
    <n v="0"/>
    <m/>
    <m/>
    <n v="108.2208"/>
    <m/>
    <n v="1610.3255040000001"/>
    <n v="0"/>
    <m/>
    <m/>
    <n v="108.2208"/>
    <m/>
    <n v="1509.6801599999999"/>
    <n v="0"/>
    <n v="1811.6161920000002"/>
    <n v="1610.3255040000001"/>
    <n v="1610.3255040000001"/>
    <n v="1509.6801599999999"/>
    <n v="6541.9473600000001"/>
    <s v="NA"/>
    <m/>
  </r>
  <r>
    <s v="NSG"/>
    <x v="5"/>
    <x v="7"/>
    <s v="Partner Trade Ally Rebate"/>
    <x v="41"/>
    <s v="Dry Cleaner/Industrial - Audit"/>
    <s v="MF/CI/SMB"/>
    <x v="3"/>
    <s v="4.4.16"/>
    <s v="each"/>
    <n v="18"/>
    <n v="16"/>
    <n v="16"/>
    <n v="15"/>
    <s v="CI-HVC-STRE-V09-230101"/>
    <m/>
    <n v="648.01334476360694"/>
    <n v="648.01334476360694"/>
    <n v="648.01334476360694"/>
    <n v="648.01334476360694"/>
    <n v="0.93"/>
    <n v="0.93"/>
    <n v="0.93"/>
    <n v="0.93"/>
    <n v="10847.743391342781"/>
    <n v="9642.4385700824714"/>
    <n v="9642.4385700824714"/>
    <n v="9039.7861594523165"/>
    <n v="39172.406690960037"/>
    <n v="0.93"/>
    <n v="0.93"/>
    <n v="0.93"/>
    <n v="0.93"/>
    <n v="0.93"/>
    <n v="0.93"/>
    <n v="0.93"/>
    <n v="0.93"/>
    <m/>
    <m/>
    <n v="648.01334476360694"/>
    <m/>
    <n v="10847.743391342781"/>
    <n v="0"/>
    <m/>
    <m/>
    <n v="648.01334476360694"/>
    <s v="Updated inputs for Commercial LPS Space Heating and Industrial/Process Low Pressure"/>
    <n v="9642.4385700824714"/>
    <n v="9642.4385700824714"/>
    <n v="0"/>
    <m/>
    <m/>
    <n v="648.01334476360694"/>
    <m/>
    <n v="9642.4385700824714"/>
    <n v="0"/>
    <m/>
    <m/>
    <n v="648.01334476360694"/>
    <m/>
    <n v="9039.7861594523165"/>
    <n v="0"/>
    <n v="10847.743391342781"/>
    <n v="9642.4385700824714"/>
    <n v="9642.4385700824714"/>
    <n v="9039.7861594523165"/>
    <n v="39172.406690960037"/>
    <s v="NA"/>
    <m/>
  </r>
  <r>
    <s v="NSG"/>
    <x v="5"/>
    <x v="10"/>
    <s v="Upstream Rebate"/>
    <x v="50"/>
    <n v="0"/>
    <s v="MF/CI"/>
    <x v="3"/>
    <s v="4.2.16"/>
    <s v="HP"/>
    <n v="15.5"/>
    <n v="15.5"/>
    <n v="15.5"/>
    <n v="23.25"/>
    <s v="CI-FSE-VENT-V05-230101"/>
    <m/>
    <n v="774"/>
    <n v="774"/>
    <n v="774"/>
    <n v="774"/>
    <n v="0.8"/>
    <n v="0.8"/>
    <n v="0.8"/>
    <n v="0.8"/>
    <n v="9597.6"/>
    <n v="9597.6"/>
    <n v="9597.6"/>
    <n v="14396.400000000001"/>
    <n v="43189.200000000004"/>
    <n v="0.8"/>
    <n v="0.8"/>
    <n v="0.8"/>
    <n v="0.8"/>
    <n v="0.8"/>
    <n v="0.8"/>
    <n v="0.8"/>
    <n v="0.8"/>
    <m/>
    <m/>
    <n v="774"/>
    <m/>
    <n v="9597.6"/>
    <n v="0"/>
    <m/>
    <m/>
    <n v="774"/>
    <s v="n/a"/>
    <n v="9597.6"/>
    <n v="9597.6"/>
    <n v="0"/>
    <m/>
    <m/>
    <n v="774"/>
    <m/>
    <n v="9597.6"/>
    <n v="0"/>
    <m/>
    <m/>
    <n v="774"/>
    <m/>
    <n v="14396.400000000001"/>
    <n v="0"/>
    <n v="9597.6"/>
    <n v="9597.6"/>
    <n v="9597.6"/>
    <n v="14396.400000000001"/>
    <n v="43189.200000000004"/>
    <s v="NA"/>
    <m/>
  </r>
  <r>
    <s v="NSG"/>
    <x v="3"/>
    <x v="3"/>
    <s v="Standard Rebate"/>
    <x v="51"/>
    <n v="0"/>
    <s v="SF"/>
    <x v="3"/>
    <s v="5.4.2"/>
    <s v="each"/>
    <n v="15"/>
    <n v="15"/>
    <n v="15"/>
    <n v="15"/>
    <s v="RS-HWE-GWHT-V10-220101"/>
    <m/>
    <n v="63.49086967683337"/>
    <n v="63.49086967683337"/>
    <n v="63.49086967683337"/>
    <n v="63.49086967683337"/>
    <n v="0.74"/>
    <n v="0.74"/>
    <n v="0.74"/>
    <n v="0.74"/>
    <n v="704.74865341285033"/>
    <n v="704.74865341285033"/>
    <n v="704.74865341285033"/>
    <n v="704.74865341285033"/>
    <n v="2818.9946136514013"/>
    <n v="0.74"/>
    <n v="0.74"/>
    <n v="0.74"/>
    <n v="0.74"/>
    <n v="0.74"/>
    <n v="0.74"/>
    <n v="0.74"/>
    <n v="0.74"/>
    <m/>
    <m/>
    <n v="63.49086967683337"/>
    <m/>
    <n v="704.74865341285033"/>
    <n v="0"/>
    <m/>
    <m/>
    <n v="63.49086967683337"/>
    <s v="n/a"/>
    <n v="704.74865341285033"/>
    <n v="704.74865341285033"/>
    <n v="0"/>
    <m/>
    <m/>
    <n v="63.49086967683337"/>
    <m/>
    <n v="704.74865341285033"/>
    <n v="0"/>
    <m/>
    <m/>
    <n v="63.49086967683337"/>
    <m/>
    <n v="704.74865341285033"/>
    <n v="0"/>
    <n v="704.74865341285033"/>
    <n v="704.74865341285033"/>
    <n v="704.74865341285033"/>
    <n v="704.74865341285033"/>
    <n v="2818.9946136514013"/>
    <s v="NA"/>
    <m/>
  </r>
  <r>
    <s v="NSG"/>
    <x v="5"/>
    <x v="8"/>
    <s v="Rebates"/>
    <x v="41"/>
    <s v="Industrial/Process Audit - 75 ≤ psig &lt; 125"/>
    <s v="CI/SMB"/>
    <x v="3"/>
    <s v="4.4.16"/>
    <s v="each"/>
    <n v="12.75"/>
    <n v="12"/>
    <n v="10.5"/>
    <n v="10.200000000000001"/>
    <s v="CI-HVC-STRE-V09-230101"/>
    <m/>
    <n v="5253.732217921608"/>
    <n v="5253.732217921608"/>
    <n v="5253.732217921608"/>
    <n v="5253.732217921608"/>
    <n v="0.91"/>
    <n v="0.91"/>
    <n v="0.91"/>
    <n v="0.91"/>
    <n v="60956.428058435464"/>
    <n v="57370.755819703962"/>
    <n v="50199.411342240965"/>
    <n v="48765.142446748374"/>
    <n v="217291.73766712873"/>
    <n v="0.91"/>
    <n v="0.91"/>
    <n v="0.91"/>
    <n v="0.91"/>
    <n v="0.91"/>
    <n v="0.91"/>
    <n v="0.91"/>
    <n v="0.91"/>
    <m/>
    <m/>
    <n v="5253.732217921608"/>
    <m/>
    <n v="60956.428058435464"/>
    <n v="0"/>
    <m/>
    <m/>
    <n v="5253.732217921608"/>
    <s v="Updated inputs for Commercial LPS Space Heating and Industrial/Process Low Pressure"/>
    <n v="57370.755819703962"/>
    <n v="57370.755819703962"/>
    <n v="0"/>
    <m/>
    <m/>
    <n v="5253.732217921608"/>
    <m/>
    <n v="50199.411342240965"/>
    <n v="0"/>
    <m/>
    <m/>
    <n v="5253.732217921608"/>
    <m/>
    <n v="48765.142446748374"/>
    <n v="0"/>
    <n v="60956.428058435464"/>
    <n v="57370.755819703962"/>
    <n v="50199.411342240965"/>
    <n v="48765.142446748374"/>
    <n v="217291.73766712873"/>
    <s v="NA"/>
    <m/>
  </r>
  <r>
    <s v="NSG"/>
    <x v="4"/>
    <x v="6"/>
    <s v="Whole Building - Prescriptive"/>
    <x v="52"/>
    <n v="0"/>
    <s v="MF"/>
    <x v="3"/>
    <s v="4.4.38"/>
    <s v="each"/>
    <n v="12"/>
    <n v="12"/>
    <n v="12"/>
    <n v="12"/>
    <s v="CI-HVC-CRAC-V03-230101"/>
    <m/>
    <n v="12.64"/>
    <n v="12.64"/>
    <n v="12.64"/>
    <n v="12.64"/>
    <n v="1"/>
    <n v="1"/>
    <n v="1"/>
    <n v="1"/>
    <n v="151.68"/>
    <n v="151.68"/>
    <n v="151.68"/>
    <n v="151.68"/>
    <n v="606.72"/>
    <n v="1"/>
    <n v="1"/>
    <n v="1"/>
    <n v="1"/>
    <n v="1"/>
    <n v="1"/>
    <n v="1"/>
    <n v="1"/>
    <m/>
    <m/>
    <n v="12.64"/>
    <m/>
    <n v="151.68"/>
    <n v="0"/>
    <m/>
    <m/>
    <n v="12.64"/>
    <s v="n/a"/>
    <n v="151.68"/>
    <n v="151.68"/>
    <n v="0"/>
    <m/>
    <m/>
    <n v="12.64"/>
    <m/>
    <n v="151.68"/>
    <n v="0"/>
    <m/>
    <m/>
    <n v="12.64"/>
    <m/>
    <n v="151.68"/>
    <n v="0"/>
    <n v="151.68"/>
    <n v="151.68"/>
    <n v="151.68"/>
    <n v="151.68"/>
    <n v="606.72"/>
    <s v="NA"/>
    <m/>
  </r>
  <r>
    <s v="NSG"/>
    <x v="5"/>
    <x v="7"/>
    <s v="Partner Trade Ally Rebate"/>
    <x v="41"/>
    <s v="HVAC Repair/Rep - No Audit"/>
    <s v="CI"/>
    <x v="3"/>
    <s v="4.4.16"/>
    <s v="each"/>
    <n v="9"/>
    <n v="8"/>
    <n v="8"/>
    <n v="8"/>
    <s v="CI-HVC-STRE-V09-230101"/>
    <m/>
    <n v="103.61717935878508"/>
    <n v="103.61717935878508"/>
    <n v="103.61717935878508"/>
    <n v="103.61717935878508"/>
    <n v="0.93"/>
    <n v="0.93"/>
    <n v="0.93"/>
    <n v="0.93"/>
    <n v="867.2757912330311"/>
    <n v="770.91181442936102"/>
    <n v="770.91181442936102"/>
    <n v="770.91181442936102"/>
    <n v="3180.0112345211141"/>
    <n v="0.93"/>
    <n v="0.93"/>
    <n v="0.93"/>
    <n v="0.93"/>
    <n v="0.93"/>
    <n v="0.93"/>
    <n v="0.93"/>
    <n v="0.93"/>
    <m/>
    <m/>
    <n v="103.61717935878508"/>
    <m/>
    <n v="867.2757912330311"/>
    <n v="0"/>
    <m/>
    <m/>
    <n v="210.59502881757265"/>
    <s v="Updated inputs for Commercial LPS Space Heating and Industrial/Process Low Pressure"/>
    <n v="770.91181442936102"/>
    <n v="1566.8270144027406"/>
    <n v="795.91519997337957"/>
    <m/>
    <m/>
    <n v="210.59502881757265"/>
    <m/>
    <n v="1566.8270144027406"/>
    <n v="795.91519997337957"/>
    <m/>
    <m/>
    <n v="210.59502881757265"/>
    <m/>
    <n v="1566.8270144027406"/>
    <n v="795.91519997337957"/>
    <n v="867.2757912330311"/>
    <n v="1566.8270144027406"/>
    <n v="1566.8270144027406"/>
    <n v="1566.8270144027406"/>
    <n v="5567.756834441253"/>
    <s v="NA"/>
    <m/>
  </r>
  <r>
    <s v="NSG"/>
    <x v="5"/>
    <x v="8"/>
    <s v="Rebates"/>
    <x v="41"/>
    <s v="Industrial/Process Audit - 125 ≤ psig &lt; 175"/>
    <s v="CI/SMB"/>
    <x v="3"/>
    <s v="4.4.16"/>
    <s v="each"/>
    <n v="8.5"/>
    <n v="8"/>
    <n v="7"/>
    <n v="6.8000000000000007"/>
    <s v="CI-HVC-STRE-V09-230101"/>
    <m/>
    <n v="7334.7468920022948"/>
    <n v="7334.7468920022948"/>
    <n v="7334.7468920022948"/>
    <n v="7334.7468920022948"/>
    <n v="0.91"/>
    <n v="0.91"/>
    <n v="0.91"/>
    <n v="0.91"/>
    <n v="56734.26720963775"/>
    <n v="53396.957373776706"/>
    <n v="46722.337702054618"/>
    <n v="45387.413767710212"/>
    <n v="202240.9760531793"/>
    <n v="0.91"/>
    <n v="0.91"/>
    <n v="0.91"/>
    <n v="0.91"/>
    <n v="0.91"/>
    <n v="0.91"/>
    <n v="0.91"/>
    <n v="0.91"/>
    <m/>
    <m/>
    <n v="7334.7468920022948"/>
    <m/>
    <n v="56734.26720963775"/>
    <n v="0"/>
    <m/>
    <m/>
    <n v="7334.7468920022948"/>
    <s v="Updated inputs for Commercial LPS Space Heating and Industrial/Process Low Pressure"/>
    <n v="53396.957373776706"/>
    <n v="53396.957373776706"/>
    <n v="0"/>
    <m/>
    <m/>
    <n v="7334.7468920022948"/>
    <m/>
    <n v="46722.337702054618"/>
    <n v="0"/>
    <m/>
    <m/>
    <n v="7334.7468920022948"/>
    <m/>
    <n v="45387.413767710212"/>
    <n v="0"/>
    <n v="56734.26720963775"/>
    <n v="53396.957373776706"/>
    <n v="46722.337702054618"/>
    <n v="45387.413767710212"/>
    <n v="202240.9760531793"/>
    <s v="NA"/>
    <m/>
  </r>
  <r>
    <s v="NSG"/>
    <x v="3"/>
    <x v="6"/>
    <s v="Partner Trade Ally Rebate"/>
    <x v="41"/>
    <s v="HVAC Repair/Rep - No Audit"/>
    <s v="MF"/>
    <x v="3"/>
    <s v="4.4.16"/>
    <s v="each"/>
    <n v="8"/>
    <n v="8"/>
    <n v="8"/>
    <n v="8"/>
    <s v="CI-HVC-STRE-V09-230101"/>
    <m/>
    <n v="53.198900899174738"/>
    <n v="53.198900899174738"/>
    <n v="53.198900899174738"/>
    <n v="53.198900899174738"/>
    <n v="0.87"/>
    <n v="0.87"/>
    <n v="0.87"/>
    <n v="0.87"/>
    <n v="370.26435025825617"/>
    <n v="370.26435025825617"/>
    <n v="370.26435025825617"/>
    <n v="370.26435025825617"/>
    <n v="1481.0574010330247"/>
    <n v="0.87"/>
    <n v="0.87"/>
    <n v="0.87"/>
    <n v="0.87"/>
    <n v="0.87"/>
    <n v="0.87"/>
    <n v="0.87"/>
    <n v="0.87"/>
    <m/>
    <m/>
    <n v="53.198900899174738"/>
    <m/>
    <n v="370.26435025825617"/>
    <n v="0"/>
    <m/>
    <m/>
    <n v="53.198900899174738"/>
    <s v="Updated inputs for Commercial LPS Space Heating and Industrial/Process Low Pressure"/>
    <n v="370.26435025825617"/>
    <n v="370.26435025825617"/>
    <n v="0"/>
    <m/>
    <m/>
    <n v="53.198900899174738"/>
    <m/>
    <n v="370.26435025825617"/>
    <n v="0"/>
    <m/>
    <m/>
    <n v="53.198900899174738"/>
    <m/>
    <n v="370.26435025825617"/>
    <n v="0"/>
    <n v="370.26435025825617"/>
    <n v="370.26435025825617"/>
    <n v="370.26435025825617"/>
    <n v="370.26435025825617"/>
    <n v="1481.0574010330247"/>
    <s v="NA"/>
    <m/>
  </r>
  <r>
    <s v="NSG"/>
    <x v="3"/>
    <x v="6"/>
    <s v="Standard Rebate"/>
    <x v="50"/>
    <n v="0"/>
    <s v="MF/CI"/>
    <x v="3"/>
    <s v="4.2.16"/>
    <s v="HP"/>
    <n v="7.75"/>
    <n v="7.75"/>
    <n v="7.75"/>
    <n v="7.75"/>
    <s v="CI-FSE-VENT-V05-230101"/>
    <m/>
    <n v="774"/>
    <n v="774"/>
    <n v="774"/>
    <n v="774"/>
    <n v="0.87"/>
    <n v="0.87"/>
    <n v="0.87"/>
    <n v="0.87"/>
    <n v="5218.6949999999997"/>
    <n v="5218.6949999999997"/>
    <n v="5218.6949999999997"/>
    <n v="5218.6949999999997"/>
    <n v="20874.78"/>
    <n v="0.87"/>
    <n v="0.87"/>
    <n v="0.87"/>
    <n v="0.87"/>
    <n v="0.87"/>
    <n v="0.87"/>
    <n v="0.87"/>
    <n v="0.87"/>
    <m/>
    <m/>
    <n v="774"/>
    <m/>
    <n v="5218.6949999999997"/>
    <n v="0"/>
    <m/>
    <m/>
    <n v="774"/>
    <s v="n/a"/>
    <n v="5218.6949999999997"/>
    <n v="5218.6949999999997"/>
    <n v="0"/>
    <m/>
    <m/>
    <n v="774"/>
    <m/>
    <n v="5218.6949999999997"/>
    <n v="0"/>
    <m/>
    <m/>
    <n v="774"/>
    <m/>
    <n v="5218.6949999999997"/>
    <n v="0"/>
    <n v="5218.6949999999997"/>
    <n v="5218.6949999999997"/>
    <n v="5218.6949999999997"/>
    <n v="5218.6949999999997"/>
    <n v="20874.78"/>
    <s v="NA"/>
    <m/>
  </r>
  <r>
    <s v="NSG"/>
    <x v="5"/>
    <x v="7"/>
    <s v="Partner Trade Ally Rebate"/>
    <x v="50"/>
    <n v="0"/>
    <s v="MF/CI"/>
    <x v="3"/>
    <s v="4.2.16"/>
    <s v="HP"/>
    <n v="7.75"/>
    <n v="7.75"/>
    <n v="7.75"/>
    <n v="7.75"/>
    <s v="CI-FSE-VENT-V05-230101"/>
    <m/>
    <n v="774"/>
    <n v="774"/>
    <n v="774"/>
    <n v="774"/>
    <n v="0.93"/>
    <n v="0.93"/>
    <n v="0.93"/>
    <n v="0.93"/>
    <n v="5578.6050000000005"/>
    <n v="5578.6050000000005"/>
    <n v="5578.6050000000005"/>
    <n v="5578.6050000000005"/>
    <n v="22314.420000000002"/>
    <n v="0.93"/>
    <n v="0.93"/>
    <n v="0.93"/>
    <n v="0.93"/>
    <n v="0.93"/>
    <n v="0.93"/>
    <n v="0.93"/>
    <n v="0.93"/>
    <m/>
    <m/>
    <n v="774"/>
    <m/>
    <n v="5578.6050000000005"/>
    <n v="0"/>
    <m/>
    <m/>
    <n v="774"/>
    <s v="n/a"/>
    <n v="5578.6050000000005"/>
    <n v="5578.6050000000005"/>
    <n v="0"/>
    <m/>
    <m/>
    <n v="774"/>
    <m/>
    <n v="5578.6050000000005"/>
    <n v="0"/>
    <m/>
    <m/>
    <n v="774"/>
    <m/>
    <n v="5578.6050000000005"/>
    <n v="0"/>
    <n v="5578.6050000000005"/>
    <n v="5578.6050000000005"/>
    <n v="5578.6050000000005"/>
    <n v="5578.6050000000005"/>
    <n v="22314.420000000002"/>
    <s v="NA"/>
    <m/>
  </r>
  <r>
    <s v="NSG"/>
    <x v="5"/>
    <x v="8"/>
    <s v="Rebates"/>
    <x v="41"/>
    <s v="Industrial/Process Audit - 15 &lt; psig &lt; 30"/>
    <s v="CI/SMB"/>
    <x v="3"/>
    <s v="4.4.16"/>
    <s v="each"/>
    <n v="6.8"/>
    <n v="6.4"/>
    <n v="5.6"/>
    <n v="5.44"/>
    <s v="CI-HVC-STRE-V09-230101"/>
    <m/>
    <n v="758.17043213559668"/>
    <n v="758.17043213559668"/>
    <n v="758.17043213559668"/>
    <n v="758.17043213559668"/>
    <n v="0.91"/>
    <n v="0.91"/>
    <n v="0.91"/>
    <n v="0.91"/>
    <n v="4691.5586340550726"/>
    <n v="4415.5845967577152"/>
    <n v="3863.6365221630008"/>
    <n v="3753.2469072440585"/>
    <n v="16724.026660219846"/>
    <n v="0.91"/>
    <n v="0.91"/>
    <n v="0.91"/>
    <n v="0.91"/>
    <n v="0.91"/>
    <n v="0.91"/>
    <n v="0.91"/>
    <n v="0.91"/>
    <m/>
    <m/>
    <n v="758.17043213559668"/>
    <m/>
    <n v="4691.5586340550726"/>
    <n v="0"/>
    <m/>
    <m/>
    <n v="758.17043213559668"/>
    <s v="Updated inputs for Commercial LPS Space Heating and Industrial/Process Low Pressure"/>
    <n v="4415.5845967577152"/>
    <n v="4415.5845967577152"/>
    <n v="0"/>
    <m/>
    <m/>
    <n v="758.17043213559668"/>
    <m/>
    <n v="3863.6365221630008"/>
    <n v="0"/>
    <m/>
    <m/>
    <n v="758.17043213559668"/>
    <m/>
    <n v="3753.2469072440585"/>
    <n v="0"/>
    <n v="4691.5586340550726"/>
    <n v="4415.5845967577152"/>
    <n v="3863.6365221630008"/>
    <n v="3753.2469072440585"/>
    <n v="16724.026660219846"/>
    <s v="NA"/>
    <m/>
  </r>
  <r>
    <s v="NSG"/>
    <x v="5"/>
    <x v="8"/>
    <s v="Rebates"/>
    <x v="50"/>
    <n v="0"/>
    <s v="MF/CI"/>
    <x v="3"/>
    <s v="4.2.16"/>
    <s v="HP"/>
    <n v="6.5874999999999995"/>
    <n v="6.2"/>
    <n v="5.4249999999999998"/>
    <n v="5.2700000000000005"/>
    <s v="CI-FSE-VENT-V05-230101"/>
    <m/>
    <n v="774"/>
    <n v="774"/>
    <n v="774"/>
    <n v="774"/>
    <n v="0.91"/>
    <n v="0.91"/>
    <n v="0.91"/>
    <n v="0.91"/>
    <n v="4639.8397500000001"/>
    <n v="4366.9080000000004"/>
    <n v="3821.0445"/>
    <n v="3711.8718000000003"/>
    <n v="16539.664049999999"/>
    <n v="0.91"/>
    <n v="0.91"/>
    <n v="0.91"/>
    <n v="0.91"/>
    <n v="0.91"/>
    <n v="0.91"/>
    <n v="0.91"/>
    <n v="0.91"/>
    <m/>
    <m/>
    <n v="774"/>
    <m/>
    <n v="4639.8397500000001"/>
    <n v="0"/>
    <m/>
    <m/>
    <n v="774"/>
    <s v="n/a"/>
    <n v="4366.9080000000004"/>
    <n v="4366.9080000000004"/>
    <n v="0"/>
    <m/>
    <m/>
    <n v="774"/>
    <m/>
    <n v="3821.0445"/>
    <n v="0"/>
    <m/>
    <m/>
    <n v="774"/>
    <m/>
    <n v="3711.8718000000003"/>
    <n v="0"/>
    <n v="4639.8397500000001"/>
    <n v="4366.9080000000004"/>
    <n v="3821.0445"/>
    <n v="3711.8718000000003"/>
    <n v="16539.664049999999"/>
    <s v="NA"/>
    <m/>
  </r>
  <r>
    <s v="NSG"/>
    <x v="3"/>
    <x v="3"/>
    <s v="Standard Rebate"/>
    <x v="6"/>
    <s v="Furnace (P)"/>
    <s v="SF"/>
    <x v="3"/>
    <s v="5.3.11"/>
    <s v="each"/>
    <n v="6"/>
    <n v="6"/>
    <n v="6"/>
    <n v="6"/>
    <s v="RS-HVC-ADTH-V08-230101"/>
    <m/>
    <n v="34.893600000000006"/>
    <n v="34.893600000000006"/>
    <n v="34.893600000000006"/>
    <n v="34.893600000000006"/>
    <n v="0.74"/>
    <n v="0.74"/>
    <n v="0.74"/>
    <n v="0.74"/>
    <n v="154.92758400000002"/>
    <n v="154.92758400000002"/>
    <n v="154.92758400000002"/>
    <n v="154.92758400000002"/>
    <n v="619.7103360000001"/>
    <n v="0.74"/>
    <n v="0.74"/>
    <n v="0.74"/>
    <n v="0.74"/>
    <n v="0.74"/>
    <n v="0.74"/>
    <n v="0.74"/>
    <n v="0.74"/>
    <m/>
    <m/>
    <n v="34.893600000000006"/>
    <m/>
    <n v="154.92758400000002"/>
    <n v="0"/>
    <m/>
    <m/>
    <n v="34.893600000000006"/>
    <s v="n/a"/>
    <n v="154.92758400000002"/>
    <n v="154.92758400000002"/>
    <n v="0"/>
    <m/>
    <m/>
    <n v="34.893600000000006"/>
    <m/>
    <n v="154.92758400000002"/>
    <n v="0"/>
    <m/>
    <m/>
    <n v="34.893600000000006"/>
    <m/>
    <n v="154.92758400000002"/>
    <n v="0"/>
    <n v="154.92758400000002"/>
    <n v="154.92758400000002"/>
    <n v="154.92758400000002"/>
    <n v="154.92758400000002"/>
    <n v="619.7103360000001"/>
    <s v="NA"/>
    <m/>
  </r>
  <r>
    <s v="NSG"/>
    <x v="4"/>
    <x v="6"/>
    <s v="Whole Building - Prescriptive"/>
    <x v="18"/>
    <n v="0"/>
    <s v="IE MF"/>
    <x v="3"/>
    <s v="5.6.1"/>
    <s v="project"/>
    <n v="6"/>
    <n v="6"/>
    <n v="6"/>
    <n v="6"/>
    <s v="RS-SHL-AIRS-V12-230101"/>
    <m/>
    <n v="34.545463507109005"/>
    <n v="34.545463507109005"/>
    <n v="34.545463507109005"/>
    <n v="34.545463507109005"/>
    <n v="1"/>
    <n v="1"/>
    <n v="1"/>
    <n v="1"/>
    <n v="207.27278104265403"/>
    <n v="207.27278104265403"/>
    <n v="207.27278104265403"/>
    <n v="207.27278104265403"/>
    <n v="829.09112417061613"/>
    <n v="1"/>
    <n v="1"/>
    <n v="1"/>
    <n v="1"/>
    <n v="1"/>
    <n v="1"/>
    <n v="1"/>
    <n v="1"/>
    <m/>
    <m/>
    <n v="34.545463507109005"/>
    <m/>
    <n v="207.27278104265403"/>
    <n v="0"/>
    <m/>
    <m/>
    <n v="34.545463507109005"/>
    <s v="Updated ISR"/>
    <n v="207.27278104265403"/>
    <n v="207.27278104265403"/>
    <n v="0"/>
    <m/>
    <m/>
    <n v="34.545463507109005"/>
    <m/>
    <n v="207.27278104265403"/>
    <n v="0"/>
    <m/>
    <m/>
    <n v="34.545463507109005"/>
    <m/>
    <n v="207.27278104265403"/>
    <n v="0"/>
    <n v="207.27278104265403"/>
    <n v="207.27278104265403"/>
    <n v="207.27278104265403"/>
    <n v="207.27278104265403"/>
    <n v="829.09112417061613"/>
    <s v="NA"/>
    <m/>
  </r>
  <r>
    <s v="NSG"/>
    <x v="4"/>
    <x v="6"/>
    <s v="MF IHWAP"/>
    <x v="37"/>
    <s v="&gt;95% AFUE"/>
    <s v="MF"/>
    <x v="3"/>
    <s v="4.4.11"/>
    <s v="each"/>
    <n v="6"/>
    <n v="8"/>
    <n v="14"/>
    <n v="15"/>
    <s v="CI-HVC-FRNC-V12-230101"/>
    <m/>
    <n v="236.69249999999985"/>
    <n v="236.69249999999985"/>
    <n v="236.69249999999985"/>
    <n v="236.69249999999985"/>
    <n v="1"/>
    <n v="1"/>
    <n v="1"/>
    <n v="1"/>
    <n v="1420.1549999999991"/>
    <n v="1893.5399999999988"/>
    <n v="3313.6949999999979"/>
    <n v="3550.387499999998"/>
    <n v="10177.777499999993"/>
    <n v="1"/>
    <n v="1"/>
    <n v="1"/>
    <n v="1"/>
    <n v="1"/>
    <n v="1"/>
    <n v="1"/>
    <n v="1"/>
    <m/>
    <m/>
    <n v="236.69249999999985"/>
    <m/>
    <n v="1420.1549999999991"/>
    <n v="0"/>
    <m/>
    <m/>
    <n v="236.69249999999985"/>
    <s v="n/a"/>
    <n v="1893.5399999999988"/>
    <n v="1893.5399999999988"/>
    <n v="0"/>
    <m/>
    <m/>
    <n v="236.69249999999985"/>
    <m/>
    <n v="3313.6949999999979"/>
    <n v="0"/>
    <m/>
    <m/>
    <n v="236.69249999999985"/>
    <m/>
    <n v="3550.387499999998"/>
    <n v="0"/>
    <n v="1420.1549999999991"/>
    <n v="1893.5399999999988"/>
    <n v="3313.6949999999979"/>
    <n v="3550.387499999998"/>
    <n v="10177.777499999993"/>
    <s v="NA"/>
    <m/>
  </r>
  <r>
    <s v="NSG"/>
    <x v="3"/>
    <x v="6"/>
    <s v="Partner Trade Ally Rebate"/>
    <x v="6"/>
    <s v="Boiler (P)"/>
    <s v="MF"/>
    <x v="3"/>
    <s v="5.3.11"/>
    <s v="each"/>
    <n v="5"/>
    <n v="5"/>
    <n v="5"/>
    <n v="5"/>
    <s v="RS-HVC-ADTH-V08-230101"/>
    <m/>
    <n v="33.513480000000001"/>
    <n v="33.513480000000001"/>
    <n v="33.513480000000001"/>
    <n v="33.513480000000001"/>
    <n v="0.87"/>
    <n v="0.87"/>
    <n v="0.87"/>
    <n v="0.87"/>
    <n v="145.78363800000002"/>
    <n v="145.78363800000002"/>
    <n v="145.78363800000002"/>
    <n v="145.78363800000002"/>
    <n v="583.1345520000001"/>
    <n v="0.87"/>
    <n v="0.87"/>
    <n v="0.87"/>
    <n v="0.87"/>
    <n v="0.87"/>
    <n v="0.87"/>
    <n v="0.87"/>
    <n v="0.87"/>
    <m/>
    <m/>
    <n v="33.513480000000001"/>
    <m/>
    <n v="145.78363800000002"/>
    <n v="0"/>
    <m/>
    <m/>
    <n v="33.513480000000001"/>
    <s v="n/a"/>
    <n v="145.78363800000002"/>
    <n v="145.78363800000002"/>
    <n v="0"/>
    <m/>
    <m/>
    <n v="33.513480000000001"/>
    <m/>
    <n v="145.78363800000002"/>
    <n v="0"/>
    <m/>
    <m/>
    <n v="33.513480000000001"/>
    <m/>
    <n v="145.78363800000002"/>
    <n v="0"/>
    <n v="145.78363800000002"/>
    <n v="145.78363800000002"/>
    <n v="145.78363800000002"/>
    <n v="145.78363800000002"/>
    <n v="583.1345520000001"/>
    <s v="NA"/>
    <m/>
  </r>
  <r>
    <s v="NSG"/>
    <x v="4"/>
    <x v="6"/>
    <s v="Whole Building - Prescriptive"/>
    <x v="41"/>
    <s v="HVAC Repair/Rep - No Audit"/>
    <s v="MF"/>
    <x v="3"/>
    <s v="4.4.16"/>
    <s v="each"/>
    <n v="5"/>
    <n v="5"/>
    <n v="5"/>
    <n v="5"/>
    <s v="CI-HVC-STRE-V09-230101"/>
    <m/>
    <n v="53.198900899174738"/>
    <n v="53.198900899174738"/>
    <n v="53.198900899174738"/>
    <n v="53.198900899174738"/>
    <n v="1"/>
    <n v="1"/>
    <n v="1"/>
    <n v="1"/>
    <n v="265.99450449587368"/>
    <n v="265.99450449587368"/>
    <n v="265.99450449587368"/>
    <n v="265.99450449587368"/>
    <n v="1063.9780179834947"/>
    <n v="1"/>
    <n v="1"/>
    <n v="1"/>
    <n v="1"/>
    <n v="1"/>
    <n v="1"/>
    <n v="1"/>
    <n v="1"/>
    <m/>
    <m/>
    <n v="53.198900899174738"/>
    <m/>
    <n v="265.99450449587368"/>
    <n v="0"/>
    <m/>
    <m/>
    <n v="53.198900899174738"/>
    <s v="Updated inputs for Commercial LPS Space Heating and Industrial/Process Low Pressure"/>
    <n v="265.99450449587368"/>
    <n v="265.99450449587368"/>
    <n v="0"/>
    <m/>
    <m/>
    <n v="53.198900899174738"/>
    <m/>
    <n v="265.99450449587368"/>
    <n v="0"/>
    <m/>
    <m/>
    <n v="53.198900899174738"/>
    <m/>
    <n v="265.99450449587368"/>
    <n v="0"/>
    <n v="265.99450449587368"/>
    <n v="265.99450449587368"/>
    <n v="265.99450449587368"/>
    <n v="265.99450449587368"/>
    <n v="1063.9780179834947"/>
    <s v="NA"/>
    <m/>
  </r>
  <r>
    <s v="NSG"/>
    <x v="5"/>
    <x v="9"/>
    <s v="Rebates"/>
    <x v="41"/>
    <s v="HVAC Repair/Rep - Audit"/>
    <s v="CI"/>
    <x v="3"/>
    <s v="4.4.16"/>
    <s v="each"/>
    <n v="5"/>
    <n v="5"/>
    <n v="5"/>
    <n v="5"/>
    <s v="CI-HVC-STRE-V09-230101"/>
    <m/>
    <n v="383.76733095846322"/>
    <n v="383.76733095846322"/>
    <n v="383.76733095846322"/>
    <n v="383.76733095846322"/>
    <n v="0.92"/>
    <n v="0.92"/>
    <n v="0.92"/>
    <n v="0.92"/>
    <n v="1765.3297224089308"/>
    <n v="1765.3297224089308"/>
    <n v="1765.3297224089308"/>
    <n v="1765.3297224089308"/>
    <n v="7061.3188896357233"/>
    <n v="0.92"/>
    <n v="0.92"/>
    <n v="0.92"/>
    <n v="0.92"/>
    <n v="0.92"/>
    <n v="0.92"/>
    <n v="0.92"/>
    <n v="0.92"/>
    <m/>
    <m/>
    <n v="383.76733095846322"/>
    <m/>
    <n v="1765.3297224089308"/>
    <n v="0"/>
    <m/>
    <m/>
    <n v="779.98158821323193"/>
    <s v="Updated inputs for Commercial LPS Space Heating and Industrial/Process Low Pressure"/>
    <n v="1765.3297224089308"/>
    <n v="3587.9153057808671"/>
    <n v="1822.5855833719363"/>
    <m/>
    <m/>
    <n v="779.98158821323193"/>
    <m/>
    <n v="3587.9153057808671"/>
    <n v="1822.5855833719363"/>
    <m/>
    <m/>
    <n v="779.98158821323193"/>
    <m/>
    <n v="3587.9153057808671"/>
    <n v="1822.5855833719363"/>
    <n v="1765.3297224089308"/>
    <n v="3587.9153057808671"/>
    <n v="3587.9153057808671"/>
    <n v="3587.9153057808671"/>
    <n v="12529.075639751532"/>
    <s v="NA"/>
    <m/>
  </r>
  <r>
    <s v="NSG"/>
    <x v="5"/>
    <x v="7"/>
    <s v="Partner Trade Ally Rebate"/>
    <x v="41"/>
    <s v="Dry Cleaner/Industrial - No Audit"/>
    <s v="MF/CI/SMB"/>
    <x v="3"/>
    <s v="4.4.16"/>
    <s v="each"/>
    <n v="5"/>
    <n v="4"/>
    <n v="4"/>
    <n v="4"/>
    <s v="CI-HVC-STRE-V09-230101"/>
    <m/>
    <n v="174.96360308617389"/>
    <n v="174.96360308617389"/>
    <n v="174.96360308617389"/>
    <n v="174.96360308617389"/>
    <n v="0.93"/>
    <n v="0.93"/>
    <n v="0.93"/>
    <n v="0.93"/>
    <n v="813.58075435070862"/>
    <n v="650.86460348056687"/>
    <n v="650.86460348056687"/>
    <n v="650.86460348056687"/>
    <n v="2766.1745647924095"/>
    <n v="0.93"/>
    <n v="0.93"/>
    <n v="0.93"/>
    <n v="0.93"/>
    <n v="0.93"/>
    <n v="0.93"/>
    <n v="0.93"/>
    <n v="0.93"/>
    <m/>
    <m/>
    <n v="174.96360308617389"/>
    <m/>
    <n v="813.58075435070862"/>
    <n v="0"/>
    <m/>
    <m/>
    <n v="174.96360308617389"/>
    <s v="Updated inputs for Commercial LPS Space Heating and Industrial/Process Low Pressure"/>
    <n v="650.86460348056687"/>
    <n v="650.86460348056687"/>
    <n v="0"/>
    <m/>
    <m/>
    <n v="174.96360308617389"/>
    <m/>
    <n v="650.86460348056687"/>
    <n v="0"/>
    <m/>
    <m/>
    <n v="174.96360308617389"/>
    <m/>
    <n v="650.86460348056687"/>
    <n v="0"/>
    <n v="813.58075435070862"/>
    <n v="650.86460348056687"/>
    <n v="650.86460348056687"/>
    <n v="650.86460348056687"/>
    <n v="2766.1745647924095"/>
    <s v="NA"/>
    <m/>
  </r>
  <r>
    <s v="NSG"/>
    <x v="4"/>
    <x v="4"/>
    <s v="Core"/>
    <x v="44"/>
    <s v="Furnace (DI)"/>
    <s v="SF"/>
    <x v="3"/>
    <s v="5.3.11"/>
    <s v="each"/>
    <n v="4"/>
    <n v="11"/>
    <n v="22"/>
    <n v="27"/>
    <s v="RS-HVC-ADTH-V08-230101"/>
    <m/>
    <n v="62.31"/>
    <n v="62.31"/>
    <n v="62.31"/>
    <n v="62.31"/>
    <n v="1"/>
    <n v="1"/>
    <n v="1"/>
    <n v="1"/>
    <n v="249.24"/>
    <n v="685.41000000000008"/>
    <n v="1370.8200000000002"/>
    <n v="1682.3700000000001"/>
    <n v="3987.84"/>
    <n v="1"/>
    <n v="1"/>
    <n v="1"/>
    <n v="1"/>
    <n v="1"/>
    <n v="1"/>
    <n v="1"/>
    <n v="1"/>
    <m/>
    <m/>
    <n v="62.31"/>
    <m/>
    <n v="249.24"/>
    <n v="0"/>
    <m/>
    <m/>
    <n v="62.31"/>
    <s v="n/a"/>
    <n v="685.41000000000008"/>
    <n v="685.41000000000008"/>
    <n v="0"/>
    <m/>
    <m/>
    <n v="62.31"/>
    <m/>
    <n v="1370.8200000000002"/>
    <n v="0"/>
    <m/>
    <m/>
    <n v="62.31"/>
    <m/>
    <n v="1682.3700000000001"/>
    <n v="0"/>
    <n v="249.24"/>
    <n v="685.41000000000008"/>
    <n v="1370.8200000000002"/>
    <n v="1682.3700000000001"/>
    <n v="3987.84"/>
    <s v="NA"/>
    <m/>
  </r>
  <r>
    <s v="NSG"/>
    <x v="3"/>
    <x v="3"/>
    <s v="Standard Rebate"/>
    <x v="35"/>
    <s v="≥82% AFUE, &lt;300MBh"/>
    <s v="SF"/>
    <x v="3"/>
    <s v="5.3.6"/>
    <s v="each"/>
    <n v="4"/>
    <n v="4"/>
    <n v="4"/>
    <n v="4"/>
    <s v="RS-HVC-GHEB-V10-230101"/>
    <m/>
    <n v="7.1216260162601692"/>
    <n v="7.1216260162601692"/>
    <n v="7.1216260162601692"/>
    <n v="7.1216260162601692"/>
    <n v="0.74"/>
    <n v="0.74"/>
    <n v="0.74"/>
    <n v="0.74"/>
    <n v="21.080013008130102"/>
    <n v="21.080013008130102"/>
    <n v="21.080013008130102"/>
    <n v="21.080013008130102"/>
    <n v="84.320052032520408"/>
    <n v="0.74"/>
    <n v="0.74"/>
    <n v="0.74"/>
    <n v="0.74"/>
    <n v="0.74"/>
    <n v="0.74"/>
    <n v="0.74"/>
    <n v="0.74"/>
    <m/>
    <m/>
    <n v="7.1216260162601692"/>
    <m/>
    <n v="21.080013008130102"/>
    <n v="0"/>
    <m/>
    <m/>
    <n v="7.1216260162601692"/>
    <s v="n/a"/>
    <n v="21.080013008130102"/>
    <n v="21.080013008130102"/>
    <n v="0"/>
    <m/>
    <m/>
    <n v="7.1216260162601692"/>
    <m/>
    <n v="21.080013008130102"/>
    <n v="0"/>
    <m/>
    <m/>
    <n v="7.1216260162601692"/>
    <m/>
    <n v="21.080013008130102"/>
    <n v="0"/>
    <n v="21.080013008130102"/>
    <n v="21.080013008130102"/>
    <n v="21.080013008130102"/>
    <n v="21.080013008130102"/>
    <n v="84.320052032520408"/>
    <s v="NA"/>
    <m/>
  </r>
  <r>
    <s v="NSG"/>
    <x v="3"/>
    <x v="3"/>
    <s v="Standard Rebate"/>
    <x v="6"/>
    <s v="Boiler (P)"/>
    <s v="SF"/>
    <x v="3"/>
    <s v="5.3.11"/>
    <s v="each"/>
    <n v="4"/>
    <n v="4"/>
    <n v="4"/>
    <n v="4"/>
    <s v="RS-HVC-ADTH-V08-230101"/>
    <m/>
    <n v="51.628640000000004"/>
    <n v="51.628640000000004"/>
    <n v="51.628640000000004"/>
    <n v="51.628640000000004"/>
    <n v="0.74"/>
    <n v="0.74"/>
    <n v="0.74"/>
    <n v="0.74"/>
    <n v="152.8207744"/>
    <n v="152.8207744"/>
    <n v="152.8207744"/>
    <n v="152.8207744"/>
    <n v="611.28309760000002"/>
    <n v="0.74"/>
    <n v="0.74"/>
    <n v="0.74"/>
    <n v="0.74"/>
    <n v="0.74"/>
    <n v="0.74"/>
    <n v="0.74"/>
    <n v="0.74"/>
    <m/>
    <m/>
    <n v="51.628640000000004"/>
    <m/>
    <n v="152.8207744"/>
    <n v="0"/>
    <m/>
    <m/>
    <n v="51.628640000000004"/>
    <s v="n/a"/>
    <n v="152.8207744"/>
    <n v="152.8207744"/>
    <n v="0"/>
    <m/>
    <m/>
    <n v="51.628640000000004"/>
    <m/>
    <n v="152.8207744"/>
    <n v="0"/>
    <m/>
    <m/>
    <n v="51.628640000000004"/>
    <m/>
    <n v="152.8207744"/>
    <n v="0"/>
    <n v="152.8207744"/>
    <n v="152.8207744"/>
    <n v="152.8207744"/>
    <n v="152.8207744"/>
    <n v="611.28309760000002"/>
    <s v="NA"/>
    <m/>
  </r>
  <r>
    <s v="NSG"/>
    <x v="5"/>
    <x v="7"/>
    <s v="Partner Trade Ally Rebate"/>
    <x v="37"/>
    <s v="&gt;95% AFUE"/>
    <s v="CI"/>
    <x v="3"/>
    <s v="4.4.11"/>
    <s v="each"/>
    <n v="4"/>
    <n v="3"/>
    <n v="3"/>
    <n v="3"/>
    <s v="CI-HVC-FRNC-V12-230101"/>
    <m/>
    <n v="247.08549999999985"/>
    <n v="247.08549999999985"/>
    <n v="247.08549999999985"/>
    <n v="247.08549999999985"/>
    <n v="0.93"/>
    <n v="0.93"/>
    <n v="0.93"/>
    <n v="0.93"/>
    <n v="919.15805999999952"/>
    <n v="689.36854499999959"/>
    <n v="689.36854499999959"/>
    <n v="689.36854499999959"/>
    <n v="2987.2636949999978"/>
    <n v="0.93"/>
    <n v="0.93"/>
    <n v="0.93"/>
    <n v="0.93"/>
    <n v="0.93"/>
    <n v="0.93"/>
    <n v="0.93"/>
    <n v="0.93"/>
    <m/>
    <m/>
    <n v="247.08549999999985"/>
    <m/>
    <n v="919.15805999999952"/>
    <n v="0"/>
    <m/>
    <m/>
    <n v="247.08549999999985"/>
    <s v="n/a"/>
    <n v="689.36854499999959"/>
    <n v="689.36854499999959"/>
    <n v="0"/>
    <m/>
    <m/>
    <n v="247.08549999999985"/>
    <m/>
    <n v="689.36854499999959"/>
    <n v="0"/>
    <m/>
    <m/>
    <n v="247.08549999999985"/>
    <m/>
    <n v="689.36854499999959"/>
    <n v="0"/>
    <n v="919.15805999999952"/>
    <n v="689.36854499999959"/>
    <n v="689.36854499999959"/>
    <n v="689.36854499999959"/>
    <n v="2987.2636949999978"/>
    <s v="NA"/>
    <m/>
  </r>
  <r>
    <s v="NSG"/>
    <x v="5"/>
    <x v="10"/>
    <s v="Upstream Rebate"/>
    <x v="53"/>
    <n v="0"/>
    <s v="CI"/>
    <x v="3"/>
    <s v="4.2.18"/>
    <s v="each"/>
    <n v="3"/>
    <n v="4"/>
    <n v="5"/>
    <n v="7"/>
    <s v="CI-FSE-RKOV-VO2-180101"/>
    <m/>
    <n v="1930.5000000000007"/>
    <n v="1930.5000000000007"/>
    <n v="1930.5000000000007"/>
    <n v="1930.5000000000007"/>
    <n v="0.8"/>
    <n v="0.8"/>
    <n v="0.8"/>
    <n v="0.8"/>
    <n v="4633.2000000000016"/>
    <n v="6177.6000000000022"/>
    <n v="7722.0000000000036"/>
    <n v="10810.800000000005"/>
    <n v="29343.600000000013"/>
    <n v="0.8"/>
    <n v="0.8"/>
    <n v="0.8"/>
    <n v="0.8"/>
    <n v="0.8"/>
    <n v="0.8"/>
    <n v="0.8"/>
    <n v="0.8"/>
    <m/>
    <m/>
    <n v="1930.5000000000007"/>
    <m/>
    <n v="4633.2000000000016"/>
    <n v="0"/>
    <m/>
    <m/>
    <n v="1930.5000000000007"/>
    <s v="n/a"/>
    <n v="6177.6000000000022"/>
    <n v="6177.6000000000022"/>
    <n v="0"/>
    <m/>
    <m/>
    <n v="1930.5000000000007"/>
    <m/>
    <n v="7722.0000000000036"/>
    <n v="0"/>
    <m/>
    <m/>
    <n v="1930.5000000000007"/>
    <m/>
    <n v="10810.800000000005"/>
    <n v="0"/>
    <n v="4633.2000000000016"/>
    <n v="6177.6000000000022"/>
    <n v="7722.0000000000036"/>
    <n v="10810.800000000005"/>
    <n v="29343.600000000013"/>
    <s v="NA"/>
    <m/>
  </r>
  <r>
    <s v="NSG"/>
    <x v="5"/>
    <x v="10"/>
    <s v="Upstream Rebate"/>
    <x v="54"/>
    <n v="0"/>
    <s v="MF/CI/SMB"/>
    <x v="3"/>
    <s v="4.2.5"/>
    <s v="each"/>
    <n v="3"/>
    <n v="4"/>
    <n v="5"/>
    <n v="7"/>
    <s v="CI-FSE-ESCV-V03-230101"/>
    <m/>
    <n v="352.04806521739141"/>
    <n v="352.04806521739141"/>
    <n v="352.04806521739141"/>
    <n v="352.04806521739141"/>
    <n v="0.8"/>
    <n v="0.8"/>
    <n v="0.8"/>
    <n v="0.8"/>
    <n v="844.91535652173934"/>
    <n v="1126.5538086956526"/>
    <n v="1408.1922608695659"/>
    <n v="1971.4691652173919"/>
    <n v="5351.1305913043498"/>
    <n v="0.8"/>
    <n v="0.8"/>
    <n v="0.8"/>
    <n v="0.8"/>
    <n v="0.8"/>
    <n v="0.8"/>
    <n v="0.8"/>
    <n v="0.8"/>
    <m/>
    <m/>
    <n v="352.04806521739141"/>
    <m/>
    <n v="844.91535652173934"/>
    <n v="0"/>
    <m/>
    <m/>
    <n v="183.29328435515546"/>
    <s v="Updated inputs and preheat assumptions."/>
    <n v="1126.5538086956526"/>
    <n v="586.53850993649746"/>
    <n v="-540.01529875915514"/>
    <m/>
    <m/>
    <n v="183.29328435515546"/>
    <m/>
    <n v="733.17313742062197"/>
    <n v="-675.0191234489439"/>
    <m/>
    <m/>
    <n v="183.29328435515546"/>
    <m/>
    <n v="1026.4423923888705"/>
    <n v="-945.02677282852142"/>
    <n v="844.91535652173934"/>
    <n v="586.53850993649746"/>
    <n v="733.17313742062197"/>
    <n v="1026.4423923888705"/>
    <n v="3191.0693962677296"/>
    <s v="NA"/>
    <m/>
  </r>
  <r>
    <s v="NSG"/>
    <x v="4"/>
    <x v="4"/>
    <s v="Core"/>
    <x v="44"/>
    <s v="Boiler (DI)"/>
    <s v="SF"/>
    <x v="3"/>
    <s v="5.3.11"/>
    <s v="each"/>
    <n v="3"/>
    <n v="7"/>
    <n v="15"/>
    <n v="18"/>
    <s v="RS-HVC-ADTH-V08-230101"/>
    <m/>
    <n v="92.194000000000003"/>
    <n v="92.194000000000003"/>
    <n v="92.194000000000003"/>
    <n v="92.194000000000003"/>
    <n v="1"/>
    <n v="1"/>
    <n v="1"/>
    <n v="1"/>
    <n v="276.58199999999999"/>
    <n v="645.35800000000006"/>
    <n v="1382.91"/>
    <n v="1659.492"/>
    <n v="3964.3420000000006"/>
    <n v="1"/>
    <n v="1"/>
    <n v="1"/>
    <n v="1"/>
    <n v="1"/>
    <n v="1"/>
    <n v="1"/>
    <n v="1"/>
    <m/>
    <m/>
    <n v="92.194000000000003"/>
    <m/>
    <n v="276.58199999999999"/>
    <n v="0"/>
    <m/>
    <m/>
    <n v="92.194000000000003"/>
    <s v="n/a"/>
    <n v="645.35800000000006"/>
    <n v="645.35800000000006"/>
    <n v="0"/>
    <m/>
    <m/>
    <n v="92.194000000000003"/>
    <m/>
    <n v="1382.91"/>
    <n v="0"/>
    <m/>
    <m/>
    <n v="92.194000000000003"/>
    <m/>
    <n v="1659.492"/>
    <n v="0"/>
    <n v="276.58199999999999"/>
    <n v="645.35800000000006"/>
    <n v="1382.91"/>
    <n v="1659.492"/>
    <n v="3964.3420000000006"/>
    <s v="NA"/>
    <m/>
  </r>
  <r>
    <s v="NSG"/>
    <x v="3"/>
    <x v="6"/>
    <s v="Standard Rebate"/>
    <x v="41"/>
    <s v="HVAC Repair/Rep - Audit"/>
    <s v="MF"/>
    <x v="3"/>
    <s v="4.4.16"/>
    <s v="each"/>
    <n v="3"/>
    <n v="3"/>
    <n v="3"/>
    <n v="3"/>
    <s v="CI-HVC-STRE-V09-230101"/>
    <m/>
    <n v="197.03296629323975"/>
    <n v="197.03296629323975"/>
    <n v="197.03296629323975"/>
    <n v="197.03296629323975"/>
    <n v="0.87"/>
    <n v="0.87"/>
    <n v="0.87"/>
    <n v="0.87"/>
    <n v="514.25604202535578"/>
    <n v="514.25604202535578"/>
    <n v="514.25604202535578"/>
    <n v="514.25604202535578"/>
    <n v="2057.0241681014231"/>
    <n v="0.87"/>
    <n v="0.87"/>
    <n v="0.87"/>
    <n v="0.87"/>
    <n v="0.87"/>
    <n v="0.87"/>
    <n v="0.87"/>
    <n v="0.87"/>
    <m/>
    <m/>
    <n v="197.03296629323975"/>
    <m/>
    <n v="514.25604202535578"/>
    <n v="0"/>
    <m/>
    <m/>
    <n v="197.03296629323975"/>
    <s v="Updated inputs for Commercial LPS Space Heating and Industrial/Process Low Pressure"/>
    <n v="514.25604202535578"/>
    <n v="514.25604202535578"/>
    <n v="0"/>
    <m/>
    <m/>
    <n v="197.03296629323975"/>
    <m/>
    <n v="514.25604202535578"/>
    <n v="0"/>
    <m/>
    <m/>
    <n v="197.03296629323975"/>
    <m/>
    <n v="514.25604202535578"/>
    <n v="0"/>
    <n v="514.25604202535578"/>
    <n v="514.25604202535578"/>
    <n v="514.25604202535578"/>
    <n v="514.25604202535578"/>
    <n v="2057.0241681014231"/>
    <s v="NA"/>
    <m/>
  </r>
  <r>
    <s v="NSG"/>
    <x v="3"/>
    <x v="6"/>
    <s v="Partner Trade Ally Rebate"/>
    <x v="6"/>
    <s v="Furnace (P)"/>
    <s v="MF"/>
    <x v="3"/>
    <s v="5.3.11"/>
    <s v="each"/>
    <n v="3"/>
    <n v="3"/>
    <n v="3"/>
    <n v="3"/>
    <s v="RS-HVC-ADTH-V08-230101"/>
    <m/>
    <n v="22.680840000000003"/>
    <n v="22.680840000000003"/>
    <n v="22.680840000000003"/>
    <n v="22.680840000000003"/>
    <n v="0.87"/>
    <n v="0.87"/>
    <n v="0.87"/>
    <n v="0.87"/>
    <n v="59.196992400000006"/>
    <n v="59.196992400000006"/>
    <n v="59.196992400000006"/>
    <n v="59.196992400000006"/>
    <n v="236.78796960000003"/>
    <n v="0.87"/>
    <n v="0.87"/>
    <n v="0.87"/>
    <n v="0.87"/>
    <n v="0.87"/>
    <n v="0.87"/>
    <n v="0.87"/>
    <n v="0.87"/>
    <m/>
    <m/>
    <n v="22.680840000000003"/>
    <m/>
    <n v="59.196992400000006"/>
    <n v="0"/>
    <m/>
    <m/>
    <n v="22.680840000000003"/>
    <s v="n/a"/>
    <n v="59.196992400000006"/>
    <n v="59.196992400000006"/>
    <n v="0"/>
    <m/>
    <m/>
    <n v="22.680840000000003"/>
    <m/>
    <n v="59.196992400000006"/>
    <n v="0"/>
    <m/>
    <m/>
    <n v="22.680840000000003"/>
    <m/>
    <n v="59.196992400000006"/>
    <n v="0"/>
    <n v="59.196992400000006"/>
    <n v="59.196992400000006"/>
    <n v="59.196992400000006"/>
    <n v="59.196992400000006"/>
    <n v="236.78796960000003"/>
    <s v="NA"/>
    <m/>
  </r>
  <r>
    <s v="NSG"/>
    <x v="3"/>
    <x v="6"/>
    <s v="Partner Trade Ally Rebate"/>
    <x v="41"/>
    <s v="HVAC Repair/Rep - Audit"/>
    <s v="MF"/>
    <x v="3"/>
    <s v="4.4.16"/>
    <s v="each"/>
    <n v="3"/>
    <n v="3"/>
    <n v="3"/>
    <n v="3"/>
    <s v="CI-HVC-STRE-V09-230101"/>
    <m/>
    <n v="197.03296629323975"/>
    <n v="197.03296629323975"/>
    <n v="197.03296629323975"/>
    <n v="197.03296629323975"/>
    <n v="0.87"/>
    <n v="0.87"/>
    <n v="0.87"/>
    <n v="0.87"/>
    <n v="514.25604202535578"/>
    <n v="514.25604202535578"/>
    <n v="514.25604202535578"/>
    <n v="514.25604202535578"/>
    <n v="2057.0241681014231"/>
    <n v="0.87"/>
    <n v="0.87"/>
    <n v="0.87"/>
    <n v="0.87"/>
    <n v="0.87"/>
    <n v="0.87"/>
    <n v="0.87"/>
    <n v="0.87"/>
    <m/>
    <m/>
    <n v="197.03296629323975"/>
    <m/>
    <n v="514.25604202535578"/>
    <n v="0"/>
    <m/>
    <m/>
    <n v="197.03296629323975"/>
    <s v="Updated inputs for Commercial LPS Space Heating and Industrial/Process Low Pressure"/>
    <n v="514.25604202535578"/>
    <n v="514.25604202535578"/>
    <n v="0"/>
    <m/>
    <m/>
    <n v="197.03296629323975"/>
    <m/>
    <n v="514.25604202535578"/>
    <n v="0"/>
    <m/>
    <m/>
    <n v="197.03296629323975"/>
    <m/>
    <n v="514.25604202535578"/>
    <n v="0"/>
    <n v="514.25604202535578"/>
    <n v="514.25604202535578"/>
    <n v="514.25604202535578"/>
    <n v="514.25604202535578"/>
    <n v="2057.0241681014231"/>
    <s v="NA"/>
    <m/>
  </r>
  <r>
    <s v="NSG"/>
    <x v="4"/>
    <x v="6"/>
    <s v="Whole Building - Prescriptive"/>
    <x v="19"/>
    <n v="0"/>
    <s v="MF"/>
    <x v="3"/>
    <s v="5.6.1"/>
    <s v="project"/>
    <n v="3"/>
    <n v="3"/>
    <n v="3"/>
    <n v="3"/>
    <s v="RS-SHL-AIRS-V12-230101"/>
    <m/>
    <n v="43.618009478672981"/>
    <n v="43.618009478672981"/>
    <n v="43.618009478672981"/>
    <n v="43.618009478672981"/>
    <n v="1"/>
    <n v="1"/>
    <n v="1"/>
    <n v="1"/>
    <n v="130.85402843601895"/>
    <n v="130.85402843601895"/>
    <n v="130.85402843601895"/>
    <n v="130.85402843601895"/>
    <n v="523.4161137440758"/>
    <n v="1"/>
    <n v="1"/>
    <n v="1"/>
    <n v="1"/>
    <n v="1"/>
    <n v="1"/>
    <n v="1"/>
    <n v="1"/>
    <m/>
    <m/>
    <n v="43.618009478672981"/>
    <m/>
    <n v="130.85402843601895"/>
    <n v="0"/>
    <m/>
    <m/>
    <n v="43.618009478672981"/>
    <s v="Updated ISR"/>
    <n v="130.85402843601895"/>
    <n v="130.85402843601895"/>
    <n v="0"/>
    <m/>
    <m/>
    <n v="43.618009478672981"/>
    <m/>
    <n v="130.85402843601895"/>
    <n v="0"/>
    <m/>
    <m/>
    <n v="43.618009478672981"/>
    <m/>
    <n v="130.85402843601895"/>
    <n v="0"/>
    <n v="130.85402843601895"/>
    <n v="130.85402843601895"/>
    <n v="130.85402843601895"/>
    <n v="130.85402843601895"/>
    <n v="523.4161137440758"/>
    <s v="NA"/>
    <m/>
  </r>
  <r>
    <s v="NSG"/>
    <x v="4"/>
    <x v="6"/>
    <s v="Whole Building - Prescriptive"/>
    <x v="55"/>
    <n v="0"/>
    <s v="MF"/>
    <x v="3"/>
    <s v="4.4.36"/>
    <s v="living unit"/>
    <n v="3"/>
    <n v="3"/>
    <n v="3"/>
    <n v="3"/>
    <s v="CI-HVC-SBAC-V03-230101"/>
    <m/>
    <n v="83.05"/>
    <n v="83.05"/>
    <n v="83.05"/>
    <n v="83.05"/>
    <n v="1"/>
    <n v="1"/>
    <n v="1"/>
    <n v="1"/>
    <n v="249.14999999999998"/>
    <n v="249.14999999999998"/>
    <n v="249.14999999999998"/>
    <n v="249.14999999999998"/>
    <n v="996.59999999999991"/>
    <n v="1"/>
    <n v="1"/>
    <n v="1"/>
    <n v="1"/>
    <n v="1"/>
    <n v="1"/>
    <n v="1"/>
    <n v="1"/>
    <m/>
    <m/>
    <n v="83.05"/>
    <m/>
    <n v="249.14999999999998"/>
    <n v="0"/>
    <m/>
    <m/>
    <n v="83.05"/>
    <s v="n/a"/>
    <n v="249.14999999999998"/>
    <n v="249.14999999999998"/>
    <n v="0"/>
    <m/>
    <m/>
    <n v="83.05"/>
    <m/>
    <n v="249.14999999999998"/>
    <n v="0"/>
    <m/>
    <m/>
    <n v="83.05"/>
    <m/>
    <n v="249.14999999999998"/>
    <n v="0"/>
    <n v="249.14999999999998"/>
    <n v="249.14999999999998"/>
    <n v="249.14999999999998"/>
    <n v="249.14999999999998"/>
    <n v="996.59999999999991"/>
    <s v="NA"/>
    <m/>
  </r>
  <r>
    <s v="NSG"/>
    <x v="4"/>
    <x v="6"/>
    <s v="Whole Building - Prescriptive"/>
    <x v="41"/>
    <s v="HVAC Repair/Rep - Audit"/>
    <s v="MF"/>
    <x v="3"/>
    <s v="4.4.16"/>
    <s v="each"/>
    <n v="3"/>
    <n v="3"/>
    <n v="3"/>
    <n v="3"/>
    <s v="CI-HVC-STRE-V09-230101"/>
    <m/>
    <n v="197.03296629323975"/>
    <n v="197.03296629323975"/>
    <n v="197.03296629323975"/>
    <n v="197.03296629323975"/>
    <n v="1"/>
    <n v="1"/>
    <n v="1"/>
    <n v="1"/>
    <n v="591.09889887971929"/>
    <n v="591.09889887971929"/>
    <n v="591.09889887971929"/>
    <n v="591.09889887971929"/>
    <n v="2364.3955955188771"/>
    <n v="1"/>
    <n v="1"/>
    <n v="1"/>
    <n v="1"/>
    <n v="1"/>
    <n v="1"/>
    <n v="1"/>
    <n v="1"/>
    <m/>
    <m/>
    <n v="197.03296629323975"/>
    <m/>
    <n v="591.09889887971929"/>
    <n v="0"/>
    <m/>
    <m/>
    <n v="197.03296629323975"/>
    <s v="Updated inputs for Commercial LPS Space Heating and Industrial/Process Low Pressure"/>
    <n v="591.09889887971929"/>
    <n v="591.09889887971929"/>
    <n v="0"/>
    <m/>
    <m/>
    <n v="197.03296629323975"/>
    <m/>
    <n v="591.09889887971929"/>
    <n v="0"/>
    <m/>
    <m/>
    <n v="197.03296629323975"/>
    <m/>
    <n v="591.09889887971929"/>
    <n v="0"/>
    <n v="591.09889887971929"/>
    <n v="591.09889887971929"/>
    <n v="591.09889887971929"/>
    <n v="591.09889887971929"/>
    <n v="2364.3955955188771"/>
    <s v="NA"/>
    <m/>
  </r>
  <r>
    <s v="NSG"/>
    <x v="4"/>
    <x v="6"/>
    <s v="Whole Building - Public Housing"/>
    <x v="52"/>
    <n v="0"/>
    <s v="MF"/>
    <x v="3"/>
    <s v="4.4.38"/>
    <s v="each"/>
    <n v="3"/>
    <n v="3"/>
    <n v="3"/>
    <n v="3"/>
    <s v="CI-HVC-CRAC-V03-230101"/>
    <m/>
    <n v="12.64"/>
    <n v="12.64"/>
    <n v="12.64"/>
    <n v="12.64"/>
    <n v="1"/>
    <n v="1"/>
    <n v="1"/>
    <n v="1"/>
    <n v="37.92"/>
    <n v="37.92"/>
    <n v="37.92"/>
    <n v="37.92"/>
    <n v="151.68"/>
    <n v="1"/>
    <n v="1"/>
    <n v="1"/>
    <n v="1"/>
    <n v="1"/>
    <n v="1"/>
    <n v="1"/>
    <n v="1"/>
    <m/>
    <m/>
    <n v="12.64"/>
    <m/>
    <n v="37.92"/>
    <n v="0"/>
    <m/>
    <m/>
    <n v="12.64"/>
    <s v="n/a"/>
    <n v="37.92"/>
    <n v="37.92"/>
    <n v="0"/>
    <m/>
    <m/>
    <n v="12.64"/>
    <m/>
    <n v="37.92"/>
    <n v="0"/>
    <m/>
    <m/>
    <n v="12.64"/>
    <m/>
    <n v="37.92"/>
    <n v="0"/>
    <n v="37.92"/>
    <n v="37.92"/>
    <n v="37.92"/>
    <n v="37.92"/>
    <n v="151.68"/>
    <s v="NA"/>
    <m/>
  </r>
  <r>
    <s v="NSG"/>
    <x v="5"/>
    <x v="8"/>
    <s v="Rebates"/>
    <x v="41"/>
    <s v="Industrial/Process Audit - 175 ≤ psig &lt; 250"/>
    <s v="CI/SMB"/>
    <x v="3"/>
    <s v="4.4.16"/>
    <s v="each"/>
    <n v="2.5499999999999998"/>
    <n v="2.4000000000000004"/>
    <n v="2.0999999999999996"/>
    <n v="2.04"/>
    <s v="CI-HVC-STRE-V09-230101"/>
    <m/>
    <n v="9906.4466256306805"/>
    <n v="9906.4466256306805"/>
    <n v="9906.4466256306805"/>
    <n v="9906.4466256306805"/>
    <n v="0.91"/>
    <n v="0.91"/>
    <n v="0.91"/>
    <n v="0.91"/>
    <n v="22987.909394775994"/>
    <n v="21635.679430377411"/>
    <n v="18931.219501580228"/>
    <n v="18390.327515820798"/>
    <n v="81945.135842554431"/>
    <n v="0.91"/>
    <n v="0.91"/>
    <n v="0.91"/>
    <n v="0.91"/>
    <n v="0.91"/>
    <n v="0.91"/>
    <n v="0.91"/>
    <n v="0.91"/>
    <m/>
    <m/>
    <n v="9906.4466256306805"/>
    <m/>
    <n v="22987.909394775994"/>
    <n v="0"/>
    <m/>
    <m/>
    <n v="9906.4466256306805"/>
    <s v="Updated inputs for Commercial LPS Space Heating and Industrial/Process Low Pressure"/>
    <n v="21635.679430377411"/>
    <n v="21635.679430377411"/>
    <n v="0"/>
    <m/>
    <m/>
    <n v="9906.4466256306805"/>
    <m/>
    <n v="18931.219501580228"/>
    <n v="0"/>
    <m/>
    <m/>
    <n v="9906.4466256306805"/>
    <m/>
    <n v="18390.327515820798"/>
    <n v="0"/>
    <n v="22987.909394775994"/>
    <n v="21635.679430377411"/>
    <n v="18931.219501580228"/>
    <n v="18390.327515820798"/>
    <n v="81945.135842554431"/>
    <s v="NA"/>
    <m/>
  </r>
  <r>
    <s v="NSG"/>
    <x v="4"/>
    <x v="4"/>
    <s v="Core"/>
    <x v="6"/>
    <s v="Furnace (DI)"/>
    <s v="SF"/>
    <x v="3"/>
    <s v="5.3.11"/>
    <s v="each"/>
    <n v="2"/>
    <n v="6"/>
    <n v="12"/>
    <n v="14"/>
    <s v="RS-HVC-ADTH-V08-230101"/>
    <m/>
    <n v="62.31"/>
    <n v="62.31"/>
    <n v="62.31"/>
    <n v="62.31"/>
    <n v="1"/>
    <n v="1"/>
    <n v="1"/>
    <n v="1"/>
    <n v="124.62"/>
    <n v="373.86"/>
    <n v="747.72"/>
    <n v="872.34"/>
    <n v="2118.54"/>
    <n v="1"/>
    <n v="1"/>
    <n v="1"/>
    <n v="1"/>
    <n v="1"/>
    <n v="1"/>
    <n v="1"/>
    <n v="1"/>
    <m/>
    <m/>
    <n v="62.31"/>
    <m/>
    <n v="124.62"/>
    <n v="0"/>
    <m/>
    <m/>
    <n v="62.31"/>
    <s v="n/a"/>
    <n v="373.86"/>
    <n v="373.86"/>
    <n v="0"/>
    <m/>
    <m/>
    <n v="62.31"/>
    <m/>
    <n v="747.72"/>
    <n v="0"/>
    <m/>
    <m/>
    <n v="62.31"/>
    <m/>
    <n v="872.34"/>
    <n v="0"/>
    <n v="124.62"/>
    <n v="373.86"/>
    <n v="747.72"/>
    <n v="872.34"/>
    <n v="2118.54"/>
    <s v="NA"/>
    <m/>
  </r>
  <r>
    <s v="NSG"/>
    <x v="3"/>
    <x v="6"/>
    <s v="Standard Rebate"/>
    <x v="55"/>
    <n v="0"/>
    <s v="MF"/>
    <x v="3"/>
    <s v="4.4.36"/>
    <s v="each"/>
    <n v="2"/>
    <n v="2"/>
    <n v="2"/>
    <n v="2"/>
    <s v="CI-HVC-SBAC-V03-230101"/>
    <m/>
    <n v="83.05"/>
    <n v="83.05"/>
    <n v="83.05"/>
    <n v="83.05"/>
    <n v="0.87"/>
    <n v="0.87"/>
    <n v="0.87"/>
    <n v="0.87"/>
    <n v="144.50700000000001"/>
    <n v="144.50700000000001"/>
    <n v="144.50700000000001"/>
    <n v="144.50700000000001"/>
    <n v="578.02800000000002"/>
    <n v="0.87"/>
    <n v="0.87"/>
    <n v="0.87"/>
    <n v="0.87"/>
    <n v="0.87"/>
    <n v="0.87"/>
    <n v="0.87"/>
    <n v="0.87"/>
    <m/>
    <m/>
    <n v="83.05"/>
    <m/>
    <n v="144.50700000000001"/>
    <n v="0"/>
    <m/>
    <m/>
    <n v="83.05"/>
    <s v="n/a"/>
    <n v="144.50700000000001"/>
    <n v="144.50700000000001"/>
    <n v="0"/>
    <m/>
    <m/>
    <n v="83.05"/>
    <m/>
    <n v="144.50700000000001"/>
    <n v="0"/>
    <m/>
    <m/>
    <n v="83.05"/>
    <m/>
    <n v="144.50700000000001"/>
    <n v="0"/>
    <n v="144.50700000000001"/>
    <n v="144.50700000000001"/>
    <n v="144.50700000000001"/>
    <n v="144.50700000000001"/>
    <n v="578.02800000000002"/>
    <s v="NA"/>
    <m/>
  </r>
  <r>
    <s v="NSG"/>
    <x v="3"/>
    <x v="6"/>
    <s v="Standard Rebate"/>
    <x v="41"/>
    <s v="HVAC Repair/Rep - No Audit"/>
    <s v="MF"/>
    <x v="3"/>
    <s v="4.4.16"/>
    <s v="each"/>
    <n v="2"/>
    <n v="2"/>
    <n v="2"/>
    <n v="2"/>
    <s v="CI-HVC-STRE-V09-230101"/>
    <m/>
    <n v="53.198900899174738"/>
    <n v="53.198900899174738"/>
    <n v="53.198900899174738"/>
    <n v="53.198900899174738"/>
    <n v="0.87"/>
    <n v="0.87"/>
    <n v="0.87"/>
    <n v="0.87"/>
    <n v="92.566087564564043"/>
    <n v="92.566087564564043"/>
    <n v="92.566087564564043"/>
    <n v="92.566087564564043"/>
    <n v="370.26435025825617"/>
    <n v="0.87"/>
    <n v="0.87"/>
    <n v="0.87"/>
    <n v="0.87"/>
    <n v="0.87"/>
    <n v="0.87"/>
    <n v="0.87"/>
    <n v="0.87"/>
    <m/>
    <m/>
    <n v="53.198900899174738"/>
    <m/>
    <n v="92.566087564564043"/>
    <n v="0"/>
    <m/>
    <m/>
    <n v="53.198900899174738"/>
    <s v="Updated inputs for Commercial LPS Space Heating and Industrial/Process Low Pressure"/>
    <n v="92.566087564564043"/>
    <n v="92.566087564564043"/>
    <n v="0"/>
    <m/>
    <m/>
    <n v="53.198900899174738"/>
    <m/>
    <n v="92.566087564564043"/>
    <n v="0"/>
    <m/>
    <m/>
    <n v="53.198900899174738"/>
    <m/>
    <n v="92.566087564564043"/>
    <n v="0"/>
    <n v="92.566087564564043"/>
    <n v="92.566087564564043"/>
    <n v="92.566087564564043"/>
    <n v="92.566087564564043"/>
    <n v="370.26435025825617"/>
    <s v="NA"/>
    <m/>
  </r>
  <r>
    <s v="NSG"/>
    <x v="3"/>
    <x v="6"/>
    <s v="Partner Trade Ally Rebate"/>
    <x v="37"/>
    <s v="&gt;95% AFUE"/>
    <s v="MF"/>
    <x v="3"/>
    <s v="4.4.11"/>
    <s v="each"/>
    <n v="2"/>
    <n v="2"/>
    <n v="2"/>
    <n v="2"/>
    <s v="CI-HVC-FRNC-V12-230101"/>
    <m/>
    <n v="236.69249999999985"/>
    <n v="236.69249999999985"/>
    <n v="236.69249999999985"/>
    <n v="236.69249999999985"/>
    <n v="0.87"/>
    <n v="0.87"/>
    <n v="0.87"/>
    <n v="0.87"/>
    <n v="411.84494999999976"/>
    <n v="411.84494999999976"/>
    <n v="411.84494999999976"/>
    <n v="411.84494999999976"/>
    <n v="1647.379799999999"/>
    <n v="0.87"/>
    <n v="0.87"/>
    <n v="0.87"/>
    <n v="0.87"/>
    <n v="0.87"/>
    <n v="0.87"/>
    <n v="0.87"/>
    <n v="0.87"/>
    <m/>
    <m/>
    <n v="236.69249999999985"/>
    <m/>
    <n v="411.84494999999976"/>
    <n v="0"/>
    <m/>
    <m/>
    <n v="236.69249999999985"/>
    <s v="n/a"/>
    <n v="411.84494999999976"/>
    <n v="411.84494999999976"/>
    <n v="0"/>
    <m/>
    <m/>
    <n v="236.69249999999985"/>
    <m/>
    <n v="411.84494999999976"/>
    <n v="0"/>
    <m/>
    <m/>
    <n v="236.69249999999985"/>
    <m/>
    <n v="411.84494999999976"/>
    <n v="0"/>
    <n v="411.84494999999976"/>
    <n v="411.84494999999976"/>
    <n v="411.84494999999976"/>
    <n v="411.84494999999976"/>
    <n v="1647.379799999999"/>
    <s v="NA"/>
    <m/>
  </r>
  <r>
    <s v="NSG"/>
    <x v="4"/>
    <x v="6"/>
    <s v="Whole Building - DI"/>
    <x v="6"/>
    <s v="Furnace (DI)"/>
    <s v="MF"/>
    <x v="3"/>
    <s v="5.3.11"/>
    <s v="each"/>
    <n v="2"/>
    <n v="2"/>
    <n v="2"/>
    <n v="2"/>
    <s v="RS-HVC-ADTH-V08-230101"/>
    <m/>
    <n v="40.5015"/>
    <n v="40.5015"/>
    <n v="40.5015"/>
    <n v="40.5015"/>
    <n v="1"/>
    <n v="1"/>
    <n v="1"/>
    <n v="1"/>
    <n v="81.003"/>
    <n v="81.003"/>
    <n v="81.003"/>
    <n v="81.003"/>
    <n v="324.012"/>
    <n v="1"/>
    <n v="1"/>
    <n v="1"/>
    <n v="1"/>
    <n v="1"/>
    <n v="1"/>
    <n v="1"/>
    <n v="1"/>
    <m/>
    <m/>
    <n v="40.5015"/>
    <m/>
    <n v="81.003"/>
    <n v="0"/>
    <m/>
    <m/>
    <n v="40.5015"/>
    <s v="n/a"/>
    <n v="81.003"/>
    <n v="81.003"/>
    <n v="0"/>
    <m/>
    <m/>
    <n v="40.5015"/>
    <m/>
    <n v="81.003"/>
    <n v="0"/>
    <m/>
    <m/>
    <n v="40.5015"/>
    <m/>
    <n v="81.003"/>
    <n v="0"/>
    <n v="81.003"/>
    <n v="81.003"/>
    <n v="81.003"/>
    <n v="81.003"/>
    <n v="324.012"/>
    <s v="NA"/>
    <m/>
  </r>
  <r>
    <s v="NSG"/>
    <x v="4"/>
    <x v="6"/>
    <s v="Whole Building - Prescriptive"/>
    <x v="4"/>
    <s v="Steam Med Fitting"/>
    <s v="MF"/>
    <x v="3"/>
    <s v="&quot;3 - Res Pipe Insulation&quot; worksheet"/>
    <s v="each"/>
    <n v="2"/>
    <n v="2"/>
    <n v="2"/>
    <n v="2"/>
    <n v="0"/>
    <m/>
    <n v="20.134575475260416"/>
    <n v="20.134575475260416"/>
    <n v="20.134575475260416"/>
    <n v="20.134575475260416"/>
    <n v="1"/>
    <n v="1"/>
    <n v="1"/>
    <n v="1"/>
    <n v="40.269150950520832"/>
    <n v="40.269150950520832"/>
    <n v="40.269150950520832"/>
    <n v="40.269150950520832"/>
    <n v="161.07660380208333"/>
    <n v="1"/>
    <n v="1"/>
    <n v="1"/>
    <n v="1"/>
    <n v="1"/>
    <n v="1"/>
    <n v="1"/>
    <n v="1"/>
    <m/>
    <m/>
    <n v="20.134575475260416"/>
    <m/>
    <n v="40.269150950520832"/>
    <n v="0"/>
    <m/>
    <m/>
    <n v="20.134575475260416"/>
    <s v="n/a"/>
    <n v="40.269150950520832"/>
    <n v="40.269150950520832"/>
    <n v="0"/>
    <m/>
    <m/>
    <n v="20.134575475260416"/>
    <m/>
    <n v="40.269150950520832"/>
    <n v="0"/>
    <m/>
    <m/>
    <n v="20.134575475260416"/>
    <m/>
    <n v="40.269150950520832"/>
    <n v="0"/>
    <n v="40.269150950520832"/>
    <n v="40.269150950520832"/>
    <n v="40.269150950520832"/>
    <n v="40.269150950520832"/>
    <n v="161.07660380208333"/>
    <s v="NA"/>
    <m/>
  </r>
  <r>
    <s v="NSG"/>
    <x v="4"/>
    <x v="6"/>
    <s v="Whole Building - Prescriptive"/>
    <x v="4"/>
    <s v="Steam Large Fitting"/>
    <s v="MF"/>
    <x v="3"/>
    <s v="&quot;3 - Res Pipe Insulation&quot; worksheet"/>
    <s v="each"/>
    <n v="2"/>
    <n v="2"/>
    <n v="2"/>
    <n v="2"/>
    <n v="0"/>
    <m/>
    <n v="66.284273233024678"/>
    <n v="66.284273233024678"/>
    <n v="66.284273233024678"/>
    <n v="66.284273233024678"/>
    <n v="1"/>
    <n v="1"/>
    <n v="1"/>
    <n v="1"/>
    <n v="132.56854646604936"/>
    <n v="132.56854646604936"/>
    <n v="132.56854646604936"/>
    <n v="132.56854646604936"/>
    <n v="530.27418586419742"/>
    <n v="1"/>
    <n v="1"/>
    <n v="1"/>
    <n v="1"/>
    <n v="1"/>
    <n v="1"/>
    <n v="1"/>
    <n v="1"/>
    <m/>
    <m/>
    <n v="66.284273233024678"/>
    <m/>
    <n v="132.56854646604936"/>
    <n v="0"/>
    <m/>
    <m/>
    <n v="66.284273233024678"/>
    <s v="n/a"/>
    <n v="132.56854646604936"/>
    <n v="132.56854646604936"/>
    <n v="0"/>
    <m/>
    <m/>
    <n v="66.284273233024678"/>
    <m/>
    <n v="132.56854646604936"/>
    <n v="0"/>
    <m/>
    <m/>
    <n v="66.284273233024678"/>
    <m/>
    <n v="132.56854646604936"/>
    <n v="0"/>
    <n v="132.56854646604936"/>
    <n v="132.56854646604936"/>
    <n v="132.56854646604936"/>
    <n v="132.56854646604936"/>
    <n v="530.27418586419742"/>
    <s v="NA"/>
    <m/>
  </r>
  <r>
    <s v="NSG"/>
    <x v="4"/>
    <x v="6"/>
    <s v="Whole Building - Public Housing"/>
    <x v="6"/>
    <s v="Furnace (DI)"/>
    <s v="MF"/>
    <x v="3"/>
    <s v="5.3.11"/>
    <s v="each"/>
    <n v="2"/>
    <n v="2"/>
    <n v="2"/>
    <n v="2"/>
    <s v="RS-HVC-ADTH-V08-230101"/>
    <m/>
    <n v="40.5015"/>
    <n v="40.5015"/>
    <n v="40.5015"/>
    <n v="40.5015"/>
    <n v="1"/>
    <n v="1"/>
    <n v="1"/>
    <n v="1"/>
    <n v="81.003"/>
    <n v="81.003"/>
    <n v="81.003"/>
    <n v="81.003"/>
    <n v="324.012"/>
    <n v="1"/>
    <n v="1"/>
    <n v="1"/>
    <n v="1"/>
    <n v="1"/>
    <n v="1"/>
    <n v="1"/>
    <n v="1"/>
    <m/>
    <m/>
    <n v="40.5015"/>
    <m/>
    <n v="81.003"/>
    <n v="0"/>
    <m/>
    <m/>
    <n v="40.5015"/>
    <s v="n/a"/>
    <n v="81.003"/>
    <n v="81.003"/>
    <n v="0"/>
    <m/>
    <m/>
    <n v="40.5015"/>
    <m/>
    <n v="81.003"/>
    <n v="0"/>
    <m/>
    <m/>
    <n v="40.5015"/>
    <m/>
    <n v="81.003"/>
    <n v="0"/>
    <n v="81.003"/>
    <n v="81.003"/>
    <n v="81.003"/>
    <n v="81.003"/>
    <n v="324.012"/>
    <s v="NA"/>
    <m/>
  </r>
  <r>
    <s v="NSG"/>
    <x v="4"/>
    <x v="6"/>
    <s v="Whole Building - Public Housing"/>
    <x v="40"/>
    <n v="0"/>
    <s v="IE MF"/>
    <x v="3"/>
    <s v="5.6.1"/>
    <s v="per door"/>
    <n v="2"/>
    <n v="2"/>
    <n v="2"/>
    <n v="2"/>
    <s v="RS-SHL-AIRS-V12-230101"/>
    <m/>
    <n v="7.3040000000000012"/>
    <n v="7.3040000000000012"/>
    <n v="7.3040000000000012"/>
    <n v="7.3040000000000012"/>
    <n v="1"/>
    <n v="1"/>
    <n v="1"/>
    <n v="1"/>
    <n v="14.608000000000002"/>
    <n v="14.608000000000002"/>
    <n v="14.608000000000002"/>
    <n v="14.608000000000002"/>
    <n v="58.432000000000009"/>
    <n v="1"/>
    <n v="1"/>
    <n v="1"/>
    <n v="1"/>
    <n v="1"/>
    <n v="1"/>
    <n v="1"/>
    <n v="1"/>
    <m/>
    <m/>
    <n v="7.3040000000000012"/>
    <m/>
    <n v="14.608000000000002"/>
    <n v="0"/>
    <m/>
    <m/>
    <n v="7.3040000000000012"/>
    <s v="Updated ISR"/>
    <n v="14.608000000000002"/>
    <n v="14.608000000000002"/>
    <n v="0"/>
    <m/>
    <m/>
    <n v="7.3040000000000012"/>
    <m/>
    <n v="14.608000000000002"/>
    <n v="0"/>
    <m/>
    <m/>
    <n v="7.3040000000000012"/>
    <m/>
    <n v="14.608000000000002"/>
    <n v="0"/>
    <n v="14.608000000000002"/>
    <n v="14.608000000000002"/>
    <n v="14.608000000000002"/>
    <n v="14.608000000000002"/>
    <n v="58.432000000000009"/>
    <s v="NA"/>
    <m/>
  </r>
  <r>
    <s v="NSG"/>
    <x v="5"/>
    <x v="7"/>
    <s v="Rebates"/>
    <x v="37"/>
    <s v="&gt;95% AFUE"/>
    <s v="CI"/>
    <x v="3"/>
    <s v="4.4.11"/>
    <s v="each"/>
    <n v="2"/>
    <n v="2"/>
    <n v="2"/>
    <n v="2"/>
    <s v="CI-HVC-FRNC-V12-230101"/>
    <m/>
    <n v="247.08549999999985"/>
    <n v="247.08549999999985"/>
    <n v="247.08549999999985"/>
    <n v="247.08549999999985"/>
    <n v="0.93"/>
    <n v="0.93"/>
    <n v="0.93"/>
    <n v="0.93"/>
    <n v="459.57902999999976"/>
    <n v="459.57902999999976"/>
    <n v="459.57902999999976"/>
    <n v="459.57902999999976"/>
    <n v="1838.316119999999"/>
    <n v="0.93"/>
    <n v="0.93"/>
    <n v="0.93"/>
    <n v="0.93"/>
    <n v="0.93"/>
    <n v="0.93"/>
    <n v="0.93"/>
    <n v="0.93"/>
    <m/>
    <m/>
    <n v="247.08549999999985"/>
    <m/>
    <n v="459.57902999999976"/>
    <n v="0"/>
    <m/>
    <m/>
    <n v="247.08549999999985"/>
    <s v="n/a"/>
    <n v="459.57902999999976"/>
    <n v="459.57902999999976"/>
    <n v="0"/>
    <m/>
    <m/>
    <n v="247.08549999999985"/>
    <m/>
    <n v="459.57902999999976"/>
    <n v="0"/>
    <m/>
    <m/>
    <n v="247.08549999999985"/>
    <m/>
    <n v="459.57902999999976"/>
    <n v="0"/>
    <n v="459.57902999999976"/>
    <n v="459.57902999999976"/>
    <n v="459.57902999999976"/>
    <n v="459.57902999999976"/>
    <n v="1838.316119999999"/>
    <s v="NA"/>
    <m/>
  </r>
  <r>
    <s v="NSG"/>
    <x v="5"/>
    <x v="7"/>
    <s v="Rebates"/>
    <x v="56"/>
    <s v="Laundromat &amp; MF Dorms"/>
    <s v="MF/SMB"/>
    <x v="3"/>
    <s v="4.8.4"/>
    <s v="each"/>
    <n v="2"/>
    <n v="2"/>
    <n v="2"/>
    <n v="2"/>
    <s v="CI-MSC-MODD-V02-230101"/>
    <m/>
    <n v="230.13"/>
    <n v="230.13"/>
    <n v="230.13"/>
    <n v="230.13"/>
    <n v="0.93"/>
    <n v="0.93"/>
    <n v="0.93"/>
    <n v="0.93"/>
    <n v="428.04180000000002"/>
    <n v="428.04180000000002"/>
    <n v="428.04180000000002"/>
    <n v="428.04180000000002"/>
    <n v="1712.1672000000001"/>
    <n v="0.93"/>
    <n v="0.93"/>
    <n v="0.93"/>
    <n v="0.93"/>
    <n v="0.93"/>
    <n v="0.93"/>
    <n v="0.93"/>
    <n v="0.93"/>
    <m/>
    <m/>
    <n v="230.13"/>
    <m/>
    <n v="428.04180000000002"/>
    <n v="0"/>
    <m/>
    <m/>
    <n v="230.13"/>
    <s v="Updated measure lifetime."/>
    <n v="428.04180000000002"/>
    <n v="428.04180000000002"/>
    <n v="0"/>
    <m/>
    <m/>
    <n v="230.13"/>
    <m/>
    <n v="428.04180000000002"/>
    <n v="0"/>
    <m/>
    <m/>
    <n v="230.13"/>
    <m/>
    <n v="428.04180000000002"/>
    <n v="0"/>
    <n v="428.04180000000002"/>
    <n v="428.04180000000002"/>
    <n v="428.04180000000002"/>
    <n v="428.04180000000002"/>
    <n v="1712.1672000000001"/>
    <s v="NA"/>
    <m/>
  </r>
  <r>
    <s v="NSG"/>
    <x v="5"/>
    <x v="7"/>
    <s v="Partner Trade Ally Rebate"/>
    <x v="56"/>
    <s v="Laundromat &amp; MF Dorms"/>
    <s v="MF/SMB"/>
    <x v="3"/>
    <s v="4.8.4"/>
    <s v="each"/>
    <n v="2"/>
    <n v="2"/>
    <n v="2"/>
    <n v="2"/>
    <s v="CI-MSC-MODD-V02-230101"/>
    <m/>
    <n v="230.13"/>
    <n v="230.13"/>
    <n v="230.13"/>
    <n v="230.13"/>
    <n v="0.93"/>
    <n v="0.93"/>
    <n v="0.93"/>
    <n v="0.93"/>
    <n v="428.04180000000002"/>
    <n v="428.04180000000002"/>
    <n v="428.04180000000002"/>
    <n v="428.04180000000002"/>
    <n v="1712.1672000000001"/>
    <n v="0.93"/>
    <n v="0.93"/>
    <n v="0.93"/>
    <n v="0.93"/>
    <n v="0.93"/>
    <n v="0.93"/>
    <n v="0.93"/>
    <n v="0.93"/>
    <m/>
    <m/>
    <n v="230.13"/>
    <m/>
    <n v="428.04180000000002"/>
    <n v="0"/>
    <m/>
    <m/>
    <n v="230.13"/>
    <s v="Updated measure lifetime."/>
    <n v="428.04180000000002"/>
    <n v="428.04180000000002"/>
    <n v="0"/>
    <m/>
    <m/>
    <n v="230.13"/>
    <m/>
    <n v="428.04180000000002"/>
    <n v="0"/>
    <m/>
    <m/>
    <n v="230.13"/>
    <m/>
    <n v="428.04180000000002"/>
    <n v="0"/>
    <n v="428.04180000000002"/>
    <n v="428.04180000000002"/>
    <n v="428.04180000000002"/>
    <n v="428.04180000000002"/>
    <n v="1712.1672000000001"/>
    <s v="NA"/>
    <m/>
  </r>
  <r>
    <s v="NSG"/>
    <x v="5"/>
    <x v="10"/>
    <s v="Upstream Rebate"/>
    <x v="57"/>
    <n v="0"/>
    <s v="CI"/>
    <x v="3"/>
    <s v="4.2.8"/>
    <s v="each"/>
    <n v="1"/>
    <n v="2"/>
    <n v="2"/>
    <n v="3"/>
    <s v="CI-FSE-ESGR-V05-230101"/>
    <m/>
    <n v="153.29846874999993"/>
    <n v="153.29846874999993"/>
    <n v="153.29846874999993"/>
    <n v="153.29846874999993"/>
    <n v="0.8"/>
    <n v="0.8"/>
    <n v="0.8"/>
    <n v="0.8"/>
    <n v="122.63877499999995"/>
    <n v="245.27754999999991"/>
    <n v="245.27754999999991"/>
    <n v="367.91632499999986"/>
    <n v="981.11019999999962"/>
    <n v="0.8"/>
    <n v="0.8"/>
    <n v="0.8"/>
    <n v="0.8"/>
    <n v="0.8"/>
    <n v="0.8"/>
    <n v="0.8"/>
    <n v="0.8"/>
    <m/>
    <m/>
    <n v="153.29846874999993"/>
    <m/>
    <n v="122.63877499999995"/>
    <n v="0"/>
    <m/>
    <m/>
    <n v="153.29846874999993"/>
    <s v="Applies to electrification only."/>
    <n v="245.27754999999991"/>
    <n v="245.27754999999991"/>
    <n v="0"/>
    <m/>
    <m/>
    <n v="153.29846874999993"/>
    <m/>
    <n v="245.27754999999991"/>
    <n v="0"/>
    <m/>
    <m/>
    <n v="153.29846874999993"/>
    <m/>
    <n v="367.91632499999986"/>
    <n v="0"/>
    <n v="122.63877499999995"/>
    <n v="245.27754999999991"/>
    <n v="245.27754999999991"/>
    <n v="367.91632499999986"/>
    <n v="981.11019999999962"/>
    <s v="NA"/>
    <m/>
  </r>
  <r>
    <s v="NSG"/>
    <x v="5"/>
    <x v="10"/>
    <s v="Upstream Rebate"/>
    <x v="58"/>
    <n v="0"/>
    <s v="CI"/>
    <x v="3"/>
    <s v="4.2.17"/>
    <s v="each"/>
    <n v="1"/>
    <n v="1"/>
    <n v="2"/>
    <n v="2"/>
    <s v="CI-FSE-PCOK-V02-180101"/>
    <m/>
    <n v="1380"/>
    <n v="1380"/>
    <n v="1380"/>
    <n v="1380"/>
    <n v="0.8"/>
    <n v="0.8"/>
    <n v="0.8"/>
    <n v="0.8"/>
    <n v="1104"/>
    <n v="1104"/>
    <n v="2208"/>
    <n v="2208"/>
    <n v="6624"/>
    <n v="0.8"/>
    <n v="0.8"/>
    <n v="0.8"/>
    <n v="0.8"/>
    <n v="0.8"/>
    <n v="0.8"/>
    <n v="0.8"/>
    <n v="0.8"/>
    <m/>
    <m/>
    <n v="1380"/>
    <m/>
    <n v="1104"/>
    <n v="0"/>
    <m/>
    <m/>
    <n v="1380"/>
    <s v="n/a"/>
    <n v="1104"/>
    <n v="1104"/>
    <n v="0"/>
    <m/>
    <m/>
    <n v="1380"/>
    <m/>
    <n v="2208"/>
    <n v="0"/>
    <m/>
    <m/>
    <n v="1380"/>
    <m/>
    <n v="2208"/>
    <n v="0"/>
    <n v="1104"/>
    <n v="1104"/>
    <n v="2208"/>
    <n v="2208"/>
    <n v="6624"/>
    <s v="NA"/>
    <m/>
  </r>
  <r>
    <s v="NSG"/>
    <x v="5"/>
    <x v="10"/>
    <s v="Upstream Rebate"/>
    <x v="59"/>
    <n v="0"/>
    <s v="MF/CI/SMB"/>
    <x v="3"/>
    <s v="4.2.1"/>
    <s v="each"/>
    <n v="1"/>
    <n v="2"/>
    <n v="2"/>
    <n v="3"/>
    <s v="CI-FSE-CBOV-V03-230101"/>
    <m/>
    <n v="321.64728051570762"/>
    <n v="321.64728051570762"/>
    <n v="321.64728051570762"/>
    <n v="321.64728051570762"/>
    <n v="0.8"/>
    <n v="0.8"/>
    <n v="0.8"/>
    <n v="0.8"/>
    <n v="257.3178244125661"/>
    <n v="514.63564882513219"/>
    <n v="514.63564882513219"/>
    <n v="771.95347323769829"/>
    <n v="2058.5425953005288"/>
    <n v="0.8"/>
    <n v="0.8"/>
    <n v="0.8"/>
    <n v="0.8"/>
    <n v="0.8"/>
    <n v="0.8"/>
    <n v="0.8"/>
    <n v="0.8"/>
    <m/>
    <m/>
    <n v="321.64728051570762"/>
    <m/>
    <n v="257.3178244125661"/>
    <n v="0"/>
    <m/>
    <m/>
    <n v="5669.7641168958853"/>
    <s v="Updated inputs and preheat assumptions."/>
    <n v="514.63564882513219"/>
    <n v="9071.6225870334165"/>
    <n v="8556.9869382082834"/>
    <m/>
    <m/>
    <n v="5669.7641168958853"/>
    <m/>
    <n v="9071.6225870334165"/>
    <n v="8556.9869382082834"/>
    <m/>
    <m/>
    <n v="5669.7641168958853"/>
    <m/>
    <n v="13607.433880550125"/>
    <n v="12835.480407312427"/>
    <n v="257.3178244125661"/>
    <n v="9071.6225870334165"/>
    <n v="9071.6225870334165"/>
    <n v="13607.433880550125"/>
    <n v="32007.996879029524"/>
    <s v="NA"/>
    <m/>
  </r>
  <r>
    <s v="NSG"/>
    <x v="5"/>
    <x v="10"/>
    <s v="Upstream Rebate"/>
    <x v="60"/>
    <n v="0"/>
    <s v="CI"/>
    <x v="3"/>
    <s v="4.2.4"/>
    <s v="each"/>
    <n v="1"/>
    <n v="1"/>
    <n v="1"/>
    <n v="2"/>
    <s v="CI-FSE-CVOV-V02-180101"/>
    <m/>
    <n v="884"/>
    <n v="884"/>
    <n v="884"/>
    <n v="884"/>
    <n v="0.8"/>
    <n v="0.8"/>
    <n v="0.8"/>
    <n v="0.8"/>
    <n v="707.2"/>
    <n v="707.2"/>
    <n v="707.2"/>
    <n v="1414.4"/>
    <n v="3536.0000000000005"/>
    <n v="0.8"/>
    <n v="0.8"/>
    <n v="0.8"/>
    <n v="0.8"/>
    <n v="0.8"/>
    <n v="0.8"/>
    <n v="0.8"/>
    <n v="0.8"/>
    <m/>
    <m/>
    <n v="884"/>
    <m/>
    <n v="707.2"/>
    <n v="0"/>
    <m/>
    <m/>
    <n v="884"/>
    <s v="n/a"/>
    <n v="707.2"/>
    <n v="707.2"/>
    <n v="0"/>
    <m/>
    <m/>
    <n v="884"/>
    <m/>
    <n v="707.2"/>
    <n v="0"/>
    <m/>
    <m/>
    <n v="884"/>
    <m/>
    <n v="1414.4"/>
    <n v="0"/>
    <n v="707.2"/>
    <n v="707.2"/>
    <n v="707.2"/>
    <n v="1414.4"/>
    <n v="3536.0000000000005"/>
    <s v="NA"/>
    <m/>
  </r>
  <r>
    <s v="NSG"/>
    <x v="5"/>
    <x v="10"/>
    <s v="Upstream Rebate"/>
    <x v="61"/>
    <s v="Single Tank Conveyor"/>
    <s v="CI"/>
    <x v="3"/>
    <s v="4.2.6"/>
    <s v="each"/>
    <n v="1"/>
    <n v="1"/>
    <n v="2"/>
    <n v="2"/>
    <s v="CI-FSE-ESDW-V06-220101"/>
    <m/>
    <n v="280"/>
    <n v="280"/>
    <n v="280"/>
    <n v="280"/>
    <n v="0.8"/>
    <n v="0.8"/>
    <n v="0.8"/>
    <n v="0.8"/>
    <n v="224"/>
    <n v="224"/>
    <n v="448"/>
    <n v="448"/>
    <n v="1344"/>
    <n v="0.8"/>
    <n v="0.8"/>
    <n v="0.8"/>
    <n v="0.8"/>
    <n v="0.8"/>
    <n v="0.8"/>
    <n v="0.8"/>
    <n v="0.8"/>
    <m/>
    <m/>
    <n v="280"/>
    <m/>
    <n v="224"/>
    <n v="0"/>
    <m/>
    <m/>
    <n v="280"/>
    <s v="n/a"/>
    <n v="224"/>
    <n v="224"/>
    <n v="0"/>
    <m/>
    <m/>
    <n v="280"/>
    <m/>
    <n v="448"/>
    <n v="0"/>
    <m/>
    <m/>
    <n v="280"/>
    <m/>
    <n v="448"/>
    <n v="0"/>
    <n v="224"/>
    <n v="224"/>
    <n v="448"/>
    <n v="448"/>
    <n v="1344"/>
    <s v="NA"/>
    <m/>
  </r>
  <r>
    <s v="NSG"/>
    <x v="5"/>
    <x v="10"/>
    <s v="Upstream Rebate"/>
    <x v="61"/>
    <s v="Multi Tank Conveyor"/>
    <s v="CI"/>
    <x v="3"/>
    <s v="4.2.6"/>
    <s v="each"/>
    <n v="1"/>
    <n v="1"/>
    <n v="2"/>
    <n v="2"/>
    <s v="CI-FSE-ESDW-V06-220101"/>
    <m/>
    <n v="1064"/>
    <n v="1064"/>
    <n v="1064"/>
    <n v="1064"/>
    <n v="0.8"/>
    <n v="0.8"/>
    <n v="0.8"/>
    <n v="0.8"/>
    <n v="851.2"/>
    <n v="851.2"/>
    <n v="1702.4"/>
    <n v="1702.4"/>
    <n v="5107.2000000000007"/>
    <n v="0.8"/>
    <n v="0.8"/>
    <n v="0.8"/>
    <n v="0.8"/>
    <n v="0.8"/>
    <n v="0.8"/>
    <n v="0.8"/>
    <n v="0.8"/>
    <m/>
    <m/>
    <n v="1064"/>
    <m/>
    <n v="851.2"/>
    <n v="0"/>
    <m/>
    <m/>
    <n v="1064"/>
    <s v="n/a"/>
    <n v="851.2"/>
    <n v="851.2"/>
    <n v="0"/>
    <m/>
    <m/>
    <n v="1064"/>
    <m/>
    <n v="1702.4"/>
    <n v="0"/>
    <m/>
    <m/>
    <n v="1064"/>
    <m/>
    <n v="1702.4"/>
    <n v="0"/>
    <n v="851.2"/>
    <n v="851.2"/>
    <n v="1702.4"/>
    <n v="1702.4"/>
    <n v="5107.2000000000007"/>
    <s v="NA"/>
    <m/>
  </r>
  <r>
    <s v="NSG"/>
    <x v="5"/>
    <x v="10"/>
    <s v="Upstream Rebate"/>
    <x v="61"/>
    <s v="Stationary Single Tank"/>
    <s v="CI"/>
    <x v="3"/>
    <s v="4.2.6"/>
    <s v="each"/>
    <n v="1"/>
    <n v="1"/>
    <n v="2"/>
    <n v="2"/>
    <s v="CI-FSE-ESDW-V06-220101"/>
    <m/>
    <n v="462"/>
    <n v="462"/>
    <n v="462"/>
    <n v="462"/>
    <n v="0.8"/>
    <n v="0.8"/>
    <n v="0.8"/>
    <n v="0.8"/>
    <n v="369.6"/>
    <n v="369.6"/>
    <n v="739.2"/>
    <n v="739.2"/>
    <n v="2217.6000000000004"/>
    <n v="0.8"/>
    <n v="0.8"/>
    <n v="0.8"/>
    <n v="0.8"/>
    <n v="0.8"/>
    <n v="0.8"/>
    <n v="0.8"/>
    <n v="0.8"/>
    <m/>
    <m/>
    <n v="462"/>
    <m/>
    <n v="369.6"/>
    <n v="0"/>
    <m/>
    <m/>
    <n v="462"/>
    <s v="n/a"/>
    <n v="369.6"/>
    <n v="369.6"/>
    <n v="0"/>
    <m/>
    <m/>
    <n v="462"/>
    <m/>
    <n v="739.2"/>
    <n v="0"/>
    <m/>
    <m/>
    <n v="462"/>
    <m/>
    <n v="739.2"/>
    <n v="0"/>
    <n v="369.6"/>
    <n v="369.6"/>
    <n v="739.2"/>
    <n v="739.2"/>
    <n v="2217.6000000000004"/>
    <s v="NA"/>
    <m/>
  </r>
  <r>
    <s v="NSG"/>
    <x v="5"/>
    <x v="10"/>
    <s v="Upstream Rebate"/>
    <x v="61"/>
    <n v="0"/>
    <s v="MF/CI/SMB"/>
    <x v="3"/>
    <s v="4.2.6"/>
    <s v="each"/>
    <n v="1"/>
    <n v="1"/>
    <n v="2"/>
    <n v="2"/>
    <s v="CI-FSE-ESDW-V06-220101"/>
    <m/>
    <n v="106"/>
    <n v="106"/>
    <n v="106"/>
    <n v="106"/>
    <n v="0.8"/>
    <n v="0.8"/>
    <n v="0.8"/>
    <n v="0.8"/>
    <n v="84.800000000000011"/>
    <n v="84.800000000000011"/>
    <n v="169.60000000000002"/>
    <n v="169.60000000000002"/>
    <n v="508.80000000000007"/>
    <n v="0.8"/>
    <n v="0.8"/>
    <n v="0.8"/>
    <n v="0.8"/>
    <n v="0.8"/>
    <n v="0.8"/>
    <n v="0.8"/>
    <n v="0.8"/>
    <m/>
    <m/>
    <n v="106"/>
    <m/>
    <n v="84.800000000000011"/>
    <n v="0"/>
    <m/>
    <m/>
    <n v="106"/>
    <s v="n/a"/>
    <n v="84.800000000000011"/>
    <n v="84.800000000000011"/>
    <n v="0"/>
    <m/>
    <m/>
    <n v="106"/>
    <m/>
    <n v="169.60000000000002"/>
    <n v="0"/>
    <m/>
    <m/>
    <n v="106"/>
    <m/>
    <n v="169.60000000000002"/>
    <n v="0"/>
    <n v="84.800000000000011"/>
    <n v="84.800000000000011"/>
    <n v="169.60000000000002"/>
    <n v="169.60000000000002"/>
    <n v="508.80000000000007"/>
    <s v="NA"/>
    <m/>
  </r>
  <r>
    <s v="NSG"/>
    <x v="5"/>
    <x v="10"/>
    <s v="Upstream Rebate"/>
    <x v="62"/>
    <n v="0"/>
    <s v="CI"/>
    <x v="3"/>
    <s v="4.2.12"/>
    <s v="each"/>
    <n v="1"/>
    <n v="1"/>
    <n v="1"/>
    <n v="2"/>
    <s v="CI-FSE-IRCB-V02-180101"/>
    <m/>
    <n v="706.68"/>
    <n v="706.68"/>
    <n v="706.68"/>
    <n v="706.68"/>
    <n v="0.8"/>
    <n v="0.8"/>
    <n v="0.8"/>
    <n v="0.8"/>
    <n v="565.34399999999994"/>
    <n v="565.34399999999994"/>
    <n v="565.34399999999994"/>
    <n v="1130.6879999999999"/>
    <n v="2826.7199999999993"/>
    <n v="0.8"/>
    <n v="0.8"/>
    <n v="0.8"/>
    <n v="0.8"/>
    <n v="0.8"/>
    <n v="0.8"/>
    <n v="0.8"/>
    <n v="0.8"/>
    <m/>
    <m/>
    <n v="706.68"/>
    <m/>
    <n v="565.34399999999994"/>
    <n v="0"/>
    <m/>
    <m/>
    <n v="706.68"/>
    <s v="n/a"/>
    <n v="565.34399999999994"/>
    <n v="565.34399999999994"/>
    <n v="0"/>
    <m/>
    <m/>
    <n v="706.68"/>
    <m/>
    <n v="565.34399999999994"/>
    <n v="0"/>
    <m/>
    <m/>
    <n v="706.68"/>
    <m/>
    <n v="1130.6879999999999"/>
    <n v="0"/>
    <n v="565.34399999999994"/>
    <n v="565.34399999999994"/>
    <n v="565.34399999999994"/>
    <n v="1130.6879999999999"/>
    <n v="2826.7199999999993"/>
    <s v="NA"/>
    <m/>
  </r>
  <r>
    <s v="NSG"/>
    <x v="5"/>
    <x v="10"/>
    <s v="Upstream Rebate"/>
    <x v="63"/>
    <n v="0"/>
    <s v="CI"/>
    <x v="3"/>
    <s v="4.2.13"/>
    <s v="each"/>
    <n v="1"/>
    <n v="1"/>
    <n v="1"/>
    <n v="2"/>
    <s v="CI-FSE-IROV-V03-220101"/>
    <m/>
    <n v="599.04"/>
    <n v="599.04"/>
    <n v="599.04"/>
    <n v="599.04"/>
    <n v="0.8"/>
    <n v="0.8"/>
    <n v="0.8"/>
    <n v="0.8"/>
    <n v="479.23199999999997"/>
    <n v="479.23199999999997"/>
    <n v="479.23199999999997"/>
    <n v="958.46399999999994"/>
    <n v="2396.16"/>
    <n v="0.8"/>
    <n v="0.8"/>
    <n v="0.8"/>
    <n v="0.8"/>
    <n v="0.8"/>
    <n v="0.8"/>
    <n v="0.8"/>
    <n v="0.8"/>
    <m/>
    <m/>
    <n v="599.04"/>
    <m/>
    <n v="479.23199999999997"/>
    <n v="0"/>
    <m/>
    <m/>
    <n v="599.04"/>
    <s v="n/a"/>
    <n v="479.23199999999997"/>
    <n v="479.23199999999997"/>
    <n v="0"/>
    <m/>
    <m/>
    <n v="599.04"/>
    <m/>
    <n v="479.23199999999997"/>
    <n v="0"/>
    <m/>
    <m/>
    <n v="599.04"/>
    <m/>
    <n v="958.46399999999994"/>
    <n v="0"/>
    <n v="479.23199999999997"/>
    <n v="479.23199999999997"/>
    <n v="479.23199999999997"/>
    <n v="958.46399999999994"/>
    <n v="2396.16"/>
    <s v="NA"/>
    <m/>
  </r>
  <r>
    <s v="NSG"/>
    <x v="5"/>
    <x v="10"/>
    <s v="Upstream Rebate"/>
    <x v="64"/>
    <n v="0"/>
    <s v="CI"/>
    <x v="3"/>
    <s v="4.2.14"/>
    <s v="each"/>
    <n v="1"/>
    <n v="2"/>
    <n v="2"/>
    <n v="3"/>
    <s v="I-FSE-IRBL-V02-180101"/>
    <m/>
    <n v="240.24"/>
    <n v="240.24"/>
    <n v="240.24"/>
    <n v="240.24"/>
    <n v="0.8"/>
    <n v="0.8"/>
    <n v="0.8"/>
    <n v="0.8"/>
    <n v="192.19200000000001"/>
    <n v="384.38400000000001"/>
    <n v="384.38400000000001"/>
    <n v="576.57600000000002"/>
    <n v="1537.5360000000001"/>
    <n v="0.8"/>
    <n v="0.8"/>
    <n v="0.8"/>
    <n v="0.8"/>
    <n v="0.8"/>
    <n v="0.8"/>
    <n v="0.8"/>
    <n v="0.8"/>
    <m/>
    <m/>
    <n v="240.24"/>
    <m/>
    <n v="192.19200000000001"/>
    <n v="0"/>
    <m/>
    <m/>
    <n v="240.24"/>
    <s v="n/a"/>
    <n v="384.38400000000001"/>
    <n v="384.38400000000001"/>
    <n v="0"/>
    <m/>
    <m/>
    <n v="240.24"/>
    <m/>
    <n v="384.38400000000001"/>
    <n v="0"/>
    <m/>
    <m/>
    <n v="240.24"/>
    <m/>
    <n v="576.57600000000002"/>
    <n v="0"/>
    <n v="192.19200000000001"/>
    <n v="384.38400000000001"/>
    <n v="384.38400000000001"/>
    <n v="576.57600000000002"/>
    <n v="1537.5360000000001"/>
    <s v="NA"/>
    <m/>
  </r>
  <r>
    <s v="NSG"/>
    <x v="3"/>
    <x v="6"/>
    <s v="Standard Rebate"/>
    <x v="37"/>
    <s v="&gt;95% AFUE"/>
    <s v="MF"/>
    <x v="3"/>
    <s v="4.4.11"/>
    <s v="each"/>
    <n v="1"/>
    <n v="1"/>
    <n v="1"/>
    <n v="1"/>
    <s v="CI-HVC-FRNC-V12-230101"/>
    <m/>
    <n v="236.69249999999985"/>
    <n v="236.69249999999985"/>
    <n v="236.69249999999985"/>
    <n v="236.69249999999985"/>
    <n v="0.87"/>
    <n v="0.87"/>
    <n v="0.87"/>
    <n v="0.87"/>
    <n v="205.92247499999988"/>
    <n v="205.92247499999988"/>
    <n v="205.92247499999988"/>
    <n v="205.92247499999988"/>
    <n v="823.68989999999951"/>
    <n v="0.87"/>
    <n v="0.87"/>
    <n v="0.87"/>
    <n v="0.87"/>
    <n v="0.87"/>
    <n v="0.87"/>
    <n v="0.87"/>
    <n v="0.87"/>
    <m/>
    <m/>
    <n v="236.69249999999985"/>
    <m/>
    <n v="205.92247499999988"/>
    <n v="0"/>
    <m/>
    <m/>
    <n v="236.69249999999985"/>
    <s v="n/a"/>
    <n v="205.92247499999988"/>
    <n v="205.92247499999988"/>
    <n v="0"/>
    <m/>
    <m/>
    <n v="236.69249999999985"/>
    <m/>
    <n v="205.92247499999988"/>
    <n v="0"/>
    <m/>
    <m/>
    <n v="236.69249999999985"/>
    <m/>
    <n v="205.92247499999988"/>
    <n v="0"/>
    <n v="205.92247499999988"/>
    <n v="205.92247499999988"/>
    <n v="205.92247499999988"/>
    <n v="205.92247499999988"/>
    <n v="823.68989999999951"/>
    <s v="NA"/>
    <m/>
  </r>
  <r>
    <s v="NSG"/>
    <x v="3"/>
    <x v="6"/>
    <s v="Partner Trade Ally Rebate"/>
    <x v="65"/>
    <s v="&gt;95% AFUE"/>
    <s v="MF"/>
    <x v="3"/>
    <s v="5.3.7"/>
    <s v="each"/>
    <n v="1"/>
    <n v="1"/>
    <n v="1"/>
    <n v="1"/>
    <s v="RS-HVC-GHEF-V12-230101"/>
    <m/>
    <n v="185.63073361823353"/>
    <n v="185.63073361823353"/>
    <n v="185.63073361823353"/>
    <n v="185.63073361823353"/>
    <n v="0.87"/>
    <n v="0.87"/>
    <n v="0.87"/>
    <n v="0.87"/>
    <n v="161.49873824786317"/>
    <n v="161.49873824786317"/>
    <n v="161.49873824786317"/>
    <n v="161.49873824786317"/>
    <n v="645.99495299145269"/>
    <n v="0.87"/>
    <n v="0.87"/>
    <n v="0.87"/>
    <n v="0.87"/>
    <n v="0.87"/>
    <n v="0.87"/>
    <n v="0.87"/>
    <n v="0.87"/>
    <m/>
    <m/>
    <n v="185.63073361823353"/>
    <m/>
    <n v="161.49873824786317"/>
    <n v="0"/>
    <m/>
    <m/>
    <n v="185.63073361823353"/>
    <s v="n/a"/>
    <n v="161.49873824786317"/>
    <n v="161.49873824786317"/>
    <n v="0"/>
    <m/>
    <m/>
    <n v="185.63073361823353"/>
    <m/>
    <n v="161.49873824786317"/>
    <n v="0"/>
    <m/>
    <m/>
    <n v="185.63073361823353"/>
    <m/>
    <n v="161.49873824786317"/>
    <n v="0"/>
    <n v="161.49873824786317"/>
    <n v="161.49873824786317"/>
    <n v="161.49873824786317"/>
    <n v="161.49873824786317"/>
    <n v="645.99495299145269"/>
    <s v="NA"/>
    <m/>
  </r>
  <r>
    <s v="NSG"/>
    <x v="4"/>
    <x v="6"/>
    <s v="Whole Building - Public Housing"/>
    <x v="41"/>
    <s v="HVAC Repair/Rep - Audit"/>
    <s v="MF"/>
    <x v="3"/>
    <s v="4.4.16"/>
    <s v="each"/>
    <n v="1"/>
    <n v="1"/>
    <n v="1"/>
    <n v="1"/>
    <s v="CI-HVC-STRE-V09-230101"/>
    <m/>
    <n v="197.03296629323975"/>
    <n v="197.03296629323975"/>
    <n v="197.03296629323975"/>
    <n v="197.03296629323975"/>
    <n v="1"/>
    <n v="1"/>
    <n v="1"/>
    <n v="1"/>
    <n v="197.03296629323975"/>
    <n v="197.03296629323975"/>
    <n v="197.03296629323975"/>
    <n v="197.03296629323975"/>
    <n v="788.13186517295901"/>
    <n v="1"/>
    <n v="1"/>
    <n v="1"/>
    <n v="1"/>
    <n v="1"/>
    <n v="1"/>
    <n v="1"/>
    <n v="1"/>
    <m/>
    <m/>
    <n v="197.03296629323975"/>
    <m/>
    <n v="197.03296629323975"/>
    <n v="0"/>
    <m/>
    <m/>
    <n v="197.03296629323975"/>
    <s v="Updated inputs for Commercial LPS Space Heating and Industrial/Process Low Pressure"/>
    <n v="197.03296629323975"/>
    <n v="197.03296629323975"/>
    <n v="0"/>
    <m/>
    <m/>
    <n v="197.03296629323975"/>
    <m/>
    <n v="197.03296629323975"/>
    <n v="0"/>
    <m/>
    <m/>
    <n v="197.03296629323975"/>
    <m/>
    <n v="197.03296629323975"/>
    <n v="0"/>
    <n v="197.03296629323975"/>
    <n v="197.03296629323975"/>
    <n v="197.03296629323975"/>
    <n v="197.03296629323975"/>
    <n v="788.13186517295901"/>
    <s v="NA"/>
    <m/>
  </r>
  <r>
    <s v="NSG"/>
    <x v="4"/>
    <x v="6"/>
    <s v="Whole Building - Public Housing"/>
    <x v="41"/>
    <s v="HVAC Repair/Rep - No Audit"/>
    <s v="MF"/>
    <x v="3"/>
    <s v="4.4.16"/>
    <s v="each"/>
    <n v="1"/>
    <n v="1"/>
    <n v="1"/>
    <n v="1"/>
    <s v="CI-HVC-STRE-V09-230101"/>
    <m/>
    <n v="53.198900899174738"/>
    <n v="53.198900899174738"/>
    <n v="53.198900899174738"/>
    <n v="53.198900899174738"/>
    <n v="1"/>
    <n v="1"/>
    <n v="1"/>
    <n v="1"/>
    <n v="53.198900899174738"/>
    <n v="53.198900899174738"/>
    <n v="53.198900899174738"/>
    <n v="53.198900899174738"/>
    <n v="212.79560359669895"/>
    <n v="1"/>
    <n v="1"/>
    <n v="1"/>
    <n v="1"/>
    <n v="1"/>
    <n v="1"/>
    <n v="1"/>
    <n v="1"/>
    <m/>
    <m/>
    <n v="53.198900899174738"/>
    <m/>
    <n v="53.198900899174738"/>
    <n v="0"/>
    <m/>
    <m/>
    <n v="53.198900899174738"/>
    <s v="Updated inputs for Commercial LPS Space Heating and Industrial/Process Low Pressure"/>
    <n v="53.198900899174738"/>
    <n v="53.198900899174738"/>
    <n v="0"/>
    <m/>
    <m/>
    <n v="53.198900899174738"/>
    <m/>
    <n v="53.198900899174738"/>
    <n v="0"/>
    <m/>
    <m/>
    <n v="53.198900899174738"/>
    <m/>
    <n v="53.198900899174738"/>
    <n v="0"/>
    <n v="53.198900899174738"/>
    <n v="53.198900899174738"/>
    <n v="53.198900899174738"/>
    <n v="53.198900899174738"/>
    <n v="212.79560359669895"/>
    <s v="NA"/>
    <m/>
  </r>
  <r>
    <s v="NSG"/>
    <x v="4"/>
    <x v="6"/>
    <s v="Whole Building - Public Housing"/>
    <x v="41"/>
    <s v="Test"/>
    <s v="MF"/>
    <x v="3"/>
    <n v="0"/>
    <s v="each"/>
    <n v="1"/>
    <n v="1"/>
    <n v="1"/>
    <n v="1"/>
    <n v="0"/>
    <m/>
    <n v="0"/>
    <n v="0"/>
    <n v="0"/>
    <n v="0"/>
    <n v="1"/>
    <n v="1"/>
    <n v="1"/>
    <n v="1"/>
    <n v="0"/>
    <n v="0"/>
    <n v="0"/>
    <n v="0"/>
    <n v="0"/>
    <n v="1"/>
    <n v="1"/>
    <n v="1"/>
    <n v="1"/>
    <n v="1"/>
    <n v="1"/>
    <n v="1"/>
    <n v="1"/>
    <m/>
    <m/>
    <n v="0"/>
    <m/>
    <n v="0"/>
    <n v="0"/>
    <m/>
    <m/>
    <n v="0"/>
    <s v="n/a"/>
    <n v="0"/>
    <n v="0"/>
    <n v="0"/>
    <m/>
    <m/>
    <n v="0"/>
    <m/>
    <n v="0"/>
    <n v="0"/>
    <m/>
    <m/>
    <n v="0"/>
    <m/>
    <n v="0"/>
    <n v="0"/>
    <n v="0"/>
    <n v="0"/>
    <n v="0"/>
    <n v="0"/>
    <n v="0"/>
    <s v="NA"/>
    <m/>
  </r>
  <r>
    <s v="NSG"/>
    <x v="5"/>
    <x v="9"/>
    <s v="Rebates"/>
    <x v="66"/>
    <n v="0"/>
    <s v="CI"/>
    <x v="3"/>
    <n v="0"/>
    <s v="each"/>
    <n v="1"/>
    <n v="1"/>
    <n v="1"/>
    <n v="1"/>
    <n v="0"/>
    <m/>
    <n v="234.94825714285713"/>
    <n v="234.94825714285713"/>
    <n v="234.94825714285713"/>
    <n v="234.94825714285713"/>
    <n v="0.92"/>
    <n v="0.92"/>
    <n v="0.92"/>
    <n v="0.92"/>
    <n v="216.15239657142857"/>
    <n v="216.15239657142857"/>
    <n v="216.15239657142857"/>
    <n v="216.15239657142857"/>
    <n v="864.60958628571427"/>
    <n v="0.92"/>
    <n v="0.92"/>
    <n v="0.92"/>
    <n v="0.92"/>
    <n v="0.92"/>
    <n v="0.92"/>
    <n v="0.92"/>
    <n v="0.92"/>
    <m/>
    <m/>
    <n v="234.94825714285713"/>
    <m/>
    <n v="216.15239657142857"/>
    <n v="0"/>
    <m/>
    <m/>
    <n v="234.94825714285713"/>
    <s v="n/a"/>
    <n v="216.15239657142857"/>
    <n v="216.15239657142857"/>
    <n v="0"/>
    <m/>
    <m/>
    <n v="234.94825714285713"/>
    <m/>
    <n v="216.15239657142857"/>
    <n v="0"/>
    <m/>
    <m/>
    <n v="234.94825714285713"/>
    <m/>
    <n v="216.15239657142857"/>
    <n v="0"/>
    <n v="216.15239657142857"/>
    <n v="216.15239657142857"/>
    <n v="216.15239657142857"/>
    <n v="216.15239657142857"/>
    <n v="864.60958628571427"/>
    <s v="NA"/>
    <m/>
  </r>
  <r>
    <s v="NSG"/>
    <x v="5"/>
    <x v="7"/>
    <s v="Staffing Grant"/>
    <x v="67"/>
    <n v="0"/>
    <s v="CI"/>
    <x v="3"/>
    <s v="n/a"/>
    <s v="each"/>
    <n v="1"/>
    <n v="1"/>
    <n v="1"/>
    <n v="1"/>
    <s v="n/a"/>
    <m/>
    <n v="0"/>
    <n v="0"/>
    <n v="0"/>
    <n v="0"/>
    <n v="0.93"/>
    <n v="0.93"/>
    <n v="0.93"/>
    <n v="0.93"/>
    <n v="0"/>
    <n v="0"/>
    <n v="0"/>
    <n v="0"/>
    <n v="0"/>
    <n v="0.93"/>
    <n v="0.93"/>
    <n v="0.93"/>
    <n v="0.93"/>
    <n v="0.93"/>
    <n v="0.93"/>
    <n v="0.93"/>
    <n v="0.93"/>
    <m/>
    <m/>
    <n v="0"/>
    <m/>
    <n v="0"/>
    <n v="0"/>
    <m/>
    <m/>
    <n v="0"/>
    <s v="n/a"/>
    <n v="0"/>
    <n v="0"/>
    <n v="0"/>
    <m/>
    <m/>
    <n v="0"/>
    <m/>
    <n v="0"/>
    <n v="0"/>
    <m/>
    <m/>
    <n v="0"/>
    <m/>
    <n v="0"/>
    <n v="0"/>
    <n v="0"/>
    <n v="0"/>
    <n v="0"/>
    <n v="0"/>
    <n v="0"/>
    <s v="NA"/>
    <m/>
  </r>
  <r>
    <s v="NSG"/>
    <x v="5"/>
    <x v="8"/>
    <s v="Staffing"/>
    <x v="68"/>
    <n v="0"/>
    <s v="CI"/>
    <x v="3"/>
    <n v="0"/>
    <s v="each"/>
    <n v="0.85"/>
    <n v="0.8"/>
    <n v="0.7"/>
    <n v="0.68"/>
    <n v="0"/>
    <m/>
    <n v="0"/>
    <n v="0"/>
    <n v="0"/>
    <n v="0"/>
    <n v="1.02"/>
    <n v="1.02"/>
    <n v="1.02"/>
    <n v="1.02"/>
    <n v="0"/>
    <n v="0"/>
    <n v="0"/>
    <n v="0"/>
    <n v="0"/>
    <n v="1.02"/>
    <n v="1.02"/>
    <n v="1.02"/>
    <n v="1.02"/>
    <n v="1.02"/>
    <n v="1.02"/>
    <n v="1.02"/>
    <n v="1.02"/>
    <m/>
    <m/>
    <n v="0"/>
    <m/>
    <n v="0"/>
    <n v="0"/>
    <m/>
    <m/>
    <n v="0"/>
    <s v="n/a"/>
    <n v="0"/>
    <n v="0"/>
    <n v="0"/>
    <m/>
    <m/>
    <n v="0"/>
    <m/>
    <n v="0"/>
    <n v="0"/>
    <m/>
    <m/>
    <n v="0"/>
    <m/>
    <n v="0"/>
    <n v="0"/>
    <n v="0"/>
    <n v="0"/>
    <n v="0"/>
    <n v="0"/>
    <n v="0"/>
    <s v="NA"/>
    <m/>
  </r>
  <r>
    <s v="NSG"/>
    <x v="5"/>
    <x v="8"/>
    <s v="Rebates"/>
    <x v="66"/>
    <n v="0"/>
    <s v="CI"/>
    <x v="3"/>
    <n v="0"/>
    <s v="each"/>
    <n v="0.85"/>
    <n v="0.8"/>
    <n v="0.7"/>
    <n v="0.68"/>
    <n v="0"/>
    <m/>
    <n v="234.94825714285713"/>
    <n v="234.94825714285713"/>
    <n v="234.94825714285713"/>
    <n v="234.94825714285713"/>
    <n v="0.91"/>
    <n v="0.91"/>
    <n v="0.91"/>
    <n v="0.91"/>
    <n v="181.73247689999999"/>
    <n v="171.04233120000001"/>
    <n v="149.6620398"/>
    <n v="145.38598152"/>
    <n v="647.82282941999995"/>
    <n v="0.91"/>
    <n v="0.91"/>
    <n v="0.91"/>
    <n v="0.91"/>
    <n v="0.91"/>
    <n v="0.91"/>
    <n v="0.91"/>
    <n v="0.91"/>
    <m/>
    <m/>
    <n v="234.94825714285713"/>
    <m/>
    <n v="181.73247689999999"/>
    <n v="0"/>
    <m/>
    <m/>
    <n v="234.94825714285713"/>
    <s v="n/a"/>
    <n v="171.04233120000001"/>
    <n v="171.04233120000001"/>
    <n v="0"/>
    <m/>
    <m/>
    <n v="234.94825714285713"/>
    <m/>
    <n v="149.6620398"/>
    <n v="0"/>
    <m/>
    <m/>
    <n v="234.94825714285713"/>
    <m/>
    <n v="145.38598152"/>
    <n v="0"/>
    <n v="181.73247689999999"/>
    <n v="171.04233120000001"/>
    <n v="149.6620398"/>
    <n v="145.38598152"/>
    <n v="647.82282941999995"/>
    <s v="NA"/>
    <m/>
  </r>
  <r>
    <s v="NSG"/>
    <x v="5"/>
    <x v="8"/>
    <s v="Rebates"/>
    <x v="4"/>
    <s v="Steam Med Fitting"/>
    <s v="CI"/>
    <x v="3"/>
    <s v="&quot;3 - Pipe Insulation&quot; worksheet"/>
    <s v="each"/>
    <n v="0.85"/>
    <n v="0.8"/>
    <n v="0.7"/>
    <n v="0.68"/>
    <n v="0"/>
    <m/>
    <n v="16.16754015857342"/>
    <n v="16.16754015857342"/>
    <n v="16.16754015857342"/>
    <n v="16.16754015857342"/>
    <n v="0.91"/>
    <n v="0.91"/>
    <n v="0.91"/>
    <n v="0.91"/>
    <n v="12.505592312656541"/>
    <n v="11.769969235441451"/>
    <n v="10.298723081011268"/>
    <n v="10.004473850125233"/>
    <n v="44.578758479234494"/>
    <n v="0.91"/>
    <n v="0.91"/>
    <n v="0.91"/>
    <n v="0.91"/>
    <n v="0.91"/>
    <n v="0.91"/>
    <n v="0.91"/>
    <n v="0.91"/>
    <m/>
    <m/>
    <n v="16.16754015857342"/>
    <m/>
    <n v="12.505592312656541"/>
    <n v="0"/>
    <m/>
    <m/>
    <n v="16.16754015857342"/>
    <s v="n/a"/>
    <n v="11.769969235441451"/>
    <n v="11.769969235441451"/>
    <n v="0"/>
    <m/>
    <m/>
    <n v="16.16754015857342"/>
    <m/>
    <n v="10.298723081011268"/>
    <n v="0"/>
    <m/>
    <m/>
    <n v="16.16754015857342"/>
    <m/>
    <n v="10.004473850125233"/>
    <n v="0"/>
    <n v="12.505592312656541"/>
    <n v="11.769969235441451"/>
    <n v="10.298723081011268"/>
    <n v="10.004473850125233"/>
    <n v="44.578758479234494"/>
    <s v="NA"/>
    <m/>
  </r>
  <r>
    <s v="NSG"/>
    <x v="5"/>
    <x v="8"/>
    <s v="Gas Optimization"/>
    <x v="25"/>
    <n v="0"/>
    <s v="CI"/>
    <x v="3"/>
    <n v="0"/>
    <s v="therm"/>
    <n v="72858"/>
    <n v="77715.199999999997"/>
    <n v="68000.800000000003"/>
    <n v="66057.919999999998"/>
    <n v="0"/>
    <m/>
    <n v="1"/>
    <n v="1"/>
    <n v="1"/>
    <n v="1"/>
    <n v="0.94"/>
    <n v="0.94"/>
    <n v="0.94"/>
    <n v="0.94"/>
    <n v="68486.51999999999"/>
    <n v="73052.287999999986"/>
    <n v="63920.752"/>
    <n v="62094.444799999997"/>
    <n v="267554.0048"/>
    <n v="0.94"/>
    <n v="0.94"/>
    <n v="0.94"/>
    <n v="0.94"/>
    <n v="0.94"/>
    <n v="0.94"/>
    <n v="0.94"/>
    <n v="0.94"/>
    <m/>
    <m/>
    <n v="1"/>
    <m/>
    <n v="68486.51999999999"/>
    <n v="0"/>
    <m/>
    <m/>
    <n v="1"/>
    <s v="n/a"/>
    <n v="73052.287999999986"/>
    <n v="73052.287999999986"/>
    <n v="0"/>
    <m/>
    <m/>
    <n v="1"/>
    <m/>
    <n v="63920.752"/>
    <n v="0"/>
    <m/>
    <m/>
    <n v="1"/>
    <m/>
    <n v="62094.444799999997"/>
    <n v="0"/>
    <n v="68486.51999999999"/>
    <n v="73052.287999999986"/>
    <n v="63920.752"/>
    <n v="62094.444799999997"/>
    <n v="267554.0048"/>
    <s v="NA"/>
    <m/>
  </r>
  <r>
    <s v="NSG"/>
    <x v="5"/>
    <x v="8"/>
    <s v="Engineering Study"/>
    <x v="69"/>
    <n v="0"/>
    <s v="CI"/>
    <x v="3"/>
    <n v="0"/>
    <s v="each"/>
    <n v="0"/>
    <n v="0"/>
    <n v="0"/>
    <n v="0"/>
    <n v="0"/>
    <m/>
    <n v="0"/>
    <n v="0"/>
    <n v="0"/>
    <n v="0"/>
    <n v="1.02"/>
    <n v="1.02"/>
    <n v="1.02"/>
    <n v="1.02"/>
    <n v="0"/>
    <n v="0"/>
    <n v="0"/>
    <n v="0"/>
    <n v="0"/>
    <n v="1.02"/>
    <n v="1.02"/>
    <n v="1.02"/>
    <n v="1.02"/>
    <n v="1.02"/>
    <n v="1.02"/>
    <n v="1.02"/>
    <n v="1.02"/>
    <m/>
    <m/>
    <n v="0"/>
    <m/>
    <n v="0"/>
    <n v="0"/>
    <m/>
    <m/>
    <n v="0"/>
    <s v="n/a"/>
    <n v="0"/>
    <n v="0"/>
    <n v="0"/>
    <m/>
    <m/>
    <n v="0"/>
    <m/>
    <n v="0"/>
    <n v="0"/>
    <m/>
    <m/>
    <n v="0"/>
    <m/>
    <n v="0"/>
    <n v="0"/>
    <n v="0"/>
    <n v="0"/>
    <n v="0"/>
    <n v="0"/>
    <n v="0"/>
    <s v="NA"/>
    <m/>
  </r>
  <r>
    <s v="NSG"/>
    <x v="5"/>
    <x v="8"/>
    <s v="Rebates"/>
    <x v="34"/>
    <n v="0"/>
    <s v="CI"/>
    <x v="3"/>
    <s v="4.4.4"/>
    <s v="MBH"/>
    <n v="0"/>
    <n v="0"/>
    <n v="0"/>
    <n v="0"/>
    <s v="CI-HVC-BLRC-V04-210101"/>
    <m/>
    <n v="1.3424"/>
    <n v="1.3424"/>
    <n v="1.3424"/>
    <n v="1.3424"/>
    <n v="0.91"/>
    <n v="0.91"/>
    <n v="0.91"/>
    <n v="0.91"/>
    <n v="0"/>
    <n v="0"/>
    <n v="0"/>
    <n v="0"/>
    <n v="0"/>
    <n v="0.91"/>
    <n v="0.91"/>
    <n v="0.91"/>
    <n v="0.91"/>
    <n v="0.91"/>
    <n v="0.91"/>
    <n v="0.91"/>
    <n v="0.91"/>
    <m/>
    <m/>
    <n v="1.3424"/>
    <m/>
    <n v="0"/>
    <n v="0"/>
    <m/>
    <m/>
    <n v="1.3424"/>
    <s v="n/a"/>
    <n v="0"/>
    <n v="0"/>
    <n v="0"/>
    <m/>
    <m/>
    <n v="1.3424"/>
    <m/>
    <n v="0"/>
    <n v="0"/>
    <m/>
    <m/>
    <n v="1.3424"/>
    <m/>
    <n v="0"/>
    <n v="0"/>
    <n v="0"/>
    <n v="0"/>
    <n v="0"/>
    <n v="0"/>
    <n v="0"/>
    <s v="NA"/>
    <m/>
  </r>
  <r>
    <s v="NSG"/>
    <x v="5"/>
    <x v="8"/>
    <s v="Rebates"/>
    <x v="37"/>
    <s v="&gt;95% AFUE"/>
    <s v="CI"/>
    <x v="3"/>
    <s v="4.4.11"/>
    <s v="each"/>
    <n v="0"/>
    <n v="0"/>
    <n v="0"/>
    <n v="0"/>
    <s v="CI-HVC-FRNC-V12-230101"/>
    <m/>
    <n v="247.08549999999985"/>
    <n v="247.08549999999985"/>
    <n v="247.08549999999985"/>
    <n v="247.08549999999985"/>
    <n v="0.91"/>
    <n v="0.91"/>
    <n v="0.91"/>
    <n v="0.91"/>
    <n v="0"/>
    <n v="0"/>
    <n v="0"/>
    <n v="0"/>
    <n v="0"/>
    <n v="0.91"/>
    <n v="0.91"/>
    <n v="0.91"/>
    <n v="0.91"/>
    <n v="0.91"/>
    <n v="0.91"/>
    <n v="0.91"/>
    <n v="0.91"/>
    <m/>
    <m/>
    <n v="247.08549999999985"/>
    <m/>
    <n v="0"/>
    <n v="0"/>
    <m/>
    <m/>
    <n v="247.08549999999985"/>
    <s v="n/a"/>
    <n v="0"/>
    <n v="0"/>
    <n v="0"/>
    <m/>
    <m/>
    <n v="247.08549999999985"/>
    <m/>
    <n v="0"/>
    <n v="0"/>
    <m/>
    <m/>
    <n v="247.08549999999985"/>
    <m/>
    <n v="0"/>
    <n v="0"/>
    <n v="0"/>
    <n v="0"/>
    <n v="0"/>
    <n v="0"/>
    <n v="0"/>
    <s v="NA"/>
    <m/>
  </r>
  <r>
    <s v="NSG"/>
    <x v="5"/>
    <x v="8"/>
    <s v="Rebates"/>
    <x v="70"/>
    <n v="0"/>
    <s v="MF/CI"/>
    <x v="3"/>
    <s v="4.4.5"/>
    <s v="MBH"/>
    <n v="0"/>
    <n v="0"/>
    <n v="0"/>
    <n v="0"/>
    <s v="CI-HVC-CUHT-V03-230101"/>
    <m/>
    <n v="1.7733333333333334"/>
    <n v="1.7733333333333334"/>
    <n v="1.7733333333333334"/>
    <n v="1.7733333333333334"/>
    <n v="0.91"/>
    <n v="0.91"/>
    <n v="0.91"/>
    <n v="0.91"/>
    <n v="0"/>
    <n v="0"/>
    <n v="0"/>
    <n v="0"/>
    <n v="0"/>
    <n v="0.91"/>
    <n v="0.91"/>
    <n v="0.91"/>
    <n v="0.91"/>
    <n v="0.91"/>
    <n v="0.91"/>
    <n v="0.91"/>
    <n v="0.91"/>
    <m/>
    <m/>
    <n v="1.6896527777777772"/>
    <m/>
    <n v="0"/>
    <n v="0"/>
    <m/>
    <m/>
    <n v="1.6896527777777772"/>
    <s v="n/a"/>
    <n v="0"/>
    <n v="0"/>
    <n v="0"/>
    <m/>
    <m/>
    <n v="1.6896527777777772"/>
    <m/>
    <n v="0"/>
    <n v="0"/>
    <m/>
    <m/>
    <n v="1.6896527777777772"/>
    <m/>
    <n v="0"/>
    <n v="0"/>
    <n v="0"/>
    <n v="0"/>
    <n v="0"/>
    <n v="0"/>
    <n v="0"/>
    <s v="NA"/>
    <m/>
  </r>
  <r>
    <s v="NSG"/>
    <x v="5"/>
    <x v="8"/>
    <s v="Rebates"/>
    <x v="71"/>
    <n v="0"/>
    <s v="MF/CI"/>
    <x v="3"/>
    <s v="4.4.39"/>
    <s v="MBH"/>
    <n v="0"/>
    <n v="0"/>
    <n v="0"/>
    <n v="0"/>
    <s v="CI-HVC-HTHV-V02-230101"/>
    <m/>
    <n v="3.72"/>
    <n v="3.72"/>
    <n v="3.72"/>
    <n v="3.72"/>
    <n v="0.91"/>
    <n v="0.91"/>
    <n v="0.91"/>
    <n v="0.91"/>
    <n v="0"/>
    <n v="0"/>
    <n v="0"/>
    <n v="0"/>
    <n v="0"/>
    <n v="0.91"/>
    <n v="0.91"/>
    <n v="0.91"/>
    <n v="0.91"/>
    <n v="0.91"/>
    <n v="0.91"/>
    <n v="0.91"/>
    <n v="0.91"/>
    <m/>
    <m/>
    <n v="3.72"/>
    <m/>
    <n v="0"/>
    <n v="0"/>
    <m/>
    <m/>
    <n v="3.72"/>
    <s v="n/a"/>
    <n v="0"/>
    <n v="0"/>
    <n v="0"/>
    <m/>
    <m/>
    <n v="3.72"/>
    <m/>
    <n v="0"/>
    <n v="0"/>
    <m/>
    <m/>
    <n v="3.72"/>
    <m/>
    <n v="0"/>
    <n v="0"/>
    <n v="0"/>
    <n v="0"/>
    <n v="0"/>
    <n v="0"/>
    <n v="0"/>
    <s v="NA"/>
    <m/>
  </r>
  <r>
    <s v="NSG"/>
    <x v="5"/>
    <x v="8"/>
    <s v="Rebates"/>
    <x v="72"/>
    <n v="0"/>
    <s v="CI"/>
    <x v="3"/>
    <s v="4.4.48"/>
    <s v="each"/>
    <n v="0"/>
    <n v="0"/>
    <n v="0"/>
    <n v="0"/>
    <s v="CI-HVC-THST-V05-230101"/>
    <m/>
    <n v="196.26391399999997"/>
    <n v="196.26391399999997"/>
    <n v="196.26391399999997"/>
    <n v="196.26391399999997"/>
    <n v="0.91"/>
    <n v="0.91"/>
    <n v="0.91"/>
    <n v="0.91"/>
    <n v="0"/>
    <n v="0"/>
    <n v="0"/>
    <n v="0"/>
    <n v="0"/>
    <n v="0.91"/>
    <n v="0.91"/>
    <n v="0.91"/>
    <n v="0.91"/>
    <n v="0.91"/>
    <n v="0.91"/>
    <n v="0.91"/>
    <n v="0.91"/>
    <m/>
    <m/>
    <n v="157.01113119999999"/>
    <m/>
    <n v="0"/>
    <n v="0"/>
    <m/>
    <m/>
    <n v="157.01113119999999"/>
    <s v="n/a"/>
    <n v="0"/>
    <n v="0"/>
    <n v="0"/>
    <m/>
    <m/>
    <n v="157.01113119999999"/>
    <m/>
    <n v="0"/>
    <n v="0"/>
    <m/>
    <m/>
    <n v="157.01113119999999"/>
    <m/>
    <n v="0"/>
    <n v="0"/>
    <n v="0"/>
    <n v="0"/>
    <n v="0"/>
    <n v="0"/>
    <n v="0"/>
    <s v="NA"/>
    <m/>
  </r>
  <r>
    <s v="NSG"/>
    <x v="5"/>
    <x v="8"/>
    <s v="Rebates"/>
    <x v="12"/>
    <s v="Storage 0.67 EF"/>
    <s v="CI"/>
    <x v="3"/>
    <s v="4.3.1"/>
    <s v="each"/>
    <n v="0"/>
    <n v="0"/>
    <n v="0"/>
    <n v="0"/>
    <s v="CI-HWE-STWH-V09-230101"/>
    <m/>
    <n v="56.252452620818083"/>
    <n v="56.252452620818083"/>
    <n v="56.252452620818083"/>
    <n v="56.252452620818083"/>
    <n v="0.91"/>
    <n v="0.91"/>
    <n v="0.91"/>
    <n v="0.91"/>
    <n v="0"/>
    <n v="0"/>
    <n v="0"/>
    <n v="0"/>
    <n v="0"/>
    <n v="0.91"/>
    <n v="0.91"/>
    <n v="0.91"/>
    <n v="0.91"/>
    <n v="0.91"/>
    <n v="0.91"/>
    <n v="0.91"/>
    <n v="0.91"/>
    <m/>
    <m/>
    <n v="58.867003235588506"/>
    <m/>
    <n v="0"/>
    <n v="0"/>
    <m/>
    <m/>
    <n v="58.550513970881049"/>
    <s v="n/a"/>
    <n v="0"/>
    <n v="0"/>
    <n v="0"/>
    <m/>
    <m/>
    <n v="58.550513970881049"/>
    <m/>
    <n v="0"/>
    <n v="0"/>
    <m/>
    <m/>
    <n v="58.550513970881049"/>
    <m/>
    <n v="0"/>
    <n v="0"/>
    <n v="0"/>
    <n v="0"/>
    <n v="0"/>
    <n v="0"/>
    <n v="0"/>
    <s v="NA"/>
    <m/>
  </r>
  <r>
    <s v="NSG"/>
    <x v="5"/>
    <x v="8"/>
    <s v="Rebates"/>
    <x v="73"/>
    <n v="0"/>
    <s v="MF/CI"/>
    <x v="3"/>
    <s v="4.4.12"/>
    <s v="MBH"/>
    <n v="0"/>
    <n v="0"/>
    <n v="0"/>
    <n v="0"/>
    <s v="CI-HVC-IRHT-V03-230101"/>
    <m/>
    <n v="2.9611764705882351"/>
    <n v="2.9611764705882351"/>
    <n v="2.9611764705882351"/>
    <n v="2.9611764705882351"/>
    <n v="0.91"/>
    <n v="0.91"/>
    <n v="0.91"/>
    <n v="0.91"/>
    <n v="0"/>
    <n v="0"/>
    <n v="0"/>
    <n v="0"/>
    <n v="0"/>
    <n v="0.91"/>
    <n v="0.91"/>
    <n v="0.91"/>
    <n v="0.91"/>
    <n v="0.91"/>
    <n v="0.91"/>
    <n v="0.91"/>
    <n v="0.91"/>
    <m/>
    <m/>
    <n v="2.9611764705882351"/>
    <m/>
    <n v="0"/>
    <n v="0"/>
    <m/>
    <m/>
    <n v="2.9611764705882351"/>
    <s v="n/a"/>
    <n v="0"/>
    <n v="0"/>
    <n v="0"/>
    <m/>
    <m/>
    <n v="2.9611764705882351"/>
    <m/>
    <n v="0"/>
    <n v="0"/>
    <m/>
    <m/>
    <n v="2.9611764705882351"/>
    <m/>
    <n v="0"/>
    <n v="0"/>
    <n v="0"/>
    <n v="0"/>
    <n v="0"/>
    <n v="0"/>
    <n v="0"/>
    <s v="NA"/>
    <m/>
  </r>
  <r>
    <s v="NSG"/>
    <x v="5"/>
    <x v="8"/>
    <s v="Rebates"/>
    <x v="56"/>
    <s v="Hotels &amp; Hospitals"/>
    <s v="CI"/>
    <x v="3"/>
    <s v="4.8.4"/>
    <s v="each"/>
    <n v="0"/>
    <n v="0"/>
    <n v="0"/>
    <n v="0"/>
    <s v="CI-MSC-MODD-V02-230101"/>
    <m/>
    <n v="649.26"/>
    <n v="649.26"/>
    <n v="649.26"/>
    <n v="649.26"/>
    <n v="0.91"/>
    <n v="0.91"/>
    <n v="0.91"/>
    <n v="0.91"/>
    <n v="0"/>
    <n v="0"/>
    <n v="0"/>
    <n v="0"/>
    <n v="0"/>
    <n v="0.91"/>
    <n v="0.91"/>
    <n v="0.91"/>
    <n v="0.91"/>
    <n v="0.91"/>
    <n v="0.91"/>
    <n v="0.91"/>
    <n v="0.91"/>
    <m/>
    <m/>
    <n v="649.26"/>
    <m/>
    <n v="0"/>
    <n v="0"/>
    <m/>
    <m/>
    <n v="649.26"/>
    <s v="Updated measure lifetime."/>
    <n v="0"/>
    <n v="0"/>
    <n v="0"/>
    <m/>
    <m/>
    <n v="649.26"/>
    <m/>
    <n v="0"/>
    <n v="0"/>
    <m/>
    <m/>
    <n v="649.26"/>
    <m/>
    <n v="0"/>
    <n v="0"/>
    <n v="0"/>
    <n v="0"/>
    <n v="0"/>
    <n v="0"/>
    <n v="0"/>
    <s v="NA"/>
    <m/>
  </r>
  <r>
    <s v="NSG"/>
    <x v="5"/>
    <x v="8"/>
    <s v="Rebates"/>
    <x v="56"/>
    <s v="Laundromat &amp; MF Dorms"/>
    <s v="MF/SMB"/>
    <x v="3"/>
    <s v="4.8.4"/>
    <s v="each"/>
    <n v="0"/>
    <n v="0"/>
    <n v="0"/>
    <n v="0"/>
    <s v="CI-MSC-MODD-V02-230101"/>
    <m/>
    <n v="230.13"/>
    <n v="230.13"/>
    <n v="230.13"/>
    <n v="230.13"/>
    <n v="0.91"/>
    <n v="0.91"/>
    <n v="0.91"/>
    <n v="0.91"/>
    <n v="0"/>
    <n v="0"/>
    <n v="0"/>
    <n v="0"/>
    <n v="0"/>
    <n v="0.91"/>
    <n v="0.91"/>
    <n v="0.91"/>
    <n v="0.91"/>
    <n v="0.91"/>
    <n v="0.91"/>
    <n v="0.91"/>
    <n v="0.91"/>
    <m/>
    <m/>
    <n v="230.13"/>
    <m/>
    <n v="0"/>
    <n v="0"/>
    <m/>
    <m/>
    <n v="230.13"/>
    <s v="Updated measure lifetime."/>
    <n v="0"/>
    <n v="0"/>
    <n v="0"/>
    <m/>
    <m/>
    <n v="230.13"/>
    <m/>
    <n v="0"/>
    <n v="0"/>
    <m/>
    <m/>
    <n v="230.13"/>
    <m/>
    <n v="0"/>
    <n v="0"/>
    <n v="0"/>
    <n v="0"/>
    <n v="0"/>
    <n v="0"/>
    <n v="0"/>
    <s v="NA"/>
    <m/>
  </r>
  <r>
    <s v="NSG"/>
    <x v="5"/>
    <x v="8"/>
    <s v="Rebates"/>
    <x v="74"/>
    <n v="0"/>
    <s v="MF/CI"/>
    <x v="3"/>
    <s v="4.3.6"/>
    <s v="lb-capacity"/>
    <n v="0"/>
    <n v="0"/>
    <n v="0"/>
    <n v="0"/>
    <s v="CI-HWE-OZLD-V07-230101"/>
    <m/>
    <n v="30.722664192350027"/>
    <n v="30.722664192350027"/>
    <n v="30.722664192350027"/>
    <n v="30.722664192350027"/>
    <n v="0.91"/>
    <n v="0.91"/>
    <n v="0.91"/>
    <n v="0.91"/>
    <n v="0"/>
    <n v="0"/>
    <n v="0"/>
    <n v="0"/>
    <n v="0"/>
    <n v="0.91"/>
    <n v="0.91"/>
    <n v="0.91"/>
    <n v="0.91"/>
    <n v="0.91"/>
    <n v="0.91"/>
    <n v="0.91"/>
    <n v="0.91"/>
    <m/>
    <m/>
    <n v="30.722664192350027"/>
    <m/>
    <n v="0"/>
    <n v="0"/>
    <m/>
    <m/>
    <n v="30.722664192350027"/>
    <s v="n/a"/>
    <n v="0"/>
    <n v="0"/>
    <n v="0"/>
    <m/>
    <m/>
    <n v="30.722664192350027"/>
    <m/>
    <n v="0"/>
    <n v="0"/>
    <m/>
    <m/>
    <n v="30.722664192350027"/>
    <m/>
    <n v="0"/>
    <n v="0"/>
    <n v="0"/>
    <n v="0"/>
    <n v="0"/>
    <n v="0"/>
    <n v="0"/>
    <s v="NA"/>
    <m/>
  </r>
  <r>
    <s v="NSG"/>
    <x v="5"/>
    <x v="8"/>
    <s v="Rebates"/>
    <x v="4"/>
    <s v="Steam Large Fitting"/>
    <s v="CI"/>
    <x v="3"/>
    <s v="&quot;3 - Pipe Insulation&quot; worksheet"/>
    <s v="each"/>
    <n v="0"/>
    <n v="0"/>
    <n v="0"/>
    <n v="0"/>
    <n v="0"/>
    <m/>
    <n v="44.895855334511324"/>
    <n v="44.895855334511324"/>
    <n v="44.895855334511324"/>
    <n v="44.895855334511324"/>
    <n v="0.91"/>
    <n v="0.91"/>
    <n v="0.91"/>
    <n v="0.91"/>
    <n v="0"/>
    <n v="0"/>
    <n v="0"/>
    <n v="0"/>
    <n v="0"/>
    <n v="0.91"/>
    <n v="0.91"/>
    <n v="0.91"/>
    <n v="0.91"/>
    <n v="0.91"/>
    <n v="0.91"/>
    <n v="0.91"/>
    <n v="0.91"/>
    <m/>
    <m/>
    <n v="44.895855334511324"/>
    <m/>
    <n v="0"/>
    <n v="0"/>
    <m/>
    <m/>
    <n v="44.895855334511324"/>
    <s v="n/a"/>
    <n v="0"/>
    <n v="0"/>
    <n v="0"/>
    <m/>
    <m/>
    <n v="44.895855334511324"/>
    <m/>
    <n v="0"/>
    <n v="0"/>
    <m/>
    <m/>
    <n v="44.895855334511324"/>
    <m/>
    <n v="0"/>
    <n v="0"/>
    <n v="0"/>
    <n v="0"/>
    <n v="0"/>
    <n v="0"/>
    <n v="0"/>
    <s v="NA"/>
    <m/>
  </r>
  <r>
    <s v="NSG"/>
    <x v="5"/>
    <x v="8"/>
    <s v="Rebates"/>
    <x v="4"/>
    <s v="Steam X-Large Fitting"/>
    <s v="CI"/>
    <x v="3"/>
    <s v="&quot;3 - Pipe Insulation&quot; worksheet"/>
    <s v="each"/>
    <n v="0"/>
    <n v="0"/>
    <n v="0"/>
    <n v="0"/>
    <n v="0"/>
    <m/>
    <n v="80.577400496643122"/>
    <n v="80.577400496643122"/>
    <n v="80.577400496643122"/>
    <n v="80.577400496643122"/>
    <n v="0.91"/>
    <n v="0.91"/>
    <n v="0.91"/>
    <n v="0.91"/>
    <n v="0"/>
    <n v="0"/>
    <n v="0"/>
    <n v="0"/>
    <n v="0"/>
    <n v="0.91"/>
    <n v="0.91"/>
    <n v="0.91"/>
    <n v="0.91"/>
    <n v="0.91"/>
    <n v="0.91"/>
    <n v="0.91"/>
    <n v="0.91"/>
    <m/>
    <m/>
    <n v="80.577400496643122"/>
    <m/>
    <n v="0"/>
    <n v="0"/>
    <m/>
    <m/>
    <n v="80.577400496643122"/>
    <s v="n/a"/>
    <n v="0"/>
    <n v="0"/>
    <n v="0"/>
    <m/>
    <m/>
    <n v="80.577400496643122"/>
    <m/>
    <n v="0"/>
    <n v="0"/>
    <m/>
    <m/>
    <n v="80.577400496643122"/>
    <m/>
    <n v="0"/>
    <n v="0"/>
    <n v="0"/>
    <n v="0"/>
    <n v="0"/>
    <n v="0"/>
    <n v="0"/>
    <s v="NA"/>
    <m/>
  </r>
  <r>
    <s v="NSG"/>
    <x v="5"/>
    <x v="8"/>
    <s v="Rebates"/>
    <x v="4"/>
    <s v="Steam Med Valve"/>
    <s v="CI"/>
    <x v="3"/>
    <s v="&quot;3 - Pipe Insulation&quot; worksheet"/>
    <s v="each"/>
    <n v="0"/>
    <n v="0"/>
    <n v="0"/>
    <n v="0"/>
    <n v="0"/>
    <m/>
    <n v="49.002251273013741"/>
    <n v="49.002251273013741"/>
    <n v="49.002251273013741"/>
    <n v="49.002251273013741"/>
    <n v="0.91"/>
    <n v="0.91"/>
    <n v="0.91"/>
    <n v="0.91"/>
    <n v="0"/>
    <n v="0"/>
    <n v="0"/>
    <n v="0"/>
    <n v="0"/>
    <n v="0.91"/>
    <n v="0.91"/>
    <n v="0.91"/>
    <n v="0.91"/>
    <n v="0.91"/>
    <n v="0.91"/>
    <n v="0.91"/>
    <n v="0.91"/>
    <m/>
    <m/>
    <n v="49.002251273013741"/>
    <m/>
    <n v="0"/>
    <n v="0"/>
    <m/>
    <m/>
    <n v="49.002251273013741"/>
    <s v="n/a"/>
    <n v="0"/>
    <n v="0"/>
    <n v="0"/>
    <m/>
    <m/>
    <n v="49.002251273013741"/>
    <m/>
    <n v="0"/>
    <n v="0"/>
    <m/>
    <m/>
    <n v="49.002251273013741"/>
    <m/>
    <n v="0"/>
    <n v="0"/>
    <n v="0"/>
    <n v="0"/>
    <n v="0"/>
    <n v="0"/>
    <n v="0"/>
    <s v="NA"/>
    <m/>
  </r>
  <r>
    <s v="NSG"/>
    <x v="5"/>
    <x v="8"/>
    <s v="Rebates"/>
    <x v="4"/>
    <s v="Steam Large Valve"/>
    <s v="CI"/>
    <x v="3"/>
    <s v="&quot;3 - Pipe Insulation&quot; worksheet"/>
    <s v="each"/>
    <n v="0"/>
    <n v="0"/>
    <n v="0"/>
    <n v="0"/>
    <n v="0"/>
    <m/>
    <n v="107.52607289087437"/>
    <n v="107.52607289087437"/>
    <n v="107.52607289087437"/>
    <n v="107.52607289087437"/>
    <n v="0.91"/>
    <n v="0.91"/>
    <n v="0.91"/>
    <n v="0.91"/>
    <n v="0"/>
    <n v="0"/>
    <n v="0"/>
    <n v="0"/>
    <n v="0"/>
    <n v="0.91"/>
    <n v="0.91"/>
    <n v="0.91"/>
    <n v="0.91"/>
    <n v="0.91"/>
    <n v="0.91"/>
    <n v="0.91"/>
    <n v="0.91"/>
    <m/>
    <m/>
    <n v="107.52607289087437"/>
    <m/>
    <n v="0"/>
    <n v="0"/>
    <m/>
    <m/>
    <n v="107.52607289087437"/>
    <s v="n/a"/>
    <n v="0"/>
    <n v="0"/>
    <n v="0"/>
    <m/>
    <m/>
    <n v="107.52607289087437"/>
    <m/>
    <n v="0"/>
    <n v="0"/>
    <m/>
    <m/>
    <n v="107.52607289087437"/>
    <m/>
    <n v="0"/>
    <n v="0"/>
    <n v="0"/>
    <n v="0"/>
    <n v="0"/>
    <n v="0"/>
    <n v="0"/>
    <s v="NA"/>
    <m/>
  </r>
  <r>
    <s v="NSG"/>
    <x v="5"/>
    <x v="8"/>
    <s v="Rebates"/>
    <x v="4"/>
    <s v="Steam X-Large Valve"/>
    <s v="CI"/>
    <x v="3"/>
    <s v="&quot;3 - Pipe Insulation&quot; worksheet"/>
    <s v="each"/>
    <n v="0"/>
    <n v="0"/>
    <n v="0"/>
    <n v="0"/>
    <n v="0"/>
    <m/>
    <n v="175.06254164158375"/>
    <n v="175.06254164158375"/>
    <n v="175.06254164158375"/>
    <n v="175.06254164158375"/>
    <n v="0.91"/>
    <n v="0.91"/>
    <n v="0.91"/>
    <n v="0.91"/>
    <n v="0"/>
    <n v="0"/>
    <n v="0"/>
    <n v="0"/>
    <n v="0"/>
    <n v="0.91"/>
    <n v="0.91"/>
    <n v="0.91"/>
    <n v="0.91"/>
    <n v="0.91"/>
    <n v="0.91"/>
    <n v="0.91"/>
    <n v="0.91"/>
    <m/>
    <m/>
    <n v="175.06254164158375"/>
    <m/>
    <n v="0"/>
    <n v="0"/>
    <m/>
    <m/>
    <n v="175.06254164158375"/>
    <s v="n/a"/>
    <n v="0"/>
    <n v="0"/>
    <n v="0"/>
    <m/>
    <m/>
    <n v="175.06254164158375"/>
    <m/>
    <n v="0"/>
    <n v="0"/>
    <m/>
    <m/>
    <n v="175.06254164158375"/>
    <m/>
    <n v="0"/>
    <n v="0"/>
    <n v="0"/>
    <n v="0"/>
    <n v="0"/>
    <n v="0"/>
    <n v="0"/>
    <s v="NA"/>
    <m/>
  </r>
  <r>
    <s v="NSG"/>
    <x v="5"/>
    <x v="8"/>
    <s v="Rebates"/>
    <x v="10"/>
    <n v="0"/>
    <s v="CI"/>
    <x v="3"/>
    <s v="4.2.11"/>
    <s v="each"/>
    <n v="0"/>
    <n v="0"/>
    <n v="0"/>
    <n v="0"/>
    <s v="CI-FSE-CVOV-V02-180101"/>
    <m/>
    <n v="235.77765120000004"/>
    <n v="235.77765120000004"/>
    <n v="235.77765120000004"/>
    <n v="235.77765120000004"/>
    <n v="0.91"/>
    <n v="0.91"/>
    <n v="0.91"/>
    <n v="0.91"/>
    <n v="0"/>
    <n v="0"/>
    <n v="0"/>
    <n v="0"/>
    <n v="0"/>
    <n v="0.91"/>
    <n v="0.91"/>
    <n v="0.91"/>
    <n v="0.91"/>
    <n v="0.91"/>
    <n v="0.91"/>
    <n v="0.91"/>
    <n v="0.91"/>
    <m/>
    <m/>
    <n v="247.22970854399998"/>
    <m/>
    <n v="0"/>
    <n v="0"/>
    <m/>
    <m/>
    <n v="247.22970854399998"/>
    <s v="n/a"/>
    <n v="0"/>
    <n v="0"/>
    <n v="0"/>
    <m/>
    <m/>
    <n v="247.22970854399998"/>
    <m/>
    <n v="0"/>
    <n v="0"/>
    <m/>
    <m/>
    <n v="247.22970854399998"/>
    <m/>
    <n v="0"/>
    <n v="0"/>
    <n v="0"/>
    <n v="0"/>
    <n v="0"/>
    <n v="0"/>
    <n v="0"/>
    <s v="NA"/>
    <m/>
  </r>
  <r>
    <s v="NSG"/>
    <x v="5"/>
    <x v="8"/>
    <s v="Rebates"/>
    <x v="41"/>
    <s v="Dry Cleaner/Industrial - No Audit"/>
    <s v="MF/CI/SMB"/>
    <x v="3"/>
    <s v="4.4.16"/>
    <s v="each"/>
    <n v="0"/>
    <n v="0"/>
    <n v="0"/>
    <n v="0"/>
    <s v="CI-HVC-STRE-V09-230101"/>
    <m/>
    <n v="174.96360308617389"/>
    <n v="174.96360308617389"/>
    <n v="174.96360308617389"/>
    <n v="174.96360308617389"/>
    <n v="0.91"/>
    <n v="0.91"/>
    <n v="0.91"/>
    <n v="0.91"/>
    <n v="0"/>
    <n v="0"/>
    <n v="0"/>
    <n v="0"/>
    <n v="0"/>
    <n v="0.91"/>
    <n v="0.91"/>
    <n v="0.91"/>
    <n v="0.91"/>
    <n v="0.91"/>
    <n v="0.91"/>
    <n v="0.91"/>
    <n v="0.91"/>
    <m/>
    <m/>
    <n v="174.96360308617389"/>
    <m/>
    <n v="0"/>
    <n v="0"/>
    <m/>
    <m/>
    <n v="174.96360308617389"/>
    <s v="Updated inputs for Commercial LPS Space Heating and Industrial/Process Low Pressure"/>
    <n v="0"/>
    <n v="0"/>
    <n v="0"/>
    <m/>
    <m/>
    <n v="174.96360308617389"/>
    <m/>
    <n v="0"/>
    <n v="0"/>
    <m/>
    <m/>
    <n v="174.96360308617389"/>
    <m/>
    <n v="0"/>
    <n v="0"/>
    <n v="0"/>
    <n v="0"/>
    <n v="0"/>
    <n v="0"/>
    <n v="0"/>
    <s v="NA"/>
    <m/>
  </r>
  <r>
    <s v="NSG"/>
    <x v="5"/>
    <x v="8"/>
    <s v="Rebates"/>
    <x v="41"/>
    <s v="Dry Cleaner/Industrial - Audit"/>
    <s v="MF/CI/SMB"/>
    <x v="3"/>
    <s v="4.4.16"/>
    <s v="each"/>
    <n v="0"/>
    <n v="0"/>
    <n v="0"/>
    <n v="0"/>
    <s v="CI-HVC-STRE-V09-230101"/>
    <m/>
    <n v="648.01334476360694"/>
    <n v="648.01334476360694"/>
    <n v="648.01334476360694"/>
    <n v="648.01334476360694"/>
    <n v="0.91"/>
    <n v="0.91"/>
    <n v="0.91"/>
    <n v="0.91"/>
    <n v="0"/>
    <n v="0"/>
    <n v="0"/>
    <n v="0"/>
    <n v="0"/>
    <n v="0.91"/>
    <n v="0.91"/>
    <n v="0.91"/>
    <n v="0.91"/>
    <n v="0.91"/>
    <n v="0.91"/>
    <n v="0.91"/>
    <n v="0.91"/>
    <m/>
    <m/>
    <n v="648.01334476360694"/>
    <m/>
    <n v="0"/>
    <n v="0"/>
    <m/>
    <m/>
    <n v="648.01334476360694"/>
    <s v="Updated inputs for Commercial LPS Space Heating and Industrial/Process Low Pressure"/>
    <n v="0"/>
    <n v="0"/>
    <n v="0"/>
    <m/>
    <m/>
    <n v="648.01334476360694"/>
    <m/>
    <n v="0"/>
    <n v="0"/>
    <m/>
    <m/>
    <n v="648.01334476360694"/>
    <m/>
    <n v="0"/>
    <n v="0"/>
    <n v="0"/>
    <n v="0"/>
    <n v="0"/>
    <n v="0"/>
    <n v="0"/>
    <s v="NA"/>
    <m/>
  </r>
  <r>
    <s v="NSG"/>
    <x v="5"/>
    <x v="8"/>
    <s v="Rebates"/>
    <x v="41"/>
    <s v="HVAC Repair/Rep - No Audit"/>
    <s v="CI"/>
    <x v="3"/>
    <s v="4.4.16"/>
    <s v="each"/>
    <n v="0"/>
    <n v="0"/>
    <n v="0"/>
    <n v="0"/>
    <s v="CI-HVC-STRE-V09-230101"/>
    <m/>
    <n v="103.61717935878508"/>
    <n v="103.61717935878508"/>
    <n v="103.61717935878508"/>
    <n v="103.61717935878508"/>
    <n v="0.91"/>
    <n v="0.91"/>
    <n v="0.91"/>
    <n v="0.91"/>
    <n v="0"/>
    <n v="0"/>
    <n v="0"/>
    <n v="0"/>
    <n v="0"/>
    <n v="0.91"/>
    <n v="0.91"/>
    <n v="0.91"/>
    <n v="0.91"/>
    <n v="0.91"/>
    <n v="0.91"/>
    <n v="0.91"/>
    <n v="0.91"/>
    <m/>
    <m/>
    <n v="103.61717935878508"/>
    <m/>
    <n v="0"/>
    <n v="0"/>
    <m/>
    <m/>
    <n v="210.59502881757265"/>
    <s v="Updated inputs for Commercial LPS Space Heating and Industrial/Process Low Pressure"/>
    <n v="0"/>
    <n v="0"/>
    <n v="0"/>
    <m/>
    <m/>
    <n v="210.59502881757265"/>
    <m/>
    <n v="0"/>
    <n v="0"/>
    <m/>
    <m/>
    <n v="210.59502881757265"/>
    <m/>
    <n v="0"/>
    <n v="0"/>
    <n v="0"/>
    <n v="0"/>
    <n v="0"/>
    <n v="0"/>
    <n v="0"/>
    <s v="NA"/>
    <m/>
  </r>
  <r>
    <s v="NSG"/>
    <x v="5"/>
    <x v="8"/>
    <s v="Rebates"/>
    <x v="41"/>
    <s v="Industrial/Process Audit - 250 ≤ psig"/>
    <s v="CI/SMB"/>
    <x v="3"/>
    <s v="4.4.16"/>
    <s v="each"/>
    <n v="0"/>
    <n v="0"/>
    <n v="0"/>
    <n v="0"/>
    <s v="CI-HVC-STRE-V09-230101"/>
    <m/>
    <n v="12689.405899537758"/>
    <n v="12689.405899537758"/>
    <n v="12689.405899537758"/>
    <n v="12689.405899537758"/>
    <n v="0.91"/>
    <n v="0.91"/>
    <n v="0.91"/>
    <n v="0.91"/>
    <n v="0"/>
    <n v="0"/>
    <n v="0"/>
    <n v="0"/>
    <n v="0"/>
    <n v="0.91"/>
    <n v="0.91"/>
    <n v="0.91"/>
    <n v="0.91"/>
    <n v="0.91"/>
    <n v="0.91"/>
    <n v="0.91"/>
    <n v="0.91"/>
    <m/>
    <m/>
    <n v="12689.405899537758"/>
    <m/>
    <n v="0"/>
    <n v="0"/>
    <m/>
    <m/>
    <n v="12689.405899537758"/>
    <s v="Updated inputs for Commercial LPS Space Heating and Industrial/Process Low Pressure"/>
    <n v="0"/>
    <n v="0"/>
    <n v="0"/>
    <m/>
    <m/>
    <n v="12689.405899537758"/>
    <m/>
    <n v="0"/>
    <n v="0"/>
    <m/>
    <m/>
    <n v="12689.405899537758"/>
    <m/>
    <n v="0"/>
    <n v="0"/>
    <n v="0"/>
    <n v="0"/>
    <n v="0"/>
    <n v="0"/>
    <n v="0"/>
    <s v="NA"/>
    <m/>
  </r>
  <r>
    <s v="NSG"/>
    <x v="5"/>
    <x v="8"/>
    <s v="Rebates"/>
    <x v="6"/>
    <n v="0"/>
    <s v="CI"/>
    <x v="3"/>
    <s v="4.4.48"/>
    <s v="each"/>
    <n v="0"/>
    <n v="0"/>
    <n v="0"/>
    <n v="0"/>
    <s v="CI-HVC-THST-V05-230101"/>
    <m/>
    <n v="159.30512500000003"/>
    <n v="159.30512500000003"/>
    <n v="159.30512500000003"/>
    <n v="159.30512500000003"/>
    <n v="0.91"/>
    <n v="0.91"/>
    <n v="0.91"/>
    <n v="0.91"/>
    <n v="0"/>
    <n v="0"/>
    <n v="0"/>
    <n v="0"/>
    <n v="0"/>
    <n v="0.91"/>
    <n v="0.91"/>
    <n v="0.91"/>
    <n v="0.91"/>
    <n v="0.91"/>
    <n v="0.91"/>
    <n v="0.91"/>
    <n v="0.91"/>
    <m/>
    <m/>
    <n v="200.26929999999999"/>
    <m/>
    <n v="0"/>
    <n v="0"/>
    <m/>
    <m/>
    <n v="200.26929999999999"/>
    <s v="n/a"/>
    <n v="0"/>
    <n v="0"/>
    <n v="0"/>
    <m/>
    <m/>
    <n v="200.26929999999999"/>
    <m/>
    <n v="0"/>
    <n v="0"/>
    <m/>
    <m/>
    <n v="200.26929999999999"/>
    <m/>
    <n v="0"/>
    <n v="0"/>
    <n v="0"/>
    <n v="0"/>
    <n v="0"/>
    <n v="0"/>
    <n v="0"/>
    <s v="NA"/>
    <m/>
  </r>
  <r>
    <s v="NSG"/>
    <x v="5"/>
    <x v="8"/>
    <s v="Rebates"/>
    <x v="12"/>
    <s v="Storage 88% TE ≥75MBh"/>
    <s v="CI"/>
    <x v="3"/>
    <s v="4.3.1"/>
    <s v="each"/>
    <n v="0"/>
    <n v="0"/>
    <n v="0"/>
    <n v="0"/>
    <s v="CI-HWE-STWH-V09-230101"/>
    <m/>
    <n v="135.66827090062347"/>
    <n v="135.66827090062347"/>
    <n v="135.66827090062347"/>
    <n v="135.66827090062347"/>
    <n v="0.91"/>
    <n v="0.91"/>
    <n v="0.91"/>
    <n v="0.91"/>
    <n v="0"/>
    <n v="0"/>
    <n v="0"/>
    <n v="0"/>
    <n v="0"/>
    <n v="0.91"/>
    <n v="0.91"/>
    <n v="0.91"/>
    <n v="0.91"/>
    <n v="0.91"/>
    <n v="0.91"/>
    <n v="0.91"/>
    <n v="0.91"/>
    <m/>
    <m/>
    <n v="139.65886152562348"/>
    <m/>
    <n v="0"/>
    <n v="0"/>
    <m/>
    <m/>
    <n v="139.65886152562348"/>
    <s v="n/a"/>
    <n v="0"/>
    <n v="0"/>
    <n v="0"/>
    <m/>
    <m/>
    <n v="139.65886152562348"/>
    <m/>
    <n v="0"/>
    <n v="0"/>
    <m/>
    <m/>
    <n v="139.65886152562348"/>
    <m/>
    <n v="0"/>
    <n v="0"/>
    <n v="0"/>
    <n v="0"/>
    <n v="0"/>
    <n v="0"/>
    <n v="0"/>
    <s v="NA"/>
    <m/>
  </r>
  <r>
    <s v="NSG"/>
    <x v="5"/>
    <x v="8"/>
    <s v="Rebates"/>
    <x v="12"/>
    <s v="Central Lodging 88% TE"/>
    <s v="CI"/>
    <x v="3"/>
    <s v="4.3.7"/>
    <s v="MBH"/>
    <n v="0"/>
    <n v="0"/>
    <n v="0"/>
    <n v="0"/>
    <s v="CI-HWE-MDHW-V06-230101"/>
    <m/>
    <n v="9.31628800262075"/>
    <n v="9.31628800262075"/>
    <n v="9.31628800262075"/>
    <n v="9.31628800262075"/>
    <n v="0.91"/>
    <n v="0.91"/>
    <n v="0.91"/>
    <n v="0.91"/>
    <n v="0"/>
    <n v="0"/>
    <n v="0"/>
    <n v="0"/>
    <n v="0"/>
    <n v="0.91"/>
    <n v="0.91"/>
    <n v="0.91"/>
    <n v="0.91"/>
    <n v="0.91"/>
    <n v="0.91"/>
    <n v="0.91"/>
    <n v="0.91"/>
    <m/>
    <m/>
    <n v="9.7379830071207483"/>
    <m/>
    <n v="0"/>
    <n v="0"/>
    <m/>
    <m/>
    <n v="9.7379830071207483"/>
    <s v="n/a"/>
    <n v="0"/>
    <n v="0"/>
    <n v="0"/>
    <m/>
    <m/>
    <n v="9.7379830071207483"/>
    <m/>
    <n v="0"/>
    <n v="0"/>
    <m/>
    <m/>
    <n v="9.7379830071207483"/>
    <m/>
    <n v="0"/>
    <n v="0"/>
    <n v="0"/>
    <n v="0"/>
    <n v="0"/>
    <n v="0"/>
    <n v="0"/>
    <s v="NA"/>
    <m/>
  </r>
  <r>
    <s v="NSG"/>
    <x v="5"/>
    <x v="8"/>
    <s v="Rebates"/>
    <x v="75"/>
    <n v="0"/>
    <s v="CI"/>
    <x v="3"/>
    <s v="4.4.27"/>
    <s v="CFM"/>
    <n v="0"/>
    <n v="0"/>
    <n v="0"/>
    <n v="0"/>
    <s v="CI-HVC-ERVE-V05-230101"/>
    <m/>
    <n v="0.47508182047227931"/>
    <n v="0.47508182047227931"/>
    <n v="0.47508182047227931"/>
    <n v="0.47508182047227931"/>
    <n v="0.91"/>
    <n v="0.91"/>
    <n v="0.91"/>
    <n v="0.91"/>
    <n v="0"/>
    <n v="0"/>
    <n v="0"/>
    <n v="0"/>
    <n v="0"/>
    <n v="0.91"/>
    <n v="0.91"/>
    <n v="0.91"/>
    <n v="0.91"/>
    <n v="0.91"/>
    <n v="0.91"/>
    <n v="0.91"/>
    <n v="0.91"/>
    <m/>
    <m/>
    <n v="0.47508182047227931"/>
    <m/>
    <n v="0"/>
    <n v="0"/>
    <m/>
    <m/>
    <n v="0.47508182047227931"/>
    <s v="n/a"/>
    <n v="0"/>
    <n v="0"/>
    <n v="0"/>
    <m/>
    <m/>
    <n v="0.47508182047227931"/>
    <m/>
    <n v="0"/>
    <n v="0"/>
    <m/>
    <m/>
    <n v="0.47508182047227931"/>
    <m/>
    <n v="0"/>
    <n v="0"/>
    <n v="0"/>
    <n v="0"/>
    <n v="0"/>
    <n v="0"/>
    <n v="0"/>
    <s v="NA"/>
    <m/>
  </r>
  <r>
    <s v="NSG"/>
    <x v="5"/>
    <x v="8"/>
    <s v="New Construction"/>
    <x v="76"/>
    <n v="0"/>
    <s v="CI"/>
    <x v="3"/>
    <n v="0"/>
    <s v="therm"/>
    <n v="0"/>
    <n v="0"/>
    <n v="0"/>
    <n v="0"/>
    <n v="0"/>
    <m/>
    <n v="1"/>
    <n v="1"/>
    <n v="1"/>
    <n v="1"/>
    <n v="0.43"/>
    <n v="0.43"/>
    <n v="0.43"/>
    <n v="0.43"/>
    <n v="0"/>
    <n v="0"/>
    <n v="0"/>
    <n v="0"/>
    <n v="0"/>
    <n v="0.43"/>
    <n v="0.43"/>
    <n v="0.43"/>
    <n v="0.43"/>
    <n v="0.43"/>
    <n v="0.43"/>
    <n v="0.43"/>
    <n v="0.43"/>
    <m/>
    <m/>
    <n v="1"/>
    <m/>
    <n v="0"/>
    <n v="0"/>
    <m/>
    <m/>
    <n v="1"/>
    <s v="n/a"/>
    <n v="0"/>
    <n v="0"/>
    <n v="0"/>
    <m/>
    <m/>
    <n v="1"/>
    <m/>
    <n v="0"/>
    <n v="0"/>
    <m/>
    <m/>
    <n v="1"/>
    <m/>
    <n v="0"/>
    <n v="0"/>
    <n v="0"/>
    <n v="0"/>
    <n v="0"/>
    <n v="0"/>
    <n v="0"/>
    <s v="NA"/>
    <m/>
  </r>
  <r>
    <s v="NSG"/>
    <x v="5"/>
    <x v="10"/>
    <s v="Upstream Rebate"/>
    <x v="10"/>
    <n v="0"/>
    <s v="CI"/>
    <x v="3"/>
    <s v="4.2.11"/>
    <s v="each"/>
    <n v="0"/>
    <n v="0"/>
    <n v="0"/>
    <n v="0"/>
    <s v="CI-FSE-CVOV-V02-180101"/>
    <m/>
    <n v="235.77765120000004"/>
    <n v="235.77765120000004"/>
    <n v="235.77765120000004"/>
    <n v="235.77765120000004"/>
    <n v="0.8"/>
    <n v="0.8"/>
    <n v="0.8"/>
    <n v="0.8"/>
    <n v="0"/>
    <n v="0"/>
    <n v="0"/>
    <n v="0"/>
    <n v="0"/>
    <n v="0.8"/>
    <n v="0.8"/>
    <n v="0.8"/>
    <n v="0.8"/>
    <n v="0.8"/>
    <n v="0.8"/>
    <n v="0.8"/>
    <n v="0.8"/>
    <m/>
    <m/>
    <n v="247.22970854399998"/>
    <m/>
    <n v="0"/>
    <n v="0"/>
    <m/>
    <m/>
    <n v="247.22970854399998"/>
    <s v="n/a"/>
    <n v="0"/>
    <n v="0"/>
    <n v="0"/>
    <m/>
    <m/>
    <n v="247.22970854399998"/>
    <m/>
    <n v="0"/>
    <n v="0"/>
    <m/>
    <m/>
    <n v="247.22970854399998"/>
    <m/>
    <n v="0"/>
    <n v="0"/>
    <n v="0"/>
    <n v="0"/>
    <n v="0"/>
    <n v="0"/>
    <n v="0"/>
    <s v="NA"/>
    <m/>
  </r>
  <r>
    <s v="NSG"/>
    <x v="5"/>
    <x v="10"/>
    <s v="Upstream Rebate"/>
    <x v="77"/>
    <s v="3 Pans"/>
    <s v="CI"/>
    <x v="3"/>
    <s v="4.2.3"/>
    <s v="each"/>
    <n v="0"/>
    <n v="0"/>
    <n v="0"/>
    <n v="0"/>
    <s v="CI-FSE-STMC-V06-230101"/>
    <m/>
    <n v="752.01231086676478"/>
    <n v="752.01231086676478"/>
    <n v="752.01231086676478"/>
    <n v="752.01231086676478"/>
    <n v="0.8"/>
    <n v="0.8"/>
    <n v="0.8"/>
    <n v="0.8"/>
    <n v="0"/>
    <n v="0"/>
    <n v="0"/>
    <n v="0"/>
    <n v="0"/>
    <n v="0.8"/>
    <n v="0.8"/>
    <n v="0.8"/>
    <n v="0.8"/>
    <n v="0.8"/>
    <n v="0.8"/>
    <n v="0.8"/>
    <n v="0.8"/>
    <m/>
    <m/>
    <n v="752.01231086676478"/>
    <m/>
    <n v="0"/>
    <n v="0"/>
    <m/>
    <m/>
    <n v="752.01231086676478"/>
    <s v="n/a"/>
    <n v="0"/>
    <n v="0"/>
    <n v="0"/>
    <m/>
    <m/>
    <n v="752.01231086676478"/>
    <m/>
    <n v="0"/>
    <n v="0"/>
    <m/>
    <m/>
    <n v="752.01231086676478"/>
    <m/>
    <n v="0"/>
    <n v="0"/>
    <n v="0"/>
    <n v="0"/>
    <n v="0"/>
    <n v="0"/>
    <n v="0"/>
    <s v="NA"/>
    <m/>
  </r>
  <r>
    <s v="NSG"/>
    <x v="5"/>
    <x v="10"/>
    <s v="Upstream Rebate"/>
    <x v="77"/>
    <s v="4 Pans"/>
    <s v="CI"/>
    <x v="3"/>
    <s v="4.2.3"/>
    <s v="each"/>
    <n v="0"/>
    <n v="0"/>
    <n v="0"/>
    <n v="0"/>
    <s v="CI-FSE-STMC-V06-230101"/>
    <m/>
    <n v="1007.2641787965731"/>
    <n v="1007.2641787965731"/>
    <n v="1007.2641787965731"/>
    <n v="1007.2641787965731"/>
    <n v="0.8"/>
    <n v="0.8"/>
    <n v="0.8"/>
    <n v="0.8"/>
    <n v="0"/>
    <n v="0"/>
    <n v="0"/>
    <n v="0"/>
    <n v="0"/>
    <n v="0.8"/>
    <n v="0.8"/>
    <n v="0.8"/>
    <n v="0.8"/>
    <n v="0.8"/>
    <n v="0.8"/>
    <n v="0.8"/>
    <n v="0.8"/>
    <m/>
    <m/>
    <n v="1007.2641787965731"/>
    <m/>
    <n v="0"/>
    <n v="0"/>
    <m/>
    <m/>
    <n v="1007.2641787965731"/>
    <s v="n/a"/>
    <n v="0"/>
    <n v="0"/>
    <n v="0"/>
    <m/>
    <m/>
    <n v="1007.2641787965731"/>
    <m/>
    <n v="0"/>
    <n v="0"/>
    <m/>
    <m/>
    <n v="1007.2641787965731"/>
    <m/>
    <n v="0"/>
    <n v="0"/>
    <n v="0"/>
    <n v="0"/>
    <n v="0"/>
    <n v="0"/>
    <n v="0"/>
    <s v="NA"/>
    <m/>
  </r>
  <r>
    <s v="NSG"/>
    <x v="5"/>
    <x v="10"/>
    <s v="Upstream Rebate"/>
    <x v="77"/>
    <s v="5 Pans"/>
    <s v="CI"/>
    <x v="3"/>
    <s v="4.2.3"/>
    <s v="each"/>
    <n v="0"/>
    <n v="0"/>
    <n v="0"/>
    <n v="0"/>
    <s v="CI-FSE-STMC-V06-230101"/>
    <m/>
    <n v="1248.6709419898457"/>
    <n v="1248.6709419898457"/>
    <n v="1248.6709419898457"/>
    <n v="1248.6709419898457"/>
    <n v="0.8"/>
    <n v="0.8"/>
    <n v="0.8"/>
    <n v="0.8"/>
    <n v="0"/>
    <n v="0"/>
    <n v="0"/>
    <n v="0"/>
    <n v="0"/>
    <n v="0.8"/>
    <n v="0.8"/>
    <n v="0.8"/>
    <n v="0.8"/>
    <n v="0.8"/>
    <n v="0.8"/>
    <n v="0.8"/>
    <n v="0.8"/>
    <m/>
    <m/>
    <n v="1248.6709419898457"/>
    <m/>
    <n v="0"/>
    <n v="0"/>
    <m/>
    <m/>
    <n v="1248.6709419898457"/>
    <s v="n/a"/>
    <n v="0"/>
    <n v="0"/>
    <n v="0"/>
    <m/>
    <m/>
    <n v="1248.6709419898457"/>
    <m/>
    <n v="0"/>
    <n v="0"/>
    <m/>
    <m/>
    <n v="1248.6709419898457"/>
    <m/>
    <n v="0"/>
    <n v="0"/>
    <n v="0"/>
    <n v="0"/>
    <n v="0"/>
    <n v="0"/>
    <n v="0"/>
    <s v="NA"/>
    <m/>
  </r>
  <r>
    <s v="NSG"/>
    <x v="5"/>
    <x v="10"/>
    <s v="Upstream Rebate"/>
    <x v="77"/>
    <s v="6 Pans"/>
    <s v="CI"/>
    <x v="3"/>
    <s v="4.2.3"/>
    <s v="each"/>
    <n v="0"/>
    <n v="0"/>
    <n v="0"/>
    <n v="0"/>
    <s v="CI-FSE-STMC-V06-230101"/>
    <m/>
    <n v="1503.8794358667649"/>
    <n v="1503.8794358667649"/>
    <n v="1503.8794358667649"/>
    <n v="1503.8794358667649"/>
    <n v="0.8"/>
    <n v="0.8"/>
    <n v="0.8"/>
    <n v="0.8"/>
    <n v="0"/>
    <n v="0"/>
    <n v="0"/>
    <n v="0"/>
    <n v="0"/>
    <n v="0.8"/>
    <n v="0.8"/>
    <n v="0.8"/>
    <n v="0.8"/>
    <n v="0.8"/>
    <n v="0.8"/>
    <n v="0.8"/>
    <n v="0.8"/>
    <m/>
    <m/>
    <n v="1503.8794358667649"/>
    <m/>
    <n v="0"/>
    <n v="0"/>
    <m/>
    <m/>
    <n v="1503.8794358667649"/>
    <s v="n/a"/>
    <n v="0"/>
    <n v="0"/>
    <n v="0"/>
    <m/>
    <m/>
    <n v="1503.8794358667649"/>
    <m/>
    <n v="0"/>
    <n v="0"/>
    <m/>
    <m/>
    <n v="1503.8794358667649"/>
    <m/>
    <n v="0"/>
    <n v="0"/>
    <n v="0"/>
    <n v="0"/>
    <n v="0"/>
    <n v="0"/>
    <n v="0"/>
    <s v="NA"/>
    <m/>
  </r>
  <r>
    <s v="NSG"/>
    <x v="5"/>
    <x v="10"/>
    <s v="Upstream Rebate"/>
    <x v="78"/>
    <n v="0"/>
    <s v="CI"/>
    <x v="3"/>
    <s v="4.3.9"/>
    <s v="each"/>
    <n v="0"/>
    <n v="0"/>
    <n v="0"/>
    <n v="0"/>
    <s v="CI-HWE-GRTF-V02-200601"/>
    <m/>
    <n v="1757.3025600000001"/>
    <n v="1757.3025600000001"/>
    <n v="1757.3025600000001"/>
    <n v="1757.3025600000001"/>
    <n v="0.8"/>
    <n v="0.8"/>
    <n v="0.8"/>
    <n v="0.8"/>
    <n v="0"/>
    <n v="0"/>
    <n v="0"/>
    <n v="0"/>
    <n v="0"/>
    <n v="0.8"/>
    <n v="0.8"/>
    <n v="0.8"/>
    <n v="0.8"/>
    <n v="0.8"/>
    <n v="0.8"/>
    <n v="0.8"/>
    <n v="0.8"/>
    <m/>
    <m/>
    <n v="1757.3025600000001"/>
    <m/>
    <n v="0"/>
    <n v="0"/>
    <m/>
    <m/>
    <n v="1757.3025600000001"/>
    <s v="n/a"/>
    <n v="0"/>
    <n v="0"/>
    <n v="0"/>
    <m/>
    <m/>
    <n v="1757.3025600000001"/>
    <m/>
    <n v="0"/>
    <n v="0"/>
    <m/>
    <m/>
    <n v="1757.3025600000001"/>
    <m/>
    <n v="0"/>
    <n v="0"/>
    <n v="0"/>
    <n v="0"/>
    <n v="0"/>
    <n v="0"/>
    <n v="0"/>
    <s v="NA"/>
    <m/>
  </r>
  <r>
    <s v="NSG"/>
    <x v="5"/>
    <x v="10"/>
    <s v="Upstream Rebate"/>
    <x v="79"/>
    <n v="0"/>
    <s v="CI"/>
    <x v="3"/>
    <s v="4.2.15"/>
    <s v="each"/>
    <n v="0"/>
    <n v="0"/>
    <n v="0"/>
    <n v="0"/>
    <s v="CI-FSE-IRUB-V02-180101"/>
    <m/>
    <n v="943.48800000000006"/>
    <n v="943.48800000000006"/>
    <n v="943.48800000000006"/>
    <n v="943.48800000000006"/>
    <n v="0.8"/>
    <n v="0.8"/>
    <n v="0.8"/>
    <n v="0.8"/>
    <n v="0"/>
    <n v="0"/>
    <n v="0"/>
    <n v="0"/>
    <n v="0"/>
    <n v="0.8"/>
    <n v="0.8"/>
    <n v="0.8"/>
    <n v="0.8"/>
    <n v="0.8"/>
    <n v="0.8"/>
    <n v="0.8"/>
    <n v="0.8"/>
    <m/>
    <m/>
    <n v="943.48800000000006"/>
    <m/>
    <n v="0"/>
    <n v="0"/>
    <m/>
    <m/>
    <n v="943.48800000000006"/>
    <s v="n/a"/>
    <n v="0"/>
    <n v="0"/>
    <n v="0"/>
    <m/>
    <m/>
    <n v="943.48800000000006"/>
    <m/>
    <n v="0"/>
    <n v="0"/>
    <m/>
    <m/>
    <n v="943.48800000000006"/>
    <m/>
    <n v="0"/>
    <n v="0"/>
    <n v="0"/>
    <n v="0"/>
    <n v="0"/>
    <n v="0"/>
    <n v="0"/>
    <s v="NA"/>
    <m/>
  </r>
  <r>
    <s v="NSG"/>
    <x v="6"/>
    <x v="12"/>
    <s v="Gas Heat Pump Pilot"/>
    <x v="80"/>
    <s v="Heat Pump Pilot"/>
    <s v="SF"/>
    <x v="3"/>
    <n v="0"/>
    <s v="each"/>
    <n v="0"/>
    <n v="2"/>
    <n v="4"/>
    <n v="6"/>
    <n v="0"/>
    <m/>
    <n v="679.02905982905952"/>
    <n v="679.02905982905952"/>
    <n v="679.02905982905952"/>
    <n v="679.02905982905952"/>
    <n v="0.8"/>
    <n v="0.8"/>
    <n v="0.8"/>
    <n v="0.8"/>
    <n v="0"/>
    <n v="1086.4464957264952"/>
    <n v="2172.8929914529904"/>
    <n v="3259.3394871794862"/>
    <n v="6518.6789743589716"/>
    <n v="0.8"/>
    <n v="0.8"/>
    <n v="0.8"/>
    <n v="0.8"/>
    <n v="0.8"/>
    <n v="0.8"/>
    <n v="0.8"/>
    <n v="0.8"/>
    <m/>
    <m/>
    <n v="679.02905982905952"/>
    <m/>
    <n v="0"/>
    <n v="0"/>
    <m/>
    <m/>
    <n v="679.02905982905952"/>
    <s v="n/a"/>
    <n v="1086.4464957264952"/>
    <n v="1086.4464957264952"/>
    <n v="0"/>
    <m/>
    <m/>
    <n v="679.02905982905952"/>
    <m/>
    <n v="2172.8929914529904"/>
    <n v="0"/>
    <m/>
    <m/>
    <n v="679.02905982905952"/>
    <m/>
    <n v="3259.3394871794862"/>
    <n v="0"/>
    <n v="0"/>
    <n v="1086.4464957264952"/>
    <n v="2172.8929914529904"/>
    <n v="3259.3394871794862"/>
    <n v="6518.6789743589716"/>
    <s v="NA"/>
    <m/>
  </r>
  <r>
    <s v="NSG"/>
    <x v="6"/>
    <x v="12"/>
    <s v="Gas Heat Pump Pilot"/>
    <x v="81"/>
    <s v="Heat Pump Pilot"/>
    <s v="SF"/>
    <x v="3"/>
    <n v="0"/>
    <s v="each"/>
    <n v="0"/>
    <n v="5"/>
    <n v="6"/>
    <n v="8"/>
    <n v="0"/>
    <m/>
    <n v="91.676929759551214"/>
    <n v="91.676929759551214"/>
    <n v="91.676929759551214"/>
    <n v="91.676929759551214"/>
    <n v="0.8"/>
    <n v="0.8"/>
    <n v="0.8"/>
    <n v="0.8"/>
    <n v="0"/>
    <n v="366.70771903820491"/>
    <n v="440.04926284584582"/>
    <n v="586.73235046112779"/>
    <n v="1393.4893323451784"/>
    <n v="0.8"/>
    <n v="0.8"/>
    <n v="0.8"/>
    <n v="0.8"/>
    <n v="0.8"/>
    <n v="0.8"/>
    <n v="0.8"/>
    <n v="0.8"/>
    <m/>
    <m/>
    <n v="95.937970156826111"/>
    <m/>
    <n v="0"/>
    <n v="0"/>
    <m/>
    <m/>
    <n v="95.937970156826111"/>
    <s v="n/a"/>
    <n v="383.75188062730444"/>
    <n v="383.75188062730444"/>
    <n v="17.044161589099531"/>
    <m/>
    <m/>
    <n v="95.937970156826111"/>
    <m/>
    <n v="460.50225675276533"/>
    <n v="20.452993906919517"/>
    <m/>
    <m/>
    <n v="95.937970156826111"/>
    <m/>
    <n v="614.00300900368711"/>
    <n v="27.270658542559318"/>
    <n v="0"/>
    <n v="383.75188062730444"/>
    <n v="460.50225675276533"/>
    <n v="614.00300900368711"/>
    <n v="1458.2571463837569"/>
    <s v="NA"/>
    <m/>
  </r>
  <r>
    <s v="NSG"/>
    <x v="3"/>
    <x v="4"/>
    <s v="Core"/>
    <x v="6"/>
    <s v="Boiler (DI)"/>
    <s v="SF"/>
    <x v="3"/>
    <s v="5.3.11"/>
    <s v="each"/>
    <n v="0"/>
    <n v="0"/>
    <n v="0"/>
    <n v="0"/>
    <s v="RS-HVC-ADTH-V08-230101"/>
    <m/>
    <n v="92.194000000000003"/>
    <n v="92.194000000000003"/>
    <n v="92.194000000000003"/>
    <n v="92.194000000000003"/>
    <n v="0.88"/>
    <n v="0.88"/>
    <n v="0.88"/>
    <n v="0.88"/>
    <n v="0"/>
    <n v="0"/>
    <n v="0"/>
    <n v="0"/>
    <n v="0"/>
    <n v="0.88"/>
    <n v="0.88"/>
    <n v="0.88"/>
    <n v="0.88"/>
    <n v="0.88"/>
    <n v="0.88"/>
    <n v="0.88"/>
    <n v="0.88"/>
    <m/>
    <m/>
    <n v="92.194000000000003"/>
    <m/>
    <n v="0"/>
    <n v="0"/>
    <m/>
    <m/>
    <n v="92.194000000000003"/>
    <s v="n/a"/>
    <n v="0"/>
    <n v="0"/>
    <n v="0"/>
    <m/>
    <m/>
    <n v="92.194000000000003"/>
    <m/>
    <n v="0"/>
    <n v="0"/>
    <m/>
    <m/>
    <n v="92.194000000000003"/>
    <m/>
    <n v="0"/>
    <n v="0"/>
    <n v="0"/>
    <n v="0"/>
    <n v="0"/>
    <n v="0"/>
    <n v="0"/>
    <s v="NA"/>
    <m/>
  </r>
  <r>
    <s v="NSG"/>
    <x v="3"/>
    <x v="4"/>
    <s v="Core"/>
    <x v="3"/>
    <s v="Boiler (Replace Manual)"/>
    <s v="SF"/>
    <x v="3"/>
    <s v="5.3.16"/>
    <s v="each"/>
    <n v="0"/>
    <n v="0"/>
    <n v="0"/>
    <n v="0"/>
    <s v="RS-HVC-ADTH-V08-230101"/>
    <m/>
    <n v="154.44"/>
    <n v="154.44"/>
    <n v="154.44"/>
    <n v="154.44"/>
    <n v="0.9"/>
    <n v="0.9"/>
    <n v="0.9"/>
    <n v="0.9"/>
    <n v="0"/>
    <n v="0"/>
    <n v="0"/>
    <n v="0"/>
    <n v="0"/>
    <n v="0.9"/>
    <n v="0.9"/>
    <n v="0.9"/>
    <n v="0.9"/>
    <n v="0.9"/>
    <n v="0.9"/>
    <n v="0.9"/>
    <n v="0.9"/>
    <m/>
    <m/>
    <n v="151.47"/>
    <m/>
    <n v="0"/>
    <n v="0"/>
    <m/>
    <m/>
    <n v="151.47"/>
    <s v="n/a"/>
    <n v="0"/>
    <n v="0"/>
    <n v="0"/>
    <m/>
    <m/>
    <n v="151.47"/>
    <m/>
    <n v="0"/>
    <n v="0"/>
    <m/>
    <m/>
    <n v="151.47"/>
    <m/>
    <n v="0"/>
    <n v="0"/>
    <n v="0"/>
    <n v="0"/>
    <n v="0"/>
    <n v="0"/>
    <n v="0"/>
    <s v="NA"/>
    <m/>
  </r>
  <r>
    <s v="NSG"/>
    <x v="3"/>
    <x v="4"/>
    <s v="Core"/>
    <x v="3"/>
    <s v="Boiler (Replace Programmable)"/>
    <s v="SF"/>
    <x v="3"/>
    <s v="5.3.16"/>
    <s v="each"/>
    <n v="0"/>
    <n v="0"/>
    <n v="0"/>
    <n v="0"/>
    <s v="RS-HVC-ADTH-V08-230101"/>
    <m/>
    <n v="108.40499999999999"/>
    <n v="108.40499999999999"/>
    <n v="108.40499999999999"/>
    <n v="108.40499999999999"/>
    <n v="0.9"/>
    <n v="0.9"/>
    <n v="0.9"/>
    <n v="0.9"/>
    <n v="0"/>
    <n v="0"/>
    <n v="0"/>
    <n v="0"/>
    <n v="0"/>
    <n v="0.9"/>
    <n v="0.9"/>
    <n v="0.9"/>
    <n v="0.9"/>
    <n v="0.9"/>
    <n v="0.9"/>
    <n v="0.9"/>
    <n v="0.9"/>
    <m/>
    <m/>
    <n v="105.43499999999999"/>
    <m/>
    <n v="0"/>
    <n v="0"/>
    <m/>
    <m/>
    <n v="105.43499999999999"/>
    <s v="n/a"/>
    <n v="0"/>
    <n v="0"/>
    <n v="0"/>
    <m/>
    <m/>
    <n v="105.43499999999999"/>
    <m/>
    <n v="0"/>
    <n v="0"/>
    <m/>
    <m/>
    <n v="105.43499999999999"/>
    <m/>
    <n v="0"/>
    <n v="0"/>
    <n v="0"/>
    <n v="0"/>
    <n v="0"/>
    <n v="0"/>
    <n v="0"/>
    <s v="NA"/>
    <m/>
  </r>
  <r>
    <s v="NSG"/>
    <x v="4"/>
    <x v="4"/>
    <s v="Core"/>
    <x v="6"/>
    <s v="Boiler (DI)"/>
    <s v="SF"/>
    <x v="3"/>
    <s v="5.3.11"/>
    <s v="each"/>
    <n v="0"/>
    <n v="0"/>
    <n v="0"/>
    <n v="0"/>
    <s v="RS-HVC-ADTH-V08-230101"/>
    <m/>
    <n v="92.194000000000003"/>
    <n v="92.194000000000003"/>
    <n v="92.194000000000003"/>
    <n v="92.194000000000003"/>
    <n v="1"/>
    <n v="1"/>
    <n v="1"/>
    <n v="1"/>
    <n v="0"/>
    <n v="0"/>
    <n v="0"/>
    <n v="0"/>
    <n v="0"/>
    <n v="1"/>
    <n v="1"/>
    <n v="1"/>
    <n v="1"/>
    <n v="1"/>
    <n v="1"/>
    <n v="1"/>
    <n v="1"/>
    <m/>
    <m/>
    <n v="92.194000000000003"/>
    <m/>
    <n v="0"/>
    <n v="0"/>
    <m/>
    <m/>
    <n v="92.194000000000003"/>
    <s v="n/a"/>
    <n v="0"/>
    <n v="0"/>
    <n v="0"/>
    <m/>
    <m/>
    <n v="92.194000000000003"/>
    <m/>
    <n v="0"/>
    <n v="0"/>
    <m/>
    <m/>
    <n v="92.194000000000003"/>
    <m/>
    <n v="0"/>
    <n v="0"/>
    <n v="0"/>
    <n v="0"/>
    <n v="0"/>
    <n v="0"/>
    <n v="0"/>
    <s v="NA"/>
    <m/>
  </r>
  <r>
    <s v="NSG"/>
    <x v="4"/>
    <x v="4"/>
    <s v="Core"/>
    <x v="3"/>
    <s v="Boiler (Replace Manual)"/>
    <s v="SF"/>
    <x v="3"/>
    <s v="5.3.16"/>
    <s v="each"/>
    <n v="0"/>
    <n v="0"/>
    <n v="0"/>
    <n v="0"/>
    <s v="RS-HVC-ADTH-V08-230101"/>
    <m/>
    <n v="154.44"/>
    <n v="154.44"/>
    <n v="154.44"/>
    <n v="154.44"/>
    <n v="1"/>
    <n v="1"/>
    <n v="1"/>
    <n v="1"/>
    <n v="0"/>
    <n v="0"/>
    <n v="0"/>
    <n v="0"/>
    <n v="0"/>
    <n v="1"/>
    <n v="1"/>
    <n v="1"/>
    <n v="1"/>
    <n v="1"/>
    <n v="1"/>
    <n v="1"/>
    <n v="1"/>
    <m/>
    <m/>
    <n v="151.47"/>
    <m/>
    <n v="0"/>
    <n v="0"/>
    <m/>
    <m/>
    <n v="151.47"/>
    <s v="n/a"/>
    <n v="0"/>
    <n v="0"/>
    <n v="0"/>
    <m/>
    <m/>
    <n v="151.47"/>
    <m/>
    <n v="0"/>
    <n v="0"/>
    <m/>
    <m/>
    <n v="151.47"/>
    <m/>
    <n v="0"/>
    <n v="0"/>
    <n v="0"/>
    <n v="0"/>
    <n v="0"/>
    <n v="0"/>
    <n v="0"/>
    <s v="NA"/>
    <m/>
  </r>
  <r>
    <s v="NSG"/>
    <x v="4"/>
    <x v="4"/>
    <s v="Core"/>
    <x v="3"/>
    <s v="Boiler (Replace Programmable)"/>
    <s v="SF"/>
    <x v="3"/>
    <s v="5.3.16"/>
    <s v="each"/>
    <n v="0"/>
    <n v="0"/>
    <n v="0"/>
    <n v="0"/>
    <s v="RS-HVC-ADTH-V08-230101"/>
    <m/>
    <n v="108.40499999999999"/>
    <n v="108.40499999999999"/>
    <n v="108.40499999999999"/>
    <n v="108.40499999999999"/>
    <n v="1"/>
    <n v="1"/>
    <n v="1"/>
    <n v="1"/>
    <n v="0"/>
    <n v="0"/>
    <n v="0"/>
    <n v="0"/>
    <n v="0"/>
    <n v="1"/>
    <n v="1"/>
    <n v="1"/>
    <n v="1"/>
    <n v="1"/>
    <n v="1"/>
    <n v="1"/>
    <n v="1"/>
    <m/>
    <m/>
    <n v="105.43499999999999"/>
    <m/>
    <n v="0"/>
    <n v="0"/>
    <m/>
    <m/>
    <n v="105.43499999999999"/>
    <s v="n/a"/>
    <n v="0"/>
    <n v="0"/>
    <n v="0"/>
    <m/>
    <m/>
    <n v="105.43499999999999"/>
    <m/>
    <n v="0"/>
    <n v="0"/>
    <m/>
    <m/>
    <n v="105.43499999999999"/>
    <m/>
    <n v="0"/>
    <n v="0"/>
    <n v="0"/>
    <n v="0"/>
    <n v="0"/>
    <n v="0"/>
    <n v="0"/>
    <s v="NA"/>
    <m/>
  </r>
  <r>
    <s v="NSG"/>
    <x v="3"/>
    <x v="3"/>
    <s v="Standard Rebate"/>
    <x v="82"/>
    <s v="Space Heating"/>
    <s v="SF"/>
    <x v="3"/>
    <s v="5.3.13"/>
    <s v="each"/>
    <n v="0"/>
    <n v="0"/>
    <n v="0"/>
    <n v="0"/>
    <s v="CI-HVC-FTUN-V05-230101"/>
    <m/>
    <n v="15.707858823529454"/>
    <n v="15.707858823529454"/>
    <n v="15.707858823529454"/>
    <n v="15.707858823529454"/>
    <n v="0.74"/>
    <n v="0.74"/>
    <n v="0.74"/>
    <n v="0.74"/>
    <n v="0"/>
    <n v="0"/>
    <n v="0"/>
    <n v="0"/>
    <n v="0"/>
    <n v="0.74"/>
    <n v="0.74"/>
    <n v="0.74"/>
    <n v="0.74"/>
    <n v="0.74"/>
    <n v="0.74"/>
    <n v="0.74"/>
    <n v="0.74"/>
    <m/>
    <m/>
    <n v="15.707858823529454"/>
    <m/>
    <n v="0"/>
    <n v="0"/>
    <m/>
    <m/>
    <n v="15.707858823529454"/>
    <s v="n/a"/>
    <n v="0"/>
    <n v="0"/>
    <n v="0"/>
    <m/>
    <m/>
    <n v="15.707858823529454"/>
    <m/>
    <n v="0"/>
    <n v="0"/>
    <m/>
    <m/>
    <n v="15.707858823529454"/>
    <m/>
    <n v="0"/>
    <n v="0"/>
    <n v="0"/>
    <n v="0"/>
    <n v="0"/>
    <n v="0"/>
    <n v="0"/>
    <s v="NA"/>
    <m/>
  </r>
  <r>
    <s v="NSG"/>
    <x v="3"/>
    <x v="3"/>
    <s v="Standard Rebate"/>
    <x v="3"/>
    <s v="Furnace (Replace Unknown) - Non DI"/>
    <s v="SF"/>
    <x v="3"/>
    <s v="5.3.16"/>
    <s v="each"/>
    <n v="0"/>
    <n v="0"/>
    <n v="0"/>
    <n v="0"/>
    <s v="RS-HVC-ADTH-V08-230101"/>
    <m/>
    <n v="77.786999999999992"/>
    <n v="77.786999999999992"/>
    <n v="77.786999999999992"/>
    <n v="77.786999999999992"/>
    <n v="0.9"/>
    <n v="0.9"/>
    <n v="0.9"/>
    <n v="0.9"/>
    <n v="0"/>
    <n v="0"/>
    <n v="0"/>
    <n v="0"/>
    <n v="0"/>
    <n v="0.9"/>
    <n v="0.9"/>
    <n v="0.9"/>
    <n v="0.9"/>
    <n v="0.9"/>
    <n v="0.9"/>
    <n v="0.9"/>
    <n v="0.9"/>
    <m/>
    <m/>
    <n v="85.425000000000011"/>
    <m/>
    <n v="0"/>
    <n v="0"/>
    <m/>
    <m/>
    <n v="85.425000000000011"/>
    <s v="n/a"/>
    <n v="0"/>
    <n v="0"/>
    <n v="0"/>
    <m/>
    <m/>
    <n v="85.425000000000011"/>
    <m/>
    <n v="0"/>
    <n v="0"/>
    <m/>
    <m/>
    <n v="85.425000000000011"/>
    <m/>
    <n v="0"/>
    <n v="0"/>
    <n v="0"/>
    <n v="0"/>
    <n v="0"/>
    <n v="0"/>
    <n v="0"/>
    <s v="NA"/>
    <m/>
  </r>
  <r>
    <s v="NSG"/>
    <x v="3"/>
    <x v="3"/>
    <s v="Standard Rebate"/>
    <x v="3"/>
    <s v="Boiler (Replace Unknown) - Non DI"/>
    <s v="SF"/>
    <x v="3"/>
    <s v="5.3.16"/>
    <s v="each"/>
    <n v="0"/>
    <n v="0"/>
    <n v="0"/>
    <n v="0"/>
    <s v="RS-HVC-ADTH-V08-230101"/>
    <m/>
    <n v="114.93899999999999"/>
    <n v="114.93899999999999"/>
    <n v="114.93899999999999"/>
    <n v="114.93899999999999"/>
    <n v="0.9"/>
    <n v="0.9"/>
    <n v="0.9"/>
    <n v="0.9"/>
    <n v="0"/>
    <n v="0"/>
    <n v="0"/>
    <n v="0"/>
    <n v="0"/>
    <n v="0.9"/>
    <n v="0.9"/>
    <n v="0.9"/>
    <n v="0.9"/>
    <n v="0.9"/>
    <n v="0.9"/>
    <n v="0.9"/>
    <n v="0.9"/>
    <m/>
    <m/>
    <n v="126.22500000000001"/>
    <m/>
    <n v="0"/>
    <n v="0"/>
    <m/>
    <m/>
    <n v="126.22500000000001"/>
    <s v="n/a"/>
    <n v="0"/>
    <n v="0"/>
    <n v="0"/>
    <m/>
    <m/>
    <n v="126.22500000000001"/>
    <m/>
    <n v="0"/>
    <n v="0"/>
    <m/>
    <m/>
    <n v="126.22500000000001"/>
    <m/>
    <n v="0"/>
    <n v="0"/>
    <n v="0"/>
    <n v="0"/>
    <n v="0"/>
    <n v="0"/>
    <n v="0"/>
    <s v="NA"/>
    <m/>
  </r>
  <r>
    <s v="NSG"/>
    <x v="3"/>
    <x v="3"/>
    <s v="Standard Rebate"/>
    <x v="12"/>
    <s v="Storage 0.67 EF"/>
    <s v="SF"/>
    <x v="3"/>
    <s v="5.4.2"/>
    <s v="each"/>
    <n v="0"/>
    <n v="0"/>
    <n v="0"/>
    <n v="0"/>
    <s v="RS-HWE-GWHT-V10-220101"/>
    <m/>
    <n v="22.454907874999904"/>
    <n v="22.454907874999904"/>
    <n v="22.454907874999904"/>
    <n v="22.454907874999904"/>
    <n v="0.74"/>
    <n v="0.74"/>
    <n v="0.74"/>
    <n v="0.74"/>
    <n v="0"/>
    <n v="0"/>
    <n v="0"/>
    <n v="0"/>
    <n v="0"/>
    <n v="0.74"/>
    <n v="0.74"/>
    <n v="0.74"/>
    <n v="0.74"/>
    <n v="0.74"/>
    <n v="0.74"/>
    <n v="0.74"/>
    <n v="0.74"/>
    <m/>
    <m/>
    <n v="23.498586691725251"/>
    <m/>
    <n v="0"/>
    <n v="0"/>
    <m/>
    <m/>
    <n v="23.498586691725251"/>
    <s v="n/a"/>
    <n v="0"/>
    <n v="0"/>
    <n v="0"/>
    <m/>
    <m/>
    <n v="23.498586691725251"/>
    <m/>
    <n v="0"/>
    <n v="0"/>
    <m/>
    <m/>
    <n v="23.498586691725251"/>
    <m/>
    <n v="0"/>
    <n v="0"/>
    <n v="0"/>
    <n v="0"/>
    <n v="0"/>
    <n v="0"/>
    <n v="0"/>
    <s v="NA"/>
    <m/>
  </r>
  <r>
    <s v="NSG"/>
    <x v="3"/>
    <x v="3"/>
    <s v="Standard Rebate"/>
    <x v="44"/>
    <s v="Furnace (P)"/>
    <s v="SF"/>
    <x v="3"/>
    <s v="5.3.11"/>
    <s v="each"/>
    <n v="0"/>
    <n v="0"/>
    <n v="0"/>
    <n v="0"/>
    <s v="RS-HVC-ADTH-V08-230101"/>
    <m/>
    <n v="34.893600000000006"/>
    <n v="34.893600000000006"/>
    <n v="34.893600000000006"/>
    <n v="34.893600000000006"/>
    <n v="0.74"/>
    <n v="0.74"/>
    <n v="0.74"/>
    <n v="0.74"/>
    <n v="0"/>
    <n v="0"/>
    <n v="0"/>
    <n v="0"/>
    <n v="0"/>
    <n v="0.74"/>
    <n v="0.74"/>
    <n v="0.74"/>
    <n v="0.74"/>
    <n v="0.74"/>
    <n v="0.74"/>
    <n v="0.74"/>
    <n v="0.74"/>
    <m/>
    <m/>
    <n v="34.893600000000006"/>
    <m/>
    <n v="0"/>
    <n v="0"/>
    <m/>
    <m/>
    <n v="34.893600000000006"/>
    <s v="n/a"/>
    <n v="0"/>
    <n v="0"/>
    <n v="0"/>
    <m/>
    <m/>
    <n v="34.893600000000006"/>
    <m/>
    <n v="0"/>
    <n v="0"/>
    <m/>
    <m/>
    <n v="34.893600000000006"/>
    <m/>
    <n v="0"/>
    <n v="0"/>
    <n v="0"/>
    <n v="0"/>
    <n v="0"/>
    <n v="0"/>
    <n v="0"/>
    <s v="NA"/>
    <m/>
  </r>
  <r>
    <s v="NSG"/>
    <x v="3"/>
    <x v="3"/>
    <s v="Standard Rebate"/>
    <x v="44"/>
    <s v="Boiler (P)"/>
    <s v="SF"/>
    <x v="3"/>
    <s v="5.3.11"/>
    <s v="each"/>
    <n v="0"/>
    <n v="0"/>
    <n v="0"/>
    <n v="0"/>
    <s v="RS-HVC-ADTH-V08-230101"/>
    <m/>
    <n v="51.628640000000004"/>
    <n v="51.628640000000004"/>
    <n v="51.628640000000004"/>
    <n v="51.628640000000004"/>
    <n v="0.74"/>
    <n v="0.74"/>
    <n v="0.74"/>
    <n v="0.74"/>
    <n v="0"/>
    <n v="0"/>
    <n v="0"/>
    <n v="0"/>
    <n v="0"/>
    <n v="0.74"/>
    <n v="0.74"/>
    <n v="0.74"/>
    <n v="0.74"/>
    <n v="0.74"/>
    <n v="0.74"/>
    <n v="0.74"/>
    <n v="0.74"/>
    <m/>
    <m/>
    <n v="51.628640000000004"/>
    <m/>
    <n v="0"/>
    <n v="0"/>
    <m/>
    <m/>
    <n v="51.628640000000004"/>
    <s v="n/a"/>
    <n v="0"/>
    <n v="0"/>
    <n v="0"/>
    <m/>
    <m/>
    <n v="51.628640000000004"/>
    <m/>
    <n v="0"/>
    <n v="0"/>
    <m/>
    <m/>
    <n v="51.628640000000004"/>
    <m/>
    <n v="0"/>
    <n v="0"/>
    <n v="0"/>
    <n v="0"/>
    <n v="0"/>
    <n v="0"/>
    <n v="0"/>
    <s v="NA"/>
    <m/>
  </r>
  <r>
    <s v="NSG"/>
    <x v="3"/>
    <x v="6"/>
    <s v="Direct Install"/>
    <x v="83"/>
    <n v="0"/>
    <s v="MF"/>
    <x v="3"/>
    <s v="n/a"/>
    <s v="each"/>
    <n v="0"/>
    <n v="0"/>
    <n v="0"/>
    <n v="0"/>
    <s v="n/a"/>
    <m/>
    <n v="0"/>
    <n v="0"/>
    <n v="0"/>
    <n v="0"/>
    <n v="0.96"/>
    <n v="0.96"/>
    <n v="0.96"/>
    <n v="0.96"/>
    <n v="0"/>
    <n v="0"/>
    <n v="0"/>
    <n v="0"/>
    <n v="0"/>
    <n v="0.96"/>
    <n v="0.96"/>
    <n v="0.96"/>
    <n v="0.96"/>
    <n v="0.96"/>
    <n v="0.96"/>
    <n v="0.96"/>
    <n v="0.96"/>
    <m/>
    <m/>
    <n v="0"/>
    <m/>
    <n v="0"/>
    <n v="0"/>
    <m/>
    <m/>
    <n v="0"/>
    <s v="n/a"/>
    <n v="0"/>
    <n v="0"/>
    <n v="0"/>
    <m/>
    <m/>
    <n v="0"/>
    <m/>
    <n v="0"/>
    <n v="0"/>
    <m/>
    <m/>
    <n v="0"/>
    <m/>
    <n v="0"/>
    <n v="0"/>
    <n v="0"/>
    <n v="0"/>
    <n v="0"/>
    <n v="0"/>
    <n v="0"/>
    <s v="NA"/>
    <m/>
  </r>
  <r>
    <s v="NSG"/>
    <x v="3"/>
    <x v="6"/>
    <s v="Direct Install"/>
    <x v="84"/>
    <n v="0"/>
    <s v="MF"/>
    <x v="3"/>
    <s v="n/a"/>
    <s v="each"/>
    <n v="0"/>
    <n v="0"/>
    <n v="0"/>
    <n v="0"/>
    <s v="n/a"/>
    <m/>
    <n v="0"/>
    <n v="0"/>
    <n v="0"/>
    <n v="0"/>
    <n v="0.96"/>
    <n v="0.96"/>
    <n v="0.96"/>
    <n v="0.96"/>
    <n v="0"/>
    <n v="0"/>
    <n v="0"/>
    <n v="0"/>
    <n v="0"/>
    <n v="0.96"/>
    <n v="0.96"/>
    <n v="0.96"/>
    <n v="0.96"/>
    <n v="0.96"/>
    <n v="0.96"/>
    <n v="0.96"/>
    <n v="0.96"/>
    <m/>
    <m/>
    <n v="0"/>
    <m/>
    <n v="0"/>
    <n v="0"/>
    <m/>
    <m/>
    <n v="0"/>
    <s v="n/a"/>
    <n v="0"/>
    <n v="0"/>
    <n v="0"/>
    <m/>
    <m/>
    <n v="0"/>
    <m/>
    <n v="0"/>
    <n v="0"/>
    <m/>
    <m/>
    <n v="0"/>
    <m/>
    <n v="0"/>
    <n v="0"/>
    <n v="0"/>
    <n v="0"/>
    <n v="0"/>
    <n v="0"/>
    <n v="0"/>
    <s v="NA"/>
    <m/>
  </r>
  <r>
    <s v="NSG"/>
    <x v="3"/>
    <x v="6"/>
    <s v="Direct Install"/>
    <x v="44"/>
    <s v="Boiler (DI)"/>
    <s v="MF"/>
    <x v="3"/>
    <s v="5.3.11"/>
    <s v="each"/>
    <n v="0"/>
    <n v="0"/>
    <n v="0"/>
    <n v="0"/>
    <s v="RS-HVC-ADTH-V08-230101"/>
    <m/>
    <n v="59.926100000000005"/>
    <n v="59.926100000000005"/>
    <n v="59.926100000000005"/>
    <n v="59.926100000000005"/>
    <n v="0.96"/>
    <n v="0.96"/>
    <n v="0.96"/>
    <n v="0.96"/>
    <n v="0"/>
    <n v="0"/>
    <n v="0"/>
    <n v="0"/>
    <n v="0"/>
    <n v="0.96"/>
    <n v="0.96"/>
    <n v="0.96"/>
    <n v="0.96"/>
    <n v="0.96"/>
    <n v="0.96"/>
    <n v="0.96"/>
    <n v="0.96"/>
    <m/>
    <m/>
    <n v="59.926100000000005"/>
    <m/>
    <n v="0"/>
    <n v="0"/>
    <m/>
    <m/>
    <n v="59.926100000000005"/>
    <s v="n/a"/>
    <n v="0"/>
    <n v="0"/>
    <n v="0"/>
    <m/>
    <m/>
    <n v="59.926100000000005"/>
    <m/>
    <n v="0"/>
    <n v="0"/>
    <m/>
    <m/>
    <n v="59.926100000000005"/>
    <m/>
    <n v="0"/>
    <n v="0"/>
    <n v="0"/>
    <n v="0"/>
    <n v="0"/>
    <n v="0"/>
    <n v="0"/>
    <s v="NA"/>
    <m/>
  </r>
  <r>
    <s v="NSG"/>
    <x v="3"/>
    <x v="6"/>
    <s v="Direct Install"/>
    <x v="44"/>
    <s v="Furnace (DI)"/>
    <s v="MF"/>
    <x v="3"/>
    <s v="5.3.11"/>
    <s v="each"/>
    <n v="0"/>
    <n v="0"/>
    <n v="0"/>
    <n v="0"/>
    <s v="RS-HVC-ADTH-V08-230101"/>
    <m/>
    <n v="40.5015"/>
    <n v="40.5015"/>
    <n v="40.5015"/>
    <n v="40.5015"/>
    <n v="0.96"/>
    <n v="0.96"/>
    <n v="0.96"/>
    <n v="0.96"/>
    <n v="0"/>
    <n v="0"/>
    <n v="0"/>
    <n v="0"/>
    <n v="0"/>
    <n v="0.96"/>
    <n v="0.96"/>
    <n v="0.96"/>
    <n v="0.96"/>
    <n v="0.96"/>
    <n v="0.96"/>
    <n v="0.96"/>
    <n v="0.96"/>
    <m/>
    <m/>
    <n v="40.5015"/>
    <m/>
    <n v="0"/>
    <n v="0"/>
    <m/>
    <m/>
    <n v="40.5015"/>
    <s v="n/a"/>
    <n v="0"/>
    <n v="0"/>
    <n v="0"/>
    <m/>
    <m/>
    <n v="40.5015"/>
    <m/>
    <n v="0"/>
    <n v="0"/>
    <m/>
    <m/>
    <n v="40.5015"/>
    <m/>
    <n v="0"/>
    <n v="0"/>
    <n v="0"/>
    <n v="0"/>
    <n v="0"/>
    <n v="0"/>
    <n v="0"/>
    <s v="NA"/>
    <m/>
  </r>
  <r>
    <s v="NSG"/>
    <x v="3"/>
    <x v="6"/>
    <s v="Direct Install"/>
    <x v="9"/>
    <n v="0"/>
    <s v="MF"/>
    <x v="3"/>
    <s v="5.4.9"/>
    <s v="each"/>
    <n v="0"/>
    <n v="0"/>
    <n v="0"/>
    <n v="0"/>
    <s v="RS-DHW-SHTM-V05-230101"/>
    <m/>
    <n v="3.5388455445188995"/>
    <n v="3.5388455445188995"/>
    <n v="3.5388455445188995"/>
    <n v="3.5388455445188995"/>
    <n v="0.96"/>
    <n v="0.96"/>
    <n v="0.96"/>
    <n v="0.96"/>
    <n v="0"/>
    <n v="0"/>
    <n v="0"/>
    <n v="0"/>
    <n v="0"/>
    <n v="0.96"/>
    <n v="0.96"/>
    <n v="0.96"/>
    <n v="0.96"/>
    <n v="0.96"/>
    <n v="0.96"/>
    <n v="0.96"/>
    <n v="0.96"/>
    <m/>
    <m/>
    <n v="3.7960439935175092"/>
    <m/>
    <n v="0"/>
    <n v="0"/>
    <m/>
    <m/>
    <n v="3.7960439935175092"/>
    <s v="No savings impacts with existing measure assumptions."/>
    <n v="0"/>
    <n v="0"/>
    <n v="0"/>
    <m/>
    <m/>
    <n v="3.7960439935175092"/>
    <m/>
    <n v="0"/>
    <n v="0"/>
    <m/>
    <m/>
    <n v="3.7960439935175092"/>
    <m/>
    <n v="0"/>
    <n v="0"/>
    <n v="0"/>
    <n v="0"/>
    <n v="0"/>
    <n v="0"/>
    <n v="0"/>
    <s v="NA"/>
    <m/>
  </r>
  <r>
    <s v="NSG"/>
    <x v="3"/>
    <x v="6"/>
    <s v="Gas Optimization"/>
    <x v="85"/>
    <n v="0"/>
    <s v="MF"/>
    <x v="3"/>
    <n v="0"/>
    <s v="therm"/>
    <n v="0"/>
    <n v="0"/>
    <n v="0"/>
    <n v="0"/>
    <n v="0"/>
    <m/>
    <n v="1"/>
    <n v="1"/>
    <n v="1"/>
    <n v="1"/>
    <n v="0.94"/>
    <n v="0.94"/>
    <n v="0.94"/>
    <n v="0.94"/>
    <n v="0"/>
    <n v="0"/>
    <n v="0"/>
    <n v="0"/>
    <n v="0"/>
    <n v="0.94"/>
    <n v="0.94"/>
    <n v="0.94"/>
    <n v="0.94"/>
    <n v="0.94"/>
    <n v="0.94"/>
    <n v="0.94"/>
    <n v="0.94"/>
    <m/>
    <m/>
    <n v="1"/>
    <m/>
    <n v="0"/>
    <n v="0"/>
    <m/>
    <m/>
    <n v="1"/>
    <s v="n/a"/>
    <n v="0"/>
    <n v="0"/>
    <n v="0"/>
    <m/>
    <m/>
    <n v="1"/>
    <m/>
    <n v="0"/>
    <n v="0"/>
    <m/>
    <m/>
    <n v="1"/>
    <m/>
    <n v="0"/>
    <n v="0"/>
    <n v="0"/>
    <n v="0"/>
    <n v="0"/>
    <n v="0"/>
    <n v="0"/>
    <s v="NA"/>
    <m/>
  </r>
  <r>
    <s v="NSG"/>
    <x v="3"/>
    <x v="6"/>
    <s v="Standard Rebate"/>
    <x v="28"/>
    <s v="≥88% AFUE, ≥300MBh TE"/>
    <s v="MF"/>
    <x v="3"/>
    <s v="4.4.10"/>
    <s v="MBH"/>
    <n v="0"/>
    <n v="0"/>
    <n v="0"/>
    <n v="0"/>
    <s v="CI-HVC-BOIL-V10-230101"/>
    <m/>
    <n v="1.6609999999999991"/>
    <n v="1.6609999999999991"/>
    <n v="1.6609999999999991"/>
    <n v="1.6609999999999991"/>
    <n v="0.87"/>
    <n v="0.87"/>
    <n v="0.87"/>
    <n v="0.87"/>
    <n v="0"/>
    <n v="0"/>
    <n v="0"/>
    <n v="0"/>
    <n v="0"/>
    <n v="0.87"/>
    <n v="0.87"/>
    <n v="0.87"/>
    <n v="0.87"/>
    <n v="0.87"/>
    <n v="0.87"/>
    <n v="0.87"/>
    <n v="0.87"/>
    <m/>
    <m/>
    <n v="1.6609999999999991"/>
    <m/>
    <n v="0"/>
    <n v="0"/>
    <m/>
    <m/>
    <n v="1.6609999999999991"/>
    <s v="n/a"/>
    <n v="0"/>
    <n v="0"/>
    <n v="0"/>
    <m/>
    <m/>
    <n v="1.6609999999999991"/>
    <m/>
    <n v="0"/>
    <n v="0"/>
    <m/>
    <m/>
    <n v="1.6609999999999991"/>
    <m/>
    <n v="0"/>
    <n v="0"/>
    <n v="0"/>
    <n v="0"/>
    <n v="0"/>
    <n v="0"/>
    <n v="0"/>
    <s v="NA"/>
    <m/>
  </r>
  <r>
    <s v="NSG"/>
    <x v="3"/>
    <x v="6"/>
    <s v="Standard Rebate"/>
    <x v="70"/>
    <n v="0"/>
    <s v="MF/CI"/>
    <x v="3"/>
    <s v="4.4.5"/>
    <s v="MBH"/>
    <n v="0"/>
    <n v="0"/>
    <n v="0"/>
    <n v="0"/>
    <s v="CI-HVC-CUHT-V03-230101"/>
    <m/>
    <n v="1.7733333333333334"/>
    <n v="1.7733333333333334"/>
    <n v="1.7733333333333334"/>
    <n v="1.7733333333333334"/>
    <n v="0.87"/>
    <n v="0.87"/>
    <n v="0.87"/>
    <n v="0.87"/>
    <n v="0"/>
    <n v="0"/>
    <n v="0"/>
    <n v="0"/>
    <n v="0"/>
    <n v="0.87"/>
    <n v="0.87"/>
    <n v="0.87"/>
    <n v="0.87"/>
    <n v="0.87"/>
    <n v="0.87"/>
    <n v="0.87"/>
    <n v="0.87"/>
    <m/>
    <m/>
    <n v="1.6896527777777772"/>
    <m/>
    <n v="0"/>
    <n v="0"/>
    <m/>
    <m/>
    <n v="1.6896527777777772"/>
    <s v="n/a"/>
    <n v="0"/>
    <n v="0"/>
    <n v="0"/>
    <m/>
    <m/>
    <n v="1.6896527777777772"/>
    <m/>
    <n v="0"/>
    <n v="0"/>
    <m/>
    <m/>
    <n v="1.6896527777777772"/>
    <m/>
    <n v="0"/>
    <n v="0"/>
    <n v="0"/>
    <n v="0"/>
    <n v="0"/>
    <n v="0"/>
    <n v="0"/>
    <s v="NA"/>
    <m/>
  </r>
  <r>
    <s v="NSG"/>
    <x v="3"/>
    <x v="6"/>
    <s v="Standard Rebate"/>
    <x v="71"/>
    <n v="0"/>
    <s v="MF/CI"/>
    <x v="3"/>
    <s v="4.4.39"/>
    <s v="MBH"/>
    <n v="0"/>
    <n v="0"/>
    <n v="0"/>
    <n v="0"/>
    <s v="CI-HVC-HTHV-V02-230101"/>
    <m/>
    <n v="3.72"/>
    <n v="3.72"/>
    <n v="3.72"/>
    <n v="3.72"/>
    <n v="0.87"/>
    <n v="0.87"/>
    <n v="0.87"/>
    <n v="0.87"/>
    <n v="0"/>
    <n v="0"/>
    <n v="0"/>
    <n v="0"/>
    <n v="0"/>
    <n v="0.87"/>
    <n v="0.87"/>
    <n v="0.87"/>
    <n v="0.87"/>
    <n v="0.87"/>
    <n v="0.87"/>
    <n v="0.87"/>
    <n v="0.87"/>
    <m/>
    <m/>
    <n v="3.72"/>
    <m/>
    <n v="0"/>
    <n v="0"/>
    <m/>
    <m/>
    <n v="3.72"/>
    <s v="n/a"/>
    <n v="0"/>
    <n v="0"/>
    <n v="0"/>
    <m/>
    <m/>
    <n v="3.72"/>
    <m/>
    <n v="0"/>
    <n v="0"/>
    <m/>
    <m/>
    <n v="3.72"/>
    <m/>
    <n v="0"/>
    <n v="0"/>
    <n v="0"/>
    <n v="0"/>
    <n v="0"/>
    <n v="0"/>
    <n v="0"/>
    <s v="NA"/>
    <m/>
  </r>
  <r>
    <s v="NSG"/>
    <x v="3"/>
    <x v="6"/>
    <s v="Standard Rebate"/>
    <x v="43"/>
    <n v="0"/>
    <s v="MF"/>
    <x v="3"/>
    <s v="4.8.5"/>
    <s v="lb-capacity"/>
    <n v="0"/>
    <n v="0"/>
    <n v="0"/>
    <n v="0"/>
    <s v="CI-MSC-HSCW-V02-210101"/>
    <m/>
    <n v="2.2054032000000001"/>
    <n v="2.2054032000000001"/>
    <n v="2.2054032000000001"/>
    <n v="2.2054032000000001"/>
    <n v="0.87"/>
    <n v="0.87"/>
    <n v="0.87"/>
    <n v="0.87"/>
    <n v="0"/>
    <n v="0"/>
    <n v="0"/>
    <n v="0"/>
    <n v="0"/>
    <n v="0.87"/>
    <n v="0.87"/>
    <n v="0.87"/>
    <n v="0.87"/>
    <n v="0.87"/>
    <n v="0.87"/>
    <n v="0.87"/>
    <n v="0.87"/>
    <m/>
    <m/>
    <n v="2.2054032000000001"/>
    <m/>
    <n v="0"/>
    <n v="0"/>
    <m/>
    <m/>
    <n v="2.2054032000000001"/>
    <s v="n/a"/>
    <n v="0"/>
    <n v="0"/>
    <n v="0"/>
    <m/>
    <m/>
    <n v="2.2054032000000001"/>
    <m/>
    <n v="0"/>
    <n v="0"/>
    <m/>
    <m/>
    <n v="2.2054032000000001"/>
    <m/>
    <n v="0"/>
    <n v="0"/>
    <n v="0"/>
    <n v="0"/>
    <n v="0"/>
    <n v="0"/>
    <n v="0"/>
    <s v="NA"/>
    <m/>
  </r>
  <r>
    <s v="NSG"/>
    <x v="3"/>
    <x v="6"/>
    <s v="Standard Rebate"/>
    <x v="73"/>
    <n v="0"/>
    <s v="MF/CI"/>
    <x v="3"/>
    <s v="4.4.12"/>
    <s v="MBH"/>
    <n v="0"/>
    <n v="0"/>
    <n v="0"/>
    <n v="0"/>
    <s v="CI-HVC-IRHT-V03-230101"/>
    <m/>
    <n v="2.9611764705882351"/>
    <n v="2.9611764705882351"/>
    <n v="2.9611764705882351"/>
    <n v="2.9611764705882351"/>
    <n v="0.87"/>
    <n v="0.87"/>
    <n v="0.87"/>
    <n v="0.87"/>
    <n v="0"/>
    <n v="0"/>
    <n v="0"/>
    <n v="0"/>
    <n v="0"/>
    <n v="0.87"/>
    <n v="0.87"/>
    <n v="0.87"/>
    <n v="0.87"/>
    <n v="0.87"/>
    <n v="0.87"/>
    <n v="0.87"/>
    <n v="0.87"/>
    <m/>
    <m/>
    <n v="2.9611764705882351"/>
    <m/>
    <n v="0"/>
    <n v="0"/>
    <m/>
    <m/>
    <n v="2.9611764705882351"/>
    <s v="n/a"/>
    <n v="0"/>
    <n v="0"/>
    <n v="0"/>
    <m/>
    <m/>
    <n v="2.9611764705882351"/>
    <m/>
    <n v="0"/>
    <n v="0"/>
    <m/>
    <m/>
    <n v="2.9611764705882351"/>
    <m/>
    <n v="0"/>
    <n v="0"/>
    <n v="0"/>
    <n v="0"/>
    <n v="0"/>
    <n v="0"/>
    <n v="0"/>
    <s v="NA"/>
    <m/>
  </r>
  <r>
    <s v="NSG"/>
    <x v="3"/>
    <x v="6"/>
    <s v="Standard Rebate"/>
    <x v="74"/>
    <n v="0"/>
    <s v="MF/CI"/>
    <x v="3"/>
    <s v="4.3.6"/>
    <s v="lb-capacity"/>
    <n v="0"/>
    <n v="0"/>
    <n v="0"/>
    <n v="0"/>
    <s v="CI-HWE-OZLD-V07-230101"/>
    <m/>
    <n v="30.722664192350027"/>
    <n v="30.722664192350027"/>
    <n v="30.722664192350027"/>
    <n v="30.722664192350027"/>
    <n v="0.87"/>
    <n v="0.87"/>
    <n v="0.87"/>
    <n v="0.87"/>
    <n v="0"/>
    <n v="0"/>
    <n v="0"/>
    <n v="0"/>
    <n v="0"/>
    <n v="0.87"/>
    <n v="0.87"/>
    <n v="0.87"/>
    <n v="0.87"/>
    <n v="0.87"/>
    <n v="0.87"/>
    <n v="0.87"/>
    <n v="0.87"/>
    <m/>
    <m/>
    <n v="30.722664192350027"/>
    <m/>
    <n v="0"/>
    <n v="0"/>
    <m/>
    <m/>
    <n v="30.722664192350027"/>
    <s v="n/a"/>
    <n v="0"/>
    <n v="0"/>
    <n v="0"/>
    <m/>
    <m/>
    <n v="30.722664192350027"/>
    <m/>
    <n v="0"/>
    <n v="0"/>
    <m/>
    <m/>
    <n v="30.722664192350027"/>
    <m/>
    <n v="0"/>
    <n v="0"/>
    <n v="0"/>
    <n v="0"/>
    <n v="0"/>
    <n v="0"/>
    <n v="0"/>
    <s v="NA"/>
    <m/>
  </r>
  <r>
    <s v="NSG"/>
    <x v="3"/>
    <x v="6"/>
    <s v="Standard Rebate"/>
    <x v="4"/>
    <s v="Hyd. Boiler Sm ≤1.25&quot;"/>
    <s v="MF"/>
    <x v="3"/>
    <s v="&quot;3 - Res Pipe Insulation&quot; worksheet"/>
    <s v="ft"/>
    <n v="0"/>
    <n v="0"/>
    <n v="0"/>
    <n v="0"/>
    <n v="0"/>
    <m/>
    <n v="2.0682348076923076"/>
    <n v="2.0682348076923076"/>
    <n v="2.0682348076923076"/>
    <n v="2.0682348076923076"/>
    <n v="0.87"/>
    <n v="0.87"/>
    <n v="0.87"/>
    <n v="0.87"/>
    <n v="0"/>
    <n v="0"/>
    <n v="0"/>
    <n v="0"/>
    <n v="0"/>
    <n v="0.87"/>
    <n v="0.87"/>
    <n v="0.87"/>
    <n v="0.87"/>
    <n v="0.87"/>
    <n v="0.87"/>
    <n v="0.87"/>
    <n v="0.87"/>
    <m/>
    <m/>
    <n v="2.0682348076923076"/>
    <m/>
    <n v="0"/>
    <n v="0"/>
    <m/>
    <m/>
    <n v="2.0682348076923076"/>
    <s v="n/a"/>
    <n v="0"/>
    <n v="0"/>
    <n v="0"/>
    <m/>
    <m/>
    <n v="2.0682348076923076"/>
    <m/>
    <n v="0"/>
    <n v="0"/>
    <m/>
    <m/>
    <n v="2.0682348076923076"/>
    <m/>
    <n v="0"/>
    <n v="0"/>
    <n v="0"/>
    <n v="0"/>
    <n v="0"/>
    <n v="0"/>
    <n v="0"/>
    <s v="NA"/>
    <m/>
  </r>
  <r>
    <s v="NSG"/>
    <x v="3"/>
    <x v="6"/>
    <s v="Standard Rebate"/>
    <x v="4"/>
    <s v="Hyd. Boiler Med 1.25-2&quot;"/>
    <s v="MF"/>
    <x v="3"/>
    <s v="&quot;3 - Res Pipe Insulation&quot; worksheet"/>
    <s v="ft"/>
    <n v="0"/>
    <n v="0"/>
    <n v="0"/>
    <n v="0"/>
    <n v="0"/>
    <m/>
    <n v="3.6034773504273505"/>
    <n v="3.6034773504273505"/>
    <n v="3.6034773504273505"/>
    <n v="3.6034773504273505"/>
    <n v="0.87"/>
    <n v="0.87"/>
    <n v="0.87"/>
    <n v="0.87"/>
    <n v="0"/>
    <n v="0"/>
    <n v="0"/>
    <n v="0"/>
    <n v="0"/>
    <n v="0.87"/>
    <n v="0.87"/>
    <n v="0.87"/>
    <n v="0.87"/>
    <n v="0.87"/>
    <n v="0.87"/>
    <n v="0.87"/>
    <n v="0.87"/>
    <m/>
    <m/>
    <n v="3.6034773504273505"/>
    <m/>
    <n v="0"/>
    <n v="0"/>
    <m/>
    <m/>
    <n v="3.6034773504273505"/>
    <s v="n/a"/>
    <n v="0"/>
    <n v="0"/>
    <n v="0"/>
    <m/>
    <m/>
    <n v="3.6034773504273505"/>
    <m/>
    <n v="0"/>
    <n v="0"/>
    <m/>
    <m/>
    <n v="3.6034773504273505"/>
    <m/>
    <n v="0"/>
    <n v="0"/>
    <n v="0"/>
    <n v="0"/>
    <n v="0"/>
    <n v="0"/>
    <n v="0"/>
    <s v="NA"/>
    <m/>
  </r>
  <r>
    <s v="NSG"/>
    <x v="3"/>
    <x v="6"/>
    <s v="Standard Rebate"/>
    <x v="4"/>
    <s v="Steam - Small 1&quot; to 2&quot;"/>
    <s v="MF"/>
    <x v="3"/>
    <s v="&quot;3 - Res Pipe Insulation&quot; worksheet"/>
    <s v="ft"/>
    <n v="0"/>
    <n v="0"/>
    <n v="0"/>
    <n v="0"/>
    <n v="0"/>
    <m/>
    <n v="3.967097058288509"/>
    <n v="3.967097058288509"/>
    <n v="3.967097058288509"/>
    <n v="3.967097058288509"/>
    <n v="0.87"/>
    <n v="0.87"/>
    <n v="0.87"/>
    <n v="0.87"/>
    <n v="0"/>
    <n v="0"/>
    <n v="0"/>
    <n v="0"/>
    <n v="0"/>
    <n v="0.87"/>
    <n v="0.87"/>
    <n v="0.87"/>
    <n v="0.87"/>
    <n v="0.87"/>
    <n v="0.87"/>
    <n v="0.87"/>
    <n v="0.87"/>
    <m/>
    <m/>
    <n v="3.967097058288509"/>
    <m/>
    <n v="0"/>
    <n v="0"/>
    <m/>
    <m/>
    <n v="3.967097058288509"/>
    <s v="n/a"/>
    <n v="0"/>
    <n v="0"/>
    <n v="0"/>
    <m/>
    <m/>
    <n v="3.967097058288509"/>
    <m/>
    <n v="0"/>
    <n v="0"/>
    <m/>
    <m/>
    <n v="3.967097058288509"/>
    <m/>
    <n v="0"/>
    <n v="0"/>
    <n v="0"/>
    <n v="0"/>
    <n v="0"/>
    <n v="0"/>
    <n v="0"/>
    <s v="NA"/>
    <m/>
  </r>
  <r>
    <s v="NSG"/>
    <x v="3"/>
    <x v="6"/>
    <s v="Standard Rebate"/>
    <x v="4"/>
    <s v="Steam - Med 2.1&quot; to 5&quot;"/>
    <s v="MF"/>
    <x v="3"/>
    <s v="&quot;3 - Res Pipe Insulation&quot; worksheet"/>
    <s v="ft"/>
    <n v="0"/>
    <n v="0"/>
    <n v="0"/>
    <n v="0"/>
    <n v="0"/>
    <m/>
    <n v="15.954497207020932"/>
    <n v="15.954497207020932"/>
    <n v="15.954497207020932"/>
    <n v="15.954497207020932"/>
    <n v="0.87"/>
    <n v="0.87"/>
    <n v="0.87"/>
    <n v="0.87"/>
    <n v="0"/>
    <n v="0"/>
    <n v="0"/>
    <n v="0"/>
    <n v="0"/>
    <n v="0.87"/>
    <n v="0.87"/>
    <n v="0.87"/>
    <n v="0.87"/>
    <n v="0.87"/>
    <n v="0.87"/>
    <n v="0.87"/>
    <n v="0.87"/>
    <m/>
    <m/>
    <n v="15.954497207020932"/>
    <m/>
    <n v="0"/>
    <n v="0"/>
    <m/>
    <m/>
    <n v="15.954497207020932"/>
    <s v="n/a"/>
    <n v="0"/>
    <n v="0"/>
    <n v="0"/>
    <m/>
    <m/>
    <n v="15.954497207020932"/>
    <m/>
    <n v="0"/>
    <n v="0"/>
    <m/>
    <m/>
    <n v="15.954497207020932"/>
    <m/>
    <n v="0"/>
    <n v="0"/>
    <n v="0"/>
    <n v="0"/>
    <n v="0"/>
    <n v="0"/>
    <n v="0"/>
    <s v="NA"/>
    <m/>
  </r>
  <r>
    <s v="NSG"/>
    <x v="3"/>
    <x v="6"/>
    <s v="Standard Rebate"/>
    <x v="4"/>
    <s v="Steam - Large 5.1&quot; to 8&quot;"/>
    <s v="MF"/>
    <x v="3"/>
    <s v="&quot;3 - Res Pipe Insulation&quot; worksheet"/>
    <s v="ft"/>
    <n v="0"/>
    <n v="0"/>
    <n v="0"/>
    <n v="0"/>
    <n v="0"/>
    <m/>
    <n v="31.133964854103496"/>
    <n v="31.133964854103496"/>
    <n v="31.133964854103496"/>
    <n v="31.133964854103496"/>
    <n v="0.87"/>
    <n v="0.87"/>
    <n v="0.87"/>
    <n v="0.87"/>
    <n v="0"/>
    <n v="0"/>
    <n v="0"/>
    <n v="0"/>
    <n v="0"/>
    <n v="0.87"/>
    <n v="0.87"/>
    <n v="0.87"/>
    <n v="0.87"/>
    <n v="0.87"/>
    <n v="0.87"/>
    <n v="0.87"/>
    <n v="0.87"/>
    <m/>
    <m/>
    <n v="31.133964854103496"/>
    <m/>
    <n v="0"/>
    <n v="0"/>
    <m/>
    <m/>
    <n v="31.133964854103496"/>
    <s v="n/a"/>
    <n v="0"/>
    <n v="0"/>
    <n v="0"/>
    <m/>
    <m/>
    <n v="31.133964854103496"/>
    <m/>
    <n v="0"/>
    <n v="0"/>
    <m/>
    <m/>
    <n v="31.133964854103496"/>
    <m/>
    <n v="0"/>
    <n v="0"/>
    <n v="0"/>
    <n v="0"/>
    <n v="0"/>
    <n v="0"/>
    <n v="0"/>
    <s v="NA"/>
    <m/>
  </r>
  <r>
    <s v="NSG"/>
    <x v="3"/>
    <x v="6"/>
    <s v="Standard Rebate"/>
    <x v="4"/>
    <s v="Steam - X-Large &gt;8&quot;"/>
    <s v="MF"/>
    <x v="3"/>
    <s v="&quot;3 - Res Pipe Insulation&quot; worksheet"/>
    <s v="ft"/>
    <n v="0"/>
    <n v="0"/>
    <n v="0"/>
    <n v="0"/>
    <n v="0"/>
    <m/>
    <n v="44.814401171573145"/>
    <n v="44.814401171573145"/>
    <n v="44.814401171573145"/>
    <n v="44.814401171573145"/>
    <n v="0.87"/>
    <n v="0.87"/>
    <n v="0.87"/>
    <n v="0.87"/>
    <n v="0"/>
    <n v="0"/>
    <n v="0"/>
    <n v="0"/>
    <n v="0"/>
    <n v="0.87"/>
    <n v="0.87"/>
    <n v="0.87"/>
    <n v="0.87"/>
    <n v="0.87"/>
    <n v="0.87"/>
    <n v="0.87"/>
    <n v="0.87"/>
    <m/>
    <m/>
    <n v="44.814401171573145"/>
    <m/>
    <n v="0"/>
    <n v="0"/>
    <m/>
    <m/>
    <n v="44.814401171573145"/>
    <s v="n/a"/>
    <n v="0"/>
    <n v="0"/>
    <n v="0"/>
    <m/>
    <m/>
    <n v="44.814401171573145"/>
    <m/>
    <n v="0"/>
    <n v="0"/>
    <m/>
    <m/>
    <n v="44.814401171573145"/>
    <m/>
    <n v="0"/>
    <n v="0"/>
    <n v="0"/>
    <n v="0"/>
    <n v="0"/>
    <n v="0"/>
    <n v="0"/>
    <s v="NA"/>
    <m/>
  </r>
  <r>
    <s v="NSG"/>
    <x v="3"/>
    <x v="6"/>
    <s v="Standard Rebate"/>
    <x v="4"/>
    <s v="Steam Med Fitting"/>
    <s v="MF"/>
    <x v="3"/>
    <s v="&quot;3 - Res Pipe Insulation&quot; worksheet"/>
    <s v="each"/>
    <n v="0"/>
    <n v="0"/>
    <n v="0"/>
    <n v="0"/>
    <n v="0"/>
    <m/>
    <n v="20.134575475260416"/>
    <n v="20.134575475260416"/>
    <n v="20.134575475260416"/>
    <n v="20.134575475260416"/>
    <n v="0.87"/>
    <n v="0.87"/>
    <n v="0.87"/>
    <n v="0.87"/>
    <n v="0"/>
    <n v="0"/>
    <n v="0"/>
    <n v="0"/>
    <n v="0"/>
    <n v="0.87"/>
    <n v="0.87"/>
    <n v="0.87"/>
    <n v="0.87"/>
    <n v="0.87"/>
    <n v="0.87"/>
    <n v="0.87"/>
    <n v="0.87"/>
    <m/>
    <m/>
    <n v="20.134575475260416"/>
    <m/>
    <n v="0"/>
    <n v="0"/>
    <m/>
    <m/>
    <n v="20.134575475260416"/>
    <s v="n/a"/>
    <n v="0"/>
    <n v="0"/>
    <n v="0"/>
    <m/>
    <m/>
    <n v="20.134575475260416"/>
    <m/>
    <n v="0"/>
    <n v="0"/>
    <m/>
    <m/>
    <n v="20.134575475260416"/>
    <m/>
    <n v="0"/>
    <n v="0"/>
    <n v="0"/>
    <n v="0"/>
    <n v="0"/>
    <n v="0"/>
    <n v="0"/>
    <s v="NA"/>
    <m/>
  </r>
  <r>
    <s v="NSG"/>
    <x v="3"/>
    <x v="6"/>
    <s v="Standard Rebate"/>
    <x v="4"/>
    <s v="Steam Large Fitting"/>
    <s v="MF"/>
    <x v="3"/>
    <s v="&quot;3 - Res Pipe Insulation&quot; worksheet"/>
    <s v="each"/>
    <n v="0"/>
    <n v="0"/>
    <n v="0"/>
    <n v="0"/>
    <n v="0"/>
    <m/>
    <n v="66.284273233024678"/>
    <n v="66.284273233024678"/>
    <n v="66.284273233024678"/>
    <n v="66.284273233024678"/>
    <n v="0.87"/>
    <n v="0.87"/>
    <n v="0.87"/>
    <n v="0.87"/>
    <n v="0"/>
    <n v="0"/>
    <n v="0"/>
    <n v="0"/>
    <n v="0"/>
    <n v="0.87"/>
    <n v="0.87"/>
    <n v="0.87"/>
    <n v="0.87"/>
    <n v="0.87"/>
    <n v="0.87"/>
    <n v="0.87"/>
    <n v="0.87"/>
    <m/>
    <m/>
    <n v="66.284273233024678"/>
    <m/>
    <n v="0"/>
    <n v="0"/>
    <m/>
    <m/>
    <n v="66.284273233024678"/>
    <s v="n/a"/>
    <n v="0"/>
    <n v="0"/>
    <n v="0"/>
    <m/>
    <m/>
    <n v="66.284273233024678"/>
    <m/>
    <n v="0"/>
    <n v="0"/>
    <m/>
    <m/>
    <n v="66.284273233024678"/>
    <m/>
    <n v="0"/>
    <n v="0"/>
    <n v="0"/>
    <n v="0"/>
    <n v="0"/>
    <n v="0"/>
    <n v="0"/>
    <s v="NA"/>
    <m/>
  </r>
  <r>
    <s v="NSG"/>
    <x v="3"/>
    <x v="6"/>
    <s v="Standard Rebate"/>
    <x v="4"/>
    <s v="Steam X-Large Fitting"/>
    <s v="MF"/>
    <x v="3"/>
    <s v="&quot;3 - Res Pipe Insulation&quot; worksheet"/>
    <s v="each"/>
    <n v="0"/>
    <n v="0"/>
    <n v="0"/>
    <n v="0"/>
    <n v="0"/>
    <m/>
    <n v="113.8883886472908"/>
    <n v="113.8883886472908"/>
    <n v="113.8883886472908"/>
    <n v="113.8883886472908"/>
    <n v="0.87"/>
    <n v="0.87"/>
    <n v="0.87"/>
    <n v="0.87"/>
    <n v="0"/>
    <n v="0"/>
    <n v="0"/>
    <n v="0"/>
    <n v="0"/>
    <n v="0.87"/>
    <n v="0.87"/>
    <n v="0.87"/>
    <n v="0.87"/>
    <n v="0.87"/>
    <n v="0.87"/>
    <n v="0.87"/>
    <n v="0.87"/>
    <m/>
    <m/>
    <n v="113.8883886472908"/>
    <m/>
    <n v="0"/>
    <n v="0"/>
    <m/>
    <m/>
    <n v="113.8883886472908"/>
    <s v="n/a"/>
    <n v="0"/>
    <n v="0"/>
    <n v="0"/>
    <m/>
    <m/>
    <n v="113.8883886472908"/>
    <m/>
    <n v="0"/>
    <n v="0"/>
    <m/>
    <m/>
    <n v="113.8883886472908"/>
    <m/>
    <n v="0"/>
    <n v="0"/>
    <n v="0"/>
    <n v="0"/>
    <n v="0"/>
    <n v="0"/>
    <n v="0"/>
    <s v="NA"/>
    <m/>
  </r>
  <r>
    <s v="NSG"/>
    <x v="3"/>
    <x v="6"/>
    <s v="Standard Rebate"/>
    <x v="4"/>
    <s v="Steam Med Valve"/>
    <s v="MF"/>
    <x v="3"/>
    <s v="&quot;3 - Res Pipe Insulation&quot; worksheet"/>
    <s v="each"/>
    <n v="0"/>
    <n v="0"/>
    <n v="0"/>
    <n v="0"/>
    <n v="0"/>
    <m/>
    <n v="67.962640249087912"/>
    <n v="67.962640249087912"/>
    <n v="67.962640249087912"/>
    <n v="67.962640249087912"/>
    <n v="0.87"/>
    <n v="0.87"/>
    <n v="0.87"/>
    <n v="0.87"/>
    <n v="0"/>
    <n v="0"/>
    <n v="0"/>
    <n v="0"/>
    <n v="0"/>
    <n v="0.87"/>
    <n v="0.87"/>
    <n v="0.87"/>
    <n v="0.87"/>
    <n v="0.87"/>
    <n v="0.87"/>
    <n v="0.87"/>
    <n v="0.87"/>
    <m/>
    <m/>
    <n v="67.962640249087912"/>
    <m/>
    <n v="0"/>
    <n v="0"/>
    <m/>
    <m/>
    <n v="67.962640249087912"/>
    <s v="n/a"/>
    <n v="0"/>
    <n v="0"/>
    <n v="0"/>
    <m/>
    <m/>
    <n v="67.962640249087912"/>
    <m/>
    <n v="0"/>
    <n v="0"/>
    <m/>
    <m/>
    <n v="67.962640249087912"/>
    <m/>
    <n v="0"/>
    <n v="0"/>
    <n v="0"/>
    <n v="0"/>
    <n v="0"/>
    <n v="0"/>
    <n v="0"/>
    <s v="NA"/>
    <m/>
  </r>
  <r>
    <s v="NSG"/>
    <x v="3"/>
    <x v="6"/>
    <s v="Standard Rebate"/>
    <x v="4"/>
    <s v="Steam Large Valve"/>
    <s v="MF"/>
    <x v="3"/>
    <s v="&quot;3 - Res Pipe Insulation&quot; worksheet"/>
    <s v="each"/>
    <n v="0"/>
    <n v="0"/>
    <n v="0"/>
    <n v="0"/>
    <n v="0"/>
    <m/>
    <n v="133.90978522057964"/>
    <n v="133.90978522057964"/>
    <n v="133.90978522057964"/>
    <n v="133.90978522057964"/>
    <n v="0.87"/>
    <n v="0.87"/>
    <n v="0.87"/>
    <n v="0.87"/>
    <n v="0"/>
    <n v="0"/>
    <n v="0"/>
    <n v="0"/>
    <n v="0"/>
    <n v="0.87"/>
    <n v="0.87"/>
    <n v="0.87"/>
    <n v="0.87"/>
    <n v="0.87"/>
    <n v="0.87"/>
    <n v="0.87"/>
    <n v="0.87"/>
    <m/>
    <m/>
    <n v="133.90978522057964"/>
    <m/>
    <n v="0"/>
    <n v="0"/>
    <m/>
    <m/>
    <n v="133.90978522057964"/>
    <s v="n/a"/>
    <n v="0"/>
    <n v="0"/>
    <n v="0"/>
    <m/>
    <m/>
    <n v="133.90978522057964"/>
    <m/>
    <n v="0"/>
    <n v="0"/>
    <m/>
    <m/>
    <n v="133.90978522057964"/>
    <m/>
    <n v="0"/>
    <n v="0"/>
    <n v="0"/>
    <n v="0"/>
    <n v="0"/>
    <n v="0"/>
    <n v="0"/>
    <s v="NA"/>
    <m/>
  </r>
  <r>
    <s v="NSG"/>
    <x v="3"/>
    <x v="6"/>
    <s v="Standard Rebate"/>
    <x v="4"/>
    <s v="Steam X-Large Valve"/>
    <s v="MF"/>
    <x v="3"/>
    <s v="&quot;3 - Res Pipe Insulation&quot; worksheet"/>
    <s v="each"/>
    <n v="0"/>
    <n v="0"/>
    <n v="0"/>
    <n v="0"/>
    <n v="0"/>
    <m/>
    <n v="67.962640249087912"/>
    <n v="67.962640249087912"/>
    <n v="67.962640249087912"/>
    <n v="67.962640249087912"/>
    <n v="0.87"/>
    <n v="0.87"/>
    <n v="0.87"/>
    <n v="0.87"/>
    <n v="0"/>
    <n v="0"/>
    <n v="0"/>
    <n v="0"/>
    <n v="0"/>
    <n v="0.87"/>
    <n v="0.87"/>
    <n v="0.87"/>
    <n v="0.87"/>
    <n v="0.87"/>
    <n v="0.87"/>
    <n v="0.87"/>
    <n v="0.87"/>
    <m/>
    <m/>
    <n v="67.962640249087912"/>
    <m/>
    <n v="0"/>
    <n v="0"/>
    <m/>
    <m/>
    <n v="67.962640249087912"/>
    <s v="n/a"/>
    <n v="0"/>
    <n v="0"/>
    <n v="0"/>
    <m/>
    <m/>
    <n v="67.962640249087912"/>
    <m/>
    <n v="0"/>
    <n v="0"/>
    <m/>
    <m/>
    <n v="67.962640249087912"/>
    <m/>
    <n v="0"/>
    <n v="0"/>
    <n v="0"/>
    <n v="0"/>
    <n v="0"/>
    <n v="0"/>
    <n v="0"/>
    <s v="NA"/>
    <m/>
  </r>
  <r>
    <s v="NSG"/>
    <x v="3"/>
    <x v="6"/>
    <s v="Standard Rebate"/>
    <x v="35"/>
    <s v=" &gt;=1500MBH, &gt;=82% TE"/>
    <s v="MF"/>
    <x v="3"/>
    <s v="4.4.10"/>
    <s v="MBH"/>
    <n v="0"/>
    <n v="0"/>
    <n v="0"/>
    <n v="0"/>
    <s v="CI-HVC-BOIL-V10-230101"/>
    <m/>
    <n v="0.85179487179487012"/>
    <n v="0.85179487179487012"/>
    <n v="0.85179487179487012"/>
    <n v="0.85179487179487012"/>
    <n v="0.87"/>
    <n v="0.87"/>
    <n v="0.87"/>
    <n v="0.87"/>
    <n v="0"/>
    <n v="0"/>
    <n v="0"/>
    <n v="0"/>
    <n v="0"/>
    <n v="0.87"/>
    <n v="0.87"/>
    <n v="0.87"/>
    <n v="0.87"/>
    <n v="0.87"/>
    <n v="0.87"/>
    <n v="0.87"/>
    <n v="0.87"/>
    <m/>
    <m/>
    <n v="0.85179487179487012"/>
    <m/>
    <n v="0"/>
    <n v="0"/>
    <m/>
    <m/>
    <n v="0.63075949367088424"/>
    <s v="n/a"/>
    <n v="0"/>
    <n v="0"/>
    <n v="0"/>
    <m/>
    <m/>
    <n v="0.63075949367088424"/>
    <m/>
    <n v="0"/>
    <n v="0"/>
    <m/>
    <m/>
    <n v="0.63075949367088424"/>
    <m/>
    <n v="0"/>
    <n v="0"/>
    <n v="0"/>
    <n v="0"/>
    <n v="0"/>
    <n v="0"/>
    <n v="0"/>
    <s v="NA"/>
    <m/>
  </r>
  <r>
    <s v="NSG"/>
    <x v="3"/>
    <x v="6"/>
    <s v="Standard Rebate"/>
    <x v="35"/>
    <s v="&gt;=300MBH, &lt;1,500, &gt;=81% AFUE"/>
    <s v="MF"/>
    <x v="3"/>
    <s v="4.4.10"/>
    <s v="MBH"/>
    <n v="0"/>
    <n v="0"/>
    <n v="0"/>
    <n v="0"/>
    <s v="CI-HVC-BOIL-V10-230101"/>
    <m/>
    <n v="0.63884615384615429"/>
    <n v="0.63884615384615429"/>
    <n v="0.63884615384615429"/>
    <n v="0.63884615384615429"/>
    <n v="0.87"/>
    <n v="0.87"/>
    <n v="0.87"/>
    <n v="0.87"/>
    <n v="0"/>
    <n v="0"/>
    <n v="0"/>
    <n v="0"/>
    <n v="0"/>
    <n v="0.87"/>
    <n v="0.87"/>
    <n v="0.87"/>
    <n v="0.87"/>
    <n v="0.87"/>
    <n v="0.87"/>
    <n v="0.87"/>
    <n v="0.87"/>
    <m/>
    <m/>
    <n v="0.63884615384615429"/>
    <m/>
    <n v="0"/>
    <n v="0"/>
    <m/>
    <m/>
    <n v="0.42050632911392438"/>
    <s v="n/a"/>
    <n v="0"/>
    <n v="0"/>
    <n v="0"/>
    <m/>
    <m/>
    <n v="0.42050632911392438"/>
    <m/>
    <n v="0"/>
    <n v="0"/>
    <m/>
    <m/>
    <n v="0.42050632911392438"/>
    <m/>
    <n v="0"/>
    <n v="0"/>
    <n v="0"/>
    <n v="0"/>
    <n v="0"/>
    <n v="0"/>
    <n v="0"/>
    <s v="NA"/>
    <m/>
  </r>
  <r>
    <s v="NSG"/>
    <x v="3"/>
    <x v="6"/>
    <s v="Standard Rebate"/>
    <x v="41"/>
    <s v="Industrial/Process Audit - psig ≤ 15"/>
    <s v="MF"/>
    <x v="3"/>
    <s v="4.4.16"/>
    <s v="each"/>
    <n v="0"/>
    <n v="0"/>
    <n v="0"/>
    <n v="0"/>
    <s v="CI-HVC-STRE-V09-230101"/>
    <m/>
    <n v="158.21234468156055"/>
    <n v="158.21234468156055"/>
    <n v="158.21234468156055"/>
    <n v="158.21234468156055"/>
    <n v="0.87"/>
    <n v="0.87"/>
    <n v="0.87"/>
    <n v="0.87"/>
    <n v="0"/>
    <n v="0"/>
    <n v="0"/>
    <n v="0"/>
    <n v="0"/>
    <n v="0.87"/>
    <n v="0.87"/>
    <n v="0.87"/>
    <n v="0.87"/>
    <n v="0.87"/>
    <n v="0.87"/>
    <n v="0.87"/>
    <n v="0.87"/>
    <m/>
    <m/>
    <n v="158.21234468156055"/>
    <m/>
    <n v="0"/>
    <n v="0"/>
    <m/>
    <m/>
    <n v="321.5560729764652"/>
    <s v="Updated inputs for Commercial LPS Space Heating and Industrial/Process Low Pressure"/>
    <n v="0"/>
    <n v="0"/>
    <n v="0"/>
    <m/>
    <m/>
    <n v="321.5560729764652"/>
    <m/>
    <n v="0"/>
    <n v="0"/>
    <m/>
    <m/>
    <n v="321.5560729764652"/>
    <m/>
    <n v="0"/>
    <n v="0"/>
    <n v="0"/>
    <n v="0"/>
    <n v="0"/>
    <n v="0"/>
    <n v="0"/>
    <s v="NA"/>
    <m/>
  </r>
  <r>
    <s v="NSG"/>
    <x v="3"/>
    <x v="6"/>
    <s v="Standard Rebate"/>
    <x v="41"/>
    <s v="Industrial/Process Audit - 15 &lt; psig &lt; 30"/>
    <s v="MF"/>
    <x v="3"/>
    <s v="4.4.16"/>
    <s v="each"/>
    <n v="0"/>
    <n v="0"/>
    <n v="0"/>
    <n v="0"/>
    <s v="CI-HVC-STRE-V09-230101"/>
    <m/>
    <n v="152.05519050678893"/>
    <n v="152.05519050678893"/>
    <n v="152.05519050678893"/>
    <n v="152.05519050678893"/>
    <n v="0.87"/>
    <n v="0.87"/>
    <n v="0.87"/>
    <n v="0.87"/>
    <n v="0"/>
    <n v="0"/>
    <n v="0"/>
    <n v="0"/>
    <n v="0"/>
    <n v="0.87"/>
    <n v="0.87"/>
    <n v="0.87"/>
    <n v="0.87"/>
    <n v="0.87"/>
    <n v="0.87"/>
    <n v="0.87"/>
    <n v="0.87"/>
    <m/>
    <m/>
    <n v="152.05519050678893"/>
    <m/>
    <n v="0"/>
    <n v="0"/>
    <m/>
    <m/>
    <n v="152.05519050678893"/>
    <s v="Updated inputs for Commercial LPS Space Heating and Industrial/Process Low Pressure"/>
    <n v="0"/>
    <n v="0"/>
    <n v="0"/>
    <m/>
    <m/>
    <n v="152.05519050678893"/>
    <m/>
    <n v="0"/>
    <n v="0"/>
    <m/>
    <m/>
    <n v="152.05519050678893"/>
    <m/>
    <n v="0"/>
    <n v="0"/>
    <n v="0"/>
    <n v="0"/>
    <n v="0"/>
    <n v="0"/>
    <n v="0"/>
    <s v="NA"/>
    <m/>
  </r>
  <r>
    <s v="NSG"/>
    <x v="3"/>
    <x v="6"/>
    <s v="Standard Rebate"/>
    <x v="41"/>
    <s v="Industrial/Process Audit - 30 ≤ psig &lt; 75"/>
    <s v="MF"/>
    <x v="3"/>
    <s v="4.4.16"/>
    <s v="each"/>
    <n v="0"/>
    <n v="0"/>
    <n v="0"/>
    <n v="0"/>
    <s v="CI-HVC-STRE-V09-230101"/>
    <m/>
    <n v="557.07551065314806"/>
    <n v="557.07551065314806"/>
    <n v="557.07551065314806"/>
    <n v="557.07551065314806"/>
    <n v="0.87"/>
    <n v="0.87"/>
    <n v="0.87"/>
    <n v="0.87"/>
    <n v="0"/>
    <n v="0"/>
    <n v="0"/>
    <n v="0"/>
    <n v="0"/>
    <n v="0.87"/>
    <n v="0.87"/>
    <n v="0.87"/>
    <n v="0.87"/>
    <n v="0.87"/>
    <n v="0.87"/>
    <n v="0.87"/>
    <n v="0.87"/>
    <m/>
    <m/>
    <n v="557.07551065314806"/>
    <m/>
    <n v="0"/>
    <n v="0"/>
    <m/>
    <m/>
    <n v="557.07551065314806"/>
    <s v="Updated inputs for Commercial LPS Space Heating and Industrial/Process Low Pressure"/>
    <n v="0"/>
    <n v="0"/>
    <n v="0"/>
    <m/>
    <m/>
    <n v="557.07551065314806"/>
    <m/>
    <n v="0"/>
    <n v="0"/>
    <m/>
    <m/>
    <n v="557.07551065314806"/>
    <m/>
    <n v="0"/>
    <n v="0"/>
    <n v="0"/>
    <n v="0"/>
    <n v="0"/>
    <n v="0"/>
    <n v="0"/>
    <s v="NA"/>
    <m/>
  </r>
  <r>
    <s v="NSG"/>
    <x v="3"/>
    <x v="6"/>
    <s v="Standard Rebate"/>
    <x v="41"/>
    <s v="Industrial/Process Audit - 75 ≤ psig &lt; 125"/>
    <s v="MF"/>
    <x v="3"/>
    <s v="4.4.16"/>
    <s v="each"/>
    <n v="0"/>
    <n v="0"/>
    <n v="0"/>
    <n v="0"/>
    <s v="CI-HVC-STRE-V09-230101"/>
    <m/>
    <n v="1053.6644788659491"/>
    <n v="1053.6644788659491"/>
    <n v="1053.6644788659491"/>
    <n v="1053.6644788659491"/>
    <n v="0.87"/>
    <n v="0.87"/>
    <n v="0.87"/>
    <n v="0.87"/>
    <n v="0"/>
    <n v="0"/>
    <n v="0"/>
    <n v="0"/>
    <n v="0"/>
    <n v="0.87"/>
    <n v="0.87"/>
    <n v="0.87"/>
    <n v="0.87"/>
    <n v="0.87"/>
    <n v="0.87"/>
    <n v="0.87"/>
    <n v="0.87"/>
    <m/>
    <m/>
    <n v="1053.6644788659491"/>
    <m/>
    <n v="0"/>
    <n v="0"/>
    <m/>
    <m/>
    <n v="1053.6644788659491"/>
    <s v="Updated inputs for Commercial LPS Space Heating and Industrial/Process Low Pressure"/>
    <n v="0"/>
    <n v="0"/>
    <n v="0"/>
    <m/>
    <m/>
    <n v="1053.6644788659491"/>
    <m/>
    <n v="0"/>
    <n v="0"/>
    <m/>
    <m/>
    <n v="1053.6644788659491"/>
    <m/>
    <n v="0"/>
    <n v="0"/>
    <n v="0"/>
    <n v="0"/>
    <n v="0"/>
    <n v="0"/>
    <n v="0"/>
    <s v="NA"/>
    <m/>
  </r>
  <r>
    <s v="NSG"/>
    <x v="3"/>
    <x v="6"/>
    <s v="Standard Rebate"/>
    <x v="41"/>
    <s v="Industrial/Process Audit - 125 ≤ psig &lt; 175"/>
    <s v="MF"/>
    <x v="3"/>
    <s v="4.4.16"/>
    <s v="each"/>
    <n v="0"/>
    <n v="0"/>
    <n v="0"/>
    <n v="0"/>
    <s v="CI-HVC-STRE-V09-230101"/>
    <m/>
    <n v="1471.0232537570409"/>
    <n v="1471.0232537570409"/>
    <n v="1471.0232537570409"/>
    <n v="1471.0232537570409"/>
    <n v="0.87"/>
    <n v="0.87"/>
    <n v="0.87"/>
    <n v="0.87"/>
    <n v="0"/>
    <n v="0"/>
    <n v="0"/>
    <n v="0"/>
    <n v="0"/>
    <n v="0.87"/>
    <n v="0.87"/>
    <n v="0.87"/>
    <n v="0.87"/>
    <n v="0.87"/>
    <n v="0.87"/>
    <n v="0.87"/>
    <n v="0.87"/>
    <m/>
    <m/>
    <n v="1471.0232537570409"/>
    <m/>
    <n v="0"/>
    <n v="0"/>
    <m/>
    <m/>
    <n v="1471.0232537570409"/>
    <s v="Updated inputs for Commercial LPS Space Heating and Industrial/Process Low Pressure"/>
    <n v="0"/>
    <n v="0"/>
    <n v="0"/>
    <m/>
    <m/>
    <n v="1471.0232537570409"/>
    <m/>
    <n v="0"/>
    <n v="0"/>
    <m/>
    <m/>
    <n v="1471.0232537570409"/>
    <m/>
    <n v="0"/>
    <n v="0"/>
    <n v="0"/>
    <n v="0"/>
    <n v="0"/>
    <n v="0"/>
    <n v="0"/>
    <s v="NA"/>
    <m/>
  </r>
  <r>
    <s v="NSG"/>
    <x v="3"/>
    <x v="6"/>
    <s v="Standard Rebate"/>
    <x v="41"/>
    <s v="Industrial/Process Audit - 175 ≤ psig &lt; 250"/>
    <s v="MF"/>
    <x v="3"/>
    <s v="4.4.16"/>
    <s v="each"/>
    <n v="0"/>
    <n v="0"/>
    <n v="0"/>
    <n v="0"/>
    <s v="CI-HVC-STRE-V09-230101"/>
    <m/>
    <n v="1986.7915775383435"/>
    <n v="1986.7915775383435"/>
    <n v="1986.7915775383435"/>
    <n v="1986.7915775383435"/>
    <n v="0.87"/>
    <n v="0.87"/>
    <n v="0.87"/>
    <n v="0.87"/>
    <n v="0"/>
    <n v="0"/>
    <n v="0"/>
    <n v="0"/>
    <n v="0"/>
    <n v="0.87"/>
    <n v="0.87"/>
    <n v="0.87"/>
    <n v="0.87"/>
    <n v="0.87"/>
    <n v="0.87"/>
    <n v="0.87"/>
    <n v="0.87"/>
    <m/>
    <m/>
    <n v="1986.7915775383435"/>
    <m/>
    <n v="0"/>
    <n v="0"/>
    <m/>
    <m/>
    <n v="1986.7915775383435"/>
    <s v="Updated inputs for Commercial LPS Space Heating and Industrial/Process Low Pressure"/>
    <n v="0"/>
    <n v="0"/>
    <n v="0"/>
    <m/>
    <m/>
    <n v="1986.7915775383435"/>
    <m/>
    <n v="0"/>
    <n v="0"/>
    <m/>
    <m/>
    <n v="1986.7915775383435"/>
    <m/>
    <n v="0"/>
    <n v="0"/>
    <n v="0"/>
    <n v="0"/>
    <n v="0"/>
    <n v="0"/>
    <n v="0"/>
    <s v="NA"/>
    <m/>
  </r>
  <r>
    <s v="NSG"/>
    <x v="3"/>
    <x v="6"/>
    <s v="Standard Rebate"/>
    <x v="41"/>
    <s v="Industrial/Process Audit - 250 ≤ psig"/>
    <s v="MF"/>
    <x v="3"/>
    <s v="4.4.16"/>
    <s v="each"/>
    <n v="0"/>
    <n v="0"/>
    <n v="0"/>
    <n v="0"/>
    <s v="CI-HVC-STRE-V09-230101"/>
    <m/>
    <n v="2544.9291474441216"/>
    <n v="2544.9291474441216"/>
    <n v="2544.9291474441216"/>
    <n v="2544.9291474441216"/>
    <n v="0.87"/>
    <n v="0.87"/>
    <n v="0.87"/>
    <n v="0.87"/>
    <n v="0"/>
    <n v="0"/>
    <n v="0"/>
    <n v="0"/>
    <n v="0"/>
    <n v="0.87"/>
    <n v="0.87"/>
    <n v="0.87"/>
    <n v="0.87"/>
    <n v="0.87"/>
    <n v="0.87"/>
    <n v="0.87"/>
    <n v="0.87"/>
    <m/>
    <m/>
    <n v="2544.9291474441216"/>
    <m/>
    <n v="0"/>
    <n v="0"/>
    <m/>
    <m/>
    <n v="2544.9291474441216"/>
    <s v="Updated inputs for Commercial LPS Space Heating and Industrial/Process Low Pressure"/>
    <n v="0"/>
    <n v="0"/>
    <n v="0"/>
    <m/>
    <m/>
    <n v="2544.9291474441216"/>
    <m/>
    <n v="0"/>
    <n v="0"/>
    <m/>
    <m/>
    <n v="2544.9291474441216"/>
    <m/>
    <n v="0"/>
    <n v="0"/>
    <n v="0"/>
    <n v="0"/>
    <n v="0"/>
    <n v="0"/>
    <n v="0"/>
    <s v="NA"/>
    <m/>
  </r>
  <r>
    <s v="NSG"/>
    <x v="3"/>
    <x v="6"/>
    <s v="Standard Rebate"/>
    <x v="41"/>
    <s v="Test"/>
    <s v="MF"/>
    <x v="3"/>
    <n v="0"/>
    <s v="each"/>
    <n v="0"/>
    <n v="0"/>
    <n v="0"/>
    <n v="0"/>
    <n v="0"/>
    <m/>
    <n v="0"/>
    <n v="0"/>
    <n v="0"/>
    <n v="0"/>
    <n v="0.87"/>
    <n v="0.87"/>
    <n v="0.87"/>
    <n v="0.87"/>
    <n v="0"/>
    <n v="0"/>
    <n v="0"/>
    <n v="0"/>
    <n v="0"/>
    <n v="0.87"/>
    <n v="0.87"/>
    <n v="0.87"/>
    <n v="0.87"/>
    <n v="0.87"/>
    <n v="0.87"/>
    <n v="0.87"/>
    <n v="0.87"/>
    <m/>
    <m/>
    <n v="0"/>
    <m/>
    <n v="0"/>
    <n v="0"/>
    <m/>
    <m/>
    <n v="0"/>
    <s v="n/a"/>
    <n v="0"/>
    <n v="0"/>
    <n v="0"/>
    <m/>
    <m/>
    <n v="0"/>
    <m/>
    <n v="0"/>
    <n v="0"/>
    <m/>
    <m/>
    <n v="0"/>
    <m/>
    <n v="0"/>
    <n v="0"/>
    <n v="0"/>
    <n v="0"/>
    <n v="0"/>
    <n v="0"/>
    <n v="0"/>
    <s v="NA"/>
    <m/>
  </r>
  <r>
    <s v="NSG"/>
    <x v="3"/>
    <x v="6"/>
    <s v="Standard Rebate"/>
    <x v="38"/>
    <n v="0"/>
    <s v="MF/CI/SMB"/>
    <x v="3"/>
    <s v="4.3.12"/>
    <s v="sqft"/>
    <n v="0"/>
    <n v="0"/>
    <n v="0"/>
    <n v="0"/>
    <s v="CI-HWE-TKIN-V02-220101"/>
    <m/>
    <n v="16.746197539658972"/>
    <n v="16.746197539658972"/>
    <n v="16.746197539658972"/>
    <n v="16.746197539658972"/>
    <n v="0.87"/>
    <n v="0.87"/>
    <n v="0.87"/>
    <n v="0.87"/>
    <n v="0"/>
    <n v="0"/>
    <n v="0"/>
    <n v="0"/>
    <n v="0"/>
    <n v="0.87"/>
    <n v="0.87"/>
    <n v="0.87"/>
    <n v="0.87"/>
    <n v="0.87"/>
    <n v="0.87"/>
    <n v="0.87"/>
    <n v="0.87"/>
    <m/>
    <m/>
    <n v="16.746197539658972"/>
    <m/>
    <n v="0"/>
    <n v="0"/>
    <m/>
    <m/>
    <n v="16.746197539658972"/>
    <s v="n/a"/>
    <n v="0"/>
    <n v="0"/>
    <n v="0"/>
    <m/>
    <m/>
    <n v="16.746197539658972"/>
    <m/>
    <n v="0"/>
    <n v="0"/>
    <m/>
    <m/>
    <n v="16.746197539658972"/>
    <m/>
    <n v="0"/>
    <n v="0"/>
    <n v="0"/>
    <n v="0"/>
    <n v="0"/>
    <n v="0"/>
    <n v="0"/>
    <s v="NA"/>
    <m/>
  </r>
  <r>
    <s v="NSG"/>
    <x v="3"/>
    <x v="6"/>
    <s v="Standard Rebate"/>
    <x v="8"/>
    <n v="0"/>
    <s v="MF/CI/SMB"/>
    <x v="3"/>
    <s v="4.3.12"/>
    <s v="sqft"/>
    <n v="0"/>
    <n v="0"/>
    <n v="0"/>
    <n v="0"/>
    <s v="CI-HWE-TKIN-V02-220101"/>
    <m/>
    <n v="6.9553729140568805"/>
    <n v="6.9553729140568805"/>
    <n v="6.9553729140568805"/>
    <n v="6.9553729140568805"/>
    <n v="0.87"/>
    <n v="0.87"/>
    <n v="0.87"/>
    <n v="0.87"/>
    <n v="0"/>
    <n v="0"/>
    <n v="0"/>
    <n v="0"/>
    <n v="0"/>
    <n v="0.87"/>
    <n v="0.87"/>
    <n v="0.87"/>
    <n v="0.87"/>
    <n v="0.87"/>
    <n v="0.87"/>
    <n v="0.87"/>
    <n v="0.87"/>
    <m/>
    <m/>
    <n v="9.7375220796796338"/>
    <m/>
    <n v="0"/>
    <n v="0"/>
    <m/>
    <m/>
    <n v="9.7375220796796338"/>
    <s v="n/a"/>
    <n v="0"/>
    <n v="0"/>
    <n v="0"/>
    <m/>
    <m/>
    <n v="9.7375220796796338"/>
    <m/>
    <n v="0"/>
    <n v="0"/>
    <m/>
    <m/>
    <n v="9.7375220796796338"/>
    <m/>
    <n v="0"/>
    <n v="0"/>
    <n v="0"/>
    <n v="0"/>
    <n v="0"/>
    <n v="0"/>
    <n v="0"/>
    <s v="NA"/>
    <m/>
  </r>
  <r>
    <s v="NSG"/>
    <x v="3"/>
    <x v="6"/>
    <s v="Standard Rebate"/>
    <x v="29"/>
    <n v="0"/>
    <s v="MF"/>
    <x v="3"/>
    <s v="4.4.21"/>
    <s v="MBH"/>
    <n v="0"/>
    <n v="0"/>
    <n v="0"/>
    <n v="0"/>
    <s v="CI-HVC-LBC-V06-220101"/>
    <m/>
    <n v="0.63181333333333334"/>
    <n v="0.63181333333333334"/>
    <n v="0.63181333333333334"/>
    <n v="0.63181333333333334"/>
    <n v="0.87"/>
    <n v="0.87"/>
    <n v="0.87"/>
    <n v="0.87"/>
    <n v="0"/>
    <n v="0"/>
    <n v="0"/>
    <n v="0"/>
    <n v="0"/>
    <n v="0.87"/>
    <n v="0.87"/>
    <n v="0.87"/>
    <n v="0.87"/>
    <n v="0.87"/>
    <n v="0.87"/>
    <n v="0.87"/>
    <n v="0.87"/>
    <m/>
    <m/>
    <n v="0.63181333333333334"/>
    <m/>
    <n v="0"/>
    <n v="0"/>
    <m/>
    <m/>
    <n v="0.63181333333333334"/>
    <s v="n/a"/>
    <n v="0"/>
    <n v="0"/>
    <n v="0"/>
    <m/>
    <m/>
    <n v="0.63181333333333334"/>
    <m/>
    <n v="0"/>
    <n v="0"/>
    <m/>
    <m/>
    <n v="0.63181333333333334"/>
    <m/>
    <n v="0"/>
    <n v="0"/>
    <n v="0"/>
    <n v="0"/>
    <n v="0"/>
    <n v="0"/>
    <n v="0"/>
    <s v="NA"/>
    <m/>
  </r>
  <r>
    <s v="NSG"/>
    <x v="3"/>
    <x v="6"/>
    <s v="Standard Rebate"/>
    <x v="46"/>
    <n v="0"/>
    <s v="MF"/>
    <x v="3"/>
    <s v="4.3.8"/>
    <s v="living unit"/>
    <n v="0"/>
    <n v="0"/>
    <n v="0"/>
    <n v="0"/>
    <s v="CI-HWE-CDHW-V04-230101"/>
    <m/>
    <n v="62.687100553999997"/>
    <n v="62.687100553999997"/>
    <n v="62.687100553999997"/>
    <n v="62.687100553999997"/>
    <n v="0.87"/>
    <n v="0.87"/>
    <n v="0.87"/>
    <n v="0.87"/>
    <n v="0"/>
    <n v="0"/>
    <n v="0"/>
    <n v="0"/>
    <n v="0"/>
    <n v="0.87"/>
    <n v="0.87"/>
    <n v="0.87"/>
    <n v="0.87"/>
    <n v="0.87"/>
    <n v="0.87"/>
    <n v="0.87"/>
    <n v="0.87"/>
    <m/>
    <m/>
    <n v="62.687100553999997"/>
    <m/>
    <n v="0"/>
    <n v="0"/>
    <m/>
    <m/>
    <n v="58.563635988000001"/>
    <s v="Updated inputs to new multifamily assumptions"/>
    <n v="0"/>
    <n v="0"/>
    <n v="0"/>
    <m/>
    <m/>
    <n v="58.563635988000001"/>
    <m/>
    <n v="0"/>
    <n v="0"/>
    <m/>
    <m/>
    <n v="58.563635988000001"/>
    <m/>
    <n v="0"/>
    <n v="0"/>
    <n v="0"/>
    <n v="0"/>
    <n v="0"/>
    <n v="0"/>
    <n v="0"/>
    <s v="NA"/>
    <m/>
  </r>
  <r>
    <s v="NSG"/>
    <x v="3"/>
    <x v="6"/>
    <s v="Standard Rebate"/>
    <x v="31"/>
    <n v="0"/>
    <s v="MF/CI/SMB"/>
    <x v="3"/>
    <s v="4.4.19"/>
    <s v="sqft"/>
    <n v="0"/>
    <n v="0"/>
    <n v="0"/>
    <n v="0"/>
    <s v="CI-HVC-DCV-V06-220101"/>
    <m/>
    <n v="6.8000000000000005E-2"/>
    <n v="6.8000000000000005E-2"/>
    <n v="6.8000000000000005E-2"/>
    <n v="6.8000000000000005E-2"/>
    <n v="0.87"/>
    <n v="0.87"/>
    <n v="0.87"/>
    <n v="0.87"/>
    <n v="0"/>
    <n v="0"/>
    <n v="0"/>
    <n v="0"/>
    <n v="0"/>
    <n v="0.87"/>
    <n v="0.87"/>
    <n v="0.87"/>
    <n v="0.87"/>
    <n v="0.87"/>
    <n v="0.87"/>
    <n v="0.87"/>
    <n v="0.87"/>
    <m/>
    <m/>
    <n v="6.8000000000000005E-2"/>
    <m/>
    <n v="0"/>
    <n v="0"/>
    <m/>
    <m/>
    <n v="6.8000000000000005E-2"/>
    <s v="n/a"/>
    <n v="0"/>
    <n v="0"/>
    <n v="0"/>
    <m/>
    <m/>
    <n v="6.8000000000000005E-2"/>
    <m/>
    <n v="0"/>
    <n v="0"/>
    <m/>
    <m/>
    <n v="6.8000000000000005E-2"/>
    <m/>
    <n v="0"/>
    <n v="0"/>
    <n v="0"/>
    <n v="0"/>
    <n v="0"/>
    <n v="0"/>
    <n v="0"/>
    <s v="NA"/>
    <m/>
  </r>
  <r>
    <s v="NSG"/>
    <x v="3"/>
    <x v="6"/>
    <s v="Standard Rebate"/>
    <x v="56"/>
    <s v="Hotels &amp; Hospitals"/>
    <s v="CI"/>
    <x v="3"/>
    <s v="4.8.4"/>
    <s v="each"/>
    <n v="0"/>
    <n v="0"/>
    <n v="0"/>
    <n v="0"/>
    <s v="CI-MSC-MODD-V02-230101"/>
    <m/>
    <n v="649.26"/>
    <n v="649.26"/>
    <n v="649.26"/>
    <n v="649.26"/>
    <n v="0.87"/>
    <n v="0.87"/>
    <n v="0.87"/>
    <n v="0.87"/>
    <n v="0"/>
    <n v="0"/>
    <n v="0"/>
    <n v="0"/>
    <n v="0"/>
    <n v="0.87"/>
    <n v="0.87"/>
    <n v="0.87"/>
    <n v="0.87"/>
    <n v="0.87"/>
    <n v="0.87"/>
    <n v="0.87"/>
    <n v="0.87"/>
    <m/>
    <m/>
    <n v="649.26"/>
    <m/>
    <n v="0"/>
    <n v="0"/>
    <m/>
    <m/>
    <n v="649.26"/>
    <s v="Updated measure lifetime."/>
    <n v="0"/>
    <n v="0"/>
    <n v="0"/>
    <m/>
    <m/>
    <n v="649.26"/>
    <m/>
    <n v="0"/>
    <n v="0"/>
    <m/>
    <m/>
    <n v="649.26"/>
    <m/>
    <n v="0"/>
    <n v="0"/>
    <n v="0"/>
    <n v="0"/>
    <n v="0"/>
    <n v="0"/>
    <n v="0"/>
    <s v="NA"/>
    <m/>
  </r>
  <r>
    <s v="NSG"/>
    <x v="3"/>
    <x v="6"/>
    <s v="Standard Rebate"/>
    <x v="56"/>
    <s v="Laundromat &amp; MF Dorms"/>
    <s v="MF/SMB"/>
    <x v="3"/>
    <s v="4.8.4"/>
    <s v="each"/>
    <n v="0"/>
    <n v="0"/>
    <n v="0"/>
    <n v="0"/>
    <s v="CI-MSC-MODD-V02-230101"/>
    <m/>
    <n v="230.13"/>
    <n v="230.13"/>
    <n v="230.13"/>
    <n v="230.13"/>
    <n v="0.87"/>
    <n v="0.87"/>
    <n v="0.87"/>
    <n v="0.87"/>
    <n v="0"/>
    <n v="0"/>
    <n v="0"/>
    <n v="0"/>
    <n v="0"/>
    <n v="0.87"/>
    <n v="0.87"/>
    <n v="0.87"/>
    <n v="0.87"/>
    <n v="0.87"/>
    <n v="0.87"/>
    <n v="0.87"/>
    <n v="0.87"/>
    <m/>
    <m/>
    <n v="230.13"/>
    <m/>
    <n v="0"/>
    <n v="0"/>
    <m/>
    <m/>
    <n v="230.13"/>
    <s v="Updated measure lifetime."/>
    <n v="0"/>
    <n v="0"/>
    <n v="0"/>
    <m/>
    <m/>
    <n v="230.13"/>
    <m/>
    <n v="0"/>
    <n v="0"/>
    <m/>
    <m/>
    <n v="230.13"/>
    <m/>
    <n v="0"/>
    <n v="0"/>
    <n v="0"/>
    <n v="0"/>
    <n v="0"/>
    <n v="0"/>
    <n v="0"/>
    <s v="NA"/>
    <m/>
  </r>
  <r>
    <s v="NSG"/>
    <x v="3"/>
    <x v="6"/>
    <s v="Standard Rebate"/>
    <x v="12"/>
    <s v="Central/Indirect MF ≥88% TE"/>
    <s v="MF"/>
    <x v="3"/>
    <s v="4.3.7"/>
    <s v="each"/>
    <n v="0"/>
    <n v="0"/>
    <n v="0"/>
    <n v="0"/>
    <s v="CI-HWE-MDHW-V06-230101"/>
    <m/>
    <n v="453.64159574999974"/>
    <n v="453.64159574999974"/>
    <n v="453.64159574999974"/>
    <n v="453.64159574999974"/>
    <n v="0.87"/>
    <n v="0.87"/>
    <n v="0.87"/>
    <n v="0.87"/>
    <n v="0"/>
    <n v="0"/>
    <n v="0"/>
    <n v="0"/>
    <n v="0"/>
    <n v="0.87"/>
    <n v="0.87"/>
    <n v="0.87"/>
    <n v="0.87"/>
    <n v="0.87"/>
    <n v="0.87"/>
    <n v="0.87"/>
    <n v="0.87"/>
    <m/>
    <m/>
    <n v="474.72634597499967"/>
    <m/>
    <n v="0"/>
    <n v="0"/>
    <m/>
    <m/>
    <n v="474.72634597499967"/>
    <s v="n/a"/>
    <n v="0"/>
    <n v="0"/>
    <n v="0"/>
    <m/>
    <m/>
    <n v="474.72634597499967"/>
    <m/>
    <n v="0"/>
    <n v="0"/>
    <m/>
    <m/>
    <n v="474.72634597499967"/>
    <m/>
    <n v="0"/>
    <n v="0"/>
    <n v="0"/>
    <n v="0"/>
    <n v="0"/>
    <n v="0"/>
    <n v="0"/>
    <s v="NA"/>
    <m/>
  </r>
  <r>
    <s v="NSG"/>
    <x v="3"/>
    <x v="6"/>
    <s v="Standard Rebate"/>
    <x v="12"/>
    <s v="Storage 0.67 EF"/>
    <s v="MF"/>
    <x v="3"/>
    <s v="4.3.1"/>
    <s v="each"/>
    <n v="0"/>
    <n v="0"/>
    <n v="0"/>
    <n v="0"/>
    <s v="CI-HWE-STWH-V09-230101"/>
    <m/>
    <n v="35.435517834876244"/>
    <n v="35.435517834876244"/>
    <n v="35.435517834876244"/>
    <n v="35.435517834876244"/>
    <n v="0.87"/>
    <n v="0.87"/>
    <n v="0.87"/>
    <n v="0.87"/>
    <n v="0"/>
    <n v="0"/>
    <n v="0"/>
    <n v="0"/>
    <n v="0"/>
    <n v="0.87"/>
    <n v="0.87"/>
    <n v="0.87"/>
    <n v="0.87"/>
    <n v="0.87"/>
    <n v="0.87"/>
    <n v="0.87"/>
    <n v="0.87"/>
    <m/>
    <m/>
    <n v="37.082520776497255"/>
    <m/>
    <n v="0"/>
    <n v="0"/>
    <m/>
    <m/>
    <n v="36.883152385225763"/>
    <s v="n/a"/>
    <n v="0"/>
    <n v="0"/>
    <n v="0"/>
    <m/>
    <m/>
    <n v="36.883152385225763"/>
    <m/>
    <n v="0"/>
    <n v="0"/>
    <m/>
    <m/>
    <n v="36.883152385225763"/>
    <m/>
    <n v="0"/>
    <n v="0"/>
    <n v="0"/>
    <n v="0"/>
    <n v="0"/>
    <n v="0"/>
    <n v="0"/>
    <s v="NA"/>
    <m/>
  </r>
  <r>
    <s v="NSG"/>
    <x v="3"/>
    <x v="6"/>
    <s v="Standard Rebate"/>
    <x v="66"/>
    <n v="0"/>
    <s v="CI"/>
    <x v="3"/>
    <n v="0"/>
    <s v="each"/>
    <n v="0"/>
    <n v="0"/>
    <n v="0"/>
    <n v="0"/>
    <n v="0"/>
    <m/>
    <n v="234.94825714285713"/>
    <n v="234.94825714285713"/>
    <n v="234.94825714285713"/>
    <n v="234.94825714285713"/>
    <n v="0.87"/>
    <n v="0.87"/>
    <n v="0.87"/>
    <n v="0.87"/>
    <n v="0"/>
    <n v="0"/>
    <n v="0"/>
    <n v="0"/>
    <n v="0"/>
    <n v="0.87"/>
    <n v="0.87"/>
    <n v="0.87"/>
    <n v="0.87"/>
    <n v="0.87"/>
    <n v="0.87"/>
    <n v="0.87"/>
    <n v="0.87"/>
    <m/>
    <m/>
    <n v="234.94825714285713"/>
    <m/>
    <n v="0"/>
    <n v="0"/>
    <m/>
    <m/>
    <n v="234.94825714285713"/>
    <s v="n/a"/>
    <n v="0"/>
    <n v="0"/>
    <n v="0"/>
    <m/>
    <m/>
    <n v="234.94825714285713"/>
    <m/>
    <n v="0"/>
    <n v="0"/>
    <m/>
    <m/>
    <n v="234.94825714285713"/>
    <m/>
    <n v="0"/>
    <n v="0"/>
    <n v="0"/>
    <n v="0"/>
    <n v="0"/>
    <n v="0"/>
    <n v="0"/>
    <s v="NA"/>
    <m/>
  </r>
  <r>
    <s v="NSG"/>
    <x v="3"/>
    <x v="6"/>
    <s v="Partner Trade Ally Rebate"/>
    <x v="19"/>
    <n v="0"/>
    <s v="MF"/>
    <x v="3"/>
    <s v="5.6.1"/>
    <s v="CFM_50"/>
    <n v="0"/>
    <n v="0"/>
    <n v="0"/>
    <n v="0"/>
    <s v="RS-SHL-AIRS-V12-230101"/>
    <m/>
    <n v="43.618009478672981"/>
    <n v="43.618009478672981"/>
    <n v="43.618009478672981"/>
    <n v="43.618009478672981"/>
    <n v="0.93"/>
    <n v="0.93"/>
    <n v="0.93"/>
    <n v="0.93"/>
    <n v="0"/>
    <n v="0"/>
    <n v="0"/>
    <n v="0"/>
    <n v="0"/>
    <n v="0.93"/>
    <n v="0.87"/>
    <n v="0.87"/>
    <n v="0.87"/>
    <n v="0.93"/>
    <n v="0.93"/>
    <n v="0.93"/>
    <n v="0.93"/>
    <m/>
    <m/>
    <n v="43.618009478672981"/>
    <m/>
    <n v="0"/>
    <n v="0"/>
    <m/>
    <m/>
    <n v="43.618009478672981"/>
    <s v="Updated ISR"/>
    <n v="0"/>
    <n v="0"/>
    <n v="0"/>
    <m/>
    <m/>
    <n v="43.618009478672981"/>
    <m/>
    <n v="0"/>
    <n v="0"/>
    <m/>
    <m/>
    <n v="43.618009478672981"/>
    <m/>
    <n v="0"/>
    <n v="0"/>
    <n v="0"/>
    <n v="0"/>
    <n v="0"/>
    <n v="0"/>
    <n v="0"/>
    <s v="NA"/>
    <m/>
  </r>
  <r>
    <s v="NSG"/>
    <x v="3"/>
    <x v="6"/>
    <s v="Partner Trade Ally Rebate"/>
    <x v="33"/>
    <n v="0"/>
    <s v="MF"/>
    <x v="3"/>
    <s v="5.3.4"/>
    <s v="CFM_25"/>
    <n v="0"/>
    <n v="0"/>
    <n v="0"/>
    <n v="0"/>
    <s v="RS-HVC-DINS-V11-230101"/>
    <m/>
    <n v="0.70396939263510283"/>
    <n v="0.70396939263510283"/>
    <n v="0.70396939263510283"/>
    <n v="0.70396939263510283"/>
    <n v="0.87"/>
    <n v="0.87"/>
    <n v="0.87"/>
    <n v="0.87"/>
    <n v="0"/>
    <n v="0"/>
    <n v="0"/>
    <n v="0"/>
    <n v="0"/>
    <n v="0.87"/>
    <n v="0.87"/>
    <n v="0.87"/>
    <n v="0.87"/>
    <n v="0.87"/>
    <n v="0.87"/>
    <n v="0.87"/>
    <n v="0.87"/>
    <m/>
    <m/>
    <n v="0.70396939263510283"/>
    <m/>
    <n v="0"/>
    <n v="0"/>
    <m/>
    <m/>
    <n v="0.70396939263510283"/>
    <s v="n/a"/>
    <n v="0"/>
    <n v="0"/>
    <n v="0"/>
    <m/>
    <m/>
    <n v="0.70396939263510283"/>
    <m/>
    <n v="0"/>
    <n v="0"/>
    <m/>
    <m/>
    <n v="0.70396939263510283"/>
    <m/>
    <n v="0"/>
    <n v="0"/>
    <n v="0"/>
    <n v="0"/>
    <n v="0"/>
    <n v="0"/>
    <n v="0"/>
    <s v="NA"/>
    <m/>
  </r>
  <r>
    <s v="NSG"/>
    <x v="3"/>
    <x v="6"/>
    <s v="Partner Trade Ally Rebate"/>
    <x v="28"/>
    <s v="≥88% AFUE, ≥300MBh TE"/>
    <s v="MF"/>
    <x v="3"/>
    <s v="4.4.10"/>
    <s v="MBH"/>
    <n v="0"/>
    <n v="0"/>
    <n v="0"/>
    <n v="0"/>
    <s v="CI-HVC-BOIL-V10-230101"/>
    <m/>
    <n v="1.6609999999999991"/>
    <n v="1.6609999999999991"/>
    <n v="1.6609999999999991"/>
    <n v="1.6609999999999991"/>
    <n v="0.87"/>
    <n v="0.87"/>
    <n v="0.87"/>
    <n v="0.87"/>
    <n v="0"/>
    <n v="0"/>
    <n v="0"/>
    <n v="0"/>
    <n v="0"/>
    <n v="0.87"/>
    <n v="0.87"/>
    <n v="0.87"/>
    <n v="0.87"/>
    <n v="0.87"/>
    <n v="0.87"/>
    <n v="0.87"/>
    <n v="0.87"/>
    <m/>
    <m/>
    <n v="1.6609999999999991"/>
    <m/>
    <n v="0"/>
    <n v="0"/>
    <m/>
    <m/>
    <n v="1.6609999999999991"/>
    <s v="n/a"/>
    <n v="0"/>
    <n v="0"/>
    <n v="0"/>
    <m/>
    <m/>
    <n v="1.6609999999999991"/>
    <m/>
    <n v="0"/>
    <n v="0"/>
    <m/>
    <m/>
    <n v="1.6609999999999991"/>
    <m/>
    <n v="0"/>
    <n v="0"/>
    <n v="0"/>
    <n v="0"/>
    <n v="0"/>
    <n v="0"/>
    <n v="0"/>
    <s v="NA"/>
    <m/>
  </r>
  <r>
    <s v="NSG"/>
    <x v="3"/>
    <x v="6"/>
    <s v="Partner Trade Ally Rebate"/>
    <x v="70"/>
    <n v="0"/>
    <s v="MF/CI"/>
    <x v="3"/>
    <s v="4.4.5"/>
    <s v="MBH"/>
    <n v="0"/>
    <n v="0"/>
    <n v="0"/>
    <n v="0"/>
    <s v="CI-HVC-CUHT-V03-230101"/>
    <m/>
    <n v="1.7733333333333334"/>
    <n v="1.7733333333333334"/>
    <n v="1.7733333333333334"/>
    <n v="1.7733333333333334"/>
    <n v="0.87"/>
    <n v="0.87"/>
    <n v="0.87"/>
    <n v="0.87"/>
    <n v="0"/>
    <n v="0"/>
    <n v="0"/>
    <n v="0"/>
    <n v="0"/>
    <n v="0.87"/>
    <n v="0.87"/>
    <n v="0.87"/>
    <n v="0.87"/>
    <n v="0.87"/>
    <n v="0.87"/>
    <n v="0.87"/>
    <n v="0.87"/>
    <m/>
    <m/>
    <n v="1.6896527777777772"/>
    <m/>
    <n v="0"/>
    <n v="0"/>
    <m/>
    <m/>
    <n v="1.6896527777777772"/>
    <s v="n/a"/>
    <n v="0"/>
    <n v="0"/>
    <n v="0"/>
    <m/>
    <m/>
    <n v="1.6896527777777772"/>
    <m/>
    <n v="0"/>
    <n v="0"/>
    <m/>
    <m/>
    <n v="1.6896527777777772"/>
    <m/>
    <n v="0"/>
    <n v="0"/>
    <n v="0"/>
    <n v="0"/>
    <n v="0"/>
    <n v="0"/>
    <n v="0"/>
    <s v="NA"/>
    <m/>
  </r>
  <r>
    <s v="NSG"/>
    <x v="3"/>
    <x v="6"/>
    <s v="Partner Trade Ally Rebate"/>
    <x v="71"/>
    <n v="0"/>
    <s v="MF/CI"/>
    <x v="3"/>
    <s v="4.4.39"/>
    <s v="MBH"/>
    <n v="0"/>
    <n v="0"/>
    <n v="0"/>
    <n v="0"/>
    <s v="CI-HVC-HTHV-V02-230101"/>
    <m/>
    <n v="3.72"/>
    <n v="3.72"/>
    <n v="3.72"/>
    <n v="3.72"/>
    <n v="0.87"/>
    <n v="0.87"/>
    <n v="0.87"/>
    <n v="0.87"/>
    <n v="0"/>
    <n v="0"/>
    <n v="0"/>
    <n v="0"/>
    <n v="0"/>
    <n v="0.87"/>
    <n v="0.87"/>
    <n v="0.87"/>
    <n v="0.87"/>
    <n v="0.87"/>
    <n v="0.87"/>
    <n v="0.87"/>
    <n v="0.87"/>
    <m/>
    <m/>
    <n v="3.72"/>
    <m/>
    <n v="0"/>
    <n v="0"/>
    <m/>
    <m/>
    <n v="3.72"/>
    <s v="n/a"/>
    <n v="0"/>
    <n v="0"/>
    <n v="0"/>
    <m/>
    <m/>
    <n v="3.72"/>
    <m/>
    <n v="0"/>
    <n v="0"/>
    <m/>
    <m/>
    <n v="3.72"/>
    <m/>
    <n v="0"/>
    <n v="0"/>
    <n v="0"/>
    <n v="0"/>
    <n v="0"/>
    <n v="0"/>
    <n v="0"/>
    <s v="NA"/>
    <m/>
  </r>
  <r>
    <s v="NSG"/>
    <x v="3"/>
    <x v="6"/>
    <s v="Partner Trade Ally Rebate"/>
    <x v="43"/>
    <n v="0"/>
    <s v="MF"/>
    <x v="3"/>
    <s v="4.8.5"/>
    <s v="lb-capacity"/>
    <n v="0"/>
    <n v="0"/>
    <n v="0"/>
    <n v="0"/>
    <s v="CI-MSC-HSCW-V02-210101"/>
    <m/>
    <n v="2.2054032000000001"/>
    <n v="2.2054032000000001"/>
    <n v="2.2054032000000001"/>
    <n v="2.2054032000000001"/>
    <n v="0.87"/>
    <n v="0.87"/>
    <n v="0.87"/>
    <n v="0.87"/>
    <n v="0"/>
    <n v="0"/>
    <n v="0"/>
    <n v="0"/>
    <n v="0"/>
    <n v="0.87"/>
    <n v="0.87"/>
    <n v="0.87"/>
    <n v="0.87"/>
    <n v="0.87"/>
    <n v="0.87"/>
    <n v="0.87"/>
    <n v="0.87"/>
    <m/>
    <m/>
    <n v="2.2054032000000001"/>
    <m/>
    <n v="0"/>
    <n v="0"/>
    <m/>
    <m/>
    <n v="2.2054032000000001"/>
    <s v="n/a"/>
    <n v="0"/>
    <n v="0"/>
    <n v="0"/>
    <m/>
    <m/>
    <n v="2.2054032000000001"/>
    <m/>
    <n v="0"/>
    <n v="0"/>
    <m/>
    <m/>
    <n v="2.2054032000000001"/>
    <m/>
    <n v="0"/>
    <n v="0"/>
    <n v="0"/>
    <n v="0"/>
    <n v="0"/>
    <n v="0"/>
    <n v="0"/>
    <s v="NA"/>
    <m/>
  </r>
  <r>
    <s v="NSG"/>
    <x v="3"/>
    <x v="6"/>
    <s v="Partner Trade Ally Rebate"/>
    <x v="73"/>
    <n v="0"/>
    <s v="MF/CI"/>
    <x v="3"/>
    <s v="4.4.12"/>
    <s v="MBH"/>
    <n v="0"/>
    <n v="0"/>
    <n v="0"/>
    <n v="0"/>
    <s v="CI-HVC-IRHT-V03-230101"/>
    <m/>
    <n v="2.9611764705882351"/>
    <n v="2.9611764705882351"/>
    <n v="2.9611764705882351"/>
    <n v="2.9611764705882351"/>
    <n v="0.87"/>
    <n v="0.87"/>
    <n v="0.87"/>
    <n v="0.87"/>
    <n v="0"/>
    <n v="0"/>
    <n v="0"/>
    <n v="0"/>
    <n v="0"/>
    <n v="0.87"/>
    <n v="0.87"/>
    <n v="0.87"/>
    <n v="0.87"/>
    <n v="0.87"/>
    <n v="0.87"/>
    <n v="0.87"/>
    <n v="0.87"/>
    <m/>
    <m/>
    <n v="2.9611764705882351"/>
    <m/>
    <n v="0"/>
    <n v="0"/>
    <m/>
    <m/>
    <n v="2.9611764705882351"/>
    <s v="n/a"/>
    <n v="0"/>
    <n v="0"/>
    <n v="0"/>
    <m/>
    <m/>
    <n v="2.9611764705882351"/>
    <m/>
    <n v="0"/>
    <n v="0"/>
    <m/>
    <m/>
    <n v="2.9611764705882351"/>
    <m/>
    <n v="0"/>
    <n v="0"/>
    <n v="0"/>
    <n v="0"/>
    <n v="0"/>
    <n v="0"/>
    <n v="0"/>
    <s v="NA"/>
    <m/>
  </r>
  <r>
    <s v="NSG"/>
    <x v="3"/>
    <x v="6"/>
    <s v="Partner Trade Ally Rebate"/>
    <x v="74"/>
    <n v="0"/>
    <s v="MF/CI"/>
    <x v="3"/>
    <s v="4.3.6"/>
    <s v="lb-capacity"/>
    <n v="0"/>
    <n v="0"/>
    <n v="0"/>
    <n v="0"/>
    <s v="CI-HWE-OZLD-V07-230101"/>
    <m/>
    <n v="30.722664192350027"/>
    <n v="30.722664192350027"/>
    <n v="30.722664192350027"/>
    <n v="30.722664192350027"/>
    <n v="0.87"/>
    <n v="0.87"/>
    <n v="0.87"/>
    <n v="0.87"/>
    <n v="0"/>
    <n v="0"/>
    <n v="0"/>
    <n v="0"/>
    <n v="0"/>
    <n v="0.87"/>
    <n v="0.87"/>
    <n v="0.87"/>
    <n v="0.87"/>
    <n v="0.87"/>
    <n v="0.87"/>
    <n v="0.87"/>
    <n v="0.87"/>
    <m/>
    <m/>
    <n v="30.722664192350027"/>
    <m/>
    <n v="0"/>
    <n v="0"/>
    <m/>
    <m/>
    <n v="30.722664192350027"/>
    <s v="n/a"/>
    <n v="0"/>
    <n v="0"/>
    <n v="0"/>
    <m/>
    <m/>
    <n v="30.722664192350027"/>
    <m/>
    <n v="0"/>
    <n v="0"/>
    <m/>
    <m/>
    <n v="30.722664192350027"/>
    <m/>
    <n v="0"/>
    <n v="0"/>
    <n v="0"/>
    <n v="0"/>
    <n v="0"/>
    <n v="0"/>
    <n v="0"/>
    <s v="NA"/>
    <m/>
  </r>
  <r>
    <s v="NSG"/>
    <x v="3"/>
    <x v="6"/>
    <s v="Partner Trade Ally Rebate"/>
    <x v="4"/>
    <s v="Steam - X-Large &gt;8&quot;"/>
    <s v="MF"/>
    <x v="3"/>
    <s v="&quot;3 - Res Pipe Insulation&quot; worksheet"/>
    <s v="ft"/>
    <n v="0"/>
    <n v="0"/>
    <n v="0"/>
    <n v="0"/>
    <n v="0"/>
    <m/>
    <n v="44.814401171573145"/>
    <n v="44.814401171573145"/>
    <n v="44.814401171573145"/>
    <n v="44.814401171573145"/>
    <n v="0.87"/>
    <n v="0.87"/>
    <n v="0.87"/>
    <n v="0.87"/>
    <n v="0"/>
    <n v="0"/>
    <n v="0"/>
    <n v="0"/>
    <n v="0"/>
    <n v="0.87"/>
    <n v="0.87"/>
    <n v="0.87"/>
    <n v="0.87"/>
    <n v="0.87"/>
    <n v="0.87"/>
    <n v="0.87"/>
    <n v="0.87"/>
    <m/>
    <m/>
    <n v="44.814401171573145"/>
    <m/>
    <n v="0"/>
    <n v="0"/>
    <m/>
    <m/>
    <n v="44.814401171573145"/>
    <s v="n/a"/>
    <n v="0"/>
    <n v="0"/>
    <n v="0"/>
    <m/>
    <m/>
    <n v="44.814401171573145"/>
    <m/>
    <n v="0"/>
    <n v="0"/>
    <m/>
    <m/>
    <n v="44.814401171573145"/>
    <m/>
    <n v="0"/>
    <n v="0"/>
    <n v="0"/>
    <n v="0"/>
    <n v="0"/>
    <n v="0"/>
    <n v="0"/>
    <s v="NA"/>
    <m/>
  </r>
  <r>
    <s v="NSG"/>
    <x v="3"/>
    <x v="6"/>
    <s v="Partner Trade Ally Rebate"/>
    <x v="4"/>
    <s v="Steam Med Fitting"/>
    <s v="MF"/>
    <x v="3"/>
    <s v="&quot;3 - Res Pipe Insulation&quot; worksheet"/>
    <s v="each"/>
    <n v="0"/>
    <n v="0"/>
    <n v="0"/>
    <n v="0"/>
    <n v="0"/>
    <m/>
    <n v="20.134575475260416"/>
    <n v="20.134575475260416"/>
    <n v="20.134575475260416"/>
    <n v="20.134575475260416"/>
    <n v="0.87"/>
    <n v="0.87"/>
    <n v="0.87"/>
    <n v="0.87"/>
    <n v="0"/>
    <n v="0"/>
    <n v="0"/>
    <n v="0"/>
    <n v="0"/>
    <n v="0.87"/>
    <n v="0.87"/>
    <n v="0.87"/>
    <n v="0.87"/>
    <n v="0.87"/>
    <n v="0.87"/>
    <n v="0.87"/>
    <n v="0.87"/>
    <m/>
    <m/>
    <n v="20.134575475260416"/>
    <m/>
    <n v="0"/>
    <n v="0"/>
    <m/>
    <m/>
    <n v="20.134575475260416"/>
    <s v="n/a"/>
    <n v="0"/>
    <n v="0"/>
    <n v="0"/>
    <m/>
    <m/>
    <n v="20.134575475260416"/>
    <m/>
    <n v="0"/>
    <n v="0"/>
    <m/>
    <m/>
    <n v="20.134575475260416"/>
    <m/>
    <n v="0"/>
    <n v="0"/>
    <n v="0"/>
    <n v="0"/>
    <n v="0"/>
    <n v="0"/>
    <n v="0"/>
    <s v="NA"/>
    <m/>
  </r>
  <r>
    <s v="NSG"/>
    <x v="3"/>
    <x v="6"/>
    <s v="Partner Trade Ally Rebate"/>
    <x v="4"/>
    <s v="Steam Large Fitting"/>
    <s v="MF"/>
    <x v="3"/>
    <s v="&quot;3 - Res Pipe Insulation&quot; worksheet"/>
    <s v="each"/>
    <n v="0"/>
    <n v="0"/>
    <n v="0"/>
    <n v="0"/>
    <n v="0"/>
    <m/>
    <n v="66.284273233024678"/>
    <n v="66.284273233024678"/>
    <n v="66.284273233024678"/>
    <n v="66.284273233024678"/>
    <n v="0.87"/>
    <n v="0.87"/>
    <n v="0.87"/>
    <n v="0.87"/>
    <n v="0"/>
    <n v="0"/>
    <n v="0"/>
    <n v="0"/>
    <n v="0"/>
    <n v="0.87"/>
    <n v="0.87"/>
    <n v="0.87"/>
    <n v="0.87"/>
    <n v="0.87"/>
    <n v="0.87"/>
    <n v="0.87"/>
    <n v="0.87"/>
    <m/>
    <m/>
    <n v="66.284273233024678"/>
    <m/>
    <n v="0"/>
    <n v="0"/>
    <m/>
    <m/>
    <n v="66.284273233024678"/>
    <s v="n/a"/>
    <n v="0"/>
    <n v="0"/>
    <n v="0"/>
    <m/>
    <m/>
    <n v="66.284273233024678"/>
    <m/>
    <n v="0"/>
    <n v="0"/>
    <m/>
    <m/>
    <n v="66.284273233024678"/>
    <m/>
    <n v="0"/>
    <n v="0"/>
    <n v="0"/>
    <n v="0"/>
    <n v="0"/>
    <n v="0"/>
    <n v="0"/>
    <s v="NA"/>
    <m/>
  </r>
  <r>
    <s v="NSG"/>
    <x v="3"/>
    <x v="6"/>
    <s v="Partner Trade Ally Rebate"/>
    <x v="4"/>
    <s v="Steam X-Large Fitting"/>
    <s v="MF"/>
    <x v="3"/>
    <s v="&quot;3 - Res Pipe Insulation&quot; worksheet"/>
    <s v="each"/>
    <n v="0"/>
    <n v="0"/>
    <n v="0"/>
    <n v="0"/>
    <n v="0"/>
    <m/>
    <n v="113.8883886472908"/>
    <n v="113.8883886472908"/>
    <n v="113.8883886472908"/>
    <n v="113.8883886472908"/>
    <n v="0.87"/>
    <n v="0.87"/>
    <n v="0.87"/>
    <n v="0.87"/>
    <n v="0"/>
    <n v="0"/>
    <n v="0"/>
    <n v="0"/>
    <n v="0"/>
    <n v="0.87"/>
    <n v="0.87"/>
    <n v="0.87"/>
    <n v="0.87"/>
    <n v="0.87"/>
    <n v="0.87"/>
    <n v="0.87"/>
    <n v="0.87"/>
    <m/>
    <m/>
    <n v="113.8883886472908"/>
    <m/>
    <n v="0"/>
    <n v="0"/>
    <m/>
    <m/>
    <n v="113.8883886472908"/>
    <s v="n/a"/>
    <n v="0"/>
    <n v="0"/>
    <n v="0"/>
    <m/>
    <m/>
    <n v="113.8883886472908"/>
    <m/>
    <n v="0"/>
    <n v="0"/>
    <m/>
    <m/>
    <n v="113.8883886472908"/>
    <m/>
    <n v="0"/>
    <n v="0"/>
    <n v="0"/>
    <n v="0"/>
    <n v="0"/>
    <n v="0"/>
    <n v="0"/>
    <s v="NA"/>
    <m/>
  </r>
  <r>
    <s v="NSG"/>
    <x v="3"/>
    <x v="6"/>
    <s v="Partner Trade Ally Rebate"/>
    <x v="4"/>
    <s v="Steam Med Valve"/>
    <s v="MF"/>
    <x v="3"/>
    <s v="&quot;3 - Res Pipe Insulation&quot; worksheet"/>
    <s v="each"/>
    <n v="0"/>
    <n v="0"/>
    <n v="0"/>
    <n v="0"/>
    <n v="0"/>
    <m/>
    <n v="67.962640249087912"/>
    <n v="67.962640249087912"/>
    <n v="67.962640249087912"/>
    <n v="67.962640249087912"/>
    <n v="0.87"/>
    <n v="0.87"/>
    <n v="0.87"/>
    <n v="0.87"/>
    <n v="0"/>
    <n v="0"/>
    <n v="0"/>
    <n v="0"/>
    <n v="0"/>
    <n v="0.87"/>
    <n v="0.87"/>
    <n v="0.87"/>
    <n v="0.87"/>
    <n v="0.87"/>
    <n v="0.87"/>
    <n v="0.87"/>
    <n v="0.87"/>
    <m/>
    <m/>
    <n v="67.962640249087912"/>
    <m/>
    <n v="0"/>
    <n v="0"/>
    <m/>
    <m/>
    <n v="67.962640249087912"/>
    <s v="n/a"/>
    <n v="0"/>
    <n v="0"/>
    <n v="0"/>
    <m/>
    <m/>
    <n v="67.962640249087912"/>
    <m/>
    <n v="0"/>
    <n v="0"/>
    <m/>
    <m/>
    <n v="67.962640249087912"/>
    <m/>
    <n v="0"/>
    <n v="0"/>
    <n v="0"/>
    <n v="0"/>
    <n v="0"/>
    <n v="0"/>
    <n v="0"/>
    <s v="NA"/>
    <m/>
  </r>
  <r>
    <s v="NSG"/>
    <x v="3"/>
    <x v="6"/>
    <s v="Partner Trade Ally Rebate"/>
    <x v="4"/>
    <s v="Steam Large Valve"/>
    <s v="MF"/>
    <x v="3"/>
    <s v="&quot;3 - Res Pipe Insulation&quot; worksheet"/>
    <s v="each"/>
    <n v="0"/>
    <n v="0"/>
    <n v="0"/>
    <n v="0"/>
    <n v="0"/>
    <m/>
    <n v="133.90978522057964"/>
    <n v="133.90978522057964"/>
    <n v="133.90978522057964"/>
    <n v="133.90978522057964"/>
    <n v="0.87"/>
    <n v="0.87"/>
    <n v="0.87"/>
    <n v="0.87"/>
    <n v="0"/>
    <n v="0"/>
    <n v="0"/>
    <n v="0"/>
    <n v="0"/>
    <n v="0.87"/>
    <n v="0.87"/>
    <n v="0.87"/>
    <n v="0.87"/>
    <n v="0.87"/>
    <n v="0.87"/>
    <n v="0.87"/>
    <n v="0.87"/>
    <m/>
    <m/>
    <n v="133.90978522057964"/>
    <m/>
    <n v="0"/>
    <n v="0"/>
    <m/>
    <m/>
    <n v="133.90978522057964"/>
    <s v="n/a"/>
    <n v="0"/>
    <n v="0"/>
    <n v="0"/>
    <m/>
    <m/>
    <n v="133.90978522057964"/>
    <m/>
    <n v="0"/>
    <n v="0"/>
    <m/>
    <m/>
    <n v="133.90978522057964"/>
    <m/>
    <n v="0"/>
    <n v="0"/>
    <n v="0"/>
    <n v="0"/>
    <n v="0"/>
    <n v="0"/>
    <n v="0"/>
    <s v="NA"/>
    <m/>
  </r>
  <r>
    <s v="NSG"/>
    <x v="3"/>
    <x v="6"/>
    <s v="Partner Trade Ally Rebate"/>
    <x v="4"/>
    <s v="Steam X-Large Valve"/>
    <s v="MF"/>
    <x v="3"/>
    <s v="&quot;3 - Res Pipe Insulation&quot; worksheet"/>
    <s v="each"/>
    <n v="0"/>
    <n v="0"/>
    <n v="0"/>
    <n v="0"/>
    <n v="0"/>
    <m/>
    <n v="67.962640249087912"/>
    <n v="67.962640249087912"/>
    <n v="67.962640249087912"/>
    <n v="67.962640249087912"/>
    <n v="0.87"/>
    <n v="0.87"/>
    <n v="0.87"/>
    <n v="0.87"/>
    <n v="0"/>
    <n v="0"/>
    <n v="0"/>
    <n v="0"/>
    <n v="0"/>
    <n v="0.87"/>
    <n v="0.87"/>
    <n v="0.87"/>
    <n v="0.87"/>
    <n v="0.87"/>
    <n v="0.87"/>
    <n v="0.87"/>
    <n v="0.87"/>
    <m/>
    <m/>
    <n v="67.962640249087912"/>
    <m/>
    <n v="0"/>
    <n v="0"/>
    <m/>
    <m/>
    <n v="67.962640249087912"/>
    <s v="n/a"/>
    <n v="0"/>
    <n v="0"/>
    <n v="0"/>
    <m/>
    <m/>
    <n v="67.962640249087912"/>
    <m/>
    <n v="0"/>
    <n v="0"/>
    <m/>
    <m/>
    <n v="67.962640249087912"/>
    <m/>
    <n v="0"/>
    <n v="0"/>
    <n v="0"/>
    <n v="0"/>
    <n v="0"/>
    <n v="0"/>
    <n v="0"/>
    <s v="NA"/>
    <m/>
  </r>
  <r>
    <s v="NSG"/>
    <x v="3"/>
    <x v="6"/>
    <s v="Partner Trade Ally Rebate"/>
    <x v="55"/>
    <n v="0"/>
    <s v="MF"/>
    <x v="3"/>
    <s v="4.4.36"/>
    <s v="each"/>
    <n v="0"/>
    <n v="0"/>
    <n v="0"/>
    <n v="0"/>
    <s v="CI-HVC-SBAC-V03-230101"/>
    <m/>
    <n v="83.05"/>
    <n v="83.05"/>
    <n v="83.05"/>
    <n v="83.05"/>
    <n v="0.87"/>
    <n v="0.87"/>
    <n v="0.87"/>
    <n v="0.87"/>
    <n v="0"/>
    <n v="0"/>
    <n v="0"/>
    <n v="0"/>
    <n v="0"/>
    <n v="0.87"/>
    <n v="0.87"/>
    <n v="0.87"/>
    <n v="0.87"/>
    <n v="0.87"/>
    <n v="0.87"/>
    <n v="0.87"/>
    <n v="0.87"/>
    <m/>
    <m/>
    <n v="83.05"/>
    <m/>
    <n v="0"/>
    <n v="0"/>
    <m/>
    <m/>
    <n v="83.05"/>
    <s v="n/a"/>
    <n v="0"/>
    <n v="0"/>
    <n v="0"/>
    <m/>
    <m/>
    <n v="83.05"/>
    <m/>
    <n v="0"/>
    <n v="0"/>
    <m/>
    <m/>
    <n v="83.05"/>
    <m/>
    <n v="0"/>
    <n v="0"/>
    <n v="0"/>
    <n v="0"/>
    <n v="0"/>
    <n v="0"/>
    <n v="0"/>
    <s v="NA"/>
    <m/>
  </r>
  <r>
    <s v="NSG"/>
    <x v="3"/>
    <x v="6"/>
    <s v="Partner Trade Ally Rebate"/>
    <x v="41"/>
    <s v="Industrial/Process Audit - psig ≤ 15"/>
    <s v="MF"/>
    <x v="3"/>
    <s v="4.4.16"/>
    <s v="each"/>
    <n v="0"/>
    <n v="0"/>
    <n v="0"/>
    <n v="0"/>
    <s v="CI-HVC-STRE-V09-230101"/>
    <m/>
    <n v="158.21234468156055"/>
    <n v="158.21234468156055"/>
    <n v="158.21234468156055"/>
    <n v="158.21234468156055"/>
    <n v="0.87"/>
    <n v="0.87"/>
    <n v="0.87"/>
    <n v="0.87"/>
    <n v="0"/>
    <n v="0"/>
    <n v="0"/>
    <n v="0"/>
    <n v="0"/>
    <n v="0.87"/>
    <n v="0.87"/>
    <n v="0.87"/>
    <n v="0.87"/>
    <n v="0.87"/>
    <n v="0.87"/>
    <n v="0.87"/>
    <n v="0.87"/>
    <m/>
    <m/>
    <n v="158.21234468156055"/>
    <m/>
    <n v="0"/>
    <n v="0"/>
    <m/>
    <m/>
    <n v="321.5560729764652"/>
    <s v="Updated inputs for Commercial LPS Space Heating and Industrial/Process Low Pressure"/>
    <n v="0"/>
    <n v="0"/>
    <n v="0"/>
    <m/>
    <m/>
    <n v="321.5560729764652"/>
    <m/>
    <n v="0"/>
    <n v="0"/>
    <m/>
    <m/>
    <n v="321.5560729764652"/>
    <m/>
    <n v="0"/>
    <n v="0"/>
    <n v="0"/>
    <n v="0"/>
    <n v="0"/>
    <n v="0"/>
    <n v="0"/>
    <s v="NA"/>
    <m/>
  </r>
  <r>
    <s v="NSG"/>
    <x v="3"/>
    <x v="6"/>
    <s v="Partner Trade Ally Rebate"/>
    <x v="41"/>
    <s v="Industrial/Process Audit - 15 &lt; psig &lt; 30"/>
    <s v="MF"/>
    <x v="3"/>
    <s v="4.4.16"/>
    <s v="each"/>
    <n v="0"/>
    <n v="0"/>
    <n v="0"/>
    <n v="0"/>
    <s v="CI-HVC-STRE-V09-230101"/>
    <m/>
    <n v="152.05519050678893"/>
    <n v="152.05519050678893"/>
    <n v="152.05519050678893"/>
    <n v="152.05519050678893"/>
    <n v="0.87"/>
    <n v="0.87"/>
    <n v="0.87"/>
    <n v="0.87"/>
    <n v="0"/>
    <n v="0"/>
    <n v="0"/>
    <n v="0"/>
    <n v="0"/>
    <n v="0.87"/>
    <n v="0.87"/>
    <n v="0.87"/>
    <n v="0.87"/>
    <n v="0.87"/>
    <n v="0.87"/>
    <n v="0.87"/>
    <n v="0.87"/>
    <m/>
    <m/>
    <n v="152.05519050678893"/>
    <m/>
    <n v="0"/>
    <n v="0"/>
    <m/>
    <m/>
    <n v="152.05519050678893"/>
    <s v="Updated inputs for Commercial LPS Space Heating and Industrial/Process Low Pressure"/>
    <n v="0"/>
    <n v="0"/>
    <n v="0"/>
    <m/>
    <m/>
    <n v="152.05519050678893"/>
    <m/>
    <n v="0"/>
    <n v="0"/>
    <m/>
    <m/>
    <n v="152.05519050678893"/>
    <m/>
    <n v="0"/>
    <n v="0"/>
    <n v="0"/>
    <n v="0"/>
    <n v="0"/>
    <n v="0"/>
    <n v="0"/>
    <s v="NA"/>
    <m/>
  </r>
  <r>
    <s v="NSG"/>
    <x v="3"/>
    <x v="6"/>
    <s v="Partner Trade Ally Rebate"/>
    <x v="41"/>
    <s v="Industrial/Process Audit - 30 ≤ psig &lt; 75"/>
    <s v="MF"/>
    <x v="3"/>
    <s v="4.4.16"/>
    <s v="each"/>
    <n v="0"/>
    <n v="0"/>
    <n v="0"/>
    <n v="0"/>
    <s v="CI-HVC-STRE-V09-230101"/>
    <m/>
    <n v="557.07551065314806"/>
    <n v="557.07551065314806"/>
    <n v="557.07551065314806"/>
    <n v="557.07551065314806"/>
    <n v="0.87"/>
    <n v="0.87"/>
    <n v="0.87"/>
    <n v="0.87"/>
    <n v="0"/>
    <n v="0"/>
    <n v="0"/>
    <n v="0"/>
    <n v="0"/>
    <n v="0.87"/>
    <n v="0.87"/>
    <n v="0.87"/>
    <n v="0.87"/>
    <n v="0.87"/>
    <n v="0.87"/>
    <n v="0.87"/>
    <n v="0.87"/>
    <m/>
    <m/>
    <n v="557.07551065314806"/>
    <m/>
    <n v="0"/>
    <n v="0"/>
    <m/>
    <m/>
    <n v="557.07551065314806"/>
    <s v="Updated inputs for Commercial LPS Space Heating and Industrial/Process Low Pressure"/>
    <n v="0"/>
    <n v="0"/>
    <n v="0"/>
    <m/>
    <m/>
    <n v="557.07551065314806"/>
    <m/>
    <n v="0"/>
    <n v="0"/>
    <m/>
    <m/>
    <n v="557.07551065314806"/>
    <m/>
    <n v="0"/>
    <n v="0"/>
    <n v="0"/>
    <n v="0"/>
    <n v="0"/>
    <n v="0"/>
    <n v="0"/>
    <s v="NA"/>
    <m/>
  </r>
  <r>
    <s v="NSG"/>
    <x v="3"/>
    <x v="6"/>
    <s v="Partner Trade Ally Rebate"/>
    <x v="41"/>
    <s v="Industrial/Process Audit - 75 ≤ psig &lt; 125"/>
    <s v="MF"/>
    <x v="3"/>
    <s v="4.4.16"/>
    <s v="each"/>
    <n v="0"/>
    <n v="0"/>
    <n v="0"/>
    <n v="0"/>
    <s v="CI-HVC-STRE-V09-230101"/>
    <m/>
    <n v="1053.6644788659491"/>
    <n v="1053.6644788659491"/>
    <n v="1053.6644788659491"/>
    <n v="1053.6644788659491"/>
    <n v="0.87"/>
    <n v="0.87"/>
    <n v="0.87"/>
    <n v="0.87"/>
    <n v="0"/>
    <n v="0"/>
    <n v="0"/>
    <n v="0"/>
    <n v="0"/>
    <n v="0.87"/>
    <n v="0.87"/>
    <n v="0.87"/>
    <n v="0.87"/>
    <n v="0.87"/>
    <n v="0.87"/>
    <n v="0.87"/>
    <n v="0.87"/>
    <m/>
    <m/>
    <n v="1053.6644788659491"/>
    <m/>
    <n v="0"/>
    <n v="0"/>
    <m/>
    <m/>
    <n v="1053.6644788659491"/>
    <s v="Updated inputs for Commercial LPS Space Heating and Industrial/Process Low Pressure"/>
    <n v="0"/>
    <n v="0"/>
    <n v="0"/>
    <m/>
    <m/>
    <n v="1053.6644788659491"/>
    <m/>
    <n v="0"/>
    <n v="0"/>
    <m/>
    <m/>
    <n v="1053.6644788659491"/>
    <m/>
    <n v="0"/>
    <n v="0"/>
    <n v="0"/>
    <n v="0"/>
    <n v="0"/>
    <n v="0"/>
    <n v="0"/>
    <s v="NA"/>
    <m/>
  </r>
  <r>
    <s v="NSG"/>
    <x v="3"/>
    <x v="6"/>
    <s v="Partner Trade Ally Rebate"/>
    <x v="41"/>
    <s v="Industrial/Process Audit - 125 ≤ psig &lt; 175"/>
    <s v="MF"/>
    <x v="3"/>
    <s v="4.4.16"/>
    <s v="each"/>
    <n v="0"/>
    <n v="0"/>
    <n v="0"/>
    <n v="0"/>
    <s v="CI-HVC-STRE-V09-230101"/>
    <m/>
    <n v="1471.0232537570409"/>
    <n v="1471.0232537570409"/>
    <n v="1471.0232537570409"/>
    <n v="1471.0232537570409"/>
    <n v="0.87"/>
    <n v="0.87"/>
    <n v="0.87"/>
    <n v="0.87"/>
    <n v="0"/>
    <n v="0"/>
    <n v="0"/>
    <n v="0"/>
    <n v="0"/>
    <n v="0.87"/>
    <n v="0.87"/>
    <n v="0.87"/>
    <n v="0.87"/>
    <n v="0.87"/>
    <n v="0.87"/>
    <n v="0.87"/>
    <n v="0.87"/>
    <m/>
    <m/>
    <n v="1471.0232537570409"/>
    <m/>
    <n v="0"/>
    <n v="0"/>
    <m/>
    <m/>
    <n v="1471.0232537570409"/>
    <s v="Updated inputs for Commercial LPS Space Heating and Industrial/Process Low Pressure"/>
    <n v="0"/>
    <n v="0"/>
    <n v="0"/>
    <m/>
    <m/>
    <n v="1471.0232537570409"/>
    <m/>
    <n v="0"/>
    <n v="0"/>
    <m/>
    <m/>
    <n v="1471.0232537570409"/>
    <m/>
    <n v="0"/>
    <n v="0"/>
    <n v="0"/>
    <n v="0"/>
    <n v="0"/>
    <n v="0"/>
    <n v="0"/>
    <s v="NA"/>
    <m/>
  </r>
  <r>
    <s v="NSG"/>
    <x v="3"/>
    <x v="6"/>
    <s v="Partner Trade Ally Rebate"/>
    <x v="41"/>
    <s v="Industrial/Process Audit - 175 ≤ psig &lt; 250"/>
    <s v="MF"/>
    <x v="3"/>
    <s v="4.4.16"/>
    <s v="each"/>
    <n v="0"/>
    <n v="0"/>
    <n v="0"/>
    <n v="0"/>
    <s v="CI-HVC-STRE-V09-230101"/>
    <m/>
    <n v="1986.7915775383435"/>
    <n v="1986.7915775383435"/>
    <n v="1986.7915775383435"/>
    <n v="1986.7915775383435"/>
    <n v="0.87"/>
    <n v="0.87"/>
    <n v="0.87"/>
    <n v="0.87"/>
    <n v="0"/>
    <n v="0"/>
    <n v="0"/>
    <n v="0"/>
    <n v="0"/>
    <n v="0.87"/>
    <n v="0.87"/>
    <n v="0.87"/>
    <n v="0.87"/>
    <n v="0.87"/>
    <n v="0.87"/>
    <n v="0.87"/>
    <n v="0.87"/>
    <m/>
    <m/>
    <n v="1986.7915775383435"/>
    <m/>
    <n v="0"/>
    <n v="0"/>
    <m/>
    <m/>
    <n v="1986.7915775383435"/>
    <s v="Updated inputs for Commercial LPS Space Heating and Industrial/Process Low Pressure"/>
    <n v="0"/>
    <n v="0"/>
    <n v="0"/>
    <m/>
    <m/>
    <n v="1986.7915775383435"/>
    <m/>
    <n v="0"/>
    <n v="0"/>
    <m/>
    <m/>
    <n v="1986.7915775383435"/>
    <m/>
    <n v="0"/>
    <n v="0"/>
    <n v="0"/>
    <n v="0"/>
    <n v="0"/>
    <n v="0"/>
    <n v="0"/>
    <s v="NA"/>
    <m/>
  </r>
  <r>
    <s v="NSG"/>
    <x v="3"/>
    <x v="6"/>
    <s v="Partner Trade Ally Rebate"/>
    <x v="41"/>
    <s v="Industrial/Process Audit - 250 ≤ psig"/>
    <s v="MF"/>
    <x v="3"/>
    <s v="4.4.16"/>
    <s v="each"/>
    <n v="0"/>
    <n v="0"/>
    <n v="0"/>
    <n v="0"/>
    <s v="CI-HVC-STRE-V09-230101"/>
    <m/>
    <n v="2544.9291474441216"/>
    <n v="2544.9291474441216"/>
    <n v="2544.9291474441216"/>
    <n v="2544.9291474441216"/>
    <n v="0.87"/>
    <n v="0.87"/>
    <n v="0.87"/>
    <n v="0.87"/>
    <n v="0"/>
    <n v="0"/>
    <n v="0"/>
    <n v="0"/>
    <n v="0"/>
    <n v="0.87"/>
    <n v="0.87"/>
    <n v="0.87"/>
    <n v="0.87"/>
    <n v="0.87"/>
    <n v="0.87"/>
    <n v="0.87"/>
    <n v="0.87"/>
    <m/>
    <m/>
    <n v="2544.9291474441216"/>
    <m/>
    <n v="0"/>
    <n v="0"/>
    <m/>
    <m/>
    <n v="2544.9291474441216"/>
    <s v="Updated inputs for Commercial LPS Space Heating and Industrial/Process Low Pressure"/>
    <n v="0"/>
    <n v="0"/>
    <n v="0"/>
    <m/>
    <m/>
    <n v="2544.9291474441216"/>
    <m/>
    <n v="0"/>
    <n v="0"/>
    <m/>
    <m/>
    <n v="2544.9291474441216"/>
    <m/>
    <n v="0"/>
    <n v="0"/>
    <n v="0"/>
    <n v="0"/>
    <n v="0"/>
    <n v="0"/>
    <n v="0"/>
    <s v="NA"/>
    <m/>
  </r>
  <r>
    <s v="NSG"/>
    <x v="3"/>
    <x v="6"/>
    <s v="Partner Trade Ally Rebate"/>
    <x v="41"/>
    <s v="Test"/>
    <s v="MF"/>
    <x v="3"/>
    <n v="0"/>
    <s v="each"/>
    <n v="0"/>
    <n v="0"/>
    <n v="0"/>
    <n v="0"/>
    <n v="0"/>
    <m/>
    <n v="0"/>
    <n v="0"/>
    <n v="0"/>
    <n v="0"/>
    <n v="0.87"/>
    <n v="0.87"/>
    <n v="0.87"/>
    <n v="0.87"/>
    <n v="0"/>
    <n v="0"/>
    <n v="0"/>
    <n v="0"/>
    <n v="0"/>
    <n v="0.87"/>
    <n v="0.87"/>
    <n v="0.87"/>
    <n v="0.87"/>
    <n v="0.87"/>
    <n v="0.87"/>
    <n v="0.87"/>
    <n v="0.87"/>
    <m/>
    <m/>
    <n v="0"/>
    <m/>
    <n v="0"/>
    <n v="0"/>
    <m/>
    <m/>
    <n v="0"/>
    <s v="n/a"/>
    <n v="0"/>
    <n v="0"/>
    <n v="0"/>
    <m/>
    <m/>
    <n v="0"/>
    <m/>
    <n v="0"/>
    <n v="0"/>
    <m/>
    <m/>
    <n v="0"/>
    <m/>
    <n v="0"/>
    <n v="0"/>
    <n v="0"/>
    <n v="0"/>
    <n v="0"/>
    <n v="0"/>
    <n v="0"/>
    <s v="NA"/>
    <m/>
  </r>
  <r>
    <s v="NSG"/>
    <x v="3"/>
    <x v="6"/>
    <s v="Partner Trade Ally Rebate"/>
    <x v="29"/>
    <n v="0"/>
    <s v="MF"/>
    <x v="3"/>
    <s v="4.4.21"/>
    <s v="MBH"/>
    <n v="0"/>
    <n v="0"/>
    <n v="0"/>
    <n v="0"/>
    <s v="CI-HVC-LBC-V06-220101"/>
    <m/>
    <n v="0.63181333333333334"/>
    <n v="0.63181333333333334"/>
    <n v="0.63181333333333334"/>
    <n v="0.63181333333333334"/>
    <n v="0.87"/>
    <n v="0.87"/>
    <n v="0.87"/>
    <n v="0.87"/>
    <n v="0"/>
    <n v="0"/>
    <n v="0"/>
    <n v="0"/>
    <n v="0"/>
    <n v="0.87"/>
    <n v="0.87"/>
    <n v="0.87"/>
    <n v="0.87"/>
    <n v="0.87"/>
    <n v="0.87"/>
    <n v="0.87"/>
    <n v="0.87"/>
    <m/>
    <m/>
    <n v="0.63181333333333334"/>
    <m/>
    <n v="0"/>
    <n v="0"/>
    <m/>
    <m/>
    <n v="0.63181333333333334"/>
    <s v="n/a"/>
    <n v="0"/>
    <n v="0"/>
    <n v="0"/>
    <m/>
    <m/>
    <n v="0.63181333333333334"/>
    <m/>
    <n v="0"/>
    <n v="0"/>
    <m/>
    <m/>
    <n v="0.63181333333333334"/>
    <m/>
    <n v="0"/>
    <n v="0"/>
    <n v="0"/>
    <n v="0"/>
    <n v="0"/>
    <n v="0"/>
    <n v="0"/>
    <s v="NA"/>
    <m/>
  </r>
  <r>
    <s v="NSG"/>
    <x v="3"/>
    <x v="6"/>
    <s v="Partner Trade Ally Rebate"/>
    <x v="56"/>
    <s v="Hotels &amp; Hospitals"/>
    <s v="CI"/>
    <x v="3"/>
    <s v="4.8.4"/>
    <s v="each"/>
    <n v="0"/>
    <n v="0"/>
    <n v="0"/>
    <n v="0"/>
    <s v="CI-MSC-MODD-V02-230101"/>
    <m/>
    <n v="649.26"/>
    <n v="649.26"/>
    <n v="649.26"/>
    <n v="649.26"/>
    <n v="0.87"/>
    <n v="0.87"/>
    <n v="0.87"/>
    <n v="0.87"/>
    <n v="0"/>
    <n v="0"/>
    <n v="0"/>
    <n v="0"/>
    <n v="0"/>
    <n v="0.87"/>
    <n v="0.87"/>
    <n v="0.87"/>
    <n v="0.87"/>
    <n v="0.87"/>
    <n v="0.87"/>
    <n v="0.87"/>
    <n v="0.87"/>
    <m/>
    <m/>
    <n v="649.26"/>
    <m/>
    <n v="0"/>
    <n v="0"/>
    <m/>
    <m/>
    <n v="649.26"/>
    <s v="Updated measure lifetime."/>
    <n v="0"/>
    <n v="0"/>
    <n v="0"/>
    <m/>
    <m/>
    <n v="649.26"/>
    <m/>
    <n v="0"/>
    <n v="0"/>
    <m/>
    <m/>
    <n v="649.26"/>
    <m/>
    <n v="0"/>
    <n v="0"/>
    <n v="0"/>
    <n v="0"/>
    <n v="0"/>
    <n v="0"/>
    <n v="0"/>
    <s v="NA"/>
    <m/>
  </r>
  <r>
    <s v="NSG"/>
    <x v="3"/>
    <x v="6"/>
    <s v="Partner Trade Ally Rebate"/>
    <x v="56"/>
    <s v="Laundromat &amp; MF Dorms"/>
    <s v="MF/SMB"/>
    <x v="3"/>
    <s v="4.8.4"/>
    <s v="each"/>
    <n v="0"/>
    <n v="0"/>
    <n v="0"/>
    <n v="0"/>
    <s v="CI-MSC-MODD-V02-230101"/>
    <m/>
    <n v="230.13"/>
    <n v="230.13"/>
    <n v="230.13"/>
    <n v="230.13"/>
    <n v="0.87"/>
    <n v="0.87"/>
    <n v="0.87"/>
    <n v="0.87"/>
    <n v="0"/>
    <n v="0"/>
    <n v="0"/>
    <n v="0"/>
    <n v="0"/>
    <n v="0.87"/>
    <n v="0.87"/>
    <n v="0.87"/>
    <n v="0.87"/>
    <n v="0.87"/>
    <n v="0.87"/>
    <n v="0.87"/>
    <n v="0.87"/>
    <m/>
    <m/>
    <n v="230.13"/>
    <m/>
    <n v="0"/>
    <n v="0"/>
    <m/>
    <m/>
    <n v="230.13"/>
    <s v="Updated measure lifetime."/>
    <n v="0"/>
    <n v="0"/>
    <n v="0"/>
    <m/>
    <m/>
    <n v="230.13"/>
    <m/>
    <n v="0"/>
    <n v="0"/>
    <m/>
    <m/>
    <n v="230.13"/>
    <m/>
    <n v="0"/>
    <n v="0"/>
    <n v="0"/>
    <n v="0"/>
    <n v="0"/>
    <n v="0"/>
    <n v="0"/>
    <s v="NA"/>
    <m/>
  </r>
  <r>
    <s v="NSG"/>
    <x v="3"/>
    <x v="6"/>
    <s v="Partner Trade Ally Rebate"/>
    <x v="12"/>
    <s v="Central/Indirect MF ≥88% TE"/>
    <s v="MF"/>
    <x v="3"/>
    <s v="4.3.7"/>
    <s v="each"/>
    <n v="0"/>
    <n v="0"/>
    <n v="0"/>
    <n v="0"/>
    <s v="CI-HWE-MDHW-V06-230101"/>
    <m/>
    <n v="453.64159574999974"/>
    <n v="453.64159574999974"/>
    <n v="453.64159574999974"/>
    <n v="453.64159574999974"/>
    <n v="0.87"/>
    <n v="0.87"/>
    <n v="0.87"/>
    <n v="0.87"/>
    <n v="0"/>
    <n v="0"/>
    <n v="0"/>
    <n v="0"/>
    <n v="0"/>
    <n v="0.87"/>
    <n v="0.87"/>
    <n v="0.87"/>
    <n v="0.87"/>
    <n v="0.87"/>
    <n v="0.87"/>
    <n v="0.87"/>
    <n v="0.87"/>
    <m/>
    <m/>
    <n v="474.72634597499967"/>
    <m/>
    <n v="0"/>
    <n v="0"/>
    <m/>
    <m/>
    <n v="474.72634597499967"/>
    <s v="n/a"/>
    <n v="0"/>
    <n v="0"/>
    <n v="0"/>
    <m/>
    <m/>
    <n v="474.72634597499967"/>
    <m/>
    <n v="0"/>
    <n v="0"/>
    <m/>
    <m/>
    <n v="474.72634597499967"/>
    <m/>
    <n v="0"/>
    <n v="0"/>
    <n v="0"/>
    <n v="0"/>
    <n v="0"/>
    <n v="0"/>
    <n v="0"/>
    <s v="NA"/>
    <m/>
  </r>
  <r>
    <s v="NSG"/>
    <x v="3"/>
    <x v="6"/>
    <s v="Partner Trade Ally Rebate"/>
    <x v="66"/>
    <n v="0"/>
    <s v="CI"/>
    <x v="3"/>
    <n v="0"/>
    <s v="each"/>
    <n v="0"/>
    <n v="0"/>
    <n v="0"/>
    <n v="0"/>
    <n v="0"/>
    <m/>
    <n v="234.94825714285713"/>
    <n v="234.94825714285713"/>
    <n v="234.94825714285713"/>
    <n v="234.94825714285713"/>
    <n v="0.87"/>
    <n v="0.87"/>
    <n v="0.87"/>
    <n v="0.87"/>
    <n v="0"/>
    <n v="0"/>
    <n v="0"/>
    <n v="0"/>
    <n v="0"/>
    <n v="0.87"/>
    <n v="0.87"/>
    <n v="0.87"/>
    <n v="0.87"/>
    <n v="0.87"/>
    <n v="0.87"/>
    <n v="0.87"/>
    <n v="0.87"/>
    <m/>
    <m/>
    <n v="234.94825714285713"/>
    <m/>
    <n v="0"/>
    <n v="0"/>
    <m/>
    <m/>
    <n v="234.94825714285713"/>
    <s v="n/a"/>
    <n v="0"/>
    <n v="0"/>
    <n v="0"/>
    <m/>
    <m/>
    <n v="234.94825714285713"/>
    <m/>
    <n v="0"/>
    <n v="0"/>
    <m/>
    <m/>
    <n v="234.94825714285713"/>
    <m/>
    <n v="0"/>
    <n v="0"/>
    <n v="0"/>
    <n v="0"/>
    <n v="0"/>
    <n v="0"/>
    <n v="0"/>
    <s v="NA"/>
    <m/>
  </r>
  <r>
    <s v="NSG"/>
    <x v="3"/>
    <x v="6"/>
    <s v="Partner Trade Ally Rebate"/>
    <x v="50"/>
    <n v="0"/>
    <s v="MF/CI"/>
    <x v="3"/>
    <s v="4.2.16"/>
    <s v="HP"/>
    <n v="0"/>
    <n v="0"/>
    <n v="0"/>
    <n v="0"/>
    <s v="CI-FSE-VENT-V05-230101"/>
    <m/>
    <n v="774"/>
    <n v="774"/>
    <n v="774"/>
    <n v="774"/>
    <n v="0.87"/>
    <n v="0.87"/>
    <n v="0.87"/>
    <n v="0.87"/>
    <n v="0"/>
    <n v="0"/>
    <n v="0"/>
    <n v="0"/>
    <n v="0"/>
    <n v="0.87"/>
    <n v="0.87"/>
    <n v="0.87"/>
    <n v="0.87"/>
    <n v="0.87"/>
    <n v="0.87"/>
    <n v="0.87"/>
    <n v="0.87"/>
    <m/>
    <m/>
    <n v="774"/>
    <m/>
    <n v="0"/>
    <n v="0"/>
    <m/>
    <m/>
    <n v="774"/>
    <s v="n/a"/>
    <n v="0"/>
    <n v="0"/>
    <n v="0"/>
    <m/>
    <m/>
    <n v="774"/>
    <m/>
    <n v="0"/>
    <n v="0"/>
    <m/>
    <m/>
    <n v="774"/>
    <m/>
    <n v="0"/>
    <n v="0"/>
    <n v="0"/>
    <n v="0"/>
    <n v="0"/>
    <n v="0"/>
    <n v="0"/>
    <s v="NA"/>
    <m/>
  </r>
  <r>
    <s v="NSG"/>
    <x v="4"/>
    <x v="6"/>
    <s v="Whole Building - DI"/>
    <x v="4"/>
    <s v="Boiler"/>
    <s v="MF"/>
    <x v="3"/>
    <s v="5.3.2"/>
    <s v="ft"/>
    <n v="0"/>
    <n v="0"/>
    <n v="0"/>
    <n v="0"/>
    <s v="RS-HWE-PINS-V06-230101"/>
    <m/>
    <n v="0.63522312995661756"/>
    <n v="0.63522312995661756"/>
    <n v="0.63522312995661756"/>
    <n v="0.63522312995661756"/>
    <n v="1"/>
    <n v="1"/>
    <n v="1"/>
    <n v="1"/>
    <n v="0"/>
    <n v="0"/>
    <n v="0"/>
    <n v="0"/>
    <n v="0"/>
    <n v="1"/>
    <n v="1"/>
    <n v="1"/>
    <n v="1"/>
    <n v="1"/>
    <n v="1"/>
    <n v="1"/>
    <n v="1"/>
    <m/>
    <m/>
    <n v="1.0111854839419214"/>
    <m/>
    <n v="0"/>
    <n v="0"/>
    <m/>
    <m/>
    <n v="1.0111854839419214"/>
    <s v="n/a"/>
    <n v="0"/>
    <n v="0"/>
    <n v="0"/>
    <m/>
    <m/>
    <n v="1.0111854839419214"/>
    <m/>
    <n v="0"/>
    <n v="0"/>
    <m/>
    <m/>
    <n v="1.0111854839419214"/>
    <m/>
    <n v="0"/>
    <n v="0"/>
    <n v="0"/>
    <n v="0"/>
    <n v="0"/>
    <n v="0"/>
    <n v="0"/>
    <s v="NA"/>
    <m/>
  </r>
  <r>
    <s v="NSG"/>
    <x v="4"/>
    <x v="6"/>
    <s v="Whole Building - DI"/>
    <x v="6"/>
    <s v="Boiler (DI)"/>
    <s v="MF"/>
    <x v="3"/>
    <s v="5.3.11"/>
    <s v="each"/>
    <n v="0"/>
    <n v="0"/>
    <n v="0"/>
    <n v="0"/>
    <s v="RS-HVC-ADTH-V08-230101"/>
    <m/>
    <n v="59.845499999999994"/>
    <n v="59.845499999999994"/>
    <n v="59.845499999999994"/>
    <n v="59.845499999999994"/>
    <n v="1"/>
    <n v="1"/>
    <n v="1"/>
    <n v="1"/>
    <n v="0"/>
    <n v="0"/>
    <n v="0"/>
    <n v="0"/>
    <n v="0"/>
    <n v="1"/>
    <n v="1"/>
    <n v="1"/>
    <n v="1"/>
    <n v="1"/>
    <n v="1"/>
    <n v="1"/>
    <n v="1"/>
    <m/>
    <m/>
    <n v="59.845499999999994"/>
    <m/>
    <n v="0"/>
    <n v="0"/>
    <m/>
    <m/>
    <n v="59.845499999999994"/>
    <s v="n/a"/>
    <n v="0"/>
    <n v="0"/>
    <n v="0"/>
    <m/>
    <m/>
    <n v="59.845499999999994"/>
    <m/>
    <n v="0"/>
    <n v="0"/>
    <m/>
    <m/>
    <n v="59.845499999999994"/>
    <m/>
    <n v="0"/>
    <n v="0"/>
    <n v="0"/>
    <n v="0"/>
    <n v="0"/>
    <n v="0"/>
    <n v="0"/>
    <s v="NA"/>
    <m/>
  </r>
  <r>
    <s v="NSG"/>
    <x v="4"/>
    <x v="6"/>
    <s v="Whole Building - DI"/>
    <x v="3"/>
    <s v="Boiler (Replace Manual)"/>
    <s v="MF"/>
    <x v="3"/>
    <s v="5.3.16"/>
    <s v="each"/>
    <n v="0"/>
    <n v="0"/>
    <n v="0"/>
    <n v="0"/>
    <s v="RS-HVC-ADTH-V08-230101"/>
    <m/>
    <n v="100.386"/>
    <n v="100.386"/>
    <n v="100.386"/>
    <n v="100.386"/>
    <n v="1"/>
    <n v="1"/>
    <n v="1"/>
    <n v="1"/>
    <n v="0"/>
    <n v="0"/>
    <n v="0"/>
    <n v="0"/>
    <n v="0"/>
    <n v="1"/>
    <n v="1"/>
    <n v="1"/>
    <n v="1"/>
    <n v="1"/>
    <n v="1"/>
    <n v="1"/>
    <n v="1"/>
    <m/>
    <m/>
    <n v="98.455500000000001"/>
    <m/>
    <n v="0"/>
    <n v="0"/>
    <m/>
    <m/>
    <n v="98.455500000000001"/>
    <s v="n/a"/>
    <n v="0"/>
    <n v="0"/>
    <n v="0"/>
    <m/>
    <m/>
    <n v="98.455500000000001"/>
    <m/>
    <n v="0"/>
    <n v="0"/>
    <m/>
    <m/>
    <n v="98.455500000000001"/>
    <m/>
    <n v="0"/>
    <n v="0"/>
    <n v="0"/>
    <n v="0"/>
    <n v="0"/>
    <n v="0"/>
    <n v="0"/>
    <s v="NA"/>
    <m/>
  </r>
  <r>
    <s v="NSG"/>
    <x v="4"/>
    <x v="6"/>
    <s v="Whole Building - DI"/>
    <x v="3"/>
    <s v="Furnace (Replace Programmable)"/>
    <s v="MF"/>
    <x v="3"/>
    <s v="5.3.16"/>
    <s v="each"/>
    <n v="0"/>
    <n v="0"/>
    <n v="0"/>
    <n v="0"/>
    <s v="RS-HVC-ADTH-V08-230101"/>
    <m/>
    <n v="47.687249999999999"/>
    <n v="47.687249999999999"/>
    <n v="47.687249999999999"/>
    <n v="47.687249999999999"/>
    <n v="1"/>
    <n v="1"/>
    <n v="1"/>
    <n v="1"/>
    <n v="0"/>
    <n v="0"/>
    <n v="0"/>
    <n v="0"/>
    <n v="0"/>
    <n v="1"/>
    <n v="1"/>
    <n v="1"/>
    <n v="1"/>
    <n v="1"/>
    <n v="1"/>
    <n v="1"/>
    <n v="1"/>
    <m/>
    <m/>
    <n v="46.380749999999992"/>
    <m/>
    <n v="0"/>
    <n v="0"/>
    <m/>
    <m/>
    <n v="46.380749999999992"/>
    <s v="n/a"/>
    <n v="0"/>
    <n v="0"/>
    <n v="0"/>
    <m/>
    <m/>
    <n v="46.380749999999992"/>
    <m/>
    <n v="0"/>
    <n v="0"/>
    <m/>
    <m/>
    <n v="46.380749999999992"/>
    <m/>
    <n v="0"/>
    <n v="0"/>
    <n v="0"/>
    <n v="0"/>
    <n v="0"/>
    <n v="0"/>
    <n v="0"/>
    <s v="NA"/>
    <m/>
  </r>
  <r>
    <s v="NSG"/>
    <x v="4"/>
    <x v="6"/>
    <s v="Whole Building - DI"/>
    <x v="3"/>
    <s v="Boiler (Replace Programmable)"/>
    <s v="MF"/>
    <x v="3"/>
    <s v="5.3.16"/>
    <s v="each"/>
    <n v="0"/>
    <n v="0"/>
    <n v="0"/>
    <n v="0"/>
    <s v="RS-HVC-ADTH-V08-230101"/>
    <m/>
    <n v="70.463249999999988"/>
    <n v="70.463249999999988"/>
    <n v="70.463249999999988"/>
    <n v="70.463249999999988"/>
    <n v="1"/>
    <n v="1"/>
    <n v="1"/>
    <n v="1"/>
    <n v="0"/>
    <n v="0"/>
    <n v="0"/>
    <n v="0"/>
    <n v="0"/>
    <n v="1"/>
    <n v="1"/>
    <n v="1"/>
    <n v="1"/>
    <n v="1"/>
    <n v="1"/>
    <n v="1"/>
    <n v="1"/>
    <m/>
    <m/>
    <n v="68.532749999999993"/>
    <m/>
    <n v="0"/>
    <n v="0"/>
    <m/>
    <m/>
    <n v="68.532749999999993"/>
    <s v="n/a"/>
    <n v="0"/>
    <n v="0"/>
    <n v="0"/>
    <m/>
    <m/>
    <n v="68.532749999999993"/>
    <m/>
    <n v="0"/>
    <n v="0"/>
    <m/>
    <m/>
    <n v="68.532749999999993"/>
    <m/>
    <n v="0"/>
    <n v="0"/>
    <n v="0"/>
    <n v="0"/>
    <n v="0"/>
    <n v="0"/>
    <n v="0"/>
    <s v="NA"/>
    <m/>
  </r>
  <r>
    <s v="NSG"/>
    <x v="4"/>
    <x v="6"/>
    <s v="Whole Building - DI"/>
    <x v="44"/>
    <s v="Furnace (DI)"/>
    <s v="MF"/>
    <x v="3"/>
    <s v="5.3.11"/>
    <s v="each"/>
    <n v="0"/>
    <n v="0"/>
    <n v="0"/>
    <n v="0"/>
    <s v="RS-HVC-ADTH-V08-230101"/>
    <m/>
    <n v="40.5015"/>
    <n v="40.5015"/>
    <n v="40.5015"/>
    <n v="40.5015"/>
    <n v="1"/>
    <n v="1"/>
    <n v="1"/>
    <n v="1"/>
    <n v="0"/>
    <n v="0"/>
    <n v="0"/>
    <n v="0"/>
    <n v="0"/>
    <n v="1"/>
    <n v="1"/>
    <n v="1"/>
    <n v="1"/>
    <n v="1"/>
    <n v="1"/>
    <n v="1"/>
    <n v="1"/>
    <m/>
    <m/>
    <n v="40.5015"/>
    <m/>
    <n v="0"/>
    <n v="0"/>
    <m/>
    <m/>
    <n v="40.5015"/>
    <s v="n/a"/>
    <n v="0"/>
    <n v="0"/>
    <n v="0"/>
    <m/>
    <m/>
    <n v="40.5015"/>
    <m/>
    <n v="0"/>
    <n v="0"/>
    <m/>
    <m/>
    <n v="40.5015"/>
    <m/>
    <n v="0"/>
    <n v="0"/>
    <n v="0"/>
    <n v="0"/>
    <n v="0"/>
    <n v="0"/>
    <n v="0"/>
    <s v="NA"/>
    <m/>
  </r>
  <r>
    <s v="NSG"/>
    <x v="4"/>
    <x v="6"/>
    <s v="Whole Building - DI"/>
    <x v="44"/>
    <s v="Boiler (DI)"/>
    <s v="MF"/>
    <x v="3"/>
    <s v="5.3.11"/>
    <s v="each"/>
    <n v="0"/>
    <n v="0"/>
    <n v="0"/>
    <n v="0"/>
    <s v="RS-HVC-ADTH-V08-230101"/>
    <m/>
    <n v="59.926100000000005"/>
    <n v="59.926100000000005"/>
    <n v="59.926100000000005"/>
    <n v="59.926100000000005"/>
    <n v="1"/>
    <n v="1"/>
    <n v="1"/>
    <n v="1"/>
    <n v="0"/>
    <n v="0"/>
    <n v="0"/>
    <n v="0"/>
    <n v="0"/>
    <n v="1"/>
    <n v="1"/>
    <n v="1"/>
    <n v="1"/>
    <n v="1"/>
    <n v="1"/>
    <n v="1"/>
    <n v="1"/>
    <m/>
    <m/>
    <n v="59.926100000000005"/>
    <m/>
    <n v="0"/>
    <n v="0"/>
    <m/>
    <m/>
    <n v="59.926100000000005"/>
    <s v="n/a"/>
    <n v="0"/>
    <n v="0"/>
    <n v="0"/>
    <m/>
    <m/>
    <n v="59.926100000000005"/>
    <m/>
    <n v="0"/>
    <n v="0"/>
    <m/>
    <m/>
    <n v="59.926100000000005"/>
    <m/>
    <n v="0"/>
    <n v="0"/>
    <n v="0"/>
    <n v="0"/>
    <n v="0"/>
    <n v="0"/>
    <n v="0"/>
    <s v="NA"/>
    <m/>
  </r>
  <r>
    <s v="NSG"/>
    <x v="4"/>
    <x v="6"/>
    <s v="Whole Building - Prescriptive"/>
    <x v="32"/>
    <n v="0"/>
    <s v="SF"/>
    <x v="3"/>
    <s v="5.6.4"/>
    <s v="sq ft"/>
    <n v="0"/>
    <n v="0"/>
    <n v="0"/>
    <n v="0"/>
    <s v="RS-SHL-WINS-V12-230101"/>
    <m/>
    <n v="0.10827529411764705"/>
    <n v="0.10827529411764705"/>
    <n v="0.10827529411764705"/>
    <n v="0.10827529411764705"/>
    <n v="1"/>
    <n v="1"/>
    <n v="1"/>
    <n v="1"/>
    <n v="0"/>
    <n v="0"/>
    <n v="0"/>
    <n v="0"/>
    <n v="0"/>
    <n v="1"/>
    <n v="1"/>
    <n v="1"/>
    <n v="1"/>
    <n v="1"/>
    <n v="1"/>
    <n v="1"/>
    <n v="1"/>
    <m/>
    <m/>
    <n v="0.10827529411764705"/>
    <m/>
    <n v="0"/>
    <n v="0"/>
    <m/>
    <m/>
    <n v="0.10827529411764705"/>
    <s v="No savings impacts with existing measure assumptions."/>
    <n v="0"/>
    <n v="0"/>
    <n v="0"/>
    <m/>
    <m/>
    <n v="0.10827529411764705"/>
    <m/>
    <n v="0"/>
    <n v="0"/>
    <m/>
    <m/>
    <n v="0.10827529411764705"/>
    <m/>
    <n v="0"/>
    <n v="0"/>
    <n v="0"/>
    <n v="0"/>
    <n v="0"/>
    <n v="0"/>
    <n v="0"/>
    <s v="NA"/>
    <m/>
  </r>
  <r>
    <s v="NSG"/>
    <x v="4"/>
    <x v="6"/>
    <s v="Whole Building - Prescriptive"/>
    <x v="45"/>
    <n v="0"/>
    <s v="SF"/>
    <x v="3"/>
    <s v="5.6.2"/>
    <s v="sq ft"/>
    <n v="0"/>
    <n v="0"/>
    <n v="0"/>
    <n v="0"/>
    <s v="RS-SHL-BINS-V13-230101"/>
    <m/>
    <n v="0.13695535714285714"/>
    <n v="0.13695535714285714"/>
    <n v="0.13695535714285714"/>
    <n v="0.13695535714285714"/>
    <n v="1"/>
    <n v="1"/>
    <n v="1"/>
    <n v="1"/>
    <n v="0"/>
    <n v="0"/>
    <n v="0"/>
    <n v="0"/>
    <n v="0"/>
    <n v="1"/>
    <n v="1"/>
    <n v="1"/>
    <n v="1"/>
    <n v="1"/>
    <n v="1"/>
    <n v="1"/>
    <n v="1"/>
    <m/>
    <m/>
    <n v="0.13695535714285714"/>
    <m/>
    <n v="0"/>
    <n v="0"/>
    <m/>
    <m/>
    <n v="0.13695535714285714"/>
    <s v="No savings impacts with existing measure assumptions."/>
    <n v="0"/>
    <n v="0"/>
    <n v="0"/>
    <m/>
    <m/>
    <n v="0.13695535714285714"/>
    <m/>
    <n v="0"/>
    <n v="0"/>
    <m/>
    <m/>
    <n v="0.13695535714285714"/>
    <m/>
    <n v="0"/>
    <n v="0"/>
    <n v="0"/>
    <n v="0"/>
    <n v="0"/>
    <n v="0"/>
    <n v="0"/>
    <s v="NA"/>
    <m/>
  </r>
  <r>
    <s v="NSG"/>
    <x v="4"/>
    <x v="6"/>
    <s v="Whole Building - Prescriptive"/>
    <x v="86"/>
    <n v="0"/>
    <s v="SF"/>
    <x v="3"/>
    <s v="5.6.3"/>
    <s v="sq ft"/>
    <n v="0"/>
    <n v="0"/>
    <n v="0"/>
    <n v="0"/>
    <s v="RS-SHL-FINS-V14-230101"/>
    <m/>
    <n v="0.10489255765199164"/>
    <n v="0.10489255765199164"/>
    <n v="0.10489255765199164"/>
    <n v="0.10489255765199164"/>
    <n v="1"/>
    <n v="1"/>
    <n v="1"/>
    <n v="1"/>
    <n v="0"/>
    <n v="0"/>
    <n v="0"/>
    <n v="0"/>
    <n v="0"/>
    <n v="1"/>
    <n v="1"/>
    <n v="1"/>
    <n v="1"/>
    <n v="1"/>
    <n v="1"/>
    <n v="1"/>
    <n v="1"/>
    <m/>
    <m/>
    <n v="0.10489255765199164"/>
    <m/>
    <n v="0"/>
    <n v="0"/>
    <m/>
    <m/>
    <n v="0.10489255765199164"/>
    <s v="No savings impacts with existing measure assumptions."/>
    <n v="0"/>
    <n v="0"/>
    <n v="0"/>
    <m/>
    <m/>
    <n v="0.10489255765199164"/>
    <m/>
    <n v="0"/>
    <n v="0"/>
    <m/>
    <m/>
    <n v="0.10489255765199164"/>
    <m/>
    <n v="0"/>
    <n v="0"/>
    <n v="0"/>
    <n v="0"/>
    <n v="0"/>
    <n v="0"/>
    <n v="0"/>
    <s v="NA"/>
    <m/>
  </r>
  <r>
    <s v="NSG"/>
    <x v="4"/>
    <x v="6"/>
    <s v="Whole Building - Prescriptive"/>
    <x v="28"/>
    <s v="≥88% AFUE, &lt;300MBh"/>
    <s v="MF"/>
    <x v="3"/>
    <s v="4.4.10"/>
    <s v="MBH"/>
    <n v="0"/>
    <n v="0"/>
    <n v="0"/>
    <n v="0"/>
    <s v="CI-HVC-BOIL-V10-230101"/>
    <m/>
    <n v="0.79095238095238163"/>
    <n v="0.79095238095238163"/>
    <n v="0.79095238095238163"/>
    <n v="0.79095238095238163"/>
    <n v="1"/>
    <n v="1"/>
    <n v="1"/>
    <n v="1"/>
    <n v="0"/>
    <n v="0"/>
    <n v="0"/>
    <n v="0"/>
    <n v="0"/>
    <n v="1"/>
    <n v="1"/>
    <n v="1"/>
    <n v="1"/>
    <n v="1"/>
    <n v="1"/>
    <n v="1"/>
    <n v="1"/>
    <m/>
    <m/>
    <n v="0.79095238095238163"/>
    <m/>
    <n v="0"/>
    <n v="0"/>
    <m/>
    <m/>
    <n v="0.79095238095238163"/>
    <s v="n/a"/>
    <n v="0"/>
    <n v="0"/>
    <n v="0"/>
    <m/>
    <m/>
    <n v="0.79095238095238163"/>
    <m/>
    <n v="0"/>
    <n v="0"/>
    <m/>
    <m/>
    <n v="0.79095238095238163"/>
    <m/>
    <n v="0"/>
    <n v="0"/>
    <n v="0"/>
    <n v="0"/>
    <n v="0"/>
    <n v="0"/>
    <n v="0"/>
    <s v="NA"/>
    <m/>
  </r>
  <r>
    <s v="NSG"/>
    <x v="4"/>
    <x v="6"/>
    <s v="Whole Building - Prescriptive"/>
    <x v="28"/>
    <s v="≥88% AFUE, ≥300MBh TE"/>
    <s v="MF"/>
    <x v="3"/>
    <s v="4.4.10"/>
    <s v="MBH"/>
    <n v="0"/>
    <n v="0"/>
    <n v="0"/>
    <n v="0"/>
    <s v="CI-HVC-BOIL-V10-230101"/>
    <m/>
    <n v="1.6609999999999991"/>
    <n v="1.6609999999999991"/>
    <n v="1.6609999999999991"/>
    <n v="1.6609999999999991"/>
    <n v="1"/>
    <n v="1"/>
    <n v="1"/>
    <n v="1"/>
    <n v="0"/>
    <n v="0"/>
    <n v="0"/>
    <n v="0"/>
    <n v="0"/>
    <n v="1"/>
    <n v="1"/>
    <n v="1"/>
    <n v="1"/>
    <n v="1"/>
    <n v="1"/>
    <n v="1"/>
    <n v="1"/>
    <m/>
    <m/>
    <n v="1.6609999999999991"/>
    <m/>
    <n v="0"/>
    <n v="0"/>
    <m/>
    <m/>
    <n v="1.6609999999999991"/>
    <s v="n/a"/>
    <n v="0"/>
    <n v="0"/>
    <n v="0"/>
    <m/>
    <m/>
    <n v="1.6609999999999991"/>
    <m/>
    <n v="0"/>
    <n v="0"/>
    <m/>
    <m/>
    <n v="1.6609999999999991"/>
    <m/>
    <n v="0"/>
    <n v="0"/>
    <n v="0"/>
    <n v="0"/>
    <n v="0"/>
    <n v="0"/>
    <n v="0"/>
    <s v="NA"/>
    <m/>
  </r>
  <r>
    <s v="NSG"/>
    <x v="4"/>
    <x v="6"/>
    <s v="Whole Building - Prescriptive"/>
    <x v="34"/>
    <n v="0"/>
    <s v="MF"/>
    <x v="3"/>
    <s v="4.4.4"/>
    <s v="MBH"/>
    <n v="0"/>
    <n v="0"/>
    <n v="0"/>
    <n v="0"/>
    <s v="CI-HVC-BLRC-V04-210101"/>
    <m/>
    <n v="1.3288"/>
    <n v="1.3288"/>
    <n v="1.3288"/>
    <n v="1.3288"/>
    <n v="1"/>
    <n v="1"/>
    <n v="1"/>
    <n v="1"/>
    <n v="0"/>
    <n v="0"/>
    <n v="0"/>
    <n v="0"/>
    <n v="0"/>
    <n v="1"/>
    <n v="1"/>
    <n v="1"/>
    <n v="1"/>
    <n v="1"/>
    <n v="1"/>
    <n v="1"/>
    <n v="1"/>
    <m/>
    <m/>
    <n v="1.3288"/>
    <m/>
    <n v="0"/>
    <n v="0"/>
    <m/>
    <m/>
    <n v="1.3288"/>
    <s v="n/a"/>
    <n v="0"/>
    <n v="0"/>
    <n v="0"/>
    <m/>
    <m/>
    <n v="1.3288"/>
    <m/>
    <n v="0"/>
    <n v="0"/>
    <m/>
    <m/>
    <n v="1.3288"/>
    <m/>
    <n v="0"/>
    <n v="0"/>
    <n v="0"/>
    <n v="0"/>
    <n v="0"/>
    <n v="0"/>
    <n v="0"/>
    <s v="NA"/>
    <m/>
  </r>
  <r>
    <s v="NSG"/>
    <x v="4"/>
    <x v="6"/>
    <s v="Whole Building - Prescriptive"/>
    <x v="65"/>
    <s v="&gt;95% AFUE"/>
    <s v="MF"/>
    <x v="3"/>
    <s v="5.3.7"/>
    <s v="each"/>
    <n v="0"/>
    <n v="0"/>
    <n v="0"/>
    <n v="0"/>
    <s v="RS-HVC-GHEF-V12-230101"/>
    <m/>
    <n v="185.63073361823353"/>
    <n v="185.63073361823353"/>
    <n v="185.63073361823353"/>
    <n v="185.63073361823353"/>
    <n v="1"/>
    <n v="1"/>
    <n v="1"/>
    <n v="1"/>
    <n v="0"/>
    <n v="0"/>
    <n v="0"/>
    <n v="0"/>
    <n v="0"/>
    <n v="1"/>
    <n v="1"/>
    <n v="1"/>
    <n v="1"/>
    <n v="1"/>
    <n v="1"/>
    <n v="1"/>
    <n v="1"/>
    <m/>
    <m/>
    <n v="185.63073361823353"/>
    <m/>
    <n v="0"/>
    <n v="0"/>
    <m/>
    <m/>
    <n v="185.63073361823353"/>
    <s v="n/a"/>
    <n v="0"/>
    <n v="0"/>
    <n v="0"/>
    <m/>
    <m/>
    <n v="185.63073361823353"/>
    <m/>
    <n v="0"/>
    <n v="0"/>
    <m/>
    <m/>
    <n v="185.63073361823353"/>
    <m/>
    <n v="0"/>
    <n v="0"/>
    <n v="0"/>
    <n v="0"/>
    <n v="0"/>
    <n v="0"/>
    <n v="0"/>
    <s v="NA"/>
    <m/>
  </r>
  <r>
    <s v="NSG"/>
    <x v="4"/>
    <x v="6"/>
    <s v="Whole Building - Prescriptive"/>
    <x v="4"/>
    <s v="Hyd. Boiler Sm ≤1.25&quot;"/>
    <s v="MF"/>
    <x v="3"/>
    <s v="&quot;3 - Res Pipe Insulation&quot; worksheet"/>
    <s v="ft"/>
    <n v="0"/>
    <n v="0"/>
    <n v="0"/>
    <n v="0"/>
    <n v="0"/>
    <m/>
    <n v="2.0682348076923076"/>
    <n v="2.0682348076923076"/>
    <n v="2.0682348076923076"/>
    <n v="2.0682348076923076"/>
    <n v="1"/>
    <n v="1"/>
    <n v="1"/>
    <n v="1"/>
    <n v="0"/>
    <n v="0"/>
    <n v="0"/>
    <n v="0"/>
    <n v="0"/>
    <n v="1"/>
    <n v="1"/>
    <n v="1"/>
    <n v="1"/>
    <n v="1"/>
    <n v="1"/>
    <n v="1"/>
    <n v="1"/>
    <m/>
    <m/>
    <n v="2.0682348076923076"/>
    <m/>
    <n v="0"/>
    <n v="0"/>
    <m/>
    <m/>
    <n v="2.0682348076923076"/>
    <s v="n/a"/>
    <n v="0"/>
    <n v="0"/>
    <n v="0"/>
    <m/>
    <m/>
    <n v="2.0682348076923076"/>
    <m/>
    <n v="0"/>
    <n v="0"/>
    <m/>
    <m/>
    <n v="2.0682348076923076"/>
    <m/>
    <n v="0"/>
    <n v="0"/>
    <n v="0"/>
    <n v="0"/>
    <n v="0"/>
    <n v="0"/>
    <n v="0"/>
    <s v="NA"/>
    <m/>
  </r>
  <r>
    <s v="NSG"/>
    <x v="4"/>
    <x v="6"/>
    <s v="Whole Building - Prescriptive"/>
    <x v="4"/>
    <s v="Hyd. Boiler Med 1.25-2&quot;"/>
    <s v="MF"/>
    <x v="3"/>
    <s v="&quot;3 - Res Pipe Insulation&quot; worksheet"/>
    <s v="ft"/>
    <n v="0"/>
    <n v="0"/>
    <n v="0"/>
    <n v="0"/>
    <n v="0"/>
    <m/>
    <n v="3.6034773504273505"/>
    <n v="3.6034773504273505"/>
    <n v="3.6034773504273505"/>
    <n v="3.6034773504273505"/>
    <n v="1"/>
    <n v="1"/>
    <n v="1"/>
    <n v="1"/>
    <n v="0"/>
    <n v="0"/>
    <n v="0"/>
    <n v="0"/>
    <n v="0"/>
    <n v="1"/>
    <n v="1"/>
    <n v="1"/>
    <n v="1"/>
    <n v="1"/>
    <n v="1"/>
    <n v="1"/>
    <n v="1"/>
    <m/>
    <m/>
    <n v="3.6034773504273505"/>
    <m/>
    <n v="0"/>
    <n v="0"/>
    <m/>
    <m/>
    <n v="3.6034773504273505"/>
    <s v="n/a"/>
    <n v="0"/>
    <n v="0"/>
    <n v="0"/>
    <m/>
    <m/>
    <n v="3.6034773504273505"/>
    <m/>
    <n v="0"/>
    <n v="0"/>
    <m/>
    <m/>
    <n v="3.6034773504273505"/>
    <m/>
    <n v="0"/>
    <n v="0"/>
    <n v="0"/>
    <n v="0"/>
    <n v="0"/>
    <n v="0"/>
    <n v="0"/>
    <s v="NA"/>
    <m/>
  </r>
  <r>
    <s v="NSG"/>
    <x v="4"/>
    <x v="6"/>
    <s v="Whole Building - Prescriptive"/>
    <x v="4"/>
    <s v="Hyd. Boiler Large ≥2&quot;"/>
    <s v="MF"/>
    <x v="3"/>
    <s v="&quot;3 - Res Pipe Insulation&quot; worksheet"/>
    <s v="ft"/>
    <n v="0"/>
    <n v="0"/>
    <n v="0"/>
    <n v="0"/>
    <n v="0"/>
    <m/>
    <n v="6.1867824786324785"/>
    <n v="6.1867824786324785"/>
    <n v="6.1867824786324785"/>
    <n v="6.1867824786324785"/>
    <n v="1"/>
    <n v="1"/>
    <n v="1"/>
    <n v="1"/>
    <n v="0"/>
    <n v="0"/>
    <n v="0"/>
    <n v="0"/>
    <n v="0"/>
    <n v="1"/>
    <n v="1"/>
    <n v="1"/>
    <n v="1"/>
    <n v="1"/>
    <n v="1"/>
    <n v="1"/>
    <n v="1"/>
    <m/>
    <m/>
    <n v="6.1867824786324785"/>
    <m/>
    <n v="0"/>
    <n v="0"/>
    <m/>
    <m/>
    <n v="6.1867824786324785"/>
    <s v="n/a"/>
    <n v="0"/>
    <n v="0"/>
    <n v="0"/>
    <m/>
    <m/>
    <n v="6.1867824786324785"/>
    <m/>
    <n v="0"/>
    <n v="0"/>
    <m/>
    <m/>
    <n v="6.1867824786324785"/>
    <m/>
    <n v="0"/>
    <n v="0"/>
    <n v="0"/>
    <n v="0"/>
    <n v="0"/>
    <n v="0"/>
    <n v="0"/>
    <s v="NA"/>
    <m/>
  </r>
  <r>
    <s v="NSG"/>
    <x v="4"/>
    <x v="6"/>
    <s v="Whole Building - Prescriptive"/>
    <x v="4"/>
    <s v="HW Large &gt;4&quot;"/>
    <s v="MF/CI/SMB"/>
    <x v="3"/>
    <s v="&quot;3 - Res Pipe Insulation&quot; worksheet"/>
    <s v="ft"/>
    <n v="0"/>
    <n v="0"/>
    <n v="0"/>
    <n v="0"/>
    <n v="0"/>
    <m/>
    <n v="9.0407613085908682"/>
    <n v="9.0407613085908682"/>
    <n v="9.0407613085908682"/>
    <n v="9.0407613085908682"/>
    <n v="1"/>
    <n v="1"/>
    <n v="1"/>
    <n v="1"/>
    <n v="0"/>
    <n v="0"/>
    <n v="0"/>
    <n v="0"/>
    <n v="0"/>
    <n v="1"/>
    <n v="1"/>
    <n v="1"/>
    <n v="1"/>
    <n v="1"/>
    <n v="1"/>
    <n v="1"/>
    <n v="1"/>
    <m/>
    <m/>
    <n v="9.0407613085908682"/>
    <m/>
    <n v="0"/>
    <n v="0"/>
    <m/>
    <m/>
    <n v="9.0407613085908682"/>
    <s v="n/a"/>
    <n v="0"/>
    <n v="0"/>
    <n v="0"/>
    <m/>
    <m/>
    <n v="9.0407613085908682"/>
    <m/>
    <n v="0"/>
    <n v="0"/>
    <m/>
    <m/>
    <n v="9.0407613085908682"/>
    <m/>
    <n v="0"/>
    <n v="0"/>
    <n v="0"/>
    <n v="0"/>
    <n v="0"/>
    <n v="0"/>
    <n v="0"/>
    <s v="NA"/>
    <m/>
  </r>
  <r>
    <s v="NSG"/>
    <x v="4"/>
    <x v="6"/>
    <s v="Whole Building - Prescriptive"/>
    <x v="4"/>
    <s v="Steam - Small 1&quot; to 2&quot;"/>
    <s v="MF"/>
    <x v="3"/>
    <s v="&quot;3 - Res Pipe Insulation&quot; worksheet"/>
    <s v="ft"/>
    <n v="0"/>
    <n v="0"/>
    <n v="0"/>
    <n v="0"/>
    <n v="0"/>
    <m/>
    <n v="3.967097058288509"/>
    <n v="3.967097058288509"/>
    <n v="3.967097058288509"/>
    <n v="3.967097058288509"/>
    <n v="1"/>
    <n v="1"/>
    <n v="1"/>
    <n v="1"/>
    <n v="0"/>
    <n v="0"/>
    <n v="0"/>
    <n v="0"/>
    <n v="0"/>
    <n v="1"/>
    <n v="1"/>
    <n v="1"/>
    <n v="1"/>
    <n v="1"/>
    <n v="1"/>
    <n v="1"/>
    <n v="1"/>
    <m/>
    <m/>
    <n v="3.967097058288509"/>
    <m/>
    <n v="0"/>
    <n v="0"/>
    <m/>
    <m/>
    <n v="3.967097058288509"/>
    <s v="n/a"/>
    <n v="0"/>
    <n v="0"/>
    <n v="0"/>
    <m/>
    <m/>
    <n v="3.967097058288509"/>
    <m/>
    <n v="0"/>
    <n v="0"/>
    <m/>
    <m/>
    <n v="3.967097058288509"/>
    <m/>
    <n v="0"/>
    <n v="0"/>
    <n v="0"/>
    <n v="0"/>
    <n v="0"/>
    <n v="0"/>
    <n v="0"/>
    <s v="NA"/>
    <m/>
  </r>
  <r>
    <s v="NSG"/>
    <x v="4"/>
    <x v="6"/>
    <s v="Whole Building - Prescriptive"/>
    <x v="4"/>
    <s v="Steam - Med 2.1&quot; to 5&quot;"/>
    <s v="MF"/>
    <x v="3"/>
    <s v="&quot;3 - Res Pipe Insulation&quot; worksheet"/>
    <s v="ft"/>
    <n v="0"/>
    <n v="0"/>
    <n v="0"/>
    <n v="0"/>
    <n v="0"/>
    <m/>
    <n v="15.954497207020932"/>
    <n v="15.954497207020932"/>
    <n v="15.954497207020932"/>
    <n v="15.954497207020932"/>
    <n v="1"/>
    <n v="1"/>
    <n v="1"/>
    <n v="1"/>
    <n v="0"/>
    <n v="0"/>
    <n v="0"/>
    <n v="0"/>
    <n v="0"/>
    <n v="1"/>
    <n v="1"/>
    <n v="1"/>
    <n v="1"/>
    <n v="1"/>
    <n v="1"/>
    <n v="1"/>
    <n v="1"/>
    <m/>
    <m/>
    <n v="15.954497207020932"/>
    <m/>
    <n v="0"/>
    <n v="0"/>
    <m/>
    <m/>
    <n v="15.954497207020932"/>
    <s v="n/a"/>
    <n v="0"/>
    <n v="0"/>
    <n v="0"/>
    <m/>
    <m/>
    <n v="15.954497207020932"/>
    <m/>
    <n v="0"/>
    <n v="0"/>
    <m/>
    <m/>
    <n v="15.954497207020932"/>
    <m/>
    <n v="0"/>
    <n v="0"/>
    <n v="0"/>
    <n v="0"/>
    <n v="0"/>
    <n v="0"/>
    <n v="0"/>
    <s v="NA"/>
    <m/>
  </r>
  <r>
    <s v="NSG"/>
    <x v="4"/>
    <x v="6"/>
    <s v="Whole Building - Prescriptive"/>
    <x v="4"/>
    <s v="Steam - Large 5.1&quot; to 8&quot;"/>
    <s v="MF"/>
    <x v="3"/>
    <s v="&quot;3 - Res Pipe Insulation&quot; worksheet"/>
    <s v="ft"/>
    <n v="0"/>
    <n v="0"/>
    <n v="0"/>
    <n v="0"/>
    <n v="0"/>
    <m/>
    <n v="31.133964854103496"/>
    <n v="31.133964854103496"/>
    <n v="31.133964854103496"/>
    <n v="31.133964854103496"/>
    <n v="1"/>
    <n v="1"/>
    <n v="1"/>
    <n v="1"/>
    <n v="0"/>
    <n v="0"/>
    <n v="0"/>
    <n v="0"/>
    <n v="0"/>
    <n v="1"/>
    <n v="1"/>
    <n v="1"/>
    <n v="1"/>
    <n v="1"/>
    <n v="1"/>
    <n v="1"/>
    <n v="1"/>
    <m/>
    <m/>
    <n v="31.133964854103496"/>
    <m/>
    <n v="0"/>
    <n v="0"/>
    <m/>
    <m/>
    <n v="31.133964854103496"/>
    <s v="n/a"/>
    <n v="0"/>
    <n v="0"/>
    <n v="0"/>
    <m/>
    <m/>
    <n v="31.133964854103496"/>
    <m/>
    <n v="0"/>
    <n v="0"/>
    <m/>
    <m/>
    <n v="31.133964854103496"/>
    <m/>
    <n v="0"/>
    <n v="0"/>
    <n v="0"/>
    <n v="0"/>
    <n v="0"/>
    <n v="0"/>
    <n v="0"/>
    <s v="NA"/>
    <m/>
  </r>
  <r>
    <s v="NSG"/>
    <x v="4"/>
    <x v="6"/>
    <s v="Whole Building - Prescriptive"/>
    <x v="4"/>
    <s v="Steam - X-Large &gt;8&quot;"/>
    <s v="MF"/>
    <x v="3"/>
    <s v="&quot;3 - Res Pipe Insulation&quot; worksheet"/>
    <s v="ft"/>
    <n v="0"/>
    <n v="0"/>
    <n v="0"/>
    <n v="0"/>
    <n v="0"/>
    <m/>
    <n v="44.814401171573145"/>
    <n v="44.814401171573145"/>
    <n v="44.814401171573145"/>
    <n v="44.814401171573145"/>
    <n v="1"/>
    <n v="1"/>
    <n v="1"/>
    <n v="1"/>
    <n v="0"/>
    <n v="0"/>
    <n v="0"/>
    <n v="0"/>
    <n v="0"/>
    <n v="1"/>
    <n v="1"/>
    <n v="1"/>
    <n v="1"/>
    <n v="1"/>
    <n v="1"/>
    <n v="1"/>
    <n v="1"/>
    <m/>
    <m/>
    <n v="44.814401171573145"/>
    <m/>
    <n v="0"/>
    <n v="0"/>
    <m/>
    <m/>
    <n v="44.814401171573145"/>
    <s v="n/a"/>
    <n v="0"/>
    <n v="0"/>
    <n v="0"/>
    <m/>
    <m/>
    <n v="44.814401171573145"/>
    <m/>
    <n v="0"/>
    <n v="0"/>
    <m/>
    <m/>
    <n v="44.814401171573145"/>
    <m/>
    <n v="0"/>
    <n v="0"/>
    <n v="0"/>
    <n v="0"/>
    <n v="0"/>
    <n v="0"/>
    <n v="0"/>
    <s v="NA"/>
    <m/>
  </r>
  <r>
    <s v="NSG"/>
    <x v="4"/>
    <x v="6"/>
    <s v="Whole Building - Prescriptive"/>
    <x v="4"/>
    <s v="Steam Small Fitting"/>
    <s v="MF"/>
    <x v="3"/>
    <s v="&quot;3 - Res Pipe Insulation&quot; worksheet"/>
    <s v="each"/>
    <n v="0"/>
    <n v="0"/>
    <n v="0"/>
    <n v="0"/>
    <n v="0"/>
    <m/>
    <n v="1.9537953012070903"/>
    <n v="1.9537953012070903"/>
    <n v="1.9537953012070903"/>
    <n v="1.9537953012070903"/>
    <n v="1"/>
    <n v="1"/>
    <n v="1"/>
    <n v="1"/>
    <n v="0"/>
    <n v="0"/>
    <n v="0"/>
    <n v="0"/>
    <n v="0"/>
    <n v="1"/>
    <n v="1"/>
    <n v="1"/>
    <n v="1"/>
    <n v="1"/>
    <n v="1"/>
    <n v="1"/>
    <n v="1"/>
    <m/>
    <m/>
    <n v="1.9537953012070903"/>
    <m/>
    <n v="0"/>
    <n v="0"/>
    <m/>
    <m/>
    <n v="1.9537953012070903"/>
    <s v="n/a"/>
    <n v="0"/>
    <n v="0"/>
    <n v="0"/>
    <m/>
    <m/>
    <n v="1.9537953012070903"/>
    <m/>
    <n v="0"/>
    <n v="0"/>
    <m/>
    <m/>
    <n v="1.9537953012070903"/>
    <m/>
    <n v="0"/>
    <n v="0"/>
    <n v="0"/>
    <n v="0"/>
    <n v="0"/>
    <n v="0"/>
    <n v="0"/>
    <s v="NA"/>
    <m/>
  </r>
  <r>
    <s v="NSG"/>
    <x v="4"/>
    <x v="6"/>
    <s v="Whole Building - Prescriptive"/>
    <x v="4"/>
    <s v="Steam X-Large Fitting"/>
    <s v="MF"/>
    <x v="3"/>
    <s v="&quot;3 - Res Pipe Insulation&quot; worksheet"/>
    <s v="each"/>
    <n v="0"/>
    <n v="0"/>
    <n v="0"/>
    <n v="0"/>
    <n v="0"/>
    <m/>
    <n v="113.8883886472908"/>
    <n v="113.8883886472908"/>
    <n v="113.8883886472908"/>
    <n v="113.8883886472908"/>
    <n v="1"/>
    <n v="1"/>
    <n v="1"/>
    <n v="1"/>
    <n v="0"/>
    <n v="0"/>
    <n v="0"/>
    <n v="0"/>
    <n v="0"/>
    <n v="1"/>
    <n v="1"/>
    <n v="1"/>
    <n v="1"/>
    <n v="1"/>
    <n v="1"/>
    <n v="1"/>
    <n v="1"/>
    <m/>
    <m/>
    <n v="113.8883886472908"/>
    <m/>
    <n v="0"/>
    <n v="0"/>
    <m/>
    <m/>
    <n v="113.8883886472908"/>
    <s v="n/a"/>
    <n v="0"/>
    <n v="0"/>
    <n v="0"/>
    <m/>
    <m/>
    <n v="113.8883886472908"/>
    <m/>
    <n v="0"/>
    <n v="0"/>
    <m/>
    <m/>
    <n v="113.8883886472908"/>
    <m/>
    <n v="0"/>
    <n v="0"/>
    <n v="0"/>
    <n v="0"/>
    <n v="0"/>
    <n v="0"/>
    <n v="0"/>
    <s v="NA"/>
    <m/>
  </r>
  <r>
    <s v="NSG"/>
    <x v="4"/>
    <x v="6"/>
    <s v="Whole Building - Prescriptive"/>
    <x v="4"/>
    <s v="Steam Small Valve"/>
    <s v="MF"/>
    <x v="3"/>
    <s v="&quot;3 - Res Pipe Insulation&quot; worksheet"/>
    <s v="each"/>
    <n v="0"/>
    <n v="0"/>
    <n v="0"/>
    <n v="0"/>
    <n v="0"/>
    <m/>
    <n v="11.028529822042056"/>
    <n v="11.028529822042056"/>
    <n v="11.028529822042056"/>
    <n v="11.028529822042056"/>
    <n v="1"/>
    <n v="1"/>
    <n v="1"/>
    <n v="1"/>
    <n v="0"/>
    <n v="0"/>
    <n v="0"/>
    <n v="0"/>
    <n v="0"/>
    <n v="1"/>
    <n v="1"/>
    <n v="1"/>
    <n v="1"/>
    <n v="1"/>
    <n v="1"/>
    <n v="1"/>
    <n v="1"/>
    <m/>
    <m/>
    <n v="11.028529822042056"/>
    <m/>
    <n v="0"/>
    <n v="0"/>
    <m/>
    <m/>
    <n v="11.028529822042056"/>
    <s v="n/a"/>
    <n v="0"/>
    <n v="0"/>
    <n v="0"/>
    <m/>
    <m/>
    <n v="11.028529822042056"/>
    <m/>
    <n v="0"/>
    <n v="0"/>
    <m/>
    <m/>
    <n v="11.028529822042056"/>
    <m/>
    <n v="0"/>
    <n v="0"/>
    <n v="0"/>
    <n v="0"/>
    <n v="0"/>
    <n v="0"/>
    <n v="0"/>
    <s v="NA"/>
    <m/>
  </r>
  <r>
    <s v="NSG"/>
    <x v="4"/>
    <x v="6"/>
    <s v="Whole Building - Prescriptive"/>
    <x v="4"/>
    <s v="Steam Med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x v="6"/>
    <s v="Whole Building - Prescriptive"/>
    <x v="4"/>
    <s v="Steam Large Valve"/>
    <s v="MF"/>
    <x v="3"/>
    <s v="&quot;3 - Res Pipe Insulation&quot; worksheet"/>
    <s v="each"/>
    <n v="0"/>
    <n v="0"/>
    <n v="0"/>
    <n v="0"/>
    <n v="0"/>
    <m/>
    <n v="133.90978522057964"/>
    <n v="133.90978522057964"/>
    <n v="133.90978522057964"/>
    <n v="133.90978522057964"/>
    <n v="1"/>
    <n v="1"/>
    <n v="1"/>
    <n v="1"/>
    <n v="0"/>
    <n v="0"/>
    <n v="0"/>
    <n v="0"/>
    <n v="0"/>
    <n v="1"/>
    <n v="1"/>
    <n v="1"/>
    <n v="1"/>
    <n v="1"/>
    <n v="1"/>
    <n v="1"/>
    <n v="1"/>
    <m/>
    <m/>
    <n v="133.90978522057964"/>
    <m/>
    <n v="0"/>
    <n v="0"/>
    <m/>
    <m/>
    <n v="133.90978522057964"/>
    <s v="n/a"/>
    <n v="0"/>
    <n v="0"/>
    <n v="0"/>
    <m/>
    <m/>
    <n v="133.90978522057964"/>
    <m/>
    <n v="0"/>
    <n v="0"/>
    <m/>
    <m/>
    <n v="133.90978522057964"/>
    <m/>
    <n v="0"/>
    <n v="0"/>
    <n v="0"/>
    <n v="0"/>
    <n v="0"/>
    <n v="0"/>
    <n v="0"/>
    <s v="NA"/>
    <m/>
  </r>
  <r>
    <s v="NSG"/>
    <x v="4"/>
    <x v="6"/>
    <s v="Whole Building - Prescriptive"/>
    <x v="4"/>
    <s v="Steam X-Large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x v="6"/>
    <s v="Whole Building - Prescriptive"/>
    <x v="35"/>
    <s v=" &gt;=1500MBH, &gt;=82% TE"/>
    <s v="MF"/>
    <x v="3"/>
    <s v="4.4.10"/>
    <s v="MBH"/>
    <n v="0"/>
    <n v="0"/>
    <n v="0"/>
    <n v="0"/>
    <s v="CI-HVC-BOIL-V10-230101"/>
    <m/>
    <n v="0.85179487179487012"/>
    <n v="0.85179487179487012"/>
    <n v="0.85179487179487012"/>
    <n v="0.85179487179487012"/>
    <n v="1"/>
    <n v="1"/>
    <n v="1"/>
    <n v="1"/>
    <n v="0"/>
    <n v="0"/>
    <n v="0"/>
    <n v="0"/>
    <n v="0"/>
    <n v="1"/>
    <n v="1"/>
    <n v="1"/>
    <n v="1"/>
    <n v="1"/>
    <n v="1"/>
    <n v="1"/>
    <n v="1"/>
    <m/>
    <m/>
    <n v="0.85179487179487012"/>
    <m/>
    <n v="0"/>
    <n v="0"/>
    <m/>
    <m/>
    <n v="0.63075949367088424"/>
    <s v="n/a"/>
    <n v="0"/>
    <n v="0"/>
    <n v="0"/>
    <m/>
    <m/>
    <n v="0.63075949367088424"/>
    <m/>
    <n v="0"/>
    <n v="0"/>
    <m/>
    <m/>
    <n v="0.63075949367088424"/>
    <m/>
    <n v="0"/>
    <n v="0"/>
    <n v="0"/>
    <n v="0"/>
    <n v="0"/>
    <n v="0"/>
    <n v="0"/>
    <s v="NA"/>
    <m/>
  </r>
  <r>
    <s v="NSG"/>
    <x v="4"/>
    <x v="6"/>
    <s v="Whole Building - Prescriptive"/>
    <x v="41"/>
    <s v="Test"/>
    <s v="MF"/>
    <x v="3"/>
    <n v="0"/>
    <s v="each"/>
    <n v="0"/>
    <n v="0"/>
    <n v="0"/>
    <n v="0"/>
    <n v="0"/>
    <m/>
    <n v="0"/>
    <n v="0"/>
    <n v="0"/>
    <n v="0"/>
    <n v="1"/>
    <n v="1"/>
    <n v="1"/>
    <n v="1"/>
    <n v="0"/>
    <n v="0"/>
    <n v="0"/>
    <n v="0"/>
    <n v="0"/>
    <n v="1"/>
    <n v="1"/>
    <n v="1"/>
    <n v="1"/>
    <n v="1"/>
    <n v="1"/>
    <n v="1"/>
    <n v="1"/>
    <m/>
    <m/>
    <n v="0"/>
    <m/>
    <n v="0"/>
    <n v="0"/>
    <m/>
    <m/>
    <n v="0"/>
    <s v="n/a"/>
    <n v="0"/>
    <n v="0"/>
    <n v="0"/>
    <m/>
    <m/>
    <n v="0"/>
    <m/>
    <n v="0"/>
    <n v="0"/>
    <m/>
    <m/>
    <n v="0"/>
    <m/>
    <n v="0"/>
    <n v="0"/>
    <n v="0"/>
    <n v="0"/>
    <n v="0"/>
    <n v="0"/>
    <n v="0"/>
    <s v="NA"/>
    <m/>
  </r>
  <r>
    <s v="NSG"/>
    <x v="4"/>
    <x v="6"/>
    <s v="Whole Building - Prescriptive"/>
    <x v="46"/>
    <n v="0"/>
    <s v="MF"/>
    <x v="3"/>
    <s v="4.3.8"/>
    <s v="living unit"/>
    <n v="0"/>
    <n v="0"/>
    <n v="0"/>
    <n v="0"/>
    <s v="CI-HWE-CDHW-V04-230101"/>
    <m/>
    <n v="62.687100553999997"/>
    <n v="62.687100553999997"/>
    <n v="62.687100553999997"/>
    <n v="62.687100553999997"/>
    <n v="1"/>
    <n v="1"/>
    <n v="1"/>
    <n v="1"/>
    <n v="0"/>
    <n v="0"/>
    <n v="0"/>
    <n v="0"/>
    <n v="0"/>
    <n v="1"/>
    <n v="1"/>
    <n v="1"/>
    <n v="1"/>
    <n v="1"/>
    <n v="1"/>
    <n v="1"/>
    <n v="1"/>
    <m/>
    <m/>
    <n v="62.687100553999997"/>
    <m/>
    <n v="0"/>
    <n v="0"/>
    <m/>
    <m/>
    <n v="58.563635988000001"/>
    <s v="Updated inputs to new multifamily assumptions"/>
    <n v="0"/>
    <n v="0"/>
    <n v="0"/>
    <m/>
    <m/>
    <n v="58.563635988000001"/>
    <m/>
    <n v="0"/>
    <n v="0"/>
    <m/>
    <m/>
    <n v="58.563635988000001"/>
    <m/>
    <n v="0"/>
    <n v="0"/>
    <n v="0"/>
    <n v="0"/>
    <n v="0"/>
    <n v="0"/>
    <n v="0"/>
    <s v="NA"/>
    <m/>
  </r>
  <r>
    <s v="NSG"/>
    <x v="4"/>
    <x v="6"/>
    <s v="Whole Building - Prescriptive"/>
    <x v="12"/>
    <s v="Central/Indirect MF ≥88% TE"/>
    <s v="MF"/>
    <x v="3"/>
    <s v="4.3.7"/>
    <s v="living unit"/>
    <n v="0"/>
    <n v="0"/>
    <n v="0"/>
    <n v="0"/>
    <s v="CI-HWE-MDHW-V06-230101"/>
    <m/>
    <n v="453.64159574999974"/>
    <n v="453.64159574999974"/>
    <n v="453.64159574999974"/>
    <n v="453.64159574999974"/>
    <n v="1"/>
    <n v="1"/>
    <n v="1"/>
    <n v="1"/>
    <n v="0"/>
    <n v="0"/>
    <n v="0"/>
    <n v="0"/>
    <n v="0"/>
    <n v="1"/>
    <n v="1"/>
    <n v="1"/>
    <n v="1"/>
    <n v="1"/>
    <n v="1"/>
    <n v="1"/>
    <n v="1"/>
    <m/>
    <m/>
    <n v="474.72634597499967"/>
    <m/>
    <n v="0"/>
    <n v="0"/>
    <m/>
    <m/>
    <n v="474.72634597499967"/>
    <s v="n/a"/>
    <n v="0"/>
    <n v="0"/>
    <n v="0"/>
    <m/>
    <m/>
    <n v="474.72634597499967"/>
    <m/>
    <n v="0"/>
    <n v="0"/>
    <m/>
    <m/>
    <n v="474.72634597499967"/>
    <m/>
    <n v="0"/>
    <n v="0"/>
    <n v="0"/>
    <n v="0"/>
    <n v="0"/>
    <n v="0"/>
    <n v="0"/>
    <s v="NA"/>
    <m/>
  </r>
  <r>
    <s v="NSG"/>
    <x v="4"/>
    <x v="6"/>
    <s v="Whole Building - Prescriptive"/>
    <x v="12"/>
    <s v="Storage 0.67 EF"/>
    <s v="MF"/>
    <x v="3"/>
    <s v="4.3.1"/>
    <s v="each"/>
    <n v="0"/>
    <n v="0"/>
    <n v="0"/>
    <n v="0"/>
    <s v="CI-HWE-STWH-V09-230101"/>
    <m/>
    <n v="35.435517834876244"/>
    <n v="35.435517834876244"/>
    <n v="35.435517834876244"/>
    <n v="35.435517834876244"/>
    <n v="1"/>
    <n v="1"/>
    <n v="1"/>
    <n v="1"/>
    <n v="0"/>
    <n v="0"/>
    <n v="0"/>
    <n v="0"/>
    <n v="0"/>
    <n v="1"/>
    <n v="1"/>
    <n v="1"/>
    <n v="1"/>
    <n v="1"/>
    <n v="1"/>
    <n v="1"/>
    <n v="1"/>
    <m/>
    <m/>
    <n v="37.082520776497255"/>
    <m/>
    <n v="0"/>
    <n v="0"/>
    <m/>
    <m/>
    <n v="36.883152385225763"/>
    <s v="n/a"/>
    <n v="0"/>
    <n v="0"/>
    <n v="0"/>
    <m/>
    <m/>
    <n v="36.883152385225763"/>
    <m/>
    <n v="0"/>
    <n v="0"/>
    <m/>
    <m/>
    <n v="36.883152385225763"/>
    <m/>
    <n v="0"/>
    <n v="0"/>
    <n v="0"/>
    <n v="0"/>
    <n v="0"/>
    <n v="0"/>
    <n v="0"/>
    <s v="NA"/>
    <m/>
  </r>
  <r>
    <s v="NSG"/>
    <x v="4"/>
    <x v="6"/>
    <s v="Whole Building - Prescriptive"/>
    <x v="12"/>
    <s v="Tankless"/>
    <s v="MF"/>
    <x v="3"/>
    <s v="5.4.2"/>
    <s v="each"/>
    <n v="0"/>
    <n v="0"/>
    <n v="0"/>
    <n v="0"/>
    <s v="RS-HWE-GWHT-V10-220101"/>
    <m/>
    <n v="52.561472982403039"/>
    <n v="52.561472982403039"/>
    <n v="52.561472982403039"/>
    <n v="52.561472982403039"/>
    <n v="1"/>
    <n v="1"/>
    <n v="1"/>
    <n v="1"/>
    <n v="0"/>
    <n v="0"/>
    <n v="0"/>
    <n v="0"/>
    <n v="0"/>
    <n v="1"/>
    <n v="1"/>
    <n v="1"/>
    <n v="1"/>
    <n v="1"/>
    <n v="1"/>
    <n v="1"/>
    <n v="1"/>
    <m/>
    <m/>
    <n v="55.004471022430224"/>
    <m/>
    <n v="0"/>
    <n v="0"/>
    <m/>
    <m/>
    <n v="55.004471022430224"/>
    <s v="n/a"/>
    <n v="0"/>
    <n v="0"/>
    <n v="0"/>
    <m/>
    <m/>
    <n v="55.004471022430224"/>
    <m/>
    <n v="0"/>
    <n v="0"/>
    <m/>
    <m/>
    <n v="55.004471022430224"/>
    <m/>
    <n v="0"/>
    <n v="0"/>
    <n v="0"/>
    <n v="0"/>
    <n v="0"/>
    <n v="0"/>
    <n v="0"/>
    <s v="NA"/>
    <m/>
  </r>
  <r>
    <s v="NSG"/>
    <x v="4"/>
    <x v="6"/>
    <s v="Whole Building - Prescriptive"/>
    <x v="75"/>
    <n v="0"/>
    <s v="CI"/>
    <x v="3"/>
    <s v="4.4.27"/>
    <s v="CFM"/>
    <n v="0"/>
    <n v="0"/>
    <n v="0"/>
    <n v="0"/>
    <s v="CI-HVC-ERVE-V05-230101"/>
    <m/>
    <n v="0.47508182047227931"/>
    <n v="0.47508182047227931"/>
    <n v="0.47508182047227931"/>
    <n v="0.47508182047227931"/>
    <n v="1"/>
    <n v="1"/>
    <n v="1"/>
    <n v="1"/>
    <n v="0"/>
    <n v="0"/>
    <n v="0"/>
    <n v="0"/>
    <n v="0"/>
    <n v="1"/>
    <n v="1"/>
    <n v="1"/>
    <n v="1"/>
    <n v="1"/>
    <n v="1"/>
    <n v="1"/>
    <n v="1"/>
    <m/>
    <m/>
    <n v="0.47508182047227931"/>
    <m/>
    <n v="0"/>
    <n v="0"/>
    <m/>
    <m/>
    <n v="0.47508182047227931"/>
    <s v="n/a"/>
    <n v="0"/>
    <n v="0"/>
    <n v="0"/>
    <m/>
    <m/>
    <n v="0.47508182047227931"/>
    <m/>
    <n v="0"/>
    <n v="0"/>
    <m/>
    <m/>
    <n v="0.47508182047227931"/>
    <m/>
    <n v="0"/>
    <n v="0"/>
    <n v="0"/>
    <n v="0"/>
    <n v="0"/>
    <n v="0"/>
    <n v="0"/>
    <s v="NA"/>
    <m/>
  </r>
  <r>
    <s v="NSG"/>
    <x v="4"/>
    <x v="6"/>
    <s v="Whole Building - Public Housing"/>
    <x v="4"/>
    <s v="Boiler"/>
    <s v="MF"/>
    <x v="3"/>
    <s v="5.3.2"/>
    <s v="each"/>
    <n v="0"/>
    <n v="0"/>
    <n v="0"/>
    <n v="0"/>
    <s v="RS-HWE-PINS-V06-230101"/>
    <m/>
    <n v="0.63522312995661756"/>
    <n v="0.63522312995661756"/>
    <n v="0.63522312995661756"/>
    <n v="0.63522312995661756"/>
    <n v="1"/>
    <n v="1"/>
    <n v="1"/>
    <n v="1"/>
    <n v="0"/>
    <n v="0"/>
    <n v="0"/>
    <n v="0"/>
    <n v="0"/>
    <n v="1"/>
    <n v="1"/>
    <n v="1"/>
    <n v="1"/>
    <n v="1"/>
    <n v="1"/>
    <n v="1"/>
    <n v="1"/>
    <m/>
    <m/>
    <n v="1.0111854839419214"/>
    <m/>
    <n v="0"/>
    <n v="0"/>
    <m/>
    <m/>
    <n v="1.0111854839419214"/>
    <s v="n/a"/>
    <n v="0"/>
    <n v="0"/>
    <n v="0"/>
    <m/>
    <m/>
    <n v="1.0111854839419214"/>
    <m/>
    <n v="0"/>
    <n v="0"/>
    <m/>
    <m/>
    <n v="1.0111854839419214"/>
    <m/>
    <n v="0"/>
    <n v="0"/>
    <n v="0"/>
    <n v="0"/>
    <n v="0"/>
    <n v="0"/>
    <n v="0"/>
    <s v="NA"/>
    <m/>
  </r>
  <r>
    <s v="NSG"/>
    <x v="4"/>
    <x v="6"/>
    <s v="Whole Building - Public Housing"/>
    <x v="6"/>
    <s v="Boiler (DI)"/>
    <s v="MF"/>
    <x v="3"/>
    <s v="5.3.11"/>
    <s v="each"/>
    <n v="0"/>
    <n v="0"/>
    <n v="0"/>
    <n v="0"/>
    <s v="RS-HVC-ADTH-V08-230101"/>
    <m/>
    <n v="59.845499999999994"/>
    <n v="59.845499999999994"/>
    <n v="59.845499999999994"/>
    <n v="59.845499999999994"/>
    <n v="1"/>
    <n v="1"/>
    <n v="1"/>
    <n v="1"/>
    <n v="0"/>
    <n v="0"/>
    <n v="0"/>
    <n v="0"/>
    <n v="0"/>
    <n v="1"/>
    <n v="1"/>
    <n v="1"/>
    <n v="1"/>
    <n v="1"/>
    <n v="1"/>
    <n v="1"/>
    <n v="1"/>
    <m/>
    <m/>
    <n v="59.845499999999994"/>
    <m/>
    <n v="0"/>
    <n v="0"/>
    <m/>
    <m/>
    <n v="59.845499999999994"/>
    <s v="n/a"/>
    <n v="0"/>
    <n v="0"/>
    <n v="0"/>
    <m/>
    <m/>
    <n v="59.845499999999994"/>
    <m/>
    <n v="0"/>
    <n v="0"/>
    <m/>
    <m/>
    <n v="59.845499999999994"/>
    <m/>
    <n v="0"/>
    <n v="0"/>
    <n v="0"/>
    <n v="0"/>
    <n v="0"/>
    <n v="0"/>
    <n v="0"/>
    <s v="NA"/>
    <m/>
  </r>
  <r>
    <s v="NSG"/>
    <x v="4"/>
    <x v="6"/>
    <s v="Whole Building - Public Housing"/>
    <x v="3"/>
    <s v="Furnace (Replace Manual)"/>
    <s v="MF"/>
    <x v="3"/>
    <s v="5.3.16"/>
    <s v="each"/>
    <n v="0"/>
    <n v="0"/>
    <n v="0"/>
    <n v="0"/>
    <s v="RS-HVC-ADTH-V08-230101"/>
    <m/>
    <n v="67.938000000000002"/>
    <n v="67.938000000000002"/>
    <n v="67.938000000000002"/>
    <n v="67.938000000000002"/>
    <n v="1"/>
    <n v="1"/>
    <n v="1"/>
    <n v="1"/>
    <n v="0"/>
    <n v="0"/>
    <n v="0"/>
    <n v="0"/>
    <n v="0"/>
    <n v="1"/>
    <n v="1"/>
    <n v="1"/>
    <n v="1"/>
    <n v="1"/>
    <n v="1"/>
    <n v="1"/>
    <n v="1"/>
    <m/>
    <m/>
    <n v="66.631500000000003"/>
    <m/>
    <n v="0"/>
    <n v="0"/>
    <m/>
    <m/>
    <n v="66.631500000000003"/>
    <s v="n/a"/>
    <n v="0"/>
    <n v="0"/>
    <n v="0"/>
    <m/>
    <m/>
    <n v="66.631500000000003"/>
    <m/>
    <n v="0"/>
    <n v="0"/>
    <m/>
    <m/>
    <n v="66.631500000000003"/>
    <m/>
    <n v="0"/>
    <n v="0"/>
    <n v="0"/>
    <n v="0"/>
    <n v="0"/>
    <n v="0"/>
    <n v="0"/>
    <s v="NA"/>
    <m/>
  </r>
  <r>
    <s v="NSG"/>
    <x v="4"/>
    <x v="6"/>
    <s v="Whole Building - Public Housing"/>
    <x v="3"/>
    <s v="Boiler (Replace Manual)"/>
    <s v="MF"/>
    <x v="3"/>
    <s v="5.3.16"/>
    <s v="each"/>
    <n v="0"/>
    <n v="0"/>
    <n v="0"/>
    <n v="0"/>
    <s v="RS-HVC-ADTH-V08-230101"/>
    <m/>
    <n v="100.386"/>
    <n v="100.386"/>
    <n v="100.386"/>
    <n v="100.386"/>
    <n v="1"/>
    <n v="1"/>
    <n v="1"/>
    <n v="1"/>
    <n v="0"/>
    <n v="0"/>
    <n v="0"/>
    <n v="0"/>
    <n v="0"/>
    <n v="1"/>
    <n v="1"/>
    <n v="1"/>
    <n v="1"/>
    <n v="1"/>
    <n v="1"/>
    <n v="1"/>
    <n v="1"/>
    <m/>
    <m/>
    <n v="98.455500000000001"/>
    <m/>
    <n v="0"/>
    <n v="0"/>
    <m/>
    <m/>
    <n v="98.455500000000001"/>
    <s v="n/a"/>
    <n v="0"/>
    <n v="0"/>
    <n v="0"/>
    <m/>
    <m/>
    <n v="98.455500000000001"/>
    <m/>
    <n v="0"/>
    <n v="0"/>
    <m/>
    <m/>
    <n v="98.455500000000001"/>
    <m/>
    <n v="0"/>
    <n v="0"/>
    <n v="0"/>
    <n v="0"/>
    <n v="0"/>
    <n v="0"/>
    <n v="0"/>
    <s v="NA"/>
    <m/>
  </r>
  <r>
    <s v="NSG"/>
    <x v="4"/>
    <x v="6"/>
    <s v="Whole Building - Public Housing"/>
    <x v="3"/>
    <s v="Furnace (Replace Programmable)"/>
    <s v="MF"/>
    <x v="3"/>
    <s v="5.3.16"/>
    <s v="each"/>
    <n v="0"/>
    <n v="0"/>
    <n v="0"/>
    <n v="0"/>
    <s v="RS-HVC-ADTH-V08-230101"/>
    <m/>
    <n v="47.687249999999999"/>
    <n v="47.687249999999999"/>
    <n v="47.687249999999999"/>
    <n v="47.687249999999999"/>
    <n v="1"/>
    <n v="1"/>
    <n v="1"/>
    <n v="1"/>
    <n v="0"/>
    <n v="0"/>
    <n v="0"/>
    <n v="0"/>
    <n v="0"/>
    <n v="1"/>
    <n v="1"/>
    <n v="1"/>
    <n v="1"/>
    <n v="1"/>
    <n v="1"/>
    <n v="1"/>
    <n v="1"/>
    <m/>
    <m/>
    <n v="46.380749999999992"/>
    <m/>
    <n v="0"/>
    <n v="0"/>
    <m/>
    <m/>
    <n v="46.380749999999992"/>
    <s v="n/a"/>
    <n v="0"/>
    <n v="0"/>
    <n v="0"/>
    <m/>
    <m/>
    <n v="46.380749999999992"/>
    <m/>
    <n v="0"/>
    <n v="0"/>
    <m/>
    <m/>
    <n v="46.380749999999992"/>
    <m/>
    <n v="0"/>
    <n v="0"/>
    <n v="0"/>
    <n v="0"/>
    <n v="0"/>
    <n v="0"/>
    <n v="0"/>
    <s v="NA"/>
    <m/>
  </r>
  <r>
    <s v="NSG"/>
    <x v="4"/>
    <x v="6"/>
    <s v="Whole Building - Public Housing"/>
    <x v="3"/>
    <s v="Boiler (Replace Programmable)"/>
    <s v="MF"/>
    <x v="3"/>
    <s v="5.3.16"/>
    <s v="each"/>
    <n v="0"/>
    <n v="0"/>
    <n v="0"/>
    <n v="0"/>
    <s v="RS-HVC-ADTH-V08-230101"/>
    <m/>
    <n v="70.463249999999988"/>
    <n v="70.463249999999988"/>
    <n v="70.463249999999988"/>
    <n v="70.463249999999988"/>
    <n v="1"/>
    <n v="1"/>
    <n v="1"/>
    <n v="1"/>
    <n v="0"/>
    <n v="0"/>
    <n v="0"/>
    <n v="0"/>
    <n v="0"/>
    <n v="1"/>
    <n v="1"/>
    <n v="1"/>
    <n v="1"/>
    <n v="1"/>
    <n v="1"/>
    <n v="1"/>
    <n v="1"/>
    <m/>
    <m/>
    <n v="68.532749999999993"/>
    <m/>
    <n v="0"/>
    <n v="0"/>
    <m/>
    <m/>
    <n v="68.532749999999993"/>
    <s v="n/a"/>
    <n v="0"/>
    <n v="0"/>
    <n v="0"/>
    <m/>
    <m/>
    <n v="68.532749999999993"/>
    <m/>
    <n v="0"/>
    <n v="0"/>
    <m/>
    <m/>
    <n v="68.532749999999993"/>
    <m/>
    <n v="0"/>
    <n v="0"/>
    <n v="0"/>
    <n v="0"/>
    <n v="0"/>
    <n v="0"/>
    <n v="0"/>
    <s v="NA"/>
    <m/>
  </r>
  <r>
    <s v="NSG"/>
    <x v="4"/>
    <x v="6"/>
    <s v="Whole Building - Public Housing"/>
    <x v="44"/>
    <s v="Boiler (DI)"/>
    <s v="MF"/>
    <x v="3"/>
    <s v="5.3.11"/>
    <s v="each"/>
    <n v="0"/>
    <n v="0"/>
    <n v="0"/>
    <n v="0"/>
    <s v="RS-HVC-ADTH-V08-230101"/>
    <m/>
    <n v="59.926100000000005"/>
    <n v="59.926100000000005"/>
    <n v="59.926100000000005"/>
    <n v="59.926100000000005"/>
    <n v="1"/>
    <n v="1"/>
    <n v="1"/>
    <n v="1"/>
    <n v="0"/>
    <n v="0"/>
    <n v="0"/>
    <n v="0"/>
    <n v="0"/>
    <n v="1"/>
    <n v="1"/>
    <n v="1"/>
    <n v="1"/>
    <n v="1"/>
    <n v="1"/>
    <n v="1"/>
    <n v="1"/>
    <m/>
    <m/>
    <n v="59.926100000000005"/>
    <m/>
    <n v="0"/>
    <n v="0"/>
    <m/>
    <m/>
    <n v="59.926100000000005"/>
    <s v="n/a"/>
    <n v="0"/>
    <n v="0"/>
    <n v="0"/>
    <m/>
    <m/>
    <n v="59.926100000000005"/>
    <m/>
    <n v="0"/>
    <n v="0"/>
    <m/>
    <m/>
    <n v="59.926100000000005"/>
    <m/>
    <n v="0"/>
    <n v="0"/>
    <n v="0"/>
    <n v="0"/>
    <n v="0"/>
    <n v="0"/>
    <n v="0"/>
    <s v="NA"/>
    <m/>
  </r>
  <r>
    <s v="NSG"/>
    <x v="4"/>
    <x v="6"/>
    <s v="Whole Building - Public Housing"/>
    <x v="44"/>
    <s v="Furnace (DI)"/>
    <s v="MF"/>
    <x v="3"/>
    <s v="5.3.11"/>
    <s v="each"/>
    <n v="0"/>
    <n v="0"/>
    <n v="0"/>
    <n v="0"/>
    <s v="RS-HVC-ADTH-V08-230101"/>
    <m/>
    <n v="40.5015"/>
    <n v="40.5015"/>
    <n v="40.5015"/>
    <n v="40.5015"/>
    <n v="1"/>
    <n v="1"/>
    <n v="1"/>
    <n v="1"/>
    <n v="0"/>
    <n v="0"/>
    <n v="0"/>
    <n v="0"/>
    <n v="0"/>
    <n v="1"/>
    <n v="1"/>
    <n v="1"/>
    <n v="1"/>
    <n v="1"/>
    <n v="1"/>
    <n v="1"/>
    <n v="1"/>
    <m/>
    <m/>
    <n v="40.5015"/>
    <m/>
    <n v="0"/>
    <n v="0"/>
    <m/>
    <m/>
    <n v="40.5015"/>
    <s v="n/a"/>
    <n v="0"/>
    <n v="0"/>
    <n v="0"/>
    <m/>
    <m/>
    <n v="40.5015"/>
    <m/>
    <n v="0"/>
    <n v="0"/>
    <m/>
    <m/>
    <n v="40.5015"/>
    <m/>
    <n v="0"/>
    <n v="0"/>
    <n v="0"/>
    <n v="0"/>
    <n v="0"/>
    <n v="0"/>
    <n v="0"/>
    <s v="NA"/>
    <m/>
  </r>
  <r>
    <s v="NSG"/>
    <x v="4"/>
    <x v="6"/>
    <s v="Whole Building - Public Housing"/>
    <x v="19"/>
    <n v="0"/>
    <s v="MF"/>
    <x v="3"/>
    <s v="5.6.1"/>
    <s v="CFM_50"/>
    <n v="0"/>
    <n v="0"/>
    <n v="0"/>
    <n v="0"/>
    <s v="RS-SHL-AIRS-V12-230101"/>
    <m/>
    <n v="43.618009478672981"/>
    <n v="43.618009478672981"/>
    <n v="43.618009478672981"/>
    <n v="43.618009478672981"/>
    <n v="1"/>
    <n v="1"/>
    <n v="1"/>
    <n v="1"/>
    <n v="0"/>
    <n v="0"/>
    <n v="0"/>
    <n v="0"/>
    <n v="0"/>
    <n v="1"/>
    <n v="1"/>
    <n v="1"/>
    <n v="1"/>
    <n v="1"/>
    <n v="1"/>
    <n v="1"/>
    <n v="1"/>
    <m/>
    <m/>
    <n v="43.618009478672981"/>
    <m/>
    <n v="0"/>
    <n v="0"/>
    <m/>
    <m/>
    <n v="43.618009478672981"/>
    <s v="Updated ISR"/>
    <n v="0"/>
    <n v="0"/>
    <n v="0"/>
    <m/>
    <m/>
    <n v="43.618009478672981"/>
    <m/>
    <n v="0"/>
    <n v="0"/>
    <m/>
    <m/>
    <n v="43.618009478672981"/>
    <m/>
    <n v="0"/>
    <n v="0"/>
    <n v="0"/>
    <n v="0"/>
    <n v="0"/>
    <n v="0"/>
    <n v="0"/>
    <s v="NA"/>
    <m/>
  </r>
  <r>
    <s v="NSG"/>
    <x v="4"/>
    <x v="6"/>
    <s v="Whole Building - Public Housing"/>
    <x v="18"/>
    <n v="0"/>
    <s v="IE MF"/>
    <x v="3"/>
    <s v="5.6.1"/>
    <s v="CFM_50"/>
    <n v="0"/>
    <n v="0"/>
    <n v="0"/>
    <n v="0"/>
    <s v="RS-SHL-AIRS-V12-230101"/>
    <m/>
    <n v="34.545463507109005"/>
    <n v="34.545463507109005"/>
    <n v="34.545463507109005"/>
    <n v="34.545463507109005"/>
    <n v="1"/>
    <n v="1"/>
    <n v="1"/>
    <n v="1"/>
    <n v="0"/>
    <n v="0"/>
    <n v="0"/>
    <n v="0"/>
    <n v="0"/>
    <n v="1"/>
    <n v="1"/>
    <n v="1"/>
    <n v="1"/>
    <n v="1"/>
    <n v="1"/>
    <n v="1"/>
    <n v="1"/>
    <m/>
    <m/>
    <n v="34.545463507109005"/>
    <m/>
    <n v="0"/>
    <n v="0"/>
    <m/>
    <m/>
    <n v="34.545463507109005"/>
    <s v="Updated ISR"/>
    <n v="0"/>
    <n v="0"/>
    <n v="0"/>
    <m/>
    <m/>
    <n v="34.545463507109005"/>
    <m/>
    <n v="0"/>
    <n v="0"/>
    <m/>
    <m/>
    <n v="34.545463507109005"/>
    <m/>
    <n v="0"/>
    <n v="0"/>
    <n v="0"/>
    <n v="0"/>
    <n v="0"/>
    <n v="0"/>
    <n v="0"/>
    <s v="NA"/>
    <m/>
  </r>
  <r>
    <s v="NSG"/>
    <x v="4"/>
    <x v="6"/>
    <s v="Whole Building - Public Housing"/>
    <x v="17"/>
    <n v="0"/>
    <s v="SF"/>
    <x v="3"/>
    <s v="5.6.5"/>
    <s v="sq ft"/>
    <n v="0"/>
    <n v="0"/>
    <n v="0"/>
    <n v="0"/>
    <s v="RS-SHL-AINS-V06-230101"/>
    <m/>
    <n v="8.0457181447124299E-2"/>
    <n v="8.0457181447124299E-2"/>
    <n v="8.0457181447124299E-2"/>
    <n v="8.0457181447124299E-2"/>
    <n v="1"/>
    <n v="1"/>
    <n v="1"/>
    <n v="1"/>
    <n v="0"/>
    <n v="0"/>
    <n v="0"/>
    <n v="0"/>
    <n v="0"/>
    <n v="1"/>
    <n v="1"/>
    <n v="1"/>
    <n v="1"/>
    <n v="1"/>
    <n v="1"/>
    <n v="1"/>
    <n v="1"/>
    <m/>
    <m/>
    <n v="8.0457181447124299E-2"/>
    <m/>
    <n v="0"/>
    <n v="0"/>
    <m/>
    <m/>
    <n v="8.0457181447124299E-2"/>
    <s v="No savings impacts with existing measure assumptions."/>
    <n v="0"/>
    <n v="0"/>
    <n v="0"/>
    <m/>
    <m/>
    <n v="8.0457181447124299E-2"/>
    <m/>
    <n v="0"/>
    <n v="0"/>
    <m/>
    <m/>
    <n v="8.0457181447124299E-2"/>
    <m/>
    <n v="0"/>
    <n v="0"/>
    <n v="0"/>
    <n v="0"/>
    <n v="0"/>
    <n v="0"/>
    <n v="0"/>
    <s v="NA"/>
    <m/>
  </r>
  <r>
    <s v="NSG"/>
    <x v="4"/>
    <x v="6"/>
    <s v="Whole Building - Public Housing"/>
    <x v="32"/>
    <n v="0"/>
    <s v="SF"/>
    <x v="3"/>
    <s v="5.6.4"/>
    <s v="each"/>
    <n v="0"/>
    <n v="0"/>
    <n v="0"/>
    <n v="0"/>
    <s v="RS-SHL-WINS-V12-230101"/>
    <m/>
    <n v="0.10827529411764705"/>
    <n v="0.10827529411764705"/>
    <n v="0.10827529411764705"/>
    <n v="0.10827529411764705"/>
    <n v="1"/>
    <n v="1"/>
    <n v="1"/>
    <n v="1"/>
    <n v="0"/>
    <n v="0"/>
    <n v="0"/>
    <n v="0"/>
    <n v="0"/>
    <n v="1"/>
    <n v="1"/>
    <n v="1"/>
    <n v="1"/>
    <n v="1"/>
    <n v="1"/>
    <n v="1"/>
    <n v="1"/>
    <m/>
    <m/>
    <n v="0.10827529411764705"/>
    <m/>
    <n v="0"/>
    <n v="0"/>
    <m/>
    <m/>
    <n v="0.10827529411764705"/>
    <s v="No savings impacts with existing measure assumptions."/>
    <n v="0"/>
    <n v="0"/>
    <n v="0"/>
    <m/>
    <m/>
    <n v="0.10827529411764705"/>
    <m/>
    <n v="0"/>
    <n v="0"/>
    <m/>
    <m/>
    <n v="0.10827529411764705"/>
    <m/>
    <n v="0"/>
    <n v="0"/>
    <n v="0"/>
    <n v="0"/>
    <n v="0"/>
    <n v="0"/>
    <n v="0"/>
    <s v="NA"/>
    <m/>
  </r>
  <r>
    <s v="NSG"/>
    <x v="4"/>
    <x v="6"/>
    <s v="Whole Building - Public Housing"/>
    <x v="45"/>
    <n v="0"/>
    <s v="SF"/>
    <x v="3"/>
    <s v="5.6.2"/>
    <s v="sq ft"/>
    <n v="0"/>
    <n v="0"/>
    <n v="0"/>
    <n v="0"/>
    <s v="RS-SHL-BINS-V13-230101"/>
    <m/>
    <n v="0.13695535714285714"/>
    <n v="0.13695535714285714"/>
    <n v="0.13695535714285714"/>
    <n v="0.13695535714285714"/>
    <n v="1"/>
    <n v="1"/>
    <n v="1"/>
    <n v="1"/>
    <n v="0"/>
    <n v="0"/>
    <n v="0"/>
    <n v="0"/>
    <n v="0"/>
    <n v="1"/>
    <n v="1"/>
    <n v="1"/>
    <n v="1"/>
    <n v="1"/>
    <n v="1"/>
    <n v="1"/>
    <n v="1"/>
    <m/>
    <m/>
    <n v="0.13695535714285714"/>
    <m/>
    <n v="0"/>
    <n v="0"/>
    <m/>
    <m/>
    <n v="0.13695535714285714"/>
    <s v="No savings impacts with existing measure assumptions."/>
    <n v="0"/>
    <n v="0"/>
    <n v="0"/>
    <m/>
    <m/>
    <n v="0.13695535714285714"/>
    <m/>
    <n v="0"/>
    <n v="0"/>
    <m/>
    <m/>
    <n v="0.13695535714285714"/>
    <m/>
    <n v="0"/>
    <n v="0"/>
    <n v="0"/>
    <n v="0"/>
    <n v="0"/>
    <n v="0"/>
    <n v="0"/>
    <s v="NA"/>
    <m/>
  </r>
  <r>
    <s v="NSG"/>
    <x v="4"/>
    <x v="6"/>
    <s v="Whole Building - Public Housing"/>
    <x v="86"/>
    <n v="0"/>
    <s v="SF"/>
    <x v="3"/>
    <s v="5.6.3"/>
    <s v="each"/>
    <n v="0"/>
    <n v="0"/>
    <n v="0"/>
    <n v="0"/>
    <s v="RS-SHL-FINS-V14-230101"/>
    <m/>
    <n v="0.10489255765199164"/>
    <n v="0.10489255765199164"/>
    <n v="0.10489255765199164"/>
    <n v="0.10489255765199164"/>
    <n v="1"/>
    <n v="1"/>
    <n v="1"/>
    <n v="1"/>
    <n v="0"/>
    <n v="0"/>
    <n v="0"/>
    <n v="0"/>
    <n v="0"/>
    <n v="1"/>
    <n v="1"/>
    <n v="1"/>
    <n v="1"/>
    <n v="1"/>
    <n v="1"/>
    <n v="1"/>
    <n v="1"/>
    <m/>
    <m/>
    <n v="0.10489255765199164"/>
    <m/>
    <n v="0"/>
    <n v="0"/>
    <m/>
    <m/>
    <n v="0.10489255765199164"/>
    <s v="No savings impacts with existing measure assumptions."/>
    <n v="0"/>
    <n v="0"/>
    <n v="0"/>
    <m/>
    <m/>
    <n v="0.10489255765199164"/>
    <m/>
    <n v="0"/>
    <n v="0"/>
    <m/>
    <m/>
    <n v="0.10489255765199164"/>
    <m/>
    <n v="0"/>
    <n v="0"/>
    <n v="0"/>
    <n v="0"/>
    <n v="0"/>
    <n v="0"/>
    <n v="0"/>
    <s v="NA"/>
    <m/>
  </r>
  <r>
    <s v="NSG"/>
    <x v="4"/>
    <x v="6"/>
    <s v="Whole Building - Public Housing"/>
    <x v="28"/>
    <s v="≥88% AFUE, &lt;300MBh"/>
    <s v="MF"/>
    <x v="3"/>
    <s v="4.4.10"/>
    <s v="each"/>
    <n v="0"/>
    <n v="0"/>
    <n v="0"/>
    <n v="0"/>
    <s v="CI-HVC-BOIL-V10-230101"/>
    <m/>
    <n v="0.79095238095238163"/>
    <n v="0.79095238095238163"/>
    <n v="0.79095238095238163"/>
    <n v="0.79095238095238163"/>
    <n v="1"/>
    <n v="1"/>
    <n v="1"/>
    <n v="1"/>
    <n v="0"/>
    <n v="0"/>
    <n v="0"/>
    <n v="0"/>
    <n v="0"/>
    <n v="1"/>
    <n v="1"/>
    <n v="1"/>
    <n v="1"/>
    <n v="1"/>
    <n v="1"/>
    <n v="1"/>
    <n v="1"/>
    <m/>
    <m/>
    <n v="0.79095238095238163"/>
    <m/>
    <n v="0"/>
    <n v="0"/>
    <m/>
    <m/>
    <n v="0.79095238095238163"/>
    <s v="n/a"/>
    <n v="0"/>
    <n v="0"/>
    <n v="0"/>
    <m/>
    <m/>
    <n v="0.79095238095238163"/>
    <m/>
    <n v="0"/>
    <n v="0"/>
    <m/>
    <m/>
    <n v="0.79095238095238163"/>
    <m/>
    <n v="0"/>
    <n v="0"/>
    <n v="0"/>
    <n v="0"/>
    <n v="0"/>
    <n v="0"/>
    <n v="0"/>
    <s v="NA"/>
    <m/>
  </r>
  <r>
    <s v="NSG"/>
    <x v="4"/>
    <x v="6"/>
    <s v="Whole Building - Public Housing"/>
    <x v="28"/>
    <s v="≥88% AFUE, ≥300MBh TE"/>
    <s v="MF"/>
    <x v="3"/>
    <s v="4.4.10"/>
    <s v="each"/>
    <n v="0"/>
    <n v="0"/>
    <n v="0"/>
    <n v="0"/>
    <s v="CI-HVC-BOIL-V10-230101"/>
    <m/>
    <n v="1.6609999999999991"/>
    <n v="1.6609999999999991"/>
    <n v="1.6609999999999991"/>
    <n v="1.6609999999999991"/>
    <n v="1"/>
    <n v="1"/>
    <n v="1"/>
    <n v="1"/>
    <n v="0"/>
    <n v="0"/>
    <n v="0"/>
    <n v="0"/>
    <n v="0"/>
    <n v="1"/>
    <n v="1"/>
    <n v="1"/>
    <n v="1"/>
    <n v="1"/>
    <n v="1"/>
    <n v="1"/>
    <n v="1"/>
    <m/>
    <m/>
    <n v="1.6609999999999991"/>
    <m/>
    <n v="0"/>
    <n v="0"/>
    <m/>
    <m/>
    <n v="1.6609999999999991"/>
    <s v="n/a"/>
    <n v="0"/>
    <n v="0"/>
    <n v="0"/>
    <m/>
    <m/>
    <n v="1.6609999999999991"/>
    <m/>
    <n v="0"/>
    <n v="0"/>
    <m/>
    <m/>
    <n v="1.6609999999999991"/>
    <m/>
    <n v="0"/>
    <n v="0"/>
    <n v="0"/>
    <n v="0"/>
    <n v="0"/>
    <n v="0"/>
    <n v="0"/>
    <s v="NA"/>
    <m/>
  </r>
  <r>
    <s v="NSG"/>
    <x v="4"/>
    <x v="6"/>
    <s v="Whole Building - Public Housing"/>
    <x v="34"/>
    <n v="0"/>
    <s v="MF"/>
    <x v="3"/>
    <s v="4.4.4"/>
    <s v="each"/>
    <n v="0"/>
    <n v="0"/>
    <n v="0"/>
    <n v="0"/>
    <s v="CI-HVC-BLRC-V04-210101"/>
    <m/>
    <n v="1.3288"/>
    <n v="1.3288"/>
    <n v="1.3288"/>
    <n v="1.3288"/>
    <n v="1"/>
    <n v="1"/>
    <n v="1"/>
    <n v="1"/>
    <n v="0"/>
    <n v="0"/>
    <n v="0"/>
    <n v="0"/>
    <n v="0"/>
    <n v="1"/>
    <n v="1"/>
    <n v="1"/>
    <n v="1"/>
    <n v="1"/>
    <n v="1"/>
    <n v="1"/>
    <n v="1"/>
    <m/>
    <m/>
    <n v="1.3288"/>
    <m/>
    <n v="0"/>
    <n v="0"/>
    <m/>
    <m/>
    <n v="1.3288"/>
    <s v="n/a"/>
    <n v="0"/>
    <n v="0"/>
    <n v="0"/>
    <m/>
    <m/>
    <n v="1.3288"/>
    <m/>
    <n v="0"/>
    <n v="0"/>
    <m/>
    <m/>
    <n v="1.3288"/>
    <m/>
    <n v="0"/>
    <n v="0"/>
    <n v="0"/>
    <n v="0"/>
    <n v="0"/>
    <n v="0"/>
    <n v="0"/>
    <s v="NA"/>
    <m/>
  </r>
  <r>
    <s v="NSG"/>
    <x v="4"/>
    <x v="6"/>
    <s v="Whole Building - Public Housing"/>
    <x v="21"/>
    <s v="Space Heating"/>
    <s v="MF"/>
    <x v="3"/>
    <s v="4.4.2"/>
    <s v="each"/>
    <n v="0"/>
    <n v="0"/>
    <n v="0"/>
    <n v="0"/>
    <s v="CI-HVC-BLRT-V07-210101"/>
    <m/>
    <n v="0.46874846625766969"/>
    <n v="0.46874846625766969"/>
    <n v="0.46874846625766969"/>
    <n v="0.46874846625766969"/>
    <n v="1"/>
    <n v="1"/>
    <n v="1"/>
    <n v="1"/>
    <n v="0"/>
    <n v="0"/>
    <n v="0"/>
    <n v="0"/>
    <n v="0"/>
    <n v="1"/>
    <n v="1"/>
    <n v="1"/>
    <n v="1"/>
    <n v="1"/>
    <n v="1"/>
    <n v="1"/>
    <n v="1"/>
    <m/>
    <m/>
    <n v="0.46874846625766969"/>
    <m/>
    <n v="0"/>
    <n v="0"/>
    <m/>
    <m/>
    <n v="0.46874846625766969"/>
    <s v="n/a"/>
    <n v="0"/>
    <n v="0"/>
    <n v="0"/>
    <m/>
    <m/>
    <n v="0.46874846625766969"/>
    <m/>
    <n v="0"/>
    <n v="0"/>
    <m/>
    <m/>
    <n v="0.46874846625766969"/>
    <m/>
    <n v="0"/>
    <n v="0"/>
    <n v="0"/>
    <n v="0"/>
    <n v="0"/>
    <n v="0"/>
    <n v="0"/>
    <s v="NA"/>
    <m/>
  </r>
  <r>
    <s v="NSG"/>
    <x v="4"/>
    <x v="6"/>
    <s v="Whole Building - Public Housing"/>
    <x v="65"/>
    <s v="&gt;95% AFUE"/>
    <s v="MF"/>
    <x v="3"/>
    <s v="5.3.7"/>
    <s v="each"/>
    <n v="0"/>
    <n v="0"/>
    <n v="0"/>
    <n v="0"/>
    <s v="RS-HVC-GHEF-V12-230101"/>
    <m/>
    <n v="185.63073361823353"/>
    <n v="185.63073361823353"/>
    <n v="185.63073361823353"/>
    <n v="185.63073361823353"/>
    <n v="1"/>
    <n v="1"/>
    <n v="1"/>
    <n v="1"/>
    <n v="0"/>
    <n v="0"/>
    <n v="0"/>
    <n v="0"/>
    <n v="0"/>
    <n v="1"/>
    <n v="1"/>
    <n v="1"/>
    <n v="1"/>
    <n v="1"/>
    <n v="1"/>
    <n v="1"/>
    <n v="1"/>
    <m/>
    <m/>
    <n v="185.63073361823353"/>
    <m/>
    <n v="0"/>
    <n v="0"/>
    <m/>
    <m/>
    <n v="185.63073361823353"/>
    <s v="n/a"/>
    <n v="0"/>
    <n v="0"/>
    <n v="0"/>
    <m/>
    <m/>
    <n v="185.63073361823353"/>
    <m/>
    <n v="0"/>
    <n v="0"/>
    <m/>
    <m/>
    <n v="185.63073361823353"/>
    <m/>
    <n v="0"/>
    <n v="0"/>
    <n v="0"/>
    <n v="0"/>
    <n v="0"/>
    <n v="0"/>
    <n v="0"/>
    <s v="NA"/>
    <m/>
  </r>
  <r>
    <s v="NSG"/>
    <x v="4"/>
    <x v="6"/>
    <s v="Whole Building - Public Housing"/>
    <x v="4"/>
    <s v="Hyd. Boiler Sm ≤1.25&quot;"/>
    <s v="MF"/>
    <x v="3"/>
    <s v="&quot;3 - Res Pipe Insulation&quot; worksheet"/>
    <s v="each"/>
    <n v="0"/>
    <n v="0"/>
    <n v="0"/>
    <n v="0"/>
    <n v="0"/>
    <m/>
    <n v="2.0682348076923076"/>
    <n v="2.0682348076923076"/>
    <n v="2.0682348076923076"/>
    <n v="2.0682348076923076"/>
    <n v="1"/>
    <n v="1"/>
    <n v="1"/>
    <n v="1"/>
    <n v="0"/>
    <n v="0"/>
    <n v="0"/>
    <n v="0"/>
    <n v="0"/>
    <n v="1"/>
    <n v="1"/>
    <n v="1"/>
    <n v="1"/>
    <n v="1"/>
    <n v="1"/>
    <n v="1"/>
    <n v="1"/>
    <m/>
    <m/>
    <n v="2.0682348076923076"/>
    <m/>
    <n v="0"/>
    <n v="0"/>
    <m/>
    <m/>
    <n v="2.0682348076923076"/>
    <s v="n/a"/>
    <n v="0"/>
    <n v="0"/>
    <n v="0"/>
    <m/>
    <m/>
    <n v="2.0682348076923076"/>
    <m/>
    <n v="0"/>
    <n v="0"/>
    <m/>
    <m/>
    <n v="2.0682348076923076"/>
    <m/>
    <n v="0"/>
    <n v="0"/>
    <n v="0"/>
    <n v="0"/>
    <n v="0"/>
    <n v="0"/>
    <n v="0"/>
    <s v="NA"/>
    <m/>
  </r>
  <r>
    <s v="NSG"/>
    <x v="4"/>
    <x v="6"/>
    <s v="Whole Building - Public Housing"/>
    <x v="4"/>
    <s v="Hyd. Boiler Med 1.25-2&quot;"/>
    <s v="MF"/>
    <x v="3"/>
    <s v="&quot;3 - Res Pipe Insulation&quot; worksheet"/>
    <s v="each"/>
    <n v="0"/>
    <n v="0"/>
    <n v="0"/>
    <n v="0"/>
    <n v="0"/>
    <m/>
    <n v="3.6034773504273505"/>
    <n v="3.6034773504273505"/>
    <n v="3.6034773504273505"/>
    <n v="3.6034773504273505"/>
    <n v="1"/>
    <n v="1"/>
    <n v="1"/>
    <n v="1"/>
    <n v="0"/>
    <n v="0"/>
    <n v="0"/>
    <n v="0"/>
    <n v="0"/>
    <n v="1"/>
    <n v="1"/>
    <n v="1"/>
    <n v="1"/>
    <n v="1"/>
    <n v="1"/>
    <n v="1"/>
    <n v="1"/>
    <m/>
    <m/>
    <n v="3.6034773504273505"/>
    <m/>
    <n v="0"/>
    <n v="0"/>
    <m/>
    <m/>
    <n v="3.6034773504273505"/>
    <s v="n/a"/>
    <n v="0"/>
    <n v="0"/>
    <n v="0"/>
    <m/>
    <m/>
    <n v="3.6034773504273505"/>
    <m/>
    <n v="0"/>
    <n v="0"/>
    <m/>
    <m/>
    <n v="3.6034773504273505"/>
    <m/>
    <n v="0"/>
    <n v="0"/>
    <n v="0"/>
    <n v="0"/>
    <n v="0"/>
    <n v="0"/>
    <n v="0"/>
    <s v="NA"/>
    <m/>
  </r>
  <r>
    <s v="NSG"/>
    <x v="4"/>
    <x v="6"/>
    <s v="Whole Building - Public Housing"/>
    <x v="4"/>
    <s v="Hyd. Boiler Large ≥2&quot;"/>
    <s v="MF"/>
    <x v="3"/>
    <s v="&quot;3 - Res Pipe Insulation&quot; worksheet"/>
    <s v="each"/>
    <n v="0"/>
    <n v="0"/>
    <n v="0"/>
    <n v="0"/>
    <n v="0"/>
    <m/>
    <n v="6.1867824786324785"/>
    <n v="6.1867824786324785"/>
    <n v="6.1867824786324785"/>
    <n v="6.1867824786324785"/>
    <n v="1"/>
    <n v="1"/>
    <n v="1"/>
    <n v="1"/>
    <n v="0"/>
    <n v="0"/>
    <n v="0"/>
    <n v="0"/>
    <n v="0"/>
    <n v="1"/>
    <n v="1"/>
    <n v="1"/>
    <n v="1"/>
    <n v="1"/>
    <n v="1"/>
    <n v="1"/>
    <n v="1"/>
    <m/>
    <m/>
    <n v="6.1867824786324785"/>
    <m/>
    <n v="0"/>
    <n v="0"/>
    <m/>
    <m/>
    <n v="6.1867824786324785"/>
    <s v="n/a"/>
    <n v="0"/>
    <n v="0"/>
    <n v="0"/>
    <m/>
    <m/>
    <n v="6.1867824786324785"/>
    <m/>
    <n v="0"/>
    <n v="0"/>
    <m/>
    <m/>
    <n v="6.1867824786324785"/>
    <m/>
    <n v="0"/>
    <n v="0"/>
    <n v="0"/>
    <n v="0"/>
    <n v="0"/>
    <n v="0"/>
    <n v="0"/>
    <s v="NA"/>
    <m/>
  </r>
  <r>
    <s v="NSG"/>
    <x v="4"/>
    <x v="6"/>
    <s v="Whole Building - Public Housing"/>
    <x v="4"/>
    <s v="HW Small 1&quot; to 2&quot;"/>
    <s v="MF/CI/SMB"/>
    <x v="3"/>
    <s v="&quot;3 - Res Pipe Insulation&quot; worksheet"/>
    <s v="each"/>
    <n v="0"/>
    <n v="0"/>
    <n v="0"/>
    <n v="0"/>
    <n v="0"/>
    <m/>
    <n v="2.6588140926267867"/>
    <n v="2.6588140926267867"/>
    <n v="2.6588140926267867"/>
    <n v="2.6588140926267867"/>
    <n v="1"/>
    <n v="1"/>
    <n v="1"/>
    <n v="1"/>
    <n v="0"/>
    <n v="0"/>
    <n v="0"/>
    <n v="0"/>
    <n v="0"/>
    <n v="1"/>
    <n v="1"/>
    <n v="1"/>
    <n v="1"/>
    <n v="1"/>
    <n v="1"/>
    <n v="1"/>
    <n v="1"/>
    <m/>
    <m/>
    <n v="2.6588140926267867"/>
    <m/>
    <n v="0"/>
    <n v="0"/>
    <m/>
    <m/>
    <n v="2.6588140926267867"/>
    <s v="n/a"/>
    <n v="0"/>
    <n v="0"/>
    <n v="0"/>
    <m/>
    <m/>
    <n v="2.6588140926267867"/>
    <m/>
    <n v="0"/>
    <n v="0"/>
    <m/>
    <m/>
    <n v="2.6588140926267867"/>
    <m/>
    <n v="0"/>
    <n v="0"/>
    <n v="0"/>
    <n v="0"/>
    <n v="0"/>
    <n v="0"/>
    <n v="0"/>
    <s v="NA"/>
    <m/>
  </r>
  <r>
    <s v="NSG"/>
    <x v="4"/>
    <x v="6"/>
    <s v="Whole Building - Public Housing"/>
    <x v="4"/>
    <s v="HW Medium 2.1&quot; to 4&quot;"/>
    <s v="MF/CI/SMB"/>
    <x v="3"/>
    <s v="&quot;3 - Res Pipe Insulation&quot; worksheet"/>
    <s v="each"/>
    <n v="0"/>
    <n v="0"/>
    <n v="0"/>
    <n v="0"/>
    <n v="0"/>
    <m/>
    <n v="5.2492031493764015"/>
    <n v="5.2492031493764015"/>
    <n v="5.2492031493764015"/>
    <n v="5.2492031493764015"/>
    <n v="1"/>
    <n v="1"/>
    <n v="1"/>
    <n v="1"/>
    <n v="0"/>
    <n v="0"/>
    <n v="0"/>
    <n v="0"/>
    <n v="0"/>
    <n v="1"/>
    <n v="1"/>
    <n v="1"/>
    <n v="1"/>
    <n v="1"/>
    <n v="1"/>
    <n v="1"/>
    <n v="1"/>
    <m/>
    <m/>
    <n v="5.2492031493764015"/>
    <m/>
    <n v="0"/>
    <n v="0"/>
    <m/>
    <m/>
    <n v="5.2492031493764015"/>
    <s v="n/a"/>
    <n v="0"/>
    <n v="0"/>
    <n v="0"/>
    <m/>
    <m/>
    <n v="5.2492031493764015"/>
    <m/>
    <n v="0"/>
    <n v="0"/>
    <m/>
    <m/>
    <n v="5.2492031493764015"/>
    <m/>
    <n v="0"/>
    <n v="0"/>
    <n v="0"/>
    <n v="0"/>
    <n v="0"/>
    <n v="0"/>
    <n v="0"/>
    <s v="NA"/>
    <m/>
  </r>
  <r>
    <s v="NSG"/>
    <x v="4"/>
    <x v="6"/>
    <s v="Whole Building - Public Housing"/>
    <x v="4"/>
    <s v="HW Large &gt;4&quot;"/>
    <s v="MF/CI/SMB"/>
    <x v="3"/>
    <s v="&quot;3 - Res Pipe Insulation&quot; worksheet"/>
    <s v="each"/>
    <n v="0"/>
    <n v="0"/>
    <n v="0"/>
    <n v="0"/>
    <n v="0"/>
    <m/>
    <n v="9.0407613085908682"/>
    <n v="9.0407613085908682"/>
    <n v="9.0407613085908682"/>
    <n v="9.0407613085908682"/>
    <n v="1"/>
    <n v="1"/>
    <n v="1"/>
    <n v="1"/>
    <n v="0"/>
    <n v="0"/>
    <n v="0"/>
    <n v="0"/>
    <n v="0"/>
    <n v="1"/>
    <n v="1"/>
    <n v="1"/>
    <n v="1"/>
    <n v="1"/>
    <n v="1"/>
    <n v="1"/>
    <n v="1"/>
    <m/>
    <m/>
    <n v="9.0407613085908682"/>
    <m/>
    <n v="0"/>
    <n v="0"/>
    <m/>
    <m/>
    <n v="9.0407613085908682"/>
    <s v="n/a"/>
    <n v="0"/>
    <n v="0"/>
    <n v="0"/>
    <m/>
    <m/>
    <n v="9.0407613085908682"/>
    <m/>
    <n v="0"/>
    <n v="0"/>
    <m/>
    <m/>
    <n v="9.0407613085908682"/>
    <m/>
    <n v="0"/>
    <n v="0"/>
    <n v="0"/>
    <n v="0"/>
    <n v="0"/>
    <n v="0"/>
    <n v="0"/>
    <s v="NA"/>
    <m/>
  </r>
  <r>
    <s v="NSG"/>
    <x v="4"/>
    <x v="6"/>
    <s v="Whole Building - Public Housing"/>
    <x v="4"/>
    <s v="Steam - Small 1&quot; to 2&quot;"/>
    <s v="MF"/>
    <x v="3"/>
    <s v="&quot;3 - Res Pipe Insulation&quot; worksheet"/>
    <s v="each"/>
    <n v="0"/>
    <n v="0"/>
    <n v="0"/>
    <n v="0"/>
    <n v="0"/>
    <m/>
    <n v="3.967097058288509"/>
    <n v="3.967097058288509"/>
    <n v="3.967097058288509"/>
    <n v="3.967097058288509"/>
    <n v="1"/>
    <n v="1"/>
    <n v="1"/>
    <n v="1"/>
    <n v="0"/>
    <n v="0"/>
    <n v="0"/>
    <n v="0"/>
    <n v="0"/>
    <n v="1"/>
    <n v="1"/>
    <n v="1"/>
    <n v="1"/>
    <n v="1"/>
    <n v="1"/>
    <n v="1"/>
    <n v="1"/>
    <m/>
    <m/>
    <n v="3.967097058288509"/>
    <m/>
    <n v="0"/>
    <n v="0"/>
    <m/>
    <m/>
    <n v="3.967097058288509"/>
    <s v="n/a"/>
    <n v="0"/>
    <n v="0"/>
    <n v="0"/>
    <m/>
    <m/>
    <n v="3.967097058288509"/>
    <m/>
    <n v="0"/>
    <n v="0"/>
    <m/>
    <m/>
    <n v="3.967097058288509"/>
    <m/>
    <n v="0"/>
    <n v="0"/>
    <n v="0"/>
    <n v="0"/>
    <n v="0"/>
    <n v="0"/>
    <n v="0"/>
    <s v="NA"/>
    <m/>
  </r>
  <r>
    <s v="NSG"/>
    <x v="4"/>
    <x v="6"/>
    <s v="Whole Building - Public Housing"/>
    <x v="4"/>
    <s v="Steam - Med 2.1&quot; to 5&quot;"/>
    <s v="MF"/>
    <x v="3"/>
    <s v="&quot;3 - Res Pipe Insulation&quot; worksheet"/>
    <s v="each"/>
    <n v="0"/>
    <n v="0"/>
    <n v="0"/>
    <n v="0"/>
    <n v="0"/>
    <m/>
    <n v="15.954497207020932"/>
    <n v="15.954497207020932"/>
    <n v="15.954497207020932"/>
    <n v="15.954497207020932"/>
    <n v="1"/>
    <n v="1"/>
    <n v="1"/>
    <n v="1"/>
    <n v="0"/>
    <n v="0"/>
    <n v="0"/>
    <n v="0"/>
    <n v="0"/>
    <n v="1"/>
    <n v="1"/>
    <n v="1"/>
    <n v="1"/>
    <n v="1"/>
    <n v="1"/>
    <n v="1"/>
    <n v="1"/>
    <m/>
    <m/>
    <n v="15.954497207020932"/>
    <m/>
    <n v="0"/>
    <n v="0"/>
    <m/>
    <m/>
    <n v="15.954497207020932"/>
    <s v="n/a"/>
    <n v="0"/>
    <n v="0"/>
    <n v="0"/>
    <m/>
    <m/>
    <n v="15.954497207020932"/>
    <m/>
    <n v="0"/>
    <n v="0"/>
    <m/>
    <m/>
    <n v="15.954497207020932"/>
    <m/>
    <n v="0"/>
    <n v="0"/>
    <n v="0"/>
    <n v="0"/>
    <n v="0"/>
    <n v="0"/>
    <n v="0"/>
    <s v="NA"/>
    <m/>
  </r>
  <r>
    <s v="NSG"/>
    <x v="4"/>
    <x v="6"/>
    <s v="Whole Building - Public Housing"/>
    <x v="4"/>
    <s v="Steam - Large 5.1&quot; to 8&quot;"/>
    <s v="MF"/>
    <x v="3"/>
    <s v="&quot;3 - Res Pipe Insulation&quot; worksheet"/>
    <s v="each"/>
    <n v="0"/>
    <n v="0"/>
    <n v="0"/>
    <n v="0"/>
    <n v="0"/>
    <m/>
    <n v="31.133964854103496"/>
    <n v="31.133964854103496"/>
    <n v="31.133964854103496"/>
    <n v="31.133964854103496"/>
    <n v="1"/>
    <n v="1"/>
    <n v="1"/>
    <n v="1"/>
    <n v="0"/>
    <n v="0"/>
    <n v="0"/>
    <n v="0"/>
    <n v="0"/>
    <n v="1"/>
    <n v="1"/>
    <n v="1"/>
    <n v="1"/>
    <n v="1"/>
    <n v="1"/>
    <n v="1"/>
    <n v="1"/>
    <m/>
    <m/>
    <n v="31.133964854103496"/>
    <m/>
    <n v="0"/>
    <n v="0"/>
    <m/>
    <m/>
    <n v="31.133964854103496"/>
    <s v="n/a"/>
    <n v="0"/>
    <n v="0"/>
    <n v="0"/>
    <m/>
    <m/>
    <n v="31.133964854103496"/>
    <m/>
    <n v="0"/>
    <n v="0"/>
    <m/>
    <m/>
    <n v="31.133964854103496"/>
    <m/>
    <n v="0"/>
    <n v="0"/>
    <n v="0"/>
    <n v="0"/>
    <n v="0"/>
    <n v="0"/>
    <n v="0"/>
    <s v="NA"/>
    <m/>
  </r>
  <r>
    <s v="NSG"/>
    <x v="4"/>
    <x v="6"/>
    <s v="Whole Building - Public Housing"/>
    <x v="4"/>
    <s v="Steam - X-Large &gt;8&quot;"/>
    <s v="MF"/>
    <x v="3"/>
    <s v="&quot;3 - Res Pipe Insulation&quot; worksheet"/>
    <s v="each"/>
    <n v="0"/>
    <n v="0"/>
    <n v="0"/>
    <n v="0"/>
    <n v="0"/>
    <m/>
    <n v="44.814401171573145"/>
    <n v="44.814401171573145"/>
    <n v="44.814401171573145"/>
    <n v="44.814401171573145"/>
    <n v="1"/>
    <n v="1"/>
    <n v="1"/>
    <n v="1"/>
    <n v="0"/>
    <n v="0"/>
    <n v="0"/>
    <n v="0"/>
    <n v="0"/>
    <n v="1"/>
    <n v="1"/>
    <n v="1"/>
    <n v="1"/>
    <n v="1"/>
    <n v="1"/>
    <n v="1"/>
    <n v="1"/>
    <m/>
    <m/>
    <n v="44.814401171573145"/>
    <m/>
    <n v="0"/>
    <n v="0"/>
    <m/>
    <m/>
    <n v="44.814401171573145"/>
    <s v="n/a"/>
    <n v="0"/>
    <n v="0"/>
    <n v="0"/>
    <m/>
    <m/>
    <n v="44.814401171573145"/>
    <m/>
    <n v="0"/>
    <n v="0"/>
    <m/>
    <m/>
    <n v="44.814401171573145"/>
    <m/>
    <n v="0"/>
    <n v="0"/>
    <n v="0"/>
    <n v="0"/>
    <n v="0"/>
    <n v="0"/>
    <n v="0"/>
    <s v="NA"/>
    <m/>
  </r>
  <r>
    <s v="NSG"/>
    <x v="4"/>
    <x v="6"/>
    <s v="Whole Building - Public Housing"/>
    <x v="4"/>
    <s v="Steam Small Fitting"/>
    <s v="MF"/>
    <x v="3"/>
    <s v="&quot;3 - Res Pipe Insulation&quot; worksheet"/>
    <s v="each"/>
    <n v="0"/>
    <n v="0"/>
    <n v="0"/>
    <n v="0"/>
    <n v="0"/>
    <m/>
    <n v="1.9537953012070903"/>
    <n v="1.9537953012070903"/>
    <n v="1.9537953012070903"/>
    <n v="1.9537953012070903"/>
    <n v="1"/>
    <n v="1"/>
    <n v="1"/>
    <n v="1"/>
    <n v="0"/>
    <n v="0"/>
    <n v="0"/>
    <n v="0"/>
    <n v="0"/>
    <n v="1"/>
    <n v="1"/>
    <n v="1"/>
    <n v="1"/>
    <n v="1"/>
    <n v="1"/>
    <n v="1"/>
    <n v="1"/>
    <m/>
    <m/>
    <n v="1.9537953012070903"/>
    <m/>
    <n v="0"/>
    <n v="0"/>
    <m/>
    <m/>
    <n v="1.9537953012070903"/>
    <s v="n/a"/>
    <n v="0"/>
    <n v="0"/>
    <n v="0"/>
    <m/>
    <m/>
    <n v="1.9537953012070903"/>
    <m/>
    <n v="0"/>
    <n v="0"/>
    <m/>
    <m/>
    <n v="1.9537953012070903"/>
    <m/>
    <n v="0"/>
    <n v="0"/>
    <n v="0"/>
    <n v="0"/>
    <n v="0"/>
    <n v="0"/>
    <n v="0"/>
    <s v="NA"/>
    <m/>
  </r>
  <r>
    <s v="NSG"/>
    <x v="4"/>
    <x v="6"/>
    <s v="Whole Building - Public Housing"/>
    <x v="4"/>
    <s v="Steam Med Fitting"/>
    <s v="MF"/>
    <x v="3"/>
    <s v="&quot;3 - Res Pipe Insulation&quot; worksheet"/>
    <s v="each"/>
    <n v="0"/>
    <n v="0"/>
    <n v="0"/>
    <n v="0"/>
    <n v="0"/>
    <m/>
    <n v="20.134575475260416"/>
    <n v="20.134575475260416"/>
    <n v="20.134575475260416"/>
    <n v="20.134575475260416"/>
    <n v="1"/>
    <n v="1"/>
    <n v="1"/>
    <n v="1"/>
    <n v="0"/>
    <n v="0"/>
    <n v="0"/>
    <n v="0"/>
    <n v="0"/>
    <n v="1"/>
    <n v="1"/>
    <n v="1"/>
    <n v="1"/>
    <n v="1"/>
    <n v="1"/>
    <n v="1"/>
    <n v="1"/>
    <m/>
    <m/>
    <n v="20.134575475260416"/>
    <m/>
    <n v="0"/>
    <n v="0"/>
    <m/>
    <m/>
    <n v="20.134575475260416"/>
    <s v="n/a"/>
    <n v="0"/>
    <n v="0"/>
    <n v="0"/>
    <m/>
    <m/>
    <n v="20.134575475260416"/>
    <m/>
    <n v="0"/>
    <n v="0"/>
    <m/>
    <m/>
    <n v="20.134575475260416"/>
    <m/>
    <n v="0"/>
    <n v="0"/>
    <n v="0"/>
    <n v="0"/>
    <n v="0"/>
    <n v="0"/>
    <n v="0"/>
    <s v="NA"/>
    <m/>
  </r>
  <r>
    <s v="NSG"/>
    <x v="4"/>
    <x v="6"/>
    <s v="Whole Building - Public Housing"/>
    <x v="4"/>
    <s v="Steam Large Fitting"/>
    <s v="MF"/>
    <x v="3"/>
    <s v="&quot;3 - Res Pipe Insulation&quot; worksheet"/>
    <s v="each"/>
    <n v="0"/>
    <n v="0"/>
    <n v="0"/>
    <n v="0"/>
    <n v="0"/>
    <m/>
    <n v="66.284273233024678"/>
    <n v="66.284273233024678"/>
    <n v="66.284273233024678"/>
    <n v="66.284273233024678"/>
    <n v="1"/>
    <n v="1"/>
    <n v="1"/>
    <n v="1"/>
    <n v="0"/>
    <n v="0"/>
    <n v="0"/>
    <n v="0"/>
    <n v="0"/>
    <n v="1"/>
    <n v="1"/>
    <n v="1"/>
    <n v="1"/>
    <n v="1"/>
    <n v="1"/>
    <n v="1"/>
    <n v="1"/>
    <m/>
    <m/>
    <n v="66.284273233024678"/>
    <m/>
    <n v="0"/>
    <n v="0"/>
    <m/>
    <m/>
    <n v="66.284273233024678"/>
    <s v="n/a"/>
    <n v="0"/>
    <n v="0"/>
    <n v="0"/>
    <m/>
    <m/>
    <n v="66.284273233024678"/>
    <m/>
    <n v="0"/>
    <n v="0"/>
    <m/>
    <m/>
    <n v="66.284273233024678"/>
    <m/>
    <n v="0"/>
    <n v="0"/>
    <n v="0"/>
    <n v="0"/>
    <n v="0"/>
    <n v="0"/>
    <n v="0"/>
    <s v="NA"/>
    <m/>
  </r>
  <r>
    <s v="NSG"/>
    <x v="4"/>
    <x v="6"/>
    <s v="Whole Building - Public Housing"/>
    <x v="4"/>
    <s v="Steam X-Large Fitting"/>
    <s v="MF"/>
    <x v="3"/>
    <s v="&quot;3 - Res Pipe Insulation&quot; worksheet"/>
    <s v="each"/>
    <n v="0"/>
    <n v="0"/>
    <n v="0"/>
    <n v="0"/>
    <n v="0"/>
    <m/>
    <n v="113.8883886472908"/>
    <n v="113.8883886472908"/>
    <n v="113.8883886472908"/>
    <n v="113.8883886472908"/>
    <n v="1"/>
    <n v="1"/>
    <n v="1"/>
    <n v="1"/>
    <n v="0"/>
    <n v="0"/>
    <n v="0"/>
    <n v="0"/>
    <n v="0"/>
    <n v="1"/>
    <n v="1"/>
    <n v="1"/>
    <n v="1"/>
    <n v="1"/>
    <n v="1"/>
    <n v="1"/>
    <n v="1"/>
    <m/>
    <m/>
    <n v="113.8883886472908"/>
    <m/>
    <n v="0"/>
    <n v="0"/>
    <m/>
    <m/>
    <n v="113.8883886472908"/>
    <s v="n/a"/>
    <n v="0"/>
    <n v="0"/>
    <n v="0"/>
    <m/>
    <m/>
    <n v="113.8883886472908"/>
    <m/>
    <n v="0"/>
    <n v="0"/>
    <m/>
    <m/>
    <n v="113.8883886472908"/>
    <m/>
    <n v="0"/>
    <n v="0"/>
    <n v="0"/>
    <n v="0"/>
    <n v="0"/>
    <n v="0"/>
    <n v="0"/>
    <s v="NA"/>
    <m/>
  </r>
  <r>
    <s v="NSG"/>
    <x v="4"/>
    <x v="6"/>
    <s v="Whole Building - Public Housing"/>
    <x v="4"/>
    <s v="Steam Small Valve"/>
    <s v="MF"/>
    <x v="3"/>
    <s v="&quot;3 - Res Pipe Insulation&quot; worksheet"/>
    <s v="each"/>
    <n v="0"/>
    <n v="0"/>
    <n v="0"/>
    <n v="0"/>
    <n v="0"/>
    <m/>
    <n v="11.028529822042056"/>
    <n v="11.028529822042056"/>
    <n v="11.028529822042056"/>
    <n v="11.028529822042056"/>
    <n v="1"/>
    <n v="1"/>
    <n v="1"/>
    <n v="1"/>
    <n v="0"/>
    <n v="0"/>
    <n v="0"/>
    <n v="0"/>
    <n v="0"/>
    <n v="1"/>
    <n v="1"/>
    <n v="1"/>
    <n v="1"/>
    <n v="1"/>
    <n v="1"/>
    <n v="1"/>
    <n v="1"/>
    <m/>
    <m/>
    <n v="11.028529822042056"/>
    <m/>
    <n v="0"/>
    <n v="0"/>
    <m/>
    <m/>
    <n v="11.028529822042056"/>
    <s v="n/a"/>
    <n v="0"/>
    <n v="0"/>
    <n v="0"/>
    <m/>
    <m/>
    <n v="11.028529822042056"/>
    <m/>
    <n v="0"/>
    <n v="0"/>
    <m/>
    <m/>
    <n v="11.028529822042056"/>
    <m/>
    <n v="0"/>
    <n v="0"/>
    <n v="0"/>
    <n v="0"/>
    <n v="0"/>
    <n v="0"/>
    <n v="0"/>
    <s v="NA"/>
    <m/>
  </r>
  <r>
    <s v="NSG"/>
    <x v="4"/>
    <x v="6"/>
    <s v="Whole Building - Public Housing"/>
    <x v="4"/>
    <s v="Steam Med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x v="6"/>
    <s v="Whole Building - Public Housing"/>
    <x v="4"/>
    <s v="Steam Large Valve"/>
    <s v="MF"/>
    <x v="3"/>
    <s v="&quot;3 - Res Pipe Insulation&quot; worksheet"/>
    <s v="each"/>
    <n v="0"/>
    <n v="0"/>
    <n v="0"/>
    <n v="0"/>
    <n v="0"/>
    <m/>
    <n v="133.90978522057964"/>
    <n v="133.90978522057964"/>
    <n v="133.90978522057964"/>
    <n v="133.90978522057964"/>
    <n v="1"/>
    <n v="1"/>
    <n v="1"/>
    <n v="1"/>
    <n v="0"/>
    <n v="0"/>
    <n v="0"/>
    <n v="0"/>
    <n v="0"/>
    <n v="1"/>
    <n v="1"/>
    <n v="1"/>
    <n v="1"/>
    <n v="1"/>
    <n v="1"/>
    <n v="1"/>
    <n v="1"/>
    <m/>
    <m/>
    <n v="133.90978522057964"/>
    <m/>
    <n v="0"/>
    <n v="0"/>
    <m/>
    <m/>
    <n v="133.90978522057964"/>
    <s v="n/a"/>
    <n v="0"/>
    <n v="0"/>
    <n v="0"/>
    <m/>
    <m/>
    <n v="133.90978522057964"/>
    <m/>
    <n v="0"/>
    <n v="0"/>
    <m/>
    <m/>
    <n v="133.90978522057964"/>
    <m/>
    <n v="0"/>
    <n v="0"/>
    <n v="0"/>
    <n v="0"/>
    <n v="0"/>
    <n v="0"/>
    <n v="0"/>
    <s v="NA"/>
    <m/>
  </r>
  <r>
    <s v="NSG"/>
    <x v="4"/>
    <x v="6"/>
    <s v="Whole Building - Public Housing"/>
    <x v="4"/>
    <s v="Steam X-Large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x v="6"/>
    <s v="Whole Building - Public Housing"/>
    <x v="35"/>
    <s v="&gt;=300MBH, &lt;1,500, &gt;=81% AFUE"/>
    <s v="MF"/>
    <x v="3"/>
    <s v="4.4.10"/>
    <s v="each"/>
    <n v="0"/>
    <n v="0"/>
    <n v="0"/>
    <n v="0"/>
    <s v="CI-HVC-BOIL-V10-230101"/>
    <m/>
    <n v="0.63884615384615429"/>
    <n v="0.63884615384615429"/>
    <n v="0.63884615384615429"/>
    <n v="0.63884615384615429"/>
    <n v="1"/>
    <n v="1"/>
    <n v="1"/>
    <n v="1"/>
    <n v="0"/>
    <n v="0"/>
    <n v="0"/>
    <n v="0"/>
    <n v="0"/>
    <n v="1"/>
    <n v="1"/>
    <n v="1"/>
    <n v="1"/>
    <n v="1"/>
    <n v="1"/>
    <n v="1"/>
    <n v="1"/>
    <m/>
    <m/>
    <n v="0.63884615384615429"/>
    <m/>
    <n v="0"/>
    <n v="0"/>
    <m/>
    <m/>
    <n v="0.42050632911392438"/>
    <s v="n/a"/>
    <n v="0"/>
    <n v="0"/>
    <n v="0"/>
    <m/>
    <m/>
    <n v="0.42050632911392438"/>
    <m/>
    <n v="0"/>
    <n v="0"/>
    <m/>
    <m/>
    <n v="0.42050632911392438"/>
    <m/>
    <n v="0"/>
    <n v="0"/>
    <n v="0"/>
    <n v="0"/>
    <n v="0"/>
    <n v="0"/>
    <n v="0"/>
    <s v="NA"/>
    <m/>
  </r>
  <r>
    <s v="NSG"/>
    <x v="4"/>
    <x v="6"/>
    <s v="Whole Building - Public Housing"/>
    <x v="35"/>
    <s v=" &gt;=1500MBH, &gt;=82% TE"/>
    <s v="MF"/>
    <x v="3"/>
    <s v="4.4.10"/>
    <s v="each"/>
    <n v="0"/>
    <n v="0"/>
    <n v="0"/>
    <n v="0"/>
    <s v="CI-HVC-BOIL-V10-230101"/>
    <m/>
    <n v="0.85179487179487012"/>
    <n v="0.85179487179487012"/>
    <n v="0.85179487179487012"/>
    <n v="0.85179487179487012"/>
    <n v="1"/>
    <n v="1"/>
    <n v="1"/>
    <n v="1"/>
    <n v="0"/>
    <n v="0"/>
    <n v="0"/>
    <n v="0"/>
    <n v="0"/>
    <n v="1"/>
    <n v="1"/>
    <n v="1"/>
    <n v="1"/>
    <n v="1"/>
    <n v="1"/>
    <n v="1"/>
    <n v="1"/>
    <m/>
    <m/>
    <n v="0.85179487179487012"/>
    <m/>
    <n v="0"/>
    <n v="0"/>
    <m/>
    <m/>
    <n v="0.63075949367088424"/>
    <s v="n/a"/>
    <n v="0"/>
    <n v="0"/>
    <n v="0"/>
    <m/>
    <m/>
    <n v="0.63075949367088424"/>
    <m/>
    <n v="0"/>
    <n v="0"/>
    <m/>
    <m/>
    <n v="0.63075949367088424"/>
    <m/>
    <n v="0"/>
    <n v="0"/>
    <n v="0"/>
    <n v="0"/>
    <n v="0"/>
    <n v="0"/>
    <n v="0"/>
    <s v="NA"/>
    <m/>
  </r>
  <r>
    <s v="NSG"/>
    <x v="4"/>
    <x v="6"/>
    <s v="Whole Building - Public Housing"/>
    <x v="55"/>
    <n v="0"/>
    <s v="MF"/>
    <x v="3"/>
    <s v="4.4.36"/>
    <s v="each"/>
    <n v="0"/>
    <n v="0"/>
    <n v="0"/>
    <n v="0"/>
    <s v="CI-HVC-SBAC-V03-230101"/>
    <m/>
    <n v="83.05"/>
    <n v="83.05"/>
    <n v="83.05"/>
    <n v="83.05"/>
    <n v="1"/>
    <n v="1"/>
    <n v="1"/>
    <n v="1"/>
    <n v="0"/>
    <n v="0"/>
    <n v="0"/>
    <n v="0"/>
    <n v="0"/>
    <n v="1"/>
    <n v="1"/>
    <n v="1"/>
    <n v="1"/>
    <n v="1"/>
    <n v="1"/>
    <n v="1"/>
    <n v="1"/>
    <m/>
    <m/>
    <n v="83.05"/>
    <m/>
    <n v="0"/>
    <n v="0"/>
    <m/>
    <m/>
    <n v="83.05"/>
    <s v="n/a"/>
    <n v="0"/>
    <n v="0"/>
    <n v="0"/>
    <m/>
    <m/>
    <n v="83.05"/>
    <m/>
    <n v="0"/>
    <n v="0"/>
    <m/>
    <m/>
    <n v="83.05"/>
    <m/>
    <n v="0"/>
    <n v="0"/>
    <n v="0"/>
    <n v="0"/>
    <n v="0"/>
    <n v="0"/>
    <n v="0"/>
    <s v="NA"/>
    <m/>
  </r>
  <r>
    <s v="NSG"/>
    <x v="4"/>
    <x v="6"/>
    <s v="Whole Building - Public Housing"/>
    <x v="46"/>
    <n v="0"/>
    <s v="MF"/>
    <x v="3"/>
    <s v="4.3.8"/>
    <s v="each"/>
    <n v="0"/>
    <n v="0"/>
    <n v="0"/>
    <n v="0"/>
    <s v="CI-HWE-CDHW-V04-230101"/>
    <m/>
    <n v="62.687100553999997"/>
    <n v="62.687100553999997"/>
    <n v="62.687100553999997"/>
    <n v="62.687100553999997"/>
    <n v="1"/>
    <n v="1"/>
    <n v="1"/>
    <n v="1"/>
    <n v="0"/>
    <n v="0"/>
    <n v="0"/>
    <n v="0"/>
    <n v="0"/>
    <n v="1"/>
    <n v="1"/>
    <n v="1"/>
    <n v="1"/>
    <n v="1"/>
    <n v="1"/>
    <n v="1"/>
    <n v="1"/>
    <m/>
    <m/>
    <n v="62.687100553999997"/>
    <m/>
    <n v="0"/>
    <n v="0"/>
    <m/>
    <m/>
    <n v="58.563635988000001"/>
    <s v="Updated inputs to new multifamily assumptions"/>
    <n v="0"/>
    <n v="0"/>
    <n v="0"/>
    <m/>
    <m/>
    <n v="58.563635988000001"/>
    <m/>
    <n v="0"/>
    <n v="0"/>
    <m/>
    <m/>
    <n v="58.563635988000001"/>
    <m/>
    <n v="0"/>
    <n v="0"/>
    <n v="0"/>
    <n v="0"/>
    <n v="0"/>
    <n v="0"/>
    <n v="0"/>
    <s v="NA"/>
    <m/>
  </r>
  <r>
    <s v="NSG"/>
    <x v="4"/>
    <x v="6"/>
    <s v="Whole Building - Public Housing"/>
    <x v="12"/>
    <s v="Central/Indirect MF ≥88% TE"/>
    <s v="MF"/>
    <x v="3"/>
    <s v="4.3.7"/>
    <s v="each"/>
    <n v="0"/>
    <n v="0"/>
    <n v="0"/>
    <n v="0"/>
    <s v="CI-HWE-MDHW-V06-230101"/>
    <m/>
    <n v="453.64159574999974"/>
    <n v="453.64159574999974"/>
    <n v="453.64159574999974"/>
    <n v="453.64159574999974"/>
    <n v="1"/>
    <n v="1"/>
    <n v="1"/>
    <n v="1"/>
    <n v="0"/>
    <n v="0"/>
    <n v="0"/>
    <n v="0"/>
    <n v="0"/>
    <n v="1"/>
    <n v="1"/>
    <n v="1"/>
    <n v="1"/>
    <n v="1"/>
    <n v="1"/>
    <n v="1"/>
    <n v="1"/>
    <m/>
    <m/>
    <n v="474.72634597499967"/>
    <m/>
    <n v="0"/>
    <n v="0"/>
    <m/>
    <m/>
    <n v="474.72634597499967"/>
    <s v="n/a"/>
    <n v="0"/>
    <n v="0"/>
    <n v="0"/>
    <m/>
    <m/>
    <n v="474.72634597499967"/>
    <m/>
    <n v="0"/>
    <n v="0"/>
    <m/>
    <m/>
    <n v="474.72634597499967"/>
    <m/>
    <n v="0"/>
    <n v="0"/>
    <n v="0"/>
    <n v="0"/>
    <n v="0"/>
    <n v="0"/>
    <n v="0"/>
    <s v="NA"/>
    <m/>
  </r>
  <r>
    <s v="NSG"/>
    <x v="4"/>
    <x v="6"/>
    <s v="Whole Building - Public Housing"/>
    <x v="12"/>
    <s v="Storage 0.67 EF"/>
    <s v="MF"/>
    <x v="3"/>
    <s v="4.3.1"/>
    <s v="each"/>
    <n v="0"/>
    <n v="0"/>
    <n v="0"/>
    <n v="0"/>
    <s v="CI-HWE-STWH-V09-230101"/>
    <m/>
    <n v="35.435517834876244"/>
    <n v="35.435517834876244"/>
    <n v="35.435517834876244"/>
    <n v="35.435517834876244"/>
    <n v="1"/>
    <n v="1"/>
    <n v="1"/>
    <n v="1"/>
    <n v="0"/>
    <n v="0"/>
    <n v="0"/>
    <n v="0"/>
    <n v="0"/>
    <n v="1"/>
    <n v="1"/>
    <n v="1"/>
    <n v="1"/>
    <n v="1"/>
    <n v="1"/>
    <n v="1"/>
    <n v="1"/>
    <m/>
    <m/>
    <n v="37.082520776497255"/>
    <m/>
    <n v="0"/>
    <n v="0"/>
    <m/>
    <m/>
    <n v="36.883152385225763"/>
    <s v="n/a"/>
    <n v="0"/>
    <n v="0"/>
    <n v="0"/>
    <m/>
    <m/>
    <n v="36.883152385225763"/>
    <m/>
    <n v="0"/>
    <n v="0"/>
    <m/>
    <m/>
    <n v="36.883152385225763"/>
    <m/>
    <n v="0"/>
    <n v="0"/>
    <n v="0"/>
    <n v="0"/>
    <n v="0"/>
    <n v="0"/>
    <n v="0"/>
    <s v="NA"/>
    <m/>
  </r>
  <r>
    <s v="NSG"/>
    <x v="4"/>
    <x v="6"/>
    <s v="Whole Building - Public Housing"/>
    <x v="12"/>
    <s v="Tankless"/>
    <s v="MF"/>
    <x v="3"/>
    <s v="5.4.2"/>
    <s v="each"/>
    <n v="0"/>
    <n v="0"/>
    <n v="0"/>
    <n v="0"/>
    <s v="RS-HWE-GWHT-V10-220101"/>
    <m/>
    <n v="52.561472982403039"/>
    <n v="52.561472982403039"/>
    <n v="52.561472982403039"/>
    <n v="52.561472982403039"/>
    <n v="1"/>
    <n v="1"/>
    <n v="1"/>
    <n v="1"/>
    <n v="0"/>
    <n v="0"/>
    <n v="0"/>
    <n v="0"/>
    <n v="0"/>
    <n v="1"/>
    <n v="1"/>
    <n v="1"/>
    <n v="1"/>
    <n v="1"/>
    <n v="1"/>
    <n v="1"/>
    <n v="1"/>
    <m/>
    <m/>
    <n v="55.004471022430224"/>
    <m/>
    <n v="0"/>
    <n v="0"/>
    <m/>
    <m/>
    <n v="55.004471022430224"/>
    <s v="n/a"/>
    <n v="0"/>
    <n v="0"/>
    <n v="0"/>
    <m/>
    <m/>
    <n v="55.004471022430224"/>
    <m/>
    <n v="0"/>
    <n v="0"/>
    <m/>
    <m/>
    <n v="55.004471022430224"/>
    <m/>
    <n v="0"/>
    <n v="0"/>
    <n v="0"/>
    <n v="0"/>
    <n v="0"/>
    <n v="0"/>
    <n v="0"/>
    <s v="NA"/>
    <m/>
  </r>
  <r>
    <s v="NSG"/>
    <x v="4"/>
    <x v="6"/>
    <s v="Whole Building - Public Housing"/>
    <x v="75"/>
    <n v="0"/>
    <s v="CI"/>
    <x v="3"/>
    <s v="4.4.27"/>
    <s v="each"/>
    <n v="0"/>
    <n v="0"/>
    <n v="0"/>
    <n v="0"/>
    <s v="CI-HVC-ERVE-V05-230101"/>
    <m/>
    <n v="0.47508182047227931"/>
    <n v="0.47508182047227931"/>
    <n v="0.47508182047227931"/>
    <n v="0.47508182047227931"/>
    <n v="1"/>
    <n v="1"/>
    <n v="1"/>
    <n v="1"/>
    <n v="0"/>
    <n v="0"/>
    <n v="0"/>
    <n v="0"/>
    <n v="0"/>
    <n v="1"/>
    <n v="1"/>
    <n v="1"/>
    <n v="1"/>
    <n v="1"/>
    <n v="1"/>
    <n v="1"/>
    <n v="1"/>
    <m/>
    <m/>
    <n v="0.47508182047227931"/>
    <m/>
    <n v="0"/>
    <n v="0"/>
    <m/>
    <m/>
    <n v="0.47508182047227931"/>
    <s v="n/a"/>
    <n v="0"/>
    <n v="0"/>
    <n v="0"/>
    <m/>
    <m/>
    <n v="0.47508182047227931"/>
    <m/>
    <n v="0"/>
    <n v="0"/>
    <m/>
    <m/>
    <n v="0.47508182047227931"/>
    <m/>
    <n v="0"/>
    <n v="0"/>
    <n v="0"/>
    <n v="0"/>
    <n v="0"/>
    <n v="0"/>
    <n v="0"/>
    <s v="NA"/>
    <m/>
  </r>
  <r>
    <s v="NSG"/>
    <x v="4"/>
    <x v="6"/>
    <s v="Partner Trade Ally Rebate"/>
    <x v="41"/>
    <s v="Test"/>
    <s v="MF"/>
    <x v="3"/>
    <n v="0"/>
    <s v="each"/>
    <n v="0"/>
    <n v="0"/>
    <n v="0"/>
    <n v="0"/>
    <n v="0"/>
    <m/>
    <n v="0"/>
    <n v="0"/>
    <n v="0"/>
    <n v="0"/>
    <n v="1"/>
    <n v="1"/>
    <n v="1"/>
    <n v="1"/>
    <n v="0"/>
    <n v="0"/>
    <n v="0"/>
    <n v="0"/>
    <n v="0"/>
    <n v="1"/>
    <n v="1"/>
    <n v="1"/>
    <n v="1"/>
    <n v="1"/>
    <n v="1"/>
    <n v="1"/>
    <n v="1"/>
    <m/>
    <m/>
    <n v="0"/>
    <m/>
    <n v="0"/>
    <n v="0"/>
    <m/>
    <m/>
    <n v="0"/>
    <s v="n/a"/>
    <n v="0"/>
    <n v="0"/>
    <n v="0"/>
    <m/>
    <m/>
    <n v="0"/>
    <m/>
    <n v="0"/>
    <n v="0"/>
    <m/>
    <m/>
    <n v="0"/>
    <m/>
    <n v="0"/>
    <n v="0"/>
    <n v="0"/>
    <n v="0"/>
    <n v="0"/>
    <n v="0"/>
    <n v="0"/>
    <s v="NA"/>
    <m/>
  </r>
  <r>
    <s v="NSG"/>
    <x v="4"/>
    <x v="6"/>
    <s v="Partner Trade Ally Rebate"/>
    <x v="41"/>
    <s v="HVAC Repair/Rep - Audit"/>
    <s v="MF"/>
    <x v="3"/>
    <s v="4.4.16"/>
    <s v="each"/>
    <n v="0"/>
    <n v="0"/>
    <n v="0"/>
    <n v="0"/>
    <s v="CI-HVC-STRE-V09-230101"/>
    <m/>
    <n v="197.03296629323975"/>
    <n v="197.03296629323975"/>
    <n v="197.03296629323975"/>
    <n v="197.03296629323975"/>
    <n v="1"/>
    <n v="1"/>
    <n v="1"/>
    <n v="1"/>
    <n v="0"/>
    <n v="0"/>
    <n v="0"/>
    <n v="0"/>
    <n v="0"/>
    <n v="1"/>
    <n v="1"/>
    <n v="1"/>
    <n v="1"/>
    <n v="1"/>
    <n v="1"/>
    <n v="1"/>
    <n v="1"/>
    <m/>
    <m/>
    <n v="197.03296629323975"/>
    <m/>
    <n v="0"/>
    <n v="0"/>
    <m/>
    <m/>
    <n v="197.03296629323975"/>
    <s v="Updated inputs for Commercial LPS Space Heating and Industrial/Process Low Pressure"/>
    <n v="0"/>
    <n v="0"/>
    <n v="0"/>
    <m/>
    <m/>
    <n v="197.03296629323975"/>
    <m/>
    <n v="0"/>
    <n v="0"/>
    <m/>
    <m/>
    <n v="197.03296629323975"/>
    <m/>
    <n v="0"/>
    <n v="0"/>
    <n v="0"/>
    <n v="0"/>
    <n v="0"/>
    <n v="0"/>
    <n v="0"/>
    <s v="NA"/>
    <m/>
  </r>
  <r>
    <s v="NSG"/>
    <x v="4"/>
    <x v="6"/>
    <s v="Partner Trade Ally Rebate"/>
    <x v="41"/>
    <s v="HVAC Repair/Rep - No Audit"/>
    <s v="MF"/>
    <x v="3"/>
    <s v="4.4.16"/>
    <s v="each"/>
    <n v="0"/>
    <n v="0"/>
    <n v="0"/>
    <n v="0"/>
    <s v="CI-HVC-STRE-V09-230101"/>
    <m/>
    <n v="53.198900899174738"/>
    <n v="53.198900899174738"/>
    <n v="53.198900899174738"/>
    <n v="53.198900899174738"/>
    <n v="1"/>
    <n v="1"/>
    <n v="1"/>
    <n v="1"/>
    <n v="0"/>
    <n v="0"/>
    <n v="0"/>
    <n v="0"/>
    <n v="0"/>
    <n v="1"/>
    <n v="1"/>
    <n v="1"/>
    <n v="1"/>
    <n v="1"/>
    <n v="1"/>
    <n v="1"/>
    <n v="1"/>
    <m/>
    <m/>
    <n v="53.198900899174738"/>
    <m/>
    <n v="0"/>
    <n v="0"/>
    <m/>
    <m/>
    <n v="53.198900899174738"/>
    <s v="Updated inputs for Commercial LPS Space Heating and Industrial/Process Low Pressure"/>
    <n v="0"/>
    <n v="0"/>
    <n v="0"/>
    <m/>
    <m/>
    <n v="53.198900899174738"/>
    <m/>
    <n v="0"/>
    <n v="0"/>
    <m/>
    <m/>
    <n v="53.198900899174738"/>
    <m/>
    <n v="0"/>
    <n v="0"/>
    <n v="0"/>
    <n v="0"/>
    <n v="0"/>
    <n v="0"/>
    <n v="0"/>
    <s v="NA"/>
    <m/>
  </r>
  <r>
    <s v="NSG"/>
    <x v="4"/>
    <x v="6"/>
    <s v="Partner Trade Ally Rebate"/>
    <x v="4"/>
    <s v="Hyd. Boiler Sm ≤1.25&quot;"/>
    <s v="MF"/>
    <x v="3"/>
    <s v="&quot;3 - Res Pipe Insulation&quot; worksheet"/>
    <s v="each"/>
    <n v="0"/>
    <n v="0"/>
    <n v="0"/>
    <n v="0"/>
    <n v="0"/>
    <m/>
    <n v="2.0682348076923076"/>
    <n v="2.0682348076923076"/>
    <n v="2.0682348076923076"/>
    <n v="2.0682348076923076"/>
    <n v="1"/>
    <n v="1"/>
    <n v="1"/>
    <n v="1"/>
    <n v="0"/>
    <n v="0"/>
    <n v="0"/>
    <n v="0"/>
    <n v="0"/>
    <n v="1"/>
    <n v="1"/>
    <n v="1"/>
    <n v="1"/>
    <n v="1"/>
    <n v="1"/>
    <n v="1"/>
    <n v="1"/>
    <m/>
    <m/>
    <n v="2.0682348076923076"/>
    <m/>
    <n v="0"/>
    <n v="0"/>
    <m/>
    <m/>
    <n v="2.0682348076923076"/>
    <s v="n/a"/>
    <n v="0"/>
    <n v="0"/>
    <n v="0"/>
    <m/>
    <m/>
    <n v="2.0682348076923076"/>
    <m/>
    <n v="0"/>
    <n v="0"/>
    <m/>
    <m/>
    <n v="2.0682348076923076"/>
    <m/>
    <n v="0"/>
    <n v="0"/>
    <n v="0"/>
    <n v="0"/>
    <n v="0"/>
    <n v="0"/>
    <n v="0"/>
    <s v="NA"/>
    <m/>
  </r>
  <r>
    <s v="NSG"/>
    <x v="4"/>
    <x v="6"/>
    <s v="Partner Trade Ally Rebate"/>
    <x v="4"/>
    <s v="Hyd. Boiler Med 1.25-2&quot;"/>
    <s v="MF"/>
    <x v="3"/>
    <s v="&quot;3 - Res Pipe Insulation&quot; worksheet"/>
    <s v="each"/>
    <n v="0"/>
    <n v="0"/>
    <n v="0"/>
    <n v="0"/>
    <n v="0"/>
    <m/>
    <n v="3.6034773504273505"/>
    <n v="3.6034773504273505"/>
    <n v="3.6034773504273505"/>
    <n v="3.6034773504273505"/>
    <n v="1"/>
    <n v="1"/>
    <n v="1"/>
    <n v="1"/>
    <n v="0"/>
    <n v="0"/>
    <n v="0"/>
    <n v="0"/>
    <n v="0"/>
    <n v="1"/>
    <n v="1"/>
    <n v="1"/>
    <n v="1"/>
    <n v="1"/>
    <n v="1"/>
    <n v="1"/>
    <n v="1"/>
    <m/>
    <m/>
    <n v="3.6034773504273505"/>
    <m/>
    <n v="0"/>
    <n v="0"/>
    <m/>
    <m/>
    <n v="3.6034773504273505"/>
    <s v="n/a"/>
    <n v="0"/>
    <n v="0"/>
    <n v="0"/>
    <m/>
    <m/>
    <n v="3.6034773504273505"/>
    <m/>
    <n v="0"/>
    <n v="0"/>
    <m/>
    <m/>
    <n v="3.6034773504273505"/>
    <m/>
    <n v="0"/>
    <n v="0"/>
    <n v="0"/>
    <n v="0"/>
    <n v="0"/>
    <n v="0"/>
    <n v="0"/>
    <s v="NA"/>
    <m/>
  </r>
  <r>
    <s v="NSG"/>
    <x v="4"/>
    <x v="6"/>
    <s v="Partner Trade Ally Rebate"/>
    <x v="4"/>
    <s v="Hyd. Boiler Large ≥2&quot;"/>
    <s v="MF"/>
    <x v="3"/>
    <s v="&quot;3 - Res Pipe Insulation&quot; worksheet"/>
    <s v="each"/>
    <n v="0"/>
    <n v="0"/>
    <n v="0"/>
    <n v="0"/>
    <n v="0"/>
    <m/>
    <n v="6.1867824786324785"/>
    <n v="6.1867824786324785"/>
    <n v="6.1867824786324785"/>
    <n v="6.1867824786324785"/>
    <n v="1"/>
    <n v="1"/>
    <n v="1"/>
    <n v="1"/>
    <n v="0"/>
    <n v="0"/>
    <n v="0"/>
    <n v="0"/>
    <n v="0"/>
    <n v="1"/>
    <n v="1"/>
    <n v="1"/>
    <n v="1"/>
    <n v="1"/>
    <n v="1"/>
    <n v="1"/>
    <n v="1"/>
    <m/>
    <m/>
    <n v="6.1867824786324785"/>
    <m/>
    <n v="0"/>
    <n v="0"/>
    <m/>
    <m/>
    <n v="6.1867824786324785"/>
    <s v="n/a"/>
    <n v="0"/>
    <n v="0"/>
    <n v="0"/>
    <m/>
    <m/>
    <n v="6.1867824786324785"/>
    <m/>
    <n v="0"/>
    <n v="0"/>
    <m/>
    <m/>
    <n v="6.1867824786324785"/>
    <m/>
    <n v="0"/>
    <n v="0"/>
    <n v="0"/>
    <n v="0"/>
    <n v="0"/>
    <n v="0"/>
    <n v="0"/>
    <s v="NA"/>
    <m/>
  </r>
  <r>
    <s v="NSG"/>
    <x v="4"/>
    <x v="6"/>
    <s v="Partner Trade Ally Rebate"/>
    <x v="4"/>
    <s v="HW Small 1&quot; to 2&quot;"/>
    <s v="MF/CI/SMB"/>
    <x v="3"/>
    <s v="&quot;3 - Res Pipe Insulation&quot; worksheet"/>
    <s v="each"/>
    <n v="0"/>
    <n v="0"/>
    <n v="0"/>
    <n v="0"/>
    <n v="0"/>
    <m/>
    <n v="2.6588140926267867"/>
    <n v="2.6588140926267867"/>
    <n v="2.6588140926267867"/>
    <n v="2.6588140926267867"/>
    <n v="1"/>
    <n v="1"/>
    <n v="1"/>
    <n v="1"/>
    <n v="0"/>
    <n v="0"/>
    <n v="0"/>
    <n v="0"/>
    <n v="0"/>
    <n v="1"/>
    <n v="1"/>
    <n v="1"/>
    <n v="1"/>
    <n v="1"/>
    <n v="1"/>
    <n v="1"/>
    <n v="1"/>
    <m/>
    <m/>
    <n v="2.6588140926267867"/>
    <m/>
    <n v="0"/>
    <n v="0"/>
    <m/>
    <m/>
    <n v="2.6588140926267867"/>
    <s v="n/a"/>
    <n v="0"/>
    <n v="0"/>
    <n v="0"/>
    <m/>
    <m/>
    <n v="2.6588140926267867"/>
    <m/>
    <n v="0"/>
    <n v="0"/>
    <m/>
    <m/>
    <n v="2.6588140926267867"/>
    <m/>
    <n v="0"/>
    <n v="0"/>
    <n v="0"/>
    <n v="0"/>
    <n v="0"/>
    <n v="0"/>
    <n v="0"/>
    <s v="NA"/>
    <m/>
  </r>
  <r>
    <s v="NSG"/>
    <x v="4"/>
    <x v="6"/>
    <s v="Partner Trade Ally Rebate"/>
    <x v="4"/>
    <s v="HW Medium 2.1&quot; to 4&quot;"/>
    <s v="MF/CI/SMB"/>
    <x v="3"/>
    <s v="&quot;3 - Res Pipe Insulation&quot; worksheet"/>
    <s v="each"/>
    <n v="0"/>
    <n v="0"/>
    <n v="0"/>
    <n v="0"/>
    <n v="0"/>
    <m/>
    <n v="5.2492031493764015"/>
    <n v="5.2492031493764015"/>
    <n v="5.2492031493764015"/>
    <n v="5.2492031493764015"/>
    <n v="1"/>
    <n v="1"/>
    <n v="1"/>
    <n v="1"/>
    <n v="0"/>
    <n v="0"/>
    <n v="0"/>
    <n v="0"/>
    <n v="0"/>
    <n v="1"/>
    <n v="1"/>
    <n v="1"/>
    <n v="1"/>
    <n v="1"/>
    <n v="1"/>
    <n v="1"/>
    <n v="1"/>
    <m/>
    <m/>
    <n v="5.2492031493764015"/>
    <m/>
    <n v="0"/>
    <n v="0"/>
    <m/>
    <m/>
    <n v="5.2492031493764015"/>
    <s v="n/a"/>
    <n v="0"/>
    <n v="0"/>
    <n v="0"/>
    <m/>
    <m/>
    <n v="5.2492031493764015"/>
    <m/>
    <n v="0"/>
    <n v="0"/>
    <m/>
    <m/>
    <n v="5.2492031493764015"/>
    <m/>
    <n v="0"/>
    <n v="0"/>
    <n v="0"/>
    <n v="0"/>
    <n v="0"/>
    <n v="0"/>
    <n v="0"/>
    <s v="NA"/>
    <m/>
  </r>
  <r>
    <s v="NSG"/>
    <x v="4"/>
    <x v="6"/>
    <s v="Partner Trade Ally Rebate"/>
    <x v="4"/>
    <s v="HW Large &gt;4&quot;"/>
    <s v="MF/CI/SMB"/>
    <x v="3"/>
    <s v="&quot;3 - Res Pipe Insulation&quot; worksheet"/>
    <s v="each"/>
    <n v="0"/>
    <n v="0"/>
    <n v="0"/>
    <n v="0"/>
    <n v="0"/>
    <m/>
    <n v="9.0407613085908682"/>
    <n v="9.0407613085908682"/>
    <n v="9.0407613085908682"/>
    <n v="9.0407613085908682"/>
    <n v="1"/>
    <n v="1"/>
    <n v="1"/>
    <n v="1"/>
    <n v="0"/>
    <n v="0"/>
    <n v="0"/>
    <n v="0"/>
    <n v="0"/>
    <n v="1"/>
    <n v="1"/>
    <n v="1"/>
    <n v="1"/>
    <n v="1"/>
    <n v="1"/>
    <n v="1"/>
    <n v="1"/>
    <m/>
    <m/>
    <n v="9.0407613085908682"/>
    <m/>
    <n v="0"/>
    <n v="0"/>
    <m/>
    <m/>
    <n v="9.0407613085908682"/>
    <s v="n/a"/>
    <n v="0"/>
    <n v="0"/>
    <n v="0"/>
    <m/>
    <m/>
    <n v="9.0407613085908682"/>
    <m/>
    <n v="0"/>
    <n v="0"/>
    <m/>
    <m/>
    <n v="9.0407613085908682"/>
    <m/>
    <n v="0"/>
    <n v="0"/>
    <n v="0"/>
    <n v="0"/>
    <n v="0"/>
    <n v="0"/>
    <n v="0"/>
    <s v="NA"/>
    <m/>
  </r>
  <r>
    <s v="NSG"/>
    <x v="4"/>
    <x v="6"/>
    <s v="Partner Trade Ally Rebate"/>
    <x v="4"/>
    <s v="Steam - Small 1&quot; to 2&quot;"/>
    <s v="MF"/>
    <x v="3"/>
    <s v="&quot;3 - Res Pipe Insulation&quot; worksheet"/>
    <s v="each"/>
    <n v="0"/>
    <n v="0"/>
    <n v="0"/>
    <n v="0"/>
    <n v="0"/>
    <m/>
    <n v="3.967097058288509"/>
    <n v="3.967097058288509"/>
    <n v="3.967097058288509"/>
    <n v="3.967097058288509"/>
    <n v="1"/>
    <n v="1"/>
    <n v="1"/>
    <n v="1"/>
    <n v="0"/>
    <n v="0"/>
    <n v="0"/>
    <n v="0"/>
    <n v="0"/>
    <n v="1"/>
    <n v="1"/>
    <n v="1"/>
    <n v="1"/>
    <n v="1"/>
    <n v="1"/>
    <n v="1"/>
    <n v="1"/>
    <m/>
    <m/>
    <n v="3.967097058288509"/>
    <m/>
    <n v="0"/>
    <n v="0"/>
    <m/>
    <m/>
    <n v="3.967097058288509"/>
    <s v="n/a"/>
    <n v="0"/>
    <n v="0"/>
    <n v="0"/>
    <m/>
    <m/>
    <n v="3.967097058288509"/>
    <m/>
    <n v="0"/>
    <n v="0"/>
    <m/>
    <m/>
    <n v="3.967097058288509"/>
    <m/>
    <n v="0"/>
    <n v="0"/>
    <n v="0"/>
    <n v="0"/>
    <n v="0"/>
    <n v="0"/>
    <n v="0"/>
    <s v="NA"/>
    <m/>
  </r>
  <r>
    <s v="NSG"/>
    <x v="4"/>
    <x v="6"/>
    <s v="Partner Trade Ally Rebate"/>
    <x v="4"/>
    <s v="Steam - Med 2.1&quot; to 5&quot;"/>
    <s v="MF"/>
    <x v="3"/>
    <s v="&quot;3 - Res Pipe Insulation&quot; worksheet"/>
    <s v="each"/>
    <n v="0"/>
    <n v="0"/>
    <n v="0"/>
    <n v="0"/>
    <n v="0"/>
    <m/>
    <n v="15.954497207020932"/>
    <n v="15.954497207020932"/>
    <n v="15.954497207020932"/>
    <n v="15.954497207020932"/>
    <n v="1"/>
    <n v="1"/>
    <n v="1"/>
    <n v="1"/>
    <n v="0"/>
    <n v="0"/>
    <n v="0"/>
    <n v="0"/>
    <n v="0"/>
    <n v="1"/>
    <n v="1"/>
    <n v="1"/>
    <n v="1"/>
    <n v="1"/>
    <n v="1"/>
    <n v="1"/>
    <n v="1"/>
    <m/>
    <m/>
    <n v="15.954497207020932"/>
    <m/>
    <n v="0"/>
    <n v="0"/>
    <m/>
    <m/>
    <n v="15.954497207020932"/>
    <s v="n/a"/>
    <n v="0"/>
    <n v="0"/>
    <n v="0"/>
    <m/>
    <m/>
    <n v="15.954497207020932"/>
    <m/>
    <n v="0"/>
    <n v="0"/>
    <m/>
    <m/>
    <n v="15.954497207020932"/>
    <m/>
    <n v="0"/>
    <n v="0"/>
    <n v="0"/>
    <n v="0"/>
    <n v="0"/>
    <n v="0"/>
    <n v="0"/>
    <s v="NA"/>
    <m/>
  </r>
  <r>
    <s v="NSG"/>
    <x v="4"/>
    <x v="6"/>
    <s v="Partner Trade Ally Rebate"/>
    <x v="4"/>
    <s v="Steam - Large 5.1&quot; to 8&quot;"/>
    <s v="MF"/>
    <x v="3"/>
    <s v="&quot;3 - Res Pipe Insulation&quot; worksheet"/>
    <s v="each"/>
    <n v="0"/>
    <n v="0"/>
    <n v="0"/>
    <n v="0"/>
    <n v="0"/>
    <m/>
    <n v="31.133964854103496"/>
    <n v="31.133964854103496"/>
    <n v="31.133964854103496"/>
    <n v="31.133964854103496"/>
    <n v="1"/>
    <n v="1"/>
    <n v="1"/>
    <n v="1"/>
    <n v="0"/>
    <n v="0"/>
    <n v="0"/>
    <n v="0"/>
    <n v="0"/>
    <n v="1"/>
    <n v="1"/>
    <n v="1"/>
    <n v="1"/>
    <n v="1"/>
    <n v="1"/>
    <n v="1"/>
    <n v="1"/>
    <m/>
    <m/>
    <n v="31.133964854103496"/>
    <m/>
    <n v="0"/>
    <n v="0"/>
    <m/>
    <m/>
    <n v="31.133964854103496"/>
    <s v="n/a"/>
    <n v="0"/>
    <n v="0"/>
    <n v="0"/>
    <m/>
    <m/>
    <n v="31.133964854103496"/>
    <m/>
    <n v="0"/>
    <n v="0"/>
    <m/>
    <m/>
    <n v="31.133964854103496"/>
    <m/>
    <n v="0"/>
    <n v="0"/>
    <n v="0"/>
    <n v="0"/>
    <n v="0"/>
    <n v="0"/>
    <n v="0"/>
    <s v="NA"/>
    <m/>
  </r>
  <r>
    <s v="NSG"/>
    <x v="4"/>
    <x v="6"/>
    <s v="Partner Trade Ally Rebate"/>
    <x v="4"/>
    <s v="Steam - X-Large &gt;8&quot;"/>
    <s v="MF"/>
    <x v="3"/>
    <s v="&quot;3 - Res Pipe Insulation&quot; worksheet"/>
    <s v="each"/>
    <n v="0"/>
    <n v="0"/>
    <n v="0"/>
    <n v="0"/>
    <n v="0"/>
    <m/>
    <n v="44.814401171573145"/>
    <n v="44.814401171573145"/>
    <n v="44.814401171573145"/>
    <n v="44.814401171573145"/>
    <n v="1"/>
    <n v="1"/>
    <n v="1"/>
    <n v="1"/>
    <n v="0"/>
    <n v="0"/>
    <n v="0"/>
    <n v="0"/>
    <n v="0"/>
    <n v="1"/>
    <n v="1"/>
    <n v="1"/>
    <n v="1"/>
    <n v="1"/>
    <n v="1"/>
    <n v="1"/>
    <n v="1"/>
    <m/>
    <m/>
    <n v="44.814401171573145"/>
    <m/>
    <n v="0"/>
    <n v="0"/>
    <m/>
    <m/>
    <n v="44.814401171573145"/>
    <s v="n/a"/>
    <n v="0"/>
    <n v="0"/>
    <n v="0"/>
    <m/>
    <m/>
    <n v="44.814401171573145"/>
    <m/>
    <n v="0"/>
    <n v="0"/>
    <m/>
    <m/>
    <n v="44.814401171573145"/>
    <m/>
    <n v="0"/>
    <n v="0"/>
    <n v="0"/>
    <n v="0"/>
    <n v="0"/>
    <n v="0"/>
    <n v="0"/>
    <s v="NA"/>
    <m/>
  </r>
  <r>
    <s v="NSG"/>
    <x v="4"/>
    <x v="6"/>
    <s v="Partner Trade Ally Rebate"/>
    <x v="4"/>
    <s v="Steam Med Fitting"/>
    <s v="MF"/>
    <x v="3"/>
    <s v="&quot;3 - Res Pipe Insulation&quot; worksheet"/>
    <s v="each"/>
    <n v="0"/>
    <n v="0"/>
    <n v="0"/>
    <n v="0"/>
    <n v="0"/>
    <m/>
    <n v="20.134575475260416"/>
    <n v="20.134575475260416"/>
    <n v="20.134575475260416"/>
    <n v="20.134575475260416"/>
    <n v="1"/>
    <n v="1"/>
    <n v="1"/>
    <n v="1"/>
    <n v="0"/>
    <n v="0"/>
    <n v="0"/>
    <n v="0"/>
    <n v="0"/>
    <n v="1"/>
    <n v="1"/>
    <n v="1"/>
    <n v="1"/>
    <n v="1"/>
    <n v="1"/>
    <n v="1"/>
    <n v="1"/>
    <m/>
    <m/>
    <n v="20.134575475260416"/>
    <m/>
    <n v="0"/>
    <n v="0"/>
    <m/>
    <m/>
    <n v="20.134575475260416"/>
    <s v="n/a"/>
    <n v="0"/>
    <n v="0"/>
    <n v="0"/>
    <m/>
    <m/>
    <n v="20.134575475260416"/>
    <m/>
    <n v="0"/>
    <n v="0"/>
    <m/>
    <m/>
    <n v="20.134575475260416"/>
    <m/>
    <n v="0"/>
    <n v="0"/>
    <n v="0"/>
    <n v="0"/>
    <n v="0"/>
    <n v="0"/>
    <n v="0"/>
    <s v="NA"/>
    <m/>
  </r>
  <r>
    <s v="NSG"/>
    <x v="4"/>
    <x v="6"/>
    <s v="Partner Trade Ally Rebate"/>
    <x v="4"/>
    <s v="Steam Large Fitting"/>
    <s v="MF"/>
    <x v="3"/>
    <s v="&quot;3 - Res Pipe Insulation&quot; worksheet"/>
    <s v="each"/>
    <n v="0"/>
    <n v="0"/>
    <n v="0"/>
    <n v="0"/>
    <n v="0"/>
    <m/>
    <n v="66.284273233024678"/>
    <n v="66.284273233024678"/>
    <n v="66.284273233024678"/>
    <n v="66.284273233024678"/>
    <n v="1"/>
    <n v="1"/>
    <n v="1"/>
    <n v="1"/>
    <n v="0"/>
    <n v="0"/>
    <n v="0"/>
    <n v="0"/>
    <n v="0"/>
    <n v="1"/>
    <n v="1"/>
    <n v="1"/>
    <n v="1"/>
    <n v="1"/>
    <n v="1"/>
    <n v="1"/>
    <n v="1"/>
    <m/>
    <m/>
    <n v="66.284273233024678"/>
    <m/>
    <n v="0"/>
    <n v="0"/>
    <m/>
    <m/>
    <n v="66.284273233024678"/>
    <s v="n/a"/>
    <n v="0"/>
    <n v="0"/>
    <n v="0"/>
    <m/>
    <m/>
    <n v="66.284273233024678"/>
    <m/>
    <n v="0"/>
    <n v="0"/>
    <m/>
    <m/>
    <n v="66.284273233024678"/>
    <m/>
    <n v="0"/>
    <n v="0"/>
    <n v="0"/>
    <n v="0"/>
    <n v="0"/>
    <n v="0"/>
    <n v="0"/>
    <s v="NA"/>
    <m/>
  </r>
  <r>
    <s v="NSG"/>
    <x v="4"/>
    <x v="6"/>
    <s v="Partner Trade Ally Rebate"/>
    <x v="4"/>
    <s v="Steam X-Large Fitting"/>
    <s v="MF"/>
    <x v="3"/>
    <s v="&quot;3 - Res Pipe Insulation&quot; worksheet"/>
    <s v="each"/>
    <n v="0"/>
    <n v="0"/>
    <n v="0"/>
    <n v="0"/>
    <n v="0"/>
    <m/>
    <n v="113.8883886472908"/>
    <n v="113.8883886472908"/>
    <n v="113.8883886472908"/>
    <n v="113.8883886472908"/>
    <n v="1"/>
    <n v="1"/>
    <n v="1"/>
    <n v="1"/>
    <n v="0"/>
    <n v="0"/>
    <n v="0"/>
    <n v="0"/>
    <n v="0"/>
    <n v="1"/>
    <n v="1"/>
    <n v="1"/>
    <n v="1"/>
    <n v="1"/>
    <n v="1"/>
    <n v="1"/>
    <n v="1"/>
    <m/>
    <m/>
    <n v="113.8883886472908"/>
    <m/>
    <n v="0"/>
    <n v="0"/>
    <m/>
    <m/>
    <n v="113.8883886472908"/>
    <s v="n/a"/>
    <n v="0"/>
    <n v="0"/>
    <n v="0"/>
    <m/>
    <m/>
    <n v="113.8883886472908"/>
    <m/>
    <n v="0"/>
    <n v="0"/>
    <m/>
    <m/>
    <n v="113.8883886472908"/>
    <m/>
    <n v="0"/>
    <n v="0"/>
    <n v="0"/>
    <n v="0"/>
    <n v="0"/>
    <n v="0"/>
    <n v="0"/>
    <s v="NA"/>
    <m/>
  </r>
  <r>
    <s v="NSG"/>
    <x v="4"/>
    <x v="6"/>
    <s v="Partner Trade Ally Rebate"/>
    <x v="4"/>
    <s v="Steam Med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x v="6"/>
    <s v="Partner Trade Ally Rebate"/>
    <x v="4"/>
    <s v="Steam Large Valve"/>
    <s v="MF"/>
    <x v="3"/>
    <s v="&quot;3 - Res Pipe Insulation&quot; worksheet"/>
    <s v="each"/>
    <n v="0"/>
    <n v="0"/>
    <n v="0"/>
    <n v="0"/>
    <n v="0"/>
    <m/>
    <n v="133.90978522057964"/>
    <n v="133.90978522057964"/>
    <n v="133.90978522057964"/>
    <n v="133.90978522057964"/>
    <n v="1"/>
    <n v="1"/>
    <n v="1"/>
    <n v="1"/>
    <n v="0"/>
    <n v="0"/>
    <n v="0"/>
    <n v="0"/>
    <n v="0"/>
    <n v="1"/>
    <n v="1"/>
    <n v="1"/>
    <n v="1"/>
    <n v="1"/>
    <n v="1"/>
    <n v="1"/>
    <n v="1"/>
    <m/>
    <m/>
    <n v="133.90978522057964"/>
    <m/>
    <n v="0"/>
    <n v="0"/>
    <m/>
    <m/>
    <n v="133.90978522057964"/>
    <s v="n/a"/>
    <n v="0"/>
    <n v="0"/>
    <n v="0"/>
    <m/>
    <m/>
    <n v="133.90978522057964"/>
    <m/>
    <n v="0"/>
    <n v="0"/>
    <m/>
    <m/>
    <n v="133.90978522057964"/>
    <m/>
    <n v="0"/>
    <n v="0"/>
    <n v="0"/>
    <n v="0"/>
    <n v="0"/>
    <n v="0"/>
    <n v="0"/>
    <s v="NA"/>
    <m/>
  </r>
  <r>
    <s v="NSG"/>
    <x v="4"/>
    <x v="6"/>
    <s v="Partner Trade Ally Rebate"/>
    <x v="4"/>
    <s v="Steam X-Large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x v="6"/>
    <s v="Partner Trade Ally Rebate"/>
    <x v="38"/>
    <n v="0"/>
    <s v="MF/CI/SMB"/>
    <x v="3"/>
    <s v="4.3.12"/>
    <s v="each"/>
    <n v="0"/>
    <n v="0"/>
    <n v="0"/>
    <n v="0"/>
    <s v="CI-HWE-TKIN-V02-220101"/>
    <m/>
    <n v="16.746197539658972"/>
    <n v="16.746197539658972"/>
    <n v="16.746197539658972"/>
    <n v="16.746197539658972"/>
    <n v="1"/>
    <n v="1"/>
    <n v="1"/>
    <n v="1"/>
    <n v="0"/>
    <n v="0"/>
    <n v="0"/>
    <n v="0"/>
    <n v="0"/>
    <n v="1"/>
    <n v="1"/>
    <n v="1"/>
    <n v="1"/>
    <n v="1"/>
    <n v="1"/>
    <n v="1"/>
    <n v="1"/>
    <m/>
    <m/>
    <n v="16.746197539658972"/>
    <m/>
    <n v="0"/>
    <n v="0"/>
    <m/>
    <m/>
    <n v="16.746197539658972"/>
    <s v="n/a"/>
    <n v="0"/>
    <n v="0"/>
    <n v="0"/>
    <m/>
    <m/>
    <n v="16.746197539658972"/>
    <m/>
    <n v="0"/>
    <n v="0"/>
    <m/>
    <m/>
    <n v="16.746197539658972"/>
    <m/>
    <n v="0"/>
    <n v="0"/>
    <n v="0"/>
    <n v="0"/>
    <n v="0"/>
    <n v="0"/>
    <n v="0"/>
    <s v="NA"/>
    <m/>
  </r>
  <r>
    <s v="NSG"/>
    <x v="4"/>
    <x v="6"/>
    <s v="Partner Trade Ally Rebate"/>
    <x v="8"/>
    <n v="0"/>
    <s v="MF/CI/SMB"/>
    <x v="3"/>
    <s v="4.3.12"/>
    <s v="each"/>
    <n v="0"/>
    <n v="0"/>
    <n v="0"/>
    <n v="0"/>
    <s v="CI-HWE-TKIN-V02-220101"/>
    <m/>
    <n v="6.9553729140568805"/>
    <n v="6.9553729140568805"/>
    <n v="6.9553729140568805"/>
    <n v="6.9553729140568805"/>
    <n v="1"/>
    <n v="1"/>
    <n v="1"/>
    <n v="1"/>
    <n v="0"/>
    <n v="0"/>
    <n v="0"/>
    <n v="0"/>
    <n v="0"/>
    <n v="1"/>
    <n v="1"/>
    <n v="1"/>
    <n v="1"/>
    <n v="1"/>
    <n v="1"/>
    <n v="1"/>
    <n v="1"/>
    <m/>
    <m/>
    <n v="9.7375220796796338"/>
    <m/>
    <n v="0"/>
    <n v="0"/>
    <m/>
    <m/>
    <n v="9.7375220796796338"/>
    <s v="n/a"/>
    <n v="0"/>
    <n v="0"/>
    <n v="0"/>
    <m/>
    <m/>
    <n v="9.7375220796796338"/>
    <m/>
    <n v="0"/>
    <n v="0"/>
    <m/>
    <m/>
    <n v="9.7375220796796338"/>
    <m/>
    <n v="0"/>
    <n v="0"/>
    <n v="0"/>
    <n v="0"/>
    <n v="0"/>
    <n v="0"/>
    <n v="0"/>
    <s v="NA"/>
    <m/>
  </r>
  <r>
    <s v="NSG"/>
    <x v="4"/>
    <x v="6"/>
    <s v="Partner Trade Ally Rebate"/>
    <x v="55"/>
    <n v="0"/>
    <s v="MF"/>
    <x v="3"/>
    <s v="4.4.36"/>
    <s v="each"/>
    <n v="0"/>
    <n v="0"/>
    <n v="0"/>
    <n v="0"/>
    <s v="CI-HVC-SBAC-V03-230101"/>
    <m/>
    <n v="83.05"/>
    <n v="83.05"/>
    <n v="83.05"/>
    <n v="83.05"/>
    <n v="1"/>
    <n v="1"/>
    <n v="1"/>
    <n v="1"/>
    <n v="0"/>
    <n v="0"/>
    <n v="0"/>
    <n v="0"/>
    <n v="0"/>
    <n v="1"/>
    <n v="1"/>
    <n v="1"/>
    <n v="1"/>
    <n v="1"/>
    <n v="1"/>
    <n v="1"/>
    <n v="1"/>
    <m/>
    <m/>
    <n v="83.05"/>
    <m/>
    <n v="0"/>
    <n v="0"/>
    <m/>
    <m/>
    <n v="83.05"/>
    <s v="n/a"/>
    <n v="0"/>
    <n v="0"/>
    <n v="0"/>
    <m/>
    <m/>
    <n v="83.05"/>
    <m/>
    <n v="0"/>
    <n v="0"/>
    <m/>
    <m/>
    <n v="83.05"/>
    <m/>
    <n v="0"/>
    <n v="0"/>
    <n v="0"/>
    <n v="0"/>
    <n v="0"/>
    <n v="0"/>
    <n v="0"/>
    <s v="NA"/>
    <m/>
  </r>
  <r>
    <s v="NSG"/>
    <x v="4"/>
    <x v="6"/>
    <s v="Partner Trade Ally Rebate"/>
    <x v="34"/>
    <n v="0"/>
    <s v="MF"/>
    <x v="3"/>
    <s v="4.4.4"/>
    <s v="each"/>
    <n v="0"/>
    <n v="0"/>
    <n v="0"/>
    <n v="0"/>
    <s v="CI-HVC-BLRC-V04-210101"/>
    <m/>
    <n v="1.3288"/>
    <n v="1.3288"/>
    <n v="1.3288"/>
    <n v="1.3288"/>
    <n v="1"/>
    <n v="1"/>
    <n v="1"/>
    <n v="1"/>
    <n v="0"/>
    <n v="0"/>
    <n v="0"/>
    <n v="0"/>
    <n v="0"/>
    <n v="1"/>
    <n v="1"/>
    <n v="1"/>
    <n v="1"/>
    <n v="1"/>
    <n v="1"/>
    <n v="1"/>
    <n v="1"/>
    <m/>
    <m/>
    <n v="1.3288"/>
    <m/>
    <n v="0"/>
    <n v="0"/>
    <m/>
    <m/>
    <n v="1.3288"/>
    <s v="n/a"/>
    <n v="0"/>
    <n v="0"/>
    <n v="0"/>
    <m/>
    <m/>
    <n v="1.3288"/>
    <m/>
    <n v="0"/>
    <n v="0"/>
    <m/>
    <m/>
    <n v="1.3288"/>
    <m/>
    <n v="0"/>
    <n v="0"/>
    <n v="0"/>
    <n v="0"/>
    <n v="0"/>
    <n v="0"/>
    <n v="0"/>
    <s v="NA"/>
    <m/>
  </r>
  <r>
    <s v="NSG"/>
    <x v="4"/>
    <x v="6"/>
    <s v="Partner Trade Ally Rebate"/>
    <x v="21"/>
    <s v="Space Heating"/>
    <s v="MF"/>
    <x v="3"/>
    <s v="4.4.2"/>
    <s v="each"/>
    <n v="0"/>
    <n v="0"/>
    <n v="0"/>
    <n v="0"/>
    <s v="CI-HVC-BLRT-V07-210101"/>
    <m/>
    <n v="0.46874846625766969"/>
    <n v="0.46874846625766969"/>
    <n v="0.46874846625766969"/>
    <n v="0.46874846625766969"/>
    <n v="1"/>
    <n v="1"/>
    <n v="1"/>
    <n v="1"/>
    <n v="0"/>
    <n v="0"/>
    <n v="0"/>
    <n v="0"/>
    <n v="0"/>
    <n v="1"/>
    <n v="1"/>
    <n v="1"/>
    <n v="1"/>
    <n v="1"/>
    <n v="1"/>
    <n v="1"/>
    <n v="1"/>
    <m/>
    <m/>
    <n v="0.46874846625766969"/>
    <m/>
    <n v="0"/>
    <n v="0"/>
    <m/>
    <m/>
    <n v="0.46874846625766969"/>
    <s v="n/a"/>
    <n v="0"/>
    <n v="0"/>
    <n v="0"/>
    <m/>
    <m/>
    <n v="0.46874846625766969"/>
    <m/>
    <n v="0"/>
    <n v="0"/>
    <m/>
    <m/>
    <n v="0.46874846625766969"/>
    <m/>
    <n v="0"/>
    <n v="0"/>
    <n v="0"/>
    <n v="0"/>
    <n v="0"/>
    <n v="0"/>
    <n v="0"/>
    <s v="NA"/>
    <m/>
  </r>
  <r>
    <s v="NSG"/>
    <x v="4"/>
    <x v="6"/>
    <s v="Partner Trade Ally Rebate"/>
    <x v="29"/>
    <n v="0"/>
    <s v="MF"/>
    <x v="3"/>
    <s v="4.4.21"/>
    <s v="each"/>
    <n v="0"/>
    <n v="0"/>
    <n v="0"/>
    <n v="0"/>
    <s v="CI-HVC-LBC-V06-220101"/>
    <m/>
    <n v="0.63181333333333334"/>
    <n v="0.63181333333333334"/>
    <n v="0.63181333333333334"/>
    <n v="0.63181333333333334"/>
    <n v="1"/>
    <n v="1"/>
    <n v="1"/>
    <n v="1"/>
    <n v="0"/>
    <n v="0"/>
    <n v="0"/>
    <n v="0"/>
    <n v="0"/>
    <n v="1"/>
    <n v="1"/>
    <n v="1"/>
    <n v="1"/>
    <n v="1"/>
    <n v="1"/>
    <n v="1"/>
    <n v="1"/>
    <m/>
    <m/>
    <n v="0.63181333333333334"/>
    <m/>
    <n v="0"/>
    <n v="0"/>
    <m/>
    <m/>
    <n v="0.63181333333333334"/>
    <s v="n/a"/>
    <n v="0"/>
    <n v="0"/>
    <n v="0"/>
    <m/>
    <m/>
    <n v="0.63181333333333334"/>
    <m/>
    <n v="0"/>
    <n v="0"/>
    <m/>
    <m/>
    <n v="0.63181333333333334"/>
    <m/>
    <n v="0"/>
    <n v="0"/>
    <n v="0"/>
    <n v="0"/>
    <n v="0"/>
    <n v="0"/>
    <n v="0"/>
    <s v="NA"/>
    <m/>
  </r>
  <r>
    <s v="NSG"/>
    <x v="4"/>
    <x v="6"/>
    <s v="Partner Trade Ally Rebate"/>
    <x v="3"/>
    <s v="Furnace (Replace Manual)"/>
    <s v="MF"/>
    <x v="3"/>
    <s v="5.3.16"/>
    <s v="each"/>
    <n v="0"/>
    <n v="0"/>
    <n v="0"/>
    <n v="0"/>
    <s v="RS-HVC-ADTH-V08-230101"/>
    <m/>
    <n v="67.938000000000002"/>
    <n v="67.938000000000002"/>
    <n v="67.938000000000002"/>
    <n v="67.938000000000002"/>
    <n v="1"/>
    <n v="1"/>
    <n v="1"/>
    <n v="1"/>
    <n v="0"/>
    <n v="0"/>
    <n v="0"/>
    <n v="0"/>
    <n v="0"/>
    <n v="1"/>
    <n v="1"/>
    <n v="1"/>
    <n v="1"/>
    <n v="1"/>
    <n v="1"/>
    <n v="1"/>
    <n v="1"/>
    <m/>
    <m/>
    <n v="66.631500000000003"/>
    <m/>
    <n v="0"/>
    <n v="0"/>
    <m/>
    <m/>
    <n v="66.631500000000003"/>
    <s v="n/a"/>
    <n v="0"/>
    <n v="0"/>
    <n v="0"/>
    <m/>
    <m/>
    <n v="66.631500000000003"/>
    <m/>
    <n v="0"/>
    <n v="0"/>
    <m/>
    <m/>
    <n v="66.631500000000003"/>
    <m/>
    <n v="0"/>
    <n v="0"/>
    <n v="0"/>
    <n v="0"/>
    <n v="0"/>
    <n v="0"/>
    <n v="0"/>
    <s v="NA"/>
    <m/>
  </r>
  <r>
    <s v="NSG"/>
    <x v="4"/>
    <x v="6"/>
    <s v="Partner Trade Ally Rebate"/>
    <x v="3"/>
    <s v="Boiler (Replace Manual)"/>
    <s v="MF"/>
    <x v="3"/>
    <s v="5.3.16"/>
    <s v="each"/>
    <n v="0"/>
    <n v="0"/>
    <n v="0"/>
    <n v="0"/>
    <s v="RS-HVC-ADTH-V08-230101"/>
    <m/>
    <n v="100.386"/>
    <n v="100.386"/>
    <n v="100.386"/>
    <n v="100.386"/>
    <n v="1"/>
    <n v="1"/>
    <n v="1"/>
    <n v="1"/>
    <n v="0"/>
    <n v="0"/>
    <n v="0"/>
    <n v="0"/>
    <n v="0"/>
    <n v="1"/>
    <n v="1"/>
    <n v="1"/>
    <n v="1"/>
    <n v="1"/>
    <n v="1"/>
    <n v="1"/>
    <n v="1"/>
    <m/>
    <m/>
    <n v="98.455500000000001"/>
    <m/>
    <n v="0"/>
    <n v="0"/>
    <m/>
    <m/>
    <n v="98.455500000000001"/>
    <s v="n/a"/>
    <n v="0"/>
    <n v="0"/>
    <n v="0"/>
    <m/>
    <m/>
    <n v="98.455500000000001"/>
    <m/>
    <n v="0"/>
    <n v="0"/>
    <m/>
    <m/>
    <n v="98.455500000000001"/>
    <m/>
    <n v="0"/>
    <n v="0"/>
    <n v="0"/>
    <n v="0"/>
    <n v="0"/>
    <n v="0"/>
    <n v="0"/>
    <s v="NA"/>
    <m/>
  </r>
  <r>
    <s v="NSG"/>
    <x v="4"/>
    <x v="6"/>
    <s v="Partner Trade Ally Rebate"/>
    <x v="3"/>
    <s v="Furnace (Replace Programmable)"/>
    <s v="MF"/>
    <x v="3"/>
    <s v="5.3.16"/>
    <s v="each"/>
    <n v="0"/>
    <n v="0"/>
    <n v="0"/>
    <n v="0"/>
    <s v="RS-HVC-ADTH-V08-230101"/>
    <m/>
    <n v="47.687249999999999"/>
    <n v="47.687249999999999"/>
    <n v="47.687249999999999"/>
    <n v="47.687249999999999"/>
    <n v="1"/>
    <n v="1"/>
    <n v="1"/>
    <n v="1"/>
    <n v="0"/>
    <n v="0"/>
    <n v="0"/>
    <n v="0"/>
    <n v="0"/>
    <n v="1"/>
    <n v="1"/>
    <n v="1"/>
    <n v="1"/>
    <n v="1"/>
    <n v="1"/>
    <n v="1"/>
    <n v="1"/>
    <m/>
    <m/>
    <n v="46.380749999999992"/>
    <m/>
    <n v="0"/>
    <n v="0"/>
    <m/>
    <m/>
    <n v="46.380749999999992"/>
    <s v="n/a"/>
    <n v="0"/>
    <n v="0"/>
    <n v="0"/>
    <m/>
    <m/>
    <n v="46.380749999999992"/>
    <m/>
    <n v="0"/>
    <n v="0"/>
    <m/>
    <m/>
    <n v="46.380749999999992"/>
    <m/>
    <n v="0"/>
    <n v="0"/>
    <n v="0"/>
    <n v="0"/>
    <n v="0"/>
    <n v="0"/>
    <n v="0"/>
    <s v="NA"/>
    <m/>
  </r>
  <r>
    <s v="NSG"/>
    <x v="4"/>
    <x v="6"/>
    <s v="Partner Trade Ally Rebate"/>
    <x v="3"/>
    <s v="Boiler (Replace Programmable)"/>
    <s v="MF"/>
    <x v="3"/>
    <s v="5.3.16"/>
    <s v="each"/>
    <n v="0"/>
    <n v="0"/>
    <n v="0"/>
    <n v="0"/>
    <s v="RS-HVC-ADTH-V08-230101"/>
    <m/>
    <n v="70.463249999999988"/>
    <n v="70.463249999999988"/>
    <n v="70.463249999999988"/>
    <n v="70.463249999999988"/>
    <n v="1"/>
    <n v="1"/>
    <n v="1"/>
    <n v="1"/>
    <n v="0"/>
    <n v="0"/>
    <n v="0"/>
    <n v="0"/>
    <n v="0"/>
    <n v="1"/>
    <n v="1"/>
    <n v="1"/>
    <n v="1"/>
    <n v="1"/>
    <n v="1"/>
    <n v="1"/>
    <n v="1"/>
    <m/>
    <m/>
    <n v="68.532749999999993"/>
    <m/>
    <n v="0"/>
    <n v="0"/>
    <m/>
    <m/>
    <n v="68.532749999999993"/>
    <s v="n/a"/>
    <n v="0"/>
    <n v="0"/>
    <n v="0"/>
    <m/>
    <m/>
    <n v="68.532749999999993"/>
    <m/>
    <n v="0"/>
    <n v="0"/>
    <m/>
    <m/>
    <n v="68.532749999999993"/>
    <m/>
    <n v="0"/>
    <n v="0"/>
    <n v="0"/>
    <n v="0"/>
    <n v="0"/>
    <n v="0"/>
    <n v="0"/>
    <s v="NA"/>
    <m/>
  </r>
  <r>
    <s v="NSG"/>
    <x v="4"/>
    <x v="6"/>
    <s v="Partner Trade Ally Rebate"/>
    <x v="46"/>
    <n v="0"/>
    <s v="MF"/>
    <x v="3"/>
    <s v="4.3.8"/>
    <s v="each"/>
    <n v="0"/>
    <n v="0"/>
    <n v="0"/>
    <n v="0"/>
    <s v="CI-HWE-CDHW-V04-230101"/>
    <m/>
    <n v="62.687100553999997"/>
    <n v="62.687100553999997"/>
    <n v="62.687100553999997"/>
    <n v="62.687100553999997"/>
    <n v="1"/>
    <n v="1"/>
    <n v="1"/>
    <n v="1"/>
    <n v="0"/>
    <n v="0"/>
    <n v="0"/>
    <n v="0"/>
    <n v="0"/>
    <n v="1"/>
    <n v="1"/>
    <n v="1"/>
    <n v="1"/>
    <n v="1"/>
    <n v="1"/>
    <n v="1"/>
    <n v="1"/>
    <m/>
    <m/>
    <n v="62.687100553999997"/>
    <m/>
    <n v="0"/>
    <n v="0"/>
    <m/>
    <m/>
    <n v="58.563635988000001"/>
    <s v="Updated inputs to new multifamily assumptions"/>
    <n v="0"/>
    <n v="0"/>
    <n v="0"/>
    <m/>
    <m/>
    <n v="58.563635988000001"/>
    <m/>
    <n v="0"/>
    <n v="0"/>
    <m/>
    <m/>
    <n v="58.563635988000001"/>
    <m/>
    <n v="0"/>
    <n v="0"/>
    <n v="0"/>
    <n v="0"/>
    <n v="0"/>
    <n v="0"/>
    <n v="0"/>
    <s v="NA"/>
    <m/>
  </r>
  <r>
    <s v="NSG"/>
    <x v="4"/>
    <x v="6"/>
    <s v="Partner Trade Ally Rebate"/>
    <x v="87"/>
    <n v="0"/>
    <s v="MF"/>
    <x v="3"/>
    <s v="n/a"/>
    <s v="each"/>
    <n v="0"/>
    <n v="0"/>
    <n v="0"/>
    <n v="0"/>
    <s v="n/a"/>
    <m/>
    <n v="0"/>
    <n v="0"/>
    <n v="0"/>
    <n v="0"/>
    <n v="1"/>
    <n v="1"/>
    <n v="1"/>
    <n v="1"/>
    <n v="0"/>
    <n v="0"/>
    <n v="0"/>
    <n v="0"/>
    <n v="0"/>
    <n v="1"/>
    <n v="1"/>
    <n v="1"/>
    <n v="1"/>
    <n v="1"/>
    <n v="1"/>
    <n v="1"/>
    <n v="1"/>
    <m/>
    <m/>
    <n v="0"/>
    <m/>
    <n v="0"/>
    <n v="0"/>
    <m/>
    <m/>
    <n v="0"/>
    <s v="n/a"/>
    <n v="0"/>
    <n v="0"/>
    <n v="0"/>
    <m/>
    <m/>
    <n v="0"/>
    <m/>
    <n v="0"/>
    <n v="0"/>
    <m/>
    <m/>
    <n v="0"/>
    <m/>
    <n v="0"/>
    <n v="0"/>
    <n v="0"/>
    <n v="0"/>
    <n v="0"/>
    <n v="0"/>
    <n v="0"/>
    <s v="NA"/>
    <m/>
  </r>
  <r>
    <s v="NSG"/>
    <x v="4"/>
    <x v="6"/>
    <s v="New Construction"/>
    <x v="88"/>
    <n v="0"/>
    <s v="IE"/>
    <x v="3"/>
    <n v="0"/>
    <s v="each"/>
    <n v="0"/>
    <n v="0"/>
    <n v="0"/>
    <n v="0"/>
    <n v="0"/>
    <m/>
    <n v="1"/>
    <n v="1"/>
    <n v="1"/>
    <n v="1"/>
    <n v="1"/>
    <n v="1"/>
    <n v="1"/>
    <n v="1"/>
    <n v="0"/>
    <n v="0"/>
    <n v="0"/>
    <n v="0"/>
    <n v="0"/>
    <n v="1"/>
    <n v="1"/>
    <n v="1"/>
    <n v="1"/>
    <n v="1"/>
    <n v="1"/>
    <n v="1"/>
    <n v="1"/>
    <m/>
    <m/>
    <n v="1"/>
    <m/>
    <n v="0"/>
    <n v="0"/>
    <m/>
    <m/>
    <n v="1"/>
    <s v="n/a"/>
    <n v="0"/>
    <n v="0"/>
    <n v="0"/>
    <m/>
    <m/>
    <n v="1"/>
    <m/>
    <n v="0"/>
    <n v="0"/>
    <m/>
    <m/>
    <n v="1"/>
    <m/>
    <n v="0"/>
    <n v="0"/>
    <n v="0"/>
    <n v="0"/>
    <n v="0"/>
    <n v="0"/>
    <n v="0"/>
    <s v="NA"/>
    <m/>
  </r>
  <r>
    <s v="NSG"/>
    <x v="5"/>
    <x v="9"/>
    <s v="Assessments"/>
    <x v="39"/>
    <n v="0"/>
    <s v="CI"/>
    <x v="3"/>
    <n v="0"/>
    <n v="0"/>
    <n v="0"/>
    <n v="0"/>
    <n v="0"/>
    <n v="0"/>
    <n v="0"/>
    <m/>
    <n v="0"/>
    <n v="0"/>
    <n v="0"/>
    <n v="0"/>
    <n v="0.92"/>
    <n v="0.92"/>
    <n v="0.92"/>
    <n v="0.92"/>
    <n v="0"/>
    <n v="0"/>
    <n v="0"/>
    <n v="0"/>
    <n v="0"/>
    <n v="0.92"/>
    <n v="0.92"/>
    <n v="0.92"/>
    <n v="0.92"/>
    <n v="0.92"/>
    <n v="0.92"/>
    <n v="0.92"/>
    <n v="0.92"/>
    <m/>
    <m/>
    <n v="0"/>
    <m/>
    <n v="0"/>
    <n v="0"/>
    <m/>
    <m/>
    <n v="0"/>
    <s v="n/a"/>
    <n v="0"/>
    <n v="0"/>
    <n v="0"/>
    <m/>
    <m/>
    <n v="0"/>
    <m/>
    <n v="0"/>
    <n v="0"/>
    <m/>
    <m/>
    <n v="0"/>
    <m/>
    <n v="0"/>
    <n v="0"/>
    <n v="0"/>
    <n v="0"/>
    <n v="0"/>
    <n v="0"/>
    <n v="0"/>
    <s v="NA"/>
    <m/>
  </r>
  <r>
    <s v="NSG"/>
    <x v="5"/>
    <x v="9"/>
    <s v="Assessments"/>
    <x v="11"/>
    <n v="0"/>
    <s v="CI"/>
    <x v="3"/>
    <s v="4.3.2"/>
    <n v="0"/>
    <n v="0"/>
    <n v="0"/>
    <n v="0"/>
    <n v="0"/>
    <s v="CI-HWE-LFFA-V11-230101"/>
    <m/>
    <n v="6.1049460431654667"/>
    <n v="6.1049460431654667"/>
    <n v="6.1049460431654667"/>
    <n v="6.1049460431654667"/>
    <n v="0.92"/>
    <n v="0.92"/>
    <n v="0.92"/>
    <n v="0.92"/>
    <n v="0"/>
    <n v="0"/>
    <n v="0"/>
    <n v="0"/>
    <n v="0"/>
    <n v="0.92"/>
    <n v="0.92"/>
    <n v="0.92"/>
    <n v="0.92"/>
    <n v="0.92"/>
    <n v="0.92"/>
    <n v="0.92"/>
    <n v="0.92"/>
    <m/>
    <m/>
    <n v="6.7661870503597124"/>
    <m/>
    <n v="0"/>
    <n v="0"/>
    <m/>
    <m/>
    <n v="6.7661870503597124"/>
    <s v="No savings impacts with existing measure assumptions."/>
    <n v="0"/>
    <n v="0"/>
    <n v="0"/>
    <m/>
    <m/>
    <n v="6.7661870503597124"/>
    <m/>
    <n v="0"/>
    <n v="0"/>
    <m/>
    <m/>
    <n v="6.7661870503597124"/>
    <m/>
    <n v="0"/>
    <n v="0"/>
    <n v="0"/>
    <n v="0"/>
    <n v="0"/>
    <n v="0"/>
    <n v="0"/>
    <s v="NA"/>
    <m/>
  </r>
  <r>
    <s v="NSG"/>
    <x v="5"/>
    <x v="9"/>
    <s v="Assessments"/>
    <x v="7"/>
    <n v="0"/>
    <s v="CI"/>
    <x v="3"/>
    <s v="4.3.2"/>
    <n v="0"/>
    <n v="0"/>
    <n v="0"/>
    <n v="0"/>
    <n v="0"/>
    <s v="CI-HWE-LFFA-V11-230101"/>
    <m/>
    <n v="7.4428057553956828"/>
    <n v="7.4428057553956828"/>
    <n v="7.4428057553956828"/>
    <n v="7.4428057553956828"/>
    <n v="0.92"/>
    <n v="0.92"/>
    <n v="0.92"/>
    <n v="0.92"/>
    <n v="0"/>
    <n v="0"/>
    <n v="0"/>
    <n v="0"/>
    <n v="0"/>
    <n v="0.92"/>
    <n v="0.92"/>
    <n v="0.92"/>
    <n v="0.92"/>
    <n v="0.92"/>
    <n v="0.92"/>
    <n v="0.92"/>
    <n v="0.92"/>
    <m/>
    <m/>
    <n v="8.1501798561151073"/>
    <m/>
    <n v="0"/>
    <n v="0"/>
    <m/>
    <m/>
    <n v="8.1501798561151073"/>
    <s v="No savings impacts with existing measure assumptions."/>
    <n v="0"/>
    <n v="0"/>
    <n v="0"/>
    <m/>
    <m/>
    <n v="8.1501798561151073"/>
    <m/>
    <n v="0"/>
    <n v="0"/>
    <m/>
    <m/>
    <n v="8.1501798561151073"/>
    <m/>
    <n v="0"/>
    <n v="0"/>
    <n v="0"/>
    <n v="0"/>
    <n v="0"/>
    <n v="0"/>
    <n v="0"/>
    <s v="NA"/>
    <m/>
  </r>
  <r>
    <s v="NSG"/>
    <x v="5"/>
    <x v="9"/>
    <s v="Assessments"/>
    <x v="5"/>
    <n v="0"/>
    <s v="CI"/>
    <x v="3"/>
    <s v="4.3.3"/>
    <n v="0"/>
    <n v="0"/>
    <n v="0"/>
    <n v="0"/>
    <n v="0"/>
    <s v="CI-HWE-LFSH-V09-230101"/>
    <m/>
    <n v="20.024378968229996"/>
    <n v="20.024378968229996"/>
    <n v="20.024378968229996"/>
    <n v="20.024378968229996"/>
    <n v="0.92"/>
    <n v="0.92"/>
    <n v="0.92"/>
    <n v="0.92"/>
    <n v="0"/>
    <n v="0"/>
    <n v="0"/>
    <n v="0"/>
    <n v="0"/>
    <n v="0.92"/>
    <n v="0.92"/>
    <n v="0.92"/>
    <n v="0.92"/>
    <n v="0.92"/>
    <n v="0.92"/>
    <n v="0.92"/>
    <n v="0.92"/>
    <m/>
    <m/>
    <n v="21.476039703666711"/>
    <m/>
    <n v="0"/>
    <n v="0"/>
    <m/>
    <m/>
    <n v="21.476039703666711"/>
    <s v="No savings impacts with existing measure assumptions."/>
    <n v="0"/>
    <n v="0"/>
    <n v="0"/>
    <m/>
    <m/>
    <n v="21.476039703666711"/>
    <m/>
    <n v="0"/>
    <n v="0"/>
    <m/>
    <m/>
    <n v="21.476039703666711"/>
    <m/>
    <n v="0"/>
    <n v="0"/>
    <n v="0"/>
    <n v="0"/>
    <n v="0"/>
    <n v="0"/>
    <n v="0"/>
    <s v="NA"/>
    <m/>
  </r>
  <r>
    <s v="NSG"/>
    <x v="5"/>
    <x v="9"/>
    <s v="Assessments"/>
    <x v="4"/>
    <s v="DHW"/>
    <s v="CI"/>
    <x v="3"/>
    <s v="4.4.14"/>
    <n v="0"/>
    <n v="0"/>
    <n v="0"/>
    <n v="0"/>
    <n v="0"/>
    <s v="CI-HVC-PINS-V08-230101"/>
    <m/>
    <n v="0.75299999999999989"/>
    <n v="0.75299999999999989"/>
    <n v="0.75299999999999989"/>
    <n v="0.75299999999999989"/>
    <n v="0.92"/>
    <n v="0.92"/>
    <n v="0.92"/>
    <n v="0.92"/>
    <n v="0"/>
    <n v="0"/>
    <n v="0"/>
    <n v="0"/>
    <n v="0"/>
    <n v="0.92"/>
    <n v="0.92"/>
    <n v="0.92"/>
    <n v="0.92"/>
    <n v="0.92"/>
    <n v="0.92"/>
    <n v="0.92"/>
    <n v="0.92"/>
    <m/>
    <m/>
    <n v="3.8653999999999997"/>
    <m/>
    <n v="0"/>
    <n v="0"/>
    <m/>
    <m/>
    <n v="3.8653999999999997"/>
    <s v="n/a"/>
    <n v="0"/>
    <n v="0"/>
    <n v="0"/>
    <m/>
    <m/>
    <n v="3.8653999999999997"/>
    <m/>
    <n v="0"/>
    <n v="0"/>
    <m/>
    <m/>
    <n v="3.8653999999999997"/>
    <m/>
    <n v="0"/>
    <n v="0"/>
    <n v="0"/>
    <n v="0"/>
    <n v="0"/>
    <n v="0"/>
    <n v="0"/>
    <s v="NA"/>
    <m/>
  </r>
  <r>
    <s v="NSG"/>
    <x v="5"/>
    <x v="9"/>
    <s v="Assessments"/>
    <x v="10"/>
    <n v="0"/>
    <s v="CI"/>
    <x v="3"/>
    <s v="4.2.11"/>
    <n v="0"/>
    <n v="0"/>
    <n v="0"/>
    <n v="0"/>
    <n v="0"/>
    <s v="CI-FSE-CVOV-V02-180101"/>
    <m/>
    <n v="235.77765120000004"/>
    <n v="235.77765120000004"/>
    <n v="235.77765120000004"/>
    <n v="235.77765120000004"/>
    <n v="0.92"/>
    <n v="0.92"/>
    <n v="0.92"/>
    <n v="0.92"/>
    <n v="0"/>
    <n v="0"/>
    <n v="0"/>
    <n v="0"/>
    <n v="0"/>
    <n v="0.92"/>
    <n v="0.92"/>
    <n v="0.92"/>
    <n v="0.92"/>
    <n v="0.92"/>
    <n v="0.92"/>
    <n v="0.92"/>
    <n v="0.92"/>
    <m/>
    <m/>
    <n v="247.22970854399998"/>
    <m/>
    <n v="0"/>
    <n v="0"/>
    <m/>
    <m/>
    <n v="247.22970854399998"/>
    <s v="n/a"/>
    <n v="0"/>
    <n v="0"/>
    <n v="0"/>
    <m/>
    <m/>
    <n v="247.22970854399998"/>
    <m/>
    <n v="0"/>
    <n v="0"/>
    <m/>
    <m/>
    <n v="247.22970854399998"/>
    <m/>
    <n v="0"/>
    <n v="0"/>
    <n v="0"/>
    <n v="0"/>
    <n v="0"/>
    <n v="0"/>
    <n v="0"/>
    <s v="NA"/>
    <m/>
  </r>
  <r>
    <s v="NSG"/>
    <x v="5"/>
    <x v="9"/>
    <s v="Gas Optimization"/>
    <x v="25"/>
    <n v="0"/>
    <s v="CI"/>
    <x v="3"/>
    <n v="0"/>
    <s v="therm"/>
    <n v="0"/>
    <n v="0"/>
    <n v="0"/>
    <n v="0"/>
    <n v="0"/>
    <m/>
    <n v="1"/>
    <n v="1"/>
    <n v="1"/>
    <n v="1"/>
    <n v="0.94"/>
    <n v="0.94"/>
    <n v="0.94"/>
    <n v="0.94"/>
    <n v="0"/>
    <n v="0"/>
    <n v="0"/>
    <n v="0"/>
    <n v="0"/>
    <n v="0.94"/>
    <n v="0.94"/>
    <n v="0.94"/>
    <n v="0.94"/>
    <n v="0.94"/>
    <n v="0.94"/>
    <n v="0.94"/>
    <n v="0.94"/>
    <m/>
    <m/>
    <n v="1"/>
    <m/>
    <n v="0"/>
    <n v="0"/>
    <m/>
    <m/>
    <n v="1"/>
    <s v="n/a"/>
    <n v="0"/>
    <n v="0"/>
    <n v="0"/>
    <m/>
    <m/>
    <n v="1"/>
    <m/>
    <n v="0"/>
    <n v="0"/>
    <m/>
    <m/>
    <n v="1"/>
    <m/>
    <n v="0"/>
    <n v="0"/>
    <n v="0"/>
    <n v="0"/>
    <n v="0"/>
    <n v="0"/>
    <n v="0"/>
    <s v="NA"/>
    <m/>
  </r>
  <r>
    <s v="NSG"/>
    <x v="5"/>
    <x v="9"/>
    <s v="Retrocommissioning"/>
    <x v="24"/>
    <n v="0"/>
    <s v="CI"/>
    <x v="3"/>
    <n v="0"/>
    <s v="therm"/>
    <n v="0"/>
    <n v="0"/>
    <n v="0"/>
    <n v="0"/>
    <n v="0"/>
    <m/>
    <n v="1"/>
    <n v="1"/>
    <n v="1"/>
    <n v="1"/>
    <n v="0.98"/>
    <n v="0.98"/>
    <n v="0.98"/>
    <n v="0.98"/>
    <n v="0"/>
    <n v="0"/>
    <n v="0"/>
    <n v="0"/>
    <n v="0"/>
    <n v="0.98"/>
    <n v="0.98"/>
    <n v="0.98"/>
    <n v="0.98"/>
    <n v="0.98"/>
    <n v="0.98"/>
    <n v="0.98"/>
    <n v="0.98"/>
    <m/>
    <m/>
    <n v="1"/>
    <m/>
    <n v="0"/>
    <n v="0"/>
    <m/>
    <m/>
    <n v="1"/>
    <s v="n/a"/>
    <n v="0"/>
    <n v="0"/>
    <n v="0"/>
    <m/>
    <m/>
    <n v="1"/>
    <m/>
    <n v="0"/>
    <n v="0"/>
    <m/>
    <m/>
    <n v="1"/>
    <m/>
    <n v="0"/>
    <n v="0"/>
    <n v="0"/>
    <n v="0"/>
    <n v="0"/>
    <n v="0"/>
    <n v="0"/>
    <s v="NA"/>
    <m/>
  </r>
  <r>
    <s v="NSG"/>
    <x v="5"/>
    <x v="9"/>
    <s v="Engineering Study"/>
    <x v="69"/>
    <n v="0"/>
    <s v="CI"/>
    <x v="3"/>
    <n v="0"/>
    <n v="0"/>
    <n v="0"/>
    <n v="0"/>
    <n v="0"/>
    <n v="0"/>
    <n v="0"/>
    <m/>
    <n v="0"/>
    <n v="0"/>
    <n v="0"/>
    <n v="0"/>
    <n v="0.92"/>
    <n v="0.92"/>
    <n v="0.92"/>
    <n v="0.92"/>
    <n v="0"/>
    <n v="0"/>
    <n v="0"/>
    <n v="0"/>
    <n v="0"/>
    <n v="0.92"/>
    <n v="0.92"/>
    <n v="0.92"/>
    <n v="0.92"/>
    <n v="0.92"/>
    <n v="0.92"/>
    <n v="0.92"/>
    <n v="0.92"/>
    <m/>
    <m/>
    <n v="0"/>
    <m/>
    <n v="0"/>
    <n v="0"/>
    <m/>
    <m/>
    <n v="0"/>
    <s v="n/a"/>
    <n v="0"/>
    <n v="0"/>
    <n v="0"/>
    <m/>
    <m/>
    <n v="0"/>
    <m/>
    <n v="0"/>
    <n v="0"/>
    <m/>
    <m/>
    <n v="0"/>
    <m/>
    <n v="0"/>
    <n v="0"/>
    <n v="0"/>
    <n v="0"/>
    <n v="0"/>
    <n v="0"/>
    <n v="0"/>
    <s v="NA"/>
    <m/>
  </r>
  <r>
    <s v="NSG"/>
    <x v="5"/>
    <x v="9"/>
    <s v="Staffing"/>
    <x v="68"/>
    <n v="0"/>
    <s v="CI"/>
    <x v="3"/>
    <n v="0"/>
    <s v="each"/>
    <n v="0"/>
    <n v="0"/>
    <n v="0"/>
    <n v="0"/>
    <n v="0"/>
    <m/>
    <n v="0"/>
    <n v="0"/>
    <n v="0"/>
    <n v="0"/>
    <n v="0.92"/>
    <n v="0.92"/>
    <n v="0.92"/>
    <n v="0.92"/>
    <n v="0"/>
    <n v="0"/>
    <n v="0"/>
    <n v="0"/>
    <n v="0"/>
    <n v="0.92"/>
    <n v="0.92"/>
    <n v="0.92"/>
    <n v="0.92"/>
    <n v="0.92"/>
    <n v="0.92"/>
    <n v="0.92"/>
    <n v="0.92"/>
    <m/>
    <m/>
    <n v="0"/>
    <m/>
    <n v="0"/>
    <n v="0"/>
    <m/>
    <m/>
    <n v="0"/>
    <s v="n/a"/>
    <n v="0"/>
    <n v="0"/>
    <n v="0"/>
    <m/>
    <m/>
    <n v="0"/>
    <m/>
    <n v="0"/>
    <n v="0"/>
    <m/>
    <m/>
    <n v="0"/>
    <m/>
    <n v="0"/>
    <n v="0"/>
    <n v="0"/>
    <n v="0"/>
    <n v="0"/>
    <n v="0"/>
    <n v="0"/>
    <s v="NA"/>
    <m/>
  </r>
  <r>
    <s v="NSG"/>
    <x v="5"/>
    <x v="9"/>
    <s v="Rebates"/>
    <x v="28"/>
    <s v="≥88% AFUE, &lt;300MBh"/>
    <s v="CI"/>
    <x v="3"/>
    <s v="4.4.10"/>
    <s v="MBH"/>
    <n v="0"/>
    <n v="0"/>
    <n v="0"/>
    <n v="0"/>
    <s v="CI-HVC-BOIL-V10-230101"/>
    <m/>
    <n v="0.79095238095238163"/>
    <n v="0.79095238095238163"/>
    <n v="0.79095238095238163"/>
    <n v="0.79095238095238163"/>
    <n v="0.92"/>
    <n v="0.92"/>
    <n v="0.92"/>
    <n v="0.92"/>
    <n v="0"/>
    <n v="0"/>
    <n v="0"/>
    <n v="0"/>
    <n v="0"/>
    <n v="0.92"/>
    <n v="0.92"/>
    <n v="0.92"/>
    <n v="0.92"/>
    <n v="0.92"/>
    <n v="0.92"/>
    <n v="0.92"/>
    <n v="0.92"/>
    <m/>
    <m/>
    <n v="0.79095238095238163"/>
    <m/>
    <n v="0"/>
    <n v="0"/>
    <m/>
    <m/>
    <n v="0.79095238095238163"/>
    <s v="n/a"/>
    <n v="0"/>
    <n v="0"/>
    <n v="0"/>
    <m/>
    <m/>
    <n v="0.79095238095238163"/>
    <m/>
    <n v="0"/>
    <n v="0"/>
    <m/>
    <m/>
    <n v="0.79095238095238163"/>
    <m/>
    <n v="0"/>
    <n v="0"/>
    <n v="0"/>
    <n v="0"/>
    <n v="0"/>
    <n v="0"/>
    <n v="0"/>
    <s v="NA"/>
    <m/>
  </r>
  <r>
    <s v="NSG"/>
    <x v="5"/>
    <x v="9"/>
    <s v="Rebates"/>
    <x v="37"/>
    <s v="&gt;95% AFUE"/>
    <s v="CI"/>
    <x v="3"/>
    <s v="4.4.11"/>
    <s v="each"/>
    <n v="0"/>
    <n v="0"/>
    <n v="0"/>
    <n v="0"/>
    <s v="CI-HVC-FRNC-V12-230101"/>
    <m/>
    <n v="247.08549999999985"/>
    <n v="247.08549999999985"/>
    <n v="247.08549999999985"/>
    <n v="247.08549999999985"/>
    <n v="0.92"/>
    <n v="0.92"/>
    <n v="0.92"/>
    <n v="0.92"/>
    <n v="0"/>
    <n v="0"/>
    <n v="0"/>
    <n v="0"/>
    <n v="0"/>
    <n v="0.92"/>
    <n v="0.92"/>
    <n v="0.92"/>
    <n v="0.92"/>
    <n v="0.92"/>
    <n v="0.92"/>
    <n v="0.92"/>
    <n v="0.92"/>
    <m/>
    <m/>
    <n v="247.08549999999985"/>
    <m/>
    <n v="0"/>
    <n v="0"/>
    <m/>
    <m/>
    <n v="247.08549999999985"/>
    <s v="n/a"/>
    <n v="0"/>
    <n v="0"/>
    <n v="0"/>
    <m/>
    <m/>
    <n v="247.08549999999985"/>
    <m/>
    <n v="0"/>
    <n v="0"/>
    <m/>
    <m/>
    <n v="247.08549999999985"/>
    <m/>
    <n v="0"/>
    <n v="0"/>
    <n v="0"/>
    <n v="0"/>
    <n v="0"/>
    <n v="0"/>
    <n v="0"/>
    <s v="NA"/>
    <m/>
  </r>
  <r>
    <s v="NSG"/>
    <x v="5"/>
    <x v="9"/>
    <s v="Rebates"/>
    <x v="21"/>
    <s v="Process"/>
    <s v="MF/CI"/>
    <x v="3"/>
    <s v="4.4.3"/>
    <s v="MBH"/>
    <n v="0"/>
    <n v="0"/>
    <n v="0"/>
    <n v="0"/>
    <s v="CI-HVC-PBTU-V07-230101"/>
    <m/>
    <n v="1.0227353753026578"/>
    <n v="1.0227353753026578"/>
    <n v="1.0227353753026578"/>
    <n v="1.0227353753026578"/>
    <n v="0.92"/>
    <n v="0.92"/>
    <n v="0.92"/>
    <n v="0.92"/>
    <n v="0"/>
    <n v="0"/>
    <n v="0"/>
    <n v="0"/>
    <n v="0"/>
    <n v="0.92"/>
    <n v="0.92"/>
    <n v="0.92"/>
    <n v="0.92"/>
    <n v="0.92"/>
    <n v="0.92"/>
    <n v="0.92"/>
    <n v="0.92"/>
    <m/>
    <m/>
    <n v="1.0227353753026578"/>
    <m/>
    <n v="0"/>
    <n v="0"/>
    <m/>
    <m/>
    <n v="1.0227353753026578"/>
    <s v="Updated measure lifetime."/>
    <n v="0"/>
    <n v="0"/>
    <n v="0"/>
    <m/>
    <m/>
    <n v="1.0227353753026578"/>
    <m/>
    <n v="0"/>
    <n v="0"/>
    <m/>
    <m/>
    <n v="1.0227353753026578"/>
    <m/>
    <n v="0"/>
    <n v="0"/>
    <n v="0"/>
    <n v="0"/>
    <n v="0"/>
    <n v="0"/>
    <n v="0"/>
    <s v="NA"/>
    <m/>
  </r>
  <r>
    <s v="NSG"/>
    <x v="5"/>
    <x v="9"/>
    <s v="Rebates"/>
    <x v="70"/>
    <n v="0"/>
    <s v="MF/CI"/>
    <x v="3"/>
    <s v="4.4.5"/>
    <s v="MBH"/>
    <n v="0"/>
    <n v="0"/>
    <n v="0"/>
    <n v="0"/>
    <s v="CI-HVC-CUHT-V03-230101"/>
    <m/>
    <n v="1.7733333333333334"/>
    <n v="1.7733333333333334"/>
    <n v="1.7733333333333334"/>
    <n v="1.7733333333333334"/>
    <n v="0.92"/>
    <n v="0.92"/>
    <n v="0.92"/>
    <n v="0.92"/>
    <n v="0"/>
    <n v="0"/>
    <n v="0"/>
    <n v="0"/>
    <n v="0"/>
    <n v="0.92"/>
    <n v="0.92"/>
    <n v="0.92"/>
    <n v="0.92"/>
    <n v="0.92"/>
    <n v="0.92"/>
    <n v="0.92"/>
    <n v="0.92"/>
    <m/>
    <m/>
    <n v="1.6896527777777772"/>
    <m/>
    <n v="0"/>
    <n v="0"/>
    <m/>
    <m/>
    <n v="1.6896527777777772"/>
    <s v="n/a"/>
    <n v="0"/>
    <n v="0"/>
    <n v="0"/>
    <m/>
    <m/>
    <n v="1.6896527777777772"/>
    <m/>
    <n v="0"/>
    <n v="0"/>
    <m/>
    <m/>
    <n v="1.6896527777777772"/>
    <m/>
    <n v="0"/>
    <n v="0"/>
    <n v="0"/>
    <n v="0"/>
    <n v="0"/>
    <n v="0"/>
    <n v="0"/>
    <s v="NA"/>
    <m/>
  </r>
  <r>
    <s v="NSG"/>
    <x v="5"/>
    <x v="9"/>
    <s v="Rebates"/>
    <x v="50"/>
    <n v="0"/>
    <s v="MF/CI"/>
    <x v="3"/>
    <s v="4.2.16"/>
    <n v="0"/>
    <n v="0"/>
    <n v="0"/>
    <n v="0"/>
    <n v="0"/>
    <s v="CI-FSE-VENT-V05-230101"/>
    <m/>
    <n v="774"/>
    <n v="774"/>
    <n v="774"/>
    <n v="774"/>
    <n v="0.92"/>
    <n v="0.92"/>
    <n v="0.92"/>
    <n v="0.92"/>
    <n v="0"/>
    <n v="0"/>
    <n v="0"/>
    <n v="0"/>
    <n v="0"/>
    <n v="0.92"/>
    <n v="0.92"/>
    <n v="0.92"/>
    <n v="0.92"/>
    <n v="0.92"/>
    <n v="0.92"/>
    <n v="0.92"/>
    <n v="0.92"/>
    <m/>
    <m/>
    <n v="774"/>
    <m/>
    <n v="0"/>
    <n v="0"/>
    <m/>
    <m/>
    <n v="774"/>
    <s v="n/a"/>
    <n v="0"/>
    <n v="0"/>
    <n v="0"/>
    <m/>
    <m/>
    <n v="774"/>
    <m/>
    <n v="0"/>
    <n v="0"/>
    <m/>
    <m/>
    <n v="774"/>
    <m/>
    <n v="0"/>
    <n v="0"/>
    <n v="0"/>
    <n v="0"/>
    <n v="0"/>
    <n v="0"/>
    <n v="0"/>
    <s v="NA"/>
    <m/>
  </r>
  <r>
    <s v="NSG"/>
    <x v="5"/>
    <x v="9"/>
    <s v="Rebates"/>
    <x v="71"/>
    <n v="0"/>
    <s v="MF/CI"/>
    <x v="3"/>
    <s v="4.4.39"/>
    <s v="MBH"/>
    <n v="0"/>
    <n v="0"/>
    <n v="0"/>
    <n v="0"/>
    <s v="CI-HVC-HTHV-V02-230101"/>
    <m/>
    <n v="3.72"/>
    <n v="3.72"/>
    <n v="3.72"/>
    <n v="3.72"/>
    <n v="0.92"/>
    <n v="0.92"/>
    <n v="0.92"/>
    <n v="0.92"/>
    <n v="0"/>
    <n v="0"/>
    <n v="0"/>
    <n v="0"/>
    <n v="0"/>
    <n v="0.92"/>
    <n v="0.92"/>
    <n v="0.92"/>
    <n v="0.92"/>
    <n v="0.92"/>
    <n v="0.92"/>
    <n v="0.92"/>
    <n v="0.92"/>
    <m/>
    <m/>
    <n v="3.72"/>
    <m/>
    <n v="0"/>
    <n v="0"/>
    <m/>
    <m/>
    <n v="3.72"/>
    <s v="n/a"/>
    <n v="0"/>
    <n v="0"/>
    <n v="0"/>
    <m/>
    <m/>
    <n v="3.72"/>
    <m/>
    <n v="0"/>
    <n v="0"/>
    <m/>
    <m/>
    <n v="3.72"/>
    <m/>
    <n v="0"/>
    <n v="0"/>
    <n v="0"/>
    <n v="0"/>
    <n v="0"/>
    <n v="0"/>
    <n v="0"/>
    <s v="NA"/>
    <m/>
  </r>
  <r>
    <s v="NSG"/>
    <x v="5"/>
    <x v="9"/>
    <s v="Rebates"/>
    <x v="43"/>
    <s v="Hotel/Motel/Hospital"/>
    <s v="CI"/>
    <x v="3"/>
    <s v="4.8.5"/>
    <s v="lb-capacity"/>
    <n v="0"/>
    <n v="0"/>
    <n v="0"/>
    <n v="0"/>
    <s v="CI-MSC-HSCW-V02-210101"/>
    <m/>
    <n v="6.7459391999999996"/>
    <n v="6.7459391999999996"/>
    <n v="6.7459391999999996"/>
    <n v="6.7459391999999996"/>
    <n v="0.92"/>
    <n v="0.92"/>
    <n v="0.92"/>
    <n v="0.92"/>
    <n v="0"/>
    <n v="0"/>
    <n v="0"/>
    <n v="0"/>
    <n v="0"/>
    <n v="0.92"/>
    <n v="0.92"/>
    <n v="0.92"/>
    <n v="0.92"/>
    <n v="0.92"/>
    <n v="0.92"/>
    <n v="0.92"/>
    <n v="0.92"/>
    <m/>
    <m/>
    <n v="6.7459391999999996"/>
    <m/>
    <n v="0"/>
    <n v="0"/>
    <m/>
    <m/>
    <n v="6.7459391999999996"/>
    <s v="n/a"/>
    <n v="0"/>
    <n v="0"/>
    <n v="0"/>
    <m/>
    <m/>
    <n v="6.7459391999999996"/>
    <m/>
    <n v="0"/>
    <n v="0"/>
    <m/>
    <m/>
    <n v="6.7459391999999996"/>
    <m/>
    <n v="0"/>
    <n v="0"/>
    <n v="0"/>
    <n v="0"/>
    <n v="0"/>
    <n v="0"/>
    <n v="0"/>
    <s v="NA"/>
    <m/>
  </r>
  <r>
    <s v="NSG"/>
    <x v="5"/>
    <x v="9"/>
    <s v="Rebates"/>
    <x v="43"/>
    <s v="Laundromat"/>
    <s v="SMB"/>
    <x v="3"/>
    <s v="4.8.5"/>
    <s v="lb-capacity"/>
    <n v="0"/>
    <n v="0"/>
    <n v="0"/>
    <n v="0"/>
    <s v="CI-MSC-HSCW-V02-210101"/>
    <m/>
    <n v="2.7891864000000002"/>
    <n v="2.7891864000000002"/>
    <n v="2.7891864000000002"/>
    <n v="2.7891864000000002"/>
    <n v="0.92"/>
    <n v="0.92"/>
    <n v="0.92"/>
    <n v="0.92"/>
    <n v="0"/>
    <n v="0"/>
    <n v="0"/>
    <n v="0"/>
    <n v="0"/>
    <n v="0.92"/>
    <n v="0.92"/>
    <n v="0.92"/>
    <n v="0.92"/>
    <n v="0.92"/>
    <n v="0.92"/>
    <n v="0.92"/>
    <n v="0.92"/>
    <m/>
    <m/>
    <n v="2.7891864000000002"/>
    <m/>
    <n v="0"/>
    <n v="0"/>
    <m/>
    <m/>
    <n v="2.7891864000000002"/>
    <s v="n/a"/>
    <n v="0"/>
    <n v="0"/>
    <n v="0"/>
    <m/>
    <m/>
    <n v="2.7891864000000002"/>
    <m/>
    <n v="0"/>
    <n v="0"/>
    <m/>
    <m/>
    <n v="2.7891864000000002"/>
    <m/>
    <n v="0"/>
    <n v="0"/>
    <n v="0"/>
    <n v="0"/>
    <n v="0"/>
    <n v="0"/>
    <n v="0"/>
    <s v="NA"/>
    <m/>
  </r>
  <r>
    <s v="NSG"/>
    <x v="5"/>
    <x v="9"/>
    <s v="Rebates"/>
    <x v="72"/>
    <n v="0"/>
    <s v="CI"/>
    <x v="3"/>
    <s v="4.4.48"/>
    <s v="each"/>
    <n v="0"/>
    <n v="0"/>
    <n v="0"/>
    <n v="0"/>
    <s v="CI-HVC-THST-V05-230101"/>
    <m/>
    <n v="196.26391399999997"/>
    <n v="196.26391399999997"/>
    <n v="196.26391399999997"/>
    <n v="196.26391399999997"/>
    <n v="0.93"/>
    <n v="0.93"/>
    <n v="0.93"/>
    <n v="0.93"/>
    <n v="0"/>
    <n v="0"/>
    <n v="0"/>
    <n v="0"/>
    <n v="0"/>
    <n v="0.93"/>
    <n v="0.93"/>
    <n v="0.93"/>
    <n v="0.93"/>
    <n v="0.93"/>
    <n v="0.93"/>
    <n v="0.93"/>
    <n v="0.93"/>
    <m/>
    <m/>
    <n v="157.01113119999999"/>
    <m/>
    <n v="0"/>
    <n v="0"/>
    <m/>
    <m/>
    <n v="157.01113119999999"/>
    <s v="n/a"/>
    <n v="0"/>
    <n v="0"/>
    <n v="0"/>
    <m/>
    <m/>
    <n v="157.01113119999999"/>
    <m/>
    <n v="0"/>
    <n v="0"/>
    <m/>
    <m/>
    <n v="157.01113119999999"/>
    <m/>
    <n v="0"/>
    <n v="0"/>
    <n v="0"/>
    <n v="0"/>
    <n v="0"/>
    <n v="0"/>
    <n v="0"/>
    <s v="NA"/>
    <m/>
  </r>
  <r>
    <s v="NSG"/>
    <x v="5"/>
    <x v="9"/>
    <s v="Rebates"/>
    <x v="29"/>
    <n v="0"/>
    <s v="CI"/>
    <x v="3"/>
    <s v="4.4.21"/>
    <s v="MBH"/>
    <n v="0"/>
    <n v="0"/>
    <n v="0"/>
    <n v="0"/>
    <s v="CI-HVC-LBC-V06-220101"/>
    <m/>
    <n v="0.56277999999999995"/>
    <n v="0.56277999999999995"/>
    <n v="0.56277999999999995"/>
    <n v="0.56277999999999995"/>
    <n v="0.92"/>
    <n v="0.92"/>
    <n v="0.92"/>
    <n v="0.92"/>
    <n v="0"/>
    <n v="0"/>
    <n v="0"/>
    <n v="0"/>
    <n v="0"/>
    <n v="0.92"/>
    <n v="0.92"/>
    <n v="0.92"/>
    <n v="0.92"/>
    <n v="0.92"/>
    <n v="0.92"/>
    <n v="0.92"/>
    <n v="0.92"/>
    <m/>
    <m/>
    <n v="0.56277999999999995"/>
    <m/>
    <n v="0"/>
    <n v="0"/>
    <m/>
    <m/>
    <n v="0.56277999999999995"/>
    <s v="n/a"/>
    <n v="0"/>
    <n v="0"/>
    <n v="0"/>
    <m/>
    <m/>
    <n v="0.56277999999999995"/>
    <m/>
    <n v="0"/>
    <n v="0"/>
    <m/>
    <m/>
    <n v="0.56277999999999995"/>
    <m/>
    <n v="0"/>
    <n v="0"/>
    <n v="0"/>
    <n v="0"/>
    <n v="0"/>
    <n v="0"/>
    <n v="0"/>
    <s v="NA"/>
    <m/>
  </r>
  <r>
    <s v="NSG"/>
    <x v="5"/>
    <x v="9"/>
    <s v="Rebates"/>
    <x v="38"/>
    <n v="0"/>
    <s v="MF/CI/SMB"/>
    <x v="3"/>
    <s v="4.3.12"/>
    <s v="sqft"/>
    <n v="0"/>
    <n v="0"/>
    <n v="0"/>
    <n v="0"/>
    <s v="CI-HWE-TKIN-V02-220101"/>
    <m/>
    <n v="16.746197539658972"/>
    <n v="16.746197539658972"/>
    <n v="16.746197539658972"/>
    <n v="16.746197539658972"/>
    <n v="0.92"/>
    <n v="0.92"/>
    <n v="0.92"/>
    <n v="0.92"/>
    <n v="0"/>
    <n v="0"/>
    <n v="0"/>
    <n v="0"/>
    <n v="0"/>
    <n v="0.92"/>
    <n v="0.92"/>
    <n v="0.92"/>
    <n v="0.92"/>
    <n v="0.92"/>
    <n v="0.92"/>
    <n v="0.92"/>
    <n v="0.92"/>
    <m/>
    <m/>
    <n v="16.746197539658972"/>
    <m/>
    <n v="0"/>
    <n v="0"/>
    <m/>
    <m/>
    <n v="16.746197539658972"/>
    <s v="n/a"/>
    <n v="0"/>
    <n v="0"/>
    <n v="0"/>
    <m/>
    <m/>
    <n v="16.746197539658972"/>
    <m/>
    <n v="0"/>
    <n v="0"/>
    <m/>
    <m/>
    <n v="16.746197539658972"/>
    <m/>
    <n v="0"/>
    <n v="0"/>
    <n v="0"/>
    <n v="0"/>
    <n v="0"/>
    <n v="0"/>
    <n v="0"/>
    <s v="NA"/>
    <m/>
  </r>
  <r>
    <s v="NSG"/>
    <x v="5"/>
    <x v="9"/>
    <s v="Rebates"/>
    <x v="12"/>
    <s v="Storage 0.67 EF"/>
    <s v="CI"/>
    <x v="3"/>
    <s v="4.3.1"/>
    <s v="each"/>
    <n v="0"/>
    <n v="0"/>
    <n v="0"/>
    <n v="0"/>
    <s v="CI-HWE-STWH-V09-230101"/>
    <m/>
    <n v="56.252452620818083"/>
    <n v="56.252452620818083"/>
    <n v="56.252452620818083"/>
    <n v="56.252452620818083"/>
    <n v="0.92"/>
    <n v="0.92"/>
    <n v="0.92"/>
    <n v="0.92"/>
    <n v="0"/>
    <n v="0"/>
    <n v="0"/>
    <n v="0"/>
    <n v="0"/>
    <n v="0.92"/>
    <n v="0.92"/>
    <n v="0.92"/>
    <n v="0.92"/>
    <n v="0.92"/>
    <n v="0.92"/>
    <n v="0.92"/>
    <n v="0.92"/>
    <m/>
    <m/>
    <n v="58.867003235588506"/>
    <m/>
    <n v="0"/>
    <n v="0"/>
    <m/>
    <m/>
    <n v="58.550513970881049"/>
    <s v="n/a"/>
    <n v="0"/>
    <n v="0"/>
    <n v="0"/>
    <m/>
    <m/>
    <n v="58.550513970881049"/>
    <m/>
    <n v="0"/>
    <n v="0"/>
    <m/>
    <m/>
    <n v="58.550513970881049"/>
    <m/>
    <n v="0"/>
    <n v="0"/>
    <n v="0"/>
    <n v="0"/>
    <n v="0"/>
    <n v="0"/>
    <n v="0"/>
    <s v="NA"/>
    <m/>
  </r>
  <r>
    <s v="NSG"/>
    <x v="5"/>
    <x v="9"/>
    <s v="Rebates"/>
    <x v="73"/>
    <n v="0"/>
    <s v="MF/CI"/>
    <x v="3"/>
    <s v="4.4.12"/>
    <s v="MBH"/>
    <n v="0"/>
    <n v="0"/>
    <n v="0"/>
    <n v="0"/>
    <s v="CI-HVC-IRHT-V03-230101"/>
    <m/>
    <n v="2.9611764705882351"/>
    <n v="2.9611764705882351"/>
    <n v="2.9611764705882351"/>
    <n v="2.9611764705882351"/>
    <n v="0.92"/>
    <n v="0.92"/>
    <n v="0.92"/>
    <n v="0.92"/>
    <n v="0"/>
    <n v="0"/>
    <n v="0"/>
    <n v="0"/>
    <n v="0"/>
    <n v="0.92"/>
    <n v="0.92"/>
    <n v="0.92"/>
    <n v="0.92"/>
    <n v="0.92"/>
    <n v="0.92"/>
    <n v="0.92"/>
    <n v="0.92"/>
    <m/>
    <m/>
    <n v="2.9611764705882351"/>
    <m/>
    <n v="0"/>
    <n v="0"/>
    <m/>
    <m/>
    <n v="2.9611764705882351"/>
    <s v="n/a"/>
    <n v="0"/>
    <n v="0"/>
    <n v="0"/>
    <m/>
    <m/>
    <n v="2.9611764705882351"/>
    <m/>
    <n v="0"/>
    <n v="0"/>
    <m/>
    <m/>
    <n v="2.9611764705882351"/>
    <m/>
    <n v="0"/>
    <n v="0"/>
    <n v="0"/>
    <n v="0"/>
    <n v="0"/>
    <n v="0"/>
    <n v="0"/>
    <s v="NA"/>
    <m/>
  </r>
  <r>
    <s v="NSG"/>
    <x v="5"/>
    <x v="9"/>
    <s v="Rebates"/>
    <x v="56"/>
    <s v="Hotels &amp; Hospitals"/>
    <s v="CI"/>
    <x v="3"/>
    <s v="4.8.4"/>
    <s v="each"/>
    <n v="0"/>
    <n v="0"/>
    <n v="0"/>
    <n v="0"/>
    <s v="CI-MSC-MODD-V02-230101"/>
    <m/>
    <n v="649.26"/>
    <n v="649.26"/>
    <n v="649.26"/>
    <n v="649.26"/>
    <n v="0.92"/>
    <n v="0.92"/>
    <n v="0.92"/>
    <n v="0.92"/>
    <n v="0"/>
    <n v="0"/>
    <n v="0"/>
    <n v="0"/>
    <n v="0"/>
    <n v="0.92"/>
    <n v="0.92"/>
    <n v="0.92"/>
    <n v="0.92"/>
    <n v="0.92"/>
    <n v="0.92"/>
    <n v="0.92"/>
    <n v="0.92"/>
    <m/>
    <m/>
    <n v="649.26"/>
    <m/>
    <n v="0"/>
    <n v="0"/>
    <m/>
    <m/>
    <n v="649.26"/>
    <s v="Updated measure lifetime."/>
    <n v="0"/>
    <n v="0"/>
    <n v="0"/>
    <m/>
    <m/>
    <n v="649.26"/>
    <m/>
    <n v="0"/>
    <n v="0"/>
    <m/>
    <m/>
    <n v="649.26"/>
    <m/>
    <n v="0"/>
    <n v="0"/>
    <n v="0"/>
    <n v="0"/>
    <n v="0"/>
    <n v="0"/>
    <n v="0"/>
    <s v="NA"/>
    <m/>
  </r>
  <r>
    <s v="NSG"/>
    <x v="5"/>
    <x v="9"/>
    <s v="Rebates"/>
    <x v="56"/>
    <s v="Laundromat &amp; MF Dorms"/>
    <s v="MF/SMB"/>
    <x v="3"/>
    <s v="4.8.4"/>
    <s v="each"/>
    <n v="0"/>
    <n v="0"/>
    <n v="0"/>
    <n v="0"/>
    <s v="CI-MSC-MODD-V02-230101"/>
    <m/>
    <n v="230.13"/>
    <n v="230.13"/>
    <n v="230.13"/>
    <n v="230.13"/>
    <n v="0.92"/>
    <n v="0.92"/>
    <n v="0.92"/>
    <n v="0.92"/>
    <n v="0"/>
    <n v="0"/>
    <n v="0"/>
    <n v="0"/>
    <n v="0"/>
    <n v="0.92"/>
    <n v="0.92"/>
    <n v="0.92"/>
    <n v="0.92"/>
    <n v="0.92"/>
    <n v="0.92"/>
    <n v="0.92"/>
    <n v="0.92"/>
    <m/>
    <m/>
    <n v="230.13"/>
    <m/>
    <n v="0"/>
    <n v="0"/>
    <m/>
    <m/>
    <n v="230.13"/>
    <s v="Updated measure lifetime."/>
    <n v="0"/>
    <n v="0"/>
    <n v="0"/>
    <m/>
    <m/>
    <n v="230.13"/>
    <m/>
    <n v="0"/>
    <n v="0"/>
    <m/>
    <m/>
    <n v="230.13"/>
    <m/>
    <n v="0"/>
    <n v="0"/>
    <n v="0"/>
    <n v="0"/>
    <n v="0"/>
    <n v="0"/>
    <n v="0"/>
    <s v="NA"/>
    <m/>
  </r>
  <r>
    <s v="NSG"/>
    <x v="5"/>
    <x v="9"/>
    <s v="Rebates"/>
    <x v="74"/>
    <n v="0"/>
    <s v="MF/CI"/>
    <x v="3"/>
    <s v="4.3.6"/>
    <s v="lb-capacity"/>
    <n v="0"/>
    <n v="0"/>
    <n v="0"/>
    <n v="0"/>
    <s v="CI-HWE-OZLD-V07-230101"/>
    <m/>
    <n v="30.722664192350027"/>
    <n v="30.722664192350027"/>
    <n v="30.722664192350027"/>
    <n v="30.722664192350027"/>
    <n v="0.92"/>
    <n v="0.92"/>
    <n v="0.92"/>
    <n v="0.92"/>
    <n v="0"/>
    <n v="0"/>
    <n v="0"/>
    <n v="0"/>
    <n v="0"/>
    <n v="0.92"/>
    <n v="0.92"/>
    <n v="0.92"/>
    <n v="0.92"/>
    <n v="0.92"/>
    <n v="0.92"/>
    <n v="0.92"/>
    <n v="0.92"/>
    <m/>
    <m/>
    <n v="30.722664192350027"/>
    <m/>
    <n v="0"/>
    <n v="0"/>
    <m/>
    <m/>
    <n v="30.722664192350027"/>
    <s v="n/a"/>
    <n v="0"/>
    <n v="0"/>
    <n v="0"/>
    <m/>
    <m/>
    <n v="30.722664192350027"/>
    <m/>
    <n v="0"/>
    <n v="0"/>
    <m/>
    <m/>
    <n v="30.722664192350027"/>
    <m/>
    <n v="0"/>
    <n v="0"/>
    <n v="0"/>
    <n v="0"/>
    <n v="0"/>
    <n v="0"/>
    <n v="0"/>
    <s v="NA"/>
    <m/>
  </r>
  <r>
    <s v="NSG"/>
    <x v="5"/>
    <x v="9"/>
    <s v="Rebates"/>
    <x v="4"/>
    <s v="Steam - X-Large &gt;8&quot;"/>
    <s v="CI"/>
    <x v="3"/>
    <s v="&quot;3 - Pipe Insulation&quot; worksheet"/>
    <s v="ft"/>
    <n v="0"/>
    <n v="0"/>
    <n v="0"/>
    <n v="0"/>
    <n v="0"/>
    <m/>
    <n v="35.984797966765058"/>
    <n v="35.984797966765058"/>
    <n v="35.984797966765058"/>
    <n v="35.984797966765058"/>
    <n v="0.92"/>
    <n v="0.92"/>
    <n v="0.92"/>
    <n v="0.92"/>
    <n v="0"/>
    <n v="0"/>
    <n v="0"/>
    <n v="0"/>
    <n v="0"/>
    <n v="0.92"/>
    <n v="0.92"/>
    <n v="0.92"/>
    <n v="0.92"/>
    <n v="0.92"/>
    <n v="0.92"/>
    <n v="0.92"/>
    <n v="0.92"/>
    <m/>
    <m/>
    <n v="35.984797966765058"/>
    <m/>
    <n v="0"/>
    <n v="0"/>
    <m/>
    <m/>
    <n v="35.984797966765058"/>
    <s v="n/a"/>
    <n v="0"/>
    <n v="0"/>
    <n v="0"/>
    <m/>
    <m/>
    <n v="35.984797966765058"/>
    <m/>
    <n v="0"/>
    <n v="0"/>
    <m/>
    <m/>
    <n v="35.984797966765058"/>
    <m/>
    <n v="0"/>
    <n v="0"/>
    <n v="0"/>
    <n v="0"/>
    <n v="0"/>
    <n v="0"/>
    <n v="0"/>
    <s v="NA"/>
    <m/>
  </r>
  <r>
    <s v="NSG"/>
    <x v="5"/>
    <x v="9"/>
    <s v="Rebates"/>
    <x v="4"/>
    <s v="Steam Med Fitting"/>
    <s v="CI"/>
    <x v="3"/>
    <s v="&quot;3 - Pipe Insulation&quot; worksheet"/>
    <s v="each"/>
    <n v="0"/>
    <n v="0"/>
    <n v="0"/>
    <n v="0"/>
    <n v="0"/>
    <m/>
    <n v="16.16754015857342"/>
    <n v="16.16754015857342"/>
    <n v="16.16754015857342"/>
    <n v="16.16754015857342"/>
    <n v="0.92"/>
    <n v="0.92"/>
    <n v="0.92"/>
    <n v="0.92"/>
    <n v="0"/>
    <n v="0"/>
    <n v="0"/>
    <n v="0"/>
    <n v="0"/>
    <n v="0.92"/>
    <n v="0.92"/>
    <n v="0.92"/>
    <n v="0.92"/>
    <n v="0.92"/>
    <n v="0.92"/>
    <n v="0.92"/>
    <n v="0.92"/>
    <m/>
    <m/>
    <n v="16.16754015857342"/>
    <m/>
    <n v="0"/>
    <n v="0"/>
    <m/>
    <m/>
    <n v="16.16754015857342"/>
    <s v="n/a"/>
    <n v="0"/>
    <n v="0"/>
    <n v="0"/>
    <m/>
    <m/>
    <n v="16.16754015857342"/>
    <m/>
    <n v="0"/>
    <n v="0"/>
    <m/>
    <m/>
    <n v="16.16754015857342"/>
    <m/>
    <n v="0"/>
    <n v="0"/>
    <n v="0"/>
    <n v="0"/>
    <n v="0"/>
    <n v="0"/>
    <n v="0"/>
    <s v="NA"/>
    <m/>
  </r>
  <r>
    <s v="NSG"/>
    <x v="5"/>
    <x v="9"/>
    <s v="Rebates"/>
    <x v="4"/>
    <s v="Steam Large Fitting"/>
    <s v="CI"/>
    <x v="3"/>
    <s v="&quot;3 - Pipe Insulation&quot; worksheet"/>
    <s v="each"/>
    <n v="0"/>
    <n v="0"/>
    <n v="0"/>
    <n v="0"/>
    <n v="0"/>
    <m/>
    <n v="44.895855334511324"/>
    <n v="44.895855334511324"/>
    <n v="44.895855334511324"/>
    <n v="44.895855334511324"/>
    <n v="0.92"/>
    <n v="0.92"/>
    <n v="0.92"/>
    <n v="0.92"/>
    <n v="0"/>
    <n v="0"/>
    <n v="0"/>
    <n v="0"/>
    <n v="0"/>
    <n v="0.92"/>
    <n v="0.92"/>
    <n v="0.92"/>
    <n v="0.92"/>
    <n v="0.92"/>
    <n v="0.92"/>
    <n v="0.92"/>
    <n v="0.92"/>
    <m/>
    <m/>
    <n v="44.895855334511324"/>
    <m/>
    <n v="0"/>
    <n v="0"/>
    <m/>
    <m/>
    <n v="44.895855334511324"/>
    <s v="n/a"/>
    <n v="0"/>
    <n v="0"/>
    <n v="0"/>
    <m/>
    <m/>
    <n v="44.895855334511324"/>
    <m/>
    <n v="0"/>
    <n v="0"/>
    <m/>
    <m/>
    <n v="44.895855334511324"/>
    <m/>
    <n v="0"/>
    <n v="0"/>
    <n v="0"/>
    <n v="0"/>
    <n v="0"/>
    <n v="0"/>
    <n v="0"/>
    <s v="NA"/>
    <m/>
  </r>
  <r>
    <s v="NSG"/>
    <x v="5"/>
    <x v="9"/>
    <s v="Rebates"/>
    <x v="4"/>
    <s v="Steam X-Large Fitting"/>
    <s v="CI"/>
    <x v="3"/>
    <s v="&quot;3 - Pipe Insulation&quot; worksheet"/>
    <s v="each"/>
    <n v="0"/>
    <n v="0"/>
    <n v="0"/>
    <n v="0"/>
    <n v="0"/>
    <m/>
    <n v="80.577400496643122"/>
    <n v="80.577400496643122"/>
    <n v="80.577400496643122"/>
    <n v="80.577400496643122"/>
    <n v="0.92"/>
    <n v="0.92"/>
    <n v="0.92"/>
    <n v="0.92"/>
    <n v="0"/>
    <n v="0"/>
    <n v="0"/>
    <n v="0"/>
    <n v="0"/>
    <n v="0.92"/>
    <n v="0.92"/>
    <n v="0.92"/>
    <n v="0.92"/>
    <n v="0.92"/>
    <n v="0.92"/>
    <n v="0.92"/>
    <n v="0.92"/>
    <m/>
    <m/>
    <n v="80.577400496643122"/>
    <m/>
    <n v="0"/>
    <n v="0"/>
    <m/>
    <m/>
    <n v="80.577400496643122"/>
    <s v="n/a"/>
    <n v="0"/>
    <n v="0"/>
    <n v="0"/>
    <m/>
    <m/>
    <n v="80.577400496643122"/>
    <m/>
    <n v="0"/>
    <n v="0"/>
    <m/>
    <m/>
    <n v="80.577400496643122"/>
    <m/>
    <n v="0"/>
    <n v="0"/>
    <n v="0"/>
    <n v="0"/>
    <n v="0"/>
    <n v="0"/>
    <n v="0"/>
    <s v="NA"/>
    <m/>
  </r>
  <r>
    <s v="NSG"/>
    <x v="5"/>
    <x v="9"/>
    <s v="Rebates"/>
    <x v="4"/>
    <s v="Steam Med Valve"/>
    <s v="CI"/>
    <x v="3"/>
    <s v="&quot;3 - Pipe Insulation&quot; worksheet"/>
    <s v="each"/>
    <n v="0"/>
    <n v="0"/>
    <n v="0"/>
    <n v="0"/>
    <n v="0"/>
    <m/>
    <n v="49.002251273013741"/>
    <n v="49.002251273013741"/>
    <n v="49.002251273013741"/>
    <n v="49.002251273013741"/>
    <n v="0.92"/>
    <n v="0.92"/>
    <n v="0.92"/>
    <n v="0.92"/>
    <n v="0"/>
    <n v="0"/>
    <n v="0"/>
    <n v="0"/>
    <n v="0"/>
    <n v="0.92"/>
    <n v="0.92"/>
    <n v="0.92"/>
    <n v="0.92"/>
    <n v="0.92"/>
    <n v="0.92"/>
    <n v="0.92"/>
    <n v="0.92"/>
    <m/>
    <m/>
    <n v="49.002251273013741"/>
    <m/>
    <n v="0"/>
    <n v="0"/>
    <m/>
    <m/>
    <n v="49.002251273013741"/>
    <s v="n/a"/>
    <n v="0"/>
    <n v="0"/>
    <n v="0"/>
    <m/>
    <m/>
    <n v="49.002251273013741"/>
    <m/>
    <n v="0"/>
    <n v="0"/>
    <m/>
    <m/>
    <n v="49.002251273013741"/>
    <m/>
    <n v="0"/>
    <n v="0"/>
    <n v="0"/>
    <n v="0"/>
    <n v="0"/>
    <n v="0"/>
    <n v="0"/>
    <s v="NA"/>
    <m/>
  </r>
  <r>
    <s v="NSG"/>
    <x v="5"/>
    <x v="9"/>
    <s v="Rebates"/>
    <x v="4"/>
    <s v="Steam Large Valve"/>
    <s v="CI"/>
    <x v="3"/>
    <s v="&quot;3 - Pipe Insulation&quot; worksheet"/>
    <s v="each"/>
    <n v="0"/>
    <n v="0"/>
    <n v="0"/>
    <n v="0"/>
    <n v="0"/>
    <m/>
    <n v="107.52607289087437"/>
    <n v="107.52607289087437"/>
    <n v="107.52607289087437"/>
    <n v="107.52607289087437"/>
    <n v="0.92"/>
    <n v="0.92"/>
    <n v="0.92"/>
    <n v="0.92"/>
    <n v="0"/>
    <n v="0"/>
    <n v="0"/>
    <n v="0"/>
    <n v="0"/>
    <n v="0.92"/>
    <n v="0.92"/>
    <n v="0.92"/>
    <n v="0.92"/>
    <n v="0.92"/>
    <n v="0.92"/>
    <n v="0.92"/>
    <n v="0.92"/>
    <m/>
    <m/>
    <n v="107.52607289087437"/>
    <m/>
    <n v="0"/>
    <n v="0"/>
    <m/>
    <m/>
    <n v="107.52607289087437"/>
    <s v="n/a"/>
    <n v="0"/>
    <n v="0"/>
    <n v="0"/>
    <m/>
    <m/>
    <n v="107.52607289087437"/>
    <m/>
    <n v="0"/>
    <n v="0"/>
    <m/>
    <m/>
    <n v="107.52607289087437"/>
    <m/>
    <n v="0"/>
    <n v="0"/>
    <n v="0"/>
    <n v="0"/>
    <n v="0"/>
    <n v="0"/>
    <n v="0"/>
    <s v="NA"/>
    <m/>
  </r>
  <r>
    <s v="NSG"/>
    <x v="5"/>
    <x v="9"/>
    <s v="Rebates"/>
    <x v="4"/>
    <s v="Steam X-Large Valve"/>
    <s v="CI"/>
    <x v="3"/>
    <s v="&quot;3 - Pipe Insulation&quot; worksheet"/>
    <s v="each"/>
    <n v="0"/>
    <n v="0"/>
    <n v="0"/>
    <n v="0"/>
    <n v="0"/>
    <m/>
    <n v="175.06254164158375"/>
    <n v="175.06254164158375"/>
    <n v="175.06254164158375"/>
    <n v="175.06254164158375"/>
    <n v="0.92"/>
    <n v="0.92"/>
    <n v="0.92"/>
    <n v="0.92"/>
    <n v="0"/>
    <n v="0"/>
    <n v="0"/>
    <n v="0"/>
    <n v="0"/>
    <n v="0.92"/>
    <n v="0.92"/>
    <n v="0.92"/>
    <n v="0.92"/>
    <n v="0.92"/>
    <n v="0.92"/>
    <n v="0.92"/>
    <n v="0.92"/>
    <m/>
    <m/>
    <n v="175.06254164158375"/>
    <m/>
    <n v="0"/>
    <n v="0"/>
    <m/>
    <m/>
    <n v="175.06254164158375"/>
    <s v="n/a"/>
    <n v="0"/>
    <n v="0"/>
    <n v="0"/>
    <m/>
    <m/>
    <n v="175.06254164158375"/>
    <m/>
    <n v="0"/>
    <n v="0"/>
    <m/>
    <m/>
    <n v="175.06254164158375"/>
    <m/>
    <n v="0"/>
    <n v="0"/>
    <n v="0"/>
    <n v="0"/>
    <n v="0"/>
    <n v="0"/>
    <n v="0"/>
    <s v="NA"/>
    <m/>
  </r>
  <r>
    <s v="NSG"/>
    <x v="5"/>
    <x v="9"/>
    <s v="Rebates"/>
    <x v="10"/>
    <n v="0"/>
    <s v="CI"/>
    <x v="3"/>
    <s v="4.2.11"/>
    <s v="each"/>
    <n v="0"/>
    <n v="0"/>
    <n v="0"/>
    <n v="0"/>
    <s v="CI-FSE-CVOV-V02-180101"/>
    <m/>
    <n v="235.77765120000004"/>
    <n v="235.77765120000004"/>
    <n v="235.77765120000004"/>
    <n v="235.77765120000004"/>
    <n v="0.92"/>
    <n v="0.92"/>
    <n v="0.92"/>
    <n v="0.92"/>
    <n v="0"/>
    <n v="0"/>
    <n v="0"/>
    <n v="0"/>
    <n v="0"/>
    <n v="0.92"/>
    <n v="0.92"/>
    <n v="0.92"/>
    <n v="0.92"/>
    <n v="0.92"/>
    <n v="0.92"/>
    <n v="0.92"/>
    <n v="0.92"/>
    <m/>
    <m/>
    <n v="247.22970854399998"/>
    <m/>
    <n v="0"/>
    <n v="0"/>
    <m/>
    <m/>
    <n v="247.22970854399998"/>
    <s v="n/a"/>
    <n v="0"/>
    <n v="0"/>
    <n v="0"/>
    <m/>
    <m/>
    <n v="247.22970854399998"/>
    <m/>
    <n v="0"/>
    <n v="0"/>
    <m/>
    <m/>
    <n v="247.22970854399998"/>
    <m/>
    <n v="0"/>
    <n v="0"/>
    <n v="0"/>
    <n v="0"/>
    <n v="0"/>
    <n v="0"/>
    <n v="0"/>
    <s v="NA"/>
    <m/>
  </r>
  <r>
    <s v="NSG"/>
    <x v="5"/>
    <x v="9"/>
    <s v="Rebates"/>
    <x v="41"/>
    <s v="Dry Cleaner/Industrial - No Audit"/>
    <s v="MF/CI/SMB"/>
    <x v="3"/>
    <s v="4.4.16"/>
    <s v="each"/>
    <n v="0"/>
    <n v="0"/>
    <n v="0"/>
    <n v="0"/>
    <s v="CI-HVC-STRE-V09-230101"/>
    <m/>
    <n v="174.96360308617389"/>
    <n v="174.96360308617389"/>
    <n v="174.96360308617389"/>
    <n v="174.96360308617389"/>
    <n v="0.92"/>
    <n v="0.92"/>
    <n v="0.92"/>
    <n v="0.92"/>
    <n v="0"/>
    <n v="0"/>
    <n v="0"/>
    <n v="0"/>
    <n v="0"/>
    <n v="0.92"/>
    <n v="0.92"/>
    <n v="0.92"/>
    <n v="0.92"/>
    <n v="0.92"/>
    <n v="0.92"/>
    <n v="0.92"/>
    <n v="0.92"/>
    <m/>
    <m/>
    <n v="174.96360308617389"/>
    <m/>
    <n v="0"/>
    <n v="0"/>
    <m/>
    <m/>
    <n v="174.96360308617389"/>
    <s v="Updated inputs for Commercial LPS Space Heating and Industrial/Process Low Pressure"/>
    <n v="0"/>
    <n v="0"/>
    <n v="0"/>
    <m/>
    <m/>
    <n v="174.96360308617389"/>
    <m/>
    <n v="0"/>
    <n v="0"/>
    <m/>
    <m/>
    <n v="174.96360308617389"/>
    <m/>
    <n v="0"/>
    <n v="0"/>
    <n v="0"/>
    <n v="0"/>
    <n v="0"/>
    <n v="0"/>
    <n v="0"/>
    <s v="NA"/>
    <m/>
  </r>
  <r>
    <s v="NSG"/>
    <x v="5"/>
    <x v="9"/>
    <s v="Rebates"/>
    <x v="41"/>
    <s v="Dry Cleaner/Industrial - Audit"/>
    <s v="MF/CI/SMB"/>
    <x v="3"/>
    <s v="4.4.16"/>
    <s v="each"/>
    <n v="0"/>
    <n v="0"/>
    <n v="0"/>
    <n v="0"/>
    <s v="CI-HVC-STRE-V09-230101"/>
    <m/>
    <n v="648.01334476360694"/>
    <n v="648.01334476360694"/>
    <n v="648.01334476360694"/>
    <n v="648.01334476360694"/>
    <n v="0.92"/>
    <n v="0.92"/>
    <n v="0.92"/>
    <n v="0.92"/>
    <n v="0"/>
    <n v="0"/>
    <n v="0"/>
    <n v="0"/>
    <n v="0"/>
    <n v="0.92"/>
    <n v="0.92"/>
    <n v="0.92"/>
    <n v="0.92"/>
    <n v="0.92"/>
    <n v="0.92"/>
    <n v="0.92"/>
    <n v="0.92"/>
    <m/>
    <m/>
    <n v="648.01334476360694"/>
    <m/>
    <n v="0"/>
    <n v="0"/>
    <m/>
    <m/>
    <n v="648.01334476360694"/>
    <s v="Updated inputs for Commercial LPS Space Heating and Industrial/Process Low Pressure"/>
    <n v="0"/>
    <n v="0"/>
    <n v="0"/>
    <m/>
    <m/>
    <n v="648.01334476360694"/>
    <m/>
    <n v="0"/>
    <n v="0"/>
    <m/>
    <m/>
    <n v="648.01334476360694"/>
    <m/>
    <n v="0"/>
    <n v="0"/>
    <n v="0"/>
    <n v="0"/>
    <n v="0"/>
    <n v="0"/>
    <n v="0"/>
    <s v="NA"/>
    <m/>
  </r>
  <r>
    <s v="NSG"/>
    <x v="5"/>
    <x v="9"/>
    <s v="Rebates"/>
    <x v="41"/>
    <s v="HVAC Repair/Rep - No Audit"/>
    <s v="CI"/>
    <x v="3"/>
    <s v="4.4.16"/>
    <s v="each"/>
    <n v="0"/>
    <n v="0"/>
    <n v="0"/>
    <n v="0"/>
    <s v="CI-HVC-STRE-V09-230101"/>
    <m/>
    <n v="103.61717935878508"/>
    <n v="103.61717935878508"/>
    <n v="103.61717935878508"/>
    <n v="103.61717935878508"/>
    <n v="0.92"/>
    <n v="0.92"/>
    <n v="0.92"/>
    <n v="0.92"/>
    <n v="0"/>
    <n v="0"/>
    <n v="0"/>
    <n v="0"/>
    <n v="0"/>
    <n v="0.92"/>
    <n v="0.92"/>
    <n v="0.92"/>
    <n v="0.92"/>
    <n v="0.92"/>
    <n v="0.92"/>
    <n v="0.92"/>
    <n v="0.92"/>
    <m/>
    <m/>
    <n v="103.61717935878508"/>
    <m/>
    <n v="0"/>
    <n v="0"/>
    <m/>
    <m/>
    <n v="210.59502881757265"/>
    <s v="Updated inputs for Commercial LPS Space Heating and Industrial/Process Low Pressure"/>
    <n v="0"/>
    <n v="0"/>
    <n v="0"/>
    <m/>
    <m/>
    <n v="210.59502881757265"/>
    <m/>
    <n v="0"/>
    <n v="0"/>
    <m/>
    <m/>
    <n v="210.59502881757265"/>
    <m/>
    <n v="0"/>
    <n v="0"/>
    <n v="0"/>
    <n v="0"/>
    <n v="0"/>
    <n v="0"/>
    <n v="0"/>
    <s v="NA"/>
    <m/>
  </r>
  <r>
    <s v="NSG"/>
    <x v="5"/>
    <x v="9"/>
    <s v="Rebates"/>
    <x v="41"/>
    <s v="Industrial/Process Audit - psig ≤ 15"/>
    <s v="CI/SMB"/>
    <x v="3"/>
    <s v="4.4.16"/>
    <s v="each"/>
    <n v="0"/>
    <n v="0"/>
    <n v="0"/>
    <n v="0"/>
    <s v="CI-HVC-STRE-V09-230101"/>
    <m/>
    <n v="788.87094440257943"/>
    <n v="788.87094440257943"/>
    <n v="788.87094440257943"/>
    <n v="788.87094440257943"/>
    <n v="0.92"/>
    <n v="0.92"/>
    <n v="0.92"/>
    <n v="0.92"/>
    <n v="0"/>
    <n v="0"/>
    <n v="0"/>
    <n v="0"/>
    <n v="0"/>
    <n v="0.92"/>
    <n v="0.92"/>
    <n v="0.92"/>
    <n v="0.92"/>
    <n v="0.92"/>
    <n v="0.92"/>
    <n v="0.92"/>
    <n v="0.92"/>
    <m/>
    <m/>
    <n v="788.87094440257943"/>
    <m/>
    <n v="0"/>
    <n v="0"/>
    <m/>
    <m/>
    <n v="1603.3277521921041"/>
    <s v="Updated inputs for Commercial LPS Space Heating and Industrial/Process Low Pressure"/>
    <n v="0"/>
    <n v="0"/>
    <n v="0"/>
    <m/>
    <m/>
    <n v="1603.3277521921041"/>
    <m/>
    <n v="0"/>
    <n v="0"/>
    <m/>
    <m/>
    <n v="1603.3277521921041"/>
    <m/>
    <n v="0"/>
    <n v="0"/>
    <n v="0"/>
    <n v="0"/>
    <n v="0"/>
    <n v="0"/>
    <n v="0"/>
    <s v="NA"/>
    <m/>
  </r>
  <r>
    <s v="NSG"/>
    <x v="5"/>
    <x v="9"/>
    <s v="Rebates"/>
    <x v="41"/>
    <s v="Industrial/Process Audit - 15 &lt; psig &lt; 30"/>
    <s v="CI/SMB"/>
    <x v="3"/>
    <s v="4.4.16"/>
    <s v="each"/>
    <n v="0"/>
    <n v="0"/>
    <n v="0"/>
    <n v="0"/>
    <s v="CI-HVC-STRE-V09-230101"/>
    <m/>
    <n v="758.17043213559668"/>
    <n v="758.17043213559668"/>
    <n v="758.17043213559668"/>
    <n v="758.17043213559668"/>
    <n v="0.92"/>
    <n v="0.92"/>
    <n v="0.92"/>
    <n v="0.92"/>
    <n v="0"/>
    <n v="0"/>
    <n v="0"/>
    <n v="0"/>
    <n v="0"/>
    <n v="0.92"/>
    <n v="0.92"/>
    <n v="0.92"/>
    <n v="0.92"/>
    <n v="0.92"/>
    <n v="0.92"/>
    <n v="0.92"/>
    <n v="0.92"/>
    <m/>
    <m/>
    <n v="758.17043213559668"/>
    <m/>
    <n v="0"/>
    <n v="0"/>
    <m/>
    <m/>
    <n v="758.17043213559668"/>
    <s v="Updated inputs for Commercial LPS Space Heating and Industrial/Process Low Pressure"/>
    <n v="0"/>
    <n v="0"/>
    <n v="0"/>
    <m/>
    <m/>
    <n v="758.17043213559668"/>
    <m/>
    <n v="0"/>
    <n v="0"/>
    <m/>
    <m/>
    <n v="758.17043213559668"/>
    <m/>
    <n v="0"/>
    <n v="0"/>
    <n v="0"/>
    <n v="0"/>
    <n v="0"/>
    <n v="0"/>
    <n v="0"/>
    <s v="NA"/>
    <m/>
  </r>
  <r>
    <s v="NSG"/>
    <x v="5"/>
    <x v="9"/>
    <s v="Rebates"/>
    <x v="41"/>
    <s v="Industrial/Process Audit - 30 ≤ psig &lt; 75"/>
    <s v="CI/SMB"/>
    <x v="3"/>
    <s v="4.4.16"/>
    <s v="each"/>
    <n v="0"/>
    <n v="0"/>
    <n v="0"/>
    <n v="0"/>
    <s v="CI-HVC-STRE-V09-230101"/>
    <m/>
    <n v="2777.6636840634392"/>
    <n v="2777.6636840634392"/>
    <n v="2777.6636840634392"/>
    <n v="2777.6636840634392"/>
    <n v="0.92"/>
    <n v="0.92"/>
    <n v="0.92"/>
    <n v="0.92"/>
    <n v="0"/>
    <n v="0"/>
    <n v="0"/>
    <n v="0"/>
    <n v="0"/>
    <n v="0.92"/>
    <n v="0.92"/>
    <n v="0.92"/>
    <n v="0.92"/>
    <n v="0.92"/>
    <n v="0.92"/>
    <n v="0.92"/>
    <n v="0.92"/>
    <m/>
    <m/>
    <n v="2777.6636840634392"/>
    <m/>
    <n v="0"/>
    <n v="0"/>
    <m/>
    <m/>
    <n v="2777.6636840634392"/>
    <s v="Updated inputs for Commercial LPS Space Heating and Industrial/Process Low Pressure"/>
    <n v="0"/>
    <n v="0"/>
    <n v="0"/>
    <m/>
    <m/>
    <n v="2777.6636840634392"/>
    <m/>
    <n v="0"/>
    <n v="0"/>
    <m/>
    <m/>
    <n v="2777.6636840634392"/>
    <m/>
    <n v="0"/>
    <n v="0"/>
    <n v="0"/>
    <n v="0"/>
    <n v="0"/>
    <n v="0"/>
    <n v="0"/>
    <s v="NA"/>
    <m/>
  </r>
  <r>
    <s v="NSG"/>
    <x v="5"/>
    <x v="9"/>
    <s v="Rebates"/>
    <x v="41"/>
    <s v="Industrial/Process Audit - 75 ≤ psig &lt; 125"/>
    <s v="CI/SMB"/>
    <x v="3"/>
    <s v="4.4.16"/>
    <s v="each"/>
    <n v="0"/>
    <n v="0"/>
    <n v="0"/>
    <n v="0"/>
    <s v="CI-HVC-STRE-V09-230101"/>
    <m/>
    <n v="5253.732217921608"/>
    <n v="5253.732217921608"/>
    <n v="5253.732217921608"/>
    <n v="5253.732217921608"/>
    <n v="0.92"/>
    <n v="0.92"/>
    <n v="0.92"/>
    <n v="0.92"/>
    <n v="0"/>
    <n v="0"/>
    <n v="0"/>
    <n v="0"/>
    <n v="0"/>
    <n v="0.92"/>
    <n v="0.92"/>
    <n v="0.92"/>
    <n v="0.92"/>
    <n v="0.92"/>
    <n v="0.92"/>
    <n v="0.92"/>
    <n v="0.92"/>
    <m/>
    <m/>
    <n v="5253.732217921608"/>
    <m/>
    <n v="0"/>
    <n v="0"/>
    <m/>
    <m/>
    <n v="5253.732217921608"/>
    <s v="Updated inputs for Commercial LPS Space Heating and Industrial/Process Low Pressure"/>
    <n v="0"/>
    <n v="0"/>
    <n v="0"/>
    <m/>
    <m/>
    <n v="5253.732217921608"/>
    <m/>
    <n v="0"/>
    <n v="0"/>
    <m/>
    <m/>
    <n v="5253.732217921608"/>
    <m/>
    <n v="0"/>
    <n v="0"/>
    <n v="0"/>
    <n v="0"/>
    <n v="0"/>
    <n v="0"/>
    <n v="0"/>
    <s v="NA"/>
    <m/>
  </r>
  <r>
    <s v="NSG"/>
    <x v="5"/>
    <x v="9"/>
    <s v="Rebates"/>
    <x v="41"/>
    <s v="Industrial/Process Audit - 125 ≤ psig &lt; 175"/>
    <s v="CI/SMB"/>
    <x v="3"/>
    <s v="4.4.16"/>
    <s v="each"/>
    <n v="0"/>
    <n v="0"/>
    <n v="0"/>
    <n v="0"/>
    <s v="CI-HVC-STRE-V09-230101"/>
    <m/>
    <n v="7334.7468920022948"/>
    <n v="7334.7468920022948"/>
    <n v="7334.7468920022948"/>
    <n v="7334.7468920022948"/>
    <n v="0.92"/>
    <n v="0.92"/>
    <n v="0.92"/>
    <n v="0.92"/>
    <n v="0"/>
    <n v="0"/>
    <n v="0"/>
    <n v="0"/>
    <n v="0"/>
    <n v="0.92"/>
    <n v="0.92"/>
    <n v="0.92"/>
    <n v="0.92"/>
    <n v="0.92"/>
    <n v="0.92"/>
    <n v="0.92"/>
    <n v="0.92"/>
    <m/>
    <m/>
    <n v="7334.7468920022948"/>
    <m/>
    <n v="0"/>
    <n v="0"/>
    <m/>
    <m/>
    <n v="7334.7468920022948"/>
    <s v="Updated inputs for Commercial LPS Space Heating and Industrial/Process Low Pressure"/>
    <n v="0"/>
    <n v="0"/>
    <n v="0"/>
    <m/>
    <m/>
    <n v="7334.7468920022948"/>
    <m/>
    <n v="0"/>
    <n v="0"/>
    <m/>
    <m/>
    <n v="7334.7468920022948"/>
    <m/>
    <n v="0"/>
    <n v="0"/>
    <n v="0"/>
    <n v="0"/>
    <n v="0"/>
    <n v="0"/>
    <n v="0"/>
    <s v="NA"/>
    <m/>
  </r>
  <r>
    <s v="NSG"/>
    <x v="5"/>
    <x v="9"/>
    <s v="Rebates"/>
    <x v="41"/>
    <s v="Industrial/Process Audit - 175 ≤ psig &lt; 250"/>
    <s v="CI/SMB"/>
    <x v="3"/>
    <s v="4.4.16"/>
    <s v="each"/>
    <n v="0"/>
    <n v="0"/>
    <n v="0"/>
    <n v="0"/>
    <s v="CI-HVC-STRE-V09-230101"/>
    <m/>
    <n v="9906.4466256306805"/>
    <n v="9906.4466256306805"/>
    <n v="9906.4466256306805"/>
    <n v="9906.4466256306805"/>
    <n v="0.92"/>
    <n v="0.92"/>
    <n v="0.92"/>
    <n v="0.92"/>
    <n v="0"/>
    <n v="0"/>
    <n v="0"/>
    <n v="0"/>
    <n v="0"/>
    <n v="0.92"/>
    <n v="0.92"/>
    <n v="0.92"/>
    <n v="0.92"/>
    <n v="0.92"/>
    <n v="0.92"/>
    <n v="0.92"/>
    <n v="0.92"/>
    <m/>
    <m/>
    <n v="9906.4466256306805"/>
    <m/>
    <n v="0"/>
    <n v="0"/>
    <m/>
    <m/>
    <n v="9906.4466256306805"/>
    <s v="Updated inputs for Commercial LPS Space Heating and Industrial/Process Low Pressure"/>
    <n v="0"/>
    <n v="0"/>
    <n v="0"/>
    <m/>
    <m/>
    <n v="9906.4466256306805"/>
    <m/>
    <n v="0"/>
    <n v="0"/>
    <m/>
    <m/>
    <n v="9906.4466256306805"/>
    <m/>
    <n v="0"/>
    <n v="0"/>
    <n v="0"/>
    <n v="0"/>
    <n v="0"/>
    <n v="0"/>
    <n v="0"/>
    <s v="NA"/>
    <m/>
  </r>
  <r>
    <s v="NSG"/>
    <x v="5"/>
    <x v="9"/>
    <s v="Rebates"/>
    <x v="41"/>
    <s v="Industrial/Process Audit - 250 ≤ psig"/>
    <s v="CI/SMB"/>
    <x v="3"/>
    <s v="4.4.16"/>
    <s v="each"/>
    <n v="0"/>
    <n v="0"/>
    <n v="0"/>
    <n v="0"/>
    <s v="CI-HVC-STRE-V09-230101"/>
    <m/>
    <n v="12689.405899537758"/>
    <n v="12689.405899537758"/>
    <n v="12689.405899537758"/>
    <n v="12689.405899537758"/>
    <n v="0.92"/>
    <n v="0.92"/>
    <n v="0.92"/>
    <n v="0.92"/>
    <n v="0"/>
    <n v="0"/>
    <n v="0"/>
    <n v="0"/>
    <n v="0"/>
    <n v="0.92"/>
    <n v="0.92"/>
    <n v="0.92"/>
    <n v="0.92"/>
    <n v="0.92"/>
    <n v="0.92"/>
    <n v="0.92"/>
    <n v="0.92"/>
    <m/>
    <m/>
    <n v="12689.405899537758"/>
    <m/>
    <n v="0"/>
    <n v="0"/>
    <m/>
    <m/>
    <n v="12689.405899537758"/>
    <s v="Updated inputs for Commercial LPS Space Heating and Industrial/Process Low Pressure"/>
    <n v="0"/>
    <n v="0"/>
    <n v="0"/>
    <m/>
    <m/>
    <n v="12689.405899537758"/>
    <m/>
    <n v="0"/>
    <n v="0"/>
    <m/>
    <m/>
    <n v="12689.405899537758"/>
    <m/>
    <n v="0"/>
    <n v="0"/>
    <n v="0"/>
    <n v="0"/>
    <n v="0"/>
    <n v="0"/>
    <n v="0"/>
    <s v="NA"/>
    <m/>
  </r>
  <r>
    <s v="NSG"/>
    <x v="5"/>
    <x v="9"/>
    <s v="Rebates"/>
    <x v="41"/>
    <s v="Test"/>
    <s v="CI"/>
    <x v="3"/>
    <n v="0"/>
    <s v="each"/>
    <n v="0"/>
    <n v="0"/>
    <n v="0"/>
    <n v="0"/>
    <n v="0"/>
    <m/>
    <n v="0"/>
    <n v="0"/>
    <n v="0"/>
    <n v="0"/>
    <n v="0.92"/>
    <n v="0.92"/>
    <n v="0.92"/>
    <n v="0.92"/>
    <n v="0"/>
    <n v="0"/>
    <n v="0"/>
    <n v="0"/>
    <n v="0"/>
    <n v="0.92"/>
    <n v="0.92"/>
    <n v="0.92"/>
    <n v="0.92"/>
    <n v="0.92"/>
    <n v="0.92"/>
    <n v="0.92"/>
    <n v="0.92"/>
    <m/>
    <m/>
    <n v="0"/>
    <m/>
    <n v="0"/>
    <n v="0"/>
    <m/>
    <m/>
    <n v="0"/>
    <s v="n/a"/>
    <n v="0"/>
    <n v="0"/>
    <n v="0"/>
    <m/>
    <m/>
    <n v="0"/>
    <m/>
    <n v="0"/>
    <n v="0"/>
    <m/>
    <m/>
    <n v="0"/>
    <m/>
    <n v="0"/>
    <n v="0"/>
    <n v="0"/>
    <n v="0"/>
    <n v="0"/>
    <n v="0"/>
    <n v="0"/>
    <s v="NA"/>
    <m/>
  </r>
  <r>
    <s v="NSG"/>
    <x v="5"/>
    <x v="9"/>
    <s v="Rebates"/>
    <x v="12"/>
    <s v="Central Lodging 88% TE"/>
    <s v="CI"/>
    <x v="3"/>
    <s v="4.3.7"/>
    <s v="MBH"/>
    <n v="0"/>
    <n v="0"/>
    <n v="0"/>
    <n v="0"/>
    <s v="CI-HWE-MDHW-V06-230101"/>
    <m/>
    <n v="9.31628800262075"/>
    <n v="9.31628800262075"/>
    <n v="9.31628800262075"/>
    <n v="9.31628800262075"/>
    <n v="0.92"/>
    <n v="0.92"/>
    <n v="0.92"/>
    <n v="0.92"/>
    <n v="0"/>
    <n v="0"/>
    <n v="0"/>
    <n v="0"/>
    <n v="0"/>
    <n v="0.92"/>
    <n v="0.92"/>
    <n v="0.92"/>
    <n v="0.92"/>
    <n v="0.92"/>
    <n v="0.92"/>
    <n v="0.92"/>
    <n v="0.92"/>
    <m/>
    <m/>
    <n v="9.7379830071207483"/>
    <m/>
    <n v="0"/>
    <n v="0"/>
    <m/>
    <m/>
    <n v="9.7379830071207483"/>
    <s v="n/a"/>
    <n v="0"/>
    <n v="0"/>
    <n v="0"/>
    <m/>
    <m/>
    <n v="9.7379830071207483"/>
    <m/>
    <n v="0"/>
    <n v="0"/>
    <m/>
    <m/>
    <n v="9.7379830071207483"/>
    <m/>
    <n v="0"/>
    <n v="0"/>
    <n v="0"/>
    <n v="0"/>
    <n v="0"/>
    <n v="0"/>
    <n v="0"/>
    <s v="NA"/>
    <m/>
  </r>
  <r>
    <s v="NSG"/>
    <x v="5"/>
    <x v="9"/>
    <s v="Rebates"/>
    <x v="75"/>
    <n v="0"/>
    <s v="CI"/>
    <x v="3"/>
    <s v="4.4.27"/>
    <s v="CFM"/>
    <n v="0"/>
    <n v="0"/>
    <n v="0"/>
    <n v="0"/>
    <s v="CI-HVC-ERVE-V05-230101"/>
    <m/>
    <n v="0.47508182047227931"/>
    <n v="0.47508182047227931"/>
    <n v="0.47508182047227931"/>
    <n v="0.47508182047227931"/>
    <n v="0.92"/>
    <n v="0.92"/>
    <n v="0.92"/>
    <n v="0.92"/>
    <n v="0"/>
    <n v="0"/>
    <n v="0"/>
    <n v="0"/>
    <n v="0"/>
    <n v="0.92"/>
    <n v="0.92"/>
    <n v="0.92"/>
    <n v="0.92"/>
    <n v="0.92"/>
    <n v="0.92"/>
    <n v="0.92"/>
    <n v="0.92"/>
    <m/>
    <m/>
    <n v="0.47508182047227931"/>
    <m/>
    <n v="0"/>
    <n v="0"/>
    <m/>
    <m/>
    <n v="0.47508182047227931"/>
    <s v="n/a"/>
    <n v="0"/>
    <n v="0"/>
    <n v="0"/>
    <m/>
    <m/>
    <n v="0.47508182047227931"/>
    <m/>
    <n v="0"/>
    <n v="0"/>
    <m/>
    <m/>
    <n v="0.47508182047227931"/>
    <m/>
    <n v="0"/>
    <n v="0"/>
    <n v="0"/>
    <n v="0"/>
    <n v="0"/>
    <n v="0"/>
    <n v="0"/>
    <s v="NA"/>
    <m/>
  </r>
  <r>
    <s v="NSG"/>
    <x v="5"/>
    <x v="9"/>
    <s v="New Construction"/>
    <x v="76"/>
    <n v="0"/>
    <s v="CI"/>
    <x v="3"/>
    <n v="0"/>
    <s v="therm"/>
    <n v="0"/>
    <n v="0"/>
    <n v="0"/>
    <n v="0"/>
    <n v="0"/>
    <m/>
    <n v="1"/>
    <n v="1"/>
    <n v="1"/>
    <n v="1"/>
    <n v="0.43"/>
    <n v="0.43"/>
    <n v="0.43"/>
    <n v="0.43"/>
    <n v="0"/>
    <n v="0"/>
    <n v="0"/>
    <n v="0"/>
    <n v="0"/>
    <n v="0.43"/>
    <n v="0.43"/>
    <n v="0.43"/>
    <n v="0.43"/>
    <n v="0.43"/>
    <n v="0.43"/>
    <n v="0.43"/>
    <n v="0.43"/>
    <m/>
    <m/>
    <n v="1"/>
    <m/>
    <n v="0"/>
    <n v="0"/>
    <m/>
    <m/>
    <n v="1"/>
    <s v="n/a"/>
    <n v="0"/>
    <n v="0"/>
    <n v="0"/>
    <m/>
    <m/>
    <n v="1"/>
    <m/>
    <n v="0"/>
    <n v="0"/>
    <m/>
    <m/>
    <n v="1"/>
    <m/>
    <n v="0"/>
    <n v="0"/>
    <n v="0"/>
    <n v="0"/>
    <n v="0"/>
    <n v="0"/>
    <n v="0"/>
    <s v="NA"/>
    <m/>
  </r>
  <r>
    <s v="NSG"/>
    <x v="4"/>
    <x v="5"/>
    <s v="CBA"/>
    <x v="39"/>
    <n v="0"/>
    <s v="SF"/>
    <x v="3"/>
    <s v="n/a"/>
    <n v="0"/>
    <n v="0"/>
    <n v="0"/>
    <n v="0"/>
    <n v="0"/>
    <s v="n/a"/>
    <m/>
    <n v="0"/>
    <n v="0"/>
    <n v="0"/>
    <n v="0"/>
    <n v="0"/>
    <n v="0"/>
    <n v="0"/>
    <n v="0"/>
    <n v="0"/>
    <n v="0"/>
    <n v="0"/>
    <n v="0"/>
    <n v="0"/>
    <n v="0"/>
    <n v="0"/>
    <n v="0"/>
    <n v="0"/>
    <n v="0"/>
    <n v="0"/>
    <n v="0"/>
    <n v="0"/>
    <m/>
    <m/>
    <n v="0"/>
    <m/>
    <n v="0"/>
    <n v="0"/>
    <m/>
    <m/>
    <n v="0"/>
    <s v="n/a"/>
    <n v="0"/>
    <n v="0"/>
    <n v="0"/>
    <m/>
    <m/>
    <n v="0"/>
    <m/>
    <n v="0"/>
    <n v="0"/>
    <m/>
    <m/>
    <n v="0"/>
    <m/>
    <n v="0"/>
    <n v="0"/>
    <n v="0"/>
    <n v="0"/>
    <n v="0"/>
    <n v="0"/>
    <n v="0"/>
    <s v="NA"/>
    <m/>
  </r>
  <r>
    <s v="NSG"/>
    <x v="4"/>
    <x v="5"/>
    <s v="CBA"/>
    <x v="11"/>
    <n v="0"/>
    <s v="SF"/>
    <x v="3"/>
    <s v="5.4.4"/>
    <n v="0"/>
    <n v="0"/>
    <n v="0"/>
    <n v="0"/>
    <n v="0"/>
    <s v="RS-HWE-LFFA-V12-230101"/>
    <m/>
    <n v="0.90936082797455842"/>
    <n v="0.90936082797455842"/>
    <n v="0.90936082797455842"/>
    <n v="0.90936082797455842"/>
    <n v="0"/>
    <n v="0"/>
    <n v="0"/>
    <n v="0"/>
    <n v="0"/>
    <n v="0"/>
    <n v="0"/>
    <n v="0"/>
    <n v="0"/>
    <n v="0"/>
    <n v="0"/>
    <n v="0"/>
    <n v="0"/>
    <n v="0"/>
    <n v="0"/>
    <n v="0"/>
    <n v="0"/>
    <m/>
    <m/>
    <n v="1.0053261226599404"/>
    <m/>
    <n v="0"/>
    <n v="0"/>
    <m/>
    <m/>
    <n v="0.98416136218288908"/>
    <s v="Updated kit ISR"/>
    <n v="0"/>
    <n v="0"/>
    <n v="0"/>
    <m/>
    <m/>
    <n v="0.98416136218288908"/>
    <m/>
    <n v="0"/>
    <n v="0"/>
    <m/>
    <m/>
    <n v="0.98416136218288908"/>
    <m/>
    <n v="0"/>
    <n v="0"/>
    <n v="0"/>
    <n v="0"/>
    <n v="0"/>
    <n v="0"/>
    <n v="0"/>
    <s v="NA"/>
    <m/>
  </r>
  <r>
    <s v="NSG"/>
    <x v="4"/>
    <x v="5"/>
    <s v="CBA"/>
    <x v="7"/>
    <n v="0"/>
    <s v="SF"/>
    <x v="3"/>
    <s v="5.4.4"/>
    <n v="0"/>
    <n v="0"/>
    <n v="0"/>
    <n v="0"/>
    <n v="0"/>
    <s v="RS-HWE-LFFA-V12-230101"/>
    <m/>
    <n v="8.5936302377584592"/>
    <n v="8.5936302377584592"/>
    <n v="8.5936302377584592"/>
    <n v="8.5936302377584592"/>
    <n v="0"/>
    <n v="0"/>
    <n v="0"/>
    <n v="0"/>
    <n v="0"/>
    <n v="0"/>
    <n v="0"/>
    <n v="0"/>
    <n v="0"/>
    <n v="0"/>
    <n v="0"/>
    <n v="0"/>
    <n v="0"/>
    <n v="0"/>
    <n v="0"/>
    <n v="0"/>
    <n v="0"/>
    <m/>
    <m/>
    <n v="9.3447444487707685"/>
    <m/>
    <n v="0"/>
    <n v="0"/>
    <m/>
    <m/>
    <n v="9.148012986691386"/>
    <s v="Updated kit ISR"/>
    <n v="0"/>
    <n v="0"/>
    <n v="0"/>
    <m/>
    <m/>
    <n v="9.148012986691386"/>
    <m/>
    <n v="0"/>
    <n v="0"/>
    <m/>
    <m/>
    <n v="9.148012986691386"/>
    <m/>
    <n v="0"/>
    <n v="0"/>
    <n v="0"/>
    <n v="0"/>
    <n v="0"/>
    <n v="0"/>
    <n v="0"/>
    <s v="NA"/>
    <m/>
  </r>
  <r>
    <s v="NSG"/>
    <x v="4"/>
    <x v="5"/>
    <s v="CBA"/>
    <x v="5"/>
    <n v="0"/>
    <s v="SF"/>
    <x v="3"/>
    <s v="5.4.5"/>
    <n v="0"/>
    <n v="0"/>
    <n v="0"/>
    <n v="0"/>
    <n v="0"/>
    <s v="RS-HWE-LFSH-V11-230101"/>
    <m/>
    <n v="8.7892072937103034"/>
    <n v="8.7892072937103034"/>
    <n v="8.7892072937103034"/>
    <n v="8.7892072937103034"/>
    <n v="0"/>
    <n v="0"/>
    <n v="0"/>
    <n v="0"/>
    <n v="0"/>
    <n v="0"/>
    <n v="0"/>
    <n v="0"/>
    <n v="0"/>
    <n v="0"/>
    <n v="0"/>
    <n v="0"/>
    <n v="0"/>
    <n v="0"/>
    <n v="0"/>
    <n v="0"/>
    <n v="0"/>
    <m/>
    <m/>
    <n v="9.4263779717191518"/>
    <m/>
    <n v="0"/>
    <n v="0"/>
    <m/>
    <m/>
    <n v="9.3291988173715321"/>
    <s v="Updated kit ISR"/>
    <n v="0"/>
    <n v="0"/>
    <n v="0"/>
    <m/>
    <m/>
    <n v="9.3291988173715321"/>
    <m/>
    <n v="0"/>
    <n v="0"/>
    <m/>
    <m/>
    <n v="9.3291988173715321"/>
    <m/>
    <n v="0"/>
    <n v="0"/>
    <n v="0"/>
    <n v="0"/>
    <n v="0"/>
    <n v="0"/>
    <n v="0"/>
    <s v="NA"/>
    <m/>
  </r>
  <r>
    <s v="NSG"/>
    <x v="4"/>
    <x v="5"/>
    <s v="CBA"/>
    <x v="4"/>
    <s v="DHW"/>
    <s v="SF"/>
    <x v="3"/>
    <s v="5.4.1"/>
    <n v="0"/>
    <n v="0"/>
    <n v="0"/>
    <n v="0"/>
    <n v="0"/>
    <s v="RS-HWE-PINS-V06-230101"/>
    <m/>
    <n v="0.88266670517205537"/>
    <n v="0.88266670517205537"/>
    <n v="0.88266670517205537"/>
    <n v="0.88266670517205537"/>
    <n v="0"/>
    <n v="0"/>
    <n v="0"/>
    <n v="0"/>
    <n v="0"/>
    <n v="0"/>
    <n v="0"/>
    <n v="0"/>
    <n v="0"/>
    <n v="0"/>
    <n v="0"/>
    <n v="0"/>
    <n v="0"/>
    <n v="0"/>
    <n v="0"/>
    <n v="0"/>
    <n v="0"/>
    <m/>
    <m/>
    <n v="2.4087097696290445"/>
    <m/>
    <n v="0"/>
    <n v="0"/>
    <m/>
    <m/>
    <n v="2.4087097696290445"/>
    <s v="Updated kit ISR"/>
    <n v="0"/>
    <n v="0"/>
    <n v="0"/>
    <m/>
    <m/>
    <n v="2.4087097696290445"/>
    <m/>
    <n v="0"/>
    <n v="0"/>
    <m/>
    <m/>
    <n v="2.4087097696290445"/>
    <m/>
    <n v="0"/>
    <n v="0"/>
    <n v="0"/>
    <n v="0"/>
    <n v="0"/>
    <n v="0"/>
    <n v="0"/>
    <s v="NA"/>
    <m/>
  </r>
  <r>
    <s v="NSG"/>
    <x v="4"/>
    <x v="5"/>
    <s v="CBA"/>
    <x v="4"/>
    <s v="Boiler"/>
    <s v="SF"/>
    <x v="3"/>
    <s v="5.3.2"/>
    <n v="0"/>
    <n v="0"/>
    <n v="0"/>
    <n v="0"/>
    <n v="0"/>
    <s v="RS-HWE-PINS-V06-230101"/>
    <m/>
    <n v="0.63522312995661756"/>
    <n v="0.63522312995661756"/>
    <n v="0.63522312995661756"/>
    <n v="0.63522312995661756"/>
    <n v="0"/>
    <n v="0"/>
    <n v="0"/>
    <n v="0"/>
    <n v="0"/>
    <n v="0"/>
    <n v="0"/>
    <n v="0"/>
    <n v="0"/>
    <n v="0"/>
    <n v="0"/>
    <n v="0"/>
    <n v="0"/>
    <n v="0"/>
    <n v="0"/>
    <n v="0"/>
    <n v="0"/>
    <m/>
    <m/>
    <n v="1.0111854839419214"/>
    <m/>
    <n v="0"/>
    <n v="0"/>
    <m/>
    <m/>
    <n v="1.0111854839419214"/>
    <s v="n/a"/>
    <n v="0"/>
    <n v="0"/>
    <n v="0"/>
    <m/>
    <m/>
    <n v="1.0111854839419214"/>
    <m/>
    <n v="0"/>
    <n v="0"/>
    <m/>
    <m/>
    <n v="1.0111854839419214"/>
    <m/>
    <n v="0"/>
    <n v="0"/>
    <n v="0"/>
    <n v="0"/>
    <n v="0"/>
    <n v="0"/>
    <n v="0"/>
    <s v="NA"/>
    <m/>
  </r>
  <r>
    <s v="NSG"/>
    <x v="4"/>
    <x v="5"/>
    <s v="CBA"/>
    <x v="6"/>
    <s v="Furnace (DI)"/>
    <s v="SF"/>
    <x v="3"/>
    <s v="5.3.11"/>
    <n v="0"/>
    <n v="0"/>
    <n v="0"/>
    <n v="0"/>
    <n v="0"/>
    <s v="RS-HVC-ADTH-V08-230101"/>
    <m/>
    <n v="62.31"/>
    <n v="62.31"/>
    <n v="62.31"/>
    <n v="62.31"/>
    <n v="0"/>
    <n v="0"/>
    <n v="0"/>
    <n v="0"/>
    <n v="0"/>
    <n v="0"/>
    <n v="0"/>
    <n v="0"/>
    <n v="0"/>
    <n v="0"/>
    <n v="0"/>
    <n v="0"/>
    <n v="0"/>
    <n v="0"/>
    <n v="0"/>
    <n v="0"/>
    <n v="0"/>
    <m/>
    <m/>
    <n v="62.31"/>
    <m/>
    <n v="0"/>
    <n v="0"/>
    <m/>
    <m/>
    <n v="62.31"/>
    <s v="n/a"/>
    <n v="0"/>
    <n v="0"/>
    <n v="0"/>
    <m/>
    <m/>
    <n v="62.31"/>
    <m/>
    <n v="0"/>
    <n v="0"/>
    <m/>
    <m/>
    <n v="62.31"/>
    <m/>
    <n v="0"/>
    <n v="0"/>
    <n v="0"/>
    <n v="0"/>
    <n v="0"/>
    <n v="0"/>
    <n v="0"/>
    <s v="NA"/>
    <m/>
  </r>
  <r>
    <s v="NSG"/>
    <x v="4"/>
    <x v="5"/>
    <s v="CBA"/>
    <x v="6"/>
    <s v="Boiler (DI)"/>
    <s v="SF"/>
    <x v="3"/>
    <s v="5.3.11"/>
    <n v="0"/>
    <n v="0"/>
    <n v="0"/>
    <n v="0"/>
    <n v="0"/>
    <s v="RS-HVC-ADTH-V08-230101"/>
    <m/>
    <n v="92.194000000000003"/>
    <n v="92.194000000000003"/>
    <n v="92.194000000000003"/>
    <n v="92.194000000000003"/>
    <n v="0"/>
    <n v="0"/>
    <n v="0"/>
    <n v="0"/>
    <n v="0"/>
    <n v="0"/>
    <n v="0"/>
    <n v="0"/>
    <n v="0"/>
    <n v="0"/>
    <n v="0"/>
    <n v="0"/>
    <n v="0"/>
    <n v="0"/>
    <n v="0"/>
    <n v="0"/>
    <n v="0"/>
    <m/>
    <m/>
    <n v="92.194000000000003"/>
    <m/>
    <n v="0"/>
    <n v="0"/>
    <m/>
    <m/>
    <n v="92.194000000000003"/>
    <s v="n/a"/>
    <n v="0"/>
    <n v="0"/>
    <n v="0"/>
    <m/>
    <m/>
    <n v="92.194000000000003"/>
    <m/>
    <n v="0"/>
    <n v="0"/>
    <m/>
    <m/>
    <n v="92.194000000000003"/>
    <m/>
    <n v="0"/>
    <n v="0"/>
    <n v="0"/>
    <n v="0"/>
    <n v="0"/>
    <n v="0"/>
    <n v="0"/>
    <s v="NA"/>
    <m/>
  </r>
  <r>
    <s v="NSG"/>
    <x v="4"/>
    <x v="5"/>
    <s v="CBA"/>
    <x v="3"/>
    <s v="Furnace (Replace Manual)"/>
    <s v="SF"/>
    <x v="3"/>
    <s v="5.3.16"/>
    <n v="0"/>
    <n v="0"/>
    <n v="0"/>
    <n v="0"/>
    <n v="0"/>
    <s v="RS-HVC-ADTH-V08-230101"/>
    <m/>
    <n v="104.52"/>
    <n v="104.52"/>
    <n v="104.52"/>
    <n v="104.52"/>
    <n v="0"/>
    <n v="0"/>
    <n v="0"/>
    <n v="0"/>
    <n v="0"/>
    <n v="0"/>
    <n v="0"/>
    <n v="0"/>
    <n v="0"/>
    <n v="0"/>
    <n v="0"/>
    <n v="0"/>
    <n v="0"/>
    <n v="0"/>
    <n v="0"/>
    <n v="0"/>
    <n v="0"/>
    <m/>
    <m/>
    <n v="102.50999999999999"/>
    <m/>
    <n v="0"/>
    <n v="0"/>
    <m/>
    <m/>
    <n v="102.50999999999999"/>
    <s v="n/a"/>
    <n v="0"/>
    <n v="0"/>
    <n v="0"/>
    <m/>
    <m/>
    <n v="102.50999999999999"/>
    <m/>
    <n v="0"/>
    <n v="0"/>
    <m/>
    <m/>
    <n v="102.50999999999999"/>
    <m/>
    <n v="0"/>
    <n v="0"/>
    <n v="0"/>
    <n v="0"/>
    <n v="0"/>
    <n v="0"/>
    <n v="0"/>
    <s v="NA"/>
    <m/>
  </r>
  <r>
    <s v="NSG"/>
    <x v="4"/>
    <x v="5"/>
    <s v="CBA"/>
    <x v="3"/>
    <s v="Boiler (Replace Manual)"/>
    <s v="SF"/>
    <x v="3"/>
    <s v="5.3.16"/>
    <n v="0"/>
    <n v="0"/>
    <n v="0"/>
    <n v="0"/>
    <n v="0"/>
    <s v="RS-HVC-ADTH-V08-230101"/>
    <m/>
    <n v="154.44"/>
    <n v="154.44"/>
    <n v="154.44"/>
    <n v="154.44"/>
    <n v="0"/>
    <n v="0"/>
    <n v="0"/>
    <n v="0"/>
    <n v="0"/>
    <n v="0"/>
    <n v="0"/>
    <n v="0"/>
    <n v="0"/>
    <n v="0"/>
    <n v="0"/>
    <n v="0"/>
    <n v="0"/>
    <n v="0"/>
    <n v="0"/>
    <n v="0"/>
    <n v="0"/>
    <m/>
    <m/>
    <n v="151.47"/>
    <m/>
    <n v="0"/>
    <n v="0"/>
    <m/>
    <m/>
    <n v="151.47"/>
    <s v="n/a"/>
    <n v="0"/>
    <n v="0"/>
    <n v="0"/>
    <m/>
    <m/>
    <n v="151.47"/>
    <m/>
    <n v="0"/>
    <n v="0"/>
    <m/>
    <m/>
    <n v="151.47"/>
    <m/>
    <n v="0"/>
    <n v="0"/>
    <n v="0"/>
    <n v="0"/>
    <n v="0"/>
    <n v="0"/>
    <n v="0"/>
    <s v="NA"/>
    <m/>
  </r>
  <r>
    <s v="NSG"/>
    <x v="4"/>
    <x v="5"/>
    <s v="CBA"/>
    <x v="3"/>
    <s v="Furnace (Replace Programmable)"/>
    <s v="SF"/>
    <x v="3"/>
    <s v="5.3.16"/>
    <n v="0"/>
    <n v="0"/>
    <n v="0"/>
    <n v="0"/>
    <n v="0"/>
    <s v="RS-HVC-ADTH-V08-230101"/>
    <m/>
    <n v="73.364999999999995"/>
    <n v="73.364999999999995"/>
    <n v="73.364999999999995"/>
    <n v="73.364999999999995"/>
    <n v="0"/>
    <n v="0"/>
    <n v="0"/>
    <n v="0"/>
    <n v="0"/>
    <n v="0"/>
    <n v="0"/>
    <n v="0"/>
    <n v="0"/>
    <n v="0"/>
    <n v="0"/>
    <n v="0"/>
    <n v="0"/>
    <n v="0"/>
    <n v="0"/>
    <n v="0"/>
    <n v="0"/>
    <m/>
    <m/>
    <n v="71.35499999999999"/>
    <m/>
    <n v="0"/>
    <n v="0"/>
    <m/>
    <m/>
    <n v="71.35499999999999"/>
    <s v="n/a"/>
    <n v="0"/>
    <n v="0"/>
    <n v="0"/>
    <m/>
    <m/>
    <n v="71.35499999999999"/>
    <m/>
    <n v="0"/>
    <n v="0"/>
    <m/>
    <m/>
    <n v="71.35499999999999"/>
    <m/>
    <n v="0"/>
    <n v="0"/>
    <n v="0"/>
    <n v="0"/>
    <n v="0"/>
    <n v="0"/>
    <n v="0"/>
    <s v="NA"/>
    <m/>
  </r>
  <r>
    <s v="NSG"/>
    <x v="4"/>
    <x v="5"/>
    <s v="CBA"/>
    <x v="3"/>
    <s v="Boiler (Replace Programmable)"/>
    <s v="SF"/>
    <x v="3"/>
    <s v="5.3.16"/>
    <n v="0"/>
    <n v="0"/>
    <n v="0"/>
    <n v="0"/>
    <n v="0"/>
    <s v="RS-HVC-ADTH-V08-230101"/>
    <m/>
    <n v="108.40499999999999"/>
    <n v="108.40499999999999"/>
    <n v="108.40499999999999"/>
    <n v="108.40499999999999"/>
    <n v="0"/>
    <n v="0"/>
    <n v="0"/>
    <n v="0"/>
    <n v="0"/>
    <n v="0"/>
    <n v="0"/>
    <n v="0"/>
    <n v="0"/>
    <n v="0"/>
    <n v="0"/>
    <n v="0"/>
    <n v="0"/>
    <n v="0"/>
    <n v="0"/>
    <n v="0"/>
    <n v="0"/>
    <m/>
    <m/>
    <n v="105.43499999999999"/>
    <m/>
    <n v="0"/>
    <n v="0"/>
    <m/>
    <m/>
    <n v="105.43499999999999"/>
    <s v="n/a"/>
    <n v="0"/>
    <n v="0"/>
    <n v="0"/>
    <m/>
    <m/>
    <n v="105.43499999999999"/>
    <m/>
    <n v="0"/>
    <n v="0"/>
    <m/>
    <m/>
    <n v="105.43499999999999"/>
    <m/>
    <n v="0"/>
    <n v="0"/>
    <n v="0"/>
    <n v="0"/>
    <n v="0"/>
    <n v="0"/>
    <n v="0"/>
    <s v="NA"/>
    <m/>
  </r>
  <r>
    <s v="NSG"/>
    <x v="4"/>
    <x v="5"/>
    <s v="CBA"/>
    <x v="44"/>
    <s v="Furnace (DI)"/>
    <s v="SF"/>
    <x v="3"/>
    <s v="5.3.11"/>
    <n v="0"/>
    <n v="0"/>
    <n v="0"/>
    <n v="0"/>
    <n v="0"/>
    <s v="RS-HVC-ADTH-V08-230101"/>
    <m/>
    <n v="62.31"/>
    <n v="62.31"/>
    <n v="62.31"/>
    <n v="62.31"/>
    <n v="0"/>
    <n v="0"/>
    <n v="0"/>
    <n v="0"/>
    <n v="0"/>
    <n v="0"/>
    <n v="0"/>
    <n v="0"/>
    <n v="0"/>
    <n v="0"/>
    <n v="0"/>
    <n v="0"/>
    <n v="0"/>
    <n v="0"/>
    <n v="0"/>
    <n v="0"/>
    <n v="0"/>
    <m/>
    <m/>
    <n v="62.31"/>
    <m/>
    <n v="0"/>
    <n v="0"/>
    <m/>
    <m/>
    <n v="62.31"/>
    <s v="n/a"/>
    <n v="0"/>
    <n v="0"/>
    <n v="0"/>
    <m/>
    <m/>
    <n v="62.31"/>
    <m/>
    <n v="0"/>
    <n v="0"/>
    <m/>
    <m/>
    <n v="62.31"/>
    <m/>
    <n v="0"/>
    <n v="0"/>
    <n v="0"/>
    <n v="0"/>
    <n v="0"/>
    <n v="0"/>
    <n v="0"/>
    <s v="NA"/>
    <m/>
  </r>
  <r>
    <s v="NSG"/>
    <x v="4"/>
    <x v="5"/>
    <s v="CBA"/>
    <x v="44"/>
    <s v="Boiler (DI)"/>
    <s v="SF"/>
    <x v="3"/>
    <s v="5.3.11"/>
    <n v="0"/>
    <n v="0"/>
    <n v="0"/>
    <n v="0"/>
    <n v="0"/>
    <s v="RS-HVC-ADTH-V08-230101"/>
    <m/>
    <n v="92.194000000000003"/>
    <n v="92.194000000000003"/>
    <n v="92.194000000000003"/>
    <n v="92.194000000000003"/>
    <n v="0"/>
    <n v="0"/>
    <n v="0"/>
    <n v="0"/>
    <n v="0"/>
    <n v="0"/>
    <n v="0"/>
    <n v="0"/>
    <n v="0"/>
    <n v="0"/>
    <n v="0"/>
    <n v="0"/>
    <n v="0"/>
    <n v="0"/>
    <n v="0"/>
    <n v="0"/>
    <n v="0"/>
    <m/>
    <m/>
    <n v="92.194000000000003"/>
    <m/>
    <n v="0"/>
    <n v="0"/>
    <m/>
    <m/>
    <n v="92.194000000000003"/>
    <s v="n/a"/>
    <n v="0"/>
    <n v="0"/>
    <n v="0"/>
    <m/>
    <m/>
    <n v="92.194000000000003"/>
    <m/>
    <n v="0"/>
    <n v="0"/>
    <m/>
    <m/>
    <n v="92.194000000000003"/>
    <m/>
    <n v="0"/>
    <n v="0"/>
    <n v="0"/>
    <n v="0"/>
    <n v="0"/>
    <n v="0"/>
    <n v="0"/>
    <s v="NA"/>
    <m/>
  </r>
  <r>
    <s v="NSG"/>
    <x v="4"/>
    <x v="5"/>
    <s v="CBA"/>
    <x v="19"/>
    <n v="0"/>
    <s v="SF"/>
    <x v="3"/>
    <s v="5.6.1"/>
    <n v="0"/>
    <n v="0"/>
    <n v="0"/>
    <n v="0"/>
    <n v="0"/>
    <s v="RS-SHL-AIRS-V12-230101"/>
    <m/>
    <n v="8.7236018957345965E-2"/>
    <n v="8.7236018957345965E-2"/>
    <n v="8.7236018957345965E-2"/>
    <n v="8.7236018957345965E-2"/>
    <n v="0"/>
    <n v="0"/>
    <n v="0"/>
    <n v="0"/>
    <n v="0"/>
    <n v="0"/>
    <n v="0"/>
    <n v="0"/>
    <n v="0"/>
    <n v="0"/>
    <n v="0"/>
    <n v="0"/>
    <n v="0"/>
    <n v="0"/>
    <n v="0"/>
    <n v="0"/>
    <n v="0"/>
    <m/>
    <m/>
    <n v="8.7236018957345965E-2"/>
    <m/>
    <n v="0"/>
    <n v="0"/>
    <m/>
    <m/>
    <n v="8.7236018957345965E-2"/>
    <s v="Updated ISR"/>
    <n v="0"/>
    <n v="0"/>
    <n v="0"/>
    <m/>
    <m/>
    <n v="8.7236018957345965E-2"/>
    <m/>
    <n v="0"/>
    <n v="0"/>
    <m/>
    <m/>
    <n v="8.7236018957345965E-2"/>
    <m/>
    <n v="0"/>
    <n v="0"/>
    <n v="0"/>
    <n v="0"/>
    <n v="0"/>
    <n v="0"/>
    <n v="0"/>
    <s v="NA"/>
    <m/>
  </r>
  <r>
    <s v="NSG"/>
    <x v="4"/>
    <x v="5"/>
    <s v="CBA"/>
    <x v="17"/>
    <n v="0"/>
    <s v="SF"/>
    <x v="3"/>
    <s v="5.6.5"/>
    <n v="0"/>
    <n v="0"/>
    <n v="0"/>
    <n v="0"/>
    <n v="0"/>
    <s v="RS-SHL-AINS-V06-230101"/>
    <m/>
    <n v="8.0457181447124299E-2"/>
    <n v="8.0457181447124299E-2"/>
    <n v="8.0457181447124299E-2"/>
    <n v="8.0457181447124299E-2"/>
    <n v="0"/>
    <n v="0"/>
    <n v="0"/>
    <n v="0"/>
    <n v="0"/>
    <n v="0"/>
    <n v="0"/>
    <n v="0"/>
    <n v="0"/>
    <n v="0"/>
    <n v="0"/>
    <n v="0"/>
    <n v="0"/>
    <n v="0"/>
    <n v="0"/>
    <n v="0"/>
    <n v="0"/>
    <m/>
    <m/>
    <n v="8.0457181447124299E-2"/>
    <m/>
    <n v="0"/>
    <n v="0"/>
    <m/>
    <m/>
    <n v="8.0457181447124299E-2"/>
    <s v="No savings impacts with existing measure assumptions."/>
    <n v="0"/>
    <n v="0"/>
    <n v="0"/>
    <m/>
    <m/>
    <n v="8.0457181447124299E-2"/>
    <m/>
    <n v="0"/>
    <n v="0"/>
    <m/>
    <m/>
    <n v="8.0457181447124299E-2"/>
    <m/>
    <n v="0"/>
    <n v="0"/>
    <n v="0"/>
    <n v="0"/>
    <n v="0"/>
    <n v="0"/>
    <n v="0"/>
    <s v="NA"/>
    <m/>
  </r>
  <r>
    <s v="NSG"/>
    <x v="4"/>
    <x v="5"/>
    <s v="CBA"/>
    <x v="18"/>
    <n v="0"/>
    <s v="IE SF"/>
    <x v="3"/>
    <s v="5.6.1"/>
    <n v="0"/>
    <n v="0"/>
    <n v="0"/>
    <n v="0"/>
    <n v="0"/>
    <s v="RS-SHL-AIRS-V12-230101"/>
    <m/>
    <n v="6.9090927014218012E-2"/>
    <n v="6.9090927014218012E-2"/>
    <n v="6.9090927014218012E-2"/>
    <n v="6.9090927014218012E-2"/>
    <n v="0"/>
    <n v="0"/>
    <n v="0"/>
    <n v="0"/>
    <n v="0"/>
    <n v="0"/>
    <n v="0"/>
    <n v="0"/>
    <n v="0"/>
    <n v="0"/>
    <n v="0"/>
    <n v="0"/>
    <n v="0"/>
    <n v="0"/>
    <n v="0"/>
    <n v="0"/>
    <n v="0"/>
    <m/>
    <m/>
    <n v="6.9090927014218012E-2"/>
    <m/>
    <n v="0"/>
    <n v="0"/>
    <m/>
    <m/>
    <n v="6.9090927014218012E-2"/>
    <s v="Updated ISR"/>
    <n v="0"/>
    <n v="0"/>
    <n v="0"/>
    <m/>
    <m/>
    <n v="6.9090927014218012E-2"/>
    <m/>
    <n v="0"/>
    <n v="0"/>
    <m/>
    <m/>
    <n v="6.9090927014218012E-2"/>
    <m/>
    <n v="0"/>
    <n v="0"/>
    <n v="0"/>
    <n v="0"/>
    <n v="0"/>
    <n v="0"/>
    <n v="0"/>
    <s v="NA"/>
    <m/>
  </r>
  <r>
    <s v="NSG"/>
    <x v="4"/>
    <x v="5"/>
    <s v="CBA"/>
    <x v="33"/>
    <n v="0"/>
    <s v="SF"/>
    <x v="3"/>
    <s v="5.3.4"/>
    <n v="0"/>
    <n v="0"/>
    <n v="0"/>
    <n v="0"/>
    <n v="0"/>
    <s v="RS-HVC-DINS-V11-230101"/>
    <m/>
    <n v="0.70396939263510283"/>
    <n v="0.70396939263510283"/>
    <n v="0.70396939263510283"/>
    <n v="0.70396939263510283"/>
    <n v="0"/>
    <n v="0"/>
    <n v="0"/>
    <n v="0"/>
    <n v="0"/>
    <n v="0"/>
    <n v="0"/>
    <n v="0"/>
    <n v="0"/>
    <n v="0"/>
    <n v="0"/>
    <n v="0"/>
    <n v="0"/>
    <n v="0"/>
    <n v="0"/>
    <n v="0"/>
    <n v="0"/>
    <m/>
    <m/>
    <n v="0.70396939263510283"/>
    <m/>
    <n v="0"/>
    <n v="0"/>
    <m/>
    <m/>
    <n v="0.70396939263510283"/>
    <s v="n/a"/>
    <n v="0"/>
    <n v="0"/>
    <n v="0"/>
    <m/>
    <m/>
    <n v="0.70396939263510283"/>
    <m/>
    <n v="0"/>
    <n v="0"/>
    <m/>
    <m/>
    <n v="0.70396939263510283"/>
    <m/>
    <n v="0"/>
    <n v="0"/>
    <n v="0"/>
    <n v="0"/>
    <n v="0"/>
    <n v="0"/>
    <n v="0"/>
    <s v="NA"/>
    <m/>
  </r>
  <r>
    <s v="NSG"/>
    <x v="4"/>
    <x v="5"/>
    <s v="CBA"/>
    <x v="32"/>
    <n v="0"/>
    <s v="SF"/>
    <x v="3"/>
    <s v="5.6.4"/>
    <n v="0"/>
    <n v="0"/>
    <n v="0"/>
    <n v="0"/>
    <n v="0"/>
    <s v="RS-SHL-WINS-V12-230101"/>
    <m/>
    <n v="0.10827529411764705"/>
    <n v="0.10827529411764705"/>
    <n v="0.10827529411764705"/>
    <n v="0.10827529411764705"/>
    <n v="0"/>
    <n v="0"/>
    <n v="0"/>
    <n v="0"/>
    <n v="0"/>
    <n v="0"/>
    <n v="0"/>
    <n v="0"/>
    <n v="0"/>
    <n v="0"/>
    <n v="0"/>
    <n v="0"/>
    <n v="0"/>
    <n v="0"/>
    <n v="0"/>
    <n v="0"/>
    <n v="0"/>
    <m/>
    <m/>
    <n v="0.10827529411764705"/>
    <m/>
    <n v="0"/>
    <n v="0"/>
    <m/>
    <m/>
    <n v="0.10827529411764705"/>
    <s v="No savings impacts with existing measure assumptions."/>
    <n v="0"/>
    <n v="0"/>
    <n v="0"/>
    <m/>
    <m/>
    <n v="0.10827529411764705"/>
    <m/>
    <n v="0"/>
    <n v="0"/>
    <m/>
    <m/>
    <n v="0.10827529411764705"/>
    <m/>
    <n v="0"/>
    <n v="0"/>
    <n v="0"/>
    <n v="0"/>
    <n v="0"/>
    <n v="0"/>
    <n v="0"/>
    <s v="NA"/>
    <m/>
  </r>
  <r>
    <s v="NSG"/>
    <x v="4"/>
    <x v="5"/>
    <s v="CBA"/>
    <x v="45"/>
    <n v="0"/>
    <s v="SF"/>
    <x v="3"/>
    <s v="5.6.2"/>
    <n v="0"/>
    <n v="0"/>
    <n v="0"/>
    <n v="0"/>
    <n v="0"/>
    <s v="RS-SHL-BINS-V13-230101"/>
    <m/>
    <n v="0.13695535714285714"/>
    <n v="0.13695535714285714"/>
    <n v="0.13695535714285714"/>
    <n v="0.13695535714285714"/>
    <n v="0"/>
    <n v="0"/>
    <n v="0"/>
    <n v="0"/>
    <n v="0"/>
    <n v="0"/>
    <n v="0"/>
    <n v="0"/>
    <n v="0"/>
    <n v="0"/>
    <n v="0"/>
    <n v="0"/>
    <n v="0"/>
    <n v="0"/>
    <n v="0"/>
    <n v="0"/>
    <n v="0"/>
    <m/>
    <m/>
    <n v="0.13695535714285714"/>
    <m/>
    <n v="0"/>
    <n v="0"/>
    <m/>
    <m/>
    <n v="0.13695535714285714"/>
    <s v="No savings impacts with existing measure assumptions."/>
    <n v="0"/>
    <n v="0"/>
    <n v="0"/>
    <m/>
    <m/>
    <n v="0.13695535714285714"/>
    <m/>
    <n v="0"/>
    <n v="0"/>
    <m/>
    <m/>
    <n v="0.13695535714285714"/>
    <m/>
    <n v="0"/>
    <n v="0"/>
    <n v="0"/>
    <n v="0"/>
    <n v="0"/>
    <n v="0"/>
    <n v="0"/>
    <s v="NA"/>
    <m/>
  </r>
  <r>
    <s v="NSG"/>
    <x v="4"/>
    <x v="5"/>
    <s v="CBA"/>
    <x v="89"/>
    <n v="0"/>
    <s v="SF"/>
    <x v="3"/>
    <s v="5.6.6"/>
    <n v="0"/>
    <n v="0"/>
    <n v="0"/>
    <n v="0"/>
    <n v="0"/>
    <s v="RS-SHL-RINS-V05-230101"/>
    <m/>
    <n v="0.13714870588235292"/>
    <n v="0.13714870588235292"/>
    <n v="0.13714870588235292"/>
    <n v="0.13714870588235292"/>
    <n v="0"/>
    <n v="0"/>
    <n v="0"/>
    <n v="0"/>
    <n v="0"/>
    <n v="0"/>
    <n v="0"/>
    <n v="0"/>
    <n v="0"/>
    <n v="0"/>
    <n v="0"/>
    <n v="0"/>
    <n v="0"/>
    <n v="0"/>
    <n v="0"/>
    <n v="0"/>
    <n v="0"/>
    <m/>
    <m/>
    <n v="0.13714870588235292"/>
    <m/>
    <n v="0"/>
    <n v="0"/>
    <m/>
    <m/>
    <n v="0.13714870588235292"/>
    <s v="No savings impacts with existing measure assumptions."/>
    <n v="0"/>
    <n v="0"/>
    <n v="0"/>
    <m/>
    <m/>
    <n v="0.13714870588235292"/>
    <m/>
    <n v="0"/>
    <n v="0"/>
    <m/>
    <m/>
    <n v="0.13714870588235292"/>
    <m/>
    <n v="0"/>
    <n v="0"/>
    <n v="0"/>
    <n v="0"/>
    <n v="0"/>
    <n v="0"/>
    <n v="0"/>
    <s v="NA"/>
    <m/>
  </r>
  <r>
    <s v="NSG"/>
    <x v="4"/>
    <x v="5"/>
    <s v="CBA"/>
    <x v="86"/>
    <n v="0"/>
    <s v="SF"/>
    <x v="3"/>
    <s v="5.6.3"/>
    <n v="0"/>
    <n v="0"/>
    <n v="0"/>
    <n v="0"/>
    <n v="0"/>
    <s v="RS-SHL-FINS-V14-230101"/>
    <m/>
    <n v="0.10489255765199164"/>
    <n v="0.10489255765199164"/>
    <n v="0.10489255765199164"/>
    <n v="0.10489255765199164"/>
    <n v="0"/>
    <n v="0"/>
    <n v="0"/>
    <n v="0"/>
    <n v="0"/>
    <n v="0"/>
    <n v="0"/>
    <n v="0"/>
    <n v="0"/>
    <n v="0"/>
    <n v="0"/>
    <n v="0"/>
    <n v="0"/>
    <n v="0"/>
    <n v="0"/>
    <n v="0"/>
    <n v="0"/>
    <m/>
    <m/>
    <n v="0.10489255765199164"/>
    <m/>
    <n v="0"/>
    <n v="0"/>
    <m/>
    <m/>
    <n v="0.10489255765199164"/>
    <s v="No savings impacts with existing measure assumptions."/>
    <n v="0"/>
    <n v="0"/>
    <n v="0"/>
    <m/>
    <m/>
    <n v="0.10489255765199164"/>
    <m/>
    <n v="0"/>
    <n v="0"/>
    <m/>
    <m/>
    <n v="0.10489255765199164"/>
    <m/>
    <n v="0"/>
    <n v="0"/>
    <n v="0"/>
    <n v="0"/>
    <n v="0"/>
    <n v="0"/>
    <n v="0"/>
    <s v="NA"/>
    <m/>
  </r>
  <r>
    <s v="NSG"/>
    <x v="4"/>
    <x v="5"/>
    <s v="CBA"/>
    <x v="90"/>
    <n v="0"/>
    <s v="SF"/>
    <x v="3"/>
    <s v="5.6.4"/>
    <n v="0"/>
    <n v="0"/>
    <n v="0"/>
    <n v="0"/>
    <n v="0"/>
    <s v="RS-SHL-WINS-V12-230101"/>
    <m/>
    <n v="0.10827529411764705"/>
    <n v="0.10827529411764705"/>
    <n v="0.10827529411764705"/>
    <n v="0.10827529411764705"/>
    <n v="0"/>
    <n v="0"/>
    <n v="0"/>
    <n v="0"/>
    <n v="0"/>
    <n v="0"/>
    <n v="0"/>
    <n v="0"/>
    <n v="0"/>
    <n v="0"/>
    <n v="0"/>
    <n v="0"/>
    <n v="0"/>
    <n v="0"/>
    <n v="0"/>
    <n v="0"/>
    <n v="0"/>
    <m/>
    <m/>
    <n v="0.10827529411764705"/>
    <m/>
    <n v="0"/>
    <n v="0"/>
    <m/>
    <m/>
    <n v="0.10827529411764705"/>
    <s v="No savings impacts with existing measure assumptions."/>
    <n v="0"/>
    <n v="0"/>
    <n v="0"/>
    <m/>
    <m/>
    <n v="0.10827529411764705"/>
    <m/>
    <n v="0"/>
    <n v="0"/>
    <m/>
    <m/>
    <n v="0.10827529411764705"/>
    <m/>
    <n v="0"/>
    <n v="0"/>
    <n v="0"/>
    <n v="0"/>
    <n v="0"/>
    <n v="0"/>
    <n v="0"/>
    <s v="NA"/>
    <m/>
  </r>
  <r>
    <s v="NSG"/>
    <x v="4"/>
    <x v="5"/>
    <s v="CBA"/>
    <x v="12"/>
    <s v="Storage 0.67 EF"/>
    <s v="SF"/>
    <x v="3"/>
    <s v="5.4.2"/>
    <n v="0"/>
    <n v="0"/>
    <n v="0"/>
    <n v="0"/>
    <n v="0"/>
    <s v="RS-HWE-GWHT-V10-220101"/>
    <m/>
    <n v="22.454907874999904"/>
    <n v="22.454907874999904"/>
    <n v="22.454907874999904"/>
    <n v="22.454907874999904"/>
    <n v="0"/>
    <n v="0"/>
    <n v="0"/>
    <n v="0"/>
    <n v="0"/>
    <n v="0"/>
    <n v="0"/>
    <n v="0"/>
    <n v="0"/>
    <n v="0"/>
    <n v="0"/>
    <n v="0"/>
    <n v="0"/>
    <n v="0"/>
    <n v="0"/>
    <n v="0"/>
    <n v="0"/>
    <m/>
    <m/>
    <n v="23.498586691725251"/>
    <m/>
    <n v="0"/>
    <n v="0"/>
    <m/>
    <m/>
    <n v="23.498586691725251"/>
    <s v="n/a"/>
    <n v="0"/>
    <n v="0"/>
    <n v="0"/>
    <m/>
    <m/>
    <n v="23.498586691725251"/>
    <m/>
    <n v="0"/>
    <n v="0"/>
    <m/>
    <m/>
    <n v="23.498586691725251"/>
    <m/>
    <n v="0"/>
    <n v="0"/>
    <n v="0"/>
    <n v="0"/>
    <n v="0"/>
    <n v="0"/>
    <n v="0"/>
    <s v="NA"/>
    <m/>
  </r>
  <r>
    <s v="NSG"/>
    <x v="4"/>
    <x v="5"/>
    <s v="CBA"/>
    <x v="28"/>
    <s v="≥88% AFUE, &lt;300MBh"/>
    <s v="SF"/>
    <x v="3"/>
    <s v="5.3.6"/>
    <n v="0"/>
    <n v="0"/>
    <n v="0"/>
    <n v="0"/>
    <n v="0"/>
    <s v="RS-HVC-GHEB-V10-230101"/>
    <m/>
    <n v="147.38374603174603"/>
    <n v="147.38374603174603"/>
    <n v="147.38374603174603"/>
    <n v="147.38374603174603"/>
    <n v="0"/>
    <n v="0"/>
    <n v="0"/>
    <n v="0"/>
    <n v="0"/>
    <n v="0"/>
    <n v="0"/>
    <n v="0"/>
    <n v="0"/>
    <n v="0"/>
    <n v="0"/>
    <n v="0"/>
    <n v="0"/>
    <n v="0"/>
    <n v="0"/>
    <n v="0"/>
    <n v="0"/>
    <m/>
    <m/>
    <n v="147.38374603174603"/>
    <m/>
    <n v="0"/>
    <n v="0"/>
    <m/>
    <m/>
    <n v="147.38374603174603"/>
    <s v="n/a"/>
    <n v="0"/>
    <n v="0"/>
    <n v="0"/>
    <m/>
    <m/>
    <n v="147.38374603174603"/>
    <m/>
    <n v="0"/>
    <n v="0"/>
    <m/>
    <m/>
    <n v="147.38374603174603"/>
    <m/>
    <n v="0"/>
    <n v="0"/>
    <n v="0"/>
    <n v="0"/>
    <n v="0"/>
    <n v="0"/>
    <n v="0"/>
    <s v="NA"/>
    <m/>
  </r>
  <r>
    <s v="NSG"/>
    <x v="4"/>
    <x v="5"/>
    <s v="CBA"/>
    <x v="26"/>
    <n v="0"/>
    <s v="IE SF"/>
    <x v="3"/>
    <s v="5.6.1"/>
    <n v="0"/>
    <n v="0"/>
    <n v="0"/>
    <n v="0"/>
    <n v="0"/>
    <s v="RS-SHL-AIRS-V12-230101"/>
    <m/>
    <n v="0.48799999999999999"/>
    <n v="0.48799999999999999"/>
    <n v="0.48799999999999999"/>
    <n v="0.48799999999999999"/>
    <n v="0"/>
    <n v="0"/>
    <n v="0"/>
    <n v="0"/>
    <n v="0"/>
    <n v="0"/>
    <n v="0"/>
    <n v="0"/>
    <n v="0"/>
    <n v="0"/>
    <n v="0"/>
    <n v="0"/>
    <n v="0"/>
    <n v="0"/>
    <n v="0"/>
    <n v="0"/>
    <n v="0"/>
    <m/>
    <m/>
    <n v="0.48799999999999999"/>
    <m/>
    <n v="0"/>
    <n v="0"/>
    <m/>
    <m/>
    <n v="0.48799999999999999"/>
    <s v="Updated ISR"/>
    <n v="0"/>
    <n v="0"/>
    <n v="0"/>
    <m/>
    <m/>
    <n v="0.48799999999999999"/>
    <m/>
    <n v="0"/>
    <n v="0"/>
    <m/>
    <m/>
    <n v="0.48799999999999999"/>
    <m/>
    <n v="0"/>
    <n v="0"/>
    <n v="0"/>
    <n v="0"/>
    <n v="0"/>
    <n v="0"/>
    <n v="0"/>
    <s v="NA"/>
    <m/>
  </r>
  <r>
    <s v="NSG"/>
    <x v="4"/>
    <x v="5"/>
    <s v="CBA"/>
    <x v="37"/>
    <s v="&gt;95% AFUE"/>
    <s v="SF"/>
    <x v="3"/>
    <s v="5.3.7"/>
    <n v="0"/>
    <n v="0"/>
    <n v="0"/>
    <n v="0"/>
    <n v="0"/>
    <s v="RS-HVC-GHEF-V12-230101"/>
    <m/>
    <n v="185.63073361823353"/>
    <n v="185.63073361823353"/>
    <n v="185.63073361823353"/>
    <n v="185.63073361823353"/>
    <n v="0"/>
    <n v="0"/>
    <n v="0"/>
    <n v="0"/>
    <n v="0"/>
    <n v="0"/>
    <n v="0"/>
    <n v="0"/>
    <n v="0"/>
    <n v="0"/>
    <n v="0"/>
    <n v="0"/>
    <n v="0"/>
    <n v="0"/>
    <n v="0"/>
    <n v="0"/>
    <n v="0"/>
    <m/>
    <m/>
    <n v="185.63073361823353"/>
    <m/>
    <n v="0"/>
    <n v="0"/>
    <m/>
    <m/>
    <n v="185.63073361823353"/>
    <s v="n/a"/>
    <n v="0"/>
    <n v="0"/>
    <n v="0"/>
    <m/>
    <m/>
    <n v="185.63073361823353"/>
    <m/>
    <n v="0"/>
    <n v="0"/>
    <m/>
    <m/>
    <n v="185.63073361823353"/>
    <m/>
    <n v="0"/>
    <n v="0"/>
    <n v="0"/>
    <n v="0"/>
    <n v="0"/>
    <n v="0"/>
    <n v="0"/>
    <s v="NA"/>
    <m/>
  </r>
  <r>
    <s v="NSG"/>
    <x v="4"/>
    <x v="5"/>
    <s v="CBA"/>
    <x v="49"/>
    <s v="no savings"/>
    <s v="SF"/>
    <x v="3"/>
    <s v="n/a"/>
    <n v="0"/>
    <n v="0"/>
    <n v="0"/>
    <n v="0"/>
    <n v="0"/>
    <s v="n/a"/>
    <m/>
    <n v="0"/>
    <n v="0"/>
    <n v="0"/>
    <n v="0"/>
    <n v="0"/>
    <n v="0"/>
    <n v="0"/>
    <n v="0"/>
    <n v="0"/>
    <n v="0"/>
    <n v="0"/>
    <n v="0"/>
    <n v="0"/>
    <n v="0"/>
    <n v="0"/>
    <n v="0"/>
    <n v="0"/>
    <n v="0"/>
    <n v="0"/>
    <n v="0"/>
    <n v="0"/>
    <m/>
    <m/>
    <n v="0"/>
    <m/>
    <n v="0"/>
    <n v="0"/>
    <m/>
    <m/>
    <n v="0"/>
    <s v="n/a"/>
    <n v="0"/>
    <n v="0"/>
    <n v="0"/>
    <m/>
    <m/>
    <n v="0"/>
    <m/>
    <n v="0"/>
    <n v="0"/>
    <m/>
    <m/>
    <n v="0"/>
    <m/>
    <n v="0"/>
    <n v="0"/>
    <n v="0"/>
    <n v="0"/>
    <n v="0"/>
    <n v="0"/>
    <n v="0"/>
    <s v="NA"/>
    <m/>
  </r>
  <r>
    <s v="NSG"/>
    <x v="4"/>
    <x v="5"/>
    <s v="IHWAP"/>
    <x v="6"/>
    <s v="Furnace (DI)"/>
    <s v="SF"/>
    <x v="3"/>
    <s v="5.3.11"/>
    <s v="each"/>
    <n v="0"/>
    <n v="0"/>
    <n v="0"/>
    <n v="0"/>
    <s v="RS-HVC-ADTH-V08-230101"/>
    <m/>
    <n v="62.31"/>
    <n v="62.31"/>
    <n v="62.31"/>
    <n v="62.31"/>
    <n v="1"/>
    <n v="1"/>
    <n v="1"/>
    <n v="1"/>
    <n v="0"/>
    <n v="0"/>
    <n v="0"/>
    <n v="0"/>
    <n v="0"/>
    <n v="1"/>
    <n v="1"/>
    <n v="1"/>
    <n v="1"/>
    <n v="1"/>
    <n v="1"/>
    <n v="1"/>
    <n v="1"/>
    <m/>
    <m/>
    <n v="62.31"/>
    <m/>
    <n v="0"/>
    <n v="0"/>
    <m/>
    <m/>
    <n v="62.31"/>
    <s v="n/a"/>
    <n v="0"/>
    <n v="0"/>
    <n v="0"/>
    <m/>
    <m/>
    <n v="62.31"/>
    <m/>
    <n v="0"/>
    <n v="0"/>
    <m/>
    <m/>
    <n v="62.31"/>
    <m/>
    <n v="0"/>
    <n v="0"/>
    <n v="0"/>
    <n v="0"/>
    <n v="0"/>
    <n v="0"/>
    <n v="0"/>
    <s v="NA"/>
    <m/>
  </r>
  <r>
    <s v="NSG"/>
    <x v="4"/>
    <x v="5"/>
    <s v="IHWAP"/>
    <x v="6"/>
    <s v="Boiler (DI)"/>
    <s v="SF"/>
    <x v="3"/>
    <s v="5.3.11"/>
    <s v="each"/>
    <n v="0"/>
    <n v="0"/>
    <n v="0"/>
    <n v="0"/>
    <s v="RS-HVC-ADTH-V08-230101"/>
    <m/>
    <n v="92.194000000000003"/>
    <n v="92.194000000000003"/>
    <n v="92.194000000000003"/>
    <n v="92.194000000000003"/>
    <n v="1"/>
    <n v="1"/>
    <n v="1"/>
    <n v="1"/>
    <n v="0"/>
    <n v="0"/>
    <n v="0"/>
    <n v="0"/>
    <n v="0"/>
    <n v="1"/>
    <n v="1"/>
    <n v="1"/>
    <n v="1"/>
    <n v="1"/>
    <n v="1"/>
    <n v="1"/>
    <n v="1"/>
    <m/>
    <m/>
    <n v="92.194000000000003"/>
    <m/>
    <n v="0"/>
    <n v="0"/>
    <m/>
    <m/>
    <n v="92.194000000000003"/>
    <s v="n/a"/>
    <n v="0"/>
    <n v="0"/>
    <n v="0"/>
    <m/>
    <m/>
    <n v="92.194000000000003"/>
    <m/>
    <n v="0"/>
    <n v="0"/>
    <m/>
    <m/>
    <n v="92.194000000000003"/>
    <m/>
    <n v="0"/>
    <n v="0"/>
    <n v="0"/>
    <n v="0"/>
    <n v="0"/>
    <n v="0"/>
    <n v="0"/>
    <s v="NA"/>
    <m/>
  </r>
  <r>
    <s v="NSG"/>
    <x v="4"/>
    <x v="5"/>
    <s v="IHWAP"/>
    <x v="44"/>
    <s v="Furnace (DI)"/>
    <s v="SF"/>
    <x v="3"/>
    <s v="5.3.11"/>
    <s v="each"/>
    <n v="0"/>
    <n v="0"/>
    <n v="0"/>
    <n v="0"/>
    <s v="RS-HVC-ADTH-V08-230101"/>
    <m/>
    <n v="62.31"/>
    <n v="62.31"/>
    <n v="62.31"/>
    <n v="62.31"/>
    <n v="1"/>
    <n v="1"/>
    <n v="1"/>
    <n v="1"/>
    <n v="0"/>
    <n v="0"/>
    <n v="0"/>
    <n v="0"/>
    <n v="0"/>
    <n v="1"/>
    <n v="1"/>
    <n v="1"/>
    <n v="1"/>
    <n v="1"/>
    <n v="1"/>
    <n v="1"/>
    <n v="1"/>
    <m/>
    <m/>
    <n v="62.31"/>
    <m/>
    <n v="0"/>
    <n v="0"/>
    <m/>
    <m/>
    <n v="62.31"/>
    <s v="n/a"/>
    <n v="0"/>
    <n v="0"/>
    <n v="0"/>
    <m/>
    <m/>
    <n v="62.31"/>
    <m/>
    <n v="0"/>
    <n v="0"/>
    <m/>
    <m/>
    <n v="62.31"/>
    <m/>
    <n v="0"/>
    <n v="0"/>
    <n v="0"/>
    <n v="0"/>
    <n v="0"/>
    <n v="0"/>
    <n v="0"/>
    <s v="NA"/>
    <m/>
  </r>
  <r>
    <s v="NSG"/>
    <x v="4"/>
    <x v="5"/>
    <s v="IHWAP"/>
    <x v="44"/>
    <s v="Boiler (DI)"/>
    <s v="SF"/>
    <x v="3"/>
    <s v="5.3.11"/>
    <s v="each"/>
    <n v="0"/>
    <n v="0"/>
    <n v="0"/>
    <n v="0"/>
    <s v="RS-HVC-ADTH-V08-230101"/>
    <m/>
    <n v="92.194000000000003"/>
    <n v="92.194000000000003"/>
    <n v="92.194000000000003"/>
    <n v="92.194000000000003"/>
    <n v="1"/>
    <n v="1"/>
    <n v="1"/>
    <n v="1"/>
    <n v="0"/>
    <n v="0"/>
    <n v="0"/>
    <n v="0"/>
    <n v="0"/>
    <n v="1"/>
    <n v="1"/>
    <n v="1"/>
    <n v="1"/>
    <n v="1"/>
    <n v="1"/>
    <n v="1"/>
    <n v="1"/>
    <m/>
    <m/>
    <n v="92.194000000000003"/>
    <m/>
    <n v="0"/>
    <n v="0"/>
    <m/>
    <m/>
    <n v="92.194000000000003"/>
    <s v="n/a"/>
    <n v="0"/>
    <n v="0"/>
    <n v="0"/>
    <m/>
    <m/>
    <n v="92.194000000000003"/>
    <m/>
    <n v="0"/>
    <n v="0"/>
    <m/>
    <m/>
    <n v="92.194000000000003"/>
    <m/>
    <n v="0"/>
    <n v="0"/>
    <n v="0"/>
    <n v="0"/>
    <n v="0"/>
    <n v="0"/>
    <n v="0"/>
    <s v="NA"/>
    <m/>
  </r>
  <r>
    <s v="NSG"/>
    <x v="4"/>
    <x v="5"/>
    <s v="IHWAP"/>
    <x v="18"/>
    <n v="0"/>
    <s v="IE SF"/>
    <x v="3"/>
    <s v="5.6.1"/>
    <n v="0"/>
    <n v="0"/>
    <n v="0"/>
    <n v="0"/>
    <n v="0"/>
    <s v="RS-SHL-AIRS-V12-230101"/>
    <m/>
    <n v="6.9090927014218012E-2"/>
    <n v="6.9090927014218012E-2"/>
    <n v="6.9090927014218012E-2"/>
    <n v="6.9090927014218012E-2"/>
    <n v="0"/>
    <n v="0"/>
    <n v="0"/>
    <n v="0"/>
    <n v="0"/>
    <n v="0"/>
    <n v="0"/>
    <n v="0"/>
    <n v="0"/>
    <n v="0"/>
    <n v="0"/>
    <n v="0"/>
    <n v="0"/>
    <n v="0"/>
    <n v="0"/>
    <n v="0"/>
    <n v="0"/>
    <m/>
    <m/>
    <n v="6.9090927014218012E-2"/>
    <m/>
    <n v="0"/>
    <n v="0"/>
    <m/>
    <m/>
    <n v="6.9090927014218012E-2"/>
    <s v="Updated ISR"/>
    <n v="0"/>
    <n v="0"/>
    <n v="0"/>
    <m/>
    <m/>
    <n v="6.9090927014218012E-2"/>
    <m/>
    <n v="0"/>
    <n v="0"/>
    <m/>
    <m/>
    <n v="6.9090927014218012E-2"/>
    <m/>
    <n v="0"/>
    <n v="0"/>
    <n v="0"/>
    <n v="0"/>
    <n v="0"/>
    <n v="0"/>
    <n v="0"/>
    <s v="NA"/>
    <m/>
  </r>
  <r>
    <s v="NSG"/>
    <x v="4"/>
    <x v="5"/>
    <s v="IHWAP"/>
    <x v="45"/>
    <n v="0"/>
    <s v="SF"/>
    <x v="3"/>
    <s v="5.6.2"/>
    <s v="sq ft"/>
    <n v="0"/>
    <n v="0"/>
    <n v="0"/>
    <n v="0"/>
    <s v="RS-SHL-BINS-V13-230101"/>
    <m/>
    <n v="0.13695535714285714"/>
    <n v="0.13695535714285714"/>
    <n v="0.13695535714285714"/>
    <n v="0.13695535714285714"/>
    <n v="1"/>
    <n v="1"/>
    <n v="1"/>
    <n v="1"/>
    <n v="0"/>
    <n v="0"/>
    <n v="0"/>
    <n v="0"/>
    <n v="0"/>
    <n v="1"/>
    <n v="1"/>
    <n v="1"/>
    <n v="1"/>
    <n v="1"/>
    <n v="1"/>
    <n v="1"/>
    <n v="1"/>
    <m/>
    <m/>
    <n v="0.13695535714285714"/>
    <m/>
    <n v="0"/>
    <n v="0"/>
    <m/>
    <m/>
    <n v="0.13695535714285714"/>
    <s v="No savings impacts with existing measure assumptions."/>
    <n v="0"/>
    <n v="0"/>
    <n v="0"/>
    <m/>
    <m/>
    <n v="0.13695535714285714"/>
    <m/>
    <n v="0"/>
    <n v="0"/>
    <m/>
    <m/>
    <n v="0.13695535714285714"/>
    <m/>
    <n v="0"/>
    <n v="0"/>
    <n v="0"/>
    <n v="0"/>
    <n v="0"/>
    <n v="0"/>
    <n v="0"/>
    <s v="NA"/>
    <m/>
  </r>
  <r>
    <s v="NSG"/>
    <x v="4"/>
    <x v="5"/>
    <s v="IHWAP"/>
    <x v="89"/>
    <n v="0"/>
    <s v="SF"/>
    <x v="3"/>
    <s v="5.6.6"/>
    <s v="each"/>
    <n v="0"/>
    <n v="0"/>
    <n v="0"/>
    <n v="0"/>
    <s v="RS-SHL-RINS-V05-230101"/>
    <m/>
    <n v="0.13714870588235292"/>
    <n v="0.13714870588235292"/>
    <n v="0.13714870588235292"/>
    <n v="0.13714870588235292"/>
    <n v="1"/>
    <n v="1"/>
    <n v="1"/>
    <n v="1"/>
    <n v="0"/>
    <n v="0"/>
    <n v="0"/>
    <n v="0"/>
    <n v="0"/>
    <n v="1"/>
    <n v="1"/>
    <n v="1"/>
    <n v="1"/>
    <n v="1"/>
    <n v="1"/>
    <n v="1"/>
    <n v="1"/>
    <m/>
    <m/>
    <n v="0.13714870588235292"/>
    <m/>
    <n v="0"/>
    <n v="0"/>
    <m/>
    <m/>
    <n v="0.13714870588235292"/>
    <s v="No savings impacts with existing measure assumptions."/>
    <n v="0"/>
    <n v="0"/>
    <n v="0"/>
    <m/>
    <m/>
    <n v="0.13714870588235292"/>
    <m/>
    <n v="0"/>
    <n v="0"/>
    <m/>
    <m/>
    <n v="0.13714870588235292"/>
    <m/>
    <n v="0"/>
    <n v="0"/>
    <n v="0"/>
    <n v="0"/>
    <n v="0"/>
    <n v="0"/>
    <n v="0"/>
    <s v="NA"/>
    <m/>
  </r>
  <r>
    <s v="NSG"/>
    <x v="4"/>
    <x v="5"/>
    <s v="IHWAP"/>
    <x v="86"/>
    <n v="0"/>
    <s v="SF"/>
    <x v="3"/>
    <s v="5.6.3"/>
    <s v="each"/>
    <n v="0"/>
    <n v="0"/>
    <n v="0"/>
    <n v="0"/>
    <s v="RS-SHL-FINS-V14-230101"/>
    <m/>
    <n v="0.10489255765199164"/>
    <n v="0.10489255765199164"/>
    <n v="0.10489255765199164"/>
    <n v="0.10489255765199164"/>
    <n v="1"/>
    <n v="1"/>
    <n v="1"/>
    <n v="1"/>
    <n v="0"/>
    <n v="0"/>
    <n v="0"/>
    <n v="0"/>
    <n v="0"/>
    <n v="1"/>
    <n v="1"/>
    <n v="1"/>
    <n v="1"/>
    <n v="1"/>
    <n v="1"/>
    <n v="1"/>
    <n v="1"/>
    <m/>
    <m/>
    <n v="0.10489255765199164"/>
    <m/>
    <n v="0"/>
    <n v="0"/>
    <m/>
    <m/>
    <n v="0.10489255765199164"/>
    <s v="No savings impacts with existing measure assumptions."/>
    <n v="0"/>
    <n v="0"/>
    <n v="0"/>
    <m/>
    <m/>
    <n v="0.10489255765199164"/>
    <m/>
    <n v="0"/>
    <n v="0"/>
    <m/>
    <m/>
    <n v="0.10489255765199164"/>
    <m/>
    <n v="0"/>
    <n v="0"/>
    <n v="0"/>
    <n v="0"/>
    <n v="0"/>
    <n v="0"/>
    <n v="0"/>
    <s v="NA"/>
    <m/>
  </r>
  <r>
    <s v="NSG"/>
    <x v="4"/>
    <x v="5"/>
    <s v="IHWAP"/>
    <x v="28"/>
    <s v="≥88% AFUE, &lt;300MBh"/>
    <s v="SF"/>
    <x v="3"/>
    <s v="5.3.6"/>
    <s v="each"/>
    <n v="0"/>
    <n v="0"/>
    <n v="0"/>
    <n v="0"/>
    <s v="RS-HVC-GHEB-V10-230101"/>
    <m/>
    <n v="147.38374603174603"/>
    <n v="147.38374603174603"/>
    <n v="147.38374603174603"/>
    <n v="147.38374603174603"/>
    <n v="1"/>
    <n v="1"/>
    <n v="1"/>
    <n v="1"/>
    <n v="0"/>
    <n v="0"/>
    <n v="0"/>
    <n v="0"/>
    <n v="0"/>
    <n v="1"/>
    <n v="1"/>
    <n v="1"/>
    <n v="1"/>
    <n v="1"/>
    <n v="1"/>
    <n v="1"/>
    <n v="1"/>
    <m/>
    <m/>
    <n v="147.38374603174603"/>
    <m/>
    <n v="0"/>
    <n v="0"/>
    <m/>
    <m/>
    <n v="147.38374603174603"/>
    <s v="n/a"/>
    <n v="0"/>
    <n v="0"/>
    <n v="0"/>
    <m/>
    <m/>
    <n v="147.38374603174603"/>
    <m/>
    <n v="0"/>
    <n v="0"/>
    <m/>
    <m/>
    <n v="147.38374603174603"/>
    <m/>
    <n v="0"/>
    <n v="0"/>
    <n v="0"/>
    <n v="0"/>
    <n v="0"/>
    <n v="0"/>
    <n v="0"/>
    <s v="NA"/>
    <m/>
  </r>
  <r>
    <s v="NSG"/>
    <x v="5"/>
    <x v="7"/>
    <s v="Assessments"/>
    <x v="4"/>
    <s v="DHW"/>
    <s v="CI"/>
    <x v="3"/>
    <s v="4.4.14"/>
    <s v="ft"/>
    <n v="0"/>
    <n v="0"/>
    <n v="0"/>
    <n v="0"/>
    <s v="CI-HVC-PINS-V08-230101"/>
    <m/>
    <n v="0.75299999999999989"/>
    <n v="0.75299999999999989"/>
    <n v="0.75299999999999989"/>
    <n v="0.75299999999999989"/>
    <n v="0.93"/>
    <n v="0.93"/>
    <n v="0.93"/>
    <n v="0.93"/>
    <n v="0"/>
    <n v="0"/>
    <n v="0"/>
    <n v="0"/>
    <n v="0"/>
    <n v="0.93"/>
    <n v="0.93"/>
    <n v="0.93"/>
    <n v="0.93"/>
    <n v="0.93"/>
    <n v="0.93"/>
    <n v="0.93"/>
    <n v="0.93"/>
    <m/>
    <m/>
    <n v="3.8653999999999997"/>
    <m/>
    <n v="0"/>
    <n v="0"/>
    <m/>
    <m/>
    <n v="3.8653999999999997"/>
    <s v="n/a"/>
    <n v="0"/>
    <n v="0"/>
    <n v="0"/>
    <m/>
    <m/>
    <n v="3.8653999999999997"/>
    <m/>
    <n v="0"/>
    <n v="0"/>
    <m/>
    <m/>
    <n v="3.8653999999999997"/>
    <m/>
    <n v="0"/>
    <n v="0"/>
    <n v="0"/>
    <n v="0"/>
    <n v="0"/>
    <n v="0"/>
    <n v="0"/>
    <s v="NA"/>
    <m/>
  </r>
  <r>
    <s v="NSG"/>
    <x v="5"/>
    <x v="7"/>
    <s v="Assessments"/>
    <x v="72"/>
    <n v="0"/>
    <s v="CI"/>
    <x v="3"/>
    <s v="4.4.48"/>
    <s v="ft"/>
    <n v="0"/>
    <n v="0"/>
    <n v="0"/>
    <n v="0"/>
    <s v="CI-HVC-THST-V05-230101"/>
    <m/>
    <n v="196.26391399999997"/>
    <n v="196.26391399999997"/>
    <n v="196.26391399999997"/>
    <n v="196.26391399999997"/>
    <n v="0.97"/>
    <n v="0.97"/>
    <n v="0.97"/>
    <n v="0.97"/>
    <n v="0"/>
    <n v="0"/>
    <n v="0"/>
    <n v="0"/>
    <n v="0"/>
    <n v="0.97"/>
    <n v="0.97"/>
    <n v="0.97"/>
    <n v="0.97"/>
    <n v="0.97"/>
    <n v="0.97"/>
    <n v="0.97"/>
    <n v="0.97"/>
    <m/>
    <m/>
    <n v="157.01113119999999"/>
    <m/>
    <n v="0"/>
    <n v="0"/>
    <m/>
    <m/>
    <n v="157.01113119999999"/>
    <s v="n/a"/>
    <n v="0"/>
    <n v="0"/>
    <n v="0"/>
    <m/>
    <m/>
    <n v="157.01113119999999"/>
    <m/>
    <n v="0"/>
    <n v="0"/>
    <m/>
    <m/>
    <n v="157.01113119999999"/>
    <m/>
    <n v="0"/>
    <n v="0"/>
    <n v="0"/>
    <n v="0"/>
    <n v="0"/>
    <n v="0"/>
    <n v="0"/>
    <s v="NA"/>
    <m/>
  </r>
  <r>
    <s v="NSG"/>
    <x v="5"/>
    <x v="7"/>
    <s v="Assessments"/>
    <x v="6"/>
    <n v="0"/>
    <s v="CI"/>
    <x v="3"/>
    <s v="4.4.48"/>
    <s v="ft"/>
    <n v="0"/>
    <n v="0"/>
    <n v="0"/>
    <n v="0"/>
    <s v="CI-HVC-THST-V05-230101"/>
    <m/>
    <n v="159.30512500000003"/>
    <n v="159.30512500000003"/>
    <n v="159.30512500000003"/>
    <n v="159.30512500000003"/>
    <n v="0.97"/>
    <n v="0.97"/>
    <n v="0.97"/>
    <n v="0.97"/>
    <n v="0"/>
    <n v="0"/>
    <n v="0"/>
    <n v="0"/>
    <n v="0"/>
    <n v="0.97"/>
    <n v="0.97"/>
    <n v="0.97"/>
    <n v="0.97"/>
    <n v="0.97"/>
    <n v="0.97"/>
    <n v="0.97"/>
    <n v="0.97"/>
    <m/>
    <m/>
    <n v="200.26929999999999"/>
    <m/>
    <n v="0"/>
    <n v="0"/>
    <m/>
    <m/>
    <n v="200.26929999999999"/>
    <s v="n/a"/>
    <n v="0"/>
    <n v="0"/>
    <n v="0"/>
    <m/>
    <m/>
    <n v="200.26929999999999"/>
    <m/>
    <n v="0"/>
    <n v="0"/>
    <m/>
    <m/>
    <n v="200.26929999999999"/>
    <m/>
    <n v="0"/>
    <n v="0"/>
    <n v="0"/>
    <n v="0"/>
    <n v="0"/>
    <n v="0"/>
    <n v="0"/>
    <s v="NA"/>
    <m/>
  </r>
  <r>
    <s v="NSG"/>
    <x v="5"/>
    <x v="7"/>
    <s v="Rebates"/>
    <x v="70"/>
    <n v="0"/>
    <s v="MF/CI"/>
    <x v="3"/>
    <s v="4.4.5"/>
    <s v="MBH"/>
    <n v="0"/>
    <n v="0"/>
    <n v="0"/>
    <n v="0"/>
    <s v="CI-HVC-CUHT-V03-230101"/>
    <m/>
    <n v="1.7733333333333334"/>
    <n v="1.7733333333333334"/>
    <n v="1.7733333333333334"/>
    <n v="1.7733333333333334"/>
    <n v="0.93"/>
    <n v="0.93"/>
    <n v="0.93"/>
    <n v="0.93"/>
    <n v="0"/>
    <n v="0"/>
    <n v="0"/>
    <n v="0"/>
    <n v="0"/>
    <n v="0.93"/>
    <n v="0.93"/>
    <n v="0.93"/>
    <n v="0.93"/>
    <n v="0.93"/>
    <n v="0.93"/>
    <n v="0.93"/>
    <n v="0.93"/>
    <m/>
    <m/>
    <n v="1.6896527777777772"/>
    <m/>
    <n v="0"/>
    <n v="0"/>
    <m/>
    <m/>
    <n v="1.6896527777777772"/>
    <s v="n/a"/>
    <n v="0"/>
    <n v="0"/>
    <n v="0"/>
    <m/>
    <m/>
    <n v="1.6896527777777772"/>
    <m/>
    <n v="0"/>
    <n v="0"/>
    <m/>
    <m/>
    <n v="1.6896527777777772"/>
    <m/>
    <n v="0"/>
    <n v="0"/>
    <n v="0"/>
    <n v="0"/>
    <n v="0"/>
    <n v="0"/>
    <n v="0"/>
    <s v="NA"/>
    <m/>
  </r>
  <r>
    <s v="NSG"/>
    <x v="5"/>
    <x v="7"/>
    <s v="Rebates"/>
    <x v="50"/>
    <n v="0"/>
    <s v="MF/CI"/>
    <x v="3"/>
    <s v="4.2.16"/>
    <s v="HP"/>
    <n v="0"/>
    <n v="0"/>
    <n v="0"/>
    <n v="0"/>
    <s v="CI-FSE-VENT-V05-230101"/>
    <m/>
    <n v="774"/>
    <n v="774"/>
    <n v="774"/>
    <n v="774"/>
    <n v="0.93"/>
    <n v="0.93"/>
    <n v="0.93"/>
    <n v="0.93"/>
    <n v="0"/>
    <n v="0"/>
    <n v="0"/>
    <n v="0"/>
    <n v="0"/>
    <n v="0.93"/>
    <n v="0.93"/>
    <n v="0.93"/>
    <n v="0.93"/>
    <n v="0.93"/>
    <n v="0.93"/>
    <n v="0.93"/>
    <n v="0.93"/>
    <m/>
    <m/>
    <n v="774"/>
    <m/>
    <n v="0"/>
    <n v="0"/>
    <m/>
    <m/>
    <n v="774"/>
    <s v="n/a"/>
    <n v="0"/>
    <n v="0"/>
    <n v="0"/>
    <m/>
    <m/>
    <n v="774"/>
    <m/>
    <n v="0"/>
    <n v="0"/>
    <m/>
    <m/>
    <n v="774"/>
    <m/>
    <n v="0"/>
    <n v="0"/>
    <n v="0"/>
    <n v="0"/>
    <n v="0"/>
    <n v="0"/>
    <n v="0"/>
    <s v="NA"/>
    <m/>
  </r>
  <r>
    <s v="NSG"/>
    <x v="5"/>
    <x v="7"/>
    <s v="Rebates"/>
    <x v="71"/>
    <n v="0"/>
    <s v="MF/CI"/>
    <x v="3"/>
    <s v="4.4.39"/>
    <s v="MBH"/>
    <n v="0"/>
    <n v="0"/>
    <n v="0"/>
    <n v="0"/>
    <s v="CI-HVC-HTHV-V02-230101"/>
    <m/>
    <n v="3.72"/>
    <n v="3.72"/>
    <n v="3.72"/>
    <n v="3.72"/>
    <n v="0.93"/>
    <n v="0.93"/>
    <n v="0.93"/>
    <n v="0.93"/>
    <n v="0"/>
    <n v="0"/>
    <n v="0"/>
    <n v="0"/>
    <n v="0"/>
    <n v="0.93"/>
    <n v="0.93"/>
    <n v="0.93"/>
    <n v="0.93"/>
    <n v="0.93"/>
    <n v="0.93"/>
    <n v="0.93"/>
    <n v="0.93"/>
    <m/>
    <m/>
    <n v="3.72"/>
    <m/>
    <n v="0"/>
    <n v="0"/>
    <m/>
    <m/>
    <n v="3.72"/>
    <s v="n/a"/>
    <n v="0"/>
    <n v="0"/>
    <n v="0"/>
    <m/>
    <m/>
    <n v="3.72"/>
    <m/>
    <n v="0"/>
    <n v="0"/>
    <m/>
    <m/>
    <n v="3.72"/>
    <m/>
    <n v="0"/>
    <n v="0"/>
    <n v="0"/>
    <n v="0"/>
    <n v="0"/>
    <n v="0"/>
    <n v="0"/>
    <s v="NA"/>
    <m/>
  </r>
  <r>
    <s v="NSG"/>
    <x v="5"/>
    <x v="7"/>
    <s v="Rebates"/>
    <x v="43"/>
    <s v="Laundromat"/>
    <s v="SMB"/>
    <x v="3"/>
    <s v="4.8.5"/>
    <s v="lb-capacity"/>
    <n v="0"/>
    <n v="0"/>
    <n v="0"/>
    <n v="0"/>
    <s v="CI-MSC-HSCW-V02-210101"/>
    <m/>
    <n v="2.7891864000000002"/>
    <n v="2.7891864000000002"/>
    <n v="2.7891864000000002"/>
    <n v="2.7891864000000002"/>
    <n v="0.93"/>
    <n v="0.93"/>
    <n v="0.93"/>
    <n v="0.93"/>
    <n v="0"/>
    <n v="0"/>
    <n v="0"/>
    <n v="0"/>
    <n v="0"/>
    <n v="0.93"/>
    <n v="0.93"/>
    <n v="0.93"/>
    <n v="0.93"/>
    <n v="0.93"/>
    <n v="0.93"/>
    <n v="0.93"/>
    <n v="0.93"/>
    <m/>
    <m/>
    <n v="2.7891864000000002"/>
    <m/>
    <n v="0"/>
    <n v="0"/>
    <m/>
    <m/>
    <n v="2.7891864000000002"/>
    <s v="n/a"/>
    <n v="0"/>
    <n v="0"/>
    <n v="0"/>
    <m/>
    <m/>
    <n v="2.7891864000000002"/>
    <m/>
    <n v="0"/>
    <n v="0"/>
    <m/>
    <m/>
    <n v="2.7891864000000002"/>
    <m/>
    <n v="0"/>
    <n v="0"/>
    <n v="0"/>
    <n v="0"/>
    <n v="0"/>
    <n v="0"/>
    <n v="0"/>
    <s v="NA"/>
    <m/>
  </r>
  <r>
    <s v="NSG"/>
    <x v="5"/>
    <x v="7"/>
    <s v="Rebates"/>
    <x v="72"/>
    <n v="0"/>
    <s v="CI"/>
    <x v="3"/>
    <s v="4.4.48"/>
    <s v="each"/>
    <n v="0"/>
    <n v="0"/>
    <n v="0"/>
    <n v="0"/>
    <s v="CI-HVC-THST-V05-230101"/>
    <m/>
    <n v="196.26391399999997"/>
    <n v="196.26391399999997"/>
    <n v="196.26391399999997"/>
    <n v="196.26391399999997"/>
    <n v="0.97"/>
    <n v="0.97"/>
    <n v="0.97"/>
    <n v="0.97"/>
    <n v="0"/>
    <n v="0"/>
    <n v="0"/>
    <n v="0"/>
    <n v="0"/>
    <n v="0.97"/>
    <n v="0.97"/>
    <n v="0.97"/>
    <n v="0.97"/>
    <n v="0.97"/>
    <n v="0.97"/>
    <n v="0.97"/>
    <n v="0.97"/>
    <m/>
    <m/>
    <n v="157.01113119999999"/>
    <m/>
    <n v="0"/>
    <n v="0"/>
    <m/>
    <m/>
    <n v="157.01113119999999"/>
    <s v="n/a"/>
    <n v="0"/>
    <n v="0"/>
    <n v="0"/>
    <m/>
    <m/>
    <n v="157.01113119999999"/>
    <m/>
    <n v="0"/>
    <n v="0"/>
    <m/>
    <m/>
    <n v="157.01113119999999"/>
    <m/>
    <n v="0"/>
    <n v="0"/>
    <n v="0"/>
    <n v="0"/>
    <n v="0"/>
    <n v="0"/>
    <n v="0"/>
    <s v="NA"/>
    <m/>
  </r>
  <r>
    <s v="NSG"/>
    <x v="5"/>
    <x v="7"/>
    <s v="Rebates"/>
    <x v="31"/>
    <n v="0"/>
    <s v="MF/CI/SMB"/>
    <x v="3"/>
    <s v="4.4.19"/>
    <s v="sqft"/>
    <n v="0"/>
    <n v="0"/>
    <n v="0"/>
    <n v="0"/>
    <s v="CI-HVC-DCV-V06-220101"/>
    <m/>
    <n v="6.8000000000000005E-2"/>
    <n v="6.8000000000000005E-2"/>
    <n v="6.8000000000000005E-2"/>
    <n v="6.8000000000000005E-2"/>
    <n v="0.93"/>
    <n v="0.93"/>
    <n v="0.93"/>
    <n v="0.93"/>
    <n v="0"/>
    <n v="0"/>
    <n v="0"/>
    <n v="0"/>
    <n v="0"/>
    <n v="0.93"/>
    <n v="0.93"/>
    <n v="0.93"/>
    <n v="0.93"/>
    <n v="0.93"/>
    <n v="0.93"/>
    <n v="0.93"/>
    <n v="0.93"/>
    <m/>
    <m/>
    <n v="6.8000000000000005E-2"/>
    <m/>
    <n v="0"/>
    <n v="0"/>
    <m/>
    <m/>
    <n v="6.8000000000000005E-2"/>
    <s v="n/a"/>
    <n v="0"/>
    <n v="0"/>
    <n v="0"/>
    <m/>
    <m/>
    <n v="6.8000000000000005E-2"/>
    <m/>
    <n v="0"/>
    <n v="0"/>
    <m/>
    <m/>
    <n v="6.8000000000000005E-2"/>
    <m/>
    <n v="0"/>
    <n v="0"/>
    <n v="0"/>
    <n v="0"/>
    <n v="0"/>
    <n v="0"/>
    <n v="0"/>
    <s v="NA"/>
    <m/>
  </r>
  <r>
    <s v="NSG"/>
    <x v="5"/>
    <x v="7"/>
    <s v="Rebates"/>
    <x v="38"/>
    <n v="0"/>
    <s v="MF/CI/SMB"/>
    <x v="3"/>
    <s v="4.3.12"/>
    <s v="sqft"/>
    <n v="0"/>
    <n v="0"/>
    <n v="0"/>
    <n v="0"/>
    <s v="CI-HWE-TKIN-V02-220101"/>
    <m/>
    <n v="16.746197539658972"/>
    <n v="16.746197539658972"/>
    <n v="16.746197539658972"/>
    <n v="16.746197539658972"/>
    <n v="0.93"/>
    <n v="0.93"/>
    <n v="0.93"/>
    <n v="0.93"/>
    <n v="0"/>
    <n v="0"/>
    <n v="0"/>
    <n v="0"/>
    <n v="0"/>
    <n v="0.93"/>
    <n v="0.93"/>
    <n v="0.93"/>
    <n v="0.93"/>
    <n v="0.93"/>
    <n v="0.93"/>
    <n v="0.93"/>
    <n v="0.93"/>
    <m/>
    <m/>
    <n v="16.746197539658972"/>
    <m/>
    <n v="0"/>
    <n v="0"/>
    <m/>
    <m/>
    <n v="16.746197539658972"/>
    <s v="n/a"/>
    <n v="0"/>
    <n v="0"/>
    <n v="0"/>
    <m/>
    <m/>
    <n v="16.746197539658972"/>
    <m/>
    <n v="0"/>
    <n v="0"/>
    <m/>
    <m/>
    <n v="16.746197539658972"/>
    <m/>
    <n v="0"/>
    <n v="0"/>
    <n v="0"/>
    <n v="0"/>
    <n v="0"/>
    <n v="0"/>
    <n v="0"/>
    <s v="NA"/>
    <m/>
  </r>
  <r>
    <s v="NSG"/>
    <x v="5"/>
    <x v="7"/>
    <s v="Rebates"/>
    <x v="66"/>
    <n v="0"/>
    <s v="CI"/>
    <x v="3"/>
    <n v="0"/>
    <s v="each"/>
    <n v="0"/>
    <n v="0"/>
    <n v="0"/>
    <n v="0"/>
    <n v="0"/>
    <m/>
    <n v="234.94825714285713"/>
    <n v="234.94825714285713"/>
    <n v="234.94825714285713"/>
    <n v="234.94825714285713"/>
    <n v="0.93"/>
    <n v="0.93"/>
    <n v="0.93"/>
    <n v="0.93"/>
    <n v="0"/>
    <n v="0"/>
    <n v="0"/>
    <n v="0"/>
    <n v="0"/>
    <n v="0.93"/>
    <n v="0.93"/>
    <n v="0.93"/>
    <n v="0.93"/>
    <n v="0.93"/>
    <n v="0.93"/>
    <n v="0.93"/>
    <n v="0.93"/>
    <m/>
    <m/>
    <n v="234.94825714285713"/>
    <m/>
    <n v="0"/>
    <n v="0"/>
    <m/>
    <m/>
    <n v="234.94825714285713"/>
    <s v="n/a"/>
    <n v="0"/>
    <n v="0"/>
    <n v="0"/>
    <m/>
    <m/>
    <n v="234.94825714285713"/>
    <m/>
    <n v="0"/>
    <n v="0"/>
    <m/>
    <m/>
    <n v="234.94825714285713"/>
    <m/>
    <n v="0"/>
    <n v="0"/>
    <n v="0"/>
    <n v="0"/>
    <n v="0"/>
    <n v="0"/>
    <n v="0"/>
    <s v="NA"/>
    <m/>
  </r>
  <r>
    <s v="NSG"/>
    <x v="5"/>
    <x v="7"/>
    <s v="Rebates"/>
    <x v="12"/>
    <s v="≥75 MBH, ≥88% TE "/>
    <s v="CI"/>
    <x v="3"/>
    <s v="4.3.1"/>
    <s v="MBH"/>
    <n v="0"/>
    <n v="0"/>
    <n v="0"/>
    <n v="0"/>
    <s v="CI-HWE-STWH-V09-230101"/>
    <m/>
    <n v="2.4977693963210257"/>
    <n v="2.4977693963210257"/>
    <n v="2.4977693963210257"/>
    <n v="2.4977693963210257"/>
    <n v="0.93"/>
    <n v="0.93"/>
    <n v="0.93"/>
    <n v="0.93"/>
    <n v="0"/>
    <n v="0"/>
    <n v="0"/>
    <n v="0"/>
    <n v="0"/>
    <n v="0.93"/>
    <n v="0.93"/>
    <n v="0.93"/>
    <n v="0.93"/>
    <n v="0.93"/>
    <n v="0.93"/>
    <n v="0.93"/>
    <n v="0.93"/>
    <m/>
    <m/>
    <n v="2.6035838480037183"/>
    <m/>
    <n v="0"/>
    <n v="0"/>
    <m/>
    <m/>
    <n v="2.6035838480037183"/>
    <s v="n/a"/>
    <n v="0"/>
    <n v="0"/>
    <n v="0"/>
    <m/>
    <m/>
    <n v="2.6035838480037183"/>
    <m/>
    <n v="0"/>
    <n v="0"/>
    <m/>
    <m/>
    <n v="2.6035838480037183"/>
    <m/>
    <n v="0"/>
    <n v="0"/>
    <n v="0"/>
    <n v="0"/>
    <n v="0"/>
    <n v="0"/>
    <n v="0"/>
    <s v="NA"/>
    <m/>
  </r>
  <r>
    <s v="NSG"/>
    <x v="5"/>
    <x v="7"/>
    <s v="Rebates"/>
    <x v="12"/>
    <s v="Central Lodging 88% TE"/>
    <s v="CI"/>
    <x v="3"/>
    <s v="4.3.7"/>
    <s v="MBH"/>
    <n v="0"/>
    <n v="0"/>
    <n v="0"/>
    <n v="0"/>
    <s v="CI-HWE-MDHW-V06-230101"/>
    <m/>
    <n v="9.31628800262075"/>
    <n v="9.31628800262075"/>
    <n v="9.31628800262075"/>
    <n v="9.31628800262075"/>
    <n v="0.93"/>
    <n v="0.93"/>
    <n v="0.93"/>
    <n v="0.93"/>
    <n v="0"/>
    <n v="0"/>
    <n v="0"/>
    <n v="0"/>
    <n v="0"/>
    <n v="0.93"/>
    <n v="0.93"/>
    <n v="0.93"/>
    <n v="0.93"/>
    <n v="0.93"/>
    <n v="0.93"/>
    <n v="0.93"/>
    <n v="0.93"/>
    <m/>
    <m/>
    <n v="9.7379830071207483"/>
    <m/>
    <n v="0"/>
    <n v="0"/>
    <m/>
    <m/>
    <n v="9.7379830071207483"/>
    <s v="n/a"/>
    <n v="0"/>
    <n v="0"/>
    <n v="0"/>
    <m/>
    <m/>
    <n v="9.7379830071207483"/>
    <m/>
    <n v="0"/>
    <n v="0"/>
    <m/>
    <m/>
    <n v="9.7379830071207483"/>
    <m/>
    <n v="0"/>
    <n v="0"/>
    <n v="0"/>
    <n v="0"/>
    <n v="0"/>
    <n v="0"/>
    <n v="0"/>
    <s v="NA"/>
    <m/>
  </r>
  <r>
    <s v="NSG"/>
    <x v="5"/>
    <x v="7"/>
    <s v="Rebates"/>
    <x v="12"/>
    <s v="Storage 0.67 EF"/>
    <s v="CI"/>
    <x v="3"/>
    <s v="4.3.1"/>
    <s v="each"/>
    <n v="0"/>
    <n v="0"/>
    <n v="0"/>
    <n v="0"/>
    <s v="CI-HWE-STWH-V09-230101"/>
    <m/>
    <n v="56.252452620818083"/>
    <n v="56.252452620818083"/>
    <n v="56.252452620818083"/>
    <n v="56.252452620818083"/>
    <n v="0.93"/>
    <n v="0.93"/>
    <n v="0.93"/>
    <n v="0.93"/>
    <n v="0"/>
    <n v="0"/>
    <n v="0"/>
    <n v="0"/>
    <n v="0"/>
    <n v="0.93"/>
    <n v="0.93"/>
    <n v="0.93"/>
    <n v="0.93"/>
    <n v="0.93"/>
    <n v="0.93"/>
    <n v="0.93"/>
    <n v="0.93"/>
    <m/>
    <m/>
    <n v="58.867003235588506"/>
    <m/>
    <n v="0"/>
    <n v="0"/>
    <m/>
    <m/>
    <n v="58.550513970881049"/>
    <s v="n/a"/>
    <n v="0"/>
    <n v="0"/>
    <n v="0"/>
    <m/>
    <m/>
    <n v="58.550513970881049"/>
    <m/>
    <n v="0"/>
    <n v="0"/>
    <m/>
    <m/>
    <n v="58.550513970881049"/>
    <m/>
    <n v="0"/>
    <n v="0"/>
    <n v="0"/>
    <n v="0"/>
    <n v="0"/>
    <n v="0"/>
    <n v="0"/>
    <s v="NA"/>
    <m/>
  </r>
  <r>
    <s v="NSG"/>
    <x v="5"/>
    <x v="7"/>
    <s v="Rebates"/>
    <x v="73"/>
    <n v="0"/>
    <s v="MF/CI"/>
    <x v="3"/>
    <s v="4.4.12"/>
    <s v="MBH"/>
    <n v="0"/>
    <n v="0"/>
    <n v="0"/>
    <n v="0"/>
    <s v="CI-HVC-IRHT-V03-230101"/>
    <m/>
    <n v="2.9611764705882351"/>
    <n v="2.9611764705882351"/>
    <n v="2.9611764705882351"/>
    <n v="2.9611764705882351"/>
    <n v="0.93"/>
    <n v="0.93"/>
    <n v="0.93"/>
    <n v="0.93"/>
    <n v="0"/>
    <n v="0"/>
    <n v="0"/>
    <n v="0"/>
    <n v="0"/>
    <n v="0.93"/>
    <n v="0.93"/>
    <n v="0.93"/>
    <n v="0.93"/>
    <n v="0.93"/>
    <n v="0.93"/>
    <n v="0.93"/>
    <n v="0.93"/>
    <m/>
    <m/>
    <n v="2.9611764705882351"/>
    <m/>
    <n v="0"/>
    <n v="0"/>
    <m/>
    <m/>
    <n v="2.9611764705882351"/>
    <s v="n/a"/>
    <n v="0"/>
    <n v="0"/>
    <n v="0"/>
    <m/>
    <m/>
    <n v="2.9611764705882351"/>
    <m/>
    <n v="0"/>
    <n v="0"/>
    <m/>
    <m/>
    <n v="2.9611764705882351"/>
    <m/>
    <n v="0"/>
    <n v="0"/>
    <n v="0"/>
    <n v="0"/>
    <n v="0"/>
    <n v="0"/>
    <n v="0"/>
    <s v="NA"/>
    <m/>
  </r>
  <r>
    <s v="NSG"/>
    <x v="5"/>
    <x v="7"/>
    <s v="Rebates"/>
    <x v="56"/>
    <s v="Hotels &amp; Hospitals"/>
    <s v="CI"/>
    <x v="3"/>
    <s v="4.8.4"/>
    <s v="each"/>
    <n v="0"/>
    <n v="0"/>
    <n v="0"/>
    <n v="0"/>
    <s v="CI-MSC-MODD-V02-230101"/>
    <m/>
    <n v="649.26"/>
    <n v="649.26"/>
    <n v="649.26"/>
    <n v="649.26"/>
    <n v="0.93"/>
    <n v="0.93"/>
    <n v="0.93"/>
    <n v="0.93"/>
    <n v="0"/>
    <n v="0"/>
    <n v="0"/>
    <n v="0"/>
    <n v="0"/>
    <n v="0.93"/>
    <n v="0.93"/>
    <n v="0.93"/>
    <n v="0.93"/>
    <n v="0.93"/>
    <n v="0.93"/>
    <n v="0.93"/>
    <n v="0.93"/>
    <m/>
    <m/>
    <n v="649.26"/>
    <m/>
    <n v="0"/>
    <n v="0"/>
    <m/>
    <m/>
    <n v="649.26"/>
    <s v="Updated measure lifetime."/>
    <n v="0"/>
    <n v="0"/>
    <n v="0"/>
    <m/>
    <m/>
    <n v="649.26"/>
    <m/>
    <n v="0"/>
    <n v="0"/>
    <m/>
    <m/>
    <n v="649.26"/>
    <m/>
    <n v="0"/>
    <n v="0"/>
    <n v="0"/>
    <n v="0"/>
    <n v="0"/>
    <n v="0"/>
    <n v="0"/>
    <s v="NA"/>
    <m/>
  </r>
  <r>
    <s v="NSG"/>
    <x v="5"/>
    <x v="7"/>
    <s v="Rebates"/>
    <x v="74"/>
    <n v="0"/>
    <s v="MF/CI"/>
    <x v="3"/>
    <s v="4.3.6"/>
    <s v="lb-capacity"/>
    <n v="0"/>
    <n v="0"/>
    <n v="0"/>
    <n v="0"/>
    <s v="CI-HWE-OZLD-V07-230101"/>
    <m/>
    <n v="30.722664192350027"/>
    <n v="30.722664192350027"/>
    <n v="30.722664192350027"/>
    <n v="30.722664192350027"/>
    <n v="0.93"/>
    <n v="0.93"/>
    <n v="0.93"/>
    <n v="0.93"/>
    <n v="0"/>
    <n v="0"/>
    <n v="0"/>
    <n v="0"/>
    <n v="0"/>
    <n v="0.93"/>
    <n v="0.93"/>
    <n v="0.93"/>
    <n v="0.93"/>
    <n v="0.93"/>
    <n v="0.93"/>
    <n v="0.93"/>
    <n v="0.93"/>
    <m/>
    <m/>
    <n v="30.722664192350027"/>
    <m/>
    <n v="0"/>
    <n v="0"/>
    <m/>
    <m/>
    <n v="30.722664192350027"/>
    <s v="n/a"/>
    <n v="0"/>
    <n v="0"/>
    <n v="0"/>
    <m/>
    <m/>
    <n v="30.722664192350027"/>
    <m/>
    <n v="0"/>
    <n v="0"/>
    <m/>
    <m/>
    <n v="30.722664192350027"/>
    <m/>
    <n v="0"/>
    <n v="0"/>
    <n v="0"/>
    <n v="0"/>
    <n v="0"/>
    <n v="0"/>
    <n v="0"/>
    <s v="NA"/>
    <m/>
  </r>
  <r>
    <s v="NSG"/>
    <x v="5"/>
    <x v="7"/>
    <s v="Rebates"/>
    <x v="4"/>
    <s v="Dry Cleaners"/>
    <s v="CI/SMB"/>
    <x v="3"/>
    <s v="&quot;3 - Res Pipe Insulation&quot; worksheet"/>
    <s v="linear feet"/>
    <n v="0"/>
    <n v="0"/>
    <n v="0"/>
    <n v="0"/>
    <n v="0"/>
    <m/>
    <n v="2.6562680100025178"/>
    <n v="2.6562680100025178"/>
    <n v="2.6562680100025178"/>
    <n v="2.6562680100025178"/>
    <n v="0.93"/>
    <n v="0.93"/>
    <n v="0.93"/>
    <n v="0.93"/>
    <n v="0"/>
    <n v="0"/>
    <n v="0"/>
    <n v="0"/>
    <n v="0"/>
    <n v="0.93"/>
    <n v="0.93"/>
    <n v="0.93"/>
    <n v="0.93"/>
    <n v="0.93"/>
    <n v="0.93"/>
    <n v="0.93"/>
    <n v="0.93"/>
    <m/>
    <m/>
    <n v="2.6562680100025178"/>
    <m/>
    <n v="0"/>
    <n v="0"/>
    <m/>
    <m/>
    <n v="2.6562680100025178"/>
    <s v="n/a"/>
    <n v="0"/>
    <n v="0"/>
    <n v="0"/>
    <m/>
    <m/>
    <n v="2.6562680100025178"/>
    <m/>
    <n v="0"/>
    <n v="0"/>
    <m/>
    <m/>
    <n v="2.6562680100025178"/>
    <m/>
    <n v="0"/>
    <n v="0"/>
    <n v="0"/>
    <n v="0"/>
    <n v="0"/>
    <n v="0"/>
    <n v="0"/>
    <s v="NA"/>
    <m/>
  </r>
  <r>
    <s v="NSG"/>
    <x v="5"/>
    <x v="7"/>
    <s v="Rebates"/>
    <x v="4"/>
    <s v="Steam - X-Large &gt;8&quot;"/>
    <s v="CI"/>
    <x v="3"/>
    <s v="&quot;3 - Pipe Insulation&quot; worksheet"/>
    <s v="ft"/>
    <n v="0"/>
    <n v="0"/>
    <n v="0"/>
    <n v="0"/>
    <n v="0"/>
    <m/>
    <n v="35.984797966765058"/>
    <n v="35.984797966765058"/>
    <n v="35.984797966765058"/>
    <n v="35.984797966765058"/>
    <n v="0.93"/>
    <n v="0.93"/>
    <n v="0.93"/>
    <n v="0.93"/>
    <n v="0"/>
    <n v="0"/>
    <n v="0"/>
    <n v="0"/>
    <n v="0"/>
    <n v="0.93"/>
    <n v="0.93"/>
    <n v="0.93"/>
    <n v="0.93"/>
    <n v="0.93"/>
    <n v="0.93"/>
    <n v="0.93"/>
    <n v="0.93"/>
    <m/>
    <m/>
    <n v="35.984797966765058"/>
    <m/>
    <n v="0"/>
    <n v="0"/>
    <m/>
    <m/>
    <n v="35.984797966765058"/>
    <s v="n/a"/>
    <n v="0"/>
    <n v="0"/>
    <n v="0"/>
    <m/>
    <m/>
    <n v="35.984797966765058"/>
    <m/>
    <n v="0"/>
    <n v="0"/>
    <m/>
    <m/>
    <n v="35.984797966765058"/>
    <m/>
    <n v="0"/>
    <n v="0"/>
    <n v="0"/>
    <n v="0"/>
    <n v="0"/>
    <n v="0"/>
    <n v="0"/>
    <s v="NA"/>
    <m/>
  </r>
  <r>
    <s v="NSG"/>
    <x v="5"/>
    <x v="7"/>
    <s v="Rebates"/>
    <x v="4"/>
    <s v="Steam Med Fitting"/>
    <s v="CI"/>
    <x v="3"/>
    <s v="&quot;3 - Pipe Insulation&quot; worksheet"/>
    <s v="each"/>
    <n v="0"/>
    <n v="0"/>
    <n v="0"/>
    <n v="0"/>
    <n v="0"/>
    <m/>
    <n v="16.16754015857342"/>
    <n v="16.16754015857342"/>
    <n v="16.16754015857342"/>
    <n v="16.16754015857342"/>
    <n v="0.93"/>
    <n v="0.93"/>
    <n v="0.93"/>
    <n v="0.93"/>
    <n v="0"/>
    <n v="0"/>
    <n v="0"/>
    <n v="0"/>
    <n v="0"/>
    <n v="0.93"/>
    <n v="0.93"/>
    <n v="0.93"/>
    <n v="0.93"/>
    <n v="0.93"/>
    <n v="0.93"/>
    <n v="0.93"/>
    <n v="0.93"/>
    <m/>
    <m/>
    <n v="16.16754015857342"/>
    <m/>
    <n v="0"/>
    <n v="0"/>
    <m/>
    <m/>
    <n v="16.16754015857342"/>
    <s v="n/a"/>
    <n v="0"/>
    <n v="0"/>
    <n v="0"/>
    <m/>
    <m/>
    <n v="16.16754015857342"/>
    <m/>
    <n v="0"/>
    <n v="0"/>
    <m/>
    <m/>
    <n v="16.16754015857342"/>
    <m/>
    <n v="0"/>
    <n v="0"/>
    <n v="0"/>
    <n v="0"/>
    <n v="0"/>
    <n v="0"/>
    <n v="0"/>
    <s v="NA"/>
    <m/>
  </r>
  <r>
    <s v="NSG"/>
    <x v="5"/>
    <x v="7"/>
    <s v="Rebates"/>
    <x v="4"/>
    <s v="Steam Large Fitting"/>
    <s v="CI"/>
    <x v="3"/>
    <s v="&quot;3 - Pipe Insulation&quot; worksheet"/>
    <s v="each"/>
    <n v="0"/>
    <n v="0"/>
    <n v="0"/>
    <n v="0"/>
    <n v="0"/>
    <m/>
    <n v="44.895855334511324"/>
    <n v="44.895855334511324"/>
    <n v="44.895855334511324"/>
    <n v="44.895855334511324"/>
    <n v="0.93"/>
    <n v="0.93"/>
    <n v="0.93"/>
    <n v="0.93"/>
    <n v="0"/>
    <n v="0"/>
    <n v="0"/>
    <n v="0"/>
    <n v="0"/>
    <n v="0.93"/>
    <n v="0.93"/>
    <n v="0.93"/>
    <n v="0.93"/>
    <n v="0.93"/>
    <n v="0.93"/>
    <n v="0.93"/>
    <n v="0.93"/>
    <m/>
    <m/>
    <n v="44.895855334511324"/>
    <m/>
    <n v="0"/>
    <n v="0"/>
    <m/>
    <m/>
    <n v="44.895855334511324"/>
    <s v="n/a"/>
    <n v="0"/>
    <n v="0"/>
    <n v="0"/>
    <m/>
    <m/>
    <n v="44.895855334511324"/>
    <m/>
    <n v="0"/>
    <n v="0"/>
    <m/>
    <m/>
    <n v="44.895855334511324"/>
    <m/>
    <n v="0"/>
    <n v="0"/>
    <n v="0"/>
    <n v="0"/>
    <n v="0"/>
    <n v="0"/>
    <n v="0"/>
    <s v="NA"/>
    <m/>
  </r>
  <r>
    <s v="NSG"/>
    <x v="5"/>
    <x v="7"/>
    <s v="Rebates"/>
    <x v="4"/>
    <s v="Steam X-Large Fitting"/>
    <s v="CI"/>
    <x v="3"/>
    <s v="&quot;3 - Pipe Insulation&quot; worksheet"/>
    <s v="each"/>
    <n v="0"/>
    <n v="0"/>
    <n v="0"/>
    <n v="0"/>
    <n v="0"/>
    <m/>
    <n v="80.577400496643122"/>
    <n v="80.577400496643122"/>
    <n v="80.577400496643122"/>
    <n v="80.577400496643122"/>
    <n v="0.93"/>
    <n v="0.93"/>
    <n v="0.93"/>
    <n v="0.93"/>
    <n v="0"/>
    <n v="0"/>
    <n v="0"/>
    <n v="0"/>
    <n v="0"/>
    <n v="0.93"/>
    <n v="0.93"/>
    <n v="0.93"/>
    <n v="0.93"/>
    <n v="0.93"/>
    <n v="0.93"/>
    <n v="0.93"/>
    <n v="0.93"/>
    <m/>
    <m/>
    <n v="80.577400496643122"/>
    <m/>
    <n v="0"/>
    <n v="0"/>
    <m/>
    <m/>
    <n v="80.577400496643122"/>
    <s v="n/a"/>
    <n v="0"/>
    <n v="0"/>
    <n v="0"/>
    <m/>
    <m/>
    <n v="80.577400496643122"/>
    <m/>
    <n v="0"/>
    <n v="0"/>
    <m/>
    <m/>
    <n v="80.577400496643122"/>
    <m/>
    <n v="0"/>
    <n v="0"/>
    <n v="0"/>
    <n v="0"/>
    <n v="0"/>
    <n v="0"/>
    <n v="0"/>
    <s v="NA"/>
    <m/>
  </r>
  <r>
    <s v="NSG"/>
    <x v="5"/>
    <x v="7"/>
    <s v="Rebates"/>
    <x v="4"/>
    <s v="Steam Med Valve"/>
    <s v="CI"/>
    <x v="3"/>
    <s v="&quot;3 - Pipe Insulation&quot; worksheet"/>
    <s v="each"/>
    <n v="0"/>
    <n v="0"/>
    <n v="0"/>
    <n v="0"/>
    <n v="0"/>
    <m/>
    <n v="49.002251273013741"/>
    <n v="49.002251273013741"/>
    <n v="49.002251273013741"/>
    <n v="49.002251273013741"/>
    <n v="0.93"/>
    <n v="0.93"/>
    <n v="0.93"/>
    <n v="0.93"/>
    <n v="0"/>
    <n v="0"/>
    <n v="0"/>
    <n v="0"/>
    <n v="0"/>
    <n v="0.93"/>
    <n v="0.93"/>
    <n v="0.93"/>
    <n v="0.93"/>
    <n v="0.93"/>
    <n v="0.93"/>
    <n v="0.93"/>
    <n v="0.93"/>
    <m/>
    <m/>
    <n v="49.002251273013741"/>
    <m/>
    <n v="0"/>
    <n v="0"/>
    <m/>
    <m/>
    <n v="49.002251273013741"/>
    <s v="n/a"/>
    <n v="0"/>
    <n v="0"/>
    <n v="0"/>
    <m/>
    <m/>
    <n v="49.002251273013741"/>
    <m/>
    <n v="0"/>
    <n v="0"/>
    <m/>
    <m/>
    <n v="49.002251273013741"/>
    <m/>
    <n v="0"/>
    <n v="0"/>
    <n v="0"/>
    <n v="0"/>
    <n v="0"/>
    <n v="0"/>
    <n v="0"/>
    <s v="NA"/>
    <m/>
  </r>
  <r>
    <s v="NSG"/>
    <x v="5"/>
    <x v="7"/>
    <s v="Rebates"/>
    <x v="4"/>
    <s v="Steam Large Valve"/>
    <s v="CI"/>
    <x v="3"/>
    <s v="&quot;3 - Pipe Insulation&quot; worksheet"/>
    <s v="each"/>
    <n v="0"/>
    <n v="0"/>
    <n v="0"/>
    <n v="0"/>
    <n v="0"/>
    <m/>
    <n v="107.52607289087437"/>
    <n v="107.52607289087437"/>
    <n v="107.52607289087437"/>
    <n v="107.52607289087437"/>
    <n v="0.93"/>
    <n v="0.93"/>
    <n v="0.93"/>
    <n v="0.93"/>
    <n v="0"/>
    <n v="0"/>
    <n v="0"/>
    <n v="0"/>
    <n v="0"/>
    <n v="0.93"/>
    <n v="0.93"/>
    <n v="0.93"/>
    <n v="0.93"/>
    <n v="0.93"/>
    <n v="0.93"/>
    <n v="0.93"/>
    <n v="0.93"/>
    <m/>
    <m/>
    <n v="107.52607289087437"/>
    <m/>
    <n v="0"/>
    <n v="0"/>
    <m/>
    <m/>
    <n v="107.52607289087437"/>
    <s v="n/a"/>
    <n v="0"/>
    <n v="0"/>
    <n v="0"/>
    <m/>
    <m/>
    <n v="107.52607289087437"/>
    <m/>
    <n v="0"/>
    <n v="0"/>
    <m/>
    <m/>
    <n v="107.52607289087437"/>
    <m/>
    <n v="0"/>
    <n v="0"/>
    <n v="0"/>
    <n v="0"/>
    <n v="0"/>
    <n v="0"/>
    <n v="0"/>
    <s v="NA"/>
    <m/>
  </r>
  <r>
    <s v="NSG"/>
    <x v="5"/>
    <x v="7"/>
    <s v="Rebates"/>
    <x v="4"/>
    <s v="Steam X-Large Valve"/>
    <s v="CI"/>
    <x v="3"/>
    <s v="&quot;3 - Pipe Insulation&quot; worksheet"/>
    <s v="each"/>
    <n v="0"/>
    <n v="0"/>
    <n v="0"/>
    <n v="0"/>
    <n v="0"/>
    <m/>
    <n v="175.06254164158375"/>
    <n v="175.06254164158375"/>
    <n v="175.06254164158375"/>
    <n v="175.06254164158375"/>
    <n v="0.93"/>
    <n v="0.93"/>
    <n v="0.93"/>
    <n v="0.93"/>
    <n v="0"/>
    <n v="0"/>
    <n v="0"/>
    <n v="0"/>
    <n v="0"/>
    <n v="0.93"/>
    <n v="0.93"/>
    <n v="0.93"/>
    <n v="0.93"/>
    <n v="0.93"/>
    <n v="0.93"/>
    <n v="0.93"/>
    <n v="0.93"/>
    <m/>
    <m/>
    <n v="175.06254164158375"/>
    <m/>
    <n v="0"/>
    <n v="0"/>
    <m/>
    <m/>
    <n v="175.06254164158375"/>
    <s v="n/a"/>
    <n v="0"/>
    <n v="0"/>
    <n v="0"/>
    <m/>
    <m/>
    <n v="175.06254164158375"/>
    <m/>
    <n v="0"/>
    <n v="0"/>
    <m/>
    <m/>
    <n v="175.06254164158375"/>
    <m/>
    <n v="0"/>
    <n v="0"/>
    <n v="0"/>
    <n v="0"/>
    <n v="0"/>
    <n v="0"/>
    <n v="0"/>
    <s v="NA"/>
    <m/>
  </r>
  <r>
    <s v="NSG"/>
    <x v="5"/>
    <x v="7"/>
    <s v="Rebates"/>
    <x v="10"/>
    <n v="0"/>
    <s v="SMB"/>
    <x v="3"/>
    <s v="4.2.11"/>
    <s v="each"/>
    <n v="0"/>
    <n v="0"/>
    <n v="0"/>
    <n v="0"/>
    <s v="CI-FSE-CVOV-V02-180101"/>
    <m/>
    <n v="117.88882560000002"/>
    <n v="117.88882560000002"/>
    <n v="117.88882560000002"/>
    <n v="117.88882560000002"/>
    <n v="0.93"/>
    <n v="0.93"/>
    <n v="0.93"/>
    <n v="0.93"/>
    <n v="0"/>
    <n v="0"/>
    <n v="0"/>
    <n v="0"/>
    <n v="0"/>
    <n v="0.93"/>
    <n v="0.93"/>
    <n v="0.93"/>
    <n v="0.93"/>
    <n v="0.93"/>
    <n v="0.93"/>
    <n v="0.93"/>
    <n v="0.93"/>
    <m/>
    <m/>
    <n v="117.88882560000002"/>
    <m/>
    <n v="0"/>
    <n v="0"/>
    <m/>
    <m/>
    <n v="117.88882560000002"/>
    <s v="n/a"/>
    <n v="0"/>
    <n v="0"/>
    <n v="0"/>
    <m/>
    <m/>
    <n v="117.88882560000002"/>
    <m/>
    <n v="0"/>
    <n v="0"/>
    <m/>
    <m/>
    <n v="117.88882560000002"/>
    <m/>
    <n v="0"/>
    <n v="0"/>
    <n v="0"/>
    <n v="0"/>
    <n v="0"/>
    <n v="0"/>
    <n v="0"/>
    <s v="NA"/>
    <m/>
  </r>
  <r>
    <s v="NSG"/>
    <x v="5"/>
    <x v="7"/>
    <s v="Rebates"/>
    <x v="41"/>
    <s v="Dry Cleaner/Industrial - No Audit"/>
    <s v="MF/CI/SMB"/>
    <x v="3"/>
    <s v="4.4.16"/>
    <s v="each"/>
    <n v="0"/>
    <n v="0"/>
    <n v="0"/>
    <n v="0"/>
    <s v="CI-HVC-STRE-V09-230101"/>
    <m/>
    <n v="174.96360308617389"/>
    <n v="174.96360308617389"/>
    <n v="174.96360308617389"/>
    <n v="174.96360308617389"/>
    <n v="0.93"/>
    <n v="0.93"/>
    <n v="0.93"/>
    <n v="0.93"/>
    <n v="0"/>
    <n v="0"/>
    <n v="0"/>
    <n v="0"/>
    <n v="0"/>
    <n v="0.93"/>
    <n v="0.93"/>
    <n v="0.93"/>
    <n v="0.93"/>
    <n v="0.93"/>
    <n v="0.93"/>
    <n v="0.93"/>
    <n v="0.93"/>
    <m/>
    <m/>
    <n v="174.96360308617389"/>
    <m/>
    <n v="0"/>
    <n v="0"/>
    <m/>
    <m/>
    <n v="174.96360308617389"/>
    <s v="Updated inputs for Commercial LPS Space Heating and Industrial/Process Low Pressure"/>
    <n v="0"/>
    <n v="0"/>
    <n v="0"/>
    <m/>
    <m/>
    <n v="174.96360308617389"/>
    <m/>
    <n v="0"/>
    <n v="0"/>
    <m/>
    <m/>
    <n v="174.96360308617389"/>
    <m/>
    <n v="0"/>
    <n v="0"/>
    <n v="0"/>
    <n v="0"/>
    <n v="0"/>
    <n v="0"/>
    <n v="0"/>
    <s v="NA"/>
    <m/>
  </r>
  <r>
    <s v="NSG"/>
    <x v="5"/>
    <x v="7"/>
    <s v="Rebates"/>
    <x v="41"/>
    <s v="Dry Cleaner/Industrial - Audit"/>
    <s v="MF/CI/SMB"/>
    <x v="3"/>
    <s v="4.4.16"/>
    <s v="each"/>
    <n v="0"/>
    <n v="0"/>
    <n v="0"/>
    <n v="0"/>
    <s v="CI-HVC-STRE-V09-230101"/>
    <m/>
    <n v="648.01334476360694"/>
    <n v="648.01334476360694"/>
    <n v="648.01334476360694"/>
    <n v="648.01334476360694"/>
    <n v="0.93"/>
    <n v="0.93"/>
    <n v="0.93"/>
    <n v="0.93"/>
    <n v="0"/>
    <n v="0"/>
    <n v="0"/>
    <n v="0"/>
    <n v="0"/>
    <n v="0.93"/>
    <n v="0.93"/>
    <n v="0.93"/>
    <n v="0.93"/>
    <n v="0.93"/>
    <n v="0.93"/>
    <n v="0.93"/>
    <n v="0.93"/>
    <m/>
    <m/>
    <n v="648.01334476360694"/>
    <m/>
    <n v="0"/>
    <n v="0"/>
    <m/>
    <m/>
    <n v="648.01334476360694"/>
    <s v="Updated inputs for Commercial LPS Space Heating and Industrial/Process Low Pressure"/>
    <n v="0"/>
    <n v="0"/>
    <n v="0"/>
    <m/>
    <m/>
    <n v="648.01334476360694"/>
    <m/>
    <n v="0"/>
    <n v="0"/>
    <m/>
    <m/>
    <n v="648.01334476360694"/>
    <m/>
    <n v="0"/>
    <n v="0"/>
    <n v="0"/>
    <n v="0"/>
    <n v="0"/>
    <n v="0"/>
    <n v="0"/>
    <s v="NA"/>
    <m/>
  </r>
  <r>
    <s v="NSG"/>
    <x v="5"/>
    <x v="7"/>
    <s v="Rebates"/>
    <x v="41"/>
    <s v="HVAC Repair/Rep - Audit"/>
    <s v="CI"/>
    <x v="3"/>
    <s v="4.4.16"/>
    <s v="each"/>
    <n v="0"/>
    <n v="0"/>
    <n v="0"/>
    <n v="0"/>
    <s v="CI-HVC-STRE-V09-230101"/>
    <m/>
    <n v="383.76733095846322"/>
    <n v="383.76733095846322"/>
    <n v="383.76733095846322"/>
    <n v="383.76733095846322"/>
    <n v="0.93"/>
    <n v="0.93"/>
    <n v="0.93"/>
    <n v="0.93"/>
    <n v="0"/>
    <n v="0"/>
    <n v="0"/>
    <n v="0"/>
    <n v="0"/>
    <n v="0.93"/>
    <n v="0.93"/>
    <n v="0.93"/>
    <n v="0.93"/>
    <n v="0.93"/>
    <n v="0.93"/>
    <n v="0.93"/>
    <n v="0.93"/>
    <m/>
    <m/>
    <n v="383.76733095846322"/>
    <m/>
    <n v="0"/>
    <n v="0"/>
    <m/>
    <m/>
    <n v="779.98158821323193"/>
    <s v="Updated inputs for Commercial LPS Space Heating and Industrial/Process Low Pressure"/>
    <n v="0"/>
    <n v="0"/>
    <n v="0"/>
    <m/>
    <m/>
    <n v="779.98158821323193"/>
    <m/>
    <n v="0"/>
    <n v="0"/>
    <m/>
    <m/>
    <n v="779.98158821323193"/>
    <m/>
    <n v="0"/>
    <n v="0"/>
    <n v="0"/>
    <n v="0"/>
    <n v="0"/>
    <n v="0"/>
    <n v="0"/>
    <s v="NA"/>
    <m/>
  </r>
  <r>
    <s v="NSG"/>
    <x v="5"/>
    <x v="7"/>
    <s v="Rebates"/>
    <x v="41"/>
    <s v="HVAC Repair/Rep - No Audit"/>
    <s v="CI"/>
    <x v="3"/>
    <s v="4.4.16"/>
    <s v="each"/>
    <n v="0"/>
    <n v="0"/>
    <n v="0"/>
    <n v="0"/>
    <s v="CI-HVC-STRE-V09-230101"/>
    <m/>
    <n v="103.61717935878508"/>
    <n v="103.61717935878508"/>
    <n v="103.61717935878508"/>
    <n v="103.61717935878508"/>
    <n v="0.93"/>
    <n v="0.93"/>
    <n v="0.93"/>
    <n v="0.93"/>
    <n v="0"/>
    <n v="0"/>
    <n v="0"/>
    <n v="0"/>
    <n v="0"/>
    <n v="0.93"/>
    <n v="0.93"/>
    <n v="0.93"/>
    <n v="0.93"/>
    <n v="0.93"/>
    <n v="0.93"/>
    <n v="0.93"/>
    <n v="0.93"/>
    <m/>
    <m/>
    <n v="103.61717935878508"/>
    <m/>
    <n v="0"/>
    <n v="0"/>
    <m/>
    <m/>
    <n v="210.59502881757265"/>
    <s v="Updated inputs for Commercial LPS Space Heating and Industrial/Process Low Pressure"/>
    <n v="0"/>
    <n v="0"/>
    <n v="0"/>
    <m/>
    <m/>
    <n v="210.59502881757265"/>
    <m/>
    <n v="0"/>
    <n v="0"/>
    <m/>
    <m/>
    <n v="210.59502881757265"/>
    <m/>
    <n v="0"/>
    <n v="0"/>
    <n v="0"/>
    <n v="0"/>
    <n v="0"/>
    <n v="0"/>
    <n v="0"/>
    <s v="NA"/>
    <m/>
  </r>
  <r>
    <s v="NSG"/>
    <x v="5"/>
    <x v="7"/>
    <s v="Rebates"/>
    <x v="41"/>
    <s v="Industrial/Process Audit - psig ≤ 15"/>
    <s v="CI/SMB"/>
    <x v="3"/>
    <s v="4.4.16"/>
    <s v="each"/>
    <n v="0"/>
    <n v="0"/>
    <n v="0"/>
    <n v="0"/>
    <s v="CI-HVC-STRE-V09-230101"/>
    <m/>
    <n v="788.87094440257943"/>
    <n v="788.87094440257943"/>
    <n v="788.87094440257943"/>
    <n v="788.87094440257943"/>
    <n v="0.93"/>
    <n v="0.93"/>
    <n v="0.93"/>
    <n v="0.93"/>
    <n v="0"/>
    <n v="0"/>
    <n v="0"/>
    <n v="0"/>
    <n v="0"/>
    <n v="0.93"/>
    <n v="0.93"/>
    <n v="0.93"/>
    <n v="0.93"/>
    <n v="0.93"/>
    <n v="0.93"/>
    <n v="0.93"/>
    <n v="0.93"/>
    <m/>
    <m/>
    <n v="788.87094440257943"/>
    <m/>
    <n v="0"/>
    <n v="0"/>
    <m/>
    <m/>
    <n v="1603.3277521921041"/>
    <s v="Updated inputs for Commercial LPS Space Heating and Industrial/Process Low Pressure"/>
    <n v="0"/>
    <n v="0"/>
    <n v="0"/>
    <m/>
    <m/>
    <n v="1603.3277521921041"/>
    <m/>
    <n v="0"/>
    <n v="0"/>
    <m/>
    <m/>
    <n v="1603.3277521921041"/>
    <m/>
    <n v="0"/>
    <n v="0"/>
    <n v="0"/>
    <n v="0"/>
    <n v="0"/>
    <n v="0"/>
    <n v="0"/>
    <s v="NA"/>
    <m/>
  </r>
  <r>
    <s v="NSG"/>
    <x v="5"/>
    <x v="7"/>
    <s v="Rebates"/>
    <x v="41"/>
    <s v="Industrial/Process Audit - 15 &lt; psig &lt; 30"/>
    <s v="CI/SMB"/>
    <x v="3"/>
    <s v="4.4.16"/>
    <s v="each"/>
    <n v="0"/>
    <n v="0"/>
    <n v="0"/>
    <n v="0"/>
    <s v="CI-HVC-STRE-V09-230101"/>
    <m/>
    <n v="758.17043213559668"/>
    <n v="758.17043213559668"/>
    <n v="758.17043213559668"/>
    <n v="758.17043213559668"/>
    <n v="0.93"/>
    <n v="0.93"/>
    <n v="0.93"/>
    <n v="0.93"/>
    <n v="0"/>
    <n v="0"/>
    <n v="0"/>
    <n v="0"/>
    <n v="0"/>
    <n v="0.93"/>
    <n v="0.93"/>
    <n v="0.93"/>
    <n v="0.93"/>
    <n v="0.93"/>
    <n v="0.93"/>
    <n v="0.93"/>
    <n v="0.93"/>
    <m/>
    <m/>
    <n v="758.17043213559668"/>
    <m/>
    <n v="0"/>
    <n v="0"/>
    <m/>
    <m/>
    <n v="758.17043213559668"/>
    <s v="Updated inputs for Commercial LPS Space Heating and Industrial/Process Low Pressure"/>
    <n v="0"/>
    <n v="0"/>
    <n v="0"/>
    <m/>
    <m/>
    <n v="758.17043213559668"/>
    <m/>
    <n v="0"/>
    <n v="0"/>
    <m/>
    <m/>
    <n v="758.17043213559668"/>
    <m/>
    <n v="0"/>
    <n v="0"/>
    <n v="0"/>
    <n v="0"/>
    <n v="0"/>
    <n v="0"/>
    <n v="0"/>
    <s v="NA"/>
    <m/>
  </r>
  <r>
    <s v="NSG"/>
    <x v="5"/>
    <x v="7"/>
    <s v="Rebates"/>
    <x v="41"/>
    <s v="Industrial/Process Audit - 30 ≤ psig &lt; 75"/>
    <s v="CI/SMB"/>
    <x v="3"/>
    <s v="4.4.16"/>
    <s v="each"/>
    <n v="0"/>
    <n v="0"/>
    <n v="0"/>
    <n v="0"/>
    <s v="CI-HVC-STRE-V09-230101"/>
    <m/>
    <n v="2777.6636840634392"/>
    <n v="2777.6636840634392"/>
    <n v="2777.6636840634392"/>
    <n v="2777.6636840634392"/>
    <n v="0.93"/>
    <n v="0.93"/>
    <n v="0.93"/>
    <n v="0.93"/>
    <n v="0"/>
    <n v="0"/>
    <n v="0"/>
    <n v="0"/>
    <n v="0"/>
    <n v="0.93"/>
    <n v="0.93"/>
    <n v="0.93"/>
    <n v="0.93"/>
    <n v="0.93"/>
    <n v="0.93"/>
    <n v="0.93"/>
    <n v="0.93"/>
    <m/>
    <m/>
    <n v="2777.6636840634392"/>
    <m/>
    <n v="0"/>
    <n v="0"/>
    <m/>
    <m/>
    <n v="2777.6636840634392"/>
    <s v="Updated inputs for Commercial LPS Space Heating and Industrial/Process Low Pressure"/>
    <n v="0"/>
    <n v="0"/>
    <n v="0"/>
    <m/>
    <m/>
    <n v="2777.6636840634392"/>
    <m/>
    <n v="0"/>
    <n v="0"/>
    <m/>
    <m/>
    <n v="2777.6636840634392"/>
    <m/>
    <n v="0"/>
    <n v="0"/>
    <n v="0"/>
    <n v="0"/>
    <n v="0"/>
    <n v="0"/>
    <n v="0"/>
    <s v="NA"/>
    <m/>
  </r>
  <r>
    <s v="NSG"/>
    <x v="5"/>
    <x v="7"/>
    <s v="Rebates"/>
    <x v="41"/>
    <s v="Industrial/Process Audit - 75 ≤ psig &lt; 125"/>
    <s v="CI/SMB"/>
    <x v="3"/>
    <s v="4.4.16"/>
    <s v="each"/>
    <n v="0"/>
    <n v="0"/>
    <n v="0"/>
    <n v="0"/>
    <s v="CI-HVC-STRE-V09-230101"/>
    <m/>
    <n v="5253.732217921608"/>
    <n v="5253.732217921608"/>
    <n v="5253.732217921608"/>
    <n v="5253.732217921608"/>
    <n v="0.93"/>
    <n v="0.93"/>
    <n v="0.93"/>
    <n v="0.93"/>
    <n v="0"/>
    <n v="0"/>
    <n v="0"/>
    <n v="0"/>
    <n v="0"/>
    <n v="0.93"/>
    <n v="0.93"/>
    <n v="0.93"/>
    <n v="0.93"/>
    <n v="0.93"/>
    <n v="0.93"/>
    <n v="0.93"/>
    <n v="0.93"/>
    <m/>
    <m/>
    <n v="5253.732217921608"/>
    <m/>
    <n v="0"/>
    <n v="0"/>
    <m/>
    <m/>
    <n v="5253.732217921608"/>
    <s v="Updated inputs for Commercial LPS Space Heating and Industrial/Process Low Pressure"/>
    <n v="0"/>
    <n v="0"/>
    <n v="0"/>
    <m/>
    <m/>
    <n v="5253.732217921608"/>
    <m/>
    <n v="0"/>
    <n v="0"/>
    <m/>
    <m/>
    <n v="5253.732217921608"/>
    <m/>
    <n v="0"/>
    <n v="0"/>
    <n v="0"/>
    <n v="0"/>
    <n v="0"/>
    <n v="0"/>
    <n v="0"/>
    <s v="NA"/>
    <m/>
  </r>
  <r>
    <s v="NSG"/>
    <x v="5"/>
    <x v="7"/>
    <s v="Rebates"/>
    <x v="41"/>
    <s v="Industrial/Process Audit - 125 ≤ psig &lt; 175"/>
    <s v="CI/SMB"/>
    <x v="3"/>
    <s v="4.4.16"/>
    <s v="each"/>
    <n v="0"/>
    <n v="0"/>
    <n v="0"/>
    <n v="0"/>
    <s v="CI-HVC-STRE-V09-230101"/>
    <m/>
    <n v="7334.7468920022948"/>
    <n v="7334.7468920022948"/>
    <n v="7334.7468920022948"/>
    <n v="7334.7468920022948"/>
    <n v="0.93"/>
    <n v="0.93"/>
    <n v="0.93"/>
    <n v="0.93"/>
    <n v="0"/>
    <n v="0"/>
    <n v="0"/>
    <n v="0"/>
    <n v="0"/>
    <n v="0.93"/>
    <n v="0.93"/>
    <n v="0.93"/>
    <n v="0.93"/>
    <n v="0.93"/>
    <n v="0.93"/>
    <n v="0.93"/>
    <n v="0.93"/>
    <m/>
    <m/>
    <n v="7334.7468920022948"/>
    <m/>
    <n v="0"/>
    <n v="0"/>
    <m/>
    <m/>
    <n v="7334.7468920022948"/>
    <s v="Updated inputs for Commercial LPS Space Heating and Industrial/Process Low Pressure"/>
    <n v="0"/>
    <n v="0"/>
    <n v="0"/>
    <m/>
    <m/>
    <n v="7334.7468920022948"/>
    <m/>
    <n v="0"/>
    <n v="0"/>
    <m/>
    <m/>
    <n v="7334.7468920022948"/>
    <m/>
    <n v="0"/>
    <n v="0"/>
    <n v="0"/>
    <n v="0"/>
    <n v="0"/>
    <n v="0"/>
    <n v="0"/>
    <s v="NA"/>
    <m/>
  </r>
  <r>
    <s v="NSG"/>
    <x v="5"/>
    <x v="7"/>
    <s v="Rebates"/>
    <x v="41"/>
    <s v="Industrial/Process Audit - 175 ≤ psig &lt; 250"/>
    <s v="CI/SMB"/>
    <x v="3"/>
    <s v="4.4.16"/>
    <s v="each"/>
    <n v="0"/>
    <n v="0"/>
    <n v="0"/>
    <n v="0"/>
    <s v="CI-HVC-STRE-V09-230101"/>
    <m/>
    <n v="9906.4466256306805"/>
    <n v="9906.4466256306805"/>
    <n v="9906.4466256306805"/>
    <n v="9906.4466256306805"/>
    <n v="0.93"/>
    <n v="0.93"/>
    <n v="0.93"/>
    <n v="0.93"/>
    <n v="0"/>
    <n v="0"/>
    <n v="0"/>
    <n v="0"/>
    <n v="0"/>
    <n v="0.93"/>
    <n v="0.93"/>
    <n v="0.93"/>
    <n v="0.93"/>
    <n v="0.93"/>
    <n v="0.93"/>
    <n v="0.93"/>
    <n v="0.93"/>
    <m/>
    <m/>
    <n v="9906.4466256306805"/>
    <m/>
    <n v="0"/>
    <n v="0"/>
    <m/>
    <m/>
    <n v="9906.4466256306805"/>
    <s v="Updated inputs for Commercial LPS Space Heating and Industrial/Process Low Pressure"/>
    <n v="0"/>
    <n v="0"/>
    <n v="0"/>
    <m/>
    <m/>
    <n v="9906.4466256306805"/>
    <m/>
    <n v="0"/>
    <n v="0"/>
    <m/>
    <m/>
    <n v="9906.4466256306805"/>
    <m/>
    <n v="0"/>
    <n v="0"/>
    <n v="0"/>
    <n v="0"/>
    <n v="0"/>
    <n v="0"/>
    <n v="0"/>
    <s v="NA"/>
    <m/>
  </r>
  <r>
    <s v="NSG"/>
    <x v="5"/>
    <x v="7"/>
    <s v="Rebates"/>
    <x v="41"/>
    <s v="Industrial/Process Audit - 250 ≤ psig"/>
    <s v="CI/SMB"/>
    <x v="3"/>
    <s v="4.4.16"/>
    <s v="each"/>
    <n v="0"/>
    <n v="0"/>
    <n v="0"/>
    <n v="0"/>
    <s v="CI-HVC-STRE-V09-230101"/>
    <m/>
    <n v="12689.405899537758"/>
    <n v="12689.405899537758"/>
    <n v="12689.405899537758"/>
    <n v="12689.405899537758"/>
    <n v="0.93"/>
    <n v="0.93"/>
    <n v="0.93"/>
    <n v="0.93"/>
    <n v="0"/>
    <n v="0"/>
    <n v="0"/>
    <n v="0"/>
    <n v="0"/>
    <n v="0.93"/>
    <n v="0.93"/>
    <n v="0.93"/>
    <n v="0.93"/>
    <n v="0.93"/>
    <n v="0.93"/>
    <n v="0.93"/>
    <n v="0.93"/>
    <m/>
    <m/>
    <n v="12689.405899537758"/>
    <m/>
    <n v="0"/>
    <n v="0"/>
    <m/>
    <m/>
    <n v="12689.405899537758"/>
    <s v="Updated inputs for Commercial LPS Space Heating and Industrial/Process Low Pressure"/>
    <n v="0"/>
    <n v="0"/>
    <n v="0"/>
    <m/>
    <m/>
    <n v="12689.405899537758"/>
    <m/>
    <n v="0"/>
    <n v="0"/>
    <m/>
    <m/>
    <n v="12689.405899537758"/>
    <m/>
    <n v="0"/>
    <n v="0"/>
    <n v="0"/>
    <n v="0"/>
    <n v="0"/>
    <n v="0"/>
    <n v="0"/>
    <s v="NA"/>
    <m/>
  </r>
  <r>
    <s v="NSG"/>
    <x v="5"/>
    <x v="7"/>
    <s v="Rebates"/>
    <x v="41"/>
    <s v="Test"/>
    <s v="CI"/>
    <x v="3"/>
    <n v="0"/>
    <s v="each"/>
    <n v="0"/>
    <n v="0"/>
    <n v="0"/>
    <n v="0"/>
    <n v="0"/>
    <m/>
    <n v="0"/>
    <n v="0"/>
    <n v="0"/>
    <n v="0"/>
    <n v="0.93"/>
    <n v="0.93"/>
    <n v="0.93"/>
    <n v="0.93"/>
    <n v="0"/>
    <n v="0"/>
    <n v="0"/>
    <n v="0"/>
    <n v="0"/>
    <n v="0.93"/>
    <n v="0.93"/>
    <n v="0.93"/>
    <n v="0.93"/>
    <n v="0.93"/>
    <n v="0.93"/>
    <n v="0.93"/>
    <n v="0.93"/>
    <m/>
    <m/>
    <n v="0"/>
    <m/>
    <n v="0"/>
    <n v="0"/>
    <m/>
    <m/>
    <n v="0"/>
    <s v="n/a"/>
    <n v="0"/>
    <n v="0"/>
    <n v="0"/>
    <m/>
    <m/>
    <n v="0"/>
    <m/>
    <n v="0"/>
    <n v="0"/>
    <m/>
    <m/>
    <n v="0"/>
    <m/>
    <n v="0"/>
    <n v="0"/>
    <n v="0"/>
    <n v="0"/>
    <n v="0"/>
    <n v="0"/>
    <n v="0"/>
    <s v="NA"/>
    <m/>
  </r>
  <r>
    <s v="NSG"/>
    <x v="5"/>
    <x v="7"/>
    <s v="Rebates"/>
    <x v="12"/>
    <s v="Storage 88% TE ≥75MBh"/>
    <s v="CI"/>
    <x v="3"/>
    <s v="4.3.1"/>
    <s v="each"/>
    <n v="0"/>
    <n v="0"/>
    <n v="0"/>
    <n v="0"/>
    <s v="CI-HWE-STWH-V09-230101"/>
    <m/>
    <n v="135.66827090062347"/>
    <n v="135.66827090062347"/>
    <n v="135.66827090062347"/>
    <n v="135.66827090062347"/>
    <n v="0.93"/>
    <n v="0.93"/>
    <n v="0.93"/>
    <n v="0.93"/>
    <n v="0"/>
    <n v="0"/>
    <n v="0"/>
    <n v="0"/>
    <n v="0"/>
    <n v="0.93"/>
    <n v="0.93"/>
    <n v="0.93"/>
    <n v="0.93"/>
    <n v="0.93"/>
    <n v="0.93"/>
    <n v="0.93"/>
    <n v="0.93"/>
    <m/>
    <m/>
    <n v="139.65886152562348"/>
    <m/>
    <n v="0"/>
    <n v="0"/>
    <m/>
    <m/>
    <n v="139.65886152562348"/>
    <s v="n/a"/>
    <n v="0"/>
    <n v="0"/>
    <n v="0"/>
    <m/>
    <m/>
    <n v="139.65886152562348"/>
    <m/>
    <n v="0"/>
    <n v="0"/>
    <m/>
    <m/>
    <n v="139.65886152562348"/>
    <m/>
    <n v="0"/>
    <n v="0"/>
    <n v="0"/>
    <n v="0"/>
    <n v="0"/>
    <n v="0"/>
    <n v="0"/>
    <s v="NA"/>
    <m/>
  </r>
  <r>
    <s v="NSG"/>
    <x v="5"/>
    <x v="7"/>
    <s v="Partner Trade Ally Rebate"/>
    <x v="34"/>
    <n v="0"/>
    <s v="CI"/>
    <x v="3"/>
    <s v="4.4.4"/>
    <s v="MBH"/>
    <n v="0"/>
    <n v="0"/>
    <n v="0"/>
    <n v="0"/>
    <s v="CI-HVC-BLRC-V04-210101"/>
    <m/>
    <n v="1.3424"/>
    <n v="1.3424"/>
    <n v="1.3424"/>
    <n v="1.3424"/>
    <n v="0.93"/>
    <n v="0.93"/>
    <n v="0.93"/>
    <n v="0.93"/>
    <n v="0"/>
    <n v="0"/>
    <n v="0"/>
    <n v="0"/>
    <n v="0"/>
    <n v="0.93"/>
    <n v="0.93"/>
    <n v="0.93"/>
    <n v="0.93"/>
    <n v="0.93"/>
    <n v="0.93"/>
    <n v="0.93"/>
    <n v="0.93"/>
    <m/>
    <m/>
    <n v="1.3424"/>
    <m/>
    <n v="0"/>
    <n v="0"/>
    <m/>
    <m/>
    <n v="1.3424"/>
    <s v="n/a"/>
    <n v="0"/>
    <n v="0"/>
    <n v="0"/>
    <m/>
    <m/>
    <n v="1.3424"/>
    <m/>
    <n v="0"/>
    <n v="0"/>
    <m/>
    <m/>
    <n v="1.3424"/>
    <m/>
    <n v="0"/>
    <n v="0"/>
    <n v="0"/>
    <n v="0"/>
    <n v="0"/>
    <n v="0"/>
    <n v="0"/>
    <s v="NA"/>
    <m/>
  </r>
  <r>
    <s v="NSG"/>
    <x v="5"/>
    <x v="7"/>
    <s v="Partner Trade Ally Rebate"/>
    <x v="70"/>
    <n v="0"/>
    <s v="MF/CI"/>
    <x v="3"/>
    <s v="4.4.5"/>
    <s v="MBH"/>
    <n v="0"/>
    <n v="0"/>
    <n v="0"/>
    <n v="0"/>
    <s v="CI-HVC-CUHT-V03-230101"/>
    <m/>
    <n v="1.7733333333333334"/>
    <n v="1.7733333333333334"/>
    <n v="1.7733333333333334"/>
    <n v="1.7733333333333334"/>
    <n v="0.93"/>
    <n v="0.93"/>
    <n v="0.93"/>
    <n v="0.93"/>
    <n v="0"/>
    <n v="0"/>
    <n v="0"/>
    <n v="0"/>
    <n v="0"/>
    <n v="0.93"/>
    <n v="0.93"/>
    <n v="0.93"/>
    <n v="0.93"/>
    <n v="0.93"/>
    <n v="0.93"/>
    <n v="0.93"/>
    <n v="0.93"/>
    <m/>
    <m/>
    <n v="1.6896527777777772"/>
    <m/>
    <n v="0"/>
    <n v="0"/>
    <m/>
    <m/>
    <n v="1.6896527777777772"/>
    <s v="n/a"/>
    <n v="0"/>
    <n v="0"/>
    <n v="0"/>
    <m/>
    <m/>
    <n v="1.6896527777777772"/>
    <m/>
    <n v="0"/>
    <n v="0"/>
    <m/>
    <m/>
    <n v="1.6896527777777772"/>
    <m/>
    <n v="0"/>
    <n v="0"/>
    <n v="0"/>
    <n v="0"/>
    <n v="0"/>
    <n v="0"/>
    <n v="0"/>
    <s v="NA"/>
    <m/>
  </r>
  <r>
    <s v="NSG"/>
    <x v="5"/>
    <x v="7"/>
    <s v="Partner Trade Ally Rebate"/>
    <x v="71"/>
    <n v="0"/>
    <s v="MF/CI"/>
    <x v="3"/>
    <s v="4.4.39"/>
    <s v="MBH"/>
    <n v="0"/>
    <n v="0"/>
    <n v="0"/>
    <n v="0"/>
    <s v="CI-HVC-HTHV-V02-230101"/>
    <m/>
    <n v="3.72"/>
    <n v="3.72"/>
    <n v="3.72"/>
    <n v="3.72"/>
    <n v="0.93"/>
    <n v="0.93"/>
    <n v="0.93"/>
    <n v="0.93"/>
    <n v="0"/>
    <n v="0"/>
    <n v="0"/>
    <n v="0"/>
    <n v="0"/>
    <n v="0.93"/>
    <n v="0.93"/>
    <n v="0.93"/>
    <n v="0.93"/>
    <n v="0.93"/>
    <n v="0.93"/>
    <n v="0.93"/>
    <n v="0.93"/>
    <m/>
    <m/>
    <n v="3.72"/>
    <m/>
    <n v="0"/>
    <n v="0"/>
    <m/>
    <m/>
    <n v="3.72"/>
    <s v="n/a"/>
    <n v="0"/>
    <n v="0"/>
    <n v="0"/>
    <m/>
    <m/>
    <n v="3.72"/>
    <m/>
    <n v="0"/>
    <n v="0"/>
    <m/>
    <m/>
    <n v="3.72"/>
    <m/>
    <n v="0"/>
    <n v="0"/>
    <n v="0"/>
    <n v="0"/>
    <n v="0"/>
    <n v="0"/>
    <n v="0"/>
    <s v="NA"/>
    <m/>
  </r>
  <r>
    <s v="NSG"/>
    <x v="5"/>
    <x v="7"/>
    <s v="Partner Trade Ally Rebate"/>
    <x v="43"/>
    <s v="Hotel/Motel/Hospital"/>
    <s v="CI"/>
    <x v="3"/>
    <s v="4.8.5"/>
    <s v="lb-capacity"/>
    <n v="0"/>
    <n v="0"/>
    <n v="0"/>
    <n v="0"/>
    <s v="CI-MSC-HSCW-V02-210101"/>
    <m/>
    <n v="6.7459391999999996"/>
    <n v="6.7459391999999996"/>
    <n v="6.7459391999999996"/>
    <n v="6.7459391999999996"/>
    <n v="0.93"/>
    <n v="0.93"/>
    <n v="0.93"/>
    <n v="0.93"/>
    <n v="0"/>
    <n v="0"/>
    <n v="0"/>
    <n v="0"/>
    <n v="0"/>
    <n v="0.93"/>
    <n v="0.93"/>
    <n v="0.93"/>
    <n v="0.93"/>
    <n v="0.93"/>
    <n v="0.93"/>
    <n v="0.93"/>
    <n v="0.93"/>
    <m/>
    <m/>
    <n v="6.7459391999999996"/>
    <m/>
    <n v="0"/>
    <n v="0"/>
    <m/>
    <m/>
    <n v="6.7459391999999996"/>
    <s v="n/a"/>
    <n v="0"/>
    <n v="0"/>
    <n v="0"/>
    <m/>
    <m/>
    <n v="6.7459391999999996"/>
    <m/>
    <n v="0"/>
    <n v="0"/>
    <m/>
    <m/>
    <n v="6.7459391999999996"/>
    <m/>
    <n v="0"/>
    <n v="0"/>
    <n v="0"/>
    <n v="0"/>
    <n v="0"/>
    <n v="0"/>
    <n v="0"/>
    <s v="NA"/>
    <m/>
  </r>
  <r>
    <s v="NSG"/>
    <x v="5"/>
    <x v="7"/>
    <s v="Partner Trade Ally Rebate"/>
    <x v="43"/>
    <s v="Laundromat"/>
    <s v="SMB"/>
    <x v="3"/>
    <s v="4.8.5"/>
    <s v="lb-capacity"/>
    <n v="0"/>
    <n v="0"/>
    <n v="0"/>
    <n v="0"/>
    <s v="CI-MSC-HSCW-V02-210101"/>
    <m/>
    <n v="2.7891864000000002"/>
    <n v="2.7891864000000002"/>
    <n v="2.7891864000000002"/>
    <n v="2.7891864000000002"/>
    <n v="0.93"/>
    <n v="0.93"/>
    <n v="0.93"/>
    <n v="0.93"/>
    <n v="0"/>
    <n v="0"/>
    <n v="0"/>
    <n v="0"/>
    <n v="0"/>
    <n v="0.93"/>
    <n v="0.93"/>
    <n v="0.93"/>
    <n v="0.93"/>
    <n v="0.93"/>
    <n v="0.93"/>
    <n v="0.93"/>
    <n v="0.93"/>
    <m/>
    <m/>
    <n v="2.7891864000000002"/>
    <m/>
    <n v="0"/>
    <n v="0"/>
    <m/>
    <m/>
    <n v="2.7891864000000002"/>
    <s v="n/a"/>
    <n v="0"/>
    <n v="0"/>
    <n v="0"/>
    <m/>
    <m/>
    <n v="2.7891864000000002"/>
    <m/>
    <n v="0"/>
    <n v="0"/>
    <m/>
    <m/>
    <n v="2.7891864000000002"/>
    <m/>
    <n v="0"/>
    <n v="0"/>
    <n v="0"/>
    <n v="0"/>
    <n v="0"/>
    <n v="0"/>
    <n v="0"/>
    <s v="NA"/>
    <m/>
  </r>
  <r>
    <s v="NSG"/>
    <x v="5"/>
    <x v="7"/>
    <s v="Partner Trade Ally Rebate"/>
    <x v="31"/>
    <n v="0"/>
    <s v="MF/CI/SMB"/>
    <x v="3"/>
    <s v="4.4.19"/>
    <s v="sqft"/>
    <n v="0"/>
    <n v="0"/>
    <n v="0"/>
    <n v="0"/>
    <s v="CI-HVC-DCV-V06-220101"/>
    <m/>
    <n v="6.8000000000000005E-2"/>
    <n v="6.8000000000000005E-2"/>
    <n v="6.8000000000000005E-2"/>
    <n v="6.8000000000000005E-2"/>
    <n v="0.93"/>
    <n v="0.93"/>
    <n v="0.93"/>
    <n v="0.93"/>
    <n v="0"/>
    <n v="0"/>
    <n v="0"/>
    <n v="0"/>
    <n v="0"/>
    <n v="0.93"/>
    <n v="0.93"/>
    <n v="0.93"/>
    <n v="0.93"/>
    <n v="0.93"/>
    <n v="0.93"/>
    <n v="0.93"/>
    <n v="0.93"/>
    <m/>
    <m/>
    <n v="6.8000000000000005E-2"/>
    <m/>
    <n v="0"/>
    <n v="0"/>
    <m/>
    <m/>
    <n v="6.8000000000000005E-2"/>
    <s v="n/a"/>
    <n v="0"/>
    <n v="0"/>
    <n v="0"/>
    <m/>
    <m/>
    <n v="6.8000000000000005E-2"/>
    <m/>
    <n v="0"/>
    <n v="0"/>
    <m/>
    <m/>
    <n v="6.8000000000000005E-2"/>
    <m/>
    <n v="0"/>
    <n v="0"/>
    <n v="0"/>
    <n v="0"/>
    <n v="0"/>
    <n v="0"/>
    <n v="0"/>
    <s v="NA"/>
    <m/>
  </r>
  <r>
    <s v="NSG"/>
    <x v="5"/>
    <x v="7"/>
    <s v="Partner Trade Ally Rebate"/>
    <x v="66"/>
    <n v="0"/>
    <s v="CI"/>
    <x v="3"/>
    <n v="0"/>
    <s v="each"/>
    <n v="0"/>
    <n v="0"/>
    <n v="0"/>
    <n v="0"/>
    <n v="0"/>
    <m/>
    <n v="234.94825714285713"/>
    <n v="234.94825714285713"/>
    <n v="234.94825714285713"/>
    <n v="234.94825714285713"/>
    <n v="0.93"/>
    <n v="0.93"/>
    <n v="0.93"/>
    <n v="0.93"/>
    <n v="0"/>
    <n v="0"/>
    <n v="0"/>
    <n v="0"/>
    <n v="0"/>
    <n v="0.93"/>
    <n v="0.93"/>
    <n v="0.93"/>
    <n v="0.93"/>
    <n v="0.93"/>
    <n v="0.93"/>
    <n v="0.93"/>
    <n v="0.93"/>
    <m/>
    <m/>
    <n v="234.94825714285713"/>
    <m/>
    <n v="0"/>
    <n v="0"/>
    <m/>
    <m/>
    <n v="234.94825714285713"/>
    <s v="n/a"/>
    <n v="0"/>
    <n v="0"/>
    <n v="0"/>
    <m/>
    <m/>
    <n v="234.94825714285713"/>
    <m/>
    <n v="0"/>
    <n v="0"/>
    <m/>
    <m/>
    <n v="234.94825714285713"/>
    <m/>
    <n v="0"/>
    <n v="0"/>
    <n v="0"/>
    <n v="0"/>
    <n v="0"/>
    <n v="0"/>
    <n v="0"/>
    <s v="NA"/>
    <m/>
  </r>
  <r>
    <s v="NSG"/>
    <x v="5"/>
    <x v="7"/>
    <s v="Partner Trade Ally Rebate"/>
    <x v="12"/>
    <s v="Central Lodging 88% TE"/>
    <s v="CI"/>
    <x v="3"/>
    <s v="4.3.7"/>
    <s v="MBH"/>
    <n v="0"/>
    <n v="0"/>
    <n v="0"/>
    <n v="0"/>
    <s v="CI-HWE-MDHW-V06-230101"/>
    <m/>
    <n v="9.31628800262075"/>
    <n v="9.31628800262075"/>
    <n v="9.31628800262075"/>
    <n v="9.31628800262075"/>
    <n v="0.93"/>
    <n v="0.93"/>
    <n v="0.93"/>
    <n v="0.93"/>
    <n v="0"/>
    <n v="0"/>
    <n v="0"/>
    <n v="0"/>
    <n v="0"/>
    <n v="0.93"/>
    <n v="0.93"/>
    <n v="0.93"/>
    <n v="0.93"/>
    <n v="0.93"/>
    <n v="0.93"/>
    <n v="0.93"/>
    <n v="0.93"/>
    <m/>
    <m/>
    <n v="9.7379830071207483"/>
    <m/>
    <n v="0"/>
    <n v="0"/>
    <m/>
    <m/>
    <n v="9.7379830071207483"/>
    <s v="n/a"/>
    <n v="0"/>
    <n v="0"/>
    <n v="0"/>
    <m/>
    <m/>
    <n v="9.7379830071207483"/>
    <m/>
    <n v="0"/>
    <n v="0"/>
    <m/>
    <m/>
    <n v="9.7379830071207483"/>
    <m/>
    <n v="0"/>
    <n v="0"/>
    <n v="0"/>
    <n v="0"/>
    <n v="0"/>
    <n v="0"/>
    <n v="0"/>
    <s v="NA"/>
    <m/>
  </r>
  <r>
    <s v="NSG"/>
    <x v="5"/>
    <x v="7"/>
    <s v="Partner Trade Ally Rebate"/>
    <x v="12"/>
    <s v="Storage 0.67 EF"/>
    <s v="CI"/>
    <x v="3"/>
    <s v="4.3.1"/>
    <s v="each"/>
    <n v="0"/>
    <n v="0"/>
    <n v="0"/>
    <n v="0"/>
    <s v="CI-HWE-STWH-V09-230101"/>
    <m/>
    <n v="56.252452620818083"/>
    <n v="56.252452620818083"/>
    <n v="56.252452620818083"/>
    <n v="56.252452620818083"/>
    <n v="0.93"/>
    <n v="0.93"/>
    <n v="0.93"/>
    <n v="0.93"/>
    <n v="0"/>
    <n v="0"/>
    <n v="0"/>
    <n v="0"/>
    <n v="0"/>
    <n v="0.93"/>
    <n v="0.93"/>
    <n v="0.93"/>
    <n v="0.93"/>
    <n v="0.93"/>
    <n v="0.93"/>
    <n v="0.93"/>
    <n v="0.93"/>
    <m/>
    <m/>
    <n v="58.867003235588506"/>
    <m/>
    <n v="0"/>
    <n v="0"/>
    <m/>
    <m/>
    <n v="58.550513970881049"/>
    <s v="n/a"/>
    <n v="0"/>
    <n v="0"/>
    <n v="0"/>
    <m/>
    <m/>
    <n v="58.550513970881049"/>
    <m/>
    <n v="0"/>
    <n v="0"/>
    <m/>
    <m/>
    <n v="58.550513970881049"/>
    <m/>
    <n v="0"/>
    <n v="0"/>
    <n v="0"/>
    <n v="0"/>
    <n v="0"/>
    <n v="0"/>
    <n v="0"/>
    <s v="NA"/>
    <m/>
  </r>
  <r>
    <s v="NSG"/>
    <x v="5"/>
    <x v="7"/>
    <s v="Partner Trade Ally Rebate"/>
    <x v="73"/>
    <n v="0"/>
    <s v="MF/CI"/>
    <x v="3"/>
    <s v="4.4.12"/>
    <s v="MBH"/>
    <n v="0"/>
    <n v="0"/>
    <n v="0"/>
    <n v="0"/>
    <s v="CI-HVC-IRHT-V03-230101"/>
    <m/>
    <n v="2.9611764705882351"/>
    <n v="2.9611764705882351"/>
    <n v="2.9611764705882351"/>
    <n v="2.9611764705882351"/>
    <n v="0.93"/>
    <n v="0.93"/>
    <n v="0.93"/>
    <n v="0.93"/>
    <n v="0"/>
    <n v="0"/>
    <n v="0"/>
    <n v="0"/>
    <n v="0"/>
    <n v="0.93"/>
    <n v="0.93"/>
    <n v="0.93"/>
    <n v="0.93"/>
    <n v="0.93"/>
    <n v="0.93"/>
    <n v="0.93"/>
    <n v="0.93"/>
    <m/>
    <m/>
    <n v="2.9611764705882351"/>
    <m/>
    <n v="0"/>
    <n v="0"/>
    <m/>
    <m/>
    <n v="2.9611764705882351"/>
    <s v="n/a"/>
    <n v="0"/>
    <n v="0"/>
    <n v="0"/>
    <m/>
    <m/>
    <n v="2.9611764705882351"/>
    <m/>
    <n v="0"/>
    <n v="0"/>
    <m/>
    <m/>
    <n v="2.9611764705882351"/>
    <m/>
    <n v="0"/>
    <n v="0"/>
    <n v="0"/>
    <n v="0"/>
    <n v="0"/>
    <n v="0"/>
    <n v="0"/>
    <s v="NA"/>
    <m/>
  </r>
  <r>
    <s v="NSG"/>
    <x v="5"/>
    <x v="7"/>
    <s v="Partner Trade Ally Rebate"/>
    <x v="56"/>
    <s v="Hotels &amp; Hospitals"/>
    <s v="CI"/>
    <x v="3"/>
    <s v="4.8.4"/>
    <s v="each"/>
    <n v="0"/>
    <n v="0"/>
    <n v="0"/>
    <n v="0"/>
    <s v="CI-MSC-MODD-V02-230101"/>
    <m/>
    <n v="649.26"/>
    <n v="649.26"/>
    <n v="649.26"/>
    <n v="649.26"/>
    <n v="0.93"/>
    <n v="0.93"/>
    <n v="0.93"/>
    <n v="0.93"/>
    <n v="0"/>
    <n v="0"/>
    <n v="0"/>
    <n v="0"/>
    <n v="0"/>
    <n v="0.93"/>
    <n v="0.93"/>
    <n v="0.93"/>
    <n v="0.93"/>
    <n v="0.93"/>
    <n v="0.93"/>
    <n v="0.93"/>
    <n v="0.93"/>
    <m/>
    <m/>
    <n v="649.26"/>
    <m/>
    <n v="0"/>
    <n v="0"/>
    <m/>
    <m/>
    <n v="649.26"/>
    <s v="Updated measure lifetime."/>
    <n v="0"/>
    <n v="0"/>
    <n v="0"/>
    <m/>
    <m/>
    <n v="649.26"/>
    <m/>
    <n v="0"/>
    <n v="0"/>
    <m/>
    <m/>
    <n v="649.26"/>
    <m/>
    <n v="0"/>
    <n v="0"/>
    <n v="0"/>
    <n v="0"/>
    <n v="0"/>
    <n v="0"/>
    <n v="0"/>
    <s v="NA"/>
    <m/>
  </r>
  <r>
    <s v="NSG"/>
    <x v="5"/>
    <x v="7"/>
    <s v="Partner Trade Ally Rebate"/>
    <x v="74"/>
    <n v="0"/>
    <s v="MF/CI"/>
    <x v="3"/>
    <s v="4.3.6"/>
    <s v="lb-capacity"/>
    <n v="0"/>
    <n v="0"/>
    <n v="0"/>
    <n v="0"/>
    <s v="CI-HWE-OZLD-V07-230101"/>
    <m/>
    <n v="30.722664192350027"/>
    <n v="30.722664192350027"/>
    <n v="30.722664192350027"/>
    <n v="30.722664192350027"/>
    <n v="0.93"/>
    <n v="0.93"/>
    <n v="0.93"/>
    <n v="0.93"/>
    <n v="0"/>
    <n v="0"/>
    <n v="0"/>
    <n v="0"/>
    <n v="0"/>
    <n v="0.93"/>
    <n v="0.93"/>
    <n v="0.93"/>
    <n v="0.93"/>
    <n v="0.93"/>
    <n v="0.93"/>
    <n v="0.93"/>
    <n v="0.93"/>
    <m/>
    <m/>
    <n v="30.722664192350027"/>
    <m/>
    <n v="0"/>
    <n v="0"/>
    <m/>
    <m/>
    <n v="30.722664192350027"/>
    <s v="n/a"/>
    <n v="0"/>
    <n v="0"/>
    <n v="0"/>
    <m/>
    <m/>
    <n v="30.722664192350027"/>
    <m/>
    <n v="0"/>
    <n v="0"/>
    <m/>
    <m/>
    <n v="30.722664192350027"/>
    <m/>
    <n v="0"/>
    <n v="0"/>
    <n v="0"/>
    <n v="0"/>
    <n v="0"/>
    <n v="0"/>
    <n v="0"/>
    <s v="NA"/>
    <m/>
  </r>
  <r>
    <s v="NSG"/>
    <x v="5"/>
    <x v="7"/>
    <s v="Partner Trade Ally Rebate"/>
    <x v="4"/>
    <s v="HW Small 1&quot; to 2&quot;"/>
    <s v="MF/CI/SMB"/>
    <x v="3"/>
    <s v="&quot;3 - Res Pipe Insulation&quot; worksheet"/>
    <s v="ft"/>
    <n v="0"/>
    <n v="0"/>
    <n v="0"/>
    <n v="0"/>
    <n v="0"/>
    <m/>
    <n v="2.6588140926267867"/>
    <n v="2.6588140926267867"/>
    <n v="2.6588140926267867"/>
    <n v="2.6588140926267867"/>
    <n v="0.93"/>
    <n v="0.93"/>
    <n v="0.93"/>
    <n v="0.93"/>
    <n v="0"/>
    <n v="0"/>
    <n v="0"/>
    <n v="0"/>
    <n v="0"/>
    <n v="0.93"/>
    <n v="0.93"/>
    <n v="0.93"/>
    <n v="0.93"/>
    <n v="0.93"/>
    <n v="0.93"/>
    <n v="0.93"/>
    <n v="0.93"/>
    <m/>
    <m/>
    <n v="2.6588140926267867"/>
    <m/>
    <n v="0"/>
    <n v="0"/>
    <m/>
    <m/>
    <n v="2.6588140926267867"/>
    <s v="n/a"/>
    <n v="0"/>
    <n v="0"/>
    <n v="0"/>
    <m/>
    <m/>
    <n v="2.6588140926267867"/>
    <m/>
    <n v="0"/>
    <n v="0"/>
    <m/>
    <m/>
    <n v="2.6588140926267867"/>
    <m/>
    <n v="0"/>
    <n v="0"/>
    <n v="0"/>
    <n v="0"/>
    <n v="0"/>
    <n v="0"/>
    <n v="0"/>
    <s v="NA"/>
    <m/>
  </r>
  <r>
    <s v="NSG"/>
    <x v="5"/>
    <x v="7"/>
    <s v="Partner Trade Ally Rebate"/>
    <x v="4"/>
    <s v="HW Large &gt;4&quot;"/>
    <s v="MF/CI/SMB"/>
    <x v="3"/>
    <s v="&quot;3 - Res Pipe Insulation&quot; worksheet"/>
    <s v="ft"/>
    <n v="0"/>
    <n v="0"/>
    <n v="0"/>
    <n v="0"/>
    <n v="0"/>
    <m/>
    <n v="9.0407613085908682"/>
    <n v="9.0407613085908682"/>
    <n v="9.0407613085908682"/>
    <n v="9.0407613085908682"/>
    <n v="0.93"/>
    <n v="0.93"/>
    <n v="0.93"/>
    <n v="0.93"/>
    <n v="0"/>
    <n v="0"/>
    <n v="0"/>
    <n v="0"/>
    <n v="0"/>
    <n v="0.93"/>
    <n v="0.93"/>
    <n v="0.93"/>
    <n v="0.93"/>
    <n v="0.93"/>
    <n v="0.93"/>
    <n v="0.93"/>
    <n v="0.93"/>
    <m/>
    <m/>
    <n v="9.0407613085908682"/>
    <m/>
    <n v="0"/>
    <n v="0"/>
    <m/>
    <m/>
    <n v="9.0407613085908682"/>
    <s v="n/a"/>
    <n v="0"/>
    <n v="0"/>
    <n v="0"/>
    <m/>
    <m/>
    <n v="9.0407613085908682"/>
    <m/>
    <n v="0"/>
    <n v="0"/>
    <m/>
    <m/>
    <n v="9.0407613085908682"/>
    <m/>
    <n v="0"/>
    <n v="0"/>
    <n v="0"/>
    <n v="0"/>
    <n v="0"/>
    <n v="0"/>
    <n v="0"/>
    <s v="NA"/>
    <m/>
  </r>
  <r>
    <s v="NSG"/>
    <x v="5"/>
    <x v="7"/>
    <s v="Partner Trade Ally Rebate"/>
    <x v="4"/>
    <s v="Steam Med Fitting"/>
    <s v="CI"/>
    <x v="3"/>
    <s v="&quot;3 - Pipe Insulation&quot; worksheet"/>
    <s v="each"/>
    <n v="0"/>
    <n v="0"/>
    <n v="0"/>
    <n v="0"/>
    <n v="0"/>
    <m/>
    <n v="16.16754015857342"/>
    <n v="16.16754015857342"/>
    <n v="16.16754015857342"/>
    <n v="16.16754015857342"/>
    <n v="0.93"/>
    <n v="0.93"/>
    <n v="0.93"/>
    <n v="0.93"/>
    <n v="0"/>
    <n v="0"/>
    <n v="0"/>
    <n v="0"/>
    <n v="0"/>
    <n v="0.93"/>
    <n v="0.93"/>
    <n v="0.93"/>
    <n v="0.93"/>
    <n v="0.93"/>
    <n v="0.93"/>
    <n v="0.93"/>
    <n v="0.93"/>
    <m/>
    <m/>
    <n v="16.16754015857342"/>
    <m/>
    <n v="0"/>
    <n v="0"/>
    <m/>
    <m/>
    <n v="16.16754015857342"/>
    <s v="n/a"/>
    <n v="0"/>
    <n v="0"/>
    <n v="0"/>
    <m/>
    <m/>
    <n v="16.16754015857342"/>
    <m/>
    <n v="0"/>
    <n v="0"/>
    <m/>
    <m/>
    <n v="16.16754015857342"/>
    <m/>
    <n v="0"/>
    <n v="0"/>
    <n v="0"/>
    <n v="0"/>
    <n v="0"/>
    <n v="0"/>
    <n v="0"/>
    <s v="NA"/>
    <m/>
  </r>
  <r>
    <s v="NSG"/>
    <x v="5"/>
    <x v="7"/>
    <s v="Partner Trade Ally Rebate"/>
    <x v="4"/>
    <s v="Steam Large Fitting"/>
    <s v="CI"/>
    <x v="3"/>
    <s v="&quot;3 - Pipe Insulation&quot; worksheet"/>
    <s v="each"/>
    <n v="0"/>
    <n v="0"/>
    <n v="0"/>
    <n v="0"/>
    <n v="0"/>
    <m/>
    <n v="44.895855334511324"/>
    <n v="44.895855334511324"/>
    <n v="44.895855334511324"/>
    <n v="44.895855334511324"/>
    <n v="0.93"/>
    <n v="0.93"/>
    <n v="0.93"/>
    <n v="0.93"/>
    <n v="0"/>
    <n v="0"/>
    <n v="0"/>
    <n v="0"/>
    <n v="0"/>
    <n v="0.93"/>
    <n v="0.93"/>
    <n v="0.93"/>
    <n v="0.93"/>
    <n v="0.93"/>
    <n v="0.93"/>
    <n v="0.93"/>
    <n v="0.93"/>
    <m/>
    <m/>
    <n v="44.895855334511324"/>
    <m/>
    <n v="0"/>
    <n v="0"/>
    <m/>
    <m/>
    <n v="44.895855334511324"/>
    <s v="n/a"/>
    <n v="0"/>
    <n v="0"/>
    <n v="0"/>
    <m/>
    <m/>
    <n v="44.895855334511324"/>
    <m/>
    <n v="0"/>
    <n v="0"/>
    <m/>
    <m/>
    <n v="44.895855334511324"/>
    <m/>
    <n v="0"/>
    <n v="0"/>
    <n v="0"/>
    <n v="0"/>
    <n v="0"/>
    <n v="0"/>
    <n v="0"/>
    <s v="NA"/>
    <m/>
  </r>
  <r>
    <s v="NSG"/>
    <x v="5"/>
    <x v="7"/>
    <s v="Partner Trade Ally Rebate"/>
    <x v="4"/>
    <s v="Steam X-Large Fitting"/>
    <s v="CI"/>
    <x v="3"/>
    <s v="&quot;3 - Pipe Insulation&quot; worksheet"/>
    <s v="each"/>
    <n v="0"/>
    <n v="0"/>
    <n v="0"/>
    <n v="0"/>
    <n v="0"/>
    <m/>
    <n v="80.577400496643122"/>
    <n v="80.577400496643122"/>
    <n v="80.577400496643122"/>
    <n v="80.577400496643122"/>
    <n v="0.93"/>
    <n v="0.93"/>
    <n v="0.93"/>
    <n v="0.93"/>
    <n v="0"/>
    <n v="0"/>
    <n v="0"/>
    <n v="0"/>
    <n v="0"/>
    <n v="0.93"/>
    <n v="0.93"/>
    <n v="0.93"/>
    <n v="0.93"/>
    <n v="0.93"/>
    <n v="0.93"/>
    <n v="0.93"/>
    <n v="0.93"/>
    <m/>
    <m/>
    <n v="80.577400496643122"/>
    <m/>
    <n v="0"/>
    <n v="0"/>
    <m/>
    <m/>
    <n v="80.577400496643122"/>
    <s v="n/a"/>
    <n v="0"/>
    <n v="0"/>
    <n v="0"/>
    <m/>
    <m/>
    <n v="80.577400496643122"/>
    <m/>
    <n v="0"/>
    <n v="0"/>
    <m/>
    <m/>
    <n v="80.577400496643122"/>
    <m/>
    <n v="0"/>
    <n v="0"/>
    <n v="0"/>
    <n v="0"/>
    <n v="0"/>
    <n v="0"/>
    <n v="0"/>
    <s v="NA"/>
    <m/>
  </r>
  <r>
    <s v="NSG"/>
    <x v="5"/>
    <x v="7"/>
    <s v="Partner Trade Ally Rebate"/>
    <x v="4"/>
    <s v="Steam Med Valve"/>
    <s v="CI"/>
    <x v="3"/>
    <s v="&quot;3 - Pipe Insulation&quot; worksheet"/>
    <s v="each"/>
    <n v="0"/>
    <n v="0"/>
    <n v="0"/>
    <n v="0"/>
    <n v="0"/>
    <m/>
    <n v="49.002251273013741"/>
    <n v="49.002251273013741"/>
    <n v="49.002251273013741"/>
    <n v="49.002251273013741"/>
    <n v="0.93"/>
    <n v="0.93"/>
    <n v="0.93"/>
    <n v="0.93"/>
    <n v="0"/>
    <n v="0"/>
    <n v="0"/>
    <n v="0"/>
    <n v="0"/>
    <n v="0.93"/>
    <n v="0.93"/>
    <n v="0.93"/>
    <n v="0.93"/>
    <n v="0.93"/>
    <n v="0.93"/>
    <n v="0.93"/>
    <n v="0.93"/>
    <m/>
    <m/>
    <n v="49.002251273013741"/>
    <m/>
    <n v="0"/>
    <n v="0"/>
    <m/>
    <m/>
    <n v="49.002251273013741"/>
    <s v="n/a"/>
    <n v="0"/>
    <n v="0"/>
    <n v="0"/>
    <m/>
    <m/>
    <n v="49.002251273013741"/>
    <m/>
    <n v="0"/>
    <n v="0"/>
    <m/>
    <m/>
    <n v="49.002251273013741"/>
    <m/>
    <n v="0"/>
    <n v="0"/>
    <n v="0"/>
    <n v="0"/>
    <n v="0"/>
    <n v="0"/>
    <n v="0"/>
    <s v="NA"/>
    <m/>
  </r>
  <r>
    <s v="NSG"/>
    <x v="5"/>
    <x v="7"/>
    <s v="Partner Trade Ally Rebate"/>
    <x v="4"/>
    <s v="Steam Large Valve"/>
    <s v="CI"/>
    <x v="3"/>
    <s v="&quot;3 - Pipe Insulation&quot; worksheet"/>
    <s v="each"/>
    <n v="0"/>
    <n v="0"/>
    <n v="0"/>
    <n v="0"/>
    <n v="0"/>
    <m/>
    <n v="107.52607289087437"/>
    <n v="107.52607289087437"/>
    <n v="107.52607289087437"/>
    <n v="107.52607289087437"/>
    <n v="0.93"/>
    <n v="0.93"/>
    <n v="0.93"/>
    <n v="0.93"/>
    <n v="0"/>
    <n v="0"/>
    <n v="0"/>
    <n v="0"/>
    <n v="0"/>
    <n v="0.93"/>
    <n v="0.93"/>
    <n v="0.93"/>
    <n v="0.93"/>
    <n v="0.93"/>
    <n v="0.93"/>
    <n v="0.93"/>
    <n v="0.93"/>
    <m/>
    <m/>
    <n v="107.52607289087437"/>
    <m/>
    <n v="0"/>
    <n v="0"/>
    <m/>
    <m/>
    <n v="107.52607289087437"/>
    <s v="n/a"/>
    <n v="0"/>
    <n v="0"/>
    <n v="0"/>
    <m/>
    <m/>
    <n v="107.52607289087437"/>
    <m/>
    <n v="0"/>
    <n v="0"/>
    <m/>
    <m/>
    <n v="107.52607289087437"/>
    <m/>
    <n v="0"/>
    <n v="0"/>
    <n v="0"/>
    <n v="0"/>
    <n v="0"/>
    <n v="0"/>
    <n v="0"/>
    <s v="NA"/>
    <m/>
  </r>
  <r>
    <s v="NSG"/>
    <x v="5"/>
    <x v="7"/>
    <s v="Partner Trade Ally Rebate"/>
    <x v="4"/>
    <s v="Steam X-Large Valve"/>
    <s v="CI"/>
    <x v="3"/>
    <s v="&quot;3 - Pipe Insulation&quot; worksheet"/>
    <s v="each"/>
    <n v="0"/>
    <n v="0"/>
    <n v="0"/>
    <n v="0"/>
    <n v="0"/>
    <m/>
    <n v="175.06254164158375"/>
    <n v="175.06254164158375"/>
    <n v="175.06254164158375"/>
    <n v="175.06254164158375"/>
    <n v="0.93"/>
    <n v="0.93"/>
    <n v="0.93"/>
    <n v="0.93"/>
    <n v="0"/>
    <n v="0"/>
    <n v="0"/>
    <n v="0"/>
    <n v="0"/>
    <n v="0.93"/>
    <n v="0.93"/>
    <n v="0.93"/>
    <n v="0.93"/>
    <n v="0.93"/>
    <n v="0.93"/>
    <n v="0.93"/>
    <n v="0.93"/>
    <m/>
    <m/>
    <n v="175.06254164158375"/>
    <m/>
    <n v="0"/>
    <n v="0"/>
    <m/>
    <m/>
    <n v="175.06254164158375"/>
    <s v="n/a"/>
    <n v="0"/>
    <n v="0"/>
    <n v="0"/>
    <m/>
    <m/>
    <n v="175.06254164158375"/>
    <m/>
    <n v="0"/>
    <n v="0"/>
    <m/>
    <m/>
    <n v="175.06254164158375"/>
    <m/>
    <n v="0"/>
    <n v="0"/>
    <n v="0"/>
    <n v="0"/>
    <n v="0"/>
    <n v="0"/>
    <n v="0"/>
    <s v="NA"/>
    <m/>
  </r>
  <r>
    <s v="NSG"/>
    <x v="5"/>
    <x v="7"/>
    <s v="Partner Trade Ally Rebate"/>
    <x v="10"/>
    <n v="0"/>
    <s v="CI"/>
    <x v="3"/>
    <s v="4.2.11"/>
    <s v="each"/>
    <n v="0"/>
    <n v="0"/>
    <n v="0"/>
    <n v="0"/>
    <s v="CI-FSE-CVOV-V02-180101"/>
    <m/>
    <n v="235.77765120000004"/>
    <n v="235.77765120000004"/>
    <n v="235.77765120000004"/>
    <n v="235.77765120000004"/>
    <n v="0.93"/>
    <n v="0.93"/>
    <n v="0.93"/>
    <n v="0.93"/>
    <n v="0"/>
    <n v="0"/>
    <n v="0"/>
    <n v="0"/>
    <n v="0"/>
    <n v="0.93"/>
    <n v="0.93"/>
    <n v="0.93"/>
    <n v="0.93"/>
    <n v="0.93"/>
    <n v="0.93"/>
    <n v="0.93"/>
    <n v="0.93"/>
    <m/>
    <m/>
    <n v="247.22970854399998"/>
    <m/>
    <n v="0"/>
    <n v="0"/>
    <m/>
    <m/>
    <n v="247.22970854399998"/>
    <s v="n/a"/>
    <n v="0"/>
    <n v="0"/>
    <n v="0"/>
    <m/>
    <m/>
    <n v="247.22970854399998"/>
    <m/>
    <n v="0"/>
    <n v="0"/>
    <m/>
    <m/>
    <n v="247.22970854399998"/>
    <m/>
    <n v="0"/>
    <n v="0"/>
    <n v="0"/>
    <n v="0"/>
    <n v="0"/>
    <n v="0"/>
    <n v="0"/>
    <s v="NA"/>
    <m/>
  </r>
  <r>
    <s v="NSG"/>
    <x v="5"/>
    <x v="7"/>
    <s v="Partner Trade Ally Rebate"/>
    <x v="41"/>
    <s v="Industrial/Process Audit - psig ≤ 15"/>
    <s v="CI/SMB"/>
    <x v="3"/>
    <s v="4.4.16"/>
    <s v="each"/>
    <n v="0"/>
    <n v="0"/>
    <n v="0"/>
    <n v="0"/>
    <s v="CI-HVC-STRE-V09-230101"/>
    <m/>
    <n v="788.87094440257943"/>
    <n v="788.87094440257943"/>
    <n v="788.87094440257943"/>
    <n v="788.87094440257943"/>
    <n v="0.93"/>
    <n v="0.93"/>
    <n v="0.93"/>
    <n v="0.93"/>
    <n v="0"/>
    <n v="0"/>
    <n v="0"/>
    <n v="0"/>
    <n v="0"/>
    <n v="0.93"/>
    <n v="0.93"/>
    <n v="0.93"/>
    <n v="0.93"/>
    <n v="0.93"/>
    <n v="0.93"/>
    <n v="0.93"/>
    <n v="0.93"/>
    <m/>
    <m/>
    <n v="788.87094440257943"/>
    <m/>
    <n v="0"/>
    <n v="0"/>
    <m/>
    <m/>
    <n v="1603.3277521921041"/>
    <s v="Updated inputs for Commercial LPS Space Heating and Industrial/Process Low Pressure"/>
    <n v="0"/>
    <n v="0"/>
    <n v="0"/>
    <m/>
    <m/>
    <n v="1603.3277521921041"/>
    <m/>
    <n v="0"/>
    <n v="0"/>
    <m/>
    <m/>
    <n v="1603.3277521921041"/>
    <m/>
    <n v="0"/>
    <n v="0"/>
    <n v="0"/>
    <n v="0"/>
    <n v="0"/>
    <n v="0"/>
    <n v="0"/>
    <s v="NA"/>
    <m/>
  </r>
  <r>
    <s v="NSG"/>
    <x v="5"/>
    <x v="7"/>
    <s v="Partner Trade Ally Rebate"/>
    <x v="41"/>
    <s v="Industrial/Process Audit - 15 &lt; psig &lt; 30"/>
    <s v="CI/SMB"/>
    <x v="3"/>
    <s v="4.4.16"/>
    <s v="each"/>
    <n v="0"/>
    <n v="0"/>
    <n v="0"/>
    <n v="0"/>
    <s v="CI-HVC-STRE-V09-230101"/>
    <m/>
    <n v="758.17043213559668"/>
    <n v="758.17043213559668"/>
    <n v="758.17043213559668"/>
    <n v="758.17043213559668"/>
    <n v="0.93"/>
    <n v="0.93"/>
    <n v="0.93"/>
    <n v="0.93"/>
    <n v="0"/>
    <n v="0"/>
    <n v="0"/>
    <n v="0"/>
    <n v="0"/>
    <n v="0.93"/>
    <n v="0.93"/>
    <n v="0.93"/>
    <n v="0.93"/>
    <n v="0.93"/>
    <n v="0.93"/>
    <n v="0.93"/>
    <n v="0.93"/>
    <m/>
    <m/>
    <n v="758.17043213559668"/>
    <m/>
    <n v="0"/>
    <n v="0"/>
    <m/>
    <m/>
    <n v="758.17043213559668"/>
    <s v="Updated inputs for Commercial LPS Space Heating and Industrial/Process Low Pressure"/>
    <n v="0"/>
    <n v="0"/>
    <n v="0"/>
    <m/>
    <m/>
    <n v="758.17043213559668"/>
    <m/>
    <n v="0"/>
    <n v="0"/>
    <m/>
    <m/>
    <n v="758.17043213559668"/>
    <m/>
    <n v="0"/>
    <n v="0"/>
    <n v="0"/>
    <n v="0"/>
    <n v="0"/>
    <n v="0"/>
    <n v="0"/>
    <s v="NA"/>
    <m/>
  </r>
  <r>
    <s v="NSG"/>
    <x v="5"/>
    <x v="7"/>
    <s v="Partner Trade Ally Rebate"/>
    <x v="41"/>
    <s v="Industrial/Process Audit - 30 ≤ psig &lt; 75"/>
    <s v="CI/SMB"/>
    <x v="3"/>
    <s v="4.4.16"/>
    <s v="each"/>
    <n v="0"/>
    <n v="0"/>
    <n v="0"/>
    <n v="0"/>
    <s v="CI-HVC-STRE-V09-230101"/>
    <m/>
    <n v="2777.6636840634392"/>
    <n v="2777.6636840634392"/>
    <n v="2777.6636840634392"/>
    <n v="2777.6636840634392"/>
    <n v="0.93"/>
    <n v="0.93"/>
    <n v="0.93"/>
    <n v="0.93"/>
    <n v="0"/>
    <n v="0"/>
    <n v="0"/>
    <n v="0"/>
    <n v="0"/>
    <n v="0.93"/>
    <n v="0.93"/>
    <n v="0.93"/>
    <n v="0.93"/>
    <n v="0.93"/>
    <n v="0.93"/>
    <n v="0.93"/>
    <n v="0.93"/>
    <m/>
    <m/>
    <n v="2777.6636840634392"/>
    <m/>
    <n v="0"/>
    <n v="0"/>
    <m/>
    <m/>
    <n v="2777.6636840634392"/>
    <s v="Updated inputs for Commercial LPS Space Heating and Industrial/Process Low Pressure"/>
    <n v="0"/>
    <n v="0"/>
    <n v="0"/>
    <m/>
    <m/>
    <n v="2777.6636840634392"/>
    <m/>
    <n v="0"/>
    <n v="0"/>
    <m/>
    <m/>
    <n v="2777.6636840634392"/>
    <m/>
    <n v="0"/>
    <n v="0"/>
    <n v="0"/>
    <n v="0"/>
    <n v="0"/>
    <n v="0"/>
    <n v="0"/>
    <s v="NA"/>
    <m/>
  </r>
  <r>
    <s v="NSG"/>
    <x v="5"/>
    <x v="7"/>
    <s v="Partner Trade Ally Rebate"/>
    <x v="41"/>
    <s v="Industrial/Process Audit - 75 ≤ psig &lt; 125"/>
    <s v="CI/SMB"/>
    <x v="3"/>
    <s v="4.4.16"/>
    <s v="each"/>
    <n v="0"/>
    <n v="0"/>
    <n v="0"/>
    <n v="0"/>
    <s v="CI-HVC-STRE-V09-230101"/>
    <m/>
    <n v="5253.732217921608"/>
    <n v="5253.732217921608"/>
    <n v="5253.732217921608"/>
    <n v="5253.732217921608"/>
    <n v="0.93"/>
    <n v="0.93"/>
    <n v="0.93"/>
    <n v="0.93"/>
    <n v="0"/>
    <n v="0"/>
    <n v="0"/>
    <n v="0"/>
    <n v="0"/>
    <n v="0.93"/>
    <n v="0.93"/>
    <n v="0.93"/>
    <n v="0.93"/>
    <n v="0.93"/>
    <n v="0.93"/>
    <n v="0.93"/>
    <n v="0.93"/>
    <m/>
    <m/>
    <n v="5253.732217921608"/>
    <m/>
    <n v="0"/>
    <n v="0"/>
    <m/>
    <m/>
    <n v="5253.732217921608"/>
    <s v="Updated inputs for Commercial LPS Space Heating and Industrial/Process Low Pressure"/>
    <n v="0"/>
    <n v="0"/>
    <n v="0"/>
    <m/>
    <m/>
    <n v="5253.732217921608"/>
    <m/>
    <n v="0"/>
    <n v="0"/>
    <m/>
    <m/>
    <n v="5253.732217921608"/>
    <m/>
    <n v="0"/>
    <n v="0"/>
    <n v="0"/>
    <n v="0"/>
    <n v="0"/>
    <n v="0"/>
    <n v="0"/>
    <s v="NA"/>
    <m/>
  </r>
  <r>
    <s v="NSG"/>
    <x v="5"/>
    <x v="7"/>
    <s v="Partner Trade Ally Rebate"/>
    <x v="41"/>
    <s v="Industrial/Process Audit - 125 ≤ psig &lt; 175"/>
    <s v="CI/SMB"/>
    <x v="3"/>
    <s v="4.4.16"/>
    <s v="each"/>
    <n v="0"/>
    <n v="0"/>
    <n v="0"/>
    <n v="0"/>
    <s v="CI-HVC-STRE-V09-230101"/>
    <m/>
    <n v="7334.7468920022948"/>
    <n v="7334.7468920022948"/>
    <n v="7334.7468920022948"/>
    <n v="7334.7468920022948"/>
    <n v="0.93"/>
    <n v="0.93"/>
    <n v="0.93"/>
    <n v="0.93"/>
    <n v="0"/>
    <n v="0"/>
    <n v="0"/>
    <n v="0"/>
    <n v="0"/>
    <n v="0.93"/>
    <n v="0.93"/>
    <n v="0.93"/>
    <n v="0.93"/>
    <n v="0.93"/>
    <n v="0.93"/>
    <n v="0.93"/>
    <n v="0.93"/>
    <m/>
    <m/>
    <n v="7334.7468920022948"/>
    <m/>
    <n v="0"/>
    <n v="0"/>
    <m/>
    <m/>
    <n v="7334.7468920022948"/>
    <s v="Updated inputs for Commercial LPS Space Heating and Industrial/Process Low Pressure"/>
    <n v="0"/>
    <n v="0"/>
    <n v="0"/>
    <m/>
    <m/>
    <n v="7334.7468920022948"/>
    <m/>
    <n v="0"/>
    <n v="0"/>
    <m/>
    <m/>
    <n v="7334.7468920022948"/>
    <m/>
    <n v="0"/>
    <n v="0"/>
    <n v="0"/>
    <n v="0"/>
    <n v="0"/>
    <n v="0"/>
    <n v="0"/>
    <s v="NA"/>
    <m/>
  </r>
  <r>
    <s v="NSG"/>
    <x v="5"/>
    <x v="7"/>
    <s v="Partner Trade Ally Rebate"/>
    <x v="41"/>
    <s v="Industrial/Process Audit - 175 ≤ psig &lt; 250"/>
    <s v="CI/SMB"/>
    <x v="3"/>
    <s v="4.4.16"/>
    <s v="each"/>
    <n v="0"/>
    <n v="0"/>
    <n v="0"/>
    <n v="0"/>
    <s v="CI-HVC-STRE-V09-230101"/>
    <m/>
    <n v="9906.4466256306805"/>
    <n v="9906.4466256306805"/>
    <n v="9906.4466256306805"/>
    <n v="9906.4466256306805"/>
    <n v="0.93"/>
    <n v="0.93"/>
    <n v="0.93"/>
    <n v="0.93"/>
    <n v="0"/>
    <n v="0"/>
    <n v="0"/>
    <n v="0"/>
    <n v="0"/>
    <n v="0.93"/>
    <n v="0.93"/>
    <n v="0.93"/>
    <n v="0.93"/>
    <n v="0.93"/>
    <n v="0.93"/>
    <n v="0.93"/>
    <n v="0.93"/>
    <m/>
    <m/>
    <n v="9906.4466256306805"/>
    <m/>
    <n v="0"/>
    <n v="0"/>
    <m/>
    <m/>
    <n v="9906.4466256306805"/>
    <s v="Updated inputs for Commercial LPS Space Heating and Industrial/Process Low Pressure"/>
    <n v="0"/>
    <n v="0"/>
    <n v="0"/>
    <m/>
    <m/>
    <n v="9906.4466256306805"/>
    <m/>
    <n v="0"/>
    <n v="0"/>
    <m/>
    <m/>
    <n v="9906.4466256306805"/>
    <m/>
    <n v="0"/>
    <n v="0"/>
    <n v="0"/>
    <n v="0"/>
    <n v="0"/>
    <n v="0"/>
    <n v="0"/>
    <s v="NA"/>
    <m/>
  </r>
  <r>
    <s v="NSG"/>
    <x v="5"/>
    <x v="7"/>
    <s v="Partner Trade Ally Rebate"/>
    <x v="41"/>
    <s v="Industrial/Process Audit - 250 ≤ psig"/>
    <s v="CI/SMB"/>
    <x v="3"/>
    <s v="4.4.16"/>
    <s v="each"/>
    <n v="0"/>
    <n v="0"/>
    <n v="0"/>
    <n v="0"/>
    <s v="CI-HVC-STRE-V09-230101"/>
    <m/>
    <n v="12689.405899537758"/>
    <n v="12689.405899537758"/>
    <n v="12689.405899537758"/>
    <n v="12689.405899537758"/>
    <n v="0.93"/>
    <n v="0.93"/>
    <n v="0.93"/>
    <n v="0.93"/>
    <n v="0"/>
    <n v="0"/>
    <n v="0"/>
    <n v="0"/>
    <n v="0"/>
    <n v="0.93"/>
    <n v="0.93"/>
    <n v="0.93"/>
    <n v="0.93"/>
    <n v="0.93"/>
    <n v="0.93"/>
    <n v="0.93"/>
    <n v="0.93"/>
    <m/>
    <m/>
    <n v="12689.405899537758"/>
    <m/>
    <n v="0"/>
    <n v="0"/>
    <m/>
    <m/>
    <n v="12689.405899537758"/>
    <s v="Updated inputs for Commercial LPS Space Heating and Industrial/Process Low Pressure"/>
    <n v="0"/>
    <n v="0"/>
    <n v="0"/>
    <m/>
    <m/>
    <n v="12689.405899537758"/>
    <m/>
    <n v="0"/>
    <n v="0"/>
    <m/>
    <m/>
    <n v="12689.405899537758"/>
    <m/>
    <n v="0"/>
    <n v="0"/>
    <n v="0"/>
    <n v="0"/>
    <n v="0"/>
    <n v="0"/>
    <n v="0"/>
    <s v="NA"/>
    <m/>
  </r>
  <r>
    <s v="NSG"/>
    <x v="5"/>
    <x v="7"/>
    <s v="Partner Trade Ally Rebate"/>
    <x v="6"/>
    <n v="0"/>
    <s v="CI"/>
    <x v="3"/>
    <s v="4.4.48"/>
    <s v="each"/>
    <n v="0"/>
    <n v="0"/>
    <n v="0"/>
    <n v="0"/>
    <s v="CI-HVC-THST-V05-230101"/>
    <m/>
    <n v="159.30512500000003"/>
    <n v="159.30512500000003"/>
    <n v="159.30512500000003"/>
    <n v="159.30512500000003"/>
    <n v="0.96"/>
    <n v="0.96"/>
    <n v="0.96"/>
    <n v="0.96"/>
    <n v="0"/>
    <n v="0"/>
    <n v="0"/>
    <n v="0"/>
    <n v="0"/>
    <n v="0.96"/>
    <n v="0.97"/>
    <n v="0.97"/>
    <n v="0.97"/>
    <n v="0.96"/>
    <n v="0.96"/>
    <n v="0.96"/>
    <n v="0.96"/>
    <m/>
    <m/>
    <n v="200.26929999999999"/>
    <m/>
    <n v="0"/>
    <n v="0"/>
    <m/>
    <m/>
    <n v="200.26929999999999"/>
    <s v="n/a"/>
    <n v="0"/>
    <n v="0"/>
    <n v="0"/>
    <m/>
    <m/>
    <n v="200.26929999999999"/>
    <m/>
    <n v="0"/>
    <n v="0"/>
    <m/>
    <m/>
    <n v="200.26929999999999"/>
    <m/>
    <n v="0"/>
    <n v="0"/>
    <n v="0"/>
    <n v="0"/>
    <n v="0"/>
    <n v="0"/>
    <n v="0"/>
    <s v="NA"/>
    <m/>
  </r>
  <r>
    <s v="NSG"/>
    <x v="5"/>
    <x v="7"/>
    <s v="Partner Trade Ally Rebate"/>
    <x v="12"/>
    <s v="Storage 88% TE ≥75MBh"/>
    <s v="CI"/>
    <x v="3"/>
    <s v="4.3.1"/>
    <s v="each"/>
    <n v="0"/>
    <n v="0"/>
    <n v="0"/>
    <n v="0"/>
    <s v="CI-HWE-STWH-V09-230101"/>
    <m/>
    <n v="135.66827090062347"/>
    <n v="135.66827090062347"/>
    <n v="135.66827090062347"/>
    <n v="135.66827090062347"/>
    <n v="0.93"/>
    <n v="0.93"/>
    <n v="0.93"/>
    <n v="0.93"/>
    <n v="0"/>
    <n v="0"/>
    <n v="0"/>
    <n v="0"/>
    <n v="0"/>
    <n v="0.93"/>
    <n v="0.93"/>
    <n v="0.93"/>
    <n v="0.93"/>
    <n v="0.93"/>
    <n v="0.93"/>
    <n v="0.93"/>
    <n v="0.93"/>
    <m/>
    <m/>
    <n v="139.65886152562348"/>
    <m/>
    <n v="0"/>
    <n v="0"/>
    <m/>
    <m/>
    <n v="139.65886152562348"/>
    <s v="n/a"/>
    <n v="0"/>
    <n v="0"/>
    <n v="0"/>
    <m/>
    <m/>
    <n v="139.65886152562348"/>
    <m/>
    <n v="0"/>
    <n v="0"/>
    <m/>
    <m/>
    <n v="139.65886152562348"/>
    <m/>
    <n v="0"/>
    <n v="0"/>
    <n v="0"/>
    <n v="0"/>
    <n v="0"/>
    <n v="0"/>
    <n v="0"/>
    <s v="NA"/>
    <m/>
  </r>
  <r>
    <s v="NSG"/>
    <x v="4"/>
    <x v="6"/>
    <s v="Whole Building - DI"/>
    <x v="3"/>
    <s v="Furnace (Replace Manual)"/>
    <s v="MF"/>
    <x v="3"/>
    <s v="5.3.16"/>
    <s v="each"/>
    <n v="1"/>
    <n v="1"/>
    <n v="1"/>
    <n v="1"/>
    <s v="RS-HVC-ADTH-V08-230101"/>
    <m/>
    <n v="67.938000000000002"/>
    <n v="67.938000000000002"/>
    <n v="67.938000000000002"/>
    <n v="67.938000000000002"/>
    <n v="1"/>
    <n v="1"/>
    <n v="1"/>
    <n v="1"/>
    <n v="67.938000000000002"/>
    <n v="67.938000000000002"/>
    <n v="67.938000000000002"/>
    <n v="67.938000000000002"/>
    <n v="271.75200000000001"/>
    <n v="1"/>
    <n v="1"/>
    <n v="1"/>
    <n v="1"/>
    <n v="1"/>
    <n v="1"/>
    <n v="1"/>
    <n v="1"/>
    <m/>
    <m/>
    <n v="66.631500000000003"/>
    <m/>
    <n v="66.631500000000003"/>
    <n v="-1.3064999999999998"/>
    <m/>
    <m/>
    <n v="66.631500000000003"/>
    <s v="n/a"/>
    <n v="66.631500000000003"/>
    <n v="66.631500000000003"/>
    <n v="-1.3064999999999998"/>
    <m/>
    <m/>
    <n v="66.631500000000003"/>
    <m/>
    <n v="66.631500000000003"/>
    <n v="-1.3064999999999998"/>
    <m/>
    <m/>
    <n v="66.631500000000003"/>
    <m/>
    <n v="66.631500000000003"/>
    <n v="-1.3064999999999998"/>
    <n v="66.631500000000003"/>
    <n v="66.631500000000003"/>
    <n v="66.631500000000003"/>
    <n v="66.631500000000003"/>
    <n v="266.52600000000001"/>
    <s v="NA"/>
    <m/>
  </r>
  <r>
    <s v="NSG"/>
    <x v="3"/>
    <x v="6"/>
    <s v="Partner Trade Ally Rebate"/>
    <x v="3"/>
    <s v="Furnace (Replace Unknown)"/>
    <s v="MF"/>
    <x v="3"/>
    <s v="5.3.16"/>
    <s v="each"/>
    <n v="4"/>
    <n v="4"/>
    <n v="4"/>
    <n v="4"/>
    <s v="RS-HVC-ADTH-V08-230101"/>
    <m/>
    <n v="56.179499999999997"/>
    <n v="56.179499999999997"/>
    <n v="56.179499999999997"/>
    <n v="56.179499999999997"/>
    <n v="0.9"/>
    <n v="0.9"/>
    <n v="0.9"/>
    <n v="0.9"/>
    <n v="202.24619999999999"/>
    <n v="202.24619999999999"/>
    <n v="202.24619999999999"/>
    <n v="202.24619999999999"/>
    <n v="808.98479999999995"/>
    <n v="0.9"/>
    <n v="0.9"/>
    <n v="0.9"/>
    <n v="0.9"/>
    <n v="0.9"/>
    <n v="0.9"/>
    <n v="0.9"/>
    <n v="0.9"/>
    <m/>
    <m/>
    <n v="55.526250000000012"/>
    <m/>
    <n v="199.89450000000005"/>
    <n v="-2.3516999999999371"/>
    <m/>
    <m/>
    <n v="55.526250000000012"/>
    <s v="n/a"/>
    <n v="199.89450000000005"/>
    <n v="199.89450000000005"/>
    <n v="-2.3516999999999371"/>
    <m/>
    <m/>
    <n v="55.526250000000012"/>
    <m/>
    <n v="199.89450000000005"/>
    <n v="-2.3516999999999371"/>
    <m/>
    <m/>
    <n v="55.526250000000012"/>
    <m/>
    <n v="199.89450000000005"/>
    <n v="-2.3516999999999371"/>
    <n v="199.89450000000005"/>
    <n v="199.89450000000005"/>
    <n v="199.89450000000005"/>
    <n v="199.89450000000005"/>
    <n v="799.5780000000002"/>
    <s v="NA"/>
    <m/>
  </r>
  <r>
    <s v="NSG"/>
    <x v="4"/>
    <x v="4"/>
    <s v="Core"/>
    <x v="3"/>
    <s v="Furnace (Replace Manual)"/>
    <s v="SF"/>
    <x v="3"/>
    <s v="5.3.16"/>
    <s v="each"/>
    <n v="2"/>
    <n v="4"/>
    <n v="8"/>
    <n v="9"/>
    <s v="RS-HVC-ADTH-V08-230101"/>
    <m/>
    <n v="104.52"/>
    <n v="104.52"/>
    <n v="104.52"/>
    <n v="104.52"/>
    <n v="1"/>
    <n v="1"/>
    <n v="1"/>
    <n v="1"/>
    <n v="209.04"/>
    <n v="418.08"/>
    <n v="836.16"/>
    <n v="940.68"/>
    <n v="2403.96"/>
    <n v="1"/>
    <n v="1"/>
    <n v="1"/>
    <n v="1"/>
    <n v="1"/>
    <n v="1"/>
    <n v="1"/>
    <n v="1"/>
    <m/>
    <m/>
    <n v="102.50999999999999"/>
    <m/>
    <n v="205.01999999999998"/>
    <n v="-4.0200000000000102"/>
    <m/>
    <m/>
    <n v="102.50999999999999"/>
    <s v="n/a"/>
    <n v="410.03999999999996"/>
    <n v="410.03999999999996"/>
    <n v="-8.0400000000000205"/>
    <m/>
    <m/>
    <n v="102.50999999999999"/>
    <m/>
    <n v="820.07999999999993"/>
    <n v="-16.080000000000041"/>
    <m/>
    <m/>
    <n v="102.50999999999999"/>
    <m/>
    <n v="922.58999999999992"/>
    <n v="-18.090000000000032"/>
    <n v="205.01999999999998"/>
    <n v="410.03999999999996"/>
    <n v="820.07999999999993"/>
    <n v="922.58999999999992"/>
    <n v="2357.7299999999996"/>
    <s v="NA"/>
    <m/>
  </r>
  <r>
    <s v="NSG"/>
    <x v="4"/>
    <x v="6"/>
    <s v="MF IHWAP"/>
    <x v="3"/>
    <s v="Boiler (Replace Programmable)"/>
    <s v="MF"/>
    <x v="3"/>
    <s v="5.3.16"/>
    <s v="each"/>
    <n v="3"/>
    <n v="4"/>
    <n v="7"/>
    <n v="8"/>
    <s v="RS-HVC-ADTH-V08-230101"/>
    <m/>
    <n v="70.463249999999988"/>
    <n v="70.463249999999988"/>
    <n v="70.463249999999988"/>
    <n v="70.463249999999988"/>
    <n v="1"/>
    <n v="1"/>
    <n v="1"/>
    <n v="1"/>
    <n v="211.38974999999996"/>
    <n v="281.85299999999995"/>
    <n v="493.24274999999989"/>
    <n v="563.7059999999999"/>
    <n v="1550.1914999999997"/>
    <n v="1"/>
    <n v="1"/>
    <n v="1"/>
    <n v="1"/>
    <n v="1"/>
    <n v="1"/>
    <n v="1"/>
    <n v="1"/>
    <m/>
    <m/>
    <n v="68.532749999999993"/>
    <m/>
    <n v="205.59824999999998"/>
    <n v="-5.791499999999985"/>
    <m/>
    <m/>
    <n v="68.532749999999993"/>
    <s v="n/a"/>
    <n v="274.13099999999997"/>
    <n v="274.13099999999997"/>
    <n v="-7.72199999999998"/>
    <m/>
    <m/>
    <n v="68.532749999999993"/>
    <m/>
    <n v="479.72924999999998"/>
    <n v="-13.513499999999908"/>
    <m/>
    <m/>
    <n v="68.532749999999993"/>
    <m/>
    <n v="548.26199999999994"/>
    <n v="-15.44399999999996"/>
    <n v="205.59824999999998"/>
    <n v="274.13099999999997"/>
    <n v="479.72924999999998"/>
    <n v="548.26199999999994"/>
    <n v="1507.7204999999999"/>
    <s v="NA"/>
    <m/>
  </r>
  <r>
    <s v="NSG"/>
    <x v="4"/>
    <x v="4"/>
    <s v="Core"/>
    <x v="3"/>
    <s v="Furnace (Replace Programmable)"/>
    <s v="SF"/>
    <x v="3"/>
    <s v="5.3.16"/>
    <s v="each"/>
    <n v="3"/>
    <n v="7"/>
    <n v="14"/>
    <n v="17"/>
    <s v="RS-HVC-ADTH-V08-230101"/>
    <m/>
    <n v="73.364999999999995"/>
    <n v="73.364999999999995"/>
    <n v="73.364999999999995"/>
    <n v="73.364999999999995"/>
    <n v="1"/>
    <n v="1"/>
    <n v="1"/>
    <n v="1"/>
    <n v="220.09499999999997"/>
    <n v="513.55499999999995"/>
    <n v="1027.1099999999999"/>
    <n v="1247.2049999999999"/>
    <n v="3007.9649999999997"/>
    <n v="1"/>
    <n v="1"/>
    <n v="1"/>
    <n v="1"/>
    <n v="1"/>
    <n v="1"/>
    <n v="1"/>
    <n v="1"/>
    <m/>
    <m/>
    <n v="71.35499999999999"/>
    <m/>
    <n v="214.06499999999997"/>
    <n v="-6.0300000000000011"/>
    <m/>
    <m/>
    <n v="71.35499999999999"/>
    <s v="n/a"/>
    <n v="499.4849999999999"/>
    <n v="499.4849999999999"/>
    <n v="-14.07000000000005"/>
    <m/>
    <m/>
    <n v="71.35499999999999"/>
    <m/>
    <n v="998.9699999999998"/>
    <n v="-28.1400000000001"/>
    <m/>
    <m/>
    <n v="71.35499999999999"/>
    <m/>
    <n v="1213.0349999999999"/>
    <n v="-34.170000000000073"/>
    <n v="214.06499999999997"/>
    <n v="499.4849999999999"/>
    <n v="998.9699999999998"/>
    <n v="1213.0349999999999"/>
    <n v="2925.5549999999994"/>
    <s v="NA"/>
    <m/>
  </r>
  <r>
    <s v="NSG"/>
    <x v="3"/>
    <x v="6"/>
    <s v="Partner Trade Ally Rebate"/>
    <x v="3"/>
    <s v="Boiler (Replace Unknown)"/>
    <s v="MF"/>
    <x v="3"/>
    <s v="5.3.16"/>
    <s v="each"/>
    <n v="8"/>
    <n v="8"/>
    <n v="8"/>
    <n v="8"/>
    <s v="RS-HVC-ADTH-V08-230101"/>
    <m/>
    <n v="83.011499999999998"/>
    <n v="83.011499999999998"/>
    <n v="83.011499999999998"/>
    <n v="83.011499999999998"/>
    <n v="0.9"/>
    <n v="0.9"/>
    <n v="0.9"/>
    <n v="0.9"/>
    <n v="597.68280000000004"/>
    <n v="597.68280000000004"/>
    <n v="597.68280000000004"/>
    <n v="597.68280000000004"/>
    <n v="2390.7312000000002"/>
    <n v="0.9"/>
    <n v="0.9"/>
    <n v="0.9"/>
    <n v="0.9"/>
    <n v="0.9"/>
    <n v="0.9"/>
    <n v="0.9"/>
    <n v="0.9"/>
    <m/>
    <m/>
    <n v="82.046250000000015"/>
    <m/>
    <n v="590.73300000000017"/>
    <n v="-6.9497999999998683"/>
    <m/>
    <m/>
    <n v="82.046250000000015"/>
    <s v="n/a"/>
    <n v="590.73300000000017"/>
    <n v="590.73300000000017"/>
    <n v="-6.9497999999998683"/>
    <m/>
    <m/>
    <n v="82.046250000000015"/>
    <m/>
    <n v="590.73300000000017"/>
    <n v="-6.9497999999998683"/>
    <m/>
    <m/>
    <n v="82.046250000000015"/>
    <m/>
    <n v="590.73300000000017"/>
    <n v="-6.9497999999998683"/>
    <n v="590.73300000000017"/>
    <n v="590.73300000000017"/>
    <n v="590.73300000000017"/>
    <n v="590.73300000000017"/>
    <n v="2362.9320000000007"/>
    <s v="NA"/>
    <m/>
  </r>
  <r>
    <s v="NSG"/>
    <x v="4"/>
    <x v="6"/>
    <s v="MF IHWAP"/>
    <x v="3"/>
    <s v="Furnace (Replace Programmable)"/>
    <s v="MF"/>
    <x v="3"/>
    <s v="5.3.16"/>
    <s v="each"/>
    <n v="6"/>
    <n v="8"/>
    <n v="14"/>
    <n v="15"/>
    <s v="RS-HVC-ADTH-V08-230101"/>
    <m/>
    <n v="47.687249999999999"/>
    <n v="47.687249999999999"/>
    <n v="47.687249999999999"/>
    <n v="47.687249999999999"/>
    <n v="1"/>
    <n v="1"/>
    <n v="1"/>
    <n v="1"/>
    <n v="286.12349999999998"/>
    <n v="381.49799999999999"/>
    <n v="667.62149999999997"/>
    <n v="715.30875000000003"/>
    <n v="2050.5517500000001"/>
    <n v="1"/>
    <n v="1"/>
    <n v="1"/>
    <n v="1"/>
    <n v="1"/>
    <n v="1"/>
    <n v="1"/>
    <n v="1"/>
    <m/>
    <m/>
    <n v="46.380749999999992"/>
    <m/>
    <n v="278.28449999999998"/>
    <n v="-7.8389999999999986"/>
    <m/>
    <m/>
    <n v="46.380749999999992"/>
    <s v="n/a"/>
    <n v="371.04599999999994"/>
    <n v="371.04599999999994"/>
    <n v="-10.452000000000055"/>
    <m/>
    <m/>
    <n v="46.380749999999992"/>
    <m/>
    <n v="649.33049999999992"/>
    <n v="-18.291000000000054"/>
    <m/>
    <m/>
    <n v="46.380749999999992"/>
    <m/>
    <n v="695.71124999999984"/>
    <n v="-19.597500000000196"/>
    <n v="278.28449999999998"/>
    <n v="371.04599999999994"/>
    <n v="649.33049999999992"/>
    <n v="695.71124999999984"/>
    <n v="1994.3722499999997"/>
    <s v="NA"/>
    <m/>
  </r>
  <r>
    <s v="NSG"/>
    <x v="3"/>
    <x v="6"/>
    <s v="Direct Install"/>
    <x v="3"/>
    <s v="Furnace (Replace Manual)"/>
    <s v="MF"/>
    <x v="3"/>
    <s v="5.3.16"/>
    <s v="each"/>
    <n v="8"/>
    <n v="8"/>
    <n v="8"/>
    <n v="8"/>
    <s v="RS-HVC-ADTH-V08-230101"/>
    <m/>
    <n v="67.938000000000002"/>
    <n v="67.938000000000002"/>
    <n v="67.938000000000002"/>
    <n v="67.938000000000002"/>
    <n v="0.9"/>
    <n v="0.9"/>
    <n v="0.9"/>
    <n v="0.9"/>
    <n v="489.15360000000004"/>
    <n v="489.15360000000004"/>
    <n v="489.15360000000004"/>
    <n v="489.15360000000004"/>
    <n v="1956.6144000000002"/>
    <n v="0.9"/>
    <n v="0.9"/>
    <n v="0.9"/>
    <n v="0.9"/>
    <n v="0.9"/>
    <n v="0.9"/>
    <n v="0.9"/>
    <n v="0.9"/>
    <m/>
    <m/>
    <n v="66.631500000000003"/>
    <m/>
    <n v="479.74680000000001"/>
    <n v="-9.4068000000000325"/>
    <m/>
    <m/>
    <n v="66.631500000000003"/>
    <s v="n/a"/>
    <n v="479.74680000000001"/>
    <n v="479.74680000000001"/>
    <n v="-9.4068000000000325"/>
    <m/>
    <m/>
    <n v="66.631500000000003"/>
    <m/>
    <n v="479.74680000000001"/>
    <n v="-9.4068000000000325"/>
    <m/>
    <m/>
    <n v="66.631500000000003"/>
    <m/>
    <n v="479.74680000000001"/>
    <n v="-9.4068000000000325"/>
    <n v="479.74680000000001"/>
    <n v="479.74680000000001"/>
    <n v="479.74680000000001"/>
    <n v="479.74680000000001"/>
    <n v="1918.9872"/>
    <s v="NA"/>
    <m/>
  </r>
  <r>
    <s v="NSG"/>
    <x v="3"/>
    <x v="6"/>
    <s v="Direct Install"/>
    <x v="3"/>
    <s v="Boiler (Replace Manual)"/>
    <s v="MF"/>
    <x v="3"/>
    <s v="5.3.16"/>
    <s v="each"/>
    <n v="6"/>
    <n v="6"/>
    <n v="6"/>
    <n v="6"/>
    <s v="RS-HVC-ADTH-V08-230101"/>
    <m/>
    <n v="100.386"/>
    <n v="100.386"/>
    <n v="100.386"/>
    <n v="100.386"/>
    <n v="0.9"/>
    <n v="0.9"/>
    <n v="0.9"/>
    <n v="0.9"/>
    <n v="542.08440000000007"/>
    <n v="542.08440000000007"/>
    <n v="542.08440000000007"/>
    <n v="542.08440000000007"/>
    <n v="2168.3376000000003"/>
    <n v="0.9"/>
    <n v="0.9"/>
    <n v="0.9"/>
    <n v="0.9"/>
    <n v="0.9"/>
    <n v="0.9"/>
    <n v="0.9"/>
    <n v="0.9"/>
    <m/>
    <m/>
    <n v="98.455500000000001"/>
    <m/>
    <n v="531.65969999999993"/>
    <n v="-10.424700000000144"/>
    <m/>
    <m/>
    <n v="98.455500000000001"/>
    <s v="n/a"/>
    <n v="531.65969999999993"/>
    <n v="531.65969999999993"/>
    <n v="-10.424700000000144"/>
    <m/>
    <m/>
    <n v="98.455500000000001"/>
    <m/>
    <n v="531.65969999999993"/>
    <n v="-10.424700000000144"/>
    <m/>
    <m/>
    <n v="98.455500000000001"/>
    <m/>
    <n v="531.65969999999993"/>
    <n v="-10.424700000000144"/>
    <n v="531.65969999999993"/>
    <n v="531.65969999999993"/>
    <n v="531.65969999999993"/>
    <n v="531.65969999999993"/>
    <n v="2126.6387999999997"/>
    <s v="NA"/>
    <m/>
  </r>
  <r>
    <s v="NSG"/>
    <x v="4"/>
    <x v="6"/>
    <s v="MF IHWAP"/>
    <x v="3"/>
    <s v="Boiler (Replace Manual)"/>
    <s v="MF"/>
    <x v="3"/>
    <s v="5.3.16"/>
    <s v="each"/>
    <n v="6"/>
    <n v="8"/>
    <n v="14"/>
    <n v="15"/>
    <s v="RS-HVC-ADTH-V08-230101"/>
    <m/>
    <n v="100.386"/>
    <n v="100.386"/>
    <n v="100.386"/>
    <n v="100.386"/>
    <n v="1"/>
    <n v="1"/>
    <n v="1"/>
    <n v="1"/>
    <n v="602.31600000000003"/>
    <n v="803.08799999999997"/>
    <n v="1405.404"/>
    <n v="1505.79"/>
    <n v="4316.598"/>
    <n v="1"/>
    <n v="1"/>
    <n v="1"/>
    <n v="1"/>
    <n v="1"/>
    <n v="1"/>
    <n v="1"/>
    <n v="1"/>
    <m/>
    <m/>
    <n v="98.455500000000001"/>
    <m/>
    <n v="590.73299999999995"/>
    <n v="-11.583000000000084"/>
    <m/>
    <m/>
    <n v="98.455500000000001"/>
    <s v="n/a"/>
    <n v="787.64400000000001"/>
    <n v="787.64400000000001"/>
    <n v="-15.44399999999996"/>
    <m/>
    <m/>
    <n v="98.455500000000001"/>
    <m/>
    <n v="1378.377"/>
    <n v="-27.027000000000044"/>
    <m/>
    <m/>
    <n v="98.455500000000001"/>
    <m/>
    <n v="1476.8325"/>
    <n v="-28.957499999999982"/>
    <n v="590.73299999999995"/>
    <n v="787.64400000000001"/>
    <n v="1378.377"/>
    <n v="1476.8325"/>
    <n v="4233.5864999999994"/>
    <s v="NA"/>
    <m/>
  </r>
  <r>
    <s v="NSG"/>
    <x v="4"/>
    <x v="6"/>
    <s v="MF IHWAP"/>
    <x v="3"/>
    <s v="Furnace (Replace Manual)"/>
    <s v="MF"/>
    <x v="3"/>
    <s v="5.3.16"/>
    <s v="each"/>
    <n v="9"/>
    <n v="11"/>
    <n v="20"/>
    <n v="23"/>
    <s v="RS-HVC-ADTH-V08-230101"/>
    <m/>
    <n v="67.938000000000002"/>
    <n v="67.938000000000002"/>
    <n v="67.938000000000002"/>
    <n v="67.938000000000002"/>
    <n v="1"/>
    <n v="1"/>
    <n v="1"/>
    <n v="1"/>
    <n v="611.44200000000001"/>
    <n v="747.31799999999998"/>
    <n v="1358.76"/>
    <n v="1562.5740000000001"/>
    <n v="4280.0940000000001"/>
    <n v="1"/>
    <n v="1"/>
    <n v="1"/>
    <n v="1"/>
    <n v="1"/>
    <n v="1"/>
    <n v="1"/>
    <n v="1"/>
    <m/>
    <m/>
    <n v="66.631500000000003"/>
    <m/>
    <n v="599.68349999999998"/>
    <n v="-11.758500000000026"/>
    <m/>
    <m/>
    <n v="66.631500000000003"/>
    <s v="n/a"/>
    <n v="732.94650000000001"/>
    <n v="732.94650000000001"/>
    <n v="-14.371499999999969"/>
    <m/>
    <m/>
    <n v="66.631500000000003"/>
    <m/>
    <n v="1332.63"/>
    <n v="-26.129999999999882"/>
    <m/>
    <m/>
    <n v="66.631500000000003"/>
    <m/>
    <n v="1532.5245"/>
    <n v="-30.04950000000008"/>
    <n v="599.68349999999998"/>
    <n v="732.94650000000001"/>
    <n v="1332.63"/>
    <n v="1532.5245"/>
    <n v="4197.7844999999998"/>
    <s v="NA"/>
    <m/>
  </r>
  <r>
    <s v="NSG"/>
    <x v="3"/>
    <x v="6"/>
    <s v="Direct Install"/>
    <x v="3"/>
    <s v="Furnace (Replace Programmable)"/>
    <s v="MF"/>
    <x v="3"/>
    <s v="5.3.16"/>
    <s v="each"/>
    <n v="11"/>
    <n v="11"/>
    <n v="11"/>
    <n v="11"/>
    <s v="RS-HVC-ADTH-V08-230101"/>
    <m/>
    <n v="47.687249999999999"/>
    <n v="47.687249999999999"/>
    <n v="47.687249999999999"/>
    <n v="47.687249999999999"/>
    <n v="0.9"/>
    <n v="0.9"/>
    <n v="0.9"/>
    <n v="0.9"/>
    <n v="472.10377500000004"/>
    <n v="472.10377500000004"/>
    <n v="472.10377500000004"/>
    <n v="472.10377500000004"/>
    <n v="1888.4151000000002"/>
    <n v="0.9"/>
    <n v="0.9"/>
    <n v="0.9"/>
    <n v="0.9"/>
    <n v="0.9"/>
    <n v="0.9"/>
    <n v="0.9"/>
    <n v="0.9"/>
    <m/>
    <m/>
    <n v="46.380749999999992"/>
    <m/>
    <n v="459.16942499999993"/>
    <n v="-12.934350000000109"/>
    <m/>
    <m/>
    <n v="46.380749999999992"/>
    <s v="n/a"/>
    <n v="459.16942499999993"/>
    <n v="459.16942499999993"/>
    <n v="-12.934350000000109"/>
    <m/>
    <m/>
    <n v="46.380749999999992"/>
    <m/>
    <n v="459.16942499999993"/>
    <n v="-12.934350000000109"/>
    <m/>
    <m/>
    <n v="46.380749999999992"/>
    <m/>
    <n v="459.16942499999993"/>
    <n v="-12.934350000000109"/>
    <n v="459.16942499999993"/>
    <n v="459.16942499999993"/>
    <n v="459.16942499999993"/>
    <n v="459.16942499999993"/>
    <n v="1836.6776999999997"/>
    <s v="NA"/>
    <m/>
  </r>
  <r>
    <s v="NSG"/>
    <x v="3"/>
    <x v="6"/>
    <s v="Direct Install"/>
    <x v="3"/>
    <s v="Boiler (Replace Programmable)"/>
    <s v="MF"/>
    <x v="3"/>
    <s v="5.3.16"/>
    <s v="each"/>
    <n v="10"/>
    <n v="10"/>
    <n v="10"/>
    <n v="10"/>
    <s v="RS-HVC-ADTH-V08-230101"/>
    <m/>
    <n v="70.463249999999988"/>
    <n v="70.463249999999988"/>
    <n v="70.463249999999988"/>
    <n v="70.463249999999988"/>
    <n v="0.9"/>
    <n v="0.9"/>
    <n v="0.9"/>
    <n v="0.9"/>
    <n v="634.16924999999992"/>
    <n v="634.16924999999992"/>
    <n v="634.16924999999992"/>
    <n v="634.16924999999992"/>
    <n v="2536.6769999999997"/>
    <n v="0.9"/>
    <n v="0.9"/>
    <n v="0.9"/>
    <n v="0.9"/>
    <n v="0.9"/>
    <n v="0.9"/>
    <n v="0.9"/>
    <n v="0.9"/>
    <m/>
    <m/>
    <n v="68.532749999999993"/>
    <m/>
    <n v="616.79474999999991"/>
    <n v="-17.374500000000012"/>
    <m/>
    <m/>
    <n v="68.532749999999993"/>
    <s v="n/a"/>
    <n v="616.79474999999991"/>
    <n v="616.79474999999991"/>
    <n v="-17.374500000000012"/>
    <m/>
    <m/>
    <n v="68.532749999999993"/>
    <m/>
    <n v="616.79474999999991"/>
    <n v="-17.374500000000012"/>
    <m/>
    <m/>
    <n v="68.532749999999993"/>
    <m/>
    <n v="616.79474999999991"/>
    <n v="-17.374500000000012"/>
    <n v="616.79474999999991"/>
    <n v="616.79474999999991"/>
    <n v="616.79474999999991"/>
    <n v="616.79474999999991"/>
    <n v="2467.1789999999996"/>
    <s v="NA"/>
    <m/>
  </r>
  <r>
    <s v="NSG"/>
    <x v="4"/>
    <x v="5"/>
    <s v="IHWAP"/>
    <x v="3"/>
    <s v="Furnace (Replace Programmable)"/>
    <s v="SF"/>
    <x v="3"/>
    <s v="5.3.16"/>
    <s v="each"/>
    <n v="10"/>
    <n v="11"/>
    <n v="14"/>
    <n v="15"/>
    <s v="RS-HVC-ADTH-V08-230101"/>
    <m/>
    <n v="73.364999999999995"/>
    <n v="73.364999999999995"/>
    <n v="73.364999999999995"/>
    <n v="73.364999999999995"/>
    <n v="1"/>
    <n v="1"/>
    <n v="1"/>
    <n v="1"/>
    <n v="733.65"/>
    <n v="807.01499999999999"/>
    <n v="1027.1099999999999"/>
    <n v="1100.4749999999999"/>
    <n v="3668.2499999999995"/>
    <n v="1"/>
    <n v="1"/>
    <n v="1"/>
    <n v="1"/>
    <n v="1"/>
    <n v="1"/>
    <n v="1"/>
    <n v="1"/>
    <m/>
    <m/>
    <n v="71.35499999999999"/>
    <m/>
    <n v="713.55"/>
    <n v="-20.100000000000023"/>
    <m/>
    <m/>
    <n v="71.35499999999999"/>
    <s v="n/a"/>
    <n v="784.90499999999986"/>
    <n v="784.90499999999986"/>
    <n v="-22.110000000000127"/>
    <m/>
    <m/>
    <n v="71.35499999999999"/>
    <m/>
    <n v="998.9699999999998"/>
    <n v="-28.1400000000001"/>
    <m/>
    <m/>
    <n v="71.35499999999999"/>
    <m/>
    <n v="1070.3249999999998"/>
    <n v="-30.150000000000091"/>
    <n v="713.55"/>
    <n v="784.90499999999986"/>
    <n v="998.9699999999998"/>
    <n v="1070.3249999999998"/>
    <n v="3567.7499999999995"/>
    <s v="NA"/>
    <m/>
  </r>
  <r>
    <s v="NSG"/>
    <x v="4"/>
    <x v="5"/>
    <s v="IHWAP"/>
    <x v="3"/>
    <s v="Furnace (Replace Manual)"/>
    <s v="SF"/>
    <x v="3"/>
    <s v="5.3.16"/>
    <s v="each"/>
    <n v="10"/>
    <n v="11"/>
    <n v="14"/>
    <n v="15"/>
    <s v="RS-HVC-ADTH-V08-230101"/>
    <m/>
    <n v="104.52"/>
    <n v="104.52"/>
    <n v="104.52"/>
    <n v="104.52"/>
    <n v="1"/>
    <n v="1"/>
    <n v="1"/>
    <n v="1"/>
    <n v="1045.2"/>
    <n v="1149.72"/>
    <n v="1463.28"/>
    <n v="1567.8"/>
    <n v="5226"/>
    <n v="1"/>
    <n v="1"/>
    <n v="1"/>
    <n v="1"/>
    <n v="1"/>
    <n v="1"/>
    <n v="1"/>
    <n v="1"/>
    <m/>
    <m/>
    <n v="102.50999999999999"/>
    <m/>
    <n v="1025.0999999999999"/>
    <n v="-20.100000000000136"/>
    <m/>
    <m/>
    <n v="102.50999999999999"/>
    <s v="n/a"/>
    <n v="1127.6099999999999"/>
    <n v="1127.6099999999999"/>
    <n v="-22.110000000000127"/>
    <m/>
    <m/>
    <n v="102.50999999999999"/>
    <m/>
    <n v="1435.1399999999999"/>
    <n v="-28.1400000000001"/>
    <m/>
    <m/>
    <n v="102.50999999999999"/>
    <m/>
    <n v="1537.6499999999999"/>
    <n v="-30.150000000000091"/>
    <n v="1025.0999999999999"/>
    <n v="1127.6099999999999"/>
    <n v="1435.1399999999999"/>
    <n v="1537.6499999999999"/>
    <n v="5125.5"/>
    <s v="NA"/>
    <m/>
  </r>
  <r>
    <s v="NSG"/>
    <x v="4"/>
    <x v="5"/>
    <s v="IHWAP"/>
    <x v="3"/>
    <s v="Boiler (Replace Manual)"/>
    <s v="SF"/>
    <x v="3"/>
    <s v="5.3.16"/>
    <s v="each"/>
    <n v="10"/>
    <n v="11"/>
    <n v="14"/>
    <n v="15"/>
    <s v="RS-HVC-ADTH-V08-230101"/>
    <m/>
    <n v="154.44"/>
    <n v="154.44"/>
    <n v="154.44"/>
    <n v="154.44"/>
    <n v="1"/>
    <n v="1"/>
    <n v="1"/>
    <n v="1"/>
    <n v="1544.4"/>
    <n v="1698.84"/>
    <n v="2162.16"/>
    <n v="2316.6"/>
    <n v="7722"/>
    <n v="1"/>
    <n v="1"/>
    <n v="1"/>
    <n v="1"/>
    <n v="1"/>
    <n v="1"/>
    <n v="1"/>
    <n v="1"/>
    <m/>
    <m/>
    <n v="151.47"/>
    <m/>
    <n v="1514.7"/>
    <n v="-29.700000000000045"/>
    <m/>
    <m/>
    <n v="151.47"/>
    <s v="n/a"/>
    <n v="1666.17"/>
    <n v="1666.17"/>
    <n v="-32.669999999999845"/>
    <m/>
    <m/>
    <n v="151.47"/>
    <m/>
    <n v="2120.58"/>
    <n v="-41.579999999999927"/>
    <m/>
    <m/>
    <n v="151.47"/>
    <m/>
    <n v="2272.0500000000002"/>
    <n v="-44.549999999999727"/>
    <n v="1514.7"/>
    <n v="1666.17"/>
    <n v="2120.58"/>
    <n v="2272.0500000000002"/>
    <n v="7573.5"/>
    <s v="NA"/>
    <m/>
  </r>
  <r>
    <s v="NSG"/>
    <x v="4"/>
    <x v="5"/>
    <s v="IHWAP"/>
    <x v="3"/>
    <s v="Boiler (Replace Programmable)"/>
    <s v="SF"/>
    <x v="3"/>
    <s v="5.3.16"/>
    <s v="each"/>
    <n v="10"/>
    <n v="11"/>
    <n v="14"/>
    <n v="15"/>
    <s v="RS-HVC-ADTH-V08-230101"/>
    <m/>
    <n v="108.40499999999999"/>
    <n v="108.40499999999999"/>
    <n v="108.40499999999999"/>
    <n v="108.40499999999999"/>
    <n v="1"/>
    <n v="1"/>
    <n v="1"/>
    <n v="1"/>
    <n v="1084.05"/>
    <n v="1192.4549999999999"/>
    <n v="1517.6699999999998"/>
    <n v="1626.0749999999998"/>
    <n v="5420.25"/>
    <n v="1"/>
    <n v="1"/>
    <n v="1"/>
    <n v="1"/>
    <n v="1"/>
    <n v="1"/>
    <n v="1"/>
    <n v="1"/>
    <m/>
    <m/>
    <n v="105.43499999999999"/>
    <m/>
    <n v="1054.3499999999999"/>
    <n v="-29.700000000000045"/>
    <m/>
    <m/>
    <n v="105.43499999999999"/>
    <s v="n/a"/>
    <n v="1159.7849999999999"/>
    <n v="1159.7849999999999"/>
    <n v="-32.670000000000073"/>
    <m/>
    <m/>
    <n v="105.43499999999999"/>
    <m/>
    <n v="1476.09"/>
    <n v="-41.579999999999927"/>
    <m/>
    <m/>
    <n v="105.43499999999999"/>
    <m/>
    <n v="1581.5249999999999"/>
    <n v="-44.549999999999955"/>
    <n v="1054.3499999999999"/>
    <n v="1159.7849999999999"/>
    <n v="1476.09"/>
    <n v="1581.5249999999999"/>
    <n v="5271.7499999999991"/>
    <s v="NA"/>
    <m/>
  </r>
  <r>
    <s v="NSG"/>
    <x v="3"/>
    <x v="4"/>
    <s v="Core"/>
    <x v="3"/>
    <s v="Furnace (Replace Manual)"/>
    <s v="SF"/>
    <x v="3"/>
    <s v="5.3.16"/>
    <s v="each"/>
    <n v="61"/>
    <n v="55"/>
    <n v="49"/>
    <n v="43"/>
    <s v="RS-HVC-ADTH-V08-230101"/>
    <m/>
    <n v="104.52"/>
    <n v="104.52"/>
    <n v="104.52"/>
    <n v="104.52"/>
    <n v="0.9"/>
    <n v="0.9"/>
    <n v="0.9"/>
    <n v="0.9"/>
    <n v="5738.1479999999992"/>
    <n v="5173.74"/>
    <n v="4609.3319999999994"/>
    <n v="4044.924"/>
    <n v="19566.143999999997"/>
    <n v="0.9"/>
    <n v="0.9"/>
    <n v="0.9"/>
    <n v="0.9"/>
    <n v="0.9"/>
    <n v="0.9"/>
    <n v="0.9"/>
    <n v="0.9"/>
    <m/>
    <m/>
    <n v="102.50999999999999"/>
    <m/>
    <n v="5627.799"/>
    <n v="-110.34899999999925"/>
    <m/>
    <m/>
    <n v="102.50999999999999"/>
    <s v="n/a"/>
    <n v="5074.2449999999999"/>
    <n v="5074.2449999999999"/>
    <n v="-99.494999999999891"/>
    <m/>
    <m/>
    <n v="102.50999999999999"/>
    <m/>
    <n v="4520.6909999999998"/>
    <n v="-88.640999999999622"/>
    <m/>
    <m/>
    <n v="102.50999999999999"/>
    <m/>
    <n v="3967.1369999999997"/>
    <n v="-77.787000000000262"/>
    <n v="5627.799"/>
    <n v="5074.2449999999999"/>
    <n v="4520.6909999999998"/>
    <n v="3967.1369999999997"/>
    <n v="19189.871999999999"/>
    <s v="NA"/>
    <m/>
  </r>
  <r>
    <s v="NSG"/>
    <x v="5"/>
    <x v="7"/>
    <s v="Partner Trade Ally Rebate"/>
    <x v="72"/>
    <n v="0"/>
    <s v="CI"/>
    <x v="3"/>
    <s v="4.4.48"/>
    <s v="each"/>
    <n v="5"/>
    <n v="4"/>
    <n v="4"/>
    <n v="4"/>
    <s v="CI-HVC-THST-V05-230101"/>
    <m/>
    <n v="196.26391399999997"/>
    <n v="196.26391399999997"/>
    <n v="196.26391399999997"/>
    <n v="196.26391399999997"/>
    <n v="0.97"/>
    <n v="0.97"/>
    <n v="0.97"/>
    <n v="0.97"/>
    <n v="951.87998289999985"/>
    <n v="761.50398631999985"/>
    <n v="761.50398631999985"/>
    <n v="761.50398631999985"/>
    <n v="3236.3919418599994"/>
    <n v="0.97"/>
    <n v="0.97"/>
    <n v="0.97"/>
    <n v="0.97"/>
    <n v="0.97"/>
    <n v="0.97"/>
    <n v="0.97"/>
    <n v="0.97"/>
    <m/>
    <m/>
    <n v="157.01113119999999"/>
    <m/>
    <n v="761.50398631999997"/>
    <n v="-190.37599657999988"/>
    <m/>
    <m/>
    <n v="157.01113119999999"/>
    <s v="n/a"/>
    <n v="609.20318905599993"/>
    <n v="609.20318905599993"/>
    <n v="-152.30079726399993"/>
    <m/>
    <m/>
    <n v="157.01113119999999"/>
    <m/>
    <n v="609.20318905599993"/>
    <n v="-152.30079726399993"/>
    <m/>
    <m/>
    <n v="157.01113119999999"/>
    <m/>
    <n v="609.20318905599993"/>
    <n v="-152.30079726399993"/>
    <n v="761.50398631999997"/>
    <n v="609.20318905599993"/>
    <n v="609.20318905599993"/>
    <n v="609.20318905599993"/>
    <n v="2589.1135534879995"/>
    <s v="NA"/>
    <m/>
  </r>
  <r>
    <s v="NSG"/>
    <x v="3"/>
    <x v="4"/>
    <s v="Core"/>
    <x v="3"/>
    <s v="Furnace (Replace Programmable)"/>
    <s v="SF"/>
    <x v="3"/>
    <s v="5.3.16"/>
    <s v="each"/>
    <n v="111"/>
    <n v="100"/>
    <n v="89"/>
    <n v="77"/>
    <s v="RS-HVC-ADTH-V08-230101"/>
    <m/>
    <n v="73.364999999999995"/>
    <n v="73.364999999999995"/>
    <n v="73.364999999999995"/>
    <n v="73.364999999999995"/>
    <n v="0.9"/>
    <n v="0.9"/>
    <n v="0.9"/>
    <n v="0.9"/>
    <n v="7329.1634999999997"/>
    <n v="6602.8499999999995"/>
    <n v="5876.5365000000002"/>
    <n v="5084.1944999999996"/>
    <n v="24892.744500000001"/>
    <n v="0.9"/>
    <n v="0.9"/>
    <n v="0.9"/>
    <n v="0.9"/>
    <n v="0.9"/>
    <n v="0.9"/>
    <n v="0.9"/>
    <n v="0.9"/>
    <m/>
    <m/>
    <n v="71.35499999999999"/>
    <m/>
    <n v="7128.3644999999988"/>
    <n v="-200.79900000000089"/>
    <m/>
    <m/>
    <n v="71.35499999999999"/>
    <s v="n/a"/>
    <n v="6421.9499999999989"/>
    <n v="6421.9499999999989"/>
    <n v="-180.90000000000055"/>
    <m/>
    <m/>
    <n v="71.35499999999999"/>
    <m/>
    <n v="5715.5355"/>
    <n v="-161.0010000000002"/>
    <m/>
    <m/>
    <n v="71.35499999999999"/>
    <m/>
    <n v="4944.901499999999"/>
    <n v="-139.29300000000057"/>
    <n v="7128.3644999999988"/>
    <n v="6421.9499999999989"/>
    <n v="5715.5355"/>
    <n v="4944.901499999999"/>
    <n v="24210.751499999998"/>
    <s v="NA"/>
    <m/>
  </r>
  <r>
    <m/>
    <x v="2"/>
    <x v="2"/>
    <m/>
    <x v="2"/>
    <m/>
    <m/>
    <x v="2"/>
    <m/>
    <m/>
    <m/>
    <m/>
    <m/>
    <m/>
    <m/>
    <m/>
    <m/>
    <m/>
    <m/>
    <m/>
    <m/>
    <m/>
    <m/>
    <m/>
    <m/>
    <m/>
    <m/>
    <m/>
    <m/>
    <m/>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5">
  <r>
    <m/>
    <x v="0"/>
    <n v="2"/>
    <n v="3"/>
    <x v="0"/>
    <n v="5"/>
    <n v="6"/>
    <x v="0"/>
    <n v="8"/>
    <n v="9"/>
    <n v="10"/>
    <n v="11"/>
    <n v="12"/>
    <n v="13"/>
    <n v="14"/>
    <n v="15"/>
    <n v="16"/>
    <n v="17"/>
    <n v="18"/>
    <n v="19"/>
    <n v="20"/>
    <n v="21"/>
    <n v="22"/>
    <n v="23"/>
    <n v="24"/>
    <n v="25"/>
    <n v="26"/>
    <n v="27"/>
    <n v="28"/>
    <n v="29"/>
    <n v="30"/>
    <n v="31"/>
    <n v="32"/>
    <n v="33"/>
    <n v="34"/>
    <n v="35"/>
    <n v="36"/>
    <n v="37"/>
    <n v="38"/>
    <n v="39"/>
    <n v="40"/>
    <n v="41"/>
    <n v="42"/>
    <n v="43"/>
    <n v="44"/>
    <n v="45"/>
    <n v="46"/>
    <n v="46"/>
    <n v="47"/>
    <n v="48"/>
    <n v="49"/>
    <n v="50"/>
    <n v="51"/>
    <n v="52"/>
    <n v="53"/>
    <n v="54"/>
    <n v="55"/>
    <n v="56"/>
    <n v="57"/>
    <n v="58"/>
    <n v="59"/>
    <n v="60"/>
    <n v="61"/>
    <n v="62"/>
    <n v="63"/>
    <n v="64"/>
    <n v="65"/>
    <n v="66"/>
    <n v="67"/>
  </r>
  <r>
    <m/>
    <x v="1"/>
    <s v="(b)"/>
    <s v="(c)"/>
    <x v="1"/>
    <s v="(e)"/>
    <s v="(f)"/>
    <x v="1"/>
    <s v="(h)"/>
    <s v="(i)"/>
    <s v="(j)"/>
    <s v="(k)"/>
    <s v="(l)"/>
    <s v="(m)"/>
    <s v="(n)"/>
    <s v="(o)"/>
    <s v="(p)"/>
    <s v="(q)"/>
    <s v="(r)"/>
    <s v="(s)"/>
    <s v="(t)"/>
    <s v="(u)"/>
    <s v="(v)"/>
    <s v="(w)"/>
    <s v="(x)"/>
    <s v="(y)"/>
    <s v="(z)"/>
    <s v="(aa)"/>
    <s v="(ab)"/>
    <s v="(ac)"/>
    <s v="(ad)"/>
    <s v="(ae)"/>
    <s v="(af)"/>
    <s v="(ag)"/>
    <s v="(ah)"/>
    <s v="(ai)"/>
    <s v="(aj)"/>
    <s v="(ak)"/>
    <s v="(al)"/>
    <s v="(am)"/>
    <s v="(an)"/>
    <s v="(ao)"/>
    <s v="(ap)"/>
    <s v="(aq)"/>
    <s v="(ar)"/>
    <s v="(as)"/>
    <s v="(at)"/>
    <s v="(at)"/>
    <s v="(au)"/>
    <s v="(av)"/>
    <s v="(aw)"/>
    <s v="(ax)"/>
    <s v="(ay)"/>
    <s v="(az)"/>
    <s v="(ba)"/>
    <s v="(bb)"/>
    <s v="(bc)"/>
    <s v="(bd)"/>
    <s v="(be)"/>
    <s v="(bf)"/>
    <s v="(bg)"/>
    <s v="(bh)"/>
    <s v="(bi)"/>
    <s v="(bj)"/>
    <s v="(bk)"/>
    <s v="(bl)"/>
    <s v="(bm)"/>
    <s v="(bn)"/>
    <s v="(bo)"/>
  </r>
  <r>
    <m/>
    <x v="2"/>
    <m/>
    <m/>
    <x v="2"/>
    <m/>
    <m/>
    <x v="2"/>
    <m/>
    <m/>
    <m/>
    <m/>
    <m/>
    <m/>
    <m/>
    <m/>
    <m/>
    <m/>
    <m/>
    <m/>
    <m/>
    <m/>
    <m/>
    <m/>
    <m/>
    <m/>
    <m/>
    <m/>
    <m/>
    <m/>
    <m/>
    <m/>
    <m/>
    <m/>
    <m/>
    <m/>
    <m/>
    <m/>
    <m/>
    <m/>
    <m/>
    <m/>
    <m/>
    <m/>
    <m/>
    <m/>
    <m/>
    <m/>
    <m/>
    <m/>
    <m/>
    <m/>
    <m/>
    <m/>
    <m/>
    <m/>
    <m/>
    <m/>
    <m/>
    <m/>
    <m/>
    <m/>
    <m/>
    <m/>
    <m/>
    <m/>
    <m/>
    <m/>
    <m/>
  </r>
  <r>
    <s v="NSG"/>
    <x v="3"/>
    <s v="Home Energy Rebate"/>
    <s v="Standard Rebate"/>
    <x v="3"/>
    <s v="Boiler (Replace Manual) - Non DI"/>
    <s v="SF"/>
    <x v="3"/>
    <s v="5.3.16"/>
    <s v="each"/>
    <n v="800"/>
    <n v="800"/>
    <n v="800"/>
    <n v="800"/>
    <s v="RS-HVC-ADTH-V08-230101"/>
    <m/>
    <n v="138.99600000000001"/>
    <n v="138.99600000000001"/>
    <n v="138.99600000000001"/>
    <n v="138.99600000000001"/>
    <n v="0.9"/>
    <n v="0.9"/>
    <n v="0.9"/>
    <n v="0.9"/>
    <n v="100077.12000000001"/>
    <n v="100077.12000000001"/>
    <n v="100077.12000000001"/>
    <n v="100077.12000000001"/>
    <n v="400308.48000000004"/>
    <n v="0.9"/>
    <n v="0.9"/>
    <n v="0.9"/>
    <n v="0.9"/>
    <n v="0.9"/>
    <n v="0.9"/>
    <n v="0.9"/>
    <n v="0.9"/>
    <m/>
    <m/>
    <n v="151.47"/>
    <m/>
    <n v="109058.40000000001"/>
    <n v="8981.2799999999988"/>
    <m/>
    <m/>
    <n v="151.47"/>
    <s v="n/a"/>
    <n v="109058.40000000001"/>
    <n v="109058.40000000001"/>
    <n v="8981.2799999999988"/>
    <m/>
    <m/>
    <n v="151.47"/>
    <m/>
    <n v="109058.40000000001"/>
    <n v="8981.2799999999988"/>
    <m/>
    <m/>
    <n v="151.47"/>
    <m/>
    <n v="109058.40000000001"/>
    <n v="8981.2799999999988"/>
    <n v="109058.40000000001"/>
    <n v="109058.40000000001"/>
    <n v="109058.40000000001"/>
    <n v="109058.40000000001"/>
    <n v="436233.60000000003"/>
    <s v="NA"/>
    <m/>
  </r>
  <r>
    <s v="NSG"/>
    <x v="3"/>
    <s v="Home Energy Jumpstart"/>
    <s v="Core"/>
    <x v="4"/>
    <s v="DHW"/>
    <s v="SF"/>
    <x v="3"/>
    <s v="5.4.1"/>
    <s v="Feet"/>
    <n v="5208"/>
    <n v="4686"/>
    <n v="4167"/>
    <n v="3645"/>
    <s v="RS-HWE-PINS-V06-230101"/>
    <m/>
    <n v="0.88266670517205537"/>
    <n v="0.88266670517205537"/>
    <n v="0.88266670517205537"/>
    <n v="0.88266670517205537"/>
    <n v="0.88"/>
    <n v="0.88"/>
    <n v="0.88"/>
    <n v="0.88"/>
    <n v="4045.2968164717367"/>
    <n v="3639.8350387839014"/>
    <n v="3236.7035011977205"/>
    <n v="2831.2417235098847"/>
    <n v="13753.077079963245"/>
    <n v="0.88"/>
    <n v="0.88"/>
    <n v="0.88"/>
    <n v="0.88"/>
    <n v="0.88"/>
    <n v="0.88"/>
    <n v="0.88"/>
    <n v="0.88"/>
    <m/>
    <m/>
    <n v="2.4087097696290445"/>
    <m/>
    <n v="11039.213222600696"/>
    <n v="6993.9164061289594"/>
    <m/>
    <m/>
    <n v="2.4087097696290445"/>
    <s v="Updated kit ISR"/>
    <n v="9932.7483028238967"/>
    <n v="9932.7483028238967"/>
    <n v="6292.9132640399948"/>
    <m/>
    <m/>
    <n v="2.4087097696290445"/>
    <m/>
    <n v="8832.6423768389213"/>
    <n v="5595.9388756412009"/>
    <m/>
    <m/>
    <n v="2.4087097696290445"/>
    <m/>
    <n v="7726.1774570621228"/>
    <n v="4894.9357335522382"/>
    <n v="11039.213222600696"/>
    <n v="9932.7483028238967"/>
    <n v="8832.6423768389213"/>
    <n v="7726.1774570621228"/>
    <n v="37530.781359325636"/>
    <s v="NA"/>
    <m/>
  </r>
  <r>
    <s v="NSG"/>
    <x v="3"/>
    <s v="Home Energy Rebate"/>
    <s v="Standard Rebate"/>
    <x v="3"/>
    <s v="Furnace (Replace Manual) - Non DI"/>
    <s v="SF"/>
    <x v="3"/>
    <s v="5.3.16"/>
    <s v="each"/>
    <n v="600"/>
    <n v="600"/>
    <n v="600"/>
    <n v="600"/>
    <s v="RS-HVC-ADTH-V08-230101"/>
    <m/>
    <n v="94.067999999999998"/>
    <n v="94.067999999999998"/>
    <n v="94.067999999999998"/>
    <n v="94.067999999999998"/>
    <n v="0.9"/>
    <n v="0.9"/>
    <n v="0.9"/>
    <n v="0.9"/>
    <n v="50796.719999999994"/>
    <n v="50796.719999999994"/>
    <n v="50796.719999999994"/>
    <n v="50796.719999999994"/>
    <n v="203186.87999999998"/>
    <n v="0.9"/>
    <n v="0.9"/>
    <n v="0.9"/>
    <n v="0.9"/>
    <n v="0.9"/>
    <n v="0.9"/>
    <n v="0.9"/>
    <n v="0.9"/>
    <m/>
    <m/>
    <n v="102.50999999999999"/>
    <m/>
    <n v="55355.399999999994"/>
    <n v="4558.68"/>
    <m/>
    <m/>
    <n v="102.50999999999999"/>
    <s v="n/a"/>
    <n v="55355.399999999994"/>
    <n v="55355.399999999994"/>
    <n v="4558.68"/>
    <m/>
    <m/>
    <n v="102.50999999999999"/>
    <m/>
    <n v="55355.399999999994"/>
    <n v="4558.68"/>
    <m/>
    <m/>
    <n v="102.50999999999999"/>
    <m/>
    <n v="55355.399999999994"/>
    <n v="4558.68"/>
    <n v="55355.399999999994"/>
    <n v="55355.399999999994"/>
    <n v="55355.399999999994"/>
    <n v="55355.399999999994"/>
    <n v="221421.59999999998"/>
    <s v="NA"/>
    <m/>
  </r>
  <r>
    <s v="NSG"/>
    <x v="4"/>
    <s v="Single Family"/>
    <s v="IE Kits"/>
    <x v="4"/>
    <s v="IE Kit"/>
    <s v="IE"/>
    <x v="3"/>
    <s v="5.4.1"/>
    <s v="linear ft"/>
    <n v="3360"/>
    <n v="3360"/>
    <n v="3360"/>
    <n v="3360"/>
    <s v="RS-HWE-PINS-V06-230101"/>
    <m/>
    <n v="0.49429335489635107"/>
    <n v="0.49429335489635107"/>
    <n v="0.49429335489635107"/>
    <n v="0.49429335489635107"/>
    <n v="1"/>
    <n v="1"/>
    <n v="1"/>
    <n v="1"/>
    <n v="1660.8256724517396"/>
    <n v="1660.8256724517396"/>
    <n v="1660.8256724517396"/>
    <n v="1660.8256724517396"/>
    <n v="6643.3026898069584"/>
    <n v="1"/>
    <n v="1"/>
    <n v="1"/>
    <n v="1"/>
    <n v="1"/>
    <n v="1"/>
    <n v="1"/>
    <n v="1"/>
    <m/>
    <m/>
    <n v="1.3488774709922651"/>
    <m/>
    <n v="4532.2283025340103"/>
    <n v="2871.4026300822707"/>
    <m/>
    <m/>
    <n v="1.2043548848145222"/>
    <s v="Updated kit ISR"/>
    <n v="4532.2283025340103"/>
    <n v="4046.6324129767945"/>
    <n v="2385.8067405250549"/>
    <m/>
    <m/>
    <n v="1.2043548848145222"/>
    <m/>
    <n v="4046.6324129767945"/>
    <n v="2385.8067405250549"/>
    <m/>
    <m/>
    <n v="1.2043548848145222"/>
    <m/>
    <n v="4046.6324129767945"/>
    <n v="2385.8067405250549"/>
    <n v="4532.2283025340103"/>
    <n v="4046.6324129767945"/>
    <n v="4046.6324129767945"/>
    <n v="4046.6324129767945"/>
    <n v="16672.125541464393"/>
    <s v="NA"/>
    <m/>
  </r>
  <r>
    <s v="NSG"/>
    <x v="3"/>
    <s v="Home Energy Rebate"/>
    <s v="Standard Rebate"/>
    <x v="3"/>
    <s v="Boiler (Replace Programmable) - Non DI"/>
    <s v="SF"/>
    <x v="3"/>
    <s v="5.3.16"/>
    <s v="each"/>
    <n v="400"/>
    <n v="400"/>
    <n v="400"/>
    <n v="400"/>
    <s v="RS-HVC-ADTH-V08-230101"/>
    <m/>
    <n v="97.564499999999995"/>
    <n v="97.564499999999995"/>
    <n v="97.564499999999995"/>
    <n v="97.564499999999995"/>
    <n v="0.9"/>
    <n v="0.9"/>
    <n v="0.9"/>
    <n v="0.9"/>
    <n v="35123.219999999994"/>
    <n v="35123.219999999994"/>
    <n v="35123.219999999994"/>
    <n v="35123.219999999994"/>
    <n v="140492.87999999998"/>
    <n v="0.9"/>
    <n v="0.9"/>
    <n v="0.9"/>
    <n v="0.9"/>
    <n v="0.9"/>
    <n v="0.9"/>
    <n v="0.9"/>
    <n v="0.9"/>
    <m/>
    <m/>
    <n v="105.43499999999999"/>
    <m/>
    <n v="37956.599999999991"/>
    <n v="2833.3799999999974"/>
    <m/>
    <m/>
    <n v="105.43499999999999"/>
    <s v="n/a"/>
    <n v="37956.599999999991"/>
    <n v="37956.599999999991"/>
    <n v="2833.3799999999974"/>
    <m/>
    <m/>
    <n v="105.43499999999999"/>
    <m/>
    <n v="37956.599999999991"/>
    <n v="2833.3799999999974"/>
    <m/>
    <m/>
    <n v="105.43499999999999"/>
    <m/>
    <n v="37956.599999999991"/>
    <n v="2833.3799999999974"/>
    <n v="37956.599999999991"/>
    <n v="37956.599999999991"/>
    <n v="37956.599999999991"/>
    <n v="37956.599999999991"/>
    <n v="151826.39999999997"/>
    <s v="NA"/>
    <m/>
  </r>
  <r>
    <s v="NSG"/>
    <x v="3"/>
    <s v="Multi-Family"/>
    <s v="Direct Install"/>
    <x v="4"/>
    <s v="DHW"/>
    <s v="MF"/>
    <x v="3"/>
    <s v="5.4.1"/>
    <s v="ft"/>
    <n v="1449"/>
    <n v="1449"/>
    <n v="1449"/>
    <n v="1449"/>
    <s v="RS-HWE-PINS-V06-230101"/>
    <m/>
    <n v="0.88266670517205537"/>
    <n v="0.88266670517205537"/>
    <n v="0.88266670517205537"/>
    <n v="0.88266670517205537"/>
    <n v="0.96"/>
    <n v="0.96"/>
    <n v="0.96"/>
    <n v="0.96"/>
    <n v="1227.8246935625359"/>
    <n v="1227.8246935625359"/>
    <n v="1227.8246935625359"/>
    <n v="1227.8246935625359"/>
    <n v="4911.2987742501437"/>
    <n v="0.96"/>
    <n v="0.96"/>
    <n v="0.96"/>
    <n v="0.96"/>
    <n v="0.96"/>
    <n v="0.96"/>
    <n v="0.96"/>
    <n v="0.96"/>
    <m/>
    <m/>
    <n v="2.4087097696290445"/>
    <m/>
    <n v="3350.6116379447858"/>
    <n v="2122.7869443822501"/>
    <m/>
    <m/>
    <n v="2.4087097696290445"/>
    <s v="Updated kit ISR"/>
    <n v="3350.6116379447858"/>
    <n v="3350.6116379447858"/>
    <n v="2122.7869443822501"/>
    <m/>
    <m/>
    <n v="2.4087097696290445"/>
    <m/>
    <n v="3350.6116379447858"/>
    <n v="2122.7869443822501"/>
    <m/>
    <m/>
    <n v="2.4087097696290445"/>
    <m/>
    <n v="3350.6116379447858"/>
    <n v="2122.7869443822501"/>
    <n v="3350.6116379447858"/>
    <n v="3350.6116379447858"/>
    <n v="3350.6116379447858"/>
    <n v="3350.6116379447858"/>
    <n v="13402.446551779143"/>
    <s v="NA"/>
    <m/>
  </r>
  <r>
    <s v="NSG"/>
    <x v="3"/>
    <s v="Home Energy Rebate"/>
    <s v="Standard Rebate"/>
    <x v="3"/>
    <s v="Furnace (Replace Programmable) - Non DI"/>
    <s v="SF"/>
    <x v="3"/>
    <s v="5.3.16"/>
    <s v="each"/>
    <n v="200"/>
    <n v="600"/>
    <n v="650"/>
    <n v="650"/>
    <s v="RS-HVC-ADTH-V08-230101"/>
    <m/>
    <n v="66.028499999999994"/>
    <n v="66.028499999999994"/>
    <n v="66.028499999999994"/>
    <n v="66.028499999999994"/>
    <n v="0.9"/>
    <n v="0.9"/>
    <n v="0.9"/>
    <n v="0.9"/>
    <n v="11885.13"/>
    <n v="35655.39"/>
    <n v="38626.672499999993"/>
    <n v="38626.672499999993"/>
    <n v="124793.86499999999"/>
    <n v="0.9"/>
    <n v="0.9"/>
    <n v="0.9"/>
    <n v="0.9"/>
    <n v="0.9"/>
    <n v="0.9"/>
    <n v="0.9"/>
    <n v="0.9"/>
    <m/>
    <m/>
    <n v="71.35499999999999"/>
    <m/>
    <n v="12843.899999999998"/>
    <n v="958.76999999999862"/>
    <m/>
    <m/>
    <n v="71.35499999999999"/>
    <s v="n/a"/>
    <n v="38531.699999999997"/>
    <n v="38531.699999999997"/>
    <n v="2876.3099999999977"/>
    <m/>
    <m/>
    <n v="71.35499999999999"/>
    <m/>
    <n v="41742.674999999996"/>
    <n v="3116.0025000000023"/>
    <m/>
    <m/>
    <n v="71.35499999999999"/>
    <m/>
    <n v="41742.674999999996"/>
    <n v="3116.0025000000023"/>
    <n v="12843.899999999998"/>
    <n v="38531.699999999997"/>
    <n v="41742.674999999996"/>
    <n v="41742.674999999996"/>
    <n v="134860.94999999998"/>
    <s v="NA"/>
    <m/>
  </r>
  <r>
    <s v="NSG"/>
    <x v="3"/>
    <s v="Home Energy Jumpstart"/>
    <s v="Core"/>
    <x v="5"/>
    <n v="0"/>
    <s v="SF"/>
    <x v="3"/>
    <s v="5.4.5"/>
    <s v="each"/>
    <n v="1155"/>
    <n v="1039"/>
    <n v="924"/>
    <n v="808"/>
    <s v="RS-HWE-LFSH-V11-230101"/>
    <m/>
    <n v="8.7892072937103034"/>
    <n v="8.7892072937103034"/>
    <n v="8.7892072937103034"/>
    <n v="8.7892072937103034"/>
    <n v="1.02"/>
    <n v="1.02"/>
    <n v="1.02"/>
    <n v="1.02"/>
    <n v="10354.565112720109"/>
    <n v="9314.6261057283064"/>
    <n v="8283.6520901760869"/>
    <n v="7243.7130831842842"/>
    <n v="35196.556391808786"/>
    <n v="1.02"/>
    <n v="1.02"/>
    <n v="1.02"/>
    <n v="1.02"/>
    <n v="1.02"/>
    <n v="1.02"/>
    <n v="1.02"/>
    <n v="1.02"/>
    <m/>
    <m/>
    <n v="9.4263779717191518"/>
    <m/>
    <n v="11105.215888482333"/>
    <n v="750.65077576222393"/>
    <m/>
    <m/>
    <n v="9.3291988173715321"/>
    <s v="Updated kit ISR"/>
    <n v="9989.8868468685232"/>
    <n v="9886.898322674002"/>
    <n v="572.27221694569562"/>
    <m/>
    <m/>
    <n v="9.3291988173715321"/>
    <m/>
    <n v="8792.583301396322"/>
    <n v="508.93121122023513"/>
    <m/>
    <m/>
    <n v="9.3291988173715321"/>
    <m/>
    <n v="7688.7524973249219"/>
    <n v="445.03941414063775"/>
    <n v="11105.215888482333"/>
    <n v="9886.898322674002"/>
    <n v="8792.583301396322"/>
    <n v="7688.7524973249219"/>
    <n v="37473.450009877582"/>
    <s v="NA"/>
    <m/>
  </r>
  <r>
    <s v="NSG"/>
    <x v="4"/>
    <s v="Multi-Family"/>
    <s v="IE Kits"/>
    <x v="4"/>
    <s v="IE Kit"/>
    <s v="IE"/>
    <x v="3"/>
    <s v="5.4.1"/>
    <s v="linear ft"/>
    <n v="840"/>
    <n v="840"/>
    <n v="840"/>
    <n v="840"/>
    <s v="RS-HWE-PINS-V06-230101"/>
    <m/>
    <n v="0.49429335489635107"/>
    <n v="0.49429335489635107"/>
    <n v="0.49429335489635107"/>
    <n v="0.49429335489635107"/>
    <n v="1"/>
    <n v="1"/>
    <n v="1"/>
    <n v="1"/>
    <n v="415.2064181129349"/>
    <n v="415.2064181129349"/>
    <n v="415.2064181129349"/>
    <n v="415.2064181129349"/>
    <n v="1660.8256724517396"/>
    <n v="1"/>
    <n v="1"/>
    <n v="1"/>
    <n v="1"/>
    <n v="1"/>
    <n v="1"/>
    <n v="1"/>
    <n v="1"/>
    <m/>
    <m/>
    <n v="1.3488774709922651"/>
    <m/>
    <n v="1133.0570756335026"/>
    <n v="717.85065752056767"/>
    <m/>
    <m/>
    <n v="1.2043548848145222"/>
    <s v="Updated kit ISR"/>
    <n v="1133.0570756335026"/>
    <n v="1011.6581032441986"/>
    <n v="596.45168513126373"/>
    <m/>
    <m/>
    <n v="1.2043548848145222"/>
    <m/>
    <n v="1011.6581032441986"/>
    <n v="596.45168513126373"/>
    <m/>
    <m/>
    <n v="1.2043548848145222"/>
    <m/>
    <n v="1011.6581032441986"/>
    <n v="596.45168513126373"/>
    <n v="1133.0570756335026"/>
    <n v="1011.6581032441986"/>
    <n v="1011.6581032441986"/>
    <n v="1011.6581032441986"/>
    <n v="4168.0313853660982"/>
    <s v="NA"/>
    <m/>
  </r>
  <r>
    <s v="NSG"/>
    <x v="4"/>
    <s v="Single Family"/>
    <s v="IE Kits"/>
    <x v="5"/>
    <s v="IE Kit"/>
    <s v="IE"/>
    <x v="3"/>
    <s v="5.4.5"/>
    <s v="each"/>
    <n v="560"/>
    <n v="560"/>
    <n v="560"/>
    <n v="560"/>
    <s v="RS-HWE-LFSH-V11-230101"/>
    <m/>
    <n v="6.255766610843156"/>
    <n v="6.255766610843156"/>
    <n v="6.255766610843156"/>
    <n v="6.255766610843156"/>
    <n v="1"/>
    <n v="1"/>
    <n v="1"/>
    <n v="1"/>
    <n v="3503.2293020721672"/>
    <n v="3503.2293020721672"/>
    <n v="3503.2293020721672"/>
    <n v="3503.2293020721672"/>
    <n v="14012.917208288669"/>
    <n v="1"/>
    <n v="1"/>
    <n v="1"/>
    <n v="1"/>
    <n v="1"/>
    <n v="1"/>
    <n v="1"/>
    <n v="1"/>
    <m/>
    <m/>
    <n v="7.2182559285293824"/>
    <m/>
    <n v="4042.2233199764541"/>
    <n v="538.99401790428692"/>
    <m/>
    <m/>
    <n v="7.2182559285293824"/>
    <s v="Updated kit ISR"/>
    <n v="4042.2233199764541"/>
    <n v="4042.2233199764541"/>
    <n v="538.99401790428692"/>
    <m/>
    <m/>
    <n v="7.2182559285293824"/>
    <m/>
    <n v="4042.2233199764541"/>
    <n v="538.99401790428692"/>
    <m/>
    <m/>
    <n v="7.2182559285293824"/>
    <m/>
    <n v="4042.2233199764541"/>
    <n v="538.99401790428692"/>
    <n v="4042.2233199764541"/>
    <n v="4042.2233199764541"/>
    <n v="4042.2233199764541"/>
    <n v="4042.2233199764541"/>
    <n v="16168.893279905817"/>
    <s v="NA"/>
    <m/>
  </r>
  <r>
    <s v="NSG"/>
    <x v="3"/>
    <s v="Multi-Family"/>
    <s v="Direct Install"/>
    <x v="4"/>
    <s v="Boiler"/>
    <s v="MF"/>
    <x v="3"/>
    <s v="5.3.2"/>
    <s v="ft"/>
    <n v="1002"/>
    <n v="1002"/>
    <n v="1002"/>
    <n v="1002"/>
    <s v="RS-HWE-PINS-V06-230101"/>
    <m/>
    <n v="0.63522312995661756"/>
    <n v="0.63522312995661756"/>
    <n v="0.63522312995661756"/>
    <n v="0.63522312995661756"/>
    <n v="0.96"/>
    <n v="0.96"/>
    <n v="0.96"/>
    <n v="0.96"/>
    <n v="611.03383316786949"/>
    <n v="611.03383316786949"/>
    <n v="611.03383316786949"/>
    <n v="611.03383316786949"/>
    <n v="2444.135332671478"/>
    <n v="0.96"/>
    <n v="0.96"/>
    <n v="0.96"/>
    <n v="0.96"/>
    <n v="0.96"/>
    <n v="0.96"/>
    <n v="0.96"/>
    <n v="0.96"/>
    <m/>
    <m/>
    <n v="1.0111854839419214"/>
    <m/>
    <n v="972.67954071341308"/>
    <n v="361.64570754554359"/>
    <m/>
    <m/>
    <n v="1.0111854839419214"/>
    <s v="n/a"/>
    <n v="972.67954071341308"/>
    <n v="972.67954071341308"/>
    <n v="361.64570754554359"/>
    <m/>
    <m/>
    <n v="1.0111854839419214"/>
    <m/>
    <n v="972.67954071341308"/>
    <n v="361.64570754554359"/>
    <m/>
    <m/>
    <n v="1.0111854839419214"/>
    <m/>
    <n v="972.67954071341308"/>
    <n v="361.64570754554359"/>
    <n v="972.67954071341308"/>
    <n v="972.67954071341308"/>
    <n v="972.67954071341308"/>
    <n v="972.67954071341308"/>
    <n v="3890.7181628536523"/>
    <s v="NA"/>
    <m/>
  </r>
  <r>
    <s v="NSG"/>
    <x v="3"/>
    <s v="Multi-Family"/>
    <s v="Direct Install"/>
    <x v="5"/>
    <n v="0"/>
    <s v="MF"/>
    <x v="3"/>
    <s v="5.4.5"/>
    <s v="each"/>
    <n v="405"/>
    <n v="405"/>
    <n v="405"/>
    <n v="405"/>
    <s v="RS-HWE-LFSH-V11-230101"/>
    <m/>
    <n v="11.319060638969999"/>
    <n v="11.319060638969999"/>
    <n v="11.319060638969999"/>
    <n v="11.319060638969999"/>
    <n v="1.01"/>
    <n v="1.01"/>
    <n v="1.01"/>
    <n v="1.01"/>
    <n v="4630.0617543706776"/>
    <n v="4630.0617543706776"/>
    <n v="4630.0617543706776"/>
    <n v="4630.0617543706776"/>
    <n v="18520.24701748271"/>
    <n v="1.01"/>
    <n v="1.01"/>
    <n v="1.01"/>
    <n v="1.01"/>
    <n v="1.01"/>
    <n v="1.01"/>
    <n v="1.01"/>
    <n v="1.01"/>
    <m/>
    <m/>
    <n v="12.139632199151192"/>
    <m/>
    <n v="4965.7165510627947"/>
    <n v="335.65479669211709"/>
    <m/>
    <m/>
    <n v="12.26741780124752"/>
    <s v="Updated kit ISR"/>
    <n v="4965.7165510627947"/>
    <n v="5017.9872516002979"/>
    <n v="387.92549722962031"/>
    <m/>
    <m/>
    <n v="12.26741780124752"/>
    <m/>
    <n v="5017.9872516002979"/>
    <n v="387.92549722962031"/>
    <m/>
    <m/>
    <n v="12.26741780124752"/>
    <m/>
    <n v="5017.9872516002979"/>
    <n v="387.92549722962031"/>
    <n v="4965.7165510627947"/>
    <n v="5017.9872516002979"/>
    <n v="5017.9872516002979"/>
    <n v="5017.9872516002979"/>
    <n v="20019.678305863687"/>
    <s v="NA"/>
    <m/>
  </r>
  <r>
    <s v="NSG"/>
    <x v="5"/>
    <s v="Small/Mid-Size Business"/>
    <s v="Rebates"/>
    <x v="6"/>
    <n v="0"/>
    <s v="CI"/>
    <x v="3"/>
    <s v="4.4.48"/>
    <s v="each"/>
    <n v="7"/>
    <n v="7"/>
    <n v="6"/>
    <n v="6"/>
    <s v="CI-HVC-THST-V05-230101"/>
    <m/>
    <n v="159.30512500000003"/>
    <n v="159.30512500000003"/>
    <n v="159.30512500000003"/>
    <n v="159.30512500000003"/>
    <n v="0.96"/>
    <n v="0.96"/>
    <n v="0.96"/>
    <n v="0.96"/>
    <n v="1070.5304400000002"/>
    <n v="1070.5304400000002"/>
    <n v="917.59752000000015"/>
    <n v="917.59752000000015"/>
    <n v="3976.255920000001"/>
    <n v="0.96"/>
    <n v="0.97"/>
    <n v="0.97"/>
    <n v="0.97"/>
    <n v="0.96"/>
    <n v="0.96"/>
    <n v="0.96"/>
    <n v="0.96"/>
    <m/>
    <m/>
    <n v="200.26929999999999"/>
    <m/>
    <n v="1345.809696"/>
    <n v="275.2792559999998"/>
    <m/>
    <m/>
    <n v="200.26929999999999"/>
    <s v="n/a"/>
    <n v="1345.809696"/>
    <n v="1345.809696"/>
    <n v="275.2792559999998"/>
    <m/>
    <m/>
    <n v="200.26929999999999"/>
    <m/>
    <n v="1153.551168"/>
    <n v="235.95364799999982"/>
    <m/>
    <m/>
    <n v="200.26929999999999"/>
    <m/>
    <n v="1153.551168"/>
    <n v="235.95364799999982"/>
    <n v="1345.809696"/>
    <n v="1345.809696"/>
    <n v="1153.551168"/>
    <n v="1153.551168"/>
    <n v="4998.7217280000004"/>
    <s v="NA"/>
    <m/>
  </r>
  <r>
    <s v="NSG"/>
    <x v="4"/>
    <s v="Single Family"/>
    <s v="IE Kits"/>
    <x v="7"/>
    <s v="IE Kit"/>
    <s v="IE"/>
    <x v="3"/>
    <s v="5.4.4"/>
    <s v="each"/>
    <n v="560"/>
    <n v="560"/>
    <n v="560"/>
    <n v="560"/>
    <s v="RS-HWE-LFFA-V12-230101"/>
    <m/>
    <n v="4.9752596113338461"/>
    <n v="4.9752596113338461"/>
    <n v="4.9752596113338461"/>
    <n v="4.9752596113338461"/>
    <n v="1"/>
    <n v="1"/>
    <n v="1"/>
    <n v="1"/>
    <n v="2786.1453823469537"/>
    <n v="2786.1453823469537"/>
    <n v="2786.1453823469537"/>
    <n v="2786.1453823469537"/>
    <n v="11144.581529387815"/>
    <n v="1"/>
    <n v="1"/>
    <n v="1"/>
    <n v="1"/>
    <n v="1"/>
    <n v="1"/>
    <n v="1"/>
    <n v="1"/>
    <m/>
    <m/>
    <n v="5.4101152071830771"/>
    <m/>
    <n v="3029.664516022523"/>
    <n v="243.51913367556926"/>
    <m/>
    <m/>
    <n v="5.4101152071830771"/>
    <s v="Updated kit ISR"/>
    <n v="3029.664516022523"/>
    <n v="3029.664516022523"/>
    <n v="243.51913367556926"/>
    <m/>
    <m/>
    <n v="5.4101152071830771"/>
    <m/>
    <n v="3029.664516022523"/>
    <n v="243.51913367556926"/>
    <m/>
    <m/>
    <n v="5.4101152071830771"/>
    <m/>
    <n v="3029.664516022523"/>
    <n v="243.51913367556926"/>
    <n v="3029.664516022523"/>
    <n v="3029.664516022523"/>
    <n v="3029.664516022523"/>
    <n v="3029.664516022523"/>
    <n v="12118.658064090092"/>
    <s v="NA"/>
    <m/>
  </r>
  <r>
    <s v="NSG"/>
    <x v="5"/>
    <s v="C&amp;I"/>
    <s v="Rebates"/>
    <x v="8"/>
    <n v="0"/>
    <s v="MF/CI/SMB"/>
    <x v="3"/>
    <s v="4.3.12"/>
    <s v="sqft"/>
    <n v="95.2"/>
    <n v="89.600000000000009"/>
    <n v="78.399999999999991"/>
    <n v="76.160000000000011"/>
    <s v="CI-HWE-TKIN-V02-220101"/>
    <m/>
    <n v="6.9553729140568805"/>
    <n v="6.9553729140568805"/>
    <n v="6.9553729140568805"/>
    <n v="6.9553729140568805"/>
    <n v="0.91"/>
    <n v="0.91"/>
    <n v="0.91"/>
    <n v="0.91"/>
    <n v="602.5578662905757"/>
    <n v="567.1132859205419"/>
    <n v="496.22412518047406"/>
    <n v="482.0462930324606"/>
    <n v="2147.9415704240523"/>
    <n v="0.91"/>
    <n v="0.91"/>
    <n v="0.91"/>
    <n v="0.91"/>
    <n v="0.91"/>
    <n v="0.91"/>
    <n v="0.91"/>
    <n v="0.91"/>
    <m/>
    <m/>
    <n v="9.7375220796796338"/>
    <m/>
    <n v="843.58101280680614"/>
    <n v="241.02314651623044"/>
    <m/>
    <m/>
    <n v="9.7375220796796338"/>
    <s v="n/a"/>
    <n v="793.95860028875882"/>
    <n v="793.95860028875882"/>
    <n v="226.84531436821692"/>
    <m/>
    <m/>
    <n v="9.7375220796796338"/>
    <m/>
    <n v="694.71377525266371"/>
    <n v="198.48965007218965"/>
    <m/>
    <m/>
    <n v="9.7375220796796338"/>
    <m/>
    <n v="674.86481024544491"/>
    <n v="192.81851721298432"/>
    <n v="843.58101280680614"/>
    <n v="793.95860028875882"/>
    <n v="694.71377525266371"/>
    <n v="674.86481024544491"/>
    <n v="3007.1181985936737"/>
    <s v="NA"/>
    <m/>
  </r>
  <r>
    <s v="NSG"/>
    <x v="3"/>
    <s v="Home Energy Jumpstart"/>
    <s v="Leave Behind Kit"/>
    <x v="9"/>
    <n v="0"/>
    <s v="SF"/>
    <x v="3"/>
    <s v="5.4.9"/>
    <s v="each"/>
    <n v="1000"/>
    <n v="900"/>
    <n v="800"/>
    <n v="700"/>
    <s v="RS-DHW-SHTM-V05-230101"/>
    <m/>
    <n v="3.7072463788108796"/>
    <n v="3.7072463788108796"/>
    <n v="3.7072463788108796"/>
    <n v="3.7072463788108796"/>
    <n v="0.88"/>
    <n v="0.88"/>
    <n v="0.88"/>
    <n v="0.88"/>
    <n v="3262.3768133535737"/>
    <n v="2936.1391320182165"/>
    <n v="2609.9014506828594"/>
    <n v="2283.6637693475018"/>
    <n v="11092.081165402151"/>
    <n v="0.88"/>
    <n v="0.88"/>
    <n v="0.88"/>
    <n v="0.88"/>
    <n v="0.88"/>
    <n v="0.88"/>
    <n v="0.88"/>
    <n v="0.88"/>
    <m/>
    <m/>
    <n v="3.9749540034683961"/>
    <m/>
    <n v="3497.9595230521886"/>
    <n v="235.58270969861496"/>
    <m/>
    <m/>
    <n v="3.9749540034683961"/>
    <s v="No savings impacts with existing measure assumptions."/>
    <n v="3148.1635707469695"/>
    <n v="3148.1635707469695"/>
    <n v="212.02443872875301"/>
    <m/>
    <m/>
    <n v="3.9749540034683961"/>
    <m/>
    <n v="2798.3676184417509"/>
    <n v="188.46616775889152"/>
    <m/>
    <m/>
    <n v="3.9749540034683961"/>
    <m/>
    <n v="2448.5716661365323"/>
    <n v="164.90789678903047"/>
    <n v="3497.9595230521886"/>
    <n v="3148.1635707469695"/>
    <n v="2798.3676184417509"/>
    <n v="2448.5716661365323"/>
    <n v="11893.062378377443"/>
    <s v="NA"/>
    <m/>
  </r>
  <r>
    <s v="NSG"/>
    <x v="3"/>
    <s v="Multi-Family"/>
    <s v="Direct Install"/>
    <x v="7"/>
    <n v="0"/>
    <s v="MF"/>
    <x v="3"/>
    <s v="5.4.4"/>
    <s v="each"/>
    <n v="335"/>
    <n v="335"/>
    <n v="335"/>
    <n v="335"/>
    <s v="RS-HWE-LFFA-V12-230101"/>
    <m/>
    <n v="7.8612856931203403"/>
    <n v="7.8612856931203403"/>
    <n v="7.8612856931203403"/>
    <n v="7.8612856931203403"/>
    <n v="1.01"/>
    <n v="1.01"/>
    <n v="1.01"/>
    <n v="1.01"/>
    <n v="2659.866014267267"/>
    <n v="2659.866014267267"/>
    <n v="2659.866014267267"/>
    <n v="2659.866014267267"/>
    <n v="10639.464057069068"/>
    <n v="1.01"/>
    <n v="1.01"/>
    <n v="1.01"/>
    <n v="1.01"/>
    <n v="1.01"/>
    <n v="1.01"/>
    <n v="1.01"/>
    <n v="1.01"/>
    <m/>
    <m/>
    <n v="8.5483903552439671"/>
    <m/>
    <n v="2892.3478766967964"/>
    <n v="232.48186242952943"/>
    <m/>
    <m/>
    <n v="8.7362670663482316"/>
    <s v="Updated kit ISR"/>
    <n v="2892.3478766967964"/>
    <n v="2955.9159618989243"/>
    <n v="296.04994763165723"/>
    <m/>
    <m/>
    <n v="8.7362670663482316"/>
    <m/>
    <n v="2955.9159618989243"/>
    <n v="296.04994763165723"/>
    <m/>
    <m/>
    <n v="8.7362670663482316"/>
    <m/>
    <n v="2955.9159618989243"/>
    <n v="296.04994763165723"/>
    <n v="2892.3478766967964"/>
    <n v="2955.9159618989243"/>
    <n v="2955.9159618989243"/>
    <n v="2955.9159618989243"/>
    <n v="11760.095762393568"/>
    <s v="NA"/>
    <m/>
  </r>
  <r>
    <s v="NSG"/>
    <x v="4"/>
    <s v="Multi-Family"/>
    <s v="MF IHWAP"/>
    <x v="4"/>
    <s v="DHW"/>
    <s v="MF"/>
    <x v="3"/>
    <s v="5.4.1"/>
    <s v="ft"/>
    <n v="144"/>
    <n v="180"/>
    <n v="324"/>
    <n v="360"/>
    <s v="RS-HWE-PINS-V06-230101"/>
    <m/>
    <n v="0.88266670517205537"/>
    <n v="0.88266670517205537"/>
    <n v="0.88266670517205537"/>
    <n v="0.88266670517205537"/>
    <n v="1"/>
    <n v="1"/>
    <n v="1"/>
    <n v="1"/>
    <n v="127.10400554477597"/>
    <n v="158.88000693096996"/>
    <n v="285.98401247574594"/>
    <n v="317.76001386193991"/>
    <n v="889.72803881343179"/>
    <n v="1"/>
    <n v="1"/>
    <n v="1"/>
    <n v="1"/>
    <n v="1"/>
    <n v="1"/>
    <n v="1"/>
    <n v="1"/>
    <m/>
    <m/>
    <n v="2.4087097696290445"/>
    <m/>
    <n v="346.85420682658241"/>
    <n v="219.75020128180643"/>
    <m/>
    <m/>
    <n v="2.4087097696290445"/>
    <s v="Updated kit ISR"/>
    <n v="433.56775853322802"/>
    <n v="433.56775853322802"/>
    <n v="274.68775160225806"/>
    <m/>
    <m/>
    <n v="2.4087097696290445"/>
    <m/>
    <n v="780.42196535981043"/>
    <n v="494.43795288406449"/>
    <m/>
    <m/>
    <n v="2.4087097696290445"/>
    <m/>
    <n v="867.13551706645603"/>
    <n v="549.37550320451612"/>
    <n v="346.85420682658241"/>
    <n v="433.56775853322802"/>
    <n v="780.42196535981043"/>
    <n v="867.13551706645603"/>
    <n v="2427.9794477860769"/>
    <s v="NA"/>
    <m/>
  </r>
  <r>
    <s v="NSG"/>
    <x v="4"/>
    <s v="Home Energy Jumpstart"/>
    <s v="Core"/>
    <x v="4"/>
    <s v="DHW"/>
    <s v="SF"/>
    <x v="3"/>
    <s v="5.4.1"/>
    <s v="Feet"/>
    <n v="132"/>
    <n v="327"/>
    <n v="657"/>
    <n v="789"/>
    <s v="RS-HWE-PINS-V06-230101"/>
    <m/>
    <n v="0.88266670517205537"/>
    <n v="0.88266670517205537"/>
    <n v="0.88266670517205537"/>
    <n v="0.88266670517205537"/>
    <n v="1"/>
    <n v="1"/>
    <n v="1"/>
    <n v="1"/>
    <n v="116.51200508271131"/>
    <n v="288.63201259126208"/>
    <n v="579.91202529804036"/>
    <n v="696.42403038075167"/>
    <n v="1681.4800733527654"/>
    <n v="1"/>
    <n v="1"/>
    <n v="1"/>
    <n v="1"/>
    <n v="1"/>
    <n v="1"/>
    <n v="1"/>
    <n v="1"/>
    <m/>
    <m/>
    <n v="2.4087097696290445"/>
    <m/>
    <n v="317.94968959103386"/>
    <n v="201.43768450832255"/>
    <m/>
    <m/>
    <n v="2.4087097696290445"/>
    <s v="Updated kit ISR"/>
    <n v="787.64809466869758"/>
    <n v="787.64809466869758"/>
    <n v="499.0160820774355"/>
    <m/>
    <m/>
    <n v="2.4087097696290445"/>
    <m/>
    <n v="1582.5223186462822"/>
    <n v="1002.6102933482418"/>
    <m/>
    <m/>
    <n v="2.4087097696290445"/>
    <m/>
    <n v="1900.472008237316"/>
    <n v="1204.0479778565643"/>
    <n v="317.94968959103386"/>
    <n v="787.64809466869758"/>
    <n v="1582.5223186462822"/>
    <n v="1900.472008237316"/>
    <n v="4588.5921111433299"/>
    <s v="NA"/>
    <m/>
  </r>
  <r>
    <s v="NSG"/>
    <x v="5"/>
    <s v="Small/Mid-Size Business"/>
    <s v="Assessments"/>
    <x v="10"/>
    <n v="0"/>
    <s v="CI"/>
    <x v="3"/>
    <s v="4.2.11"/>
    <s v="each"/>
    <n v="18"/>
    <n v="16"/>
    <n v="16"/>
    <n v="15"/>
    <s v="CI-FSE-CVOV-V02-180101"/>
    <m/>
    <n v="235.77765120000004"/>
    <n v="235.77765120000004"/>
    <n v="235.77765120000004"/>
    <n v="235.77765120000004"/>
    <n v="0.93"/>
    <n v="0.93"/>
    <n v="0.93"/>
    <n v="0.93"/>
    <n v="3946.9178810880007"/>
    <n v="3508.3714498560007"/>
    <n v="3508.3714498560007"/>
    <n v="3289.0982342400007"/>
    <n v="14252.759015040003"/>
    <n v="0.93"/>
    <n v="0.93"/>
    <n v="0.93"/>
    <n v="0.93"/>
    <n v="0.93"/>
    <n v="0.93"/>
    <n v="0.93"/>
    <n v="0.93"/>
    <m/>
    <m/>
    <n v="247.22970854399998"/>
    <m/>
    <n v="4138.6253210265595"/>
    <n v="191.70743993855876"/>
    <m/>
    <m/>
    <n v="247.22970854399998"/>
    <s v="n/a"/>
    <n v="3678.77806313472"/>
    <n v="3678.77806313472"/>
    <n v="170.40661327871931"/>
    <m/>
    <m/>
    <n v="247.22970854399998"/>
    <m/>
    <n v="3678.77806313472"/>
    <n v="170.40661327871931"/>
    <m/>
    <m/>
    <n v="247.22970854399998"/>
    <m/>
    <n v="3448.8544341888"/>
    <n v="159.75619994879935"/>
    <n v="4138.6253210265595"/>
    <n v="3678.77806313472"/>
    <n v="3678.77806313472"/>
    <n v="3448.8544341888"/>
    <n v="14945.0358814848"/>
    <s v="NA"/>
    <m/>
  </r>
  <r>
    <s v="NSG"/>
    <x v="5"/>
    <s v="Public Sector"/>
    <s v="Rebates"/>
    <x v="6"/>
    <n v="0"/>
    <s v="CI"/>
    <x v="3"/>
    <s v="4.4.48"/>
    <s v="each"/>
    <n v="5"/>
    <n v="5"/>
    <n v="5"/>
    <n v="5"/>
    <s v="CI-HVC-THST-V05-230101"/>
    <m/>
    <n v="159.30512500000003"/>
    <n v="159.30512500000003"/>
    <n v="159.30512500000003"/>
    <n v="159.30512500000003"/>
    <n v="0.93"/>
    <n v="0.93"/>
    <n v="0.93"/>
    <n v="0.93"/>
    <n v="740.76883125000029"/>
    <n v="740.76883125000029"/>
    <n v="740.76883125000029"/>
    <n v="740.76883125000029"/>
    <n v="2963.0753250000012"/>
    <n v="0.93"/>
    <n v="0.93"/>
    <n v="0.93"/>
    <n v="0.93"/>
    <n v="0.93"/>
    <n v="0.93"/>
    <n v="0.93"/>
    <n v="0.93"/>
    <m/>
    <m/>
    <n v="200.26929999999999"/>
    <m/>
    <n v="931.2522449999999"/>
    <n v="190.48341374999961"/>
    <m/>
    <m/>
    <n v="200.26929999999999"/>
    <s v="n/a"/>
    <n v="931.2522449999999"/>
    <n v="931.2522449999999"/>
    <n v="190.48341374999961"/>
    <m/>
    <m/>
    <n v="200.26929999999999"/>
    <m/>
    <n v="931.2522449999999"/>
    <n v="190.48341374999961"/>
    <m/>
    <m/>
    <n v="200.26929999999999"/>
    <m/>
    <n v="931.2522449999999"/>
    <n v="190.48341374999961"/>
    <n v="931.2522449999999"/>
    <n v="931.2522449999999"/>
    <n v="931.2522449999999"/>
    <n v="931.2522449999999"/>
    <n v="3725.0089799999996"/>
    <s v="NA"/>
    <m/>
  </r>
  <r>
    <s v="NSG"/>
    <x v="4"/>
    <s v="Single Family"/>
    <s v="IE Kits"/>
    <x v="9"/>
    <s v="IE Kit"/>
    <s v="IE"/>
    <x v="3"/>
    <s v="5.4.9"/>
    <s v="each"/>
    <n v="560"/>
    <n v="560"/>
    <n v="560"/>
    <n v="560"/>
    <s v="RS-DHW-SHTM-V05-230101"/>
    <m/>
    <n v="3.7072463788108796"/>
    <n v="3.7072463788108796"/>
    <n v="3.7072463788108796"/>
    <n v="3.7072463788108796"/>
    <n v="1"/>
    <n v="1"/>
    <n v="1"/>
    <n v="1"/>
    <n v="2076.0579721340928"/>
    <n v="2076.0579721340928"/>
    <n v="2076.0579721340928"/>
    <n v="2076.0579721340928"/>
    <n v="8304.2318885363711"/>
    <n v="1"/>
    <n v="1"/>
    <n v="1"/>
    <n v="1"/>
    <n v="1"/>
    <n v="1"/>
    <n v="1"/>
    <n v="1"/>
    <m/>
    <m/>
    <n v="3.9749540034683961"/>
    <m/>
    <n v="2225.9742419423019"/>
    <n v="149.91626980820911"/>
    <m/>
    <m/>
    <n v="3.9749540034683961"/>
    <s v="No savings impacts with existing measure assumptions."/>
    <n v="2225.9742419423019"/>
    <n v="2225.9742419423019"/>
    <n v="149.91626980820911"/>
    <m/>
    <m/>
    <n v="3.9749540034683961"/>
    <m/>
    <n v="2225.9742419423019"/>
    <n v="149.91626980820911"/>
    <m/>
    <m/>
    <n v="3.9749540034683961"/>
    <m/>
    <n v="2225.9742419423019"/>
    <n v="149.91626980820911"/>
    <n v="2225.9742419423019"/>
    <n v="2225.9742419423019"/>
    <n v="2225.9742419423019"/>
    <n v="2225.9742419423019"/>
    <n v="8903.8969677692075"/>
    <s v="NA"/>
    <m/>
  </r>
  <r>
    <s v="NSG"/>
    <x v="5"/>
    <s v="Small/Mid-Size Business"/>
    <s v="Rebates"/>
    <x v="8"/>
    <n v="0"/>
    <s v="MF/CI/SMB"/>
    <x v="3"/>
    <s v="4.3.12"/>
    <s v="sqft"/>
    <n v="56"/>
    <n v="56"/>
    <n v="56"/>
    <n v="56"/>
    <s v="CI-HWE-TKIN-V02-220101"/>
    <m/>
    <n v="6.9553729140568805"/>
    <n v="6.9553729140568805"/>
    <n v="6.9553729140568805"/>
    <n v="6.9553729140568805"/>
    <n v="0.93"/>
    <n v="0.93"/>
    <n v="0.93"/>
    <n v="0.93"/>
    <n v="362.23582136408237"/>
    <n v="362.23582136408237"/>
    <n v="362.23582136408237"/>
    <n v="362.23582136408237"/>
    <n v="1448.9432854563295"/>
    <n v="0.93"/>
    <n v="0.93"/>
    <n v="0.93"/>
    <n v="0.93"/>
    <n v="0.93"/>
    <n v="0.93"/>
    <n v="0.93"/>
    <n v="0.93"/>
    <m/>
    <m/>
    <n v="9.7375220796796338"/>
    <m/>
    <n v="507.13014990971533"/>
    <n v="144.89432854563296"/>
    <m/>
    <m/>
    <n v="9.7375220796796338"/>
    <s v="n/a"/>
    <n v="507.13014990971533"/>
    <n v="507.13014990971533"/>
    <n v="144.89432854563296"/>
    <m/>
    <m/>
    <n v="9.7375220796796338"/>
    <m/>
    <n v="507.13014990971533"/>
    <n v="144.89432854563296"/>
    <m/>
    <m/>
    <n v="9.7375220796796338"/>
    <m/>
    <n v="507.13014990971533"/>
    <n v="144.89432854563296"/>
    <n v="507.13014990971533"/>
    <n v="507.13014990971533"/>
    <n v="507.13014990971533"/>
    <n v="507.13014990971533"/>
    <n v="2028.5205996388613"/>
    <s v="NA"/>
    <m/>
  </r>
  <r>
    <s v="NSG"/>
    <x v="5"/>
    <s v="Small/Mid-Size Business"/>
    <s v="Partner Trade Ally Rebate"/>
    <x v="8"/>
    <n v="0"/>
    <s v="MF/CI/SMB"/>
    <x v="3"/>
    <s v="4.3.12"/>
    <s v="sqft"/>
    <n v="56"/>
    <n v="56"/>
    <n v="56"/>
    <n v="56"/>
    <s v="CI-HWE-TKIN-V02-220101"/>
    <m/>
    <n v="6.9553729140568805"/>
    <n v="6.9553729140568805"/>
    <n v="6.9553729140568805"/>
    <n v="6.9553729140568805"/>
    <n v="0.93"/>
    <n v="0.93"/>
    <n v="0.93"/>
    <n v="0.93"/>
    <n v="362.23582136408237"/>
    <n v="362.23582136408237"/>
    <n v="362.23582136408237"/>
    <n v="362.23582136408237"/>
    <n v="1448.9432854563295"/>
    <n v="0.93"/>
    <n v="0.93"/>
    <n v="0.93"/>
    <n v="0.93"/>
    <n v="0.93"/>
    <n v="0.93"/>
    <n v="0.93"/>
    <n v="0.93"/>
    <m/>
    <m/>
    <n v="9.7375220796796338"/>
    <m/>
    <n v="507.13014990971533"/>
    <n v="144.89432854563296"/>
    <m/>
    <m/>
    <n v="9.7375220796796338"/>
    <s v="n/a"/>
    <n v="507.13014990971533"/>
    <n v="507.13014990971533"/>
    <n v="144.89432854563296"/>
    <m/>
    <m/>
    <n v="9.7375220796796338"/>
    <m/>
    <n v="507.13014990971533"/>
    <n v="144.89432854563296"/>
    <m/>
    <m/>
    <n v="9.7375220796796338"/>
    <m/>
    <n v="507.13014990971533"/>
    <n v="144.89432854563296"/>
    <n v="507.13014990971533"/>
    <n v="507.13014990971533"/>
    <n v="507.13014990971533"/>
    <n v="507.13014990971533"/>
    <n v="2028.5205996388613"/>
    <s v="NA"/>
    <m/>
  </r>
  <r>
    <s v="NSG"/>
    <x v="5"/>
    <s v="Public Sector"/>
    <s v="Rebates"/>
    <x v="8"/>
    <n v="0"/>
    <s v="MF/CI/SMB"/>
    <x v="3"/>
    <s v="4.3.12"/>
    <s v="sqft"/>
    <n v="56"/>
    <n v="56"/>
    <n v="56"/>
    <n v="56"/>
    <s v="CI-HWE-TKIN-V02-220101"/>
    <m/>
    <n v="6.9553729140568805"/>
    <n v="6.9553729140568805"/>
    <n v="6.9553729140568805"/>
    <n v="6.9553729140568805"/>
    <n v="0.92"/>
    <n v="0.92"/>
    <n v="0.92"/>
    <n v="0.92"/>
    <n v="358.34081253221052"/>
    <n v="358.34081253221052"/>
    <n v="358.34081253221052"/>
    <n v="358.34081253221052"/>
    <n v="1433.3632501288421"/>
    <n v="0.92"/>
    <n v="0.92"/>
    <n v="0.92"/>
    <n v="0.92"/>
    <n v="0.92"/>
    <n v="0.92"/>
    <n v="0.92"/>
    <n v="0.92"/>
    <m/>
    <m/>
    <n v="9.7375220796796338"/>
    <m/>
    <n v="501.67713754509475"/>
    <n v="143.33632501288423"/>
    <m/>
    <m/>
    <n v="9.7375220796796338"/>
    <s v="n/a"/>
    <n v="501.67713754509475"/>
    <n v="501.67713754509475"/>
    <n v="143.33632501288423"/>
    <m/>
    <m/>
    <n v="9.7375220796796338"/>
    <m/>
    <n v="501.67713754509475"/>
    <n v="143.33632501288423"/>
    <m/>
    <m/>
    <n v="9.7375220796796338"/>
    <m/>
    <n v="501.67713754509475"/>
    <n v="143.33632501288423"/>
    <n v="501.67713754509475"/>
    <n v="501.67713754509475"/>
    <n v="501.67713754509475"/>
    <n v="501.67713754509475"/>
    <n v="2006.708550180379"/>
    <s v="NA"/>
    <m/>
  </r>
  <r>
    <s v="NSG"/>
    <x v="3"/>
    <s v="Multi-Family"/>
    <s v="Partner Trade Ally Rebate"/>
    <x v="8"/>
    <n v="0"/>
    <s v="MF/CI/SMB"/>
    <x v="3"/>
    <s v="4.3.12"/>
    <s v="sqft"/>
    <n v="56"/>
    <n v="56"/>
    <n v="56"/>
    <n v="56"/>
    <s v="CI-HWE-TKIN-V02-220101"/>
    <m/>
    <n v="6.9553729140568805"/>
    <n v="6.9553729140568805"/>
    <n v="6.9553729140568805"/>
    <n v="6.9553729140568805"/>
    <n v="0.87"/>
    <n v="0.87"/>
    <n v="0.87"/>
    <n v="0.87"/>
    <n v="338.86576837285122"/>
    <n v="338.86576837285122"/>
    <n v="338.86576837285122"/>
    <n v="338.86576837285122"/>
    <n v="1355.4630734914049"/>
    <n v="0.87"/>
    <n v="0.87"/>
    <n v="0.87"/>
    <n v="0.87"/>
    <n v="0.87"/>
    <n v="0.87"/>
    <n v="0.87"/>
    <n v="0.87"/>
    <m/>
    <m/>
    <n v="9.7375220796796338"/>
    <m/>
    <n v="474.41207572199176"/>
    <n v="135.54630734914053"/>
    <m/>
    <m/>
    <n v="9.7375220796796338"/>
    <s v="n/a"/>
    <n v="474.41207572199176"/>
    <n v="474.41207572199176"/>
    <n v="135.54630734914053"/>
    <m/>
    <m/>
    <n v="9.7375220796796338"/>
    <m/>
    <n v="474.41207572199176"/>
    <n v="135.54630734914053"/>
    <m/>
    <m/>
    <n v="9.7375220796796338"/>
    <m/>
    <n v="474.41207572199176"/>
    <n v="135.54630734914053"/>
    <n v="474.41207572199176"/>
    <n v="474.41207572199176"/>
    <n v="474.41207572199176"/>
    <n v="474.41207572199176"/>
    <n v="1897.648302887967"/>
    <s v="NA"/>
    <m/>
  </r>
  <r>
    <s v="NSG"/>
    <x v="4"/>
    <s v="Multi-Family"/>
    <s v="IE Kits"/>
    <x v="5"/>
    <s v="IE Kit"/>
    <s v="IE"/>
    <x v="3"/>
    <s v="5.4.5"/>
    <s v="each"/>
    <n v="140"/>
    <n v="140"/>
    <n v="140"/>
    <n v="140"/>
    <s v="RS-HWE-LFSH-V11-230101"/>
    <m/>
    <n v="6.255766610843156"/>
    <n v="6.255766610843156"/>
    <n v="6.255766610843156"/>
    <n v="6.255766610843156"/>
    <n v="1"/>
    <n v="1"/>
    <n v="1"/>
    <n v="1"/>
    <n v="875.80732551804181"/>
    <n v="875.80732551804181"/>
    <n v="875.80732551804181"/>
    <n v="875.80732551804181"/>
    <n v="3503.2293020721672"/>
    <n v="1"/>
    <n v="1"/>
    <n v="1"/>
    <n v="1"/>
    <n v="1"/>
    <n v="1"/>
    <n v="1"/>
    <n v="1"/>
    <m/>
    <m/>
    <n v="7.2182559285293824"/>
    <m/>
    <n v="1010.5558299941135"/>
    <n v="134.74850447607173"/>
    <m/>
    <m/>
    <n v="7.2182559285293824"/>
    <s v="Updated kit ISR"/>
    <n v="1010.5558299941135"/>
    <n v="1010.5558299941135"/>
    <n v="134.74850447607173"/>
    <m/>
    <m/>
    <n v="7.2182559285293824"/>
    <m/>
    <n v="1010.5558299941135"/>
    <n v="134.74850447607173"/>
    <m/>
    <m/>
    <n v="7.2182559285293824"/>
    <m/>
    <n v="1010.5558299941135"/>
    <n v="134.74850447607173"/>
    <n v="1010.5558299941135"/>
    <n v="1010.5558299941135"/>
    <n v="1010.5558299941135"/>
    <n v="1010.5558299941135"/>
    <n v="4042.2233199764541"/>
    <s v="NA"/>
    <m/>
  </r>
  <r>
    <s v="NSG"/>
    <x v="3"/>
    <s v="Multi-Family"/>
    <s v="Direct Install"/>
    <x v="11"/>
    <n v="0"/>
    <s v="MF"/>
    <x v="3"/>
    <s v="5.4.4"/>
    <s v="each"/>
    <n v="447"/>
    <n v="447"/>
    <n v="447"/>
    <n v="447"/>
    <s v="RS-HWE-LFFA-V12-230101"/>
    <m/>
    <n v="1.5695120815920003"/>
    <n v="1.5695120815920003"/>
    <n v="1.5695120815920003"/>
    <n v="1.5695120815920003"/>
    <n v="1.01"/>
    <n v="1.01"/>
    <n v="1.01"/>
    <n v="1.01"/>
    <n v="708.58761947634036"/>
    <n v="708.58761947634036"/>
    <n v="708.58761947634036"/>
    <n v="708.58761947634036"/>
    <n v="2834.3504779053615"/>
    <n v="1.01"/>
    <n v="1.01"/>
    <n v="1.01"/>
    <n v="1.01"/>
    <n v="1.01"/>
    <n v="1.01"/>
    <n v="1.01"/>
    <n v="1.01"/>
    <m/>
    <m/>
    <n v="1.8113454036983285"/>
    <m/>
    <n v="817.76810940768439"/>
    <n v="109.18048993134403"/>
    <m/>
    <m/>
    <n v="1.773211816252048"/>
    <s v="Updated kit ISR"/>
    <n v="817.76810940768439"/>
    <n v="800.55193868331207"/>
    <n v="91.964319206971709"/>
    <m/>
    <m/>
    <n v="1.773211816252048"/>
    <m/>
    <n v="800.55193868331207"/>
    <n v="91.964319206971709"/>
    <m/>
    <m/>
    <n v="1.773211816252048"/>
    <m/>
    <n v="800.55193868331207"/>
    <n v="91.964319206971709"/>
    <n v="817.76810940768439"/>
    <n v="800.55193868331207"/>
    <n v="800.55193868331207"/>
    <n v="800.55193868331207"/>
    <n v="3219.4239254576205"/>
    <s v="NA"/>
    <m/>
  </r>
  <r>
    <s v="NSG"/>
    <x v="5"/>
    <s v="C&amp;I"/>
    <s v="Rebates"/>
    <x v="12"/>
    <s v="≥75 MBH, ≥88% TE "/>
    <s v="CI"/>
    <x v="3"/>
    <s v="4.3.1"/>
    <s v="MBH"/>
    <n v="850"/>
    <n v="800"/>
    <n v="700"/>
    <n v="680"/>
    <s v="CI-HWE-STWH-V09-230101"/>
    <m/>
    <n v="2.4977693963210257"/>
    <n v="2.4977693963210257"/>
    <n v="2.4977693963210257"/>
    <n v="2.4977693963210257"/>
    <n v="0.91"/>
    <n v="0.91"/>
    <n v="0.91"/>
    <n v="0.91"/>
    <n v="1932.0246280543133"/>
    <n v="1818.3761205217068"/>
    <n v="1591.0791054564934"/>
    <n v="1545.6197024434507"/>
    <n v="6887.0995564759642"/>
    <n v="0.91"/>
    <n v="0.91"/>
    <n v="0.91"/>
    <n v="0.91"/>
    <n v="0.91"/>
    <n v="0.91"/>
    <n v="0.91"/>
    <n v="0.91"/>
    <m/>
    <m/>
    <n v="2.6035838480037183"/>
    <m/>
    <n v="2013.8721064308761"/>
    <n v="81.847478376562776"/>
    <m/>
    <m/>
    <n v="2.6035838480037183"/>
    <s v="n/a"/>
    <n v="1895.409041346707"/>
    <n v="1895.409041346707"/>
    <n v="77.032920825000247"/>
    <m/>
    <m/>
    <n v="2.6035838480037183"/>
    <m/>
    <n v="1658.4829111783686"/>
    <n v="67.403805721875187"/>
    <m/>
    <m/>
    <n v="2.6035838480037183"/>
    <m/>
    <n v="1611.097685144701"/>
    <n v="65.477982701250312"/>
    <n v="2013.8721064308761"/>
    <n v="1895.409041346707"/>
    <n v="1658.4829111783686"/>
    <n v="1611.097685144701"/>
    <n v="7178.8617441006527"/>
    <s v="NA"/>
    <m/>
  </r>
  <r>
    <s v="NSG"/>
    <x v="3"/>
    <s v="Home Energy Jumpstart"/>
    <s v="Core"/>
    <x v="11"/>
    <n v="0"/>
    <s v="SF"/>
    <x v="3"/>
    <s v="5.4.4"/>
    <s v="each"/>
    <n v="797"/>
    <n v="717"/>
    <n v="637"/>
    <n v="558"/>
    <s v="RS-HWE-LFFA-V12-230101"/>
    <m/>
    <n v="0.90936082797455842"/>
    <n v="0.90936082797455842"/>
    <n v="0.90936082797455842"/>
    <n v="0.90936082797455842"/>
    <n v="1.02"/>
    <n v="1.02"/>
    <n v="1.02"/>
    <n v="1.02"/>
    <n v="739.2557914936375"/>
    <n v="665.05194793091357"/>
    <n v="590.84810436818964"/>
    <n v="517.57180884999968"/>
    <n v="2512.7276526427404"/>
    <n v="1.02"/>
    <n v="1.02"/>
    <n v="1.02"/>
    <n v="1.02"/>
    <n v="1.02"/>
    <n v="1.02"/>
    <n v="1.02"/>
    <n v="1.02"/>
    <m/>
    <m/>
    <n v="1.0053261226599404"/>
    <m/>
    <n v="817.26981815517195"/>
    <n v="78.014026661534444"/>
    <m/>
    <m/>
    <n v="0.98416136218288908"/>
    <s v="Updated kit ISR"/>
    <n v="735.23520654612082"/>
    <n v="719.75657061883408"/>
    <n v="54.704622687920505"/>
    <m/>
    <m/>
    <n v="0.98416136218288908"/>
    <m/>
    <n v="639.44900346471036"/>
    <n v="48.60089909652072"/>
    <m/>
    <m/>
    <n v="0.98416136218288908"/>
    <m/>
    <n v="560.14528090001318"/>
    <n v="42.573472050013493"/>
    <n v="817.26981815517195"/>
    <n v="719.75657061883408"/>
    <n v="639.44900346471036"/>
    <n v="560.14528090001318"/>
    <n v="2736.6206731387292"/>
    <s v="NA"/>
    <m/>
  </r>
  <r>
    <s v="NSG"/>
    <x v="3"/>
    <s v="Home Energy Jumpstart"/>
    <s v="Core"/>
    <x v="7"/>
    <n v="0"/>
    <s v="SF"/>
    <x v="3"/>
    <s v="5.4.4"/>
    <s v="each"/>
    <n v="99"/>
    <n v="89"/>
    <n v="79"/>
    <n v="69"/>
    <s v="RS-HWE-LFFA-V12-230101"/>
    <m/>
    <n v="8.5936302377584592"/>
    <n v="8.5936302377584592"/>
    <n v="8.5936302377584592"/>
    <n v="8.5936302377584592"/>
    <n v="1.02"/>
    <n v="1.02"/>
    <n v="1.02"/>
    <n v="1.02"/>
    <n v="867.7847814088492"/>
    <n v="780.12975298371293"/>
    <n v="692.47472455857667"/>
    <n v="604.81969613344029"/>
    <n v="2945.208955084579"/>
    <n v="1.02"/>
    <n v="1.02"/>
    <n v="1.02"/>
    <n v="1.02"/>
    <n v="1.02"/>
    <n v="1.02"/>
    <n v="1.02"/>
    <n v="1.02"/>
    <m/>
    <m/>
    <n v="9.3447444487707685"/>
    <m/>
    <n v="943.63229443687214"/>
    <n v="75.847513028022945"/>
    <m/>
    <m/>
    <n v="9.148012986691386"/>
    <s v="Updated kit ISR"/>
    <n v="848.31590105941041"/>
    <n v="830.4566189318441"/>
    <n v="50.326865948131172"/>
    <m/>
    <m/>
    <n v="9.148012986691386"/>
    <m/>
    <n v="737.14688646759191"/>
    <n v="44.672161909015244"/>
    <m/>
    <m/>
    <n v="9.148012986691386"/>
    <m/>
    <n v="643.83715400333972"/>
    <n v="39.017457869899431"/>
    <n v="943.63229443687214"/>
    <n v="830.4566189318441"/>
    <n v="737.14688646759191"/>
    <n v="643.83715400333972"/>
    <n v="3155.0729538396481"/>
    <s v="NA"/>
    <m/>
  </r>
  <r>
    <s v="NSG"/>
    <x v="4"/>
    <s v="Multi-Family"/>
    <s v="Whole Building - DI"/>
    <x v="4"/>
    <s v="DHW"/>
    <s v="MF"/>
    <x v="3"/>
    <s v="5.4.1"/>
    <s v="ft"/>
    <n v="45"/>
    <n v="45"/>
    <n v="45"/>
    <n v="45"/>
    <s v="RS-HWE-PINS-V06-230101"/>
    <m/>
    <n v="0.88266670517205537"/>
    <n v="0.88266670517205537"/>
    <n v="0.88266670517205537"/>
    <n v="0.88266670517205537"/>
    <n v="1"/>
    <n v="1"/>
    <n v="1"/>
    <n v="1"/>
    <n v="39.720001732742489"/>
    <n v="39.720001732742489"/>
    <n v="39.720001732742489"/>
    <n v="39.720001732742489"/>
    <n v="158.88000693096996"/>
    <n v="1"/>
    <n v="1"/>
    <n v="1"/>
    <n v="1"/>
    <n v="1"/>
    <n v="1"/>
    <n v="1"/>
    <n v="1"/>
    <m/>
    <m/>
    <n v="2.4087097696290445"/>
    <m/>
    <n v="108.391939633307"/>
    <n v="68.671937900564515"/>
    <m/>
    <m/>
    <n v="2.4087097696290445"/>
    <s v="Updated kit ISR"/>
    <n v="108.391939633307"/>
    <n v="108.391939633307"/>
    <n v="68.671937900564515"/>
    <m/>
    <m/>
    <n v="2.4087097696290445"/>
    <m/>
    <n v="108.391939633307"/>
    <n v="68.671937900564515"/>
    <m/>
    <m/>
    <n v="2.4087097696290445"/>
    <m/>
    <n v="108.391939633307"/>
    <n v="68.671937900564515"/>
    <n v="108.391939633307"/>
    <n v="108.391939633307"/>
    <n v="108.391939633307"/>
    <n v="108.391939633307"/>
    <n v="433.56775853322802"/>
    <s v="NA"/>
    <m/>
  </r>
  <r>
    <s v="NSG"/>
    <x v="4"/>
    <s v="Multi-Family"/>
    <s v="Whole Building - Public Housing"/>
    <x v="4"/>
    <s v="DHW"/>
    <s v="MF"/>
    <x v="3"/>
    <s v="5.4.1"/>
    <s v="each"/>
    <n v="45"/>
    <n v="45"/>
    <n v="45"/>
    <n v="45"/>
    <s v="RS-HWE-PINS-V06-230101"/>
    <m/>
    <n v="0.88266670517205537"/>
    <n v="0.88266670517205537"/>
    <n v="0.88266670517205537"/>
    <n v="0.88266670517205537"/>
    <n v="1"/>
    <n v="1"/>
    <n v="1"/>
    <n v="1"/>
    <n v="39.720001732742489"/>
    <n v="39.720001732742489"/>
    <n v="39.720001732742489"/>
    <n v="39.720001732742489"/>
    <n v="158.88000693096996"/>
    <n v="1"/>
    <n v="1"/>
    <n v="1"/>
    <n v="1"/>
    <n v="1"/>
    <n v="1"/>
    <n v="1"/>
    <n v="1"/>
    <m/>
    <m/>
    <n v="2.4087097696290445"/>
    <m/>
    <n v="108.391939633307"/>
    <n v="68.671937900564515"/>
    <m/>
    <m/>
    <n v="2.4087097696290445"/>
    <s v="Updated kit ISR"/>
    <n v="108.391939633307"/>
    <n v="108.391939633307"/>
    <n v="68.671937900564515"/>
    <m/>
    <m/>
    <n v="2.4087097696290445"/>
    <m/>
    <n v="108.391939633307"/>
    <n v="68.671937900564515"/>
    <m/>
    <m/>
    <n v="2.4087097696290445"/>
    <m/>
    <n v="108.391939633307"/>
    <n v="68.671937900564515"/>
    <n v="108.391939633307"/>
    <n v="108.391939633307"/>
    <n v="108.391939633307"/>
    <n v="108.391939633307"/>
    <n v="433.56775853322802"/>
    <s v="NA"/>
    <m/>
  </r>
  <r>
    <s v="NSG"/>
    <x v="3"/>
    <s v="Home Energy Rebate"/>
    <s v="Standard Rebate"/>
    <x v="13"/>
    <n v="0"/>
    <s v="SF"/>
    <x v="3"/>
    <s v="5.4.2"/>
    <s v="each"/>
    <n v="30"/>
    <n v="20"/>
    <n v="10"/>
    <n v="5"/>
    <s v="RS-HWE-GWHT-V10-220101"/>
    <m/>
    <n v="64.074938492834164"/>
    <n v="64.074938492834164"/>
    <n v="64.074938492834164"/>
    <n v="64.074938492834164"/>
    <n v="0.74"/>
    <n v="0.74"/>
    <n v="0.74"/>
    <n v="0.74"/>
    <n v="1422.4636345409185"/>
    <n v="948.30908969394568"/>
    <n v="474.15454484697284"/>
    <n v="237.07727242348642"/>
    <n v="3082.0045415053237"/>
    <n v="0.74"/>
    <n v="0.74"/>
    <n v="0.74"/>
    <n v="0.74"/>
    <n v="0.74"/>
    <n v="0.74"/>
    <n v="0.74"/>
    <n v="0.74"/>
    <m/>
    <m/>
    <n v="67.053069436867304"/>
    <m/>
    <n v="1488.5781414984542"/>
    <n v="66.114506957535696"/>
    <m/>
    <m/>
    <n v="67.053069436867304"/>
    <s v="n/a"/>
    <n v="992.38542766563603"/>
    <n v="992.38542766563603"/>
    <n v="44.07633797169035"/>
    <m/>
    <m/>
    <n v="67.053069436867304"/>
    <m/>
    <n v="496.19271383281801"/>
    <n v="22.038168985845175"/>
    <m/>
    <m/>
    <n v="67.053069436867304"/>
    <m/>
    <n v="248.09635691640901"/>
    <n v="11.019084492922588"/>
    <n v="1488.5781414984542"/>
    <n v="992.38542766563603"/>
    <n v="496.19271383281801"/>
    <n v="248.09635691640901"/>
    <n v="3225.2526399133171"/>
    <s v="NA"/>
    <m/>
  </r>
  <r>
    <s v="NSG"/>
    <x v="4"/>
    <s v="Multi-Family"/>
    <s v="IE Kits"/>
    <x v="7"/>
    <s v="IE Kit"/>
    <s v="IE"/>
    <x v="3"/>
    <s v="5.4.4"/>
    <s v="each"/>
    <n v="140"/>
    <n v="140"/>
    <n v="140"/>
    <n v="140"/>
    <s v="RS-HWE-LFFA-V12-230101"/>
    <m/>
    <n v="4.9752596113338461"/>
    <n v="4.9752596113338461"/>
    <n v="4.9752596113338461"/>
    <n v="4.9752596113338461"/>
    <n v="1"/>
    <n v="1"/>
    <n v="1"/>
    <n v="1"/>
    <n v="696.53634558673843"/>
    <n v="696.53634558673843"/>
    <n v="696.53634558673843"/>
    <n v="696.53634558673843"/>
    <n v="2786.1453823469537"/>
    <n v="1"/>
    <n v="1"/>
    <n v="1"/>
    <n v="1"/>
    <n v="1"/>
    <n v="1"/>
    <n v="1"/>
    <n v="1"/>
    <m/>
    <m/>
    <n v="5.4101152071830771"/>
    <m/>
    <n v="757.41612900563075"/>
    <n v="60.879783418892316"/>
    <m/>
    <m/>
    <n v="5.4101152071830771"/>
    <s v="Updated kit ISR"/>
    <n v="757.41612900563075"/>
    <n v="757.41612900563075"/>
    <n v="60.879783418892316"/>
    <m/>
    <m/>
    <n v="5.4101152071830771"/>
    <m/>
    <n v="757.41612900563075"/>
    <n v="60.879783418892316"/>
    <m/>
    <m/>
    <n v="5.4101152071830771"/>
    <m/>
    <n v="757.41612900563075"/>
    <n v="60.879783418892316"/>
    <n v="757.41612900563075"/>
    <n v="757.41612900563075"/>
    <n v="757.41612900563075"/>
    <n v="757.41612900563075"/>
    <n v="3029.664516022523"/>
    <s v="NA"/>
    <m/>
  </r>
  <r>
    <s v="NSG"/>
    <x v="5"/>
    <s v="Public Sector"/>
    <s v="Rebates"/>
    <x v="12"/>
    <s v="≥75 MBH, ≥88% TE "/>
    <s v="CI"/>
    <x v="3"/>
    <s v="4.3.1"/>
    <s v="MBH"/>
    <n v="500"/>
    <n v="500"/>
    <n v="500"/>
    <n v="500"/>
    <s v="CI-HWE-STWH-V09-230101"/>
    <m/>
    <n v="2.4977693963210257"/>
    <n v="2.4977693963210257"/>
    <n v="2.4977693963210257"/>
    <n v="2.4977693963210257"/>
    <n v="0.92"/>
    <n v="0.92"/>
    <n v="0.92"/>
    <n v="0.92"/>
    <n v="1148.973922307672"/>
    <n v="1148.973922307672"/>
    <n v="1148.973922307672"/>
    <n v="1148.973922307672"/>
    <n v="4595.8956892306878"/>
    <n v="0.92"/>
    <n v="0.92"/>
    <n v="0.92"/>
    <n v="0.92"/>
    <n v="0.92"/>
    <n v="0.92"/>
    <n v="0.92"/>
    <n v="0.92"/>
    <m/>
    <m/>
    <n v="2.6035838480037183"/>
    <m/>
    <n v="1197.6485700817104"/>
    <n v="48.674647774038476"/>
    <m/>
    <m/>
    <n v="2.6035838480037183"/>
    <s v="n/a"/>
    <n v="1197.6485700817104"/>
    <n v="1197.6485700817104"/>
    <n v="48.674647774038476"/>
    <m/>
    <m/>
    <n v="2.6035838480037183"/>
    <m/>
    <n v="1197.6485700817104"/>
    <n v="48.674647774038476"/>
    <m/>
    <m/>
    <n v="2.6035838480037183"/>
    <m/>
    <n v="1197.6485700817104"/>
    <n v="48.674647774038476"/>
    <n v="1197.6485700817104"/>
    <n v="1197.6485700817104"/>
    <n v="1197.6485700817104"/>
    <n v="1197.6485700817104"/>
    <n v="4790.5942803268417"/>
    <s v="NA"/>
    <m/>
  </r>
  <r>
    <s v="NSG"/>
    <x v="5"/>
    <s v="Commercial Food Service Program"/>
    <s v="Upstream Rebate"/>
    <x v="14"/>
    <n v="0"/>
    <s v="CI"/>
    <x v="3"/>
    <s v="4.2.7"/>
    <s v="each"/>
    <n v="12"/>
    <n v="16"/>
    <n v="20"/>
    <n v="26"/>
    <s v="CI-FSE-ESFR-V04-230101"/>
    <m/>
    <n v="507.89818681318684"/>
    <n v="507.89818681318684"/>
    <n v="507.89818681318684"/>
    <n v="507.89818681318684"/>
    <n v="0.8"/>
    <n v="0.8"/>
    <n v="0.8"/>
    <n v="0.8"/>
    <n v="4875.822593406594"/>
    <n v="6501.0967912087917"/>
    <n v="8126.3709890109894"/>
    <n v="10564.282285714287"/>
    <n v="30067.572659340665"/>
    <n v="0.8"/>
    <n v="0.8"/>
    <n v="0.8"/>
    <n v="0.8"/>
    <n v="0.8"/>
    <n v="0.8"/>
    <n v="0.8"/>
    <n v="0.8"/>
    <m/>
    <m/>
    <n v="512.46381181318702"/>
    <m/>
    <n v="4919.6525934065958"/>
    <n v="43.830000000001746"/>
    <m/>
    <m/>
    <n v="512.46381181318702"/>
    <s v="Applies to electrification only."/>
    <n v="6559.5367912087941"/>
    <n v="6559.5367912087941"/>
    <n v="58.440000000002328"/>
    <m/>
    <m/>
    <n v="512.46381181318702"/>
    <m/>
    <n v="8199.4209890109923"/>
    <n v="73.05000000000291"/>
    <m/>
    <m/>
    <n v="512.46381181318702"/>
    <m/>
    <n v="10659.247285714291"/>
    <n v="94.965000000003783"/>
    <n v="4919.6525934065958"/>
    <n v="6559.5367912087941"/>
    <n v="8199.4209890109923"/>
    <n v="10659.247285714291"/>
    <n v="30337.857659340676"/>
    <s v="NA"/>
    <m/>
  </r>
  <r>
    <s v="NSG"/>
    <x v="4"/>
    <s v="Multi-Family"/>
    <s v="IE Kits"/>
    <x v="9"/>
    <s v="IE Kit"/>
    <s v="IE"/>
    <x v="3"/>
    <s v="5.4.9"/>
    <s v="each"/>
    <n v="140"/>
    <n v="140"/>
    <n v="140"/>
    <n v="140"/>
    <s v="RS-DHW-SHTM-V05-230101"/>
    <m/>
    <n v="3.7072463788108796"/>
    <n v="3.7072463788108796"/>
    <n v="3.7072463788108796"/>
    <n v="3.7072463788108796"/>
    <n v="1"/>
    <n v="1"/>
    <n v="1"/>
    <n v="1"/>
    <n v="519.01449303352319"/>
    <n v="519.01449303352319"/>
    <n v="519.01449303352319"/>
    <n v="519.01449303352319"/>
    <n v="2076.0579721340928"/>
    <n v="1"/>
    <n v="1"/>
    <n v="1"/>
    <n v="1"/>
    <n v="1"/>
    <n v="1"/>
    <n v="1"/>
    <n v="1"/>
    <m/>
    <m/>
    <n v="3.9749540034683961"/>
    <m/>
    <n v="556.49356048557547"/>
    <n v="37.479067452052277"/>
    <m/>
    <m/>
    <n v="3.9749540034683961"/>
    <s v="No savings impacts with existing measure assumptions."/>
    <n v="556.49356048557547"/>
    <n v="556.49356048557547"/>
    <n v="37.479067452052277"/>
    <m/>
    <m/>
    <n v="3.9749540034683961"/>
    <m/>
    <n v="556.49356048557547"/>
    <n v="37.479067452052277"/>
    <m/>
    <m/>
    <n v="3.9749540034683961"/>
    <m/>
    <n v="556.49356048557547"/>
    <n v="37.479067452052277"/>
    <n v="556.49356048557547"/>
    <n v="556.49356048557547"/>
    <n v="556.49356048557547"/>
    <n v="556.49356048557547"/>
    <n v="2225.9742419423019"/>
    <s v="NA"/>
    <m/>
  </r>
  <r>
    <s v="NSG"/>
    <x v="3"/>
    <s v="Home Energy Jumpstart"/>
    <s v="Core"/>
    <x v="4"/>
    <s v="Boiler"/>
    <s v="SF"/>
    <x v="3"/>
    <s v="5.3.2"/>
    <s v="Feet"/>
    <n v="93"/>
    <n v="84"/>
    <n v="75"/>
    <n v="66"/>
    <s v="RS-HWE-PINS-V06-230101"/>
    <m/>
    <n v="0.63522312995661756"/>
    <n v="0.63522312995661756"/>
    <n v="0.63522312995661756"/>
    <n v="0.63522312995661756"/>
    <n v="0.88"/>
    <n v="0.88"/>
    <n v="0.88"/>
    <n v="0.88"/>
    <n v="51.986660955649583"/>
    <n v="46.955693766393168"/>
    <n v="41.924726577136759"/>
    <n v="36.893759387880351"/>
    <n v="177.76084068705987"/>
    <n v="0.88"/>
    <n v="0.88"/>
    <n v="0.88"/>
    <n v="0.88"/>
    <n v="0.88"/>
    <n v="0.88"/>
    <n v="0.88"/>
    <n v="0.88"/>
    <m/>
    <m/>
    <n v="1.0111854839419214"/>
    <m/>
    <n v="82.755420005806855"/>
    <n v="30.768759050157271"/>
    <m/>
    <m/>
    <n v="1.0111854839419214"/>
    <s v="n/a"/>
    <n v="74.746830972986842"/>
    <n v="74.746830972986842"/>
    <n v="27.791137206593675"/>
    <m/>
    <m/>
    <n v="1.0111854839419214"/>
    <m/>
    <n v="66.738241940166816"/>
    <n v="24.813515363030056"/>
    <m/>
    <m/>
    <n v="1.0111854839419214"/>
    <m/>
    <n v="58.729652907346797"/>
    <n v="21.835893519466445"/>
    <n v="82.755420005806855"/>
    <n v="74.746830972986842"/>
    <n v="66.738241940166816"/>
    <n v="58.729652907346797"/>
    <n v="282.97014582630732"/>
    <s v="NA"/>
    <m/>
  </r>
  <r>
    <s v="NSG"/>
    <x v="4"/>
    <s v="Single Family"/>
    <s v="IHWAP"/>
    <x v="12"/>
    <s v="Storage 0.67 EF"/>
    <s v="SF"/>
    <x v="3"/>
    <s v="5.4.2"/>
    <s v="each"/>
    <n v="29"/>
    <n v="31"/>
    <n v="40"/>
    <n v="43"/>
    <s v="RS-HWE-GWHT-V10-220101"/>
    <m/>
    <n v="22.454907874999904"/>
    <n v="22.454907874999904"/>
    <n v="22.454907874999904"/>
    <n v="22.454907874999904"/>
    <n v="1"/>
    <n v="1"/>
    <n v="1"/>
    <n v="1"/>
    <n v="651.19232837499726"/>
    <n v="696.10214412499704"/>
    <n v="898.19631499999616"/>
    <n v="965.56103862499583"/>
    <n v="3211.0518261249863"/>
    <n v="1"/>
    <n v="1"/>
    <n v="1"/>
    <n v="1"/>
    <n v="1"/>
    <n v="1"/>
    <n v="1"/>
    <n v="1"/>
    <m/>
    <m/>
    <n v="23.498586691725251"/>
    <m/>
    <n v="681.45901406003225"/>
    <n v="30.266685685034986"/>
    <m/>
    <m/>
    <n v="23.498586691725251"/>
    <s v="n/a"/>
    <n v="728.4561874434828"/>
    <n v="728.4561874434828"/>
    <n v="32.354043318485765"/>
    <m/>
    <m/>
    <n v="23.498586691725251"/>
    <m/>
    <n v="939.94346766901003"/>
    <n v="41.747152669013872"/>
    <m/>
    <m/>
    <n v="23.498586691725251"/>
    <m/>
    <n v="1010.4392277441858"/>
    <n v="44.878189119189983"/>
    <n v="681.45901406003225"/>
    <n v="728.4561874434828"/>
    <n v="939.94346766901003"/>
    <n v="1010.4392277441858"/>
    <n v="3360.2978969167107"/>
    <s v="NA"/>
    <m/>
  </r>
  <r>
    <s v="NSG"/>
    <x v="4"/>
    <s v="Multi-Family"/>
    <s v="MF IHWAP"/>
    <x v="5"/>
    <n v="0"/>
    <s v="MF"/>
    <x v="3"/>
    <s v="5.4.5"/>
    <s v="each"/>
    <n v="36"/>
    <n v="45"/>
    <n v="81"/>
    <n v="90"/>
    <s v="RS-HWE-LFSH-V11-230101"/>
    <m/>
    <n v="11.319060638969999"/>
    <n v="11.319060638969999"/>
    <n v="11.319060638969999"/>
    <n v="11.319060638969999"/>
    <n v="1"/>
    <n v="1"/>
    <n v="1"/>
    <n v="1"/>
    <n v="407.48618300291997"/>
    <n v="509.35772875364995"/>
    <n v="916.84391175656992"/>
    <n v="1018.7154575072999"/>
    <n v="2852.4032810204399"/>
    <n v="1"/>
    <n v="1"/>
    <n v="1"/>
    <n v="1"/>
    <n v="1"/>
    <n v="1"/>
    <n v="1"/>
    <n v="1"/>
    <m/>
    <m/>
    <n v="12.139632199151192"/>
    <m/>
    <n v="437.02675916944293"/>
    <n v="29.540576166522953"/>
    <m/>
    <m/>
    <n v="12.26741780124752"/>
    <s v="Updated kit ISR"/>
    <n v="546.28344896180363"/>
    <n v="552.03380105613837"/>
    <n v="42.676072302488421"/>
    <m/>
    <m/>
    <n v="12.26741780124752"/>
    <m/>
    <n v="993.66084190104914"/>
    <n v="76.816930144479215"/>
    <m/>
    <m/>
    <n v="12.26741780124752"/>
    <m/>
    <n v="1104.0676021122767"/>
    <n v="85.352144604976843"/>
    <n v="437.02675916944293"/>
    <n v="552.03380105613837"/>
    <n v="993.66084190104914"/>
    <n v="1104.0676021122767"/>
    <n v="3086.7890042389072"/>
    <s v="NA"/>
    <m/>
  </r>
  <r>
    <s v="NSG"/>
    <x v="4"/>
    <s v="Multi-Family"/>
    <s v="Whole Building - Public Housing"/>
    <x v="5"/>
    <n v="0"/>
    <s v="MF"/>
    <x v="3"/>
    <s v="5.4.5"/>
    <s v="each"/>
    <n v="36"/>
    <n v="36"/>
    <n v="36"/>
    <n v="36"/>
    <s v="RS-HWE-LFSH-V11-230101"/>
    <m/>
    <n v="11.319060638969999"/>
    <n v="11.319060638969999"/>
    <n v="11.319060638969999"/>
    <n v="11.319060638969999"/>
    <n v="1"/>
    <n v="1"/>
    <n v="1"/>
    <n v="1"/>
    <n v="407.48618300291997"/>
    <n v="407.48618300291997"/>
    <n v="407.48618300291997"/>
    <n v="407.48618300291997"/>
    <n v="1629.9447320116799"/>
    <n v="1"/>
    <n v="1"/>
    <n v="1"/>
    <n v="1"/>
    <n v="1"/>
    <n v="1"/>
    <n v="1"/>
    <n v="1"/>
    <m/>
    <m/>
    <n v="12.139632199151192"/>
    <m/>
    <n v="437.02675916944293"/>
    <n v="29.540576166522953"/>
    <m/>
    <m/>
    <n v="12.26741780124752"/>
    <s v="Updated kit ISR"/>
    <n v="437.02675916944293"/>
    <n v="441.62704084491071"/>
    <n v="34.140857841990737"/>
    <m/>
    <m/>
    <n v="12.26741780124752"/>
    <m/>
    <n v="441.62704084491071"/>
    <n v="34.140857841990737"/>
    <m/>
    <m/>
    <n v="12.26741780124752"/>
    <m/>
    <n v="441.62704084491071"/>
    <n v="34.140857841990737"/>
    <n v="437.02675916944293"/>
    <n v="441.62704084491071"/>
    <n v="441.62704084491071"/>
    <n v="441.62704084491071"/>
    <n v="1761.907881704175"/>
    <s v="NA"/>
    <m/>
  </r>
  <r>
    <s v="NSG"/>
    <x v="4"/>
    <s v="Multi-Family"/>
    <s v="MF IHWAP"/>
    <x v="7"/>
    <n v="0"/>
    <s v="MF"/>
    <x v="3"/>
    <s v="5.4.4"/>
    <s v="each"/>
    <n v="36"/>
    <n v="45"/>
    <n v="81"/>
    <n v="90"/>
    <s v="RS-HWE-LFFA-V12-230101"/>
    <m/>
    <n v="7.8612856931203403"/>
    <n v="7.8612856931203403"/>
    <n v="7.8612856931203403"/>
    <n v="7.8612856931203403"/>
    <n v="1"/>
    <n v="1"/>
    <n v="1"/>
    <n v="1"/>
    <n v="283.00628495233224"/>
    <n v="353.75785619041534"/>
    <n v="636.76414114274758"/>
    <n v="707.51571238083068"/>
    <n v="1981.0439946663259"/>
    <n v="1"/>
    <n v="1"/>
    <n v="1"/>
    <n v="1"/>
    <n v="1"/>
    <n v="1"/>
    <n v="1"/>
    <n v="1"/>
    <m/>
    <m/>
    <n v="8.5483903552439671"/>
    <m/>
    <n v="307.74205278878281"/>
    <n v="24.735767836450577"/>
    <m/>
    <m/>
    <n v="8.7362670663482316"/>
    <s v="Updated kit ISR"/>
    <n v="384.6775659859785"/>
    <n v="393.13201798567042"/>
    <n v="39.374161795255077"/>
    <m/>
    <m/>
    <n v="8.7362670663482316"/>
    <m/>
    <n v="707.63763237420676"/>
    <n v="70.873491231459184"/>
    <m/>
    <m/>
    <n v="8.7362670663482316"/>
    <m/>
    <n v="786.26403597134083"/>
    <n v="78.748323590510154"/>
    <n v="307.74205278878281"/>
    <n v="393.13201798567042"/>
    <n v="707.63763237420676"/>
    <n v="786.26403597134083"/>
    <n v="2194.7757391200007"/>
    <s v="NA"/>
    <m/>
  </r>
  <r>
    <s v="NSG"/>
    <x v="5"/>
    <s v="Small/Mid-Size Business"/>
    <s v="Partner Trade Ally Rebate"/>
    <x v="12"/>
    <s v="≥75 MBH, ≥88% TE "/>
    <s v="CI"/>
    <x v="3"/>
    <s v="4.3.1"/>
    <s v="MBH"/>
    <n v="250"/>
    <n v="250"/>
    <n v="250"/>
    <n v="250"/>
    <s v="CI-HWE-STWH-V09-230101"/>
    <m/>
    <n v="2.4977693963210257"/>
    <n v="2.4977693963210257"/>
    <n v="2.4977693963210257"/>
    <n v="2.4977693963210257"/>
    <n v="0.93"/>
    <n v="0.93"/>
    <n v="0.93"/>
    <n v="0.93"/>
    <n v="580.73138464463852"/>
    <n v="580.73138464463852"/>
    <n v="580.73138464463852"/>
    <n v="580.73138464463852"/>
    <n v="2322.9255385785541"/>
    <n v="0.93"/>
    <n v="0.93"/>
    <n v="0.93"/>
    <n v="0.93"/>
    <n v="0.93"/>
    <n v="0.93"/>
    <n v="0.93"/>
    <n v="0.93"/>
    <m/>
    <m/>
    <n v="2.6035838480037183"/>
    <m/>
    <n v="605.33324466086447"/>
    <n v="24.601860016225942"/>
    <m/>
    <m/>
    <n v="2.6035838480037183"/>
    <s v="n/a"/>
    <n v="605.33324466086447"/>
    <n v="605.33324466086447"/>
    <n v="24.601860016225942"/>
    <m/>
    <m/>
    <n v="2.6035838480037183"/>
    <m/>
    <n v="605.33324466086447"/>
    <n v="24.601860016225942"/>
    <m/>
    <m/>
    <n v="2.6035838480037183"/>
    <m/>
    <n v="605.33324466086447"/>
    <n v="24.601860016225942"/>
    <n v="605.33324466086447"/>
    <n v="605.33324466086447"/>
    <n v="605.33324466086447"/>
    <n v="605.33324466086447"/>
    <n v="2421.3329786434579"/>
    <s v="NA"/>
    <m/>
  </r>
  <r>
    <s v="NSG"/>
    <x v="4"/>
    <s v="Home Energy Jumpstart"/>
    <s v="Core"/>
    <x v="5"/>
    <n v="0"/>
    <s v="SF"/>
    <x v="3"/>
    <s v="5.4.5"/>
    <s v="each"/>
    <n v="29"/>
    <n v="73"/>
    <n v="146"/>
    <n v="175"/>
    <s v="RS-HWE-LFSH-V11-230101"/>
    <m/>
    <n v="8.7892072937103034"/>
    <n v="8.7892072937103034"/>
    <n v="8.7892072937103034"/>
    <n v="8.7892072937103034"/>
    <n v="1"/>
    <n v="1"/>
    <n v="1"/>
    <n v="1"/>
    <n v="254.88701151759881"/>
    <n v="641.61213244085218"/>
    <n v="1283.2242648817044"/>
    <n v="1538.1112763993031"/>
    <n v="3717.8346852394588"/>
    <n v="1"/>
    <n v="1"/>
    <n v="1"/>
    <n v="1"/>
    <n v="1"/>
    <n v="1"/>
    <n v="1"/>
    <n v="1"/>
    <m/>
    <m/>
    <n v="9.4263779717191518"/>
    <m/>
    <n v="273.36496117985541"/>
    <n v="18.477949662256606"/>
    <m/>
    <m/>
    <n v="9.3291988173715321"/>
    <s v="Updated kit ISR"/>
    <n v="688.12559193549805"/>
    <n v="681.03151366812187"/>
    <n v="39.419381227269696"/>
    <m/>
    <m/>
    <n v="9.3291988173715321"/>
    <m/>
    <n v="1362.0630273362437"/>
    <n v="78.838762454539392"/>
    <m/>
    <m/>
    <n v="9.3291988173715321"/>
    <m/>
    <n v="1632.6097930400181"/>
    <n v="94.498516640715025"/>
    <n v="273.36496117985541"/>
    <n v="681.03151366812187"/>
    <n v="1362.0630273362437"/>
    <n v="1632.6097930400181"/>
    <n v="3949.0692952242389"/>
    <s v="NA"/>
    <m/>
  </r>
  <r>
    <s v="NSG"/>
    <x v="5"/>
    <s v="Small/Mid-Size Business"/>
    <s v="Assessments"/>
    <x v="5"/>
    <n v="0"/>
    <s v="CI"/>
    <x v="3"/>
    <s v="4.3.3"/>
    <s v="each"/>
    <n v="13"/>
    <n v="11"/>
    <n v="11"/>
    <n v="11"/>
    <s v="CI-HWE-LFSH-V09-230101"/>
    <m/>
    <n v="20.024378968229996"/>
    <n v="20.024378968229996"/>
    <n v="20.024378968229996"/>
    <n v="20.024378968229996"/>
    <n v="0.93"/>
    <n v="0.93"/>
    <n v="0.93"/>
    <n v="0.93"/>
    <n v="242.09474172590066"/>
    <n v="204.84939684499287"/>
    <n v="204.84939684499287"/>
    <n v="204.84939684499287"/>
    <n v="856.64293226087921"/>
    <n v="0.93"/>
    <n v="0.93"/>
    <n v="0.93"/>
    <n v="0.93"/>
    <n v="0.93"/>
    <n v="0.93"/>
    <n v="0.93"/>
    <n v="0.93"/>
    <m/>
    <m/>
    <n v="21.476039703666711"/>
    <m/>
    <n v="259.64532001733056"/>
    <n v="17.5505782914299"/>
    <m/>
    <m/>
    <n v="21.476039703666711"/>
    <s v="No savings impacts with existing measure assumptions."/>
    <n v="219.69988616851046"/>
    <n v="219.69988616851046"/>
    <n v="14.850489323517593"/>
    <m/>
    <m/>
    <n v="21.476039703666711"/>
    <m/>
    <n v="219.69988616851046"/>
    <n v="14.850489323517593"/>
    <m/>
    <m/>
    <n v="21.476039703666711"/>
    <m/>
    <n v="219.69988616851046"/>
    <n v="14.850489323517593"/>
    <n v="259.64532001733056"/>
    <n v="219.69988616851046"/>
    <n v="219.69988616851046"/>
    <n v="219.69988616851046"/>
    <n v="918.74497852286197"/>
    <s v="NA"/>
    <m/>
  </r>
  <r>
    <s v="NSG"/>
    <x v="4"/>
    <s v="Single Family"/>
    <s v="IE Kits"/>
    <x v="15"/>
    <s v="IE Kit"/>
    <s v="IE"/>
    <x v="3"/>
    <s v="5.4.6"/>
    <s v="each"/>
    <n v="560"/>
    <n v="560"/>
    <n v="560"/>
    <n v="560"/>
    <s v="RS-HWE-TMPS-V08-210101"/>
    <m/>
    <n v="0.34965719653846161"/>
    <n v="0.34965719653846161"/>
    <n v="0.34965719653846161"/>
    <n v="0.34965719653846161"/>
    <n v="1"/>
    <n v="1"/>
    <n v="1"/>
    <n v="1"/>
    <n v="195.80803006153849"/>
    <n v="195.80803006153849"/>
    <n v="195.80803006153849"/>
    <n v="195.80803006153849"/>
    <n v="783.23212024615395"/>
    <n v="1"/>
    <n v="1"/>
    <n v="1"/>
    <n v="1"/>
    <n v="1"/>
    <n v="1"/>
    <n v="1"/>
    <n v="1"/>
    <m/>
    <m/>
    <n v="0.3761829148965517"/>
    <m/>
    <n v="210.66243234206894"/>
    <n v="14.854402280530451"/>
    <m/>
    <m/>
    <n v="0.3761829148965517"/>
    <s v="n/a"/>
    <n v="210.66243234206894"/>
    <n v="210.66243234206894"/>
    <n v="14.854402280530451"/>
    <m/>
    <m/>
    <n v="0.3761829148965517"/>
    <m/>
    <n v="210.66243234206894"/>
    <n v="14.854402280530451"/>
    <m/>
    <m/>
    <n v="0.3761829148965517"/>
    <m/>
    <n v="210.66243234206894"/>
    <n v="14.854402280530451"/>
    <n v="210.66243234206894"/>
    <n v="210.66243234206894"/>
    <n v="210.66243234206894"/>
    <n v="210.66243234206894"/>
    <n v="842.64972936827576"/>
    <s v="NA"/>
    <m/>
  </r>
  <r>
    <s v="NSG"/>
    <x v="4"/>
    <s v="Single Family"/>
    <s v="IHWAP"/>
    <x v="7"/>
    <n v="0"/>
    <s v="SF"/>
    <x v="3"/>
    <s v="5.4.4"/>
    <s v="each"/>
    <n v="18"/>
    <n v="20"/>
    <n v="25"/>
    <n v="27"/>
    <s v="RS-HWE-LFFA-V12-230101"/>
    <m/>
    <n v="8.5936302377584592"/>
    <n v="8.5936302377584592"/>
    <n v="8.5936302377584592"/>
    <n v="8.5936302377584592"/>
    <n v="1"/>
    <n v="1"/>
    <n v="1"/>
    <n v="1"/>
    <n v="154.68534427965227"/>
    <n v="171.87260475516919"/>
    <n v="214.84075594396148"/>
    <n v="232.0280164194784"/>
    <n v="773.42672139826129"/>
    <n v="1"/>
    <n v="1"/>
    <n v="1"/>
    <n v="1"/>
    <n v="1"/>
    <n v="1"/>
    <n v="1"/>
    <n v="1"/>
    <m/>
    <m/>
    <n v="9.3447444487707685"/>
    <m/>
    <n v="168.20540007787383"/>
    <n v="13.520055798221563"/>
    <m/>
    <m/>
    <n v="9.148012986691386"/>
    <s v="Updated kit ISR"/>
    <n v="186.89488897541537"/>
    <n v="182.96025973382771"/>
    <n v="11.08765497865852"/>
    <m/>
    <m/>
    <n v="9.148012986691386"/>
    <m/>
    <n v="228.70032466728466"/>
    <n v="13.859568723323179"/>
    <m/>
    <m/>
    <n v="9.148012986691386"/>
    <m/>
    <n v="246.99635064066743"/>
    <n v="14.968334221189025"/>
    <n v="168.20540007787383"/>
    <n v="182.96025973382771"/>
    <n v="228.70032466728466"/>
    <n v="246.99635064066743"/>
    <n v="826.86233511965361"/>
    <s v="NA"/>
    <m/>
  </r>
  <r>
    <s v="NSG"/>
    <x v="5"/>
    <s v="Small/Mid-Size Business"/>
    <s v="Assessments"/>
    <x v="11"/>
    <n v="0"/>
    <s v="CI"/>
    <x v="3"/>
    <s v="4.3.2"/>
    <s v="each"/>
    <n v="20"/>
    <n v="17"/>
    <n v="17"/>
    <n v="16"/>
    <s v="CI-HWE-LFFA-V11-230101"/>
    <m/>
    <n v="6.1049460431654667"/>
    <n v="6.1049460431654667"/>
    <n v="6.1049460431654667"/>
    <n v="6.1049460431654667"/>
    <n v="0.93"/>
    <n v="0.93"/>
    <n v="0.93"/>
    <n v="0.93"/>
    <n v="113.55199640287768"/>
    <n v="96.51919694244603"/>
    <n v="96.51919694244603"/>
    <n v="90.841597122302147"/>
    <n v="397.43198741007188"/>
    <n v="0.93"/>
    <n v="0.93"/>
    <n v="0.93"/>
    <n v="0.93"/>
    <n v="0.93"/>
    <n v="0.93"/>
    <n v="0.93"/>
    <n v="0.93"/>
    <m/>
    <m/>
    <n v="6.7661870503597124"/>
    <m/>
    <n v="125.85107913669067"/>
    <n v="12.299082733812995"/>
    <m/>
    <m/>
    <n v="6.7661870503597124"/>
    <s v="No savings impacts with existing measure assumptions."/>
    <n v="106.97341726618707"/>
    <n v="106.97341726618707"/>
    <n v="10.45422032374104"/>
    <m/>
    <m/>
    <n v="6.7661870503597124"/>
    <m/>
    <n v="106.97341726618707"/>
    <n v="10.45422032374104"/>
    <m/>
    <m/>
    <n v="6.7661870503597124"/>
    <m/>
    <n v="100.68086330935253"/>
    <n v="9.8392661870503844"/>
    <n v="125.85107913669067"/>
    <n v="106.97341726618707"/>
    <n v="106.97341726618707"/>
    <n v="100.68086330935253"/>
    <n v="440.47877697841739"/>
    <s v="NA"/>
    <m/>
  </r>
  <r>
    <s v="NSG"/>
    <x v="4"/>
    <s v="Single Family"/>
    <s v="IHWAP"/>
    <x v="5"/>
    <n v="0"/>
    <s v="SF"/>
    <x v="3"/>
    <s v="5.4.5"/>
    <s v="each"/>
    <n v="18"/>
    <n v="20"/>
    <n v="25"/>
    <n v="27"/>
    <s v="RS-HWE-LFSH-V11-230101"/>
    <m/>
    <n v="8.7892072937103034"/>
    <n v="8.7892072937103034"/>
    <n v="8.7892072937103034"/>
    <n v="8.7892072937103034"/>
    <n v="1"/>
    <n v="1"/>
    <n v="1"/>
    <n v="1"/>
    <n v="158.20573128678546"/>
    <n v="175.78414587420608"/>
    <n v="219.73018234275759"/>
    <n v="237.3085969301782"/>
    <n v="791.02865643392727"/>
    <n v="1"/>
    <n v="1"/>
    <n v="1"/>
    <n v="1"/>
    <n v="1"/>
    <n v="1"/>
    <n v="1"/>
    <n v="1"/>
    <m/>
    <m/>
    <n v="9.4263779717191518"/>
    <m/>
    <n v="169.67480349094473"/>
    <n v="11.469072204159261"/>
    <m/>
    <m/>
    <n v="9.3291988173715321"/>
    <s v="Updated kit ISR"/>
    <n v="188.52755943438302"/>
    <n v="186.58397634743065"/>
    <n v="10.799830473224574"/>
    <m/>
    <m/>
    <n v="9.3291988173715321"/>
    <m/>
    <n v="233.2299704342883"/>
    <n v="13.499788091530718"/>
    <m/>
    <m/>
    <n v="9.3291988173715321"/>
    <m/>
    <n v="251.88836806903137"/>
    <n v="14.579771138853175"/>
    <n v="169.67480349094473"/>
    <n v="186.58397634743065"/>
    <n v="233.2299704342883"/>
    <n v="251.88836806903137"/>
    <n v="841.37711834169511"/>
    <s v="NA"/>
    <m/>
  </r>
  <r>
    <s v="NSG"/>
    <x v="5"/>
    <s v="Public Sector"/>
    <s v="Rebates"/>
    <x v="12"/>
    <s v="Storage 88% TE ≥75MBh"/>
    <s v="CI"/>
    <x v="3"/>
    <s v="4.3.1"/>
    <s v="each"/>
    <n v="3"/>
    <n v="3"/>
    <n v="3"/>
    <n v="3"/>
    <s v="CI-HWE-STWH-V09-230101"/>
    <m/>
    <n v="135.66827090062347"/>
    <n v="135.66827090062347"/>
    <n v="135.66827090062347"/>
    <n v="135.66827090062347"/>
    <n v="0.92"/>
    <n v="0.92"/>
    <n v="0.92"/>
    <n v="0.92"/>
    <n v="374.44442768572077"/>
    <n v="374.44442768572077"/>
    <n v="374.44442768572077"/>
    <n v="374.44442768572077"/>
    <n v="1497.7777107428831"/>
    <n v="0.92"/>
    <n v="0.92"/>
    <n v="0.92"/>
    <n v="0.92"/>
    <n v="0.92"/>
    <n v="0.92"/>
    <n v="0.92"/>
    <n v="0.92"/>
    <m/>
    <m/>
    <n v="139.65886152562348"/>
    <m/>
    <n v="385.4584578107208"/>
    <n v="11.014030125000033"/>
    <m/>
    <m/>
    <n v="139.65886152562348"/>
    <s v="n/a"/>
    <n v="385.4584578107208"/>
    <n v="385.4584578107208"/>
    <n v="11.014030125000033"/>
    <m/>
    <m/>
    <n v="139.65886152562348"/>
    <m/>
    <n v="385.4584578107208"/>
    <n v="11.014030125000033"/>
    <m/>
    <m/>
    <n v="139.65886152562348"/>
    <m/>
    <n v="385.4584578107208"/>
    <n v="11.014030125000033"/>
    <n v="385.4584578107208"/>
    <n v="385.4584578107208"/>
    <n v="385.4584578107208"/>
    <n v="385.4584578107208"/>
    <n v="1541.8338312428832"/>
    <s v="NA"/>
    <m/>
  </r>
  <r>
    <s v="NSG"/>
    <x v="4"/>
    <s v="Multi-Family"/>
    <s v="MF IHWAP"/>
    <x v="12"/>
    <s v="Storage 0.67 EF"/>
    <s v="MF"/>
    <x v="3"/>
    <s v="4.3.1"/>
    <s v="each"/>
    <n v="6"/>
    <n v="8"/>
    <n v="14"/>
    <n v="15"/>
    <s v="CI-HWE-STWH-V09-230101"/>
    <m/>
    <n v="35.435517834876244"/>
    <n v="35.435517834876244"/>
    <n v="35.435517834876244"/>
    <n v="35.435517834876244"/>
    <n v="1"/>
    <n v="1"/>
    <n v="1"/>
    <n v="1"/>
    <n v="212.61310700925748"/>
    <n v="283.48414267900995"/>
    <n v="496.09724968826742"/>
    <n v="531.53276752314366"/>
    <n v="1523.7272668996784"/>
    <n v="1"/>
    <n v="1"/>
    <n v="1"/>
    <n v="1"/>
    <n v="1"/>
    <n v="1"/>
    <n v="1"/>
    <n v="1"/>
    <m/>
    <m/>
    <n v="37.082520776497255"/>
    <m/>
    <n v="222.49512465898351"/>
    <n v="9.8820176497260377"/>
    <m/>
    <m/>
    <n v="36.883152385225763"/>
    <s v="n/a"/>
    <n v="296.66016621197804"/>
    <n v="295.06521908180611"/>
    <n v="11.581076402796157"/>
    <m/>
    <m/>
    <n v="36.883152385225763"/>
    <m/>
    <n v="516.36413339316073"/>
    <n v="20.266883704893303"/>
    <m/>
    <m/>
    <n v="36.883152385225763"/>
    <m/>
    <n v="553.24728577838641"/>
    <n v="21.714518255242751"/>
    <n v="222.49512465898351"/>
    <n v="295.06521908180611"/>
    <n v="516.36413339316073"/>
    <n v="553.24728577838641"/>
    <n v="1587.1717629123368"/>
    <s v="NA"/>
    <m/>
  </r>
  <r>
    <s v="NSG"/>
    <x v="4"/>
    <s v="Multi-Family"/>
    <s v="Whole Building - DI"/>
    <x v="5"/>
    <n v="0"/>
    <s v="MF"/>
    <x v="3"/>
    <s v="5.4.5"/>
    <s v="each"/>
    <n v="12"/>
    <n v="12"/>
    <n v="12"/>
    <n v="12"/>
    <s v="RS-HWE-LFSH-V11-230101"/>
    <m/>
    <n v="11.319060638969999"/>
    <n v="11.319060638969999"/>
    <n v="11.319060638969999"/>
    <n v="11.319060638969999"/>
    <n v="1"/>
    <n v="1"/>
    <n v="1"/>
    <n v="1"/>
    <n v="135.82872766763998"/>
    <n v="135.82872766763998"/>
    <n v="135.82872766763998"/>
    <n v="135.82872766763998"/>
    <n v="543.31491067055993"/>
    <n v="1"/>
    <n v="1"/>
    <n v="1"/>
    <n v="1"/>
    <n v="1"/>
    <n v="1"/>
    <n v="1"/>
    <n v="1"/>
    <m/>
    <m/>
    <n v="12.139632199151192"/>
    <m/>
    <n v="145.6755863898143"/>
    <n v="9.8468587221743178"/>
    <m/>
    <m/>
    <n v="12.26741780124752"/>
    <s v="Updated kit ISR"/>
    <n v="145.6755863898143"/>
    <n v="147.20901361497025"/>
    <n v="11.380285947330265"/>
    <m/>
    <m/>
    <n v="12.26741780124752"/>
    <m/>
    <n v="147.20901361497025"/>
    <n v="11.380285947330265"/>
    <m/>
    <m/>
    <n v="12.26741780124752"/>
    <m/>
    <n v="147.20901361497025"/>
    <n v="11.380285947330265"/>
    <n v="145.6755863898143"/>
    <n v="147.20901361497025"/>
    <n v="147.20901361497025"/>
    <n v="147.20901361497025"/>
    <n v="587.30262723472504"/>
    <s v="NA"/>
    <m/>
  </r>
  <r>
    <s v="NSG"/>
    <x v="4"/>
    <s v="Multi-Family"/>
    <s v="MF IHWAP"/>
    <x v="11"/>
    <n v="0"/>
    <s v="MF"/>
    <x v="3"/>
    <s v="5.4.4"/>
    <s v="each"/>
    <n v="36"/>
    <n v="45"/>
    <n v="81"/>
    <n v="90"/>
    <s v="RS-HWE-LFFA-V12-230101"/>
    <m/>
    <n v="1.5695120815920003"/>
    <n v="1.5695120815920003"/>
    <n v="1.5695120815920003"/>
    <n v="1.5695120815920003"/>
    <n v="1"/>
    <n v="1"/>
    <n v="1"/>
    <n v="1"/>
    <n v="56.50243493731201"/>
    <n v="70.628043671640015"/>
    <n v="127.13047860895202"/>
    <n v="141.25608734328003"/>
    <n v="395.51704456118409"/>
    <n v="1"/>
    <n v="1"/>
    <n v="1"/>
    <n v="1"/>
    <n v="1"/>
    <n v="1"/>
    <n v="1"/>
    <n v="1"/>
    <m/>
    <m/>
    <n v="1.8113454036983285"/>
    <m/>
    <n v="65.208434533139823"/>
    <n v="8.7059995958278122"/>
    <m/>
    <m/>
    <n v="1.773211816252048"/>
    <s v="Updated kit ISR"/>
    <n v="81.510543166424782"/>
    <n v="79.794531731342161"/>
    <n v="9.1664880597021465"/>
    <m/>
    <m/>
    <n v="1.773211816252048"/>
    <m/>
    <n v="143.63015711641589"/>
    <n v="16.499678507463869"/>
    <m/>
    <m/>
    <n v="1.773211816252048"/>
    <m/>
    <n v="159.58906346268432"/>
    <n v="18.332976119404293"/>
    <n v="65.208434533139823"/>
    <n v="79.794531731342161"/>
    <n v="143.63015711641589"/>
    <n v="159.58906346268432"/>
    <n v="448.22218684358222"/>
    <s v="NA"/>
    <m/>
  </r>
  <r>
    <s v="NSG"/>
    <x v="4"/>
    <s v="Multi-Family"/>
    <s v="Whole Building - DI"/>
    <x v="7"/>
    <n v="0"/>
    <s v="MF"/>
    <x v="3"/>
    <s v="5.4.4"/>
    <s v="each"/>
    <n v="12"/>
    <n v="12"/>
    <n v="12"/>
    <n v="12"/>
    <s v="RS-HWE-LFFA-V12-230101"/>
    <m/>
    <n v="7.8612856931203403"/>
    <n v="7.8612856931203403"/>
    <n v="7.8612856931203403"/>
    <n v="7.8612856931203403"/>
    <n v="1"/>
    <n v="1"/>
    <n v="1"/>
    <n v="1"/>
    <n v="94.335428317444084"/>
    <n v="94.335428317444084"/>
    <n v="94.335428317444084"/>
    <n v="94.335428317444084"/>
    <n v="377.34171326977633"/>
    <n v="1"/>
    <n v="1"/>
    <n v="1"/>
    <n v="1"/>
    <n v="1"/>
    <n v="1"/>
    <n v="1"/>
    <n v="1"/>
    <m/>
    <m/>
    <n v="8.5483903552439671"/>
    <m/>
    <n v="102.5806842629276"/>
    <n v="8.245255945483521"/>
    <m/>
    <m/>
    <n v="8.7362670663482316"/>
    <s v="Updated kit ISR"/>
    <n v="102.5806842629276"/>
    <n v="104.83520479617877"/>
    <n v="10.499776478734688"/>
    <m/>
    <m/>
    <n v="8.7362670663482316"/>
    <m/>
    <n v="104.83520479617877"/>
    <n v="10.499776478734688"/>
    <m/>
    <m/>
    <n v="8.7362670663482316"/>
    <m/>
    <n v="104.83520479617877"/>
    <n v="10.499776478734688"/>
    <n v="102.5806842629276"/>
    <n v="104.83520479617877"/>
    <n v="104.83520479617877"/>
    <n v="104.83520479617877"/>
    <n v="417.08629865146395"/>
    <s v="NA"/>
    <m/>
  </r>
  <r>
    <s v="NSG"/>
    <x v="4"/>
    <s v="Multi-Family"/>
    <s v="Whole Building - Public Housing"/>
    <x v="7"/>
    <n v="0"/>
    <s v="MF"/>
    <x v="3"/>
    <s v="5.4.4"/>
    <s v="each"/>
    <n v="12"/>
    <n v="12"/>
    <n v="12"/>
    <n v="12"/>
    <s v="RS-HWE-LFFA-V12-230101"/>
    <m/>
    <n v="7.8612856931203403"/>
    <n v="7.8612856931203403"/>
    <n v="7.8612856931203403"/>
    <n v="7.8612856931203403"/>
    <n v="1"/>
    <n v="1"/>
    <n v="1"/>
    <n v="1"/>
    <n v="94.335428317444084"/>
    <n v="94.335428317444084"/>
    <n v="94.335428317444084"/>
    <n v="94.335428317444084"/>
    <n v="377.34171326977633"/>
    <n v="1"/>
    <n v="1"/>
    <n v="1"/>
    <n v="1"/>
    <n v="1"/>
    <n v="1"/>
    <n v="1"/>
    <n v="1"/>
    <m/>
    <m/>
    <n v="8.5483903552439671"/>
    <m/>
    <n v="102.5806842629276"/>
    <n v="8.245255945483521"/>
    <m/>
    <m/>
    <n v="8.7362670663482316"/>
    <s v="Updated kit ISR"/>
    <n v="102.5806842629276"/>
    <n v="104.83520479617877"/>
    <n v="10.499776478734688"/>
    <m/>
    <m/>
    <n v="8.7362670663482316"/>
    <m/>
    <n v="104.83520479617877"/>
    <n v="10.499776478734688"/>
    <m/>
    <m/>
    <n v="8.7362670663482316"/>
    <m/>
    <n v="104.83520479617877"/>
    <n v="10.499776478734688"/>
    <n v="102.5806842629276"/>
    <n v="104.83520479617877"/>
    <n v="104.83520479617877"/>
    <n v="104.83520479617877"/>
    <n v="417.08629865146395"/>
    <s v="NA"/>
    <m/>
  </r>
  <r>
    <s v="NSG"/>
    <x v="5"/>
    <s v="Small/Mid-Size Business"/>
    <s v="Assessments"/>
    <x v="7"/>
    <n v="0"/>
    <s v="CI"/>
    <x v="3"/>
    <s v="4.3.2"/>
    <s v="each"/>
    <n v="11"/>
    <n v="10"/>
    <n v="10"/>
    <n v="9"/>
    <s v="CI-HWE-LFFA-V11-230101"/>
    <m/>
    <n v="7.4428057553956828"/>
    <n v="7.4428057553956828"/>
    <n v="7.4428057553956828"/>
    <n v="7.4428057553956828"/>
    <n v="0.93"/>
    <n v="0.93"/>
    <n v="0.93"/>
    <n v="0.93"/>
    <n v="76.13990287769785"/>
    <n v="69.218093525179853"/>
    <n v="69.218093525179853"/>
    <n v="62.296284172661871"/>
    <n v="276.87237410071941"/>
    <n v="0.93"/>
    <n v="0.93"/>
    <n v="0.93"/>
    <n v="0.93"/>
    <n v="0.93"/>
    <n v="0.93"/>
    <n v="0.93"/>
    <n v="0.93"/>
    <m/>
    <m/>
    <n v="8.1501798561151073"/>
    <m/>
    <n v="83.376339928057547"/>
    <n v="7.2364370503596973"/>
    <m/>
    <m/>
    <n v="8.1501798561151073"/>
    <s v="No savings impacts with existing measure assumptions."/>
    <n v="75.796672661870502"/>
    <n v="75.796672661870502"/>
    <n v="6.5785791366906494"/>
    <m/>
    <m/>
    <n v="8.1501798561151073"/>
    <m/>
    <n v="75.796672661870502"/>
    <n v="6.5785791366906494"/>
    <m/>
    <m/>
    <n v="8.1501798561151073"/>
    <m/>
    <n v="68.217005395683444"/>
    <n v="5.9207212230215731"/>
    <n v="83.376339928057547"/>
    <n v="75.796672661870502"/>
    <n v="75.796672661870502"/>
    <n v="68.217005395683444"/>
    <n v="303.18669064748201"/>
    <s v="NA"/>
    <m/>
  </r>
  <r>
    <s v="NSG"/>
    <x v="4"/>
    <s v="Single Family"/>
    <s v="IE Kits"/>
    <x v="11"/>
    <s v="IE Kit"/>
    <s v="IE"/>
    <x v="3"/>
    <s v="5.4.4"/>
    <s v="each"/>
    <n v="560"/>
    <n v="560"/>
    <n v="560"/>
    <n v="560"/>
    <s v="RS-HWE-LFFA-V12-230101"/>
    <m/>
    <n v="0.5904178513594347"/>
    <n v="0.5904178513594347"/>
    <n v="0.5904178513594347"/>
    <n v="0.5904178513594347"/>
    <n v="1"/>
    <n v="1"/>
    <n v="1"/>
    <n v="1"/>
    <n v="330.63399676128341"/>
    <n v="330.63399676128341"/>
    <n v="330.63399676128341"/>
    <n v="330.63399676128341"/>
    <n v="1322.5359870451337"/>
    <n v="1"/>
    <n v="1"/>
    <n v="1"/>
    <n v="1"/>
    <n v="1"/>
    <n v="1"/>
    <n v="1"/>
    <n v="1"/>
    <m/>
    <m/>
    <n v="0.60319567359596415"/>
    <m/>
    <n v="337.7895772137399"/>
    <n v="7.1555804524564905"/>
    <m/>
    <m/>
    <n v="0.60319567359596415"/>
    <s v="Updated kit ISR"/>
    <n v="337.7895772137399"/>
    <n v="337.7895772137399"/>
    <n v="7.1555804524564905"/>
    <m/>
    <m/>
    <n v="0.60319567359596415"/>
    <m/>
    <n v="337.7895772137399"/>
    <n v="7.1555804524564905"/>
    <m/>
    <m/>
    <n v="0.60319567359596415"/>
    <m/>
    <n v="337.7895772137399"/>
    <n v="7.1555804524564905"/>
    <n v="337.7895772137399"/>
    <n v="337.7895772137399"/>
    <n v="337.7895772137399"/>
    <n v="337.7895772137399"/>
    <n v="1351.1583088549596"/>
    <s v="NA"/>
    <m/>
  </r>
  <r>
    <s v="NSG"/>
    <x v="4"/>
    <s v="Home Energy Jumpstart"/>
    <s v="Leave Behind Kit"/>
    <x v="9"/>
    <n v="0"/>
    <s v="SF"/>
    <x v="3"/>
    <s v="5.4.9"/>
    <s v="each"/>
    <n v="25"/>
    <n v="63"/>
    <n v="126"/>
    <n v="151"/>
    <s v="RS-DHW-SHTM-V05-230101"/>
    <m/>
    <n v="3.7072463788108796"/>
    <n v="3.7072463788108796"/>
    <n v="3.7072463788108796"/>
    <n v="3.7072463788108796"/>
    <n v="1"/>
    <n v="1"/>
    <n v="1"/>
    <n v="1"/>
    <n v="92.681159470271993"/>
    <n v="233.55652186508541"/>
    <n v="467.11304373017083"/>
    <n v="559.79420320044278"/>
    <n v="1353.144928265971"/>
    <n v="1"/>
    <n v="1"/>
    <n v="1"/>
    <n v="1"/>
    <n v="1"/>
    <n v="1"/>
    <n v="1"/>
    <n v="1"/>
    <m/>
    <m/>
    <n v="3.9749540034683961"/>
    <m/>
    <n v="99.373850086709908"/>
    <n v="6.6926906164379147"/>
    <m/>
    <m/>
    <n v="3.9749540034683961"/>
    <s v="No savings impacts with existing measure assumptions."/>
    <n v="220.37144995228789"/>
    <n v="250.42210221850897"/>
    <n v="16.865580353423553"/>
    <m/>
    <m/>
    <n v="3.9749540034683961"/>
    <m/>
    <n v="500.84420443701794"/>
    <n v="33.731160706847106"/>
    <m/>
    <m/>
    <n v="3.9749540034683961"/>
    <m/>
    <n v="600.2180545237278"/>
    <n v="40.423851323285021"/>
    <n v="99.373850086709908"/>
    <n v="250.42210221850897"/>
    <n v="500.84420443701794"/>
    <n v="600.2180545237278"/>
    <n v="1450.8582112659647"/>
    <s v="NA"/>
    <m/>
  </r>
  <r>
    <s v="NSG"/>
    <x v="4"/>
    <s v="Multi-Family"/>
    <s v="IE Kits"/>
    <x v="15"/>
    <s v="IE Kit"/>
    <s v="IE"/>
    <x v="3"/>
    <s v="5.4.6"/>
    <s v="each"/>
    <n v="140"/>
    <n v="140"/>
    <n v="140"/>
    <n v="140"/>
    <s v="RS-HWE-TMPS-V08-210101"/>
    <m/>
    <n v="0.34965719653846161"/>
    <n v="0.34965719653846161"/>
    <n v="0.34965719653846161"/>
    <n v="0.34965719653846161"/>
    <n v="1"/>
    <n v="1"/>
    <n v="1"/>
    <n v="1"/>
    <n v="48.952007515384622"/>
    <n v="48.952007515384622"/>
    <n v="48.952007515384622"/>
    <n v="48.952007515384622"/>
    <n v="195.80803006153849"/>
    <n v="1"/>
    <n v="1"/>
    <n v="1"/>
    <n v="1"/>
    <n v="1"/>
    <n v="1"/>
    <n v="1"/>
    <n v="1"/>
    <m/>
    <m/>
    <n v="0.3761829148965517"/>
    <m/>
    <n v="52.665608085517235"/>
    <n v="3.7136005701326127"/>
    <m/>
    <m/>
    <n v="0.3761829148965517"/>
    <s v="n/a"/>
    <n v="52.665608085517235"/>
    <n v="52.665608085517235"/>
    <n v="3.7136005701326127"/>
    <m/>
    <m/>
    <n v="0.3761829148965517"/>
    <m/>
    <n v="52.665608085517235"/>
    <n v="3.7136005701326127"/>
    <m/>
    <m/>
    <n v="0.3761829148965517"/>
    <m/>
    <n v="52.665608085517235"/>
    <n v="3.7136005701326127"/>
    <n v="52.665608085517235"/>
    <n v="52.665608085517235"/>
    <n v="52.665608085517235"/>
    <n v="52.665608085517235"/>
    <n v="210.66243234206894"/>
    <s v="NA"/>
    <m/>
  </r>
  <r>
    <s v="NSG"/>
    <x v="3"/>
    <s v="Multi-Family"/>
    <s v="Partner Trade Ally Rebate"/>
    <x v="12"/>
    <s v="Storage 0.67 EF"/>
    <s v="MF"/>
    <x v="3"/>
    <s v="4.3.1"/>
    <s v="each"/>
    <n v="2"/>
    <n v="2"/>
    <n v="2"/>
    <n v="2"/>
    <s v="CI-HWE-STWH-V09-230101"/>
    <m/>
    <n v="35.435517834876244"/>
    <n v="35.435517834876244"/>
    <n v="35.435517834876244"/>
    <n v="35.435517834876244"/>
    <n v="0.87"/>
    <n v="0.87"/>
    <n v="0.87"/>
    <n v="0.87"/>
    <n v="61.657801032684667"/>
    <n v="61.657801032684667"/>
    <n v="61.657801032684667"/>
    <n v="61.657801032684667"/>
    <n v="246.63120413073867"/>
    <n v="0.87"/>
    <n v="0.87"/>
    <n v="0.87"/>
    <n v="0.87"/>
    <n v="0.87"/>
    <n v="0.87"/>
    <n v="0.87"/>
    <n v="0.87"/>
    <m/>
    <m/>
    <n v="37.082520776497255"/>
    <m/>
    <n v="64.523586151105221"/>
    <n v="2.8657851184205541"/>
    <m/>
    <m/>
    <n v="36.883152385225763"/>
    <s v="n/a"/>
    <n v="64.523586151105221"/>
    <n v="64.176685150292826"/>
    <n v="2.5188841176081596"/>
    <m/>
    <m/>
    <n v="36.883152385225763"/>
    <m/>
    <n v="64.176685150292826"/>
    <n v="2.5188841176081596"/>
    <m/>
    <m/>
    <n v="36.883152385225763"/>
    <m/>
    <n v="64.176685150292826"/>
    <n v="2.5188841176081596"/>
    <n v="64.523586151105221"/>
    <n v="64.176685150292826"/>
    <n v="64.176685150292826"/>
    <n v="64.176685150292826"/>
    <n v="257.05364160198371"/>
    <s v="NA"/>
    <m/>
  </r>
  <r>
    <s v="NSG"/>
    <x v="4"/>
    <s v="Home Energy Jumpstart"/>
    <s v="Core"/>
    <x v="7"/>
    <n v="0"/>
    <s v="SF"/>
    <x v="3"/>
    <s v="5.4.4"/>
    <s v="each"/>
    <n v="3"/>
    <n v="6"/>
    <n v="13"/>
    <n v="15"/>
    <s v="RS-HWE-LFFA-V12-230101"/>
    <m/>
    <n v="8.5936302377584592"/>
    <n v="8.5936302377584592"/>
    <n v="8.5936302377584592"/>
    <n v="8.5936302377584592"/>
    <n v="1"/>
    <n v="1"/>
    <n v="1"/>
    <n v="1"/>
    <n v="25.780890713275376"/>
    <n v="51.561781426550752"/>
    <n v="111.71719309085996"/>
    <n v="128.9044535663769"/>
    <n v="317.96431879706302"/>
    <n v="1"/>
    <n v="1"/>
    <n v="1"/>
    <n v="1"/>
    <n v="1"/>
    <n v="1"/>
    <n v="1"/>
    <n v="1"/>
    <m/>
    <m/>
    <n v="9.3447444487707685"/>
    <m/>
    <n v="28.034233346312305"/>
    <n v="2.2533426330369295"/>
    <m/>
    <m/>
    <n v="9.148012986691386"/>
    <s v="Updated kit ISR"/>
    <n v="56.068466692624611"/>
    <n v="54.888077920148319"/>
    <n v="3.3262964935975674"/>
    <m/>
    <m/>
    <n v="9.148012986691386"/>
    <m/>
    <n v="118.92416882698802"/>
    <n v="7.206975736128058"/>
    <m/>
    <m/>
    <n v="9.148012986691386"/>
    <m/>
    <n v="137.22019480037079"/>
    <n v="8.3157412339938901"/>
    <n v="28.034233346312305"/>
    <n v="54.888077920148319"/>
    <n v="118.92416882698802"/>
    <n v="137.22019480037079"/>
    <n v="339.06667489381942"/>
    <s v="NA"/>
    <m/>
  </r>
  <r>
    <s v="NSG"/>
    <x v="4"/>
    <s v="Home Energy Jumpstart"/>
    <s v="Core"/>
    <x v="11"/>
    <n v="0"/>
    <s v="SF"/>
    <x v="3"/>
    <s v="5.4.4"/>
    <s v="each"/>
    <n v="20"/>
    <n v="50"/>
    <n v="100"/>
    <n v="121"/>
    <s v="RS-HWE-LFFA-V12-230101"/>
    <m/>
    <n v="0.90936082797455842"/>
    <n v="0.90936082797455842"/>
    <n v="0.90936082797455842"/>
    <n v="0.90936082797455842"/>
    <n v="1"/>
    <n v="1"/>
    <n v="1"/>
    <n v="1"/>
    <n v="18.187216559491169"/>
    <n v="45.468041398727919"/>
    <n v="90.936082797455839"/>
    <n v="110.03266018492157"/>
    <n v="264.62400094059649"/>
    <n v="1"/>
    <n v="1"/>
    <n v="1"/>
    <n v="1"/>
    <n v="1"/>
    <n v="1"/>
    <n v="1"/>
    <n v="1"/>
    <m/>
    <m/>
    <n v="1.0053261226599404"/>
    <m/>
    <n v="20.106522453198806"/>
    <n v="1.9193058937076373"/>
    <m/>
    <m/>
    <n v="0.98416136218288908"/>
    <s v="Updated kit ISR"/>
    <n v="50.266306132997016"/>
    <n v="49.208068109144456"/>
    <n v="3.7400267104165366"/>
    <m/>
    <m/>
    <n v="0.98416136218288908"/>
    <m/>
    <n v="98.416136218288912"/>
    <n v="7.4800534208330731"/>
    <m/>
    <m/>
    <n v="0.98416136218288908"/>
    <m/>
    <n v="119.08352482412958"/>
    <n v="9.0508646392080152"/>
    <n v="20.106522453198806"/>
    <n v="49.208068109144456"/>
    <n v="98.416136218288912"/>
    <n v="119.08352482412958"/>
    <n v="286.81425160476175"/>
    <s v="NA"/>
    <m/>
  </r>
  <r>
    <s v="NSG"/>
    <x v="4"/>
    <s v="Multi-Family"/>
    <s v="IE Kits"/>
    <x v="11"/>
    <s v="IE Kit"/>
    <s v="IE"/>
    <x v="3"/>
    <s v="5.4.4"/>
    <s v="each"/>
    <n v="140"/>
    <n v="140"/>
    <n v="140"/>
    <n v="140"/>
    <s v="RS-HWE-LFFA-V12-230101"/>
    <m/>
    <n v="0.5904178513594347"/>
    <n v="0.5904178513594347"/>
    <n v="0.5904178513594347"/>
    <n v="0.5904178513594347"/>
    <n v="1"/>
    <n v="1"/>
    <n v="1"/>
    <n v="1"/>
    <n v="82.658499190320853"/>
    <n v="82.658499190320853"/>
    <n v="82.658499190320853"/>
    <n v="82.658499190320853"/>
    <n v="330.63399676128341"/>
    <n v="1"/>
    <n v="1"/>
    <n v="1"/>
    <n v="1"/>
    <n v="1"/>
    <n v="1"/>
    <n v="1"/>
    <n v="1"/>
    <m/>
    <m/>
    <n v="0.60319567359596415"/>
    <m/>
    <n v="84.447394303434976"/>
    <n v="1.7888951131141226"/>
    <m/>
    <m/>
    <n v="0.60319567359596415"/>
    <s v="Updated kit ISR"/>
    <n v="84.447394303434976"/>
    <n v="84.447394303434976"/>
    <n v="1.7888951131141226"/>
    <m/>
    <m/>
    <n v="0.60319567359596415"/>
    <m/>
    <n v="84.447394303434976"/>
    <n v="1.7888951131141226"/>
    <m/>
    <m/>
    <n v="0.60319567359596415"/>
    <m/>
    <n v="84.447394303434976"/>
    <n v="1.7888951131141226"/>
    <n v="84.447394303434976"/>
    <n v="84.447394303434976"/>
    <n v="84.447394303434976"/>
    <n v="84.447394303434976"/>
    <n v="337.7895772137399"/>
    <s v="NA"/>
    <m/>
  </r>
  <r>
    <s v="NSG"/>
    <x v="4"/>
    <s v="Single Family"/>
    <s v="IHWAP"/>
    <x v="11"/>
    <n v="0"/>
    <s v="SF"/>
    <x v="3"/>
    <s v="5.4.4"/>
    <s v="each"/>
    <n v="18"/>
    <n v="20"/>
    <n v="25"/>
    <n v="27"/>
    <s v="RS-HWE-LFFA-V12-230101"/>
    <m/>
    <n v="0.90936082797455842"/>
    <n v="0.90936082797455842"/>
    <n v="0.90936082797455842"/>
    <n v="0.90936082797455842"/>
    <n v="1"/>
    <n v="1"/>
    <n v="1"/>
    <n v="1"/>
    <n v="16.36849490354205"/>
    <n v="18.187216559491169"/>
    <n v="22.73402069936396"/>
    <n v="24.552742355313079"/>
    <n v="81.842474517710258"/>
    <n v="1"/>
    <n v="1"/>
    <n v="1"/>
    <n v="1"/>
    <n v="1"/>
    <n v="1"/>
    <n v="1"/>
    <n v="1"/>
    <m/>
    <m/>
    <n v="1.0053261226599404"/>
    <m/>
    <n v="18.095870207878928"/>
    <n v="1.7273753043368778"/>
    <m/>
    <m/>
    <n v="0.98416136218288908"/>
    <s v="Updated kit ISR"/>
    <n v="20.106522453198806"/>
    <n v="19.683227243657782"/>
    <n v="1.4960106841666132"/>
    <m/>
    <m/>
    <n v="0.98416136218288908"/>
    <m/>
    <n v="24.604034054572228"/>
    <n v="1.8700133552082683"/>
    <m/>
    <m/>
    <n v="0.98416136218288908"/>
    <m/>
    <n v="26.572356778938005"/>
    <n v="2.019614423624926"/>
    <n v="18.095870207878928"/>
    <n v="19.683227243657782"/>
    <n v="24.604034054572228"/>
    <n v="26.572356778938005"/>
    <n v="88.95548828504694"/>
    <s v="NA"/>
    <m/>
  </r>
  <r>
    <s v="NSG"/>
    <x v="4"/>
    <s v="Single Family"/>
    <s v="IHWAP"/>
    <x v="4"/>
    <s v="DHW"/>
    <s v="SF"/>
    <x v="3"/>
    <s v="5.4.1"/>
    <s v="Feet"/>
    <n v="1"/>
    <n v="1"/>
    <n v="1"/>
    <n v="1"/>
    <s v="RS-HWE-PINS-V06-230101"/>
    <m/>
    <n v="0.88266670517205537"/>
    <n v="0.88266670517205537"/>
    <n v="0.88266670517205537"/>
    <n v="0.88266670517205537"/>
    <n v="1"/>
    <n v="1"/>
    <n v="1"/>
    <n v="1"/>
    <n v="0.88266670517205537"/>
    <n v="0.88266670517205537"/>
    <n v="0.88266670517205537"/>
    <n v="0.88266670517205537"/>
    <n v="3.5306668206882215"/>
    <n v="1"/>
    <n v="1"/>
    <n v="1"/>
    <n v="1"/>
    <n v="1"/>
    <n v="1"/>
    <n v="1"/>
    <n v="1"/>
    <m/>
    <m/>
    <n v="2.4087097696290445"/>
    <m/>
    <n v="2.4087097696290445"/>
    <n v="1.5260430644569891"/>
    <m/>
    <m/>
    <n v="2.4087097696290445"/>
    <s v="Updated kit ISR"/>
    <n v="2.4087097696290445"/>
    <n v="2.4087097696290445"/>
    <n v="1.5260430644569891"/>
    <m/>
    <m/>
    <n v="2.4087097696290445"/>
    <m/>
    <n v="2.4087097696290445"/>
    <n v="1.5260430644569891"/>
    <m/>
    <m/>
    <n v="2.4087097696290445"/>
    <m/>
    <n v="2.4087097696290445"/>
    <n v="1.5260430644569891"/>
    <n v="2.4087097696290445"/>
    <n v="2.4087097696290445"/>
    <n v="2.4087097696290445"/>
    <n v="2.4087097696290445"/>
    <n v="9.6348390785161779"/>
    <s v="NA"/>
    <m/>
  </r>
  <r>
    <s v="NSG"/>
    <x v="4"/>
    <s v="Multi-Family"/>
    <s v="Whole Building - DI"/>
    <x v="11"/>
    <n v="0"/>
    <s v="MF"/>
    <x v="3"/>
    <s v="5.4.4"/>
    <s v="each"/>
    <n v="5"/>
    <n v="5"/>
    <n v="5"/>
    <n v="5"/>
    <s v="RS-HWE-LFFA-V12-230101"/>
    <m/>
    <n v="1.5695120815920003"/>
    <n v="1.5695120815920003"/>
    <n v="1.5695120815920003"/>
    <n v="1.5695120815920003"/>
    <n v="1"/>
    <n v="1"/>
    <n v="1"/>
    <n v="1"/>
    <n v="7.8475604079600014"/>
    <n v="7.8475604079600014"/>
    <n v="7.8475604079600014"/>
    <n v="7.8475604079600014"/>
    <n v="31.390241631840006"/>
    <n v="1"/>
    <n v="1"/>
    <n v="1"/>
    <n v="1"/>
    <n v="1"/>
    <n v="1"/>
    <n v="1"/>
    <n v="1"/>
    <m/>
    <m/>
    <n v="1.8113454036983285"/>
    <m/>
    <n v="9.0567270184916424"/>
    <n v="1.209166610531641"/>
    <m/>
    <m/>
    <n v="1.773211816252048"/>
    <s v="Updated kit ISR"/>
    <n v="9.0567270184916424"/>
    <n v="8.8660590812602393"/>
    <n v="1.0184986733002379"/>
    <m/>
    <m/>
    <n v="1.773211816252048"/>
    <m/>
    <n v="8.8660590812602393"/>
    <n v="1.0184986733002379"/>
    <m/>
    <m/>
    <n v="1.773211816252048"/>
    <m/>
    <n v="8.8660590812602393"/>
    <n v="1.0184986733002379"/>
    <n v="9.0567270184916424"/>
    <n v="8.8660590812602393"/>
    <n v="8.8660590812602393"/>
    <n v="8.8660590812602393"/>
    <n v="35.65490426227236"/>
    <s v="NA"/>
    <m/>
  </r>
  <r>
    <s v="NSG"/>
    <x v="4"/>
    <s v="Multi-Family"/>
    <s v="Whole Building - Public Housing"/>
    <x v="11"/>
    <n v="0"/>
    <s v="MF"/>
    <x v="3"/>
    <s v="5.4.4"/>
    <s v="each"/>
    <n v="5"/>
    <n v="5"/>
    <n v="5"/>
    <n v="5"/>
    <s v="RS-HWE-LFFA-V12-230101"/>
    <m/>
    <n v="1.5695120815920003"/>
    <n v="1.5695120815920003"/>
    <n v="1.5695120815920003"/>
    <n v="1.5695120815920003"/>
    <n v="1"/>
    <n v="1"/>
    <n v="1"/>
    <n v="1"/>
    <n v="7.8475604079600014"/>
    <n v="7.8475604079600014"/>
    <n v="7.8475604079600014"/>
    <n v="7.8475604079600014"/>
    <n v="31.390241631840006"/>
    <n v="1"/>
    <n v="1"/>
    <n v="1"/>
    <n v="1"/>
    <n v="1"/>
    <n v="1"/>
    <n v="1"/>
    <n v="1"/>
    <m/>
    <m/>
    <n v="1.8113454036983285"/>
    <m/>
    <n v="9.0567270184916424"/>
    <n v="1.209166610531641"/>
    <m/>
    <m/>
    <n v="1.773211816252048"/>
    <s v="Updated kit ISR"/>
    <n v="9.0567270184916424"/>
    <n v="8.8660590812602393"/>
    <n v="1.0184986733002379"/>
    <m/>
    <m/>
    <n v="1.773211816252048"/>
    <m/>
    <n v="8.8660590812602393"/>
    <n v="1.0184986733002379"/>
    <m/>
    <m/>
    <n v="1.773211816252048"/>
    <m/>
    <n v="8.8660590812602393"/>
    <n v="1.0184986733002379"/>
    <n v="9.0567270184916424"/>
    <n v="8.8660590812602393"/>
    <n v="8.8660590812602393"/>
    <n v="8.8660590812602393"/>
    <n v="35.65490426227236"/>
    <s v="NA"/>
    <m/>
  </r>
  <r>
    <s v="NSG"/>
    <x v="4"/>
    <s v="Home Energy Jumpstart"/>
    <s v="Core"/>
    <x v="4"/>
    <s v="Boiler"/>
    <s v="SF"/>
    <x v="3"/>
    <s v="5.3.2"/>
    <s v="Feet"/>
    <n v="3"/>
    <n v="6"/>
    <n v="12"/>
    <n v="15"/>
    <s v="RS-HWE-PINS-V06-230101"/>
    <m/>
    <n v="0.63522312995661756"/>
    <n v="0.63522312995661756"/>
    <n v="0.63522312995661756"/>
    <n v="0.63522312995661756"/>
    <n v="1"/>
    <n v="1"/>
    <n v="1"/>
    <n v="1"/>
    <n v="1.9056693898698527"/>
    <n v="3.8113387797397054"/>
    <n v="7.6226775594794107"/>
    <n v="9.5283469493492632"/>
    <n v="22.868032678438233"/>
    <n v="1"/>
    <n v="1"/>
    <n v="1"/>
    <n v="1"/>
    <n v="1"/>
    <n v="1"/>
    <n v="1"/>
    <n v="1"/>
    <m/>
    <m/>
    <n v="1.0111854839419214"/>
    <m/>
    <n v="3.0335564518257643"/>
    <n v="1.1278870619559116"/>
    <m/>
    <m/>
    <n v="1.0111854839419214"/>
    <s v="n/a"/>
    <n v="6.0671129036515286"/>
    <n v="6.0671129036515286"/>
    <n v="2.2557741239118232"/>
    <m/>
    <m/>
    <n v="1.0111854839419214"/>
    <m/>
    <n v="12.134225807303057"/>
    <n v="4.5115482478236464"/>
    <m/>
    <m/>
    <n v="1.0111854839419214"/>
    <m/>
    <n v="15.16778225912882"/>
    <n v="5.6394353097795573"/>
    <n v="3.0335564518257643"/>
    <n v="6.0671129036515286"/>
    <n v="12.134225807303057"/>
    <n v="15.16778225912882"/>
    <n v="36.402677421909175"/>
    <s v="NA"/>
    <m/>
  </r>
  <r>
    <s v="NSG"/>
    <x v="3"/>
    <s v="Home Energy Rebate"/>
    <s v="Standard Rebate"/>
    <x v="16"/>
    <s v="≥88% AFUE"/>
    <s v="SF"/>
    <x v="3"/>
    <s v="5.4.2"/>
    <s v="each"/>
    <n v="1"/>
    <n v="1"/>
    <n v="1"/>
    <n v="1"/>
    <s v="RS-HWE-GWHT-V10-220101"/>
    <m/>
    <n v="20.799292584298428"/>
    <n v="20.799292584298428"/>
    <n v="20.799292584298428"/>
    <n v="20.799292584298428"/>
    <n v="0.74"/>
    <n v="0.74"/>
    <n v="0.74"/>
    <n v="0.74"/>
    <n v="15.391476512380835"/>
    <n v="15.391476512380835"/>
    <n v="15.391476512380835"/>
    <n v="15.391476512380835"/>
    <n v="61.565906049523342"/>
    <n v="0.74"/>
    <n v="0.74"/>
    <n v="0.74"/>
    <n v="0.74"/>
    <n v="0.74"/>
    <n v="0.74"/>
    <n v="0.74"/>
    <n v="0.74"/>
    <m/>
    <m/>
    <n v="21.766020267793987"/>
    <m/>
    <n v="16.106854998167549"/>
    <n v="0.71537848578671337"/>
    <m/>
    <m/>
    <n v="21.766020267793987"/>
    <s v="n/a"/>
    <n v="16.106854998167549"/>
    <n v="16.106854998167549"/>
    <n v="0.71537848578671337"/>
    <m/>
    <m/>
    <n v="21.766020267793987"/>
    <m/>
    <n v="16.106854998167549"/>
    <n v="0.71537848578671337"/>
    <m/>
    <m/>
    <n v="21.766020267793987"/>
    <m/>
    <n v="16.106854998167549"/>
    <n v="0.71537848578671337"/>
    <n v="16.106854998167549"/>
    <n v="16.106854998167549"/>
    <n v="16.106854998167549"/>
    <n v="16.106854998167549"/>
    <n v="64.427419992670195"/>
    <s v="NA"/>
    <m/>
  </r>
  <r>
    <s v="NSG"/>
    <x v="4"/>
    <s v="Single Family"/>
    <s v="IHWAP"/>
    <x v="4"/>
    <s v="Boiler"/>
    <s v="SF"/>
    <x v="3"/>
    <s v="5.3.2"/>
    <s v="Feet"/>
    <n v="1"/>
    <n v="1"/>
    <n v="1"/>
    <n v="1"/>
    <s v="RS-HWE-PINS-V06-230101"/>
    <m/>
    <n v="0.63522312995661756"/>
    <n v="0.63522312995661756"/>
    <n v="0.63522312995661756"/>
    <n v="0.63522312995661756"/>
    <n v="1"/>
    <n v="1"/>
    <n v="1"/>
    <n v="1"/>
    <n v="0.63522312995661756"/>
    <n v="0.63522312995661756"/>
    <n v="0.63522312995661756"/>
    <n v="0.63522312995661756"/>
    <n v="2.5408925198264702"/>
    <n v="1"/>
    <n v="1"/>
    <n v="1"/>
    <n v="1"/>
    <n v="1"/>
    <n v="1"/>
    <n v="1"/>
    <n v="1"/>
    <m/>
    <m/>
    <n v="1.0111854839419214"/>
    <m/>
    <n v="1.0111854839419214"/>
    <n v="0.37596235398530387"/>
    <m/>
    <m/>
    <n v="1.0111854839419214"/>
    <s v="n/a"/>
    <n v="1.0111854839419214"/>
    <n v="1.0111854839419214"/>
    <n v="0.37596235398530387"/>
    <m/>
    <m/>
    <n v="1.0111854839419214"/>
    <m/>
    <n v="1.0111854839419214"/>
    <n v="0.37596235398530387"/>
    <m/>
    <m/>
    <n v="1.0111854839419214"/>
    <m/>
    <n v="1.0111854839419214"/>
    <n v="0.37596235398530387"/>
    <n v="1.0111854839419214"/>
    <n v="1.0111854839419214"/>
    <n v="1.0111854839419214"/>
    <n v="1.0111854839419214"/>
    <n v="4.0447419357676857"/>
    <s v="NA"/>
    <m/>
  </r>
  <r>
    <s v="NSG"/>
    <x v="3"/>
    <s v="Home Energy Rebate"/>
    <s v="Partner Trade Ally Rebate"/>
    <x v="17"/>
    <n v="0"/>
    <s v="SF"/>
    <x v="3"/>
    <s v="5.6.5"/>
    <s v="sq ft"/>
    <n v="240000"/>
    <n v="240000"/>
    <n v="240000"/>
    <n v="240000"/>
    <s v="RS-SHL-AINS-V06-230101"/>
    <m/>
    <n v="8.0457181447124299E-2"/>
    <n v="8.0457181447124299E-2"/>
    <n v="8.0457181447124299E-2"/>
    <n v="8.0457181447124299E-2"/>
    <n v="0.89"/>
    <n v="0.89"/>
    <n v="0.89"/>
    <n v="0.89"/>
    <n v="17185.653957105747"/>
    <n v="17185.653957105747"/>
    <n v="17185.653957105747"/>
    <n v="17185.653957105747"/>
    <n v="68742.61582842299"/>
    <n v="0.89"/>
    <n v="0.89"/>
    <n v="0.89"/>
    <n v="0.89"/>
    <n v="0.89"/>
    <n v="0.89"/>
    <n v="0.89"/>
    <n v="0.89"/>
    <m/>
    <m/>
    <n v="8.0457181447124299E-2"/>
    <m/>
    <n v="17185.653957105747"/>
    <n v="0"/>
    <m/>
    <m/>
    <n v="8.0457181447124299E-2"/>
    <s v="No savings impacts with existing measure assumptions."/>
    <n v="17185.653957105747"/>
    <n v="17185.653957105747"/>
    <n v="0"/>
    <m/>
    <m/>
    <n v="8.0457181447124299E-2"/>
    <m/>
    <n v="17185.653957105747"/>
    <n v="0"/>
    <m/>
    <m/>
    <n v="8.0457181447124299E-2"/>
    <m/>
    <n v="17185.653957105747"/>
    <n v="0"/>
    <n v="17185.653957105747"/>
    <n v="17185.653957105747"/>
    <n v="17185.653957105747"/>
    <n v="17185.653957105747"/>
    <n v="68742.61582842299"/>
    <s v="NA"/>
    <m/>
  </r>
  <r>
    <s v="NSG"/>
    <x v="3"/>
    <s v="Home Energy Rebate"/>
    <s v="Partner Trade Ally Rebate"/>
    <x v="18"/>
    <n v="0"/>
    <s v="SF"/>
    <x v="3"/>
    <s v="5.6.1"/>
    <s v="CFM_50"/>
    <n v="178377.59999999995"/>
    <n v="178377.59999999995"/>
    <n v="178377.59999999995"/>
    <n v="178377.59999999995"/>
    <s v="RS-SHL-AIRS-V12-230101"/>
    <m/>
    <n v="6.2809933649289093E-2"/>
    <n v="6.2809933649289093E-2"/>
    <n v="6.2809933649289093E-2"/>
    <n v="6.2809933649289093E-2"/>
    <n v="0.88"/>
    <n v="0.88"/>
    <n v="0.88"/>
    <n v="0.88"/>
    <n v="9859.4189940570959"/>
    <n v="9859.4189940570959"/>
    <n v="9859.4189940570959"/>
    <n v="9859.4189940570959"/>
    <n v="39437.675976228384"/>
    <n v="0.88"/>
    <n v="0.88"/>
    <n v="0.88"/>
    <n v="0.88"/>
    <n v="0.88"/>
    <n v="0.88"/>
    <n v="0.88"/>
    <n v="0.88"/>
    <m/>
    <m/>
    <n v="6.2809933649289093E-2"/>
    <m/>
    <n v="9859.4189940570959"/>
    <n v="0"/>
    <m/>
    <m/>
    <n v="6.2809933649289093E-2"/>
    <s v="Updated ISR"/>
    <n v="9859.4189940570959"/>
    <n v="9859.4189940570959"/>
    <n v="0"/>
    <m/>
    <m/>
    <n v="6.2809933649289093E-2"/>
    <m/>
    <n v="9859.4189940570959"/>
    <n v="0"/>
    <m/>
    <m/>
    <n v="6.2809933649289093E-2"/>
    <m/>
    <n v="9859.4189940570959"/>
    <n v="0"/>
    <n v="9859.4189940570959"/>
    <n v="9859.4189940570959"/>
    <n v="9859.4189940570959"/>
    <n v="9859.4189940570959"/>
    <n v="39437.675976228384"/>
    <s v="NA"/>
    <m/>
  </r>
  <r>
    <s v="NSG"/>
    <x v="3"/>
    <s v="Home Energy Rebate"/>
    <s v="Partner Trade Ally Rebate"/>
    <x v="19"/>
    <n v="0"/>
    <s v="SF"/>
    <x v="3"/>
    <s v="5.6.1"/>
    <s v="CFM_50"/>
    <n v="114161.66399999998"/>
    <n v="114161.66399999998"/>
    <n v="114161.66399999998"/>
    <n v="114161.66399999998"/>
    <s v="RS-SHL-AIRS-V12-230101"/>
    <m/>
    <n v="8.7236018957345965E-2"/>
    <n v="8.7236018957345965E-2"/>
    <n v="8.7236018957345965E-2"/>
    <n v="8.7236018957345965E-2"/>
    <n v="0.77"/>
    <n v="0.77"/>
    <n v="0.77"/>
    <n v="0.77"/>
    <n v="7668.4369953777423"/>
    <n v="7668.4369953777423"/>
    <n v="7668.4369953777423"/>
    <n v="7668.4369953777423"/>
    <n v="30673.747981510969"/>
    <n v="0.77"/>
    <n v="0.77"/>
    <n v="0.77"/>
    <n v="0.77"/>
    <n v="0.77"/>
    <n v="0.77"/>
    <n v="0.77"/>
    <n v="0.77"/>
    <m/>
    <m/>
    <n v="8.7236018957345965E-2"/>
    <m/>
    <n v="7668.4369953777423"/>
    <n v="0"/>
    <m/>
    <m/>
    <n v="8.7236018957345965E-2"/>
    <s v="Updated ISR"/>
    <n v="7668.4369953777423"/>
    <n v="7668.4369953777423"/>
    <n v="0"/>
    <m/>
    <m/>
    <n v="8.7236018957345965E-2"/>
    <m/>
    <n v="7668.4369953777423"/>
    <n v="0"/>
    <m/>
    <m/>
    <n v="8.7236018957345965E-2"/>
    <m/>
    <n v="7668.4369953777423"/>
    <n v="0"/>
    <n v="7668.4369953777423"/>
    <n v="7668.4369953777423"/>
    <n v="7668.4369953777423"/>
    <n v="7668.4369953777423"/>
    <n v="30673.747981510969"/>
    <s v="NA"/>
    <m/>
  </r>
  <r>
    <s v="NSG"/>
    <x v="5"/>
    <s v="C&amp;I"/>
    <s v="Strategic Energy Management"/>
    <x v="20"/>
    <n v="0"/>
    <s v="CI"/>
    <x v="3"/>
    <n v="0"/>
    <s v="therm"/>
    <n v="105503.63461538462"/>
    <n v="99297.538461538468"/>
    <n v="86885.346153846156"/>
    <n v="84402.907692307708"/>
    <n v="0"/>
    <m/>
    <n v="1"/>
    <n v="1"/>
    <n v="1"/>
    <n v="1"/>
    <n v="0.97"/>
    <n v="0.97"/>
    <n v="0.97"/>
    <n v="0.97"/>
    <n v="102338.52557692309"/>
    <n v="96318.61230769231"/>
    <n v="84278.785769230773"/>
    <n v="81870.820461538475"/>
    <n v="364806.74411538464"/>
    <n v="0.97"/>
    <n v="0.97"/>
    <n v="0.97"/>
    <n v="0.97"/>
    <n v="0.97"/>
    <n v="0.97"/>
    <n v="0.97"/>
    <n v="0.97"/>
    <m/>
    <m/>
    <n v="1"/>
    <m/>
    <n v="102338.52557692309"/>
    <n v="0"/>
    <m/>
    <m/>
    <n v="1"/>
    <s v="n/a"/>
    <n v="96318.61230769231"/>
    <n v="96318.61230769231"/>
    <n v="0"/>
    <m/>
    <m/>
    <n v="1"/>
    <m/>
    <n v="84278.785769230773"/>
    <n v="0"/>
    <m/>
    <m/>
    <n v="1"/>
    <m/>
    <n v="81870.820461538475"/>
    <n v="0"/>
    <n v="102338.52557692309"/>
    <n v="96318.61230769231"/>
    <n v="84278.785769230773"/>
    <n v="81870.820461538475"/>
    <n v="364806.74411538464"/>
    <s v="NA"/>
    <m/>
  </r>
  <r>
    <s v="NSG"/>
    <x v="5"/>
    <s v="C&amp;I"/>
    <s v="Rebates"/>
    <x v="21"/>
    <s v="Process"/>
    <s v="MF/CI"/>
    <x v="3"/>
    <s v="4.4.3"/>
    <s v="MBH"/>
    <n v="102000"/>
    <n v="96000"/>
    <n v="84000"/>
    <n v="81600.000000000015"/>
    <s v="CI-HVC-PBTU-V07-230101"/>
    <m/>
    <n v="1.0227353753026578"/>
    <n v="1.0227353753026578"/>
    <n v="1.0227353753026578"/>
    <n v="1.0227353753026578"/>
    <n v="0.91"/>
    <n v="0.91"/>
    <n v="0.91"/>
    <n v="0.91"/>
    <n v="94930.297535592705"/>
    <n v="89346.162386440192"/>
    <n v="78177.892088135166"/>
    <n v="75944.238028474167"/>
    <n v="338398.59003864223"/>
    <n v="0.91"/>
    <n v="0.91"/>
    <n v="0.91"/>
    <n v="0.91"/>
    <n v="0.91"/>
    <n v="0.91"/>
    <n v="0.91"/>
    <n v="0.91"/>
    <m/>
    <m/>
    <n v="1.0227353753026578"/>
    <m/>
    <n v="94930.297535592705"/>
    <n v="0"/>
    <m/>
    <m/>
    <n v="1.0227353753026578"/>
    <s v="Updated measure lifetime."/>
    <n v="89346.162386440192"/>
    <n v="89346.162386440192"/>
    <n v="0"/>
    <m/>
    <m/>
    <n v="1.0227353753026578"/>
    <m/>
    <n v="78177.892088135166"/>
    <n v="0"/>
    <m/>
    <m/>
    <n v="1.0227353753026578"/>
    <m/>
    <n v="75944.238028474167"/>
    <n v="0"/>
    <n v="94930.297535592705"/>
    <n v="89346.162386440192"/>
    <n v="78177.892088135166"/>
    <n v="75944.238028474167"/>
    <n v="338398.59003864223"/>
    <s v="NA"/>
    <m/>
  </r>
  <r>
    <s v="NSG"/>
    <x v="5"/>
    <s v="C&amp;I"/>
    <s v="Custom"/>
    <x v="22"/>
    <n v="0"/>
    <s v="CI"/>
    <x v="4"/>
    <n v="0"/>
    <s v="therm"/>
    <n v="50976"/>
    <n v="54374.400000000001"/>
    <n v="47577.599999999999"/>
    <n v="46218.240000000005"/>
    <n v="0"/>
    <m/>
    <n v="1"/>
    <n v="1"/>
    <n v="1"/>
    <n v="1"/>
    <n v="0.74"/>
    <n v="0.74"/>
    <n v="0.74"/>
    <n v="0.74"/>
    <n v="37722.239999999998"/>
    <n v="40237.056000000004"/>
    <n v="35207.423999999999"/>
    <n v="34201.497600000002"/>
    <n v="147368.2176"/>
    <n v="0.74"/>
    <n v="0.74"/>
    <n v="0.74"/>
    <n v="0.74"/>
    <n v="0.74"/>
    <n v="0.74"/>
    <n v="0.74"/>
    <n v="0.74"/>
    <m/>
    <m/>
    <n v="1"/>
    <m/>
    <n v="37722.239999999998"/>
    <n v="0"/>
    <m/>
    <m/>
    <n v="1"/>
    <s v="n/a"/>
    <n v="40237.056000000004"/>
    <n v="40237.056000000004"/>
    <n v="0"/>
    <m/>
    <m/>
    <n v="1"/>
    <m/>
    <n v="35207.423999999999"/>
    <n v="0"/>
    <m/>
    <m/>
    <n v="1"/>
    <m/>
    <n v="34201.497600000002"/>
    <n v="0"/>
    <n v="37722.239999999998"/>
    <n v="40237.056000000004"/>
    <n v="35207.423999999999"/>
    <n v="34201.497600000002"/>
    <n v="147368.2176"/>
    <s v="NA"/>
    <m/>
  </r>
  <r>
    <s v="NSG"/>
    <x v="4"/>
    <s v="Single Family"/>
    <s v="IE Kits"/>
    <x v="23"/>
    <s v="IE Kit"/>
    <s v="IE"/>
    <x v="3"/>
    <s v="5.6.1"/>
    <s v="sqft"/>
    <n v="42000"/>
    <n v="42000"/>
    <n v="42000"/>
    <n v="42000"/>
    <s v="RS-SHL-AIRS-V12-230101"/>
    <m/>
    <n v="8.3447999999999994E-2"/>
    <n v="8.3447999999999994E-2"/>
    <n v="8.3447999999999994E-2"/>
    <n v="8.3447999999999994E-2"/>
    <n v="1"/>
    <n v="1"/>
    <n v="1"/>
    <n v="1"/>
    <n v="3504.8159999999998"/>
    <n v="3504.8159999999998"/>
    <n v="3504.8159999999998"/>
    <n v="3504.8159999999998"/>
    <n v="14019.263999999999"/>
    <n v="1"/>
    <n v="1"/>
    <n v="1"/>
    <n v="1"/>
    <n v="1"/>
    <n v="1"/>
    <n v="1"/>
    <n v="1"/>
    <m/>
    <m/>
    <n v="8.3447999999999994E-2"/>
    <m/>
    <n v="3504.8159999999998"/>
    <n v="0"/>
    <m/>
    <m/>
    <n v="8.3447999999999994E-2"/>
    <s v="Updated ISR"/>
    <n v="3504.8159999999998"/>
    <n v="3504.8159999999998"/>
    <n v="0"/>
    <m/>
    <m/>
    <n v="8.3447999999999994E-2"/>
    <m/>
    <n v="3504.8159999999998"/>
    <n v="0"/>
    <m/>
    <m/>
    <n v="8.3447999999999994E-2"/>
    <m/>
    <n v="3504.8159999999998"/>
    <n v="0"/>
    <n v="3504.8159999999998"/>
    <n v="3504.8159999999998"/>
    <n v="3504.8159999999998"/>
    <n v="3504.8159999999998"/>
    <n v="14019.263999999999"/>
    <s v="NA"/>
    <m/>
  </r>
  <r>
    <s v="NSG"/>
    <x v="5"/>
    <s v="Small/Mid-Size Business"/>
    <s v="Partner Trade Ally Rebate"/>
    <x v="21"/>
    <s v="Process"/>
    <s v="MF/CI"/>
    <x v="3"/>
    <s v="4.4.3"/>
    <s v="MBH"/>
    <n v="36945.131999999998"/>
    <n v="36945.131999999998"/>
    <n v="31667.256000000001"/>
    <n v="31667.256000000001"/>
    <s v="CI-HVC-PBTU-V07-230101"/>
    <m/>
    <n v="1.0227353753026578"/>
    <n v="1.0227353753026578"/>
    <n v="1.0227353753026578"/>
    <n v="1.0227353753026578"/>
    <n v="0.93"/>
    <n v="0.93"/>
    <n v="0.93"/>
    <n v="0.93"/>
    <n v="35140.136900712394"/>
    <n v="35140.136900712394"/>
    <n v="30120.117343467773"/>
    <n v="30120.117343467773"/>
    <n v="130520.50848836034"/>
    <n v="0.93"/>
    <n v="0.93"/>
    <n v="0.93"/>
    <n v="0.93"/>
    <n v="0.93"/>
    <n v="0.93"/>
    <n v="0.93"/>
    <n v="0.93"/>
    <m/>
    <m/>
    <n v="1.0227353753026578"/>
    <m/>
    <n v="35140.136900712394"/>
    <n v="0"/>
    <m/>
    <m/>
    <n v="1.0227353753026578"/>
    <s v="Updated measure lifetime."/>
    <n v="35140.136900712394"/>
    <n v="35140.136900712394"/>
    <n v="0"/>
    <m/>
    <m/>
    <n v="1.0227353753026578"/>
    <m/>
    <n v="30120.117343467773"/>
    <n v="0"/>
    <m/>
    <m/>
    <n v="1.0227353753026578"/>
    <m/>
    <n v="30120.117343467773"/>
    <n v="0"/>
    <n v="35140.136900712394"/>
    <n v="35140.136900712394"/>
    <n v="30120.117343467773"/>
    <n v="30120.117343467773"/>
    <n v="130520.50848836034"/>
    <s v="NA"/>
    <m/>
  </r>
  <r>
    <s v="NSG"/>
    <x v="5"/>
    <s v="C&amp;I"/>
    <s v="Retrocommissioning"/>
    <x v="24"/>
    <n v="0"/>
    <s v="CI"/>
    <x v="3"/>
    <n v="0"/>
    <s v="therm"/>
    <n v="35681.399999999994"/>
    <n v="38060.159999999996"/>
    <n v="33302.639999999999"/>
    <n v="32351.135999999999"/>
    <n v="0"/>
    <m/>
    <n v="1"/>
    <n v="1"/>
    <n v="1"/>
    <n v="1"/>
    <n v="0.98"/>
    <n v="0.98"/>
    <n v="0.98"/>
    <n v="0.98"/>
    <n v="34967.771999999997"/>
    <n v="37298.956799999993"/>
    <n v="32636.587199999998"/>
    <n v="31704.113279999998"/>
    <n v="136607.42927999998"/>
    <n v="0.98"/>
    <n v="0.98"/>
    <n v="0.98"/>
    <n v="0.98"/>
    <n v="0.98"/>
    <n v="0.98"/>
    <n v="0.98"/>
    <n v="0.98"/>
    <m/>
    <m/>
    <n v="1"/>
    <m/>
    <n v="34967.771999999997"/>
    <n v="0"/>
    <m/>
    <m/>
    <n v="1"/>
    <s v="n/a"/>
    <n v="37298.956799999993"/>
    <n v="37298.956799999993"/>
    <n v="0"/>
    <m/>
    <m/>
    <n v="1"/>
    <m/>
    <n v="32636.587199999998"/>
    <n v="0"/>
    <m/>
    <m/>
    <n v="1"/>
    <m/>
    <n v="31704.113279999998"/>
    <n v="0"/>
    <n v="34967.771999999997"/>
    <n v="37298.956799999993"/>
    <n v="32636.587199999998"/>
    <n v="31704.113279999998"/>
    <n v="136607.42927999998"/>
    <s v="NA"/>
    <m/>
  </r>
  <r>
    <s v="NSG"/>
    <x v="5"/>
    <s v="C&amp;I"/>
    <s v="Rebates"/>
    <x v="21"/>
    <s v="Space Heating"/>
    <s v="CI"/>
    <x v="3"/>
    <s v="4.4.2"/>
    <s v="MBH"/>
    <n v="25500"/>
    <n v="24000"/>
    <n v="21000"/>
    <n v="20400.000000000004"/>
    <s v="CI-HVC-BLRT-V07-210101"/>
    <m/>
    <n v="0.46874846625766969"/>
    <n v="0.46874846625766969"/>
    <n v="0.46874846625766969"/>
    <n v="0.46874846625766969"/>
    <n v="0.91"/>
    <n v="0.91"/>
    <n v="0.91"/>
    <n v="0.91"/>
    <n v="10877.308159509226"/>
    <n v="10237.466503067506"/>
    <n v="8957.7831901840673"/>
    <n v="8701.8465276073821"/>
    <n v="38774.404380368185"/>
    <n v="0.91"/>
    <n v="0.91"/>
    <n v="0.91"/>
    <n v="0.91"/>
    <n v="0.91"/>
    <n v="0.91"/>
    <n v="0.91"/>
    <n v="0.91"/>
    <m/>
    <m/>
    <n v="0.46874846625766969"/>
    <m/>
    <n v="10877.308159509226"/>
    <n v="0"/>
    <m/>
    <m/>
    <n v="0.46874846625766969"/>
    <s v="n/a"/>
    <n v="10237.466503067506"/>
    <n v="10237.466503067506"/>
    <n v="0"/>
    <m/>
    <m/>
    <n v="0.46874846625766969"/>
    <m/>
    <n v="8957.7831901840673"/>
    <n v="0"/>
    <m/>
    <m/>
    <n v="0.46874846625766969"/>
    <m/>
    <n v="8701.8465276073821"/>
    <n v="0"/>
    <n v="10877.308159509226"/>
    <n v="10237.466503067506"/>
    <n v="8957.7831901840673"/>
    <n v="8701.8465276073821"/>
    <n v="38774.404380368185"/>
    <s v="NA"/>
    <m/>
  </r>
  <r>
    <s v="NSG"/>
    <x v="4"/>
    <s v="Single Family"/>
    <s v="IHWAP"/>
    <x v="17"/>
    <n v="0"/>
    <s v="SF"/>
    <x v="3"/>
    <s v="5.6.5"/>
    <s v="sq ft"/>
    <n v="24000"/>
    <n v="26400"/>
    <n v="33600"/>
    <n v="36000"/>
    <s v="RS-SHL-AINS-V06-230101"/>
    <m/>
    <n v="8.0457181447124299E-2"/>
    <n v="8.0457181447124299E-2"/>
    <n v="8.0457181447124299E-2"/>
    <n v="8.0457181447124299E-2"/>
    <n v="1"/>
    <n v="1"/>
    <n v="1"/>
    <n v="1"/>
    <n v="1930.9723547309832"/>
    <n v="2124.0695902040816"/>
    <n v="2703.3612966233763"/>
    <n v="2896.4585320964748"/>
    <n v="9654.8617736549149"/>
    <n v="1"/>
    <n v="1"/>
    <n v="1"/>
    <n v="1"/>
    <n v="1"/>
    <n v="1"/>
    <n v="1"/>
    <n v="1"/>
    <m/>
    <m/>
    <n v="8.0457181447124299E-2"/>
    <m/>
    <n v="1930.9723547309832"/>
    <n v="0"/>
    <m/>
    <m/>
    <n v="8.0457181447124299E-2"/>
    <s v="No savings impacts with existing measure assumptions."/>
    <n v="2124.0695902040816"/>
    <n v="2124.0695902040816"/>
    <n v="0"/>
    <m/>
    <m/>
    <n v="8.0457181447124299E-2"/>
    <m/>
    <n v="2703.3612966233763"/>
    <n v="0"/>
    <m/>
    <m/>
    <n v="8.0457181447124299E-2"/>
    <m/>
    <n v="2896.4585320964748"/>
    <n v="0"/>
    <n v="1930.9723547309832"/>
    <n v="2124.0695902040816"/>
    <n v="2703.3612966233763"/>
    <n v="2896.4585320964748"/>
    <n v="9654.8617736549149"/>
    <s v="NA"/>
    <m/>
  </r>
  <r>
    <s v="NSG"/>
    <x v="4"/>
    <s v="Single Family"/>
    <s v="IHWAP"/>
    <x v="19"/>
    <n v="0"/>
    <s v="SF"/>
    <x v="3"/>
    <s v="5.6.1"/>
    <s v="CFM_50"/>
    <n v="23783.679999999997"/>
    <n v="26013.399999999998"/>
    <n v="33445.799999999996"/>
    <n v="35675.519999999997"/>
    <s v="RS-SHL-AIRS-V12-230101"/>
    <m/>
    <n v="8.7236018957345965E-2"/>
    <n v="8.7236018957345965E-2"/>
    <n v="8.7236018957345965E-2"/>
    <n v="8.7236018957345965E-2"/>
    <n v="1"/>
    <n v="1"/>
    <n v="1"/>
    <n v="1"/>
    <n v="2074.7935593554498"/>
    <n v="2269.3054555450235"/>
    <n v="2917.6784428436013"/>
    <n v="3112.190339033175"/>
    <n v="10373.96779677725"/>
    <n v="1"/>
    <n v="1"/>
    <n v="1"/>
    <n v="1"/>
    <n v="1"/>
    <n v="1"/>
    <n v="1"/>
    <n v="1"/>
    <m/>
    <m/>
    <n v="8.7236018957345965E-2"/>
    <m/>
    <n v="2074.7935593554498"/>
    <n v="0"/>
    <m/>
    <m/>
    <n v="8.7236018957345965E-2"/>
    <s v="Updated ISR"/>
    <n v="2269.3054555450235"/>
    <n v="2269.3054555450235"/>
    <n v="0"/>
    <m/>
    <m/>
    <n v="8.7236018957345965E-2"/>
    <m/>
    <n v="2917.6784428436013"/>
    <n v="0"/>
    <m/>
    <m/>
    <n v="8.7236018957345965E-2"/>
    <m/>
    <n v="3112.190339033175"/>
    <n v="0"/>
    <n v="2074.7935593554498"/>
    <n v="2269.3054555450235"/>
    <n v="2917.6784428436013"/>
    <n v="3112.190339033175"/>
    <n v="10373.96779677725"/>
    <s v="NA"/>
    <m/>
  </r>
  <r>
    <s v="NSG"/>
    <x v="5"/>
    <s v="Small/Mid-Size Business"/>
    <s v="Gas Optimization"/>
    <x v="25"/>
    <n v="0"/>
    <s v="CI"/>
    <x v="3"/>
    <n v="0"/>
    <s v="therm"/>
    <n v="21177.16"/>
    <n v="21177.16"/>
    <n v="21177.16"/>
    <n v="21177.16"/>
    <n v="0"/>
    <m/>
    <n v="1"/>
    <n v="1"/>
    <n v="1"/>
    <n v="1"/>
    <n v="0.94"/>
    <n v="0.94"/>
    <n v="0.94"/>
    <n v="0.94"/>
    <n v="19906.5304"/>
    <n v="19906.5304"/>
    <n v="19906.5304"/>
    <n v="19906.5304"/>
    <n v="79626.121599999999"/>
    <n v="0.94"/>
    <n v="0.94"/>
    <n v="0.94"/>
    <n v="0.94"/>
    <n v="0.94"/>
    <n v="0.94"/>
    <n v="0.94"/>
    <n v="0.94"/>
    <m/>
    <m/>
    <n v="1"/>
    <m/>
    <n v="19906.5304"/>
    <n v="0"/>
    <m/>
    <m/>
    <n v="1"/>
    <s v="n/a"/>
    <n v="19906.5304"/>
    <n v="19906.5304"/>
    <n v="0"/>
    <m/>
    <m/>
    <n v="1"/>
    <m/>
    <n v="19906.5304"/>
    <n v="0"/>
    <m/>
    <m/>
    <n v="1"/>
    <m/>
    <n v="19906.5304"/>
    <n v="0"/>
    <n v="19906.5304"/>
    <n v="19906.5304"/>
    <n v="19906.5304"/>
    <n v="19906.5304"/>
    <n v="79626.121599999999"/>
    <s v="NA"/>
    <m/>
  </r>
  <r>
    <s v="NSG"/>
    <x v="5"/>
    <s v="Small/Mid-Size Business"/>
    <s v="Rebates"/>
    <x v="21"/>
    <s v="Process"/>
    <s v="MF/CI"/>
    <x v="3"/>
    <s v="4.4.3"/>
    <s v="MBH"/>
    <n v="21111.504000000001"/>
    <n v="15833.628000000001"/>
    <n v="15833.628000000001"/>
    <n v="15833.628000000001"/>
    <s v="CI-HVC-PBTU-V07-230101"/>
    <m/>
    <n v="1.0227353753026578"/>
    <n v="1.0227353753026578"/>
    <n v="1.0227353753026578"/>
    <n v="1.0227353753026578"/>
    <n v="0.93"/>
    <n v="0.93"/>
    <n v="0.93"/>
    <n v="0.93"/>
    <n v="20080.078228978513"/>
    <n v="15060.058671733887"/>
    <n v="15060.058671733887"/>
    <n v="15060.058671733887"/>
    <n v="65260.254244180178"/>
    <n v="0.93"/>
    <n v="0.93"/>
    <n v="0.93"/>
    <n v="0.93"/>
    <n v="0.93"/>
    <n v="0.93"/>
    <n v="0.93"/>
    <n v="0.93"/>
    <m/>
    <m/>
    <n v="1.0227353753026578"/>
    <m/>
    <n v="20080.078228978513"/>
    <n v="0"/>
    <m/>
    <m/>
    <n v="1.0227353753026578"/>
    <s v="Updated measure lifetime."/>
    <n v="15060.058671733887"/>
    <n v="15060.058671733887"/>
    <n v="0"/>
    <m/>
    <m/>
    <n v="1.0227353753026578"/>
    <m/>
    <n v="15060.058671733887"/>
    <n v="0"/>
    <m/>
    <m/>
    <n v="1.0227353753026578"/>
    <m/>
    <n v="15060.058671733887"/>
    <n v="0"/>
    <n v="20080.078228978513"/>
    <n v="15060.058671733887"/>
    <n v="15060.058671733887"/>
    <n v="15060.058671733887"/>
    <n v="65260.254244180178"/>
    <s v="NA"/>
    <m/>
  </r>
  <r>
    <s v="NSG"/>
    <x v="3"/>
    <s v="Home Energy Jumpstart"/>
    <s v="Leave Behind Kit"/>
    <x v="26"/>
    <n v="0"/>
    <s v="SF"/>
    <x v="3"/>
    <s v="5.6.1"/>
    <s v="linear foot"/>
    <n v="16000"/>
    <n v="14400"/>
    <n v="12800"/>
    <n v="11200"/>
    <s v="RS-SHL-AIRS-V12-230101"/>
    <m/>
    <n v="0.42455999999999999"/>
    <n v="0.42455999999999999"/>
    <n v="0.42455999999999999"/>
    <n v="0.42455999999999999"/>
    <n v="0.88"/>
    <n v="0.88"/>
    <n v="0.88"/>
    <n v="0.88"/>
    <n v="5977.8047999999999"/>
    <n v="5380.0243199999995"/>
    <n v="4782.2438399999992"/>
    <n v="4184.4633599999997"/>
    <n v="20324.536319999999"/>
    <n v="0.88"/>
    <n v="0.88"/>
    <n v="0.88"/>
    <n v="0.88"/>
    <n v="0.88"/>
    <n v="0.88"/>
    <n v="0.88"/>
    <n v="0.88"/>
    <m/>
    <m/>
    <n v="0.42455999999999999"/>
    <m/>
    <n v="5977.8047999999999"/>
    <n v="0"/>
    <m/>
    <m/>
    <n v="0.42455999999999999"/>
    <s v="Updated ISR"/>
    <n v="5380.0243199999995"/>
    <n v="5380.0243199999995"/>
    <n v="0"/>
    <m/>
    <m/>
    <n v="0.42455999999999999"/>
    <m/>
    <n v="4782.2438399999992"/>
    <n v="0"/>
    <m/>
    <m/>
    <n v="0.42455999999999999"/>
    <m/>
    <n v="4184.4633599999997"/>
    <n v="0"/>
    <n v="5977.8047999999999"/>
    <n v="5380.0243199999995"/>
    <n v="4782.2438399999992"/>
    <n v="4184.4633599999997"/>
    <n v="20324.536319999999"/>
    <s v="NA"/>
    <m/>
  </r>
  <r>
    <s v="NSG"/>
    <x v="5"/>
    <s v="Small/Mid-Size Business"/>
    <s v="Partner Trade Ally Rebate"/>
    <x v="21"/>
    <s v="Space Heating"/>
    <s v="CI"/>
    <x v="3"/>
    <s v="4.4.2"/>
    <s v="MBH"/>
    <n v="15235.5"/>
    <n v="10157"/>
    <n v="10157"/>
    <n v="10157"/>
    <s v="CI-HVC-BLRT-V07-210101"/>
    <m/>
    <n v="0.46874846625766969"/>
    <n v="0.46874846625766969"/>
    <n v="0.46874846625766969"/>
    <n v="0.46874846625766969"/>
    <n v="0.93"/>
    <n v="0.93"/>
    <n v="0.93"/>
    <n v="0.93"/>
    <n v="6641.704049631916"/>
    <n v="4427.8026997546112"/>
    <n v="4427.8026997546112"/>
    <n v="4427.8026997546112"/>
    <n v="19925.112148895751"/>
    <n v="0.93"/>
    <n v="0.93"/>
    <n v="0.93"/>
    <n v="0.93"/>
    <n v="0.93"/>
    <n v="0.93"/>
    <n v="0.93"/>
    <n v="0.93"/>
    <m/>
    <m/>
    <n v="0.46874846625766969"/>
    <m/>
    <n v="6641.704049631916"/>
    <n v="0"/>
    <m/>
    <m/>
    <n v="0.46874846625766969"/>
    <s v="n/a"/>
    <n v="4427.8026997546112"/>
    <n v="4427.8026997546112"/>
    <n v="0"/>
    <m/>
    <m/>
    <n v="0.46874846625766969"/>
    <m/>
    <n v="4427.8026997546112"/>
    <n v="0"/>
    <m/>
    <m/>
    <n v="0.46874846625766969"/>
    <m/>
    <n v="4427.8026997546112"/>
    <n v="0"/>
    <n v="6641.704049631916"/>
    <n v="4427.8026997546112"/>
    <n v="4427.8026997546112"/>
    <n v="4427.8026997546112"/>
    <n v="19925.112148895751"/>
    <s v="NA"/>
    <m/>
  </r>
  <r>
    <s v="NSG"/>
    <x v="4"/>
    <s v="Multi-Family"/>
    <s v="MF IHWAP"/>
    <x v="27"/>
    <n v="0"/>
    <s v="MF"/>
    <x v="4"/>
    <n v="0"/>
    <s v="therm"/>
    <n v="13600"/>
    <n v="13600"/>
    <n v="13600"/>
    <n v="13600"/>
    <n v="0"/>
    <m/>
    <n v="1"/>
    <n v="1"/>
    <n v="1"/>
    <n v="1"/>
    <n v="1"/>
    <n v="1"/>
    <n v="1"/>
    <n v="1"/>
    <n v="13600"/>
    <n v="13600"/>
    <n v="13600"/>
    <n v="13600"/>
    <n v="54400"/>
    <n v="1"/>
    <n v="1"/>
    <n v="1"/>
    <n v="1"/>
    <n v="1"/>
    <n v="1"/>
    <n v="1"/>
    <n v="1"/>
    <m/>
    <m/>
    <n v="1"/>
    <m/>
    <n v="13600"/>
    <n v="0"/>
    <m/>
    <m/>
    <n v="1"/>
    <s v="n/a"/>
    <n v="13600"/>
    <n v="13600"/>
    <n v="0"/>
    <m/>
    <m/>
    <n v="1"/>
    <m/>
    <n v="13600"/>
    <n v="0"/>
    <m/>
    <m/>
    <n v="1"/>
    <m/>
    <n v="13600"/>
    <n v="0"/>
    <n v="13600"/>
    <n v="13600"/>
    <n v="13600"/>
    <n v="13600"/>
    <n v="54400"/>
    <s v="NA"/>
    <m/>
  </r>
  <r>
    <s v="NSG"/>
    <x v="5"/>
    <s v="C&amp;I"/>
    <s v="Rebates"/>
    <x v="28"/>
    <s v="≥88% AFUE, ≥300MBh TE"/>
    <s v="CI"/>
    <x v="3"/>
    <s v="4.4.10"/>
    <s v="MBH"/>
    <n v="12750"/>
    <n v="12000.000000000002"/>
    <n v="10499.999999999998"/>
    <n v="10200"/>
    <s v="CI-HVC-BOIL-V10-230101"/>
    <m/>
    <n v="1.6609999999999991"/>
    <n v="1.6609999999999991"/>
    <n v="1.6609999999999991"/>
    <n v="1.6609999999999991"/>
    <n v="0.91"/>
    <n v="0.91"/>
    <n v="0.91"/>
    <n v="0.91"/>
    <n v="19271.752499999991"/>
    <n v="18138.119999999995"/>
    <n v="15870.85499999999"/>
    <n v="15417.401999999991"/>
    <n v="68698.129499999966"/>
    <n v="0.91"/>
    <n v="0.91"/>
    <n v="0.91"/>
    <n v="0.91"/>
    <n v="0.91"/>
    <n v="0.91"/>
    <n v="0.91"/>
    <n v="0.91"/>
    <m/>
    <m/>
    <n v="1.6609999999999991"/>
    <m/>
    <n v="19271.752499999991"/>
    <n v="0"/>
    <m/>
    <m/>
    <n v="1.6609999999999991"/>
    <s v="n/a"/>
    <n v="18138.119999999995"/>
    <n v="18138.119999999995"/>
    <n v="0"/>
    <m/>
    <m/>
    <n v="1.6609999999999991"/>
    <m/>
    <n v="15870.85499999999"/>
    <n v="0"/>
    <m/>
    <m/>
    <n v="1.6609999999999991"/>
    <m/>
    <n v="15417.401999999991"/>
    <n v="0"/>
    <n v="19271.752499999991"/>
    <n v="18138.119999999995"/>
    <n v="15870.85499999999"/>
    <n v="15417.401999999991"/>
    <n v="68698.129499999966"/>
    <s v="NA"/>
    <m/>
  </r>
  <r>
    <s v="NSG"/>
    <x v="5"/>
    <s v="C&amp;I"/>
    <s v="Rebates"/>
    <x v="29"/>
    <n v="0"/>
    <s v="CI"/>
    <x v="3"/>
    <s v="4.4.21"/>
    <s v="MBH"/>
    <n v="12750"/>
    <n v="12000.000000000002"/>
    <n v="10499.999999999998"/>
    <n v="10200"/>
    <s v="CI-HVC-LBC-V06-220101"/>
    <m/>
    <n v="0.56277999999999995"/>
    <n v="0.56277999999999995"/>
    <n v="0.56277999999999995"/>
    <n v="0.56277999999999995"/>
    <n v="0.91"/>
    <n v="0.91"/>
    <n v="0.91"/>
    <n v="0.91"/>
    <n v="6529.6549500000001"/>
    <n v="6145.557600000001"/>
    <n v="5377.3628999999992"/>
    <n v="5223.7239600000003"/>
    <n v="23276.29941"/>
    <n v="0.91"/>
    <n v="0.91"/>
    <n v="0.91"/>
    <n v="0.91"/>
    <n v="0.91"/>
    <n v="0.91"/>
    <n v="0.91"/>
    <n v="0.91"/>
    <m/>
    <m/>
    <n v="0.56277999999999995"/>
    <m/>
    <n v="6529.6549500000001"/>
    <n v="0"/>
    <m/>
    <m/>
    <n v="0.56277999999999995"/>
    <s v="n/a"/>
    <n v="6145.557600000001"/>
    <n v="6145.557600000001"/>
    <n v="0"/>
    <m/>
    <m/>
    <n v="0.56277999999999995"/>
    <m/>
    <n v="5377.3628999999992"/>
    <n v="0"/>
    <m/>
    <m/>
    <n v="0.56277999999999995"/>
    <m/>
    <n v="5223.7239600000003"/>
    <n v="0"/>
    <n v="6529.6549500000001"/>
    <n v="6145.557600000001"/>
    <n v="5377.3628999999992"/>
    <n v="5223.7239600000003"/>
    <n v="23276.29941"/>
    <s v="NA"/>
    <m/>
  </r>
  <r>
    <s v="NSG"/>
    <x v="5"/>
    <s v="Public Sector"/>
    <s v="Rebates"/>
    <x v="21"/>
    <s v="Space Heating"/>
    <s v="CI"/>
    <x v="3"/>
    <s v="4.4.2"/>
    <s v="MBH"/>
    <n v="12000"/>
    <n v="12000"/>
    <n v="12000"/>
    <n v="12000"/>
    <s v="CI-HVC-BLRT-V07-210101"/>
    <m/>
    <n v="0.46874846625766969"/>
    <n v="0.46874846625766969"/>
    <n v="0.46874846625766969"/>
    <n v="0.46874846625766969"/>
    <n v="0.92"/>
    <n v="0.92"/>
    <n v="0.92"/>
    <n v="0.92"/>
    <n v="5174.9830674846735"/>
    <n v="5174.9830674846735"/>
    <n v="5174.9830674846735"/>
    <n v="5174.9830674846735"/>
    <n v="20699.932269938694"/>
    <n v="0.92"/>
    <n v="0.92"/>
    <n v="0.92"/>
    <n v="0.92"/>
    <n v="0.92"/>
    <n v="0.92"/>
    <n v="0.92"/>
    <n v="0.92"/>
    <m/>
    <m/>
    <n v="0.46874846625766969"/>
    <m/>
    <n v="5174.9830674846735"/>
    <n v="0"/>
    <m/>
    <m/>
    <n v="0.46874846625766969"/>
    <s v="n/a"/>
    <n v="5174.9830674846735"/>
    <n v="5174.9830674846735"/>
    <n v="0"/>
    <m/>
    <m/>
    <n v="0.46874846625766969"/>
    <m/>
    <n v="5174.9830674846735"/>
    <n v="0"/>
    <m/>
    <m/>
    <n v="0.46874846625766969"/>
    <m/>
    <n v="5174.9830674846735"/>
    <n v="0"/>
    <n v="5174.9830674846735"/>
    <n v="5174.9830674846735"/>
    <n v="5174.9830674846735"/>
    <n v="5174.9830674846735"/>
    <n v="20699.932269938694"/>
    <s v="NA"/>
    <m/>
  </r>
  <r>
    <s v="NSG"/>
    <x v="5"/>
    <s v="Public Sector"/>
    <s v="Custom"/>
    <x v="22"/>
    <n v="0"/>
    <s v="CI"/>
    <x v="4"/>
    <n v="0"/>
    <s v="therm"/>
    <n v="11869.5"/>
    <n v="11869.5"/>
    <n v="11869.5"/>
    <n v="11869.5"/>
    <n v="0"/>
    <m/>
    <n v="1"/>
    <n v="1"/>
    <n v="1"/>
    <n v="1"/>
    <n v="0.92"/>
    <n v="0.92"/>
    <n v="0.92"/>
    <n v="0.92"/>
    <n v="10919.94"/>
    <n v="10919.94"/>
    <n v="10919.94"/>
    <n v="10919.94"/>
    <n v="43679.76"/>
    <n v="0.92"/>
    <n v="0.92"/>
    <n v="0.92"/>
    <n v="0.92"/>
    <n v="0.92"/>
    <n v="0.92"/>
    <n v="0.92"/>
    <n v="0.92"/>
    <m/>
    <m/>
    <n v="1"/>
    <m/>
    <n v="10919.94"/>
    <n v="0"/>
    <m/>
    <m/>
    <n v="1"/>
    <s v="n/a"/>
    <n v="10919.94"/>
    <n v="10919.94"/>
    <n v="0"/>
    <m/>
    <m/>
    <n v="1"/>
    <m/>
    <n v="10919.94"/>
    <n v="0"/>
    <m/>
    <m/>
    <n v="1"/>
    <m/>
    <n v="10919.94"/>
    <n v="0"/>
    <n v="10919.94"/>
    <n v="10919.94"/>
    <n v="10919.94"/>
    <n v="10919.94"/>
    <n v="43679.76"/>
    <s v="NA"/>
    <m/>
  </r>
  <r>
    <s v="NSG"/>
    <x v="4"/>
    <s v="Single Family"/>
    <s v="IE Kits"/>
    <x v="30"/>
    <s v="IE Kit"/>
    <s v="IE"/>
    <x v="3"/>
    <s v="5.6.1"/>
    <s v="each"/>
    <n v="11200"/>
    <n v="11200"/>
    <n v="11200"/>
    <n v="11200"/>
    <s v="RS-SHL-AIRS-V12-230101"/>
    <m/>
    <n v="0.19176000000000001"/>
    <n v="0.19176000000000001"/>
    <n v="0.19176000000000001"/>
    <n v="0.19176000000000001"/>
    <n v="1"/>
    <n v="1"/>
    <n v="1"/>
    <n v="1"/>
    <n v="2147.712"/>
    <n v="2147.712"/>
    <n v="2147.712"/>
    <n v="2147.712"/>
    <n v="8590.848"/>
    <n v="1"/>
    <n v="1"/>
    <n v="1"/>
    <n v="1"/>
    <n v="1"/>
    <n v="1"/>
    <n v="1"/>
    <n v="1"/>
    <m/>
    <m/>
    <n v="0.19176000000000001"/>
    <m/>
    <n v="2147.712"/>
    <n v="0"/>
    <m/>
    <m/>
    <n v="0.15040000000000001"/>
    <s v="Updated ISR"/>
    <n v="2147.712"/>
    <n v="1684.48"/>
    <n v="-463.23199999999997"/>
    <m/>
    <m/>
    <n v="0.15040000000000001"/>
    <m/>
    <n v="1684.48"/>
    <n v="-463.23199999999997"/>
    <m/>
    <m/>
    <n v="0.15040000000000001"/>
    <m/>
    <n v="1684.48"/>
    <n v="-463.23199999999997"/>
    <n v="2147.712"/>
    <n v="1684.48"/>
    <n v="1684.48"/>
    <n v="1684.48"/>
    <n v="7201.152"/>
    <s v="NA"/>
    <m/>
  </r>
  <r>
    <s v="NSG"/>
    <x v="5"/>
    <s v="Small/Mid-Size Business"/>
    <s v="Custom"/>
    <x v="22"/>
    <n v="0"/>
    <s v="CI"/>
    <x v="4"/>
    <n v="0"/>
    <s v="therm"/>
    <n v="10784"/>
    <n v="10784"/>
    <n v="10784"/>
    <n v="10784"/>
    <n v="0"/>
    <m/>
    <n v="1"/>
    <n v="1"/>
    <n v="1"/>
    <n v="1"/>
    <n v="0.93"/>
    <n v="0.93"/>
    <n v="0.93"/>
    <n v="0.93"/>
    <n v="10029.120000000001"/>
    <n v="10029.120000000001"/>
    <n v="10029.120000000001"/>
    <n v="10029.120000000001"/>
    <n v="40116.480000000003"/>
    <n v="0.93"/>
    <n v="0.93"/>
    <n v="0.93"/>
    <n v="0.93"/>
    <n v="0.93"/>
    <n v="0.93"/>
    <n v="0.93"/>
    <n v="0.93"/>
    <m/>
    <m/>
    <n v="1"/>
    <m/>
    <n v="10029.120000000001"/>
    <n v="0"/>
    <m/>
    <m/>
    <n v="1"/>
    <s v="n/a"/>
    <n v="10029.120000000001"/>
    <n v="10029.120000000001"/>
    <n v="0"/>
    <m/>
    <m/>
    <n v="1"/>
    <m/>
    <n v="10029.120000000001"/>
    <n v="0"/>
    <m/>
    <m/>
    <n v="1"/>
    <m/>
    <n v="10029.120000000001"/>
    <n v="0"/>
    <n v="10029.120000000001"/>
    <n v="10029.120000000001"/>
    <n v="10029.120000000001"/>
    <n v="10029.120000000001"/>
    <n v="40116.480000000003"/>
    <s v="NA"/>
    <m/>
  </r>
  <r>
    <s v="NSG"/>
    <x v="4"/>
    <s v="Multi-Family"/>
    <s v="IE Kits"/>
    <x v="23"/>
    <s v="IE Kit"/>
    <s v="IE"/>
    <x v="3"/>
    <s v="5.6.1"/>
    <s v="sqft"/>
    <n v="10500"/>
    <n v="10500"/>
    <n v="10500"/>
    <n v="10500"/>
    <s v="RS-SHL-AIRS-V12-230101"/>
    <m/>
    <n v="8.3447999999999994E-2"/>
    <n v="8.3447999999999994E-2"/>
    <n v="8.3447999999999994E-2"/>
    <n v="8.3447999999999994E-2"/>
    <n v="1"/>
    <n v="1"/>
    <n v="1"/>
    <n v="1"/>
    <n v="876.20399999999995"/>
    <n v="876.20399999999995"/>
    <n v="876.20399999999995"/>
    <n v="876.20399999999995"/>
    <n v="3504.8159999999998"/>
    <n v="1"/>
    <n v="1"/>
    <n v="1"/>
    <n v="1"/>
    <n v="1"/>
    <n v="1"/>
    <n v="1"/>
    <n v="1"/>
    <m/>
    <m/>
    <n v="8.3447999999999994E-2"/>
    <m/>
    <n v="876.20399999999995"/>
    <n v="0"/>
    <m/>
    <m/>
    <n v="8.3447999999999994E-2"/>
    <s v="Updated ISR"/>
    <n v="876.20399999999995"/>
    <n v="876.20399999999995"/>
    <n v="0"/>
    <m/>
    <m/>
    <n v="8.3447999999999994E-2"/>
    <m/>
    <n v="876.20399999999995"/>
    <n v="0"/>
    <m/>
    <m/>
    <n v="8.3447999999999994E-2"/>
    <m/>
    <n v="876.20399999999995"/>
    <n v="0"/>
    <n v="876.20399999999995"/>
    <n v="876.20399999999995"/>
    <n v="876.20399999999995"/>
    <n v="876.20399999999995"/>
    <n v="3504.8159999999998"/>
    <s v="NA"/>
    <m/>
  </r>
  <r>
    <s v="NSG"/>
    <x v="5"/>
    <s v="Small/Mid-Size Business"/>
    <s v="Rebates"/>
    <x v="21"/>
    <s v="Space Heating"/>
    <s v="CI"/>
    <x v="3"/>
    <s v="4.4.2"/>
    <s v="MBH"/>
    <n v="10157"/>
    <n v="10157"/>
    <n v="10157"/>
    <n v="10157"/>
    <s v="CI-HVC-BLRT-V07-210101"/>
    <m/>
    <n v="0.46874846625766969"/>
    <n v="0.46874846625766969"/>
    <n v="0.46874846625766969"/>
    <n v="0.46874846625766969"/>
    <n v="0.93"/>
    <n v="0.93"/>
    <n v="0.93"/>
    <n v="0.93"/>
    <n v="4427.8026997546112"/>
    <n v="4427.8026997546112"/>
    <n v="4427.8026997546112"/>
    <n v="4427.8026997546112"/>
    <n v="17711.210799018445"/>
    <n v="0.93"/>
    <n v="0.93"/>
    <n v="0.93"/>
    <n v="0.93"/>
    <n v="0.93"/>
    <n v="0.93"/>
    <n v="0.93"/>
    <n v="0.93"/>
    <m/>
    <m/>
    <n v="0.46874846625766969"/>
    <m/>
    <n v="4427.8026997546112"/>
    <n v="0"/>
    <m/>
    <m/>
    <n v="0.46874846625766969"/>
    <s v="n/a"/>
    <n v="4427.8026997546112"/>
    <n v="4427.8026997546112"/>
    <n v="0"/>
    <m/>
    <m/>
    <n v="0.46874846625766969"/>
    <m/>
    <n v="4427.8026997546112"/>
    <n v="0"/>
    <m/>
    <m/>
    <n v="0.46874846625766969"/>
    <m/>
    <n v="4427.8026997546112"/>
    <n v="0"/>
    <n v="4427.8026997546112"/>
    <n v="4427.8026997546112"/>
    <n v="4427.8026997546112"/>
    <n v="4427.8026997546112"/>
    <n v="17711.210799018445"/>
    <s v="NA"/>
    <m/>
  </r>
  <r>
    <s v="NSG"/>
    <x v="3"/>
    <s v="Multi-Family"/>
    <s v="Partner Trade Ally Rebate"/>
    <x v="21"/>
    <s v="Process"/>
    <s v="MF/CI"/>
    <x v="3"/>
    <s v="4.4.3"/>
    <s v="MBH"/>
    <n v="10000"/>
    <n v="10000"/>
    <n v="10000"/>
    <n v="10000"/>
    <s v="CI-HVC-PBTU-V07-230101"/>
    <m/>
    <n v="1.0227353753026578"/>
    <n v="1.0227353753026578"/>
    <n v="1.0227353753026578"/>
    <n v="1.0227353753026578"/>
    <n v="0.87"/>
    <n v="0.87"/>
    <n v="0.87"/>
    <n v="0.87"/>
    <n v="8897.7977651331239"/>
    <n v="8897.7977651331239"/>
    <n v="8897.7977651331239"/>
    <n v="8897.7977651331239"/>
    <n v="35591.191060532496"/>
    <n v="0.87"/>
    <n v="0.87"/>
    <n v="0.87"/>
    <n v="0.87"/>
    <n v="0.87"/>
    <n v="0.87"/>
    <n v="0.87"/>
    <n v="0.87"/>
    <m/>
    <m/>
    <n v="1.0227353753026578"/>
    <m/>
    <n v="8897.7977651331239"/>
    <n v="0"/>
    <m/>
    <m/>
    <n v="1.0227353753026578"/>
    <s v="Updated measure lifetime."/>
    <n v="8897.7977651331239"/>
    <n v="8897.7977651331239"/>
    <n v="0"/>
    <m/>
    <m/>
    <n v="1.0227353753026578"/>
    <m/>
    <n v="8897.7977651331239"/>
    <n v="0"/>
    <m/>
    <m/>
    <n v="1.0227353753026578"/>
    <m/>
    <n v="8897.7977651331239"/>
    <n v="0"/>
    <n v="8897.7977651331239"/>
    <n v="8897.7977651331239"/>
    <n v="8897.7977651331239"/>
    <n v="8897.7977651331239"/>
    <n v="35591.191060532496"/>
    <s v="NA"/>
    <m/>
  </r>
  <r>
    <s v="NSG"/>
    <x v="5"/>
    <s v="Public Sector"/>
    <s v="Rebates"/>
    <x v="28"/>
    <s v="≥88% AFUE, ≥300MBh TE"/>
    <s v="CI"/>
    <x v="3"/>
    <s v="4.4.10"/>
    <s v="MBH"/>
    <n v="10000"/>
    <n v="10000"/>
    <n v="10000"/>
    <n v="10000"/>
    <s v="CI-HVC-BOIL-V10-230101"/>
    <m/>
    <n v="1.6609999999999991"/>
    <n v="1.6609999999999991"/>
    <n v="1.6609999999999991"/>
    <n v="1.6609999999999991"/>
    <n v="0.92"/>
    <n v="0.92"/>
    <n v="0.92"/>
    <n v="0.92"/>
    <n v="15281.199999999993"/>
    <n v="15281.199999999993"/>
    <n v="15281.199999999993"/>
    <n v="15281.199999999993"/>
    <n v="61124.799999999974"/>
    <n v="0.92"/>
    <n v="0.92"/>
    <n v="0.92"/>
    <n v="0.92"/>
    <n v="0.92"/>
    <n v="0.92"/>
    <n v="0.92"/>
    <n v="0.92"/>
    <m/>
    <m/>
    <n v="1.6609999999999991"/>
    <m/>
    <n v="15281.199999999993"/>
    <n v="0"/>
    <m/>
    <m/>
    <n v="1.6609999999999991"/>
    <s v="n/a"/>
    <n v="15281.199999999993"/>
    <n v="15281.199999999993"/>
    <n v="0"/>
    <m/>
    <m/>
    <n v="1.6609999999999991"/>
    <m/>
    <n v="15281.199999999993"/>
    <n v="0"/>
    <m/>
    <m/>
    <n v="1.6609999999999991"/>
    <m/>
    <n v="15281.199999999993"/>
    <n v="0"/>
    <n v="15281.199999999993"/>
    <n v="15281.199999999993"/>
    <n v="15281.199999999993"/>
    <n v="15281.199999999993"/>
    <n v="61124.799999999974"/>
    <s v="NA"/>
    <m/>
  </r>
  <r>
    <s v="NSG"/>
    <x v="5"/>
    <s v="Public Sector"/>
    <s v="Rebates"/>
    <x v="31"/>
    <n v="0"/>
    <s v="MF/CI/SMB"/>
    <x v="3"/>
    <s v="4.4.19"/>
    <s v="sqft"/>
    <n v="10000"/>
    <n v="10000"/>
    <n v="10000"/>
    <n v="10000"/>
    <s v="CI-HVC-DCV-V06-220101"/>
    <m/>
    <n v="6.8000000000000005E-2"/>
    <n v="6.8000000000000005E-2"/>
    <n v="6.8000000000000005E-2"/>
    <n v="6.8000000000000005E-2"/>
    <n v="0.92"/>
    <n v="0.92"/>
    <n v="0.92"/>
    <n v="0.92"/>
    <n v="625.6"/>
    <n v="625.6"/>
    <n v="625.6"/>
    <n v="625.6"/>
    <n v="2502.4"/>
    <n v="0.92"/>
    <n v="0.92"/>
    <n v="0.92"/>
    <n v="0.92"/>
    <n v="0.92"/>
    <n v="0.92"/>
    <n v="0.92"/>
    <n v="0.92"/>
    <m/>
    <m/>
    <n v="6.8000000000000005E-2"/>
    <m/>
    <n v="625.6"/>
    <n v="0"/>
    <m/>
    <m/>
    <n v="6.8000000000000005E-2"/>
    <s v="n/a"/>
    <n v="625.6"/>
    <n v="625.6"/>
    <n v="0"/>
    <m/>
    <m/>
    <n v="6.8000000000000005E-2"/>
    <m/>
    <n v="625.6"/>
    <n v="0"/>
    <m/>
    <m/>
    <n v="6.8000000000000005E-2"/>
    <m/>
    <n v="625.6"/>
    <n v="0"/>
    <n v="625.6"/>
    <n v="625.6"/>
    <n v="625.6"/>
    <n v="625.6"/>
    <n v="2502.4"/>
    <s v="NA"/>
    <m/>
  </r>
  <r>
    <s v="NSG"/>
    <x v="4"/>
    <s v="Single Family"/>
    <s v="IE Kits"/>
    <x v="26"/>
    <s v="IE Kit"/>
    <s v="IE"/>
    <x v="3"/>
    <s v="5.6.1"/>
    <s v="linear ft"/>
    <n v="9520"/>
    <n v="9520"/>
    <n v="9520"/>
    <n v="9520"/>
    <s v="RS-SHL-AIRS-V12-230101"/>
    <m/>
    <n v="0.30743999999999999"/>
    <n v="0.30743999999999999"/>
    <n v="0.30743999999999999"/>
    <n v="0.30743999999999999"/>
    <n v="1"/>
    <n v="1"/>
    <n v="1"/>
    <n v="1"/>
    <n v="2926.8287999999998"/>
    <n v="2926.8287999999998"/>
    <n v="2926.8287999999998"/>
    <n v="2926.8287999999998"/>
    <n v="11707.315199999999"/>
    <n v="1"/>
    <n v="1"/>
    <n v="1"/>
    <n v="1"/>
    <n v="1"/>
    <n v="1"/>
    <n v="1"/>
    <n v="1"/>
    <m/>
    <m/>
    <n v="0.30743999999999999"/>
    <m/>
    <n v="2926.8287999999998"/>
    <n v="0"/>
    <m/>
    <m/>
    <n v="0.30743999999999999"/>
    <s v="Updated ISR"/>
    <n v="2926.8287999999998"/>
    <n v="2926.8287999999998"/>
    <n v="0"/>
    <m/>
    <m/>
    <n v="0.30743999999999999"/>
    <m/>
    <n v="2926.8287999999998"/>
    <n v="0"/>
    <m/>
    <m/>
    <n v="0.30743999999999999"/>
    <m/>
    <n v="2926.8287999999998"/>
    <n v="0"/>
    <n v="2926.8287999999998"/>
    <n v="2926.8287999999998"/>
    <n v="2926.8287999999998"/>
    <n v="2926.8287999999998"/>
    <n v="11707.315199999999"/>
    <s v="NA"/>
    <m/>
  </r>
  <r>
    <s v="NSG"/>
    <x v="5"/>
    <s v="C&amp;I"/>
    <s v="Rebates"/>
    <x v="31"/>
    <n v="0"/>
    <s v="MF/CI/SMB"/>
    <x v="3"/>
    <s v="4.4.19"/>
    <s v="sqft"/>
    <n v="8500"/>
    <n v="8000"/>
    <n v="7000"/>
    <n v="6800.0000000000009"/>
    <s v="CI-HVC-DCV-V06-220101"/>
    <m/>
    <n v="6.8000000000000005E-2"/>
    <n v="6.8000000000000005E-2"/>
    <n v="6.8000000000000005E-2"/>
    <n v="6.8000000000000005E-2"/>
    <n v="0.91"/>
    <n v="0.91"/>
    <n v="0.91"/>
    <n v="0.91"/>
    <n v="525.98"/>
    <n v="495.04"/>
    <n v="433.16000000000008"/>
    <n v="420.78400000000011"/>
    <n v="1874.9640000000002"/>
    <n v="0.91"/>
    <n v="0.91"/>
    <n v="0.91"/>
    <n v="0.91"/>
    <n v="0.91"/>
    <n v="0.91"/>
    <n v="0.91"/>
    <n v="0.91"/>
    <m/>
    <m/>
    <n v="6.8000000000000005E-2"/>
    <m/>
    <n v="525.98"/>
    <n v="0"/>
    <m/>
    <m/>
    <n v="6.8000000000000005E-2"/>
    <s v="n/a"/>
    <n v="495.04"/>
    <n v="495.04"/>
    <n v="0"/>
    <m/>
    <m/>
    <n v="6.8000000000000005E-2"/>
    <m/>
    <n v="433.16000000000008"/>
    <n v="0"/>
    <m/>
    <m/>
    <n v="6.8000000000000005E-2"/>
    <m/>
    <n v="420.78400000000011"/>
    <n v="0"/>
    <n v="525.98"/>
    <n v="495.04"/>
    <n v="433.16000000000008"/>
    <n v="420.78400000000011"/>
    <n v="1874.9640000000002"/>
    <s v="NA"/>
    <m/>
  </r>
  <r>
    <s v="NSG"/>
    <x v="4"/>
    <s v="Multi-Family"/>
    <s v="MF IHWAP"/>
    <x v="32"/>
    <n v="0"/>
    <s v="SF"/>
    <x v="3"/>
    <s v="5.6.4"/>
    <s v="sq ft"/>
    <n v="7200"/>
    <n v="9000"/>
    <n v="16200"/>
    <n v="18000"/>
    <s v="RS-SHL-WINS-V12-230101"/>
    <m/>
    <n v="0.10827529411764705"/>
    <n v="0.10827529411764705"/>
    <n v="0.10827529411764705"/>
    <n v="0.10827529411764705"/>
    <n v="1"/>
    <n v="1"/>
    <n v="1"/>
    <n v="1"/>
    <n v="779.58211764705879"/>
    <n v="974.47764705882344"/>
    <n v="1754.0597647058823"/>
    <n v="1948.9552941176469"/>
    <n v="5457.0748235294113"/>
    <n v="1"/>
    <n v="1"/>
    <n v="1"/>
    <n v="1"/>
    <n v="1"/>
    <n v="1"/>
    <n v="1"/>
    <n v="1"/>
    <m/>
    <m/>
    <n v="0.10827529411764705"/>
    <m/>
    <n v="779.58211764705879"/>
    <n v="0"/>
    <m/>
    <m/>
    <n v="0.10827529411764705"/>
    <s v="No savings impacts with existing measure assumptions."/>
    <n v="974.47764705882344"/>
    <n v="974.47764705882344"/>
    <n v="0"/>
    <m/>
    <m/>
    <n v="0.10827529411764705"/>
    <m/>
    <n v="1754.0597647058823"/>
    <n v="0"/>
    <m/>
    <m/>
    <n v="0.10827529411764705"/>
    <m/>
    <n v="1948.9552941176469"/>
    <n v="0"/>
    <n v="779.58211764705879"/>
    <n v="974.47764705882344"/>
    <n v="1754.0597647058823"/>
    <n v="1948.9552941176469"/>
    <n v="5457.0748235294113"/>
    <s v="NA"/>
    <m/>
  </r>
  <r>
    <s v="NSG"/>
    <x v="3"/>
    <s v="Home Energy Rebate"/>
    <s v="Partner Trade Ally Rebate"/>
    <x v="33"/>
    <n v="0"/>
    <s v="SF"/>
    <x v="3"/>
    <s v="5.3.4"/>
    <s v="CFM_25"/>
    <n v="6000"/>
    <n v="6000"/>
    <n v="6000"/>
    <n v="6000"/>
    <s v="RS-HVC-DINS-V11-230101"/>
    <m/>
    <n v="0.70396939263510283"/>
    <n v="0.70396939263510283"/>
    <n v="0.70396939263510283"/>
    <n v="0.70396939263510283"/>
    <n v="0.87"/>
    <n v="0.87"/>
    <n v="0.87"/>
    <n v="0.87"/>
    <n v="3674.720229555237"/>
    <n v="3674.720229555237"/>
    <n v="3674.720229555237"/>
    <n v="3674.720229555237"/>
    <n v="14698.880918220948"/>
    <n v="0.87"/>
    <n v="0.87"/>
    <n v="0.87"/>
    <n v="0.87"/>
    <n v="0.87"/>
    <n v="0.87"/>
    <n v="0.87"/>
    <n v="0.87"/>
    <m/>
    <m/>
    <n v="0.70396939263510283"/>
    <m/>
    <n v="3674.720229555237"/>
    <n v="0"/>
    <m/>
    <m/>
    <n v="0.70396939263510283"/>
    <s v="n/a"/>
    <n v="3674.720229555237"/>
    <n v="3674.720229555237"/>
    <n v="0"/>
    <m/>
    <m/>
    <n v="0.70396939263510283"/>
    <m/>
    <n v="3674.720229555237"/>
    <n v="0"/>
    <m/>
    <m/>
    <n v="0.70396939263510283"/>
    <m/>
    <n v="3674.720229555237"/>
    <n v="0"/>
    <n v="3674.720229555237"/>
    <n v="3674.720229555237"/>
    <n v="3674.720229555237"/>
    <n v="3674.720229555237"/>
    <n v="14698.880918220948"/>
    <s v="NA"/>
    <m/>
  </r>
  <r>
    <s v="NSG"/>
    <x v="4"/>
    <s v="Single Family"/>
    <s v="IHWAP"/>
    <x v="32"/>
    <n v="0"/>
    <s v="SF"/>
    <x v="3"/>
    <s v="5.6.4"/>
    <s v="sq ft"/>
    <n v="5000"/>
    <n v="5500"/>
    <n v="7000"/>
    <n v="7500"/>
    <s v="RS-SHL-WINS-V12-230101"/>
    <m/>
    <n v="0.10827529411764705"/>
    <n v="0.10827529411764705"/>
    <n v="0.10827529411764705"/>
    <n v="0.10827529411764705"/>
    <n v="1"/>
    <n v="1"/>
    <n v="1"/>
    <n v="1"/>
    <n v="541.37647058823529"/>
    <n v="595.51411764705881"/>
    <n v="757.92705882352936"/>
    <n v="812.06470588235288"/>
    <n v="2706.8823529411766"/>
    <n v="1"/>
    <n v="1"/>
    <n v="1"/>
    <n v="1"/>
    <n v="1"/>
    <n v="1"/>
    <n v="1"/>
    <n v="1"/>
    <m/>
    <m/>
    <n v="0.10827529411764705"/>
    <m/>
    <n v="541.37647058823529"/>
    <n v="0"/>
    <m/>
    <m/>
    <n v="0.10827529411764705"/>
    <s v="No savings impacts with existing measure assumptions."/>
    <n v="595.51411764705881"/>
    <n v="595.51411764705881"/>
    <n v="0"/>
    <m/>
    <m/>
    <n v="0.10827529411764705"/>
    <m/>
    <n v="757.92705882352936"/>
    <n v="0"/>
    <m/>
    <m/>
    <n v="0.10827529411764705"/>
    <m/>
    <n v="812.06470588235288"/>
    <n v="0"/>
    <n v="541.37647058823529"/>
    <n v="595.51411764705881"/>
    <n v="757.92705882352936"/>
    <n v="812.06470588235288"/>
    <n v="2706.8823529411766"/>
    <s v="NA"/>
    <m/>
  </r>
  <r>
    <s v="NSG"/>
    <x v="3"/>
    <s v="Multi-Family"/>
    <s v="Partner Trade Ally Rebate"/>
    <x v="21"/>
    <s v="Space Heating"/>
    <s v="MF"/>
    <x v="3"/>
    <s v="4.4.2"/>
    <s v="MBH"/>
    <n v="4800"/>
    <n v="4800"/>
    <n v="4800"/>
    <n v="4800"/>
    <s v="CI-HVC-BLRT-V07-210101"/>
    <m/>
    <n v="0.46874846625766969"/>
    <n v="0.46874846625766969"/>
    <n v="0.46874846625766969"/>
    <n v="0.46874846625766969"/>
    <n v="0.87"/>
    <n v="0.87"/>
    <n v="0.87"/>
    <n v="0.87"/>
    <n v="1957.4935950920287"/>
    <n v="1957.4935950920287"/>
    <n v="1957.4935950920287"/>
    <n v="1957.4935950920287"/>
    <n v="7829.9743803681149"/>
    <n v="0.87"/>
    <n v="0.87"/>
    <n v="0.87"/>
    <n v="0.87"/>
    <n v="0.87"/>
    <n v="0.87"/>
    <n v="0.87"/>
    <n v="0.87"/>
    <m/>
    <m/>
    <n v="0.46874846625766969"/>
    <m/>
    <n v="1957.4935950920287"/>
    <n v="0"/>
    <m/>
    <m/>
    <n v="0.46874846625766969"/>
    <s v="n/a"/>
    <n v="1957.4935950920287"/>
    <n v="1957.4935950920287"/>
    <n v="0"/>
    <m/>
    <m/>
    <n v="0.46874846625766969"/>
    <m/>
    <n v="1957.4935950920287"/>
    <n v="0"/>
    <m/>
    <m/>
    <n v="0.46874846625766969"/>
    <m/>
    <n v="1957.4935950920287"/>
    <n v="0"/>
    <n v="1957.4935950920287"/>
    <n v="1957.4935950920287"/>
    <n v="1957.4935950920287"/>
    <n v="1957.4935950920287"/>
    <n v="7829.9743803681149"/>
    <s v="NA"/>
    <m/>
  </r>
  <r>
    <s v="NSG"/>
    <x v="4"/>
    <s v="Multi-Family"/>
    <s v="MF IHWAP"/>
    <x v="17"/>
    <n v="0"/>
    <s v="SF"/>
    <x v="3"/>
    <s v="5.6.5"/>
    <s v="sq ft"/>
    <n v="3993.1428571428569"/>
    <n v="4991.4285714285716"/>
    <n v="8984.5714285714294"/>
    <n v="9982.8571428571431"/>
    <s v="RS-SHL-AINS-V06-230101"/>
    <m/>
    <n v="8.0457181447124299E-2"/>
    <n v="8.0457181447124299E-2"/>
    <n v="8.0457181447124299E-2"/>
    <n v="8.0457181447124299E-2"/>
    <n v="1"/>
    <n v="1"/>
    <n v="1"/>
    <n v="1"/>
    <n v="321.27701940143118"/>
    <n v="401.596274251789"/>
    <n v="722.87329365322023"/>
    <n v="803.192548503578"/>
    <n v="2248.9391358100183"/>
    <n v="1"/>
    <n v="1"/>
    <n v="1"/>
    <n v="1"/>
    <n v="1"/>
    <n v="1"/>
    <n v="1"/>
    <n v="1"/>
    <m/>
    <m/>
    <n v="8.0457181447124299E-2"/>
    <m/>
    <n v="321.27701940143118"/>
    <n v="0"/>
    <m/>
    <m/>
    <n v="8.0457181447124299E-2"/>
    <s v="No savings impacts with existing measure assumptions."/>
    <n v="401.596274251789"/>
    <n v="401.596274251789"/>
    <n v="0"/>
    <m/>
    <m/>
    <n v="8.0457181447124299E-2"/>
    <m/>
    <n v="722.87329365322023"/>
    <n v="0"/>
    <m/>
    <m/>
    <n v="8.0457181447124299E-2"/>
    <m/>
    <n v="803.192548503578"/>
    <n v="0"/>
    <n v="321.27701940143118"/>
    <n v="401.596274251789"/>
    <n v="722.87329365322023"/>
    <n v="803.192548503578"/>
    <n v="2248.9391358100183"/>
    <s v="NA"/>
    <m/>
  </r>
  <r>
    <s v="NSG"/>
    <x v="3"/>
    <s v="Multi-Family"/>
    <s v="Custom Rebate"/>
    <x v="27"/>
    <n v="0"/>
    <s v="MF"/>
    <x v="4"/>
    <n v="0"/>
    <s v="therm"/>
    <n v="3921"/>
    <n v="3921"/>
    <n v="3921"/>
    <n v="3921"/>
    <n v="0"/>
    <m/>
    <n v="1"/>
    <n v="1"/>
    <n v="1"/>
    <n v="1"/>
    <n v="0.87"/>
    <n v="0.87"/>
    <n v="0.87"/>
    <n v="0.87"/>
    <n v="3411.27"/>
    <n v="3411.27"/>
    <n v="3411.27"/>
    <n v="3411.27"/>
    <n v="13645.08"/>
    <n v="0.87"/>
    <n v="0.87"/>
    <n v="0.87"/>
    <n v="0.87"/>
    <n v="0.87"/>
    <n v="0.87"/>
    <n v="0.87"/>
    <n v="0.87"/>
    <m/>
    <m/>
    <n v="1"/>
    <m/>
    <n v="3411.27"/>
    <n v="0"/>
    <m/>
    <m/>
    <n v="1"/>
    <s v="n/a"/>
    <n v="3411.27"/>
    <n v="3411.27"/>
    <n v="0"/>
    <m/>
    <m/>
    <n v="1"/>
    <m/>
    <n v="3411.27"/>
    <n v="0"/>
    <m/>
    <m/>
    <n v="1"/>
    <m/>
    <n v="3411.27"/>
    <n v="0"/>
    <n v="3411.27"/>
    <n v="3411.27"/>
    <n v="3411.27"/>
    <n v="3411.27"/>
    <n v="13645.08"/>
    <s v="NA"/>
    <m/>
  </r>
  <r>
    <s v="NSG"/>
    <x v="5"/>
    <s v="Public Sector"/>
    <s v="Rebates"/>
    <x v="34"/>
    <n v="0"/>
    <s v="CI"/>
    <x v="3"/>
    <s v="4.4.4"/>
    <s v="MBH"/>
    <n v="3600"/>
    <n v="3600"/>
    <n v="3600"/>
    <n v="3600"/>
    <s v="CI-HVC-BLRC-V04-210101"/>
    <m/>
    <n v="1.3424"/>
    <n v="1.3424"/>
    <n v="1.3424"/>
    <n v="1.3424"/>
    <n v="0.92"/>
    <n v="0.92"/>
    <n v="0.92"/>
    <n v="0.92"/>
    <n v="4446.0288"/>
    <n v="4446.0288"/>
    <n v="4446.0288"/>
    <n v="4446.0288"/>
    <n v="17784.1152"/>
    <n v="0.92"/>
    <n v="0.92"/>
    <n v="0.92"/>
    <n v="0.92"/>
    <n v="0.92"/>
    <n v="0.92"/>
    <n v="0.92"/>
    <n v="0.92"/>
    <m/>
    <m/>
    <n v="1.3424"/>
    <m/>
    <n v="4446.0288"/>
    <n v="0"/>
    <m/>
    <m/>
    <n v="1.3424"/>
    <s v="n/a"/>
    <n v="4446.0288"/>
    <n v="4446.0288"/>
    <n v="0"/>
    <m/>
    <m/>
    <n v="1.3424"/>
    <m/>
    <n v="4446.0288"/>
    <n v="0"/>
    <m/>
    <m/>
    <n v="1.3424"/>
    <m/>
    <n v="4446.0288"/>
    <n v="0"/>
    <n v="4446.0288"/>
    <n v="4446.0288"/>
    <n v="4446.0288"/>
    <n v="4446.0288"/>
    <n v="17784.1152"/>
    <s v="NA"/>
    <m/>
  </r>
  <r>
    <s v="NSG"/>
    <x v="3"/>
    <s v="Home Energy Rebate"/>
    <s v="Partner Trade Ally Rebate"/>
    <x v="32"/>
    <n v="0"/>
    <s v="SF"/>
    <x v="3"/>
    <s v="5.6.4"/>
    <s v="sq ft"/>
    <n v="3500"/>
    <n v="3500"/>
    <n v="3500"/>
    <n v="3500"/>
    <s v="RS-SHL-WINS-V12-230101"/>
    <m/>
    <n v="0.10827529411764705"/>
    <n v="0.10827529411764705"/>
    <n v="0.10827529411764705"/>
    <n v="0.10827529411764705"/>
    <n v="0.79"/>
    <n v="0.79"/>
    <n v="0.79"/>
    <n v="0.79"/>
    <n v="299.38118823529413"/>
    <n v="299.38118823529413"/>
    <n v="299.38118823529413"/>
    <n v="299.38118823529413"/>
    <n v="1197.5247529411765"/>
    <n v="0.79"/>
    <n v="0.79"/>
    <n v="0.79"/>
    <n v="0.79"/>
    <n v="0.79"/>
    <n v="0.79"/>
    <n v="0.79"/>
    <n v="0.79"/>
    <m/>
    <m/>
    <n v="0.10827529411764705"/>
    <m/>
    <n v="299.38118823529413"/>
    <n v="0"/>
    <m/>
    <m/>
    <n v="0.10827529411764705"/>
    <s v="No savings impacts with existing measure assumptions."/>
    <n v="299.38118823529413"/>
    <n v="299.38118823529413"/>
    <n v="0"/>
    <m/>
    <m/>
    <n v="0.10827529411764705"/>
    <m/>
    <n v="299.38118823529413"/>
    <n v="0"/>
    <m/>
    <m/>
    <n v="0.10827529411764705"/>
    <m/>
    <n v="299.38118823529413"/>
    <n v="0"/>
    <n v="299.38118823529413"/>
    <n v="299.38118823529413"/>
    <n v="299.38118823529413"/>
    <n v="299.38118823529413"/>
    <n v="1197.5247529411765"/>
    <s v="NA"/>
    <m/>
  </r>
  <r>
    <s v="NSG"/>
    <x v="3"/>
    <s v="Multi-Family"/>
    <s v="Partner Trade Ally Rebate"/>
    <x v="35"/>
    <s v=" &gt;=1500MBH, &gt;=82% TE"/>
    <s v="MF"/>
    <x v="3"/>
    <s v="4.4.10"/>
    <s v="MBH"/>
    <n v="3000"/>
    <n v="3000"/>
    <n v="3000"/>
    <n v="3000"/>
    <s v="CI-HVC-BOIL-V10-230101"/>
    <m/>
    <n v="0.85179487179487012"/>
    <n v="0.85179487179487012"/>
    <n v="0.85179487179487012"/>
    <n v="0.85179487179487012"/>
    <n v="0.87"/>
    <n v="0.87"/>
    <n v="0.87"/>
    <n v="0.87"/>
    <n v="2223.1846153846109"/>
    <n v="2223.1846153846109"/>
    <n v="2223.1846153846109"/>
    <n v="2223.1846153846109"/>
    <n v="8892.7384615384435"/>
    <n v="0.87"/>
    <n v="0.87"/>
    <n v="0.87"/>
    <n v="0.87"/>
    <n v="0.87"/>
    <n v="0.87"/>
    <n v="0.87"/>
    <n v="0.87"/>
    <m/>
    <m/>
    <n v="0.85179487179487012"/>
    <m/>
    <n v="2223.1846153846109"/>
    <n v="0"/>
    <m/>
    <m/>
    <n v="0.63075949367088424"/>
    <s v="n/a"/>
    <n v="2223.1846153846109"/>
    <n v="1646.2822784810078"/>
    <n v="-576.9023369036031"/>
    <m/>
    <m/>
    <n v="0.63075949367088424"/>
    <m/>
    <n v="1646.2822784810078"/>
    <n v="-576.9023369036031"/>
    <m/>
    <m/>
    <n v="0.63075949367088424"/>
    <m/>
    <n v="1646.2822784810078"/>
    <n v="-576.9023369036031"/>
    <n v="2223.1846153846109"/>
    <n v="1646.2822784810078"/>
    <n v="1646.2822784810078"/>
    <n v="1646.2822784810078"/>
    <n v="7162.0314508276342"/>
    <s v="NA"/>
    <m/>
  </r>
  <r>
    <s v="NSG"/>
    <x v="5"/>
    <s v="Small/Mid-Size Business"/>
    <s v="Rebates"/>
    <x v="28"/>
    <s v="≥88% AFUE, ≥300MBh TE"/>
    <s v="CI"/>
    <x v="3"/>
    <s v="4.4.10"/>
    <s v="MBH"/>
    <n v="3000"/>
    <n v="3000"/>
    <n v="3000"/>
    <n v="3000"/>
    <s v="CI-HVC-BOIL-V10-230101"/>
    <m/>
    <n v="1.6609999999999991"/>
    <n v="1.6609999999999991"/>
    <n v="1.6609999999999991"/>
    <n v="1.6609999999999991"/>
    <n v="0.93"/>
    <n v="0.93"/>
    <n v="0.93"/>
    <n v="0.93"/>
    <n v="4634.1899999999978"/>
    <n v="4634.1899999999978"/>
    <n v="4634.1899999999978"/>
    <n v="4634.1899999999978"/>
    <n v="18536.759999999991"/>
    <n v="0.93"/>
    <n v="0.93"/>
    <n v="0.93"/>
    <n v="0.93"/>
    <n v="0.93"/>
    <n v="0.93"/>
    <n v="0.93"/>
    <n v="0.93"/>
    <m/>
    <m/>
    <n v="1.6609999999999991"/>
    <m/>
    <n v="4634.1899999999978"/>
    <n v="0"/>
    <m/>
    <m/>
    <n v="1.6609999999999991"/>
    <s v="n/a"/>
    <n v="4634.1899999999978"/>
    <n v="4634.1899999999978"/>
    <n v="0"/>
    <m/>
    <m/>
    <n v="1.6609999999999991"/>
    <m/>
    <n v="4634.1899999999978"/>
    <n v="0"/>
    <m/>
    <m/>
    <n v="1.6609999999999991"/>
    <m/>
    <n v="4634.1899999999978"/>
    <n v="0"/>
    <n v="4634.1899999999978"/>
    <n v="4634.1899999999978"/>
    <n v="4634.1899999999978"/>
    <n v="4634.1899999999978"/>
    <n v="18536.759999999991"/>
    <s v="NA"/>
    <m/>
  </r>
  <r>
    <s v="NSG"/>
    <x v="5"/>
    <s v="Small/Mid-Size Business"/>
    <s v="Partner Trade Ally Rebate"/>
    <x v="28"/>
    <s v="≥88% AFUE, ≥300MBh TE"/>
    <s v="CI"/>
    <x v="3"/>
    <s v="4.4.10"/>
    <s v="MBH"/>
    <n v="3000"/>
    <n v="3000"/>
    <n v="3000"/>
    <n v="3000"/>
    <s v="CI-HVC-BOIL-V10-230101"/>
    <m/>
    <n v="1.6609999999999991"/>
    <n v="1.6609999999999991"/>
    <n v="1.6609999999999991"/>
    <n v="1.6609999999999991"/>
    <n v="0.93"/>
    <n v="0.93"/>
    <n v="0.93"/>
    <n v="0.93"/>
    <n v="4634.1899999999978"/>
    <n v="4634.1899999999978"/>
    <n v="4634.1899999999978"/>
    <n v="4634.1899999999978"/>
    <n v="18536.759999999991"/>
    <n v="0.93"/>
    <n v="0.93"/>
    <n v="0.93"/>
    <n v="0.93"/>
    <n v="0.93"/>
    <n v="0.93"/>
    <n v="0.93"/>
    <n v="0.93"/>
    <m/>
    <m/>
    <n v="1.6609999999999991"/>
    <m/>
    <n v="4634.1899999999978"/>
    <n v="0"/>
    <m/>
    <m/>
    <n v="1.6609999999999991"/>
    <s v="n/a"/>
    <n v="4634.1899999999978"/>
    <n v="4634.1899999999978"/>
    <n v="0"/>
    <m/>
    <m/>
    <n v="1.6609999999999991"/>
    <m/>
    <n v="4634.1899999999978"/>
    <n v="0"/>
    <m/>
    <m/>
    <n v="1.6609999999999991"/>
    <m/>
    <n v="4634.1899999999978"/>
    <n v="0"/>
    <n v="4634.1899999999978"/>
    <n v="4634.1899999999978"/>
    <n v="4634.1899999999978"/>
    <n v="4634.1899999999978"/>
    <n v="18536.759999999991"/>
    <s v="NA"/>
    <m/>
  </r>
  <r>
    <s v="NSG"/>
    <x v="4"/>
    <s v="Multi-Family"/>
    <s v="IE Kits"/>
    <x v="30"/>
    <s v="IE Kit"/>
    <s v="IE"/>
    <x v="3"/>
    <s v="5.6.1"/>
    <s v="each"/>
    <n v="2800"/>
    <n v="2800"/>
    <n v="2800"/>
    <n v="2800"/>
    <s v="RS-SHL-AIRS-V12-230101"/>
    <m/>
    <n v="0.19176000000000001"/>
    <n v="0.19176000000000001"/>
    <n v="0.19176000000000001"/>
    <n v="0.19176000000000001"/>
    <n v="1"/>
    <n v="1"/>
    <n v="1"/>
    <n v="1"/>
    <n v="536.928"/>
    <n v="536.928"/>
    <n v="536.928"/>
    <n v="536.928"/>
    <n v="2147.712"/>
    <n v="1"/>
    <n v="1"/>
    <n v="1"/>
    <n v="1"/>
    <n v="1"/>
    <n v="1"/>
    <n v="1"/>
    <n v="1"/>
    <m/>
    <m/>
    <n v="0.19176000000000001"/>
    <m/>
    <n v="536.928"/>
    <n v="0"/>
    <m/>
    <m/>
    <n v="0.15040000000000001"/>
    <s v="Updated ISR"/>
    <n v="536.928"/>
    <n v="421.12"/>
    <n v="-115.80799999999999"/>
    <m/>
    <m/>
    <n v="0.15040000000000001"/>
    <m/>
    <n v="421.12"/>
    <n v="-115.80799999999999"/>
    <m/>
    <m/>
    <n v="0.15040000000000001"/>
    <m/>
    <n v="421.12"/>
    <n v="-115.80799999999999"/>
    <n v="536.928"/>
    <n v="421.12"/>
    <n v="421.12"/>
    <n v="421.12"/>
    <n v="1800.288"/>
    <s v="NA"/>
    <m/>
  </r>
  <r>
    <s v="NSG"/>
    <x v="3"/>
    <s v="Multi-Family"/>
    <s v="Partner Trade Ally Rebate"/>
    <x v="34"/>
    <n v="0"/>
    <s v="MF"/>
    <x v="3"/>
    <s v="4.4.4"/>
    <s v="MBH"/>
    <n v="2400"/>
    <n v="2400"/>
    <n v="2400"/>
    <n v="2400"/>
    <s v="CI-HVC-BLRC-V04-210101"/>
    <m/>
    <n v="1.3288"/>
    <n v="1.3288"/>
    <n v="1.3288"/>
    <n v="1.3288"/>
    <n v="0.87"/>
    <n v="0.87"/>
    <n v="0.87"/>
    <n v="0.87"/>
    <n v="2774.5344"/>
    <n v="2774.5344"/>
    <n v="2774.5344"/>
    <n v="2774.5344"/>
    <n v="11098.1376"/>
    <n v="0.87"/>
    <n v="0.87"/>
    <n v="0.87"/>
    <n v="0.87"/>
    <n v="0.87"/>
    <n v="0.87"/>
    <n v="0.87"/>
    <n v="0.87"/>
    <m/>
    <m/>
    <n v="1.3288"/>
    <m/>
    <n v="2774.5344"/>
    <n v="0"/>
    <m/>
    <m/>
    <n v="1.3288"/>
    <s v="n/a"/>
    <n v="2774.5344"/>
    <n v="2774.5344"/>
    <n v="0"/>
    <m/>
    <m/>
    <n v="1.3288"/>
    <m/>
    <n v="2774.5344"/>
    <n v="0"/>
    <m/>
    <m/>
    <n v="1.3288"/>
    <m/>
    <n v="2774.5344"/>
    <n v="0"/>
    <n v="2774.5344"/>
    <n v="2774.5344"/>
    <n v="2774.5344"/>
    <n v="2774.5344"/>
    <n v="11098.1376"/>
    <s v="NA"/>
    <m/>
  </r>
  <r>
    <s v="NSG"/>
    <x v="4"/>
    <s v="Multi-Family"/>
    <s v="IE Kits"/>
    <x v="26"/>
    <s v="IE Kit"/>
    <s v="IE"/>
    <x v="3"/>
    <s v="5.6.1"/>
    <s v="linear ft"/>
    <n v="2380"/>
    <n v="2380"/>
    <n v="2380"/>
    <n v="2380"/>
    <s v="RS-SHL-AIRS-V12-230101"/>
    <m/>
    <n v="0.30743999999999999"/>
    <n v="0.30743999999999999"/>
    <n v="0.30743999999999999"/>
    <n v="0.30743999999999999"/>
    <n v="1"/>
    <n v="1"/>
    <n v="1"/>
    <n v="1"/>
    <n v="731.70719999999994"/>
    <n v="731.70719999999994"/>
    <n v="731.70719999999994"/>
    <n v="731.70719999999994"/>
    <n v="2926.8287999999998"/>
    <n v="1"/>
    <n v="1"/>
    <n v="1"/>
    <n v="1"/>
    <n v="1"/>
    <n v="1"/>
    <n v="1"/>
    <n v="1"/>
    <m/>
    <m/>
    <n v="0.30743999999999999"/>
    <m/>
    <n v="731.70719999999994"/>
    <n v="0"/>
    <m/>
    <m/>
    <n v="0.30743999999999999"/>
    <s v="Updated ISR"/>
    <n v="731.70719999999994"/>
    <n v="731.70719999999994"/>
    <n v="0"/>
    <m/>
    <m/>
    <n v="0.30743999999999999"/>
    <m/>
    <n v="731.70719999999994"/>
    <n v="0"/>
    <m/>
    <m/>
    <n v="0.30743999999999999"/>
    <m/>
    <n v="731.70719999999994"/>
    <n v="0"/>
    <n v="731.70719999999994"/>
    <n v="731.70719999999994"/>
    <n v="731.70719999999994"/>
    <n v="731.70719999999994"/>
    <n v="2926.8287999999998"/>
    <s v="NA"/>
    <m/>
  </r>
  <r>
    <s v="NSG"/>
    <x v="4"/>
    <s v="Multi-Family"/>
    <s v="Whole Building - Prescriptive"/>
    <x v="17"/>
    <n v="0"/>
    <s v="SF"/>
    <x v="3"/>
    <s v="5.6.5"/>
    <s v="sq ft"/>
    <n v="1996.5714285714284"/>
    <n v="1996.5714285714284"/>
    <n v="1996.5714285714284"/>
    <n v="1996.5714285714284"/>
    <s v="RS-SHL-AINS-V06-230101"/>
    <m/>
    <n v="8.0457181447124299E-2"/>
    <n v="8.0457181447124299E-2"/>
    <n v="8.0457181447124299E-2"/>
    <n v="8.0457181447124299E-2"/>
    <n v="1"/>
    <n v="1"/>
    <n v="1"/>
    <n v="1"/>
    <n v="160.63850970071559"/>
    <n v="160.63850970071559"/>
    <n v="160.63850970071559"/>
    <n v="160.63850970071559"/>
    <n v="642.55403880286235"/>
    <n v="1"/>
    <n v="1"/>
    <n v="1"/>
    <n v="1"/>
    <n v="1"/>
    <n v="1"/>
    <n v="1"/>
    <n v="1"/>
    <m/>
    <m/>
    <n v="8.0457181447124299E-2"/>
    <m/>
    <n v="160.63850970071559"/>
    <n v="0"/>
    <m/>
    <m/>
    <n v="8.0457181447124299E-2"/>
    <s v="No savings impacts with existing measure assumptions."/>
    <n v="160.63850970071559"/>
    <n v="160.63850970071559"/>
    <n v="0"/>
    <m/>
    <m/>
    <n v="8.0457181447124299E-2"/>
    <m/>
    <n v="160.63850970071559"/>
    <n v="0"/>
    <m/>
    <m/>
    <n v="8.0457181447124299E-2"/>
    <m/>
    <n v="160.63850970071559"/>
    <n v="0"/>
    <n v="160.63850970071559"/>
    <n v="160.63850970071559"/>
    <n v="160.63850970071559"/>
    <n v="160.63850970071559"/>
    <n v="642.55403880286235"/>
    <s v="NA"/>
    <m/>
  </r>
  <r>
    <s v="NSG"/>
    <x v="4"/>
    <s v="Single Family"/>
    <s v="IHWAP"/>
    <x v="33"/>
    <n v="0"/>
    <s v="SF"/>
    <x v="3"/>
    <s v="5.3.4"/>
    <s v="CFM_25"/>
    <n v="1800"/>
    <n v="2040"/>
    <n v="2520"/>
    <n v="2760"/>
    <s v="RS-HVC-DINS-V11-230101"/>
    <m/>
    <n v="0.70396939263510283"/>
    <n v="0.70396939263510283"/>
    <n v="0.70396939263510283"/>
    <n v="0.70396939263510283"/>
    <n v="1"/>
    <n v="1"/>
    <n v="1"/>
    <n v="1"/>
    <n v="1267.1449067431852"/>
    <n v="1436.0975609756097"/>
    <n v="1774.0028694404591"/>
    <n v="1942.9555236728838"/>
    <n v="6420.2008608321376"/>
    <n v="1"/>
    <n v="1"/>
    <n v="1"/>
    <n v="1"/>
    <n v="1"/>
    <n v="1"/>
    <n v="1"/>
    <n v="1"/>
    <m/>
    <m/>
    <n v="0.70396939263510283"/>
    <m/>
    <n v="1267.1449067431852"/>
    <n v="0"/>
    <m/>
    <m/>
    <n v="0.70396939263510283"/>
    <s v="n/a"/>
    <n v="1436.0975609756097"/>
    <n v="1436.0975609756097"/>
    <n v="0"/>
    <m/>
    <m/>
    <n v="0.70396939263510283"/>
    <m/>
    <n v="1774.0028694404591"/>
    <n v="0"/>
    <m/>
    <m/>
    <n v="0.70396939263510283"/>
    <m/>
    <n v="1942.9555236728838"/>
    <n v="0"/>
    <n v="1267.1449067431852"/>
    <n v="1436.0975609756097"/>
    <n v="1774.0028694404591"/>
    <n v="1942.9555236728838"/>
    <n v="6420.2008608321376"/>
    <s v="NA"/>
    <m/>
  </r>
  <r>
    <s v="NSG"/>
    <x v="5"/>
    <s v="Small/Mid-Size Business"/>
    <s v="Rebates"/>
    <x v="29"/>
    <n v="0"/>
    <s v="CI"/>
    <x v="3"/>
    <s v="4.4.21"/>
    <s v="MBH"/>
    <n v="1500"/>
    <n v="1500"/>
    <n v="1500"/>
    <n v="1500"/>
    <s v="CI-HVC-LBC-V06-220101"/>
    <m/>
    <n v="0.56277999999999995"/>
    <n v="0.56277999999999995"/>
    <n v="0.56277999999999995"/>
    <n v="0.56277999999999995"/>
    <n v="0.93"/>
    <n v="0.93"/>
    <n v="0.93"/>
    <n v="0.93"/>
    <n v="785.07809999999995"/>
    <n v="785.07809999999995"/>
    <n v="785.07809999999995"/>
    <n v="785.07809999999995"/>
    <n v="3140.3123999999998"/>
    <n v="0.93"/>
    <n v="0.93"/>
    <n v="0.93"/>
    <n v="0.93"/>
    <n v="0.93"/>
    <n v="0.93"/>
    <n v="0.93"/>
    <n v="0.93"/>
    <m/>
    <m/>
    <n v="0.56277999999999995"/>
    <m/>
    <n v="785.07809999999995"/>
    <n v="0"/>
    <m/>
    <m/>
    <n v="0.56277999999999995"/>
    <s v="n/a"/>
    <n v="785.07809999999995"/>
    <n v="785.07809999999995"/>
    <n v="0"/>
    <m/>
    <m/>
    <n v="0.56277999999999995"/>
    <m/>
    <n v="785.07809999999995"/>
    <n v="0"/>
    <m/>
    <m/>
    <n v="0.56277999999999995"/>
    <m/>
    <n v="785.07809999999995"/>
    <n v="0"/>
    <n v="785.07809999999995"/>
    <n v="785.07809999999995"/>
    <n v="785.07809999999995"/>
    <n v="785.07809999999995"/>
    <n v="3140.3123999999998"/>
    <s v="NA"/>
    <m/>
  </r>
  <r>
    <s v="NSG"/>
    <x v="5"/>
    <s v="Small/Mid-Size Business"/>
    <s v="Partner Trade Ally Rebate"/>
    <x v="29"/>
    <n v="0"/>
    <s v="CI"/>
    <x v="3"/>
    <s v="4.4.21"/>
    <s v="MBH"/>
    <n v="1500"/>
    <n v="1500"/>
    <n v="1500"/>
    <n v="1500"/>
    <s v="CI-HVC-LBC-V06-220101"/>
    <m/>
    <n v="0.56277999999999995"/>
    <n v="0.56277999999999995"/>
    <n v="0.56277999999999995"/>
    <n v="0.56277999999999995"/>
    <n v="0.93"/>
    <n v="0.93"/>
    <n v="0.93"/>
    <n v="0.93"/>
    <n v="785.07809999999995"/>
    <n v="785.07809999999995"/>
    <n v="785.07809999999995"/>
    <n v="785.07809999999995"/>
    <n v="3140.3123999999998"/>
    <n v="0.93"/>
    <n v="0.93"/>
    <n v="0.93"/>
    <n v="0.93"/>
    <n v="0.93"/>
    <n v="0.93"/>
    <n v="0.93"/>
    <n v="0.93"/>
    <m/>
    <m/>
    <n v="0.56277999999999995"/>
    <m/>
    <n v="785.07809999999995"/>
    <n v="0"/>
    <m/>
    <m/>
    <n v="0.56277999999999995"/>
    <s v="n/a"/>
    <n v="785.07809999999995"/>
    <n v="785.07809999999995"/>
    <n v="0"/>
    <m/>
    <m/>
    <n v="0.56277999999999995"/>
    <m/>
    <n v="785.07809999999995"/>
    <n v="0"/>
    <m/>
    <m/>
    <n v="0.56277999999999995"/>
    <m/>
    <n v="785.07809999999995"/>
    <n v="0"/>
    <n v="785.07809999999995"/>
    <n v="785.07809999999995"/>
    <n v="785.07809999999995"/>
    <n v="785.07809999999995"/>
    <n v="3140.3123999999998"/>
    <s v="NA"/>
    <m/>
  </r>
  <r>
    <s v="NSG"/>
    <x v="5"/>
    <s v="C&amp;I"/>
    <s v="Rebates"/>
    <x v="35"/>
    <s v=" &gt;=1500MBH, &gt;=82% TE"/>
    <s v="CI"/>
    <x v="3"/>
    <s v="4.4.10"/>
    <s v="MBH"/>
    <n v="1275"/>
    <n v="1200"/>
    <n v="1050"/>
    <n v="1020.0000000000001"/>
    <s v="CI-HVC-BOIL-V10-230101"/>
    <m/>
    <n v="0.85179487179487012"/>
    <n v="0.85179487179487012"/>
    <n v="0.85179487179487012"/>
    <n v="0.85179487179487012"/>
    <n v="0.91"/>
    <n v="0.91"/>
    <n v="0.91"/>
    <n v="0.91"/>
    <n v="988.29499999999803"/>
    <n v="930.15999999999815"/>
    <n v="813.88999999999851"/>
    <n v="790.63599999999849"/>
    <n v="3522.9809999999934"/>
    <n v="0.91"/>
    <n v="0.91"/>
    <n v="0.91"/>
    <n v="0.91"/>
    <n v="0.91"/>
    <n v="0.91"/>
    <n v="0.91"/>
    <n v="0.91"/>
    <m/>
    <m/>
    <n v="0.85179487179487012"/>
    <m/>
    <n v="988.29499999999803"/>
    <n v="0"/>
    <m/>
    <m/>
    <n v="0.63075949367088424"/>
    <s v="n/a"/>
    <n v="930.15999999999815"/>
    <n v="688.78936708860556"/>
    <n v="-241.37063291139259"/>
    <m/>
    <m/>
    <n v="0.63075949367088424"/>
    <m/>
    <n v="602.69069620252992"/>
    <n v="-211.19930379746859"/>
    <m/>
    <m/>
    <n v="0.63075949367088424"/>
    <m/>
    <n v="585.47096202531486"/>
    <n v="-205.16503797468363"/>
    <n v="988.29499999999803"/>
    <n v="688.78936708860556"/>
    <n v="602.69069620252992"/>
    <n v="585.47096202531486"/>
    <n v="2865.2460253164481"/>
    <s v="NA"/>
    <m/>
  </r>
  <r>
    <s v="NSG"/>
    <x v="5"/>
    <s v="C&amp;I"/>
    <s v="Rebates"/>
    <x v="35"/>
    <s v="&gt;=300MBH, &lt;1,500, &gt;=81% AFUE"/>
    <s v="CI"/>
    <x v="3"/>
    <s v="4.4.10"/>
    <s v="MBH"/>
    <n v="1275"/>
    <n v="1200.0000000000002"/>
    <n v="1049.9999999999998"/>
    <n v="1020"/>
    <s v="CI-HVC-BOIL-V10-230101"/>
    <m/>
    <n v="0.72402564102563916"/>
    <n v="0.72402564102563916"/>
    <n v="0.72402564102563916"/>
    <n v="0.72402564102563916"/>
    <n v="0.91"/>
    <n v="0.91"/>
    <n v="0.91"/>
    <n v="0.91"/>
    <n v="840.05074999999783"/>
    <n v="790.63599999999815"/>
    <n v="691.8064999999981"/>
    <n v="672.04059999999834"/>
    <n v="2994.5338499999925"/>
    <n v="0.91"/>
    <n v="0.91"/>
    <n v="0.91"/>
    <n v="0.91"/>
    <n v="0.91"/>
    <n v="0.91"/>
    <n v="0.91"/>
    <n v="0.91"/>
    <m/>
    <m/>
    <n v="0.72402564102563916"/>
    <m/>
    <n v="840.05074999999783"/>
    <n v="0"/>
    <m/>
    <m/>
    <n v="0.50460759493670693"/>
    <s v="n/a"/>
    <n v="790.63599999999815"/>
    <n v="551.03149367088406"/>
    <n v="-239.60450632911409"/>
    <m/>
    <m/>
    <n v="0.50460759493670693"/>
    <m/>
    <n v="482.15255696202337"/>
    <n v="-209.65394303797473"/>
    <m/>
    <m/>
    <n v="0.50460759493670693"/>
    <m/>
    <n v="468.37676962025137"/>
    <n v="-203.66383037974697"/>
    <n v="840.05074999999783"/>
    <n v="551.03149367088406"/>
    <n v="482.15255696202337"/>
    <n v="468.37676962025137"/>
    <n v="2341.6115702531565"/>
    <s v="NA"/>
    <m/>
  </r>
  <r>
    <s v="NSG"/>
    <x v="3"/>
    <s v="Outreach and Education"/>
    <s v="Elementary Energy Education"/>
    <x v="36"/>
    <n v="0"/>
    <s v="SF"/>
    <x v="4"/>
    <s v="n/a"/>
    <s v="Household"/>
    <n v="1240"/>
    <n v="1240"/>
    <n v="1240"/>
    <n v="1240"/>
    <s v="n/a"/>
    <m/>
    <n v="18.06005859375"/>
    <n v="18.06005859375"/>
    <n v="18.06005859375"/>
    <n v="18.06005859375"/>
    <n v="1"/>
    <n v="1"/>
    <n v="1"/>
    <n v="1"/>
    <n v="22394.47265625"/>
    <n v="22394.47265625"/>
    <n v="22394.47265625"/>
    <n v="22394.47265625"/>
    <n v="89577.890625"/>
    <n v="1"/>
    <n v="1"/>
    <n v="1"/>
    <n v="1"/>
    <n v="1"/>
    <n v="1"/>
    <n v="1"/>
    <n v="1"/>
    <m/>
    <m/>
    <n v="18.06005859375"/>
    <m/>
    <n v="22394.47265625"/>
    <n v="0"/>
    <m/>
    <m/>
    <n v="18.06005859375"/>
    <s v="n/a"/>
    <n v="22394.47265625"/>
    <n v="22394.47265625"/>
    <n v="0"/>
    <m/>
    <m/>
    <n v="18.06005859375"/>
    <m/>
    <n v="22394.47265625"/>
    <n v="0"/>
    <m/>
    <m/>
    <n v="18.06005859375"/>
    <m/>
    <n v="22394.47265625"/>
    <n v="0"/>
    <n v="22394.47265625"/>
    <n v="22394.47265625"/>
    <n v="22394.47265625"/>
    <n v="22394.47265625"/>
    <n v="89577.890625"/>
    <s v="NA"/>
    <m/>
  </r>
  <r>
    <s v="NSG"/>
    <x v="3"/>
    <s v="Home Energy Rebate"/>
    <s v="Standard Rebate"/>
    <x v="37"/>
    <s v="&gt;95% AFUE"/>
    <s v="SF"/>
    <x v="3"/>
    <s v="5.3.7"/>
    <s v="each"/>
    <n v="1200"/>
    <n v="1000"/>
    <n v="800"/>
    <n v="600"/>
    <s v="RS-HVC-GHEF-V12-230101"/>
    <m/>
    <n v="185.63073361823353"/>
    <n v="185.63073361823353"/>
    <n v="185.63073361823353"/>
    <n v="185.63073361823353"/>
    <n v="0.74"/>
    <n v="0.74"/>
    <n v="0.74"/>
    <n v="0.74"/>
    <n v="164840.09145299139"/>
    <n v="137366.7428774928"/>
    <n v="109893.39430199425"/>
    <n v="82420.045726495693"/>
    <n v="494520.27435897407"/>
    <n v="0.74"/>
    <n v="0.74"/>
    <n v="0.74"/>
    <n v="0.74"/>
    <n v="0.74"/>
    <n v="0.74"/>
    <n v="0.74"/>
    <n v="0.74"/>
    <m/>
    <m/>
    <n v="185.63073361823353"/>
    <m/>
    <n v="164840.09145299139"/>
    <n v="0"/>
    <m/>
    <m/>
    <n v="185.63073361823353"/>
    <s v="n/a"/>
    <n v="137366.7428774928"/>
    <n v="137366.7428774928"/>
    <n v="0"/>
    <m/>
    <m/>
    <n v="185.63073361823353"/>
    <m/>
    <n v="109893.39430199425"/>
    <n v="0"/>
    <m/>
    <m/>
    <n v="185.63073361823353"/>
    <m/>
    <n v="82420.045726495693"/>
    <n v="0"/>
    <n v="164840.09145299139"/>
    <n v="137366.7428774928"/>
    <n v="109893.39430199425"/>
    <n v="82420.045726495693"/>
    <n v="494520.27435897407"/>
    <s v="NA"/>
    <m/>
  </r>
  <r>
    <s v="NSG"/>
    <x v="3"/>
    <s v="Multi-Family"/>
    <s v="Standard Rebate"/>
    <x v="34"/>
    <n v="0"/>
    <s v="MF"/>
    <x v="3"/>
    <s v="4.4.4"/>
    <s v="MBH"/>
    <n v="1200"/>
    <n v="1200"/>
    <n v="1200"/>
    <n v="1200"/>
    <s v="CI-HVC-BLRC-V04-210101"/>
    <m/>
    <n v="1.3288"/>
    <n v="1.3288"/>
    <n v="1.3288"/>
    <n v="1.3288"/>
    <n v="0.87"/>
    <n v="0.87"/>
    <n v="0.87"/>
    <n v="0.87"/>
    <n v="1387.2672"/>
    <n v="1387.2672"/>
    <n v="1387.2672"/>
    <n v="1387.2672"/>
    <n v="5549.0688"/>
    <n v="0.87"/>
    <n v="0.87"/>
    <n v="0.87"/>
    <n v="0.87"/>
    <n v="0.87"/>
    <n v="0.87"/>
    <n v="0.87"/>
    <n v="0.87"/>
    <m/>
    <m/>
    <n v="1.3288"/>
    <m/>
    <n v="1387.2672"/>
    <n v="0"/>
    <m/>
    <m/>
    <n v="1.3288"/>
    <s v="n/a"/>
    <n v="1387.2672"/>
    <n v="1387.2672"/>
    <n v="0"/>
    <m/>
    <m/>
    <n v="1.3288"/>
    <m/>
    <n v="1387.2672"/>
    <n v="0"/>
    <m/>
    <m/>
    <n v="1.3288"/>
    <m/>
    <n v="1387.2672"/>
    <n v="0"/>
    <n v="1387.2672"/>
    <n v="1387.2672"/>
    <n v="1387.2672"/>
    <n v="1387.2672"/>
    <n v="5549.0688"/>
    <s v="NA"/>
    <m/>
  </r>
  <r>
    <s v="NSG"/>
    <x v="3"/>
    <s v="Multi-Family"/>
    <s v="Partner Trade Ally Rebate"/>
    <x v="38"/>
    <n v="0"/>
    <s v="MF/CI/SMB"/>
    <x v="3"/>
    <s v="4.3.12"/>
    <s v="sqft"/>
    <n v="1100"/>
    <n v="1100"/>
    <n v="1100"/>
    <n v="1100"/>
    <s v="CI-HWE-TKIN-V02-220101"/>
    <m/>
    <n v="16.746197539658972"/>
    <n v="16.746197539658972"/>
    <n v="16.746197539658972"/>
    <n v="16.746197539658972"/>
    <n v="0.87"/>
    <n v="0.87"/>
    <n v="0.87"/>
    <n v="0.87"/>
    <n v="16026.111045453637"/>
    <n v="16026.111045453637"/>
    <n v="16026.111045453637"/>
    <n v="16026.111045453637"/>
    <n v="64104.44418181455"/>
    <n v="0.87"/>
    <n v="0.87"/>
    <n v="0.87"/>
    <n v="0.87"/>
    <n v="0.87"/>
    <n v="0.87"/>
    <n v="0.87"/>
    <n v="0.87"/>
    <m/>
    <m/>
    <n v="16.746197539658972"/>
    <m/>
    <n v="16026.111045453637"/>
    <n v="0"/>
    <m/>
    <m/>
    <n v="16.746197539658972"/>
    <s v="n/a"/>
    <n v="16026.111045453637"/>
    <n v="16026.111045453637"/>
    <n v="0"/>
    <m/>
    <m/>
    <n v="16.746197539658972"/>
    <m/>
    <n v="16026.111045453637"/>
    <n v="0"/>
    <m/>
    <m/>
    <n v="16.746197539658972"/>
    <m/>
    <n v="16026.111045453637"/>
    <n v="0"/>
    <n v="16026.111045453637"/>
    <n v="16026.111045453637"/>
    <n v="16026.111045453637"/>
    <n v="16026.111045453637"/>
    <n v="64104.44418181455"/>
    <s v="NA"/>
    <m/>
  </r>
  <r>
    <s v="NSG"/>
    <x v="3"/>
    <s v="Home Energy Jumpstart"/>
    <s v="Core"/>
    <x v="39"/>
    <n v="0"/>
    <s v="SF"/>
    <x v="3"/>
    <s v="n/a"/>
    <s v="Household"/>
    <n v="1000"/>
    <n v="900"/>
    <n v="800"/>
    <n v="700"/>
    <s v="n/a"/>
    <m/>
    <n v="0"/>
    <n v="0"/>
    <n v="0"/>
    <n v="0"/>
    <n v="1"/>
    <n v="1"/>
    <n v="1"/>
    <n v="1"/>
    <n v="0"/>
    <n v="0"/>
    <n v="0"/>
    <n v="0"/>
    <n v="0"/>
    <n v="1"/>
    <n v="1"/>
    <n v="1"/>
    <n v="1"/>
    <n v="1"/>
    <n v="1"/>
    <n v="1"/>
    <n v="1"/>
    <m/>
    <m/>
    <n v="0"/>
    <m/>
    <n v="0"/>
    <n v="0"/>
    <m/>
    <m/>
    <n v="0"/>
    <s v="n/a"/>
    <n v="0"/>
    <n v="0"/>
    <n v="0"/>
    <m/>
    <m/>
    <n v="0"/>
    <m/>
    <n v="0"/>
    <n v="0"/>
    <m/>
    <m/>
    <n v="0"/>
    <m/>
    <n v="0"/>
    <n v="0"/>
    <n v="0"/>
    <n v="0"/>
    <n v="0"/>
    <n v="0"/>
    <n v="0"/>
    <s v="NA"/>
    <m/>
  </r>
  <r>
    <s v="NSG"/>
    <x v="3"/>
    <s v="Home Energy Jumpstart"/>
    <s v="Leave Behind Kit"/>
    <x v="40"/>
    <n v="0"/>
    <s v="SF"/>
    <x v="3"/>
    <s v="5.6.1"/>
    <s v="each"/>
    <n v="1000"/>
    <n v="900"/>
    <n v="800"/>
    <n v="700"/>
    <s v="RS-SHL-AIRS-V12-230101"/>
    <m/>
    <n v="6.3544800000000006"/>
    <n v="6.3544800000000006"/>
    <n v="6.3544800000000006"/>
    <n v="6.3544800000000006"/>
    <n v="0.88"/>
    <n v="0.88"/>
    <n v="0.88"/>
    <n v="0.88"/>
    <n v="5591.9424000000008"/>
    <n v="5032.7481600000001"/>
    <n v="4473.5539200000003"/>
    <n v="3914.3596800000005"/>
    <n v="19012.604160000003"/>
    <n v="0.88"/>
    <n v="0.88"/>
    <n v="0.88"/>
    <n v="0.88"/>
    <n v="0.88"/>
    <n v="0.88"/>
    <n v="0.88"/>
    <n v="0.88"/>
    <m/>
    <m/>
    <n v="6.3544800000000006"/>
    <m/>
    <n v="5591.9424000000008"/>
    <n v="0"/>
    <m/>
    <m/>
    <n v="6.3544800000000006"/>
    <s v="Updated ISR"/>
    <n v="5032.7481600000001"/>
    <n v="5032.7481600000001"/>
    <n v="0"/>
    <m/>
    <m/>
    <n v="6.3544800000000006"/>
    <m/>
    <n v="4473.5539200000003"/>
    <n v="0"/>
    <m/>
    <m/>
    <n v="6.3544800000000006"/>
    <m/>
    <n v="3914.3596800000005"/>
    <n v="0"/>
    <n v="5591.9424000000008"/>
    <n v="5032.7481600000001"/>
    <n v="4473.5539200000003"/>
    <n v="3914.3596800000005"/>
    <n v="19012.604160000003"/>
    <s v="NA"/>
    <m/>
  </r>
  <r>
    <s v="NSG"/>
    <x v="5"/>
    <s v="Public Sector"/>
    <s v="Rebates"/>
    <x v="35"/>
    <s v="&gt;=300MBH, &lt;1,500, &gt;=81% AFUE"/>
    <s v="CI"/>
    <x v="3"/>
    <s v="4.4.10"/>
    <s v="MBH"/>
    <n v="1000"/>
    <n v="1000"/>
    <n v="1000"/>
    <n v="1000"/>
    <s v="CI-HVC-BOIL-V10-230101"/>
    <m/>
    <n v="0.72402564102563916"/>
    <n v="0.72402564102563916"/>
    <n v="0.72402564102563916"/>
    <n v="0.72402564102563916"/>
    <n v="0.92"/>
    <n v="0.92"/>
    <n v="0.92"/>
    <n v="0.92"/>
    <n v="666.10358974358803"/>
    <n v="666.10358974358803"/>
    <n v="666.10358974358803"/>
    <n v="666.10358974358803"/>
    <n v="2664.4143589743521"/>
    <n v="0.92"/>
    <n v="0.92"/>
    <n v="0.92"/>
    <n v="0.92"/>
    <n v="0.92"/>
    <n v="0.92"/>
    <n v="0.92"/>
    <n v="0.92"/>
    <m/>
    <m/>
    <n v="0.72402564102563916"/>
    <m/>
    <n v="666.10358974358803"/>
    <n v="0"/>
    <m/>
    <m/>
    <n v="0.50460759493670693"/>
    <s v="n/a"/>
    <n v="666.10358974358803"/>
    <n v="464.23898734177038"/>
    <n v="-201.86460240181765"/>
    <m/>
    <m/>
    <n v="0.50460759493670693"/>
    <m/>
    <n v="464.23898734177038"/>
    <n v="-201.86460240181765"/>
    <m/>
    <m/>
    <n v="0.50460759493670693"/>
    <m/>
    <n v="464.23898734177038"/>
    <n v="-201.86460240181765"/>
    <n v="666.10358974358803"/>
    <n v="464.23898734177038"/>
    <n v="464.23898734177038"/>
    <n v="464.23898734177038"/>
    <n v="2058.8205517688993"/>
    <s v="NA"/>
    <m/>
  </r>
  <r>
    <s v="NSG"/>
    <x v="5"/>
    <s v="Small/Mid-Size Business"/>
    <s v="Rebates"/>
    <x v="35"/>
    <s v="&gt;=300MBH, &lt;1,500, &gt;=81% AFUE"/>
    <s v="CI"/>
    <x v="3"/>
    <s v="4.4.10"/>
    <s v="MBH"/>
    <n v="1000"/>
    <n v="1000"/>
    <n v="1000"/>
    <n v="1000"/>
    <s v="CI-HVC-BOIL-V10-230101"/>
    <m/>
    <n v="0.72402564102563916"/>
    <n v="0.72402564102563916"/>
    <n v="0.72402564102563916"/>
    <n v="0.72402564102563916"/>
    <n v="0.93"/>
    <n v="0.93"/>
    <n v="0.93"/>
    <n v="0.93"/>
    <n v="673.34384615384442"/>
    <n v="673.34384615384442"/>
    <n v="673.34384615384442"/>
    <n v="673.34384615384442"/>
    <n v="2693.3753846153777"/>
    <n v="0.93"/>
    <n v="0.93"/>
    <n v="0.93"/>
    <n v="0.93"/>
    <n v="0.93"/>
    <n v="0.93"/>
    <n v="0.93"/>
    <n v="0.93"/>
    <m/>
    <m/>
    <n v="0.72402564102563916"/>
    <m/>
    <n v="673.34384615384442"/>
    <n v="0"/>
    <m/>
    <m/>
    <n v="0.50460759493670693"/>
    <s v="n/a"/>
    <n v="673.34384615384442"/>
    <n v="469.28506329113742"/>
    <n v="-204.05878286270701"/>
    <m/>
    <m/>
    <n v="0.50460759493670693"/>
    <m/>
    <n v="469.28506329113742"/>
    <n v="-204.05878286270701"/>
    <m/>
    <m/>
    <n v="0.50460759493670693"/>
    <m/>
    <n v="469.28506329113742"/>
    <n v="-204.05878286270701"/>
    <n v="673.34384615384442"/>
    <n v="469.28506329113742"/>
    <n v="469.28506329113742"/>
    <n v="469.28506329113742"/>
    <n v="2081.1990360272566"/>
    <s v="NA"/>
    <m/>
  </r>
  <r>
    <s v="NSG"/>
    <x v="5"/>
    <s v="Small/Mid-Size Business"/>
    <s v="Partner Trade Ally Rebate"/>
    <x v="35"/>
    <s v="&gt;=300MBH, &lt;1,500, &gt;=81% AFUE"/>
    <s v="CI"/>
    <x v="3"/>
    <s v="4.4.10"/>
    <s v="MBH"/>
    <n v="1000"/>
    <n v="1000"/>
    <n v="1000"/>
    <n v="1000"/>
    <s v="CI-HVC-BOIL-V10-230101"/>
    <m/>
    <n v="0.72402564102563916"/>
    <n v="0.72402564102563916"/>
    <n v="0.72402564102563916"/>
    <n v="0.72402564102563916"/>
    <n v="0.93"/>
    <n v="0.93"/>
    <n v="0.93"/>
    <n v="0.93"/>
    <n v="673.34384615384442"/>
    <n v="673.34384615384442"/>
    <n v="673.34384615384442"/>
    <n v="673.34384615384442"/>
    <n v="2693.3753846153777"/>
    <n v="0.93"/>
    <n v="0.93"/>
    <n v="0.93"/>
    <n v="0.93"/>
    <n v="0.93"/>
    <n v="0.93"/>
    <n v="0.93"/>
    <n v="0.93"/>
    <m/>
    <m/>
    <n v="0.72402564102563916"/>
    <m/>
    <n v="673.34384615384442"/>
    <n v="0"/>
    <m/>
    <m/>
    <n v="0.50460759493670693"/>
    <s v="n/a"/>
    <n v="673.34384615384442"/>
    <n v="469.28506329113742"/>
    <n v="-204.05878286270701"/>
    <m/>
    <m/>
    <n v="0.50460759493670693"/>
    <m/>
    <n v="469.28506329113742"/>
    <n v="-204.05878286270701"/>
    <m/>
    <m/>
    <n v="0.50460759493670693"/>
    <m/>
    <n v="469.28506329113742"/>
    <n v="-204.05878286270701"/>
    <n v="673.34384615384442"/>
    <n v="469.28506329113742"/>
    <n v="469.28506329113742"/>
    <n v="469.28506329113742"/>
    <n v="2081.1990360272566"/>
    <s v="NA"/>
    <m/>
  </r>
  <r>
    <s v="NSG"/>
    <x v="5"/>
    <s v="C&amp;I"/>
    <s v="Rebates"/>
    <x v="41"/>
    <s v="Test"/>
    <s v="CI"/>
    <x v="3"/>
    <n v="0"/>
    <s v="each"/>
    <n v="850"/>
    <n v="800"/>
    <n v="700"/>
    <n v="680"/>
    <n v="0"/>
    <m/>
    <n v="0"/>
    <n v="0"/>
    <n v="0"/>
    <n v="0"/>
    <n v="0.91"/>
    <n v="0.91"/>
    <n v="0.91"/>
    <n v="0.91"/>
    <n v="0"/>
    <n v="0"/>
    <n v="0"/>
    <n v="0"/>
    <n v="0"/>
    <n v="0.91"/>
    <n v="0.91"/>
    <n v="0.91"/>
    <n v="0.91"/>
    <n v="0.91"/>
    <n v="0.91"/>
    <n v="0.91"/>
    <n v="0.91"/>
    <m/>
    <m/>
    <n v="0"/>
    <m/>
    <n v="0"/>
    <n v="0"/>
    <m/>
    <m/>
    <n v="0"/>
    <s v="n/a"/>
    <n v="0"/>
    <n v="0"/>
    <n v="0"/>
    <m/>
    <m/>
    <n v="0"/>
    <m/>
    <n v="0"/>
    <n v="0"/>
    <m/>
    <m/>
    <n v="0"/>
    <m/>
    <n v="0"/>
    <n v="0"/>
    <n v="0"/>
    <n v="0"/>
    <n v="0"/>
    <n v="0"/>
    <n v="0"/>
    <s v="NA"/>
    <m/>
  </r>
  <r>
    <s v="NSG"/>
    <x v="4"/>
    <s v="Multi-Family"/>
    <s v="Whole Building - Prescriptive"/>
    <x v="21"/>
    <s v="Space Heating"/>
    <s v="MF"/>
    <x v="3"/>
    <s v="4.4.2"/>
    <s v="MBH"/>
    <n v="800"/>
    <n v="800"/>
    <n v="800"/>
    <n v="800"/>
    <s v="CI-HVC-BLRT-V07-210101"/>
    <m/>
    <n v="0.46874846625766969"/>
    <n v="0.46874846625766969"/>
    <n v="0.46874846625766969"/>
    <n v="0.46874846625766969"/>
    <n v="1"/>
    <n v="1"/>
    <n v="1"/>
    <n v="1"/>
    <n v="374.99877300613576"/>
    <n v="374.99877300613576"/>
    <n v="374.99877300613576"/>
    <n v="374.99877300613576"/>
    <n v="1499.9950920245431"/>
    <n v="1"/>
    <n v="1"/>
    <n v="1"/>
    <n v="1"/>
    <n v="1"/>
    <n v="1"/>
    <n v="1"/>
    <n v="1"/>
    <m/>
    <m/>
    <n v="0.46874846625766969"/>
    <m/>
    <n v="374.99877300613576"/>
    <n v="0"/>
    <m/>
    <m/>
    <n v="0.46874846625766969"/>
    <s v="n/a"/>
    <n v="374.99877300613576"/>
    <n v="374.99877300613576"/>
    <n v="0"/>
    <m/>
    <m/>
    <n v="0.46874846625766969"/>
    <m/>
    <n v="374.99877300613576"/>
    <n v="0"/>
    <m/>
    <m/>
    <n v="0.46874846625766969"/>
    <m/>
    <n v="374.99877300613576"/>
    <n v="0"/>
    <n v="374.99877300613576"/>
    <n v="374.99877300613576"/>
    <n v="374.99877300613576"/>
    <n v="374.99877300613576"/>
    <n v="1499.9950920245431"/>
    <s v="NA"/>
    <m/>
  </r>
  <r>
    <s v="NSG"/>
    <x v="4"/>
    <s v="Outreach and Education"/>
    <s v="Elementary Energy Education"/>
    <x v="36"/>
    <n v="0"/>
    <s v="SF"/>
    <x v="4"/>
    <s v="n/a"/>
    <s v="Household"/>
    <n v="760"/>
    <n v="760"/>
    <n v="760"/>
    <n v="760"/>
    <s v="n/a"/>
    <m/>
    <n v="18.06005859375"/>
    <n v="18.06005859375"/>
    <n v="18.06005859375"/>
    <n v="18.06005859375"/>
    <n v="1"/>
    <n v="1"/>
    <n v="1"/>
    <n v="1"/>
    <n v="13725.64453125"/>
    <n v="13725.64453125"/>
    <n v="13725.64453125"/>
    <n v="13725.64453125"/>
    <n v="54902.578125"/>
    <n v="1"/>
    <n v="1"/>
    <n v="1"/>
    <n v="1"/>
    <n v="1"/>
    <n v="1"/>
    <n v="1"/>
    <n v="1"/>
    <m/>
    <m/>
    <n v="18.06005859375"/>
    <m/>
    <n v="13725.64453125"/>
    <n v="0"/>
    <m/>
    <m/>
    <n v="18.06005859375"/>
    <s v="n/a"/>
    <n v="13725.64453125"/>
    <n v="13725.64453125"/>
    <n v="0"/>
    <m/>
    <m/>
    <n v="18.06005859375"/>
    <m/>
    <n v="13725.64453125"/>
    <n v="0"/>
    <m/>
    <m/>
    <n v="18.06005859375"/>
    <m/>
    <n v="13725.64453125"/>
    <n v="0"/>
    <n v="13725.64453125"/>
    <n v="13725.64453125"/>
    <n v="13725.64453125"/>
    <n v="13725.64453125"/>
    <n v="54902.578125"/>
    <s v="NA"/>
    <m/>
  </r>
  <r>
    <s v="NSG"/>
    <x v="4"/>
    <s v="Single Family"/>
    <s v="IE Kits"/>
    <x v="42"/>
    <s v="IE Kit"/>
    <s v="IE"/>
    <x v="3"/>
    <s v="n/a"/>
    <s v="kits"/>
    <n v="560"/>
    <n v="560"/>
    <n v="560"/>
    <n v="560"/>
    <s v="n/a"/>
    <m/>
    <n v="0"/>
    <n v="0"/>
    <n v="0"/>
    <n v="0"/>
    <n v="1"/>
    <n v="1"/>
    <n v="1"/>
    <n v="1"/>
    <n v="0"/>
    <n v="0"/>
    <n v="0"/>
    <n v="0"/>
    <n v="0"/>
    <n v="1"/>
    <n v="1"/>
    <n v="1"/>
    <n v="1"/>
    <n v="1"/>
    <n v="1"/>
    <n v="1"/>
    <n v="1"/>
    <m/>
    <m/>
    <n v="0"/>
    <m/>
    <n v="0"/>
    <n v="0"/>
    <m/>
    <m/>
    <n v="0"/>
    <s v="n/a"/>
    <n v="0"/>
    <n v="0"/>
    <n v="0"/>
    <m/>
    <m/>
    <n v="0"/>
    <m/>
    <n v="0"/>
    <n v="0"/>
    <m/>
    <m/>
    <n v="0"/>
    <m/>
    <n v="0"/>
    <n v="0"/>
    <n v="0"/>
    <n v="0"/>
    <n v="0"/>
    <n v="0"/>
    <n v="0"/>
    <s v="NA"/>
    <m/>
  </r>
  <r>
    <s v="NSG"/>
    <x v="5"/>
    <s v="Small/Mid-Size Business"/>
    <s v="Partner Trade Ally Rebate"/>
    <x v="38"/>
    <n v="0"/>
    <s v="MF/CI/SMB"/>
    <x v="3"/>
    <s v="4.3.12"/>
    <s v="sqft"/>
    <n v="550"/>
    <n v="550"/>
    <n v="550"/>
    <n v="550"/>
    <s v="CI-HWE-TKIN-V02-220101"/>
    <m/>
    <n v="16.746197539658972"/>
    <n v="16.746197539658972"/>
    <n v="16.746197539658972"/>
    <n v="16.746197539658972"/>
    <n v="0.93"/>
    <n v="0.93"/>
    <n v="0.93"/>
    <n v="0.93"/>
    <n v="8565.6800415355647"/>
    <n v="8565.6800415355647"/>
    <n v="8565.6800415355647"/>
    <n v="8565.6800415355647"/>
    <n v="34262.720166142259"/>
    <n v="0.93"/>
    <n v="0.93"/>
    <n v="0.93"/>
    <n v="0.93"/>
    <n v="0.93"/>
    <n v="0.93"/>
    <n v="0.93"/>
    <n v="0.93"/>
    <m/>
    <m/>
    <n v="16.746197539658972"/>
    <m/>
    <n v="8565.6800415355647"/>
    <n v="0"/>
    <m/>
    <m/>
    <n v="16.746197539658972"/>
    <s v="n/a"/>
    <n v="8565.6800415355647"/>
    <n v="8565.6800415355647"/>
    <n v="0"/>
    <m/>
    <m/>
    <n v="16.746197539658972"/>
    <m/>
    <n v="8565.6800415355647"/>
    <n v="0"/>
    <m/>
    <m/>
    <n v="16.746197539658972"/>
    <m/>
    <n v="8565.6800415355647"/>
    <n v="0"/>
    <n v="8565.6800415355647"/>
    <n v="8565.6800415355647"/>
    <n v="8565.6800415355647"/>
    <n v="8565.6800415355647"/>
    <n v="34262.720166142259"/>
    <s v="NA"/>
    <m/>
  </r>
  <r>
    <s v="NSG"/>
    <x v="3"/>
    <s v="Multi-Family"/>
    <s v="Direct Install"/>
    <x v="39"/>
    <n v="0"/>
    <s v="MF"/>
    <x v="3"/>
    <n v="0"/>
    <s v="each"/>
    <n v="500"/>
    <n v="500"/>
    <n v="500"/>
    <n v="500"/>
    <n v="0"/>
    <m/>
    <n v="0"/>
    <n v="0"/>
    <n v="0"/>
    <n v="0"/>
    <n v="0.96"/>
    <n v="0.96"/>
    <n v="0.96"/>
    <n v="0.96"/>
    <n v="0"/>
    <n v="0"/>
    <n v="0"/>
    <n v="0"/>
    <n v="0"/>
    <n v="0.96"/>
    <n v="0.96"/>
    <n v="0.96"/>
    <n v="0.96"/>
    <n v="0.96"/>
    <n v="0.96"/>
    <n v="0.96"/>
    <n v="0.96"/>
    <m/>
    <m/>
    <n v="0"/>
    <m/>
    <n v="0"/>
    <n v="0"/>
    <m/>
    <m/>
    <n v="0"/>
    <s v="n/a"/>
    <n v="0"/>
    <n v="0"/>
    <n v="0"/>
    <m/>
    <m/>
    <n v="0"/>
    <m/>
    <n v="0"/>
    <n v="0"/>
    <m/>
    <m/>
    <n v="0"/>
    <m/>
    <n v="0"/>
    <n v="0"/>
    <n v="0"/>
    <n v="0"/>
    <n v="0"/>
    <n v="0"/>
    <n v="0"/>
    <s v="NA"/>
    <m/>
  </r>
  <r>
    <s v="NSG"/>
    <x v="3"/>
    <s v="Multi-Family"/>
    <s v="Partner Trade Ally Rebate"/>
    <x v="35"/>
    <s v="&gt;=300MBH, &lt;1,500, &gt;=81% AFUE"/>
    <s v="MF"/>
    <x v="3"/>
    <s v="4.4.10"/>
    <s v="MBH"/>
    <n v="500"/>
    <n v="500"/>
    <n v="500"/>
    <n v="500"/>
    <s v="CI-HVC-BOIL-V10-230101"/>
    <m/>
    <n v="0.63884615384615429"/>
    <n v="0.63884615384615429"/>
    <n v="0.63884615384615429"/>
    <n v="0.63884615384615429"/>
    <n v="0.87"/>
    <n v="0.87"/>
    <n v="0.87"/>
    <n v="0.87"/>
    <n v="277.8980769230771"/>
    <n v="277.8980769230771"/>
    <n v="277.8980769230771"/>
    <n v="277.8980769230771"/>
    <n v="1111.5923076923084"/>
    <n v="0.87"/>
    <n v="0.87"/>
    <n v="0.87"/>
    <n v="0.87"/>
    <n v="0.87"/>
    <n v="0.87"/>
    <n v="0.87"/>
    <n v="0.87"/>
    <m/>
    <m/>
    <n v="0.63884615384615429"/>
    <m/>
    <n v="277.8980769230771"/>
    <n v="0"/>
    <m/>
    <m/>
    <n v="0.42050632911392438"/>
    <s v="n/a"/>
    <n v="277.8980769230771"/>
    <n v="182.9202531645571"/>
    <n v="-94.977823758520003"/>
    <m/>
    <m/>
    <n v="0.42050632911392438"/>
    <m/>
    <n v="182.9202531645571"/>
    <n v="-94.977823758520003"/>
    <m/>
    <m/>
    <n v="0.42050632911392438"/>
    <m/>
    <n v="182.9202531645571"/>
    <n v="-94.977823758520003"/>
    <n v="277.8980769230771"/>
    <n v="182.9202531645571"/>
    <n v="182.9202531645571"/>
    <n v="182.9202531645571"/>
    <n v="826.6588364167485"/>
    <s v="NA"/>
    <m/>
  </r>
  <r>
    <s v="NSG"/>
    <x v="5"/>
    <s v="Small/Mid-Size Business"/>
    <s v="Rebates"/>
    <x v="43"/>
    <s v="Hotel/Motel/Hospital"/>
    <s v="CI"/>
    <x v="3"/>
    <s v="4.8.5"/>
    <s v="lb-capacity"/>
    <n v="500"/>
    <n v="500"/>
    <n v="500"/>
    <n v="500"/>
    <s v="CI-MSC-HSCW-V02-210101"/>
    <m/>
    <n v="6.7459391999999996"/>
    <n v="6.7459391999999996"/>
    <n v="6.7459391999999996"/>
    <n v="6.7459391999999996"/>
    <n v="0.93"/>
    <n v="0.93"/>
    <n v="0.93"/>
    <n v="0.93"/>
    <n v="3136.8617279999999"/>
    <n v="3136.8617279999999"/>
    <n v="3136.8617279999999"/>
    <n v="3136.8617279999999"/>
    <n v="12547.446911999999"/>
    <n v="0.93"/>
    <n v="0.93"/>
    <n v="0.93"/>
    <n v="0.93"/>
    <n v="0.93"/>
    <n v="0.93"/>
    <n v="0.93"/>
    <n v="0.93"/>
    <m/>
    <m/>
    <n v="6.7459391999999996"/>
    <m/>
    <n v="3136.8617279999999"/>
    <n v="0"/>
    <m/>
    <m/>
    <n v="6.7459391999999996"/>
    <s v="n/a"/>
    <n v="3136.8617279999999"/>
    <n v="3136.8617279999999"/>
    <n v="0"/>
    <m/>
    <m/>
    <n v="6.7459391999999996"/>
    <m/>
    <n v="3136.8617279999999"/>
    <n v="0"/>
    <m/>
    <m/>
    <n v="6.7459391999999996"/>
    <m/>
    <n v="3136.8617279999999"/>
    <n v="0"/>
    <n v="3136.8617279999999"/>
    <n v="3136.8617279999999"/>
    <n v="3136.8617279999999"/>
    <n v="3136.8617279999999"/>
    <n v="12547.446911999999"/>
    <s v="NA"/>
    <m/>
  </r>
  <r>
    <s v="NSG"/>
    <x v="5"/>
    <s v="C&amp;I"/>
    <s v="Rebates"/>
    <x v="38"/>
    <n v="0"/>
    <s v="MF/CI/SMB"/>
    <x v="3"/>
    <s v="4.3.12"/>
    <s v="sqft"/>
    <n v="467.5"/>
    <n v="440"/>
    <n v="385"/>
    <n v="374"/>
    <s v="CI-HWE-TKIN-V02-220101"/>
    <m/>
    <n v="16.746197539658972"/>
    <n v="16.746197539658972"/>
    <n v="16.746197539658972"/>
    <n v="16.746197539658972"/>
    <n v="0.91"/>
    <n v="0.91"/>
    <n v="0.91"/>
    <n v="0.91"/>
    <n v="7124.2510883094183"/>
    <n v="6705.1774948794528"/>
    <n v="5867.0303080195208"/>
    <n v="5699.4008706475342"/>
    <n v="25395.859761855929"/>
    <n v="0.91"/>
    <n v="0.91"/>
    <n v="0.91"/>
    <n v="0.91"/>
    <n v="0.91"/>
    <n v="0.91"/>
    <n v="0.91"/>
    <n v="0.91"/>
    <m/>
    <m/>
    <n v="16.746197539658972"/>
    <m/>
    <n v="7124.2510883094183"/>
    <n v="0"/>
    <m/>
    <m/>
    <n v="16.746197539658972"/>
    <s v="n/a"/>
    <n v="6705.1774948794528"/>
    <n v="6705.1774948794528"/>
    <n v="0"/>
    <m/>
    <m/>
    <n v="16.746197539658972"/>
    <m/>
    <n v="5867.0303080195208"/>
    <n v="0"/>
    <m/>
    <m/>
    <n v="16.746197539658972"/>
    <m/>
    <n v="5699.4008706475342"/>
    <n v="0"/>
    <n v="7124.2510883094183"/>
    <n v="6705.1774948794528"/>
    <n v="5867.0303080195208"/>
    <n v="5699.4008706475342"/>
    <n v="25395.859761855929"/>
    <s v="NA"/>
    <m/>
  </r>
  <r>
    <s v="NSG"/>
    <x v="4"/>
    <s v="Multi-Family"/>
    <s v="Whole Building - Prescriptive"/>
    <x v="26"/>
    <n v="0"/>
    <s v="IE MF"/>
    <x v="3"/>
    <s v="5.6.1"/>
    <s v="linear ft"/>
    <n v="459"/>
    <n v="459"/>
    <n v="459"/>
    <n v="459"/>
    <s v="RS-SHL-AIRS-V12-230101"/>
    <m/>
    <n v="0.48799999999999999"/>
    <n v="0.48799999999999999"/>
    <n v="0.48799999999999999"/>
    <n v="0.48799999999999999"/>
    <n v="1"/>
    <n v="1"/>
    <n v="1"/>
    <n v="1"/>
    <n v="223.99199999999999"/>
    <n v="223.99199999999999"/>
    <n v="223.99199999999999"/>
    <n v="223.99199999999999"/>
    <n v="895.96799999999996"/>
    <n v="1"/>
    <n v="1"/>
    <n v="1"/>
    <n v="1"/>
    <n v="1"/>
    <n v="1"/>
    <n v="1"/>
    <n v="1"/>
    <m/>
    <m/>
    <n v="0.48799999999999999"/>
    <m/>
    <n v="223.99199999999999"/>
    <n v="0"/>
    <m/>
    <m/>
    <n v="0.48799999999999999"/>
    <s v="Updated ISR"/>
    <n v="223.99199999999999"/>
    <n v="223.99199999999999"/>
    <n v="0"/>
    <m/>
    <m/>
    <n v="0.48799999999999999"/>
    <m/>
    <n v="223.99199999999999"/>
    <n v="0"/>
    <m/>
    <m/>
    <n v="0.48799999999999999"/>
    <m/>
    <n v="223.99199999999999"/>
    <n v="0"/>
    <n v="223.99199999999999"/>
    <n v="223.99199999999999"/>
    <n v="223.99199999999999"/>
    <n v="223.99199999999999"/>
    <n v="895.96799999999996"/>
    <s v="NA"/>
    <m/>
  </r>
  <r>
    <s v="NSG"/>
    <x v="4"/>
    <s v="Multi-Family"/>
    <s v="Whole Building - Prescriptive"/>
    <x v="35"/>
    <s v="&gt;=300MBH, &lt;1,500, &gt;=81% AFUE"/>
    <s v="MF"/>
    <x v="3"/>
    <s v="4.4.10"/>
    <s v="MBH"/>
    <n v="450"/>
    <n v="450"/>
    <n v="450"/>
    <n v="450"/>
    <s v="CI-HVC-BOIL-V10-230101"/>
    <m/>
    <n v="0.63884615384615429"/>
    <n v="0.63884615384615429"/>
    <n v="0.63884615384615429"/>
    <n v="0.63884615384615429"/>
    <n v="1"/>
    <n v="1"/>
    <n v="1"/>
    <n v="1"/>
    <n v="287.48076923076945"/>
    <n v="287.48076923076945"/>
    <n v="287.48076923076945"/>
    <n v="287.48076923076945"/>
    <n v="1149.9230769230778"/>
    <n v="1"/>
    <n v="1"/>
    <n v="1"/>
    <n v="1"/>
    <n v="1"/>
    <n v="1"/>
    <n v="1"/>
    <n v="1"/>
    <m/>
    <m/>
    <n v="0.63884615384615429"/>
    <m/>
    <n v="287.48076923076945"/>
    <n v="0"/>
    <m/>
    <m/>
    <n v="0.42050632911392438"/>
    <s v="n/a"/>
    <n v="287.48076923076945"/>
    <n v="189.22784810126598"/>
    <n v="-98.252921129503477"/>
    <m/>
    <m/>
    <n v="0.42050632911392438"/>
    <m/>
    <n v="189.22784810126598"/>
    <n v="-98.252921129503477"/>
    <m/>
    <m/>
    <n v="0.42050632911392438"/>
    <m/>
    <n v="189.22784810126598"/>
    <n v="-98.252921129503477"/>
    <n v="287.48076923076945"/>
    <n v="189.22784810126598"/>
    <n v="189.22784810126598"/>
    <n v="189.22784810126598"/>
    <n v="855.16431353456744"/>
    <s v="NA"/>
    <m/>
  </r>
  <r>
    <s v="NSG"/>
    <x v="5"/>
    <s v="C&amp;I"/>
    <s v="Rebates"/>
    <x v="43"/>
    <s v="Hotel/Motel/Hospital"/>
    <s v="CI"/>
    <x v="3"/>
    <s v="4.8.5"/>
    <s v="lb-capacity"/>
    <n v="425"/>
    <n v="400"/>
    <n v="350"/>
    <n v="340"/>
    <s v="CI-MSC-HSCW-V02-210101"/>
    <m/>
    <n v="6.7459391999999996"/>
    <n v="6.7459391999999996"/>
    <n v="6.7459391999999996"/>
    <n v="6.7459391999999996"/>
    <n v="0.91"/>
    <n v="0.91"/>
    <n v="0.91"/>
    <n v="0.91"/>
    <n v="2608.9919856000001"/>
    <n v="2455.5218687999995"/>
    <n v="2148.5816352000002"/>
    <n v="2087.19358848"/>
    <n v="9300.2890780800008"/>
    <n v="0.91"/>
    <n v="0.91"/>
    <n v="0.91"/>
    <n v="0.91"/>
    <n v="0.91"/>
    <n v="0.91"/>
    <n v="0.91"/>
    <n v="0.91"/>
    <m/>
    <m/>
    <n v="6.7459391999999996"/>
    <m/>
    <n v="2608.9919856000001"/>
    <n v="0"/>
    <m/>
    <m/>
    <n v="6.7459391999999996"/>
    <s v="n/a"/>
    <n v="2455.5218687999995"/>
    <n v="2455.5218687999995"/>
    <n v="0"/>
    <m/>
    <m/>
    <n v="6.7459391999999996"/>
    <m/>
    <n v="2148.5816352000002"/>
    <n v="0"/>
    <m/>
    <m/>
    <n v="6.7459391999999996"/>
    <m/>
    <n v="2087.19358848"/>
    <n v="0"/>
    <n v="2608.9919856000001"/>
    <n v="2455.5218687999995"/>
    <n v="2148.5816352000002"/>
    <n v="2087.19358848"/>
    <n v="9300.2890780800008"/>
    <s v="NA"/>
    <m/>
  </r>
  <r>
    <s v="NSG"/>
    <x v="4"/>
    <s v="Home Energy Jumpstart"/>
    <s v="Leave Behind Kit"/>
    <x v="26"/>
    <n v="0"/>
    <s v="SF"/>
    <x v="3"/>
    <s v="5.6.1"/>
    <s v="linear foot"/>
    <n v="400"/>
    <n v="1008"/>
    <n v="2016"/>
    <n v="2416"/>
    <s v="RS-SHL-AIRS-V12-230101"/>
    <m/>
    <n v="0.42455999999999999"/>
    <n v="0.42455999999999999"/>
    <n v="0.42455999999999999"/>
    <n v="0.42455999999999999"/>
    <n v="1"/>
    <n v="1"/>
    <n v="1"/>
    <n v="1"/>
    <n v="169.82399999999998"/>
    <n v="427.95648"/>
    <n v="855.91296"/>
    <n v="1025.73696"/>
    <n v="2479.4304000000002"/>
    <n v="1"/>
    <n v="1"/>
    <n v="1"/>
    <n v="1"/>
    <n v="1"/>
    <n v="1"/>
    <n v="1"/>
    <n v="1"/>
    <m/>
    <m/>
    <n v="0.42455999999999999"/>
    <m/>
    <n v="169.82399999999998"/>
    <n v="0"/>
    <m/>
    <m/>
    <n v="0.42455999999999999"/>
    <s v="Updated ISR"/>
    <n v="376.60170240000002"/>
    <n v="427.95648"/>
    <n v="0"/>
    <m/>
    <m/>
    <n v="0.42455999999999999"/>
    <m/>
    <n v="855.91296"/>
    <n v="0"/>
    <m/>
    <m/>
    <n v="0.42455999999999999"/>
    <m/>
    <n v="1025.73696"/>
    <n v="0"/>
    <n v="169.82399999999998"/>
    <n v="427.95648"/>
    <n v="855.91296"/>
    <n v="1025.73696"/>
    <n v="2479.4304000000002"/>
    <s v="NA"/>
    <m/>
  </r>
  <r>
    <s v="NSG"/>
    <x v="5"/>
    <s v="C&amp;I"/>
    <s v="Rebates"/>
    <x v="28"/>
    <s v="≥88% AFUE, &lt;300MBh"/>
    <s v="CI"/>
    <x v="3"/>
    <s v="4.4.10"/>
    <s v="MBH"/>
    <n v="340"/>
    <n v="320"/>
    <n v="280"/>
    <n v="272"/>
    <s v="CI-HVC-BOIL-V10-230101"/>
    <m/>
    <n v="0.79095238095238163"/>
    <n v="0.79095238095238163"/>
    <n v="0.79095238095238163"/>
    <n v="0.79095238095238163"/>
    <n v="0.91"/>
    <n v="0.91"/>
    <n v="0.91"/>
    <n v="0.91"/>
    <n v="244.72066666666692"/>
    <n v="230.32533333333353"/>
    <n v="201.53466666666685"/>
    <n v="195.7765333333335"/>
    <n v="872.35720000000083"/>
    <n v="0.91"/>
    <n v="0.91"/>
    <n v="0.91"/>
    <n v="0.91"/>
    <n v="0.91"/>
    <n v="0.91"/>
    <n v="0.91"/>
    <n v="0.91"/>
    <m/>
    <m/>
    <n v="0.79095238095238163"/>
    <m/>
    <n v="244.72066666666692"/>
    <n v="0"/>
    <m/>
    <m/>
    <n v="0.79095238095238163"/>
    <s v="n/a"/>
    <n v="230.32533333333353"/>
    <n v="230.32533333333353"/>
    <n v="0"/>
    <m/>
    <m/>
    <n v="0.79095238095238163"/>
    <m/>
    <n v="201.53466666666685"/>
    <n v="0"/>
    <m/>
    <m/>
    <n v="0.79095238095238163"/>
    <m/>
    <n v="195.7765333333335"/>
    <n v="0"/>
    <n v="244.72066666666692"/>
    <n v="230.32533333333353"/>
    <n v="201.53466666666685"/>
    <n v="195.7765333333335"/>
    <n v="872.35720000000083"/>
    <s v="NA"/>
    <m/>
  </r>
  <r>
    <s v="NSG"/>
    <x v="5"/>
    <s v="C&amp;I"/>
    <s v="Rebates"/>
    <x v="4"/>
    <s v="HW Large &gt;4&quot;"/>
    <s v="MF/CI/SMB"/>
    <x v="3"/>
    <s v="&quot;3 - Res Pipe Insulation&quot; worksheet"/>
    <s v="ft"/>
    <n v="318.75"/>
    <n v="300"/>
    <n v="262.5"/>
    <n v="255.00000000000003"/>
    <n v="0"/>
    <m/>
    <n v="9.0407613085908682"/>
    <n v="9.0407613085908682"/>
    <n v="9.0407613085908682"/>
    <n v="9.0407613085908682"/>
    <n v="0.91"/>
    <n v="0.91"/>
    <n v="0.91"/>
    <n v="0.91"/>
    <n v="2622.3858270731389"/>
    <n v="2468.1278372453071"/>
    <n v="2159.6118575896435"/>
    <n v="2097.9086616585114"/>
    <n v="9348.0341835666004"/>
    <n v="0.91"/>
    <n v="0.91"/>
    <n v="0.91"/>
    <n v="0.91"/>
    <n v="0.91"/>
    <n v="0.91"/>
    <n v="0.91"/>
    <n v="0.91"/>
    <m/>
    <m/>
    <n v="9.0407613085908682"/>
    <m/>
    <n v="2622.3858270731389"/>
    <n v="0"/>
    <m/>
    <m/>
    <n v="9.0407613085908682"/>
    <s v="n/a"/>
    <n v="2468.1278372453071"/>
    <n v="2468.1278372453071"/>
    <n v="0"/>
    <m/>
    <m/>
    <n v="9.0407613085908682"/>
    <m/>
    <n v="2159.6118575896435"/>
    <n v="0"/>
    <m/>
    <m/>
    <n v="9.0407613085908682"/>
    <m/>
    <n v="2097.9086616585114"/>
    <n v="0"/>
    <n v="2622.3858270731389"/>
    <n v="2468.1278372453071"/>
    <n v="2159.6118575896435"/>
    <n v="2097.9086616585114"/>
    <n v="9348.0341835666004"/>
    <s v="NA"/>
    <m/>
  </r>
  <r>
    <s v="NSG"/>
    <x v="3"/>
    <s v="Multi-Family"/>
    <s v="Partner Trade Ally Rebate"/>
    <x v="4"/>
    <s v="HW Medium 2.1&quot; to 4&quot;"/>
    <s v="MF/CI/SMB"/>
    <x v="3"/>
    <s v="&quot;3 - Res Pipe Insulation&quot; worksheet"/>
    <s v="ft"/>
    <n v="300"/>
    <n v="300"/>
    <n v="300"/>
    <n v="300"/>
    <n v="0"/>
    <m/>
    <n v="5.2492031493764015"/>
    <n v="5.2492031493764015"/>
    <n v="5.2492031493764015"/>
    <n v="5.2492031493764015"/>
    <n v="0.87"/>
    <n v="0.87"/>
    <n v="0.87"/>
    <n v="0.87"/>
    <n v="1370.0420219872408"/>
    <n v="1370.0420219872408"/>
    <n v="1370.0420219872408"/>
    <n v="1370.0420219872408"/>
    <n v="5480.1680879489631"/>
    <n v="0.87"/>
    <n v="0.87"/>
    <n v="0.87"/>
    <n v="0.87"/>
    <n v="0.87"/>
    <n v="0.87"/>
    <n v="0.87"/>
    <n v="0.87"/>
    <m/>
    <m/>
    <n v="5.2492031493764015"/>
    <m/>
    <n v="1370.0420219872408"/>
    <n v="0"/>
    <m/>
    <m/>
    <n v="5.2492031493764015"/>
    <s v="n/a"/>
    <n v="1370.0420219872408"/>
    <n v="1370.0420219872408"/>
    <n v="0"/>
    <m/>
    <m/>
    <n v="5.2492031493764015"/>
    <m/>
    <n v="1370.0420219872408"/>
    <n v="0"/>
    <m/>
    <m/>
    <n v="5.2492031493764015"/>
    <m/>
    <n v="1370.0420219872408"/>
    <n v="0"/>
    <n v="1370.0420219872408"/>
    <n v="1370.0420219872408"/>
    <n v="1370.0420219872408"/>
    <n v="1370.0420219872408"/>
    <n v="5480.1680879489631"/>
    <s v="NA"/>
    <m/>
  </r>
  <r>
    <s v="NSG"/>
    <x v="3"/>
    <s v="Multi-Family"/>
    <s v="Partner Trade Ally Rebate"/>
    <x v="4"/>
    <s v="HW Large &gt;4&quot;"/>
    <s v="MF/CI/SMB"/>
    <x v="3"/>
    <s v="&quot;3 - Res Pipe Insulation&quot; worksheet"/>
    <s v="ft"/>
    <n v="300"/>
    <n v="300"/>
    <n v="300"/>
    <n v="300"/>
    <n v="0"/>
    <m/>
    <n v="9.0407613085908682"/>
    <n v="9.0407613085908682"/>
    <n v="9.0407613085908682"/>
    <n v="9.0407613085908682"/>
    <n v="0.87"/>
    <n v="0.87"/>
    <n v="0.87"/>
    <n v="0.87"/>
    <n v="2359.6387015422165"/>
    <n v="2359.6387015422165"/>
    <n v="2359.6387015422165"/>
    <n v="2359.6387015422165"/>
    <n v="9438.554806168866"/>
    <n v="0.87"/>
    <n v="0.87"/>
    <n v="0.87"/>
    <n v="0.87"/>
    <n v="0.87"/>
    <n v="0.87"/>
    <n v="0.87"/>
    <n v="0.87"/>
    <m/>
    <m/>
    <n v="9.0407613085908682"/>
    <m/>
    <n v="2359.6387015422165"/>
    <n v="0"/>
    <m/>
    <m/>
    <n v="9.0407613085908682"/>
    <s v="n/a"/>
    <n v="2359.6387015422165"/>
    <n v="2359.6387015422165"/>
    <n v="0"/>
    <m/>
    <m/>
    <n v="9.0407613085908682"/>
    <m/>
    <n v="2359.6387015422165"/>
    <n v="0"/>
    <m/>
    <m/>
    <n v="9.0407613085908682"/>
    <m/>
    <n v="2359.6387015422165"/>
    <n v="0"/>
    <n v="2359.6387015422165"/>
    <n v="2359.6387015422165"/>
    <n v="2359.6387015422165"/>
    <n v="2359.6387015422165"/>
    <n v="9438.554806168866"/>
    <s v="NA"/>
    <m/>
  </r>
  <r>
    <s v="NSG"/>
    <x v="5"/>
    <s v="Small/Mid-Size Business"/>
    <s v="Partner Trade Ally Rebate"/>
    <x v="4"/>
    <s v="Steam - Med 2.1&quot; to 5&quot;"/>
    <s v="CI"/>
    <x v="3"/>
    <s v="&quot;3 - Pipe Insulation&quot; worksheet"/>
    <s v="ft"/>
    <n v="300"/>
    <n v="225"/>
    <n v="225"/>
    <n v="225"/>
    <n v="0"/>
    <m/>
    <n v="12.811046084448035"/>
    <n v="12.811046084448035"/>
    <n v="12.811046084448035"/>
    <n v="12.811046084448035"/>
    <n v="0.93"/>
    <n v="0.93"/>
    <n v="0.93"/>
    <n v="0.93"/>
    <n v="3574.2818575610017"/>
    <n v="2680.7113931707518"/>
    <n v="2680.7113931707518"/>
    <n v="2680.7113931707518"/>
    <n v="11616.416037073257"/>
    <n v="0.93"/>
    <n v="0.93"/>
    <n v="0.93"/>
    <n v="0.93"/>
    <n v="0.93"/>
    <n v="0.93"/>
    <n v="0.93"/>
    <n v="0.93"/>
    <m/>
    <m/>
    <n v="12.811046084448035"/>
    <m/>
    <n v="3574.2818575610017"/>
    <n v="0"/>
    <m/>
    <m/>
    <n v="12.811046084448035"/>
    <s v="n/a"/>
    <n v="2680.7113931707518"/>
    <n v="2680.7113931707518"/>
    <n v="0"/>
    <m/>
    <m/>
    <n v="12.811046084448035"/>
    <m/>
    <n v="2680.7113931707518"/>
    <n v="0"/>
    <m/>
    <m/>
    <n v="12.811046084448035"/>
    <m/>
    <n v="2680.7113931707518"/>
    <n v="0"/>
    <n v="3574.2818575610017"/>
    <n v="2680.7113931707518"/>
    <n v="2680.7113931707518"/>
    <n v="2680.7113931707518"/>
    <n v="11616.416037073257"/>
    <s v="NA"/>
    <m/>
  </r>
  <r>
    <s v="NSG"/>
    <x v="3"/>
    <s v="Multi-Family"/>
    <s v="Partner Trade Ally Rebate"/>
    <x v="4"/>
    <s v="HW Small 1&quot; to 2&quot;"/>
    <s v="MF/CI/SMB"/>
    <x v="3"/>
    <s v="&quot;3 - Res Pipe Insulation&quot; worksheet"/>
    <s v="ft"/>
    <n v="225"/>
    <n v="225"/>
    <n v="225"/>
    <n v="225"/>
    <n v="0"/>
    <m/>
    <n v="2.6588140926267867"/>
    <n v="2.6588140926267867"/>
    <n v="2.6588140926267867"/>
    <n v="2.6588140926267867"/>
    <n v="0.87"/>
    <n v="0.87"/>
    <n v="0.87"/>
    <n v="0.87"/>
    <n v="520.46285863169351"/>
    <n v="520.46285863169351"/>
    <n v="520.46285863169351"/>
    <n v="520.46285863169351"/>
    <n v="2081.851434526774"/>
    <n v="0.87"/>
    <n v="0.87"/>
    <n v="0.87"/>
    <n v="0.87"/>
    <n v="0.87"/>
    <n v="0.87"/>
    <n v="0.87"/>
    <n v="0.87"/>
    <m/>
    <m/>
    <n v="2.6588140926267867"/>
    <m/>
    <n v="520.46285863169351"/>
    <n v="0"/>
    <m/>
    <m/>
    <n v="2.6588140926267867"/>
    <s v="n/a"/>
    <n v="520.46285863169351"/>
    <n v="520.46285863169351"/>
    <n v="0"/>
    <m/>
    <m/>
    <n v="2.6588140926267867"/>
    <m/>
    <n v="520.46285863169351"/>
    <n v="0"/>
    <m/>
    <m/>
    <n v="2.6588140926267867"/>
    <m/>
    <n v="520.46285863169351"/>
    <n v="0"/>
    <n v="520.46285863169351"/>
    <n v="520.46285863169351"/>
    <n v="520.46285863169351"/>
    <n v="520.46285863169351"/>
    <n v="2081.851434526774"/>
    <s v="NA"/>
    <m/>
  </r>
  <r>
    <s v="NSG"/>
    <x v="5"/>
    <s v="Public Sector"/>
    <s v="Rebates"/>
    <x v="4"/>
    <s v="HW Medium 2.1&quot; to 4&quot;"/>
    <s v="MF/CI/SMB"/>
    <x v="3"/>
    <s v="&quot;3 - Res Pipe Insulation&quot; worksheet"/>
    <s v="ft"/>
    <n v="225"/>
    <n v="225"/>
    <n v="225"/>
    <n v="225"/>
    <n v="0"/>
    <m/>
    <n v="5.2492031493764015"/>
    <n v="5.2492031493764015"/>
    <n v="5.2492031493764015"/>
    <n v="5.2492031493764015"/>
    <n v="0.92"/>
    <n v="0.92"/>
    <n v="0.92"/>
    <n v="0.92"/>
    <n v="1086.5850519209152"/>
    <n v="1086.5850519209152"/>
    <n v="1086.5850519209152"/>
    <n v="1086.5850519209152"/>
    <n v="4346.340207683661"/>
    <n v="0.92"/>
    <n v="0.92"/>
    <n v="0.92"/>
    <n v="0.92"/>
    <n v="0.92"/>
    <n v="0.92"/>
    <n v="0.92"/>
    <n v="0.92"/>
    <m/>
    <m/>
    <n v="5.2492031493764015"/>
    <m/>
    <n v="1086.5850519209152"/>
    <n v="0"/>
    <m/>
    <m/>
    <n v="5.2492031493764015"/>
    <s v="n/a"/>
    <n v="1086.5850519209152"/>
    <n v="1086.5850519209152"/>
    <n v="0"/>
    <m/>
    <m/>
    <n v="5.2492031493764015"/>
    <m/>
    <n v="1086.5850519209152"/>
    <n v="0"/>
    <m/>
    <m/>
    <n v="5.2492031493764015"/>
    <m/>
    <n v="1086.5850519209152"/>
    <n v="0"/>
    <n v="1086.5850519209152"/>
    <n v="1086.5850519209152"/>
    <n v="1086.5850519209152"/>
    <n v="1086.5850519209152"/>
    <n v="4346.340207683661"/>
    <s v="NA"/>
    <m/>
  </r>
  <r>
    <s v="NSG"/>
    <x v="5"/>
    <s v="Public Sector"/>
    <s v="Rebates"/>
    <x v="4"/>
    <s v="HW Large &gt;4&quot;"/>
    <s v="MF/CI/SMB"/>
    <x v="3"/>
    <s v="&quot;3 - Res Pipe Insulation&quot; worksheet"/>
    <s v="ft"/>
    <n v="225"/>
    <n v="225"/>
    <n v="225"/>
    <n v="225"/>
    <n v="0"/>
    <m/>
    <n v="9.0407613085908682"/>
    <n v="9.0407613085908682"/>
    <n v="9.0407613085908682"/>
    <n v="9.0407613085908682"/>
    <n v="0.92"/>
    <n v="0.92"/>
    <n v="0.92"/>
    <n v="0.92"/>
    <n v="1871.4375908783099"/>
    <n v="1871.4375908783099"/>
    <n v="1871.4375908783099"/>
    <n v="1871.4375908783099"/>
    <n v="7485.7503635132398"/>
    <n v="0.92"/>
    <n v="0.92"/>
    <n v="0.92"/>
    <n v="0.92"/>
    <n v="0.92"/>
    <n v="0.92"/>
    <n v="0.92"/>
    <n v="0.92"/>
    <m/>
    <m/>
    <n v="9.0407613085908682"/>
    <m/>
    <n v="1871.4375908783099"/>
    <n v="0"/>
    <m/>
    <m/>
    <n v="9.0407613085908682"/>
    <s v="n/a"/>
    <n v="1871.4375908783099"/>
    <n v="1871.4375908783099"/>
    <n v="0"/>
    <m/>
    <m/>
    <n v="9.0407613085908682"/>
    <m/>
    <n v="1871.4375908783099"/>
    <n v="0"/>
    <m/>
    <m/>
    <n v="9.0407613085908682"/>
    <m/>
    <n v="1871.4375908783099"/>
    <n v="0"/>
    <n v="1871.4375908783099"/>
    <n v="1871.4375908783099"/>
    <n v="1871.4375908783099"/>
    <n v="1871.4375908783099"/>
    <n v="7485.7503635132398"/>
    <s v="NA"/>
    <m/>
  </r>
  <r>
    <s v="NSG"/>
    <x v="5"/>
    <s v="Public Sector"/>
    <s v="Rebates"/>
    <x v="4"/>
    <s v="Steam - Small 1&quot; to 2&quot;"/>
    <s v="CI"/>
    <x v="3"/>
    <s v="&quot;3 - Pipe Insulation&quot; worksheet"/>
    <s v="ft"/>
    <n v="225"/>
    <n v="225"/>
    <n v="225"/>
    <n v="225"/>
    <n v="0"/>
    <m/>
    <n v="3.1854757047967208"/>
    <n v="3.1854757047967208"/>
    <n v="3.1854757047967208"/>
    <n v="3.1854757047967208"/>
    <n v="0.92"/>
    <n v="0.92"/>
    <n v="0.92"/>
    <n v="0.92"/>
    <n v="659.39347089292119"/>
    <n v="659.39347089292119"/>
    <n v="659.39347089292119"/>
    <n v="659.39347089292119"/>
    <n v="2637.5738835716847"/>
    <n v="0.92"/>
    <n v="0.92"/>
    <n v="0.92"/>
    <n v="0.92"/>
    <n v="0.92"/>
    <n v="0.92"/>
    <n v="0.92"/>
    <n v="0.92"/>
    <m/>
    <m/>
    <n v="3.1854757047967208"/>
    <m/>
    <n v="659.39347089292119"/>
    <n v="0"/>
    <m/>
    <m/>
    <n v="3.1854757047967208"/>
    <s v="n/a"/>
    <n v="659.39347089292119"/>
    <n v="659.39347089292119"/>
    <n v="0"/>
    <m/>
    <m/>
    <n v="3.1854757047967208"/>
    <m/>
    <n v="659.39347089292119"/>
    <n v="0"/>
    <m/>
    <m/>
    <n v="3.1854757047967208"/>
    <m/>
    <n v="659.39347089292119"/>
    <n v="0"/>
    <n v="659.39347089292119"/>
    <n v="659.39347089292119"/>
    <n v="659.39347089292119"/>
    <n v="659.39347089292119"/>
    <n v="2637.5738835716847"/>
    <s v="NA"/>
    <m/>
  </r>
  <r>
    <s v="NSG"/>
    <x v="5"/>
    <s v="Small/Mid-Size Business"/>
    <s v="Rebates"/>
    <x v="4"/>
    <s v="Steam - Large 5.1&quot; to 8&quot;"/>
    <s v="CI"/>
    <x v="3"/>
    <s v="&quot;3 - Pipe Insulation&quot; worksheet"/>
    <s v="ft"/>
    <n v="225"/>
    <n v="150"/>
    <n v="150"/>
    <n v="150"/>
    <n v="0"/>
    <m/>
    <n v="24.999763600321025"/>
    <n v="24.999763600321025"/>
    <n v="24.999763600321025"/>
    <n v="24.999763600321025"/>
    <n v="0.93"/>
    <n v="0.93"/>
    <n v="0.93"/>
    <n v="0.93"/>
    <n v="5231.200533367175"/>
    <n v="3487.467022244783"/>
    <n v="3487.467022244783"/>
    <n v="3487.467022244783"/>
    <n v="15693.601600101523"/>
    <n v="0.93"/>
    <n v="0.93"/>
    <n v="0.93"/>
    <n v="0.93"/>
    <n v="0.93"/>
    <n v="0.93"/>
    <n v="0.93"/>
    <n v="0.93"/>
    <m/>
    <m/>
    <n v="24.999763600321025"/>
    <m/>
    <n v="5231.200533367175"/>
    <n v="0"/>
    <m/>
    <m/>
    <n v="24.999763600321025"/>
    <s v="n/a"/>
    <n v="3487.467022244783"/>
    <n v="3487.467022244783"/>
    <n v="0"/>
    <m/>
    <m/>
    <n v="24.999763600321025"/>
    <m/>
    <n v="3487.467022244783"/>
    <n v="0"/>
    <m/>
    <m/>
    <n v="24.999763600321025"/>
    <m/>
    <n v="3487.467022244783"/>
    <n v="0"/>
    <n v="5231.200533367175"/>
    <n v="3487.467022244783"/>
    <n v="3487.467022244783"/>
    <n v="3487.467022244783"/>
    <n v="15693.601600101523"/>
    <s v="NA"/>
    <m/>
  </r>
  <r>
    <s v="NSG"/>
    <x v="5"/>
    <s v="Small/Mid-Size Business"/>
    <s v="Partner Trade Ally Rebate"/>
    <x v="4"/>
    <s v="Steam - Small 1&quot; to 2&quot;"/>
    <s v="CI"/>
    <x v="3"/>
    <s v="&quot;3 - Pipe Insulation&quot; worksheet"/>
    <s v="ft"/>
    <n v="225"/>
    <n v="150"/>
    <n v="150"/>
    <n v="150"/>
    <n v="0"/>
    <m/>
    <n v="3.1854757047967208"/>
    <n v="3.1854757047967208"/>
    <n v="3.1854757047967208"/>
    <n v="3.1854757047967208"/>
    <n v="0.93"/>
    <n v="0.93"/>
    <n v="0.93"/>
    <n v="0.93"/>
    <n v="666.56079122871381"/>
    <n v="444.37386081914258"/>
    <n v="444.37386081914258"/>
    <n v="444.37386081914258"/>
    <n v="1999.6823736861415"/>
    <n v="0.93"/>
    <n v="0.93"/>
    <n v="0.93"/>
    <n v="0.93"/>
    <n v="0.93"/>
    <n v="0.93"/>
    <n v="0.93"/>
    <n v="0.93"/>
    <m/>
    <m/>
    <n v="3.1854757047967208"/>
    <m/>
    <n v="666.56079122871381"/>
    <n v="0"/>
    <m/>
    <m/>
    <n v="3.1854757047967208"/>
    <s v="n/a"/>
    <n v="444.37386081914258"/>
    <n v="444.37386081914258"/>
    <n v="0"/>
    <m/>
    <m/>
    <n v="3.1854757047967208"/>
    <m/>
    <n v="444.37386081914258"/>
    <n v="0"/>
    <m/>
    <m/>
    <n v="3.1854757047967208"/>
    <m/>
    <n v="444.37386081914258"/>
    <n v="0"/>
    <n v="666.56079122871381"/>
    <n v="444.37386081914258"/>
    <n v="444.37386081914258"/>
    <n v="444.37386081914258"/>
    <n v="1999.6823736861415"/>
    <s v="NA"/>
    <m/>
  </r>
  <r>
    <s v="NSG"/>
    <x v="5"/>
    <s v="C&amp;I"/>
    <s v="Rebates"/>
    <x v="43"/>
    <s v="Laundromat"/>
    <s v="SMB"/>
    <x v="3"/>
    <s v="4.8.5"/>
    <s v="lb-capacity"/>
    <n v="212.5"/>
    <n v="200"/>
    <n v="175"/>
    <n v="170"/>
    <s v="CI-MSC-HSCW-V02-210101"/>
    <m/>
    <n v="2.7891864000000002"/>
    <n v="2.7891864000000002"/>
    <n v="2.7891864000000002"/>
    <n v="2.7891864000000002"/>
    <n v="0.91"/>
    <n v="0.91"/>
    <n v="0.91"/>
    <n v="0.91"/>
    <n v="539.35892010000009"/>
    <n v="507.63192480000009"/>
    <n v="444.17793420000004"/>
    <n v="431.48713608000003"/>
    <n v="1922.6559151800002"/>
    <n v="0.91"/>
    <n v="0.91"/>
    <n v="0.91"/>
    <n v="0.91"/>
    <n v="0.91"/>
    <n v="0.91"/>
    <n v="0.91"/>
    <n v="0.91"/>
    <m/>
    <m/>
    <n v="2.7891864000000002"/>
    <m/>
    <n v="539.35892010000009"/>
    <n v="0"/>
    <m/>
    <m/>
    <n v="2.7891864000000002"/>
    <s v="n/a"/>
    <n v="507.63192480000009"/>
    <n v="507.63192480000009"/>
    <n v="0"/>
    <m/>
    <m/>
    <n v="2.7891864000000002"/>
    <m/>
    <n v="444.17793420000004"/>
    <n v="0"/>
    <m/>
    <m/>
    <n v="2.7891864000000002"/>
    <m/>
    <n v="431.48713608000003"/>
    <n v="0"/>
    <n v="539.35892010000009"/>
    <n v="507.63192480000009"/>
    <n v="444.17793420000004"/>
    <n v="431.48713608000003"/>
    <n v="1922.6559151800002"/>
    <s v="NA"/>
    <m/>
  </r>
  <r>
    <s v="NSG"/>
    <x v="3"/>
    <s v="Home Energy Rebate"/>
    <s v="Standard Rebate"/>
    <x v="37"/>
    <s v="&gt;97% AFUE"/>
    <s v="SF"/>
    <x v="3"/>
    <s v="5.3.7"/>
    <s v="each"/>
    <n v="200"/>
    <n v="100"/>
    <n v="50"/>
    <n v="25"/>
    <s v="RS-HVC-GHEF-V12-230101"/>
    <m/>
    <n v="199.9100208196362"/>
    <n v="199.9100208196362"/>
    <n v="199.9100208196362"/>
    <n v="199.9100208196362"/>
    <n v="0.74"/>
    <n v="0.74"/>
    <n v="0.74"/>
    <n v="0.74"/>
    <n v="29586.683081306157"/>
    <n v="14793.341540653078"/>
    <n v="7396.6707703265392"/>
    <n v="3698.3353851632696"/>
    <n v="55475.03077744905"/>
    <n v="0.74"/>
    <n v="0.74"/>
    <n v="0.74"/>
    <n v="0.74"/>
    <n v="0.74"/>
    <n v="0.74"/>
    <n v="0.74"/>
    <n v="0.74"/>
    <m/>
    <m/>
    <n v="199.9100208196362"/>
    <m/>
    <n v="29586.683081306157"/>
    <n v="0"/>
    <m/>
    <m/>
    <n v="199.9100208196362"/>
    <s v="n/a"/>
    <n v="14793.341540653078"/>
    <n v="14793.341540653078"/>
    <n v="0"/>
    <m/>
    <m/>
    <n v="199.9100208196362"/>
    <m/>
    <n v="7396.6707703265392"/>
    <n v="0"/>
    <m/>
    <m/>
    <n v="199.9100208196362"/>
    <m/>
    <n v="3698.3353851632696"/>
    <n v="0"/>
    <n v="29586.683081306157"/>
    <n v="14793.341540653078"/>
    <n v="7396.6707703265392"/>
    <n v="3698.3353851632696"/>
    <n v="55475.03077744905"/>
    <s v="NA"/>
    <m/>
  </r>
  <r>
    <s v="NSG"/>
    <x v="3"/>
    <s v="Multi-Family"/>
    <s v="Standard Rebate"/>
    <x v="28"/>
    <s v="≥88% AFUE, &lt;300MBh"/>
    <s v="MF"/>
    <x v="3"/>
    <s v="4.4.10"/>
    <s v="MBH"/>
    <n v="200"/>
    <n v="200"/>
    <n v="200"/>
    <n v="200"/>
    <s v="CI-HVC-BOIL-V10-230101"/>
    <m/>
    <n v="0.79095238095238163"/>
    <n v="0.79095238095238163"/>
    <n v="0.79095238095238163"/>
    <n v="0.79095238095238163"/>
    <n v="0.87"/>
    <n v="0.87"/>
    <n v="0.87"/>
    <n v="0.87"/>
    <n v="137.62571428571439"/>
    <n v="137.62571428571439"/>
    <n v="137.62571428571439"/>
    <n v="137.62571428571439"/>
    <n v="550.50285714285758"/>
    <n v="0.87"/>
    <n v="0.87"/>
    <n v="0.87"/>
    <n v="0.87"/>
    <n v="0.87"/>
    <n v="0.87"/>
    <n v="0.87"/>
    <n v="0.87"/>
    <m/>
    <m/>
    <n v="0.79095238095238163"/>
    <m/>
    <n v="137.62571428571439"/>
    <n v="0"/>
    <m/>
    <m/>
    <n v="0.79095238095238163"/>
    <s v="n/a"/>
    <n v="137.62571428571439"/>
    <n v="137.62571428571439"/>
    <n v="0"/>
    <m/>
    <m/>
    <n v="0.79095238095238163"/>
    <m/>
    <n v="137.62571428571439"/>
    <n v="0"/>
    <m/>
    <m/>
    <n v="0.79095238095238163"/>
    <m/>
    <n v="137.62571428571439"/>
    <n v="0"/>
    <n v="137.62571428571439"/>
    <n v="137.62571428571439"/>
    <n v="137.62571428571439"/>
    <n v="137.62571428571439"/>
    <n v="550.50285714285758"/>
    <s v="NA"/>
    <m/>
  </r>
  <r>
    <s v="NSG"/>
    <x v="3"/>
    <s v="Multi-Family"/>
    <s v="Standard Rebate"/>
    <x v="21"/>
    <s v="Process"/>
    <s v="MF/CI"/>
    <x v="3"/>
    <s v="4.4.3"/>
    <s v="MBH"/>
    <n v="200"/>
    <n v="200"/>
    <n v="200"/>
    <n v="200"/>
    <s v="CI-HVC-PBTU-V07-230101"/>
    <m/>
    <n v="1.0227353753026578"/>
    <n v="1.0227353753026578"/>
    <n v="1.0227353753026578"/>
    <n v="1.0227353753026578"/>
    <n v="0.87"/>
    <n v="0.87"/>
    <n v="0.87"/>
    <n v="0.87"/>
    <n v="177.95595530266246"/>
    <n v="177.95595530266246"/>
    <n v="177.95595530266246"/>
    <n v="177.95595530266246"/>
    <n v="711.82382121064984"/>
    <n v="0.87"/>
    <n v="0.87"/>
    <n v="0.87"/>
    <n v="0.87"/>
    <n v="0.87"/>
    <n v="0.87"/>
    <n v="0.87"/>
    <n v="0.87"/>
    <m/>
    <m/>
    <n v="1.0227353753026578"/>
    <m/>
    <n v="177.95595530266246"/>
    <n v="0"/>
    <m/>
    <m/>
    <n v="1.0227353753026578"/>
    <s v="Updated measure lifetime."/>
    <n v="177.95595530266246"/>
    <n v="177.95595530266246"/>
    <n v="0"/>
    <m/>
    <m/>
    <n v="1.0227353753026578"/>
    <m/>
    <n v="177.95595530266246"/>
    <n v="0"/>
    <m/>
    <m/>
    <n v="1.0227353753026578"/>
    <m/>
    <n v="177.95595530266246"/>
    <n v="0"/>
    <n v="177.95595530266246"/>
    <n v="177.95595530266246"/>
    <n v="177.95595530266246"/>
    <n v="177.95595530266246"/>
    <n v="711.82382121064984"/>
    <s v="NA"/>
    <m/>
  </r>
  <r>
    <s v="NSG"/>
    <x v="3"/>
    <s v="Multi-Family"/>
    <s v="Standard Rebate"/>
    <x v="21"/>
    <s v="Space Heating"/>
    <s v="MF"/>
    <x v="3"/>
    <s v="4.4.2"/>
    <s v="MBH"/>
    <n v="200"/>
    <n v="200"/>
    <n v="200"/>
    <n v="200"/>
    <s v="CI-HVC-BLRT-V07-210101"/>
    <m/>
    <n v="0.46874846625766969"/>
    <n v="0.46874846625766969"/>
    <n v="0.46874846625766969"/>
    <n v="0.46874846625766969"/>
    <n v="0.87"/>
    <n v="0.87"/>
    <n v="0.87"/>
    <n v="0.87"/>
    <n v="81.562233128834535"/>
    <n v="81.562233128834535"/>
    <n v="81.562233128834535"/>
    <n v="81.562233128834535"/>
    <n v="326.24893251533814"/>
    <n v="0.87"/>
    <n v="0.87"/>
    <n v="0.87"/>
    <n v="0.87"/>
    <n v="0.87"/>
    <n v="0.87"/>
    <n v="0.87"/>
    <n v="0.87"/>
    <m/>
    <m/>
    <n v="0.46874846625766969"/>
    <m/>
    <n v="81.562233128834535"/>
    <n v="0"/>
    <m/>
    <m/>
    <n v="0.46874846625766969"/>
    <s v="n/a"/>
    <n v="81.562233128834535"/>
    <n v="81.562233128834535"/>
    <n v="0"/>
    <m/>
    <m/>
    <n v="0.46874846625766969"/>
    <m/>
    <n v="81.562233128834535"/>
    <n v="0"/>
    <m/>
    <m/>
    <n v="0.46874846625766969"/>
    <m/>
    <n v="81.562233128834535"/>
    <n v="0"/>
    <n v="81.562233128834535"/>
    <n v="81.562233128834535"/>
    <n v="81.562233128834535"/>
    <n v="81.562233128834535"/>
    <n v="326.24893251533814"/>
    <s v="NA"/>
    <m/>
  </r>
  <r>
    <s v="NSG"/>
    <x v="5"/>
    <s v="Small/Mid-Size Business"/>
    <s v="Rebates"/>
    <x v="34"/>
    <n v="0"/>
    <s v="CI"/>
    <x v="3"/>
    <s v="4.4.4"/>
    <s v="MBH"/>
    <n v="200"/>
    <n v="200"/>
    <n v="200"/>
    <n v="200"/>
    <s v="CI-HVC-BLRC-V04-210101"/>
    <m/>
    <n v="1.3424"/>
    <n v="1.3424"/>
    <n v="1.3424"/>
    <n v="1.3424"/>
    <n v="0.93"/>
    <n v="0.93"/>
    <n v="0.93"/>
    <n v="0.93"/>
    <n v="249.68640000000002"/>
    <n v="249.68640000000002"/>
    <n v="249.68640000000002"/>
    <n v="249.68640000000002"/>
    <n v="998.74560000000008"/>
    <n v="0.93"/>
    <n v="0.93"/>
    <n v="0.93"/>
    <n v="0.93"/>
    <n v="0.93"/>
    <n v="0.93"/>
    <n v="0.93"/>
    <n v="0.93"/>
    <m/>
    <m/>
    <n v="1.3424"/>
    <m/>
    <n v="249.68640000000002"/>
    <n v="0"/>
    <m/>
    <m/>
    <n v="1.3424"/>
    <s v="n/a"/>
    <n v="249.68640000000002"/>
    <n v="249.68640000000002"/>
    <n v="0"/>
    <m/>
    <m/>
    <n v="1.3424"/>
    <m/>
    <n v="249.68640000000002"/>
    <n v="0"/>
    <m/>
    <m/>
    <n v="1.3424"/>
    <m/>
    <n v="249.68640000000002"/>
    <n v="0"/>
    <n v="249.68640000000002"/>
    <n v="249.68640000000002"/>
    <n v="249.68640000000002"/>
    <n v="249.68640000000002"/>
    <n v="998.74560000000008"/>
    <s v="NA"/>
    <m/>
  </r>
  <r>
    <s v="NSG"/>
    <x v="5"/>
    <s v="C&amp;I"/>
    <s v="Rebates"/>
    <x v="4"/>
    <s v="HW Medium 2.1&quot; to 4&quot;"/>
    <s v="MF/CI/SMB"/>
    <x v="3"/>
    <s v="&quot;3 - Res Pipe Insulation&quot; worksheet"/>
    <s v="ft"/>
    <n v="191.25"/>
    <n v="180.00000000000003"/>
    <n v="157.49999999999997"/>
    <n v="153"/>
    <n v="0"/>
    <m/>
    <n v="5.2492031493764015"/>
    <n v="5.2492031493764015"/>
    <n v="5.2492031493764015"/>
    <n v="5.2492031493764015"/>
    <n v="0.91"/>
    <n v="0.91"/>
    <n v="0.91"/>
    <n v="0.91"/>
    <n v="913.55819310959555"/>
    <n v="859.81947586785475"/>
    <n v="752.34204138437258"/>
    <n v="730.84655448767649"/>
    <n v="3256.566264849499"/>
    <n v="0.91"/>
    <n v="0.91"/>
    <n v="0.91"/>
    <n v="0.91"/>
    <n v="0.91"/>
    <n v="0.91"/>
    <n v="0.91"/>
    <n v="0.91"/>
    <m/>
    <m/>
    <n v="5.2492031493764015"/>
    <m/>
    <n v="913.55819310959555"/>
    <n v="0"/>
    <m/>
    <m/>
    <n v="5.2492031493764015"/>
    <s v="n/a"/>
    <n v="859.81947586785475"/>
    <n v="859.81947586785475"/>
    <n v="0"/>
    <m/>
    <m/>
    <n v="5.2492031493764015"/>
    <m/>
    <n v="752.34204138437258"/>
    <n v="0"/>
    <m/>
    <m/>
    <n v="5.2492031493764015"/>
    <m/>
    <n v="730.84655448767649"/>
    <n v="0"/>
    <n v="913.55819310959555"/>
    <n v="859.81947586785475"/>
    <n v="752.34204138437258"/>
    <n v="730.84655448767649"/>
    <n v="3256.566264849499"/>
    <s v="NA"/>
    <m/>
  </r>
  <r>
    <s v="NSG"/>
    <x v="5"/>
    <s v="Small/Mid-Size Business"/>
    <s v="Partner Trade Ally Rebate"/>
    <x v="41"/>
    <s v="Test"/>
    <s v="CI"/>
    <x v="3"/>
    <n v="0"/>
    <s v="each"/>
    <n v="180"/>
    <n v="164"/>
    <n v="160"/>
    <n v="150"/>
    <n v="0"/>
    <m/>
    <n v="0"/>
    <n v="0"/>
    <n v="0"/>
    <n v="0"/>
    <n v="0.93"/>
    <n v="0.93"/>
    <n v="0.93"/>
    <n v="0.93"/>
    <n v="0"/>
    <n v="0"/>
    <n v="0"/>
    <n v="0"/>
    <n v="0"/>
    <n v="0.93"/>
    <n v="0.93"/>
    <n v="0.93"/>
    <n v="0.93"/>
    <n v="0.93"/>
    <n v="0.93"/>
    <n v="0.93"/>
    <n v="0.93"/>
    <m/>
    <m/>
    <n v="0"/>
    <m/>
    <n v="0"/>
    <n v="0"/>
    <m/>
    <m/>
    <n v="0"/>
    <s v="n/a"/>
    <n v="0"/>
    <n v="0"/>
    <n v="0"/>
    <m/>
    <m/>
    <n v="0"/>
    <m/>
    <n v="0"/>
    <n v="0"/>
    <m/>
    <m/>
    <n v="0"/>
    <m/>
    <n v="0"/>
    <n v="0"/>
    <n v="0"/>
    <n v="0"/>
    <n v="0"/>
    <n v="0"/>
    <n v="0"/>
    <s v="NA"/>
    <m/>
  </r>
  <r>
    <s v="NSG"/>
    <x v="3"/>
    <s v="Home Energy Jumpstart"/>
    <s v="Core"/>
    <x v="44"/>
    <s v="Furnace (DI)"/>
    <s v="SF"/>
    <x v="3"/>
    <s v="5.3.11"/>
    <s v="each"/>
    <n v="178"/>
    <n v="160"/>
    <n v="142"/>
    <n v="125"/>
    <s v="RS-HVC-ADTH-V08-230101"/>
    <m/>
    <n v="62.31"/>
    <n v="62.31"/>
    <n v="62.31"/>
    <n v="62.31"/>
    <n v="0.8"/>
    <n v="0.8"/>
    <n v="0.8"/>
    <n v="0.8"/>
    <n v="8872.9440000000013"/>
    <n v="7975.68"/>
    <n v="7078.4160000000011"/>
    <n v="6231"/>
    <n v="30158.040000000005"/>
    <n v="0.8"/>
    <n v="0.8"/>
    <n v="0.8"/>
    <n v="0.8"/>
    <n v="0.8"/>
    <n v="0.8"/>
    <n v="0.8"/>
    <n v="0.8"/>
    <m/>
    <m/>
    <n v="62.31"/>
    <m/>
    <n v="8872.9440000000013"/>
    <n v="0"/>
    <m/>
    <m/>
    <n v="62.31"/>
    <s v="n/a"/>
    <n v="7975.68"/>
    <n v="7975.68"/>
    <n v="0"/>
    <m/>
    <m/>
    <n v="62.31"/>
    <m/>
    <n v="7078.4160000000011"/>
    <n v="0"/>
    <m/>
    <m/>
    <n v="62.31"/>
    <m/>
    <n v="6231"/>
    <n v="0"/>
    <n v="8872.9440000000013"/>
    <n v="7975.68"/>
    <n v="7078.4160000000011"/>
    <n v="6231"/>
    <n v="30158.040000000005"/>
    <s v="NA"/>
    <m/>
  </r>
  <r>
    <s v="NSG"/>
    <x v="5"/>
    <s v="C&amp;I"/>
    <s v="Rebates"/>
    <x v="41"/>
    <s v="HVAC Repair/Rep - Audit"/>
    <s v="CI"/>
    <x v="3"/>
    <s v="4.4.16"/>
    <s v="each"/>
    <n v="170"/>
    <n v="160"/>
    <n v="140"/>
    <n v="136"/>
    <s v="CI-HVC-STRE-V09-230101"/>
    <m/>
    <n v="383.76733095846322"/>
    <n v="383.76733095846322"/>
    <n v="383.76733095846322"/>
    <n v="383.76733095846322"/>
    <n v="0.91"/>
    <n v="0.91"/>
    <n v="0.91"/>
    <n v="0.91"/>
    <n v="59368.806099274261"/>
    <n v="55876.523387552246"/>
    <n v="48891.957964108216"/>
    <n v="47495.044879419409"/>
    <n v="211632.33233035414"/>
    <n v="0.91"/>
    <n v="0.91"/>
    <n v="0.91"/>
    <n v="0.91"/>
    <n v="0.91"/>
    <n v="0.91"/>
    <n v="0.91"/>
    <n v="0.91"/>
    <m/>
    <m/>
    <n v="383.76733095846322"/>
    <m/>
    <n v="59368.806099274261"/>
    <n v="0"/>
    <m/>
    <m/>
    <n v="779.98158821323193"/>
    <s v="Updated inputs for Commercial LPS Space Heating and Industrial/Process Low Pressure"/>
    <n v="55876.523387552246"/>
    <n v="113565.31924384658"/>
    <n v="57688.795856294331"/>
    <m/>
    <m/>
    <n v="779.98158821323193"/>
    <m/>
    <n v="99369.654338365741"/>
    <n v="50477.696374257524"/>
    <m/>
    <m/>
    <n v="779.98158821323193"/>
    <m/>
    <n v="96530.521357269579"/>
    <n v="49035.47647785017"/>
    <n v="59368.806099274261"/>
    <n v="113565.31924384658"/>
    <n v="99369.654338365741"/>
    <n v="96530.521357269579"/>
    <n v="368834.30103875615"/>
    <s v="NA"/>
    <m/>
  </r>
  <r>
    <s v="NSG"/>
    <x v="4"/>
    <s v="Single Family"/>
    <s v="IHWAP"/>
    <x v="26"/>
    <n v="0"/>
    <s v="IE SF"/>
    <x v="3"/>
    <s v="5.6.1"/>
    <s v="linear ft"/>
    <n v="170"/>
    <n v="187"/>
    <n v="238"/>
    <n v="255"/>
    <s v="RS-SHL-AIRS-V12-230101"/>
    <m/>
    <n v="0.48799999999999999"/>
    <n v="0.48799999999999999"/>
    <n v="0.48799999999999999"/>
    <n v="0.48799999999999999"/>
    <n v="1"/>
    <n v="1"/>
    <n v="1"/>
    <n v="1"/>
    <n v="82.96"/>
    <n v="91.256"/>
    <n v="116.14399999999999"/>
    <n v="124.44"/>
    <n v="414.8"/>
    <n v="1"/>
    <n v="1"/>
    <n v="1"/>
    <n v="1"/>
    <n v="1"/>
    <n v="1"/>
    <n v="1"/>
    <n v="1"/>
    <m/>
    <m/>
    <n v="0.48799999999999999"/>
    <m/>
    <n v="82.96"/>
    <n v="0"/>
    <m/>
    <m/>
    <n v="0.48799999999999999"/>
    <s v="Updated ISR"/>
    <n v="91.256"/>
    <n v="91.256"/>
    <n v="0"/>
    <m/>
    <m/>
    <n v="0.48799999999999999"/>
    <m/>
    <n v="116.14399999999999"/>
    <n v="0"/>
    <m/>
    <m/>
    <n v="0.48799999999999999"/>
    <m/>
    <n v="124.44"/>
    <n v="0"/>
    <n v="82.96"/>
    <n v="91.256"/>
    <n v="116.14399999999999"/>
    <n v="124.44"/>
    <n v="414.8"/>
    <s v="NA"/>
    <m/>
  </r>
  <r>
    <s v="NSG"/>
    <x v="3"/>
    <s v="Multi-Family"/>
    <s v="Partner Trade Ally Rebate"/>
    <x v="4"/>
    <s v="Hyd. Boiler Med 1.25-2&quot;"/>
    <s v="MF"/>
    <x v="3"/>
    <s v="&quot;3 - Res Pipe Insulation&quot; worksheet"/>
    <s v="ft"/>
    <n v="150"/>
    <n v="150"/>
    <n v="150"/>
    <n v="150"/>
    <n v="0"/>
    <m/>
    <n v="3.6034773504273505"/>
    <n v="3.6034773504273505"/>
    <n v="3.6034773504273505"/>
    <n v="3.6034773504273505"/>
    <n v="0.87"/>
    <n v="0.87"/>
    <n v="0.87"/>
    <n v="0.87"/>
    <n v="470.25379423076919"/>
    <n v="470.25379423076919"/>
    <n v="470.25379423076919"/>
    <n v="470.25379423076919"/>
    <n v="1881.0151769230768"/>
    <n v="0.87"/>
    <n v="0.87"/>
    <n v="0.87"/>
    <n v="0.87"/>
    <n v="0.87"/>
    <n v="0.87"/>
    <n v="0.87"/>
    <n v="0.87"/>
    <m/>
    <m/>
    <n v="3.6034773504273505"/>
    <m/>
    <n v="470.25379423076919"/>
    <n v="0"/>
    <m/>
    <m/>
    <n v="3.6034773504273505"/>
    <s v="n/a"/>
    <n v="470.25379423076919"/>
    <n v="470.25379423076919"/>
    <n v="0"/>
    <m/>
    <m/>
    <n v="3.6034773504273505"/>
    <m/>
    <n v="470.25379423076919"/>
    <n v="0"/>
    <m/>
    <m/>
    <n v="3.6034773504273505"/>
    <m/>
    <n v="470.25379423076919"/>
    <n v="0"/>
    <n v="470.25379423076919"/>
    <n v="470.25379423076919"/>
    <n v="470.25379423076919"/>
    <n v="470.25379423076919"/>
    <n v="1881.0151769230768"/>
    <s v="NA"/>
    <m/>
  </r>
  <r>
    <s v="NSG"/>
    <x v="3"/>
    <s v="Multi-Family"/>
    <s v="Partner Trade Ally Rebate"/>
    <x v="4"/>
    <s v="Steam - Small 1&quot; to 2&quot;"/>
    <s v="MF"/>
    <x v="3"/>
    <s v="&quot;3 - Res Pipe Insulation&quot; worksheet"/>
    <s v="ft"/>
    <n v="150"/>
    <n v="150"/>
    <n v="150"/>
    <n v="150"/>
    <n v="0"/>
    <m/>
    <n v="3.967097058288509"/>
    <n v="3.967097058288509"/>
    <n v="3.967097058288509"/>
    <n v="3.967097058288509"/>
    <n v="0.87"/>
    <n v="0.87"/>
    <n v="0.87"/>
    <n v="0.87"/>
    <n v="517.70616610665047"/>
    <n v="517.70616610665047"/>
    <n v="517.70616610665047"/>
    <n v="517.70616610665047"/>
    <n v="2070.8246644266019"/>
    <n v="0.87"/>
    <n v="0.87"/>
    <n v="0.87"/>
    <n v="0.87"/>
    <n v="0.87"/>
    <n v="0.87"/>
    <n v="0.87"/>
    <n v="0.87"/>
    <m/>
    <m/>
    <n v="3.967097058288509"/>
    <m/>
    <n v="517.70616610665047"/>
    <n v="0"/>
    <m/>
    <m/>
    <n v="3.967097058288509"/>
    <s v="n/a"/>
    <n v="517.70616610665047"/>
    <n v="517.70616610665047"/>
    <n v="0"/>
    <m/>
    <m/>
    <n v="3.967097058288509"/>
    <m/>
    <n v="517.70616610665047"/>
    <n v="0"/>
    <m/>
    <m/>
    <n v="3.967097058288509"/>
    <m/>
    <n v="517.70616610665047"/>
    <n v="0"/>
    <n v="517.70616610665047"/>
    <n v="517.70616610665047"/>
    <n v="517.70616610665047"/>
    <n v="517.70616610665047"/>
    <n v="2070.8246644266019"/>
    <s v="NA"/>
    <m/>
  </r>
  <r>
    <s v="NSG"/>
    <x v="3"/>
    <s v="Multi-Family"/>
    <s v="Partner Trade Ally Rebate"/>
    <x v="4"/>
    <s v="Steam - Med 2.1&quot; to 5&quot;"/>
    <s v="MF"/>
    <x v="3"/>
    <s v="&quot;3 - Res Pipe Insulation&quot; worksheet"/>
    <s v="ft"/>
    <n v="150"/>
    <n v="150"/>
    <n v="150"/>
    <n v="150"/>
    <n v="0"/>
    <m/>
    <n v="15.954497207020932"/>
    <n v="15.954497207020932"/>
    <n v="15.954497207020932"/>
    <n v="15.954497207020932"/>
    <n v="0.87"/>
    <n v="0.87"/>
    <n v="0.87"/>
    <n v="0.87"/>
    <n v="2082.0618855162315"/>
    <n v="2082.0618855162315"/>
    <n v="2082.0618855162315"/>
    <n v="2082.0618855162315"/>
    <n v="8328.2475420649262"/>
    <n v="0.87"/>
    <n v="0.87"/>
    <n v="0.87"/>
    <n v="0.87"/>
    <n v="0.87"/>
    <n v="0.87"/>
    <n v="0.87"/>
    <n v="0.87"/>
    <m/>
    <m/>
    <n v="15.954497207020932"/>
    <m/>
    <n v="2082.0618855162315"/>
    <n v="0"/>
    <m/>
    <m/>
    <n v="15.954497207020932"/>
    <s v="n/a"/>
    <n v="2082.0618855162315"/>
    <n v="2082.0618855162315"/>
    <n v="0"/>
    <m/>
    <m/>
    <n v="15.954497207020932"/>
    <m/>
    <n v="2082.0618855162315"/>
    <n v="0"/>
    <m/>
    <m/>
    <n v="15.954497207020932"/>
    <m/>
    <n v="2082.0618855162315"/>
    <n v="0"/>
    <n v="2082.0618855162315"/>
    <n v="2082.0618855162315"/>
    <n v="2082.0618855162315"/>
    <n v="2082.0618855162315"/>
    <n v="8328.2475420649262"/>
    <s v="NA"/>
    <m/>
  </r>
  <r>
    <s v="NSG"/>
    <x v="4"/>
    <s v="Multi-Family"/>
    <s v="Whole Building - Prescriptive"/>
    <x v="4"/>
    <s v="HW Medium 2.1&quot; to 4&quot;"/>
    <s v="MF/CI/SMB"/>
    <x v="3"/>
    <s v="&quot;3 - Res Pipe Insulation&quot; worksheet"/>
    <s v="ft"/>
    <n v="150"/>
    <n v="150"/>
    <n v="150"/>
    <n v="150"/>
    <n v="0"/>
    <m/>
    <n v="5.2492031493764015"/>
    <n v="5.2492031493764015"/>
    <n v="5.2492031493764015"/>
    <n v="5.2492031493764015"/>
    <n v="1"/>
    <n v="1"/>
    <n v="1"/>
    <n v="1"/>
    <n v="787.38047240646029"/>
    <n v="787.38047240646029"/>
    <n v="787.38047240646029"/>
    <n v="787.38047240646029"/>
    <n v="3149.5218896258411"/>
    <n v="1"/>
    <n v="1"/>
    <n v="1"/>
    <n v="1"/>
    <n v="1"/>
    <n v="1"/>
    <n v="1"/>
    <n v="1"/>
    <m/>
    <m/>
    <n v="5.2492031493764015"/>
    <m/>
    <n v="787.38047240646029"/>
    <n v="0"/>
    <m/>
    <m/>
    <n v="5.2492031493764015"/>
    <s v="n/a"/>
    <n v="787.38047240646029"/>
    <n v="787.38047240646029"/>
    <n v="0"/>
    <m/>
    <m/>
    <n v="5.2492031493764015"/>
    <m/>
    <n v="787.38047240646029"/>
    <n v="0"/>
    <m/>
    <m/>
    <n v="5.2492031493764015"/>
    <m/>
    <n v="787.38047240646029"/>
    <n v="0"/>
    <n v="787.38047240646029"/>
    <n v="787.38047240646029"/>
    <n v="787.38047240646029"/>
    <n v="787.38047240646029"/>
    <n v="3149.5218896258411"/>
    <s v="NA"/>
    <m/>
  </r>
  <r>
    <s v="NSG"/>
    <x v="5"/>
    <s v="Public Sector"/>
    <s v="Rebates"/>
    <x v="4"/>
    <s v="HW Small 1&quot; to 2&quot;"/>
    <s v="MF/CI/SMB"/>
    <x v="3"/>
    <s v="&quot;3 - Res Pipe Insulation&quot; worksheet"/>
    <s v="ft"/>
    <n v="150"/>
    <n v="150"/>
    <n v="150"/>
    <n v="150"/>
    <n v="0"/>
    <m/>
    <n v="2.6588140926267867"/>
    <n v="2.6588140926267867"/>
    <n v="2.6588140926267867"/>
    <n v="2.6588140926267867"/>
    <n v="0.92"/>
    <n v="0.92"/>
    <n v="0.92"/>
    <n v="0.92"/>
    <n v="366.91634478249659"/>
    <n v="366.91634478249659"/>
    <n v="366.91634478249659"/>
    <n v="366.91634478249659"/>
    <n v="1467.6653791299864"/>
    <n v="0.92"/>
    <n v="0.92"/>
    <n v="0.92"/>
    <n v="0.92"/>
    <n v="0.92"/>
    <n v="0.92"/>
    <n v="0.92"/>
    <n v="0.92"/>
    <m/>
    <m/>
    <n v="2.6588140926267867"/>
    <m/>
    <n v="366.91634478249659"/>
    <n v="0"/>
    <m/>
    <m/>
    <n v="2.6588140926267867"/>
    <s v="n/a"/>
    <n v="366.91634478249659"/>
    <n v="366.91634478249659"/>
    <n v="0"/>
    <m/>
    <m/>
    <n v="2.6588140926267867"/>
    <m/>
    <n v="366.91634478249659"/>
    <n v="0"/>
    <m/>
    <m/>
    <n v="2.6588140926267867"/>
    <m/>
    <n v="366.91634478249659"/>
    <n v="0"/>
    <n v="366.91634478249659"/>
    <n v="366.91634478249659"/>
    <n v="366.91634478249659"/>
    <n v="366.91634478249659"/>
    <n v="1467.6653791299864"/>
    <s v="NA"/>
    <m/>
  </r>
  <r>
    <s v="NSG"/>
    <x v="5"/>
    <s v="Small/Mid-Size Business"/>
    <s v="Rebates"/>
    <x v="4"/>
    <s v="HW Medium 2.1&quot; to 4&quot;"/>
    <s v="MF/CI/SMB"/>
    <x v="3"/>
    <s v="&quot;3 - Res Pipe Insulation&quot; worksheet"/>
    <s v="ft"/>
    <n v="150"/>
    <n v="150"/>
    <n v="150"/>
    <n v="150"/>
    <n v="0"/>
    <m/>
    <n v="5.2492031493764015"/>
    <n v="5.2492031493764015"/>
    <n v="5.2492031493764015"/>
    <n v="5.2492031493764015"/>
    <n v="0.93"/>
    <n v="0.93"/>
    <n v="0.93"/>
    <n v="0.93"/>
    <n v="732.2638393380081"/>
    <n v="732.2638393380081"/>
    <n v="732.2638393380081"/>
    <n v="732.2638393380081"/>
    <n v="2929.0553573520324"/>
    <n v="0.93"/>
    <n v="0.93"/>
    <n v="0.93"/>
    <n v="0.93"/>
    <n v="0.93"/>
    <n v="0.93"/>
    <n v="0.93"/>
    <n v="0.93"/>
    <m/>
    <m/>
    <n v="5.2492031493764015"/>
    <m/>
    <n v="732.2638393380081"/>
    <n v="0"/>
    <m/>
    <m/>
    <n v="5.2492031493764015"/>
    <s v="n/a"/>
    <n v="732.2638393380081"/>
    <n v="732.2638393380081"/>
    <n v="0"/>
    <m/>
    <m/>
    <n v="5.2492031493764015"/>
    <m/>
    <n v="732.2638393380081"/>
    <n v="0"/>
    <m/>
    <m/>
    <n v="5.2492031493764015"/>
    <m/>
    <n v="732.2638393380081"/>
    <n v="0"/>
    <n v="732.2638393380081"/>
    <n v="732.2638393380081"/>
    <n v="732.2638393380081"/>
    <n v="732.2638393380081"/>
    <n v="2929.0553573520324"/>
    <s v="NA"/>
    <m/>
  </r>
  <r>
    <s v="NSG"/>
    <x v="5"/>
    <s v="Small/Mid-Size Business"/>
    <s v="Rebates"/>
    <x v="4"/>
    <s v="Steam - Med 2.1&quot; to 5&quot;"/>
    <s v="CI"/>
    <x v="3"/>
    <s v="&quot;3 - Pipe Insulation&quot; worksheet"/>
    <s v="ft"/>
    <n v="150"/>
    <n v="150"/>
    <n v="150"/>
    <n v="150"/>
    <n v="0"/>
    <m/>
    <n v="12.811046084448035"/>
    <n v="12.811046084448035"/>
    <n v="12.811046084448035"/>
    <n v="12.811046084448035"/>
    <n v="0.93"/>
    <n v="0.93"/>
    <n v="0.93"/>
    <n v="0.93"/>
    <n v="1787.1409287805009"/>
    <n v="1787.1409287805009"/>
    <n v="1787.1409287805009"/>
    <n v="1787.1409287805009"/>
    <n v="7148.5637151220035"/>
    <n v="0.93"/>
    <n v="0.93"/>
    <n v="0.93"/>
    <n v="0.93"/>
    <n v="0.93"/>
    <n v="0.93"/>
    <n v="0.93"/>
    <n v="0.93"/>
    <m/>
    <m/>
    <n v="12.811046084448035"/>
    <m/>
    <n v="1787.1409287805009"/>
    <n v="0"/>
    <m/>
    <m/>
    <n v="12.811046084448035"/>
    <s v="n/a"/>
    <n v="1787.1409287805009"/>
    <n v="1787.1409287805009"/>
    <n v="0"/>
    <m/>
    <m/>
    <n v="12.811046084448035"/>
    <m/>
    <n v="1787.1409287805009"/>
    <n v="0"/>
    <m/>
    <m/>
    <n v="12.811046084448035"/>
    <m/>
    <n v="1787.1409287805009"/>
    <n v="0"/>
    <n v="1787.1409287805009"/>
    <n v="1787.1409287805009"/>
    <n v="1787.1409287805009"/>
    <n v="1787.1409287805009"/>
    <n v="7148.5637151220035"/>
    <s v="NA"/>
    <m/>
  </r>
  <r>
    <s v="NSG"/>
    <x v="5"/>
    <s v="Small/Mid-Size Business"/>
    <s v="Partner Trade Ally Rebate"/>
    <x v="28"/>
    <s v="≥88% AFUE, &lt;300MBh"/>
    <s v="CI"/>
    <x v="3"/>
    <s v="4.4.10"/>
    <s v="MBH"/>
    <n v="150"/>
    <n v="150"/>
    <n v="150"/>
    <n v="150"/>
    <s v="CI-HVC-BOIL-V10-230101"/>
    <m/>
    <n v="0.79095238095238163"/>
    <n v="0.79095238095238163"/>
    <n v="0.79095238095238163"/>
    <n v="0.79095238095238163"/>
    <n v="0.93"/>
    <n v="0.93"/>
    <n v="0.93"/>
    <n v="0.93"/>
    <n v="110.33785714285723"/>
    <n v="110.33785714285723"/>
    <n v="110.33785714285723"/>
    <n v="110.33785714285723"/>
    <n v="441.35142857142893"/>
    <n v="0.93"/>
    <n v="0.93"/>
    <n v="0.93"/>
    <n v="0.93"/>
    <n v="0.93"/>
    <n v="0.93"/>
    <n v="0.93"/>
    <n v="0.93"/>
    <m/>
    <m/>
    <n v="0.79095238095238163"/>
    <m/>
    <n v="110.33785714285723"/>
    <n v="0"/>
    <m/>
    <m/>
    <n v="0.79095238095238163"/>
    <s v="n/a"/>
    <n v="110.33785714285723"/>
    <n v="110.33785714285723"/>
    <n v="0"/>
    <m/>
    <m/>
    <n v="0.79095238095238163"/>
    <m/>
    <n v="110.33785714285723"/>
    <n v="0"/>
    <m/>
    <m/>
    <n v="0.79095238095238163"/>
    <m/>
    <n v="110.33785714285723"/>
    <n v="0"/>
    <n v="110.33785714285723"/>
    <n v="110.33785714285723"/>
    <n v="110.33785714285723"/>
    <n v="110.33785714285723"/>
    <n v="441.35142857142893"/>
    <s v="NA"/>
    <m/>
  </r>
  <r>
    <s v="NSG"/>
    <x v="5"/>
    <s v="Small/Mid-Size Business"/>
    <s v="Partner Trade Ally Rebate"/>
    <x v="4"/>
    <s v="HW Medium 2.1&quot; to 4&quot;"/>
    <s v="MF/CI/SMB"/>
    <x v="3"/>
    <s v="&quot;3 - Res Pipe Insulation&quot; worksheet"/>
    <s v="ft"/>
    <n v="150"/>
    <n v="150"/>
    <n v="150"/>
    <n v="150"/>
    <n v="0"/>
    <m/>
    <n v="5.2492031493764015"/>
    <n v="5.2492031493764015"/>
    <n v="5.2492031493764015"/>
    <n v="5.2492031493764015"/>
    <n v="0.93"/>
    <n v="0.93"/>
    <n v="0.93"/>
    <n v="0.93"/>
    <n v="732.2638393380081"/>
    <n v="732.2638393380081"/>
    <n v="732.2638393380081"/>
    <n v="732.2638393380081"/>
    <n v="2929.0553573520324"/>
    <n v="0.93"/>
    <n v="0.93"/>
    <n v="0.93"/>
    <n v="0.93"/>
    <n v="0.93"/>
    <n v="0.93"/>
    <n v="0.93"/>
    <n v="0.93"/>
    <m/>
    <m/>
    <n v="5.2492031493764015"/>
    <m/>
    <n v="732.2638393380081"/>
    <n v="0"/>
    <m/>
    <m/>
    <n v="5.2492031493764015"/>
    <s v="n/a"/>
    <n v="732.2638393380081"/>
    <n v="732.2638393380081"/>
    <n v="0"/>
    <m/>
    <m/>
    <n v="5.2492031493764015"/>
    <m/>
    <n v="732.2638393380081"/>
    <n v="0"/>
    <m/>
    <m/>
    <n v="5.2492031493764015"/>
    <m/>
    <n v="732.2638393380081"/>
    <n v="0"/>
    <n v="732.2638393380081"/>
    <n v="732.2638393380081"/>
    <n v="732.2638393380081"/>
    <n v="732.2638393380081"/>
    <n v="2929.0553573520324"/>
    <s v="NA"/>
    <m/>
  </r>
  <r>
    <s v="NSG"/>
    <x v="5"/>
    <s v="Small/Mid-Size Business"/>
    <s v="Partner Trade Ally Rebate"/>
    <x v="4"/>
    <s v="Steam - Large 5.1&quot; to 8&quot;"/>
    <s v="CI"/>
    <x v="3"/>
    <s v="&quot;3 - Pipe Insulation&quot; worksheet"/>
    <s v="ft"/>
    <n v="150"/>
    <n v="150"/>
    <n v="150"/>
    <n v="150"/>
    <n v="0"/>
    <m/>
    <n v="24.999763600321025"/>
    <n v="24.999763600321025"/>
    <n v="24.999763600321025"/>
    <n v="24.999763600321025"/>
    <n v="0.93"/>
    <n v="0.93"/>
    <n v="0.93"/>
    <n v="0.93"/>
    <n v="3487.467022244783"/>
    <n v="3487.467022244783"/>
    <n v="3487.467022244783"/>
    <n v="3487.467022244783"/>
    <n v="13949.868088979132"/>
    <n v="0.93"/>
    <n v="0.93"/>
    <n v="0.93"/>
    <n v="0.93"/>
    <n v="0.93"/>
    <n v="0.93"/>
    <n v="0.93"/>
    <n v="0.93"/>
    <m/>
    <m/>
    <n v="24.999763600321025"/>
    <m/>
    <n v="3487.467022244783"/>
    <n v="0"/>
    <m/>
    <m/>
    <n v="24.999763600321025"/>
    <s v="n/a"/>
    <n v="3487.467022244783"/>
    <n v="3487.467022244783"/>
    <n v="0"/>
    <m/>
    <m/>
    <n v="24.999763600321025"/>
    <m/>
    <n v="3487.467022244783"/>
    <n v="0"/>
    <m/>
    <m/>
    <n v="24.999763600321025"/>
    <m/>
    <n v="3487.467022244783"/>
    <n v="0"/>
    <n v="3487.467022244783"/>
    <n v="3487.467022244783"/>
    <n v="3487.467022244783"/>
    <n v="3487.467022244783"/>
    <n v="13949.868088979132"/>
    <s v="NA"/>
    <m/>
  </r>
  <r>
    <s v="NSG"/>
    <x v="3"/>
    <s v="Home Energy Rebate"/>
    <s v="Partner Trade Ally Rebate"/>
    <x v="45"/>
    <n v="0"/>
    <s v="SF"/>
    <x v="3"/>
    <s v="5.6.2"/>
    <s v="sq ft"/>
    <n v="140"/>
    <n v="140"/>
    <n v="140"/>
    <n v="140"/>
    <s v="RS-SHL-BINS-V13-230101"/>
    <m/>
    <n v="0.13695535714285714"/>
    <n v="0.13695535714285714"/>
    <n v="0.13695535714285714"/>
    <n v="0.13695535714285714"/>
    <n v="0.79"/>
    <n v="0.79"/>
    <n v="0.79"/>
    <n v="0.79"/>
    <n v="15.1472625"/>
    <n v="15.1472625"/>
    <n v="15.1472625"/>
    <n v="15.1472625"/>
    <n v="60.58905"/>
    <n v="0.79"/>
    <n v="0.79"/>
    <n v="0.79"/>
    <n v="0.79"/>
    <n v="0.79"/>
    <n v="0.79"/>
    <n v="0.79"/>
    <n v="0.79"/>
    <m/>
    <m/>
    <n v="0.13695535714285714"/>
    <m/>
    <n v="15.1472625"/>
    <n v="0"/>
    <m/>
    <m/>
    <n v="0.13695535714285714"/>
    <s v="No savings impacts with existing measure assumptions."/>
    <n v="15.1472625"/>
    <n v="15.1472625"/>
    <n v="0"/>
    <m/>
    <m/>
    <n v="0.13695535714285714"/>
    <m/>
    <n v="15.1472625"/>
    <n v="0"/>
    <m/>
    <m/>
    <n v="0.13695535714285714"/>
    <m/>
    <n v="15.1472625"/>
    <n v="0"/>
    <n v="15.1472625"/>
    <n v="15.1472625"/>
    <n v="15.1472625"/>
    <n v="15.1472625"/>
    <n v="60.58905"/>
    <s v="NA"/>
    <m/>
  </r>
  <r>
    <s v="NSG"/>
    <x v="4"/>
    <s v="Multi-Family"/>
    <s v="IE Kits"/>
    <x v="42"/>
    <s v="IE Kit"/>
    <s v="IE"/>
    <x v="3"/>
    <s v="n/a"/>
    <n v="1"/>
    <n v="140"/>
    <n v="140"/>
    <n v="140"/>
    <n v="140"/>
    <s v="n/a"/>
    <m/>
    <n v="0"/>
    <n v="0"/>
    <n v="0"/>
    <n v="0"/>
    <n v="1"/>
    <n v="1"/>
    <n v="1"/>
    <n v="1"/>
    <n v="0"/>
    <n v="0"/>
    <n v="0"/>
    <n v="0"/>
    <n v="0"/>
    <n v="1"/>
    <n v="1"/>
    <n v="1"/>
    <n v="1"/>
    <n v="1"/>
    <n v="1"/>
    <n v="1"/>
    <n v="1"/>
    <m/>
    <m/>
    <n v="0"/>
    <m/>
    <n v="0"/>
    <n v="0"/>
    <m/>
    <m/>
    <n v="0"/>
    <s v="n/a"/>
    <n v="0"/>
    <n v="0"/>
    <n v="0"/>
    <m/>
    <m/>
    <n v="0"/>
    <m/>
    <n v="0"/>
    <n v="0"/>
    <m/>
    <m/>
    <n v="0"/>
    <m/>
    <n v="0"/>
    <n v="0"/>
    <n v="0"/>
    <n v="0"/>
    <n v="0"/>
    <n v="0"/>
    <n v="0"/>
    <s v="NA"/>
    <m/>
  </r>
  <r>
    <s v="NSG"/>
    <x v="5"/>
    <s v="C&amp;I"/>
    <s v="Rebates"/>
    <x v="4"/>
    <s v="HW Small 1&quot; to 2&quot;"/>
    <s v="MF/CI/SMB"/>
    <x v="3"/>
    <s v="&quot;3 - Res Pipe Insulation&quot; worksheet"/>
    <s v="ft"/>
    <n v="127.5"/>
    <n v="120"/>
    <n v="105"/>
    <n v="102.00000000000001"/>
    <n v="0"/>
    <m/>
    <n v="2.6588140926267867"/>
    <n v="2.6588140926267867"/>
    <n v="2.6588140926267867"/>
    <n v="2.6588140926267867"/>
    <n v="0.91"/>
    <n v="0.91"/>
    <n v="0.91"/>
    <n v="0.91"/>
    <n v="308.48890509702295"/>
    <n v="290.34249891484512"/>
    <n v="254.04968655048947"/>
    <n v="246.79112407761835"/>
    <n v="1099.6722146399759"/>
    <n v="0.91"/>
    <n v="0.91"/>
    <n v="0.91"/>
    <n v="0.91"/>
    <n v="0.91"/>
    <n v="0.91"/>
    <n v="0.91"/>
    <n v="0.91"/>
    <m/>
    <m/>
    <n v="2.6588140926267867"/>
    <m/>
    <n v="308.48890509702295"/>
    <n v="0"/>
    <m/>
    <m/>
    <n v="2.6588140926267867"/>
    <s v="n/a"/>
    <n v="290.34249891484512"/>
    <n v="290.34249891484512"/>
    <n v="0"/>
    <m/>
    <m/>
    <n v="2.6588140926267867"/>
    <m/>
    <n v="254.04968655048947"/>
    <n v="0"/>
    <m/>
    <m/>
    <n v="2.6588140926267867"/>
    <m/>
    <n v="246.79112407761835"/>
    <n v="0"/>
    <n v="308.48890509702295"/>
    <n v="290.34249891484512"/>
    <n v="254.04968655048947"/>
    <n v="246.79112407761835"/>
    <n v="1099.6722146399759"/>
    <s v="NA"/>
    <m/>
  </r>
  <r>
    <s v="NSG"/>
    <x v="5"/>
    <s v="C&amp;I"/>
    <s v="Rebates"/>
    <x v="4"/>
    <s v="Steam - Small 1&quot; to 2&quot;"/>
    <s v="CI"/>
    <x v="3"/>
    <s v="&quot;3 - Pipe Insulation&quot; worksheet"/>
    <s v="ft"/>
    <n v="127.5"/>
    <n v="120"/>
    <n v="105"/>
    <n v="102.00000000000001"/>
    <n v="0"/>
    <m/>
    <n v="3.1854757047967208"/>
    <n v="3.1854757047967208"/>
    <n v="3.1854757047967208"/>
    <n v="3.1854757047967208"/>
    <n v="0.91"/>
    <n v="0.91"/>
    <n v="0.91"/>
    <n v="0.91"/>
    <n v="369.5948186490395"/>
    <n v="347.85394696380189"/>
    <n v="304.37220359332667"/>
    <n v="295.67585491923165"/>
    <n v="1317.4968241253996"/>
    <n v="0.91"/>
    <n v="0.91"/>
    <n v="0.91"/>
    <n v="0.91"/>
    <n v="0.91"/>
    <n v="0.91"/>
    <n v="0.91"/>
    <n v="0.91"/>
    <m/>
    <m/>
    <n v="3.1854757047967208"/>
    <m/>
    <n v="369.5948186490395"/>
    <n v="0"/>
    <m/>
    <m/>
    <n v="3.1854757047967208"/>
    <s v="n/a"/>
    <n v="347.85394696380189"/>
    <n v="347.85394696380189"/>
    <n v="0"/>
    <m/>
    <m/>
    <n v="3.1854757047967208"/>
    <m/>
    <n v="304.37220359332667"/>
    <n v="0"/>
    <m/>
    <m/>
    <n v="3.1854757047967208"/>
    <m/>
    <n v="295.67585491923165"/>
    <n v="0"/>
    <n v="369.5948186490395"/>
    <n v="347.85394696380189"/>
    <n v="304.37220359332667"/>
    <n v="295.67585491923165"/>
    <n v="1317.4968241253996"/>
    <s v="NA"/>
    <m/>
  </r>
  <r>
    <s v="NSG"/>
    <x v="3"/>
    <s v="Home Energy Jumpstart"/>
    <s v="Core"/>
    <x v="44"/>
    <s v="Boiler (DI)"/>
    <s v="SF"/>
    <x v="3"/>
    <s v="5.3.11"/>
    <s v="each"/>
    <n v="119"/>
    <n v="107"/>
    <n v="95"/>
    <n v="83"/>
    <s v="RS-HVC-ADTH-V08-230101"/>
    <m/>
    <n v="92.194000000000003"/>
    <n v="92.194000000000003"/>
    <n v="92.194000000000003"/>
    <n v="92.194000000000003"/>
    <n v="0.8"/>
    <n v="0.8"/>
    <n v="0.8"/>
    <n v="0.8"/>
    <n v="8776.868800000002"/>
    <n v="7891.8064000000004"/>
    <n v="7006.7440000000006"/>
    <n v="6121.6815999999999"/>
    <n v="29797.100800000004"/>
    <n v="0.8"/>
    <n v="0.8"/>
    <n v="0.8"/>
    <n v="0.8"/>
    <n v="0.8"/>
    <n v="0.8"/>
    <n v="0.8"/>
    <n v="0.8"/>
    <m/>
    <m/>
    <n v="92.194000000000003"/>
    <m/>
    <n v="8776.868800000002"/>
    <n v="0"/>
    <m/>
    <m/>
    <n v="92.194000000000003"/>
    <s v="n/a"/>
    <n v="7891.8064000000004"/>
    <n v="7891.8064000000004"/>
    <n v="0"/>
    <m/>
    <m/>
    <n v="92.194000000000003"/>
    <m/>
    <n v="7006.7440000000006"/>
    <n v="0"/>
    <m/>
    <m/>
    <n v="92.194000000000003"/>
    <m/>
    <n v="6121.6815999999999"/>
    <n v="0"/>
    <n v="8776.868800000002"/>
    <n v="7891.8064000000004"/>
    <n v="7006.7440000000006"/>
    <n v="6121.6815999999999"/>
    <n v="29797.100800000004"/>
    <s v="NA"/>
    <m/>
  </r>
  <r>
    <s v="NSG"/>
    <x v="3"/>
    <s v="Multi-Family"/>
    <s v="Direct Install"/>
    <x v="6"/>
    <s v="Furnace (DI)"/>
    <s v="MF"/>
    <x v="3"/>
    <s v="5.3.11"/>
    <s v="each"/>
    <n v="118"/>
    <n v="118"/>
    <n v="118"/>
    <n v="118"/>
    <s v="RS-HVC-ADTH-V08-230101"/>
    <m/>
    <n v="40.5015"/>
    <n v="40.5015"/>
    <n v="40.5015"/>
    <n v="40.5015"/>
    <n v="0.96"/>
    <n v="0.96"/>
    <n v="0.96"/>
    <n v="0.96"/>
    <n v="4588.0099199999995"/>
    <n v="4588.0099199999995"/>
    <n v="4588.0099199999995"/>
    <n v="4588.0099199999995"/>
    <n v="18352.039679999998"/>
    <n v="0.96"/>
    <n v="0.96"/>
    <n v="0.96"/>
    <n v="0.96"/>
    <n v="0.96"/>
    <n v="0.96"/>
    <n v="0.96"/>
    <n v="0.96"/>
    <m/>
    <m/>
    <n v="40.5015"/>
    <m/>
    <n v="4588.0099199999995"/>
    <n v="0"/>
    <m/>
    <m/>
    <n v="40.5015"/>
    <s v="n/a"/>
    <n v="4588.0099199999995"/>
    <n v="4588.0099199999995"/>
    <n v="0"/>
    <m/>
    <m/>
    <n v="40.5015"/>
    <m/>
    <n v="4588.0099199999995"/>
    <n v="0"/>
    <m/>
    <m/>
    <n v="40.5015"/>
    <m/>
    <n v="4588.0099199999995"/>
    <n v="0"/>
    <n v="4588.0099199999995"/>
    <n v="4588.0099199999995"/>
    <n v="4588.0099199999995"/>
    <n v="4588.0099199999995"/>
    <n v="18352.039679999998"/>
    <s v="NA"/>
    <m/>
  </r>
  <r>
    <s v="NSG"/>
    <x v="3"/>
    <s v="Multi-Family"/>
    <s v="Partner Trade Ally Rebate"/>
    <x v="28"/>
    <s v="≥88% AFUE, &lt;300MBh"/>
    <s v="MF"/>
    <x v="3"/>
    <s v="4.4.10"/>
    <s v="MBH"/>
    <n v="100"/>
    <n v="100"/>
    <n v="100"/>
    <n v="100"/>
    <s v="CI-HVC-BOIL-V10-230101"/>
    <m/>
    <n v="0.79095238095238163"/>
    <n v="0.79095238095238163"/>
    <n v="0.79095238095238163"/>
    <n v="0.79095238095238163"/>
    <n v="0.87"/>
    <n v="0.87"/>
    <n v="0.87"/>
    <n v="0.87"/>
    <n v="68.812857142857197"/>
    <n v="68.812857142857197"/>
    <n v="68.812857142857197"/>
    <n v="68.812857142857197"/>
    <n v="275.25142857142879"/>
    <n v="0.87"/>
    <n v="0.87"/>
    <n v="0.87"/>
    <n v="0.87"/>
    <n v="0.87"/>
    <n v="0.87"/>
    <n v="0.87"/>
    <n v="0.87"/>
    <m/>
    <m/>
    <n v="0.79095238095238163"/>
    <m/>
    <n v="68.812857142857197"/>
    <n v="0"/>
    <m/>
    <m/>
    <n v="0.79095238095238163"/>
    <s v="n/a"/>
    <n v="68.812857142857197"/>
    <n v="68.812857142857197"/>
    <n v="0"/>
    <m/>
    <m/>
    <n v="0.79095238095238163"/>
    <m/>
    <n v="68.812857142857197"/>
    <n v="0"/>
    <m/>
    <m/>
    <n v="0.79095238095238163"/>
    <m/>
    <n v="68.812857142857197"/>
    <n v="0"/>
    <n v="68.812857142857197"/>
    <n v="68.812857142857197"/>
    <n v="68.812857142857197"/>
    <n v="68.812857142857197"/>
    <n v="275.25142857142879"/>
    <s v="NA"/>
    <m/>
  </r>
  <r>
    <s v="NSG"/>
    <x v="3"/>
    <s v="Multi-Family"/>
    <s v="Partner Trade Ally Rebate"/>
    <x v="46"/>
    <n v="0"/>
    <s v="MF"/>
    <x v="3"/>
    <s v="4.3.8"/>
    <s v="living unit"/>
    <n v="100"/>
    <n v="100"/>
    <n v="100"/>
    <n v="100"/>
    <s v="CI-HWE-CDHW-V04-230101"/>
    <m/>
    <n v="62.687100553999997"/>
    <n v="62.687100553999997"/>
    <n v="62.687100553999997"/>
    <n v="62.687100553999997"/>
    <n v="0.87"/>
    <n v="0.87"/>
    <n v="0.87"/>
    <n v="0.87"/>
    <n v="5453.7777481980002"/>
    <n v="5453.7777481980002"/>
    <n v="5453.7777481980002"/>
    <n v="5453.7777481980002"/>
    <n v="21815.110992792001"/>
    <n v="0.87"/>
    <n v="0.87"/>
    <n v="0.87"/>
    <n v="0.87"/>
    <n v="0.87"/>
    <n v="0.87"/>
    <n v="0.87"/>
    <n v="0.87"/>
    <m/>
    <m/>
    <n v="62.687100553999997"/>
    <m/>
    <n v="5453.7777481980002"/>
    <n v="0"/>
    <m/>
    <m/>
    <n v="58.563635988000001"/>
    <s v="Updated inputs to new multifamily assumptions"/>
    <n v="5453.7777481980002"/>
    <n v="5095.0363309560007"/>
    <n v="-358.74141724199944"/>
    <m/>
    <m/>
    <n v="58.563635988000001"/>
    <m/>
    <n v="5095.0363309560007"/>
    <n v="-358.74141724199944"/>
    <m/>
    <m/>
    <n v="58.563635988000001"/>
    <m/>
    <n v="5095.0363309560007"/>
    <n v="-358.74141724199944"/>
    <n v="5453.7777481980002"/>
    <n v="5095.0363309560007"/>
    <n v="5095.0363309560007"/>
    <n v="5095.0363309560007"/>
    <n v="20738.886741066002"/>
    <s v="NA"/>
    <m/>
  </r>
  <r>
    <s v="NSG"/>
    <x v="5"/>
    <s v="Small/Mid-Size Business"/>
    <s v="Rebates"/>
    <x v="28"/>
    <s v="≥88% AFUE, &lt;300MBh"/>
    <s v="CI"/>
    <x v="3"/>
    <s v="4.4.10"/>
    <s v="MBH"/>
    <n v="100"/>
    <n v="100"/>
    <n v="100"/>
    <n v="100"/>
    <s v="CI-HVC-BOIL-V10-230101"/>
    <m/>
    <n v="0.79095238095238163"/>
    <n v="0.79095238095238163"/>
    <n v="0.79095238095238163"/>
    <n v="0.79095238095238163"/>
    <n v="0.93"/>
    <n v="0.93"/>
    <n v="0.93"/>
    <n v="0.93"/>
    <n v="73.558571428571497"/>
    <n v="73.558571428571497"/>
    <n v="73.558571428571497"/>
    <n v="73.558571428571497"/>
    <n v="294.23428571428599"/>
    <n v="0.93"/>
    <n v="0.93"/>
    <n v="0.93"/>
    <n v="0.93"/>
    <n v="0.93"/>
    <n v="0.93"/>
    <n v="0.93"/>
    <n v="0.93"/>
    <m/>
    <m/>
    <n v="0.79095238095238163"/>
    <m/>
    <n v="73.558571428571497"/>
    <n v="0"/>
    <m/>
    <m/>
    <n v="0.79095238095238163"/>
    <s v="n/a"/>
    <n v="73.558571428571497"/>
    <n v="73.558571428571497"/>
    <n v="0"/>
    <m/>
    <m/>
    <n v="0.79095238095238163"/>
    <m/>
    <n v="73.558571428571497"/>
    <n v="0"/>
    <m/>
    <m/>
    <n v="0.79095238095238163"/>
    <m/>
    <n v="73.558571428571497"/>
    <n v="0"/>
    <n v="73.558571428571497"/>
    <n v="73.558571428571497"/>
    <n v="73.558571428571497"/>
    <n v="73.558571428571497"/>
    <n v="294.23428571428599"/>
    <s v="NA"/>
    <m/>
  </r>
  <r>
    <s v="NSG"/>
    <x v="3"/>
    <s v="Home Energy Jumpstart"/>
    <s v="Core"/>
    <x v="6"/>
    <s v="Furnace (DI)"/>
    <s v="SF"/>
    <x v="3"/>
    <s v="5.3.11"/>
    <s v="each"/>
    <n v="92"/>
    <n v="82"/>
    <n v="73"/>
    <n v="64"/>
    <s v="RS-HVC-ADTH-V08-230101"/>
    <m/>
    <n v="62.31"/>
    <n v="62.31"/>
    <n v="62.31"/>
    <n v="62.31"/>
    <n v="0.88"/>
    <n v="0.88"/>
    <n v="0.88"/>
    <n v="0.88"/>
    <n v="5044.6176000000005"/>
    <n v="4496.2896000000001"/>
    <n v="4002.7944000000002"/>
    <n v="3509.2991999999999"/>
    <n v="17053.000800000002"/>
    <n v="0.88"/>
    <n v="0.88"/>
    <n v="0.88"/>
    <n v="0.88"/>
    <n v="0.88"/>
    <n v="0.88"/>
    <n v="0.88"/>
    <n v="0.88"/>
    <m/>
    <m/>
    <n v="62.31"/>
    <m/>
    <n v="5044.6176000000005"/>
    <n v="0"/>
    <m/>
    <m/>
    <n v="62.31"/>
    <s v="n/a"/>
    <n v="4496.2896000000001"/>
    <n v="4496.2896000000001"/>
    <n v="0"/>
    <m/>
    <m/>
    <n v="62.31"/>
    <m/>
    <n v="4002.7944000000002"/>
    <n v="0"/>
    <m/>
    <m/>
    <n v="62.31"/>
    <m/>
    <n v="3509.2991999999999"/>
    <n v="0"/>
    <n v="5044.6176000000005"/>
    <n v="4496.2896000000001"/>
    <n v="4002.7944000000002"/>
    <n v="3509.2991999999999"/>
    <n v="17053.000800000002"/>
    <s v="NA"/>
    <m/>
  </r>
  <r>
    <s v="NSG"/>
    <x v="5"/>
    <s v="Small/Mid-Size Business"/>
    <s v="Kits"/>
    <x v="47"/>
    <s v="General - Worship"/>
    <s v="SMB"/>
    <x v="4"/>
    <s v="n/a"/>
    <s v="kit"/>
    <n v="90"/>
    <n v="82"/>
    <n v="80"/>
    <n v="75"/>
    <s v="n/a"/>
    <m/>
    <n v="45.185399999999994"/>
    <n v="45.185399999999994"/>
    <n v="45.185399999999994"/>
    <n v="45.185399999999994"/>
    <n v="0.93"/>
    <n v="0.93"/>
    <n v="0.93"/>
    <n v="0.93"/>
    <n v="3782.0179800000001"/>
    <n v="3445.8386039999996"/>
    <n v="3361.7937599999996"/>
    <n v="3151.68165"/>
    <n v="13741.331993999998"/>
    <n v="0.93"/>
    <n v="0.93"/>
    <n v="0.93"/>
    <n v="0.93"/>
    <n v="0.93"/>
    <n v="0.93"/>
    <n v="0.93"/>
    <n v="0.93"/>
    <m/>
    <m/>
    <n v="45.185399999999994"/>
    <m/>
    <n v="3782.0179800000001"/>
    <n v="0"/>
    <m/>
    <m/>
    <n v="45.185399999999994"/>
    <s v="n/a"/>
    <n v="3445.8386039999996"/>
    <n v="3445.8386039999996"/>
    <n v="0"/>
    <m/>
    <m/>
    <n v="45.185399999999994"/>
    <m/>
    <n v="3361.7937599999996"/>
    <n v="0"/>
    <m/>
    <m/>
    <n v="45.185399999999994"/>
    <m/>
    <n v="3151.68165"/>
    <n v="0"/>
    <n v="3782.0179800000001"/>
    <n v="3445.8386039999996"/>
    <n v="3361.7937599999996"/>
    <n v="3151.68165"/>
    <n v="13741.331993999998"/>
    <s v="NA"/>
    <m/>
  </r>
  <r>
    <s v="NSG"/>
    <x v="3"/>
    <s v="Multi-Family"/>
    <s v="Standard Rebate"/>
    <x v="4"/>
    <s v="Hyd. Boiler Large ≥2&quot;"/>
    <s v="MF"/>
    <x v="3"/>
    <s v="&quot;3 - Res Pipe Insulation&quot; worksheet"/>
    <s v="ft"/>
    <n v="75"/>
    <n v="75"/>
    <n v="75"/>
    <n v="75"/>
    <n v="0"/>
    <m/>
    <n v="6.1867824786324785"/>
    <n v="6.1867824786324785"/>
    <n v="6.1867824786324785"/>
    <n v="6.1867824786324785"/>
    <n v="0.87"/>
    <n v="0.87"/>
    <n v="0.87"/>
    <n v="0.87"/>
    <n v="403.68755673076924"/>
    <n v="403.68755673076924"/>
    <n v="403.68755673076924"/>
    <n v="403.68755673076924"/>
    <n v="1614.750226923077"/>
    <n v="0.87"/>
    <n v="0.87"/>
    <n v="0.87"/>
    <n v="0.87"/>
    <n v="0.87"/>
    <n v="0.87"/>
    <n v="0.87"/>
    <n v="0.87"/>
    <m/>
    <m/>
    <n v="6.1867824786324785"/>
    <m/>
    <n v="403.68755673076924"/>
    <n v="0"/>
    <m/>
    <m/>
    <n v="6.1867824786324785"/>
    <s v="n/a"/>
    <n v="403.68755673076924"/>
    <n v="403.68755673076924"/>
    <n v="0"/>
    <m/>
    <m/>
    <n v="6.1867824786324785"/>
    <m/>
    <n v="403.68755673076924"/>
    <n v="0"/>
    <m/>
    <m/>
    <n v="6.1867824786324785"/>
    <m/>
    <n v="403.68755673076924"/>
    <n v="0"/>
    <n v="403.68755673076924"/>
    <n v="403.68755673076924"/>
    <n v="403.68755673076924"/>
    <n v="403.68755673076924"/>
    <n v="1614.750226923077"/>
    <s v="NA"/>
    <m/>
  </r>
  <r>
    <s v="NSG"/>
    <x v="3"/>
    <s v="Multi-Family"/>
    <s v="Standard Rebate"/>
    <x v="4"/>
    <s v="HW Small 1&quot; to 2&quot;"/>
    <s v="MF/CI/SMB"/>
    <x v="3"/>
    <s v="&quot;3 - Res Pipe Insulation&quot; worksheet"/>
    <s v="ft"/>
    <n v="75"/>
    <n v="75"/>
    <n v="75"/>
    <n v="75"/>
    <n v="0"/>
    <m/>
    <n v="2.6588140926267867"/>
    <n v="2.6588140926267867"/>
    <n v="2.6588140926267867"/>
    <n v="2.6588140926267867"/>
    <n v="0.87"/>
    <n v="0.87"/>
    <n v="0.87"/>
    <n v="0.87"/>
    <n v="173.48761954389784"/>
    <n v="173.48761954389784"/>
    <n v="173.48761954389784"/>
    <n v="173.48761954389784"/>
    <n v="693.95047817559134"/>
    <n v="0.87"/>
    <n v="0.87"/>
    <n v="0.87"/>
    <n v="0.87"/>
    <n v="0.87"/>
    <n v="0.87"/>
    <n v="0.87"/>
    <n v="0.87"/>
    <m/>
    <m/>
    <n v="2.6588140926267867"/>
    <m/>
    <n v="173.48761954389784"/>
    <n v="0"/>
    <m/>
    <m/>
    <n v="2.6588140926267867"/>
    <s v="n/a"/>
    <n v="173.48761954389784"/>
    <n v="173.48761954389784"/>
    <n v="0"/>
    <m/>
    <m/>
    <n v="2.6588140926267867"/>
    <m/>
    <n v="173.48761954389784"/>
    <n v="0"/>
    <m/>
    <m/>
    <n v="2.6588140926267867"/>
    <m/>
    <n v="173.48761954389784"/>
    <n v="0"/>
    <n v="173.48761954389784"/>
    <n v="173.48761954389784"/>
    <n v="173.48761954389784"/>
    <n v="173.48761954389784"/>
    <n v="693.95047817559134"/>
    <s v="NA"/>
    <m/>
  </r>
  <r>
    <s v="NSG"/>
    <x v="3"/>
    <s v="Multi-Family"/>
    <s v="Standard Rebate"/>
    <x v="4"/>
    <s v="HW Medium 2.1&quot; to 4&quot;"/>
    <s v="MF/CI/SMB"/>
    <x v="3"/>
    <s v="&quot;3 - Res Pipe Insulation&quot; worksheet"/>
    <s v="ft"/>
    <n v="75"/>
    <n v="75"/>
    <n v="75"/>
    <n v="75"/>
    <n v="0"/>
    <m/>
    <n v="5.2492031493764015"/>
    <n v="5.2492031493764015"/>
    <n v="5.2492031493764015"/>
    <n v="5.2492031493764015"/>
    <n v="0.87"/>
    <n v="0.87"/>
    <n v="0.87"/>
    <n v="0.87"/>
    <n v="342.5105054968102"/>
    <n v="342.5105054968102"/>
    <n v="342.5105054968102"/>
    <n v="342.5105054968102"/>
    <n v="1370.0420219872408"/>
    <n v="0.87"/>
    <n v="0.87"/>
    <n v="0.87"/>
    <n v="0.87"/>
    <n v="0.87"/>
    <n v="0.87"/>
    <n v="0.87"/>
    <n v="0.87"/>
    <m/>
    <m/>
    <n v="5.2492031493764015"/>
    <m/>
    <n v="342.5105054968102"/>
    <n v="0"/>
    <m/>
    <m/>
    <n v="5.2492031493764015"/>
    <s v="n/a"/>
    <n v="342.5105054968102"/>
    <n v="342.5105054968102"/>
    <n v="0"/>
    <m/>
    <m/>
    <n v="5.2492031493764015"/>
    <m/>
    <n v="342.5105054968102"/>
    <n v="0"/>
    <m/>
    <m/>
    <n v="5.2492031493764015"/>
    <m/>
    <n v="342.5105054968102"/>
    <n v="0"/>
    <n v="342.5105054968102"/>
    <n v="342.5105054968102"/>
    <n v="342.5105054968102"/>
    <n v="342.5105054968102"/>
    <n v="1370.0420219872408"/>
    <s v="NA"/>
    <m/>
  </r>
  <r>
    <s v="NSG"/>
    <x v="3"/>
    <s v="Multi-Family"/>
    <s v="Standard Rebate"/>
    <x v="4"/>
    <s v="HW Large &gt;4&quot;"/>
    <s v="MF/CI/SMB"/>
    <x v="3"/>
    <s v="&quot;3 - Res Pipe Insulation&quot; worksheet"/>
    <s v="ft"/>
    <n v="75"/>
    <n v="75"/>
    <n v="75"/>
    <n v="75"/>
    <n v="0"/>
    <m/>
    <n v="9.0407613085908682"/>
    <n v="9.0407613085908682"/>
    <n v="9.0407613085908682"/>
    <n v="9.0407613085908682"/>
    <n v="0.87"/>
    <n v="0.87"/>
    <n v="0.87"/>
    <n v="0.87"/>
    <n v="589.90967538555412"/>
    <n v="589.90967538555412"/>
    <n v="589.90967538555412"/>
    <n v="589.90967538555412"/>
    <n v="2359.6387015422165"/>
    <n v="0.87"/>
    <n v="0.87"/>
    <n v="0.87"/>
    <n v="0.87"/>
    <n v="0.87"/>
    <n v="0.87"/>
    <n v="0.87"/>
    <n v="0.87"/>
    <m/>
    <m/>
    <n v="9.0407613085908682"/>
    <m/>
    <n v="589.90967538555412"/>
    <n v="0"/>
    <m/>
    <m/>
    <n v="9.0407613085908682"/>
    <s v="n/a"/>
    <n v="589.90967538555412"/>
    <n v="589.90967538555412"/>
    <n v="0"/>
    <m/>
    <m/>
    <n v="9.0407613085908682"/>
    <m/>
    <n v="589.90967538555412"/>
    <n v="0"/>
    <m/>
    <m/>
    <n v="9.0407613085908682"/>
    <m/>
    <n v="589.90967538555412"/>
    <n v="0"/>
    <n v="589.90967538555412"/>
    <n v="589.90967538555412"/>
    <n v="589.90967538555412"/>
    <n v="589.90967538555412"/>
    <n v="2359.6387015422165"/>
    <s v="NA"/>
    <m/>
  </r>
  <r>
    <s v="NSG"/>
    <x v="3"/>
    <s v="Multi-Family"/>
    <s v="Partner Trade Ally Rebate"/>
    <x v="4"/>
    <s v="Hyd. Boiler Sm ≤1.25&quot;"/>
    <s v="MF"/>
    <x v="3"/>
    <s v="&quot;3 - Res Pipe Insulation&quot; worksheet"/>
    <s v="ft"/>
    <n v="75"/>
    <n v="75"/>
    <n v="75"/>
    <n v="75"/>
    <n v="0"/>
    <m/>
    <n v="2.0682348076923076"/>
    <n v="2.0682348076923076"/>
    <n v="2.0682348076923076"/>
    <n v="2.0682348076923076"/>
    <n v="0.87"/>
    <n v="0.87"/>
    <n v="0.87"/>
    <n v="0.87"/>
    <n v="134.95232120192307"/>
    <n v="134.95232120192307"/>
    <n v="134.95232120192307"/>
    <n v="134.95232120192307"/>
    <n v="539.80928480769228"/>
    <n v="0.87"/>
    <n v="0.87"/>
    <n v="0.87"/>
    <n v="0.87"/>
    <n v="0.87"/>
    <n v="0.87"/>
    <n v="0.87"/>
    <n v="0.87"/>
    <m/>
    <m/>
    <n v="2.0682348076923076"/>
    <m/>
    <n v="134.95232120192307"/>
    <n v="0"/>
    <m/>
    <m/>
    <n v="2.0682348076923076"/>
    <s v="n/a"/>
    <n v="134.95232120192307"/>
    <n v="134.95232120192307"/>
    <n v="0"/>
    <m/>
    <m/>
    <n v="2.0682348076923076"/>
    <m/>
    <n v="134.95232120192307"/>
    <n v="0"/>
    <m/>
    <m/>
    <n v="2.0682348076923076"/>
    <m/>
    <n v="134.95232120192307"/>
    <n v="0"/>
    <n v="134.95232120192307"/>
    <n v="134.95232120192307"/>
    <n v="134.95232120192307"/>
    <n v="134.95232120192307"/>
    <n v="539.80928480769228"/>
    <s v="NA"/>
    <m/>
  </r>
  <r>
    <s v="NSG"/>
    <x v="3"/>
    <s v="Multi-Family"/>
    <s v="Partner Trade Ally Rebate"/>
    <x v="4"/>
    <s v="Hyd. Boiler Large ≥2&quot;"/>
    <s v="MF"/>
    <x v="3"/>
    <s v="&quot;3 - Res Pipe Insulation&quot; worksheet"/>
    <s v="ft"/>
    <n v="75"/>
    <n v="75"/>
    <n v="75"/>
    <n v="75"/>
    <n v="0"/>
    <m/>
    <n v="6.1867824786324785"/>
    <n v="6.1867824786324785"/>
    <n v="6.1867824786324785"/>
    <n v="6.1867824786324785"/>
    <n v="0.87"/>
    <n v="0.87"/>
    <n v="0.87"/>
    <n v="0.87"/>
    <n v="403.68755673076924"/>
    <n v="403.68755673076924"/>
    <n v="403.68755673076924"/>
    <n v="403.68755673076924"/>
    <n v="1614.750226923077"/>
    <n v="0.87"/>
    <n v="0.87"/>
    <n v="0.87"/>
    <n v="0.87"/>
    <n v="0.87"/>
    <n v="0.87"/>
    <n v="0.87"/>
    <n v="0.87"/>
    <m/>
    <m/>
    <n v="6.1867824786324785"/>
    <m/>
    <n v="403.68755673076924"/>
    <n v="0"/>
    <m/>
    <m/>
    <n v="6.1867824786324785"/>
    <s v="n/a"/>
    <n v="403.68755673076924"/>
    <n v="403.68755673076924"/>
    <n v="0"/>
    <m/>
    <m/>
    <n v="6.1867824786324785"/>
    <m/>
    <n v="403.68755673076924"/>
    <n v="0"/>
    <m/>
    <m/>
    <n v="6.1867824786324785"/>
    <m/>
    <n v="403.68755673076924"/>
    <n v="0"/>
    <n v="403.68755673076924"/>
    <n v="403.68755673076924"/>
    <n v="403.68755673076924"/>
    <n v="403.68755673076924"/>
    <n v="1614.750226923077"/>
    <s v="NA"/>
    <m/>
  </r>
  <r>
    <s v="NSG"/>
    <x v="3"/>
    <s v="Multi-Family"/>
    <s v="Partner Trade Ally Rebate"/>
    <x v="4"/>
    <s v="Steam - Large 5.1&quot; to 8&quot;"/>
    <s v="MF"/>
    <x v="3"/>
    <s v="&quot;3 - Res Pipe Insulation&quot; worksheet"/>
    <s v="ft"/>
    <n v="75"/>
    <n v="75"/>
    <n v="75"/>
    <n v="75"/>
    <n v="0"/>
    <m/>
    <n v="31.133964854103496"/>
    <n v="31.133964854103496"/>
    <n v="31.133964854103496"/>
    <n v="31.133964854103496"/>
    <n v="0.87"/>
    <n v="0.87"/>
    <n v="0.87"/>
    <n v="0.87"/>
    <n v="2031.491206730253"/>
    <n v="2031.491206730253"/>
    <n v="2031.491206730253"/>
    <n v="2031.491206730253"/>
    <n v="8125.964826921012"/>
    <n v="0.87"/>
    <n v="0.87"/>
    <n v="0.87"/>
    <n v="0.87"/>
    <n v="0.87"/>
    <n v="0.87"/>
    <n v="0.87"/>
    <n v="0.87"/>
    <m/>
    <m/>
    <n v="31.133964854103496"/>
    <m/>
    <n v="2031.491206730253"/>
    <n v="0"/>
    <m/>
    <m/>
    <n v="31.133964854103496"/>
    <s v="n/a"/>
    <n v="2031.491206730253"/>
    <n v="2031.491206730253"/>
    <n v="0"/>
    <m/>
    <m/>
    <n v="31.133964854103496"/>
    <m/>
    <n v="2031.491206730253"/>
    <n v="0"/>
    <m/>
    <m/>
    <n v="31.133964854103496"/>
    <m/>
    <n v="2031.491206730253"/>
    <n v="0"/>
    <n v="2031.491206730253"/>
    <n v="2031.491206730253"/>
    <n v="2031.491206730253"/>
    <n v="2031.491206730253"/>
    <n v="8125.964826921012"/>
    <s v="NA"/>
    <m/>
  </r>
  <r>
    <s v="NSG"/>
    <x v="4"/>
    <s v="Multi-Family"/>
    <s v="Whole Building - Prescriptive"/>
    <x v="4"/>
    <s v="HW Small 1&quot; to 2&quot;"/>
    <s v="MF/CI/SMB"/>
    <x v="3"/>
    <s v="&quot;3 - Res Pipe Insulation&quot; worksheet"/>
    <s v="ft"/>
    <n v="75"/>
    <n v="75"/>
    <n v="75"/>
    <n v="75"/>
    <n v="0"/>
    <m/>
    <n v="2.6588140926267867"/>
    <n v="2.6588140926267867"/>
    <n v="2.6588140926267867"/>
    <n v="2.6588140926267867"/>
    <n v="1"/>
    <n v="1"/>
    <n v="1"/>
    <n v="1"/>
    <n v="199.411056947009"/>
    <n v="199.411056947009"/>
    <n v="199.411056947009"/>
    <n v="199.411056947009"/>
    <n v="797.64422778803601"/>
    <n v="1"/>
    <n v="1"/>
    <n v="1"/>
    <n v="1"/>
    <n v="1"/>
    <n v="1"/>
    <n v="1"/>
    <n v="1"/>
    <m/>
    <m/>
    <n v="2.6588140926267867"/>
    <m/>
    <n v="199.411056947009"/>
    <n v="0"/>
    <m/>
    <m/>
    <n v="2.6588140926267867"/>
    <s v="n/a"/>
    <n v="199.411056947009"/>
    <n v="199.411056947009"/>
    <n v="0"/>
    <m/>
    <m/>
    <n v="2.6588140926267867"/>
    <m/>
    <n v="199.411056947009"/>
    <n v="0"/>
    <m/>
    <m/>
    <n v="2.6588140926267867"/>
    <m/>
    <n v="199.411056947009"/>
    <n v="0"/>
    <n v="199.411056947009"/>
    <n v="199.411056947009"/>
    <n v="199.411056947009"/>
    <n v="199.411056947009"/>
    <n v="797.64422778803601"/>
    <s v="NA"/>
    <m/>
  </r>
  <r>
    <s v="NSG"/>
    <x v="5"/>
    <s v="Public Sector"/>
    <s v="Rebates"/>
    <x v="4"/>
    <s v="Steam - Med 2.1&quot; to 5&quot;"/>
    <s v="CI"/>
    <x v="3"/>
    <s v="&quot;3 - Pipe Insulation&quot; worksheet"/>
    <s v="ft"/>
    <n v="75"/>
    <n v="75"/>
    <n v="75"/>
    <n v="75"/>
    <n v="0"/>
    <m/>
    <n v="12.811046084448035"/>
    <n v="12.811046084448035"/>
    <n v="12.811046084448035"/>
    <n v="12.811046084448035"/>
    <n v="0.92"/>
    <n v="0.92"/>
    <n v="0.92"/>
    <n v="0.92"/>
    <n v="883.96217982691439"/>
    <n v="883.96217982691439"/>
    <n v="883.96217982691439"/>
    <n v="883.96217982691439"/>
    <n v="3535.8487193076576"/>
    <n v="0.92"/>
    <n v="0.92"/>
    <n v="0.92"/>
    <n v="0.92"/>
    <n v="0.92"/>
    <n v="0.92"/>
    <n v="0.92"/>
    <n v="0.92"/>
    <m/>
    <m/>
    <n v="12.811046084448035"/>
    <m/>
    <n v="883.96217982691439"/>
    <n v="0"/>
    <m/>
    <m/>
    <n v="12.811046084448035"/>
    <s v="n/a"/>
    <n v="883.96217982691439"/>
    <n v="883.96217982691439"/>
    <n v="0"/>
    <m/>
    <m/>
    <n v="12.811046084448035"/>
    <m/>
    <n v="883.96217982691439"/>
    <n v="0"/>
    <m/>
    <m/>
    <n v="12.811046084448035"/>
    <m/>
    <n v="883.96217982691439"/>
    <n v="0"/>
    <n v="883.96217982691439"/>
    <n v="883.96217982691439"/>
    <n v="883.96217982691439"/>
    <n v="883.96217982691439"/>
    <n v="3535.8487193076576"/>
    <s v="NA"/>
    <m/>
  </r>
  <r>
    <s v="NSG"/>
    <x v="5"/>
    <s v="Public Sector"/>
    <s v="Rebates"/>
    <x v="4"/>
    <s v="Steam - Large 5.1&quot; to 8&quot;"/>
    <s v="CI"/>
    <x v="3"/>
    <s v="&quot;3 - Pipe Insulation&quot; worksheet"/>
    <s v="ft"/>
    <n v="75"/>
    <n v="75"/>
    <n v="75"/>
    <n v="75"/>
    <n v="0"/>
    <m/>
    <n v="24.999763600321025"/>
    <n v="24.999763600321025"/>
    <n v="24.999763600321025"/>
    <n v="24.999763600321025"/>
    <n v="0.92"/>
    <n v="0.92"/>
    <n v="0.92"/>
    <n v="0.92"/>
    <n v="1724.9836884221506"/>
    <n v="1724.9836884221506"/>
    <n v="1724.9836884221506"/>
    <n v="1724.9836884221506"/>
    <n v="6899.9347536886025"/>
    <n v="0.92"/>
    <n v="0.92"/>
    <n v="0.92"/>
    <n v="0.92"/>
    <n v="0.92"/>
    <n v="0.92"/>
    <n v="0.92"/>
    <n v="0.92"/>
    <m/>
    <m/>
    <n v="24.999763600321025"/>
    <m/>
    <n v="1724.9836884221506"/>
    <n v="0"/>
    <m/>
    <m/>
    <n v="24.999763600321025"/>
    <s v="n/a"/>
    <n v="1724.9836884221506"/>
    <n v="1724.9836884221506"/>
    <n v="0"/>
    <m/>
    <m/>
    <n v="24.999763600321025"/>
    <m/>
    <n v="1724.9836884221506"/>
    <n v="0"/>
    <m/>
    <m/>
    <n v="24.999763600321025"/>
    <m/>
    <n v="1724.9836884221506"/>
    <n v="0"/>
    <n v="1724.9836884221506"/>
    <n v="1724.9836884221506"/>
    <n v="1724.9836884221506"/>
    <n v="1724.9836884221506"/>
    <n v="6899.9347536886025"/>
    <s v="NA"/>
    <m/>
  </r>
  <r>
    <s v="NSG"/>
    <x v="5"/>
    <s v="Small/Mid-Size Business"/>
    <s v="Rebates"/>
    <x v="4"/>
    <s v="HW Small 1&quot; to 2&quot;"/>
    <s v="MF/CI/SMB"/>
    <x v="3"/>
    <s v="&quot;3 - Res Pipe Insulation&quot; worksheet"/>
    <s v="ft"/>
    <n v="75"/>
    <n v="75"/>
    <n v="75"/>
    <n v="75"/>
    <n v="0"/>
    <m/>
    <n v="2.6588140926267867"/>
    <n v="2.6588140926267867"/>
    <n v="2.6588140926267867"/>
    <n v="2.6588140926267867"/>
    <n v="0.93"/>
    <n v="0.93"/>
    <n v="0.93"/>
    <n v="0.93"/>
    <n v="185.45228296071838"/>
    <n v="185.45228296071838"/>
    <n v="185.45228296071838"/>
    <n v="185.45228296071838"/>
    <n v="741.80913184287351"/>
    <n v="0.93"/>
    <n v="0.93"/>
    <n v="0.93"/>
    <n v="0.93"/>
    <n v="0.93"/>
    <n v="0.93"/>
    <n v="0.93"/>
    <n v="0.93"/>
    <m/>
    <m/>
    <n v="2.6588140926267867"/>
    <m/>
    <n v="185.45228296071838"/>
    <n v="0"/>
    <m/>
    <m/>
    <n v="2.6588140926267867"/>
    <s v="n/a"/>
    <n v="185.45228296071838"/>
    <n v="185.45228296071838"/>
    <n v="0"/>
    <m/>
    <m/>
    <n v="2.6588140926267867"/>
    <m/>
    <n v="185.45228296071838"/>
    <n v="0"/>
    <m/>
    <m/>
    <n v="2.6588140926267867"/>
    <m/>
    <n v="185.45228296071838"/>
    <n v="0"/>
    <n v="185.45228296071838"/>
    <n v="185.45228296071838"/>
    <n v="185.45228296071838"/>
    <n v="185.45228296071838"/>
    <n v="741.80913184287351"/>
    <s v="NA"/>
    <m/>
  </r>
  <r>
    <s v="NSG"/>
    <x v="5"/>
    <s v="Small/Mid-Size Business"/>
    <s v="Rebates"/>
    <x v="4"/>
    <s v="HW Large &gt;4&quot;"/>
    <s v="MF/CI/SMB"/>
    <x v="3"/>
    <s v="&quot;3 - Res Pipe Insulation&quot; worksheet"/>
    <s v="ft"/>
    <n v="75"/>
    <n v="75"/>
    <n v="75"/>
    <n v="75"/>
    <n v="0"/>
    <m/>
    <n v="9.0407613085908682"/>
    <n v="9.0407613085908682"/>
    <n v="9.0407613085908682"/>
    <n v="9.0407613085908682"/>
    <n v="0.93"/>
    <n v="0.93"/>
    <n v="0.93"/>
    <n v="0.93"/>
    <n v="630.59310127421304"/>
    <n v="630.59310127421304"/>
    <n v="630.59310127421304"/>
    <n v="630.59310127421304"/>
    <n v="2522.3724050968522"/>
    <n v="0.93"/>
    <n v="0.93"/>
    <n v="0.93"/>
    <n v="0.93"/>
    <n v="0.93"/>
    <n v="0.93"/>
    <n v="0.93"/>
    <n v="0.93"/>
    <m/>
    <m/>
    <n v="9.0407613085908682"/>
    <m/>
    <n v="630.59310127421304"/>
    <n v="0"/>
    <m/>
    <m/>
    <n v="9.0407613085908682"/>
    <s v="n/a"/>
    <n v="630.59310127421304"/>
    <n v="630.59310127421304"/>
    <n v="0"/>
    <m/>
    <m/>
    <n v="9.0407613085908682"/>
    <m/>
    <n v="630.59310127421304"/>
    <n v="0"/>
    <m/>
    <m/>
    <n v="9.0407613085908682"/>
    <m/>
    <n v="630.59310127421304"/>
    <n v="0"/>
    <n v="630.59310127421304"/>
    <n v="630.59310127421304"/>
    <n v="630.59310127421304"/>
    <n v="630.59310127421304"/>
    <n v="2522.3724050968522"/>
    <s v="NA"/>
    <m/>
  </r>
  <r>
    <s v="NSG"/>
    <x v="5"/>
    <s v="Small/Mid-Size Business"/>
    <s v="Rebates"/>
    <x v="4"/>
    <s v="Steam - Small 1&quot; to 2&quot;"/>
    <s v="CI"/>
    <x v="3"/>
    <s v="&quot;3 - Pipe Insulation&quot; worksheet"/>
    <s v="ft"/>
    <n v="75"/>
    <n v="75"/>
    <n v="75"/>
    <n v="75"/>
    <n v="0"/>
    <m/>
    <n v="3.1854757047967208"/>
    <n v="3.1854757047967208"/>
    <n v="3.1854757047967208"/>
    <n v="3.1854757047967208"/>
    <n v="0.93"/>
    <n v="0.93"/>
    <n v="0.93"/>
    <n v="0.93"/>
    <n v="222.18693040957129"/>
    <n v="222.18693040957129"/>
    <n v="222.18693040957129"/>
    <n v="222.18693040957129"/>
    <n v="888.74772163828516"/>
    <n v="0.93"/>
    <n v="0.93"/>
    <n v="0.93"/>
    <n v="0.93"/>
    <n v="0.93"/>
    <n v="0.93"/>
    <n v="0.93"/>
    <n v="0.93"/>
    <m/>
    <m/>
    <n v="3.1854757047967208"/>
    <m/>
    <n v="222.18693040957129"/>
    <n v="0"/>
    <m/>
    <m/>
    <n v="3.1854757047967208"/>
    <s v="n/a"/>
    <n v="222.18693040957129"/>
    <n v="222.18693040957129"/>
    <n v="0"/>
    <m/>
    <m/>
    <n v="3.1854757047967208"/>
    <m/>
    <n v="222.18693040957129"/>
    <n v="0"/>
    <m/>
    <m/>
    <n v="3.1854757047967208"/>
    <m/>
    <n v="222.18693040957129"/>
    <n v="0"/>
    <n v="222.18693040957129"/>
    <n v="222.18693040957129"/>
    <n v="222.18693040957129"/>
    <n v="222.18693040957129"/>
    <n v="888.74772163828516"/>
    <s v="NA"/>
    <m/>
  </r>
  <r>
    <s v="NSG"/>
    <x v="5"/>
    <s v="Small/Mid-Size Business"/>
    <s v="Partner Trade Ally Rebate"/>
    <x v="4"/>
    <s v="Steam - X-Large &gt;8&quot;"/>
    <s v="CI"/>
    <x v="3"/>
    <s v="&quot;3 - Pipe Insulation&quot; worksheet"/>
    <s v="ft"/>
    <n v="75"/>
    <n v="75"/>
    <n v="75"/>
    <n v="75"/>
    <n v="0"/>
    <m/>
    <n v="35.984797966765058"/>
    <n v="35.984797966765058"/>
    <n v="35.984797966765058"/>
    <n v="35.984797966765058"/>
    <n v="0.93"/>
    <n v="0.93"/>
    <n v="0.93"/>
    <n v="0.93"/>
    <n v="2509.9396581818633"/>
    <n v="2509.9396581818633"/>
    <n v="2509.9396581818633"/>
    <n v="2509.9396581818633"/>
    <n v="10039.758632727453"/>
    <n v="0.93"/>
    <n v="0.93"/>
    <n v="0.93"/>
    <n v="0.93"/>
    <n v="0.93"/>
    <n v="0.93"/>
    <n v="0.93"/>
    <n v="0.93"/>
    <m/>
    <m/>
    <n v="35.984797966765058"/>
    <m/>
    <n v="2509.9396581818633"/>
    <n v="0"/>
    <m/>
    <m/>
    <n v="35.984797966765058"/>
    <s v="n/a"/>
    <n v="2509.9396581818633"/>
    <n v="2509.9396581818633"/>
    <n v="0"/>
    <m/>
    <m/>
    <n v="35.984797966765058"/>
    <m/>
    <n v="2509.9396581818633"/>
    <n v="0"/>
    <m/>
    <m/>
    <n v="35.984797966765058"/>
    <m/>
    <n v="2509.9396581818633"/>
    <n v="0"/>
    <n v="2509.9396581818633"/>
    <n v="2509.9396581818633"/>
    <n v="2509.9396581818633"/>
    <n v="2509.9396581818633"/>
    <n v="10039.758632727453"/>
    <s v="NA"/>
    <m/>
  </r>
  <r>
    <s v="NSG"/>
    <x v="5"/>
    <s v="C&amp;I"/>
    <s v="Rebates"/>
    <x v="4"/>
    <s v="Steam - Med 2.1&quot; to 5&quot;"/>
    <s v="CI"/>
    <x v="3"/>
    <s v="&quot;3 - Pipe Insulation&quot; worksheet"/>
    <s v="ft"/>
    <n v="63.75"/>
    <n v="60"/>
    <n v="52.5"/>
    <n v="51.000000000000007"/>
    <n v="0"/>
    <m/>
    <n v="12.811046084448035"/>
    <n v="12.811046084448035"/>
    <n v="12.811046084448035"/>
    <n v="12.811046084448035"/>
    <n v="0.91"/>
    <n v="0.91"/>
    <n v="0.91"/>
    <n v="0.91"/>
    <n v="743.20081097404159"/>
    <n v="699.4831162108627"/>
    <n v="612.04772668450482"/>
    <n v="594.56064877923347"/>
    <n v="2649.2923026486428"/>
    <n v="0.91"/>
    <n v="0.91"/>
    <n v="0.91"/>
    <n v="0.91"/>
    <n v="0.91"/>
    <n v="0.91"/>
    <n v="0.91"/>
    <n v="0.91"/>
    <m/>
    <m/>
    <n v="12.811046084448035"/>
    <m/>
    <n v="743.20081097404159"/>
    <n v="0"/>
    <m/>
    <m/>
    <n v="12.811046084448035"/>
    <s v="n/a"/>
    <n v="699.4831162108627"/>
    <n v="699.4831162108627"/>
    <n v="0"/>
    <m/>
    <m/>
    <n v="12.811046084448035"/>
    <m/>
    <n v="612.04772668450482"/>
    <n v="0"/>
    <m/>
    <m/>
    <n v="12.811046084448035"/>
    <m/>
    <n v="594.56064877923347"/>
    <n v="0"/>
    <n v="743.20081097404159"/>
    <n v="699.4831162108627"/>
    <n v="612.04772668450482"/>
    <n v="594.56064877923347"/>
    <n v="2649.2923026486428"/>
    <s v="NA"/>
    <m/>
  </r>
  <r>
    <s v="NSG"/>
    <x v="5"/>
    <s v="C&amp;I"/>
    <s v="Rebates"/>
    <x v="4"/>
    <s v="Steam - Large 5.1&quot; to 8&quot;"/>
    <s v="CI"/>
    <x v="3"/>
    <s v="&quot;3 - Pipe Insulation&quot; worksheet"/>
    <s v="ft"/>
    <n v="63.75"/>
    <n v="60"/>
    <n v="52.5"/>
    <n v="51.000000000000007"/>
    <n v="0"/>
    <m/>
    <n v="24.999763600321025"/>
    <n v="24.999763600321025"/>
    <n v="24.999763600321025"/>
    <n v="24.999763600321025"/>
    <n v="0.91"/>
    <n v="0.91"/>
    <n v="0.91"/>
    <n v="0.91"/>
    <n v="1450.2987858636236"/>
    <n v="1364.9870925775278"/>
    <n v="1194.363706005337"/>
    <n v="1160.239028690899"/>
    <n v="5169.8886131373874"/>
    <n v="0.91"/>
    <n v="0.91"/>
    <n v="0.91"/>
    <n v="0.91"/>
    <n v="0.91"/>
    <n v="0.91"/>
    <n v="0.91"/>
    <n v="0.91"/>
    <m/>
    <m/>
    <n v="24.999763600321025"/>
    <m/>
    <n v="1450.2987858636236"/>
    <n v="0"/>
    <m/>
    <m/>
    <n v="24.999763600321025"/>
    <s v="n/a"/>
    <n v="1364.9870925775278"/>
    <n v="1364.9870925775278"/>
    <n v="0"/>
    <m/>
    <m/>
    <n v="24.999763600321025"/>
    <m/>
    <n v="1194.363706005337"/>
    <n v="0"/>
    <m/>
    <m/>
    <n v="24.999763600321025"/>
    <m/>
    <n v="1160.239028690899"/>
    <n v="0"/>
    <n v="1450.2987858636236"/>
    <n v="1364.9870925775278"/>
    <n v="1194.363706005337"/>
    <n v="1160.239028690899"/>
    <n v="5169.8886131373874"/>
    <s v="NA"/>
    <m/>
  </r>
  <r>
    <s v="NSG"/>
    <x v="5"/>
    <s v="C&amp;I"/>
    <s v="Rebates"/>
    <x v="4"/>
    <s v="Steam - X-Large &gt;8&quot;"/>
    <s v="CI"/>
    <x v="3"/>
    <s v="&quot;3 - Pipe Insulation&quot; worksheet"/>
    <s v="ft"/>
    <n v="63.75"/>
    <n v="60"/>
    <n v="52.5"/>
    <n v="51.000000000000007"/>
    <n v="0"/>
    <m/>
    <n v="35.984797966765058"/>
    <n v="35.984797966765058"/>
    <n v="35.984797966765058"/>
    <n v="35.984797966765058"/>
    <n v="0.91"/>
    <n v="0.91"/>
    <n v="0.91"/>
    <n v="0.91"/>
    <n v="2087.5680920469581"/>
    <n v="1964.7699689853721"/>
    <n v="1719.1737228622007"/>
    <n v="1670.0544736375666"/>
    <n v="7441.5662575320976"/>
    <n v="0.91"/>
    <n v="0.91"/>
    <n v="0.91"/>
    <n v="0.91"/>
    <n v="0.91"/>
    <n v="0.91"/>
    <n v="0.91"/>
    <n v="0.91"/>
    <m/>
    <m/>
    <n v="35.984797966765058"/>
    <m/>
    <n v="2087.5680920469581"/>
    <n v="0"/>
    <m/>
    <m/>
    <n v="35.984797966765058"/>
    <s v="n/a"/>
    <n v="1964.7699689853721"/>
    <n v="1964.7699689853721"/>
    <n v="0"/>
    <m/>
    <m/>
    <n v="35.984797966765058"/>
    <m/>
    <n v="1719.1737228622007"/>
    <n v="0"/>
    <m/>
    <m/>
    <n v="35.984797966765058"/>
    <m/>
    <n v="1670.0544736375666"/>
    <n v="0"/>
    <n v="2087.5680920469581"/>
    <n v="1964.7699689853721"/>
    <n v="1719.1737228622007"/>
    <n v="1670.0544736375666"/>
    <n v="7441.5662575320976"/>
    <s v="NA"/>
    <m/>
  </r>
  <r>
    <s v="NSG"/>
    <x v="4"/>
    <s v="Multi-Family"/>
    <s v="MF IHWAP"/>
    <x v="39"/>
    <n v="0"/>
    <s v="MF"/>
    <x v="3"/>
    <n v="0"/>
    <n v="0"/>
    <n v="60"/>
    <n v="75"/>
    <n v="135"/>
    <n v="150"/>
    <n v="0"/>
    <m/>
    <n v="0"/>
    <n v="0"/>
    <n v="0"/>
    <n v="0"/>
    <n v="1"/>
    <n v="1"/>
    <n v="1"/>
    <n v="1"/>
    <n v="0"/>
    <n v="0"/>
    <n v="0"/>
    <n v="0"/>
    <n v="0"/>
    <n v="1"/>
    <n v="1"/>
    <n v="1"/>
    <n v="1"/>
    <n v="1"/>
    <n v="1"/>
    <n v="1"/>
    <n v="1"/>
    <m/>
    <m/>
    <n v="0"/>
    <m/>
    <n v="0"/>
    <n v="0"/>
    <m/>
    <m/>
    <n v="0"/>
    <s v="n/a"/>
    <n v="0"/>
    <n v="0"/>
    <n v="0"/>
    <m/>
    <m/>
    <n v="0"/>
    <m/>
    <n v="0"/>
    <n v="0"/>
    <m/>
    <m/>
    <n v="0"/>
    <m/>
    <n v="0"/>
    <n v="0"/>
    <n v="0"/>
    <n v="0"/>
    <n v="0"/>
    <n v="0"/>
    <n v="0"/>
    <s v="NA"/>
    <m/>
  </r>
  <r>
    <s v="NSG"/>
    <x v="4"/>
    <s v="Multi-Family"/>
    <s v="MF IHWAP"/>
    <x v="48"/>
    <n v="0"/>
    <s v="MF"/>
    <x v="3"/>
    <s v="n/a"/>
    <s v="each"/>
    <n v="60"/>
    <n v="75"/>
    <n v="135"/>
    <n v="150"/>
    <s v="n/a"/>
    <m/>
    <n v="0"/>
    <n v="0"/>
    <n v="0"/>
    <n v="0"/>
    <n v="1"/>
    <n v="1"/>
    <n v="1"/>
    <n v="1"/>
    <n v="0"/>
    <n v="0"/>
    <n v="0"/>
    <n v="0"/>
    <n v="0"/>
    <n v="1"/>
    <n v="1"/>
    <n v="1"/>
    <n v="1"/>
    <n v="1"/>
    <n v="1"/>
    <n v="1"/>
    <n v="1"/>
    <m/>
    <m/>
    <n v="0"/>
    <m/>
    <n v="0"/>
    <n v="0"/>
    <m/>
    <m/>
    <n v="0"/>
    <s v="n/a"/>
    <n v="0"/>
    <n v="0"/>
    <n v="0"/>
    <m/>
    <m/>
    <n v="0"/>
    <m/>
    <n v="0"/>
    <n v="0"/>
    <m/>
    <m/>
    <n v="0"/>
    <m/>
    <n v="0"/>
    <n v="0"/>
    <n v="0"/>
    <n v="0"/>
    <n v="0"/>
    <n v="0"/>
    <n v="0"/>
    <s v="NA"/>
    <m/>
  </r>
  <r>
    <s v="NSG"/>
    <x v="4"/>
    <s v="Single Family"/>
    <s v="IHWAP"/>
    <x v="39"/>
    <n v="0"/>
    <s v="SF"/>
    <x v="3"/>
    <s v="n/a"/>
    <s v="Household"/>
    <n v="50"/>
    <n v="55"/>
    <n v="70"/>
    <n v="75"/>
    <s v="n/a"/>
    <m/>
    <n v="0"/>
    <n v="0"/>
    <n v="0"/>
    <n v="0"/>
    <n v="1"/>
    <n v="1"/>
    <n v="1"/>
    <n v="1"/>
    <n v="0"/>
    <n v="0"/>
    <n v="0"/>
    <n v="0"/>
    <n v="0"/>
    <n v="1"/>
    <n v="1"/>
    <n v="1"/>
    <n v="1"/>
    <n v="1"/>
    <n v="1"/>
    <n v="1"/>
    <n v="1"/>
    <m/>
    <m/>
    <n v="0"/>
    <m/>
    <n v="0"/>
    <n v="0"/>
    <m/>
    <m/>
    <n v="0"/>
    <s v="n/a"/>
    <n v="0"/>
    <n v="0"/>
    <n v="0"/>
    <m/>
    <m/>
    <n v="0"/>
    <m/>
    <n v="0"/>
    <n v="0"/>
    <m/>
    <m/>
    <n v="0"/>
    <m/>
    <n v="0"/>
    <n v="0"/>
    <n v="0"/>
    <n v="0"/>
    <n v="0"/>
    <n v="0"/>
    <n v="0"/>
    <s v="NA"/>
    <m/>
  </r>
  <r>
    <s v="NSG"/>
    <x v="4"/>
    <s v="Single Family"/>
    <s v="IHWAP"/>
    <x v="49"/>
    <s v="no savings"/>
    <s v="SF"/>
    <x v="3"/>
    <s v="n/a"/>
    <s v="each"/>
    <n v="50"/>
    <n v="55"/>
    <n v="70"/>
    <n v="75"/>
    <s v="n/a"/>
    <m/>
    <n v="0"/>
    <n v="0"/>
    <n v="0"/>
    <n v="0"/>
    <n v="1"/>
    <n v="1"/>
    <n v="1"/>
    <n v="1"/>
    <n v="0"/>
    <n v="0"/>
    <n v="0"/>
    <n v="0"/>
    <n v="0"/>
    <n v="1"/>
    <n v="1"/>
    <n v="1"/>
    <n v="1"/>
    <n v="1"/>
    <n v="1"/>
    <n v="1"/>
    <n v="1"/>
    <m/>
    <m/>
    <n v="0"/>
    <m/>
    <n v="0"/>
    <n v="0"/>
    <m/>
    <m/>
    <n v="0"/>
    <s v="n/a"/>
    <n v="0"/>
    <n v="0"/>
    <n v="0"/>
    <m/>
    <m/>
    <n v="0"/>
    <m/>
    <n v="0"/>
    <n v="0"/>
    <m/>
    <m/>
    <n v="0"/>
    <m/>
    <n v="0"/>
    <n v="0"/>
    <n v="0"/>
    <n v="0"/>
    <n v="0"/>
    <n v="0"/>
    <n v="0"/>
    <s v="NA"/>
    <m/>
  </r>
  <r>
    <s v="NSG"/>
    <x v="3"/>
    <s v="Multi-Family"/>
    <s v="Direct Install"/>
    <x v="6"/>
    <s v="Boiler (DI)"/>
    <s v="MF"/>
    <x v="3"/>
    <s v="5.3.11"/>
    <s v="each"/>
    <n v="39"/>
    <n v="39"/>
    <n v="39"/>
    <n v="39"/>
    <s v="RS-HVC-ADTH-V08-230101"/>
    <m/>
    <n v="59.845499999999994"/>
    <n v="59.845499999999994"/>
    <n v="59.845499999999994"/>
    <n v="59.845499999999994"/>
    <n v="0.96"/>
    <n v="0.96"/>
    <n v="0.96"/>
    <n v="0.96"/>
    <n v="2240.6155199999998"/>
    <n v="2240.6155199999998"/>
    <n v="2240.6155199999998"/>
    <n v="2240.6155199999998"/>
    <n v="8962.4620799999993"/>
    <n v="0.96"/>
    <n v="0.96"/>
    <n v="0.96"/>
    <n v="0.96"/>
    <n v="0.96"/>
    <n v="0.96"/>
    <n v="0.96"/>
    <n v="0.96"/>
    <m/>
    <m/>
    <n v="59.845499999999994"/>
    <m/>
    <n v="2240.6155199999998"/>
    <n v="0"/>
    <m/>
    <m/>
    <n v="59.845499999999994"/>
    <s v="n/a"/>
    <n v="2240.6155199999998"/>
    <n v="2240.6155199999998"/>
    <n v="0"/>
    <m/>
    <m/>
    <n v="59.845499999999994"/>
    <m/>
    <n v="2240.6155199999998"/>
    <n v="0"/>
    <m/>
    <m/>
    <n v="59.845499999999994"/>
    <m/>
    <n v="2240.6155199999998"/>
    <n v="0"/>
    <n v="2240.6155199999998"/>
    <n v="2240.6155199999998"/>
    <n v="2240.6155199999998"/>
    <n v="2240.6155199999998"/>
    <n v="8962.4620799999993"/>
    <s v="NA"/>
    <m/>
  </r>
  <r>
    <s v="NSG"/>
    <x v="4"/>
    <s v="Single Family"/>
    <s v="IHWAP"/>
    <x v="37"/>
    <s v="&gt;95% AFUE"/>
    <s v="SF"/>
    <x v="3"/>
    <s v="5.3.7"/>
    <s v="each"/>
    <n v="39"/>
    <n v="43"/>
    <n v="55"/>
    <n v="59"/>
    <s v="RS-HVC-GHEF-V12-230101"/>
    <m/>
    <n v="185.63073361823353"/>
    <n v="185.63073361823353"/>
    <n v="185.63073361823353"/>
    <n v="185.63073361823353"/>
    <n v="1"/>
    <n v="1"/>
    <n v="1"/>
    <n v="1"/>
    <n v="7239.5986111111079"/>
    <n v="7982.121545584042"/>
    <n v="10209.690349002845"/>
    <n v="10952.213283475779"/>
    <n v="36383.623789173776"/>
    <n v="1"/>
    <n v="1"/>
    <n v="1"/>
    <n v="1"/>
    <n v="1"/>
    <n v="1"/>
    <n v="1"/>
    <n v="1"/>
    <m/>
    <m/>
    <n v="185.63073361823353"/>
    <m/>
    <n v="7239.5986111111079"/>
    <n v="0"/>
    <m/>
    <m/>
    <n v="185.63073361823353"/>
    <s v="n/a"/>
    <n v="7982.121545584042"/>
    <n v="7982.121545584042"/>
    <n v="0"/>
    <m/>
    <m/>
    <n v="185.63073361823353"/>
    <m/>
    <n v="10209.690349002845"/>
    <n v="0"/>
    <m/>
    <m/>
    <n v="185.63073361823353"/>
    <m/>
    <n v="10952.213283475779"/>
    <n v="0"/>
    <n v="7239.5986111111079"/>
    <n v="7982.121545584042"/>
    <n v="10209.690349002845"/>
    <n v="10952.213283475779"/>
    <n v="36383.623789173776"/>
    <s v="NA"/>
    <m/>
  </r>
  <r>
    <s v="NSG"/>
    <x v="5"/>
    <s v="Small/Mid-Size Business"/>
    <s v="Partner Trade Ally Rebate"/>
    <x v="41"/>
    <s v="HVAC Repair/Rep - Audit"/>
    <s v="CI"/>
    <x v="3"/>
    <s v="4.4.16"/>
    <s v="each"/>
    <n v="36"/>
    <n v="33"/>
    <n v="32"/>
    <n v="30"/>
    <s v="CI-HVC-STRE-V09-230101"/>
    <m/>
    <n v="383.76733095846322"/>
    <n v="383.76733095846322"/>
    <n v="383.76733095846322"/>
    <n v="383.76733095846322"/>
    <n v="0.93"/>
    <n v="0.93"/>
    <n v="0.93"/>
    <n v="0.93"/>
    <n v="12848.53024048935"/>
    <n v="11777.819387115236"/>
    <n v="11420.915769323867"/>
    <n v="10707.108533741124"/>
    <n v="46754.373930669579"/>
    <n v="0.93"/>
    <n v="0.93"/>
    <n v="0.93"/>
    <n v="0.93"/>
    <n v="0.93"/>
    <n v="0.93"/>
    <n v="0.93"/>
    <n v="0.93"/>
    <m/>
    <m/>
    <n v="383.76733095846322"/>
    <m/>
    <n v="12848.53024048935"/>
    <n v="0"/>
    <m/>
    <m/>
    <n v="779.98158821323193"/>
    <s v="Updated inputs for Commercial LPS Space Heating and Industrial/Process Low Pressure"/>
    <n v="11777.819387115236"/>
    <n v="23937.634942264089"/>
    <n v="12159.815555148853"/>
    <m/>
    <m/>
    <n v="779.98158821323193"/>
    <m/>
    <n v="23212.252065225784"/>
    <n v="11791.336295901918"/>
    <m/>
    <m/>
    <n v="779.98158821323193"/>
    <m/>
    <n v="21761.486311149172"/>
    <n v="11054.377777408048"/>
    <n v="12848.53024048935"/>
    <n v="23937.634942264089"/>
    <n v="23212.252065225784"/>
    <n v="21761.486311149172"/>
    <n v="81759.90355912839"/>
    <s v="NA"/>
    <m/>
  </r>
  <r>
    <s v="NSG"/>
    <x v="5"/>
    <s v="C&amp;I"/>
    <s v="Rebates"/>
    <x v="41"/>
    <s v="Industrial/Process Audit - 30 ≤ psig &lt; 75"/>
    <s v="CI/SMB"/>
    <x v="3"/>
    <s v="4.4.16"/>
    <s v="each"/>
    <n v="34"/>
    <n v="32"/>
    <n v="28"/>
    <n v="27.200000000000003"/>
    <s v="CI-HVC-STRE-V09-230101"/>
    <m/>
    <n v="2777.6636840634392"/>
    <n v="2777.6636840634392"/>
    <n v="2777.6636840634392"/>
    <n v="2777.6636840634392"/>
    <n v="0.91"/>
    <n v="0.91"/>
    <n v="0.91"/>
    <n v="0.91"/>
    <n v="85940.914384922813"/>
    <n v="80885.566479927351"/>
    <n v="70774.870669936441"/>
    <n v="68752.731507938268"/>
    <n v="306354.08304272487"/>
    <n v="0.91"/>
    <n v="0.91"/>
    <n v="0.91"/>
    <n v="0.91"/>
    <n v="0.91"/>
    <n v="0.91"/>
    <n v="0.91"/>
    <n v="0.91"/>
    <m/>
    <m/>
    <n v="2777.6636840634392"/>
    <m/>
    <n v="85940.914384922813"/>
    <n v="0"/>
    <m/>
    <m/>
    <n v="2777.6636840634392"/>
    <s v="Updated inputs for Commercial LPS Space Heating and Industrial/Process Low Pressure"/>
    <n v="80885.566479927351"/>
    <n v="80885.566479927351"/>
    <n v="0"/>
    <m/>
    <m/>
    <n v="2777.6636840634392"/>
    <m/>
    <n v="70774.870669936441"/>
    <n v="0"/>
    <m/>
    <m/>
    <n v="2777.6636840634392"/>
    <m/>
    <n v="68752.731507938268"/>
    <n v="0"/>
    <n v="85940.914384922813"/>
    <n v="80885.566479927351"/>
    <n v="70774.870669936441"/>
    <n v="68752.731507938268"/>
    <n v="306354.08304272487"/>
    <s v="NA"/>
    <m/>
  </r>
  <r>
    <s v="NSG"/>
    <x v="4"/>
    <s v="Multi-Family"/>
    <s v="Whole Building - Public Housing"/>
    <x v="26"/>
    <n v="0"/>
    <s v="IE MF"/>
    <x v="3"/>
    <s v="5.6.1"/>
    <s v="linear ft"/>
    <n v="34"/>
    <n v="34"/>
    <n v="34"/>
    <n v="34"/>
    <s v="RS-SHL-AIRS-V12-230101"/>
    <m/>
    <n v="0.48799999999999999"/>
    <n v="0.48799999999999999"/>
    <n v="0.48799999999999999"/>
    <n v="0.48799999999999999"/>
    <n v="1"/>
    <n v="1"/>
    <n v="1"/>
    <n v="1"/>
    <n v="16.591999999999999"/>
    <n v="16.591999999999999"/>
    <n v="16.591999999999999"/>
    <n v="16.591999999999999"/>
    <n v="66.367999999999995"/>
    <n v="1"/>
    <n v="1"/>
    <n v="1"/>
    <n v="1"/>
    <n v="1"/>
    <n v="1"/>
    <n v="1"/>
    <n v="1"/>
    <m/>
    <m/>
    <n v="0.48799999999999999"/>
    <m/>
    <n v="16.591999999999999"/>
    <n v="0"/>
    <m/>
    <m/>
    <n v="0.48799999999999999"/>
    <s v="Updated ISR"/>
    <n v="16.591999999999999"/>
    <n v="16.591999999999999"/>
    <n v="0"/>
    <m/>
    <m/>
    <n v="0.48799999999999999"/>
    <m/>
    <n v="16.591999999999999"/>
    <n v="0"/>
    <m/>
    <m/>
    <n v="0.48799999999999999"/>
    <m/>
    <n v="16.591999999999999"/>
    <n v="0"/>
    <n v="16.591999999999999"/>
    <n v="16.591999999999999"/>
    <n v="16.591999999999999"/>
    <n v="16.591999999999999"/>
    <n v="66.367999999999995"/>
    <s v="NA"/>
    <m/>
  </r>
  <r>
    <s v="NSG"/>
    <x v="4"/>
    <s v="Multi-Family"/>
    <s v="Whole Building - DI"/>
    <x v="39"/>
    <n v="0"/>
    <s v="MF"/>
    <x v="3"/>
    <n v="0"/>
    <s v="each"/>
    <n v="30"/>
    <n v="30"/>
    <n v="30"/>
    <n v="30"/>
    <n v="0"/>
    <m/>
    <n v="0"/>
    <n v="0"/>
    <n v="0"/>
    <n v="0"/>
    <n v="1"/>
    <n v="1"/>
    <n v="1"/>
    <n v="1"/>
    <n v="0"/>
    <n v="0"/>
    <n v="0"/>
    <n v="0"/>
    <n v="0"/>
    <n v="1"/>
    <n v="1"/>
    <n v="1"/>
    <n v="1"/>
    <n v="1"/>
    <n v="1"/>
    <n v="1"/>
    <n v="1"/>
    <m/>
    <m/>
    <n v="0"/>
    <m/>
    <n v="0"/>
    <n v="0"/>
    <m/>
    <m/>
    <n v="0"/>
    <s v="n/a"/>
    <n v="0"/>
    <n v="0"/>
    <n v="0"/>
    <m/>
    <m/>
    <n v="0"/>
    <m/>
    <n v="0"/>
    <n v="0"/>
    <m/>
    <m/>
    <n v="0"/>
    <m/>
    <n v="0"/>
    <n v="0"/>
    <n v="0"/>
    <n v="0"/>
    <n v="0"/>
    <n v="0"/>
    <n v="0"/>
    <s v="NA"/>
    <m/>
  </r>
  <r>
    <s v="NSG"/>
    <x v="4"/>
    <s v="Multi-Family"/>
    <s v="Whole Building - Public Housing"/>
    <x v="39"/>
    <n v="0"/>
    <s v="MF"/>
    <x v="3"/>
    <n v="0"/>
    <s v="units"/>
    <n v="30"/>
    <n v="30"/>
    <n v="30"/>
    <n v="30"/>
    <n v="0"/>
    <m/>
    <n v="0"/>
    <n v="0"/>
    <n v="0"/>
    <n v="0"/>
    <n v="1"/>
    <n v="1"/>
    <n v="1"/>
    <n v="1"/>
    <n v="0"/>
    <n v="0"/>
    <n v="0"/>
    <n v="0"/>
    <n v="0"/>
    <n v="1"/>
    <n v="1"/>
    <n v="1"/>
    <n v="1"/>
    <n v="1"/>
    <n v="1"/>
    <n v="1"/>
    <n v="1"/>
    <m/>
    <m/>
    <n v="0"/>
    <m/>
    <n v="0"/>
    <n v="0"/>
    <m/>
    <m/>
    <n v="0"/>
    <s v="n/a"/>
    <n v="0"/>
    <n v="0"/>
    <n v="0"/>
    <m/>
    <m/>
    <n v="0"/>
    <m/>
    <n v="0"/>
    <n v="0"/>
    <m/>
    <m/>
    <n v="0"/>
    <m/>
    <n v="0"/>
    <n v="0"/>
    <n v="0"/>
    <n v="0"/>
    <n v="0"/>
    <n v="0"/>
    <n v="0"/>
    <s v="NA"/>
    <m/>
  </r>
  <r>
    <s v="NSG"/>
    <x v="5"/>
    <s v="C&amp;I"/>
    <s v="Rebates"/>
    <x v="41"/>
    <s v="Industrial/Process Audit - psig ≤ 15"/>
    <s v="CI/SMB"/>
    <x v="3"/>
    <s v="4.4.16"/>
    <s v="each"/>
    <n v="25.5"/>
    <n v="24"/>
    <n v="21"/>
    <n v="20.400000000000002"/>
    <s v="CI-HVC-STRE-V09-230101"/>
    <m/>
    <n v="788.87094440257943"/>
    <n v="788.87094440257943"/>
    <n v="788.87094440257943"/>
    <n v="788.87094440257943"/>
    <n v="0.91"/>
    <n v="0.91"/>
    <n v="0.91"/>
    <n v="0.91"/>
    <n v="18305.750264861854"/>
    <n v="17228.941425752335"/>
    <n v="15075.323747533293"/>
    <n v="14644.600211889487"/>
    <n v="65254.615650036969"/>
    <n v="0.91"/>
    <n v="0.91"/>
    <n v="0.91"/>
    <n v="0.91"/>
    <n v="0.91"/>
    <n v="0.91"/>
    <n v="0.91"/>
    <n v="0.91"/>
    <m/>
    <m/>
    <n v="788.87094440257943"/>
    <m/>
    <n v="18305.750264861854"/>
    <n v="0"/>
    <m/>
    <m/>
    <n v="1603.3277521921041"/>
    <s v="Updated inputs for Commercial LPS Space Heating and Industrial/Process Low Pressure"/>
    <n v="17228.941425752335"/>
    <n v="35016.678107875552"/>
    <n v="17787.736682123217"/>
    <m/>
    <m/>
    <n v="1603.3277521921041"/>
    <m/>
    <n v="30639.593344391113"/>
    <n v="15564.269596857819"/>
    <m/>
    <m/>
    <n v="1603.3277521921041"/>
    <m/>
    <n v="29764.176391694225"/>
    <n v="15119.576179804739"/>
    <n v="18305.750264861854"/>
    <n v="35016.678107875552"/>
    <n v="30639.593344391113"/>
    <n v="29764.176391694225"/>
    <n v="113726.19810882275"/>
    <s v="NA"/>
    <m/>
  </r>
  <r>
    <s v="NSG"/>
    <x v="4"/>
    <s v="Home Energy Jumpstart"/>
    <s v="Core"/>
    <x v="39"/>
    <n v="0"/>
    <s v="SF"/>
    <x v="3"/>
    <s v="n/a"/>
    <s v="Household"/>
    <n v="25.22"/>
    <n v="63.050000000000004"/>
    <n v="126.10000000000001"/>
    <n v="151.32"/>
    <s v="n/a"/>
    <m/>
    <n v="0"/>
    <n v="0"/>
    <n v="0"/>
    <n v="0"/>
    <n v="1"/>
    <n v="1"/>
    <n v="1"/>
    <n v="1"/>
    <n v="0"/>
    <n v="0"/>
    <n v="0"/>
    <n v="0"/>
    <n v="0"/>
    <n v="1"/>
    <n v="1"/>
    <n v="1"/>
    <n v="1"/>
    <n v="1"/>
    <n v="1"/>
    <n v="1"/>
    <n v="1"/>
    <m/>
    <m/>
    <n v="0"/>
    <m/>
    <n v="0"/>
    <n v="0"/>
    <m/>
    <m/>
    <n v="0"/>
    <s v="n/a"/>
    <n v="0"/>
    <n v="0"/>
    <n v="0"/>
    <m/>
    <m/>
    <n v="0"/>
    <m/>
    <n v="0"/>
    <n v="0"/>
    <m/>
    <m/>
    <n v="0"/>
    <m/>
    <n v="0"/>
    <n v="0"/>
    <n v="0"/>
    <n v="0"/>
    <n v="0"/>
    <n v="0"/>
    <n v="0"/>
    <s v="NA"/>
    <m/>
  </r>
  <r>
    <s v="NSG"/>
    <x v="4"/>
    <s v="Home Energy Jumpstart"/>
    <s v="Leave Behind Kit"/>
    <x v="40"/>
    <n v="0"/>
    <s v="SF"/>
    <x v="3"/>
    <s v="5.6.1"/>
    <s v="each"/>
    <n v="25"/>
    <n v="63"/>
    <n v="126"/>
    <n v="151"/>
    <s v="RS-SHL-AIRS-V12-230101"/>
    <m/>
    <n v="6.3544800000000006"/>
    <n v="6.3544800000000006"/>
    <n v="6.3544800000000006"/>
    <n v="6.3544800000000006"/>
    <n v="1"/>
    <n v="1"/>
    <n v="1"/>
    <n v="1"/>
    <n v="158.86200000000002"/>
    <n v="400.33224000000001"/>
    <n v="800.66448000000003"/>
    <n v="959.52648000000011"/>
    <n v="2319.3852000000002"/>
    <n v="1"/>
    <n v="1"/>
    <n v="1"/>
    <n v="1"/>
    <n v="1"/>
    <n v="1"/>
    <n v="1"/>
    <n v="1"/>
    <m/>
    <m/>
    <n v="6.3544800000000006"/>
    <m/>
    <n v="158.86200000000002"/>
    <n v="0"/>
    <m/>
    <m/>
    <n v="6.3544800000000006"/>
    <s v="Updated ISR"/>
    <n v="352.29237119999999"/>
    <n v="400.33224000000001"/>
    <n v="0"/>
    <m/>
    <m/>
    <n v="6.3544800000000006"/>
    <m/>
    <n v="800.66448000000003"/>
    <n v="0"/>
    <m/>
    <m/>
    <n v="6.3544800000000006"/>
    <m/>
    <n v="959.52648000000011"/>
    <n v="0"/>
    <n v="158.86200000000002"/>
    <n v="400.33224000000001"/>
    <n v="800.66448000000003"/>
    <n v="959.52648000000011"/>
    <n v="2319.3852000000002"/>
    <s v="NA"/>
    <m/>
  </r>
  <r>
    <s v="NSG"/>
    <x v="3"/>
    <s v="Home Energy Rebate"/>
    <s v="Standard Rebate"/>
    <x v="28"/>
    <s v="≥88% AFUE, &lt;300MBh"/>
    <s v="SF"/>
    <x v="3"/>
    <s v="5.3.6"/>
    <s v="each"/>
    <n v="25"/>
    <n v="25"/>
    <n v="25"/>
    <n v="25"/>
    <s v="RS-HVC-GHEB-V10-230101"/>
    <m/>
    <n v="147.38374603174603"/>
    <n v="147.38374603174603"/>
    <n v="147.38374603174603"/>
    <n v="147.38374603174603"/>
    <n v="0.74"/>
    <n v="0.74"/>
    <n v="0.74"/>
    <n v="0.74"/>
    <n v="2726.5993015873014"/>
    <n v="2726.5993015873014"/>
    <n v="2726.5993015873014"/>
    <n v="2726.5993015873014"/>
    <n v="10906.397206349206"/>
    <n v="0.74"/>
    <n v="0.74"/>
    <n v="0.74"/>
    <n v="0.74"/>
    <n v="0.74"/>
    <n v="0.74"/>
    <n v="0.74"/>
    <n v="0.74"/>
    <m/>
    <m/>
    <n v="147.38374603174603"/>
    <m/>
    <n v="2726.5993015873014"/>
    <n v="0"/>
    <m/>
    <m/>
    <n v="147.38374603174603"/>
    <s v="n/a"/>
    <n v="2726.5993015873014"/>
    <n v="2726.5993015873014"/>
    <n v="0"/>
    <m/>
    <m/>
    <n v="147.38374603174603"/>
    <m/>
    <n v="2726.5993015873014"/>
    <n v="0"/>
    <m/>
    <m/>
    <n v="147.38374603174603"/>
    <m/>
    <n v="2726.5993015873014"/>
    <n v="0"/>
    <n v="2726.5993015873014"/>
    <n v="2726.5993015873014"/>
    <n v="2726.5993015873014"/>
    <n v="2726.5993015873014"/>
    <n v="10906.397206349206"/>
    <s v="NA"/>
    <m/>
  </r>
  <r>
    <s v="NSG"/>
    <x v="3"/>
    <s v="Multi-Family"/>
    <s v="Direct Install"/>
    <x v="39"/>
    <s v="CA"/>
    <s v="MF"/>
    <x v="3"/>
    <s v="n/a"/>
    <s v="each"/>
    <n v="20"/>
    <n v="20"/>
    <n v="20"/>
    <n v="20"/>
    <s v="n/a"/>
    <m/>
    <n v="0"/>
    <n v="0"/>
    <n v="0"/>
    <n v="0"/>
    <n v="0.96"/>
    <n v="0.96"/>
    <n v="0.96"/>
    <n v="0.96"/>
    <n v="0"/>
    <n v="0"/>
    <n v="0"/>
    <n v="0"/>
    <n v="0"/>
    <n v="0.96"/>
    <n v="0.96"/>
    <n v="0.96"/>
    <n v="0.96"/>
    <n v="0.96"/>
    <n v="0.96"/>
    <n v="0.96"/>
    <n v="0.96"/>
    <m/>
    <m/>
    <n v="0"/>
    <m/>
    <n v="0"/>
    <n v="0"/>
    <m/>
    <m/>
    <n v="0"/>
    <s v="n/a"/>
    <n v="0"/>
    <n v="0"/>
    <n v="0"/>
    <m/>
    <m/>
    <n v="0"/>
    <m/>
    <n v="0"/>
    <n v="0"/>
    <m/>
    <m/>
    <n v="0"/>
    <m/>
    <n v="0"/>
    <n v="0"/>
    <n v="0"/>
    <n v="0"/>
    <n v="0"/>
    <n v="0"/>
    <n v="0"/>
    <s v="NA"/>
    <m/>
  </r>
  <r>
    <s v="NSG"/>
    <x v="5"/>
    <s v="Small/Mid-Size Business"/>
    <s v="Partner Trade Ally Rebate"/>
    <x v="4"/>
    <s v="Dry Cleaners"/>
    <s v="CI/SMB"/>
    <x v="3"/>
    <s v="&quot;3 - Res Pipe Insulation&quot; worksheet"/>
    <s v="linear feet"/>
    <n v="20"/>
    <n v="15"/>
    <n v="15"/>
    <n v="15"/>
    <n v="0"/>
    <m/>
    <n v="2.6562680100025178"/>
    <n v="2.6562680100025178"/>
    <n v="2.6562680100025178"/>
    <n v="2.6562680100025178"/>
    <n v="0.93"/>
    <n v="0.93"/>
    <n v="0.93"/>
    <n v="0.93"/>
    <n v="49.40658498604683"/>
    <n v="37.054938739535125"/>
    <n v="37.054938739535125"/>
    <n v="37.054938739535125"/>
    <n v="160.5714012046522"/>
    <n v="0.93"/>
    <n v="0.93"/>
    <n v="0.93"/>
    <n v="0.93"/>
    <n v="0.93"/>
    <n v="0.93"/>
    <n v="0.93"/>
    <n v="0.93"/>
    <m/>
    <m/>
    <n v="2.6562680100025178"/>
    <m/>
    <n v="49.40658498604683"/>
    <n v="0"/>
    <m/>
    <m/>
    <n v="2.6562680100025178"/>
    <s v="n/a"/>
    <n v="37.054938739535125"/>
    <n v="37.054938739535125"/>
    <n v="0"/>
    <m/>
    <m/>
    <n v="2.6562680100025178"/>
    <m/>
    <n v="37.054938739535125"/>
    <n v="0"/>
    <m/>
    <m/>
    <n v="2.6562680100025178"/>
    <m/>
    <n v="37.054938739535125"/>
    <n v="0"/>
    <n v="49.40658498604683"/>
    <n v="37.054938739535125"/>
    <n v="37.054938739535125"/>
    <n v="37.054938739535125"/>
    <n v="160.5714012046522"/>
    <s v="NA"/>
    <m/>
  </r>
  <r>
    <s v="NSG"/>
    <x v="4"/>
    <s v="Multi-Family"/>
    <s v="Whole Building - Prescriptive"/>
    <x v="40"/>
    <n v="0"/>
    <s v="IE MF"/>
    <x v="3"/>
    <s v="5.6.1"/>
    <s v="per door"/>
    <n v="18"/>
    <n v="18"/>
    <n v="18"/>
    <n v="18"/>
    <s v="RS-SHL-AIRS-V12-230101"/>
    <m/>
    <n v="7.3040000000000012"/>
    <n v="7.3040000000000012"/>
    <n v="7.3040000000000012"/>
    <n v="7.3040000000000012"/>
    <n v="1"/>
    <n v="1"/>
    <n v="1"/>
    <n v="1"/>
    <n v="131.47200000000001"/>
    <n v="131.47200000000001"/>
    <n v="131.47200000000001"/>
    <n v="131.47200000000001"/>
    <n v="525.88800000000003"/>
    <n v="1"/>
    <n v="1"/>
    <n v="1"/>
    <n v="1"/>
    <n v="1"/>
    <n v="1"/>
    <n v="1"/>
    <n v="1"/>
    <m/>
    <m/>
    <n v="7.3040000000000012"/>
    <m/>
    <n v="131.47200000000001"/>
    <n v="0"/>
    <m/>
    <m/>
    <n v="7.3040000000000012"/>
    <s v="Updated ISR"/>
    <n v="131.47200000000001"/>
    <n v="131.47200000000001"/>
    <n v="0"/>
    <m/>
    <m/>
    <n v="7.3040000000000012"/>
    <m/>
    <n v="131.47200000000001"/>
    <n v="0"/>
    <m/>
    <m/>
    <n v="7.3040000000000012"/>
    <m/>
    <n v="131.47200000000001"/>
    <n v="0"/>
    <n v="131.47200000000001"/>
    <n v="131.47200000000001"/>
    <n v="131.47200000000001"/>
    <n v="131.47200000000001"/>
    <n v="525.88800000000003"/>
    <s v="NA"/>
    <m/>
  </r>
  <r>
    <s v="NSG"/>
    <x v="5"/>
    <s v="Small/Mid-Size Business"/>
    <s v="Assessments"/>
    <x v="39"/>
    <n v="0"/>
    <s v="CI"/>
    <x v="3"/>
    <n v="0"/>
    <s v="each"/>
    <n v="18"/>
    <n v="16"/>
    <n v="16"/>
    <n v="15"/>
    <n v="0"/>
    <m/>
    <n v="0"/>
    <n v="0"/>
    <n v="0"/>
    <n v="0"/>
    <n v="0.93"/>
    <n v="0.93"/>
    <n v="0.93"/>
    <n v="0.93"/>
    <n v="0"/>
    <n v="0"/>
    <n v="0"/>
    <n v="0"/>
    <n v="0"/>
    <n v="0.93"/>
    <n v="0.93"/>
    <n v="0.93"/>
    <n v="0.93"/>
    <n v="0.93"/>
    <n v="0.93"/>
    <n v="0.93"/>
    <n v="0.93"/>
    <m/>
    <m/>
    <n v="0"/>
    <m/>
    <n v="0"/>
    <n v="0"/>
    <m/>
    <m/>
    <n v="0"/>
    <s v="n/a"/>
    <n v="0"/>
    <n v="0"/>
    <n v="0"/>
    <m/>
    <m/>
    <n v="0"/>
    <m/>
    <n v="0"/>
    <n v="0"/>
    <m/>
    <m/>
    <n v="0"/>
    <m/>
    <n v="0"/>
    <n v="0"/>
    <n v="0"/>
    <n v="0"/>
    <n v="0"/>
    <n v="0"/>
    <n v="0"/>
    <s v="NA"/>
    <m/>
  </r>
  <r>
    <s v="NSG"/>
    <x v="5"/>
    <s v="Small/Mid-Size Business"/>
    <s v="Kits"/>
    <x v="47"/>
    <s v="Motel Kit"/>
    <s v="SMB"/>
    <x v="4"/>
    <s v="n/a"/>
    <s v="kit"/>
    <n v="18"/>
    <n v="16"/>
    <n v="16"/>
    <n v="15"/>
    <s v="n/a"/>
    <m/>
    <n v="134.51339999999999"/>
    <n v="134.51339999999999"/>
    <n v="134.51339999999999"/>
    <n v="134.51339999999999"/>
    <n v="0.93"/>
    <n v="0.93"/>
    <n v="0.93"/>
    <n v="0.93"/>
    <n v="2251.754316"/>
    <n v="2001.5593919999999"/>
    <n v="2001.5593919999999"/>
    <n v="1876.4619299999999"/>
    <n v="8131.3350300000002"/>
    <n v="0.93"/>
    <n v="0.93"/>
    <n v="0.93"/>
    <n v="0.93"/>
    <n v="0.93"/>
    <n v="0.93"/>
    <n v="0.93"/>
    <n v="0.93"/>
    <m/>
    <m/>
    <n v="134.51339999999999"/>
    <m/>
    <n v="2251.754316"/>
    <n v="0"/>
    <m/>
    <m/>
    <n v="134.51339999999999"/>
    <s v="n/a"/>
    <n v="2001.5593919999999"/>
    <n v="2001.5593919999999"/>
    <n v="0"/>
    <m/>
    <m/>
    <n v="134.51339999999999"/>
    <m/>
    <n v="2001.5593919999999"/>
    <n v="0"/>
    <m/>
    <m/>
    <n v="134.51339999999999"/>
    <m/>
    <n v="1876.4619299999999"/>
    <n v="0"/>
    <n v="2251.754316"/>
    <n v="2001.5593919999999"/>
    <n v="2001.5593919999999"/>
    <n v="1876.4619299999999"/>
    <n v="8131.3350300000002"/>
    <s v="NA"/>
    <m/>
  </r>
  <r>
    <s v="NSG"/>
    <x v="5"/>
    <s v="Small/Mid-Size Business"/>
    <s v="Kits"/>
    <x v="47"/>
    <s v="School - Grocery"/>
    <s v="SMB"/>
    <x v="4"/>
    <s v="n/a"/>
    <s v="kit"/>
    <n v="18"/>
    <n v="16"/>
    <n v="16"/>
    <n v="15"/>
    <s v="n/a"/>
    <m/>
    <n v="108.2208"/>
    <n v="108.2208"/>
    <n v="108.2208"/>
    <n v="108.2208"/>
    <n v="0.93"/>
    <n v="0.93"/>
    <n v="0.93"/>
    <n v="0.93"/>
    <n v="1811.6161920000002"/>
    <n v="1610.3255040000001"/>
    <n v="1610.3255040000001"/>
    <n v="1509.6801599999999"/>
    <n v="6541.9473600000001"/>
    <n v="0.93"/>
    <n v="0.93"/>
    <n v="0.93"/>
    <n v="0.93"/>
    <n v="0.93"/>
    <n v="0.93"/>
    <n v="0.93"/>
    <n v="0.93"/>
    <m/>
    <m/>
    <n v="108.2208"/>
    <m/>
    <n v="1811.6161920000002"/>
    <n v="0"/>
    <m/>
    <m/>
    <n v="108.2208"/>
    <s v="n/a"/>
    <n v="1610.3255040000001"/>
    <n v="1610.3255040000001"/>
    <n v="0"/>
    <m/>
    <m/>
    <n v="108.2208"/>
    <m/>
    <n v="1610.3255040000001"/>
    <n v="0"/>
    <m/>
    <m/>
    <n v="108.2208"/>
    <m/>
    <n v="1509.6801599999999"/>
    <n v="0"/>
    <n v="1811.6161920000002"/>
    <n v="1610.3255040000001"/>
    <n v="1610.3255040000001"/>
    <n v="1509.6801599999999"/>
    <n v="6541.9473600000001"/>
    <s v="NA"/>
    <m/>
  </r>
  <r>
    <s v="NSG"/>
    <x v="5"/>
    <s v="Small/Mid-Size Business"/>
    <s v="Partner Trade Ally Rebate"/>
    <x v="41"/>
    <s v="Dry Cleaner/Industrial - Audit"/>
    <s v="MF/CI/SMB"/>
    <x v="3"/>
    <s v="4.4.16"/>
    <s v="each"/>
    <n v="18"/>
    <n v="16"/>
    <n v="16"/>
    <n v="15"/>
    <s v="CI-HVC-STRE-V09-230101"/>
    <m/>
    <n v="648.01334476360694"/>
    <n v="648.01334476360694"/>
    <n v="648.01334476360694"/>
    <n v="648.01334476360694"/>
    <n v="0.93"/>
    <n v="0.93"/>
    <n v="0.93"/>
    <n v="0.93"/>
    <n v="10847.743391342781"/>
    <n v="9642.4385700824714"/>
    <n v="9642.4385700824714"/>
    <n v="9039.7861594523165"/>
    <n v="39172.406690960037"/>
    <n v="0.93"/>
    <n v="0.93"/>
    <n v="0.93"/>
    <n v="0.93"/>
    <n v="0.93"/>
    <n v="0.93"/>
    <n v="0.93"/>
    <n v="0.93"/>
    <m/>
    <m/>
    <n v="648.01334476360694"/>
    <m/>
    <n v="10847.743391342781"/>
    <n v="0"/>
    <m/>
    <m/>
    <n v="648.01334476360694"/>
    <s v="Updated inputs for Commercial LPS Space Heating and Industrial/Process Low Pressure"/>
    <n v="9642.4385700824714"/>
    <n v="9642.4385700824714"/>
    <n v="0"/>
    <m/>
    <m/>
    <n v="648.01334476360694"/>
    <m/>
    <n v="9642.4385700824714"/>
    <n v="0"/>
    <m/>
    <m/>
    <n v="648.01334476360694"/>
    <m/>
    <n v="9039.7861594523165"/>
    <n v="0"/>
    <n v="10847.743391342781"/>
    <n v="9642.4385700824714"/>
    <n v="9642.4385700824714"/>
    <n v="9039.7861594523165"/>
    <n v="39172.406690960037"/>
    <s v="NA"/>
    <m/>
  </r>
  <r>
    <s v="NSG"/>
    <x v="5"/>
    <s v="Commercial Food Service Program"/>
    <s v="Upstream Rebate"/>
    <x v="50"/>
    <n v="0"/>
    <s v="MF/CI"/>
    <x v="3"/>
    <s v="4.2.16"/>
    <s v="HP"/>
    <n v="15.5"/>
    <n v="15.5"/>
    <n v="15.5"/>
    <n v="23.25"/>
    <s v="CI-FSE-VENT-V05-230101"/>
    <m/>
    <n v="774"/>
    <n v="774"/>
    <n v="774"/>
    <n v="774"/>
    <n v="0.8"/>
    <n v="0.8"/>
    <n v="0.8"/>
    <n v="0.8"/>
    <n v="9597.6"/>
    <n v="9597.6"/>
    <n v="9597.6"/>
    <n v="14396.400000000001"/>
    <n v="43189.200000000004"/>
    <n v="0.8"/>
    <n v="0.8"/>
    <n v="0.8"/>
    <n v="0.8"/>
    <n v="0.8"/>
    <n v="0.8"/>
    <n v="0.8"/>
    <n v="0.8"/>
    <m/>
    <m/>
    <n v="774"/>
    <m/>
    <n v="9597.6"/>
    <n v="0"/>
    <m/>
    <m/>
    <n v="774"/>
    <s v="n/a"/>
    <n v="9597.6"/>
    <n v="9597.6"/>
    <n v="0"/>
    <m/>
    <m/>
    <n v="774"/>
    <m/>
    <n v="9597.6"/>
    <n v="0"/>
    <m/>
    <m/>
    <n v="774"/>
    <m/>
    <n v="14396.400000000001"/>
    <n v="0"/>
    <n v="9597.6"/>
    <n v="9597.6"/>
    <n v="9597.6"/>
    <n v="14396.400000000001"/>
    <n v="43189.200000000004"/>
    <s v="NA"/>
    <m/>
  </r>
  <r>
    <s v="NSG"/>
    <x v="3"/>
    <s v="Home Energy Rebate"/>
    <s v="Standard Rebate"/>
    <x v="51"/>
    <n v="0"/>
    <s v="SF"/>
    <x v="3"/>
    <s v="5.4.2"/>
    <s v="each"/>
    <n v="15"/>
    <n v="15"/>
    <n v="15"/>
    <n v="15"/>
    <s v="RS-HWE-GWHT-V10-220101"/>
    <m/>
    <n v="63.49086967683337"/>
    <n v="63.49086967683337"/>
    <n v="63.49086967683337"/>
    <n v="63.49086967683337"/>
    <n v="0.74"/>
    <n v="0.74"/>
    <n v="0.74"/>
    <n v="0.74"/>
    <n v="704.74865341285033"/>
    <n v="704.74865341285033"/>
    <n v="704.74865341285033"/>
    <n v="704.74865341285033"/>
    <n v="2818.9946136514013"/>
    <n v="0.74"/>
    <n v="0.74"/>
    <n v="0.74"/>
    <n v="0.74"/>
    <n v="0.74"/>
    <n v="0.74"/>
    <n v="0.74"/>
    <n v="0.74"/>
    <m/>
    <m/>
    <n v="63.49086967683337"/>
    <m/>
    <n v="704.74865341285033"/>
    <n v="0"/>
    <m/>
    <m/>
    <n v="63.49086967683337"/>
    <s v="n/a"/>
    <n v="704.74865341285033"/>
    <n v="704.74865341285033"/>
    <n v="0"/>
    <m/>
    <m/>
    <n v="63.49086967683337"/>
    <m/>
    <n v="704.74865341285033"/>
    <n v="0"/>
    <m/>
    <m/>
    <n v="63.49086967683337"/>
    <m/>
    <n v="704.74865341285033"/>
    <n v="0"/>
    <n v="704.74865341285033"/>
    <n v="704.74865341285033"/>
    <n v="704.74865341285033"/>
    <n v="704.74865341285033"/>
    <n v="2818.9946136514013"/>
    <s v="NA"/>
    <m/>
  </r>
  <r>
    <s v="NSG"/>
    <x v="5"/>
    <s v="C&amp;I"/>
    <s v="Rebates"/>
    <x v="41"/>
    <s v="Industrial/Process Audit - 75 ≤ psig &lt; 125"/>
    <s v="CI/SMB"/>
    <x v="3"/>
    <s v="4.4.16"/>
    <s v="each"/>
    <n v="12.75"/>
    <n v="12"/>
    <n v="10.5"/>
    <n v="10.200000000000001"/>
    <s v="CI-HVC-STRE-V09-230101"/>
    <m/>
    <n v="5253.732217921608"/>
    <n v="5253.732217921608"/>
    <n v="5253.732217921608"/>
    <n v="5253.732217921608"/>
    <n v="0.91"/>
    <n v="0.91"/>
    <n v="0.91"/>
    <n v="0.91"/>
    <n v="60956.428058435464"/>
    <n v="57370.755819703962"/>
    <n v="50199.411342240965"/>
    <n v="48765.142446748374"/>
    <n v="217291.73766712873"/>
    <n v="0.91"/>
    <n v="0.91"/>
    <n v="0.91"/>
    <n v="0.91"/>
    <n v="0.91"/>
    <n v="0.91"/>
    <n v="0.91"/>
    <n v="0.91"/>
    <m/>
    <m/>
    <n v="5253.732217921608"/>
    <m/>
    <n v="60956.428058435464"/>
    <n v="0"/>
    <m/>
    <m/>
    <n v="5253.732217921608"/>
    <s v="Updated inputs for Commercial LPS Space Heating and Industrial/Process Low Pressure"/>
    <n v="57370.755819703962"/>
    <n v="57370.755819703962"/>
    <n v="0"/>
    <m/>
    <m/>
    <n v="5253.732217921608"/>
    <m/>
    <n v="50199.411342240965"/>
    <n v="0"/>
    <m/>
    <m/>
    <n v="5253.732217921608"/>
    <m/>
    <n v="48765.142446748374"/>
    <n v="0"/>
    <n v="60956.428058435464"/>
    <n v="57370.755819703962"/>
    <n v="50199.411342240965"/>
    <n v="48765.142446748374"/>
    <n v="217291.73766712873"/>
    <s v="NA"/>
    <m/>
  </r>
  <r>
    <s v="NSG"/>
    <x v="4"/>
    <s v="Multi-Family"/>
    <s v="Whole Building - Prescriptive"/>
    <x v="52"/>
    <n v="0"/>
    <s v="MF"/>
    <x v="3"/>
    <s v="4.4.38"/>
    <s v="each"/>
    <n v="12"/>
    <n v="12"/>
    <n v="12"/>
    <n v="12"/>
    <s v="CI-HVC-CRAC-V03-230101"/>
    <m/>
    <n v="12.64"/>
    <n v="12.64"/>
    <n v="12.64"/>
    <n v="12.64"/>
    <n v="1"/>
    <n v="1"/>
    <n v="1"/>
    <n v="1"/>
    <n v="151.68"/>
    <n v="151.68"/>
    <n v="151.68"/>
    <n v="151.68"/>
    <n v="606.72"/>
    <n v="1"/>
    <n v="1"/>
    <n v="1"/>
    <n v="1"/>
    <n v="1"/>
    <n v="1"/>
    <n v="1"/>
    <n v="1"/>
    <m/>
    <m/>
    <n v="12.64"/>
    <m/>
    <n v="151.68"/>
    <n v="0"/>
    <m/>
    <m/>
    <n v="12.64"/>
    <s v="n/a"/>
    <n v="151.68"/>
    <n v="151.68"/>
    <n v="0"/>
    <m/>
    <m/>
    <n v="12.64"/>
    <m/>
    <n v="151.68"/>
    <n v="0"/>
    <m/>
    <m/>
    <n v="12.64"/>
    <m/>
    <n v="151.68"/>
    <n v="0"/>
    <n v="151.68"/>
    <n v="151.68"/>
    <n v="151.68"/>
    <n v="151.68"/>
    <n v="606.72"/>
    <s v="NA"/>
    <m/>
  </r>
  <r>
    <s v="NSG"/>
    <x v="5"/>
    <s v="Small/Mid-Size Business"/>
    <s v="Partner Trade Ally Rebate"/>
    <x v="41"/>
    <s v="HVAC Repair/Rep - No Audit"/>
    <s v="CI"/>
    <x v="3"/>
    <s v="4.4.16"/>
    <s v="each"/>
    <n v="9"/>
    <n v="8"/>
    <n v="8"/>
    <n v="8"/>
    <s v="CI-HVC-STRE-V09-230101"/>
    <m/>
    <n v="103.61717935878508"/>
    <n v="103.61717935878508"/>
    <n v="103.61717935878508"/>
    <n v="103.61717935878508"/>
    <n v="0.93"/>
    <n v="0.93"/>
    <n v="0.93"/>
    <n v="0.93"/>
    <n v="867.2757912330311"/>
    <n v="770.91181442936102"/>
    <n v="770.91181442936102"/>
    <n v="770.91181442936102"/>
    <n v="3180.0112345211141"/>
    <n v="0.93"/>
    <n v="0.93"/>
    <n v="0.93"/>
    <n v="0.93"/>
    <n v="0.93"/>
    <n v="0.93"/>
    <n v="0.93"/>
    <n v="0.93"/>
    <m/>
    <m/>
    <n v="103.61717935878508"/>
    <m/>
    <n v="867.2757912330311"/>
    <n v="0"/>
    <m/>
    <m/>
    <n v="210.59502881757265"/>
    <s v="Updated inputs for Commercial LPS Space Heating and Industrial/Process Low Pressure"/>
    <n v="770.91181442936102"/>
    <n v="1566.8270144027406"/>
    <n v="795.91519997337957"/>
    <m/>
    <m/>
    <n v="210.59502881757265"/>
    <m/>
    <n v="1566.8270144027406"/>
    <n v="795.91519997337957"/>
    <m/>
    <m/>
    <n v="210.59502881757265"/>
    <m/>
    <n v="1566.8270144027406"/>
    <n v="795.91519997337957"/>
    <n v="867.2757912330311"/>
    <n v="1566.8270144027406"/>
    <n v="1566.8270144027406"/>
    <n v="1566.8270144027406"/>
    <n v="5567.756834441253"/>
    <s v="NA"/>
    <m/>
  </r>
  <r>
    <s v="NSG"/>
    <x v="5"/>
    <s v="C&amp;I"/>
    <s v="Rebates"/>
    <x v="41"/>
    <s v="Industrial/Process Audit - 125 ≤ psig &lt; 175"/>
    <s v="CI/SMB"/>
    <x v="3"/>
    <s v="4.4.16"/>
    <s v="each"/>
    <n v="8.5"/>
    <n v="8"/>
    <n v="7"/>
    <n v="6.8000000000000007"/>
    <s v="CI-HVC-STRE-V09-230101"/>
    <m/>
    <n v="7334.7468920022948"/>
    <n v="7334.7468920022948"/>
    <n v="7334.7468920022948"/>
    <n v="7334.7468920022948"/>
    <n v="0.91"/>
    <n v="0.91"/>
    <n v="0.91"/>
    <n v="0.91"/>
    <n v="56734.26720963775"/>
    <n v="53396.957373776706"/>
    <n v="46722.337702054618"/>
    <n v="45387.413767710212"/>
    <n v="202240.9760531793"/>
    <n v="0.91"/>
    <n v="0.91"/>
    <n v="0.91"/>
    <n v="0.91"/>
    <n v="0.91"/>
    <n v="0.91"/>
    <n v="0.91"/>
    <n v="0.91"/>
    <m/>
    <m/>
    <n v="7334.7468920022948"/>
    <m/>
    <n v="56734.26720963775"/>
    <n v="0"/>
    <m/>
    <m/>
    <n v="7334.7468920022948"/>
    <s v="Updated inputs for Commercial LPS Space Heating and Industrial/Process Low Pressure"/>
    <n v="53396.957373776706"/>
    <n v="53396.957373776706"/>
    <n v="0"/>
    <m/>
    <m/>
    <n v="7334.7468920022948"/>
    <m/>
    <n v="46722.337702054618"/>
    <n v="0"/>
    <m/>
    <m/>
    <n v="7334.7468920022948"/>
    <m/>
    <n v="45387.413767710212"/>
    <n v="0"/>
    <n v="56734.26720963775"/>
    <n v="53396.957373776706"/>
    <n v="46722.337702054618"/>
    <n v="45387.413767710212"/>
    <n v="202240.9760531793"/>
    <s v="NA"/>
    <m/>
  </r>
  <r>
    <s v="NSG"/>
    <x v="3"/>
    <s v="Multi-Family"/>
    <s v="Partner Trade Ally Rebate"/>
    <x v="41"/>
    <s v="HVAC Repair/Rep - No Audit"/>
    <s v="MF"/>
    <x v="3"/>
    <s v="4.4.16"/>
    <s v="each"/>
    <n v="8"/>
    <n v="8"/>
    <n v="8"/>
    <n v="8"/>
    <s v="CI-HVC-STRE-V09-230101"/>
    <m/>
    <n v="53.198900899174738"/>
    <n v="53.198900899174738"/>
    <n v="53.198900899174738"/>
    <n v="53.198900899174738"/>
    <n v="0.87"/>
    <n v="0.87"/>
    <n v="0.87"/>
    <n v="0.87"/>
    <n v="370.26435025825617"/>
    <n v="370.26435025825617"/>
    <n v="370.26435025825617"/>
    <n v="370.26435025825617"/>
    <n v="1481.0574010330247"/>
    <n v="0.87"/>
    <n v="0.87"/>
    <n v="0.87"/>
    <n v="0.87"/>
    <n v="0.87"/>
    <n v="0.87"/>
    <n v="0.87"/>
    <n v="0.87"/>
    <m/>
    <m/>
    <n v="53.198900899174738"/>
    <m/>
    <n v="370.26435025825617"/>
    <n v="0"/>
    <m/>
    <m/>
    <n v="53.198900899174738"/>
    <s v="Updated inputs for Commercial LPS Space Heating and Industrial/Process Low Pressure"/>
    <n v="370.26435025825617"/>
    <n v="370.26435025825617"/>
    <n v="0"/>
    <m/>
    <m/>
    <n v="53.198900899174738"/>
    <m/>
    <n v="370.26435025825617"/>
    <n v="0"/>
    <m/>
    <m/>
    <n v="53.198900899174738"/>
    <m/>
    <n v="370.26435025825617"/>
    <n v="0"/>
    <n v="370.26435025825617"/>
    <n v="370.26435025825617"/>
    <n v="370.26435025825617"/>
    <n v="370.26435025825617"/>
    <n v="1481.0574010330247"/>
    <s v="NA"/>
    <m/>
  </r>
  <r>
    <s v="NSG"/>
    <x v="3"/>
    <s v="Multi-Family"/>
    <s v="Standard Rebate"/>
    <x v="50"/>
    <n v="0"/>
    <s v="MF/CI"/>
    <x v="3"/>
    <s v="4.2.16"/>
    <s v="HP"/>
    <n v="7.75"/>
    <n v="7.75"/>
    <n v="7.75"/>
    <n v="7.75"/>
    <s v="CI-FSE-VENT-V05-230101"/>
    <m/>
    <n v="774"/>
    <n v="774"/>
    <n v="774"/>
    <n v="774"/>
    <n v="0.87"/>
    <n v="0.87"/>
    <n v="0.87"/>
    <n v="0.87"/>
    <n v="5218.6949999999997"/>
    <n v="5218.6949999999997"/>
    <n v="5218.6949999999997"/>
    <n v="5218.6949999999997"/>
    <n v="20874.78"/>
    <n v="0.87"/>
    <n v="0.87"/>
    <n v="0.87"/>
    <n v="0.87"/>
    <n v="0.87"/>
    <n v="0.87"/>
    <n v="0.87"/>
    <n v="0.87"/>
    <m/>
    <m/>
    <n v="774"/>
    <m/>
    <n v="5218.6949999999997"/>
    <n v="0"/>
    <m/>
    <m/>
    <n v="774"/>
    <s v="n/a"/>
    <n v="5218.6949999999997"/>
    <n v="5218.6949999999997"/>
    <n v="0"/>
    <m/>
    <m/>
    <n v="774"/>
    <m/>
    <n v="5218.6949999999997"/>
    <n v="0"/>
    <m/>
    <m/>
    <n v="774"/>
    <m/>
    <n v="5218.6949999999997"/>
    <n v="0"/>
    <n v="5218.6949999999997"/>
    <n v="5218.6949999999997"/>
    <n v="5218.6949999999997"/>
    <n v="5218.6949999999997"/>
    <n v="20874.78"/>
    <s v="NA"/>
    <m/>
  </r>
  <r>
    <s v="NSG"/>
    <x v="5"/>
    <s v="Small/Mid-Size Business"/>
    <s v="Partner Trade Ally Rebate"/>
    <x v="50"/>
    <n v="0"/>
    <s v="MF/CI"/>
    <x v="3"/>
    <s v="4.2.16"/>
    <s v="HP"/>
    <n v="7.75"/>
    <n v="7.75"/>
    <n v="7.75"/>
    <n v="7.75"/>
    <s v="CI-FSE-VENT-V05-230101"/>
    <m/>
    <n v="774"/>
    <n v="774"/>
    <n v="774"/>
    <n v="774"/>
    <n v="0.93"/>
    <n v="0.93"/>
    <n v="0.93"/>
    <n v="0.93"/>
    <n v="5578.6050000000005"/>
    <n v="5578.6050000000005"/>
    <n v="5578.6050000000005"/>
    <n v="5578.6050000000005"/>
    <n v="22314.420000000002"/>
    <n v="0.93"/>
    <n v="0.93"/>
    <n v="0.93"/>
    <n v="0.93"/>
    <n v="0.93"/>
    <n v="0.93"/>
    <n v="0.93"/>
    <n v="0.93"/>
    <m/>
    <m/>
    <n v="774"/>
    <m/>
    <n v="5578.6050000000005"/>
    <n v="0"/>
    <m/>
    <m/>
    <n v="774"/>
    <s v="n/a"/>
    <n v="5578.6050000000005"/>
    <n v="5578.6050000000005"/>
    <n v="0"/>
    <m/>
    <m/>
    <n v="774"/>
    <m/>
    <n v="5578.6050000000005"/>
    <n v="0"/>
    <m/>
    <m/>
    <n v="774"/>
    <m/>
    <n v="5578.6050000000005"/>
    <n v="0"/>
    <n v="5578.6050000000005"/>
    <n v="5578.6050000000005"/>
    <n v="5578.6050000000005"/>
    <n v="5578.6050000000005"/>
    <n v="22314.420000000002"/>
    <s v="NA"/>
    <m/>
  </r>
  <r>
    <s v="NSG"/>
    <x v="5"/>
    <s v="C&amp;I"/>
    <s v="Rebates"/>
    <x v="41"/>
    <s v="Industrial/Process Audit - 15 &lt; psig &lt; 30"/>
    <s v="CI/SMB"/>
    <x v="3"/>
    <s v="4.4.16"/>
    <s v="each"/>
    <n v="6.8"/>
    <n v="6.4"/>
    <n v="5.6"/>
    <n v="5.44"/>
    <s v="CI-HVC-STRE-V09-230101"/>
    <m/>
    <n v="758.17043213559668"/>
    <n v="758.17043213559668"/>
    <n v="758.17043213559668"/>
    <n v="758.17043213559668"/>
    <n v="0.91"/>
    <n v="0.91"/>
    <n v="0.91"/>
    <n v="0.91"/>
    <n v="4691.5586340550726"/>
    <n v="4415.5845967577152"/>
    <n v="3863.6365221630008"/>
    <n v="3753.2469072440585"/>
    <n v="16724.026660219846"/>
    <n v="0.91"/>
    <n v="0.91"/>
    <n v="0.91"/>
    <n v="0.91"/>
    <n v="0.91"/>
    <n v="0.91"/>
    <n v="0.91"/>
    <n v="0.91"/>
    <m/>
    <m/>
    <n v="758.17043213559668"/>
    <m/>
    <n v="4691.5586340550726"/>
    <n v="0"/>
    <m/>
    <m/>
    <n v="758.17043213559668"/>
    <s v="Updated inputs for Commercial LPS Space Heating and Industrial/Process Low Pressure"/>
    <n v="4415.5845967577152"/>
    <n v="4415.5845967577152"/>
    <n v="0"/>
    <m/>
    <m/>
    <n v="758.17043213559668"/>
    <m/>
    <n v="3863.6365221630008"/>
    <n v="0"/>
    <m/>
    <m/>
    <n v="758.17043213559668"/>
    <m/>
    <n v="3753.2469072440585"/>
    <n v="0"/>
    <n v="4691.5586340550726"/>
    <n v="4415.5845967577152"/>
    <n v="3863.6365221630008"/>
    <n v="3753.2469072440585"/>
    <n v="16724.026660219846"/>
    <s v="NA"/>
    <m/>
  </r>
  <r>
    <s v="NSG"/>
    <x v="5"/>
    <s v="C&amp;I"/>
    <s v="Rebates"/>
    <x v="50"/>
    <n v="0"/>
    <s v="MF/CI"/>
    <x v="3"/>
    <s v="4.2.16"/>
    <s v="HP"/>
    <n v="6.5874999999999995"/>
    <n v="6.2"/>
    <n v="5.4249999999999998"/>
    <n v="5.2700000000000005"/>
    <s v="CI-FSE-VENT-V05-230101"/>
    <m/>
    <n v="774"/>
    <n v="774"/>
    <n v="774"/>
    <n v="774"/>
    <n v="0.91"/>
    <n v="0.91"/>
    <n v="0.91"/>
    <n v="0.91"/>
    <n v="4639.8397500000001"/>
    <n v="4366.9080000000004"/>
    <n v="3821.0445"/>
    <n v="3711.8718000000003"/>
    <n v="16539.664049999999"/>
    <n v="0.91"/>
    <n v="0.91"/>
    <n v="0.91"/>
    <n v="0.91"/>
    <n v="0.91"/>
    <n v="0.91"/>
    <n v="0.91"/>
    <n v="0.91"/>
    <m/>
    <m/>
    <n v="774"/>
    <m/>
    <n v="4639.8397500000001"/>
    <n v="0"/>
    <m/>
    <m/>
    <n v="774"/>
    <s v="n/a"/>
    <n v="4366.9080000000004"/>
    <n v="4366.9080000000004"/>
    <n v="0"/>
    <m/>
    <m/>
    <n v="774"/>
    <m/>
    <n v="3821.0445"/>
    <n v="0"/>
    <m/>
    <m/>
    <n v="774"/>
    <m/>
    <n v="3711.8718000000003"/>
    <n v="0"/>
    <n v="4639.8397500000001"/>
    <n v="4366.9080000000004"/>
    <n v="3821.0445"/>
    <n v="3711.8718000000003"/>
    <n v="16539.664049999999"/>
    <s v="NA"/>
    <m/>
  </r>
  <r>
    <s v="NSG"/>
    <x v="3"/>
    <s v="Home Energy Rebate"/>
    <s v="Standard Rebate"/>
    <x v="6"/>
    <s v="Furnace (P)"/>
    <s v="SF"/>
    <x v="3"/>
    <s v="5.3.11"/>
    <s v="each"/>
    <n v="6"/>
    <n v="6"/>
    <n v="6"/>
    <n v="6"/>
    <s v="RS-HVC-ADTH-V08-230101"/>
    <m/>
    <n v="34.893600000000006"/>
    <n v="34.893600000000006"/>
    <n v="34.893600000000006"/>
    <n v="34.893600000000006"/>
    <n v="0.74"/>
    <n v="0.74"/>
    <n v="0.74"/>
    <n v="0.74"/>
    <n v="154.92758400000002"/>
    <n v="154.92758400000002"/>
    <n v="154.92758400000002"/>
    <n v="154.92758400000002"/>
    <n v="619.7103360000001"/>
    <n v="0.74"/>
    <n v="0.74"/>
    <n v="0.74"/>
    <n v="0.74"/>
    <n v="0.74"/>
    <n v="0.74"/>
    <n v="0.74"/>
    <n v="0.74"/>
    <m/>
    <m/>
    <n v="34.893600000000006"/>
    <m/>
    <n v="154.92758400000002"/>
    <n v="0"/>
    <m/>
    <m/>
    <n v="34.893600000000006"/>
    <s v="n/a"/>
    <n v="154.92758400000002"/>
    <n v="154.92758400000002"/>
    <n v="0"/>
    <m/>
    <m/>
    <n v="34.893600000000006"/>
    <m/>
    <n v="154.92758400000002"/>
    <n v="0"/>
    <m/>
    <m/>
    <n v="34.893600000000006"/>
    <m/>
    <n v="154.92758400000002"/>
    <n v="0"/>
    <n v="154.92758400000002"/>
    <n v="154.92758400000002"/>
    <n v="154.92758400000002"/>
    <n v="154.92758400000002"/>
    <n v="619.7103360000001"/>
    <s v="NA"/>
    <m/>
  </r>
  <r>
    <s v="NSG"/>
    <x v="4"/>
    <s v="Multi-Family"/>
    <s v="Whole Building - Prescriptive"/>
    <x v="18"/>
    <n v="0"/>
    <s v="IE MF"/>
    <x v="3"/>
    <s v="5.6.1"/>
    <s v="project"/>
    <n v="6"/>
    <n v="6"/>
    <n v="6"/>
    <n v="6"/>
    <s v="RS-SHL-AIRS-V12-230101"/>
    <m/>
    <n v="34.545463507109005"/>
    <n v="34.545463507109005"/>
    <n v="34.545463507109005"/>
    <n v="34.545463507109005"/>
    <n v="1"/>
    <n v="1"/>
    <n v="1"/>
    <n v="1"/>
    <n v="207.27278104265403"/>
    <n v="207.27278104265403"/>
    <n v="207.27278104265403"/>
    <n v="207.27278104265403"/>
    <n v="829.09112417061613"/>
    <n v="1"/>
    <n v="1"/>
    <n v="1"/>
    <n v="1"/>
    <n v="1"/>
    <n v="1"/>
    <n v="1"/>
    <n v="1"/>
    <m/>
    <m/>
    <n v="34.545463507109005"/>
    <m/>
    <n v="207.27278104265403"/>
    <n v="0"/>
    <m/>
    <m/>
    <n v="34.545463507109005"/>
    <s v="Updated ISR"/>
    <n v="207.27278104265403"/>
    <n v="207.27278104265403"/>
    <n v="0"/>
    <m/>
    <m/>
    <n v="34.545463507109005"/>
    <m/>
    <n v="207.27278104265403"/>
    <n v="0"/>
    <m/>
    <m/>
    <n v="34.545463507109005"/>
    <m/>
    <n v="207.27278104265403"/>
    <n v="0"/>
    <n v="207.27278104265403"/>
    <n v="207.27278104265403"/>
    <n v="207.27278104265403"/>
    <n v="207.27278104265403"/>
    <n v="829.09112417061613"/>
    <s v="NA"/>
    <m/>
  </r>
  <r>
    <s v="NSG"/>
    <x v="4"/>
    <s v="Multi-Family"/>
    <s v="MF IHWAP"/>
    <x v="37"/>
    <s v="&gt;95% AFUE"/>
    <s v="MF"/>
    <x v="3"/>
    <s v="4.4.11"/>
    <s v="each"/>
    <n v="6"/>
    <n v="8"/>
    <n v="14"/>
    <n v="15"/>
    <s v="CI-HVC-FRNC-V12-230101"/>
    <m/>
    <n v="236.69249999999985"/>
    <n v="236.69249999999985"/>
    <n v="236.69249999999985"/>
    <n v="236.69249999999985"/>
    <n v="1"/>
    <n v="1"/>
    <n v="1"/>
    <n v="1"/>
    <n v="1420.1549999999991"/>
    <n v="1893.5399999999988"/>
    <n v="3313.6949999999979"/>
    <n v="3550.387499999998"/>
    <n v="10177.777499999993"/>
    <n v="1"/>
    <n v="1"/>
    <n v="1"/>
    <n v="1"/>
    <n v="1"/>
    <n v="1"/>
    <n v="1"/>
    <n v="1"/>
    <m/>
    <m/>
    <n v="236.69249999999985"/>
    <m/>
    <n v="1420.1549999999991"/>
    <n v="0"/>
    <m/>
    <m/>
    <n v="236.69249999999985"/>
    <s v="n/a"/>
    <n v="1893.5399999999988"/>
    <n v="1893.5399999999988"/>
    <n v="0"/>
    <m/>
    <m/>
    <n v="236.69249999999985"/>
    <m/>
    <n v="3313.6949999999979"/>
    <n v="0"/>
    <m/>
    <m/>
    <n v="236.69249999999985"/>
    <m/>
    <n v="3550.387499999998"/>
    <n v="0"/>
    <n v="1420.1549999999991"/>
    <n v="1893.5399999999988"/>
    <n v="3313.6949999999979"/>
    <n v="3550.387499999998"/>
    <n v="10177.777499999993"/>
    <s v="NA"/>
    <m/>
  </r>
  <r>
    <s v="NSG"/>
    <x v="3"/>
    <s v="Multi-Family"/>
    <s v="Partner Trade Ally Rebate"/>
    <x v="6"/>
    <s v="Boiler (P)"/>
    <s v="MF"/>
    <x v="3"/>
    <s v="5.3.11"/>
    <s v="each"/>
    <n v="5"/>
    <n v="5"/>
    <n v="5"/>
    <n v="5"/>
    <s v="RS-HVC-ADTH-V08-230101"/>
    <m/>
    <n v="33.513480000000001"/>
    <n v="33.513480000000001"/>
    <n v="33.513480000000001"/>
    <n v="33.513480000000001"/>
    <n v="0.87"/>
    <n v="0.87"/>
    <n v="0.87"/>
    <n v="0.87"/>
    <n v="145.78363800000002"/>
    <n v="145.78363800000002"/>
    <n v="145.78363800000002"/>
    <n v="145.78363800000002"/>
    <n v="583.1345520000001"/>
    <n v="0.87"/>
    <n v="0.87"/>
    <n v="0.87"/>
    <n v="0.87"/>
    <n v="0.87"/>
    <n v="0.87"/>
    <n v="0.87"/>
    <n v="0.87"/>
    <m/>
    <m/>
    <n v="33.513480000000001"/>
    <m/>
    <n v="145.78363800000002"/>
    <n v="0"/>
    <m/>
    <m/>
    <n v="33.513480000000001"/>
    <s v="n/a"/>
    <n v="145.78363800000002"/>
    <n v="145.78363800000002"/>
    <n v="0"/>
    <m/>
    <m/>
    <n v="33.513480000000001"/>
    <m/>
    <n v="145.78363800000002"/>
    <n v="0"/>
    <m/>
    <m/>
    <n v="33.513480000000001"/>
    <m/>
    <n v="145.78363800000002"/>
    <n v="0"/>
    <n v="145.78363800000002"/>
    <n v="145.78363800000002"/>
    <n v="145.78363800000002"/>
    <n v="145.78363800000002"/>
    <n v="583.1345520000001"/>
    <s v="NA"/>
    <m/>
  </r>
  <r>
    <s v="NSG"/>
    <x v="4"/>
    <s v="Multi-Family"/>
    <s v="Whole Building - Prescriptive"/>
    <x v="41"/>
    <s v="HVAC Repair/Rep - No Audit"/>
    <s v="MF"/>
    <x v="3"/>
    <s v="4.4.16"/>
    <s v="each"/>
    <n v="5"/>
    <n v="5"/>
    <n v="5"/>
    <n v="5"/>
    <s v="CI-HVC-STRE-V09-230101"/>
    <m/>
    <n v="53.198900899174738"/>
    <n v="53.198900899174738"/>
    <n v="53.198900899174738"/>
    <n v="53.198900899174738"/>
    <n v="1"/>
    <n v="1"/>
    <n v="1"/>
    <n v="1"/>
    <n v="265.99450449587368"/>
    <n v="265.99450449587368"/>
    <n v="265.99450449587368"/>
    <n v="265.99450449587368"/>
    <n v="1063.9780179834947"/>
    <n v="1"/>
    <n v="1"/>
    <n v="1"/>
    <n v="1"/>
    <n v="1"/>
    <n v="1"/>
    <n v="1"/>
    <n v="1"/>
    <m/>
    <m/>
    <n v="53.198900899174738"/>
    <m/>
    <n v="265.99450449587368"/>
    <n v="0"/>
    <m/>
    <m/>
    <n v="53.198900899174738"/>
    <s v="Updated inputs for Commercial LPS Space Heating and Industrial/Process Low Pressure"/>
    <n v="265.99450449587368"/>
    <n v="265.99450449587368"/>
    <n v="0"/>
    <m/>
    <m/>
    <n v="53.198900899174738"/>
    <m/>
    <n v="265.99450449587368"/>
    <n v="0"/>
    <m/>
    <m/>
    <n v="53.198900899174738"/>
    <m/>
    <n v="265.99450449587368"/>
    <n v="0"/>
    <n v="265.99450449587368"/>
    <n v="265.99450449587368"/>
    <n v="265.99450449587368"/>
    <n v="265.99450449587368"/>
    <n v="1063.9780179834947"/>
    <s v="NA"/>
    <m/>
  </r>
  <r>
    <s v="NSG"/>
    <x v="5"/>
    <s v="Public Sector"/>
    <s v="Rebates"/>
    <x v="41"/>
    <s v="HVAC Repair/Rep - Audit"/>
    <s v="CI"/>
    <x v="3"/>
    <s v="4.4.16"/>
    <s v="each"/>
    <n v="5"/>
    <n v="5"/>
    <n v="5"/>
    <n v="5"/>
    <s v="CI-HVC-STRE-V09-230101"/>
    <m/>
    <n v="383.76733095846322"/>
    <n v="383.76733095846322"/>
    <n v="383.76733095846322"/>
    <n v="383.76733095846322"/>
    <n v="0.92"/>
    <n v="0.92"/>
    <n v="0.92"/>
    <n v="0.92"/>
    <n v="1765.3297224089308"/>
    <n v="1765.3297224089308"/>
    <n v="1765.3297224089308"/>
    <n v="1765.3297224089308"/>
    <n v="7061.3188896357233"/>
    <n v="0.92"/>
    <n v="0.92"/>
    <n v="0.92"/>
    <n v="0.92"/>
    <n v="0.92"/>
    <n v="0.92"/>
    <n v="0.92"/>
    <n v="0.92"/>
    <m/>
    <m/>
    <n v="383.76733095846322"/>
    <m/>
    <n v="1765.3297224089308"/>
    <n v="0"/>
    <m/>
    <m/>
    <n v="779.98158821323193"/>
    <s v="Updated inputs for Commercial LPS Space Heating and Industrial/Process Low Pressure"/>
    <n v="1765.3297224089308"/>
    <n v="3587.9153057808671"/>
    <n v="1822.5855833719363"/>
    <m/>
    <m/>
    <n v="779.98158821323193"/>
    <m/>
    <n v="3587.9153057808671"/>
    <n v="1822.5855833719363"/>
    <m/>
    <m/>
    <n v="779.98158821323193"/>
    <m/>
    <n v="3587.9153057808671"/>
    <n v="1822.5855833719363"/>
    <n v="1765.3297224089308"/>
    <n v="3587.9153057808671"/>
    <n v="3587.9153057808671"/>
    <n v="3587.9153057808671"/>
    <n v="12529.075639751532"/>
    <s v="NA"/>
    <m/>
  </r>
  <r>
    <s v="NSG"/>
    <x v="5"/>
    <s v="Small/Mid-Size Business"/>
    <s v="Partner Trade Ally Rebate"/>
    <x v="41"/>
    <s v="Dry Cleaner/Industrial - No Audit"/>
    <s v="MF/CI/SMB"/>
    <x v="3"/>
    <s v="4.4.16"/>
    <s v="each"/>
    <n v="5"/>
    <n v="4"/>
    <n v="4"/>
    <n v="4"/>
    <s v="CI-HVC-STRE-V09-230101"/>
    <m/>
    <n v="174.96360308617389"/>
    <n v="174.96360308617389"/>
    <n v="174.96360308617389"/>
    <n v="174.96360308617389"/>
    <n v="0.93"/>
    <n v="0.93"/>
    <n v="0.93"/>
    <n v="0.93"/>
    <n v="813.58075435070862"/>
    <n v="650.86460348056687"/>
    <n v="650.86460348056687"/>
    <n v="650.86460348056687"/>
    <n v="2766.1745647924095"/>
    <n v="0.93"/>
    <n v="0.93"/>
    <n v="0.93"/>
    <n v="0.93"/>
    <n v="0.93"/>
    <n v="0.93"/>
    <n v="0.93"/>
    <n v="0.93"/>
    <m/>
    <m/>
    <n v="174.96360308617389"/>
    <m/>
    <n v="813.58075435070862"/>
    <n v="0"/>
    <m/>
    <m/>
    <n v="174.96360308617389"/>
    <s v="Updated inputs for Commercial LPS Space Heating and Industrial/Process Low Pressure"/>
    <n v="650.86460348056687"/>
    <n v="650.86460348056687"/>
    <n v="0"/>
    <m/>
    <m/>
    <n v="174.96360308617389"/>
    <m/>
    <n v="650.86460348056687"/>
    <n v="0"/>
    <m/>
    <m/>
    <n v="174.96360308617389"/>
    <m/>
    <n v="650.86460348056687"/>
    <n v="0"/>
    <n v="813.58075435070862"/>
    <n v="650.86460348056687"/>
    <n v="650.86460348056687"/>
    <n v="650.86460348056687"/>
    <n v="2766.1745647924095"/>
    <s v="NA"/>
    <m/>
  </r>
  <r>
    <s v="NSG"/>
    <x v="4"/>
    <s v="Home Energy Jumpstart"/>
    <s v="Core"/>
    <x v="44"/>
    <s v="Furnace (DI)"/>
    <s v="SF"/>
    <x v="3"/>
    <s v="5.3.11"/>
    <s v="each"/>
    <n v="4"/>
    <n v="11"/>
    <n v="22"/>
    <n v="27"/>
    <s v="RS-HVC-ADTH-V08-230101"/>
    <m/>
    <n v="62.31"/>
    <n v="62.31"/>
    <n v="62.31"/>
    <n v="62.31"/>
    <n v="1"/>
    <n v="1"/>
    <n v="1"/>
    <n v="1"/>
    <n v="249.24"/>
    <n v="685.41000000000008"/>
    <n v="1370.8200000000002"/>
    <n v="1682.3700000000001"/>
    <n v="3987.84"/>
    <n v="1"/>
    <n v="1"/>
    <n v="1"/>
    <n v="1"/>
    <n v="1"/>
    <n v="1"/>
    <n v="1"/>
    <n v="1"/>
    <m/>
    <m/>
    <n v="62.31"/>
    <m/>
    <n v="249.24"/>
    <n v="0"/>
    <m/>
    <m/>
    <n v="62.31"/>
    <s v="n/a"/>
    <n v="685.41000000000008"/>
    <n v="685.41000000000008"/>
    <n v="0"/>
    <m/>
    <m/>
    <n v="62.31"/>
    <m/>
    <n v="1370.8200000000002"/>
    <n v="0"/>
    <m/>
    <m/>
    <n v="62.31"/>
    <m/>
    <n v="1682.3700000000001"/>
    <n v="0"/>
    <n v="249.24"/>
    <n v="685.41000000000008"/>
    <n v="1370.8200000000002"/>
    <n v="1682.3700000000001"/>
    <n v="3987.84"/>
    <s v="NA"/>
    <m/>
  </r>
  <r>
    <s v="NSG"/>
    <x v="3"/>
    <s v="Home Energy Rebate"/>
    <s v="Standard Rebate"/>
    <x v="35"/>
    <s v="≥82% AFUE, &lt;300MBh"/>
    <s v="SF"/>
    <x v="3"/>
    <s v="5.3.6"/>
    <s v="each"/>
    <n v="4"/>
    <n v="4"/>
    <n v="4"/>
    <n v="4"/>
    <s v="RS-HVC-GHEB-V10-230101"/>
    <m/>
    <n v="7.1216260162601692"/>
    <n v="7.1216260162601692"/>
    <n v="7.1216260162601692"/>
    <n v="7.1216260162601692"/>
    <n v="0.74"/>
    <n v="0.74"/>
    <n v="0.74"/>
    <n v="0.74"/>
    <n v="21.080013008130102"/>
    <n v="21.080013008130102"/>
    <n v="21.080013008130102"/>
    <n v="21.080013008130102"/>
    <n v="84.320052032520408"/>
    <n v="0.74"/>
    <n v="0.74"/>
    <n v="0.74"/>
    <n v="0.74"/>
    <n v="0.74"/>
    <n v="0.74"/>
    <n v="0.74"/>
    <n v="0.74"/>
    <m/>
    <m/>
    <n v="7.1216260162601692"/>
    <m/>
    <n v="21.080013008130102"/>
    <n v="0"/>
    <m/>
    <m/>
    <n v="7.1216260162601692"/>
    <s v="n/a"/>
    <n v="21.080013008130102"/>
    <n v="21.080013008130102"/>
    <n v="0"/>
    <m/>
    <m/>
    <n v="7.1216260162601692"/>
    <m/>
    <n v="21.080013008130102"/>
    <n v="0"/>
    <m/>
    <m/>
    <n v="7.1216260162601692"/>
    <m/>
    <n v="21.080013008130102"/>
    <n v="0"/>
    <n v="21.080013008130102"/>
    <n v="21.080013008130102"/>
    <n v="21.080013008130102"/>
    <n v="21.080013008130102"/>
    <n v="84.320052032520408"/>
    <s v="NA"/>
    <m/>
  </r>
  <r>
    <s v="NSG"/>
    <x v="3"/>
    <s v="Home Energy Rebate"/>
    <s v="Standard Rebate"/>
    <x v="6"/>
    <s v="Boiler (P)"/>
    <s v="SF"/>
    <x v="3"/>
    <s v="5.3.11"/>
    <s v="each"/>
    <n v="4"/>
    <n v="4"/>
    <n v="4"/>
    <n v="4"/>
    <s v="RS-HVC-ADTH-V08-230101"/>
    <m/>
    <n v="51.628640000000004"/>
    <n v="51.628640000000004"/>
    <n v="51.628640000000004"/>
    <n v="51.628640000000004"/>
    <n v="0.74"/>
    <n v="0.74"/>
    <n v="0.74"/>
    <n v="0.74"/>
    <n v="152.8207744"/>
    <n v="152.8207744"/>
    <n v="152.8207744"/>
    <n v="152.8207744"/>
    <n v="611.28309760000002"/>
    <n v="0.74"/>
    <n v="0.74"/>
    <n v="0.74"/>
    <n v="0.74"/>
    <n v="0.74"/>
    <n v="0.74"/>
    <n v="0.74"/>
    <n v="0.74"/>
    <m/>
    <m/>
    <n v="51.628640000000004"/>
    <m/>
    <n v="152.8207744"/>
    <n v="0"/>
    <m/>
    <m/>
    <n v="51.628640000000004"/>
    <s v="n/a"/>
    <n v="152.8207744"/>
    <n v="152.8207744"/>
    <n v="0"/>
    <m/>
    <m/>
    <n v="51.628640000000004"/>
    <m/>
    <n v="152.8207744"/>
    <n v="0"/>
    <m/>
    <m/>
    <n v="51.628640000000004"/>
    <m/>
    <n v="152.8207744"/>
    <n v="0"/>
    <n v="152.8207744"/>
    <n v="152.8207744"/>
    <n v="152.8207744"/>
    <n v="152.8207744"/>
    <n v="611.28309760000002"/>
    <s v="NA"/>
    <m/>
  </r>
  <r>
    <s v="NSG"/>
    <x v="5"/>
    <s v="Small/Mid-Size Business"/>
    <s v="Partner Trade Ally Rebate"/>
    <x v="37"/>
    <s v="&gt;95% AFUE"/>
    <s v="CI"/>
    <x v="3"/>
    <s v="4.4.11"/>
    <s v="each"/>
    <n v="4"/>
    <n v="3"/>
    <n v="3"/>
    <n v="3"/>
    <s v="CI-HVC-FRNC-V12-230101"/>
    <m/>
    <n v="247.08549999999985"/>
    <n v="247.08549999999985"/>
    <n v="247.08549999999985"/>
    <n v="247.08549999999985"/>
    <n v="0.93"/>
    <n v="0.93"/>
    <n v="0.93"/>
    <n v="0.93"/>
    <n v="919.15805999999952"/>
    <n v="689.36854499999959"/>
    <n v="689.36854499999959"/>
    <n v="689.36854499999959"/>
    <n v="2987.2636949999978"/>
    <n v="0.93"/>
    <n v="0.93"/>
    <n v="0.93"/>
    <n v="0.93"/>
    <n v="0.93"/>
    <n v="0.93"/>
    <n v="0.93"/>
    <n v="0.93"/>
    <m/>
    <m/>
    <n v="247.08549999999985"/>
    <m/>
    <n v="919.15805999999952"/>
    <n v="0"/>
    <m/>
    <m/>
    <n v="247.08549999999985"/>
    <s v="n/a"/>
    <n v="689.36854499999959"/>
    <n v="689.36854499999959"/>
    <n v="0"/>
    <m/>
    <m/>
    <n v="247.08549999999985"/>
    <m/>
    <n v="689.36854499999959"/>
    <n v="0"/>
    <m/>
    <m/>
    <n v="247.08549999999985"/>
    <m/>
    <n v="689.36854499999959"/>
    <n v="0"/>
    <n v="919.15805999999952"/>
    <n v="689.36854499999959"/>
    <n v="689.36854499999959"/>
    <n v="689.36854499999959"/>
    <n v="2987.2636949999978"/>
    <s v="NA"/>
    <m/>
  </r>
  <r>
    <s v="NSG"/>
    <x v="5"/>
    <s v="Commercial Food Service Program"/>
    <s v="Upstream Rebate"/>
    <x v="53"/>
    <n v="0"/>
    <s v="CI"/>
    <x v="3"/>
    <s v="4.2.18"/>
    <s v="each"/>
    <n v="3"/>
    <n v="4"/>
    <n v="5"/>
    <n v="7"/>
    <s v="CI-FSE-RKOV-VO2-180101"/>
    <m/>
    <n v="1930.5000000000007"/>
    <n v="1930.5000000000007"/>
    <n v="1930.5000000000007"/>
    <n v="1930.5000000000007"/>
    <n v="0.8"/>
    <n v="0.8"/>
    <n v="0.8"/>
    <n v="0.8"/>
    <n v="4633.2000000000016"/>
    <n v="6177.6000000000022"/>
    <n v="7722.0000000000036"/>
    <n v="10810.800000000005"/>
    <n v="29343.600000000013"/>
    <n v="0.8"/>
    <n v="0.8"/>
    <n v="0.8"/>
    <n v="0.8"/>
    <n v="0.8"/>
    <n v="0.8"/>
    <n v="0.8"/>
    <n v="0.8"/>
    <m/>
    <m/>
    <n v="1930.5000000000007"/>
    <m/>
    <n v="4633.2000000000016"/>
    <n v="0"/>
    <m/>
    <m/>
    <n v="1930.5000000000007"/>
    <s v="n/a"/>
    <n v="6177.6000000000022"/>
    <n v="6177.6000000000022"/>
    <n v="0"/>
    <m/>
    <m/>
    <n v="1930.5000000000007"/>
    <m/>
    <n v="7722.0000000000036"/>
    <n v="0"/>
    <m/>
    <m/>
    <n v="1930.5000000000007"/>
    <m/>
    <n v="10810.800000000005"/>
    <n v="0"/>
    <n v="4633.2000000000016"/>
    <n v="6177.6000000000022"/>
    <n v="7722.0000000000036"/>
    <n v="10810.800000000005"/>
    <n v="29343.600000000013"/>
    <s v="NA"/>
    <m/>
  </r>
  <r>
    <s v="NSG"/>
    <x v="5"/>
    <s v="Commercial Food Service Program"/>
    <s v="Upstream Rebate"/>
    <x v="54"/>
    <n v="0"/>
    <s v="MF/CI/SMB"/>
    <x v="3"/>
    <s v="4.2.5"/>
    <s v="each"/>
    <n v="3"/>
    <n v="4"/>
    <n v="5"/>
    <n v="7"/>
    <s v="CI-FSE-ESCV-V03-230101"/>
    <m/>
    <n v="352.04806521739141"/>
    <n v="352.04806521739141"/>
    <n v="352.04806521739141"/>
    <n v="352.04806521739141"/>
    <n v="0.8"/>
    <n v="0.8"/>
    <n v="0.8"/>
    <n v="0.8"/>
    <n v="844.91535652173934"/>
    <n v="1126.5538086956526"/>
    <n v="1408.1922608695659"/>
    <n v="1971.4691652173919"/>
    <n v="5351.1305913043498"/>
    <n v="0.8"/>
    <n v="0.8"/>
    <n v="0.8"/>
    <n v="0.8"/>
    <n v="0.8"/>
    <n v="0.8"/>
    <n v="0.8"/>
    <n v="0.8"/>
    <m/>
    <m/>
    <n v="352.04806521739141"/>
    <m/>
    <n v="844.91535652173934"/>
    <n v="0"/>
    <m/>
    <m/>
    <n v="183.29328435515546"/>
    <s v="Updated inputs and preheat assumptions."/>
    <n v="1126.5538086956526"/>
    <n v="586.53850993649746"/>
    <n v="-540.01529875915514"/>
    <m/>
    <m/>
    <n v="183.29328435515546"/>
    <m/>
    <n v="733.17313742062197"/>
    <n v="-675.0191234489439"/>
    <m/>
    <m/>
    <n v="183.29328435515546"/>
    <m/>
    <n v="1026.4423923888705"/>
    <n v="-945.02677282852142"/>
    <n v="844.91535652173934"/>
    <n v="586.53850993649746"/>
    <n v="733.17313742062197"/>
    <n v="1026.4423923888705"/>
    <n v="3191.0693962677296"/>
    <s v="NA"/>
    <m/>
  </r>
  <r>
    <s v="NSG"/>
    <x v="4"/>
    <s v="Home Energy Jumpstart"/>
    <s v="Core"/>
    <x v="44"/>
    <s v="Boiler (DI)"/>
    <s v="SF"/>
    <x v="3"/>
    <s v="5.3.11"/>
    <s v="each"/>
    <n v="3"/>
    <n v="7"/>
    <n v="15"/>
    <n v="18"/>
    <s v="RS-HVC-ADTH-V08-230101"/>
    <m/>
    <n v="92.194000000000003"/>
    <n v="92.194000000000003"/>
    <n v="92.194000000000003"/>
    <n v="92.194000000000003"/>
    <n v="1"/>
    <n v="1"/>
    <n v="1"/>
    <n v="1"/>
    <n v="276.58199999999999"/>
    <n v="645.35800000000006"/>
    <n v="1382.91"/>
    <n v="1659.492"/>
    <n v="3964.3420000000006"/>
    <n v="1"/>
    <n v="1"/>
    <n v="1"/>
    <n v="1"/>
    <n v="1"/>
    <n v="1"/>
    <n v="1"/>
    <n v="1"/>
    <m/>
    <m/>
    <n v="92.194000000000003"/>
    <m/>
    <n v="276.58199999999999"/>
    <n v="0"/>
    <m/>
    <m/>
    <n v="92.194000000000003"/>
    <s v="n/a"/>
    <n v="645.35800000000006"/>
    <n v="645.35800000000006"/>
    <n v="0"/>
    <m/>
    <m/>
    <n v="92.194000000000003"/>
    <m/>
    <n v="1382.91"/>
    <n v="0"/>
    <m/>
    <m/>
    <n v="92.194000000000003"/>
    <m/>
    <n v="1659.492"/>
    <n v="0"/>
    <n v="276.58199999999999"/>
    <n v="645.35800000000006"/>
    <n v="1382.91"/>
    <n v="1659.492"/>
    <n v="3964.3420000000006"/>
    <s v="NA"/>
    <m/>
  </r>
  <r>
    <s v="NSG"/>
    <x v="3"/>
    <s v="Multi-Family"/>
    <s v="Standard Rebate"/>
    <x v="41"/>
    <s v="HVAC Repair/Rep - Audit"/>
    <s v="MF"/>
    <x v="3"/>
    <s v="4.4.16"/>
    <s v="each"/>
    <n v="3"/>
    <n v="3"/>
    <n v="3"/>
    <n v="3"/>
    <s v="CI-HVC-STRE-V09-230101"/>
    <m/>
    <n v="197.03296629323975"/>
    <n v="197.03296629323975"/>
    <n v="197.03296629323975"/>
    <n v="197.03296629323975"/>
    <n v="0.87"/>
    <n v="0.87"/>
    <n v="0.87"/>
    <n v="0.87"/>
    <n v="514.25604202535578"/>
    <n v="514.25604202535578"/>
    <n v="514.25604202535578"/>
    <n v="514.25604202535578"/>
    <n v="2057.0241681014231"/>
    <n v="0.87"/>
    <n v="0.87"/>
    <n v="0.87"/>
    <n v="0.87"/>
    <n v="0.87"/>
    <n v="0.87"/>
    <n v="0.87"/>
    <n v="0.87"/>
    <m/>
    <m/>
    <n v="197.03296629323975"/>
    <m/>
    <n v="514.25604202535578"/>
    <n v="0"/>
    <m/>
    <m/>
    <n v="197.03296629323975"/>
    <s v="Updated inputs for Commercial LPS Space Heating and Industrial/Process Low Pressure"/>
    <n v="514.25604202535578"/>
    <n v="514.25604202535578"/>
    <n v="0"/>
    <m/>
    <m/>
    <n v="197.03296629323975"/>
    <m/>
    <n v="514.25604202535578"/>
    <n v="0"/>
    <m/>
    <m/>
    <n v="197.03296629323975"/>
    <m/>
    <n v="514.25604202535578"/>
    <n v="0"/>
    <n v="514.25604202535578"/>
    <n v="514.25604202535578"/>
    <n v="514.25604202535578"/>
    <n v="514.25604202535578"/>
    <n v="2057.0241681014231"/>
    <s v="NA"/>
    <m/>
  </r>
  <r>
    <s v="NSG"/>
    <x v="3"/>
    <s v="Multi-Family"/>
    <s v="Partner Trade Ally Rebate"/>
    <x v="6"/>
    <s v="Furnace (P)"/>
    <s v="MF"/>
    <x v="3"/>
    <s v="5.3.11"/>
    <s v="each"/>
    <n v="3"/>
    <n v="3"/>
    <n v="3"/>
    <n v="3"/>
    <s v="RS-HVC-ADTH-V08-230101"/>
    <m/>
    <n v="22.680840000000003"/>
    <n v="22.680840000000003"/>
    <n v="22.680840000000003"/>
    <n v="22.680840000000003"/>
    <n v="0.87"/>
    <n v="0.87"/>
    <n v="0.87"/>
    <n v="0.87"/>
    <n v="59.196992400000006"/>
    <n v="59.196992400000006"/>
    <n v="59.196992400000006"/>
    <n v="59.196992400000006"/>
    <n v="236.78796960000003"/>
    <n v="0.87"/>
    <n v="0.87"/>
    <n v="0.87"/>
    <n v="0.87"/>
    <n v="0.87"/>
    <n v="0.87"/>
    <n v="0.87"/>
    <n v="0.87"/>
    <m/>
    <m/>
    <n v="22.680840000000003"/>
    <m/>
    <n v="59.196992400000006"/>
    <n v="0"/>
    <m/>
    <m/>
    <n v="22.680840000000003"/>
    <s v="n/a"/>
    <n v="59.196992400000006"/>
    <n v="59.196992400000006"/>
    <n v="0"/>
    <m/>
    <m/>
    <n v="22.680840000000003"/>
    <m/>
    <n v="59.196992400000006"/>
    <n v="0"/>
    <m/>
    <m/>
    <n v="22.680840000000003"/>
    <m/>
    <n v="59.196992400000006"/>
    <n v="0"/>
    <n v="59.196992400000006"/>
    <n v="59.196992400000006"/>
    <n v="59.196992400000006"/>
    <n v="59.196992400000006"/>
    <n v="236.78796960000003"/>
    <s v="NA"/>
    <m/>
  </r>
  <r>
    <s v="NSG"/>
    <x v="3"/>
    <s v="Multi-Family"/>
    <s v="Partner Trade Ally Rebate"/>
    <x v="41"/>
    <s v="HVAC Repair/Rep - Audit"/>
    <s v="MF"/>
    <x v="3"/>
    <s v="4.4.16"/>
    <s v="each"/>
    <n v="3"/>
    <n v="3"/>
    <n v="3"/>
    <n v="3"/>
    <s v="CI-HVC-STRE-V09-230101"/>
    <m/>
    <n v="197.03296629323975"/>
    <n v="197.03296629323975"/>
    <n v="197.03296629323975"/>
    <n v="197.03296629323975"/>
    <n v="0.87"/>
    <n v="0.87"/>
    <n v="0.87"/>
    <n v="0.87"/>
    <n v="514.25604202535578"/>
    <n v="514.25604202535578"/>
    <n v="514.25604202535578"/>
    <n v="514.25604202535578"/>
    <n v="2057.0241681014231"/>
    <n v="0.87"/>
    <n v="0.87"/>
    <n v="0.87"/>
    <n v="0.87"/>
    <n v="0.87"/>
    <n v="0.87"/>
    <n v="0.87"/>
    <n v="0.87"/>
    <m/>
    <m/>
    <n v="197.03296629323975"/>
    <m/>
    <n v="514.25604202535578"/>
    <n v="0"/>
    <m/>
    <m/>
    <n v="197.03296629323975"/>
    <s v="Updated inputs for Commercial LPS Space Heating and Industrial/Process Low Pressure"/>
    <n v="514.25604202535578"/>
    <n v="514.25604202535578"/>
    <n v="0"/>
    <m/>
    <m/>
    <n v="197.03296629323975"/>
    <m/>
    <n v="514.25604202535578"/>
    <n v="0"/>
    <m/>
    <m/>
    <n v="197.03296629323975"/>
    <m/>
    <n v="514.25604202535578"/>
    <n v="0"/>
    <n v="514.25604202535578"/>
    <n v="514.25604202535578"/>
    <n v="514.25604202535578"/>
    <n v="514.25604202535578"/>
    <n v="2057.0241681014231"/>
    <s v="NA"/>
    <m/>
  </r>
  <r>
    <s v="NSG"/>
    <x v="4"/>
    <s v="Multi-Family"/>
    <s v="Whole Building - Prescriptive"/>
    <x v="19"/>
    <n v="0"/>
    <s v="MF"/>
    <x v="3"/>
    <s v="5.6.1"/>
    <s v="project"/>
    <n v="3"/>
    <n v="3"/>
    <n v="3"/>
    <n v="3"/>
    <s v="RS-SHL-AIRS-V12-230101"/>
    <m/>
    <n v="43.618009478672981"/>
    <n v="43.618009478672981"/>
    <n v="43.618009478672981"/>
    <n v="43.618009478672981"/>
    <n v="1"/>
    <n v="1"/>
    <n v="1"/>
    <n v="1"/>
    <n v="130.85402843601895"/>
    <n v="130.85402843601895"/>
    <n v="130.85402843601895"/>
    <n v="130.85402843601895"/>
    <n v="523.4161137440758"/>
    <n v="1"/>
    <n v="1"/>
    <n v="1"/>
    <n v="1"/>
    <n v="1"/>
    <n v="1"/>
    <n v="1"/>
    <n v="1"/>
    <m/>
    <m/>
    <n v="43.618009478672981"/>
    <m/>
    <n v="130.85402843601895"/>
    <n v="0"/>
    <m/>
    <m/>
    <n v="43.618009478672981"/>
    <s v="Updated ISR"/>
    <n v="130.85402843601895"/>
    <n v="130.85402843601895"/>
    <n v="0"/>
    <m/>
    <m/>
    <n v="43.618009478672981"/>
    <m/>
    <n v="130.85402843601895"/>
    <n v="0"/>
    <m/>
    <m/>
    <n v="43.618009478672981"/>
    <m/>
    <n v="130.85402843601895"/>
    <n v="0"/>
    <n v="130.85402843601895"/>
    <n v="130.85402843601895"/>
    <n v="130.85402843601895"/>
    <n v="130.85402843601895"/>
    <n v="523.4161137440758"/>
    <s v="NA"/>
    <m/>
  </r>
  <r>
    <s v="NSG"/>
    <x v="4"/>
    <s v="Multi-Family"/>
    <s v="Whole Building - Prescriptive"/>
    <x v="55"/>
    <n v="0"/>
    <s v="MF"/>
    <x v="3"/>
    <s v="4.4.36"/>
    <s v="living unit"/>
    <n v="3"/>
    <n v="3"/>
    <n v="3"/>
    <n v="3"/>
    <s v="CI-HVC-SBAC-V03-230101"/>
    <m/>
    <n v="83.05"/>
    <n v="83.05"/>
    <n v="83.05"/>
    <n v="83.05"/>
    <n v="1"/>
    <n v="1"/>
    <n v="1"/>
    <n v="1"/>
    <n v="249.14999999999998"/>
    <n v="249.14999999999998"/>
    <n v="249.14999999999998"/>
    <n v="249.14999999999998"/>
    <n v="996.59999999999991"/>
    <n v="1"/>
    <n v="1"/>
    <n v="1"/>
    <n v="1"/>
    <n v="1"/>
    <n v="1"/>
    <n v="1"/>
    <n v="1"/>
    <m/>
    <m/>
    <n v="83.05"/>
    <m/>
    <n v="249.14999999999998"/>
    <n v="0"/>
    <m/>
    <m/>
    <n v="83.05"/>
    <s v="n/a"/>
    <n v="249.14999999999998"/>
    <n v="249.14999999999998"/>
    <n v="0"/>
    <m/>
    <m/>
    <n v="83.05"/>
    <m/>
    <n v="249.14999999999998"/>
    <n v="0"/>
    <m/>
    <m/>
    <n v="83.05"/>
    <m/>
    <n v="249.14999999999998"/>
    <n v="0"/>
    <n v="249.14999999999998"/>
    <n v="249.14999999999998"/>
    <n v="249.14999999999998"/>
    <n v="249.14999999999998"/>
    <n v="996.59999999999991"/>
    <s v="NA"/>
    <m/>
  </r>
  <r>
    <s v="NSG"/>
    <x v="4"/>
    <s v="Multi-Family"/>
    <s v="Whole Building - Prescriptive"/>
    <x v="41"/>
    <s v="HVAC Repair/Rep - Audit"/>
    <s v="MF"/>
    <x v="3"/>
    <s v="4.4.16"/>
    <s v="each"/>
    <n v="3"/>
    <n v="3"/>
    <n v="3"/>
    <n v="3"/>
    <s v="CI-HVC-STRE-V09-230101"/>
    <m/>
    <n v="197.03296629323975"/>
    <n v="197.03296629323975"/>
    <n v="197.03296629323975"/>
    <n v="197.03296629323975"/>
    <n v="1"/>
    <n v="1"/>
    <n v="1"/>
    <n v="1"/>
    <n v="591.09889887971929"/>
    <n v="591.09889887971929"/>
    <n v="591.09889887971929"/>
    <n v="591.09889887971929"/>
    <n v="2364.3955955188771"/>
    <n v="1"/>
    <n v="1"/>
    <n v="1"/>
    <n v="1"/>
    <n v="1"/>
    <n v="1"/>
    <n v="1"/>
    <n v="1"/>
    <m/>
    <m/>
    <n v="197.03296629323975"/>
    <m/>
    <n v="591.09889887971929"/>
    <n v="0"/>
    <m/>
    <m/>
    <n v="197.03296629323975"/>
    <s v="Updated inputs for Commercial LPS Space Heating and Industrial/Process Low Pressure"/>
    <n v="591.09889887971929"/>
    <n v="591.09889887971929"/>
    <n v="0"/>
    <m/>
    <m/>
    <n v="197.03296629323975"/>
    <m/>
    <n v="591.09889887971929"/>
    <n v="0"/>
    <m/>
    <m/>
    <n v="197.03296629323975"/>
    <m/>
    <n v="591.09889887971929"/>
    <n v="0"/>
    <n v="591.09889887971929"/>
    <n v="591.09889887971929"/>
    <n v="591.09889887971929"/>
    <n v="591.09889887971929"/>
    <n v="2364.3955955188771"/>
    <s v="NA"/>
    <m/>
  </r>
  <r>
    <s v="NSG"/>
    <x v="4"/>
    <s v="Multi-Family"/>
    <s v="Whole Building - Public Housing"/>
    <x v="52"/>
    <n v="0"/>
    <s v="MF"/>
    <x v="3"/>
    <s v="4.4.38"/>
    <s v="each"/>
    <n v="3"/>
    <n v="3"/>
    <n v="3"/>
    <n v="3"/>
    <s v="CI-HVC-CRAC-V03-230101"/>
    <m/>
    <n v="12.64"/>
    <n v="12.64"/>
    <n v="12.64"/>
    <n v="12.64"/>
    <n v="1"/>
    <n v="1"/>
    <n v="1"/>
    <n v="1"/>
    <n v="37.92"/>
    <n v="37.92"/>
    <n v="37.92"/>
    <n v="37.92"/>
    <n v="151.68"/>
    <n v="1"/>
    <n v="1"/>
    <n v="1"/>
    <n v="1"/>
    <n v="1"/>
    <n v="1"/>
    <n v="1"/>
    <n v="1"/>
    <m/>
    <m/>
    <n v="12.64"/>
    <m/>
    <n v="37.92"/>
    <n v="0"/>
    <m/>
    <m/>
    <n v="12.64"/>
    <s v="n/a"/>
    <n v="37.92"/>
    <n v="37.92"/>
    <n v="0"/>
    <m/>
    <m/>
    <n v="12.64"/>
    <m/>
    <n v="37.92"/>
    <n v="0"/>
    <m/>
    <m/>
    <n v="12.64"/>
    <m/>
    <n v="37.92"/>
    <n v="0"/>
    <n v="37.92"/>
    <n v="37.92"/>
    <n v="37.92"/>
    <n v="37.92"/>
    <n v="151.68"/>
    <s v="NA"/>
    <m/>
  </r>
  <r>
    <s v="NSG"/>
    <x v="5"/>
    <s v="C&amp;I"/>
    <s v="Rebates"/>
    <x v="41"/>
    <s v="Industrial/Process Audit - 175 ≤ psig &lt; 250"/>
    <s v="CI/SMB"/>
    <x v="3"/>
    <s v="4.4.16"/>
    <s v="each"/>
    <n v="2.5499999999999998"/>
    <n v="2.4000000000000004"/>
    <n v="2.0999999999999996"/>
    <n v="2.04"/>
    <s v="CI-HVC-STRE-V09-230101"/>
    <m/>
    <n v="9906.4466256306805"/>
    <n v="9906.4466256306805"/>
    <n v="9906.4466256306805"/>
    <n v="9906.4466256306805"/>
    <n v="0.91"/>
    <n v="0.91"/>
    <n v="0.91"/>
    <n v="0.91"/>
    <n v="22987.909394775994"/>
    <n v="21635.679430377411"/>
    <n v="18931.219501580228"/>
    <n v="18390.327515820798"/>
    <n v="81945.135842554431"/>
    <n v="0.91"/>
    <n v="0.91"/>
    <n v="0.91"/>
    <n v="0.91"/>
    <n v="0.91"/>
    <n v="0.91"/>
    <n v="0.91"/>
    <n v="0.91"/>
    <m/>
    <m/>
    <n v="9906.4466256306805"/>
    <m/>
    <n v="22987.909394775994"/>
    <n v="0"/>
    <m/>
    <m/>
    <n v="9906.4466256306805"/>
    <s v="Updated inputs for Commercial LPS Space Heating and Industrial/Process Low Pressure"/>
    <n v="21635.679430377411"/>
    <n v="21635.679430377411"/>
    <n v="0"/>
    <m/>
    <m/>
    <n v="9906.4466256306805"/>
    <m/>
    <n v="18931.219501580228"/>
    <n v="0"/>
    <m/>
    <m/>
    <n v="9906.4466256306805"/>
    <m/>
    <n v="18390.327515820798"/>
    <n v="0"/>
    <n v="22987.909394775994"/>
    <n v="21635.679430377411"/>
    <n v="18931.219501580228"/>
    <n v="18390.327515820798"/>
    <n v="81945.135842554431"/>
    <s v="NA"/>
    <m/>
  </r>
  <r>
    <s v="NSG"/>
    <x v="4"/>
    <s v="Home Energy Jumpstart"/>
    <s v="Core"/>
    <x v="6"/>
    <s v="Furnace (DI)"/>
    <s v="SF"/>
    <x v="3"/>
    <s v="5.3.11"/>
    <s v="each"/>
    <n v="2"/>
    <n v="6"/>
    <n v="12"/>
    <n v="14"/>
    <s v="RS-HVC-ADTH-V08-230101"/>
    <m/>
    <n v="62.31"/>
    <n v="62.31"/>
    <n v="62.31"/>
    <n v="62.31"/>
    <n v="1"/>
    <n v="1"/>
    <n v="1"/>
    <n v="1"/>
    <n v="124.62"/>
    <n v="373.86"/>
    <n v="747.72"/>
    <n v="872.34"/>
    <n v="2118.54"/>
    <n v="1"/>
    <n v="1"/>
    <n v="1"/>
    <n v="1"/>
    <n v="1"/>
    <n v="1"/>
    <n v="1"/>
    <n v="1"/>
    <m/>
    <m/>
    <n v="62.31"/>
    <m/>
    <n v="124.62"/>
    <n v="0"/>
    <m/>
    <m/>
    <n v="62.31"/>
    <s v="n/a"/>
    <n v="373.86"/>
    <n v="373.86"/>
    <n v="0"/>
    <m/>
    <m/>
    <n v="62.31"/>
    <m/>
    <n v="747.72"/>
    <n v="0"/>
    <m/>
    <m/>
    <n v="62.31"/>
    <m/>
    <n v="872.34"/>
    <n v="0"/>
    <n v="124.62"/>
    <n v="373.86"/>
    <n v="747.72"/>
    <n v="872.34"/>
    <n v="2118.54"/>
    <s v="NA"/>
    <m/>
  </r>
  <r>
    <s v="NSG"/>
    <x v="3"/>
    <s v="Multi-Family"/>
    <s v="Standard Rebate"/>
    <x v="55"/>
    <n v="0"/>
    <s v="MF"/>
    <x v="3"/>
    <s v="4.4.36"/>
    <s v="each"/>
    <n v="2"/>
    <n v="2"/>
    <n v="2"/>
    <n v="2"/>
    <s v="CI-HVC-SBAC-V03-230101"/>
    <m/>
    <n v="83.05"/>
    <n v="83.05"/>
    <n v="83.05"/>
    <n v="83.05"/>
    <n v="0.87"/>
    <n v="0.87"/>
    <n v="0.87"/>
    <n v="0.87"/>
    <n v="144.50700000000001"/>
    <n v="144.50700000000001"/>
    <n v="144.50700000000001"/>
    <n v="144.50700000000001"/>
    <n v="578.02800000000002"/>
    <n v="0.87"/>
    <n v="0.87"/>
    <n v="0.87"/>
    <n v="0.87"/>
    <n v="0.87"/>
    <n v="0.87"/>
    <n v="0.87"/>
    <n v="0.87"/>
    <m/>
    <m/>
    <n v="83.05"/>
    <m/>
    <n v="144.50700000000001"/>
    <n v="0"/>
    <m/>
    <m/>
    <n v="83.05"/>
    <s v="n/a"/>
    <n v="144.50700000000001"/>
    <n v="144.50700000000001"/>
    <n v="0"/>
    <m/>
    <m/>
    <n v="83.05"/>
    <m/>
    <n v="144.50700000000001"/>
    <n v="0"/>
    <m/>
    <m/>
    <n v="83.05"/>
    <m/>
    <n v="144.50700000000001"/>
    <n v="0"/>
    <n v="144.50700000000001"/>
    <n v="144.50700000000001"/>
    <n v="144.50700000000001"/>
    <n v="144.50700000000001"/>
    <n v="578.02800000000002"/>
    <s v="NA"/>
    <m/>
  </r>
  <r>
    <s v="NSG"/>
    <x v="3"/>
    <s v="Multi-Family"/>
    <s v="Standard Rebate"/>
    <x v="41"/>
    <s v="HVAC Repair/Rep - No Audit"/>
    <s v="MF"/>
    <x v="3"/>
    <s v="4.4.16"/>
    <s v="each"/>
    <n v="2"/>
    <n v="2"/>
    <n v="2"/>
    <n v="2"/>
    <s v="CI-HVC-STRE-V09-230101"/>
    <m/>
    <n v="53.198900899174738"/>
    <n v="53.198900899174738"/>
    <n v="53.198900899174738"/>
    <n v="53.198900899174738"/>
    <n v="0.87"/>
    <n v="0.87"/>
    <n v="0.87"/>
    <n v="0.87"/>
    <n v="92.566087564564043"/>
    <n v="92.566087564564043"/>
    <n v="92.566087564564043"/>
    <n v="92.566087564564043"/>
    <n v="370.26435025825617"/>
    <n v="0.87"/>
    <n v="0.87"/>
    <n v="0.87"/>
    <n v="0.87"/>
    <n v="0.87"/>
    <n v="0.87"/>
    <n v="0.87"/>
    <n v="0.87"/>
    <m/>
    <m/>
    <n v="53.198900899174738"/>
    <m/>
    <n v="92.566087564564043"/>
    <n v="0"/>
    <m/>
    <m/>
    <n v="53.198900899174738"/>
    <s v="Updated inputs for Commercial LPS Space Heating and Industrial/Process Low Pressure"/>
    <n v="92.566087564564043"/>
    <n v="92.566087564564043"/>
    <n v="0"/>
    <m/>
    <m/>
    <n v="53.198900899174738"/>
    <m/>
    <n v="92.566087564564043"/>
    <n v="0"/>
    <m/>
    <m/>
    <n v="53.198900899174738"/>
    <m/>
    <n v="92.566087564564043"/>
    <n v="0"/>
    <n v="92.566087564564043"/>
    <n v="92.566087564564043"/>
    <n v="92.566087564564043"/>
    <n v="92.566087564564043"/>
    <n v="370.26435025825617"/>
    <s v="NA"/>
    <m/>
  </r>
  <r>
    <s v="NSG"/>
    <x v="3"/>
    <s v="Multi-Family"/>
    <s v="Partner Trade Ally Rebate"/>
    <x v="37"/>
    <s v="&gt;95% AFUE"/>
    <s v="MF"/>
    <x v="3"/>
    <s v="4.4.11"/>
    <s v="each"/>
    <n v="2"/>
    <n v="2"/>
    <n v="2"/>
    <n v="2"/>
    <s v="CI-HVC-FRNC-V12-230101"/>
    <m/>
    <n v="236.69249999999985"/>
    <n v="236.69249999999985"/>
    <n v="236.69249999999985"/>
    <n v="236.69249999999985"/>
    <n v="0.87"/>
    <n v="0.87"/>
    <n v="0.87"/>
    <n v="0.87"/>
    <n v="411.84494999999976"/>
    <n v="411.84494999999976"/>
    <n v="411.84494999999976"/>
    <n v="411.84494999999976"/>
    <n v="1647.379799999999"/>
    <n v="0.87"/>
    <n v="0.87"/>
    <n v="0.87"/>
    <n v="0.87"/>
    <n v="0.87"/>
    <n v="0.87"/>
    <n v="0.87"/>
    <n v="0.87"/>
    <m/>
    <m/>
    <n v="236.69249999999985"/>
    <m/>
    <n v="411.84494999999976"/>
    <n v="0"/>
    <m/>
    <m/>
    <n v="236.69249999999985"/>
    <s v="n/a"/>
    <n v="411.84494999999976"/>
    <n v="411.84494999999976"/>
    <n v="0"/>
    <m/>
    <m/>
    <n v="236.69249999999985"/>
    <m/>
    <n v="411.84494999999976"/>
    <n v="0"/>
    <m/>
    <m/>
    <n v="236.69249999999985"/>
    <m/>
    <n v="411.84494999999976"/>
    <n v="0"/>
    <n v="411.84494999999976"/>
    <n v="411.84494999999976"/>
    <n v="411.84494999999976"/>
    <n v="411.84494999999976"/>
    <n v="1647.379799999999"/>
    <s v="NA"/>
    <m/>
  </r>
  <r>
    <s v="NSG"/>
    <x v="4"/>
    <s v="Multi-Family"/>
    <s v="Whole Building - DI"/>
    <x v="6"/>
    <s v="Furnace (DI)"/>
    <s v="MF"/>
    <x v="3"/>
    <s v="5.3.11"/>
    <s v="each"/>
    <n v="2"/>
    <n v="2"/>
    <n v="2"/>
    <n v="2"/>
    <s v="RS-HVC-ADTH-V08-230101"/>
    <m/>
    <n v="40.5015"/>
    <n v="40.5015"/>
    <n v="40.5015"/>
    <n v="40.5015"/>
    <n v="1"/>
    <n v="1"/>
    <n v="1"/>
    <n v="1"/>
    <n v="81.003"/>
    <n v="81.003"/>
    <n v="81.003"/>
    <n v="81.003"/>
    <n v="324.012"/>
    <n v="1"/>
    <n v="1"/>
    <n v="1"/>
    <n v="1"/>
    <n v="1"/>
    <n v="1"/>
    <n v="1"/>
    <n v="1"/>
    <m/>
    <m/>
    <n v="40.5015"/>
    <m/>
    <n v="81.003"/>
    <n v="0"/>
    <m/>
    <m/>
    <n v="40.5015"/>
    <s v="n/a"/>
    <n v="81.003"/>
    <n v="81.003"/>
    <n v="0"/>
    <m/>
    <m/>
    <n v="40.5015"/>
    <m/>
    <n v="81.003"/>
    <n v="0"/>
    <m/>
    <m/>
    <n v="40.5015"/>
    <m/>
    <n v="81.003"/>
    <n v="0"/>
    <n v="81.003"/>
    <n v="81.003"/>
    <n v="81.003"/>
    <n v="81.003"/>
    <n v="324.012"/>
    <s v="NA"/>
    <m/>
  </r>
  <r>
    <s v="NSG"/>
    <x v="4"/>
    <s v="Multi-Family"/>
    <s v="Whole Building - Prescriptive"/>
    <x v="4"/>
    <s v="Steam Med Fitting"/>
    <s v="MF"/>
    <x v="3"/>
    <s v="&quot;3 - Res Pipe Insulation&quot; worksheet"/>
    <s v="each"/>
    <n v="2"/>
    <n v="2"/>
    <n v="2"/>
    <n v="2"/>
    <n v="0"/>
    <m/>
    <n v="20.134575475260416"/>
    <n v="20.134575475260416"/>
    <n v="20.134575475260416"/>
    <n v="20.134575475260416"/>
    <n v="1"/>
    <n v="1"/>
    <n v="1"/>
    <n v="1"/>
    <n v="40.269150950520832"/>
    <n v="40.269150950520832"/>
    <n v="40.269150950520832"/>
    <n v="40.269150950520832"/>
    <n v="161.07660380208333"/>
    <n v="1"/>
    <n v="1"/>
    <n v="1"/>
    <n v="1"/>
    <n v="1"/>
    <n v="1"/>
    <n v="1"/>
    <n v="1"/>
    <m/>
    <m/>
    <n v="20.134575475260416"/>
    <m/>
    <n v="40.269150950520832"/>
    <n v="0"/>
    <m/>
    <m/>
    <n v="20.134575475260416"/>
    <s v="n/a"/>
    <n v="40.269150950520832"/>
    <n v="40.269150950520832"/>
    <n v="0"/>
    <m/>
    <m/>
    <n v="20.134575475260416"/>
    <m/>
    <n v="40.269150950520832"/>
    <n v="0"/>
    <m/>
    <m/>
    <n v="20.134575475260416"/>
    <m/>
    <n v="40.269150950520832"/>
    <n v="0"/>
    <n v="40.269150950520832"/>
    <n v="40.269150950520832"/>
    <n v="40.269150950520832"/>
    <n v="40.269150950520832"/>
    <n v="161.07660380208333"/>
    <s v="NA"/>
    <m/>
  </r>
  <r>
    <s v="NSG"/>
    <x v="4"/>
    <s v="Multi-Family"/>
    <s v="Whole Building - Prescriptive"/>
    <x v="4"/>
    <s v="Steam Large Fitting"/>
    <s v="MF"/>
    <x v="3"/>
    <s v="&quot;3 - Res Pipe Insulation&quot; worksheet"/>
    <s v="each"/>
    <n v="2"/>
    <n v="2"/>
    <n v="2"/>
    <n v="2"/>
    <n v="0"/>
    <m/>
    <n v="66.284273233024678"/>
    <n v="66.284273233024678"/>
    <n v="66.284273233024678"/>
    <n v="66.284273233024678"/>
    <n v="1"/>
    <n v="1"/>
    <n v="1"/>
    <n v="1"/>
    <n v="132.56854646604936"/>
    <n v="132.56854646604936"/>
    <n v="132.56854646604936"/>
    <n v="132.56854646604936"/>
    <n v="530.27418586419742"/>
    <n v="1"/>
    <n v="1"/>
    <n v="1"/>
    <n v="1"/>
    <n v="1"/>
    <n v="1"/>
    <n v="1"/>
    <n v="1"/>
    <m/>
    <m/>
    <n v="66.284273233024678"/>
    <m/>
    <n v="132.56854646604936"/>
    <n v="0"/>
    <m/>
    <m/>
    <n v="66.284273233024678"/>
    <s v="n/a"/>
    <n v="132.56854646604936"/>
    <n v="132.56854646604936"/>
    <n v="0"/>
    <m/>
    <m/>
    <n v="66.284273233024678"/>
    <m/>
    <n v="132.56854646604936"/>
    <n v="0"/>
    <m/>
    <m/>
    <n v="66.284273233024678"/>
    <m/>
    <n v="132.56854646604936"/>
    <n v="0"/>
    <n v="132.56854646604936"/>
    <n v="132.56854646604936"/>
    <n v="132.56854646604936"/>
    <n v="132.56854646604936"/>
    <n v="530.27418586419742"/>
    <s v="NA"/>
    <m/>
  </r>
  <r>
    <s v="NSG"/>
    <x v="4"/>
    <s v="Multi-Family"/>
    <s v="Whole Building - Public Housing"/>
    <x v="6"/>
    <s v="Furnace (DI)"/>
    <s v="MF"/>
    <x v="3"/>
    <s v="5.3.11"/>
    <s v="each"/>
    <n v="2"/>
    <n v="2"/>
    <n v="2"/>
    <n v="2"/>
    <s v="RS-HVC-ADTH-V08-230101"/>
    <m/>
    <n v="40.5015"/>
    <n v="40.5015"/>
    <n v="40.5015"/>
    <n v="40.5015"/>
    <n v="1"/>
    <n v="1"/>
    <n v="1"/>
    <n v="1"/>
    <n v="81.003"/>
    <n v="81.003"/>
    <n v="81.003"/>
    <n v="81.003"/>
    <n v="324.012"/>
    <n v="1"/>
    <n v="1"/>
    <n v="1"/>
    <n v="1"/>
    <n v="1"/>
    <n v="1"/>
    <n v="1"/>
    <n v="1"/>
    <m/>
    <m/>
    <n v="40.5015"/>
    <m/>
    <n v="81.003"/>
    <n v="0"/>
    <m/>
    <m/>
    <n v="40.5015"/>
    <s v="n/a"/>
    <n v="81.003"/>
    <n v="81.003"/>
    <n v="0"/>
    <m/>
    <m/>
    <n v="40.5015"/>
    <m/>
    <n v="81.003"/>
    <n v="0"/>
    <m/>
    <m/>
    <n v="40.5015"/>
    <m/>
    <n v="81.003"/>
    <n v="0"/>
    <n v="81.003"/>
    <n v="81.003"/>
    <n v="81.003"/>
    <n v="81.003"/>
    <n v="324.012"/>
    <s v="NA"/>
    <m/>
  </r>
  <r>
    <s v="NSG"/>
    <x v="4"/>
    <s v="Multi-Family"/>
    <s v="Whole Building - Public Housing"/>
    <x v="40"/>
    <n v="0"/>
    <s v="IE MF"/>
    <x v="3"/>
    <s v="5.6.1"/>
    <s v="per door"/>
    <n v="2"/>
    <n v="2"/>
    <n v="2"/>
    <n v="2"/>
    <s v="RS-SHL-AIRS-V12-230101"/>
    <m/>
    <n v="7.3040000000000012"/>
    <n v="7.3040000000000012"/>
    <n v="7.3040000000000012"/>
    <n v="7.3040000000000012"/>
    <n v="1"/>
    <n v="1"/>
    <n v="1"/>
    <n v="1"/>
    <n v="14.608000000000002"/>
    <n v="14.608000000000002"/>
    <n v="14.608000000000002"/>
    <n v="14.608000000000002"/>
    <n v="58.432000000000009"/>
    <n v="1"/>
    <n v="1"/>
    <n v="1"/>
    <n v="1"/>
    <n v="1"/>
    <n v="1"/>
    <n v="1"/>
    <n v="1"/>
    <m/>
    <m/>
    <n v="7.3040000000000012"/>
    <m/>
    <n v="14.608000000000002"/>
    <n v="0"/>
    <m/>
    <m/>
    <n v="7.3040000000000012"/>
    <s v="Updated ISR"/>
    <n v="14.608000000000002"/>
    <n v="14.608000000000002"/>
    <n v="0"/>
    <m/>
    <m/>
    <n v="7.3040000000000012"/>
    <m/>
    <n v="14.608000000000002"/>
    <n v="0"/>
    <m/>
    <m/>
    <n v="7.3040000000000012"/>
    <m/>
    <n v="14.608000000000002"/>
    <n v="0"/>
    <n v="14.608000000000002"/>
    <n v="14.608000000000002"/>
    <n v="14.608000000000002"/>
    <n v="14.608000000000002"/>
    <n v="58.432000000000009"/>
    <s v="NA"/>
    <m/>
  </r>
  <r>
    <s v="NSG"/>
    <x v="5"/>
    <s v="Small/Mid-Size Business"/>
    <s v="Rebates"/>
    <x v="37"/>
    <s v="&gt;95% AFUE"/>
    <s v="CI"/>
    <x v="3"/>
    <s v="4.4.11"/>
    <s v="each"/>
    <n v="2"/>
    <n v="2"/>
    <n v="2"/>
    <n v="2"/>
    <s v="CI-HVC-FRNC-V12-230101"/>
    <m/>
    <n v="247.08549999999985"/>
    <n v="247.08549999999985"/>
    <n v="247.08549999999985"/>
    <n v="247.08549999999985"/>
    <n v="0.93"/>
    <n v="0.93"/>
    <n v="0.93"/>
    <n v="0.93"/>
    <n v="459.57902999999976"/>
    <n v="459.57902999999976"/>
    <n v="459.57902999999976"/>
    <n v="459.57902999999976"/>
    <n v="1838.316119999999"/>
    <n v="0.93"/>
    <n v="0.93"/>
    <n v="0.93"/>
    <n v="0.93"/>
    <n v="0.93"/>
    <n v="0.93"/>
    <n v="0.93"/>
    <n v="0.93"/>
    <m/>
    <m/>
    <n v="247.08549999999985"/>
    <m/>
    <n v="459.57902999999976"/>
    <n v="0"/>
    <m/>
    <m/>
    <n v="247.08549999999985"/>
    <s v="n/a"/>
    <n v="459.57902999999976"/>
    <n v="459.57902999999976"/>
    <n v="0"/>
    <m/>
    <m/>
    <n v="247.08549999999985"/>
    <m/>
    <n v="459.57902999999976"/>
    <n v="0"/>
    <m/>
    <m/>
    <n v="247.08549999999985"/>
    <m/>
    <n v="459.57902999999976"/>
    <n v="0"/>
    <n v="459.57902999999976"/>
    <n v="459.57902999999976"/>
    <n v="459.57902999999976"/>
    <n v="459.57902999999976"/>
    <n v="1838.316119999999"/>
    <s v="NA"/>
    <m/>
  </r>
  <r>
    <s v="NSG"/>
    <x v="5"/>
    <s v="Small/Mid-Size Business"/>
    <s v="Rebates"/>
    <x v="56"/>
    <s v="Laundromat &amp; MF Dorms"/>
    <s v="MF/SMB"/>
    <x v="3"/>
    <s v="4.8.4"/>
    <s v="each"/>
    <n v="2"/>
    <n v="2"/>
    <n v="2"/>
    <n v="2"/>
    <s v="CI-MSC-MODD-V02-230101"/>
    <m/>
    <n v="230.13"/>
    <n v="230.13"/>
    <n v="230.13"/>
    <n v="230.13"/>
    <n v="0.93"/>
    <n v="0.93"/>
    <n v="0.93"/>
    <n v="0.93"/>
    <n v="428.04180000000002"/>
    <n v="428.04180000000002"/>
    <n v="428.04180000000002"/>
    <n v="428.04180000000002"/>
    <n v="1712.1672000000001"/>
    <n v="0.93"/>
    <n v="0.93"/>
    <n v="0.93"/>
    <n v="0.93"/>
    <n v="0.93"/>
    <n v="0.93"/>
    <n v="0.93"/>
    <n v="0.93"/>
    <m/>
    <m/>
    <n v="230.13"/>
    <m/>
    <n v="428.04180000000002"/>
    <n v="0"/>
    <m/>
    <m/>
    <n v="230.13"/>
    <s v="Updated measure lifetime."/>
    <n v="428.04180000000002"/>
    <n v="428.04180000000002"/>
    <n v="0"/>
    <m/>
    <m/>
    <n v="230.13"/>
    <m/>
    <n v="428.04180000000002"/>
    <n v="0"/>
    <m/>
    <m/>
    <n v="230.13"/>
    <m/>
    <n v="428.04180000000002"/>
    <n v="0"/>
    <n v="428.04180000000002"/>
    <n v="428.04180000000002"/>
    <n v="428.04180000000002"/>
    <n v="428.04180000000002"/>
    <n v="1712.1672000000001"/>
    <s v="NA"/>
    <m/>
  </r>
  <r>
    <s v="NSG"/>
    <x v="5"/>
    <s v="Small/Mid-Size Business"/>
    <s v="Partner Trade Ally Rebate"/>
    <x v="56"/>
    <s v="Laundromat &amp; MF Dorms"/>
    <s v="MF/SMB"/>
    <x v="3"/>
    <s v="4.8.4"/>
    <s v="each"/>
    <n v="2"/>
    <n v="2"/>
    <n v="2"/>
    <n v="2"/>
    <s v="CI-MSC-MODD-V02-230101"/>
    <m/>
    <n v="230.13"/>
    <n v="230.13"/>
    <n v="230.13"/>
    <n v="230.13"/>
    <n v="0.93"/>
    <n v="0.93"/>
    <n v="0.93"/>
    <n v="0.93"/>
    <n v="428.04180000000002"/>
    <n v="428.04180000000002"/>
    <n v="428.04180000000002"/>
    <n v="428.04180000000002"/>
    <n v="1712.1672000000001"/>
    <n v="0.93"/>
    <n v="0.93"/>
    <n v="0.93"/>
    <n v="0.93"/>
    <n v="0.93"/>
    <n v="0.93"/>
    <n v="0.93"/>
    <n v="0.93"/>
    <m/>
    <m/>
    <n v="230.13"/>
    <m/>
    <n v="428.04180000000002"/>
    <n v="0"/>
    <m/>
    <m/>
    <n v="230.13"/>
    <s v="Updated measure lifetime."/>
    <n v="428.04180000000002"/>
    <n v="428.04180000000002"/>
    <n v="0"/>
    <m/>
    <m/>
    <n v="230.13"/>
    <m/>
    <n v="428.04180000000002"/>
    <n v="0"/>
    <m/>
    <m/>
    <n v="230.13"/>
    <m/>
    <n v="428.04180000000002"/>
    <n v="0"/>
    <n v="428.04180000000002"/>
    <n v="428.04180000000002"/>
    <n v="428.04180000000002"/>
    <n v="428.04180000000002"/>
    <n v="1712.1672000000001"/>
    <s v="NA"/>
    <m/>
  </r>
  <r>
    <s v="NSG"/>
    <x v="5"/>
    <s v="Commercial Food Service Program"/>
    <s v="Upstream Rebate"/>
    <x v="57"/>
    <n v="0"/>
    <s v="CI"/>
    <x v="3"/>
    <s v="4.2.8"/>
    <s v="each"/>
    <n v="1"/>
    <n v="2"/>
    <n v="2"/>
    <n v="3"/>
    <s v="CI-FSE-ESGR-V05-230101"/>
    <m/>
    <n v="153.29846874999993"/>
    <n v="153.29846874999993"/>
    <n v="153.29846874999993"/>
    <n v="153.29846874999993"/>
    <n v="0.8"/>
    <n v="0.8"/>
    <n v="0.8"/>
    <n v="0.8"/>
    <n v="122.63877499999995"/>
    <n v="245.27754999999991"/>
    <n v="245.27754999999991"/>
    <n v="367.91632499999986"/>
    <n v="981.11019999999962"/>
    <n v="0.8"/>
    <n v="0.8"/>
    <n v="0.8"/>
    <n v="0.8"/>
    <n v="0.8"/>
    <n v="0.8"/>
    <n v="0.8"/>
    <n v="0.8"/>
    <m/>
    <m/>
    <n v="153.29846874999993"/>
    <m/>
    <n v="122.63877499999995"/>
    <n v="0"/>
    <m/>
    <m/>
    <n v="153.29846874999993"/>
    <s v="Applies to electrification only."/>
    <n v="245.27754999999991"/>
    <n v="245.27754999999991"/>
    <n v="0"/>
    <m/>
    <m/>
    <n v="153.29846874999993"/>
    <m/>
    <n v="245.27754999999991"/>
    <n v="0"/>
    <m/>
    <m/>
    <n v="153.29846874999993"/>
    <m/>
    <n v="367.91632499999986"/>
    <n v="0"/>
    <n v="122.63877499999995"/>
    <n v="245.27754999999991"/>
    <n v="245.27754999999991"/>
    <n v="367.91632499999986"/>
    <n v="981.11019999999962"/>
    <s v="NA"/>
    <m/>
  </r>
  <r>
    <s v="NSG"/>
    <x v="5"/>
    <s v="Commercial Food Service Program"/>
    <s v="Upstream Rebate"/>
    <x v="58"/>
    <n v="0"/>
    <s v="CI"/>
    <x v="3"/>
    <s v="4.2.17"/>
    <s v="each"/>
    <n v="1"/>
    <n v="1"/>
    <n v="2"/>
    <n v="2"/>
    <s v="CI-FSE-PCOK-V02-180101"/>
    <m/>
    <n v="1380"/>
    <n v="1380"/>
    <n v="1380"/>
    <n v="1380"/>
    <n v="0.8"/>
    <n v="0.8"/>
    <n v="0.8"/>
    <n v="0.8"/>
    <n v="1104"/>
    <n v="1104"/>
    <n v="2208"/>
    <n v="2208"/>
    <n v="6624"/>
    <n v="0.8"/>
    <n v="0.8"/>
    <n v="0.8"/>
    <n v="0.8"/>
    <n v="0.8"/>
    <n v="0.8"/>
    <n v="0.8"/>
    <n v="0.8"/>
    <m/>
    <m/>
    <n v="1380"/>
    <m/>
    <n v="1104"/>
    <n v="0"/>
    <m/>
    <m/>
    <n v="1380"/>
    <s v="n/a"/>
    <n v="1104"/>
    <n v="1104"/>
    <n v="0"/>
    <m/>
    <m/>
    <n v="1380"/>
    <m/>
    <n v="2208"/>
    <n v="0"/>
    <m/>
    <m/>
    <n v="1380"/>
    <m/>
    <n v="2208"/>
    <n v="0"/>
    <n v="1104"/>
    <n v="1104"/>
    <n v="2208"/>
    <n v="2208"/>
    <n v="6624"/>
    <s v="NA"/>
    <m/>
  </r>
  <r>
    <s v="NSG"/>
    <x v="5"/>
    <s v="Commercial Food Service Program"/>
    <s v="Upstream Rebate"/>
    <x v="59"/>
    <n v="0"/>
    <s v="MF/CI/SMB"/>
    <x v="3"/>
    <s v="4.2.1"/>
    <s v="each"/>
    <n v="1"/>
    <n v="2"/>
    <n v="2"/>
    <n v="3"/>
    <s v="CI-FSE-CBOV-V03-230101"/>
    <m/>
    <n v="321.64728051570762"/>
    <n v="321.64728051570762"/>
    <n v="321.64728051570762"/>
    <n v="321.64728051570762"/>
    <n v="0.8"/>
    <n v="0.8"/>
    <n v="0.8"/>
    <n v="0.8"/>
    <n v="257.3178244125661"/>
    <n v="514.63564882513219"/>
    <n v="514.63564882513219"/>
    <n v="771.95347323769829"/>
    <n v="2058.5425953005288"/>
    <n v="0.8"/>
    <n v="0.8"/>
    <n v="0.8"/>
    <n v="0.8"/>
    <n v="0.8"/>
    <n v="0.8"/>
    <n v="0.8"/>
    <n v="0.8"/>
    <m/>
    <m/>
    <n v="321.64728051570762"/>
    <m/>
    <n v="257.3178244125661"/>
    <n v="0"/>
    <m/>
    <m/>
    <n v="5669.7641168958853"/>
    <s v="Updated inputs and preheat assumptions."/>
    <n v="514.63564882513219"/>
    <n v="9071.6225870334165"/>
    <n v="8556.9869382082834"/>
    <m/>
    <m/>
    <n v="5669.7641168958853"/>
    <m/>
    <n v="9071.6225870334165"/>
    <n v="8556.9869382082834"/>
    <m/>
    <m/>
    <n v="5669.7641168958853"/>
    <m/>
    <n v="13607.433880550125"/>
    <n v="12835.480407312427"/>
    <n v="257.3178244125661"/>
    <n v="9071.6225870334165"/>
    <n v="9071.6225870334165"/>
    <n v="13607.433880550125"/>
    <n v="32007.996879029524"/>
    <s v="NA"/>
    <m/>
  </r>
  <r>
    <s v="NSG"/>
    <x v="5"/>
    <s v="Commercial Food Service Program"/>
    <s v="Upstream Rebate"/>
    <x v="60"/>
    <n v="0"/>
    <s v="CI"/>
    <x v="3"/>
    <s v="4.2.4"/>
    <s v="each"/>
    <n v="1"/>
    <n v="1"/>
    <n v="1"/>
    <n v="2"/>
    <s v="CI-FSE-CVOV-V02-180101"/>
    <m/>
    <n v="884"/>
    <n v="884"/>
    <n v="884"/>
    <n v="884"/>
    <n v="0.8"/>
    <n v="0.8"/>
    <n v="0.8"/>
    <n v="0.8"/>
    <n v="707.2"/>
    <n v="707.2"/>
    <n v="707.2"/>
    <n v="1414.4"/>
    <n v="3536.0000000000005"/>
    <n v="0.8"/>
    <n v="0.8"/>
    <n v="0.8"/>
    <n v="0.8"/>
    <n v="0.8"/>
    <n v="0.8"/>
    <n v="0.8"/>
    <n v="0.8"/>
    <m/>
    <m/>
    <n v="884"/>
    <m/>
    <n v="707.2"/>
    <n v="0"/>
    <m/>
    <m/>
    <n v="884"/>
    <s v="n/a"/>
    <n v="707.2"/>
    <n v="707.2"/>
    <n v="0"/>
    <m/>
    <m/>
    <n v="884"/>
    <m/>
    <n v="707.2"/>
    <n v="0"/>
    <m/>
    <m/>
    <n v="884"/>
    <m/>
    <n v="1414.4"/>
    <n v="0"/>
    <n v="707.2"/>
    <n v="707.2"/>
    <n v="707.2"/>
    <n v="1414.4"/>
    <n v="3536.0000000000005"/>
    <s v="NA"/>
    <m/>
  </r>
  <r>
    <s v="NSG"/>
    <x v="5"/>
    <s v="Commercial Food Service Program"/>
    <s v="Upstream Rebate"/>
    <x v="61"/>
    <s v="Single Tank Conveyor"/>
    <s v="CI"/>
    <x v="3"/>
    <s v="4.2.6"/>
    <s v="each"/>
    <n v="1"/>
    <n v="1"/>
    <n v="2"/>
    <n v="2"/>
    <s v="CI-FSE-ESDW-V06-220101"/>
    <m/>
    <n v="280"/>
    <n v="280"/>
    <n v="280"/>
    <n v="280"/>
    <n v="0.8"/>
    <n v="0.8"/>
    <n v="0.8"/>
    <n v="0.8"/>
    <n v="224"/>
    <n v="224"/>
    <n v="448"/>
    <n v="448"/>
    <n v="1344"/>
    <n v="0.8"/>
    <n v="0.8"/>
    <n v="0.8"/>
    <n v="0.8"/>
    <n v="0.8"/>
    <n v="0.8"/>
    <n v="0.8"/>
    <n v="0.8"/>
    <m/>
    <m/>
    <n v="280"/>
    <m/>
    <n v="224"/>
    <n v="0"/>
    <m/>
    <m/>
    <n v="280"/>
    <s v="n/a"/>
    <n v="224"/>
    <n v="224"/>
    <n v="0"/>
    <m/>
    <m/>
    <n v="280"/>
    <m/>
    <n v="448"/>
    <n v="0"/>
    <m/>
    <m/>
    <n v="280"/>
    <m/>
    <n v="448"/>
    <n v="0"/>
    <n v="224"/>
    <n v="224"/>
    <n v="448"/>
    <n v="448"/>
    <n v="1344"/>
    <s v="NA"/>
    <m/>
  </r>
  <r>
    <s v="NSG"/>
    <x v="5"/>
    <s v="Commercial Food Service Program"/>
    <s v="Upstream Rebate"/>
    <x v="61"/>
    <s v="Multi Tank Conveyor"/>
    <s v="CI"/>
    <x v="3"/>
    <s v="4.2.6"/>
    <s v="each"/>
    <n v="1"/>
    <n v="1"/>
    <n v="2"/>
    <n v="2"/>
    <s v="CI-FSE-ESDW-V06-220101"/>
    <m/>
    <n v="1064"/>
    <n v="1064"/>
    <n v="1064"/>
    <n v="1064"/>
    <n v="0.8"/>
    <n v="0.8"/>
    <n v="0.8"/>
    <n v="0.8"/>
    <n v="851.2"/>
    <n v="851.2"/>
    <n v="1702.4"/>
    <n v="1702.4"/>
    <n v="5107.2000000000007"/>
    <n v="0.8"/>
    <n v="0.8"/>
    <n v="0.8"/>
    <n v="0.8"/>
    <n v="0.8"/>
    <n v="0.8"/>
    <n v="0.8"/>
    <n v="0.8"/>
    <m/>
    <m/>
    <n v="1064"/>
    <m/>
    <n v="851.2"/>
    <n v="0"/>
    <m/>
    <m/>
    <n v="1064"/>
    <s v="n/a"/>
    <n v="851.2"/>
    <n v="851.2"/>
    <n v="0"/>
    <m/>
    <m/>
    <n v="1064"/>
    <m/>
    <n v="1702.4"/>
    <n v="0"/>
    <m/>
    <m/>
    <n v="1064"/>
    <m/>
    <n v="1702.4"/>
    <n v="0"/>
    <n v="851.2"/>
    <n v="851.2"/>
    <n v="1702.4"/>
    <n v="1702.4"/>
    <n v="5107.2000000000007"/>
    <s v="NA"/>
    <m/>
  </r>
  <r>
    <s v="NSG"/>
    <x v="5"/>
    <s v="Commercial Food Service Program"/>
    <s v="Upstream Rebate"/>
    <x v="61"/>
    <s v="Stationary Single Tank"/>
    <s v="CI"/>
    <x v="3"/>
    <s v="4.2.6"/>
    <s v="each"/>
    <n v="1"/>
    <n v="1"/>
    <n v="2"/>
    <n v="2"/>
    <s v="CI-FSE-ESDW-V06-220101"/>
    <m/>
    <n v="462"/>
    <n v="462"/>
    <n v="462"/>
    <n v="462"/>
    <n v="0.8"/>
    <n v="0.8"/>
    <n v="0.8"/>
    <n v="0.8"/>
    <n v="369.6"/>
    <n v="369.6"/>
    <n v="739.2"/>
    <n v="739.2"/>
    <n v="2217.6000000000004"/>
    <n v="0.8"/>
    <n v="0.8"/>
    <n v="0.8"/>
    <n v="0.8"/>
    <n v="0.8"/>
    <n v="0.8"/>
    <n v="0.8"/>
    <n v="0.8"/>
    <m/>
    <m/>
    <n v="462"/>
    <m/>
    <n v="369.6"/>
    <n v="0"/>
    <m/>
    <m/>
    <n v="462"/>
    <s v="n/a"/>
    <n v="369.6"/>
    <n v="369.6"/>
    <n v="0"/>
    <m/>
    <m/>
    <n v="462"/>
    <m/>
    <n v="739.2"/>
    <n v="0"/>
    <m/>
    <m/>
    <n v="462"/>
    <m/>
    <n v="739.2"/>
    <n v="0"/>
    <n v="369.6"/>
    <n v="369.6"/>
    <n v="739.2"/>
    <n v="739.2"/>
    <n v="2217.6000000000004"/>
    <s v="NA"/>
    <m/>
  </r>
  <r>
    <s v="NSG"/>
    <x v="5"/>
    <s v="Commercial Food Service Program"/>
    <s v="Upstream Rebate"/>
    <x v="61"/>
    <n v="0"/>
    <s v="MF/CI/SMB"/>
    <x v="3"/>
    <s v="4.2.6"/>
    <s v="each"/>
    <n v="1"/>
    <n v="1"/>
    <n v="2"/>
    <n v="2"/>
    <s v="CI-FSE-ESDW-V06-220101"/>
    <m/>
    <n v="106"/>
    <n v="106"/>
    <n v="106"/>
    <n v="106"/>
    <n v="0.8"/>
    <n v="0.8"/>
    <n v="0.8"/>
    <n v="0.8"/>
    <n v="84.800000000000011"/>
    <n v="84.800000000000011"/>
    <n v="169.60000000000002"/>
    <n v="169.60000000000002"/>
    <n v="508.80000000000007"/>
    <n v="0.8"/>
    <n v="0.8"/>
    <n v="0.8"/>
    <n v="0.8"/>
    <n v="0.8"/>
    <n v="0.8"/>
    <n v="0.8"/>
    <n v="0.8"/>
    <m/>
    <m/>
    <n v="106"/>
    <m/>
    <n v="84.800000000000011"/>
    <n v="0"/>
    <m/>
    <m/>
    <n v="106"/>
    <s v="n/a"/>
    <n v="84.800000000000011"/>
    <n v="84.800000000000011"/>
    <n v="0"/>
    <m/>
    <m/>
    <n v="106"/>
    <m/>
    <n v="169.60000000000002"/>
    <n v="0"/>
    <m/>
    <m/>
    <n v="106"/>
    <m/>
    <n v="169.60000000000002"/>
    <n v="0"/>
    <n v="84.800000000000011"/>
    <n v="84.800000000000011"/>
    <n v="169.60000000000002"/>
    <n v="169.60000000000002"/>
    <n v="508.80000000000007"/>
    <s v="NA"/>
    <m/>
  </r>
  <r>
    <s v="NSG"/>
    <x v="5"/>
    <s v="Commercial Food Service Program"/>
    <s v="Upstream Rebate"/>
    <x v="62"/>
    <n v="0"/>
    <s v="CI"/>
    <x v="3"/>
    <s v="4.2.12"/>
    <s v="each"/>
    <n v="1"/>
    <n v="1"/>
    <n v="1"/>
    <n v="2"/>
    <s v="CI-FSE-IRCB-V02-180101"/>
    <m/>
    <n v="706.68"/>
    <n v="706.68"/>
    <n v="706.68"/>
    <n v="706.68"/>
    <n v="0.8"/>
    <n v="0.8"/>
    <n v="0.8"/>
    <n v="0.8"/>
    <n v="565.34399999999994"/>
    <n v="565.34399999999994"/>
    <n v="565.34399999999994"/>
    <n v="1130.6879999999999"/>
    <n v="2826.7199999999993"/>
    <n v="0.8"/>
    <n v="0.8"/>
    <n v="0.8"/>
    <n v="0.8"/>
    <n v="0.8"/>
    <n v="0.8"/>
    <n v="0.8"/>
    <n v="0.8"/>
    <m/>
    <m/>
    <n v="706.68"/>
    <m/>
    <n v="565.34399999999994"/>
    <n v="0"/>
    <m/>
    <m/>
    <n v="706.68"/>
    <s v="n/a"/>
    <n v="565.34399999999994"/>
    <n v="565.34399999999994"/>
    <n v="0"/>
    <m/>
    <m/>
    <n v="706.68"/>
    <m/>
    <n v="565.34399999999994"/>
    <n v="0"/>
    <m/>
    <m/>
    <n v="706.68"/>
    <m/>
    <n v="1130.6879999999999"/>
    <n v="0"/>
    <n v="565.34399999999994"/>
    <n v="565.34399999999994"/>
    <n v="565.34399999999994"/>
    <n v="1130.6879999999999"/>
    <n v="2826.7199999999993"/>
    <s v="NA"/>
    <m/>
  </r>
  <r>
    <s v="NSG"/>
    <x v="5"/>
    <s v="Commercial Food Service Program"/>
    <s v="Upstream Rebate"/>
    <x v="63"/>
    <n v="0"/>
    <s v="CI"/>
    <x v="3"/>
    <s v="4.2.13"/>
    <s v="each"/>
    <n v="1"/>
    <n v="1"/>
    <n v="1"/>
    <n v="2"/>
    <s v="CI-FSE-IROV-V03-220101"/>
    <m/>
    <n v="599.04"/>
    <n v="599.04"/>
    <n v="599.04"/>
    <n v="599.04"/>
    <n v="0.8"/>
    <n v="0.8"/>
    <n v="0.8"/>
    <n v="0.8"/>
    <n v="479.23199999999997"/>
    <n v="479.23199999999997"/>
    <n v="479.23199999999997"/>
    <n v="958.46399999999994"/>
    <n v="2396.16"/>
    <n v="0.8"/>
    <n v="0.8"/>
    <n v="0.8"/>
    <n v="0.8"/>
    <n v="0.8"/>
    <n v="0.8"/>
    <n v="0.8"/>
    <n v="0.8"/>
    <m/>
    <m/>
    <n v="599.04"/>
    <m/>
    <n v="479.23199999999997"/>
    <n v="0"/>
    <m/>
    <m/>
    <n v="599.04"/>
    <s v="n/a"/>
    <n v="479.23199999999997"/>
    <n v="479.23199999999997"/>
    <n v="0"/>
    <m/>
    <m/>
    <n v="599.04"/>
    <m/>
    <n v="479.23199999999997"/>
    <n v="0"/>
    <m/>
    <m/>
    <n v="599.04"/>
    <m/>
    <n v="958.46399999999994"/>
    <n v="0"/>
    <n v="479.23199999999997"/>
    <n v="479.23199999999997"/>
    <n v="479.23199999999997"/>
    <n v="958.46399999999994"/>
    <n v="2396.16"/>
    <s v="NA"/>
    <m/>
  </r>
  <r>
    <s v="NSG"/>
    <x v="5"/>
    <s v="Commercial Food Service Program"/>
    <s v="Upstream Rebate"/>
    <x v="64"/>
    <n v="0"/>
    <s v="CI"/>
    <x v="3"/>
    <s v="4.2.14"/>
    <s v="each"/>
    <n v="1"/>
    <n v="2"/>
    <n v="2"/>
    <n v="3"/>
    <s v="I-FSE-IRBL-V02-180101"/>
    <m/>
    <n v="240.24"/>
    <n v="240.24"/>
    <n v="240.24"/>
    <n v="240.24"/>
    <n v="0.8"/>
    <n v="0.8"/>
    <n v="0.8"/>
    <n v="0.8"/>
    <n v="192.19200000000001"/>
    <n v="384.38400000000001"/>
    <n v="384.38400000000001"/>
    <n v="576.57600000000002"/>
    <n v="1537.5360000000001"/>
    <n v="0.8"/>
    <n v="0.8"/>
    <n v="0.8"/>
    <n v="0.8"/>
    <n v="0.8"/>
    <n v="0.8"/>
    <n v="0.8"/>
    <n v="0.8"/>
    <m/>
    <m/>
    <n v="240.24"/>
    <m/>
    <n v="192.19200000000001"/>
    <n v="0"/>
    <m/>
    <m/>
    <n v="240.24"/>
    <s v="n/a"/>
    <n v="384.38400000000001"/>
    <n v="384.38400000000001"/>
    <n v="0"/>
    <m/>
    <m/>
    <n v="240.24"/>
    <m/>
    <n v="384.38400000000001"/>
    <n v="0"/>
    <m/>
    <m/>
    <n v="240.24"/>
    <m/>
    <n v="576.57600000000002"/>
    <n v="0"/>
    <n v="192.19200000000001"/>
    <n v="384.38400000000001"/>
    <n v="384.38400000000001"/>
    <n v="576.57600000000002"/>
    <n v="1537.5360000000001"/>
    <s v="NA"/>
    <m/>
  </r>
  <r>
    <s v="NSG"/>
    <x v="3"/>
    <s v="Multi-Family"/>
    <s v="Standard Rebate"/>
    <x v="37"/>
    <s v="&gt;95% AFUE"/>
    <s v="MF"/>
    <x v="3"/>
    <s v="4.4.11"/>
    <s v="each"/>
    <n v="1"/>
    <n v="1"/>
    <n v="1"/>
    <n v="1"/>
    <s v="CI-HVC-FRNC-V12-230101"/>
    <m/>
    <n v="236.69249999999985"/>
    <n v="236.69249999999985"/>
    <n v="236.69249999999985"/>
    <n v="236.69249999999985"/>
    <n v="0.87"/>
    <n v="0.87"/>
    <n v="0.87"/>
    <n v="0.87"/>
    <n v="205.92247499999988"/>
    <n v="205.92247499999988"/>
    <n v="205.92247499999988"/>
    <n v="205.92247499999988"/>
    <n v="823.68989999999951"/>
    <n v="0.87"/>
    <n v="0.87"/>
    <n v="0.87"/>
    <n v="0.87"/>
    <n v="0.87"/>
    <n v="0.87"/>
    <n v="0.87"/>
    <n v="0.87"/>
    <m/>
    <m/>
    <n v="236.69249999999985"/>
    <m/>
    <n v="205.92247499999988"/>
    <n v="0"/>
    <m/>
    <m/>
    <n v="236.69249999999985"/>
    <s v="n/a"/>
    <n v="205.92247499999988"/>
    <n v="205.92247499999988"/>
    <n v="0"/>
    <m/>
    <m/>
    <n v="236.69249999999985"/>
    <m/>
    <n v="205.92247499999988"/>
    <n v="0"/>
    <m/>
    <m/>
    <n v="236.69249999999985"/>
    <m/>
    <n v="205.92247499999988"/>
    <n v="0"/>
    <n v="205.92247499999988"/>
    <n v="205.92247499999988"/>
    <n v="205.92247499999988"/>
    <n v="205.92247499999988"/>
    <n v="823.68989999999951"/>
    <s v="NA"/>
    <m/>
  </r>
  <r>
    <s v="NSG"/>
    <x v="3"/>
    <s v="Multi-Family"/>
    <s v="Partner Trade Ally Rebate"/>
    <x v="65"/>
    <s v="&gt;95% AFUE"/>
    <s v="MF"/>
    <x v="3"/>
    <s v="5.3.7"/>
    <s v="each"/>
    <n v="1"/>
    <n v="1"/>
    <n v="1"/>
    <n v="1"/>
    <s v="RS-HVC-GHEF-V12-230101"/>
    <m/>
    <n v="185.63073361823353"/>
    <n v="185.63073361823353"/>
    <n v="185.63073361823353"/>
    <n v="185.63073361823353"/>
    <n v="0.87"/>
    <n v="0.87"/>
    <n v="0.87"/>
    <n v="0.87"/>
    <n v="161.49873824786317"/>
    <n v="161.49873824786317"/>
    <n v="161.49873824786317"/>
    <n v="161.49873824786317"/>
    <n v="645.99495299145269"/>
    <n v="0.87"/>
    <n v="0.87"/>
    <n v="0.87"/>
    <n v="0.87"/>
    <n v="0.87"/>
    <n v="0.87"/>
    <n v="0.87"/>
    <n v="0.87"/>
    <m/>
    <m/>
    <n v="185.63073361823353"/>
    <m/>
    <n v="161.49873824786317"/>
    <n v="0"/>
    <m/>
    <m/>
    <n v="185.63073361823353"/>
    <s v="n/a"/>
    <n v="161.49873824786317"/>
    <n v="161.49873824786317"/>
    <n v="0"/>
    <m/>
    <m/>
    <n v="185.63073361823353"/>
    <m/>
    <n v="161.49873824786317"/>
    <n v="0"/>
    <m/>
    <m/>
    <n v="185.63073361823353"/>
    <m/>
    <n v="161.49873824786317"/>
    <n v="0"/>
    <n v="161.49873824786317"/>
    <n v="161.49873824786317"/>
    <n v="161.49873824786317"/>
    <n v="161.49873824786317"/>
    <n v="645.99495299145269"/>
    <s v="NA"/>
    <m/>
  </r>
  <r>
    <s v="NSG"/>
    <x v="4"/>
    <s v="Multi-Family"/>
    <s v="Whole Building - Public Housing"/>
    <x v="41"/>
    <s v="HVAC Repair/Rep - Audit"/>
    <s v="MF"/>
    <x v="3"/>
    <s v="4.4.16"/>
    <s v="each"/>
    <n v="1"/>
    <n v="1"/>
    <n v="1"/>
    <n v="1"/>
    <s v="CI-HVC-STRE-V09-230101"/>
    <m/>
    <n v="197.03296629323975"/>
    <n v="197.03296629323975"/>
    <n v="197.03296629323975"/>
    <n v="197.03296629323975"/>
    <n v="1"/>
    <n v="1"/>
    <n v="1"/>
    <n v="1"/>
    <n v="197.03296629323975"/>
    <n v="197.03296629323975"/>
    <n v="197.03296629323975"/>
    <n v="197.03296629323975"/>
    <n v="788.13186517295901"/>
    <n v="1"/>
    <n v="1"/>
    <n v="1"/>
    <n v="1"/>
    <n v="1"/>
    <n v="1"/>
    <n v="1"/>
    <n v="1"/>
    <m/>
    <m/>
    <n v="197.03296629323975"/>
    <m/>
    <n v="197.03296629323975"/>
    <n v="0"/>
    <m/>
    <m/>
    <n v="197.03296629323975"/>
    <s v="Updated inputs for Commercial LPS Space Heating and Industrial/Process Low Pressure"/>
    <n v="197.03296629323975"/>
    <n v="197.03296629323975"/>
    <n v="0"/>
    <m/>
    <m/>
    <n v="197.03296629323975"/>
    <m/>
    <n v="197.03296629323975"/>
    <n v="0"/>
    <m/>
    <m/>
    <n v="197.03296629323975"/>
    <m/>
    <n v="197.03296629323975"/>
    <n v="0"/>
    <n v="197.03296629323975"/>
    <n v="197.03296629323975"/>
    <n v="197.03296629323975"/>
    <n v="197.03296629323975"/>
    <n v="788.13186517295901"/>
    <s v="NA"/>
    <m/>
  </r>
  <r>
    <s v="NSG"/>
    <x v="4"/>
    <s v="Multi-Family"/>
    <s v="Whole Building - Public Housing"/>
    <x v="41"/>
    <s v="HVAC Repair/Rep - No Audit"/>
    <s v="MF"/>
    <x v="3"/>
    <s v="4.4.16"/>
    <s v="each"/>
    <n v="1"/>
    <n v="1"/>
    <n v="1"/>
    <n v="1"/>
    <s v="CI-HVC-STRE-V09-230101"/>
    <m/>
    <n v="53.198900899174738"/>
    <n v="53.198900899174738"/>
    <n v="53.198900899174738"/>
    <n v="53.198900899174738"/>
    <n v="1"/>
    <n v="1"/>
    <n v="1"/>
    <n v="1"/>
    <n v="53.198900899174738"/>
    <n v="53.198900899174738"/>
    <n v="53.198900899174738"/>
    <n v="53.198900899174738"/>
    <n v="212.79560359669895"/>
    <n v="1"/>
    <n v="1"/>
    <n v="1"/>
    <n v="1"/>
    <n v="1"/>
    <n v="1"/>
    <n v="1"/>
    <n v="1"/>
    <m/>
    <m/>
    <n v="53.198900899174738"/>
    <m/>
    <n v="53.198900899174738"/>
    <n v="0"/>
    <m/>
    <m/>
    <n v="53.198900899174738"/>
    <s v="Updated inputs for Commercial LPS Space Heating and Industrial/Process Low Pressure"/>
    <n v="53.198900899174738"/>
    <n v="53.198900899174738"/>
    <n v="0"/>
    <m/>
    <m/>
    <n v="53.198900899174738"/>
    <m/>
    <n v="53.198900899174738"/>
    <n v="0"/>
    <m/>
    <m/>
    <n v="53.198900899174738"/>
    <m/>
    <n v="53.198900899174738"/>
    <n v="0"/>
    <n v="53.198900899174738"/>
    <n v="53.198900899174738"/>
    <n v="53.198900899174738"/>
    <n v="53.198900899174738"/>
    <n v="212.79560359669895"/>
    <s v="NA"/>
    <m/>
  </r>
  <r>
    <s v="NSG"/>
    <x v="4"/>
    <s v="Multi-Family"/>
    <s v="Whole Building - Public Housing"/>
    <x v="41"/>
    <s v="Test"/>
    <s v="MF"/>
    <x v="3"/>
    <n v="0"/>
    <s v="each"/>
    <n v="1"/>
    <n v="1"/>
    <n v="1"/>
    <n v="1"/>
    <n v="0"/>
    <m/>
    <n v="0"/>
    <n v="0"/>
    <n v="0"/>
    <n v="0"/>
    <n v="1"/>
    <n v="1"/>
    <n v="1"/>
    <n v="1"/>
    <n v="0"/>
    <n v="0"/>
    <n v="0"/>
    <n v="0"/>
    <n v="0"/>
    <n v="1"/>
    <n v="1"/>
    <n v="1"/>
    <n v="1"/>
    <n v="1"/>
    <n v="1"/>
    <n v="1"/>
    <n v="1"/>
    <m/>
    <m/>
    <n v="0"/>
    <m/>
    <n v="0"/>
    <n v="0"/>
    <m/>
    <m/>
    <n v="0"/>
    <s v="n/a"/>
    <n v="0"/>
    <n v="0"/>
    <n v="0"/>
    <m/>
    <m/>
    <n v="0"/>
    <m/>
    <n v="0"/>
    <n v="0"/>
    <m/>
    <m/>
    <n v="0"/>
    <m/>
    <n v="0"/>
    <n v="0"/>
    <n v="0"/>
    <n v="0"/>
    <n v="0"/>
    <n v="0"/>
    <n v="0"/>
    <s v="NA"/>
    <m/>
  </r>
  <r>
    <s v="NSG"/>
    <x v="5"/>
    <s v="Public Sector"/>
    <s v="Rebates"/>
    <x v="66"/>
    <n v="0"/>
    <s v="CI"/>
    <x v="3"/>
    <n v="0"/>
    <s v="each"/>
    <n v="1"/>
    <n v="1"/>
    <n v="1"/>
    <n v="1"/>
    <n v="0"/>
    <m/>
    <n v="234.94825714285713"/>
    <n v="234.94825714285713"/>
    <n v="234.94825714285713"/>
    <n v="234.94825714285713"/>
    <n v="0.92"/>
    <n v="0.92"/>
    <n v="0.92"/>
    <n v="0.92"/>
    <n v="216.15239657142857"/>
    <n v="216.15239657142857"/>
    <n v="216.15239657142857"/>
    <n v="216.15239657142857"/>
    <n v="864.60958628571427"/>
    <n v="0.92"/>
    <n v="0.92"/>
    <n v="0.92"/>
    <n v="0.92"/>
    <n v="0.92"/>
    <n v="0.92"/>
    <n v="0.92"/>
    <n v="0.92"/>
    <m/>
    <m/>
    <n v="234.94825714285713"/>
    <m/>
    <n v="216.15239657142857"/>
    <n v="0"/>
    <m/>
    <m/>
    <n v="234.94825714285713"/>
    <s v="n/a"/>
    <n v="216.15239657142857"/>
    <n v="216.15239657142857"/>
    <n v="0"/>
    <m/>
    <m/>
    <n v="234.94825714285713"/>
    <m/>
    <n v="216.15239657142857"/>
    <n v="0"/>
    <m/>
    <m/>
    <n v="234.94825714285713"/>
    <m/>
    <n v="216.15239657142857"/>
    <n v="0"/>
    <n v="216.15239657142857"/>
    <n v="216.15239657142857"/>
    <n v="216.15239657142857"/>
    <n v="216.15239657142857"/>
    <n v="864.60958628571427"/>
    <s v="NA"/>
    <m/>
  </r>
  <r>
    <s v="NSG"/>
    <x v="5"/>
    <s v="Small/Mid-Size Business"/>
    <s v="Staffing Grant"/>
    <x v="67"/>
    <n v="0"/>
    <s v="CI"/>
    <x v="3"/>
    <s v="n/a"/>
    <s v="each"/>
    <n v="1"/>
    <n v="1"/>
    <n v="1"/>
    <n v="1"/>
    <s v="n/a"/>
    <m/>
    <n v="0"/>
    <n v="0"/>
    <n v="0"/>
    <n v="0"/>
    <n v="0.93"/>
    <n v="0.93"/>
    <n v="0.93"/>
    <n v="0.93"/>
    <n v="0"/>
    <n v="0"/>
    <n v="0"/>
    <n v="0"/>
    <n v="0"/>
    <n v="0.93"/>
    <n v="0.93"/>
    <n v="0.93"/>
    <n v="0.93"/>
    <n v="0.93"/>
    <n v="0.93"/>
    <n v="0.93"/>
    <n v="0.93"/>
    <m/>
    <m/>
    <n v="0"/>
    <m/>
    <n v="0"/>
    <n v="0"/>
    <m/>
    <m/>
    <n v="0"/>
    <s v="n/a"/>
    <n v="0"/>
    <n v="0"/>
    <n v="0"/>
    <m/>
    <m/>
    <n v="0"/>
    <m/>
    <n v="0"/>
    <n v="0"/>
    <m/>
    <m/>
    <n v="0"/>
    <m/>
    <n v="0"/>
    <n v="0"/>
    <n v="0"/>
    <n v="0"/>
    <n v="0"/>
    <n v="0"/>
    <n v="0"/>
    <s v="NA"/>
    <m/>
  </r>
  <r>
    <s v="NSG"/>
    <x v="5"/>
    <s v="C&amp;I"/>
    <s v="Staffing"/>
    <x v="68"/>
    <n v="0"/>
    <s v="CI"/>
    <x v="3"/>
    <n v="0"/>
    <s v="each"/>
    <n v="0.85"/>
    <n v="0.8"/>
    <n v="0.7"/>
    <n v="0.68"/>
    <n v="0"/>
    <m/>
    <n v="0"/>
    <n v="0"/>
    <n v="0"/>
    <n v="0"/>
    <n v="1.02"/>
    <n v="1.02"/>
    <n v="1.02"/>
    <n v="1.02"/>
    <n v="0"/>
    <n v="0"/>
    <n v="0"/>
    <n v="0"/>
    <n v="0"/>
    <n v="1.02"/>
    <n v="1.02"/>
    <n v="1.02"/>
    <n v="1.02"/>
    <n v="1.02"/>
    <n v="1.02"/>
    <n v="1.02"/>
    <n v="1.02"/>
    <m/>
    <m/>
    <n v="0"/>
    <m/>
    <n v="0"/>
    <n v="0"/>
    <m/>
    <m/>
    <n v="0"/>
    <s v="n/a"/>
    <n v="0"/>
    <n v="0"/>
    <n v="0"/>
    <m/>
    <m/>
    <n v="0"/>
    <m/>
    <n v="0"/>
    <n v="0"/>
    <m/>
    <m/>
    <n v="0"/>
    <m/>
    <n v="0"/>
    <n v="0"/>
    <n v="0"/>
    <n v="0"/>
    <n v="0"/>
    <n v="0"/>
    <n v="0"/>
    <s v="NA"/>
    <m/>
  </r>
  <r>
    <s v="NSG"/>
    <x v="5"/>
    <s v="C&amp;I"/>
    <s v="Rebates"/>
    <x v="66"/>
    <n v="0"/>
    <s v="CI"/>
    <x v="3"/>
    <n v="0"/>
    <s v="each"/>
    <n v="0.85"/>
    <n v="0.8"/>
    <n v="0.7"/>
    <n v="0.68"/>
    <n v="0"/>
    <m/>
    <n v="234.94825714285713"/>
    <n v="234.94825714285713"/>
    <n v="234.94825714285713"/>
    <n v="234.94825714285713"/>
    <n v="0.91"/>
    <n v="0.91"/>
    <n v="0.91"/>
    <n v="0.91"/>
    <n v="181.73247689999999"/>
    <n v="171.04233120000001"/>
    <n v="149.6620398"/>
    <n v="145.38598152"/>
    <n v="647.82282941999995"/>
    <n v="0.91"/>
    <n v="0.91"/>
    <n v="0.91"/>
    <n v="0.91"/>
    <n v="0.91"/>
    <n v="0.91"/>
    <n v="0.91"/>
    <n v="0.91"/>
    <m/>
    <m/>
    <n v="234.94825714285713"/>
    <m/>
    <n v="181.73247689999999"/>
    <n v="0"/>
    <m/>
    <m/>
    <n v="234.94825714285713"/>
    <s v="n/a"/>
    <n v="171.04233120000001"/>
    <n v="171.04233120000001"/>
    <n v="0"/>
    <m/>
    <m/>
    <n v="234.94825714285713"/>
    <m/>
    <n v="149.6620398"/>
    <n v="0"/>
    <m/>
    <m/>
    <n v="234.94825714285713"/>
    <m/>
    <n v="145.38598152"/>
    <n v="0"/>
    <n v="181.73247689999999"/>
    <n v="171.04233120000001"/>
    <n v="149.6620398"/>
    <n v="145.38598152"/>
    <n v="647.82282941999995"/>
    <s v="NA"/>
    <m/>
  </r>
  <r>
    <s v="NSG"/>
    <x v="5"/>
    <s v="C&amp;I"/>
    <s v="Rebates"/>
    <x v="4"/>
    <s v="Steam Med Fitting"/>
    <s v="CI"/>
    <x v="3"/>
    <s v="&quot;3 - Pipe Insulation&quot; worksheet"/>
    <s v="each"/>
    <n v="0.85"/>
    <n v="0.8"/>
    <n v="0.7"/>
    <n v="0.68"/>
    <n v="0"/>
    <m/>
    <n v="16.16754015857342"/>
    <n v="16.16754015857342"/>
    <n v="16.16754015857342"/>
    <n v="16.16754015857342"/>
    <n v="0.91"/>
    <n v="0.91"/>
    <n v="0.91"/>
    <n v="0.91"/>
    <n v="12.505592312656541"/>
    <n v="11.769969235441451"/>
    <n v="10.298723081011268"/>
    <n v="10.004473850125233"/>
    <n v="44.578758479234494"/>
    <n v="0.91"/>
    <n v="0.91"/>
    <n v="0.91"/>
    <n v="0.91"/>
    <n v="0.91"/>
    <n v="0.91"/>
    <n v="0.91"/>
    <n v="0.91"/>
    <m/>
    <m/>
    <n v="16.16754015857342"/>
    <m/>
    <n v="12.505592312656541"/>
    <n v="0"/>
    <m/>
    <m/>
    <n v="16.16754015857342"/>
    <s v="n/a"/>
    <n v="11.769969235441451"/>
    <n v="11.769969235441451"/>
    <n v="0"/>
    <m/>
    <m/>
    <n v="16.16754015857342"/>
    <m/>
    <n v="10.298723081011268"/>
    <n v="0"/>
    <m/>
    <m/>
    <n v="16.16754015857342"/>
    <m/>
    <n v="10.004473850125233"/>
    <n v="0"/>
    <n v="12.505592312656541"/>
    <n v="11.769969235441451"/>
    <n v="10.298723081011268"/>
    <n v="10.004473850125233"/>
    <n v="44.578758479234494"/>
    <s v="NA"/>
    <m/>
  </r>
  <r>
    <s v="NSG"/>
    <x v="5"/>
    <s v="C&amp;I"/>
    <s v="Gas Optimization"/>
    <x v="25"/>
    <n v="0"/>
    <s v="CI"/>
    <x v="3"/>
    <n v="0"/>
    <s v="therm"/>
    <n v="72858"/>
    <n v="77715.199999999997"/>
    <n v="68000.800000000003"/>
    <n v="66057.919999999998"/>
    <n v="0"/>
    <m/>
    <n v="1"/>
    <n v="1"/>
    <n v="1"/>
    <n v="1"/>
    <n v="0.94"/>
    <n v="0.94"/>
    <n v="0.94"/>
    <n v="0.94"/>
    <n v="68486.51999999999"/>
    <n v="73052.287999999986"/>
    <n v="63920.752"/>
    <n v="62094.444799999997"/>
    <n v="267554.0048"/>
    <n v="0.94"/>
    <n v="0.94"/>
    <n v="0.94"/>
    <n v="0.94"/>
    <n v="0.94"/>
    <n v="0.94"/>
    <n v="0.94"/>
    <n v="0.94"/>
    <m/>
    <m/>
    <n v="1"/>
    <m/>
    <n v="68486.51999999999"/>
    <n v="0"/>
    <m/>
    <m/>
    <n v="1"/>
    <s v="n/a"/>
    <n v="73052.287999999986"/>
    <n v="73052.287999999986"/>
    <n v="0"/>
    <m/>
    <m/>
    <n v="1"/>
    <m/>
    <n v="63920.752"/>
    <n v="0"/>
    <m/>
    <m/>
    <n v="1"/>
    <m/>
    <n v="62094.444799999997"/>
    <n v="0"/>
    <n v="68486.51999999999"/>
    <n v="73052.287999999986"/>
    <n v="63920.752"/>
    <n v="62094.444799999997"/>
    <n v="267554.0048"/>
    <s v="NA"/>
    <m/>
  </r>
  <r>
    <s v="NSG"/>
    <x v="5"/>
    <s v="C&amp;I"/>
    <s v="Engineering Study"/>
    <x v="69"/>
    <n v="0"/>
    <s v="CI"/>
    <x v="3"/>
    <n v="0"/>
    <s v="each"/>
    <n v="0"/>
    <n v="0"/>
    <n v="0"/>
    <n v="0"/>
    <n v="0"/>
    <m/>
    <n v="0"/>
    <n v="0"/>
    <n v="0"/>
    <n v="0"/>
    <n v="1.02"/>
    <n v="1.02"/>
    <n v="1.02"/>
    <n v="1.02"/>
    <n v="0"/>
    <n v="0"/>
    <n v="0"/>
    <n v="0"/>
    <n v="0"/>
    <n v="1.02"/>
    <n v="1.02"/>
    <n v="1.02"/>
    <n v="1.02"/>
    <n v="1.02"/>
    <n v="1.02"/>
    <n v="1.02"/>
    <n v="1.02"/>
    <m/>
    <m/>
    <n v="0"/>
    <m/>
    <n v="0"/>
    <n v="0"/>
    <m/>
    <m/>
    <n v="0"/>
    <s v="n/a"/>
    <n v="0"/>
    <n v="0"/>
    <n v="0"/>
    <m/>
    <m/>
    <n v="0"/>
    <m/>
    <n v="0"/>
    <n v="0"/>
    <m/>
    <m/>
    <n v="0"/>
    <m/>
    <n v="0"/>
    <n v="0"/>
    <n v="0"/>
    <n v="0"/>
    <n v="0"/>
    <n v="0"/>
    <n v="0"/>
    <s v="NA"/>
    <m/>
  </r>
  <r>
    <s v="NSG"/>
    <x v="5"/>
    <s v="C&amp;I"/>
    <s v="Rebates"/>
    <x v="34"/>
    <n v="0"/>
    <s v="CI"/>
    <x v="3"/>
    <s v="4.4.4"/>
    <s v="MBH"/>
    <n v="0"/>
    <n v="0"/>
    <n v="0"/>
    <n v="0"/>
    <s v="CI-HVC-BLRC-V04-210101"/>
    <m/>
    <n v="1.3424"/>
    <n v="1.3424"/>
    <n v="1.3424"/>
    <n v="1.3424"/>
    <n v="0.91"/>
    <n v="0.91"/>
    <n v="0.91"/>
    <n v="0.91"/>
    <n v="0"/>
    <n v="0"/>
    <n v="0"/>
    <n v="0"/>
    <n v="0"/>
    <n v="0.91"/>
    <n v="0.91"/>
    <n v="0.91"/>
    <n v="0.91"/>
    <n v="0.91"/>
    <n v="0.91"/>
    <n v="0.91"/>
    <n v="0.91"/>
    <m/>
    <m/>
    <n v="1.3424"/>
    <m/>
    <n v="0"/>
    <n v="0"/>
    <m/>
    <m/>
    <n v="1.3424"/>
    <s v="n/a"/>
    <n v="0"/>
    <n v="0"/>
    <n v="0"/>
    <m/>
    <m/>
    <n v="1.3424"/>
    <m/>
    <n v="0"/>
    <n v="0"/>
    <m/>
    <m/>
    <n v="1.3424"/>
    <m/>
    <n v="0"/>
    <n v="0"/>
    <n v="0"/>
    <n v="0"/>
    <n v="0"/>
    <n v="0"/>
    <n v="0"/>
    <s v="NA"/>
    <m/>
  </r>
  <r>
    <s v="NSG"/>
    <x v="5"/>
    <s v="C&amp;I"/>
    <s v="Rebates"/>
    <x v="37"/>
    <s v="&gt;95% AFUE"/>
    <s v="CI"/>
    <x v="3"/>
    <s v="4.4.11"/>
    <s v="each"/>
    <n v="0"/>
    <n v="0"/>
    <n v="0"/>
    <n v="0"/>
    <s v="CI-HVC-FRNC-V12-230101"/>
    <m/>
    <n v="247.08549999999985"/>
    <n v="247.08549999999985"/>
    <n v="247.08549999999985"/>
    <n v="247.08549999999985"/>
    <n v="0.91"/>
    <n v="0.91"/>
    <n v="0.91"/>
    <n v="0.91"/>
    <n v="0"/>
    <n v="0"/>
    <n v="0"/>
    <n v="0"/>
    <n v="0"/>
    <n v="0.91"/>
    <n v="0.91"/>
    <n v="0.91"/>
    <n v="0.91"/>
    <n v="0.91"/>
    <n v="0.91"/>
    <n v="0.91"/>
    <n v="0.91"/>
    <m/>
    <m/>
    <n v="247.08549999999985"/>
    <m/>
    <n v="0"/>
    <n v="0"/>
    <m/>
    <m/>
    <n v="247.08549999999985"/>
    <s v="n/a"/>
    <n v="0"/>
    <n v="0"/>
    <n v="0"/>
    <m/>
    <m/>
    <n v="247.08549999999985"/>
    <m/>
    <n v="0"/>
    <n v="0"/>
    <m/>
    <m/>
    <n v="247.08549999999985"/>
    <m/>
    <n v="0"/>
    <n v="0"/>
    <n v="0"/>
    <n v="0"/>
    <n v="0"/>
    <n v="0"/>
    <n v="0"/>
    <s v="NA"/>
    <m/>
  </r>
  <r>
    <s v="NSG"/>
    <x v="5"/>
    <s v="C&amp;I"/>
    <s v="Rebates"/>
    <x v="70"/>
    <n v="0"/>
    <s v="MF/CI"/>
    <x v="3"/>
    <s v="4.4.5"/>
    <s v="MBH"/>
    <n v="0"/>
    <n v="0"/>
    <n v="0"/>
    <n v="0"/>
    <s v="CI-HVC-CUHT-V03-230101"/>
    <m/>
    <n v="1.7733333333333334"/>
    <n v="1.7733333333333334"/>
    <n v="1.7733333333333334"/>
    <n v="1.7733333333333334"/>
    <n v="0.91"/>
    <n v="0.91"/>
    <n v="0.91"/>
    <n v="0.91"/>
    <n v="0"/>
    <n v="0"/>
    <n v="0"/>
    <n v="0"/>
    <n v="0"/>
    <n v="0.91"/>
    <n v="0.91"/>
    <n v="0.91"/>
    <n v="0.91"/>
    <n v="0.91"/>
    <n v="0.91"/>
    <n v="0.91"/>
    <n v="0.91"/>
    <m/>
    <m/>
    <n v="1.6896527777777772"/>
    <m/>
    <n v="0"/>
    <n v="0"/>
    <m/>
    <m/>
    <n v="1.6896527777777772"/>
    <s v="n/a"/>
    <n v="0"/>
    <n v="0"/>
    <n v="0"/>
    <m/>
    <m/>
    <n v="1.6896527777777772"/>
    <m/>
    <n v="0"/>
    <n v="0"/>
    <m/>
    <m/>
    <n v="1.6896527777777772"/>
    <m/>
    <n v="0"/>
    <n v="0"/>
    <n v="0"/>
    <n v="0"/>
    <n v="0"/>
    <n v="0"/>
    <n v="0"/>
    <s v="NA"/>
    <m/>
  </r>
  <r>
    <s v="NSG"/>
    <x v="5"/>
    <s v="C&amp;I"/>
    <s v="Rebates"/>
    <x v="71"/>
    <n v="0"/>
    <s v="MF/CI"/>
    <x v="3"/>
    <s v="4.4.39"/>
    <s v="MBH"/>
    <n v="0"/>
    <n v="0"/>
    <n v="0"/>
    <n v="0"/>
    <s v="CI-HVC-HTHV-V02-230101"/>
    <m/>
    <n v="3.72"/>
    <n v="3.72"/>
    <n v="3.72"/>
    <n v="3.72"/>
    <n v="0.91"/>
    <n v="0.91"/>
    <n v="0.91"/>
    <n v="0.91"/>
    <n v="0"/>
    <n v="0"/>
    <n v="0"/>
    <n v="0"/>
    <n v="0"/>
    <n v="0.91"/>
    <n v="0.91"/>
    <n v="0.91"/>
    <n v="0.91"/>
    <n v="0.91"/>
    <n v="0.91"/>
    <n v="0.91"/>
    <n v="0.91"/>
    <m/>
    <m/>
    <n v="3.72"/>
    <m/>
    <n v="0"/>
    <n v="0"/>
    <m/>
    <m/>
    <n v="3.72"/>
    <s v="n/a"/>
    <n v="0"/>
    <n v="0"/>
    <n v="0"/>
    <m/>
    <m/>
    <n v="3.72"/>
    <m/>
    <n v="0"/>
    <n v="0"/>
    <m/>
    <m/>
    <n v="3.72"/>
    <m/>
    <n v="0"/>
    <n v="0"/>
    <n v="0"/>
    <n v="0"/>
    <n v="0"/>
    <n v="0"/>
    <n v="0"/>
    <s v="NA"/>
    <m/>
  </r>
  <r>
    <s v="NSG"/>
    <x v="5"/>
    <s v="C&amp;I"/>
    <s v="Rebates"/>
    <x v="72"/>
    <n v="0"/>
    <s v="CI"/>
    <x v="3"/>
    <s v="4.4.48"/>
    <s v="each"/>
    <n v="0"/>
    <n v="0"/>
    <n v="0"/>
    <n v="0"/>
    <s v="CI-HVC-THST-V05-230101"/>
    <m/>
    <n v="196.26391399999997"/>
    <n v="196.26391399999997"/>
    <n v="196.26391399999997"/>
    <n v="196.26391399999997"/>
    <n v="0.91"/>
    <n v="0.91"/>
    <n v="0.91"/>
    <n v="0.91"/>
    <n v="0"/>
    <n v="0"/>
    <n v="0"/>
    <n v="0"/>
    <n v="0"/>
    <n v="0.91"/>
    <n v="0.91"/>
    <n v="0.91"/>
    <n v="0.91"/>
    <n v="0.91"/>
    <n v="0.91"/>
    <n v="0.91"/>
    <n v="0.91"/>
    <m/>
    <m/>
    <n v="157.01113119999999"/>
    <m/>
    <n v="0"/>
    <n v="0"/>
    <m/>
    <m/>
    <n v="157.01113119999999"/>
    <s v="n/a"/>
    <n v="0"/>
    <n v="0"/>
    <n v="0"/>
    <m/>
    <m/>
    <n v="157.01113119999999"/>
    <m/>
    <n v="0"/>
    <n v="0"/>
    <m/>
    <m/>
    <n v="157.01113119999999"/>
    <m/>
    <n v="0"/>
    <n v="0"/>
    <n v="0"/>
    <n v="0"/>
    <n v="0"/>
    <n v="0"/>
    <n v="0"/>
    <s v="NA"/>
    <m/>
  </r>
  <r>
    <s v="NSG"/>
    <x v="5"/>
    <s v="C&amp;I"/>
    <s v="Rebates"/>
    <x v="12"/>
    <s v="Storage 0.67 EF"/>
    <s v="CI"/>
    <x v="3"/>
    <s v="4.3.1"/>
    <s v="each"/>
    <n v="0"/>
    <n v="0"/>
    <n v="0"/>
    <n v="0"/>
    <s v="CI-HWE-STWH-V09-230101"/>
    <m/>
    <n v="56.252452620818083"/>
    <n v="56.252452620818083"/>
    <n v="56.252452620818083"/>
    <n v="56.252452620818083"/>
    <n v="0.91"/>
    <n v="0.91"/>
    <n v="0.91"/>
    <n v="0.91"/>
    <n v="0"/>
    <n v="0"/>
    <n v="0"/>
    <n v="0"/>
    <n v="0"/>
    <n v="0.91"/>
    <n v="0.91"/>
    <n v="0.91"/>
    <n v="0.91"/>
    <n v="0.91"/>
    <n v="0.91"/>
    <n v="0.91"/>
    <n v="0.91"/>
    <m/>
    <m/>
    <n v="58.867003235588506"/>
    <m/>
    <n v="0"/>
    <n v="0"/>
    <m/>
    <m/>
    <n v="58.550513970881049"/>
    <s v="n/a"/>
    <n v="0"/>
    <n v="0"/>
    <n v="0"/>
    <m/>
    <m/>
    <n v="58.550513970881049"/>
    <m/>
    <n v="0"/>
    <n v="0"/>
    <m/>
    <m/>
    <n v="58.550513970881049"/>
    <m/>
    <n v="0"/>
    <n v="0"/>
    <n v="0"/>
    <n v="0"/>
    <n v="0"/>
    <n v="0"/>
    <n v="0"/>
    <s v="NA"/>
    <m/>
  </r>
  <r>
    <s v="NSG"/>
    <x v="5"/>
    <s v="C&amp;I"/>
    <s v="Rebates"/>
    <x v="73"/>
    <n v="0"/>
    <s v="MF/CI"/>
    <x v="3"/>
    <s v="4.4.12"/>
    <s v="MBH"/>
    <n v="0"/>
    <n v="0"/>
    <n v="0"/>
    <n v="0"/>
    <s v="CI-HVC-IRHT-V03-230101"/>
    <m/>
    <n v="2.9611764705882351"/>
    <n v="2.9611764705882351"/>
    <n v="2.9611764705882351"/>
    <n v="2.9611764705882351"/>
    <n v="0.91"/>
    <n v="0.91"/>
    <n v="0.91"/>
    <n v="0.91"/>
    <n v="0"/>
    <n v="0"/>
    <n v="0"/>
    <n v="0"/>
    <n v="0"/>
    <n v="0.91"/>
    <n v="0.91"/>
    <n v="0.91"/>
    <n v="0.91"/>
    <n v="0.91"/>
    <n v="0.91"/>
    <n v="0.91"/>
    <n v="0.91"/>
    <m/>
    <m/>
    <n v="2.9611764705882351"/>
    <m/>
    <n v="0"/>
    <n v="0"/>
    <m/>
    <m/>
    <n v="2.9611764705882351"/>
    <s v="n/a"/>
    <n v="0"/>
    <n v="0"/>
    <n v="0"/>
    <m/>
    <m/>
    <n v="2.9611764705882351"/>
    <m/>
    <n v="0"/>
    <n v="0"/>
    <m/>
    <m/>
    <n v="2.9611764705882351"/>
    <m/>
    <n v="0"/>
    <n v="0"/>
    <n v="0"/>
    <n v="0"/>
    <n v="0"/>
    <n v="0"/>
    <n v="0"/>
    <s v="NA"/>
    <m/>
  </r>
  <r>
    <s v="NSG"/>
    <x v="5"/>
    <s v="C&amp;I"/>
    <s v="Rebates"/>
    <x v="56"/>
    <s v="Hotels &amp; Hospitals"/>
    <s v="CI"/>
    <x v="3"/>
    <s v="4.8.4"/>
    <s v="each"/>
    <n v="0"/>
    <n v="0"/>
    <n v="0"/>
    <n v="0"/>
    <s v="CI-MSC-MODD-V02-230101"/>
    <m/>
    <n v="649.26"/>
    <n v="649.26"/>
    <n v="649.26"/>
    <n v="649.26"/>
    <n v="0.91"/>
    <n v="0.91"/>
    <n v="0.91"/>
    <n v="0.91"/>
    <n v="0"/>
    <n v="0"/>
    <n v="0"/>
    <n v="0"/>
    <n v="0"/>
    <n v="0.91"/>
    <n v="0.91"/>
    <n v="0.91"/>
    <n v="0.91"/>
    <n v="0.91"/>
    <n v="0.91"/>
    <n v="0.91"/>
    <n v="0.91"/>
    <m/>
    <m/>
    <n v="649.26"/>
    <m/>
    <n v="0"/>
    <n v="0"/>
    <m/>
    <m/>
    <n v="649.26"/>
    <s v="Updated measure lifetime."/>
    <n v="0"/>
    <n v="0"/>
    <n v="0"/>
    <m/>
    <m/>
    <n v="649.26"/>
    <m/>
    <n v="0"/>
    <n v="0"/>
    <m/>
    <m/>
    <n v="649.26"/>
    <m/>
    <n v="0"/>
    <n v="0"/>
    <n v="0"/>
    <n v="0"/>
    <n v="0"/>
    <n v="0"/>
    <n v="0"/>
    <s v="NA"/>
    <m/>
  </r>
  <r>
    <s v="NSG"/>
    <x v="5"/>
    <s v="C&amp;I"/>
    <s v="Rebates"/>
    <x v="56"/>
    <s v="Laundromat &amp; MF Dorms"/>
    <s v="MF/SMB"/>
    <x v="3"/>
    <s v="4.8.4"/>
    <s v="each"/>
    <n v="0"/>
    <n v="0"/>
    <n v="0"/>
    <n v="0"/>
    <s v="CI-MSC-MODD-V02-230101"/>
    <m/>
    <n v="230.13"/>
    <n v="230.13"/>
    <n v="230.13"/>
    <n v="230.13"/>
    <n v="0.91"/>
    <n v="0.91"/>
    <n v="0.91"/>
    <n v="0.91"/>
    <n v="0"/>
    <n v="0"/>
    <n v="0"/>
    <n v="0"/>
    <n v="0"/>
    <n v="0.91"/>
    <n v="0.91"/>
    <n v="0.91"/>
    <n v="0.91"/>
    <n v="0.91"/>
    <n v="0.91"/>
    <n v="0.91"/>
    <n v="0.91"/>
    <m/>
    <m/>
    <n v="230.13"/>
    <m/>
    <n v="0"/>
    <n v="0"/>
    <m/>
    <m/>
    <n v="230.13"/>
    <s v="Updated measure lifetime."/>
    <n v="0"/>
    <n v="0"/>
    <n v="0"/>
    <m/>
    <m/>
    <n v="230.13"/>
    <m/>
    <n v="0"/>
    <n v="0"/>
    <m/>
    <m/>
    <n v="230.13"/>
    <m/>
    <n v="0"/>
    <n v="0"/>
    <n v="0"/>
    <n v="0"/>
    <n v="0"/>
    <n v="0"/>
    <n v="0"/>
    <s v="NA"/>
    <m/>
  </r>
  <r>
    <s v="NSG"/>
    <x v="5"/>
    <s v="C&amp;I"/>
    <s v="Rebates"/>
    <x v="74"/>
    <n v="0"/>
    <s v="MF/CI"/>
    <x v="3"/>
    <s v="4.3.6"/>
    <s v="lb-capacity"/>
    <n v="0"/>
    <n v="0"/>
    <n v="0"/>
    <n v="0"/>
    <s v="CI-HWE-OZLD-V07-230101"/>
    <m/>
    <n v="30.722664192350027"/>
    <n v="30.722664192350027"/>
    <n v="30.722664192350027"/>
    <n v="30.722664192350027"/>
    <n v="0.91"/>
    <n v="0.91"/>
    <n v="0.91"/>
    <n v="0.91"/>
    <n v="0"/>
    <n v="0"/>
    <n v="0"/>
    <n v="0"/>
    <n v="0"/>
    <n v="0.91"/>
    <n v="0.91"/>
    <n v="0.91"/>
    <n v="0.91"/>
    <n v="0.91"/>
    <n v="0.91"/>
    <n v="0.91"/>
    <n v="0.91"/>
    <m/>
    <m/>
    <n v="30.722664192350027"/>
    <m/>
    <n v="0"/>
    <n v="0"/>
    <m/>
    <m/>
    <n v="30.722664192350027"/>
    <s v="n/a"/>
    <n v="0"/>
    <n v="0"/>
    <n v="0"/>
    <m/>
    <m/>
    <n v="30.722664192350027"/>
    <m/>
    <n v="0"/>
    <n v="0"/>
    <m/>
    <m/>
    <n v="30.722664192350027"/>
    <m/>
    <n v="0"/>
    <n v="0"/>
    <n v="0"/>
    <n v="0"/>
    <n v="0"/>
    <n v="0"/>
    <n v="0"/>
    <s v="NA"/>
    <m/>
  </r>
  <r>
    <s v="NSG"/>
    <x v="5"/>
    <s v="C&amp;I"/>
    <s v="Rebates"/>
    <x v="4"/>
    <s v="Steam Large Fitting"/>
    <s v="CI"/>
    <x v="3"/>
    <s v="&quot;3 - Pipe Insulation&quot; worksheet"/>
    <s v="each"/>
    <n v="0"/>
    <n v="0"/>
    <n v="0"/>
    <n v="0"/>
    <n v="0"/>
    <m/>
    <n v="44.895855334511324"/>
    <n v="44.895855334511324"/>
    <n v="44.895855334511324"/>
    <n v="44.895855334511324"/>
    <n v="0.91"/>
    <n v="0.91"/>
    <n v="0.91"/>
    <n v="0.91"/>
    <n v="0"/>
    <n v="0"/>
    <n v="0"/>
    <n v="0"/>
    <n v="0"/>
    <n v="0.91"/>
    <n v="0.91"/>
    <n v="0.91"/>
    <n v="0.91"/>
    <n v="0.91"/>
    <n v="0.91"/>
    <n v="0.91"/>
    <n v="0.91"/>
    <m/>
    <m/>
    <n v="44.895855334511324"/>
    <m/>
    <n v="0"/>
    <n v="0"/>
    <m/>
    <m/>
    <n v="44.895855334511324"/>
    <s v="n/a"/>
    <n v="0"/>
    <n v="0"/>
    <n v="0"/>
    <m/>
    <m/>
    <n v="44.895855334511324"/>
    <m/>
    <n v="0"/>
    <n v="0"/>
    <m/>
    <m/>
    <n v="44.895855334511324"/>
    <m/>
    <n v="0"/>
    <n v="0"/>
    <n v="0"/>
    <n v="0"/>
    <n v="0"/>
    <n v="0"/>
    <n v="0"/>
    <s v="NA"/>
    <m/>
  </r>
  <r>
    <s v="NSG"/>
    <x v="5"/>
    <s v="C&amp;I"/>
    <s v="Rebates"/>
    <x v="4"/>
    <s v="Steam X-Large Fitting"/>
    <s v="CI"/>
    <x v="3"/>
    <s v="&quot;3 - Pipe Insulation&quot; worksheet"/>
    <s v="each"/>
    <n v="0"/>
    <n v="0"/>
    <n v="0"/>
    <n v="0"/>
    <n v="0"/>
    <m/>
    <n v="80.577400496643122"/>
    <n v="80.577400496643122"/>
    <n v="80.577400496643122"/>
    <n v="80.577400496643122"/>
    <n v="0.91"/>
    <n v="0.91"/>
    <n v="0.91"/>
    <n v="0.91"/>
    <n v="0"/>
    <n v="0"/>
    <n v="0"/>
    <n v="0"/>
    <n v="0"/>
    <n v="0.91"/>
    <n v="0.91"/>
    <n v="0.91"/>
    <n v="0.91"/>
    <n v="0.91"/>
    <n v="0.91"/>
    <n v="0.91"/>
    <n v="0.91"/>
    <m/>
    <m/>
    <n v="80.577400496643122"/>
    <m/>
    <n v="0"/>
    <n v="0"/>
    <m/>
    <m/>
    <n v="80.577400496643122"/>
    <s v="n/a"/>
    <n v="0"/>
    <n v="0"/>
    <n v="0"/>
    <m/>
    <m/>
    <n v="80.577400496643122"/>
    <m/>
    <n v="0"/>
    <n v="0"/>
    <m/>
    <m/>
    <n v="80.577400496643122"/>
    <m/>
    <n v="0"/>
    <n v="0"/>
    <n v="0"/>
    <n v="0"/>
    <n v="0"/>
    <n v="0"/>
    <n v="0"/>
    <s v="NA"/>
    <m/>
  </r>
  <r>
    <s v="NSG"/>
    <x v="5"/>
    <s v="C&amp;I"/>
    <s v="Rebates"/>
    <x v="4"/>
    <s v="Steam Med Valve"/>
    <s v="CI"/>
    <x v="3"/>
    <s v="&quot;3 - Pipe Insulation&quot; worksheet"/>
    <s v="each"/>
    <n v="0"/>
    <n v="0"/>
    <n v="0"/>
    <n v="0"/>
    <n v="0"/>
    <m/>
    <n v="49.002251273013741"/>
    <n v="49.002251273013741"/>
    <n v="49.002251273013741"/>
    <n v="49.002251273013741"/>
    <n v="0.91"/>
    <n v="0.91"/>
    <n v="0.91"/>
    <n v="0.91"/>
    <n v="0"/>
    <n v="0"/>
    <n v="0"/>
    <n v="0"/>
    <n v="0"/>
    <n v="0.91"/>
    <n v="0.91"/>
    <n v="0.91"/>
    <n v="0.91"/>
    <n v="0.91"/>
    <n v="0.91"/>
    <n v="0.91"/>
    <n v="0.91"/>
    <m/>
    <m/>
    <n v="49.002251273013741"/>
    <m/>
    <n v="0"/>
    <n v="0"/>
    <m/>
    <m/>
    <n v="49.002251273013741"/>
    <s v="n/a"/>
    <n v="0"/>
    <n v="0"/>
    <n v="0"/>
    <m/>
    <m/>
    <n v="49.002251273013741"/>
    <m/>
    <n v="0"/>
    <n v="0"/>
    <m/>
    <m/>
    <n v="49.002251273013741"/>
    <m/>
    <n v="0"/>
    <n v="0"/>
    <n v="0"/>
    <n v="0"/>
    <n v="0"/>
    <n v="0"/>
    <n v="0"/>
    <s v="NA"/>
    <m/>
  </r>
  <r>
    <s v="NSG"/>
    <x v="5"/>
    <s v="C&amp;I"/>
    <s v="Rebates"/>
    <x v="4"/>
    <s v="Steam Large Valve"/>
    <s v="CI"/>
    <x v="3"/>
    <s v="&quot;3 - Pipe Insulation&quot; worksheet"/>
    <s v="each"/>
    <n v="0"/>
    <n v="0"/>
    <n v="0"/>
    <n v="0"/>
    <n v="0"/>
    <m/>
    <n v="107.52607289087437"/>
    <n v="107.52607289087437"/>
    <n v="107.52607289087437"/>
    <n v="107.52607289087437"/>
    <n v="0.91"/>
    <n v="0.91"/>
    <n v="0.91"/>
    <n v="0.91"/>
    <n v="0"/>
    <n v="0"/>
    <n v="0"/>
    <n v="0"/>
    <n v="0"/>
    <n v="0.91"/>
    <n v="0.91"/>
    <n v="0.91"/>
    <n v="0.91"/>
    <n v="0.91"/>
    <n v="0.91"/>
    <n v="0.91"/>
    <n v="0.91"/>
    <m/>
    <m/>
    <n v="107.52607289087437"/>
    <m/>
    <n v="0"/>
    <n v="0"/>
    <m/>
    <m/>
    <n v="107.52607289087437"/>
    <s v="n/a"/>
    <n v="0"/>
    <n v="0"/>
    <n v="0"/>
    <m/>
    <m/>
    <n v="107.52607289087437"/>
    <m/>
    <n v="0"/>
    <n v="0"/>
    <m/>
    <m/>
    <n v="107.52607289087437"/>
    <m/>
    <n v="0"/>
    <n v="0"/>
    <n v="0"/>
    <n v="0"/>
    <n v="0"/>
    <n v="0"/>
    <n v="0"/>
    <s v="NA"/>
    <m/>
  </r>
  <r>
    <s v="NSG"/>
    <x v="5"/>
    <s v="C&amp;I"/>
    <s v="Rebates"/>
    <x v="4"/>
    <s v="Steam X-Large Valve"/>
    <s v="CI"/>
    <x v="3"/>
    <s v="&quot;3 - Pipe Insulation&quot; worksheet"/>
    <s v="each"/>
    <n v="0"/>
    <n v="0"/>
    <n v="0"/>
    <n v="0"/>
    <n v="0"/>
    <m/>
    <n v="175.06254164158375"/>
    <n v="175.06254164158375"/>
    <n v="175.06254164158375"/>
    <n v="175.06254164158375"/>
    <n v="0.91"/>
    <n v="0.91"/>
    <n v="0.91"/>
    <n v="0.91"/>
    <n v="0"/>
    <n v="0"/>
    <n v="0"/>
    <n v="0"/>
    <n v="0"/>
    <n v="0.91"/>
    <n v="0.91"/>
    <n v="0.91"/>
    <n v="0.91"/>
    <n v="0.91"/>
    <n v="0.91"/>
    <n v="0.91"/>
    <n v="0.91"/>
    <m/>
    <m/>
    <n v="175.06254164158375"/>
    <m/>
    <n v="0"/>
    <n v="0"/>
    <m/>
    <m/>
    <n v="175.06254164158375"/>
    <s v="n/a"/>
    <n v="0"/>
    <n v="0"/>
    <n v="0"/>
    <m/>
    <m/>
    <n v="175.06254164158375"/>
    <m/>
    <n v="0"/>
    <n v="0"/>
    <m/>
    <m/>
    <n v="175.06254164158375"/>
    <m/>
    <n v="0"/>
    <n v="0"/>
    <n v="0"/>
    <n v="0"/>
    <n v="0"/>
    <n v="0"/>
    <n v="0"/>
    <s v="NA"/>
    <m/>
  </r>
  <r>
    <s v="NSG"/>
    <x v="5"/>
    <s v="C&amp;I"/>
    <s v="Rebates"/>
    <x v="10"/>
    <n v="0"/>
    <s v="CI"/>
    <x v="3"/>
    <s v="4.2.11"/>
    <s v="each"/>
    <n v="0"/>
    <n v="0"/>
    <n v="0"/>
    <n v="0"/>
    <s v="CI-FSE-CVOV-V02-180101"/>
    <m/>
    <n v="235.77765120000004"/>
    <n v="235.77765120000004"/>
    <n v="235.77765120000004"/>
    <n v="235.77765120000004"/>
    <n v="0.91"/>
    <n v="0.91"/>
    <n v="0.91"/>
    <n v="0.91"/>
    <n v="0"/>
    <n v="0"/>
    <n v="0"/>
    <n v="0"/>
    <n v="0"/>
    <n v="0.91"/>
    <n v="0.91"/>
    <n v="0.91"/>
    <n v="0.91"/>
    <n v="0.91"/>
    <n v="0.91"/>
    <n v="0.91"/>
    <n v="0.91"/>
    <m/>
    <m/>
    <n v="247.22970854399998"/>
    <m/>
    <n v="0"/>
    <n v="0"/>
    <m/>
    <m/>
    <n v="247.22970854399998"/>
    <s v="n/a"/>
    <n v="0"/>
    <n v="0"/>
    <n v="0"/>
    <m/>
    <m/>
    <n v="247.22970854399998"/>
    <m/>
    <n v="0"/>
    <n v="0"/>
    <m/>
    <m/>
    <n v="247.22970854399998"/>
    <m/>
    <n v="0"/>
    <n v="0"/>
    <n v="0"/>
    <n v="0"/>
    <n v="0"/>
    <n v="0"/>
    <n v="0"/>
    <s v="NA"/>
    <m/>
  </r>
  <r>
    <s v="NSG"/>
    <x v="5"/>
    <s v="C&amp;I"/>
    <s v="Rebates"/>
    <x v="41"/>
    <s v="Dry Cleaner/Industrial - No Audit"/>
    <s v="MF/CI/SMB"/>
    <x v="3"/>
    <s v="4.4.16"/>
    <s v="each"/>
    <n v="0"/>
    <n v="0"/>
    <n v="0"/>
    <n v="0"/>
    <s v="CI-HVC-STRE-V09-230101"/>
    <m/>
    <n v="174.96360308617389"/>
    <n v="174.96360308617389"/>
    <n v="174.96360308617389"/>
    <n v="174.96360308617389"/>
    <n v="0.91"/>
    <n v="0.91"/>
    <n v="0.91"/>
    <n v="0.91"/>
    <n v="0"/>
    <n v="0"/>
    <n v="0"/>
    <n v="0"/>
    <n v="0"/>
    <n v="0.91"/>
    <n v="0.91"/>
    <n v="0.91"/>
    <n v="0.91"/>
    <n v="0.91"/>
    <n v="0.91"/>
    <n v="0.91"/>
    <n v="0.91"/>
    <m/>
    <m/>
    <n v="174.96360308617389"/>
    <m/>
    <n v="0"/>
    <n v="0"/>
    <m/>
    <m/>
    <n v="174.96360308617389"/>
    <s v="Updated inputs for Commercial LPS Space Heating and Industrial/Process Low Pressure"/>
    <n v="0"/>
    <n v="0"/>
    <n v="0"/>
    <m/>
    <m/>
    <n v="174.96360308617389"/>
    <m/>
    <n v="0"/>
    <n v="0"/>
    <m/>
    <m/>
    <n v="174.96360308617389"/>
    <m/>
    <n v="0"/>
    <n v="0"/>
    <n v="0"/>
    <n v="0"/>
    <n v="0"/>
    <n v="0"/>
    <n v="0"/>
    <s v="NA"/>
    <m/>
  </r>
  <r>
    <s v="NSG"/>
    <x v="5"/>
    <s v="C&amp;I"/>
    <s v="Rebates"/>
    <x v="41"/>
    <s v="Dry Cleaner/Industrial - Audit"/>
    <s v="MF/CI/SMB"/>
    <x v="3"/>
    <s v="4.4.16"/>
    <s v="each"/>
    <n v="0"/>
    <n v="0"/>
    <n v="0"/>
    <n v="0"/>
    <s v="CI-HVC-STRE-V09-230101"/>
    <m/>
    <n v="648.01334476360694"/>
    <n v="648.01334476360694"/>
    <n v="648.01334476360694"/>
    <n v="648.01334476360694"/>
    <n v="0.91"/>
    <n v="0.91"/>
    <n v="0.91"/>
    <n v="0.91"/>
    <n v="0"/>
    <n v="0"/>
    <n v="0"/>
    <n v="0"/>
    <n v="0"/>
    <n v="0.91"/>
    <n v="0.91"/>
    <n v="0.91"/>
    <n v="0.91"/>
    <n v="0.91"/>
    <n v="0.91"/>
    <n v="0.91"/>
    <n v="0.91"/>
    <m/>
    <m/>
    <n v="648.01334476360694"/>
    <m/>
    <n v="0"/>
    <n v="0"/>
    <m/>
    <m/>
    <n v="648.01334476360694"/>
    <s v="Updated inputs for Commercial LPS Space Heating and Industrial/Process Low Pressure"/>
    <n v="0"/>
    <n v="0"/>
    <n v="0"/>
    <m/>
    <m/>
    <n v="648.01334476360694"/>
    <m/>
    <n v="0"/>
    <n v="0"/>
    <m/>
    <m/>
    <n v="648.01334476360694"/>
    <m/>
    <n v="0"/>
    <n v="0"/>
    <n v="0"/>
    <n v="0"/>
    <n v="0"/>
    <n v="0"/>
    <n v="0"/>
    <s v="NA"/>
    <m/>
  </r>
  <r>
    <s v="NSG"/>
    <x v="5"/>
    <s v="C&amp;I"/>
    <s v="Rebates"/>
    <x v="41"/>
    <s v="HVAC Repair/Rep - No Audit"/>
    <s v="CI"/>
    <x v="3"/>
    <s v="4.4.16"/>
    <s v="each"/>
    <n v="0"/>
    <n v="0"/>
    <n v="0"/>
    <n v="0"/>
    <s v="CI-HVC-STRE-V09-230101"/>
    <m/>
    <n v="103.61717935878508"/>
    <n v="103.61717935878508"/>
    <n v="103.61717935878508"/>
    <n v="103.61717935878508"/>
    <n v="0.91"/>
    <n v="0.91"/>
    <n v="0.91"/>
    <n v="0.91"/>
    <n v="0"/>
    <n v="0"/>
    <n v="0"/>
    <n v="0"/>
    <n v="0"/>
    <n v="0.91"/>
    <n v="0.91"/>
    <n v="0.91"/>
    <n v="0.91"/>
    <n v="0.91"/>
    <n v="0.91"/>
    <n v="0.91"/>
    <n v="0.91"/>
    <m/>
    <m/>
    <n v="103.61717935878508"/>
    <m/>
    <n v="0"/>
    <n v="0"/>
    <m/>
    <m/>
    <n v="210.59502881757265"/>
    <s v="Updated inputs for Commercial LPS Space Heating and Industrial/Process Low Pressure"/>
    <n v="0"/>
    <n v="0"/>
    <n v="0"/>
    <m/>
    <m/>
    <n v="210.59502881757265"/>
    <m/>
    <n v="0"/>
    <n v="0"/>
    <m/>
    <m/>
    <n v="210.59502881757265"/>
    <m/>
    <n v="0"/>
    <n v="0"/>
    <n v="0"/>
    <n v="0"/>
    <n v="0"/>
    <n v="0"/>
    <n v="0"/>
    <s v="NA"/>
    <m/>
  </r>
  <r>
    <s v="NSG"/>
    <x v="5"/>
    <s v="C&amp;I"/>
    <s v="Rebates"/>
    <x v="41"/>
    <s v="Industrial/Process Audit - 250 ≤ psig"/>
    <s v="CI/SMB"/>
    <x v="3"/>
    <s v="4.4.16"/>
    <s v="each"/>
    <n v="0"/>
    <n v="0"/>
    <n v="0"/>
    <n v="0"/>
    <s v="CI-HVC-STRE-V09-230101"/>
    <m/>
    <n v="12689.405899537758"/>
    <n v="12689.405899537758"/>
    <n v="12689.405899537758"/>
    <n v="12689.405899537758"/>
    <n v="0.91"/>
    <n v="0.91"/>
    <n v="0.91"/>
    <n v="0.91"/>
    <n v="0"/>
    <n v="0"/>
    <n v="0"/>
    <n v="0"/>
    <n v="0"/>
    <n v="0.91"/>
    <n v="0.91"/>
    <n v="0.91"/>
    <n v="0.91"/>
    <n v="0.91"/>
    <n v="0.91"/>
    <n v="0.91"/>
    <n v="0.91"/>
    <m/>
    <m/>
    <n v="12689.405899537758"/>
    <m/>
    <n v="0"/>
    <n v="0"/>
    <m/>
    <m/>
    <n v="12689.405899537758"/>
    <s v="Updated inputs for Commercial LPS Space Heating and Industrial/Process Low Pressure"/>
    <n v="0"/>
    <n v="0"/>
    <n v="0"/>
    <m/>
    <m/>
    <n v="12689.405899537758"/>
    <m/>
    <n v="0"/>
    <n v="0"/>
    <m/>
    <m/>
    <n v="12689.405899537758"/>
    <m/>
    <n v="0"/>
    <n v="0"/>
    <n v="0"/>
    <n v="0"/>
    <n v="0"/>
    <n v="0"/>
    <n v="0"/>
    <s v="NA"/>
    <m/>
  </r>
  <r>
    <s v="NSG"/>
    <x v="5"/>
    <s v="C&amp;I"/>
    <s v="Rebates"/>
    <x v="6"/>
    <n v="0"/>
    <s v="CI"/>
    <x v="3"/>
    <s v="4.4.48"/>
    <s v="each"/>
    <n v="0"/>
    <n v="0"/>
    <n v="0"/>
    <n v="0"/>
    <s v="CI-HVC-THST-V05-230101"/>
    <m/>
    <n v="159.30512500000003"/>
    <n v="159.30512500000003"/>
    <n v="159.30512500000003"/>
    <n v="159.30512500000003"/>
    <n v="0.91"/>
    <n v="0.91"/>
    <n v="0.91"/>
    <n v="0.91"/>
    <n v="0"/>
    <n v="0"/>
    <n v="0"/>
    <n v="0"/>
    <n v="0"/>
    <n v="0.91"/>
    <n v="0.91"/>
    <n v="0.91"/>
    <n v="0.91"/>
    <n v="0.91"/>
    <n v="0.91"/>
    <n v="0.91"/>
    <n v="0.91"/>
    <m/>
    <m/>
    <n v="200.26929999999999"/>
    <m/>
    <n v="0"/>
    <n v="0"/>
    <m/>
    <m/>
    <n v="200.26929999999999"/>
    <s v="n/a"/>
    <n v="0"/>
    <n v="0"/>
    <n v="0"/>
    <m/>
    <m/>
    <n v="200.26929999999999"/>
    <m/>
    <n v="0"/>
    <n v="0"/>
    <m/>
    <m/>
    <n v="200.26929999999999"/>
    <m/>
    <n v="0"/>
    <n v="0"/>
    <n v="0"/>
    <n v="0"/>
    <n v="0"/>
    <n v="0"/>
    <n v="0"/>
    <s v="NA"/>
    <m/>
  </r>
  <r>
    <s v="NSG"/>
    <x v="5"/>
    <s v="C&amp;I"/>
    <s v="Rebates"/>
    <x v="12"/>
    <s v="Storage 88% TE ≥75MBh"/>
    <s v="CI"/>
    <x v="3"/>
    <s v="4.3.1"/>
    <s v="each"/>
    <n v="0"/>
    <n v="0"/>
    <n v="0"/>
    <n v="0"/>
    <s v="CI-HWE-STWH-V09-230101"/>
    <m/>
    <n v="135.66827090062347"/>
    <n v="135.66827090062347"/>
    <n v="135.66827090062347"/>
    <n v="135.66827090062347"/>
    <n v="0.91"/>
    <n v="0.91"/>
    <n v="0.91"/>
    <n v="0.91"/>
    <n v="0"/>
    <n v="0"/>
    <n v="0"/>
    <n v="0"/>
    <n v="0"/>
    <n v="0.91"/>
    <n v="0.91"/>
    <n v="0.91"/>
    <n v="0.91"/>
    <n v="0.91"/>
    <n v="0.91"/>
    <n v="0.91"/>
    <n v="0.91"/>
    <m/>
    <m/>
    <n v="139.65886152562348"/>
    <m/>
    <n v="0"/>
    <n v="0"/>
    <m/>
    <m/>
    <n v="139.65886152562348"/>
    <s v="n/a"/>
    <n v="0"/>
    <n v="0"/>
    <n v="0"/>
    <m/>
    <m/>
    <n v="139.65886152562348"/>
    <m/>
    <n v="0"/>
    <n v="0"/>
    <m/>
    <m/>
    <n v="139.65886152562348"/>
    <m/>
    <n v="0"/>
    <n v="0"/>
    <n v="0"/>
    <n v="0"/>
    <n v="0"/>
    <n v="0"/>
    <n v="0"/>
    <s v="NA"/>
    <m/>
  </r>
  <r>
    <s v="NSG"/>
    <x v="5"/>
    <s v="C&amp;I"/>
    <s v="Rebates"/>
    <x v="12"/>
    <s v="Central Lodging 88% TE"/>
    <s v="CI"/>
    <x v="3"/>
    <s v="4.3.7"/>
    <s v="MBH"/>
    <n v="0"/>
    <n v="0"/>
    <n v="0"/>
    <n v="0"/>
    <s v="CI-HWE-MDHW-V06-230101"/>
    <m/>
    <n v="9.31628800262075"/>
    <n v="9.31628800262075"/>
    <n v="9.31628800262075"/>
    <n v="9.31628800262075"/>
    <n v="0.91"/>
    <n v="0.91"/>
    <n v="0.91"/>
    <n v="0.91"/>
    <n v="0"/>
    <n v="0"/>
    <n v="0"/>
    <n v="0"/>
    <n v="0"/>
    <n v="0.91"/>
    <n v="0.91"/>
    <n v="0.91"/>
    <n v="0.91"/>
    <n v="0.91"/>
    <n v="0.91"/>
    <n v="0.91"/>
    <n v="0.91"/>
    <m/>
    <m/>
    <n v="9.7379830071207483"/>
    <m/>
    <n v="0"/>
    <n v="0"/>
    <m/>
    <m/>
    <n v="9.7379830071207483"/>
    <s v="n/a"/>
    <n v="0"/>
    <n v="0"/>
    <n v="0"/>
    <m/>
    <m/>
    <n v="9.7379830071207483"/>
    <m/>
    <n v="0"/>
    <n v="0"/>
    <m/>
    <m/>
    <n v="9.7379830071207483"/>
    <m/>
    <n v="0"/>
    <n v="0"/>
    <n v="0"/>
    <n v="0"/>
    <n v="0"/>
    <n v="0"/>
    <n v="0"/>
    <s v="NA"/>
    <m/>
  </r>
  <r>
    <s v="NSG"/>
    <x v="5"/>
    <s v="C&amp;I"/>
    <s v="Rebates"/>
    <x v="75"/>
    <n v="0"/>
    <s v="CI"/>
    <x v="3"/>
    <s v="4.4.27"/>
    <s v="CFM"/>
    <n v="0"/>
    <n v="0"/>
    <n v="0"/>
    <n v="0"/>
    <s v="CI-HVC-ERVE-V05-230101"/>
    <m/>
    <n v="0.47508182047227931"/>
    <n v="0.47508182047227931"/>
    <n v="0.47508182047227931"/>
    <n v="0.47508182047227931"/>
    <n v="0.91"/>
    <n v="0.91"/>
    <n v="0.91"/>
    <n v="0.91"/>
    <n v="0"/>
    <n v="0"/>
    <n v="0"/>
    <n v="0"/>
    <n v="0"/>
    <n v="0.91"/>
    <n v="0.91"/>
    <n v="0.91"/>
    <n v="0.91"/>
    <n v="0.91"/>
    <n v="0.91"/>
    <n v="0.91"/>
    <n v="0.91"/>
    <m/>
    <m/>
    <n v="0.47508182047227931"/>
    <m/>
    <n v="0"/>
    <n v="0"/>
    <m/>
    <m/>
    <n v="0.47508182047227931"/>
    <s v="n/a"/>
    <n v="0"/>
    <n v="0"/>
    <n v="0"/>
    <m/>
    <m/>
    <n v="0.47508182047227931"/>
    <m/>
    <n v="0"/>
    <n v="0"/>
    <m/>
    <m/>
    <n v="0.47508182047227931"/>
    <m/>
    <n v="0"/>
    <n v="0"/>
    <n v="0"/>
    <n v="0"/>
    <n v="0"/>
    <n v="0"/>
    <n v="0"/>
    <s v="NA"/>
    <m/>
  </r>
  <r>
    <s v="NSG"/>
    <x v="5"/>
    <s v="C&amp;I"/>
    <s v="New Construction"/>
    <x v="76"/>
    <n v="0"/>
    <s v="CI"/>
    <x v="3"/>
    <n v="0"/>
    <s v="therm"/>
    <n v="0"/>
    <n v="0"/>
    <n v="0"/>
    <n v="0"/>
    <n v="0"/>
    <m/>
    <n v="1"/>
    <n v="1"/>
    <n v="1"/>
    <n v="1"/>
    <n v="0.43"/>
    <n v="0.43"/>
    <n v="0.43"/>
    <n v="0.43"/>
    <n v="0"/>
    <n v="0"/>
    <n v="0"/>
    <n v="0"/>
    <n v="0"/>
    <n v="0.43"/>
    <n v="0.43"/>
    <n v="0.43"/>
    <n v="0.43"/>
    <n v="0.43"/>
    <n v="0.43"/>
    <n v="0.43"/>
    <n v="0.43"/>
    <m/>
    <m/>
    <n v="1"/>
    <m/>
    <n v="0"/>
    <n v="0"/>
    <m/>
    <m/>
    <n v="1"/>
    <s v="n/a"/>
    <n v="0"/>
    <n v="0"/>
    <n v="0"/>
    <m/>
    <m/>
    <n v="1"/>
    <m/>
    <n v="0"/>
    <n v="0"/>
    <m/>
    <m/>
    <n v="1"/>
    <m/>
    <n v="0"/>
    <n v="0"/>
    <n v="0"/>
    <n v="0"/>
    <n v="0"/>
    <n v="0"/>
    <n v="0"/>
    <s v="NA"/>
    <m/>
  </r>
  <r>
    <s v="NSG"/>
    <x v="5"/>
    <s v="Commercial Food Service Program"/>
    <s v="Upstream Rebate"/>
    <x v="10"/>
    <n v="0"/>
    <s v="CI"/>
    <x v="3"/>
    <s v="4.2.11"/>
    <s v="each"/>
    <n v="0"/>
    <n v="0"/>
    <n v="0"/>
    <n v="0"/>
    <s v="CI-FSE-CVOV-V02-180101"/>
    <m/>
    <n v="235.77765120000004"/>
    <n v="235.77765120000004"/>
    <n v="235.77765120000004"/>
    <n v="235.77765120000004"/>
    <n v="0.8"/>
    <n v="0.8"/>
    <n v="0.8"/>
    <n v="0.8"/>
    <n v="0"/>
    <n v="0"/>
    <n v="0"/>
    <n v="0"/>
    <n v="0"/>
    <n v="0.8"/>
    <n v="0.8"/>
    <n v="0.8"/>
    <n v="0.8"/>
    <n v="0.8"/>
    <n v="0.8"/>
    <n v="0.8"/>
    <n v="0.8"/>
    <m/>
    <m/>
    <n v="247.22970854399998"/>
    <m/>
    <n v="0"/>
    <n v="0"/>
    <m/>
    <m/>
    <n v="247.22970854399998"/>
    <s v="n/a"/>
    <n v="0"/>
    <n v="0"/>
    <n v="0"/>
    <m/>
    <m/>
    <n v="247.22970854399998"/>
    <m/>
    <n v="0"/>
    <n v="0"/>
    <m/>
    <m/>
    <n v="247.22970854399998"/>
    <m/>
    <n v="0"/>
    <n v="0"/>
    <n v="0"/>
    <n v="0"/>
    <n v="0"/>
    <n v="0"/>
    <n v="0"/>
    <s v="NA"/>
    <m/>
  </r>
  <r>
    <s v="NSG"/>
    <x v="5"/>
    <s v="Commercial Food Service Program"/>
    <s v="Upstream Rebate"/>
    <x v="77"/>
    <s v="3 Pans"/>
    <s v="CI"/>
    <x v="3"/>
    <s v="4.2.3"/>
    <s v="each"/>
    <n v="0"/>
    <n v="0"/>
    <n v="0"/>
    <n v="0"/>
    <s v="CI-FSE-STMC-V06-230101"/>
    <m/>
    <n v="752.01231086676478"/>
    <n v="752.01231086676478"/>
    <n v="752.01231086676478"/>
    <n v="752.01231086676478"/>
    <n v="0.8"/>
    <n v="0.8"/>
    <n v="0.8"/>
    <n v="0.8"/>
    <n v="0"/>
    <n v="0"/>
    <n v="0"/>
    <n v="0"/>
    <n v="0"/>
    <n v="0.8"/>
    <n v="0.8"/>
    <n v="0.8"/>
    <n v="0.8"/>
    <n v="0.8"/>
    <n v="0.8"/>
    <n v="0.8"/>
    <n v="0.8"/>
    <m/>
    <m/>
    <n v="752.01231086676478"/>
    <m/>
    <n v="0"/>
    <n v="0"/>
    <m/>
    <m/>
    <n v="752.01231086676478"/>
    <s v="n/a"/>
    <n v="0"/>
    <n v="0"/>
    <n v="0"/>
    <m/>
    <m/>
    <n v="752.01231086676478"/>
    <m/>
    <n v="0"/>
    <n v="0"/>
    <m/>
    <m/>
    <n v="752.01231086676478"/>
    <m/>
    <n v="0"/>
    <n v="0"/>
    <n v="0"/>
    <n v="0"/>
    <n v="0"/>
    <n v="0"/>
    <n v="0"/>
    <s v="NA"/>
    <m/>
  </r>
  <r>
    <s v="NSG"/>
    <x v="5"/>
    <s v="Commercial Food Service Program"/>
    <s v="Upstream Rebate"/>
    <x v="77"/>
    <s v="4 Pans"/>
    <s v="CI"/>
    <x v="3"/>
    <s v="4.2.3"/>
    <s v="each"/>
    <n v="0"/>
    <n v="0"/>
    <n v="0"/>
    <n v="0"/>
    <s v="CI-FSE-STMC-V06-230101"/>
    <m/>
    <n v="1007.2641787965731"/>
    <n v="1007.2641787965731"/>
    <n v="1007.2641787965731"/>
    <n v="1007.2641787965731"/>
    <n v="0.8"/>
    <n v="0.8"/>
    <n v="0.8"/>
    <n v="0.8"/>
    <n v="0"/>
    <n v="0"/>
    <n v="0"/>
    <n v="0"/>
    <n v="0"/>
    <n v="0.8"/>
    <n v="0.8"/>
    <n v="0.8"/>
    <n v="0.8"/>
    <n v="0.8"/>
    <n v="0.8"/>
    <n v="0.8"/>
    <n v="0.8"/>
    <m/>
    <m/>
    <n v="1007.2641787965731"/>
    <m/>
    <n v="0"/>
    <n v="0"/>
    <m/>
    <m/>
    <n v="1007.2641787965731"/>
    <s v="n/a"/>
    <n v="0"/>
    <n v="0"/>
    <n v="0"/>
    <m/>
    <m/>
    <n v="1007.2641787965731"/>
    <m/>
    <n v="0"/>
    <n v="0"/>
    <m/>
    <m/>
    <n v="1007.2641787965731"/>
    <m/>
    <n v="0"/>
    <n v="0"/>
    <n v="0"/>
    <n v="0"/>
    <n v="0"/>
    <n v="0"/>
    <n v="0"/>
    <s v="NA"/>
    <m/>
  </r>
  <r>
    <s v="NSG"/>
    <x v="5"/>
    <s v="Commercial Food Service Program"/>
    <s v="Upstream Rebate"/>
    <x v="77"/>
    <s v="5 Pans"/>
    <s v="CI"/>
    <x v="3"/>
    <s v="4.2.3"/>
    <s v="each"/>
    <n v="0"/>
    <n v="0"/>
    <n v="0"/>
    <n v="0"/>
    <s v="CI-FSE-STMC-V06-230101"/>
    <m/>
    <n v="1248.6709419898457"/>
    <n v="1248.6709419898457"/>
    <n v="1248.6709419898457"/>
    <n v="1248.6709419898457"/>
    <n v="0.8"/>
    <n v="0.8"/>
    <n v="0.8"/>
    <n v="0.8"/>
    <n v="0"/>
    <n v="0"/>
    <n v="0"/>
    <n v="0"/>
    <n v="0"/>
    <n v="0.8"/>
    <n v="0.8"/>
    <n v="0.8"/>
    <n v="0.8"/>
    <n v="0.8"/>
    <n v="0.8"/>
    <n v="0.8"/>
    <n v="0.8"/>
    <m/>
    <m/>
    <n v="1248.6709419898457"/>
    <m/>
    <n v="0"/>
    <n v="0"/>
    <m/>
    <m/>
    <n v="1248.6709419898457"/>
    <s v="n/a"/>
    <n v="0"/>
    <n v="0"/>
    <n v="0"/>
    <m/>
    <m/>
    <n v="1248.6709419898457"/>
    <m/>
    <n v="0"/>
    <n v="0"/>
    <m/>
    <m/>
    <n v="1248.6709419898457"/>
    <m/>
    <n v="0"/>
    <n v="0"/>
    <n v="0"/>
    <n v="0"/>
    <n v="0"/>
    <n v="0"/>
    <n v="0"/>
    <s v="NA"/>
    <m/>
  </r>
  <r>
    <s v="NSG"/>
    <x v="5"/>
    <s v="Commercial Food Service Program"/>
    <s v="Upstream Rebate"/>
    <x v="77"/>
    <s v="6 Pans"/>
    <s v="CI"/>
    <x v="3"/>
    <s v="4.2.3"/>
    <s v="each"/>
    <n v="0"/>
    <n v="0"/>
    <n v="0"/>
    <n v="0"/>
    <s v="CI-FSE-STMC-V06-230101"/>
    <m/>
    <n v="1503.8794358667649"/>
    <n v="1503.8794358667649"/>
    <n v="1503.8794358667649"/>
    <n v="1503.8794358667649"/>
    <n v="0.8"/>
    <n v="0.8"/>
    <n v="0.8"/>
    <n v="0.8"/>
    <n v="0"/>
    <n v="0"/>
    <n v="0"/>
    <n v="0"/>
    <n v="0"/>
    <n v="0.8"/>
    <n v="0.8"/>
    <n v="0.8"/>
    <n v="0.8"/>
    <n v="0.8"/>
    <n v="0.8"/>
    <n v="0.8"/>
    <n v="0.8"/>
    <m/>
    <m/>
    <n v="1503.8794358667649"/>
    <m/>
    <n v="0"/>
    <n v="0"/>
    <m/>
    <m/>
    <n v="1503.8794358667649"/>
    <s v="n/a"/>
    <n v="0"/>
    <n v="0"/>
    <n v="0"/>
    <m/>
    <m/>
    <n v="1503.8794358667649"/>
    <m/>
    <n v="0"/>
    <n v="0"/>
    <m/>
    <m/>
    <n v="1503.8794358667649"/>
    <m/>
    <n v="0"/>
    <n v="0"/>
    <n v="0"/>
    <n v="0"/>
    <n v="0"/>
    <n v="0"/>
    <n v="0"/>
    <s v="NA"/>
    <m/>
  </r>
  <r>
    <s v="NSG"/>
    <x v="5"/>
    <s v="Commercial Food Service Program"/>
    <s v="Upstream Rebate"/>
    <x v="78"/>
    <n v="0"/>
    <s v="CI"/>
    <x v="3"/>
    <s v="4.3.9"/>
    <s v="each"/>
    <n v="0"/>
    <n v="0"/>
    <n v="0"/>
    <n v="0"/>
    <s v="CI-HWE-GRTF-V02-200601"/>
    <m/>
    <n v="1757.3025600000001"/>
    <n v="1757.3025600000001"/>
    <n v="1757.3025600000001"/>
    <n v="1757.3025600000001"/>
    <n v="0.8"/>
    <n v="0.8"/>
    <n v="0.8"/>
    <n v="0.8"/>
    <n v="0"/>
    <n v="0"/>
    <n v="0"/>
    <n v="0"/>
    <n v="0"/>
    <n v="0.8"/>
    <n v="0.8"/>
    <n v="0.8"/>
    <n v="0.8"/>
    <n v="0.8"/>
    <n v="0.8"/>
    <n v="0.8"/>
    <n v="0.8"/>
    <m/>
    <m/>
    <n v="1757.3025600000001"/>
    <m/>
    <n v="0"/>
    <n v="0"/>
    <m/>
    <m/>
    <n v="1757.3025600000001"/>
    <s v="n/a"/>
    <n v="0"/>
    <n v="0"/>
    <n v="0"/>
    <m/>
    <m/>
    <n v="1757.3025600000001"/>
    <m/>
    <n v="0"/>
    <n v="0"/>
    <m/>
    <m/>
    <n v="1757.3025600000001"/>
    <m/>
    <n v="0"/>
    <n v="0"/>
    <n v="0"/>
    <n v="0"/>
    <n v="0"/>
    <n v="0"/>
    <n v="0"/>
    <s v="NA"/>
    <m/>
  </r>
  <r>
    <s v="NSG"/>
    <x v="5"/>
    <s v="Commercial Food Service Program"/>
    <s v="Upstream Rebate"/>
    <x v="79"/>
    <n v="0"/>
    <s v="CI"/>
    <x v="3"/>
    <s v="4.2.15"/>
    <s v="each"/>
    <n v="0"/>
    <n v="0"/>
    <n v="0"/>
    <n v="0"/>
    <s v="CI-FSE-IRUB-V02-180101"/>
    <m/>
    <n v="943.48800000000006"/>
    <n v="943.48800000000006"/>
    <n v="943.48800000000006"/>
    <n v="943.48800000000006"/>
    <n v="0.8"/>
    <n v="0.8"/>
    <n v="0.8"/>
    <n v="0.8"/>
    <n v="0"/>
    <n v="0"/>
    <n v="0"/>
    <n v="0"/>
    <n v="0"/>
    <n v="0.8"/>
    <n v="0.8"/>
    <n v="0.8"/>
    <n v="0.8"/>
    <n v="0.8"/>
    <n v="0.8"/>
    <n v="0.8"/>
    <n v="0.8"/>
    <m/>
    <m/>
    <n v="943.48800000000006"/>
    <m/>
    <n v="0"/>
    <n v="0"/>
    <m/>
    <m/>
    <n v="943.48800000000006"/>
    <s v="n/a"/>
    <n v="0"/>
    <n v="0"/>
    <n v="0"/>
    <m/>
    <m/>
    <n v="943.48800000000006"/>
    <m/>
    <n v="0"/>
    <n v="0"/>
    <m/>
    <m/>
    <n v="943.48800000000006"/>
    <m/>
    <n v="0"/>
    <n v="0"/>
    <n v="0"/>
    <n v="0"/>
    <n v="0"/>
    <n v="0"/>
    <n v="0"/>
    <s v="NA"/>
    <m/>
  </r>
  <r>
    <s v="NSG"/>
    <x v="6"/>
    <s v="Gas Heat Pump Pilot"/>
    <s v="Gas Heat Pump Pilot"/>
    <x v="80"/>
    <s v="Heat Pump Pilot"/>
    <s v="SF"/>
    <x v="3"/>
    <n v="0"/>
    <s v="each"/>
    <n v="0"/>
    <n v="2"/>
    <n v="4"/>
    <n v="6"/>
    <n v="0"/>
    <m/>
    <n v="679.02905982905952"/>
    <n v="679.02905982905952"/>
    <n v="679.02905982905952"/>
    <n v="679.02905982905952"/>
    <n v="0.8"/>
    <n v="0.8"/>
    <n v="0.8"/>
    <n v="0.8"/>
    <n v="0"/>
    <n v="1086.4464957264952"/>
    <n v="2172.8929914529904"/>
    <n v="3259.3394871794862"/>
    <n v="6518.6789743589716"/>
    <n v="0.8"/>
    <n v="0.8"/>
    <n v="0.8"/>
    <n v="0.8"/>
    <n v="0.8"/>
    <n v="0.8"/>
    <n v="0.8"/>
    <n v="0.8"/>
    <m/>
    <m/>
    <n v="679.02905982905952"/>
    <m/>
    <n v="0"/>
    <n v="0"/>
    <m/>
    <m/>
    <n v="679.02905982905952"/>
    <s v="n/a"/>
    <n v="1086.4464957264952"/>
    <n v="1086.4464957264952"/>
    <n v="0"/>
    <m/>
    <m/>
    <n v="679.02905982905952"/>
    <m/>
    <n v="2172.8929914529904"/>
    <n v="0"/>
    <m/>
    <m/>
    <n v="679.02905982905952"/>
    <m/>
    <n v="3259.3394871794862"/>
    <n v="0"/>
    <n v="0"/>
    <n v="1086.4464957264952"/>
    <n v="2172.8929914529904"/>
    <n v="3259.3394871794862"/>
    <n v="6518.6789743589716"/>
    <s v="NA"/>
    <m/>
  </r>
  <r>
    <s v="NSG"/>
    <x v="6"/>
    <s v="Gas Heat Pump Pilot"/>
    <s v="Gas Heat Pump Pilot"/>
    <x v="81"/>
    <s v="Heat Pump Pilot"/>
    <s v="SF"/>
    <x v="3"/>
    <n v="0"/>
    <s v="each"/>
    <n v="0"/>
    <n v="5"/>
    <n v="6"/>
    <n v="8"/>
    <n v="0"/>
    <m/>
    <n v="91.676929759551214"/>
    <n v="91.676929759551214"/>
    <n v="91.676929759551214"/>
    <n v="91.676929759551214"/>
    <n v="0.8"/>
    <n v="0.8"/>
    <n v="0.8"/>
    <n v="0.8"/>
    <n v="0"/>
    <n v="366.70771903820491"/>
    <n v="440.04926284584582"/>
    <n v="586.73235046112779"/>
    <n v="1393.4893323451784"/>
    <n v="0.8"/>
    <n v="0.8"/>
    <n v="0.8"/>
    <n v="0.8"/>
    <n v="0.8"/>
    <n v="0.8"/>
    <n v="0.8"/>
    <n v="0.8"/>
    <m/>
    <m/>
    <n v="95.937970156826111"/>
    <m/>
    <n v="0"/>
    <n v="0"/>
    <m/>
    <m/>
    <n v="95.937970156826111"/>
    <s v="n/a"/>
    <n v="383.75188062730444"/>
    <n v="383.75188062730444"/>
    <n v="17.044161589099531"/>
    <m/>
    <m/>
    <n v="95.937970156826111"/>
    <m/>
    <n v="460.50225675276533"/>
    <n v="20.452993906919517"/>
    <m/>
    <m/>
    <n v="95.937970156826111"/>
    <m/>
    <n v="614.00300900368711"/>
    <n v="27.270658542559318"/>
    <n v="0"/>
    <n v="383.75188062730444"/>
    <n v="460.50225675276533"/>
    <n v="614.00300900368711"/>
    <n v="1458.2571463837569"/>
    <s v="NA"/>
    <m/>
  </r>
  <r>
    <s v="NSG"/>
    <x v="3"/>
    <s v="Home Energy Jumpstart"/>
    <s v="Core"/>
    <x v="6"/>
    <s v="Boiler (DI)"/>
    <s v="SF"/>
    <x v="3"/>
    <s v="5.3.11"/>
    <s v="each"/>
    <n v="0"/>
    <n v="0"/>
    <n v="0"/>
    <n v="0"/>
    <s v="RS-HVC-ADTH-V08-230101"/>
    <m/>
    <n v="92.194000000000003"/>
    <n v="92.194000000000003"/>
    <n v="92.194000000000003"/>
    <n v="92.194000000000003"/>
    <n v="0.88"/>
    <n v="0.88"/>
    <n v="0.88"/>
    <n v="0.88"/>
    <n v="0"/>
    <n v="0"/>
    <n v="0"/>
    <n v="0"/>
    <n v="0"/>
    <n v="0.88"/>
    <n v="0.88"/>
    <n v="0.88"/>
    <n v="0.88"/>
    <n v="0.88"/>
    <n v="0.88"/>
    <n v="0.88"/>
    <n v="0.88"/>
    <m/>
    <m/>
    <n v="92.194000000000003"/>
    <m/>
    <n v="0"/>
    <n v="0"/>
    <m/>
    <m/>
    <n v="92.194000000000003"/>
    <s v="n/a"/>
    <n v="0"/>
    <n v="0"/>
    <n v="0"/>
    <m/>
    <m/>
    <n v="92.194000000000003"/>
    <m/>
    <n v="0"/>
    <n v="0"/>
    <m/>
    <m/>
    <n v="92.194000000000003"/>
    <m/>
    <n v="0"/>
    <n v="0"/>
    <n v="0"/>
    <n v="0"/>
    <n v="0"/>
    <n v="0"/>
    <n v="0"/>
    <s v="NA"/>
    <m/>
  </r>
  <r>
    <s v="NSG"/>
    <x v="3"/>
    <s v="Home Energy Jumpstart"/>
    <s v="Core"/>
    <x v="3"/>
    <s v="Boiler (Replace Manual)"/>
    <s v="SF"/>
    <x v="3"/>
    <s v="5.3.16"/>
    <s v="each"/>
    <n v="0"/>
    <n v="0"/>
    <n v="0"/>
    <n v="0"/>
    <s v="RS-HVC-ADTH-V08-230101"/>
    <m/>
    <n v="154.44"/>
    <n v="154.44"/>
    <n v="154.44"/>
    <n v="154.44"/>
    <n v="0.9"/>
    <n v="0.9"/>
    <n v="0.9"/>
    <n v="0.9"/>
    <n v="0"/>
    <n v="0"/>
    <n v="0"/>
    <n v="0"/>
    <n v="0"/>
    <n v="0.9"/>
    <n v="0.9"/>
    <n v="0.9"/>
    <n v="0.9"/>
    <n v="0.9"/>
    <n v="0.9"/>
    <n v="0.9"/>
    <n v="0.9"/>
    <m/>
    <m/>
    <n v="151.47"/>
    <m/>
    <n v="0"/>
    <n v="0"/>
    <m/>
    <m/>
    <n v="151.47"/>
    <s v="n/a"/>
    <n v="0"/>
    <n v="0"/>
    <n v="0"/>
    <m/>
    <m/>
    <n v="151.47"/>
    <m/>
    <n v="0"/>
    <n v="0"/>
    <m/>
    <m/>
    <n v="151.47"/>
    <m/>
    <n v="0"/>
    <n v="0"/>
    <n v="0"/>
    <n v="0"/>
    <n v="0"/>
    <n v="0"/>
    <n v="0"/>
    <s v="NA"/>
    <m/>
  </r>
  <r>
    <s v="NSG"/>
    <x v="3"/>
    <s v="Home Energy Jumpstart"/>
    <s v="Core"/>
    <x v="3"/>
    <s v="Boiler (Replace Programmable)"/>
    <s v="SF"/>
    <x v="3"/>
    <s v="5.3.16"/>
    <s v="each"/>
    <n v="0"/>
    <n v="0"/>
    <n v="0"/>
    <n v="0"/>
    <s v="RS-HVC-ADTH-V08-230101"/>
    <m/>
    <n v="108.40499999999999"/>
    <n v="108.40499999999999"/>
    <n v="108.40499999999999"/>
    <n v="108.40499999999999"/>
    <n v="0.9"/>
    <n v="0.9"/>
    <n v="0.9"/>
    <n v="0.9"/>
    <n v="0"/>
    <n v="0"/>
    <n v="0"/>
    <n v="0"/>
    <n v="0"/>
    <n v="0.9"/>
    <n v="0.9"/>
    <n v="0.9"/>
    <n v="0.9"/>
    <n v="0.9"/>
    <n v="0.9"/>
    <n v="0.9"/>
    <n v="0.9"/>
    <m/>
    <m/>
    <n v="105.43499999999999"/>
    <m/>
    <n v="0"/>
    <n v="0"/>
    <m/>
    <m/>
    <n v="105.43499999999999"/>
    <s v="n/a"/>
    <n v="0"/>
    <n v="0"/>
    <n v="0"/>
    <m/>
    <m/>
    <n v="105.43499999999999"/>
    <m/>
    <n v="0"/>
    <n v="0"/>
    <m/>
    <m/>
    <n v="105.43499999999999"/>
    <m/>
    <n v="0"/>
    <n v="0"/>
    <n v="0"/>
    <n v="0"/>
    <n v="0"/>
    <n v="0"/>
    <n v="0"/>
    <s v="NA"/>
    <m/>
  </r>
  <r>
    <s v="NSG"/>
    <x v="4"/>
    <s v="Home Energy Jumpstart"/>
    <s v="Core"/>
    <x v="6"/>
    <s v="Boiler (DI)"/>
    <s v="SF"/>
    <x v="3"/>
    <s v="5.3.11"/>
    <s v="each"/>
    <n v="0"/>
    <n v="0"/>
    <n v="0"/>
    <n v="0"/>
    <s v="RS-HVC-ADTH-V08-230101"/>
    <m/>
    <n v="92.194000000000003"/>
    <n v="92.194000000000003"/>
    <n v="92.194000000000003"/>
    <n v="92.194000000000003"/>
    <n v="1"/>
    <n v="1"/>
    <n v="1"/>
    <n v="1"/>
    <n v="0"/>
    <n v="0"/>
    <n v="0"/>
    <n v="0"/>
    <n v="0"/>
    <n v="1"/>
    <n v="1"/>
    <n v="1"/>
    <n v="1"/>
    <n v="1"/>
    <n v="1"/>
    <n v="1"/>
    <n v="1"/>
    <m/>
    <m/>
    <n v="92.194000000000003"/>
    <m/>
    <n v="0"/>
    <n v="0"/>
    <m/>
    <m/>
    <n v="92.194000000000003"/>
    <s v="n/a"/>
    <n v="0"/>
    <n v="0"/>
    <n v="0"/>
    <m/>
    <m/>
    <n v="92.194000000000003"/>
    <m/>
    <n v="0"/>
    <n v="0"/>
    <m/>
    <m/>
    <n v="92.194000000000003"/>
    <m/>
    <n v="0"/>
    <n v="0"/>
    <n v="0"/>
    <n v="0"/>
    <n v="0"/>
    <n v="0"/>
    <n v="0"/>
    <s v="NA"/>
    <m/>
  </r>
  <r>
    <s v="NSG"/>
    <x v="4"/>
    <s v="Home Energy Jumpstart"/>
    <s v="Core"/>
    <x v="3"/>
    <s v="Boiler (Replace Manual)"/>
    <s v="SF"/>
    <x v="3"/>
    <s v="5.3.16"/>
    <s v="each"/>
    <n v="0"/>
    <n v="0"/>
    <n v="0"/>
    <n v="0"/>
    <s v="RS-HVC-ADTH-V08-230101"/>
    <m/>
    <n v="154.44"/>
    <n v="154.44"/>
    <n v="154.44"/>
    <n v="154.44"/>
    <n v="1"/>
    <n v="1"/>
    <n v="1"/>
    <n v="1"/>
    <n v="0"/>
    <n v="0"/>
    <n v="0"/>
    <n v="0"/>
    <n v="0"/>
    <n v="1"/>
    <n v="1"/>
    <n v="1"/>
    <n v="1"/>
    <n v="1"/>
    <n v="1"/>
    <n v="1"/>
    <n v="1"/>
    <m/>
    <m/>
    <n v="151.47"/>
    <m/>
    <n v="0"/>
    <n v="0"/>
    <m/>
    <m/>
    <n v="151.47"/>
    <s v="n/a"/>
    <n v="0"/>
    <n v="0"/>
    <n v="0"/>
    <m/>
    <m/>
    <n v="151.47"/>
    <m/>
    <n v="0"/>
    <n v="0"/>
    <m/>
    <m/>
    <n v="151.47"/>
    <m/>
    <n v="0"/>
    <n v="0"/>
    <n v="0"/>
    <n v="0"/>
    <n v="0"/>
    <n v="0"/>
    <n v="0"/>
    <s v="NA"/>
    <m/>
  </r>
  <r>
    <s v="NSG"/>
    <x v="4"/>
    <s v="Home Energy Jumpstart"/>
    <s v="Core"/>
    <x v="3"/>
    <s v="Boiler (Replace Programmable)"/>
    <s v="SF"/>
    <x v="3"/>
    <s v="5.3.16"/>
    <s v="each"/>
    <n v="0"/>
    <n v="0"/>
    <n v="0"/>
    <n v="0"/>
    <s v="RS-HVC-ADTH-V08-230101"/>
    <m/>
    <n v="108.40499999999999"/>
    <n v="108.40499999999999"/>
    <n v="108.40499999999999"/>
    <n v="108.40499999999999"/>
    <n v="1"/>
    <n v="1"/>
    <n v="1"/>
    <n v="1"/>
    <n v="0"/>
    <n v="0"/>
    <n v="0"/>
    <n v="0"/>
    <n v="0"/>
    <n v="1"/>
    <n v="1"/>
    <n v="1"/>
    <n v="1"/>
    <n v="1"/>
    <n v="1"/>
    <n v="1"/>
    <n v="1"/>
    <m/>
    <m/>
    <n v="105.43499999999999"/>
    <m/>
    <n v="0"/>
    <n v="0"/>
    <m/>
    <m/>
    <n v="105.43499999999999"/>
    <s v="n/a"/>
    <n v="0"/>
    <n v="0"/>
    <n v="0"/>
    <m/>
    <m/>
    <n v="105.43499999999999"/>
    <m/>
    <n v="0"/>
    <n v="0"/>
    <m/>
    <m/>
    <n v="105.43499999999999"/>
    <m/>
    <n v="0"/>
    <n v="0"/>
    <n v="0"/>
    <n v="0"/>
    <n v="0"/>
    <n v="0"/>
    <n v="0"/>
    <s v="NA"/>
    <m/>
  </r>
  <r>
    <s v="NSG"/>
    <x v="3"/>
    <s v="Home Energy Rebate"/>
    <s v="Standard Rebate"/>
    <x v="82"/>
    <s v="Space Heating"/>
    <s v="SF"/>
    <x v="3"/>
    <s v="5.3.13"/>
    <s v="each"/>
    <n v="0"/>
    <n v="0"/>
    <n v="0"/>
    <n v="0"/>
    <s v="CI-HVC-FTUN-V05-230101"/>
    <m/>
    <n v="15.707858823529454"/>
    <n v="15.707858823529454"/>
    <n v="15.707858823529454"/>
    <n v="15.707858823529454"/>
    <n v="0.74"/>
    <n v="0.74"/>
    <n v="0.74"/>
    <n v="0.74"/>
    <n v="0"/>
    <n v="0"/>
    <n v="0"/>
    <n v="0"/>
    <n v="0"/>
    <n v="0.74"/>
    <n v="0.74"/>
    <n v="0.74"/>
    <n v="0.74"/>
    <n v="0.74"/>
    <n v="0.74"/>
    <n v="0.74"/>
    <n v="0.74"/>
    <m/>
    <m/>
    <n v="15.707858823529454"/>
    <m/>
    <n v="0"/>
    <n v="0"/>
    <m/>
    <m/>
    <n v="15.707858823529454"/>
    <s v="n/a"/>
    <n v="0"/>
    <n v="0"/>
    <n v="0"/>
    <m/>
    <m/>
    <n v="15.707858823529454"/>
    <m/>
    <n v="0"/>
    <n v="0"/>
    <m/>
    <m/>
    <n v="15.707858823529454"/>
    <m/>
    <n v="0"/>
    <n v="0"/>
    <n v="0"/>
    <n v="0"/>
    <n v="0"/>
    <n v="0"/>
    <n v="0"/>
    <s v="NA"/>
    <m/>
  </r>
  <r>
    <s v="NSG"/>
    <x v="3"/>
    <s v="Home Energy Rebate"/>
    <s v="Standard Rebate"/>
    <x v="3"/>
    <s v="Furnace (Replace Unknown) - Non DI"/>
    <s v="SF"/>
    <x v="3"/>
    <s v="5.3.16"/>
    <s v="each"/>
    <n v="0"/>
    <n v="0"/>
    <n v="0"/>
    <n v="0"/>
    <s v="RS-HVC-ADTH-V08-230101"/>
    <m/>
    <n v="77.786999999999992"/>
    <n v="77.786999999999992"/>
    <n v="77.786999999999992"/>
    <n v="77.786999999999992"/>
    <n v="0.9"/>
    <n v="0.9"/>
    <n v="0.9"/>
    <n v="0.9"/>
    <n v="0"/>
    <n v="0"/>
    <n v="0"/>
    <n v="0"/>
    <n v="0"/>
    <n v="0.9"/>
    <n v="0.9"/>
    <n v="0.9"/>
    <n v="0.9"/>
    <n v="0.9"/>
    <n v="0.9"/>
    <n v="0.9"/>
    <n v="0.9"/>
    <m/>
    <m/>
    <n v="85.425000000000011"/>
    <m/>
    <n v="0"/>
    <n v="0"/>
    <m/>
    <m/>
    <n v="85.425000000000011"/>
    <s v="n/a"/>
    <n v="0"/>
    <n v="0"/>
    <n v="0"/>
    <m/>
    <m/>
    <n v="85.425000000000011"/>
    <m/>
    <n v="0"/>
    <n v="0"/>
    <m/>
    <m/>
    <n v="85.425000000000011"/>
    <m/>
    <n v="0"/>
    <n v="0"/>
    <n v="0"/>
    <n v="0"/>
    <n v="0"/>
    <n v="0"/>
    <n v="0"/>
    <s v="NA"/>
    <m/>
  </r>
  <r>
    <s v="NSG"/>
    <x v="3"/>
    <s v="Home Energy Rebate"/>
    <s v="Standard Rebate"/>
    <x v="3"/>
    <s v="Boiler (Replace Unknown) - Non DI"/>
    <s v="SF"/>
    <x v="3"/>
    <s v="5.3.16"/>
    <s v="each"/>
    <n v="0"/>
    <n v="0"/>
    <n v="0"/>
    <n v="0"/>
    <s v="RS-HVC-ADTH-V08-230101"/>
    <m/>
    <n v="114.93899999999999"/>
    <n v="114.93899999999999"/>
    <n v="114.93899999999999"/>
    <n v="114.93899999999999"/>
    <n v="0.9"/>
    <n v="0.9"/>
    <n v="0.9"/>
    <n v="0.9"/>
    <n v="0"/>
    <n v="0"/>
    <n v="0"/>
    <n v="0"/>
    <n v="0"/>
    <n v="0.9"/>
    <n v="0.9"/>
    <n v="0.9"/>
    <n v="0.9"/>
    <n v="0.9"/>
    <n v="0.9"/>
    <n v="0.9"/>
    <n v="0.9"/>
    <m/>
    <m/>
    <n v="126.22500000000001"/>
    <m/>
    <n v="0"/>
    <n v="0"/>
    <m/>
    <m/>
    <n v="126.22500000000001"/>
    <s v="n/a"/>
    <n v="0"/>
    <n v="0"/>
    <n v="0"/>
    <m/>
    <m/>
    <n v="126.22500000000001"/>
    <m/>
    <n v="0"/>
    <n v="0"/>
    <m/>
    <m/>
    <n v="126.22500000000001"/>
    <m/>
    <n v="0"/>
    <n v="0"/>
    <n v="0"/>
    <n v="0"/>
    <n v="0"/>
    <n v="0"/>
    <n v="0"/>
    <s v="NA"/>
    <m/>
  </r>
  <r>
    <s v="NSG"/>
    <x v="3"/>
    <s v="Home Energy Rebate"/>
    <s v="Standard Rebate"/>
    <x v="12"/>
    <s v="Storage 0.67 EF"/>
    <s v="SF"/>
    <x v="3"/>
    <s v="5.4.2"/>
    <s v="each"/>
    <n v="0"/>
    <n v="0"/>
    <n v="0"/>
    <n v="0"/>
    <s v="RS-HWE-GWHT-V10-220101"/>
    <m/>
    <n v="22.454907874999904"/>
    <n v="22.454907874999904"/>
    <n v="22.454907874999904"/>
    <n v="22.454907874999904"/>
    <n v="0.74"/>
    <n v="0.74"/>
    <n v="0.74"/>
    <n v="0.74"/>
    <n v="0"/>
    <n v="0"/>
    <n v="0"/>
    <n v="0"/>
    <n v="0"/>
    <n v="0.74"/>
    <n v="0.74"/>
    <n v="0.74"/>
    <n v="0.74"/>
    <n v="0.74"/>
    <n v="0.74"/>
    <n v="0.74"/>
    <n v="0.74"/>
    <m/>
    <m/>
    <n v="23.498586691725251"/>
    <m/>
    <n v="0"/>
    <n v="0"/>
    <m/>
    <m/>
    <n v="23.498586691725251"/>
    <s v="n/a"/>
    <n v="0"/>
    <n v="0"/>
    <n v="0"/>
    <m/>
    <m/>
    <n v="23.498586691725251"/>
    <m/>
    <n v="0"/>
    <n v="0"/>
    <m/>
    <m/>
    <n v="23.498586691725251"/>
    <m/>
    <n v="0"/>
    <n v="0"/>
    <n v="0"/>
    <n v="0"/>
    <n v="0"/>
    <n v="0"/>
    <n v="0"/>
    <s v="NA"/>
    <m/>
  </r>
  <r>
    <s v="NSG"/>
    <x v="3"/>
    <s v="Home Energy Rebate"/>
    <s v="Standard Rebate"/>
    <x v="44"/>
    <s v="Furnace (P)"/>
    <s v="SF"/>
    <x v="3"/>
    <s v="5.3.11"/>
    <s v="each"/>
    <n v="0"/>
    <n v="0"/>
    <n v="0"/>
    <n v="0"/>
    <s v="RS-HVC-ADTH-V08-230101"/>
    <m/>
    <n v="34.893600000000006"/>
    <n v="34.893600000000006"/>
    <n v="34.893600000000006"/>
    <n v="34.893600000000006"/>
    <n v="0.74"/>
    <n v="0.74"/>
    <n v="0.74"/>
    <n v="0.74"/>
    <n v="0"/>
    <n v="0"/>
    <n v="0"/>
    <n v="0"/>
    <n v="0"/>
    <n v="0.74"/>
    <n v="0.74"/>
    <n v="0.74"/>
    <n v="0.74"/>
    <n v="0.74"/>
    <n v="0.74"/>
    <n v="0.74"/>
    <n v="0.74"/>
    <m/>
    <m/>
    <n v="34.893600000000006"/>
    <m/>
    <n v="0"/>
    <n v="0"/>
    <m/>
    <m/>
    <n v="34.893600000000006"/>
    <s v="n/a"/>
    <n v="0"/>
    <n v="0"/>
    <n v="0"/>
    <m/>
    <m/>
    <n v="34.893600000000006"/>
    <m/>
    <n v="0"/>
    <n v="0"/>
    <m/>
    <m/>
    <n v="34.893600000000006"/>
    <m/>
    <n v="0"/>
    <n v="0"/>
    <n v="0"/>
    <n v="0"/>
    <n v="0"/>
    <n v="0"/>
    <n v="0"/>
    <s v="NA"/>
    <m/>
  </r>
  <r>
    <s v="NSG"/>
    <x v="3"/>
    <s v="Home Energy Rebate"/>
    <s v="Standard Rebate"/>
    <x v="44"/>
    <s v="Boiler (P)"/>
    <s v="SF"/>
    <x v="3"/>
    <s v="5.3.11"/>
    <s v="each"/>
    <n v="0"/>
    <n v="0"/>
    <n v="0"/>
    <n v="0"/>
    <s v="RS-HVC-ADTH-V08-230101"/>
    <m/>
    <n v="51.628640000000004"/>
    <n v="51.628640000000004"/>
    <n v="51.628640000000004"/>
    <n v="51.628640000000004"/>
    <n v="0.74"/>
    <n v="0.74"/>
    <n v="0.74"/>
    <n v="0.74"/>
    <n v="0"/>
    <n v="0"/>
    <n v="0"/>
    <n v="0"/>
    <n v="0"/>
    <n v="0.74"/>
    <n v="0.74"/>
    <n v="0.74"/>
    <n v="0.74"/>
    <n v="0.74"/>
    <n v="0.74"/>
    <n v="0.74"/>
    <n v="0.74"/>
    <m/>
    <m/>
    <n v="51.628640000000004"/>
    <m/>
    <n v="0"/>
    <n v="0"/>
    <m/>
    <m/>
    <n v="51.628640000000004"/>
    <s v="n/a"/>
    <n v="0"/>
    <n v="0"/>
    <n v="0"/>
    <m/>
    <m/>
    <n v="51.628640000000004"/>
    <m/>
    <n v="0"/>
    <n v="0"/>
    <m/>
    <m/>
    <n v="51.628640000000004"/>
    <m/>
    <n v="0"/>
    <n v="0"/>
    <n v="0"/>
    <n v="0"/>
    <n v="0"/>
    <n v="0"/>
    <n v="0"/>
    <s v="NA"/>
    <m/>
  </r>
  <r>
    <s v="NSG"/>
    <x v="3"/>
    <s v="Multi-Family"/>
    <s v="Direct Install"/>
    <x v="83"/>
    <n v="0"/>
    <s v="MF"/>
    <x v="3"/>
    <s v="n/a"/>
    <s v="each"/>
    <n v="0"/>
    <n v="0"/>
    <n v="0"/>
    <n v="0"/>
    <s v="n/a"/>
    <m/>
    <n v="0"/>
    <n v="0"/>
    <n v="0"/>
    <n v="0"/>
    <n v="0.96"/>
    <n v="0.96"/>
    <n v="0.96"/>
    <n v="0.96"/>
    <n v="0"/>
    <n v="0"/>
    <n v="0"/>
    <n v="0"/>
    <n v="0"/>
    <n v="0.96"/>
    <n v="0.96"/>
    <n v="0.96"/>
    <n v="0.96"/>
    <n v="0.96"/>
    <n v="0.96"/>
    <n v="0.96"/>
    <n v="0.96"/>
    <m/>
    <m/>
    <n v="0"/>
    <m/>
    <n v="0"/>
    <n v="0"/>
    <m/>
    <m/>
    <n v="0"/>
    <s v="n/a"/>
    <n v="0"/>
    <n v="0"/>
    <n v="0"/>
    <m/>
    <m/>
    <n v="0"/>
    <m/>
    <n v="0"/>
    <n v="0"/>
    <m/>
    <m/>
    <n v="0"/>
    <m/>
    <n v="0"/>
    <n v="0"/>
    <n v="0"/>
    <n v="0"/>
    <n v="0"/>
    <n v="0"/>
    <n v="0"/>
    <s v="NA"/>
    <m/>
  </r>
  <r>
    <s v="NSG"/>
    <x v="3"/>
    <s v="Multi-Family"/>
    <s v="Direct Install"/>
    <x v="84"/>
    <n v="0"/>
    <s v="MF"/>
    <x v="3"/>
    <s v="n/a"/>
    <s v="each"/>
    <n v="0"/>
    <n v="0"/>
    <n v="0"/>
    <n v="0"/>
    <s v="n/a"/>
    <m/>
    <n v="0"/>
    <n v="0"/>
    <n v="0"/>
    <n v="0"/>
    <n v="0.96"/>
    <n v="0.96"/>
    <n v="0.96"/>
    <n v="0.96"/>
    <n v="0"/>
    <n v="0"/>
    <n v="0"/>
    <n v="0"/>
    <n v="0"/>
    <n v="0.96"/>
    <n v="0.96"/>
    <n v="0.96"/>
    <n v="0.96"/>
    <n v="0.96"/>
    <n v="0.96"/>
    <n v="0.96"/>
    <n v="0.96"/>
    <m/>
    <m/>
    <n v="0"/>
    <m/>
    <n v="0"/>
    <n v="0"/>
    <m/>
    <m/>
    <n v="0"/>
    <s v="n/a"/>
    <n v="0"/>
    <n v="0"/>
    <n v="0"/>
    <m/>
    <m/>
    <n v="0"/>
    <m/>
    <n v="0"/>
    <n v="0"/>
    <m/>
    <m/>
    <n v="0"/>
    <m/>
    <n v="0"/>
    <n v="0"/>
    <n v="0"/>
    <n v="0"/>
    <n v="0"/>
    <n v="0"/>
    <n v="0"/>
    <s v="NA"/>
    <m/>
  </r>
  <r>
    <s v="NSG"/>
    <x v="3"/>
    <s v="Multi-Family"/>
    <s v="Direct Install"/>
    <x v="44"/>
    <s v="Boiler (DI)"/>
    <s v="MF"/>
    <x v="3"/>
    <s v="5.3.11"/>
    <s v="each"/>
    <n v="0"/>
    <n v="0"/>
    <n v="0"/>
    <n v="0"/>
    <s v="RS-HVC-ADTH-V08-230101"/>
    <m/>
    <n v="59.926100000000005"/>
    <n v="59.926100000000005"/>
    <n v="59.926100000000005"/>
    <n v="59.926100000000005"/>
    <n v="0.96"/>
    <n v="0.96"/>
    <n v="0.96"/>
    <n v="0.96"/>
    <n v="0"/>
    <n v="0"/>
    <n v="0"/>
    <n v="0"/>
    <n v="0"/>
    <n v="0.96"/>
    <n v="0.96"/>
    <n v="0.96"/>
    <n v="0.96"/>
    <n v="0.96"/>
    <n v="0.96"/>
    <n v="0.96"/>
    <n v="0.96"/>
    <m/>
    <m/>
    <n v="59.926100000000005"/>
    <m/>
    <n v="0"/>
    <n v="0"/>
    <m/>
    <m/>
    <n v="59.926100000000005"/>
    <s v="n/a"/>
    <n v="0"/>
    <n v="0"/>
    <n v="0"/>
    <m/>
    <m/>
    <n v="59.926100000000005"/>
    <m/>
    <n v="0"/>
    <n v="0"/>
    <m/>
    <m/>
    <n v="59.926100000000005"/>
    <m/>
    <n v="0"/>
    <n v="0"/>
    <n v="0"/>
    <n v="0"/>
    <n v="0"/>
    <n v="0"/>
    <n v="0"/>
    <s v="NA"/>
    <m/>
  </r>
  <r>
    <s v="NSG"/>
    <x v="3"/>
    <s v="Multi-Family"/>
    <s v="Direct Install"/>
    <x v="44"/>
    <s v="Furnace (DI)"/>
    <s v="MF"/>
    <x v="3"/>
    <s v="5.3.11"/>
    <s v="each"/>
    <n v="0"/>
    <n v="0"/>
    <n v="0"/>
    <n v="0"/>
    <s v="RS-HVC-ADTH-V08-230101"/>
    <m/>
    <n v="40.5015"/>
    <n v="40.5015"/>
    <n v="40.5015"/>
    <n v="40.5015"/>
    <n v="0.96"/>
    <n v="0.96"/>
    <n v="0.96"/>
    <n v="0.96"/>
    <n v="0"/>
    <n v="0"/>
    <n v="0"/>
    <n v="0"/>
    <n v="0"/>
    <n v="0.96"/>
    <n v="0.96"/>
    <n v="0.96"/>
    <n v="0.96"/>
    <n v="0.96"/>
    <n v="0.96"/>
    <n v="0.96"/>
    <n v="0.96"/>
    <m/>
    <m/>
    <n v="40.5015"/>
    <m/>
    <n v="0"/>
    <n v="0"/>
    <m/>
    <m/>
    <n v="40.5015"/>
    <s v="n/a"/>
    <n v="0"/>
    <n v="0"/>
    <n v="0"/>
    <m/>
    <m/>
    <n v="40.5015"/>
    <m/>
    <n v="0"/>
    <n v="0"/>
    <m/>
    <m/>
    <n v="40.5015"/>
    <m/>
    <n v="0"/>
    <n v="0"/>
    <n v="0"/>
    <n v="0"/>
    <n v="0"/>
    <n v="0"/>
    <n v="0"/>
    <s v="NA"/>
    <m/>
  </r>
  <r>
    <s v="NSG"/>
    <x v="3"/>
    <s v="Multi-Family"/>
    <s v="Direct Install"/>
    <x v="9"/>
    <n v="0"/>
    <s v="MF"/>
    <x v="3"/>
    <s v="5.4.9"/>
    <s v="each"/>
    <n v="0"/>
    <n v="0"/>
    <n v="0"/>
    <n v="0"/>
    <s v="RS-DHW-SHTM-V05-230101"/>
    <m/>
    <n v="3.5388455445188995"/>
    <n v="3.5388455445188995"/>
    <n v="3.5388455445188995"/>
    <n v="3.5388455445188995"/>
    <n v="0.96"/>
    <n v="0.96"/>
    <n v="0.96"/>
    <n v="0.96"/>
    <n v="0"/>
    <n v="0"/>
    <n v="0"/>
    <n v="0"/>
    <n v="0"/>
    <n v="0.96"/>
    <n v="0.96"/>
    <n v="0.96"/>
    <n v="0.96"/>
    <n v="0.96"/>
    <n v="0.96"/>
    <n v="0.96"/>
    <n v="0.96"/>
    <m/>
    <m/>
    <n v="3.7960439935175092"/>
    <m/>
    <n v="0"/>
    <n v="0"/>
    <m/>
    <m/>
    <n v="3.7960439935175092"/>
    <s v="No savings impacts with existing measure assumptions."/>
    <n v="0"/>
    <n v="0"/>
    <n v="0"/>
    <m/>
    <m/>
    <n v="3.7960439935175092"/>
    <m/>
    <n v="0"/>
    <n v="0"/>
    <m/>
    <m/>
    <n v="3.7960439935175092"/>
    <m/>
    <n v="0"/>
    <n v="0"/>
    <n v="0"/>
    <n v="0"/>
    <n v="0"/>
    <n v="0"/>
    <n v="0"/>
    <s v="NA"/>
    <m/>
  </r>
  <r>
    <s v="NSG"/>
    <x v="3"/>
    <s v="Multi-Family"/>
    <s v="Gas Optimization"/>
    <x v="85"/>
    <n v="0"/>
    <s v="MF"/>
    <x v="3"/>
    <n v="0"/>
    <s v="therm"/>
    <n v="0"/>
    <n v="0"/>
    <n v="0"/>
    <n v="0"/>
    <n v="0"/>
    <m/>
    <n v="1"/>
    <n v="1"/>
    <n v="1"/>
    <n v="1"/>
    <n v="0.94"/>
    <n v="0.94"/>
    <n v="0.94"/>
    <n v="0.94"/>
    <n v="0"/>
    <n v="0"/>
    <n v="0"/>
    <n v="0"/>
    <n v="0"/>
    <n v="0.94"/>
    <n v="0.94"/>
    <n v="0.94"/>
    <n v="0.94"/>
    <n v="0.94"/>
    <n v="0.94"/>
    <n v="0.94"/>
    <n v="0.94"/>
    <m/>
    <m/>
    <n v="1"/>
    <m/>
    <n v="0"/>
    <n v="0"/>
    <m/>
    <m/>
    <n v="1"/>
    <s v="n/a"/>
    <n v="0"/>
    <n v="0"/>
    <n v="0"/>
    <m/>
    <m/>
    <n v="1"/>
    <m/>
    <n v="0"/>
    <n v="0"/>
    <m/>
    <m/>
    <n v="1"/>
    <m/>
    <n v="0"/>
    <n v="0"/>
    <n v="0"/>
    <n v="0"/>
    <n v="0"/>
    <n v="0"/>
    <n v="0"/>
    <s v="NA"/>
    <m/>
  </r>
  <r>
    <s v="NSG"/>
    <x v="3"/>
    <s v="Multi-Family"/>
    <s v="Standard Rebate"/>
    <x v="28"/>
    <s v="≥88% AFUE, ≥300MBh TE"/>
    <s v="MF"/>
    <x v="3"/>
    <s v="4.4.10"/>
    <s v="MBH"/>
    <n v="0"/>
    <n v="0"/>
    <n v="0"/>
    <n v="0"/>
    <s v="CI-HVC-BOIL-V10-230101"/>
    <m/>
    <n v="1.6609999999999991"/>
    <n v="1.6609999999999991"/>
    <n v="1.6609999999999991"/>
    <n v="1.6609999999999991"/>
    <n v="0.87"/>
    <n v="0.87"/>
    <n v="0.87"/>
    <n v="0.87"/>
    <n v="0"/>
    <n v="0"/>
    <n v="0"/>
    <n v="0"/>
    <n v="0"/>
    <n v="0.87"/>
    <n v="0.87"/>
    <n v="0.87"/>
    <n v="0.87"/>
    <n v="0.87"/>
    <n v="0.87"/>
    <n v="0.87"/>
    <n v="0.87"/>
    <m/>
    <m/>
    <n v="1.6609999999999991"/>
    <m/>
    <n v="0"/>
    <n v="0"/>
    <m/>
    <m/>
    <n v="1.6609999999999991"/>
    <s v="n/a"/>
    <n v="0"/>
    <n v="0"/>
    <n v="0"/>
    <m/>
    <m/>
    <n v="1.6609999999999991"/>
    <m/>
    <n v="0"/>
    <n v="0"/>
    <m/>
    <m/>
    <n v="1.6609999999999991"/>
    <m/>
    <n v="0"/>
    <n v="0"/>
    <n v="0"/>
    <n v="0"/>
    <n v="0"/>
    <n v="0"/>
    <n v="0"/>
    <s v="NA"/>
    <m/>
  </r>
  <r>
    <s v="NSG"/>
    <x v="3"/>
    <s v="Multi-Family"/>
    <s v="Standard Rebate"/>
    <x v="70"/>
    <n v="0"/>
    <s v="MF/CI"/>
    <x v="3"/>
    <s v="4.4.5"/>
    <s v="MBH"/>
    <n v="0"/>
    <n v="0"/>
    <n v="0"/>
    <n v="0"/>
    <s v="CI-HVC-CUHT-V03-230101"/>
    <m/>
    <n v="1.7733333333333334"/>
    <n v="1.7733333333333334"/>
    <n v="1.7733333333333334"/>
    <n v="1.7733333333333334"/>
    <n v="0.87"/>
    <n v="0.87"/>
    <n v="0.87"/>
    <n v="0.87"/>
    <n v="0"/>
    <n v="0"/>
    <n v="0"/>
    <n v="0"/>
    <n v="0"/>
    <n v="0.87"/>
    <n v="0.87"/>
    <n v="0.87"/>
    <n v="0.87"/>
    <n v="0.87"/>
    <n v="0.87"/>
    <n v="0.87"/>
    <n v="0.87"/>
    <m/>
    <m/>
    <n v="1.6896527777777772"/>
    <m/>
    <n v="0"/>
    <n v="0"/>
    <m/>
    <m/>
    <n v="1.6896527777777772"/>
    <s v="n/a"/>
    <n v="0"/>
    <n v="0"/>
    <n v="0"/>
    <m/>
    <m/>
    <n v="1.6896527777777772"/>
    <m/>
    <n v="0"/>
    <n v="0"/>
    <m/>
    <m/>
    <n v="1.6896527777777772"/>
    <m/>
    <n v="0"/>
    <n v="0"/>
    <n v="0"/>
    <n v="0"/>
    <n v="0"/>
    <n v="0"/>
    <n v="0"/>
    <s v="NA"/>
    <m/>
  </r>
  <r>
    <s v="NSG"/>
    <x v="3"/>
    <s v="Multi-Family"/>
    <s v="Standard Rebate"/>
    <x v="71"/>
    <n v="0"/>
    <s v="MF/CI"/>
    <x v="3"/>
    <s v="4.4.39"/>
    <s v="MBH"/>
    <n v="0"/>
    <n v="0"/>
    <n v="0"/>
    <n v="0"/>
    <s v="CI-HVC-HTHV-V02-230101"/>
    <m/>
    <n v="3.72"/>
    <n v="3.72"/>
    <n v="3.72"/>
    <n v="3.72"/>
    <n v="0.87"/>
    <n v="0.87"/>
    <n v="0.87"/>
    <n v="0.87"/>
    <n v="0"/>
    <n v="0"/>
    <n v="0"/>
    <n v="0"/>
    <n v="0"/>
    <n v="0.87"/>
    <n v="0.87"/>
    <n v="0.87"/>
    <n v="0.87"/>
    <n v="0.87"/>
    <n v="0.87"/>
    <n v="0.87"/>
    <n v="0.87"/>
    <m/>
    <m/>
    <n v="3.72"/>
    <m/>
    <n v="0"/>
    <n v="0"/>
    <m/>
    <m/>
    <n v="3.72"/>
    <s v="n/a"/>
    <n v="0"/>
    <n v="0"/>
    <n v="0"/>
    <m/>
    <m/>
    <n v="3.72"/>
    <m/>
    <n v="0"/>
    <n v="0"/>
    <m/>
    <m/>
    <n v="3.72"/>
    <m/>
    <n v="0"/>
    <n v="0"/>
    <n v="0"/>
    <n v="0"/>
    <n v="0"/>
    <n v="0"/>
    <n v="0"/>
    <s v="NA"/>
    <m/>
  </r>
  <r>
    <s v="NSG"/>
    <x v="3"/>
    <s v="Multi-Family"/>
    <s v="Standard Rebate"/>
    <x v="43"/>
    <n v="0"/>
    <s v="MF"/>
    <x v="3"/>
    <s v="4.8.5"/>
    <s v="lb-capacity"/>
    <n v="0"/>
    <n v="0"/>
    <n v="0"/>
    <n v="0"/>
    <s v="CI-MSC-HSCW-V02-210101"/>
    <m/>
    <n v="2.2054032000000001"/>
    <n v="2.2054032000000001"/>
    <n v="2.2054032000000001"/>
    <n v="2.2054032000000001"/>
    <n v="0.87"/>
    <n v="0.87"/>
    <n v="0.87"/>
    <n v="0.87"/>
    <n v="0"/>
    <n v="0"/>
    <n v="0"/>
    <n v="0"/>
    <n v="0"/>
    <n v="0.87"/>
    <n v="0.87"/>
    <n v="0.87"/>
    <n v="0.87"/>
    <n v="0.87"/>
    <n v="0.87"/>
    <n v="0.87"/>
    <n v="0.87"/>
    <m/>
    <m/>
    <n v="2.2054032000000001"/>
    <m/>
    <n v="0"/>
    <n v="0"/>
    <m/>
    <m/>
    <n v="2.2054032000000001"/>
    <s v="n/a"/>
    <n v="0"/>
    <n v="0"/>
    <n v="0"/>
    <m/>
    <m/>
    <n v="2.2054032000000001"/>
    <m/>
    <n v="0"/>
    <n v="0"/>
    <m/>
    <m/>
    <n v="2.2054032000000001"/>
    <m/>
    <n v="0"/>
    <n v="0"/>
    <n v="0"/>
    <n v="0"/>
    <n v="0"/>
    <n v="0"/>
    <n v="0"/>
    <s v="NA"/>
    <m/>
  </r>
  <r>
    <s v="NSG"/>
    <x v="3"/>
    <s v="Multi-Family"/>
    <s v="Standard Rebate"/>
    <x v="73"/>
    <n v="0"/>
    <s v="MF/CI"/>
    <x v="3"/>
    <s v="4.4.12"/>
    <s v="MBH"/>
    <n v="0"/>
    <n v="0"/>
    <n v="0"/>
    <n v="0"/>
    <s v="CI-HVC-IRHT-V03-230101"/>
    <m/>
    <n v="2.9611764705882351"/>
    <n v="2.9611764705882351"/>
    <n v="2.9611764705882351"/>
    <n v="2.9611764705882351"/>
    <n v="0.87"/>
    <n v="0.87"/>
    <n v="0.87"/>
    <n v="0.87"/>
    <n v="0"/>
    <n v="0"/>
    <n v="0"/>
    <n v="0"/>
    <n v="0"/>
    <n v="0.87"/>
    <n v="0.87"/>
    <n v="0.87"/>
    <n v="0.87"/>
    <n v="0.87"/>
    <n v="0.87"/>
    <n v="0.87"/>
    <n v="0.87"/>
    <m/>
    <m/>
    <n v="2.9611764705882351"/>
    <m/>
    <n v="0"/>
    <n v="0"/>
    <m/>
    <m/>
    <n v="2.9611764705882351"/>
    <s v="n/a"/>
    <n v="0"/>
    <n v="0"/>
    <n v="0"/>
    <m/>
    <m/>
    <n v="2.9611764705882351"/>
    <m/>
    <n v="0"/>
    <n v="0"/>
    <m/>
    <m/>
    <n v="2.9611764705882351"/>
    <m/>
    <n v="0"/>
    <n v="0"/>
    <n v="0"/>
    <n v="0"/>
    <n v="0"/>
    <n v="0"/>
    <n v="0"/>
    <s v="NA"/>
    <m/>
  </r>
  <r>
    <s v="NSG"/>
    <x v="3"/>
    <s v="Multi-Family"/>
    <s v="Standard Rebate"/>
    <x v="74"/>
    <n v="0"/>
    <s v="MF/CI"/>
    <x v="3"/>
    <s v="4.3.6"/>
    <s v="lb-capacity"/>
    <n v="0"/>
    <n v="0"/>
    <n v="0"/>
    <n v="0"/>
    <s v="CI-HWE-OZLD-V07-230101"/>
    <m/>
    <n v="30.722664192350027"/>
    <n v="30.722664192350027"/>
    <n v="30.722664192350027"/>
    <n v="30.722664192350027"/>
    <n v="0.87"/>
    <n v="0.87"/>
    <n v="0.87"/>
    <n v="0.87"/>
    <n v="0"/>
    <n v="0"/>
    <n v="0"/>
    <n v="0"/>
    <n v="0"/>
    <n v="0.87"/>
    <n v="0.87"/>
    <n v="0.87"/>
    <n v="0.87"/>
    <n v="0.87"/>
    <n v="0.87"/>
    <n v="0.87"/>
    <n v="0.87"/>
    <m/>
    <m/>
    <n v="30.722664192350027"/>
    <m/>
    <n v="0"/>
    <n v="0"/>
    <m/>
    <m/>
    <n v="30.722664192350027"/>
    <s v="n/a"/>
    <n v="0"/>
    <n v="0"/>
    <n v="0"/>
    <m/>
    <m/>
    <n v="30.722664192350027"/>
    <m/>
    <n v="0"/>
    <n v="0"/>
    <m/>
    <m/>
    <n v="30.722664192350027"/>
    <m/>
    <n v="0"/>
    <n v="0"/>
    <n v="0"/>
    <n v="0"/>
    <n v="0"/>
    <n v="0"/>
    <n v="0"/>
    <s v="NA"/>
    <m/>
  </r>
  <r>
    <s v="NSG"/>
    <x v="3"/>
    <s v="Multi-Family"/>
    <s v="Standard Rebate"/>
    <x v="4"/>
    <s v="Hyd. Boiler Sm ≤1.25&quot;"/>
    <s v="MF"/>
    <x v="3"/>
    <s v="&quot;3 - Res Pipe Insulation&quot; worksheet"/>
    <s v="ft"/>
    <n v="0"/>
    <n v="0"/>
    <n v="0"/>
    <n v="0"/>
    <n v="0"/>
    <m/>
    <n v="2.0682348076923076"/>
    <n v="2.0682348076923076"/>
    <n v="2.0682348076923076"/>
    <n v="2.0682348076923076"/>
    <n v="0.87"/>
    <n v="0.87"/>
    <n v="0.87"/>
    <n v="0.87"/>
    <n v="0"/>
    <n v="0"/>
    <n v="0"/>
    <n v="0"/>
    <n v="0"/>
    <n v="0.87"/>
    <n v="0.87"/>
    <n v="0.87"/>
    <n v="0.87"/>
    <n v="0.87"/>
    <n v="0.87"/>
    <n v="0.87"/>
    <n v="0.87"/>
    <m/>
    <m/>
    <n v="2.0682348076923076"/>
    <m/>
    <n v="0"/>
    <n v="0"/>
    <m/>
    <m/>
    <n v="2.0682348076923076"/>
    <s v="n/a"/>
    <n v="0"/>
    <n v="0"/>
    <n v="0"/>
    <m/>
    <m/>
    <n v="2.0682348076923076"/>
    <m/>
    <n v="0"/>
    <n v="0"/>
    <m/>
    <m/>
    <n v="2.0682348076923076"/>
    <m/>
    <n v="0"/>
    <n v="0"/>
    <n v="0"/>
    <n v="0"/>
    <n v="0"/>
    <n v="0"/>
    <n v="0"/>
    <s v="NA"/>
    <m/>
  </r>
  <r>
    <s v="NSG"/>
    <x v="3"/>
    <s v="Multi-Family"/>
    <s v="Standard Rebate"/>
    <x v="4"/>
    <s v="Hyd. Boiler Med 1.25-2&quot;"/>
    <s v="MF"/>
    <x v="3"/>
    <s v="&quot;3 - Res Pipe Insulation&quot; worksheet"/>
    <s v="ft"/>
    <n v="0"/>
    <n v="0"/>
    <n v="0"/>
    <n v="0"/>
    <n v="0"/>
    <m/>
    <n v="3.6034773504273505"/>
    <n v="3.6034773504273505"/>
    <n v="3.6034773504273505"/>
    <n v="3.6034773504273505"/>
    <n v="0.87"/>
    <n v="0.87"/>
    <n v="0.87"/>
    <n v="0.87"/>
    <n v="0"/>
    <n v="0"/>
    <n v="0"/>
    <n v="0"/>
    <n v="0"/>
    <n v="0.87"/>
    <n v="0.87"/>
    <n v="0.87"/>
    <n v="0.87"/>
    <n v="0.87"/>
    <n v="0.87"/>
    <n v="0.87"/>
    <n v="0.87"/>
    <m/>
    <m/>
    <n v="3.6034773504273505"/>
    <m/>
    <n v="0"/>
    <n v="0"/>
    <m/>
    <m/>
    <n v="3.6034773504273505"/>
    <s v="n/a"/>
    <n v="0"/>
    <n v="0"/>
    <n v="0"/>
    <m/>
    <m/>
    <n v="3.6034773504273505"/>
    <m/>
    <n v="0"/>
    <n v="0"/>
    <m/>
    <m/>
    <n v="3.6034773504273505"/>
    <m/>
    <n v="0"/>
    <n v="0"/>
    <n v="0"/>
    <n v="0"/>
    <n v="0"/>
    <n v="0"/>
    <n v="0"/>
    <s v="NA"/>
    <m/>
  </r>
  <r>
    <s v="NSG"/>
    <x v="3"/>
    <s v="Multi-Family"/>
    <s v="Standard Rebate"/>
    <x v="4"/>
    <s v="Steam - Small 1&quot; to 2&quot;"/>
    <s v="MF"/>
    <x v="3"/>
    <s v="&quot;3 - Res Pipe Insulation&quot; worksheet"/>
    <s v="ft"/>
    <n v="0"/>
    <n v="0"/>
    <n v="0"/>
    <n v="0"/>
    <n v="0"/>
    <m/>
    <n v="3.967097058288509"/>
    <n v="3.967097058288509"/>
    <n v="3.967097058288509"/>
    <n v="3.967097058288509"/>
    <n v="0.87"/>
    <n v="0.87"/>
    <n v="0.87"/>
    <n v="0.87"/>
    <n v="0"/>
    <n v="0"/>
    <n v="0"/>
    <n v="0"/>
    <n v="0"/>
    <n v="0.87"/>
    <n v="0.87"/>
    <n v="0.87"/>
    <n v="0.87"/>
    <n v="0.87"/>
    <n v="0.87"/>
    <n v="0.87"/>
    <n v="0.87"/>
    <m/>
    <m/>
    <n v="3.967097058288509"/>
    <m/>
    <n v="0"/>
    <n v="0"/>
    <m/>
    <m/>
    <n v="3.967097058288509"/>
    <s v="n/a"/>
    <n v="0"/>
    <n v="0"/>
    <n v="0"/>
    <m/>
    <m/>
    <n v="3.967097058288509"/>
    <m/>
    <n v="0"/>
    <n v="0"/>
    <m/>
    <m/>
    <n v="3.967097058288509"/>
    <m/>
    <n v="0"/>
    <n v="0"/>
    <n v="0"/>
    <n v="0"/>
    <n v="0"/>
    <n v="0"/>
    <n v="0"/>
    <s v="NA"/>
    <m/>
  </r>
  <r>
    <s v="NSG"/>
    <x v="3"/>
    <s v="Multi-Family"/>
    <s v="Standard Rebate"/>
    <x v="4"/>
    <s v="Steam - Med 2.1&quot; to 5&quot;"/>
    <s v="MF"/>
    <x v="3"/>
    <s v="&quot;3 - Res Pipe Insulation&quot; worksheet"/>
    <s v="ft"/>
    <n v="0"/>
    <n v="0"/>
    <n v="0"/>
    <n v="0"/>
    <n v="0"/>
    <m/>
    <n v="15.954497207020932"/>
    <n v="15.954497207020932"/>
    <n v="15.954497207020932"/>
    <n v="15.954497207020932"/>
    <n v="0.87"/>
    <n v="0.87"/>
    <n v="0.87"/>
    <n v="0.87"/>
    <n v="0"/>
    <n v="0"/>
    <n v="0"/>
    <n v="0"/>
    <n v="0"/>
    <n v="0.87"/>
    <n v="0.87"/>
    <n v="0.87"/>
    <n v="0.87"/>
    <n v="0.87"/>
    <n v="0.87"/>
    <n v="0.87"/>
    <n v="0.87"/>
    <m/>
    <m/>
    <n v="15.954497207020932"/>
    <m/>
    <n v="0"/>
    <n v="0"/>
    <m/>
    <m/>
    <n v="15.954497207020932"/>
    <s v="n/a"/>
    <n v="0"/>
    <n v="0"/>
    <n v="0"/>
    <m/>
    <m/>
    <n v="15.954497207020932"/>
    <m/>
    <n v="0"/>
    <n v="0"/>
    <m/>
    <m/>
    <n v="15.954497207020932"/>
    <m/>
    <n v="0"/>
    <n v="0"/>
    <n v="0"/>
    <n v="0"/>
    <n v="0"/>
    <n v="0"/>
    <n v="0"/>
    <s v="NA"/>
    <m/>
  </r>
  <r>
    <s v="NSG"/>
    <x v="3"/>
    <s v="Multi-Family"/>
    <s v="Standard Rebate"/>
    <x v="4"/>
    <s v="Steam - Large 5.1&quot; to 8&quot;"/>
    <s v="MF"/>
    <x v="3"/>
    <s v="&quot;3 - Res Pipe Insulation&quot; worksheet"/>
    <s v="ft"/>
    <n v="0"/>
    <n v="0"/>
    <n v="0"/>
    <n v="0"/>
    <n v="0"/>
    <m/>
    <n v="31.133964854103496"/>
    <n v="31.133964854103496"/>
    <n v="31.133964854103496"/>
    <n v="31.133964854103496"/>
    <n v="0.87"/>
    <n v="0.87"/>
    <n v="0.87"/>
    <n v="0.87"/>
    <n v="0"/>
    <n v="0"/>
    <n v="0"/>
    <n v="0"/>
    <n v="0"/>
    <n v="0.87"/>
    <n v="0.87"/>
    <n v="0.87"/>
    <n v="0.87"/>
    <n v="0.87"/>
    <n v="0.87"/>
    <n v="0.87"/>
    <n v="0.87"/>
    <m/>
    <m/>
    <n v="31.133964854103496"/>
    <m/>
    <n v="0"/>
    <n v="0"/>
    <m/>
    <m/>
    <n v="31.133964854103496"/>
    <s v="n/a"/>
    <n v="0"/>
    <n v="0"/>
    <n v="0"/>
    <m/>
    <m/>
    <n v="31.133964854103496"/>
    <m/>
    <n v="0"/>
    <n v="0"/>
    <m/>
    <m/>
    <n v="31.133964854103496"/>
    <m/>
    <n v="0"/>
    <n v="0"/>
    <n v="0"/>
    <n v="0"/>
    <n v="0"/>
    <n v="0"/>
    <n v="0"/>
    <s v="NA"/>
    <m/>
  </r>
  <r>
    <s v="NSG"/>
    <x v="3"/>
    <s v="Multi-Family"/>
    <s v="Standard Rebate"/>
    <x v="4"/>
    <s v="Steam - X-Large &gt;8&quot;"/>
    <s v="MF"/>
    <x v="3"/>
    <s v="&quot;3 - Res Pipe Insulation&quot; worksheet"/>
    <s v="ft"/>
    <n v="0"/>
    <n v="0"/>
    <n v="0"/>
    <n v="0"/>
    <n v="0"/>
    <m/>
    <n v="44.814401171573145"/>
    <n v="44.814401171573145"/>
    <n v="44.814401171573145"/>
    <n v="44.814401171573145"/>
    <n v="0.87"/>
    <n v="0.87"/>
    <n v="0.87"/>
    <n v="0.87"/>
    <n v="0"/>
    <n v="0"/>
    <n v="0"/>
    <n v="0"/>
    <n v="0"/>
    <n v="0.87"/>
    <n v="0.87"/>
    <n v="0.87"/>
    <n v="0.87"/>
    <n v="0.87"/>
    <n v="0.87"/>
    <n v="0.87"/>
    <n v="0.87"/>
    <m/>
    <m/>
    <n v="44.814401171573145"/>
    <m/>
    <n v="0"/>
    <n v="0"/>
    <m/>
    <m/>
    <n v="44.814401171573145"/>
    <s v="n/a"/>
    <n v="0"/>
    <n v="0"/>
    <n v="0"/>
    <m/>
    <m/>
    <n v="44.814401171573145"/>
    <m/>
    <n v="0"/>
    <n v="0"/>
    <m/>
    <m/>
    <n v="44.814401171573145"/>
    <m/>
    <n v="0"/>
    <n v="0"/>
    <n v="0"/>
    <n v="0"/>
    <n v="0"/>
    <n v="0"/>
    <n v="0"/>
    <s v="NA"/>
    <m/>
  </r>
  <r>
    <s v="NSG"/>
    <x v="3"/>
    <s v="Multi-Family"/>
    <s v="Standard Rebate"/>
    <x v="4"/>
    <s v="Steam Med Fitting"/>
    <s v="MF"/>
    <x v="3"/>
    <s v="&quot;3 - Res Pipe Insulation&quot; worksheet"/>
    <s v="each"/>
    <n v="0"/>
    <n v="0"/>
    <n v="0"/>
    <n v="0"/>
    <n v="0"/>
    <m/>
    <n v="20.134575475260416"/>
    <n v="20.134575475260416"/>
    <n v="20.134575475260416"/>
    <n v="20.134575475260416"/>
    <n v="0.87"/>
    <n v="0.87"/>
    <n v="0.87"/>
    <n v="0.87"/>
    <n v="0"/>
    <n v="0"/>
    <n v="0"/>
    <n v="0"/>
    <n v="0"/>
    <n v="0.87"/>
    <n v="0.87"/>
    <n v="0.87"/>
    <n v="0.87"/>
    <n v="0.87"/>
    <n v="0.87"/>
    <n v="0.87"/>
    <n v="0.87"/>
    <m/>
    <m/>
    <n v="20.134575475260416"/>
    <m/>
    <n v="0"/>
    <n v="0"/>
    <m/>
    <m/>
    <n v="20.134575475260416"/>
    <s v="n/a"/>
    <n v="0"/>
    <n v="0"/>
    <n v="0"/>
    <m/>
    <m/>
    <n v="20.134575475260416"/>
    <m/>
    <n v="0"/>
    <n v="0"/>
    <m/>
    <m/>
    <n v="20.134575475260416"/>
    <m/>
    <n v="0"/>
    <n v="0"/>
    <n v="0"/>
    <n v="0"/>
    <n v="0"/>
    <n v="0"/>
    <n v="0"/>
    <s v="NA"/>
    <m/>
  </r>
  <r>
    <s v="NSG"/>
    <x v="3"/>
    <s v="Multi-Family"/>
    <s v="Standard Rebate"/>
    <x v="4"/>
    <s v="Steam Large Fitting"/>
    <s v="MF"/>
    <x v="3"/>
    <s v="&quot;3 - Res Pipe Insulation&quot; worksheet"/>
    <s v="each"/>
    <n v="0"/>
    <n v="0"/>
    <n v="0"/>
    <n v="0"/>
    <n v="0"/>
    <m/>
    <n v="66.284273233024678"/>
    <n v="66.284273233024678"/>
    <n v="66.284273233024678"/>
    <n v="66.284273233024678"/>
    <n v="0.87"/>
    <n v="0.87"/>
    <n v="0.87"/>
    <n v="0.87"/>
    <n v="0"/>
    <n v="0"/>
    <n v="0"/>
    <n v="0"/>
    <n v="0"/>
    <n v="0.87"/>
    <n v="0.87"/>
    <n v="0.87"/>
    <n v="0.87"/>
    <n v="0.87"/>
    <n v="0.87"/>
    <n v="0.87"/>
    <n v="0.87"/>
    <m/>
    <m/>
    <n v="66.284273233024678"/>
    <m/>
    <n v="0"/>
    <n v="0"/>
    <m/>
    <m/>
    <n v="66.284273233024678"/>
    <s v="n/a"/>
    <n v="0"/>
    <n v="0"/>
    <n v="0"/>
    <m/>
    <m/>
    <n v="66.284273233024678"/>
    <m/>
    <n v="0"/>
    <n v="0"/>
    <m/>
    <m/>
    <n v="66.284273233024678"/>
    <m/>
    <n v="0"/>
    <n v="0"/>
    <n v="0"/>
    <n v="0"/>
    <n v="0"/>
    <n v="0"/>
    <n v="0"/>
    <s v="NA"/>
    <m/>
  </r>
  <r>
    <s v="NSG"/>
    <x v="3"/>
    <s v="Multi-Family"/>
    <s v="Standard Rebate"/>
    <x v="4"/>
    <s v="Steam X-Large Fitting"/>
    <s v="MF"/>
    <x v="3"/>
    <s v="&quot;3 - Res Pipe Insulation&quot; worksheet"/>
    <s v="each"/>
    <n v="0"/>
    <n v="0"/>
    <n v="0"/>
    <n v="0"/>
    <n v="0"/>
    <m/>
    <n v="113.8883886472908"/>
    <n v="113.8883886472908"/>
    <n v="113.8883886472908"/>
    <n v="113.8883886472908"/>
    <n v="0.87"/>
    <n v="0.87"/>
    <n v="0.87"/>
    <n v="0.87"/>
    <n v="0"/>
    <n v="0"/>
    <n v="0"/>
    <n v="0"/>
    <n v="0"/>
    <n v="0.87"/>
    <n v="0.87"/>
    <n v="0.87"/>
    <n v="0.87"/>
    <n v="0.87"/>
    <n v="0.87"/>
    <n v="0.87"/>
    <n v="0.87"/>
    <m/>
    <m/>
    <n v="113.8883886472908"/>
    <m/>
    <n v="0"/>
    <n v="0"/>
    <m/>
    <m/>
    <n v="113.8883886472908"/>
    <s v="n/a"/>
    <n v="0"/>
    <n v="0"/>
    <n v="0"/>
    <m/>
    <m/>
    <n v="113.8883886472908"/>
    <m/>
    <n v="0"/>
    <n v="0"/>
    <m/>
    <m/>
    <n v="113.8883886472908"/>
    <m/>
    <n v="0"/>
    <n v="0"/>
    <n v="0"/>
    <n v="0"/>
    <n v="0"/>
    <n v="0"/>
    <n v="0"/>
    <s v="NA"/>
    <m/>
  </r>
  <r>
    <s v="NSG"/>
    <x v="3"/>
    <s v="Multi-Family"/>
    <s v="Standard Rebate"/>
    <x v="4"/>
    <s v="Steam Med Valve"/>
    <s v="MF"/>
    <x v="3"/>
    <s v="&quot;3 - Res Pipe Insulation&quot; worksheet"/>
    <s v="each"/>
    <n v="0"/>
    <n v="0"/>
    <n v="0"/>
    <n v="0"/>
    <n v="0"/>
    <m/>
    <n v="67.962640249087912"/>
    <n v="67.962640249087912"/>
    <n v="67.962640249087912"/>
    <n v="67.962640249087912"/>
    <n v="0.87"/>
    <n v="0.87"/>
    <n v="0.87"/>
    <n v="0.87"/>
    <n v="0"/>
    <n v="0"/>
    <n v="0"/>
    <n v="0"/>
    <n v="0"/>
    <n v="0.87"/>
    <n v="0.87"/>
    <n v="0.87"/>
    <n v="0.87"/>
    <n v="0.87"/>
    <n v="0.87"/>
    <n v="0.87"/>
    <n v="0.87"/>
    <m/>
    <m/>
    <n v="67.962640249087912"/>
    <m/>
    <n v="0"/>
    <n v="0"/>
    <m/>
    <m/>
    <n v="67.962640249087912"/>
    <s v="n/a"/>
    <n v="0"/>
    <n v="0"/>
    <n v="0"/>
    <m/>
    <m/>
    <n v="67.962640249087912"/>
    <m/>
    <n v="0"/>
    <n v="0"/>
    <m/>
    <m/>
    <n v="67.962640249087912"/>
    <m/>
    <n v="0"/>
    <n v="0"/>
    <n v="0"/>
    <n v="0"/>
    <n v="0"/>
    <n v="0"/>
    <n v="0"/>
    <s v="NA"/>
    <m/>
  </r>
  <r>
    <s v="NSG"/>
    <x v="3"/>
    <s v="Multi-Family"/>
    <s v="Standard Rebate"/>
    <x v="4"/>
    <s v="Steam Large Valve"/>
    <s v="MF"/>
    <x v="3"/>
    <s v="&quot;3 - Res Pipe Insulation&quot; worksheet"/>
    <s v="each"/>
    <n v="0"/>
    <n v="0"/>
    <n v="0"/>
    <n v="0"/>
    <n v="0"/>
    <m/>
    <n v="133.90978522057964"/>
    <n v="133.90978522057964"/>
    <n v="133.90978522057964"/>
    <n v="133.90978522057964"/>
    <n v="0.87"/>
    <n v="0.87"/>
    <n v="0.87"/>
    <n v="0.87"/>
    <n v="0"/>
    <n v="0"/>
    <n v="0"/>
    <n v="0"/>
    <n v="0"/>
    <n v="0.87"/>
    <n v="0.87"/>
    <n v="0.87"/>
    <n v="0.87"/>
    <n v="0.87"/>
    <n v="0.87"/>
    <n v="0.87"/>
    <n v="0.87"/>
    <m/>
    <m/>
    <n v="133.90978522057964"/>
    <m/>
    <n v="0"/>
    <n v="0"/>
    <m/>
    <m/>
    <n v="133.90978522057964"/>
    <s v="n/a"/>
    <n v="0"/>
    <n v="0"/>
    <n v="0"/>
    <m/>
    <m/>
    <n v="133.90978522057964"/>
    <m/>
    <n v="0"/>
    <n v="0"/>
    <m/>
    <m/>
    <n v="133.90978522057964"/>
    <m/>
    <n v="0"/>
    <n v="0"/>
    <n v="0"/>
    <n v="0"/>
    <n v="0"/>
    <n v="0"/>
    <n v="0"/>
    <s v="NA"/>
    <m/>
  </r>
  <r>
    <s v="NSG"/>
    <x v="3"/>
    <s v="Multi-Family"/>
    <s v="Standard Rebate"/>
    <x v="4"/>
    <s v="Steam X-Large Valve"/>
    <s v="MF"/>
    <x v="3"/>
    <s v="&quot;3 - Res Pipe Insulation&quot; worksheet"/>
    <s v="each"/>
    <n v="0"/>
    <n v="0"/>
    <n v="0"/>
    <n v="0"/>
    <n v="0"/>
    <m/>
    <n v="67.962640249087912"/>
    <n v="67.962640249087912"/>
    <n v="67.962640249087912"/>
    <n v="67.962640249087912"/>
    <n v="0.87"/>
    <n v="0.87"/>
    <n v="0.87"/>
    <n v="0.87"/>
    <n v="0"/>
    <n v="0"/>
    <n v="0"/>
    <n v="0"/>
    <n v="0"/>
    <n v="0.87"/>
    <n v="0.87"/>
    <n v="0.87"/>
    <n v="0.87"/>
    <n v="0.87"/>
    <n v="0.87"/>
    <n v="0.87"/>
    <n v="0.87"/>
    <m/>
    <m/>
    <n v="67.962640249087912"/>
    <m/>
    <n v="0"/>
    <n v="0"/>
    <m/>
    <m/>
    <n v="67.962640249087912"/>
    <s v="n/a"/>
    <n v="0"/>
    <n v="0"/>
    <n v="0"/>
    <m/>
    <m/>
    <n v="67.962640249087912"/>
    <m/>
    <n v="0"/>
    <n v="0"/>
    <m/>
    <m/>
    <n v="67.962640249087912"/>
    <m/>
    <n v="0"/>
    <n v="0"/>
    <n v="0"/>
    <n v="0"/>
    <n v="0"/>
    <n v="0"/>
    <n v="0"/>
    <s v="NA"/>
    <m/>
  </r>
  <r>
    <s v="NSG"/>
    <x v="3"/>
    <s v="Multi-Family"/>
    <s v="Standard Rebate"/>
    <x v="35"/>
    <s v=" &gt;=1500MBH, &gt;=82% TE"/>
    <s v="MF"/>
    <x v="3"/>
    <s v="4.4.10"/>
    <s v="MBH"/>
    <n v="0"/>
    <n v="0"/>
    <n v="0"/>
    <n v="0"/>
    <s v="CI-HVC-BOIL-V10-230101"/>
    <m/>
    <n v="0.85179487179487012"/>
    <n v="0.85179487179487012"/>
    <n v="0.85179487179487012"/>
    <n v="0.85179487179487012"/>
    <n v="0.87"/>
    <n v="0.87"/>
    <n v="0.87"/>
    <n v="0.87"/>
    <n v="0"/>
    <n v="0"/>
    <n v="0"/>
    <n v="0"/>
    <n v="0"/>
    <n v="0.87"/>
    <n v="0.87"/>
    <n v="0.87"/>
    <n v="0.87"/>
    <n v="0.87"/>
    <n v="0.87"/>
    <n v="0.87"/>
    <n v="0.87"/>
    <m/>
    <m/>
    <n v="0.85179487179487012"/>
    <m/>
    <n v="0"/>
    <n v="0"/>
    <m/>
    <m/>
    <n v="0.63075949367088424"/>
    <s v="n/a"/>
    <n v="0"/>
    <n v="0"/>
    <n v="0"/>
    <m/>
    <m/>
    <n v="0.63075949367088424"/>
    <m/>
    <n v="0"/>
    <n v="0"/>
    <m/>
    <m/>
    <n v="0.63075949367088424"/>
    <m/>
    <n v="0"/>
    <n v="0"/>
    <n v="0"/>
    <n v="0"/>
    <n v="0"/>
    <n v="0"/>
    <n v="0"/>
    <s v="NA"/>
    <m/>
  </r>
  <r>
    <s v="NSG"/>
    <x v="3"/>
    <s v="Multi-Family"/>
    <s v="Standard Rebate"/>
    <x v="35"/>
    <s v="&gt;=300MBH, &lt;1,500, &gt;=81% AFUE"/>
    <s v="MF"/>
    <x v="3"/>
    <s v="4.4.10"/>
    <s v="MBH"/>
    <n v="0"/>
    <n v="0"/>
    <n v="0"/>
    <n v="0"/>
    <s v="CI-HVC-BOIL-V10-230101"/>
    <m/>
    <n v="0.63884615384615429"/>
    <n v="0.63884615384615429"/>
    <n v="0.63884615384615429"/>
    <n v="0.63884615384615429"/>
    <n v="0.87"/>
    <n v="0.87"/>
    <n v="0.87"/>
    <n v="0.87"/>
    <n v="0"/>
    <n v="0"/>
    <n v="0"/>
    <n v="0"/>
    <n v="0"/>
    <n v="0.87"/>
    <n v="0.87"/>
    <n v="0.87"/>
    <n v="0.87"/>
    <n v="0.87"/>
    <n v="0.87"/>
    <n v="0.87"/>
    <n v="0.87"/>
    <m/>
    <m/>
    <n v="0.63884615384615429"/>
    <m/>
    <n v="0"/>
    <n v="0"/>
    <m/>
    <m/>
    <n v="0.42050632911392438"/>
    <s v="n/a"/>
    <n v="0"/>
    <n v="0"/>
    <n v="0"/>
    <m/>
    <m/>
    <n v="0.42050632911392438"/>
    <m/>
    <n v="0"/>
    <n v="0"/>
    <m/>
    <m/>
    <n v="0.42050632911392438"/>
    <m/>
    <n v="0"/>
    <n v="0"/>
    <n v="0"/>
    <n v="0"/>
    <n v="0"/>
    <n v="0"/>
    <n v="0"/>
    <s v="NA"/>
    <m/>
  </r>
  <r>
    <s v="NSG"/>
    <x v="3"/>
    <s v="Multi-Family"/>
    <s v="Standard Rebate"/>
    <x v="41"/>
    <s v="Industrial/Process Audit - psig ≤ 15"/>
    <s v="MF"/>
    <x v="3"/>
    <s v="4.4.16"/>
    <s v="each"/>
    <n v="0"/>
    <n v="0"/>
    <n v="0"/>
    <n v="0"/>
    <s v="CI-HVC-STRE-V09-230101"/>
    <m/>
    <n v="158.21234468156055"/>
    <n v="158.21234468156055"/>
    <n v="158.21234468156055"/>
    <n v="158.21234468156055"/>
    <n v="0.87"/>
    <n v="0.87"/>
    <n v="0.87"/>
    <n v="0.87"/>
    <n v="0"/>
    <n v="0"/>
    <n v="0"/>
    <n v="0"/>
    <n v="0"/>
    <n v="0.87"/>
    <n v="0.87"/>
    <n v="0.87"/>
    <n v="0.87"/>
    <n v="0.87"/>
    <n v="0.87"/>
    <n v="0.87"/>
    <n v="0.87"/>
    <m/>
    <m/>
    <n v="158.21234468156055"/>
    <m/>
    <n v="0"/>
    <n v="0"/>
    <m/>
    <m/>
    <n v="321.5560729764652"/>
    <s v="Updated inputs for Commercial LPS Space Heating and Industrial/Process Low Pressure"/>
    <n v="0"/>
    <n v="0"/>
    <n v="0"/>
    <m/>
    <m/>
    <n v="321.5560729764652"/>
    <m/>
    <n v="0"/>
    <n v="0"/>
    <m/>
    <m/>
    <n v="321.5560729764652"/>
    <m/>
    <n v="0"/>
    <n v="0"/>
    <n v="0"/>
    <n v="0"/>
    <n v="0"/>
    <n v="0"/>
    <n v="0"/>
    <s v="NA"/>
    <m/>
  </r>
  <r>
    <s v="NSG"/>
    <x v="3"/>
    <s v="Multi-Family"/>
    <s v="Standard Rebate"/>
    <x v="41"/>
    <s v="Industrial/Process Audit - 15 &lt; psig &lt; 30"/>
    <s v="MF"/>
    <x v="3"/>
    <s v="4.4.16"/>
    <s v="each"/>
    <n v="0"/>
    <n v="0"/>
    <n v="0"/>
    <n v="0"/>
    <s v="CI-HVC-STRE-V09-230101"/>
    <m/>
    <n v="152.05519050678893"/>
    <n v="152.05519050678893"/>
    <n v="152.05519050678893"/>
    <n v="152.05519050678893"/>
    <n v="0.87"/>
    <n v="0.87"/>
    <n v="0.87"/>
    <n v="0.87"/>
    <n v="0"/>
    <n v="0"/>
    <n v="0"/>
    <n v="0"/>
    <n v="0"/>
    <n v="0.87"/>
    <n v="0.87"/>
    <n v="0.87"/>
    <n v="0.87"/>
    <n v="0.87"/>
    <n v="0.87"/>
    <n v="0.87"/>
    <n v="0.87"/>
    <m/>
    <m/>
    <n v="152.05519050678893"/>
    <m/>
    <n v="0"/>
    <n v="0"/>
    <m/>
    <m/>
    <n v="152.05519050678893"/>
    <s v="Updated inputs for Commercial LPS Space Heating and Industrial/Process Low Pressure"/>
    <n v="0"/>
    <n v="0"/>
    <n v="0"/>
    <m/>
    <m/>
    <n v="152.05519050678893"/>
    <m/>
    <n v="0"/>
    <n v="0"/>
    <m/>
    <m/>
    <n v="152.05519050678893"/>
    <m/>
    <n v="0"/>
    <n v="0"/>
    <n v="0"/>
    <n v="0"/>
    <n v="0"/>
    <n v="0"/>
    <n v="0"/>
    <s v="NA"/>
    <m/>
  </r>
  <r>
    <s v="NSG"/>
    <x v="3"/>
    <s v="Multi-Family"/>
    <s v="Standard Rebate"/>
    <x v="41"/>
    <s v="Industrial/Process Audit - 30 ≤ psig &lt; 75"/>
    <s v="MF"/>
    <x v="3"/>
    <s v="4.4.16"/>
    <s v="each"/>
    <n v="0"/>
    <n v="0"/>
    <n v="0"/>
    <n v="0"/>
    <s v="CI-HVC-STRE-V09-230101"/>
    <m/>
    <n v="557.07551065314806"/>
    <n v="557.07551065314806"/>
    <n v="557.07551065314806"/>
    <n v="557.07551065314806"/>
    <n v="0.87"/>
    <n v="0.87"/>
    <n v="0.87"/>
    <n v="0.87"/>
    <n v="0"/>
    <n v="0"/>
    <n v="0"/>
    <n v="0"/>
    <n v="0"/>
    <n v="0.87"/>
    <n v="0.87"/>
    <n v="0.87"/>
    <n v="0.87"/>
    <n v="0.87"/>
    <n v="0.87"/>
    <n v="0.87"/>
    <n v="0.87"/>
    <m/>
    <m/>
    <n v="557.07551065314806"/>
    <m/>
    <n v="0"/>
    <n v="0"/>
    <m/>
    <m/>
    <n v="557.07551065314806"/>
    <s v="Updated inputs for Commercial LPS Space Heating and Industrial/Process Low Pressure"/>
    <n v="0"/>
    <n v="0"/>
    <n v="0"/>
    <m/>
    <m/>
    <n v="557.07551065314806"/>
    <m/>
    <n v="0"/>
    <n v="0"/>
    <m/>
    <m/>
    <n v="557.07551065314806"/>
    <m/>
    <n v="0"/>
    <n v="0"/>
    <n v="0"/>
    <n v="0"/>
    <n v="0"/>
    <n v="0"/>
    <n v="0"/>
    <s v="NA"/>
    <m/>
  </r>
  <r>
    <s v="NSG"/>
    <x v="3"/>
    <s v="Multi-Family"/>
    <s v="Standard Rebate"/>
    <x v="41"/>
    <s v="Industrial/Process Audit - 75 ≤ psig &lt; 125"/>
    <s v="MF"/>
    <x v="3"/>
    <s v="4.4.16"/>
    <s v="each"/>
    <n v="0"/>
    <n v="0"/>
    <n v="0"/>
    <n v="0"/>
    <s v="CI-HVC-STRE-V09-230101"/>
    <m/>
    <n v="1053.6644788659491"/>
    <n v="1053.6644788659491"/>
    <n v="1053.6644788659491"/>
    <n v="1053.6644788659491"/>
    <n v="0.87"/>
    <n v="0.87"/>
    <n v="0.87"/>
    <n v="0.87"/>
    <n v="0"/>
    <n v="0"/>
    <n v="0"/>
    <n v="0"/>
    <n v="0"/>
    <n v="0.87"/>
    <n v="0.87"/>
    <n v="0.87"/>
    <n v="0.87"/>
    <n v="0.87"/>
    <n v="0.87"/>
    <n v="0.87"/>
    <n v="0.87"/>
    <m/>
    <m/>
    <n v="1053.6644788659491"/>
    <m/>
    <n v="0"/>
    <n v="0"/>
    <m/>
    <m/>
    <n v="1053.6644788659491"/>
    <s v="Updated inputs for Commercial LPS Space Heating and Industrial/Process Low Pressure"/>
    <n v="0"/>
    <n v="0"/>
    <n v="0"/>
    <m/>
    <m/>
    <n v="1053.6644788659491"/>
    <m/>
    <n v="0"/>
    <n v="0"/>
    <m/>
    <m/>
    <n v="1053.6644788659491"/>
    <m/>
    <n v="0"/>
    <n v="0"/>
    <n v="0"/>
    <n v="0"/>
    <n v="0"/>
    <n v="0"/>
    <n v="0"/>
    <s v="NA"/>
    <m/>
  </r>
  <r>
    <s v="NSG"/>
    <x v="3"/>
    <s v="Multi-Family"/>
    <s v="Standard Rebate"/>
    <x v="41"/>
    <s v="Industrial/Process Audit - 125 ≤ psig &lt; 175"/>
    <s v="MF"/>
    <x v="3"/>
    <s v="4.4.16"/>
    <s v="each"/>
    <n v="0"/>
    <n v="0"/>
    <n v="0"/>
    <n v="0"/>
    <s v="CI-HVC-STRE-V09-230101"/>
    <m/>
    <n v="1471.0232537570409"/>
    <n v="1471.0232537570409"/>
    <n v="1471.0232537570409"/>
    <n v="1471.0232537570409"/>
    <n v="0.87"/>
    <n v="0.87"/>
    <n v="0.87"/>
    <n v="0.87"/>
    <n v="0"/>
    <n v="0"/>
    <n v="0"/>
    <n v="0"/>
    <n v="0"/>
    <n v="0.87"/>
    <n v="0.87"/>
    <n v="0.87"/>
    <n v="0.87"/>
    <n v="0.87"/>
    <n v="0.87"/>
    <n v="0.87"/>
    <n v="0.87"/>
    <m/>
    <m/>
    <n v="1471.0232537570409"/>
    <m/>
    <n v="0"/>
    <n v="0"/>
    <m/>
    <m/>
    <n v="1471.0232537570409"/>
    <s v="Updated inputs for Commercial LPS Space Heating and Industrial/Process Low Pressure"/>
    <n v="0"/>
    <n v="0"/>
    <n v="0"/>
    <m/>
    <m/>
    <n v="1471.0232537570409"/>
    <m/>
    <n v="0"/>
    <n v="0"/>
    <m/>
    <m/>
    <n v="1471.0232537570409"/>
    <m/>
    <n v="0"/>
    <n v="0"/>
    <n v="0"/>
    <n v="0"/>
    <n v="0"/>
    <n v="0"/>
    <n v="0"/>
    <s v="NA"/>
    <m/>
  </r>
  <r>
    <s v="NSG"/>
    <x v="3"/>
    <s v="Multi-Family"/>
    <s v="Standard Rebate"/>
    <x v="41"/>
    <s v="Industrial/Process Audit - 175 ≤ psig &lt; 250"/>
    <s v="MF"/>
    <x v="3"/>
    <s v="4.4.16"/>
    <s v="each"/>
    <n v="0"/>
    <n v="0"/>
    <n v="0"/>
    <n v="0"/>
    <s v="CI-HVC-STRE-V09-230101"/>
    <m/>
    <n v="1986.7915775383435"/>
    <n v="1986.7915775383435"/>
    <n v="1986.7915775383435"/>
    <n v="1986.7915775383435"/>
    <n v="0.87"/>
    <n v="0.87"/>
    <n v="0.87"/>
    <n v="0.87"/>
    <n v="0"/>
    <n v="0"/>
    <n v="0"/>
    <n v="0"/>
    <n v="0"/>
    <n v="0.87"/>
    <n v="0.87"/>
    <n v="0.87"/>
    <n v="0.87"/>
    <n v="0.87"/>
    <n v="0.87"/>
    <n v="0.87"/>
    <n v="0.87"/>
    <m/>
    <m/>
    <n v="1986.7915775383435"/>
    <m/>
    <n v="0"/>
    <n v="0"/>
    <m/>
    <m/>
    <n v="1986.7915775383435"/>
    <s v="Updated inputs for Commercial LPS Space Heating and Industrial/Process Low Pressure"/>
    <n v="0"/>
    <n v="0"/>
    <n v="0"/>
    <m/>
    <m/>
    <n v="1986.7915775383435"/>
    <m/>
    <n v="0"/>
    <n v="0"/>
    <m/>
    <m/>
    <n v="1986.7915775383435"/>
    <m/>
    <n v="0"/>
    <n v="0"/>
    <n v="0"/>
    <n v="0"/>
    <n v="0"/>
    <n v="0"/>
    <n v="0"/>
    <s v="NA"/>
    <m/>
  </r>
  <r>
    <s v="NSG"/>
    <x v="3"/>
    <s v="Multi-Family"/>
    <s v="Standard Rebate"/>
    <x v="41"/>
    <s v="Industrial/Process Audit - 250 ≤ psig"/>
    <s v="MF"/>
    <x v="3"/>
    <s v="4.4.16"/>
    <s v="each"/>
    <n v="0"/>
    <n v="0"/>
    <n v="0"/>
    <n v="0"/>
    <s v="CI-HVC-STRE-V09-230101"/>
    <m/>
    <n v="2544.9291474441216"/>
    <n v="2544.9291474441216"/>
    <n v="2544.9291474441216"/>
    <n v="2544.9291474441216"/>
    <n v="0.87"/>
    <n v="0.87"/>
    <n v="0.87"/>
    <n v="0.87"/>
    <n v="0"/>
    <n v="0"/>
    <n v="0"/>
    <n v="0"/>
    <n v="0"/>
    <n v="0.87"/>
    <n v="0.87"/>
    <n v="0.87"/>
    <n v="0.87"/>
    <n v="0.87"/>
    <n v="0.87"/>
    <n v="0.87"/>
    <n v="0.87"/>
    <m/>
    <m/>
    <n v="2544.9291474441216"/>
    <m/>
    <n v="0"/>
    <n v="0"/>
    <m/>
    <m/>
    <n v="2544.9291474441216"/>
    <s v="Updated inputs for Commercial LPS Space Heating and Industrial/Process Low Pressure"/>
    <n v="0"/>
    <n v="0"/>
    <n v="0"/>
    <m/>
    <m/>
    <n v="2544.9291474441216"/>
    <m/>
    <n v="0"/>
    <n v="0"/>
    <m/>
    <m/>
    <n v="2544.9291474441216"/>
    <m/>
    <n v="0"/>
    <n v="0"/>
    <n v="0"/>
    <n v="0"/>
    <n v="0"/>
    <n v="0"/>
    <n v="0"/>
    <s v="NA"/>
    <m/>
  </r>
  <r>
    <s v="NSG"/>
    <x v="3"/>
    <s v="Multi-Family"/>
    <s v="Standard Rebate"/>
    <x v="41"/>
    <s v="Test"/>
    <s v="MF"/>
    <x v="3"/>
    <n v="0"/>
    <s v="each"/>
    <n v="0"/>
    <n v="0"/>
    <n v="0"/>
    <n v="0"/>
    <n v="0"/>
    <m/>
    <n v="0"/>
    <n v="0"/>
    <n v="0"/>
    <n v="0"/>
    <n v="0.87"/>
    <n v="0.87"/>
    <n v="0.87"/>
    <n v="0.87"/>
    <n v="0"/>
    <n v="0"/>
    <n v="0"/>
    <n v="0"/>
    <n v="0"/>
    <n v="0.87"/>
    <n v="0.87"/>
    <n v="0.87"/>
    <n v="0.87"/>
    <n v="0.87"/>
    <n v="0.87"/>
    <n v="0.87"/>
    <n v="0.87"/>
    <m/>
    <m/>
    <n v="0"/>
    <m/>
    <n v="0"/>
    <n v="0"/>
    <m/>
    <m/>
    <n v="0"/>
    <s v="n/a"/>
    <n v="0"/>
    <n v="0"/>
    <n v="0"/>
    <m/>
    <m/>
    <n v="0"/>
    <m/>
    <n v="0"/>
    <n v="0"/>
    <m/>
    <m/>
    <n v="0"/>
    <m/>
    <n v="0"/>
    <n v="0"/>
    <n v="0"/>
    <n v="0"/>
    <n v="0"/>
    <n v="0"/>
    <n v="0"/>
    <s v="NA"/>
    <m/>
  </r>
  <r>
    <s v="NSG"/>
    <x v="3"/>
    <s v="Multi-Family"/>
    <s v="Standard Rebate"/>
    <x v="38"/>
    <n v="0"/>
    <s v="MF/CI/SMB"/>
    <x v="3"/>
    <s v="4.3.12"/>
    <s v="sqft"/>
    <n v="0"/>
    <n v="0"/>
    <n v="0"/>
    <n v="0"/>
    <s v="CI-HWE-TKIN-V02-220101"/>
    <m/>
    <n v="16.746197539658972"/>
    <n v="16.746197539658972"/>
    <n v="16.746197539658972"/>
    <n v="16.746197539658972"/>
    <n v="0.87"/>
    <n v="0.87"/>
    <n v="0.87"/>
    <n v="0.87"/>
    <n v="0"/>
    <n v="0"/>
    <n v="0"/>
    <n v="0"/>
    <n v="0"/>
    <n v="0.87"/>
    <n v="0.87"/>
    <n v="0.87"/>
    <n v="0.87"/>
    <n v="0.87"/>
    <n v="0.87"/>
    <n v="0.87"/>
    <n v="0.87"/>
    <m/>
    <m/>
    <n v="16.746197539658972"/>
    <m/>
    <n v="0"/>
    <n v="0"/>
    <m/>
    <m/>
    <n v="16.746197539658972"/>
    <s v="n/a"/>
    <n v="0"/>
    <n v="0"/>
    <n v="0"/>
    <m/>
    <m/>
    <n v="16.746197539658972"/>
    <m/>
    <n v="0"/>
    <n v="0"/>
    <m/>
    <m/>
    <n v="16.746197539658972"/>
    <m/>
    <n v="0"/>
    <n v="0"/>
    <n v="0"/>
    <n v="0"/>
    <n v="0"/>
    <n v="0"/>
    <n v="0"/>
    <s v="NA"/>
    <m/>
  </r>
  <r>
    <s v="NSG"/>
    <x v="3"/>
    <s v="Multi-Family"/>
    <s v="Standard Rebate"/>
    <x v="8"/>
    <n v="0"/>
    <s v="MF/CI/SMB"/>
    <x v="3"/>
    <s v="4.3.12"/>
    <s v="sqft"/>
    <n v="0"/>
    <n v="0"/>
    <n v="0"/>
    <n v="0"/>
    <s v="CI-HWE-TKIN-V02-220101"/>
    <m/>
    <n v="6.9553729140568805"/>
    <n v="6.9553729140568805"/>
    <n v="6.9553729140568805"/>
    <n v="6.9553729140568805"/>
    <n v="0.87"/>
    <n v="0.87"/>
    <n v="0.87"/>
    <n v="0.87"/>
    <n v="0"/>
    <n v="0"/>
    <n v="0"/>
    <n v="0"/>
    <n v="0"/>
    <n v="0.87"/>
    <n v="0.87"/>
    <n v="0.87"/>
    <n v="0.87"/>
    <n v="0.87"/>
    <n v="0.87"/>
    <n v="0.87"/>
    <n v="0.87"/>
    <m/>
    <m/>
    <n v="9.7375220796796338"/>
    <m/>
    <n v="0"/>
    <n v="0"/>
    <m/>
    <m/>
    <n v="9.7375220796796338"/>
    <s v="n/a"/>
    <n v="0"/>
    <n v="0"/>
    <n v="0"/>
    <m/>
    <m/>
    <n v="9.7375220796796338"/>
    <m/>
    <n v="0"/>
    <n v="0"/>
    <m/>
    <m/>
    <n v="9.7375220796796338"/>
    <m/>
    <n v="0"/>
    <n v="0"/>
    <n v="0"/>
    <n v="0"/>
    <n v="0"/>
    <n v="0"/>
    <n v="0"/>
    <s v="NA"/>
    <m/>
  </r>
  <r>
    <s v="NSG"/>
    <x v="3"/>
    <s v="Multi-Family"/>
    <s v="Standard Rebate"/>
    <x v="29"/>
    <n v="0"/>
    <s v="MF"/>
    <x v="3"/>
    <s v="4.4.21"/>
    <s v="MBH"/>
    <n v="0"/>
    <n v="0"/>
    <n v="0"/>
    <n v="0"/>
    <s v="CI-HVC-LBC-V06-220101"/>
    <m/>
    <n v="0.63181333333333334"/>
    <n v="0.63181333333333334"/>
    <n v="0.63181333333333334"/>
    <n v="0.63181333333333334"/>
    <n v="0.87"/>
    <n v="0.87"/>
    <n v="0.87"/>
    <n v="0.87"/>
    <n v="0"/>
    <n v="0"/>
    <n v="0"/>
    <n v="0"/>
    <n v="0"/>
    <n v="0.87"/>
    <n v="0.87"/>
    <n v="0.87"/>
    <n v="0.87"/>
    <n v="0.87"/>
    <n v="0.87"/>
    <n v="0.87"/>
    <n v="0.87"/>
    <m/>
    <m/>
    <n v="0.63181333333333334"/>
    <m/>
    <n v="0"/>
    <n v="0"/>
    <m/>
    <m/>
    <n v="0.63181333333333334"/>
    <s v="n/a"/>
    <n v="0"/>
    <n v="0"/>
    <n v="0"/>
    <m/>
    <m/>
    <n v="0.63181333333333334"/>
    <m/>
    <n v="0"/>
    <n v="0"/>
    <m/>
    <m/>
    <n v="0.63181333333333334"/>
    <m/>
    <n v="0"/>
    <n v="0"/>
    <n v="0"/>
    <n v="0"/>
    <n v="0"/>
    <n v="0"/>
    <n v="0"/>
    <s v="NA"/>
    <m/>
  </r>
  <r>
    <s v="NSG"/>
    <x v="3"/>
    <s v="Multi-Family"/>
    <s v="Standard Rebate"/>
    <x v="46"/>
    <n v="0"/>
    <s v="MF"/>
    <x v="3"/>
    <s v="4.3.8"/>
    <s v="living unit"/>
    <n v="0"/>
    <n v="0"/>
    <n v="0"/>
    <n v="0"/>
    <s v="CI-HWE-CDHW-V04-230101"/>
    <m/>
    <n v="62.687100553999997"/>
    <n v="62.687100553999997"/>
    <n v="62.687100553999997"/>
    <n v="62.687100553999997"/>
    <n v="0.87"/>
    <n v="0.87"/>
    <n v="0.87"/>
    <n v="0.87"/>
    <n v="0"/>
    <n v="0"/>
    <n v="0"/>
    <n v="0"/>
    <n v="0"/>
    <n v="0.87"/>
    <n v="0.87"/>
    <n v="0.87"/>
    <n v="0.87"/>
    <n v="0.87"/>
    <n v="0.87"/>
    <n v="0.87"/>
    <n v="0.87"/>
    <m/>
    <m/>
    <n v="62.687100553999997"/>
    <m/>
    <n v="0"/>
    <n v="0"/>
    <m/>
    <m/>
    <n v="58.563635988000001"/>
    <s v="Updated inputs to new multifamily assumptions"/>
    <n v="0"/>
    <n v="0"/>
    <n v="0"/>
    <m/>
    <m/>
    <n v="58.563635988000001"/>
    <m/>
    <n v="0"/>
    <n v="0"/>
    <m/>
    <m/>
    <n v="58.563635988000001"/>
    <m/>
    <n v="0"/>
    <n v="0"/>
    <n v="0"/>
    <n v="0"/>
    <n v="0"/>
    <n v="0"/>
    <n v="0"/>
    <s v="NA"/>
    <m/>
  </r>
  <r>
    <s v="NSG"/>
    <x v="3"/>
    <s v="Multi-Family"/>
    <s v="Standard Rebate"/>
    <x v="31"/>
    <n v="0"/>
    <s v="MF/CI/SMB"/>
    <x v="3"/>
    <s v="4.4.19"/>
    <s v="sqft"/>
    <n v="0"/>
    <n v="0"/>
    <n v="0"/>
    <n v="0"/>
    <s v="CI-HVC-DCV-V06-220101"/>
    <m/>
    <n v="6.8000000000000005E-2"/>
    <n v="6.8000000000000005E-2"/>
    <n v="6.8000000000000005E-2"/>
    <n v="6.8000000000000005E-2"/>
    <n v="0.87"/>
    <n v="0.87"/>
    <n v="0.87"/>
    <n v="0.87"/>
    <n v="0"/>
    <n v="0"/>
    <n v="0"/>
    <n v="0"/>
    <n v="0"/>
    <n v="0.87"/>
    <n v="0.87"/>
    <n v="0.87"/>
    <n v="0.87"/>
    <n v="0.87"/>
    <n v="0.87"/>
    <n v="0.87"/>
    <n v="0.87"/>
    <m/>
    <m/>
    <n v="6.8000000000000005E-2"/>
    <m/>
    <n v="0"/>
    <n v="0"/>
    <m/>
    <m/>
    <n v="6.8000000000000005E-2"/>
    <s v="n/a"/>
    <n v="0"/>
    <n v="0"/>
    <n v="0"/>
    <m/>
    <m/>
    <n v="6.8000000000000005E-2"/>
    <m/>
    <n v="0"/>
    <n v="0"/>
    <m/>
    <m/>
    <n v="6.8000000000000005E-2"/>
    <m/>
    <n v="0"/>
    <n v="0"/>
    <n v="0"/>
    <n v="0"/>
    <n v="0"/>
    <n v="0"/>
    <n v="0"/>
    <s v="NA"/>
    <m/>
  </r>
  <r>
    <s v="NSG"/>
    <x v="3"/>
    <s v="Multi-Family"/>
    <s v="Standard Rebate"/>
    <x v="56"/>
    <s v="Hotels &amp; Hospitals"/>
    <s v="CI"/>
    <x v="3"/>
    <s v="4.8.4"/>
    <s v="each"/>
    <n v="0"/>
    <n v="0"/>
    <n v="0"/>
    <n v="0"/>
    <s v="CI-MSC-MODD-V02-230101"/>
    <m/>
    <n v="649.26"/>
    <n v="649.26"/>
    <n v="649.26"/>
    <n v="649.26"/>
    <n v="0.87"/>
    <n v="0.87"/>
    <n v="0.87"/>
    <n v="0.87"/>
    <n v="0"/>
    <n v="0"/>
    <n v="0"/>
    <n v="0"/>
    <n v="0"/>
    <n v="0.87"/>
    <n v="0.87"/>
    <n v="0.87"/>
    <n v="0.87"/>
    <n v="0.87"/>
    <n v="0.87"/>
    <n v="0.87"/>
    <n v="0.87"/>
    <m/>
    <m/>
    <n v="649.26"/>
    <m/>
    <n v="0"/>
    <n v="0"/>
    <m/>
    <m/>
    <n v="649.26"/>
    <s v="Updated measure lifetime."/>
    <n v="0"/>
    <n v="0"/>
    <n v="0"/>
    <m/>
    <m/>
    <n v="649.26"/>
    <m/>
    <n v="0"/>
    <n v="0"/>
    <m/>
    <m/>
    <n v="649.26"/>
    <m/>
    <n v="0"/>
    <n v="0"/>
    <n v="0"/>
    <n v="0"/>
    <n v="0"/>
    <n v="0"/>
    <n v="0"/>
    <s v="NA"/>
    <m/>
  </r>
  <r>
    <s v="NSG"/>
    <x v="3"/>
    <s v="Multi-Family"/>
    <s v="Standard Rebate"/>
    <x v="56"/>
    <s v="Laundromat &amp; MF Dorms"/>
    <s v="MF/SMB"/>
    <x v="3"/>
    <s v="4.8.4"/>
    <s v="each"/>
    <n v="0"/>
    <n v="0"/>
    <n v="0"/>
    <n v="0"/>
    <s v="CI-MSC-MODD-V02-230101"/>
    <m/>
    <n v="230.13"/>
    <n v="230.13"/>
    <n v="230.13"/>
    <n v="230.13"/>
    <n v="0.87"/>
    <n v="0.87"/>
    <n v="0.87"/>
    <n v="0.87"/>
    <n v="0"/>
    <n v="0"/>
    <n v="0"/>
    <n v="0"/>
    <n v="0"/>
    <n v="0.87"/>
    <n v="0.87"/>
    <n v="0.87"/>
    <n v="0.87"/>
    <n v="0.87"/>
    <n v="0.87"/>
    <n v="0.87"/>
    <n v="0.87"/>
    <m/>
    <m/>
    <n v="230.13"/>
    <m/>
    <n v="0"/>
    <n v="0"/>
    <m/>
    <m/>
    <n v="230.13"/>
    <s v="Updated measure lifetime."/>
    <n v="0"/>
    <n v="0"/>
    <n v="0"/>
    <m/>
    <m/>
    <n v="230.13"/>
    <m/>
    <n v="0"/>
    <n v="0"/>
    <m/>
    <m/>
    <n v="230.13"/>
    <m/>
    <n v="0"/>
    <n v="0"/>
    <n v="0"/>
    <n v="0"/>
    <n v="0"/>
    <n v="0"/>
    <n v="0"/>
    <s v="NA"/>
    <m/>
  </r>
  <r>
    <s v="NSG"/>
    <x v="3"/>
    <s v="Multi-Family"/>
    <s v="Standard Rebate"/>
    <x v="12"/>
    <s v="Central/Indirect MF ≥88% TE"/>
    <s v="MF"/>
    <x v="3"/>
    <s v="4.3.7"/>
    <s v="each"/>
    <n v="0"/>
    <n v="0"/>
    <n v="0"/>
    <n v="0"/>
    <s v="CI-HWE-MDHW-V06-230101"/>
    <m/>
    <n v="453.64159574999974"/>
    <n v="453.64159574999974"/>
    <n v="453.64159574999974"/>
    <n v="453.64159574999974"/>
    <n v="0.87"/>
    <n v="0.87"/>
    <n v="0.87"/>
    <n v="0.87"/>
    <n v="0"/>
    <n v="0"/>
    <n v="0"/>
    <n v="0"/>
    <n v="0"/>
    <n v="0.87"/>
    <n v="0.87"/>
    <n v="0.87"/>
    <n v="0.87"/>
    <n v="0.87"/>
    <n v="0.87"/>
    <n v="0.87"/>
    <n v="0.87"/>
    <m/>
    <m/>
    <n v="474.72634597499967"/>
    <m/>
    <n v="0"/>
    <n v="0"/>
    <m/>
    <m/>
    <n v="474.72634597499967"/>
    <s v="n/a"/>
    <n v="0"/>
    <n v="0"/>
    <n v="0"/>
    <m/>
    <m/>
    <n v="474.72634597499967"/>
    <m/>
    <n v="0"/>
    <n v="0"/>
    <m/>
    <m/>
    <n v="474.72634597499967"/>
    <m/>
    <n v="0"/>
    <n v="0"/>
    <n v="0"/>
    <n v="0"/>
    <n v="0"/>
    <n v="0"/>
    <n v="0"/>
    <s v="NA"/>
    <m/>
  </r>
  <r>
    <s v="NSG"/>
    <x v="3"/>
    <s v="Multi-Family"/>
    <s v="Standard Rebate"/>
    <x v="12"/>
    <s v="Storage 0.67 EF"/>
    <s v="MF"/>
    <x v="3"/>
    <s v="4.3.1"/>
    <s v="each"/>
    <n v="0"/>
    <n v="0"/>
    <n v="0"/>
    <n v="0"/>
    <s v="CI-HWE-STWH-V09-230101"/>
    <m/>
    <n v="35.435517834876244"/>
    <n v="35.435517834876244"/>
    <n v="35.435517834876244"/>
    <n v="35.435517834876244"/>
    <n v="0.87"/>
    <n v="0.87"/>
    <n v="0.87"/>
    <n v="0.87"/>
    <n v="0"/>
    <n v="0"/>
    <n v="0"/>
    <n v="0"/>
    <n v="0"/>
    <n v="0.87"/>
    <n v="0.87"/>
    <n v="0.87"/>
    <n v="0.87"/>
    <n v="0.87"/>
    <n v="0.87"/>
    <n v="0.87"/>
    <n v="0.87"/>
    <m/>
    <m/>
    <n v="37.082520776497255"/>
    <m/>
    <n v="0"/>
    <n v="0"/>
    <m/>
    <m/>
    <n v="36.883152385225763"/>
    <s v="n/a"/>
    <n v="0"/>
    <n v="0"/>
    <n v="0"/>
    <m/>
    <m/>
    <n v="36.883152385225763"/>
    <m/>
    <n v="0"/>
    <n v="0"/>
    <m/>
    <m/>
    <n v="36.883152385225763"/>
    <m/>
    <n v="0"/>
    <n v="0"/>
    <n v="0"/>
    <n v="0"/>
    <n v="0"/>
    <n v="0"/>
    <n v="0"/>
    <s v="NA"/>
    <m/>
  </r>
  <r>
    <s v="NSG"/>
    <x v="3"/>
    <s v="Multi-Family"/>
    <s v="Standard Rebate"/>
    <x v="66"/>
    <n v="0"/>
    <s v="CI"/>
    <x v="3"/>
    <n v="0"/>
    <s v="each"/>
    <n v="0"/>
    <n v="0"/>
    <n v="0"/>
    <n v="0"/>
    <n v="0"/>
    <m/>
    <n v="234.94825714285713"/>
    <n v="234.94825714285713"/>
    <n v="234.94825714285713"/>
    <n v="234.94825714285713"/>
    <n v="0.87"/>
    <n v="0.87"/>
    <n v="0.87"/>
    <n v="0.87"/>
    <n v="0"/>
    <n v="0"/>
    <n v="0"/>
    <n v="0"/>
    <n v="0"/>
    <n v="0.87"/>
    <n v="0.87"/>
    <n v="0.87"/>
    <n v="0.87"/>
    <n v="0.87"/>
    <n v="0.87"/>
    <n v="0.87"/>
    <n v="0.87"/>
    <m/>
    <m/>
    <n v="234.94825714285713"/>
    <m/>
    <n v="0"/>
    <n v="0"/>
    <m/>
    <m/>
    <n v="234.94825714285713"/>
    <s v="n/a"/>
    <n v="0"/>
    <n v="0"/>
    <n v="0"/>
    <m/>
    <m/>
    <n v="234.94825714285713"/>
    <m/>
    <n v="0"/>
    <n v="0"/>
    <m/>
    <m/>
    <n v="234.94825714285713"/>
    <m/>
    <n v="0"/>
    <n v="0"/>
    <n v="0"/>
    <n v="0"/>
    <n v="0"/>
    <n v="0"/>
    <n v="0"/>
    <s v="NA"/>
    <m/>
  </r>
  <r>
    <s v="NSG"/>
    <x v="3"/>
    <s v="Multi-Family"/>
    <s v="Partner Trade Ally Rebate"/>
    <x v="19"/>
    <n v="0"/>
    <s v="MF"/>
    <x v="3"/>
    <s v="5.6.1"/>
    <s v="CFM_50"/>
    <n v="0"/>
    <n v="0"/>
    <n v="0"/>
    <n v="0"/>
    <s v="RS-SHL-AIRS-V12-230101"/>
    <m/>
    <n v="43.618009478672981"/>
    <n v="43.618009478672981"/>
    <n v="43.618009478672981"/>
    <n v="43.618009478672981"/>
    <n v="0.93"/>
    <n v="0.93"/>
    <n v="0.93"/>
    <n v="0.93"/>
    <n v="0"/>
    <n v="0"/>
    <n v="0"/>
    <n v="0"/>
    <n v="0"/>
    <n v="0.93"/>
    <n v="0.87"/>
    <n v="0.87"/>
    <n v="0.87"/>
    <n v="0.93"/>
    <n v="0.93"/>
    <n v="0.93"/>
    <n v="0.93"/>
    <m/>
    <m/>
    <n v="43.618009478672981"/>
    <m/>
    <n v="0"/>
    <n v="0"/>
    <m/>
    <m/>
    <n v="43.618009478672981"/>
    <s v="Updated ISR"/>
    <n v="0"/>
    <n v="0"/>
    <n v="0"/>
    <m/>
    <m/>
    <n v="43.618009478672981"/>
    <m/>
    <n v="0"/>
    <n v="0"/>
    <m/>
    <m/>
    <n v="43.618009478672981"/>
    <m/>
    <n v="0"/>
    <n v="0"/>
    <n v="0"/>
    <n v="0"/>
    <n v="0"/>
    <n v="0"/>
    <n v="0"/>
    <s v="NA"/>
    <m/>
  </r>
  <r>
    <s v="NSG"/>
    <x v="3"/>
    <s v="Multi-Family"/>
    <s v="Partner Trade Ally Rebate"/>
    <x v="33"/>
    <n v="0"/>
    <s v="MF"/>
    <x v="3"/>
    <s v="5.3.4"/>
    <s v="CFM_25"/>
    <n v="0"/>
    <n v="0"/>
    <n v="0"/>
    <n v="0"/>
    <s v="RS-HVC-DINS-V11-230101"/>
    <m/>
    <n v="0.70396939263510283"/>
    <n v="0.70396939263510283"/>
    <n v="0.70396939263510283"/>
    <n v="0.70396939263510283"/>
    <n v="0.87"/>
    <n v="0.87"/>
    <n v="0.87"/>
    <n v="0.87"/>
    <n v="0"/>
    <n v="0"/>
    <n v="0"/>
    <n v="0"/>
    <n v="0"/>
    <n v="0.87"/>
    <n v="0.87"/>
    <n v="0.87"/>
    <n v="0.87"/>
    <n v="0.87"/>
    <n v="0.87"/>
    <n v="0.87"/>
    <n v="0.87"/>
    <m/>
    <m/>
    <n v="0.70396939263510283"/>
    <m/>
    <n v="0"/>
    <n v="0"/>
    <m/>
    <m/>
    <n v="0.70396939263510283"/>
    <s v="n/a"/>
    <n v="0"/>
    <n v="0"/>
    <n v="0"/>
    <m/>
    <m/>
    <n v="0.70396939263510283"/>
    <m/>
    <n v="0"/>
    <n v="0"/>
    <m/>
    <m/>
    <n v="0.70396939263510283"/>
    <m/>
    <n v="0"/>
    <n v="0"/>
    <n v="0"/>
    <n v="0"/>
    <n v="0"/>
    <n v="0"/>
    <n v="0"/>
    <s v="NA"/>
    <m/>
  </r>
  <r>
    <s v="NSG"/>
    <x v="3"/>
    <s v="Multi-Family"/>
    <s v="Partner Trade Ally Rebate"/>
    <x v="28"/>
    <s v="≥88% AFUE, ≥300MBh TE"/>
    <s v="MF"/>
    <x v="3"/>
    <s v="4.4.10"/>
    <s v="MBH"/>
    <n v="0"/>
    <n v="0"/>
    <n v="0"/>
    <n v="0"/>
    <s v="CI-HVC-BOIL-V10-230101"/>
    <m/>
    <n v="1.6609999999999991"/>
    <n v="1.6609999999999991"/>
    <n v="1.6609999999999991"/>
    <n v="1.6609999999999991"/>
    <n v="0.87"/>
    <n v="0.87"/>
    <n v="0.87"/>
    <n v="0.87"/>
    <n v="0"/>
    <n v="0"/>
    <n v="0"/>
    <n v="0"/>
    <n v="0"/>
    <n v="0.87"/>
    <n v="0.87"/>
    <n v="0.87"/>
    <n v="0.87"/>
    <n v="0.87"/>
    <n v="0.87"/>
    <n v="0.87"/>
    <n v="0.87"/>
    <m/>
    <m/>
    <n v="1.6609999999999991"/>
    <m/>
    <n v="0"/>
    <n v="0"/>
    <m/>
    <m/>
    <n v="1.6609999999999991"/>
    <s v="n/a"/>
    <n v="0"/>
    <n v="0"/>
    <n v="0"/>
    <m/>
    <m/>
    <n v="1.6609999999999991"/>
    <m/>
    <n v="0"/>
    <n v="0"/>
    <m/>
    <m/>
    <n v="1.6609999999999991"/>
    <m/>
    <n v="0"/>
    <n v="0"/>
    <n v="0"/>
    <n v="0"/>
    <n v="0"/>
    <n v="0"/>
    <n v="0"/>
    <s v="NA"/>
    <m/>
  </r>
  <r>
    <s v="NSG"/>
    <x v="3"/>
    <s v="Multi-Family"/>
    <s v="Partner Trade Ally Rebate"/>
    <x v="70"/>
    <n v="0"/>
    <s v="MF/CI"/>
    <x v="3"/>
    <s v="4.4.5"/>
    <s v="MBH"/>
    <n v="0"/>
    <n v="0"/>
    <n v="0"/>
    <n v="0"/>
    <s v="CI-HVC-CUHT-V03-230101"/>
    <m/>
    <n v="1.7733333333333334"/>
    <n v="1.7733333333333334"/>
    <n v="1.7733333333333334"/>
    <n v="1.7733333333333334"/>
    <n v="0.87"/>
    <n v="0.87"/>
    <n v="0.87"/>
    <n v="0.87"/>
    <n v="0"/>
    <n v="0"/>
    <n v="0"/>
    <n v="0"/>
    <n v="0"/>
    <n v="0.87"/>
    <n v="0.87"/>
    <n v="0.87"/>
    <n v="0.87"/>
    <n v="0.87"/>
    <n v="0.87"/>
    <n v="0.87"/>
    <n v="0.87"/>
    <m/>
    <m/>
    <n v="1.6896527777777772"/>
    <m/>
    <n v="0"/>
    <n v="0"/>
    <m/>
    <m/>
    <n v="1.6896527777777772"/>
    <s v="n/a"/>
    <n v="0"/>
    <n v="0"/>
    <n v="0"/>
    <m/>
    <m/>
    <n v="1.6896527777777772"/>
    <m/>
    <n v="0"/>
    <n v="0"/>
    <m/>
    <m/>
    <n v="1.6896527777777772"/>
    <m/>
    <n v="0"/>
    <n v="0"/>
    <n v="0"/>
    <n v="0"/>
    <n v="0"/>
    <n v="0"/>
    <n v="0"/>
    <s v="NA"/>
    <m/>
  </r>
  <r>
    <s v="NSG"/>
    <x v="3"/>
    <s v="Multi-Family"/>
    <s v="Partner Trade Ally Rebate"/>
    <x v="71"/>
    <n v="0"/>
    <s v="MF/CI"/>
    <x v="3"/>
    <s v="4.4.39"/>
    <s v="MBH"/>
    <n v="0"/>
    <n v="0"/>
    <n v="0"/>
    <n v="0"/>
    <s v="CI-HVC-HTHV-V02-230101"/>
    <m/>
    <n v="3.72"/>
    <n v="3.72"/>
    <n v="3.72"/>
    <n v="3.72"/>
    <n v="0.87"/>
    <n v="0.87"/>
    <n v="0.87"/>
    <n v="0.87"/>
    <n v="0"/>
    <n v="0"/>
    <n v="0"/>
    <n v="0"/>
    <n v="0"/>
    <n v="0.87"/>
    <n v="0.87"/>
    <n v="0.87"/>
    <n v="0.87"/>
    <n v="0.87"/>
    <n v="0.87"/>
    <n v="0.87"/>
    <n v="0.87"/>
    <m/>
    <m/>
    <n v="3.72"/>
    <m/>
    <n v="0"/>
    <n v="0"/>
    <m/>
    <m/>
    <n v="3.72"/>
    <s v="n/a"/>
    <n v="0"/>
    <n v="0"/>
    <n v="0"/>
    <m/>
    <m/>
    <n v="3.72"/>
    <m/>
    <n v="0"/>
    <n v="0"/>
    <m/>
    <m/>
    <n v="3.72"/>
    <m/>
    <n v="0"/>
    <n v="0"/>
    <n v="0"/>
    <n v="0"/>
    <n v="0"/>
    <n v="0"/>
    <n v="0"/>
    <s v="NA"/>
    <m/>
  </r>
  <r>
    <s v="NSG"/>
    <x v="3"/>
    <s v="Multi-Family"/>
    <s v="Partner Trade Ally Rebate"/>
    <x v="43"/>
    <n v="0"/>
    <s v="MF"/>
    <x v="3"/>
    <s v="4.8.5"/>
    <s v="lb-capacity"/>
    <n v="0"/>
    <n v="0"/>
    <n v="0"/>
    <n v="0"/>
    <s v="CI-MSC-HSCW-V02-210101"/>
    <m/>
    <n v="2.2054032000000001"/>
    <n v="2.2054032000000001"/>
    <n v="2.2054032000000001"/>
    <n v="2.2054032000000001"/>
    <n v="0.87"/>
    <n v="0.87"/>
    <n v="0.87"/>
    <n v="0.87"/>
    <n v="0"/>
    <n v="0"/>
    <n v="0"/>
    <n v="0"/>
    <n v="0"/>
    <n v="0.87"/>
    <n v="0.87"/>
    <n v="0.87"/>
    <n v="0.87"/>
    <n v="0.87"/>
    <n v="0.87"/>
    <n v="0.87"/>
    <n v="0.87"/>
    <m/>
    <m/>
    <n v="2.2054032000000001"/>
    <m/>
    <n v="0"/>
    <n v="0"/>
    <m/>
    <m/>
    <n v="2.2054032000000001"/>
    <s v="n/a"/>
    <n v="0"/>
    <n v="0"/>
    <n v="0"/>
    <m/>
    <m/>
    <n v="2.2054032000000001"/>
    <m/>
    <n v="0"/>
    <n v="0"/>
    <m/>
    <m/>
    <n v="2.2054032000000001"/>
    <m/>
    <n v="0"/>
    <n v="0"/>
    <n v="0"/>
    <n v="0"/>
    <n v="0"/>
    <n v="0"/>
    <n v="0"/>
    <s v="NA"/>
    <m/>
  </r>
  <r>
    <s v="NSG"/>
    <x v="3"/>
    <s v="Multi-Family"/>
    <s v="Partner Trade Ally Rebate"/>
    <x v="73"/>
    <n v="0"/>
    <s v="MF/CI"/>
    <x v="3"/>
    <s v="4.4.12"/>
    <s v="MBH"/>
    <n v="0"/>
    <n v="0"/>
    <n v="0"/>
    <n v="0"/>
    <s v="CI-HVC-IRHT-V03-230101"/>
    <m/>
    <n v="2.9611764705882351"/>
    <n v="2.9611764705882351"/>
    <n v="2.9611764705882351"/>
    <n v="2.9611764705882351"/>
    <n v="0.87"/>
    <n v="0.87"/>
    <n v="0.87"/>
    <n v="0.87"/>
    <n v="0"/>
    <n v="0"/>
    <n v="0"/>
    <n v="0"/>
    <n v="0"/>
    <n v="0.87"/>
    <n v="0.87"/>
    <n v="0.87"/>
    <n v="0.87"/>
    <n v="0.87"/>
    <n v="0.87"/>
    <n v="0.87"/>
    <n v="0.87"/>
    <m/>
    <m/>
    <n v="2.9611764705882351"/>
    <m/>
    <n v="0"/>
    <n v="0"/>
    <m/>
    <m/>
    <n v="2.9611764705882351"/>
    <s v="n/a"/>
    <n v="0"/>
    <n v="0"/>
    <n v="0"/>
    <m/>
    <m/>
    <n v="2.9611764705882351"/>
    <m/>
    <n v="0"/>
    <n v="0"/>
    <m/>
    <m/>
    <n v="2.9611764705882351"/>
    <m/>
    <n v="0"/>
    <n v="0"/>
    <n v="0"/>
    <n v="0"/>
    <n v="0"/>
    <n v="0"/>
    <n v="0"/>
    <s v="NA"/>
    <m/>
  </r>
  <r>
    <s v="NSG"/>
    <x v="3"/>
    <s v="Multi-Family"/>
    <s v="Partner Trade Ally Rebate"/>
    <x v="74"/>
    <n v="0"/>
    <s v="MF/CI"/>
    <x v="3"/>
    <s v="4.3.6"/>
    <s v="lb-capacity"/>
    <n v="0"/>
    <n v="0"/>
    <n v="0"/>
    <n v="0"/>
    <s v="CI-HWE-OZLD-V07-230101"/>
    <m/>
    <n v="30.722664192350027"/>
    <n v="30.722664192350027"/>
    <n v="30.722664192350027"/>
    <n v="30.722664192350027"/>
    <n v="0.87"/>
    <n v="0.87"/>
    <n v="0.87"/>
    <n v="0.87"/>
    <n v="0"/>
    <n v="0"/>
    <n v="0"/>
    <n v="0"/>
    <n v="0"/>
    <n v="0.87"/>
    <n v="0.87"/>
    <n v="0.87"/>
    <n v="0.87"/>
    <n v="0.87"/>
    <n v="0.87"/>
    <n v="0.87"/>
    <n v="0.87"/>
    <m/>
    <m/>
    <n v="30.722664192350027"/>
    <m/>
    <n v="0"/>
    <n v="0"/>
    <m/>
    <m/>
    <n v="30.722664192350027"/>
    <s v="n/a"/>
    <n v="0"/>
    <n v="0"/>
    <n v="0"/>
    <m/>
    <m/>
    <n v="30.722664192350027"/>
    <m/>
    <n v="0"/>
    <n v="0"/>
    <m/>
    <m/>
    <n v="30.722664192350027"/>
    <m/>
    <n v="0"/>
    <n v="0"/>
    <n v="0"/>
    <n v="0"/>
    <n v="0"/>
    <n v="0"/>
    <n v="0"/>
    <s v="NA"/>
    <m/>
  </r>
  <r>
    <s v="NSG"/>
    <x v="3"/>
    <s v="Multi-Family"/>
    <s v="Partner Trade Ally Rebate"/>
    <x v="4"/>
    <s v="Steam - X-Large &gt;8&quot;"/>
    <s v="MF"/>
    <x v="3"/>
    <s v="&quot;3 - Res Pipe Insulation&quot; worksheet"/>
    <s v="ft"/>
    <n v="0"/>
    <n v="0"/>
    <n v="0"/>
    <n v="0"/>
    <n v="0"/>
    <m/>
    <n v="44.814401171573145"/>
    <n v="44.814401171573145"/>
    <n v="44.814401171573145"/>
    <n v="44.814401171573145"/>
    <n v="0.87"/>
    <n v="0.87"/>
    <n v="0.87"/>
    <n v="0.87"/>
    <n v="0"/>
    <n v="0"/>
    <n v="0"/>
    <n v="0"/>
    <n v="0"/>
    <n v="0.87"/>
    <n v="0.87"/>
    <n v="0.87"/>
    <n v="0.87"/>
    <n v="0.87"/>
    <n v="0.87"/>
    <n v="0.87"/>
    <n v="0.87"/>
    <m/>
    <m/>
    <n v="44.814401171573145"/>
    <m/>
    <n v="0"/>
    <n v="0"/>
    <m/>
    <m/>
    <n v="44.814401171573145"/>
    <s v="n/a"/>
    <n v="0"/>
    <n v="0"/>
    <n v="0"/>
    <m/>
    <m/>
    <n v="44.814401171573145"/>
    <m/>
    <n v="0"/>
    <n v="0"/>
    <m/>
    <m/>
    <n v="44.814401171573145"/>
    <m/>
    <n v="0"/>
    <n v="0"/>
    <n v="0"/>
    <n v="0"/>
    <n v="0"/>
    <n v="0"/>
    <n v="0"/>
    <s v="NA"/>
    <m/>
  </r>
  <r>
    <s v="NSG"/>
    <x v="3"/>
    <s v="Multi-Family"/>
    <s v="Partner Trade Ally Rebate"/>
    <x v="4"/>
    <s v="Steam Med Fitting"/>
    <s v="MF"/>
    <x v="3"/>
    <s v="&quot;3 - Res Pipe Insulation&quot; worksheet"/>
    <s v="each"/>
    <n v="0"/>
    <n v="0"/>
    <n v="0"/>
    <n v="0"/>
    <n v="0"/>
    <m/>
    <n v="20.134575475260416"/>
    <n v="20.134575475260416"/>
    <n v="20.134575475260416"/>
    <n v="20.134575475260416"/>
    <n v="0.87"/>
    <n v="0.87"/>
    <n v="0.87"/>
    <n v="0.87"/>
    <n v="0"/>
    <n v="0"/>
    <n v="0"/>
    <n v="0"/>
    <n v="0"/>
    <n v="0.87"/>
    <n v="0.87"/>
    <n v="0.87"/>
    <n v="0.87"/>
    <n v="0.87"/>
    <n v="0.87"/>
    <n v="0.87"/>
    <n v="0.87"/>
    <m/>
    <m/>
    <n v="20.134575475260416"/>
    <m/>
    <n v="0"/>
    <n v="0"/>
    <m/>
    <m/>
    <n v="20.134575475260416"/>
    <s v="n/a"/>
    <n v="0"/>
    <n v="0"/>
    <n v="0"/>
    <m/>
    <m/>
    <n v="20.134575475260416"/>
    <m/>
    <n v="0"/>
    <n v="0"/>
    <m/>
    <m/>
    <n v="20.134575475260416"/>
    <m/>
    <n v="0"/>
    <n v="0"/>
    <n v="0"/>
    <n v="0"/>
    <n v="0"/>
    <n v="0"/>
    <n v="0"/>
    <s v="NA"/>
    <m/>
  </r>
  <r>
    <s v="NSG"/>
    <x v="3"/>
    <s v="Multi-Family"/>
    <s v="Partner Trade Ally Rebate"/>
    <x v="4"/>
    <s v="Steam Large Fitting"/>
    <s v="MF"/>
    <x v="3"/>
    <s v="&quot;3 - Res Pipe Insulation&quot; worksheet"/>
    <s v="each"/>
    <n v="0"/>
    <n v="0"/>
    <n v="0"/>
    <n v="0"/>
    <n v="0"/>
    <m/>
    <n v="66.284273233024678"/>
    <n v="66.284273233024678"/>
    <n v="66.284273233024678"/>
    <n v="66.284273233024678"/>
    <n v="0.87"/>
    <n v="0.87"/>
    <n v="0.87"/>
    <n v="0.87"/>
    <n v="0"/>
    <n v="0"/>
    <n v="0"/>
    <n v="0"/>
    <n v="0"/>
    <n v="0.87"/>
    <n v="0.87"/>
    <n v="0.87"/>
    <n v="0.87"/>
    <n v="0.87"/>
    <n v="0.87"/>
    <n v="0.87"/>
    <n v="0.87"/>
    <m/>
    <m/>
    <n v="66.284273233024678"/>
    <m/>
    <n v="0"/>
    <n v="0"/>
    <m/>
    <m/>
    <n v="66.284273233024678"/>
    <s v="n/a"/>
    <n v="0"/>
    <n v="0"/>
    <n v="0"/>
    <m/>
    <m/>
    <n v="66.284273233024678"/>
    <m/>
    <n v="0"/>
    <n v="0"/>
    <m/>
    <m/>
    <n v="66.284273233024678"/>
    <m/>
    <n v="0"/>
    <n v="0"/>
    <n v="0"/>
    <n v="0"/>
    <n v="0"/>
    <n v="0"/>
    <n v="0"/>
    <s v="NA"/>
    <m/>
  </r>
  <r>
    <s v="NSG"/>
    <x v="3"/>
    <s v="Multi-Family"/>
    <s v="Partner Trade Ally Rebate"/>
    <x v="4"/>
    <s v="Steam X-Large Fitting"/>
    <s v="MF"/>
    <x v="3"/>
    <s v="&quot;3 - Res Pipe Insulation&quot; worksheet"/>
    <s v="each"/>
    <n v="0"/>
    <n v="0"/>
    <n v="0"/>
    <n v="0"/>
    <n v="0"/>
    <m/>
    <n v="113.8883886472908"/>
    <n v="113.8883886472908"/>
    <n v="113.8883886472908"/>
    <n v="113.8883886472908"/>
    <n v="0.87"/>
    <n v="0.87"/>
    <n v="0.87"/>
    <n v="0.87"/>
    <n v="0"/>
    <n v="0"/>
    <n v="0"/>
    <n v="0"/>
    <n v="0"/>
    <n v="0.87"/>
    <n v="0.87"/>
    <n v="0.87"/>
    <n v="0.87"/>
    <n v="0.87"/>
    <n v="0.87"/>
    <n v="0.87"/>
    <n v="0.87"/>
    <m/>
    <m/>
    <n v="113.8883886472908"/>
    <m/>
    <n v="0"/>
    <n v="0"/>
    <m/>
    <m/>
    <n v="113.8883886472908"/>
    <s v="n/a"/>
    <n v="0"/>
    <n v="0"/>
    <n v="0"/>
    <m/>
    <m/>
    <n v="113.8883886472908"/>
    <m/>
    <n v="0"/>
    <n v="0"/>
    <m/>
    <m/>
    <n v="113.8883886472908"/>
    <m/>
    <n v="0"/>
    <n v="0"/>
    <n v="0"/>
    <n v="0"/>
    <n v="0"/>
    <n v="0"/>
    <n v="0"/>
    <s v="NA"/>
    <m/>
  </r>
  <r>
    <s v="NSG"/>
    <x v="3"/>
    <s v="Multi-Family"/>
    <s v="Partner Trade Ally Rebate"/>
    <x v="4"/>
    <s v="Steam Med Valve"/>
    <s v="MF"/>
    <x v="3"/>
    <s v="&quot;3 - Res Pipe Insulation&quot; worksheet"/>
    <s v="each"/>
    <n v="0"/>
    <n v="0"/>
    <n v="0"/>
    <n v="0"/>
    <n v="0"/>
    <m/>
    <n v="67.962640249087912"/>
    <n v="67.962640249087912"/>
    <n v="67.962640249087912"/>
    <n v="67.962640249087912"/>
    <n v="0.87"/>
    <n v="0.87"/>
    <n v="0.87"/>
    <n v="0.87"/>
    <n v="0"/>
    <n v="0"/>
    <n v="0"/>
    <n v="0"/>
    <n v="0"/>
    <n v="0.87"/>
    <n v="0.87"/>
    <n v="0.87"/>
    <n v="0.87"/>
    <n v="0.87"/>
    <n v="0.87"/>
    <n v="0.87"/>
    <n v="0.87"/>
    <m/>
    <m/>
    <n v="67.962640249087912"/>
    <m/>
    <n v="0"/>
    <n v="0"/>
    <m/>
    <m/>
    <n v="67.962640249087912"/>
    <s v="n/a"/>
    <n v="0"/>
    <n v="0"/>
    <n v="0"/>
    <m/>
    <m/>
    <n v="67.962640249087912"/>
    <m/>
    <n v="0"/>
    <n v="0"/>
    <m/>
    <m/>
    <n v="67.962640249087912"/>
    <m/>
    <n v="0"/>
    <n v="0"/>
    <n v="0"/>
    <n v="0"/>
    <n v="0"/>
    <n v="0"/>
    <n v="0"/>
    <s v="NA"/>
    <m/>
  </r>
  <r>
    <s v="NSG"/>
    <x v="3"/>
    <s v="Multi-Family"/>
    <s v="Partner Trade Ally Rebate"/>
    <x v="4"/>
    <s v="Steam Large Valve"/>
    <s v="MF"/>
    <x v="3"/>
    <s v="&quot;3 - Res Pipe Insulation&quot; worksheet"/>
    <s v="each"/>
    <n v="0"/>
    <n v="0"/>
    <n v="0"/>
    <n v="0"/>
    <n v="0"/>
    <m/>
    <n v="133.90978522057964"/>
    <n v="133.90978522057964"/>
    <n v="133.90978522057964"/>
    <n v="133.90978522057964"/>
    <n v="0.87"/>
    <n v="0.87"/>
    <n v="0.87"/>
    <n v="0.87"/>
    <n v="0"/>
    <n v="0"/>
    <n v="0"/>
    <n v="0"/>
    <n v="0"/>
    <n v="0.87"/>
    <n v="0.87"/>
    <n v="0.87"/>
    <n v="0.87"/>
    <n v="0.87"/>
    <n v="0.87"/>
    <n v="0.87"/>
    <n v="0.87"/>
    <m/>
    <m/>
    <n v="133.90978522057964"/>
    <m/>
    <n v="0"/>
    <n v="0"/>
    <m/>
    <m/>
    <n v="133.90978522057964"/>
    <s v="n/a"/>
    <n v="0"/>
    <n v="0"/>
    <n v="0"/>
    <m/>
    <m/>
    <n v="133.90978522057964"/>
    <m/>
    <n v="0"/>
    <n v="0"/>
    <m/>
    <m/>
    <n v="133.90978522057964"/>
    <m/>
    <n v="0"/>
    <n v="0"/>
    <n v="0"/>
    <n v="0"/>
    <n v="0"/>
    <n v="0"/>
    <n v="0"/>
    <s v="NA"/>
    <m/>
  </r>
  <r>
    <s v="NSG"/>
    <x v="3"/>
    <s v="Multi-Family"/>
    <s v="Partner Trade Ally Rebate"/>
    <x v="4"/>
    <s v="Steam X-Large Valve"/>
    <s v="MF"/>
    <x v="3"/>
    <s v="&quot;3 - Res Pipe Insulation&quot; worksheet"/>
    <s v="each"/>
    <n v="0"/>
    <n v="0"/>
    <n v="0"/>
    <n v="0"/>
    <n v="0"/>
    <m/>
    <n v="67.962640249087912"/>
    <n v="67.962640249087912"/>
    <n v="67.962640249087912"/>
    <n v="67.962640249087912"/>
    <n v="0.87"/>
    <n v="0.87"/>
    <n v="0.87"/>
    <n v="0.87"/>
    <n v="0"/>
    <n v="0"/>
    <n v="0"/>
    <n v="0"/>
    <n v="0"/>
    <n v="0.87"/>
    <n v="0.87"/>
    <n v="0.87"/>
    <n v="0.87"/>
    <n v="0.87"/>
    <n v="0.87"/>
    <n v="0.87"/>
    <n v="0.87"/>
    <m/>
    <m/>
    <n v="67.962640249087912"/>
    <m/>
    <n v="0"/>
    <n v="0"/>
    <m/>
    <m/>
    <n v="67.962640249087912"/>
    <s v="n/a"/>
    <n v="0"/>
    <n v="0"/>
    <n v="0"/>
    <m/>
    <m/>
    <n v="67.962640249087912"/>
    <m/>
    <n v="0"/>
    <n v="0"/>
    <m/>
    <m/>
    <n v="67.962640249087912"/>
    <m/>
    <n v="0"/>
    <n v="0"/>
    <n v="0"/>
    <n v="0"/>
    <n v="0"/>
    <n v="0"/>
    <n v="0"/>
    <s v="NA"/>
    <m/>
  </r>
  <r>
    <s v="NSG"/>
    <x v="3"/>
    <s v="Multi-Family"/>
    <s v="Partner Trade Ally Rebate"/>
    <x v="55"/>
    <n v="0"/>
    <s v="MF"/>
    <x v="3"/>
    <s v="4.4.36"/>
    <s v="each"/>
    <n v="0"/>
    <n v="0"/>
    <n v="0"/>
    <n v="0"/>
    <s v="CI-HVC-SBAC-V03-230101"/>
    <m/>
    <n v="83.05"/>
    <n v="83.05"/>
    <n v="83.05"/>
    <n v="83.05"/>
    <n v="0.87"/>
    <n v="0.87"/>
    <n v="0.87"/>
    <n v="0.87"/>
    <n v="0"/>
    <n v="0"/>
    <n v="0"/>
    <n v="0"/>
    <n v="0"/>
    <n v="0.87"/>
    <n v="0.87"/>
    <n v="0.87"/>
    <n v="0.87"/>
    <n v="0.87"/>
    <n v="0.87"/>
    <n v="0.87"/>
    <n v="0.87"/>
    <m/>
    <m/>
    <n v="83.05"/>
    <m/>
    <n v="0"/>
    <n v="0"/>
    <m/>
    <m/>
    <n v="83.05"/>
    <s v="n/a"/>
    <n v="0"/>
    <n v="0"/>
    <n v="0"/>
    <m/>
    <m/>
    <n v="83.05"/>
    <m/>
    <n v="0"/>
    <n v="0"/>
    <m/>
    <m/>
    <n v="83.05"/>
    <m/>
    <n v="0"/>
    <n v="0"/>
    <n v="0"/>
    <n v="0"/>
    <n v="0"/>
    <n v="0"/>
    <n v="0"/>
    <s v="NA"/>
    <m/>
  </r>
  <r>
    <s v="NSG"/>
    <x v="3"/>
    <s v="Multi-Family"/>
    <s v="Partner Trade Ally Rebate"/>
    <x v="41"/>
    <s v="Industrial/Process Audit - psig ≤ 15"/>
    <s v="MF"/>
    <x v="3"/>
    <s v="4.4.16"/>
    <s v="each"/>
    <n v="0"/>
    <n v="0"/>
    <n v="0"/>
    <n v="0"/>
    <s v="CI-HVC-STRE-V09-230101"/>
    <m/>
    <n v="158.21234468156055"/>
    <n v="158.21234468156055"/>
    <n v="158.21234468156055"/>
    <n v="158.21234468156055"/>
    <n v="0.87"/>
    <n v="0.87"/>
    <n v="0.87"/>
    <n v="0.87"/>
    <n v="0"/>
    <n v="0"/>
    <n v="0"/>
    <n v="0"/>
    <n v="0"/>
    <n v="0.87"/>
    <n v="0.87"/>
    <n v="0.87"/>
    <n v="0.87"/>
    <n v="0.87"/>
    <n v="0.87"/>
    <n v="0.87"/>
    <n v="0.87"/>
    <m/>
    <m/>
    <n v="158.21234468156055"/>
    <m/>
    <n v="0"/>
    <n v="0"/>
    <m/>
    <m/>
    <n v="321.5560729764652"/>
    <s v="Updated inputs for Commercial LPS Space Heating and Industrial/Process Low Pressure"/>
    <n v="0"/>
    <n v="0"/>
    <n v="0"/>
    <m/>
    <m/>
    <n v="321.5560729764652"/>
    <m/>
    <n v="0"/>
    <n v="0"/>
    <m/>
    <m/>
    <n v="321.5560729764652"/>
    <m/>
    <n v="0"/>
    <n v="0"/>
    <n v="0"/>
    <n v="0"/>
    <n v="0"/>
    <n v="0"/>
    <n v="0"/>
    <s v="NA"/>
    <m/>
  </r>
  <r>
    <s v="NSG"/>
    <x v="3"/>
    <s v="Multi-Family"/>
    <s v="Partner Trade Ally Rebate"/>
    <x v="41"/>
    <s v="Industrial/Process Audit - 15 &lt; psig &lt; 30"/>
    <s v="MF"/>
    <x v="3"/>
    <s v="4.4.16"/>
    <s v="each"/>
    <n v="0"/>
    <n v="0"/>
    <n v="0"/>
    <n v="0"/>
    <s v="CI-HVC-STRE-V09-230101"/>
    <m/>
    <n v="152.05519050678893"/>
    <n v="152.05519050678893"/>
    <n v="152.05519050678893"/>
    <n v="152.05519050678893"/>
    <n v="0.87"/>
    <n v="0.87"/>
    <n v="0.87"/>
    <n v="0.87"/>
    <n v="0"/>
    <n v="0"/>
    <n v="0"/>
    <n v="0"/>
    <n v="0"/>
    <n v="0.87"/>
    <n v="0.87"/>
    <n v="0.87"/>
    <n v="0.87"/>
    <n v="0.87"/>
    <n v="0.87"/>
    <n v="0.87"/>
    <n v="0.87"/>
    <m/>
    <m/>
    <n v="152.05519050678893"/>
    <m/>
    <n v="0"/>
    <n v="0"/>
    <m/>
    <m/>
    <n v="152.05519050678893"/>
    <s v="Updated inputs for Commercial LPS Space Heating and Industrial/Process Low Pressure"/>
    <n v="0"/>
    <n v="0"/>
    <n v="0"/>
    <m/>
    <m/>
    <n v="152.05519050678893"/>
    <m/>
    <n v="0"/>
    <n v="0"/>
    <m/>
    <m/>
    <n v="152.05519050678893"/>
    <m/>
    <n v="0"/>
    <n v="0"/>
    <n v="0"/>
    <n v="0"/>
    <n v="0"/>
    <n v="0"/>
    <n v="0"/>
    <s v="NA"/>
    <m/>
  </r>
  <r>
    <s v="NSG"/>
    <x v="3"/>
    <s v="Multi-Family"/>
    <s v="Partner Trade Ally Rebate"/>
    <x v="41"/>
    <s v="Industrial/Process Audit - 30 ≤ psig &lt; 75"/>
    <s v="MF"/>
    <x v="3"/>
    <s v="4.4.16"/>
    <s v="each"/>
    <n v="0"/>
    <n v="0"/>
    <n v="0"/>
    <n v="0"/>
    <s v="CI-HVC-STRE-V09-230101"/>
    <m/>
    <n v="557.07551065314806"/>
    <n v="557.07551065314806"/>
    <n v="557.07551065314806"/>
    <n v="557.07551065314806"/>
    <n v="0.87"/>
    <n v="0.87"/>
    <n v="0.87"/>
    <n v="0.87"/>
    <n v="0"/>
    <n v="0"/>
    <n v="0"/>
    <n v="0"/>
    <n v="0"/>
    <n v="0.87"/>
    <n v="0.87"/>
    <n v="0.87"/>
    <n v="0.87"/>
    <n v="0.87"/>
    <n v="0.87"/>
    <n v="0.87"/>
    <n v="0.87"/>
    <m/>
    <m/>
    <n v="557.07551065314806"/>
    <m/>
    <n v="0"/>
    <n v="0"/>
    <m/>
    <m/>
    <n v="557.07551065314806"/>
    <s v="Updated inputs for Commercial LPS Space Heating and Industrial/Process Low Pressure"/>
    <n v="0"/>
    <n v="0"/>
    <n v="0"/>
    <m/>
    <m/>
    <n v="557.07551065314806"/>
    <m/>
    <n v="0"/>
    <n v="0"/>
    <m/>
    <m/>
    <n v="557.07551065314806"/>
    <m/>
    <n v="0"/>
    <n v="0"/>
    <n v="0"/>
    <n v="0"/>
    <n v="0"/>
    <n v="0"/>
    <n v="0"/>
    <s v="NA"/>
    <m/>
  </r>
  <r>
    <s v="NSG"/>
    <x v="3"/>
    <s v="Multi-Family"/>
    <s v="Partner Trade Ally Rebate"/>
    <x v="41"/>
    <s v="Industrial/Process Audit - 75 ≤ psig &lt; 125"/>
    <s v="MF"/>
    <x v="3"/>
    <s v="4.4.16"/>
    <s v="each"/>
    <n v="0"/>
    <n v="0"/>
    <n v="0"/>
    <n v="0"/>
    <s v="CI-HVC-STRE-V09-230101"/>
    <m/>
    <n v="1053.6644788659491"/>
    <n v="1053.6644788659491"/>
    <n v="1053.6644788659491"/>
    <n v="1053.6644788659491"/>
    <n v="0.87"/>
    <n v="0.87"/>
    <n v="0.87"/>
    <n v="0.87"/>
    <n v="0"/>
    <n v="0"/>
    <n v="0"/>
    <n v="0"/>
    <n v="0"/>
    <n v="0.87"/>
    <n v="0.87"/>
    <n v="0.87"/>
    <n v="0.87"/>
    <n v="0.87"/>
    <n v="0.87"/>
    <n v="0.87"/>
    <n v="0.87"/>
    <m/>
    <m/>
    <n v="1053.6644788659491"/>
    <m/>
    <n v="0"/>
    <n v="0"/>
    <m/>
    <m/>
    <n v="1053.6644788659491"/>
    <s v="Updated inputs for Commercial LPS Space Heating and Industrial/Process Low Pressure"/>
    <n v="0"/>
    <n v="0"/>
    <n v="0"/>
    <m/>
    <m/>
    <n v="1053.6644788659491"/>
    <m/>
    <n v="0"/>
    <n v="0"/>
    <m/>
    <m/>
    <n v="1053.6644788659491"/>
    <m/>
    <n v="0"/>
    <n v="0"/>
    <n v="0"/>
    <n v="0"/>
    <n v="0"/>
    <n v="0"/>
    <n v="0"/>
    <s v="NA"/>
    <m/>
  </r>
  <r>
    <s v="NSG"/>
    <x v="3"/>
    <s v="Multi-Family"/>
    <s v="Partner Trade Ally Rebate"/>
    <x v="41"/>
    <s v="Industrial/Process Audit - 125 ≤ psig &lt; 175"/>
    <s v="MF"/>
    <x v="3"/>
    <s v="4.4.16"/>
    <s v="each"/>
    <n v="0"/>
    <n v="0"/>
    <n v="0"/>
    <n v="0"/>
    <s v="CI-HVC-STRE-V09-230101"/>
    <m/>
    <n v="1471.0232537570409"/>
    <n v="1471.0232537570409"/>
    <n v="1471.0232537570409"/>
    <n v="1471.0232537570409"/>
    <n v="0.87"/>
    <n v="0.87"/>
    <n v="0.87"/>
    <n v="0.87"/>
    <n v="0"/>
    <n v="0"/>
    <n v="0"/>
    <n v="0"/>
    <n v="0"/>
    <n v="0.87"/>
    <n v="0.87"/>
    <n v="0.87"/>
    <n v="0.87"/>
    <n v="0.87"/>
    <n v="0.87"/>
    <n v="0.87"/>
    <n v="0.87"/>
    <m/>
    <m/>
    <n v="1471.0232537570409"/>
    <m/>
    <n v="0"/>
    <n v="0"/>
    <m/>
    <m/>
    <n v="1471.0232537570409"/>
    <s v="Updated inputs for Commercial LPS Space Heating and Industrial/Process Low Pressure"/>
    <n v="0"/>
    <n v="0"/>
    <n v="0"/>
    <m/>
    <m/>
    <n v="1471.0232537570409"/>
    <m/>
    <n v="0"/>
    <n v="0"/>
    <m/>
    <m/>
    <n v="1471.0232537570409"/>
    <m/>
    <n v="0"/>
    <n v="0"/>
    <n v="0"/>
    <n v="0"/>
    <n v="0"/>
    <n v="0"/>
    <n v="0"/>
    <s v="NA"/>
    <m/>
  </r>
  <r>
    <s v="NSG"/>
    <x v="3"/>
    <s v="Multi-Family"/>
    <s v="Partner Trade Ally Rebate"/>
    <x v="41"/>
    <s v="Industrial/Process Audit - 175 ≤ psig &lt; 250"/>
    <s v="MF"/>
    <x v="3"/>
    <s v="4.4.16"/>
    <s v="each"/>
    <n v="0"/>
    <n v="0"/>
    <n v="0"/>
    <n v="0"/>
    <s v="CI-HVC-STRE-V09-230101"/>
    <m/>
    <n v="1986.7915775383435"/>
    <n v="1986.7915775383435"/>
    <n v="1986.7915775383435"/>
    <n v="1986.7915775383435"/>
    <n v="0.87"/>
    <n v="0.87"/>
    <n v="0.87"/>
    <n v="0.87"/>
    <n v="0"/>
    <n v="0"/>
    <n v="0"/>
    <n v="0"/>
    <n v="0"/>
    <n v="0.87"/>
    <n v="0.87"/>
    <n v="0.87"/>
    <n v="0.87"/>
    <n v="0.87"/>
    <n v="0.87"/>
    <n v="0.87"/>
    <n v="0.87"/>
    <m/>
    <m/>
    <n v="1986.7915775383435"/>
    <m/>
    <n v="0"/>
    <n v="0"/>
    <m/>
    <m/>
    <n v="1986.7915775383435"/>
    <s v="Updated inputs for Commercial LPS Space Heating and Industrial/Process Low Pressure"/>
    <n v="0"/>
    <n v="0"/>
    <n v="0"/>
    <m/>
    <m/>
    <n v="1986.7915775383435"/>
    <m/>
    <n v="0"/>
    <n v="0"/>
    <m/>
    <m/>
    <n v="1986.7915775383435"/>
    <m/>
    <n v="0"/>
    <n v="0"/>
    <n v="0"/>
    <n v="0"/>
    <n v="0"/>
    <n v="0"/>
    <n v="0"/>
    <s v="NA"/>
    <m/>
  </r>
  <r>
    <s v="NSG"/>
    <x v="3"/>
    <s v="Multi-Family"/>
    <s v="Partner Trade Ally Rebate"/>
    <x v="41"/>
    <s v="Industrial/Process Audit - 250 ≤ psig"/>
    <s v="MF"/>
    <x v="3"/>
    <s v="4.4.16"/>
    <s v="each"/>
    <n v="0"/>
    <n v="0"/>
    <n v="0"/>
    <n v="0"/>
    <s v="CI-HVC-STRE-V09-230101"/>
    <m/>
    <n v="2544.9291474441216"/>
    <n v="2544.9291474441216"/>
    <n v="2544.9291474441216"/>
    <n v="2544.9291474441216"/>
    <n v="0.87"/>
    <n v="0.87"/>
    <n v="0.87"/>
    <n v="0.87"/>
    <n v="0"/>
    <n v="0"/>
    <n v="0"/>
    <n v="0"/>
    <n v="0"/>
    <n v="0.87"/>
    <n v="0.87"/>
    <n v="0.87"/>
    <n v="0.87"/>
    <n v="0.87"/>
    <n v="0.87"/>
    <n v="0.87"/>
    <n v="0.87"/>
    <m/>
    <m/>
    <n v="2544.9291474441216"/>
    <m/>
    <n v="0"/>
    <n v="0"/>
    <m/>
    <m/>
    <n v="2544.9291474441216"/>
    <s v="Updated inputs for Commercial LPS Space Heating and Industrial/Process Low Pressure"/>
    <n v="0"/>
    <n v="0"/>
    <n v="0"/>
    <m/>
    <m/>
    <n v="2544.9291474441216"/>
    <m/>
    <n v="0"/>
    <n v="0"/>
    <m/>
    <m/>
    <n v="2544.9291474441216"/>
    <m/>
    <n v="0"/>
    <n v="0"/>
    <n v="0"/>
    <n v="0"/>
    <n v="0"/>
    <n v="0"/>
    <n v="0"/>
    <s v="NA"/>
    <m/>
  </r>
  <r>
    <s v="NSG"/>
    <x v="3"/>
    <s v="Multi-Family"/>
    <s v="Partner Trade Ally Rebate"/>
    <x v="41"/>
    <s v="Test"/>
    <s v="MF"/>
    <x v="3"/>
    <n v="0"/>
    <s v="each"/>
    <n v="0"/>
    <n v="0"/>
    <n v="0"/>
    <n v="0"/>
    <n v="0"/>
    <m/>
    <n v="0"/>
    <n v="0"/>
    <n v="0"/>
    <n v="0"/>
    <n v="0.87"/>
    <n v="0.87"/>
    <n v="0.87"/>
    <n v="0.87"/>
    <n v="0"/>
    <n v="0"/>
    <n v="0"/>
    <n v="0"/>
    <n v="0"/>
    <n v="0.87"/>
    <n v="0.87"/>
    <n v="0.87"/>
    <n v="0.87"/>
    <n v="0.87"/>
    <n v="0.87"/>
    <n v="0.87"/>
    <n v="0.87"/>
    <m/>
    <m/>
    <n v="0"/>
    <m/>
    <n v="0"/>
    <n v="0"/>
    <m/>
    <m/>
    <n v="0"/>
    <s v="n/a"/>
    <n v="0"/>
    <n v="0"/>
    <n v="0"/>
    <m/>
    <m/>
    <n v="0"/>
    <m/>
    <n v="0"/>
    <n v="0"/>
    <m/>
    <m/>
    <n v="0"/>
    <m/>
    <n v="0"/>
    <n v="0"/>
    <n v="0"/>
    <n v="0"/>
    <n v="0"/>
    <n v="0"/>
    <n v="0"/>
    <s v="NA"/>
    <m/>
  </r>
  <r>
    <s v="NSG"/>
    <x v="3"/>
    <s v="Multi-Family"/>
    <s v="Partner Trade Ally Rebate"/>
    <x v="29"/>
    <n v="0"/>
    <s v="MF"/>
    <x v="3"/>
    <s v="4.4.21"/>
    <s v="MBH"/>
    <n v="0"/>
    <n v="0"/>
    <n v="0"/>
    <n v="0"/>
    <s v="CI-HVC-LBC-V06-220101"/>
    <m/>
    <n v="0.63181333333333334"/>
    <n v="0.63181333333333334"/>
    <n v="0.63181333333333334"/>
    <n v="0.63181333333333334"/>
    <n v="0.87"/>
    <n v="0.87"/>
    <n v="0.87"/>
    <n v="0.87"/>
    <n v="0"/>
    <n v="0"/>
    <n v="0"/>
    <n v="0"/>
    <n v="0"/>
    <n v="0.87"/>
    <n v="0.87"/>
    <n v="0.87"/>
    <n v="0.87"/>
    <n v="0.87"/>
    <n v="0.87"/>
    <n v="0.87"/>
    <n v="0.87"/>
    <m/>
    <m/>
    <n v="0.63181333333333334"/>
    <m/>
    <n v="0"/>
    <n v="0"/>
    <m/>
    <m/>
    <n v="0.63181333333333334"/>
    <s v="n/a"/>
    <n v="0"/>
    <n v="0"/>
    <n v="0"/>
    <m/>
    <m/>
    <n v="0.63181333333333334"/>
    <m/>
    <n v="0"/>
    <n v="0"/>
    <m/>
    <m/>
    <n v="0.63181333333333334"/>
    <m/>
    <n v="0"/>
    <n v="0"/>
    <n v="0"/>
    <n v="0"/>
    <n v="0"/>
    <n v="0"/>
    <n v="0"/>
    <s v="NA"/>
    <m/>
  </r>
  <r>
    <s v="NSG"/>
    <x v="3"/>
    <s v="Multi-Family"/>
    <s v="Partner Trade Ally Rebate"/>
    <x v="56"/>
    <s v="Hotels &amp; Hospitals"/>
    <s v="CI"/>
    <x v="3"/>
    <s v="4.8.4"/>
    <s v="each"/>
    <n v="0"/>
    <n v="0"/>
    <n v="0"/>
    <n v="0"/>
    <s v="CI-MSC-MODD-V02-230101"/>
    <m/>
    <n v="649.26"/>
    <n v="649.26"/>
    <n v="649.26"/>
    <n v="649.26"/>
    <n v="0.87"/>
    <n v="0.87"/>
    <n v="0.87"/>
    <n v="0.87"/>
    <n v="0"/>
    <n v="0"/>
    <n v="0"/>
    <n v="0"/>
    <n v="0"/>
    <n v="0.87"/>
    <n v="0.87"/>
    <n v="0.87"/>
    <n v="0.87"/>
    <n v="0.87"/>
    <n v="0.87"/>
    <n v="0.87"/>
    <n v="0.87"/>
    <m/>
    <m/>
    <n v="649.26"/>
    <m/>
    <n v="0"/>
    <n v="0"/>
    <m/>
    <m/>
    <n v="649.26"/>
    <s v="Updated measure lifetime."/>
    <n v="0"/>
    <n v="0"/>
    <n v="0"/>
    <m/>
    <m/>
    <n v="649.26"/>
    <m/>
    <n v="0"/>
    <n v="0"/>
    <m/>
    <m/>
    <n v="649.26"/>
    <m/>
    <n v="0"/>
    <n v="0"/>
    <n v="0"/>
    <n v="0"/>
    <n v="0"/>
    <n v="0"/>
    <n v="0"/>
    <s v="NA"/>
    <m/>
  </r>
  <r>
    <s v="NSG"/>
    <x v="3"/>
    <s v="Multi-Family"/>
    <s v="Partner Trade Ally Rebate"/>
    <x v="56"/>
    <s v="Laundromat &amp; MF Dorms"/>
    <s v="MF/SMB"/>
    <x v="3"/>
    <s v="4.8.4"/>
    <s v="each"/>
    <n v="0"/>
    <n v="0"/>
    <n v="0"/>
    <n v="0"/>
    <s v="CI-MSC-MODD-V02-230101"/>
    <m/>
    <n v="230.13"/>
    <n v="230.13"/>
    <n v="230.13"/>
    <n v="230.13"/>
    <n v="0.87"/>
    <n v="0.87"/>
    <n v="0.87"/>
    <n v="0.87"/>
    <n v="0"/>
    <n v="0"/>
    <n v="0"/>
    <n v="0"/>
    <n v="0"/>
    <n v="0.87"/>
    <n v="0.87"/>
    <n v="0.87"/>
    <n v="0.87"/>
    <n v="0.87"/>
    <n v="0.87"/>
    <n v="0.87"/>
    <n v="0.87"/>
    <m/>
    <m/>
    <n v="230.13"/>
    <m/>
    <n v="0"/>
    <n v="0"/>
    <m/>
    <m/>
    <n v="230.13"/>
    <s v="Updated measure lifetime."/>
    <n v="0"/>
    <n v="0"/>
    <n v="0"/>
    <m/>
    <m/>
    <n v="230.13"/>
    <m/>
    <n v="0"/>
    <n v="0"/>
    <m/>
    <m/>
    <n v="230.13"/>
    <m/>
    <n v="0"/>
    <n v="0"/>
    <n v="0"/>
    <n v="0"/>
    <n v="0"/>
    <n v="0"/>
    <n v="0"/>
    <s v="NA"/>
    <m/>
  </r>
  <r>
    <s v="NSG"/>
    <x v="3"/>
    <s v="Multi-Family"/>
    <s v="Partner Trade Ally Rebate"/>
    <x v="12"/>
    <s v="Central/Indirect MF ≥88% TE"/>
    <s v="MF"/>
    <x v="3"/>
    <s v="4.3.7"/>
    <s v="each"/>
    <n v="0"/>
    <n v="0"/>
    <n v="0"/>
    <n v="0"/>
    <s v="CI-HWE-MDHW-V06-230101"/>
    <m/>
    <n v="453.64159574999974"/>
    <n v="453.64159574999974"/>
    <n v="453.64159574999974"/>
    <n v="453.64159574999974"/>
    <n v="0.87"/>
    <n v="0.87"/>
    <n v="0.87"/>
    <n v="0.87"/>
    <n v="0"/>
    <n v="0"/>
    <n v="0"/>
    <n v="0"/>
    <n v="0"/>
    <n v="0.87"/>
    <n v="0.87"/>
    <n v="0.87"/>
    <n v="0.87"/>
    <n v="0.87"/>
    <n v="0.87"/>
    <n v="0.87"/>
    <n v="0.87"/>
    <m/>
    <m/>
    <n v="474.72634597499967"/>
    <m/>
    <n v="0"/>
    <n v="0"/>
    <m/>
    <m/>
    <n v="474.72634597499967"/>
    <s v="n/a"/>
    <n v="0"/>
    <n v="0"/>
    <n v="0"/>
    <m/>
    <m/>
    <n v="474.72634597499967"/>
    <m/>
    <n v="0"/>
    <n v="0"/>
    <m/>
    <m/>
    <n v="474.72634597499967"/>
    <m/>
    <n v="0"/>
    <n v="0"/>
    <n v="0"/>
    <n v="0"/>
    <n v="0"/>
    <n v="0"/>
    <n v="0"/>
    <s v="NA"/>
    <m/>
  </r>
  <r>
    <s v="NSG"/>
    <x v="3"/>
    <s v="Multi-Family"/>
    <s v="Partner Trade Ally Rebate"/>
    <x v="66"/>
    <n v="0"/>
    <s v="CI"/>
    <x v="3"/>
    <n v="0"/>
    <s v="each"/>
    <n v="0"/>
    <n v="0"/>
    <n v="0"/>
    <n v="0"/>
    <n v="0"/>
    <m/>
    <n v="234.94825714285713"/>
    <n v="234.94825714285713"/>
    <n v="234.94825714285713"/>
    <n v="234.94825714285713"/>
    <n v="0.87"/>
    <n v="0.87"/>
    <n v="0.87"/>
    <n v="0.87"/>
    <n v="0"/>
    <n v="0"/>
    <n v="0"/>
    <n v="0"/>
    <n v="0"/>
    <n v="0.87"/>
    <n v="0.87"/>
    <n v="0.87"/>
    <n v="0.87"/>
    <n v="0.87"/>
    <n v="0.87"/>
    <n v="0.87"/>
    <n v="0.87"/>
    <m/>
    <m/>
    <n v="234.94825714285713"/>
    <m/>
    <n v="0"/>
    <n v="0"/>
    <m/>
    <m/>
    <n v="234.94825714285713"/>
    <s v="n/a"/>
    <n v="0"/>
    <n v="0"/>
    <n v="0"/>
    <m/>
    <m/>
    <n v="234.94825714285713"/>
    <m/>
    <n v="0"/>
    <n v="0"/>
    <m/>
    <m/>
    <n v="234.94825714285713"/>
    <m/>
    <n v="0"/>
    <n v="0"/>
    <n v="0"/>
    <n v="0"/>
    <n v="0"/>
    <n v="0"/>
    <n v="0"/>
    <s v="NA"/>
    <m/>
  </r>
  <r>
    <s v="NSG"/>
    <x v="3"/>
    <s v="Multi-Family"/>
    <s v="Partner Trade Ally Rebate"/>
    <x v="50"/>
    <n v="0"/>
    <s v="MF/CI"/>
    <x v="3"/>
    <s v="4.2.16"/>
    <s v="HP"/>
    <n v="0"/>
    <n v="0"/>
    <n v="0"/>
    <n v="0"/>
    <s v="CI-FSE-VENT-V05-230101"/>
    <m/>
    <n v="774"/>
    <n v="774"/>
    <n v="774"/>
    <n v="774"/>
    <n v="0.87"/>
    <n v="0.87"/>
    <n v="0.87"/>
    <n v="0.87"/>
    <n v="0"/>
    <n v="0"/>
    <n v="0"/>
    <n v="0"/>
    <n v="0"/>
    <n v="0.87"/>
    <n v="0.87"/>
    <n v="0.87"/>
    <n v="0.87"/>
    <n v="0.87"/>
    <n v="0.87"/>
    <n v="0.87"/>
    <n v="0.87"/>
    <m/>
    <m/>
    <n v="774"/>
    <m/>
    <n v="0"/>
    <n v="0"/>
    <m/>
    <m/>
    <n v="774"/>
    <s v="n/a"/>
    <n v="0"/>
    <n v="0"/>
    <n v="0"/>
    <m/>
    <m/>
    <n v="774"/>
    <m/>
    <n v="0"/>
    <n v="0"/>
    <m/>
    <m/>
    <n v="774"/>
    <m/>
    <n v="0"/>
    <n v="0"/>
    <n v="0"/>
    <n v="0"/>
    <n v="0"/>
    <n v="0"/>
    <n v="0"/>
    <s v="NA"/>
    <m/>
  </r>
  <r>
    <s v="NSG"/>
    <x v="4"/>
    <s v="Multi-Family"/>
    <s v="Whole Building - DI"/>
    <x v="4"/>
    <s v="Boiler"/>
    <s v="MF"/>
    <x v="3"/>
    <s v="5.3.2"/>
    <s v="ft"/>
    <n v="0"/>
    <n v="0"/>
    <n v="0"/>
    <n v="0"/>
    <s v="RS-HWE-PINS-V06-230101"/>
    <m/>
    <n v="0.63522312995661756"/>
    <n v="0.63522312995661756"/>
    <n v="0.63522312995661756"/>
    <n v="0.63522312995661756"/>
    <n v="1"/>
    <n v="1"/>
    <n v="1"/>
    <n v="1"/>
    <n v="0"/>
    <n v="0"/>
    <n v="0"/>
    <n v="0"/>
    <n v="0"/>
    <n v="1"/>
    <n v="1"/>
    <n v="1"/>
    <n v="1"/>
    <n v="1"/>
    <n v="1"/>
    <n v="1"/>
    <n v="1"/>
    <m/>
    <m/>
    <n v="1.0111854839419214"/>
    <m/>
    <n v="0"/>
    <n v="0"/>
    <m/>
    <m/>
    <n v="1.0111854839419214"/>
    <s v="n/a"/>
    <n v="0"/>
    <n v="0"/>
    <n v="0"/>
    <m/>
    <m/>
    <n v="1.0111854839419214"/>
    <m/>
    <n v="0"/>
    <n v="0"/>
    <m/>
    <m/>
    <n v="1.0111854839419214"/>
    <m/>
    <n v="0"/>
    <n v="0"/>
    <n v="0"/>
    <n v="0"/>
    <n v="0"/>
    <n v="0"/>
    <n v="0"/>
    <s v="NA"/>
    <m/>
  </r>
  <r>
    <s v="NSG"/>
    <x v="4"/>
    <s v="Multi-Family"/>
    <s v="Whole Building - DI"/>
    <x v="6"/>
    <s v="Boiler (DI)"/>
    <s v="MF"/>
    <x v="3"/>
    <s v="5.3.11"/>
    <s v="each"/>
    <n v="0"/>
    <n v="0"/>
    <n v="0"/>
    <n v="0"/>
    <s v="RS-HVC-ADTH-V08-230101"/>
    <m/>
    <n v="59.845499999999994"/>
    <n v="59.845499999999994"/>
    <n v="59.845499999999994"/>
    <n v="59.845499999999994"/>
    <n v="1"/>
    <n v="1"/>
    <n v="1"/>
    <n v="1"/>
    <n v="0"/>
    <n v="0"/>
    <n v="0"/>
    <n v="0"/>
    <n v="0"/>
    <n v="1"/>
    <n v="1"/>
    <n v="1"/>
    <n v="1"/>
    <n v="1"/>
    <n v="1"/>
    <n v="1"/>
    <n v="1"/>
    <m/>
    <m/>
    <n v="59.845499999999994"/>
    <m/>
    <n v="0"/>
    <n v="0"/>
    <m/>
    <m/>
    <n v="59.845499999999994"/>
    <s v="n/a"/>
    <n v="0"/>
    <n v="0"/>
    <n v="0"/>
    <m/>
    <m/>
    <n v="59.845499999999994"/>
    <m/>
    <n v="0"/>
    <n v="0"/>
    <m/>
    <m/>
    <n v="59.845499999999994"/>
    <m/>
    <n v="0"/>
    <n v="0"/>
    <n v="0"/>
    <n v="0"/>
    <n v="0"/>
    <n v="0"/>
    <n v="0"/>
    <s v="NA"/>
    <m/>
  </r>
  <r>
    <s v="NSG"/>
    <x v="4"/>
    <s v="Multi-Family"/>
    <s v="Whole Building - DI"/>
    <x v="3"/>
    <s v="Boiler (Replace Manual)"/>
    <s v="MF"/>
    <x v="3"/>
    <s v="5.3.16"/>
    <s v="each"/>
    <n v="0"/>
    <n v="0"/>
    <n v="0"/>
    <n v="0"/>
    <s v="RS-HVC-ADTH-V08-230101"/>
    <m/>
    <n v="100.386"/>
    <n v="100.386"/>
    <n v="100.386"/>
    <n v="100.386"/>
    <n v="1"/>
    <n v="1"/>
    <n v="1"/>
    <n v="1"/>
    <n v="0"/>
    <n v="0"/>
    <n v="0"/>
    <n v="0"/>
    <n v="0"/>
    <n v="1"/>
    <n v="1"/>
    <n v="1"/>
    <n v="1"/>
    <n v="1"/>
    <n v="1"/>
    <n v="1"/>
    <n v="1"/>
    <m/>
    <m/>
    <n v="98.455500000000001"/>
    <m/>
    <n v="0"/>
    <n v="0"/>
    <m/>
    <m/>
    <n v="98.455500000000001"/>
    <s v="n/a"/>
    <n v="0"/>
    <n v="0"/>
    <n v="0"/>
    <m/>
    <m/>
    <n v="98.455500000000001"/>
    <m/>
    <n v="0"/>
    <n v="0"/>
    <m/>
    <m/>
    <n v="98.455500000000001"/>
    <m/>
    <n v="0"/>
    <n v="0"/>
    <n v="0"/>
    <n v="0"/>
    <n v="0"/>
    <n v="0"/>
    <n v="0"/>
    <s v="NA"/>
    <m/>
  </r>
  <r>
    <s v="NSG"/>
    <x v="4"/>
    <s v="Multi-Family"/>
    <s v="Whole Building - DI"/>
    <x v="3"/>
    <s v="Furnace (Replace Programmable)"/>
    <s v="MF"/>
    <x v="3"/>
    <s v="5.3.16"/>
    <s v="each"/>
    <n v="0"/>
    <n v="0"/>
    <n v="0"/>
    <n v="0"/>
    <s v="RS-HVC-ADTH-V08-230101"/>
    <m/>
    <n v="47.687249999999999"/>
    <n v="47.687249999999999"/>
    <n v="47.687249999999999"/>
    <n v="47.687249999999999"/>
    <n v="1"/>
    <n v="1"/>
    <n v="1"/>
    <n v="1"/>
    <n v="0"/>
    <n v="0"/>
    <n v="0"/>
    <n v="0"/>
    <n v="0"/>
    <n v="1"/>
    <n v="1"/>
    <n v="1"/>
    <n v="1"/>
    <n v="1"/>
    <n v="1"/>
    <n v="1"/>
    <n v="1"/>
    <m/>
    <m/>
    <n v="46.380749999999992"/>
    <m/>
    <n v="0"/>
    <n v="0"/>
    <m/>
    <m/>
    <n v="46.380749999999992"/>
    <s v="n/a"/>
    <n v="0"/>
    <n v="0"/>
    <n v="0"/>
    <m/>
    <m/>
    <n v="46.380749999999992"/>
    <m/>
    <n v="0"/>
    <n v="0"/>
    <m/>
    <m/>
    <n v="46.380749999999992"/>
    <m/>
    <n v="0"/>
    <n v="0"/>
    <n v="0"/>
    <n v="0"/>
    <n v="0"/>
    <n v="0"/>
    <n v="0"/>
    <s v="NA"/>
    <m/>
  </r>
  <r>
    <s v="NSG"/>
    <x v="4"/>
    <s v="Multi-Family"/>
    <s v="Whole Building - DI"/>
    <x v="3"/>
    <s v="Boiler (Replace Programmable)"/>
    <s v="MF"/>
    <x v="3"/>
    <s v="5.3.16"/>
    <s v="each"/>
    <n v="0"/>
    <n v="0"/>
    <n v="0"/>
    <n v="0"/>
    <s v="RS-HVC-ADTH-V08-230101"/>
    <m/>
    <n v="70.463249999999988"/>
    <n v="70.463249999999988"/>
    <n v="70.463249999999988"/>
    <n v="70.463249999999988"/>
    <n v="1"/>
    <n v="1"/>
    <n v="1"/>
    <n v="1"/>
    <n v="0"/>
    <n v="0"/>
    <n v="0"/>
    <n v="0"/>
    <n v="0"/>
    <n v="1"/>
    <n v="1"/>
    <n v="1"/>
    <n v="1"/>
    <n v="1"/>
    <n v="1"/>
    <n v="1"/>
    <n v="1"/>
    <m/>
    <m/>
    <n v="68.532749999999993"/>
    <m/>
    <n v="0"/>
    <n v="0"/>
    <m/>
    <m/>
    <n v="68.532749999999993"/>
    <s v="n/a"/>
    <n v="0"/>
    <n v="0"/>
    <n v="0"/>
    <m/>
    <m/>
    <n v="68.532749999999993"/>
    <m/>
    <n v="0"/>
    <n v="0"/>
    <m/>
    <m/>
    <n v="68.532749999999993"/>
    <m/>
    <n v="0"/>
    <n v="0"/>
    <n v="0"/>
    <n v="0"/>
    <n v="0"/>
    <n v="0"/>
    <n v="0"/>
    <s v="NA"/>
    <m/>
  </r>
  <r>
    <s v="NSG"/>
    <x v="4"/>
    <s v="Multi-Family"/>
    <s v="Whole Building - DI"/>
    <x v="44"/>
    <s v="Furnace (DI)"/>
    <s v="MF"/>
    <x v="3"/>
    <s v="5.3.11"/>
    <s v="each"/>
    <n v="0"/>
    <n v="0"/>
    <n v="0"/>
    <n v="0"/>
    <s v="RS-HVC-ADTH-V08-230101"/>
    <m/>
    <n v="40.5015"/>
    <n v="40.5015"/>
    <n v="40.5015"/>
    <n v="40.5015"/>
    <n v="1"/>
    <n v="1"/>
    <n v="1"/>
    <n v="1"/>
    <n v="0"/>
    <n v="0"/>
    <n v="0"/>
    <n v="0"/>
    <n v="0"/>
    <n v="1"/>
    <n v="1"/>
    <n v="1"/>
    <n v="1"/>
    <n v="1"/>
    <n v="1"/>
    <n v="1"/>
    <n v="1"/>
    <m/>
    <m/>
    <n v="40.5015"/>
    <m/>
    <n v="0"/>
    <n v="0"/>
    <m/>
    <m/>
    <n v="40.5015"/>
    <s v="n/a"/>
    <n v="0"/>
    <n v="0"/>
    <n v="0"/>
    <m/>
    <m/>
    <n v="40.5015"/>
    <m/>
    <n v="0"/>
    <n v="0"/>
    <m/>
    <m/>
    <n v="40.5015"/>
    <m/>
    <n v="0"/>
    <n v="0"/>
    <n v="0"/>
    <n v="0"/>
    <n v="0"/>
    <n v="0"/>
    <n v="0"/>
    <s v="NA"/>
    <m/>
  </r>
  <r>
    <s v="NSG"/>
    <x v="4"/>
    <s v="Multi-Family"/>
    <s v="Whole Building - DI"/>
    <x v="44"/>
    <s v="Boiler (DI)"/>
    <s v="MF"/>
    <x v="3"/>
    <s v="5.3.11"/>
    <s v="each"/>
    <n v="0"/>
    <n v="0"/>
    <n v="0"/>
    <n v="0"/>
    <s v="RS-HVC-ADTH-V08-230101"/>
    <m/>
    <n v="59.926100000000005"/>
    <n v="59.926100000000005"/>
    <n v="59.926100000000005"/>
    <n v="59.926100000000005"/>
    <n v="1"/>
    <n v="1"/>
    <n v="1"/>
    <n v="1"/>
    <n v="0"/>
    <n v="0"/>
    <n v="0"/>
    <n v="0"/>
    <n v="0"/>
    <n v="1"/>
    <n v="1"/>
    <n v="1"/>
    <n v="1"/>
    <n v="1"/>
    <n v="1"/>
    <n v="1"/>
    <n v="1"/>
    <m/>
    <m/>
    <n v="59.926100000000005"/>
    <m/>
    <n v="0"/>
    <n v="0"/>
    <m/>
    <m/>
    <n v="59.926100000000005"/>
    <s v="n/a"/>
    <n v="0"/>
    <n v="0"/>
    <n v="0"/>
    <m/>
    <m/>
    <n v="59.926100000000005"/>
    <m/>
    <n v="0"/>
    <n v="0"/>
    <m/>
    <m/>
    <n v="59.926100000000005"/>
    <m/>
    <n v="0"/>
    <n v="0"/>
    <n v="0"/>
    <n v="0"/>
    <n v="0"/>
    <n v="0"/>
    <n v="0"/>
    <s v="NA"/>
    <m/>
  </r>
  <r>
    <s v="NSG"/>
    <x v="4"/>
    <s v="Multi-Family"/>
    <s v="Whole Building - Prescriptive"/>
    <x v="32"/>
    <n v="0"/>
    <s v="SF"/>
    <x v="3"/>
    <s v="5.6.4"/>
    <s v="sq ft"/>
    <n v="0"/>
    <n v="0"/>
    <n v="0"/>
    <n v="0"/>
    <s v="RS-SHL-WINS-V12-230101"/>
    <m/>
    <n v="0.10827529411764705"/>
    <n v="0.10827529411764705"/>
    <n v="0.10827529411764705"/>
    <n v="0.10827529411764705"/>
    <n v="1"/>
    <n v="1"/>
    <n v="1"/>
    <n v="1"/>
    <n v="0"/>
    <n v="0"/>
    <n v="0"/>
    <n v="0"/>
    <n v="0"/>
    <n v="1"/>
    <n v="1"/>
    <n v="1"/>
    <n v="1"/>
    <n v="1"/>
    <n v="1"/>
    <n v="1"/>
    <n v="1"/>
    <m/>
    <m/>
    <n v="0.10827529411764705"/>
    <m/>
    <n v="0"/>
    <n v="0"/>
    <m/>
    <m/>
    <n v="0.10827529411764705"/>
    <s v="No savings impacts with existing measure assumptions."/>
    <n v="0"/>
    <n v="0"/>
    <n v="0"/>
    <m/>
    <m/>
    <n v="0.10827529411764705"/>
    <m/>
    <n v="0"/>
    <n v="0"/>
    <m/>
    <m/>
    <n v="0.10827529411764705"/>
    <m/>
    <n v="0"/>
    <n v="0"/>
    <n v="0"/>
    <n v="0"/>
    <n v="0"/>
    <n v="0"/>
    <n v="0"/>
    <s v="NA"/>
    <m/>
  </r>
  <r>
    <s v="NSG"/>
    <x v="4"/>
    <s v="Multi-Family"/>
    <s v="Whole Building - Prescriptive"/>
    <x v="45"/>
    <n v="0"/>
    <s v="SF"/>
    <x v="3"/>
    <s v="5.6.2"/>
    <s v="sq ft"/>
    <n v="0"/>
    <n v="0"/>
    <n v="0"/>
    <n v="0"/>
    <s v="RS-SHL-BINS-V13-230101"/>
    <m/>
    <n v="0.13695535714285714"/>
    <n v="0.13695535714285714"/>
    <n v="0.13695535714285714"/>
    <n v="0.13695535714285714"/>
    <n v="1"/>
    <n v="1"/>
    <n v="1"/>
    <n v="1"/>
    <n v="0"/>
    <n v="0"/>
    <n v="0"/>
    <n v="0"/>
    <n v="0"/>
    <n v="1"/>
    <n v="1"/>
    <n v="1"/>
    <n v="1"/>
    <n v="1"/>
    <n v="1"/>
    <n v="1"/>
    <n v="1"/>
    <m/>
    <m/>
    <n v="0.13695535714285714"/>
    <m/>
    <n v="0"/>
    <n v="0"/>
    <m/>
    <m/>
    <n v="0.13695535714285714"/>
    <s v="No savings impacts with existing measure assumptions."/>
    <n v="0"/>
    <n v="0"/>
    <n v="0"/>
    <m/>
    <m/>
    <n v="0.13695535714285714"/>
    <m/>
    <n v="0"/>
    <n v="0"/>
    <m/>
    <m/>
    <n v="0.13695535714285714"/>
    <m/>
    <n v="0"/>
    <n v="0"/>
    <n v="0"/>
    <n v="0"/>
    <n v="0"/>
    <n v="0"/>
    <n v="0"/>
    <s v="NA"/>
    <m/>
  </r>
  <r>
    <s v="NSG"/>
    <x v="4"/>
    <s v="Multi-Family"/>
    <s v="Whole Building - Prescriptive"/>
    <x v="86"/>
    <n v="0"/>
    <s v="SF"/>
    <x v="3"/>
    <s v="5.6.3"/>
    <s v="sq ft"/>
    <n v="0"/>
    <n v="0"/>
    <n v="0"/>
    <n v="0"/>
    <s v="RS-SHL-FINS-V14-230101"/>
    <m/>
    <n v="0.10489255765199164"/>
    <n v="0.10489255765199164"/>
    <n v="0.10489255765199164"/>
    <n v="0.10489255765199164"/>
    <n v="1"/>
    <n v="1"/>
    <n v="1"/>
    <n v="1"/>
    <n v="0"/>
    <n v="0"/>
    <n v="0"/>
    <n v="0"/>
    <n v="0"/>
    <n v="1"/>
    <n v="1"/>
    <n v="1"/>
    <n v="1"/>
    <n v="1"/>
    <n v="1"/>
    <n v="1"/>
    <n v="1"/>
    <m/>
    <m/>
    <n v="0.10489255765199164"/>
    <m/>
    <n v="0"/>
    <n v="0"/>
    <m/>
    <m/>
    <n v="0.10489255765199164"/>
    <s v="No savings impacts with existing measure assumptions."/>
    <n v="0"/>
    <n v="0"/>
    <n v="0"/>
    <m/>
    <m/>
    <n v="0.10489255765199164"/>
    <m/>
    <n v="0"/>
    <n v="0"/>
    <m/>
    <m/>
    <n v="0.10489255765199164"/>
    <m/>
    <n v="0"/>
    <n v="0"/>
    <n v="0"/>
    <n v="0"/>
    <n v="0"/>
    <n v="0"/>
    <n v="0"/>
    <s v="NA"/>
    <m/>
  </r>
  <r>
    <s v="NSG"/>
    <x v="4"/>
    <s v="Multi-Family"/>
    <s v="Whole Building - Prescriptive"/>
    <x v="28"/>
    <s v="≥88% AFUE, &lt;300MBh"/>
    <s v="MF"/>
    <x v="3"/>
    <s v="4.4.10"/>
    <s v="MBH"/>
    <n v="0"/>
    <n v="0"/>
    <n v="0"/>
    <n v="0"/>
    <s v="CI-HVC-BOIL-V10-230101"/>
    <m/>
    <n v="0.79095238095238163"/>
    <n v="0.79095238095238163"/>
    <n v="0.79095238095238163"/>
    <n v="0.79095238095238163"/>
    <n v="1"/>
    <n v="1"/>
    <n v="1"/>
    <n v="1"/>
    <n v="0"/>
    <n v="0"/>
    <n v="0"/>
    <n v="0"/>
    <n v="0"/>
    <n v="1"/>
    <n v="1"/>
    <n v="1"/>
    <n v="1"/>
    <n v="1"/>
    <n v="1"/>
    <n v="1"/>
    <n v="1"/>
    <m/>
    <m/>
    <n v="0.79095238095238163"/>
    <m/>
    <n v="0"/>
    <n v="0"/>
    <m/>
    <m/>
    <n v="0.79095238095238163"/>
    <s v="n/a"/>
    <n v="0"/>
    <n v="0"/>
    <n v="0"/>
    <m/>
    <m/>
    <n v="0.79095238095238163"/>
    <m/>
    <n v="0"/>
    <n v="0"/>
    <m/>
    <m/>
    <n v="0.79095238095238163"/>
    <m/>
    <n v="0"/>
    <n v="0"/>
    <n v="0"/>
    <n v="0"/>
    <n v="0"/>
    <n v="0"/>
    <n v="0"/>
    <s v="NA"/>
    <m/>
  </r>
  <r>
    <s v="NSG"/>
    <x v="4"/>
    <s v="Multi-Family"/>
    <s v="Whole Building - Prescriptive"/>
    <x v="28"/>
    <s v="≥88% AFUE, ≥300MBh TE"/>
    <s v="MF"/>
    <x v="3"/>
    <s v="4.4.10"/>
    <s v="MBH"/>
    <n v="0"/>
    <n v="0"/>
    <n v="0"/>
    <n v="0"/>
    <s v="CI-HVC-BOIL-V10-230101"/>
    <m/>
    <n v="1.6609999999999991"/>
    <n v="1.6609999999999991"/>
    <n v="1.6609999999999991"/>
    <n v="1.6609999999999991"/>
    <n v="1"/>
    <n v="1"/>
    <n v="1"/>
    <n v="1"/>
    <n v="0"/>
    <n v="0"/>
    <n v="0"/>
    <n v="0"/>
    <n v="0"/>
    <n v="1"/>
    <n v="1"/>
    <n v="1"/>
    <n v="1"/>
    <n v="1"/>
    <n v="1"/>
    <n v="1"/>
    <n v="1"/>
    <m/>
    <m/>
    <n v="1.6609999999999991"/>
    <m/>
    <n v="0"/>
    <n v="0"/>
    <m/>
    <m/>
    <n v="1.6609999999999991"/>
    <s v="n/a"/>
    <n v="0"/>
    <n v="0"/>
    <n v="0"/>
    <m/>
    <m/>
    <n v="1.6609999999999991"/>
    <m/>
    <n v="0"/>
    <n v="0"/>
    <m/>
    <m/>
    <n v="1.6609999999999991"/>
    <m/>
    <n v="0"/>
    <n v="0"/>
    <n v="0"/>
    <n v="0"/>
    <n v="0"/>
    <n v="0"/>
    <n v="0"/>
    <s v="NA"/>
    <m/>
  </r>
  <r>
    <s v="NSG"/>
    <x v="4"/>
    <s v="Multi-Family"/>
    <s v="Whole Building - Prescriptive"/>
    <x v="34"/>
    <n v="0"/>
    <s v="MF"/>
    <x v="3"/>
    <s v="4.4.4"/>
    <s v="MBH"/>
    <n v="0"/>
    <n v="0"/>
    <n v="0"/>
    <n v="0"/>
    <s v="CI-HVC-BLRC-V04-210101"/>
    <m/>
    <n v="1.3288"/>
    <n v="1.3288"/>
    <n v="1.3288"/>
    <n v="1.3288"/>
    <n v="1"/>
    <n v="1"/>
    <n v="1"/>
    <n v="1"/>
    <n v="0"/>
    <n v="0"/>
    <n v="0"/>
    <n v="0"/>
    <n v="0"/>
    <n v="1"/>
    <n v="1"/>
    <n v="1"/>
    <n v="1"/>
    <n v="1"/>
    <n v="1"/>
    <n v="1"/>
    <n v="1"/>
    <m/>
    <m/>
    <n v="1.3288"/>
    <m/>
    <n v="0"/>
    <n v="0"/>
    <m/>
    <m/>
    <n v="1.3288"/>
    <s v="n/a"/>
    <n v="0"/>
    <n v="0"/>
    <n v="0"/>
    <m/>
    <m/>
    <n v="1.3288"/>
    <m/>
    <n v="0"/>
    <n v="0"/>
    <m/>
    <m/>
    <n v="1.3288"/>
    <m/>
    <n v="0"/>
    <n v="0"/>
    <n v="0"/>
    <n v="0"/>
    <n v="0"/>
    <n v="0"/>
    <n v="0"/>
    <s v="NA"/>
    <m/>
  </r>
  <r>
    <s v="NSG"/>
    <x v="4"/>
    <s v="Multi-Family"/>
    <s v="Whole Building - Prescriptive"/>
    <x v="65"/>
    <s v="&gt;95% AFUE"/>
    <s v="MF"/>
    <x v="3"/>
    <s v="5.3.7"/>
    <s v="each"/>
    <n v="0"/>
    <n v="0"/>
    <n v="0"/>
    <n v="0"/>
    <s v="RS-HVC-GHEF-V12-230101"/>
    <m/>
    <n v="185.63073361823353"/>
    <n v="185.63073361823353"/>
    <n v="185.63073361823353"/>
    <n v="185.63073361823353"/>
    <n v="1"/>
    <n v="1"/>
    <n v="1"/>
    <n v="1"/>
    <n v="0"/>
    <n v="0"/>
    <n v="0"/>
    <n v="0"/>
    <n v="0"/>
    <n v="1"/>
    <n v="1"/>
    <n v="1"/>
    <n v="1"/>
    <n v="1"/>
    <n v="1"/>
    <n v="1"/>
    <n v="1"/>
    <m/>
    <m/>
    <n v="185.63073361823353"/>
    <m/>
    <n v="0"/>
    <n v="0"/>
    <m/>
    <m/>
    <n v="185.63073361823353"/>
    <s v="n/a"/>
    <n v="0"/>
    <n v="0"/>
    <n v="0"/>
    <m/>
    <m/>
    <n v="185.63073361823353"/>
    <m/>
    <n v="0"/>
    <n v="0"/>
    <m/>
    <m/>
    <n v="185.63073361823353"/>
    <m/>
    <n v="0"/>
    <n v="0"/>
    <n v="0"/>
    <n v="0"/>
    <n v="0"/>
    <n v="0"/>
    <n v="0"/>
    <s v="NA"/>
    <m/>
  </r>
  <r>
    <s v="NSG"/>
    <x v="4"/>
    <s v="Multi-Family"/>
    <s v="Whole Building - Prescriptive"/>
    <x v="4"/>
    <s v="Hyd. Boiler Sm ≤1.25&quot;"/>
    <s v="MF"/>
    <x v="3"/>
    <s v="&quot;3 - Res Pipe Insulation&quot; worksheet"/>
    <s v="ft"/>
    <n v="0"/>
    <n v="0"/>
    <n v="0"/>
    <n v="0"/>
    <n v="0"/>
    <m/>
    <n v="2.0682348076923076"/>
    <n v="2.0682348076923076"/>
    <n v="2.0682348076923076"/>
    <n v="2.0682348076923076"/>
    <n v="1"/>
    <n v="1"/>
    <n v="1"/>
    <n v="1"/>
    <n v="0"/>
    <n v="0"/>
    <n v="0"/>
    <n v="0"/>
    <n v="0"/>
    <n v="1"/>
    <n v="1"/>
    <n v="1"/>
    <n v="1"/>
    <n v="1"/>
    <n v="1"/>
    <n v="1"/>
    <n v="1"/>
    <m/>
    <m/>
    <n v="2.0682348076923076"/>
    <m/>
    <n v="0"/>
    <n v="0"/>
    <m/>
    <m/>
    <n v="2.0682348076923076"/>
    <s v="n/a"/>
    <n v="0"/>
    <n v="0"/>
    <n v="0"/>
    <m/>
    <m/>
    <n v="2.0682348076923076"/>
    <m/>
    <n v="0"/>
    <n v="0"/>
    <m/>
    <m/>
    <n v="2.0682348076923076"/>
    <m/>
    <n v="0"/>
    <n v="0"/>
    <n v="0"/>
    <n v="0"/>
    <n v="0"/>
    <n v="0"/>
    <n v="0"/>
    <s v="NA"/>
    <m/>
  </r>
  <r>
    <s v="NSG"/>
    <x v="4"/>
    <s v="Multi-Family"/>
    <s v="Whole Building - Prescriptive"/>
    <x v="4"/>
    <s v="Hyd. Boiler Med 1.25-2&quot;"/>
    <s v="MF"/>
    <x v="3"/>
    <s v="&quot;3 - Res Pipe Insulation&quot; worksheet"/>
    <s v="ft"/>
    <n v="0"/>
    <n v="0"/>
    <n v="0"/>
    <n v="0"/>
    <n v="0"/>
    <m/>
    <n v="3.6034773504273505"/>
    <n v="3.6034773504273505"/>
    <n v="3.6034773504273505"/>
    <n v="3.6034773504273505"/>
    <n v="1"/>
    <n v="1"/>
    <n v="1"/>
    <n v="1"/>
    <n v="0"/>
    <n v="0"/>
    <n v="0"/>
    <n v="0"/>
    <n v="0"/>
    <n v="1"/>
    <n v="1"/>
    <n v="1"/>
    <n v="1"/>
    <n v="1"/>
    <n v="1"/>
    <n v="1"/>
    <n v="1"/>
    <m/>
    <m/>
    <n v="3.6034773504273505"/>
    <m/>
    <n v="0"/>
    <n v="0"/>
    <m/>
    <m/>
    <n v="3.6034773504273505"/>
    <s v="n/a"/>
    <n v="0"/>
    <n v="0"/>
    <n v="0"/>
    <m/>
    <m/>
    <n v="3.6034773504273505"/>
    <m/>
    <n v="0"/>
    <n v="0"/>
    <m/>
    <m/>
    <n v="3.6034773504273505"/>
    <m/>
    <n v="0"/>
    <n v="0"/>
    <n v="0"/>
    <n v="0"/>
    <n v="0"/>
    <n v="0"/>
    <n v="0"/>
    <s v="NA"/>
    <m/>
  </r>
  <r>
    <s v="NSG"/>
    <x v="4"/>
    <s v="Multi-Family"/>
    <s v="Whole Building - Prescriptive"/>
    <x v="4"/>
    <s v="Hyd. Boiler Large ≥2&quot;"/>
    <s v="MF"/>
    <x v="3"/>
    <s v="&quot;3 - Res Pipe Insulation&quot; worksheet"/>
    <s v="ft"/>
    <n v="0"/>
    <n v="0"/>
    <n v="0"/>
    <n v="0"/>
    <n v="0"/>
    <m/>
    <n v="6.1867824786324785"/>
    <n v="6.1867824786324785"/>
    <n v="6.1867824786324785"/>
    <n v="6.1867824786324785"/>
    <n v="1"/>
    <n v="1"/>
    <n v="1"/>
    <n v="1"/>
    <n v="0"/>
    <n v="0"/>
    <n v="0"/>
    <n v="0"/>
    <n v="0"/>
    <n v="1"/>
    <n v="1"/>
    <n v="1"/>
    <n v="1"/>
    <n v="1"/>
    <n v="1"/>
    <n v="1"/>
    <n v="1"/>
    <m/>
    <m/>
    <n v="6.1867824786324785"/>
    <m/>
    <n v="0"/>
    <n v="0"/>
    <m/>
    <m/>
    <n v="6.1867824786324785"/>
    <s v="n/a"/>
    <n v="0"/>
    <n v="0"/>
    <n v="0"/>
    <m/>
    <m/>
    <n v="6.1867824786324785"/>
    <m/>
    <n v="0"/>
    <n v="0"/>
    <m/>
    <m/>
    <n v="6.1867824786324785"/>
    <m/>
    <n v="0"/>
    <n v="0"/>
    <n v="0"/>
    <n v="0"/>
    <n v="0"/>
    <n v="0"/>
    <n v="0"/>
    <s v="NA"/>
    <m/>
  </r>
  <r>
    <s v="NSG"/>
    <x v="4"/>
    <s v="Multi-Family"/>
    <s v="Whole Building - Prescriptive"/>
    <x v="4"/>
    <s v="HW Large &gt;4&quot;"/>
    <s v="MF/CI/SMB"/>
    <x v="3"/>
    <s v="&quot;3 - Res Pipe Insulation&quot; worksheet"/>
    <s v="ft"/>
    <n v="0"/>
    <n v="0"/>
    <n v="0"/>
    <n v="0"/>
    <n v="0"/>
    <m/>
    <n v="9.0407613085908682"/>
    <n v="9.0407613085908682"/>
    <n v="9.0407613085908682"/>
    <n v="9.0407613085908682"/>
    <n v="1"/>
    <n v="1"/>
    <n v="1"/>
    <n v="1"/>
    <n v="0"/>
    <n v="0"/>
    <n v="0"/>
    <n v="0"/>
    <n v="0"/>
    <n v="1"/>
    <n v="1"/>
    <n v="1"/>
    <n v="1"/>
    <n v="1"/>
    <n v="1"/>
    <n v="1"/>
    <n v="1"/>
    <m/>
    <m/>
    <n v="9.0407613085908682"/>
    <m/>
    <n v="0"/>
    <n v="0"/>
    <m/>
    <m/>
    <n v="9.0407613085908682"/>
    <s v="n/a"/>
    <n v="0"/>
    <n v="0"/>
    <n v="0"/>
    <m/>
    <m/>
    <n v="9.0407613085908682"/>
    <m/>
    <n v="0"/>
    <n v="0"/>
    <m/>
    <m/>
    <n v="9.0407613085908682"/>
    <m/>
    <n v="0"/>
    <n v="0"/>
    <n v="0"/>
    <n v="0"/>
    <n v="0"/>
    <n v="0"/>
    <n v="0"/>
    <s v="NA"/>
    <m/>
  </r>
  <r>
    <s v="NSG"/>
    <x v="4"/>
    <s v="Multi-Family"/>
    <s v="Whole Building - Prescriptive"/>
    <x v="4"/>
    <s v="Steam - Small 1&quot; to 2&quot;"/>
    <s v="MF"/>
    <x v="3"/>
    <s v="&quot;3 - Res Pipe Insulation&quot; worksheet"/>
    <s v="ft"/>
    <n v="0"/>
    <n v="0"/>
    <n v="0"/>
    <n v="0"/>
    <n v="0"/>
    <m/>
    <n v="3.967097058288509"/>
    <n v="3.967097058288509"/>
    <n v="3.967097058288509"/>
    <n v="3.967097058288509"/>
    <n v="1"/>
    <n v="1"/>
    <n v="1"/>
    <n v="1"/>
    <n v="0"/>
    <n v="0"/>
    <n v="0"/>
    <n v="0"/>
    <n v="0"/>
    <n v="1"/>
    <n v="1"/>
    <n v="1"/>
    <n v="1"/>
    <n v="1"/>
    <n v="1"/>
    <n v="1"/>
    <n v="1"/>
    <m/>
    <m/>
    <n v="3.967097058288509"/>
    <m/>
    <n v="0"/>
    <n v="0"/>
    <m/>
    <m/>
    <n v="3.967097058288509"/>
    <s v="n/a"/>
    <n v="0"/>
    <n v="0"/>
    <n v="0"/>
    <m/>
    <m/>
    <n v="3.967097058288509"/>
    <m/>
    <n v="0"/>
    <n v="0"/>
    <m/>
    <m/>
    <n v="3.967097058288509"/>
    <m/>
    <n v="0"/>
    <n v="0"/>
    <n v="0"/>
    <n v="0"/>
    <n v="0"/>
    <n v="0"/>
    <n v="0"/>
    <s v="NA"/>
    <m/>
  </r>
  <r>
    <s v="NSG"/>
    <x v="4"/>
    <s v="Multi-Family"/>
    <s v="Whole Building - Prescriptive"/>
    <x v="4"/>
    <s v="Steam - Med 2.1&quot; to 5&quot;"/>
    <s v="MF"/>
    <x v="3"/>
    <s v="&quot;3 - Res Pipe Insulation&quot; worksheet"/>
    <s v="ft"/>
    <n v="0"/>
    <n v="0"/>
    <n v="0"/>
    <n v="0"/>
    <n v="0"/>
    <m/>
    <n v="15.954497207020932"/>
    <n v="15.954497207020932"/>
    <n v="15.954497207020932"/>
    <n v="15.954497207020932"/>
    <n v="1"/>
    <n v="1"/>
    <n v="1"/>
    <n v="1"/>
    <n v="0"/>
    <n v="0"/>
    <n v="0"/>
    <n v="0"/>
    <n v="0"/>
    <n v="1"/>
    <n v="1"/>
    <n v="1"/>
    <n v="1"/>
    <n v="1"/>
    <n v="1"/>
    <n v="1"/>
    <n v="1"/>
    <m/>
    <m/>
    <n v="15.954497207020932"/>
    <m/>
    <n v="0"/>
    <n v="0"/>
    <m/>
    <m/>
    <n v="15.954497207020932"/>
    <s v="n/a"/>
    <n v="0"/>
    <n v="0"/>
    <n v="0"/>
    <m/>
    <m/>
    <n v="15.954497207020932"/>
    <m/>
    <n v="0"/>
    <n v="0"/>
    <m/>
    <m/>
    <n v="15.954497207020932"/>
    <m/>
    <n v="0"/>
    <n v="0"/>
    <n v="0"/>
    <n v="0"/>
    <n v="0"/>
    <n v="0"/>
    <n v="0"/>
    <s v="NA"/>
    <m/>
  </r>
  <r>
    <s v="NSG"/>
    <x v="4"/>
    <s v="Multi-Family"/>
    <s v="Whole Building - Prescriptive"/>
    <x v="4"/>
    <s v="Steam - Large 5.1&quot; to 8&quot;"/>
    <s v="MF"/>
    <x v="3"/>
    <s v="&quot;3 - Res Pipe Insulation&quot; worksheet"/>
    <s v="ft"/>
    <n v="0"/>
    <n v="0"/>
    <n v="0"/>
    <n v="0"/>
    <n v="0"/>
    <m/>
    <n v="31.133964854103496"/>
    <n v="31.133964854103496"/>
    <n v="31.133964854103496"/>
    <n v="31.133964854103496"/>
    <n v="1"/>
    <n v="1"/>
    <n v="1"/>
    <n v="1"/>
    <n v="0"/>
    <n v="0"/>
    <n v="0"/>
    <n v="0"/>
    <n v="0"/>
    <n v="1"/>
    <n v="1"/>
    <n v="1"/>
    <n v="1"/>
    <n v="1"/>
    <n v="1"/>
    <n v="1"/>
    <n v="1"/>
    <m/>
    <m/>
    <n v="31.133964854103496"/>
    <m/>
    <n v="0"/>
    <n v="0"/>
    <m/>
    <m/>
    <n v="31.133964854103496"/>
    <s v="n/a"/>
    <n v="0"/>
    <n v="0"/>
    <n v="0"/>
    <m/>
    <m/>
    <n v="31.133964854103496"/>
    <m/>
    <n v="0"/>
    <n v="0"/>
    <m/>
    <m/>
    <n v="31.133964854103496"/>
    <m/>
    <n v="0"/>
    <n v="0"/>
    <n v="0"/>
    <n v="0"/>
    <n v="0"/>
    <n v="0"/>
    <n v="0"/>
    <s v="NA"/>
    <m/>
  </r>
  <r>
    <s v="NSG"/>
    <x v="4"/>
    <s v="Multi-Family"/>
    <s v="Whole Building - Prescriptive"/>
    <x v="4"/>
    <s v="Steam - X-Large &gt;8&quot;"/>
    <s v="MF"/>
    <x v="3"/>
    <s v="&quot;3 - Res Pipe Insulation&quot; worksheet"/>
    <s v="ft"/>
    <n v="0"/>
    <n v="0"/>
    <n v="0"/>
    <n v="0"/>
    <n v="0"/>
    <m/>
    <n v="44.814401171573145"/>
    <n v="44.814401171573145"/>
    <n v="44.814401171573145"/>
    <n v="44.814401171573145"/>
    <n v="1"/>
    <n v="1"/>
    <n v="1"/>
    <n v="1"/>
    <n v="0"/>
    <n v="0"/>
    <n v="0"/>
    <n v="0"/>
    <n v="0"/>
    <n v="1"/>
    <n v="1"/>
    <n v="1"/>
    <n v="1"/>
    <n v="1"/>
    <n v="1"/>
    <n v="1"/>
    <n v="1"/>
    <m/>
    <m/>
    <n v="44.814401171573145"/>
    <m/>
    <n v="0"/>
    <n v="0"/>
    <m/>
    <m/>
    <n v="44.814401171573145"/>
    <s v="n/a"/>
    <n v="0"/>
    <n v="0"/>
    <n v="0"/>
    <m/>
    <m/>
    <n v="44.814401171573145"/>
    <m/>
    <n v="0"/>
    <n v="0"/>
    <m/>
    <m/>
    <n v="44.814401171573145"/>
    <m/>
    <n v="0"/>
    <n v="0"/>
    <n v="0"/>
    <n v="0"/>
    <n v="0"/>
    <n v="0"/>
    <n v="0"/>
    <s v="NA"/>
    <m/>
  </r>
  <r>
    <s v="NSG"/>
    <x v="4"/>
    <s v="Multi-Family"/>
    <s v="Whole Building - Prescriptive"/>
    <x v="4"/>
    <s v="Steam Small Fitting"/>
    <s v="MF"/>
    <x v="3"/>
    <s v="&quot;3 - Res Pipe Insulation&quot; worksheet"/>
    <s v="each"/>
    <n v="0"/>
    <n v="0"/>
    <n v="0"/>
    <n v="0"/>
    <n v="0"/>
    <m/>
    <n v="1.9537953012070903"/>
    <n v="1.9537953012070903"/>
    <n v="1.9537953012070903"/>
    <n v="1.9537953012070903"/>
    <n v="1"/>
    <n v="1"/>
    <n v="1"/>
    <n v="1"/>
    <n v="0"/>
    <n v="0"/>
    <n v="0"/>
    <n v="0"/>
    <n v="0"/>
    <n v="1"/>
    <n v="1"/>
    <n v="1"/>
    <n v="1"/>
    <n v="1"/>
    <n v="1"/>
    <n v="1"/>
    <n v="1"/>
    <m/>
    <m/>
    <n v="1.9537953012070903"/>
    <m/>
    <n v="0"/>
    <n v="0"/>
    <m/>
    <m/>
    <n v="1.9537953012070903"/>
    <s v="n/a"/>
    <n v="0"/>
    <n v="0"/>
    <n v="0"/>
    <m/>
    <m/>
    <n v="1.9537953012070903"/>
    <m/>
    <n v="0"/>
    <n v="0"/>
    <m/>
    <m/>
    <n v="1.9537953012070903"/>
    <m/>
    <n v="0"/>
    <n v="0"/>
    <n v="0"/>
    <n v="0"/>
    <n v="0"/>
    <n v="0"/>
    <n v="0"/>
    <s v="NA"/>
    <m/>
  </r>
  <r>
    <s v="NSG"/>
    <x v="4"/>
    <s v="Multi-Family"/>
    <s v="Whole Building - Prescriptive"/>
    <x v="4"/>
    <s v="Steam X-Large Fitting"/>
    <s v="MF"/>
    <x v="3"/>
    <s v="&quot;3 - Res Pipe Insulation&quot; worksheet"/>
    <s v="each"/>
    <n v="0"/>
    <n v="0"/>
    <n v="0"/>
    <n v="0"/>
    <n v="0"/>
    <m/>
    <n v="113.8883886472908"/>
    <n v="113.8883886472908"/>
    <n v="113.8883886472908"/>
    <n v="113.8883886472908"/>
    <n v="1"/>
    <n v="1"/>
    <n v="1"/>
    <n v="1"/>
    <n v="0"/>
    <n v="0"/>
    <n v="0"/>
    <n v="0"/>
    <n v="0"/>
    <n v="1"/>
    <n v="1"/>
    <n v="1"/>
    <n v="1"/>
    <n v="1"/>
    <n v="1"/>
    <n v="1"/>
    <n v="1"/>
    <m/>
    <m/>
    <n v="113.8883886472908"/>
    <m/>
    <n v="0"/>
    <n v="0"/>
    <m/>
    <m/>
    <n v="113.8883886472908"/>
    <s v="n/a"/>
    <n v="0"/>
    <n v="0"/>
    <n v="0"/>
    <m/>
    <m/>
    <n v="113.8883886472908"/>
    <m/>
    <n v="0"/>
    <n v="0"/>
    <m/>
    <m/>
    <n v="113.8883886472908"/>
    <m/>
    <n v="0"/>
    <n v="0"/>
    <n v="0"/>
    <n v="0"/>
    <n v="0"/>
    <n v="0"/>
    <n v="0"/>
    <s v="NA"/>
    <m/>
  </r>
  <r>
    <s v="NSG"/>
    <x v="4"/>
    <s v="Multi-Family"/>
    <s v="Whole Building - Prescriptive"/>
    <x v="4"/>
    <s v="Steam Small Valve"/>
    <s v="MF"/>
    <x v="3"/>
    <s v="&quot;3 - Res Pipe Insulation&quot; worksheet"/>
    <s v="each"/>
    <n v="0"/>
    <n v="0"/>
    <n v="0"/>
    <n v="0"/>
    <n v="0"/>
    <m/>
    <n v="11.028529822042056"/>
    <n v="11.028529822042056"/>
    <n v="11.028529822042056"/>
    <n v="11.028529822042056"/>
    <n v="1"/>
    <n v="1"/>
    <n v="1"/>
    <n v="1"/>
    <n v="0"/>
    <n v="0"/>
    <n v="0"/>
    <n v="0"/>
    <n v="0"/>
    <n v="1"/>
    <n v="1"/>
    <n v="1"/>
    <n v="1"/>
    <n v="1"/>
    <n v="1"/>
    <n v="1"/>
    <n v="1"/>
    <m/>
    <m/>
    <n v="11.028529822042056"/>
    <m/>
    <n v="0"/>
    <n v="0"/>
    <m/>
    <m/>
    <n v="11.028529822042056"/>
    <s v="n/a"/>
    <n v="0"/>
    <n v="0"/>
    <n v="0"/>
    <m/>
    <m/>
    <n v="11.028529822042056"/>
    <m/>
    <n v="0"/>
    <n v="0"/>
    <m/>
    <m/>
    <n v="11.028529822042056"/>
    <m/>
    <n v="0"/>
    <n v="0"/>
    <n v="0"/>
    <n v="0"/>
    <n v="0"/>
    <n v="0"/>
    <n v="0"/>
    <s v="NA"/>
    <m/>
  </r>
  <r>
    <s v="NSG"/>
    <x v="4"/>
    <s v="Multi-Family"/>
    <s v="Whole Building - Prescriptive"/>
    <x v="4"/>
    <s v="Steam Med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s v="Multi-Family"/>
    <s v="Whole Building - Prescriptive"/>
    <x v="4"/>
    <s v="Steam Large Valve"/>
    <s v="MF"/>
    <x v="3"/>
    <s v="&quot;3 - Res Pipe Insulation&quot; worksheet"/>
    <s v="each"/>
    <n v="0"/>
    <n v="0"/>
    <n v="0"/>
    <n v="0"/>
    <n v="0"/>
    <m/>
    <n v="133.90978522057964"/>
    <n v="133.90978522057964"/>
    <n v="133.90978522057964"/>
    <n v="133.90978522057964"/>
    <n v="1"/>
    <n v="1"/>
    <n v="1"/>
    <n v="1"/>
    <n v="0"/>
    <n v="0"/>
    <n v="0"/>
    <n v="0"/>
    <n v="0"/>
    <n v="1"/>
    <n v="1"/>
    <n v="1"/>
    <n v="1"/>
    <n v="1"/>
    <n v="1"/>
    <n v="1"/>
    <n v="1"/>
    <m/>
    <m/>
    <n v="133.90978522057964"/>
    <m/>
    <n v="0"/>
    <n v="0"/>
    <m/>
    <m/>
    <n v="133.90978522057964"/>
    <s v="n/a"/>
    <n v="0"/>
    <n v="0"/>
    <n v="0"/>
    <m/>
    <m/>
    <n v="133.90978522057964"/>
    <m/>
    <n v="0"/>
    <n v="0"/>
    <m/>
    <m/>
    <n v="133.90978522057964"/>
    <m/>
    <n v="0"/>
    <n v="0"/>
    <n v="0"/>
    <n v="0"/>
    <n v="0"/>
    <n v="0"/>
    <n v="0"/>
    <s v="NA"/>
    <m/>
  </r>
  <r>
    <s v="NSG"/>
    <x v="4"/>
    <s v="Multi-Family"/>
    <s v="Whole Building - Prescriptive"/>
    <x v="4"/>
    <s v="Steam X-Large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s v="Multi-Family"/>
    <s v="Whole Building - Prescriptive"/>
    <x v="35"/>
    <s v=" &gt;=1500MBH, &gt;=82% TE"/>
    <s v="MF"/>
    <x v="3"/>
    <s v="4.4.10"/>
    <s v="MBH"/>
    <n v="0"/>
    <n v="0"/>
    <n v="0"/>
    <n v="0"/>
    <s v="CI-HVC-BOIL-V10-230101"/>
    <m/>
    <n v="0.85179487179487012"/>
    <n v="0.85179487179487012"/>
    <n v="0.85179487179487012"/>
    <n v="0.85179487179487012"/>
    <n v="1"/>
    <n v="1"/>
    <n v="1"/>
    <n v="1"/>
    <n v="0"/>
    <n v="0"/>
    <n v="0"/>
    <n v="0"/>
    <n v="0"/>
    <n v="1"/>
    <n v="1"/>
    <n v="1"/>
    <n v="1"/>
    <n v="1"/>
    <n v="1"/>
    <n v="1"/>
    <n v="1"/>
    <m/>
    <m/>
    <n v="0.85179487179487012"/>
    <m/>
    <n v="0"/>
    <n v="0"/>
    <m/>
    <m/>
    <n v="0.63075949367088424"/>
    <s v="n/a"/>
    <n v="0"/>
    <n v="0"/>
    <n v="0"/>
    <m/>
    <m/>
    <n v="0.63075949367088424"/>
    <m/>
    <n v="0"/>
    <n v="0"/>
    <m/>
    <m/>
    <n v="0.63075949367088424"/>
    <m/>
    <n v="0"/>
    <n v="0"/>
    <n v="0"/>
    <n v="0"/>
    <n v="0"/>
    <n v="0"/>
    <n v="0"/>
    <s v="NA"/>
    <m/>
  </r>
  <r>
    <s v="NSG"/>
    <x v="4"/>
    <s v="Multi-Family"/>
    <s v="Whole Building - Prescriptive"/>
    <x v="41"/>
    <s v="Test"/>
    <s v="MF"/>
    <x v="3"/>
    <n v="0"/>
    <s v="each"/>
    <n v="0"/>
    <n v="0"/>
    <n v="0"/>
    <n v="0"/>
    <n v="0"/>
    <m/>
    <n v="0"/>
    <n v="0"/>
    <n v="0"/>
    <n v="0"/>
    <n v="1"/>
    <n v="1"/>
    <n v="1"/>
    <n v="1"/>
    <n v="0"/>
    <n v="0"/>
    <n v="0"/>
    <n v="0"/>
    <n v="0"/>
    <n v="1"/>
    <n v="1"/>
    <n v="1"/>
    <n v="1"/>
    <n v="1"/>
    <n v="1"/>
    <n v="1"/>
    <n v="1"/>
    <m/>
    <m/>
    <n v="0"/>
    <m/>
    <n v="0"/>
    <n v="0"/>
    <m/>
    <m/>
    <n v="0"/>
    <s v="n/a"/>
    <n v="0"/>
    <n v="0"/>
    <n v="0"/>
    <m/>
    <m/>
    <n v="0"/>
    <m/>
    <n v="0"/>
    <n v="0"/>
    <m/>
    <m/>
    <n v="0"/>
    <m/>
    <n v="0"/>
    <n v="0"/>
    <n v="0"/>
    <n v="0"/>
    <n v="0"/>
    <n v="0"/>
    <n v="0"/>
    <s v="NA"/>
    <m/>
  </r>
  <r>
    <s v="NSG"/>
    <x v="4"/>
    <s v="Multi-Family"/>
    <s v="Whole Building - Prescriptive"/>
    <x v="46"/>
    <n v="0"/>
    <s v="MF"/>
    <x v="3"/>
    <s v="4.3.8"/>
    <s v="living unit"/>
    <n v="0"/>
    <n v="0"/>
    <n v="0"/>
    <n v="0"/>
    <s v="CI-HWE-CDHW-V04-230101"/>
    <m/>
    <n v="62.687100553999997"/>
    <n v="62.687100553999997"/>
    <n v="62.687100553999997"/>
    <n v="62.687100553999997"/>
    <n v="1"/>
    <n v="1"/>
    <n v="1"/>
    <n v="1"/>
    <n v="0"/>
    <n v="0"/>
    <n v="0"/>
    <n v="0"/>
    <n v="0"/>
    <n v="1"/>
    <n v="1"/>
    <n v="1"/>
    <n v="1"/>
    <n v="1"/>
    <n v="1"/>
    <n v="1"/>
    <n v="1"/>
    <m/>
    <m/>
    <n v="62.687100553999997"/>
    <m/>
    <n v="0"/>
    <n v="0"/>
    <m/>
    <m/>
    <n v="58.563635988000001"/>
    <s v="Updated inputs to new multifamily assumptions"/>
    <n v="0"/>
    <n v="0"/>
    <n v="0"/>
    <m/>
    <m/>
    <n v="58.563635988000001"/>
    <m/>
    <n v="0"/>
    <n v="0"/>
    <m/>
    <m/>
    <n v="58.563635988000001"/>
    <m/>
    <n v="0"/>
    <n v="0"/>
    <n v="0"/>
    <n v="0"/>
    <n v="0"/>
    <n v="0"/>
    <n v="0"/>
    <s v="NA"/>
    <m/>
  </r>
  <r>
    <s v="NSG"/>
    <x v="4"/>
    <s v="Multi-Family"/>
    <s v="Whole Building - Prescriptive"/>
    <x v="12"/>
    <s v="Central/Indirect MF ≥88% TE"/>
    <s v="MF"/>
    <x v="3"/>
    <s v="4.3.7"/>
    <s v="living unit"/>
    <n v="0"/>
    <n v="0"/>
    <n v="0"/>
    <n v="0"/>
    <s v="CI-HWE-MDHW-V06-230101"/>
    <m/>
    <n v="453.64159574999974"/>
    <n v="453.64159574999974"/>
    <n v="453.64159574999974"/>
    <n v="453.64159574999974"/>
    <n v="1"/>
    <n v="1"/>
    <n v="1"/>
    <n v="1"/>
    <n v="0"/>
    <n v="0"/>
    <n v="0"/>
    <n v="0"/>
    <n v="0"/>
    <n v="1"/>
    <n v="1"/>
    <n v="1"/>
    <n v="1"/>
    <n v="1"/>
    <n v="1"/>
    <n v="1"/>
    <n v="1"/>
    <m/>
    <m/>
    <n v="474.72634597499967"/>
    <m/>
    <n v="0"/>
    <n v="0"/>
    <m/>
    <m/>
    <n v="474.72634597499967"/>
    <s v="n/a"/>
    <n v="0"/>
    <n v="0"/>
    <n v="0"/>
    <m/>
    <m/>
    <n v="474.72634597499967"/>
    <m/>
    <n v="0"/>
    <n v="0"/>
    <m/>
    <m/>
    <n v="474.72634597499967"/>
    <m/>
    <n v="0"/>
    <n v="0"/>
    <n v="0"/>
    <n v="0"/>
    <n v="0"/>
    <n v="0"/>
    <n v="0"/>
    <s v="NA"/>
    <m/>
  </r>
  <r>
    <s v="NSG"/>
    <x v="4"/>
    <s v="Multi-Family"/>
    <s v="Whole Building - Prescriptive"/>
    <x v="12"/>
    <s v="Storage 0.67 EF"/>
    <s v="MF"/>
    <x v="3"/>
    <s v="4.3.1"/>
    <s v="each"/>
    <n v="0"/>
    <n v="0"/>
    <n v="0"/>
    <n v="0"/>
    <s v="CI-HWE-STWH-V09-230101"/>
    <m/>
    <n v="35.435517834876244"/>
    <n v="35.435517834876244"/>
    <n v="35.435517834876244"/>
    <n v="35.435517834876244"/>
    <n v="1"/>
    <n v="1"/>
    <n v="1"/>
    <n v="1"/>
    <n v="0"/>
    <n v="0"/>
    <n v="0"/>
    <n v="0"/>
    <n v="0"/>
    <n v="1"/>
    <n v="1"/>
    <n v="1"/>
    <n v="1"/>
    <n v="1"/>
    <n v="1"/>
    <n v="1"/>
    <n v="1"/>
    <m/>
    <m/>
    <n v="37.082520776497255"/>
    <m/>
    <n v="0"/>
    <n v="0"/>
    <m/>
    <m/>
    <n v="36.883152385225763"/>
    <s v="n/a"/>
    <n v="0"/>
    <n v="0"/>
    <n v="0"/>
    <m/>
    <m/>
    <n v="36.883152385225763"/>
    <m/>
    <n v="0"/>
    <n v="0"/>
    <m/>
    <m/>
    <n v="36.883152385225763"/>
    <m/>
    <n v="0"/>
    <n v="0"/>
    <n v="0"/>
    <n v="0"/>
    <n v="0"/>
    <n v="0"/>
    <n v="0"/>
    <s v="NA"/>
    <m/>
  </r>
  <r>
    <s v="NSG"/>
    <x v="4"/>
    <s v="Multi-Family"/>
    <s v="Whole Building - Prescriptive"/>
    <x v="12"/>
    <s v="Tankless"/>
    <s v="MF"/>
    <x v="3"/>
    <s v="5.4.2"/>
    <s v="each"/>
    <n v="0"/>
    <n v="0"/>
    <n v="0"/>
    <n v="0"/>
    <s v="RS-HWE-GWHT-V10-220101"/>
    <m/>
    <n v="52.561472982403039"/>
    <n v="52.561472982403039"/>
    <n v="52.561472982403039"/>
    <n v="52.561472982403039"/>
    <n v="1"/>
    <n v="1"/>
    <n v="1"/>
    <n v="1"/>
    <n v="0"/>
    <n v="0"/>
    <n v="0"/>
    <n v="0"/>
    <n v="0"/>
    <n v="1"/>
    <n v="1"/>
    <n v="1"/>
    <n v="1"/>
    <n v="1"/>
    <n v="1"/>
    <n v="1"/>
    <n v="1"/>
    <m/>
    <m/>
    <n v="55.004471022430224"/>
    <m/>
    <n v="0"/>
    <n v="0"/>
    <m/>
    <m/>
    <n v="55.004471022430224"/>
    <s v="n/a"/>
    <n v="0"/>
    <n v="0"/>
    <n v="0"/>
    <m/>
    <m/>
    <n v="55.004471022430224"/>
    <m/>
    <n v="0"/>
    <n v="0"/>
    <m/>
    <m/>
    <n v="55.004471022430224"/>
    <m/>
    <n v="0"/>
    <n v="0"/>
    <n v="0"/>
    <n v="0"/>
    <n v="0"/>
    <n v="0"/>
    <n v="0"/>
    <s v="NA"/>
    <m/>
  </r>
  <r>
    <s v="NSG"/>
    <x v="4"/>
    <s v="Multi-Family"/>
    <s v="Whole Building - Prescriptive"/>
    <x v="75"/>
    <n v="0"/>
    <s v="CI"/>
    <x v="3"/>
    <s v="4.4.27"/>
    <s v="CFM"/>
    <n v="0"/>
    <n v="0"/>
    <n v="0"/>
    <n v="0"/>
    <s v="CI-HVC-ERVE-V05-230101"/>
    <m/>
    <n v="0.47508182047227931"/>
    <n v="0.47508182047227931"/>
    <n v="0.47508182047227931"/>
    <n v="0.47508182047227931"/>
    <n v="1"/>
    <n v="1"/>
    <n v="1"/>
    <n v="1"/>
    <n v="0"/>
    <n v="0"/>
    <n v="0"/>
    <n v="0"/>
    <n v="0"/>
    <n v="1"/>
    <n v="1"/>
    <n v="1"/>
    <n v="1"/>
    <n v="1"/>
    <n v="1"/>
    <n v="1"/>
    <n v="1"/>
    <m/>
    <m/>
    <n v="0.47508182047227931"/>
    <m/>
    <n v="0"/>
    <n v="0"/>
    <m/>
    <m/>
    <n v="0.47508182047227931"/>
    <s v="n/a"/>
    <n v="0"/>
    <n v="0"/>
    <n v="0"/>
    <m/>
    <m/>
    <n v="0.47508182047227931"/>
    <m/>
    <n v="0"/>
    <n v="0"/>
    <m/>
    <m/>
    <n v="0.47508182047227931"/>
    <m/>
    <n v="0"/>
    <n v="0"/>
    <n v="0"/>
    <n v="0"/>
    <n v="0"/>
    <n v="0"/>
    <n v="0"/>
    <s v="NA"/>
    <m/>
  </r>
  <r>
    <s v="NSG"/>
    <x v="4"/>
    <s v="Multi-Family"/>
    <s v="Whole Building - Public Housing"/>
    <x v="4"/>
    <s v="Boiler"/>
    <s v="MF"/>
    <x v="3"/>
    <s v="5.3.2"/>
    <s v="each"/>
    <n v="0"/>
    <n v="0"/>
    <n v="0"/>
    <n v="0"/>
    <s v="RS-HWE-PINS-V06-230101"/>
    <m/>
    <n v="0.63522312995661756"/>
    <n v="0.63522312995661756"/>
    <n v="0.63522312995661756"/>
    <n v="0.63522312995661756"/>
    <n v="1"/>
    <n v="1"/>
    <n v="1"/>
    <n v="1"/>
    <n v="0"/>
    <n v="0"/>
    <n v="0"/>
    <n v="0"/>
    <n v="0"/>
    <n v="1"/>
    <n v="1"/>
    <n v="1"/>
    <n v="1"/>
    <n v="1"/>
    <n v="1"/>
    <n v="1"/>
    <n v="1"/>
    <m/>
    <m/>
    <n v="1.0111854839419214"/>
    <m/>
    <n v="0"/>
    <n v="0"/>
    <m/>
    <m/>
    <n v="1.0111854839419214"/>
    <s v="n/a"/>
    <n v="0"/>
    <n v="0"/>
    <n v="0"/>
    <m/>
    <m/>
    <n v="1.0111854839419214"/>
    <m/>
    <n v="0"/>
    <n v="0"/>
    <m/>
    <m/>
    <n v="1.0111854839419214"/>
    <m/>
    <n v="0"/>
    <n v="0"/>
    <n v="0"/>
    <n v="0"/>
    <n v="0"/>
    <n v="0"/>
    <n v="0"/>
    <s v="NA"/>
    <m/>
  </r>
  <r>
    <s v="NSG"/>
    <x v="4"/>
    <s v="Multi-Family"/>
    <s v="Whole Building - Public Housing"/>
    <x v="6"/>
    <s v="Boiler (DI)"/>
    <s v="MF"/>
    <x v="3"/>
    <s v="5.3.11"/>
    <s v="each"/>
    <n v="0"/>
    <n v="0"/>
    <n v="0"/>
    <n v="0"/>
    <s v="RS-HVC-ADTH-V08-230101"/>
    <m/>
    <n v="59.845499999999994"/>
    <n v="59.845499999999994"/>
    <n v="59.845499999999994"/>
    <n v="59.845499999999994"/>
    <n v="1"/>
    <n v="1"/>
    <n v="1"/>
    <n v="1"/>
    <n v="0"/>
    <n v="0"/>
    <n v="0"/>
    <n v="0"/>
    <n v="0"/>
    <n v="1"/>
    <n v="1"/>
    <n v="1"/>
    <n v="1"/>
    <n v="1"/>
    <n v="1"/>
    <n v="1"/>
    <n v="1"/>
    <m/>
    <m/>
    <n v="59.845499999999994"/>
    <m/>
    <n v="0"/>
    <n v="0"/>
    <m/>
    <m/>
    <n v="59.845499999999994"/>
    <s v="n/a"/>
    <n v="0"/>
    <n v="0"/>
    <n v="0"/>
    <m/>
    <m/>
    <n v="59.845499999999994"/>
    <m/>
    <n v="0"/>
    <n v="0"/>
    <m/>
    <m/>
    <n v="59.845499999999994"/>
    <m/>
    <n v="0"/>
    <n v="0"/>
    <n v="0"/>
    <n v="0"/>
    <n v="0"/>
    <n v="0"/>
    <n v="0"/>
    <s v="NA"/>
    <m/>
  </r>
  <r>
    <s v="NSG"/>
    <x v="4"/>
    <s v="Multi-Family"/>
    <s v="Whole Building - Public Housing"/>
    <x v="3"/>
    <s v="Furnace (Replace Manual)"/>
    <s v="MF"/>
    <x v="3"/>
    <s v="5.3.16"/>
    <s v="each"/>
    <n v="0"/>
    <n v="0"/>
    <n v="0"/>
    <n v="0"/>
    <s v="RS-HVC-ADTH-V08-230101"/>
    <m/>
    <n v="67.938000000000002"/>
    <n v="67.938000000000002"/>
    <n v="67.938000000000002"/>
    <n v="67.938000000000002"/>
    <n v="1"/>
    <n v="1"/>
    <n v="1"/>
    <n v="1"/>
    <n v="0"/>
    <n v="0"/>
    <n v="0"/>
    <n v="0"/>
    <n v="0"/>
    <n v="1"/>
    <n v="1"/>
    <n v="1"/>
    <n v="1"/>
    <n v="1"/>
    <n v="1"/>
    <n v="1"/>
    <n v="1"/>
    <m/>
    <m/>
    <n v="66.631500000000003"/>
    <m/>
    <n v="0"/>
    <n v="0"/>
    <m/>
    <m/>
    <n v="66.631500000000003"/>
    <s v="n/a"/>
    <n v="0"/>
    <n v="0"/>
    <n v="0"/>
    <m/>
    <m/>
    <n v="66.631500000000003"/>
    <m/>
    <n v="0"/>
    <n v="0"/>
    <m/>
    <m/>
    <n v="66.631500000000003"/>
    <m/>
    <n v="0"/>
    <n v="0"/>
    <n v="0"/>
    <n v="0"/>
    <n v="0"/>
    <n v="0"/>
    <n v="0"/>
    <s v="NA"/>
    <m/>
  </r>
  <r>
    <s v="NSG"/>
    <x v="4"/>
    <s v="Multi-Family"/>
    <s v="Whole Building - Public Housing"/>
    <x v="3"/>
    <s v="Boiler (Replace Manual)"/>
    <s v="MF"/>
    <x v="3"/>
    <s v="5.3.16"/>
    <s v="each"/>
    <n v="0"/>
    <n v="0"/>
    <n v="0"/>
    <n v="0"/>
    <s v="RS-HVC-ADTH-V08-230101"/>
    <m/>
    <n v="100.386"/>
    <n v="100.386"/>
    <n v="100.386"/>
    <n v="100.386"/>
    <n v="1"/>
    <n v="1"/>
    <n v="1"/>
    <n v="1"/>
    <n v="0"/>
    <n v="0"/>
    <n v="0"/>
    <n v="0"/>
    <n v="0"/>
    <n v="1"/>
    <n v="1"/>
    <n v="1"/>
    <n v="1"/>
    <n v="1"/>
    <n v="1"/>
    <n v="1"/>
    <n v="1"/>
    <m/>
    <m/>
    <n v="98.455500000000001"/>
    <m/>
    <n v="0"/>
    <n v="0"/>
    <m/>
    <m/>
    <n v="98.455500000000001"/>
    <s v="n/a"/>
    <n v="0"/>
    <n v="0"/>
    <n v="0"/>
    <m/>
    <m/>
    <n v="98.455500000000001"/>
    <m/>
    <n v="0"/>
    <n v="0"/>
    <m/>
    <m/>
    <n v="98.455500000000001"/>
    <m/>
    <n v="0"/>
    <n v="0"/>
    <n v="0"/>
    <n v="0"/>
    <n v="0"/>
    <n v="0"/>
    <n v="0"/>
    <s v="NA"/>
    <m/>
  </r>
  <r>
    <s v="NSG"/>
    <x v="4"/>
    <s v="Multi-Family"/>
    <s v="Whole Building - Public Housing"/>
    <x v="3"/>
    <s v="Furnace (Replace Programmable)"/>
    <s v="MF"/>
    <x v="3"/>
    <s v="5.3.16"/>
    <s v="each"/>
    <n v="0"/>
    <n v="0"/>
    <n v="0"/>
    <n v="0"/>
    <s v="RS-HVC-ADTH-V08-230101"/>
    <m/>
    <n v="47.687249999999999"/>
    <n v="47.687249999999999"/>
    <n v="47.687249999999999"/>
    <n v="47.687249999999999"/>
    <n v="1"/>
    <n v="1"/>
    <n v="1"/>
    <n v="1"/>
    <n v="0"/>
    <n v="0"/>
    <n v="0"/>
    <n v="0"/>
    <n v="0"/>
    <n v="1"/>
    <n v="1"/>
    <n v="1"/>
    <n v="1"/>
    <n v="1"/>
    <n v="1"/>
    <n v="1"/>
    <n v="1"/>
    <m/>
    <m/>
    <n v="46.380749999999992"/>
    <m/>
    <n v="0"/>
    <n v="0"/>
    <m/>
    <m/>
    <n v="46.380749999999992"/>
    <s v="n/a"/>
    <n v="0"/>
    <n v="0"/>
    <n v="0"/>
    <m/>
    <m/>
    <n v="46.380749999999992"/>
    <m/>
    <n v="0"/>
    <n v="0"/>
    <m/>
    <m/>
    <n v="46.380749999999992"/>
    <m/>
    <n v="0"/>
    <n v="0"/>
    <n v="0"/>
    <n v="0"/>
    <n v="0"/>
    <n v="0"/>
    <n v="0"/>
    <s v="NA"/>
    <m/>
  </r>
  <r>
    <s v="NSG"/>
    <x v="4"/>
    <s v="Multi-Family"/>
    <s v="Whole Building - Public Housing"/>
    <x v="3"/>
    <s v="Boiler (Replace Programmable)"/>
    <s v="MF"/>
    <x v="3"/>
    <s v="5.3.16"/>
    <s v="each"/>
    <n v="0"/>
    <n v="0"/>
    <n v="0"/>
    <n v="0"/>
    <s v="RS-HVC-ADTH-V08-230101"/>
    <m/>
    <n v="70.463249999999988"/>
    <n v="70.463249999999988"/>
    <n v="70.463249999999988"/>
    <n v="70.463249999999988"/>
    <n v="1"/>
    <n v="1"/>
    <n v="1"/>
    <n v="1"/>
    <n v="0"/>
    <n v="0"/>
    <n v="0"/>
    <n v="0"/>
    <n v="0"/>
    <n v="1"/>
    <n v="1"/>
    <n v="1"/>
    <n v="1"/>
    <n v="1"/>
    <n v="1"/>
    <n v="1"/>
    <n v="1"/>
    <m/>
    <m/>
    <n v="68.532749999999993"/>
    <m/>
    <n v="0"/>
    <n v="0"/>
    <m/>
    <m/>
    <n v="68.532749999999993"/>
    <s v="n/a"/>
    <n v="0"/>
    <n v="0"/>
    <n v="0"/>
    <m/>
    <m/>
    <n v="68.532749999999993"/>
    <m/>
    <n v="0"/>
    <n v="0"/>
    <m/>
    <m/>
    <n v="68.532749999999993"/>
    <m/>
    <n v="0"/>
    <n v="0"/>
    <n v="0"/>
    <n v="0"/>
    <n v="0"/>
    <n v="0"/>
    <n v="0"/>
    <s v="NA"/>
    <m/>
  </r>
  <r>
    <s v="NSG"/>
    <x v="4"/>
    <s v="Multi-Family"/>
    <s v="Whole Building - Public Housing"/>
    <x v="44"/>
    <s v="Boiler (DI)"/>
    <s v="MF"/>
    <x v="3"/>
    <s v="5.3.11"/>
    <s v="each"/>
    <n v="0"/>
    <n v="0"/>
    <n v="0"/>
    <n v="0"/>
    <s v="RS-HVC-ADTH-V08-230101"/>
    <m/>
    <n v="59.926100000000005"/>
    <n v="59.926100000000005"/>
    <n v="59.926100000000005"/>
    <n v="59.926100000000005"/>
    <n v="1"/>
    <n v="1"/>
    <n v="1"/>
    <n v="1"/>
    <n v="0"/>
    <n v="0"/>
    <n v="0"/>
    <n v="0"/>
    <n v="0"/>
    <n v="1"/>
    <n v="1"/>
    <n v="1"/>
    <n v="1"/>
    <n v="1"/>
    <n v="1"/>
    <n v="1"/>
    <n v="1"/>
    <m/>
    <m/>
    <n v="59.926100000000005"/>
    <m/>
    <n v="0"/>
    <n v="0"/>
    <m/>
    <m/>
    <n v="59.926100000000005"/>
    <s v="n/a"/>
    <n v="0"/>
    <n v="0"/>
    <n v="0"/>
    <m/>
    <m/>
    <n v="59.926100000000005"/>
    <m/>
    <n v="0"/>
    <n v="0"/>
    <m/>
    <m/>
    <n v="59.926100000000005"/>
    <m/>
    <n v="0"/>
    <n v="0"/>
    <n v="0"/>
    <n v="0"/>
    <n v="0"/>
    <n v="0"/>
    <n v="0"/>
    <s v="NA"/>
    <m/>
  </r>
  <r>
    <s v="NSG"/>
    <x v="4"/>
    <s v="Multi-Family"/>
    <s v="Whole Building - Public Housing"/>
    <x v="44"/>
    <s v="Furnace (DI)"/>
    <s v="MF"/>
    <x v="3"/>
    <s v="5.3.11"/>
    <s v="each"/>
    <n v="0"/>
    <n v="0"/>
    <n v="0"/>
    <n v="0"/>
    <s v="RS-HVC-ADTH-V08-230101"/>
    <m/>
    <n v="40.5015"/>
    <n v="40.5015"/>
    <n v="40.5015"/>
    <n v="40.5015"/>
    <n v="1"/>
    <n v="1"/>
    <n v="1"/>
    <n v="1"/>
    <n v="0"/>
    <n v="0"/>
    <n v="0"/>
    <n v="0"/>
    <n v="0"/>
    <n v="1"/>
    <n v="1"/>
    <n v="1"/>
    <n v="1"/>
    <n v="1"/>
    <n v="1"/>
    <n v="1"/>
    <n v="1"/>
    <m/>
    <m/>
    <n v="40.5015"/>
    <m/>
    <n v="0"/>
    <n v="0"/>
    <m/>
    <m/>
    <n v="40.5015"/>
    <s v="n/a"/>
    <n v="0"/>
    <n v="0"/>
    <n v="0"/>
    <m/>
    <m/>
    <n v="40.5015"/>
    <m/>
    <n v="0"/>
    <n v="0"/>
    <m/>
    <m/>
    <n v="40.5015"/>
    <m/>
    <n v="0"/>
    <n v="0"/>
    <n v="0"/>
    <n v="0"/>
    <n v="0"/>
    <n v="0"/>
    <n v="0"/>
    <s v="NA"/>
    <m/>
  </r>
  <r>
    <s v="NSG"/>
    <x v="4"/>
    <s v="Multi-Family"/>
    <s v="Whole Building - Public Housing"/>
    <x v="19"/>
    <n v="0"/>
    <s v="MF"/>
    <x v="3"/>
    <s v="5.6.1"/>
    <s v="CFM_50"/>
    <n v="0"/>
    <n v="0"/>
    <n v="0"/>
    <n v="0"/>
    <s v="RS-SHL-AIRS-V12-230101"/>
    <m/>
    <n v="43.618009478672981"/>
    <n v="43.618009478672981"/>
    <n v="43.618009478672981"/>
    <n v="43.618009478672981"/>
    <n v="1"/>
    <n v="1"/>
    <n v="1"/>
    <n v="1"/>
    <n v="0"/>
    <n v="0"/>
    <n v="0"/>
    <n v="0"/>
    <n v="0"/>
    <n v="1"/>
    <n v="1"/>
    <n v="1"/>
    <n v="1"/>
    <n v="1"/>
    <n v="1"/>
    <n v="1"/>
    <n v="1"/>
    <m/>
    <m/>
    <n v="43.618009478672981"/>
    <m/>
    <n v="0"/>
    <n v="0"/>
    <m/>
    <m/>
    <n v="43.618009478672981"/>
    <s v="Updated ISR"/>
    <n v="0"/>
    <n v="0"/>
    <n v="0"/>
    <m/>
    <m/>
    <n v="43.618009478672981"/>
    <m/>
    <n v="0"/>
    <n v="0"/>
    <m/>
    <m/>
    <n v="43.618009478672981"/>
    <m/>
    <n v="0"/>
    <n v="0"/>
    <n v="0"/>
    <n v="0"/>
    <n v="0"/>
    <n v="0"/>
    <n v="0"/>
    <s v="NA"/>
    <m/>
  </r>
  <r>
    <s v="NSG"/>
    <x v="4"/>
    <s v="Multi-Family"/>
    <s v="Whole Building - Public Housing"/>
    <x v="18"/>
    <n v="0"/>
    <s v="IE MF"/>
    <x v="3"/>
    <s v="5.6.1"/>
    <s v="CFM_50"/>
    <n v="0"/>
    <n v="0"/>
    <n v="0"/>
    <n v="0"/>
    <s v="RS-SHL-AIRS-V12-230101"/>
    <m/>
    <n v="34.545463507109005"/>
    <n v="34.545463507109005"/>
    <n v="34.545463507109005"/>
    <n v="34.545463507109005"/>
    <n v="1"/>
    <n v="1"/>
    <n v="1"/>
    <n v="1"/>
    <n v="0"/>
    <n v="0"/>
    <n v="0"/>
    <n v="0"/>
    <n v="0"/>
    <n v="1"/>
    <n v="1"/>
    <n v="1"/>
    <n v="1"/>
    <n v="1"/>
    <n v="1"/>
    <n v="1"/>
    <n v="1"/>
    <m/>
    <m/>
    <n v="34.545463507109005"/>
    <m/>
    <n v="0"/>
    <n v="0"/>
    <m/>
    <m/>
    <n v="34.545463507109005"/>
    <s v="Updated ISR"/>
    <n v="0"/>
    <n v="0"/>
    <n v="0"/>
    <m/>
    <m/>
    <n v="34.545463507109005"/>
    <m/>
    <n v="0"/>
    <n v="0"/>
    <m/>
    <m/>
    <n v="34.545463507109005"/>
    <m/>
    <n v="0"/>
    <n v="0"/>
    <n v="0"/>
    <n v="0"/>
    <n v="0"/>
    <n v="0"/>
    <n v="0"/>
    <s v="NA"/>
    <m/>
  </r>
  <r>
    <s v="NSG"/>
    <x v="4"/>
    <s v="Multi-Family"/>
    <s v="Whole Building - Public Housing"/>
    <x v="17"/>
    <n v="0"/>
    <s v="SF"/>
    <x v="3"/>
    <s v="5.6.5"/>
    <s v="sq ft"/>
    <n v="0"/>
    <n v="0"/>
    <n v="0"/>
    <n v="0"/>
    <s v="RS-SHL-AINS-V06-230101"/>
    <m/>
    <n v="8.0457181447124299E-2"/>
    <n v="8.0457181447124299E-2"/>
    <n v="8.0457181447124299E-2"/>
    <n v="8.0457181447124299E-2"/>
    <n v="1"/>
    <n v="1"/>
    <n v="1"/>
    <n v="1"/>
    <n v="0"/>
    <n v="0"/>
    <n v="0"/>
    <n v="0"/>
    <n v="0"/>
    <n v="1"/>
    <n v="1"/>
    <n v="1"/>
    <n v="1"/>
    <n v="1"/>
    <n v="1"/>
    <n v="1"/>
    <n v="1"/>
    <m/>
    <m/>
    <n v="8.0457181447124299E-2"/>
    <m/>
    <n v="0"/>
    <n v="0"/>
    <m/>
    <m/>
    <n v="8.0457181447124299E-2"/>
    <s v="No savings impacts with existing measure assumptions."/>
    <n v="0"/>
    <n v="0"/>
    <n v="0"/>
    <m/>
    <m/>
    <n v="8.0457181447124299E-2"/>
    <m/>
    <n v="0"/>
    <n v="0"/>
    <m/>
    <m/>
    <n v="8.0457181447124299E-2"/>
    <m/>
    <n v="0"/>
    <n v="0"/>
    <n v="0"/>
    <n v="0"/>
    <n v="0"/>
    <n v="0"/>
    <n v="0"/>
    <s v="NA"/>
    <m/>
  </r>
  <r>
    <s v="NSG"/>
    <x v="4"/>
    <s v="Multi-Family"/>
    <s v="Whole Building - Public Housing"/>
    <x v="32"/>
    <n v="0"/>
    <s v="SF"/>
    <x v="3"/>
    <s v="5.6.4"/>
    <s v="each"/>
    <n v="0"/>
    <n v="0"/>
    <n v="0"/>
    <n v="0"/>
    <s v="RS-SHL-WINS-V12-230101"/>
    <m/>
    <n v="0.10827529411764705"/>
    <n v="0.10827529411764705"/>
    <n v="0.10827529411764705"/>
    <n v="0.10827529411764705"/>
    <n v="1"/>
    <n v="1"/>
    <n v="1"/>
    <n v="1"/>
    <n v="0"/>
    <n v="0"/>
    <n v="0"/>
    <n v="0"/>
    <n v="0"/>
    <n v="1"/>
    <n v="1"/>
    <n v="1"/>
    <n v="1"/>
    <n v="1"/>
    <n v="1"/>
    <n v="1"/>
    <n v="1"/>
    <m/>
    <m/>
    <n v="0.10827529411764705"/>
    <m/>
    <n v="0"/>
    <n v="0"/>
    <m/>
    <m/>
    <n v="0.10827529411764705"/>
    <s v="No savings impacts with existing measure assumptions."/>
    <n v="0"/>
    <n v="0"/>
    <n v="0"/>
    <m/>
    <m/>
    <n v="0.10827529411764705"/>
    <m/>
    <n v="0"/>
    <n v="0"/>
    <m/>
    <m/>
    <n v="0.10827529411764705"/>
    <m/>
    <n v="0"/>
    <n v="0"/>
    <n v="0"/>
    <n v="0"/>
    <n v="0"/>
    <n v="0"/>
    <n v="0"/>
    <s v="NA"/>
    <m/>
  </r>
  <r>
    <s v="NSG"/>
    <x v="4"/>
    <s v="Multi-Family"/>
    <s v="Whole Building - Public Housing"/>
    <x v="45"/>
    <n v="0"/>
    <s v="SF"/>
    <x v="3"/>
    <s v="5.6.2"/>
    <s v="sq ft"/>
    <n v="0"/>
    <n v="0"/>
    <n v="0"/>
    <n v="0"/>
    <s v="RS-SHL-BINS-V13-230101"/>
    <m/>
    <n v="0.13695535714285714"/>
    <n v="0.13695535714285714"/>
    <n v="0.13695535714285714"/>
    <n v="0.13695535714285714"/>
    <n v="1"/>
    <n v="1"/>
    <n v="1"/>
    <n v="1"/>
    <n v="0"/>
    <n v="0"/>
    <n v="0"/>
    <n v="0"/>
    <n v="0"/>
    <n v="1"/>
    <n v="1"/>
    <n v="1"/>
    <n v="1"/>
    <n v="1"/>
    <n v="1"/>
    <n v="1"/>
    <n v="1"/>
    <m/>
    <m/>
    <n v="0.13695535714285714"/>
    <m/>
    <n v="0"/>
    <n v="0"/>
    <m/>
    <m/>
    <n v="0.13695535714285714"/>
    <s v="No savings impacts with existing measure assumptions."/>
    <n v="0"/>
    <n v="0"/>
    <n v="0"/>
    <m/>
    <m/>
    <n v="0.13695535714285714"/>
    <m/>
    <n v="0"/>
    <n v="0"/>
    <m/>
    <m/>
    <n v="0.13695535714285714"/>
    <m/>
    <n v="0"/>
    <n v="0"/>
    <n v="0"/>
    <n v="0"/>
    <n v="0"/>
    <n v="0"/>
    <n v="0"/>
    <s v="NA"/>
    <m/>
  </r>
  <r>
    <s v="NSG"/>
    <x v="4"/>
    <s v="Multi-Family"/>
    <s v="Whole Building - Public Housing"/>
    <x v="86"/>
    <n v="0"/>
    <s v="SF"/>
    <x v="3"/>
    <s v="5.6.3"/>
    <s v="each"/>
    <n v="0"/>
    <n v="0"/>
    <n v="0"/>
    <n v="0"/>
    <s v="RS-SHL-FINS-V14-230101"/>
    <m/>
    <n v="0.10489255765199164"/>
    <n v="0.10489255765199164"/>
    <n v="0.10489255765199164"/>
    <n v="0.10489255765199164"/>
    <n v="1"/>
    <n v="1"/>
    <n v="1"/>
    <n v="1"/>
    <n v="0"/>
    <n v="0"/>
    <n v="0"/>
    <n v="0"/>
    <n v="0"/>
    <n v="1"/>
    <n v="1"/>
    <n v="1"/>
    <n v="1"/>
    <n v="1"/>
    <n v="1"/>
    <n v="1"/>
    <n v="1"/>
    <m/>
    <m/>
    <n v="0.10489255765199164"/>
    <m/>
    <n v="0"/>
    <n v="0"/>
    <m/>
    <m/>
    <n v="0.10489255765199164"/>
    <s v="No savings impacts with existing measure assumptions."/>
    <n v="0"/>
    <n v="0"/>
    <n v="0"/>
    <m/>
    <m/>
    <n v="0.10489255765199164"/>
    <m/>
    <n v="0"/>
    <n v="0"/>
    <m/>
    <m/>
    <n v="0.10489255765199164"/>
    <m/>
    <n v="0"/>
    <n v="0"/>
    <n v="0"/>
    <n v="0"/>
    <n v="0"/>
    <n v="0"/>
    <n v="0"/>
    <s v="NA"/>
    <m/>
  </r>
  <r>
    <s v="NSG"/>
    <x v="4"/>
    <s v="Multi-Family"/>
    <s v="Whole Building - Public Housing"/>
    <x v="28"/>
    <s v="≥88% AFUE, &lt;300MBh"/>
    <s v="MF"/>
    <x v="3"/>
    <s v="4.4.10"/>
    <s v="each"/>
    <n v="0"/>
    <n v="0"/>
    <n v="0"/>
    <n v="0"/>
    <s v="CI-HVC-BOIL-V10-230101"/>
    <m/>
    <n v="0.79095238095238163"/>
    <n v="0.79095238095238163"/>
    <n v="0.79095238095238163"/>
    <n v="0.79095238095238163"/>
    <n v="1"/>
    <n v="1"/>
    <n v="1"/>
    <n v="1"/>
    <n v="0"/>
    <n v="0"/>
    <n v="0"/>
    <n v="0"/>
    <n v="0"/>
    <n v="1"/>
    <n v="1"/>
    <n v="1"/>
    <n v="1"/>
    <n v="1"/>
    <n v="1"/>
    <n v="1"/>
    <n v="1"/>
    <m/>
    <m/>
    <n v="0.79095238095238163"/>
    <m/>
    <n v="0"/>
    <n v="0"/>
    <m/>
    <m/>
    <n v="0.79095238095238163"/>
    <s v="n/a"/>
    <n v="0"/>
    <n v="0"/>
    <n v="0"/>
    <m/>
    <m/>
    <n v="0.79095238095238163"/>
    <m/>
    <n v="0"/>
    <n v="0"/>
    <m/>
    <m/>
    <n v="0.79095238095238163"/>
    <m/>
    <n v="0"/>
    <n v="0"/>
    <n v="0"/>
    <n v="0"/>
    <n v="0"/>
    <n v="0"/>
    <n v="0"/>
    <s v="NA"/>
    <m/>
  </r>
  <r>
    <s v="NSG"/>
    <x v="4"/>
    <s v="Multi-Family"/>
    <s v="Whole Building - Public Housing"/>
    <x v="28"/>
    <s v="≥88% AFUE, ≥300MBh TE"/>
    <s v="MF"/>
    <x v="3"/>
    <s v="4.4.10"/>
    <s v="each"/>
    <n v="0"/>
    <n v="0"/>
    <n v="0"/>
    <n v="0"/>
    <s v="CI-HVC-BOIL-V10-230101"/>
    <m/>
    <n v="1.6609999999999991"/>
    <n v="1.6609999999999991"/>
    <n v="1.6609999999999991"/>
    <n v="1.6609999999999991"/>
    <n v="1"/>
    <n v="1"/>
    <n v="1"/>
    <n v="1"/>
    <n v="0"/>
    <n v="0"/>
    <n v="0"/>
    <n v="0"/>
    <n v="0"/>
    <n v="1"/>
    <n v="1"/>
    <n v="1"/>
    <n v="1"/>
    <n v="1"/>
    <n v="1"/>
    <n v="1"/>
    <n v="1"/>
    <m/>
    <m/>
    <n v="1.6609999999999991"/>
    <m/>
    <n v="0"/>
    <n v="0"/>
    <m/>
    <m/>
    <n v="1.6609999999999991"/>
    <s v="n/a"/>
    <n v="0"/>
    <n v="0"/>
    <n v="0"/>
    <m/>
    <m/>
    <n v="1.6609999999999991"/>
    <m/>
    <n v="0"/>
    <n v="0"/>
    <m/>
    <m/>
    <n v="1.6609999999999991"/>
    <m/>
    <n v="0"/>
    <n v="0"/>
    <n v="0"/>
    <n v="0"/>
    <n v="0"/>
    <n v="0"/>
    <n v="0"/>
    <s v="NA"/>
    <m/>
  </r>
  <r>
    <s v="NSG"/>
    <x v="4"/>
    <s v="Multi-Family"/>
    <s v="Whole Building - Public Housing"/>
    <x v="34"/>
    <n v="0"/>
    <s v="MF"/>
    <x v="3"/>
    <s v="4.4.4"/>
    <s v="each"/>
    <n v="0"/>
    <n v="0"/>
    <n v="0"/>
    <n v="0"/>
    <s v="CI-HVC-BLRC-V04-210101"/>
    <m/>
    <n v="1.3288"/>
    <n v="1.3288"/>
    <n v="1.3288"/>
    <n v="1.3288"/>
    <n v="1"/>
    <n v="1"/>
    <n v="1"/>
    <n v="1"/>
    <n v="0"/>
    <n v="0"/>
    <n v="0"/>
    <n v="0"/>
    <n v="0"/>
    <n v="1"/>
    <n v="1"/>
    <n v="1"/>
    <n v="1"/>
    <n v="1"/>
    <n v="1"/>
    <n v="1"/>
    <n v="1"/>
    <m/>
    <m/>
    <n v="1.3288"/>
    <m/>
    <n v="0"/>
    <n v="0"/>
    <m/>
    <m/>
    <n v="1.3288"/>
    <s v="n/a"/>
    <n v="0"/>
    <n v="0"/>
    <n v="0"/>
    <m/>
    <m/>
    <n v="1.3288"/>
    <m/>
    <n v="0"/>
    <n v="0"/>
    <m/>
    <m/>
    <n v="1.3288"/>
    <m/>
    <n v="0"/>
    <n v="0"/>
    <n v="0"/>
    <n v="0"/>
    <n v="0"/>
    <n v="0"/>
    <n v="0"/>
    <s v="NA"/>
    <m/>
  </r>
  <r>
    <s v="NSG"/>
    <x v="4"/>
    <s v="Multi-Family"/>
    <s v="Whole Building - Public Housing"/>
    <x v="21"/>
    <s v="Space Heating"/>
    <s v="MF"/>
    <x v="3"/>
    <s v="4.4.2"/>
    <s v="each"/>
    <n v="0"/>
    <n v="0"/>
    <n v="0"/>
    <n v="0"/>
    <s v="CI-HVC-BLRT-V07-210101"/>
    <m/>
    <n v="0.46874846625766969"/>
    <n v="0.46874846625766969"/>
    <n v="0.46874846625766969"/>
    <n v="0.46874846625766969"/>
    <n v="1"/>
    <n v="1"/>
    <n v="1"/>
    <n v="1"/>
    <n v="0"/>
    <n v="0"/>
    <n v="0"/>
    <n v="0"/>
    <n v="0"/>
    <n v="1"/>
    <n v="1"/>
    <n v="1"/>
    <n v="1"/>
    <n v="1"/>
    <n v="1"/>
    <n v="1"/>
    <n v="1"/>
    <m/>
    <m/>
    <n v="0.46874846625766969"/>
    <m/>
    <n v="0"/>
    <n v="0"/>
    <m/>
    <m/>
    <n v="0.46874846625766969"/>
    <s v="n/a"/>
    <n v="0"/>
    <n v="0"/>
    <n v="0"/>
    <m/>
    <m/>
    <n v="0.46874846625766969"/>
    <m/>
    <n v="0"/>
    <n v="0"/>
    <m/>
    <m/>
    <n v="0.46874846625766969"/>
    <m/>
    <n v="0"/>
    <n v="0"/>
    <n v="0"/>
    <n v="0"/>
    <n v="0"/>
    <n v="0"/>
    <n v="0"/>
    <s v="NA"/>
    <m/>
  </r>
  <r>
    <s v="NSG"/>
    <x v="4"/>
    <s v="Multi-Family"/>
    <s v="Whole Building - Public Housing"/>
    <x v="65"/>
    <s v="&gt;95% AFUE"/>
    <s v="MF"/>
    <x v="3"/>
    <s v="5.3.7"/>
    <s v="each"/>
    <n v="0"/>
    <n v="0"/>
    <n v="0"/>
    <n v="0"/>
    <s v="RS-HVC-GHEF-V12-230101"/>
    <m/>
    <n v="185.63073361823353"/>
    <n v="185.63073361823353"/>
    <n v="185.63073361823353"/>
    <n v="185.63073361823353"/>
    <n v="1"/>
    <n v="1"/>
    <n v="1"/>
    <n v="1"/>
    <n v="0"/>
    <n v="0"/>
    <n v="0"/>
    <n v="0"/>
    <n v="0"/>
    <n v="1"/>
    <n v="1"/>
    <n v="1"/>
    <n v="1"/>
    <n v="1"/>
    <n v="1"/>
    <n v="1"/>
    <n v="1"/>
    <m/>
    <m/>
    <n v="185.63073361823353"/>
    <m/>
    <n v="0"/>
    <n v="0"/>
    <m/>
    <m/>
    <n v="185.63073361823353"/>
    <s v="n/a"/>
    <n v="0"/>
    <n v="0"/>
    <n v="0"/>
    <m/>
    <m/>
    <n v="185.63073361823353"/>
    <m/>
    <n v="0"/>
    <n v="0"/>
    <m/>
    <m/>
    <n v="185.63073361823353"/>
    <m/>
    <n v="0"/>
    <n v="0"/>
    <n v="0"/>
    <n v="0"/>
    <n v="0"/>
    <n v="0"/>
    <n v="0"/>
    <s v="NA"/>
    <m/>
  </r>
  <r>
    <s v="NSG"/>
    <x v="4"/>
    <s v="Multi-Family"/>
    <s v="Whole Building - Public Housing"/>
    <x v="4"/>
    <s v="Hyd. Boiler Sm ≤1.25&quot;"/>
    <s v="MF"/>
    <x v="3"/>
    <s v="&quot;3 - Res Pipe Insulation&quot; worksheet"/>
    <s v="each"/>
    <n v="0"/>
    <n v="0"/>
    <n v="0"/>
    <n v="0"/>
    <n v="0"/>
    <m/>
    <n v="2.0682348076923076"/>
    <n v="2.0682348076923076"/>
    <n v="2.0682348076923076"/>
    <n v="2.0682348076923076"/>
    <n v="1"/>
    <n v="1"/>
    <n v="1"/>
    <n v="1"/>
    <n v="0"/>
    <n v="0"/>
    <n v="0"/>
    <n v="0"/>
    <n v="0"/>
    <n v="1"/>
    <n v="1"/>
    <n v="1"/>
    <n v="1"/>
    <n v="1"/>
    <n v="1"/>
    <n v="1"/>
    <n v="1"/>
    <m/>
    <m/>
    <n v="2.0682348076923076"/>
    <m/>
    <n v="0"/>
    <n v="0"/>
    <m/>
    <m/>
    <n v="2.0682348076923076"/>
    <s v="n/a"/>
    <n v="0"/>
    <n v="0"/>
    <n v="0"/>
    <m/>
    <m/>
    <n v="2.0682348076923076"/>
    <m/>
    <n v="0"/>
    <n v="0"/>
    <m/>
    <m/>
    <n v="2.0682348076923076"/>
    <m/>
    <n v="0"/>
    <n v="0"/>
    <n v="0"/>
    <n v="0"/>
    <n v="0"/>
    <n v="0"/>
    <n v="0"/>
    <s v="NA"/>
    <m/>
  </r>
  <r>
    <s v="NSG"/>
    <x v="4"/>
    <s v="Multi-Family"/>
    <s v="Whole Building - Public Housing"/>
    <x v="4"/>
    <s v="Hyd. Boiler Med 1.25-2&quot;"/>
    <s v="MF"/>
    <x v="3"/>
    <s v="&quot;3 - Res Pipe Insulation&quot; worksheet"/>
    <s v="each"/>
    <n v="0"/>
    <n v="0"/>
    <n v="0"/>
    <n v="0"/>
    <n v="0"/>
    <m/>
    <n v="3.6034773504273505"/>
    <n v="3.6034773504273505"/>
    <n v="3.6034773504273505"/>
    <n v="3.6034773504273505"/>
    <n v="1"/>
    <n v="1"/>
    <n v="1"/>
    <n v="1"/>
    <n v="0"/>
    <n v="0"/>
    <n v="0"/>
    <n v="0"/>
    <n v="0"/>
    <n v="1"/>
    <n v="1"/>
    <n v="1"/>
    <n v="1"/>
    <n v="1"/>
    <n v="1"/>
    <n v="1"/>
    <n v="1"/>
    <m/>
    <m/>
    <n v="3.6034773504273505"/>
    <m/>
    <n v="0"/>
    <n v="0"/>
    <m/>
    <m/>
    <n v="3.6034773504273505"/>
    <s v="n/a"/>
    <n v="0"/>
    <n v="0"/>
    <n v="0"/>
    <m/>
    <m/>
    <n v="3.6034773504273505"/>
    <m/>
    <n v="0"/>
    <n v="0"/>
    <m/>
    <m/>
    <n v="3.6034773504273505"/>
    <m/>
    <n v="0"/>
    <n v="0"/>
    <n v="0"/>
    <n v="0"/>
    <n v="0"/>
    <n v="0"/>
    <n v="0"/>
    <s v="NA"/>
    <m/>
  </r>
  <r>
    <s v="NSG"/>
    <x v="4"/>
    <s v="Multi-Family"/>
    <s v="Whole Building - Public Housing"/>
    <x v="4"/>
    <s v="Hyd. Boiler Large ≥2&quot;"/>
    <s v="MF"/>
    <x v="3"/>
    <s v="&quot;3 - Res Pipe Insulation&quot; worksheet"/>
    <s v="each"/>
    <n v="0"/>
    <n v="0"/>
    <n v="0"/>
    <n v="0"/>
    <n v="0"/>
    <m/>
    <n v="6.1867824786324785"/>
    <n v="6.1867824786324785"/>
    <n v="6.1867824786324785"/>
    <n v="6.1867824786324785"/>
    <n v="1"/>
    <n v="1"/>
    <n v="1"/>
    <n v="1"/>
    <n v="0"/>
    <n v="0"/>
    <n v="0"/>
    <n v="0"/>
    <n v="0"/>
    <n v="1"/>
    <n v="1"/>
    <n v="1"/>
    <n v="1"/>
    <n v="1"/>
    <n v="1"/>
    <n v="1"/>
    <n v="1"/>
    <m/>
    <m/>
    <n v="6.1867824786324785"/>
    <m/>
    <n v="0"/>
    <n v="0"/>
    <m/>
    <m/>
    <n v="6.1867824786324785"/>
    <s v="n/a"/>
    <n v="0"/>
    <n v="0"/>
    <n v="0"/>
    <m/>
    <m/>
    <n v="6.1867824786324785"/>
    <m/>
    <n v="0"/>
    <n v="0"/>
    <m/>
    <m/>
    <n v="6.1867824786324785"/>
    <m/>
    <n v="0"/>
    <n v="0"/>
    <n v="0"/>
    <n v="0"/>
    <n v="0"/>
    <n v="0"/>
    <n v="0"/>
    <s v="NA"/>
    <m/>
  </r>
  <r>
    <s v="NSG"/>
    <x v="4"/>
    <s v="Multi-Family"/>
    <s v="Whole Building - Public Housing"/>
    <x v="4"/>
    <s v="HW Small 1&quot; to 2&quot;"/>
    <s v="MF/CI/SMB"/>
    <x v="3"/>
    <s v="&quot;3 - Res Pipe Insulation&quot; worksheet"/>
    <s v="each"/>
    <n v="0"/>
    <n v="0"/>
    <n v="0"/>
    <n v="0"/>
    <n v="0"/>
    <m/>
    <n v="2.6588140926267867"/>
    <n v="2.6588140926267867"/>
    <n v="2.6588140926267867"/>
    <n v="2.6588140926267867"/>
    <n v="1"/>
    <n v="1"/>
    <n v="1"/>
    <n v="1"/>
    <n v="0"/>
    <n v="0"/>
    <n v="0"/>
    <n v="0"/>
    <n v="0"/>
    <n v="1"/>
    <n v="1"/>
    <n v="1"/>
    <n v="1"/>
    <n v="1"/>
    <n v="1"/>
    <n v="1"/>
    <n v="1"/>
    <m/>
    <m/>
    <n v="2.6588140926267867"/>
    <m/>
    <n v="0"/>
    <n v="0"/>
    <m/>
    <m/>
    <n v="2.6588140926267867"/>
    <s v="n/a"/>
    <n v="0"/>
    <n v="0"/>
    <n v="0"/>
    <m/>
    <m/>
    <n v="2.6588140926267867"/>
    <m/>
    <n v="0"/>
    <n v="0"/>
    <m/>
    <m/>
    <n v="2.6588140926267867"/>
    <m/>
    <n v="0"/>
    <n v="0"/>
    <n v="0"/>
    <n v="0"/>
    <n v="0"/>
    <n v="0"/>
    <n v="0"/>
    <s v="NA"/>
    <m/>
  </r>
  <r>
    <s v="NSG"/>
    <x v="4"/>
    <s v="Multi-Family"/>
    <s v="Whole Building - Public Housing"/>
    <x v="4"/>
    <s v="HW Medium 2.1&quot; to 4&quot;"/>
    <s v="MF/CI/SMB"/>
    <x v="3"/>
    <s v="&quot;3 - Res Pipe Insulation&quot; worksheet"/>
    <s v="each"/>
    <n v="0"/>
    <n v="0"/>
    <n v="0"/>
    <n v="0"/>
    <n v="0"/>
    <m/>
    <n v="5.2492031493764015"/>
    <n v="5.2492031493764015"/>
    <n v="5.2492031493764015"/>
    <n v="5.2492031493764015"/>
    <n v="1"/>
    <n v="1"/>
    <n v="1"/>
    <n v="1"/>
    <n v="0"/>
    <n v="0"/>
    <n v="0"/>
    <n v="0"/>
    <n v="0"/>
    <n v="1"/>
    <n v="1"/>
    <n v="1"/>
    <n v="1"/>
    <n v="1"/>
    <n v="1"/>
    <n v="1"/>
    <n v="1"/>
    <m/>
    <m/>
    <n v="5.2492031493764015"/>
    <m/>
    <n v="0"/>
    <n v="0"/>
    <m/>
    <m/>
    <n v="5.2492031493764015"/>
    <s v="n/a"/>
    <n v="0"/>
    <n v="0"/>
    <n v="0"/>
    <m/>
    <m/>
    <n v="5.2492031493764015"/>
    <m/>
    <n v="0"/>
    <n v="0"/>
    <m/>
    <m/>
    <n v="5.2492031493764015"/>
    <m/>
    <n v="0"/>
    <n v="0"/>
    <n v="0"/>
    <n v="0"/>
    <n v="0"/>
    <n v="0"/>
    <n v="0"/>
    <s v="NA"/>
    <m/>
  </r>
  <r>
    <s v="NSG"/>
    <x v="4"/>
    <s v="Multi-Family"/>
    <s v="Whole Building - Public Housing"/>
    <x v="4"/>
    <s v="HW Large &gt;4&quot;"/>
    <s v="MF/CI/SMB"/>
    <x v="3"/>
    <s v="&quot;3 - Res Pipe Insulation&quot; worksheet"/>
    <s v="each"/>
    <n v="0"/>
    <n v="0"/>
    <n v="0"/>
    <n v="0"/>
    <n v="0"/>
    <m/>
    <n v="9.0407613085908682"/>
    <n v="9.0407613085908682"/>
    <n v="9.0407613085908682"/>
    <n v="9.0407613085908682"/>
    <n v="1"/>
    <n v="1"/>
    <n v="1"/>
    <n v="1"/>
    <n v="0"/>
    <n v="0"/>
    <n v="0"/>
    <n v="0"/>
    <n v="0"/>
    <n v="1"/>
    <n v="1"/>
    <n v="1"/>
    <n v="1"/>
    <n v="1"/>
    <n v="1"/>
    <n v="1"/>
    <n v="1"/>
    <m/>
    <m/>
    <n v="9.0407613085908682"/>
    <m/>
    <n v="0"/>
    <n v="0"/>
    <m/>
    <m/>
    <n v="9.0407613085908682"/>
    <s v="n/a"/>
    <n v="0"/>
    <n v="0"/>
    <n v="0"/>
    <m/>
    <m/>
    <n v="9.0407613085908682"/>
    <m/>
    <n v="0"/>
    <n v="0"/>
    <m/>
    <m/>
    <n v="9.0407613085908682"/>
    <m/>
    <n v="0"/>
    <n v="0"/>
    <n v="0"/>
    <n v="0"/>
    <n v="0"/>
    <n v="0"/>
    <n v="0"/>
    <s v="NA"/>
    <m/>
  </r>
  <r>
    <s v="NSG"/>
    <x v="4"/>
    <s v="Multi-Family"/>
    <s v="Whole Building - Public Housing"/>
    <x v="4"/>
    <s v="Steam - Small 1&quot; to 2&quot;"/>
    <s v="MF"/>
    <x v="3"/>
    <s v="&quot;3 - Res Pipe Insulation&quot; worksheet"/>
    <s v="each"/>
    <n v="0"/>
    <n v="0"/>
    <n v="0"/>
    <n v="0"/>
    <n v="0"/>
    <m/>
    <n v="3.967097058288509"/>
    <n v="3.967097058288509"/>
    <n v="3.967097058288509"/>
    <n v="3.967097058288509"/>
    <n v="1"/>
    <n v="1"/>
    <n v="1"/>
    <n v="1"/>
    <n v="0"/>
    <n v="0"/>
    <n v="0"/>
    <n v="0"/>
    <n v="0"/>
    <n v="1"/>
    <n v="1"/>
    <n v="1"/>
    <n v="1"/>
    <n v="1"/>
    <n v="1"/>
    <n v="1"/>
    <n v="1"/>
    <m/>
    <m/>
    <n v="3.967097058288509"/>
    <m/>
    <n v="0"/>
    <n v="0"/>
    <m/>
    <m/>
    <n v="3.967097058288509"/>
    <s v="n/a"/>
    <n v="0"/>
    <n v="0"/>
    <n v="0"/>
    <m/>
    <m/>
    <n v="3.967097058288509"/>
    <m/>
    <n v="0"/>
    <n v="0"/>
    <m/>
    <m/>
    <n v="3.967097058288509"/>
    <m/>
    <n v="0"/>
    <n v="0"/>
    <n v="0"/>
    <n v="0"/>
    <n v="0"/>
    <n v="0"/>
    <n v="0"/>
    <s v="NA"/>
    <m/>
  </r>
  <r>
    <s v="NSG"/>
    <x v="4"/>
    <s v="Multi-Family"/>
    <s v="Whole Building - Public Housing"/>
    <x v="4"/>
    <s v="Steam - Med 2.1&quot; to 5&quot;"/>
    <s v="MF"/>
    <x v="3"/>
    <s v="&quot;3 - Res Pipe Insulation&quot; worksheet"/>
    <s v="each"/>
    <n v="0"/>
    <n v="0"/>
    <n v="0"/>
    <n v="0"/>
    <n v="0"/>
    <m/>
    <n v="15.954497207020932"/>
    <n v="15.954497207020932"/>
    <n v="15.954497207020932"/>
    <n v="15.954497207020932"/>
    <n v="1"/>
    <n v="1"/>
    <n v="1"/>
    <n v="1"/>
    <n v="0"/>
    <n v="0"/>
    <n v="0"/>
    <n v="0"/>
    <n v="0"/>
    <n v="1"/>
    <n v="1"/>
    <n v="1"/>
    <n v="1"/>
    <n v="1"/>
    <n v="1"/>
    <n v="1"/>
    <n v="1"/>
    <m/>
    <m/>
    <n v="15.954497207020932"/>
    <m/>
    <n v="0"/>
    <n v="0"/>
    <m/>
    <m/>
    <n v="15.954497207020932"/>
    <s v="n/a"/>
    <n v="0"/>
    <n v="0"/>
    <n v="0"/>
    <m/>
    <m/>
    <n v="15.954497207020932"/>
    <m/>
    <n v="0"/>
    <n v="0"/>
    <m/>
    <m/>
    <n v="15.954497207020932"/>
    <m/>
    <n v="0"/>
    <n v="0"/>
    <n v="0"/>
    <n v="0"/>
    <n v="0"/>
    <n v="0"/>
    <n v="0"/>
    <s v="NA"/>
    <m/>
  </r>
  <r>
    <s v="NSG"/>
    <x v="4"/>
    <s v="Multi-Family"/>
    <s v="Whole Building - Public Housing"/>
    <x v="4"/>
    <s v="Steam - Large 5.1&quot; to 8&quot;"/>
    <s v="MF"/>
    <x v="3"/>
    <s v="&quot;3 - Res Pipe Insulation&quot; worksheet"/>
    <s v="each"/>
    <n v="0"/>
    <n v="0"/>
    <n v="0"/>
    <n v="0"/>
    <n v="0"/>
    <m/>
    <n v="31.133964854103496"/>
    <n v="31.133964854103496"/>
    <n v="31.133964854103496"/>
    <n v="31.133964854103496"/>
    <n v="1"/>
    <n v="1"/>
    <n v="1"/>
    <n v="1"/>
    <n v="0"/>
    <n v="0"/>
    <n v="0"/>
    <n v="0"/>
    <n v="0"/>
    <n v="1"/>
    <n v="1"/>
    <n v="1"/>
    <n v="1"/>
    <n v="1"/>
    <n v="1"/>
    <n v="1"/>
    <n v="1"/>
    <m/>
    <m/>
    <n v="31.133964854103496"/>
    <m/>
    <n v="0"/>
    <n v="0"/>
    <m/>
    <m/>
    <n v="31.133964854103496"/>
    <s v="n/a"/>
    <n v="0"/>
    <n v="0"/>
    <n v="0"/>
    <m/>
    <m/>
    <n v="31.133964854103496"/>
    <m/>
    <n v="0"/>
    <n v="0"/>
    <m/>
    <m/>
    <n v="31.133964854103496"/>
    <m/>
    <n v="0"/>
    <n v="0"/>
    <n v="0"/>
    <n v="0"/>
    <n v="0"/>
    <n v="0"/>
    <n v="0"/>
    <s v="NA"/>
    <m/>
  </r>
  <r>
    <s v="NSG"/>
    <x v="4"/>
    <s v="Multi-Family"/>
    <s v="Whole Building - Public Housing"/>
    <x v="4"/>
    <s v="Steam - X-Large &gt;8&quot;"/>
    <s v="MF"/>
    <x v="3"/>
    <s v="&quot;3 - Res Pipe Insulation&quot; worksheet"/>
    <s v="each"/>
    <n v="0"/>
    <n v="0"/>
    <n v="0"/>
    <n v="0"/>
    <n v="0"/>
    <m/>
    <n v="44.814401171573145"/>
    <n v="44.814401171573145"/>
    <n v="44.814401171573145"/>
    <n v="44.814401171573145"/>
    <n v="1"/>
    <n v="1"/>
    <n v="1"/>
    <n v="1"/>
    <n v="0"/>
    <n v="0"/>
    <n v="0"/>
    <n v="0"/>
    <n v="0"/>
    <n v="1"/>
    <n v="1"/>
    <n v="1"/>
    <n v="1"/>
    <n v="1"/>
    <n v="1"/>
    <n v="1"/>
    <n v="1"/>
    <m/>
    <m/>
    <n v="44.814401171573145"/>
    <m/>
    <n v="0"/>
    <n v="0"/>
    <m/>
    <m/>
    <n v="44.814401171573145"/>
    <s v="n/a"/>
    <n v="0"/>
    <n v="0"/>
    <n v="0"/>
    <m/>
    <m/>
    <n v="44.814401171573145"/>
    <m/>
    <n v="0"/>
    <n v="0"/>
    <m/>
    <m/>
    <n v="44.814401171573145"/>
    <m/>
    <n v="0"/>
    <n v="0"/>
    <n v="0"/>
    <n v="0"/>
    <n v="0"/>
    <n v="0"/>
    <n v="0"/>
    <s v="NA"/>
    <m/>
  </r>
  <r>
    <s v="NSG"/>
    <x v="4"/>
    <s v="Multi-Family"/>
    <s v="Whole Building - Public Housing"/>
    <x v="4"/>
    <s v="Steam Small Fitting"/>
    <s v="MF"/>
    <x v="3"/>
    <s v="&quot;3 - Res Pipe Insulation&quot; worksheet"/>
    <s v="each"/>
    <n v="0"/>
    <n v="0"/>
    <n v="0"/>
    <n v="0"/>
    <n v="0"/>
    <m/>
    <n v="1.9537953012070903"/>
    <n v="1.9537953012070903"/>
    <n v="1.9537953012070903"/>
    <n v="1.9537953012070903"/>
    <n v="1"/>
    <n v="1"/>
    <n v="1"/>
    <n v="1"/>
    <n v="0"/>
    <n v="0"/>
    <n v="0"/>
    <n v="0"/>
    <n v="0"/>
    <n v="1"/>
    <n v="1"/>
    <n v="1"/>
    <n v="1"/>
    <n v="1"/>
    <n v="1"/>
    <n v="1"/>
    <n v="1"/>
    <m/>
    <m/>
    <n v="1.9537953012070903"/>
    <m/>
    <n v="0"/>
    <n v="0"/>
    <m/>
    <m/>
    <n v="1.9537953012070903"/>
    <s v="n/a"/>
    <n v="0"/>
    <n v="0"/>
    <n v="0"/>
    <m/>
    <m/>
    <n v="1.9537953012070903"/>
    <m/>
    <n v="0"/>
    <n v="0"/>
    <m/>
    <m/>
    <n v="1.9537953012070903"/>
    <m/>
    <n v="0"/>
    <n v="0"/>
    <n v="0"/>
    <n v="0"/>
    <n v="0"/>
    <n v="0"/>
    <n v="0"/>
    <s v="NA"/>
    <m/>
  </r>
  <r>
    <s v="NSG"/>
    <x v="4"/>
    <s v="Multi-Family"/>
    <s v="Whole Building - Public Housing"/>
    <x v="4"/>
    <s v="Steam Med Fitting"/>
    <s v="MF"/>
    <x v="3"/>
    <s v="&quot;3 - Res Pipe Insulation&quot; worksheet"/>
    <s v="each"/>
    <n v="0"/>
    <n v="0"/>
    <n v="0"/>
    <n v="0"/>
    <n v="0"/>
    <m/>
    <n v="20.134575475260416"/>
    <n v="20.134575475260416"/>
    <n v="20.134575475260416"/>
    <n v="20.134575475260416"/>
    <n v="1"/>
    <n v="1"/>
    <n v="1"/>
    <n v="1"/>
    <n v="0"/>
    <n v="0"/>
    <n v="0"/>
    <n v="0"/>
    <n v="0"/>
    <n v="1"/>
    <n v="1"/>
    <n v="1"/>
    <n v="1"/>
    <n v="1"/>
    <n v="1"/>
    <n v="1"/>
    <n v="1"/>
    <m/>
    <m/>
    <n v="20.134575475260416"/>
    <m/>
    <n v="0"/>
    <n v="0"/>
    <m/>
    <m/>
    <n v="20.134575475260416"/>
    <s v="n/a"/>
    <n v="0"/>
    <n v="0"/>
    <n v="0"/>
    <m/>
    <m/>
    <n v="20.134575475260416"/>
    <m/>
    <n v="0"/>
    <n v="0"/>
    <m/>
    <m/>
    <n v="20.134575475260416"/>
    <m/>
    <n v="0"/>
    <n v="0"/>
    <n v="0"/>
    <n v="0"/>
    <n v="0"/>
    <n v="0"/>
    <n v="0"/>
    <s v="NA"/>
    <m/>
  </r>
  <r>
    <s v="NSG"/>
    <x v="4"/>
    <s v="Multi-Family"/>
    <s v="Whole Building - Public Housing"/>
    <x v="4"/>
    <s v="Steam Large Fitting"/>
    <s v="MF"/>
    <x v="3"/>
    <s v="&quot;3 - Res Pipe Insulation&quot; worksheet"/>
    <s v="each"/>
    <n v="0"/>
    <n v="0"/>
    <n v="0"/>
    <n v="0"/>
    <n v="0"/>
    <m/>
    <n v="66.284273233024678"/>
    <n v="66.284273233024678"/>
    <n v="66.284273233024678"/>
    <n v="66.284273233024678"/>
    <n v="1"/>
    <n v="1"/>
    <n v="1"/>
    <n v="1"/>
    <n v="0"/>
    <n v="0"/>
    <n v="0"/>
    <n v="0"/>
    <n v="0"/>
    <n v="1"/>
    <n v="1"/>
    <n v="1"/>
    <n v="1"/>
    <n v="1"/>
    <n v="1"/>
    <n v="1"/>
    <n v="1"/>
    <m/>
    <m/>
    <n v="66.284273233024678"/>
    <m/>
    <n v="0"/>
    <n v="0"/>
    <m/>
    <m/>
    <n v="66.284273233024678"/>
    <s v="n/a"/>
    <n v="0"/>
    <n v="0"/>
    <n v="0"/>
    <m/>
    <m/>
    <n v="66.284273233024678"/>
    <m/>
    <n v="0"/>
    <n v="0"/>
    <m/>
    <m/>
    <n v="66.284273233024678"/>
    <m/>
    <n v="0"/>
    <n v="0"/>
    <n v="0"/>
    <n v="0"/>
    <n v="0"/>
    <n v="0"/>
    <n v="0"/>
    <s v="NA"/>
    <m/>
  </r>
  <r>
    <s v="NSG"/>
    <x v="4"/>
    <s v="Multi-Family"/>
    <s v="Whole Building - Public Housing"/>
    <x v="4"/>
    <s v="Steam X-Large Fitting"/>
    <s v="MF"/>
    <x v="3"/>
    <s v="&quot;3 - Res Pipe Insulation&quot; worksheet"/>
    <s v="each"/>
    <n v="0"/>
    <n v="0"/>
    <n v="0"/>
    <n v="0"/>
    <n v="0"/>
    <m/>
    <n v="113.8883886472908"/>
    <n v="113.8883886472908"/>
    <n v="113.8883886472908"/>
    <n v="113.8883886472908"/>
    <n v="1"/>
    <n v="1"/>
    <n v="1"/>
    <n v="1"/>
    <n v="0"/>
    <n v="0"/>
    <n v="0"/>
    <n v="0"/>
    <n v="0"/>
    <n v="1"/>
    <n v="1"/>
    <n v="1"/>
    <n v="1"/>
    <n v="1"/>
    <n v="1"/>
    <n v="1"/>
    <n v="1"/>
    <m/>
    <m/>
    <n v="113.8883886472908"/>
    <m/>
    <n v="0"/>
    <n v="0"/>
    <m/>
    <m/>
    <n v="113.8883886472908"/>
    <s v="n/a"/>
    <n v="0"/>
    <n v="0"/>
    <n v="0"/>
    <m/>
    <m/>
    <n v="113.8883886472908"/>
    <m/>
    <n v="0"/>
    <n v="0"/>
    <m/>
    <m/>
    <n v="113.8883886472908"/>
    <m/>
    <n v="0"/>
    <n v="0"/>
    <n v="0"/>
    <n v="0"/>
    <n v="0"/>
    <n v="0"/>
    <n v="0"/>
    <s v="NA"/>
    <m/>
  </r>
  <r>
    <s v="NSG"/>
    <x v="4"/>
    <s v="Multi-Family"/>
    <s v="Whole Building - Public Housing"/>
    <x v="4"/>
    <s v="Steam Small Valve"/>
    <s v="MF"/>
    <x v="3"/>
    <s v="&quot;3 - Res Pipe Insulation&quot; worksheet"/>
    <s v="each"/>
    <n v="0"/>
    <n v="0"/>
    <n v="0"/>
    <n v="0"/>
    <n v="0"/>
    <m/>
    <n v="11.028529822042056"/>
    <n v="11.028529822042056"/>
    <n v="11.028529822042056"/>
    <n v="11.028529822042056"/>
    <n v="1"/>
    <n v="1"/>
    <n v="1"/>
    <n v="1"/>
    <n v="0"/>
    <n v="0"/>
    <n v="0"/>
    <n v="0"/>
    <n v="0"/>
    <n v="1"/>
    <n v="1"/>
    <n v="1"/>
    <n v="1"/>
    <n v="1"/>
    <n v="1"/>
    <n v="1"/>
    <n v="1"/>
    <m/>
    <m/>
    <n v="11.028529822042056"/>
    <m/>
    <n v="0"/>
    <n v="0"/>
    <m/>
    <m/>
    <n v="11.028529822042056"/>
    <s v="n/a"/>
    <n v="0"/>
    <n v="0"/>
    <n v="0"/>
    <m/>
    <m/>
    <n v="11.028529822042056"/>
    <m/>
    <n v="0"/>
    <n v="0"/>
    <m/>
    <m/>
    <n v="11.028529822042056"/>
    <m/>
    <n v="0"/>
    <n v="0"/>
    <n v="0"/>
    <n v="0"/>
    <n v="0"/>
    <n v="0"/>
    <n v="0"/>
    <s v="NA"/>
    <m/>
  </r>
  <r>
    <s v="NSG"/>
    <x v="4"/>
    <s v="Multi-Family"/>
    <s v="Whole Building - Public Housing"/>
    <x v="4"/>
    <s v="Steam Med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s v="Multi-Family"/>
    <s v="Whole Building - Public Housing"/>
    <x v="4"/>
    <s v="Steam Large Valve"/>
    <s v="MF"/>
    <x v="3"/>
    <s v="&quot;3 - Res Pipe Insulation&quot; worksheet"/>
    <s v="each"/>
    <n v="0"/>
    <n v="0"/>
    <n v="0"/>
    <n v="0"/>
    <n v="0"/>
    <m/>
    <n v="133.90978522057964"/>
    <n v="133.90978522057964"/>
    <n v="133.90978522057964"/>
    <n v="133.90978522057964"/>
    <n v="1"/>
    <n v="1"/>
    <n v="1"/>
    <n v="1"/>
    <n v="0"/>
    <n v="0"/>
    <n v="0"/>
    <n v="0"/>
    <n v="0"/>
    <n v="1"/>
    <n v="1"/>
    <n v="1"/>
    <n v="1"/>
    <n v="1"/>
    <n v="1"/>
    <n v="1"/>
    <n v="1"/>
    <m/>
    <m/>
    <n v="133.90978522057964"/>
    <m/>
    <n v="0"/>
    <n v="0"/>
    <m/>
    <m/>
    <n v="133.90978522057964"/>
    <s v="n/a"/>
    <n v="0"/>
    <n v="0"/>
    <n v="0"/>
    <m/>
    <m/>
    <n v="133.90978522057964"/>
    <m/>
    <n v="0"/>
    <n v="0"/>
    <m/>
    <m/>
    <n v="133.90978522057964"/>
    <m/>
    <n v="0"/>
    <n v="0"/>
    <n v="0"/>
    <n v="0"/>
    <n v="0"/>
    <n v="0"/>
    <n v="0"/>
    <s v="NA"/>
    <m/>
  </r>
  <r>
    <s v="NSG"/>
    <x v="4"/>
    <s v="Multi-Family"/>
    <s v="Whole Building - Public Housing"/>
    <x v="4"/>
    <s v="Steam X-Large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s v="Multi-Family"/>
    <s v="Whole Building - Public Housing"/>
    <x v="35"/>
    <s v="&gt;=300MBH, &lt;1,500, &gt;=81% AFUE"/>
    <s v="MF"/>
    <x v="3"/>
    <s v="4.4.10"/>
    <s v="each"/>
    <n v="0"/>
    <n v="0"/>
    <n v="0"/>
    <n v="0"/>
    <s v="CI-HVC-BOIL-V10-230101"/>
    <m/>
    <n v="0.63884615384615429"/>
    <n v="0.63884615384615429"/>
    <n v="0.63884615384615429"/>
    <n v="0.63884615384615429"/>
    <n v="1"/>
    <n v="1"/>
    <n v="1"/>
    <n v="1"/>
    <n v="0"/>
    <n v="0"/>
    <n v="0"/>
    <n v="0"/>
    <n v="0"/>
    <n v="1"/>
    <n v="1"/>
    <n v="1"/>
    <n v="1"/>
    <n v="1"/>
    <n v="1"/>
    <n v="1"/>
    <n v="1"/>
    <m/>
    <m/>
    <n v="0.63884615384615429"/>
    <m/>
    <n v="0"/>
    <n v="0"/>
    <m/>
    <m/>
    <n v="0.42050632911392438"/>
    <s v="n/a"/>
    <n v="0"/>
    <n v="0"/>
    <n v="0"/>
    <m/>
    <m/>
    <n v="0.42050632911392438"/>
    <m/>
    <n v="0"/>
    <n v="0"/>
    <m/>
    <m/>
    <n v="0.42050632911392438"/>
    <m/>
    <n v="0"/>
    <n v="0"/>
    <n v="0"/>
    <n v="0"/>
    <n v="0"/>
    <n v="0"/>
    <n v="0"/>
    <s v="NA"/>
    <m/>
  </r>
  <r>
    <s v="NSG"/>
    <x v="4"/>
    <s v="Multi-Family"/>
    <s v="Whole Building - Public Housing"/>
    <x v="35"/>
    <s v=" &gt;=1500MBH, &gt;=82% TE"/>
    <s v="MF"/>
    <x v="3"/>
    <s v="4.4.10"/>
    <s v="each"/>
    <n v="0"/>
    <n v="0"/>
    <n v="0"/>
    <n v="0"/>
    <s v="CI-HVC-BOIL-V10-230101"/>
    <m/>
    <n v="0.85179487179487012"/>
    <n v="0.85179487179487012"/>
    <n v="0.85179487179487012"/>
    <n v="0.85179487179487012"/>
    <n v="1"/>
    <n v="1"/>
    <n v="1"/>
    <n v="1"/>
    <n v="0"/>
    <n v="0"/>
    <n v="0"/>
    <n v="0"/>
    <n v="0"/>
    <n v="1"/>
    <n v="1"/>
    <n v="1"/>
    <n v="1"/>
    <n v="1"/>
    <n v="1"/>
    <n v="1"/>
    <n v="1"/>
    <m/>
    <m/>
    <n v="0.85179487179487012"/>
    <m/>
    <n v="0"/>
    <n v="0"/>
    <m/>
    <m/>
    <n v="0.63075949367088424"/>
    <s v="n/a"/>
    <n v="0"/>
    <n v="0"/>
    <n v="0"/>
    <m/>
    <m/>
    <n v="0.63075949367088424"/>
    <m/>
    <n v="0"/>
    <n v="0"/>
    <m/>
    <m/>
    <n v="0.63075949367088424"/>
    <m/>
    <n v="0"/>
    <n v="0"/>
    <n v="0"/>
    <n v="0"/>
    <n v="0"/>
    <n v="0"/>
    <n v="0"/>
    <s v="NA"/>
    <m/>
  </r>
  <r>
    <s v="NSG"/>
    <x v="4"/>
    <s v="Multi-Family"/>
    <s v="Whole Building - Public Housing"/>
    <x v="55"/>
    <n v="0"/>
    <s v="MF"/>
    <x v="3"/>
    <s v="4.4.36"/>
    <s v="each"/>
    <n v="0"/>
    <n v="0"/>
    <n v="0"/>
    <n v="0"/>
    <s v="CI-HVC-SBAC-V03-230101"/>
    <m/>
    <n v="83.05"/>
    <n v="83.05"/>
    <n v="83.05"/>
    <n v="83.05"/>
    <n v="1"/>
    <n v="1"/>
    <n v="1"/>
    <n v="1"/>
    <n v="0"/>
    <n v="0"/>
    <n v="0"/>
    <n v="0"/>
    <n v="0"/>
    <n v="1"/>
    <n v="1"/>
    <n v="1"/>
    <n v="1"/>
    <n v="1"/>
    <n v="1"/>
    <n v="1"/>
    <n v="1"/>
    <m/>
    <m/>
    <n v="83.05"/>
    <m/>
    <n v="0"/>
    <n v="0"/>
    <m/>
    <m/>
    <n v="83.05"/>
    <s v="n/a"/>
    <n v="0"/>
    <n v="0"/>
    <n v="0"/>
    <m/>
    <m/>
    <n v="83.05"/>
    <m/>
    <n v="0"/>
    <n v="0"/>
    <m/>
    <m/>
    <n v="83.05"/>
    <m/>
    <n v="0"/>
    <n v="0"/>
    <n v="0"/>
    <n v="0"/>
    <n v="0"/>
    <n v="0"/>
    <n v="0"/>
    <s v="NA"/>
    <m/>
  </r>
  <r>
    <s v="NSG"/>
    <x v="4"/>
    <s v="Multi-Family"/>
    <s v="Whole Building - Public Housing"/>
    <x v="46"/>
    <n v="0"/>
    <s v="MF"/>
    <x v="3"/>
    <s v="4.3.8"/>
    <s v="each"/>
    <n v="0"/>
    <n v="0"/>
    <n v="0"/>
    <n v="0"/>
    <s v="CI-HWE-CDHW-V04-230101"/>
    <m/>
    <n v="62.687100553999997"/>
    <n v="62.687100553999997"/>
    <n v="62.687100553999997"/>
    <n v="62.687100553999997"/>
    <n v="1"/>
    <n v="1"/>
    <n v="1"/>
    <n v="1"/>
    <n v="0"/>
    <n v="0"/>
    <n v="0"/>
    <n v="0"/>
    <n v="0"/>
    <n v="1"/>
    <n v="1"/>
    <n v="1"/>
    <n v="1"/>
    <n v="1"/>
    <n v="1"/>
    <n v="1"/>
    <n v="1"/>
    <m/>
    <m/>
    <n v="62.687100553999997"/>
    <m/>
    <n v="0"/>
    <n v="0"/>
    <m/>
    <m/>
    <n v="58.563635988000001"/>
    <s v="Updated inputs to new multifamily assumptions"/>
    <n v="0"/>
    <n v="0"/>
    <n v="0"/>
    <m/>
    <m/>
    <n v="58.563635988000001"/>
    <m/>
    <n v="0"/>
    <n v="0"/>
    <m/>
    <m/>
    <n v="58.563635988000001"/>
    <m/>
    <n v="0"/>
    <n v="0"/>
    <n v="0"/>
    <n v="0"/>
    <n v="0"/>
    <n v="0"/>
    <n v="0"/>
    <s v="NA"/>
    <m/>
  </r>
  <r>
    <s v="NSG"/>
    <x v="4"/>
    <s v="Multi-Family"/>
    <s v="Whole Building - Public Housing"/>
    <x v="12"/>
    <s v="Central/Indirect MF ≥88% TE"/>
    <s v="MF"/>
    <x v="3"/>
    <s v="4.3.7"/>
    <s v="each"/>
    <n v="0"/>
    <n v="0"/>
    <n v="0"/>
    <n v="0"/>
    <s v="CI-HWE-MDHW-V06-230101"/>
    <m/>
    <n v="453.64159574999974"/>
    <n v="453.64159574999974"/>
    <n v="453.64159574999974"/>
    <n v="453.64159574999974"/>
    <n v="1"/>
    <n v="1"/>
    <n v="1"/>
    <n v="1"/>
    <n v="0"/>
    <n v="0"/>
    <n v="0"/>
    <n v="0"/>
    <n v="0"/>
    <n v="1"/>
    <n v="1"/>
    <n v="1"/>
    <n v="1"/>
    <n v="1"/>
    <n v="1"/>
    <n v="1"/>
    <n v="1"/>
    <m/>
    <m/>
    <n v="474.72634597499967"/>
    <m/>
    <n v="0"/>
    <n v="0"/>
    <m/>
    <m/>
    <n v="474.72634597499967"/>
    <s v="n/a"/>
    <n v="0"/>
    <n v="0"/>
    <n v="0"/>
    <m/>
    <m/>
    <n v="474.72634597499967"/>
    <m/>
    <n v="0"/>
    <n v="0"/>
    <m/>
    <m/>
    <n v="474.72634597499967"/>
    <m/>
    <n v="0"/>
    <n v="0"/>
    <n v="0"/>
    <n v="0"/>
    <n v="0"/>
    <n v="0"/>
    <n v="0"/>
    <s v="NA"/>
    <m/>
  </r>
  <r>
    <s v="NSG"/>
    <x v="4"/>
    <s v="Multi-Family"/>
    <s v="Whole Building - Public Housing"/>
    <x v="12"/>
    <s v="Storage 0.67 EF"/>
    <s v="MF"/>
    <x v="3"/>
    <s v="4.3.1"/>
    <s v="each"/>
    <n v="0"/>
    <n v="0"/>
    <n v="0"/>
    <n v="0"/>
    <s v="CI-HWE-STWH-V09-230101"/>
    <m/>
    <n v="35.435517834876244"/>
    <n v="35.435517834876244"/>
    <n v="35.435517834876244"/>
    <n v="35.435517834876244"/>
    <n v="1"/>
    <n v="1"/>
    <n v="1"/>
    <n v="1"/>
    <n v="0"/>
    <n v="0"/>
    <n v="0"/>
    <n v="0"/>
    <n v="0"/>
    <n v="1"/>
    <n v="1"/>
    <n v="1"/>
    <n v="1"/>
    <n v="1"/>
    <n v="1"/>
    <n v="1"/>
    <n v="1"/>
    <m/>
    <m/>
    <n v="37.082520776497255"/>
    <m/>
    <n v="0"/>
    <n v="0"/>
    <m/>
    <m/>
    <n v="36.883152385225763"/>
    <s v="n/a"/>
    <n v="0"/>
    <n v="0"/>
    <n v="0"/>
    <m/>
    <m/>
    <n v="36.883152385225763"/>
    <m/>
    <n v="0"/>
    <n v="0"/>
    <m/>
    <m/>
    <n v="36.883152385225763"/>
    <m/>
    <n v="0"/>
    <n v="0"/>
    <n v="0"/>
    <n v="0"/>
    <n v="0"/>
    <n v="0"/>
    <n v="0"/>
    <s v="NA"/>
    <m/>
  </r>
  <r>
    <s v="NSG"/>
    <x v="4"/>
    <s v="Multi-Family"/>
    <s v="Whole Building - Public Housing"/>
    <x v="12"/>
    <s v="Tankless"/>
    <s v="MF"/>
    <x v="3"/>
    <s v="5.4.2"/>
    <s v="each"/>
    <n v="0"/>
    <n v="0"/>
    <n v="0"/>
    <n v="0"/>
    <s v="RS-HWE-GWHT-V10-220101"/>
    <m/>
    <n v="52.561472982403039"/>
    <n v="52.561472982403039"/>
    <n v="52.561472982403039"/>
    <n v="52.561472982403039"/>
    <n v="1"/>
    <n v="1"/>
    <n v="1"/>
    <n v="1"/>
    <n v="0"/>
    <n v="0"/>
    <n v="0"/>
    <n v="0"/>
    <n v="0"/>
    <n v="1"/>
    <n v="1"/>
    <n v="1"/>
    <n v="1"/>
    <n v="1"/>
    <n v="1"/>
    <n v="1"/>
    <n v="1"/>
    <m/>
    <m/>
    <n v="55.004471022430224"/>
    <m/>
    <n v="0"/>
    <n v="0"/>
    <m/>
    <m/>
    <n v="55.004471022430224"/>
    <s v="n/a"/>
    <n v="0"/>
    <n v="0"/>
    <n v="0"/>
    <m/>
    <m/>
    <n v="55.004471022430224"/>
    <m/>
    <n v="0"/>
    <n v="0"/>
    <m/>
    <m/>
    <n v="55.004471022430224"/>
    <m/>
    <n v="0"/>
    <n v="0"/>
    <n v="0"/>
    <n v="0"/>
    <n v="0"/>
    <n v="0"/>
    <n v="0"/>
    <s v="NA"/>
    <m/>
  </r>
  <r>
    <s v="NSG"/>
    <x v="4"/>
    <s v="Multi-Family"/>
    <s v="Whole Building - Public Housing"/>
    <x v="75"/>
    <n v="0"/>
    <s v="CI"/>
    <x v="3"/>
    <s v="4.4.27"/>
    <s v="each"/>
    <n v="0"/>
    <n v="0"/>
    <n v="0"/>
    <n v="0"/>
    <s v="CI-HVC-ERVE-V05-230101"/>
    <m/>
    <n v="0.47508182047227931"/>
    <n v="0.47508182047227931"/>
    <n v="0.47508182047227931"/>
    <n v="0.47508182047227931"/>
    <n v="1"/>
    <n v="1"/>
    <n v="1"/>
    <n v="1"/>
    <n v="0"/>
    <n v="0"/>
    <n v="0"/>
    <n v="0"/>
    <n v="0"/>
    <n v="1"/>
    <n v="1"/>
    <n v="1"/>
    <n v="1"/>
    <n v="1"/>
    <n v="1"/>
    <n v="1"/>
    <n v="1"/>
    <m/>
    <m/>
    <n v="0.47508182047227931"/>
    <m/>
    <n v="0"/>
    <n v="0"/>
    <m/>
    <m/>
    <n v="0.47508182047227931"/>
    <s v="n/a"/>
    <n v="0"/>
    <n v="0"/>
    <n v="0"/>
    <m/>
    <m/>
    <n v="0.47508182047227931"/>
    <m/>
    <n v="0"/>
    <n v="0"/>
    <m/>
    <m/>
    <n v="0.47508182047227931"/>
    <m/>
    <n v="0"/>
    <n v="0"/>
    <n v="0"/>
    <n v="0"/>
    <n v="0"/>
    <n v="0"/>
    <n v="0"/>
    <s v="NA"/>
    <m/>
  </r>
  <r>
    <s v="NSG"/>
    <x v="4"/>
    <s v="Multi-Family"/>
    <s v="Partner Trade Ally Rebate"/>
    <x v="41"/>
    <s v="Test"/>
    <s v="MF"/>
    <x v="3"/>
    <n v="0"/>
    <s v="each"/>
    <n v="0"/>
    <n v="0"/>
    <n v="0"/>
    <n v="0"/>
    <n v="0"/>
    <m/>
    <n v="0"/>
    <n v="0"/>
    <n v="0"/>
    <n v="0"/>
    <n v="1"/>
    <n v="1"/>
    <n v="1"/>
    <n v="1"/>
    <n v="0"/>
    <n v="0"/>
    <n v="0"/>
    <n v="0"/>
    <n v="0"/>
    <n v="1"/>
    <n v="1"/>
    <n v="1"/>
    <n v="1"/>
    <n v="1"/>
    <n v="1"/>
    <n v="1"/>
    <n v="1"/>
    <m/>
    <m/>
    <n v="0"/>
    <m/>
    <n v="0"/>
    <n v="0"/>
    <m/>
    <m/>
    <n v="0"/>
    <s v="n/a"/>
    <n v="0"/>
    <n v="0"/>
    <n v="0"/>
    <m/>
    <m/>
    <n v="0"/>
    <m/>
    <n v="0"/>
    <n v="0"/>
    <m/>
    <m/>
    <n v="0"/>
    <m/>
    <n v="0"/>
    <n v="0"/>
    <n v="0"/>
    <n v="0"/>
    <n v="0"/>
    <n v="0"/>
    <n v="0"/>
    <s v="NA"/>
    <m/>
  </r>
  <r>
    <s v="NSG"/>
    <x v="4"/>
    <s v="Multi-Family"/>
    <s v="Partner Trade Ally Rebate"/>
    <x v="41"/>
    <s v="HVAC Repair/Rep - Audit"/>
    <s v="MF"/>
    <x v="3"/>
    <s v="4.4.16"/>
    <s v="each"/>
    <n v="0"/>
    <n v="0"/>
    <n v="0"/>
    <n v="0"/>
    <s v="CI-HVC-STRE-V09-230101"/>
    <m/>
    <n v="197.03296629323975"/>
    <n v="197.03296629323975"/>
    <n v="197.03296629323975"/>
    <n v="197.03296629323975"/>
    <n v="1"/>
    <n v="1"/>
    <n v="1"/>
    <n v="1"/>
    <n v="0"/>
    <n v="0"/>
    <n v="0"/>
    <n v="0"/>
    <n v="0"/>
    <n v="1"/>
    <n v="1"/>
    <n v="1"/>
    <n v="1"/>
    <n v="1"/>
    <n v="1"/>
    <n v="1"/>
    <n v="1"/>
    <m/>
    <m/>
    <n v="197.03296629323975"/>
    <m/>
    <n v="0"/>
    <n v="0"/>
    <m/>
    <m/>
    <n v="197.03296629323975"/>
    <s v="Updated inputs for Commercial LPS Space Heating and Industrial/Process Low Pressure"/>
    <n v="0"/>
    <n v="0"/>
    <n v="0"/>
    <m/>
    <m/>
    <n v="197.03296629323975"/>
    <m/>
    <n v="0"/>
    <n v="0"/>
    <m/>
    <m/>
    <n v="197.03296629323975"/>
    <m/>
    <n v="0"/>
    <n v="0"/>
    <n v="0"/>
    <n v="0"/>
    <n v="0"/>
    <n v="0"/>
    <n v="0"/>
    <s v="NA"/>
    <m/>
  </r>
  <r>
    <s v="NSG"/>
    <x v="4"/>
    <s v="Multi-Family"/>
    <s v="Partner Trade Ally Rebate"/>
    <x v="41"/>
    <s v="HVAC Repair/Rep - No Audit"/>
    <s v="MF"/>
    <x v="3"/>
    <s v="4.4.16"/>
    <s v="each"/>
    <n v="0"/>
    <n v="0"/>
    <n v="0"/>
    <n v="0"/>
    <s v="CI-HVC-STRE-V09-230101"/>
    <m/>
    <n v="53.198900899174738"/>
    <n v="53.198900899174738"/>
    <n v="53.198900899174738"/>
    <n v="53.198900899174738"/>
    <n v="1"/>
    <n v="1"/>
    <n v="1"/>
    <n v="1"/>
    <n v="0"/>
    <n v="0"/>
    <n v="0"/>
    <n v="0"/>
    <n v="0"/>
    <n v="1"/>
    <n v="1"/>
    <n v="1"/>
    <n v="1"/>
    <n v="1"/>
    <n v="1"/>
    <n v="1"/>
    <n v="1"/>
    <m/>
    <m/>
    <n v="53.198900899174738"/>
    <m/>
    <n v="0"/>
    <n v="0"/>
    <m/>
    <m/>
    <n v="53.198900899174738"/>
    <s v="Updated inputs for Commercial LPS Space Heating and Industrial/Process Low Pressure"/>
    <n v="0"/>
    <n v="0"/>
    <n v="0"/>
    <m/>
    <m/>
    <n v="53.198900899174738"/>
    <m/>
    <n v="0"/>
    <n v="0"/>
    <m/>
    <m/>
    <n v="53.198900899174738"/>
    <m/>
    <n v="0"/>
    <n v="0"/>
    <n v="0"/>
    <n v="0"/>
    <n v="0"/>
    <n v="0"/>
    <n v="0"/>
    <s v="NA"/>
    <m/>
  </r>
  <r>
    <s v="NSG"/>
    <x v="4"/>
    <s v="Multi-Family"/>
    <s v="Partner Trade Ally Rebate"/>
    <x v="4"/>
    <s v="Hyd. Boiler Sm ≤1.25&quot;"/>
    <s v="MF"/>
    <x v="3"/>
    <s v="&quot;3 - Res Pipe Insulation&quot; worksheet"/>
    <s v="each"/>
    <n v="0"/>
    <n v="0"/>
    <n v="0"/>
    <n v="0"/>
    <n v="0"/>
    <m/>
    <n v="2.0682348076923076"/>
    <n v="2.0682348076923076"/>
    <n v="2.0682348076923076"/>
    <n v="2.0682348076923076"/>
    <n v="1"/>
    <n v="1"/>
    <n v="1"/>
    <n v="1"/>
    <n v="0"/>
    <n v="0"/>
    <n v="0"/>
    <n v="0"/>
    <n v="0"/>
    <n v="1"/>
    <n v="1"/>
    <n v="1"/>
    <n v="1"/>
    <n v="1"/>
    <n v="1"/>
    <n v="1"/>
    <n v="1"/>
    <m/>
    <m/>
    <n v="2.0682348076923076"/>
    <m/>
    <n v="0"/>
    <n v="0"/>
    <m/>
    <m/>
    <n v="2.0682348076923076"/>
    <s v="n/a"/>
    <n v="0"/>
    <n v="0"/>
    <n v="0"/>
    <m/>
    <m/>
    <n v="2.0682348076923076"/>
    <m/>
    <n v="0"/>
    <n v="0"/>
    <m/>
    <m/>
    <n v="2.0682348076923076"/>
    <m/>
    <n v="0"/>
    <n v="0"/>
    <n v="0"/>
    <n v="0"/>
    <n v="0"/>
    <n v="0"/>
    <n v="0"/>
    <s v="NA"/>
    <m/>
  </r>
  <r>
    <s v="NSG"/>
    <x v="4"/>
    <s v="Multi-Family"/>
    <s v="Partner Trade Ally Rebate"/>
    <x v="4"/>
    <s v="Hyd. Boiler Med 1.25-2&quot;"/>
    <s v="MF"/>
    <x v="3"/>
    <s v="&quot;3 - Res Pipe Insulation&quot; worksheet"/>
    <s v="each"/>
    <n v="0"/>
    <n v="0"/>
    <n v="0"/>
    <n v="0"/>
    <n v="0"/>
    <m/>
    <n v="3.6034773504273505"/>
    <n v="3.6034773504273505"/>
    <n v="3.6034773504273505"/>
    <n v="3.6034773504273505"/>
    <n v="1"/>
    <n v="1"/>
    <n v="1"/>
    <n v="1"/>
    <n v="0"/>
    <n v="0"/>
    <n v="0"/>
    <n v="0"/>
    <n v="0"/>
    <n v="1"/>
    <n v="1"/>
    <n v="1"/>
    <n v="1"/>
    <n v="1"/>
    <n v="1"/>
    <n v="1"/>
    <n v="1"/>
    <m/>
    <m/>
    <n v="3.6034773504273505"/>
    <m/>
    <n v="0"/>
    <n v="0"/>
    <m/>
    <m/>
    <n v="3.6034773504273505"/>
    <s v="n/a"/>
    <n v="0"/>
    <n v="0"/>
    <n v="0"/>
    <m/>
    <m/>
    <n v="3.6034773504273505"/>
    <m/>
    <n v="0"/>
    <n v="0"/>
    <m/>
    <m/>
    <n v="3.6034773504273505"/>
    <m/>
    <n v="0"/>
    <n v="0"/>
    <n v="0"/>
    <n v="0"/>
    <n v="0"/>
    <n v="0"/>
    <n v="0"/>
    <s v="NA"/>
    <m/>
  </r>
  <r>
    <s v="NSG"/>
    <x v="4"/>
    <s v="Multi-Family"/>
    <s v="Partner Trade Ally Rebate"/>
    <x v="4"/>
    <s v="Hyd. Boiler Large ≥2&quot;"/>
    <s v="MF"/>
    <x v="3"/>
    <s v="&quot;3 - Res Pipe Insulation&quot; worksheet"/>
    <s v="each"/>
    <n v="0"/>
    <n v="0"/>
    <n v="0"/>
    <n v="0"/>
    <n v="0"/>
    <m/>
    <n v="6.1867824786324785"/>
    <n v="6.1867824786324785"/>
    <n v="6.1867824786324785"/>
    <n v="6.1867824786324785"/>
    <n v="1"/>
    <n v="1"/>
    <n v="1"/>
    <n v="1"/>
    <n v="0"/>
    <n v="0"/>
    <n v="0"/>
    <n v="0"/>
    <n v="0"/>
    <n v="1"/>
    <n v="1"/>
    <n v="1"/>
    <n v="1"/>
    <n v="1"/>
    <n v="1"/>
    <n v="1"/>
    <n v="1"/>
    <m/>
    <m/>
    <n v="6.1867824786324785"/>
    <m/>
    <n v="0"/>
    <n v="0"/>
    <m/>
    <m/>
    <n v="6.1867824786324785"/>
    <s v="n/a"/>
    <n v="0"/>
    <n v="0"/>
    <n v="0"/>
    <m/>
    <m/>
    <n v="6.1867824786324785"/>
    <m/>
    <n v="0"/>
    <n v="0"/>
    <m/>
    <m/>
    <n v="6.1867824786324785"/>
    <m/>
    <n v="0"/>
    <n v="0"/>
    <n v="0"/>
    <n v="0"/>
    <n v="0"/>
    <n v="0"/>
    <n v="0"/>
    <s v="NA"/>
    <m/>
  </r>
  <r>
    <s v="NSG"/>
    <x v="4"/>
    <s v="Multi-Family"/>
    <s v="Partner Trade Ally Rebate"/>
    <x v="4"/>
    <s v="HW Small 1&quot; to 2&quot;"/>
    <s v="MF/CI/SMB"/>
    <x v="3"/>
    <s v="&quot;3 - Res Pipe Insulation&quot; worksheet"/>
    <s v="each"/>
    <n v="0"/>
    <n v="0"/>
    <n v="0"/>
    <n v="0"/>
    <n v="0"/>
    <m/>
    <n v="2.6588140926267867"/>
    <n v="2.6588140926267867"/>
    <n v="2.6588140926267867"/>
    <n v="2.6588140926267867"/>
    <n v="1"/>
    <n v="1"/>
    <n v="1"/>
    <n v="1"/>
    <n v="0"/>
    <n v="0"/>
    <n v="0"/>
    <n v="0"/>
    <n v="0"/>
    <n v="1"/>
    <n v="1"/>
    <n v="1"/>
    <n v="1"/>
    <n v="1"/>
    <n v="1"/>
    <n v="1"/>
    <n v="1"/>
    <m/>
    <m/>
    <n v="2.6588140926267867"/>
    <m/>
    <n v="0"/>
    <n v="0"/>
    <m/>
    <m/>
    <n v="2.6588140926267867"/>
    <s v="n/a"/>
    <n v="0"/>
    <n v="0"/>
    <n v="0"/>
    <m/>
    <m/>
    <n v="2.6588140926267867"/>
    <m/>
    <n v="0"/>
    <n v="0"/>
    <m/>
    <m/>
    <n v="2.6588140926267867"/>
    <m/>
    <n v="0"/>
    <n v="0"/>
    <n v="0"/>
    <n v="0"/>
    <n v="0"/>
    <n v="0"/>
    <n v="0"/>
    <s v="NA"/>
    <m/>
  </r>
  <r>
    <s v="NSG"/>
    <x v="4"/>
    <s v="Multi-Family"/>
    <s v="Partner Trade Ally Rebate"/>
    <x v="4"/>
    <s v="HW Medium 2.1&quot; to 4&quot;"/>
    <s v="MF/CI/SMB"/>
    <x v="3"/>
    <s v="&quot;3 - Res Pipe Insulation&quot; worksheet"/>
    <s v="each"/>
    <n v="0"/>
    <n v="0"/>
    <n v="0"/>
    <n v="0"/>
    <n v="0"/>
    <m/>
    <n v="5.2492031493764015"/>
    <n v="5.2492031493764015"/>
    <n v="5.2492031493764015"/>
    <n v="5.2492031493764015"/>
    <n v="1"/>
    <n v="1"/>
    <n v="1"/>
    <n v="1"/>
    <n v="0"/>
    <n v="0"/>
    <n v="0"/>
    <n v="0"/>
    <n v="0"/>
    <n v="1"/>
    <n v="1"/>
    <n v="1"/>
    <n v="1"/>
    <n v="1"/>
    <n v="1"/>
    <n v="1"/>
    <n v="1"/>
    <m/>
    <m/>
    <n v="5.2492031493764015"/>
    <m/>
    <n v="0"/>
    <n v="0"/>
    <m/>
    <m/>
    <n v="5.2492031493764015"/>
    <s v="n/a"/>
    <n v="0"/>
    <n v="0"/>
    <n v="0"/>
    <m/>
    <m/>
    <n v="5.2492031493764015"/>
    <m/>
    <n v="0"/>
    <n v="0"/>
    <m/>
    <m/>
    <n v="5.2492031493764015"/>
    <m/>
    <n v="0"/>
    <n v="0"/>
    <n v="0"/>
    <n v="0"/>
    <n v="0"/>
    <n v="0"/>
    <n v="0"/>
    <s v="NA"/>
    <m/>
  </r>
  <r>
    <s v="NSG"/>
    <x v="4"/>
    <s v="Multi-Family"/>
    <s v="Partner Trade Ally Rebate"/>
    <x v="4"/>
    <s v="HW Large &gt;4&quot;"/>
    <s v="MF/CI/SMB"/>
    <x v="3"/>
    <s v="&quot;3 - Res Pipe Insulation&quot; worksheet"/>
    <s v="each"/>
    <n v="0"/>
    <n v="0"/>
    <n v="0"/>
    <n v="0"/>
    <n v="0"/>
    <m/>
    <n v="9.0407613085908682"/>
    <n v="9.0407613085908682"/>
    <n v="9.0407613085908682"/>
    <n v="9.0407613085908682"/>
    <n v="1"/>
    <n v="1"/>
    <n v="1"/>
    <n v="1"/>
    <n v="0"/>
    <n v="0"/>
    <n v="0"/>
    <n v="0"/>
    <n v="0"/>
    <n v="1"/>
    <n v="1"/>
    <n v="1"/>
    <n v="1"/>
    <n v="1"/>
    <n v="1"/>
    <n v="1"/>
    <n v="1"/>
    <m/>
    <m/>
    <n v="9.0407613085908682"/>
    <m/>
    <n v="0"/>
    <n v="0"/>
    <m/>
    <m/>
    <n v="9.0407613085908682"/>
    <s v="n/a"/>
    <n v="0"/>
    <n v="0"/>
    <n v="0"/>
    <m/>
    <m/>
    <n v="9.0407613085908682"/>
    <m/>
    <n v="0"/>
    <n v="0"/>
    <m/>
    <m/>
    <n v="9.0407613085908682"/>
    <m/>
    <n v="0"/>
    <n v="0"/>
    <n v="0"/>
    <n v="0"/>
    <n v="0"/>
    <n v="0"/>
    <n v="0"/>
    <s v="NA"/>
    <m/>
  </r>
  <r>
    <s v="NSG"/>
    <x v="4"/>
    <s v="Multi-Family"/>
    <s v="Partner Trade Ally Rebate"/>
    <x v="4"/>
    <s v="Steam - Small 1&quot; to 2&quot;"/>
    <s v="MF"/>
    <x v="3"/>
    <s v="&quot;3 - Res Pipe Insulation&quot; worksheet"/>
    <s v="each"/>
    <n v="0"/>
    <n v="0"/>
    <n v="0"/>
    <n v="0"/>
    <n v="0"/>
    <m/>
    <n v="3.967097058288509"/>
    <n v="3.967097058288509"/>
    <n v="3.967097058288509"/>
    <n v="3.967097058288509"/>
    <n v="1"/>
    <n v="1"/>
    <n v="1"/>
    <n v="1"/>
    <n v="0"/>
    <n v="0"/>
    <n v="0"/>
    <n v="0"/>
    <n v="0"/>
    <n v="1"/>
    <n v="1"/>
    <n v="1"/>
    <n v="1"/>
    <n v="1"/>
    <n v="1"/>
    <n v="1"/>
    <n v="1"/>
    <m/>
    <m/>
    <n v="3.967097058288509"/>
    <m/>
    <n v="0"/>
    <n v="0"/>
    <m/>
    <m/>
    <n v="3.967097058288509"/>
    <s v="n/a"/>
    <n v="0"/>
    <n v="0"/>
    <n v="0"/>
    <m/>
    <m/>
    <n v="3.967097058288509"/>
    <m/>
    <n v="0"/>
    <n v="0"/>
    <m/>
    <m/>
    <n v="3.967097058288509"/>
    <m/>
    <n v="0"/>
    <n v="0"/>
    <n v="0"/>
    <n v="0"/>
    <n v="0"/>
    <n v="0"/>
    <n v="0"/>
    <s v="NA"/>
    <m/>
  </r>
  <r>
    <s v="NSG"/>
    <x v="4"/>
    <s v="Multi-Family"/>
    <s v="Partner Trade Ally Rebate"/>
    <x v="4"/>
    <s v="Steam - Med 2.1&quot; to 5&quot;"/>
    <s v="MF"/>
    <x v="3"/>
    <s v="&quot;3 - Res Pipe Insulation&quot; worksheet"/>
    <s v="each"/>
    <n v="0"/>
    <n v="0"/>
    <n v="0"/>
    <n v="0"/>
    <n v="0"/>
    <m/>
    <n v="15.954497207020932"/>
    <n v="15.954497207020932"/>
    <n v="15.954497207020932"/>
    <n v="15.954497207020932"/>
    <n v="1"/>
    <n v="1"/>
    <n v="1"/>
    <n v="1"/>
    <n v="0"/>
    <n v="0"/>
    <n v="0"/>
    <n v="0"/>
    <n v="0"/>
    <n v="1"/>
    <n v="1"/>
    <n v="1"/>
    <n v="1"/>
    <n v="1"/>
    <n v="1"/>
    <n v="1"/>
    <n v="1"/>
    <m/>
    <m/>
    <n v="15.954497207020932"/>
    <m/>
    <n v="0"/>
    <n v="0"/>
    <m/>
    <m/>
    <n v="15.954497207020932"/>
    <s v="n/a"/>
    <n v="0"/>
    <n v="0"/>
    <n v="0"/>
    <m/>
    <m/>
    <n v="15.954497207020932"/>
    <m/>
    <n v="0"/>
    <n v="0"/>
    <m/>
    <m/>
    <n v="15.954497207020932"/>
    <m/>
    <n v="0"/>
    <n v="0"/>
    <n v="0"/>
    <n v="0"/>
    <n v="0"/>
    <n v="0"/>
    <n v="0"/>
    <s v="NA"/>
    <m/>
  </r>
  <r>
    <s v="NSG"/>
    <x v="4"/>
    <s v="Multi-Family"/>
    <s v="Partner Trade Ally Rebate"/>
    <x v="4"/>
    <s v="Steam - Large 5.1&quot; to 8&quot;"/>
    <s v="MF"/>
    <x v="3"/>
    <s v="&quot;3 - Res Pipe Insulation&quot; worksheet"/>
    <s v="each"/>
    <n v="0"/>
    <n v="0"/>
    <n v="0"/>
    <n v="0"/>
    <n v="0"/>
    <m/>
    <n v="31.133964854103496"/>
    <n v="31.133964854103496"/>
    <n v="31.133964854103496"/>
    <n v="31.133964854103496"/>
    <n v="1"/>
    <n v="1"/>
    <n v="1"/>
    <n v="1"/>
    <n v="0"/>
    <n v="0"/>
    <n v="0"/>
    <n v="0"/>
    <n v="0"/>
    <n v="1"/>
    <n v="1"/>
    <n v="1"/>
    <n v="1"/>
    <n v="1"/>
    <n v="1"/>
    <n v="1"/>
    <n v="1"/>
    <m/>
    <m/>
    <n v="31.133964854103496"/>
    <m/>
    <n v="0"/>
    <n v="0"/>
    <m/>
    <m/>
    <n v="31.133964854103496"/>
    <s v="n/a"/>
    <n v="0"/>
    <n v="0"/>
    <n v="0"/>
    <m/>
    <m/>
    <n v="31.133964854103496"/>
    <m/>
    <n v="0"/>
    <n v="0"/>
    <m/>
    <m/>
    <n v="31.133964854103496"/>
    <m/>
    <n v="0"/>
    <n v="0"/>
    <n v="0"/>
    <n v="0"/>
    <n v="0"/>
    <n v="0"/>
    <n v="0"/>
    <s v="NA"/>
    <m/>
  </r>
  <r>
    <s v="NSG"/>
    <x v="4"/>
    <s v="Multi-Family"/>
    <s v="Partner Trade Ally Rebate"/>
    <x v="4"/>
    <s v="Steam - X-Large &gt;8&quot;"/>
    <s v="MF"/>
    <x v="3"/>
    <s v="&quot;3 - Res Pipe Insulation&quot; worksheet"/>
    <s v="each"/>
    <n v="0"/>
    <n v="0"/>
    <n v="0"/>
    <n v="0"/>
    <n v="0"/>
    <m/>
    <n v="44.814401171573145"/>
    <n v="44.814401171573145"/>
    <n v="44.814401171573145"/>
    <n v="44.814401171573145"/>
    <n v="1"/>
    <n v="1"/>
    <n v="1"/>
    <n v="1"/>
    <n v="0"/>
    <n v="0"/>
    <n v="0"/>
    <n v="0"/>
    <n v="0"/>
    <n v="1"/>
    <n v="1"/>
    <n v="1"/>
    <n v="1"/>
    <n v="1"/>
    <n v="1"/>
    <n v="1"/>
    <n v="1"/>
    <m/>
    <m/>
    <n v="44.814401171573145"/>
    <m/>
    <n v="0"/>
    <n v="0"/>
    <m/>
    <m/>
    <n v="44.814401171573145"/>
    <s v="n/a"/>
    <n v="0"/>
    <n v="0"/>
    <n v="0"/>
    <m/>
    <m/>
    <n v="44.814401171573145"/>
    <m/>
    <n v="0"/>
    <n v="0"/>
    <m/>
    <m/>
    <n v="44.814401171573145"/>
    <m/>
    <n v="0"/>
    <n v="0"/>
    <n v="0"/>
    <n v="0"/>
    <n v="0"/>
    <n v="0"/>
    <n v="0"/>
    <s v="NA"/>
    <m/>
  </r>
  <r>
    <s v="NSG"/>
    <x v="4"/>
    <s v="Multi-Family"/>
    <s v="Partner Trade Ally Rebate"/>
    <x v="4"/>
    <s v="Steam Med Fitting"/>
    <s v="MF"/>
    <x v="3"/>
    <s v="&quot;3 - Res Pipe Insulation&quot; worksheet"/>
    <s v="each"/>
    <n v="0"/>
    <n v="0"/>
    <n v="0"/>
    <n v="0"/>
    <n v="0"/>
    <m/>
    <n v="20.134575475260416"/>
    <n v="20.134575475260416"/>
    <n v="20.134575475260416"/>
    <n v="20.134575475260416"/>
    <n v="1"/>
    <n v="1"/>
    <n v="1"/>
    <n v="1"/>
    <n v="0"/>
    <n v="0"/>
    <n v="0"/>
    <n v="0"/>
    <n v="0"/>
    <n v="1"/>
    <n v="1"/>
    <n v="1"/>
    <n v="1"/>
    <n v="1"/>
    <n v="1"/>
    <n v="1"/>
    <n v="1"/>
    <m/>
    <m/>
    <n v="20.134575475260416"/>
    <m/>
    <n v="0"/>
    <n v="0"/>
    <m/>
    <m/>
    <n v="20.134575475260416"/>
    <s v="n/a"/>
    <n v="0"/>
    <n v="0"/>
    <n v="0"/>
    <m/>
    <m/>
    <n v="20.134575475260416"/>
    <m/>
    <n v="0"/>
    <n v="0"/>
    <m/>
    <m/>
    <n v="20.134575475260416"/>
    <m/>
    <n v="0"/>
    <n v="0"/>
    <n v="0"/>
    <n v="0"/>
    <n v="0"/>
    <n v="0"/>
    <n v="0"/>
    <s v="NA"/>
    <m/>
  </r>
  <r>
    <s v="NSG"/>
    <x v="4"/>
    <s v="Multi-Family"/>
    <s v="Partner Trade Ally Rebate"/>
    <x v="4"/>
    <s v="Steam Large Fitting"/>
    <s v="MF"/>
    <x v="3"/>
    <s v="&quot;3 - Res Pipe Insulation&quot; worksheet"/>
    <s v="each"/>
    <n v="0"/>
    <n v="0"/>
    <n v="0"/>
    <n v="0"/>
    <n v="0"/>
    <m/>
    <n v="66.284273233024678"/>
    <n v="66.284273233024678"/>
    <n v="66.284273233024678"/>
    <n v="66.284273233024678"/>
    <n v="1"/>
    <n v="1"/>
    <n v="1"/>
    <n v="1"/>
    <n v="0"/>
    <n v="0"/>
    <n v="0"/>
    <n v="0"/>
    <n v="0"/>
    <n v="1"/>
    <n v="1"/>
    <n v="1"/>
    <n v="1"/>
    <n v="1"/>
    <n v="1"/>
    <n v="1"/>
    <n v="1"/>
    <m/>
    <m/>
    <n v="66.284273233024678"/>
    <m/>
    <n v="0"/>
    <n v="0"/>
    <m/>
    <m/>
    <n v="66.284273233024678"/>
    <s v="n/a"/>
    <n v="0"/>
    <n v="0"/>
    <n v="0"/>
    <m/>
    <m/>
    <n v="66.284273233024678"/>
    <m/>
    <n v="0"/>
    <n v="0"/>
    <m/>
    <m/>
    <n v="66.284273233024678"/>
    <m/>
    <n v="0"/>
    <n v="0"/>
    <n v="0"/>
    <n v="0"/>
    <n v="0"/>
    <n v="0"/>
    <n v="0"/>
    <s v="NA"/>
    <m/>
  </r>
  <r>
    <s v="NSG"/>
    <x v="4"/>
    <s v="Multi-Family"/>
    <s v="Partner Trade Ally Rebate"/>
    <x v="4"/>
    <s v="Steam X-Large Fitting"/>
    <s v="MF"/>
    <x v="3"/>
    <s v="&quot;3 - Res Pipe Insulation&quot; worksheet"/>
    <s v="each"/>
    <n v="0"/>
    <n v="0"/>
    <n v="0"/>
    <n v="0"/>
    <n v="0"/>
    <m/>
    <n v="113.8883886472908"/>
    <n v="113.8883886472908"/>
    <n v="113.8883886472908"/>
    <n v="113.8883886472908"/>
    <n v="1"/>
    <n v="1"/>
    <n v="1"/>
    <n v="1"/>
    <n v="0"/>
    <n v="0"/>
    <n v="0"/>
    <n v="0"/>
    <n v="0"/>
    <n v="1"/>
    <n v="1"/>
    <n v="1"/>
    <n v="1"/>
    <n v="1"/>
    <n v="1"/>
    <n v="1"/>
    <n v="1"/>
    <m/>
    <m/>
    <n v="113.8883886472908"/>
    <m/>
    <n v="0"/>
    <n v="0"/>
    <m/>
    <m/>
    <n v="113.8883886472908"/>
    <s v="n/a"/>
    <n v="0"/>
    <n v="0"/>
    <n v="0"/>
    <m/>
    <m/>
    <n v="113.8883886472908"/>
    <m/>
    <n v="0"/>
    <n v="0"/>
    <m/>
    <m/>
    <n v="113.8883886472908"/>
    <m/>
    <n v="0"/>
    <n v="0"/>
    <n v="0"/>
    <n v="0"/>
    <n v="0"/>
    <n v="0"/>
    <n v="0"/>
    <s v="NA"/>
    <m/>
  </r>
  <r>
    <s v="NSG"/>
    <x v="4"/>
    <s v="Multi-Family"/>
    <s v="Partner Trade Ally Rebate"/>
    <x v="4"/>
    <s v="Steam Med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s v="Multi-Family"/>
    <s v="Partner Trade Ally Rebate"/>
    <x v="4"/>
    <s v="Steam Large Valve"/>
    <s v="MF"/>
    <x v="3"/>
    <s v="&quot;3 - Res Pipe Insulation&quot; worksheet"/>
    <s v="each"/>
    <n v="0"/>
    <n v="0"/>
    <n v="0"/>
    <n v="0"/>
    <n v="0"/>
    <m/>
    <n v="133.90978522057964"/>
    <n v="133.90978522057964"/>
    <n v="133.90978522057964"/>
    <n v="133.90978522057964"/>
    <n v="1"/>
    <n v="1"/>
    <n v="1"/>
    <n v="1"/>
    <n v="0"/>
    <n v="0"/>
    <n v="0"/>
    <n v="0"/>
    <n v="0"/>
    <n v="1"/>
    <n v="1"/>
    <n v="1"/>
    <n v="1"/>
    <n v="1"/>
    <n v="1"/>
    <n v="1"/>
    <n v="1"/>
    <m/>
    <m/>
    <n v="133.90978522057964"/>
    <m/>
    <n v="0"/>
    <n v="0"/>
    <m/>
    <m/>
    <n v="133.90978522057964"/>
    <s v="n/a"/>
    <n v="0"/>
    <n v="0"/>
    <n v="0"/>
    <m/>
    <m/>
    <n v="133.90978522057964"/>
    <m/>
    <n v="0"/>
    <n v="0"/>
    <m/>
    <m/>
    <n v="133.90978522057964"/>
    <m/>
    <n v="0"/>
    <n v="0"/>
    <n v="0"/>
    <n v="0"/>
    <n v="0"/>
    <n v="0"/>
    <n v="0"/>
    <s v="NA"/>
    <m/>
  </r>
  <r>
    <s v="NSG"/>
    <x v="4"/>
    <s v="Multi-Family"/>
    <s v="Partner Trade Ally Rebate"/>
    <x v="4"/>
    <s v="Steam X-Large Valve"/>
    <s v="MF"/>
    <x v="3"/>
    <s v="&quot;3 - Res Pipe Insulation&quot; worksheet"/>
    <s v="each"/>
    <n v="0"/>
    <n v="0"/>
    <n v="0"/>
    <n v="0"/>
    <n v="0"/>
    <m/>
    <n v="67.962640249087912"/>
    <n v="67.962640249087912"/>
    <n v="67.962640249087912"/>
    <n v="67.962640249087912"/>
    <n v="1"/>
    <n v="1"/>
    <n v="1"/>
    <n v="1"/>
    <n v="0"/>
    <n v="0"/>
    <n v="0"/>
    <n v="0"/>
    <n v="0"/>
    <n v="1"/>
    <n v="1"/>
    <n v="1"/>
    <n v="1"/>
    <n v="1"/>
    <n v="1"/>
    <n v="1"/>
    <n v="1"/>
    <m/>
    <m/>
    <n v="67.962640249087912"/>
    <m/>
    <n v="0"/>
    <n v="0"/>
    <m/>
    <m/>
    <n v="67.962640249087912"/>
    <s v="n/a"/>
    <n v="0"/>
    <n v="0"/>
    <n v="0"/>
    <m/>
    <m/>
    <n v="67.962640249087912"/>
    <m/>
    <n v="0"/>
    <n v="0"/>
    <m/>
    <m/>
    <n v="67.962640249087912"/>
    <m/>
    <n v="0"/>
    <n v="0"/>
    <n v="0"/>
    <n v="0"/>
    <n v="0"/>
    <n v="0"/>
    <n v="0"/>
    <s v="NA"/>
    <m/>
  </r>
  <r>
    <s v="NSG"/>
    <x v="4"/>
    <s v="Multi-Family"/>
    <s v="Partner Trade Ally Rebate"/>
    <x v="38"/>
    <n v="0"/>
    <s v="MF/CI/SMB"/>
    <x v="3"/>
    <s v="4.3.12"/>
    <s v="each"/>
    <n v="0"/>
    <n v="0"/>
    <n v="0"/>
    <n v="0"/>
    <s v="CI-HWE-TKIN-V02-220101"/>
    <m/>
    <n v="16.746197539658972"/>
    <n v="16.746197539658972"/>
    <n v="16.746197539658972"/>
    <n v="16.746197539658972"/>
    <n v="1"/>
    <n v="1"/>
    <n v="1"/>
    <n v="1"/>
    <n v="0"/>
    <n v="0"/>
    <n v="0"/>
    <n v="0"/>
    <n v="0"/>
    <n v="1"/>
    <n v="1"/>
    <n v="1"/>
    <n v="1"/>
    <n v="1"/>
    <n v="1"/>
    <n v="1"/>
    <n v="1"/>
    <m/>
    <m/>
    <n v="16.746197539658972"/>
    <m/>
    <n v="0"/>
    <n v="0"/>
    <m/>
    <m/>
    <n v="16.746197539658972"/>
    <s v="n/a"/>
    <n v="0"/>
    <n v="0"/>
    <n v="0"/>
    <m/>
    <m/>
    <n v="16.746197539658972"/>
    <m/>
    <n v="0"/>
    <n v="0"/>
    <m/>
    <m/>
    <n v="16.746197539658972"/>
    <m/>
    <n v="0"/>
    <n v="0"/>
    <n v="0"/>
    <n v="0"/>
    <n v="0"/>
    <n v="0"/>
    <n v="0"/>
    <s v="NA"/>
    <m/>
  </r>
  <r>
    <s v="NSG"/>
    <x v="4"/>
    <s v="Multi-Family"/>
    <s v="Partner Trade Ally Rebate"/>
    <x v="8"/>
    <n v="0"/>
    <s v="MF/CI/SMB"/>
    <x v="3"/>
    <s v="4.3.12"/>
    <s v="each"/>
    <n v="0"/>
    <n v="0"/>
    <n v="0"/>
    <n v="0"/>
    <s v="CI-HWE-TKIN-V02-220101"/>
    <m/>
    <n v="6.9553729140568805"/>
    <n v="6.9553729140568805"/>
    <n v="6.9553729140568805"/>
    <n v="6.9553729140568805"/>
    <n v="1"/>
    <n v="1"/>
    <n v="1"/>
    <n v="1"/>
    <n v="0"/>
    <n v="0"/>
    <n v="0"/>
    <n v="0"/>
    <n v="0"/>
    <n v="1"/>
    <n v="1"/>
    <n v="1"/>
    <n v="1"/>
    <n v="1"/>
    <n v="1"/>
    <n v="1"/>
    <n v="1"/>
    <m/>
    <m/>
    <n v="9.7375220796796338"/>
    <m/>
    <n v="0"/>
    <n v="0"/>
    <m/>
    <m/>
    <n v="9.7375220796796338"/>
    <s v="n/a"/>
    <n v="0"/>
    <n v="0"/>
    <n v="0"/>
    <m/>
    <m/>
    <n v="9.7375220796796338"/>
    <m/>
    <n v="0"/>
    <n v="0"/>
    <m/>
    <m/>
    <n v="9.7375220796796338"/>
    <m/>
    <n v="0"/>
    <n v="0"/>
    <n v="0"/>
    <n v="0"/>
    <n v="0"/>
    <n v="0"/>
    <n v="0"/>
    <s v="NA"/>
    <m/>
  </r>
  <r>
    <s v="NSG"/>
    <x v="4"/>
    <s v="Multi-Family"/>
    <s v="Partner Trade Ally Rebate"/>
    <x v="55"/>
    <n v="0"/>
    <s v="MF"/>
    <x v="3"/>
    <s v="4.4.36"/>
    <s v="each"/>
    <n v="0"/>
    <n v="0"/>
    <n v="0"/>
    <n v="0"/>
    <s v="CI-HVC-SBAC-V03-230101"/>
    <m/>
    <n v="83.05"/>
    <n v="83.05"/>
    <n v="83.05"/>
    <n v="83.05"/>
    <n v="1"/>
    <n v="1"/>
    <n v="1"/>
    <n v="1"/>
    <n v="0"/>
    <n v="0"/>
    <n v="0"/>
    <n v="0"/>
    <n v="0"/>
    <n v="1"/>
    <n v="1"/>
    <n v="1"/>
    <n v="1"/>
    <n v="1"/>
    <n v="1"/>
    <n v="1"/>
    <n v="1"/>
    <m/>
    <m/>
    <n v="83.05"/>
    <m/>
    <n v="0"/>
    <n v="0"/>
    <m/>
    <m/>
    <n v="83.05"/>
    <s v="n/a"/>
    <n v="0"/>
    <n v="0"/>
    <n v="0"/>
    <m/>
    <m/>
    <n v="83.05"/>
    <m/>
    <n v="0"/>
    <n v="0"/>
    <m/>
    <m/>
    <n v="83.05"/>
    <m/>
    <n v="0"/>
    <n v="0"/>
    <n v="0"/>
    <n v="0"/>
    <n v="0"/>
    <n v="0"/>
    <n v="0"/>
    <s v="NA"/>
    <m/>
  </r>
  <r>
    <s v="NSG"/>
    <x v="4"/>
    <s v="Multi-Family"/>
    <s v="Partner Trade Ally Rebate"/>
    <x v="34"/>
    <n v="0"/>
    <s v="MF"/>
    <x v="3"/>
    <s v="4.4.4"/>
    <s v="each"/>
    <n v="0"/>
    <n v="0"/>
    <n v="0"/>
    <n v="0"/>
    <s v="CI-HVC-BLRC-V04-210101"/>
    <m/>
    <n v="1.3288"/>
    <n v="1.3288"/>
    <n v="1.3288"/>
    <n v="1.3288"/>
    <n v="1"/>
    <n v="1"/>
    <n v="1"/>
    <n v="1"/>
    <n v="0"/>
    <n v="0"/>
    <n v="0"/>
    <n v="0"/>
    <n v="0"/>
    <n v="1"/>
    <n v="1"/>
    <n v="1"/>
    <n v="1"/>
    <n v="1"/>
    <n v="1"/>
    <n v="1"/>
    <n v="1"/>
    <m/>
    <m/>
    <n v="1.3288"/>
    <m/>
    <n v="0"/>
    <n v="0"/>
    <m/>
    <m/>
    <n v="1.3288"/>
    <s v="n/a"/>
    <n v="0"/>
    <n v="0"/>
    <n v="0"/>
    <m/>
    <m/>
    <n v="1.3288"/>
    <m/>
    <n v="0"/>
    <n v="0"/>
    <m/>
    <m/>
    <n v="1.3288"/>
    <m/>
    <n v="0"/>
    <n v="0"/>
    <n v="0"/>
    <n v="0"/>
    <n v="0"/>
    <n v="0"/>
    <n v="0"/>
    <s v="NA"/>
    <m/>
  </r>
  <r>
    <s v="NSG"/>
    <x v="4"/>
    <s v="Multi-Family"/>
    <s v="Partner Trade Ally Rebate"/>
    <x v="21"/>
    <s v="Space Heating"/>
    <s v="MF"/>
    <x v="3"/>
    <s v="4.4.2"/>
    <s v="each"/>
    <n v="0"/>
    <n v="0"/>
    <n v="0"/>
    <n v="0"/>
    <s v="CI-HVC-BLRT-V07-210101"/>
    <m/>
    <n v="0.46874846625766969"/>
    <n v="0.46874846625766969"/>
    <n v="0.46874846625766969"/>
    <n v="0.46874846625766969"/>
    <n v="1"/>
    <n v="1"/>
    <n v="1"/>
    <n v="1"/>
    <n v="0"/>
    <n v="0"/>
    <n v="0"/>
    <n v="0"/>
    <n v="0"/>
    <n v="1"/>
    <n v="1"/>
    <n v="1"/>
    <n v="1"/>
    <n v="1"/>
    <n v="1"/>
    <n v="1"/>
    <n v="1"/>
    <m/>
    <m/>
    <n v="0.46874846625766969"/>
    <m/>
    <n v="0"/>
    <n v="0"/>
    <m/>
    <m/>
    <n v="0.46874846625766969"/>
    <s v="n/a"/>
    <n v="0"/>
    <n v="0"/>
    <n v="0"/>
    <m/>
    <m/>
    <n v="0.46874846625766969"/>
    <m/>
    <n v="0"/>
    <n v="0"/>
    <m/>
    <m/>
    <n v="0.46874846625766969"/>
    <m/>
    <n v="0"/>
    <n v="0"/>
    <n v="0"/>
    <n v="0"/>
    <n v="0"/>
    <n v="0"/>
    <n v="0"/>
    <s v="NA"/>
    <m/>
  </r>
  <r>
    <s v="NSG"/>
    <x v="4"/>
    <s v="Multi-Family"/>
    <s v="Partner Trade Ally Rebate"/>
    <x v="29"/>
    <n v="0"/>
    <s v="MF"/>
    <x v="3"/>
    <s v="4.4.21"/>
    <s v="each"/>
    <n v="0"/>
    <n v="0"/>
    <n v="0"/>
    <n v="0"/>
    <s v="CI-HVC-LBC-V06-220101"/>
    <m/>
    <n v="0.63181333333333334"/>
    <n v="0.63181333333333334"/>
    <n v="0.63181333333333334"/>
    <n v="0.63181333333333334"/>
    <n v="1"/>
    <n v="1"/>
    <n v="1"/>
    <n v="1"/>
    <n v="0"/>
    <n v="0"/>
    <n v="0"/>
    <n v="0"/>
    <n v="0"/>
    <n v="1"/>
    <n v="1"/>
    <n v="1"/>
    <n v="1"/>
    <n v="1"/>
    <n v="1"/>
    <n v="1"/>
    <n v="1"/>
    <m/>
    <m/>
    <n v="0.63181333333333334"/>
    <m/>
    <n v="0"/>
    <n v="0"/>
    <m/>
    <m/>
    <n v="0.63181333333333334"/>
    <s v="n/a"/>
    <n v="0"/>
    <n v="0"/>
    <n v="0"/>
    <m/>
    <m/>
    <n v="0.63181333333333334"/>
    <m/>
    <n v="0"/>
    <n v="0"/>
    <m/>
    <m/>
    <n v="0.63181333333333334"/>
    <m/>
    <n v="0"/>
    <n v="0"/>
    <n v="0"/>
    <n v="0"/>
    <n v="0"/>
    <n v="0"/>
    <n v="0"/>
    <s v="NA"/>
    <m/>
  </r>
  <r>
    <s v="NSG"/>
    <x v="4"/>
    <s v="Multi-Family"/>
    <s v="Partner Trade Ally Rebate"/>
    <x v="3"/>
    <s v="Furnace (Replace Manual)"/>
    <s v="MF"/>
    <x v="3"/>
    <s v="5.3.16"/>
    <s v="each"/>
    <n v="0"/>
    <n v="0"/>
    <n v="0"/>
    <n v="0"/>
    <s v="RS-HVC-ADTH-V08-230101"/>
    <m/>
    <n v="67.938000000000002"/>
    <n v="67.938000000000002"/>
    <n v="67.938000000000002"/>
    <n v="67.938000000000002"/>
    <n v="1"/>
    <n v="1"/>
    <n v="1"/>
    <n v="1"/>
    <n v="0"/>
    <n v="0"/>
    <n v="0"/>
    <n v="0"/>
    <n v="0"/>
    <n v="1"/>
    <n v="1"/>
    <n v="1"/>
    <n v="1"/>
    <n v="1"/>
    <n v="1"/>
    <n v="1"/>
    <n v="1"/>
    <m/>
    <m/>
    <n v="66.631500000000003"/>
    <m/>
    <n v="0"/>
    <n v="0"/>
    <m/>
    <m/>
    <n v="66.631500000000003"/>
    <s v="n/a"/>
    <n v="0"/>
    <n v="0"/>
    <n v="0"/>
    <m/>
    <m/>
    <n v="66.631500000000003"/>
    <m/>
    <n v="0"/>
    <n v="0"/>
    <m/>
    <m/>
    <n v="66.631500000000003"/>
    <m/>
    <n v="0"/>
    <n v="0"/>
    <n v="0"/>
    <n v="0"/>
    <n v="0"/>
    <n v="0"/>
    <n v="0"/>
    <s v="NA"/>
    <m/>
  </r>
  <r>
    <s v="NSG"/>
    <x v="4"/>
    <s v="Multi-Family"/>
    <s v="Partner Trade Ally Rebate"/>
    <x v="3"/>
    <s v="Boiler (Replace Manual)"/>
    <s v="MF"/>
    <x v="3"/>
    <s v="5.3.16"/>
    <s v="each"/>
    <n v="0"/>
    <n v="0"/>
    <n v="0"/>
    <n v="0"/>
    <s v="RS-HVC-ADTH-V08-230101"/>
    <m/>
    <n v="100.386"/>
    <n v="100.386"/>
    <n v="100.386"/>
    <n v="100.386"/>
    <n v="1"/>
    <n v="1"/>
    <n v="1"/>
    <n v="1"/>
    <n v="0"/>
    <n v="0"/>
    <n v="0"/>
    <n v="0"/>
    <n v="0"/>
    <n v="1"/>
    <n v="1"/>
    <n v="1"/>
    <n v="1"/>
    <n v="1"/>
    <n v="1"/>
    <n v="1"/>
    <n v="1"/>
    <m/>
    <m/>
    <n v="98.455500000000001"/>
    <m/>
    <n v="0"/>
    <n v="0"/>
    <m/>
    <m/>
    <n v="98.455500000000001"/>
    <s v="n/a"/>
    <n v="0"/>
    <n v="0"/>
    <n v="0"/>
    <m/>
    <m/>
    <n v="98.455500000000001"/>
    <m/>
    <n v="0"/>
    <n v="0"/>
    <m/>
    <m/>
    <n v="98.455500000000001"/>
    <m/>
    <n v="0"/>
    <n v="0"/>
    <n v="0"/>
    <n v="0"/>
    <n v="0"/>
    <n v="0"/>
    <n v="0"/>
    <s v="NA"/>
    <m/>
  </r>
  <r>
    <s v="NSG"/>
    <x v="4"/>
    <s v="Multi-Family"/>
    <s v="Partner Trade Ally Rebate"/>
    <x v="3"/>
    <s v="Furnace (Replace Programmable)"/>
    <s v="MF"/>
    <x v="3"/>
    <s v="5.3.16"/>
    <s v="each"/>
    <n v="0"/>
    <n v="0"/>
    <n v="0"/>
    <n v="0"/>
    <s v="RS-HVC-ADTH-V08-230101"/>
    <m/>
    <n v="47.687249999999999"/>
    <n v="47.687249999999999"/>
    <n v="47.687249999999999"/>
    <n v="47.687249999999999"/>
    <n v="1"/>
    <n v="1"/>
    <n v="1"/>
    <n v="1"/>
    <n v="0"/>
    <n v="0"/>
    <n v="0"/>
    <n v="0"/>
    <n v="0"/>
    <n v="1"/>
    <n v="1"/>
    <n v="1"/>
    <n v="1"/>
    <n v="1"/>
    <n v="1"/>
    <n v="1"/>
    <n v="1"/>
    <m/>
    <m/>
    <n v="46.380749999999992"/>
    <m/>
    <n v="0"/>
    <n v="0"/>
    <m/>
    <m/>
    <n v="46.380749999999992"/>
    <s v="n/a"/>
    <n v="0"/>
    <n v="0"/>
    <n v="0"/>
    <m/>
    <m/>
    <n v="46.380749999999992"/>
    <m/>
    <n v="0"/>
    <n v="0"/>
    <m/>
    <m/>
    <n v="46.380749999999992"/>
    <m/>
    <n v="0"/>
    <n v="0"/>
    <n v="0"/>
    <n v="0"/>
    <n v="0"/>
    <n v="0"/>
    <n v="0"/>
    <s v="NA"/>
    <m/>
  </r>
  <r>
    <s v="NSG"/>
    <x v="4"/>
    <s v="Multi-Family"/>
    <s v="Partner Trade Ally Rebate"/>
    <x v="3"/>
    <s v="Boiler (Replace Programmable)"/>
    <s v="MF"/>
    <x v="3"/>
    <s v="5.3.16"/>
    <s v="each"/>
    <n v="0"/>
    <n v="0"/>
    <n v="0"/>
    <n v="0"/>
    <s v="RS-HVC-ADTH-V08-230101"/>
    <m/>
    <n v="70.463249999999988"/>
    <n v="70.463249999999988"/>
    <n v="70.463249999999988"/>
    <n v="70.463249999999988"/>
    <n v="1"/>
    <n v="1"/>
    <n v="1"/>
    <n v="1"/>
    <n v="0"/>
    <n v="0"/>
    <n v="0"/>
    <n v="0"/>
    <n v="0"/>
    <n v="1"/>
    <n v="1"/>
    <n v="1"/>
    <n v="1"/>
    <n v="1"/>
    <n v="1"/>
    <n v="1"/>
    <n v="1"/>
    <m/>
    <m/>
    <n v="68.532749999999993"/>
    <m/>
    <n v="0"/>
    <n v="0"/>
    <m/>
    <m/>
    <n v="68.532749999999993"/>
    <s v="n/a"/>
    <n v="0"/>
    <n v="0"/>
    <n v="0"/>
    <m/>
    <m/>
    <n v="68.532749999999993"/>
    <m/>
    <n v="0"/>
    <n v="0"/>
    <m/>
    <m/>
    <n v="68.532749999999993"/>
    <m/>
    <n v="0"/>
    <n v="0"/>
    <n v="0"/>
    <n v="0"/>
    <n v="0"/>
    <n v="0"/>
    <n v="0"/>
    <s v="NA"/>
    <m/>
  </r>
  <r>
    <s v="NSG"/>
    <x v="4"/>
    <s v="Multi-Family"/>
    <s v="Partner Trade Ally Rebate"/>
    <x v="46"/>
    <n v="0"/>
    <s v="MF"/>
    <x v="3"/>
    <s v="4.3.8"/>
    <s v="each"/>
    <n v="0"/>
    <n v="0"/>
    <n v="0"/>
    <n v="0"/>
    <s v="CI-HWE-CDHW-V04-230101"/>
    <m/>
    <n v="62.687100553999997"/>
    <n v="62.687100553999997"/>
    <n v="62.687100553999997"/>
    <n v="62.687100553999997"/>
    <n v="1"/>
    <n v="1"/>
    <n v="1"/>
    <n v="1"/>
    <n v="0"/>
    <n v="0"/>
    <n v="0"/>
    <n v="0"/>
    <n v="0"/>
    <n v="1"/>
    <n v="1"/>
    <n v="1"/>
    <n v="1"/>
    <n v="1"/>
    <n v="1"/>
    <n v="1"/>
    <n v="1"/>
    <m/>
    <m/>
    <n v="62.687100553999997"/>
    <m/>
    <n v="0"/>
    <n v="0"/>
    <m/>
    <m/>
    <n v="58.563635988000001"/>
    <s v="Updated inputs to new multifamily assumptions"/>
    <n v="0"/>
    <n v="0"/>
    <n v="0"/>
    <m/>
    <m/>
    <n v="58.563635988000001"/>
    <m/>
    <n v="0"/>
    <n v="0"/>
    <m/>
    <m/>
    <n v="58.563635988000001"/>
    <m/>
    <n v="0"/>
    <n v="0"/>
    <n v="0"/>
    <n v="0"/>
    <n v="0"/>
    <n v="0"/>
    <n v="0"/>
    <s v="NA"/>
    <m/>
  </r>
  <r>
    <s v="NSG"/>
    <x v="4"/>
    <s v="Multi-Family"/>
    <s v="Partner Trade Ally Rebate"/>
    <x v="87"/>
    <n v="0"/>
    <s v="MF"/>
    <x v="3"/>
    <s v="n/a"/>
    <s v="each"/>
    <n v="0"/>
    <n v="0"/>
    <n v="0"/>
    <n v="0"/>
    <s v="n/a"/>
    <m/>
    <n v="0"/>
    <n v="0"/>
    <n v="0"/>
    <n v="0"/>
    <n v="1"/>
    <n v="1"/>
    <n v="1"/>
    <n v="1"/>
    <n v="0"/>
    <n v="0"/>
    <n v="0"/>
    <n v="0"/>
    <n v="0"/>
    <n v="1"/>
    <n v="1"/>
    <n v="1"/>
    <n v="1"/>
    <n v="1"/>
    <n v="1"/>
    <n v="1"/>
    <n v="1"/>
    <m/>
    <m/>
    <n v="0"/>
    <m/>
    <n v="0"/>
    <n v="0"/>
    <m/>
    <m/>
    <n v="0"/>
    <s v="n/a"/>
    <n v="0"/>
    <n v="0"/>
    <n v="0"/>
    <m/>
    <m/>
    <n v="0"/>
    <m/>
    <n v="0"/>
    <n v="0"/>
    <m/>
    <m/>
    <n v="0"/>
    <m/>
    <n v="0"/>
    <n v="0"/>
    <n v="0"/>
    <n v="0"/>
    <n v="0"/>
    <n v="0"/>
    <n v="0"/>
    <s v="NA"/>
    <m/>
  </r>
  <r>
    <s v="NSG"/>
    <x v="4"/>
    <s v="Multi-Family"/>
    <s v="New Construction"/>
    <x v="88"/>
    <n v="0"/>
    <s v="IE"/>
    <x v="3"/>
    <n v="0"/>
    <s v="each"/>
    <n v="0"/>
    <n v="0"/>
    <n v="0"/>
    <n v="0"/>
    <n v="0"/>
    <m/>
    <n v="1"/>
    <n v="1"/>
    <n v="1"/>
    <n v="1"/>
    <n v="1"/>
    <n v="1"/>
    <n v="1"/>
    <n v="1"/>
    <n v="0"/>
    <n v="0"/>
    <n v="0"/>
    <n v="0"/>
    <n v="0"/>
    <n v="1"/>
    <n v="1"/>
    <n v="1"/>
    <n v="1"/>
    <n v="1"/>
    <n v="1"/>
    <n v="1"/>
    <n v="1"/>
    <m/>
    <m/>
    <n v="1"/>
    <m/>
    <n v="0"/>
    <n v="0"/>
    <m/>
    <m/>
    <n v="1"/>
    <s v="n/a"/>
    <n v="0"/>
    <n v="0"/>
    <n v="0"/>
    <m/>
    <m/>
    <n v="1"/>
    <m/>
    <n v="0"/>
    <n v="0"/>
    <m/>
    <m/>
    <n v="1"/>
    <m/>
    <n v="0"/>
    <n v="0"/>
    <n v="0"/>
    <n v="0"/>
    <n v="0"/>
    <n v="0"/>
    <n v="0"/>
    <s v="NA"/>
    <m/>
  </r>
  <r>
    <s v="NSG"/>
    <x v="5"/>
    <s v="Public Sector"/>
    <s v="Assessments"/>
    <x v="39"/>
    <n v="0"/>
    <s v="CI"/>
    <x v="3"/>
    <n v="0"/>
    <n v="0"/>
    <n v="0"/>
    <n v="0"/>
    <n v="0"/>
    <n v="0"/>
    <n v="0"/>
    <m/>
    <n v="0"/>
    <n v="0"/>
    <n v="0"/>
    <n v="0"/>
    <n v="0.92"/>
    <n v="0.92"/>
    <n v="0.92"/>
    <n v="0.92"/>
    <n v="0"/>
    <n v="0"/>
    <n v="0"/>
    <n v="0"/>
    <n v="0"/>
    <n v="0.92"/>
    <n v="0.92"/>
    <n v="0.92"/>
    <n v="0.92"/>
    <n v="0.92"/>
    <n v="0.92"/>
    <n v="0.92"/>
    <n v="0.92"/>
    <m/>
    <m/>
    <n v="0"/>
    <m/>
    <n v="0"/>
    <n v="0"/>
    <m/>
    <m/>
    <n v="0"/>
    <s v="n/a"/>
    <n v="0"/>
    <n v="0"/>
    <n v="0"/>
    <m/>
    <m/>
    <n v="0"/>
    <m/>
    <n v="0"/>
    <n v="0"/>
    <m/>
    <m/>
    <n v="0"/>
    <m/>
    <n v="0"/>
    <n v="0"/>
    <n v="0"/>
    <n v="0"/>
    <n v="0"/>
    <n v="0"/>
    <n v="0"/>
    <s v="NA"/>
    <m/>
  </r>
  <r>
    <s v="NSG"/>
    <x v="5"/>
    <s v="Public Sector"/>
    <s v="Assessments"/>
    <x v="11"/>
    <n v="0"/>
    <s v="CI"/>
    <x v="3"/>
    <s v="4.3.2"/>
    <n v="0"/>
    <n v="0"/>
    <n v="0"/>
    <n v="0"/>
    <n v="0"/>
    <s v="CI-HWE-LFFA-V11-230101"/>
    <m/>
    <n v="6.1049460431654667"/>
    <n v="6.1049460431654667"/>
    <n v="6.1049460431654667"/>
    <n v="6.1049460431654667"/>
    <n v="0.92"/>
    <n v="0.92"/>
    <n v="0.92"/>
    <n v="0.92"/>
    <n v="0"/>
    <n v="0"/>
    <n v="0"/>
    <n v="0"/>
    <n v="0"/>
    <n v="0.92"/>
    <n v="0.92"/>
    <n v="0.92"/>
    <n v="0.92"/>
    <n v="0.92"/>
    <n v="0.92"/>
    <n v="0.92"/>
    <n v="0.92"/>
    <m/>
    <m/>
    <n v="6.7661870503597124"/>
    <m/>
    <n v="0"/>
    <n v="0"/>
    <m/>
    <m/>
    <n v="6.7661870503597124"/>
    <s v="No savings impacts with existing measure assumptions."/>
    <n v="0"/>
    <n v="0"/>
    <n v="0"/>
    <m/>
    <m/>
    <n v="6.7661870503597124"/>
    <m/>
    <n v="0"/>
    <n v="0"/>
    <m/>
    <m/>
    <n v="6.7661870503597124"/>
    <m/>
    <n v="0"/>
    <n v="0"/>
    <n v="0"/>
    <n v="0"/>
    <n v="0"/>
    <n v="0"/>
    <n v="0"/>
    <s v="NA"/>
    <m/>
  </r>
  <r>
    <s v="NSG"/>
    <x v="5"/>
    <s v="Public Sector"/>
    <s v="Assessments"/>
    <x v="7"/>
    <n v="0"/>
    <s v="CI"/>
    <x v="3"/>
    <s v="4.3.2"/>
    <n v="0"/>
    <n v="0"/>
    <n v="0"/>
    <n v="0"/>
    <n v="0"/>
    <s v="CI-HWE-LFFA-V11-230101"/>
    <m/>
    <n v="7.4428057553956828"/>
    <n v="7.4428057553956828"/>
    <n v="7.4428057553956828"/>
    <n v="7.4428057553956828"/>
    <n v="0.92"/>
    <n v="0.92"/>
    <n v="0.92"/>
    <n v="0.92"/>
    <n v="0"/>
    <n v="0"/>
    <n v="0"/>
    <n v="0"/>
    <n v="0"/>
    <n v="0.92"/>
    <n v="0.92"/>
    <n v="0.92"/>
    <n v="0.92"/>
    <n v="0.92"/>
    <n v="0.92"/>
    <n v="0.92"/>
    <n v="0.92"/>
    <m/>
    <m/>
    <n v="8.1501798561151073"/>
    <m/>
    <n v="0"/>
    <n v="0"/>
    <m/>
    <m/>
    <n v="8.1501798561151073"/>
    <s v="No savings impacts with existing measure assumptions."/>
    <n v="0"/>
    <n v="0"/>
    <n v="0"/>
    <m/>
    <m/>
    <n v="8.1501798561151073"/>
    <m/>
    <n v="0"/>
    <n v="0"/>
    <m/>
    <m/>
    <n v="8.1501798561151073"/>
    <m/>
    <n v="0"/>
    <n v="0"/>
    <n v="0"/>
    <n v="0"/>
    <n v="0"/>
    <n v="0"/>
    <n v="0"/>
    <s v="NA"/>
    <m/>
  </r>
  <r>
    <s v="NSG"/>
    <x v="5"/>
    <s v="Public Sector"/>
    <s v="Assessments"/>
    <x v="5"/>
    <n v="0"/>
    <s v="CI"/>
    <x v="3"/>
    <s v="4.3.3"/>
    <n v="0"/>
    <n v="0"/>
    <n v="0"/>
    <n v="0"/>
    <n v="0"/>
    <s v="CI-HWE-LFSH-V09-230101"/>
    <m/>
    <n v="20.024378968229996"/>
    <n v="20.024378968229996"/>
    <n v="20.024378968229996"/>
    <n v="20.024378968229996"/>
    <n v="0.92"/>
    <n v="0.92"/>
    <n v="0.92"/>
    <n v="0.92"/>
    <n v="0"/>
    <n v="0"/>
    <n v="0"/>
    <n v="0"/>
    <n v="0"/>
    <n v="0.92"/>
    <n v="0.92"/>
    <n v="0.92"/>
    <n v="0.92"/>
    <n v="0.92"/>
    <n v="0.92"/>
    <n v="0.92"/>
    <n v="0.92"/>
    <m/>
    <m/>
    <n v="21.476039703666711"/>
    <m/>
    <n v="0"/>
    <n v="0"/>
    <m/>
    <m/>
    <n v="21.476039703666711"/>
    <s v="No savings impacts with existing measure assumptions."/>
    <n v="0"/>
    <n v="0"/>
    <n v="0"/>
    <m/>
    <m/>
    <n v="21.476039703666711"/>
    <m/>
    <n v="0"/>
    <n v="0"/>
    <m/>
    <m/>
    <n v="21.476039703666711"/>
    <m/>
    <n v="0"/>
    <n v="0"/>
    <n v="0"/>
    <n v="0"/>
    <n v="0"/>
    <n v="0"/>
    <n v="0"/>
    <s v="NA"/>
    <m/>
  </r>
  <r>
    <s v="NSG"/>
    <x v="5"/>
    <s v="Public Sector"/>
    <s v="Assessments"/>
    <x v="4"/>
    <s v="DHW"/>
    <s v="CI"/>
    <x v="3"/>
    <s v="4.4.14"/>
    <n v="0"/>
    <n v="0"/>
    <n v="0"/>
    <n v="0"/>
    <n v="0"/>
    <s v="CI-HVC-PINS-V08-230101"/>
    <m/>
    <n v="0.75299999999999989"/>
    <n v="0.75299999999999989"/>
    <n v="0.75299999999999989"/>
    <n v="0.75299999999999989"/>
    <n v="0.92"/>
    <n v="0.92"/>
    <n v="0.92"/>
    <n v="0.92"/>
    <n v="0"/>
    <n v="0"/>
    <n v="0"/>
    <n v="0"/>
    <n v="0"/>
    <n v="0.92"/>
    <n v="0.92"/>
    <n v="0.92"/>
    <n v="0.92"/>
    <n v="0.92"/>
    <n v="0.92"/>
    <n v="0.92"/>
    <n v="0.92"/>
    <m/>
    <m/>
    <n v="3.8653999999999997"/>
    <m/>
    <n v="0"/>
    <n v="0"/>
    <m/>
    <m/>
    <n v="3.8653999999999997"/>
    <s v="n/a"/>
    <n v="0"/>
    <n v="0"/>
    <n v="0"/>
    <m/>
    <m/>
    <n v="3.8653999999999997"/>
    <m/>
    <n v="0"/>
    <n v="0"/>
    <m/>
    <m/>
    <n v="3.8653999999999997"/>
    <m/>
    <n v="0"/>
    <n v="0"/>
    <n v="0"/>
    <n v="0"/>
    <n v="0"/>
    <n v="0"/>
    <n v="0"/>
    <s v="NA"/>
    <m/>
  </r>
  <r>
    <s v="NSG"/>
    <x v="5"/>
    <s v="Public Sector"/>
    <s v="Assessments"/>
    <x v="10"/>
    <n v="0"/>
    <s v="CI"/>
    <x v="3"/>
    <s v="4.2.11"/>
    <n v="0"/>
    <n v="0"/>
    <n v="0"/>
    <n v="0"/>
    <n v="0"/>
    <s v="CI-FSE-CVOV-V02-180101"/>
    <m/>
    <n v="235.77765120000004"/>
    <n v="235.77765120000004"/>
    <n v="235.77765120000004"/>
    <n v="235.77765120000004"/>
    <n v="0.92"/>
    <n v="0.92"/>
    <n v="0.92"/>
    <n v="0.92"/>
    <n v="0"/>
    <n v="0"/>
    <n v="0"/>
    <n v="0"/>
    <n v="0"/>
    <n v="0.92"/>
    <n v="0.92"/>
    <n v="0.92"/>
    <n v="0.92"/>
    <n v="0.92"/>
    <n v="0.92"/>
    <n v="0.92"/>
    <n v="0.92"/>
    <m/>
    <m/>
    <n v="247.22970854399998"/>
    <m/>
    <n v="0"/>
    <n v="0"/>
    <m/>
    <m/>
    <n v="247.22970854399998"/>
    <s v="n/a"/>
    <n v="0"/>
    <n v="0"/>
    <n v="0"/>
    <m/>
    <m/>
    <n v="247.22970854399998"/>
    <m/>
    <n v="0"/>
    <n v="0"/>
    <m/>
    <m/>
    <n v="247.22970854399998"/>
    <m/>
    <n v="0"/>
    <n v="0"/>
    <n v="0"/>
    <n v="0"/>
    <n v="0"/>
    <n v="0"/>
    <n v="0"/>
    <s v="NA"/>
    <m/>
  </r>
  <r>
    <s v="NSG"/>
    <x v="5"/>
    <s v="Public Sector"/>
    <s v="Gas Optimization"/>
    <x v="25"/>
    <n v="0"/>
    <s v="CI"/>
    <x v="3"/>
    <n v="0"/>
    <s v="therm"/>
    <n v="0"/>
    <n v="0"/>
    <n v="0"/>
    <n v="0"/>
    <n v="0"/>
    <m/>
    <n v="1"/>
    <n v="1"/>
    <n v="1"/>
    <n v="1"/>
    <n v="0.94"/>
    <n v="0.94"/>
    <n v="0.94"/>
    <n v="0.94"/>
    <n v="0"/>
    <n v="0"/>
    <n v="0"/>
    <n v="0"/>
    <n v="0"/>
    <n v="0.94"/>
    <n v="0.94"/>
    <n v="0.94"/>
    <n v="0.94"/>
    <n v="0.94"/>
    <n v="0.94"/>
    <n v="0.94"/>
    <n v="0.94"/>
    <m/>
    <m/>
    <n v="1"/>
    <m/>
    <n v="0"/>
    <n v="0"/>
    <m/>
    <m/>
    <n v="1"/>
    <s v="n/a"/>
    <n v="0"/>
    <n v="0"/>
    <n v="0"/>
    <m/>
    <m/>
    <n v="1"/>
    <m/>
    <n v="0"/>
    <n v="0"/>
    <m/>
    <m/>
    <n v="1"/>
    <m/>
    <n v="0"/>
    <n v="0"/>
    <n v="0"/>
    <n v="0"/>
    <n v="0"/>
    <n v="0"/>
    <n v="0"/>
    <s v="NA"/>
    <m/>
  </r>
  <r>
    <s v="NSG"/>
    <x v="5"/>
    <s v="Public Sector"/>
    <s v="Retrocommissioning"/>
    <x v="24"/>
    <n v="0"/>
    <s v="CI"/>
    <x v="3"/>
    <n v="0"/>
    <s v="therm"/>
    <n v="0"/>
    <n v="0"/>
    <n v="0"/>
    <n v="0"/>
    <n v="0"/>
    <m/>
    <n v="1"/>
    <n v="1"/>
    <n v="1"/>
    <n v="1"/>
    <n v="0.98"/>
    <n v="0.98"/>
    <n v="0.98"/>
    <n v="0.98"/>
    <n v="0"/>
    <n v="0"/>
    <n v="0"/>
    <n v="0"/>
    <n v="0"/>
    <n v="0.98"/>
    <n v="0.98"/>
    <n v="0.98"/>
    <n v="0.98"/>
    <n v="0.98"/>
    <n v="0.98"/>
    <n v="0.98"/>
    <n v="0.98"/>
    <m/>
    <m/>
    <n v="1"/>
    <m/>
    <n v="0"/>
    <n v="0"/>
    <m/>
    <m/>
    <n v="1"/>
    <s v="n/a"/>
    <n v="0"/>
    <n v="0"/>
    <n v="0"/>
    <m/>
    <m/>
    <n v="1"/>
    <m/>
    <n v="0"/>
    <n v="0"/>
    <m/>
    <m/>
    <n v="1"/>
    <m/>
    <n v="0"/>
    <n v="0"/>
    <n v="0"/>
    <n v="0"/>
    <n v="0"/>
    <n v="0"/>
    <n v="0"/>
    <s v="NA"/>
    <m/>
  </r>
  <r>
    <s v="NSG"/>
    <x v="5"/>
    <s v="Public Sector"/>
    <s v="Engineering Study"/>
    <x v="69"/>
    <n v="0"/>
    <s v="CI"/>
    <x v="3"/>
    <n v="0"/>
    <n v="0"/>
    <n v="0"/>
    <n v="0"/>
    <n v="0"/>
    <n v="0"/>
    <n v="0"/>
    <m/>
    <n v="0"/>
    <n v="0"/>
    <n v="0"/>
    <n v="0"/>
    <n v="0.92"/>
    <n v="0.92"/>
    <n v="0.92"/>
    <n v="0.92"/>
    <n v="0"/>
    <n v="0"/>
    <n v="0"/>
    <n v="0"/>
    <n v="0"/>
    <n v="0.92"/>
    <n v="0.92"/>
    <n v="0.92"/>
    <n v="0.92"/>
    <n v="0.92"/>
    <n v="0.92"/>
    <n v="0.92"/>
    <n v="0.92"/>
    <m/>
    <m/>
    <n v="0"/>
    <m/>
    <n v="0"/>
    <n v="0"/>
    <m/>
    <m/>
    <n v="0"/>
    <s v="n/a"/>
    <n v="0"/>
    <n v="0"/>
    <n v="0"/>
    <m/>
    <m/>
    <n v="0"/>
    <m/>
    <n v="0"/>
    <n v="0"/>
    <m/>
    <m/>
    <n v="0"/>
    <m/>
    <n v="0"/>
    <n v="0"/>
    <n v="0"/>
    <n v="0"/>
    <n v="0"/>
    <n v="0"/>
    <n v="0"/>
    <s v="NA"/>
    <m/>
  </r>
  <r>
    <s v="NSG"/>
    <x v="5"/>
    <s v="Public Sector"/>
    <s v="Staffing"/>
    <x v="68"/>
    <n v="0"/>
    <s v="CI"/>
    <x v="3"/>
    <n v="0"/>
    <s v="each"/>
    <n v="0"/>
    <n v="0"/>
    <n v="0"/>
    <n v="0"/>
    <n v="0"/>
    <m/>
    <n v="0"/>
    <n v="0"/>
    <n v="0"/>
    <n v="0"/>
    <n v="0.92"/>
    <n v="0.92"/>
    <n v="0.92"/>
    <n v="0.92"/>
    <n v="0"/>
    <n v="0"/>
    <n v="0"/>
    <n v="0"/>
    <n v="0"/>
    <n v="0.92"/>
    <n v="0.92"/>
    <n v="0.92"/>
    <n v="0.92"/>
    <n v="0.92"/>
    <n v="0.92"/>
    <n v="0.92"/>
    <n v="0.92"/>
    <m/>
    <m/>
    <n v="0"/>
    <m/>
    <n v="0"/>
    <n v="0"/>
    <m/>
    <m/>
    <n v="0"/>
    <s v="n/a"/>
    <n v="0"/>
    <n v="0"/>
    <n v="0"/>
    <m/>
    <m/>
    <n v="0"/>
    <m/>
    <n v="0"/>
    <n v="0"/>
    <m/>
    <m/>
    <n v="0"/>
    <m/>
    <n v="0"/>
    <n v="0"/>
    <n v="0"/>
    <n v="0"/>
    <n v="0"/>
    <n v="0"/>
    <n v="0"/>
    <s v="NA"/>
    <m/>
  </r>
  <r>
    <s v="NSG"/>
    <x v="5"/>
    <s v="Public Sector"/>
    <s v="Rebates"/>
    <x v="28"/>
    <s v="≥88% AFUE, &lt;300MBh"/>
    <s v="CI"/>
    <x v="3"/>
    <s v="4.4.10"/>
    <s v="MBH"/>
    <n v="0"/>
    <n v="0"/>
    <n v="0"/>
    <n v="0"/>
    <s v="CI-HVC-BOIL-V10-230101"/>
    <m/>
    <n v="0.79095238095238163"/>
    <n v="0.79095238095238163"/>
    <n v="0.79095238095238163"/>
    <n v="0.79095238095238163"/>
    <n v="0.92"/>
    <n v="0.92"/>
    <n v="0.92"/>
    <n v="0.92"/>
    <n v="0"/>
    <n v="0"/>
    <n v="0"/>
    <n v="0"/>
    <n v="0"/>
    <n v="0.92"/>
    <n v="0.92"/>
    <n v="0.92"/>
    <n v="0.92"/>
    <n v="0.92"/>
    <n v="0.92"/>
    <n v="0.92"/>
    <n v="0.92"/>
    <m/>
    <m/>
    <n v="0.79095238095238163"/>
    <m/>
    <n v="0"/>
    <n v="0"/>
    <m/>
    <m/>
    <n v="0.79095238095238163"/>
    <s v="n/a"/>
    <n v="0"/>
    <n v="0"/>
    <n v="0"/>
    <m/>
    <m/>
    <n v="0.79095238095238163"/>
    <m/>
    <n v="0"/>
    <n v="0"/>
    <m/>
    <m/>
    <n v="0.79095238095238163"/>
    <m/>
    <n v="0"/>
    <n v="0"/>
    <n v="0"/>
    <n v="0"/>
    <n v="0"/>
    <n v="0"/>
    <n v="0"/>
    <s v="NA"/>
    <m/>
  </r>
  <r>
    <s v="NSG"/>
    <x v="5"/>
    <s v="Public Sector"/>
    <s v="Rebates"/>
    <x v="37"/>
    <s v="&gt;95% AFUE"/>
    <s v="CI"/>
    <x v="3"/>
    <s v="4.4.11"/>
    <s v="each"/>
    <n v="0"/>
    <n v="0"/>
    <n v="0"/>
    <n v="0"/>
    <s v="CI-HVC-FRNC-V12-230101"/>
    <m/>
    <n v="247.08549999999985"/>
    <n v="247.08549999999985"/>
    <n v="247.08549999999985"/>
    <n v="247.08549999999985"/>
    <n v="0.92"/>
    <n v="0.92"/>
    <n v="0.92"/>
    <n v="0.92"/>
    <n v="0"/>
    <n v="0"/>
    <n v="0"/>
    <n v="0"/>
    <n v="0"/>
    <n v="0.92"/>
    <n v="0.92"/>
    <n v="0.92"/>
    <n v="0.92"/>
    <n v="0.92"/>
    <n v="0.92"/>
    <n v="0.92"/>
    <n v="0.92"/>
    <m/>
    <m/>
    <n v="247.08549999999985"/>
    <m/>
    <n v="0"/>
    <n v="0"/>
    <m/>
    <m/>
    <n v="247.08549999999985"/>
    <s v="n/a"/>
    <n v="0"/>
    <n v="0"/>
    <n v="0"/>
    <m/>
    <m/>
    <n v="247.08549999999985"/>
    <m/>
    <n v="0"/>
    <n v="0"/>
    <m/>
    <m/>
    <n v="247.08549999999985"/>
    <m/>
    <n v="0"/>
    <n v="0"/>
    <n v="0"/>
    <n v="0"/>
    <n v="0"/>
    <n v="0"/>
    <n v="0"/>
    <s v="NA"/>
    <m/>
  </r>
  <r>
    <s v="NSG"/>
    <x v="5"/>
    <s v="Public Sector"/>
    <s v="Rebates"/>
    <x v="21"/>
    <s v="Process"/>
    <s v="MF/CI"/>
    <x v="3"/>
    <s v="4.4.3"/>
    <s v="MBH"/>
    <n v="0"/>
    <n v="0"/>
    <n v="0"/>
    <n v="0"/>
    <s v="CI-HVC-PBTU-V07-230101"/>
    <m/>
    <n v="1.0227353753026578"/>
    <n v="1.0227353753026578"/>
    <n v="1.0227353753026578"/>
    <n v="1.0227353753026578"/>
    <n v="0.92"/>
    <n v="0.92"/>
    <n v="0.92"/>
    <n v="0.92"/>
    <n v="0"/>
    <n v="0"/>
    <n v="0"/>
    <n v="0"/>
    <n v="0"/>
    <n v="0.92"/>
    <n v="0.92"/>
    <n v="0.92"/>
    <n v="0.92"/>
    <n v="0.92"/>
    <n v="0.92"/>
    <n v="0.92"/>
    <n v="0.92"/>
    <m/>
    <m/>
    <n v="1.0227353753026578"/>
    <m/>
    <n v="0"/>
    <n v="0"/>
    <m/>
    <m/>
    <n v="1.0227353753026578"/>
    <s v="Updated measure lifetime."/>
    <n v="0"/>
    <n v="0"/>
    <n v="0"/>
    <m/>
    <m/>
    <n v="1.0227353753026578"/>
    <m/>
    <n v="0"/>
    <n v="0"/>
    <m/>
    <m/>
    <n v="1.0227353753026578"/>
    <m/>
    <n v="0"/>
    <n v="0"/>
    <n v="0"/>
    <n v="0"/>
    <n v="0"/>
    <n v="0"/>
    <n v="0"/>
    <s v="NA"/>
    <m/>
  </r>
  <r>
    <s v="NSG"/>
    <x v="5"/>
    <s v="Public Sector"/>
    <s v="Rebates"/>
    <x v="70"/>
    <n v="0"/>
    <s v="MF/CI"/>
    <x v="3"/>
    <s v="4.4.5"/>
    <s v="MBH"/>
    <n v="0"/>
    <n v="0"/>
    <n v="0"/>
    <n v="0"/>
    <s v="CI-HVC-CUHT-V03-230101"/>
    <m/>
    <n v="1.7733333333333334"/>
    <n v="1.7733333333333334"/>
    <n v="1.7733333333333334"/>
    <n v="1.7733333333333334"/>
    <n v="0.92"/>
    <n v="0.92"/>
    <n v="0.92"/>
    <n v="0.92"/>
    <n v="0"/>
    <n v="0"/>
    <n v="0"/>
    <n v="0"/>
    <n v="0"/>
    <n v="0.92"/>
    <n v="0.92"/>
    <n v="0.92"/>
    <n v="0.92"/>
    <n v="0.92"/>
    <n v="0.92"/>
    <n v="0.92"/>
    <n v="0.92"/>
    <m/>
    <m/>
    <n v="1.6896527777777772"/>
    <m/>
    <n v="0"/>
    <n v="0"/>
    <m/>
    <m/>
    <n v="1.6896527777777772"/>
    <s v="n/a"/>
    <n v="0"/>
    <n v="0"/>
    <n v="0"/>
    <m/>
    <m/>
    <n v="1.6896527777777772"/>
    <m/>
    <n v="0"/>
    <n v="0"/>
    <m/>
    <m/>
    <n v="1.6896527777777772"/>
    <m/>
    <n v="0"/>
    <n v="0"/>
    <n v="0"/>
    <n v="0"/>
    <n v="0"/>
    <n v="0"/>
    <n v="0"/>
    <s v="NA"/>
    <m/>
  </r>
  <r>
    <s v="NSG"/>
    <x v="5"/>
    <s v="Public Sector"/>
    <s v="Rebates"/>
    <x v="50"/>
    <n v="0"/>
    <s v="MF/CI"/>
    <x v="3"/>
    <s v="4.2.16"/>
    <n v="0"/>
    <n v="0"/>
    <n v="0"/>
    <n v="0"/>
    <n v="0"/>
    <s v="CI-FSE-VENT-V05-230101"/>
    <m/>
    <n v="774"/>
    <n v="774"/>
    <n v="774"/>
    <n v="774"/>
    <n v="0.92"/>
    <n v="0.92"/>
    <n v="0.92"/>
    <n v="0.92"/>
    <n v="0"/>
    <n v="0"/>
    <n v="0"/>
    <n v="0"/>
    <n v="0"/>
    <n v="0.92"/>
    <n v="0.92"/>
    <n v="0.92"/>
    <n v="0.92"/>
    <n v="0.92"/>
    <n v="0.92"/>
    <n v="0.92"/>
    <n v="0.92"/>
    <m/>
    <m/>
    <n v="774"/>
    <m/>
    <n v="0"/>
    <n v="0"/>
    <m/>
    <m/>
    <n v="774"/>
    <s v="n/a"/>
    <n v="0"/>
    <n v="0"/>
    <n v="0"/>
    <m/>
    <m/>
    <n v="774"/>
    <m/>
    <n v="0"/>
    <n v="0"/>
    <m/>
    <m/>
    <n v="774"/>
    <m/>
    <n v="0"/>
    <n v="0"/>
    <n v="0"/>
    <n v="0"/>
    <n v="0"/>
    <n v="0"/>
    <n v="0"/>
    <s v="NA"/>
    <m/>
  </r>
  <r>
    <s v="NSG"/>
    <x v="5"/>
    <s v="Public Sector"/>
    <s v="Rebates"/>
    <x v="71"/>
    <n v="0"/>
    <s v="MF/CI"/>
    <x v="3"/>
    <s v="4.4.39"/>
    <s v="MBH"/>
    <n v="0"/>
    <n v="0"/>
    <n v="0"/>
    <n v="0"/>
    <s v="CI-HVC-HTHV-V02-230101"/>
    <m/>
    <n v="3.72"/>
    <n v="3.72"/>
    <n v="3.72"/>
    <n v="3.72"/>
    <n v="0.92"/>
    <n v="0.92"/>
    <n v="0.92"/>
    <n v="0.92"/>
    <n v="0"/>
    <n v="0"/>
    <n v="0"/>
    <n v="0"/>
    <n v="0"/>
    <n v="0.92"/>
    <n v="0.92"/>
    <n v="0.92"/>
    <n v="0.92"/>
    <n v="0.92"/>
    <n v="0.92"/>
    <n v="0.92"/>
    <n v="0.92"/>
    <m/>
    <m/>
    <n v="3.72"/>
    <m/>
    <n v="0"/>
    <n v="0"/>
    <m/>
    <m/>
    <n v="3.72"/>
    <s v="n/a"/>
    <n v="0"/>
    <n v="0"/>
    <n v="0"/>
    <m/>
    <m/>
    <n v="3.72"/>
    <m/>
    <n v="0"/>
    <n v="0"/>
    <m/>
    <m/>
    <n v="3.72"/>
    <m/>
    <n v="0"/>
    <n v="0"/>
    <n v="0"/>
    <n v="0"/>
    <n v="0"/>
    <n v="0"/>
    <n v="0"/>
    <s v="NA"/>
    <m/>
  </r>
  <r>
    <s v="NSG"/>
    <x v="5"/>
    <s v="Public Sector"/>
    <s v="Rebates"/>
    <x v="43"/>
    <s v="Hotel/Motel/Hospital"/>
    <s v="CI"/>
    <x v="3"/>
    <s v="4.8.5"/>
    <s v="lb-capacity"/>
    <n v="0"/>
    <n v="0"/>
    <n v="0"/>
    <n v="0"/>
    <s v="CI-MSC-HSCW-V02-210101"/>
    <m/>
    <n v="6.7459391999999996"/>
    <n v="6.7459391999999996"/>
    <n v="6.7459391999999996"/>
    <n v="6.7459391999999996"/>
    <n v="0.92"/>
    <n v="0.92"/>
    <n v="0.92"/>
    <n v="0.92"/>
    <n v="0"/>
    <n v="0"/>
    <n v="0"/>
    <n v="0"/>
    <n v="0"/>
    <n v="0.92"/>
    <n v="0.92"/>
    <n v="0.92"/>
    <n v="0.92"/>
    <n v="0.92"/>
    <n v="0.92"/>
    <n v="0.92"/>
    <n v="0.92"/>
    <m/>
    <m/>
    <n v="6.7459391999999996"/>
    <m/>
    <n v="0"/>
    <n v="0"/>
    <m/>
    <m/>
    <n v="6.7459391999999996"/>
    <s v="n/a"/>
    <n v="0"/>
    <n v="0"/>
    <n v="0"/>
    <m/>
    <m/>
    <n v="6.7459391999999996"/>
    <m/>
    <n v="0"/>
    <n v="0"/>
    <m/>
    <m/>
    <n v="6.7459391999999996"/>
    <m/>
    <n v="0"/>
    <n v="0"/>
    <n v="0"/>
    <n v="0"/>
    <n v="0"/>
    <n v="0"/>
    <n v="0"/>
    <s v="NA"/>
    <m/>
  </r>
  <r>
    <s v="NSG"/>
    <x v="5"/>
    <s v="Public Sector"/>
    <s v="Rebates"/>
    <x v="43"/>
    <s v="Laundromat"/>
    <s v="SMB"/>
    <x v="3"/>
    <s v="4.8.5"/>
    <s v="lb-capacity"/>
    <n v="0"/>
    <n v="0"/>
    <n v="0"/>
    <n v="0"/>
    <s v="CI-MSC-HSCW-V02-210101"/>
    <m/>
    <n v="2.7891864000000002"/>
    <n v="2.7891864000000002"/>
    <n v="2.7891864000000002"/>
    <n v="2.7891864000000002"/>
    <n v="0.92"/>
    <n v="0.92"/>
    <n v="0.92"/>
    <n v="0.92"/>
    <n v="0"/>
    <n v="0"/>
    <n v="0"/>
    <n v="0"/>
    <n v="0"/>
    <n v="0.92"/>
    <n v="0.92"/>
    <n v="0.92"/>
    <n v="0.92"/>
    <n v="0.92"/>
    <n v="0.92"/>
    <n v="0.92"/>
    <n v="0.92"/>
    <m/>
    <m/>
    <n v="2.7891864000000002"/>
    <m/>
    <n v="0"/>
    <n v="0"/>
    <m/>
    <m/>
    <n v="2.7891864000000002"/>
    <s v="n/a"/>
    <n v="0"/>
    <n v="0"/>
    <n v="0"/>
    <m/>
    <m/>
    <n v="2.7891864000000002"/>
    <m/>
    <n v="0"/>
    <n v="0"/>
    <m/>
    <m/>
    <n v="2.7891864000000002"/>
    <m/>
    <n v="0"/>
    <n v="0"/>
    <n v="0"/>
    <n v="0"/>
    <n v="0"/>
    <n v="0"/>
    <n v="0"/>
    <s v="NA"/>
    <m/>
  </r>
  <r>
    <s v="NSG"/>
    <x v="5"/>
    <s v="Public Sector"/>
    <s v="Rebates"/>
    <x v="72"/>
    <n v="0"/>
    <s v="CI"/>
    <x v="3"/>
    <s v="4.4.48"/>
    <s v="each"/>
    <n v="0"/>
    <n v="0"/>
    <n v="0"/>
    <n v="0"/>
    <s v="CI-HVC-THST-V05-230101"/>
    <m/>
    <n v="196.26391399999997"/>
    <n v="196.26391399999997"/>
    <n v="196.26391399999997"/>
    <n v="196.26391399999997"/>
    <n v="0.93"/>
    <n v="0.93"/>
    <n v="0.93"/>
    <n v="0.93"/>
    <n v="0"/>
    <n v="0"/>
    <n v="0"/>
    <n v="0"/>
    <n v="0"/>
    <n v="0.93"/>
    <n v="0.93"/>
    <n v="0.93"/>
    <n v="0.93"/>
    <n v="0.93"/>
    <n v="0.93"/>
    <n v="0.93"/>
    <n v="0.93"/>
    <m/>
    <m/>
    <n v="157.01113119999999"/>
    <m/>
    <n v="0"/>
    <n v="0"/>
    <m/>
    <m/>
    <n v="157.01113119999999"/>
    <s v="n/a"/>
    <n v="0"/>
    <n v="0"/>
    <n v="0"/>
    <m/>
    <m/>
    <n v="157.01113119999999"/>
    <m/>
    <n v="0"/>
    <n v="0"/>
    <m/>
    <m/>
    <n v="157.01113119999999"/>
    <m/>
    <n v="0"/>
    <n v="0"/>
    <n v="0"/>
    <n v="0"/>
    <n v="0"/>
    <n v="0"/>
    <n v="0"/>
    <s v="NA"/>
    <m/>
  </r>
  <r>
    <s v="NSG"/>
    <x v="5"/>
    <s v="Public Sector"/>
    <s v="Rebates"/>
    <x v="29"/>
    <n v="0"/>
    <s v="CI"/>
    <x v="3"/>
    <s v="4.4.21"/>
    <s v="MBH"/>
    <n v="0"/>
    <n v="0"/>
    <n v="0"/>
    <n v="0"/>
    <s v="CI-HVC-LBC-V06-220101"/>
    <m/>
    <n v="0.56277999999999995"/>
    <n v="0.56277999999999995"/>
    <n v="0.56277999999999995"/>
    <n v="0.56277999999999995"/>
    <n v="0.92"/>
    <n v="0.92"/>
    <n v="0.92"/>
    <n v="0.92"/>
    <n v="0"/>
    <n v="0"/>
    <n v="0"/>
    <n v="0"/>
    <n v="0"/>
    <n v="0.92"/>
    <n v="0.92"/>
    <n v="0.92"/>
    <n v="0.92"/>
    <n v="0.92"/>
    <n v="0.92"/>
    <n v="0.92"/>
    <n v="0.92"/>
    <m/>
    <m/>
    <n v="0.56277999999999995"/>
    <m/>
    <n v="0"/>
    <n v="0"/>
    <m/>
    <m/>
    <n v="0.56277999999999995"/>
    <s v="n/a"/>
    <n v="0"/>
    <n v="0"/>
    <n v="0"/>
    <m/>
    <m/>
    <n v="0.56277999999999995"/>
    <m/>
    <n v="0"/>
    <n v="0"/>
    <m/>
    <m/>
    <n v="0.56277999999999995"/>
    <m/>
    <n v="0"/>
    <n v="0"/>
    <n v="0"/>
    <n v="0"/>
    <n v="0"/>
    <n v="0"/>
    <n v="0"/>
    <s v="NA"/>
    <m/>
  </r>
  <r>
    <s v="NSG"/>
    <x v="5"/>
    <s v="Public Sector"/>
    <s v="Rebates"/>
    <x v="38"/>
    <n v="0"/>
    <s v="MF/CI/SMB"/>
    <x v="3"/>
    <s v="4.3.12"/>
    <s v="sqft"/>
    <n v="0"/>
    <n v="0"/>
    <n v="0"/>
    <n v="0"/>
    <s v="CI-HWE-TKIN-V02-220101"/>
    <m/>
    <n v="16.746197539658972"/>
    <n v="16.746197539658972"/>
    <n v="16.746197539658972"/>
    <n v="16.746197539658972"/>
    <n v="0.92"/>
    <n v="0.92"/>
    <n v="0.92"/>
    <n v="0.92"/>
    <n v="0"/>
    <n v="0"/>
    <n v="0"/>
    <n v="0"/>
    <n v="0"/>
    <n v="0.92"/>
    <n v="0.92"/>
    <n v="0.92"/>
    <n v="0.92"/>
    <n v="0.92"/>
    <n v="0.92"/>
    <n v="0.92"/>
    <n v="0.92"/>
    <m/>
    <m/>
    <n v="16.746197539658972"/>
    <m/>
    <n v="0"/>
    <n v="0"/>
    <m/>
    <m/>
    <n v="16.746197539658972"/>
    <s v="n/a"/>
    <n v="0"/>
    <n v="0"/>
    <n v="0"/>
    <m/>
    <m/>
    <n v="16.746197539658972"/>
    <m/>
    <n v="0"/>
    <n v="0"/>
    <m/>
    <m/>
    <n v="16.746197539658972"/>
    <m/>
    <n v="0"/>
    <n v="0"/>
    <n v="0"/>
    <n v="0"/>
    <n v="0"/>
    <n v="0"/>
    <n v="0"/>
    <s v="NA"/>
    <m/>
  </r>
  <r>
    <s v="NSG"/>
    <x v="5"/>
    <s v="Public Sector"/>
    <s v="Rebates"/>
    <x v="12"/>
    <s v="Storage 0.67 EF"/>
    <s v="CI"/>
    <x v="3"/>
    <s v="4.3.1"/>
    <s v="each"/>
    <n v="0"/>
    <n v="0"/>
    <n v="0"/>
    <n v="0"/>
    <s v="CI-HWE-STWH-V09-230101"/>
    <m/>
    <n v="56.252452620818083"/>
    <n v="56.252452620818083"/>
    <n v="56.252452620818083"/>
    <n v="56.252452620818083"/>
    <n v="0.92"/>
    <n v="0.92"/>
    <n v="0.92"/>
    <n v="0.92"/>
    <n v="0"/>
    <n v="0"/>
    <n v="0"/>
    <n v="0"/>
    <n v="0"/>
    <n v="0.92"/>
    <n v="0.92"/>
    <n v="0.92"/>
    <n v="0.92"/>
    <n v="0.92"/>
    <n v="0.92"/>
    <n v="0.92"/>
    <n v="0.92"/>
    <m/>
    <m/>
    <n v="58.867003235588506"/>
    <m/>
    <n v="0"/>
    <n v="0"/>
    <m/>
    <m/>
    <n v="58.550513970881049"/>
    <s v="n/a"/>
    <n v="0"/>
    <n v="0"/>
    <n v="0"/>
    <m/>
    <m/>
    <n v="58.550513970881049"/>
    <m/>
    <n v="0"/>
    <n v="0"/>
    <m/>
    <m/>
    <n v="58.550513970881049"/>
    <m/>
    <n v="0"/>
    <n v="0"/>
    <n v="0"/>
    <n v="0"/>
    <n v="0"/>
    <n v="0"/>
    <n v="0"/>
    <s v="NA"/>
    <m/>
  </r>
  <r>
    <s v="NSG"/>
    <x v="5"/>
    <s v="Public Sector"/>
    <s v="Rebates"/>
    <x v="73"/>
    <n v="0"/>
    <s v="MF/CI"/>
    <x v="3"/>
    <s v="4.4.12"/>
    <s v="MBH"/>
    <n v="0"/>
    <n v="0"/>
    <n v="0"/>
    <n v="0"/>
    <s v="CI-HVC-IRHT-V03-230101"/>
    <m/>
    <n v="2.9611764705882351"/>
    <n v="2.9611764705882351"/>
    <n v="2.9611764705882351"/>
    <n v="2.9611764705882351"/>
    <n v="0.92"/>
    <n v="0.92"/>
    <n v="0.92"/>
    <n v="0.92"/>
    <n v="0"/>
    <n v="0"/>
    <n v="0"/>
    <n v="0"/>
    <n v="0"/>
    <n v="0.92"/>
    <n v="0.92"/>
    <n v="0.92"/>
    <n v="0.92"/>
    <n v="0.92"/>
    <n v="0.92"/>
    <n v="0.92"/>
    <n v="0.92"/>
    <m/>
    <m/>
    <n v="2.9611764705882351"/>
    <m/>
    <n v="0"/>
    <n v="0"/>
    <m/>
    <m/>
    <n v="2.9611764705882351"/>
    <s v="n/a"/>
    <n v="0"/>
    <n v="0"/>
    <n v="0"/>
    <m/>
    <m/>
    <n v="2.9611764705882351"/>
    <m/>
    <n v="0"/>
    <n v="0"/>
    <m/>
    <m/>
    <n v="2.9611764705882351"/>
    <m/>
    <n v="0"/>
    <n v="0"/>
    <n v="0"/>
    <n v="0"/>
    <n v="0"/>
    <n v="0"/>
    <n v="0"/>
    <s v="NA"/>
    <m/>
  </r>
  <r>
    <s v="NSG"/>
    <x v="5"/>
    <s v="Public Sector"/>
    <s v="Rebates"/>
    <x v="56"/>
    <s v="Hotels &amp; Hospitals"/>
    <s v="CI"/>
    <x v="3"/>
    <s v="4.8.4"/>
    <s v="each"/>
    <n v="0"/>
    <n v="0"/>
    <n v="0"/>
    <n v="0"/>
    <s v="CI-MSC-MODD-V02-230101"/>
    <m/>
    <n v="649.26"/>
    <n v="649.26"/>
    <n v="649.26"/>
    <n v="649.26"/>
    <n v="0.92"/>
    <n v="0.92"/>
    <n v="0.92"/>
    <n v="0.92"/>
    <n v="0"/>
    <n v="0"/>
    <n v="0"/>
    <n v="0"/>
    <n v="0"/>
    <n v="0.92"/>
    <n v="0.92"/>
    <n v="0.92"/>
    <n v="0.92"/>
    <n v="0.92"/>
    <n v="0.92"/>
    <n v="0.92"/>
    <n v="0.92"/>
    <m/>
    <m/>
    <n v="649.26"/>
    <m/>
    <n v="0"/>
    <n v="0"/>
    <m/>
    <m/>
    <n v="649.26"/>
    <s v="Updated measure lifetime."/>
    <n v="0"/>
    <n v="0"/>
    <n v="0"/>
    <m/>
    <m/>
    <n v="649.26"/>
    <m/>
    <n v="0"/>
    <n v="0"/>
    <m/>
    <m/>
    <n v="649.26"/>
    <m/>
    <n v="0"/>
    <n v="0"/>
    <n v="0"/>
    <n v="0"/>
    <n v="0"/>
    <n v="0"/>
    <n v="0"/>
    <s v="NA"/>
    <m/>
  </r>
  <r>
    <s v="NSG"/>
    <x v="5"/>
    <s v="Public Sector"/>
    <s v="Rebates"/>
    <x v="56"/>
    <s v="Laundromat &amp; MF Dorms"/>
    <s v="MF/SMB"/>
    <x v="3"/>
    <s v="4.8.4"/>
    <s v="each"/>
    <n v="0"/>
    <n v="0"/>
    <n v="0"/>
    <n v="0"/>
    <s v="CI-MSC-MODD-V02-230101"/>
    <m/>
    <n v="230.13"/>
    <n v="230.13"/>
    <n v="230.13"/>
    <n v="230.13"/>
    <n v="0.92"/>
    <n v="0.92"/>
    <n v="0.92"/>
    <n v="0.92"/>
    <n v="0"/>
    <n v="0"/>
    <n v="0"/>
    <n v="0"/>
    <n v="0"/>
    <n v="0.92"/>
    <n v="0.92"/>
    <n v="0.92"/>
    <n v="0.92"/>
    <n v="0.92"/>
    <n v="0.92"/>
    <n v="0.92"/>
    <n v="0.92"/>
    <m/>
    <m/>
    <n v="230.13"/>
    <m/>
    <n v="0"/>
    <n v="0"/>
    <m/>
    <m/>
    <n v="230.13"/>
    <s v="Updated measure lifetime."/>
    <n v="0"/>
    <n v="0"/>
    <n v="0"/>
    <m/>
    <m/>
    <n v="230.13"/>
    <m/>
    <n v="0"/>
    <n v="0"/>
    <m/>
    <m/>
    <n v="230.13"/>
    <m/>
    <n v="0"/>
    <n v="0"/>
    <n v="0"/>
    <n v="0"/>
    <n v="0"/>
    <n v="0"/>
    <n v="0"/>
    <s v="NA"/>
    <m/>
  </r>
  <r>
    <s v="NSG"/>
    <x v="5"/>
    <s v="Public Sector"/>
    <s v="Rebates"/>
    <x v="74"/>
    <n v="0"/>
    <s v="MF/CI"/>
    <x v="3"/>
    <s v="4.3.6"/>
    <s v="lb-capacity"/>
    <n v="0"/>
    <n v="0"/>
    <n v="0"/>
    <n v="0"/>
    <s v="CI-HWE-OZLD-V07-230101"/>
    <m/>
    <n v="30.722664192350027"/>
    <n v="30.722664192350027"/>
    <n v="30.722664192350027"/>
    <n v="30.722664192350027"/>
    <n v="0.92"/>
    <n v="0.92"/>
    <n v="0.92"/>
    <n v="0.92"/>
    <n v="0"/>
    <n v="0"/>
    <n v="0"/>
    <n v="0"/>
    <n v="0"/>
    <n v="0.92"/>
    <n v="0.92"/>
    <n v="0.92"/>
    <n v="0.92"/>
    <n v="0.92"/>
    <n v="0.92"/>
    <n v="0.92"/>
    <n v="0.92"/>
    <m/>
    <m/>
    <n v="30.722664192350027"/>
    <m/>
    <n v="0"/>
    <n v="0"/>
    <m/>
    <m/>
    <n v="30.722664192350027"/>
    <s v="n/a"/>
    <n v="0"/>
    <n v="0"/>
    <n v="0"/>
    <m/>
    <m/>
    <n v="30.722664192350027"/>
    <m/>
    <n v="0"/>
    <n v="0"/>
    <m/>
    <m/>
    <n v="30.722664192350027"/>
    <m/>
    <n v="0"/>
    <n v="0"/>
    <n v="0"/>
    <n v="0"/>
    <n v="0"/>
    <n v="0"/>
    <n v="0"/>
    <s v="NA"/>
    <m/>
  </r>
  <r>
    <s v="NSG"/>
    <x v="5"/>
    <s v="Public Sector"/>
    <s v="Rebates"/>
    <x v="4"/>
    <s v="Steam - X-Large &gt;8&quot;"/>
    <s v="CI"/>
    <x v="3"/>
    <s v="&quot;3 - Pipe Insulation&quot; worksheet"/>
    <s v="ft"/>
    <n v="0"/>
    <n v="0"/>
    <n v="0"/>
    <n v="0"/>
    <n v="0"/>
    <m/>
    <n v="35.984797966765058"/>
    <n v="35.984797966765058"/>
    <n v="35.984797966765058"/>
    <n v="35.984797966765058"/>
    <n v="0.92"/>
    <n v="0.92"/>
    <n v="0.92"/>
    <n v="0.92"/>
    <n v="0"/>
    <n v="0"/>
    <n v="0"/>
    <n v="0"/>
    <n v="0"/>
    <n v="0.92"/>
    <n v="0.92"/>
    <n v="0.92"/>
    <n v="0.92"/>
    <n v="0.92"/>
    <n v="0.92"/>
    <n v="0.92"/>
    <n v="0.92"/>
    <m/>
    <m/>
    <n v="35.984797966765058"/>
    <m/>
    <n v="0"/>
    <n v="0"/>
    <m/>
    <m/>
    <n v="35.984797966765058"/>
    <s v="n/a"/>
    <n v="0"/>
    <n v="0"/>
    <n v="0"/>
    <m/>
    <m/>
    <n v="35.984797966765058"/>
    <m/>
    <n v="0"/>
    <n v="0"/>
    <m/>
    <m/>
    <n v="35.984797966765058"/>
    <m/>
    <n v="0"/>
    <n v="0"/>
    <n v="0"/>
    <n v="0"/>
    <n v="0"/>
    <n v="0"/>
    <n v="0"/>
    <s v="NA"/>
    <m/>
  </r>
  <r>
    <s v="NSG"/>
    <x v="5"/>
    <s v="Public Sector"/>
    <s v="Rebates"/>
    <x v="4"/>
    <s v="Steam Med Fitting"/>
    <s v="CI"/>
    <x v="3"/>
    <s v="&quot;3 - Pipe Insulation&quot; worksheet"/>
    <s v="each"/>
    <n v="0"/>
    <n v="0"/>
    <n v="0"/>
    <n v="0"/>
    <n v="0"/>
    <m/>
    <n v="16.16754015857342"/>
    <n v="16.16754015857342"/>
    <n v="16.16754015857342"/>
    <n v="16.16754015857342"/>
    <n v="0.92"/>
    <n v="0.92"/>
    <n v="0.92"/>
    <n v="0.92"/>
    <n v="0"/>
    <n v="0"/>
    <n v="0"/>
    <n v="0"/>
    <n v="0"/>
    <n v="0.92"/>
    <n v="0.92"/>
    <n v="0.92"/>
    <n v="0.92"/>
    <n v="0.92"/>
    <n v="0.92"/>
    <n v="0.92"/>
    <n v="0.92"/>
    <m/>
    <m/>
    <n v="16.16754015857342"/>
    <m/>
    <n v="0"/>
    <n v="0"/>
    <m/>
    <m/>
    <n v="16.16754015857342"/>
    <s v="n/a"/>
    <n v="0"/>
    <n v="0"/>
    <n v="0"/>
    <m/>
    <m/>
    <n v="16.16754015857342"/>
    <m/>
    <n v="0"/>
    <n v="0"/>
    <m/>
    <m/>
    <n v="16.16754015857342"/>
    <m/>
    <n v="0"/>
    <n v="0"/>
    <n v="0"/>
    <n v="0"/>
    <n v="0"/>
    <n v="0"/>
    <n v="0"/>
    <s v="NA"/>
    <m/>
  </r>
  <r>
    <s v="NSG"/>
    <x v="5"/>
    <s v="Public Sector"/>
    <s v="Rebates"/>
    <x v="4"/>
    <s v="Steam Large Fitting"/>
    <s v="CI"/>
    <x v="3"/>
    <s v="&quot;3 - Pipe Insulation&quot; worksheet"/>
    <s v="each"/>
    <n v="0"/>
    <n v="0"/>
    <n v="0"/>
    <n v="0"/>
    <n v="0"/>
    <m/>
    <n v="44.895855334511324"/>
    <n v="44.895855334511324"/>
    <n v="44.895855334511324"/>
    <n v="44.895855334511324"/>
    <n v="0.92"/>
    <n v="0.92"/>
    <n v="0.92"/>
    <n v="0.92"/>
    <n v="0"/>
    <n v="0"/>
    <n v="0"/>
    <n v="0"/>
    <n v="0"/>
    <n v="0.92"/>
    <n v="0.92"/>
    <n v="0.92"/>
    <n v="0.92"/>
    <n v="0.92"/>
    <n v="0.92"/>
    <n v="0.92"/>
    <n v="0.92"/>
    <m/>
    <m/>
    <n v="44.895855334511324"/>
    <m/>
    <n v="0"/>
    <n v="0"/>
    <m/>
    <m/>
    <n v="44.895855334511324"/>
    <s v="n/a"/>
    <n v="0"/>
    <n v="0"/>
    <n v="0"/>
    <m/>
    <m/>
    <n v="44.895855334511324"/>
    <m/>
    <n v="0"/>
    <n v="0"/>
    <m/>
    <m/>
    <n v="44.895855334511324"/>
    <m/>
    <n v="0"/>
    <n v="0"/>
    <n v="0"/>
    <n v="0"/>
    <n v="0"/>
    <n v="0"/>
    <n v="0"/>
    <s v="NA"/>
    <m/>
  </r>
  <r>
    <s v="NSG"/>
    <x v="5"/>
    <s v="Public Sector"/>
    <s v="Rebates"/>
    <x v="4"/>
    <s v="Steam X-Large Fitting"/>
    <s v="CI"/>
    <x v="3"/>
    <s v="&quot;3 - Pipe Insulation&quot; worksheet"/>
    <s v="each"/>
    <n v="0"/>
    <n v="0"/>
    <n v="0"/>
    <n v="0"/>
    <n v="0"/>
    <m/>
    <n v="80.577400496643122"/>
    <n v="80.577400496643122"/>
    <n v="80.577400496643122"/>
    <n v="80.577400496643122"/>
    <n v="0.92"/>
    <n v="0.92"/>
    <n v="0.92"/>
    <n v="0.92"/>
    <n v="0"/>
    <n v="0"/>
    <n v="0"/>
    <n v="0"/>
    <n v="0"/>
    <n v="0.92"/>
    <n v="0.92"/>
    <n v="0.92"/>
    <n v="0.92"/>
    <n v="0.92"/>
    <n v="0.92"/>
    <n v="0.92"/>
    <n v="0.92"/>
    <m/>
    <m/>
    <n v="80.577400496643122"/>
    <m/>
    <n v="0"/>
    <n v="0"/>
    <m/>
    <m/>
    <n v="80.577400496643122"/>
    <s v="n/a"/>
    <n v="0"/>
    <n v="0"/>
    <n v="0"/>
    <m/>
    <m/>
    <n v="80.577400496643122"/>
    <m/>
    <n v="0"/>
    <n v="0"/>
    <m/>
    <m/>
    <n v="80.577400496643122"/>
    <m/>
    <n v="0"/>
    <n v="0"/>
    <n v="0"/>
    <n v="0"/>
    <n v="0"/>
    <n v="0"/>
    <n v="0"/>
    <s v="NA"/>
    <m/>
  </r>
  <r>
    <s v="NSG"/>
    <x v="5"/>
    <s v="Public Sector"/>
    <s v="Rebates"/>
    <x v="4"/>
    <s v="Steam Med Valve"/>
    <s v="CI"/>
    <x v="3"/>
    <s v="&quot;3 - Pipe Insulation&quot; worksheet"/>
    <s v="each"/>
    <n v="0"/>
    <n v="0"/>
    <n v="0"/>
    <n v="0"/>
    <n v="0"/>
    <m/>
    <n v="49.002251273013741"/>
    <n v="49.002251273013741"/>
    <n v="49.002251273013741"/>
    <n v="49.002251273013741"/>
    <n v="0.92"/>
    <n v="0.92"/>
    <n v="0.92"/>
    <n v="0.92"/>
    <n v="0"/>
    <n v="0"/>
    <n v="0"/>
    <n v="0"/>
    <n v="0"/>
    <n v="0.92"/>
    <n v="0.92"/>
    <n v="0.92"/>
    <n v="0.92"/>
    <n v="0.92"/>
    <n v="0.92"/>
    <n v="0.92"/>
    <n v="0.92"/>
    <m/>
    <m/>
    <n v="49.002251273013741"/>
    <m/>
    <n v="0"/>
    <n v="0"/>
    <m/>
    <m/>
    <n v="49.002251273013741"/>
    <s v="n/a"/>
    <n v="0"/>
    <n v="0"/>
    <n v="0"/>
    <m/>
    <m/>
    <n v="49.002251273013741"/>
    <m/>
    <n v="0"/>
    <n v="0"/>
    <m/>
    <m/>
    <n v="49.002251273013741"/>
    <m/>
    <n v="0"/>
    <n v="0"/>
    <n v="0"/>
    <n v="0"/>
    <n v="0"/>
    <n v="0"/>
    <n v="0"/>
    <s v="NA"/>
    <m/>
  </r>
  <r>
    <s v="NSG"/>
    <x v="5"/>
    <s v="Public Sector"/>
    <s v="Rebates"/>
    <x v="4"/>
    <s v="Steam Large Valve"/>
    <s v="CI"/>
    <x v="3"/>
    <s v="&quot;3 - Pipe Insulation&quot; worksheet"/>
    <s v="each"/>
    <n v="0"/>
    <n v="0"/>
    <n v="0"/>
    <n v="0"/>
    <n v="0"/>
    <m/>
    <n v="107.52607289087437"/>
    <n v="107.52607289087437"/>
    <n v="107.52607289087437"/>
    <n v="107.52607289087437"/>
    <n v="0.92"/>
    <n v="0.92"/>
    <n v="0.92"/>
    <n v="0.92"/>
    <n v="0"/>
    <n v="0"/>
    <n v="0"/>
    <n v="0"/>
    <n v="0"/>
    <n v="0.92"/>
    <n v="0.92"/>
    <n v="0.92"/>
    <n v="0.92"/>
    <n v="0.92"/>
    <n v="0.92"/>
    <n v="0.92"/>
    <n v="0.92"/>
    <m/>
    <m/>
    <n v="107.52607289087437"/>
    <m/>
    <n v="0"/>
    <n v="0"/>
    <m/>
    <m/>
    <n v="107.52607289087437"/>
    <s v="n/a"/>
    <n v="0"/>
    <n v="0"/>
    <n v="0"/>
    <m/>
    <m/>
    <n v="107.52607289087437"/>
    <m/>
    <n v="0"/>
    <n v="0"/>
    <m/>
    <m/>
    <n v="107.52607289087437"/>
    <m/>
    <n v="0"/>
    <n v="0"/>
    <n v="0"/>
    <n v="0"/>
    <n v="0"/>
    <n v="0"/>
    <n v="0"/>
    <s v="NA"/>
    <m/>
  </r>
  <r>
    <s v="NSG"/>
    <x v="5"/>
    <s v="Public Sector"/>
    <s v="Rebates"/>
    <x v="4"/>
    <s v="Steam X-Large Valve"/>
    <s v="CI"/>
    <x v="3"/>
    <s v="&quot;3 - Pipe Insulation&quot; worksheet"/>
    <s v="each"/>
    <n v="0"/>
    <n v="0"/>
    <n v="0"/>
    <n v="0"/>
    <n v="0"/>
    <m/>
    <n v="175.06254164158375"/>
    <n v="175.06254164158375"/>
    <n v="175.06254164158375"/>
    <n v="175.06254164158375"/>
    <n v="0.92"/>
    <n v="0.92"/>
    <n v="0.92"/>
    <n v="0.92"/>
    <n v="0"/>
    <n v="0"/>
    <n v="0"/>
    <n v="0"/>
    <n v="0"/>
    <n v="0.92"/>
    <n v="0.92"/>
    <n v="0.92"/>
    <n v="0.92"/>
    <n v="0.92"/>
    <n v="0.92"/>
    <n v="0.92"/>
    <n v="0.92"/>
    <m/>
    <m/>
    <n v="175.06254164158375"/>
    <m/>
    <n v="0"/>
    <n v="0"/>
    <m/>
    <m/>
    <n v="175.06254164158375"/>
    <s v="n/a"/>
    <n v="0"/>
    <n v="0"/>
    <n v="0"/>
    <m/>
    <m/>
    <n v="175.06254164158375"/>
    <m/>
    <n v="0"/>
    <n v="0"/>
    <m/>
    <m/>
    <n v="175.06254164158375"/>
    <m/>
    <n v="0"/>
    <n v="0"/>
    <n v="0"/>
    <n v="0"/>
    <n v="0"/>
    <n v="0"/>
    <n v="0"/>
    <s v="NA"/>
    <m/>
  </r>
  <r>
    <s v="NSG"/>
    <x v="5"/>
    <s v="Public Sector"/>
    <s v="Rebates"/>
    <x v="10"/>
    <n v="0"/>
    <s v="CI"/>
    <x v="3"/>
    <s v="4.2.11"/>
    <s v="each"/>
    <n v="0"/>
    <n v="0"/>
    <n v="0"/>
    <n v="0"/>
    <s v="CI-FSE-CVOV-V02-180101"/>
    <m/>
    <n v="235.77765120000004"/>
    <n v="235.77765120000004"/>
    <n v="235.77765120000004"/>
    <n v="235.77765120000004"/>
    <n v="0.92"/>
    <n v="0.92"/>
    <n v="0.92"/>
    <n v="0.92"/>
    <n v="0"/>
    <n v="0"/>
    <n v="0"/>
    <n v="0"/>
    <n v="0"/>
    <n v="0.92"/>
    <n v="0.92"/>
    <n v="0.92"/>
    <n v="0.92"/>
    <n v="0.92"/>
    <n v="0.92"/>
    <n v="0.92"/>
    <n v="0.92"/>
    <m/>
    <m/>
    <n v="247.22970854399998"/>
    <m/>
    <n v="0"/>
    <n v="0"/>
    <m/>
    <m/>
    <n v="247.22970854399998"/>
    <s v="n/a"/>
    <n v="0"/>
    <n v="0"/>
    <n v="0"/>
    <m/>
    <m/>
    <n v="247.22970854399998"/>
    <m/>
    <n v="0"/>
    <n v="0"/>
    <m/>
    <m/>
    <n v="247.22970854399998"/>
    <m/>
    <n v="0"/>
    <n v="0"/>
    <n v="0"/>
    <n v="0"/>
    <n v="0"/>
    <n v="0"/>
    <n v="0"/>
    <s v="NA"/>
    <m/>
  </r>
  <r>
    <s v="NSG"/>
    <x v="5"/>
    <s v="Public Sector"/>
    <s v="Rebates"/>
    <x v="41"/>
    <s v="Dry Cleaner/Industrial - No Audit"/>
    <s v="MF/CI/SMB"/>
    <x v="3"/>
    <s v="4.4.16"/>
    <s v="each"/>
    <n v="0"/>
    <n v="0"/>
    <n v="0"/>
    <n v="0"/>
    <s v="CI-HVC-STRE-V09-230101"/>
    <m/>
    <n v="174.96360308617389"/>
    <n v="174.96360308617389"/>
    <n v="174.96360308617389"/>
    <n v="174.96360308617389"/>
    <n v="0.92"/>
    <n v="0.92"/>
    <n v="0.92"/>
    <n v="0.92"/>
    <n v="0"/>
    <n v="0"/>
    <n v="0"/>
    <n v="0"/>
    <n v="0"/>
    <n v="0.92"/>
    <n v="0.92"/>
    <n v="0.92"/>
    <n v="0.92"/>
    <n v="0.92"/>
    <n v="0.92"/>
    <n v="0.92"/>
    <n v="0.92"/>
    <m/>
    <m/>
    <n v="174.96360308617389"/>
    <m/>
    <n v="0"/>
    <n v="0"/>
    <m/>
    <m/>
    <n v="174.96360308617389"/>
    <s v="Updated inputs for Commercial LPS Space Heating and Industrial/Process Low Pressure"/>
    <n v="0"/>
    <n v="0"/>
    <n v="0"/>
    <m/>
    <m/>
    <n v="174.96360308617389"/>
    <m/>
    <n v="0"/>
    <n v="0"/>
    <m/>
    <m/>
    <n v="174.96360308617389"/>
    <m/>
    <n v="0"/>
    <n v="0"/>
    <n v="0"/>
    <n v="0"/>
    <n v="0"/>
    <n v="0"/>
    <n v="0"/>
    <s v="NA"/>
    <m/>
  </r>
  <r>
    <s v="NSG"/>
    <x v="5"/>
    <s v="Public Sector"/>
    <s v="Rebates"/>
    <x v="41"/>
    <s v="Dry Cleaner/Industrial - Audit"/>
    <s v="MF/CI/SMB"/>
    <x v="3"/>
    <s v="4.4.16"/>
    <s v="each"/>
    <n v="0"/>
    <n v="0"/>
    <n v="0"/>
    <n v="0"/>
    <s v="CI-HVC-STRE-V09-230101"/>
    <m/>
    <n v="648.01334476360694"/>
    <n v="648.01334476360694"/>
    <n v="648.01334476360694"/>
    <n v="648.01334476360694"/>
    <n v="0.92"/>
    <n v="0.92"/>
    <n v="0.92"/>
    <n v="0.92"/>
    <n v="0"/>
    <n v="0"/>
    <n v="0"/>
    <n v="0"/>
    <n v="0"/>
    <n v="0.92"/>
    <n v="0.92"/>
    <n v="0.92"/>
    <n v="0.92"/>
    <n v="0.92"/>
    <n v="0.92"/>
    <n v="0.92"/>
    <n v="0.92"/>
    <m/>
    <m/>
    <n v="648.01334476360694"/>
    <m/>
    <n v="0"/>
    <n v="0"/>
    <m/>
    <m/>
    <n v="648.01334476360694"/>
    <s v="Updated inputs for Commercial LPS Space Heating and Industrial/Process Low Pressure"/>
    <n v="0"/>
    <n v="0"/>
    <n v="0"/>
    <m/>
    <m/>
    <n v="648.01334476360694"/>
    <m/>
    <n v="0"/>
    <n v="0"/>
    <m/>
    <m/>
    <n v="648.01334476360694"/>
    <m/>
    <n v="0"/>
    <n v="0"/>
    <n v="0"/>
    <n v="0"/>
    <n v="0"/>
    <n v="0"/>
    <n v="0"/>
    <s v="NA"/>
    <m/>
  </r>
  <r>
    <s v="NSG"/>
    <x v="5"/>
    <s v="Public Sector"/>
    <s v="Rebates"/>
    <x v="41"/>
    <s v="HVAC Repair/Rep - No Audit"/>
    <s v="CI"/>
    <x v="3"/>
    <s v="4.4.16"/>
    <s v="each"/>
    <n v="0"/>
    <n v="0"/>
    <n v="0"/>
    <n v="0"/>
    <s v="CI-HVC-STRE-V09-230101"/>
    <m/>
    <n v="103.61717935878508"/>
    <n v="103.61717935878508"/>
    <n v="103.61717935878508"/>
    <n v="103.61717935878508"/>
    <n v="0.92"/>
    <n v="0.92"/>
    <n v="0.92"/>
    <n v="0.92"/>
    <n v="0"/>
    <n v="0"/>
    <n v="0"/>
    <n v="0"/>
    <n v="0"/>
    <n v="0.92"/>
    <n v="0.92"/>
    <n v="0.92"/>
    <n v="0.92"/>
    <n v="0.92"/>
    <n v="0.92"/>
    <n v="0.92"/>
    <n v="0.92"/>
    <m/>
    <m/>
    <n v="103.61717935878508"/>
    <m/>
    <n v="0"/>
    <n v="0"/>
    <m/>
    <m/>
    <n v="210.59502881757265"/>
    <s v="Updated inputs for Commercial LPS Space Heating and Industrial/Process Low Pressure"/>
    <n v="0"/>
    <n v="0"/>
    <n v="0"/>
    <m/>
    <m/>
    <n v="210.59502881757265"/>
    <m/>
    <n v="0"/>
    <n v="0"/>
    <m/>
    <m/>
    <n v="210.59502881757265"/>
    <m/>
    <n v="0"/>
    <n v="0"/>
    <n v="0"/>
    <n v="0"/>
    <n v="0"/>
    <n v="0"/>
    <n v="0"/>
    <s v="NA"/>
    <m/>
  </r>
  <r>
    <s v="NSG"/>
    <x v="5"/>
    <s v="Public Sector"/>
    <s v="Rebates"/>
    <x v="41"/>
    <s v="Industrial/Process Audit - psig ≤ 15"/>
    <s v="CI/SMB"/>
    <x v="3"/>
    <s v="4.4.16"/>
    <s v="each"/>
    <n v="0"/>
    <n v="0"/>
    <n v="0"/>
    <n v="0"/>
    <s v="CI-HVC-STRE-V09-230101"/>
    <m/>
    <n v="788.87094440257943"/>
    <n v="788.87094440257943"/>
    <n v="788.87094440257943"/>
    <n v="788.87094440257943"/>
    <n v="0.92"/>
    <n v="0.92"/>
    <n v="0.92"/>
    <n v="0.92"/>
    <n v="0"/>
    <n v="0"/>
    <n v="0"/>
    <n v="0"/>
    <n v="0"/>
    <n v="0.92"/>
    <n v="0.92"/>
    <n v="0.92"/>
    <n v="0.92"/>
    <n v="0.92"/>
    <n v="0.92"/>
    <n v="0.92"/>
    <n v="0.92"/>
    <m/>
    <m/>
    <n v="788.87094440257943"/>
    <m/>
    <n v="0"/>
    <n v="0"/>
    <m/>
    <m/>
    <n v="1603.3277521921041"/>
    <s v="Updated inputs for Commercial LPS Space Heating and Industrial/Process Low Pressure"/>
    <n v="0"/>
    <n v="0"/>
    <n v="0"/>
    <m/>
    <m/>
    <n v="1603.3277521921041"/>
    <m/>
    <n v="0"/>
    <n v="0"/>
    <m/>
    <m/>
    <n v="1603.3277521921041"/>
    <m/>
    <n v="0"/>
    <n v="0"/>
    <n v="0"/>
    <n v="0"/>
    <n v="0"/>
    <n v="0"/>
    <n v="0"/>
    <s v="NA"/>
    <m/>
  </r>
  <r>
    <s v="NSG"/>
    <x v="5"/>
    <s v="Public Sector"/>
    <s v="Rebates"/>
    <x v="41"/>
    <s v="Industrial/Process Audit - 15 &lt; psig &lt; 30"/>
    <s v="CI/SMB"/>
    <x v="3"/>
    <s v="4.4.16"/>
    <s v="each"/>
    <n v="0"/>
    <n v="0"/>
    <n v="0"/>
    <n v="0"/>
    <s v="CI-HVC-STRE-V09-230101"/>
    <m/>
    <n v="758.17043213559668"/>
    <n v="758.17043213559668"/>
    <n v="758.17043213559668"/>
    <n v="758.17043213559668"/>
    <n v="0.92"/>
    <n v="0.92"/>
    <n v="0.92"/>
    <n v="0.92"/>
    <n v="0"/>
    <n v="0"/>
    <n v="0"/>
    <n v="0"/>
    <n v="0"/>
    <n v="0.92"/>
    <n v="0.92"/>
    <n v="0.92"/>
    <n v="0.92"/>
    <n v="0.92"/>
    <n v="0.92"/>
    <n v="0.92"/>
    <n v="0.92"/>
    <m/>
    <m/>
    <n v="758.17043213559668"/>
    <m/>
    <n v="0"/>
    <n v="0"/>
    <m/>
    <m/>
    <n v="758.17043213559668"/>
    <s v="Updated inputs for Commercial LPS Space Heating and Industrial/Process Low Pressure"/>
    <n v="0"/>
    <n v="0"/>
    <n v="0"/>
    <m/>
    <m/>
    <n v="758.17043213559668"/>
    <m/>
    <n v="0"/>
    <n v="0"/>
    <m/>
    <m/>
    <n v="758.17043213559668"/>
    <m/>
    <n v="0"/>
    <n v="0"/>
    <n v="0"/>
    <n v="0"/>
    <n v="0"/>
    <n v="0"/>
    <n v="0"/>
    <s v="NA"/>
    <m/>
  </r>
  <r>
    <s v="NSG"/>
    <x v="5"/>
    <s v="Public Sector"/>
    <s v="Rebates"/>
    <x v="41"/>
    <s v="Industrial/Process Audit - 30 ≤ psig &lt; 75"/>
    <s v="CI/SMB"/>
    <x v="3"/>
    <s v="4.4.16"/>
    <s v="each"/>
    <n v="0"/>
    <n v="0"/>
    <n v="0"/>
    <n v="0"/>
    <s v="CI-HVC-STRE-V09-230101"/>
    <m/>
    <n v="2777.6636840634392"/>
    <n v="2777.6636840634392"/>
    <n v="2777.6636840634392"/>
    <n v="2777.6636840634392"/>
    <n v="0.92"/>
    <n v="0.92"/>
    <n v="0.92"/>
    <n v="0.92"/>
    <n v="0"/>
    <n v="0"/>
    <n v="0"/>
    <n v="0"/>
    <n v="0"/>
    <n v="0.92"/>
    <n v="0.92"/>
    <n v="0.92"/>
    <n v="0.92"/>
    <n v="0.92"/>
    <n v="0.92"/>
    <n v="0.92"/>
    <n v="0.92"/>
    <m/>
    <m/>
    <n v="2777.6636840634392"/>
    <m/>
    <n v="0"/>
    <n v="0"/>
    <m/>
    <m/>
    <n v="2777.6636840634392"/>
    <s v="Updated inputs for Commercial LPS Space Heating and Industrial/Process Low Pressure"/>
    <n v="0"/>
    <n v="0"/>
    <n v="0"/>
    <m/>
    <m/>
    <n v="2777.6636840634392"/>
    <m/>
    <n v="0"/>
    <n v="0"/>
    <m/>
    <m/>
    <n v="2777.6636840634392"/>
    <m/>
    <n v="0"/>
    <n v="0"/>
    <n v="0"/>
    <n v="0"/>
    <n v="0"/>
    <n v="0"/>
    <n v="0"/>
    <s v="NA"/>
    <m/>
  </r>
  <r>
    <s v="NSG"/>
    <x v="5"/>
    <s v="Public Sector"/>
    <s v="Rebates"/>
    <x v="41"/>
    <s v="Industrial/Process Audit - 75 ≤ psig &lt; 125"/>
    <s v="CI/SMB"/>
    <x v="3"/>
    <s v="4.4.16"/>
    <s v="each"/>
    <n v="0"/>
    <n v="0"/>
    <n v="0"/>
    <n v="0"/>
    <s v="CI-HVC-STRE-V09-230101"/>
    <m/>
    <n v="5253.732217921608"/>
    <n v="5253.732217921608"/>
    <n v="5253.732217921608"/>
    <n v="5253.732217921608"/>
    <n v="0.92"/>
    <n v="0.92"/>
    <n v="0.92"/>
    <n v="0.92"/>
    <n v="0"/>
    <n v="0"/>
    <n v="0"/>
    <n v="0"/>
    <n v="0"/>
    <n v="0.92"/>
    <n v="0.92"/>
    <n v="0.92"/>
    <n v="0.92"/>
    <n v="0.92"/>
    <n v="0.92"/>
    <n v="0.92"/>
    <n v="0.92"/>
    <m/>
    <m/>
    <n v="5253.732217921608"/>
    <m/>
    <n v="0"/>
    <n v="0"/>
    <m/>
    <m/>
    <n v="5253.732217921608"/>
    <s v="Updated inputs for Commercial LPS Space Heating and Industrial/Process Low Pressure"/>
    <n v="0"/>
    <n v="0"/>
    <n v="0"/>
    <m/>
    <m/>
    <n v="5253.732217921608"/>
    <m/>
    <n v="0"/>
    <n v="0"/>
    <m/>
    <m/>
    <n v="5253.732217921608"/>
    <m/>
    <n v="0"/>
    <n v="0"/>
    <n v="0"/>
    <n v="0"/>
    <n v="0"/>
    <n v="0"/>
    <n v="0"/>
    <s v="NA"/>
    <m/>
  </r>
  <r>
    <s v="NSG"/>
    <x v="5"/>
    <s v="Public Sector"/>
    <s v="Rebates"/>
    <x v="41"/>
    <s v="Industrial/Process Audit - 125 ≤ psig &lt; 175"/>
    <s v="CI/SMB"/>
    <x v="3"/>
    <s v="4.4.16"/>
    <s v="each"/>
    <n v="0"/>
    <n v="0"/>
    <n v="0"/>
    <n v="0"/>
    <s v="CI-HVC-STRE-V09-230101"/>
    <m/>
    <n v="7334.7468920022948"/>
    <n v="7334.7468920022948"/>
    <n v="7334.7468920022948"/>
    <n v="7334.7468920022948"/>
    <n v="0.92"/>
    <n v="0.92"/>
    <n v="0.92"/>
    <n v="0.92"/>
    <n v="0"/>
    <n v="0"/>
    <n v="0"/>
    <n v="0"/>
    <n v="0"/>
    <n v="0.92"/>
    <n v="0.92"/>
    <n v="0.92"/>
    <n v="0.92"/>
    <n v="0.92"/>
    <n v="0.92"/>
    <n v="0.92"/>
    <n v="0.92"/>
    <m/>
    <m/>
    <n v="7334.7468920022948"/>
    <m/>
    <n v="0"/>
    <n v="0"/>
    <m/>
    <m/>
    <n v="7334.7468920022948"/>
    <s v="Updated inputs for Commercial LPS Space Heating and Industrial/Process Low Pressure"/>
    <n v="0"/>
    <n v="0"/>
    <n v="0"/>
    <m/>
    <m/>
    <n v="7334.7468920022948"/>
    <m/>
    <n v="0"/>
    <n v="0"/>
    <m/>
    <m/>
    <n v="7334.7468920022948"/>
    <m/>
    <n v="0"/>
    <n v="0"/>
    <n v="0"/>
    <n v="0"/>
    <n v="0"/>
    <n v="0"/>
    <n v="0"/>
    <s v="NA"/>
    <m/>
  </r>
  <r>
    <s v="NSG"/>
    <x v="5"/>
    <s v="Public Sector"/>
    <s v="Rebates"/>
    <x v="41"/>
    <s v="Industrial/Process Audit - 175 ≤ psig &lt; 250"/>
    <s v="CI/SMB"/>
    <x v="3"/>
    <s v="4.4.16"/>
    <s v="each"/>
    <n v="0"/>
    <n v="0"/>
    <n v="0"/>
    <n v="0"/>
    <s v="CI-HVC-STRE-V09-230101"/>
    <m/>
    <n v="9906.4466256306805"/>
    <n v="9906.4466256306805"/>
    <n v="9906.4466256306805"/>
    <n v="9906.4466256306805"/>
    <n v="0.92"/>
    <n v="0.92"/>
    <n v="0.92"/>
    <n v="0.92"/>
    <n v="0"/>
    <n v="0"/>
    <n v="0"/>
    <n v="0"/>
    <n v="0"/>
    <n v="0.92"/>
    <n v="0.92"/>
    <n v="0.92"/>
    <n v="0.92"/>
    <n v="0.92"/>
    <n v="0.92"/>
    <n v="0.92"/>
    <n v="0.92"/>
    <m/>
    <m/>
    <n v="9906.4466256306805"/>
    <m/>
    <n v="0"/>
    <n v="0"/>
    <m/>
    <m/>
    <n v="9906.4466256306805"/>
    <s v="Updated inputs for Commercial LPS Space Heating and Industrial/Process Low Pressure"/>
    <n v="0"/>
    <n v="0"/>
    <n v="0"/>
    <m/>
    <m/>
    <n v="9906.4466256306805"/>
    <m/>
    <n v="0"/>
    <n v="0"/>
    <m/>
    <m/>
    <n v="9906.4466256306805"/>
    <m/>
    <n v="0"/>
    <n v="0"/>
    <n v="0"/>
    <n v="0"/>
    <n v="0"/>
    <n v="0"/>
    <n v="0"/>
    <s v="NA"/>
    <m/>
  </r>
  <r>
    <s v="NSG"/>
    <x v="5"/>
    <s v="Public Sector"/>
    <s v="Rebates"/>
    <x v="41"/>
    <s v="Industrial/Process Audit - 250 ≤ psig"/>
    <s v="CI/SMB"/>
    <x v="3"/>
    <s v="4.4.16"/>
    <s v="each"/>
    <n v="0"/>
    <n v="0"/>
    <n v="0"/>
    <n v="0"/>
    <s v="CI-HVC-STRE-V09-230101"/>
    <m/>
    <n v="12689.405899537758"/>
    <n v="12689.405899537758"/>
    <n v="12689.405899537758"/>
    <n v="12689.405899537758"/>
    <n v="0.92"/>
    <n v="0.92"/>
    <n v="0.92"/>
    <n v="0.92"/>
    <n v="0"/>
    <n v="0"/>
    <n v="0"/>
    <n v="0"/>
    <n v="0"/>
    <n v="0.92"/>
    <n v="0.92"/>
    <n v="0.92"/>
    <n v="0.92"/>
    <n v="0.92"/>
    <n v="0.92"/>
    <n v="0.92"/>
    <n v="0.92"/>
    <m/>
    <m/>
    <n v="12689.405899537758"/>
    <m/>
    <n v="0"/>
    <n v="0"/>
    <m/>
    <m/>
    <n v="12689.405899537758"/>
    <s v="Updated inputs for Commercial LPS Space Heating and Industrial/Process Low Pressure"/>
    <n v="0"/>
    <n v="0"/>
    <n v="0"/>
    <m/>
    <m/>
    <n v="12689.405899537758"/>
    <m/>
    <n v="0"/>
    <n v="0"/>
    <m/>
    <m/>
    <n v="12689.405899537758"/>
    <m/>
    <n v="0"/>
    <n v="0"/>
    <n v="0"/>
    <n v="0"/>
    <n v="0"/>
    <n v="0"/>
    <n v="0"/>
    <s v="NA"/>
    <m/>
  </r>
  <r>
    <s v="NSG"/>
    <x v="5"/>
    <s v="Public Sector"/>
    <s v="Rebates"/>
    <x v="41"/>
    <s v="Test"/>
    <s v="CI"/>
    <x v="3"/>
    <n v="0"/>
    <s v="each"/>
    <n v="0"/>
    <n v="0"/>
    <n v="0"/>
    <n v="0"/>
    <n v="0"/>
    <m/>
    <n v="0"/>
    <n v="0"/>
    <n v="0"/>
    <n v="0"/>
    <n v="0.92"/>
    <n v="0.92"/>
    <n v="0.92"/>
    <n v="0.92"/>
    <n v="0"/>
    <n v="0"/>
    <n v="0"/>
    <n v="0"/>
    <n v="0"/>
    <n v="0.92"/>
    <n v="0.92"/>
    <n v="0.92"/>
    <n v="0.92"/>
    <n v="0.92"/>
    <n v="0.92"/>
    <n v="0.92"/>
    <n v="0.92"/>
    <m/>
    <m/>
    <n v="0"/>
    <m/>
    <n v="0"/>
    <n v="0"/>
    <m/>
    <m/>
    <n v="0"/>
    <s v="n/a"/>
    <n v="0"/>
    <n v="0"/>
    <n v="0"/>
    <m/>
    <m/>
    <n v="0"/>
    <m/>
    <n v="0"/>
    <n v="0"/>
    <m/>
    <m/>
    <n v="0"/>
    <m/>
    <n v="0"/>
    <n v="0"/>
    <n v="0"/>
    <n v="0"/>
    <n v="0"/>
    <n v="0"/>
    <n v="0"/>
    <s v="NA"/>
    <m/>
  </r>
  <r>
    <s v="NSG"/>
    <x v="5"/>
    <s v="Public Sector"/>
    <s v="Rebates"/>
    <x v="12"/>
    <s v="Central Lodging 88% TE"/>
    <s v="CI"/>
    <x v="3"/>
    <s v="4.3.7"/>
    <s v="MBH"/>
    <n v="0"/>
    <n v="0"/>
    <n v="0"/>
    <n v="0"/>
    <s v="CI-HWE-MDHW-V06-230101"/>
    <m/>
    <n v="9.31628800262075"/>
    <n v="9.31628800262075"/>
    <n v="9.31628800262075"/>
    <n v="9.31628800262075"/>
    <n v="0.92"/>
    <n v="0.92"/>
    <n v="0.92"/>
    <n v="0.92"/>
    <n v="0"/>
    <n v="0"/>
    <n v="0"/>
    <n v="0"/>
    <n v="0"/>
    <n v="0.92"/>
    <n v="0.92"/>
    <n v="0.92"/>
    <n v="0.92"/>
    <n v="0.92"/>
    <n v="0.92"/>
    <n v="0.92"/>
    <n v="0.92"/>
    <m/>
    <m/>
    <n v="9.7379830071207483"/>
    <m/>
    <n v="0"/>
    <n v="0"/>
    <m/>
    <m/>
    <n v="9.7379830071207483"/>
    <s v="n/a"/>
    <n v="0"/>
    <n v="0"/>
    <n v="0"/>
    <m/>
    <m/>
    <n v="9.7379830071207483"/>
    <m/>
    <n v="0"/>
    <n v="0"/>
    <m/>
    <m/>
    <n v="9.7379830071207483"/>
    <m/>
    <n v="0"/>
    <n v="0"/>
    <n v="0"/>
    <n v="0"/>
    <n v="0"/>
    <n v="0"/>
    <n v="0"/>
    <s v="NA"/>
    <m/>
  </r>
  <r>
    <s v="NSG"/>
    <x v="5"/>
    <s v="Public Sector"/>
    <s v="Rebates"/>
    <x v="75"/>
    <n v="0"/>
    <s v="CI"/>
    <x v="3"/>
    <s v="4.4.27"/>
    <s v="CFM"/>
    <n v="0"/>
    <n v="0"/>
    <n v="0"/>
    <n v="0"/>
    <s v="CI-HVC-ERVE-V05-230101"/>
    <m/>
    <n v="0.47508182047227931"/>
    <n v="0.47508182047227931"/>
    <n v="0.47508182047227931"/>
    <n v="0.47508182047227931"/>
    <n v="0.92"/>
    <n v="0.92"/>
    <n v="0.92"/>
    <n v="0.92"/>
    <n v="0"/>
    <n v="0"/>
    <n v="0"/>
    <n v="0"/>
    <n v="0"/>
    <n v="0.92"/>
    <n v="0.92"/>
    <n v="0.92"/>
    <n v="0.92"/>
    <n v="0.92"/>
    <n v="0.92"/>
    <n v="0.92"/>
    <n v="0.92"/>
    <m/>
    <m/>
    <n v="0.47508182047227931"/>
    <m/>
    <n v="0"/>
    <n v="0"/>
    <m/>
    <m/>
    <n v="0.47508182047227931"/>
    <s v="n/a"/>
    <n v="0"/>
    <n v="0"/>
    <n v="0"/>
    <m/>
    <m/>
    <n v="0.47508182047227931"/>
    <m/>
    <n v="0"/>
    <n v="0"/>
    <m/>
    <m/>
    <n v="0.47508182047227931"/>
    <m/>
    <n v="0"/>
    <n v="0"/>
    <n v="0"/>
    <n v="0"/>
    <n v="0"/>
    <n v="0"/>
    <n v="0"/>
    <s v="NA"/>
    <m/>
  </r>
  <r>
    <s v="NSG"/>
    <x v="5"/>
    <s v="Public Sector"/>
    <s v="New Construction"/>
    <x v="76"/>
    <n v="0"/>
    <s v="CI"/>
    <x v="3"/>
    <n v="0"/>
    <s v="therm"/>
    <n v="0"/>
    <n v="0"/>
    <n v="0"/>
    <n v="0"/>
    <n v="0"/>
    <m/>
    <n v="1"/>
    <n v="1"/>
    <n v="1"/>
    <n v="1"/>
    <n v="0.43"/>
    <n v="0.43"/>
    <n v="0.43"/>
    <n v="0.43"/>
    <n v="0"/>
    <n v="0"/>
    <n v="0"/>
    <n v="0"/>
    <n v="0"/>
    <n v="0.43"/>
    <n v="0.43"/>
    <n v="0.43"/>
    <n v="0.43"/>
    <n v="0.43"/>
    <n v="0.43"/>
    <n v="0.43"/>
    <n v="0.43"/>
    <m/>
    <m/>
    <n v="1"/>
    <m/>
    <n v="0"/>
    <n v="0"/>
    <m/>
    <m/>
    <n v="1"/>
    <s v="n/a"/>
    <n v="0"/>
    <n v="0"/>
    <n v="0"/>
    <m/>
    <m/>
    <n v="1"/>
    <m/>
    <n v="0"/>
    <n v="0"/>
    <m/>
    <m/>
    <n v="1"/>
    <m/>
    <n v="0"/>
    <n v="0"/>
    <n v="0"/>
    <n v="0"/>
    <n v="0"/>
    <n v="0"/>
    <n v="0"/>
    <s v="NA"/>
    <m/>
  </r>
  <r>
    <s v="NSG"/>
    <x v="4"/>
    <s v="Single Family"/>
    <s v="CBA"/>
    <x v="39"/>
    <n v="0"/>
    <s v="SF"/>
    <x v="3"/>
    <s v="n/a"/>
    <n v="0"/>
    <n v="0"/>
    <n v="0"/>
    <n v="0"/>
    <n v="0"/>
    <s v="n/a"/>
    <m/>
    <n v="0"/>
    <n v="0"/>
    <n v="0"/>
    <n v="0"/>
    <n v="0"/>
    <n v="0"/>
    <n v="0"/>
    <n v="0"/>
    <n v="0"/>
    <n v="0"/>
    <n v="0"/>
    <n v="0"/>
    <n v="0"/>
    <n v="0"/>
    <n v="0"/>
    <n v="0"/>
    <n v="0"/>
    <n v="0"/>
    <n v="0"/>
    <n v="0"/>
    <n v="0"/>
    <m/>
    <m/>
    <n v="0"/>
    <m/>
    <n v="0"/>
    <n v="0"/>
    <m/>
    <m/>
    <n v="0"/>
    <s v="n/a"/>
    <n v="0"/>
    <n v="0"/>
    <n v="0"/>
    <m/>
    <m/>
    <n v="0"/>
    <m/>
    <n v="0"/>
    <n v="0"/>
    <m/>
    <m/>
    <n v="0"/>
    <m/>
    <n v="0"/>
    <n v="0"/>
    <n v="0"/>
    <n v="0"/>
    <n v="0"/>
    <n v="0"/>
    <n v="0"/>
    <s v="NA"/>
    <m/>
  </r>
  <r>
    <s v="NSG"/>
    <x v="4"/>
    <s v="Single Family"/>
    <s v="CBA"/>
    <x v="11"/>
    <n v="0"/>
    <s v="SF"/>
    <x v="3"/>
    <s v="5.4.4"/>
    <n v="0"/>
    <n v="0"/>
    <n v="0"/>
    <n v="0"/>
    <n v="0"/>
    <s v="RS-HWE-LFFA-V12-230101"/>
    <m/>
    <n v="0.90936082797455842"/>
    <n v="0.90936082797455842"/>
    <n v="0.90936082797455842"/>
    <n v="0.90936082797455842"/>
    <n v="0"/>
    <n v="0"/>
    <n v="0"/>
    <n v="0"/>
    <n v="0"/>
    <n v="0"/>
    <n v="0"/>
    <n v="0"/>
    <n v="0"/>
    <n v="0"/>
    <n v="0"/>
    <n v="0"/>
    <n v="0"/>
    <n v="0"/>
    <n v="0"/>
    <n v="0"/>
    <n v="0"/>
    <m/>
    <m/>
    <n v="1.0053261226599404"/>
    <m/>
    <n v="0"/>
    <n v="0"/>
    <m/>
    <m/>
    <n v="0.98416136218288908"/>
    <s v="Updated kit ISR"/>
    <n v="0"/>
    <n v="0"/>
    <n v="0"/>
    <m/>
    <m/>
    <n v="0.98416136218288908"/>
    <m/>
    <n v="0"/>
    <n v="0"/>
    <m/>
    <m/>
    <n v="0.98416136218288908"/>
    <m/>
    <n v="0"/>
    <n v="0"/>
    <n v="0"/>
    <n v="0"/>
    <n v="0"/>
    <n v="0"/>
    <n v="0"/>
    <s v="NA"/>
    <m/>
  </r>
  <r>
    <s v="NSG"/>
    <x v="4"/>
    <s v="Single Family"/>
    <s v="CBA"/>
    <x v="7"/>
    <n v="0"/>
    <s v="SF"/>
    <x v="3"/>
    <s v="5.4.4"/>
    <n v="0"/>
    <n v="0"/>
    <n v="0"/>
    <n v="0"/>
    <n v="0"/>
    <s v="RS-HWE-LFFA-V12-230101"/>
    <m/>
    <n v="8.5936302377584592"/>
    <n v="8.5936302377584592"/>
    <n v="8.5936302377584592"/>
    <n v="8.5936302377584592"/>
    <n v="0"/>
    <n v="0"/>
    <n v="0"/>
    <n v="0"/>
    <n v="0"/>
    <n v="0"/>
    <n v="0"/>
    <n v="0"/>
    <n v="0"/>
    <n v="0"/>
    <n v="0"/>
    <n v="0"/>
    <n v="0"/>
    <n v="0"/>
    <n v="0"/>
    <n v="0"/>
    <n v="0"/>
    <m/>
    <m/>
    <n v="9.3447444487707685"/>
    <m/>
    <n v="0"/>
    <n v="0"/>
    <m/>
    <m/>
    <n v="9.148012986691386"/>
    <s v="Updated kit ISR"/>
    <n v="0"/>
    <n v="0"/>
    <n v="0"/>
    <m/>
    <m/>
    <n v="9.148012986691386"/>
    <m/>
    <n v="0"/>
    <n v="0"/>
    <m/>
    <m/>
    <n v="9.148012986691386"/>
    <m/>
    <n v="0"/>
    <n v="0"/>
    <n v="0"/>
    <n v="0"/>
    <n v="0"/>
    <n v="0"/>
    <n v="0"/>
    <s v="NA"/>
    <m/>
  </r>
  <r>
    <s v="NSG"/>
    <x v="4"/>
    <s v="Single Family"/>
    <s v="CBA"/>
    <x v="5"/>
    <n v="0"/>
    <s v="SF"/>
    <x v="3"/>
    <s v="5.4.5"/>
    <n v="0"/>
    <n v="0"/>
    <n v="0"/>
    <n v="0"/>
    <n v="0"/>
    <s v="RS-HWE-LFSH-V11-230101"/>
    <m/>
    <n v="8.7892072937103034"/>
    <n v="8.7892072937103034"/>
    <n v="8.7892072937103034"/>
    <n v="8.7892072937103034"/>
    <n v="0"/>
    <n v="0"/>
    <n v="0"/>
    <n v="0"/>
    <n v="0"/>
    <n v="0"/>
    <n v="0"/>
    <n v="0"/>
    <n v="0"/>
    <n v="0"/>
    <n v="0"/>
    <n v="0"/>
    <n v="0"/>
    <n v="0"/>
    <n v="0"/>
    <n v="0"/>
    <n v="0"/>
    <m/>
    <m/>
    <n v="9.4263779717191518"/>
    <m/>
    <n v="0"/>
    <n v="0"/>
    <m/>
    <m/>
    <n v="9.3291988173715321"/>
    <s v="Updated kit ISR"/>
    <n v="0"/>
    <n v="0"/>
    <n v="0"/>
    <m/>
    <m/>
    <n v="9.3291988173715321"/>
    <m/>
    <n v="0"/>
    <n v="0"/>
    <m/>
    <m/>
    <n v="9.3291988173715321"/>
    <m/>
    <n v="0"/>
    <n v="0"/>
    <n v="0"/>
    <n v="0"/>
    <n v="0"/>
    <n v="0"/>
    <n v="0"/>
    <s v="NA"/>
    <m/>
  </r>
  <r>
    <s v="NSG"/>
    <x v="4"/>
    <s v="Single Family"/>
    <s v="CBA"/>
    <x v="4"/>
    <s v="DHW"/>
    <s v="SF"/>
    <x v="3"/>
    <s v="5.4.1"/>
    <n v="0"/>
    <n v="0"/>
    <n v="0"/>
    <n v="0"/>
    <n v="0"/>
    <s v="RS-HWE-PINS-V06-230101"/>
    <m/>
    <n v="0.88266670517205537"/>
    <n v="0.88266670517205537"/>
    <n v="0.88266670517205537"/>
    <n v="0.88266670517205537"/>
    <n v="0"/>
    <n v="0"/>
    <n v="0"/>
    <n v="0"/>
    <n v="0"/>
    <n v="0"/>
    <n v="0"/>
    <n v="0"/>
    <n v="0"/>
    <n v="0"/>
    <n v="0"/>
    <n v="0"/>
    <n v="0"/>
    <n v="0"/>
    <n v="0"/>
    <n v="0"/>
    <n v="0"/>
    <m/>
    <m/>
    <n v="2.4087097696290445"/>
    <m/>
    <n v="0"/>
    <n v="0"/>
    <m/>
    <m/>
    <n v="2.4087097696290445"/>
    <s v="Updated kit ISR"/>
    <n v="0"/>
    <n v="0"/>
    <n v="0"/>
    <m/>
    <m/>
    <n v="2.4087097696290445"/>
    <m/>
    <n v="0"/>
    <n v="0"/>
    <m/>
    <m/>
    <n v="2.4087097696290445"/>
    <m/>
    <n v="0"/>
    <n v="0"/>
    <n v="0"/>
    <n v="0"/>
    <n v="0"/>
    <n v="0"/>
    <n v="0"/>
    <s v="NA"/>
    <m/>
  </r>
  <r>
    <s v="NSG"/>
    <x v="4"/>
    <s v="Single Family"/>
    <s v="CBA"/>
    <x v="4"/>
    <s v="Boiler"/>
    <s v="SF"/>
    <x v="3"/>
    <s v="5.3.2"/>
    <n v="0"/>
    <n v="0"/>
    <n v="0"/>
    <n v="0"/>
    <n v="0"/>
    <s v="RS-HWE-PINS-V06-230101"/>
    <m/>
    <n v="0.63522312995661756"/>
    <n v="0.63522312995661756"/>
    <n v="0.63522312995661756"/>
    <n v="0.63522312995661756"/>
    <n v="0"/>
    <n v="0"/>
    <n v="0"/>
    <n v="0"/>
    <n v="0"/>
    <n v="0"/>
    <n v="0"/>
    <n v="0"/>
    <n v="0"/>
    <n v="0"/>
    <n v="0"/>
    <n v="0"/>
    <n v="0"/>
    <n v="0"/>
    <n v="0"/>
    <n v="0"/>
    <n v="0"/>
    <m/>
    <m/>
    <n v="1.0111854839419214"/>
    <m/>
    <n v="0"/>
    <n v="0"/>
    <m/>
    <m/>
    <n v="1.0111854839419214"/>
    <s v="n/a"/>
    <n v="0"/>
    <n v="0"/>
    <n v="0"/>
    <m/>
    <m/>
    <n v="1.0111854839419214"/>
    <m/>
    <n v="0"/>
    <n v="0"/>
    <m/>
    <m/>
    <n v="1.0111854839419214"/>
    <m/>
    <n v="0"/>
    <n v="0"/>
    <n v="0"/>
    <n v="0"/>
    <n v="0"/>
    <n v="0"/>
    <n v="0"/>
    <s v="NA"/>
    <m/>
  </r>
  <r>
    <s v="NSG"/>
    <x v="4"/>
    <s v="Single Family"/>
    <s v="CBA"/>
    <x v="6"/>
    <s v="Furnace (DI)"/>
    <s v="SF"/>
    <x v="3"/>
    <s v="5.3.11"/>
    <n v="0"/>
    <n v="0"/>
    <n v="0"/>
    <n v="0"/>
    <n v="0"/>
    <s v="RS-HVC-ADTH-V08-230101"/>
    <m/>
    <n v="62.31"/>
    <n v="62.31"/>
    <n v="62.31"/>
    <n v="62.31"/>
    <n v="0"/>
    <n v="0"/>
    <n v="0"/>
    <n v="0"/>
    <n v="0"/>
    <n v="0"/>
    <n v="0"/>
    <n v="0"/>
    <n v="0"/>
    <n v="0"/>
    <n v="0"/>
    <n v="0"/>
    <n v="0"/>
    <n v="0"/>
    <n v="0"/>
    <n v="0"/>
    <n v="0"/>
    <m/>
    <m/>
    <n v="62.31"/>
    <m/>
    <n v="0"/>
    <n v="0"/>
    <m/>
    <m/>
    <n v="62.31"/>
    <s v="n/a"/>
    <n v="0"/>
    <n v="0"/>
    <n v="0"/>
    <m/>
    <m/>
    <n v="62.31"/>
    <m/>
    <n v="0"/>
    <n v="0"/>
    <m/>
    <m/>
    <n v="62.31"/>
    <m/>
    <n v="0"/>
    <n v="0"/>
    <n v="0"/>
    <n v="0"/>
    <n v="0"/>
    <n v="0"/>
    <n v="0"/>
    <s v="NA"/>
    <m/>
  </r>
  <r>
    <s v="NSG"/>
    <x v="4"/>
    <s v="Single Family"/>
    <s v="CBA"/>
    <x v="6"/>
    <s v="Boiler (DI)"/>
    <s v="SF"/>
    <x v="3"/>
    <s v="5.3.11"/>
    <n v="0"/>
    <n v="0"/>
    <n v="0"/>
    <n v="0"/>
    <n v="0"/>
    <s v="RS-HVC-ADTH-V08-230101"/>
    <m/>
    <n v="92.194000000000003"/>
    <n v="92.194000000000003"/>
    <n v="92.194000000000003"/>
    <n v="92.194000000000003"/>
    <n v="0"/>
    <n v="0"/>
    <n v="0"/>
    <n v="0"/>
    <n v="0"/>
    <n v="0"/>
    <n v="0"/>
    <n v="0"/>
    <n v="0"/>
    <n v="0"/>
    <n v="0"/>
    <n v="0"/>
    <n v="0"/>
    <n v="0"/>
    <n v="0"/>
    <n v="0"/>
    <n v="0"/>
    <m/>
    <m/>
    <n v="92.194000000000003"/>
    <m/>
    <n v="0"/>
    <n v="0"/>
    <m/>
    <m/>
    <n v="92.194000000000003"/>
    <s v="n/a"/>
    <n v="0"/>
    <n v="0"/>
    <n v="0"/>
    <m/>
    <m/>
    <n v="92.194000000000003"/>
    <m/>
    <n v="0"/>
    <n v="0"/>
    <m/>
    <m/>
    <n v="92.194000000000003"/>
    <m/>
    <n v="0"/>
    <n v="0"/>
    <n v="0"/>
    <n v="0"/>
    <n v="0"/>
    <n v="0"/>
    <n v="0"/>
    <s v="NA"/>
    <m/>
  </r>
  <r>
    <s v="NSG"/>
    <x v="4"/>
    <s v="Single Family"/>
    <s v="CBA"/>
    <x v="3"/>
    <s v="Furnace (Replace Manual)"/>
    <s v="SF"/>
    <x v="3"/>
    <s v="5.3.16"/>
    <n v="0"/>
    <n v="0"/>
    <n v="0"/>
    <n v="0"/>
    <n v="0"/>
    <s v="RS-HVC-ADTH-V08-230101"/>
    <m/>
    <n v="104.52"/>
    <n v="104.52"/>
    <n v="104.52"/>
    <n v="104.52"/>
    <n v="0"/>
    <n v="0"/>
    <n v="0"/>
    <n v="0"/>
    <n v="0"/>
    <n v="0"/>
    <n v="0"/>
    <n v="0"/>
    <n v="0"/>
    <n v="0"/>
    <n v="0"/>
    <n v="0"/>
    <n v="0"/>
    <n v="0"/>
    <n v="0"/>
    <n v="0"/>
    <n v="0"/>
    <m/>
    <m/>
    <n v="102.50999999999999"/>
    <m/>
    <n v="0"/>
    <n v="0"/>
    <m/>
    <m/>
    <n v="102.50999999999999"/>
    <s v="n/a"/>
    <n v="0"/>
    <n v="0"/>
    <n v="0"/>
    <m/>
    <m/>
    <n v="102.50999999999999"/>
    <m/>
    <n v="0"/>
    <n v="0"/>
    <m/>
    <m/>
    <n v="102.50999999999999"/>
    <m/>
    <n v="0"/>
    <n v="0"/>
    <n v="0"/>
    <n v="0"/>
    <n v="0"/>
    <n v="0"/>
    <n v="0"/>
    <s v="NA"/>
    <m/>
  </r>
  <r>
    <s v="NSG"/>
    <x v="4"/>
    <s v="Single Family"/>
    <s v="CBA"/>
    <x v="3"/>
    <s v="Boiler (Replace Manual)"/>
    <s v="SF"/>
    <x v="3"/>
    <s v="5.3.16"/>
    <n v="0"/>
    <n v="0"/>
    <n v="0"/>
    <n v="0"/>
    <n v="0"/>
    <s v="RS-HVC-ADTH-V08-230101"/>
    <m/>
    <n v="154.44"/>
    <n v="154.44"/>
    <n v="154.44"/>
    <n v="154.44"/>
    <n v="0"/>
    <n v="0"/>
    <n v="0"/>
    <n v="0"/>
    <n v="0"/>
    <n v="0"/>
    <n v="0"/>
    <n v="0"/>
    <n v="0"/>
    <n v="0"/>
    <n v="0"/>
    <n v="0"/>
    <n v="0"/>
    <n v="0"/>
    <n v="0"/>
    <n v="0"/>
    <n v="0"/>
    <m/>
    <m/>
    <n v="151.47"/>
    <m/>
    <n v="0"/>
    <n v="0"/>
    <m/>
    <m/>
    <n v="151.47"/>
    <s v="n/a"/>
    <n v="0"/>
    <n v="0"/>
    <n v="0"/>
    <m/>
    <m/>
    <n v="151.47"/>
    <m/>
    <n v="0"/>
    <n v="0"/>
    <m/>
    <m/>
    <n v="151.47"/>
    <m/>
    <n v="0"/>
    <n v="0"/>
    <n v="0"/>
    <n v="0"/>
    <n v="0"/>
    <n v="0"/>
    <n v="0"/>
    <s v="NA"/>
    <m/>
  </r>
  <r>
    <s v="NSG"/>
    <x v="4"/>
    <s v="Single Family"/>
    <s v="CBA"/>
    <x v="3"/>
    <s v="Furnace (Replace Programmable)"/>
    <s v="SF"/>
    <x v="3"/>
    <s v="5.3.16"/>
    <n v="0"/>
    <n v="0"/>
    <n v="0"/>
    <n v="0"/>
    <n v="0"/>
    <s v="RS-HVC-ADTH-V08-230101"/>
    <m/>
    <n v="73.364999999999995"/>
    <n v="73.364999999999995"/>
    <n v="73.364999999999995"/>
    <n v="73.364999999999995"/>
    <n v="0"/>
    <n v="0"/>
    <n v="0"/>
    <n v="0"/>
    <n v="0"/>
    <n v="0"/>
    <n v="0"/>
    <n v="0"/>
    <n v="0"/>
    <n v="0"/>
    <n v="0"/>
    <n v="0"/>
    <n v="0"/>
    <n v="0"/>
    <n v="0"/>
    <n v="0"/>
    <n v="0"/>
    <m/>
    <m/>
    <n v="71.35499999999999"/>
    <m/>
    <n v="0"/>
    <n v="0"/>
    <m/>
    <m/>
    <n v="71.35499999999999"/>
    <s v="n/a"/>
    <n v="0"/>
    <n v="0"/>
    <n v="0"/>
    <m/>
    <m/>
    <n v="71.35499999999999"/>
    <m/>
    <n v="0"/>
    <n v="0"/>
    <m/>
    <m/>
    <n v="71.35499999999999"/>
    <m/>
    <n v="0"/>
    <n v="0"/>
    <n v="0"/>
    <n v="0"/>
    <n v="0"/>
    <n v="0"/>
    <n v="0"/>
    <s v="NA"/>
    <m/>
  </r>
  <r>
    <s v="NSG"/>
    <x v="4"/>
    <s v="Single Family"/>
    <s v="CBA"/>
    <x v="3"/>
    <s v="Boiler (Replace Programmable)"/>
    <s v="SF"/>
    <x v="3"/>
    <s v="5.3.16"/>
    <n v="0"/>
    <n v="0"/>
    <n v="0"/>
    <n v="0"/>
    <n v="0"/>
    <s v="RS-HVC-ADTH-V08-230101"/>
    <m/>
    <n v="108.40499999999999"/>
    <n v="108.40499999999999"/>
    <n v="108.40499999999999"/>
    <n v="108.40499999999999"/>
    <n v="0"/>
    <n v="0"/>
    <n v="0"/>
    <n v="0"/>
    <n v="0"/>
    <n v="0"/>
    <n v="0"/>
    <n v="0"/>
    <n v="0"/>
    <n v="0"/>
    <n v="0"/>
    <n v="0"/>
    <n v="0"/>
    <n v="0"/>
    <n v="0"/>
    <n v="0"/>
    <n v="0"/>
    <m/>
    <m/>
    <n v="105.43499999999999"/>
    <m/>
    <n v="0"/>
    <n v="0"/>
    <m/>
    <m/>
    <n v="105.43499999999999"/>
    <s v="n/a"/>
    <n v="0"/>
    <n v="0"/>
    <n v="0"/>
    <m/>
    <m/>
    <n v="105.43499999999999"/>
    <m/>
    <n v="0"/>
    <n v="0"/>
    <m/>
    <m/>
    <n v="105.43499999999999"/>
    <m/>
    <n v="0"/>
    <n v="0"/>
    <n v="0"/>
    <n v="0"/>
    <n v="0"/>
    <n v="0"/>
    <n v="0"/>
    <s v="NA"/>
    <m/>
  </r>
  <r>
    <s v="NSG"/>
    <x v="4"/>
    <s v="Single Family"/>
    <s v="CBA"/>
    <x v="44"/>
    <s v="Furnace (DI)"/>
    <s v="SF"/>
    <x v="3"/>
    <s v="5.3.11"/>
    <n v="0"/>
    <n v="0"/>
    <n v="0"/>
    <n v="0"/>
    <n v="0"/>
    <s v="RS-HVC-ADTH-V08-230101"/>
    <m/>
    <n v="62.31"/>
    <n v="62.31"/>
    <n v="62.31"/>
    <n v="62.31"/>
    <n v="0"/>
    <n v="0"/>
    <n v="0"/>
    <n v="0"/>
    <n v="0"/>
    <n v="0"/>
    <n v="0"/>
    <n v="0"/>
    <n v="0"/>
    <n v="0"/>
    <n v="0"/>
    <n v="0"/>
    <n v="0"/>
    <n v="0"/>
    <n v="0"/>
    <n v="0"/>
    <n v="0"/>
    <m/>
    <m/>
    <n v="62.31"/>
    <m/>
    <n v="0"/>
    <n v="0"/>
    <m/>
    <m/>
    <n v="62.31"/>
    <s v="n/a"/>
    <n v="0"/>
    <n v="0"/>
    <n v="0"/>
    <m/>
    <m/>
    <n v="62.31"/>
    <m/>
    <n v="0"/>
    <n v="0"/>
    <m/>
    <m/>
    <n v="62.31"/>
    <m/>
    <n v="0"/>
    <n v="0"/>
    <n v="0"/>
    <n v="0"/>
    <n v="0"/>
    <n v="0"/>
    <n v="0"/>
    <s v="NA"/>
    <m/>
  </r>
  <r>
    <s v="NSG"/>
    <x v="4"/>
    <s v="Single Family"/>
    <s v="CBA"/>
    <x v="44"/>
    <s v="Boiler (DI)"/>
    <s v="SF"/>
    <x v="3"/>
    <s v="5.3.11"/>
    <n v="0"/>
    <n v="0"/>
    <n v="0"/>
    <n v="0"/>
    <n v="0"/>
    <s v="RS-HVC-ADTH-V08-230101"/>
    <m/>
    <n v="92.194000000000003"/>
    <n v="92.194000000000003"/>
    <n v="92.194000000000003"/>
    <n v="92.194000000000003"/>
    <n v="0"/>
    <n v="0"/>
    <n v="0"/>
    <n v="0"/>
    <n v="0"/>
    <n v="0"/>
    <n v="0"/>
    <n v="0"/>
    <n v="0"/>
    <n v="0"/>
    <n v="0"/>
    <n v="0"/>
    <n v="0"/>
    <n v="0"/>
    <n v="0"/>
    <n v="0"/>
    <n v="0"/>
    <m/>
    <m/>
    <n v="92.194000000000003"/>
    <m/>
    <n v="0"/>
    <n v="0"/>
    <m/>
    <m/>
    <n v="92.194000000000003"/>
    <s v="n/a"/>
    <n v="0"/>
    <n v="0"/>
    <n v="0"/>
    <m/>
    <m/>
    <n v="92.194000000000003"/>
    <m/>
    <n v="0"/>
    <n v="0"/>
    <m/>
    <m/>
    <n v="92.194000000000003"/>
    <m/>
    <n v="0"/>
    <n v="0"/>
    <n v="0"/>
    <n v="0"/>
    <n v="0"/>
    <n v="0"/>
    <n v="0"/>
    <s v="NA"/>
    <m/>
  </r>
  <r>
    <s v="NSG"/>
    <x v="4"/>
    <s v="Single Family"/>
    <s v="CBA"/>
    <x v="19"/>
    <n v="0"/>
    <s v="SF"/>
    <x v="3"/>
    <s v="5.6.1"/>
    <n v="0"/>
    <n v="0"/>
    <n v="0"/>
    <n v="0"/>
    <n v="0"/>
    <s v="RS-SHL-AIRS-V12-230101"/>
    <m/>
    <n v="8.7236018957345965E-2"/>
    <n v="8.7236018957345965E-2"/>
    <n v="8.7236018957345965E-2"/>
    <n v="8.7236018957345965E-2"/>
    <n v="0"/>
    <n v="0"/>
    <n v="0"/>
    <n v="0"/>
    <n v="0"/>
    <n v="0"/>
    <n v="0"/>
    <n v="0"/>
    <n v="0"/>
    <n v="0"/>
    <n v="0"/>
    <n v="0"/>
    <n v="0"/>
    <n v="0"/>
    <n v="0"/>
    <n v="0"/>
    <n v="0"/>
    <m/>
    <m/>
    <n v="8.7236018957345965E-2"/>
    <m/>
    <n v="0"/>
    <n v="0"/>
    <m/>
    <m/>
    <n v="8.7236018957345965E-2"/>
    <s v="Updated ISR"/>
    <n v="0"/>
    <n v="0"/>
    <n v="0"/>
    <m/>
    <m/>
    <n v="8.7236018957345965E-2"/>
    <m/>
    <n v="0"/>
    <n v="0"/>
    <m/>
    <m/>
    <n v="8.7236018957345965E-2"/>
    <m/>
    <n v="0"/>
    <n v="0"/>
    <n v="0"/>
    <n v="0"/>
    <n v="0"/>
    <n v="0"/>
    <n v="0"/>
    <s v="NA"/>
    <m/>
  </r>
  <r>
    <s v="NSG"/>
    <x v="4"/>
    <s v="Single Family"/>
    <s v="CBA"/>
    <x v="17"/>
    <n v="0"/>
    <s v="SF"/>
    <x v="3"/>
    <s v="5.6.5"/>
    <n v="0"/>
    <n v="0"/>
    <n v="0"/>
    <n v="0"/>
    <n v="0"/>
    <s v="RS-SHL-AINS-V06-230101"/>
    <m/>
    <n v="8.0457181447124299E-2"/>
    <n v="8.0457181447124299E-2"/>
    <n v="8.0457181447124299E-2"/>
    <n v="8.0457181447124299E-2"/>
    <n v="0"/>
    <n v="0"/>
    <n v="0"/>
    <n v="0"/>
    <n v="0"/>
    <n v="0"/>
    <n v="0"/>
    <n v="0"/>
    <n v="0"/>
    <n v="0"/>
    <n v="0"/>
    <n v="0"/>
    <n v="0"/>
    <n v="0"/>
    <n v="0"/>
    <n v="0"/>
    <n v="0"/>
    <m/>
    <m/>
    <n v="8.0457181447124299E-2"/>
    <m/>
    <n v="0"/>
    <n v="0"/>
    <m/>
    <m/>
    <n v="8.0457181447124299E-2"/>
    <s v="No savings impacts with existing measure assumptions."/>
    <n v="0"/>
    <n v="0"/>
    <n v="0"/>
    <m/>
    <m/>
    <n v="8.0457181447124299E-2"/>
    <m/>
    <n v="0"/>
    <n v="0"/>
    <m/>
    <m/>
    <n v="8.0457181447124299E-2"/>
    <m/>
    <n v="0"/>
    <n v="0"/>
    <n v="0"/>
    <n v="0"/>
    <n v="0"/>
    <n v="0"/>
    <n v="0"/>
    <s v="NA"/>
    <m/>
  </r>
  <r>
    <s v="NSG"/>
    <x v="4"/>
    <s v="Single Family"/>
    <s v="CBA"/>
    <x v="18"/>
    <n v="0"/>
    <s v="IE SF"/>
    <x v="3"/>
    <s v="5.6.1"/>
    <n v="0"/>
    <n v="0"/>
    <n v="0"/>
    <n v="0"/>
    <n v="0"/>
    <s v="RS-SHL-AIRS-V12-230101"/>
    <m/>
    <n v="6.9090927014218012E-2"/>
    <n v="6.9090927014218012E-2"/>
    <n v="6.9090927014218012E-2"/>
    <n v="6.9090927014218012E-2"/>
    <n v="0"/>
    <n v="0"/>
    <n v="0"/>
    <n v="0"/>
    <n v="0"/>
    <n v="0"/>
    <n v="0"/>
    <n v="0"/>
    <n v="0"/>
    <n v="0"/>
    <n v="0"/>
    <n v="0"/>
    <n v="0"/>
    <n v="0"/>
    <n v="0"/>
    <n v="0"/>
    <n v="0"/>
    <m/>
    <m/>
    <n v="6.9090927014218012E-2"/>
    <m/>
    <n v="0"/>
    <n v="0"/>
    <m/>
    <m/>
    <n v="6.9090927014218012E-2"/>
    <s v="Updated ISR"/>
    <n v="0"/>
    <n v="0"/>
    <n v="0"/>
    <m/>
    <m/>
    <n v="6.9090927014218012E-2"/>
    <m/>
    <n v="0"/>
    <n v="0"/>
    <m/>
    <m/>
    <n v="6.9090927014218012E-2"/>
    <m/>
    <n v="0"/>
    <n v="0"/>
    <n v="0"/>
    <n v="0"/>
    <n v="0"/>
    <n v="0"/>
    <n v="0"/>
    <s v="NA"/>
    <m/>
  </r>
  <r>
    <s v="NSG"/>
    <x v="4"/>
    <s v="Single Family"/>
    <s v="CBA"/>
    <x v="33"/>
    <n v="0"/>
    <s v="SF"/>
    <x v="3"/>
    <s v="5.3.4"/>
    <n v="0"/>
    <n v="0"/>
    <n v="0"/>
    <n v="0"/>
    <n v="0"/>
    <s v="RS-HVC-DINS-V11-230101"/>
    <m/>
    <n v="0.70396939263510283"/>
    <n v="0.70396939263510283"/>
    <n v="0.70396939263510283"/>
    <n v="0.70396939263510283"/>
    <n v="0"/>
    <n v="0"/>
    <n v="0"/>
    <n v="0"/>
    <n v="0"/>
    <n v="0"/>
    <n v="0"/>
    <n v="0"/>
    <n v="0"/>
    <n v="0"/>
    <n v="0"/>
    <n v="0"/>
    <n v="0"/>
    <n v="0"/>
    <n v="0"/>
    <n v="0"/>
    <n v="0"/>
    <m/>
    <m/>
    <n v="0.70396939263510283"/>
    <m/>
    <n v="0"/>
    <n v="0"/>
    <m/>
    <m/>
    <n v="0.70396939263510283"/>
    <s v="n/a"/>
    <n v="0"/>
    <n v="0"/>
    <n v="0"/>
    <m/>
    <m/>
    <n v="0.70396939263510283"/>
    <m/>
    <n v="0"/>
    <n v="0"/>
    <m/>
    <m/>
    <n v="0.70396939263510283"/>
    <m/>
    <n v="0"/>
    <n v="0"/>
    <n v="0"/>
    <n v="0"/>
    <n v="0"/>
    <n v="0"/>
    <n v="0"/>
    <s v="NA"/>
    <m/>
  </r>
  <r>
    <s v="NSG"/>
    <x v="4"/>
    <s v="Single Family"/>
    <s v="CBA"/>
    <x v="32"/>
    <n v="0"/>
    <s v="SF"/>
    <x v="3"/>
    <s v="5.6.4"/>
    <n v="0"/>
    <n v="0"/>
    <n v="0"/>
    <n v="0"/>
    <n v="0"/>
    <s v="RS-SHL-WINS-V12-230101"/>
    <m/>
    <n v="0.10827529411764705"/>
    <n v="0.10827529411764705"/>
    <n v="0.10827529411764705"/>
    <n v="0.10827529411764705"/>
    <n v="0"/>
    <n v="0"/>
    <n v="0"/>
    <n v="0"/>
    <n v="0"/>
    <n v="0"/>
    <n v="0"/>
    <n v="0"/>
    <n v="0"/>
    <n v="0"/>
    <n v="0"/>
    <n v="0"/>
    <n v="0"/>
    <n v="0"/>
    <n v="0"/>
    <n v="0"/>
    <n v="0"/>
    <m/>
    <m/>
    <n v="0.10827529411764705"/>
    <m/>
    <n v="0"/>
    <n v="0"/>
    <m/>
    <m/>
    <n v="0.10827529411764705"/>
    <s v="No savings impacts with existing measure assumptions."/>
    <n v="0"/>
    <n v="0"/>
    <n v="0"/>
    <m/>
    <m/>
    <n v="0.10827529411764705"/>
    <m/>
    <n v="0"/>
    <n v="0"/>
    <m/>
    <m/>
    <n v="0.10827529411764705"/>
    <m/>
    <n v="0"/>
    <n v="0"/>
    <n v="0"/>
    <n v="0"/>
    <n v="0"/>
    <n v="0"/>
    <n v="0"/>
    <s v="NA"/>
    <m/>
  </r>
  <r>
    <s v="NSG"/>
    <x v="4"/>
    <s v="Single Family"/>
    <s v="CBA"/>
    <x v="45"/>
    <n v="0"/>
    <s v="SF"/>
    <x v="3"/>
    <s v="5.6.2"/>
    <n v="0"/>
    <n v="0"/>
    <n v="0"/>
    <n v="0"/>
    <n v="0"/>
    <s v="RS-SHL-BINS-V13-230101"/>
    <m/>
    <n v="0.13695535714285714"/>
    <n v="0.13695535714285714"/>
    <n v="0.13695535714285714"/>
    <n v="0.13695535714285714"/>
    <n v="0"/>
    <n v="0"/>
    <n v="0"/>
    <n v="0"/>
    <n v="0"/>
    <n v="0"/>
    <n v="0"/>
    <n v="0"/>
    <n v="0"/>
    <n v="0"/>
    <n v="0"/>
    <n v="0"/>
    <n v="0"/>
    <n v="0"/>
    <n v="0"/>
    <n v="0"/>
    <n v="0"/>
    <m/>
    <m/>
    <n v="0.13695535714285714"/>
    <m/>
    <n v="0"/>
    <n v="0"/>
    <m/>
    <m/>
    <n v="0.13695535714285714"/>
    <s v="No savings impacts with existing measure assumptions."/>
    <n v="0"/>
    <n v="0"/>
    <n v="0"/>
    <m/>
    <m/>
    <n v="0.13695535714285714"/>
    <m/>
    <n v="0"/>
    <n v="0"/>
    <m/>
    <m/>
    <n v="0.13695535714285714"/>
    <m/>
    <n v="0"/>
    <n v="0"/>
    <n v="0"/>
    <n v="0"/>
    <n v="0"/>
    <n v="0"/>
    <n v="0"/>
    <s v="NA"/>
    <m/>
  </r>
  <r>
    <s v="NSG"/>
    <x v="4"/>
    <s v="Single Family"/>
    <s v="CBA"/>
    <x v="89"/>
    <n v="0"/>
    <s v="SF"/>
    <x v="3"/>
    <s v="5.6.6"/>
    <n v="0"/>
    <n v="0"/>
    <n v="0"/>
    <n v="0"/>
    <n v="0"/>
    <s v="RS-SHL-RINS-V05-230101"/>
    <m/>
    <n v="0.13714870588235292"/>
    <n v="0.13714870588235292"/>
    <n v="0.13714870588235292"/>
    <n v="0.13714870588235292"/>
    <n v="0"/>
    <n v="0"/>
    <n v="0"/>
    <n v="0"/>
    <n v="0"/>
    <n v="0"/>
    <n v="0"/>
    <n v="0"/>
    <n v="0"/>
    <n v="0"/>
    <n v="0"/>
    <n v="0"/>
    <n v="0"/>
    <n v="0"/>
    <n v="0"/>
    <n v="0"/>
    <n v="0"/>
    <m/>
    <m/>
    <n v="0.13714870588235292"/>
    <m/>
    <n v="0"/>
    <n v="0"/>
    <m/>
    <m/>
    <n v="0.13714870588235292"/>
    <s v="No savings impacts with existing measure assumptions."/>
    <n v="0"/>
    <n v="0"/>
    <n v="0"/>
    <m/>
    <m/>
    <n v="0.13714870588235292"/>
    <m/>
    <n v="0"/>
    <n v="0"/>
    <m/>
    <m/>
    <n v="0.13714870588235292"/>
    <m/>
    <n v="0"/>
    <n v="0"/>
    <n v="0"/>
    <n v="0"/>
    <n v="0"/>
    <n v="0"/>
    <n v="0"/>
    <s v="NA"/>
    <m/>
  </r>
  <r>
    <s v="NSG"/>
    <x v="4"/>
    <s v="Single Family"/>
    <s v="CBA"/>
    <x v="86"/>
    <n v="0"/>
    <s v="SF"/>
    <x v="3"/>
    <s v="5.6.3"/>
    <n v="0"/>
    <n v="0"/>
    <n v="0"/>
    <n v="0"/>
    <n v="0"/>
    <s v="RS-SHL-FINS-V14-230101"/>
    <m/>
    <n v="0.10489255765199164"/>
    <n v="0.10489255765199164"/>
    <n v="0.10489255765199164"/>
    <n v="0.10489255765199164"/>
    <n v="0"/>
    <n v="0"/>
    <n v="0"/>
    <n v="0"/>
    <n v="0"/>
    <n v="0"/>
    <n v="0"/>
    <n v="0"/>
    <n v="0"/>
    <n v="0"/>
    <n v="0"/>
    <n v="0"/>
    <n v="0"/>
    <n v="0"/>
    <n v="0"/>
    <n v="0"/>
    <n v="0"/>
    <m/>
    <m/>
    <n v="0.10489255765199164"/>
    <m/>
    <n v="0"/>
    <n v="0"/>
    <m/>
    <m/>
    <n v="0.10489255765199164"/>
    <s v="No savings impacts with existing measure assumptions."/>
    <n v="0"/>
    <n v="0"/>
    <n v="0"/>
    <m/>
    <m/>
    <n v="0.10489255765199164"/>
    <m/>
    <n v="0"/>
    <n v="0"/>
    <m/>
    <m/>
    <n v="0.10489255765199164"/>
    <m/>
    <n v="0"/>
    <n v="0"/>
    <n v="0"/>
    <n v="0"/>
    <n v="0"/>
    <n v="0"/>
    <n v="0"/>
    <s v="NA"/>
    <m/>
  </r>
  <r>
    <s v="NSG"/>
    <x v="4"/>
    <s v="Single Family"/>
    <s v="CBA"/>
    <x v="90"/>
    <n v="0"/>
    <s v="SF"/>
    <x v="3"/>
    <s v="5.6.4"/>
    <n v="0"/>
    <n v="0"/>
    <n v="0"/>
    <n v="0"/>
    <n v="0"/>
    <s v="RS-SHL-WINS-V12-230101"/>
    <m/>
    <n v="0.10827529411764705"/>
    <n v="0.10827529411764705"/>
    <n v="0.10827529411764705"/>
    <n v="0.10827529411764705"/>
    <n v="0"/>
    <n v="0"/>
    <n v="0"/>
    <n v="0"/>
    <n v="0"/>
    <n v="0"/>
    <n v="0"/>
    <n v="0"/>
    <n v="0"/>
    <n v="0"/>
    <n v="0"/>
    <n v="0"/>
    <n v="0"/>
    <n v="0"/>
    <n v="0"/>
    <n v="0"/>
    <n v="0"/>
    <m/>
    <m/>
    <n v="0.10827529411764705"/>
    <m/>
    <n v="0"/>
    <n v="0"/>
    <m/>
    <m/>
    <n v="0.10827529411764705"/>
    <s v="No savings impacts with existing measure assumptions."/>
    <n v="0"/>
    <n v="0"/>
    <n v="0"/>
    <m/>
    <m/>
    <n v="0.10827529411764705"/>
    <m/>
    <n v="0"/>
    <n v="0"/>
    <m/>
    <m/>
    <n v="0.10827529411764705"/>
    <m/>
    <n v="0"/>
    <n v="0"/>
    <n v="0"/>
    <n v="0"/>
    <n v="0"/>
    <n v="0"/>
    <n v="0"/>
    <s v="NA"/>
    <m/>
  </r>
  <r>
    <s v="NSG"/>
    <x v="4"/>
    <s v="Single Family"/>
    <s v="CBA"/>
    <x v="12"/>
    <s v="Storage 0.67 EF"/>
    <s v="SF"/>
    <x v="3"/>
    <s v="5.4.2"/>
    <n v="0"/>
    <n v="0"/>
    <n v="0"/>
    <n v="0"/>
    <n v="0"/>
    <s v="RS-HWE-GWHT-V10-220101"/>
    <m/>
    <n v="22.454907874999904"/>
    <n v="22.454907874999904"/>
    <n v="22.454907874999904"/>
    <n v="22.454907874999904"/>
    <n v="0"/>
    <n v="0"/>
    <n v="0"/>
    <n v="0"/>
    <n v="0"/>
    <n v="0"/>
    <n v="0"/>
    <n v="0"/>
    <n v="0"/>
    <n v="0"/>
    <n v="0"/>
    <n v="0"/>
    <n v="0"/>
    <n v="0"/>
    <n v="0"/>
    <n v="0"/>
    <n v="0"/>
    <m/>
    <m/>
    <n v="23.498586691725251"/>
    <m/>
    <n v="0"/>
    <n v="0"/>
    <m/>
    <m/>
    <n v="23.498586691725251"/>
    <s v="n/a"/>
    <n v="0"/>
    <n v="0"/>
    <n v="0"/>
    <m/>
    <m/>
    <n v="23.498586691725251"/>
    <m/>
    <n v="0"/>
    <n v="0"/>
    <m/>
    <m/>
    <n v="23.498586691725251"/>
    <m/>
    <n v="0"/>
    <n v="0"/>
    <n v="0"/>
    <n v="0"/>
    <n v="0"/>
    <n v="0"/>
    <n v="0"/>
    <s v="NA"/>
    <m/>
  </r>
  <r>
    <s v="NSG"/>
    <x v="4"/>
    <s v="Single Family"/>
    <s v="CBA"/>
    <x v="28"/>
    <s v="≥88% AFUE, &lt;300MBh"/>
    <s v="SF"/>
    <x v="3"/>
    <s v="5.3.6"/>
    <n v="0"/>
    <n v="0"/>
    <n v="0"/>
    <n v="0"/>
    <n v="0"/>
    <s v="RS-HVC-GHEB-V10-230101"/>
    <m/>
    <n v="147.38374603174603"/>
    <n v="147.38374603174603"/>
    <n v="147.38374603174603"/>
    <n v="147.38374603174603"/>
    <n v="0"/>
    <n v="0"/>
    <n v="0"/>
    <n v="0"/>
    <n v="0"/>
    <n v="0"/>
    <n v="0"/>
    <n v="0"/>
    <n v="0"/>
    <n v="0"/>
    <n v="0"/>
    <n v="0"/>
    <n v="0"/>
    <n v="0"/>
    <n v="0"/>
    <n v="0"/>
    <n v="0"/>
    <m/>
    <m/>
    <n v="147.38374603174603"/>
    <m/>
    <n v="0"/>
    <n v="0"/>
    <m/>
    <m/>
    <n v="147.38374603174603"/>
    <s v="n/a"/>
    <n v="0"/>
    <n v="0"/>
    <n v="0"/>
    <m/>
    <m/>
    <n v="147.38374603174603"/>
    <m/>
    <n v="0"/>
    <n v="0"/>
    <m/>
    <m/>
    <n v="147.38374603174603"/>
    <m/>
    <n v="0"/>
    <n v="0"/>
    <n v="0"/>
    <n v="0"/>
    <n v="0"/>
    <n v="0"/>
    <n v="0"/>
    <s v="NA"/>
    <m/>
  </r>
  <r>
    <s v="NSG"/>
    <x v="4"/>
    <s v="Single Family"/>
    <s v="CBA"/>
    <x v="26"/>
    <n v="0"/>
    <s v="IE SF"/>
    <x v="3"/>
    <s v="5.6.1"/>
    <n v="0"/>
    <n v="0"/>
    <n v="0"/>
    <n v="0"/>
    <n v="0"/>
    <s v="RS-SHL-AIRS-V12-230101"/>
    <m/>
    <n v="0.48799999999999999"/>
    <n v="0.48799999999999999"/>
    <n v="0.48799999999999999"/>
    <n v="0.48799999999999999"/>
    <n v="0"/>
    <n v="0"/>
    <n v="0"/>
    <n v="0"/>
    <n v="0"/>
    <n v="0"/>
    <n v="0"/>
    <n v="0"/>
    <n v="0"/>
    <n v="0"/>
    <n v="0"/>
    <n v="0"/>
    <n v="0"/>
    <n v="0"/>
    <n v="0"/>
    <n v="0"/>
    <n v="0"/>
    <m/>
    <m/>
    <n v="0.48799999999999999"/>
    <m/>
    <n v="0"/>
    <n v="0"/>
    <m/>
    <m/>
    <n v="0.48799999999999999"/>
    <s v="Updated ISR"/>
    <n v="0"/>
    <n v="0"/>
    <n v="0"/>
    <m/>
    <m/>
    <n v="0.48799999999999999"/>
    <m/>
    <n v="0"/>
    <n v="0"/>
    <m/>
    <m/>
    <n v="0.48799999999999999"/>
    <m/>
    <n v="0"/>
    <n v="0"/>
    <n v="0"/>
    <n v="0"/>
    <n v="0"/>
    <n v="0"/>
    <n v="0"/>
    <s v="NA"/>
    <m/>
  </r>
  <r>
    <s v="NSG"/>
    <x v="4"/>
    <s v="Single Family"/>
    <s v="CBA"/>
    <x v="37"/>
    <s v="&gt;95% AFUE"/>
    <s v="SF"/>
    <x v="3"/>
    <s v="5.3.7"/>
    <n v="0"/>
    <n v="0"/>
    <n v="0"/>
    <n v="0"/>
    <n v="0"/>
    <s v="RS-HVC-GHEF-V12-230101"/>
    <m/>
    <n v="185.63073361823353"/>
    <n v="185.63073361823353"/>
    <n v="185.63073361823353"/>
    <n v="185.63073361823353"/>
    <n v="0"/>
    <n v="0"/>
    <n v="0"/>
    <n v="0"/>
    <n v="0"/>
    <n v="0"/>
    <n v="0"/>
    <n v="0"/>
    <n v="0"/>
    <n v="0"/>
    <n v="0"/>
    <n v="0"/>
    <n v="0"/>
    <n v="0"/>
    <n v="0"/>
    <n v="0"/>
    <n v="0"/>
    <m/>
    <m/>
    <n v="185.63073361823353"/>
    <m/>
    <n v="0"/>
    <n v="0"/>
    <m/>
    <m/>
    <n v="185.63073361823353"/>
    <s v="n/a"/>
    <n v="0"/>
    <n v="0"/>
    <n v="0"/>
    <m/>
    <m/>
    <n v="185.63073361823353"/>
    <m/>
    <n v="0"/>
    <n v="0"/>
    <m/>
    <m/>
    <n v="185.63073361823353"/>
    <m/>
    <n v="0"/>
    <n v="0"/>
    <n v="0"/>
    <n v="0"/>
    <n v="0"/>
    <n v="0"/>
    <n v="0"/>
    <s v="NA"/>
    <m/>
  </r>
  <r>
    <s v="NSG"/>
    <x v="4"/>
    <s v="Single Family"/>
    <s v="CBA"/>
    <x v="49"/>
    <s v="no savings"/>
    <s v="SF"/>
    <x v="3"/>
    <s v="n/a"/>
    <n v="0"/>
    <n v="0"/>
    <n v="0"/>
    <n v="0"/>
    <n v="0"/>
    <s v="n/a"/>
    <m/>
    <n v="0"/>
    <n v="0"/>
    <n v="0"/>
    <n v="0"/>
    <n v="0"/>
    <n v="0"/>
    <n v="0"/>
    <n v="0"/>
    <n v="0"/>
    <n v="0"/>
    <n v="0"/>
    <n v="0"/>
    <n v="0"/>
    <n v="0"/>
    <n v="0"/>
    <n v="0"/>
    <n v="0"/>
    <n v="0"/>
    <n v="0"/>
    <n v="0"/>
    <n v="0"/>
    <m/>
    <m/>
    <n v="0"/>
    <m/>
    <n v="0"/>
    <n v="0"/>
    <m/>
    <m/>
    <n v="0"/>
    <s v="n/a"/>
    <n v="0"/>
    <n v="0"/>
    <n v="0"/>
    <m/>
    <m/>
    <n v="0"/>
    <m/>
    <n v="0"/>
    <n v="0"/>
    <m/>
    <m/>
    <n v="0"/>
    <m/>
    <n v="0"/>
    <n v="0"/>
    <n v="0"/>
    <n v="0"/>
    <n v="0"/>
    <n v="0"/>
    <n v="0"/>
    <s v="NA"/>
    <m/>
  </r>
  <r>
    <s v="NSG"/>
    <x v="4"/>
    <s v="Single Family"/>
    <s v="IHWAP"/>
    <x v="6"/>
    <s v="Furnace (DI)"/>
    <s v="SF"/>
    <x v="3"/>
    <s v="5.3.11"/>
    <s v="each"/>
    <n v="0"/>
    <n v="0"/>
    <n v="0"/>
    <n v="0"/>
    <s v="RS-HVC-ADTH-V08-230101"/>
    <m/>
    <n v="62.31"/>
    <n v="62.31"/>
    <n v="62.31"/>
    <n v="62.31"/>
    <n v="1"/>
    <n v="1"/>
    <n v="1"/>
    <n v="1"/>
    <n v="0"/>
    <n v="0"/>
    <n v="0"/>
    <n v="0"/>
    <n v="0"/>
    <n v="1"/>
    <n v="1"/>
    <n v="1"/>
    <n v="1"/>
    <n v="1"/>
    <n v="1"/>
    <n v="1"/>
    <n v="1"/>
    <m/>
    <m/>
    <n v="62.31"/>
    <m/>
    <n v="0"/>
    <n v="0"/>
    <m/>
    <m/>
    <n v="62.31"/>
    <s v="n/a"/>
    <n v="0"/>
    <n v="0"/>
    <n v="0"/>
    <m/>
    <m/>
    <n v="62.31"/>
    <m/>
    <n v="0"/>
    <n v="0"/>
    <m/>
    <m/>
    <n v="62.31"/>
    <m/>
    <n v="0"/>
    <n v="0"/>
    <n v="0"/>
    <n v="0"/>
    <n v="0"/>
    <n v="0"/>
    <n v="0"/>
    <s v="NA"/>
    <m/>
  </r>
  <r>
    <s v="NSG"/>
    <x v="4"/>
    <s v="Single Family"/>
    <s v="IHWAP"/>
    <x v="6"/>
    <s v="Boiler (DI)"/>
    <s v="SF"/>
    <x v="3"/>
    <s v="5.3.11"/>
    <s v="each"/>
    <n v="0"/>
    <n v="0"/>
    <n v="0"/>
    <n v="0"/>
    <s v="RS-HVC-ADTH-V08-230101"/>
    <m/>
    <n v="92.194000000000003"/>
    <n v="92.194000000000003"/>
    <n v="92.194000000000003"/>
    <n v="92.194000000000003"/>
    <n v="1"/>
    <n v="1"/>
    <n v="1"/>
    <n v="1"/>
    <n v="0"/>
    <n v="0"/>
    <n v="0"/>
    <n v="0"/>
    <n v="0"/>
    <n v="1"/>
    <n v="1"/>
    <n v="1"/>
    <n v="1"/>
    <n v="1"/>
    <n v="1"/>
    <n v="1"/>
    <n v="1"/>
    <m/>
    <m/>
    <n v="92.194000000000003"/>
    <m/>
    <n v="0"/>
    <n v="0"/>
    <m/>
    <m/>
    <n v="92.194000000000003"/>
    <s v="n/a"/>
    <n v="0"/>
    <n v="0"/>
    <n v="0"/>
    <m/>
    <m/>
    <n v="92.194000000000003"/>
    <m/>
    <n v="0"/>
    <n v="0"/>
    <m/>
    <m/>
    <n v="92.194000000000003"/>
    <m/>
    <n v="0"/>
    <n v="0"/>
    <n v="0"/>
    <n v="0"/>
    <n v="0"/>
    <n v="0"/>
    <n v="0"/>
    <s v="NA"/>
    <m/>
  </r>
  <r>
    <s v="NSG"/>
    <x v="4"/>
    <s v="Single Family"/>
    <s v="IHWAP"/>
    <x v="44"/>
    <s v="Furnace (DI)"/>
    <s v="SF"/>
    <x v="3"/>
    <s v="5.3.11"/>
    <s v="each"/>
    <n v="0"/>
    <n v="0"/>
    <n v="0"/>
    <n v="0"/>
    <s v="RS-HVC-ADTH-V08-230101"/>
    <m/>
    <n v="62.31"/>
    <n v="62.31"/>
    <n v="62.31"/>
    <n v="62.31"/>
    <n v="1"/>
    <n v="1"/>
    <n v="1"/>
    <n v="1"/>
    <n v="0"/>
    <n v="0"/>
    <n v="0"/>
    <n v="0"/>
    <n v="0"/>
    <n v="1"/>
    <n v="1"/>
    <n v="1"/>
    <n v="1"/>
    <n v="1"/>
    <n v="1"/>
    <n v="1"/>
    <n v="1"/>
    <m/>
    <m/>
    <n v="62.31"/>
    <m/>
    <n v="0"/>
    <n v="0"/>
    <m/>
    <m/>
    <n v="62.31"/>
    <s v="n/a"/>
    <n v="0"/>
    <n v="0"/>
    <n v="0"/>
    <m/>
    <m/>
    <n v="62.31"/>
    <m/>
    <n v="0"/>
    <n v="0"/>
    <m/>
    <m/>
    <n v="62.31"/>
    <m/>
    <n v="0"/>
    <n v="0"/>
    <n v="0"/>
    <n v="0"/>
    <n v="0"/>
    <n v="0"/>
    <n v="0"/>
    <s v="NA"/>
    <m/>
  </r>
  <r>
    <s v="NSG"/>
    <x v="4"/>
    <s v="Single Family"/>
    <s v="IHWAP"/>
    <x v="44"/>
    <s v="Boiler (DI)"/>
    <s v="SF"/>
    <x v="3"/>
    <s v="5.3.11"/>
    <s v="each"/>
    <n v="0"/>
    <n v="0"/>
    <n v="0"/>
    <n v="0"/>
    <s v="RS-HVC-ADTH-V08-230101"/>
    <m/>
    <n v="92.194000000000003"/>
    <n v="92.194000000000003"/>
    <n v="92.194000000000003"/>
    <n v="92.194000000000003"/>
    <n v="1"/>
    <n v="1"/>
    <n v="1"/>
    <n v="1"/>
    <n v="0"/>
    <n v="0"/>
    <n v="0"/>
    <n v="0"/>
    <n v="0"/>
    <n v="1"/>
    <n v="1"/>
    <n v="1"/>
    <n v="1"/>
    <n v="1"/>
    <n v="1"/>
    <n v="1"/>
    <n v="1"/>
    <m/>
    <m/>
    <n v="92.194000000000003"/>
    <m/>
    <n v="0"/>
    <n v="0"/>
    <m/>
    <m/>
    <n v="92.194000000000003"/>
    <s v="n/a"/>
    <n v="0"/>
    <n v="0"/>
    <n v="0"/>
    <m/>
    <m/>
    <n v="92.194000000000003"/>
    <m/>
    <n v="0"/>
    <n v="0"/>
    <m/>
    <m/>
    <n v="92.194000000000003"/>
    <m/>
    <n v="0"/>
    <n v="0"/>
    <n v="0"/>
    <n v="0"/>
    <n v="0"/>
    <n v="0"/>
    <n v="0"/>
    <s v="NA"/>
    <m/>
  </r>
  <r>
    <s v="NSG"/>
    <x v="4"/>
    <s v="Single Family"/>
    <s v="IHWAP"/>
    <x v="18"/>
    <n v="0"/>
    <s v="IE SF"/>
    <x v="3"/>
    <s v="5.6.1"/>
    <n v="0"/>
    <n v="0"/>
    <n v="0"/>
    <n v="0"/>
    <n v="0"/>
    <s v="RS-SHL-AIRS-V12-230101"/>
    <m/>
    <n v="6.9090927014218012E-2"/>
    <n v="6.9090927014218012E-2"/>
    <n v="6.9090927014218012E-2"/>
    <n v="6.9090927014218012E-2"/>
    <n v="0"/>
    <n v="0"/>
    <n v="0"/>
    <n v="0"/>
    <n v="0"/>
    <n v="0"/>
    <n v="0"/>
    <n v="0"/>
    <n v="0"/>
    <n v="0"/>
    <n v="0"/>
    <n v="0"/>
    <n v="0"/>
    <n v="0"/>
    <n v="0"/>
    <n v="0"/>
    <n v="0"/>
    <m/>
    <m/>
    <n v="6.9090927014218012E-2"/>
    <m/>
    <n v="0"/>
    <n v="0"/>
    <m/>
    <m/>
    <n v="6.9090927014218012E-2"/>
    <s v="Updated ISR"/>
    <n v="0"/>
    <n v="0"/>
    <n v="0"/>
    <m/>
    <m/>
    <n v="6.9090927014218012E-2"/>
    <m/>
    <n v="0"/>
    <n v="0"/>
    <m/>
    <m/>
    <n v="6.9090927014218012E-2"/>
    <m/>
    <n v="0"/>
    <n v="0"/>
    <n v="0"/>
    <n v="0"/>
    <n v="0"/>
    <n v="0"/>
    <n v="0"/>
    <s v="NA"/>
    <m/>
  </r>
  <r>
    <s v="NSG"/>
    <x v="4"/>
    <s v="Single Family"/>
    <s v="IHWAP"/>
    <x v="45"/>
    <n v="0"/>
    <s v="SF"/>
    <x v="3"/>
    <s v="5.6.2"/>
    <s v="sq ft"/>
    <n v="0"/>
    <n v="0"/>
    <n v="0"/>
    <n v="0"/>
    <s v="RS-SHL-BINS-V13-230101"/>
    <m/>
    <n v="0.13695535714285714"/>
    <n v="0.13695535714285714"/>
    <n v="0.13695535714285714"/>
    <n v="0.13695535714285714"/>
    <n v="1"/>
    <n v="1"/>
    <n v="1"/>
    <n v="1"/>
    <n v="0"/>
    <n v="0"/>
    <n v="0"/>
    <n v="0"/>
    <n v="0"/>
    <n v="1"/>
    <n v="1"/>
    <n v="1"/>
    <n v="1"/>
    <n v="1"/>
    <n v="1"/>
    <n v="1"/>
    <n v="1"/>
    <m/>
    <m/>
    <n v="0.13695535714285714"/>
    <m/>
    <n v="0"/>
    <n v="0"/>
    <m/>
    <m/>
    <n v="0.13695535714285714"/>
    <s v="No savings impacts with existing measure assumptions."/>
    <n v="0"/>
    <n v="0"/>
    <n v="0"/>
    <m/>
    <m/>
    <n v="0.13695535714285714"/>
    <m/>
    <n v="0"/>
    <n v="0"/>
    <m/>
    <m/>
    <n v="0.13695535714285714"/>
    <m/>
    <n v="0"/>
    <n v="0"/>
    <n v="0"/>
    <n v="0"/>
    <n v="0"/>
    <n v="0"/>
    <n v="0"/>
    <s v="NA"/>
    <m/>
  </r>
  <r>
    <s v="NSG"/>
    <x v="4"/>
    <s v="Single Family"/>
    <s v="IHWAP"/>
    <x v="89"/>
    <n v="0"/>
    <s v="SF"/>
    <x v="3"/>
    <s v="5.6.6"/>
    <s v="each"/>
    <n v="0"/>
    <n v="0"/>
    <n v="0"/>
    <n v="0"/>
    <s v="RS-SHL-RINS-V05-230101"/>
    <m/>
    <n v="0.13714870588235292"/>
    <n v="0.13714870588235292"/>
    <n v="0.13714870588235292"/>
    <n v="0.13714870588235292"/>
    <n v="1"/>
    <n v="1"/>
    <n v="1"/>
    <n v="1"/>
    <n v="0"/>
    <n v="0"/>
    <n v="0"/>
    <n v="0"/>
    <n v="0"/>
    <n v="1"/>
    <n v="1"/>
    <n v="1"/>
    <n v="1"/>
    <n v="1"/>
    <n v="1"/>
    <n v="1"/>
    <n v="1"/>
    <m/>
    <m/>
    <n v="0.13714870588235292"/>
    <m/>
    <n v="0"/>
    <n v="0"/>
    <m/>
    <m/>
    <n v="0.13714870588235292"/>
    <s v="No savings impacts with existing measure assumptions."/>
    <n v="0"/>
    <n v="0"/>
    <n v="0"/>
    <m/>
    <m/>
    <n v="0.13714870588235292"/>
    <m/>
    <n v="0"/>
    <n v="0"/>
    <m/>
    <m/>
    <n v="0.13714870588235292"/>
    <m/>
    <n v="0"/>
    <n v="0"/>
    <n v="0"/>
    <n v="0"/>
    <n v="0"/>
    <n v="0"/>
    <n v="0"/>
    <s v="NA"/>
    <m/>
  </r>
  <r>
    <s v="NSG"/>
    <x v="4"/>
    <s v="Single Family"/>
    <s v="IHWAP"/>
    <x v="86"/>
    <n v="0"/>
    <s v="SF"/>
    <x v="3"/>
    <s v="5.6.3"/>
    <s v="each"/>
    <n v="0"/>
    <n v="0"/>
    <n v="0"/>
    <n v="0"/>
    <s v="RS-SHL-FINS-V14-230101"/>
    <m/>
    <n v="0.10489255765199164"/>
    <n v="0.10489255765199164"/>
    <n v="0.10489255765199164"/>
    <n v="0.10489255765199164"/>
    <n v="1"/>
    <n v="1"/>
    <n v="1"/>
    <n v="1"/>
    <n v="0"/>
    <n v="0"/>
    <n v="0"/>
    <n v="0"/>
    <n v="0"/>
    <n v="1"/>
    <n v="1"/>
    <n v="1"/>
    <n v="1"/>
    <n v="1"/>
    <n v="1"/>
    <n v="1"/>
    <n v="1"/>
    <m/>
    <m/>
    <n v="0.10489255765199164"/>
    <m/>
    <n v="0"/>
    <n v="0"/>
    <m/>
    <m/>
    <n v="0.10489255765199164"/>
    <s v="No savings impacts with existing measure assumptions."/>
    <n v="0"/>
    <n v="0"/>
    <n v="0"/>
    <m/>
    <m/>
    <n v="0.10489255765199164"/>
    <m/>
    <n v="0"/>
    <n v="0"/>
    <m/>
    <m/>
    <n v="0.10489255765199164"/>
    <m/>
    <n v="0"/>
    <n v="0"/>
    <n v="0"/>
    <n v="0"/>
    <n v="0"/>
    <n v="0"/>
    <n v="0"/>
    <s v="NA"/>
    <m/>
  </r>
  <r>
    <s v="NSG"/>
    <x v="4"/>
    <s v="Single Family"/>
    <s v="IHWAP"/>
    <x v="28"/>
    <s v="≥88% AFUE, &lt;300MBh"/>
    <s v="SF"/>
    <x v="3"/>
    <s v="5.3.6"/>
    <s v="each"/>
    <n v="0"/>
    <n v="0"/>
    <n v="0"/>
    <n v="0"/>
    <s v="RS-HVC-GHEB-V10-230101"/>
    <m/>
    <n v="147.38374603174603"/>
    <n v="147.38374603174603"/>
    <n v="147.38374603174603"/>
    <n v="147.38374603174603"/>
    <n v="1"/>
    <n v="1"/>
    <n v="1"/>
    <n v="1"/>
    <n v="0"/>
    <n v="0"/>
    <n v="0"/>
    <n v="0"/>
    <n v="0"/>
    <n v="1"/>
    <n v="1"/>
    <n v="1"/>
    <n v="1"/>
    <n v="1"/>
    <n v="1"/>
    <n v="1"/>
    <n v="1"/>
    <m/>
    <m/>
    <n v="147.38374603174603"/>
    <m/>
    <n v="0"/>
    <n v="0"/>
    <m/>
    <m/>
    <n v="147.38374603174603"/>
    <s v="n/a"/>
    <n v="0"/>
    <n v="0"/>
    <n v="0"/>
    <m/>
    <m/>
    <n v="147.38374603174603"/>
    <m/>
    <n v="0"/>
    <n v="0"/>
    <m/>
    <m/>
    <n v="147.38374603174603"/>
    <m/>
    <n v="0"/>
    <n v="0"/>
    <n v="0"/>
    <n v="0"/>
    <n v="0"/>
    <n v="0"/>
    <n v="0"/>
    <s v="NA"/>
    <m/>
  </r>
  <r>
    <s v="NSG"/>
    <x v="5"/>
    <s v="Small/Mid-Size Business"/>
    <s v="Assessments"/>
    <x v="4"/>
    <s v="DHW"/>
    <s v="CI"/>
    <x v="3"/>
    <s v="4.4.14"/>
    <s v="ft"/>
    <n v="0"/>
    <n v="0"/>
    <n v="0"/>
    <n v="0"/>
    <s v="CI-HVC-PINS-V08-230101"/>
    <m/>
    <n v="0.75299999999999989"/>
    <n v="0.75299999999999989"/>
    <n v="0.75299999999999989"/>
    <n v="0.75299999999999989"/>
    <n v="0.93"/>
    <n v="0.93"/>
    <n v="0.93"/>
    <n v="0.93"/>
    <n v="0"/>
    <n v="0"/>
    <n v="0"/>
    <n v="0"/>
    <n v="0"/>
    <n v="0.93"/>
    <n v="0.93"/>
    <n v="0.93"/>
    <n v="0.93"/>
    <n v="0.93"/>
    <n v="0.93"/>
    <n v="0.93"/>
    <n v="0.93"/>
    <m/>
    <m/>
    <n v="3.8653999999999997"/>
    <m/>
    <n v="0"/>
    <n v="0"/>
    <m/>
    <m/>
    <n v="3.8653999999999997"/>
    <s v="n/a"/>
    <n v="0"/>
    <n v="0"/>
    <n v="0"/>
    <m/>
    <m/>
    <n v="3.8653999999999997"/>
    <m/>
    <n v="0"/>
    <n v="0"/>
    <m/>
    <m/>
    <n v="3.8653999999999997"/>
    <m/>
    <n v="0"/>
    <n v="0"/>
    <n v="0"/>
    <n v="0"/>
    <n v="0"/>
    <n v="0"/>
    <n v="0"/>
    <s v="NA"/>
    <m/>
  </r>
  <r>
    <s v="NSG"/>
    <x v="5"/>
    <s v="Small/Mid-Size Business"/>
    <s v="Assessments"/>
    <x v="72"/>
    <n v="0"/>
    <s v="CI"/>
    <x v="3"/>
    <s v="4.4.48"/>
    <s v="ft"/>
    <n v="0"/>
    <n v="0"/>
    <n v="0"/>
    <n v="0"/>
    <s v="CI-HVC-THST-V05-230101"/>
    <m/>
    <n v="196.26391399999997"/>
    <n v="196.26391399999997"/>
    <n v="196.26391399999997"/>
    <n v="196.26391399999997"/>
    <n v="0.97"/>
    <n v="0.97"/>
    <n v="0.97"/>
    <n v="0.97"/>
    <n v="0"/>
    <n v="0"/>
    <n v="0"/>
    <n v="0"/>
    <n v="0"/>
    <n v="0.97"/>
    <n v="0.97"/>
    <n v="0.97"/>
    <n v="0.97"/>
    <n v="0.97"/>
    <n v="0.97"/>
    <n v="0.97"/>
    <n v="0.97"/>
    <m/>
    <m/>
    <n v="157.01113119999999"/>
    <m/>
    <n v="0"/>
    <n v="0"/>
    <m/>
    <m/>
    <n v="157.01113119999999"/>
    <s v="n/a"/>
    <n v="0"/>
    <n v="0"/>
    <n v="0"/>
    <m/>
    <m/>
    <n v="157.01113119999999"/>
    <m/>
    <n v="0"/>
    <n v="0"/>
    <m/>
    <m/>
    <n v="157.01113119999999"/>
    <m/>
    <n v="0"/>
    <n v="0"/>
    <n v="0"/>
    <n v="0"/>
    <n v="0"/>
    <n v="0"/>
    <n v="0"/>
    <s v="NA"/>
    <m/>
  </r>
  <r>
    <s v="NSG"/>
    <x v="5"/>
    <s v="Small/Mid-Size Business"/>
    <s v="Assessments"/>
    <x v="6"/>
    <n v="0"/>
    <s v="CI"/>
    <x v="3"/>
    <s v="4.4.48"/>
    <s v="ft"/>
    <n v="0"/>
    <n v="0"/>
    <n v="0"/>
    <n v="0"/>
    <s v="CI-HVC-THST-V05-230101"/>
    <m/>
    <n v="159.30512500000003"/>
    <n v="159.30512500000003"/>
    <n v="159.30512500000003"/>
    <n v="159.30512500000003"/>
    <n v="0.97"/>
    <n v="0.97"/>
    <n v="0.97"/>
    <n v="0.97"/>
    <n v="0"/>
    <n v="0"/>
    <n v="0"/>
    <n v="0"/>
    <n v="0"/>
    <n v="0.97"/>
    <n v="0.97"/>
    <n v="0.97"/>
    <n v="0.97"/>
    <n v="0.97"/>
    <n v="0.97"/>
    <n v="0.97"/>
    <n v="0.97"/>
    <m/>
    <m/>
    <n v="200.26929999999999"/>
    <m/>
    <n v="0"/>
    <n v="0"/>
    <m/>
    <m/>
    <n v="200.26929999999999"/>
    <s v="n/a"/>
    <n v="0"/>
    <n v="0"/>
    <n v="0"/>
    <m/>
    <m/>
    <n v="200.26929999999999"/>
    <m/>
    <n v="0"/>
    <n v="0"/>
    <m/>
    <m/>
    <n v="200.26929999999999"/>
    <m/>
    <n v="0"/>
    <n v="0"/>
    <n v="0"/>
    <n v="0"/>
    <n v="0"/>
    <n v="0"/>
    <n v="0"/>
    <s v="NA"/>
    <m/>
  </r>
  <r>
    <s v="NSG"/>
    <x v="5"/>
    <s v="Small/Mid-Size Business"/>
    <s v="Rebates"/>
    <x v="70"/>
    <n v="0"/>
    <s v="MF/CI"/>
    <x v="3"/>
    <s v="4.4.5"/>
    <s v="MBH"/>
    <n v="0"/>
    <n v="0"/>
    <n v="0"/>
    <n v="0"/>
    <s v="CI-HVC-CUHT-V03-230101"/>
    <m/>
    <n v="1.7733333333333334"/>
    <n v="1.7733333333333334"/>
    <n v="1.7733333333333334"/>
    <n v="1.7733333333333334"/>
    <n v="0.93"/>
    <n v="0.93"/>
    <n v="0.93"/>
    <n v="0.93"/>
    <n v="0"/>
    <n v="0"/>
    <n v="0"/>
    <n v="0"/>
    <n v="0"/>
    <n v="0.93"/>
    <n v="0.93"/>
    <n v="0.93"/>
    <n v="0.93"/>
    <n v="0.93"/>
    <n v="0.93"/>
    <n v="0.93"/>
    <n v="0.93"/>
    <m/>
    <m/>
    <n v="1.6896527777777772"/>
    <m/>
    <n v="0"/>
    <n v="0"/>
    <m/>
    <m/>
    <n v="1.6896527777777772"/>
    <s v="n/a"/>
    <n v="0"/>
    <n v="0"/>
    <n v="0"/>
    <m/>
    <m/>
    <n v="1.6896527777777772"/>
    <m/>
    <n v="0"/>
    <n v="0"/>
    <m/>
    <m/>
    <n v="1.6896527777777772"/>
    <m/>
    <n v="0"/>
    <n v="0"/>
    <n v="0"/>
    <n v="0"/>
    <n v="0"/>
    <n v="0"/>
    <n v="0"/>
    <s v="NA"/>
    <m/>
  </r>
  <r>
    <s v="NSG"/>
    <x v="5"/>
    <s v="Small/Mid-Size Business"/>
    <s v="Rebates"/>
    <x v="50"/>
    <n v="0"/>
    <s v="MF/CI"/>
    <x v="3"/>
    <s v="4.2.16"/>
    <s v="HP"/>
    <n v="0"/>
    <n v="0"/>
    <n v="0"/>
    <n v="0"/>
    <s v="CI-FSE-VENT-V05-230101"/>
    <m/>
    <n v="774"/>
    <n v="774"/>
    <n v="774"/>
    <n v="774"/>
    <n v="0.93"/>
    <n v="0.93"/>
    <n v="0.93"/>
    <n v="0.93"/>
    <n v="0"/>
    <n v="0"/>
    <n v="0"/>
    <n v="0"/>
    <n v="0"/>
    <n v="0.93"/>
    <n v="0.93"/>
    <n v="0.93"/>
    <n v="0.93"/>
    <n v="0.93"/>
    <n v="0.93"/>
    <n v="0.93"/>
    <n v="0.93"/>
    <m/>
    <m/>
    <n v="774"/>
    <m/>
    <n v="0"/>
    <n v="0"/>
    <m/>
    <m/>
    <n v="774"/>
    <s v="n/a"/>
    <n v="0"/>
    <n v="0"/>
    <n v="0"/>
    <m/>
    <m/>
    <n v="774"/>
    <m/>
    <n v="0"/>
    <n v="0"/>
    <m/>
    <m/>
    <n v="774"/>
    <m/>
    <n v="0"/>
    <n v="0"/>
    <n v="0"/>
    <n v="0"/>
    <n v="0"/>
    <n v="0"/>
    <n v="0"/>
    <s v="NA"/>
    <m/>
  </r>
  <r>
    <s v="NSG"/>
    <x v="5"/>
    <s v="Small/Mid-Size Business"/>
    <s v="Rebates"/>
    <x v="71"/>
    <n v="0"/>
    <s v="MF/CI"/>
    <x v="3"/>
    <s v="4.4.39"/>
    <s v="MBH"/>
    <n v="0"/>
    <n v="0"/>
    <n v="0"/>
    <n v="0"/>
    <s v="CI-HVC-HTHV-V02-230101"/>
    <m/>
    <n v="3.72"/>
    <n v="3.72"/>
    <n v="3.72"/>
    <n v="3.72"/>
    <n v="0.93"/>
    <n v="0.93"/>
    <n v="0.93"/>
    <n v="0.93"/>
    <n v="0"/>
    <n v="0"/>
    <n v="0"/>
    <n v="0"/>
    <n v="0"/>
    <n v="0.93"/>
    <n v="0.93"/>
    <n v="0.93"/>
    <n v="0.93"/>
    <n v="0.93"/>
    <n v="0.93"/>
    <n v="0.93"/>
    <n v="0.93"/>
    <m/>
    <m/>
    <n v="3.72"/>
    <m/>
    <n v="0"/>
    <n v="0"/>
    <m/>
    <m/>
    <n v="3.72"/>
    <s v="n/a"/>
    <n v="0"/>
    <n v="0"/>
    <n v="0"/>
    <m/>
    <m/>
    <n v="3.72"/>
    <m/>
    <n v="0"/>
    <n v="0"/>
    <m/>
    <m/>
    <n v="3.72"/>
    <m/>
    <n v="0"/>
    <n v="0"/>
    <n v="0"/>
    <n v="0"/>
    <n v="0"/>
    <n v="0"/>
    <n v="0"/>
    <s v="NA"/>
    <m/>
  </r>
  <r>
    <s v="NSG"/>
    <x v="5"/>
    <s v="Small/Mid-Size Business"/>
    <s v="Rebates"/>
    <x v="43"/>
    <s v="Laundromat"/>
    <s v="SMB"/>
    <x v="3"/>
    <s v="4.8.5"/>
    <s v="lb-capacity"/>
    <n v="0"/>
    <n v="0"/>
    <n v="0"/>
    <n v="0"/>
    <s v="CI-MSC-HSCW-V02-210101"/>
    <m/>
    <n v="2.7891864000000002"/>
    <n v="2.7891864000000002"/>
    <n v="2.7891864000000002"/>
    <n v="2.7891864000000002"/>
    <n v="0.93"/>
    <n v="0.93"/>
    <n v="0.93"/>
    <n v="0.93"/>
    <n v="0"/>
    <n v="0"/>
    <n v="0"/>
    <n v="0"/>
    <n v="0"/>
    <n v="0.93"/>
    <n v="0.93"/>
    <n v="0.93"/>
    <n v="0.93"/>
    <n v="0.93"/>
    <n v="0.93"/>
    <n v="0.93"/>
    <n v="0.93"/>
    <m/>
    <m/>
    <n v="2.7891864000000002"/>
    <m/>
    <n v="0"/>
    <n v="0"/>
    <m/>
    <m/>
    <n v="2.7891864000000002"/>
    <s v="n/a"/>
    <n v="0"/>
    <n v="0"/>
    <n v="0"/>
    <m/>
    <m/>
    <n v="2.7891864000000002"/>
    <m/>
    <n v="0"/>
    <n v="0"/>
    <m/>
    <m/>
    <n v="2.7891864000000002"/>
    <m/>
    <n v="0"/>
    <n v="0"/>
    <n v="0"/>
    <n v="0"/>
    <n v="0"/>
    <n v="0"/>
    <n v="0"/>
    <s v="NA"/>
    <m/>
  </r>
  <r>
    <s v="NSG"/>
    <x v="5"/>
    <s v="Small/Mid-Size Business"/>
    <s v="Rebates"/>
    <x v="72"/>
    <n v="0"/>
    <s v="CI"/>
    <x v="3"/>
    <s v="4.4.48"/>
    <s v="each"/>
    <n v="0"/>
    <n v="0"/>
    <n v="0"/>
    <n v="0"/>
    <s v="CI-HVC-THST-V05-230101"/>
    <m/>
    <n v="196.26391399999997"/>
    <n v="196.26391399999997"/>
    <n v="196.26391399999997"/>
    <n v="196.26391399999997"/>
    <n v="0.97"/>
    <n v="0.97"/>
    <n v="0.97"/>
    <n v="0.97"/>
    <n v="0"/>
    <n v="0"/>
    <n v="0"/>
    <n v="0"/>
    <n v="0"/>
    <n v="0.97"/>
    <n v="0.97"/>
    <n v="0.97"/>
    <n v="0.97"/>
    <n v="0.97"/>
    <n v="0.97"/>
    <n v="0.97"/>
    <n v="0.97"/>
    <m/>
    <m/>
    <n v="157.01113119999999"/>
    <m/>
    <n v="0"/>
    <n v="0"/>
    <m/>
    <m/>
    <n v="157.01113119999999"/>
    <s v="n/a"/>
    <n v="0"/>
    <n v="0"/>
    <n v="0"/>
    <m/>
    <m/>
    <n v="157.01113119999999"/>
    <m/>
    <n v="0"/>
    <n v="0"/>
    <m/>
    <m/>
    <n v="157.01113119999999"/>
    <m/>
    <n v="0"/>
    <n v="0"/>
    <n v="0"/>
    <n v="0"/>
    <n v="0"/>
    <n v="0"/>
    <n v="0"/>
    <s v="NA"/>
    <m/>
  </r>
  <r>
    <s v="NSG"/>
    <x v="5"/>
    <s v="Small/Mid-Size Business"/>
    <s v="Rebates"/>
    <x v="31"/>
    <n v="0"/>
    <s v="MF/CI/SMB"/>
    <x v="3"/>
    <s v="4.4.19"/>
    <s v="sqft"/>
    <n v="0"/>
    <n v="0"/>
    <n v="0"/>
    <n v="0"/>
    <s v="CI-HVC-DCV-V06-220101"/>
    <m/>
    <n v="6.8000000000000005E-2"/>
    <n v="6.8000000000000005E-2"/>
    <n v="6.8000000000000005E-2"/>
    <n v="6.8000000000000005E-2"/>
    <n v="0.93"/>
    <n v="0.93"/>
    <n v="0.93"/>
    <n v="0.93"/>
    <n v="0"/>
    <n v="0"/>
    <n v="0"/>
    <n v="0"/>
    <n v="0"/>
    <n v="0.93"/>
    <n v="0.93"/>
    <n v="0.93"/>
    <n v="0.93"/>
    <n v="0.93"/>
    <n v="0.93"/>
    <n v="0.93"/>
    <n v="0.93"/>
    <m/>
    <m/>
    <n v="6.8000000000000005E-2"/>
    <m/>
    <n v="0"/>
    <n v="0"/>
    <m/>
    <m/>
    <n v="6.8000000000000005E-2"/>
    <s v="n/a"/>
    <n v="0"/>
    <n v="0"/>
    <n v="0"/>
    <m/>
    <m/>
    <n v="6.8000000000000005E-2"/>
    <m/>
    <n v="0"/>
    <n v="0"/>
    <m/>
    <m/>
    <n v="6.8000000000000005E-2"/>
    <m/>
    <n v="0"/>
    <n v="0"/>
    <n v="0"/>
    <n v="0"/>
    <n v="0"/>
    <n v="0"/>
    <n v="0"/>
    <s v="NA"/>
    <m/>
  </r>
  <r>
    <s v="NSG"/>
    <x v="5"/>
    <s v="Small/Mid-Size Business"/>
    <s v="Rebates"/>
    <x v="38"/>
    <n v="0"/>
    <s v="MF/CI/SMB"/>
    <x v="3"/>
    <s v="4.3.12"/>
    <s v="sqft"/>
    <n v="0"/>
    <n v="0"/>
    <n v="0"/>
    <n v="0"/>
    <s v="CI-HWE-TKIN-V02-220101"/>
    <m/>
    <n v="16.746197539658972"/>
    <n v="16.746197539658972"/>
    <n v="16.746197539658972"/>
    <n v="16.746197539658972"/>
    <n v="0.93"/>
    <n v="0.93"/>
    <n v="0.93"/>
    <n v="0.93"/>
    <n v="0"/>
    <n v="0"/>
    <n v="0"/>
    <n v="0"/>
    <n v="0"/>
    <n v="0.93"/>
    <n v="0.93"/>
    <n v="0.93"/>
    <n v="0.93"/>
    <n v="0.93"/>
    <n v="0.93"/>
    <n v="0.93"/>
    <n v="0.93"/>
    <m/>
    <m/>
    <n v="16.746197539658972"/>
    <m/>
    <n v="0"/>
    <n v="0"/>
    <m/>
    <m/>
    <n v="16.746197539658972"/>
    <s v="n/a"/>
    <n v="0"/>
    <n v="0"/>
    <n v="0"/>
    <m/>
    <m/>
    <n v="16.746197539658972"/>
    <m/>
    <n v="0"/>
    <n v="0"/>
    <m/>
    <m/>
    <n v="16.746197539658972"/>
    <m/>
    <n v="0"/>
    <n v="0"/>
    <n v="0"/>
    <n v="0"/>
    <n v="0"/>
    <n v="0"/>
    <n v="0"/>
    <s v="NA"/>
    <m/>
  </r>
  <r>
    <s v="NSG"/>
    <x v="5"/>
    <s v="Small/Mid-Size Business"/>
    <s v="Rebates"/>
    <x v="66"/>
    <n v="0"/>
    <s v="CI"/>
    <x v="3"/>
    <n v="0"/>
    <s v="each"/>
    <n v="0"/>
    <n v="0"/>
    <n v="0"/>
    <n v="0"/>
    <n v="0"/>
    <m/>
    <n v="234.94825714285713"/>
    <n v="234.94825714285713"/>
    <n v="234.94825714285713"/>
    <n v="234.94825714285713"/>
    <n v="0.93"/>
    <n v="0.93"/>
    <n v="0.93"/>
    <n v="0.93"/>
    <n v="0"/>
    <n v="0"/>
    <n v="0"/>
    <n v="0"/>
    <n v="0"/>
    <n v="0.93"/>
    <n v="0.93"/>
    <n v="0.93"/>
    <n v="0.93"/>
    <n v="0.93"/>
    <n v="0.93"/>
    <n v="0.93"/>
    <n v="0.93"/>
    <m/>
    <m/>
    <n v="234.94825714285713"/>
    <m/>
    <n v="0"/>
    <n v="0"/>
    <m/>
    <m/>
    <n v="234.94825714285713"/>
    <s v="n/a"/>
    <n v="0"/>
    <n v="0"/>
    <n v="0"/>
    <m/>
    <m/>
    <n v="234.94825714285713"/>
    <m/>
    <n v="0"/>
    <n v="0"/>
    <m/>
    <m/>
    <n v="234.94825714285713"/>
    <m/>
    <n v="0"/>
    <n v="0"/>
    <n v="0"/>
    <n v="0"/>
    <n v="0"/>
    <n v="0"/>
    <n v="0"/>
    <s v="NA"/>
    <m/>
  </r>
  <r>
    <s v="NSG"/>
    <x v="5"/>
    <s v="Small/Mid-Size Business"/>
    <s v="Rebates"/>
    <x v="12"/>
    <s v="≥75 MBH, ≥88% TE "/>
    <s v="CI"/>
    <x v="3"/>
    <s v="4.3.1"/>
    <s v="MBH"/>
    <n v="0"/>
    <n v="0"/>
    <n v="0"/>
    <n v="0"/>
    <s v="CI-HWE-STWH-V09-230101"/>
    <m/>
    <n v="2.4977693963210257"/>
    <n v="2.4977693963210257"/>
    <n v="2.4977693963210257"/>
    <n v="2.4977693963210257"/>
    <n v="0.93"/>
    <n v="0.93"/>
    <n v="0.93"/>
    <n v="0.93"/>
    <n v="0"/>
    <n v="0"/>
    <n v="0"/>
    <n v="0"/>
    <n v="0"/>
    <n v="0.93"/>
    <n v="0.93"/>
    <n v="0.93"/>
    <n v="0.93"/>
    <n v="0.93"/>
    <n v="0.93"/>
    <n v="0.93"/>
    <n v="0.93"/>
    <m/>
    <m/>
    <n v="2.6035838480037183"/>
    <m/>
    <n v="0"/>
    <n v="0"/>
    <m/>
    <m/>
    <n v="2.6035838480037183"/>
    <s v="n/a"/>
    <n v="0"/>
    <n v="0"/>
    <n v="0"/>
    <m/>
    <m/>
    <n v="2.6035838480037183"/>
    <m/>
    <n v="0"/>
    <n v="0"/>
    <m/>
    <m/>
    <n v="2.6035838480037183"/>
    <m/>
    <n v="0"/>
    <n v="0"/>
    <n v="0"/>
    <n v="0"/>
    <n v="0"/>
    <n v="0"/>
    <n v="0"/>
    <s v="NA"/>
    <m/>
  </r>
  <r>
    <s v="NSG"/>
    <x v="5"/>
    <s v="Small/Mid-Size Business"/>
    <s v="Rebates"/>
    <x v="12"/>
    <s v="Central Lodging 88% TE"/>
    <s v="CI"/>
    <x v="3"/>
    <s v="4.3.7"/>
    <s v="MBH"/>
    <n v="0"/>
    <n v="0"/>
    <n v="0"/>
    <n v="0"/>
    <s v="CI-HWE-MDHW-V06-230101"/>
    <m/>
    <n v="9.31628800262075"/>
    <n v="9.31628800262075"/>
    <n v="9.31628800262075"/>
    <n v="9.31628800262075"/>
    <n v="0.93"/>
    <n v="0.93"/>
    <n v="0.93"/>
    <n v="0.93"/>
    <n v="0"/>
    <n v="0"/>
    <n v="0"/>
    <n v="0"/>
    <n v="0"/>
    <n v="0.93"/>
    <n v="0.93"/>
    <n v="0.93"/>
    <n v="0.93"/>
    <n v="0.93"/>
    <n v="0.93"/>
    <n v="0.93"/>
    <n v="0.93"/>
    <m/>
    <m/>
    <n v="9.7379830071207483"/>
    <m/>
    <n v="0"/>
    <n v="0"/>
    <m/>
    <m/>
    <n v="9.7379830071207483"/>
    <s v="n/a"/>
    <n v="0"/>
    <n v="0"/>
    <n v="0"/>
    <m/>
    <m/>
    <n v="9.7379830071207483"/>
    <m/>
    <n v="0"/>
    <n v="0"/>
    <m/>
    <m/>
    <n v="9.7379830071207483"/>
    <m/>
    <n v="0"/>
    <n v="0"/>
    <n v="0"/>
    <n v="0"/>
    <n v="0"/>
    <n v="0"/>
    <n v="0"/>
    <s v="NA"/>
    <m/>
  </r>
  <r>
    <s v="NSG"/>
    <x v="5"/>
    <s v="Small/Mid-Size Business"/>
    <s v="Rebates"/>
    <x v="12"/>
    <s v="Storage 0.67 EF"/>
    <s v="CI"/>
    <x v="3"/>
    <s v="4.3.1"/>
    <s v="each"/>
    <n v="0"/>
    <n v="0"/>
    <n v="0"/>
    <n v="0"/>
    <s v="CI-HWE-STWH-V09-230101"/>
    <m/>
    <n v="56.252452620818083"/>
    <n v="56.252452620818083"/>
    <n v="56.252452620818083"/>
    <n v="56.252452620818083"/>
    <n v="0.93"/>
    <n v="0.93"/>
    <n v="0.93"/>
    <n v="0.93"/>
    <n v="0"/>
    <n v="0"/>
    <n v="0"/>
    <n v="0"/>
    <n v="0"/>
    <n v="0.93"/>
    <n v="0.93"/>
    <n v="0.93"/>
    <n v="0.93"/>
    <n v="0.93"/>
    <n v="0.93"/>
    <n v="0.93"/>
    <n v="0.93"/>
    <m/>
    <m/>
    <n v="58.867003235588506"/>
    <m/>
    <n v="0"/>
    <n v="0"/>
    <m/>
    <m/>
    <n v="58.550513970881049"/>
    <s v="n/a"/>
    <n v="0"/>
    <n v="0"/>
    <n v="0"/>
    <m/>
    <m/>
    <n v="58.550513970881049"/>
    <m/>
    <n v="0"/>
    <n v="0"/>
    <m/>
    <m/>
    <n v="58.550513970881049"/>
    <m/>
    <n v="0"/>
    <n v="0"/>
    <n v="0"/>
    <n v="0"/>
    <n v="0"/>
    <n v="0"/>
    <n v="0"/>
    <s v="NA"/>
    <m/>
  </r>
  <r>
    <s v="NSG"/>
    <x v="5"/>
    <s v="Small/Mid-Size Business"/>
    <s v="Rebates"/>
    <x v="73"/>
    <n v="0"/>
    <s v="MF/CI"/>
    <x v="3"/>
    <s v="4.4.12"/>
    <s v="MBH"/>
    <n v="0"/>
    <n v="0"/>
    <n v="0"/>
    <n v="0"/>
    <s v="CI-HVC-IRHT-V03-230101"/>
    <m/>
    <n v="2.9611764705882351"/>
    <n v="2.9611764705882351"/>
    <n v="2.9611764705882351"/>
    <n v="2.9611764705882351"/>
    <n v="0.93"/>
    <n v="0.93"/>
    <n v="0.93"/>
    <n v="0.93"/>
    <n v="0"/>
    <n v="0"/>
    <n v="0"/>
    <n v="0"/>
    <n v="0"/>
    <n v="0.93"/>
    <n v="0.93"/>
    <n v="0.93"/>
    <n v="0.93"/>
    <n v="0.93"/>
    <n v="0.93"/>
    <n v="0.93"/>
    <n v="0.93"/>
    <m/>
    <m/>
    <n v="2.9611764705882351"/>
    <m/>
    <n v="0"/>
    <n v="0"/>
    <m/>
    <m/>
    <n v="2.9611764705882351"/>
    <s v="n/a"/>
    <n v="0"/>
    <n v="0"/>
    <n v="0"/>
    <m/>
    <m/>
    <n v="2.9611764705882351"/>
    <m/>
    <n v="0"/>
    <n v="0"/>
    <m/>
    <m/>
    <n v="2.9611764705882351"/>
    <m/>
    <n v="0"/>
    <n v="0"/>
    <n v="0"/>
    <n v="0"/>
    <n v="0"/>
    <n v="0"/>
    <n v="0"/>
    <s v="NA"/>
    <m/>
  </r>
  <r>
    <s v="NSG"/>
    <x v="5"/>
    <s v="Small/Mid-Size Business"/>
    <s v="Rebates"/>
    <x v="56"/>
    <s v="Hotels &amp; Hospitals"/>
    <s v="CI"/>
    <x v="3"/>
    <s v="4.8.4"/>
    <s v="each"/>
    <n v="0"/>
    <n v="0"/>
    <n v="0"/>
    <n v="0"/>
    <s v="CI-MSC-MODD-V02-230101"/>
    <m/>
    <n v="649.26"/>
    <n v="649.26"/>
    <n v="649.26"/>
    <n v="649.26"/>
    <n v="0.93"/>
    <n v="0.93"/>
    <n v="0.93"/>
    <n v="0.93"/>
    <n v="0"/>
    <n v="0"/>
    <n v="0"/>
    <n v="0"/>
    <n v="0"/>
    <n v="0.93"/>
    <n v="0.93"/>
    <n v="0.93"/>
    <n v="0.93"/>
    <n v="0.93"/>
    <n v="0.93"/>
    <n v="0.93"/>
    <n v="0.93"/>
    <m/>
    <m/>
    <n v="649.26"/>
    <m/>
    <n v="0"/>
    <n v="0"/>
    <m/>
    <m/>
    <n v="649.26"/>
    <s v="Updated measure lifetime."/>
    <n v="0"/>
    <n v="0"/>
    <n v="0"/>
    <m/>
    <m/>
    <n v="649.26"/>
    <m/>
    <n v="0"/>
    <n v="0"/>
    <m/>
    <m/>
    <n v="649.26"/>
    <m/>
    <n v="0"/>
    <n v="0"/>
    <n v="0"/>
    <n v="0"/>
    <n v="0"/>
    <n v="0"/>
    <n v="0"/>
    <s v="NA"/>
    <m/>
  </r>
  <r>
    <s v="NSG"/>
    <x v="5"/>
    <s v="Small/Mid-Size Business"/>
    <s v="Rebates"/>
    <x v="74"/>
    <n v="0"/>
    <s v="MF/CI"/>
    <x v="3"/>
    <s v="4.3.6"/>
    <s v="lb-capacity"/>
    <n v="0"/>
    <n v="0"/>
    <n v="0"/>
    <n v="0"/>
    <s v="CI-HWE-OZLD-V07-230101"/>
    <m/>
    <n v="30.722664192350027"/>
    <n v="30.722664192350027"/>
    <n v="30.722664192350027"/>
    <n v="30.722664192350027"/>
    <n v="0.93"/>
    <n v="0.93"/>
    <n v="0.93"/>
    <n v="0.93"/>
    <n v="0"/>
    <n v="0"/>
    <n v="0"/>
    <n v="0"/>
    <n v="0"/>
    <n v="0.93"/>
    <n v="0.93"/>
    <n v="0.93"/>
    <n v="0.93"/>
    <n v="0.93"/>
    <n v="0.93"/>
    <n v="0.93"/>
    <n v="0.93"/>
    <m/>
    <m/>
    <n v="30.722664192350027"/>
    <m/>
    <n v="0"/>
    <n v="0"/>
    <m/>
    <m/>
    <n v="30.722664192350027"/>
    <s v="n/a"/>
    <n v="0"/>
    <n v="0"/>
    <n v="0"/>
    <m/>
    <m/>
    <n v="30.722664192350027"/>
    <m/>
    <n v="0"/>
    <n v="0"/>
    <m/>
    <m/>
    <n v="30.722664192350027"/>
    <m/>
    <n v="0"/>
    <n v="0"/>
    <n v="0"/>
    <n v="0"/>
    <n v="0"/>
    <n v="0"/>
    <n v="0"/>
    <s v="NA"/>
    <m/>
  </r>
  <r>
    <s v="NSG"/>
    <x v="5"/>
    <s v="Small/Mid-Size Business"/>
    <s v="Rebates"/>
    <x v="4"/>
    <s v="Dry Cleaners"/>
    <s v="CI/SMB"/>
    <x v="3"/>
    <s v="&quot;3 - Res Pipe Insulation&quot; worksheet"/>
    <s v="linear feet"/>
    <n v="0"/>
    <n v="0"/>
    <n v="0"/>
    <n v="0"/>
    <n v="0"/>
    <m/>
    <n v="2.6562680100025178"/>
    <n v="2.6562680100025178"/>
    <n v="2.6562680100025178"/>
    <n v="2.6562680100025178"/>
    <n v="0.93"/>
    <n v="0.93"/>
    <n v="0.93"/>
    <n v="0.93"/>
    <n v="0"/>
    <n v="0"/>
    <n v="0"/>
    <n v="0"/>
    <n v="0"/>
    <n v="0.93"/>
    <n v="0.93"/>
    <n v="0.93"/>
    <n v="0.93"/>
    <n v="0.93"/>
    <n v="0.93"/>
    <n v="0.93"/>
    <n v="0.93"/>
    <m/>
    <m/>
    <n v="2.6562680100025178"/>
    <m/>
    <n v="0"/>
    <n v="0"/>
    <m/>
    <m/>
    <n v="2.6562680100025178"/>
    <s v="n/a"/>
    <n v="0"/>
    <n v="0"/>
    <n v="0"/>
    <m/>
    <m/>
    <n v="2.6562680100025178"/>
    <m/>
    <n v="0"/>
    <n v="0"/>
    <m/>
    <m/>
    <n v="2.6562680100025178"/>
    <m/>
    <n v="0"/>
    <n v="0"/>
    <n v="0"/>
    <n v="0"/>
    <n v="0"/>
    <n v="0"/>
    <n v="0"/>
    <s v="NA"/>
    <m/>
  </r>
  <r>
    <s v="NSG"/>
    <x v="5"/>
    <s v="Small/Mid-Size Business"/>
    <s v="Rebates"/>
    <x v="4"/>
    <s v="Steam - X-Large &gt;8&quot;"/>
    <s v="CI"/>
    <x v="3"/>
    <s v="&quot;3 - Pipe Insulation&quot; worksheet"/>
    <s v="ft"/>
    <n v="0"/>
    <n v="0"/>
    <n v="0"/>
    <n v="0"/>
    <n v="0"/>
    <m/>
    <n v="35.984797966765058"/>
    <n v="35.984797966765058"/>
    <n v="35.984797966765058"/>
    <n v="35.984797966765058"/>
    <n v="0.93"/>
    <n v="0.93"/>
    <n v="0.93"/>
    <n v="0.93"/>
    <n v="0"/>
    <n v="0"/>
    <n v="0"/>
    <n v="0"/>
    <n v="0"/>
    <n v="0.93"/>
    <n v="0.93"/>
    <n v="0.93"/>
    <n v="0.93"/>
    <n v="0.93"/>
    <n v="0.93"/>
    <n v="0.93"/>
    <n v="0.93"/>
    <m/>
    <m/>
    <n v="35.984797966765058"/>
    <m/>
    <n v="0"/>
    <n v="0"/>
    <m/>
    <m/>
    <n v="35.984797966765058"/>
    <s v="n/a"/>
    <n v="0"/>
    <n v="0"/>
    <n v="0"/>
    <m/>
    <m/>
    <n v="35.984797966765058"/>
    <m/>
    <n v="0"/>
    <n v="0"/>
    <m/>
    <m/>
    <n v="35.984797966765058"/>
    <m/>
    <n v="0"/>
    <n v="0"/>
    <n v="0"/>
    <n v="0"/>
    <n v="0"/>
    <n v="0"/>
    <n v="0"/>
    <s v="NA"/>
    <m/>
  </r>
  <r>
    <s v="NSG"/>
    <x v="5"/>
    <s v="Small/Mid-Size Business"/>
    <s v="Rebates"/>
    <x v="4"/>
    <s v="Steam Med Fitting"/>
    <s v="CI"/>
    <x v="3"/>
    <s v="&quot;3 - Pipe Insulation&quot; worksheet"/>
    <s v="each"/>
    <n v="0"/>
    <n v="0"/>
    <n v="0"/>
    <n v="0"/>
    <n v="0"/>
    <m/>
    <n v="16.16754015857342"/>
    <n v="16.16754015857342"/>
    <n v="16.16754015857342"/>
    <n v="16.16754015857342"/>
    <n v="0.93"/>
    <n v="0.93"/>
    <n v="0.93"/>
    <n v="0.93"/>
    <n v="0"/>
    <n v="0"/>
    <n v="0"/>
    <n v="0"/>
    <n v="0"/>
    <n v="0.93"/>
    <n v="0.93"/>
    <n v="0.93"/>
    <n v="0.93"/>
    <n v="0.93"/>
    <n v="0.93"/>
    <n v="0.93"/>
    <n v="0.93"/>
    <m/>
    <m/>
    <n v="16.16754015857342"/>
    <m/>
    <n v="0"/>
    <n v="0"/>
    <m/>
    <m/>
    <n v="16.16754015857342"/>
    <s v="n/a"/>
    <n v="0"/>
    <n v="0"/>
    <n v="0"/>
    <m/>
    <m/>
    <n v="16.16754015857342"/>
    <m/>
    <n v="0"/>
    <n v="0"/>
    <m/>
    <m/>
    <n v="16.16754015857342"/>
    <m/>
    <n v="0"/>
    <n v="0"/>
    <n v="0"/>
    <n v="0"/>
    <n v="0"/>
    <n v="0"/>
    <n v="0"/>
    <s v="NA"/>
    <m/>
  </r>
  <r>
    <s v="NSG"/>
    <x v="5"/>
    <s v="Small/Mid-Size Business"/>
    <s v="Rebates"/>
    <x v="4"/>
    <s v="Steam Large Fitting"/>
    <s v="CI"/>
    <x v="3"/>
    <s v="&quot;3 - Pipe Insulation&quot; worksheet"/>
    <s v="each"/>
    <n v="0"/>
    <n v="0"/>
    <n v="0"/>
    <n v="0"/>
    <n v="0"/>
    <m/>
    <n v="44.895855334511324"/>
    <n v="44.895855334511324"/>
    <n v="44.895855334511324"/>
    <n v="44.895855334511324"/>
    <n v="0.93"/>
    <n v="0.93"/>
    <n v="0.93"/>
    <n v="0.93"/>
    <n v="0"/>
    <n v="0"/>
    <n v="0"/>
    <n v="0"/>
    <n v="0"/>
    <n v="0.93"/>
    <n v="0.93"/>
    <n v="0.93"/>
    <n v="0.93"/>
    <n v="0.93"/>
    <n v="0.93"/>
    <n v="0.93"/>
    <n v="0.93"/>
    <m/>
    <m/>
    <n v="44.895855334511324"/>
    <m/>
    <n v="0"/>
    <n v="0"/>
    <m/>
    <m/>
    <n v="44.895855334511324"/>
    <s v="n/a"/>
    <n v="0"/>
    <n v="0"/>
    <n v="0"/>
    <m/>
    <m/>
    <n v="44.895855334511324"/>
    <m/>
    <n v="0"/>
    <n v="0"/>
    <m/>
    <m/>
    <n v="44.895855334511324"/>
    <m/>
    <n v="0"/>
    <n v="0"/>
    <n v="0"/>
    <n v="0"/>
    <n v="0"/>
    <n v="0"/>
    <n v="0"/>
    <s v="NA"/>
    <m/>
  </r>
  <r>
    <s v="NSG"/>
    <x v="5"/>
    <s v="Small/Mid-Size Business"/>
    <s v="Rebates"/>
    <x v="4"/>
    <s v="Steam X-Large Fitting"/>
    <s v="CI"/>
    <x v="3"/>
    <s v="&quot;3 - Pipe Insulation&quot; worksheet"/>
    <s v="each"/>
    <n v="0"/>
    <n v="0"/>
    <n v="0"/>
    <n v="0"/>
    <n v="0"/>
    <m/>
    <n v="80.577400496643122"/>
    <n v="80.577400496643122"/>
    <n v="80.577400496643122"/>
    <n v="80.577400496643122"/>
    <n v="0.93"/>
    <n v="0.93"/>
    <n v="0.93"/>
    <n v="0.93"/>
    <n v="0"/>
    <n v="0"/>
    <n v="0"/>
    <n v="0"/>
    <n v="0"/>
    <n v="0.93"/>
    <n v="0.93"/>
    <n v="0.93"/>
    <n v="0.93"/>
    <n v="0.93"/>
    <n v="0.93"/>
    <n v="0.93"/>
    <n v="0.93"/>
    <m/>
    <m/>
    <n v="80.577400496643122"/>
    <m/>
    <n v="0"/>
    <n v="0"/>
    <m/>
    <m/>
    <n v="80.577400496643122"/>
    <s v="n/a"/>
    <n v="0"/>
    <n v="0"/>
    <n v="0"/>
    <m/>
    <m/>
    <n v="80.577400496643122"/>
    <m/>
    <n v="0"/>
    <n v="0"/>
    <m/>
    <m/>
    <n v="80.577400496643122"/>
    <m/>
    <n v="0"/>
    <n v="0"/>
    <n v="0"/>
    <n v="0"/>
    <n v="0"/>
    <n v="0"/>
    <n v="0"/>
    <s v="NA"/>
    <m/>
  </r>
  <r>
    <s v="NSG"/>
    <x v="5"/>
    <s v="Small/Mid-Size Business"/>
    <s v="Rebates"/>
    <x v="4"/>
    <s v="Steam Med Valve"/>
    <s v="CI"/>
    <x v="3"/>
    <s v="&quot;3 - Pipe Insulation&quot; worksheet"/>
    <s v="each"/>
    <n v="0"/>
    <n v="0"/>
    <n v="0"/>
    <n v="0"/>
    <n v="0"/>
    <m/>
    <n v="49.002251273013741"/>
    <n v="49.002251273013741"/>
    <n v="49.002251273013741"/>
    <n v="49.002251273013741"/>
    <n v="0.93"/>
    <n v="0.93"/>
    <n v="0.93"/>
    <n v="0.93"/>
    <n v="0"/>
    <n v="0"/>
    <n v="0"/>
    <n v="0"/>
    <n v="0"/>
    <n v="0.93"/>
    <n v="0.93"/>
    <n v="0.93"/>
    <n v="0.93"/>
    <n v="0.93"/>
    <n v="0.93"/>
    <n v="0.93"/>
    <n v="0.93"/>
    <m/>
    <m/>
    <n v="49.002251273013741"/>
    <m/>
    <n v="0"/>
    <n v="0"/>
    <m/>
    <m/>
    <n v="49.002251273013741"/>
    <s v="n/a"/>
    <n v="0"/>
    <n v="0"/>
    <n v="0"/>
    <m/>
    <m/>
    <n v="49.002251273013741"/>
    <m/>
    <n v="0"/>
    <n v="0"/>
    <m/>
    <m/>
    <n v="49.002251273013741"/>
    <m/>
    <n v="0"/>
    <n v="0"/>
    <n v="0"/>
    <n v="0"/>
    <n v="0"/>
    <n v="0"/>
    <n v="0"/>
    <s v="NA"/>
    <m/>
  </r>
  <r>
    <s v="NSG"/>
    <x v="5"/>
    <s v="Small/Mid-Size Business"/>
    <s v="Rebates"/>
    <x v="4"/>
    <s v="Steam Large Valve"/>
    <s v="CI"/>
    <x v="3"/>
    <s v="&quot;3 - Pipe Insulation&quot; worksheet"/>
    <s v="each"/>
    <n v="0"/>
    <n v="0"/>
    <n v="0"/>
    <n v="0"/>
    <n v="0"/>
    <m/>
    <n v="107.52607289087437"/>
    <n v="107.52607289087437"/>
    <n v="107.52607289087437"/>
    <n v="107.52607289087437"/>
    <n v="0.93"/>
    <n v="0.93"/>
    <n v="0.93"/>
    <n v="0.93"/>
    <n v="0"/>
    <n v="0"/>
    <n v="0"/>
    <n v="0"/>
    <n v="0"/>
    <n v="0.93"/>
    <n v="0.93"/>
    <n v="0.93"/>
    <n v="0.93"/>
    <n v="0.93"/>
    <n v="0.93"/>
    <n v="0.93"/>
    <n v="0.93"/>
    <m/>
    <m/>
    <n v="107.52607289087437"/>
    <m/>
    <n v="0"/>
    <n v="0"/>
    <m/>
    <m/>
    <n v="107.52607289087437"/>
    <s v="n/a"/>
    <n v="0"/>
    <n v="0"/>
    <n v="0"/>
    <m/>
    <m/>
    <n v="107.52607289087437"/>
    <m/>
    <n v="0"/>
    <n v="0"/>
    <m/>
    <m/>
    <n v="107.52607289087437"/>
    <m/>
    <n v="0"/>
    <n v="0"/>
    <n v="0"/>
    <n v="0"/>
    <n v="0"/>
    <n v="0"/>
    <n v="0"/>
    <s v="NA"/>
    <m/>
  </r>
  <r>
    <s v="NSG"/>
    <x v="5"/>
    <s v="Small/Mid-Size Business"/>
    <s v="Rebates"/>
    <x v="4"/>
    <s v="Steam X-Large Valve"/>
    <s v="CI"/>
    <x v="3"/>
    <s v="&quot;3 - Pipe Insulation&quot; worksheet"/>
    <s v="each"/>
    <n v="0"/>
    <n v="0"/>
    <n v="0"/>
    <n v="0"/>
    <n v="0"/>
    <m/>
    <n v="175.06254164158375"/>
    <n v="175.06254164158375"/>
    <n v="175.06254164158375"/>
    <n v="175.06254164158375"/>
    <n v="0.93"/>
    <n v="0.93"/>
    <n v="0.93"/>
    <n v="0.93"/>
    <n v="0"/>
    <n v="0"/>
    <n v="0"/>
    <n v="0"/>
    <n v="0"/>
    <n v="0.93"/>
    <n v="0.93"/>
    <n v="0.93"/>
    <n v="0.93"/>
    <n v="0.93"/>
    <n v="0.93"/>
    <n v="0.93"/>
    <n v="0.93"/>
    <m/>
    <m/>
    <n v="175.06254164158375"/>
    <m/>
    <n v="0"/>
    <n v="0"/>
    <m/>
    <m/>
    <n v="175.06254164158375"/>
    <s v="n/a"/>
    <n v="0"/>
    <n v="0"/>
    <n v="0"/>
    <m/>
    <m/>
    <n v="175.06254164158375"/>
    <m/>
    <n v="0"/>
    <n v="0"/>
    <m/>
    <m/>
    <n v="175.06254164158375"/>
    <m/>
    <n v="0"/>
    <n v="0"/>
    <n v="0"/>
    <n v="0"/>
    <n v="0"/>
    <n v="0"/>
    <n v="0"/>
    <s v="NA"/>
    <m/>
  </r>
  <r>
    <s v="NSG"/>
    <x v="5"/>
    <s v="Small/Mid-Size Business"/>
    <s v="Rebates"/>
    <x v="10"/>
    <n v="0"/>
    <s v="SMB"/>
    <x v="3"/>
    <s v="4.2.11"/>
    <s v="each"/>
    <n v="0"/>
    <n v="0"/>
    <n v="0"/>
    <n v="0"/>
    <s v="CI-FSE-CVOV-V02-180101"/>
    <m/>
    <n v="117.88882560000002"/>
    <n v="117.88882560000002"/>
    <n v="117.88882560000002"/>
    <n v="117.88882560000002"/>
    <n v="0.93"/>
    <n v="0.93"/>
    <n v="0.93"/>
    <n v="0.93"/>
    <n v="0"/>
    <n v="0"/>
    <n v="0"/>
    <n v="0"/>
    <n v="0"/>
    <n v="0.93"/>
    <n v="0.93"/>
    <n v="0.93"/>
    <n v="0.93"/>
    <n v="0.93"/>
    <n v="0.93"/>
    <n v="0.93"/>
    <n v="0.93"/>
    <m/>
    <m/>
    <n v="117.88882560000002"/>
    <m/>
    <n v="0"/>
    <n v="0"/>
    <m/>
    <m/>
    <n v="117.88882560000002"/>
    <s v="n/a"/>
    <n v="0"/>
    <n v="0"/>
    <n v="0"/>
    <m/>
    <m/>
    <n v="117.88882560000002"/>
    <m/>
    <n v="0"/>
    <n v="0"/>
    <m/>
    <m/>
    <n v="117.88882560000002"/>
    <m/>
    <n v="0"/>
    <n v="0"/>
    <n v="0"/>
    <n v="0"/>
    <n v="0"/>
    <n v="0"/>
    <n v="0"/>
    <s v="NA"/>
    <m/>
  </r>
  <r>
    <s v="NSG"/>
    <x v="5"/>
    <s v="Small/Mid-Size Business"/>
    <s v="Rebates"/>
    <x v="41"/>
    <s v="Dry Cleaner/Industrial - No Audit"/>
    <s v="MF/CI/SMB"/>
    <x v="3"/>
    <s v="4.4.16"/>
    <s v="each"/>
    <n v="0"/>
    <n v="0"/>
    <n v="0"/>
    <n v="0"/>
    <s v="CI-HVC-STRE-V09-230101"/>
    <m/>
    <n v="174.96360308617389"/>
    <n v="174.96360308617389"/>
    <n v="174.96360308617389"/>
    <n v="174.96360308617389"/>
    <n v="0.93"/>
    <n v="0.93"/>
    <n v="0.93"/>
    <n v="0.93"/>
    <n v="0"/>
    <n v="0"/>
    <n v="0"/>
    <n v="0"/>
    <n v="0"/>
    <n v="0.93"/>
    <n v="0.93"/>
    <n v="0.93"/>
    <n v="0.93"/>
    <n v="0.93"/>
    <n v="0.93"/>
    <n v="0.93"/>
    <n v="0.93"/>
    <m/>
    <m/>
    <n v="174.96360308617389"/>
    <m/>
    <n v="0"/>
    <n v="0"/>
    <m/>
    <m/>
    <n v="174.96360308617389"/>
    <s v="Updated inputs for Commercial LPS Space Heating and Industrial/Process Low Pressure"/>
    <n v="0"/>
    <n v="0"/>
    <n v="0"/>
    <m/>
    <m/>
    <n v="174.96360308617389"/>
    <m/>
    <n v="0"/>
    <n v="0"/>
    <m/>
    <m/>
    <n v="174.96360308617389"/>
    <m/>
    <n v="0"/>
    <n v="0"/>
    <n v="0"/>
    <n v="0"/>
    <n v="0"/>
    <n v="0"/>
    <n v="0"/>
    <s v="NA"/>
    <m/>
  </r>
  <r>
    <s v="NSG"/>
    <x v="5"/>
    <s v="Small/Mid-Size Business"/>
    <s v="Rebates"/>
    <x v="41"/>
    <s v="Dry Cleaner/Industrial - Audit"/>
    <s v="MF/CI/SMB"/>
    <x v="3"/>
    <s v="4.4.16"/>
    <s v="each"/>
    <n v="0"/>
    <n v="0"/>
    <n v="0"/>
    <n v="0"/>
    <s v="CI-HVC-STRE-V09-230101"/>
    <m/>
    <n v="648.01334476360694"/>
    <n v="648.01334476360694"/>
    <n v="648.01334476360694"/>
    <n v="648.01334476360694"/>
    <n v="0.93"/>
    <n v="0.93"/>
    <n v="0.93"/>
    <n v="0.93"/>
    <n v="0"/>
    <n v="0"/>
    <n v="0"/>
    <n v="0"/>
    <n v="0"/>
    <n v="0.93"/>
    <n v="0.93"/>
    <n v="0.93"/>
    <n v="0.93"/>
    <n v="0.93"/>
    <n v="0.93"/>
    <n v="0.93"/>
    <n v="0.93"/>
    <m/>
    <m/>
    <n v="648.01334476360694"/>
    <m/>
    <n v="0"/>
    <n v="0"/>
    <m/>
    <m/>
    <n v="648.01334476360694"/>
    <s v="Updated inputs for Commercial LPS Space Heating and Industrial/Process Low Pressure"/>
    <n v="0"/>
    <n v="0"/>
    <n v="0"/>
    <m/>
    <m/>
    <n v="648.01334476360694"/>
    <m/>
    <n v="0"/>
    <n v="0"/>
    <m/>
    <m/>
    <n v="648.01334476360694"/>
    <m/>
    <n v="0"/>
    <n v="0"/>
    <n v="0"/>
    <n v="0"/>
    <n v="0"/>
    <n v="0"/>
    <n v="0"/>
    <s v="NA"/>
    <m/>
  </r>
  <r>
    <s v="NSG"/>
    <x v="5"/>
    <s v="Small/Mid-Size Business"/>
    <s v="Rebates"/>
    <x v="41"/>
    <s v="HVAC Repair/Rep - Audit"/>
    <s v="CI"/>
    <x v="3"/>
    <s v="4.4.16"/>
    <s v="each"/>
    <n v="0"/>
    <n v="0"/>
    <n v="0"/>
    <n v="0"/>
    <s v="CI-HVC-STRE-V09-230101"/>
    <m/>
    <n v="383.76733095846322"/>
    <n v="383.76733095846322"/>
    <n v="383.76733095846322"/>
    <n v="383.76733095846322"/>
    <n v="0.93"/>
    <n v="0.93"/>
    <n v="0.93"/>
    <n v="0.93"/>
    <n v="0"/>
    <n v="0"/>
    <n v="0"/>
    <n v="0"/>
    <n v="0"/>
    <n v="0.93"/>
    <n v="0.93"/>
    <n v="0.93"/>
    <n v="0.93"/>
    <n v="0.93"/>
    <n v="0.93"/>
    <n v="0.93"/>
    <n v="0.93"/>
    <m/>
    <m/>
    <n v="383.76733095846322"/>
    <m/>
    <n v="0"/>
    <n v="0"/>
    <m/>
    <m/>
    <n v="779.98158821323193"/>
    <s v="Updated inputs for Commercial LPS Space Heating and Industrial/Process Low Pressure"/>
    <n v="0"/>
    <n v="0"/>
    <n v="0"/>
    <m/>
    <m/>
    <n v="779.98158821323193"/>
    <m/>
    <n v="0"/>
    <n v="0"/>
    <m/>
    <m/>
    <n v="779.98158821323193"/>
    <m/>
    <n v="0"/>
    <n v="0"/>
    <n v="0"/>
    <n v="0"/>
    <n v="0"/>
    <n v="0"/>
    <n v="0"/>
    <s v="NA"/>
    <m/>
  </r>
  <r>
    <s v="NSG"/>
    <x v="5"/>
    <s v="Small/Mid-Size Business"/>
    <s v="Rebates"/>
    <x v="41"/>
    <s v="HVAC Repair/Rep - No Audit"/>
    <s v="CI"/>
    <x v="3"/>
    <s v="4.4.16"/>
    <s v="each"/>
    <n v="0"/>
    <n v="0"/>
    <n v="0"/>
    <n v="0"/>
    <s v="CI-HVC-STRE-V09-230101"/>
    <m/>
    <n v="103.61717935878508"/>
    <n v="103.61717935878508"/>
    <n v="103.61717935878508"/>
    <n v="103.61717935878508"/>
    <n v="0.93"/>
    <n v="0.93"/>
    <n v="0.93"/>
    <n v="0.93"/>
    <n v="0"/>
    <n v="0"/>
    <n v="0"/>
    <n v="0"/>
    <n v="0"/>
    <n v="0.93"/>
    <n v="0.93"/>
    <n v="0.93"/>
    <n v="0.93"/>
    <n v="0.93"/>
    <n v="0.93"/>
    <n v="0.93"/>
    <n v="0.93"/>
    <m/>
    <m/>
    <n v="103.61717935878508"/>
    <m/>
    <n v="0"/>
    <n v="0"/>
    <m/>
    <m/>
    <n v="210.59502881757265"/>
    <s v="Updated inputs for Commercial LPS Space Heating and Industrial/Process Low Pressure"/>
    <n v="0"/>
    <n v="0"/>
    <n v="0"/>
    <m/>
    <m/>
    <n v="210.59502881757265"/>
    <m/>
    <n v="0"/>
    <n v="0"/>
    <m/>
    <m/>
    <n v="210.59502881757265"/>
    <m/>
    <n v="0"/>
    <n v="0"/>
    <n v="0"/>
    <n v="0"/>
    <n v="0"/>
    <n v="0"/>
    <n v="0"/>
    <s v="NA"/>
    <m/>
  </r>
  <r>
    <s v="NSG"/>
    <x v="5"/>
    <s v="Small/Mid-Size Business"/>
    <s v="Rebates"/>
    <x v="41"/>
    <s v="Industrial/Process Audit - psig ≤ 15"/>
    <s v="CI/SMB"/>
    <x v="3"/>
    <s v="4.4.16"/>
    <s v="each"/>
    <n v="0"/>
    <n v="0"/>
    <n v="0"/>
    <n v="0"/>
    <s v="CI-HVC-STRE-V09-230101"/>
    <m/>
    <n v="788.87094440257943"/>
    <n v="788.87094440257943"/>
    <n v="788.87094440257943"/>
    <n v="788.87094440257943"/>
    <n v="0.93"/>
    <n v="0.93"/>
    <n v="0.93"/>
    <n v="0.93"/>
    <n v="0"/>
    <n v="0"/>
    <n v="0"/>
    <n v="0"/>
    <n v="0"/>
    <n v="0.93"/>
    <n v="0.93"/>
    <n v="0.93"/>
    <n v="0.93"/>
    <n v="0.93"/>
    <n v="0.93"/>
    <n v="0.93"/>
    <n v="0.93"/>
    <m/>
    <m/>
    <n v="788.87094440257943"/>
    <m/>
    <n v="0"/>
    <n v="0"/>
    <m/>
    <m/>
    <n v="1603.3277521921041"/>
    <s v="Updated inputs for Commercial LPS Space Heating and Industrial/Process Low Pressure"/>
    <n v="0"/>
    <n v="0"/>
    <n v="0"/>
    <m/>
    <m/>
    <n v="1603.3277521921041"/>
    <m/>
    <n v="0"/>
    <n v="0"/>
    <m/>
    <m/>
    <n v="1603.3277521921041"/>
    <m/>
    <n v="0"/>
    <n v="0"/>
    <n v="0"/>
    <n v="0"/>
    <n v="0"/>
    <n v="0"/>
    <n v="0"/>
    <s v="NA"/>
    <m/>
  </r>
  <r>
    <s v="NSG"/>
    <x v="5"/>
    <s v="Small/Mid-Size Business"/>
    <s v="Rebates"/>
    <x v="41"/>
    <s v="Industrial/Process Audit - 15 &lt; psig &lt; 30"/>
    <s v="CI/SMB"/>
    <x v="3"/>
    <s v="4.4.16"/>
    <s v="each"/>
    <n v="0"/>
    <n v="0"/>
    <n v="0"/>
    <n v="0"/>
    <s v="CI-HVC-STRE-V09-230101"/>
    <m/>
    <n v="758.17043213559668"/>
    <n v="758.17043213559668"/>
    <n v="758.17043213559668"/>
    <n v="758.17043213559668"/>
    <n v="0.93"/>
    <n v="0.93"/>
    <n v="0.93"/>
    <n v="0.93"/>
    <n v="0"/>
    <n v="0"/>
    <n v="0"/>
    <n v="0"/>
    <n v="0"/>
    <n v="0.93"/>
    <n v="0.93"/>
    <n v="0.93"/>
    <n v="0.93"/>
    <n v="0.93"/>
    <n v="0.93"/>
    <n v="0.93"/>
    <n v="0.93"/>
    <m/>
    <m/>
    <n v="758.17043213559668"/>
    <m/>
    <n v="0"/>
    <n v="0"/>
    <m/>
    <m/>
    <n v="758.17043213559668"/>
    <s v="Updated inputs for Commercial LPS Space Heating and Industrial/Process Low Pressure"/>
    <n v="0"/>
    <n v="0"/>
    <n v="0"/>
    <m/>
    <m/>
    <n v="758.17043213559668"/>
    <m/>
    <n v="0"/>
    <n v="0"/>
    <m/>
    <m/>
    <n v="758.17043213559668"/>
    <m/>
    <n v="0"/>
    <n v="0"/>
    <n v="0"/>
    <n v="0"/>
    <n v="0"/>
    <n v="0"/>
    <n v="0"/>
    <s v="NA"/>
    <m/>
  </r>
  <r>
    <s v="NSG"/>
    <x v="5"/>
    <s v="Small/Mid-Size Business"/>
    <s v="Rebates"/>
    <x v="41"/>
    <s v="Industrial/Process Audit - 30 ≤ psig &lt; 75"/>
    <s v="CI/SMB"/>
    <x v="3"/>
    <s v="4.4.16"/>
    <s v="each"/>
    <n v="0"/>
    <n v="0"/>
    <n v="0"/>
    <n v="0"/>
    <s v="CI-HVC-STRE-V09-230101"/>
    <m/>
    <n v="2777.6636840634392"/>
    <n v="2777.6636840634392"/>
    <n v="2777.6636840634392"/>
    <n v="2777.6636840634392"/>
    <n v="0.93"/>
    <n v="0.93"/>
    <n v="0.93"/>
    <n v="0.93"/>
    <n v="0"/>
    <n v="0"/>
    <n v="0"/>
    <n v="0"/>
    <n v="0"/>
    <n v="0.93"/>
    <n v="0.93"/>
    <n v="0.93"/>
    <n v="0.93"/>
    <n v="0.93"/>
    <n v="0.93"/>
    <n v="0.93"/>
    <n v="0.93"/>
    <m/>
    <m/>
    <n v="2777.6636840634392"/>
    <m/>
    <n v="0"/>
    <n v="0"/>
    <m/>
    <m/>
    <n v="2777.6636840634392"/>
    <s v="Updated inputs for Commercial LPS Space Heating and Industrial/Process Low Pressure"/>
    <n v="0"/>
    <n v="0"/>
    <n v="0"/>
    <m/>
    <m/>
    <n v="2777.6636840634392"/>
    <m/>
    <n v="0"/>
    <n v="0"/>
    <m/>
    <m/>
    <n v="2777.6636840634392"/>
    <m/>
    <n v="0"/>
    <n v="0"/>
    <n v="0"/>
    <n v="0"/>
    <n v="0"/>
    <n v="0"/>
    <n v="0"/>
    <s v="NA"/>
    <m/>
  </r>
  <r>
    <s v="NSG"/>
    <x v="5"/>
    <s v="Small/Mid-Size Business"/>
    <s v="Rebates"/>
    <x v="41"/>
    <s v="Industrial/Process Audit - 75 ≤ psig &lt; 125"/>
    <s v="CI/SMB"/>
    <x v="3"/>
    <s v="4.4.16"/>
    <s v="each"/>
    <n v="0"/>
    <n v="0"/>
    <n v="0"/>
    <n v="0"/>
    <s v="CI-HVC-STRE-V09-230101"/>
    <m/>
    <n v="5253.732217921608"/>
    <n v="5253.732217921608"/>
    <n v="5253.732217921608"/>
    <n v="5253.732217921608"/>
    <n v="0.93"/>
    <n v="0.93"/>
    <n v="0.93"/>
    <n v="0.93"/>
    <n v="0"/>
    <n v="0"/>
    <n v="0"/>
    <n v="0"/>
    <n v="0"/>
    <n v="0.93"/>
    <n v="0.93"/>
    <n v="0.93"/>
    <n v="0.93"/>
    <n v="0.93"/>
    <n v="0.93"/>
    <n v="0.93"/>
    <n v="0.93"/>
    <m/>
    <m/>
    <n v="5253.732217921608"/>
    <m/>
    <n v="0"/>
    <n v="0"/>
    <m/>
    <m/>
    <n v="5253.732217921608"/>
    <s v="Updated inputs for Commercial LPS Space Heating and Industrial/Process Low Pressure"/>
    <n v="0"/>
    <n v="0"/>
    <n v="0"/>
    <m/>
    <m/>
    <n v="5253.732217921608"/>
    <m/>
    <n v="0"/>
    <n v="0"/>
    <m/>
    <m/>
    <n v="5253.732217921608"/>
    <m/>
    <n v="0"/>
    <n v="0"/>
    <n v="0"/>
    <n v="0"/>
    <n v="0"/>
    <n v="0"/>
    <n v="0"/>
    <s v="NA"/>
    <m/>
  </r>
  <r>
    <s v="NSG"/>
    <x v="5"/>
    <s v="Small/Mid-Size Business"/>
    <s v="Rebates"/>
    <x v="41"/>
    <s v="Industrial/Process Audit - 125 ≤ psig &lt; 175"/>
    <s v="CI/SMB"/>
    <x v="3"/>
    <s v="4.4.16"/>
    <s v="each"/>
    <n v="0"/>
    <n v="0"/>
    <n v="0"/>
    <n v="0"/>
    <s v="CI-HVC-STRE-V09-230101"/>
    <m/>
    <n v="7334.7468920022948"/>
    <n v="7334.7468920022948"/>
    <n v="7334.7468920022948"/>
    <n v="7334.7468920022948"/>
    <n v="0.93"/>
    <n v="0.93"/>
    <n v="0.93"/>
    <n v="0.93"/>
    <n v="0"/>
    <n v="0"/>
    <n v="0"/>
    <n v="0"/>
    <n v="0"/>
    <n v="0.93"/>
    <n v="0.93"/>
    <n v="0.93"/>
    <n v="0.93"/>
    <n v="0.93"/>
    <n v="0.93"/>
    <n v="0.93"/>
    <n v="0.93"/>
    <m/>
    <m/>
    <n v="7334.7468920022948"/>
    <m/>
    <n v="0"/>
    <n v="0"/>
    <m/>
    <m/>
    <n v="7334.7468920022948"/>
    <s v="Updated inputs for Commercial LPS Space Heating and Industrial/Process Low Pressure"/>
    <n v="0"/>
    <n v="0"/>
    <n v="0"/>
    <m/>
    <m/>
    <n v="7334.7468920022948"/>
    <m/>
    <n v="0"/>
    <n v="0"/>
    <m/>
    <m/>
    <n v="7334.7468920022948"/>
    <m/>
    <n v="0"/>
    <n v="0"/>
    <n v="0"/>
    <n v="0"/>
    <n v="0"/>
    <n v="0"/>
    <n v="0"/>
    <s v="NA"/>
    <m/>
  </r>
  <r>
    <s v="NSG"/>
    <x v="5"/>
    <s v="Small/Mid-Size Business"/>
    <s v="Rebates"/>
    <x v="41"/>
    <s v="Industrial/Process Audit - 175 ≤ psig &lt; 250"/>
    <s v="CI/SMB"/>
    <x v="3"/>
    <s v="4.4.16"/>
    <s v="each"/>
    <n v="0"/>
    <n v="0"/>
    <n v="0"/>
    <n v="0"/>
    <s v="CI-HVC-STRE-V09-230101"/>
    <m/>
    <n v="9906.4466256306805"/>
    <n v="9906.4466256306805"/>
    <n v="9906.4466256306805"/>
    <n v="9906.4466256306805"/>
    <n v="0.93"/>
    <n v="0.93"/>
    <n v="0.93"/>
    <n v="0.93"/>
    <n v="0"/>
    <n v="0"/>
    <n v="0"/>
    <n v="0"/>
    <n v="0"/>
    <n v="0.93"/>
    <n v="0.93"/>
    <n v="0.93"/>
    <n v="0.93"/>
    <n v="0.93"/>
    <n v="0.93"/>
    <n v="0.93"/>
    <n v="0.93"/>
    <m/>
    <m/>
    <n v="9906.4466256306805"/>
    <m/>
    <n v="0"/>
    <n v="0"/>
    <m/>
    <m/>
    <n v="9906.4466256306805"/>
    <s v="Updated inputs for Commercial LPS Space Heating and Industrial/Process Low Pressure"/>
    <n v="0"/>
    <n v="0"/>
    <n v="0"/>
    <m/>
    <m/>
    <n v="9906.4466256306805"/>
    <m/>
    <n v="0"/>
    <n v="0"/>
    <m/>
    <m/>
    <n v="9906.4466256306805"/>
    <m/>
    <n v="0"/>
    <n v="0"/>
    <n v="0"/>
    <n v="0"/>
    <n v="0"/>
    <n v="0"/>
    <n v="0"/>
    <s v="NA"/>
    <m/>
  </r>
  <r>
    <s v="NSG"/>
    <x v="5"/>
    <s v="Small/Mid-Size Business"/>
    <s v="Rebates"/>
    <x v="41"/>
    <s v="Industrial/Process Audit - 250 ≤ psig"/>
    <s v="CI/SMB"/>
    <x v="3"/>
    <s v="4.4.16"/>
    <s v="each"/>
    <n v="0"/>
    <n v="0"/>
    <n v="0"/>
    <n v="0"/>
    <s v="CI-HVC-STRE-V09-230101"/>
    <m/>
    <n v="12689.405899537758"/>
    <n v="12689.405899537758"/>
    <n v="12689.405899537758"/>
    <n v="12689.405899537758"/>
    <n v="0.93"/>
    <n v="0.93"/>
    <n v="0.93"/>
    <n v="0.93"/>
    <n v="0"/>
    <n v="0"/>
    <n v="0"/>
    <n v="0"/>
    <n v="0"/>
    <n v="0.93"/>
    <n v="0.93"/>
    <n v="0.93"/>
    <n v="0.93"/>
    <n v="0.93"/>
    <n v="0.93"/>
    <n v="0.93"/>
    <n v="0.93"/>
    <m/>
    <m/>
    <n v="12689.405899537758"/>
    <m/>
    <n v="0"/>
    <n v="0"/>
    <m/>
    <m/>
    <n v="12689.405899537758"/>
    <s v="Updated inputs for Commercial LPS Space Heating and Industrial/Process Low Pressure"/>
    <n v="0"/>
    <n v="0"/>
    <n v="0"/>
    <m/>
    <m/>
    <n v="12689.405899537758"/>
    <m/>
    <n v="0"/>
    <n v="0"/>
    <m/>
    <m/>
    <n v="12689.405899537758"/>
    <m/>
    <n v="0"/>
    <n v="0"/>
    <n v="0"/>
    <n v="0"/>
    <n v="0"/>
    <n v="0"/>
    <n v="0"/>
    <s v="NA"/>
    <m/>
  </r>
  <r>
    <s v="NSG"/>
    <x v="5"/>
    <s v="Small/Mid-Size Business"/>
    <s v="Rebates"/>
    <x v="41"/>
    <s v="Test"/>
    <s v="CI"/>
    <x v="3"/>
    <n v="0"/>
    <s v="each"/>
    <n v="0"/>
    <n v="0"/>
    <n v="0"/>
    <n v="0"/>
    <n v="0"/>
    <m/>
    <n v="0"/>
    <n v="0"/>
    <n v="0"/>
    <n v="0"/>
    <n v="0.93"/>
    <n v="0.93"/>
    <n v="0.93"/>
    <n v="0.93"/>
    <n v="0"/>
    <n v="0"/>
    <n v="0"/>
    <n v="0"/>
    <n v="0"/>
    <n v="0.93"/>
    <n v="0.93"/>
    <n v="0.93"/>
    <n v="0.93"/>
    <n v="0.93"/>
    <n v="0.93"/>
    <n v="0.93"/>
    <n v="0.93"/>
    <m/>
    <m/>
    <n v="0"/>
    <m/>
    <n v="0"/>
    <n v="0"/>
    <m/>
    <m/>
    <n v="0"/>
    <s v="n/a"/>
    <n v="0"/>
    <n v="0"/>
    <n v="0"/>
    <m/>
    <m/>
    <n v="0"/>
    <m/>
    <n v="0"/>
    <n v="0"/>
    <m/>
    <m/>
    <n v="0"/>
    <m/>
    <n v="0"/>
    <n v="0"/>
    <n v="0"/>
    <n v="0"/>
    <n v="0"/>
    <n v="0"/>
    <n v="0"/>
    <s v="NA"/>
    <m/>
  </r>
  <r>
    <s v="NSG"/>
    <x v="5"/>
    <s v="Small/Mid-Size Business"/>
    <s v="Rebates"/>
    <x v="12"/>
    <s v="Storage 88% TE ≥75MBh"/>
    <s v="CI"/>
    <x v="3"/>
    <s v="4.3.1"/>
    <s v="each"/>
    <n v="0"/>
    <n v="0"/>
    <n v="0"/>
    <n v="0"/>
    <s v="CI-HWE-STWH-V09-230101"/>
    <m/>
    <n v="135.66827090062347"/>
    <n v="135.66827090062347"/>
    <n v="135.66827090062347"/>
    <n v="135.66827090062347"/>
    <n v="0.93"/>
    <n v="0.93"/>
    <n v="0.93"/>
    <n v="0.93"/>
    <n v="0"/>
    <n v="0"/>
    <n v="0"/>
    <n v="0"/>
    <n v="0"/>
    <n v="0.93"/>
    <n v="0.93"/>
    <n v="0.93"/>
    <n v="0.93"/>
    <n v="0.93"/>
    <n v="0.93"/>
    <n v="0.93"/>
    <n v="0.93"/>
    <m/>
    <m/>
    <n v="139.65886152562348"/>
    <m/>
    <n v="0"/>
    <n v="0"/>
    <m/>
    <m/>
    <n v="139.65886152562348"/>
    <s v="n/a"/>
    <n v="0"/>
    <n v="0"/>
    <n v="0"/>
    <m/>
    <m/>
    <n v="139.65886152562348"/>
    <m/>
    <n v="0"/>
    <n v="0"/>
    <m/>
    <m/>
    <n v="139.65886152562348"/>
    <m/>
    <n v="0"/>
    <n v="0"/>
    <n v="0"/>
    <n v="0"/>
    <n v="0"/>
    <n v="0"/>
    <n v="0"/>
    <s v="NA"/>
    <m/>
  </r>
  <r>
    <s v="NSG"/>
    <x v="5"/>
    <s v="Small/Mid-Size Business"/>
    <s v="Partner Trade Ally Rebate"/>
    <x v="34"/>
    <n v="0"/>
    <s v="CI"/>
    <x v="3"/>
    <s v="4.4.4"/>
    <s v="MBH"/>
    <n v="0"/>
    <n v="0"/>
    <n v="0"/>
    <n v="0"/>
    <s v="CI-HVC-BLRC-V04-210101"/>
    <m/>
    <n v="1.3424"/>
    <n v="1.3424"/>
    <n v="1.3424"/>
    <n v="1.3424"/>
    <n v="0.93"/>
    <n v="0.93"/>
    <n v="0.93"/>
    <n v="0.93"/>
    <n v="0"/>
    <n v="0"/>
    <n v="0"/>
    <n v="0"/>
    <n v="0"/>
    <n v="0.93"/>
    <n v="0.93"/>
    <n v="0.93"/>
    <n v="0.93"/>
    <n v="0.93"/>
    <n v="0.93"/>
    <n v="0.93"/>
    <n v="0.93"/>
    <m/>
    <m/>
    <n v="1.3424"/>
    <m/>
    <n v="0"/>
    <n v="0"/>
    <m/>
    <m/>
    <n v="1.3424"/>
    <s v="n/a"/>
    <n v="0"/>
    <n v="0"/>
    <n v="0"/>
    <m/>
    <m/>
    <n v="1.3424"/>
    <m/>
    <n v="0"/>
    <n v="0"/>
    <m/>
    <m/>
    <n v="1.3424"/>
    <m/>
    <n v="0"/>
    <n v="0"/>
    <n v="0"/>
    <n v="0"/>
    <n v="0"/>
    <n v="0"/>
    <n v="0"/>
    <s v="NA"/>
    <m/>
  </r>
  <r>
    <s v="NSG"/>
    <x v="5"/>
    <s v="Small/Mid-Size Business"/>
    <s v="Partner Trade Ally Rebate"/>
    <x v="70"/>
    <n v="0"/>
    <s v="MF/CI"/>
    <x v="3"/>
    <s v="4.4.5"/>
    <s v="MBH"/>
    <n v="0"/>
    <n v="0"/>
    <n v="0"/>
    <n v="0"/>
    <s v="CI-HVC-CUHT-V03-230101"/>
    <m/>
    <n v="1.7733333333333334"/>
    <n v="1.7733333333333334"/>
    <n v="1.7733333333333334"/>
    <n v="1.7733333333333334"/>
    <n v="0.93"/>
    <n v="0.93"/>
    <n v="0.93"/>
    <n v="0.93"/>
    <n v="0"/>
    <n v="0"/>
    <n v="0"/>
    <n v="0"/>
    <n v="0"/>
    <n v="0.93"/>
    <n v="0.93"/>
    <n v="0.93"/>
    <n v="0.93"/>
    <n v="0.93"/>
    <n v="0.93"/>
    <n v="0.93"/>
    <n v="0.93"/>
    <m/>
    <m/>
    <n v="1.6896527777777772"/>
    <m/>
    <n v="0"/>
    <n v="0"/>
    <m/>
    <m/>
    <n v="1.6896527777777772"/>
    <s v="n/a"/>
    <n v="0"/>
    <n v="0"/>
    <n v="0"/>
    <m/>
    <m/>
    <n v="1.6896527777777772"/>
    <m/>
    <n v="0"/>
    <n v="0"/>
    <m/>
    <m/>
    <n v="1.6896527777777772"/>
    <m/>
    <n v="0"/>
    <n v="0"/>
    <n v="0"/>
    <n v="0"/>
    <n v="0"/>
    <n v="0"/>
    <n v="0"/>
    <s v="NA"/>
    <m/>
  </r>
  <r>
    <s v="NSG"/>
    <x v="5"/>
    <s v="Small/Mid-Size Business"/>
    <s v="Partner Trade Ally Rebate"/>
    <x v="71"/>
    <n v="0"/>
    <s v="MF/CI"/>
    <x v="3"/>
    <s v="4.4.39"/>
    <s v="MBH"/>
    <n v="0"/>
    <n v="0"/>
    <n v="0"/>
    <n v="0"/>
    <s v="CI-HVC-HTHV-V02-230101"/>
    <m/>
    <n v="3.72"/>
    <n v="3.72"/>
    <n v="3.72"/>
    <n v="3.72"/>
    <n v="0.93"/>
    <n v="0.93"/>
    <n v="0.93"/>
    <n v="0.93"/>
    <n v="0"/>
    <n v="0"/>
    <n v="0"/>
    <n v="0"/>
    <n v="0"/>
    <n v="0.93"/>
    <n v="0.93"/>
    <n v="0.93"/>
    <n v="0.93"/>
    <n v="0.93"/>
    <n v="0.93"/>
    <n v="0.93"/>
    <n v="0.93"/>
    <m/>
    <m/>
    <n v="3.72"/>
    <m/>
    <n v="0"/>
    <n v="0"/>
    <m/>
    <m/>
    <n v="3.72"/>
    <s v="n/a"/>
    <n v="0"/>
    <n v="0"/>
    <n v="0"/>
    <m/>
    <m/>
    <n v="3.72"/>
    <m/>
    <n v="0"/>
    <n v="0"/>
    <m/>
    <m/>
    <n v="3.72"/>
    <m/>
    <n v="0"/>
    <n v="0"/>
    <n v="0"/>
    <n v="0"/>
    <n v="0"/>
    <n v="0"/>
    <n v="0"/>
    <s v="NA"/>
    <m/>
  </r>
  <r>
    <s v="NSG"/>
    <x v="5"/>
    <s v="Small/Mid-Size Business"/>
    <s v="Partner Trade Ally Rebate"/>
    <x v="43"/>
    <s v="Hotel/Motel/Hospital"/>
    <s v="CI"/>
    <x v="3"/>
    <s v="4.8.5"/>
    <s v="lb-capacity"/>
    <n v="0"/>
    <n v="0"/>
    <n v="0"/>
    <n v="0"/>
    <s v="CI-MSC-HSCW-V02-210101"/>
    <m/>
    <n v="6.7459391999999996"/>
    <n v="6.7459391999999996"/>
    <n v="6.7459391999999996"/>
    <n v="6.7459391999999996"/>
    <n v="0.93"/>
    <n v="0.93"/>
    <n v="0.93"/>
    <n v="0.93"/>
    <n v="0"/>
    <n v="0"/>
    <n v="0"/>
    <n v="0"/>
    <n v="0"/>
    <n v="0.93"/>
    <n v="0.93"/>
    <n v="0.93"/>
    <n v="0.93"/>
    <n v="0.93"/>
    <n v="0.93"/>
    <n v="0.93"/>
    <n v="0.93"/>
    <m/>
    <m/>
    <n v="6.7459391999999996"/>
    <m/>
    <n v="0"/>
    <n v="0"/>
    <m/>
    <m/>
    <n v="6.7459391999999996"/>
    <s v="n/a"/>
    <n v="0"/>
    <n v="0"/>
    <n v="0"/>
    <m/>
    <m/>
    <n v="6.7459391999999996"/>
    <m/>
    <n v="0"/>
    <n v="0"/>
    <m/>
    <m/>
    <n v="6.7459391999999996"/>
    <m/>
    <n v="0"/>
    <n v="0"/>
    <n v="0"/>
    <n v="0"/>
    <n v="0"/>
    <n v="0"/>
    <n v="0"/>
    <s v="NA"/>
    <m/>
  </r>
  <r>
    <s v="NSG"/>
    <x v="5"/>
    <s v="Small/Mid-Size Business"/>
    <s v="Partner Trade Ally Rebate"/>
    <x v="43"/>
    <s v="Laundromat"/>
    <s v="SMB"/>
    <x v="3"/>
    <s v="4.8.5"/>
    <s v="lb-capacity"/>
    <n v="0"/>
    <n v="0"/>
    <n v="0"/>
    <n v="0"/>
    <s v="CI-MSC-HSCW-V02-210101"/>
    <m/>
    <n v="2.7891864000000002"/>
    <n v="2.7891864000000002"/>
    <n v="2.7891864000000002"/>
    <n v="2.7891864000000002"/>
    <n v="0.93"/>
    <n v="0.93"/>
    <n v="0.93"/>
    <n v="0.93"/>
    <n v="0"/>
    <n v="0"/>
    <n v="0"/>
    <n v="0"/>
    <n v="0"/>
    <n v="0.93"/>
    <n v="0.93"/>
    <n v="0.93"/>
    <n v="0.93"/>
    <n v="0.93"/>
    <n v="0.93"/>
    <n v="0.93"/>
    <n v="0.93"/>
    <m/>
    <m/>
    <n v="2.7891864000000002"/>
    <m/>
    <n v="0"/>
    <n v="0"/>
    <m/>
    <m/>
    <n v="2.7891864000000002"/>
    <s v="n/a"/>
    <n v="0"/>
    <n v="0"/>
    <n v="0"/>
    <m/>
    <m/>
    <n v="2.7891864000000002"/>
    <m/>
    <n v="0"/>
    <n v="0"/>
    <m/>
    <m/>
    <n v="2.7891864000000002"/>
    <m/>
    <n v="0"/>
    <n v="0"/>
    <n v="0"/>
    <n v="0"/>
    <n v="0"/>
    <n v="0"/>
    <n v="0"/>
    <s v="NA"/>
    <m/>
  </r>
  <r>
    <s v="NSG"/>
    <x v="5"/>
    <s v="Small/Mid-Size Business"/>
    <s v="Partner Trade Ally Rebate"/>
    <x v="31"/>
    <n v="0"/>
    <s v="MF/CI/SMB"/>
    <x v="3"/>
    <s v="4.4.19"/>
    <s v="sqft"/>
    <n v="0"/>
    <n v="0"/>
    <n v="0"/>
    <n v="0"/>
    <s v="CI-HVC-DCV-V06-220101"/>
    <m/>
    <n v="6.8000000000000005E-2"/>
    <n v="6.8000000000000005E-2"/>
    <n v="6.8000000000000005E-2"/>
    <n v="6.8000000000000005E-2"/>
    <n v="0.93"/>
    <n v="0.93"/>
    <n v="0.93"/>
    <n v="0.93"/>
    <n v="0"/>
    <n v="0"/>
    <n v="0"/>
    <n v="0"/>
    <n v="0"/>
    <n v="0.93"/>
    <n v="0.93"/>
    <n v="0.93"/>
    <n v="0.93"/>
    <n v="0.93"/>
    <n v="0.93"/>
    <n v="0.93"/>
    <n v="0.93"/>
    <m/>
    <m/>
    <n v="6.8000000000000005E-2"/>
    <m/>
    <n v="0"/>
    <n v="0"/>
    <m/>
    <m/>
    <n v="6.8000000000000005E-2"/>
    <s v="n/a"/>
    <n v="0"/>
    <n v="0"/>
    <n v="0"/>
    <m/>
    <m/>
    <n v="6.8000000000000005E-2"/>
    <m/>
    <n v="0"/>
    <n v="0"/>
    <m/>
    <m/>
    <n v="6.8000000000000005E-2"/>
    <m/>
    <n v="0"/>
    <n v="0"/>
    <n v="0"/>
    <n v="0"/>
    <n v="0"/>
    <n v="0"/>
    <n v="0"/>
    <s v="NA"/>
    <m/>
  </r>
  <r>
    <s v="NSG"/>
    <x v="5"/>
    <s v="Small/Mid-Size Business"/>
    <s v="Partner Trade Ally Rebate"/>
    <x v="66"/>
    <n v="0"/>
    <s v="CI"/>
    <x v="3"/>
    <n v="0"/>
    <s v="each"/>
    <n v="0"/>
    <n v="0"/>
    <n v="0"/>
    <n v="0"/>
    <n v="0"/>
    <m/>
    <n v="234.94825714285713"/>
    <n v="234.94825714285713"/>
    <n v="234.94825714285713"/>
    <n v="234.94825714285713"/>
    <n v="0.93"/>
    <n v="0.93"/>
    <n v="0.93"/>
    <n v="0.93"/>
    <n v="0"/>
    <n v="0"/>
    <n v="0"/>
    <n v="0"/>
    <n v="0"/>
    <n v="0.93"/>
    <n v="0.93"/>
    <n v="0.93"/>
    <n v="0.93"/>
    <n v="0.93"/>
    <n v="0.93"/>
    <n v="0.93"/>
    <n v="0.93"/>
    <m/>
    <m/>
    <n v="234.94825714285713"/>
    <m/>
    <n v="0"/>
    <n v="0"/>
    <m/>
    <m/>
    <n v="234.94825714285713"/>
    <s v="n/a"/>
    <n v="0"/>
    <n v="0"/>
    <n v="0"/>
    <m/>
    <m/>
    <n v="234.94825714285713"/>
    <m/>
    <n v="0"/>
    <n v="0"/>
    <m/>
    <m/>
    <n v="234.94825714285713"/>
    <m/>
    <n v="0"/>
    <n v="0"/>
    <n v="0"/>
    <n v="0"/>
    <n v="0"/>
    <n v="0"/>
    <n v="0"/>
    <s v="NA"/>
    <m/>
  </r>
  <r>
    <s v="NSG"/>
    <x v="5"/>
    <s v="Small/Mid-Size Business"/>
    <s v="Partner Trade Ally Rebate"/>
    <x v="12"/>
    <s v="Central Lodging 88% TE"/>
    <s v="CI"/>
    <x v="3"/>
    <s v="4.3.7"/>
    <s v="MBH"/>
    <n v="0"/>
    <n v="0"/>
    <n v="0"/>
    <n v="0"/>
    <s v="CI-HWE-MDHW-V06-230101"/>
    <m/>
    <n v="9.31628800262075"/>
    <n v="9.31628800262075"/>
    <n v="9.31628800262075"/>
    <n v="9.31628800262075"/>
    <n v="0.93"/>
    <n v="0.93"/>
    <n v="0.93"/>
    <n v="0.93"/>
    <n v="0"/>
    <n v="0"/>
    <n v="0"/>
    <n v="0"/>
    <n v="0"/>
    <n v="0.93"/>
    <n v="0.93"/>
    <n v="0.93"/>
    <n v="0.93"/>
    <n v="0.93"/>
    <n v="0.93"/>
    <n v="0.93"/>
    <n v="0.93"/>
    <m/>
    <m/>
    <n v="9.7379830071207483"/>
    <m/>
    <n v="0"/>
    <n v="0"/>
    <m/>
    <m/>
    <n v="9.7379830071207483"/>
    <s v="n/a"/>
    <n v="0"/>
    <n v="0"/>
    <n v="0"/>
    <m/>
    <m/>
    <n v="9.7379830071207483"/>
    <m/>
    <n v="0"/>
    <n v="0"/>
    <m/>
    <m/>
    <n v="9.7379830071207483"/>
    <m/>
    <n v="0"/>
    <n v="0"/>
    <n v="0"/>
    <n v="0"/>
    <n v="0"/>
    <n v="0"/>
    <n v="0"/>
    <s v="NA"/>
    <m/>
  </r>
  <r>
    <s v="NSG"/>
    <x v="5"/>
    <s v="Small/Mid-Size Business"/>
    <s v="Partner Trade Ally Rebate"/>
    <x v="12"/>
    <s v="Storage 0.67 EF"/>
    <s v="CI"/>
    <x v="3"/>
    <s v="4.3.1"/>
    <s v="each"/>
    <n v="0"/>
    <n v="0"/>
    <n v="0"/>
    <n v="0"/>
    <s v="CI-HWE-STWH-V09-230101"/>
    <m/>
    <n v="56.252452620818083"/>
    <n v="56.252452620818083"/>
    <n v="56.252452620818083"/>
    <n v="56.252452620818083"/>
    <n v="0.93"/>
    <n v="0.93"/>
    <n v="0.93"/>
    <n v="0.93"/>
    <n v="0"/>
    <n v="0"/>
    <n v="0"/>
    <n v="0"/>
    <n v="0"/>
    <n v="0.93"/>
    <n v="0.93"/>
    <n v="0.93"/>
    <n v="0.93"/>
    <n v="0.93"/>
    <n v="0.93"/>
    <n v="0.93"/>
    <n v="0.93"/>
    <m/>
    <m/>
    <n v="58.867003235588506"/>
    <m/>
    <n v="0"/>
    <n v="0"/>
    <m/>
    <m/>
    <n v="58.550513970881049"/>
    <s v="n/a"/>
    <n v="0"/>
    <n v="0"/>
    <n v="0"/>
    <m/>
    <m/>
    <n v="58.550513970881049"/>
    <m/>
    <n v="0"/>
    <n v="0"/>
    <m/>
    <m/>
    <n v="58.550513970881049"/>
    <m/>
    <n v="0"/>
    <n v="0"/>
    <n v="0"/>
    <n v="0"/>
    <n v="0"/>
    <n v="0"/>
    <n v="0"/>
    <s v="NA"/>
    <m/>
  </r>
  <r>
    <s v="NSG"/>
    <x v="5"/>
    <s v="Small/Mid-Size Business"/>
    <s v="Partner Trade Ally Rebate"/>
    <x v="73"/>
    <n v="0"/>
    <s v="MF/CI"/>
    <x v="3"/>
    <s v="4.4.12"/>
    <s v="MBH"/>
    <n v="0"/>
    <n v="0"/>
    <n v="0"/>
    <n v="0"/>
    <s v="CI-HVC-IRHT-V03-230101"/>
    <m/>
    <n v="2.9611764705882351"/>
    <n v="2.9611764705882351"/>
    <n v="2.9611764705882351"/>
    <n v="2.9611764705882351"/>
    <n v="0.93"/>
    <n v="0.93"/>
    <n v="0.93"/>
    <n v="0.93"/>
    <n v="0"/>
    <n v="0"/>
    <n v="0"/>
    <n v="0"/>
    <n v="0"/>
    <n v="0.93"/>
    <n v="0.93"/>
    <n v="0.93"/>
    <n v="0.93"/>
    <n v="0.93"/>
    <n v="0.93"/>
    <n v="0.93"/>
    <n v="0.93"/>
    <m/>
    <m/>
    <n v="2.9611764705882351"/>
    <m/>
    <n v="0"/>
    <n v="0"/>
    <m/>
    <m/>
    <n v="2.9611764705882351"/>
    <s v="n/a"/>
    <n v="0"/>
    <n v="0"/>
    <n v="0"/>
    <m/>
    <m/>
    <n v="2.9611764705882351"/>
    <m/>
    <n v="0"/>
    <n v="0"/>
    <m/>
    <m/>
    <n v="2.9611764705882351"/>
    <m/>
    <n v="0"/>
    <n v="0"/>
    <n v="0"/>
    <n v="0"/>
    <n v="0"/>
    <n v="0"/>
    <n v="0"/>
    <s v="NA"/>
    <m/>
  </r>
  <r>
    <s v="NSG"/>
    <x v="5"/>
    <s v="Small/Mid-Size Business"/>
    <s v="Partner Trade Ally Rebate"/>
    <x v="56"/>
    <s v="Hotels &amp; Hospitals"/>
    <s v="CI"/>
    <x v="3"/>
    <s v="4.8.4"/>
    <s v="each"/>
    <n v="0"/>
    <n v="0"/>
    <n v="0"/>
    <n v="0"/>
    <s v="CI-MSC-MODD-V02-230101"/>
    <m/>
    <n v="649.26"/>
    <n v="649.26"/>
    <n v="649.26"/>
    <n v="649.26"/>
    <n v="0.93"/>
    <n v="0.93"/>
    <n v="0.93"/>
    <n v="0.93"/>
    <n v="0"/>
    <n v="0"/>
    <n v="0"/>
    <n v="0"/>
    <n v="0"/>
    <n v="0.93"/>
    <n v="0.93"/>
    <n v="0.93"/>
    <n v="0.93"/>
    <n v="0.93"/>
    <n v="0.93"/>
    <n v="0.93"/>
    <n v="0.93"/>
    <m/>
    <m/>
    <n v="649.26"/>
    <m/>
    <n v="0"/>
    <n v="0"/>
    <m/>
    <m/>
    <n v="649.26"/>
    <s v="Updated measure lifetime."/>
    <n v="0"/>
    <n v="0"/>
    <n v="0"/>
    <m/>
    <m/>
    <n v="649.26"/>
    <m/>
    <n v="0"/>
    <n v="0"/>
    <m/>
    <m/>
    <n v="649.26"/>
    <m/>
    <n v="0"/>
    <n v="0"/>
    <n v="0"/>
    <n v="0"/>
    <n v="0"/>
    <n v="0"/>
    <n v="0"/>
    <s v="NA"/>
    <m/>
  </r>
  <r>
    <s v="NSG"/>
    <x v="5"/>
    <s v="Small/Mid-Size Business"/>
    <s v="Partner Trade Ally Rebate"/>
    <x v="74"/>
    <n v="0"/>
    <s v="MF/CI"/>
    <x v="3"/>
    <s v="4.3.6"/>
    <s v="lb-capacity"/>
    <n v="0"/>
    <n v="0"/>
    <n v="0"/>
    <n v="0"/>
    <s v="CI-HWE-OZLD-V07-230101"/>
    <m/>
    <n v="30.722664192350027"/>
    <n v="30.722664192350027"/>
    <n v="30.722664192350027"/>
    <n v="30.722664192350027"/>
    <n v="0.93"/>
    <n v="0.93"/>
    <n v="0.93"/>
    <n v="0.93"/>
    <n v="0"/>
    <n v="0"/>
    <n v="0"/>
    <n v="0"/>
    <n v="0"/>
    <n v="0.93"/>
    <n v="0.93"/>
    <n v="0.93"/>
    <n v="0.93"/>
    <n v="0.93"/>
    <n v="0.93"/>
    <n v="0.93"/>
    <n v="0.93"/>
    <m/>
    <m/>
    <n v="30.722664192350027"/>
    <m/>
    <n v="0"/>
    <n v="0"/>
    <m/>
    <m/>
    <n v="30.722664192350027"/>
    <s v="n/a"/>
    <n v="0"/>
    <n v="0"/>
    <n v="0"/>
    <m/>
    <m/>
    <n v="30.722664192350027"/>
    <m/>
    <n v="0"/>
    <n v="0"/>
    <m/>
    <m/>
    <n v="30.722664192350027"/>
    <m/>
    <n v="0"/>
    <n v="0"/>
    <n v="0"/>
    <n v="0"/>
    <n v="0"/>
    <n v="0"/>
    <n v="0"/>
    <s v="NA"/>
    <m/>
  </r>
  <r>
    <s v="NSG"/>
    <x v="5"/>
    <s v="Small/Mid-Size Business"/>
    <s v="Partner Trade Ally Rebate"/>
    <x v="4"/>
    <s v="HW Small 1&quot; to 2&quot;"/>
    <s v="MF/CI/SMB"/>
    <x v="3"/>
    <s v="&quot;3 - Res Pipe Insulation&quot; worksheet"/>
    <s v="ft"/>
    <n v="0"/>
    <n v="0"/>
    <n v="0"/>
    <n v="0"/>
    <n v="0"/>
    <m/>
    <n v="2.6588140926267867"/>
    <n v="2.6588140926267867"/>
    <n v="2.6588140926267867"/>
    <n v="2.6588140926267867"/>
    <n v="0.93"/>
    <n v="0.93"/>
    <n v="0.93"/>
    <n v="0.93"/>
    <n v="0"/>
    <n v="0"/>
    <n v="0"/>
    <n v="0"/>
    <n v="0"/>
    <n v="0.93"/>
    <n v="0.93"/>
    <n v="0.93"/>
    <n v="0.93"/>
    <n v="0.93"/>
    <n v="0.93"/>
    <n v="0.93"/>
    <n v="0.93"/>
    <m/>
    <m/>
    <n v="2.6588140926267867"/>
    <m/>
    <n v="0"/>
    <n v="0"/>
    <m/>
    <m/>
    <n v="2.6588140926267867"/>
    <s v="n/a"/>
    <n v="0"/>
    <n v="0"/>
    <n v="0"/>
    <m/>
    <m/>
    <n v="2.6588140926267867"/>
    <m/>
    <n v="0"/>
    <n v="0"/>
    <m/>
    <m/>
    <n v="2.6588140926267867"/>
    <m/>
    <n v="0"/>
    <n v="0"/>
    <n v="0"/>
    <n v="0"/>
    <n v="0"/>
    <n v="0"/>
    <n v="0"/>
    <s v="NA"/>
    <m/>
  </r>
  <r>
    <s v="NSG"/>
    <x v="5"/>
    <s v="Small/Mid-Size Business"/>
    <s v="Partner Trade Ally Rebate"/>
    <x v="4"/>
    <s v="HW Large &gt;4&quot;"/>
    <s v="MF/CI/SMB"/>
    <x v="3"/>
    <s v="&quot;3 - Res Pipe Insulation&quot; worksheet"/>
    <s v="ft"/>
    <n v="0"/>
    <n v="0"/>
    <n v="0"/>
    <n v="0"/>
    <n v="0"/>
    <m/>
    <n v="9.0407613085908682"/>
    <n v="9.0407613085908682"/>
    <n v="9.0407613085908682"/>
    <n v="9.0407613085908682"/>
    <n v="0.93"/>
    <n v="0.93"/>
    <n v="0.93"/>
    <n v="0.93"/>
    <n v="0"/>
    <n v="0"/>
    <n v="0"/>
    <n v="0"/>
    <n v="0"/>
    <n v="0.93"/>
    <n v="0.93"/>
    <n v="0.93"/>
    <n v="0.93"/>
    <n v="0.93"/>
    <n v="0.93"/>
    <n v="0.93"/>
    <n v="0.93"/>
    <m/>
    <m/>
    <n v="9.0407613085908682"/>
    <m/>
    <n v="0"/>
    <n v="0"/>
    <m/>
    <m/>
    <n v="9.0407613085908682"/>
    <s v="n/a"/>
    <n v="0"/>
    <n v="0"/>
    <n v="0"/>
    <m/>
    <m/>
    <n v="9.0407613085908682"/>
    <m/>
    <n v="0"/>
    <n v="0"/>
    <m/>
    <m/>
    <n v="9.0407613085908682"/>
    <m/>
    <n v="0"/>
    <n v="0"/>
    <n v="0"/>
    <n v="0"/>
    <n v="0"/>
    <n v="0"/>
    <n v="0"/>
    <s v="NA"/>
    <m/>
  </r>
  <r>
    <s v="NSG"/>
    <x v="5"/>
    <s v="Small/Mid-Size Business"/>
    <s v="Partner Trade Ally Rebate"/>
    <x v="4"/>
    <s v="Steam Med Fitting"/>
    <s v="CI"/>
    <x v="3"/>
    <s v="&quot;3 - Pipe Insulation&quot; worksheet"/>
    <s v="each"/>
    <n v="0"/>
    <n v="0"/>
    <n v="0"/>
    <n v="0"/>
    <n v="0"/>
    <m/>
    <n v="16.16754015857342"/>
    <n v="16.16754015857342"/>
    <n v="16.16754015857342"/>
    <n v="16.16754015857342"/>
    <n v="0.93"/>
    <n v="0.93"/>
    <n v="0.93"/>
    <n v="0.93"/>
    <n v="0"/>
    <n v="0"/>
    <n v="0"/>
    <n v="0"/>
    <n v="0"/>
    <n v="0.93"/>
    <n v="0.93"/>
    <n v="0.93"/>
    <n v="0.93"/>
    <n v="0.93"/>
    <n v="0.93"/>
    <n v="0.93"/>
    <n v="0.93"/>
    <m/>
    <m/>
    <n v="16.16754015857342"/>
    <m/>
    <n v="0"/>
    <n v="0"/>
    <m/>
    <m/>
    <n v="16.16754015857342"/>
    <s v="n/a"/>
    <n v="0"/>
    <n v="0"/>
    <n v="0"/>
    <m/>
    <m/>
    <n v="16.16754015857342"/>
    <m/>
    <n v="0"/>
    <n v="0"/>
    <m/>
    <m/>
    <n v="16.16754015857342"/>
    <m/>
    <n v="0"/>
    <n v="0"/>
    <n v="0"/>
    <n v="0"/>
    <n v="0"/>
    <n v="0"/>
    <n v="0"/>
    <s v="NA"/>
    <m/>
  </r>
  <r>
    <s v="NSG"/>
    <x v="5"/>
    <s v="Small/Mid-Size Business"/>
    <s v="Partner Trade Ally Rebate"/>
    <x v="4"/>
    <s v="Steam Large Fitting"/>
    <s v="CI"/>
    <x v="3"/>
    <s v="&quot;3 - Pipe Insulation&quot; worksheet"/>
    <s v="each"/>
    <n v="0"/>
    <n v="0"/>
    <n v="0"/>
    <n v="0"/>
    <n v="0"/>
    <m/>
    <n v="44.895855334511324"/>
    <n v="44.895855334511324"/>
    <n v="44.895855334511324"/>
    <n v="44.895855334511324"/>
    <n v="0.93"/>
    <n v="0.93"/>
    <n v="0.93"/>
    <n v="0.93"/>
    <n v="0"/>
    <n v="0"/>
    <n v="0"/>
    <n v="0"/>
    <n v="0"/>
    <n v="0.93"/>
    <n v="0.93"/>
    <n v="0.93"/>
    <n v="0.93"/>
    <n v="0.93"/>
    <n v="0.93"/>
    <n v="0.93"/>
    <n v="0.93"/>
    <m/>
    <m/>
    <n v="44.895855334511324"/>
    <m/>
    <n v="0"/>
    <n v="0"/>
    <m/>
    <m/>
    <n v="44.895855334511324"/>
    <s v="n/a"/>
    <n v="0"/>
    <n v="0"/>
    <n v="0"/>
    <m/>
    <m/>
    <n v="44.895855334511324"/>
    <m/>
    <n v="0"/>
    <n v="0"/>
    <m/>
    <m/>
    <n v="44.895855334511324"/>
    <m/>
    <n v="0"/>
    <n v="0"/>
    <n v="0"/>
    <n v="0"/>
    <n v="0"/>
    <n v="0"/>
    <n v="0"/>
    <s v="NA"/>
    <m/>
  </r>
  <r>
    <s v="NSG"/>
    <x v="5"/>
    <s v="Small/Mid-Size Business"/>
    <s v="Partner Trade Ally Rebate"/>
    <x v="4"/>
    <s v="Steam X-Large Fitting"/>
    <s v="CI"/>
    <x v="3"/>
    <s v="&quot;3 - Pipe Insulation&quot; worksheet"/>
    <s v="each"/>
    <n v="0"/>
    <n v="0"/>
    <n v="0"/>
    <n v="0"/>
    <n v="0"/>
    <m/>
    <n v="80.577400496643122"/>
    <n v="80.577400496643122"/>
    <n v="80.577400496643122"/>
    <n v="80.577400496643122"/>
    <n v="0.93"/>
    <n v="0.93"/>
    <n v="0.93"/>
    <n v="0.93"/>
    <n v="0"/>
    <n v="0"/>
    <n v="0"/>
    <n v="0"/>
    <n v="0"/>
    <n v="0.93"/>
    <n v="0.93"/>
    <n v="0.93"/>
    <n v="0.93"/>
    <n v="0.93"/>
    <n v="0.93"/>
    <n v="0.93"/>
    <n v="0.93"/>
    <m/>
    <m/>
    <n v="80.577400496643122"/>
    <m/>
    <n v="0"/>
    <n v="0"/>
    <m/>
    <m/>
    <n v="80.577400496643122"/>
    <s v="n/a"/>
    <n v="0"/>
    <n v="0"/>
    <n v="0"/>
    <m/>
    <m/>
    <n v="80.577400496643122"/>
    <m/>
    <n v="0"/>
    <n v="0"/>
    <m/>
    <m/>
    <n v="80.577400496643122"/>
    <m/>
    <n v="0"/>
    <n v="0"/>
    <n v="0"/>
    <n v="0"/>
    <n v="0"/>
    <n v="0"/>
    <n v="0"/>
    <s v="NA"/>
    <m/>
  </r>
  <r>
    <s v="NSG"/>
    <x v="5"/>
    <s v="Small/Mid-Size Business"/>
    <s v="Partner Trade Ally Rebate"/>
    <x v="4"/>
    <s v="Steam Med Valve"/>
    <s v="CI"/>
    <x v="3"/>
    <s v="&quot;3 - Pipe Insulation&quot; worksheet"/>
    <s v="each"/>
    <n v="0"/>
    <n v="0"/>
    <n v="0"/>
    <n v="0"/>
    <n v="0"/>
    <m/>
    <n v="49.002251273013741"/>
    <n v="49.002251273013741"/>
    <n v="49.002251273013741"/>
    <n v="49.002251273013741"/>
    <n v="0.93"/>
    <n v="0.93"/>
    <n v="0.93"/>
    <n v="0.93"/>
    <n v="0"/>
    <n v="0"/>
    <n v="0"/>
    <n v="0"/>
    <n v="0"/>
    <n v="0.93"/>
    <n v="0.93"/>
    <n v="0.93"/>
    <n v="0.93"/>
    <n v="0.93"/>
    <n v="0.93"/>
    <n v="0.93"/>
    <n v="0.93"/>
    <m/>
    <m/>
    <n v="49.002251273013741"/>
    <m/>
    <n v="0"/>
    <n v="0"/>
    <m/>
    <m/>
    <n v="49.002251273013741"/>
    <s v="n/a"/>
    <n v="0"/>
    <n v="0"/>
    <n v="0"/>
    <m/>
    <m/>
    <n v="49.002251273013741"/>
    <m/>
    <n v="0"/>
    <n v="0"/>
    <m/>
    <m/>
    <n v="49.002251273013741"/>
    <m/>
    <n v="0"/>
    <n v="0"/>
    <n v="0"/>
    <n v="0"/>
    <n v="0"/>
    <n v="0"/>
    <n v="0"/>
    <s v="NA"/>
    <m/>
  </r>
  <r>
    <s v="NSG"/>
    <x v="5"/>
    <s v="Small/Mid-Size Business"/>
    <s v="Partner Trade Ally Rebate"/>
    <x v="4"/>
    <s v="Steam Large Valve"/>
    <s v="CI"/>
    <x v="3"/>
    <s v="&quot;3 - Pipe Insulation&quot; worksheet"/>
    <s v="each"/>
    <n v="0"/>
    <n v="0"/>
    <n v="0"/>
    <n v="0"/>
    <n v="0"/>
    <m/>
    <n v="107.52607289087437"/>
    <n v="107.52607289087437"/>
    <n v="107.52607289087437"/>
    <n v="107.52607289087437"/>
    <n v="0.93"/>
    <n v="0.93"/>
    <n v="0.93"/>
    <n v="0.93"/>
    <n v="0"/>
    <n v="0"/>
    <n v="0"/>
    <n v="0"/>
    <n v="0"/>
    <n v="0.93"/>
    <n v="0.93"/>
    <n v="0.93"/>
    <n v="0.93"/>
    <n v="0.93"/>
    <n v="0.93"/>
    <n v="0.93"/>
    <n v="0.93"/>
    <m/>
    <m/>
    <n v="107.52607289087437"/>
    <m/>
    <n v="0"/>
    <n v="0"/>
    <m/>
    <m/>
    <n v="107.52607289087437"/>
    <s v="n/a"/>
    <n v="0"/>
    <n v="0"/>
    <n v="0"/>
    <m/>
    <m/>
    <n v="107.52607289087437"/>
    <m/>
    <n v="0"/>
    <n v="0"/>
    <m/>
    <m/>
    <n v="107.52607289087437"/>
    <m/>
    <n v="0"/>
    <n v="0"/>
    <n v="0"/>
    <n v="0"/>
    <n v="0"/>
    <n v="0"/>
    <n v="0"/>
    <s v="NA"/>
    <m/>
  </r>
  <r>
    <s v="NSG"/>
    <x v="5"/>
    <s v="Small/Mid-Size Business"/>
    <s v="Partner Trade Ally Rebate"/>
    <x v="4"/>
    <s v="Steam X-Large Valve"/>
    <s v="CI"/>
    <x v="3"/>
    <s v="&quot;3 - Pipe Insulation&quot; worksheet"/>
    <s v="each"/>
    <n v="0"/>
    <n v="0"/>
    <n v="0"/>
    <n v="0"/>
    <n v="0"/>
    <m/>
    <n v="175.06254164158375"/>
    <n v="175.06254164158375"/>
    <n v="175.06254164158375"/>
    <n v="175.06254164158375"/>
    <n v="0.93"/>
    <n v="0.93"/>
    <n v="0.93"/>
    <n v="0.93"/>
    <n v="0"/>
    <n v="0"/>
    <n v="0"/>
    <n v="0"/>
    <n v="0"/>
    <n v="0.93"/>
    <n v="0.93"/>
    <n v="0.93"/>
    <n v="0.93"/>
    <n v="0.93"/>
    <n v="0.93"/>
    <n v="0.93"/>
    <n v="0.93"/>
    <m/>
    <m/>
    <n v="175.06254164158375"/>
    <m/>
    <n v="0"/>
    <n v="0"/>
    <m/>
    <m/>
    <n v="175.06254164158375"/>
    <s v="n/a"/>
    <n v="0"/>
    <n v="0"/>
    <n v="0"/>
    <m/>
    <m/>
    <n v="175.06254164158375"/>
    <m/>
    <n v="0"/>
    <n v="0"/>
    <m/>
    <m/>
    <n v="175.06254164158375"/>
    <m/>
    <n v="0"/>
    <n v="0"/>
    <n v="0"/>
    <n v="0"/>
    <n v="0"/>
    <n v="0"/>
    <n v="0"/>
    <s v="NA"/>
    <m/>
  </r>
  <r>
    <s v="NSG"/>
    <x v="5"/>
    <s v="Small/Mid-Size Business"/>
    <s v="Partner Trade Ally Rebate"/>
    <x v="10"/>
    <n v="0"/>
    <s v="CI"/>
    <x v="3"/>
    <s v="4.2.11"/>
    <s v="each"/>
    <n v="0"/>
    <n v="0"/>
    <n v="0"/>
    <n v="0"/>
    <s v="CI-FSE-CVOV-V02-180101"/>
    <m/>
    <n v="235.77765120000004"/>
    <n v="235.77765120000004"/>
    <n v="235.77765120000004"/>
    <n v="235.77765120000004"/>
    <n v="0.93"/>
    <n v="0.93"/>
    <n v="0.93"/>
    <n v="0.93"/>
    <n v="0"/>
    <n v="0"/>
    <n v="0"/>
    <n v="0"/>
    <n v="0"/>
    <n v="0.93"/>
    <n v="0.93"/>
    <n v="0.93"/>
    <n v="0.93"/>
    <n v="0.93"/>
    <n v="0.93"/>
    <n v="0.93"/>
    <n v="0.93"/>
    <m/>
    <m/>
    <n v="247.22970854399998"/>
    <m/>
    <n v="0"/>
    <n v="0"/>
    <m/>
    <m/>
    <n v="247.22970854399998"/>
    <s v="n/a"/>
    <n v="0"/>
    <n v="0"/>
    <n v="0"/>
    <m/>
    <m/>
    <n v="247.22970854399998"/>
    <m/>
    <n v="0"/>
    <n v="0"/>
    <m/>
    <m/>
    <n v="247.22970854399998"/>
    <m/>
    <n v="0"/>
    <n v="0"/>
    <n v="0"/>
    <n v="0"/>
    <n v="0"/>
    <n v="0"/>
    <n v="0"/>
    <s v="NA"/>
    <m/>
  </r>
  <r>
    <s v="NSG"/>
    <x v="5"/>
    <s v="Small/Mid-Size Business"/>
    <s v="Partner Trade Ally Rebate"/>
    <x v="41"/>
    <s v="Industrial/Process Audit - psig ≤ 15"/>
    <s v="CI/SMB"/>
    <x v="3"/>
    <s v="4.4.16"/>
    <s v="each"/>
    <n v="0"/>
    <n v="0"/>
    <n v="0"/>
    <n v="0"/>
    <s v="CI-HVC-STRE-V09-230101"/>
    <m/>
    <n v="788.87094440257943"/>
    <n v="788.87094440257943"/>
    <n v="788.87094440257943"/>
    <n v="788.87094440257943"/>
    <n v="0.93"/>
    <n v="0.93"/>
    <n v="0.93"/>
    <n v="0.93"/>
    <n v="0"/>
    <n v="0"/>
    <n v="0"/>
    <n v="0"/>
    <n v="0"/>
    <n v="0.93"/>
    <n v="0.93"/>
    <n v="0.93"/>
    <n v="0.93"/>
    <n v="0.93"/>
    <n v="0.93"/>
    <n v="0.93"/>
    <n v="0.93"/>
    <m/>
    <m/>
    <n v="788.87094440257943"/>
    <m/>
    <n v="0"/>
    <n v="0"/>
    <m/>
    <m/>
    <n v="1603.3277521921041"/>
    <s v="Updated inputs for Commercial LPS Space Heating and Industrial/Process Low Pressure"/>
    <n v="0"/>
    <n v="0"/>
    <n v="0"/>
    <m/>
    <m/>
    <n v="1603.3277521921041"/>
    <m/>
    <n v="0"/>
    <n v="0"/>
    <m/>
    <m/>
    <n v="1603.3277521921041"/>
    <m/>
    <n v="0"/>
    <n v="0"/>
    <n v="0"/>
    <n v="0"/>
    <n v="0"/>
    <n v="0"/>
    <n v="0"/>
    <s v="NA"/>
    <m/>
  </r>
  <r>
    <s v="NSG"/>
    <x v="5"/>
    <s v="Small/Mid-Size Business"/>
    <s v="Partner Trade Ally Rebate"/>
    <x v="41"/>
    <s v="Industrial/Process Audit - 15 &lt; psig &lt; 30"/>
    <s v="CI/SMB"/>
    <x v="3"/>
    <s v="4.4.16"/>
    <s v="each"/>
    <n v="0"/>
    <n v="0"/>
    <n v="0"/>
    <n v="0"/>
    <s v="CI-HVC-STRE-V09-230101"/>
    <m/>
    <n v="758.17043213559668"/>
    <n v="758.17043213559668"/>
    <n v="758.17043213559668"/>
    <n v="758.17043213559668"/>
    <n v="0.93"/>
    <n v="0.93"/>
    <n v="0.93"/>
    <n v="0.93"/>
    <n v="0"/>
    <n v="0"/>
    <n v="0"/>
    <n v="0"/>
    <n v="0"/>
    <n v="0.93"/>
    <n v="0.93"/>
    <n v="0.93"/>
    <n v="0.93"/>
    <n v="0.93"/>
    <n v="0.93"/>
    <n v="0.93"/>
    <n v="0.93"/>
    <m/>
    <m/>
    <n v="758.17043213559668"/>
    <m/>
    <n v="0"/>
    <n v="0"/>
    <m/>
    <m/>
    <n v="758.17043213559668"/>
    <s v="Updated inputs for Commercial LPS Space Heating and Industrial/Process Low Pressure"/>
    <n v="0"/>
    <n v="0"/>
    <n v="0"/>
    <m/>
    <m/>
    <n v="758.17043213559668"/>
    <m/>
    <n v="0"/>
    <n v="0"/>
    <m/>
    <m/>
    <n v="758.17043213559668"/>
    <m/>
    <n v="0"/>
    <n v="0"/>
    <n v="0"/>
    <n v="0"/>
    <n v="0"/>
    <n v="0"/>
    <n v="0"/>
    <s v="NA"/>
    <m/>
  </r>
  <r>
    <s v="NSG"/>
    <x v="5"/>
    <s v="Small/Mid-Size Business"/>
    <s v="Partner Trade Ally Rebate"/>
    <x v="41"/>
    <s v="Industrial/Process Audit - 30 ≤ psig &lt; 75"/>
    <s v="CI/SMB"/>
    <x v="3"/>
    <s v="4.4.16"/>
    <s v="each"/>
    <n v="0"/>
    <n v="0"/>
    <n v="0"/>
    <n v="0"/>
    <s v="CI-HVC-STRE-V09-230101"/>
    <m/>
    <n v="2777.6636840634392"/>
    <n v="2777.6636840634392"/>
    <n v="2777.6636840634392"/>
    <n v="2777.6636840634392"/>
    <n v="0.93"/>
    <n v="0.93"/>
    <n v="0.93"/>
    <n v="0.93"/>
    <n v="0"/>
    <n v="0"/>
    <n v="0"/>
    <n v="0"/>
    <n v="0"/>
    <n v="0.93"/>
    <n v="0.93"/>
    <n v="0.93"/>
    <n v="0.93"/>
    <n v="0.93"/>
    <n v="0.93"/>
    <n v="0.93"/>
    <n v="0.93"/>
    <m/>
    <m/>
    <n v="2777.6636840634392"/>
    <m/>
    <n v="0"/>
    <n v="0"/>
    <m/>
    <m/>
    <n v="2777.6636840634392"/>
    <s v="Updated inputs for Commercial LPS Space Heating and Industrial/Process Low Pressure"/>
    <n v="0"/>
    <n v="0"/>
    <n v="0"/>
    <m/>
    <m/>
    <n v="2777.6636840634392"/>
    <m/>
    <n v="0"/>
    <n v="0"/>
    <m/>
    <m/>
    <n v="2777.6636840634392"/>
    <m/>
    <n v="0"/>
    <n v="0"/>
    <n v="0"/>
    <n v="0"/>
    <n v="0"/>
    <n v="0"/>
    <n v="0"/>
    <s v="NA"/>
    <m/>
  </r>
  <r>
    <s v="NSG"/>
    <x v="5"/>
    <s v="Small/Mid-Size Business"/>
    <s v="Partner Trade Ally Rebate"/>
    <x v="41"/>
    <s v="Industrial/Process Audit - 75 ≤ psig &lt; 125"/>
    <s v="CI/SMB"/>
    <x v="3"/>
    <s v="4.4.16"/>
    <s v="each"/>
    <n v="0"/>
    <n v="0"/>
    <n v="0"/>
    <n v="0"/>
    <s v="CI-HVC-STRE-V09-230101"/>
    <m/>
    <n v="5253.732217921608"/>
    <n v="5253.732217921608"/>
    <n v="5253.732217921608"/>
    <n v="5253.732217921608"/>
    <n v="0.93"/>
    <n v="0.93"/>
    <n v="0.93"/>
    <n v="0.93"/>
    <n v="0"/>
    <n v="0"/>
    <n v="0"/>
    <n v="0"/>
    <n v="0"/>
    <n v="0.93"/>
    <n v="0.93"/>
    <n v="0.93"/>
    <n v="0.93"/>
    <n v="0.93"/>
    <n v="0.93"/>
    <n v="0.93"/>
    <n v="0.93"/>
    <m/>
    <m/>
    <n v="5253.732217921608"/>
    <m/>
    <n v="0"/>
    <n v="0"/>
    <m/>
    <m/>
    <n v="5253.732217921608"/>
    <s v="Updated inputs for Commercial LPS Space Heating and Industrial/Process Low Pressure"/>
    <n v="0"/>
    <n v="0"/>
    <n v="0"/>
    <m/>
    <m/>
    <n v="5253.732217921608"/>
    <m/>
    <n v="0"/>
    <n v="0"/>
    <m/>
    <m/>
    <n v="5253.732217921608"/>
    <m/>
    <n v="0"/>
    <n v="0"/>
    <n v="0"/>
    <n v="0"/>
    <n v="0"/>
    <n v="0"/>
    <n v="0"/>
    <s v="NA"/>
    <m/>
  </r>
  <r>
    <s v="NSG"/>
    <x v="5"/>
    <s v="Small/Mid-Size Business"/>
    <s v="Partner Trade Ally Rebate"/>
    <x v="41"/>
    <s v="Industrial/Process Audit - 125 ≤ psig &lt; 175"/>
    <s v="CI/SMB"/>
    <x v="3"/>
    <s v="4.4.16"/>
    <s v="each"/>
    <n v="0"/>
    <n v="0"/>
    <n v="0"/>
    <n v="0"/>
    <s v="CI-HVC-STRE-V09-230101"/>
    <m/>
    <n v="7334.7468920022948"/>
    <n v="7334.7468920022948"/>
    <n v="7334.7468920022948"/>
    <n v="7334.7468920022948"/>
    <n v="0.93"/>
    <n v="0.93"/>
    <n v="0.93"/>
    <n v="0.93"/>
    <n v="0"/>
    <n v="0"/>
    <n v="0"/>
    <n v="0"/>
    <n v="0"/>
    <n v="0.93"/>
    <n v="0.93"/>
    <n v="0.93"/>
    <n v="0.93"/>
    <n v="0.93"/>
    <n v="0.93"/>
    <n v="0.93"/>
    <n v="0.93"/>
    <m/>
    <m/>
    <n v="7334.7468920022948"/>
    <m/>
    <n v="0"/>
    <n v="0"/>
    <m/>
    <m/>
    <n v="7334.7468920022948"/>
    <s v="Updated inputs for Commercial LPS Space Heating and Industrial/Process Low Pressure"/>
    <n v="0"/>
    <n v="0"/>
    <n v="0"/>
    <m/>
    <m/>
    <n v="7334.7468920022948"/>
    <m/>
    <n v="0"/>
    <n v="0"/>
    <m/>
    <m/>
    <n v="7334.7468920022948"/>
    <m/>
    <n v="0"/>
    <n v="0"/>
    <n v="0"/>
    <n v="0"/>
    <n v="0"/>
    <n v="0"/>
    <n v="0"/>
    <s v="NA"/>
    <m/>
  </r>
  <r>
    <s v="NSG"/>
    <x v="5"/>
    <s v="Small/Mid-Size Business"/>
    <s v="Partner Trade Ally Rebate"/>
    <x v="41"/>
    <s v="Industrial/Process Audit - 175 ≤ psig &lt; 250"/>
    <s v="CI/SMB"/>
    <x v="3"/>
    <s v="4.4.16"/>
    <s v="each"/>
    <n v="0"/>
    <n v="0"/>
    <n v="0"/>
    <n v="0"/>
    <s v="CI-HVC-STRE-V09-230101"/>
    <m/>
    <n v="9906.4466256306805"/>
    <n v="9906.4466256306805"/>
    <n v="9906.4466256306805"/>
    <n v="9906.4466256306805"/>
    <n v="0.93"/>
    <n v="0.93"/>
    <n v="0.93"/>
    <n v="0.93"/>
    <n v="0"/>
    <n v="0"/>
    <n v="0"/>
    <n v="0"/>
    <n v="0"/>
    <n v="0.93"/>
    <n v="0.93"/>
    <n v="0.93"/>
    <n v="0.93"/>
    <n v="0.93"/>
    <n v="0.93"/>
    <n v="0.93"/>
    <n v="0.93"/>
    <m/>
    <m/>
    <n v="9906.4466256306805"/>
    <m/>
    <n v="0"/>
    <n v="0"/>
    <m/>
    <m/>
    <n v="9906.4466256306805"/>
    <s v="Updated inputs for Commercial LPS Space Heating and Industrial/Process Low Pressure"/>
    <n v="0"/>
    <n v="0"/>
    <n v="0"/>
    <m/>
    <m/>
    <n v="9906.4466256306805"/>
    <m/>
    <n v="0"/>
    <n v="0"/>
    <m/>
    <m/>
    <n v="9906.4466256306805"/>
    <m/>
    <n v="0"/>
    <n v="0"/>
    <n v="0"/>
    <n v="0"/>
    <n v="0"/>
    <n v="0"/>
    <n v="0"/>
    <s v="NA"/>
    <m/>
  </r>
  <r>
    <s v="NSG"/>
    <x v="5"/>
    <s v="Small/Mid-Size Business"/>
    <s v="Partner Trade Ally Rebate"/>
    <x v="41"/>
    <s v="Industrial/Process Audit - 250 ≤ psig"/>
    <s v="CI/SMB"/>
    <x v="3"/>
    <s v="4.4.16"/>
    <s v="each"/>
    <n v="0"/>
    <n v="0"/>
    <n v="0"/>
    <n v="0"/>
    <s v="CI-HVC-STRE-V09-230101"/>
    <m/>
    <n v="12689.405899537758"/>
    <n v="12689.405899537758"/>
    <n v="12689.405899537758"/>
    <n v="12689.405899537758"/>
    <n v="0.93"/>
    <n v="0.93"/>
    <n v="0.93"/>
    <n v="0.93"/>
    <n v="0"/>
    <n v="0"/>
    <n v="0"/>
    <n v="0"/>
    <n v="0"/>
    <n v="0.93"/>
    <n v="0.93"/>
    <n v="0.93"/>
    <n v="0.93"/>
    <n v="0.93"/>
    <n v="0.93"/>
    <n v="0.93"/>
    <n v="0.93"/>
    <m/>
    <m/>
    <n v="12689.405899537758"/>
    <m/>
    <n v="0"/>
    <n v="0"/>
    <m/>
    <m/>
    <n v="12689.405899537758"/>
    <s v="Updated inputs for Commercial LPS Space Heating and Industrial/Process Low Pressure"/>
    <n v="0"/>
    <n v="0"/>
    <n v="0"/>
    <m/>
    <m/>
    <n v="12689.405899537758"/>
    <m/>
    <n v="0"/>
    <n v="0"/>
    <m/>
    <m/>
    <n v="12689.405899537758"/>
    <m/>
    <n v="0"/>
    <n v="0"/>
    <n v="0"/>
    <n v="0"/>
    <n v="0"/>
    <n v="0"/>
    <n v="0"/>
    <s v="NA"/>
    <m/>
  </r>
  <r>
    <s v="NSG"/>
    <x v="5"/>
    <s v="Small/Mid-Size Business"/>
    <s v="Partner Trade Ally Rebate"/>
    <x v="6"/>
    <n v="0"/>
    <s v="CI"/>
    <x v="3"/>
    <s v="4.4.48"/>
    <s v="each"/>
    <n v="0"/>
    <n v="0"/>
    <n v="0"/>
    <n v="0"/>
    <s v="CI-HVC-THST-V05-230101"/>
    <m/>
    <n v="159.30512500000003"/>
    <n v="159.30512500000003"/>
    <n v="159.30512500000003"/>
    <n v="159.30512500000003"/>
    <n v="0.96"/>
    <n v="0.96"/>
    <n v="0.96"/>
    <n v="0.96"/>
    <n v="0"/>
    <n v="0"/>
    <n v="0"/>
    <n v="0"/>
    <n v="0"/>
    <n v="0.96"/>
    <n v="0.97"/>
    <n v="0.97"/>
    <n v="0.97"/>
    <n v="0.96"/>
    <n v="0.96"/>
    <n v="0.96"/>
    <n v="0.96"/>
    <m/>
    <m/>
    <n v="200.26929999999999"/>
    <m/>
    <n v="0"/>
    <n v="0"/>
    <m/>
    <m/>
    <n v="200.26929999999999"/>
    <s v="n/a"/>
    <n v="0"/>
    <n v="0"/>
    <n v="0"/>
    <m/>
    <m/>
    <n v="200.26929999999999"/>
    <m/>
    <n v="0"/>
    <n v="0"/>
    <m/>
    <m/>
    <n v="200.26929999999999"/>
    <m/>
    <n v="0"/>
    <n v="0"/>
    <n v="0"/>
    <n v="0"/>
    <n v="0"/>
    <n v="0"/>
    <n v="0"/>
    <s v="NA"/>
    <m/>
  </r>
  <r>
    <s v="NSG"/>
    <x v="5"/>
    <s v="Small/Mid-Size Business"/>
    <s v="Partner Trade Ally Rebate"/>
    <x v="12"/>
    <s v="Storage 88% TE ≥75MBh"/>
    <s v="CI"/>
    <x v="3"/>
    <s v="4.3.1"/>
    <s v="each"/>
    <n v="0"/>
    <n v="0"/>
    <n v="0"/>
    <n v="0"/>
    <s v="CI-HWE-STWH-V09-230101"/>
    <m/>
    <n v="135.66827090062347"/>
    <n v="135.66827090062347"/>
    <n v="135.66827090062347"/>
    <n v="135.66827090062347"/>
    <n v="0.93"/>
    <n v="0.93"/>
    <n v="0.93"/>
    <n v="0.93"/>
    <n v="0"/>
    <n v="0"/>
    <n v="0"/>
    <n v="0"/>
    <n v="0"/>
    <n v="0.93"/>
    <n v="0.93"/>
    <n v="0.93"/>
    <n v="0.93"/>
    <n v="0.93"/>
    <n v="0.93"/>
    <n v="0.93"/>
    <n v="0.93"/>
    <m/>
    <m/>
    <n v="139.65886152562348"/>
    <m/>
    <n v="0"/>
    <n v="0"/>
    <m/>
    <m/>
    <n v="139.65886152562348"/>
    <s v="n/a"/>
    <n v="0"/>
    <n v="0"/>
    <n v="0"/>
    <m/>
    <m/>
    <n v="139.65886152562348"/>
    <m/>
    <n v="0"/>
    <n v="0"/>
    <m/>
    <m/>
    <n v="139.65886152562348"/>
    <m/>
    <n v="0"/>
    <n v="0"/>
    <n v="0"/>
    <n v="0"/>
    <n v="0"/>
    <n v="0"/>
    <n v="0"/>
    <s v="NA"/>
    <m/>
  </r>
  <r>
    <s v="NSG"/>
    <x v="4"/>
    <s v="Multi-Family"/>
    <s v="Whole Building - DI"/>
    <x v="3"/>
    <s v="Furnace (Replace Manual)"/>
    <s v="MF"/>
    <x v="3"/>
    <s v="5.3.16"/>
    <s v="each"/>
    <n v="1"/>
    <n v="1"/>
    <n v="1"/>
    <n v="1"/>
    <s v="RS-HVC-ADTH-V08-230101"/>
    <m/>
    <n v="67.938000000000002"/>
    <n v="67.938000000000002"/>
    <n v="67.938000000000002"/>
    <n v="67.938000000000002"/>
    <n v="1"/>
    <n v="1"/>
    <n v="1"/>
    <n v="1"/>
    <n v="67.938000000000002"/>
    <n v="67.938000000000002"/>
    <n v="67.938000000000002"/>
    <n v="67.938000000000002"/>
    <n v="271.75200000000001"/>
    <n v="1"/>
    <n v="1"/>
    <n v="1"/>
    <n v="1"/>
    <n v="1"/>
    <n v="1"/>
    <n v="1"/>
    <n v="1"/>
    <m/>
    <m/>
    <n v="66.631500000000003"/>
    <m/>
    <n v="66.631500000000003"/>
    <n v="-1.3064999999999998"/>
    <m/>
    <m/>
    <n v="66.631500000000003"/>
    <s v="n/a"/>
    <n v="66.631500000000003"/>
    <n v="66.631500000000003"/>
    <n v="-1.3064999999999998"/>
    <m/>
    <m/>
    <n v="66.631500000000003"/>
    <m/>
    <n v="66.631500000000003"/>
    <n v="-1.3064999999999998"/>
    <m/>
    <m/>
    <n v="66.631500000000003"/>
    <m/>
    <n v="66.631500000000003"/>
    <n v="-1.3064999999999998"/>
    <n v="66.631500000000003"/>
    <n v="66.631500000000003"/>
    <n v="66.631500000000003"/>
    <n v="66.631500000000003"/>
    <n v="266.52600000000001"/>
    <s v="NA"/>
    <m/>
  </r>
  <r>
    <s v="NSG"/>
    <x v="3"/>
    <s v="Multi-Family"/>
    <s v="Partner Trade Ally Rebate"/>
    <x v="3"/>
    <s v="Furnace (Replace Unknown)"/>
    <s v="MF"/>
    <x v="3"/>
    <s v="5.3.16"/>
    <s v="each"/>
    <n v="4"/>
    <n v="4"/>
    <n v="4"/>
    <n v="4"/>
    <s v="RS-HVC-ADTH-V08-230101"/>
    <m/>
    <n v="56.179499999999997"/>
    <n v="56.179499999999997"/>
    <n v="56.179499999999997"/>
    <n v="56.179499999999997"/>
    <n v="0.9"/>
    <n v="0.9"/>
    <n v="0.9"/>
    <n v="0.9"/>
    <n v="202.24619999999999"/>
    <n v="202.24619999999999"/>
    <n v="202.24619999999999"/>
    <n v="202.24619999999999"/>
    <n v="808.98479999999995"/>
    <n v="0.9"/>
    <n v="0.9"/>
    <n v="0.9"/>
    <n v="0.9"/>
    <n v="0.9"/>
    <n v="0.9"/>
    <n v="0.9"/>
    <n v="0.9"/>
    <m/>
    <m/>
    <n v="55.526250000000012"/>
    <m/>
    <n v="199.89450000000005"/>
    <n v="-2.3516999999999371"/>
    <m/>
    <m/>
    <n v="55.526250000000012"/>
    <s v="n/a"/>
    <n v="199.89450000000005"/>
    <n v="199.89450000000005"/>
    <n v="-2.3516999999999371"/>
    <m/>
    <m/>
    <n v="55.526250000000012"/>
    <m/>
    <n v="199.89450000000005"/>
    <n v="-2.3516999999999371"/>
    <m/>
    <m/>
    <n v="55.526250000000012"/>
    <m/>
    <n v="199.89450000000005"/>
    <n v="-2.3516999999999371"/>
    <n v="199.89450000000005"/>
    <n v="199.89450000000005"/>
    <n v="199.89450000000005"/>
    <n v="199.89450000000005"/>
    <n v="799.5780000000002"/>
    <s v="NA"/>
    <m/>
  </r>
  <r>
    <s v="NSG"/>
    <x v="4"/>
    <s v="Home Energy Jumpstart"/>
    <s v="Core"/>
    <x v="3"/>
    <s v="Furnace (Replace Manual)"/>
    <s v="SF"/>
    <x v="3"/>
    <s v="5.3.16"/>
    <s v="each"/>
    <n v="2"/>
    <n v="4"/>
    <n v="8"/>
    <n v="9"/>
    <s v="RS-HVC-ADTH-V08-230101"/>
    <m/>
    <n v="104.52"/>
    <n v="104.52"/>
    <n v="104.52"/>
    <n v="104.52"/>
    <n v="1"/>
    <n v="1"/>
    <n v="1"/>
    <n v="1"/>
    <n v="209.04"/>
    <n v="418.08"/>
    <n v="836.16"/>
    <n v="940.68"/>
    <n v="2403.96"/>
    <n v="1"/>
    <n v="1"/>
    <n v="1"/>
    <n v="1"/>
    <n v="1"/>
    <n v="1"/>
    <n v="1"/>
    <n v="1"/>
    <m/>
    <m/>
    <n v="102.50999999999999"/>
    <m/>
    <n v="205.01999999999998"/>
    <n v="-4.0200000000000102"/>
    <m/>
    <m/>
    <n v="102.50999999999999"/>
    <s v="n/a"/>
    <n v="410.03999999999996"/>
    <n v="410.03999999999996"/>
    <n v="-8.0400000000000205"/>
    <m/>
    <m/>
    <n v="102.50999999999999"/>
    <m/>
    <n v="820.07999999999993"/>
    <n v="-16.080000000000041"/>
    <m/>
    <m/>
    <n v="102.50999999999999"/>
    <m/>
    <n v="922.58999999999992"/>
    <n v="-18.090000000000032"/>
    <n v="205.01999999999998"/>
    <n v="410.03999999999996"/>
    <n v="820.07999999999993"/>
    <n v="922.58999999999992"/>
    <n v="2357.7299999999996"/>
    <s v="NA"/>
    <m/>
  </r>
  <r>
    <s v="NSG"/>
    <x v="4"/>
    <s v="Multi-Family"/>
    <s v="MF IHWAP"/>
    <x v="3"/>
    <s v="Boiler (Replace Programmable)"/>
    <s v="MF"/>
    <x v="3"/>
    <s v="5.3.16"/>
    <s v="each"/>
    <n v="3"/>
    <n v="4"/>
    <n v="7"/>
    <n v="8"/>
    <s v="RS-HVC-ADTH-V08-230101"/>
    <m/>
    <n v="70.463249999999988"/>
    <n v="70.463249999999988"/>
    <n v="70.463249999999988"/>
    <n v="70.463249999999988"/>
    <n v="1"/>
    <n v="1"/>
    <n v="1"/>
    <n v="1"/>
    <n v="211.38974999999996"/>
    <n v="281.85299999999995"/>
    <n v="493.24274999999989"/>
    <n v="563.7059999999999"/>
    <n v="1550.1914999999997"/>
    <n v="1"/>
    <n v="1"/>
    <n v="1"/>
    <n v="1"/>
    <n v="1"/>
    <n v="1"/>
    <n v="1"/>
    <n v="1"/>
    <m/>
    <m/>
    <n v="68.532749999999993"/>
    <m/>
    <n v="205.59824999999998"/>
    <n v="-5.791499999999985"/>
    <m/>
    <m/>
    <n v="68.532749999999993"/>
    <s v="n/a"/>
    <n v="274.13099999999997"/>
    <n v="274.13099999999997"/>
    <n v="-7.72199999999998"/>
    <m/>
    <m/>
    <n v="68.532749999999993"/>
    <m/>
    <n v="479.72924999999998"/>
    <n v="-13.513499999999908"/>
    <m/>
    <m/>
    <n v="68.532749999999993"/>
    <m/>
    <n v="548.26199999999994"/>
    <n v="-15.44399999999996"/>
    <n v="205.59824999999998"/>
    <n v="274.13099999999997"/>
    <n v="479.72924999999998"/>
    <n v="548.26199999999994"/>
    <n v="1507.7204999999999"/>
    <s v="NA"/>
    <m/>
  </r>
  <r>
    <s v="NSG"/>
    <x v="4"/>
    <s v="Home Energy Jumpstart"/>
    <s v="Core"/>
    <x v="3"/>
    <s v="Furnace (Replace Programmable)"/>
    <s v="SF"/>
    <x v="3"/>
    <s v="5.3.16"/>
    <s v="each"/>
    <n v="3"/>
    <n v="7"/>
    <n v="14"/>
    <n v="17"/>
    <s v="RS-HVC-ADTH-V08-230101"/>
    <m/>
    <n v="73.364999999999995"/>
    <n v="73.364999999999995"/>
    <n v="73.364999999999995"/>
    <n v="73.364999999999995"/>
    <n v="1"/>
    <n v="1"/>
    <n v="1"/>
    <n v="1"/>
    <n v="220.09499999999997"/>
    <n v="513.55499999999995"/>
    <n v="1027.1099999999999"/>
    <n v="1247.2049999999999"/>
    <n v="3007.9649999999997"/>
    <n v="1"/>
    <n v="1"/>
    <n v="1"/>
    <n v="1"/>
    <n v="1"/>
    <n v="1"/>
    <n v="1"/>
    <n v="1"/>
    <m/>
    <m/>
    <n v="71.35499999999999"/>
    <m/>
    <n v="214.06499999999997"/>
    <n v="-6.0300000000000011"/>
    <m/>
    <m/>
    <n v="71.35499999999999"/>
    <s v="n/a"/>
    <n v="499.4849999999999"/>
    <n v="499.4849999999999"/>
    <n v="-14.07000000000005"/>
    <m/>
    <m/>
    <n v="71.35499999999999"/>
    <m/>
    <n v="998.9699999999998"/>
    <n v="-28.1400000000001"/>
    <m/>
    <m/>
    <n v="71.35499999999999"/>
    <m/>
    <n v="1213.0349999999999"/>
    <n v="-34.170000000000073"/>
    <n v="214.06499999999997"/>
    <n v="499.4849999999999"/>
    <n v="998.9699999999998"/>
    <n v="1213.0349999999999"/>
    <n v="2925.5549999999994"/>
    <s v="NA"/>
    <m/>
  </r>
  <r>
    <s v="NSG"/>
    <x v="3"/>
    <s v="Multi-Family"/>
    <s v="Partner Trade Ally Rebate"/>
    <x v="3"/>
    <s v="Boiler (Replace Unknown)"/>
    <s v="MF"/>
    <x v="3"/>
    <s v="5.3.16"/>
    <s v="each"/>
    <n v="8"/>
    <n v="8"/>
    <n v="8"/>
    <n v="8"/>
    <s v="RS-HVC-ADTH-V08-230101"/>
    <m/>
    <n v="83.011499999999998"/>
    <n v="83.011499999999998"/>
    <n v="83.011499999999998"/>
    <n v="83.011499999999998"/>
    <n v="0.9"/>
    <n v="0.9"/>
    <n v="0.9"/>
    <n v="0.9"/>
    <n v="597.68280000000004"/>
    <n v="597.68280000000004"/>
    <n v="597.68280000000004"/>
    <n v="597.68280000000004"/>
    <n v="2390.7312000000002"/>
    <n v="0.9"/>
    <n v="0.9"/>
    <n v="0.9"/>
    <n v="0.9"/>
    <n v="0.9"/>
    <n v="0.9"/>
    <n v="0.9"/>
    <n v="0.9"/>
    <m/>
    <m/>
    <n v="82.046250000000015"/>
    <m/>
    <n v="590.73300000000017"/>
    <n v="-6.9497999999998683"/>
    <m/>
    <m/>
    <n v="82.046250000000015"/>
    <s v="n/a"/>
    <n v="590.73300000000017"/>
    <n v="590.73300000000017"/>
    <n v="-6.9497999999998683"/>
    <m/>
    <m/>
    <n v="82.046250000000015"/>
    <m/>
    <n v="590.73300000000017"/>
    <n v="-6.9497999999998683"/>
    <m/>
    <m/>
    <n v="82.046250000000015"/>
    <m/>
    <n v="590.73300000000017"/>
    <n v="-6.9497999999998683"/>
    <n v="590.73300000000017"/>
    <n v="590.73300000000017"/>
    <n v="590.73300000000017"/>
    <n v="590.73300000000017"/>
    <n v="2362.9320000000007"/>
    <s v="NA"/>
    <m/>
  </r>
  <r>
    <s v="NSG"/>
    <x v="4"/>
    <s v="Multi-Family"/>
    <s v="MF IHWAP"/>
    <x v="3"/>
    <s v="Furnace (Replace Programmable)"/>
    <s v="MF"/>
    <x v="3"/>
    <s v="5.3.16"/>
    <s v="each"/>
    <n v="6"/>
    <n v="8"/>
    <n v="14"/>
    <n v="15"/>
    <s v="RS-HVC-ADTH-V08-230101"/>
    <m/>
    <n v="47.687249999999999"/>
    <n v="47.687249999999999"/>
    <n v="47.687249999999999"/>
    <n v="47.687249999999999"/>
    <n v="1"/>
    <n v="1"/>
    <n v="1"/>
    <n v="1"/>
    <n v="286.12349999999998"/>
    <n v="381.49799999999999"/>
    <n v="667.62149999999997"/>
    <n v="715.30875000000003"/>
    <n v="2050.5517500000001"/>
    <n v="1"/>
    <n v="1"/>
    <n v="1"/>
    <n v="1"/>
    <n v="1"/>
    <n v="1"/>
    <n v="1"/>
    <n v="1"/>
    <m/>
    <m/>
    <n v="46.380749999999992"/>
    <m/>
    <n v="278.28449999999998"/>
    <n v="-7.8389999999999986"/>
    <m/>
    <m/>
    <n v="46.380749999999992"/>
    <s v="n/a"/>
    <n v="371.04599999999994"/>
    <n v="371.04599999999994"/>
    <n v="-10.452000000000055"/>
    <m/>
    <m/>
    <n v="46.380749999999992"/>
    <m/>
    <n v="649.33049999999992"/>
    <n v="-18.291000000000054"/>
    <m/>
    <m/>
    <n v="46.380749999999992"/>
    <m/>
    <n v="695.71124999999984"/>
    <n v="-19.597500000000196"/>
    <n v="278.28449999999998"/>
    <n v="371.04599999999994"/>
    <n v="649.33049999999992"/>
    <n v="695.71124999999984"/>
    <n v="1994.3722499999997"/>
    <s v="NA"/>
    <m/>
  </r>
  <r>
    <s v="NSG"/>
    <x v="3"/>
    <s v="Multi-Family"/>
    <s v="Direct Install"/>
    <x v="3"/>
    <s v="Furnace (Replace Manual)"/>
    <s v="MF"/>
    <x v="3"/>
    <s v="5.3.16"/>
    <s v="each"/>
    <n v="8"/>
    <n v="8"/>
    <n v="8"/>
    <n v="8"/>
    <s v="RS-HVC-ADTH-V08-230101"/>
    <m/>
    <n v="67.938000000000002"/>
    <n v="67.938000000000002"/>
    <n v="67.938000000000002"/>
    <n v="67.938000000000002"/>
    <n v="0.9"/>
    <n v="0.9"/>
    <n v="0.9"/>
    <n v="0.9"/>
    <n v="489.15360000000004"/>
    <n v="489.15360000000004"/>
    <n v="489.15360000000004"/>
    <n v="489.15360000000004"/>
    <n v="1956.6144000000002"/>
    <n v="0.9"/>
    <n v="0.9"/>
    <n v="0.9"/>
    <n v="0.9"/>
    <n v="0.9"/>
    <n v="0.9"/>
    <n v="0.9"/>
    <n v="0.9"/>
    <m/>
    <m/>
    <n v="66.631500000000003"/>
    <m/>
    <n v="479.74680000000001"/>
    <n v="-9.4068000000000325"/>
    <m/>
    <m/>
    <n v="66.631500000000003"/>
    <s v="n/a"/>
    <n v="479.74680000000001"/>
    <n v="479.74680000000001"/>
    <n v="-9.4068000000000325"/>
    <m/>
    <m/>
    <n v="66.631500000000003"/>
    <m/>
    <n v="479.74680000000001"/>
    <n v="-9.4068000000000325"/>
    <m/>
    <m/>
    <n v="66.631500000000003"/>
    <m/>
    <n v="479.74680000000001"/>
    <n v="-9.4068000000000325"/>
    <n v="479.74680000000001"/>
    <n v="479.74680000000001"/>
    <n v="479.74680000000001"/>
    <n v="479.74680000000001"/>
    <n v="1918.9872"/>
    <s v="NA"/>
    <m/>
  </r>
  <r>
    <s v="NSG"/>
    <x v="3"/>
    <s v="Multi-Family"/>
    <s v="Direct Install"/>
    <x v="3"/>
    <s v="Boiler (Replace Manual)"/>
    <s v="MF"/>
    <x v="3"/>
    <s v="5.3.16"/>
    <s v="each"/>
    <n v="6"/>
    <n v="6"/>
    <n v="6"/>
    <n v="6"/>
    <s v="RS-HVC-ADTH-V08-230101"/>
    <m/>
    <n v="100.386"/>
    <n v="100.386"/>
    <n v="100.386"/>
    <n v="100.386"/>
    <n v="0.9"/>
    <n v="0.9"/>
    <n v="0.9"/>
    <n v="0.9"/>
    <n v="542.08440000000007"/>
    <n v="542.08440000000007"/>
    <n v="542.08440000000007"/>
    <n v="542.08440000000007"/>
    <n v="2168.3376000000003"/>
    <n v="0.9"/>
    <n v="0.9"/>
    <n v="0.9"/>
    <n v="0.9"/>
    <n v="0.9"/>
    <n v="0.9"/>
    <n v="0.9"/>
    <n v="0.9"/>
    <m/>
    <m/>
    <n v="98.455500000000001"/>
    <m/>
    <n v="531.65969999999993"/>
    <n v="-10.424700000000144"/>
    <m/>
    <m/>
    <n v="98.455500000000001"/>
    <s v="n/a"/>
    <n v="531.65969999999993"/>
    <n v="531.65969999999993"/>
    <n v="-10.424700000000144"/>
    <m/>
    <m/>
    <n v="98.455500000000001"/>
    <m/>
    <n v="531.65969999999993"/>
    <n v="-10.424700000000144"/>
    <m/>
    <m/>
    <n v="98.455500000000001"/>
    <m/>
    <n v="531.65969999999993"/>
    <n v="-10.424700000000144"/>
    <n v="531.65969999999993"/>
    <n v="531.65969999999993"/>
    <n v="531.65969999999993"/>
    <n v="531.65969999999993"/>
    <n v="2126.6387999999997"/>
    <s v="NA"/>
    <m/>
  </r>
  <r>
    <s v="NSG"/>
    <x v="4"/>
    <s v="Multi-Family"/>
    <s v="MF IHWAP"/>
    <x v="3"/>
    <s v="Boiler (Replace Manual)"/>
    <s v="MF"/>
    <x v="3"/>
    <s v="5.3.16"/>
    <s v="each"/>
    <n v="6"/>
    <n v="8"/>
    <n v="14"/>
    <n v="15"/>
    <s v="RS-HVC-ADTH-V08-230101"/>
    <m/>
    <n v="100.386"/>
    <n v="100.386"/>
    <n v="100.386"/>
    <n v="100.386"/>
    <n v="1"/>
    <n v="1"/>
    <n v="1"/>
    <n v="1"/>
    <n v="602.31600000000003"/>
    <n v="803.08799999999997"/>
    <n v="1405.404"/>
    <n v="1505.79"/>
    <n v="4316.598"/>
    <n v="1"/>
    <n v="1"/>
    <n v="1"/>
    <n v="1"/>
    <n v="1"/>
    <n v="1"/>
    <n v="1"/>
    <n v="1"/>
    <m/>
    <m/>
    <n v="98.455500000000001"/>
    <m/>
    <n v="590.73299999999995"/>
    <n v="-11.583000000000084"/>
    <m/>
    <m/>
    <n v="98.455500000000001"/>
    <s v="n/a"/>
    <n v="787.64400000000001"/>
    <n v="787.64400000000001"/>
    <n v="-15.44399999999996"/>
    <m/>
    <m/>
    <n v="98.455500000000001"/>
    <m/>
    <n v="1378.377"/>
    <n v="-27.027000000000044"/>
    <m/>
    <m/>
    <n v="98.455500000000001"/>
    <m/>
    <n v="1476.8325"/>
    <n v="-28.957499999999982"/>
    <n v="590.73299999999995"/>
    <n v="787.64400000000001"/>
    <n v="1378.377"/>
    <n v="1476.8325"/>
    <n v="4233.5864999999994"/>
    <s v="NA"/>
    <m/>
  </r>
  <r>
    <s v="NSG"/>
    <x v="4"/>
    <s v="Multi-Family"/>
    <s v="MF IHWAP"/>
    <x v="3"/>
    <s v="Furnace (Replace Manual)"/>
    <s v="MF"/>
    <x v="3"/>
    <s v="5.3.16"/>
    <s v="each"/>
    <n v="9"/>
    <n v="11"/>
    <n v="20"/>
    <n v="23"/>
    <s v="RS-HVC-ADTH-V08-230101"/>
    <m/>
    <n v="67.938000000000002"/>
    <n v="67.938000000000002"/>
    <n v="67.938000000000002"/>
    <n v="67.938000000000002"/>
    <n v="1"/>
    <n v="1"/>
    <n v="1"/>
    <n v="1"/>
    <n v="611.44200000000001"/>
    <n v="747.31799999999998"/>
    <n v="1358.76"/>
    <n v="1562.5740000000001"/>
    <n v="4280.0940000000001"/>
    <n v="1"/>
    <n v="1"/>
    <n v="1"/>
    <n v="1"/>
    <n v="1"/>
    <n v="1"/>
    <n v="1"/>
    <n v="1"/>
    <m/>
    <m/>
    <n v="66.631500000000003"/>
    <m/>
    <n v="599.68349999999998"/>
    <n v="-11.758500000000026"/>
    <m/>
    <m/>
    <n v="66.631500000000003"/>
    <s v="n/a"/>
    <n v="732.94650000000001"/>
    <n v="732.94650000000001"/>
    <n v="-14.371499999999969"/>
    <m/>
    <m/>
    <n v="66.631500000000003"/>
    <m/>
    <n v="1332.63"/>
    <n v="-26.129999999999882"/>
    <m/>
    <m/>
    <n v="66.631500000000003"/>
    <m/>
    <n v="1532.5245"/>
    <n v="-30.04950000000008"/>
    <n v="599.68349999999998"/>
    <n v="732.94650000000001"/>
    <n v="1332.63"/>
    <n v="1532.5245"/>
    <n v="4197.7844999999998"/>
    <s v="NA"/>
    <m/>
  </r>
  <r>
    <s v="NSG"/>
    <x v="3"/>
    <s v="Multi-Family"/>
    <s v="Direct Install"/>
    <x v="3"/>
    <s v="Furnace (Replace Programmable)"/>
    <s v="MF"/>
    <x v="3"/>
    <s v="5.3.16"/>
    <s v="each"/>
    <n v="11"/>
    <n v="11"/>
    <n v="11"/>
    <n v="11"/>
    <s v="RS-HVC-ADTH-V08-230101"/>
    <m/>
    <n v="47.687249999999999"/>
    <n v="47.687249999999999"/>
    <n v="47.687249999999999"/>
    <n v="47.687249999999999"/>
    <n v="0.9"/>
    <n v="0.9"/>
    <n v="0.9"/>
    <n v="0.9"/>
    <n v="472.10377500000004"/>
    <n v="472.10377500000004"/>
    <n v="472.10377500000004"/>
    <n v="472.10377500000004"/>
    <n v="1888.4151000000002"/>
    <n v="0.9"/>
    <n v="0.9"/>
    <n v="0.9"/>
    <n v="0.9"/>
    <n v="0.9"/>
    <n v="0.9"/>
    <n v="0.9"/>
    <n v="0.9"/>
    <m/>
    <m/>
    <n v="46.380749999999992"/>
    <m/>
    <n v="459.16942499999993"/>
    <n v="-12.934350000000109"/>
    <m/>
    <m/>
    <n v="46.380749999999992"/>
    <s v="n/a"/>
    <n v="459.16942499999993"/>
    <n v="459.16942499999993"/>
    <n v="-12.934350000000109"/>
    <m/>
    <m/>
    <n v="46.380749999999992"/>
    <m/>
    <n v="459.16942499999993"/>
    <n v="-12.934350000000109"/>
    <m/>
    <m/>
    <n v="46.380749999999992"/>
    <m/>
    <n v="459.16942499999993"/>
    <n v="-12.934350000000109"/>
    <n v="459.16942499999993"/>
    <n v="459.16942499999993"/>
    <n v="459.16942499999993"/>
    <n v="459.16942499999993"/>
    <n v="1836.6776999999997"/>
    <s v="NA"/>
    <m/>
  </r>
  <r>
    <s v="NSG"/>
    <x v="3"/>
    <s v="Multi-Family"/>
    <s v="Direct Install"/>
    <x v="3"/>
    <s v="Boiler (Replace Programmable)"/>
    <s v="MF"/>
    <x v="3"/>
    <s v="5.3.16"/>
    <s v="each"/>
    <n v="10"/>
    <n v="10"/>
    <n v="10"/>
    <n v="10"/>
    <s v="RS-HVC-ADTH-V08-230101"/>
    <m/>
    <n v="70.463249999999988"/>
    <n v="70.463249999999988"/>
    <n v="70.463249999999988"/>
    <n v="70.463249999999988"/>
    <n v="0.9"/>
    <n v="0.9"/>
    <n v="0.9"/>
    <n v="0.9"/>
    <n v="634.16924999999992"/>
    <n v="634.16924999999992"/>
    <n v="634.16924999999992"/>
    <n v="634.16924999999992"/>
    <n v="2536.6769999999997"/>
    <n v="0.9"/>
    <n v="0.9"/>
    <n v="0.9"/>
    <n v="0.9"/>
    <n v="0.9"/>
    <n v="0.9"/>
    <n v="0.9"/>
    <n v="0.9"/>
    <m/>
    <m/>
    <n v="68.532749999999993"/>
    <m/>
    <n v="616.79474999999991"/>
    <n v="-17.374500000000012"/>
    <m/>
    <m/>
    <n v="68.532749999999993"/>
    <s v="n/a"/>
    <n v="616.79474999999991"/>
    <n v="616.79474999999991"/>
    <n v="-17.374500000000012"/>
    <m/>
    <m/>
    <n v="68.532749999999993"/>
    <m/>
    <n v="616.79474999999991"/>
    <n v="-17.374500000000012"/>
    <m/>
    <m/>
    <n v="68.532749999999993"/>
    <m/>
    <n v="616.79474999999991"/>
    <n v="-17.374500000000012"/>
    <n v="616.79474999999991"/>
    <n v="616.79474999999991"/>
    <n v="616.79474999999991"/>
    <n v="616.79474999999991"/>
    <n v="2467.1789999999996"/>
    <s v="NA"/>
    <m/>
  </r>
  <r>
    <s v="NSG"/>
    <x v="4"/>
    <s v="Single Family"/>
    <s v="IHWAP"/>
    <x v="3"/>
    <s v="Furnace (Replace Programmable)"/>
    <s v="SF"/>
    <x v="3"/>
    <s v="5.3.16"/>
    <s v="each"/>
    <n v="10"/>
    <n v="11"/>
    <n v="14"/>
    <n v="15"/>
    <s v="RS-HVC-ADTH-V08-230101"/>
    <m/>
    <n v="73.364999999999995"/>
    <n v="73.364999999999995"/>
    <n v="73.364999999999995"/>
    <n v="73.364999999999995"/>
    <n v="1"/>
    <n v="1"/>
    <n v="1"/>
    <n v="1"/>
    <n v="733.65"/>
    <n v="807.01499999999999"/>
    <n v="1027.1099999999999"/>
    <n v="1100.4749999999999"/>
    <n v="3668.2499999999995"/>
    <n v="1"/>
    <n v="1"/>
    <n v="1"/>
    <n v="1"/>
    <n v="1"/>
    <n v="1"/>
    <n v="1"/>
    <n v="1"/>
    <m/>
    <m/>
    <n v="71.35499999999999"/>
    <m/>
    <n v="713.55"/>
    <n v="-20.100000000000023"/>
    <m/>
    <m/>
    <n v="71.35499999999999"/>
    <s v="n/a"/>
    <n v="784.90499999999986"/>
    <n v="784.90499999999986"/>
    <n v="-22.110000000000127"/>
    <m/>
    <m/>
    <n v="71.35499999999999"/>
    <m/>
    <n v="998.9699999999998"/>
    <n v="-28.1400000000001"/>
    <m/>
    <m/>
    <n v="71.35499999999999"/>
    <m/>
    <n v="1070.3249999999998"/>
    <n v="-30.150000000000091"/>
    <n v="713.55"/>
    <n v="784.90499999999986"/>
    <n v="998.9699999999998"/>
    <n v="1070.3249999999998"/>
    <n v="3567.7499999999995"/>
    <s v="NA"/>
    <m/>
  </r>
  <r>
    <s v="NSG"/>
    <x v="4"/>
    <s v="Single Family"/>
    <s v="IHWAP"/>
    <x v="3"/>
    <s v="Furnace (Replace Manual)"/>
    <s v="SF"/>
    <x v="3"/>
    <s v="5.3.16"/>
    <s v="each"/>
    <n v="10"/>
    <n v="11"/>
    <n v="14"/>
    <n v="15"/>
    <s v="RS-HVC-ADTH-V08-230101"/>
    <m/>
    <n v="104.52"/>
    <n v="104.52"/>
    <n v="104.52"/>
    <n v="104.52"/>
    <n v="1"/>
    <n v="1"/>
    <n v="1"/>
    <n v="1"/>
    <n v="1045.2"/>
    <n v="1149.72"/>
    <n v="1463.28"/>
    <n v="1567.8"/>
    <n v="5226"/>
    <n v="1"/>
    <n v="1"/>
    <n v="1"/>
    <n v="1"/>
    <n v="1"/>
    <n v="1"/>
    <n v="1"/>
    <n v="1"/>
    <m/>
    <m/>
    <n v="102.50999999999999"/>
    <m/>
    <n v="1025.0999999999999"/>
    <n v="-20.100000000000136"/>
    <m/>
    <m/>
    <n v="102.50999999999999"/>
    <s v="n/a"/>
    <n v="1127.6099999999999"/>
    <n v="1127.6099999999999"/>
    <n v="-22.110000000000127"/>
    <m/>
    <m/>
    <n v="102.50999999999999"/>
    <m/>
    <n v="1435.1399999999999"/>
    <n v="-28.1400000000001"/>
    <m/>
    <m/>
    <n v="102.50999999999999"/>
    <m/>
    <n v="1537.6499999999999"/>
    <n v="-30.150000000000091"/>
    <n v="1025.0999999999999"/>
    <n v="1127.6099999999999"/>
    <n v="1435.1399999999999"/>
    <n v="1537.6499999999999"/>
    <n v="5125.5"/>
    <s v="NA"/>
    <m/>
  </r>
  <r>
    <s v="NSG"/>
    <x v="4"/>
    <s v="Single Family"/>
    <s v="IHWAP"/>
    <x v="3"/>
    <s v="Boiler (Replace Manual)"/>
    <s v="SF"/>
    <x v="3"/>
    <s v="5.3.16"/>
    <s v="each"/>
    <n v="10"/>
    <n v="11"/>
    <n v="14"/>
    <n v="15"/>
    <s v="RS-HVC-ADTH-V08-230101"/>
    <m/>
    <n v="154.44"/>
    <n v="154.44"/>
    <n v="154.44"/>
    <n v="154.44"/>
    <n v="1"/>
    <n v="1"/>
    <n v="1"/>
    <n v="1"/>
    <n v="1544.4"/>
    <n v="1698.84"/>
    <n v="2162.16"/>
    <n v="2316.6"/>
    <n v="7722"/>
    <n v="1"/>
    <n v="1"/>
    <n v="1"/>
    <n v="1"/>
    <n v="1"/>
    <n v="1"/>
    <n v="1"/>
    <n v="1"/>
    <m/>
    <m/>
    <n v="151.47"/>
    <m/>
    <n v="1514.7"/>
    <n v="-29.700000000000045"/>
    <m/>
    <m/>
    <n v="151.47"/>
    <s v="n/a"/>
    <n v="1666.17"/>
    <n v="1666.17"/>
    <n v="-32.669999999999845"/>
    <m/>
    <m/>
    <n v="151.47"/>
    <m/>
    <n v="2120.58"/>
    <n v="-41.579999999999927"/>
    <m/>
    <m/>
    <n v="151.47"/>
    <m/>
    <n v="2272.0500000000002"/>
    <n v="-44.549999999999727"/>
    <n v="1514.7"/>
    <n v="1666.17"/>
    <n v="2120.58"/>
    <n v="2272.0500000000002"/>
    <n v="7573.5"/>
    <s v="NA"/>
    <m/>
  </r>
  <r>
    <s v="NSG"/>
    <x v="4"/>
    <s v="Single Family"/>
    <s v="IHWAP"/>
    <x v="3"/>
    <s v="Boiler (Replace Programmable)"/>
    <s v="SF"/>
    <x v="3"/>
    <s v="5.3.16"/>
    <s v="each"/>
    <n v="10"/>
    <n v="11"/>
    <n v="14"/>
    <n v="15"/>
    <s v="RS-HVC-ADTH-V08-230101"/>
    <m/>
    <n v="108.40499999999999"/>
    <n v="108.40499999999999"/>
    <n v="108.40499999999999"/>
    <n v="108.40499999999999"/>
    <n v="1"/>
    <n v="1"/>
    <n v="1"/>
    <n v="1"/>
    <n v="1084.05"/>
    <n v="1192.4549999999999"/>
    <n v="1517.6699999999998"/>
    <n v="1626.0749999999998"/>
    <n v="5420.25"/>
    <n v="1"/>
    <n v="1"/>
    <n v="1"/>
    <n v="1"/>
    <n v="1"/>
    <n v="1"/>
    <n v="1"/>
    <n v="1"/>
    <m/>
    <m/>
    <n v="105.43499999999999"/>
    <m/>
    <n v="1054.3499999999999"/>
    <n v="-29.700000000000045"/>
    <m/>
    <m/>
    <n v="105.43499999999999"/>
    <s v="n/a"/>
    <n v="1159.7849999999999"/>
    <n v="1159.7849999999999"/>
    <n v="-32.670000000000073"/>
    <m/>
    <m/>
    <n v="105.43499999999999"/>
    <m/>
    <n v="1476.09"/>
    <n v="-41.579999999999927"/>
    <m/>
    <m/>
    <n v="105.43499999999999"/>
    <m/>
    <n v="1581.5249999999999"/>
    <n v="-44.549999999999955"/>
    <n v="1054.3499999999999"/>
    <n v="1159.7849999999999"/>
    <n v="1476.09"/>
    <n v="1581.5249999999999"/>
    <n v="5271.7499999999991"/>
    <s v="NA"/>
    <m/>
  </r>
  <r>
    <s v="NSG"/>
    <x v="3"/>
    <s v="Home Energy Jumpstart"/>
    <s v="Core"/>
    <x v="3"/>
    <s v="Furnace (Replace Manual)"/>
    <s v="SF"/>
    <x v="3"/>
    <s v="5.3.16"/>
    <s v="each"/>
    <n v="61"/>
    <n v="55"/>
    <n v="49"/>
    <n v="43"/>
    <s v="RS-HVC-ADTH-V08-230101"/>
    <m/>
    <n v="104.52"/>
    <n v="104.52"/>
    <n v="104.52"/>
    <n v="104.52"/>
    <n v="0.9"/>
    <n v="0.9"/>
    <n v="0.9"/>
    <n v="0.9"/>
    <n v="5738.1479999999992"/>
    <n v="5173.74"/>
    <n v="4609.3319999999994"/>
    <n v="4044.924"/>
    <n v="19566.143999999997"/>
    <n v="0.9"/>
    <n v="0.9"/>
    <n v="0.9"/>
    <n v="0.9"/>
    <n v="0.9"/>
    <n v="0.9"/>
    <n v="0.9"/>
    <n v="0.9"/>
    <m/>
    <m/>
    <n v="102.50999999999999"/>
    <m/>
    <n v="5627.799"/>
    <n v="-110.34899999999925"/>
    <m/>
    <m/>
    <n v="102.50999999999999"/>
    <s v="n/a"/>
    <n v="5074.2449999999999"/>
    <n v="5074.2449999999999"/>
    <n v="-99.494999999999891"/>
    <m/>
    <m/>
    <n v="102.50999999999999"/>
    <m/>
    <n v="4520.6909999999998"/>
    <n v="-88.640999999999622"/>
    <m/>
    <m/>
    <n v="102.50999999999999"/>
    <m/>
    <n v="3967.1369999999997"/>
    <n v="-77.787000000000262"/>
    <n v="5627.799"/>
    <n v="5074.2449999999999"/>
    <n v="4520.6909999999998"/>
    <n v="3967.1369999999997"/>
    <n v="19189.871999999999"/>
    <s v="NA"/>
    <m/>
  </r>
  <r>
    <s v="NSG"/>
    <x v="5"/>
    <s v="Small/Mid-Size Business"/>
    <s v="Partner Trade Ally Rebate"/>
    <x v="72"/>
    <n v="0"/>
    <s v="CI"/>
    <x v="3"/>
    <s v="4.4.48"/>
    <s v="each"/>
    <n v="5"/>
    <n v="4"/>
    <n v="4"/>
    <n v="4"/>
    <s v="CI-HVC-THST-V05-230101"/>
    <m/>
    <n v="196.26391399999997"/>
    <n v="196.26391399999997"/>
    <n v="196.26391399999997"/>
    <n v="196.26391399999997"/>
    <n v="0.97"/>
    <n v="0.97"/>
    <n v="0.97"/>
    <n v="0.97"/>
    <n v="951.87998289999985"/>
    <n v="761.50398631999985"/>
    <n v="761.50398631999985"/>
    <n v="761.50398631999985"/>
    <n v="3236.3919418599994"/>
    <n v="0.97"/>
    <n v="0.97"/>
    <n v="0.97"/>
    <n v="0.97"/>
    <n v="0.97"/>
    <n v="0.97"/>
    <n v="0.97"/>
    <n v="0.97"/>
    <m/>
    <m/>
    <n v="157.01113119999999"/>
    <m/>
    <n v="761.50398631999997"/>
    <n v="-190.37599657999988"/>
    <m/>
    <m/>
    <n v="157.01113119999999"/>
    <s v="n/a"/>
    <n v="609.20318905599993"/>
    <n v="609.20318905599993"/>
    <n v="-152.30079726399993"/>
    <m/>
    <m/>
    <n v="157.01113119999999"/>
    <m/>
    <n v="609.20318905599993"/>
    <n v="-152.30079726399993"/>
    <m/>
    <m/>
    <n v="157.01113119999999"/>
    <m/>
    <n v="609.20318905599993"/>
    <n v="-152.30079726399993"/>
    <n v="761.50398631999997"/>
    <n v="609.20318905599993"/>
    <n v="609.20318905599993"/>
    <n v="609.20318905599993"/>
    <n v="2589.1135534879995"/>
    <s v="NA"/>
    <m/>
  </r>
  <r>
    <s v="NSG"/>
    <x v="3"/>
    <s v="Home Energy Jumpstart"/>
    <s v="Core"/>
    <x v="3"/>
    <s v="Furnace (Replace Programmable)"/>
    <s v="SF"/>
    <x v="3"/>
    <s v="5.3.16"/>
    <s v="each"/>
    <n v="111"/>
    <n v="100"/>
    <n v="89"/>
    <n v="77"/>
    <s v="RS-HVC-ADTH-V08-230101"/>
    <m/>
    <n v="73.364999999999995"/>
    <n v="73.364999999999995"/>
    <n v="73.364999999999995"/>
    <n v="73.364999999999995"/>
    <n v="0.9"/>
    <n v="0.9"/>
    <n v="0.9"/>
    <n v="0.9"/>
    <n v="7329.1634999999997"/>
    <n v="6602.8499999999995"/>
    <n v="5876.5365000000002"/>
    <n v="5084.1944999999996"/>
    <n v="24892.744500000001"/>
    <n v="0.9"/>
    <n v="0.9"/>
    <n v="0.9"/>
    <n v="0.9"/>
    <n v="0.9"/>
    <n v="0.9"/>
    <n v="0.9"/>
    <n v="0.9"/>
    <m/>
    <m/>
    <n v="71.35499999999999"/>
    <m/>
    <n v="7128.3644999999988"/>
    <n v="-200.79900000000089"/>
    <m/>
    <m/>
    <n v="71.35499999999999"/>
    <s v="n/a"/>
    <n v="6421.9499999999989"/>
    <n v="6421.9499999999989"/>
    <n v="-180.90000000000055"/>
    <m/>
    <m/>
    <n v="71.35499999999999"/>
    <m/>
    <n v="5715.5355"/>
    <n v="-161.0010000000002"/>
    <m/>
    <m/>
    <n v="71.35499999999999"/>
    <m/>
    <n v="4944.901499999999"/>
    <n v="-139.29300000000057"/>
    <n v="7128.3644999999988"/>
    <n v="6421.9499999999989"/>
    <n v="5715.5355"/>
    <n v="4944.901499999999"/>
    <n v="24210.751499999998"/>
    <s v="NA"/>
    <m/>
  </r>
  <r>
    <m/>
    <x v="2"/>
    <m/>
    <m/>
    <x v="2"/>
    <m/>
    <m/>
    <x v="2"/>
    <m/>
    <m/>
    <m/>
    <m/>
    <m/>
    <m/>
    <m/>
    <m/>
    <m/>
    <m/>
    <m/>
    <m/>
    <m/>
    <m/>
    <m/>
    <m/>
    <m/>
    <m/>
    <m/>
    <m/>
    <m/>
    <m/>
    <m/>
    <m/>
    <m/>
    <m/>
    <m/>
    <m/>
    <m/>
    <m/>
    <m/>
    <m/>
    <m/>
    <m/>
    <m/>
    <m/>
    <m/>
    <m/>
    <m/>
    <m/>
    <m/>
    <m/>
    <m/>
    <m/>
    <m/>
    <m/>
    <m/>
    <m/>
    <m/>
    <m/>
    <m/>
    <m/>
    <m/>
    <m/>
    <m/>
    <m/>
    <m/>
    <m/>
    <m/>
    <m/>
    <m/>
  </r>
  <r>
    <m/>
    <x v="2"/>
    <m/>
    <m/>
    <x v="2"/>
    <m/>
    <m/>
    <x v="2"/>
    <m/>
    <m/>
    <m/>
    <m/>
    <m/>
    <m/>
    <m/>
    <m/>
    <m/>
    <m/>
    <m/>
    <m/>
    <m/>
    <m/>
    <m/>
    <m/>
    <m/>
    <m/>
    <m/>
    <m/>
    <m/>
    <m/>
    <m/>
    <m/>
    <m/>
    <m/>
    <m/>
    <m/>
    <m/>
    <m/>
    <m/>
    <m/>
    <m/>
    <m/>
    <m/>
    <m/>
    <m/>
    <m/>
    <m/>
    <m/>
    <m/>
    <m/>
    <m/>
    <m/>
    <m/>
    <m/>
    <m/>
    <m/>
    <m/>
    <m/>
    <m/>
    <m/>
    <m/>
    <m/>
    <m/>
    <m/>
    <m/>
    <m/>
    <m/>
    <m/>
    <m/>
  </r>
  <r>
    <s v="Portfolio Total (Therms)"/>
    <x v="2"/>
    <m/>
    <m/>
    <x v="2"/>
    <m/>
    <m/>
    <x v="2"/>
    <m/>
    <m/>
    <m/>
    <m/>
    <m/>
    <m/>
    <m/>
    <m/>
    <m/>
    <m/>
    <m/>
    <m/>
    <m/>
    <m/>
    <m/>
    <m/>
    <n v="1664852.6997827382"/>
    <n v="1612312.8214387703"/>
    <n v="1504589.1260986596"/>
    <n v="1466711.7263261187"/>
    <n v="6248466.3736462872"/>
    <m/>
    <m/>
    <m/>
    <m/>
    <m/>
    <m/>
    <m/>
    <m/>
    <m/>
    <m/>
    <m/>
    <m/>
    <m/>
    <n v="35295.011291189818"/>
    <m/>
    <m/>
    <m/>
    <m/>
    <m/>
    <m/>
    <n v="131648.54490751089"/>
    <m/>
    <m/>
    <m/>
    <m/>
    <m/>
    <n v="121958.5652326644"/>
    <m/>
    <m/>
    <m/>
    <m/>
    <m/>
    <n v="122863.45454318592"/>
    <n v="1700147.7110739278"/>
    <n v="1743961.366346281"/>
    <n v="1626547.6913313232"/>
    <n v="1589575.1808693034"/>
    <n v="6660231.9496208318"/>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6032244-9233-4DF2-81D5-C4B97A8B6862}" name="PivotTable1" cacheId="7"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B5:C90" firstHeaderRow="1" firstDataRow="1" firstDataCol="1" rowPageCount="1" colPageCount="1"/>
  <pivotFields count="70">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7">
        <item h="1" x="0"/>
        <item h="1" x="1"/>
        <item x="3"/>
        <item x="5"/>
        <item x="4"/>
        <item x="6"/>
        <item h="1" x="2"/>
      </items>
      <extLst>
        <ext xmlns:x14="http://schemas.microsoft.com/office/spreadsheetml/2009/9/main" uri="{2946ED86-A175-432a-8AC1-64E0C546D7DE}">
          <x14:pivotField fillDownLabels="1"/>
        </ext>
      </extLst>
    </pivotField>
    <pivotField compact="0" outline="0" showAll="0" sortType="descending" defaultSubtotal="0">
      <items count="13">
        <item h="1" x="0"/>
        <item h="1" x="1"/>
        <item x="8"/>
        <item x="10"/>
        <item x="12"/>
        <item x="4"/>
        <item x="3"/>
        <item x="6"/>
        <item x="11"/>
        <item x="9"/>
        <item x="5"/>
        <item x="7"/>
        <item h="1" x="2"/>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descending" defaultSubtotal="0">
      <items count="91">
        <item h="1" x="0"/>
        <item h="1" x="1"/>
        <item x="52"/>
        <item x="3"/>
        <item x="88"/>
        <item x="19"/>
        <item x="18"/>
        <item x="17"/>
        <item x="28"/>
        <item x="51"/>
        <item x="34"/>
        <item x="21"/>
        <item x="22"/>
        <item x="25"/>
        <item x="76"/>
        <item x="24"/>
        <item x="59"/>
        <item x="38"/>
        <item x="70"/>
        <item x="27"/>
        <item x="50"/>
        <item x="31"/>
        <item x="8"/>
        <item x="71"/>
        <item x="66"/>
        <item x="40"/>
        <item x="53"/>
        <item x="33"/>
        <item x="36"/>
        <item x="75"/>
        <item x="54"/>
        <item x="60"/>
        <item x="61"/>
        <item x="14"/>
        <item x="57"/>
        <item x="77"/>
        <item x="69"/>
        <item x="86"/>
        <item x="45"/>
        <item x="37"/>
        <item x="65"/>
        <item x="82"/>
        <item x="80"/>
        <item x="85"/>
        <item x="81"/>
        <item x="48"/>
        <item x="49"/>
        <item x="78"/>
        <item x="43"/>
        <item x="42"/>
        <item x="16"/>
        <item x="62"/>
        <item x="73"/>
        <item x="63"/>
        <item x="64"/>
        <item x="79"/>
        <item x="90"/>
        <item x="83"/>
        <item x="29"/>
        <item x="11"/>
        <item x="7"/>
        <item x="5"/>
        <item x="56"/>
        <item x="46"/>
        <item x="30"/>
        <item x="74"/>
        <item x="58"/>
        <item x="4"/>
        <item x="10"/>
        <item x="6"/>
        <item x="89"/>
        <item x="9"/>
        <item x="87"/>
        <item x="84"/>
        <item x="72"/>
        <item x="47"/>
        <item x="68"/>
        <item x="67"/>
        <item x="35"/>
        <item x="55"/>
        <item x="41"/>
        <item x="20"/>
        <item x="13"/>
        <item x="44"/>
        <item x="39"/>
        <item x="32"/>
        <item x="12"/>
        <item x="15"/>
        <item x="26"/>
        <item x="23"/>
        <item h="1" x="2"/>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5">
        <item x="4"/>
        <item x="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ubtotalTop="0" dragToRow="0" dragToCol="0" dragToPage="0" showAll="0" defaultSubtotal="0">
      <extLst>
        <ext xmlns:x14="http://schemas.microsoft.com/office/spreadsheetml/2009/9/main" uri="{2946ED86-A175-432a-8AC1-64E0C546D7DE}">
          <x14:pivotField fillDownLabels="1"/>
        </ext>
      </extLst>
    </pivotField>
  </pivotFields>
  <rowFields count="1">
    <field x="4"/>
  </rowFields>
  <rowItems count="85">
    <i>
      <x v="80"/>
    </i>
    <i>
      <x v="16"/>
    </i>
    <i>
      <x v="60"/>
    </i>
    <i>
      <x v="88"/>
    </i>
    <i>
      <x v="25"/>
    </i>
    <i>
      <x v="71"/>
    </i>
    <i>
      <x v="84"/>
    </i>
    <i>
      <x v="4"/>
    </i>
    <i>
      <x v="51"/>
    </i>
    <i>
      <x v="9"/>
    </i>
    <i>
      <x v="74"/>
    </i>
    <i>
      <x v="10"/>
    </i>
    <i>
      <x v="47"/>
    </i>
    <i>
      <x v="11"/>
    </i>
    <i>
      <x v="55"/>
    </i>
    <i>
      <x v="13"/>
    </i>
    <i>
      <x v="68"/>
    </i>
    <i>
      <x v="14"/>
    </i>
    <i>
      <x v="5"/>
    </i>
    <i>
      <x v="15"/>
    </i>
    <i>
      <x v="45"/>
    </i>
    <i>
      <x v="3"/>
    </i>
    <i>
      <x v="49"/>
    </i>
    <i>
      <x v="17"/>
    </i>
    <i>
      <x v="53"/>
    </i>
    <i>
      <x v="18"/>
    </i>
    <i>
      <x v="57"/>
    </i>
    <i>
      <x v="20"/>
    </i>
    <i>
      <x v="65"/>
    </i>
    <i>
      <x v="21"/>
    </i>
    <i>
      <x v="8"/>
    </i>
    <i>
      <x v="22"/>
    </i>
    <i>
      <x v="77"/>
    </i>
    <i>
      <x v="23"/>
    </i>
    <i>
      <x v="82"/>
    </i>
    <i>
      <x v="24"/>
    </i>
    <i>
      <x v="6"/>
    </i>
    <i>
      <x v="7"/>
    </i>
    <i>
      <x v="2"/>
    </i>
    <i>
      <x v="26"/>
    </i>
    <i>
      <x v="48"/>
    </i>
    <i>
      <x v="27"/>
    </i>
    <i>
      <x v="50"/>
    </i>
    <i>
      <x v="29"/>
    </i>
    <i>
      <x v="52"/>
    </i>
    <i>
      <x v="31"/>
    </i>
    <i>
      <x v="54"/>
    </i>
    <i>
      <x v="32"/>
    </i>
    <i>
      <x v="56"/>
    </i>
    <i>
      <x v="33"/>
    </i>
    <i>
      <x v="58"/>
    </i>
    <i>
      <x v="34"/>
    </i>
    <i>
      <x v="62"/>
    </i>
    <i>
      <x v="35"/>
    </i>
    <i>
      <x v="66"/>
    </i>
    <i>
      <x v="36"/>
    </i>
    <i>
      <x v="69"/>
    </i>
    <i>
      <x v="70"/>
    </i>
    <i>
      <x v="72"/>
    </i>
    <i>
      <x v="37"/>
    </i>
    <i>
      <x v="73"/>
    </i>
    <i>
      <x v="38"/>
    </i>
    <i>
      <x v="76"/>
    </i>
    <i>
      <x v="39"/>
    </i>
    <i>
      <x v="79"/>
    </i>
    <i>
      <x v="40"/>
    </i>
    <i>
      <x v="81"/>
    </i>
    <i>
      <x v="41"/>
    </i>
    <i>
      <x v="83"/>
    </i>
    <i>
      <x v="87"/>
    </i>
    <i>
      <x v="85"/>
    </i>
    <i>
      <x v="89"/>
    </i>
    <i>
      <x v="44"/>
    </i>
    <i>
      <x v="42"/>
    </i>
    <i>
      <x v="43"/>
    </i>
    <i>
      <x v="46"/>
    </i>
    <i>
      <x v="86"/>
    </i>
    <i>
      <x v="59"/>
    </i>
    <i>
      <x v="61"/>
    </i>
    <i>
      <x v="63"/>
    </i>
    <i>
      <x v="30"/>
    </i>
    <i>
      <x v="64"/>
    </i>
    <i>
      <x v="67"/>
    </i>
    <i>
      <x v="78"/>
    </i>
    <i t="grand">
      <x/>
    </i>
  </rowItems>
  <colItems count="1">
    <i/>
  </colItems>
  <pageFields count="1">
    <pageField fld="7" item="1" hier="-1"/>
  </pageFields>
  <dataFields count="1">
    <dataField name="Sum of 2023 v11 - 2023 v10" fld="69" baseField="0" baseItem="0"/>
  </dataFields>
  <formats count="11">
    <format dxfId="23">
      <pivotArea field="1" type="button" dataOnly="0" labelOnly="1" outline="0"/>
    </format>
    <format dxfId="22">
      <pivotArea field="2" type="button" dataOnly="0" labelOnly="1" outline="0"/>
    </format>
    <format dxfId="21">
      <pivotArea outline="0" collapsedLevelsAreSubtotals="1" fieldPosition="0"/>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Row" fieldPosition="0"/>
    </format>
    <format dxfId="16">
      <pivotArea dataOnly="0" labelOnly="1" outline="0" fieldPosition="0">
        <references count="1">
          <reference field="4" count="50">
            <x v="2"/>
            <x v="3"/>
            <x v="4"/>
            <x v="5"/>
            <x v="6"/>
            <x v="7"/>
            <x v="8"/>
            <x v="9"/>
            <x v="10"/>
            <x v="11"/>
            <x v="13"/>
            <x v="14"/>
            <x v="15"/>
            <x v="16"/>
            <x v="17"/>
            <x v="18"/>
            <x v="20"/>
            <x v="21"/>
            <x v="22"/>
            <x v="23"/>
            <x v="24"/>
            <x v="25"/>
            <x v="26"/>
            <x v="27"/>
            <x v="29"/>
            <x v="31"/>
            <x v="32"/>
            <x v="33"/>
            <x v="45"/>
            <x v="47"/>
            <x v="48"/>
            <x v="49"/>
            <x v="50"/>
            <x v="51"/>
            <x v="52"/>
            <x v="53"/>
            <x v="54"/>
            <x v="55"/>
            <x v="56"/>
            <x v="57"/>
            <x v="60"/>
            <x v="65"/>
            <x v="68"/>
            <x v="71"/>
            <x v="74"/>
            <x v="77"/>
            <x v="80"/>
            <x v="82"/>
            <x v="84"/>
            <x v="88"/>
          </reference>
        </references>
      </pivotArea>
    </format>
    <format dxfId="15">
      <pivotArea dataOnly="0" labelOnly="1" outline="0" fieldPosition="0">
        <references count="1">
          <reference field="4" count="34">
            <x v="30"/>
            <x v="34"/>
            <x v="35"/>
            <x v="36"/>
            <x v="37"/>
            <x v="38"/>
            <x v="39"/>
            <x v="40"/>
            <x v="41"/>
            <x v="42"/>
            <x v="43"/>
            <x v="44"/>
            <x v="46"/>
            <x v="58"/>
            <x v="59"/>
            <x v="61"/>
            <x v="62"/>
            <x v="63"/>
            <x v="64"/>
            <x v="66"/>
            <x v="67"/>
            <x v="69"/>
            <x v="70"/>
            <x v="72"/>
            <x v="73"/>
            <x v="76"/>
            <x v="78"/>
            <x v="79"/>
            <x v="81"/>
            <x v="83"/>
            <x v="85"/>
            <x v="86"/>
            <x v="87"/>
            <x v="89"/>
          </reference>
        </references>
      </pivotArea>
    </format>
    <format dxfId="14">
      <pivotArea dataOnly="0" labelOnly="1" grandRow="1" outline="0" fieldPosition="0"/>
    </format>
    <format dxfId="1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42230D9-EDAF-4E51-A429-5D5F9C996C70}" name="PivotTable5" cacheId="8"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3:D148" firstHeaderRow="0" firstDataRow="1" firstDataCol="2" rowPageCount="1" colPageCount="1"/>
  <pivotFields count="71">
    <pivotField compact="0" outline="0" showAll="0">
      <extLst>
        <ext xmlns:x14="http://schemas.microsoft.com/office/spreadsheetml/2009/9/main" uri="{2946ED86-A175-432a-8AC1-64E0C546D7DE}">
          <x14:pivotField fillDownLabels="1"/>
        </ext>
      </extLst>
    </pivotField>
    <pivotField axis="axisRow" compact="0" outline="0" showAll="0" sortType="descending">
      <items count="8">
        <item h="1" x="0"/>
        <item h="1" x="1"/>
        <item x="5"/>
        <item x="4"/>
        <item x="6"/>
        <item x="3"/>
        <item h="1" x="2"/>
        <item t="default"/>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descending">
      <items count="92">
        <item x="0"/>
        <item x="1"/>
        <item x="52"/>
        <item x="3"/>
        <item x="88"/>
        <item x="19"/>
        <item x="18"/>
        <item x="17"/>
        <item x="28"/>
        <item x="51"/>
        <item x="34"/>
        <item x="21"/>
        <item x="22"/>
        <item x="25"/>
        <item x="76"/>
        <item x="24"/>
        <item x="59"/>
        <item x="38"/>
        <item x="70"/>
        <item x="27"/>
        <item x="50"/>
        <item x="31"/>
        <item x="8"/>
        <item x="71"/>
        <item x="66"/>
        <item x="40"/>
        <item x="53"/>
        <item x="33"/>
        <item x="36"/>
        <item x="75"/>
        <item x="54"/>
        <item x="60"/>
        <item x="61"/>
        <item x="14"/>
        <item x="57"/>
        <item x="77"/>
        <item x="69"/>
        <item x="86"/>
        <item x="45"/>
        <item x="37"/>
        <item x="65"/>
        <item x="82"/>
        <item x="80"/>
        <item x="85"/>
        <item x="81"/>
        <item x="48"/>
        <item x="49"/>
        <item x="78"/>
        <item x="43"/>
        <item x="42"/>
        <item x="16"/>
        <item x="62"/>
        <item x="73"/>
        <item x="63"/>
        <item x="64"/>
        <item x="79"/>
        <item x="90"/>
        <item x="83"/>
        <item x="29"/>
        <item x="11"/>
        <item x="7"/>
        <item x="5"/>
        <item x="56"/>
        <item x="46"/>
        <item x="30"/>
        <item x="74"/>
        <item x="58"/>
        <item x="4"/>
        <item x="10"/>
        <item x="6"/>
        <item x="89"/>
        <item x="9"/>
        <item x="87"/>
        <item x="84"/>
        <item x="72"/>
        <item x="47"/>
        <item x="68"/>
        <item x="67"/>
        <item x="35"/>
        <item x="55"/>
        <item x="41"/>
        <item x="20"/>
        <item x="13"/>
        <item x="44"/>
        <item x="39"/>
        <item x="32"/>
        <item x="12"/>
        <item x="15"/>
        <item x="26"/>
        <item x="23"/>
        <item x="2"/>
        <item t="default"/>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showAll="0">
      <items count="6">
        <item x="4"/>
        <item x="3"/>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s>
  <rowFields count="2">
    <field x="1"/>
    <field x="4"/>
  </rowFields>
  <rowItems count="145">
    <i>
      <x v="2"/>
      <x v="80"/>
    </i>
    <i r="1">
      <x v="16"/>
    </i>
    <i r="1">
      <x v="69"/>
    </i>
    <i r="1">
      <x v="53"/>
    </i>
    <i r="1">
      <x v="8"/>
    </i>
    <i r="1">
      <x v="13"/>
    </i>
    <i r="1">
      <x v="65"/>
    </i>
    <i r="1">
      <x v="14"/>
    </i>
    <i r="1">
      <x v="10"/>
    </i>
    <i r="1">
      <x v="15"/>
    </i>
    <i r="1">
      <x v="51"/>
    </i>
    <i r="1">
      <x v="55"/>
    </i>
    <i r="1">
      <x v="11"/>
    </i>
    <i r="1">
      <x v="59"/>
    </i>
    <i r="1">
      <x v="61"/>
    </i>
    <i r="1">
      <x v="17"/>
    </i>
    <i r="1">
      <x v="67"/>
    </i>
    <i r="1">
      <x v="18"/>
    </i>
    <i r="1">
      <x v="76"/>
    </i>
    <i r="1">
      <x v="20"/>
    </i>
    <i r="1">
      <x v="84"/>
    </i>
    <i r="1">
      <x v="21"/>
    </i>
    <i r="1">
      <x v="48"/>
    </i>
    <i r="1">
      <x v="22"/>
    </i>
    <i r="1">
      <x v="52"/>
    </i>
    <i r="1">
      <x v="23"/>
    </i>
    <i r="1">
      <x v="54"/>
    </i>
    <i r="1">
      <x v="24"/>
    </i>
    <i r="1">
      <x v="58"/>
    </i>
    <i r="1">
      <x v="26"/>
    </i>
    <i r="1">
      <x v="60"/>
    </i>
    <i r="1">
      <x v="29"/>
    </i>
    <i r="1">
      <x v="62"/>
    </i>
    <i r="1">
      <x v="31"/>
    </i>
    <i r="1">
      <x v="66"/>
    </i>
    <i r="1">
      <x v="32"/>
    </i>
    <i r="1">
      <x v="68"/>
    </i>
    <i r="1">
      <x v="33"/>
    </i>
    <i r="1">
      <x v="74"/>
    </i>
    <i r="1">
      <x v="34"/>
    </i>
    <i r="1">
      <x v="77"/>
    </i>
    <i r="1">
      <x v="35"/>
    </i>
    <i r="1">
      <x v="81"/>
    </i>
    <i r="1">
      <x v="36"/>
    </i>
    <i r="1">
      <x v="86"/>
    </i>
    <i r="1">
      <x v="39"/>
    </i>
    <i r="1">
      <x v="47"/>
    </i>
    <i r="1">
      <x v="30"/>
    </i>
    <i r="1">
      <x v="78"/>
    </i>
    <i t="default">
      <x v="2"/>
    </i>
    <i>
      <x v="4"/>
      <x v="44"/>
    </i>
    <i r="1">
      <x v="42"/>
    </i>
    <i t="default">
      <x v="4"/>
    </i>
    <i>
      <x v="5"/>
      <x v="60"/>
    </i>
    <i r="1">
      <x v="85"/>
    </i>
    <i r="1">
      <x v="69"/>
    </i>
    <i r="1">
      <x v="5"/>
    </i>
    <i r="1">
      <x v="50"/>
    </i>
    <i r="1">
      <x v="6"/>
    </i>
    <i r="1">
      <x v="80"/>
    </i>
    <i r="1">
      <x v="7"/>
    </i>
    <i r="1">
      <x v="43"/>
    </i>
    <i r="1">
      <x v="8"/>
    </i>
    <i r="1">
      <x v="57"/>
    </i>
    <i r="1">
      <x v="9"/>
    </i>
    <i r="1">
      <x v="65"/>
    </i>
    <i r="1">
      <x v="10"/>
    </i>
    <i r="1">
      <x v="73"/>
    </i>
    <i r="1">
      <x v="11"/>
    </i>
    <i r="1">
      <x v="83"/>
    </i>
    <i r="1">
      <x v="17"/>
    </i>
    <i r="1">
      <x v="41"/>
    </i>
    <i r="1">
      <x v="18"/>
    </i>
    <i r="1">
      <x v="3"/>
    </i>
    <i r="1">
      <x v="20"/>
    </i>
    <i r="1">
      <x v="52"/>
    </i>
    <i r="1">
      <x v="21"/>
    </i>
    <i r="1">
      <x v="58"/>
    </i>
    <i r="1">
      <x v="22"/>
    </i>
    <i r="1">
      <x v="62"/>
    </i>
    <i r="1">
      <x v="23"/>
    </i>
    <i r="1">
      <x v="67"/>
    </i>
    <i r="1">
      <x v="24"/>
    </i>
    <i r="1">
      <x v="71"/>
    </i>
    <i r="1">
      <x v="25"/>
    </i>
    <i r="1">
      <x v="79"/>
    </i>
    <i r="1">
      <x v="27"/>
    </i>
    <i r="1">
      <x v="82"/>
    </i>
    <i r="1">
      <x v="38"/>
    </i>
    <i r="1">
      <x v="84"/>
    </i>
    <i r="1">
      <x v="39"/>
    </i>
    <i r="1">
      <x v="88"/>
    </i>
    <i r="1">
      <x v="40"/>
    </i>
    <i r="1">
      <x v="48"/>
    </i>
    <i r="1">
      <x v="86"/>
    </i>
    <i r="1">
      <x v="59"/>
    </i>
    <i r="1">
      <x v="61"/>
    </i>
    <i r="1">
      <x v="63"/>
    </i>
    <i r="1">
      <x v="78"/>
    </i>
    <i t="default">
      <x v="5"/>
    </i>
    <i>
      <x v="3"/>
      <x v="88"/>
    </i>
    <i r="1">
      <x v="25"/>
    </i>
    <i r="1">
      <x v="71"/>
    </i>
    <i r="1">
      <x v="60"/>
    </i>
    <i r="1">
      <x v="61"/>
    </i>
    <i r="1">
      <x v="49"/>
    </i>
    <i r="1">
      <x v="83"/>
    </i>
    <i r="1">
      <x v="6"/>
    </i>
    <i r="1">
      <x v="8"/>
    </i>
    <i r="1">
      <x v="89"/>
    </i>
    <i r="1">
      <x v="10"/>
    </i>
    <i r="1">
      <x v="58"/>
    </i>
    <i r="1">
      <x v="11"/>
    </i>
    <i r="1">
      <x v="79"/>
    </i>
    <i r="1">
      <x v="17"/>
    </i>
    <i r="1">
      <x v="85"/>
    </i>
    <i r="1">
      <x v="22"/>
    </i>
    <i r="1">
      <x v="46"/>
    </i>
    <i r="1">
      <x v="5"/>
    </i>
    <i r="1">
      <x v="2"/>
    </i>
    <i r="1">
      <x v="4"/>
    </i>
    <i r="1">
      <x v="7"/>
    </i>
    <i r="1">
      <x v="69"/>
    </i>
    <i r="1">
      <x v="63"/>
    </i>
    <i r="1">
      <x v="27"/>
    </i>
    <i r="1">
      <x v="70"/>
    </i>
    <i r="1">
      <x v="29"/>
    </i>
    <i r="1">
      <x v="72"/>
    </i>
    <i r="1">
      <x v="37"/>
    </i>
    <i r="1">
      <x v="80"/>
    </i>
    <i r="1">
      <x v="38"/>
    </i>
    <i r="1">
      <x v="84"/>
    </i>
    <i r="1">
      <x v="39"/>
    </i>
    <i r="1">
      <x v="3"/>
    </i>
    <i r="1">
      <x v="87"/>
    </i>
    <i r="1">
      <x v="40"/>
    </i>
    <i r="1">
      <x v="45"/>
    </i>
    <i r="1">
      <x v="56"/>
    </i>
    <i r="1">
      <x v="86"/>
    </i>
    <i r="1">
      <x v="59"/>
    </i>
    <i r="1">
      <x v="78"/>
    </i>
    <i r="1">
      <x v="64"/>
    </i>
    <i r="1">
      <x v="67"/>
    </i>
    <i t="default">
      <x v="3"/>
    </i>
    <i t="grand">
      <x/>
    </i>
  </rowItems>
  <colFields count="1">
    <field x="-2"/>
  </colFields>
  <colItems count="2">
    <i>
      <x/>
    </i>
    <i i="1">
      <x v="1"/>
    </i>
  </colItems>
  <pageFields count="1">
    <pageField fld="7" item="1" hier="-1"/>
  </pageFields>
  <dataFields count="2">
    <dataField name="Sum of V11-V10 2023" fld="69" baseField="0" baseItem="0" numFmtId="3"/>
    <dataField name="Sum of V10-V9 2023" fld="70"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field="4" type="button" dataOnly="0" labelOnly="1" outline="0" axis="axisRow" fieldPosition="1"/>
    </format>
    <format dxfId="7">
      <pivotArea dataOnly="0" labelOnly="1" outline="0" fieldPosition="0">
        <references count="1">
          <reference field="1" count="0"/>
        </references>
      </pivotArea>
    </format>
    <format dxfId="6">
      <pivotArea dataOnly="0" labelOnly="1" outline="0" fieldPosition="0">
        <references count="1">
          <reference field="1" count="0" defaultSubtotal="1"/>
        </references>
      </pivotArea>
    </format>
    <format dxfId="5">
      <pivotArea dataOnly="0" labelOnly="1" grandRow="1" outline="0" fieldPosition="0"/>
    </format>
    <format dxfId="4">
      <pivotArea dataOnly="0" labelOnly="1" outline="0" fieldPosition="0">
        <references count="2">
          <reference field="1" count="1" selected="0">
            <x v="2"/>
          </reference>
          <reference field="4" count="49">
            <x v="8"/>
            <x v="10"/>
            <x v="11"/>
            <x v="13"/>
            <x v="14"/>
            <x v="15"/>
            <x v="16"/>
            <x v="17"/>
            <x v="18"/>
            <x v="20"/>
            <x v="21"/>
            <x v="22"/>
            <x v="23"/>
            <x v="24"/>
            <x v="26"/>
            <x v="29"/>
            <x v="30"/>
            <x v="31"/>
            <x v="32"/>
            <x v="33"/>
            <x v="34"/>
            <x v="35"/>
            <x v="36"/>
            <x v="39"/>
            <x v="47"/>
            <x v="48"/>
            <x v="51"/>
            <x v="52"/>
            <x v="53"/>
            <x v="54"/>
            <x v="55"/>
            <x v="58"/>
            <x v="59"/>
            <x v="60"/>
            <x v="61"/>
            <x v="62"/>
            <x v="65"/>
            <x v="66"/>
            <x v="67"/>
            <x v="68"/>
            <x v="69"/>
            <x v="74"/>
            <x v="76"/>
            <x v="77"/>
            <x v="78"/>
            <x v="80"/>
            <x v="81"/>
            <x v="84"/>
            <x v="86"/>
          </reference>
        </references>
      </pivotArea>
    </format>
    <format dxfId="3">
      <pivotArea dataOnly="0" labelOnly="1" outline="0" fieldPosition="0">
        <references count="2">
          <reference field="1" count="1" selected="0">
            <x v="4"/>
          </reference>
          <reference field="4" count="2">
            <x v="42"/>
            <x v="44"/>
          </reference>
        </references>
      </pivotArea>
    </format>
    <format dxfId="2">
      <pivotArea dataOnly="0" labelOnly="1" outline="0" fieldPosition="0">
        <references count="2">
          <reference field="1" count="1" selected="0">
            <x v="5"/>
          </reference>
          <reference field="4" count="46">
            <x v="3"/>
            <x v="5"/>
            <x v="6"/>
            <x v="7"/>
            <x v="8"/>
            <x v="9"/>
            <x v="10"/>
            <x v="11"/>
            <x v="17"/>
            <x v="18"/>
            <x v="20"/>
            <x v="21"/>
            <x v="22"/>
            <x v="23"/>
            <x v="24"/>
            <x v="25"/>
            <x v="27"/>
            <x v="38"/>
            <x v="39"/>
            <x v="40"/>
            <x v="41"/>
            <x v="43"/>
            <x v="48"/>
            <x v="50"/>
            <x v="52"/>
            <x v="57"/>
            <x v="58"/>
            <x v="59"/>
            <x v="60"/>
            <x v="61"/>
            <x v="62"/>
            <x v="63"/>
            <x v="65"/>
            <x v="67"/>
            <x v="69"/>
            <x v="71"/>
            <x v="73"/>
            <x v="78"/>
            <x v="79"/>
            <x v="80"/>
            <x v="82"/>
            <x v="83"/>
            <x v="84"/>
            <x v="85"/>
            <x v="86"/>
            <x v="88"/>
          </reference>
        </references>
      </pivotArea>
    </format>
    <format dxfId="1">
      <pivotArea dataOnly="0" labelOnly="1" outline="0" fieldPosition="0">
        <references count="2">
          <reference field="1" count="1" selected="0">
            <x v="3"/>
          </reference>
          <reference field="4" count="43">
            <x v="2"/>
            <x v="3"/>
            <x v="4"/>
            <x v="5"/>
            <x v="6"/>
            <x v="7"/>
            <x v="8"/>
            <x v="10"/>
            <x v="11"/>
            <x v="17"/>
            <x v="22"/>
            <x v="25"/>
            <x v="27"/>
            <x v="29"/>
            <x v="37"/>
            <x v="38"/>
            <x v="39"/>
            <x v="40"/>
            <x v="45"/>
            <x v="46"/>
            <x v="49"/>
            <x v="56"/>
            <x v="58"/>
            <x v="59"/>
            <x v="60"/>
            <x v="61"/>
            <x v="63"/>
            <x v="64"/>
            <x v="67"/>
            <x v="69"/>
            <x v="70"/>
            <x v="71"/>
            <x v="72"/>
            <x v="78"/>
            <x v="79"/>
            <x v="80"/>
            <x v="83"/>
            <x v="84"/>
            <x v="85"/>
            <x v="86"/>
            <x v="87"/>
            <x v="88"/>
            <x v="89"/>
          </reference>
        </references>
      </pivotArea>
    </format>
    <format dxfId="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28" dT="2022-11-15T21:55:32.24" personId="{2BE53071-80F4-4D6F-A2F0-916AAB200931}" id="{161FFA1C-F3E8-4A52-9688-7C43A664BD08}">
    <text>Confirm whether revisions impact gas savings.</text>
  </threadedComment>
</ThreadedComments>
</file>

<file path=xl/threadedComments/threadedComment2.xml><?xml version="1.0" encoding="utf-8"?>
<ThreadedComments xmlns="http://schemas.microsoft.com/office/spreadsheetml/2018/threadedcomments" xmlns:x="http://schemas.openxmlformats.org/spreadsheetml/2006/main">
  <threadedComment ref="AI10" dT="2024-02-27T15:54:39.80" personId="{FA7E3B4C-1102-4378-B7D0-F89DC99F55A8}" id="{0F6B96A2-2BA9-4250-83F1-38AA326AAB41}">
    <text>Updated per PG &amp; NSG 2024 final NTG ratios. Previous value 90%.</text>
  </threadedComment>
  <threadedComment ref="AJ10" dT="2024-02-27T15:54:39.80" personId="{FA7E3B4C-1102-4378-B7D0-F89DC99F55A8}" id="{27ADF7FA-14A5-4835-AFD2-00B6BF5091C4}">
    <text>Updated per PG &amp; NSG 2024 final NTG ratios. Previous value 90%.</text>
  </threadedComment>
  <threadedComment ref="AI11" dT="2024-02-27T14:52:44.71" personId="{FA7E3B4C-1102-4378-B7D0-F89DC99F55A8}" id="{67C224BE-C9C7-46B6-AC07-5FFA6CC583F4}">
    <text>Updated per PG &amp; NSG 2024 final NTG ratios. Previous value 88%.</text>
  </threadedComment>
  <threadedComment ref="AJ11" dT="2024-02-27T14:52:44.71" personId="{FA7E3B4C-1102-4378-B7D0-F89DC99F55A8}" id="{DD75B024-13C5-45EF-9FE1-5F3AADCC8EE0}">
    <text>Updated per PG &amp; NSG 2024 final NTG ratios. Previous value 88%.</text>
  </threadedComment>
  <threadedComment ref="AI12" dT="2024-02-27T15:54:39.80" personId="{FA7E3B4C-1102-4378-B7D0-F89DC99F55A8}" id="{07254782-1130-4C6B-9B00-391FF09C2F47}">
    <text>Updated per PG &amp; NSG 2024 final NTG ratios. Previous value 90%.</text>
  </threadedComment>
  <threadedComment ref="AJ12" dT="2024-02-27T15:54:39.80" personId="{FA7E3B4C-1102-4378-B7D0-F89DC99F55A8}" id="{B6719DC5-E09B-44C9-902C-AA8E535F36CF}">
    <text>Updated per PG &amp; NSG 2024 final NTG ratios. Previous value 90%.</text>
  </threadedComment>
  <threadedComment ref="AI14" dT="2024-02-27T15:54:39.80" personId="{FA7E3B4C-1102-4378-B7D0-F89DC99F55A8}" id="{CA4B19EE-2B52-4670-8CE7-526182D077B7}">
    <text>Updated per PG &amp; NSG 2024 final NTG ratios. Previous value 90%.</text>
  </threadedComment>
  <threadedComment ref="AJ14" dT="2024-02-27T15:54:39.80" personId="{FA7E3B4C-1102-4378-B7D0-F89DC99F55A8}" id="{CC728E57-8702-4F2A-9EAF-0610C2401346}">
    <text>Updated per PG &amp; NSG 2024 final NTG ratios. Previous value 90%.</text>
  </threadedComment>
  <threadedComment ref="AI16" dT="2024-02-27T15:54:39.80" personId="{FA7E3B4C-1102-4378-B7D0-F89DC99F55A8}" id="{DB92DDCA-684F-4797-9330-637297EDD942}">
    <text>Updated per PG &amp; NSG 2024 final NTG ratios. Previous value 90%.</text>
  </threadedComment>
  <threadedComment ref="AJ16" dT="2024-02-27T15:54:39.80" personId="{FA7E3B4C-1102-4378-B7D0-F89DC99F55A8}" id="{B094BAAE-58BB-4F67-BBFC-AED4959BEB5D}">
    <text>Updated per PG &amp; NSG 2024 final NTG ratios. Previous value 90%.</text>
  </threadedComment>
  <threadedComment ref="AI17" dT="2024-02-27T14:44:53.87" personId="{FA7E3B4C-1102-4378-B7D0-F89DC99F55A8}" id="{2770E2D9-D6F2-4809-9A31-B7A7AC53ED11}">
    <text>Updated per PG &amp; NSG 2024 final NTG ratios. Previous value 102%.</text>
  </threadedComment>
  <threadedComment ref="AJ17" dT="2024-02-27T14:44:53.87" personId="{FA7E3B4C-1102-4378-B7D0-F89DC99F55A8}" id="{C89A10CF-9FF3-40C0-983F-AD96C4FD1F54}">
    <text>Updated per PG &amp; NSG 2024 final NTG ratios. Previous value 102%.</text>
  </threadedComment>
  <threadedComment ref="X22" dT="2021-04-02T20:42:14.33" personId="{2BE53071-80F4-4D6F-A2F0-916AAB200931}" id="{B40B9D49-EB75-41E3-B6BA-9FDCEBD0F233}">
    <text>Updated per Guidehouse review.</text>
  </threadedComment>
  <threadedComment ref="Y22" dT="2021-04-02T20:42:14.33" personId="{2BE53071-80F4-4D6F-A2F0-916AAB200931}" id="{2C356EBF-CE38-4399-8E83-9520423F48AD}">
    <text>Updated per Guidehouse review.</text>
  </threadedComment>
  <threadedComment ref="Z22" dT="2021-04-02T20:42:14.33" personId="{2BE53071-80F4-4D6F-A2F0-916AAB200931}" id="{A1B88961-47EA-4ED3-B883-B1775D0760F6}">
    <text>Updated per Guidehouse review.</text>
  </threadedComment>
  <threadedComment ref="AA22" dT="2021-04-02T20:42:14.33" personId="{2BE53071-80F4-4D6F-A2F0-916AAB200931}" id="{9BE859D3-7418-412B-87AB-078BA0BCE3F8}">
    <text>Updated per Guidehouse review.</text>
  </threadedComment>
  <threadedComment ref="AH22" dT="2023-02-10T20:19:12.23" personId="{2BE53071-80F4-4D6F-A2F0-916AAB200931}" id="{DE362E10-E272-4182-95ED-3EB347EABA8D}">
    <text>2023 Guidehouse NTG value</text>
  </threadedComment>
  <threadedComment ref="AI22" dT="2023-02-10T20:19:12.23" personId="{2BE53071-80F4-4D6F-A2F0-916AAB200931}" id="{077B2766-1A46-4645-AAA3-BF08DCA1C75F}">
    <text>2023 Guidehouse NTG value</text>
  </threadedComment>
  <threadedComment ref="AJ22" dT="2023-02-10T20:19:12.23" personId="{2BE53071-80F4-4D6F-A2F0-916AAB200931}" id="{83ED6CE6-B3B9-4702-BEB3-AB4F158F4120}">
    <text>2023 Guidehouse NTG value</text>
  </threadedComment>
  <threadedComment ref="X25" dT="2022-01-27T20:10:39.27" personId="{0A831BE0-8E9C-476D-A0E3-509D1336B973}" id="{E2A8E4A5-F429-4B77-8A1A-35E0F5CC737C}">
    <text>Updated per Guidehouse review.</text>
  </threadedComment>
  <threadedComment ref="Y25" dT="2022-01-27T20:10:39.27" personId="{0A831BE0-8E9C-476D-A0E3-509D1336B973}" id="{9962BCD9-B54E-4BE6-B790-294B84F59545}">
    <text>Updated per Guidehouse review.</text>
  </threadedComment>
  <threadedComment ref="Z25" dT="2022-01-27T20:10:39.27" personId="{0A831BE0-8E9C-476D-A0E3-509D1336B973}" id="{9CC0FF10-0021-4657-9015-88A07D123B0A}">
    <text>Updated per Guidehouse review.</text>
  </threadedComment>
  <threadedComment ref="AA25" dT="2022-01-27T20:10:39.27" personId="{0A831BE0-8E9C-476D-A0E3-509D1336B973}" id="{FB1E967E-058E-4414-ABA4-8E09AB025937}">
    <text>Updated per Guidehouse review.</text>
  </threadedComment>
  <threadedComment ref="AI25" dT="2024-02-27T14:56:20.67" personId="{FA7E3B4C-1102-4378-B7D0-F89DC99F55A8}" id="{AA1C3077-FAA9-4BD8-B620-2519539B3AC0}">
    <text>Updated per PG &amp; NSG 2024 final NTG ratios. Previous value 88%.</text>
  </threadedComment>
  <threadedComment ref="AJ25" dT="2024-02-27T14:56:20.67" personId="{FA7E3B4C-1102-4378-B7D0-F89DC99F55A8}" id="{ACACE9D6-77E4-46FE-9AA7-6D8695A14750}">
    <text>Updated per PG &amp; NSG 2024 final NTG ratios. Previous value 88%.</text>
  </threadedComment>
  <threadedComment ref="X29" dT="2022-01-27T20:22:28.79" personId="{0A831BE0-8E9C-476D-A0E3-509D1336B973}" id="{0E69CAE9-10B9-4271-9E54-0B5324D7F819}">
    <text>Updated per Guidehouse review.</text>
  </threadedComment>
  <threadedComment ref="Y29" dT="2022-01-27T20:22:28.79" personId="{0A831BE0-8E9C-476D-A0E3-509D1336B973}" id="{18906C47-7303-42BD-9C0E-2143736CB084}">
    <text>Updated per Guidehouse review.</text>
  </threadedComment>
  <threadedComment ref="Z29" dT="2022-01-27T20:22:28.79" personId="{0A831BE0-8E9C-476D-A0E3-509D1336B973}" id="{CE0CC1D6-A9DA-4A9F-A17F-5C2725351B17}">
    <text>Updated per Guidehouse review.</text>
  </threadedComment>
  <threadedComment ref="AA29" dT="2022-01-27T20:22:28.79" personId="{0A831BE0-8E9C-476D-A0E3-509D1336B973}" id="{1E9865CA-FC48-41BB-8A30-86274B415835}">
    <text>Updated per Guidehouse review.</text>
  </threadedComment>
  <threadedComment ref="X30" dT="2022-01-27T20:14:29.95" personId="{0A831BE0-8E9C-476D-A0E3-509D1336B973}" id="{A56CB6A6-46C8-4458-AC57-0FABB42AEDE8}">
    <text>Updated per Guidehouse review.</text>
  </threadedComment>
  <threadedComment ref="Y30" dT="2022-01-27T20:14:29.95" personId="{0A831BE0-8E9C-476D-A0E3-509D1336B973}" id="{0308AFD6-6B3D-4F57-9B9E-DDC909B8B75B}">
    <text>Updated per Guidehouse review.</text>
  </threadedComment>
  <threadedComment ref="Z30" dT="2022-01-27T20:14:29.95" personId="{0A831BE0-8E9C-476D-A0E3-509D1336B973}" id="{E9E29732-7F40-4F55-A71A-8FB9E8CDEF5F}">
    <text>Updated per Guidehouse review.</text>
  </threadedComment>
  <threadedComment ref="AA30" dT="2022-01-27T20:14:29.95" personId="{0A831BE0-8E9C-476D-A0E3-509D1336B973}" id="{EBDD32AC-D0B4-4E42-8ABF-46A05189678B}">
    <text>Updated per Guidehouse review.</text>
  </threadedComment>
  <threadedComment ref="X32" dT="2022-01-27T20:22:28.79" personId="{0A831BE0-8E9C-476D-A0E3-509D1336B973}" id="{D55331AD-729E-45DD-A621-216747052EA8}">
    <text>Updated per Guidehouse review.</text>
  </threadedComment>
  <threadedComment ref="Y32" dT="2022-01-27T20:22:28.79" personId="{0A831BE0-8E9C-476D-A0E3-509D1336B973}" id="{CBFD51F3-02EA-4798-8E8B-4BFF75E605B0}">
    <text>Updated per Guidehouse review.</text>
  </threadedComment>
  <threadedComment ref="Z32" dT="2022-01-27T20:22:28.79" personId="{0A831BE0-8E9C-476D-A0E3-509D1336B973}" id="{C8528CE9-5202-4C57-9EFE-97064F1D7DE0}">
    <text>Updated per Guidehouse review.</text>
  </threadedComment>
  <threadedComment ref="AA32" dT="2022-01-27T20:22:28.79" personId="{0A831BE0-8E9C-476D-A0E3-509D1336B973}" id="{531016AE-79DA-4D2D-A1C3-F46D22377F49}">
    <text>Updated per Guidehouse review.</text>
  </threadedComment>
  <threadedComment ref="X33" dT="2022-01-27T20:22:28.79" personId="{0A831BE0-8E9C-476D-A0E3-509D1336B973}" id="{90653EA0-AC5B-4F6A-AC72-A627A81CE575}">
    <text>Updated per Guidehouse review.</text>
  </threadedComment>
  <threadedComment ref="Y33" dT="2022-01-27T20:22:28.79" personId="{0A831BE0-8E9C-476D-A0E3-509D1336B973}" id="{0B759A66-5AFD-457D-B80D-7B84D2FD51EA}">
    <text>Updated per Guidehouse review.</text>
  </threadedComment>
  <threadedComment ref="Z33" dT="2022-01-27T20:22:28.79" personId="{0A831BE0-8E9C-476D-A0E3-509D1336B973}" id="{69830C8B-1F05-4A68-B428-9F6E9758A462}">
    <text>Updated per Guidehouse review.</text>
  </threadedComment>
  <threadedComment ref="AA33" dT="2022-01-27T20:22:28.79" personId="{0A831BE0-8E9C-476D-A0E3-509D1336B973}" id="{04C9B9C1-E3E1-45DF-A600-6D2EE6F4E60F}">
    <text>Updated per Guidehouse review.</text>
  </threadedComment>
  <threadedComment ref="X34" dT="2022-01-27T20:18:12.34" personId="{0A831BE0-8E9C-476D-A0E3-509D1336B973}" id="{CCE32FF8-EFC2-499B-BBDA-D989A6A2547F}">
    <text>Updated per Guidehouse review.</text>
  </threadedComment>
  <threadedComment ref="Y34" dT="2022-01-27T20:18:12.34" personId="{0A831BE0-8E9C-476D-A0E3-509D1336B973}" id="{A545B9FA-93FC-4995-A54C-126F03E00D1A}">
    <text>Updated per Guidehouse review.</text>
  </threadedComment>
  <threadedComment ref="Z34" dT="2022-01-27T20:18:12.34" personId="{0A831BE0-8E9C-476D-A0E3-509D1336B973}" id="{84424A4B-5B19-4F36-9772-BBFFDC17F112}">
    <text>Updated per Guidehouse review.</text>
  </threadedComment>
  <threadedComment ref="AA34" dT="2022-01-27T20:18:12.34" personId="{0A831BE0-8E9C-476D-A0E3-509D1336B973}" id="{BA90C4AF-0D80-4726-90A4-2839321F8CC1}">
    <text>Updated per Guidehouse review.</text>
  </threadedComment>
  <threadedComment ref="AI35" dT="2024-02-27T16:00:14.48" personId="{FA7E3B4C-1102-4378-B7D0-F89DC99F55A8}" id="{EE0157F8-E4E0-4057-AF7B-8227BAA1B2B1}">
    <text>Updated per PG &amp; NSG 2024 final NTG ratios. Previous value 87%.</text>
  </threadedComment>
  <threadedComment ref="AJ35" dT="2024-02-27T16:00:14.48" personId="{FA7E3B4C-1102-4378-B7D0-F89DC99F55A8}" id="{A7B78B61-4270-445D-A5CB-C2DD72BA220C}">
    <text>Updated per PG &amp; NSG 2024 final NTG ratios. Previous value 87%.</text>
  </threadedComment>
  <threadedComment ref="AI39" dT="2024-02-27T14:44:53.87" personId="{FA7E3B4C-1102-4378-B7D0-F89DC99F55A8}" id="{8CE71689-60D2-4E80-8CE7-90433EE0B2E4}">
    <text>Updated per PG &amp; NSG 2024 final NTG ratios. Previous value 102%.</text>
  </threadedComment>
  <threadedComment ref="AJ39" dT="2024-02-27T14:44:53.87" personId="{FA7E3B4C-1102-4378-B7D0-F89DC99F55A8}" id="{257EE893-5D6F-4216-97A7-F7F7C02EBAEB}">
    <text>Updated per PG &amp; NSG 2024 final NTG ratios. Previous value 102%.</text>
  </threadedComment>
  <threadedComment ref="AI40" dT="2024-02-27T14:44:53.87" personId="{FA7E3B4C-1102-4378-B7D0-F89DC99F55A8}" id="{45FFCA95-54A7-47D8-A659-F5A114B322D7}">
    <text>Updated per PG &amp; NSG 2024 final NTG ratios. Previous value 102%.</text>
  </threadedComment>
  <threadedComment ref="AJ40" dT="2024-02-27T14:44:53.87" personId="{FA7E3B4C-1102-4378-B7D0-F89DC99F55A8}" id="{5BFA3A96-0E05-4994-9B1D-F8FB70A8C4E2}">
    <text>Updated per PG &amp; NSG 2024 final NTG ratios. Previous value 102%.</text>
  </threadedComment>
  <threadedComment ref="X43" dT="2021-04-02T20:31:15.47" personId="{2BE53071-80F4-4D6F-A2F0-916AAB200931}" id="{6B8345AE-B44B-42E5-AB56-EAEBDDC5192A}">
    <text>Updated per Guidehouse review.</text>
  </threadedComment>
  <threadedComment ref="Y43" dT="2021-04-02T20:31:15.47" personId="{2BE53071-80F4-4D6F-A2F0-916AAB200931}" id="{BEB491D1-A9A9-46BD-904D-2ACA266F2ACD}">
    <text>Updated per Guidehouse review.</text>
  </threadedComment>
  <threadedComment ref="Z43" dT="2021-04-02T20:31:15.47" personId="{2BE53071-80F4-4D6F-A2F0-916AAB200931}" id="{6026BE70-4AA2-41B9-96CB-B4FBF93EC1C7}">
    <text>Updated per Guidehouse review.</text>
  </threadedComment>
  <threadedComment ref="AA43" dT="2021-04-02T20:31:15.47" personId="{2BE53071-80F4-4D6F-A2F0-916AAB200931}" id="{831B1DE3-6B3F-40C1-B183-A777A299AC4B}">
    <text>Updated per Guidehouse review.</text>
  </threadedComment>
  <threadedComment ref="X45" dT="2022-01-27T20:18:12.34" personId="{0A831BE0-8E9C-476D-A0E3-509D1336B973}" id="{AB92C3B1-A83F-477D-93F5-2E59BB6FD9C5}">
    <text>Updated per Guidehouse review.</text>
  </threadedComment>
  <threadedComment ref="Y45" dT="2022-01-27T20:18:12.34" personId="{0A831BE0-8E9C-476D-A0E3-509D1336B973}" id="{F341CB3D-18C8-4412-B9A0-E6FE89264A6F}">
    <text>Updated per Guidehouse review.</text>
  </threadedComment>
  <threadedComment ref="Z45" dT="2022-01-27T20:18:12.34" personId="{0A831BE0-8E9C-476D-A0E3-509D1336B973}" id="{BF3F595F-E057-495D-AE73-BC97DDE238AB}">
    <text>Updated per Guidehouse review.</text>
  </threadedComment>
  <threadedComment ref="AA45" dT="2022-01-27T20:18:12.34" personId="{0A831BE0-8E9C-476D-A0E3-509D1336B973}" id="{EDA1BAA4-49E5-40F5-B6FD-EE51A68701F6}">
    <text>Updated per Guidehouse review.</text>
  </threadedComment>
  <threadedComment ref="X46" dT="2022-01-27T20:09:08.11" personId="{0A831BE0-8E9C-476D-A0E3-509D1336B973}" id="{177696FD-06D7-4FE2-B2B6-6E5606AF6415}">
    <text>Updated per Guidehouse review.</text>
  </threadedComment>
  <threadedComment ref="Y46" dT="2022-01-27T20:09:08.11" personId="{0A831BE0-8E9C-476D-A0E3-509D1336B973}" id="{604931B7-A322-4C83-AB71-0167349DDC83}">
    <text>Updated per Guidehouse review.</text>
  </threadedComment>
  <threadedComment ref="Z46" dT="2022-01-27T20:09:08.11" personId="{0A831BE0-8E9C-476D-A0E3-509D1336B973}" id="{6A8257AD-7D61-4C72-A695-81940758EE42}">
    <text>Updated per Guidehouse review.</text>
  </threadedComment>
  <threadedComment ref="AA46" dT="2022-01-27T20:09:08.11" personId="{0A831BE0-8E9C-476D-A0E3-509D1336B973}" id="{2E07AD1C-A2FF-43F0-938B-A564631B9425}">
    <text>Updated per Guidehouse review.</text>
  </threadedComment>
  <threadedComment ref="AI48" dT="2024-02-27T14:52:44.71" personId="{FA7E3B4C-1102-4378-B7D0-F89DC99F55A8}" id="{12E884BC-9874-4726-B53B-1D0D6689B0DB}">
    <text>Updated per PG &amp; NSG 2024 final NTG ratios. Previous value 88%.</text>
  </threadedComment>
  <threadedComment ref="AJ48" dT="2024-02-27T14:52:44.71" personId="{FA7E3B4C-1102-4378-B7D0-F89DC99F55A8}" id="{B20CD638-19FF-4ACF-BEB4-31A6F606CBC6}">
    <text>Updated per PG &amp; NSG 2024 final NTG ratios. Previous value 88%.</text>
  </threadedComment>
  <threadedComment ref="X53" dT="2022-01-27T20:22:28.79" personId="{0A831BE0-8E9C-476D-A0E3-509D1336B973}" id="{FA711B76-1057-4146-BAD3-3E560525DF42}">
    <text>Updated per Guidehouse review.</text>
  </threadedComment>
  <threadedComment ref="Y53" dT="2022-01-27T20:22:28.79" personId="{0A831BE0-8E9C-476D-A0E3-509D1336B973}" id="{1B6A49D2-D9F1-4F01-AA5F-19310C6D2C79}">
    <text>Updated per Guidehouse review.</text>
  </threadedComment>
  <threadedComment ref="Z53" dT="2022-01-27T20:22:28.79" personId="{0A831BE0-8E9C-476D-A0E3-509D1336B973}" id="{D8A4BF3E-9E1F-4389-BC98-EA77F87308C8}">
    <text>Updated per Guidehouse review.</text>
  </threadedComment>
  <threadedComment ref="AA53" dT="2022-01-27T20:22:28.79" personId="{0A831BE0-8E9C-476D-A0E3-509D1336B973}" id="{5E506803-67FE-4A7E-973E-E508E864493B}">
    <text>Updated per Guidehouse review.</text>
  </threadedComment>
  <threadedComment ref="X55" dT="2022-01-27T20:22:28.79" personId="{0A831BE0-8E9C-476D-A0E3-509D1336B973}" id="{6961D442-329A-4F06-979A-395E084A3AFD}">
    <text>Updated per Guidehouse review.</text>
  </threadedComment>
  <threadedComment ref="Y55" dT="2022-01-27T20:22:28.79" personId="{0A831BE0-8E9C-476D-A0E3-509D1336B973}" id="{3D7E166C-2FA1-46D8-9267-C261C9C6E1EE}">
    <text>Updated per Guidehouse review.</text>
  </threadedComment>
  <threadedComment ref="Z55" dT="2022-01-27T20:22:28.79" personId="{0A831BE0-8E9C-476D-A0E3-509D1336B973}" id="{0672CF02-92D9-4562-9AD2-F09852820CB8}">
    <text>Updated per Guidehouse review.</text>
  </threadedComment>
  <threadedComment ref="AA55" dT="2022-01-27T20:22:28.79" personId="{0A831BE0-8E9C-476D-A0E3-509D1336B973}" id="{12097110-D79B-413C-AFC9-8EAD4B8829BD}">
    <text>Updated per Guidehouse review.</text>
  </threadedComment>
  <threadedComment ref="X58" dT="2022-01-27T20:22:28.79" personId="{0A831BE0-8E9C-476D-A0E3-509D1336B973}" id="{D37BF3F7-ACE7-471B-AC76-DAB2EA64E5B7}">
    <text>Updated per Guidehouse review.</text>
  </threadedComment>
  <threadedComment ref="Y58" dT="2022-01-27T20:22:28.79" personId="{0A831BE0-8E9C-476D-A0E3-509D1336B973}" id="{D62399E4-28B7-457B-8DC4-C59930C34CE0}">
    <text>Updated per Guidehouse review.</text>
  </threadedComment>
  <threadedComment ref="Z58" dT="2022-01-27T20:22:28.79" personId="{0A831BE0-8E9C-476D-A0E3-509D1336B973}" id="{0178D16C-6A19-41CD-A086-D7C69841CDB4}">
    <text>Updated per Guidehouse review.</text>
  </threadedComment>
  <threadedComment ref="AA58" dT="2022-01-27T20:22:28.79" personId="{0A831BE0-8E9C-476D-A0E3-509D1336B973}" id="{67FF9188-DF50-4CE9-9128-E8E395E30118}">
    <text>Updated per Guidehouse review.</text>
  </threadedComment>
  <threadedComment ref="X60" dT="2022-01-27T20:18:12.34" personId="{0A831BE0-8E9C-476D-A0E3-509D1336B973}" id="{737FCE89-2765-4445-9506-FF586C3999E1}">
    <text>Updated per Guidehouse review.</text>
  </threadedComment>
  <threadedComment ref="Y60" dT="2022-01-27T20:18:12.34" personId="{0A831BE0-8E9C-476D-A0E3-509D1336B973}" id="{62713F58-ADE9-41A0-AA59-3FF163AC2AFF}">
    <text>Updated per Guidehouse review.</text>
  </threadedComment>
  <threadedComment ref="Z60" dT="2022-01-27T20:18:12.34" personId="{0A831BE0-8E9C-476D-A0E3-509D1336B973}" id="{30D4E4C2-EEDE-4158-A768-5C49D2507496}">
    <text>Updated per Guidehouse review.</text>
  </threadedComment>
  <threadedComment ref="AA60" dT="2022-01-27T20:18:12.34" personId="{0A831BE0-8E9C-476D-A0E3-509D1336B973}" id="{0CCA8DA4-4D7E-4886-A17A-7959CC51B9F0}">
    <text>Updated per Guidehouse review.</text>
  </threadedComment>
  <threadedComment ref="X66" dT="2022-01-27T20:22:28.79" personId="{0A831BE0-8E9C-476D-A0E3-509D1336B973}" id="{1B6BCB53-E189-406D-869D-7BADDB8B19E0}">
    <text>Updated per Guidehouse review.</text>
  </threadedComment>
  <threadedComment ref="Y66" dT="2022-01-27T20:22:28.79" personId="{0A831BE0-8E9C-476D-A0E3-509D1336B973}" id="{2BA60AF8-749F-4A1C-A4D7-E50724F0D388}">
    <text>Updated per Guidehouse review.</text>
  </threadedComment>
  <threadedComment ref="Z66" dT="2022-01-27T20:22:28.79" personId="{0A831BE0-8E9C-476D-A0E3-509D1336B973}" id="{31FD1710-9F5A-4C29-99D9-141ED19B45BD}">
    <text>Updated per Guidehouse review.</text>
  </threadedComment>
  <threadedComment ref="AA66" dT="2022-01-27T20:22:28.79" personId="{0A831BE0-8E9C-476D-A0E3-509D1336B973}" id="{B5B101C0-2CBF-4848-88DF-8AC4D1CB6626}">
    <text>Updated per Guidehouse review.</text>
  </threadedComment>
  <threadedComment ref="AG68" dT="2023-02-10T20:15:58.72" personId="{2BE53071-80F4-4D6F-A2F0-916AAB200931}" id="{774250AD-CD05-4D8D-8763-D418A3410E7F}">
    <text>Corrected per 2023 Guidehouse review.</text>
  </threadedComment>
  <threadedComment ref="AH68" dT="2023-02-10T20:15:58.72" personId="{2BE53071-80F4-4D6F-A2F0-916AAB200931}" id="{285E62FC-0CD2-4554-9220-D481EAC4788C}">
    <text>Corrected per 2023 Guidehouse review.</text>
  </threadedComment>
  <threadedComment ref="AI68" dT="2023-02-10T20:15:58.72" personId="{2BE53071-80F4-4D6F-A2F0-916AAB200931}" id="{0FC4942D-EE72-4D25-B76B-C982504C28D3}">
    <text>Corrected per 2023 Guidehouse review.</text>
  </threadedComment>
  <threadedComment ref="AJ68" dT="2023-02-10T20:15:58.72" personId="{2BE53071-80F4-4D6F-A2F0-916AAB200931}" id="{A289CE7F-063C-4705-A69F-B1BB3E83DBAE}">
    <text>Corrected per 2023 Guidehouse review.</text>
  </threadedComment>
  <threadedComment ref="AI70" dT="2024-02-27T16:00:14.48" personId="{FA7E3B4C-1102-4378-B7D0-F89DC99F55A8}" id="{4CE30655-894E-47AB-BB8B-9972B5792D8E}">
    <text>Updated per PG &amp; NSG 2024 final NTG ratios. Previous value 87%.</text>
  </threadedComment>
  <threadedComment ref="AJ70" dT="2024-02-27T16:00:14.48" personId="{FA7E3B4C-1102-4378-B7D0-F89DC99F55A8}" id="{7E0C2489-EEFA-4EED-A852-6A9B44F848B7}">
    <text>Updated per PG &amp; NSG 2024 final NTG ratios. Previous value 87%.</text>
  </threadedComment>
  <threadedComment ref="X79" dT="2021-04-02T20:31:15.47" personId="{2BE53071-80F4-4D6F-A2F0-916AAB200931}" id="{F75518F9-F9AE-4ECD-B77F-A16E88B3261A}">
    <text>Updated per Guidehouse review.</text>
  </threadedComment>
  <threadedComment ref="Y79" dT="2021-04-02T20:31:15.47" personId="{2BE53071-80F4-4D6F-A2F0-916AAB200931}" id="{4FA1BC51-B3A8-4DFC-A5EE-EE348B384A35}">
    <text>Updated per Guidehouse review.</text>
  </threadedComment>
  <threadedComment ref="Z79" dT="2021-04-02T20:31:15.47" personId="{2BE53071-80F4-4D6F-A2F0-916AAB200931}" id="{E9828179-EC76-4BC4-953A-C9075DD5F388}">
    <text>Updated per Guidehouse review.</text>
  </threadedComment>
  <threadedComment ref="AA79" dT="2021-04-02T20:31:15.47" personId="{2BE53071-80F4-4D6F-A2F0-916AAB200931}" id="{E92E885F-C3F1-46EA-89FC-478531FBD69A}">
    <text>Updated per Guidehouse review.</text>
  </threadedComment>
  <threadedComment ref="X81" dT="2021-04-02T20:32:38.95" personId="{2BE53071-80F4-4D6F-A2F0-916AAB200931}" id="{09D655E8-078B-4648-9C2D-DCDFEF517A50}">
    <text>Updated per Guidehouse review.</text>
  </threadedComment>
  <threadedComment ref="Y81" dT="2021-04-02T20:32:38.95" personId="{2BE53071-80F4-4D6F-A2F0-916AAB200931}" id="{75EFF086-8F2B-4392-8249-EC45EFE45DE7}">
    <text>Updated per Guidehouse review.</text>
  </threadedComment>
  <threadedComment ref="Z81" dT="2021-04-02T20:32:38.95" personId="{2BE53071-80F4-4D6F-A2F0-916AAB200931}" id="{861F36C1-729A-403F-A7D8-8705EA498D21}">
    <text>Updated per Guidehouse review.</text>
  </threadedComment>
  <threadedComment ref="AA81" dT="2021-04-02T20:32:38.95" personId="{2BE53071-80F4-4D6F-A2F0-916AAB200931}" id="{CA1CC7C4-8BAB-4CC6-BF1C-2B8BA75EF06D}">
    <text>Updated per Guidehouse review.</text>
  </threadedComment>
  <threadedComment ref="X82" dT="2021-04-02T20:32:56.21" personId="{2BE53071-80F4-4D6F-A2F0-916AAB200931}" id="{0D1CE774-CE74-4C59-89F4-C18C37204E10}">
    <text>Updated per Guidehouse review.</text>
  </threadedComment>
  <threadedComment ref="Y82" dT="2021-04-02T20:32:56.21" personId="{2BE53071-80F4-4D6F-A2F0-916AAB200931}" id="{E871CD5F-C87F-4790-8C8D-888463BE313E}">
    <text>Updated per Guidehouse review.</text>
  </threadedComment>
  <threadedComment ref="Z82" dT="2021-04-02T20:32:56.21" personId="{2BE53071-80F4-4D6F-A2F0-916AAB200931}" id="{C180678E-CC51-449A-993D-C6D66805B500}">
    <text>Updated per Guidehouse review.</text>
  </threadedComment>
  <threadedComment ref="AA82" dT="2021-04-02T20:32:56.21" personId="{2BE53071-80F4-4D6F-A2F0-916AAB200931}" id="{4DA3E113-8A2A-46B9-A9F2-A3B733771EAD}">
    <text>Updated per Guidehouse review.</text>
  </threadedComment>
  <threadedComment ref="X84" dT="2022-01-27T20:07:45.54" personId="{0A831BE0-8E9C-476D-A0E3-509D1336B973}" id="{88C61BDA-7C75-406F-815C-99806701C5BB}">
    <text>Updated per Guidehouse review.</text>
  </threadedComment>
  <threadedComment ref="Y84" dT="2022-01-27T20:07:45.54" personId="{0A831BE0-8E9C-476D-A0E3-509D1336B973}" id="{0A6CD3E6-0A52-43A4-8723-1E5162101E45}">
    <text>Updated per Guidehouse review.</text>
  </threadedComment>
  <threadedComment ref="Z84" dT="2022-01-27T20:07:45.54" personId="{0A831BE0-8E9C-476D-A0E3-509D1336B973}" id="{65BFEF09-905B-46A2-B4B1-2D24907CB595}">
    <text>Updated per Guidehouse review.</text>
  </threadedComment>
  <threadedComment ref="AA84" dT="2022-01-27T20:07:45.54" personId="{0A831BE0-8E9C-476D-A0E3-509D1336B973}" id="{D098B00D-09FA-4647-BF8B-1C1F8E7277A2}">
    <text>Updated per Guidehouse review.</text>
  </threadedComment>
  <threadedComment ref="X88" dT="2022-01-27T20:22:28.79" personId="{0A831BE0-8E9C-476D-A0E3-509D1336B973}" id="{14B12E20-425A-487C-B754-43B033D26200}">
    <text>Updated per Guidehouse review.</text>
  </threadedComment>
  <threadedComment ref="Y88" dT="2022-01-27T20:22:28.79" personId="{0A831BE0-8E9C-476D-A0E3-509D1336B973}" id="{D382C0EF-E481-48E5-BB31-271D772348BC}">
    <text>Updated per Guidehouse review.</text>
  </threadedComment>
  <threadedComment ref="Z88" dT="2022-01-27T20:22:28.79" personId="{0A831BE0-8E9C-476D-A0E3-509D1336B973}" id="{F39FBDFD-8AA0-43C7-9A5A-41388E3DF2FF}">
    <text>Updated per Guidehouse review.</text>
  </threadedComment>
  <threadedComment ref="AA88" dT="2022-01-27T20:22:28.79" personId="{0A831BE0-8E9C-476D-A0E3-509D1336B973}" id="{7AAEDDE6-08C0-4619-96FE-364F2E99D118}">
    <text>Updated per Guidehouse review.</text>
  </threadedComment>
  <threadedComment ref="X89" dT="2022-01-27T20:31:14.02" personId="{0A831BE0-8E9C-476D-A0E3-509D1336B973}" id="{9EF2513C-D3C0-4D80-8683-9A1AE3E03249}">
    <text>Updated per Guidehouse review.</text>
  </threadedComment>
  <threadedComment ref="Y89" dT="2022-01-27T20:31:14.02" personId="{0A831BE0-8E9C-476D-A0E3-509D1336B973}" id="{7073DC5B-1181-49B1-A454-36282093B899}">
    <text>Updated per Guidehouse review.</text>
  </threadedComment>
  <threadedComment ref="Z89" dT="2022-01-27T20:31:14.02" personId="{0A831BE0-8E9C-476D-A0E3-509D1336B973}" id="{2DD52E6D-993D-4FDB-80C1-CD424F61EBC7}">
    <text>Updated per Guidehouse review.</text>
  </threadedComment>
  <threadedComment ref="AA89" dT="2022-01-27T20:31:14.02" personId="{0A831BE0-8E9C-476D-A0E3-509D1336B973}" id="{BAD2F192-027C-426F-96B9-36DF4D9E3703}">
    <text>Updated per Guidehouse review.</text>
  </threadedComment>
  <threadedComment ref="X93" dT="2022-01-27T20:05:55.07" personId="{0A831BE0-8E9C-476D-A0E3-509D1336B973}" id="{F1DF3047-9676-4102-8ECF-12513952115C}">
    <text>Updated per Guidehouse review.</text>
  </threadedComment>
  <threadedComment ref="Y93" dT="2022-01-27T20:05:55.07" personId="{0A831BE0-8E9C-476D-A0E3-509D1336B973}" id="{11914BF0-FBFF-4D76-8D3D-54F5C77943AC}">
    <text>Updated per Guidehouse review.</text>
  </threadedComment>
  <threadedComment ref="Z93" dT="2022-01-27T20:05:55.07" personId="{0A831BE0-8E9C-476D-A0E3-509D1336B973}" id="{9035ABCC-7A45-4DA8-81A7-4CB5AC9EF98C}">
    <text>Updated per Guidehouse review.</text>
  </threadedComment>
  <threadedComment ref="AA93" dT="2022-01-27T20:05:55.07" personId="{0A831BE0-8E9C-476D-A0E3-509D1336B973}" id="{8ABAC439-1109-4A83-BCD2-7A250A1CB407}">
    <text>Updated per Guidehouse review.</text>
  </threadedComment>
  <threadedComment ref="X94" dT="2022-01-27T20:22:28.79" personId="{0A831BE0-8E9C-476D-A0E3-509D1336B973}" id="{05497319-3499-4A30-9334-E20A548561A1}">
    <text>Updated per Guidehouse review.</text>
  </threadedComment>
  <threadedComment ref="Y94" dT="2022-01-27T20:22:28.79" personId="{0A831BE0-8E9C-476D-A0E3-509D1336B973}" id="{09270D40-8287-456E-8B96-65BFE6952FBE}">
    <text>Updated per Guidehouse review.</text>
  </threadedComment>
  <threadedComment ref="Z94" dT="2022-01-27T20:22:28.79" personId="{0A831BE0-8E9C-476D-A0E3-509D1336B973}" id="{814E73C5-F6CE-4EDB-A29A-999793E47189}">
    <text>Updated per Guidehouse review.</text>
  </threadedComment>
  <threadedComment ref="AA94" dT="2022-01-27T20:22:28.79" personId="{0A831BE0-8E9C-476D-A0E3-509D1336B973}" id="{DE95995C-CBF7-4555-B7A6-342140BE64B8}">
    <text>Updated per Guidehouse review.</text>
  </threadedComment>
  <threadedComment ref="X95" dT="2022-01-27T20:10:39.27" personId="{0A831BE0-8E9C-476D-A0E3-509D1336B973}" id="{4A58A9E3-8FDB-4E5F-8C8B-AE2F018F5F4D}">
    <text>Updated per Guidehouse review.</text>
  </threadedComment>
  <threadedComment ref="Y95" dT="2022-01-27T20:10:39.27" personId="{0A831BE0-8E9C-476D-A0E3-509D1336B973}" id="{A8DE00AF-8541-4AF9-AA2B-1077A639B699}">
    <text>Updated per Guidehouse review.</text>
  </threadedComment>
  <threadedComment ref="Z95" dT="2022-01-27T20:10:39.27" personId="{0A831BE0-8E9C-476D-A0E3-509D1336B973}" id="{6DEE00F9-B250-4115-B26F-E6A9D0FAD9FF}">
    <text>Updated per Guidehouse review.</text>
  </threadedComment>
  <threadedComment ref="AA95" dT="2022-01-27T20:10:39.27" personId="{0A831BE0-8E9C-476D-A0E3-509D1336B973}" id="{713062D7-C481-4519-AF73-B13B2FD4FB82}">
    <text>Updated per Guidehouse review.</text>
  </threadedComment>
  <threadedComment ref="AI95" dT="2024-02-27T14:56:20.67" personId="{FA7E3B4C-1102-4378-B7D0-F89DC99F55A8}" id="{43214119-435F-4499-AAFD-4D2A876D66AD}">
    <text>Updated per PG &amp; NSG 2024 final NTG ratios. Previous value 88%.</text>
  </threadedComment>
  <threadedComment ref="AJ95" dT="2024-02-27T14:56:20.67" personId="{FA7E3B4C-1102-4378-B7D0-F89DC99F55A8}" id="{5E5D459E-F081-429E-AB0F-671E0AB93015}">
    <text>Updated per PG &amp; NSG 2024 final NTG ratios. Previous value 88%.</text>
  </threadedComment>
  <threadedComment ref="X96" dT="2022-01-27T20:22:28.79" personId="{0A831BE0-8E9C-476D-A0E3-509D1336B973}" id="{36A29412-99A9-4722-828D-E0D9F053FF2B}">
    <text>Updated per Guidehouse review.</text>
  </threadedComment>
  <threadedComment ref="Y96" dT="2022-01-27T20:22:28.79" personId="{0A831BE0-8E9C-476D-A0E3-509D1336B973}" id="{3A969E4D-A848-4435-AFAC-A1EF9CA39C17}">
    <text>Updated per Guidehouse review.</text>
  </threadedComment>
  <threadedComment ref="Z96" dT="2022-01-27T20:22:28.79" personId="{0A831BE0-8E9C-476D-A0E3-509D1336B973}" id="{F4C3385E-E974-4ACA-B55C-6F1698A3A36A}">
    <text>Updated per Guidehouse review.</text>
  </threadedComment>
  <threadedComment ref="AA96" dT="2022-01-27T20:22:28.79" personId="{0A831BE0-8E9C-476D-A0E3-509D1336B973}" id="{0A3A888D-7AFD-487D-9494-3F1CC9131B93}">
    <text>Updated per Guidehouse review.</text>
  </threadedComment>
  <threadedComment ref="X100" dT="2022-01-27T20:18:12.34" personId="{0A831BE0-8E9C-476D-A0E3-509D1336B973}" id="{C6D2B77E-0E1C-4BBB-9AA2-4D5D3458D617}">
    <text>Updated per Guidehouse review.</text>
  </threadedComment>
  <threadedComment ref="Y100" dT="2022-01-27T20:18:12.34" personId="{0A831BE0-8E9C-476D-A0E3-509D1336B973}" id="{DF465E47-BD73-4539-A460-83F4FEE5C1FC}">
    <text>Updated per Guidehouse review.</text>
  </threadedComment>
  <threadedComment ref="Z100" dT="2022-01-27T20:18:12.34" personId="{0A831BE0-8E9C-476D-A0E3-509D1336B973}" id="{FBC2C5AE-AF18-471F-91B7-FEAA7FCF097F}">
    <text>Updated per Guidehouse review.</text>
  </threadedComment>
  <threadedComment ref="AA100" dT="2022-01-27T20:18:12.34" personId="{0A831BE0-8E9C-476D-A0E3-509D1336B973}" id="{3EF499CE-FAC8-43FA-9F31-935AACF89C1E}">
    <text>Updated per Guidehouse review.</text>
  </threadedComment>
  <threadedComment ref="X101" dT="2022-01-27T20:18:12.34" personId="{0A831BE0-8E9C-476D-A0E3-509D1336B973}" id="{14249D78-5ED4-48B7-9D82-409BA8E03B18}">
    <text>Updated per Guidehouse review.</text>
  </threadedComment>
  <threadedComment ref="Y101" dT="2022-01-27T20:18:12.34" personId="{0A831BE0-8E9C-476D-A0E3-509D1336B973}" id="{A70E1C5E-E942-467E-9188-C381D9828034}">
    <text>Updated per Guidehouse review.</text>
  </threadedComment>
  <threadedComment ref="Z101" dT="2022-01-27T20:18:12.34" personId="{0A831BE0-8E9C-476D-A0E3-509D1336B973}" id="{64998486-BFC4-4DB2-BFED-75D87CFFFFE5}">
    <text>Updated per Guidehouse review.</text>
  </threadedComment>
  <threadedComment ref="AA101" dT="2022-01-27T20:18:12.34" personId="{0A831BE0-8E9C-476D-A0E3-509D1336B973}" id="{90E2BBA9-88D4-4B0A-BC3C-6BE7101FB00A}">
    <text>Updated per Guidehouse review.</text>
  </threadedComment>
  <threadedComment ref="X103" dT="2022-01-27T20:22:28.79" personId="{0A831BE0-8E9C-476D-A0E3-509D1336B973}" id="{784F585C-876F-42B8-AAAC-8F06388FC8EB}">
    <text>Updated per Guidehouse review.</text>
  </threadedComment>
  <threadedComment ref="Y103" dT="2022-01-27T20:22:28.79" personId="{0A831BE0-8E9C-476D-A0E3-509D1336B973}" id="{E90BDAA0-AC92-4503-BCF1-CFDB9064487A}">
    <text>Updated per Guidehouse review.</text>
  </threadedComment>
  <threadedComment ref="Z103" dT="2022-01-27T20:22:28.79" personId="{0A831BE0-8E9C-476D-A0E3-509D1336B973}" id="{252E32C5-9A49-482C-B03D-3E2A4F6B4688}">
    <text>Updated per Guidehouse review.</text>
  </threadedComment>
  <threadedComment ref="AA103" dT="2022-01-27T20:22:28.79" personId="{0A831BE0-8E9C-476D-A0E3-509D1336B973}" id="{11F3B48E-C9DC-4D64-B078-3A5B566B2D0D}">
    <text>Updated per Guidehouse review.</text>
  </threadedComment>
  <threadedComment ref="X105" dT="2022-01-27T20:22:28.79" personId="{0A831BE0-8E9C-476D-A0E3-509D1336B973}" id="{84851677-4273-404E-9C2C-9E62A8474BEC}">
    <text>Updated per Guidehouse review.</text>
  </threadedComment>
  <threadedComment ref="Y105" dT="2022-01-27T20:22:28.79" personId="{0A831BE0-8E9C-476D-A0E3-509D1336B973}" id="{9A4CF362-196B-4FB6-BE4B-1413F83CD074}">
    <text>Updated per Guidehouse review.</text>
  </threadedComment>
  <threadedComment ref="Z105" dT="2022-01-27T20:22:28.79" personId="{0A831BE0-8E9C-476D-A0E3-509D1336B973}" id="{27327007-4BD5-4260-91D7-363708AA14EF}">
    <text>Updated per Guidehouse review.</text>
  </threadedComment>
  <threadedComment ref="AA105" dT="2022-01-27T20:22:28.79" personId="{0A831BE0-8E9C-476D-A0E3-509D1336B973}" id="{6AF6611D-7B73-41D3-B525-975E360E937F}">
    <text>Updated per Guidehouse review.</text>
  </threadedComment>
  <threadedComment ref="AI106" dT="2024-02-27T16:00:14.48" personId="{FA7E3B4C-1102-4378-B7D0-F89DC99F55A8}" id="{8B8F6957-95A5-48CE-8865-AC024CDC936D}">
    <text>Updated per PG &amp; NSG 2024 final NTG ratios. Previous value 87%.</text>
  </threadedComment>
  <threadedComment ref="AJ106" dT="2024-02-27T16:00:14.48" personId="{FA7E3B4C-1102-4378-B7D0-F89DC99F55A8}" id="{FDD419DC-FB59-4591-A3EC-A67FFB885169}">
    <text>Updated per PG &amp; NSG 2024 final NTG ratios. Previous value 87%.</text>
  </threadedComment>
  <threadedComment ref="X107" dT="2022-01-27T20:18:12.34" personId="{0A831BE0-8E9C-476D-A0E3-509D1336B973}" id="{C85900B4-35AB-42A5-93DB-AC4CEA97911E}">
    <text>Updated per Guidehouse review.</text>
  </threadedComment>
  <threadedComment ref="Y107" dT="2022-01-27T20:18:12.34" personId="{0A831BE0-8E9C-476D-A0E3-509D1336B973}" id="{9D6E2709-259F-4FF8-AFA8-9DBB4DC1EFF6}">
    <text>Updated per Guidehouse review.</text>
  </threadedComment>
  <threadedComment ref="Z107" dT="2022-01-27T20:18:12.34" personId="{0A831BE0-8E9C-476D-A0E3-509D1336B973}" id="{FCE8020E-647A-4A69-8E1F-FF5360D3DE61}">
    <text>Updated per Guidehouse review.</text>
  </threadedComment>
  <threadedComment ref="AA107" dT="2022-01-27T20:18:12.34" personId="{0A831BE0-8E9C-476D-A0E3-509D1336B973}" id="{6F818481-7CD0-4D60-8B5D-9234F28B412A}">
    <text>Updated per Guidehouse review.</text>
  </threadedComment>
  <threadedComment ref="X108" dT="2022-01-27T20:18:12.34" personId="{0A831BE0-8E9C-476D-A0E3-509D1336B973}" id="{4FBEE8D9-8276-4463-A28F-8D71127E2A86}">
    <text>Updated per Guidehouse review.</text>
  </threadedComment>
  <threadedComment ref="Y108" dT="2022-01-27T20:18:12.34" personId="{0A831BE0-8E9C-476D-A0E3-509D1336B973}" id="{134C2AB5-AD9E-4680-B631-1EF774AA6243}">
    <text>Updated per Guidehouse review.</text>
  </threadedComment>
  <threadedComment ref="Z108" dT="2022-01-27T20:18:12.34" personId="{0A831BE0-8E9C-476D-A0E3-509D1336B973}" id="{3B255433-2866-41B4-AA1A-412FB94627A0}">
    <text>Updated per Guidehouse review.</text>
  </threadedComment>
  <threadedComment ref="AA108" dT="2022-01-27T20:18:12.34" personId="{0A831BE0-8E9C-476D-A0E3-509D1336B973}" id="{A13C6D6A-DE05-4B9D-8DD1-0480E2A02ABA}">
    <text>Updated per Guidehouse review.</text>
  </threadedComment>
  <threadedComment ref="AI114" dT="2024-02-27T16:00:14.48" personId="{FA7E3B4C-1102-4378-B7D0-F89DC99F55A8}" id="{68FA4E9B-6251-48C5-87AF-5F49A8B908C6}">
    <text>Updated per PG &amp; NSG 2024 final NTG ratios. Previous value 87%.</text>
  </threadedComment>
  <threadedComment ref="AJ114" dT="2024-02-27T16:00:14.48" personId="{FA7E3B4C-1102-4378-B7D0-F89DC99F55A8}" id="{BE26110F-A077-4A7A-94E2-57559A2AC25C}">
    <text>Updated per PG &amp; NSG 2024 final NTG ratios. Previous value 87%.</text>
  </threadedComment>
  <threadedComment ref="X117" dT="2022-01-27T20:18:12.34" personId="{0A831BE0-8E9C-476D-A0E3-509D1336B973}" id="{228E765E-CC82-4C26-A196-2D18EEA5059C}">
    <text>Updated per Guidehouse review.</text>
  </threadedComment>
  <threadedComment ref="Y117" dT="2022-01-27T20:18:12.34" personId="{0A831BE0-8E9C-476D-A0E3-509D1336B973}" id="{02B3402A-EDC7-4BB9-AEB0-5FFB15DB88FF}">
    <text>Updated per Guidehouse review.</text>
  </threadedComment>
  <threadedComment ref="Z117" dT="2022-01-27T20:18:12.34" personId="{0A831BE0-8E9C-476D-A0E3-509D1336B973}" id="{1886C7AA-EB57-469B-A76C-FA04824CF072}">
    <text>Updated per Guidehouse review.</text>
  </threadedComment>
  <threadedComment ref="AA117" dT="2022-01-27T20:18:12.34" personId="{0A831BE0-8E9C-476D-A0E3-509D1336B973}" id="{4E6DCDB8-8D85-4F9A-967F-F5BECE7983F3}">
    <text>Updated per Guidehouse review.</text>
  </threadedComment>
  <threadedComment ref="AI119" dT="2024-02-27T16:00:14.48" personId="{FA7E3B4C-1102-4378-B7D0-F89DC99F55A8}" id="{347E76E1-75EF-4E1A-813D-C20A773A0312}">
    <text>Updated per PG &amp; NSG 2024 final NTG ratios. Previous value 87%.</text>
  </threadedComment>
  <threadedComment ref="AJ119" dT="2024-02-27T16:00:14.48" personId="{FA7E3B4C-1102-4378-B7D0-F89DC99F55A8}" id="{D4418BF4-0D8A-4062-932A-10265D0CB274}">
    <text>Updated per PG &amp; NSG 2024 final NTG ratios. Previous value 87%.</text>
  </threadedComment>
  <threadedComment ref="X120" dT="2022-01-27T20:22:28.79" personId="{0A831BE0-8E9C-476D-A0E3-509D1336B973}" id="{8A598482-9071-4FAD-8D1E-CBBFAF549EBB}">
    <text>Updated per Guidehouse review.</text>
  </threadedComment>
  <threadedComment ref="Y120" dT="2022-01-27T20:22:28.79" personId="{0A831BE0-8E9C-476D-A0E3-509D1336B973}" id="{799C570D-ECD4-4EF6-9F86-63CF3432687B}">
    <text>Updated per Guidehouse review.</text>
  </threadedComment>
  <threadedComment ref="Z120" dT="2022-01-27T20:22:28.79" personId="{0A831BE0-8E9C-476D-A0E3-509D1336B973}" id="{2AE4AB6D-ABA3-4AEB-B9F9-7F6E9C168112}">
    <text>Updated per Guidehouse review.</text>
  </threadedComment>
  <threadedComment ref="AA120" dT="2022-01-27T20:22:28.79" personId="{0A831BE0-8E9C-476D-A0E3-509D1336B973}" id="{44EB36B3-2A24-47BB-BB3B-3B6CB5AEE656}">
    <text>Updated per Guidehouse review.</text>
  </threadedComment>
  <threadedComment ref="X121" dT="2022-01-27T20:22:28.79" personId="{0A831BE0-8E9C-476D-A0E3-509D1336B973}" id="{930F7EAC-2ECE-4AEC-9FEC-D50B38A810F1}">
    <text>Updated per Guidehouse review.</text>
  </threadedComment>
  <threadedComment ref="Y121" dT="2022-01-27T20:22:28.79" personId="{0A831BE0-8E9C-476D-A0E3-509D1336B973}" id="{045C8785-A174-4DF2-B7FD-F0B5978919D5}">
    <text>Updated per Guidehouse review.</text>
  </threadedComment>
  <threadedComment ref="Z121" dT="2022-01-27T20:22:28.79" personId="{0A831BE0-8E9C-476D-A0E3-509D1336B973}" id="{4040472E-C56F-4516-855C-5A73DF083CCD}">
    <text>Updated per Guidehouse review.</text>
  </threadedComment>
  <threadedComment ref="AA121" dT="2022-01-27T20:22:28.79" personId="{0A831BE0-8E9C-476D-A0E3-509D1336B973}" id="{7EB43E95-A0DD-4742-8E6C-130012E28815}">
    <text>Updated per Guidehouse review.</text>
  </threadedComment>
  <threadedComment ref="AI123" dT="2024-02-27T16:00:14.48" personId="{FA7E3B4C-1102-4378-B7D0-F89DC99F55A8}" id="{CFA314AC-E795-4001-85C8-FF18B4A472A1}">
    <text>Updated per PG &amp; NSG 2024 final NTG ratios. Previous value 87%.</text>
  </threadedComment>
  <threadedComment ref="AJ123" dT="2024-02-27T16:00:14.48" personId="{FA7E3B4C-1102-4378-B7D0-F89DC99F55A8}" id="{776E7C95-25A5-474E-A7E3-C82E32C1583A}">
    <text>Updated per PG &amp; NSG 2024 final NTG ratios. Previous value 87%.</text>
  </threadedComment>
  <threadedComment ref="X127" dT="2022-01-27T20:22:28.79" personId="{0A831BE0-8E9C-476D-A0E3-509D1336B973}" id="{99D77F14-B314-4999-ACE0-E49F1F47DCBB}">
    <text>Updated per Guidehouse review.</text>
  </threadedComment>
  <threadedComment ref="Y127" dT="2022-01-27T20:22:28.79" personId="{0A831BE0-8E9C-476D-A0E3-509D1336B973}" id="{64ABAAF2-C7A9-498E-A800-390FC15F41D5}">
    <text>Updated per Guidehouse review.</text>
  </threadedComment>
  <threadedComment ref="Z127" dT="2022-01-27T20:22:28.79" personId="{0A831BE0-8E9C-476D-A0E3-509D1336B973}" id="{2DD66289-C6EF-4598-999D-EB03D34378FF}">
    <text>Updated per Guidehouse review.</text>
  </threadedComment>
  <threadedComment ref="AA127" dT="2022-01-27T20:22:28.79" personId="{0A831BE0-8E9C-476D-A0E3-509D1336B973}" id="{0EC4521F-C5E3-4F63-A532-709ABC93E4B9}">
    <text>Updated per Guidehouse review.</text>
  </threadedComment>
  <threadedComment ref="X128" dT="2022-01-27T20:22:28.79" personId="{0A831BE0-8E9C-476D-A0E3-509D1336B973}" id="{A5FA8B68-225C-471D-90D1-CA3B8409F8C2}">
    <text>Updated per Guidehouse review.</text>
  </threadedComment>
  <threadedComment ref="Y128" dT="2022-01-27T20:22:28.79" personId="{0A831BE0-8E9C-476D-A0E3-509D1336B973}" id="{49F14310-CB64-41EA-9A29-03B0E1EE643D}">
    <text>Updated per Guidehouse review.</text>
  </threadedComment>
  <threadedComment ref="Z128" dT="2022-01-27T20:22:28.79" personId="{0A831BE0-8E9C-476D-A0E3-509D1336B973}" id="{BBA8B9F9-0C04-45D5-9694-DDA5A421F62C}">
    <text>Updated per Guidehouse review.</text>
  </threadedComment>
  <threadedComment ref="AA128" dT="2022-01-27T20:22:28.79" personId="{0A831BE0-8E9C-476D-A0E3-509D1336B973}" id="{66E7516D-25FA-4CE1-A5CF-64BEB9D23F18}">
    <text>Updated per Guidehouse review.</text>
  </threadedComment>
  <threadedComment ref="X132" dT="2021-04-02T20:31:15.47" personId="{2BE53071-80F4-4D6F-A2F0-916AAB200931}" id="{E74A4546-0598-4418-87F0-382B70066458}">
    <text>Updated per Guidehouse review.</text>
  </threadedComment>
  <threadedComment ref="Y132" dT="2021-04-02T20:31:15.47" personId="{2BE53071-80F4-4D6F-A2F0-916AAB200931}" id="{7BF7D03F-401D-43CF-AD0F-266AD56AC08A}">
    <text>Updated per Guidehouse review.</text>
  </threadedComment>
  <threadedComment ref="Z132" dT="2021-04-02T20:31:15.47" personId="{2BE53071-80F4-4D6F-A2F0-916AAB200931}" id="{FB047638-5A2D-405B-9063-5FB5ECBCEA95}">
    <text>Updated per Guidehouse review.</text>
  </threadedComment>
  <threadedComment ref="AA132" dT="2021-04-02T20:31:15.47" personId="{2BE53071-80F4-4D6F-A2F0-916AAB200931}" id="{F2D9C4F2-D70E-49EE-9275-3EBD1C8F4BC1}">
    <text>Updated per Guidehouse review.</text>
  </threadedComment>
  <threadedComment ref="AI134" dT="2024-02-27T16:00:14.48" personId="{FA7E3B4C-1102-4378-B7D0-F89DC99F55A8}" id="{46D16609-32F5-444E-9715-9A7926B69B74}">
    <text>Updated per PG &amp; NSG 2024 final NTG ratios. Previous value 87%.</text>
  </threadedComment>
  <threadedComment ref="AJ134" dT="2024-02-27T16:00:14.48" personId="{FA7E3B4C-1102-4378-B7D0-F89DC99F55A8}" id="{9CAEC889-7910-4F60-B2F3-76FE8C571640}">
    <text>Updated per PG &amp; NSG 2024 final NTG ratios. Previous value 87%.</text>
  </threadedComment>
  <threadedComment ref="X136" dT="2022-01-27T20:10:39.27" personId="{0A831BE0-8E9C-476D-A0E3-509D1336B973}" id="{BFE7E528-5980-46BB-85BC-CFE070DD667D}">
    <text>Updated per Guidehouse review.</text>
  </threadedComment>
  <threadedComment ref="Y136" dT="2022-01-27T20:10:39.27" personId="{0A831BE0-8E9C-476D-A0E3-509D1336B973}" id="{E889D8AE-4B0E-4F69-9F62-E1C51B01880A}">
    <text>Updated per Guidehouse review.</text>
  </threadedComment>
  <threadedComment ref="Z136" dT="2022-01-27T20:10:39.27" personId="{0A831BE0-8E9C-476D-A0E3-509D1336B973}" id="{1FC5FFF2-CE47-43EA-83E8-7BE80BF243C8}">
    <text>Updated per Guidehouse review.</text>
  </threadedComment>
  <threadedComment ref="AA136" dT="2022-01-27T20:10:39.27" personId="{0A831BE0-8E9C-476D-A0E3-509D1336B973}" id="{83597DF3-FC2B-49F1-93CD-69B3539AC652}">
    <text>Updated per Guidehouse review.</text>
  </threadedComment>
  <threadedComment ref="AI136" dT="2024-02-27T14:56:20.67" personId="{FA7E3B4C-1102-4378-B7D0-F89DC99F55A8}" id="{8D3931E5-3245-433D-B167-DC3F6BE1EF46}">
    <text>Updated per PG &amp; NSG 2024 final NTG ratios. Previous value 88%.</text>
  </threadedComment>
  <threadedComment ref="AJ136" dT="2024-02-27T14:56:20.67" personId="{FA7E3B4C-1102-4378-B7D0-F89DC99F55A8}" id="{5D573D4D-48B1-4A43-864D-82108415E15C}">
    <text>Updated per PG &amp; NSG 2024 final NTG ratios. Previous value 88%.</text>
  </threadedComment>
  <threadedComment ref="X137" dT="2022-01-27T20:18:12.34" personId="{0A831BE0-8E9C-476D-A0E3-509D1336B973}" id="{B5FB1AD3-505F-4A93-90D9-E29BB6B71364}">
    <text>Updated per Guidehouse review.</text>
  </threadedComment>
  <threadedComment ref="Y137" dT="2022-01-27T20:18:12.34" personId="{0A831BE0-8E9C-476D-A0E3-509D1336B973}" id="{DD16ECD9-5D55-4BDB-A334-4DE02DC4EC0C}">
    <text>Updated per Guidehouse review.</text>
  </threadedComment>
  <threadedComment ref="Z137" dT="2022-01-27T20:18:12.34" personId="{0A831BE0-8E9C-476D-A0E3-509D1336B973}" id="{0C72C518-BFBA-494A-9858-4815031DFCE8}">
    <text>Updated per Guidehouse review.</text>
  </threadedComment>
  <threadedComment ref="AA137" dT="2022-01-27T20:18:12.34" personId="{0A831BE0-8E9C-476D-A0E3-509D1336B973}" id="{BE88D033-B983-4933-9E8D-8F31575BA86D}">
    <text>Updated per Guidehouse review.</text>
  </threadedComment>
  <threadedComment ref="X138" dT="2022-01-27T20:22:28.79" personId="{0A831BE0-8E9C-476D-A0E3-509D1336B973}" id="{DAA73F70-C03B-4779-B577-A7A5D4897018}">
    <text>Updated per Guidehouse review.</text>
  </threadedComment>
  <threadedComment ref="Y138" dT="2022-01-27T20:22:28.79" personId="{0A831BE0-8E9C-476D-A0E3-509D1336B973}" id="{EFBB5A9F-2AE1-48E9-A0F0-4FD028DD216B}">
    <text>Updated per Guidehouse review.</text>
  </threadedComment>
  <threadedComment ref="Z138" dT="2022-01-27T20:22:28.79" personId="{0A831BE0-8E9C-476D-A0E3-509D1336B973}" id="{8A729CED-064F-48C9-BA89-F4EB3F12537A}">
    <text>Updated per Guidehouse review.</text>
  </threadedComment>
  <threadedComment ref="AA138" dT="2022-01-27T20:22:28.79" personId="{0A831BE0-8E9C-476D-A0E3-509D1336B973}" id="{AC8F1C3E-7F76-458C-952F-3B540388DEF3}">
    <text>Updated per Guidehouse review.</text>
  </threadedComment>
  <threadedComment ref="X139" dT="2022-01-27T20:22:28.79" personId="{0A831BE0-8E9C-476D-A0E3-509D1336B973}" id="{E7748DF2-474F-4002-AFDA-D833CC9BE239}">
    <text>Updated per Guidehouse review.</text>
  </threadedComment>
  <threadedComment ref="Y139" dT="2022-01-27T20:22:28.79" personId="{0A831BE0-8E9C-476D-A0E3-509D1336B973}" id="{1FFB9C11-E2E6-4A84-A23F-6D0D13E6B1DC}">
    <text>Updated per Guidehouse review.</text>
  </threadedComment>
  <threadedComment ref="Z139" dT="2022-01-27T20:22:28.79" personId="{0A831BE0-8E9C-476D-A0E3-509D1336B973}" id="{2527FC2B-9981-454A-9A86-F1A7A08A510F}">
    <text>Updated per Guidehouse review.</text>
  </threadedComment>
  <threadedComment ref="AA139" dT="2022-01-27T20:22:28.79" personId="{0A831BE0-8E9C-476D-A0E3-509D1336B973}" id="{255FE400-D612-4BD4-AF17-0FB254F8C559}">
    <text>Updated per Guidehouse review.</text>
  </threadedComment>
  <threadedComment ref="X144" dT="2022-01-27T20:22:28.79" personId="{0A831BE0-8E9C-476D-A0E3-509D1336B973}" id="{87F592DD-5031-431B-946F-EEA230866576}">
    <text>Updated per Guidehouse review.</text>
  </threadedComment>
  <threadedComment ref="Y144" dT="2022-01-27T20:22:28.79" personId="{0A831BE0-8E9C-476D-A0E3-509D1336B973}" id="{072857CF-3FCD-401C-A3EE-F0ED8363F5E1}">
    <text>Updated per Guidehouse review.</text>
  </threadedComment>
  <threadedComment ref="Z144" dT="2022-01-27T20:22:28.79" personId="{0A831BE0-8E9C-476D-A0E3-509D1336B973}" id="{A22A3889-9A83-4D9B-86C3-DF8B87A19675}">
    <text>Updated per Guidehouse review.</text>
  </threadedComment>
  <threadedComment ref="AA144" dT="2022-01-27T20:22:28.79" personId="{0A831BE0-8E9C-476D-A0E3-509D1336B973}" id="{23E18AE8-C9F4-44BF-AB75-40A2F3688739}">
    <text>Updated per Guidehouse review.</text>
  </threadedComment>
  <threadedComment ref="AI146" dT="2024-02-27T16:00:14.48" personId="{FA7E3B4C-1102-4378-B7D0-F89DC99F55A8}" id="{BAED64B8-C280-4854-9DAD-72DC1E9B56B4}">
    <text>Updated per PG &amp; NSG 2024 final NTG ratios. Previous value 87%.</text>
  </threadedComment>
  <threadedComment ref="AJ146" dT="2024-02-27T16:00:14.48" personId="{FA7E3B4C-1102-4378-B7D0-F89DC99F55A8}" id="{88068482-181A-4BC5-8047-9E05C316A68E}">
    <text>Updated per PG &amp; NSG 2024 final NTG ratios. Previous value 87%.</text>
  </threadedComment>
  <threadedComment ref="X147" dT="2022-01-27T20:22:28.79" personId="{0A831BE0-8E9C-476D-A0E3-509D1336B973}" id="{69573CD6-0B75-439F-9184-877DC1CA1F35}">
    <text>Updated per Guidehouse review.</text>
  </threadedComment>
  <threadedComment ref="Y147" dT="2022-01-27T20:22:28.79" personId="{0A831BE0-8E9C-476D-A0E3-509D1336B973}" id="{28475D5B-65A3-47D5-B451-DB44B9229CF0}">
    <text>Updated per Guidehouse review.</text>
  </threadedComment>
  <threadedComment ref="Z147" dT="2022-01-27T20:22:28.79" personId="{0A831BE0-8E9C-476D-A0E3-509D1336B973}" id="{66B7C521-8273-4677-BB2E-A4FD63F85E7C}">
    <text>Updated per Guidehouse review.</text>
  </threadedComment>
  <threadedComment ref="AA147" dT="2022-01-27T20:22:28.79" personId="{0A831BE0-8E9C-476D-A0E3-509D1336B973}" id="{66FE9634-1068-4E8C-B893-8BD5E1984328}">
    <text>Updated per Guidehouse review.</text>
  </threadedComment>
  <threadedComment ref="AG152" dT="2023-02-10T20:15:58.72" personId="{2BE53071-80F4-4D6F-A2F0-916AAB200931}" id="{5D9C7766-1689-48A7-92FE-D3D0FD9B811C}">
    <text>Corrected per 2023 Guidehouse review.</text>
  </threadedComment>
  <threadedComment ref="AH152" dT="2023-02-10T20:15:58.72" personId="{2BE53071-80F4-4D6F-A2F0-916AAB200931}" id="{2D71D915-6C9A-4DBF-A471-DA46358382C5}">
    <text>Corrected per 2023 Guidehouse review.</text>
  </threadedComment>
  <threadedComment ref="AI152" dT="2023-02-10T20:15:58.72" personId="{2BE53071-80F4-4D6F-A2F0-916AAB200931}" id="{6AECD202-2649-48F8-AC5B-6662EEDE186D}">
    <text>Corrected per 2023 Guidehouse review.</text>
  </threadedComment>
  <threadedComment ref="AJ152" dT="2023-02-10T20:15:58.72" personId="{2BE53071-80F4-4D6F-A2F0-916AAB200931}" id="{8C3E0895-7176-4B3B-A8C2-235C9B2A61EE}">
    <text>Corrected per 2023 Guidehouse review.</text>
  </threadedComment>
  <threadedComment ref="AI155" dT="2024-02-27T16:00:14.48" personId="{FA7E3B4C-1102-4378-B7D0-F89DC99F55A8}" id="{299F3333-EEB8-40B2-AFB4-5200771EF35C}">
    <text>Updated per PG &amp; NSG 2024 final NTG ratios. Previous value 87%.</text>
  </threadedComment>
  <threadedComment ref="AJ155" dT="2024-02-27T16:00:14.48" personId="{FA7E3B4C-1102-4378-B7D0-F89DC99F55A8}" id="{35623422-B963-4D6B-A644-DF4AEBF18CC7}">
    <text>Updated per PG &amp; NSG 2024 final NTG ratios. Previous value 87%.</text>
  </threadedComment>
  <threadedComment ref="AI156" dT="2024-02-27T16:00:14.48" personId="{FA7E3B4C-1102-4378-B7D0-F89DC99F55A8}" id="{7CD5C64F-67AA-4238-8FD4-095AE7DBA112}">
    <text>Updated per PG &amp; NSG 2024 final NTG ratios. Previous value 87%.</text>
  </threadedComment>
  <threadedComment ref="AJ156" dT="2024-02-27T16:00:14.48" personId="{FA7E3B4C-1102-4378-B7D0-F89DC99F55A8}" id="{295A66FC-A2C3-43ED-90E3-1D053D86A310}">
    <text>Updated per PG &amp; NSG 2024 final NTG ratios. Previous value 87%.</text>
  </threadedComment>
  <threadedComment ref="X157" dT="2022-01-27T20:22:28.79" personId="{0A831BE0-8E9C-476D-A0E3-509D1336B973}" id="{C100F896-E0F9-4350-9382-118C6E3AD6FC}">
    <text>Updated per Guidehouse review.</text>
  </threadedComment>
  <threadedComment ref="Y157" dT="2022-01-27T20:22:28.79" personId="{0A831BE0-8E9C-476D-A0E3-509D1336B973}" id="{3A11B648-934A-498F-9664-3629CE0AF38E}">
    <text>Updated per Guidehouse review.</text>
  </threadedComment>
  <threadedComment ref="Z157" dT="2022-01-27T20:22:28.79" personId="{0A831BE0-8E9C-476D-A0E3-509D1336B973}" id="{8B637E61-8B70-4092-9C9E-1C6ED8374739}">
    <text>Updated per Guidehouse review.</text>
  </threadedComment>
  <threadedComment ref="AA157" dT="2022-01-27T20:22:28.79" personId="{0A831BE0-8E9C-476D-A0E3-509D1336B973}" id="{55828A71-B0D2-4876-A084-9C801DB2E197}">
    <text>Updated per Guidehouse review.</text>
  </threadedComment>
  <threadedComment ref="AI158" dT="2024-02-27T16:00:14.48" personId="{FA7E3B4C-1102-4378-B7D0-F89DC99F55A8}" id="{463AFB46-27E9-4729-AB4C-F5F855CEFB44}">
    <text>Updated per PG &amp; NSG 2024 final NTG ratios. Previous value 87%.</text>
  </threadedComment>
  <threadedComment ref="AJ158" dT="2024-02-27T16:00:14.48" personId="{FA7E3B4C-1102-4378-B7D0-F89DC99F55A8}" id="{C01F4694-BC02-4785-8EE2-11C76F4FE7D8}">
    <text>Updated per PG &amp; NSG 2024 final NTG ratios. Previous value 87%.</text>
  </threadedComment>
  <threadedComment ref="X159" dT="2022-01-27T20:18:12.34" personId="{0A831BE0-8E9C-476D-A0E3-509D1336B973}" id="{6D722918-20E1-4D81-B04C-7097514CAB76}">
    <text>Updated per Guidehouse review.</text>
  </threadedComment>
  <threadedComment ref="Y159" dT="2022-01-27T20:18:12.34" personId="{0A831BE0-8E9C-476D-A0E3-509D1336B973}" id="{43B6836A-06B7-4A9D-8ACC-90F9C92F23DF}">
    <text>Updated per Guidehouse review.</text>
  </threadedComment>
  <threadedComment ref="Z159" dT="2022-01-27T20:18:12.34" personId="{0A831BE0-8E9C-476D-A0E3-509D1336B973}" id="{BF1D5D9B-E03A-4338-BF74-EAF73DDF89A8}">
    <text>Updated per Guidehouse review.</text>
  </threadedComment>
  <threadedComment ref="AA159" dT="2022-01-27T20:18:12.34" personId="{0A831BE0-8E9C-476D-A0E3-509D1336B973}" id="{252C0DF3-95D6-4637-9C4E-F6D8E5DF4FA3}">
    <text>Updated per Guidehouse review.</text>
  </threadedComment>
  <threadedComment ref="X160" dT="2022-01-27T20:18:12.34" personId="{0A831BE0-8E9C-476D-A0E3-509D1336B973}" id="{8CCAB502-2C0C-48AE-B065-5B083185E847}">
    <text>Updated per Guidehouse review.</text>
  </threadedComment>
  <threadedComment ref="Y160" dT="2022-01-27T20:18:12.34" personId="{0A831BE0-8E9C-476D-A0E3-509D1336B973}" id="{5EACFE7A-0576-400E-B66A-4C1082E1800B}">
    <text>Updated per Guidehouse review.</text>
  </threadedComment>
  <threadedComment ref="Z160" dT="2022-01-27T20:18:12.34" personId="{0A831BE0-8E9C-476D-A0E3-509D1336B973}" id="{99A4AE7A-451C-4215-B255-B3B366A98F4C}">
    <text>Updated per Guidehouse review.</text>
  </threadedComment>
  <threadedComment ref="AA160" dT="2022-01-27T20:18:12.34" personId="{0A831BE0-8E9C-476D-A0E3-509D1336B973}" id="{C9848176-F09E-44D7-B3F6-1FF65810E3D7}">
    <text>Updated per Guidehouse review.</text>
  </threadedComment>
  <threadedComment ref="X161" dT="2022-01-27T20:18:12.34" personId="{0A831BE0-8E9C-476D-A0E3-509D1336B973}" id="{8585B154-DB2C-429E-94D8-D567245596A7}">
    <text>Updated per Guidehouse review.</text>
  </threadedComment>
  <threadedComment ref="Y161" dT="2022-01-27T20:18:12.34" personId="{0A831BE0-8E9C-476D-A0E3-509D1336B973}" id="{D59E7921-6F83-47ED-8129-09189FC5A376}">
    <text>Updated per Guidehouse review.</text>
  </threadedComment>
  <threadedComment ref="Z161" dT="2022-01-27T20:18:12.34" personId="{0A831BE0-8E9C-476D-A0E3-509D1336B973}" id="{1A1D522A-C447-4789-BC12-D2BC0343339D}">
    <text>Updated per Guidehouse review.</text>
  </threadedComment>
  <threadedComment ref="AA161" dT="2022-01-27T20:18:12.34" personId="{0A831BE0-8E9C-476D-A0E3-509D1336B973}" id="{F594F43D-6166-4CB8-9F79-2CD198A8AE24}">
    <text>Updated per Guidehouse review.</text>
  </threadedComment>
  <threadedComment ref="X162" dT="2022-01-27T20:22:28.79" personId="{0A831BE0-8E9C-476D-A0E3-509D1336B973}" id="{52007EAF-7B84-4625-8B0E-53C359FD9211}">
    <text>Updated per Guidehouse review.</text>
  </threadedComment>
  <threadedComment ref="Y162" dT="2022-01-27T20:22:28.79" personId="{0A831BE0-8E9C-476D-A0E3-509D1336B973}" id="{13133DF9-CA5F-4B56-A199-B31DA5C76E84}">
    <text>Updated per Guidehouse review.</text>
  </threadedComment>
  <threadedComment ref="Z162" dT="2022-01-27T20:22:28.79" personId="{0A831BE0-8E9C-476D-A0E3-509D1336B973}" id="{625E8145-1F63-42C4-9685-71D8FABDA8BC}">
    <text>Updated per Guidehouse review.</text>
  </threadedComment>
  <threadedComment ref="AA162" dT="2022-01-27T20:22:28.79" personId="{0A831BE0-8E9C-476D-A0E3-509D1336B973}" id="{29324101-7035-4ABD-B4D4-E1436949707D}">
    <text>Updated per Guidehouse review.</text>
  </threadedComment>
  <threadedComment ref="X163" dT="2022-01-27T20:22:28.79" personId="{0A831BE0-8E9C-476D-A0E3-509D1336B973}" id="{8947D717-8E66-4B3B-9BED-0E38211C10D7}">
    <text>Updated per Guidehouse review.</text>
  </threadedComment>
  <threadedComment ref="Y163" dT="2022-01-27T20:22:28.79" personId="{0A831BE0-8E9C-476D-A0E3-509D1336B973}" id="{FDE96C06-FAFD-4E84-A2CF-B7CC2EC0FA4B}">
    <text>Updated per Guidehouse review.</text>
  </threadedComment>
  <threadedComment ref="Z163" dT="2022-01-27T20:22:28.79" personId="{0A831BE0-8E9C-476D-A0E3-509D1336B973}" id="{F96C49EF-3206-491C-9288-A50036BCF201}">
    <text>Updated per Guidehouse review.</text>
  </threadedComment>
  <threadedComment ref="AA163" dT="2022-01-27T20:22:28.79" personId="{0A831BE0-8E9C-476D-A0E3-509D1336B973}" id="{D7526A84-EB3B-484D-9513-6DED03940C62}">
    <text>Updated per Guidehouse review.</text>
  </threadedComment>
  <threadedComment ref="X165" dT="2021-04-02T20:31:15.47" personId="{2BE53071-80F4-4D6F-A2F0-916AAB200931}" id="{B9389F5F-BC18-4B9E-9D34-235BAB47D5C5}">
    <text>Updated per Guidehouse review.</text>
  </threadedComment>
  <threadedComment ref="Y165" dT="2021-04-02T20:31:15.47" personId="{2BE53071-80F4-4D6F-A2F0-916AAB200931}" id="{F9F9F6AA-8F25-4852-B023-63C6353D0046}">
    <text>Updated per Guidehouse review.</text>
  </threadedComment>
  <threadedComment ref="Z165" dT="2021-04-02T20:31:15.47" personId="{2BE53071-80F4-4D6F-A2F0-916AAB200931}" id="{FB178944-6CD0-4465-8E41-AD09FB190955}">
    <text>Updated per Guidehouse review.</text>
  </threadedComment>
  <threadedComment ref="AA165" dT="2021-04-02T20:31:15.47" personId="{2BE53071-80F4-4D6F-A2F0-916AAB200931}" id="{8B8E6857-3600-439F-862E-0663F0C56DDD}">
    <text>Updated per Guidehouse review.</text>
  </threadedComment>
  <threadedComment ref="X169" dT="2022-01-27T20:22:28.79" personId="{0A831BE0-8E9C-476D-A0E3-509D1336B973}" id="{02C883C9-599B-4601-BEE0-FC6E48557FF0}">
    <text>Updated per Guidehouse review.</text>
  </threadedComment>
  <threadedComment ref="Y169" dT="2022-01-27T20:22:28.79" personId="{0A831BE0-8E9C-476D-A0E3-509D1336B973}" id="{33593276-9BF8-4022-9F50-ED80C578B009}">
    <text>Updated per Guidehouse review.</text>
  </threadedComment>
  <threadedComment ref="Z169" dT="2022-01-27T20:22:28.79" personId="{0A831BE0-8E9C-476D-A0E3-509D1336B973}" id="{1763B161-FBB4-47BA-9E18-2250CFE6C577}">
    <text>Updated per Guidehouse review.</text>
  </threadedComment>
  <threadedComment ref="AA169" dT="2022-01-27T20:22:28.79" personId="{0A831BE0-8E9C-476D-A0E3-509D1336B973}" id="{87DF4AE8-F479-4E52-926B-9375D11BEDCE}">
    <text>Updated per Guidehouse review.</text>
  </threadedComment>
  <threadedComment ref="X171" dT="2022-01-27T20:22:28.79" personId="{0A831BE0-8E9C-476D-A0E3-509D1336B973}" id="{3ACFFB31-0C90-40D3-9278-9849E8A38C43}">
    <text>Updated per Guidehouse review.</text>
  </threadedComment>
  <threadedComment ref="Y171" dT="2022-01-27T20:22:28.79" personId="{0A831BE0-8E9C-476D-A0E3-509D1336B973}" id="{A4F33AA0-88C1-4FDE-9431-E70F136F3B66}">
    <text>Updated per Guidehouse review.</text>
  </threadedComment>
  <threadedComment ref="Z171" dT="2022-01-27T20:22:28.79" personId="{0A831BE0-8E9C-476D-A0E3-509D1336B973}" id="{EE9B46B0-EA01-4BF4-A666-D63475D25C7B}">
    <text>Updated per Guidehouse review.</text>
  </threadedComment>
  <threadedComment ref="AA171" dT="2022-01-27T20:22:28.79" personId="{0A831BE0-8E9C-476D-A0E3-509D1336B973}" id="{9999F82D-DF2E-482A-987F-20BC6558A92A}">
    <text>Updated per Guidehouse review.</text>
  </threadedComment>
  <threadedComment ref="AI172" dT="2024-02-27T14:47:31.62" personId="{FA7E3B4C-1102-4378-B7D0-F89DC99F55A8}" id="{F0F8AAA9-B73C-4EC3-BC88-5576D333386B}">
    <text>Updated per PG &amp; NSG 2024 final NTG ratios. Previous value 80%.</text>
  </threadedComment>
  <threadedComment ref="AJ172" dT="2024-02-27T14:47:31.62" personId="{FA7E3B4C-1102-4378-B7D0-F89DC99F55A8}" id="{47773E44-38E0-4712-988A-E6BB1CFBD8B5}">
    <text>Updated per PG &amp; NSG 2024 final NTG ratios. Previous value 80%.</text>
  </threadedComment>
  <threadedComment ref="AI175" dT="2024-02-27T16:00:14.48" personId="{FA7E3B4C-1102-4378-B7D0-F89DC99F55A8}" id="{57ECCAAC-B610-42EC-BB05-75BD96D4F67D}">
    <text>Updated per PG &amp; NSG 2024 final NTG ratios. Previous value 87%.</text>
  </threadedComment>
  <threadedComment ref="AJ175" dT="2024-02-27T16:00:14.48" personId="{FA7E3B4C-1102-4378-B7D0-F89DC99F55A8}" id="{0B415509-CD0C-46E1-B739-1F3B1AD095EB}">
    <text>Updated per PG &amp; NSG 2024 final NTG ratios. Previous value 87%.</text>
  </threadedComment>
  <threadedComment ref="AI176" dT="2024-02-27T16:00:14.48" personId="{FA7E3B4C-1102-4378-B7D0-F89DC99F55A8}" id="{02E7D095-891A-4365-8DE2-08C5AB0F2647}">
    <text>Updated per PG &amp; NSG 2024 final NTG ratios. Previous value 87%.</text>
  </threadedComment>
  <threadedComment ref="AJ176" dT="2024-02-27T16:00:14.48" personId="{FA7E3B4C-1102-4378-B7D0-F89DC99F55A8}" id="{FEEAB44B-E92B-4687-9FA9-70AA7F080015}">
    <text>Updated per PG &amp; NSG 2024 final NTG ratios. Previous value 87%.</text>
  </threadedComment>
  <threadedComment ref="AI177" dT="2024-02-27T16:00:14.48" personId="{FA7E3B4C-1102-4378-B7D0-F89DC99F55A8}" id="{9D986DC2-8009-4846-9756-48307FAD9DD6}">
    <text>Updated per PG &amp; NSG 2024 final NTG ratios. Previous value 87%.</text>
  </threadedComment>
  <threadedComment ref="AJ177" dT="2024-02-27T16:00:14.48" personId="{FA7E3B4C-1102-4378-B7D0-F89DC99F55A8}" id="{C3A7544A-51AF-4DAB-BE2F-21CA49A20E5E}">
    <text>Updated per PG &amp; NSG 2024 final NTG ratios. Previous value 87%.</text>
  </threadedComment>
  <threadedComment ref="X179" dT="2022-01-27T20:18:12.34" personId="{0A831BE0-8E9C-476D-A0E3-509D1336B973}" id="{8B218C8A-FE6F-4984-9778-D6830417E777}">
    <text>Updated per Guidehouse review.</text>
  </threadedComment>
  <threadedComment ref="Y179" dT="2022-01-27T20:18:12.34" personId="{0A831BE0-8E9C-476D-A0E3-509D1336B973}" id="{95BA5B2C-012F-4FF3-A495-657098448C31}">
    <text>Updated per Guidehouse review.</text>
  </threadedComment>
  <threadedComment ref="Z179" dT="2022-01-27T20:18:12.34" personId="{0A831BE0-8E9C-476D-A0E3-509D1336B973}" id="{53C69C0A-7379-41B9-8989-F1D0730A0A16}">
    <text>Updated per Guidehouse review.</text>
  </threadedComment>
  <threadedComment ref="AA179" dT="2022-01-27T20:18:12.34" personId="{0A831BE0-8E9C-476D-A0E3-509D1336B973}" id="{9A26159C-DF3E-4106-B278-ED1A254074AD}">
    <text>Updated per Guidehouse review.</text>
  </threadedComment>
  <threadedComment ref="X180" dT="2022-01-27T20:22:28.79" personId="{0A831BE0-8E9C-476D-A0E3-509D1336B973}" id="{8624CD84-CF52-442B-9EAB-DD515DB6E718}">
    <text>Updated per Guidehouse review.</text>
  </threadedComment>
  <threadedComment ref="Y180" dT="2022-01-27T20:22:28.79" personId="{0A831BE0-8E9C-476D-A0E3-509D1336B973}" id="{170FC89C-3669-4D30-9952-07779C3E985E}">
    <text>Updated per Guidehouse review.</text>
  </threadedComment>
  <threadedComment ref="Z180" dT="2022-01-27T20:22:28.79" personId="{0A831BE0-8E9C-476D-A0E3-509D1336B973}" id="{AC758E13-5728-4CA7-B4A6-C3753C9D5D8E}">
    <text>Updated per Guidehouse review.</text>
  </threadedComment>
  <threadedComment ref="AA180" dT="2022-01-27T20:22:28.79" personId="{0A831BE0-8E9C-476D-A0E3-509D1336B973}" id="{DF768C15-C505-4671-AF28-9B04C55B643E}">
    <text>Updated per Guidehouse review.</text>
  </threadedComment>
  <threadedComment ref="X181" dT="2022-01-27T20:22:28.79" personId="{0A831BE0-8E9C-476D-A0E3-509D1336B973}" id="{6ACE645A-CEFE-4F26-B5A0-AF608DE49FC0}">
    <text>Updated per Guidehouse review.</text>
  </threadedComment>
  <threadedComment ref="Y181" dT="2022-01-27T20:22:28.79" personId="{0A831BE0-8E9C-476D-A0E3-509D1336B973}" id="{3C709744-BB06-4EB1-909A-ECFB49E3B653}">
    <text>Updated per Guidehouse review.</text>
  </threadedComment>
  <threadedComment ref="Z181" dT="2022-01-27T20:22:28.79" personId="{0A831BE0-8E9C-476D-A0E3-509D1336B973}" id="{C92ED2C2-A174-4790-A08A-A754A97E7B1B}">
    <text>Updated per Guidehouse review.</text>
  </threadedComment>
  <threadedComment ref="AA181" dT="2022-01-27T20:22:28.79" personId="{0A831BE0-8E9C-476D-A0E3-509D1336B973}" id="{04A3326C-1D7D-4370-9A81-6257E77826E1}">
    <text>Updated per Guidehouse review.</text>
  </threadedComment>
  <threadedComment ref="X182" dT="2022-01-27T20:22:28.79" personId="{0A831BE0-8E9C-476D-A0E3-509D1336B973}" id="{D927407B-F5F7-4271-B96B-2EB822D75576}">
    <text>Updated per Guidehouse review.</text>
  </threadedComment>
  <threadedComment ref="Y182" dT="2022-01-27T20:22:28.79" personId="{0A831BE0-8E9C-476D-A0E3-509D1336B973}" id="{3488E7BE-FE66-4AEE-9A92-E8FD05026F21}">
    <text>Updated per Guidehouse review.</text>
  </threadedComment>
  <threadedComment ref="Z182" dT="2022-01-27T20:22:28.79" personId="{0A831BE0-8E9C-476D-A0E3-509D1336B973}" id="{747A6979-9690-4424-9620-6A2B7C9ADAC5}">
    <text>Updated per Guidehouse review.</text>
  </threadedComment>
  <threadedComment ref="AA182" dT="2022-01-27T20:22:28.79" personId="{0A831BE0-8E9C-476D-A0E3-509D1336B973}" id="{AFAF631C-8727-47E1-9BC1-44BD440F829F}">
    <text>Updated per Guidehouse review.</text>
  </threadedComment>
  <threadedComment ref="X183" dT="2022-01-27T20:22:28.79" personId="{0A831BE0-8E9C-476D-A0E3-509D1336B973}" id="{45B3AEB5-ED2B-4458-8E54-9D52D948F80B}">
    <text>Updated per Guidehouse review.</text>
  </threadedComment>
  <threadedComment ref="Y183" dT="2022-01-27T20:22:28.79" personId="{0A831BE0-8E9C-476D-A0E3-509D1336B973}" id="{51D4C11D-7CA2-4C35-8169-576FDBFC915D}">
    <text>Updated per Guidehouse review.</text>
  </threadedComment>
  <threadedComment ref="Z183" dT="2022-01-27T20:22:28.79" personId="{0A831BE0-8E9C-476D-A0E3-509D1336B973}" id="{EC1A5C60-1E85-4BC0-814D-DAC93E5C3774}">
    <text>Updated per Guidehouse review.</text>
  </threadedComment>
  <threadedComment ref="AA183" dT="2022-01-27T20:22:28.79" personId="{0A831BE0-8E9C-476D-A0E3-509D1336B973}" id="{30D852EF-F30B-4E46-A78E-2EE44E3A3BCB}">
    <text>Updated per Guidehouse review.</text>
  </threadedComment>
  <threadedComment ref="X184" dT="2022-01-27T20:22:28.79" personId="{0A831BE0-8E9C-476D-A0E3-509D1336B973}" id="{F28C0971-BF16-448D-9401-F29C83B655B5}">
    <text>Updated per Guidehouse review.</text>
  </threadedComment>
  <threadedComment ref="Y184" dT="2022-01-27T20:22:28.79" personId="{0A831BE0-8E9C-476D-A0E3-509D1336B973}" id="{448B1D45-060E-46A5-80B7-FD85FB870B99}">
    <text>Updated per Guidehouse review.</text>
  </threadedComment>
  <threadedComment ref="Z184" dT="2022-01-27T20:22:28.79" personId="{0A831BE0-8E9C-476D-A0E3-509D1336B973}" id="{D4E03EC5-511B-48F6-AC93-465E82D1953F}">
    <text>Updated per Guidehouse review.</text>
  </threadedComment>
  <threadedComment ref="AA184" dT="2022-01-27T20:22:28.79" personId="{0A831BE0-8E9C-476D-A0E3-509D1336B973}" id="{E1589EDC-1969-4AFE-A799-3DB29EA88706}">
    <text>Updated per Guidehouse review.</text>
  </threadedComment>
  <threadedComment ref="AI189" dT="2024-02-27T14:47:31.62" personId="{FA7E3B4C-1102-4378-B7D0-F89DC99F55A8}" id="{1502B112-3BE8-4BCC-8D80-0F3050250C21}">
    <text>Updated per PG &amp; NSG 2024 final NTG ratios. Previous value 80%.</text>
  </threadedComment>
  <threadedComment ref="AJ189" dT="2024-02-27T14:47:31.62" personId="{FA7E3B4C-1102-4378-B7D0-F89DC99F55A8}" id="{071D60E4-CFDD-46BF-A660-61C1B24A0B30}">
    <text>Updated per PG &amp; NSG 2024 final NTG ratios. Previous value 80%.</text>
  </threadedComment>
  <threadedComment ref="AI191" dT="2024-02-27T16:00:14.48" personId="{FA7E3B4C-1102-4378-B7D0-F89DC99F55A8}" id="{20ECFB99-1E9C-4292-8762-73F9B80A786E}">
    <text>Updated per PG &amp; NSG 2024 final NTG ratios. Previous value 87%.</text>
  </threadedComment>
  <threadedComment ref="AJ191" dT="2024-02-27T16:00:14.48" personId="{FA7E3B4C-1102-4378-B7D0-F89DC99F55A8}" id="{69D0143C-57BD-4B7E-8275-8DB21E4B5DCB}">
    <text>Updated per PG &amp; NSG 2024 final NTG ratios. Previous value 87%.</text>
  </threadedComment>
  <threadedComment ref="AI192" dT="2024-02-27T16:00:14.48" personId="{FA7E3B4C-1102-4378-B7D0-F89DC99F55A8}" id="{6B8C5989-E707-4707-8A68-CE82F2487728}">
    <text>Updated per PG &amp; NSG 2024 final NTG ratios. Previous value 87%.</text>
  </threadedComment>
  <threadedComment ref="AJ192" dT="2024-02-27T16:00:14.48" personId="{FA7E3B4C-1102-4378-B7D0-F89DC99F55A8}" id="{8C4FF39A-DCCA-4E03-B3DD-9D2F82670A4D}">
    <text>Updated per PG &amp; NSG 2024 final NTG ratios. Previous value 87%.</text>
  </threadedComment>
  <threadedComment ref="X193" dT="2022-01-27T20:22:28.79" personId="{0A831BE0-8E9C-476D-A0E3-509D1336B973}" id="{4E277134-46B7-4AEB-998A-A05A838E6A8B}">
    <text>Updated per Guidehouse review.</text>
  </threadedComment>
  <threadedComment ref="Y193" dT="2022-01-27T20:22:28.79" personId="{0A831BE0-8E9C-476D-A0E3-509D1336B973}" id="{EC732B15-936A-4825-9411-2DC24B9157EF}">
    <text>Updated per Guidehouse review.</text>
  </threadedComment>
  <threadedComment ref="Z193" dT="2022-01-27T20:22:28.79" personId="{0A831BE0-8E9C-476D-A0E3-509D1336B973}" id="{39B5E613-1B4A-4863-A99F-A51FA929EF72}">
    <text>Updated per Guidehouse review.</text>
  </threadedComment>
  <threadedComment ref="AA193" dT="2022-01-27T20:22:28.79" personId="{0A831BE0-8E9C-476D-A0E3-509D1336B973}" id="{F5633EA9-811C-4941-9DDA-29B8973D05E4}">
    <text>Updated per Guidehouse review.</text>
  </threadedComment>
  <threadedComment ref="AI194" dT="2024-02-27T14:47:31.62" personId="{FA7E3B4C-1102-4378-B7D0-F89DC99F55A8}" id="{1722520F-DB57-4035-8ED7-9EE506D42A78}">
    <text>Updated per PG &amp; NSG 2024 final NTG ratios. Previous value 88%.</text>
  </threadedComment>
  <threadedComment ref="AJ194" dT="2024-02-27T14:47:31.62" personId="{FA7E3B4C-1102-4378-B7D0-F89DC99F55A8}" id="{9C8C7127-BA84-4349-A504-AF01BCDF887C}">
    <text>Updated per PG &amp; NSG 2024 final NTG ratios. Previous value 88%.</text>
  </threadedComment>
  <threadedComment ref="X195" dT="2022-01-27T20:22:28.79" personId="{0A831BE0-8E9C-476D-A0E3-509D1336B973}" id="{D963BEE1-5CD6-44C9-8122-44ACA24F01F2}">
    <text>Updated per Guidehouse review.</text>
  </threadedComment>
  <threadedComment ref="Y195" dT="2022-01-27T20:22:28.79" personId="{0A831BE0-8E9C-476D-A0E3-509D1336B973}" id="{3F369879-D699-4C1F-9E5E-B471436A16AC}">
    <text>Updated per Guidehouse review.</text>
  </threadedComment>
  <threadedComment ref="Z195" dT="2022-01-27T20:22:28.79" personId="{0A831BE0-8E9C-476D-A0E3-509D1336B973}" id="{D1032503-4012-4EF9-8380-CC1CFB54E22B}">
    <text>Updated per Guidehouse review.</text>
  </threadedComment>
  <threadedComment ref="AA195" dT="2022-01-27T20:22:28.79" personId="{0A831BE0-8E9C-476D-A0E3-509D1336B973}" id="{8B61A97A-F060-4730-B9E5-56A2ADEFD031}">
    <text>Updated per Guidehouse review.</text>
  </threadedComment>
  <threadedComment ref="AI200" dT="2024-02-27T16:00:14.48" personId="{FA7E3B4C-1102-4378-B7D0-F89DC99F55A8}" id="{42ED58A1-9E5A-4B20-A9F4-AF93304DF4E4}">
    <text>Updated per PG &amp; NSG 2024 final NTG ratios. Previous value 87%.</text>
  </threadedComment>
  <threadedComment ref="AJ200" dT="2024-02-27T16:00:14.48" personId="{FA7E3B4C-1102-4378-B7D0-F89DC99F55A8}" id="{B4991274-525B-4B93-A6E0-F12C06265186}">
    <text>Updated per PG &amp; NSG 2024 final NTG ratios. Previous value 87%.</text>
  </threadedComment>
  <threadedComment ref="AI201" dT="2024-02-27T16:00:14.48" personId="{FA7E3B4C-1102-4378-B7D0-F89DC99F55A8}" id="{96D054EE-68CE-45C8-9B4A-F28CF50F7578}">
    <text>Updated per PG &amp; NSG 2024 final NTG ratios. Previous value 87%.</text>
  </threadedComment>
  <threadedComment ref="AJ201" dT="2024-02-27T16:00:14.48" personId="{FA7E3B4C-1102-4378-B7D0-F89DC99F55A8}" id="{87668C8C-E1C8-4C0F-A889-A836D6E08E23}">
    <text>Updated per PG &amp; NSG 2024 final NTG ratios. Previous value 87%.</text>
  </threadedComment>
  <threadedComment ref="AI202" dT="2024-02-27T16:00:14.48" personId="{FA7E3B4C-1102-4378-B7D0-F89DC99F55A8}" id="{514EF9A8-11ED-4933-B4E4-010AC6E1FD88}">
    <text>Updated per PG &amp; NSG 2024 final NTG ratios. Previous value 87%.</text>
  </threadedComment>
  <threadedComment ref="AJ202" dT="2024-02-27T16:00:14.48" personId="{FA7E3B4C-1102-4378-B7D0-F89DC99F55A8}" id="{4C7D23CC-BA57-4089-8434-E3D30B63C349}">
    <text>Updated per PG &amp; NSG 2024 final NTG ratios. Previous value 87%.</text>
  </threadedComment>
  <threadedComment ref="X204" dT="2022-01-27T20:18:12.34" personId="{0A831BE0-8E9C-476D-A0E3-509D1336B973}" id="{95791A47-6D0F-4E00-B31B-64AD850967FA}">
    <text>Updated per Guidehouse review.</text>
  </threadedComment>
  <threadedComment ref="Y204" dT="2022-01-27T20:18:12.34" personId="{0A831BE0-8E9C-476D-A0E3-509D1336B973}" id="{A0F148D1-155A-4183-BA2B-9D0842111141}">
    <text>Updated per Guidehouse review.</text>
  </threadedComment>
  <threadedComment ref="Z204" dT="2022-01-27T20:18:12.34" personId="{0A831BE0-8E9C-476D-A0E3-509D1336B973}" id="{28DA77CB-4D6C-42A3-9FEA-F2B3BB65123F}">
    <text>Updated per Guidehouse review.</text>
  </threadedComment>
  <threadedComment ref="AA204" dT="2022-01-27T20:18:12.34" personId="{0A831BE0-8E9C-476D-A0E3-509D1336B973}" id="{94761867-F56B-43AD-8F16-80749F3A3AC5}">
    <text>Updated per Guidehouse review.</text>
  </threadedComment>
  <threadedComment ref="X205" dT="2022-01-27T20:18:12.34" personId="{0A831BE0-8E9C-476D-A0E3-509D1336B973}" id="{D8D0F1F9-4D5B-47FF-B0F4-E9AE0F4C7301}">
    <text>Updated per Guidehouse review.</text>
  </threadedComment>
  <threadedComment ref="Y205" dT="2022-01-27T20:18:12.34" personId="{0A831BE0-8E9C-476D-A0E3-509D1336B973}" id="{17300923-5EFF-4B9E-BCC2-600B8A7E8984}">
    <text>Updated per Guidehouse review.</text>
  </threadedComment>
  <threadedComment ref="Z205" dT="2022-01-27T20:18:12.34" personId="{0A831BE0-8E9C-476D-A0E3-509D1336B973}" id="{B0B3D1B9-8DE4-403A-AA54-36784AADBB3F}">
    <text>Updated per Guidehouse review.</text>
  </threadedComment>
  <threadedComment ref="AA205" dT="2022-01-27T20:18:12.34" personId="{0A831BE0-8E9C-476D-A0E3-509D1336B973}" id="{99E0091D-7A23-4A4E-874C-109A6351E380}">
    <text>Updated per Guidehouse review.</text>
  </threadedComment>
  <threadedComment ref="X206" dT="2022-01-27T20:22:28.79" personId="{0A831BE0-8E9C-476D-A0E3-509D1336B973}" id="{D87EF616-EC98-4124-8D88-AA7753927CC6}">
    <text>Updated per Guidehouse review.</text>
  </threadedComment>
  <threadedComment ref="Y206" dT="2022-01-27T20:22:28.79" personId="{0A831BE0-8E9C-476D-A0E3-509D1336B973}" id="{799FFC4F-24BD-4960-9AD1-5A3A813DA7F5}">
    <text>Updated per Guidehouse review.</text>
  </threadedComment>
  <threadedComment ref="Z206" dT="2022-01-27T20:22:28.79" personId="{0A831BE0-8E9C-476D-A0E3-509D1336B973}" id="{88B832F0-82DB-4BCA-BC87-7D916D0F6C76}">
    <text>Updated per Guidehouse review.</text>
  </threadedComment>
  <threadedComment ref="AA206" dT="2022-01-27T20:22:28.79" personId="{0A831BE0-8E9C-476D-A0E3-509D1336B973}" id="{EBD4ED46-B39D-410D-81F1-EB1F1C336E67}">
    <text>Updated per Guidehouse review.</text>
  </threadedComment>
  <threadedComment ref="X207" dT="2022-01-27T20:22:28.79" personId="{0A831BE0-8E9C-476D-A0E3-509D1336B973}" id="{1B417A49-DF16-4F19-8B16-253E234E202D}">
    <text>Updated per Guidehouse review.</text>
  </threadedComment>
  <threadedComment ref="Y207" dT="2022-01-27T20:22:28.79" personId="{0A831BE0-8E9C-476D-A0E3-509D1336B973}" id="{6D1B693F-3F18-4313-BCC4-12A4A2738299}">
    <text>Updated per Guidehouse review.</text>
  </threadedComment>
  <threadedComment ref="Z207" dT="2022-01-27T20:22:28.79" personId="{0A831BE0-8E9C-476D-A0E3-509D1336B973}" id="{0C5F029C-DC25-4C05-ABB2-93C544F4C7AF}">
    <text>Updated per Guidehouse review.</text>
  </threadedComment>
  <threadedComment ref="AA207" dT="2022-01-27T20:22:28.79" personId="{0A831BE0-8E9C-476D-A0E3-509D1336B973}" id="{570ACA27-E65A-4777-A4E0-B0134F0FBC9A}">
    <text>Updated per Guidehouse review.</text>
  </threadedComment>
  <threadedComment ref="X208" dT="2022-01-27T20:22:28.79" personId="{0A831BE0-8E9C-476D-A0E3-509D1336B973}" id="{C11A4084-E116-48EF-8436-5500236001DB}">
    <text>Updated per Guidehouse review.</text>
  </threadedComment>
  <threadedComment ref="Y208" dT="2022-01-27T20:22:28.79" personId="{0A831BE0-8E9C-476D-A0E3-509D1336B973}" id="{40F2C1E0-5C4D-4EFC-91CC-7DECF891E4D7}">
    <text>Updated per Guidehouse review.</text>
  </threadedComment>
  <threadedComment ref="Z208" dT="2022-01-27T20:22:28.79" personId="{0A831BE0-8E9C-476D-A0E3-509D1336B973}" id="{FB91B61B-8DEB-48D0-9F36-14EBB27A6FAD}">
    <text>Updated per Guidehouse review.</text>
  </threadedComment>
  <threadedComment ref="AA208" dT="2022-01-27T20:22:28.79" personId="{0A831BE0-8E9C-476D-A0E3-509D1336B973}" id="{A28F39E8-9802-4241-A790-70634C5C8238}">
    <text>Updated per Guidehouse review.</text>
  </threadedComment>
  <threadedComment ref="X209" dT="2022-01-27T20:22:28.79" personId="{0A831BE0-8E9C-476D-A0E3-509D1336B973}" id="{7DA91C5B-9F2A-40DB-999E-F95C0C2C1E41}">
    <text>Updated per Guidehouse review.</text>
  </threadedComment>
  <threadedComment ref="Y209" dT="2022-01-27T20:22:28.79" personId="{0A831BE0-8E9C-476D-A0E3-509D1336B973}" id="{A07B17C1-41BB-4007-BC87-F13974B30A90}">
    <text>Updated per Guidehouse review.</text>
  </threadedComment>
  <threadedComment ref="Z209" dT="2022-01-27T20:22:28.79" personId="{0A831BE0-8E9C-476D-A0E3-509D1336B973}" id="{8D20498C-D334-47A0-97DE-28138A946C99}">
    <text>Updated per Guidehouse review.</text>
  </threadedComment>
  <threadedComment ref="AA209" dT="2022-01-27T20:22:28.79" personId="{0A831BE0-8E9C-476D-A0E3-509D1336B973}" id="{B17DAD3C-D353-4F28-872E-739449B7E35F}">
    <text>Updated per Guidehouse review.</text>
  </threadedComment>
  <threadedComment ref="X219" dT="2022-01-27T20:22:28.79" personId="{0A831BE0-8E9C-476D-A0E3-509D1336B973}" id="{91AB8B7B-E8EA-4555-99DA-F14DA8478865}">
    <text>Updated per Guidehouse review.</text>
  </threadedComment>
  <threadedComment ref="Y219" dT="2022-01-27T20:22:28.79" personId="{0A831BE0-8E9C-476D-A0E3-509D1336B973}" id="{84CD7548-20B1-46D3-A557-0006A33B1EB7}">
    <text>Updated per Guidehouse review.</text>
  </threadedComment>
  <threadedComment ref="Z219" dT="2022-01-27T20:22:28.79" personId="{0A831BE0-8E9C-476D-A0E3-509D1336B973}" id="{88E685E8-A4EE-40E1-8FA3-3EC0FC9DD36B}">
    <text>Updated per Guidehouse review.</text>
  </threadedComment>
  <threadedComment ref="AA219" dT="2022-01-27T20:22:28.79" personId="{0A831BE0-8E9C-476D-A0E3-509D1336B973}" id="{7143337C-2CDB-4E2C-A127-0405D072D515}">
    <text>Updated per Guidehouse review.</text>
  </threadedComment>
  <threadedComment ref="AG226" dT="2023-02-10T20:15:58.72" personId="{2BE53071-80F4-4D6F-A2F0-916AAB200931}" id="{14BD2AF1-70BB-4E1D-BAC5-AA51AC746525}">
    <text>Corrected per 2023 Guidehouse review.</text>
  </threadedComment>
  <threadedComment ref="AH226" dT="2023-02-10T20:15:58.72" personId="{2BE53071-80F4-4D6F-A2F0-916AAB200931}" id="{83402DF7-F0FF-4DDA-A56B-2E0244FE1B6D}">
    <text>Corrected per 2023 Guidehouse review.</text>
  </threadedComment>
  <threadedComment ref="AI226" dT="2023-02-10T20:15:58.72" personId="{2BE53071-80F4-4D6F-A2F0-916AAB200931}" id="{55DA68A2-8513-465B-B431-5B9CBDB49B97}">
    <text>Corrected per 2023 Guidehouse review.</text>
  </threadedComment>
  <threadedComment ref="AJ226" dT="2023-02-10T20:15:58.72" personId="{2BE53071-80F4-4D6F-A2F0-916AAB200931}" id="{D8010AAE-4678-480C-91E3-7EA2E39ABCA5}">
    <text>Corrected per 2023 Guidehouse review.</text>
  </threadedComment>
  <threadedComment ref="X227" dT="2021-04-02T20:31:15.47" personId="{2BE53071-80F4-4D6F-A2F0-916AAB200931}" id="{B6A2CCD8-C71C-45D8-A7DB-9AF70610C1DB}">
    <text>Updated per Guidehouse review.</text>
  </threadedComment>
  <threadedComment ref="Y227" dT="2021-04-02T20:31:15.47" personId="{2BE53071-80F4-4D6F-A2F0-916AAB200931}" id="{AD3E4083-AFFF-4D67-9679-763D9561B91B}">
    <text>Updated per Guidehouse review.</text>
  </threadedComment>
  <threadedComment ref="Z227" dT="2021-04-02T20:31:15.47" personId="{2BE53071-80F4-4D6F-A2F0-916AAB200931}" id="{2E36001A-FBB1-4ED5-A7A0-A862738F9B65}">
    <text>Updated per Guidehouse review.</text>
  </threadedComment>
  <threadedComment ref="AA227" dT="2021-04-02T20:31:15.47" personId="{2BE53071-80F4-4D6F-A2F0-916AAB200931}" id="{16CFFD37-EA29-4D7F-9217-005EE18C9A2D}">
    <text>Updated per Guidehouse review.</text>
  </threadedComment>
  <threadedComment ref="X229" dT="2022-01-27T20:22:28.79" personId="{0A831BE0-8E9C-476D-A0E3-509D1336B973}" id="{7BDCF5D2-6951-4187-BA7E-10E70C7DAB66}">
    <text>Updated per Guidehouse review.</text>
  </threadedComment>
  <threadedComment ref="Y229" dT="2022-01-27T20:22:28.79" personId="{0A831BE0-8E9C-476D-A0E3-509D1336B973}" id="{411286F0-E8F3-46AF-9A6D-0418A0015742}">
    <text>Updated per Guidehouse review.</text>
  </threadedComment>
  <threadedComment ref="Z229" dT="2022-01-27T20:22:28.79" personId="{0A831BE0-8E9C-476D-A0E3-509D1336B973}" id="{4B430B58-43C9-4938-8D23-F7256B6E7F17}">
    <text>Updated per Guidehouse review.</text>
  </threadedComment>
  <threadedComment ref="AA229" dT="2022-01-27T20:22:28.79" personId="{0A831BE0-8E9C-476D-A0E3-509D1336B973}" id="{418A93BA-2648-44B8-9D91-C5E31E0E06C7}">
    <text>Updated per Guidehouse review.</text>
  </threadedComment>
  <threadedComment ref="X231" dT="2022-01-27T20:22:28.79" personId="{0A831BE0-8E9C-476D-A0E3-509D1336B973}" id="{16EDEFCD-489B-426C-AAF7-DACB8871F5D9}">
    <text>Updated per Guidehouse review.</text>
  </threadedComment>
  <threadedComment ref="Y231" dT="2022-01-27T20:22:28.79" personId="{0A831BE0-8E9C-476D-A0E3-509D1336B973}" id="{89016E57-074B-4F13-A92A-0E8A85EEA72E}">
    <text>Updated per Guidehouse review.</text>
  </threadedComment>
  <threadedComment ref="Z231" dT="2022-01-27T20:22:28.79" personId="{0A831BE0-8E9C-476D-A0E3-509D1336B973}" id="{BF89A2FC-6D09-420A-89BF-6E1CC01EF81F}">
    <text>Updated per Guidehouse review.</text>
  </threadedComment>
  <threadedComment ref="AA231" dT="2022-01-27T20:22:28.79" personId="{0A831BE0-8E9C-476D-A0E3-509D1336B973}" id="{7F9D86C1-AEE8-4CC3-9294-A9BDEAEE1148}">
    <text>Updated per Guidehouse review.</text>
  </threadedComment>
  <threadedComment ref="X232" dT="2022-01-27T20:22:28.79" personId="{0A831BE0-8E9C-476D-A0E3-509D1336B973}" id="{C752B301-F07F-45D2-8732-455F8EBA92B5}">
    <text>Updated per Guidehouse review.</text>
  </threadedComment>
  <threadedComment ref="Y232" dT="2022-01-27T20:22:28.79" personId="{0A831BE0-8E9C-476D-A0E3-509D1336B973}" id="{6A16AEDA-3B62-4D8A-AB5E-055B65A02D9E}">
    <text>Updated per Guidehouse review.</text>
  </threadedComment>
  <threadedComment ref="Z232" dT="2022-01-27T20:22:28.79" personId="{0A831BE0-8E9C-476D-A0E3-509D1336B973}" id="{6DCF2913-AA71-45CA-8CBF-1873669CD954}">
    <text>Updated per Guidehouse review.</text>
  </threadedComment>
  <threadedComment ref="AA232" dT="2022-01-27T20:22:28.79" personId="{0A831BE0-8E9C-476D-A0E3-509D1336B973}" id="{86D344E9-AD6D-4916-82CF-685D6CD252BB}">
    <text>Updated per Guidehouse review.</text>
  </threadedComment>
  <threadedComment ref="X233" dT="2022-01-27T20:22:28.79" personId="{0A831BE0-8E9C-476D-A0E3-509D1336B973}" id="{9D2A72B4-DBAD-4A8A-B54B-E18982DE759A}">
    <text>Updated per Guidehouse review.</text>
  </threadedComment>
  <threadedComment ref="Y233" dT="2022-01-27T20:22:28.79" personId="{0A831BE0-8E9C-476D-A0E3-509D1336B973}" id="{CBD96CCB-971E-4FB7-9884-391D306333D1}">
    <text>Updated per Guidehouse review.</text>
  </threadedComment>
  <threadedComment ref="Z233" dT="2022-01-27T20:22:28.79" personId="{0A831BE0-8E9C-476D-A0E3-509D1336B973}" id="{C37AB700-FD9E-4E8B-B593-0F6A7CC2E612}">
    <text>Updated per Guidehouse review.</text>
  </threadedComment>
  <threadedComment ref="AA233" dT="2022-01-27T20:22:28.79" personId="{0A831BE0-8E9C-476D-A0E3-509D1336B973}" id="{9512C433-122C-4A97-B380-DA77C48C5683}">
    <text>Updated per Guidehouse review.</text>
  </threadedComment>
  <threadedComment ref="X234" dT="2022-01-27T20:22:28.79" personId="{0A831BE0-8E9C-476D-A0E3-509D1336B973}" id="{A6F312E4-2EDD-4E84-B986-8558255AEB47}">
    <text>Updated per Guidehouse review.</text>
  </threadedComment>
  <threadedComment ref="Y234" dT="2022-01-27T20:22:28.79" personId="{0A831BE0-8E9C-476D-A0E3-509D1336B973}" id="{D614C2CA-A9D3-4DE7-92F2-F821D9787E31}">
    <text>Updated per Guidehouse review.</text>
  </threadedComment>
  <threadedComment ref="Z234" dT="2022-01-27T20:22:28.79" personId="{0A831BE0-8E9C-476D-A0E3-509D1336B973}" id="{4D1896F7-5938-46DD-B60B-336B5355ECE2}">
    <text>Updated per Guidehouse review.</text>
  </threadedComment>
  <threadedComment ref="AA234" dT="2022-01-27T20:22:28.79" personId="{0A831BE0-8E9C-476D-A0E3-509D1336B973}" id="{87766765-2736-4497-AC58-936ABEDE48E2}">
    <text>Updated per Guidehouse review.</text>
  </threadedComment>
  <threadedComment ref="X235" dT="2022-01-27T20:09:08.11" personId="{0A831BE0-8E9C-476D-A0E3-509D1336B973}" id="{E20B0E57-8119-46E1-B2E8-B698B231CCA2}">
    <text>Updated per Guidehouse review.</text>
  </threadedComment>
  <threadedComment ref="Y235" dT="2022-01-27T20:09:08.11" personId="{0A831BE0-8E9C-476D-A0E3-509D1336B973}" id="{4B6CA1B0-7BB5-4BDB-99AC-35075762A899}">
    <text>Updated per Guidehouse review.</text>
  </threadedComment>
  <threadedComment ref="Z235" dT="2022-01-27T20:09:08.11" personId="{0A831BE0-8E9C-476D-A0E3-509D1336B973}" id="{B529B875-2DD8-46E7-B038-58A084A9E28F}">
    <text>Updated per Guidehouse review.</text>
  </threadedComment>
  <threadedComment ref="AA235" dT="2022-01-27T20:09:08.11" personId="{0A831BE0-8E9C-476D-A0E3-509D1336B973}" id="{98330F7A-38F9-4BFF-9DB8-E6676A9E63ED}">
    <text>Updated per Guidehouse review.</text>
  </threadedComment>
  <threadedComment ref="X236" dT="2021-04-02T20:31:15.47" personId="{2BE53071-80F4-4D6F-A2F0-916AAB200931}" id="{A448DA14-705C-48E3-8BBF-A6A962EBFF03}">
    <text>Updated per Guidehouse review.</text>
  </threadedComment>
  <threadedComment ref="Y236" dT="2021-04-02T20:31:15.47" personId="{2BE53071-80F4-4D6F-A2F0-916AAB200931}" id="{42ADABC0-130D-4590-9EEC-5E708EA0950C}">
    <text>Updated per Guidehouse review.</text>
  </threadedComment>
  <threadedComment ref="Z236" dT="2021-04-02T20:31:15.47" personId="{2BE53071-80F4-4D6F-A2F0-916AAB200931}" id="{60B0CFA4-7653-45CB-9FDF-47A569E29125}">
    <text>Updated per Guidehouse review.</text>
  </threadedComment>
  <threadedComment ref="AA236" dT="2021-04-02T20:31:15.47" personId="{2BE53071-80F4-4D6F-A2F0-916AAB200931}" id="{4F505A91-6672-4A6C-9A15-41A5669AA935}">
    <text>Updated per Guidehouse review.</text>
  </threadedComment>
  <threadedComment ref="X239" dT="2022-01-27T20:22:28.79" personId="{0A831BE0-8E9C-476D-A0E3-509D1336B973}" id="{8E08A9E2-3907-4BCD-9066-4961762A42CD}">
    <text>Updated per Guidehouse review.</text>
  </threadedComment>
  <threadedComment ref="Y239" dT="2022-01-27T20:22:28.79" personId="{0A831BE0-8E9C-476D-A0E3-509D1336B973}" id="{F1B90AB3-E6D9-4E70-B6E0-3F8CC0A72A91}">
    <text>Updated per Guidehouse review.</text>
  </threadedComment>
  <threadedComment ref="Z239" dT="2022-01-27T20:22:28.79" personId="{0A831BE0-8E9C-476D-A0E3-509D1336B973}" id="{B12DBA63-43D8-41E5-96BE-C78AD2071B87}">
    <text>Updated per Guidehouse review.</text>
  </threadedComment>
  <threadedComment ref="AA239" dT="2022-01-27T20:22:28.79" personId="{0A831BE0-8E9C-476D-A0E3-509D1336B973}" id="{D489F7B1-86B0-42EF-B123-F086B752310C}">
    <text>Updated per Guidehouse review.</text>
  </threadedComment>
  <threadedComment ref="AI241" dT="2024-02-27T16:00:14.48" personId="{FA7E3B4C-1102-4378-B7D0-F89DC99F55A8}" id="{B82C2616-BF2B-4B16-B66C-B1F8897EE05B}">
    <text>Updated per PG &amp; NSG 2024 final NTG ratios. Previous value 87%.</text>
  </threadedComment>
  <threadedComment ref="AJ241" dT="2024-02-27T16:00:14.48" personId="{FA7E3B4C-1102-4378-B7D0-F89DC99F55A8}" id="{146C7480-5630-416F-A5B7-C1CAA030ABE0}">
    <text>Updated per PG &amp; NSG 2024 final NTG ratios. Previous value 87%.</text>
  </threadedComment>
  <threadedComment ref="X243" dT="2022-01-27T20:22:28.79" personId="{0A831BE0-8E9C-476D-A0E3-509D1336B973}" id="{390552E7-574A-4280-B416-4FBAC4042DA7}">
    <text>Updated per Guidehouse review.</text>
  </threadedComment>
  <threadedComment ref="Y243" dT="2022-01-27T20:22:28.79" personId="{0A831BE0-8E9C-476D-A0E3-509D1336B973}" id="{B6B78B3F-9BB1-4E9F-9FC8-C4002774A35D}">
    <text>Updated per Guidehouse review.</text>
  </threadedComment>
  <threadedComment ref="Z243" dT="2022-01-27T20:22:28.79" personId="{0A831BE0-8E9C-476D-A0E3-509D1336B973}" id="{B7AF7D62-DF18-4BC0-8015-8C9F738E4ED9}">
    <text>Updated per Guidehouse review.</text>
  </threadedComment>
  <threadedComment ref="AA243" dT="2022-01-27T20:22:28.79" personId="{0A831BE0-8E9C-476D-A0E3-509D1336B973}" id="{94B5EB2D-D5CA-4E7C-B141-1949A271D00E}">
    <text>Updated per Guidehouse review.</text>
  </threadedComment>
  <threadedComment ref="X246" dT="2021-04-02T20:31:15.47" personId="{2BE53071-80F4-4D6F-A2F0-916AAB200931}" id="{391199D6-A4BA-462D-BF71-9FFC27C439C8}">
    <text>Updated per Guidehouse review.</text>
  </threadedComment>
  <threadedComment ref="Y246" dT="2021-04-02T20:31:15.47" personId="{2BE53071-80F4-4D6F-A2F0-916AAB200931}" id="{99EFC7FD-90E2-4EEB-BE2E-F0B16B3A2F68}">
    <text>Updated per Guidehouse review.</text>
  </threadedComment>
  <threadedComment ref="Z246" dT="2021-04-02T20:31:15.47" personId="{2BE53071-80F4-4D6F-A2F0-916AAB200931}" id="{1018FF01-53C1-4AA2-B124-7B819882762C}">
    <text>Updated per Guidehouse review.</text>
  </threadedComment>
  <threadedComment ref="AA246" dT="2021-04-02T20:31:15.47" personId="{2BE53071-80F4-4D6F-A2F0-916AAB200931}" id="{8A5AB621-4B8F-4F88-A5A7-60CC54DC2561}">
    <text>Updated per Guidehouse review.</text>
  </threadedComment>
  <threadedComment ref="AI249" dT="2024-02-27T16:00:14.48" personId="{FA7E3B4C-1102-4378-B7D0-F89DC99F55A8}" id="{E5ECB412-73E0-49FB-9E8F-FD6C884A4EBB}">
    <text>Updated per PG &amp; NSG 2024 final NTG ratios. Previous value 87%.</text>
  </threadedComment>
  <threadedComment ref="AJ249" dT="2024-02-27T16:00:14.48" personId="{FA7E3B4C-1102-4378-B7D0-F89DC99F55A8}" id="{B854DAFD-9653-40CD-9308-DFC9996CE1B5}">
    <text>Updated per PG &amp; NSG 2024 final NTG ratios. Previous value 87%.</text>
  </threadedComment>
  <threadedComment ref="X251" dT="2022-01-27T20:18:12.34" personId="{0A831BE0-8E9C-476D-A0E3-509D1336B973}" id="{5CD41FDD-B096-44F9-BFE6-C810EBAA9FA3}">
    <text>Updated per Guidehouse review.</text>
  </threadedComment>
  <threadedComment ref="Y251" dT="2022-01-27T20:18:12.34" personId="{0A831BE0-8E9C-476D-A0E3-509D1336B973}" id="{FDE7693B-52AE-4B2B-B2B9-91C02D09FAE7}">
    <text>Updated per Guidehouse review.</text>
  </threadedComment>
  <threadedComment ref="Z251" dT="2022-01-27T20:18:12.34" personId="{0A831BE0-8E9C-476D-A0E3-509D1336B973}" id="{BE272481-53E4-45B9-8336-CDC14E14729B}">
    <text>Updated per Guidehouse review.</text>
  </threadedComment>
  <threadedComment ref="AA251" dT="2022-01-27T20:18:12.34" personId="{0A831BE0-8E9C-476D-A0E3-509D1336B973}" id="{B2301FA8-812F-4C8C-A072-A6207C6A4CB2}">
    <text>Updated per Guidehouse review.</text>
  </threadedComment>
  <threadedComment ref="X252" dT="2022-01-27T20:22:28.79" personId="{0A831BE0-8E9C-476D-A0E3-509D1336B973}" id="{3F46212A-0AA0-4131-9A14-97689BFD32EB}">
    <text>Updated per Guidehouse review.</text>
  </threadedComment>
  <threadedComment ref="Y252" dT="2022-01-27T20:22:28.79" personId="{0A831BE0-8E9C-476D-A0E3-509D1336B973}" id="{006425CE-52FF-4810-95CD-9D25F8A01F42}">
    <text>Updated per Guidehouse review.</text>
  </threadedComment>
  <threadedComment ref="Z252" dT="2022-01-27T20:22:28.79" personId="{0A831BE0-8E9C-476D-A0E3-509D1336B973}" id="{08D026EB-D4A7-4BAC-8AE0-2202D77C5041}">
    <text>Updated per Guidehouse review.</text>
  </threadedComment>
  <threadedComment ref="AA252" dT="2022-01-27T20:22:28.79" personId="{0A831BE0-8E9C-476D-A0E3-509D1336B973}" id="{F41C3DAA-F6DC-4CB0-9CCC-7B6EFC34F394}">
    <text>Updated per Guidehouse review.</text>
  </threadedComment>
  <threadedComment ref="X254" dT="2021-04-02T20:31:15.47" personId="{2BE53071-80F4-4D6F-A2F0-916AAB200931}" id="{A866BA1B-18DF-4CCB-B800-E6CC97B6C4C7}">
    <text>Updated per Guidehouse review.</text>
  </threadedComment>
  <threadedComment ref="Y254" dT="2021-04-02T20:31:15.47" personId="{2BE53071-80F4-4D6F-A2F0-916AAB200931}" id="{AE7363B5-73F7-4FE9-BF6E-568EC1A864C2}">
    <text>Updated per Guidehouse review.</text>
  </threadedComment>
  <threadedComment ref="Z254" dT="2021-04-02T20:31:15.47" personId="{2BE53071-80F4-4D6F-A2F0-916AAB200931}" id="{D5725947-01D8-4F7F-B4EB-B81FC0427FFC}">
    <text>Updated per Guidehouse review.</text>
  </threadedComment>
  <threadedComment ref="AA254" dT="2021-04-02T20:31:15.47" personId="{2BE53071-80F4-4D6F-A2F0-916AAB200931}" id="{9C54B39B-B2D6-490C-BAAF-CB2A179E06FA}">
    <text>Updated per Guidehouse review.</text>
  </threadedComment>
  <threadedComment ref="X255" dT="2021-04-02T20:31:15.47" personId="{2BE53071-80F4-4D6F-A2F0-916AAB200931}" id="{8C6C2D61-C5E4-4C0D-98F3-D6C566C4CB8E}">
    <text>Updated per Guidehouse review.</text>
  </threadedComment>
  <threadedComment ref="Y255" dT="2021-04-02T20:31:15.47" personId="{2BE53071-80F4-4D6F-A2F0-916AAB200931}" id="{D4307830-F366-4546-BEBF-345FD7E63D7D}">
    <text>Updated per Guidehouse review.</text>
  </threadedComment>
  <threadedComment ref="Z255" dT="2021-04-02T20:31:15.47" personId="{2BE53071-80F4-4D6F-A2F0-916AAB200931}" id="{9DB64AAA-00F0-449F-BC72-1EA75BDF117C}">
    <text>Updated per Guidehouse review.</text>
  </threadedComment>
  <threadedComment ref="AA255" dT="2021-04-02T20:31:15.47" personId="{2BE53071-80F4-4D6F-A2F0-916AAB200931}" id="{D599B2D2-0659-4998-B018-586EF260FA48}">
    <text>Updated per Guidehouse review.</text>
  </threadedComment>
  <threadedComment ref="X256" dT="2022-01-27T20:22:28.79" personId="{0A831BE0-8E9C-476D-A0E3-509D1336B973}" id="{763CAD81-E9C9-46B4-8E6B-1845CDFDE1E2}">
    <text>Updated per Guidehouse review.</text>
  </threadedComment>
  <threadedComment ref="Y256" dT="2022-01-27T20:22:28.79" personId="{0A831BE0-8E9C-476D-A0E3-509D1336B973}" id="{883C7967-F963-4D95-8BFA-4173748A7F6F}">
    <text>Updated per Guidehouse review.</text>
  </threadedComment>
  <threadedComment ref="Z256" dT="2022-01-27T20:22:28.79" personId="{0A831BE0-8E9C-476D-A0E3-509D1336B973}" id="{9093F336-05FE-4358-82F7-8D4B84FD7225}">
    <text>Updated per Guidehouse review.</text>
  </threadedComment>
  <threadedComment ref="AA256" dT="2022-01-27T20:22:28.79" personId="{0A831BE0-8E9C-476D-A0E3-509D1336B973}" id="{AF739005-3F04-4769-9131-8A30E5AD1F6C}">
    <text>Updated per Guidehouse review.</text>
  </threadedComment>
  <threadedComment ref="X257" dT="2022-01-27T20:09:08.11" personId="{0A831BE0-8E9C-476D-A0E3-509D1336B973}" id="{3F9C2806-1C68-4ABC-93F6-947DFF472651}">
    <text>Updated per Guidehouse review.</text>
  </threadedComment>
  <threadedComment ref="Y257" dT="2022-01-27T20:09:08.11" personId="{0A831BE0-8E9C-476D-A0E3-509D1336B973}" id="{E966D46F-430D-4532-B339-CAD32B7530A6}">
    <text>Updated per Guidehouse review.</text>
  </threadedComment>
  <threadedComment ref="Z257" dT="2022-01-27T20:09:08.11" personId="{0A831BE0-8E9C-476D-A0E3-509D1336B973}" id="{02E1726B-AFDE-4C75-AAA5-0FE8E6D50608}">
    <text>Updated per Guidehouse review.</text>
  </threadedComment>
  <threadedComment ref="AA257" dT="2022-01-27T20:09:08.11" personId="{0A831BE0-8E9C-476D-A0E3-509D1336B973}" id="{EE0167B8-26DB-4933-A317-BD3CF0A91AEA}">
    <text>Updated per Guidehouse review.</text>
  </threadedComment>
  <threadedComment ref="X258" dT="2022-01-27T20:09:08.11" personId="{0A831BE0-8E9C-476D-A0E3-509D1336B973}" id="{CE2D7B2F-297E-4E7C-88F4-71261F191505}">
    <text>Updated per Guidehouse review.</text>
  </threadedComment>
  <threadedComment ref="Y258" dT="2022-01-27T20:09:08.11" personId="{0A831BE0-8E9C-476D-A0E3-509D1336B973}" id="{0A107A67-7857-4EB9-B191-F68AAC593FE9}">
    <text>Updated per Guidehouse review.</text>
  </threadedComment>
  <threadedComment ref="Z258" dT="2022-01-27T20:09:08.11" personId="{0A831BE0-8E9C-476D-A0E3-509D1336B973}" id="{175DB92E-985D-40C9-B790-FAD997343D51}">
    <text>Updated per Guidehouse review.</text>
  </threadedComment>
  <threadedComment ref="AA258" dT="2022-01-27T20:09:08.11" personId="{0A831BE0-8E9C-476D-A0E3-509D1336B973}" id="{B38BAB0F-58A9-4949-9848-0C89CA74107C}">
    <text>Updated per Guidehouse review.</text>
  </threadedComment>
  <threadedComment ref="AI261" dT="2024-02-27T16:00:14.48" personId="{FA7E3B4C-1102-4378-B7D0-F89DC99F55A8}" id="{974BFB0F-B436-47B6-9B84-9AFC71044913}">
    <text>Updated per PG &amp; NSG 2024 final NTG ratios. Previous value 87%.</text>
  </threadedComment>
  <threadedComment ref="AJ261" dT="2024-02-27T16:00:14.48" personId="{FA7E3B4C-1102-4378-B7D0-F89DC99F55A8}" id="{C0777191-0A27-4480-9967-5D0B37F0E20F}">
    <text>Updated per PG &amp; NSG 2024 final NTG ratios. Previous value 87%.</text>
  </threadedComment>
  <threadedComment ref="AI262" dT="2024-02-27T16:00:14.48" personId="{FA7E3B4C-1102-4378-B7D0-F89DC99F55A8}" id="{1781DF4C-A55B-434B-9967-D2FE381D7E5F}">
    <text>Updated per PG &amp; NSG 2024 final NTG ratios. Previous value 87%.</text>
  </threadedComment>
  <threadedComment ref="AJ262" dT="2024-02-27T16:00:14.48" personId="{FA7E3B4C-1102-4378-B7D0-F89DC99F55A8}" id="{DA7E3CDA-C928-46D7-BE97-3E3E2C818E03}">
    <text>Updated per PG &amp; NSG 2024 final NTG ratios. Previous value 87%.</text>
  </threadedComment>
  <threadedComment ref="AI271" dT="2024-02-27T16:00:14.48" personId="{FA7E3B4C-1102-4378-B7D0-F89DC99F55A8}" id="{4E9A5841-0E2B-4A8C-A293-5CA4047ABA9C}">
    <text>Updated per PG &amp; NSG 2024 final NTG ratios. Previous value 87%.</text>
  </threadedComment>
  <threadedComment ref="AJ271" dT="2024-02-27T16:00:14.48" personId="{FA7E3B4C-1102-4378-B7D0-F89DC99F55A8}" id="{82D29748-85BC-45EC-BCAE-F5BE82BE61C3}">
    <text>Updated per PG &amp; NSG 2024 final NTG ratios. Previous value 87%.</text>
  </threadedComment>
  <threadedComment ref="X277" dT="2022-01-27T20:22:28.79" personId="{0A831BE0-8E9C-476D-A0E3-509D1336B973}" id="{7AC0FC20-C5D7-4081-A3A9-9D0B5289D7ED}">
    <text>Updated per Guidehouse review.</text>
  </threadedComment>
  <threadedComment ref="Y277" dT="2022-01-27T20:22:28.79" personId="{0A831BE0-8E9C-476D-A0E3-509D1336B973}" id="{3D65EC09-E8B4-4915-8055-400CBB7181D7}">
    <text>Updated per Guidehouse review.</text>
  </threadedComment>
  <threadedComment ref="Z277" dT="2022-01-27T20:22:28.79" personId="{0A831BE0-8E9C-476D-A0E3-509D1336B973}" id="{6C9058BE-E2B8-43D6-BA1B-888E1E10E8E6}">
    <text>Updated per Guidehouse review.</text>
  </threadedComment>
  <threadedComment ref="AA277" dT="2022-01-27T20:22:28.79" personId="{0A831BE0-8E9C-476D-A0E3-509D1336B973}" id="{A89E3CB6-73D3-4A87-9464-FB7D2FFF8E24}">
    <text>Updated per Guidehouse review.</text>
  </threadedComment>
  <threadedComment ref="X278" dT="2022-01-27T20:22:28.79" personId="{0A831BE0-8E9C-476D-A0E3-509D1336B973}" id="{01D63E5D-186A-47C7-9CAE-4FF4CA46B131}">
    <text>Updated per Guidehouse review.</text>
  </threadedComment>
  <threadedComment ref="Y278" dT="2022-01-27T20:22:28.79" personId="{0A831BE0-8E9C-476D-A0E3-509D1336B973}" id="{0CB75289-BE80-45E6-81DD-90EE5F34E547}">
    <text>Updated per Guidehouse review.</text>
  </threadedComment>
  <threadedComment ref="Z278" dT="2022-01-27T20:22:28.79" personId="{0A831BE0-8E9C-476D-A0E3-509D1336B973}" id="{A79FA4C8-3CA2-407D-8AA6-59650AE56877}">
    <text>Updated per Guidehouse review.</text>
  </threadedComment>
  <threadedComment ref="AA278" dT="2022-01-27T20:22:28.79" personId="{0A831BE0-8E9C-476D-A0E3-509D1336B973}" id="{39839606-0E18-417E-846F-DE89CAB613D3}">
    <text>Updated per Guidehouse review.</text>
  </threadedComment>
  <threadedComment ref="X279" dT="2022-01-27T20:22:28.79" personId="{0A831BE0-8E9C-476D-A0E3-509D1336B973}" id="{40C3EBB5-1DEE-49F2-B461-65A05F6188DE}">
    <text>Updated per Guidehouse review.</text>
  </threadedComment>
  <threadedComment ref="Y279" dT="2022-01-27T20:22:28.79" personId="{0A831BE0-8E9C-476D-A0E3-509D1336B973}" id="{E00D1E40-A818-4FC3-A110-1611175A39B3}">
    <text>Updated per Guidehouse review.</text>
  </threadedComment>
  <threadedComment ref="Z279" dT="2022-01-27T20:22:28.79" personId="{0A831BE0-8E9C-476D-A0E3-509D1336B973}" id="{2DC4A62B-94C1-4446-9C18-90E2C2C4E3F6}">
    <text>Updated per Guidehouse review.</text>
  </threadedComment>
  <threadedComment ref="AA279" dT="2022-01-27T20:22:28.79" personId="{0A831BE0-8E9C-476D-A0E3-509D1336B973}" id="{E5481F5E-65F7-4BFB-B546-94045FC1A1D3}">
    <text>Updated per Guidehouse review.</text>
  </threadedComment>
  <threadedComment ref="X280" dT="2022-01-27T20:09:08.11" personId="{0A831BE0-8E9C-476D-A0E3-509D1336B973}" id="{DDFE3B09-09DE-405A-B6E8-D7A8018CAD76}">
    <text>Updated per Guidehouse review.</text>
  </threadedComment>
  <threadedComment ref="Y280" dT="2022-01-27T20:09:08.11" personId="{0A831BE0-8E9C-476D-A0E3-509D1336B973}" id="{0585E240-6B7D-4BB2-A216-B2CD3C9BB6BC}">
    <text>Updated per Guidehouse review.</text>
  </threadedComment>
  <threadedComment ref="Z280" dT="2022-01-27T20:09:08.11" personId="{0A831BE0-8E9C-476D-A0E3-509D1336B973}" id="{143FB04C-0CD6-4625-A491-4C877C602270}">
    <text>Updated per Guidehouse review.</text>
  </threadedComment>
  <threadedComment ref="AA280" dT="2022-01-27T20:09:08.11" personId="{0A831BE0-8E9C-476D-A0E3-509D1336B973}" id="{9F478C93-43C2-481A-9BE0-752BE7E16FE4}">
    <text>Updated per Guidehouse review.</text>
  </threadedComment>
  <threadedComment ref="X281" dT="2022-01-27T20:09:08.11" personId="{0A831BE0-8E9C-476D-A0E3-509D1336B973}" id="{B661E659-5C8C-475C-B89F-7685A7BB5252}">
    <text>Updated per Guidehouse review.</text>
  </threadedComment>
  <threadedComment ref="Y281" dT="2022-01-27T20:09:08.11" personId="{0A831BE0-8E9C-476D-A0E3-509D1336B973}" id="{66260BF8-ABBB-4A84-B104-9A81265BD8BC}">
    <text>Updated per Guidehouse review.</text>
  </threadedComment>
  <threadedComment ref="Z281" dT="2022-01-27T20:09:08.11" personId="{0A831BE0-8E9C-476D-A0E3-509D1336B973}" id="{3955C989-EA78-4E13-B20C-E88C41A79F90}">
    <text>Updated per Guidehouse review.</text>
  </threadedComment>
  <threadedComment ref="AA281" dT="2022-01-27T20:09:08.11" personId="{0A831BE0-8E9C-476D-A0E3-509D1336B973}" id="{15968D09-18E0-42C2-ADCE-98648164F5C4}">
    <text>Updated per Guidehouse review.</text>
  </threadedComment>
  <threadedComment ref="X282" dT="2022-01-27T20:09:08.11" personId="{0A831BE0-8E9C-476D-A0E3-509D1336B973}" id="{7D5334E9-97EF-4204-AF2B-31611930E3D3}">
    <text>Updated per Guidehouse review.</text>
  </threadedComment>
  <threadedComment ref="Y282" dT="2022-01-27T20:09:08.11" personId="{0A831BE0-8E9C-476D-A0E3-509D1336B973}" id="{A2E099C3-1D91-40D5-B432-2A77650F7C23}">
    <text>Updated per Guidehouse review.</text>
  </threadedComment>
  <threadedComment ref="Z282" dT="2022-01-27T20:09:08.11" personId="{0A831BE0-8E9C-476D-A0E3-509D1336B973}" id="{CEF3F055-30F2-4437-BE68-9A0A44C9DF83}">
    <text>Updated per Guidehouse review.</text>
  </threadedComment>
  <threadedComment ref="AA282" dT="2022-01-27T20:09:08.11" personId="{0A831BE0-8E9C-476D-A0E3-509D1336B973}" id="{857133FF-A453-4BCD-9ADC-A17B1C48FE69}">
    <text>Updated per Guidehouse review.</text>
  </threadedComment>
  <threadedComment ref="X283" dT="2022-01-27T20:09:08.11" personId="{0A831BE0-8E9C-476D-A0E3-509D1336B973}" id="{45548294-EE3C-45CF-A9B6-1C1842D65862}">
    <text>Updated per Guidehouse review.</text>
  </threadedComment>
  <threadedComment ref="Y283" dT="2022-01-27T20:09:08.11" personId="{0A831BE0-8E9C-476D-A0E3-509D1336B973}" id="{2A1CA254-081D-4F34-8BBD-B9DBD851FDED}">
    <text>Updated per Guidehouse review.</text>
  </threadedComment>
  <threadedComment ref="Z283" dT="2022-01-27T20:09:08.11" personId="{0A831BE0-8E9C-476D-A0E3-509D1336B973}" id="{2297C1A3-094B-4334-AD3A-CEECE5E87AE1}">
    <text>Updated per Guidehouse review.</text>
  </threadedComment>
  <threadedComment ref="AA283" dT="2022-01-27T20:09:08.11" personId="{0A831BE0-8E9C-476D-A0E3-509D1336B973}" id="{16747A37-E422-4285-94B0-A62B6F7BD2F5}">
    <text>Updated per Guidehouse review.</text>
  </threadedComment>
  <threadedComment ref="CE283" dT="2024-02-13T15:39:06.23" personId="{FA7E3B4C-1102-4378-B7D0-F89DC99F55A8}" id="{610A233C-9309-4237-B695-B8D2614B6A34}">
    <text>Updated per IL TRM v12, page 112. Previous value 17.</text>
  </threadedComment>
  <threadedComment ref="X284" dT="2022-01-27T20:09:08.11" personId="{0A831BE0-8E9C-476D-A0E3-509D1336B973}" id="{C5DF037D-22E1-41C8-B065-BB5A8E19FCDA}">
    <text>Updated per Guidehouse review.</text>
  </threadedComment>
  <threadedComment ref="Y284" dT="2022-01-27T20:09:08.11" personId="{0A831BE0-8E9C-476D-A0E3-509D1336B973}" id="{B1292EB7-84A6-448B-9F6D-95ABF5B708E4}">
    <text>Updated per Guidehouse review.</text>
  </threadedComment>
  <threadedComment ref="Z284" dT="2022-01-27T20:09:08.11" personId="{0A831BE0-8E9C-476D-A0E3-509D1336B973}" id="{37A71C69-57C5-4513-9F3E-584F277F9C19}">
    <text>Updated per Guidehouse review.</text>
  </threadedComment>
  <threadedComment ref="AA284" dT="2022-01-27T20:09:08.11" personId="{0A831BE0-8E9C-476D-A0E3-509D1336B973}" id="{7ACF9419-73B5-4E11-AC4F-A0C4AD92C052}">
    <text>Updated per Guidehouse review.</text>
  </threadedComment>
  <threadedComment ref="X285" dT="2022-01-27T20:09:08.11" personId="{0A831BE0-8E9C-476D-A0E3-509D1336B973}" id="{5B7B257C-5635-4141-A388-734481464151}">
    <text>Updated per Guidehouse review.</text>
  </threadedComment>
  <threadedComment ref="Y285" dT="2022-01-27T20:09:08.11" personId="{0A831BE0-8E9C-476D-A0E3-509D1336B973}" id="{7B461AD5-FD74-4199-B9CA-6ED873B128A6}">
    <text>Updated per Guidehouse review.</text>
  </threadedComment>
  <threadedComment ref="Z285" dT="2022-01-27T20:09:08.11" personId="{0A831BE0-8E9C-476D-A0E3-509D1336B973}" id="{BA9B75D3-8DDB-43F7-967F-6E9F579AD328}">
    <text>Updated per Guidehouse review.</text>
  </threadedComment>
  <threadedComment ref="AA285" dT="2022-01-27T20:09:08.11" personId="{0A831BE0-8E9C-476D-A0E3-509D1336B973}" id="{03EC3085-E786-4EE0-8062-450F45B6FDF0}">
    <text>Updated per Guidehouse review.</text>
  </threadedComment>
  <threadedComment ref="X286" dT="2022-01-27T20:09:08.11" personId="{0A831BE0-8E9C-476D-A0E3-509D1336B973}" id="{79587C86-907D-4A10-9F94-CBB29CC3583A}">
    <text>Updated per Guidehouse review.</text>
  </threadedComment>
  <threadedComment ref="Y286" dT="2022-01-27T20:09:08.11" personId="{0A831BE0-8E9C-476D-A0E3-509D1336B973}" id="{AE14D13E-3E05-4E74-BD9A-BD5F2BCF53C5}">
    <text>Updated per Guidehouse review.</text>
  </threadedComment>
  <threadedComment ref="Z286" dT="2022-01-27T20:09:08.11" personId="{0A831BE0-8E9C-476D-A0E3-509D1336B973}" id="{F98DE57B-A2F6-4E87-9A58-294CF2C66B86}">
    <text>Updated per Guidehouse review.</text>
  </threadedComment>
  <threadedComment ref="AA286" dT="2022-01-27T20:09:08.11" personId="{0A831BE0-8E9C-476D-A0E3-509D1336B973}" id="{91E03141-5623-463C-8338-6CA674144FBE}">
    <text>Updated per Guidehouse review.</text>
  </threadedComment>
  <threadedComment ref="X287" dT="2022-01-27T20:09:08.11" personId="{0A831BE0-8E9C-476D-A0E3-509D1336B973}" id="{9D57664F-42D7-4D29-B5C1-136909761231}">
    <text>Updated per Guidehouse review.</text>
  </threadedComment>
  <threadedComment ref="Y287" dT="2022-01-27T20:09:08.11" personId="{0A831BE0-8E9C-476D-A0E3-509D1336B973}" id="{29CF5FEE-9397-4FC0-BE46-2AA076987C27}">
    <text>Updated per Guidehouse review.</text>
  </threadedComment>
  <threadedComment ref="Z287" dT="2022-01-27T20:09:08.11" personId="{0A831BE0-8E9C-476D-A0E3-509D1336B973}" id="{C82508CC-9EC5-48DC-A864-43A891B24E01}">
    <text>Updated per Guidehouse review.</text>
  </threadedComment>
  <threadedComment ref="AA287" dT="2022-01-27T20:09:08.11" personId="{0A831BE0-8E9C-476D-A0E3-509D1336B973}" id="{DA5154BB-FA5A-406C-851A-3C382A0C37F2}">
    <text>Updated per Guidehouse review.</text>
  </threadedComment>
  <threadedComment ref="X288" dT="2022-01-27T20:09:08.11" personId="{0A831BE0-8E9C-476D-A0E3-509D1336B973}" id="{7FD8D25D-5BD6-400F-9D74-69D95E9E2AB2}">
    <text>Updated per Guidehouse review.</text>
  </threadedComment>
  <threadedComment ref="Y288" dT="2022-01-27T20:09:08.11" personId="{0A831BE0-8E9C-476D-A0E3-509D1336B973}" id="{CE5F0B63-0520-4D78-B236-B026D57F11BF}">
    <text>Updated per Guidehouse review.</text>
  </threadedComment>
  <threadedComment ref="Z288" dT="2022-01-27T20:09:08.11" personId="{0A831BE0-8E9C-476D-A0E3-509D1336B973}" id="{B79D438C-676A-4EBB-B359-B88FDDC6645B}">
    <text>Updated per Guidehouse review.</text>
  </threadedComment>
  <threadedComment ref="AA288" dT="2022-01-27T20:09:08.11" personId="{0A831BE0-8E9C-476D-A0E3-509D1336B973}" id="{7427AC08-C1C7-4E7F-A2C8-A1EB3F445091}">
    <text>Updated per Guidehouse review.</text>
  </threadedComment>
  <threadedComment ref="X289" dT="2022-01-27T20:09:08.11" personId="{0A831BE0-8E9C-476D-A0E3-509D1336B973}" id="{5453A568-58EA-41DC-89EC-6D0FA37CCE32}">
    <text>Updated per Guidehouse review.</text>
  </threadedComment>
  <threadedComment ref="Y289" dT="2022-01-27T20:09:08.11" personId="{0A831BE0-8E9C-476D-A0E3-509D1336B973}" id="{185EB7AB-BADC-44DD-8792-28AE8D635298}">
    <text>Updated per Guidehouse review.</text>
  </threadedComment>
  <threadedComment ref="Z289" dT="2022-01-27T20:09:08.11" personId="{0A831BE0-8E9C-476D-A0E3-509D1336B973}" id="{5524BA7E-7F4B-4773-A545-492C951AAB4A}">
    <text>Updated per Guidehouse review.</text>
  </threadedComment>
  <threadedComment ref="AA289" dT="2022-01-27T20:09:08.11" personId="{0A831BE0-8E9C-476D-A0E3-509D1336B973}" id="{19631834-3FAA-4780-8666-8D8B63A43BE9}">
    <text>Updated per Guidehouse review.</text>
  </threadedComment>
  <threadedComment ref="X290" dT="2022-01-27T20:09:08.11" personId="{0A831BE0-8E9C-476D-A0E3-509D1336B973}" id="{3FB9FF8F-818C-473C-A0FF-85E590F05300}">
    <text>Updated per Guidehouse review.</text>
  </threadedComment>
  <threadedComment ref="Y290" dT="2022-01-27T20:09:08.11" personId="{0A831BE0-8E9C-476D-A0E3-509D1336B973}" id="{F5C3436A-B612-475E-8E80-FB289A79C210}">
    <text>Updated per Guidehouse review.</text>
  </threadedComment>
  <threadedComment ref="Z290" dT="2022-01-27T20:09:08.11" personId="{0A831BE0-8E9C-476D-A0E3-509D1336B973}" id="{E2D20DF6-C7AD-414E-BFF0-598670B3DE41}">
    <text>Updated per Guidehouse review.</text>
  </threadedComment>
  <threadedComment ref="AA290" dT="2022-01-27T20:09:08.11" personId="{0A831BE0-8E9C-476D-A0E3-509D1336B973}" id="{E0694693-60FE-43C3-85E2-CC27DE46204E}">
    <text>Updated per Guidehouse review.</text>
  </threadedComment>
  <threadedComment ref="AI292" dT="2024-02-27T16:00:14.48" personId="{FA7E3B4C-1102-4378-B7D0-F89DC99F55A8}" id="{F7084DBD-6842-431B-9FD5-DE0D59DED0AF}">
    <text>Updated per PG &amp; NSG 2024 final NTG ratios. Previous value 87%.</text>
  </threadedComment>
  <threadedComment ref="AJ292" dT="2024-02-27T16:00:14.48" personId="{FA7E3B4C-1102-4378-B7D0-F89DC99F55A8}" id="{AA0CA336-6C8D-46A2-A0DE-E8FB25AFA5E8}">
    <text>Updated per PG &amp; NSG 2024 final NTG ratios. Previous value 87%.</text>
  </threadedComment>
  <threadedComment ref="X296" dT="2022-01-27T20:18:12.34" personId="{0A831BE0-8E9C-476D-A0E3-509D1336B973}" id="{2BF79C3C-2832-4055-9CD2-90FBB16E4BC4}">
    <text>Updated per Guidehouse review.</text>
  </threadedComment>
  <threadedComment ref="Y296" dT="2022-01-27T20:18:12.34" personId="{0A831BE0-8E9C-476D-A0E3-509D1336B973}" id="{5C60D14C-76A4-41A6-8C7E-6920C4E0920A}">
    <text>Updated per Guidehouse review.</text>
  </threadedComment>
  <threadedComment ref="Z296" dT="2022-01-27T20:18:12.34" personId="{0A831BE0-8E9C-476D-A0E3-509D1336B973}" id="{9B5CB188-2974-4F62-BE78-1D7DE6FF2ED9}">
    <text>Updated per Guidehouse review.</text>
  </threadedComment>
  <threadedComment ref="AA296" dT="2022-01-27T20:18:12.34" personId="{0A831BE0-8E9C-476D-A0E3-509D1336B973}" id="{5A6D4E41-8B99-40D6-BE12-33295403E647}">
    <text>Updated per Guidehouse review.</text>
  </threadedComment>
  <threadedComment ref="X297" dT="2022-01-27T20:22:28.79" personId="{0A831BE0-8E9C-476D-A0E3-509D1336B973}" id="{CA561C5C-F127-4309-8A7D-F3A42A26F415}">
    <text>Updated per Guidehouse review.</text>
  </threadedComment>
  <threadedComment ref="Y297" dT="2022-01-27T20:22:28.79" personId="{0A831BE0-8E9C-476D-A0E3-509D1336B973}" id="{4103D81A-19FD-40AA-AF47-5625665F5DE7}">
    <text>Updated per Guidehouse review.</text>
  </threadedComment>
  <threadedComment ref="Z297" dT="2022-01-27T20:22:28.79" personId="{0A831BE0-8E9C-476D-A0E3-509D1336B973}" id="{49CB10C1-0577-4D01-B27C-B5AE630673EA}">
    <text>Updated per Guidehouse review.</text>
  </threadedComment>
  <threadedComment ref="AA297" dT="2022-01-27T20:22:28.79" personId="{0A831BE0-8E9C-476D-A0E3-509D1336B973}" id="{2E1C3407-118F-42D0-82F8-6B3B1AB58A25}">
    <text>Updated per Guidehouse review.</text>
  </threadedComment>
  <threadedComment ref="X301" dT="2022-01-27T20:05:55.07" personId="{0A831BE0-8E9C-476D-A0E3-509D1336B973}" id="{5AE7DAA8-69CB-4BF7-B1C9-34C868EBA0E8}">
    <text>Updated per Guidehouse review.</text>
  </threadedComment>
  <threadedComment ref="Y301" dT="2022-01-27T20:05:55.07" personId="{0A831BE0-8E9C-476D-A0E3-509D1336B973}" id="{BBC2AAC8-0E74-4142-B294-334C16984019}">
    <text>Updated per Guidehouse review.</text>
  </threadedComment>
  <threadedComment ref="Z301" dT="2022-01-27T20:05:55.07" personId="{0A831BE0-8E9C-476D-A0E3-509D1336B973}" id="{2BE573FD-48E4-4AF9-8428-B64F6A34B624}">
    <text>Updated per Guidehouse review.</text>
  </threadedComment>
  <threadedComment ref="AA301" dT="2022-01-27T20:05:55.07" personId="{0A831BE0-8E9C-476D-A0E3-509D1336B973}" id="{35B88000-02A0-4B54-AAC8-147F62502966}">
    <text>Updated per Guidehouse review.</text>
  </threadedComment>
  <threadedComment ref="X327" dT="2022-01-27T20:07:45.54" personId="{0A831BE0-8E9C-476D-A0E3-509D1336B973}" id="{BE7AE08E-C90E-44F9-BB00-14458127A85B}">
    <text>Updated per Guidehouse review.</text>
  </threadedComment>
  <threadedComment ref="Y327" dT="2022-01-27T20:07:45.54" personId="{0A831BE0-8E9C-476D-A0E3-509D1336B973}" id="{77D3BF90-2DE5-4DFC-A948-C3C3C21E2B0F}">
    <text>Updated per Guidehouse review.</text>
  </threadedComment>
  <threadedComment ref="Z327" dT="2022-01-27T20:07:45.54" personId="{0A831BE0-8E9C-476D-A0E3-509D1336B973}" id="{FE3BFDBD-4D52-49BE-927F-3B2258EDA552}">
    <text>Updated per Guidehouse review.</text>
  </threadedComment>
  <threadedComment ref="AA327" dT="2022-01-27T20:07:45.54" personId="{0A831BE0-8E9C-476D-A0E3-509D1336B973}" id="{9696F645-4FE9-4F74-9FB8-6EDAE94471D9}">
    <text>Updated per Guidehouse review.</text>
  </threadedComment>
  <threadedComment ref="AI327" dT="2024-02-27T16:30:08.53" personId="{FA7E3B4C-1102-4378-B7D0-F89DC99F55A8}" id="{CF327A26-2EB6-40BD-8F4C-B126AEE76441}">
    <text>Per PG &amp; NSG 2024 final NTG ratios. Value did not change from 2023 to 2024.</text>
  </threadedComment>
  <threadedComment ref="AJ327" dT="2024-02-27T16:30:08.53" personId="{FA7E3B4C-1102-4378-B7D0-F89DC99F55A8}" id="{7ACF4F99-CBD2-4EBE-96E5-B2ED44E3F9F9}">
    <text>Per PG &amp; NSG 2024 final NTG ratios. Value did not change from 2023 to 2024.</text>
  </threadedComment>
  <threadedComment ref="X328" dT="2022-01-27T20:09:08.11" personId="{0A831BE0-8E9C-476D-A0E3-509D1336B973}" id="{AC8DD438-83FA-4DBB-A859-C8F77626EE46}">
    <text>Updated per Guidehouse review.</text>
  </threadedComment>
  <threadedComment ref="Y328" dT="2022-01-27T20:09:08.11" personId="{0A831BE0-8E9C-476D-A0E3-509D1336B973}" id="{300C26E4-DD5D-4298-8EE9-0FF21CBCA3A7}">
    <text>Updated per Guidehouse review.</text>
  </threadedComment>
  <threadedComment ref="Z328" dT="2022-01-27T20:09:08.11" personId="{0A831BE0-8E9C-476D-A0E3-509D1336B973}" id="{4318DCB5-AE87-464D-9F7E-8F1C7032829A}">
    <text>Updated per Guidehouse review.</text>
  </threadedComment>
  <threadedComment ref="AA328" dT="2022-01-27T20:09:08.11" personId="{0A831BE0-8E9C-476D-A0E3-509D1336B973}" id="{6C87D16F-567E-4BBB-83DD-C363D1DF54FA}">
    <text>Updated per Guidehouse review.</text>
  </threadedComment>
  <threadedComment ref="X329" dT="2022-01-27T20:09:08.11" personId="{0A831BE0-8E9C-476D-A0E3-509D1336B973}" id="{D811963B-84A0-4C5A-9A74-A86E94CB1403}">
    <text>Updated per Guidehouse review.</text>
  </threadedComment>
  <threadedComment ref="Y329" dT="2022-01-27T20:09:08.11" personId="{0A831BE0-8E9C-476D-A0E3-509D1336B973}" id="{52434316-42C6-4266-8586-92E425969BD3}">
    <text>Updated per Guidehouse review.</text>
  </threadedComment>
  <threadedComment ref="Z329" dT="2022-01-27T20:09:08.11" personId="{0A831BE0-8E9C-476D-A0E3-509D1336B973}" id="{AB8807B3-9E85-48DF-B42F-490C0CFC1D4D}">
    <text>Updated per Guidehouse review.</text>
  </threadedComment>
  <threadedComment ref="AA329" dT="2022-01-27T20:09:08.11" personId="{0A831BE0-8E9C-476D-A0E3-509D1336B973}" id="{74446463-EB17-4889-AA11-1ACACC1738F4}">
    <text>Updated per Guidehouse review.</text>
  </threadedComment>
  <threadedComment ref="X330" dT="2022-01-27T20:09:08.11" personId="{0A831BE0-8E9C-476D-A0E3-509D1336B973}" id="{299EC75D-04DE-4BC8-A74D-DE0BD197C349}">
    <text>Updated per Guidehouse review.</text>
  </threadedComment>
  <threadedComment ref="Y330" dT="2022-01-27T20:09:08.11" personId="{0A831BE0-8E9C-476D-A0E3-509D1336B973}" id="{1827B8B9-A7FB-45A4-A2B1-7D3C7ABC6A4F}">
    <text>Updated per Guidehouse review.</text>
  </threadedComment>
  <threadedComment ref="Z330" dT="2022-01-27T20:09:08.11" personId="{0A831BE0-8E9C-476D-A0E3-509D1336B973}" id="{8758108A-5AA9-4526-A07B-31D9454D1B5F}">
    <text>Updated per Guidehouse review.</text>
  </threadedComment>
  <threadedComment ref="AA330" dT="2022-01-27T20:09:08.11" personId="{0A831BE0-8E9C-476D-A0E3-509D1336B973}" id="{F197800E-E8B2-4372-B172-F69B2ACF2BB3}">
    <text>Updated per Guidehouse review.</text>
  </threadedComment>
  <threadedComment ref="X331" dT="2022-01-27T20:09:08.11" personId="{0A831BE0-8E9C-476D-A0E3-509D1336B973}" id="{B64C5261-D3EF-41B1-966D-66D7B29D0A42}">
    <text>Updated per Guidehouse review.</text>
  </threadedComment>
  <threadedComment ref="Y331" dT="2022-01-27T20:09:08.11" personId="{0A831BE0-8E9C-476D-A0E3-509D1336B973}" id="{AB747422-97F1-4C3E-BEA4-3377D35B978B}">
    <text>Updated per Guidehouse review.</text>
  </threadedComment>
  <threadedComment ref="Z331" dT="2022-01-27T20:09:08.11" personId="{0A831BE0-8E9C-476D-A0E3-509D1336B973}" id="{C879E603-2608-4D2A-8DDD-5DB2F10B021B}">
    <text>Updated per Guidehouse review.</text>
  </threadedComment>
  <threadedComment ref="AA331" dT="2022-01-27T20:09:08.11" personId="{0A831BE0-8E9C-476D-A0E3-509D1336B973}" id="{5B561BB9-736E-4D6C-B375-A6B8C3541518}">
    <text>Updated per Guidehouse review.</text>
  </threadedComment>
  <threadedComment ref="X332" dT="2022-01-27T20:09:08.11" personId="{0A831BE0-8E9C-476D-A0E3-509D1336B973}" id="{D8C169BF-8B41-4648-8346-0454026451EC}">
    <text>Updated per Guidehouse review.</text>
  </threadedComment>
  <threadedComment ref="Y332" dT="2022-01-27T20:09:08.11" personId="{0A831BE0-8E9C-476D-A0E3-509D1336B973}" id="{3F7A6BD1-12D5-4041-A90B-F23C8DCC8877}">
    <text>Updated per Guidehouse review.</text>
  </threadedComment>
  <threadedComment ref="Z332" dT="2022-01-27T20:09:08.11" personId="{0A831BE0-8E9C-476D-A0E3-509D1336B973}" id="{F1CB991A-55FF-4CDB-AD92-9AB10A6F327D}">
    <text>Updated per Guidehouse review.</text>
  </threadedComment>
  <threadedComment ref="AA332" dT="2022-01-27T20:09:08.11" personId="{0A831BE0-8E9C-476D-A0E3-509D1336B973}" id="{9BF8D901-E0E3-4970-9F37-FAC36DF2B380}">
    <text>Updated per Guidehouse review.</text>
  </threadedComment>
  <threadedComment ref="X333" dT="2022-01-27T20:09:08.11" personId="{0A831BE0-8E9C-476D-A0E3-509D1336B973}" id="{E263A455-CC55-4A73-8BE6-76A8292265F8}">
    <text>Updated per Guidehouse review.</text>
  </threadedComment>
  <threadedComment ref="Y333" dT="2022-01-27T20:09:08.11" personId="{0A831BE0-8E9C-476D-A0E3-509D1336B973}" id="{DA036F75-833E-4155-9E4D-C68EC25892D5}">
    <text>Updated per Guidehouse review.</text>
  </threadedComment>
  <threadedComment ref="Z333" dT="2022-01-27T20:09:08.11" personId="{0A831BE0-8E9C-476D-A0E3-509D1336B973}" id="{AFBC8CBC-12D9-4C62-AD9F-D69A92E0EBD4}">
    <text>Updated per Guidehouse review.</text>
  </threadedComment>
  <threadedComment ref="AA333" dT="2022-01-27T20:09:08.11" personId="{0A831BE0-8E9C-476D-A0E3-509D1336B973}" id="{8E3F3BEF-68A8-42BB-972F-AD0C744DFD4E}">
    <text>Updated per Guidehouse review.</text>
  </threadedComment>
  <threadedComment ref="X334" dT="2022-01-27T20:09:08.11" personId="{0A831BE0-8E9C-476D-A0E3-509D1336B973}" id="{66FAD1B9-A43E-41C6-9371-791ADF6C063F}">
    <text>Updated per Guidehouse review.</text>
  </threadedComment>
  <threadedComment ref="Y334" dT="2022-01-27T20:09:08.11" personId="{0A831BE0-8E9C-476D-A0E3-509D1336B973}" id="{A34C0997-2523-4DBA-8B9C-DC5E00AD5311}">
    <text>Updated per Guidehouse review.</text>
  </threadedComment>
  <threadedComment ref="Z334" dT="2022-01-27T20:09:08.11" personId="{0A831BE0-8E9C-476D-A0E3-509D1336B973}" id="{CE13254E-F160-437D-875D-76688AE8C259}">
    <text>Updated per Guidehouse review.</text>
  </threadedComment>
  <threadedComment ref="AA334" dT="2022-01-27T20:09:08.11" personId="{0A831BE0-8E9C-476D-A0E3-509D1336B973}" id="{0426AC57-7669-40AD-971B-422857F2BB03}">
    <text>Updated per Guidehouse review.</text>
  </threadedComment>
  <threadedComment ref="AI337" dT="2024-02-27T14:47:31.62" personId="{FA7E3B4C-1102-4378-B7D0-F89DC99F55A8}" id="{84B111CA-A622-4247-A580-F07DF90E6689}">
    <text>Updated per PG &amp; NSG 2024 final NTG ratios. Previous value 88%.</text>
  </threadedComment>
  <threadedComment ref="AJ337" dT="2024-02-27T14:47:31.62" personId="{FA7E3B4C-1102-4378-B7D0-F89DC99F55A8}" id="{7E9C2829-1C80-4696-90FE-AE42E511AF39}">
    <text>Updated per PG &amp; NSG 2024 final NTG ratios. Previous value 88%.</text>
  </threadedComment>
  <threadedComment ref="AI338" dT="2024-02-27T14:37:31.82" personId="{FA7E3B4C-1102-4378-B7D0-F89DC99F55A8}" id="{720A2EA3-2014-4511-AFF5-0A2E61F23929}">
    <text>Updated per PG &amp; NSG 2024 final NTG ratios. Previous value 90%.</text>
  </threadedComment>
  <threadedComment ref="AJ338" dT="2024-02-27T14:37:31.82" personId="{FA7E3B4C-1102-4378-B7D0-F89DC99F55A8}" id="{9E95EBD6-5EF2-4C1D-A3B4-92E7CF8ECE52}">
    <text>Updated per PG &amp; NSG 2024 final NTG ratios. Previous value 90%.</text>
  </threadedComment>
  <threadedComment ref="AI339" dT="2024-02-27T14:37:31.82" personId="{FA7E3B4C-1102-4378-B7D0-F89DC99F55A8}" id="{74382E65-C10B-4DA3-8563-4E05CF0BBA33}">
    <text>Updated per PG &amp; NSG 2024 final NTG ratios. Previous value 90%.</text>
  </threadedComment>
  <threadedComment ref="AJ339" dT="2024-02-27T14:37:31.82" personId="{FA7E3B4C-1102-4378-B7D0-F89DC99F55A8}" id="{D625AAF8-1ADE-4AC9-9799-A2A00478B300}">
    <text>Updated per PG &amp; NSG 2024 final NTG ratios. Previous value 90%.</text>
  </threadedComment>
  <threadedComment ref="X343" dT="2021-04-02T20:31:15.47" personId="{2BE53071-80F4-4D6F-A2F0-916AAB200931}" id="{E136E018-0627-4280-886D-7605F7077ECC}">
    <text>Updated per Guidehouse review.</text>
  </threadedComment>
  <threadedComment ref="Y343" dT="2021-04-02T20:31:15.47" personId="{2BE53071-80F4-4D6F-A2F0-916AAB200931}" id="{10D6714E-74B9-44DC-8534-696605EEC9E2}">
    <text>Updated per Guidehouse review.</text>
  </threadedComment>
  <threadedComment ref="Z343" dT="2021-04-02T20:31:15.47" personId="{2BE53071-80F4-4D6F-A2F0-916AAB200931}" id="{87CC0EEF-CFAD-4E3C-89E5-E3D1AE578ACF}">
    <text>Updated per Guidehouse review.</text>
  </threadedComment>
  <threadedComment ref="AA343" dT="2021-04-02T20:31:15.47" personId="{2BE53071-80F4-4D6F-A2F0-916AAB200931}" id="{0A8CB856-296C-4E0B-AC65-CBB649197FA9}">
    <text>Updated per Guidehouse review.</text>
  </threadedComment>
  <threadedComment ref="AI344" dT="2024-02-27T15:54:39.80" personId="{FA7E3B4C-1102-4378-B7D0-F89DC99F55A8}" id="{D20BD669-0551-4F56-AFA6-5C71385313CE}">
    <text>Updated per PG &amp; NSG 2024 final NTG ratios. Previous value 90%.</text>
  </threadedComment>
  <threadedComment ref="AJ344" dT="2024-02-27T15:54:39.80" personId="{FA7E3B4C-1102-4378-B7D0-F89DC99F55A8}" id="{6DEC53E2-3D77-423A-8FCC-636D14E1E178}">
    <text>Updated per PG &amp; NSG 2024 final NTG ratios. Previous value 90%.</text>
  </threadedComment>
  <threadedComment ref="AI345" dT="2024-02-27T15:54:39.80" personId="{FA7E3B4C-1102-4378-B7D0-F89DC99F55A8}" id="{BFBF3266-496C-4B21-99DC-3D829253F60F}">
    <text>Updated per PG &amp; NSG 2024 final NTG ratios. Previous value 90%.</text>
  </threadedComment>
  <threadedComment ref="AJ345" dT="2024-02-27T15:54:39.80" personId="{FA7E3B4C-1102-4378-B7D0-F89DC99F55A8}" id="{6C4E6ECF-180A-48A4-B350-B66628AB9FCF}">
    <text>Updated per PG &amp; NSG 2024 final NTG ratios. Previous value 90%.</text>
  </threadedComment>
  <threadedComment ref="X346" dT="2021-04-02T20:31:15.47" personId="{2BE53071-80F4-4D6F-A2F0-916AAB200931}" id="{2A8B49F1-E356-4376-BBCE-1C66B2770709}">
    <text>Updated per Guidehouse review.</text>
  </threadedComment>
  <threadedComment ref="Y346" dT="2021-04-02T20:31:15.47" personId="{2BE53071-80F4-4D6F-A2F0-916AAB200931}" id="{200E6981-A6EC-4C2C-8271-B3960C6F9712}">
    <text>Updated per Guidehouse review.</text>
  </threadedComment>
  <threadedComment ref="Z346" dT="2021-04-02T20:31:15.47" personId="{2BE53071-80F4-4D6F-A2F0-916AAB200931}" id="{29E20707-F51F-4DA2-9D05-BBE5DCC0DC91}">
    <text>Updated per Guidehouse review.</text>
  </threadedComment>
  <threadedComment ref="AA346" dT="2021-04-02T20:31:15.47" personId="{2BE53071-80F4-4D6F-A2F0-916AAB200931}" id="{E04D6023-222D-4720-9B2B-9C5A780EAD18}">
    <text>Updated per Guidehouse review.</text>
  </threadedComment>
  <threadedComment ref="X347" dT="2021-04-02T20:31:15.47" personId="{2BE53071-80F4-4D6F-A2F0-916AAB200931}" id="{88049AB8-7A45-4D08-A108-14FAC3895AEA}">
    <text>Updated per Guidehouse review.</text>
  </threadedComment>
  <threadedComment ref="Y347" dT="2021-04-02T20:31:15.47" personId="{2BE53071-80F4-4D6F-A2F0-916AAB200931}" id="{2E2CC914-6597-450C-90DD-121CC58393A8}">
    <text>Updated per Guidehouse review.</text>
  </threadedComment>
  <threadedComment ref="Z347" dT="2021-04-02T20:31:15.47" personId="{2BE53071-80F4-4D6F-A2F0-916AAB200931}" id="{B317671B-EF18-4E0F-BE38-A5F25438878E}">
    <text>Updated per Guidehouse review.</text>
  </threadedComment>
  <threadedComment ref="AA347" dT="2021-04-02T20:31:15.47" personId="{2BE53071-80F4-4D6F-A2F0-916AAB200931}" id="{69EE5AE5-2FF8-427D-88F4-5F9D530A8260}">
    <text>Updated per Guidehouse review.</text>
  </threadedComment>
  <threadedComment ref="X348" dT="2021-04-02T20:31:15.47" personId="{2BE53071-80F4-4D6F-A2F0-916AAB200931}" id="{001B25A4-0FEE-406D-992B-68CD3B536F03}">
    <text>Updated per Guidehouse review.</text>
  </threadedComment>
  <threadedComment ref="Y348" dT="2021-04-02T20:31:15.47" personId="{2BE53071-80F4-4D6F-A2F0-916AAB200931}" id="{1442A63A-6BEE-4BB5-A6D0-D618DEC1DA9B}">
    <text>Updated per Guidehouse review.</text>
  </threadedComment>
  <threadedComment ref="Z348" dT="2021-04-02T20:31:15.47" personId="{2BE53071-80F4-4D6F-A2F0-916AAB200931}" id="{B7796FB4-D666-4B0D-B18E-29650B3FC26B}">
    <text>Updated per Guidehouse review.</text>
  </threadedComment>
  <threadedComment ref="AA348" dT="2021-04-02T20:31:15.47" personId="{2BE53071-80F4-4D6F-A2F0-916AAB200931}" id="{93AFFE27-6898-4FC6-986A-6B20822EC56F}">
    <text>Updated per Guidehouse review.</text>
  </threadedComment>
  <threadedComment ref="X354" dT="2022-01-27T20:05:55.07" personId="{0A831BE0-8E9C-476D-A0E3-509D1336B973}" id="{0DC7C07B-93DE-4B23-9C65-7DEE5FD359E3}">
    <text>Updated per Guidehouse review.</text>
  </threadedComment>
  <threadedComment ref="Y354" dT="2022-01-27T20:05:55.07" personId="{0A831BE0-8E9C-476D-A0E3-509D1336B973}" id="{84BA6C97-E7AF-470A-9C42-0D5B500FDF16}">
    <text>Updated per Guidehouse review.</text>
  </threadedComment>
  <threadedComment ref="Z354" dT="2022-01-27T20:05:55.07" personId="{0A831BE0-8E9C-476D-A0E3-509D1336B973}" id="{1868234E-FB07-49A6-B4BC-E60ADED8E37E}">
    <text>Updated per Guidehouse review.</text>
  </threadedComment>
  <threadedComment ref="AA354" dT="2022-01-27T20:05:55.07" personId="{0A831BE0-8E9C-476D-A0E3-509D1336B973}" id="{9A5EA82A-93B5-44AA-A685-D76837396E83}">
    <text>Updated per Guidehouse review.</text>
  </threadedComment>
  <threadedComment ref="X393" dT="2021-04-02T20:35:40.57" personId="{2BE53071-80F4-4D6F-A2F0-916AAB200931}" id="{75F6622C-0A20-4D53-A38E-D37F484C48B3}">
    <text>Updated per Guidehouse review.</text>
  </threadedComment>
  <threadedComment ref="Y393" dT="2021-04-02T20:35:40.57" personId="{2BE53071-80F4-4D6F-A2F0-916AAB200931}" id="{75F1B78E-24E1-43EB-A9BB-722A37F1004D}">
    <text>Updated per Guidehouse review.</text>
  </threadedComment>
  <threadedComment ref="Z393" dT="2021-04-02T20:35:40.57" personId="{2BE53071-80F4-4D6F-A2F0-916AAB200931}" id="{3399A101-C5B4-4B70-8064-370CD65B5835}">
    <text>Updated per Guidehouse review.</text>
  </threadedComment>
  <threadedComment ref="AA393" dT="2021-04-02T20:35:40.57" personId="{2BE53071-80F4-4D6F-A2F0-916AAB200931}" id="{070538B2-A491-48C2-B6E6-8CE76F9A1B60}">
    <text>Updated per Guidehouse review.</text>
  </threadedComment>
  <threadedComment ref="AH393" dT="2023-02-10T20:45:46.21" personId="{2BE53071-80F4-4D6F-A2F0-916AAB200931}" id="{D1EB8E31-CE24-4F4B-A045-00A4BA6765F5}">
    <text>2023 Guidehouse NTG</text>
  </threadedComment>
  <threadedComment ref="AI393" dT="2023-02-10T20:45:46.21" personId="{2BE53071-80F4-4D6F-A2F0-916AAB200931}" id="{CE806692-30E4-4186-BFDA-487B6811A222}">
    <text>2023 Guidehouse NTG</text>
  </threadedComment>
  <threadedComment ref="AI393" dT="2024-02-27T16:04:58.48" personId="{FA7E3B4C-1102-4378-B7D0-F89DC99F55A8}" id="{85437AE1-64E8-47BC-9412-996A36A57126}" parentId="{CE806692-30E4-4186-BFDA-487B6811A222}">
    <text>Updated per PG &amp; NSG 2024 final NTG ratios. Previous value 87%.</text>
  </threadedComment>
  <threadedComment ref="AJ393" dT="2023-02-10T20:45:46.21" personId="{2BE53071-80F4-4D6F-A2F0-916AAB200931}" id="{6C52F1F5-7843-4CBD-B6C4-6CE045C1C8F1}">
    <text>2023 Guidehouse NTG</text>
  </threadedComment>
  <threadedComment ref="AJ393" dT="2024-02-27T16:04:58.48" personId="{FA7E3B4C-1102-4378-B7D0-F89DC99F55A8}" id="{1DD980BA-10C2-4C21-8CA2-9B6C5E40ABCF}" parentId="{6C52F1F5-7843-4CBD-B6C4-6CE045C1C8F1}">
    <text>Updated per PG &amp; NSG 2024 final NTG ratios. Previous value 87%.</text>
  </threadedComment>
  <threadedComment ref="AI394" dT="2024-02-27T16:00:14.48" personId="{FA7E3B4C-1102-4378-B7D0-F89DC99F55A8}" id="{8492839E-E5D7-4E11-9231-711A0223AB41}">
    <text>Updated per PG &amp; NSG 2024 final NTG ratios. Previous value 87%.</text>
  </threadedComment>
  <threadedComment ref="AJ394" dT="2024-02-27T16:00:14.48" personId="{FA7E3B4C-1102-4378-B7D0-F89DC99F55A8}" id="{6FA77F25-C37D-4DE9-A20C-28077AD4A52F}">
    <text>Updated per PG &amp; NSG 2024 final NTG ratios. Previous value 87%.</text>
  </threadedComment>
  <threadedComment ref="AI395" dT="2024-02-27T16:00:14.48" personId="{FA7E3B4C-1102-4378-B7D0-F89DC99F55A8}" id="{A71ED18B-82E9-43BD-9761-066809A7523B}">
    <text>Updated per PG &amp; NSG 2024 final NTG ratios. Previous value 87%.</text>
  </threadedComment>
  <threadedComment ref="AJ395" dT="2024-02-27T16:00:14.48" personId="{FA7E3B4C-1102-4378-B7D0-F89DC99F55A8}" id="{3AD5CDC6-AACA-4E73-A915-B4B75C57ED7C}">
    <text>Updated per PG &amp; NSG 2024 final NTG ratios. Previous value 87%.</text>
  </threadedComment>
  <threadedComment ref="AI396" dT="2024-02-27T16:00:14.48" personId="{FA7E3B4C-1102-4378-B7D0-F89DC99F55A8}" id="{09832C84-227F-4843-9044-E865A1E431F9}">
    <text>Updated per PG &amp; NSG 2024 final NTG ratios. Previous value 87%.</text>
  </threadedComment>
  <threadedComment ref="AJ396" dT="2024-02-27T16:00:14.48" personId="{FA7E3B4C-1102-4378-B7D0-F89DC99F55A8}" id="{09FD7249-990A-4DC2-BF8C-581E5FD5AF61}">
    <text>Updated per PG &amp; NSG 2024 final NTG ratios. Previous value 87%.</text>
  </threadedComment>
  <threadedComment ref="AI397" dT="2024-02-27T16:00:14.48" personId="{FA7E3B4C-1102-4378-B7D0-F89DC99F55A8}" id="{EA993046-5C05-48BD-93DF-75227B520EF0}">
    <text>Updated per PG &amp; NSG 2024 final NTG ratios. Previous value 87%.</text>
  </threadedComment>
  <threadedComment ref="AJ397" dT="2024-02-27T16:00:14.48" personId="{FA7E3B4C-1102-4378-B7D0-F89DC99F55A8}" id="{DBC5CFBB-329F-41AA-9EF4-ED9000F0385C}">
    <text>Updated per PG &amp; NSG 2024 final NTG ratios. Previous value 87%.</text>
  </threadedComment>
  <threadedComment ref="AI398" dT="2024-02-27T16:00:14.48" personId="{FA7E3B4C-1102-4378-B7D0-F89DC99F55A8}" id="{CC2969CB-06CA-444B-853B-ED75DB3C224F}">
    <text>Updated per PG &amp; NSG 2024 final NTG ratios. Previous value 87%.</text>
  </threadedComment>
  <threadedComment ref="AJ398" dT="2024-02-27T16:00:14.48" personId="{FA7E3B4C-1102-4378-B7D0-F89DC99F55A8}" id="{9E6C356B-B847-422A-A348-71B6C2621549}">
    <text>Updated per PG &amp; NSG 2024 final NTG ratios. Previous value 87%.</text>
  </threadedComment>
  <threadedComment ref="AI399" dT="2024-02-27T16:00:14.48" personId="{FA7E3B4C-1102-4378-B7D0-F89DC99F55A8}" id="{CC242C3F-49B9-40B9-9637-0C5B670FD5BC}">
    <text>Updated per PG &amp; NSG 2024 final NTG ratios. Previous value 87%.</text>
  </threadedComment>
  <threadedComment ref="AJ399" dT="2024-02-27T16:00:14.48" personId="{FA7E3B4C-1102-4378-B7D0-F89DC99F55A8}" id="{9EE3404F-6C96-4304-B85F-B1C68DB2339C}">
    <text>Updated per PG &amp; NSG 2024 final NTG ratios. Previous value 87%.</text>
  </threadedComment>
  <threadedComment ref="AI400" dT="2024-02-27T16:00:14.48" personId="{FA7E3B4C-1102-4378-B7D0-F89DC99F55A8}" id="{9822796F-6A6E-4CF7-B713-136643825FB8}">
    <text>Updated per PG &amp; NSG 2024 final NTG ratios. Previous value 87%.</text>
  </threadedComment>
  <threadedComment ref="AJ400" dT="2024-02-27T16:00:14.48" personId="{FA7E3B4C-1102-4378-B7D0-F89DC99F55A8}" id="{CC3E528F-12A7-486B-AF45-663BF66F3C45}">
    <text>Updated per PG &amp; NSG 2024 final NTG ratios. Previous value 87%.</text>
  </threadedComment>
  <threadedComment ref="AI401" dT="2024-02-27T16:00:14.48" personId="{FA7E3B4C-1102-4378-B7D0-F89DC99F55A8}" id="{3BA76838-FC75-4801-AA35-54864353C60E}">
    <text>Updated per PG &amp; NSG 2024 final NTG ratios. Previous value 87%.</text>
  </threadedComment>
  <threadedComment ref="AJ401" dT="2024-02-27T16:00:14.48" personId="{FA7E3B4C-1102-4378-B7D0-F89DC99F55A8}" id="{426811C6-FBB4-40DC-B6A3-0FD4574036CC}">
    <text>Updated per PG &amp; NSG 2024 final NTG ratios. Previous value 87%.</text>
  </threadedComment>
  <threadedComment ref="AI402" dT="2024-02-27T16:00:14.48" personId="{FA7E3B4C-1102-4378-B7D0-F89DC99F55A8}" id="{88D61CF8-7E4E-4F4C-9611-803721C564F1}">
    <text>Updated per PG &amp; NSG 2024 final NTG ratios. Previous value 87%.</text>
  </threadedComment>
  <threadedComment ref="AJ402" dT="2024-02-27T16:00:14.48" personId="{FA7E3B4C-1102-4378-B7D0-F89DC99F55A8}" id="{F4F8A6CF-CE33-4B1A-A7B6-251E4E0F9DD2}">
    <text>Updated per PG &amp; NSG 2024 final NTG ratios. Previous value 87%.</text>
  </threadedComment>
  <threadedComment ref="AI403" dT="2024-02-27T16:00:14.48" personId="{FA7E3B4C-1102-4378-B7D0-F89DC99F55A8}" id="{46D5B5FC-8B2E-4211-9415-030323EA76A4}">
    <text>Updated per PG &amp; NSG 2024 final NTG ratios. Previous value 87%.</text>
  </threadedComment>
  <threadedComment ref="AJ403" dT="2024-02-27T16:00:14.48" personId="{FA7E3B4C-1102-4378-B7D0-F89DC99F55A8}" id="{FB836290-D1D3-46AA-BD3E-44F54A9861B5}">
    <text>Updated per PG &amp; NSG 2024 final NTG ratios. Previous value 87%.</text>
  </threadedComment>
  <threadedComment ref="AI404" dT="2024-02-27T16:00:14.48" personId="{FA7E3B4C-1102-4378-B7D0-F89DC99F55A8}" id="{BC9838CC-57F3-475D-A442-52682628E472}">
    <text>Updated per PG &amp; NSG 2024 final NTG ratios. Previous value 87%.</text>
  </threadedComment>
  <threadedComment ref="AJ404" dT="2024-02-27T16:00:14.48" personId="{FA7E3B4C-1102-4378-B7D0-F89DC99F55A8}" id="{5C1E267D-6672-478A-B071-C7E2C5314523}">
    <text>Updated per PG &amp; NSG 2024 final NTG ratios. Previous value 87%.</text>
  </threadedComment>
  <threadedComment ref="AI405" dT="2024-02-27T16:00:14.48" personId="{FA7E3B4C-1102-4378-B7D0-F89DC99F55A8}" id="{B2F94B7D-B816-409C-9EF4-E4F9DCE4AF1E}">
    <text>Updated per PG &amp; NSG 2024 final NTG ratios. Previous value 87%.</text>
  </threadedComment>
  <threadedComment ref="AJ405" dT="2024-02-27T16:00:14.48" personId="{FA7E3B4C-1102-4378-B7D0-F89DC99F55A8}" id="{C9805E35-4C5E-4BF3-B54A-467C482C1627}">
    <text>Updated per PG &amp; NSG 2024 final NTG ratios. Previous value 87%.</text>
  </threadedComment>
  <threadedComment ref="AI406" dT="2024-02-27T16:00:14.48" personId="{FA7E3B4C-1102-4378-B7D0-F89DC99F55A8}" id="{82200260-93EA-42B4-9C7C-D52263ABD866}">
    <text>Updated per PG &amp; NSG 2024 final NTG ratios. Previous value 87%.</text>
  </threadedComment>
  <threadedComment ref="AJ406" dT="2024-02-27T16:00:14.48" personId="{FA7E3B4C-1102-4378-B7D0-F89DC99F55A8}" id="{287D6BF9-D1FE-4DA8-BF0B-E16F0866C697}">
    <text>Updated per PG &amp; NSG 2024 final NTG ratios. Previous value 87%.</text>
  </threadedComment>
  <threadedComment ref="AI407" dT="2024-02-27T16:00:14.48" personId="{FA7E3B4C-1102-4378-B7D0-F89DC99F55A8}" id="{60BCCF16-28DD-429D-A1AD-7B40BA25474A}">
    <text>Updated per PG &amp; NSG 2024 final NTG ratios. Previous value 87%.</text>
  </threadedComment>
  <threadedComment ref="AJ407" dT="2024-02-27T16:00:14.48" personId="{FA7E3B4C-1102-4378-B7D0-F89DC99F55A8}" id="{3B0F0451-582F-4BB3-A37D-0745E36F3F4B}">
    <text>Updated per PG &amp; NSG 2024 final NTG ratios. Previous value 87%.</text>
  </threadedComment>
  <threadedComment ref="AI408" dT="2024-02-27T16:00:14.48" personId="{FA7E3B4C-1102-4378-B7D0-F89DC99F55A8}" id="{BAED4831-55D3-4704-8D81-A1D9C847CF93}">
    <text>Updated per PG &amp; NSG 2024 final NTG ratios. Previous value 87%.</text>
  </threadedComment>
  <threadedComment ref="AJ408" dT="2024-02-27T16:00:14.48" personId="{FA7E3B4C-1102-4378-B7D0-F89DC99F55A8}" id="{B5B4D33E-5CA8-4987-8E60-4F0CBF673429}">
    <text>Updated per PG &amp; NSG 2024 final NTG ratios. Previous value 87%.</text>
  </threadedComment>
  <threadedComment ref="AI409" dT="2024-02-27T16:00:14.48" personId="{FA7E3B4C-1102-4378-B7D0-F89DC99F55A8}" id="{3D6FADFB-4225-4E96-BA64-2E720A735738}">
    <text>Updated per PG &amp; NSG 2024 final NTG ratios. Previous value 87%.</text>
  </threadedComment>
  <threadedComment ref="AJ409" dT="2024-02-27T16:00:14.48" personId="{FA7E3B4C-1102-4378-B7D0-F89DC99F55A8}" id="{E4ABFA67-C429-44F2-B8A1-8A7CA357440C}">
    <text>Updated per PG &amp; NSG 2024 final NTG ratios. Previous value 87%.</text>
  </threadedComment>
  <threadedComment ref="AI410" dT="2024-02-27T16:00:14.48" personId="{FA7E3B4C-1102-4378-B7D0-F89DC99F55A8}" id="{E68AA097-0BBD-41A3-9146-80E78A175E55}">
    <text>Updated per PG &amp; NSG 2024 final NTG ratios. Previous value 87%.</text>
  </threadedComment>
  <threadedComment ref="AJ410" dT="2024-02-27T16:00:14.48" personId="{FA7E3B4C-1102-4378-B7D0-F89DC99F55A8}" id="{A7009E0D-2A45-4585-A038-6524457A69C6}">
    <text>Updated per PG &amp; NSG 2024 final NTG ratios. Previous value 87%.</text>
  </threadedComment>
  <threadedComment ref="AI411" dT="2024-02-27T16:00:14.48" personId="{FA7E3B4C-1102-4378-B7D0-F89DC99F55A8}" id="{102F965B-FFFB-45E3-BA20-4EEB2C19D172}">
    <text>Updated per PG &amp; NSG 2024 final NTG ratios. Previous value 87%.</text>
  </threadedComment>
  <threadedComment ref="AJ411" dT="2024-02-27T16:00:14.48" personId="{FA7E3B4C-1102-4378-B7D0-F89DC99F55A8}" id="{CE883D46-F3A8-47DF-BC89-7DDA6688738C}">
    <text>Updated per PG &amp; NSG 2024 final NTG ratios. Previous value 87%.</text>
  </threadedComment>
  <threadedComment ref="AI412" dT="2024-02-27T16:00:14.48" personId="{FA7E3B4C-1102-4378-B7D0-F89DC99F55A8}" id="{852E4B89-262D-47CA-BC07-7B6171751D06}">
    <text>Updated per PG &amp; NSG 2024 final NTG ratios. Previous value 87%.</text>
  </threadedComment>
  <threadedComment ref="AJ412" dT="2024-02-27T16:00:14.48" personId="{FA7E3B4C-1102-4378-B7D0-F89DC99F55A8}" id="{1D7C8B73-6A47-42C1-B7D9-0F9EA23C2F95}">
    <text>Updated per PG &amp; NSG 2024 final NTG ratios. Previous value 87%.</text>
  </threadedComment>
  <threadedComment ref="AI413" dT="2024-02-27T16:00:14.48" personId="{FA7E3B4C-1102-4378-B7D0-F89DC99F55A8}" id="{FAEEE3C0-01D5-48E1-B3C8-9C2363191F38}">
    <text>Updated per PG &amp; NSG 2024 final NTG ratios. Previous value 87%.</text>
  </threadedComment>
  <threadedComment ref="AJ413" dT="2024-02-27T16:00:14.48" personId="{FA7E3B4C-1102-4378-B7D0-F89DC99F55A8}" id="{540CB99A-5FB2-457D-94D2-0220C3F4F9FD}">
    <text>Updated per PG &amp; NSG 2024 final NTG ratios. Previous value 87%.</text>
  </threadedComment>
  <threadedComment ref="AI414" dT="2024-02-27T16:00:14.48" personId="{FA7E3B4C-1102-4378-B7D0-F89DC99F55A8}" id="{9735BBA9-E81E-453B-BC69-EE4249EB5D7C}">
    <text>Updated per PG &amp; NSG 2024 final NTG ratios. Previous value 87%.</text>
  </threadedComment>
  <threadedComment ref="AJ414" dT="2024-02-27T16:00:14.48" personId="{FA7E3B4C-1102-4378-B7D0-F89DC99F55A8}" id="{B8F2AEF6-5175-46D7-A23F-6B2997A1ECB4}">
    <text>Updated per PG &amp; NSG 2024 final NTG ratios. Previous value 87%.</text>
  </threadedComment>
  <threadedComment ref="AI415" dT="2024-02-27T16:00:14.48" personId="{FA7E3B4C-1102-4378-B7D0-F89DC99F55A8}" id="{9D3EF746-D796-4D2B-A494-F345456C7530}">
    <text>Updated per PG &amp; NSG 2024 final NTG ratios. Previous value 87%.</text>
  </threadedComment>
  <threadedComment ref="AJ415" dT="2024-02-27T16:00:14.48" personId="{FA7E3B4C-1102-4378-B7D0-F89DC99F55A8}" id="{23A73575-3838-4715-8ED0-C3FC40EF6FFF}">
    <text>Updated per PG &amp; NSG 2024 final NTG ratios. Previous value 87%.</text>
  </threadedComment>
  <threadedComment ref="AI416" dT="2024-02-27T16:00:14.48" personId="{FA7E3B4C-1102-4378-B7D0-F89DC99F55A8}" id="{11BDA4A9-7D7C-4789-96E4-7A248811D850}">
    <text>Updated per PG &amp; NSG 2024 final NTG ratios. Previous value 87%.</text>
  </threadedComment>
  <threadedComment ref="AJ416" dT="2024-02-27T16:00:14.48" personId="{FA7E3B4C-1102-4378-B7D0-F89DC99F55A8}" id="{11F5E02E-41B2-4C5F-88CE-9AD8141BD316}">
    <text>Updated per PG &amp; NSG 2024 final NTG ratios. Previous value 87%.</text>
  </threadedComment>
  <threadedComment ref="AI417" dT="2024-02-27T16:00:14.48" personId="{FA7E3B4C-1102-4378-B7D0-F89DC99F55A8}" id="{B5DA54A1-002C-4176-AAB7-6DDE2972103E}">
    <text>Updated per PG &amp; NSG 2024 final NTG ratios. Previous value 87%.</text>
  </threadedComment>
  <threadedComment ref="AJ417" dT="2024-02-27T16:00:14.48" personId="{FA7E3B4C-1102-4378-B7D0-F89DC99F55A8}" id="{20F8620B-BB08-446A-9333-3115A66CC666}">
    <text>Updated per PG &amp; NSG 2024 final NTG ratios. Previous value 87%.</text>
  </threadedComment>
  <threadedComment ref="AI418" dT="2024-02-27T16:00:14.48" personId="{FA7E3B4C-1102-4378-B7D0-F89DC99F55A8}" id="{B8B7E17E-8B60-4161-8211-262C6CAA0960}">
    <text>Updated per PG &amp; NSG 2024 final NTG ratios. Previous value 87%.</text>
  </threadedComment>
  <threadedComment ref="AJ418" dT="2024-02-27T16:00:14.48" personId="{FA7E3B4C-1102-4378-B7D0-F89DC99F55A8}" id="{9BF193F7-ED2C-4875-9C8F-2693D337093E}">
    <text>Updated per PG &amp; NSG 2024 final NTG ratios. Previous value 87%.</text>
  </threadedComment>
  <threadedComment ref="AI419" dT="2024-02-27T16:00:14.48" personId="{FA7E3B4C-1102-4378-B7D0-F89DC99F55A8}" id="{058A695C-3082-4084-9226-B2E09C634076}">
    <text>Updated per PG &amp; NSG 2024 final NTG ratios. Previous value 87%.</text>
  </threadedComment>
  <threadedComment ref="AJ419" dT="2024-02-27T16:00:14.48" personId="{FA7E3B4C-1102-4378-B7D0-F89DC99F55A8}" id="{C1DE750C-E775-4A3F-AAAA-40B70464056D}">
    <text>Updated per PG &amp; NSG 2024 final NTG ratios. Previous value 87%.</text>
  </threadedComment>
  <threadedComment ref="AI420" dT="2024-02-27T16:00:14.48" personId="{FA7E3B4C-1102-4378-B7D0-F89DC99F55A8}" id="{02728F94-1BE1-4A6F-AF78-E60A005F03CE}">
    <text>Updated per PG &amp; NSG 2024 final NTG ratios. Previous value 87%.</text>
  </threadedComment>
  <threadedComment ref="AJ420" dT="2024-02-27T16:00:14.48" personId="{FA7E3B4C-1102-4378-B7D0-F89DC99F55A8}" id="{B072B6B6-72AE-45B4-90CF-80CE4EFB3568}">
    <text>Updated per PG &amp; NSG 2024 final NTG ratios. Previous value 87%.</text>
  </threadedComment>
  <threadedComment ref="AI421" dT="2024-02-27T16:00:14.48" personId="{FA7E3B4C-1102-4378-B7D0-F89DC99F55A8}" id="{093F7A9B-1B91-401C-9050-68355768CEEE}">
    <text>Updated per PG &amp; NSG 2024 final NTG ratios. Previous value 87%.</text>
  </threadedComment>
  <threadedComment ref="AJ421" dT="2024-02-27T16:00:14.48" personId="{FA7E3B4C-1102-4378-B7D0-F89DC99F55A8}" id="{A9ABD435-6563-4E61-AD52-8B00105BFB35}">
    <text>Updated per PG &amp; NSG 2024 final NTG ratios. Previous value 87%.</text>
  </threadedComment>
  <threadedComment ref="AI422" dT="2024-02-27T16:00:14.48" personId="{FA7E3B4C-1102-4378-B7D0-F89DC99F55A8}" id="{3B631728-B498-46BC-9E59-DE50E63CB5B6}">
    <text>Updated per PG &amp; NSG 2024 final NTG ratios. Previous value 87%.</text>
  </threadedComment>
  <threadedComment ref="AJ422" dT="2024-02-27T16:00:14.48" personId="{FA7E3B4C-1102-4378-B7D0-F89DC99F55A8}" id="{5F5CBF3F-8447-4A3B-B76C-CCE61001135C}">
    <text>Updated per PG &amp; NSG 2024 final NTG ratios. Previous value 87%.</text>
  </threadedComment>
  <threadedComment ref="X535" dT="2022-01-27T20:18:12.34" personId="{0A831BE0-8E9C-476D-A0E3-509D1336B973}" id="{232C586C-C91E-4EA1-A0C1-45916D1C879C}">
    <text>Updated per Guidehouse review.</text>
  </threadedComment>
  <threadedComment ref="Y535" dT="2022-01-27T20:18:12.34" personId="{0A831BE0-8E9C-476D-A0E3-509D1336B973}" id="{E0787C80-7FFE-45BE-90AB-54A647E846EA}">
    <text>Updated per Guidehouse review.</text>
  </threadedComment>
  <threadedComment ref="Z535" dT="2022-01-27T20:18:12.34" personId="{0A831BE0-8E9C-476D-A0E3-509D1336B973}" id="{60358C42-8002-45A0-980B-37E5A1EBB005}">
    <text>Updated per Guidehouse review.</text>
  </threadedComment>
  <threadedComment ref="AA535" dT="2022-01-27T20:18:12.34" personId="{0A831BE0-8E9C-476D-A0E3-509D1336B973}" id="{21B2A23C-A6EF-44F3-8DE5-C78729767641}">
    <text>Updated per Guidehouse review.</text>
  </threadedComment>
  <threadedComment ref="X536" dT="2022-01-27T20:18:12.34" personId="{0A831BE0-8E9C-476D-A0E3-509D1336B973}" id="{36AB92CB-DB23-4768-8BCC-9BB9FE627C75}">
    <text>Updated per Guidehouse review.</text>
  </threadedComment>
  <threadedComment ref="Y536" dT="2022-01-27T20:18:12.34" personId="{0A831BE0-8E9C-476D-A0E3-509D1336B973}" id="{5F07BDDD-87E7-4841-B15A-3E9C5858F777}">
    <text>Updated per Guidehouse review.</text>
  </threadedComment>
  <threadedComment ref="Z536" dT="2022-01-27T20:18:12.34" personId="{0A831BE0-8E9C-476D-A0E3-509D1336B973}" id="{8FC694E4-3C5C-4AE6-9DA9-DE42FF99B847}">
    <text>Updated per Guidehouse review.</text>
  </threadedComment>
  <threadedComment ref="AA536" dT="2022-01-27T20:18:12.34" personId="{0A831BE0-8E9C-476D-A0E3-509D1336B973}" id="{57B704FE-5F16-4926-B238-F00C08AE80D1}">
    <text>Updated per Guidehouse review.</text>
  </threadedComment>
  <threadedComment ref="X537" dT="2022-01-27T20:18:12.34" personId="{0A831BE0-8E9C-476D-A0E3-509D1336B973}" id="{44B32361-753E-4E91-98D3-821EDAAE0AE5}">
    <text>Updated per Guidehouse review.</text>
  </threadedComment>
  <threadedComment ref="Y537" dT="2022-01-27T20:18:12.34" personId="{0A831BE0-8E9C-476D-A0E3-509D1336B973}" id="{EFA1B8EA-C52D-42CE-A4CB-D2DBEDA8625A}">
    <text>Updated per Guidehouse review.</text>
  </threadedComment>
  <threadedComment ref="Z537" dT="2022-01-27T20:18:12.34" personId="{0A831BE0-8E9C-476D-A0E3-509D1336B973}" id="{95D410A7-DB08-411A-9DBA-F8403581E3AE}">
    <text>Updated per Guidehouse review.</text>
  </threadedComment>
  <threadedComment ref="AA537" dT="2022-01-27T20:18:12.34" personId="{0A831BE0-8E9C-476D-A0E3-509D1336B973}" id="{2B8D8A34-E24E-472E-B577-7BD7FB8B3F29}">
    <text>Updated per Guidehouse review.</text>
  </threadedComment>
  <threadedComment ref="X538" dT="2022-01-27T20:18:12.34" personId="{0A831BE0-8E9C-476D-A0E3-509D1336B973}" id="{EDE863A3-4569-4CA2-9337-28F28DAB64B1}">
    <text>Updated per Guidehouse review.</text>
  </threadedComment>
  <threadedComment ref="Y538" dT="2022-01-27T20:18:12.34" personId="{0A831BE0-8E9C-476D-A0E3-509D1336B973}" id="{BD02AAD0-E622-4C1F-959D-622156A86B30}">
    <text>Updated per Guidehouse review.</text>
  </threadedComment>
  <threadedComment ref="Z538" dT="2022-01-27T20:18:12.34" personId="{0A831BE0-8E9C-476D-A0E3-509D1336B973}" id="{40E18B3D-C9BA-47AF-AA5C-23C018D325CC}">
    <text>Updated per Guidehouse review.</text>
  </threadedComment>
  <threadedComment ref="AA538" dT="2022-01-27T20:18:12.34" personId="{0A831BE0-8E9C-476D-A0E3-509D1336B973}" id="{83D2D605-FB90-41F7-8FA4-EC855AE227CD}">
    <text>Updated per Guidehouse review.</text>
  </threadedComment>
  <threadedComment ref="X539" dT="2022-01-27T20:18:12.34" personId="{0A831BE0-8E9C-476D-A0E3-509D1336B973}" id="{62A1BE2C-6695-48E1-8437-0359CF129EB5}">
    <text>Updated per Guidehouse review.</text>
  </threadedComment>
  <threadedComment ref="Y539" dT="2022-01-27T20:18:12.34" personId="{0A831BE0-8E9C-476D-A0E3-509D1336B973}" id="{78F46F42-EA21-433E-8506-72F7C864183F}">
    <text>Updated per Guidehouse review.</text>
  </threadedComment>
  <threadedComment ref="Z539" dT="2022-01-27T20:18:12.34" personId="{0A831BE0-8E9C-476D-A0E3-509D1336B973}" id="{7F2675B5-43D1-472E-B2A5-8E464BD51B25}">
    <text>Updated per Guidehouse review.</text>
  </threadedComment>
  <threadedComment ref="AA539" dT="2022-01-27T20:18:12.34" personId="{0A831BE0-8E9C-476D-A0E3-509D1336B973}" id="{5AB2ECA5-E505-4087-8A68-8544C464D6B9}">
    <text>Updated per Guidehouse review.</text>
  </threadedComment>
  <threadedComment ref="X540" dT="2022-01-27T20:18:12.34" personId="{0A831BE0-8E9C-476D-A0E3-509D1336B973}" id="{D990E07C-2AC4-4A9C-ACD8-933961430C6B}">
    <text>Updated per Guidehouse review.</text>
  </threadedComment>
  <threadedComment ref="Y540" dT="2022-01-27T20:18:12.34" personId="{0A831BE0-8E9C-476D-A0E3-509D1336B973}" id="{3425864B-7848-40DC-889A-F77F0392AB7C}">
    <text>Updated per Guidehouse review.</text>
  </threadedComment>
  <threadedComment ref="Z540" dT="2022-01-27T20:18:12.34" personId="{0A831BE0-8E9C-476D-A0E3-509D1336B973}" id="{ADC55B72-57B0-4E31-AAB0-2529A55F93E1}">
    <text>Updated per Guidehouse review.</text>
  </threadedComment>
  <threadedComment ref="AA540" dT="2022-01-27T20:18:12.34" personId="{0A831BE0-8E9C-476D-A0E3-509D1336B973}" id="{BBC7A37F-BFF0-45E6-A432-0383CD8BB99A}">
    <text>Updated per Guidehouse review.</text>
  </threadedComment>
  <threadedComment ref="X541" dT="2022-01-27T20:05:55.07" personId="{0A831BE0-8E9C-476D-A0E3-509D1336B973}" id="{249C9E66-C1E8-4AAB-8BE1-FAC783EEB2E2}">
    <text>Updated per Guidehouse review.</text>
  </threadedComment>
  <threadedComment ref="Y541" dT="2022-01-27T20:05:55.07" personId="{0A831BE0-8E9C-476D-A0E3-509D1336B973}" id="{3A6FF562-4197-4B59-B603-298FE13A54DC}">
    <text>Updated per Guidehouse review.</text>
  </threadedComment>
  <threadedComment ref="Z541" dT="2022-01-27T20:05:55.07" personId="{0A831BE0-8E9C-476D-A0E3-509D1336B973}" id="{E5813693-CAAA-4FD7-8259-7ED545B939EE}">
    <text>Updated per Guidehouse review.</text>
  </threadedComment>
  <threadedComment ref="AA541" dT="2022-01-27T20:05:55.07" personId="{0A831BE0-8E9C-476D-A0E3-509D1336B973}" id="{B97DFAE2-BCDE-4600-8CA3-63EE08B2AFCD}">
    <text>Updated per Guidehouse review.</text>
  </threadedComment>
  <threadedComment ref="X542" dT="2022-01-27T20:13:19.38" personId="{0A831BE0-8E9C-476D-A0E3-509D1336B973}" id="{2CE51972-41E3-4B6B-A287-75B9103275EF}">
    <text>Updated per Guidehouse review.</text>
  </threadedComment>
  <threadedComment ref="Y542" dT="2022-01-27T20:13:19.38" personId="{0A831BE0-8E9C-476D-A0E3-509D1336B973}" id="{316ABF7F-1889-4E97-ADDC-2145B5D8C93D}">
    <text>Updated per Guidehouse review.</text>
  </threadedComment>
  <threadedComment ref="Z542" dT="2022-01-27T20:13:19.38" personId="{0A831BE0-8E9C-476D-A0E3-509D1336B973}" id="{B70FC299-5D52-45F3-95A9-57580B0B1256}">
    <text>Updated per Guidehouse review.</text>
  </threadedComment>
  <threadedComment ref="AA542" dT="2022-01-27T20:13:19.38" personId="{0A831BE0-8E9C-476D-A0E3-509D1336B973}" id="{8D746E1F-84AE-4BC2-B0EA-EB6D19B656E8}">
    <text>Updated per Guidehouse review.</text>
  </threadedComment>
  <threadedComment ref="X543" dT="2022-01-27T20:18:12.34" personId="{0A831BE0-8E9C-476D-A0E3-509D1336B973}" id="{8DFC6E8E-566C-404A-9580-41783EA142B3}">
    <text>Updated per Guidehouse review.</text>
  </threadedComment>
  <threadedComment ref="Y543" dT="2022-01-27T20:18:12.34" personId="{0A831BE0-8E9C-476D-A0E3-509D1336B973}" id="{B54A681E-498E-40D6-A9B2-CBE3C08D9F0C}">
    <text>Updated per Guidehouse review.</text>
  </threadedComment>
  <threadedComment ref="Z543" dT="2022-01-27T20:18:12.34" personId="{0A831BE0-8E9C-476D-A0E3-509D1336B973}" id="{828FC727-BCB4-4C43-B3A6-3E231F33CC1B}">
    <text>Updated per Guidehouse review.</text>
  </threadedComment>
  <threadedComment ref="AA543" dT="2022-01-27T20:18:12.34" personId="{0A831BE0-8E9C-476D-A0E3-509D1336B973}" id="{6ABDD6CA-DA0C-4D90-B60D-A5166D6B6848}">
    <text>Updated per Guidehouse review.</text>
  </threadedComment>
  <threadedComment ref="X544" dT="2022-01-27T20:18:12.34" personId="{0A831BE0-8E9C-476D-A0E3-509D1336B973}" id="{5312FAD4-33B2-49BA-9945-0C6A9A6000E2}">
    <text>Updated per Guidehouse review.</text>
  </threadedComment>
  <threadedComment ref="Y544" dT="2022-01-27T20:18:12.34" personId="{0A831BE0-8E9C-476D-A0E3-509D1336B973}" id="{87777AC8-C66A-4081-BD1D-B1E9C4B98754}">
    <text>Updated per Guidehouse review.</text>
  </threadedComment>
  <threadedComment ref="Z544" dT="2022-01-27T20:18:12.34" personId="{0A831BE0-8E9C-476D-A0E3-509D1336B973}" id="{8ECA3198-1332-4915-AFD3-6E0FEC6FEC6C}">
    <text>Updated per Guidehouse review.</text>
  </threadedComment>
  <threadedComment ref="AA544" dT="2022-01-27T20:18:12.34" personId="{0A831BE0-8E9C-476D-A0E3-509D1336B973}" id="{365550E1-DA66-49E1-B9C6-7DE3357299C9}">
    <text>Updated per Guidehouse review.</text>
  </threadedComment>
  <threadedComment ref="X545" dT="2022-01-27T20:18:12.34" personId="{0A831BE0-8E9C-476D-A0E3-509D1336B973}" id="{C80A1907-AFDF-4A1C-BE96-0BDA3FDF4743}">
    <text>Updated per Guidehouse review.</text>
  </threadedComment>
  <threadedComment ref="Y545" dT="2022-01-27T20:18:12.34" personId="{0A831BE0-8E9C-476D-A0E3-509D1336B973}" id="{BC61B2C0-402D-4581-BD3C-13571ECEA6A3}">
    <text>Updated per Guidehouse review.</text>
  </threadedComment>
  <threadedComment ref="Z545" dT="2022-01-27T20:18:12.34" personId="{0A831BE0-8E9C-476D-A0E3-509D1336B973}" id="{B46AE67B-D0B1-4AFA-8771-8AB80F7A7B69}">
    <text>Updated per Guidehouse review.</text>
  </threadedComment>
  <threadedComment ref="AA545" dT="2022-01-27T20:18:12.34" personId="{0A831BE0-8E9C-476D-A0E3-509D1336B973}" id="{4D76ADAA-FD12-4F1E-A6F4-04F554578699}">
    <text>Updated per Guidehouse review.</text>
  </threadedComment>
  <threadedComment ref="X546" dT="2022-01-27T20:18:12.34" personId="{0A831BE0-8E9C-476D-A0E3-509D1336B973}" id="{FA18CF46-0108-4625-9DA7-D6F0C1F964D1}">
    <text>Updated per Guidehouse review.</text>
  </threadedComment>
  <threadedComment ref="Y546" dT="2022-01-27T20:18:12.34" personId="{0A831BE0-8E9C-476D-A0E3-509D1336B973}" id="{938FFA4A-611D-4BC6-BBDD-E25A582FD2B0}">
    <text>Updated per Guidehouse review.</text>
  </threadedComment>
  <threadedComment ref="Z546" dT="2022-01-27T20:18:12.34" personId="{0A831BE0-8E9C-476D-A0E3-509D1336B973}" id="{7EA605AA-A892-4198-953D-2365CA48A578}">
    <text>Updated per Guidehouse review.</text>
  </threadedComment>
  <threadedComment ref="AA546" dT="2022-01-27T20:18:12.34" personId="{0A831BE0-8E9C-476D-A0E3-509D1336B973}" id="{703C437D-653F-4826-86E4-BB249342E208}">
    <text>Updated per Guidehouse review.</text>
  </threadedComment>
  <threadedComment ref="X547" dT="2022-01-27T20:18:12.34" personId="{0A831BE0-8E9C-476D-A0E3-509D1336B973}" id="{D239AF46-E1BB-47BA-BBD1-9DD4795C6162}">
    <text>Updated per Guidehouse review.</text>
  </threadedComment>
  <threadedComment ref="Y547" dT="2022-01-27T20:18:12.34" personId="{0A831BE0-8E9C-476D-A0E3-509D1336B973}" id="{DF7ADA41-7C5C-4BF6-A0DB-C73C46B415D8}">
    <text>Updated per Guidehouse review.</text>
  </threadedComment>
  <threadedComment ref="Z547" dT="2022-01-27T20:18:12.34" personId="{0A831BE0-8E9C-476D-A0E3-509D1336B973}" id="{DD21A92F-8C4A-4344-8EED-C9B9684FE568}">
    <text>Updated per Guidehouse review.</text>
  </threadedComment>
  <threadedComment ref="AA547" dT="2022-01-27T20:18:12.34" personId="{0A831BE0-8E9C-476D-A0E3-509D1336B973}" id="{942F629E-03A6-440E-89C1-816FCA80F9F7}">
    <text>Updated per Guidehouse review.</text>
  </threadedComment>
  <threadedComment ref="X548" dT="2022-01-27T20:18:12.34" personId="{0A831BE0-8E9C-476D-A0E3-509D1336B973}" id="{87E9477E-43E0-4087-85A2-6734BE765684}">
    <text>Updated per Guidehouse review.</text>
  </threadedComment>
  <threadedComment ref="Y548" dT="2022-01-27T20:18:12.34" personId="{0A831BE0-8E9C-476D-A0E3-509D1336B973}" id="{363F3308-036E-424A-B872-E3CFFC203E2C}">
    <text>Updated per Guidehouse review.</text>
  </threadedComment>
  <threadedComment ref="Z548" dT="2022-01-27T20:18:12.34" personId="{0A831BE0-8E9C-476D-A0E3-509D1336B973}" id="{33CF82BA-F910-4447-BDF7-C2B5E314F84A}">
    <text>Updated per Guidehouse review.</text>
  </threadedComment>
  <threadedComment ref="AA548" dT="2022-01-27T20:18:12.34" personId="{0A831BE0-8E9C-476D-A0E3-509D1336B973}" id="{3AAA7F9C-28F2-4DA5-B3E3-4AEE045F2C48}">
    <text>Updated per Guidehouse review.</text>
  </threadedComment>
  <threadedComment ref="X549" dT="2022-01-27T20:18:12.34" personId="{0A831BE0-8E9C-476D-A0E3-509D1336B973}" id="{181D9097-A8D1-4159-A27D-84C51CAE7DA2}">
    <text>Updated per Guidehouse review.</text>
  </threadedComment>
  <threadedComment ref="Y549" dT="2022-01-27T20:18:12.34" personId="{0A831BE0-8E9C-476D-A0E3-509D1336B973}" id="{C60913F9-97F6-4FF3-8722-2509194FCA4B}">
    <text>Updated per Guidehouse review.</text>
  </threadedComment>
  <threadedComment ref="Z549" dT="2022-01-27T20:18:12.34" personId="{0A831BE0-8E9C-476D-A0E3-509D1336B973}" id="{601CBFD7-FEC1-4134-B1AE-3A029EA50E55}">
    <text>Updated per Guidehouse review.</text>
  </threadedComment>
  <threadedComment ref="AA549" dT="2022-01-27T20:18:12.34" personId="{0A831BE0-8E9C-476D-A0E3-509D1336B973}" id="{60E4EB3F-4A1E-46D9-A788-847CC45B1009}">
    <text>Updated per Guidehouse review.</text>
  </threadedComment>
  <threadedComment ref="X550" dT="2022-01-27T20:18:12.34" personId="{0A831BE0-8E9C-476D-A0E3-509D1336B973}" id="{06C767DF-2F5C-4400-B14C-2993D5089CE9}">
    <text>Updated per Guidehouse review.</text>
  </threadedComment>
  <threadedComment ref="Y550" dT="2022-01-27T20:18:12.34" personId="{0A831BE0-8E9C-476D-A0E3-509D1336B973}" id="{4D76CCC1-81BF-40D7-BA57-565568CBB947}">
    <text>Updated per Guidehouse review.</text>
  </threadedComment>
  <threadedComment ref="Z550" dT="2022-01-27T20:18:12.34" personId="{0A831BE0-8E9C-476D-A0E3-509D1336B973}" id="{95138EA9-0A89-4833-96D1-B340A60B5C2A}">
    <text>Updated per Guidehouse review.</text>
  </threadedComment>
  <threadedComment ref="AA550" dT="2022-01-27T20:18:12.34" personId="{0A831BE0-8E9C-476D-A0E3-509D1336B973}" id="{EE9B2556-BC09-4A79-AABB-5565B01F979F}">
    <text>Updated per Guidehouse review.</text>
  </threadedComment>
  <threadedComment ref="X551" dT="2022-01-27T20:18:12.34" personId="{0A831BE0-8E9C-476D-A0E3-509D1336B973}" id="{3497F20E-AFD0-49CF-A4C1-F452CAA6152A}">
    <text>Updated per Guidehouse review.</text>
  </threadedComment>
  <threadedComment ref="Y551" dT="2022-01-27T20:18:12.34" personId="{0A831BE0-8E9C-476D-A0E3-509D1336B973}" id="{989614C3-7A7A-4AC6-8C93-5AD343A1C6EE}">
    <text>Updated per Guidehouse review.</text>
  </threadedComment>
  <threadedComment ref="Z551" dT="2022-01-27T20:18:12.34" personId="{0A831BE0-8E9C-476D-A0E3-509D1336B973}" id="{1DC0E89B-061A-4998-94ED-814E35B59DA1}">
    <text>Updated per Guidehouse review.</text>
  </threadedComment>
  <threadedComment ref="AA551" dT="2022-01-27T20:18:12.34" personId="{0A831BE0-8E9C-476D-A0E3-509D1336B973}" id="{44DC99BF-A9FB-473A-A476-6D4E812550D6}">
    <text>Updated per Guidehouse review.</text>
  </threadedComment>
  <threadedComment ref="X552" dT="2022-01-27T20:18:12.34" personId="{0A831BE0-8E9C-476D-A0E3-509D1336B973}" id="{3820308D-4012-4609-BAC1-0FDFD4383FD2}">
    <text>Updated per Guidehouse review.</text>
  </threadedComment>
  <threadedComment ref="Y552" dT="2022-01-27T20:18:12.34" personId="{0A831BE0-8E9C-476D-A0E3-509D1336B973}" id="{FFF58108-A034-4A1C-A326-A1AAD7B2A14E}">
    <text>Updated per Guidehouse review.</text>
  </threadedComment>
  <threadedComment ref="Z552" dT="2022-01-27T20:18:12.34" personId="{0A831BE0-8E9C-476D-A0E3-509D1336B973}" id="{8CD8E8F1-E606-437B-98CC-CEEB8F428A80}">
    <text>Updated per Guidehouse review.</text>
  </threadedComment>
  <threadedComment ref="AA552" dT="2022-01-27T20:18:12.34" personId="{0A831BE0-8E9C-476D-A0E3-509D1336B973}" id="{AC9AFE20-E806-4DAD-A436-3F242491331D}">
    <text>Updated per Guidehouse review.</text>
  </threadedComment>
  <threadedComment ref="X553" dT="2022-01-27T20:14:29.95" personId="{0A831BE0-8E9C-476D-A0E3-509D1336B973}" id="{484E4258-F65E-4D3B-A96B-FB93B4BEB74D}">
    <text>Updated per Guidehouse review.</text>
  </threadedComment>
  <threadedComment ref="Y553" dT="2022-01-27T20:14:29.95" personId="{0A831BE0-8E9C-476D-A0E3-509D1336B973}" id="{CAFA458D-C6C8-4034-BCCD-49D4572B2BCB}">
    <text>Updated per Guidehouse review.</text>
  </threadedComment>
  <threadedComment ref="Z553" dT="2022-01-27T20:14:29.95" personId="{0A831BE0-8E9C-476D-A0E3-509D1336B973}" id="{6FC766D3-4848-4E5D-9A38-65761A317DFE}">
    <text>Updated per Guidehouse review.</text>
  </threadedComment>
  <threadedComment ref="AA553" dT="2022-01-27T20:14:29.95" personId="{0A831BE0-8E9C-476D-A0E3-509D1336B973}" id="{BA3237E3-FD55-49EA-9C76-7AACB79E259D}">
    <text>Updated per Guidehouse review.</text>
  </threadedComment>
  <threadedComment ref="X554" dT="2022-01-27T20:18:12.34" personId="{0A831BE0-8E9C-476D-A0E3-509D1336B973}" id="{DB289F45-8BA5-44F9-B73A-762F0B31EF8E}">
    <text>Updated per Guidehouse review.</text>
  </threadedComment>
  <threadedComment ref="Y554" dT="2022-01-27T20:18:12.34" personId="{0A831BE0-8E9C-476D-A0E3-509D1336B973}" id="{93B7F459-37FA-404A-8B10-BC1FD0F92933}">
    <text>Updated per Guidehouse review.</text>
  </threadedComment>
  <threadedComment ref="Z554" dT="2022-01-27T20:18:12.34" personId="{0A831BE0-8E9C-476D-A0E3-509D1336B973}" id="{056FC4A0-EB9D-4040-A71E-09A0A6A72F70}">
    <text>Updated per Guidehouse review.</text>
  </threadedComment>
  <threadedComment ref="AA554" dT="2022-01-27T20:18:12.34" personId="{0A831BE0-8E9C-476D-A0E3-509D1336B973}" id="{AA622CA3-237B-4F14-B44E-3E1FE523E01B}">
    <text>Updated per Guidehouse review.</text>
  </threadedComment>
  <threadedComment ref="X555" dT="2022-01-27T20:18:12.34" personId="{0A831BE0-8E9C-476D-A0E3-509D1336B973}" id="{709AEFCA-AE36-4DE6-B46B-E689FE45B7A5}">
    <text>Updated per Guidehouse review.</text>
  </threadedComment>
  <threadedComment ref="Y555" dT="2022-01-27T20:18:12.34" personId="{0A831BE0-8E9C-476D-A0E3-509D1336B973}" id="{1D1FB12C-278A-45C5-B757-3857E1A6F50B}">
    <text>Updated per Guidehouse review.</text>
  </threadedComment>
  <threadedComment ref="Z555" dT="2022-01-27T20:18:12.34" personId="{0A831BE0-8E9C-476D-A0E3-509D1336B973}" id="{C89C53F8-9DB6-4044-A430-EC58A46C6E96}">
    <text>Updated per Guidehouse review.</text>
  </threadedComment>
  <threadedComment ref="AA555" dT="2022-01-27T20:18:12.34" personId="{0A831BE0-8E9C-476D-A0E3-509D1336B973}" id="{20A54566-E19A-4482-9913-89F15CAE763E}">
    <text>Updated per Guidehouse review.</text>
  </threadedComment>
  <threadedComment ref="X556" dT="2022-01-27T20:18:12.34" personId="{0A831BE0-8E9C-476D-A0E3-509D1336B973}" id="{89A495D5-A989-4014-9E65-2A7A78771825}">
    <text>Updated per Guidehouse review.</text>
  </threadedComment>
  <threadedComment ref="Y556" dT="2022-01-27T20:18:12.34" personId="{0A831BE0-8E9C-476D-A0E3-509D1336B973}" id="{443902B8-7296-4523-914E-8C23430A4013}">
    <text>Updated per Guidehouse review.</text>
  </threadedComment>
  <threadedComment ref="Z556" dT="2022-01-27T20:18:12.34" personId="{0A831BE0-8E9C-476D-A0E3-509D1336B973}" id="{540CA247-150A-4636-95D0-3A9C5327A1FF}">
    <text>Updated per Guidehouse review.</text>
  </threadedComment>
  <threadedComment ref="AA556" dT="2022-01-27T20:18:12.34" personId="{0A831BE0-8E9C-476D-A0E3-509D1336B973}" id="{40AE3C53-3F52-4CF7-AFD0-A0FE40DA27DE}">
    <text>Updated per Guidehouse review.</text>
  </threadedComment>
  <threadedComment ref="X557" dT="2022-01-27T20:18:12.34" personId="{0A831BE0-8E9C-476D-A0E3-509D1336B973}" id="{D2754904-6471-48CE-A6CD-AD3D408A850A}">
    <text>Updated per Guidehouse review.</text>
  </threadedComment>
  <threadedComment ref="Y557" dT="2022-01-27T20:18:12.34" personId="{0A831BE0-8E9C-476D-A0E3-509D1336B973}" id="{0C72A536-0AFA-41A4-815A-42CEA9B73D9C}">
    <text>Updated per Guidehouse review.</text>
  </threadedComment>
  <threadedComment ref="Z557" dT="2022-01-27T20:18:12.34" personId="{0A831BE0-8E9C-476D-A0E3-509D1336B973}" id="{C6DC3DA5-F566-4948-BD4F-5FA379CF3E13}">
    <text>Updated per Guidehouse review.</text>
  </threadedComment>
  <threadedComment ref="AA557" dT="2022-01-27T20:18:12.34" personId="{0A831BE0-8E9C-476D-A0E3-509D1336B973}" id="{0DE3A6D9-58AC-426E-9072-1A4399C8C9AE}">
    <text>Updated per Guidehouse review.</text>
  </threadedComment>
  <threadedComment ref="X558" dT="2022-01-27T20:18:12.34" personId="{0A831BE0-8E9C-476D-A0E3-509D1336B973}" id="{34CF9396-76C4-4BD4-9CF9-0E599D42A7D6}">
    <text>Updated per Guidehouse review.</text>
  </threadedComment>
  <threadedComment ref="Y558" dT="2022-01-27T20:18:12.34" personId="{0A831BE0-8E9C-476D-A0E3-509D1336B973}" id="{ECA6F232-0816-487A-8163-9891C0A2FD47}">
    <text>Updated per Guidehouse review.</text>
  </threadedComment>
  <threadedComment ref="Z558" dT="2022-01-27T20:18:12.34" personId="{0A831BE0-8E9C-476D-A0E3-509D1336B973}" id="{AC8669A0-CF73-4B23-816D-BE91E47F9DF2}">
    <text>Updated per Guidehouse review.</text>
  </threadedComment>
  <threadedComment ref="AA558" dT="2022-01-27T20:18:12.34" personId="{0A831BE0-8E9C-476D-A0E3-509D1336B973}" id="{B29C88BF-6B0B-4F2D-9901-393D47ECD9D5}">
    <text>Updated per Guidehouse review.</text>
  </threadedComment>
  <threadedComment ref="X559" dT="2022-01-27T20:18:12.34" personId="{0A831BE0-8E9C-476D-A0E3-509D1336B973}" id="{9AD4B463-E9A9-427E-8BD4-1D593571F3FE}">
    <text>Updated per Guidehouse review.</text>
  </threadedComment>
  <threadedComment ref="Y559" dT="2022-01-27T20:18:12.34" personId="{0A831BE0-8E9C-476D-A0E3-509D1336B973}" id="{137B2AE0-A696-4A87-B762-F83D8F06AE84}">
    <text>Updated per Guidehouse review.</text>
  </threadedComment>
  <threadedComment ref="Z559" dT="2022-01-27T20:18:12.34" personId="{0A831BE0-8E9C-476D-A0E3-509D1336B973}" id="{6ECE6370-73DA-494D-80F7-26437AE5F6A2}">
    <text>Updated per Guidehouse review.</text>
  </threadedComment>
  <threadedComment ref="AA559" dT="2022-01-27T20:18:12.34" personId="{0A831BE0-8E9C-476D-A0E3-509D1336B973}" id="{AA85111E-C2DF-452F-B296-0DA1C9C51129}">
    <text>Updated per Guidehouse review.</text>
  </threadedComment>
  <threadedComment ref="X560" dT="2022-01-27T20:18:12.34" personId="{0A831BE0-8E9C-476D-A0E3-509D1336B973}" id="{8E4038CD-9B0D-402D-B276-D8B4E57C3111}">
    <text>Updated per Guidehouse review.</text>
  </threadedComment>
  <threadedComment ref="Y560" dT="2022-01-27T20:18:12.34" personId="{0A831BE0-8E9C-476D-A0E3-509D1336B973}" id="{E212A032-05CE-45F8-B045-E7354862E953}">
    <text>Updated per Guidehouse review.</text>
  </threadedComment>
  <threadedComment ref="Z560" dT="2022-01-27T20:18:12.34" personId="{0A831BE0-8E9C-476D-A0E3-509D1336B973}" id="{F6337C3B-444F-40AD-8B00-BDC2B373D66C}">
    <text>Updated per Guidehouse review.</text>
  </threadedComment>
  <threadedComment ref="AA560" dT="2022-01-27T20:18:12.34" personId="{0A831BE0-8E9C-476D-A0E3-509D1336B973}" id="{BEEE3ABE-CC28-4E9E-A7CF-57B2DDDBE463}">
    <text>Updated per Guidehouse review.</text>
  </threadedComment>
  <threadedComment ref="X561" dT="2022-01-27T20:18:12.34" personId="{0A831BE0-8E9C-476D-A0E3-509D1336B973}" id="{DFF38EEA-18FB-48C8-AAC7-F3F41A7FEE15}">
    <text>Updated per Guidehouse review.</text>
  </threadedComment>
  <threadedComment ref="Y561" dT="2022-01-27T20:18:12.34" personId="{0A831BE0-8E9C-476D-A0E3-509D1336B973}" id="{2BD46A12-595E-4097-9F74-0A984FB15485}">
    <text>Updated per Guidehouse review.</text>
  </threadedComment>
  <threadedComment ref="Z561" dT="2022-01-27T20:18:12.34" personId="{0A831BE0-8E9C-476D-A0E3-509D1336B973}" id="{1301540D-C484-4A7E-BE4B-85F2F3CC985B}">
    <text>Updated per Guidehouse review.</text>
  </threadedComment>
  <threadedComment ref="AA561" dT="2022-01-27T20:18:12.34" personId="{0A831BE0-8E9C-476D-A0E3-509D1336B973}" id="{2C6B4CDA-FA81-43E1-9599-B8CD4E83B787}">
    <text>Updated per Guidehouse review.</text>
  </threadedComment>
  <threadedComment ref="X562" dT="2022-01-27T20:18:12.34" personId="{0A831BE0-8E9C-476D-A0E3-509D1336B973}" id="{6C34F67C-2851-4B04-9254-9B0D90B93860}">
    <text>Updated per Guidehouse review.</text>
  </threadedComment>
  <threadedComment ref="Y562" dT="2022-01-27T20:18:12.34" personId="{0A831BE0-8E9C-476D-A0E3-509D1336B973}" id="{FB779146-6F5D-4BD2-92BC-3A8629DF575B}">
    <text>Updated per Guidehouse review.</text>
  </threadedComment>
  <threadedComment ref="Z562" dT="2022-01-27T20:18:12.34" personId="{0A831BE0-8E9C-476D-A0E3-509D1336B973}" id="{EDE85E29-3257-47E5-9BF4-BD8471D44C56}">
    <text>Updated per Guidehouse review.</text>
  </threadedComment>
  <threadedComment ref="AA562" dT="2022-01-27T20:18:12.34" personId="{0A831BE0-8E9C-476D-A0E3-509D1336B973}" id="{11E3CA4F-2347-4463-BAFB-6A8BCBCAA74E}">
    <text>Updated per Guidehouse review.</text>
  </threadedComment>
  <threadedComment ref="X563" dT="2022-01-27T20:18:12.34" personId="{0A831BE0-8E9C-476D-A0E3-509D1336B973}" id="{FC4D2AA3-D77F-43A4-BBAA-527A3F1CEF48}">
    <text>Updated per Guidehouse review.</text>
  </threadedComment>
  <threadedComment ref="Y563" dT="2022-01-27T20:18:12.34" personId="{0A831BE0-8E9C-476D-A0E3-509D1336B973}" id="{254503A2-CE47-434B-957C-CB0FE7DF5D2E}">
    <text>Updated per Guidehouse review.</text>
  </threadedComment>
  <threadedComment ref="Z563" dT="2022-01-27T20:18:12.34" personId="{0A831BE0-8E9C-476D-A0E3-509D1336B973}" id="{BD54019B-FE57-4EC9-9A19-05524405B296}">
    <text>Updated per Guidehouse review.</text>
  </threadedComment>
  <threadedComment ref="AA563" dT="2022-01-27T20:18:12.34" personId="{0A831BE0-8E9C-476D-A0E3-509D1336B973}" id="{E81BD402-6611-4327-A9AF-6E327EE79E23}">
    <text>Updated per Guidehouse review.</text>
  </threadedComment>
  <threadedComment ref="X564" dT="2022-01-27T20:18:12.34" personId="{0A831BE0-8E9C-476D-A0E3-509D1336B973}" id="{3F87F835-8382-4449-823B-A021F751F7A6}">
    <text>Updated per Guidehouse review.</text>
  </threadedComment>
  <threadedComment ref="Y564" dT="2022-01-27T20:18:12.34" personId="{0A831BE0-8E9C-476D-A0E3-509D1336B973}" id="{34D26764-41E9-4DF8-B19B-EFCBA82A367F}">
    <text>Updated per Guidehouse review.</text>
  </threadedComment>
  <threadedComment ref="Z564" dT="2022-01-27T20:18:12.34" personId="{0A831BE0-8E9C-476D-A0E3-509D1336B973}" id="{E0C8C35F-3E2A-40D6-BA3B-B040A8017D93}">
    <text>Updated per Guidehouse review.</text>
  </threadedComment>
  <threadedComment ref="AA564" dT="2022-01-27T20:18:12.34" personId="{0A831BE0-8E9C-476D-A0E3-509D1336B973}" id="{8F841CE9-3BDE-4BAB-9D13-6F20AB9E4552}">
    <text>Updated per Guidehouse review.</text>
  </threadedComment>
  <threadedComment ref="X565" dT="2022-01-27T20:18:12.34" personId="{0A831BE0-8E9C-476D-A0E3-509D1336B973}" id="{EFFE9C55-BDA4-4EEF-BE13-76C1985C4E66}">
    <text>Updated per Guidehouse review.</text>
  </threadedComment>
  <threadedComment ref="Y565" dT="2022-01-27T20:18:12.34" personId="{0A831BE0-8E9C-476D-A0E3-509D1336B973}" id="{F4CAB3D2-FD14-45DB-9283-88639EC1AFED}">
    <text>Updated per Guidehouse review.</text>
  </threadedComment>
  <threadedComment ref="Z565" dT="2022-01-27T20:18:12.34" personId="{0A831BE0-8E9C-476D-A0E3-509D1336B973}" id="{DA76A768-00DF-4C45-A26F-E3C4CED6BE22}">
    <text>Updated per Guidehouse review.</text>
  </threadedComment>
  <threadedComment ref="AA565" dT="2022-01-27T20:18:12.34" personId="{0A831BE0-8E9C-476D-A0E3-509D1336B973}" id="{C29769D0-340C-4CDC-B0B9-0B735AD2BC9C}">
    <text>Updated per Guidehouse review.</text>
  </threadedComment>
  <threadedComment ref="X566" dT="2022-01-27T20:18:12.34" personId="{0A831BE0-8E9C-476D-A0E3-509D1336B973}" id="{2013C1FC-616C-4A48-A8F6-9039ABAFACB7}">
    <text>Updated per Guidehouse review.</text>
  </threadedComment>
  <threadedComment ref="Y566" dT="2022-01-27T20:18:12.34" personId="{0A831BE0-8E9C-476D-A0E3-509D1336B973}" id="{BC6D0AB2-9488-454E-A928-81AA3CAA084B}">
    <text>Updated per Guidehouse review.</text>
  </threadedComment>
  <threadedComment ref="Z566" dT="2022-01-27T20:18:12.34" personId="{0A831BE0-8E9C-476D-A0E3-509D1336B973}" id="{5E1457F9-C620-40E9-A42B-2AF6715570E1}">
    <text>Updated per Guidehouse review.</text>
  </threadedComment>
  <threadedComment ref="AA566" dT="2022-01-27T20:18:12.34" personId="{0A831BE0-8E9C-476D-A0E3-509D1336B973}" id="{3AA5FFDD-E7A4-426B-B2E4-65453A61577E}">
    <text>Updated per Guidehouse review.</text>
  </threadedComment>
  <threadedComment ref="X567" dT="2022-01-27T20:18:12.34" personId="{0A831BE0-8E9C-476D-A0E3-509D1336B973}" id="{FDE00DC6-7CE2-49F5-9746-41104AEE67CC}">
    <text>Updated per Guidehouse review.</text>
  </threadedComment>
  <threadedComment ref="Y567" dT="2022-01-27T20:18:12.34" personId="{0A831BE0-8E9C-476D-A0E3-509D1336B973}" id="{551AD92F-77CA-4E35-B8E5-E9C9D42762C7}">
    <text>Updated per Guidehouse review.</text>
  </threadedComment>
  <threadedComment ref="Z567" dT="2022-01-27T20:18:12.34" personId="{0A831BE0-8E9C-476D-A0E3-509D1336B973}" id="{379B46F1-2560-4890-ABEE-D9319D5B7228}">
    <text>Updated per Guidehouse review.</text>
  </threadedComment>
  <threadedComment ref="AA567" dT="2022-01-27T20:18:12.34" personId="{0A831BE0-8E9C-476D-A0E3-509D1336B973}" id="{1D1C8F4C-FB5E-402B-AE92-1E8C332ACFA7}">
    <text>Updated per Guidehouse review.</text>
  </threadedComment>
  <threadedComment ref="X568" dT="2022-01-27T20:18:12.34" personId="{0A831BE0-8E9C-476D-A0E3-509D1336B973}" id="{F54EDD82-BA83-440C-97A5-5A9DFDB6A592}">
    <text>Updated per Guidehouse review.</text>
  </threadedComment>
  <threadedComment ref="Y568" dT="2022-01-27T20:18:12.34" personId="{0A831BE0-8E9C-476D-A0E3-509D1336B973}" id="{C55858AB-1AD0-4061-91FD-C8F55F5DE974}">
    <text>Updated per Guidehouse review.</text>
  </threadedComment>
  <threadedComment ref="Z568" dT="2022-01-27T20:18:12.34" personId="{0A831BE0-8E9C-476D-A0E3-509D1336B973}" id="{38F9AE3E-60BB-4C86-94EC-7A19290CC63E}">
    <text>Updated per Guidehouse review.</text>
  </threadedComment>
  <threadedComment ref="AA568" dT="2022-01-27T20:18:12.34" personId="{0A831BE0-8E9C-476D-A0E3-509D1336B973}" id="{60028B6B-0226-4A7C-BA13-1CF112BAC69F}">
    <text>Updated per Guidehouse review.</text>
  </threadedComment>
  <threadedComment ref="X569" dT="2022-01-27T20:18:12.34" personId="{0A831BE0-8E9C-476D-A0E3-509D1336B973}" id="{22023A49-5E68-49DB-9103-2F0E862A6DCD}">
    <text>Updated per Guidehouse review.</text>
  </threadedComment>
  <threadedComment ref="Y569" dT="2022-01-27T20:18:12.34" personId="{0A831BE0-8E9C-476D-A0E3-509D1336B973}" id="{49174512-FFF5-4A4C-82D2-6A4199F56432}">
    <text>Updated per Guidehouse review.</text>
  </threadedComment>
  <threadedComment ref="Z569" dT="2022-01-27T20:18:12.34" personId="{0A831BE0-8E9C-476D-A0E3-509D1336B973}" id="{30CFD9C7-1BE3-4841-8248-7B0236275459}">
    <text>Updated per Guidehouse review.</text>
  </threadedComment>
  <threadedComment ref="AA569" dT="2022-01-27T20:18:12.34" personId="{0A831BE0-8E9C-476D-A0E3-509D1336B973}" id="{47579231-AA4D-4AF2-BE65-8C2E8F13B91C}">
    <text>Updated per Guidehouse review.</text>
  </threadedComment>
  <threadedComment ref="X570" dT="2022-01-27T20:18:12.34" personId="{0A831BE0-8E9C-476D-A0E3-509D1336B973}" id="{EF8CFFFD-2A27-4D0F-A3CA-2643B947E1E2}">
    <text>Updated per Guidehouse review.</text>
  </threadedComment>
  <threadedComment ref="Y570" dT="2022-01-27T20:18:12.34" personId="{0A831BE0-8E9C-476D-A0E3-509D1336B973}" id="{4D9E18AD-E85D-4FE5-836A-B9AA4F798A56}">
    <text>Updated per Guidehouse review.</text>
  </threadedComment>
  <threadedComment ref="Z570" dT="2022-01-27T20:18:12.34" personId="{0A831BE0-8E9C-476D-A0E3-509D1336B973}" id="{8AC1906B-9BCA-479E-B429-DAF771289C18}">
    <text>Updated per Guidehouse review.</text>
  </threadedComment>
  <threadedComment ref="AA570" dT="2022-01-27T20:18:12.34" personId="{0A831BE0-8E9C-476D-A0E3-509D1336B973}" id="{E3198751-6258-4E8A-A192-83C1588452CD}">
    <text>Updated per Guidehouse review.</text>
  </threadedComment>
  <threadedComment ref="X571" dT="2022-01-27T20:18:12.34" personId="{0A831BE0-8E9C-476D-A0E3-509D1336B973}" id="{068FDB22-E5B7-4038-98BA-17A725E6D6BB}">
    <text>Updated per Guidehouse review.</text>
  </threadedComment>
  <threadedComment ref="Y571" dT="2022-01-27T20:18:12.34" personId="{0A831BE0-8E9C-476D-A0E3-509D1336B973}" id="{684E167D-9142-4410-BFB2-7914A5499279}">
    <text>Updated per Guidehouse review.</text>
  </threadedComment>
  <threadedComment ref="Z571" dT="2022-01-27T20:18:12.34" personId="{0A831BE0-8E9C-476D-A0E3-509D1336B973}" id="{B0C7822D-492F-42BF-9D1F-F91060CE8529}">
    <text>Updated per Guidehouse review.</text>
  </threadedComment>
  <threadedComment ref="AA571" dT="2022-01-27T20:18:12.34" personId="{0A831BE0-8E9C-476D-A0E3-509D1336B973}" id="{2262CAF4-D224-4038-942A-971D0DC616EF}">
    <text>Updated per Guidehouse review.</text>
  </threadedComment>
  <threadedComment ref="X572" dT="2022-01-27T20:18:12.34" personId="{0A831BE0-8E9C-476D-A0E3-509D1336B973}" id="{751B884C-4FA0-45E2-BCBD-775C5852018B}">
    <text>Updated per Guidehouse review.</text>
  </threadedComment>
  <threadedComment ref="Y572" dT="2022-01-27T20:18:12.34" personId="{0A831BE0-8E9C-476D-A0E3-509D1336B973}" id="{5B5F613D-D8AD-4B67-9320-547D137B9B84}">
    <text>Updated per Guidehouse review.</text>
  </threadedComment>
  <threadedComment ref="Z572" dT="2022-01-27T20:18:12.34" personId="{0A831BE0-8E9C-476D-A0E3-509D1336B973}" id="{34C86527-3B46-4E32-9AC6-9E7FF3B6FC03}">
    <text>Updated per Guidehouse review.</text>
  </threadedComment>
  <threadedComment ref="AA572" dT="2022-01-27T20:18:12.34" personId="{0A831BE0-8E9C-476D-A0E3-509D1336B973}" id="{0F3E13D5-CC5C-4BD8-A231-D9CDF1071B5E}">
    <text>Updated per Guidehouse review.</text>
  </threadedComment>
  <threadedComment ref="X573" dT="2022-01-27T20:18:12.34" personId="{0A831BE0-8E9C-476D-A0E3-509D1336B973}" id="{5C83FDC8-6DE1-44D0-83AB-2E86D67120E8}">
    <text>Updated per Guidehouse review.</text>
  </threadedComment>
  <threadedComment ref="Y573" dT="2022-01-27T20:18:12.34" personId="{0A831BE0-8E9C-476D-A0E3-509D1336B973}" id="{256C6A6F-0946-4F8A-8CDD-88E5998C4355}">
    <text>Updated per Guidehouse review.</text>
  </threadedComment>
  <threadedComment ref="Z573" dT="2022-01-27T20:18:12.34" personId="{0A831BE0-8E9C-476D-A0E3-509D1336B973}" id="{30175296-B4BC-4A9A-A665-23A8EB6C56F9}">
    <text>Updated per Guidehouse review.</text>
  </threadedComment>
  <threadedComment ref="AA573" dT="2022-01-27T20:18:12.34" personId="{0A831BE0-8E9C-476D-A0E3-509D1336B973}" id="{91415670-5D80-44BB-9241-B1E248356610}">
    <text>Updated per Guidehouse review.</text>
  </threadedComment>
  <threadedComment ref="X574" dT="2022-01-27T20:18:12.34" personId="{0A831BE0-8E9C-476D-A0E3-509D1336B973}" id="{308C299F-9B5A-45F1-BF8B-002150639BE7}">
    <text>Updated per Guidehouse review.</text>
  </threadedComment>
  <threadedComment ref="Y574" dT="2022-01-27T20:18:12.34" personId="{0A831BE0-8E9C-476D-A0E3-509D1336B973}" id="{F03F25D8-3189-4754-8FC5-58426CD2B1B8}">
    <text>Updated per Guidehouse review.</text>
  </threadedComment>
  <threadedComment ref="Z574" dT="2022-01-27T20:18:12.34" personId="{0A831BE0-8E9C-476D-A0E3-509D1336B973}" id="{44882D3F-0CF5-4C75-AD23-F07A7EEFC919}">
    <text>Updated per Guidehouse review.</text>
  </threadedComment>
  <threadedComment ref="AA574" dT="2022-01-27T20:18:12.34" personId="{0A831BE0-8E9C-476D-A0E3-509D1336B973}" id="{34F24A8A-68A2-42D3-A4B5-15DEE882647F}">
    <text>Updated per Guidehouse review.</text>
  </threadedComment>
  <threadedComment ref="X575" dT="2022-01-27T20:18:12.34" personId="{0A831BE0-8E9C-476D-A0E3-509D1336B973}" id="{0A629A78-283F-4E1C-AB9F-2C64E32C52F1}">
    <text>Updated per Guidehouse review.</text>
  </threadedComment>
  <threadedComment ref="Y575" dT="2022-01-27T20:18:12.34" personId="{0A831BE0-8E9C-476D-A0E3-509D1336B973}" id="{00F3E52F-B7EF-4BF7-BD1D-AA8043742917}">
    <text>Updated per Guidehouse review.</text>
  </threadedComment>
  <threadedComment ref="Z575" dT="2022-01-27T20:18:12.34" personId="{0A831BE0-8E9C-476D-A0E3-509D1336B973}" id="{00B33A8D-FA6C-4C83-B417-FF350F0F6AF9}">
    <text>Updated per Guidehouse review.</text>
  </threadedComment>
  <threadedComment ref="AA575" dT="2022-01-27T20:18:12.34" personId="{0A831BE0-8E9C-476D-A0E3-509D1336B973}" id="{F915634F-BAD7-480C-8246-C865B89CEF44}">
    <text>Updated per Guidehouse review.</text>
  </threadedComment>
  <threadedComment ref="X576" dT="2022-01-27T20:18:12.34" personId="{0A831BE0-8E9C-476D-A0E3-509D1336B973}" id="{F68632B3-D380-42DF-8BC2-647BABD203A2}">
    <text>Updated per Guidehouse review.</text>
  </threadedComment>
  <threadedComment ref="Y576" dT="2022-01-27T20:18:12.34" personId="{0A831BE0-8E9C-476D-A0E3-509D1336B973}" id="{02A24BE4-25D9-45B8-840B-5497C970ED5A}">
    <text>Updated per Guidehouse review.</text>
  </threadedComment>
  <threadedComment ref="Z576" dT="2022-01-27T20:18:12.34" personId="{0A831BE0-8E9C-476D-A0E3-509D1336B973}" id="{CB51373B-BFE7-4339-B4AC-ED82B326EF40}">
    <text>Updated per Guidehouse review.</text>
  </threadedComment>
  <threadedComment ref="AA576" dT="2022-01-27T20:18:12.34" personId="{0A831BE0-8E9C-476D-A0E3-509D1336B973}" id="{9BE7427D-528C-4ABE-BD6D-7EDB4D9FE656}">
    <text>Updated per Guidehouse review.</text>
  </threadedComment>
  <threadedComment ref="X577" dT="2022-01-27T20:18:12.34" personId="{0A831BE0-8E9C-476D-A0E3-509D1336B973}" id="{43A64E2A-AB00-452B-A2AE-FC2815C73F54}">
    <text>Updated per Guidehouse review.</text>
  </threadedComment>
  <threadedComment ref="Y577" dT="2022-01-27T20:18:12.34" personId="{0A831BE0-8E9C-476D-A0E3-509D1336B973}" id="{CD0EE354-E25E-4820-B6A9-24B7B10DF530}">
    <text>Updated per Guidehouse review.</text>
  </threadedComment>
  <threadedComment ref="Z577" dT="2022-01-27T20:18:12.34" personId="{0A831BE0-8E9C-476D-A0E3-509D1336B973}" id="{94BA9317-088A-424B-B1E9-E3B909B313A9}">
    <text>Updated per Guidehouse review.</text>
  </threadedComment>
  <threadedComment ref="AA577" dT="2022-01-27T20:18:12.34" personId="{0A831BE0-8E9C-476D-A0E3-509D1336B973}" id="{BEAB3D8A-DA84-4CDA-BC05-610FA7363B43}">
    <text>Updated per Guidehouse review.</text>
  </threadedComment>
  <threadedComment ref="X578" dT="2022-01-27T20:18:12.34" personId="{0A831BE0-8E9C-476D-A0E3-509D1336B973}" id="{DFD060E6-7711-4B86-8AE6-75FCC0A72B45}">
    <text>Updated per Guidehouse review.</text>
  </threadedComment>
  <threadedComment ref="Y578" dT="2022-01-27T20:18:12.34" personId="{0A831BE0-8E9C-476D-A0E3-509D1336B973}" id="{2C8AF045-4A05-4983-AB1B-4AB7D396EFF7}">
    <text>Updated per Guidehouse review.</text>
  </threadedComment>
  <threadedComment ref="Z578" dT="2022-01-27T20:18:12.34" personId="{0A831BE0-8E9C-476D-A0E3-509D1336B973}" id="{5D7F8912-1CF7-4F84-B917-6C13F2851269}">
    <text>Updated per Guidehouse review.</text>
  </threadedComment>
  <threadedComment ref="AA578" dT="2022-01-27T20:18:12.34" personId="{0A831BE0-8E9C-476D-A0E3-509D1336B973}" id="{15B3E099-3A76-437B-9079-08DDB86E3C4E}">
    <text>Updated per Guidehouse review.</text>
  </threadedComment>
  <threadedComment ref="X579" dT="2022-01-27T20:18:12.34" personId="{0A831BE0-8E9C-476D-A0E3-509D1336B973}" id="{B58612D1-1BAC-4FB5-85BA-1E863D715EB5}">
    <text>Updated per Guidehouse review.</text>
  </threadedComment>
  <threadedComment ref="Y579" dT="2022-01-27T20:18:12.34" personId="{0A831BE0-8E9C-476D-A0E3-509D1336B973}" id="{E89B0C46-DAC7-46F3-B159-658377979A45}">
    <text>Updated per Guidehouse review.</text>
  </threadedComment>
  <threadedComment ref="Z579" dT="2022-01-27T20:18:12.34" personId="{0A831BE0-8E9C-476D-A0E3-509D1336B973}" id="{9AB3FD58-EDF5-4FD8-A762-19F0C0C1B576}">
    <text>Updated per Guidehouse review.</text>
  </threadedComment>
  <threadedComment ref="AA579" dT="2022-01-27T20:18:12.34" personId="{0A831BE0-8E9C-476D-A0E3-509D1336B973}" id="{CD940079-C16B-4F4E-BEA0-9F2242883DF6}">
    <text>Updated per Guidehouse review.</text>
  </threadedComment>
  <threadedComment ref="X580" dT="2022-01-27T20:18:12.34" personId="{0A831BE0-8E9C-476D-A0E3-509D1336B973}" id="{47517254-B3B1-43E1-A412-82913301DDC3}">
    <text>Updated per Guidehouse review.</text>
  </threadedComment>
  <threadedComment ref="Y580" dT="2022-01-27T20:18:12.34" personId="{0A831BE0-8E9C-476D-A0E3-509D1336B973}" id="{38962781-E1FB-478A-AE8F-5E192A78BCDC}">
    <text>Updated per Guidehouse review.</text>
  </threadedComment>
  <threadedComment ref="Z580" dT="2022-01-27T20:18:12.34" personId="{0A831BE0-8E9C-476D-A0E3-509D1336B973}" id="{355CDBC9-105E-458A-B902-CDA0647E556E}">
    <text>Updated per Guidehouse review.</text>
  </threadedComment>
  <threadedComment ref="AA580" dT="2022-01-27T20:18:12.34" personId="{0A831BE0-8E9C-476D-A0E3-509D1336B973}" id="{30F225AA-B3BA-43DF-AA38-B879BF83F368}">
    <text>Updated per Guidehouse review.</text>
  </threadedComment>
  <threadedComment ref="X581" dT="2022-01-27T20:18:12.34" personId="{0A831BE0-8E9C-476D-A0E3-509D1336B973}" id="{EFFCB46E-C61D-40EC-83DB-1E21C864DF6A}">
    <text>Updated per Guidehouse review.</text>
  </threadedComment>
  <threadedComment ref="Y581" dT="2022-01-27T20:18:12.34" personId="{0A831BE0-8E9C-476D-A0E3-509D1336B973}" id="{86ABD1D7-B26A-4E88-8FC8-46593B2A11B5}">
    <text>Updated per Guidehouse review.</text>
  </threadedComment>
  <threadedComment ref="Z581" dT="2022-01-27T20:18:12.34" personId="{0A831BE0-8E9C-476D-A0E3-509D1336B973}" id="{20DAC89F-B8BA-4EE7-AE50-4BBC022A190B}">
    <text>Updated per Guidehouse review.</text>
  </threadedComment>
  <threadedComment ref="AA581" dT="2022-01-27T20:18:12.34" personId="{0A831BE0-8E9C-476D-A0E3-509D1336B973}" id="{9D96D735-C47C-45CE-B67F-5F54FA286645}">
    <text>Updated per Guidehouse review.</text>
  </threadedComment>
  <threadedComment ref="X582" dT="2022-01-27T20:07:45.54" personId="{0A831BE0-8E9C-476D-A0E3-509D1336B973}" id="{728E685A-BC70-4D49-8D5E-0BACE25B0115}">
    <text>Updated per Guidehouse review.</text>
  </threadedComment>
  <threadedComment ref="Y582" dT="2022-01-27T20:07:45.54" personId="{0A831BE0-8E9C-476D-A0E3-509D1336B973}" id="{5277A5C7-C289-45D6-98F0-EDABC2F87A9E}">
    <text>Updated per Guidehouse review.</text>
  </threadedComment>
  <threadedComment ref="Z582" dT="2022-01-27T20:07:45.54" personId="{0A831BE0-8E9C-476D-A0E3-509D1336B973}" id="{B8A09844-688C-4780-B211-0B8B112104C3}">
    <text>Updated per Guidehouse review.</text>
  </threadedComment>
  <threadedComment ref="AA582" dT="2022-01-27T20:07:45.54" personId="{0A831BE0-8E9C-476D-A0E3-509D1336B973}" id="{4E634543-2EF3-424F-93C7-7A9351175FBE}">
    <text>Updated per Guidehouse review.</text>
  </threadedComment>
  <threadedComment ref="AI582" dT="2024-02-27T16:30:08.53" personId="{FA7E3B4C-1102-4378-B7D0-F89DC99F55A8}" id="{CF160A84-1510-41DA-8E95-44FCDF805296}">
    <text>Per PG &amp; NSG 2024 final NTG ratios. Value did not change from 2023 to 2024.</text>
  </threadedComment>
  <threadedComment ref="AJ582" dT="2024-02-27T16:30:08.53" personId="{FA7E3B4C-1102-4378-B7D0-F89DC99F55A8}" id="{967EC74B-AB43-4D35-864F-3E8438A23047}">
    <text>Per PG &amp; NSG 2024 final NTG ratios. Value did not change from 2023 to 2024.</text>
  </threadedComment>
  <threadedComment ref="X620" dT="2022-01-27T20:22:28.79" personId="{0A831BE0-8E9C-476D-A0E3-509D1336B973}" id="{7586A35D-3E4E-4F63-B200-522B848213D5}">
    <text>Updated per Guidehouse review.</text>
  </threadedComment>
  <threadedComment ref="Y620" dT="2022-01-27T20:22:28.79" personId="{0A831BE0-8E9C-476D-A0E3-509D1336B973}" id="{84D89414-2EE4-4AB0-8AC9-4E18C4BB42E8}">
    <text>Updated per Guidehouse review.</text>
  </threadedComment>
  <threadedComment ref="Z620" dT="2022-01-27T20:22:28.79" personId="{0A831BE0-8E9C-476D-A0E3-509D1336B973}" id="{8066F5A6-5831-44C9-A6AA-6AB24050DA97}">
    <text>Updated per Guidehouse review.</text>
  </threadedComment>
  <threadedComment ref="AA620" dT="2022-01-27T20:22:28.79" personId="{0A831BE0-8E9C-476D-A0E3-509D1336B973}" id="{1F2CEC20-84F1-4332-8065-5B0FB05B8CF3}">
    <text>Updated per Guidehouse review.</text>
  </threadedComment>
  <threadedComment ref="X621" dT="2021-04-02T20:38:31.99" personId="{2BE53071-80F4-4D6F-A2F0-916AAB200931}" id="{9D92FB41-70A0-4EBE-A91D-AA64374FACA3}">
    <text>Updated per Guidehouse review.</text>
  </threadedComment>
  <threadedComment ref="Y621" dT="2021-04-02T20:38:31.99" personId="{2BE53071-80F4-4D6F-A2F0-916AAB200931}" id="{26138B28-7272-4B5F-8E5E-7960583AC1F2}">
    <text>Updated per Guidehouse review.</text>
  </threadedComment>
  <threadedComment ref="Z621" dT="2021-04-02T20:38:31.99" personId="{2BE53071-80F4-4D6F-A2F0-916AAB200931}" id="{0E68C01D-9129-4FAD-9C48-9320AC7E79B3}">
    <text>Updated per Guidehouse review.</text>
  </threadedComment>
  <threadedComment ref="AA621" dT="2021-04-02T20:38:31.99" personId="{2BE53071-80F4-4D6F-A2F0-916AAB200931}" id="{FEDE057D-075B-4460-8088-E33062C9CBD8}">
    <text>Updated per Guidehouse review.</text>
  </threadedComment>
  <threadedComment ref="X622" dT="2021-04-02T20:38:31.99" personId="{2BE53071-80F4-4D6F-A2F0-916AAB200931}" id="{D54B8507-5A3B-46A0-939F-C253ACC95024}">
    <text>Updated per Guidehouse review.</text>
  </threadedComment>
  <threadedComment ref="Y622" dT="2021-04-02T20:38:31.99" personId="{2BE53071-80F4-4D6F-A2F0-916AAB200931}" id="{A723ED18-BFBF-4CC7-83F3-9677BB75E882}">
    <text>Updated per Guidehouse review.</text>
  </threadedComment>
  <threadedComment ref="Z622" dT="2021-04-02T20:38:31.99" personId="{2BE53071-80F4-4D6F-A2F0-916AAB200931}" id="{D111F904-991B-487B-8F60-F676E06F2B6E}">
    <text>Updated per Guidehouse review.</text>
  </threadedComment>
  <threadedComment ref="AA622" dT="2021-04-02T20:38:31.99" personId="{2BE53071-80F4-4D6F-A2F0-916AAB200931}" id="{1B8D5032-D0E0-4DA0-AF0E-703E97B5731F}">
    <text>Updated per Guidehouse review.</text>
  </threadedComment>
  <threadedComment ref="X623" dT="2022-01-27T20:22:28.79" personId="{0A831BE0-8E9C-476D-A0E3-509D1336B973}" id="{41A09C4A-F0B2-4F4D-A9D4-5DFF334B6E52}">
    <text>Updated per Guidehouse review.</text>
  </threadedComment>
  <threadedComment ref="Y623" dT="2022-01-27T20:22:28.79" personId="{0A831BE0-8E9C-476D-A0E3-509D1336B973}" id="{1DD31F03-5422-4D66-9BA5-69A8E6DC0D63}">
    <text>Updated per Guidehouse review.</text>
  </threadedComment>
  <threadedComment ref="Z623" dT="2022-01-27T20:22:28.79" personId="{0A831BE0-8E9C-476D-A0E3-509D1336B973}" id="{19D2E69F-0FCA-4C97-B03B-7A387A3B3427}">
    <text>Updated per Guidehouse review.</text>
  </threadedComment>
  <threadedComment ref="AA623" dT="2022-01-27T20:22:28.79" personId="{0A831BE0-8E9C-476D-A0E3-509D1336B973}" id="{213FD449-07E8-469F-BEBA-BBF353334DA6}">
    <text>Updated per Guidehouse review.</text>
  </threadedComment>
  <threadedComment ref="X624" dT="2022-01-27T20:22:28.79" personId="{0A831BE0-8E9C-476D-A0E3-509D1336B973}" id="{8BDD865C-5097-49C4-8F24-9E022633B796}">
    <text>Updated per Guidehouse review.</text>
  </threadedComment>
  <threadedComment ref="Y624" dT="2022-01-27T20:22:28.79" personId="{0A831BE0-8E9C-476D-A0E3-509D1336B973}" id="{61B32DA4-783D-40E5-BBC9-9C3F3E8B07F9}">
    <text>Updated per Guidehouse review.</text>
  </threadedComment>
  <threadedComment ref="Z624" dT="2022-01-27T20:22:28.79" personId="{0A831BE0-8E9C-476D-A0E3-509D1336B973}" id="{F16F2FE4-6192-405A-8699-0C6AA513371C}">
    <text>Updated per Guidehouse review.</text>
  </threadedComment>
  <threadedComment ref="AA624" dT="2022-01-27T20:22:28.79" personId="{0A831BE0-8E9C-476D-A0E3-509D1336B973}" id="{0C7C56E9-611F-4F67-B14D-43C3ABF3BCCC}">
    <text>Updated per Guidehouse review.</text>
  </threadedComment>
  <threadedComment ref="X625" dT="2022-01-27T20:22:28.79" personId="{0A831BE0-8E9C-476D-A0E3-509D1336B973}" id="{97943B10-3D5B-4220-BD6F-24B5F9C9C774}">
    <text>Updated per Guidehouse review.</text>
  </threadedComment>
  <threadedComment ref="Y625" dT="2022-01-27T20:22:28.79" personId="{0A831BE0-8E9C-476D-A0E3-509D1336B973}" id="{A6AEAF4A-0265-458B-AC06-DA26968B3DE9}">
    <text>Updated per Guidehouse review.</text>
  </threadedComment>
  <threadedComment ref="Z625" dT="2022-01-27T20:22:28.79" personId="{0A831BE0-8E9C-476D-A0E3-509D1336B973}" id="{8082718A-C7BC-4ED3-A119-CE5DE513FE36}">
    <text>Updated per Guidehouse review.</text>
  </threadedComment>
  <threadedComment ref="AA625" dT="2022-01-27T20:22:28.79" personId="{0A831BE0-8E9C-476D-A0E3-509D1336B973}" id="{98B3553F-8E19-4160-ADB5-78450F4DD3C9}">
    <text>Updated per Guidehouse review.</text>
  </threadedComment>
  <threadedComment ref="X626" dT="2022-01-27T20:22:28.79" personId="{0A831BE0-8E9C-476D-A0E3-509D1336B973}" id="{81F9F1CB-F904-4E05-87F4-6768694D8335}">
    <text>Updated per Guidehouse review.</text>
  </threadedComment>
  <threadedComment ref="Y626" dT="2022-01-27T20:22:28.79" personId="{0A831BE0-8E9C-476D-A0E3-509D1336B973}" id="{D71A4537-BCBD-43EA-8C80-8B28C1344BA2}">
    <text>Updated per Guidehouse review.</text>
  </threadedComment>
  <threadedComment ref="Z626" dT="2022-01-27T20:22:28.79" personId="{0A831BE0-8E9C-476D-A0E3-509D1336B973}" id="{34428777-F8A1-4A73-963B-6CF472FE8554}">
    <text>Updated per Guidehouse review.</text>
  </threadedComment>
  <threadedComment ref="AA626" dT="2022-01-27T20:22:28.79" personId="{0A831BE0-8E9C-476D-A0E3-509D1336B973}" id="{C10E944A-4508-49C8-B7CD-850C410D04DC}">
    <text>Updated per Guidehouse review.</text>
  </threadedComment>
  <threadedComment ref="X627" dT="2022-01-27T20:20:08.28" personId="{0A831BE0-8E9C-476D-A0E3-509D1336B973}" id="{00B09F7F-D651-4256-8422-08727EB16734}">
    <text>Updated per Guidehouse review.</text>
  </threadedComment>
  <threadedComment ref="Y627" dT="2022-01-27T20:20:08.28" personId="{0A831BE0-8E9C-476D-A0E3-509D1336B973}" id="{1750AEA3-0C49-4F07-A9D6-7D6F26D0D8BB}">
    <text>Updated per Guidehouse review.</text>
  </threadedComment>
  <threadedComment ref="Z627" dT="2022-01-27T20:20:08.28" personId="{0A831BE0-8E9C-476D-A0E3-509D1336B973}" id="{43928FC5-1B44-479B-A3FD-A1949C816A75}">
    <text>Updated per Guidehouse review.</text>
  </threadedComment>
  <threadedComment ref="AA627" dT="2022-01-27T20:20:08.28" personId="{0A831BE0-8E9C-476D-A0E3-509D1336B973}" id="{0D9A0F84-F545-4D8E-9C7F-AC1406557D14}">
    <text>Updated per Guidehouse review.</text>
  </threadedComment>
  <threadedComment ref="X628" dT="2022-01-27T20:22:28.79" personId="{0A831BE0-8E9C-476D-A0E3-509D1336B973}" id="{9FB3E068-8ABF-4907-B66F-93F840260639}">
    <text>Updated per Guidehouse review.</text>
  </threadedComment>
  <threadedComment ref="Y628" dT="2022-01-27T20:22:28.79" personId="{0A831BE0-8E9C-476D-A0E3-509D1336B973}" id="{6C6685D6-BBA9-42F4-8B8F-1CA541E59F42}">
    <text>Updated per Guidehouse review.</text>
  </threadedComment>
  <threadedComment ref="Z628" dT="2022-01-27T20:22:28.79" personId="{0A831BE0-8E9C-476D-A0E3-509D1336B973}" id="{0FFB1350-4A60-447D-8E69-FD4304309DC9}">
    <text>Updated per Guidehouse review.</text>
  </threadedComment>
  <threadedComment ref="AA628" dT="2022-01-27T20:22:28.79" personId="{0A831BE0-8E9C-476D-A0E3-509D1336B973}" id="{4EC51376-A75E-48DD-8C6F-86DDF95DBB00}">
    <text>Updated per Guidehouse review.</text>
  </threadedComment>
  <threadedComment ref="X629" dT="2022-01-27T20:22:28.79" personId="{0A831BE0-8E9C-476D-A0E3-509D1336B973}" id="{01E4F022-2B6F-4CCF-9B3A-48A87C76CBB7}">
    <text>Updated per Guidehouse review.</text>
  </threadedComment>
  <threadedComment ref="Y629" dT="2022-01-27T20:22:28.79" personId="{0A831BE0-8E9C-476D-A0E3-509D1336B973}" id="{7738C45C-5F8F-42C4-9AB3-BBE59AEB6106}">
    <text>Updated per Guidehouse review.</text>
  </threadedComment>
  <threadedComment ref="Z629" dT="2022-01-27T20:22:28.79" personId="{0A831BE0-8E9C-476D-A0E3-509D1336B973}" id="{01904AB2-7459-4E90-9C28-BD0BE015A919}">
    <text>Updated per Guidehouse review.</text>
  </threadedComment>
  <threadedComment ref="AA629" dT="2022-01-27T20:22:28.79" personId="{0A831BE0-8E9C-476D-A0E3-509D1336B973}" id="{CB3F4005-FB2F-4B1C-8F68-3AF2A88477B4}">
    <text>Updated per Guidehouse review.</text>
  </threadedComment>
  <threadedComment ref="X630" dT="2022-01-27T20:22:28.79" personId="{0A831BE0-8E9C-476D-A0E3-509D1336B973}" id="{83D6B5FC-AED9-445B-9BA8-7F2BC5FB4653}">
    <text>Updated per Guidehouse review.</text>
  </threadedComment>
  <threadedComment ref="Y630" dT="2022-01-27T20:22:28.79" personId="{0A831BE0-8E9C-476D-A0E3-509D1336B973}" id="{5CCFF448-39E4-478A-9646-2548B3C57045}">
    <text>Updated per Guidehouse review.</text>
  </threadedComment>
  <threadedComment ref="Z630" dT="2022-01-27T20:22:28.79" personId="{0A831BE0-8E9C-476D-A0E3-509D1336B973}" id="{97A614BA-F588-4593-9AF6-43856A6A5554}">
    <text>Updated per Guidehouse review.</text>
  </threadedComment>
  <threadedComment ref="AA630" dT="2022-01-27T20:22:28.79" personId="{0A831BE0-8E9C-476D-A0E3-509D1336B973}" id="{5675136E-1090-4744-8ECA-18EF6DBE995B}">
    <text>Updated per Guidehouse review.</text>
  </threadedComment>
  <threadedComment ref="X631" dT="2022-01-27T20:22:28.79" personId="{0A831BE0-8E9C-476D-A0E3-509D1336B973}" id="{C808D3E5-1C56-434F-8856-DCA9376BDC50}">
    <text>Updated per Guidehouse review.</text>
  </threadedComment>
  <threadedComment ref="Y631" dT="2022-01-27T20:22:28.79" personId="{0A831BE0-8E9C-476D-A0E3-509D1336B973}" id="{6C275FAC-75FA-4BAA-B343-0EAD93A825B4}">
    <text>Updated per Guidehouse review.</text>
  </threadedComment>
  <threadedComment ref="Z631" dT="2022-01-27T20:22:28.79" personId="{0A831BE0-8E9C-476D-A0E3-509D1336B973}" id="{1C97CB5C-4AB2-468B-B7EF-C457802CB2BD}">
    <text>Updated per Guidehouse review.</text>
  </threadedComment>
  <threadedComment ref="AA631" dT="2022-01-27T20:22:28.79" personId="{0A831BE0-8E9C-476D-A0E3-509D1336B973}" id="{59B6FEEE-455D-465D-9352-6E4E06C2058A}">
    <text>Updated per Guidehouse review.</text>
  </threadedComment>
  <threadedComment ref="X632" dT="2022-01-27T20:22:28.79" personId="{0A831BE0-8E9C-476D-A0E3-509D1336B973}" id="{F3757003-AB67-464A-8710-EDAD426F0096}">
    <text>Updated per Guidehouse review.</text>
  </threadedComment>
  <threadedComment ref="Y632" dT="2022-01-27T20:22:28.79" personId="{0A831BE0-8E9C-476D-A0E3-509D1336B973}" id="{30433DCC-AFD0-40FB-8479-12276B6DE66C}">
    <text>Updated per Guidehouse review.</text>
  </threadedComment>
  <threadedComment ref="Z632" dT="2022-01-27T20:22:28.79" personId="{0A831BE0-8E9C-476D-A0E3-509D1336B973}" id="{4D7CD110-B37F-42DC-BD5D-3ADDE81CC6B9}">
    <text>Updated per Guidehouse review.</text>
  </threadedComment>
  <threadedComment ref="AA632" dT="2022-01-27T20:22:28.79" personId="{0A831BE0-8E9C-476D-A0E3-509D1336B973}" id="{525F4D03-FECB-4909-B185-45F4523D0D04}">
    <text>Updated per Guidehouse review.</text>
  </threadedComment>
  <threadedComment ref="X633" dT="2022-01-27T20:22:28.79" personId="{0A831BE0-8E9C-476D-A0E3-509D1336B973}" id="{1913A825-C96B-4547-BAD6-0094941D8680}">
    <text>Updated per Guidehouse review.</text>
  </threadedComment>
  <threadedComment ref="Y633" dT="2022-01-27T20:22:28.79" personId="{0A831BE0-8E9C-476D-A0E3-509D1336B973}" id="{B174983B-C1DD-4FFA-8F92-5362E6782EED}">
    <text>Updated per Guidehouse review.</text>
  </threadedComment>
  <threadedComment ref="Z633" dT="2022-01-27T20:22:28.79" personId="{0A831BE0-8E9C-476D-A0E3-509D1336B973}" id="{5446D855-8EC7-4AE1-9186-0AAAFA23E467}">
    <text>Updated per Guidehouse review.</text>
  </threadedComment>
  <threadedComment ref="AA633" dT="2022-01-27T20:22:28.79" personId="{0A831BE0-8E9C-476D-A0E3-509D1336B973}" id="{2D80103A-FD24-4DAB-A1D2-6DCE4ABE9CFA}">
    <text>Updated per Guidehouse review.</text>
  </threadedComment>
  <threadedComment ref="X634" dT="2022-01-27T20:22:28.79" personId="{0A831BE0-8E9C-476D-A0E3-509D1336B973}" id="{A5C3CE45-758D-4F7D-9EF1-E4417D249760}">
    <text>Updated per Guidehouse review.</text>
  </threadedComment>
  <threadedComment ref="Y634" dT="2022-01-27T20:22:28.79" personId="{0A831BE0-8E9C-476D-A0E3-509D1336B973}" id="{9C585D32-5A86-439E-AC3D-D43BEFC137EE}">
    <text>Updated per Guidehouse review.</text>
  </threadedComment>
  <threadedComment ref="Z634" dT="2022-01-27T20:22:28.79" personId="{0A831BE0-8E9C-476D-A0E3-509D1336B973}" id="{7A377D93-43B5-44F1-A096-DB7456FD67BD}">
    <text>Updated per Guidehouse review.</text>
  </threadedComment>
  <threadedComment ref="AA634" dT="2022-01-27T20:22:28.79" personId="{0A831BE0-8E9C-476D-A0E3-509D1336B973}" id="{B02A94C2-64D2-4F05-B732-AC85F80A4716}">
    <text>Updated per Guidehouse review.</text>
  </threadedComment>
  <threadedComment ref="X635" dT="2022-01-27T20:22:28.79" personId="{0A831BE0-8E9C-476D-A0E3-509D1336B973}" id="{A7525D9C-DE77-43D7-A335-E43DB91E9D0A}">
    <text>Updated per Guidehouse review.</text>
  </threadedComment>
  <threadedComment ref="Y635" dT="2022-01-27T20:22:28.79" personId="{0A831BE0-8E9C-476D-A0E3-509D1336B973}" id="{CD9511F0-9DBD-4A32-BA0E-0A3C72259EAD}">
    <text>Updated per Guidehouse review.</text>
  </threadedComment>
  <threadedComment ref="Z635" dT="2022-01-27T20:22:28.79" personId="{0A831BE0-8E9C-476D-A0E3-509D1336B973}" id="{8CAD5376-2D67-44AD-A6BF-9B66AE833687}">
    <text>Updated per Guidehouse review.</text>
  </threadedComment>
  <threadedComment ref="AA635" dT="2022-01-27T20:22:28.79" personId="{0A831BE0-8E9C-476D-A0E3-509D1336B973}" id="{5FDBC804-8616-4227-8C66-25510E85B6DA}">
    <text>Updated per Guidehouse review.</text>
  </threadedComment>
  <threadedComment ref="X636" dT="2022-01-27T20:22:28.79" personId="{0A831BE0-8E9C-476D-A0E3-509D1336B973}" id="{070F3CDF-91DE-44A4-9117-ADA771A9F8E3}">
    <text>Updated per Guidehouse review.</text>
  </threadedComment>
  <threadedComment ref="Y636" dT="2022-01-27T20:22:28.79" personId="{0A831BE0-8E9C-476D-A0E3-509D1336B973}" id="{7709CC18-7649-426C-B508-B3F8F7BA2C2C}">
    <text>Updated per Guidehouse review.</text>
  </threadedComment>
  <threadedComment ref="Z636" dT="2022-01-27T20:22:28.79" personId="{0A831BE0-8E9C-476D-A0E3-509D1336B973}" id="{8869520E-789A-4ED4-AE10-B819C46A62FC}">
    <text>Updated per Guidehouse review.</text>
  </threadedComment>
  <threadedComment ref="AA636" dT="2022-01-27T20:22:28.79" personId="{0A831BE0-8E9C-476D-A0E3-509D1336B973}" id="{4BBD236D-32F3-429A-A74D-6822375686B0}">
    <text>Updated per Guidehouse review.</text>
  </threadedComment>
  <threadedComment ref="X637" dT="2022-01-27T20:22:28.79" personId="{0A831BE0-8E9C-476D-A0E3-509D1336B973}" id="{C984D285-A4BE-48E2-A955-B09E482EAD4F}">
    <text>Updated per Guidehouse review.</text>
  </threadedComment>
  <threadedComment ref="Y637" dT="2022-01-27T20:22:28.79" personId="{0A831BE0-8E9C-476D-A0E3-509D1336B973}" id="{CD221F86-EA90-4232-B7A2-868705558A2E}">
    <text>Updated per Guidehouse review.</text>
  </threadedComment>
  <threadedComment ref="Z637" dT="2022-01-27T20:22:28.79" personId="{0A831BE0-8E9C-476D-A0E3-509D1336B973}" id="{008FE716-4B6F-47A4-B782-8237BAA1ED6D}">
    <text>Updated per Guidehouse review.</text>
  </threadedComment>
  <threadedComment ref="AA637" dT="2022-01-27T20:22:28.79" personId="{0A831BE0-8E9C-476D-A0E3-509D1336B973}" id="{99931B60-EE9D-4E60-B748-1A76C41192C2}">
    <text>Updated per Guidehouse review.</text>
  </threadedComment>
  <threadedComment ref="X638" dT="2022-01-27T20:22:28.79" personId="{0A831BE0-8E9C-476D-A0E3-509D1336B973}" id="{A5B264D7-4FFA-4D11-90CF-8A6E3288DB0C}">
    <text>Updated per Guidehouse review.</text>
  </threadedComment>
  <threadedComment ref="Y638" dT="2022-01-27T20:22:28.79" personId="{0A831BE0-8E9C-476D-A0E3-509D1336B973}" id="{3069EAF3-074D-456B-9037-A104F427B048}">
    <text>Updated per Guidehouse review.</text>
  </threadedComment>
  <threadedComment ref="Z638" dT="2022-01-27T20:22:28.79" personId="{0A831BE0-8E9C-476D-A0E3-509D1336B973}" id="{9FDF21F2-357A-4F8F-85F1-DB1893A8C430}">
    <text>Updated per Guidehouse review.</text>
  </threadedComment>
  <threadedComment ref="AA638" dT="2022-01-27T20:22:28.79" personId="{0A831BE0-8E9C-476D-A0E3-509D1336B973}" id="{2D2A62AA-D5D6-45B1-ACF5-D7929BA90D81}">
    <text>Updated per Guidehouse review.</text>
  </threadedComment>
  <threadedComment ref="X639" dT="2022-01-27T20:22:28.79" personId="{0A831BE0-8E9C-476D-A0E3-509D1336B973}" id="{9A0921E9-E82B-4781-AC9F-7510A9F47157}">
    <text>Updated per Guidehouse review.</text>
  </threadedComment>
  <threadedComment ref="Y639" dT="2022-01-27T20:22:28.79" personId="{0A831BE0-8E9C-476D-A0E3-509D1336B973}" id="{1C2E97DB-3E57-47DD-BAC2-188D92A23DB3}">
    <text>Updated per Guidehouse review.</text>
  </threadedComment>
  <threadedComment ref="Z639" dT="2022-01-27T20:22:28.79" personId="{0A831BE0-8E9C-476D-A0E3-509D1336B973}" id="{7B6FB97C-39A9-4109-B123-0ED2DDEEED4C}">
    <text>Updated per Guidehouse review.</text>
  </threadedComment>
  <threadedComment ref="AA639" dT="2022-01-27T20:22:28.79" personId="{0A831BE0-8E9C-476D-A0E3-509D1336B973}" id="{5C15B033-F90F-4E54-A2C8-797E7BABB2E0}">
    <text>Updated per Guidehouse review.</text>
  </threadedComment>
  <threadedComment ref="X640" dT="2022-01-27T20:22:28.79" personId="{0A831BE0-8E9C-476D-A0E3-509D1336B973}" id="{D771A400-A047-4322-8600-97D50B595DAD}">
    <text>Updated per Guidehouse review.</text>
  </threadedComment>
  <threadedComment ref="Y640" dT="2022-01-27T20:22:28.79" personId="{0A831BE0-8E9C-476D-A0E3-509D1336B973}" id="{96CE0F4B-6783-4D42-AF32-71DC2AD15D24}">
    <text>Updated per Guidehouse review.</text>
  </threadedComment>
  <threadedComment ref="Z640" dT="2022-01-27T20:22:28.79" personId="{0A831BE0-8E9C-476D-A0E3-509D1336B973}" id="{9FE8109E-CA5B-44B5-BAE6-29A87569FF1A}">
    <text>Updated per Guidehouse review.</text>
  </threadedComment>
  <threadedComment ref="AA640" dT="2022-01-27T20:22:28.79" personId="{0A831BE0-8E9C-476D-A0E3-509D1336B973}" id="{9030E473-5802-429C-AD2A-0C8237C8EDC8}">
    <text>Updated per Guidehouse review.</text>
  </threadedComment>
  <threadedComment ref="X641" dT="2022-01-27T20:22:28.79" personId="{0A831BE0-8E9C-476D-A0E3-509D1336B973}" id="{C6FBC07D-BA57-4FC5-B204-7A249E2E970A}">
    <text>Updated per Guidehouse review.</text>
  </threadedComment>
  <threadedComment ref="Y641" dT="2022-01-27T20:22:28.79" personId="{0A831BE0-8E9C-476D-A0E3-509D1336B973}" id="{982CC450-78AE-41DF-A4DB-D854489D9B9D}">
    <text>Updated per Guidehouse review.</text>
  </threadedComment>
  <threadedComment ref="Z641" dT="2022-01-27T20:22:28.79" personId="{0A831BE0-8E9C-476D-A0E3-509D1336B973}" id="{E2CC06C3-1529-4E63-9230-376E0ADCB728}">
    <text>Updated per Guidehouse review.</text>
  </threadedComment>
  <threadedComment ref="AA641" dT="2022-01-27T20:22:28.79" personId="{0A831BE0-8E9C-476D-A0E3-509D1336B973}" id="{F1EBBA93-7798-463E-8204-EA6D5EDBFE5C}">
    <text>Updated per Guidehouse review.</text>
  </threadedComment>
  <threadedComment ref="X642" dT="2022-01-27T20:22:28.79" personId="{0A831BE0-8E9C-476D-A0E3-509D1336B973}" id="{FAC565F8-EAAE-4DB0-AB62-9D013936AF52}">
    <text>Updated per Guidehouse review.</text>
  </threadedComment>
  <threadedComment ref="Y642" dT="2022-01-27T20:22:28.79" personId="{0A831BE0-8E9C-476D-A0E3-509D1336B973}" id="{462B75D9-143A-4F06-8B24-0BA269108C60}">
    <text>Updated per Guidehouse review.</text>
  </threadedComment>
  <threadedComment ref="Z642" dT="2022-01-27T20:22:28.79" personId="{0A831BE0-8E9C-476D-A0E3-509D1336B973}" id="{80FF6120-DBCC-4E40-82A8-4D10EE41E6D8}">
    <text>Updated per Guidehouse review.</text>
  </threadedComment>
  <threadedComment ref="AA642" dT="2022-01-27T20:22:28.79" personId="{0A831BE0-8E9C-476D-A0E3-509D1336B973}" id="{F4990CC1-71AB-4A55-8006-7F1AE65AB97F}">
    <text>Updated per Guidehouse review.</text>
  </threadedComment>
  <threadedComment ref="X643" dT="2022-01-27T20:22:28.79" personId="{0A831BE0-8E9C-476D-A0E3-509D1336B973}" id="{DC969B9E-A402-40E3-AA26-C8E479D1F7B7}">
    <text>Updated per Guidehouse review.</text>
  </threadedComment>
  <threadedComment ref="Y643" dT="2022-01-27T20:22:28.79" personId="{0A831BE0-8E9C-476D-A0E3-509D1336B973}" id="{E4355A4E-E61F-45CD-ACE8-4FF6FD314F2F}">
    <text>Updated per Guidehouse review.</text>
  </threadedComment>
  <threadedComment ref="Z643" dT="2022-01-27T20:22:28.79" personId="{0A831BE0-8E9C-476D-A0E3-509D1336B973}" id="{86BA0F17-EA69-498E-A337-8B48B0FD9CDC}">
    <text>Updated per Guidehouse review.</text>
  </threadedComment>
  <threadedComment ref="AA643" dT="2022-01-27T20:22:28.79" personId="{0A831BE0-8E9C-476D-A0E3-509D1336B973}" id="{70B3D3BF-B745-46A4-88A1-F096CAED13C9}">
    <text>Updated per Guidehouse review.</text>
  </threadedComment>
  <threadedComment ref="X644" dT="2022-01-27T20:22:28.79" personId="{0A831BE0-8E9C-476D-A0E3-509D1336B973}" id="{7859F736-DC7A-4C20-BD77-A60AEB563AE4}">
    <text>Updated per Guidehouse review.</text>
  </threadedComment>
  <threadedComment ref="Y644" dT="2022-01-27T20:22:28.79" personId="{0A831BE0-8E9C-476D-A0E3-509D1336B973}" id="{9B1C393E-C5F0-419B-83A8-3BBDAAA42336}">
    <text>Updated per Guidehouse review.</text>
  </threadedComment>
  <threadedComment ref="Z644" dT="2022-01-27T20:22:28.79" personId="{0A831BE0-8E9C-476D-A0E3-509D1336B973}" id="{A54C320C-0E80-428C-AC69-AC3EA81F8469}">
    <text>Updated per Guidehouse review.</text>
  </threadedComment>
  <threadedComment ref="AA644" dT="2022-01-27T20:22:28.79" personId="{0A831BE0-8E9C-476D-A0E3-509D1336B973}" id="{1B692CFB-6F3E-460B-AC09-19957307AEE8}">
    <text>Updated per Guidehouse review.</text>
  </threadedComment>
  <threadedComment ref="X645" dT="2022-01-27T20:22:28.79" personId="{0A831BE0-8E9C-476D-A0E3-509D1336B973}" id="{04AD80CE-A641-427B-9ECE-1DAD5D304659}">
    <text>Updated per Guidehouse review.</text>
  </threadedComment>
  <threadedComment ref="Y645" dT="2022-01-27T20:22:28.79" personId="{0A831BE0-8E9C-476D-A0E3-509D1336B973}" id="{972E23C3-9046-4E3F-BCE1-0F27E4D7215B}">
    <text>Updated per Guidehouse review.</text>
  </threadedComment>
  <threadedComment ref="Z645" dT="2022-01-27T20:22:28.79" personId="{0A831BE0-8E9C-476D-A0E3-509D1336B973}" id="{CCC91BEC-AF4D-40F9-B4E8-C4E0F4D4E56D}">
    <text>Updated per Guidehouse review.</text>
  </threadedComment>
  <threadedComment ref="AA645" dT="2022-01-27T20:22:28.79" personId="{0A831BE0-8E9C-476D-A0E3-509D1336B973}" id="{1E854BDC-DEEB-4673-AA66-6A78BAE5380A}">
    <text>Updated per Guidehouse review.</text>
  </threadedComment>
  <threadedComment ref="X646" dT="2022-01-27T20:22:28.79" personId="{0A831BE0-8E9C-476D-A0E3-509D1336B973}" id="{42E16F34-BAB1-48CD-A9EC-365E20FE0BBA}">
    <text>Updated per Guidehouse review.</text>
  </threadedComment>
  <threadedComment ref="Y646" dT="2022-01-27T20:22:28.79" personId="{0A831BE0-8E9C-476D-A0E3-509D1336B973}" id="{195BA58E-00CA-44D6-8726-E547CD33FE0E}">
    <text>Updated per Guidehouse review.</text>
  </threadedComment>
  <threadedComment ref="Z646" dT="2022-01-27T20:22:28.79" personId="{0A831BE0-8E9C-476D-A0E3-509D1336B973}" id="{4A5B9602-CE83-4972-BF58-D4183AE4CBC9}">
    <text>Updated per Guidehouse review.</text>
  </threadedComment>
  <threadedComment ref="AA646" dT="2022-01-27T20:22:28.79" personId="{0A831BE0-8E9C-476D-A0E3-509D1336B973}" id="{20D1D592-015E-4271-9718-302C2B2C1FE4}">
    <text>Updated per Guidehouse review.</text>
  </threadedComment>
  <threadedComment ref="X647" dT="2022-01-27T20:22:28.79" personId="{0A831BE0-8E9C-476D-A0E3-509D1336B973}" id="{DB435D9B-4A58-479E-9C05-B0DCC4E1FF02}">
    <text>Updated per Guidehouse review.</text>
  </threadedComment>
  <threadedComment ref="Y647" dT="2022-01-27T20:22:28.79" personId="{0A831BE0-8E9C-476D-A0E3-509D1336B973}" id="{57C484FD-91DB-4E9C-B7E7-27748AC41ACB}">
    <text>Updated per Guidehouse review.</text>
  </threadedComment>
  <threadedComment ref="Z647" dT="2022-01-27T20:22:28.79" personId="{0A831BE0-8E9C-476D-A0E3-509D1336B973}" id="{C9756564-3F0C-400D-A5E4-EAB2655107FB}">
    <text>Updated per Guidehouse review.</text>
  </threadedComment>
  <threadedComment ref="AA647" dT="2022-01-27T20:22:28.79" personId="{0A831BE0-8E9C-476D-A0E3-509D1336B973}" id="{6CDC08A8-9302-4267-A6F4-14D9D6AEDE56}">
    <text>Updated per Guidehouse review.</text>
  </threadedComment>
  <threadedComment ref="X648" dT="2022-01-27T20:22:28.79" personId="{0A831BE0-8E9C-476D-A0E3-509D1336B973}" id="{234BDAC0-BB76-4A05-99BD-E1EC3AF324F4}">
    <text>Updated per Guidehouse review.</text>
  </threadedComment>
  <threadedComment ref="Y648" dT="2022-01-27T20:22:28.79" personId="{0A831BE0-8E9C-476D-A0E3-509D1336B973}" id="{18BAD878-F7D4-4085-B20E-CF905208EE9C}">
    <text>Updated per Guidehouse review.</text>
  </threadedComment>
  <threadedComment ref="Z648" dT="2022-01-27T20:22:28.79" personId="{0A831BE0-8E9C-476D-A0E3-509D1336B973}" id="{572FE990-F62A-4E9F-B027-0919B32A2455}">
    <text>Updated per Guidehouse review.</text>
  </threadedComment>
  <threadedComment ref="AA648" dT="2022-01-27T20:22:28.79" personId="{0A831BE0-8E9C-476D-A0E3-509D1336B973}" id="{D6281047-E01B-4947-8C58-D6236DDA3971}">
    <text>Updated per Guidehouse review.</text>
  </threadedComment>
  <threadedComment ref="X649" dT="2022-01-27T20:22:28.79" personId="{0A831BE0-8E9C-476D-A0E3-509D1336B973}" id="{5054F597-24AA-4D60-854D-41964791FFD8}">
    <text>Updated per Guidehouse review.</text>
  </threadedComment>
  <threadedComment ref="Y649" dT="2022-01-27T20:22:28.79" personId="{0A831BE0-8E9C-476D-A0E3-509D1336B973}" id="{F9F900EC-CE8F-48D3-AD85-A3504F7AC8E6}">
    <text>Updated per Guidehouse review.</text>
  </threadedComment>
  <threadedComment ref="Z649" dT="2022-01-27T20:22:28.79" personId="{0A831BE0-8E9C-476D-A0E3-509D1336B973}" id="{01D33B19-DFE0-41F7-B580-19B703950B03}">
    <text>Updated per Guidehouse review.</text>
  </threadedComment>
  <threadedComment ref="AA649" dT="2022-01-27T20:22:28.79" personId="{0A831BE0-8E9C-476D-A0E3-509D1336B973}" id="{6757884D-A6F5-4EB7-859D-7D71188C9339}">
    <text>Updated per Guidehouse review.</text>
  </threadedComment>
  <threadedComment ref="X650" dT="2022-01-27T20:22:28.79" personId="{0A831BE0-8E9C-476D-A0E3-509D1336B973}" id="{0F12A704-82CB-48BC-9484-55916E610406}">
    <text>Updated per Guidehouse review.</text>
  </threadedComment>
  <threadedComment ref="Y650" dT="2022-01-27T20:22:28.79" personId="{0A831BE0-8E9C-476D-A0E3-509D1336B973}" id="{DBD4FCBB-914C-4BD8-B89A-CDA10FC6F31A}">
    <text>Updated per Guidehouse review.</text>
  </threadedComment>
  <threadedComment ref="Z650" dT="2022-01-27T20:22:28.79" personId="{0A831BE0-8E9C-476D-A0E3-509D1336B973}" id="{31F430D9-94C5-444B-9EC5-D45B0FFBCC48}">
    <text>Updated per Guidehouse review.</text>
  </threadedComment>
  <threadedComment ref="AA650" dT="2022-01-27T20:22:28.79" personId="{0A831BE0-8E9C-476D-A0E3-509D1336B973}" id="{3FCC8465-91C7-4AFD-A361-84E60E3A316B}">
    <text>Updated per Guidehouse review.</text>
  </threadedComment>
  <threadedComment ref="X651" dT="2022-01-27T20:22:28.79" personId="{0A831BE0-8E9C-476D-A0E3-509D1336B973}" id="{5D994BD8-B3AC-469D-AC15-7BFDB25E94B0}">
    <text>Updated per Guidehouse review.</text>
  </threadedComment>
  <threadedComment ref="Y651" dT="2022-01-27T20:22:28.79" personId="{0A831BE0-8E9C-476D-A0E3-509D1336B973}" id="{4B0F2F06-1BE4-4BA4-ABFF-16A240E28627}">
    <text>Updated per Guidehouse review.</text>
  </threadedComment>
  <threadedComment ref="Z651" dT="2022-01-27T20:22:28.79" personId="{0A831BE0-8E9C-476D-A0E3-509D1336B973}" id="{17F427D3-451B-4987-9873-7787D755D4D8}">
    <text>Updated per Guidehouse review.</text>
  </threadedComment>
  <threadedComment ref="AA651" dT="2022-01-27T20:22:28.79" personId="{0A831BE0-8E9C-476D-A0E3-509D1336B973}" id="{848FAB2F-F941-4169-838D-E658B323CCDA}">
    <text>Updated per Guidehouse review.</text>
  </threadedComment>
  <threadedComment ref="X652" dT="2022-01-27T20:22:28.79" personId="{0A831BE0-8E9C-476D-A0E3-509D1336B973}" id="{531A2C22-BD10-4000-93F9-568300D0237B}">
    <text>Updated per Guidehouse review.</text>
  </threadedComment>
  <threadedComment ref="Y652" dT="2022-01-27T20:22:28.79" personId="{0A831BE0-8E9C-476D-A0E3-509D1336B973}" id="{192D133D-BCE1-4CE5-8234-A0E0417207D1}">
    <text>Updated per Guidehouse review.</text>
  </threadedComment>
  <threadedComment ref="Z652" dT="2022-01-27T20:22:28.79" personId="{0A831BE0-8E9C-476D-A0E3-509D1336B973}" id="{60105FAE-0F5C-408B-91FD-A620A4027741}">
    <text>Updated per Guidehouse review.</text>
  </threadedComment>
  <threadedComment ref="AA652" dT="2022-01-27T20:22:28.79" personId="{0A831BE0-8E9C-476D-A0E3-509D1336B973}" id="{BE099397-96D7-42CB-8270-DB7418EBBBEB}">
    <text>Updated per Guidehouse review.</text>
  </threadedComment>
  <threadedComment ref="X653" dT="2022-01-27T20:22:28.79" personId="{0A831BE0-8E9C-476D-A0E3-509D1336B973}" id="{43B4EF1D-CFA1-4587-AC4D-D0A3DDFF23E7}">
    <text>Updated per Guidehouse review.</text>
  </threadedComment>
  <threadedComment ref="Y653" dT="2022-01-27T20:22:28.79" personId="{0A831BE0-8E9C-476D-A0E3-509D1336B973}" id="{765EDFAC-40BA-4051-9B1A-E3B7FC61EBE0}">
    <text>Updated per Guidehouse review.</text>
  </threadedComment>
  <threadedComment ref="Z653" dT="2022-01-27T20:22:28.79" personId="{0A831BE0-8E9C-476D-A0E3-509D1336B973}" id="{0236357C-575D-4746-A49E-003D273DEAD1}">
    <text>Updated per Guidehouse review.</text>
  </threadedComment>
  <threadedComment ref="AA653" dT="2022-01-27T20:22:28.79" personId="{0A831BE0-8E9C-476D-A0E3-509D1336B973}" id="{545A99B7-A585-4722-9F4C-0C46862A69FB}">
    <text>Updated per Guidehouse review.</text>
  </threadedComment>
  <threadedComment ref="X654" dT="2022-01-27T20:22:28.79" personId="{0A831BE0-8E9C-476D-A0E3-509D1336B973}" id="{66643C01-BD18-4516-AF1B-DA60EAE33125}">
    <text>Updated per Guidehouse review.</text>
  </threadedComment>
  <threadedComment ref="Y654" dT="2022-01-27T20:22:28.79" personId="{0A831BE0-8E9C-476D-A0E3-509D1336B973}" id="{E1569F55-A1EB-46AD-BDC4-8F3B15CD0867}">
    <text>Updated per Guidehouse review.</text>
  </threadedComment>
  <threadedComment ref="Z654" dT="2022-01-27T20:22:28.79" personId="{0A831BE0-8E9C-476D-A0E3-509D1336B973}" id="{7D22D5CD-0761-407D-BC02-1926D0DD9558}">
    <text>Updated per Guidehouse review.</text>
  </threadedComment>
  <threadedComment ref="AA654" dT="2022-01-27T20:22:28.79" personId="{0A831BE0-8E9C-476D-A0E3-509D1336B973}" id="{30B0D966-62B4-4AE5-B74B-ED83DBC4BEC8}">
    <text>Updated per Guidehouse review.</text>
  </threadedComment>
  <threadedComment ref="X655" dT="2022-01-27T20:22:28.79" personId="{0A831BE0-8E9C-476D-A0E3-509D1336B973}" id="{0733E592-8B18-4824-BDDB-172607F9E673}">
    <text>Updated per Guidehouse review.</text>
  </threadedComment>
  <threadedComment ref="Y655" dT="2022-01-27T20:22:28.79" personId="{0A831BE0-8E9C-476D-A0E3-509D1336B973}" id="{E784430A-E733-47B6-AB55-0C72073165D0}">
    <text>Updated per Guidehouse review.</text>
  </threadedComment>
  <threadedComment ref="Z655" dT="2022-01-27T20:22:28.79" personId="{0A831BE0-8E9C-476D-A0E3-509D1336B973}" id="{9652036E-1282-4FD6-9B5A-03802254CC5D}">
    <text>Updated per Guidehouse review.</text>
  </threadedComment>
  <threadedComment ref="AA655" dT="2022-01-27T20:22:28.79" personId="{0A831BE0-8E9C-476D-A0E3-509D1336B973}" id="{1DD7F6B7-82AC-4EB6-A7D4-05DBBA93A8E7}">
    <text>Updated per Guidehouse review.</text>
  </threadedComment>
  <threadedComment ref="X656" dT="2022-01-27T20:22:28.79" personId="{0A831BE0-8E9C-476D-A0E3-509D1336B973}" id="{99348C0F-0810-4DAF-9D4E-A34613F00CC6}">
    <text>Updated per Guidehouse review.</text>
  </threadedComment>
  <threadedComment ref="Y656" dT="2022-01-27T20:22:28.79" personId="{0A831BE0-8E9C-476D-A0E3-509D1336B973}" id="{39085E5C-58DE-45CF-8184-0A357E240822}">
    <text>Updated per Guidehouse review.</text>
  </threadedComment>
  <threadedComment ref="Z656" dT="2022-01-27T20:22:28.79" personId="{0A831BE0-8E9C-476D-A0E3-509D1336B973}" id="{F783C2DF-06C2-47E3-B667-29A7257F13F7}">
    <text>Updated per Guidehouse review.</text>
  </threadedComment>
  <threadedComment ref="AA656" dT="2022-01-27T20:22:28.79" personId="{0A831BE0-8E9C-476D-A0E3-509D1336B973}" id="{6FE1FBD6-DE31-4282-8258-AB398B448849}">
    <text>Updated per Guidehouse review.</text>
  </threadedComment>
  <threadedComment ref="X657" dT="2022-01-27T20:22:28.79" personId="{0A831BE0-8E9C-476D-A0E3-509D1336B973}" id="{688ABAF3-CFAE-4541-8B23-B7129A3B012D}">
    <text>Updated per Guidehouse review.</text>
  </threadedComment>
  <threadedComment ref="Y657" dT="2022-01-27T20:22:28.79" personId="{0A831BE0-8E9C-476D-A0E3-509D1336B973}" id="{55EC1C5C-1BA6-451C-BCCB-9F991503DF75}">
    <text>Updated per Guidehouse review.</text>
  </threadedComment>
  <threadedComment ref="Z657" dT="2022-01-27T20:22:28.79" personId="{0A831BE0-8E9C-476D-A0E3-509D1336B973}" id="{D3EE8E94-774D-49E5-B94C-4240B0C59382}">
    <text>Updated per Guidehouse review.</text>
  </threadedComment>
  <threadedComment ref="AA657" dT="2022-01-27T20:22:28.79" personId="{0A831BE0-8E9C-476D-A0E3-509D1336B973}" id="{F069FA96-72B5-409E-9345-5A64896BD643}">
    <text>Updated per Guidehouse review.</text>
  </threadedComment>
  <threadedComment ref="X658" dT="2022-01-27T20:22:28.79" personId="{0A831BE0-8E9C-476D-A0E3-509D1336B973}" id="{BC24E951-B29C-48B3-8EF9-F17D02B8CE86}">
    <text>Updated per Guidehouse review.</text>
  </threadedComment>
  <threadedComment ref="Y658" dT="2022-01-27T20:22:28.79" personId="{0A831BE0-8E9C-476D-A0E3-509D1336B973}" id="{670E0FED-B918-4F5A-8563-35B0A7C2CAA4}">
    <text>Updated per Guidehouse review.</text>
  </threadedComment>
  <threadedComment ref="Z658" dT="2022-01-27T20:22:28.79" personId="{0A831BE0-8E9C-476D-A0E3-509D1336B973}" id="{46FDA9F2-8B79-4277-B432-CAEF47583C32}">
    <text>Updated per Guidehouse review.</text>
  </threadedComment>
  <threadedComment ref="AA658" dT="2022-01-27T20:22:28.79" personId="{0A831BE0-8E9C-476D-A0E3-509D1336B973}" id="{3BAD8DA5-5143-44EE-A319-69FC41153898}">
    <text>Updated per Guidehouse review.</text>
  </threadedComment>
  <threadedComment ref="X659" dT="2022-01-27T20:22:28.79" personId="{0A831BE0-8E9C-476D-A0E3-509D1336B973}" id="{3872EC6D-915C-42EB-9DF9-1B4BAF43AC1B}">
    <text>Updated per Guidehouse review.</text>
  </threadedComment>
  <threadedComment ref="Y659" dT="2022-01-27T20:22:28.79" personId="{0A831BE0-8E9C-476D-A0E3-509D1336B973}" id="{D781ADE1-C580-46A5-911D-F4C34658844D}">
    <text>Updated per Guidehouse review.</text>
  </threadedComment>
  <threadedComment ref="Z659" dT="2022-01-27T20:22:28.79" personId="{0A831BE0-8E9C-476D-A0E3-509D1336B973}" id="{0A4E477F-AB74-43D6-BF24-F1A5261272DD}">
    <text>Updated per Guidehouse review.</text>
  </threadedComment>
  <threadedComment ref="AA659" dT="2022-01-27T20:22:28.79" personId="{0A831BE0-8E9C-476D-A0E3-509D1336B973}" id="{A23958A3-97CD-47E3-84A8-5C0E031971DD}">
    <text>Updated per Guidehouse review.</text>
  </threadedComment>
  <threadedComment ref="X660" dT="2022-01-27T20:22:28.79" personId="{0A831BE0-8E9C-476D-A0E3-509D1336B973}" id="{7FF592A6-1401-4183-A9A8-D0102A0D6F13}">
    <text>Updated per Guidehouse review.</text>
  </threadedComment>
  <threadedComment ref="Y660" dT="2022-01-27T20:22:28.79" personId="{0A831BE0-8E9C-476D-A0E3-509D1336B973}" id="{39E45C88-CBFE-45C2-B420-EF38FFCBB8F5}">
    <text>Updated per Guidehouse review.</text>
  </threadedComment>
  <threadedComment ref="Z660" dT="2022-01-27T20:22:28.79" personId="{0A831BE0-8E9C-476D-A0E3-509D1336B973}" id="{F19261FA-716C-4B2A-8C63-455BFFDF3AF8}">
    <text>Updated per Guidehouse review.</text>
  </threadedComment>
  <threadedComment ref="AA660" dT="2022-01-27T20:22:28.79" personId="{0A831BE0-8E9C-476D-A0E3-509D1336B973}" id="{78F18D8D-F7F6-4879-AB1D-013981F4801A}">
    <text>Updated per Guidehouse review.</text>
  </threadedComment>
  <threadedComment ref="X661" dT="2022-01-27T20:22:28.79" personId="{0A831BE0-8E9C-476D-A0E3-509D1336B973}" id="{EB13EF7C-E46A-40A5-89C1-ADB3CC513D80}">
    <text>Updated per Guidehouse review.</text>
  </threadedComment>
  <threadedComment ref="Y661" dT="2022-01-27T20:22:28.79" personId="{0A831BE0-8E9C-476D-A0E3-509D1336B973}" id="{DBD87E5C-8A4B-44DB-89CF-82FFE3CC9CA9}">
    <text>Updated per Guidehouse review.</text>
  </threadedComment>
  <threadedComment ref="Z661" dT="2022-01-27T20:22:28.79" personId="{0A831BE0-8E9C-476D-A0E3-509D1336B973}" id="{721DAE0E-8E49-4CA9-A542-6BCC1F4347CD}">
    <text>Updated per Guidehouse review.</text>
  </threadedComment>
  <threadedComment ref="AA661" dT="2022-01-27T20:22:28.79" personId="{0A831BE0-8E9C-476D-A0E3-509D1336B973}" id="{EDE68DE4-5746-4B1B-8C7C-610DA39084E2}">
    <text>Updated per Guidehouse review.</text>
  </threadedComment>
  <threadedComment ref="X662" dT="2022-01-27T20:22:28.79" personId="{0A831BE0-8E9C-476D-A0E3-509D1336B973}" id="{186911B5-8EA5-4DD3-8CFD-C0C3116E32BB}">
    <text>Updated per Guidehouse review.</text>
  </threadedComment>
  <threadedComment ref="Y662" dT="2022-01-27T20:22:28.79" personId="{0A831BE0-8E9C-476D-A0E3-509D1336B973}" id="{1DD245C2-2BF2-4171-9D41-091A9EE6C41E}">
    <text>Updated per Guidehouse review.</text>
  </threadedComment>
  <threadedComment ref="Z662" dT="2022-01-27T20:22:28.79" personId="{0A831BE0-8E9C-476D-A0E3-509D1336B973}" id="{956E1455-EDDF-4A62-B0FD-BE08A91B4B22}">
    <text>Updated per Guidehouse review.</text>
  </threadedComment>
  <threadedComment ref="AA662" dT="2022-01-27T20:22:28.79" personId="{0A831BE0-8E9C-476D-A0E3-509D1336B973}" id="{F26E38D3-A8D1-4E46-98D1-3023CD95042A}">
    <text>Updated per Guidehouse review.</text>
  </threadedComment>
  <threadedComment ref="X663" dT="2022-01-27T20:22:28.79" personId="{0A831BE0-8E9C-476D-A0E3-509D1336B973}" id="{6624DFF3-05EE-47F0-A1C7-030CC809FEA3}">
    <text>Updated per Guidehouse review.</text>
  </threadedComment>
  <threadedComment ref="Y663" dT="2022-01-27T20:22:28.79" personId="{0A831BE0-8E9C-476D-A0E3-509D1336B973}" id="{957CAFFD-F9E4-43EA-ABEA-CC002C104140}">
    <text>Updated per Guidehouse review.</text>
  </threadedComment>
  <threadedComment ref="Z663" dT="2022-01-27T20:22:28.79" personId="{0A831BE0-8E9C-476D-A0E3-509D1336B973}" id="{6115544F-B092-46AB-AA9A-0F486186C4EF}">
    <text>Updated per Guidehouse review.</text>
  </threadedComment>
  <threadedComment ref="AA663" dT="2022-01-27T20:22:28.79" personId="{0A831BE0-8E9C-476D-A0E3-509D1336B973}" id="{492D54DD-435D-41DA-8CEF-52B4A110908F}">
    <text>Updated per Guidehouse review.</text>
  </threadedComment>
  <threadedComment ref="X664" dT="2022-01-27T20:22:28.79" personId="{0A831BE0-8E9C-476D-A0E3-509D1336B973}" id="{1B606E47-EADF-4960-940D-71A1CF60153F}">
    <text>Updated per Guidehouse review.</text>
  </threadedComment>
  <threadedComment ref="Y664" dT="2022-01-27T20:22:28.79" personId="{0A831BE0-8E9C-476D-A0E3-509D1336B973}" id="{1E6C5637-F230-4EB2-9A7B-8648AFB430C2}">
    <text>Updated per Guidehouse review.</text>
  </threadedComment>
  <threadedComment ref="Z664" dT="2022-01-27T20:22:28.79" personId="{0A831BE0-8E9C-476D-A0E3-509D1336B973}" id="{02E33DA6-A339-4ABA-9C47-2EFE8E43A688}">
    <text>Updated per Guidehouse review.</text>
  </threadedComment>
  <threadedComment ref="AA664" dT="2022-01-27T20:22:28.79" personId="{0A831BE0-8E9C-476D-A0E3-509D1336B973}" id="{1731DAEB-C301-4C11-BA63-B52A86C09F0B}">
    <text>Updated per Guidehouse review.</text>
  </threadedComment>
  <threadedComment ref="X665" dT="2022-01-27T20:22:28.79" personId="{0A831BE0-8E9C-476D-A0E3-509D1336B973}" id="{BADD7D39-DCE4-4278-83F4-052E05CC15C0}">
    <text>Updated per Guidehouse review.</text>
  </threadedComment>
  <threadedComment ref="Y665" dT="2022-01-27T20:22:28.79" personId="{0A831BE0-8E9C-476D-A0E3-509D1336B973}" id="{C81C03DE-8AA7-4459-AD50-4BA71F86E83C}">
    <text>Updated per Guidehouse review.</text>
  </threadedComment>
  <threadedComment ref="Z665" dT="2022-01-27T20:22:28.79" personId="{0A831BE0-8E9C-476D-A0E3-509D1336B973}" id="{BB49972F-A959-469C-AFB4-F09597F9CC0F}">
    <text>Updated per Guidehouse review.</text>
  </threadedComment>
  <threadedComment ref="AA665" dT="2022-01-27T20:22:28.79" personId="{0A831BE0-8E9C-476D-A0E3-509D1336B973}" id="{8EEFD20C-A71D-4396-AFAA-D0615B7C4B21}">
    <text>Updated per Guidehouse review.</text>
  </threadedComment>
  <threadedComment ref="X666" dT="2022-01-27T20:22:28.79" personId="{0A831BE0-8E9C-476D-A0E3-509D1336B973}" id="{3C13E5B8-D38B-4D5E-8BDD-64A00FF1EB98}">
    <text>Updated per Guidehouse review.</text>
  </threadedComment>
  <threadedComment ref="Y666" dT="2022-01-27T20:22:28.79" personId="{0A831BE0-8E9C-476D-A0E3-509D1336B973}" id="{3A166D97-1C5F-4C13-9386-F89DC452CD7D}">
    <text>Updated per Guidehouse review.</text>
  </threadedComment>
  <threadedComment ref="Z666" dT="2022-01-27T20:22:28.79" personId="{0A831BE0-8E9C-476D-A0E3-509D1336B973}" id="{B160476E-5718-482B-8142-25CC9A6DCCE8}">
    <text>Updated per Guidehouse review.</text>
  </threadedComment>
  <threadedComment ref="AA666" dT="2022-01-27T20:22:28.79" personId="{0A831BE0-8E9C-476D-A0E3-509D1336B973}" id="{5E121D27-A3F0-466D-906A-A1396F8D4E62}">
    <text>Updated per Guidehouse review.</text>
  </threadedComment>
  <threadedComment ref="X667" dT="2022-01-27T20:22:28.79" personId="{0A831BE0-8E9C-476D-A0E3-509D1336B973}" id="{8ACBEBD1-9EF1-44C0-8F71-339C2BE91CDA}">
    <text>Updated per Guidehouse review.</text>
  </threadedComment>
  <threadedComment ref="Y667" dT="2022-01-27T20:22:28.79" personId="{0A831BE0-8E9C-476D-A0E3-509D1336B973}" id="{B1CF621F-F86A-47F3-8307-A92831169AE6}">
    <text>Updated per Guidehouse review.</text>
  </threadedComment>
  <threadedComment ref="Z667" dT="2022-01-27T20:22:28.79" personId="{0A831BE0-8E9C-476D-A0E3-509D1336B973}" id="{8795B41B-D0A9-4420-813B-7561C385BDF8}">
    <text>Updated per Guidehouse review.</text>
  </threadedComment>
  <threadedComment ref="AA667" dT="2022-01-27T20:22:28.79" personId="{0A831BE0-8E9C-476D-A0E3-509D1336B973}" id="{F23E4000-8F61-4BA3-BC89-69C4E5177585}">
    <text>Updated per Guidehouse review.</text>
  </threadedComment>
  <threadedComment ref="X668" dT="2022-01-27T20:22:28.79" personId="{0A831BE0-8E9C-476D-A0E3-509D1336B973}" id="{D2F65C98-8013-4C81-A4EE-E17BB337A03A}">
    <text>Updated per Guidehouse review.</text>
  </threadedComment>
  <threadedComment ref="Y668" dT="2022-01-27T20:22:28.79" personId="{0A831BE0-8E9C-476D-A0E3-509D1336B973}" id="{198351DA-6EF5-439A-B227-8337499F9F6A}">
    <text>Updated per Guidehouse review.</text>
  </threadedComment>
  <threadedComment ref="Z668" dT="2022-01-27T20:22:28.79" personId="{0A831BE0-8E9C-476D-A0E3-509D1336B973}" id="{0CA971E4-EA33-46A4-A11D-D202A88D8469}">
    <text>Updated per Guidehouse review.</text>
  </threadedComment>
  <threadedComment ref="AA668" dT="2022-01-27T20:22:28.79" personId="{0A831BE0-8E9C-476D-A0E3-509D1336B973}" id="{087E0A6E-530F-4CA2-A078-3D54726A60CC}">
    <text>Updated per Guidehouse review.</text>
  </threadedComment>
  <threadedComment ref="X669" dT="2022-01-27T20:22:28.79" personId="{0A831BE0-8E9C-476D-A0E3-509D1336B973}" id="{4B3BCA89-5AA4-4370-8D8B-2530B061C9D0}">
    <text>Updated per Guidehouse review.</text>
  </threadedComment>
  <threadedComment ref="Y669" dT="2022-01-27T20:22:28.79" personId="{0A831BE0-8E9C-476D-A0E3-509D1336B973}" id="{5BB40024-64D6-47C3-B0AF-1CD02415E1E6}">
    <text>Updated per Guidehouse review.</text>
  </threadedComment>
  <threadedComment ref="Z669" dT="2022-01-27T20:22:28.79" personId="{0A831BE0-8E9C-476D-A0E3-509D1336B973}" id="{54B3056C-7253-4665-BF5E-F960D6C19258}">
    <text>Updated per Guidehouse review.</text>
  </threadedComment>
  <threadedComment ref="AA669" dT="2022-01-27T20:22:28.79" personId="{0A831BE0-8E9C-476D-A0E3-509D1336B973}" id="{68B312C8-0F4C-467B-8A13-564009E0C3F9}">
    <text>Updated per Guidehouse review.</text>
  </threadedComment>
  <threadedComment ref="X670" dT="2022-01-27T20:22:28.79" personId="{0A831BE0-8E9C-476D-A0E3-509D1336B973}" id="{35E8FC6A-3495-40D6-9F76-929D66B6BD0C}">
    <text>Updated per Guidehouse review.</text>
  </threadedComment>
  <threadedComment ref="Y670" dT="2022-01-27T20:22:28.79" personId="{0A831BE0-8E9C-476D-A0E3-509D1336B973}" id="{0725C189-C781-464E-8524-E13468877A25}">
    <text>Updated per Guidehouse review.</text>
  </threadedComment>
  <threadedComment ref="Z670" dT="2022-01-27T20:22:28.79" personId="{0A831BE0-8E9C-476D-A0E3-509D1336B973}" id="{EAF9ECC3-B0AA-4CCE-95DE-37475E5B8410}">
    <text>Updated per Guidehouse review.</text>
  </threadedComment>
  <threadedComment ref="AA670" dT="2022-01-27T20:22:28.79" personId="{0A831BE0-8E9C-476D-A0E3-509D1336B973}" id="{69ECCEFC-DDC9-49AB-ACE7-8B8F14397748}">
    <text>Updated per Guidehouse review.</text>
  </threadedComment>
  <threadedComment ref="X671" dT="2022-01-27T20:22:28.79" personId="{0A831BE0-8E9C-476D-A0E3-509D1336B973}" id="{F22CAB70-0DA2-4D66-B9AB-3DCE96064610}">
    <text>Updated per Guidehouse review.</text>
  </threadedComment>
  <threadedComment ref="Y671" dT="2022-01-27T20:22:28.79" personId="{0A831BE0-8E9C-476D-A0E3-509D1336B973}" id="{3CA3D6CF-A9F7-40DE-8349-489E66042C77}">
    <text>Updated per Guidehouse review.</text>
  </threadedComment>
  <threadedComment ref="Z671" dT="2022-01-27T20:22:28.79" personId="{0A831BE0-8E9C-476D-A0E3-509D1336B973}" id="{BF5747AC-0BF8-46E5-AC3A-1E87570D2F8E}">
    <text>Updated per Guidehouse review.</text>
  </threadedComment>
  <threadedComment ref="AA671" dT="2022-01-27T20:22:28.79" personId="{0A831BE0-8E9C-476D-A0E3-509D1336B973}" id="{0636E246-E466-4FEE-8D19-FC89D0A6B2C6}">
    <text>Updated per Guidehouse review.</text>
  </threadedComment>
  <threadedComment ref="X672" dT="2022-01-27T20:22:28.79" personId="{0A831BE0-8E9C-476D-A0E3-509D1336B973}" id="{EF395C7E-FCDD-4DA8-A862-B85C35530F6F}">
    <text>Updated per Guidehouse review.</text>
  </threadedComment>
  <threadedComment ref="Y672" dT="2022-01-27T20:22:28.79" personId="{0A831BE0-8E9C-476D-A0E3-509D1336B973}" id="{5F8B93B7-7259-41A9-B0A8-A5765CD5C335}">
    <text>Updated per Guidehouse review.</text>
  </threadedComment>
  <threadedComment ref="Z672" dT="2022-01-27T20:22:28.79" personId="{0A831BE0-8E9C-476D-A0E3-509D1336B973}" id="{C5F3EF38-B2F4-4C89-9453-93A477185332}">
    <text>Updated per Guidehouse review.</text>
  </threadedComment>
  <threadedComment ref="AA672" dT="2022-01-27T20:22:28.79" personId="{0A831BE0-8E9C-476D-A0E3-509D1336B973}" id="{3CC53DE6-D50B-49D7-9187-B17975424921}">
    <text>Updated per Guidehouse review.</text>
  </threadedComment>
  <threadedComment ref="X673" dT="2022-01-27T20:22:28.79" personId="{0A831BE0-8E9C-476D-A0E3-509D1336B973}" id="{8FA6CEBD-1CD1-4BF8-B5AE-95DBBBF60C9C}">
    <text>Updated per Guidehouse review.</text>
  </threadedComment>
  <threadedComment ref="Y673" dT="2022-01-27T20:22:28.79" personId="{0A831BE0-8E9C-476D-A0E3-509D1336B973}" id="{EFE98B0F-84FB-484D-B368-9A387CA0B9EA}">
    <text>Updated per Guidehouse review.</text>
  </threadedComment>
  <threadedComment ref="Z673" dT="2022-01-27T20:22:28.79" personId="{0A831BE0-8E9C-476D-A0E3-509D1336B973}" id="{35A8A6DC-0325-425D-A1A1-C714C9D4A0B6}">
    <text>Updated per Guidehouse review.</text>
  </threadedComment>
  <threadedComment ref="AA673" dT="2022-01-27T20:22:28.79" personId="{0A831BE0-8E9C-476D-A0E3-509D1336B973}" id="{DB794EED-B71A-45FC-A195-5F95AEE20859}">
    <text>Updated per Guidehouse review.</text>
  </threadedComment>
  <threadedComment ref="X674" dT="2022-01-27T20:22:28.79" personId="{0A831BE0-8E9C-476D-A0E3-509D1336B973}" id="{A0F51804-7E8A-412D-9F45-A81639BAF497}">
    <text>Updated per Guidehouse review.</text>
  </threadedComment>
  <threadedComment ref="Y674" dT="2022-01-27T20:22:28.79" personId="{0A831BE0-8E9C-476D-A0E3-509D1336B973}" id="{8B0457D7-4D59-4E6F-9585-342B199832AE}">
    <text>Updated per Guidehouse review.</text>
  </threadedComment>
  <threadedComment ref="Z674" dT="2022-01-27T20:22:28.79" personId="{0A831BE0-8E9C-476D-A0E3-509D1336B973}" id="{EE3F1767-84C7-44F0-90A3-71806C6979A0}">
    <text>Updated per Guidehouse review.</text>
  </threadedComment>
  <threadedComment ref="AA674" dT="2022-01-27T20:22:28.79" personId="{0A831BE0-8E9C-476D-A0E3-509D1336B973}" id="{DD2A85C8-2C70-45E4-A628-B52FA9AB662F}">
    <text>Updated per Guidehouse review.</text>
  </threadedComment>
  <threadedComment ref="X675" dT="2022-01-27T20:22:28.79" personId="{0A831BE0-8E9C-476D-A0E3-509D1336B973}" id="{A6E0305B-C056-4540-B3C2-7EB9DAA10504}">
    <text>Updated per Guidehouse review.</text>
  </threadedComment>
  <threadedComment ref="Y675" dT="2022-01-27T20:22:28.79" personId="{0A831BE0-8E9C-476D-A0E3-509D1336B973}" id="{2EF4C0D4-5055-487D-851F-F4DE19DF2A0E}">
    <text>Updated per Guidehouse review.</text>
  </threadedComment>
  <threadedComment ref="Z675" dT="2022-01-27T20:22:28.79" personId="{0A831BE0-8E9C-476D-A0E3-509D1336B973}" id="{257696E1-F96A-4C04-889F-AE81FD113B5E}">
    <text>Updated per Guidehouse review.</text>
  </threadedComment>
  <threadedComment ref="AA675" dT="2022-01-27T20:22:28.79" personId="{0A831BE0-8E9C-476D-A0E3-509D1336B973}" id="{00E313A7-9CF5-45E8-B65E-3DF394A43F05}">
    <text>Updated per Guidehouse review.</text>
  </threadedComment>
  <threadedComment ref="X676" dT="2022-01-27T20:22:28.79" personId="{0A831BE0-8E9C-476D-A0E3-509D1336B973}" id="{3154B9D3-FD85-4248-BE1D-AEDC61958834}">
    <text>Updated per Guidehouse review.</text>
  </threadedComment>
  <threadedComment ref="Y676" dT="2022-01-27T20:22:28.79" personId="{0A831BE0-8E9C-476D-A0E3-509D1336B973}" id="{F3C75496-9AD9-4471-BD58-65FB3ADC828D}">
    <text>Updated per Guidehouse review.</text>
  </threadedComment>
  <threadedComment ref="Z676" dT="2022-01-27T20:22:28.79" personId="{0A831BE0-8E9C-476D-A0E3-509D1336B973}" id="{B7F1DFBE-BDE5-4667-913A-237130B3DD77}">
    <text>Updated per Guidehouse review.</text>
  </threadedComment>
  <threadedComment ref="AA676" dT="2022-01-27T20:22:28.79" personId="{0A831BE0-8E9C-476D-A0E3-509D1336B973}" id="{55FC8843-1B87-4CA5-AD62-D83422D372B8}">
    <text>Updated per Guidehouse review.</text>
  </threadedComment>
  <threadedComment ref="X677" dT="2022-01-27T20:22:28.79" personId="{0A831BE0-8E9C-476D-A0E3-509D1336B973}" id="{21C9086E-463A-47DD-88A7-0524ACC4BBB1}">
    <text>Updated per Guidehouse review.</text>
  </threadedComment>
  <threadedComment ref="Y677" dT="2022-01-27T20:22:28.79" personId="{0A831BE0-8E9C-476D-A0E3-509D1336B973}" id="{DD43EDD1-35A2-4CF5-A917-9526C4A529C2}">
    <text>Updated per Guidehouse review.</text>
  </threadedComment>
  <threadedComment ref="Z677" dT="2022-01-27T20:22:28.79" personId="{0A831BE0-8E9C-476D-A0E3-509D1336B973}" id="{E8E87671-549F-448F-8875-5FEFB279ADCD}">
    <text>Updated per Guidehouse review.</text>
  </threadedComment>
  <threadedComment ref="AA677" dT="2022-01-27T20:22:28.79" personId="{0A831BE0-8E9C-476D-A0E3-509D1336B973}" id="{67FA0C21-4599-438B-B7BB-A31436A6117E}">
    <text>Updated per Guidehouse review.</text>
  </threadedComment>
  <threadedComment ref="X678" dT="2022-01-27T20:22:28.79" personId="{0A831BE0-8E9C-476D-A0E3-509D1336B973}" id="{91EFF804-B088-41E8-BBDD-8C5A3C367E36}">
    <text>Updated per Guidehouse review.</text>
  </threadedComment>
  <threadedComment ref="Y678" dT="2022-01-27T20:22:28.79" personId="{0A831BE0-8E9C-476D-A0E3-509D1336B973}" id="{E89D6489-F755-421B-9555-0F5F2D8CE1DC}">
    <text>Updated per Guidehouse review.</text>
  </threadedComment>
  <threadedComment ref="Z678" dT="2022-01-27T20:22:28.79" personId="{0A831BE0-8E9C-476D-A0E3-509D1336B973}" id="{FD57E019-A813-4378-9121-BFDA379FFAEA}">
    <text>Updated per Guidehouse review.</text>
  </threadedComment>
  <threadedComment ref="AA678" dT="2022-01-27T20:22:28.79" personId="{0A831BE0-8E9C-476D-A0E3-509D1336B973}" id="{0163179A-5D73-47C0-B481-5A9BC2CA5F99}">
    <text>Updated per Guidehouse review.</text>
  </threadedComment>
  <threadedComment ref="X679" dT="2022-01-27T20:22:28.79" personId="{0A831BE0-8E9C-476D-A0E3-509D1336B973}" id="{61DDB700-2789-4E59-9946-352D53353963}">
    <text>Updated per Guidehouse review.</text>
  </threadedComment>
  <threadedComment ref="Y679" dT="2022-01-27T20:22:28.79" personId="{0A831BE0-8E9C-476D-A0E3-509D1336B973}" id="{C1C2F2B9-8ABC-435A-952E-68D7040908DE}">
    <text>Updated per Guidehouse review.</text>
  </threadedComment>
  <threadedComment ref="Z679" dT="2022-01-27T20:22:28.79" personId="{0A831BE0-8E9C-476D-A0E3-509D1336B973}" id="{5AD9899E-A80B-44EF-AC61-CE3538248E8C}">
    <text>Updated per Guidehouse review.</text>
  </threadedComment>
  <threadedComment ref="AA679" dT="2022-01-27T20:22:28.79" personId="{0A831BE0-8E9C-476D-A0E3-509D1336B973}" id="{9FE007EA-E734-44D3-8186-C0B1B1396CEE}">
    <text>Updated per Guidehouse review.</text>
  </threadedComment>
  <threadedComment ref="X680" dT="2022-01-27T20:22:28.79" personId="{0A831BE0-8E9C-476D-A0E3-509D1336B973}" id="{042DD7B5-CAA2-4404-8D4A-27C6C35F8E43}">
    <text>Updated per Guidehouse review.</text>
  </threadedComment>
  <threadedComment ref="Y680" dT="2022-01-27T20:22:28.79" personId="{0A831BE0-8E9C-476D-A0E3-509D1336B973}" id="{14F9A111-62CF-4BE2-BE26-83B26C48B164}">
    <text>Updated per Guidehouse review.</text>
  </threadedComment>
  <threadedComment ref="Z680" dT="2022-01-27T20:22:28.79" personId="{0A831BE0-8E9C-476D-A0E3-509D1336B973}" id="{32589B45-2614-4F86-8E1A-6C514EA674AC}">
    <text>Updated per Guidehouse review.</text>
  </threadedComment>
  <threadedComment ref="AA680" dT="2022-01-27T20:22:28.79" personId="{0A831BE0-8E9C-476D-A0E3-509D1336B973}" id="{883F9461-57BD-4F26-9778-DC0E2EF7826F}">
    <text>Updated per Guidehouse review.</text>
  </threadedComment>
  <threadedComment ref="X681" dT="2022-01-27T20:22:28.79" personId="{0A831BE0-8E9C-476D-A0E3-509D1336B973}" id="{68CBFC73-BD3E-4AA2-A7E8-62FBED890ED8}">
    <text>Updated per Guidehouse review.</text>
  </threadedComment>
  <threadedComment ref="Y681" dT="2022-01-27T20:22:28.79" personId="{0A831BE0-8E9C-476D-A0E3-509D1336B973}" id="{77C70A84-D7D9-4B71-A4F0-ED9533B936B5}">
    <text>Updated per Guidehouse review.</text>
  </threadedComment>
  <threadedComment ref="Z681" dT="2022-01-27T20:22:28.79" personId="{0A831BE0-8E9C-476D-A0E3-509D1336B973}" id="{2A754A6D-2F45-4522-85A1-BA51DC03A9E1}">
    <text>Updated per Guidehouse review.</text>
  </threadedComment>
  <threadedComment ref="AA681" dT="2022-01-27T20:22:28.79" personId="{0A831BE0-8E9C-476D-A0E3-509D1336B973}" id="{D72975BD-35A0-49A8-B989-A66B009AFEF1}">
    <text>Updated per Guidehouse review.</text>
  </threadedComment>
  <threadedComment ref="X682" dT="2022-01-27T20:22:28.79" personId="{0A831BE0-8E9C-476D-A0E3-509D1336B973}" id="{5D47003C-5B34-4A43-AB1A-1E8A8C407F6A}">
    <text>Updated per Guidehouse review.</text>
  </threadedComment>
  <threadedComment ref="Y682" dT="2022-01-27T20:22:28.79" personId="{0A831BE0-8E9C-476D-A0E3-509D1336B973}" id="{D1A40166-0500-4C73-8526-50BB04599031}">
    <text>Updated per Guidehouse review.</text>
  </threadedComment>
  <threadedComment ref="Z682" dT="2022-01-27T20:22:28.79" personId="{0A831BE0-8E9C-476D-A0E3-509D1336B973}" id="{7DBD0D93-04F1-4A6D-8272-BD9940FD3FB6}">
    <text>Updated per Guidehouse review.</text>
  </threadedComment>
  <threadedComment ref="AA682" dT="2022-01-27T20:22:28.79" personId="{0A831BE0-8E9C-476D-A0E3-509D1336B973}" id="{7F66C403-4512-4F6C-A723-96C0ACC68E88}">
    <text>Updated per Guidehouse review.</text>
  </threadedComment>
  <threadedComment ref="X683" dT="2022-01-27T20:22:28.79" personId="{0A831BE0-8E9C-476D-A0E3-509D1336B973}" id="{9C85C63A-CAE9-4ABF-9C59-2763FF961F5D}">
    <text>Updated per Guidehouse review.</text>
  </threadedComment>
  <threadedComment ref="Y683" dT="2022-01-27T20:22:28.79" personId="{0A831BE0-8E9C-476D-A0E3-509D1336B973}" id="{1AD5DB92-DA5A-4C2C-BEFD-E54217EA9EEB}">
    <text>Updated per Guidehouse review.</text>
  </threadedComment>
  <threadedComment ref="Z683" dT="2022-01-27T20:22:28.79" personId="{0A831BE0-8E9C-476D-A0E3-509D1336B973}" id="{6EA60734-32D2-4A24-8995-440BD7CA56E6}">
    <text>Updated per Guidehouse review.</text>
  </threadedComment>
  <threadedComment ref="AA683" dT="2022-01-27T20:22:28.79" personId="{0A831BE0-8E9C-476D-A0E3-509D1336B973}" id="{8B14D548-BA58-4218-AF50-378FE42AA4C3}">
    <text>Updated per Guidehouse review.</text>
  </threadedComment>
  <threadedComment ref="X684" dT="2022-01-27T20:22:28.79" personId="{0A831BE0-8E9C-476D-A0E3-509D1336B973}" id="{E8BDB62F-9829-43BE-B4A8-2E9005F50957}">
    <text>Updated per Guidehouse review.</text>
  </threadedComment>
  <threadedComment ref="Y684" dT="2022-01-27T20:22:28.79" personId="{0A831BE0-8E9C-476D-A0E3-509D1336B973}" id="{299461EC-127D-469C-A8BE-EC2D7900B784}">
    <text>Updated per Guidehouse review.</text>
  </threadedComment>
  <threadedComment ref="Z684" dT="2022-01-27T20:22:28.79" personId="{0A831BE0-8E9C-476D-A0E3-509D1336B973}" id="{EFA38EE4-5E2C-4CA8-867A-4CA88493FA1C}">
    <text>Updated per Guidehouse review.</text>
  </threadedComment>
  <threadedComment ref="AA684" dT="2022-01-27T20:22:28.79" personId="{0A831BE0-8E9C-476D-A0E3-509D1336B973}" id="{913331D8-70FA-43BA-8E66-EAAE47DD5B23}">
    <text>Updated per Guidehouse review.</text>
  </threadedComment>
  <threadedComment ref="X685" dT="2022-01-27T20:22:28.79" personId="{0A831BE0-8E9C-476D-A0E3-509D1336B973}" id="{DB7C05D2-8A2A-4BE1-AE4E-C2FA7522243A}">
    <text>Updated per Guidehouse review.</text>
  </threadedComment>
  <threadedComment ref="Y685" dT="2022-01-27T20:22:28.79" personId="{0A831BE0-8E9C-476D-A0E3-509D1336B973}" id="{AE10787B-C79F-4799-9D24-E8B92536B599}">
    <text>Updated per Guidehouse review.</text>
  </threadedComment>
  <threadedComment ref="Z685" dT="2022-01-27T20:22:28.79" personId="{0A831BE0-8E9C-476D-A0E3-509D1336B973}" id="{84CC7F51-249D-4616-BC5E-9052C54E3ED1}">
    <text>Updated per Guidehouse review.</text>
  </threadedComment>
  <threadedComment ref="AA685" dT="2022-01-27T20:22:28.79" personId="{0A831BE0-8E9C-476D-A0E3-509D1336B973}" id="{42FB42E0-5188-441F-BD87-5C551476B8D4}">
    <text>Updated per Guidehouse review.</text>
  </threadedComment>
  <threadedComment ref="X686" dT="2022-01-27T20:22:28.79" personId="{0A831BE0-8E9C-476D-A0E3-509D1336B973}" id="{CC53F96C-591A-4480-B8C5-4DD9082DB3C6}">
    <text>Updated per Guidehouse review.</text>
  </threadedComment>
  <threadedComment ref="Y686" dT="2022-01-27T20:22:28.79" personId="{0A831BE0-8E9C-476D-A0E3-509D1336B973}" id="{B32AC664-A6F6-4812-87CD-01ADD6AA9EB2}">
    <text>Updated per Guidehouse review.</text>
  </threadedComment>
  <threadedComment ref="Z686" dT="2022-01-27T20:22:28.79" personId="{0A831BE0-8E9C-476D-A0E3-509D1336B973}" id="{B46C0E34-1546-45CE-A16A-E39D2D7EA0BF}">
    <text>Updated per Guidehouse review.</text>
  </threadedComment>
  <threadedComment ref="AA686" dT="2022-01-27T20:22:28.79" personId="{0A831BE0-8E9C-476D-A0E3-509D1336B973}" id="{CCDAC762-F281-4B5F-9D9F-2FBFC23F91B4}">
    <text>Updated per Guidehouse review.</text>
  </threadedComment>
  <threadedComment ref="X687" dT="2021-04-02T20:42:14.33" personId="{2BE53071-80F4-4D6F-A2F0-916AAB200931}" id="{9CEC78D5-63F6-4B0B-9DCA-D09E267EB263}">
    <text>Updated per Guidehouse review.</text>
  </threadedComment>
  <threadedComment ref="Y687" dT="2021-04-02T20:42:14.33" personId="{2BE53071-80F4-4D6F-A2F0-916AAB200931}" id="{9728F74C-31AA-4DBC-BB49-F4D2B4A67A9C}">
    <text>Updated per Guidehouse review.</text>
  </threadedComment>
  <threadedComment ref="Z687" dT="2021-04-02T20:42:14.33" personId="{2BE53071-80F4-4D6F-A2F0-916AAB200931}" id="{00647DEB-8B82-4A5B-9699-D8D26E693607}">
    <text>Updated per Guidehouse review.</text>
  </threadedComment>
  <threadedComment ref="AA687" dT="2021-04-02T20:42:14.33" personId="{2BE53071-80F4-4D6F-A2F0-916AAB200931}" id="{D2CA3582-DB9C-44FD-92BC-80D5A8F64044}">
    <text>Updated per Guidehouse review.</text>
  </threadedComment>
  <threadedComment ref="AH687" dT="2023-02-10T20:19:12.23" personId="{2BE53071-80F4-4D6F-A2F0-916AAB200931}" id="{B78CE17C-7E0B-47FC-BFD5-9DEA18EAD896}">
    <text>2023 Guidehouse NTG value</text>
  </threadedComment>
  <threadedComment ref="AI687" dT="2023-02-10T20:19:12.23" personId="{2BE53071-80F4-4D6F-A2F0-916AAB200931}" id="{6286C764-F2E9-4AAC-A1BD-5C1B246E3016}">
    <text>2023 Guidehouse NTG value</text>
  </threadedComment>
  <threadedComment ref="AJ687" dT="2023-02-10T20:19:12.23" personId="{2BE53071-80F4-4D6F-A2F0-916AAB200931}" id="{A85D939C-B607-444D-A635-4160DFC9E22F}">
    <text>2023 Guidehouse NTG value</text>
  </threadedComment>
  <threadedComment ref="X688" dT="2022-01-27T20:22:28.79" personId="{0A831BE0-8E9C-476D-A0E3-509D1336B973}" id="{BAEC90B4-DE64-4AB4-9E81-0B31E5DD737B}">
    <text>Updated per Guidehouse review.</text>
  </threadedComment>
  <threadedComment ref="Y688" dT="2022-01-27T20:22:28.79" personId="{0A831BE0-8E9C-476D-A0E3-509D1336B973}" id="{4F941E3E-0345-4A12-9839-81C4A2162C50}">
    <text>Updated per Guidehouse review.</text>
  </threadedComment>
  <threadedComment ref="Z688" dT="2022-01-27T20:22:28.79" personId="{0A831BE0-8E9C-476D-A0E3-509D1336B973}" id="{C6CD6FEA-6E3A-418F-AFF3-7C51DF064D40}">
    <text>Updated per Guidehouse review.</text>
  </threadedComment>
  <threadedComment ref="AA688" dT="2022-01-27T20:22:28.79" personId="{0A831BE0-8E9C-476D-A0E3-509D1336B973}" id="{BF353807-1D78-45A3-A7D2-4B338AAC6565}">
    <text>Updated per Guidehouse review.</text>
  </threadedComment>
  <threadedComment ref="X690" dT="2021-04-02T20:36:06.37" personId="{2BE53071-80F4-4D6F-A2F0-916AAB200931}" id="{FCED8324-B500-461E-B712-249B328CDA20}">
    <text>Updated per Guidehouse review.</text>
  </threadedComment>
  <threadedComment ref="Y690" dT="2021-04-02T20:36:06.37" personId="{2BE53071-80F4-4D6F-A2F0-916AAB200931}" id="{2FD0FB37-3B2C-4588-8E65-298BBCE8C321}">
    <text>Updated per Guidehouse review.</text>
  </threadedComment>
  <threadedComment ref="Z690" dT="2021-04-02T20:36:06.37" personId="{2BE53071-80F4-4D6F-A2F0-916AAB200931}" id="{FCCD0B2D-A049-45D2-876B-C741A86C7B87}">
    <text>Updated per Guidehouse review.</text>
  </threadedComment>
  <threadedComment ref="AA690" dT="2021-04-02T20:36:06.37" personId="{2BE53071-80F4-4D6F-A2F0-916AAB200931}" id="{FC1713E0-015C-4C2E-B738-3B8C8897600E}">
    <text>Updated per Guidehouse review.</text>
  </threadedComment>
  <threadedComment ref="AI690" dT="2024-02-27T16:01:14.06" personId="{FA7E3B4C-1102-4378-B7D0-F89DC99F55A8}" id="{C024A5D3-50A7-44C8-8E4D-014D7C388B5F}">
    <text>Updated per PG &amp; NSG 2024 final NTG ratios. Previous value 90%.</text>
  </threadedComment>
  <threadedComment ref="AJ690" dT="2024-02-27T16:01:14.06" personId="{FA7E3B4C-1102-4378-B7D0-F89DC99F55A8}" id="{0730ADB3-488A-46A5-A472-65B7EF61A541}">
    <text>Updated per PG &amp; NSG 2024 final NTG ratios. Previous value 90%.</text>
  </threadedComment>
  <threadedComment ref="X694" dT="2021-04-02T20:36:06.37" personId="{2BE53071-80F4-4D6F-A2F0-916AAB200931}" id="{B8220291-AEE5-4BB6-B0E8-F047F60683BF}">
    <text>Updated per Guidehouse review.</text>
  </threadedComment>
  <threadedComment ref="Y694" dT="2021-04-02T20:36:06.37" personId="{2BE53071-80F4-4D6F-A2F0-916AAB200931}" id="{ED0D4946-4793-428E-8A7D-ED41644D3AE7}">
    <text>Updated per Guidehouse review.</text>
  </threadedComment>
  <threadedComment ref="Z694" dT="2021-04-02T20:36:06.37" personId="{2BE53071-80F4-4D6F-A2F0-916AAB200931}" id="{32AE2DDF-B94B-4FF5-9EA1-81DE11F27849}">
    <text>Updated per Guidehouse review.</text>
  </threadedComment>
  <threadedComment ref="AA694" dT="2021-04-02T20:36:06.37" personId="{2BE53071-80F4-4D6F-A2F0-916AAB200931}" id="{27BEDAA9-AFD2-42D6-B75B-0230F05E4BEB}">
    <text>Updated per Guidehouse review.</text>
  </threadedComment>
  <threadedComment ref="AI694" dT="2024-02-27T16:01:14.06" personId="{FA7E3B4C-1102-4378-B7D0-F89DC99F55A8}" id="{E0F19354-F983-498F-99F8-567396574DF0}">
    <text>Updated per PG &amp; NSG 2024 final NTG ratios. Previous value 90%.</text>
  </threadedComment>
  <threadedComment ref="AJ694" dT="2024-02-27T16:01:14.06" personId="{FA7E3B4C-1102-4378-B7D0-F89DC99F55A8}" id="{2432F91E-71E1-441C-8E9C-DE37E056C01C}">
    <text>Updated per PG &amp; NSG 2024 final NTG ratios. Previous value 90%.</text>
  </threadedComment>
  <threadedComment ref="X696" dT="2021-04-02T20:34:19.40" personId="{2BE53071-80F4-4D6F-A2F0-916AAB200931}" id="{D93990CC-E2C2-4F58-BD0C-2AFF8D4AE3D2}">
    <text>Updated per Guidehouse review.</text>
  </threadedComment>
  <threadedComment ref="Y696" dT="2021-04-02T20:34:19.40" personId="{2BE53071-80F4-4D6F-A2F0-916AAB200931}" id="{6681BC69-227B-4F7C-A550-A53144E57A30}">
    <text>Updated per Guidehouse review.</text>
  </threadedComment>
  <threadedComment ref="Z696" dT="2021-04-02T20:34:19.40" personId="{2BE53071-80F4-4D6F-A2F0-916AAB200931}" id="{AF62BF14-8026-4B57-80D5-B00E8BAE08E2}">
    <text>Updated per Guidehouse review.</text>
  </threadedComment>
  <threadedComment ref="AA696" dT="2021-04-02T20:34:19.40" personId="{2BE53071-80F4-4D6F-A2F0-916AAB200931}" id="{3B46AB47-F18C-4BBC-9A66-6809C23F97F0}">
    <text>Updated per Guidehouse review.</text>
  </threadedComment>
  <threadedComment ref="X697" dT="2021-04-02T20:34:19.40" personId="{2BE53071-80F4-4D6F-A2F0-916AAB200931}" id="{98F167D0-9C9B-4536-A73A-C2E911069EF7}">
    <text>Updated per Guidehouse review.</text>
  </threadedComment>
  <threadedComment ref="Y697" dT="2021-04-02T20:34:19.40" personId="{2BE53071-80F4-4D6F-A2F0-916AAB200931}" id="{25D4E7CA-F6A8-4F5C-A68F-7D68FF059633}">
    <text>Updated per Guidehouse review.</text>
  </threadedComment>
  <threadedComment ref="Z697" dT="2021-04-02T20:34:19.40" personId="{2BE53071-80F4-4D6F-A2F0-916AAB200931}" id="{46A2D0D7-5227-4DB2-89BD-87B0E9AB5802}">
    <text>Updated per Guidehouse review.</text>
  </threadedComment>
  <threadedComment ref="AA697" dT="2021-04-02T20:34:19.40" personId="{2BE53071-80F4-4D6F-A2F0-916AAB200931}" id="{C9F498E8-3057-4166-878E-D9FD1F02C736}">
    <text>Updated per Guidehouse review.</text>
  </threadedComment>
  <threadedComment ref="X700" dT="2021-04-02T20:34:19.40" personId="{2BE53071-80F4-4D6F-A2F0-916AAB200931}" id="{04F98712-C679-48DF-9CFD-4E44C74C51EF}">
    <text>Updated per Guidehouse review.</text>
  </threadedComment>
  <threadedComment ref="Y700" dT="2021-04-02T20:34:19.40" personId="{2BE53071-80F4-4D6F-A2F0-916AAB200931}" id="{2E480539-BE65-451F-A0B6-19F2224EBD1F}">
    <text>Updated per Guidehouse review.</text>
  </threadedComment>
  <threadedComment ref="Z700" dT="2021-04-02T20:34:19.40" personId="{2BE53071-80F4-4D6F-A2F0-916AAB200931}" id="{68EDED08-366F-4A23-9C8B-0F3D3677B239}">
    <text>Updated per Guidehouse review.</text>
  </threadedComment>
  <threadedComment ref="AA700" dT="2021-04-02T20:34:19.40" personId="{2BE53071-80F4-4D6F-A2F0-916AAB200931}" id="{8A674B50-9A47-4A19-8A90-5790105567A7}">
    <text>Updated per Guidehouse review.</text>
  </threadedComment>
  <threadedComment ref="X701" dT="2021-04-02T20:34:19.40" personId="{2BE53071-80F4-4D6F-A2F0-916AAB200931}" id="{91A5D17E-1BA6-410D-9B83-99FA60595FB1}">
    <text>Updated per Guidehouse review.</text>
  </threadedComment>
  <threadedComment ref="Y701" dT="2021-04-02T20:34:19.40" personId="{2BE53071-80F4-4D6F-A2F0-916AAB200931}" id="{0AAE82B5-68FD-4C71-9353-D42899EC3999}">
    <text>Updated per Guidehouse review.</text>
  </threadedComment>
  <threadedComment ref="Z701" dT="2021-04-02T20:34:19.40" personId="{2BE53071-80F4-4D6F-A2F0-916AAB200931}" id="{4FD5C217-35FB-4E0C-B7E0-C457568CA16E}">
    <text>Updated per Guidehouse review.</text>
  </threadedComment>
  <threadedComment ref="AA701" dT="2021-04-02T20:34:19.40" personId="{2BE53071-80F4-4D6F-A2F0-916AAB200931}" id="{82749490-D109-40C3-9F87-C6C9F406C43F}">
    <text>Updated per Guidehouse review.</text>
  </threadedComment>
  <threadedComment ref="AI706" dT="2024-02-27T14:37:31.82" personId="{FA7E3B4C-1102-4378-B7D0-F89DC99F55A8}" id="{B88DB254-9D90-4AE2-AE19-F8B1C8965744}">
    <text>Updated per PG &amp; NSG 2024 final NTG ratios. Previous value 90%.</text>
  </threadedComment>
  <threadedComment ref="AJ706" dT="2024-02-27T14:37:31.82" personId="{FA7E3B4C-1102-4378-B7D0-F89DC99F55A8}" id="{36040B5D-655F-48A6-B25C-D247F66EC64E}">
    <text>Updated per PG &amp; NSG 2024 final NTG ratios. Previous value 90%.</text>
  </threadedComment>
  <threadedComment ref="X707" dT="2022-01-27T20:20:08.28" personId="{0A831BE0-8E9C-476D-A0E3-509D1336B973}" id="{6B2151CD-87DD-4453-A048-00334BF6234A}">
    <text>Updated per Guidehouse review.</text>
  </threadedComment>
  <threadedComment ref="Y707" dT="2022-01-27T20:20:08.28" personId="{0A831BE0-8E9C-476D-A0E3-509D1336B973}" id="{D70742BD-CFE3-4726-9A78-AEE8061D9DC6}">
    <text>Updated per Guidehouse review.</text>
  </threadedComment>
  <threadedComment ref="Z707" dT="2022-01-27T20:20:08.28" personId="{0A831BE0-8E9C-476D-A0E3-509D1336B973}" id="{12EE5869-24D1-4412-BB54-B5E8B362E568}">
    <text>Updated per Guidehouse review.</text>
  </threadedComment>
  <threadedComment ref="AA707" dT="2022-01-27T20:20:08.28" personId="{0A831BE0-8E9C-476D-A0E3-509D1336B973}" id="{525D7180-5122-454E-8CF1-2FC343225BEA}">
    <text>Updated per Guidehouse review.</text>
  </threadedComment>
  <threadedComment ref="AI708" dT="2024-02-27T14:37:31.82" personId="{FA7E3B4C-1102-4378-B7D0-F89DC99F55A8}" id="{DBEF8E0B-A16A-4034-850D-95B1AF013B8A}">
    <text>Updated per PG &amp; NSG 2024 final NTG ratios. Previous value 90%.</text>
  </threadedComment>
  <threadedComment ref="AJ708" dT="2024-02-27T14:37:31.82" personId="{FA7E3B4C-1102-4378-B7D0-F89DC99F55A8}" id="{E0FA2CF2-388D-4711-A1BF-E9F62170925F}">
    <text>Updated per PG &amp; NSG 2024 final NTG ratios. Previous value 90%.</text>
  </threadedComment>
</ThreadedComments>
</file>

<file path=xl/threadedComments/threadedComment3.xml><?xml version="1.0" encoding="utf-8"?>
<ThreadedComments xmlns="http://schemas.microsoft.com/office/spreadsheetml/2018/threadedcomments" xmlns:x="http://schemas.openxmlformats.org/spreadsheetml/2006/main">
  <threadedComment ref="G18" dT="2022-12-29T20:27:54.65" personId="{2BE53071-80F4-4D6F-A2F0-916AAB200931}" id="{1E523C98-1899-463B-93B3-C3AB5D24BA53}">
    <text>Updated per IL TRM v11</text>
  </threadedComment>
  <threadedComment ref="G54" dT="2022-12-29T20:27:54.65" personId="{2BE53071-80F4-4D6F-A2F0-916AAB200931}" id="{5C84806B-7E10-49B0-A415-CBFC860544C9}">
    <text>Updated per IL TRM v11</text>
  </threadedComment>
  <threadedComment ref="G72" dT="2022-12-29T20:27:54.65" personId="{2BE53071-80F4-4D6F-A2F0-916AAB200931}" id="{53167203-0BAC-4910-A41D-BC37F10E2659}">
    <text>Updated per IL TRM v11</text>
  </threadedComment>
  <threadedComment ref="G108" dT="2022-12-29T20:27:54.65" personId="{2BE53071-80F4-4D6F-A2F0-916AAB200931}" id="{37DCE39A-FBDA-447F-80D5-ED5DC2756FB8}">
    <text>Updated per IL TRM v11</text>
  </threadedComment>
  <threadedComment ref="G126" dT="2022-12-29T20:29:47.15" personId="{2BE53071-80F4-4D6F-A2F0-916AAB200931}" id="{3666E8CE-F260-458B-897E-4FD075BCD26B}">
    <text>Updated per IL TRM v11</text>
  </threadedComment>
  <threadedComment ref="G162" dT="2022-12-29T20:29:47.15" personId="{2BE53071-80F4-4D6F-A2F0-916AAB200931}" id="{076224A3-1557-4B13-9E51-4EE83A06F9A6}">
    <text>Updated per IL TRM v11</text>
  </threadedComment>
  <threadedComment ref="G173" dT="2022-12-29T21:52:14.63" personId="{2BE53071-80F4-4D6F-A2F0-916AAB200931}" id="{72031342-EFED-4D8F-BCA8-D2450FB341AC}">
    <text>Updated per IL TRM v11</text>
  </threadedComment>
  <threadedComment ref="G263" dT="2024-02-06T21:22:46.04" personId="{FA7E3B4C-1102-4378-B7D0-F89DC99F55A8}" id="{87E4D091-8512-41DC-9AB3-B77BA3AEF654}">
    <text>Updated per IL TRM v12, page 394. Previous value 4 assumed from Plan 3</text>
  </threadedComment>
  <threadedComment ref="G265" dT="2024-02-06T21:22:46.04" personId="{FA7E3B4C-1102-4378-B7D0-F89DC99F55A8}" id="{2362E95E-4A9B-47EE-ACC6-9FC832AB79AF}">
    <text>Updated per IL TRM v12, page 394. Previous value 4 assumed from Plan 3</text>
  </threadedComment>
  <threadedComment ref="H265" dT="2024-02-06T21:24:22.51" personId="{FA7E3B4C-1102-4378-B7D0-F89DC99F55A8}" id="{9FBA4CB6-F362-4B2F-958E-74448F1B0DA6}">
    <text>Updated per IL TRM v12, page 394. Previous - "Assumed 1 sq ft to match Plan 3"</text>
  </threadedComment>
  <threadedComment ref="G277" dT="2023-12-28T19:41:49.68" personId="{FA7E3B4C-1102-4378-B7D0-F89DC99F55A8}" id="{D2F04D04-4346-4D92-9710-3AF451635CC1}">
    <text>Updated per IL TRM v12, page 396. Previous value 5113</text>
  </threadedComment>
  <threadedComment ref="G281" dT="2023-12-28T19:38:26.95" personId="{FA7E3B4C-1102-4378-B7D0-F89DC99F55A8}" id="{DF992F21-6DE3-41D6-BA68-DA416AB68BFA}">
    <text>Updated per IL TRM v12, page 397. Previous value 0.60</text>
  </threadedComment>
  <threadedComment ref="G287" dT="2024-02-06T21:27:13.72" personId="{FA7E3B4C-1102-4378-B7D0-F89DC99F55A8}" id="{671A479A-3A37-4948-A972-8D17BA837932}">
    <text>Updated per IL TRM v12, page 392. Previous value 20</text>
  </threadedComment>
  <threadedComment ref="G296" dT="2024-01-08T16:45:03.25" personId="{FA7E3B4C-1102-4378-B7D0-F89DC99F55A8}" id="{B403CFD5-1BB1-43C4-B8BD-6F610152B2A2}">
    <text>Updated per IL TRM v12, page 428. Previous value 5113</text>
  </threadedComment>
  <threadedComment ref="G297" dT="2024-01-08T16:45:03.25" personId="{FA7E3B4C-1102-4378-B7D0-F89DC99F55A8}" id="{869C54F0-2ABF-4629-BC30-A1623AE068BC}">
    <text>Updated per IL TRM v12, page 429. Previous value 0.72</text>
  </threadedComment>
  <threadedComment ref="G308" dT="2024-02-06T21:32:16.52" personId="{FA7E3B4C-1102-4378-B7D0-F89DC99F55A8}" id="{A79DB855-8681-4B2C-A3A7-99AACE75B84F}">
    <text>Updated per IL TRM v12, page 421. Previous value 20</text>
  </threadedComment>
  <threadedComment ref="G330" dT="2021-04-07T14:15:40.40" personId="{2BE53071-80F4-4D6F-A2F0-916AAB200931}" id="{C94E523A-F4C6-4C4A-8083-5FA727E7A9F4}">
    <text>Updated per Guidehouse review.</text>
  </threadedComment>
  <threadedComment ref="H330" dT="2021-04-02T17:27:26.71" personId="{2BE53071-80F4-4D6F-A2F0-916AAB200931}" id="{2A69EBE5-8966-451A-80A5-084784028587}">
    <text>Updated per Guidehouse review.</text>
  </threadedComment>
  <threadedComment ref="G360" dT="2021-04-07T14:15:40.40" personId="{2BE53071-80F4-4D6F-A2F0-916AAB200931}" id="{52CF489B-6960-41AC-A8DF-090033DCF375}">
    <text>Updated per Guidehouse review.</text>
  </threadedComment>
  <threadedComment ref="H360" dT="2021-04-02T17:27:26.71" personId="{2BE53071-80F4-4D6F-A2F0-916AAB200931}" id="{FD092DC4-442D-46B3-8865-548F5DA66FF7}">
    <text>Updated per Guidehouse review.</text>
  </threadedComment>
  <threadedComment ref="G425" dT="2023-12-28T18:06:23.24" personId="{FA7E3B4C-1102-4378-B7D0-F89DC99F55A8}" id="{56BB70E5-3FC5-42D0-87E3-FCDA19A40139}">
    <text>Updated per IL TRM v12, page 138. Previous value 1840</text>
  </threadedComment>
  <threadedComment ref="G434" dT="2024-02-08T21:02:54.61" personId="{FA7E3B4C-1102-4378-B7D0-F89DC99F55A8}" id="{0E9404A4-6FBD-413A-BC2C-993DFA1C4B49}">
    <text>Updated per IL TRM v12, page 148. Previous value 0.90</text>
  </threadedComment>
  <threadedComment ref="E437" dT="2024-02-13T18:04:44.59" personId="{FA7E3B4C-1102-4378-B7D0-F89DC99F55A8}" id="{B3ECF82B-6370-451F-9209-C9A9BA8AE133}">
    <text>Updated per 2024 Adjustable Goals Guidehouse review. Previously Method 1.</text>
  </threadedComment>
  <threadedComment ref="E438" dT="2024-02-13T18:04:44.59" personId="{FA7E3B4C-1102-4378-B7D0-F89DC99F55A8}" id="{623F89C7-E009-40D9-9CD4-08B6F3E580A7}">
    <text>Updated per 2024 Adjustable Goals Guidehouse review. Previously Method 1.</text>
  </threadedComment>
  <threadedComment ref="E439" dT="2024-02-13T18:04:44.59" personId="{FA7E3B4C-1102-4378-B7D0-F89DC99F55A8}" id="{E13A2B29-7EFF-474B-8C6B-99E15F2D8D13}">
    <text>Updated per 2024 Adjustable Goals Guidehouse review. Previously Method 1.</text>
  </threadedComment>
  <threadedComment ref="E442" dT="2024-02-13T18:05:30.19" personId="{FA7E3B4C-1102-4378-B7D0-F89DC99F55A8}" id="{AFAA028C-EE4F-4C7C-8171-150F6CCB9742}">
    <text>Updated per 2024 Adjustable Goals Guidehouse review. Previously Method 2.</text>
  </threadedComment>
  <threadedComment ref="E443" dT="2024-02-13T18:05:30.19" personId="{FA7E3B4C-1102-4378-B7D0-F89DC99F55A8}" id="{E073919D-5043-4AA8-9EB3-24E0035AF1CF}">
    <text>Updated per 2024 Adjustable Goals Guidehouse review. Previously Method 2.</text>
  </threadedComment>
  <threadedComment ref="E444" dT="2024-02-13T18:05:30.19" personId="{FA7E3B4C-1102-4378-B7D0-F89DC99F55A8}" id="{38CA3092-9AD1-4EBF-B811-3B2351B8EB8E}">
    <text>Updated per 2024 Adjustable Goals Guidehouse review. Previously Method 2.</text>
  </threadedComment>
  <threadedComment ref="G446" dT="2024-02-08T21:03:49.24" personId="{FA7E3B4C-1102-4378-B7D0-F89DC99F55A8}" id="{C8A0E632-3805-46C0-93A3-637722642DE7}">
    <text>Updated per IL TRM v12, page 148.</text>
  </threadedComment>
  <threadedComment ref="G447" dT="2024-02-08T21:02:54.61" personId="{FA7E3B4C-1102-4378-B7D0-F89DC99F55A8}" id="{ED92666F-97D5-4873-B900-F9903F8DB941}">
    <text>Updated per IL TRM v12, page 147.</text>
  </threadedComment>
  <threadedComment ref="G450" dT="2021-04-02T19:03:21.61" personId="{2BE53071-80F4-4D6F-A2F0-916AAB200931}" id="{C8132ABB-B06E-46D2-A8AE-D19A0F78A7D3}">
    <text>Updated per Guidehouse review.</text>
  </threadedComment>
  <threadedComment ref="G451" dT="2024-02-08T21:00:08.05" personId="{FA7E3B4C-1102-4378-B7D0-F89DC99F55A8}" id="{35DD3E5B-D7A5-4E5F-A5E9-0D7A008B2DB7}">
    <text>Updated per IL TRM v12, page 148. Previous value 0.66</text>
  </threadedComment>
  <threadedComment ref="G469" dT="2023-12-28T18:06:23.24" personId="{FA7E3B4C-1102-4378-B7D0-F89DC99F55A8}" id="{3A725442-013F-4069-AD2E-E51BF41FCB2F}">
    <text>Updated per IL TRM v12, page 138. Previous value 1840</text>
  </threadedComment>
  <threadedComment ref="G478" dT="2024-02-08T21:02:54.61" personId="{FA7E3B4C-1102-4378-B7D0-F89DC99F55A8}" id="{E5A05EAF-5C0F-4EC3-BD64-5CF153036250}">
    <text>Updated per IL TRM v12, page 148. Previous value 0.90</text>
  </threadedComment>
  <threadedComment ref="E481" dT="2024-02-13T18:04:44.59" personId="{FA7E3B4C-1102-4378-B7D0-F89DC99F55A8}" id="{47647DDA-B96C-45F6-A11C-DEEE233A1B83}">
    <text>Updated per 2024 Adjustable Goals Guidehouse review. Previously Method 1.</text>
  </threadedComment>
  <threadedComment ref="E482" dT="2024-02-13T18:04:44.59" personId="{FA7E3B4C-1102-4378-B7D0-F89DC99F55A8}" id="{2D6C5A9D-293D-451E-B4C0-6FEC77F2A6A3}">
    <text>Updated per 2024 Adjustable Goals Guidehouse review. Previously Method 1.</text>
  </threadedComment>
  <threadedComment ref="E483" dT="2024-02-13T18:04:44.59" personId="{FA7E3B4C-1102-4378-B7D0-F89DC99F55A8}" id="{1B38C46B-13B2-4BCA-A193-0FDB1CCD865E}">
    <text>Updated per 2024 Adjustable Goals Guidehouse review. Previously Method 1.</text>
  </threadedComment>
  <threadedComment ref="E486" dT="2024-02-13T18:05:30.19" personId="{FA7E3B4C-1102-4378-B7D0-F89DC99F55A8}" id="{5F097DCF-B728-4AA0-83E4-73B0A58B0BE9}">
    <text>Updated per 2024 Adjustable Goals Guidehouse review. Previously Method 2.</text>
  </threadedComment>
  <threadedComment ref="E487" dT="2024-02-13T18:05:30.19" personId="{FA7E3B4C-1102-4378-B7D0-F89DC99F55A8}" id="{86F7BC33-1581-45E8-BDDA-A386EE923E86}">
    <text>Updated per 2024 Adjustable Goals Guidehouse review. Previously Method 2.</text>
  </threadedComment>
  <threadedComment ref="E488" dT="2024-02-13T18:05:30.19" personId="{FA7E3B4C-1102-4378-B7D0-F89DC99F55A8}" id="{8D1A833E-BF1A-48B6-A61D-1E71DB062352}">
    <text>Updated per 2024 Adjustable Goals Guidehouse review. Previously Method 2.</text>
  </threadedComment>
  <threadedComment ref="G490" dT="2024-02-08T21:03:49.24" personId="{FA7E3B4C-1102-4378-B7D0-F89DC99F55A8}" id="{16AF79DE-853B-4E62-83BF-911E780E6D0A}">
    <text>Updated per IL TRM v12, page 148.</text>
  </threadedComment>
  <threadedComment ref="G491" dT="2024-02-08T21:02:54.61" personId="{FA7E3B4C-1102-4378-B7D0-F89DC99F55A8}" id="{1FEE8598-2BB8-49AD-BED8-21691644E68B}">
    <text>Updated per IL TRM v12, page 147.</text>
  </threadedComment>
  <threadedComment ref="G492" dT="2024-02-08T21:34:47.61" personId="{FA7E3B4C-1102-4378-B7D0-F89DC99F55A8}" id="{037A3E4A-D91C-4832-9A06-6095A33A5DD9}">
    <text>Updated per IL TRM v12, page 147.</text>
  </threadedComment>
  <threadedComment ref="G496" dT="2024-02-08T21:00:08.05" personId="{FA7E3B4C-1102-4378-B7D0-F89DC99F55A8}" id="{77E7D3D9-4D4C-4B77-847A-ACA3FAF229A3}">
    <text>Updated per IL TRM v12, page 148. Previous value 0.66</text>
  </threadedComment>
  <threadedComment ref="G541" dT="2024-01-08T16:37:08.63" personId="{FA7E3B4C-1102-4378-B7D0-F89DC99F55A8}" id="{66BBC6C4-A3AF-4BD2-868C-E8552E71D523}">
    <text>Updated per IL TRM v12, page 405. Previous value 3079</text>
  </threadedComment>
  <threadedComment ref="G543" dT="2024-01-08T16:37:08.63" personId="{FA7E3B4C-1102-4378-B7D0-F89DC99F55A8}" id="{D6498BAA-97B1-46FF-A0D5-5763D13BFAB7}">
    <text>Updated per IL TRM v12, page 406. Previous value 0.60</text>
  </threadedComment>
  <threadedComment ref="G552" dT="2024-02-06T21:28:34.84" personId="{FA7E3B4C-1102-4378-B7D0-F89DC99F55A8}" id="{55A47787-A882-4D9B-8E44-4765EF7EC024}">
    <text>Updated per IL TRM v12, page 402. Previous value 20</text>
  </threadedComment>
  <threadedComment ref="G572" dT="2024-01-08T16:48:10.43" personId="{FA7E3B4C-1102-4378-B7D0-F89DC99F55A8}" id="{98817D9F-D70E-4710-BEFC-61EA68AB6506}">
    <text>Updated per IL TRM v12, page 435. Previous value 3079</text>
  </threadedComment>
  <threadedComment ref="G574" dT="2024-01-08T16:48:10.43" personId="{FA7E3B4C-1102-4378-B7D0-F89DC99F55A8}" id="{93703F13-E3AB-45D0-8FCA-13FA58A4F9C0}">
    <text>Updated per IL TRM v12, page 436. Previous value 0.60</text>
  </threadedComment>
  <threadedComment ref="G591" dT="2024-02-13T19:00:22.17" personId="{FA7E3B4C-1102-4378-B7D0-F89DC99F55A8}" id="{3CE7E228-183C-43A7-867A-5D1E35BB88A2}">
    <text>Updated per IL TRM v12, page 435. Previous value 5113.</text>
  </threadedComment>
  <threadedComment ref="G593" dT="2024-01-08T16:48:10.43" personId="{FA7E3B4C-1102-4378-B7D0-F89DC99F55A8}" id="{CA3FF610-3293-435B-BAE1-BE756AD412EB}">
    <text>Updated per IL TRM v12, page 436. Previous value 0.60</text>
  </threadedComment>
  <threadedComment ref="G603" dT="2024-02-06T21:28:34.84" personId="{FA7E3B4C-1102-4378-B7D0-F89DC99F55A8}" id="{5A342576-4282-453C-98E2-A01FD6C3CD8B}">
    <text>Updated per IL TRM v12, page 432. Previous value 20</text>
  </threadedComment>
  <threadedComment ref="G616" dT="2024-01-08T16:42:39.81" personId="{FA7E3B4C-1102-4378-B7D0-F89DC99F55A8}" id="{6CEE7D97-E4D5-4D05-80E8-E45767E6C6D0}">
    <text>Updated per IL TRM v12, page 415. Previous value 0.60</text>
  </threadedComment>
  <threadedComment ref="G617" dT="2024-01-08T16:40:48.23" personId="{FA7E3B4C-1102-4378-B7D0-F89DC99F55A8}" id="{F8F20293-0A6A-4782-A991-40A2FAD81F3E}">
    <text>Updated per IL TRM v12, page 418. Previous value 5113</text>
  </threadedComment>
  <threadedComment ref="G640" dT="2024-02-06T21:30:23.27" personId="{FA7E3B4C-1102-4378-B7D0-F89DC99F55A8}" id="{12C4ED1B-232B-46D0-8A3C-A27CC23D59CD}">
    <text>Updated per IL TRM v12, page 411. Previous value 20</text>
  </threadedComment>
  <threadedComment ref="G653" dT="2024-01-08T16:42:39.81" personId="{FA7E3B4C-1102-4378-B7D0-F89DC99F55A8}" id="{FB4F27A2-C1BC-456D-921B-DCE72940CEA3}">
    <text>Updated per IL TRM v12, page 415. Previous value 0.60</text>
  </threadedComment>
  <threadedComment ref="G654" dT="2024-01-08T16:40:48.23" personId="{FA7E3B4C-1102-4378-B7D0-F89DC99F55A8}" id="{F98352C0-E752-4BD4-AD0D-B58731D692F1}">
    <text>Updated per IL TRM v12, page 418. Previous value 5113</text>
  </threadedComment>
  <threadedComment ref="G677" dT="2024-02-06T21:30:23.27" personId="{FA7E3B4C-1102-4378-B7D0-F89DC99F55A8}" id="{E5E22211-8CAE-4914-AD80-E393C1C6DFC8}">
    <text>Updated per IL TRM v12, page 411. Previous value 20</text>
  </threadedComment>
  <threadedComment ref="G690" dT="2024-01-08T16:42:39.81" personId="{FA7E3B4C-1102-4378-B7D0-F89DC99F55A8}" id="{1630C3B0-1557-4A7E-B507-38F9714F247B}">
    <text>Updated per IL TRM v12, page 415. Previous value 0.60</text>
  </threadedComment>
  <threadedComment ref="G691" dT="2024-01-08T16:40:48.23" personId="{FA7E3B4C-1102-4378-B7D0-F89DC99F55A8}" id="{600300C1-240D-4A6D-BE01-7AE513DF22F2}">
    <text>Updated per IL TRM v12, page 418. Previous value 5113</text>
  </threadedComment>
  <threadedComment ref="G714" dT="2024-02-06T21:30:23.27" personId="{FA7E3B4C-1102-4378-B7D0-F89DC99F55A8}" id="{1E547235-7FE2-471E-ADBD-8C8DB5B132B6}">
    <text>Updated per IL TRM v12, page 411. Previous value 20</text>
  </threadedComment>
  <threadedComment ref="G794" dT="2024-01-12T16:15:17.57" personId="{FA7E3B4C-1102-4378-B7D0-F89DC99F55A8}" id="{A8CC6AA6-B5D8-4CDA-A18F-7D69D021855A}">
    <text>Updated per IL TRM v12, page 244. Previous value 0.9390 from 2020 MMDB.</text>
  </threadedComment>
  <threadedComment ref="G796" dT="2024-02-06T18:27:54.61" personId="{FA7E3B4C-1102-4378-B7D0-F89DC99F55A8}" id="{21911140-08C7-4777-A91E-7BEA40252394}">
    <text>Updated per IL TRM v12, page 245. Previous value 13.</text>
  </threadedComment>
  <threadedComment ref="G797" dT="2024-02-06T18:27:54.61" personId="{FA7E3B4C-1102-4378-B7D0-F89DC99F55A8}" id="{34441D23-D859-45D1-BDB4-1EDF40BB082B}">
    <text>Updated per IL TRM v12, page 245. Previous value $605.</text>
  </threadedComment>
  <threadedComment ref="G822" dT="2024-01-12T16:15:17.57" personId="{FA7E3B4C-1102-4378-B7D0-F89DC99F55A8}" id="{086078B7-ABF3-43F5-9596-9101A21E0C16}">
    <text>Updated per IL TRM v12, page 244. Previous value 0.67 from 2020 MMDB.</text>
  </threadedComment>
  <threadedComment ref="G824" dT="2024-02-06T18:31:26.66" personId="{FA7E3B4C-1102-4378-B7D0-F89DC99F55A8}" id="{7F239D21-93D7-4BF7-A95C-4689CF35816C}">
    <text>Updated per IL TRM v12, page 245. Previous value 13.</text>
  </threadedComment>
  <threadedComment ref="G825" dT="2024-02-06T18:27:54.61" personId="{FA7E3B4C-1102-4378-B7D0-F89DC99F55A8}" id="{D24FF411-F965-494D-BCD8-54A0BC8C4A6A}">
    <text>Updated per IL TRM v12, page 245. Previous value $400.</text>
  </threadedComment>
  <threadedComment ref="G834" dT="2023-12-28T19:27:22.36" personId="{FA7E3B4C-1102-4378-B7D0-F89DC99F55A8}" id="{57F3D4A4-4680-4F46-962F-AE1745AB9992}">
    <text>Updated per IL TRM v12, page 387. Previous value 5113</text>
  </threadedComment>
  <threadedComment ref="F840" dT="2021-04-07T14:41:53.71" personId="{2BE53071-80F4-4D6F-A2F0-916AAB200931}" id="{83D344A5-2278-4224-A8AA-893E0262CA60}">
    <text>Per project CFM reduction</text>
  </threadedComment>
  <threadedComment ref="G853" dT="2023-12-28T19:47:54.21" personId="{FA7E3B4C-1102-4378-B7D0-F89DC99F55A8}" id="{A88F2D57-27B0-4D1F-A782-C8A68B536BD5}">
    <text>Updated per IL TRM v12, page 388. Previous value 0.72</text>
  </threadedComment>
  <threadedComment ref="G855" dT="2023-12-28T19:27:22.36" personId="{FA7E3B4C-1102-4378-B7D0-F89DC99F55A8}" id="{9C4E33B1-2E61-4B45-8BF4-30EE7E0A5305}">
    <text>Updated per IL TRM v12, page 387. Previous value 5113</text>
  </threadedComment>
  <threadedComment ref="G874" dT="2023-12-28T19:47:54.21" personId="{FA7E3B4C-1102-4378-B7D0-F89DC99F55A8}" id="{C759CFE0-A8E5-433C-81C5-168A2C47269D}">
    <text>Updated per IL TRM v12, page 388. Previous value 0.72</text>
  </threadedComment>
  <threadedComment ref="G876" dT="2023-12-28T19:27:22.36" personId="{FA7E3B4C-1102-4378-B7D0-F89DC99F55A8}" id="{CF49778B-2B58-4FA1-941D-992C3E334AED}">
    <text>Updated per IL TRM v12, page 387. Previous value 5113</text>
  </threadedComment>
  <threadedComment ref="H891" dT="2021-04-07T14:41:53.71" personId="{2BE53071-80F4-4D6F-A2F0-916AAB200931}" id="{D7505334-F27F-4837-93AF-F32910C927A8}">
    <text>Per project CFM reduction</text>
  </threadedComment>
  <threadedComment ref="H892" dT="2021-04-07T14:41:53.71" personId="{2BE53071-80F4-4D6F-A2F0-916AAB200931}" id="{5C07C21F-988E-41F3-8CA3-61FD8EA5CED4}">
    <text>Per project CFM reduction</text>
  </threadedComment>
  <threadedComment ref="G898" dT="2023-12-28T19:27:22.36" personId="{FA7E3B4C-1102-4378-B7D0-F89DC99F55A8}" id="{A65E6806-6DFD-4E9F-9822-95E623119620}">
    <text>Updated per IL TRM v12, page 387. Previous value 5113</text>
  </threadedComment>
  <threadedComment ref="H903" dT="2021-04-07T14:41:53.71" personId="{2BE53071-80F4-4D6F-A2F0-916AAB200931}" id="{1257981E-3551-4A37-B375-4628A8225FCF}">
    <text>Per project CFM reduction</text>
  </threadedComment>
  <threadedComment ref="H903" dT="2024-02-13T20:19:30.29" personId="{FA7E3B4C-1102-4378-B7D0-F89DC99F55A8}" id="{BFC08E12-AB89-4F2D-AC8C-53895C28E48F}" parentId="{1257981E-3551-4A37-B375-4628A8225FCF}">
    <text>Updated per 2024 Adjustable Goals Guidehouse review.</text>
  </threadedComment>
  <threadedComment ref="G913" dT="2024-01-12T16:23:07.79" personId="{FA7E3B4C-1102-4378-B7D0-F89DC99F55A8}" id="{3AAD55C3-EFFF-4D9B-AF22-5E6FC62A8BC9}">
    <text>Updated per IL TRM v12, page 246. Previous value 0.580</text>
  </threadedComment>
  <threadedComment ref="G914" dT="2024-02-06T21:19:28.62" personId="{FA7E3B4C-1102-4378-B7D0-F89DC99F55A8}" id="{D2CBE7D6-C770-4BE3-BFE5-5009F1A147EE}">
    <text>Updated per IL TRM v12, page 247. Previous value 0.933</text>
  </threadedComment>
  <threadedComment ref="G923" dT="2024-02-06T18:31:26.66" personId="{FA7E3B4C-1102-4378-B7D0-F89DC99F55A8}" id="{ABF0EBDF-585E-4689-9EF5-2FEDA084D45A}">
    <text>Updated per IL TRM v12, page 245. Previous value 13.</text>
  </threadedComment>
  <threadedComment ref="G924" dT="2024-02-13T18:17:51.98" personId="{FA7E3B4C-1102-4378-B7D0-F89DC99F55A8}" id="{490DC731-2988-4CED-A4B5-57CA52FA382E}">
    <text>Updated per IL TRM v12, page 245. Previous value $1,824.</text>
  </threadedComment>
  <threadedComment ref="J935" dT="2021-04-02T18:47:12.33" personId="{2BE53071-80F4-4D6F-A2F0-916AAB200931}" id="{379EFD85-345D-4D13-95A2-B0C35995ABAD}">
    <text>Updated per Guidehouse review.</text>
  </threadedComment>
  <threadedComment ref="J937" dT="2021-04-02T18:47:12.33" personId="{2BE53071-80F4-4D6F-A2F0-916AAB200931}" id="{E377C0B3-B324-463A-BF80-CB3213FC19E8}">
    <text>Updated per Guidehouse review.</text>
  </threadedComment>
  <threadedComment ref="J938" dT="2021-04-02T18:47:12.33" personId="{2BE53071-80F4-4D6F-A2F0-916AAB200931}" id="{0C677841-7FC7-48B5-81A0-06CAA82B0F38}">
    <text>Updated per Guidehouse review.</text>
  </threadedComment>
  <threadedComment ref="J939" dT="2021-04-02T18:47:12.33" personId="{2BE53071-80F4-4D6F-A2F0-916AAB200931}" id="{72AF09AE-1F18-41CD-80AD-0A2A01B804FA}">
    <text>Updated per Guidehouse review.</text>
  </threadedComment>
  <threadedComment ref="J940" dT="2021-04-02T18:47:12.33" personId="{2BE53071-80F4-4D6F-A2F0-916AAB200931}" id="{E9F07293-F013-472C-A740-EE4D7D7A113E}">
    <text>Updated per Guidehouse review.</text>
  </threadedComment>
  <threadedComment ref="J941" dT="2021-04-02T18:47:12.33" personId="{2BE53071-80F4-4D6F-A2F0-916AAB200931}" id="{7E82CE1F-FB4F-42C4-83FC-A1487D622CB8}">
    <text>Updated per Guidehouse review.</text>
  </threadedComment>
  <threadedComment ref="J942" dT="2021-04-02T18:47:12.33" personId="{2BE53071-80F4-4D6F-A2F0-916AAB200931}" id="{4DB7AF01-502A-44DD-8A6B-16E4CC5DCFB6}">
    <text>Updated per Guidehouse review.</text>
  </threadedComment>
  <threadedComment ref="J943" dT="2021-04-02T18:47:12.33" personId="{2BE53071-80F4-4D6F-A2F0-916AAB200931}" id="{2CE95E5E-E3A2-4F0C-A792-3EFD1478FD55}">
    <text>Updated per Guidehouse review.</text>
  </threadedComment>
  <threadedComment ref="J944" dT="2021-04-02T18:47:12.33" personId="{2BE53071-80F4-4D6F-A2F0-916AAB200931}" id="{6DCCF419-A379-4235-A234-7BA905DCDA30}">
    <text>Updated per Guidehouse review.</text>
  </threadedComment>
  <threadedComment ref="J945" dT="2021-04-02T18:47:12.33" personId="{2BE53071-80F4-4D6F-A2F0-916AAB200931}" id="{88111EEE-55D3-41DF-9295-4174B9D4D489}">
    <text>Updated per Guidehouse review.</text>
  </threadedComment>
  <threadedComment ref="J947" dT="2021-04-02T18:47:12.33" personId="{2BE53071-80F4-4D6F-A2F0-916AAB200931}" id="{76C0D6B4-AA4B-49B1-A7B7-BB98CFE975AB}">
    <text>Updated per Guidehouse review.</text>
  </threadedComment>
  <threadedComment ref="J948" dT="2021-04-02T18:47:12.33" personId="{2BE53071-80F4-4D6F-A2F0-916AAB200931}" id="{7413CD42-EF98-40B4-823C-699342024DBE}">
    <text>Updated per Guidehouse review.</text>
  </threadedComment>
  <threadedComment ref="J949" dT="2021-04-02T18:47:12.33" personId="{2BE53071-80F4-4D6F-A2F0-916AAB200931}" id="{29A0F9E3-58C9-477C-9FA1-679E2FEECA6E}">
    <text>Updated per Guidehouse review.</text>
  </threadedComment>
  <threadedComment ref="J950" dT="2021-04-02T18:47:12.33" personId="{2BE53071-80F4-4D6F-A2F0-916AAB200931}" id="{AAD5DB5D-1680-492E-9A00-2D2DC76E425E}">
    <text>Updated per Guidehouse review.</text>
  </threadedComment>
  <threadedComment ref="J951" dT="2021-04-02T18:47:12.33" personId="{2BE53071-80F4-4D6F-A2F0-916AAB200931}" id="{C81C1E65-36FB-47AF-8478-5F37FB910FF5}">
    <text>Updated per Guidehouse review.</text>
  </threadedComment>
  <threadedComment ref="J952" dT="2021-04-02T18:47:12.33" personId="{2BE53071-80F4-4D6F-A2F0-916AAB200931}" id="{BC681E7B-88B7-4458-BA1E-B036920684DF}">
    <text>Updated per Guidehouse review.</text>
  </threadedComment>
  <threadedComment ref="J953" dT="2021-04-02T18:47:12.33" personId="{2BE53071-80F4-4D6F-A2F0-916AAB200931}" id="{5CE05914-BD9F-4DED-BBFC-1759FDFC9BCF}">
    <text>Updated per Guidehouse review.</text>
  </threadedComment>
  <threadedComment ref="J954" dT="2021-04-02T18:47:12.33" personId="{2BE53071-80F4-4D6F-A2F0-916AAB200931}" id="{00A69867-90E5-42EA-9C8E-F68ECD6C6F19}">
    <text>Updated per Guidehouse review.</text>
  </threadedComment>
  <threadedComment ref="J955" dT="2021-04-02T18:47:12.33" personId="{2BE53071-80F4-4D6F-A2F0-916AAB200931}" id="{933AD65B-0362-450E-A60B-DF3B58145B56}">
    <text>Updated per Guidehouse review.</text>
  </threadedComment>
  <threadedComment ref="J956" dT="2021-04-02T18:47:12.33" personId="{2BE53071-80F4-4D6F-A2F0-916AAB200931}" id="{053FCD8C-DBA9-461B-A79D-7758C281857D}">
    <text>Updated per Guidehouse review.</text>
  </threadedComment>
  <threadedComment ref="G966" dT="2022-12-28T22:01:32.64" personId="{2BE53071-80F4-4D6F-A2F0-916AAB200931}" id="{09CB2477-7F00-4055-88BA-712E07A3EA65}">
    <text>Updated per IL TRM v11</text>
  </threadedComment>
  <threadedComment ref="G979" dT="2023-02-10T18:16:33.27" personId="{2BE53071-80F4-4D6F-A2F0-916AAB200931}" id="{B1DC32F3-2659-4171-AF3E-ADC407835291}">
    <text>Updated per IL TRM v11</text>
  </threadedComment>
  <threadedComment ref="G979" dT="2024-01-08T17:06:52.50" personId="{FA7E3B4C-1102-4378-B7D0-F89DC99F55A8}" id="{1CE9B03D-50CA-44C8-80ED-8297FB9AA741}" parentId="{B1DC32F3-2659-4171-AF3E-ADC407835291}">
    <text>Updated per IL TRM v12, page 338. Previous value 79%</text>
  </threadedComment>
  <threadedComment ref="H979" dT="2023-02-10T18:16:33.27" personId="{2BE53071-80F4-4D6F-A2F0-916AAB200931}" id="{D94628AF-FB8C-4110-96E6-E9347ED00565}">
    <text>Updated per IL TRM v11</text>
  </threadedComment>
  <threadedComment ref="H979" dT="2024-01-08T17:07:16.68" personId="{FA7E3B4C-1102-4378-B7D0-F89DC99F55A8}" id="{B24D098F-70C7-4413-B39F-6274E6771F46}" parentId="{D94628AF-FB8C-4110-96E6-E9347ED00565}">
    <text>Updated per IL TRM v12, page 338.</text>
  </threadedComment>
  <threadedComment ref="G980" dT="2024-01-12T15:55:38.15" personId="{FA7E3B4C-1102-4378-B7D0-F89DC99F55A8}" id="{F26588DA-F765-4BA4-9591-5813C7BBB672}">
    <text>Updated per IL TRM v12, page 336. Previous value 82% from 2020 MMDB.</text>
  </threadedComment>
  <threadedComment ref="H988" dT="2024-02-13T16:33:06.74" personId="{FA7E3B4C-1102-4378-B7D0-F89DC99F55A8}" id="{0A17929B-884C-48E0-8002-6F3B6F75C1BA}">
    <text>Updated assumption per IL TRM v12, page 338.</text>
  </threadedComment>
  <threadedComment ref="H989" dT="2024-02-13T16:34:04.68" personId="{FA7E3B4C-1102-4378-B7D0-F89DC99F55A8}" id="{298C54CC-09A0-4D1A-839F-7B8752E658C4}">
    <text>Updated assumption per 2024 Adjustable Goals Guidehouse review.</text>
  </threadedComment>
  <threadedComment ref="I989" dT="2024-02-21T14:33:28.54" personId="{FA7E3B4C-1102-4378-B7D0-F89DC99F55A8}" id="{B0D96B67-9480-4588-BB8C-1B2AA8156CC2}">
    <text>Updated per IL TRM v12. Previously "2020 MMDB."</text>
  </threadedComment>
  <threadedComment ref="G997" dT="2023-02-10T18:16:33.27" personId="{2BE53071-80F4-4D6F-A2F0-916AAB200931}" id="{2319328A-91D6-4543-AB02-F38A078C6329}">
    <text>Updated per IL TRM v11</text>
  </threadedComment>
  <threadedComment ref="G997" dT="2024-01-08T17:06:52.50" personId="{FA7E3B4C-1102-4378-B7D0-F89DC99F55A8}" id="{9C6273A1-8EF7-4621-887D-7B891CF3E985}" parentId="{2319328A-91D6-4543-AB02-F38A078C6329}">
    <text>Updated per IL TRM v12, page 338. Previous value 80%</text>
  </threadedComment>
  <threadedComment ref="H997" dT="2024-02-13T16:37:12.37" personId="{FA7E3B4C-1102-4378-B7D0-F89DC99F55A8}" id="{1DBAAEFD-4B35-49AF-95C4-8FA14A85E891}">
    <text>Updated assumption per IL TRM v12, page 338.</text>
  </threadedComment>
  <threadedComment ref="H998" dT="2024-02-13T16:34:04.68" personId="{FA7E3B4C-1102-4378-B7D0-F89DC99F55A8}" id="{7A6B746F-5E66-481A-8BE5-A88713723024}">
    <text>Updated assumption per 2024 Adjustable Goals Guidehouse review.</text>
  </threadedComment>
  <threadedComment ref="I998" dT="2024-02-21T14:33:28.54" personId="{FA7E3B4C-1102-4378-B7D0-F89DC99F55A8}" id="{474F099A-360C-4A70-8F65-9D8C4D44ADDC}">
    <text>Updated per IL TRM v12. Previously "2020 MMDB."</text>
  </threadedComment>
  <threadedComment ref="G1150" dT="2024-01-08T15:15:28.17" personId="{FA7E3B4C-1102-4378-B7D0-F89DC99F55A8}" id="{DE9015CC-0DF0-4DCC-A98D-EB1664758D7A}">
    <text>Updated per IL TRM v12, page 345. Previous value 80%.</text>
  </threadedComment>
  <threadedComment ref="G1228" dT="2023-12-28T17:48:01.66" personId="{FA7E3B4C-1102-4378-B7D0-F89DC99F55A8}" id="{83D41B96-F809-4AAE-B5DA-49553E43EE7C}">
    <text>Updated per IL TRM v12, page 123. Previous value 1840</text>
  </threadedComment>
  <threadedComment ref="G1231" dT="2021-04-12T16:27:02.31" personId="{2BE53071-80F4-4D6F-A2F0-916AAB200931}" id="{D50E2295-791A-482B-9735-73CD3193E17E}">
    <text>Updated per Guidehouse review.</text>
  </threadedComment>
  <threadedComment ref="H1231" dT="2021-04-02T18:28:34.53" personId="{2BE53071-80F4-4D6F-A2F0-916AAB200931}" id="{32E5D79C-5DE3-44A6-A529-C6A1ADA0FB1F}">
    <text>Updated per Guidehouse review.</text>
  </threadedComment>
  <threadedComment ref="G1232" dT="2021-04-12T16:27:14.02" personId="{2BE53071-80F4-4D6F-A2F0-916AAB200931}" id="{90DB1BF8-4519-4D92-BB84-3C0424E1F325}">
    <text>Updated per Guidehouse review.</text>
  </threadedComment>
  <threadedComment ref="H1232" dT="2021-04-02T18:28:34.53" personId="{2BE53071-80F4-4D6F-A2F0-916AAB200931}" id="{AC180A7E-B32B-4ACB-84C3-617AD6F0F526}">
    <text>Updated per Guidehouse review.</text>
  </threadedComment>
  <threadedComment ref="G1249" dT="2023-12-28T17:48:01.66" personId="{FA7E3B4C-1102-4378-B7D0-F89DC99F55A8}" id="{28EC1D76-D527-4063-ACB1-BB4DFE988893}">
    <text>Updated per IL TRM v12, page 123. Previous value 1840</text>
  </threadedComment>
  <threadedComment ref="H1252" dT="2021-04-02T18:28:34.53" personId="{2BE53071-80F4-4D6F-A2F0-916AAB200931}" id="{C0D99152-EF9C-4D3D-929E-6A3BBDD086CF}">
    <text>Updated per Guidehouse review.</text>
  </threadedComment>
  <threadedComment ref="H1253" dT="2021-04-02T18:28:34.53" personId="{2BE53071-80F4-4D6F-A2F0-916AAB200931}" id="{5ACA0E90-74FA-407F-8091-E5D7D282F691}">
    <text>Updated per Guidehouse review.</text>
  </threadedComment>
  <threadedComment ref="G1291" dT="2022-12-29T20:24:24.11" personId="{2BE53071-80F4-4D6F-A2F0-916AAB200931}" id="{96F95E30-D12A-400E-9F7C-DD4FAABC5BDE}">
    <text>Updated per IL TRM v11</text>
  </threadedComment>
  <threadedComment ref="G1317" dT="2024-01-05T16:06:52.23" personId="{FA7E3B4C-1102-4378-B7D0-F89DC99F55A8}" id="{74FB0E78-4BDD-4AB9-943B-79ED157718DE}">
    <text>Updated per IL TRM v12, page 278. Previous value 135</text>
  </threadedComment>
  <threadedComment ref="G1318" dT="2024-01-05T16:06:52.23" personId="{FA7E3B4C-1102-4378-B7D0-F89DC99F55A8}" id="{1C1B6A9A-2DBA-4E45-A807-9B9DBEA9679A}">
    <text>Updated per IL TRM v12, page 278. Previous value 120</text>
  </threadedComment>
  <threadedComment ref="G1328" dT="2024-01-05T16:06:52.23" personId="{FA7E3B4C-1102-4378-B7D0-F89DC99F55A8}" id="{4FD5AC03-D428-47FB-88BE-ECB7ED795EE5}">
    <text>Updated per IL TRM v12, page 278. Previous value 135</text>
  </threadedComment>
  <threadedComment ref="G1329" dT="2024-01-05T16:06:52.23" personId="{FA7E3B4C-1102-4378-B7D0-F89DC99F55A8}" id="{B1B6159A-E59C-4F5C-9377-09B66B692678}">
    <text>Updated per IL TRM v12, page 278. Previous value 120</text>
  </threadedComment>
  <threadedComment ref="H1331" dT="2024-02-06T15:46:17.30" personId="{FA7E3B4C-1102-4378-B7D0-F89DC99F55A8}" id="{9A9F8C70-3902-409F-8281-5613BA6B57F4}">
    <text>Updated per IL TRM v12, page 278. Previous ISR 13% if school kit instructions.</text>
  </threadedComment>
  <threadedComment ref="G1339" dT="2024-01-05T16:06:52.23" personId="{FA7E3B4C-1102-4378-B7D0-F89DC99F55A8}" id="{A2CBE7CD-789C-4BA4-8DF0-F5332E71005A}">
    <text>Updated per IL TRM v12, page 278. Previous value 135</text>
  </threadedComment>
  <threadedComment ref="G1340" dT="2024-01-05T16:06:52.23" personId="{FA7E3B4C-1102-4378-B7D0-F89DC99F55A8}" id="{24EBC97B-8415-40DB-AC86-82A91242CC1E}">
    <text>Updated per IL TRM v12, page 278. Previous value 120</text>
  </threadedComment>
  <threadedComment ref="G1906" dT="2022-12-28T21:56:54.03" personId="{2BE53071-80F4-4D6F-A2F0-916AAB200931}" id="{46034884-E51A-4939-BBE5-F000979C1EF9}">
    <text>Updated per IL TRM v11</text>
  </threadedComment>
  <threadedComment ref="G1906" dT="2023-12-29T19:45:47.30" personId="{FA7E3B4C-1102-4378-B7D0-F89DC99F55A8}" id="{D5B6BF75-073D-4F67-83A1-7B59AEE926A6}" parentId="{46034884-E51A-4939-BBE5-F000979C1EF9}">
    <text>Updated per IL TRM v12, page 257. 
Previous value 22.44%.</text>
  </threadedComment>
  <threadedComment ref="G1908" dT="2022-12-28T21:58:23.42" personId="{2BE53071-80F4-4D6F-A2F0-916AAB200931}" id="{FB3CE72A-8D54-4D78-AA18-1E027CA3F977}">
    <text>Updated per IL TRM v11</text>
  </threadedComment>
  <threadedComment ref="G1908" dT="2023-12-29T19:47:33.76" personId="{FA7E3B4C-1102-4378-B7D0-F89DC99F55A8}" id="{BD393684-F05E-45A2-B52A-7CD9EA3B10C5}" parentId="{FB3CE72A-8D54-4D78-AA18-1E027CA3F977}">
    <text>Updated per IL TRM v12, page 257. 
Previous value 44.57%.</text>
  </threadedComment>
  <threadedComment ref="H1919" dT="2024-02-13T17:47:01.31" personId="{FA7E3B4C-1102-4378-B7D0-F89DC99F55A8}" id="{5402B1B5-2238-459D-A6F2-69DAA7D24C84}">
    <text>Updated per 2024 Adjustable Goals Guidehouse review.</text>
  </threadedComment>
  <threadedComment ref="G2396" dT="2024-01-05T14:51:54.94" personId="{FA7E3B4C-1102-4378-B7D0-F89DC99F55A8}" id="{9EB20E66-FF75-4CED-A32F-2021EF1E51C6}">
    <text>Updated per IL TRM v12, page 113.</text>
  </threadedComment>
  <threadedComment ref="G2397" dT="2024-01-05T14:51:54.94" personId="{FA7E3B4C-1102-4378-B7D0-F89DC99F55A8}" id="{C8CF514A-ECAC-48AF-9657-0C6950DC7EEC}">
    <text>Updated per IL TRM v12, page 113.</text>
  </threadedComment>
  <threadedComment ref="G2398" dT="2024-01-05T14:51:54.94" personId="{FA7E3B4C-1102-4378-B7D0-F89DC99F55A8}" id="{B4E3BDAE-BBEB-44D1-8128-1B927BC343A9}">
    <text>Updated per IL TRM v12, page 113.</text>
  </threadedComment>
  <threadedComment ref="G2399" dT="2024-01-05T14:51:54.94" personId="{FA7E3B4C-1102-4378-B7D0-F89DC99F55A8}" id="{5C65BE3D-E815-4D73-A535-DA4AF27796D9}">
    <text>Updated per IL TRM v12, page 113.</text>
  </threadedComment>
  <threadedComment ref="G2400" dT="2024-01-05T14:51:54.94" personId="{FA7E3B4C-1102-4378-B7D0-F89DC99F55A8}" id="{AF844715-956E-48B8-AEA1-2674D6E93FBA}">
    <text>Updated per IL TRM v12, page 113.</text>
  </threadedComment>
  <threadedComment ref="G2401" dT="2024-01-05T14:51:54.94" personId="{FA7E3B4C-1102-4378-B7D0-F89DC99F55A8}" id="{ECD1AA9B-E211-41C5-9CF6-244191AD207A}">
    <text>Updated per IL TRM v12, page 113.</text>
  </threadedComment>
  <threadedComment ref="G2402" dT="2024-01-05T14:51:54.94" personId="{FA7E3B4C-1102-4378-B7D0-F89DC99F55A8}" id="{1927AD12-1D48-470E-9437-1A8681B70680}">
    <text>Updated per IL TRM v12, page 113.</text>
  </threadedComment>
  <threadedComment ref="G2403" dT="2024-01-05T14:51:54.94" personId="{FA7E3B4C-1102-4378-B7D0-F89DC99F55A8}" id="{16D5A9F1-5BF8-4413-9165-5507CB0F70F8}">
    <text>Updated per IL TRM v12, page 113.</text>
  </threadedComment>
  <threadedComment ref="G2404" dT="2024-01-05T14:51:54.94" personId="{FA7E3B4C-1102-4378-B7D0-F89DC99F55A8}" id="{FA6ADB59-B21B-4CCB-88D1-09CE51E1D755}">
    <text>Updated per IL TRM v12, page 113.</text>
  </threadedComment>
  <threadedComment ref="G2405" dT="2024-01-05T14:51:54.94" personId="{FA7E3B4C-1102-4378-B7D0-F89DC99F55A8}" id="{2DBD38D9-D31F-42B7-AEB6-55B1E5CA38A0}">
    <text>Updated per IL TRM v12, page 114.</text>
  </threadedComment>
  <threadedComment ref="G2406" dT="2024-01-05T14:51:54.94" personId="{FA7E3B4C-1102-4378-B7D0-F89DC99F55A8}" id="{AEE64ED0-91A1-4146-9A53-5952A56F9931}">
    <text>Updated per IL TRM v12, page 113.</text>
  </threadedComment>
  <threadedComment ref="G2407" dT="2024-01-05T14:51:54.94" personId="{FA7E3B4C-1102-4378-B7D0-F89DC99F55A8}" id="{A5C7090A-7831-48CC-9B0B-2013DA5C777E}">
    <text>Updated per IL TRM v12, page 114.</text>
  </threadedComment>
  <threadedComment ref="G2408" dT="2024-01-05T14:51:54.94" personId="{FA7E3B4C-1102-4378-B7D0-F89DC99F55A8}" id="{1023E600-E2EE-4081-BC5C-03126547B92F}">
    <text>Updated per IL TRM v12, page 113.</text>
  </threadedComment>
  <threadedComment ref="G2409" dT="2024-01-05T14:51:54.94" personId="{FA7E3B4C-1102-4378-B7D0-F89DC99F55A8}" id="{5ED5A243-C0FB-4A87-AC6F-750265027899}">
    <text>Updated per IL TRM v12, page 113.</text>
  </threadedComment>
  <threadedComment ref="G2410" dT="2024-01-05T14:51:54.94" personId="{FA7E3B4C-1102-4378-B7D0-F89DC99F55A8}" id="{812D73E6-9324-4B8D-ADC2-25FEE9D01D08}">
    <text>Updated per IL TRM v12, page 113.</text>
  </threadedComment>
  <threadedComment ref="G2411" dT="2024-01-05T14:51:54.94" personId="{FA7E3B4C-1102-4378-B7D0-F89DC99F55A8}" id="{D50A8D27-CB7D-4DA8-82A3-CCE42AADBA58}">
    <text>Updated per IL TRM v12, page 113.</text>
  </threadedComment>
  <threadedComment ref="G2412" dT="2024-01-05T14:51:54.94" personId="{FA7E3B4C-1102-4378-B7D0-F89DC99F55A8}" id="{E7208B89-F30B-445F-A197-CA7FCA4F4C5B}">
    <text>Updated per IL TRM v12, page 114.</text>
  </threadedComment>
  <threadedComment ref="G2413" dT="2024-01-05T14:51:54.94" personId="{FA7E3B4C-1102-4378-B7D0-F89DC99F55A8}" id="{0C7CA9A8-C340-42BF-BF0E-814E484B8484}">
    <text>Updated per IL TRM v12, page 113.</text>
  </threadedComment>
  <threadedComment ref="G2414" dT="2024-01-05T14:51:54.94" personId="{FA7E3B4C-1102-4378-B7D0-F89DC99F55A8}" id="{61890627-1C3C-417B-9039-5A9A409225DB}">
    <text>Updated per IL TRM v12, page 114.</text>
  </threadedComment>
  <threadedComment ref="G2415" dT="2024-01-05T14:51:54.94" personId="{FA7E3B4C-1102-4378-B7D0-F89DC99F55A8}" id="{89251DC9-8555-49D4-A6D6-BD214EE1A16F}">
    <text>Updated per IL TRM v12, page 113.</text>
  </threadedComment>
  <threadedComment ref="G2416" dT="2024-01-05T14:51:54.94" personId="{FA7E3B4C-1102-4378-B7D0-F89DC99F55A8}" id="{DF4CCCE8-CEDC-4399-B293-C6A95DB776A7}">
    <text>Updated per IL TRM v12, page 114.</text>
  </threadedComment>
  <threadedComment ref="G2417" dT="2024-01-05T14:51:54.94" personId="{FA7E3B4C-1102-4378-B7D0-F89DC99F55A8}" id="{59F51E62-D005-4F0D-A788-AE2CC2523E26}">
    <text>Updated per IL TRM v12, page 114.</text>
  </threadedComment>
  <threadedComment ref="G2418" dT="2024-01-05T14:51:54.94" personId="{FA7E3B4C-1102-4378-B7D0-F89DC99F55A8}" id="{A546E257-A8B6-43FC-BD1A-5DE7E7587DF7}">
    <text>Updated per IL TRM v12, page 114.</text>
  </threadedComment>
  <threadedComment ref="G2419" dT="2024-01-05T14:51:54.94" personId="{FA7E3B4C-1102-4378-B7D0-F89DC99F55A8}" id="{B3E02963-1DC6-4404-8EA4-6954E49CE5F4}">
    <text>Updated per IL TRM v12, page 114.</text>
  </threadedComment>
  <threadedComment ref="G2420" dT="2024-01-05T14:51:54.94" personId="{FA7E3B4C-1102-4378-B7D0-F89DC99F55A8}" id="{F2D5AD26-BEAB-4C2C-8463-744E701D90B3}">
    <text>Updated per IL TRM v12, page 114.</text>
  </threadedComment>
  <threadedComment ref="G2421" dT="2024-01-05T14:51:54.94" personId="{FA7E3B4C-1102-4378-B7D0-F89DC99F55A8}" id="{187E628F-0FD1-4496-802F-20CED9E62CFE}">
    <text>Updated per IL TRM v12, page 114.</text>
  </threadedComment>
  <threadedComment ref="G2422" dT="2024-01-05T14:51:54.94" personId="{FA7E3B4C-1102-4378-B7D0-F89DC99F55A8}" id="{FD6919F2-9159-472A-99E8-6173E168ECCB}">
    <text>Updated per IL TRM v12, page 114.</text>
  </threadedComment>
  <threadedComment ref="G2423" dT="2024-01-05T14:51:54.94" personId="{FA7E3B4C-1102-4378-B7D0-F89DC99F55A8}" id="{9B3F57EE-8651-4C03-9269-39E7413BF4F5}">
    <text>Updated per IL TRM v12, page 113.</text>
  </threadedComment>
  <threadedComment ref="G2424" dT="2024-01-05T14:51:54.94" personId="{FA7E3B4C-1102-4378-B7D0-F89DC99F55A8}" id="{28DC0F2B-399C-4A4E-9EB8-6FBB96D2A5FB}">
    <text>Updated per IL TRM v12, page 113.</text>
  </threadedComment>
  <threadedComment ref="G2427" dT="2024-01-05T14:48:58.26" personId="{FA7E3B4C-1102-4378-B7D0-F89DC99F55A8}" id="{E5507E2A-4A9B-46A7-94DC-0F4752FEE742}">
    <text>Updated per IL TRM v12, page 113. Previously deemed value of 884, now algorithmic</text>
  </threadedComment>
  <threadedComment ref="G2428" dT="2024-02-05T19:55:34.90" personId="{FA7E3B4C-1102-4378-B7D0-F89DC99F55A8}" id="{DC15BF3A-A7BE-45B6-9EF5-344E1248A998}">
    <text>Updated per IL TRM v12, page 112. Previous value 17.</text>
  </threadedComment>
  <threadedComment ref="G2429" dT="2024-02-13T15:27:45.65" personId="{FA7E3B4C-1102-4378-B7D0-F89DC99F55A8}" id="{A3445535-4B49-4D28-A1F8-EAEF6706DC0E}">
    <text>Updated per IL TRM v12, page 112. Previously value $1800.</text>
  </threadedComment>
  <threadedComment ref="G2457" dT="2022-12-28T19:29:48.47" personId="{2BE53071-80F4-4D6F-A2F0-916AAB200931}" id="{BFA952F7-A709-487F-A43D-4747349D13D5}">
    <text>Updated per IL TRM v11</text>
  </threadedComment>
  <threadedComment ref="G2458" dT="2022-12-28T19:29:48.47" personId="{2BE53071-80F4-4D6F-A2F0-916AAB200931}" id="{A2D63605-6D46-4E35-8282-29D464A2D0C2}">
    <text>Updated per IL TRM v11</text>
  </threadedComment>
  <threadedComment ref="H2458" dT="2024-02-13T15:47:12.17" personId="{FA7E3B4C-1102-4378-B7D0-F89DC99F55A8}" id="{CE7422EA-5AC0-4CDB-BC5F-C3C55F623F60}">
    <text>Updated per IL TRM v12, page 120. Removed "default unknown" terminology.</text>
  </threadedComment>
  <threadedComment ref="G2459" dT="2022-12-28T18:20:09.00" personId="{2BE53071-80F4-4D6F-A2F0-916AAB200931}" id="{3BD5ED6C-ECDF-4BD9-BF04-9A1AF40CD8C2}">
    <text>Updated per IL TRM v11</text>
  </threadedComment>
  <threadedComment ref="G2460" dT="2022-12-28T19:28:37.36" personId="{2BE53071-80F4-4D6F-A2F0-916AAB200931}" id="{40492447-98A7-47B0-96CF-4A9B56915117}">
    <text>Updated per IL TRM v11</text>
  </threadedComment>
  <threadedComment ref="G2461" dT="2022-12-28T18:17:39.61" personId="{2BE53071-80F4-4D6F-A2F0-916AAB200931}" id="{22FFAD26-7578-4795-B97D-2124B8E633B1}">
    <text>Updated per IL TRM v11</text>
  </threadedComment>
  <threadedComment ref="G2462" dT="2022-12-28T18:17:05.77" personId="{2BE53071-80F4-4D6F-A2F0-916AAB200931}" id="{C063640B-3E38-4F4D-961C-9030ABFB0E45}">
    <text>Updated per IL TRM v11</text>
  </threadedComment>
  <threadedComment ref="H2462" dT="2024-02-13T15:47:12.17" personId="{FA7E3B4C-1102-4378-B7D0-F89DC99F55A8}" id="{75EA1A62-0334-4085-8505-AFA8DFBC8E39}">
    <text>Updated per IL TRM v12, page 118. Removed "default unknown" terminology.</text>
  </threadedComment>
  <threadedComment ref="G2463" dT="2022-12-28T18:18:13.86" personId="{2BE53071-80F4-4D6F-A2F0-916AAB200931}" id="{647031CF-74FF-49F7-9A72-393E13B1102A}">
    <text>Updated per IL TRM v11</text>
  </threadedComment>
  <threadedComment ref="G2464" dT="2022-12-28T18:18:13.86" personId="{2BE53071-80F4-4D6F-A2F0-916AAB200931}" id="{0EEF5771-F79D-4CF6-B591-B98EADDD267C}">
    <text>Updated per IL TRM v11</text>
  </threadedComment>
  <threadedComment ref="H2464" dT="2024-02-13T15:47:12.17" personId="{FA7E3B4C-1102-4378-B7D0-F89DC99F55A8}" id="{A51F8CCE-67BC-4A98-8489-F459CF3C7B42}">
    <text>Updated per IL TRM v12, page 119. Removed "default unknown" terminology.</text>
  </threadedComment>
  <threadedComment ref="G2468" dT="2024-01-04T18:17:32.86" personId="{FA7E3B4C-1102-4378-B7D0-F89DC99F55A8}" id="{C36FF9E2-DB5C-4E09-A1EF-97C8F100EF59}">
    <text>Updated per IL TRM v12, page 117.</text>
  </threadedComment>
  <threadedComment ref="G2469" dT="2024-01-04T18:17:32.86" personId="{FA7E3B4C-1102-4378-B7D0-F89DC99F55A8}" id="{AD239D53-B3E4-49F5-B104-F3A7DD335D10}">
    <text>Updated per IL TRM v12, page 120.</text>
  </threadedComment>
  <threadedComment ref="G2470" dT="2024-01-04T18:17:32.86" personId="{FA7E3B4C-1102-4378-B7D0-F89DC99F55A8}" id="{39CE0CE5-5446-483A-BEDC-585D043EF06E}">
    <text>Updated per IL TRM v12, page 119.</text>
  </threadedComment>
  <threadedComment ref="G2471" dT="2024-01-04T18:17:32.86" personId="{FA7E3B4C-1102-4378-B7D0-F89DC99F55A8}" id="{1CF153A6-FCE0-43C0-A6FF-F9364CF92553}">
    <text>Updated per IL TRM v12, page 117.</text>
  </threadedComment>
  <threadedComment ref="G2472" dT="2024-01-04T18:17:32.86" personId="{FA7E3B4C-1102-4378-B7D0-F89DC99F55A8}" id="{CD3873FB-E12D-4D5F-900C-DF88CBD341E6}">
    <text>Updated per IL TRM v12, page 120.</text>
  </threadedComment>
  <threadedComment ref="G2473" dT="2024-01-04T18:17:32.86" personId="{FA7E3B4C-1102-4378-B7D0-F89DC99F55A8}" id="{1BE73253-3C04-4927-9772-BE32EE857250}">
    <text>Updated per IL TRM v12, page 120.</text>
  </threadedComment>
  <threadedComment ref="G2474" dT="2024-01-04T18:17:32.86" personId="{FA7E3B4C-1102-4378-B7D0-F89DC99F55A8}" id="{A03DF3D2-80CA-4535-A392-C72F304D4166}">
    <text>Updated per IL TRM v12, page 119.</text>
  </threadedComment>
  <threadedComment ref="G2475" dT="2024-01-04T18:17:32.86" personId="{FA7E3B4C-1102-4378-B7D0-F89DC99F55A8}" id="{32C75101-463E-402B-A731-0B587B1BA3F3}">
    <text>Updated per IL TRM v12, page 117.</text>
  </threadedComment>
  <threadedComment ref="G2476" dT="2024-01-04T18:17:32.86" personId="{FA7E3B4C-1102-4378-B7D0-F89DC99F55A8}" id="{24E505C5-4C4B-411E-99EC-0C0A9AAE94FF}">
    <text>Updated per IL TRM v12, page 120.</text>
  </threadedComment>
  <threadedComment ref="G2477" dT="2023-12-29T16:32:31.35" personId="{FA7E3B4C-1102-4378-B7D0-F89DC99F55A8}" id="{122D4F38-2907-4BC9-9094-0E6265769744}">
    <text>Updated per IL TRM v12, page 116. Fossil fuel savings now include preheat savings. Previous value 183.29</text>
  </threadedComment>
  <threadedComment ref="G2484" dT="2021-04-07T14:16:27.57" personId="{2BE53071-80F4-4D6F-A2F0-916AAB200931}" id="{134639D6-6200-4933-90C4-0DCB0EC2EEA3}">
    <text>Updated per Guidehouse review.</text>
  </threadedComment>
  <threadedComment ref="G2501" dT="2021-04-07T14:16:27.57" personId="{2BE53071-80F4-4D6F-A2F0-916AAB200931}" id="{0685D531-EBCA-4CBC-88CE-8298C8669886}">
    <text>Updated per Guidehouse review.</text>
  </threadedComment>
  <threadedComment ref="E2517" dT="2024-02-21T14:42:06.11" personId="{FA7E3B4C-1102-4378-B7D0-F89DC99F55A8}" id="{4A16498E-D7E0-4D9F-80EF-5AF6C541050B}">
    <text>Updated per IL TRM v12, page 105.</text>
  </threadedComment>
  <threadedComment ref="G2521" dT="2024-02-08T19:11:24.22" personId="{FA7E3B4C-1102-4378-B7D0-F89DC99F55A8}" id="{8D3F07D5-94DF-479F-AE19-AB207AE33E17}">
    <text>Updated per IL TRM v12, page 106. Previous value 0.25</text>
  </threadedComment>
  <threadedComment ref="E2525" dT="2024-02-21T14:42:47.96" personId="{FA7E3B4C-1102-4378-B7D0-F89DC99F55A8}" id="{930EF374-5373-4543-A4F3-611D8DA0F940}">
    <text>Updated per IL TRM v12, page 106.</text>
  </threadedComment>
  <threadedComment ref="E2528" dT="2024-02-21T14:42:06.11" personId="{FA7E3B4C-1102-4378-B7D0-F89DC99F55A8}" id="{85295867-83A4-4181-AF15-7A8FBA92DB8C}">
    <text>Updated per IL TRM v12, page 105.</text>
  </threadedComment>
  <threadedComment ref="E2530" dT="2024-02-21T14:42:47.96" personId="{FA7E3B4C-1102-4378-B7D0-F89DC99F55A8}" id="{9A6EEED2-3EA8-4B95-89E1-A8D08BE5A961}">
    <text>Updated per IL TRM v12, page 106.</text>
  </threadedComment>
  <threadedComment ref="G2532" dT="2024-02-08T19:11:24.22" personId="{FA7E3B4C-1102-4378-B7D0-F89DC99F55A8}" id="{D73D98E3-2322-49E2-BF0A-99290695BB77}">
    <text>Updated per IL TRM v12, page 107. Previous value 0.25</text>
  </threadedComment>
  <threadedComment ref="G2533" dT="2024-02-13T17:24:34.23" personId="{FA7E3B4C-1102-4378-B7D0-F89DC99F55A8}" id="{3CE3AD5C-EFA5-4284-B565-C7A65A92EEB3}">
    <text>Updated per IL TRM v12, page 104. Inclusion of "PreTime" inputs.</text>
  </threadedComment>
  <threadedComment ref="G2535" dT="2024-02-08T19:32:35.61" personId="{FA7E3B4C-1102-4378-B7D0-F89DC99F55A8}" id="{CFDED881-584A-4BA4-9669-F0E2FAFD0495}">
    <text>Updated per IL TRM v12, page 106.</text>
  </threadedComment>
  <threadedComment ref="G2536" dT="2024-02-08T19:32:45.80" personId="{FA7E3B4C-1102-4378-B7D0-F89DC99F55A8}" id="{FC29D70B-A43D-4BDD-A3DC-C863D9F0A082}">
    <text>Updated per IL TRM v12, page 106.</text>
  </threadedComment>
  <threadedComment ref="G2537" dT="2024-02-08T19:33:27.11" personId="{FA7E3B4C-1102-4378-B7D0-F89DC99F55A8}" id="{FB15EF35-A146-4B86-A5B2-490233E50F69}">
    <text>Updated per IL TRM v12, page 104. Addition of Preheat_Base and Preheat_EE</text>
  </threadedComment>
  <threadedComment ref="E2543" dT="2024-02-13T17:35:03.60" personId="{FA7E3B4C-1102-4378-B7D0-F89DC99F55A8}" id="{F7329593-5C62-4510-B866-537D2A9E6908}">
    <text>Updated per IL TRM v12, page 107.</text>
  </threadedComment>
  <threadedComment ref="E2547" dT="2024-02-21T14:42:06.11" personId="{FA7E3B4C-1102-4378-B7D0-F89DC99F55A8}" id="{B77C98CC-3BDE-4C4C-891F-583026B7EBBB}">
    <text>Updated per IL TRM v12, page 105.</text>
  </threadedComment>
  <threadedComment ref="E2548" dT="2024-02-13T17:35:03.60" personId="{FA7E3B4C-1102-4378-B7D0-F89DC99F55A8}" id="{AF492D9B-0CC3-4A43-A716-77C4766D6971}">
    <text>Updated per IL TRM v12, page 107.</text>
  </threadedComment>
  <threadedComment ref="G2556" dT="2024-02-08T19:17:30.08" personId="{FA7E3B4C-1102-4378-B7D0-F89DC99F55A8}" id="{C6C502D0-2CD1-4816-A25E-E4D7D6D00BD8}">
    <text>Updated per IL TRM v12, page 103.</text>
  </threadedComment>
  <threadedComment ref="E2567" dT="2024-02-21T14:42:06.11" personId="{FA7E3B4C-1102-4378-B7D0-F89DC99F55A8}" id="{0EEB6E00-7E79-45A8-8F31-5843A247A450}">
    <text>Updated per IL TRM v12, page 105.</text>
  </threadedComment>
  <threadedComment ref="G2571" dT="2024-02-08T19:11:24.22" personId="{FA7E3B4C-1102-4378-B7D0-F89DC99F55A8}" id="{323CEAE8-D26A-4BC4-80D4-38B9F241F48C}">
    <text>Updated per IL TRM v12, page 106. Previous value 0.25</text>
  </threadedComment>
  <threadedComment ref="E2575" dT="2024-02-21T14:42:47.96" personId="{FA7E3B4C-1102-4378-B7D0-F89DC99F55A8}" id="{759F6218-34BC-4C77-BC75-28A558E30759}">
    <text>Updated per IL TRM v12, page 106.</text>
  </threadedComment>
  <threadedComment ref="E2578" dT="2024-02-21T14:42:06.11" personId="{FA7E3B4C-1102-4378-B7D0-F89DC99F55A8}" id="{4293B150-AC69-4C44-89F1-B0EBD0747D40}">
    <text>Updated per IL TRM v12, page 105.</text>
  </threadedComment>
  <threadedComment ref="E2580" dT="2024-02-21T14:42:47.96" personId="{FA7E3B4C-1102-4378-B7D0-F89DC99F55A8}" id="{431E66C1-AC05-4532-A2B7-52E4004E48A8}">
    <text>Updated per IL TRM v12, page 106.</text>
  </threadedComment>
  <threadedComment ref="G2582" dT="2024-02-08T19:11:24.22" personId="{FA7E3B4C-1102-4378-B7D0-F89DC99F55A8}" id="{9085C68C-5463-4374-8701-30B2BFAD38BC}">
    <text>Updated per IL TRM v12, page 107. Previous value 0.25</text>
  </threadedComment>
  <threadedComment ref="G2583" dT="2024-02-13T17:24:34.23" personId="{FA7E3B4C-1102-4378-B7D0-F89DC99F55A8}" id="{009585B5-4CFC-422A-818B-1B55F5FD8BBE}">
    <text>Updated per IL TRM v12, page 104. Inclusion of "PreTime" inputs.</text>
  </threadedComment>
  <threadedComment ref="G2585" dT="2024-02-08T19:32:35.61" personId="{FA7E3B4C-1102-4378-B7D0-F89DC99F55A8}" id="{74142F4F-30BC-4A89-8579-4E98419A4006}">
    <text>Updated per IL TRM v12, page 106.</text>
  </threadedComment>
  <threadedComment ref="G2586" dT="2024-02-08T19:32:45.80" personId="{FA7E3B4C-1102-4378-B7D0-F89DC99F55A8}" id="{FA4A7941-03E6-43F5-8247-F59FD8D0B430}">
    <text>Updated per IL TRM v12, page 106.</text>
  </threadedComment>
  <threadedComment ref="G2587" dT="2024-02-08T19:33:27.11" personId="{FA7E3B4C-1102-4378-B7D0-F89DC99F55A8}" id="{BEB511EA-29CA-4D02-8290-4E0363F4DFC3}">
    <text>Updated per IL TRM v12, page 104. Addition of Preheat_Base and Preheat_EE</text>
  </threadedComment>
  <threadedComment ref="E2593" dT="2024-02-13T17:35:03.60" personId="{FA7E3B4C-1102-4378-B7D0-F89DC99F55A8}" id="{882ECFE6-C836-4597-9DC6-5C6D3C24B3F7}">
    <text>Updated per IL TRM v12, page 107.</text>
  </threadedComment>
  <threadedComment ref="E2597" dT="2024-02-21T14:42:06.11" personId="{FA7E3B4C-1102-4378-B7D0-F89DC99F55A8}" id="{6AE8A925-3D91-45A8-9A97-02D8B24EA2DF}">
    <text>Updated per IL TRM v12, page 105.</text>
  </threadedComment>
  <threadedComment ref="E2598" dT="2024-02-13T17:35:03.60" personId="{FA7E3B4C-1102-4378-B7D0-F89DC99F55A8}" id="{9D491822-D969-4F45-BB06-86B5BE1338EE}">
    <text>Updated per IL TRM v12, page 107.</text>
  </threadedComment>
  <threadedComment ref="G2606" dT="2024-02-08T19:17:30.08" personId="{FA7E3B4C-1102-4378-B7D0-F89DC99F55A8}" id="{7D1B0092-6647-4201-B93D-08A69FDF3BF6}">
    <text>Updated per IL TRM v12, page 103.</text>
  </threadedComment>
  <threadedComment ref="E2617" dT="2024-02-21T14:42:06.11" personId="{FA7E3B4C-1102-4378-B7D0-F89DC99F55A8}" id="{81C8BAEC-B177-43D2-9EBF-5F26BAF1165B}">
    <text>Updated per IL TRM v12, page 105.</text>
  </threadedComment>
  <threadedComment ref="G2621" dT="2024-02-08T19:11:24.22" personId="{FA7E3B4C-1102-4378-B7D0-F89DC99F55A8}" id="{37633540-F8BB-4550-AD5E-28BC548211B3}">
    <text>Updated per IL TRM v12, page 106. Previous value 0.25</text>
  </threadedComment>
  <threadedComment ref="E2625" dT="2024-02-21T14:42:47.96" personId="{FA7E3B4C-1102-4378-B7D0-F89DC99F55A8}" id="{E65507F6-AA8C-44D1-B1A8-ECCBA6AAF488}">
    <text>Updated per IL TRM v12, page 106.</text>
  </threadedComment>
  <threadedComment ref="E2628" dT="2024-02-21T14:42:06.11" personId="{FA7E3B4C-1102-4378-B7D0-F89DC99F55A8}" id="{ADDF4CBB-B25A-4FF1-B810-4D5F2297F8EF}">
    <text>Updated per IL TRM v12, page 105.</text>
  </threadedComment>
  <threadedComment ref="E2630" dT="2024-02-21T14:42:47.96" personId="{FA7E3B4C-1102-4378-B7D0-F89DC99F55A8}" id="{9CEF3F50-7D61-4B05-93D3-E58A15F83C2B}">
    <text>Updated per IL TRM v12, page 106.</text>
  </threadedComment>
  <threadedComment ref="G2632" dT="2024-02-08T19:11:24.22" personId="{FA7E3B4C-1102-4378-B7D0-F89DC99F55A8}" id="{E5551E8A-7E20-49A6-92C2-561B2E984EE7}">
    <text>Updated per IL TRM v12, page 107. Previous value 0.25</text>
  </threadedComment>
  <threadedComment ref="G2633" dT="2024-02-13T17:24:34.23" personId="{FA7E3B4C-1102-4378-B7D0-F89DC99F55A8}" id="{4B442D0B-E663-45C7-9DD9-9D441BA37800}">
    <text>Updated per IL TRM v12, page 104. Inclusion of "PreTime" inputs.</text>
  </threadedComment>
  <threadedComment ref="G2635" dT="2024-02-08T19:32:35.61" personId="{FA7E3B4C-1102-4378-B7D0-F89DC99F55A8}" id="{CDF007B6-0E5F-4A2F-8290-17BF9967D0A4}">
    <text>Updated per IL TRM v12, page 106.</text>
  </threadedComment>
  <threadedComment ref="G2636" dT="2024-02-08T19:32:45.80" personId="{FA7E3B4C-1102-4378-B7D0-F89DC99F55A8}" id="{CEBF809C-AD25-40A1-B535-3C2CA42C6245}">
    <text>Updated per IL TRM v12, page 106.</text>
  </threadedComment>
  <threadedComment ref="G2637" dT="2024-02-08T19:33:27.11" personId="{FA7E3B4C-1102-4378-B7D0-F89DC99F55A8}" id="{5B809A01-2D95-4D5F-BA5D-ACC0251C5D35}">
    <text>Updated per IL TRM v12, page 104. Addition of Preheat_Base and Preheat_EE</text>
  </threadedComment>
  <threadedComment ref="E2643" dT="2024-02-13T17:35:03.60" personId="{FA7E3B4C-1102-4378-B7D0-F89DC99F55A8}" id="{5B3964C1-1E60-4638-B7B4-76FD7AA2881D}">
    <text>Updated per IL TRM v12, page 107.</text>
  </threadedComment>
  <threadedComment ref="E2647" dT="2024-02-21T14:42:06.11" personId="{FA7E3B4C-1102-4378-B7D0-F89DC99F55A8}" id="{1C7606D9-3824-41FD-A298-C9B8279DCFF3}">
    <text>Updated per IL TRM v12, page 105.</text>
  </threadedComment>
  <threadedComment ref="E2648" dT="2024-02-13T17:35:03.60" personId="{FA7E3B4C-1102-4378-B7D0-F89DC99F55A8}" id="{D4C4D027-6FC9-4C70-B0D6-D2F28C032279}">
    <text>Updated per IL TRM v12, page 107.</text>
  </threadedComment>
  <threadedComment ref="G2656" dT="2024-02-08T19:17:30.08" personId="{FA7E3B4C-1102-4378-B7D0-F89DC99F55A8}" id="{3D092FD2-8463-4E34-9E48-813F976F51CF}">
    <text>Updated per IL TRM v12, page 103.</text>
  </threadedComment>
  <threadedComment ref="E2667" dT="2024-02-21T14:42:06.11" personId="{FA7E3B4C-1102-4378-B7D0-F89DC99F55A8}" id="{37BA515A-2A01-4CF9-B1E7-878E0D0EED54}">
    <text>Updated per IL TRM v12, page 105.</text>
  </threadedComment>
  <threadedComment ref="G2671" dT="2024-02-08T19:11:24.22" personId="{FA7E3B4C-1102-4378-B7D0-F89DC99F55A8}" id="{4CA30828-CECD-42E4-8AB5-D1BF62312028}">
    <text>Updated per IL TRM v12, page 106. Previous value 0.25</text>
  </threadedComment>
  <threadedComment ref="E2675" dT="2024-02-21T14:42:47.96" personId="{FA7E3B4C-1102-4378-B7D0-F89DC99F55A8}" id="{11D01EF1-A9B3-4CD6-A91B-4BE4844FC0D2}">
    <text>Updated per IL TRM v12, page 106.</text>
  </threadedComment>
  <threadedComment ref="E2678" dT="2024-02-21T14:42:06.11" personId="{FA7E3B4C-1102-4378-B7D0-F89DC99F55A8}" id="{FAA9E725-10C7-4848-A9C7-E4C7201F032C}">
    <text>Updated per IL TRM v12, page 105.</text>
  </threadedComment>
  <threadedComment ref="E2680" dT="2024-02-21T14:42:47.96" personId="{FA7E3B4C-1102-4378-B7D0-F89DC99F55A8}" id="{4651CF73-CCBB-4FE4-9F4F-63FF5F36185E}">
    <text>Updated per IL TRM v12, page 106.</text>
  </threadedComment>
  <threadedComment ref="G2682" dT="2024-02-08T19:11:24.22" personId="{FA7E3B4C-1102-4378-B7D0-F89DC99F55A8}" id="{13E5E845-24FC-4DF2-9246-B99923CCED26}">
    <text>Updated per IL TRM v12, page 107. Previous value 0.25</text>
  </threadedComment>
  <threadedComment ref="G2683" dT="2024-02-13T17:24:34.23" personId="{FA7E3B4C-1102-4378-B7D0-F89DC99F55A8}" id="{BCB61E0A-5ABF-41BD-AD1A-461613B10FCC}">
    <text>Updated per IL TRM v12, page 104. Inclusion of "PreTime" inputs.</text>
  </threadedComment>
  <threadedComment ref="G2685" dT="2024-02-08T19:32:35.61" personId="{FA7E3B4C-1102-4378-B7D0-F89DC99F55A8}" id="{26A904BD-3690-42AA-8369-6213ABC7BD75}">
    <text>Updated per IL TRM v12, page 106.</text>
  </threadedComment>
  <threadedComment ref="G2686" dT="2024-02-08T19:32:45.80" personId="{FA7E3B4C-1102-4378-B7D0-F89DC99F55A8}" id="{8E4CE09A-053B-47A1-83B8-4E076AF38AB3}">
    <text>Updated per IL TRM v12, page 106.</text>
  </threadedComment>
  <threadedComment ref="G2687" dT="2024-02-08T19:33:27.11" personId="{FA7E3B4C-1102-4378-B7D0-F89DC99F55A8}" id="{33688DC4-07A2-42C3-895C-2426DCED9055}">
    <text>Updated per IL TRM v12, page 104. Addition of Preheat_Base and Preheat_EE</text>
  </threadedComment>
  <threadedComment ref="E2693" dT="2024-02-13T17:35:03.60" personId="{FA7E3B4C-1102-4378-B7D0-F89DC99F55A8}" id="{DCDF5C69-D8A5-43B8-B227-9308DF484EF8}">
    <text>Updated per IL TRM v12, page 107.</text>
  </threadedComment>
  <threadedComment ref="E2697" dT="2024-02-21T14:42:06.11" personId="{FA7E3B4C-1102-4378-B7D0-F89DC99F55A8}" id="{A72652D0-045D-4FDB-9CC3-45270A2CFD46}">
    <text>Updated per IL TRM v12, page 105.</text>
  </threadedComment>
  <threadedComment ref="E2698" dT="2024-02-13T17:35:03.60" personId="{FA7E3B4C-1102-4378-B7D0-F89DC99F55A8}" id="{C085E5A1-36E6-43AD-A6FD-B743AA130A2B}">
    <text>Updated per IL TRM v12, page 107.</text>
  </threadedComment>
  <threadedComment ref="G2706" dT="2024-02-08T19:17:30.08" personId="{FA7E3B4C-1102-4378-B7D0-F89DC99F55A8}" id="{FD5C98DA-1047-4861-9E72-6F0E8FF0C4C5}">
    <text>Updated per IL TRM v12, page 103.</text>
  </threadedComment>
  <threadedComment ref="G2752" dT="2024-01-05T15:19:34.24" personId="{FA7E3B4C-1102-4378-B7D0-F89DC99F55A8}" id="{5552DC5D-0815-4262-99CB-244700ACCB7D}">
    <text>Updated per IL TRM v12, page 178.</text>
  </threadedComment>
  <threadedComment ref="G2753" dT="2024-01-05T15:19:34.24" personId="{FA7E3B4C-1102-4378-B7D0-F89DC99F55A8}" id="{67286798-6312-436A-944F-6E822D877073}">
    <text>Updated per IL TRM v12, page 178.</text>
  </threadedComment>
  <threadedComment ref="G2754" dT="2024-01-05T15:19:34.24" personId="{FA7E3B4C-1102-4378-B7D0-F89DC99F55A8}" id="{989D7EF7-0A75-440B-B31F-43DF59501DB0}">
    <text>Updated per IL TRM v12, page 178.</text>
  </threadedComment>
  <threadedComment ref="G2755" dT="2024-01-05T15:19:34.24" personId="{FA7E3B4C-1102-4378-B7D0-F89DC99F55A8}" id="{2F27F69E-73D3-4532-9FE5-FC37C709085C}">
    <text>Updated per IL TRM v12, page 178.</text>
  </threadedComment>
  <threadedComment ref="G2756" dT="2024-01-05T15:19:34.24" personId="{FA7E3B4C-1102-4378-B7D0-F89DC99F55A8}" id="{9792857E-C90D-41B0-9291-2633F431EAFF}">
    <text>Updated per IL TRM v12, page 178.</text>
  </threadedComment>
  <threadedComment ref="G2757" dT="2024-01-05T15:19:34.24" personId="{FA7E3B4C-1102-4378-B7D0-F89DC99F55A8}" id="{83B0F872-939D-45F2-A69E-3676F332A024}">
    <text>Updated per IL TRM v12, page 178.</text>
  </threadedComment>
  <threadedComment ref="G2758" dT="2024-01-05T15:19:34.24" personId="{FA7E3B4C-1102-4378-B7D0-F89DC99F55A8}" id="{E0B355C1-42BE-4552-81F7-9ED1ECED3FC3}">
    <text>Updated per IL TRM v12, page 179.</text>
  </threadedComment>
  <threadedComment ref="G2759" dT="2024-01-05T15:19:34.24" personId="{FA7E3B4C-1102-4378-B7D0-F89DC99F55A8}" id="{39C142C7-2AFA-4E10-BF00-ABA82F91A8C3}">
    <text>Updated per IL TRM v12, page 178.</text>
  </threadedComment>
  <threadedComment ref="G2760" dT="2024-01-05T15:19:34.24" personId="{FA7E3B4C-1102-4378-B7D0-F89DC99F55A8}" id="{42A32B0D-04D9-4970-9AFB-9034B3802763}">
    <text>Updated per IL TRM v12, page 178.</text>
  </threadedComment>
  <threadedComment ref="G2761" dT="2024-01-05T15:19:34.24" personId="{FA7E3B4C-1102-4378-B7D0-F89DC99F55A8}" id="{788CBE2E-E933-4175-86A8-3BBED5CE0659}">
    <text>Updated per IL TRM v12, page 178.</text>
  </threadedComment>
  <threadedComment ref="G2762" dT="2024-01-05T15:19:34.24" personId="{FA7E3B4C-1102-4378-B7D0-F89DC99F55A8}" id="{AEB1C282-CE0C-4CDE-AD47-AED22BE02200}">
    <text>Updated per IL TRM v12, page 178.</text>
  </threadedComment>
  <threadedComment ref="G2763" dT="2024-01-05T15:19:34.24" personId="{FA7E3B4C-1102-4378-B7D0-F89DC99F55A8}" id="{129D3FAD-7CC4-46E1-B5AC-69C7A7E9C052}">
    <text>Updated per IL TRM v12, page 178.</text>
  </threadedComment>
  <threadedComment ref="G2764" dT="2024-01-05T15:19:34.24" personId="{FA7E3B4C-1102-4378-B7D0-F89DC99F55A8}" id="{78798D36-A416-4943-9114-16419AA11879}">
    <text>Updated per IL TRM v12, page 178.</text>
  </threadedComment>
  <threadedComment ref="G2765" dT="2024-01-05T15:19:34.24" personId="{FA7E3B4C-1102-4378-B7D0-F89DC99F55A8}" id="{AB919723-98FF-4B97-BFDC-777A2150F22A}">
    <text>Updated per IL TRM v12, page 179.</text>
  </threadedComment>
  <threadedComment ref="G2766" dT="2024-01-05T15:19:34.24" personId="{FA7E3B4C-1102-4378-B7D0-F89DC99F55A8}" id="{79399AC2-1718-42EB-8A2C-72E4202D5ECF}">
    <text>Updated per IL TRM v12, page 178.</text>
  </threadedComment>
  <threadedComment ref="G2767" dT="2024-01-05T15:19:34.24" personId="{FA7E3B4C-1102-4378-B7D0-F89DC99F55A8}" id="{B903518B-D7AB-477E-8AC3-61DA082D278F}">
    <text>Updated per IL TRM v12, page 178.</text>
  </threadedComment>
  <threadedComment ref="G2768" dT="2024-01-05T15:19:34.24" personId="{FA7E3B4C-1102-4378-B7D0-F89DC99F55A8}" id="{48DFE9C5-1E02-41E1-9D77-BE55469F6AED}">
    <text>Updated per IL TRM v12, page 178.</text>
  </threadedComment>
  <threadedComment ref="G2769" dT="2024-01-05T15:19:34.24" personId="{FA7E3B4C-1102-4378-B7D0-F89DC99F55A8}" id="{C0033F74-C2B6-4616-B6D3-AA17B600EF46}">
    <text>Updated per IL TRM v12, page 178.</text>
  </threadedComment>
  <threadedComment ref="G2770" dT="2024-01-05T15:19:34.24" personId="{FA7E3B4C-1102-4378-B7D0-F89DC99F55A8}" id="{135E0C87-0782-4EF6-B426-657E72F51A8E}">
    <text>Updated per IL TRM v12, page 178.</text>
  </threadedComment>
  <threadedComment ref="G2771" dT="2024-01-05T15:19:34.24" personId="{FA7E3B4C-1102-4378-B7D0-F89DC99F55A8}" id="{23CB0D46-8F70-496F-83CB-DC777FC22274}">
    <text>Updated per IL TRM v12, page 178.</text>
  </threadedComment>
  <threadedComment ref="G2772" dT="2024-01-05T15:19:34.24" personId="{FA7E3B4C-1102-4378-B7D0-F89DC99F55A8}" id="{3C76236A-7EF7-4561-8C7A-3D8737EEDEC8}">
    <text>Updated per IL TRM v12, page 178.</text>
  </threadedComment>
  <threadedComment ref="G2773" dT="2024-01-05T15:19:34.24" personId="{FA7E3B4C-1102-4378-B7D0-F89DC99F55A8}" id="{40295072-176B-46DA-BC53-BD9C25DFC6BD}">
    <text>Updated per IL TRM v12, page 178.</text>
  </threadedComment>
  <threadedComment ref="G2774" dT="2024-01-05T15:19:34.24" personId="{FA7E3B4C-1102-4378-B7D0-F89DC99F55A8}" id="{8A313579-09C1-42EA-AA57-58203F857812}">
    <text>Updated per IL TRM v12, page 178.</text>
  </threadedComment>
  <threadedComment ref="G2775" dT="2024-01-05T15:19:34.24" personId="{FA7E3B4C-1102-4378-B7D0-F89DC99F55A8}" id="{FB7A7AC1-9436-4E55-9CB7-F41C50B400E4}">
    <text>Updated per IL TRM v12, page 178.</text>
  </threadedComment>
  <threadedComment ref="G2776" dT="2024-01-05T15:19:34.24" personId="{FA7E3B4C-1102-4378-B7D0-F89DC99F55A8}" id="{1049471C-5701-4CE8-9AFB-263C032FCF2C}">
    <text>Updated per IL TRM v12, page 178.</text>
  </threadedComment>
  <threadedComment ref="G2777" dT="2024-01-05T15:19:34.24" personId="{FA7E3B4C-1102-4378-B7D0-F89DC99F55A8}" id="{4AD73009-F904-41D2-BA09-146656C39BF6}">
    <text>Updated per IL TRM v12, page 178.</text>
  </threadedComment>
  <threadedComment ref="G2778" dT="2024-01-05T15:19:34.24" personId="{FA7E3B4C-1102-4378-B7D0-F89DC99F55A8}" id="{25237D2E-13A1-45F6-A6E9-74F058F99E8D}">
    <text>Updated per IL TRM v12, page 179.</text>
  </threadedComment>
  <threadedComment ref="G2779" dT="2024-01-05T15:19:34.24" personId="{FA7E3B4C-1102-4378-B7D0-F89DC99F55A8}" id="{F539CA6F-5C6F-4B7E-A21C-5CA410DBE266}">
    <text>Updated per IL TRM v12, page 179.</text>
  </threadedComment>
  <threadedComment ref="G2780" dT="2023-12-29T17:27:19.98" personId="{FA7E3B4C-1102-4378-B7D0-F89DC99F55A8}" id="{FA3776F9-8AD4-4810-B270-0E4EB05F325B}">
    <text>Updated per IL TRM v12. Algorithm adjusted to account for additional inputs, previous value 1930.50</text>
  </threadedComment>
  <threadedComment ref="G2787" dT="2024-01-08T15:28:23.98" personId="{FA7E3B4C-1102-4378-B7D0-F89DC99F55A8}" id="{8CA1C87E-7A08-4270-9076-AD7F75A4B64E}">
    <text>Updated per IL TRM v12, page 171.</text>
  </threadedComment>
  <threadedComment ref="G2788" dT="2024-01-08T15:28:23.98" personId="{FA7E3B4C-1102-4378-B7D0-F89DC99F55A8}" id="{5BB41744-CDC8-4885-84F3-3C67193B019B}">
    <text>Updated per IL TRM v12, page 171.</text>
  </threadedComment>
  <threadedComment ref="G2789" dT="2024-02-13T16:03:19.40" personId="{FA7E3B4C-1102-4378-B7D0-F89DC99F55A8}" id="{148F895E-2A79-486F-A85C-97990F9C1E39}">
    <text>Updated per IL TRM v12, page 170.</text>
  </threadedComment>
  <threadedComment ref="G2796" dT="2024-01-08T15:28:23.98" personId="{FA7E3B4C-1102-4378-B7D0-F89DC99F55A8}" id="{28BB7F0E-7873-4A6E-893E-BE9832B8FB45}">
    <text>Updated per IL TRM v12, page 169.</text>
  </threadedComment>
  <threadedComment ref="G2797" dT="2024-01-08T15:28:23.98" personId="{FA7E3B4C-1102-4378-B7D0-F89DC99F55A8}" id="{AB9437A6-2C88-40A2-8207-D0F56176BF34}">
    <text>Updated per IL TRM v12, page 169.</text>
  </threadedComment>
  <threadedComment ref="G2798" dT="2024-02-13T16:01:43.50" personId="{FA7E3B4C-1102-4378-B7D0-F89DC99F55A8}" id="{CEB41BB5-3F15-4113-B27C-E02F6B90269E}">
    <text>Updated per IL TRM v12, page 168.</text>
  </threadedComment>
  <threadedComment ref="G2805" dT="2024-01-08T15:28:23.98" personId="{FA7E3B4C-1102-4378-B7D0-F89DC99F55A8}" id="{C70CBB13-9445-429D-ABF5-F45CDB8F38CA}">
    <text>Updated per IL TRM v12, page 167.</text>
  </threadedComment>
  <threadedComment ref="G2806" dT="2024-01-08T15:28:23.98" personId="{FA7E3B4C-1102-4378-B7D0-F89DC99F55A8}" id="{D86EDFD0-1973-44CD-BD87-17141156AF5D}">
    <text>Updated per IL TRM v12, page 167.</text>
  </threadedComment>
  <threadedComment ref="G2807" dT="2024-02-13T15:59:57.89" personId="{FA7E3B4C-1102-4378-B7D0-F89DC99F55A8}" id="{18E8DBDA-898B-4325-880F-B6B9790661F0}">
    <text>Updated per IL TRM v12, page 166.</text>
  </threadedComment>
  <threadedComment ref="G3002" dT="2022-12-28T22:29:14.57" personId="{2BE53071-80F4-4D6F-A2F0-916AAB200931}" id="{EF0D079C-1822-482D-A9E7-2638377C955E}">
    <text>Updated per IL TRM v11</text>
  </threadedComment>
  <threadedComment ref="G3014" dT="2022-12-28T22:29:14.57" personId="{2BE53071-80F4-4D6F-A2F0-916AAB200931}" id="{022E9F07-B059-4286-9562-8B30F0AC020E}">
    <text>Updated per IL TRM v11</text>
  </threadedComment>
  <threadedComment ref="H3019" dT="2024-02-13T16:45:44.29" personId="{FA7E3B4C-1102-4378-B7D0-F89DC99F55A8}" id="{B9772E7C-B50B-4024-9F05-377E7D10A71A}">
    <text>Updated assumption per IL TRM v12, page 338.</text>
  </threadedComment>
  <threadedComment ref="H3020" dT="2024-02-13T16:46:02.84" personId="{FA7E3B4C-1102-4378-B7D0-F89DC99F55A8}" id="{B95FC3BF-B467-495E-AF65-EFFFA4C500A3}">
    <text>Updated assumption per 2024 Adjustable Goals Guidehouse review.</text>
  </threadedComment>
  <threadedComment ref="I3020" dT="2024-02-21T14:36:27.53" personId="{FA7E3B4C-1102-4378-B7D0-F89DC99F55A8}" id="{F2BEE86F-5CA5-4665-9560-3C4CA513D3CF}">
    <text>Updated per IL TRM v12. Previously "2020 MMDB."</text>
  </threadedComment>
  <threadedComment ref="G3028" dT="2024-01-08T17:14:37.46" personId="{FA7E3B4C-1102-4378-B7D0-F89DC99F55A8}" id="{765D43FB-ECA4-45BF-9DBF-86584B7E5AA7}">
    <text>Updated per IL TRM v12, page 338. Previous value 80%</text>
  </threadedComment>
  <threadedComment ref="H3028" dT="2024-02-13T16:45:44.29" personId="{FA7E3B4C-1102-4378-B7D0-F89DC99F55A8}" id="{20AF2215-BA24-44F0-8CD8-9E1EC4247BA3}">
    <text>Updated assumption per IL TRM v12, page 338.</text>
  </threadedComment>
  <threadedComment ref="H3029" dT="2024-02-13T16:46:02.84" personId="{FA7E3B4C-1102-4378-B7D0-F89DC99F55A8}" id="{531D939C-C4E2-4CD2-93DF-978A4A6DFD10}">
    <text>Updated assumption per 2024 Adjustable Goals Guidehouse review.</text>
  </threadedComment>
  <threadedComment ref="I3029" dT="2024-02-21T14:36:27.53" personId="{FA7E3B4C-1102-4378-B7D0-F89DC99F55A8}" id="{B5A3E029-530A-4D04-84F9-950E301D70AA}">
    <text>Updated per IL TRM v12. Previously "2020 MMDB."</text>
  </threadedComment>
  <threadedComment ref="G3037" dT="2024-01-08T17:14:37.46" personId="{FA7E3B4C-1102-4378-B7D0-F89DC99F55A8}" id="{7E739B03-83D3-4842-87D6-56D1700C7197}">
    <text>Updated per IL TRM v12, page 338. Previous value 79%</text>
  </threadedComment>
  <threadedComment ref="H3037" dT="2023-02-10T18:16:33.27" personId="{2BE53071-80F4-4D6F-A2F0-916AAB200931}" id="{8E62F2B2-7CF0-44D7-BD36-E2B206E1960E}">
    <text>Updated per IL TRM v11</text>
  </threadedComment>
  <threadedComment ref="H3037" dT="2024-01-08T17:16:07.63" personId="{FA7E3B4C-1102-4378-B7D0-F89DC99F55A8}" id="{A6907CD3-36C7-4FE1-8DC3-A54BDAF92B2D}" parentId="{8E62F2B2-7CF0-44D7-BD36-E2B206E1960E}">
    <text>Updated per IL TRM v12, page 338.</text>
  </threadedComment>
  <threadedComment ref="G3038" dT="2024-01-12T15:55:38.15" personId="{FA7E3B4C-1102-4378-B7D0-F89DC99F55A8}" id="{7460A6E9-0674-4461-A628-5D4CD4731C42}">
    <text>Updated per IL TRM v12, page 336. Previous value 82% from 2020 MMDB.</text>
  </threadedComment>
  <threadedComment ref="G3052" dT="2022-12-28T22:01:32.64" personId="{2BE53071-80F4-4D6F-A2F0-916AAB200931}" id="{F0F04CAF-94FB-4240-951C-478939B86727}">
    <text>Updated per IL TRM v11</text>
  </threadedComment>
  <threadedComment ref="G3167" dT="2022-12-28T22:15:55.65" personId="{2BE53071-80F4-4D6F-A2F0-916AAB200931}" id="{3009F7D6-ECF1-4565-828A-5A4DF73EB101}">
    <text>Updated per IL TRM v11</text>
  </threadedComment>
  <threadedComment ref="G3171" dT="2022-12-28T22:12:02.82" personId="{2BE53071-80F4-4D6F-A2F0-916AAB200931}" id="{1CB2CEF6-6DF5-458C-9A69-F067046936C0}">
    <text>Updated per IL TRM v11</text>
  </threadedComment>
  <threadedComment ref="G3193" dT="2022-12-28T22:15:55.65" personId="{2BE53071-80F4-4D6F-A2F0-916AAB200931}" id="{7610C89F-855C-4603-8B8E-1188173DD108}">
    <text>Updated per IL TRM v11</text>
  </threadedComment>
  <threadedComment ref="G3197" dT="2022-12-28T22:12:02.82" personId="{2BE53071-80F4-4D6F-A2F0-916AAB200931}" id="{F1DDA319-B15C-4286-AB54-ABCD3EDA3A9F}">
    <text>Updated per IL TRM v11</text>
  </threadedComment>
  <threadedComment ref="G3309" dT="2024-01-08T17:14:37.46" personId="{FA7E3B4C-1102-4378-B7D0-F89DC99F55A8}" id="{A439CB65-7CA1-4417-84CD-06DC84158ED2}">
    <text>Updated per IL TRM v12, page 338. Previous value 79%</text>
  </threadedComment>
  <threadedComment ref="H3309" dT="2023-02-10T18:16:33.27" personId="{2BE53071-80F4-4D6F-A2F0-916AAB200931}" id="{D3DDFBA1-BE97-4B26-A177-C855C1FFADB7}">
    <text>Updated per IL TRM v11</text>
  </threadedComment>
  <threadedComment ref="H3309" dT="2024-01-08T17:16:07.63" personId="{FA7E3B4C-1102-4378-B7D0-F89DC99F55A8}" id="{5BA6DDEB-6A7E-4C5E-B7C2-F07DF206E0BC}" parentId="{D3DDFBA1-BE97-4B26-A177-C855C1FFADB7}">
    <text>Updated per IL TRM v12, page 338.</text>
  </threadedComment>
  <threadedComment ref="G3310" dT="2024-01-12T16:10:22.33" personId="{FA7E3B4C-1102-4378-B7D0-F89DC99F55A8}" id="{D70C0E0F-78ED-4564-8802-C11ACFD85EF8}">
    <text>Updated per IL TRM v12, page 336. Previous value 81% from 2020 MMDB.</text>
  </threadedComment>
  <threadedComment ref="G3318" dT="2024-01-08T17:14:37.46" personId="{FA7E3B4C-1102-4378-B7D0-F89DC99F55A8}" id="{5745450A-CADC-4AC4-B338-CDE91F845CDC}">
    <text>Updated per IL TRM v12, page 338. Previous value 79%</text>
  </threadedComment>
  <threadedComment ref="H3318" dT="2023-02-10T18:16:33.27" personId="{2BE53071-80F4-4D6F-A2F0-916AAB200931}" id="{DD6618D1-C468-4D2A-B31E-9794A816BE78}">
    <text>Updated per IL TRM v11</text>
  </threadedComment>
  <threadedComment ref="H3318" dT="2024-01-08T17:16:07.63" personId="{FA7E3B4C-1102-4378-B7D0-F89DC99F55A8}" id="{E556F6B6-514D-4581-BFF1-AF722701F34B}" parentId="{DD6618D1-C468-4D2A-B31E-9794A816BE78}">
    <text>Updated per IL TRM v12, page 338.</text>
  </threadedComment>
  <threadedComment ref="G3319" dT="2024-01-12T16:10:22.33" personId="{FA7E3B4C-1102-4378-B7D0-F89DC99F55A8}" id="{C12F0FAA-8C04-48FA-BF3C-360E4FD7DBBF}">
    <text>Updated per IL TRM v12, page 336. Previous value 81.4% from 2020 MMDB.</text>
  </threadedComment>
  <threadedComment ref="G3328" dT="2021-04-07T14:16:27.57" personId="{2BE53071-80F4-4D6F-A2F0-916AAB200931}" id="{CF352CC4-41B2-4442-8923-0472AFC93E6F}">
    <text>Updated per Guidehouse review.</text>
  </threadedComment>
  <threadedComment ref="G3345" dT="2021-04-07T14:16:27.57" personId="{2BE53071-80F4-4D6F-A2F0-916AAB200931}" id="{046B7CE0-A066-43E5-B44F-32887FC51CC6}">
    <text>Updated per Guidehouse review.</text>
  </threadedComment>
  <threadedComment ref="G3383" dT="2022-12-28T18:48:23.99" personId="{2BE53071-80F4-4D6F-A2F0-916AAB200931}" id="{72272E69-772D-446F-ADAA-9388DACAAEE1}">
    <text>Updated per IL TRM v11</text>
  </threadedComment>
  <threadedComment ref="G3384" dT="2022-12-28T18:48:42.64" personId="{2BE53071-80F4-4D6F-A2F0-916AAB200931}" id="{3180BCFB-80E6-443A-92B6-6DD1AAE99701}">
    <text>Updated per IL TRM v11</text>
  </threadedComment>
  <threadedComment ref="G3385" dT="2022-12-28T18:49:54.56" personId="{2BE53071-80F4-4D6F-A2F0-916AAB200931}" id="{DD24A83A-551A-469F-B137-34160CE2469E}">
    <text>Updated per IL TRM v11</text>
  </threadedComment>
  <threadedComment ref="G3386" dT="2022-12-28T18:50:14.29" personId="{2BE53071-80F4-4D6F-A2F0-916AAB200931}" id="{075AF19C-1A98-4BDD-ADC3-4915AA91DC4F}">
    <text>Updated per IL TRM v11</text>
  </threadedComment>
  <threadedComment ref="E3393" dT="2022-12-28T17:58:31.82" personId="{2BE53071-80F4-4D6F-A2F0-916AAB200931}" id="{09C6E5FA-33E7-4FAC-91EE-3BA8BD8A9E67}">
    <text>Added per IL TRM v11</text>
  </threadedComment>
  <threadedComment ref="G3400" dT="2022-12-28T18:49:09.65" personId="{2BE53071-80F4-4D6F-A2F0-916AAB200931}" id="{0852898A-567A-464B-8576-2CE442041FC3}">
    <text>Updated per IL TRM v11</text>
  </threadedComment>
  <threadedComment ref="G3402" dT="2022-12-28T18:51:29.55" personId="{2BE53071-80F4-4D6F-A2F0-916AAB200931}" id="{5AEAE618-9F16-4524-A131-9AE08FFB779B}">
    <text>Updated per IL TRM v11</text>
  </threadedComment>
  <threadedComment ref="E3412" dT="2022-12-28T17:58:31.82" personId="{2BE53071-80F4-4D6F-A2F0-916AAB200931}" id="{939C7A1A-D350-4811-8572-65A990E523F9}">
    <text>Added per IL TRM v11</text>
  </threadedComment>
  <threadedComment ref="G3485" dT="2023-12-29T20:57:34.55" personId="{FA7E3B4C-1102-4378-B7D0-F89DC99F55A8}" id="{E0CFDB3C-FD76-4D58-8065-DA659C537242}">
    <text>Updated per IL TRM v12, page 431. Previously 70-(-1.5), now 70-(-1.0)</text>
  </threadedComment>
  <threadedComment ref="G3568" dT="2024-01-08T15:15:28.17" personId="{FA7E3B4C-1102-4378-B7D0-F89DC99F55A8}" id="{CFE99290-A8DC-4783-B6E2-D404FBCF18A5}">
    <text>Updated per IL TRM v12, page 345. Previous value 80%.</text>
  </threadedComment>
  <threadedComment ref="G3585" dT="2024-01-12T17:40:07.57" personId="{FA7E3B4C-1102-4378-B7D0-F89DC99F55A8}" id="{D531E55A-B1A7-406C-90B9-A22814907B6E}">
    <text>Updated per IL TRM v12, page 244. Previous value 0.64</text>
  </threadedComment>
  <threadedComment ref="G3587" dT="2024-02-06T18:31:26.66" personId="{FA7E3B4C-1102-4378-B7D0-F89DC99F55A8}" id="{C934C5DD-A5C1-4888-A364-6DACED50B161}">
    <text>Updated per IL TRM v12, page 245. Previous value 13.</text>
  </threadedComment>
  <threadedComment ref="G3588" dT="2024-02-06T18:27:54.61" personId="{FA7E3B4C-1102-4378-B7D0-F89DC99F55A8}" id="{E9B82FCD-A297-4463-8C8C-D3C8CDE353FD}">
    <text>Updated per IL TRM v12, page 245. Previous value $400.</text>
  </threadedComment>
  <threadedComment ref="G3601" dT="2022-12-30T21:15:24.38" personId="{2BE53071-80F4-4D6F-A2F0-916AAB200931}" id="{5F3C30FF-5E7D-43FD-BC97-60BA01616361}">
    <text>Updated per IL TRM v11</text>
  </threadedComment>
  <threadedComment ref="G3605" dT="2022-12-28T22:12:02.82" personId="{2BE53071-80F4-4D6F-A2F0-916AAB200931}" id="{076F7CF6-1507-4876-BE54-CA5CED17567B}">
    <text>Updated per IL TRM v11</text>
  </threadedComment>
  <threadedComment ref="G3783" dT="2022-12-30T21:15:24.38" personId="{2BE53071-80F4-4D6F-A2F0-916AAB200931}" id="{F6AA1FDA-3CC7-4B3B-8E62-24A3D6A37823}">
    <text>Updated per IL TRM v11</text>
  </threadedComment>
  <threadedComment ref="G3787" dT="2022-12-28T22:12:02.82" personId="{2BE53071-80F4-4D6F-A2F0-916AAB200931}" id="{DFFDD0CF-2197-4063-A2D4-9B406D0FF654}">
    <text>Updated per IL TRM v11</text>
  </threadedComment>
  <threadedComment ref="G3976" dT="2021-04-07T14:15:40.40" personId="{2BE53071-80F4-4D6F-A2F0-916AAB200931}" id="{074FE7D5-6C3B-4E32-9281-5DF73BED935B}">
    <text>Updated per Guidehouse review.</text>
  </threadedComment>
  <threadedComment ref="H3976" dT="2021-04-02T17:27:26.71" personId="{2BE53071-80F4-4D6F-A2F0-916AAB200931}" id="{34537A57-DC9A-431C-B3D7-8FAD17D88F80}">
    <text>Updated per Guidehouse review.</text>
  </threadedComment>
  <threadedComment ref="G4006" dT="2021-04-07T14:15:40.40" personId="{2BE53071-80F4-4D6F-A2F0-916AAB200931}" id="{C30E223C-240A-49E8-BF94-3559CF76F11D}">
    <text>Updated per Guidehouse review.</text>
  </threadedComment>
  <threadedComment ref="H4006" dT="2021-04-02T17:27:26.71" personId="{2BE53071-80F4-4D6F-A2F0-916AAB200931}" id="{2E840AFA-A76F-4CD6-8409-D59163632F25}">
    <text>Updated per Guidehouse review.</text>
  </threadedComment>
  <threadedComment ref="G4107" dT="2022-12-28T22:15:55.65" personId="{2BE53071-80F4-4D6F-A2F0-916AAB200931}" id="{9EFF4B4D-EB58-426A-B436-5B09037868BF}">
    <text>Updated per IL TRM v11</text>
  </threadedComment>
  <threadedComment ref="G4111" dT="2022-12-28T22:12:02.82" personId="{2BE53071-80F4-4D6F-A2F0-916AAB200931}" id="{416B6DED-01B1-4637-8C6D-83B044E9DF2E}">
    <text>Updated per IL TRM v11</text>
  </threadedComment>
  <threadedComment ref="G4133" dT="2022-12-28T22:15:55.65" personId="{2BE53071-80F4-4D6F-A2F0-916AAB200931}" id="{0A131E26-0C34-4312-8394-F7CD05ED9BFF}">
    <text>Updated per IL TRM v11</text>
  </threadedComment>
  <threadedComment ref="G4137" dT="2022-12-28T22:12:02.82" personId="{2BE53071-80F4-4D6F-A2F0-916AAB200931}" id="{2F5E40E0-C66C-49CE-878E-3BE9D05D115B}">
    <text>Updated per IL TRM v11</text>
  </threadedComment>
  <threadedComment ref="G4159" dT="2022-12-30T21:15:24.38" personId="{2BE53071-80F4-4D6F-A2F0-916AAB200931}" id="{57BB2AAA-41C7-45C4-A71B-99FD45D8401C}">
    <text>Updated per IL TRM v11</text>
  </threadedComment>
  <threadedComment ref="G4163" dT="2022-12-28T22:12:02.82" personId="{2BE53071-80F4-4D6F-A2F0-916AAB200931}" id="{24FE74FA-9B3C-4EB7-A88F-42D04B3528D1}">
    <text>Updated per IL TRM v11</text>
  </threadedComment>
  <threadedComment ref="G4341" dT="2022-12-30T21:15:24.38" personId="{2BE53071-80F4-4D6F-A2F0-916AAB200931}" id="{D4DD48C5-FEE1-4773-A50F-93EEAFC4B64F}">
    <text>Updated per IL TRM v11</text>
  </threadedComment>
  <threadedComment ref="G4345" dT="2022-12-28T22:12:02.82" personId="{2BE53071-80F4-4D6F-A2F0-916AAB200931}" id="{0320505F-476A-4554-AC91-133A46FCAF48}">
    <text>Updated per IL TRM v11</text>
  </threadedComment>
  <threadedComment ref="G4579" dT="2023-12-28T19:47:54.21" personId="{FA7E3B4C-1102-4378-B7D0-F89DC99F55A8}" id="{7698A827-9BC9-4B08-ABDD-50CD3429DC06}">
    <text>Updated per IL TRM v12, page 388. Previous value 0.72</text>
  </threadedComment>
  <threadedComment ref="G4581" dT="2023-12-28T19:27:22.36" personId="{FA7E3B4C-1102-4378-B7D0-F89DC99F55A8}" id="{FDFE29FF-92E5-4049-B6A8-79CB2D950A43}">
    <text>Updated per IL TRM v12, page 387. Previous value 5113</text>
  </threadedComment>
  <threadedComment ref="H4587" dT="2021-04-07T14:41:53.71" personId="{2BE53071-80F4-4D6F-A2F0-916AAB200931}" id="{ED80D12B-1EB7-4B56-887E-13140B5676FE}">
    <text>Per project CFM reduction</text>
  </threadedComment>
  <threadedComment ref="H4587" dT="2024-02-13T20:19:30.29" personId="{FA7E3B4C-1102-4378-B7D0-F89DC99F55A8}" id="{0911CC6E-9BFF-4EA1-AC52-46BC1A37060B}" parentId="{ED80D12B-1EB7-4B56-887E-13140B5676FE}">
    <text>Updated per 2024 Adjustable Goals Guidehouse review.</text>
  </threadedComment>
  <threadedComment ref="G4616" dT="2024-02-06T18:27:54.61" personId="{FA7E3B4C-1102-4378-B7D0-F89DC99F55A8}" id="{6F6B896A-A344-4882-9D17-4F6698DDFA6F}">
    <text>Updated per IL TRM v12, page 245. Previous value 13.</text>
  </threadedComment>
  <threadedComment ref="G4617" dT="2024-02-06T18:27:54.61" personId="{FA7E3B4C-1102-4378-B7D0-F89DC99F55A8}" id="{08FD8C35-FD5B-4437-8EA1-29EA1E972F7D}">
    <text>Updated per IL TRM v12, page 245. Previous value $605.</text>
  </threadedComment>
  <threadedComment ref="G4658" dT="2021-04-07T14:19:59.89" personId="{2BE53071-80F4-4D6F-A2F0-916AAB200931}" id="{7101B557-BCA2-4F1A-9A3C-28B938C4AD6F}">
    <text>Updated per Guidehouse review.</text>
  </threadedComment>
  <threadedComment ref="G4659" dT="2021-04-02T18:06:16.91" personId="{2BE53071-80F4-4D6F-A2F0-916AAB200931}" id="{4B1812DB-A44F-4F1A-926B-EDB63F91C9E1}">
    <text>Updated per Guidehouse review.</text>
  </threadedComment>
</ThreadedComments>
</file>

<file path=xl/threadedComments/threadedComment4.xml><?xml version="1.0" encoding="utf-8"?>
<ThreadedComments xmlns="http://schemas.microsoft.com/office/spreadsheetml/2018/threadedcomments" xmlns:x="http://schemas.openxmlformats.org/spreadsheetml/2006/main">
  <threadedComment ref="C2" dT="2023-12-28T17:05:28.86" personId="{FA7E3B4C-1102-4378-B7D0-F89DC99F55A8}" id="{29C172E8-CA81-4B73-981D-27D1713D3C5C}">
    <text>Copy and paste as values old measure codes</text>
  </threadedComment>
  <threadedComment ref="D2" dT="2023-12-28T17:05:46.68" personId="{FA7E3B4C-1102-4378-B7D0-F89DC99F55A8}" id="{2AC13706-2951-4770-B1F7-1CB9BE7F23B0}">
    <text>Find and replace old measure codes with new measure codes</text>
  </threadedComment>
</ThreadedComments>
</file>

<file path=xl/threadedComments/threadedComment5.xml><?xml version="1.0" encoding="utf-8"?>
<ThreadedComments xmlns="http://schemas.microsoft.com/office/spreadsheetml/2018/threadedcomments" xmlns:x="http://schemas.openxmlformats.org/spreadsheetml/2006/main">
  <threadedComment ref="A33" dT="2021-04-07T14:04:14.63" personId="{2BE53071-80F4-4D6F-A2F0-916AAB200931}" id="{764C8D1A-793D-40A4-800B-C960EB973495}">
    <text>Updated per Guidehouse review.</text>
  </threadedComment>
  <threadedComment ref="B33" dT="2021-04-07T14:04:14.63" personId="{2BE53071-80F4-4D6F-A2F0-916AAB200931}" id="{937F957A-DBEE-4B38-A7FB-7F1EDAAE4458}">
    <text>Updated per Guidehouse review.</text>
  </threadedComment>
  <threadedComment ref="C33" dT="2021-04-07T14:04:14.63" personId="{2BE53071-80F4-4D6F-A2F0-916AAB200931}" id="{677FF1C4-EED8-4935-A4B3-68B05CE9CCA2}">
    <text>Updated per Guidehouse review.</text>
  </threadedComment>
  <threadedComment ref="E33" dT="2021-04-07T14:04:14.63" personId="{2BE53071-80F4-4D6F-A2F0-916AAB200931}" id="{6E2749DA-BA71-4823-87C5-F4A2E0B3007C}">
    <text>Updated per Guidehouse review.</text>
  </threadedComment>
  <threadedComment ref="A34" dT="2021-04-07T14:04:14.63" personId="{2BE53071-80F4-4D6F-A2F0-916AAB200931}" id="{7721A016-2AD5-473E-B7F7-EAD6B7033BFE}">
    <text>Updated per Guidehouse review.</text>
  </threadedComment>
  <threadedComment ref="B34" dT="2021-04-07T14:04:14.63" personId="{2BE53071-80F4-4D6F-A2F0-916AAB200931}" id="{611EA8CE-0E04-4DBC-821E-3D10DA4C3D87}">
    <text>Updated per Guidehouse review.</text>
  </threadedComment>
  <threadedComment ref="C34" dT="2021-04-07T14:04:14.63" personId="{2BE53071-80F4-4D6F-A2F0-916AAB200931}" id="{E6BF9E9A-F10B-47C0-933F-79E7ABA6FC5C}">
    <text>Updated per Guidehouse review.</text>
  </threadedComment>
  <threadedComment ref="E34" dT="2021-04-07T14:04:14.63" personId="{2BE53071-80F4-4D6F-A2F0-916AAB200931}" id="{F1334943-3C1C-4D23-AE9C-CB68D59618F1}">
    <text>Updated per Guidehouse review.</text>
  </threadedComment>
  <threadedComment ref="A57" dT="2020-07-08T12:56:47.80" personId="{0A831BE0-8E9C-476D-A0E3-509D1336B973}" id="{B2513F4F-4306-4A73-92D5-2F515F356776}">
    <text>Unused</text>
  </threadedComment>
  <threadedComment ref="AU129" dT="2021-04-12T16:18:17.54" personId="{2BE53071-80F4-4D6F-A2F0-916AAB200931}" id="{78391341-ED04-44BD-B94D-AEC7E23FBFA5}">
    <text>Updated per Guidehouse review.</text>
  </threadedComment>
  <threadedComment ref="A145" dT="2021-04-07T14:05:21.49" personId="{2BE53071-80F4-4D6F-A2F0-916AAB200931}" id="{31905C7C-D7D2-47E3-A420-FDC8FE71843B}">
    <text>Updated per Guidehouse review.</text>
  </threadedComment>
  <threadedComment ref="B145" dT="2021-04-02T14:20:06.44" personId="{2BE53071-80F4-4D6F-A2F0-916AAB200931}" id="{72E0E015-A3F6-4C53-A6E2-D5F198BDBE61}">
    <text>Updated per Guidehouse review.</text>
  </threadedComment>
  <threadedComment ref="C145" dT="2021-04-02T14:20:27.97" personId="{2BE53071-80F4-4D6F-A2F0-916AAB200931}" id="{E6BD489D-0274-465D-B096-1305C3E337DE}">
    <text>Updated per Guidehouse review.</text>
  </threadedComment>
  <threadedComment ref="D145" dT="2021-04-02T14:20:27.97" personId="{2BE53071-80F4-4D6F-A2F0-916AAB200931}" id="{6079BB83-2E3B-4724-9604-CDA6915CA9B0}">
    <text>Updated per Guidehouse review.</text>
  </threadedComment>
  <threadedComment ref="E145" dT="2021-04-02T14:20:27.97" personId="{2BE53071-80F4-4D6F-A2F0-916AAB200931}" id="{6F04D571-7E5F-4182-AE7C-F24AB3880167}">
    <text>Updated per Guidehouse review.</text>
  </threadedComment>
  <threadedComment ref="F145" dT="2021-04-02T14:20:27.97" personId="{2BE53071-80F4-4D6F-A2F0-916AAB200931}" id="{6D0C422A-3D78-4488-AC86-9DCC7AE3061C}">
    <text>Updated per Guidehouse review.</text>
  </threadedComment>
  <threadedComment ref="A146" dT="2021-04-07T14:08:06.99" personId="{2BE53071-80F4-4D6F-A2F0-916AAB200931}" id="{5BFF94F1-B5D1-4370-9C6B-254268D535A5}">
    <text>Updated per Guidehouse review.</text>
  </threadedComment>
  <threadedComment ref="B146" dT="2021-04-02T14:20:06.44" personId="{2BE53071-80F4-4D6F-A2F0-916AAB200931}" id="{F6D3B3A2-0EB7-44A2-A17C-4F85CBB8D07B}">
    <text>Updated per Guidehouse review.</text>
  </threadedComment>
  <threadedComment ref="C146" dT="2021-04-02T14:20:27.97" personId="{2BE53071-80F4-4D6F-A2F0-916AAB200931}" id="{6D2EF820-E63A-4A80-A4F7-BD245BC07093}">
    <text>Updated per Guidehouse review.</text>
  </threadedComment>
  <threadedComment ref="D146" dT="2021-04-02T14:20:27.97" personId="{2BE53071-80F4-4D6F-A2F0-916AAB200931}" id="{8353B23F-3A12-4532-BAE8-71C313F68D34}">
    <text>Updated per Guidehouse review.</text>
  </threadedComment>
  <threadedComment ref="E146" dT="2021-04-02T14:20:27.97" personId="{2BE53071-80F4-4D6F-A2F0-916AAB200931}" id="{2759E2E4-28D0-4D7F-A4F5-EAC05B1B7A2D}">
    <text>Updated per Guidehouse review.</text>
  </threadedComment>
  <threadedComment ref="F146" dT="2021-04-02T14:20:27.97" personId="{2BE53071-80F4-4D6F-A2F0-916AAB200931}" id="{C1F6B1E2-1A9A-4351-BC2E-0FB84EA9CA87}">
    <text>Updated per Guidehouse review.</text>
  </threadedComment>
  <threadedComment ref="B147" dT="2021-04-02T14:20:06.44" personId="{2BE53071-80F4-4D6F-A2F0-916AAB200931}" id="{40B9DDA2-4F0E-4F00-8364-585C75A9B4EC}">
    <text>Updated per Guidehouse review.</text>
  </threadedComment>
  <threadedComment ref="C147" dT="2021-04-02T14:20:27.97" personId="{2BE53071-80F4-4D6F-A2F0-916AAB200931}" id="{475ADEE0-9A79-49C6-A09B-42DB7169EA6E}">
    <text>Updated per Guidehouse review.</text>
  </threadedComment>
  <threadedComment ref="D147" dT="2021-04-02T14:20:27.97" personId="{2BE53071-80F4-4D6F-A2F0-916AAB200931}" id="{29A9E546-8123-4AC5-AD35-E92B11B4D17D}">
    <text>Updated per Guidehouse review.</text>
  </threadedComment>
  <threadedComment ref="E147" dT="2021-04-02T14:20:27.97" personId="{2BE53071-80F4-4D6F-A2F0-916AAB200931}" id="{46BD0433-8D2C-4674-B801-11B3975C3086}">
    <text>Updated per Guidehouse review.</text>
  </threadedComment>
  <threadedComment ref="F147" dT="2021-04-02T14:20:27.97" personId="{2BE53071-80F4-4D6F-A2F0-916AAB200931}" id="{1698774C-23A0-450F-8889-165E86AD3469}">
    <text>Updated per Guidehouse review.</text>
  </threadedComment>
  <threadedComment ref="AE160" dT="2021-04-07T14:03:52.41" personId="{2BE53071-80F4-4D6F-A2F0-916AAB200931}" id="{FD27D453-FBEE-47BE-A294-56193313F80C}">
    <text>Updated per Guidehouse review.</text>
  </threadedComment>
  <threadedComment ref="AF160" dT="2021-04-07T14:03:52.41" personId="{2BE53071-80F4-4D6F-A2F0-916AAB200931}" id="{E8A73636-E782-41FA-81CF-6E0D896C43E1}">
    <text>Updated per Guidehouse review.</text>
  </threadedComment>
  <threadedComment ref="AE161" dT="2021-04-07T14:03:52.41" personId="{2BE53071-80F4-4D6F-A2F0-916AAB200931}" id="{BBFC9373-1A67-4FC5-B0DE-BA7EA0FF0544}">
    <text>Updated per Guidehouse review.</text>
  </threadedComment>
  <threadedComment ref="AF161" dT="2021-04-07T14:03:52.41" personId="{2BE53071-80F4-4D6F-A2F0-916AAB200931}" id="{1B5E7852-CCA9-4433-BEF9-FF071B0E772D}">
    <text>Updated per Guidehouse review.</text>
  </threadedComment>
  <threadedComment ref="AE162" dT="2021-04-07T14:03:52.41" personId="{2BE53071-80F4-4D6F-A2F0-916AAB200931}" id="{4990645B-C395-472D-8D33-75BD759C430B}">
    <text>Updated per Guidehouse review.</text>
  </threadedComment>
  <threadedComment ref="AF162" dT="2021-04-07T14:03:52.41" personId="{2BE53071-80F4-4D6F-A2F0-916AAB200931}" id="{5C69975D-CC00-47DA-B414-692F6130F0E2}">
    <text>Updated per Guidehouse review.</text>
  </threadedComment>
  <threadedComment ref="AE163" dT="2021-04-07T14:03:52.41" personId="{2BE53071-80F4-4D6F-A2F0-916AAB200931}" id="{4407D8C4-7AF4-45DA-9142-E324E08F33F6}">
    <text>Updated per Guidehouse review.</text>
  </threadedComment>
  <threadedComment ref="AF163" dT="2021-04-07T14:03:52.41" personId="{2BE53071-80F4-4D6F-A2F0-916AAB200931}" id="{C23D8805-1B4C-4619-99CD-878ED1C5D4C2}">
    <text>Updated per Guidehouse review.</text>
  </threadedComment>
  <threadedComment ref="AE164" dT="2021-04-07T14:03:52.41" personId="{2BE53071-80F4-4D6F-A2F0-916AAB200931}" id="{3337A4D0-CDFD-4BAE-B06A-21A4BB282FA8}">
    <text>Updated per Guidehouse review.</text>
  </threadedComment>
  <threadedComment ref="AF164" dT="2021-04-07T14:03:52.41" personId="{2BE53071-80F4-4D6F-A2F0-916AAB200931}" id="{F80267ED-0C2A-4641-A0CB-CF9E3725A895}">
    <text>Updated per Guidehouse review.</text>
  </threadedComment>
  <threadedComment ref="AE165" dT="2021-04-07T14:03:52.41" personId="{2BE53071-80F4-4D6F-A2F0-916AAB200931}" id="{0EC3898B-EFB6-4A47-AE49-5AB6BA5C6C1D}">
    <text>Updated per Guidehouse review.</text>
  </threadedComment>
  <threadedComment ref="AF165" dT="2021-04-07T14:03:52.41" personId="{2BE53071-80F4-4D6F-A2F0-916AAB200931}" id="{8804B068-3320-483C-B806-BC295E44F66A}">
    <text>Updated per Guidehouse review.</text>
  </threadedComment>
  <threadedComment ref="AE166" dT="2021-04-07T14:03:52.41" personId="{2BE53071-80F4-4D6F-A2F0-916AAB200931}" id="{C7E1FE12-6A02-4CC9-9DBE-3C87858D2BA2}">
    <text>Updated per Guidehouse review.</text>
  </threadedComment>
  <threadedComment ref="AF166" dT="2021-04-07T14:03:52.41" personId="{2BE53071-80F4-4D6F-A2F0-916AAB200931}" id="{E32CA8E6-7387-40C5-A517-DFED8A324600}">
    <text>Updated per Guidehouse review.</text>
  </threadedComment>
  <threadedComment ref="AE167" dT="2021-04-07T14:03:52.41" personId="{2BE53071-80F4-4D6F-A2F0-916AAB200931}" id="{AA43187B-B8D5-4A32-9E13-8B24DB6000D4}">
    <text>Updated per Guidehouse review.</text>
  </threadedComment>
  <threadedComment ref="AF167" dT="2021-04-07T14:03:52.41" personId="{2BE53071-80F4-4D6F-A2F0-916AAB200931}" id="{DCF010DA-D53B-4065-B2F7-00FF794E071A}">
    <text>Updated per Guidehouse review.</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homedepot.com/p/Rheem-Performance-40-Gal-Tall-6-Year-36-000-BTU-Natural-Gas-Tank-Water-Heater-XG40T06EC36U1/313657858" TargetMode="External"/><Relationship Id="rId1" Type="http://schemas.openxmlformats.org/officeDocument/2006/relationships/hyperlink" Target="https://www.homedepot.com/p/Rheem-Performance-40-Gal-Tall-6-Year-36-000-BTU-Natural-Gas-Tank-Water-Heater-XG40T06EC36U1/313657858" TargetMode="External"/><Relationship Id="rId6" Type="http://schemas.microsoft.com/office/2017/10/relationships/threadedComment" Target="../threadedComments/threadedComment3.xm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6.bin"/><Relationship Id="rId5" Type="http://schemas.microsoft.com/office/2017/10/relationships/threadedComment" Target="../threadedComments/threadedComment5.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DBC78-35F9-4645-9A30-DDD291A5FDB9}">
  <sheetPr filterMode="1">
    <pageSetUpPr autoPageBreaks="0"/>
  </sheetPr>
  <dimension ref="A1:R275"/>
  <sheetViews>
    <sheetView showGridLines="0" zoomScaleNormal="100" zoomScaleSheetLayoutView="80" workbookViewId="0"/>
  </sheetViews>
  <sheetFormatPr defaultColWidth="9.140625" defaultRowHeight="15" x14ac:dyDescent="0.25"/>
  <cols>
    <col min="1" max="1" width="9.140625" style="28"/>
    <col min="2" max="2" width="45.7109375" style="28" customWidth="1"/>
    <col min="3" max="3" width="25.7109375" style="28" customWidth="1"/>
    <col min="4" max="4" width="13.7109375" style="28" customWidth="1"/>
    <col min="5" max="5" width="40.7109375" style="28" customWidth="1"/>
    <col min="6" max="7" width="12.7109375" style="28" customWidth="1"/>
    <col min="8" max="8" width="40.7109375" style="28" customWidth="1"/>
    <col min="9" max="9" width="21.42578125" style="28" customWidth="1"/>
    <col min="10" max="15" width="14.42578125" style="28" customWidth="1"/>
    <col min="16" max="16" width="36.5703125" style="28" customWidth="1"/>
    <col min="17" max="17" width="21.28515625" style="28" bestFit="1" customWidth="1"/>
    <col min="18" max="18" width="15.85546875" style="28" bestFit="1" customWidth="1"/>
    <col min="19" max="16384" width="9.140625" style="28"/>
  </cols>
  <sheetData>
    <row r="1" spans="1:18" x14ac:dyDescent="0.25">
      <c r="A1" s="1" t="s">
        <v>2016</v>
      </c>
    </row>
    <row r="2" spans="1:18" x14ac:dyDescent="0.25">
      <c r="A2" s="1"/>
    </row>
    <row r="3" spans="1:18" hidden="1" x14ac:dyDescent="0.25">
      <c r="A3" s="42" t="s">
        <v>2017</v>
      </c>
      <c r="B3" s="3" t="s">
        <v>2018</v>
      </c>
      <c r="C3" s="43" t="s">
        <v>2019</v>
      </c>
      <c r="D3" s="3" t="str">
        <f t="shared" ref="D3" si="0">IFERROR(LEFT(E3,FIND(" ",E3)-1),E3)</f>
        <v>4.2.3</v>
      </c>
      <c r="E3" s="3" t="s">
        <v>1953</v>
      </c>
      <c r="F3" s="3" t="s">
        <v>2119</v>
      </c>
      <c r="G3" s="3" t="s">
        <v>1848</v>
      </c>
      <c r="H3" s="3" t="s">
        <v>2120</v>
      </c>
      <c r="I3" s="3" t="s">
        <v>1853</v>
      </c>
      <c r="J3" s="36" t="b">
        <f t="shared" ref="J3:R3" si="1">J$51</f>
        <v>1</v>
      </c>
      <c r="K3" s="36" t="b">
        <f t="shared" si="1"/>
        <v>1</v>
      </c>
      <c r="L3" s="36" t="b">
        <f t="shared" ca="1" si="1"/>
        <v>1</v>
      </c>
      <c r="M3" s="36" t="b">
        <f t="shared" ca="1" si="1"/>
        <v>0</v>
      </c>
      <c r="N3" s="36" t="b">
        <f t="shared" ca="1" si="1"/>
        <v>1</v>
      </c>
      <c r="O3" s="36" t="b">
        <f t="shared" si="1"/>
        <v>1</v>
      </c>
      <c r="P3" s="36" t="str">
        <f t="shared" si="1"/>
        <v>Updated preheat energy savings in algorithm ; Addition of PreTimeBase, PreTimeEE, PREheat_Base, and PREheat_EE inputs.</v>
      </c>
      <c r="Q3" s="36" t="str">
        <f t="shared" si="1"/>
        <v>Algorithms!$G$2537</v>
      </c>
      <c r="R3" s="36" t="str">
        <f t="shared" si="1"/>
        <v>Go to Update</v>
      </c>
    </row>
    <row r="4" spans="1:18" hidden="1" x14ac:dyDescent="0.25">
      <c r="A4" s="42" t="s">
        <v>2017</v>
      </c>
      <c r="B4" s="43" t="s">
        <v>2018</v>
      </c>
      <c r="C4" s="3" t="s">
        <v>2019</v>
      </c>
      <c r="D4" s="3" t="s">
        <v>521</v>
      </c>
      <c r="E4" s="3" t="s">
        <v>2020</v>
      </c>
      <c r="F4" s="3" t="s">
        <v>2021</v>
      </c>
      <c r="G4" s="3" t="s">
        <v>1848</v>
      </c>
      <c r="H4" s="3" t="s">
        <v>2022</v>
      </c>
      <c r="I4" s="3" t="s">
        <v>1853</v>
      </c>
      <c r="J4" s="36" t="b">
        <f t="shared" ref="J4:R4" si="2">J$52</f>
        <v>1</v>
      </c>
      <c r="K4" s="36" t="b">
        <f t="shared" si="2"/>
        <v>1</v>
      </c>
      <c r="L4" s="36" t="b">
        <f t="shared" ca="1" si="2"/>
        <v>1</v>
      </c>
      <c r="M4" s="36" t="b">
        <f t="shared" ca="1" si="2"/>
        <v>0</v>
      </c>
      <c r="N4" s="36" t="b">
        <f t="shared" ca="1" si="2"/>
        <v>1</v>
      </c>
      <c r="O4" s="36" t="b">
        <f t="shared" si="2"/>
        <v>1</v>
      </c>
      <c r="P4" s="36" t="str">
        <f t="shared" si="2"/>
        <v>Measure updated from entirely deemed savings to algorithmic approach ; Measure life updated to 12 years and incremental cost updated to $2,230.</v>
      </c>
      <c r="Q4" s="36" t="str">
        <f t="shared" si="2"/>
        <v>Algorithms!$G$2396</v>
      </c>
      <c r="R4" s="36" t="str">
        <f t="shared" si="2"/>
        <v>Go to Update</v>
      </c>
    </row>
    <row r="5" spans="1:18" hidden="1" x14ac:dyDescent="0.25">
      <c r="A5" s="42" t="s">
        <v>2017</v>
      </c>
      <c r="B5" s="43" t="s">
        <v>2018</v>
      </c>
      <c r="C5" s="43" t="s">
        <v>2019</v>
      </c>
      <c r="D5" s="43" t="s">
        <v>520</v>
      </c>
      <c r="E5" s="3" t="s">
        <v>1946</v>
      </c>
      <c r="F5" s="3" t="s">
        <v>2023</v>
      </c>
      <c r="G5" s="24" t="s">
        <v>1855</v>
      </c>
      <c r="H5" s="3" t="s">
        <v>2024</v>
      </c>
      <c r="I5" s="3" t="s">
        <v>1851</v>
      </c>
      <c r="J5" s="36" t="b">
        <f t="shared" ref="J5:R5" si="3">J$53</f>
        <v>1</v>
      </c>
      <c r="K5" s="36" t="b">
        <f t="shared" si="3"/>
        <v>1</v>
      </c>
      <c r="L5" s="36" t="b">
        <f t="shared" ca="1" si="3"/>
        <v>1</v>
      </c>
      <c r="M5" s="36" t="b">
        <f t="shared" ca="1" si="3"/>
        <v>1</v>
      </c>
      <c r="N5" s="36" t="b">
        <f t="shared" ca="1" si="3"/>
        <v>0</v>
      </c>
      <c r="O5" s="36" t="b">
        <f t="shared" si="3"/>
        <v>1</v>
      </c>
      <c r="P5" s="36" t="str">
        <f t="shared" si="3"/>
        <v>Addition of preheat energy savings in algorithm.</v>
      </c>
      <c r="Q5" s="36" t="str">
        <f t="shared" si="3"/>
        <v>Algorithms!$G$2468</v>
      </c>
      <c r="R5" s="36" t="str">
        <f t="shared" si="3"/>
        <v>Go to Update</v>
      </c>
    </row>
    <row r="6" spans="1:18" hidden="1" x14ac:dyDescent="0.25">
      <c r="A6" s="42" t="s">
        <v>2017</v>
      </c>
      <c r="B6" s="3" t="s">
        <v>2018</v>
      </c>
      <c r="C6" s="43" t="s">
        <v>2019</v>
      </c>
      <c r="D6" s="3" t="str">
        <f t="shared" ref="D6:D8" si="4">IFERROR(LEFT(E6,FIND(" ",E6)-1),E6)</f>
        <v>4.2.13</v>
      </c>
      <c r="E6" s="3" t="s">
        <v>2611</v>
      </c>
      <c r="F6" s="3" t="s">
        <v>2025</v>
      </c>
      <c r="G6" s="3" t="s">
        <v>1848</v>
      </c>
      <c r="H6" s="3" t="s">
        <v>2026</v>
      </c>
      <c r="I6" s="3" t="s">
        <v>1847</v>
      </c>
      <c r="J6" s="36" t="b">
        <f t="shared" ref="J6:R6" si="5">J59</f>
        <v>0</v>
      </c>
      <c r="K6" s="36" t="b">
        <f t="shared" si="5"/>
        <v>0</v>
      </c>
      <c r="L6" s="36" t="b">
        <f t="shared" ca="1" si="5"/>
        <v>1</v>
      </c>
      <c r="M6" s="36" t="b">
        <f t="shared" ca="1" si="5"/>
        <v>0</v>
      </c>
      <c r="N6" s="36" t="b">
        <f t="shared" ca="1" si="5"/>
        <v>0</v>
      </c>
      <c r="O6" s="36" t="b">
        <f t="shared" si="5"/>
        <v>1</v>
      </c>
      <c r="P6" s="36" t="str">
        <f t="shared" si="5"/>
        <v>Split annual hours in to days * hours/day ; savings remain the same</v>
      </c>
      <c r="Q6" s="36" t="str">
        <f t="shared" si="5"/>
        <v>Algorithms!$G$2805</v>
      </c>
      <c r="R6" s="36" t="str">
        <f t="shared" si="5"/>
        <v>Go to Update</v>
      </c>
    </row>
    <row r="7" spans="1:18" hidden="1" x14ac:dyDescent="0.25">
      <c r="A7" s="42" t="s">
        <v>2017</v>
      </c>
      <c r="B7" s="3" t="s">
        <v>2018</v>
      </c>
      <c r="C7" s="43" t="s">
        <v>2019</v>
      </c>
      <c r="D7" s="3" t="str">
        <f t="shared" si="4"/>
        <v>4.2.14</v>
      </c>
      <c r="E7" s="3" t="s">
        <v>2027</v>
      </c>
      <c r="F7" s="3" t="s">
        <v>2028</v>
      </c>
      <c r="G7" s="3" t="s">
        <v>1848</v>
      </c>
      <c r="H7" s="3" t="s">
        <v>2026</v>
      </c>
      <c r="I7" s="3" t="s">
        <v>1847</v>
      </c>
      <c r="J7" s="36" t="b">
        <f t="shared" ref="J7:R7" si="6">J60</f>
        <v>0</v>
      </c>
      <c r="K7" s="36" t="b">
        <f t="shared" si="6"/>
        <v>0</v>
      </c>
      <c r="L7" s="36" t="b">
        <f t="shared" ca="1" si="6"/>
        <v>1</v>
      </c>
      <c r="M7" s="36" t="b">
        <f t="shared" ca="1" si="6"/>
        <v>0</v>
      </c>
      <c r="N7" s="36" t="b">
        <f t="shared" ca="1" si="6"/>
        <v>0</v>
      </c>
      <c r="O7" s="36" t="b">
        <f t="shared" si="6"/>
        <v>1</v>
      </c>
      <c r="P7" s="36" t="str">
        <f t="shared" si="6"/>
        <v>Split annual hours in to days * hours/day ; savings remain the same</v>
      </c>
      <c r="Q7" s="36" t="str">
        <f t="shared" si="6"/>
        <v>Algorithms!$G$2796</v>
      </c>
      <c r="R7" s="36" t="str">
        <f t="shared" si="6"/>
        <v>Go to Update</v>
      </c>
    </row>
    <row r="8" spans="1:18" hidden="1" x14ac:dyDescent="0.25">
      <c r="A8" s="42" t="s">
        <v>2017</v>
      </c>
      <c r="B8" s="3" t="s">
        <v>2018</v>
      </c>
      <c r="C8" s="43" t="s">
        <v>2019</v>
      </c>
      <c r="D8" s="3" t="str">
        <f t="shared" si="4"/>
        <v>4.2.15</v>
      </c>
      <c r="E8" s="3" t="s">
        <v>2029</v>
      </c>
      <c r="F8" s="3" t="s">
        <v>2030</v>
      </c>
      <c r="G8" s="3" t="s">
        <v>1848</v>
      </c>
      <c r="H8" s="3" t="s">
        <v>2026</v>
      </c>
      <c r="I8" s="3" t="s">
        <v>1847</v>
      </c>
      <c r="J8" s="36" t="b">
        <f t="shared" ref="J8:R8" si="7">J61</f>
        <v>0</v>
      </c>
      <c r="K8" s="36" t="b">
        <f t="shared" si="7"/>
        <v>0</v>
      </c>
      <c r="L8" s="36" t="b">
        <f t="shared" ca="1" si="7"/>
        <v>1</v>
      </c>
      <c r="M8" s="36" t="b">
        <f t="shared" ca="1" si="7"/>
        <v>0</v>
      </c>
      <c r="N8" s="36" t="b">
        <f t="shared" ca="1" si="7"/>
        <v>0</v>
      </c>
      <c r="O8" s="36" t="b">
        <f t="shared" si="7"/>
        <v>1</v>
      </c>
      <c r="P8" s="36" t="str">
        <f t="shared" si="7"/>
        <v>Split annual hours in to days * hours/day ; savings remain the same</v>
      </c>
      <c r="Q8" s="36" t="str">
        <f t="shared" si="7"/>
        <v>Algorithms!$G$2787</v>
      </c>
      <c r="R8" s="36" t="str">
        <f t="shared" si="7"/>
        <v>Go to Update</v>
      </c>
    </row>
    <row r="9" spans="1:18" hidden="1" x14ac:dyDescent="0.25">
      <c r="A9" s="42" t="s">
        <v>2017</v>
      </c>
      <c r="B9" s="43" t="s">
        <v>2018</v>
      </c>
      <c r="C9" s="3" t="s">
        <v>2019</v>
      </c>
      <c r="D9" s="3" t="s">
        <v>124</v>
      </c>
      <c r="E9" s="3" t="s">
        <v>2031</v>
      </c>
      <c r="F9" s="3" t="s">
        <v>2032</v>
      </c>
      <c r="G9" s="3" t="s">
        <v>1848</v>
      </c>
      <c r="H9" s="3" t="s">
        <v>2033</v>
      </c>
      <c r="I9" s="3" t="s">
        <v>1853</v>
      </c>
      <c r="J9" s="36" t="b">
        <f t="shared" ref="J9:R9" si="8">J$63</f>
        <v>1</v>
      </c>
      <c r="K9" s="36" t="b">
        <f t="shared" si="8"/>
        <v>1</v>
      </c>
      <c r="L9" s="36" t="b">
        <f t="shared" ca="1" si="8"/>
        <v>1</v>
      </c>
      <c r="M9" s="36" t="b">
        <f t="shared" ca="1" si="8"/>
        <v>0</v>
      </c>
      <c r="N9" s="36" t="b">
        <f t="shared" ca="1" si="8"/>
        <v>1</v>
      </c>
      <c r="O9" s="36" t="b">
        <f t="shared" si="8"/>
        <v>1</v>
      </c>
      <c r="P9" s="36" t="str">
        <f t="shared" si="8"/>
        <v>Revised algorithm to accomodate additional inputs.</v>
      </c>
      <c r="Q9" s="36" t="str">
        <f t="shared" si="8"/>
        <v>Algorithms!$G$2743</v>
      </c>
      <c r="R9" s="36" t="str">
        <f t="shared" si="8"/>
        <v>Go to Update</v>
      </c>
    </row>
    <row r="10" spans="1:18" hidden="1" x14ac:dyDescent="0.25">
      <c r="A10" s="42" t="s">
        <v>2017</v>
      </c>
      <c r="B10" s="3" t="s">
        <v>2018</v>
      </c>
      <c r="C10" s="3" t="s">
        <v>2034</v>
      </c>
      <c r="D10" s="3" t="str">
        <f t="shared" ref="D10:D12" si="9">IFERROR(LEFT(E10,FIND(" ",E10)-1),E10)</f>
        <v>4.3.8</v>
      </c>
      <c r="E10" s="3" t="s">
        <v>1858</v>
      </c>
      <c r="F10" s="3" t="s">
        <v>2035</v>
      </c>
      <c r="G10" s="24" t="s">
        <v>1855</v>
      </c>
      <c r="H10" s="3" t="s">
        <v>2036</v>
      </c>
      <c r="I10" s="3" t="s">
        <v>1847</v>
      </c>
      <c r="J10" s="36" t="b">
        <f t="shared" ref="J10:R10" si="10">J$71</f>
        <v>0</v>
      </c>
      <c r="K10" s="36" t="b">
        <f t="shared" si="10"/>
        <v>0</v>
      </c>
      <c r="L10" s="36" t="b">
        <f t="shared" ca="1" si="10"/>
        <v>1</v>
      </c>
      <c r="M10" s="36" t="b">
        <f t="shared" ca="1" si="10"/>
        <v>0</v>
      </c>
      <c r="N10" s="36" t="b">
        <f t="shared" ca="1" si="10"/>
        <v>0</v>
      </c>
      <c r="O10" s="36" t="b">
        <f t="shared" si="10"/>
        <v>1</v>
      </c>
      <c r="P10" s="36" t="str">
        <f t="shared" si="10"/>
        <v>Updated reduction(%) in total operating hours for normal and low occupancy period.</v>
      </c>
      <c r="Q10" s="36" t="str">
        <f t="shared" si="10"/>
        <v>Algorithms!$G$1906</v>
      </c>
      <c r="R10" s="36" t="str">
        <f t="shared" si="10"/>
        <v>Go to Update</v>
      </c>
    </row>
    <row r="11" spans="1:18" hidden="1" x14ac:dyDescent="0.25">
      <c r="A11" s="44"/>
      <c r="B11" s="43" t="s">
        <v>2018</v>
      </c>
      <c r="C11" s="3" t="s">
        <v>2037</v>
      </c>
      <c r="D11" s="3" t="str">
        <f t="shared" si="9"/>
        <v>4.4.10</v>
      </c>
      <c r="E11" s="3" t="s">
        <v>1860</v>
      </c>
      <c r="F11" s="3" t="s">
        <v>2038</v>
      </c>
      <c r="G11" s="3" t="s">
        <v>1848</v>
      </c>
      <c r="H11" s="3" t="s">
        <v>2039</v>
      </c>
      <c r="I11" s="3" t="s">
        <v>1847</v>
      </c>
      <c r="J11" s="36" t="b">
        <f t="shared" ref="J11:R11" si="11">J$77</f>
        <v>0</v>
      </c>
      <c r="K11" s="36" t="b">
        <f t="shared" si="11"/>
        <v>0</v>
      </c>
      <c r="L11" s="36" t="b">
        <f t="shared" ca="1" si="11"/>
        <v>1</v>
      </c>
      <c r="M11" s="36" t="b">
        <f t="shared" ca="1" si="11"/>
        <v>0</v>
      </c>
      <c r="N11" s="36" t="b">
        <f t="shared" ca="1" si="11"/>
        <v>0</v>
      </c>
      <c r="O11" s="36" t="b">
        <f t="shared" si="11"/>
        <v>1</v>
      </c>
      <c r="P11" s="36" t="str">
        <f t="shared" si="11"/>
        <v>Updated baseline and efficient boiler efficiency ratings.</v>
      </c>
      <c r="Q11" s="36" t="str">
        <f t="shared" si="11"/>
        <v>Algorithms!$G$979</v>
      </c>
      <c r="R11" s="36" t="str">
        <f t="shared" si="11"/>
        <v>Go to Update</v>
      </c>
    </row>
    <row r="12" spans="1:18" hidden="1" x14ac:dyDescent="0.25">
      <c r="A12" s="42" t="s">
        <v>2017</v>
      </c>
      <c r="B12" s="43" t="s">
        <v>2018</v>
      </c>
      <c r="C12" s="3" t="s">
        <v>2037</v>
      </c>
      <c r="D12" s="3" t="str">
        <f t="shared" si="9"/>
        <v>4.4.11</v>
      </c>
      <c r="E12" s="3" t="s">
        <v>1861</v>
      </c>
      <c r="F12" s="3" t="s">
        <v>2040</v>
      </c>
      <c r="G12" s="3" t="s">
        <v>1848</v>
      </c>
      <c r="H12" s="3" t="s">
        <v>2041</v>
      </c>
      <c r="I12" s="3" t="s">
        <v>1853</v>
      </c>
      <c r="J12" s="36" t="b">
        <f t="shared" ref="J12:R12" si="12">J$78</f>
        <v>1</v>
      </c>
      <c r="K12" s="36" t="b">
        <f t="shared" si="12"/>
        <v>1</v>
      </c>
      <c r="L12" s="36" t="b">
        <f t="shared" ca="1" si="12"/>
        <v>1</v>
      </c>
      <c r="M12" s="36" t="b">
        <f t="shared" ca="1" si="12"/>
        <v>0</v>
      </c>
      <c r="N12" s="36" t="b">
        <f t="shared" ca="1" si="12"/>
        <v>1</v>
      </c>
      <c r="O12" s="36" t="b">
        <f t="shared" si="12"/>
        <v>1</v>
      </c>
      <c r="P12" s="36" t="str">
        <f t="shared" si="12"/>
        <v>Updated baseline Furnace Annual Fuel Utilization Efficiency (AFUE) rating from 80% to 81%.</v>
      </c>
      <c r="Q12" s="36" t="str">
        <f t="shared" si="12"/>
        <v>Algorithms!$G$1150</v>
      </c>
      <c r="R12" s="36" t="str">
        <f t="shared" si="12"/>
        <v>Go to Update</v>
      </c>
    </row>
    <row r="13" spans="1:18" hidden="1" x14ac:dyDescent="0.25">
      <c r="A13" s="42" t="s">
        <v>2017</v>
      </c>
      <c r="B13" s="43" t="s">
        <v>2018</v>
      </c>
      <c r="C13" s="3" t="s">
        <v>2037</v>
      </c>
      <c r="D13" s="3" t="s">
        <v>126</v>
      </c>
      <c r="E13" s="3" t="s">
        <v>1963</v>
      </c>
      <c r="F13" s="3" t="s">
        <v>2042</v>
      </c>
      <c r="G13" s="3" t="s">
        <v>1848</v>
      </c>
      <c r="H13" s="3" t="s">
        <v>2043</v>
      </c>
      <c r="I13" s="3" t="s">
        <v>1853</v>
      </c>
      <c r="J13" s="36" t="b">
        <f t="shared" ref="J13:R13" si="13">J$84</f>
        <v>1</v>
      </c>
      <c r="K13" s="36" t="b">
        <f t="shared" si="13"/>
        <v>1</v>
      </c>
      <c r="L13" s="36" t="b">
        <f t="shared" ca="1" si="13"/>
        <v>1</v>
      </c>
      <c r="M13" s="36" t="b">
        <f t="shared" ca="1" si="13"/>
        <v>0</v>
      </c>
      <c r="N13" s="36" t="b">
        <f t="shared" ca="1" si="13"/>
        <v>1</v>
      </c>
      <c r="O13" s="36" t="b">
        <f t="shared" si="13"/>
        <v>1</v>
      </c>
      <c r="P13" s="36" t="str">
        <f t="shared" si="13"/>
        <v>Updated temperature on design day of outside air.</v>
      </c>
      <c r="Q13" s="36" t="str">
        <f t="shared" si="13"/>
        <v>Algorithms!$G$3485</v>
      </c>
      <c r="R13" s="36" t="str">
        <f t="shared" si="13"/>
        <v>Go to Update</v>
      </c>
    </row>
    <row r="14" spans="1:18" hidden="1" x14ac:dyDescent="0.25">
      <c r="A14" s="42" t="s">
        <v>2017</v>
      </c>
      <c r="B14" s="43" t="s">
        <v>2044</v>
      </c>
      <c r="C14" s="3" t="s">
        <v>2037</v>
      </c>
      <c r="D14" s="3" t="str">
        <f t="shared" ref="D14:D23" si="14">IFERROR(LEFT(E14,FIND(" ",E14)-1),E14)</f>
        <v>5.3.2</v>
      </c>
      <c r="E14" s="3" t="s">
        <v>1872</v>
      </c>
      <c r="F14" s="3" t="s">
        <v>2045</v>
      </c>
      <c r="G14" s="3" t="s">
        <v>1848</v>
      </c>
      <c r="H14" s="3" t="s">
        <v>2046</v>
      </c>
      <c r="I14" s="3" t="s">
        <v>1856</v>
      </c>
      <c r="J14" s="36" t="b">
        <f t="shared" ref="J14:R14" si="15">J$139</f>
        <v>1</v>
      </c>
      <c r="K14" s="36" t="b">
        <f t="shared" si="15"/>
        <v>1</v>
      </c>
      <c r="L14" s="36" t="b">
        <f t="shared" ca="1" si="15"/>
        <v>1</v>
      </c>
      <c r="M14" s="36" t="b">
        <f t="shared" ca="1" si="15"/>
        <v>0</v>
      </c>
      <c r="N14" s="36" t="b">
        <f t="shared" ca="1" si="15"/>
        <v>1</v>
      </c>
      <c r="O14" s="36" t="b">
        <f t="shared" si="15"/>
        <v>1</v>
      </c>
      <c r="P14" s="36" t="str">
        <f t="shared" si="15"/>
        <v>Updated full load hours of heating from 1840 to 1726.</v>
      </c>
      <c r="Q14" s="36" t="str">
        <f t="shared" si="15"/>
        <v>Algorithms!$G$1228</v>
      </c>
      <c r="R14" s="36" t="str">
        <f t="shared" si="15"/>
        <v>Go to Update</v>
      </c>
    </row>
    <row r="15" spans="1:18" hidden="1" x14ac:dyDescent="0.25">
      <c r="A15" s="42" t="s">
        <v>2017</v>
      </c>
      <c r="B15" s="43" t="s">
        <v>2044</v>
      </c>
      <c r="C15" s="3" t="s">
        <v>2037</v>
      </c>
      <c r="D15" s="3" t="str">
        <f t="shared" si="14"/>
        <v>5.3.4</v>
      </c>
      <c r="E15" s="3" t="s">
        <v>1873</v>
      </c>
      <c r="F15" s="3" t="s">
        <v>2047</v>
      </c>
      <c r="G15" s="3" t="s">
        <v>1848</v>
      </c>
      <c r="H15" s="3" t="s">
        <v>2048</v>
      </c>
      <c r="I15" s="3" t="s">
        <v>1853</v>
      </c>
      <c r="J15" s="36" t="b">
        <f t="shared" ref="J15:R15" si="16">J$142</f>
        <v>1</v>
      </c>
      <c r="K15" s="36" t="b">
        <f t="shared" si="16"/>
        <v>1</v>
      </c>
      <c r="L15" s="36" t="b">
        <f t="shared" ca="1" si="16"/>
        <v>1</v>
      </c>
      <c r="M15" s="36" t="b">
        <f t="shared" ca="1" si="16"/>
        <v>0</v>
      </c>
      <c r="N15" s="36" t="b">
        <f t="shared" ca="1" si="16"/>
        <v>1</v>
      </c>
      <c r="O15" s="36" t="b">
        <f t="shared" si="16"/>
        <v>1</v>
      </c>
      <c r="P15" s="36" t="str">
        <f t="shared" si="16"/>
        <v>Updated full load hours of heating from 1840 to 1726 ; Revision of mid-life adjustment algorithm.</v>
      </c>
      <c r="Q15" s="36" t="str">
        <f t="shared" si="16"/>
        <v>Algorithms!$G$425</v>
      </c>
      <c r="R15" s="36" t="str">
        <f t="shared" si="16"/>
        <v>Go to Update</v>
      </c>
    </row>
    <row r="16" spans="1:18" hidden="1" x14ac:dyDescent="0.25">
      <c r="A16" s="44"/>
      <c r="B16" s="3" t="s">
        <v>2044</v>
      </c>
      <c r="C16" s="3" t="s">
        <v>2034</v>
      </c>
      <c r="D16" s="3" t="str">
        <f t="shared" si="14"/>
        <v>5.4.2</v>
      </c>
      <c r="E16" s="3" t="s">
        <v>2051</v>
      </c>
      <c r="F16" s="3" t="s">
        <v>2052</v>
      </c>
      <c r="G16" s="3" t="s">
        <v>1848</v>
      </c>
      <c r="H16" s="3" t="s">
        <v>2053</v>
      </c>
      <c r="I16" s="3" t="s">
        <v>1851</v>
      </c>
      <c r="J16" s="36" t="b">
        <f t="shared" ref="J16:R16" si="17">J$156</f>
        <v>1</v>
      </c>
      <c r="K16" s="36" t="b">
        <f t="shared" si="17"/>
        <v>1</v>
      </c>
      <c r="L16" s="36" t="b">
        <f t="shared" ca="1" si="17"/>
        <v>1</v>
      </c>
      <c r="M16" s="36" t="b">
        <f t="shared" ca="1" si="17"/>
        <v>0</v>
      </c>
      <c r="N16" s="36" t="b">
        <f t="shared" ca="1" si="17"/>
        <v>1</v>
      </c>
      <c r="O16" s="36" t="b">
        <f t="shared" si="17"/>
        <v>1</v>
      </c>
      <c r="P16" s="36" t="str">
        <f t="shared" si="17"/>
        <v>Baseline and efficient water heater criteria updated ; Updated measure life to 13.3 years for gas storage water heaters and 18.3 for gas instantaneous water heaters ; Updated incremental cost based on water heater type.</v>
      </c>
      <c r="Q16" s="36" t="str">
        <f t="shared" si="17"/>
        <v>Algorithms!$G$794</v>
      </c>
      <c r="R16" s="36" t="str">
        <f t="shared" si="17"/>
        <v>Go to Update</v>
      </c>
    </row>
    <row r="17" spans="1:18" hidden="1" x14ac:dyDescent="0.25">
      <c r="A17" s="42" t="s">
        <v>2017</v>
      </c>
      <c r="B17" s="43" t="s">
        <v>2044</v>
      </c>
      <c r="C17" s="3" t="s">
        <v>2034</v>
      </c>
      <c r="D17" s="3" t="str">
        <f t="shared" si="14"/>
        <v>5.4.6</v>
      </c>
      <c r="E17" s="3" t="s">
        <v>2054</v>
      </c>
      <c r="F17" s="3" t="s">
        <v>2055</v>
      </c>
      <c r="G17" s="3" t="s">
        <v>1848</v>
      </c>
      <c r="H17" s="3" t="s">
        <v>2056</v>
      </c>
      <c r="I17" s="3" t="s">
        <v>1853</v>
      </c>
      <c r="J17" s="36" t="b">
        <f t="shared" ref="J17:R17" si="18">J$160</f>
        <v>1</v>
      </c>
      <c r="K17" s="36" t="b">
        <f t="shared" si="18"/>
        <v>1</v>
      </c>
      <c r="L17" s="36" t="b">
        <f t="shared" ca="1" si="18"/>
        <v>1</v>
      </c>
      <c r="M17" s="36" t="b">
        <f t="shared" ca="1" si="18"/>
        <v>0</v>
      </c>
      <c r="N17" s="36" t="b">
        <f t="shared" ca="1" si="18"/>
        <v>1</v>
      </c>
      <c r="O17" s="36" t="b">
        <f t="shared" si="18"/>
        <v>1</v>
      </c>
      <c r="P17" s="36" t="str">
        <f t="shared" si="18"/>
        <v>Updated all pre and post temperatures.</v>
      </c>
      <c r="Q17" s="36" t="str">
        <f t="shared" si="18"/>
        <v>Algorithms!$G$1317</v>
      </c>
      <c r="R17" s="36" t="str">
        <f t="shared" si="18"/>
        <v>Go to Update</v>
      </c>
    </row>
    <row r="18" spans="1:18" hidden="1" x14ac:dyDescent="0.25">
      <c r="A18" s="42" t="s">
        <v>2017</v>
      </c>
      <c r="B18" s="43" t="s">
        <v>2044</v>
      </c>
      <c r="C18" s="3" t="s">
        <v>2057</v>
      </c>
      <c r="D18" s="3" t="str">
        <f t="shared" si="14"/>
        <v>5.6.1</v>
      </c>
      <c r="E18" s="3" t="s">
        <v>1885</v>
      </c>
      <c r="F18" s="3" t="s">
        <v>2058</v>
      </c>
      <c r="G18" s="3" t="s">
        <v>1848</v>
      </c>
      <c r="H18" s="3" t="s">
        <v>2059</v>
      </c>
      <c r="I18" s="3" t="s">
        <v>1853</v>
      </c>
      <c r="J18" s="36" t="b">
        <f t="shared" ref="J18:R18" si="19">J$175</f>
        <v>1</v>
      </c>
      <c r="K18" s="36" t="b">
        <f t="shared" si="19"/>
        <v>1</v>
      </c>
      <c r="L18" s="36" t="b">
        <f t="shared" ca="1" si="19"/>
        <v>1</v>
      </c>
      <c r="M18" s="36" t="b">
        <f t="shared" ca="1" si="19"/>
        <v>0</v>
      </c>
      <c r="N18" s="36" t="b">
        <f t="shared" ca="1" si="19"/>
        <v>1</v>
      </c>
      <c r="O18" s="36" t="b">
        <f t="shared" si="19"/>
        <v>1</v>
      </c>
      <c r="P18" s="36" t="str">
        <f t="shared" si="19"/>
        <v>Updated HDD from 5113 to 4798 and shell adjustment factor from 0.72 to 0.76.</v>
      </c>
      <c r="Q18" s="36" t="str">
        <f t="shared" si="19"/>
        <v>Algorithms!$G$834</v>
      </c>
      <c r="R18" s="36" t="str">
        <f t="shared" si="19"/>
        <v>Go to Update</v>
      </c>
    </row>
    <row r="19" spans="1:18" hidden="1" x14ac:dyDescent="0.25">
      <c r="A19" s="42" t="s">
        <v>2017</v>
      </c>
      <c r="B19" s="43" t="s">
        <v>2044</v>
      </c>
      <c r="C19" s="3" t="s">
        <v>2057</v>
      </c>
      <c r="D19" s="3" t="str">
        <f t="shared" si="14"/>
        <v>5.6.2</v>
      </c>
      <c r="E19" s="3" t="s">
        <v>1985</v>
      </c>
      <c r="F19" s="3" t="s">
        <v>2060</v>
      </c>
      <c r="G19" s="3" t="s">
        <v>1848</v>
      </c>
      <c r="H19" s="3" t="s">
        <v>2061</v>
      </c>
      <c r="I19" s="3" t="s">
        <v>1853</v>
      </c>
      <c r="J19" s="36" t="b">
        <f t="shared" ref="J19:R23" si="20">J176</f>
        <v>1</v>
      </c>
      <c r="K19" s="36" t="b">
        <f t="shared" si="20"/>
        <v>1</v>
      </c>
      <c r="L19" s="36" t="b">
        <f t="shared" ca="1" si="20"/>
        <v>1</v>
      </c>
      <c r="M19" s="36" t="b">
        <f t="shared" ca="1" si="20"/>
        <v>0</v>
      </c>
      <c r="N19" s="36" t="b">
        <f t="shared" ca="1" si="20"/>
        <v>1</v>
      </c>
      <c r="O19" s="36" t="b">
        <f t="shared" si="20"/>
        <v>1</v>
      </c>
      <c r="P19" s="36" t="str">
        <f t="shared" si="20"/>
        <v>Updated HDD from 5113 to 4798 and shell adjustment factor from 0.60 to 0.63 ; Updated measure life to 30 years.</v>
      </c>
      <c r="Q19" s="36" t="str">
        <f t="shared" si="20"/>
        <v>Algorithms!$G$277</v>
      </c>
      <c r="R19" s="36" t="str">
        <f t="shared" si="20"/>
        <v>Go to Update</v>
      </c>
    </row>
    <row r="20" spans="1:18" hidden="1" x14ac:dyDescent="0.25">
      <c r="A20" s="42" t="s">
        <v>2017</v>
      </c>
      <c r="B20" s="43" t="s">
        <v>2044</v>
      </c>
      <c r="C20" s="3" t="s">
        <v>2057</v>
      </c>
      <c r="D20" s="3" t="str">
        <f t="shared" si="14"/>
        <v>5.6.3</v>
      </c>
      <c r="E20" s="3" t="s">
        <v>1886</v>
      </c>
      <c r="F20" s="3" t="s">
        <v>2062</v>
      </c>
      <c r="G20" s="3" t="s">
        <v>1848</v>
      </c>
      <c r="H20" s="3" t="s">
        <v>2061</v>
      </c>
      <c r="I20" s="3" t="s">
        <v>1853</v>
      </c>
      <c r="J20" s="36" t="b">
        <f t="shared" si="20"/>
        <v>1</v>
      </c>
      <c r="K20" s="36" t="b">
        <f t="shared" si="20"/>
        <v>1</v>
      </c>
      <c r="L20" s="36" t="b">
        <f t="shared" ca="1" si="20"/>
        <v>1</v>
      </c>
      <c r="M20" s="36" t="b">
        <f t="shared" ca="1" si="20"/>
        <v>0</v>
      </c>
      <c r="N20" s="36" t="b">
        <f t="shared" ca="1" si="20"/>
        <v>1</v>
      </c>
      <c r="O20" s="36" t="b">
        <f t="shared" si="20"/>
        <v>1</v>
      </c>
      <c r="P20" s="36" t="str">
        <f t="shared" si="20"/>
        <v>Updated HDD from 3079 to 2845 and shell adjustment factor from 0.60 to 0.63 ; Updated measure life to 30 years.</v>
      </c>
      <c r="Q20" s="36" t="str">
        <f t="shared" si="20"/>
        <v>Algorithms!$G$541</v>
      </c>
      <c r="R20" s="36" t="str">
        <f t="shared" si="20"/>
        <v>Go to Update</v>
      </c>
    </row>
    <row r="21" spans="1:18" hidden="1" x14ac:dyDescent="0.25">
      <c r="A21" s="42" t="s">
        <v>2017</v>
      </c>
      <c r="B21" s="43" t="s">
        <v>2044</v>
      </c>
      <c r="C21" s="3" t="s">
        <v>2057</v>
      </c>
      <c r="D21" s="3" t="str">
        <f t="shared" si="14"/>
        <v>5.6.4</v>
      </c>
      <c r="E21" s="3" t="s">
        <v>1887</v>
      </c>
      <c r="F21" s="3" t="s">
        <v>2063</v>
      </c>
      <c r="G21" s="3" t="s">
        <v>1848</v>
      </c>
      <c r="H21" s="3" t="s">
        <v>2061</v>
      </c>
      <c r="I21" s="3" t="s">
        <v>1853</v>
      </c>
      <c r="J21" s="36" t="b">
        <f t="shared" si="20"/>
        <v>1</v>
      </c>
      <c r="K21" s="36" t="b">
        <f t="shared" si="20"/>
        <v>1</v>
      </c>
      <c r="L21" s="36" t="b">
        <f t="shared" ca="1" si="20"/>
        <v>1</v>
      </c>
      <c r="M21" s="36" t="b">
        <f t="shared" ca="1" si="20"/>
        <v>0</v>
      </c>
      <c r="N21" s="36" t="b">
        <f t="shared" ca="1" si="20"/>
        <v>1</v>
      </c>
      <c r="O21" s="36" t="b">
        <f t="shared" si="20"/>
        <v>1</v>
      </c>
      <c r="P21" s="36" t="str">
        <f t="shared" si="20"/>
        <v>Updated HDD from 5113 to 4798 and shell adjustment factor from 0.60 to 0.63 ; Updated measure life to 30 years.</v>
      </c>
      <c r="Q21" s="36" t="str">
        <f t="shared" si="20"/>
        <v>Algorithms!$G$616</v>
      </c>
      <c r="R21" s="36" t="str">
        <f t="shared" si="20"/>
        <v>Go to Update</v>
      </c>
    </row>
    <row r="22" spans="1:18" hidden="1" x14ac:dyDescent="0.25">
      <c r="A22" s="42" t="s">
        <v>2017</v>
      </c>
      <c r="B22" s="43" t="s">
        <v>2044</v>
      </c>
      <c r="C22" s="3" t="s">
        <v>2057</v>
      </c>
      <c r="D22" s="3" t="str">
        <f t="shared" si="14"/>
        <v>5.6.5</v>
      </c>
      <c r="E22" s="3" t="s">
        <v>1888</v>
      </c>
      <c r="F22" s="3" t="s">
        <v>2064</v>
      </c>
      <c r="G22" s="3" t="s">
        <v>1848</v>
      </c>
      <c r="H22" s="3" t="s">
        <v>2061</v>
      </c>
      <c r="I22" s="3" t="s">
        <v>1853</v>
      </c>
      <c r="J22" s="36" t="b">
        <f t="shared" si="20"/>
        <v>1</v>
      </c>
      <c r="K22" s="36" t="b">
        <f t="shared" si="20"/>
        <v>1</v>
      </c>
      <c r="L22" s="36" t="b">
        <f t="shared" ca="1" si="20"/>
        <v>1</v>
      </c>
      <c r="M22" s="36" t="b">
        <f t="shared" ca="1" si="20"/>
        <v>0</v>
      </c>
      <c r="N22" s="36" t="b">
        <f t="shared" ca="1" si="20"/>
        <v>1</v>
      </c>
      <c r="O22" s="36" t="b">
        <f t="shared" si="20"/>
        <v>1</v>
      </c>
      <c r="P22" s="36" t="str">
        <f t="shared" si="20"/>
        <v>Updated HDD from 5113 to 4798 and shell adjustment factor from 0.72 to 0.76 ; Updated measure life to 30 years.</v>
      </c>
      <c r="Q22" s="36" t="str">
        <f t="shared" si="20"/>
        <v>Algorithms!$G$296</v>
      </c>
      <c r="R22" s="36" t="str">
        <f t="shared" si="20"/>
        <v>Go to Update</v>
      </c>
    </row>
    <row r="23" spans="1:18" hidden="1" x14ac:dyDescent="0.25">
      <c r="A23" s="42" t="s">
        <v>2017</v>
      </c>
      <c r="B23" s="43" t="s">
        <v>2044</v>
      </c>
      <c r="C23" s="3" t="s">
        <v>2057</v>
      </c>
      <c r="D23" s="3" t="str">
        <f t="shared" si="14"/>
        <v>5.6.6</v>
      </c>
      <c r="E23" s="3" t="s">
        <v>1889</v>
      </c>
      <c r="F23" s="3" t="s">
        <v>2065</v>
      </c>
      <c r="G23" s="3" t="s">
        <v>1848</v>
      </c>
      <c r="H23" s="3" t="s">
        <v>2066</v>
      </c>
      <c r="I23" s="3" t="s">
        <v>1853</v>
      </c>
      <c r="J23" s="36" t="b">
        <f t="shared" si="20"/>
        <v>1</v>
      </c>
      <c r="K23" s="36" t="b">
        <f t="shared" si="20"/>
        <v>1</v>
      </c>
      <c r="L23" s="36" t="b">
        <f t="shared" ca="1" si="20"/>
        <v>1</v>
      </c>
      <c r="M23" s="36" t="b">
        <f t="shared" ca="1" si="20"/>
        <v>0</v>
      </c>
      <c r="N23" s="36" t="b">
        <f t="shared" ca="1" si="20"/>
        <v>1</v>
      </c>
      <c r="O23" s="36" t="b">
        <f t="shared" si="20"/>
        <v>1</v>
      </c>
      <c r="P23" s="36" t="str">
        <f t="shared" si="20"/>
        <v>Updated HDD from 3079 to 2845 and shell adjustment factor from 0.60 to 0.63, despite this revision not being explicitly stated in explanation of change ; Updated measure life to 30 years.</v>
      </c>
      <c r="Q23" s="36" t="str">
        <f t="shared" si="20"/>
        <v>Algorithms!$G$572</v>
      </c>
      <c r="R23" s="36" t="str">
        <f t="shared" si="20"/>
        <v>Go to Update</v>
      </c>
    </row>
    <row r="24" spans="1:18" x14ac:dyDescent="0.25">
      <c r="B24" s="30"/>
      <c r="C24" s="8"/>
      <c r="D24" s="8"/>
      <c r="E24" s="8"/>
      <c r="F24" s="8"/>
      <c r="G24" s="8"/>
      <c r="H24" s="8"/>
      <c r="I24" s="8"/>
      <c r="L24" s="31"/>
      <c r="Q24" s="32"/>
    </row>
    <row r="25" spans="1:18" x14ac:dyDescent="0.25">
      <c r="C25" s="4" t="s">
        <v>1828</v>
      </c>
      <c r="M25" s="28" t="s">
        <v>1950</v>
      </c>
    </row>
    <row r="26" spans="1:18" x14ac:dyDescent="0.25">
      <c r="M26" s="28">
        <f ca="1">COUNTIFS($M$29:$M$186,TRUE,$O$29:$O$186,"")</f>
        <v>0</v>
      </c>
      <c r="N26" s="28">
        <f ca="1">COUNTIFS(N$29:N$278,TRUE,$O$29:$O$278,"")</f>
        <v>0</v>
      </c>
    </row>
    <row r="27" spans="1:18" x14ac:dyDescent="0.25">
      <c r="B27" s="1" t="s">
        <v>1829</v>
      </c>
    </row>
    <row r="28" spans="1:18" ht="45" x14ac:dyDescent="0.25">
      <c r="B28" s="5" t="s">
        <v>1830</v>
      </c>
      <c r="C28" s="5" t="s">
        <v>1831</v>
      </c>
      <c r="D28" s="6" t="s">
        <v>1832</v>
      </c>
      <c r="E28" s="5" t="s">
        <v>1833</v>
      </c>
      <c r="F28" s="5" t="s">
        <v>1790</v>
      </c>
      <c r="G28" s="5" t="s">
        <v>1834</v>
      </c>
      <c r="H28" s="5" t="s">
        <v>1835</v>
      </c>
      <c r="I28" s="5" t="s">
        <v>1836</v>
      </c>
      <c r="J28" s="6" t="s">
        <v>1837</v>
      </c>
      <c r="K28" s="6" t="s">
        <v>1838</v>
      </c>
      <c r="L28" s="6" t="s">
        <v>1839</v>
      </c>
      <c r="M28" s="6" t="s">
        <v>1840</v>
      </c>
      <c r="N28" s="6" t="s">
        <v>1841</v>
      </c>
      <c r="O28" s="6" t="s">
        <v>1842</v>
      </c>
      <c r="P28" s="6" t="s">
        <v>1843</v>
      </c>
      <c r="Q28" s="6" t="s">
        <v>1844</v>
      </c>
      <c r="R28" s="6" t="s">
        <v>1845</v>
      </c>
    </row>
    <row r="29" spans="1:18" ht="15" hidden="1" customHeight="1" x14ac:dyDescent="0.25">
      <c r="B29" s="3" t="s">
        <v>1846</v>
      </c>
      <c r="C29" s="3" t="s">
        <v>1847</v>
      </c>
      <c r="D29" s="3" t="str">
        <f>IFERROR(LEFT(E29,FIND(" ",E29)-1),E29)</f>
        <v>1.1</v>
      </c>
      <c r="E29" s="3" t="s">
        <v>2067</v>
      </c>
      <c r="F29" s="3" t="s">
        <v>1847</v>
      </c>
      <c r="G29" s="3" t="s">
        <v>1848</v>
      </c>
      <c r="H29" s="3" t="s">
        <v>2068</v>
      </c>
      <c r="I29" s="3" t="s">
        <v>1847</v>
      </c>
      <c r="J29" s="27" t="b">
        <f>I29&lt;&gt;"N/A"</f>
        <v>0</v>
      </c>
      <c r="K29" s="27" t="b">
        <f t="shared" ref="K29:K92" si="21">COUNTIFS(D:D,D29,J:J,TRUE)&gt;0</f>
        <v>0</v>
      </c>
      <c r="L29" s="33" t="b">
        <f ca="1">IF(D29="n/a","n/a",ISNUMBER(MATCH(D29,'Measure-Level Adj Gas'!L:L,0)))</f>
        <v>0</v>
      </c>
      <c r="M29" s="27" t="b">
        <f ca="1">AND(G29="Errata",J29,L29)</f>
        <v>0</v>
      </c>
      <c r="N29" s="27" t="b">
        <f ca="1">AND(G29="Revision",J29,L29)</f>
        <v>0</v>
      </c>
      <c r="O29" s="35" t="s">
        <v>1469</v>
      </c>
      <c r="P29" s="36"/>
      <c r="Q29" s="36"/>
      <c r="R29" s="36"/>
    </row>
    <row r="30" spans="1:18" ht="15" hidden="1" customHeight="1" x14ac:dyDescent="0.25">
      <c r="B30" s="3" t="s">
        <v>1846</v>
      </c>
      <c r="C30" s="3" t="s">
        <v>1847</v>
      </c>
      <c r="D30" s="3" t="str">
        <f>IFERROR(LEFT(E30,FIND(" ",E30)-1),E30)</f>
        <v>1.3</v>
      </c>
      <c r="E30" s="3" t="s">
        <v>2069</v>
      </c>
      <c r="F30" s="3" t="s">
        <v>1847</v>
      </c>
      <c r="G30" s="3" t="s">
        <v>1848</v>
      </c>
      <c r="H30" s="3" t="s">
        <v>2068</v>
      </c>
      <c r="I30" s="3" t="s">
        <v>1847</v>
      </c>
      <c r="J30" s="27" t="b">
        <f>I30&lt;&gt;"N/A"</f>
        <v>0</v>
      </c>
      <c r="K30" s="27" t="b">
        <f t="shared" si="21"/>
        <v>0</v>
      </c>
      <c r="L30" s="33" t="b">
        <f ca="1">IF(D30="n/a","n/a",ISNUMBER(MATCH(D30,'Measure-Level Adj Gas'!L:L,0)))</f>
        <v>0</v>
      </c>
      <c r="M30" s="27" t="b">
        <f ca="1">AND(G30="Errata",J30,L30)</f>
        <v>0</v>
      </c>
      <c r="N30" s="27" t="b">
        <f ca="1">AND(G30="Revision",J30,L30)</f>
        <v>0</v>
      </c>
      <c r="O30" s="35" t="s">
        <v>1469</v>
      </c>
      <c r="P30" s="36"/>
      <c r="Q30" s="36"/>
      <c r="R30" s="36"/>
    </row>
    <row r="31" spans="1:18" ht="15" hidden="1" customHeight="1" x14ac:dyDescent="0.25">
      <c r="B31" s="29" t="s">
        <v>1846</v>
      </c>
      <c r="C31" s="3" t="s">
        <v>1847</v>
      </c>
      <c r="D31" s="3" t="str">
        <f>IFERROR(LEFT(E31,FIND(" ",E31)-1),E31)</f>
        <v>1.4</v>
      </c>
      <c r="E31" s="3" t="s">
        <v>2070</v>
      </c>
      <c r="F31" s="3" t="s">
        <v>1847</v>
      </c>
      <c r="G31" s="3" t="s">
        <v>1848</v>
      </c>
      <c r="H31" s="3" t="s">
        <v>2071</v>
      </c>
      <c r="I31" s="3" t="s">
        <v>1847</v>
      </c>
      <c r="J31" s="27" t="b">
        <f t="shared" ref="J31:J94" si="22">I31&lt;&gt;"N/A"</f>
        <v>0</v>
      </c>
      <c r="K31" s="27" t="b">
        <f t="shared" si="21"/>
        <v>0</v>
      </c>
      <c r="L31" s="33" t="b">
        <f ca="1">IF(D31="n/a","n/a",ISNUMBER(MATCH(D31,'Measure-Level Adj Gas'!L:L,0)))</f>
        <v>0</v>
      </c>
      <c r="M31" s="27" t="b">
        <f t="shared" ref="M31:M94" ca="1" si="23">AND(G31="Errata",J31,L31)</f>
        <v>0</v>
      </c>
      <c r="N31" s="27" t="b">
        <f t="shared" ref="N31:N94" ca="1" si="24">AND(G31="Revision",J31,L31)</f>
        <v>0</v>
      </c>
      <c r="O31" s="35" t="s">
        <v>1469</v>
      </c>
      <c r="P31" s="36"/>
      <c r="Q31" s="36"/>
      <c r="R31" s="36"/>
    </row>
    <row r="32" spans="1:18" ht="15" hidden="1" customHeight="1" x14ac:dyDescent="0.25">
      <c r="B32" s="29" t="s">
        <v>1846</v>
      </c>
      <c r="C32" s="3" t="s">
        <v>1847</v>
      </c>
      <c r="D32" s="3" t="str">
        <f t="shared" ref="D32:D95" si="25">IFERROR(LEFT(E32,FIND(" ",E32)-1),E32)</f>
        <v>2.3</v>
      </c>
      <c r="E32" s="3" t="s">
        <v>2072</v>
      </c>
      <c r="F32" s="3" t="s">
        <v>1847</v>
      </c>
      <c r="G32" s="3" t="s">
        <v>1848</v>
      </c>
      <c r="H32" s="3" t="s">
        <v>2073</v>
      </c>
      <c r="I32" s="3" t="s">
        <v>1847</v>
      </c>
      <c r="J32" s="27" t="b">
        <f t="shared" si="22"/>
        <v>0</v>
      </c>
      <c r="K32" s="27" t="b">
        <f t="shared" si="21"/>
        <v>0</v>
      </c>
      <c r="L32" s="33" t="b">
        <f ca="1">IF(D32="n/a","n/a",ISNUMBER(MATCH(D32,'Measure-Level Adj Gas'!L:L,0)))</f>
        <v>0</v>
      </c>
      <c r="M32" s="27" t="b">
        <f t="shared" ca="1" si="23"/>
        <v>0</v>
      </c>
      <c r="N32" s="27" t="b">
        <f t="shared" ca="1" si="24"/>
        <v>0</v>
      </c>
      <c r="O32" s="35" t="s">
        <v>1469</v>
      </c>
      <c r="P32" s="36"/>
      <c r="Q32" s="36"/>
      <c r="R32" s="36"/>
    </row>
    <row r="33" spans="2:18" ht="15" hidden="1" customHeight="1" x14ac:dyDescent="0.25">
      <c r="B33" s="29" t="s">
        <v>1846</v>
      </c>
      <c r="C33" s="3" t="s">
        <v>1847</v>
      </c>
      <c r="D33" s="3" t="str">
        <f t="shared" si="25"/>
        <v>3.3.2</v>
      </c>
      <c r="E33" s="3" t="s">
        <v>2074</v>
      </c>
      <c r="F33" s="3" t="s">
        <v>1847</v>
      </c>
      <c r="G33" s="3" t="s">
        <v>1848</v>
      </c>
      <c r="H33" s="3" t="s">
        <v>2075</v>
      </c>
      <c r="I33" s="3" t="s">
        <v>1847</v>
      </c>
      <c r="J33" s="27" t="b">
        <f t="shared" si="22"/>
        <v>0</v>
      </c>
      <c r="K33" s="27" t="b">
        <f t="shared" si="21"/>
        <v>0</v>
      </c>
      <c r="L33" s="33" t="b">
        <f ca="1">IF(D33="n/a","n/a",ISNUMBER(MATCH(D33,'Measure-Level Adj Gas'!L:L,0)))</f>
        <v>0</v>
      </c>
      <c r="M33" s="27" t="b">
        <f t="shared" ca="1" si="23"/>
        <v>0</v>
      </c>
      <c r="N33" s="27" t="b">
        <f t="shared" ca="1" si="24"/>
        <v>0</v>
      </c>
      <c r="O33" s="35" t="s">
        <v>1469</v>
      </c>
      <c r="P33" s="36"/>
      <c r="Q33" s="36"/>
      <c r="R33" s="36"/>
    </row>
    <row r="34" spans="2:18" ht="15" hidden="1" customHeight="1" x14ac:dyDescent="0.25">
      <c r="B34" s="29" t="s">
        <v>1846</v>
      </c>
      <c r="C34" s="3" t="s">
        <v>1847</v>
      </c>
      <c r="D34" s="3" t="str">
        <f t="shared" si="25"/>
        <v>3.9</v>
      </c>
      <c r="E34" s="3" t="s">
        <v>2076</v>
      </c>
      <c r="F34" s="3" t="s">
        <v>1847</v>
      </c>
      <c r="G34" s="3" t="s">
        <v>1855</v>
      </c>
      <c r="H34" s="3" t="s">
        <v>2077</v>
      </c>
      <c r="I34" s="3" t="s">
        <v>1847</v>
      </c>
      <c r="J34" s="27" t="b">
        <f t="shared" si="22"/>
        <v>0</v>
      </c>
      <c r="K34" s="27" t="b">
        <f t="shared" si="21"/>
        <v>0</v>
      </c>
      <c r="L34" s="33" t="b">
        <f ca="1">IF(D34="n/a","n/a",ISNUMBER(MATCH(D34,'Measure-Level Adj Gas'!L:L,0)))</f>
        <v>0</v>
      </c>
      <c r="M34" s="27" t="b">
        <f t="shared" ca="1" si="23"/>
        <v>0</v>
      </c>
      <c r="N34" s="27" t="b">
        <f t="shared" ca="1" si="24"/>
        <v>0</v>
      </c>
      <c r="O34" s="35" t="s">
        <v>1469</v>
      </c>
      <c r="P34" s="36"/>
      <c r="Q34" s="36"/>
      <c r="R34" s="36"/>
    </row>
    <row r="35" spans="2:18" ht="15" hidden="1" customHeight="1" x14ac:dyDescent="0.25">
      <c r="B35" s="29" t="s">
        <v>1846</v>
      </c>
      <c r="C35" s="3" t="s">
        <v>1847</v>
      </c>
      <c r="D35" s="3" t="str">
        <f t="shared" si="25"/>
        <v>3.9</v>
      </c>
      <c r="E35" s="3" t="s">
        <v>2076</v>
      </c>
      <c r="F35" s="3" t="s">
        <v>1847</v>
      </c>
      <c r="G35" s="3" t="s">
        <v>1848</v>
      </c>
      <c r="H35" s="3" t="s">
        <v>2078</v>
      </c>
      <c r="I35" s="3" t="s">
        <v>1847</v>
      </c>
      <c r="J35" s="27" t="b">
        <f t="shared" si="22"/>
        <v>0</v>
      </c>
      <c r="K35" s="27" t="b">
        <f t="shared" si="21"/>
        <v>0</v>
      </c>
      <c r="L35" s="33" t="b">
        <f ca="1">IF(D35="n/a","n/a",ISNUMBER(MATCH(D35,'Measure-Level Adj Gas'!L:L,0)))</f>
        <v>0</v>
      </c>
      <c r="M35" s="27" t="b">
        <f t="shared" ca="1" si="23"/>
        <v>0</v>
      </c>
      <c r="N35" s="27" t="b">
        <f t="shared" ca="1" si="24"/>
        <v>0</v>
      </c>
      <c r="O35" s="35" t="s">
        <v>1469</v>
      </c>
      <c r="P35" s="36"/>
      <c r="Q35" s="36"/>
      <c r="R35" s="36"/>
    </row>
    <row r="36" spans="2:18" ht="15" hidden="1" customHeight="1" x14ac:dyDescent="0.25">
      <c r="B36" s="29" t="s">
        <v>1846</v>
      </c>
      <c r="C36" s="3" t="s">
        <v>1847</v>
      </c>
      <c r="D36" s="3" t="str">
        <f t="shared" si="25"/>
        <v>3.11</v>
      </c>
      <c r="E36" s="3" t="s">
        <v>2079</v>
      </c>
      <c r="F36" s="3" t="s">
        <v>1847</v>
      </c>
      <c r="G36" s="3" t="s">
        <v>1848</v>
      </c>
      <c r="H36" s="3" t="s">
        <v>2080</v>
      </c>
      <c r="I36" s="3" t="s">
        <v>1847</v>
      </c>
      <c r="J36" s="27" t="b">
        <f t="shared" si="22"/>
        <v>0</v>
      </c>
      <c r="K36" s="27" t="b">
        <f t="shared" si="21"/>
        <v>0</v>
      </c>
      <c r="L36" s="33" t="b">
        <f ca="1">IF(D36="n/a","n/a",ISNUMBER(MATCH(D36,'Measure-Level Adj Gas'!L:L,0)))</f>
        <v>0</v>
      </c>
      <c r="M36" s="27" t="b">
        <f t="shared" ca="1" si="23"/>
        <v>0</v>
      </c>
      <c r="N36" s="27" t="b">
        <f t="shared" ca="1" si="24"/>
        <v>0</v>
      </c>
      <c r="O36" s="35" t="s">
        <v>1469</v>
      </c>
      <c r="P36" s="36"/>
      <c r="Q36" s="36"/>
      <c r="R36" s="36"/>
    </row>
    <row r="37" spans="2:18" ht="15" hidden="1" customHeight="1" x14ac:dyDescent="0.25">
      <c r="B37" s="3" t="s">
        <v>1846</v>
      </c>
      <c r="C37" s="3" t="s">
        <v>1847</v>
      </c>
      <c r="D37" s="3" t="str">
        <f t="shared" si="25"/>
        <v>3.12</v>
      </c>
      <c r="E37" s="3" t="s">
        <v>2081</v>
      </c>
      <c r="F37" s="3" t="s">
        <v>1847</v>
      </c>
      <c r="G37" s="3" t="s">
        <v>1848</v>
      </c>
      <c r="H37" s="3" t="s">
        <v>2082</v>
      </c>
      <c r="I37" s="3" t="s">
        <v>1847</v>
      </c>
      <c r="J37" s="27" t="b">
        <f t="shared" si="22"/>
        <v>0</v>
      </c>
      <c r="K37" s="27" t="b">
        <f t="shared" si="21"/>
        <v>0</v>
      </c>
      <c r="L37" s="33" t="b">
        <f ca="1">IF(D37="n/a","n/a",ISNUMBER(MATCH(D37,'Measure-Level Adj Gas'!L:L,0)))</f>
        <v>0</v>
      </c>
      <c r="M37" s="27" t="b">
        <f t="shared" ca="1" si="23"/>
        <v>0</v>
      </c>
      <c r="N37" s="27" t="b">
        <f t="shared" ca="1" si="24"/>
        <v>0</v>
      </c>
      <c r="O37" s="35" t="s">
        <v>1469</v>
      </c>
      <c r="P37" s="36"/>
      <c r="Q37" s="36"/>
      <c r="R37" s="36"/>
    </row>
    <row r="38" spans="2:18" ht="15" hidden="1" customHeight="1" x14ac:dyDescent="0.25">
      <c r="B38" s="3" t="s">
        <v>2018</v>
      </c>
      <c r="C38" s="3" t="s">
        <v>2083</v>
      </c>
      <c r="D38" s="3" t="str">
        <f t="shared" si="25"/>
        <v>4.1.1</v>
      </c>
      <c r="E38" s="3" t="s">
        <v>2084</v>
      </c>
      <c r="F38" s="3" t="s">
        <v>2085</v>
      </c>
      <c r="G38" s="3" t="s">
        <v>1848</v>
      </c>
      <c r="H38" s="3" t="s">
        <v>2086</v>
      </c>
      <c r="I38" s="3" t="s">
        <v>1853</v>
      </c>
      <c r="J38" s="27" t="b">
        <f>I38&lt;&gt;"N/A"</f>
        <v>1</v>
      </c>
      <c r="K38" s="27" t="b">
        <f t="shared" si="21"/>
        <v>1</v>
      </c>
      <c r="L38" s="33" t="b">
        <f ca="1">IF(D38="n/a","n/a",ISNUMBER(MATCH(D38,'Measure-Level Adj Gas'!L:L,0)))</f>
        <v>0</v>
      </c>
      <c r="M38" s="27" t="b">
        <f ca="1">AND(G38="Errata",J38,L38)</f>
        <v>0</v>
      </c>
      <c r="N38" s="27" t="b">
        <f ca="1">AND(G38="Revision",J38,L38)</f>
        <v>0</v>
      </c>
      <c r="O38" s="35" t="s">
        <v>1469</v>
      </c>
      <c r="P38" s="36"/>
      <c r="Q38" s="36"/>
      <c r="R38" s="36"/>
    </row>
    <row r="39" spans="2:18" ht="15" hidden="1" customHeight="1" x14ac:dyDescent="0.25">
      <c r="B39" s="3" t="s">
        <v>2018</v>
      </c>
      <c r="C39" s="3" t="s">
        <v>2083</v>
      </c>
      <c r="D39" s="3" t="str">
        <f t="shared" si="25"/>
        <v>4.1.2</v>
      </c>
      <c r="E39" s="3" t="s">
        <v>2087</v>
      </c>
      <c r="F39" s="3" t="s">
        <v>2088</v>
      </c>
      <c r="G39" s="3" t="s">
        <v>1848</v>
      </c>
      <c r="H39" s="3" t="s">
        <v>2089</v>
      </c>
      <c r="I39" s="3" t="s">
        <v>1853</v>
      </c>
      <c r="J39" s="27" t="b">
        <f t="shared" si="22"/>
        <v>1</v>
      </c>
      <c r="K39" s="27" t="b">
        <f t="shared" si="21"/>
        <v>1</v>
      </c>
      <c r="L39" s="33" t="b">
        <f ca="1">IF(D39="n/a","n/a",ISNUMBER(MATCH(D39,'Measure-Level Adj Gas'!L:L,0)))</f>
        <v>0</v>
      </c>
      <c r="M39" s="27" t="b">
        <f t="shared" ca="1" si="23"/>
        <v>0</v>
      </c>
      <c r="N39" s="27" t="b">
        <f t="shared" ca="1" si="24"/>
        <v>0</v>
      </c>
      <c r="O39" s="35" t="s">
        <v>1469</v>
      </c>
      <c r="P39" s="36"/>
      <c r="Q39" s="36"/>
      <c r="R39" s="36"/>
    </row>
    <row r="40" spans="2:18" ht="15" hidden="1" customHeight="1" x14ac:dyDescent="0.25">
      <c r="B40" s="3" t="s">
        <v>2018</v>
      </c>
      <c r="C40" s="3" t="s">
        <v>2083</v>
      </c>
      <c r="D40" s="3" t="str">
        <f t="shared" si="25"/>
        <v>4.1.3</v>
      </c>
      <c r="E40" s="3" t="s">
        <v>2090</v>
      </c>
      <c r="F40" s="3" t="s">
        <v>2091</v>
      </c>
      <c r="G40" s="3" t="s">
        <v>1848</v>
      </c>
      <c r="H40" s="3" t="s">
        <v>2092</v>
      </c>
      <c r="I40" s="3" t="s">
        <v>1853</v>
      </c>
      <c r="J40" s="27" t="b">
        <f t="shared" si="22"/>
        <v>1</v>
      </c>
      <c r="K40" s="27" t="b">
        <f t="shared" si="21"/>
        <v>1</v>
      </c>
      <c r="L40" s="33" t="b">
        <f ca="1">IF(D40="n/a","n/a",ISNUMBER(MATCH(D40,'Measure-Level Adj Gas'!L:L,0)))</f>
        <v>0</v>
      </c>
      <c r="M40" s="27" t="b">
        <f t="shared" ca="1" si="23"/>
        <v>0</v>
      </c>
      <c r="N40" s="27" t="b">
        <f t="shared" ca="1" si="24"/>
        <v>0</v>
      </c>
      <c r="O40" s="35" t="s">
        <v>1469</v>
      </c>
      <c r="P40" s="36"/>
      <c r="Q40" s="36"/>
      <c r="R40" s="36"/>
    </row>
    <row r="41" spans="2:18" ht="15" hidden="1" customHeight="1" x14ac:dyDescent="0.25">
      <c r="B41" s="3" t="s">
        <v>2018</v>
      </c>
      <c r="C41" s="3" t="s">
        <v>2083</v>
      </c>
      <c r="D41" s="3" t="str">
        <f t="shared" si="25"/>
        <v>4.1.4</v>
      </c>
      <c r="E41" s="3" t="s">
        <v>2093</v>
      </c>
      <c r="F41" s="3" t="s">
        <v>2094</v>
      </c>
      <c r="G41" s="3" t="s">
        <v>1848</v>
      </c>
      <c r="H41" s="3" t="s">
        <v>2095</v>
      </c>
      <c r="I41" s="3" t="s">
        <v>1853</v>
      </c>
      <c r="J41" s="27" t="b">
        <f t="shared" si="22"/>
        <v>1</v>
      </c>
      <c r="K41" s="27" t="b">
        <f t="shared" si="21"/>
        <v>1</v>
      </c>
      <c r="L41" s="33" t="b">
        <f ca="1">IF(D41="n/a","n/a",ISNUMBER(MATCH(D41,'Measure-Level Adj Gas'!L:L,0)))</f>
        <v>0</v>
      </c>
      <c r="M41" s="27" t="b">
        <f t="shared" ca="1" si="23"/>
        <v>0</v>
      </c>
      <c r="N41" s="27" t="b">
        <f t="shared" ca="1" si="24"/>
        <v>0</v>
      </c>
      <c r="O41" s="35" t="s">
        <v>1469</v>
      </c>
      <c r="P41" s="36"/>
      <c r="Q41" s="36"/>
      <c r="R41" s="36"/>
    </row>
    <row r="42" spans="2:18" ht="15" hidden="1" customHeight="1" x14ac:dyDescent="0.25">
      <c r="B42" s="3" t="s">
        <v>2018</v>
      </c>
      <c r="C42" s="3" t="s">
        <v>2083</v>
      </c>
      <c r="D42" s="3" t="str">
        <f t="shared" si="25"/>
        <v>4.1.5</v>
      </c>
      <c r="E42" s="3" t="s">
        <v>1952</v>
      </c>
      <c r="F42" s="3" t="s">
        <v>2096</v>
      </c>
      <c r="G42" s="3" t="s">
        <v>1848</v>
      </c>
      <c r="H42" s="3" t="s">
        <v>2097</v>
      </c>
      <c r="I42" s="3" t="s">
        <v>1853</v>
      </c>
      <c r="J42" s="27" t="b">
        <f t="shared" si="22"/>
        <v>1</v>
      </c>
      <c r="K42" s="27" t="b">
        <f t="shared" si="21"/>
        <v>1</v>
      </c>
      <c r="L42" s="33" t="b">
        <f ca="1">IF(D42="n/a","n/a",ISNUMBER(MATCH(D42,'Measure-Level Adj Gas'!L:L,0)))</f>
        <v>0</v>
      </c>
      <c r="M42" s="27" t="b">
        <f t="shared" ca="1" si="23"/>
        <v>0</v>
      </c>
      <c r="N42" s="27" t="b">
        <f t="shared" ca="1" si="24"/>
        <v>0</v>
      </c>
      <c r="O42" s="35" t="s">
        <v>1469</v>
      </c>
      <c r="P42" s="36"/>
      <c r="Q42" s="36"/>
      <c r="R42" s="36"/>
    </row>
    <row r="43" spans="2:18" ht="15" hidden="1" customHeight="1" x14ac:dyDescent="0.25">
      <c r="B43" s="3" t="s">
        <v>2018</v>
      </c>
      <c r="C43" s="3" t="s">
        <v>2083</v>
      </c>
      <c r="D43" s="3" t="str">
        <f t="shared" si="25"/>
        <v>4.1.9</v>
      </c>
      <c r="E43" s="3" t="s">
        <v>2098</v>
      </c>
      <c r="F43" s="3" t="s">
        <v>2099</v>
      </c>
      <c r="G43" s="3" t="s">
        <v>1848</v>
      </c>
      <c r="H43" s="3" t="s">
        <v>2100</v>
      </c>
      <c r="I43" s="3" t="s">
        <v>1847</v>
      </c>
      <c r="J43" s="27" t="b">
        <f t="shared" si="22"/>
        <v>0</v>
      </c>
      <c r="K43" s="27" t="b">
        <f t="shared" si="21"/>
        <v>0</v>
      </c>
      <c r="L43" s="33" t="b">
        <f ca="1">IF(D43="n/a","n/a",ISNUMBER(MATCH(D43,'Measure-Level Adj Gas'!L:L,0)))</f>
        <v>0</v>
      </c>
      <c r="M43" s="27" t="b">
        <f t="shared" ca="1" si="23"/>
        <v>0</v>
      </c>
      <c r="N43" s="27" t="b">
        <f t="shared" ca="1" si="24"/>
        <v>0</v>
      </c>
      <c r="O43" s="35" t="s">
        <v>1469</v>
      </c>
      <c r="P43" s="36"/>
      <c r="Q43" s="36"/>
      <c r="R43" s="36"/>
    </row>
    <row r="44" spans="2:18" ht="15" hidden="1" customHeight="1" x14ac:dyDescent="0.25">
      <c r="B44" s="3" t="s">
        <v>2018</v>
      </c>
      <c r="C44" s="3" t="s">
        <v>2083</v>
      </c>
      <c r="D44" s="3" t="str">
        <f t="shared" si="25"/>
        <v>4.1.10</v>
      </c>
      <c r="E44" s="3" t="s">
        <v>2101</v>
      </c>
      <c r="F44" s="3" t="s">
        <v>2102</v>
      </c>
      <c r="G44" s="3" t="s">
        <v>1848</v>
      </c>
      <c r="H44" s="3" t="s">
        <v>2103</v>
      </c>
      <c r="I44" s="3" t="s">
        <v>1847</v>
      </c>
      <c r="J44" s="27" t="b">
        <f t="shared" si="22"/>
        <v>0</v>
      </c>
      <c r="K44" s="27" t="b">
        <f t="shared" si="21"/>
        <v>0</v>
      </c>
      <c r="L44" s="33" t="b">
        <f ca="1">IF(D44="n/a","n/a",ISNUMBER(MATCH(D44,'Measure-Level Adj Gas'!L:L,0)))</f>
        <v>0</v>
      </c>
      <c r="M44" s="27" t="b">
        <f t="shared" ca="1" si="23"/>
        <v>0</v>
      </c>
      <c r="N44" s="27" t="b">
        <f t="shared" ca="1" si="24"/>
        <v>0</v>
      </c>
      <c r="O44" s="35" t="s">
        <v>1469</v>
      </c>
      <c r="P44" s="36"/>
      <c r="Q44" s="36"/>
      <c r="R44" s="36"/>
    </row>
    <row r="45" spans="2:18" ht="15" hidden="1" customHeight="1" x14ac:dyDescent="0.25">
      <c r="B45" s="3" t="s">
        <v>2018</v>
      </c>
      <c r="C45" s="3" t="s">
        <v>2083</v>
      </c>
      <c r="D45" s="3" t="str">
        <f t="shared" si="25"/>
        <v>4.1.12</v>
      </c>
      <c r="E45" s="3" t="s">
        <v>2104</v>
      </c>
      <c r="F45" s="3" t="s">
        <v>2105</v>
      </c>
      <c r="G45" s="3" t="s">
        <v>1848</v>
      </c>
      <c r="H45" s="3" t="s">
        <v>2106</v>
      </c>
      <c r="I45" s="3" t="s">
        <v>1853</v>
      </c>
      <c r="J45" s="27" t="b">
        <f t="shared" si="22"/>
        <v>1</v>
      </c>
      <c r="K45" s="27" t="b">
        <f t="shared" si="21"/>
        <v>1</v>
      </c>
      <c r="L45" s="33" t="b">
        <f ca="1">IF(D45="n/a","n/a",ISNUMBER(MATCH(D45,'Measure-Level Adj Gas'!L:L,0)))</f>
        <v>0</v>
      </c>
      <c r="M45" s="27" t="b">
        <f t="shared" ca="1" si="23"/>
        <v>0</v>
      </c>
      <c r="N45" s="27" t="b">
        <f t="shared" ca="1" si="24"/>
        <v>0</v>
      </c>
      <c r="O45" s="35" t="s">
        <v>1469</v>
      </c>
      <c r="P45" s="36"/>
      <c r="Q45" s="37"/>
      <c r="R45" s="36"/>
    </row>
    <row r="46" spans="2:18" ht="15" hidden="1" customHeight="1" x14ac:dyDescent="0.25">
      <c r="B46" s="3" t="s">
        <v>2018</v>
      </c>
      <c r="C46" s="3" t="s">
        <v>2083</v>
      </c>
      <c r="D46" s="3" t="str">
        <f t="shared" si="25"/>
        <v>4.1.19</v>
      </c>
      <c r="E46" s="3" t="s">
        <v>2107</v>
      </c>
      <c r="F46" s="3" t="s">
        <v>2108</v>
      </c>
      <c r="G46" s="3" t="s">
        <v>1848</v>
      </c>
      <c r="H46" s="3" t="s">
        <v>2109</v>
      </c>
      <c r="I46" s="3" t="s">
        <v>1847</v>
      </c>
      <c r="J46" s="27" t="b">
        <f t="shared" si="22"/>
        <v>0</v>
      </c>
      <c r="K46" s="27" t="b">
        <f t="shared" si="21"/>
        <v>0</v>
      </c>
      <c r="L46" s="33" t="b">
        <f ca="1">IF(D46="n/a","n/a",ISNUMBER(MATCH(D46,'Measure-Level Adj Gas'!L:L,0)))</f>
        <v>0</v>
      </c>
      <c r="M46" s="27" t="b">
        <f t="shared" ca="1" si="23"/>
        <v>0</v>
      </c>
      <c r="N46" s="27" t="b">
        <f t="shared" ca="1" si="24"/>
        <v>0</v>
      </c>
      <c r="O46" s="35" t="s">
        <v>1469</v>
      </c>
      <c r="P46" s="36"/>
      <c r="Q46" s="38"/>
      <c r="R46" s="36"/>
    </row>
    <row r="47" spans="2:18" ht="15" hidden="1" customHeight="1" x14ac:dyDescent="0.25">
      <c r="B47" s="3" t="s">
        <v>2018</v>
      </c>
      <c r="C47" s="3" t="s">
        <v>2083</v>
      </c>
      <c r="D47" s="3" t="str">
        <f t="shared" si="25"/>
        <v>4.1.20</v>
      </c>
      <c r="E47" s="3" t="s">
        <v>2110</v>
      </c>
      <c r="F47" s="3" t="s">
        <v>2111</v>
      </c>
      <c r="G47" s="3" t="s">
        <v>1849</v>
      </c>
      <c r="H47" s="3" t="s">
        <v>1850</v>
      </c>
      <c r="I47" s="3" t="s">
        <v>1847</v>
      </c>
      <c r="J47" s="27" t="b">
        <f t="shared" si="22"/>
        <v>0</v>
      </c>
      <c r="K47" s="27" t="b">
        <f t="shared" si="21"/>
        <v>0</v>
      </c>
      <c r="L47" s="33" t="b">
        <f ca="1">IF(D47="n/a","n/a",ISNUMBER(MATCH(D47,'Measure-Level Adj Gas'!L:L,0)))</f>
        <v>0</v>
      </c>
      <c r="M47" s="27" t="b">
        <f t="shared" ca="1" si="23"/>
        <v>0</v>
      </c>
      <c r="N47" s="27" t="b">
        <f t="shared" ca="1" si="24"/>
        <v>0</v>
      </c>
      <c r="O47" s="35" t="s">
        <v>1469</v>
      </c>
      <c r="P47" s="36"/>
      <c r="Q47" s="38"/>
      <c r="R47" s="36"/>
    </row>
    <row r="48" spans="2:18" ht="15" hidden="1" customHeight="1" x14ac:dyDescent="0.25">
      <c r="B48" s="3" t="s">
        <v>2018</v>
      </c>
      <c r="C48" s="29" t="s">
        <v>2019</v>
      </c>
      <c r="D48" s="3" t="str">
        <f t="shared" si="25"/>
        <v>4.2.1</v>
      </c>
      <c r="E48" s="3" t="s">
        <v>1945</v>
      </c>
      <c r="F48" s="3" t="s">
        <v>2112</v>
      </c>
      <c r="G48" s="3" t="s">
        <v>1855</v>
      </c>
      <c r="H48" s="3" t="s">
        <v>2113</v>
      </c>
      <c r="I48" s="3" t="s">
        <v>1847</v>
      </c>
      <c r="J48" s="27" t="b">
        <f t="shared" si="22"/>
        <v>0</v>
      </c>
      <c r="K48" s="27" t="b">
        <f t="shared" si="21"/>
        <v>1</v>
      </c>
      <c r="L48" s="33" t="b">
        <f ca="1">IF(D48="n/a","n/a",ISNUMBER(MATCH(D48,'Measure-Level Adj Gas'!L:L,0)))</f>
        <v>1</v>
      </c>
      <c r="M48" s="27" t="b">
        <f t="shared" ca="1" si="23"/>
        <v>0</v>
      </c>
      <c r="N48" s="27" t="b">
        <f t="shared" ca="1" si="24"/>
        <v>0</v>
      </c>
      <c r="O48" s="36" t="b">
        <v>0</v>
      </c>
      <c r="P48" s="36" t="s">
        <v>2545</v>
      </c>
      <c r="Q48" s="38"/>
      <c r="R48" s="36"/>
    </row>
    <row r="49" spans="2:18" ht="15" hidden="1" customHeight="1" x14ac:dyDescent="0.25">
      <c r="B49" s="3" t="s">
        <v>2018</v>
      </c>
      <c r="C49" s="29" t="s">
        <v>2019</v>
      </c>
      <c r="D49" s="3" t="str">
        <f t="shared" si="25"/>
        <v>4.2.1</v>
      </c>
      <c r="E49" s="3" t="s">
        <v>1945</v>
      </c>
      <c r="F49" s="3" t="s">
        <v>2114</v>
      </c>
      <c r="G49" s="3" t="s">
        <v>1848</v>
      </c>
      <c r="H49" s="3" t="s">
        <v>2115</v>
      </c>
      <c r="I49" s="3" t="s">
        <v>1853</v>
      </c>
      <c r="J49" s="27" t="b">
        <f>I49&lt;&gt;"N/A"</f>
        <v>1</v>
      </c>
      <c r="K49" s="27" t="b">
        <f t="shared" si="21"/>
        <v>1</v>
      </c>
      <c r="L49" s="33" t="b">
        <f ca="1">IF(D49="n/a","n/a",ISNUMBER(MATCH(D49,'Measure-Level Adj Gas'!L:L,0)))</f>
        <v>1</v>
      </c>
      <c r="M49" s="27" t="b">
        <f ca="1">AND(G49="Errata",J49,L49)</f>
        <v>0</v>
      </c>
      <c r="N49" s="27" t="b">
        <f ca="1">AND(G49="Revision",J49,L49)</f>
        <v>1</v>
      </c>
      <c r="O49" s="36" t="b">
        <v>0</v>
      </c>
      <c r="P49" s="36" t="s">
        <v>2546</v>
      </c>
      <c r="Q49" s="36"/>
      <c r="R49" s="36"/>
    </row>
    <row r="50" spans="2:18" ht="15" hidden="1" customHeight="1" x14ac:dyDescent="0.25">
      <c r="B50" s="3" t="s">
        <v>2018</v>
      </c>
      <c r="C50" s="29" t="s">
        <v>2019</v>
      </c>
      <c r="D50" s="3" t="str">
        <f t="shared" si="25"/>
        <v>4.2.2</v>
      </c>
      <c r="E50" s="3" t="s">
        <v>2116</v>
      </c>
      <c r="F50" s="3" t="s">
        <v>2117</v>
      </c>
      <c r="G50" s="3" t="s">
        <v>1848</v>
      </c>
      <c r="H50" s="3" t="s">
        <v>2118</v>
      </c>
      <c r="I50" s="3" t="s">
        <v>1853</v>
      </c>
      <c r="J50" s="27" t="b">
        <f t="shared" si="22"/>
        <v>1</v>
      </c>
      <c r="K50" s="27" t="b">
        <f t="shared" si="21"/>
        <v>1</v>
      </c>
      <c r="L50" s="33" t="b">
        <f ca="1">IF(D50="n/a","n/a",ISNUMBER(MATCH(D50,'Measure-Level Adj Gas'!L:L,0)))</f>
        <v>0</v>
      </c>
      <c r="M50" s="27" t="b">
        <f t="shared" ca="1" si="23"/>
        <v>0</v>
      </c>
      <c r="N50" s="27" t="b">
        <f t="shared" ca="1" si="24"/>
        <v>0</v>
      </c>
      <c r="O50" s="35" t="s">
        <v>1469</v>
      </c>
      <c r="P50" s="36"/>
      <c r="Q50" s="37"/>
      <c r="R50" s="36"/>
    </row>
    <row r="51" spans="2:18" ht="15" customHeight="1" x14ac:dyDescent="0.25">
      <c r="B51" s="3" t="s">
        <v>2018</v>
      </c>
      <c r="C51" s="29" t="s">
        <v>2019</v>
      </c>
      <c r="D51" s="3" t="str">
        <f t="shared" si="25"/>
        <v>4.2.3</v>
      </c>
      <c r="E51" s="3" t="s">
        <v>1953</v>
      </c>
      <c r="F51" s="3" t="s">
        <v>2119</v>
      </c>
      <c r="G51" s="3" t="s">
        <v>1848</v>
      </c>
      <c r="H51" s="3" t="s">
        <v>2120</v>
      </c>
      <c r="I51" s="3" t="s">
        <v>1853</v>
      </c>
      <c r="J51" s="27" t="b">
        <f t="shared" si="22"/>
        <v>1</v>
      </c>
      <c r="K51" s="27" t="b">
        <f t="shared" si="21"/>
        <v>1</v>
      </c>
      <c r="L51" s="33" t="b">
        <f ca="1">IF(D51="n/a","n/a",ISNUMBER(MATCH(D51,'Measure-Level Adj Gas'!L:L,0)))</f>
        <v>1</v>
      </c>
      <c r="M51" s="27" t="b">
        <f t="shared" ca="1" si="23"/>
        <v>0</v>
      </c>
      <c r="N51" s="27" t="b">
        <f t="shared" ca="1" si="24"/>
        <v>1</v>
      </c>
      <c r="O51" s="36" t="b">
        <v>1</v>
      </c>
      <c r="P51" s="36" t="s">
        <v>2589</v>
      </c>
      <c r="Q51" s="38" t="s">
        <v>2590</v>
      </c>
      <c r="R51" s="9" t="s">
        <v>2568</v>
      </c>
    </row>
    <row r="52" spans="2:18" ht="15" customHeight="1" x14ac:dyDescent="0.25">
      <c r="B52" s="3" t="s">
        <v>2018</v>
      </c>
      <c r="C52" s="29" t="s">
        <v>2019</v>
      </c>
      <c r="D52" s="3" t="str">
        <f t="shared" si="25"/>
        <v>4.2.4</v>
      </c>
      <c r="E52" s="3" t="s">
        <v>2020</v>
      </c>
      <c r="F52" s="3" t="s">
        <v>2021</v>
      </c>
      <c r="G52" s="3" t="s">
        <v>1848</v>
      </c>
      <c r="H52" s="3" t="s">
        <v>2022</v>
      </c>
      <c r="I52" s="3" t="s">
        <v>1853</v>
      </c>
      <c r="J52" s="27" t="b">
        <f t="shared" si="22"/>
        <v>1</v>
      </c>
      <c r="K52" s="27" t="b">
        <f t="shared" si="21"/>
        <v>1</v>
      </c>
      <c r="L52" s="33" t="b">
        <f ca="1">IF(D52="n/a","n/a",ISNUMBER(MATCH(D52,'Measure-Level Adj Gas'!L:L,0)))</f>
        <v>1</v>
      </c>
      <c r="M52" s="27" t="b">
        <f t="shared" ca="1" si="23"/>
        <v>0</v>
      </c>
      <c r="N52" s="27" t="b">
        <f t="shared" ca="1" si="24"/>
        <v>1</v>
      </c>
      <c r="O52" s="36" t="b">
        <v>1</v>
      </c>
      <c r="P52" s="45" t="s">
        <v>2612</v>
      </c>
      <c r="Q52" s="37" t="s">
        <v>2591</v>
      </c>
      <c r="R52" s="9" t="s">
        <v>2568</v>
      </c>
    </row>
    <row r="53" spans="2:18" ht="15" customHeight="1" x14ac:dyDescent="0.25">
      <c r="B53" s="3" t="s">
        <v>2018</v>
      </c>
      <c r="C53" s="29" t="s">
        <v>2019</v>
      </c>
      <c r="D53" s="3" t="str">
        <f t="shared" si="25"/>
        <v>4.2.5</v>
      </c>
      <c r="E53" s="3" t="s">
        <v>1946</v>
      </c>
      <c r="F53" s="3" t="s">
        <v>2023</v>
      </c>
      <c r="G53" s="3" t="s">
        <v>1855</v>
      </c>
      <c r="H53" s="3" t="s">
        <v>2024</v>
      </c>
      <c r="I53" s="3" t="s">
        <v>1851</v>
      </c>
      <c r="J53" s="27" t="b">
        <f t="shared" si="22"/>
        <v>1</v>
      </c>
      <c r="K53" s="27" t="b">
        <f t="shared" si="21"/>
        <v>1</v>
      </c>
      <c r="L53" s="33" t="b">
        <f ca="1">IF(D53="n/a","n/a",ISNUMBER(MATCH(D53,'Measure-Level Adj Gas'!L:L,0)))</f>
        <v>1</v>
      </c>
      <c r="M53" s="27" t="b">
        <f t="shared" ca="1" si="23"/>
        <v>1</v>
      </c>
      <c r="N53" s="27" t="b">
        <f t="shared" ca="1" si="24"/>
        <v>0</v>
      </c>
      <c r="O53" s="36" t="b">
        <v>1</v>
      </c>
      <c r="P53" s="36" t="s">
        <v>2121</v>
      </c>
      <c r="Q53" s="37" t="s">
        <v>2592</v>
      </c>
      <c r="R53" s="9" t="s">
        <v>2568</v>
      </c>
    </row>
    <row r="54" spans="2:18" ht="15" hidden="1" customHeight="1" x14ac:dyDescent="0.25">
      <c r="B54" s="3" t="s">
        <v>2018</v>
      </c>
      <c r="C54" s="29" t="s">
        <v>2019</v>
      </c>
      <c r="D54" s="3" t="str">
        <f t="shared" si="25"/>
        <v>4.2.5</v>
      </c>
      <c r="E54" s="3" t="s">
        <v>1946</v>
      </c>
      <c r="F54" s="3" t="s">
        <v>2122</v>
      </c>
      <c r="G54" s="3" t="s">
        <v>1848</v>
      </c>
      <c r="H54" s="3" t="s">
        <v>2123</v>
      </c>
      <c r="I54" s="3" t="s">
        <v>1847</v>
      </c>
      <c r="J54" s="27" t="b">
        <f t="shared" si="22"/>
        <v>0</v>
      </c>
      <c r="K54" s="27" t="b">
        <f t="shared" si="21"/>
        <v>1</v>
      </c>
      <c r="L54" s="33" t="b">
        <f ca="1">IF(D54="n/a","n/a",ISNUMBER(MATCH(D54,'Measure-Level Adj Gas'!L:L,0)))</f>
        <v>1</v>
      </c>
      <c r="M54" s="27" t="b">
        <f t="shared" ca="1" si="23"/>
        <v>0</v>
      </c>
      <c r="N54" s="27" t="b">
        <f t="shared" ca="1" si="24"/>
        <v>0</v>
      </c>
      <c r="O54" s="36" t="b">
        <v>0</v>
      </c>
      <c r="P54" s="36" t="s">
        <v>2547</v>
      </c>
      <c r="Q54" s="38"/>
      <c r="R54" s="36"/>
    </row>
    <row r="55" spans="2:18" ht="15" hidden="1" customHeight="1" x14ac:dyDescent="0.25">
      <c r="B55" s="3" t="s">
        <v>2018</v>
      </c>
      <c r="C55" s="29" t="s">
        <v>2019</v>
      </c>
      <c r="D55" s="3" t="str">
        <f t="shared" si="25"/>
        <v>4.2.6</v>
      </c>
      <c r="E55" s="3" t="s">
        <v>2124</v>
      </c>
      <c r="F55" s="3" t="s">
        <v>2125</v>
      </c>
      <c r="G55" s="3" t="s">
        <v>1848</v>
      </c>
      <c r="H55" s="3" t="s">
        <v>2126</v>
      </c>
      <c r="I55" s="3" t="s">
        <v>1853</v>
      </c>
      <c r="J55" s="27" t="b">
        <f t="shared" si="22"/>
        <v>1</v>
      </c>
      <c r="K55" s="27" t="b">
        <f t="shared" si="21"/>
        <v>1</v>
      </c>
      <c r="L55" s="33" t="b">
        <f ca="1">IF(D55="n/a","n/a",ISNUMBER(MATCH(D55,'Measure-Level Adj Gas'!L:L,0)))</f>
        <v>1</v>
      </c>
      <c r="M55" s="27" t="b">
        <f t="shared" ca="1" si="23"/>
        <v>0</v>
      </c>
      <c r="N55" s="27" t="b">
        <f t="shared" ca="1" si="24"/>
        <v>1</v>
      </c>
      <c r="O55" s="36" t="b">
        <v>0</v>
      </c>
      <c r="P55" s="36" t="s">
        <v>2548</v>
      </c>
      <c r="Q55" s="36"/>
      <c r="R55" s="36"/>
    </row>
    <row r="56" spans="2:18" ht="15" hidden="1" customHeight="1" x14ac:dyDescent="0.25">
      <c r="B56" s="3" t="s">
        <v>2018</v>
      </c>
      <c r="C56" s="29" t="s">
        <v>2019</v>
      </c>
      <c r="D56" s="3" t="str">
        <f t="shared" si="25"/>
        <v>4.2.7</v>
      </c>
      <c r="E56" s="3" t="s">
        <v>1852</v>
      </c>
      <c r="F56" s="3" t="s">
        <v>2127</v>
      </c>
      <c r="G56" s="3" t="s">
        <v>1848</v>
      </c>
      <c r="H56" s="3" t="s">
        <v>2128</v>
      </c>
      <c r="I56" s="3" t="s">
        <v>1853</v>
      </c>
      <c r="J56" s="27" t="b">
        <f t="shared" si="22"/>
        <v>1</v>
      </c>
      <c r="K56" s="27" t="b">
        <f t="shared" si="21"/>
        <v>1</v>
      </c>
      <c r="L56" s="33" t="b">
        <f ca="1">IF(D56="n/a","n/a",ISNUMBER(MATCH(D56,'Measure-Level Adj Gas'!L:L,0)))</f>
        <v>1</v>
      </c>
      <c r="M56" s="27" t="b">
        <f t="shared" ca="1" si="23"/>
        <v>0</v>
      </c>
      <c r="N56" s="27" t="b">
        <f t="shared" ca="1" si="24"/>
        <v>1</v>
      </c>
      <c r="O56" s="36" t="b">
        <v>0</v>
      </c>
      <c r="P56" s="36" t="s">
        <v>2546</v>
      </c>
      <c r="Q56" s="36"/>
      <c r="R56" s="36"/>
    </row>
    <row r="57" spans="2:18" ht="15" hidden="1" customHeight="1" x14ac:dyDescent="0.25">
      <c r="B57" s="3" t="s">
        <v>2018</v>
      </c>
      <c r="C57" s="29" t="s">
        <v>2019</v>
      </c>
      <c r="D57" s="3" t="str">
        <f t="shared" si="25"/>
        <v>4.2.8</v>
      </c>
      <c r="E57" s="3" t="s">
        <v>1954</v>
      </c>
      <c r="F57" s="3" t="s">
        <v>2129</v>
      </c>
      <c r="G57" s="3" t="s">
        <v>1848</v>
      </c>
      <c r="H57" s="3" t="s">
        <v>2130</v>
      </c>
      <c r="I57" s="3" t="s">
        <v>1853</v>
      </c>
      <c r="J57" s="27" t="b">
        <f t="shared" si="22"/>
        <v>1</v>
      </c>
      <c r="K57" s="27" t="b">
        <f t="shared" si="21"/>
        <v>1</v>
      </c>
      <c r="L57" s="33" t="b">
        <f ca="1">IF(D57="n/a","n/a",ISNUMBER(MATCH(D57,'Measure-Level Adj Gas'!L:L,0)))</f>
        <v>1</v>
      </c>
      <c r="M57" s="27" t="b">
        <f t="shared" ca="1" si="23"/>
        <v>0</v>
      </c>
      <c r="N57" s="27" t="b">
        <f t="shared" ca="1" si="24"/>
        <v>1</v>
      </c>
      <c r="O57" s="36" t="b">
        <v>0</v>
      </c>
      <c r="P57" s="36" t="s">
        <v>2549</v>
      </c>
      <c r="Q57" s="38"/>
      <c r="R57" s="36"/>
    </row>
    <row r="58" spans="2:18" ht="15" hidden="1" customHeight="1" x14ac:dyDescent="0.25">
      <c r="B58" s="3" t="s">
        <v>2018</v>
      </c>
      <c r="C58" s="29" t="s">
        <v>2019</v>
      </c>
      <c r="D58" s="3" t="str">
        <f t="shared" si="25"/>
        <v>4.2.10</v>
      </c>
      <c r="E58" s="3" t="s">
        <v>2131</v>
      </c>
      <c r="F58" s="3" t="s">
        <v>2132</v>
      </c>
      <c r="G58" s="3" t="s">
        <v>1848</v>
      </c>
      <c r="H58" s="3" t="s">
        <v>2128</v>
      </c>
      <c r="I58" s="3" t="s">
        <v>1853</v>
      </c>
      <c r="J58" s="27" t="b">
        <f t="shared" si="22"/>
        <v>1</v>
      </c>
      <c r="K58" s="27" t="b">
        <f t="shared" si="21"/>
        <v>1</v>
      </c>
      <c r="L58" s="33" t="b">
        <f ca="1">IF(D58="n/a","n/a",ISNUMBER(MATCH(D58,'Measure-Level Adj Gas'!L:L,0)))</f>
        <v>0</v>
      </c>
      <c r="M58" s="27" t="b">
        <f t="shared" ca="1" si="23"/>
        <v>0</v>
      </c>
      <c r="N58" s="27" t="b">
        <f t="shared" ca="1" si="24"/>
        <v>0</v>
      </c>
      <c r="O58" s="35" t="s">
        <v>1469</v>
      </c>
      <c r="P58" s="36"/>
      <c r="Q58" s="38"/>
      <c r="R58" s="36"/>
    </row>
    <row r="59" spans="2:18" ht="15" customHeight="1" x14ac:dyDescent="0.25">
      <c r="B59" s="3" t="s">
        <v>2018</v>
      </c>
      <c r="C59" s="29" t="s">
        <v>2019</v>
      </c>
      <c r="D59" s="3" t="str">
        <f t="shared" si="25"/>
        <v>4.2.13</v>
      </c>
      <c r="E59" s="3" t="s">
        <v>2421</v>
      </c>
      <c r="F59" s="3" t="s">
        <v>2025</v>
      </c>
      <c r="G59" s="3" t="s">
        <v>1848</v>
      </c>
      <c r="H59" s="3" t="s">
        <v>2026</v>
      </c>
      <c r="I59" s="3" t="s">
        <v>1847</v>
      </c>
      <c r="J59" s="27" t="b">
        <f t="shared" si="22"/>
        <v>0</v>
      </c>
      <c r="K59" s="27" t="b">
        <f t="shared" si="21"/>
        <v>0</v>
      </c>
      <c r="L59" s="33" t="b">
        <f ca="1">IF(D59="n/a","n/a",ISNUMBER(MATCH(D59,'Measure-Level Adj Gas'!L:L,0)))</f>
        <v>1</v>
      </c>
      <c r="M59" s="27" t="b">
        <f t="shared" ca="1" si="23"/>
        <v>0</v>
      </c>
      <c r="N59" s="27" t="b">
        <f t="shared" ca="1" si="24"/>
        <v>0</v>
      </c>
      <c r="O59" s="36" t="b">
        <v>1</v>
      </c>
      <c r="P59" s="36" t="s">
        <v>2133</v>
      </c>
      <c r="Q59" s="39" t="s">
        <v>2593</v>
      </c>
      <c r="R59" s="9" t="s">
        <v>2568</v>
      </c>
    </row>
    <row r="60" spans="2:18" ht="15" customHeight="1" x14ac:dyDescent="0.25">
      <c r="B60" s="3" t="s">
        <v>2018</v>
      </c>
      <c r="C60" s="29" t="s">
        <v>2019</v>
      </c>
      <c r="D60" s="3" t="str">
        <f t="shared" si="25"/>
        <v>4.2.14</v>
      </c>
      <c r="E60" s="3" t="s">
        <v>2027</v>
      </c>
      <c r="F60" s="3" t="s">
        <v>2028</v>
      </c>
      <c r="G60" s="3" t="s">
        <v>1848</v>
      </c>
      <c r="H60" s="3" t="s">
        <v>2026</v>
      </c>
      <c r="I60" s="3" t="s">
        <v>1847</v>
      </c>
      <c r="J60" s="27" t="b">
        <f t="shared" si="22"/>
        <v>0</v>
      </c>
      <c r="K60" s="27" t="b">
        <f t="shared" si="21"/>
        <v>0</v>
      </c>
      <c r="L60" s="33" t="b">
        <f ca="1">IF(D60="n/a","n/a",ISNUMBER(MATCH(D60,'Measure-Level Adj Gas'!L:L,0)))</f>
        <v>1</v>
      </c>
      <c r="M60" s="27" t="b">
        <f t="shared" ca="1" si="23"/>
        <v>0</v>
      </c>
      <c r="N60" s="27" t="b">
        <f t="shared" ca="1" si="24"/>
        <v>0</v>
      </c>
      <c r="O60" s="36" t="b">
        <v>1</v>
      </c>
      <c r="P60" s="36" t="s">
        <v>2133</v>
      </c>
      <c r="Q60" s="39" t="s">
        <v>2569</v>
      </c>
      <c r="R60" s="9" t="s">
        <v>2568</v>
      </c>
    </row>
    <row r="61" spans="2:18" ht="15" customHeight="1" x14ac:dyDescent="0.25">
      <c r="B61" s="3" t="s">
        <v>2018</v>
      </c>
      <c r="C61" s="29" t="s">
        <v>2019</v>
      </c>
      <c r="D61" s="3" t="str">
        <f t="shared" si="25"/>
        <v>4.2.15</v>
      </c>
      <c r="E61" s="3" t="s">
        <v>2029</v>
      </c>
      <c r="F61" s="3" t="s">
        <v>2030</v>
      </c>
      <c r="G61" s="3" t="s">
        <v>1848</v>
      </c>
      <c r="H61" s="3" t="s">
        <v>2026</v>
      </c>
      <c r="I61" s="3" t="s">
        <v>1847</v>
      </c>
      <c r="J61" s="27" t="b">
        <f t="shared" si="22"/>
        <v>0</v>
      </c>
      <c r="K61" s="27" t="b">
        <f t="shared" si="21"/>
        <v>0</v>
      </c>
      <c r="L61" s="33" t="b">
        <f ca="1">IF(D61="n/a","n/a",ISNUMBER(MATCH(D61,'Measure-Level Adj Gas'!L:L,0)))</f>
        <v>1</v>
      </c>
      <c r="M61" s="27" t="b">
        <f t="shared" ca="1" si="23"/>
        <v>0</v>
      </c>
      <c r="N61" s="27" t="b">
        <f t="shared" ca="1" si="24"/>
        <v>0</v>
      </c>
      <c r="O61" s="36" t="b">
        <v>1</v>
      </c>
      <c r="P61" s="36" t="s">
        <v>2133</v>
      </c>
      <c r="Q61" s="39" t="s">
        <v>2570</v>
      </c>
      <c r="R61" s="9" t="s">
        <v>2568</v>
      </c>
    </row>
    <row r="62" spans="2:18" ht="15" hidden="1" customHeight="1" x14ac:dyDescent="0.25">
      <c r="B62" s="3" t="s">
        <v>2018</v>
      </c>
      <c r="C62" s="29" t="s">
        <v>2019</v>
      </c>
      <c r="D62" s="3" t="str">
        <f t="shared" si="25"/>
        <v>4.2.16</v>
      </c>
      <c r="E62" s="3" t="s">
        <v>1955</v>
      </c>
      <c r="F62" s="3" t="s">
        <v>2134</v>
      </c>
      <c r="G62" s="3" t="s">
        <v>1848</v>
      </c>
      <c r="H62" s="3" t="s">
        <v>2135</v>
      </c>
      <c r="I62" s="3" t="s">
        <v>1856</v>
      </c>
      <c r="J62" s="27" t="b">
        <f t="shared" si="22"/>
        <v>1</v>
      </c>
      <c r="K62" s="27" t="b">
        <f t="shared" si="21"/>
        <v>1</v>
      </c>
      <c r="L62" s="33" t="b">
        <f ca="1">IF(D62="n/a","n/a",ISNUMBER(MATCH(D62,'Measure-Level Adj Gas'!L:L,0)))</f>
        <v>1</v>
      </c>
      <c r="M62" s="27" t="b">
        <f t="shared" ca="1" si="23"/>
        <v>0</v>
      </c>
      <c r="N62" s="27" t="b">
        <f t="shared" ca="1" si="24"/>
        <v>1</v>
      </c>
      <c r="O62" s="36" t="b">
        <v>0</v>
      </c>
      <c r="P62" s="36" t="s">
        <v>2594</v>
      </c>
      <c r="Q62" s="36"/>
      <c r="R62" s="36"/>
    </row>
    <row r="63" spans="2:18" ht="15" customHeight="1" x14ac:dyDescent="0.25">
      <c r="B63" s="3" t="s">
        <v>2018</v>
      </c>
      <c r="C63" s="29" t="s">
        <v>2019</v>
      </c>
      <c r="D63" s="3" t="str">
        <f t="shared" si="25"/>
        <v>4.2.18</v>
      </c>
      <c r="E63" s="3" t="s">
        <v>2031</v>
      </c>
      <c r="F63" s="3" t="s">
        <v>2032</v>
      </c>
      <c r="G63" s="3" t="s">
        <v>1848</v>
      </c>
      <c r="H63" s="3" t="s">
        <v>2033</v>
      </c>
      <c r="I63" s="3" t="s">
        <v>1853</v>
      </c>
      <c r="J63" s="27" t="b">
        <f t="shared" si="22"/>
        <v>1</v>
      </c>
      <c r="K63" s="27" t="b">
        <f t="shared" si="21"/>
        <v>1</v>
      </c>
      <c r="L63" s="33" t="b">
        <f ca="1">IF(D63="n/a","n/a",ISNUMBER(MATCH(D63,'Measure-Level Adj Gas'!L:L,0)))</f>
        <v>1</v>
      </c>
      <c r="M63" s="27" t="b">
        <f t="shared" ca="1" si="23"/>
        <v>0</v>
      </c>
      <c r="N63" s="27" t="b">
        <f t="shared" ca="1" si="24"/>
        <v>1</v>
      </c>
      <c r="O63" s="36" t="b">
        <v>1</v>
      </c>
      <c r="P63" s="36" t="s">
        <v>2540</v>
      </c>
      <c r="Q63" s="39" t="s">
        <v>2571</v>
      </c>
      <c r="R63" s="9" t="s">
        <v>2568</v>
      </c>
    </row>
    <row r="64" spans="2:18" ht="15" hidden="1" customHeight="1" x14ac:dyDescent="0.25">
      <c r="B64" s="3" t="s">
        <v>2018</v>
      </c>
      <c r="C64" s="29" t="s">
        <v>2019</v>
      </c>
      <c r="D64" s="3" t="str">
        <f t="shared" si="25"/>
        <v>4.2.23</v>
      </c>
      <c r="E64" s="3" t="s">
        <v>2136</v>
      </c>
      <c r="F64" s="3" t="s">
        <v>2137</v>
      </c>
      <c r="G64" s="3" t="s">
        <v>1849</v>
      </c>
      <c r="H64" s="3" t="s">
        <v>1850</v>
      </c>
      <c r="I64" s="3" t="s">
        <v>1847</v>
      </c>
      <c r="J64" s="27" t="b">
        <f t="shared" si="22"/>
        <v>0</v>
      </c>
      <c r="K64" s="27" t="b">
        <f t="shared" si="21"/>
        <v>0</v>
      </c>
      <c r="L64" s="33" t="b">
        <f ca="1">IF(D64="n/a","n/a",ISNUMBER(MATCH(D64,'Measure-Level Adj Gas'!L:L,0)))</f>
        <v>0</v>
      </c>
      <c r="M64" s="27" t="b">
        <f t="shared" ca="1" si="23"/>
        <v>0</v>
      </c>
      <c r="N64" s="27" t="b">
        <f t="shared" ca="1" si="24"/>
        <v>0</v>
      </c>
      <c r="O64" s="35" t="s">
        <v>1469</v>
      </c>
      <c r="P64" s="36"/>
      <c r="Q64" s="38"/>
      <c r="R64" s="36"/>
    </row>
    <row r="65" spans="2:18" ht="15" hidden="1" customHeight="1" x14ac:dyDescent="0.25">
      <c r="B65" s="3" t="s">
        <v>2018</v>
      </c>
      <c r="C65" s="29" t="s">
        <v>2019</v>
      </c>
      <c r="D65" s="3" t="str">
        <f t="shared" si="25"/>
        <v>4.2.24</v>
      </c>
      <c r="E65" s="3" t="s">
        <v>2138</v>
      </c>
      <c r="F65" s="3" t="s">
        <v>2137</v>
      </c>
      <c r="G65" s="3" t="s">
        <v>1849</v>
      </c>
      <c r="H65" s="3" t="s">
        <v>1850</v>
      </c>
      <c r="I65" s="3" t="s">
        <v>1847</v>
      </c>
      <c r="J65" s="27" t="b">
        <f t="shared" si="22"/>
        <v>0</v>
      </c>
      <c r="K65" s="27" t="b">
        <f t="shared" si="21"/>
        <v>0</v>
      </c>
      <c r="L65" s="33" t="b">
        <f ca="1">IF(D65="n/a","n/a",ISNUMBER(MATCH(D65,'Measure-Level Adj Gas'!L:L,0)))</f>
        <v>0</v>
      </c>
      <c r="M65" s="27" t="b">
        <f t="shared" ca="1" si="23"/>
        <v>0</v>
      </c>
      <c r="N65" s="27" t="b">
        <f t="shared" ca="1" si="24"/>
        <v>0</v>
      </c>
      <c r="O65" s="35" t="s">
        <v>1469</v>
      </c>
      <c r="P65" s="36"/>
      <c r="Q65" s="38"/>
      <c r="R65" s="36"/>
    </row>
    <row r="66" spans="2:18" ht="15" hidden="1" customHeight="1" x14ac:dyDescent="0.25">
      <c r="B66" s="3" t="s">
        <v>2018</v>
      </c>
      <c r="C66" s="29" t="s">
        <v>2019</v>
      </c>
      <c r="D66" s="3" t="str">
        <f t="shared" si="25"/>
        <v>4.2.25</v>
      </c>
      <c r="E66" s="3" t="s">
        <v>2139</v>
      </c>
      <c r="F66" s="3" t="s">
        <v>2140</v>
      </c>
      <c r="G66" s="3" t="s">
        <v>1849</v>
      </c>
      <c r="H66" s="3" t="s">
        <v>1850</v>
      </c>
      <c r="I66" s="3" t="s">
        <v>1847</v>
      </c>
      <c r="J66" s="27" t="b">
        <f t="shared" si="22"/>
        <v>0</v>
      </c>
      <c r="K66" s="27" t="b">
        <f t="shared" si="21"/>
        <v>0</v>
      </c>
      <c r="L66" s="33" t="b">
        <f ca="1">IF(D66="n/a","n/a",ISNUMBER(MATCH(D66,'Measure-Level Adj Gas'!L:L,0)))</f>
        <v>0</v>
      </c>
      <c r="M66" s="27" t="b">
        <f t="shared" ca="1" si="23"/>
        <v>0</v>
      </c>
      <c r="N66" s="27" t="b">
        <f t="shared" ca="1" si="24"/>
        <v>0</v>
      </c>
      <c r="O66" s="35" t="s">
        <v>1469</v>
      </c>
      <c r="P66" s="36"/>
      <c r="Q66" s="38"/>
      <c r="R66" s="36"/>
    </row>
    <row r="67" spans="2:18" ht="15" hidden="1" customHeight="1" x14ac:dyDescent="0.25">
      <c r="B67" s="3" t="s">
        <v>2018</v>
      </c>
      <c r="C67" s="3" t="s">
        <v>2034</v>
      </c>
      <c r="D67" s="3" t="str">
        <f t="shared" si="25"/>
        <v>4.3.1</v>
      </c>
      <c r="E67" s="3" t="s">
        <v>1854</v>
      </c>
      <c r="F67" s="3" t="s">
        <v>2141</v>
      </c>
      <c r="G67" s="3" t="s">
        <v>1848</v>
      </c>
      <c r="H67" s="3" t="s">
        <v>2109</v>
      </c>
      <c r="I67" s="3" t="s">
        <v>1847</v>
      </c>
      <c r="J67" s="27" t="b">
        <f t="shared" si="22"/>
        <v>0</v>
      </c>
      <c r="K67" s="27" t="b">
        <f t="shared" si="21"/>
        <v>0</v>
      </c>
      <c r="L67" s="33" t="b">
        <f ca="1">IF(D67="n/a","n/a",ISNUMBER(MATCH(D67,'Measure-Level Adj Gas'!L:L,0)))</f>
        <v>1</v>
      </c>
      <c r="M67" s="27" t="b">
        <f t="shared" ca="1" si="23"/>
        <v>0</v>
      </c>
      <c r="N67" s="27" t="b">
        <f t="shared" ca="1" si="24"/>
        <v>0</v>
      </c>
      <c r="O67" s="36" t="b">
        <v>0</v>
      </c>
      <c r="P67" s="36" t="s">
        <v>2142</v>
      </c>
      <c r="Q67" s="36"/>
      <c r="R67" s="36"/>
    </row>
    <row r="68" spans="2:18" ht="15" hidden="1" customHeight="1" x14ac:dyDescent="0.25">
      <c r="B68" s="3" t="s">
        <v>2018</v>
      </c>
      <c r="C68" s="3" t="s">
        <v>2034</v>
      </c>
      <c r="D68" s="3" t="str">
        <f t="shared" si="25"/>
        <v>4.3.3</v>
      </c>
      <c r="E68" s="3" t="s">
        <v>2143</v>
      </c>
      <c r="F68" s="3" t="s">
        <v>2144</v>
      </c>
      <c r="G68" s="3" t="s">
        <v>1848</v>
      </c>
      <c r="H68" s="3" t="s">
        <v>2145</v>
      </c>
      <c r="I68" s="3" t="s">
        <v>1847</v>
      </c>
      <c r="J68" s="27" t="b">
        <f t="shared" si="22"/>
        <v>0</v>
      </c>
      <c r="K68" s="27" t="b">
        <f t="shared" si="21"/>
        <v>0</v>
      </c>
      <c r="L68" s="33" t="b">
        <f ca="1">IF(D68="n/a","n/a",ISNUMBER(MATCH(D68,'Measure-Level Adj Gas'!L:L,0)))</f>
        <v>1</v>
      </c>
      <c r="M68" s="27" t="b">
        <f t="shared" ca="1" si="23"/>
        <v>0</v>
      </c>
      <c r="N68" s="27" t="b">
        <f t="shared" ca="1" si="24"/>
        <v>0</v>
      </c>
      <c r="O68" s="36" t="b">
        <v>0</v>
      </c>
      <c r="P68" s="36" t="s">
        <v>2142</v>
      </c>
      <c r="Q68" s="38"/>
      <c r="R68" s="36"/>
    </row>
    <row r="69" spans="2:18" ht="15" hidden="1" customHeight="1" x14ac:dyDescent="0.25">
      <c r="B69" s="3" t="s">
        <v>2018</v>
      </c>
      <c r="C69" s="3" t="s">
        <v>2034</v>
      </c>
      <c r="D69" s="3" t="str">
        <f t="shared" si="25"/>
        <v>4.3.4</v>
      </c>
      <c r="E69" s="3" t="s">
        <v>1957</v>
      </c>
      <c r="F69" s="3" t="s">
        <v>2146</v>
      </c>
      <c r="G69" s="3" t="s">
        <v>1848</v>
      </c>
      <c r="H69" s="3" t="s">
        <v>2109</v>
      </c>
      <c r="I69" s="3" t="s">
        <v>1847</v>
      </c>
      <c r="J69" s="27" t="b">
        <f t="shared" si="22"/>
        <v>0</v>
      </c>
      <c r="K69" s="27" t="b">
        <f t="shared" si="21"/>
        <v>0</v>
      </c>
      <c r="L69" s="33" t="b">
        <f ca="1">IF(D69="n/a","n/a",ISNUMBER(MATCH(D69,'Measure-Level Adj Gas'!L:L,0)))</f>
        <v>0</v>
      </c>
      <c r="M69" s="27" t="b">
        <f t="shared" ca="1" si="23"/>
        <v>0</v>
      </c>
      <c r="N69" s="27" t="b">
        <f t="shared" ca="1" si="24"/>
        <v>0</v>
      </c>
      <c r="O69" s="35" t="s">
        <v>1469</v>
      </c>
      <c r="P69" s="36"/>
      <c r="Q69" s="37"/>
      <c r="R69" s="36"/>
    </row>
    <row r="70" spans="2:18" ht="15" hidden="1" customHeight="1" x14ac:dyDescent="0.25">
      <c r="B70" s="3" t="s">
        <v>2018</v>
      </c>
      <c r="C70" s="3" t="s">
        <v>2034</v>
      </c>
      <c r="D70" s="3" t="str">
        <f t="shared" si="25"/>
        <v>4.3.7</v>
      </c>
      <c r="E70" s="3" t="s">
        <v>1857</v>
      </c>
      <c r="F70" s="3" t="s">
        <v>2147</v>
      </c>
      <c r="G70" s="3" t="s">
        <v>1848</v>
      </c>
      <c r="H70" s="3" t="s">
        <v>2109</v>
      </c>
      <c r="I70" s="3" t="s">
        <v>1847</v>
      </c>
      <c r="J70" s="27" t="b">
        <f t="shared" si="22"/>
        <v>0</v>
      </c>
      <c r="K70" s="27" t="b">
        <f t="shared" si="21"/>
        <v>0</v>
      </c>
      <c r="L70" s="33" t="b">
        <f ca="1">IF(D70="n/a","n/a",ISNUMBER(MATCH(D70,'Measure-Level Adj Gas'!L:L,0)))</f>
        <v>1</v>
      </c>
      <c r="M70" s="27" t="b">
        <f t="shared" ca="1" si="23"/>
        <v>0</v>
      </c>
      <c r="N70" s="27" t="b">
        <f t="shared" ca="1" si="24"/>
        <v>0</v>
      </c>
      <c r="O70" s="36" t="b">
        <v>0</v>
      </c>
      <c r="P70" s="36" t="s">
        <v>2142</v>
      </c>
      <c r="Q70" s="37"/>
      <c r="R70" s="36"/>
    </row>
    <row r="71" spans="2:18" ht="15" customHeight="1" x14ac:dyDescent="0.25">
      <c r="B71" s="3" t="s">
        <v>2018</v>
      </c>
      <c r="C71" s="3" t="s">
        <v>2034</v>
      </c>
      <c r="D71" s="3" t="str">
        <f t="shared" si="25"/>
        <v>4.3.8</v>
      </c>
      <c r="E71" s="3" t="s">
        <v>1858</v>
      </c>
      <c r="F71" s="3" t="s">
        <v>2035</v>
      </c>
      <c r="G71" s="3" t="s">
        <v>1855</v>
      </c>
      <c r="H71" s="3" t="s">
        <v>2036</v>
      </c>
      <c r="I71" s="3" t="s">
        <v>1847</v>
      </c>
      <c r="J71" s="27" t="b">
        <f t="shared" si="22"/>
        <v>0</v>
      </c>
      <c r="K71" s="27" t="b">
        <f t="shared" si="21"/>
        <v>0</v>
      </c>
      <c r="L71" s="33" t="b">
        <f ca="1">IF(D71="n/a","n/a",ISNUMBER(MATCH(D71,'Measure-Level Adj Gas'!L:L,0)))</f>
        <v>1</v>
      </c>
      <c r="M71" s="27" t="b">
        <f t="shared" ca="1" si="23"/>
        <v>0</v>
      </c>
      <c r="N71" s="27" t="b">
        <f t="shared" ca="1" si="24"/>
        <v>0</v>
      </c>
      <c r="O71" s="36" t="b">
        <v>1</v>
      </c>
      <c r="P71" s="3" t="s">
        <v>2148</v>
      </c>
      <c r="Q71" s="38" t="s">
        <v>2595</v>
      </c>
      <c r="R71" s="9" t="s">
        <v>2568</v>
      </c>
    </row>
    <row r="72" spans="2:18" ht="15" hidden="1" customHeight="1" x14ac:dyDescent="0.25">
      <c r="B72" s="3" t="s">
        <v>2018</v>
      </c>
      <c r="C72" s="3" t="s">
        <v>2034</v>
      </c>
      <c r="D72" s="3" t="str">
        <f t="shared" si="25"/>
        <v>4.3.8</v>
      </c>
      <c r="E72" s="3" t="s">
        <v>1858</v>
      </c>
      <c r="F72" s="3" t="s">
        <v>2149</v>
      </c>
      <c r="G72" s="3" t="s">
        <v>1848</v>
      </c>
      <c r="H72" s="3" t="s">
        <v>2109</v>
      </c>
      <c r="I72" s="3" t="s">
        <v>1847</v>
      </c>
      <c r="J72" s="27" t="b">
        <f t="shared" si="22"/>
        <v>0</v>
      </c>
      <c r="K72" s="27" t="b">
        <f t="shared" si="21"/>
        <v>0</v>
      </c>
      <c r="L72" s="33" t="b">
        <f ca="1">IF(D72="n/a","n/a",ISNUMBER(MATCH(D72,'Measure-Level Adj Gas'!L:L,0)))</f>
        <v>1</v>
      </c>
      <c r="M72" s="27" t="b">
        <f t="shared" ca="1" si="23"/>
        <v>0</v>
      </c>
      <c r="N72" s="27" t="b">
        <f t="shared" ca="1" si="24"/>
        <v>0</v>
      </c>
      <c r="O72" s="36" t="b">
        <v>0</v>
      </c>
      <c r="P72" s="36" t="s">
        <v>2142</v>
      </c>
      <c r="Q72" s="38"/>
      <c r="R72" s="36"/>
    </row>
    <row r="73" spans="2:18" ht="15" hidden="1" customHeight="1" x14ac:dyDescent="0.25">
      <c r="B73" s="3" t="s">
        <v>2018</v>
      </c>
      <c r="C73" s="3" t="s">
        <v>2034</v>
      </c>
      <c r="D73" s="3" t="str">
        <f t="shared" si="25"/>
        <v>4.3.9</v>
      </c>
      <c r="E73" s="3" t="s">
        <v>2150</v>
      </c>
      <c r="F73" s="3" t="s">
        <v>2151</v>
      </c>
      <c r="G73" s="3" t="s">
        <v>1855</v>
      </c>
      <c r="H73" s="3" t="s">
        <v>2152</v>
      </c>
      <c r="I73" s="3" t="s">
        <v>1856</v>
      </c>
      <c r="J73" s="27" t="b">
        <f t="shared" si="22"/>
        <v>1</v>
      </c>
      <c r="K73" s="27" t="b">
        <f t="shared" si="21"/>
        <v>1</v>
      </c>
      <c r="L73" s="33" t="b">
        <f ca="1">IF(D73="n/a","n/a",ISNUMBER(MATCH(D73,'Measure-Level Adj Gas'!L:L,0)))</f>
        <v>1</v>
      </c>
      <c r="M73" s="27" t="b">
        <f t="shared" ca="1" si="23"/>
        <v>1</v>
      </c>
      <c r="N73" s="27" t="b">
        <f t="shared" ca="1" si="24"/>
        <v>0</v>
      </c>
      <c r="O73" s="36" t="b">
        <v>0</v>
      </c>
      <c r="P73" s="36" t="s">
        <v>2550</v>
      </c>
      <c r="Q73" s="36"/>
      <c r="R73" s="36"/>
    </row>
    <row r="74" spans="2:18" ht="15" hidden="1" customHeight="1" x14ac:dyDescent="0.25">
      <c r="B74" s="3" t="s">
        <v>2018</v>
      </c>
      <c r="C74" s="3" t="s">
        <v>2034</v>
      </c>
      <c r="D74" s="3" t="str">
        <f t="shared" si="25"/>
        <v>4.3.13</v>
      </c>
      <c r="E74" s="3" t="s">
        <v>2153</v>
      </c>
      <c r="F74" s="3" t="s">
        <v>2154</v>
      </c>
      <c r="G74" s="3" t="s">
        <v>1849</v>
      </c>
      <c r="H74" s="3" t="s">
        <v>1850</v>
      </c>
      <c r="I74" s="3" t="s">
        <v>1847</v>
      </c>
      <c r="J74" s="27" t="b">
        <f t="shared" si="22"/>
        <v>0</v>
      </c>
      <c r="K74" s="27" t="b">
        <f t="shared" si="21"/>
        <v>0</v>
      </c>
      <c r="L74" s="33" t="b">
        <f ca="1">IF(D74="n/a","n/a",ISNUMBER(MATCH(D74,'Measure-Level Adj Gas'!L:L,0)))</f>
        <v>0</v>
      </c>
      <c r="M74" s="27" t="b">
        <f t="shared" ca="1" si="23"/>
        <v>0</v>
      </c>
      <c r="N74" s="27" t="b">
        <f t="shared" ca="1" si="24"/>
        <v>0</v>
      </c>
      <c r="O74" s="35" t="s">
        <v>1469</v>
      </c>
      <c r="P74" s="36"/>
      <c r="Q74" s="36"/>
      <c r="R74" s="36"/>
    </row>
    <row r="75" spans="2:18" ht="15" hidden="1" customHeight="1" x14ac:dyDescent="0.25">
      <c r="B75" s="29" t="s">
        <v>2018</v>
      </c>
      <c r="C75" s="3" t="s">
        <v>2037</v>
      </c>
      <c r="D75" s="3" t="str">
        <f t="shared" si="25"/>
        <v>4.4.6</v>
      </c>
      <c r="E75" s="3" t="s">
        <v>1959</v>
      </c>
      <c r="F75" s="3" t="s">
        <v>2155</v>
      </c>
      <c r="G75" s="3" t="s">
        <v>1848</v>
      </c>
      <c r="H75" s="3" t="s">
        <v>2156</v>
      </c>
      <c r="I75" s="3" t="s">
        <v>1853</v>
      </c>
      <c r="J75" s="27" t="b">
        <f t="shared" si="22"/>
        <v>1</v>
      </c>
      <c r="K75" s="27" t="b">
        <f t="shared" si="21"/>
        <v>1</v>
      </c>
      <c r="L75" s="33" t="b">
        <f ca="1">IF(D75="n/a","n/a",ISNUMBER(MATCH(D75,'Measure-Level Adj Gas'!L:L,0)))</f>
        <v>0</v>
      </c>
      <c r="M75" s="27" t="b">
        <f t="shared" ca="1" si="23"/>
        <v>0</v>
      </c>
      <c r="N75" s="27" t="b">
        <f t="shared" ca="1" si="24"/>
        <v>0</v>
      </c>
      <c r="O75" s="35" t="s">
        <v>1469</v>
      </c>
      <c r="P75" s="36"/>
      <c r="Q75" s="36"/>
      <c r="R75" s="36"/>
    </row>
    <row r="76" spans="2:18" ht="15" hidden="1" customHeight="1" x14ac:dyDescent="0.25">
      <c r="B76" s="29" t="s">
        <v>2018</v>
      </c>
      <c r="C76" s="3" t="s">
        <v>2037</v>
      </c>
      <c r="D76" s="3" t="str">
        <f t="shared" si="25"/>
        <v>4.4.9</v>
      </c>
      <c r="E76" s="3" t="s">
        <v>1859</v>
      </c>
      <c r="F76" s="3" t="s">
        <v>2157</v>
      </c>
      <c r="G76" s="3" t="s">
        <v>1848</v>
      </c>
      <c r="H76" s="3" t="s">
        <v>2158</v>
      </c>
      <c r="I76" s="3" t="s">
        <v>1853</v>
      </c>
      <c r="J76" s="27" t="b">
        <f t="shared" si="22"/>
        <v>1</v>
      </c>
      <c r="K76" s="27" t="b">
        <f t="shared" si="21"/>
        <v>1</v>
      </c>
      <c r="L76" s="33" t="b">
        <f ca="1">IF(D76="n/a","n/a",ISNUMBER(MATCH(D76,'Measure-Level Adj Gas'!L:L,0)))</f>
        <v>0</v>
      </c>
      <c r="M76" s="27" t="b">
        <f t="shared" ca="1" si="23"/>
        <v>0</v>
      </c>
      <c r="N76" s="27" t="b">
        <f t="shared" ca="1" si="24"/>
        <v>0</v>
      </c>
      <c r="O76" s="35" t="s">
        <v>1469</v>
      </c>
      <c r="P76" s="36"/>
      <c r="Q76" s="36"/>
      <c r="R76" s="36"/>
    </row>
    <row r="77" spans="2:18" ht="15" customHeight="1" x14ac:dyDescent="0.25">
      <c r="B77" s="29" t="s">
        <v>2018</v>
      </c>
      <c r="C77" s="3" t="s">
        <v>2037</v>
      </c>
      <c r="D77" s="3" t="str">
        <f t="shared" si="25"/>
        <v>4.4.10</v>
      </c>
      <c r="E77" s="3" t="s">
        <v>1860</v>
      </c>
      <c r="F77" s="3" t="s">
        <v>2038</v>
      </c>
      <c r="G77" s="3" t="s">
        <v>1848</v>
      </c>
      <c r="H77" s="3" t="s">
        <v>2039</v>
      </c>
      <c r="I77" s="3" t="s">
        <v>1847</v>
      </c>
      <c r="J77" s="27" t="b">
        <f t="shared" si="22"/>
        <v>0</v>
      </c>
      <c r="K77" s="27" t="b">
        <f t="shared" si="21"/>
        <v>0</v>
      </c>
      <c r="L77" s="33" t="b">
        <f ca="1">IF(D77="n/a","n/a",ISNUMBER(MATCH(D77,'Measure-Level Adj Gas'!L:L,0)))</f>
        <v>1</v>
      </c>
      <c r="M77" s="27" t="b">
        <f t="shared" ca="1" si="23"/>
        <v>0</v>
      </c>
      <c r="N77" s="27" t="b">
        <f t="shared" ca="1" si="24"/>
        <v>0</v>
      </c>
      <c r="O77" s="36" t="b">
        <v>1</v>
      </c>
      <c r="P77" s="36" t="s">
        <v>2551</v>
      </c>
      <c r="Q77" s="40" t="s">
        <v>2596</v>
      </c>
      <c r="R77" s="9" t="s">
        <v>2568</v>
      </c>
    </row>
    <row r="78" spans="2:18" ht="15" customHeight="1" x14ac:dyDescent="0.25">
      <c r="B78" s="29" t="s">
        <v>2018</v>
      </c>
      <c r="C78" s="3" t="s">
        <v>2037</v>
      </c>
      <c r="D78" s="3" t="str">
        <f t="shared" si="25"/>
        <v>4.4.11</v>
      </c>
      <c r="E78" s="3" t="s">
        <v>1861</v>
      </c>
      <c r="F78" s="3" t="s">
        <v>2040</v>
      </c>
      <c r="G78" s="3" t="s">
        <v>1848</v>
      </c>
      <c r="H78" s="3" t="s">
        <v>2041</v>
      </c>
      <c r="I78" s="3" t="s">
        <v>1853</v>
      </c>
      <c r="J78" s="27" t="b">
        <f t="shared" si="22"/>
        <v>1</v>
      </c>
      <c r="K78" s="27" t="b">
        <f t="shared" si="21"/>
        <v>1</v>
      </c>
      <c r="L78" s="33" t="b">
        <f ca="1">IF(D78="n/a","n/a",ISNUMBER(MATCH(D78,'Measure-Level Adj Gas'!L:L,0)))</f>
        <v>1</v>
      </c>
      <c r="M78" s="27" t="b">
        <f t="shared" ca="1" si="23"/>
        <v>0</v>
      </c>
      <c r="N78" s="27" t="b">
        <f t="shared" ca="1" si="24"/>
        <v>1</v>
      </c>
      <c r="O78" s="36" t="b">
        <v>1</v>
      </c>
      <c r="P78" s="36" t="s">
        <v>2541</v>
      </c>
      <c r="Q78" s="40" t="s">
        <v>2597</v>
      </c>
      <c r="R78" s="9" t="s">
        <v>2568</v>
      </c>
    </row>
    <row r="79" spans="2:18" ht="15" hidden="1" customHeight="1" x14ac:dyDescent="0.25">
      <c r="B79" s="29" t="s">
        <v>2018</v>
      </c>
      <c r="C79" s="3" t="s">
        <v>2037</v>
      </c>
      <c r="D79" s="3" t="str">
        <f t="shared" si="25"/>
        <v>4.4.15</v>
      </c>
      <c r="E79" s="3" t="s">
        <v>1862</v>
      </c>
      <c r="F79" s="3" t="s">
        <v>2159</v>
      </c>
      <c r="G79" s="3" t="s">
        <v>1848</v>
      </c>
      <c r="H79" s="3" t="s">
        <v>2160</v>
      </c>
      <c r="I79" s="3" t="s">
        <v>1847</v>
      </c>
      <c r="J79" s="27" t="b">
        <f t="shared" si="22"/>
        <v>0</v>
      </c>
      <c r="K79" s="27" t="b">
        <f t="shared" si="21"/>
        <v>0</v>
      </c>
      <c r="L79" s="33" t="b">
        <f ca="1">IF(D79="n/a","n/a",ISNUMBER(MATCH(D79,'Measure-Level Adj Gas'!L:L,0)))</f>
        <v>0</v>
      </c>
      <c r="M79" s="27" t="b">
        <f t="shared" ca="1" si="23"/>
        <v>0</v>
      </c>
      <c r="N79" s="27" t="b">
        <f t="shared" ca="1" si="24"/>
        <v>0</v>
      </c>
      <c r="O79" s="35" t="s">
        <v>1469</v>
      </c>
      <c r="P79" s="36"/>
      <c r="Q79" s="38"/>
      <c r="R79" s="36"/>
    </row>
    <row r="80" spans="2:18" ht="15" hidden="1" customHeight="1" x14ac:dyDescent="0.25">
      <c r="B80" s="29" t="s">
        <v>2018</v>
      </c>
      <c r="C80" s="3" t="s">
        <v>2037</v>
      </c>
      <c r="D80" s="3" t="str">
        <f t="shared" si="25"/>
        <v>4.4.16</v>
      </c>
      <c r="E80" s="3" t="s">
        <v>1863</v>
      </c>
      <c r="F80" s="3" t="s">
        <v>2161</v>
      </c>
      <c r="G80" s="3" t="s">
        <v>1848</v>
      </c>
      <c r="H80" s="3" t="s">
        <v>2162</v>
      </c>
      <c r="I80" s="3" t="s">
        <v>1847</v>
      </c>
      <c r="J80" s="27" t="b">
        <f t="shared" si="22"/>
        <v>0</v>
      </c>
      <c r="K80" s="27" t="b">
        <f t="shared" si="21"/>
        <v>0</v>
      </c>
      <c r="L80" s="33" t="b">
        <f ca="1">IF(D80="n/a","n/a",ISNUMBER(MATCH(D80,'Measure-Level Adj Gas'!L:L,0)))</f>
        <v>1</v>
      </c>
      <c r="M80" s="27" t="b">
        <f t="shared" ca="1" si="23"/>
        <v>0</v>
      </c>
      <c r="N80" s="27" t="b">
        <f t="shared" ca="1" si="24"/>
        <v>0</v>
      </c>
      <c r="O80" s="36" t="b">
        <v>0</v>
      </c>
      <c r="P80" s="36" t="s">
        <v>2163</v>
      </c>
      <c r="Q80" s="36"/>
      <c r="R80" s="36"/>
    </row>
    <row r="81" spans="2:18" ht="15" hidden="1" customHeight="1" x14ac:dyDescent="0.25">
      <c r="B81" s="29" t="s">
        <v>2018</v>
      </c>
      <c r="C81" s="3" t="s">
        <v>2037</v>
      </c>
      <c r="D81" s="3" t="str">
        <f t="shared" si="25"/>
        <v>4.4.17</v>
      </c>
      <c r="E81" s="3" t="s">
        <v>1962</v>
      </c>
      <c r="F81" s="3" t="s">
        <v>2164</v>
      </c>
      <c r="G81" s="3" t="s">
        <v>1848</v>
      </c>
      <c r="H81" s="3" t="s">
        <v>2109</v>
      </c>
      <c r="I81" s="3" t="s">
        <v>1847</v>
      </c>
      <c r="J81" s="27" t="b">
        <f t="shared" si="22"/>
        <v>0</v>
      </c>
      <c r="K81" s="27" t="b">
        <f t="shared" si="21"/>
        <v>0</v>
      </c>
      <c r="L81" s="33" t="b">
        <f ca="1">IF(D81="n/a","n/a",ISNUMBER(MATCH(D81,'Measure-Level Adj Gas'!L:L,0)))</f>
        <v>0</v>
      </c>
      <c r="M81" s="27" t="b">
        <f t="shared" ca="1" si="23"/>
        <v>0</v>
      </c>
      <c r="N81" s="27" t="b">
        <f t="shared" ca="1" si="24"/>
        <v>0</v>
      </c>
      <c r="O81" s="35" t="s">
        <v>1469</v>
      </c>
      <c r="P81" s="36"/>
      <c r="Q81" s="36"/>
      <c r="R81" s="36"/>
    </row>
    <row r="82" spans="2:18" ht="15" hidden="1" customHeight="1" x14ac:dyDescent="0.25">
      <c r="B82" s="29" t="s">
        <v>2018</v>
      </c>
      <c r="C82" s="3" t="s">
        <v>2037</v>
      </c>
      <c r="D82" s="3" t="str">
        <f t="shared" si="25"/>
        <v>4.4.19</v>
      </c>
      <c r="E82" s="3" t="s">
        <v>2165</v>
      </c>
      <c r="F82" s="3" t="s">
        <v>2166</v>
      </c>
      <c r="G82" s="3" t="s">
        <v>1848</v>
      </c>
      <c r="H82" s="3" t="s">
        <v>2167</v>
      </c>
      <c r="I82" s="3" t="s">
        <v>1847</v>
      </c>
      <c r="J82" s="27" t="b">
        <f t="shared" si="22"/>
        <v>0</v>
      </c>
      <c r="K82" s="27" t="b">
        <f t="shared" si="21"/>
        <v>0</v>
      </c>
      <c r="L82" s="33" t="b">
        <f ca="1">IF(D82="n/a","n/a",ISNUMBER(MATCH(D82,'Measure-Level Adj Gas'!L:L,0)))</f>
        <v>1</v>
      </c>
      <c r="M82" s="27" t="b">
        <f t="shared" ca="1" si="23"/>
        <v>0</v>
      </c>
      <c r="N82" s="27" t="b">
        <f t="shared" ca="1" si="24"/>
        <v>0</v>
      </c>
      <c r="O82" s="36" t="b">
        <v>0</v>
      </c>
      <c r="P82" s="36" t="s">
        <v>2168</v>
      </c>
      <c r="Q82" s="36"/>
      <c r="R82" s="36"/>
    </row>
    <row r="83" spans="2:18" ht="15" hidden="1" customHeight="1" x14ac:dyDescent="0.25">
      <c r="B83" s="29" t="s">
        <v>2018</v>
      </c>
      <c r="C83" s="3" t="s">
        <v>2037</v>
      </c>
      <c r="D83" s="3" t="str">
        <f t="shared" si="25"/>
        <v>4.4.26</v>
      </c>
      <c r="E83" s="3" t="s">
        <v>1864</v>
      </c>
      <c r="F83" s="3" t="s">
        <v>2169</v>
      </c>
      <c r="G83" s="3" t="s">
        <v>1848</v>
      </c>
      <c r="H83" s="3" t="s">
        <v>2109</v>
      </c>
      <c r="I83" s="3" t="s">
        <v>1847</v>
      </c>
      <c r="J83" s="27" t="b">
        <f t="shared" si="22"/>
        <v>0</v>
      </c>
      <c r="K83" s="27" t="b">
        <f t="shared" si="21"/>
        <v>0</v>
      </c>
      <c r="L83" s="33" t="b">
        <f ca="1">IF(D83="n/a","n/a",ISNUMBER(MATCH(D83,'Measure-Level Adj Gas'!L:L,0)))</f>
        <v>0</v>
      </c>
      <c r="M83" s="27" t="b">
        <f t="shared" ca="1" si="23"/>
        <v>0</v>
      </c>
      <c r="N83" s="27" t="b">
        <f t="shared" ca="1" si="24"/>
        <v>0</v>
      </c>
      <c r="O83" s="35" t="s">
        <v>1469</v>
      </c>
      <c r="P83" s="36"/>
      <c r="Q83" s="36"/>
      <c r="R83" s="36"/>
    </row>
    <row r="84" spans="2:18" ht="15" customHeight="1" x14ac:dyDescent="0.25">
      <c r="B84" s="29" t="s">
        <v>2018</v>
      </c>
      <c r="C84" s="3" t="s">
        <v>2037</v>
      </c>
      <c r="D84" s="3" t="str">
        <f t="shared" si="25"/>
        <v>4.4.27</v>
      </c>
      <c r="E84" s="3" t="s">
        <v>1963</v>
      </c>
      <c r="F84" s="3" t="s">
        <v>2042</v>
      </c>
      <c r="G84" s="3" t="s">
        <v>1848</v>
      </c>
      <c r="H84" s="3" t="s">
        <v>2043</v>
      </c>
      <c r="I84" s="3" t="s">
        <v>1853</v>
      </c>
      <c r="J84" s="27" t="b">
        <f t="shared" si="22"/>
        <v>1</v>
      </c>
      <c r="K84" s="27" t="b">
        <f t="shared" si="21"/>
        <v>1</v>
      </c>
      <c r="L84" s="33" t="b">
        <f ca="1">IF(D84="n/a","n/a",ISNUMBER(MATCH(D84,'Measure-Level Adj Gas'!L:L,0)))</f>
        <v>1</v>
      </c>
      <c r="M84" s="27" t="b">
        <f t="shared" ca="1" si="23"/>
        <v>0</v>
      </c>
      <c r="N84" s="27" t="b">
        <f t="shared" ca="1" si="24"/>
        <v>1</v>
      </c>
      <c r="O84" s="36" t="b">
        <v>1</v>
      </c>
      <c r="P84" s="36" t="s">
        <v>2170</v>
      </c>
      <c r="Q84" s="37" t="s">
        <v>2598</v>
      </c>
      <c r="R84" s="9" t="s">
        <v>2568</v>
      </c>
    </row>
    <row r="85" spans="2:18" ht="15" hidden="1" customHeight="1" x14ac:dyDescent="0.25">
      <c r="B85" s="29" t="s">
        <v>2018</v>
      </c>
      <c r="C85" s="3" t="s">
        <v>2037</v>
      </c>
      <c r="D85" s="3" t="str">
        <f t="shared" si="25"/>
        <v>4.4.33</v>
      </c>
      <c r="E85" s="3" t="s">
        <v>1964</v>
      </c>
      <c r="F85" s="3" t="s">
        <v>2171</v>
      </c>
      <c r="G85" s="3" t="s">
        <v>1848</v>
      </c>
      <c r="H85" s="3" t="s">
        <v>2109</v>
      </c>
      <c r="I85" s="3" t="s">
        <v>1847</v>
      </c>
      <c r="J85" s="27" t="b">
        <f t="shared" si="22"/>
        <v>0</v>
      </c>
      <c r="K85" s="27" t="b">
        <f t="shared" si="21"/>
        <v>0</v>
      </c>
      <c r="L85" s="33" t="b">
        <f ca="1">IF(D85="n/a","n/a",ISNUMBER(MATCH(D85,'Measure-Level Adj Gas'!L:L,0)))</f>
        <v>0</v>
      </c>
      <c r="M85" s="27" t="b">
        <f t="shared" ca="1" si="23"/>
        <v>0</v>
      </c>
      <c r="N85" s="27" t="b">
        <f t="shared" ca="1" si="24"/>
        <v>0</v>
      </c>
      <c r="O85" s="35" t="s">
        <v>1469</v>
      </c>
      <c r="P85" s="36"/>
      <c r="Q85" s="36"/>
      <c r="R85" s="36"/>
    </row>
    <row r="86" spans="2:18" hidden="1" x14ac:dyDescent="0.25">
      <c r="B86" s="29" t="s">
        <v>2018</v>
      </c>
      <c r="C86" s="3" t="s">
        <v>2037</v>
      </c>
      <c r="D86" s="3" t="str">
        <f t="shared" si="25"/>
        <v>4.4.34</v>
      </c>
      <c r="E86" s="3" t="s">
        <v>1965</v>
      </c>
      <c r="F86" s="3" t="s">
        <v>2172</v>
      </c>
      <c r="G86" s="3" t="s">
        <v>1848</v>
      </c>
      <c r="H86" s="3" t="s">
        <v>2109</v>
      </c>
      <c r="I86" s="3" t="s">
        <v>1847</v>
      </c>
      <c r="J86" s="27" t="b">
        <f t="shared" si="22"/>
        <v>0</v>
      </c>
      <c r="K86" s="27" t="b">
        <f t="shared" si="21"/>
        <v>0</v>
      </c>
      <c r="L86" s="33" t="b">
        <f ca="1">IF(D86="n/a","n/a",ISNUMBER(MATCH(D86,'Measure-Level Adj Gas'!L:L,0)))</f>
        <v>0</v>
      </c>
      <c r="M86" s="27" t="b">
        <f t="shared" ca="1" si="23"/>
        <v>0</v>
      </c>
      <c r="N86" s="27" t="b">
        <f t="shared" ca="1" si="24"/>
        <v>0</v>
      </c>
      <c r="O86" s="35" t="s">
        <v>1469</v>
      </c>
      <c r="P86" s="36"/>
      <c r="Q86" s="36"/>
      <c r="R86" s="36"/>
    </row>
    <row r="87" spans="2:18" hidden="1" x14ac:dyDescent="0.25">
      <c r="B87" s="29" t="s">
        <v>2018</v>
      </c>
      <c r="C87" s="3" t="s">
        <v>2037</v>
      </c>
      <c r="D87" s="3" t="str">
        <f t="shared" si="25"/>
        <v>4.4.37</v>
      </c>
      <c r="E87" s="3" t="s">
        <v>1966</v>
      </c>
      <c r="F87" s="3" t="s">
        <v>2173</v>
      </c>
      <c r="G87" s="3" t="s">
        <v>1848</v>
      </c>
      <c r="H87" s="3" t="s">
        <v>2174</v>
      </c>
      <c r="I87" s="3" t="s">
        <v>1856</v>
      </c>
      <c r="J87" s="27" t="b">
        <f t="shared" si="22"/>
        <v>1</v>
      </c>
      <c r="K87" s="27" t="b">
        <f t="shared" si="21"/>
        <v>1</v>
      </c>
      <c r="L87" s="33" t="b">
        <f ca="1">IF(D87="n/a","n/a",ISNUMBER(MATCH(D87,'Measure-Level Adj Gas'!L:L,0)))</f>
        <v>0</v>
      </c>
      <c r="M87" s="27" t="b">
        <f t="shared" ca="1" si="23"/>
        <v>0</v>
      </c>
      <c r="N87" s="27" t="b">
        <f t="shared" ca="1" si="24"/>
        <v>0</v>
      </c>
      <c r="O87" s="35" t="s">
        <v>1469</v>
      </c>
      <c r="P87" s="36"/>
      <c r="Q87" s="36"/>
      <c r="R87" s="36"/>
    </row>
    <row r="88" spans="2:18" hidden="1" x14ac:dyDescent="0.25">
      <c r="B88" s="29" t="s">
        <v>2018</v>
      </c>
      <c r="C88" s="3" t="s">
        <v>2037</v>
      </c>
      <c r="D88" s="3" t="str">
        <f t="shared" si="25"/>
        <v>4.4.44</v>
      </c>
      <c r="E88" s="3" t="s">
        <v>1865</v>
      </c>
      <c r="F88" s="3" t="s">
        <v>2175</v>
      </c>
      <c r="G88" s="3" t="s">
        <v>1848</v>
      </c>
      <c r="H88" s="3" t="s">
        <v>2176</v>
      </c>
      <c r="I88" s="3" t="s">
        <v>1847</v>
      </c>
      <c r="J88" s="27" t="b">
        <f t="shared" si="22"/>
        <v>0</v>
      </c>
      <c r="K88" s="27" t="b">
        <f t="shared" si="21"/>
        <v>0</v>
      </c>
      <c r="L88" s="33" t="b">
        <f ca="1">IF(D88="n/a","n/a",ISNUMBER(MATCH(D88,'Measure-Level Adj Gas'!L:L,0)))</f>
        <v>0</v>
      </c>
      <c r="M88" s="27" t="b">
        <f t="shared" ca="1" si="23"/>
        <v>0</v>
      </c>
      <c r="N88" s="27" t="b">
        <f t="shared" ca="1" si="24"/>
        <v>0</v>
      </c>
      <c r="O88" s="35" t="s">
        <v>1469</v>
      </c>
      <c r="P88" s="36"/>
      <c r="Q88" s="36"/>
      <c r="R88" s="36"/>
    </row>
    <row r="89" spans="2:18" hidden="1" x14ac:dyDescent="0.25">
      <c r="B89" s="29" t="s">
        <v>2018</v>
      </c>
      <c r="C89" s="3" t="s">
        <v>2037</v>
      </c>
      <c r="D89" s="3" t="str">
        <f t="shared" si="25"/>
        <v>4.4.47</v>
      </c>
      <c r="E89" s="3" t="s">
        <v>2177</v>
      </c>
      <c r="F89" s="3" t="s">
        <v>1847</v>
      </c>
      <c r="G89" s="3" t="s">
        <v>1951</v>
      </c>
      <c r="H89" s="3" t="s">
        <v>2178</v>
      </c>
      <c r="I89" s="3" t="s">
        <v>1847</v>
      </c>
      <c r="J89" s="27" t="b">
        <f t="shared" si="22"/>
        <v>0</v>
      </c>
      <c r="K89" s="27" t="b">
        <f t="shared" si="21"/>
        <v>0</v>
      </c>
      <c r="L89" s="33" t="b">
        <f ca="1">IF(D89="n/a","n/a",ISNUMBER(MATCH(D89,'Measure-Level Adj Gas'!L:L,0)))</f>
        <v>0</v>
      </c>
      <c r="M89" s="27" t="b">
        <f t="shared" ca="1" si="23"/>
        <v>0</v>
      </c>
      <c r="N89" s="27" t="b">
        <f t="shared" ca="1" si="24"/>
        <v>0</v>
      </c>
      <c r="O89" s="35" t="s">
        <v>1469</v>
      </c>
      <c r="P89" s="38"/>
      <c r="Q89" s="38"/>
      <c r="R89" s="36"/>
    </row>
    <row r="90" spans="2:18" hidden="1" x14ac:dyDescent="0.25">
      <c r="B90" s="29" t="s">
        <v>2018</v>
      </c>
      <c r="C90" s="3" t="s">
        <v>2037</v>
      </c>
      <c r="D90" s="3" t="str">
        <f t="shared" si="25"/>
        <v>4.4.48</v>
      </c>
      <c r="E90" s="3" t="s">
        <v>1866</v>
      </c>
      <c r="F90" s="3" t="s">
        <v>2179</v>
      </c>
      <c r="G90" s="3" t="s">
        <v>1848</v>
      </c>
      <c r="H90" s="3" t="s">
        <v>2180</v>
      </c>
      <c r="I90" s="3" t="s">
        <v>1847</v>
      </c>
      <c r="J90" s="27" t="b">
        <f t="shared" si="22"/>
        <v>0</v>
      </c>
      <c r="K90" s="27" t="b">
        <f t="shared" si="21"/>
        <v>0</v>
      </c>
      <c r="L90" s="33" t="b">
        <f ca="1">IF(D90="n/a","n/a",ISNUMBER(MATCH(D90,'Measure-Level Adj Gas'!L:L,0)))</f>
        <v>1</v>
      </c>
      <c r="M90" s="27" t="b">
        <f t="shared" ca="1" si="23"/>
        <v>0</v>
      </c>
      <c r="N90" s="27" t="b">
        <f t="shared" ca="1" si="24"/>
        <v>0</v>
      </c>
      <c r="O90" s="36" t="b">
        <v>0</v>
      </c>
      <c r="P90" s="36" t="s">
        <v>2550</v>
      </c>
      <c r="Q90" s="36"/>
      <c r="R90" s="36"/>
    </row>
    <row r="91" spans="2:18" hidden="1" x14ac:dyDescent="0.25">
      <c r="B91" s="29" t="s">
        <v>2018</v>
      </c>
      <c r="C91" s="3" t="s">
        <v>2037</v>
      </c>
      <c r="D91" s="3" t="str">
        <f t="shared" si="25"/>
        <v>4.4.50</v>
      </c>
      <c r="E91" s="3" t="s">
        <v>1968</v>
      </c>
      <c r="F91" s="3" t="s">
        <v>1847</v>
      </c>
      <c r="G91" s="3" t="s">
        <v>1951</v>
      </c>
      <c r="H91" s="3" t="s">
        <v>2181</v>
      </c>
      <c r="I91" s="3" t="s">
        <v>1847</v>
      </c>
      <c r="J91" s="27" t="b">
        <f t="shared" si="22"/>
        <v>0</v>
      </c>
      <c r="K91" s="27" t="b">
        <f t="shared" si="21"/>
        <v>0</v>
      </c>
      <c r="L91" s="33" t="b">
        <f ca="1">IF(D91="n/a","n/a",ISNUMBER(MATCH(D91,'Measure-Level Adj Gas'!L:L,0)))</f>
        <v>0</v>
      </c>
      <c r="M91" s="27" t="b">
        <f t="shared" ca="1" si="23"/>
        <v>0</v>
      </c>
      <c r="N91" s="27" t="b">
        <f t="shared" ca="1" si="24"/>
        <v>0</v>
      </c>
      <c r="O91" s="35" t="s">
        <v>1469</v>
      </c>
      <c r="P91" s="36"/>
      <c r="Q91" s="36"/>
      <c r="R91" s="36"/>
    </row>
    <row r="92" spans="2:18" hidden="1" x14ac:dyDescent="0.25">
      <c r="B92" s="29" t="s">
        <v>2018</v>
      </c>
      <c r="C92" s="3" t="s">
        <v>2037</v>
      </c>
      <c r="D92" s="3" t="str">
        <f t="shared" si="25"/>
        <v>4.4.51</v>
      </c>
      <c r="E92" s="3" t="s">
        <v>2182</v>
      </c>
      <c r="F92" s="3" t="s">
        <v>2183</v>
      </c>
      <c r="G92" s="3" t="s">
        <v>1848</v>
      </c>
      <c r="H92" s="3" t="s">
        <v>2109</v>
      </c>
      <c r="I92" s="3" t="s">
        <v>1847</v>
      </c>
      <c r="J92" s="27" t="b">
        <f t="shared" si="22"/>
        <v>0</v>
      </c>
      <c r="K92" s="27" t="b">
        <f t="shared" si="21"/>
        <v>0</v>
      </c>
      <c r="L92" s="33" t="b">
        <f ca="1">IF(D92="n/a","n/a",ISNUMBER(MATCH(D92,'Measure-Level Adj Gas'!L:L,0)))</f>
        <v>0</v>
      </c>
      <c r="M92" s="27" t="b">
        <f t="shared" ca="1" si="23"/>
        <v>0</v>
      </c>
      <c r="N92" s="27" t="b">
        <f t="shared" ca="1" si="24"/>
        <v>0</v>
      </c>
      <c r="O92" s="35" t="s">
        <v>1469</v>
      </c>
      <c r="P92" s="36"/>
      <c r="Q92" s="36"/>
      <c r="R92" s="36"/>
    </row>
    <row r="93" spans="2:18" hidden="1" x14ac:dyDescent="0.25">
      <c r="B93" s="29" t="s">
        <v>2018</v>
      </c>
      <c r="C93" s="3" t="s">
        <v>2037</v>
      </c>
      <c r="D93" s="3" t="str">
        <f t="shared" si="25"/>
        <v>4.4.53</v>
      </c>
      <c r="E93" s="3" t="s">
        <v>2184</v>
      </c>
      <c r="F93" s="3" t="s">
        <v>2185</v>
      </c>
      <c r="G93" s="3" t="s">
        <v>1848</v>
      </c>
      <c r="H93" s="3" t="s">
        <v>2109</v>
      </c>
      <c r="I93" s="3" t="s">
        <v>1847</v>
      </c>
      <c r="J93" s="27" t="b">
        <f t="shared" si="22"/>
        <v>0</v>
      </c>
      <c r="K93" s="27" t="b">
        <f t="shared" ref="K93:K156" si="26">COUNTIFS(D:D,D93,J:J,TRUE)&gt;0</f>
        <v>0</v>
      </c>
      <c r="L93" s="33" t="b">
        <f ca="1">IF(D93="n/a","n/a",ISNUMBER(MATCH(D93,'Measure-Level Adj Gas'!L:L,0)))</f>
        <v>0</v>
      </c>
      <c r="M93" s="27" t="b">
        <f t="shared" ca="1" si="23"/>
        <v>0</v>
      </c>
      <c r="N93" s="27" t="b">
        <f t="shared" ca="1" si="24"/>
        <v>0</v>
      </c>
      <c r="O93" s="35" t="s">
        <v>1469</v>
      </c>
      <c r="P93" s="36"/>
      <c r="Q93" s="36"/>
      <c r="R93" s="36"/>
    </row>
    <row r="94" spans="2:18" hidden="1" x14ac:dyDescent="0.25">
      <c r="B94" s="29" t="s">
        <v>2018</v>
      </c>
      <c r="C94" s="3" t="s">
        <v>2037</v>
      </c>
      <c r="D94" s="3" t="str">
        <f t="shared" si="25"/>
        <v>4.4.54</v>
      </c>
      <c r="E94" s="3" t="s">
        <v>2186</v>
      </c>
      <c r="F94" s="3" t="s">
        <v>2187</v>
      </c>
      <c r="G94" s="3" t="s">
        <v>1848</v>
      </c>
      <c r="H94" s="3" t="s">
        <v>2109</v>
      </c>
      <c r="I94" s="3" t="s">
        <v>1847</v>
      </c>
      <c r="J94" s="27" t="b">
        <f t="shared" si="22"/>
        <v>0</v>
      </c>
      <c r="K94" s="27" t="b">
        <f t="shared" si="26"/>
        <v>0</v>
      </c>
      <c r="L94" s="33" t="b">
        <f ca="1">IF(D94="n/a","n/a",ISNUMBER(MATCH(D94,'Measure-Level Adj Gas'!L:L,0)))</f>
        <v>0</v>
      </c>
      <c r="M94" s="27" t="b">
        <f t="shared" ca="1" si="23"/>
        <v>0</v>
      </c>
      <c r="N94" s="27" t="b">
        <f t="shared" ca="1" si="24"/>
        <v>0</v>
      </c>
      <c r="O94" s="35" t="s">
        <v>1469</v>
      </c>
      <c r="P94" s="36"/>
      <c r="Q94" s="36"/>
      <c r="R94" s="36"/>
    </row>
    <row r="95" spans="2:18" hidden="1" x14ac:dyDescent="0.25">
      <c r="B95" s="29" t="s">
        <v>2018</v>
      </c>
      <c r="C95" s="3" t="s">
        <v>2037</v>
      </c>
      <c r="D95" s="3" t="str">
        <f t="shared" si="25"/>
        <v>4.4.55</v>
      </c>
      <c r="E95" s="3" t="s">
        <v>1867</v>
      </c>
      <c r="F95" s="3" t="s">
        <v>2188</v>
      </c>
      <c r="G95" s="3" t="s">
        <v>1848</v>
      </c>
      <c r="H95" s="3" t="s">
        <v>2109</v>
      </c>
      <c r="I95" s="3" t="s">
        <v>1847</v>
      </c>
      <c r="J95" s="27" t="b">
        <f t="shared" ref="J95:J158" si="27">I95&lt;&gt;"N/A"</f>
        <v>0</v>
      </c>
      <c r="K95" s="27" t="b">
        <f t="shared" si="26"/>
        <v>0</v>
      </c>
      <c r="L95" s="33" t="b">
        <f ca="1">IF(D95="n/a","n/a",ISNUMBER(MATCH(D95,'Measure-Level Adj Gas'!L:L,0)))</f>
        <v>0</v>
      </c>
      <c r="M95" s="27" t="b">
        <f t="shared" ref="M95:M158" ca="1" si="28">AND(G95="Errata",J95,L95)</f>
        <v>0</v>
      </c>
      <c r="N95" s="27" t="b">
        <f t="shared" ref="N95:N158" ca="1" si="29">AND(G95="Revision",J95,L95)</f>
        <v>0</v>
      </c>
      <c r="O95" s="35" t="s">
        <v>1469</v>
      </c>
      <c r="P95" s="36"/>
      <c r="Q95" s="36"/>
      <c r="R95" s="36"/>
    </row>
    <row r="96" spans="2:18" hidden="1" x14ac:dyDescent="0.25">
      <c r="B96" s="29" t="s">
        <v>2018</v>
      </c>
      <c r="C96" s="3" t="s">
        <v>2037</v>
      </c>
      <c r="D96" s="3" t="str">
        <f t="shared" ref="D96:D159" si="30">IFERROR(LEFT(E96,FIND(" ",E96)-1),E96)</f>
        <v>4.4.59</v>
      </c>
      <c r="E96" s="3" t="s">
        <v>1969</v>
      </c>
      <c r="F96" s="3" t="s">
        <v>2189</v>
      </c>
      <c r="G96" s="3" t="s">
        <v>1848</v>
      </c>
      <c r="H96" s="3" t="s">
        <v>2190</v>
      </c>
      <c r="I96" s="3" t="s">
        <v>1847</v>
      </c>
      <c r="J96" s="27" t="b">
        <f t="shared" si="27"/>
        <v>0</v>
      </c>
      <c r="K96" s="27" t="b">
        <f t="shared" si="26"/>
        <v>0</v>
      </c>
      <c r="L96" s="33" t="b">
        <f ca="1">IF(D96="n/a","n/a",ISNUMBER(MATCH(D96,'Measure-Level Adj Gas'!L:L,0)))</f>
        <v>0</v>
      </c>
      <c r="M96" s="27" t="b">
        <f t="shared" ca="1" si="28"/>
        <v>0</v>
      </c>
      <c r="N96" s="27" t="b">
        <f t="shared" ca="1" si="29"/>
        <v>0</v>
      </c>
      <c r="O96" s="35" t="s">
        <v>1469</v>
      </c>
      <c r="P96" s="36"/>
      <c r="Q96" s="36"/>
      <c r="R96" s="36"/>
    </row>
    <row r="97" spans="2:18" hidden="1" x14ac:dyDescent="0.25">
      <c r="B97" s="29" t="s">
        <v>2018</v>
      </c>
      <c r="C97" s="3" t="s">
        <v>2037</v>
      </c>
      <c r="D97" s="3" t="str">
        <f t="shared" si="30"/>
        <v>4.4.60</v>
      </c>
      <c r="E97" s="3" t="s">
        <v>2191</v>
      </c>
      <c r="F97" s="3" t="s">
        <v>2192</v>
      </c>
      <c r="G97" s="3" t="s">
        <v>1855</v>
      </c>
      <c r="H97" s="3" t="s">
        <v>2193</v>
      </c>
      <c r="I97" s="3" t="s">
        <v>1847</v>
      </c>
      <c r="J97" s="27" t="b">
        <f t="shared" si="27"/>
        <v>0</v>
      </c>
      <c r="K97" s="27" t="b">
        <f t="shared" si="26"/>
        <v>1</v>
      </c>
      <c r="L97" s="33" t="b">
        <f ca="1">IF(D97="n/a","n/a",ISNUMBER(MATCH(D97,'Measure-Level Adj Gas'!L:L,0)))</f>
        <v>0</v>
      </c>
      <c r="M97" s="27" t="b">
        <f t="shared" ca="1" si="28"/>
        <v>0</v>
      </c>
      <c r="N97" s="27" t="b">
        <f t="shared" ca="1" si="29"/>
        <v>0</v>
      </c>
      <c r="O97" s="35" t="s">
        <v>1469</v>
      </c>
      <c r="P97" s="36"/>
      <c r="Q97" s="36"/>
      <c r="R97" s="36"/>
    </row>
    <row r="98" spans="2:18" hidden="1" x14ac:dyDescent="0.25">
      <c r="B98" s="29" t="s">
        <v>2018</v>
      </c>
      <c r="C98" s="3" t="s">
        <v>2037</v>
      </c>
      <c r="D98" s="3" t="str">
        <f t="shared" si="30"/>
        <v>4.4.60</v>
      </c>
      <c r="E98" s="3" t="s">
        <v>2191</v>
      </c>
      <c r="F98" s="3" t="s">
        <v>2194</v>
      </c>
      <c r="G98" s="3" t="s">
        <v>1848</v>
      </c>
      <c r="H98" s="3" t="s">
        <v>2195</v>
      </c>
      <c r="I98" s="3" t="s">
        <v>1853</v>
      </c>
      <c r="J98" s="27" t="b">
        <f t="shared" si="27"/>
        <v>1</v>
      </c>
      <c r="K98" s="27" t="b">
        <f t="shared" si="26"/>
        <v>1</v>
      </c>
      <c r="L98" s="33" t="b">
        <f ca="1">IF(D98="n/a","n/a",ISNUMBER(MATCH(D98,'Measure-Level Adj Gas'!L:L,0)))</f>
        <v>0</v>
      </c>
      <c r="M98" s="27" t="b">
        <f t="shared" ca="1" si="28"/>
        <v>0</v>
      </c>
      <c r="N98" s="27" t="b">
        <f t="shared" ca="1" si="29"/>
        <v>0</v>
      </c>
      <c r="O98" s="35" t="s">
        <v>1469</v>
      </c>
      <c r="P98" s="36"/>
      <c r="Q98" s="36"/>
      <c r="R98" s="36"/>
    </row>
    <row r="99" spans="2:18" hidden="1" x14ac:dyDescent="0.25">
      <c r="B99" s="29" t="s">
        <v>2018</v>
      </c>
      <c r="C99" s="3" t="s">
        <v>2037</v>
      </c>
      <c r="D99" s="3" t="str">
        <f t="shared" si="30"/>
        <v>4.4.63</v>
      </c>
      <c r="E99" s="3" t="s">
        <v>2196</v>
      </c>
      <c r="F99" s="3" t="s">
        <v>2197</v>
      </c>
      <c r="G99" s="3" t="s">
        <v>1849</v>
      </c>
      <c r="H99" s="3" t="s">
        <v>1850</v>
      </c>
      <c r="I99" s="3" t="s">
        <v>1847</v>
      </c>
      <c r="J99" s="27" t="b">
        <f t="shared" si="27"/>
        <v>0</v>
      </c>
      <c r="K99" s="27" t="b">
        <f t="shared" si="26"/>
        <v>0</v>
      </c>
      <c r="L99" s="33" t="b">
        <f ca="1">IF(D99="n/a","n/a",ISNUMBER(MATCH(D99,'Measure-Level Adj Gas'!L:L,0)))</f>
        <v>0</v>
      </c>
      <c r="M99" s="27" t="b">
        <f t="shared" ca="1" si="28"/>
        <v>0</v>
      </c>
      <c r="N99" s="27" t="b">
        <f t="shared" ca="1" si="29"/>
        <v>0</v>
      </c>
      <c r="O99" s="35" t="s">
        <v>1469</v>
      </c>
      <c r="P99" s="36"/>
      <c r="Q99" s="36"/>
      <c r="R99" s="36"/>
    </row>
    <row r="100" spans="2:18" hidden="1" x14ac:dyDescent="0.25">
      <c r="B100" s="29" t="s">
        <v>2018</v>
      </c>
      <c r="C100" s="3" t="s">
        <v>2037</v>
      </c>
      <c r="D100" s="3" t="str">
        <f t="shared" si="30"/>
        <v>4.4.64</v>
      </c>
      <c r="E100" s="3" t="s">
        <v>2198</v>
      </c>
      <c r="F100" s="3" t="s">
        <v>2199</v>
      </c>
      <c r="G100" s="3" t="s">
        <v>1849</v>
      </c>
      <c r="H100" s="3" t="s">
        <v>1850</v>
      </c>
      <c r="I100" s="3" t="s">
        <v>1847</v>
      </c>
      <c r="J100" s="27" t="b">
        <f t="shared" si="27"/>
        <v>0</v>
      </c>
      <c r="K100" s="27" t="b">
        <f t="shared" si="26"/>
        <v>0</v>
      </c>
      <c r="L100" s="33" t="b">
        <f ca="1">IF(D100="n/a","n/a",ISNUMBER(MATCH(D100,'Measure-Level Adj Gas'!L:L,0)))</f>
        <v>0</v>
      </c>
      <c r="M100" s="27" t="b">
        <f t="shared" ca="1" si="28"/>
        <v>0</v>
      </c>
      <c r="N100" s="27" t="b">
        <f t="shared" ca="1" si="29"/>
        <v>0</v>
      </c>
      <c r="O100" s="35" t="s">
        <v>1469</v>
      </c>
      <c r="P100" s="36"/>
      <c r="Q100" s="36"/>
      <c r="R100" s="36"/>
    </row>
    <row r="101" spans="2:18" hidden="1" x14ac:dyDescent="0.25">
      <c r="B101" s="29" t="s">
        <v>2018</v>
      </c>
      <c r="C101" s="3" t="s">
        <v>2200</v>
      </c>
      <c r="D101" s="3" t="str">
        <f t="shared" si="30"/>
        <v>4.5.4</v>
      </c>
      <c r="E101" s="3" t="s">
        <v>1868</v>
      </c>
      <c r="F101" s="3" t="s">
        <v>2201</v>
      </c>
      <c r="G101" s="3" t="s">
        <v>1855</v>
      </c>
      <c r="H101" s="3" t="s">
        <v>2202</v>
      </c>
      <c r="I101" s="3" t="s">
        <v>1847</v>
      </c>
      <c r="J101" s="27" t="b">
        <f t="shared" si="27"/>
        <v>0</v>
      </c>
      <c r="K101" s="27" t="b">
        <f t="shared" si="26"/>
        <v>0</v>
      </c>
      <c r="L101" s="33" t="b">
        <f ca="1">IF(D101="n/a","n/a",ISNUMBER(MATCH(D101,'Measure-Level Adj Gas'!L:L,0)))</f>
        <v>0</v>
      </c>
      <c r="M101" s="27" t="b">
        <f t="shared" ca="1" si="28"/>
        <v>0</v>
      </c>
      <c r="N101" s="27" t="b">
        <f t="shared" ca="1" si="29"/>
        <v>0</v>
      </c>
      <c r="O101" s="35" t="s">
        <v>1469</v>
      </c>
      <c r="P101" s="36"/>
      <c r="Q101" s="36"/>
      <c r="R101" s="36"/>
    </row>
    <row r="102" spans="2:18" hidden="1" x14ac:dyDescent="0.25">
      <c r="B102" s="29" t="s">
        <v>2018</v>
      </c>
      <c r="C102" s="3" t="s">
        <v>2200</v>
      </c>
      <c r="D102" s="3" t="str">
        <f t="shared" si="30"/>
        <v>4.5.4</v>
      </c>
      <c r="E102" s="3" t="s">
        <v>1868</v>
      </c>
      <c r="F102" s="3" t="s">
        <v>2203</v>
      </c>
      <c r="G102" s="3" t="s">
        <v>1848</v>
      </c>
      <c r="H102" s="3" t="s">
        <v>2204</v>
      </c>
      <c r="I102" s="3" t="s">
        <v>1847</v>
      </c>
      <c r="J102" s="27" t="b">
        <f t="shared" si="27"/>
        <v>0</v>
      </c>
      <c r="K102" s="27" t="b">
        <f t="shared" si="26"/>
        <v>0</v>
      </c>
      <c r="L102" s="33" t="b">
        <f ca="1">IF(D102="n/a","n/a",ISNUMBER(MATCH(D102,'Measure-Level Adj Gas'!L:L,0)))</f>
        <v>0</v>
      </c>
      <c r="M102" s="27" t="b">
        <f t="shared" ca="1" si="28"/>
        <v>0</v>
      </c>
      <c r="N102" s="27" t="b">
        <f t="shared" ca="1" si="29"/>
        <v>0</v>
      </c>
      <c r="O102" s="35" t="s">
        <v>1469</v>
      </c>
      <c r="P102" s="36"/>
      <c r="Q102" s="36"/>
      <c r="R102" s="36"/>
    </row>
    <row r="103" spans="2:18" hidden="1" x14ac:dyDescent="0.25">
      <c r="B103" s="29" t="s">
        <v>2018</v>
      </c>
      <c r="C103" s="3" t="s">
        <v>2200</v>
      </c>
      <c r="D103" s="3" t="str">
        <f t="shared" si="30"/>
        <v>4.5.7</v>
      </c>
      <c r="E103" s="3" t="s">
        <v>1869</v>
      </c>
      <c r="F103" s="3" t="s">
        <v>2205</v>
      </c>
      <c r="G103" s="3" t="s">
        <v>1848</v>
      </c>
      <c r="H103" s="3" t="s">
        <v>2109</v>
      </c>
      <c r="I103" s="3" t="s">
        <v>1847</v>
      </c>
      <c r="J103" s="27" t="b">
        <f t="shared" si="27"/>
        <v>0</v>
      </c>
      <c r="K103" s="27" t="b">
        <f t="shared" si="26"/>
        <v>0</v>
      </c>
      <c r="L103" s="33" t="b">
        <f ca="1">IF(D103="n/a","n/a",ISNUMBER(MATCH(D103,'Measure-Level Adj Gas'!L:L,0)))</f>
        <v>0</v>
      </c>
      <c r="M103" s="27" t="b">
        <f t="shared" ca="1" si="28"/>
        <v>0</v>
      </c>
      <c r="N103" s="27" t="b">
        <f t="shared" ca="1" si="29"/>
        <v>0</v>
      </c>
      <c r="O103" s="35" t="s">
        <v>1469</v>
      </c>
      <c r="P103" s="36"/>
      <c r="Q103" s="36"/>
      <c r="R103" s="36"/>
    </row>
    <row r="104" spans="2:18" hidden="1" x14ac:dyDescent="0.25">
      <c r="B104" s="29" t="s">
        <v>2018</v>
      </c>
      <c r="C104" s="3" t="s">
        <v>2200</v>
      </c>
      <c r="D104" s="3" t="str">
        <f t="shared" si="30"/>
        <v>4.5.8</v>
      </c>
      <c r="E104" s="3" t="s">
        <v>2206</v>
      </c>
      <c r="F104" s="3" t="s">
        <v>2207</v>
      </c>
      <c r="G104" s="3" t="s">
        <v>1848</v>
      </c>
      <c r="H104" s="3" t="s">
        <v>2208</v>
      </c>
      <c r="I104" s="3" t="s">
        <v>1851</v>
      </c>
      <c r="J104" s="27" t="b">
        <f t="shared" si="27"/>
        <v>1</v>
      </c>
      <c r="K104" s="27" t="b">
        <f t="shared" si="26"/>
        <v>1</v>
      </c>
      <c r="L104" s="33" t="b">
        <f ca="1">IF(D104="n/a","n/a",ISNUMBER(MATCH(D104,'Measure-Level Adj Gas'!L:L,0)))</f>
        <v>0</v>
      </c>
      <c r="M104" s="27" t="b">
        <f t="shared" ca="1" si="28"/>
        <v>0</v>
      </c>
      <c r="N104" s="27" t="b">
        <f t="shared" ca="1" si="29"/>
        <v>0</v>
      </c>
      <c r="O104" s="35" t="s">
        <v>1469</v>
      </c>
      <c r="P104" s="36"/>
      <c r="Q104" s="36"/>
      <c r="R104" s="36"/>
    </row>
    <row r="105" spans="2:18" hidden="1" x14ac:dyDescent="0.25">
      <c r="B105" s="29" t="s">
        <v>2018</v>
      </c>
      <c r="C105" s="3" t="s">
        <v>2200</v>
      </c>
      <c r="D105" s="3" t="str">
        <f t="shared" si="30"/>
        <v>4.5.10</v>
      </c>
      <c r="E105" s="3" t="s">
        <v>2209</v>
      </c>
      <c r="F105" s="3" t="s">
        <v>2210</v>
      </c>
      <c r="G105" s="3" t="s">
        <v>1848</v>
      </c>
      <c r="H105" s="3" t="s">
        <v>2211</v>
      </c>
      <c r="I105" s="3" t="s">
        <v>1847</v>
      </c>
      <c r="J105" s="27" t="b">
        <f t="shared" si="27"/>
        <v>0</v>
      </c>
      <c r="K105" s="27" t="b">
        <f t="shared" si="26"/>
        <v>0</v>
      </c>
      <c r="L105" s="33" t="b">
        <f ca="1">IF(D105="n/a","n/a",ISNUMBER(MATCH(D105,'Measure-Level Adj Gas'!L:L,0)))</f>
        <v>0</v>
      </c>
      <c r="M105" s="27" t="b">
        <f t="shared" ca="1" si="28"/>
        <v>0</v>
      </c>
      <c r="N105" s="27" t="b">
        <f t="shared" ca="1" si="29"/>
        <v>0</v>
      </c>
      <c r="O105" s="35" t="s">
        <v>1469</v>
      </c>
      <c r="P105" s="36"/>
      <c r="Q105" s="36"/>
      <c r="R105" s="36"/>
    </row>
    <row r="106" spans="2:18" hidden="1" x14ac:dyDescent="0.25">
      <c r="B106" s="29" t="s">
        <v>2018</v>
      </c>
      <c r="C106" s="3" t="s">
        <v>2200</v>
      </c>
      <c r="D106" s="3" t="str">
        <f t="shared" si="30"/>
        <v>4.5.18</v>
      </c>
      <c r="E106" s="3" t="s">
        <v>2212</v>
      </c>
      <c r="F106" s="3" t="s">
        <v>2213</v>
      </c>
      <c r="G106" s="3" t="s">
        <v>1849</v>
      </c>
      <c r="H106" s="3" t="s">
        <v>1850</v>
      </c>
      <c r="I106" s="3" t="s">
        <v>1847</v>
      </c>
      <c r="J106" s="27" t="b">
        <f t="shared" si="27"/>
        <v>0</v>
      </c>
      <c r="K106" s="27" t="b">
        <f t="shared" si="26"/>
        <v>0</v>
      </c>
      <c r="L106" s="33" t="b">
        <f ca="1">IF(D106="n/a","n/a",ISNUMBER(MATCH(D106,'Measure-Level Adj Gas'!L:L,0)))</f>
        <v>0</v>
      </c>
      <c r="M106" s="27" t="b">
        <f t="shared" ca="1" si="28"/>
        <v>0</v>
      </c>
      <c r="N106" s="27" t="b">
        <f t="shared" ca="1" si="29"/>
        <v>0</v>
      </c>
      <c r="O106" s="35" t="s">
        <v>1469</v>
      </c>
      <c r="P106" s="36"/>
      <c r="Q106" s="36"/>
      <c r="R106" s="36"/>
    </row>
    <row r="107" spans="2:18" hidden="1" x14ac:dyDescent="0.25">
      <c r="B107" s="29" t="s">
        <v>2018</v>
      </c>
      <c r="C107" s="3" t="s">
        <v>2214</v>
      </c>
      <c r="D107" s="3" t="str">
        <f t="shared" si="30"/>
        <v>4.6.8</v>
      </c>
      <c r="E107" s="3" t="s">
        <v>2215</v>
      </c>
      <c r="F107" s="3" t="s">
        <v>2216</v>
      </c>
      <c r="G107" s="3" t="s">
        <v>1848</v>
      </c>
      <c r="H107" s="3" t="s">
        <v>2217</v>
      </c>
      <c r="I107" s="3" t="s">
        <v>1851</v>
      </c>
      <c r="J107" s="27" t="b">
        <f t="shared" si="27"/>
        <v>1</v>
      </c>
      <c r="K107" s="27" t="b">
        <f t="shared" si="26"/>
        <v>1</v>
      </c>
      <c r="L107" s="33" t="b">
        <f ca="1">IF(D107="n/a","n/a",ISNUMBER(MATCH(D107,'Measure-Level Adj Gas'!L:L,0)))</f>
        <v>0</v>
      </c>
      <c r="M107" s="27" t="b">
        <f t="shared" ca="1" si="28"/>
        <v>0</v>
      </c>
      <c r="N107" s="27" t="b">
        <f t="shared" ca="1" si="29"/>
        <v>0</v>
      </c>
      <c r="O107" s="35" t="s">
        <v>1469</v>
      </c>
      <c r="P107" s="36"/>
      <c r="Q107" s="36"/>
      <c r="R107" s="36"/>
    </row>
    <row r="108" spans="2:18" hidden="1" x14ac:dyDescent="0.25">
      <c r="B108" s="29" t="s">
        <v>2018</v>
      </c>
      <c r="C108" s="3" t="s">
        <v>2214</v>
      </c>
      <c r="D108" s="3" t="str">
        <f t="shared" si="30"/>
        <v>4.6.9</v>
      </c>
      <c r="E108" s="3" t="s">
        <v>2218</v>
      </c>
      <c r="F108" s="3" t="s">
        <v>2219</v>
      </c>
      <c r="G108" s="3" t="s">
        <v>1848</v>
      </c>
      <c r="H108" s="3" t="s">
        <v>2220</v>
      </c>
      <c r="I108" s="3" t="s">
        <v>1847</v>
      </c>
      <c r="J108" s="27" t="b">
        <f t="shared" si="27"/>
        <v>0</v>
      </c>
      <c r="K108" s="27" t="b">
        <f t="shared" si="26"/>
        <v>0</v>
      </c>
      <c r="L108" s="33" t="b">
        <f ca="1">IF(D108="n/a","n/a",ISNUMBER(MATCH(D108,'Measure-Level Adj Gas'!L:L,0)))</f>
        <v>0</v>
      </c>
      <c r="M108" s="27" t="b">
        <f t="shared" ca="1" si="28"/>
        <v>0</v>
      </c>
      <c r="N108" s="27" t="b">
        <f t="shared" ca="1" si="29"/>
        <v>0</v>
      </c>
      <c r="O108" s="35" t="s">
        <v>1469</v>
      </c>
      <c r="P108" s="36"/>
      <c r="Q108" s="36"/>
      <c r="R108" s="36"/>
    </row>
    <row r="109" spans="2:18" hidden="1" x14ac:dyDescent="0.25">
      <c r="B109" s="29" t="s">
        <v>2018</v>
      </c>
      <c r="C109" s="3" t="s">
        <v>2221</v>
      </c>
      <c r="D109" s="3" t="str">
        <f t="shared" si="30"/>
        <v>4.7.6</v>
      </c>
      <c r="E109" s="3" t="s">
        <v>2222</v>
      </c>
      <c r="F109" s="3" t="s">
        <v>1847</v>
      </c>
      <c r="G109" s="3" t="s">
        <v>1951</v>
      </c>
      <c r="H109" s="3" t="s">
        <v>2223</v>
      </c>
      <c r="I109" s="3" t="s">
        <v>1847</v>
      </c>
      <c r="J109" s="27" t="b">
        <f t="shared" si="27"/>
        <v>0</v>
      </c>
      <c r="K109" s="27" t="b">
        <f t="shared" si="26"/>
        <v>0</v>
      </c>
      <c r="L109" s="33" t="b">
        <f ca="1">IF(D109="n/a","n/a",ISNUMBER(MATCH(D109,'Measure-Level Adj Gas'!L:L,0)))</f>
        <v>0</v>
      </c>
      <c r="M109" s="27" t="b">
        <f t="shared" ca="1" si="28"/>
        <v>0</v>
      </c>
      <c r="N109" s="27" t="b">
        <f t="shared" ca="1" si="29"/>
        <v>0</v>
      </c>
      <c r="O109" s="35" t="s">
        <v>1469</v>
      </c>
      <c r="P109" s="36"/>
      <c r="Q109" s="36"/>
      <c r="R109" s="36"/>
    </row>
    <row r="110" spans="2:18" hidden="1" x14ac:dyDescent="0.25">
      <c r="B110" s="29" t="s">
        <v>2018</v>
      </c>
      <c r="C110" s="3" t="s">
        <v>2221</v>
      </c>
      <c r="D110" s="3" t="str">
        <f t="shared" si="30"/>
        <v>4.7.13</v>
      </c>
      <c r="E110" s="3" t="s">
        <v>2224</v>
      </c>
      <c r="F110" s="3" t="s">
        <v>2225</v>
      </c>
      <c r="G110" s="3" t="s">
        <v>1849</v>
      </c>
      <c r="H110" s="3" t="s">
        <v>1850</v>
      </c>
      <c r="I110" s="3" t="s">
        <v>1847</v>
      </c>
      <c r="J110" s="27" t="b">
        <f t="shared" si="27"/>
        <v>0</v>
      </c>
      <c r="K110" s="27" t="b">
        <f t="shared" si="26"/>
        <v>0</v>
      </c>
      <c r="L110" s="33" t="b">
        <f ca="1">IF(D110="n/a","n/a",ISNUMBER(MATCH(D110,'Measure-Level Adj Gas'!L:L,0)))</f>
        <v>0</v>
      </c>
      <c r="M110" s="27" t="b">
        <f t="shared" ca="1" si="28"/>
        <v>0</v>
      </c>
      <c r="N110" s="27" t="b">
        <f t="shared" ca="1" si="29"/>
        <v>0</v>
      </c>
      <c r="O110" s="35" t="s">
        <v>1469</v>
      </c>
      <c r="P110" s="36"/>
      <c r="Q110" s="36"/>
      <c r="R110" s="36"/>
    </row>
    <row r="111" spans="2:18" hidden="1" x14ac:dyDescent="0.25">
      <c r="B111" s="29" t="s">
        <v>2018</v>
      </c>
      <c r="C111" s="3" t="s">
        <v>2226</v>
      </c>
      <c r="D111" s="3" t="str">
        <f t="shared" si="30"/>
        <v>4.8.2</v>
      </c>
      <c r="E111" s="3" t="s">
        <v>1870</v>
      </c>
      <c r="F111" s="3" t="s">
        <v>2227</v>
      </c>
      <c r="G111" s="3" t="s">
        <v>1848</v>
      </c>
      <c r="H111" s="3" t="s">
        <v>2228</v>
      </c>
      <c r="I111" s="3" t="s">
        <v>1851</v>
      </c>
      <c r="J111" s="27" t="b">
        <f t="shared" si="27"/>
        <v>1</v>
      </c>
      <c r="K111" s="27" t="b">
        <f t="shared" si="26"/>
        <v>1</v>
      </c>
      <c r="L111" s="33" t="b">
        <f ca="1">IF(D111="n/a","n/a",ISNUMBER(MATCH(D111,'Measure-Level Adj Gas'!L:L,0)))</f>
        <v>0</v>
      </c>
      <c r="M111" s="27" t="b">
        <f t="shared" ca="1" si="28"/>
        <v>0</v>
      </c>
      <c r="N111" s="27" t="b">
        <f t="shared" ca="1" si="29"/>
        <v>0</v>
      </c>
      <c r="O111" s="35" t="s">
        <v>1469</v>
      </c>
      <c r="P111" s="36"/>
      <c r="Q111" s="36"/>
      <c r="R111" s="36"/>
    </row>
    <row r="112" spans="2:18" hidden="1" x14ac:dyDescent="0.25">
      <c r="B112" s="29" t="s">
        <v>2018</v>
      </c>
      <c r="C112" s="3" t="s">
        <v>2226</v>
      </c>
      <c r="D112" s="3" t="str">
        <f t="shared" si="30"/>
        <v>4.8.5</v>
      </c>
      <c r="E112" s="3" t="s">
        <v>2229</v>
      </c>
      <c r="F112" s="3" t="s">
        <v>2230</v>
      </c>
      <c r="G112" s="3" t="s">
        <v>1848</v>
      </c>
      <c r="H112" s="3" t="s">
        <v>2100</v>
      </c>
      <c r="I112" s="3" t="s">
        <v>1847</v>
      </c>
      <c r="J112" s="27" t="b">
        <f t="shared" si="27"/>
        <v>0</v>
      </c>
      <c r="K112" s="27" t="b">
        <f t="shared" si="26"/>
        <v>0</v>
      </c>
      <c r="L112" s="33" t="b">
        <f ca="1">IF(D112="n/a","n/a",ISNUMBER(MATCH(D112,'Measure-Level Adj Gas'!L:L,0)))</f>
        <v>1</v>
      </c>
      <c r="M112" s="27" t="b">
        <f t="shared" ca="1" si="28"/>
        <v>0</v>
      </c>
      <c r="N112" s="27" t="b">
        <f t="shared" ca="1" si="29"/>
        <v>0</v>
      </c>
      <c r="O112" s="36" t="b">
        <v>0</v>
      </c>
      <c r="P112" s="36" t="s">
        <v>2163</v>
      </c>
      <c r="Q112" s="36"/>
      <c r="R112" s="36"/>
    </row>
    <row r="113" spans="2:18" hidden="1" x14ac:dyDescent="0.25">
      <c r="B113" s="29" t="s">
        <v>2018</v>
      </c>
      <c r="C113" s="3" t="s">
        <v>2226</v>
      </c>
      <c r="D113" s="3" t="str">
        <f t="shared" si="30"/>
        <v>4.8.7</v>
      </c>
      <c r="E113" s="3" t="s">
        <v>1970</v>
      </c>
      <c r="F113" s="3" t="s">
        <v>2231</v>
      </c>
      <c r="G113" s="3" t="s">
        <v>1848</v>
      </c>
      <c r="H113" s="3" t="s">
        <v>2232</v>
      </c>
      <c r="I113" s="3" t="s">
        <v>1847</v>
      </c>
      <c r="J113" s="27" t="b">
        <f t="shared" si="27"/>
        <v>0</v>
      </c>
      <c r="K113" s="27" t="b">
        <f t="shared" si="26"/>
        <v>0</v>
      </c>
      <c r="L113" s="33" t="b">
        <f ca="1">IF(D113="n/a","n/a",ISNUMBER(MATCH(D113,'Measure-Level Adj Gas'!L:L,0)))</f>
        <v>0</v>
      </c>
      <c r="M113" s="27" t="b">
        <f t="shared" ca="1" si="28"/>
        <v>0</v>
      </c>
      <c r="N113" s="27" t="b">
        <f t="shared" ca="1" si="29"/>
        <v>0</v>
      </c>
      <c r="O113" s="35" t="s">
        <v>1469</v>
      </c>
      <c r="P113" s="36"/>
      <c r="Q113" s="36"/>
      <c r="R113" s="36"/>
    </row>
    <row r="114" spans="2:18" hidden="1" x14ac:dyDescent="0.25">
      <c r="B114" s="29" t="s">
        <v>2018</v>
      </c>
      <c r="C114" s="3" t="s">
        <v>2226</v>
      </c>
      <c r="D114" s="3" t="str">
        <f t="shared" si="30"/>
        <v>4.8.13</v>
      </c>
      <c r="E114" s="3" t="s">
        <v>1971</v>
      </c>
      <c r="F114" s="3" t="s">
        <v>2233</v>
      </c>
      <c r="G114" s="3" t="s">
        <v>1848</v>
      </c>
      <c r="H114" s="3" t="s">
        <v>2109</v>
      </c>
      <c r="I114" s="3" t="s">
        <v>1847</v>
      </c>
      <c r="J114" s="27" t="b">
        <f t="shared" si="27"/>
        <v>0</v>
      </c>
      <c r="K114" s="27" t="b">
        <f t="shared" si="26"/>
        <v>0</v>
      </c>
      <c r="L114" s="33" t="b">
        <f ca="1">IF(D114="n/a","n/a",ISNUMBER(MATCH(D114,'Measure-Level Adj Gas'!L:L,0)))</f>
        <v>0</v>
      </c>
      <c r="M114" s="27" t="b">
        <f t="shared" ca="1" si="28"/>
        <v>0</v>
      </c>
      <c r="N114" s="27" t="b">
        <f t="shared" ca="1" si="29"/>
        <v>0</v>
      </c>
      <c r="O114" s="35" t="s">
        <v>1469</v>
      </c>
      <c r="P114" s="36"/>
      <c r="Q114" s="36"/>
      <c r="R114" s="36"/>
    </row>
    <row r="115" spans="2:18" hidden="1" x14ac:dyDescent="0.25">
      <c r="B115" s="29" t="s">
        <v>2018</v>
      </c>
      <c r="C115" s="3" t="s">
        <v>2226</v>
      </c>
      <c r="D115" s="3" t="str">
        <f t="shared" si="30"/>
        <v>4.8.23</v>
      </c>
      <c r="E115" s="3" t="s">
        <v>1871</v>
      </c>
      <c r="F115" s="3" t="s">
        <v>2234</v>
      </c>
      <c r="G115" s="3" t="s">
        <v>1855</v>
      </c>
      <c r="H115" s="3" t="s">
        <v>2235</v>
      </c>
      <c r="I115" s="3" t="s">
        <v>1851</v>
      </c>
      <c r="J115" s="27" t="b">
        <f t="shared" si="27"/>
        <v>1</v>
      </c>
      <c r="K115" s="27" t="b">
        <f t="shared" si="26"/>
        <v>1</v>
      </c>
      <c r="L115" s="33" t="b">
        <f ca="1">IF(D115="n/a","n/a",ISNUMBER(MATCH(D115,'Measure-Level Adj Gas'!L:L,0)))</f>
        <v>0</v>
      </c>
      <c r="M115" s="27" t="b">
        <f t="shared" ca="1" si="28"/>
        <v>0</v>
      </c>
      <c r="N115" s="27" t="b">
        <f t="shared" ca="1" si="29"/>
        <v>0</v>
      </c>
      <c r="O115" s="35" t="s">
        <v>1469</v>
      </c>
      <c r="P115" s="36"/>
      <c r="Q115" s="36"/>
      <c r="R115" s="36"/>
    </row>
    <row r="116" spans="2:18" hidden="1" x14ac:dyDescent="0.25">
      <c r="B116" s="29" t="s">
        <v>2018</v>
      </c>
      <c r="C116" s="3" t="s">
        <v>2226</v>
      </c>
      <c r="D116" s="3" t="str">
        <f t="shared" si="30"/>
        <v>4.8.27</v>
      </c>
      <c r="E116" s="3" t="s">
        <v>1972</v>
      </c>
      <c r="F116" s="3" t="s">
        <v>2236</v>
      </c>
      <c r="G116" s="3" t="s">
        <v>1855</v>
      </c>
      <c r="H116" s="3" t="s">
        <v>2237</v>
      </c>
      <c r="I116" s="3" t="s">
        <v>1853</v>
      </c>
      <c r="J116" s="27" t="b">
        <f t="shared" si="27"/>
        <v>1</v>
      </c>
      <c r="K116" s="27" t="b">
        <f t="shared" si="26"/>
        <v>1</v>
      </c>
      <c r="L116" s="33" t="b">
        <f ca="1">IF(D116="n/a","n/a",ISNUMBER(MATCH(D116,'Measure-Level Adj Gas'!L:L,0)))</f>
        <v>0</v>
      </c>
      <c r="M116" s="27" t="b">
        <f t="shared" ca="1" si="28"/>
        <v>0</v>
      </c>
      <c r="N116" s="27" t="b">
        <f t="shared" ca="1" si="29"/>
        <v>0</v>
      </c>
      <c r="O116" s="35" t="s">
        <v>1469</v>
      </c>
      <c r="P116" s="36"/>
      <c r="Q116" s="36"/>
      <c r="R116" s="36"/>
    </row>
    <row r="117" spans="2:18" hidden="1" x14ac:dyDescent="0.25">
      <c r="B117" s="29" t="s">
        <v>2018</v>
      </c>
      <c r="C117" s="3" t="s">
        <v>2226</v>
      </c>
      <c r="D117" s="3" t="str">
        <f t="shared" si="30"/>
        <v>4.8.27</v>
      </c>
      <c r="E117" s="3" t="s">
        <v>1972</v>
      </c>
      <c r="F117" s="3" t="s">
        <v>2238</v>
      </c>
      <c r="G117" s="3" t="s">
        <v>1848</v>
      </c>
      <c r="H117" s="3" t="s">
        <v>2239</v>
      </c>
      <c r="I117" s="3" t="s">
        <v>1853</v>
      </c>
      <c r="J117" s="27" t="b">
        <f t="shared" si="27"/>
        <v>1</v>
      </c>
      <c r="K117" s="27" t="b">
        <f t="shared" si="26"/>
        <v>1</v>
      </c>
      <c r="L117" s="33" t="b">
        <f ca="1">IF(D117="n/a","n/a",ISNUMBER(MATCH(D117,'Measure-Level Adj Gas'!L:L,0)))</f>
        <v>0</v>
      </c>
      <c r="M117" s="27" t="b">
        <f t="shared" ca="1" si="28"/>
        <v>0</v>
      </c>
      <c r="N117" s="27" t="b">
        <f t="shared" ca="1" si="29"/>
        <v>0</v>
      </c>
      <c r="O117" s="35" t="s">
        <v>1469</v>
      </c>
      <c r="P117" s="36"/>
      <c r="Q117" s="36"/>
      <c r="R117" s="36"/>
    </row>
    <row r="118" spans="2:18" hidden="1" x14ac:dyDescent="0.25">
      <c r="B118" s="29" t="s">
        <v>2018</v>
      </c>
      <c r="C118" s="3" t="s">
        <v>2226</v>
      </c>
      <c r="D118" s="3" t="str">
        <f t="shared" si="30"/>
        <v>4.8.30</v>
      </c>
      <c r="E118" s="3" t="s">
        <v>1973</v>
      </c>
      <c r="F118" s="3" t="s">
        <v>2240</v>
      </c>
      <c r="G118" s="3" t="s">
        <v>1855</v>
      </c>
      <c r="H118" s="3" t="s">
        <v>2237</v>
      </c>
      <c r="I118" s="3" t="s">
        <v>1853</v>
      </c>
      <c r="J118" s="27" t="b">
        <f t="shared" si="27"/>
        <v>1</v>
      </c>
      <c r="K118" s="27" t="b">
        <f t="shared" si="26"/>
        <v>1</v>
      </c>
      <c r="L118" s="33" t="b">
        <f ca="1">IF(D118="n/a","n/a",ISNUMBER(MATCH(D118,'Measure-Level Adj Gas'!L:L,0)))</f>
        <v>0</v>
      </c>
      <c r="M118" s="27" t="b">
        <f t="shared" ca="1" si="28"/>
        <v>0</v>
      </c>
      <c r="N118" s="27" t="b">
        <f t="shared" ca="1" si="29"/>
        <v>0</v>
      </c>
      <c r="O118" s="35" t="s">
        <v>1469</v>
      </c>
      <c r="P118" s="36"/>
      <c r="Q118" s="36"/>
      <c r="R118" s="36"/>
    </row>
    <row r="119" spans="2:18" hidden="1" x14ac:dyDescent="0.25">
      <c r="B119" s="29" t="s">
        <v>2018</v>
      </c>
      <c r="C119" s="3" t="s">
        <v>2226</v>
      </c>
      <c r="D119" s="3" t="str">
        <f t="shared" si="30"/>
        <v>4.8.30</v>
      </c>
      <c r="E119" s="3" t="s">
        <v>1973</v>
      </c>
      <c r="F119" s="3" t="s">
        <v>2241</v>
      </c>
      <c r="G119" s="3" t="s">
        <v>1848</v>
      </c>
      <c r="H119" s="3" t="s">
        <v>2239</v>
      </c>
      <c r="I119" s="3" t="s">
        <v>1853</v>
      </c>
      <c r="J119" s="27" t="b">
        <f t="shared" si="27"/>
        <v>1</v>
      </c>
      <c r="K119" s="27" t="b">
        <f t="shared" si="26"/>
        <v>1</v>
      </c>
      <c r="L119" s="33" t="b">
        <f ca="1">IF(D119="n/a","n/a",ISNUMBER(MATCH(D119,'Measure-Level Adj Gas'!L:L,0)))</f>
        <v>0</v>
      </c>
      <c r="M119" s="27" t="b">
        <f t="shared" ca="1" si="28"/>
        <v>0</v>
      </c>
      <c r="N119" s="27" t="b">
        <f t="shared" ca="1" si="29"/>
        <v>0</v>
      </c>
      <c r="O119" s="35" t="s">
        <v>1469</v>
      </c>
      <c r="P119" s="36"/>
      <c r="Q119" s="36"/>
      <c r="R119" s="36"/>
    </row>
    <row r="120" spans="2:18" hidden="1" x14ac:dyDescent="0.25">
      <c r="B120" s="29" t="s">
        <v>2044</v>
      </c>
      <c r="C120" s="3" t="s">
        <v>2242</v>
      </c>
      <c r="D120" s="3" t="str">
        <f t="shared" si="30"/>
        <v>5.1.1</v>
      </c>
      <c r="E120" s="3" t="s">
        <v>2243</v>
      </c>
      <c r="F120" s="3" t="s">
        <v>2244</v>
      </c>
      <c r="G120" s="3" t="s">
        <v>1848</v>
      </c>
      <c r="H120" s="3" t="s">
        <v>2245</v>
      </c>
      <c r="I120" s="3" t="s">
        <v>2246</v>
      </c>
      <c r="J120" s="27" t="b">
        <f t="shared" si="27"/>
        <v>1</v>
      </c>
      <c r="K120" s="27" t="b">
        <f t="shared" si="26"/>
        <v>1</v>
      </c>
      <c r="L120" s="33" t="b">
        <f ca="1">IF(D120="n/a","n/a",ISNUMBER(MATCH(D120,'Measure-Level Adj Gas'!L:L,0)))</f>
        <v>0</v>
      </c>
      <c r="M120" s="27" t="b">
        <f t="shared" ca="1" si="28"/>
        <v>0</v>
      </c>
      <c r="N120" s="27" t="b">
        <f t="shared" ca="1" si="29"/>
        <v>0</v>
      </c>
      <c r="O120" s="35" t="s">
        <v>1469</v>
      </c>
      <c r="P120" s="36"/>
      <c r="Q120" s="36"/>
      <c r="R120" s="36"/>
    </row>
    <row r="121" spans="2:18" hidden="1" x14ac:dyDescent="0.25">
      <c r="B121" s="29" t="s">
        <v>2044</v>
      </c>
      <c r="C121" s="3" t="s">
        <v>2242</v>
      </c>
      <c r="D121" s="3" t="str">
        <f t="shared" si="30"/>
        <v>5.1.2</v>
      </c>
      <c r="E121" s="3" t="s">
        <v>2247</v>
      </c>
      <c r="F121" s="3" t="s">
        <v>2248</v>
      </c>
      <c r="G121" s="3" t="s">
        <v>1848</v>
      </c>
      <c r="H121" s="3" t="s">
        <v>2245</v>
      </c>
      <c r="I121" s="3" t="s">
        <v>2246</v>
      </c>
      <c r="J121" s="27" t="b">
        <f t="shared" si="27"/>
        <v>1</v>
      </c>
      <c r="K121" s="27" t="b">
        <f t="shared" si="26"/>
        <v>1</v>
      </c>
      <c r="L121" s="33" t="b">
        <f ca="1">IF(D121="n/a","n/a",ISNUMBER(MATCH(D121,'Measure-Level Adj Gas'!L:L,0)))</f>
        <v>0</v>
      </c>
      <c r="M121" s="27" t="b">
        <f t="shared" ca="1" si="28"/>
        <v>0</v>
      </c>
      <c r="N121" s="27" t="b">
        <f t="shared" ca="1" si="29"/>
        <v>0</v>
      </c>
      <c r="O121" s="35" t="s">
        <v>1469</v>
      </c>
      <c r="P121" s="36"/>
      <c r="Q121" s="36"/>
      <c r="R121" s="36"/>
    </row>
    <row r="122" spans="2:18" hidden="1" x14ac:dyDescent="0.25">
      <c r="B122" s="29" t="s">
        <v>2044</v>
      </c>
      <c r="C122" s="3" t="s">
        <v>2242</v>
      </c>
      <c r="D122" s="3" t="str">
        <f t="shared" si="30"/>
        <v>5.1.3</v>
      </c>
      <c r="E122" s="3" t="s">
        <v>2249</v>
      </c>
      <c r="F122" s="3" t="s">
        <v>2250</v>
      </c>
      <c r="G122" s="3" t="s">
        <v>1848</v>
      </c>
      <c r="H122" s="3" t="s">
        <v>2245</v>
      </c>
      <c r="I122" s="3" t="s">
        <v>2246</v>
      </c>
      <c r="J122" s="27" t="b">
        <f t="shared" si="27"/>
        <v>1</v>
      </c>
      <c r="K122" s="27" t="b">
        <f t="shared" si="26"/>
        <v>1</v>
      </c>
      <c r="L122" s="33" t="b">
        <f ca="1">IF(D122="n/a","n/a",ISNUMBER(MATCH(D122,'Measure-Level Adj Gas'!L:L,0)))</f>
        <v>0</v>
      </c>
      <c r="M122" s="27" t="b">
        <f t="shared" ca="1" si="28"/>
        <v>0</v>
      </c>
      <c r="N122" s="27" t="b">
        <f t="shared" ca="1" si="29"/>
        <v>0</v>
      </c>
      <c r="O122" s="35" t="s">
        <v>1469</v>
      </c>
      <c r="P122" s="36"/>
      <c r="Q122" s="36"/>
      <c r="R122" s="36"/>
    </row>
    <row r="123" spans="2:18" hidden="1" x14ac:dyDescent="0.25">
      <c r="B123" s="29" t="s">
        <v>2044</v>
      </c>
      <c r="C123" s="3" t="s">
        <v>2242</v>
      </c>
      <c r="D123" s="3" t="str">
        <f t="shared" si="30"/>
        <v>5.1.4</v>
      </c>
      <c r="E123" s="3" t="s">
        <v>2251</v>
      </c>
      <c r="F123" s="3" t="s">
        <v>2252</v>
      </c>
      <c r="G123" s="3" t="s">
        <v>1848</v>
      </c>
      <c r="H123" s="3" t="s">
        <v>2253</v>
      </c>
      <c r="I123" s="3" t="s">
        <v>1851</v>
      </c>
      <c r="J123" s="27" t="b">
        <f t="shared" si="27"/>
        <v>1</v>
      </c>
      <c r="K123" s="27" t="b">
        <f t="shared" si="26"/>
        <v>1</v>
      </c>
      <c r="L123" s="33" t="b">
        <f ca="1">IF(D123="n/a","n/a",ISNUMBER(MATCH(D123,'Measure-Level Adj Gas'!L:L,0)))</f>
        <v>0</v>
      </c>
      <c r="M123" s="27" t="b">
        <f t="shared" ca="1" si="28"/>
        <v>0</v>
      </c>
      <c r="N123" s="27" t="b">
        <f t="shared" ca="1" si="29"/>
        <v>0</v>
      </c>
      <c r="O123" s="35" t="s">
        <v>1469</v>
      </c>
      <c r="P123" s="36"/>
      <c r="Q123" s="36"/>
      <c r="R123" s="36"/>
    </row>
    <row r="124" spans="2:18" hidden="1" x14ac:dyDescent="0.25">
      <c r="B124" s="29" t="s">
        <v>2044</v>
      </c>
      <c r="C124" s="3" t="s">
        <v>2242</v>
      </c>
      <c r="D124" s="3" t="str">
        <f t="shared" si="30"/>
        <v>5.1.5</v>
      </c>
      <c r="E124" s="3" t="s">
        <v>1974</v>
      </c>
      <c r="F124" s="3" t="s">
        <v>2254</v>
      </c>
      <c r="G124" s="3" t="s">
        <v>1848</v>
      </c>
      <c r="H124" s="3" t="s">
        <v>2245</v>
      </c>
      <c r="I124" s="3" t="s">
        <v>2246</v>
      </c>
      <c r="J124" s="27" t="b">
        <f t="shared" si="27"/>
        <v>1</v>
      </c>
      <c r="K124" s="27" t="b">
        <f t="shared" si="26"/>
        <v>1</v>
      </c>
      <c r="L124" s="33" t="b">
        <f ca="1">IF(D124="n/a","n/a",ISNUMBER(MATCH(D124,'Measure-Level Adj Gas'!L:L,0)))</f>
        <v>0</v>
      </c>
      <c r="M124" s="27" t="b">
        <f t="shared" ca="1" si="28"/>
        <v>0</v>
      </c>
      <c r="N124" s="27" t="b">
        <f t="shared" ca="1" si="29"/>
        <v>0</v>
      </c>
      <c r="O124" s="35" t="s">
        <v>1469</v>
      </c>
      <c r="P124" s="36"/>
      <c r="Q124" s="36"/>
      <c r="R124" s="36"/>
    </row>
    <row r="125" spans="2:18" hidden="1" x14ac:dyDescent="0.25">
      <c r="B125" s="29" t="s">
        <v>2044</v>
      </c>
      <c r="C125" s="3" t="s">
        <v>2242</v>
      </c>
      <c r="D125" s="3" t="str">
        <f t="shared" si="30"/>
        <v>5.1.6</v>
      </c>
      <c r="E125" s="3" t="s">
        <v>2255</v>
      </c>
      <c r="F125" s="3" t="s">
        <v>2256</v>
      </c>
      <c r="G125" s="3" t="s">
        <v>1848</v>
      </c>
      <c r="H125" s="3" t="s">
        <v>2245</v>
      </c>
      <c r="I125" s="3" t="s">
        <v>2246</v>
      </c>
      <c r="J125" s="27" t="b">
        <f t="shared" si="27"/>
        <v>1</v>
      </c>
      <c r="K125" s="27" t="b">
        <f t="shared" si="26"/>
        <v>1</v>
      </c>
      <c r="L125" s="33" t="b">
        <f ca="1">IF(D125="n/a","n/a",ISNUMBER(MATCH(D125,'Measure-Level Adj Gas'!L:L,0)))</f>
        <v>0</v>
      </c>
      <c r="M125" s="27" t="b">
        <f t="shared" ca="1" si="28"/>
        <v>0</v>
      </c>
      <c r="N125" s="27" t="b">
        <f t="shared" ca="1" si="29"/>
        <v>0</v>
      </c>
      <c r="O125" s="35" t="s">
        <v>1469</v>
      </c>
      <c r="P125" s="36"/>
      <c r="Q125" s="38"/>
      <c r="R125" s="36"/>
    </row>
    <row r="126" spans="2:18" hidden="1" x14ac:dyDescent="0.25">
      <c r="B126" s="29" t="s">
        <v>2044</v>
      </c>
      <c r="C126" s="3" t="s">
        <v>2242</v>
      </c>
      <c r="D126" s="3" t="str">
        <f t="shared" si="30"/>
        <v>5.1.7</v>
      </c>
      <c r="E126" s="3" t="s">
        <v>2257</v>
      </c>
      <c r="F126" s="3" t="s">
        <v>2258</v>
      </c>
      <c r="G126" s="3" t="s">
        <v>1848</v>
      </c>
      <c r="H126" s="3" t="s">
        <v>2046</v>
      </c>
      <c r="I126" s="3" t="s">
        <v>1851</v>
      </c>
      <c r="J126" s="27" t="b">
        <f t="shared" si="27"/>
        <v>1</v>
      </c>
      <c r="K126" s="27" t="b">
        <f t="shared" si="26"/>
        <v>1</v>
      </c>
      <c r="L126" s="33" t="b">
        <f ca="1">IF(D126="n/a","n/a",ISNUMBER(MATCH(D126,'Measure-Level Adj Gas'!L:L,0)))</f>
        <v>0</v>
      </c>
      <c r="M126" s="27" t="b">
        <f t="shared" ca="1" si="28"/>
        <v>0</v>
      </c>
      <c r="N126" s="27" t="b">
        <f t="shared" ca="1" si="29"/>
        <v>0</v>
      </c>
      <c r="O126" s="35" t="s">
        <v>1469</v>
      </c>
      <c r="P126" s="36"/>
      <c r="Q126" s="38"/>
      <c r="R126" s="36"/>
    </row>
    <row r="127" spans="2:18" hidden="1" x14ac:dyDescent="0.25">
      <c r="B127" s="29" t="s">
        <v>2044</v>
      </c>
      <c r="C127" s="3" t="s">
        <v>2242</v>
      </c>
      <c r="D127" s="3" t="str">
        <f t="shared" si="30"/>
        <v>5.1.8</v>
      </c>
      <c r="E127" s="3" t="s">
        <v>2259</v>
      </c>
      <c r="F127" s="3" t="s">
        <v>2260</v>
      </c>
      <c r="G127" s="3" t="s">
        <v>1848</v>
      </c>
      <c r="H127" s="3" t="s">
        <v>2261</v>
      </c>
      <c r="I127" s="3" t="s">
        <v>1853</v>
      </c>
      <c r="J127" s="27" t="b">
        <f t="shared" si="27"/>
        <v>1</v>
      </c>
      <c r="K127" s="27" t="b">
        <f t="shared" si="26"/>
        <v>1</v>
      </c>
      <c r="L127" s="33" t="b">
        <f ca="1">IF(D127="n/a","n/a",ISNUMBER(MATCH(D127,'Measure-Level Adj Gas'!L:L,0)))</f>
        <v>0</v>
      </c>
      <c r="M127" s="27" t="b">
        <f t="shared" ca="1" si="28"/>
        <v>0</v>
      </c>
      <c r="N127" s="27" t="b">
        <f t="shared" ca="1" si="29"/>
        <v>0</v>
      </c>
      <c r="O127" s="35" t="s">
        <v>1469</v>
      </c>
      <c r="P127" s="36"/>
      <c r="Q127" s="36"/>
      <c r="R127" s="36"/>
    </row>
    <row r="128" spans="2:18" hidden="1" x14ac:dyDescent="0.25">
      <c r="B128" s="29" t="s">
        <v>2044</v>
      </c>
      <c r="C128" s="3" t="s">
        <v>2242</v>
      </c>
      <c r="D128" s="3" t="str">
        <f t="shared" si="30"/>
        <v>5.1.9</v>
      </c>
      <c r="E128" s="3" t="s">
        <v>1975</v>
      </c>
      <c r="F128" s="3" t="s">
        <v>2262</v>
      </c>
      <c r="G128" s="3" t="s">
        <v>1848</v>
      </c>
      <c r="H128" s="3" t="s">
        <v>2046</v>
      </c>
      <c r="I128" s="3" t="s">
        <v>1851</v>
      </c>
      <c r="J128" s="27" t="b">
        <f t="shared" si="27"/>
        <v>1</v>
      </c>
      <c r="K128" s="27" t="b">
        <f t="shared" si="26"/>
        <v>1</v>
      </c>
      <c r="L128" s="33" t="b">
        <f ca="1">IF(D128="n/a","n/a",ISNUMBER(MATCH(D128,'Measure-Level Adj Gas'!L:L,0)))</f>
        <v>0</v>
      </c>
      <c r="M128" s="27" t="b">
        <f t="shared" ca="1" si="28"/>
        <v>0</v>
      </c>
      <c r="N128" s="27" t="b">
        <f t="shared" ca="1" si="29"/>
        <v>0</v>
      </c>
      <c r="O128" s="35" t="s">
        <v>1469</v>
      </c>
      <c r="P128" s="36"/>
      <c r="Q128" s="38"/>
      <c r="R128" s="36"/>
    </row>
    <row r="129" spans="2:18" hidden="1" x14ac:dyDescent="0.25">
      <c r="B129" s="29" t="s">
        <v>2044</v>
      </c>
      <c r="C129" s="3" t="s">
        <v>2242</v>
      </c>
      <c r="D129" s="3" t="str">
        <f t="shared" si="30"/>
        <v>5.1.10</v>
      </c>
      <c r="E129" s="3" t="s">
        <v>1976</v>
      </c>
      <c r="F129" s="3" t="s">
        <v>2263</v>
      </c>
      <c r="G129" s="3" t="s">
        <v>1848</v>
      </c>
      <c r="H129" s="3" t="s">
        <v>2264</v>
      </c>
      <c r="I129" s="3" t="s">
        <v>2246</v>
      </c>
      <c r="J129" s="27" t="b">
        <f t="shared" si="27"/>
        <v>1</v>
      </c>
      <c r="K129" s="27" t="b">
        <f t="shared" si="26"/>
        <v>1</v>
      </c>
      <c r="L129" s="33" t="b">
        <f ca="1">IF(D129="n/a","n/a",ISNUMBER(MATCH(D129,'Measure-Level Adj Gas'!L:L,0)))</f>
        <v>0</v>
      </c>
      <c r="M129" s="27" t="b">
        <f t="shared" ca="1" si="28"/>
        <v>0</v>
      </c>
      <c r="N129" s="27" t="b">
        <f t="shared" ca="1" si="29"/>
        <v>0</v>
      </c>
      <c r="O129" s="35" t="s">
        <v>1469</v>
      </c>
      <c r="P129" s="36"/>
      <c r="Q129" s="38"/>
      <c r="R129" s="36"/>
    </row>
    <row r="130" spans="2:18" hidden="1" x14ac:dyDescent="0.25">
      <c r="B130" s="29" t="s">
        <v>2044</v>
      </c>
      <c r="C130" s="3" t="s">
        <v>2242</v>
      </c>
      <c r="D130" s="3" t="str">
        <f t="shared" si="30"/>
        <v>5.1.11</v>
      </c>
      <c r="E130" s="3" t="s">
        <v>2265</v>
      </c>
      <c r="F130" s="3" t="s">
        <v>2266</v>
      </c>
      <c r="G130" s="3" t="s">
        <v>1848</v>
      </c>
      <c r="H130" s="3" t="s">
        <v>2267</v>
      </c>
      <c r="I130" s="3" t="s">
        <v>1853</v>
      </c>
      <c r="J130" s="27" t="b">
        <f t="shared" si="27"/>
        <v>1</v>
      </c>
      <c r="K130" s="27" t="b">
        <f t="shared" si="26"/>
        <v>1</v>
      </c>
      <c r="L130" s="33" t="b">
        <f ca="1">IF(D130="n/a","n/a",ISNUMBER(MATCH(D130,'Measure-Level Adj Gas'!L:L,0)))</f>
        <v>0</v>
      </c>
      <c r="M130" s="27" t="b">
        <f t="shared" ca="1" si="28"/>
        <v>0</v>
      </c>
      <c r="N130" s="27" t="b">
        <f t="shared" ca="1" si="29"/>
        <v>0</v>
      </c>
      <c r="O130" s="35" t="s">
        <v>1469</v>
      </c>
      <c r="P130" s="36"/>
      <c r="Q130" s="36"/>
      <c r="R130" s="36"/>
    </row>
    <row r="131" spans="2:18" hidden="1" x14ac:dyDescent="0.25">
      <c r="B131" s="29" t="s">
        <v>2044</v>
      </c>
      <c r="C131" s="3" t="s">
        <v>2242</v>
      </c>
      <c r="D131" s="3" t="str">
        <f t="shared" si="30"/>
        <v>5.1.13</v>
      </c>
      <c r="E131" s="3" t="s">
        <v>2268</v>
      </c>
      <c r="F131" s="3" t="s">
        <v>2269</v>
      </c>
      <c r="G131" s="3" t="s">
        <v>1848</v>
      </c>
      <c r="H131" s="3" t="s">
        <v>2046</v>
      </c>
      <c r="I131" s="3" t="s">
        <v>1851</v>
      </c>
      <c r="J131" s="27" t="b">
        <f t="shared" si="27"/>
        <v>1</v>
      </c>
      <c r="K131" s="27" t="b">
        <f t="shared" si="26"/>
        <v>1</v>
      </c>
      <c r="L131" s="33" t="b">
        <f ca="1">IF(D131="n/a","n/a",ISNUMBER(MATCH(D131,'Measure-Level Adj Gas'!L:L,0)))</f>
        <v>0</v>
      </c>
      <c r="M131" s="27" t="b">
        <f t="shared" ca="1" si="28"/>
        <v>0</v>
      </c>
      <c r="N131" s="27" t="b">
        <f t="shared" ca="1" si="29"/>
        <v>0</v>
      </c>
      <c r="O131" s="35" t="s">
        <v>1469</v>
      </c>
      <c r="P131" s="36"/>
      <c r="Q131" s="36"/>
      <c r="R131" s="36"/>
    </row>
    <row r="132" spans="2:18" hidden="1" x14ac:dyDescent="0.25">
      <c r="B132" s="29" t="s">
        <v>2044</v>
      </c>
      <c r="C132" s="3" t="s">
        <v>2242</v>
      </c>
      <c r="D132" s="3" t="str">
        <f t="shared" si="30"/>
        <v>5.1.14</v>
      </c>
      <c r="E132" s="3" t="s">
        <v>1977</v>
      </c>
      <c r="F132" s="3" t="s">
        <v>2270</v>
      </c>
      <c r="G132" s="3" t="s">
        <v>1848</v>
      </c>
      <c r="H132" s="3" t="s">
        <v>2271</v>
      </c>
      <c r="I132" s="3" t="s">
        <v>1853</v>
      </c>
      <c r="J132" s="27" t="b">
        <f t="shared" si="27"/>
        <v>1</v>
      </c>
      <c r="K132" s="27" t="b">
        <f t="shared" si="26"/>
        <v>1</v>
      </c>
      <c r="L132" s="33" t="b">
        <f ca="1">IF(D132="n/a","n/a",ISNUMBER(MATCH(D132,'Measure-Level Adj Gas'!L:L,0)))</f>
        <v>0</v>
      </c>
      <c r="M132" s="27" t="b">
        <f t="shared" ca="1" si="28"/>
        <v>0</v>
      </c>
      <c r="N132" s="27" t="b">
        <f t="shared" ca="1" si="29"/>
        <v>0</v>
      </c>
      <c r="O132" s="35" t="s">
        <v>1469</v>
      </c>
      <c r="P132" s="36"/>
      <c r="Q132" s="36"/>
      <c r="R132" s="36"/>
    </row>
    <row r="133" spans="2:18" hidden="1" x14ac:dyDescent="0.25">
      <c r="B133" s="29" t="s">
        <v>2044</v>
      </c>
      <c r="C133" s="3" t="s">
        <v>2242</v>
      </c>
      <c r="D133" s="3" t="str">
        <f t="shared" si="30"/>
        <v>5.1.16</v>
      </c>
      <c r="E133" s="3" t="s">
        <v>2272</v>
      </c>
      <c r="F133" s="3" t="s">
        <v>2273</v>
      </c>
      <c r="G133" s="3" t="s">
        <v>1849</v>
      </c>
      <c r="H133" s="3" t="s">
        <v>1850</v>
      </c>
      <c r="I133" s="3" t="s">
        <v>1847</v>
      </c>
      <c r="J133" s="27" t="b">
        <f t="shared" si="27"/>
        <v>0</v>
      </c>
      <c r="K133" s="27" t="b">
        <f t="shared" si="26"/>
        <v>0</v>
      </c>
      <c r="L133" s="33" t="b">
        <f ca="1">IF(D133="n/a","n/a",ISNUMBER(MATCH(D133,'Measure-Level Adj Gas'!L:L,0)))</f>
        <v>0</v>
      </c>
      <c r="M133" s="27" t="b">
        <f t="shared" ca="1" si="28"/>
        <v>0</v>
      </c>
      <c r="N133" s="27" t="b">
        <f t="shared" ca="1" si="29"/>
        <v>0</v>
      </c>
      <c r="O133" s="35" t="s">
        <v>1469</v>
      </c>
      <c r="P133" s="36"/>
      <c r="Q133" s="36"/>
      <c r="R133" s="36"/>
    </row>
    <row r="134" spans="2:18" hidden="1" x14ac:dyDescent="0.25">
      <c r="B134" s="29" t="s">
        <v>2044</v>
      </c>
      <c r="C134" s="3" t="s">
        <v>2274</v>
      </c>
      <c r="D134" s="3" t="str">
        <f t="shared" si="30"/>
        <v>5.2.1</v>
      </c>
      <c r="E134" s="3" t="s">
        <v>2275</v>
      </c>
      <c r="F134" s="3" t="s">
        <v>2276</v>
      </c>
      <c r="G134" s="3" t="s">
        <v>1848</v>
      </c>
      <c r="H134" s="3" t="s">
        <v>2277</v>
      </c>
      <c r="I134" s="3" t="s">
        <v>1847</v>
      </c>
      <c r="J134" s="27" t="b">
        <f t="shared" si="27"/>
        <v>0</v>
      </c>
      <c r="K134" s="27" t="b">
        <f t="shared" si="26"/>
        <v>0</v>
      </c>
      <c r="L134" s="33" t="b">
        <f ca="1">IF(D134="n/a","n/a",ISNUMBER(MATCH(D134,'Measure-Level Adj Gas'!L:L,0)))</f>
        <v>0</v>
      </c>
      <c r="M134" s="27" t="b">
        <f t="shared" ca="1" si="28"/>
        <v>0</v>
      </c>
      <c r="N134" s="27" t="b">
        <f t="shared" ca="1" si="29"/>
        <v>0</v>
      </c>
      <c r="O134" s="35" t="s">
        <v>1469</v>
      </c>
      <c r="P134" s="36"/>
      <c r="Q134" s="36"/>
      <c r="R134" s="36"/>
    </row>
    <row r="135" spans="2:18" hidden="1" x14ac:dyDescent="0.25">
      <c r="B135" s="29" t="s">
        <v>2044</v>
      </c>
      <c r="C135" s="3" t="s">
        <v>2274</v>
      </c>
      <c r="D135" s="3" t="str">
        <f t="shared" si="30"/>
        <v>5.2.2</v>
      </c>
      <c r="E135" s="3" t="s">
        <v>2278</v>
      </c>
      <c r="F135" s="3" t="s">
        <v>2279</v>
      </c>
      <c r="G135" s="3" t="s">
        <v>1848</v>
      </c>
      <c r="H135" s="3" t="s">
        <v>2280</v>
      </c>
      <c r="I135" s="3" t="s">
        <v>1847</v>
      </c>
      <c r="J135" s="27" t="b">
        <f t="shared" si="27"/>
        <v>0</v>
      </c>
      <c r="K135" s="27" t="b">
        <f t="shared" si="26"/>
        <v>0</v>
      </c>
      <c r="L135" s="33" t="b">
        <f ca="1">IF(D135="n/a","n/a",ISNUMBER(MATCH(D135,'Measure-Level Adj Gas'!L:L,0)))</f>
        <v>0</v>
      </c>
      <c r="M135" s="27" t="b">
        <f t="shared" ca="1" si="28"/>
        <v>0</v>
      </c>
      <c r="N135" s="27" t="b">
        <f t="shared" ca="1" si="29"/>
        <v>0</v>
      </c>
      <c r="O135" s="35" t="s">
        <v>1469</v>
      </c>
      <c r="P135" s="36"/>
      <c r="Q135" s="38"/>
      <c r="R135" s="36"/>
    </row>
    <row r="136" spans="2:18" hidden="1" x14ac:dyDescent="0.25">
      <c r="B136" s="29" t="s">
        <v>2044</v>
      </c>
      <c r="C136" s="3" t="s">
        <v>2274</v>
      </c>
      <c r="D136" s="3" t="str">
        <f t="shared" si="30"/>
        <v>5.2.4</v>
      </c>
      <c r="E136" s="3" t="s">
        <v>2281</v>
      </c>
      <c r="F136" s="3" t="s">
        <v>2282</v>
      </c>
      <c r="G136" s="3" t="s">
        <v>1849</v>
      </c>
      <c r="H136" s="3" t="s">
        <v>1850</v>
      </c>
      <c r="I136" s="3" t="s">
        <v>1847</v>
      </c>
      <c r="J136" s="27" t="b">
        <f t="shared" si="27"/>
        <v>0</v>
      </c>
      <c r="K136" s="27" t="b">
        <f t="shared" si="26"/>
        <v>0</v>
      </c>
      <c r="L136" s="33" t="b">
        <f ca="1">IF(D136="n/a","n/a",ISNUMBER(MATCH(D136,'Measure-Level Adj Gas'!L:L,0)))</f>
        <v>0</v>
      </c>
      <c r="M136" s="27" t="b">
        <f t="shared" ca="1" si="28"/>
        <v>0</v>
      </c>
      <c r="N136" s="27" t="b">
        <f t="shared" ca="1" si="29"/>
        <v>0</v>
      </c>
      <c r="O136" s="35" t="s">
        <v>1469</v>
      </c>
      <c r="P136" s="36"/>
      <c r="Q136" s="38"/>
      <c r="R136" s="36"/>
    </row>
    <row r="137" spans="2:18" hidden="1" x14ac:dyDescent="0.25">
      <c r="B137" s="29" t="s">
        <v>2044</v>
      </c>
      <c r="C137" s="3" t="s">
        <v>2037</v>
      </c>
      <c r="D137" s="3" t="str">
        <f t="shared" si="30"/>
        <v>5.3.1</v>
      </c>
      <c r="E137" s="3" t="s">
        <v>1978</v>
      </c>
      <c r="F137" s="3" t="s">
        <v>2283</v>
      </c>
      <c r="G137" s="3" t="s">
        <v>1855</v>
      </c>
      <c r="H137" s="3" t="s">
        <v>2284</v>
      </c>
      <c r="I137" s="3" t="s">
        <v>1847</v>
      </c>
      <c r="J137" s="27" t="b">
        <f t="shared" si="27"/>
        <v>0</v>
      </c>
      <c r="K137" s="27" t="b">
        <f t="shared" si="26"/>
        <v>1</v>
      </c>
      <c r="L137" s="33" t="b">
        <f ca="1">IF(D137="n/a","n/a",ISNUMBER(MATCH(D137,'Measure-Level Adj Gas'!L:L,0)))</f>
        <v>0</v>
      </c>
      <c r="M137" s="27" t="b">
        <f t="shared" ca="1" si="28"/>
        <v>0</v>
      </c>
      <c r="N137" s="27" t="b">
        <f t="shared" ca="1" si="29"/>
        <v>0</v>
      </c>
      <c r="O137" s="35" t="s">
        <v>1469</v>
      </c>
      <c r="P137" s="36"/>
      <c r="Q137" s="36"/>
      <c r="R137" s="36"/>
    </row>
    <row r="138" spans="2:18" hidden="1" x14ac:dyDescent="0.25">
      <c r="B138" s="29" t="s">
        <v>2044</v>
      </c>
      <c r="C138" s="3" t="s">
        <v>2037</v>
      </c>
      <c r="D138" s="3" t="str">
        <f t="shared" si="30"/>
        <v>5.3.1</v>
      </c>
      <c r="E138" s="3" t="s">
        <v>1978</v>
      </c>
      <c r="F138" s="3" t="s">
        <v>2285</v>
      </c>
      <c r="G138" s="3" t="s">
        <v>1848</v>
      </c>
      <c r="H138" s="3" t="s">
        <v>2286</v>
      </c>
      <c r="I138" s="3" t="s">
        <v>1853</v>
      </c>
      <c r="J138" s="27" t="b">
        <f t="shared" si="27"/>
        <v>1</v>
      </c>
      <c r="K138" s="27" t="b">
        <f t="shared" si="26"/>
        <v>1</v>
      </c>
      <c r="L138" s="33" t="b">
        <f ca="1">IF(D138="n/a","n/a",ISNUMBER(MATCH(D138,'Measure-Level Adj Gas'!L:L,0)))</f>
        <v>0</v>
      </c>
      <c r="M138" s="27" t="b">
        <f t="shared" ca="1" si="28"/>
        <v>0</v>
      </c>
      <c r="N138" s="27" t="b">
        <f t="shared" ca="1" si="29"/>
        <v>0</v>
      </c>
      <c r="O138" s="35" t="s">
        <v>1469</v>
      </c>
      <c r="P138" s="36"/>
      <c r="Q138" s="36"/>
      <c r="R138" s="36"/>
    </row>
    <row r="139" spans="2:18" x14ac:dyDescent="0.25">
      <c r="B139" s="29" t="s">
        <v>2044</v>
      </c>
      <c r="C139" s="3" t="s">
        <v>2037</v>
      </c>
      <c r="D139" s="3" t="str">
        <f t="shared" si="30"/>
        <v>5.3.2</v>
      </c>
      <c r="E139" s="3" t="s">
        <v>1872</v>
      </c>
      <c r="F139" s="3" t="s">
        <v>2045</v>
      </c>
      <c r="G139" s="3" t="s">
        <v>1848</v>
      </c>
      <c r="H139" s="3" t="s">
        <v>2046</v>
      </c>
      <c r="I139" s="3" t="s">
        <v>1856</v>
      </c>
      <c r="J139" s="27" t="b">
        <f t="shared" si="27"/>
        <v>1</v>
      </c>
      <c r="K139" s="27" t="b">
        <f t="shared" si="26"/>
        <v>1</v>
      </c>
      <c r="L139" s="33" t="b">
        <f ca="1">IF(D139="n/a","n/a",ISNUMBER(MATCH(D139,'Measure-Level Adj Gas'!L:L,0)))</f>
        <v>1</v>
      </c>
      <c r="M139" s="27" t="b">
        <f t="shared" ca="1" si="28"/>
        <v>0</v>
      </c>
      <c r="N139" s="27" t="b">
        <f t="shared" ca="1" si="29"/>
        <v>1</v>
      </c>
      <c r="O139" s="36" t="b">
        <v>1</v>
      </c>
      <c r="P139" s="36" t="s">
        <v>2287</v>
      </c>
      <c r="Q139" s="39" t="s">
        <v>2599</v>
      </c>
      <c r="R139" s="9" t="s">
        <v>2568</v>
      </c>
    </row>
    <row r="140" spans="2:18" hidden="1" x14ac:dyDescent="0.25">
      <c r="B140" s="29" t="s">
        <v>2044</v>
      </c>
      <c r="C140" s="3" t="s">
        <v>2037</v>
      </c>
      <c r="D140" s="3" t="str">
        <f t="shared" si="30"/>
        <v>5.3.3</v>
      </c>
      <c r="E140" s="3" t="s">
        <v>1979</v>
      </c>
      <c r="F140" s="3" t="s">
        <v>2288</v>
      </c>
      <c r="G140" s="3" t="s">
        <v>1855</v>
      </c>
      <c r="H140" s="3" t="s">
        <v>2284</v>
      </c>
      <c r="I140" s="3" t="s">
        <v>1847</v>
      </c>
      <c r="J140" s="27" t="b">
        <f t="shared" si="27"/>
        <v>0</v>
      </c>
      <c r="K140" s="27" t="b">
        <f t="shared" si="26"/>
        <v>1</v>
      </c>
      <c r="L140" s="33" t="b">
        <f ca="1">IF(D140="n/a","n/a",ISNUMBER(MATCH(D140,'Measure-Level Adj Gas'!L:L,0)))</f>
        <v>0</v>
      </c>
      <c r="M140" s="27" t="b">
        <f t="shared" ca="1" si="28"/>
        <v>0</v>
      </c>
      <c r="N140" s="27" t="b">
        <f t="shared" ca="1" si="29"/>
        <v>0</v>
      </c>
      <c r="O140" s="35" t="s">
        <v>1469</v>
      </c>
      <c r="P140" s="36"/>
      <c r="Q140" s="36"/>
      <c r="R140" s="36"/>
    </row>
    <row r="141" spans="2:18" hidden="1" x14ac:dyDescent="0.25">
      <c r="B141" s="29" t="s">
        <v>2044</v>
      </c>
      <c r="C141" s="3" t="s">
        <v>2037</v>
      </c>
      <c r="D141" s="3" t="str">
        <f t="shared" si="30"/>
        <v>5.3.3</v>
      </c>
      <c r="E141" s="3" t="s">
        <v>1979</v>
      </c>
      <c r="F141" s="3" t="s">
        <v>2289</v>
      </c>
      <c r="G141" s="3" t="s">
        <v>1848</v>
      </c>
      <c r="H141" s="3" t="s">
        <v>2290</v>
      </c>
      <c r="I141" s="3" t="s">
        <v>1853</v>
      </c>
      <c r="J141" s="27" t="b">
        <f t="shared" si="27"/>
        <v>1</v>
      </c>
      <c r="K141" s="27" t="b">
        <f t="shared" si="26"/>
        <v>1</v>
      </c>
      <c r="L141" s="33" t="b">
        <f ca="1">IF(D141="n/a","n/a",ISNUMBER(MATCH(D141,'Measure-Level Adj Gas'!L:L,0)))</f>
        <v>0</v>
      </c>
      <c r="M141" s="27" t="b">
        <f t="shared" ca="1" si="28"/>
        <v>0</v>
      </c>
      <c r="N141" s="27" t="b">
        <f t="shared" ca="1" si="29"/>
        <v>0</v>
      </c>
      <c r="O141" s="35" t="s">
        <v>1469</v>
      </c>
      <c r="P141" s="36"/>
      <c r="Q141" s="36"/>
      <c r="R141" s="36"/>
    </row>
    <row r="142" spans="2:18" x14ac:dyDescent="0.25">
      <c r="B142" s="29" t="s">
        <v>2044</v>
      </c>
      <c r="C142" s="3" t="s">
        <v>2037</v>
      </c>
      <c r="D142" s="3" t="str">
        <f t="shared" si="30"/>
        <v>5.3.4</v>
      </c>
      <c r="E142" s="3" t="s">
        <v>1873</v>
      </c>
      <c r="F142" s="3" t="s">
        <v>2047</v>
      </c>
      <c r="G142" s="3" t="s">
        <v>1848</v>
      </c>
      <c r="H142" s="3" t="s">
        <v>2048</v>
      </c>
      <c r="I142" s="3" t="s">
        <v>1853</v>
      </c>
      <c r="J142" s="27" t="b">
        <f t="shared" si="27"/>
        <v>1</v>
      </c>
      <c r="K142" s="27" t="b">
        <f t="shared" si="26"/>
        <v>1</v>
      </c>
      <c r="L142" s="33" t="b">
        <f ca="1">IF(D142="n/a","n/a",ISNUMBER(MATCH(D142,'Measure-Level Adj Gas'!L:L,0)))</f>
        <v>1</v>
      </c>
      <c r="M142" s="27" t="b">
        <f t="shared" ca="1" si="28"/>
        <v>0</v>
      </c>
      <c r="N142" s="27" t="b">
        <f t="shared" ca="1" si="29"/>
        <v>1</v>
      </c>
      <c r="O142" s="36" t="b">
        <v>1</v>
      </c>
      <c r="P142" s="36" t="s">
        <v>2600</v>
      </c>
      <c r="Q142" s="38" t="s">
        <v>2572</v>
      </c>
      <c r="R142" s="9" t="s">
        <v>2568</v>
      </c>
    </row>
    <row r="143" spans="2:18" hidden="1" x14ac:dyDescent="0.25">
      <c r="B143" s="29" t="s">
        <v>2044</v>
      </c>
      <c r="C143" s="3" t="s">
        <v>2037</v>
      </c>
      <c r="D143" s="3" t="str">
        <f t="shared" si="30"/>
        <v>5.3.5</v>
      </c>
      <c r="E143" s="3" t="s">
        <v>1874</v>
      </c>
      <c r="F143" s="3" t="s">
        <v>2291</v>
      </c>
      <c r="G143" s="3" t="s">
        <v>1848</v>
      </c>
      <c r="H143" s="3" t="s">
        <v>2292</v>
      </c>
      <c r="I143" s="3" t="s">
        <v>1847</v>
      </c>
      <c r="J143" s="27" t="b">
        <f t="shared" si="27"/>
        <v>0</v>
      </c>
      <c r="K143" s="27" t="b">
        <f t="shared" si="26"/>
        <v>0</v>
      </c>
      <c r="L143" s="33" t="b">
        <f ca="1">IF(D143="n/a","n/a",ISNUMBER(MATCH(D143,'Measure-Level Adj Gas'!L:L,0)))</f>
        <v>0</v>
      </c>
      <c r="M143" s="27" t="b">
        <f t="shared" ca="1" si="28"/>
        <v>0</v>
      </c>
      <c r="N143" s="27" t="b">
        <f t="shared" ca="1" si="29"/>
        <v>0</v>
      </c>
      <c r="O143" s="35" t="s">
        <v>1469</v>
      </c>
      <c r="P143" s="36"/>
      <c r="Q143" s="36"/>
      <c r="R143" s="36"/>
    </row>
    <row r="144" spans="2:18" hidden="1" x14ac:dyDescent="0.25">
      <c r="B144" s="29" t="s">
        <v>2044</v>
      </c>
      <c r="C144" s="3" t="s">
        <v>2037</v>
      </c>
      <c r="D144" s="3" t="str">
        <f t="shared" si="30"/>
        <v>5.3.6</v>
      </c>
      <c r="E144" s="3" t="s">
        <v>1875</v>
      </c>
      <c r="F144" s="3" t="s">
        <v>2049</v>
      </c>
      <c r="G144" s="3" t="s">
        <v>1848</v>
      </c>
      <c r="H144" s="3" t="s">
        <v>2050</v>
      </c>
      <c r="I144" s="3" t="s">
        <v>1847</v>
      </c>
      <c r="J144" s="27" t="b">
        <f t="shared" si="27"/>
        <v>0</v>
      </c>
      <c r="K144" s="27" t="b">
        <f t="shared" si="26"/>
        <v>0</v>
      </c>
      <c r="L144" s="33" t="b">
        <f ca="1">IF(D144="n/a","n/a",ISNUMBER(MATCH(D144,'Measure-Level Adj Gas'!L:L,0)))</f>
        <v>1</v>
      </c>
      <c r="M144" s="27" t="b">
        <f t="shared" ca="1" si="28"/>
        <v>0</v>
      </c>
      <c r="N144" s="27" t="b">
        <f t="shared" ca="1" si="29"/>
        <v>0</v>
      </c>
      <c r="O144" s="36" t="b">
        <v>0</v>
      </c>
      <c r="P144" s="36" t="s">
        <v>2552</v>
      </c>
      <c r="Q144" s="40"/>
      <c r="R144" s="9"/>
    </row>
    <row r="145" spans="2:18" hidden="1" x14ac:dyDescent="0.25">
      <c r="B145" s="29" t="s">
        <v>2044</v>
      </c>
      <c r="C145" s="3" t="s">
        <v>2037</v>
      </c>
      <c r="D145" s="3" t="str">
        <f t="shared" si="30"/>
        <v>5.3.7</v>
      </c>
      <c r="E145" s="3" t="s">
        <v>2293</v>
      </c>
      <c r="F145" s="3" t="s">
        <v>2294</v>
      </c>
      <c r="G145" s="3" t="s">
        <v>1848</v>
      </c>
      <c r="H145" s="3" t="s">
        <v>2050</v>
      </c>
      <c r="I145" s="3" t="s">
        <v>1847</v>
      </c>
      <c r="J145" s="27" t="b">
        <f t="shared" si="27"/>
        <v>0</v>
      </c>
      <c r="K145" s="27" t="b">
        <f t="shared" si="26"/>
        <v>0</v>
      </c>
      <c r="L145" s="33" t="b">
        <f ca="1">IF(D145="n/a","n/a",ISNUMBER(MATCH(D145,'Measure-Level Adj Gas'!L:L,0)))</f>
        <v>1</v>
      </c>
      <c r="M145" s="27" t="b">
        <f t="shared" ca="1" si="28"/>
        <v>0</v>
      </c>
      <c r="N145" s="27" t="b">
        <f t="shared" ca="1" si="29"/>
        <v>0</v>
      </c>
      <c r="O145" s="36" t="b">
        <v>0</v>
      </c>
      <c r="P145" s="36" t="s">
        <v>2553</v>
      </c>
      <c r="Q145" s="36"/>
      <c r="R145" s="36"/>
    </row>
    <row r="146" spans="2:18" hidden="1" x14ac:dyDescent="0.25">
      <c r="B146" s="29" t="s">
        <v>2044</v>
      </c>
      <c r="C146" s="3" t="s">
        <v>2037</v>
      </c>
      <c r="D146" s="3" t="str">
        <f t="shared" si="30"/>
        <v>5.3.8</v>
      </c>
      <c r="E146" s="3" t="s">
        <v>1876</v>
      </c>
      <c r="F146" s="3" t="s">
        <v>2295</v>
      </c>
      <c r="G146" s="3" t="s">
        <v>1848</v>
      </c>
      <c r="H146" s="3" t="s">
        <v>2296</v>
      </c>
      <c r="I146" s="3" t="s">
        <v>1847</v>
      </c>
      <c r="J146" s="27" t="b">
        <f t="shared" si="27"/>
        <v>0</v>
      </c>
      <c r="K146" s="27" t="b">
        <f t="shared" si="26"/>
        <v>0</v>
      </c>
      <c r="L146" s="33" t="b">
        <f ca="1">IF(D146="n/a","n/a",ISNUMBER(MATCH(D146,'Measure-Level Adj Gas'!L:L,0)))</f>
        <v>0</v>
      </c>
      <c r="M146" s="27" t="b">
        <f t="shared" ca="1" si="28"/>
        <v>0</v>
      </c>
      <c r="N146" s="27" t="b">
        <f t="shared" ca="1" si="29"/>
        <v>0</v>
      </c>
      <c r="O146" s="35" t="s">
        <v>1469</v>
      </c>
      <c r="P146" s="36"/>
      <c r="Q146" s="36"/>
      <c r="R146" s="36"/>
    </row>
    <row r="147" spans="2:18" hidden="1" x14ac:dyDescent="0.25">
      <c r="B147" s="29" t="s">
        <v>2044</v>
      </c>
      <c r="C147" s="3" t="s">
        <v>2037</v>
      </c>
      <c r="D147" s="3" t="str">
        <f t="shared" si="30"/>
        <v>5.3.9</v>
      </c>
      <c r="E147" s="3" t="s">
        <v>2297</v>
      </c>
      <c r="F147" s="3" t="s">
        <v>2298</v>
      </c>
      <c r="G147" s="3" t="s">
        <v>1848</v>
      </c>
      <c r="H147" s="3" t="s">
        <v>2299</v>
      </c>
      <c r="I147" s="3" t="s">
        <v>1847</v>
      </c>
      <c r="J147" s="27" t="b">
        <f t="shared" si="27"/>
        <v>0</v>
      </c>
      <c r="K147" s="27" t="b">
        <f t="shared" si="26"/>
        <v>0</v>
      </c>
      <c r="L147" s="33" t="b">
        <f ca="1">IF(D147="n/a","n/a",ISNUMBER(MATCH(D147,'Measure-Level Adj Gas'!L:L,0)))</f>
        <v>0</v>
      </c>
      <c r="M147" s="27" t="b">
        <f t="shared" ca="1" si="28"/>
        <v>0</v>
      </c>
      <c r="N147" s="27" t="b">
        <f t="shared" ca="1" si="29"/>
        <v>0</v>
      </c>
      <c r="O147" s="35" t="s">
        <v>1469</v>
      </c>
      <c r="P147" s="36"/>
      <c r="Q147" s="36"/>
      <c r="R147" s="36"/>
    </row>
    <row r="148" spans="2:18" hidden="1" x14ac:dyDescent="0.25">
      <c r="B148" s="29" t="s">
        <v>2044</v>
      </c>
      <c r="C148" s="3" t="s">
        <v>2037</v>
      </c>
      <c r="D148" s="3" t="str">
        <f t="shared" si="30"/>
        <v>5.3.10</v>
      </c>
      <c r="E148" s="3" t="s">
        <v>2300</v>
      </c>
      <c r="F148" s="3" t="s">
        <v>2301</v>
      </c>
      <c r="G148" s="3" t="s">
        <v>1848</v>
      </c>
      <c r="H148" s="3" t="s">
        <v>2046</v>
      </c>
      <c r="I148" s="3" t="s">
        <v>1851</v>
      </c>
      <c r="J148" s="27" t="b">
        <f t="shared" si="27"/>
        <v>1</v>
      </c>
      <c r="K148" s="27" t="b">
        <f t="shared" si="26"/>
        <v>1</v>
      </c>
      <c r="L148" s="33" t="b">
        <f ca="1">IF(D148="n/a","n/a",ISNUMBER(MATCH(D148,'Measure-Level Adj Gas'!L:L,0)))</f>
        <v>0</v>
      </c>
      <c r="M148" s="27" t="b">
        <f t="shared" ca="1" si="28"/>
        <v>0</v>
      </c>
      <c r="N148" s="27" t="b">
        <f t="shared" ca="1" si="29"/>
        <v>0</v>
      </c>
      <c r="O148" s="35" t="s">
        <v>1469</v>
      </c>
      <c r="P148" s="36"/>
      <c r="Q148" s="38"/>
      <c r="R148" s="36"/>
    </row>
    <row r="149" spans="2:18" hidden="1" x14ac:dyDescent="0.25">
      <c r="B149" s="29" t="s">
        <v>2044</v>
      </c>
      <c r="C149" s="3" t="s">
        <v>2037</v>
      </c>
      <c r="D149" s="3" t="str">
        <f t="shared" si="30"/>
        <v>5.3.12</v>
      </c>
      <c r="E149" s="3" t="s">
        <v>1877</v>
      </c>
      <c r="F149" s="3" t="s">
        <v>2302</v>
      </c>
      <c r="G149" s="3" t="s">
        <v>1855</v>
      </c>
      <c r="H149" s="3" t="s">
        <v>2284</v>
      </c>
      <c r="I149" s="3" t="s">
        <v>1847</v>
      </c>
      <c r="J149" s="27" t="b">
        <f t="shared" si="27"/>
        <v>0</v>
      </c>
      <c r="K149" s="27" t="b">
        <f t="shared" si="26"/>
        <v>0</v>
      </c>
      <c r="L149" s="33" t="b">
        <f ca="1">IF(D149="n/a","n/a",ISNUMBER(MATCH(D149,'Measure-Level Adj Gas'!L:L,0)))</f>
        <v>0</v>
      </c>
      <c r="M149" s="27" t="b">
        <f t="shared" ca="1" si="28"/>
        <v>0</v>
      </c>
      <c r="N149" s="27" t="b">
        <f t="shared" ca="1" si="29"/>
        <v>0</v>
      </c>
      <c r="O149" s="35" t="s">
        <v>1469</v>
      </c>
      <c r="P149" s="36"/>
      <c r="Q149" s="38"/>
      <c r="R149" s="36"/>
    </row>
    <row r="150" spans="2:18" hidden="1" x14ac:dyDescent="0.25">
      <c r="B150" s="29" t="s">
        <v>2044</v>
      </c>
      <c r="C150" s="3" t="s">
        <v>2037</v>
      </c>
      <c r="D150" s="3" t="str">
        <f t="shared" si="30"/>
        <v>5.3.12</v>
      </c>
      <c r="E150" s="3" t="s">
        <v>1877</v>
      </c>
      <c r="F150" s="3" t="s">
        <v>1847</v>
      </c>
      <c r="G150" s="3" t="s">
        <v>1951</v>
      </c>
      <c r="H150" s="3" t="s">
        <v>2303</v>
      </c>
      <c r="I150" s="3" t="s">
        <v>1847</v>
      </c>
      <c r="J150" s="27" t="b">
        <f t="shared" si="27"/>
        <v>0</v>
      </c>
      <c r="K150" s="27" t="b">
        <f t="shared" si="26"/>
        <v>0</v>
      </c>
      <c r="L150" s="33" t="b">
        <f ca="1">IF(D150="n/a","n/a",ISNUMBER(MATCH(D150,'Measure-Level Adj Gas'!L:L,0)))</f>
        <v>0</v>
      </c>
      <c r="M150" s="27" t="b">
        <f t="shared" ca="1" si="28"/>
        <v>0</v>
      </c>
      <c r="N150" s="27" t="b">
        <f t="shared" ca="1" si="29"/>
        <v>0</v>
      </c>
      <c r="O150" s="35" t="s">
        <v>1469</v>
      </c>
      <c r="P150" s="36"/>
      <c r="Q150" s="36"/>
      <c r="R150" s="36"/>
    </row>
    <row r="151" spans="2:18" hidden="1" x14ac:dyDescent="0.25">
      <c r="B151" s="29" t="s">
        <v>2044</v>
      </c>
      <c r="C151" s="3" t="s">
        <v>2037</v>
      </c>
      <c r="D151" s="3" t="str">
        <f t="shared" si="30"/>
        <v>5.3.14</v>
      </c>
      <c r="E151" s="3" t="s">
        <v>2304</v>
      </c>
      <c r="F151" s="3" t="s">
        <v>2305</v>
      </c>
      <c r="G151" s="3" t="s">
        <v>1848</v>
      </c>
      <c r="H151" s="3" t="s">
        <v>2306</v>
      </c>
      <c r="I151" s="3" t="s">
        <v>1847</v>
      </c>
      <c r="J151" s="27" t="b">
        <f t="shared" si="27"/>
        <v>0</v>
      </c>
      <c r="K151" s="27" t="b">
        <f t="shared" si="26"/>
        <v>0</v>
      </c>
      <c r="L151" s="33" t="b">
        <f ca="1">IF(D151="n/a","n/a",ISNUMBER(MATCH(D151,'Measure-Level Adj Gas'!L:L,0)))</f>
        <v>0</v>
      </c>
      <c r="M151" s="27" t="b">
        <f t="shared" ca="1" si="28"/>
        <v>0</v>
      </c>
      <c r="N151" s="27" t="b">
        <f t="shared" ca="1" si="29"/>
        <v>0</v>
      </c>
      <c r="O151" s="35" t="s">
        <v>1469</v>
      </c>
      <c r="P151" s="36"/>
      <c r="Q151" s="38"/>
      <c r="R151" s="36"/>
    </row>
    <row r="152" spans="2:18" hidden="1" x14ac:dyDescent="0.25">
      <c r="B152" s="29" t="s">
        <v>2044</v>
      </c>
      <c r="C152" s="3" t="s">
        <v>2037</v>
      </c>
      <c r="D152" s="3" t="str">
        <f t="shared" si="30"/>
        <v>5.3.16</v>
      </c>
      <c r="E152" s="3" t="s">
        <v>1878</v>
      </c>
      <c r="F152" s="3" t="s">
        <v>2307</v>
      </c>
      <c r="G152" s="3" t="s">
        <v>1848</v>
      </c>
      <c r="H152" s="3" t="s">
        <v>2046</v>
      </c>
      <c r="I152" s="3" t="s">
        <v>1853</v>
      </c>
      <c r="J152" s="27" t="b">
        <f t="shared" si="27"/>
        <v>1</v>
      </c>
      <c r="K152" s="27" t="b">
        <f t="shared" si="26"/>
        <v>1</v>
      </c>
      <c r="L152" s="33" t="b">
        <f ca="1">IF(D152="n/a","n/a",ISNUMBER(MATCH(D152,'Measure-Level Adj Gas'!L:L,0)))</f>
        <v>1</v>
      </c>
      <c r="M152" s="27" t="b">
        <f t="shared" ca="1" si="28"/>
        <v>0</v>
      </c>
      <c r="N152" s="27" t="b">
        <f t="shared" ca="1" si="29"/>
        <v>1</v>
      </c>
      <c r="O152" s="35" t="b">
        <v>0</v>
      </c>
      <c r="P152" s="36" t="s">
        <v>2554</v>
      </c>
      <c r="Q152" s="36"/>
      <c r="R152" s="36"/>
    </row>
    <row r="153" spans="2:18" hidden="1" x14ac:dyDescent="0.25">
      <c r="B153" s="29" t="s">
        <v>2044</v>
      </c>
      <c r="C153" s="3" t="s">
        <v>2037</v>
      </c>
      <c r="D153" s="3" t="str">
        <f t="shared" si="30"/>
        <v>5.3.20</v>
      </c>
      <c r="E153" s="3" t="s">
        <v>2308</v>
      </c>
      <c r="F153" s="3" t="s">
        <v>2309</v>
      </c>
      <c r="G153" s="3" t="s">
        <v>1848</v>
      </c>
      <c r="H153" s="3" t="s">
        <v>2310</v>
      </c>
      <c r="I153" s="3" t="s">
        <v>1847</v>
      </c>
      <c r="J153" s="27" t="b">
        <f t="shared" si="27"/>
        <v>0</v>
      </c>
      <c r="K153" s="27" t="b">
        <f t="shared" si="26"/>
        <v>0</v>
      </c>
      <c r="L153" s="33" t="b">
        <f ca="1">IF(D153="n/a","n/a",ISNUMBER(MATCH(D153,'Measure-Level Adj Gas'!L:L,0)))</f>
        <v>0</v>
      </c>
      <c r="M153" s="27" t="b">
        <f t="shared" ca="1" si="28"/>
        <v>0</v>
      </c>
      <c r="N153" s="27" t="b">
        <f t="shared" ca="1" si="29"/>
        <v>0</v>
      </c>
      <c r="O153" s="35" t="s">
        <v>1469</v>
      </c>
      <c r="P153" s="36"/>
      <c r="Q153" s="38"/>
      <c r="R153" s="36"/>
    </row>
    <row r="154" spans="2:18" hidden="1" x14ac:dyDescent="0.25">
      <c r="B154" s="3" t="s">
        <v>2044</v>
      </c>
      <c r="C154" s="3" t="s">
        <v>2037</v>
      </c>
      <c r="D154" s="3" t="str">
        <f t="shared" si="30"/>
        <v>5.3.22</v>
      </c>
      <c r="E154" s="3" t="s">
        <v>2311</v>
      </c>
      <c r="F154" s="3" t="s">
        <v>2312</v>
      </c>
      <c r="G154" s="3" t="s">
        <v>1849</v>
      </c>
      <c r="H154" s="3" t="s">
        <v>1850</v>
      </c>
      <c r="I154" s="3" t="s">
        <v>1847</v>
      </c>
      <c r="J154" s="27" t="b">
        <f t="shared" si="27"/>
        <v>0</v>
      </c>
      <c r="K154" s="27" t="b">
        <f t="shared" si="26"/>
        <v>0</v>
      </c>
      <c r="L154" s="33" t="b">
        <f ca="1">IF(D154="n/a","n/a",ISNUMBER(MATCH(D154,'Measure-Level Adj Gas'!L:L,0)))</f>
        <v>0</v>
      </c>
      <c r="M154" s="27" t="b">
        <f t="shared" ca="1" si="28"/>
        <v>0</v>
      </c>
      <c r="N154" s="27" t="b">
        <f t="shared" ca="1" si="29"/>
        <v>0</v>
      </c>
      <c r="O154" s="35" t="s">
        <v>1469</v>
      </c>
      <c r="P154" s="36"/>
      <c r="Q154" s="36"/>
      <c r="R154" s="36"/>
    </row>
    <row r="155" spans="2:18" hidden="1" x14ac:dyDescent="0.25">
      <c r="B155" s="3" t="s">
        <v>2044</v>
      </c>
      <c r="C155" s="3" t="s">
        <v>2034</v>
      </c>
      <c r="D155" s="3" t="str">
        <f t="shared" si="30"/>
        <v>5.4.1</v>
      </c>
      <c r="E155" s="3" t="s">
        <v>1879</v>
      </c>
      <c r="F155" s="3" t="s">
        <v>2313</v>
      </c>
      <c r="G155" s="3" t="s">
        <v>1848</v>
      </c>
      <c r="H155" s="3" t="s">
        <v>2314</v>
      </c>
      <c r="I155" s="3" t="s">
        <v>1847</v>
      </c>
      <c r="J155" s="27" t="b">
        <f t="shared" si="27"/>
        <v>0</v>
      </c>
      <c r="K155" s="27" t="b">
        <f t="shared" si="26"/>
        <v>0</v>
      </c>
      <c r="L155" s="33" t="b">
        <f ca="1">IF(D155="n/a","n/a",ISNUMBER(MATCH(D155,'Measure-Level Adj Gas'!L:L,0)))</f>
        <v>1</v>
      </c>
      <c r="M155" s="27" t="b">
        <f t="shared" ca="1" si="28"/>
        <v>0</v>
      </c>
      <c r="N155" s="27" t="b">
        <f t="shared" ca="1" si="29"/>
        <v>0</v>
      </c>
      <c r="O155" s="35" t="s">
        <v>1469</v>
      </c>
      <c r="P155" s="36"/>
      <c r="Q155" s="38"/>
      <c r="R155" s="36"/>
    </row>
    <row r="156" spans="2:18" x14ac:dyDescent="0.25">
      <c r="B156" s="3" t="s">
        <v>2044</v>
      </c>
      <c r="C156" s="3" t="s">
        <v>2034</v>
      </c>
      <c r="D156" s="3" t="str">
        <f t="shared" si="30"/>
        <v>5.4.2</v>
      </c>
      <c r="E156" s="3" t="s">
        <v>2051</v>
      </c>
      <c r="F156" s="3" t="s">
        <v>2052</v>
      </c>
      <c r="G156" s="3" t="s">
        <v>1848</v>
      </c>
      <c r="H156" s="3" t="s">
        <v>2053</v>
      </c>
      <c r="I156" s="3" t="s">
        <v>1851</v>
      </c>
      <c r="J156" s="27" t="b">
        <f t="shared" si="27"/>
        <v>1</v>
      </c>
      <c r="K156" s="27" t="b">
        <f t="shared" si="26"/>
        <v>1</v>
      </c>
      <c r="L156" s="33" t="b">
        <f ca="1">IF(D156="n/a","n/a",ISNUMBER(MATCH(D156,'Measure-Level Adj Gas'!L:L,0)))</f>
        <v>1</v>
      </c>
      <c r="M156" s="27" t="b">
        <f t="shared" ca="1" si="28"/>
        <v>0</v>
      </c>
      <c r="N156" s="27" t="b">
        <f t="shared" ca="1" si="29"/>
        <v>1</v>
      </c>
      <c r="O156" s="36" t="b">
        <v>1</v>
      </c>
      <c r="P156" s="45" t="s">
        <v>2618</v>
      </c>
      <c r="Q156" s="37" t="s">
        <v>2601</v>
      </c>
      <c r="R156" s="9" t="s">
        <v>2568</v>
      </c>
    </row>
    <row r="157" spans="2:18" hidden="1" x14ac:dyDescent="0.25">
      <c r="B157" s="29" t="s">
        <v>2044</v>
      </c>
      <c r="C157" s="3" t="s">
        <v>2034</v>
      </c>
      <c r="D157" s="3" t="str">
        <f t="shared" si="30"/>
        <v>5.4.3</v>
      </c>
      <c r="E157" s="3" t="s">
        <v>1880</v>
      </c>
      <c r="F157" s="3" t="s">
        <v>2315</v>
      </c>
      <c r="G157" s="3" t="s">
        <v>1848</v>
      </c>
      <c r="H157" s="3" t="s">
        <v>2316</v>
      </c>
      <c r="I157" s="3" t="s">
        <v>1847</v>
      </c>
      <c r="J157" s="27" t="b">
        <f t="shared" si="27"/>
        <v>0</v>
      </c>
      <c r="K157" s="27" t="b">
        <f t="shared" ref="K157:K186" si="31">COUNTIFS(D:D,D157,J:J,TRUE)&gt;0</f>
        <v>0</v>
      </c>
      <c r="L157" s="33" t="b">
        <f ca="1">IF(D157="n/a","n/a",ISNUMBER(MATCH(D157,'Measure-Level Adj Gas'!L:L,0)))</f>
        <v>0</v>
      </c>
      <c r="M157" s="27" t="b">
        <f t="shared" ca="1" si="28"/>
        <v>0</v>
      </c>
      <c r="N157" s="27" t="b">
        <f t="shared" ca="1" si="29"/>
        <v>0</v>
      </c>
      <c r="O157" s="35" t="s">
        <v>1469</v>
      </c>
      <c r="P157" s="36"/>
      <c r="Q157" s="38"/>
      <c r="R157" s="36"/>
    </row>
    <row r="158" spans="2:18" hidden="1" x14ac:dyDescent="0.25">
      <c r="B158" s="29" t="s">
        <v>2044</v>
      </c>
      <c r="C158" s="3" t="s">
        <v>2034</v>
      </c>
      <c r="D158" s="3" t="str">
        <f t="shared" si="30"/>
        <v>5.4.4</v>
      </c>
      <c r="E158" s="3" t="s">
        <v>1881</v>
      </c>
      <c r="F158" s="3" t="s">
        <v>2317</v>
      </c>
      <c r="G158" s="3" t="s">
        <v>1848</v>
      </c>
      <c r="H158" s="3" t="s">
        <v>2318</v>
      </c>
      <c r="I158" s="3" t="s">
        <v>1853</v>
      </c>
      <c r="J158" s="27" t="b">
        <f t="shared" si="27"/>
        <v>1</v>
      </c>
      <c r="K158" s="27" t="b">
        <f t="shared" si="31"/>
        <v>1</v>
      </c>
      <c r="L158" s="33" t="b">
        <f ca="1">IF(D158="n/a","n/a",ISNUMBER(MATCH(D158,'Measure-Level Adj Gas'!L:L,0)))</f>
        <v>1</v>
      </c>
      <c r="M158" s="27" t="b">
        <f t="shared" ca="1" si="28"/>
        <v>0</v>
      </c>
      <c r="N158" s="27" t="b">
        <f t="shared" ca="1" si="29"/>
        <v>1</v>
      </c>
      <c r="O158" s="35" t="b">
        <v>0</v>
      </c>
      <c r="P158" s="36" t="s">
        <v>2555</v>
      </c>
      <c r="Q158" s="36"/>
      <c r="R158" s="36"/>
    </row>
    <row r="159" spans="2:18" hidden="1" x14ac:dyDescent="0.25">
      <c r="B159" s="29" t="s">
        <v>2044</v>
      </c>
      <c r="C159" s="3" t="s">
        <v>2034</v>
      </c>
      <c r="D159" s="3" t="str">
        <f t="shared" si="30"/>
        <v>5.4.5</v>
      </c>
      <c r="E159" s="3" t="s">
        <v>1949</v>
      </c>
      <c r="F159" s="3" t="s">
        <v>2319</v>
      </c>
      <c r="G159" s="3" t="s">
        <v>1848</v>
      </c>
      <c r="H159" s="3" t="s">
        <v>2318</v>
      </c>
      <c r="I159" s="3" t="s">
        <v>1853</v>
      </c>
      <c r="J159" s="27" t="b">
        <f t="shared" ref="J159:J186" si="32">I159&lt;&gt;"N/A"</f>
        <v>1</v>
      </c>
      <c r="K159" s="27" t="b">
        <f t="shared" si="31"/>
        <v>1</v>
      </c>
      <c r="L159" s="33" t="b">
        <f ca="1">IF(D159="n/a","n/a",ISNUMBER(MATCH(D159,'Measure-Level Adj Gas'!L:L,0)))</f>
        <v>1</v>
      </c>
      <c r="M159" s="27" t="b">
        <f t="shared" ref="M159:M186" ca="1" si="33">AND(G159="Errata",J159,L159)</f>
        <v>0</v>
      </c>
      <c r="N159" s="27" t="b">
        <f t="shared" ref="N159:N186" ca="1" si="34">AND(G159="Revision",J159,L159)</f>
        <v>1</v>
      </c>
      <c r="O159" s="35" t="b">
        <v>0</v>
      </c>
      <c r="P159" s="36" t="s">
        <v>2555</v>
      </c>
      <c r="Q159" s="36"/>
      <c r="R159" s="36"/>
    </row>
    <row r="160" spans="2:18" x14ac:dyDescent="0.25">
      <c r="B160" s="29" t="s">
        <v>2044</v>
      </c>
      <c r="C160" s="3" t="s">
        <v>2034</v>
      </c>
      <c r="D160" s="3" t="str">
        <f t="shared" ref="D160:D185" si="35">IFERROR(LEFT(E160,FIND(" ",E160)-1),E160)</f>
        <v>5.4.6</v>
      </c>
      <c r="E160" s="3" t="s">
        <v>2054</v>
      </c>
      <c r="F160" s="3" t="s">
        <v>2055</v>
      </c>
      <c r="G160" s="3" t="s">
        <v>1848</v>
      </c>
      <c r="H160" s="3" t="s">
        <v>2056</v>
      </c>
      <c r="I160" s="3" t="s">
        <v>1853</v>
      </c>
      <c r="J160" s="27" t="b">
        <f t="shared" si="32"/>
        <v>1</v>
      </c>
      <c r="K160" s="27" t="b">
        <f t="shared" si="31"/>
        <v>1</v>
      </c>
      <c r="L160" s="33" t="b">
        <f ca="1">IF(D160="n/a","n/a",ISNUMBER(MATCH(D160,'Measure-Level Adj Gas'!L:L,0)))</f>
        <v>1</v>
      </c>
      <c r="M160" s="27" t="b">
        <f t="shared" ca="1" si="33"/>
        <v>0</v>
      </c>
      <c r="N160" s="27" t="b">
        <f t="shared" ca="1" si="34"/>
        <v>1</v>
      </c>
      <c r="O160" s="36" t="b">
        <v>1</v>
      </c>
      <c r="P160" s="36" t="s">
        <v>2544</v>
      </c>
      <c r="Q160" s="37" t="s">
        <v>2602</v>
      </c>
      <c r="R160" s="9" t="s">
        <v>2568</v>
      </c>
    </row>
    <row r="161" spans="2:18" hidden="1" x14ac:dyDescent="0.25">
      <c r="B161" s="29" t="s">
        <v>2044</v>
      </c>
      <c r="C161" s="3" t="s">
        <v>2034</v>
      </c>
      <c r="D161" s="3" t="str">
        <f t="shared" si="35"/>
        <v>5.4.10</v>
      </c>
      <c r="E161" s="3" t="s">
        <v>2320</v>
      </c>
      <c r="F161" s="3" t="s">
        <v>2321</v>
      </c>
      <c r="G161" s="3" t="s">
        <v>1848</v>
      </c>
      <c r="H161" s="3" t="s">
        <v>2322</v>
      </c>
      <c r="I161" s="3" t="s">
        <v>1847</v>
      </c>
      <c r="J161" s="27" t="b">
        <f t="shared" si="32"/>
        <v>0</v>
      </c>
      <c r="K161" s="27" t="b">
        <f t="shared" si="31"/>
        <v>0</v>
      </c>
      <c r="L161" s="33" t="b">
        <f ca="1">IF(D161="n/a","n/a",ISNUMBER(MATCH(D161,'Measure-Level Adj Gas'!L:L,0)))</f>
        <v>0</v>
      </c>
      <c r="M161" s="27" t="b">
        <f t="shared" ca="1" si="33"/>
        <v>0</v>
      </c>
      <c r="N161" s="27" t="b">
        <f t="shared" ca="1" si="34"/>
        <v>0</v>
      </c>
      <c r="O161" s="35" t="s">
        <v>1469</v>
      </c>
      <c r="P161" s="36"/>
      <c r="Q161" s="36"/>
      <c r="R161" s="36"/>
    </row>
    <row r="162" spans="2:18" hidden="1" x14ac:dyDescent="0.25">
      <c r="B162" s="29" t="s">
        <v>2044</v>
      </c>
      <c r="C162" s="3" t="s">
        <v>2034</v>
      </c>
      <c r="D162" s="3" t="str">
        <f t="shared" si="35"/>
        <v>5.4.11</v>
      </c>
      <c r="E162" s="3" t="s">
        <v>2323</v>
      </c>
      <c r="F162" s="3" t="s">
        <v>2324</v>
      </c>
      <c r="G162" s="3" t="s">
        <v>1848</v>
      </c>
      <c r="H162" s="3" t="s">
        <v>2325</v>
      </c>
      <c r="I162" s="3" t="s">
        <v>1847</v>
      </c>
      <c r="J162" s="27" t="b">
        <f t="shared" si="32"/>
        <v>0</v>
      </c>
      <c r="K162" s="27" t="b">
        <f t="shared" si="31"/>
        <v>0</v>
      </c>
      <c r="L162" s="33" t="b">
        <f ca="1">IF(D162="n/a","n/a",ISNUMBER(MATCH(D162,'Measure-Level Adj Gas'!L:L,0)))</f>
        <v>0</v>
      </c>
      <c r="M162" s="27" t="b">
        <f t="shared" ca="1" si="33"/>
        <v>0</v>
      </c>
      <c r="N162" s="27" t="b">
        <f t="shared" ca="1" si="34"/>
        <v>0</v>
      </c>
      <c r="O162" s="35" t="s">
        <v>1469</v>
      </c>
      <c r="P162" s="36"/>
      <c r="Q162" s="38"/>
      <c r="R162" s="36"/>
    </row>
    <row r="163" spans="2:18" hidden="1" x14ac:dyDescent="0.25">
      <c r="B163" s="29" t="s">
        <v>2044</v>
      </c>
      <c r="C163" s="3" t="s">
        <v>2200</v>
      </c>
      <c r="D163" s="3" t="str">
        <f t="shared" si="35"/>
        <v>5.5.6</v>
      </c>
      <c r="E163" s="3" t="s">
        <v>1882</v>
      </c>
      <c r="F163" s="3" t="s">
        <v>2326</v>
      </c>
      <c r="G163" s="3" t="s">
        <v>1855</v>
      </c>
      <c r="H163" s="3" t="s">
        <v>2327</v>
      </c>
      <c r="I163" s="3" t="s">
        <v>1847</v>
      </c>
      <c r="J163" s="27" t="b">
        <f t="shared" si="32"/>
        <v>0</v>
      </c>
      <c r="K163" s="27" t="b">
        <f t="shared" si="31"/>
        <v>0</v>
      </c>
      <c r="L163" s="33" t="b">
        <f ca="1">IF(D163="n/a","n/a",ISNUMBER(MATCH(D163,'Measure-Level Adj Gas'!L:L,0)))</f>
        <v>0</v>
      </c>
      <c r="M163" s="27" t="b">
        <f t="shared" ca="1" si="33"/>
        <v>0</v>
      </c>
      <c r="N163" s="27" t="b">
        <f t="shared" ca="1" si="34"/>
        <v>0</v>
      </c>
      <c r="O163" s="35" t="s">
        <v>1469</v>
      </c>
      <c r="P163" s="36"/>
      <c r="Q163" s="36"/>
      <c r="R163" s="36"/>
    </row>
    <row r="164" spans="2:18" hidden="1" x14ac:dyDescent="0.25">
      <c r="B164" s="29" t="s">
        <v>2044</v>
      </c>
      <c r="C164" s="3" t="s">
        <v>2200</v>
      </c>
      <c r="D164" s="3" t="str">
        <f t="shared" si="35"/>
        <v>5.5.6</v>
      </c>
      <c r="E164" s="3" t="s">
        <v>1882</v>
      </c>
      <c r="F164" s="3" t="s">
        <v>2328</v>
      </c>
      <c r="G164" s="3" t="s">
        <v>1848</v>
      </c>
      <c r="H164" s="3" t="s">
        <v>2329</v>
      </c>
      <c r="I164" s="3" t="s">
        <v>1847</v>
      </c>
      <c r="J164" s="27" t="b">
        <f t="shared" si="32"/>
        <v>0</v>
      </c>
      <c r="K164" s="27" t="b">
        <f t="shared" si="31"/>
        <v>0</v>
      </c>
      <c r="L164" s="33" t="b">
        <f ca="1">IF(D164="n/a","n/a",ISNUMBER(MATCH(D164,'Measure-Level Adj Gas'!L:L,0)))</f>
        <v>0</v>
      </c>
      <c r="M164" s="27" t="b">
        <f t="shared" ca="1" si="33"/>
        <v>0</v>
      </c>
      <c r="N164" s="27" t="b">
        <f t="shared" ca="1" si="34"/>
        <v>0</v>
      </c>
      <c r="O164" s="35" t="s">
        <v>1469</v>
      </c>
      <c r="P164" s="36"/>
      <c r="Q164" s="36"/>
      <c r="R164" s="36"/>
    </row>
    <row r="165" spans="2:18" hidden="1" x14ac:dyDescent="0.25">
      <c r="B165" s="29" t="s">
        <v>2044</v>
      </c>
      <c r="C165" s="3" t="s">
        <v>2200</v>
      </c>
      <c r="D165" s="3" t="str">
        <f t="shared" si="35"/>
        <v>5.5.7</v>
      </c>
      <c r="E165" s="3" t="s">
        <v>2330</v>
      </c>
      <c r="F165" s="3" t="s">
        <v>2331</v>
      </c>
      <c r="G165" s="3" t="s">
        <v>1848</v>
      </c>
      <c r="H165" s="3" t="s">
        <v>2310</v>
      </c>
      <c r="I165" s="3" t="s">
        <v>1847</v>
      </c>
      <c r="J165" s="27" t="b">
        <f t="shared" si="32"/>
        <v>0</v>
      </c>
      <c r="K165" s="27" t="b">
        <f t="shared" si="31"/>
        <v>0</v>
      </c>
      <c r="L165" s="33" t="b">
        <f ca="1">IF(D165="n/a","n/a",ISNUMBER(MATCH(D165,'Measure-Level Adj Gas'!L:L,0)))</f>
        <v>0</v>
      </c>
      <c r="M165" s="27" t="b">
        <f t="shared" ca="1" si="33"/>
        <v>0</v>
      </c>
      <c r="N165" s="27" t="b">
        <f t="shared" ca="1" si="34"/>
        <v>0</v>
      </c>
      <c r="O165" s="35" t="s">
        <v>1469</v>
      </c>
      <c r="P165" s="36"/>
      <c r="Q165" s="36"/>
      <c r="R165" s="36"/>
    </row>
    <row r="166" spans="2:18" hidden="1" x14ac:dyDescent="0.25">
      <c r="B166" s="29" t="s">
        <v>2044</v>
      </c>
      <c r="C166" s="3" t="s">
        <v>2200</v>
      </c>
      <c r="D166" s="3" t="str">
        <f t="shared" si="35"/>
        <v>5.5.8</v>
      </c>
      <c r="E166" s="3" t="s">
        <v>1883</v>
      </c>
      <c r="F166" s="3" t="s">
        <v>2332</v>
      </c>
      <c r="G166" s="3" t="s">
        <v>1855</v>
      </c>
      <c r="H166" s="3" t="s">
        <v>2327</v>
      </c>
      <c r="I166" s="3" t="s">
        <v>1847</v>
      </c>
      <c r="J166" s="27" t="b">
        <f t="shared" si="32"/>
        <v>0</v>
      </c>
      <c r="K166" s="27" t="b">
        <f t="shared" si="31"/>
        <v>0</v>
      </c>
      <c r="L166" s="33" t="b">
        <f ca="1">IF(D166="n/a","n/a",ISNUMBER(MATCH(D166,'Measure-Level Adj Gas'!L:L,0)))</f>
        <v>0</v>
      </c>
      <c r="M166" s="27" t="b">
        <f t="shared" ca="1" si="33"/>
        <v>0</v>
      </c>
      <c r="N166" s="27" t="b">
        <f t="shared" ca="1" si="34"/>
        <v>0</v>
      </c>
      <c r="O166" s="35" t="s">
        <v>1469</v>
      </c>
      <c r="P166" s="36"/>
      <c r="Q166" s="38"/>
      <c r="R166" s="36"/>
    </row>
    <row r="167" spans="2:18" hidden="1" x14ac:dyDescent="0.25">
      <c r="B167" s="29" t="s">
        <v>2044</v>
      </c>
      <c r="C167" s="3" t="s">
        <v>2200</v>
      </c>
      <c r="D167" s="3" t="str">
        <f t="shared" si="35"/>
        <v>5.5.8</v>
      </c>
      <c r="E167" s="3" t="s">
        <v>1883</v>
      </c>
      <c r="F167" s="3" t="s">
        <v>2333</v>
      </c>
      <c r="G167" s="3" t="s">
        <v>1848</v>
      </c>
      <c r="H167" s="3" t="s">
        <v>2329</v>
      </c>
      <c r="I167" s="3" t="s">
        <v>1847</v>
      </c>
      <c r="J167" s="27" t="b">
        <f t="shared" si="32"/>
        <v>0</v>
      </c>
      <c r="K167" s="27" t="b">
        <f t="shared" si="31"/>
        <v>0</v>
      </c>
      <c r="L167" s="33" t="b">
        <f ca="1">IF(D167="n/a","n/a",ISNUMBER(MATCH(D167,'Measure-Level Adj Gas'!L:L,0)))</f>
        <v>0</v>
      </c>
      <c r="M167" s="27" t="b">
        <f t="shared" ca="1" si="33"/>
        <v>0</v>
      </c>
      <c r="N167" s="27" t="b">
        <f t="shared" ca="1" si="34"/>
        <v>0</v>
      </c>
      <c r="O167" s="35" t="s">
        <v>1469</v>
      </c>
      <c r="P167" s="36"/>
      <c r="Q167" s="38"/>
      <c r="R167" s="36"/>
    </row>
    <row r="168" spans="2:18" hidden="1" x14ac:dyDescent="0.25">
      <c r="B168" s="29" t="s">
        <v>2044</v>
      </c>
      <c r="C168" s="3" t="s">
        <v>2200</v>
      </c>
      <c r="D168" s="3" t="str">
        <f t="shared" si="35"/>
        <v>5.5.9</v>
      </c>
      <c r="E168" s="3" t="s">
        <v>1884</v>
      </c>
      <c r="F168" s="3" t="s">
        <v>2334</v>
      </c>
      <c r="G168" s="3" t="s">
        <v>1848</v>
      </c>
      <c r="H168" s="3" t="s">
        <v>2335</v>
      </c>
      <c r="I168" s="3" t="s">
        <v>1847</v>
      </c>
      <c r="J168" s="27" t="b">
        <f t="shared" si="32"/>
        <v>0</v>
      </c>
      <c r="K168" s="27" t="b">
        <f t="shared" si="31"/>
        <v>0</v>
      </c>
      <c r="L168" s="33" t="b">
        <f ca="1">IF(D168="n/a","n/a",ISNUMBER(MATCH(D168,'Measure-Level Adj Gas'!L:L,0)))</f>
        <v>0</v>
      </c>
      <c r="M168" s="27" t="b">
        <f t="shared" ca="1" si="33"/>
        <v>0</v>
      </c>
      <c r="N168" s="27" t="b">
        <f t="shared" ca="1" si="34"/>
        <v>0</v>
      </c>
      <c r="O168" s="35" t="s">
        <v>1469</v>
      </c>
      <c r="P168" s="36"/>
      <c r="Q168" s="38"/>
      <c r="R168" s="36"/>
    </row>
    <row r="169" spans="2:18" hidden="1" x14ac:dyDescent="0.25">
      <c r="B169" s="29" t="s">
        <v>2044</v>
      </c>
      <c r="C169" s="3" t="s">
        <v>2200</v>
      </c>
      <c r="D169" s="3" t="str">
        <f t="shared" si="35"/>
        <v>5.5.10</v>
      </c>
      <c r="E169" s="3" t="s">
        <v>1983</v>
      </c>
      <c r="F169" s="3" t="s">
        <v>2336</v>
      </c>
      <c r="G169" s="3" t="s">
        <v>1848</v>
      </c>
      <c r="H169" s="3" t="s">
        <v>2310</v>
      </c>
      <c r="I169" s="3" t="s">
        <v>1847</v>
      </c>
      <c r="J169" s="27" t="b">
        <f t="shared" si="32"/>
        <v>0</v>
      </c>
      <c r="K169" s="27" t="b">
        <f t="shared" si="31"/>
        <v>0</v>
      </c>
      <c r="L169" s="33" t="b">
        <f ca="1">IF(D169="n/a","n/a",ISNUMBER(MATCH(D169,'Measure-Level Adj Gas'!L:L,0)))</f>
        <v>0</v>
      </c>
      <c r="M169" s="27" t="b">
        <f t="shared" ca="1" si="33"/>
        <v>0</v>
      </c>
      <c r="N169" s="27" t="b">
        <f t="shared" ca="1" si="34"/>
        <v>0</v>
      </c>
      <c r="O169" s="35" t="s">
        <v>1469</v>
      </c>
      <c r="P169" s="36"/>
      <c r="Q169" s="37"/>
      <c r="R169" s="36"/>
    </row>
    <row r="170" spans="2:18" hidden="1" x14ac:dyDescent="0.25">
      <c r="B170" s="29" t="s">
        <v>2044</v>
      </c>
      <c r="C170" s="3" t="s">
        <v>2200</v>
      </c>
      <c r="D170" s="3" t="str">
        <f t="shared" si="35"/>
        <v>5.5.11</v>
      </c>
      <c r="E170" s="3" t="s">
        <v>2337</v>
      </c>
      <c r="F170" s="3" t="s">
        <v>2338</v>
      </c>
      <c r="G170" s="3" t="s">
        <v>1848</v>
      </c>
      <c r="H170" s="3" t="s">
        <v>2310</v>
      </c>
      <c r="I170" s="3" t="s">
        <v>1847</v>
      </c>
      <c r="J170" s="27" t="b">
        <f t="shared" si="32"/>
        <v>0</v>
      </c>
      <c r="K170" s="27" t="b">
        <f t="shared" si="31"/>
        <v>0</v>
      </c>
      <c r="L170" s="33" t="b">
        <f ca="1">IF(D170="n/a","n/a",ISNUMBER(MATCH(D170,'Measure-Level Adj Gas'!L:L,0)))</f>
        <v>0</v>
      </c>
      <c r="M170" s="27" t="b">
        <f t="shared" ca="1" si="33"/>
        <v>0</v>
      </c>
      <c r="N170" s="27" t="b">
        <f t="shared" ca="1" si="34"/>
        <v>0</v>
      </c>
      <c r="O170" s="35" t="s">
        <v>1469</v>
      </c>
      <c r="P170" s="36"/>
      <c r="Q170" s="36"/>
      <c r="R170" s="36"/>
    </row>
    <row r="171" spans="2:18" hidden="1" x14ac:dyDescent="0.25">
      <c r="B171" s="29" t="s">
        <v>2044</v>
      </c>
      <c r="C171" s="3" t="s">
        <v>2200</v>
      </c>
      <c r="D171" s="3" t="str">
        <f t="shared" si="35"/>
        <v>5.5.12</v>
      </c>
      <c r="E171" s="3" t="s">
        <v>1984</v>
      </c>
      <c r="F171" s="3" t="s">
        <v>2339</v>
      </c>
      <c r="G171" s="3" t="s">
        <v>1848</v>
      </c>
      <c r="H171" s="3" t="s">
        <v>2340</v>
      </c>
      <c r="I171" s="3" t="s">
        <v>1847</v>
      </c>
      <c r="J171" s="27" t="b">
        <f t="shared" si="32"/>
        <v>0</v>
      </c>
      <c r="K171" s="27" t="b">
        <f t="shared" si="31"/>
        <v>0</v>
      </c>
      <c r="L171" s="33" t="b">
        <f ca="1">IF(D171="n/a","n/a",ISNUMBER(MATCH(D171,'Measure-Level Adj Gas'!L:L,0)))</f>
        <v>0</v>
      </c>
      <c r="M171" s="27" t="b">
        <f t="shared" ca="1" si="33"/>
        <v>0</v>
      </c>
      <c r="N171" s="27" t="b">
        <f t="shared" ca="1" si="34"/>
        <v>0</v>
      </c>
      <c r="O171" s="35" t="s">
        <v>1469</v>
      </c>
      <c r="P171" s="36"/>
      <c r="Q171" s="38"/>
      <c r="R171" s="36"/>
    </row>
    <row r="172" spans="2:18" hidden="1" x14ac:dyDescent="0.25">
      <c r="B172" s="29" t="s">
        <v>2044</v>
      </c>
      <c r="C172" s="3" t="s">
        <v>2200</v>
      </c>
      <c r="D172" s="3" t="str">
        <f t="shared" si="35"/>
        <v>5.5.13</v>
      </c>
      <c r="E172" s="3" t="s">
        <v>2341</v>
      </c>
      <c r="F172" s="3" t="s">
        <v>2342</v>
      </c>
      <c r="G172" s="3" t="s">
        <v>1855</v>
      </c>
      <c r="H172" s="3" t="s">
        <v>2343</v>
      </c>
      <c r="I172" s="3" t="s">
        <v>1847</v>
      </c>
      <c r="J172" s="27" t="b">
        <f t="shared" si="32"/>
        <v>0</v>
      </c>
      <c r="K172" s="27" t="b">
        <f t="shared" si="31"/>
        <v>0</v>
      </c>
      <c r="L172" s="33" t="b">
        <f ca="1">IF(D172="n/a","n/a",ISNUMBER(MATCH(D172,'Measure-Level Adj Gas'!L:L,0)))</f>
        <v>0</v>
      </c>
      <c r="M172" s="27" t="b">
        <f t="shared" ca="1" si="33"/>
        <v>0</v>
      </c>
      <c r="N172" s="27" t="b">
        <f t="shared" ca="1" si="34"/>
        <v>0</v>
      </c>
      <c r="O172" s="35" t="s">
        <v>1469</v>
      </c>
      <c r="P172" s="36"/>
      <c r="Q172" s="38"/>
      <c r="R172" s="36"/>
    </row>
    <row r="173" spans="2:18" hidden="1" x14ac:dyDescent="0.25">
      <c r="B173" s="29" t="s">
        <v>2044</v>
      </c>
      <c r="C173" s="3" t="s">
        <v>2200</v>
      </c>
      <c r="D173" s="3" t="str">
        <f t="shared" si="35"/>
        <v>5.5.13</v>
      </c>
      <c r="E173" s="3" t="s">
        <v>2341</v>
      </c>
      <c r="F173" s="3" t="s">
        <v>2344</v>
      </c>
      <c r="G173" s="3" t="s">
        <v>1848</v>
      </c>
      <c r="H173" s="3" t="s">
        <v>2310</v>
      </c>
      <c r="I173" s="3" t="s">
        <v>1847</v>
      </c>
      <c r="J173" s="27" t="b">
        <f t="shared" si="32"/>
        <v>0</v>
      </c>
      <c r="K173" s="27" t="b">
        <f t="shared" si="31"/>
        <v>0</v>
      </c>
      <c r="L173" s="33" t="b">
        <f ca="1">IF(D173="n/a","n/a",ISNUMBER(MATCH(D173,'Measure-Level Adj Gas'!L:L,0)))</f>
        <v>0</v>
      </c>
      <c r="M173" s="27" t="b">
        <f t="shared" ca="1" si="33"/>
        <v>0</v>
      </c>
      <c r="N173" s="27" t="b">
        <f t="shared" ca="1" si="34"/>
        <v>0</v>
      </c>
      <c r="O173" s="35" t="s">
        <v>1469</v>
      </c>
      <c r="P173" s="36"/>
      <c r="Q173" s="36"/>
      <c r="R173" s="36"/>
    </row>
    <row r="174" spans="2:18" hidden="1" x14ac:dyDescent="0.25">
      <c r="B174" s="29" t="s">
        <v>2044</v>
      </c>
      <c r="C174" s="3" t="s">
        <v>2200</v>
      </c>
      <c r="D174" s="3" t="str">
        <f t="shared" si="35"/>
        <v>5.5.14</v>
      </c>
      <c r="E174" s="3" t="s">
        <v>2345</v>
      </c>
      <c r="F174" s="3" t="s">
        <v>2346</v>
      </c>
      <c r="G174" s="3" t="s">
        <v>1849</v>
      </c>
      <c r="H174" s="3" t="s">
        <v>1850</v>
      </c>
      <c r="I174" s="3" t="s">
        <v>1847</v>
      </c>
      <c r="J174" s="27" t="b">
        <f t="shared" si="32"/>
        <v>0</v>
      </c>
      <c r="K174" s="27" t="b">
        <f t="shared" si="31"/>
        <v>0</v>
      </c>
      <c r="L174" s="33" t="b">
        <f ca="1">IF(D174="n/a","n/a",ISNUMBER(MATCH(D174,'Measure-Level Adj Gas'!L:L,0)))</f>
        <v>0</v>
      </c>
      <c r="M174" s="27" t="b">
        <f t="shared" ca="1" si="33"/>
        <v>0</v>
      </c>
      <c r="N174" s="27" t="b">
        <f t="shared" ca="1" si="34"/>
        <v>0</v>
      </c>
      <c r="O174" s="35" t="s">
        <v>1469</v>
      </c>
      <c r="P174" s="36"/>
      <c r="Q174" s="36"/>
      <c r="R174" s="36"/>
    </row>
    <row r="175" spans="2:18" x14ac:dyDescent="0.25">
      <c r="B175" s="29" t="s">
        <v>2044</v>
      </c>
      <c r="C175" s="3" t="s">
        <v>2057</v>
      </c>
      <c r="D175" s="3" t="str">
        <f t="shared" si="35"/>
        <v>5.6.1</v>
      </c>
      <c r="E175" s="3" t="s">
        <v>1885</v>
      </c>
      <c r="F175" s="3" t="s">
        <v>2058</v>
      </c>
      <c r="G175" s="3" t="s">
        <v>1848</v>
      </c>
      <c r="H175" s="3" t="s">
        <v>2059</v>
      </c>
      <c r="I175" s="3" t="s">
        <v>1853</v>
      </c>
      <c r="J175" s="27" t="b">
        <f t="shared" si="32"/>
        <v>1</v>
      </c>
      <c r="K175" s="27" t="b">
        <f t="shared" si="31"/>
        <v>1</v>
      </c>
      <c r="L175" s="33" t="b">
        <f ca="1">IF(D175="n/a","n/a",ISNUMBER(MATCH(D175,'Measure-Level Adj Gas'!L:L,0)))</f>
        <v>1</v>
      </c>
      <c r="M175" s="27" t="b">
        <f t="shared" ca="1" si="33"/>
        <v>0</v>
      </c>
      <c r="N175" s="27" t="b">
        <f t="shared" ca="1" si="34"/>
        <v>1</v>
      </c>
      <c r="O175" s="36" t="b">
        <v>1</v>
      </c>
      <c r="P175" s="36" t="s">
        <v>2347</v>
      </c>
      <c r="Q175" s="39" t="s">
        <v>2603</v>
      </c>
      <c r="R175" s="9" t="s">
        <v>2568</v>
      </c>
    </row>
    <row r="176" spans="2:18" x14ac:dyDescent="0.25">
      <c r="B176" s="29" t="s">
        <v>2044</v>
      </c>
      <c r="C176" s="3" t="s">
        <v>2057</v>
      </c>
      <c r="D176" s="3" t="str">
        <f t="shared" si="35"/>
        <v>5.6.2</v>
      </c>
      <c r="E176" s="3" t="s">
        <v>1985</v>
      </c>
      <c r="F176" s="3" t="s">
        <v>2060</v>
      </c>
      <c r="G176" s="3" t="s">
        <v>1848</v>
      </c>
      <c r="H176" s="3" t="s">
        <v>2061</v>
      </c>
      <c r="I176" s="3" t="s">
        <v>1853</v>
      </c>
      <c r="J176" s="27" t="b">
        <f t="shared" si="32"/>
        <v>1</v>
      </c>
      <c r="K176" s="27" t="b">
        <f t="shared" si="31"/>
        <v>1</v>
      </c>
      <c r="L176" s="33" t="b">
        <f ca="1">IF(D176="n/a","n/a",ISNUMBER(MATCH(D176,'Measure-Level Adj Gas'!L:L,0)))</f>
        <v>1</v>
      </c>
      <c r="M176" s="27" t="b">
        <f t="shared" ca="1" si="33"/>
        <v>0</v>
      </c>
      <c r="N176" s="27" t="b">
        <f t="shared" ca="1" si="34"/>
        <v>1</v>
      </c>
      <c r="O176" s="36" t="b">
        <v>1</v>
      </c>
      <c r="P176" s="36" t="s">
        <v>2604</v>
      </c>
      <c r="Q176" s="37" t="s">
        <v>2573</v>
      </c>
      <c r="R176" s="9" t="s">
        <v>2568</v>
      </c>
    </row>
    <row r="177" spans="2:18" x14ac:dyDescent="0.25">
      <c r="B177" s="29" t="s">
        <v>2044</v>
      </c>
      <c r="C177" s="3" t="s">
        <v>2057</v>
      </c>
      <c r="D177" s="3" t="str">
        <f t="shared" si="35"/>
        <v>5.6.3</v>
      </c>
      <c r="E177" s="3" t="s">
        <v>1886</v>
      </c>
      <c r="F177" s="3" t="s">
        <v>2062</v>
      </c>
      <c r="G177" s="3" t="s">
        <v>1848</v>
      </c>
      <c r="H177" s="3" t="s">
        <v>2061</v>
      </c>
      <c r="I177" s="3" t="s">
        <v>1853</v>
      </c>
      <c r="J177" s="27" t="b">
        <f t="shared" si="32"/>
        <v>1</v>
      </c>
      <c r="K177" s="27" t="b">
        <f t="shared" si="31"/>
        <v>1</v>
      </c>
      <c r="L177" s="33" t="b">
        <f ca="1">IF(D177="n/a","n/a",ISNUMBER(MATCH(D177,'Measure-Level Adj Gas'!L:L,0)))</f>
        <v>1</v>
      </c>
      <c r="M177" s="27" t="b">
        <f t="shared" ca="1" si="33"/>
        <v>0</v>
      </c>
      <c r="N177" s="27" t="b">
        <f t="shared" ca="1" si="34"/>
        <v>1</v>
      </c>
      <c r="O177" s="36" t="b">
        <v>1</v>
      </c>
      <c r="P177" s="36" t="s">
        <v>2605</v>
      </c>
      <c r="Q177" s="39" t="s">
        <v>2606</v>
      </c>
      <c r="R177" s="9" t="s">
        <v>2568</v>
      </c>
    </row>
    <row r="178" spans="2:18" x14ac:dyDescent="0.25">
      <c r="B178" s="29" t="s">
        <v>2044</v>
      </c>
      <c r="C178" s="3" t="s">
        <v>2057</v>
      </c>
      <c r="D178" s="3" t="str">
        <f t="shared" si="35"/>
        <v>5.6.4</v>
      </c>
      <c r="E178" s="3" t="s">
        <v>1887</v>
      </c>
      <c r="F178" s="3" t="s">
        <v>2063</v>
      </c>
      <c r="G178" s="3" t="s">
        <v>1848</v>
      </c>
      <c r="H178" s="3" t="s">
        <v>2061</v>
      </c>
      <c r="I178" s="3" t="s">
        <v>1853</v>
      </c>
      <c r="J178" s="27" t="b">
        <f t="shared" si="32"/>
        <v>1</v>
      </c>
      <c r="K178" s="27" t="b">
        <f t="shared" si="31"/>
        <v>1</v>
      </c>
      <c r="L178" s="33" t="b">
        <f ca="1">IF(D178="n/a","n/a",ISNUMBER(MATCH(D178,'Measure-Level Adj Gas'!L:L,0)))</f>
        <v>1</v>
      </c>
      <c r="M178" s="27" t="b">
        <f t="shared" ca="1" si="33"/>
        <v>0</v>
      </c>
      <c r="N178" s="27" t="b">
        <f t="shared" ca="1" si="34"/>
        <v>1</v>
      </c>
      <c r="O178" s="36" t="b">
        <v>1</v>
      </c>
      <c r="P178" s="36" t="s">
        <v>2604</v>
      </c>
      <c r="Q178" s="41" t="s">
        <v>2607</v>
      </c>
      <c r="R178" s="9" t="s">
        <v>2568</v>
      </c>
    </row>
    <row r="179" spans="2:18" x14ac:dyDescent="0.25">
      <c r="B179" s="29" t="s">
        <v>2044</v>
      </c>
      <c r="C179" s="3" t="s">
        <v>2057</v>
      </c>
      <c r="D179" s="3" t="str">
        <f t="shared" si="35"/>
        <v>5.6.5</v>
      </c>
      <c r="E179" s="3" t="s">
        <v>1888</v>
      </c>
      <c r="F179" s="3" t="s">
        <v>2064</v>
      </c>
      <c r="G179" s="3" t="s">
        <v>1848</v>
      </c>
      <c r="H179" s="3" t="s">
        <v>2061</v>
      </c>
      <c r="I179" s="3" t="s">
        <v>1853</v>
      </c>
      <c r="J179" s="27" t="b">
        <f t="shared" si="32"/>
        <v>1</v>
      </c>
      <c r="K179" s="27" t="b">
        <f t="shared" si="31"/>
        <v>1</v>
      </c>
      <c r="L179" s="33" t="b">
        <f ca="1">IF(D179="n/a","n/a",ISNUMBER(MATCH(D179,'Measure-Level Adj Gas'!L:L,0)))</f>
        <v>1</v>
      </c>
      <c r="M179" s="27" t="b">
        <f t="shared" ca="1" si="33"/>
        <v>0</v>
      </c>
      <c r="N179" s="27" t="b">
        <f t="shared" ca="1" si="34"/>
        <v>1</v>
      </c>
      <c r="O179" s="36" t="b">
        <v>1</v>
      </c>
      <c r="P179" s="36" t="s">
        <v>2608</v>
      </c>
      <c r="Q179" s="39" t="s">
        <v>2574</v>
      </c>
      <c r="R179" s="9" t="s">
        <v>2568</v>
      </c>
    </row>
    <row r="180" spans="2:18" x14ac:dyDescent="0.25">
      <c r="B180" s="29" t="s">
        <v>2044</v>
      </c>
      <c r="C180" s="3" t="s">
        <v>2057</v>
      </c>
      <c r="D180" s="3" t="str">
        <f t="shared" si="35"/>
        <v>5.6.6</v>
      </c>
      <c r="E180" s="3" t="s">
        <v>1889</v>
      </c>
      <c r="F180" s="3" t="s">
        <v>2065</v>
      </c>
      <c r="G180" s="3" t="s">
        <v>1848</v>
      </c>
      <c r="H180" s="3" t="s">
        <v>2066</v>
      </c>
      <c r="I180" s="3" t="s">
        <v>1853</v>
      </c>
      <c r="J180" s="27" t="b">
        <f t="shared" si="32"/>
        <v>1</v>
      </c>
      <c r="K180" s="27" t="b">
        <f t="shared" si="31"/>
        <v>1</v>
      </c>
      <c r="L180" s="33" t="b">
        <f ca="1">IF(D180="n/a","n/a",ISNUMBER(MATCH(D180,'Measure-Level Adj Gas'!L:L,0)))</f>
        <v>1</v>
      </c>
      <c r="M180" s="27" t="b">
        <f t="shared" ca="1" si="33"/>
        <v>0</v>
      </c>
      <c r="N180" s="27" t="b">
        <f t="shared" ca="1" si="34"/>
        <v>1</v>
      </c>
      <c r="O180" s="36" t="b">
        <v>1</v>
      </c>
      <c r="P180" s="36" t="s">
        <v>2609</v>
      </c>
      <c r="Q180" s="39" t="s">
        <v>2610</v>
      </c>
      <c r="R180" s="9" t="s">
        <v>2568</v>
      </c>
    </row>
    <row r="181" spans="2:18" hidden="1" x14ac:dyDescent="0.25">
      <c r="B181" s="29" t="s">
        <v>2044</v>
      </c>
      <c r="C181" s="3" t="s">
        <v>2057</v>
      </c>
      <c r="D181" s="3" t="str">
        <f t="shared" si="35"/>
        <v>5.6.7</v>
      </c>
      <c r="E181" s="3" t="s">
        <v>2348</v>
      </c>
      <c r="F181" s="3" t="s">
        <v>2349</v>
      </c>
      <c r="G181" s="3" t="s">
        <v>1848</v>
      </c>
      <c r="H181" s="3" t="s">
        <v>2350</v>
      </c>
      <c r="I181" s="3" t="s">
        <v>1856</v>
      </c>
      <c r="J181" s="27" t="b">
        <f t="shared" si="32"/>
        <v>1</v>
      </c>
      <c r="K181" s="27" t="b">
        <f t="shared" si="31"/>
        <v>1</v>
      </c>
      <c r="L181" s="33" t="b">
        <f ca="1">IF(D181="n/a","n/a",ISNUMBER(MATCH(D181,'Measure-Level Adj Gas'!L:L,0)))</f>
        <v>0</v>
      </c>
      <c r="M181" s="27" t="b">
        <f t="shared" ca="1" si="33"/>
        <v>0</v>
      </c>
      <c r="N181" s="27" t="b">
        <f t="shared" ca="1" si="34"/>
        <v>0</v>
      </c>
      <c r="O181" s="35" t="s">
        <v>1469</v>
      </c>
      <c r="P181" s="36"/>
      <c r="Q181" s="36"/>
      <c r="R181" s="36"/>
    </row>
    <row r="182" spans="2:18" hidden="1" x14ac:dyDescent="0.25">
      <c r="B182" s="29" t="s">
        <v>2044</v>
      </c>
      <c r="C182" s="3" t="s">
        <v>2057</v>
      </c>
      <c r="D182" s="3" t="str">
        <f t="shared" si="35"/>
        <v>5.6.8</v>
      </c>
      <c r="E182" s="3" t="s">
        <v>2351</v>
      </c>
      <c r="F182" s="3" t="s">
        <v>2352</v>
      </c>
      <c r="G182" s="3" t="s">
        <v>1848</v>
      </c>
      <c r="H182" s="3" t="s">
        <v>2353</v>
      </c>
      <c r="I182" s="3" t="s">
        <v>1853</v>
      </c>
      <c r="J182" s="27" t="b">
        <f t="shared" si="32"/>
        <v>1</v>
      </c>
      <c r="K182" s="27" t="b">
        <f t="shared" si="31"/>
        <v>1</v>
      </c>
      <c r="L182" s="33" t="b">
        <f ca="1">IF(D182="n/a","n/a",ISNUMBER(MATCH(D182,'Measure-Level Adj Gas'!L:L,0)))</f>
        <v>0</v>
      </c>
      <c r="M182" s="27" t="b">
        <f t="shared" ca="1" si="33"/>
        <v>0</v>
      </c>
      <c r="N182" s="27" t="b">
        <f t="shared" ca="1" si="34"/>
        <v>0</v>
      </c>
      <c r="O182" s="35" t="s">
        <v>1469</v>
      </c>
      <c r="P182" s="36"/>
      <c r="Q182" s="36"/>
      <c r="R182" s="36"/>
    </row>
    <row r="183" spans="2:18" hidden="1" x14ac:dyDescent="0.25">
      <c r="B183" s="29" t="s">
        <v>2044</v>
      </c>
      <c r="C183" s="3" t="s">
        <v>2057</v>
      </c>
      <c r="D183" s="3" t="str">
        <f t="shared" si="35"/>
        <v>5.6.9</v>
      </c>
      <c r="E183" s="3" t="s">
        <v>1986</v>
      </c>
      <c r="F183" s="3" t="s">
        <v>2354</v>
      </c>
      <c r="G183" s="3" t="s">
        <v>1848</v>
      </c>
      <c r="H183" s="3" t="s">
        <v>2350</v>
      </c>
      <c r="I183" s="3" t="s">
        <v>1847</v>
      </c>
      <c r="J183" s="27" t="b">
        <f t="shared" si="32"/>
        <v>0</v>
      </c>
      <c r="K183" s="27" t="b">
        <f t="shared" si="31"/>
        <v>0</v>
      </c>
      <c r="L183" s="33" t="b">
        <f ca="1">IF(D183="n/a","n/a",ISNUMBER(MATCH(D183,'Measure-Level Adj Gas'!L:L,0)))</f>
        <v>0</v>
      </c>
      <c r="M183" s="27" t="b">
        <f t="shared" ca="1" si="33"/>
        <v>0</v>
      </c>
      <c r="N183" s="27" t="b">
        <f t="shared" ca="1" si="34"/>
        <v>0</v>
      </c>
      <c r="O183" s="35" t="s">
        <v>1469</v>
      </c>
      <c r="P183" s="36"/>
      <c r="Q183" s="36"/>
      <c r="R183" s="36"/>
    </row>
    <row r="184" spans="2:18" hidden="1" x14ac:dyDescent="0.25">
      <c r="B184" s="29" t="s">
        <v>2044</v>
      </c>
      <c r="C184" s="3" t="s">
        <v>2057</v>
      </c>
      <c r="D184" s="3" t="str">
        <f t="shared" si="35"/>
        <v>5.6.11</v>
      </c>
      <c r="E184" s="3" t="s">
        <v>2355</v>
      </c>
      <c r="F184" s="3" t="s">
        <v>2356</v>
      </c>
      <c r="G184" s="3" t="s">
        <v>1849</v>
      </c>
      <c r="H184" s="3" t="s">
        <v>1850</v>
      </c>
      <c r="I184" s="3" t="s">
        <v>1847</v>
      </c>
      <c r="J184" s="27" t="b">
        <f t="shared" si="32"/>
        <v>0</v>
      </c>
      <c r="K184" s="27" t="b">
        <f t="shared" si="31"/>
        <v>0</v>
      </c>
      <c r="L184" s="33" t="b">
        <f ca="1">IF(D184="n/a","n/a",ISNUMBER(MATCH(D184,'Measure-Level Adj Gas'!L:L,0)))</f>
        <v>0</v>
      </c>
      <c r="M184" s="27" t="b">
        <f t="shared" ca="1" si="33"/>
        <v>0</v>
      </c>
      <c r="N184" s="27" t="b">
        <f t="shared" ca="1" si="34"/>
        <v>0</v>
      </c>
      <c r="O184" s="35" t="s">
        <v>1469</v>
      </c>
      <c r="P184" s="36"/>
      <c r="Q184" s="36"/>
      <c r="R184" s="36"/>
    </row>
    <row r="185" spans="2:18" hidden="1" x14ac:dyDescent="0.25">
      <c r="B185" s="29" t="s">
        <v>2044</v>
      </c>
      <c r="C185" s="3" t="s">
        <v>2226</v>
      </c>
      <c r="D185" s="3" t="str">
        <f t="shared" si="35"/>
        <v>5.7.5</v>
      </c>
      <c r="E185" s="3" t="s">
        <v>1987</v>
      </c>
      <c r="F185" s="3" t="s">
        <v>2357</v>
      </c>
      <c r="G185" s="3" t="s">
        <v>1848</v>
      </c>
      <c r="H185" s="3" t="s">
        <v>2358</v>
      </c>
      <c r="I185" s="3" t="s">
        <v>1853</v>
      </c>
      <c r="J185" s="27" t="b">
        <f t="shared" si="32"/>
        <v>1</v>
      </c>
      <c r="K185" s="27" t="b">
        <f t="shared" si="31"/>
        <v>1</v>
      </c>
      <c r="L185" s="33" t="b">
        <f ca="1">IF(D185="n/a","n/a",ISNUMBER(MATCH(D185,'Measure-Level Adj Gas'!L:L,0)))</f>
        <v>0</v>
      </c>
      <c r="M185" s="27" t="b">
        <f t="shared" ca="1" si="33"/>
        <v>0</v>
      </c>
      <c r="N185" s="27" t="b">
        <f t="shared" ca="1" si="34"/>
        <v>0</v>
      </c>
      <c r="O185" s="35" t="s">
        <v>1469</v>
      </c>
      <c r="P185" s="36"/>
      <c r="Q185" s="36"/>
      <c r="R185" s="36"/>
    </row>
    <row r="186" spans="2:18" hidden="1" x14ac:dyDescent="0.25">
      <c r="B186" s="29" t="s">
        <v>2359</v>
      </c>
      <c r="C186" s="3" t="s">
        <v>2226</v>
      </c>
      <c r="D186" s="3" t="str">
        <f>IFERROR(LEFT(E186,FIND(" ",E186)-1),E186)</f>
        <v>6.1.1</v>
      </c>
      <c r="E186" s="3" t="s">
        <v>2360</v>
      </c>
      <c r="F186" s="3" t="s">
        <v>1847</v>
      </c>
      <c r="G186" s="3" t="s">
        <v>1848</v>
      </c>
      <c r="H186" s="3" t="s">
        <v>2361</v>
      </c>
      <c r="I186" s="3" t="s">
        <v>1847</v>
      </c>
      <c r="J186" s="27" t="b">
        <f t="shared" si="32"/>
        <v>0</v>
      </c>
      <c r="K186" s="27" t="b">
        <f t="shared" si="31"/>
        <v>0</v>
      </c>
      <c r="L186" s="33" t="b">
        <f ca="1">IF(D186="n/a","n/a",ISNUMBER(MATCH(D186,'Measure-Level Adj Gas'!L:L,0)))</f>
        <v>0</v>
      </c>
      <c r="M186" s="27" t="b">
        <f t="shared" ca="1" si="33"/>
        <v>0</v>
      </c>
      <c r="N186" s="27" t="b">
        <f t="shared" ca="1" si="34"/>
        <v>0</v>
      </c>
      <c r="O186" s="35" t="s">
        <v>1469</v>
      </c>
      <c r="P186" s="36"/>
      <c r="Q186" s="36"/>
      <c r="R186" s="36"/>
    </row>
    <row r="187" spans="2:18" x14ac:dyDescent="0.25">
      <c r="B187" s="30"/>
      <c r="C187" s="8"/>
      <c r="D187" s="8"/>
      <c r="E187" s="8"/>
      <c r="F187" s="8"/>
      <c r="G187" s="8"/>
      <c r="H187" s="8"/>
      <c r="I187" s="8"/>
      <c r="L187" s="31"/>
    </row>
    <row r="188" spans="2:18" x14ac:dyDescent="0.25">
      <c r="B188" s="30"/>
      <c r="C188" s="8"/>
      <c r="D188" s="8"/>
      <c r="E188" s="8"/>
      <c r="F188" s="8"/>
      <c r="G188" s="8"/>
      <c r="H188" s="8"/>
      <c r="I188" s="8"/>
      <c r="L188" s="31"/>
    </row>
    <row r="189" spans="2:18" x14ac:dyDescent="0.25">
      <c r="B189" s="30"/>
      <c r="C189" s="8"/>
      <c r="D189" s="8"/>
      <c r="E189" s="8"/>
      <c r="F189" s="8"/>
      <c r="G189" s="8"/>
      <c r="H189" s="8"/>
      <c r="I189" s="8"/>
      <c r="L189" s="31"/>
    </row>
    <row r="190" spans="2:18" x14ac:dyDescent="0.25">
      <c r="B190" s="30"/>
      <c r="C190" s="8"/>
      <c r="D190" s="8"/>
      <c r="E190" s="8"/>
      <c r="F190" s="8"/>
      <c r="G190" s="8"/>
      <c r="H190" s="8"/>
      <c r="I190" s="8"/>
      <c r="L190" s="31"/>
    </row>
    <row r="191" spans="2:18" x14ac:dyDescent="0.25">
      <c r="B191" s="30"/>
      <c r="C191" s="8"/>
      <c r="D191" s="8"/>
      <c r="E191" s="8"/>
      <c r="F191" s="8"/>
      <c r="G191" s="8"/>
      <c r="H191" s="8"/>
      <c r="I191" s="8"/>
      <c r="L191" s="31"/>
    </row>
    <row r="192" spans="2:18" x14ac:dyDescent="0.25">
      <c r="B192" s="30"/>
      <c r="C192" s="8"/>
      <c r="D192" s="8"/>
      <c r="E192" s="8"/>
      <c r="F192" s="8"/>
      <c r="G192" s="8"/>
      <c r="H192" s="8"/>
      <c r="I192" s="8"/>
      <c r="L192" s="31"/>
    </row>
    <row r="193" spans="2:17" x14ac:dyDescent="0.25">
      <c r="B193" s="30"/>
      <c r="C193" s="8"/>
      <c r="D193" s="8"/>
      <c r="E193" s="8"/>
      <c r="F193" s="8"/>
      <c r="G193" s="8"/>
      <c r="H193" s="8"/>
      <c r="I193" s="8"/>
      <c r="L193" s="31"/>
    </row>
    <row r="194" spans="2:17" x14ac:dyDescent="0.25">
      <c r="B194" s="30"/>
      <c r="C194" s="8"/>
      <c r="D194" s="8"/>
      <c r="E194" s="8"/>
      <c r="F194" s="8"/>
      <c r="G194" s="8"/>
      <c r="H194" s="8"/>
      <c r="I194" s="8"/>
      <c r="L194" s="31"/>
    </row>
    <row r="195" spans="2:17" x14ac:dyDescent="0.25">
      <c r="B195" s="30"/>
      <c r="C195" s="8"/>
      <c r="D195" s="8"/>
      <c r="E195" s="8"/>
      <c r="F195" s="8"/>
      <c r="G195" s="8"/>
      <c r="H195" s="8"/>
      <c r="I195" s="8"/>
      <c r="L195" s="31"/>
    </row>
    <row r="196" spans="2:17" x14ac:dyDescent="0.25">
      <c r="B196" s="30"/>
      <c r="C196" s="8"/>
      <c r="D196" s="8"/>
      <c r="E196" s="8"/>
      <c r="F196" s="8"/>
      <c r="G196" s="8"/>
      <c r="H196" s="8"/>
      <c r="I196" s="8"/>
      <c r="L196" s="31"/>
    </row>
    <row r="197" spans="2:17" x14ac:dyDescent="0.25">
      <c r="B197" s="30"/>
      <c r="C197" s="8"/>
      <c r="D197" s="8"/>
      <c r="E197" s="8"/>
      <c r="F197" s="8"/>
      <c r="G197" s="8"/>
      <c r="H197" s="8"/>
      <c r="I197" s="8"/>
      <c r="L197" s="31"/>
    </row>
    <row r="198" spans="2:17" x14ac:dyDescent="0.25">
      <c r="B198" s="30"/>
      <c r="C198" s="8"/>
      <c r="D198" s="8"/>
      <c r="E198" s="8"/>
      <c r="F198" s="8"/>
      <c r="G198" s="8"/>
      <c r="H198" s="8"/>
      <c r="I198" s="8"/>
      <c r="L198" s="31"/>
    </row>
    <row r="199" spans="2:17" x14ac:dyDescent="0.25">
      <c r="B199" s="30"/>
      <c r="C199" s="8"/>
      <c r="D199" s="8"/>
      <c r="E199" s="8"/>
      <c r="F199" s="8"/>
      <c r="G199" s="8"/>
      <c r="H199" s="8"/>
      <c r="I199" s="8"/>
      <c r="L199" s="31"/>
    </row>
    <row r="200" spans="2:17" x14ac:dyDescent="0.25">
      <c r="B200" s="30"/>
      <c r="C200" s="8"/>
      <c r="D200" s="8"/>
      <c r="E200" s="8"/>
      <c r="F200" s="8"/>
      <c r="G200" s="8"/>
      <c r="H200" s="8"/>
      <c r="I200" s="8"/>
      <c r="L200" s="31"/>
    </row>
    <row r="201" spans="2:17" x14ac:dyDescent="0.25">
      <c r="B201" s="30"/>
      <c r="C201" s="8"/>
      <c r="D201" s="8"/>
      <c r="E201" s="8"/>
      <c r="F201" s="8"/>
      <c r="G201" s="8"/>
      <c r="H201" s="8"/>
      <c r="I201" s="8"/>
      <c r="L201" s="31"/>
    </row>
    <row r="202" spans="2:17" x14ac:dyDescent="0.25">
      <c r="B202" s="30"/>
      <c r="C202" s="8"/>
      <c r="D202" s="8"/>
      <c r="E202" s="8"/>
      <c r="F202" s="8"/>
      <c r="G202" s="8"/>
      <c r="H202" s="8"/>
      <c r="I202" s="8"/>
      <c r="L202" s="31"/>
    </row>
    <row r="203" spans="2:17" x14ac:dyDescent="0.25">
      <c r="B203" s="30"/>
      <c r="C203" s="8"/>
      <c r="D203" s="8"/>
      <c r="E203" s="8"/>
      <c r="F203" s="8"/>
      <c r="G203" s="8"/>
      <c r="H203" s="8"/>
      <c r="I203" s="8"/>
      <c r="L203" s="31"/>
    </row>
    <row r="204" spans="2:17" x14ac:dyDescent="0.25">
      <c r="B204" s="30"/>
      <c r="C204" s="8"/>
      <c r="D204" s="8"/>
      <c r="E204" s="8"/>
      <c r="F204" s="8"/>
      <c r="G204" s="8"/>
      <c r="H204" s="8"/>
      <c r="I204" s="8"/>
      <c r="L204" s="31"/>
    </row>
    <row r="205" spans="2:17" x14ac:dyDescent="0.25">
      <c r="B205" s="30"/>
      <c r="C205" s="8"/>
      <c r="D205" s="8"/>
      <c r="E205" s="8"/>
      <c r="F205" s="8"/>
      <c r="G205" s="8"/>
      <c r="H205" s="8"/>
      <c r="I205" s="8"/>
      <c r="L205" s="31"/>
    </row>
    <row r="206" spans="2:17" x14ac:dyDescent="0.25">
      <c r="B206" s="30"/>
      <c r="C206" s="8"/>
      <c r="D206" s="8"/>
      <c r="E206" s="8"/>
      <c r="F206" s="8"/>
      <c r="G206" s="8"/>
      <c r="H206" s="8"/>
      <c r="I206" s="8"/>
      <c r="L206" s="31"/>
    </row>
    <row r="207" spans="2:17" x14ac:dyDescent="0.25">
      <c r="B207" s="30"/>
      <c r="C207" s="8"/>
      <c r="D207" s="8"/>
      <c r="E207" s="8"/>
      <c r="F207" s="8"/>
      <c r="G207" s="8"/>
      <c r="H207" s="8"/>
      <c r="I207" s="8"/>
      <c r="L207" s="31"/>
    </row>
    <row r="208" spans="2:17" x14ac:dyDescent="0.25">
      <c r="B208" s="30"/>
      <c r="C208" s="8"/>
      <c r="D208" s="8"/>
      <c r="E208" s="8"/>
      <c r="F208" s="8"/>
      <c r="G208" s="8"/>
      <c r="H208" s="8"/>
      <c r="I208" s="8"/>
      <c r="L208" s="31"/>
      <c r="Q208" s="34"/>
    </row>
    <row r="209" spans="2:17" x14ac:dyDescent="0.25">
      <c r="B209" s="30"/>
      <c r="C209" s="8"/>
      <c r="D209" s="8"/>
      <c r="E209" s="8"/>
      <c r="F209" s="8"/>
      <c r="G209" s="8"/>
      <c r="H209" s="8"/>
      <c r="I209" s="8"/>
      <c r="L209" s="31"/>
      <c r="P209" s="8"/>
      <c r="Q209" s="34"/>
    </row>
    <row r="210" spans="2:17" x14ac:dyDescent="0.25">
      <c r="B210" s="30"/>
      <c r="C210" s="8"/>
      <c r="D210" s="8"/>
      <c r="E210" s="8"/>
      <c r="F210" s="8"/>
      <c r="G210" s="8"/>
      <c r="H210" s="8"/>
      <c r="I210" s="8"/>
      <c r="L210" s="31"/>
    </row>
    <row r="211" spans="2:17" x14ac:dyDescent="0.25">
      <c r="B211" s="30"/>
      <c r="C211" s="8"/>
      <c r="D211" s="8"/>
      <c r="E211" s="8"/>
      <c r="F211" s="8"/>
      <c r="G211" s="8"/>
      <c r="H211" s="8"/>
      <c r="I211" s="8"/>
      <c r="L211" s="31"/>
    </row>
    <row r="212" spans="2:17" x14ac:dyDescent="0.25">
      <c r="B212" s="30"/>
      <c r="C212" s="8"/>
      <c r="D212" s="8"/>
      <c r="E212" s="8"/>
      <c r="F212" s="8"/>
      <c r="G212" s="8"/>
      <c r="H212" s="8"/>
      <c r="I212" s="8"/>
      <c r="L212" s="31"/>
      <c r="P212" s="8"/>
      <c r="Q212" s="34"/>
    </row>
    <row r="213" spans="2:17" x14ac:dyDescent="0.25">
      <c r="B213" s="30"/>
      <c r="C213" s="8"/>
      <c r="D213" s="8"/>
      <c r="E213" s="8"/>
      <c r="F213" s="8"/>
      <c r="G213" s="8"/>
      <c r="H213" s="8"/>
      <c r="I213" s="8"/>
      <c r="L213" s="31"/>
      <c r="Q213" s="34"/>
    </row>
    <row r="214" spans="2:17" x14ac:dyDescent="0.25">
      <c r="B214" s="30"/>
      <c r="C214" s="8"/>
      <c r="D214" s="8"/>
      <c r="E214" s="8"/>
      <c r="F214" s="8"/>
      <c r="G214" s="8"/>
      <c r="H214" s="8"/>
      <c r="I214" s="8"/>
      <c r="L214" s="31"/>
      <c r="P214" s="8"/>
      <c r="Q214" s="34"/>
    </row>
    <row r="215" spans="2:17" x14ac:dyDescent="0.25">
      <c r="B215" s="30"/>
      <c r="C215" s="8"/>
      <c r="D215" s="8"/>
      <c r="E215" s="8"/>
      <c r="F215" s="8"/>
      <c r="G215" s="8"/>
      <c r="H215" s="8"/>
      <c r="I215" s="8"/>
      <c r="L215" s="31"/>
      <c r="Q215" s="34"/>
    </row>
    <row r="216" spans="2:17" x14ac:dyDescent="0.25">
      <c r="B216" s="30"/>
      <c r="C216" s="8"/>
      <c r="D216" s="8"/>
      <c r="E216" s="8"/>
      <c r="F216" s="8"/>
      <c r="G216" s="8"/>
      <c r="H216" s="8"/>
      <c r="I216" s="8"/>
      <c r="L216" s="31"/>
    </row>
    <row r="217" spans="2:17" x14ac:dyDescent="0.25">
      <c r="B217" s="30"/>
      <c r="C217" s="8"/>
      <c r="D217" s="8"/>
      <c r="E217" s="8"/>
      <c r="F217" s="8"/>
      <c r="G217" s="8"/>
      <c r="H217" s="8"/>
      <c r="I217" s="8"/>
      <c r="L217" s="31"/>
      <c r="P217" s="8"/>
    </row>
    <row r="218" spans="2:17" x14ac:dyDescent="0.25">
      <c r="B218" s="30"/>
      <c r="C218" s="8"/>
      <c r="D218" s="8"/>
      <c r="E218" s="8"/>
      <c r="F218" s="8"/>
      <c r="G218" s="8"/>
      <c r="H218" s="8"/>
      <c r="I218" s="8"/>
      <c r="L218" s="31"/>
    </row>
    <row r="219" spans="2:17" x14ac:dyDescent="0.25">
      <c r="B219" s="30"/>
      <c r="C219" s="8"/>
      <c r="D219" s="8"/>
      <c r="E219" s="8"/>
      <c r="F219" s="8"/>
      <c r="G219" s="8"/>
      <c r="H219" s="8"/>
      <c r="I219" s="8"/>
      <c r="L219" s="31"/>
    </row>
    <row r="220" spans="2:17" x14ac:dyDescent="0.25">
      <c r="B220" s="30"/>
      <c r="C220" s="8"/>
      <c r="D220" s="8"/>
      <c r="E220" s="8"/>
      <c r="F220" s="8"/>
      <c r="G220" s="8"/>
      <c r="H220" s="8"/>
      <c r="I220" s="8"/>
      <c r="L220" s="31"/>
    </row>
    <row r="221" spans="2:17" x14ac:dyDescent="0.25">
      <c r="B221" s="30"/>
      <c r="C221" s="8"/>
      <c r="D221" s="8"/>
      <c r="E221" s="8"/>
      <c r="F221" s="8"/>
      <c r="G221" s="8"/>
      <c r="H221" s="8"/>
      <c r="I221" s="8"/>
      <c r="L221" s="31"/>
    </row>
    <row r="222" spans="2:17" x14ac:dyDescent="0.25">
      <c r="B222" s="30"/>
      <c r="C222" s="8"/>
      <c r="D222" s="8"/>
      <c r="E222" s="8"/>
      <c r="F222" s="8"/>
      <c r="G222" s="8"/>
      <c r="H222" s="8"/>
      <c r="I222" s="8"/>
      <c r="L222" s="31"/>
    </row>
    <row r="223" spans="2:17" x14ac:dyDescent="0.25">
      <c r="B223" s="30"/>
      <c r="C223" s="8"/>
      <c r="D223" s="8"/>
      <c r="E223" s="8"/>
      <c r="F223" s="8"/>
      <c r="G223" s="8"/>
      <c r="H223" s="8"/>
      <c r="I223" s="8"/>
      <c r="L223" s="31"/>
    </row>
    <row r="224" spans="2:17" x14ac:dyDescent="0.25">
      <c r="B224" s="30"/>
      <c r="C224" s="8"/>
      <c r="D224" s="8"/>
      <c r="E224" s="8"/>
      <c r="F224" s="8"/>
      <c r="G224" s="8"/>
      <c r="H224" s="8"/>
      <c r="I224" s="8"/>
      <c r="L224" s="31"/>
    </row>
    <row r="225" spans="2:12" x14ac:dyDescent="0.25">
      <c r="B225" s="30"/>
      <c r="C225" s="8"/>
      <c r="D225" s="8"/>
      <c r="E225" s="8"/>
      <c r="F225" s="8"/>
      <c r="G225" s="8"/>
      <c r="H225" s="8"/>
      <c r="I225" s="8"/>
      <c r="L225" s="31"/>
    </row>
    <row r="226" spans="2:12" x14ac:dyDescent="0.25">
      <c r="B226" s="30"/>
      <c r="C226" s="8"/>
      <c r="D226" s="8"/>
      <c r="E226" s="8"/>
      <c r="F226" s="8"/>
      <c r="G226" s="8"/>
      <c r="H226" s="8"/>
      <c r="I226" s="8"/>
      <c r="L226" s="31"/>
    </row>
    <row r="227" spans="2:12" x14ac:dyDescent="0.25">
      <c r="B227" s="30"/>
      <c r="C227" s="8"/>
      <c r="D227" s="8"/>
      <c r="E227" s="8"/>
      <c r="F227" s="8"/>
      <c r="G227" s="8"/>
      <c r="H227" s="8"/>
      <c r="I227" s="8"/>
      <c r="L227" s="31"/>
    </row>
    <row r="228" spans="2:12" x14ac:dyDescent="0.25">
      <c r="B228" s="30"/>
      <c r="C228" s="8"/>
      <c r="D228" s="8"/>
      <c r="E228" s="8"/>
      <c r="F228" s="8"/>
      <c r="G228" s="8"/>
      <c r="H228" s="8"/>
      <c r="I228" s="8"/>
      <c r="L228" s="31"/>
    </row>
    <row r="229" spans="2:12" x14ac:dyDescent="0.25">
      <c r="B229" s="30"/>
      <c r="C229" s="8"/>
      <c r="D229" s="8"/>
      <c r="E229" s="8"/>
      <c r="F229" s="8"/>
      <c r="G229" s="8"/>
      <c r="H229" s="8"/>
      <c r="I229" s="8"/>
      <c r="L229" s="31"/>
    </row>
    <row r="230" spans="2:12" x14ac:dyDescent="0.25">
      <c r="B230" s="30"/>
      <c r="C230" s="8"/>
      <c r="D230" s="8"/>
      <c r="E230" s="8"/>
      <c r="F230" s="8"/>
      <c r="G230" s="8"/>
      <c r="H230" s="8"/>
      <c r="I230" s="8"/>
      <c r="L230" s="31"/>
    </row>
    <row r="231" spans="2:12" x14ac:dyDescent="0.25">
      <c r="B231" s="30"/>
      <c r="C231" s="8"/>
      <c r="D231" s="8"/>
      <c r="E231" s="8"/>
      <c r="F231" s="8"/>
      <c r="G231" s="8"/>
      <c r="H231" s="8"/>
      <c r="I231" s="8"/>
      <c r="L231" s="31"/>
    </row>
    <row r="232" spans="2:12" x14ac:dyDescent="0.25">
      <c r="B232" s="30"/>
      <c r="C232" s="8"/>
      <c r="D232" s="8"/>
      <c r="E232" s="8"/>
      <c r="F232" s="8"/>
      <c r="G232" s="8"/>
      <c r="H232" s="8"/>
      <c r="I232" s="8"/>
      <c r="L232" s="31"/>
    </row>
    <row r="233" spans="2:12" x14ac:dyDescent="0.25">
      <c r="B233" s="30"/>
      <c r="C233" s="8"/>
      <c r="D233" s="8"/>
      <c r="E233" s="8"/>
      <c r="F233" s="8"/>
      <c r="G233" s="8"/>
      <c r="H233" s="8"/>
      <c r="I233" s="8"/>
      <c r="L233" s="31"/>
    </row>
    <row r="234" spans="2:12" x14ac:dyDescent="0.25">
      <c r="B234" s="30"/>
      <c r="C234" s="8"/>
      <c r="D234" s="8"/>
      <c r="E234" s="8"/>
      <c r="F234" s="8"/>
      <c r="G234" s="8"/>
      <c r="H234" s="8"/>
      <c r="I234" s="8"/>
      <c r="L234" s="31"/>
    </row>
    <row r="235" spans="2:12" x14ac:dyDescent="0.25">
      <c r="B235" s="30"/>
      <c r="C235" s="8"/>
      <c r="D235" s="8"/>
      <c r="E235" s="8"/>
      <c r="F235" s="8"/>
      <c r="G235" s="8"/>
      <c r="H235" s="8"/>
      <c r="I235" s="8"/>
      <c r="L235" s="31"/>
    </row>
    <row r="236" spans="2:12" x14ac:dyDescent="0.25">
      <c r="B236" s="30"/>
      <c r="C236" s="8"/>
      <c r="D236" s="8"/>
      <c r="E236" s="8"/>
      <c r="F236" s="8"/>
      <c r="G236" s="8"/>
      <c r="H236" s="8"/>
      <c r="I236" s="8"/>
      <c r="L236" s="31"/>
    </row>
    <row r="237" spans="2:12" x14ac:dyDescent="0.25">
      <c r="B237" s="30"/>
      <c r="C237" s="8"/>
      <c r="D237" s="8"/>
      <c r="E237" s="8"/>
      <c r="F237" s="8"/>
      <c r="G237" s="8"/>
      <c r="H237" s="8"/>
      <c r="I237" s="8"/>
      <c r="L237" s="31"/>
    </row>
    <row r="238" spans="2:12" x14ac:dyDescent="0.25">
      <c r="B238" s="30"/>
      <c r="C238" s="8"/>
      <c r="D238" s="8"/>
      <c r="E238" s="8"/>
      <c r="F238" s="8"/>
      <c r="G238" s="8"/>
      <c r="H238" s="8"/>
      <c r="I238" s="8"/>
      <c r="L238" s="31"/>
    </row>
    <row r="239" spans="2:12" x14ac:dyDescent="0.25">
      <c r="B239" s="30"/>
      <c r="C239" s="8"/>
      <c r="D239" s="8"/>
      <c r="E239" s="8"/>
      <c r="F239" s="8"/>
      <c r="G239" s="8"/>
      <c r="H239" s="8"/>
      <c r="I239" s="8"/>
      <c r="L239" s="31"/>
    </row>
    <row r="240" spans="2:12" x14ac:dyDescent="0.25">
      <c r="B240" s="30"/>
      <c r="C240" s="8"/>
      <c r="D240" s="8"/>
      <c r="E240" s="8"/>
      <c r="F240" s="8"/>
      <c r="G240" s="8"/>
      <c r="H240" s="8"/>
      <c r="I240" s="8"/>
      <c r="L240" s="31"/>
    </row>
    <row r="241" spans="2:17" x14ac:dyDescent="0.25">
      <c r="B241" s="30"/>
      <c r="C241" s="8"/>
      <c r="D241" s="8"/>
      <c r="E241" s="8"/>
      <c r="F241" s="8"/>
      <c r="G241" s="8"/>
      <c r="H241" s="8"/>
      <c r="I241" s="8"/>
      <c r="L241" s="31"/>
    </row>
    <row r="242" spans="2:17" x14ac:dyDescent="0.25">
      <c r="B242" s="30"/>
      <c r="C242" s="8"/>
      <c r="D242" s="8"/>
      <c r="E242" s="8"/>
      <c r="F242" s="8"/>
      <c r="G242" s="8"/>
      <c r="H242" s="8"/>
      <c r="I242" s="8"/>
      <c r="L242" s="31"/>
    </row>
    <row r="243" spans="2:17" x14ac:dyDescent="0.25">
      <c r="B243" s="30"/>
      <c r="C243" s="8"/>
      <c r="D243" s="8"/>
      <c r="E243" s="8"/>
      <c r="F243" s="8"/>
      <c r="G243" s="8"/>
      <c r="H243" s="8"/>
      <c r="I243" s="8"/>
      <c r="L243" s="31"/>
    </row>
    <row r="244" spans="2:17" x14ac:dyDescent="0.25">
      <c r="B244" s="30"/>
      <c r="C244" s="8"/>
      <c r="D244" s="8"/>
      <c r="E244" s="8"/>
      <c r="F244" s="8"/>
      <c r="G244" s="8"/>
      <c r="H244" s="8"/>
      <c r="I244" s="8"/>
      <c r="L244" s="31"/>
    </row>
    <row r="245" spans="2:17" x14ac:dyDescent="0.25">
      <c r="B245" s="30"/>
      <c r="C245" s="8"/>
      <c r="D245" s="8"/>
      <c r="E245" s="8"/>
      <c r="F245" s="8"/>
      <c r="G245" s="8"/>
      <c r="H245" s="8"/>
      <c r="I245" s="8"/>
      <c r="L245" s="31"/>
    </row>
    <row r="246" spans="2:17" x14ac:dyDescent="0.25">
      <c r="B246" s="30"/>
      <c r="C246" s="8"/>
      <c r="D246" s="8"/>
      <c r="E246" s="8"/>
      <c r="F246" s="8"/>
      <c r="G246" s="8"/>
      <c r="H246" s="8"/>
      <c r="I246" s="8"/>
      <c r="L246" s="31"/>
      <c r="Q246" s="34"/>
    </row>
    <row r="247" spans="2:17" x14ac:dyDescent="0.25">
      <c r="B247" s="30"/>
      <c r="C247" s="8"/>
      <c r="D247" s="8"/>
      <c r="E247" s="8"/>
      <c r="F247" s="8"/>
      <c r="G247" s="8"/>
      <c r="H247" s="8"/>
      <c r="I247" s="8"/>
      <c r="L247" s="31"/>
      <c r="P247" s="8"/>
    </row>
    <row r="248" spans="2:17" x14ac:dyDescent="0.25">
      <c r="B248" s="30"/>
      <c r="C248" s="8"/>
      <c r="D248" s="8"/>
      <c r="E248" s="8"/>
      <c r="F248" s="8"/>
      <c r="G248" s="8"/>
      <c r="H248" s="8"/>
      <c r="I248" s="8"/>
      <c r="L248" s="31"/>
      <c r="Q248" s="32"/>
    </row>
    <row r="249" spans="2:17" x14ac:dyDescent="0.25">
      <c r="B249" s="30"/>
      <c r="C249" s="8"/>
      <c r="D249" s="8"/>
      <c r="E249" s="8"/>
      <c r="F249" s="8"/>
      <c r="G249" s="8"/>
      <c r="H249" s="8"/>
      <c r="I249" s="8"/>
      <c r="L249" s="31"/>
    </row>
    <row r="250" spans="2:17" x14ac:dyDescent="0.25">
      <c r="B250" s="30"/>
      <c r="C250" s="8"/>
      <c r="D250" s="8"/>
      <c r="E250" s="8"/>
      <c r="F250" s="8"/>
      <c r="G250" s="8"/>
      <c r="H250" s="8"/>
      <c r="I250" s="8"/>
      <c r="L250" s="31"/>
      <c r="Q250" s="34"/>
    </row>
    <row r="251" spans="2:17" x14ac:dyDescent="0.25">
      <c r="B251" s="30"/>
      <c r="C251" s="8"/>
      <c r="D251" s="8"/>
      <c r="E251" s="8"/>
      <c r="F251" s="8"/>
      <c r="G251" s="8"/>
      <c r="H251" s="8"/>
      <c r="I251" s="8"/>
      <c r="L251" s="31"/>
      <c r="P251" s="8"/>
    </row>
    <row r="252" spans="2:17" x14ac:dyDescent="0.25">
      <c r="B252" s="30"/>
      <c r="C252" s="8"/>
      <c r="D252" s="8"/>
      <c r="E252" s="8"/>
      <c r="F252" s="8"/>
      <c r="G252" s="8"/>
      <c r="H252" s="8"/>
      <c r="I252" s="8"/>
      <c r="L252" s="31"/>
      <c r="Q252" s="34"/>
    </row>
    <row r="253" spans="2:17" x14ac:dyDescent="0.25">
      <c r="B253" s="30"/>
      <c r="C253" s="8"/>
      <c r="D253" s="8"/>
      <c r="E253" s="8"/>
      <c r="F253" s="8"/>
      <c r="G253" s="8"/>
      <c r="H253" s="8"/>
      <c r="I253" s="8"/>
      <c r="L253" s="31"/>
      <c r="P253" s="8"/>
    </row>
    <row r="254" spans="2:17" x14ac:dyDescent="0.25">
      <c r="B254" s="30"/>
      <c r="C254" s="8"/>
      <c r="D254" s="8"/>
      <c r="E254" s="8"/>
      <c r="F254" s="8"/>
      <c r="G254" s="8"/>
      <c r="H254" s="8"/>
      <c r="I254" s="8"/>
      <c r="L254" s="31"/>
      <c r="Q254" s="34"/>
    </row>
    <row r="255" spans="2:17" x14ac:dyDescent="0.25">
      <c r="B255" s="30"/>
      <c r="C255" s="8"/>
      <c r="D255" s="8"/>
      <c r="E255" s="8"/>
      <c r="F255" s="8"/>
      <c r="G255" s="8"/>
      <c r="H255" s="8"/>
      <c r="I255" s="8"/>
      <c r="L255" s="31"/>
      <c r="P255" s="8"/>
    </row>
    <row r="256" spans="2:17" x14ac:dyDescent="0.25">
      <c r="B256" s="30"/>
      <c r="C256" s="8"/>
      <c r="D256" s="8"/>
      <c r="E256" s="8"/>
      <c r="F256" s="8"/>
      <c r="G256" s="8"/>
      <c r="H256" s="8"/>
      <c r="I256" s="8"/>
      <c r="L256" s="31"/>
      <c r="Q256" s="34"/>
    </row>
    <row r="257" spans="2:17" x14ac:dyDescent="0.25">
      <c r="B257" s="30"/>
      <c r="C257" s="8"/>
      <c r="D257" s="8"/>
      <c r="E257" s="8"/>
      <c r="F257" s="8"/>
      <c r="G257" s="8"/>
      <c r="H257" s="8"/>
      <c r="I257" s="8"/>
      <c r="L257" s="31"/>
      <c r="P257" s="8"/>
    </row>
    <row r="258" spans="2:17" x14ac:dyDescent="0.25">
      <c r="B258" s="30"/>
      <c r="C258" s="8"/>
      <c r="D258" s="8"/>
      <c r="E258" s="8"/>
      <c r="F258" s="8"/>
      <c r="G258" s="8"/>
      <c r="H258" s="8"/>
      <c r="I258" s="8"/>
      <c r="L258" s="31"/>
      <c r="Q258" s="34"/>
    </row>
    <row r="259" spans="2:17" x14ac:dyDescent="0.25">
      <c r="B259" s="30"/>
      <c r="C259" s="8"/>
      <c r="D259" s="8"/>
      <c r="E259" s="8"/>
      <c r="F259" s="8"/>
      <c r="G259" s="8"/>
      <c r="H259" s="8"/>
      <c r="I259" s="8"/>
      <c r="L259" s="31"/>
      <c r="P259" s="8"/>
    </row>
    <row r="260" spans="2:17" x14ac:dyDescent="0.25">
      <c r="B260" s="30"/>
      <c r="C260" s="8"/>
      <c r="D260" s="8"/>
      <c r="E260" s="8"/>
      <c r="F260" s="8"/>
      <c r="G260" s="8"/>
      <c r="H260" s="8"/>
      <c r="I260" s="8"/>
      <c r="L260" s="31"/>
    </row>
    <row r="261" spans="2:17" x14ac:dyDescent="0.25">
      <c r="B261" s="30"/>
      <c r="C261" s="8"/>
      <c r="D261" s="8"/>
      <c r="E261" s="8"/>
      <c r="F261" s="8"/>
      <c r="G261" s="8"/>
      <c r="H261" s="8"/>
      <c r="I261" s="8"/>
      <c r="L261" s="31"/>
    </row>
    <row r="262" spans="2:17" x14ac:dyDescent="0.25">
      <c r="B262" s="30"/>
      <c r="C262" s="8"/>
      <c r="D262" s="8"/>
      <c r="E262" s="8"/>
      <c r="F262" s="8"/>
      <c r="G262" s="8"/>
      <c r="H262" s="8"/>
      <c r="I262" s="8"/>
      <c r="L262" s="31"/>
    </row>
    <row r="263" spans="2:17" x14ac:dyDescent="0.25">
      <c r="B263" s="30"/>
      <c r="C263" s="8"/>
      <c r="D263" s="8"/>
      <c r="E263" s="8"/>
      <c r="F263" s="8"/>
      <c r="G263" s="8"/>
      <c r="H263" s="8"/>
      <c r="I263" s="8"/>
      <c r="L263" s="31"/>
    </row>
    <row r="264" spans="2:17" x14ac:dyDescent="0.25">
      <c r="B264" s="30"/>
      <c r="C264" s="8"/>
      <c r="D264" s="8"/>
      <c r="E264" s="8"/>
      <c r="F264" s="8"/>
      <c r="G264" s="8"/>
      <c r="H264" s="8"/>
      <c r="I264" s="8"/>
      <c r="L264" s="31"/>
    </row>
    <row r="265" spans="2:17" x14ac:dyDescent="0.25">
      <c r="B265" s="30"/>
      <c r="C265" s="8"/>
      <c r="D265" s="8"/>
      <c r="E265" s="8"/>
      <c r="F265" s="8"/>
      <c r="G265" s="8"/>
      <c r="H265" s="8"/>
      <c r="I265" s="8"/>
      <c r="L265" s="31"/>
    </row>
    <row r="266" spans="2:17" x14ac:dyDescent="0.25">
      <c r="B266" s="30"/>
      <c r="C266" s="30"/>
      <c r="D266" s="30"/>
      <c r="E266" s="8"/>
      <c r="F266" s="8"/>
      <c r="G266" s="8"/>
      <c r="H266" s="8"/>
      <c r="I266" s="8"/>
      <c r="L266" s="31"/>
    </row>
    <row r="267" spans="2:17" x14ac:dyDescent="0.25">
      <c r="B267" s="30"/>
      <c r="C267" s="30"/>
      <c r="D267" s="30"/>
      <c r="E267" s="8"/>
      <c r="F267" s="8"/>
      <c r="G267" s="8"/>
      <c r="H267" s="8"/>
      <c r="I267" s="8"/>
      <c r="L267" s="31"/>
    </row>
    <row r="268" spans="2:17" x14ac:dyDescent="0.25">
      <c r="B268" s="8"/>
      <c r="C268" s="8"/>
      <c r="D268" s="8"/>
      <c r="E268" s="8"/>
      <c r="F268" s="30"/>
      <c r="G268" s="8"/>
      <c r="H268" s="8"/>
      <c r="I268" s="8"/>
      <c r="L268" s="31"/>
    </row>
    <row r="269" spans="2:17" x14ac:dyDescent="0.25">
      <c r="B269" s="8"/>
      <c r="C269" s="8"/>
      <c r="D269" s="8"/>
      <c r="E269" s="8"/>
      <c r="F269" s="30"/>
      <c r="G269" s="8"/>
      <c r="H269" s="8"/>
      <c r="I269" s="8"/>
      <c r="L269" s="31"/>
    </row>
    <row r="270" spans="2:17" x14ac:dyDescent="0.25">
      <c r="B270" s="8"/>
      <c r="C270" s="8"/>
      <c r="D270" s="8"/>
      <c r="E270" s="8"/>
      <c r="F270" s="30"/>
      <c r="G270" s="8"/>
      <c r="H270" s="8"/>
      <c r="I270" s="8"/>
      <c r="L270" s="31"/>
    </row>
    <row r="271" spans="2:17" x14ac:dyDescent="0.25">
      <c r="B271" s="8"/>
      <c r="C271" s="8"/>
      <c r="D271" s="8"/>
      <c r="E271" s="8"/>
      <c r="F271" s="30"/>
      <c r="G271" s="8"/>
      <c r="H271" s="8"/>
      <c r="I271" s="8"/>
      <c r="L271" s="31"/>
    </row>
    <row r="272" spans="2:17" x14ac:dyDescent="0.25">
      <c r="B272" s="8"/>
      <c r="C272" s="8"/>
      <c r="D272" s="8"/>
      <c r="E272" s="8"/>
      <c r="F272" s="30"/>
      <c r="G272" s="8"/>
      <c r="H272" s="8"/>
      <c r="I272" s="8"/>
      <c r="L272" s="31"/>
    </row>
    <row r="273" spans="2:12" x14ac:dyDescent="0.25">
      <c r="B273" s="8"/>
      <c r="C273" s="8"/>
      <c r="D273" s="8"/>
      <c r="E273" s="8"/>
      <c r="F273" s="8"/>
      <c r="G273" s="8"/>
      <c r="H273" s="8"/>
      <c r="I273" s="8"/>
      <c r="L273" s="31"/>
    </row>
    <row r="274" spans="2:12" x14ac:dyDescent="0.25">
      <c r="B274" s="8"/>
      <c r="C274" s="8"/>
      <c r="D274" s="8"/>
      <c r="E274" s="8"/>
      <c r="F274" s="8"/>
      <c r="G274" s="8"/>
      <c r="H274" s="8"/>
      <c r="I274" s="8"/>
      <c r="L274" s="31"/>
    </row>
    <row r="275" spans="2:12" x14ac:dyDescent="0.25">
      <c r="B275" s="8"/>
      <c r="C275" s="8"/>
      <c r="D275" s="8"/>
      <c r="E275" s="8"/>
      <c r="F275" s="8"/>
      <c r="G275" s="8"/>
      <c r="H275" s="8"/>
      <c r="I275" s="8"/>
      <c r="L275" s="31"/>
    </row>
  </sheetData>
  <autoFilter ref="B28:R186" xr:uid="{DDBDBC78-35F9-4645-9A30-DDD291A5FDB9}">
    <filterColumn colId="13">
      <filters>
        <filter val="TRUE"/>
      </filters>
    </filterColumn>
  </autoFilter>
  <hyperlinks>
    <hyperlink ref="R53" location="Algorithms!G2468" display="Go to Update" xr:uid="{21601F55-F88E-4064-B5FC-AEBA01C9D7E3}"/>
    <hyperlink ref="R59" location="Algorithms!G2805" display="Go to Update" xr:uid="{89052354-A13E-48CD-AB36-E4F66B9CBE8B}"/>
    <hyperlink ref="R60" location="Algorithms!G2796" display="Go to Update" xr:uid="{F430153C-D880-4BC4-873E-B5CE1EA005FD}"/>
    <hyperlink ref="R61" location="Algorithms!G2787" display="Go to Update" xr:uid="{A0BC2657-1300-459B-9FE5-8C01BF268D21}"/>
    <hyperlink ref="R63" location="Algorithms!G2743" display="Go to Update" xr:uid="{CDB6B593-67CE-4A9C-8CDC-1D196892C5F1}"/>
    <hyperlink ref="R71" location="Algorithms!G1906" display="Go to Update" xr:uid="{70C9E47B-0F97-4908-872F-2792B87C7F20}"/>
    <hyperlink ref="R77" location="Algorithms!G979" display="Go to Update" xr:uid="{E43DC256-A264-4876-85E9-158D0ED28CA9}"/>
    <hyperlink ref="R78" location="Algorithms!G1150" display="Go to Update" xr:uid="{61A4054D-D48A-473A-A5A1-E9A9805227B1}"/>
    <hyperlink ref="R84" location="Algorithms!G3485" display="Go to Update" xr:uid="{6EB3F67F-40AD-4047-8AAB-13822D243BF6}"/>
    <hyperlink ref="R139" location="Algorithms!G1228" display="Go to Update" xr:uid="{49F19ED1-5312-4FEA-8031-3F6B00596206}"/>
    <hyperlink ref="R142" location="Algorithms!G425" display="Go to Update" xr:uid="{22B69850-DF86-4B94-B495-5ACE27755D02}"/>
    <hyperlink ref="R156" location="Algorithms!G794" display="Go to Update" xr:uid="{DF688C3D-3C63-479D-BA85-3C539A74F7DD}"/>
    <hyperlink ref="R160" location="Algorithms!G1317" display="Go to Update" xr:uid="{A2346924-BFDB-49DC-B6AC-8F6E6BCB44A7}"/>
    <hyperlink ref="R175" location="Algorithms!G834" display="Go to Update" xr:uid="{08AC0492-EB27-4C3A-AE2F-854759AD0924}"/>
    <hyperlink ref="R176" location="Algorithms!G277" display="Go to Update" xr:uid="{49F656FC-8C8B-46B9-BEEB-E3AB94420B38}"/>
    <hyperlink ref="R177" location="Algorithms!G541" display="Go to Update" xr:uid="{1816836F-DDE1-43AA-B25D-7C0AF16E2D89}"/>
    <hyperlink ref="R178" location="Algorithms!G616" display="Go to Update" xr:uid="{D8236BD5-B4AC-4D35-9F8C-E473EF3495BE}"/>
    <hyperlink ref="R179" location="Algorithms!G296" display="Go to Update" xr:uid="{4BCC7A20-4A7B-4A74-B6B3-3069B5E5366D}"/>
    <hyperlink ref="R180" location="Algorithms!G572" display="Go to Update" xr:uid="{BD30B723-8A77-4E59-9B7B-DAE070CE5020}"/>
    <hyperlink ref="R52" location="Algorithms!G2396" display="Go to Update" xr:uid="{9D972263-CDDA-40D7-802F-C5319FC0A4AF}"/>
    <hyperlink ref="R51" location="Algorithms!G2537" display="Go to Update" xr:uid="{BBED9C83-3C2F-4854-8927-A45C5CB31DA4}"/>
  </hyperlinks>
  <pageMargins left="0.7" right="0.7" top="0.75" bottom="0.75" header="0.3" footer="0.3"/>
  <pageSetup scale="22" orientation="portrait" verticalDpi="1200" r:id="rId1"/>
  <colBreaks count="1" manualBreakCount="1">
    <brk id="18"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FDEE1-C875-4E3D-90BE-0B3606F97467}">
  <dimension ref="B3:C90"/>
  <sheetViews>
    <sheetView workbookViewId="0"/>
  </sheetViews>
  <sheetFormatPr defaultColWidth="9.140625" defaultRowHeight="15" x14ac:dyDescent="0.25"/>
  <cols>
    <col min="1" max="1" width="9.140625" style="2"/>
    <col min="2" max="2" width="29.7109375" style="2" customWidth="1"/>
    <col min="3" max="5" width="14.85546875" style="2" customWidth="1"/>
    <col min="6" max="6" width="12.28515625" style="2" customWidth="1"/>
    <col min="7" max="16384" width="9.140625" style="2"/>
  </cols>
  <sheetData>
    <row r="3" spans="2:3" x14ac:dyDescent="0.25">
      <c r="B3" s="22" t="s">
        <v>81</v>
      </c>
      <c r="C3" s="7">
        <v>1</v>
      </c>
    </row>
    <row r="5" spans="2:3" x14ac:dyDescent="0.25">
      <c r="B5" s="22" t="s">
        <v>80</v>
      </c>
      <c r="C5" s="2" t="s">
        <v>1998</v>
      </c>
    </row>
    <row r="6" spans="2:3" x14ac:dyDescent="0.25">
      <c r="B6" s="2" t="s">
        <v>644</v>
      </c>
      <c r="C6" s="10">
        <v>90254.848876911739</v>
      </c>
    </row>
    <row r="7" spans="2:3" x14ac:dyDescent="0.25">
      <c r="B7" s="2" t="s">
        <v>242</v>
      </c>
      <c r="C7" s="10">
        <v>8556.9869382082834</v>
      </c>
    </row>
    <row r="8" spans="2:3" x14ac:dyDescent="0.25">
      <c r="B8" s="2" t="s">
        <v>533</v>
      </c>
      <c r="C8" s="10">
        <v>53.557278126689198</v>
      </c>
    </row>
    <row r="9" spans="2:3" x14ac:dyDescent="0.25">
      <c r="B9" s="2" t="s">
        <v>576</v>
      </c>
      <c r="C9" s="10">
        <v>51.354777600001398</v>
      </c>
    </row>
    <row r="10" spans="2:3" x14ac:dyDescent="0.25">
      <c r="B10" s="2" t="s">
        <v>6</v>
      </c>
      <c r="C10" s="10">
        <v>48.039868799999567</v>
      </c>
    </row>
    <row r="11" spans="2:3" x14ac:dyDescent="0.25">
      <c r="B11" s="2" t="s">
        <v>1031</v>
      </c>
      <c r="C11" s="10">
        <v>30.050652266221732</v>
      </c>
    </row>
    <row r="12" spans="2:3" x14ac:dyDescent="0.25">
      <c r="B12" s="2" t="s">
        <v>1090</v>
      </c>
      <c r="C12" s="10">
        <v>0</v>
      </c>
    </row>
    <row r="13" spans="2:3" x14ac:dyDescent="0.25">
      <c r="B13" s="2" t="s">
        <v>1157</v>
      </c>
      <c r="C13" s="10">
        <v>0</v>
      </c>
    </row>
    <row r="14" spans="2:3" x14ac:dyDescent="0.25">
      <c r="B14" s="2" t="s">
        <v>18</v>
      </c>
      <c r="C14" s="10">
        <v>0</v>
      </c>
    </row>
    <row r="15" spans="2:3" x14ac:dyDescent="0.25">
      <c r="B15" s="2" t="s">
        <v>897</v>
      </c>
      <c r="C15" s="10">
        <v>0</v>
      </c>
    </row>
    <row r="16" spans="2:3" x14ac:dyDescent="0.25">
      <c r="B16" s="2" t="s">
        <v>1302</v>
      </c>
      <c r="C16" s="10">
        <v>0</v>
      </c>
    </row>
    <row r="17" spans="2:3" x14ac:dyDescent="0.25">
      <c r="B17" s="2" t="s">
        <v>978</v>
      </c>
      <c r="C17" s="10">
        <v>0</v>
      </c>
    </row>
    <row r="18" spans="2:3" x14ac:dyDescent="0.25">
      <c r="B18" s="2" t="s">
        <v>17</v>
      </c>
      <c r="C18" s="10">
        <v>0</v>
      </c>
    </row>
    <row r="19" spans="2:3" x14ac:dyDescent="0.25">
      <c r="B19" s="2" t="s">
        <v>906</v>
      </c>
      <c r="C19" s="10">
        <v>0</v>
      </c>
    </row>
    <row r="20" spans="2:3" x14ac:dyDescent="0.25">
      <c r="B20" s="2" t="s">
        <v>21</v>
      </c>
      <c r="C20" s="10">
        <v>0</v>
      </c>
    </row>
    <row r="21" spans="2:3" x14ac:dyDescent="0.25">
      <c r="B21" s="2" t="s">
        <v>1283</v>
      </c>
      <c r="C21" s="10">
        <v>0</v>
      </c>
    </row>
    <row r="22" spans="2:3" x14ac:dyDescent="0.25">
      <c r="B22" s="2" t="s">
        <v>1219</v>
      </c>
      <c r="C22" s="10">
        <v>0</v>
      </c>
    </row>
    <row r="23" spans="2:3" x14ac:dyDescent="0.25">
      <c r="B23" s="2" t="s">
        <v>1286</v>
      </c>
      <c r="C23" s="10">
        <v>0</v>
      </c>
    </row>
    <row r="24" spans="2:3" x14ac:dyDescent="0.25">
      <c r="B24" s="2" t="s">
        <v>221</v>
      </c>
      <c r="C24" s="10">
        <v>0</v>
      </c>
    </row>
    <row r="25" spans="2:3" x14ac:dyDescent="0.25">
      <c r="B25" s="2" t="s">
        <v>1284</v>
      </c>
      <c r="C25" s="10">
        <v>0</v>
      </c>
    </row>
    <row r="26" spans="2:3" x14ac:dyDescent="0.25">
      <c r="B26" s="2" t="s">
        <v>241</v>
      </c>
      <c r="C26" s="10">
        <v>0</v>
      </c>
    </row>
    <row r="27" spans="2:3" x14ac:dyDescent="0.25">
      <c r="B27" s="2" t="s">
        <v>7</v>
      </c>
      <c r="C27" s="10">
        <v>0</v>
      </c>
    </row>
    <row r="28" spans="2:3" x14ac:dyDescent="0.25">
      <c r="B28" s="2" t="s">
        <v>1440</v>
      </c>
      <c r="C28" s="10">
        <v>0</v>
      </c>
    </row>
    <row r="29" spans="2:3" x14ac:dyDescent="0.25">
      <c r="B29" s="2" t="s">
        <v>806</v>
      </c>
      <c r="C29" s="10">
        <v>0</v>
      </c>
    </row>
    <row r="30" spans="2:3" x14ac:dyDescent="0.25">
      <c r="B30" s="2" t="s">
        <v>19</v>
      </c>
      <c r="C30" s="10">
        <v>0</v>
      </c>
    </row>
    <row r="31" spans="2:3" x14ac:dyDescent="0.25">
      <c r="B31" s="2" t="s">
        <v>13</v>
      </c>
      <c r="C31" s="10">
        <v>0</v>
      </c>
    </row>
    <row r="32" spans="2:3" x14ac:dyDescent="0.25">
      <c r="B32" s="2" t="s">
        <v>1424</v>
      </c>
      <c r="C32" s="10">
        <v>0</v>
      </c>
    </row>
    <row r="33" spans="2:3" x14ac:dyDescent="0.25">
      <c r="B33" s="2" t="s">
        <v>1077</v>
      </c>
      <c r="C33" s="10">
        <v>0</v>
      </c>
    </row>
    <row r="34" spans="2:3" x14ac:dyDescent="0.25">
      <c r="B34" s="2" t="s">
        <v>16</v>
      </c>
      <c r="C34" s="10">
        <v>0</v>
      </c>
    </row>
    <row r="35" spans="2:3" x14ac:dyDescent="0.25">
      <c r="B35" s="2" t="s">
        <v>14</v>
      </c>
      <c r="C35" s="10">
        <v>0</v>
      </c>
    </row>
    <row r="36" spans="2:3" x14ac:dyDescent="0.25">
      <c r="B36" s="2" t="s">
        <v>944</v>
      </c>
      <c r="C36" s="10">
        <v>0</v>
      </c>
    </row>
    <row r="37" spans="2:3" x14ac:dyDescent="0.25">
      <c r="B37" s="2" t="s">
        <v>832</v>
      </c>
      <c r="C37" s="10">
        <v>0</v>
      </c>
    </row>
    <row r="38" spans="2:3" x14ac:dyDescent="0.25">
      <c r="B38" s="2" t="s">
        <v>1435</v>
      </c>
      <c r="C38" s="10">
        <v>0</v>
      </c>
    </row>
    <row r="39" spans="2:3" x14ac:dyDescent="0.25">
      <c r="B39" s="2" t="s">
        <v>666</v>
      </c>
      <c r="C39" s="10">
        <v>0</v>
      </c>
    </row>
    <row r="40" spans="2:3" x14ac:dyDescent="0.25">
      <c r="B40" s="2" t="s">
        <v>865</v>
      </c>
      <c r="C40" s="10">
        <v>0</v>
      </c>
    </row>
    <row r="41" spans="2:3" x14ac:dyDescent="0.25">
      <c r="B41" s="2" t="s">
        <v>1291</v>
      </c>
      <c r="C41" s="10">
        <v>0</v>
      </c>
    </row>
    <row r="42" spans="2:3" x14ac:dyDescent="0.25">
      <c r="B42" s="2" t="s">
        <v>890</v>
      </c>
      <c r="C42" s="10">
        <v>0</v>
      </c>
    </row>
    <row r="43" spans="2:3" x14ac:dyDescent="0.25">
      <c r="B43" s="2" t="s">
        <v>631</v>
      </c>
      <c r="C43" s="10">
        <v>0</v>
      </c>
    </row>
    <row r="44" spans="2:3" x14ac:dyDescent="0.25">
      <c r="B44" s="2" t="s">
        <v>1400</v>
      </c>
      <c r="C44" s="10">
        <v>0</v>
      </c>
    </row>
    <row r="45" spans="2:3" x14ac:dyDescent="0.25">
      <c r="B45" s="2" t="s">
        <v>1210</v>
      </c>
      <c r="C45" s="10">
        <v>0</v>
      </c>
    </row>
    <row r="46" spans="2:3" x14ac:dyDescent="0.25">
      <c r="B46" s="2" t="s">
        <v>725</v>
      </c>
      <c r="C46" s="10">
        <v>0</v>
      </c>
    </row>
    <row r="47" spans="2:3" x14ac:dyDescent="0.25">
      <c r="B47" s="2" t="s">
        <v>680</v>
      </c>
      <c r="C47" s="10">
        <v>0</v>
      </c>
    </row>
    <row r="48" spans="2:3" x14ac:dyDescent="0.25">
      <c r="B48" s="2" t="s">
        <v>1362</v>
      </c>
      <c r="C48" s="10">
        <v>0</v>
      </c>
    </row>
    <row r="49" spans="2:3" x14ac:dyDescent="0.25">
      <c r="B49" s="2" t="s">
        <v>11</v>
      </c>
      <c r="C49" s="10">
        <v>0</v>
      </c>
    </row>
    <row r="50" spans="2:3" x14ac:dyDescent="0.25">
      <c r="B50" s="2" t="s">
        <v>742</v>
      </c>
      <c r="C50" s="10">
        <v>0</v>
      </c>
    </row>
    <row r="51" spans="2:3" x14ac:dyDescent="0.25">
      <c r="B51" s="2" t="s">
        <v>1164</v>
      </c>
      <c r="C51" s="10">
        <v>0</v>
      </c>
    </row>
    <row r="52" spans="2:3" x14ac:dyDescent="0.25">
      <c r="B52" s="2" t="s">
        <v>20</v>
      </c>
      <c r="C52" s="10">
        <v>0</v>
      </c>
    </row>
    <row r="53" spans="2:3" x14ac:dyDescent="0.25">
      <c r="B53" s="2" t="s">
        <v>9</v>
      </c>
      <c r="C53" s="10">
        <v>0</v>
      </c>
    </row>
    <row r="54" spans="2:3" x14ac:dyDescent="0.25">
      <c r="B54" s="2" t="s">
        <v>781</v>
      </c>
      <c r="C54" s="10">
        <v>0</v>
      </c>
    </row>
    <row r="55" spans="2:3" x14ac:dyDescent="0.25">
      <c r="B55" s="2" t="s">
        <v>1197</v>
      </c>
      <c r="C55" s="10">
        <v>0</v>
      </c>
    </row>
    <row r="56" spans="2:3" x14ac:dyDescent="0.25">
      <c r="B56" s="2" t="s">
        <v>1287</v>
      </c>
      <c r="C56" s="10">
        <v>0</v>
      </c>
    </row>
    <row r="57" spans="2:3" x14ac:dyDescent="0.25">
      <c r="B57" s="2" t="s">
        <v>231</v>
      </c>
      <c r="C57" s="10">
        <v>0</v>
      </c>
    </row>
    <row r="58" spans="2:3" x14ac:dyDescent="0.25">
      <c r="B58" s="2" t="s">
        <v>12</v>
      </c>
      <c r="C58" s="10">
        <v>0</v>
      </c>
    </row>
    <row r="59" spans="2:3" x14ac:dyDescent="0.25">
      <c r="B59" s="2" t="s">
        <v>1186</v>
      </c>
      <c r="C59" s="10">
        <v>0</v>
      </c>
    </row>
    <row r="60" spans="2:3" x14ac:dyDescent="0.25">
      <c r="B60" s="2" t="s">
        <v>22</v>
      </c>
      <c r="C60" s="10">
        <v>0</v>
      </c>
    </row>
    <row r="61" spans="2:3" x14ac:dyDescent="0.25">
      <c r="B61" s="2" t="s">
        <v>1281</v>
      </c>
      <c r="C61" s="10">
        <v>0</v>
      </c>
    </row>
    <row r="62" spans="2:3" x14ac:dyDescent="0.25">
      <c r="B62" s="2" t="s">
        <v>224</v>
      </c>
      <c r="C62" s="10">
        <v>0</v>
      </c>
    </row>
    <row r="63" spans="2:3" x14ac:dyDescent="0.25">
      <c r="B63" s="2" t="s">
        <v>759</v>
      </c>
      <c r="C63" s="10">
        <v>0</v>
      </c>
    </row>
    <row r="64" spans="2:3" x14ac:dyDescent="0.25">
      <c r="B64" s="2" t="s">
        <v>1443</v>
      </c>
      <c r="C64" s="10">
        <v>0</v>
      </c>
    </row>
    <row r="65" spans="2:3" x14ac:dyDescent="0.25">
      <c r="B65" s="2" t="s">
        <v>244</v>
      </c>
      <c r="C65" s="10">
        <v>0</v>
      </c>
    </row>
    <row r="66" spans="2:3" x14ac:dyDescent="0.25">
      <c r="B66" s="2" t="s">
        <v>1425</v>
      </c>
      <c r="C66" s="10">
        <v>0</v>
      </c>
    </row>
    <row r="67" spans="2:3" x14ac:dyDescent="0.25">
      <c r="B67" s="2" t="s">
        <v>608</v>
      </c>
      <c r="C67" s="10">
        <v>0</v>
      </c>
    </row>
    <row r="68" spans="2:3" x14ac:dyDescent="0.25">
      <c r="B68" s="2" t="s">
        <v>1282</v>
      </c>
      <c r="C68" s="10">
        <v>0</v>
      </c>
    </row>
    <row r="69" spans="2:3" x14ac:dyDescent="0.25">
      <c r="B69" s="2" t="s">
        <v>490</v>
      </c>
      <c r="C69" s="10">
        <v>0</v>
      </c>
    </row>
    <row r="70" spans="2:3" x14ac:dyDescent="0.25">
      <c r="B70" s="2" t="s">
        <v>934</v>
      </c>
      <c r="C70" s="10">
        <v>0</v>
      </c>
    </row>
    <row r="71" spans="2:3" x14ac:dyDescent="0.25">
      <c r="B71" s="2" t="s">
        <v>988</v>
      </c>
      <c r="C71" s="10">
        <v>0</v>
      </c>
    </row>
    <row r="72" spans="2:3" x14ac:dyDescent="0.25">
      <c r="B72" s="2" t="s">
        <v>1397</v>
      </c>
      <c r="C72" s="10">
        <v>0</v>
      </c>
    </row>
    <row r="73" spans="2:3" x14ac:dyDescent="0.25">
      <c r="B73" s="2" t="s">
        <v>914</v>
      </c>
      <c r="C73" s="10">
        <v>0</v>
      </c>
    </row>
    <row r="74" spans="2:3" x14ac:dyDescent="0.25">
      <c r="B74" s="2" t="s">
        <v>1055</v>
      </c>
      <c r="C74" s="10">
        <v>0</v>
      </c>
    </row>
    <row r="75" spans="2:3" x14ac:dyDescent="0.25">
      <c r="B75" s="2" t="s">
        <v>223</v>
      </c>
      <c r="C75" s="10">
        <v>0</v>
      </c>
    </row>
    <row r="76" spans="2:3" x14ac:dyDescent="0.25">
      <c r="B76" s="2" t="s">
        <v>222</v>
      </c>
      <c r="C76" s="10">
        <v>0</v>
      </c>
    </row>
    <row r="77" spans="2:3" x14ac:dyDescent="0.25">
      <c r="B77" s="2" t="s">
        <v>574</v>
      </c>
      <c r="C77" s="10">
        <v>0</v>
      </c>
    </row>
    <row r="78" spans="2:3" x14ac:dyDescent="0.25">
      <c r="B78" s="2" t="s">
        <v>876</v>
      </c>
      <c r="C78" s="10">
        <v>0</v>
      </c>
    </row>
    <row r="79" spans="2:3" x14ac:dyDescent="0.25">
      <c r="B79" s="2" t="s">
        <v>1001</v>
      </c>
      <c r="C79" s="10">
        <v>0</v>
      </c>
    </row>
    <row r="80" spans="2:3" x14ac:dyDescent="0.25">
      <c r="B80" s="2" t="s">
        <v>1098</v>
      </c>
      <c r="C80" s="10">
        <v>0</v>
      </c>
    </row>
    <row r="81" spans="2:3" x14ac:dyDescent="0.25">
      <c r="B81" s="2" t="s">
        <v>1437</v>
      </c>
      <c r="C81" s="10">
        <v>0</v>
      </c>
    </row>
    <row r="82" spans="2:3" x14ac:dyDescent="0.25">
      <c r="B82" s="2" t="s">
        <v>8</v>
      </c>
      <c r="C82" s="10">
        <v>-1.9418481309849085</v>
      </c>
    </row>
    <row r="83" spans="2:3" x14ac:dyDescent="0.25">
      <c r="B83" s="2" t="s">
        <v>555</v>
      </c>
      <c r="C83" s="10">
        <v>-36.273687194598551</v>
      </c>
    </row>
    <row r="84" spans="2:3" x14ac:dyDescent="0.25">
      <c r="B84" s="2" t="s">
        <v>15</v>
      </c>
      <c r="C84" s="10">
        <v>-47.871424016389938</v>
      </c>
    </row>
    <row r="85" spans="2:3" x14ac:dyDescent="0.25">
      <c r="B85" s="2" t="s">
        <v>1075</v>
      </c>
      <c r="C85" s="10">
        <v>-358.74141724199944</v>
      </c>
    </row>
    <row r="86" spans="2:3" x14ac:dyDescent="0.25">
      <c r="B86" s="2" t="s">
        <v>1168</v>
      </c>
      <c r="C86" s="10">
        <v>-540.01529875915514</v>
      </c>
    </row>
    <row r="87" spans="2:3" x14ac:dyDescent="0.25">
      <c r="B87" s="2" t="s">
        <v>563</v>
      </c>
      <c r="C87" s="10">
        <v>-579.04</v>
      </c>
    </row>
    <row r="88" spans="2:3" x14ac:dyDescent="0.25">
      <c r="B88" s="2" t="s">
        <v>404</v>
      </c>
      <c r="C88" s="10">
        <v>-606.99486194651399</v>
      </c>
    </row>
    <row r="89" spans="2:3" x14ac:dyDescent="0.25">
      <c r="B89" s="2" t="s">
        <v>938</v>
      </c>
      <c r="C89" s="10">
        <v>-1861.0903891593653</v>
      </c>
    </row>
    <row r="90" spans="2:3" x14ac:dyDescent="0.25">
      <c r="B90" s="2" t="s">
        <v>1997</v>
      </c>
      <c r="C90" s="10">
        <v>94962.869465463562</v>
      </c>
    </row>
  </sheetData>
  <pageMargins left="0.7" right="0.7" top="0.75" bottom="0.75" header="0.3" footer="0.3"/>
  <pageSetup orientation="portrait" horizontalDpi="1200" vertic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6E0A3-96E7-47F3-98DF-408309553DA5}">
  <dimension ref="A1:D148"/>
  <sheetViews>
    <sheetView workbookViewId="0"/>
  </sheetViews>
  <sheetFormatPr defaultColWidth="9.140625" defaultRowHeight="15" x14ac:dyDescent="0.25"/>
  <cols>
    <col min="1" max="1" width="46.5703125" style="2" bestFit="1" customWidth="1"/>
    <col min="2" max="2" width="39.42578125" style="2" bestFit="1" customWidth="1"/>
    <col min="3" max="3" width="18.7109375" style="2" bestFit="1" customWidth="1"/>
    <col min="4" max="4" width="17.7109375" style="2" bestFit="1" customWidth="1"/>
    <col min="5" max="16384" width="9.140625" style="2"/>
  </cols>
  <sheetData>
    <row r="1" spans="1:4" x14ac:dyDescent="0.25">
      <c r="A1" s="22" t="s">
        <v>81</v>
      </c>
      <c r="B1" s="7">
        <v>1</v>
      </c>
    </row>
    <row r="3" spans="1:4" x14ac:dyDescent="0.25">
      <c r="A3" s="22" t="s">
        <v>0</v>
      </c>
      <c r="B3" s="22" t="s">
        <v>80</v>
      </c>
      <c r="C3" s="2" t="s">
        <v>2010</v>
      </c>
      <c r="D3" s="2" t="s">
        <v>2015</v>
      </c>
    </row>
    <row r="4" spans="1:4" x14ac:dyDescent="0.25">
      <c r="A4" s="2" t="s">
        <v>3</v>
      </c>
      <c r="B4" s="2" t="s">
        <v>644</v>
      </c>
      <c r="C4" s="10">
        <v>90254.848876911739</v>
      </c>
      <c r="D4" s="10">
        <v>0</v>
      </c>
    </row>
    <row r="5" spans="1:4" x14ac:dyDescent="0.25">
      <c r="A5" s="2" t="s">
        <v>3</v>
      </c>
      <c r="B5" s="2" t="s">
        <v>242</v>
      </c>
      <c r="C5" s="10">
        <v>8556.9869382082834</v>
      </c>
      <c r="D5" s="10">
        <v>0</v>
      </c>
    </row>
    <row r="6" spans="1:4" x14ac:dyDescent="0.25">
      <c r="A6" s="2" t="s">
        <v>3</v>
      </c>
      <c r="B6" s="2" t="s">
        <v>224</v>
      </c>
      <c r="C6" s="10">
        <v>0</v>
      </c>
      <c r="D6" s="10">
        <v>465.76266974999953</v>
      </c>
    </row>
    <row r="7" spans="1:4" x14ac:dyDescent="0.25">
      <c r="A7" s="2" t="s">
        <v>3</v>
      </c>
      <c r="B7" s="2" t="s">
        <v>19</v>
      </c>
      <c r="C7" s="10">
        <v>0</v>
      </c>
      <c r="D7" s="10">
        <v>0</v>
      </c>
    </row>
    <row r="8" spans="1:4" x14ac:dyDescent="0.25">
      <c r="A8" s="2" t="s">
        <v>3</v>
      </c>
      <c r="B8" s="2" t="s">
        <v>944</v>
      </c>
      <c r="C8" s="10">
        <v>0</v>
      </c>
      <c r="D8" s="10">
        <v>0</v>
      </c>
    </row>
    <row r="9" spans="1:4" x14ac:dyDescent="0.25">
      <c r="A9" s="2" t="s">
        <v>3</v>
      </c>
      <c r="B9" s="2" t="s">
        <v>1283</v>
      </c>
      <c r="C9" s="10">
        <v>0</v>
      </c>
      <c r="D9" s="10">
        <v>0</v>
      </c>
    </row>
    <row r="10" spans="1:4" x14ac:dyDescent="0.25">
      <c r="A10" s="2" t="s">
        <v>3</v>
      </c>
      <c r="B10" s="2" t="s">
        <v>16</v>
      </c>
      <c r="C10" s="10">
        <v>0</v>
      </c>
      <c r="D10" s="10">
        <v>0</v>
      </c>
    </row>
    <row r="11" spans="1:4" x14ac:dyDescent="0.25">
      <c r="A11" s="2" t="s">
        <v>3</v>
      </c>
      <c r="B11" s="2" t="s">
        <v>1286</v>
      </c>
      <c r="C11" s="10">
        <v>0</v>
      </c>
      <c r="D11" s="10">
        <v>0</v>
      </c>
    </row>
    <row r="12" spans="1:4" x14ac:dyDescent="0.25">
      <c r="A12" s="2" t="s">
        <v>3</v>
      </c>
      <c r="B12" s="2" t="s">
        <v>978</v>
      </c>
      <c r="C12" s="10">
        <v>0</v>
      </c>
      <c r="D12" s="10">
        <v>0</v>
      </c>
    </row>
    <row r="13" spans="1:4" x14ac:dyDescent="0.25">
      <c r="A13" s="2" t="s">
        <v>3</v>
      </c>
      <c r="B13" s="2" t="s">
        <v>1284</v>
      </c>
      <c r="C13" s="10">
        <v>0</v>
      </c>
      <c r="D13" s="10">
        <v>0</v>
      </c>
    </row>
    <row r="14" spans="1:4" x14ac:dyDescent="0.25">
      <c r="A14" s="2" t="s">
        <v>3</v>
      </c>
      <c r="B14" s="2" t="s">
        <v>18</v>
      </c>
      <c r="C14" s="10">
        <v>0</v>
      </c>
      <c r="D14" s="10">
        <v>0</v>
      </c>
    </row>
    <row r="15" spans="1:4" x14ac:dyDescent="0.25">
      <c r="A15" s="2" t="s">
        <v>3</v>
      </c>
      <c r="B15" s="2" t="s">
        <v>21</v>
      </c>
      <c r="C15" s="10">
        <v>0</v>
      </c>
      <c r="D15" s="10">
        <v>0</v>
      </c>
    </row>
    <row r="16" spans="1:4" x14ac:dyDescent="0.25">
      <c r="A16" s="2" t="s">
        <v>3</v>
      </c>
      <c r="B16" s="2" t="s">
        <v>906</v>
      </c>
      <c r="C16" s="10">
        <v>0</v>
      </c>
      <c r="D16" s="10">
        <v>0</v>
      </c>
    </row>
    <row r="17" spans="1:4" x14ac:dyDescent="0.25">
      <c r="A17" s="2" t="s">
        <v>3</v>
      </c>
      <c r="B17" s="2" t="s">
        <v>555</v>
      </c>
      <c r="C17" s="10">
        <v>0</v>
      </c>
      <c r="D17" s="10">
        <v>10.45422032374104</v>
      </c>
    </row>
    <row r="18" spans="1:4" x14ac:dyDescent="0.25">
      <c r="A18" s="2" t="s">
        <v>3</v>
      </c>
      <c r="B18" s="2" t="s">
        <v>15</v>
      </c>
      <c r="C18" s="10">
        <v>0</v>
      </c>
      <c r="D18" s="10">
        <v>14.850489323517593</v>
      </c>
    </row>
    <row r="19" spans="1:4" x14ac:dyDescent="0.25">
      <c r="A19" s="2" t="s">
        <v>3</v>
      </c>
      <c r="B19" s="2" t="s">
        <v>806</v>
      </c>
      <c r="C19" s="10">
        <v>0</v>
      </c>
      <c r="D19" s="10">
        <v>0</v>
      </c>
    </row>
    <row r="20" spans="1:4" x14ac:dyDescent="0.25">
      <c r="A20" s="2" t="s">
        <v>3</v>
      </c>
      <c r="B20" s="2" t="s">
        <v>404</v>
      </c>
      <c r="C20" s="10">
        <v>0</v>
      </c>
      <c r="D20" s="10">
        <v>0</v>
      </c>
    </row>
    <row r="21" spans="1:4" x14ac:dyDescent="0.25">
      <c r="A21" s="2" t="s">
        <v>3</v>
      </c>
      <c r="B21" s="2" t="s">
        <v>13</v>
      </c>
      <c r="C21" s="10">
        <v>0</v>
      </c>
      <c r="D21" s="10">
        <v>0</v>
      </c>
    </row>
    <row r="22" spans="1:4" x14ac:dyDescent="0.25">
      <c r="A22" s="2" t="s">
        <v>3</v>
      </c>
      <c r="B22" s="2" t="s">
        <v>1282</v>
      </c>
      <c r="C22" s="10">
        <v>0</v>
      </c>
      <c r="D22" s="10">
        <v>0</v>
      </c>
    </row>
    <row r="23" spans="1:4" x14ac:dyDescent="0.25">
      <c r="A23" s="2" t="s">
        <v>3</v>
      </c>
      <c r="B23" s="2" t="s">
        <v>1077</v>
      </c>
      <c r="C23" s="10">
        <v>0</v>
      </c>
      <c r="D23" s="10">
        <v>0</v>
      </c>
    </row>
    <row r="24" spans="1:4" x14ac:dyDescent="0.25">
      <c r="A24" s="2" t="s">
        <v>3</v>
      </c>
      <c r="B24" s="2" t="s">
        <v>1090</v>
      </c>
      <c r="C24" s="10">
        <v>0</v>
      </c>
      <c r="D24" s="10">
        <v>0</v>
      </c>
    </row>
    <row r="25" spans="1:4" x14ac:dyDescent="0.25">
      <c r="A25" s="2" t="s">
        <v>3</v>
      </c>
      <c r="B25" s="2" t="s">
        <v>14</v>
      </c>
      <c r="C25" s="10">
        <v>0</v>
      </c>
      <c r="D25" s="10">
        <v>0</v>
      </c>
    </row>
    <row r="26" spans="1:4" x14ac:dyDescent="0.25">
      <c r="A26" s="2" t="s">
        <v>3</v>
      </c>
      <c r="B26" s="2" t="s">
        <v>725</v>
      </c>
      <c r="C26" s="10">
        <v>0</v>
      </c>
      <c r="D26" s="10">
        <v>0</v>
      </c>
    </row>
    <row r="27" spans="1:4" x14ac:dyDescent="0.25">
      <c r="A27" s="2" t="s">
        <v>3</v>
      </c>
      <c r="B27" s="2" t="s">
        <v>832</v>
      </c>
      <c r="C27" s="10">
        <v>0</v>
      </c>
      <c r="D27" s="10">
        <v>659.97029647236695</v>
      </c>
    </row>
    <row r="28" spans="1:4" x14ac:dyDescent="0.25">
      <c r="A28" s="2" t="s">
        <v>3</v>
      </c>
      <c r="B28" s="2" t="s">
        <v>742</v>
      </c>
      <c r="C28" s="10">
        <v>0</v>
      </c>
      <c r="D28" s="10">
        <v>0</v>
      </c>
    </row>
    <row r="29" spans="1:4" x14ac:dyDescent="0.25">
      <c r="A29" s="2" t="s">
        <v>3</v>
      </c>
      <c r="B29" s="2" t="s">
        <v>666</v>
      </c>
      <c r="C29" s="10">
        <v>0</v>
      </c>
      <c r="D29" s="10">
        <v>0</v>
      </c>
    </row>
    <row r="30" spans="1:4" x14ac:dyDescent="0.25">
      <c r="A30" s="2" t="s">
        <v>3</v>
      </c>
      <c r="B30" s="2" t="s">
        <v>20</v>
      </c>
      <c r="C30" s="10">
        <v>0</v>
      </c>
      <c r="D30" s="10">
        <v>0</v>
      </c>
    </row>
    <row r="31" spans="1:4" x14ac:dyDescent="0.25">
      <c r="A31" s="2" t="s">
        <v>3</v>
      </c>
      <c r="B31" s="2" t="s">
        <v>1291</v>
      </c>
      <c r="C31" s="10">
        <v>0</v>
      </c>
      <c r="D31" s="10">
        <v>0</v>
      </c>
    </row>
    <row r="32" spans="1:4" x14ac:dyDescent="0.25">
      <c r="A32" s="2" t="s">
        <v>3</v>
      </c>
      <c r="B32" s="2" t="s">
        <v>1287</v>
      </c>
      <c r="C32" s="10">
        <v>0</v>
      </c>
      <c r="D32" s="10">
        <v>0</v>
      </c>
    </row>
    <row r="33" spans="1:4" x14ac:dyDescent="0.25">
      <c r="A33" s="2" t="s">
        <v>3</v>
      </c>
      <c r="B33" s="2" t="s">
        <v>1210</v>
      </c>
      <c r="C33" s="10">
        <v>0</v>
      </c>
      <c r="D33" s="10">
        <v>0</v>
      </c>
    </row>
    <row r="34" spans="1:4" x14ac:dyDescent="0.25">
      <c r="A34" s="2" t="s">
        <v>3</v>
      </c>
      <c r="B34" s="2" t="s">
        <v>533</v>
      </c>
      <c r="C34" s="10">
        <v>0</v>
      </c>
      <c r="D34" s="10">
        <v>6.5785791366906494</v>
      </c>
    </row>
    <row r="35" spans="1:4" x14ac:dyDescent="0.25">
      <c r="A35" s="2" t="s">
        <v>3</v>
      </c>
      <c r="B35" s="2" t="s">
        <v>11</v>
      </c>
      <c r="C35" s="10">
        <v>0</v>
      </c>
      <c r="D35" s="10">
        <v>0</v>
      </c>
    </row>
    <row r="36" spans="1:4" x14ac:dyDescent="0.25">
      <c r="A36" s="2" t="s">
        <v>3</v>
      </c>
      <c r="B36" s="2" t="s">
        <v>12</v>
      </c>
      <c r="C36" s="10">
        <v>0</v>
      </c>
      <c r="D36" s="10">
        <v>0</v>
      </c>
    </row>
    <row r="37" spans="1:4" x14ac:dyDescent="0.25">
      <c r="A37" s="2" t="s">
        <v>3</v>
      </c>
      <c r="B37" s="2" t="s">
        <v>1164</v>
      </c>
      <c r="C37" s="10">
        <v>0</v>
      </c>
      <c r="D37" s="10">
        <v>0</v>
      </c>
    </row>
    <row r="38" spans="1:4" x14ac:dyDescent="0.25">
      <c r="A38" s="2" t="s">
        <v>3</v>
      </c>
      <c r="B38" s="2" t="s">
        <v>22</v>
      </c>
      <c r="C38" s="10">
        <v>0</v>
      </c>
      <c r="D38" s="10">
        <v>0</v>
      </c>
    </row>
    <row r="39" spans="1:4" x14ac:dyDescent="0.25">
      <c r="A39" s="2" t="s">
        <v>3</v>
      </c>
      <c r="B39" s="2" t="s">
        <v>9</v>
      </c>
      <c r="C39" s="10">
        <v>0</v>
      </c>
      <c r="D39" s="10">
        <v>0</v>
      </c>
    </row>
    <row r="40" spans="1:4" x14ac:dyDescent="0.25">
      <c r="A40" s="2" t="s">
        <v>3</v>
      </c>
      <c r="B40" s="2" t="s">
        <v>1219</v>
      </c>
      <c r="C40" s="10">
        <v>0</v>
      </c>
      <c r="D40" s="10">
        <v>170.40661327871931</v>
      </c>
    </row>
    <row r="41" spans="1:4" x14ac:dyDescent="0.25">
      <c r="A41" s="2" t="s">
        <v>3</v>
      </c>
      <c r="B41" s="2" t="s">
        <v>1197</v>
      </c>
      <c r="C41" s="10">
        <v>0</v>
      </c>
      <c r="D41" s="10">
        <v>58.440000000002328</v>
      </c>
    </row>
    <row r="42" spans="1:4" x14ac:dyDescent="0.25">
      <c r="A42" s="2" t="s">
        <v>3</v>
      </c>
      <c r="B42" s="2" t="s">
        <v>1302</v>
      </c>
      <c r="C42" s="10">
        <v>0</v>
      </c>
      <c r="D42" s="10">
        <v>-152.30079726399993</v>
      </c>
    </row>
    <row r="43" spans="1:4" x14ac:dyDescent="0.25">
      <c r="A43" s="2" t="s">
        <v>3</v>
      </c>
      <c r="B43" s="2" t="s">
        <v>231</v>
      </c>
      <c r="C43" s="10">
        <v>0</v>
      </c>
      <c r="D43" s="10">
        <v>0</v>
      </c>
    </row>
    <row r="44" spans="1:4" x14ac:dyDescent="0.25">
      <c r="A44" s="2" t="s">
        <v>3</v>
      </c>
      <c r="B44" s="2" t="s">
        <v>1435</v>
      </c>
      <c r="C44" s="10">
        <v>0</v>
      </c>
      <c r="D44" s="10">
        <v>0</v>
      </c>
    </row>
    <row r="45" spans="1:4" x14ac:dyDescent="0.25">
      <c r="A45" s="2" t="s">
        <v>3</v>
      </c>
      <c r="B45" s="2" t="s">
        <v>1186</v>
      </c>
      <c r="C45" s="10">
        <v>0</v>
      </c>
      <c r="D45" s="10">
        <v>0</v>
      </c>
    </row>
    <row r="46" spans="1:4" x14ac:dyDescent="0.25">
      <c r="A46" s="2" t="s">
        <v>3</v>
      </c>
      <c r="B46" s="2" t="s">
        <v>1397</v>
      </c>
      <c r="C46" s="10">
        <v>0</v>
      </c>
      <c r="D46" s="10">
        <v>0</v>
      </c>
    </row>
    <row r="47" spans="1:4" x14ac:dyDescent="0.25">
      <c r="A47" s="2" t="s">
        <v>3</v>
      </c>
      <c r="B47" s="2" t="s">
        <v>1281</v>
      </c>
      <c r="C47" s="10">
        <v>0</v>
      </c>
      <c r="D47" s="10">
        <v>0</v>
      </c>
    </row>
    <row r="48" spans="1:4" x14ac:dyDescent="0.25">
      <c r="A48" s="2" t="s">
        <v>3</v>
      </c>
      <c r="B48" s="2" t="s">
        <v>8</v>
      </c>
      <c r="C48" s="10">
        <v>0</v>
      </c>
      <c r="D48" s="10">
        <v>161.32345874026487</v>
      </c>
    </row>
    <row r="49" spans="1:4" x14ac:dyDescent="0.25">
      <c r="A49" s="2" t="s">
        <v>3</v>
      </c>
      <c r="B49" s="2" t="s">
        <v>490</v>
      </c>
      <c r="C49" s="10">
        <v>0</v>
      </c>
      <c r="D49" s="10">
        <v>0</v>
      </c>
    </row>
    <row r="50" spans="1:4" x14ac:dyDescent="0.25">
      <c r="A50" s="2" t="s">
        <v>3</v>
      </c>
      <c r="B50" s="2" t="s">
        <v>17</v>
      </c>
      <c r="C50" s="10">
        <v>0</v>
      </c>
      <c r="D50" s="10">
        <v>0</v>
      </c>
    </row>
    <row r="51" spans="1:4" x14ac:dyDescent="0.25">
      <c r="A51" s="2" t="s">
        <v>3</v>
      </c>
      <c r="B51" s="2" t="s">
        <v>1168</v>
      </c>
      <c r="C51" s="10">
        <v>-540.01529875915514</v>
      </c>
      <c r="D51" s="10">
        <v>0</v>
      </c>
    </row>
    <row r="52" spans="1:4" x14ac:dyDescent="0.25">
      <c r="A52" s="2" t="s">
        <v>3</v>
      </c>
      <c r="B52" s="2" t="s">
        <v>938</v>
      </c>
      <c r="C52" s="10">
        <v>-1090.9573073677384</v>
      </c>
      <c r="D52" s="10">
        <v>0</v>
      </c>
    </row>
    <row r="53" spans="1:4" x14ac:dyDescent="0.25">
      <c r="A53" s="2" t="s">
        <v>2011</v>
      </c>
      <c r="C53" s="10">
        <v>97180.863208993105</v>
      </c>
      <c r="D53" s="10">
        <v>1395.4855297611794</v>
      </c>
    </row>
    <row r="54" spans="1:4" x14ac:dyDescent="0.25">
      <c r="A54" s="2" t="s">
        <v>1446</v>
      </c>
      <c r="B54" s="2" t="s">
        <v>876</v>
      </c>
      <c r="C54" s="10">
        <v>0</v>
      </c>
      <c r="D54" s="10">
        <v>17.044161589099531</v>
      </c>
    </row>
    <row r="55" spans="1:4" x14ac:dyDescent="0.25">
      <c r="A55" s="2" t="s">
        <v>1446</v>
      </c>
      <c r="B55" s="2" t="s">
        <v>1001</v>
      </c>
      <c r="C55" s="10">
        <v>0</v>
      </c>
      <c r="D55" s="10">
        <v>0</v>
      </c>
    </row>
    <row r="56" spans="1:4" x14ac:dyDescent="0.25">
      <c r="A56" s="2" t="s">
        <v>2012</v>
      </c>
      <c r="C56" s="10">
        <v>0</v>
      </c>
      <c r="D56" s="10">
        <v>17.044161589099531</v>
      </c>
    </row>
    <row r="57" spans="1:4" x14ac:dyDescent="0.25">
      <c r="A57" s="2" t="s">
        <v>2</v>
      </c>
      <c r="B57" s="2" t="s">
        <v>533</v>
      </c>
      <c r="C57" s="10">
        <v>45.708803074561274</v>
      </c>
      <c r="D57" s="10">
        <v>300.6680105052269</v>
      </c>
    </row>
    <row r="58" spans="1:4" x14ac:dyDescent="0.25">
      <c r="A58" s="2" t="s">
        <v>2</v>
      </c>
      <c r="B58" s="2" t="s">
        <v>222</v>
      </c>
      <c r="C58" s="10">
        <v>0</v>
      </c>
      <c r="D58" s="10">
        <v>0</v>
      </c>
    </row>
    <row r="59" spans="1:4" x14ac:dyDescent="0.25">
      <c r="A59" s="2" t="s">
        <v>2</v>
      </c>
      <c r="B59" s="2" t="s">
        <v>224</v>
      </c>
      <c r="C59" s="10">
        <v>0</v>
      </c>
      <c r="D59" s="10">
        <v>0</v>
      </c>
    </row>
    <row r="60" spans="1:4" x14ac:dyDescent="0.25">
      <c r="A60" s="2" t="s">
        <v>2</v>
      </c>
      <c r="B60" s="2" t="s">
        <v>221</v>
      </c>
      <c r="C60" s="10">
        <v>0</v>
      </c>
      <c r="D60" s="10">
        <v>0</v>
      </c>
    </row>
    <row r="61" spans="1:4" x14ac:dyDescent="0.25">
      <c r="A61" s="2" t="s">
        <v>2</v>
      </c>
      <c r="B61" s="2" t="s">
        <v>1362</v>
      </c>
      <c r="C61" s="10">
        <v>0</v>
      </c>
      <c r="D61" s="10">
        <v>0.71537848578671337</v>
      </c>
    </row>
    <row r="62" spans="1:4" x14ac:dyDescent="0.25">
      <c r="A62" s="2" t="s">
        <v>2</v>
      </c>
      <c r="B62" s="2" t="s">
        <v>890</v>
      </c>
      <c r="C62" s="10">
        <v>0</v>
      </c>
      <c r="D62" s="10">
        <v>0</v>
      </c>
    </row>
    <row r="63" spans="1:4" x14ac:dyDescent="0.25">
      <c r="A63" s="2" t="s">
        <v>2</v>
      </c>
      <c r="B63" s="2" t="s">
        <v>644</v>
      </c>
      <c r="C63" s="10">
        <v>0</v>
      </c>
      <c r="D63" s="10">
        <v>0</v>
      </c>
    </row>
    <row r="64" spans="1:4" x14ac:dyDescent="0.25">
      <c r="A64" s="2" t="s">
        <v>2</v>
      </c>
      <c r="B64" s="2" t="s">
        <v>631</v>
      </c>
      <c r="C64" s="10">
        <v>0</v>
      </c>
      <c r="D64" s="10">
        <v>0</v>
      </c>
    </row>
    <row r="65" spans="1:4" x14ac:dyDescent="0.25">
      <c r="A65" s="2" t="s">
        <v>2</v>
      </c>
      <c r="B65" s="2" t="s">
        <v>1098</v>
      </c>
      <c r="C65" s="10">
        <v>0</v>
      </c>
      <c r="D65" s="10">
        <v>0</v>
      </c>
    </row>
    <row r="66" spans="1:4" x14ac:dyDescent="0.25">
      <c r="A66" s="2" t="s">
        <v>2</v>
      </c>
      <c r="B66" s="2" t="s">
        <v>944</v>
      </c>
      <c r="C66" s="10">
        <v>0</v>
      </c>
      <c r="D66" s="10">
        <v>0</v>
      </c>
    </row>
    <row r="67" spans="1:4" x14ac:dyDescent="0.25">
      <c r="A67" s="2" t="s">
        <v>2</v>
      </c>
      <c r="B67" s="2" t="s">
        <v>1424</v>
      </c>
      <c r="C67" s="10">
        <v>0</v>
      </c>
      <c r="D67" s="10">
        <v>0</v>
      </c>
    </row>
    <row r="68" spans="1:4" x14ac:dyDescent="0.25">
      <c r="A68" s="2" t="s">
        <v>2</v>
      </c>
      <c r="B68" s="2" t="s">
        <v>897</v>
      </c>
      <c r="C68" s="10">
        <v>0</v>
      </c>
      <c r="D68" s="10">
        <v>0</v>
      </c>
    </row>
    <row r="69" spans="1:4" x14ac:dyDescent="0.25">
      <c r="A69" s="2" t="s">
        <v>2</v>
      </c>
      <c r="B69" s="2" t="s">
        <v>16</v>
      </c>
      <c r="C69" s="10">
        <v>0</v>
      </c>
      <c r="D69" s="10">
        <v>0</v>
      </c>
    </row>
    <row r="70" spans="1:4" x14ac:dyDescent="0.25">
      <c r="A70" s="2" t="s">
        <v>2</v>
      </c>
      <c r="B70" s="2" t="s">
        <v>978</v>
      </c>
      <c r="C70" s="10">
        <v>0</v>
      </c>
      <c r="D70" s="10">
        <v>0</v>
      </c>
    </row>
    <row r="71" spans="1:4" x14ac:dyDescent="0.25">
      <c r="A71" s="2" t="s">
        <v>2</v>
      </c>
      <c r="B71" s="2" t="s">
        <v>1425</v>
      </c>
      <c r="C71" s="10">
        <v>0</v>
      </c>
      <c r="D71" s="10">
        <v>0</v>
      </c>
    </row>
    <row r="72" spans="1:4" x14ac:dyDescent="0.25">
      <c r="A72" s="2" t="s">
        <v>2</v>
      </c>
      <c r="B72" s="2" t="s">
        <v>906</v>
      </c>
      <c r="C72" s="10">
        <v>0</v>
      </c>
      <c r="D72" s="10">
        <v>0</v>
      </c>
    </row>
    <row r="73" spans="1:4" x14ac:dyDescent="0.25">
      <c r="A73" s="2" t="s">
        <v>2</v>
      </c>
      <c r="B73" s="2" t="s">
        <v>1055</v>
      </c>
      <c r="C73" s="10">
        <v>0</v>
      </c>
      <c r="D73" s="10">
        <v>0</v>
      </c>
    </row>
    <row r="74" spans="1:4" x14ac:dyDescent="0.25">
      <c r="A74" s="2" t="s">
        <v>2</v>
      </c>
      <c r="B74" s="2" t="s">
        <v>806</v>
      </c>
      <c r="C74" s="10">
        <v>0</v>
      </c>
      <c r="D74" s="10">
        <v>0</v>
      </c>
    </row>
    <row r="75" spans="1:4" x14ac:dyDescent="0.25">
      <c r="A75" s="2" t="s">
        <v>2</v>
      </c>
      <c r="B75" s="2" t="s">
        <v>914</v>
      </c>
      <c r="C75" s="10">
        <v>0</v>
      </c>
      <c r="D75" s="10">
        <v>0</v>
      </c>
    </row>
    <row r="76" spans="1:4" x14ac:dyDescent="0.25">
      <c r="A76" s="2" t="s">
        <v>2</v>
      </c>
      <c r="B76" s="2" t="s">
        <v>13</v>
      </c>
      <c r="C76" s="10">
        <v>0</v>
      </c>
      <c r="D76" s="10">
        <v>0</v>
      </c>
    </row>
    <row r="77" spans="1:4" x14ac:dyDescent="0.25">
      <c r="A77" s="2" t="s">
        <v>2</v>
      </c>
      <c r="B77" s="2" t="s">
        <v>7</v>
      </c>
      <c r="C77" s="10">
        <v>0</v>
      </c>
      <c r="D77" s="10">
        <v>18909.813150000002</v>
      </c>
    </row>
    <row r="78" spans="1:4" x14ac:dyDescent="0.25">
      <c r="A78" s="2" t="s">
        <v>2</v>
      </c>
      <c r="B78" s="2" t="s">
        <v>1077</v>
      </c>
      <c r="C78" s="10">
        <v>0</v>
      </c>
      <c r="D78" s="10">
        <v>0</v>
      </c>
    </row>
    <row r="79" spans="1:4" x14ac:dyDescent="0.25">
      <c r="A79" s="2" t="s">
        <v>2</v>
      </c>
      <c r="B79" s="2" t="s">
        <v>742</v>
      </c>
      <c r="C79" s="10">
        <v>0</v>
      </c>
      <c r="D79" s="10">
        <v>0</v>
      </c>
    </row>
    <row r="80" spans="1:4" x14ac:dyDescent="0.25">
      <c r="A80" s="2" t="s">
        <v>2</v>
      </c>
      <c r="B80" s="2" t="s">
        <v>14</v>
      </c>
      <c r="C80" s="10">
        <v>0</v>
      </c>
      <c r="D80" s="10">
        <v>0</v>
      </c>
    </row>
    <row r="81" spans="1:4" x14ac:dyDescent="0.25">
      <c r="A81" s="2" t="s">
        <v>2</v>
      </c>
      <c r="B81" s="2" t="s">
        <v>1287</v>
      </c>
      <c r="C81" s="10">
        <v>0</v>
      </c>
      <c r="D81" s="10">
        <v>0</v>
      </c>
    </row>
    <row r="82" spans="1:4" x14ac:dyDescent="0.25">
      <c r="A82" s="2" t="s">
        <v>2</v>
      </c>
      <c r="B82" s="2" t="s">
        <v>832</v>
      </c>
      <c r="C82" s="10">
        <v>0</v>
      </c>
      <c r="D82" s="10">
        <v>135.54630734914053</v>
      </c>
    </row>
    <row r="83" spans="1:4" x14ac:dyDescent="0.25">
      <c r="A83" s="2" t="s">
        <v>2</v>
      </c>
      <c r="B83" s="2" t="s">
        <v>12</v>
      </c>
      <c r="C83" s="10">
        <v>0</v>
      </c>
      <c r="D83" s="10">
        <v>0</v>
      </c>
    </row>
    <row r="84" spans="1:4" x14ac:dyDescent="0.25">
      <c r="A84" s="2" t="s">
        <v>2</v>
      </c>
      <c r="B84" s="2" t="s">
        <v>666</v>
      </c>
      <c r="C84" s="10">
        <v>0</v>
      </c>
      <c r="D84" s="10">
        <v>0</v>
      </c>
    </row>
    <row r="85" spans="1:4" x14ac:dyDescent="0.25">
      <c r="A85" s="2" t="s">
        <v>2</v>
      </c>
      <c r="B85" s="2" t="s">
        <v>404</v>
      </c>
      <c r="C85" s="10">
        <v>0</v>
      </c>
      <c r="D85" s="10">
        <v>8805.1370531743851</v>
      </c>
    </row>
    <row r="86" spans="1:4" x14ac:dyDescent="0.25">
      <c r="A86" s="2" t="s">
        <v>2</v>
      </c>
      <c r="B86" s="2" t="s">
        <v>1291</v>
      </c>
      <c r="C86" s="10">
        <v>0</v>
      </c>
      <c r="D86" s="10">
        <v>0</v>
      </c>
    </row>
    <row r="87" spans="1:4" x14ac:dyDescent="0.25">
      <c r="A87" s="2" t="s">
        <v>2</v>
      </c>
      <c r="B87" s="2" t="s">
        <v>1031</v>
      </c>
      <c r="C87" s="10">
        <v>0</v>
      </c>
      <c r="D87" s="10">
        <v>212.02443872875301</v>
      </c>
    </row>
    <row r="88" spans="1:4" x14ac:dyDescent="0.25">
      <c r="A88" s="2" t="s">
        <v>2</v>
      </c>
      <c r="B88" s="2" t="s">
        <v>6</v>
      </c>
      <c r="C88" s="10">
        <v>0</v>
      </c>
      <c r="D88" s="10">
        <v>0</v>
      </c>
    </row>
    <row r="89" spans="1:4" x14ac:dyDescent="0.25">
      <c r="A89" s="2" t="s">
        <v>2</v>
      </c>
      <c r="B89" s="2" t="s">
        <v>934</v>
      </c>
      <c r="C89" s="10">
        <v>0</v>
      </c>
      <c r="D89" s="10">
        <v>0</v>
      </c>
    </row>
    <row r="90" spans="1:4" x14ac:dyDescent="0.25">
      <c r="A90" s="2" t="s">
        <v>2</v>
      </c>
      <c r="B90" s="2" t="s">
        <v>680</v>
      </c>
      <c r="C90" s="10">
        <v>0</v>
      </c>
      <c r="D90" s="10">
        <v>0</v>
      </c>
    </row>
    <row r="91" spans="1:4" x14ac:dyDescent="0.25">
      <c r="A91" s="2" t="s">
        <v>2</v>
      </c>
      <c r="B91" s="2" t="s">
        <v>865</v>
      </c>
      <c r="C91" s="10">
        <v>0</v>
      </c>
      <c r="D91" s="10">
        <v>44.07633797169035</v>
      </c>
    </row>
    <row r="92" spans="1:4" x14ac:dyDescent="0.25">
      <c r="A92" s="2" t="s">
        <v>2</v>
      </c>
      <c r="B92" s="2" t="s">
        <v>608</v>
      </c>
      <c r="C92" s="10">
        <v>0</v>
      </c>
      <c r="D92" s="10">
        <v>0</v>
      </c>
    </row>
    <row r="93" spans="1:4" x14ac:dyDescent="0.25">
      <c r="A93" s="2" t="s">
        <v>2</v>
      </c>
      <c r="B93" s="2" t="s">
        <v>1090</v>
      </c>
      <c r="C93" s="10">
        <v>0</v>
      </c>
      <c r="D93" s="10">
        <v>0</v>
      </c>
    </row>
    <row r="94" spans="1:4" x14ac:dyDescent="0.25">
      <c r="A94" s="2" t="s">
        <v>2</v>
      </c>
      <c r="B94" s="2" t="s">
        <v>490</v>
      </c>
      <c r="C94" s="10">
        <v>0</v>
      </c>
      <c r="D94" s="10">
        <v>0</v>
      </c>
    </row>
    <row r="95" spans="1:4" x14ac:dyDescent="0.25">
      <c r="A95" s="2" t="s">
        <v>2</v>
      </c>
      <c r="B95" s="2" t="s">
        <v>576</v>
      </c>
      <c r="C95" s="10">
        <v>0</v>
      </c>
      <c r="D95" s="10">
        <v>0</v>
      </c>
    </row>
    <row r="96" spans="1:4" x14ac:dyDescent="0.25">
      <c r="A96" s="2" t="s">
        <v>2</v>
      </c>
      <c r="B96" s="2" t="s">
        <v>988</v>
      </c>
      <c r="C96" s="10">
        <v>0</v>
      </c>
      <c r="D96" s="10">
        <v>0</v>
      </c>
    </row>
    <row r="97" spans="1:4" x14ac:dyDescent="0.25">
      <c r="A97" s="2" t="s">
        <v>2</v>
      </c>
      <c r="B97" s="2" t="s">
        <v>725</v>
      </c>
      <c r="C97" s="10">
        <v>0</v>
      </c>
      <c r="D97" s="10">
        <v>0</v>
      </c>
    </row>
    <row r="98" spans="1:4" x14ac:dyDescent="0.25">
      <c r="A98" s="2" t="s">
        <v>2</v>
      </c>
      <c r="B98" s="2" t="s">
        <v>8</v>
      </c>
      <c r="C98" s="10">
        <v>-0.3469010008123945</v>
      </c>
      <c r="D98" s="10">
        <v>2.8657851184205541</v>
      </c>
    </row>
    <row r="99" spans="1:4" x14ac:dyDescent="0.25">
      <c r="A99" s="2" t="s">
        <v>2</v>
      </c>
      <c r="B99" s="2" t="s">
        <v>555</v>
      </c>
      <c r="C99" s="10">
        <v>-32.694806651659064</v>
      </c>
      <c r="D99" s="10">
        <v>179.36374854655128</v>
      </c>
    </row>
    <row r="100" spans="1:4" x14ac:dyDescent="0.25">
      <c r="A100" s="2" t="s">
        <v>2</v>
      </c>
      <c r="B100" s="2" t="s">
        <v>15</v>
      </c>
      <c r="C100" s="10">
        <v>-50.717823657018016</v>
      </c>
      <c r="D100" s="10">
        <v>1010.9155378323339</v>
      </c>
    </row>
    <row r="101" spans="1:4" x14ac:dyDescent="0.25">
      <c r="A101" s="2" t="s">
        <v>2</v>
      </c>
      <c r="B101" s="2" t="s">
        <v>1075</v>
      </c>
      <c r="C101" s="10">
        <v>-358.74141724199944</v>
      </c>
      <c r="D101" s="10">
        <v>0</v>
      </c>
    </row>
    <row r="102" spans="1:4" x14ac:dyDescent="0.25">
      <c r="A102" s="2" t="s">
        <v>2</v>
      </c>
      <c r="B102" s="2" t="s">
        <v>938</v>
      </c>
      <c r="C102" s="10">
        <v>-671.88016066212299</v>
      </c>
      <c r="D102" s="10">
        <v>0</v>
      </c>
    </row>
    <row r="103" spans="1:4" x14ac:dyDescent="0.25">
      <c r="A103" s="2" t="s">
        <v>2013</v>
      </c>
      <c r="C103" s="10">
        <v>-1068.6723061390221</v>
      </c>
      <c r="D103" s="10">
        <v>29601.125747712562</v>
      </c>
    </row>
    <row r="104" spans="1:4" x14ac:dyDescent="0.25">
      <c r="A104" s="2" t="s">
        <v>325</v>
      </c>
      <c r="B104" s="2" t="s">
        <v>576</v>
      </c>
      <c r="C104" s="10">
        <v>51.354777600000489</v>
      </c>
      <c r="D104" s="10">
        <v>-51.354777600000489</v>
      </c>
    </row>
    <row r="105" spans="1:4" x14ac:dyDescent="0.25">
      <c r="A105" s="2" t="s">
        <v>325</v>
      </c>
      <c r="B105" s="2" t="s">
        <v>6</v>
      </c>
      <c r="C105" s="10">
        <v>48.039868799999965</v>
      </c>
      <c r="D105" s="10">
        <v>-48.039868799999965</v>
      </c>
    </row>
    <row r="106" spans="1:4" x14ac:dyDescent="0.25">
      <c r="A106" s="2" t="s">
        <v>325</v>
      </c>
      <c r="B106" s="2" t="s">
        <v>1031</v>
      </c>
      <c r="C106" s="10">
        <v>30.050652266220823</v>
      </c>
      <c r="D106" s="10">
        <v>174.21026534746397</v>
      </c>
    </row>
    <row r="107" spans="1:4" x14ac:dyDescent="0.25">
      <c r="A107" s="2" t="s">
        <v>325</v>
      </c>
      <c r="B107" s="2" t="s">
        <v>533</v>
      </c>
      <c r="C107" s="10">
        <v>7.8484750521320166</v>
      </c>
      <c r="D107" s="10">
        <v>371.33810826731133</v>
      </c>
    </row>
    <row r="108" spans="1:4" x14ac:dyDescent="0.25">
      <c r="A108" s="2" t="s">
        <v>325</v>
      </c>
      <c r="B108" s="2" t="s">
        <v>15</v>
      </c>
      <c r="C108" s="10">
        <v>2.8463996406298975</v>
      </c>
      <c r="D108" s="10">
        <v>809.31255053203131</v>
      </c>
    </row>
    <row r="109" spans="1:4" x14ac:dyDescent="0.25">
      <c r="A109" s="2" t="s">
        <v>325</v>
      </c>
      <c r="B109" s="2" t="s">
        <v>1440</v>
      </c>
      <c r="C109" s="10">
        <v>0</v>
      </c>
      <c r="D109" s="10">
        <v>0</v>
      </c>
    </row>
    <row r="110" spans="1:4" x14ac:dyDescent="0.25">
      <c r="A110" s="2" t="s">
        <v>325</v>
      </c>
      <c r="B110" s="2" t="s">
        <v>1055</v>
      </c>
      <c r="C110" s="10">
        <v>0</v>
      </c>
      <c r="D110" s="10">
        <v>0</v>
      </c>
    </row>
    <row r="111" spans="1:4" x14ac:dyDescent="0.25">
      <c r="A111" s="2" t="s">
        <v>325</v>
      </c>
      <c r="B111" s="2" t="s">
        <v>890</v>
      </c>
      <c r="C111" s="10">
        <v>0</v>
      </c>
      <c r="D111" s="10">
        <v>0</v>
      </c>
    </row>
    <row r="112" spans="1:4" x14ac:dyDescent="0.25">
      <c r="A112" s="2" t="s">
        <v>325</v>
      </c>
      <c r="B112" s="2" t="s">
        <v>944</v>
      </c>
      <c r="C112" s="10">
        <v>0</v>
      </c>
      <c r="D112" s="10">
        <v>0</v>
      </c>
    </row>
    <row r="113" spans="1:4" x14ac:dyDescent="0.25">
      <c r="A113" s="2" t="s">
        <v>325</v>
      </c>
      <c r="B113" s="2" t="s">
        <v>574</v>
      </c>
      <c r="C113" s="10">
        <v>0</v>
      </c>
      <c r="D113" s="10">
        <v>0</v>
      </c>
    </row>
    <row r="114" spans="1:4" x14ac:dyDescent="0.25">
      <c r="A114" s="2" t="s">
        <v>325</v>
      </c>
      <c r="B114" s="2" t="s">
        <v>978</v>
      </c>
      <c r="C114" s="10">
        <v>0</v>
      </c>
      <c r="D114" s="10">
        <v>0</v>
      </c>
    </row>
    <row r="115" spans="1:4" x14ac:dyDescent="0.25">
      <c r="A115" s="2" t="s">
        <v>325</v>
      </c>
      <c r="B115" s="2" t="s">
        <v>1287</v>
      </c>
      <c r="C115" s="10">
        <v>0</v>
      </c>
      <c r="D115" s="10">
        <v>0</v>
      </c>
    </row>
    <row r="116" spans="1:4" x14ac:dyDescent="0.25">
      <c r="A116" s="2" t="s">
        <v>325</v>
      </c>
      <c r="B116" s="2" t="s">
        <v>906</v>
      </c>
      <c r="C116" s="10">
        <v>0</v>
      </c>
      <c r="D116" s="10">
        <v>0</v>
      </c>
    </row>
    <row r="117" spans="1:4" x14ac:dyDescent="0.25">
      <c r="A117" s="2" t="s">
        <v>325</v>
      </c>
      <c r="B117" s="2" t="s">
        <v>934</v>
      </c>
      <c r="C117" s="10">
        <v>0</v>
      </c>
      <c r="D117" s="10">
        <v>0</v>
      </c>
    </row>
    <row r="118" spans="1:4" x14ac:dyDescent="0.25">
      <c r="A118" s="2" t="s">
        <v>325</v>
      </c>
      <c r="B118" s="2" t="s">
        <v>806</v>
      </c>
      <c r="C118" s="10">
        <v>0</v>
      </c>
      <c r="D118" s="10">
        <v>0</v>
      </c>
    </row>
    <row r="119" spans="1:4" x14ac:dyDescent="0.25">
      <c r="A119" s="2" t="s">
        <v>325</v>
      </c>
      <c r="B119" s="2" t="s">
        <v>222</v>
      </c>
      <c r="C119" s="10">
        <v>0</v>
      </c>
      <c r="D119" s="10">
        <v>0</v>
      </c>
    </row>
    <row r="120" spans="1:4" x14ac:dyDescent="0.25">
      <c r="A120" s="2" t="s">
        <v>325</v>
      </c>
      <c r="B120" s="2" t="s">
        <v>832</v>
      </c>
      <c r="C120" s="10">
        <v>0</v>
      </c>
      <c r="D120" s="10">
        <v>0</v>
      </c>
    </row>
    <row r="121" spans="1:4" x14ac:dyDescent="0.25">
      <c r="A121" s="2" t="s">
        <v>325</v>
      </c>
      <c r="B121" s="2" t="s">
        <v>1437</v>
      </c>
      <c r="C121" s="10">
        <v>0</v>
      </c>
      <c r="D121" s="10">
        <v>0</v>
      </c>
    </row>
    <row r="122" spans="1:4" x14ac:dyDescent="0.25">
      <c r="A122" s="2" t="s">
        <v>325</v>
      </c>
      <c r="B122" s="2" t="s">
        <v>221</v>
      </c>
      <c r="C122" s="10">
        <v>0</v>
      </c>
      <c r="D122" s="10">
        <v>0</v>
      </c>
    </row>
    <row r="123" spans="1:4" x14ac:dyDescent="0.25">
      <c r="A123" s="2" t="s">
        <v>325</v>
      </c>
      <c r="B123" s="2" t="s">
        <v>1400</v>
      </c>
      <c r="C123" s="10">
        <v>0</v>
      </c>
      <c r="D123" s="10">
        <v>0</v>
      </c>
    </row>
    <row r="124" spans="1:4" x14ac:dyDescent="0.25">
      <c r="A124" s="2" t="s">
        <v>325</v>
      </c>
      <c r="B124" s="2" t="s">
        <v>1157</v>
      </c>
      <c r="C124" s="10">
        <v>0</v>
      </c>
      <c r="D124" s="10">
        <v>0</v>
      </c>
    </row>
    <row r="125" spans="1:4" x14ac:dyDescent="0.25">
      <c r="A125" s="2" t="s">
        <v>325</v>
      </c>
      <c r="B125" s="2" t="s">
        <v>631</v>
      </c>
      <c r="C125" s="10">
        <v>0</v>
      </c>
      <c r="D125" s="10">
        <v>0</v>
      </c>
    </row>
    <row r="126" spans="1:4" x14ac:dyDescent="0.25">
      <c r="A126" s="2" t="s">
        <v>325</v>
      </c>
      <c r="B126" s="2" t="s">
        <v>224</v>
      </c>
      <c r="C126" s="10">
        <v>0</v>
      </c>
      <c r="D126" s="10">
        <v>0</v>
      </c>
    </row>
    <row r="127" spans="1:4" x14ac:dyDescent="0.25">
      <c r="A127" s="2" t="s">
        <v>325</v>
      </c>
      <c r="B127" s="2" t="s">
        <v>1075</v>
      </c>
      <c r="C127" s="10">
        <v>0</v>
      </c>
      <c r="D127" s="10">
        <v>0</v>
      </c>
    </row>
    <row r="128" spans="1:4" x14ac:dyDescent="0.25">
      <c r="A128" s="2" t="s">
        <v>325</v>
      </c>
      <c r="B128" s="2" t="s">
        <v>680</v>
      </c>
      <c r="C128" s="10">
        <v>0</v>
      </c>
      <c r="D128" s="10">
        <v>0</v>
      </c>
    </row>
    <row r="129" spans="1:4" x14ac:dyDescent="0.25">
      <c r="A129" s="2" t="s">
        <v>325</v>
      </c>
      <c r="B129" s="2" t="s">
        <v>759</v>
      </c>
      <c r="C129" s="10">
        <v>0</v>
      </c>
      <c r="D129" s="10">
        <v>0</v>
      </c>
    </row>
    <row r="130" spans="1:4" x14ac:dyDescent="0.25">
      <c r="A130" s="2" t="s">
        <v>325</v>
      </c>
      <c r="B130" s="2" t="s">
        <v>11</v>
      </c>
      <c r="C130" s="10">
        <v>0</v>
      </c>
      <c r="D130" s="10">
        <v>0</v>
      </c>
    </row>
    <row r="131" spans="1:4" x14ac:dyDescent="0.25">
      <c r="A131" s="2" t="s">
        <v>325</v>
      </c>
      <c r="B131" s="2" t="s">
        <v>1443</v>
      </c>
      <c r="C131" s="10">
        <v>0</v>
      </c>
      <c r="D131" s="10">
        <v>0</v>
      </c>
    </row>
    <row r="132" spans="1:4" x14ac:dyDescent="0.25">
      <c r="A132" s="2" t="s">
        <v>325</v>
      </c>
      <c r="B132" s="2" t="s">
        <v>244</v>
      </c>
      <c r="C132" s="10">
        <v>0</v>
      </c>
      <c r="D132" s="10">
        <v>0</v>
      </c>
    </row>
    <row r="133" spans="1:4" x14ac:dyDescent="0.25">
      <c r="A133" s="2" t="s">
        <v>325</v>
      </c>
      <c r="B133" s="2" t="s">
        <v>644</v>
      </c>
      <c r="C133" s="10">
        <v>0</v>
      </c>
      <c r="D133" s="10">
        <v>0</v>
      </c>
    </row>
    <row r="134" spans="1:4" x14ac:dyDescent="0.25">
      <c r="A134" s="2" t="s">
        <v>325</v>
      </c>
      <c r="B134" s="2" t="s">
        <v>608</v>
      </c>
      <c r="C134" s="10">
        <v>0</v>
      </c>
      <c r="D134" s="10">
        <v>0</v>
      </c>
    </row>
    <row r="135" spans="1:4" x14ac:dyDescent="0.25">
      <c r="A135" s="2" t="s">
        <v>325</v>
      </c>
      <c r="B135" s="2" t="s">
        <v>1090</v>
      </c>
      <c r="C135" s="10">
        <v>0</v>
      </c>
      <c r="D135" s="10">
        <v>0</v>
      </c>
    </row>
    <row r="136" spans="1:4" x14ac:dyDescent="0.25">
      <c r="A136" s="2" t="s">
        <v>325</v>
      </c>
      <c r="B136" s="2" t="s">
        <v>490</v>
      </c>
      <c r="C136" s="10">
        <v>0</v>
      </c>
      <c r="D136" s="10">
        <v>0</v>
      </c>
    </row>
    <row r="137" spans="1:4" x14ac:dyDescent="0.25">
      <c r="A137" s="2" t="s">
        <v>325</v>
      </c>
      <c r="B137" s="2" t="s">
        <v>7</v>
      </c>
      <c r="C137" s="10">
        <v>0</v>
      </c>
      <c r="D137" s="10">
        <v>-180.96600000000035</v>
      </c>
    </row>
    <row r="138" spans="1:4" x14ac:dyDescent="0.25">
      <c r="A138" s="2" t="s">
        <v>325</v>
      </c>
      <c r="B138" s="2" t="s">
        <v>223</v>
      </c>
      <c r="C138" s="10">
        <v>0</v>
      </c>
      <c r="D138" s="10">
        <v>18.568002850663078</v>
      </c>
    </row>
    <row r="139" spans="1:4" x14ac:dyDescent="0.25">
      <c r="A139" s="2" t="s">
        <v>325</v>
      </c>
      <c r="B139" s="2" t="s">
        <v>988</v>
      </c>
      <c r="C139" s="10">
        <v>0</v>
      </c>
      <c r="D139" s="10">
        <v>0</v>
      </c>
    </row>
    <row r="140" spans="1:4" x14ac:dyDescent="0.25">
      <c r="A140" s="2" t="s">
        <v>325</v>
      </c>
      <c r="B140" s="2" t="s">
        <v>241</v>
      </c>
      <c r="C140" s="10">
        <v>0</v>
      </c>
      <c r="D140" s="10">
        <v>0</v>
      </c>
    </row>
    <row r="141" spans="1:4" x14ac:dyDescent="0.25">
      <c r="A141" s="2" t="s">
        <v>325</v>
      </c>
      <c r="B141" s="2" t="s">
        <v>781</v>
      </c>
      <c r="C141" s="10">
        <v>0</v>
      </c>
      <c r="D141" s="10">
        <v>0</v>
      </c>
    </row>
    <row r="142" spans="1:4" x14ac:dyDescent="0.25">
      <c r="A142" s="2" t="s">
        <v>325</v>
      </c>
      <c r="B142" s="2" t="s">
        <v>8</v>
      </c>
      <c r="C142" s="10">
        <v>-1.5949471301719313</v>
      </c>
      <c r="D142" s="10">
        <v>45.530066851453967</v>
      </c>
    </row>
    <row r="143" spans="1:4" x14ac:dyDescent="0.25">
      <c r="A143" s="2" t="s">
        <v>325</v>
      </c>
      <c r="B143" s="2" t="s">
        <v>555</v>
      </c>
      <c r="C143" s="10">
        <v>-3.5788805429390322</v>
      </c>
      <c r="D143" s="10">
        <v>28.962878909395386</v>
      </c>
    </row>
    <row r="144" spans="1:4" x14ac:dyDescent="0.25">
      <c r="A144" s="2" t="s">
        <v>325</v>
      </c>
      <c r="B144" s="2" t="s">
        <v>938</v>
      </c>
      <c r="C144" s="10">
        <v>-98.252921129503477</v>
      </c>
      <c r="D144" s="10">
        <v>0</v>
      </c>
    </row>
    <row r="145" spans="1:4" x14ac:dyDescent="0.25">
      <c r="A145" s="2" t="s">
        <v>325</v>
      </c>
      <c r="B145" s="2" t="s">
        <v>563</v>
      </c>
      <c r="C145" s="10">
        <v>-579.04</v>
      </c>
      <c r="D145" s="10">
        <v>0</v>
      </c>
    </row>
    <row r="146" spans="1:4" x14ac:dyDescent="0.25">
      <c r="A146" s="2" t="s">
        <v>325</v>
      </c>
      <c r="B146" s="2" t="s">
        <v>404</v>
      </c>
      <c r="C146" s="10">
        <v>-606.99486194652036</v>
      </c>
      <c r="D146" s="10">
        <v>4504.4587766260174</v>
      </c>
    </row>
    <row r="147" spans="1:4" x14ac:dyDescent="0.25">
      <c r="A147" s="2" t="s">
        <v>2014</v>
      </c>
      <c r="C147" s="10">
        <v>-1149.3214373901283</v>
      </c>
      <c r="D147" s="10">
        <v>5672.0200029843472</v>
      </c>
    </row>
    <row r="148" spans="1:4" x14ac:dyDescent="0.25">
      <c r="A148" s="2" t="s">
        <v>1997</v>
      </c>
      <c r="C148" s="10">
        <v>94962.869465463329</v>
      </c>
      <c r="D148" s="10">
        <v>36685.675442046486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A2131-B534-47B3-8C60-ECCD057651A6}">
  <sheetPr codeName="Sheet1">
    <pageSetUpPr autoPageBreaks="0" fitToPage="1"/>
  </sheetPr>
  <dimension ref="B1:AX29"/>
  <sheetViews>
    <sheetView showGridLines="0" tabSelected="1" zoomScaleNormal="100" zoomScaleSheetLayoutView="80" workbookViewId="0"/>
  </sheetViews>
  <sheetFormatPr defaultColWidth="9.140625" defaultRowHeight="15" outlineLevelCol="1" x14ac:dyDescent="0.25"/>
  <cols>
    <col min="1" max="1" width="5.7109375" customWidth="1"/>
    <col min="2" max="2" width="6.5703125" hidden="1" customWidth="1"/>
    <col min="3" max="4" width="5.7109375" hidden="1" customWidth="1"/>
    <col min="5" max="5" width="56.42578125" customWidth="1"/>
    <col min="6" max="6" width="18.5703125" customWidth="1"/>
    <col min="7" max="9" width="18.5703125" customWidth="1" outlineLevel="1"/>
    <col min="10" max="10" width="18.5703125" customWidth="1"/>
    <col min="11" max="16" width="18.5703125" customWidth="1" outlineLevel="1"/>
    <col min="17" max="17" width="18.5703125" customWidth="1"/>
    <col min="18" max="25" width="18.5703125" customWidth="1" outlineLevel="1"/>
    <col min="26" max="26" width="18.5703125" customWidth="1"/>
    <col min="27" max="36" width="18.5703125" customWidth="1" outlineLevel="1"/>
    <col min="37" max="39" width="18.5703125" customWidth="1"/>
    <col min="41" max="50" width="18.5703125" customWidth="1"/>
  </cols>
  <sheetData>
    <row r="1" spans="2:50" ht="25.5" customHeight="1" x14ac:dyDescent="0.25">
      <c r="E1" t="s">
        <v>2630</v>
      </c>
    </row>
    <row r="2" spans="2:50" ht="19.5" customHeight="1" x14ac:dyDescent="0.25">
      <c r="E2" s="46">
        <v>45349</v>
      </c>
    </row>
    <row r="3" spans="2:50" s="47" customFormat="1" ht="19.5" customHeight="1" thickBot="1" x14ac:dyDescent="0.3">
      <c r="E3" s="48" t="s">
        <v>51</v>
      </c>
      <c r="F3" s="47" t="s">
        <v>1941</v>
      </c>
    </row>
    <row r="4" spans="2:50" s="47" customFormat="1" ht="16.5" thickTop="1" thickBot="1" x14ac:dyDescent="0.3">
      <c r="E4" s="49"/>
      <c r="F4" s="50" t="s">
        <v>139</v>
      </c>
      <c r="G4" s="51"/>
      <c r="H4" s="51"/>
      <c r="I4" s="52"/>
      <c r="J4" s="53" t="s">
        <v>140</v>
      </c>
      <c r="K4" s="54"/>
      <c r="L4" s="54"/>
      <c r="M4" s="54"/>
      <c r="N4" s="54"/>
      <c r="O4" s="54"/>
      <c r="P4" s="55"/>
      <c r="Q4" s="56" t="s">
        <v>141</v>
      </c>
      <c r="R4" s="57"/>
      <c r="S4" s="57"/>
      <c r="T4" s="57"/>
      <c r="U4" s="57"/>
      <c r="V4" s="57"/>
      <c r="W4" s="57"/>
      <c r="X4" s="57"/>
      <c r="Y4" s="58"/>
      <c r="Z4" s="59" t="s">
        <v>142</v>
      </c>
      <c r="AA4" s="60"/>
      <c r="AB4" s="60"/>
      <c r="AC4" s="60"/>
      <c r="AD4" s="60"/>
      <c r="AE4" s="60"/>
      <c r="AF4" s="60"/>
      <c r="AG4" s="60"/>
      <c r="AH4" s="60"/>
      <c r="AI4" s="60"/>
      <c r="AJ4" s="61"/>
      <c r="AK4" s="62" t="s">
        <v>143</v>
      </c>
      <c r="AL4" s="63"/>
      <c r="AM4" s="64"/>
      <c r="AO4" s="65" t="s">
        <v>1485</v>
      </c>
      <c r="AP4" s="66"/>
      <c r="AQ4" s="66"/>
      <c r="AR4" s="67"/>
      <c r="AS4" s="68"/>
      <c r="AT4" s="69" t="s">
        <v>1486</v>
      </c>
      <c r="AU4" s="70"/>
      <c r="AV4" s="70"/>
      <c r="AW4" s="71"/>
      <c r="AX4" s="72"/>
    </row>
    <row r="5" spans="2:50" s="73" customFormat="1" ht="45" x14ac:dyDescent="0.25">
      <c r="E5" s="74"/>
      <c r="F5" s="75" t="s">
        <v>52</v>
      </c>
      <c r="G5" s="76" t="s">
        <v>53</v>
      </c>
      <c r="H5" s="77" t="s">
        <v>148</v>
      </c>
      <c r="I5" s="78" t="s">
        <v>55</v>
      </c>
      <c r="J5" s="79" t="s">
        <v>52</v>
      </c>
      <c r="K5" s="80" t="s">
        <v>53</v>
      </c>
      <c r="L5" s="81"/>
      <c r="M5" s="82" t="s">
        <v>148</v>
      </c>
      <c r="N5" s="81"/>
      <c r="O5" s="83"/>
      <c r="P5" s="84" t="s">
        <v>55</v>
      </c>
      <c r="Q5" s="79" t="s">
        <v>52</v>
      </c>
      <c r="R5" s="85" t="s">
        <v>53</v>
      </c>
      <c r="S5" s="86"/>
      <c r="T5" s="86"/>
      <c r="U5" s="87" t="s">
        <v>148</v>
      </c>
      <c r="V5" s="86"/>
      <c r="W5" s="86"/>
      <c r="X5" s="88"/>
      <c r="Y5" s="89" t="s">
        <v>55</v>
      </c>
      <c r="Z5" s="79" t="s">
        <v>52</v>
      </c>
      <c r="AA5" s="90" t="s">
        <v>53</v>
      </c>
      <c r="AB5" s="91"/>
      <c r="AC5" s="91"/>
      <c r="AD5" s="91"/>
      <c r="AE5" s="92" t="s">
        <v>148</v>
      </c>
      <c r="AF5" s="91"/>
      <c r="AG5" s="91"/>
      <c r="AH5" s="91"/>
      <c r="AI5" s="93"/>
      <c r="AJ5" s="94" t="s">
        <v>55</v>
      </c>
      <c r="AK5" s="79" t="s">
        <v>52</v>
      </c>
      <c r="AL5" s="95" t="s">
        <v>53</v>
      </c>
      <c r="AM5" s="96" t="s">
        <v>54</v>
      </c>
      <c r="AN5" s="47"/>
      <c r="AO5" s="97" t="s">
        <v>1487</v>
      </c>
      <c r="AP5" s="98"/>
      <c r="AQ5" s="98"/>
      <c r="AR5" s="99"/>
      <c r="AS5" s="100" t="s">
        <v>1488</v>
      </c>
      <c r="AT5" s="101" t="s">
        <v>1489</v>
      </c>
      <c r="AU5" s="102"/>
      <c r="AV5" s="102"/>
      <c r="AW5" s="103"/>
      <c r="AX5" s="96" t="s">
        <v>1490</v>
      </c>
    </row>
    <row r="6" spans="2:50" s="73" customFormat="1" ht="30" x14ac:dyDescent="0.25">
      <c r="E6" s="74"/>
      <c r="F6" s="104" t="s">
        <v>144</v>
      </c>
      <c r="G6" s="105" t="s">
        <v>145</v>
      </c>
      <c r="H6" s="106" t="s">
        <v>146</v>
      </c>
      <c r="I6" s="107"/>
      <c r="J6" s="108" t="s">
        <v>144</v>
      </c>
      <c r="K6" s="109" t="s">
        <v>145</v>
      </c>
      <c r="L6" s="110" t="s">
        <v>147</v>
      </c>
      <c r="M6" s="111" t="s">
        <v>149</v>
      </c>
      <c r="N6" s="109" t="s">
        <v>150</v>
      </c>
      <c r="O6" s="109" t="s">
        <v>151</v>
      </c>
      <c r="P6" s="112"/>
      <c r="Q6" s="108" t="s">
        <v>144</v>
      </c>
      <c r="R6" s="113" t="s">
        <v>145</v>
      </c>
      <c r="S6" s="113" t="s">
        <v>147</v>
      </c>
      <c r="T6" s="114" t="s">
        <v>152</v>
      </c>
      <c r="U6" s="115" t="s">
        <v>149</v>
      </c>
      <c r="V6" s="113" t="s">
        <v>150</v>
      </c>
      <c r="W6" s="113" t="s">
        <v>153</v>
      </c>
      <c r="X6" s="113" t="s">
        <v>154</v>
      </c>
      <c r="Y6" s="116"/>
      <c r="Z6" s="108" t="s">
        <v>144</v>
      </c>
      <c r="AA6" s="117" t="s">
        <v>145</v>
      </c>
      <c r="AB6" s="117" t="s">
        <v>147</v>
      </c>
      <c r="AC6" s="117" t="s">
        <v>152</v>
      </c>
      <c r="AD6" s="118" t="s">
        <v>155</v>
      </c>
      <c r="AE6" s="119" t="s">
        <v>149</v>
      </c>
      <c r="AF6" s="117" t="s">
        <v>150</v>
      </c>
      <c r="AG6" s="117" t="s">
        <v>153</v>
      </c>
      <c r="AH6" s="117" t="s">
        <v>156</v>
      </c>
      <c r="AI6" s="117" t="s">
        <v>157</v>
      </c>
      <c r="AJ6" s="120"/>
      <c r="AK6" s="108"/>
      <c r="AL6" s="121"/>
      <c r="AM6" s="122"/>
      <c r="AN6" s="47"/>
      <c r="AO6" s="108"/>
      <c r="AP6" s="104"/>
      <c r="AQ6" s="104"/>
      <c r="AR6" s="123"/>
      <c r="AS6" s="124"/>
      <c r="AT6" s="125"/>
      <c r="AU6" s="121"/>
      <c r="AV6" s="121"/>
      <c r="AW6" s="126"/>
      <c r="AX6" s="122"/>
    </row>
    <row r="7" spans="2:50" s="73" customFormat="1" ht="24" customHeight="1" x14ac:dyDescent="0.25">
      <c r="E7" s="127" t="s">
        <v>527</v>
      </c>
      <c r="F7" s="104">
        <v>2022</v>
      </c>
      <c r="G7" s="105">
        <v>2022</v>
      </c>
      <c r="H7" s="106">
        <v>2022</v>
      </c>
      <c r="I7" s="107">
        <v>2022</v>
      </c>
      <c r="J7" s="108">
        <v>2023</v>
      </c>
      <c r="K7" s="109">
        <v>2023</v>
      </c>
      <c r="L7" s="110">
        <v>2023</v>
      </c>
      <c r="M7" s="111">
        <v>2023</v>
      </c>
      <c r="N7" s="109">
        <v>2023</v>
      </c>
      <c r="O7" s="109">
        <v>2023</v>
      </c>
      <c r="P7" s="112">
        <v>2023</v>
      </c>
      <c r="Q7" s="108">
        <v>2024</v>
      </c>
      <c r="R7" s="113">
        <v>2024</v>
      </c>
      <c r="S7" s="113">
        <v>2024</v>
      </c>
      <c r="T7" s="114">
        <v>2024</v>
      </c>
      <c r="U7" s="115">
        <v>2024</v>
      </c>
      <c r="V7" s="113">
        <v>2024</v>
      </c>
      <c r="W7" s="113">
        <v>2024</v>
      </c>
      <c r="X7" s="113">
        <v>2024</v>
      </c>
      <c r="Y7" s="116">
        <v>2024</v>
      </c>
      <c r="Z7" s="108">
        <v>2025</v>
      </c>
      <c r="AA7" s="117">
        <v>2025</v>
      </c>
      <c r="AB7" s="117">
        <v>2025</v>
      </c>
      <c r="AC7" s="117">
        <v>2025</v>
      </c>
      <c r="AD7" s="118">
        <v>2025</v>
      </c>
      <c r="AE7" s="119">
        <v>2025</v>
      </c>
      <c r="AF7" s="117">
        <v>2025</v>
      </c>
      <c r="AG7" s="117">
        <v>2025</v>
      </c>
      <c r="AH7" s="117">
        <v>2025</v>
      </c>
      <c r="AI7" s="117">
        <v>2025</v>
      </c>
      <c r="AJ7" s="120">
        <v>2025</v>
      </c>
      <c r="AK7" s="108" t="s">
        <v>56</v>
      </c>
      <c r="AL7" s="121" t="s">
        <v>56</v>
      </c>
      <c r="AM7" s="122" t="s">
        <v>56</v>
      </c>
      <c r="AN7" s="47"/>
      <c r="AO7" s="108">
        <v>2022</v>
      </c>
      <c r="AP7" s="104">
        <v>2023</v>
      </c>
      <c r="AQ7" s="104">
        <v>2024</v>
      </c>
      <c r="AR7" s="123">
        <v>2025</v>
      </c>
      <c r="AS7" s="124" t="s">
        <v>56</v>
      </c>
      <c r="AT7" s="125">
        <v>2022</v>
      </c>
      <c r="AU7" s="121">
        <v>2023</v>
      </c>
      <c r="AV7" s="121">
        <v>2024</v>
      </c>
      <c r="AW7" s="126">
        <v>2025</v>
      </c>
      <c r="AX7" s="122" t="s">
        <v>56</v>
      </c>
    </row>
    <row r="8" spans="2:50" s="128" customFormat="1" ht="22.5" customHeight="1" thickBot="1" x14ac:dyDescent="0.3">
      <c r="E8" s="129" t="s">
        <v>57</v>
      </c>
      <c r="F8" s="130" t="s">
        <v>58</v>
      </c>
      <c r="G8" s="131" t="s">
        <v>59</v>
      </c>
      <c r="H8" s="132" t="s">
        <v>60</v>
      </c>
      <c r="I8" s="133" t="s">
        <v>61</v>
      </c>
      <c r="J8" s="134" t="s">
        <v>62</v>
      </c>
      <c r="K8" s="135" t="s">
        <v>63</v>
      </c>
      <c r="L8" s="136" t="s">
        <v>90</v>
      </c>
      <c r="M8" s="137" t="s">
        <v>162</v>
      </c>
      <c r="N8" s="135" t="s">
        <v>163</v>
      </c>
      <c r="O8" s="135" t="s">
        <v>164</v>
      </c>
      <c r="P8" s="138" t="s">
        <v>91</v>
      </c>
      <c r="Q8" s="134" t="s">
        <v>64</v>
      </c>
      <c r="R8" s="139" t="s">
        <v>65</v>
      </c>
      <c r="S8" s="139" t="s">
        <v>66</v>
      </c>
      <c r="T8" s="140" t="s">
        <v>92</v>
      </c>
      <c r="U8" s="141" t="s">
        <v>165</v>
      </c>
      <c r="V8" s="139" t="s">
        <v>166</v>
      </c>
      <c r="W8" s="139" t="s">
        <v>167</v>
      </c>
      <c r="X8" s="139" t="s">
        <v>168</v>
      </c>
      <c r="Y8" s="142" t="s">
        <v>158</v>
      </c>
      <c r="Z8" s="134" t="s">
        <v>159</v>
      </c>
      <c r="AA8" s="143" t="s">
        <v>160</v>
      </c>
      <c r="AB8" s="143" t="s">
        <v>161</v>
      </c>
      <c r="AC8" s="143" t="s">
        <v>93</v>
      </c>
      <c r="AD8" s="144" t="s">
        <v>94</v>
      </c>
      <c r="AE8" s="145" t="s">
        <v>169</v>
      </c>
      <c r="AF8" s="143" t="s">
        <v>170</v>
      </c>
      <c r="AG8" s="143" t="s">
        <v>171</v>
      </c>
      <c r="AH8" s="143" t="s">
        <v>172</v>
      </c>
      <c r="AI8" s="143" t="s">
        <v>173</v>
      </c>
      <c r="AJ8" s="146" t="s">
        <v>95</v>
      </c>
      <c r="AK8" s="134" t="s">
        <v>174</v>
      </c>
      <c r="AL8" s="147" t="s">
        <v>175</v>
      </c>
      <c r="AM8" s="148" t="s">
        <v>176</v>
      </c>
      <c r="AN8" s="47"/>
      <c r="AO8" s="134" t="s">
        <v>196</v>
      </c>
      <c r="AP8" s="130" t="s">
        <v>1491</v>
      </c>
      <c r="AQ8" s="130" t="s">
        <v>1492</v>
      </c>
      <c r="AR8" s="149" t="s">
        <v>96</v>
      </c>
      <c r="AS8" s="150" t="s">
        <v>97</v>
      </c>
      <c r="AT8" s="151" t="s">
        <v>197</v>
      </c>
      <c r="AU8" s="147" t="s">
        <v>198</v>
      </c>
      <c r="AV8" s="147" t="s">
        <v>1493</v>
      </c>
      <c r="AW8" s="152" t="s">
        <v>1494</v>
      </c>
      <c r="AX8" s="148" t="s">
        <v>98</v>
      </c>
    </row>
    <row r="9" spans="2:50" s="153" customFormat="1" ht="15.75" thickTop="1" x14ac:dyDescent="0.25">
      <c r="B9" s="153" t="s">
        <v>67</v>
      </c>
      <c r="C9" s="153" t="s">
        <v>68</v>
      </c>
      <c r="D9" s="153" t="s">
        <v>528</v>
      </c>
      <c r="E9" s="154"/>
      <c r="F9" s="155"/>
      <c r="G9" s="74"/>
      <c r="H9" s="156"/>
      <c r="I9" s="157"/>
      <c r="J9" s="158"/>
      <c r="K9" s="155"/>
      <c r="L9" s="74"/>
      <c r="M9" s="156"/>
      <c r="N9" s="159"/>
      <c r="O9" s="159"/>
      <c r="P9" s="157"/>
      <c r="Q9" s="158"/>
      <c r="R9" s="155"/>
      <c r="S9" s="155"/>
      <c r="T9" s="74"/>
      <c r="U9" s="156"/>
      <c r="V9" s="159"/>
      <c r="W9" s="159"/>
      <c r="X9" s="159"/>
      <c r="Y9" s="157"/>
      <c r="Z9" s="158"/>
      <c r="AA9" s="155"/>
      <c r="AB9" s="155"/>
      <c r="AC9" s="155"/>
      <c r="AD9" s="74"/>
      <c r="AE9" s="156"/>
      <c r="AF9" s="159"/>
      <c r="AG9" s="159"/>
      <c r="AH9" s="159"/>
      <c r="AI9" s="159"/>
      <c r="AJ9" s="157"/>
      <c r="AK9" s="158"/>
      <c r="AL9" s="155"/>
      <c r="AM9" s="160"/>
      <c r="AN9" s="47"/>
      <c r="AO9" s="158"/>
      <c r="AP9" s="155"/>
      <c r="AQ9" s="155"/>
      <c r="AR9" s="74"/>
      <c r="AS9" s="161"/>
      <c r="AT9" s="158"/>
      <c r="AU9" s="155"/>
      <c r="AV9" s="155"/>
      <c r="AW9" s="74"/>
      <c r="AX9" s="161"/>
    </row>
    <row r="10" spans="2:50" s="153" customFormat="1" x14ac:dyDescent="0.25">
      <c r="B10" s="162" t="e">
        <f t="shared" ref="B10:B22" si="0">ROUND(C10,5)=ROUND(F10,5)</f>
        <v>#VALUE!</v>
      </c>
      <c r="C10" s="163" t="e">
        <f>SUMIFS('[12]Portfolio Development'!$AA:$AA,'[12]Portfolio Development'!$B:$B,$D10)</f>
        <v>#VALUE!</v>
      </c>
      <c r="D10" s="163" t="s">
        <v>1773</v>
      </c>
      <c r="E10" s="164" t="s">
        <v>1451</v>
      </c>
      <c r="F10" s="165">
        <f>SUMIF('Measure-Level Adj Gas'!$B$10:$B$709,$D10,'Measure-Level Adj Gas'!$AB$10:$AB$709)</f>
        <v>22394.47265625</v>
      </c>
      <c r="G10" s="166">
        <f>SUMIF('Measure-Level Adj Gas'!$B$10:$B$709,$D10,'Measure-Level Adj Gas'!$BN$10:$BN$709)</f>
        <v>22394.47265625</v>
      </c>
      <c r="H10" s="167">
        <f>IF(G10=0,0,G10-F10)</f>
        <v>0</v>
      </c>
      <c r="I10" s="168"/>
      <c r="J10" s="169">
        <f>SUMIF('Measure-Level Adj Gas'!$B$10:$B$709,$D10,'Measure-Level Adj Gas'!$AC$10:$AC$709)</f>
        <v>22394.47265625</v>
      </c>
      <c r="K10" s="165">
        <v>22394.47265625</v>
      </c>
      <c r="L10" s="166">
        <v>22394.47265625</v>
      </c>
      <c r="M10" s="167">
        <f>IF(K10=0,0,K10-J10)</f>
        <v>0</v>
      </c>
      <c r="N10" s="170">
        <f t="shared" ref="N10:N22" si="1">IF(L10=0,0,L10-K10)</f>
        <v>0</v>
      </c>
      <c r="O10" s="170">
        <f>IF(L10=0,0,L10-J10)</f>
        <v>0</v>
      </c>
      <c r="P10" s="168" t="s">
        <v>1469</v>
      </c>
      <c r="Q10" s="169">
        <f>SUMIF('Measure-Level Adj Gas'!$B$10:$B$709,$D10,'Measure-Level Adj Gas'!$AD$10:$AD$709)</f>
        <v>22394.47265625</v>
      </c>
      <c r="R10" s="165">
        <v>22394.47265625</v>
      </c>
      <c r="S10" s="165">
        <v>22394.47265625</v>
      </c>
      <c r="T10" s="166">
        <f>SUMIF('Measure-Level Adj Gas'!$B$10:$B$709,$D10,'Measure-Level Adj Gas'!$BP$10:$BP$709)</f>
        <v>22394.47265625</v>
      </c>
      <c r="U10" s="167">
        <f>IF(R10=0,0,R10-Q10)</f>
        <v>0</v>
      </c>
      <c r="V10" s="170">
        <f t="shared" ref="V10:V22" si="2">IF(S10=0,0,S10-R10)</f>
        <v>0</v>
      </c>
      <c r="W10" s="170">
        <f t="shared" ref="W10:W22" si="3">IF(T10=0,0,T10-S10)</f>
        <v>0</v>
      </c>
      <c r="X10" s="170">
        <f>IF(T10=0,0,T10-Q10)</f>
        <v>0</v>
      </c>
      <c r="Y10" s="168" t="s">
        <v>1469</v>
      </c>
      <c r="Z10" s="169">
        <f>SUMIF('Measure-Level Adj Gas'!$B$10:$B$709,$D10,'Measure-Level Adj Gas'!$AE$10:$AE$709)</f>
        <v>22394.47265625</v>
      </c>
      <c r="AA10" s="165">
        <v>22394.47265625</v>
      </c>
      <c r="AB10" s="165">
        <v>22394.47265625</v>
      </c>
      <c r="AC10" s="165">
        <f>SUMIF('Measure-Level Adj Gas'!$B$10:$B$709,$D10,'Measure-Level Adj Gas'!$BQ$10:$BQ$709)</f>
        <v>22394.47265625</v>
      </c>
      <c r="AD10" s="166">
        <f>SUMIF('Measure-Level Adj Gas'!$B$10:$B$709,$D10,'Measure-Level Adj Gas'!$BQ$10:$BQ$709)</f>
        <v>22394.47265625</v>
      </c>
      <c r="AE10" s="167">
        <f>IF(AA10=0,0,AA10-Z10)</f>
        <v>0</v>
      </c>
      <c r="AF10" s="170">
        <f t="shared" ref="AF10:AF22" si="4">IF(AB10=0,0,AB10-AA10)</f>
        <v>0</v>
      </c>
      <c r="AG10" s="170">
        <f t="shared" ref="AG10:AG22" si="5">IF(AC10=0,0,AC10-AB10)</f>
        <v>0</v>
      </c>
      <c r="AH10" s="170">
        <f t="shared" ref="AH10:AH22" si="6">IF(AD10=0,0,AD10-AC10)</f>
        <v>0</v>
      </c>
      <c r="AI10" s="170">
        <f>IF(AD10=0,0,AD10-Z10)</f>
        <v>0</v>
      </c>
      <c r="AJ10" s="168"/>
      <c r="AK10" s="169">
        <f t="shared" ref="AK10:AK22" si="7">F10+J10+Q10+Z10</f>
        <v>89577.890625</v>
      </c>
      <c r="AL10" s="165">
        <f t="shared" ref="AL10:AL22" si="8">G10+L10+T10+AD10</f>
        <v>89577.890625</v>
      </c>
      <c r="AM10" s="171">
        <f t="shared" ref="AM10:AM22" si="9">IF(AL10=0,0,AL10-AK10)</f>
        <v>0</v>
      </c>
      <c r="AN10" s="47"/>
      <c r="AO10" s="169">
        <f ca="1">SUMIF('Measure-Level Adj Gas'!$B$10:$B$709,$D10,'Measure-Level Adj Gas'!$CG$10:$CG$709)</f>
        <v>212747.490234375</v>
      </c>
      <c r="AP10" s="165">
        <f ca="1">SUMIF('Measure-Level Adj Gas'!$B$10:$B$709,$D10,'Measure-Level Adj Gas'!$CH$10:$CH$709)</f>
        <v>212747.490234375</v>
      </c>
      <c r="AQ10" s="165">
        <f ca="1">SUMIF('Measure-Level Adj Gas'!$B$10:$B$709,$D10,'Measure-Level Adj Gas'!$CI$10:$CI$709)</f>
        <v>212747.490234375</v>
      </c>
      <c r="AR10" s="165">
        <f ca="1">SUMIF('Measure-Level Adj Gas'!$B$10:$B$709,$D10,'Measure-Level Adj Gas'!$CJ$10:$CJ$709)</f>
        <v>212747.490234375</v>
      </c>
      <c r="AS10" s="172">
        <f ca="1">SUM(AO10:AR10)</f>
        <v>850989.9609375</v>
      </c>
      <c r="AT10" s="169">
        <f ca="1">SUMIF('Measure-Level Adj Gas'!$B$10:$B$709,$D10,'Measure-Level Adj Gas'!$CU$10:$CU$709)</f>
        <v>212747.490234375</v>
      </c>
      <c r="AU10" s="165">
        <f ca="1">SUMIF('Measure-Level Adj Gas'!$B$10:$B$709,$D10,'Measure-Level Adj Gas'!$CV$10:$CV$709)</f>
        <v>212747.490234375</v>
      </c>
      <c r="AV10" s="165">
        <f ca="1">SUMIF('Measure-Level Adj Gas'!$B$10:$B$709,$D10,'Measure-Level Adj Gas'!$CW$10:$CW$709)</f>
        <v>212747.490234375</v>
      </c>
      <c r="AW10" s="166">
        <f ca="1">SUMIF('Measure-Level Adj Gas'!$B$10:$B$709,$D10,'Measure-Level Adj Gas'!$CX$10:$CX$709)</f>
        <v>212747.490234375</v>
      </c>
      <c r="AX10" s="172">
        <f ca="1">SUM(AT10:AW10)</f>
        <v>850989.9609375</v>
      </c>
    </row>
    <row r="11" spans="2:50" s="153" customFormat="1" x14ac:dyDescent="0.25">
      <c r="B11" s="162" t="e">
        <f t="shared" si="0"/>
        <v>#VALUE!</v>
      </c>
      <c r="C11" s="163" t="e">
        <f>SUMIFS('[12]Portfolio Development'!$AA:$AA,'[12]Portfolio Development'!$B:$B,$D11)</f>
        <v>#VALUE!</v>
      </c>
      <c r="D11" s="163" t="s">
        <v>1774</v>
      </c>
      <c r="E11" s="164" t="s">
        <v>1452</v>
      </c>
      <c r="F11" s="165">
        <f>SUMIF('Measure-Level Adj Gas'!$B$10:$B$709,$D11,'Measure-Level Adj Gas'!$AB$10:$AB$709)</f>
        <v>66652.755076403555</v>
      </c>
      <c r="G11" s="166">
        <f>SUMIF('Measure-Level Adj Gas'!$B$10:$B$709,$D11,'Measure-Level Adj Gas'!$BN$10:$BN$709)</f>
        <v>74506.387266733072</v>
      </c>
      <c r="H11" s="167">
        <f t="shared" ref="H11:H12" si="10">IF(G11=0,0,G11-F11)</f>
        <v>7853.6321903295175</v>
      </c>
      <c r="I11" s="168"/>
      <c r="J11" s="169">
        <f>SUMIF('Measure-Level Adj Gas'!$B$10:$B$709,$D11,'Measure-Level Adj Gas'!$AC$10:$AC$709)</f>
        <v>59935.876151211443</v>
      </c>
      <c r="K11" s="165">
        <v>67001.840139017921</v>
      </c>
      <c r="L11" s="166">
        <v>66865.513696768539</v>
      </c>
      <c r="M11" s="167">
        <f t="shared" ref="M11:M22" si="11">IF(K11=0,0,K11-J11)</f>
        <v>7065.9639878064772</v>
      </c>
      <c r="N11" s="170">
        <f t="shared" si="1"/>
        <v>-136.32644224938122</v>
      </c>
      <c r="O11" s="170">
        <f t="shared" ref="O11:O22" si="12">IF(L11=0,0,L11-J11)</f>
        <v>6929.637545557096</v>
      </c>
      <c r="P11" s="168" t="s">
        <v>1988</v>
      </c>
      <c r="Q11" s="169">
        <f>SUMIF('Measure-Level Adj Gas'!$B$10:$B$709,$D11,'Measure-Level Adj Gas'!$AD$10:$AD$709)</f>
        <v>53285.125257560576</v>
      </c>
      <c r="R11" s="165">
        <v>59568.099710625713</v>
      </c>
      <c r="S11" s="165">
        <v>59446.906088549455</v>
      </c>
      <c r="T11" s="166">
        <f ca="1">SUMIF('Measure-Level Adj Gas'!$B$10:$B$709,$D11,'Measure-Level Adj Gas'!$BP$10:$BP$709)</f>
        <v>61310.899509301446</v>
      </c>
      <c r="U11" s="167">
        <f t="shared" ref="U11:U22" si="13">IF(R11=0,0,R11-Q11)</f>
        <v>6282.9744530651369</v>
      </c>
      <c r="V11" s="170">
        <f t="shared" si="2"/>
        <v>-121.19362207625818</v>
      </c>
      <c r="W11" s="170">
        <f t="shared" ca="1" si="3"/>
        <v>1863.9934207519909</v>
      </c>
      <c r="X11" s="170">
        <f t="shared" ref="X11:X22" ca="1" si="14">IF(T11=0,0,T11-Q11)</f>
        <v>8025.7742517408697</v>
      </c>
      <c r="Y11" s="168" t="s">
        <v>2561</v>
      </c>
      <c r="Z11" s="169">
        <f>SUMIF('Measure-Level Adj Gas'!$B$10:$B$709,$D11,'Measure-Level Adj Gas'!$AE$10:$AE$709)</f>
        <v>46607.826180412994</v>
      </c>
      <c r="AA11" s="165">
        <v>52105.039315555681</v>
      </c>
      <c r="AB11" s="165">
        <v>51999.056048334285</v>
      </c>
      <c r="AC11" s="165">
        <f ca="1">SUMIF('Measure-Level Adj Gas'!$B$10:$B$709,$D11,'Measure-Level Adj Gas'!$BQ$10:$BQ$709)</f>
        <v>53633.252706170482</v>
      </c>
      <c r="AD11" s="166">
        <f ca="1">SUMIF('Measure-Level Adj Gas'!$B$10:$B$709,$D11,'Measure-Level Adj Gas'!$BQ$10:$BQ$709)</f>
        <v>53633.252706170482</v>
      </c>
      <c r="AE11" s="167">
        <f t="shared" ref="AE11:AE22" si="15">IF(AA11=0,0,AA11-Z11)</f>
        <v>5497.213135142687</v>
      </c>
      <c r="AF11" s="170">
        <f t="shared" si="4"/>
        <v>-105.98326722139609</v>
      </c>
      <c r="AG11" s="170">
        <f t="shared" ca="1" si="5"/>
        <v>1634.1966578361971</v>
      </c>
      <c r="AH11" s="170">
        <f t="shared" ca="1" si="6"/>
        <v>0</v>
      </c>
      <c r="AI11" s="170">
        <f t="shared" ref="AI11:AI22" ca="1" si="16">IF(AD11=0,0,AD11-Z11)</f>
        <v>7025.426525757488</v>
      </c>
      <c r="AJ11" s="168"/>
      <c r="AK11" s="169">
        <f t="shared" ref="AK11:AK12" si="17">F11+J11+Q11+Z11</f>
        <v>226481.58266558856</v>
      </c>
      <c r="AL11" s="165">
        <f t="shared" ref="AL11:AL12" ca="1" si="18">G11+L11+T11+AD11</f>
        <v>256316.05317897353</v>
      </c>
      <c r="AM11" s="171">
        <f t="shared" ref="AM11:AM12" ca="1" si="19">IF(AL11=0,0,AL11-AK11)</f>
        <v>29834.470513384964</v>
      </c>
      <c r="AN11" s="47"/>
      <c r="AO11" s="169">
        <f ca="1">SUMIF('Measure-Level Adj Gas'!$B$10:$B$709,$D11,'Measure-Level Adj Gas'!$CG$10:$CG$709)</f>
        <v>638842.97058538569</v>
      </c>
      <c r="AP11" s="165">
        <f ca="1">SUMIF('Measure-Level Adj Gas'!$B$10:$B$709,$D11,'Measure-Level Adj Gas'!$CH$10:$CH$709)</f>
        <v>574677.9640649514</v>
      </c>
      <c r="AQ11" s="165">
        <f ca="1">SUMIF('Measure-Level Adj Gas'!$B$10:$B$709,$D11,'Measure-Level Adj Gas'!$CI$10:$CI$709)</f>
        <v>511080.61008443782</v>
      </c>
      <c r="AR11" s="165">
        <f ca="1">SUMIF('Measure-Level Adj Gas'!$B$10:$B$709,$D11,'Measure-Level Adj Gas'!$CJ$10:$CJ$709)</f>
        <v>446741.31056844897</v>
      </c>
      <c r="AS11" s="172">
        <f t="shared" ref="AS11:AS23" ca="1" si="20">SUM(AO11:AR11)</f>
        <v>2171342.8553032237</v>
      </c>
      <c r="AT11" s="169">
        <f ca="1">SUMIF('Measure-Level Adj Gas'!$B$10:$B$709,$D11,'Measure-Level Adj Gas'!$CU$10:$CU$709)</f>
        <v>750245.37111888709</v>
      </c>
      <c r="AU11" s="165">
        <f ca="1">SUMIF('Measure-Level Adj Gas'!$B$10:$B$709,$D11,'Measure-Level Adj Gas'!$CV$10:$CV$709)</f>
        <v>673545.68874251191</v>
      </c>
      <c r="AV11" s="165">
        <f ca="1">SUMIF('Measure-Level Adj Gas'!$B$10:$B$709,$D11,'Measure-Level Adj Gas'!$CW$10:$CW$709)</f>
        <v>598941.42867516202</v>
      </c>
      <c r="AW11" s="166">
        <f ca="1">SUMIF('Measure-Level Adj Gas'!$B$10:$B$709,$D11,'Measure-Level Adj Gas'!$CX$10:$CX$709)</f>
        <v>523610.14951644704</v>
      </c>
      <c r="AX11" s="172">
        <f t="shared" ref="AX11:AX23" ca="1" si="21">SUM(AT11:AW11)</f>
        <v>2546342.6380530079</v>
      </c>
    </row>
    <row r="12" spans="2:50" s="153" customFormat="1" x14ac:dyDescent="0.25">
      <c r="B12" s="162" t="e">
        <f t="shared" si="0"/>
        <v>#VALUE!</v>
      </c>
      <c r="C12" s="163" t="e">
        <f>SUMIFS('[12]Portfolio Development'!$AA:$AA,'[12]Portfolio Development'!$B:$B,$D12)</f>
        <v>#VALUE!</v>
      </c>
      <c r="D12" s="163" t="s">
        <v>1775</v>
      </c>
      <c r="E12" s="164" t="s">
        <v>1453</v>
      </c>
      <c r="F12" s="165">
        <f>SUMIF('Measure-Level Adj Gas'!$B$10:$B$709,$D12,'Measure-Level Adj Gas'!$AB$10:$AB$709)</f>
        <v>436209.75459859037</v>
      </c>
      <c r="G12" s="166">
        <f>SUMIF('Measure-Level Adj Gas'!$B$10:$B$709,$D12,'Measure-Level Adj Gas'!$BN$10:$BN$709)</f>
        <v>453608.69448403362</v>
      </c>
      <c r="H12" s="167">
        <f t="shared" si="10"/>
        <v>17398.939885443251</v>
      </c>
      <c r="I12" s="168"/>
      <c r="J12" s="169">
        <f>SUMIF('Measure-Level Adj Gas'!$B$10:$B$709,$D12,'Measure-Level Adj Gas'!$AC$10:$AC$709)</f>
        <v>417239.16993759171</v>
      </c>
      <c r="K12" s="165">
        <v>436533.61165404913</v>
      </c>
      <c r="L12" s="166">
        <v>436533.61165404913</v>
      </c>
      <c r="M12" s="167">
        <f t="shared" si="11"/>
        <v>19294.441716457426</v>
      </c>
      <c r="N12" s="170">
        <f t="shared" si="1"/>
        <v>0</v>
      </c>
      <c r="O12" s="170">
        <f t="shared" si="12"/>
        <v>19294.441716457426</v>
      </c>
      <c r="P12" s="168" t="s">
        <v>1469</v>
      </c>
      <c r="Q12" s="169">
        <f>SUMIF('Measure-Level Adj Gas'!$B$10:$B$709,$D12,'Measure-Level Adj Gas'!$AD$10:$AD$709)</f>
        <v>384866.27854691958</v>
      </c>
      <c r="R12" s="165">
        <v>404378.37459439115</v>
      </c>
      <c r="S12" s="165">
        <v>404378.37459439115</v>
      </c>
      <c r="T12" s="166">
        <f ca="1">SUMIF('Measure-Level Adj Gas'!$B$10:$B$709,$D12,'Measure-Level Adj Gas'!$BP$10:$BP$709)</f>
        <v>403502.81982975511</v>
      </c>
      <c r="U12" s="167">
        <f t="shared" si="13"/>
        <v>19512.096047471568</v>
      </c>
      <c r="V12" s="170">
        <f t="shared" si="2"/>
        <v>0</v>
      </c>
      <c r="W12" s="170">
        <f t="shared" ca="1" si="3"/>
        <v>-875.55476463603554</v>
      </c>
      <c r="X12" s="170">
        <f t="shared" ca="1" si="14"/>
        <v>18636.541282835533</v>
      </c>
      <c r="Y12" s="168" t="s">
        <v>2562</v>
      </c>
      <c r="Z12" s="169">
        <f>SUMIF('Measure-Level Adj Gas'!$B$10:$B$709,$D12,'Measure-Level Adj Gas'!$AE$10:$AE$709)</f>
        <v>353457.51731383428</v>
      </c>
      <c r="AA12" s="165">
        <v>372958.59427681292</v>
      </c>
      <c r="AB12" s="165">
        <v>372958.59427681292</v>
      </c>
      <c r="AC12" s="165">
        <f ca="1">SUMIF('Measure-Level Adj Gas'!$B$10:$B$709,$D12,'Measure-Level Adj Gas'!$BQ$10:$BQ$709)</f>
        <v>372078.40885187412</v>
      </c>
      <c r="AD12" s="166">
        <f ca="1">SUMIF('Measure-Level Adj Gas'!$B$10:$B$709,$D12,'Measure-Level Adj Gas'!$BQ$10:$BQ$709)</f>
        <v>372078.40885187412</v>
      </c>
      <c r="AE12" s="167">
        <f t="shared" si="15"/>
        <v>19501.076962978637</v>
      </c>
      <c r="AF12" s="170">
        <f t="shared" si="4"/>
        <v>0</v>
      </c>
      <c r="AG12" s="170">
        <f t="shared" ca="1" si="5"/>
        <v>-880.18542493879795</v>
      </c>
      <c r="AH12" s="170">
        <f t="shared" ca="1" si="6"/>
        <v>0</v>
      </c>
      <c r="AI12" s="170">
        <f t="shared" ca="1" si="16"/>
        <v>18620.891538039839</v>
      </c>
      <c r="AJ12" s="168"/>
      <c r="AK12" s="169">
        <f t="shared" si="17"/>
        <v>1591772.7203969359</v>
      </c>
      <c r="AL12" s="165">
        <f t="shared" ca="1" si="18"/>
        <v>1665723.5348197119</v>
      </c>
      <c r="AM12" s="171">
        <f t="shared" ca="1" si="19"/>
        <v>73950.814422775991</v>
      </c>
      <c r="AN12" s="47"/>
      <c r="AO12" s="169">
        <f ca="1">SUMIF('Measure-Level Adj Gas'!$B$10:$B$709,$D12,'Measure-Level Adj Gas'!$CG$10:$CG$709)</f>
        <v>7138231.8773901016</v>
      </c>
      <c r="AP12" s="165">
        <f ca="1">SUMIF('Measure-Level Adj Gas'!$B$10:$B$709,$D12,'Measure-Level Adj Gas'!$CH$10:$CH$709)</f>
        <v>6545693.9068963686</v>
      </c>
      <c r="AQ12" s="165">
        <f ca="1">SUMIF('Measure-Level Adj Gas'!$B$10:$B$709,$D12,'Measure-Level Adj Gas'!$CI$10:$CI$709)</f>
        <v>5872300.5993091678</v>
      </c>
      <c r="AR12" s="165">
        <f ca="1">SUMIF('Measure-Level Adj Gas'!$B$10:$B$709,$D12,'Measure-Level Adj Gas'!$CJ$10:$CJ$709)</f>
        <v>5244528.4060105802</v>
      </c>
      <c r="AS12" s="172">
        <f t="shared" ca="1" si="20"/>
        <v>24800754.789606217</v>
      </c>
      <c r="AT12" s="169">
        <f ca="1">SUMIF('Measure-Level Adj Gas'!$B$10:$B$709,$D12,'Measure-Level Adj Gas'!$CU$10:$CU$709)</f>
        <v>7330104.497401285</v>
      </c>
      <c r="AU12" s="165">
        <f ca="1">SUMIF('Measure-Level Adj Gas'!$B$10:$B$709,$D12,'Measure-Level Adj Gas'!$CV$10:$CV$709)</f>
        <v>6758256.1684151115</v>
      </c>
      <c r="AV12" s="165">
        <f ca="1">SUMIF('Measure-Level Adj Gas'!$B$10:$B$709,$D12,'Measure-Level Adj Gas'!$CW$10:$CW$709)</f>
        <v>6078461.9607480085</v>
      </c>
      <c r="AW12" s="166">
        <f ca="1">SUMIF('Measure-Level Adj Gas'!$B$10:$B$709,$D12,'Measure-Level Adj Gas'!$CX$10:$CX$709)</f>
        <v>5450403.3771196613</v>
      </c>
      <c r="AX12" s="172">
        <f t="shared" ca="1" si="21"/>
        <v>25617226.003684066</v>
      </c>
    </row>
    <row r="13" spans="2:50" s="153" customFormat="1" x14ac:dyDescent="0.25">
      <c r="B13" s="162" t="e">
        <f t="shared" si="0"/>
        <v>#VALUE!</v>
      </c>
      <c r="C13" s="163" t="e">
        <f>SUMIFS('[12]Portfolio Development'!$AA:$AA,'[12]Portfolio Development'!$B:$B,$D13)</f>
        <v>#VALUE!</v>
      </c>
      <c r="D13" s="163" t="s">
        <v>1776</v>
      </c>
      <c r="E13" s="164" t="s">
        <v>1454</v>
      </c>
      <c r="F13" s="165">
        <f>SUMIF('Measure-Level Adj Gas'!$B$10:$B$709,$D13,'Measure-Level Adj Gas'!$AB$10:$AB$709)</f>
        <v>82117.93734065094</v>
      </c>
      <c r="G13" s="166">
        <f>SUMIF('Measure-Level Adj Gas'!$B$10:$B$709,$D13,'Measure-Level Adj Gas'!$BN$10:$BN$709)</f>
        <v>85358.657384099279</v>
      </c>
      <c r="H13" s="167">
        <f t="shared" ref="H13:H22" si="22">IF(G13=0,0,G13-F13)</f>
        <v>3240.7200434483384</v>
      </c>
      <c r="I13" s="168"/>
      <c r="J13" s="169">
        <f>SUMIF('Measure-Level Adj Gas'!$B$10:$B$709,$D13,'Measure-Level Adj Gas'!$AC$10:$AC$709)</f>
        <v>82117.93734065094</v>
      </c>
      <c r="K13" s="165">
        <v>85358.657384099279</v>
      </c>
      <c r="L13" s="166">
        <v>84785.05293745159</v>
      </c>
      <c r="M13" s="167">
        <f t="shared" si="11"/>
        <v>3240.7200434483384</v>
      </c>
      <c r="N13" s="170">
        <f t="shared" si="1"/>
        <v>-573.60444664768875</v>
      </c>
      <c r="O13" s="170">
        <f t="shared" si="12"/>
        <v>2667.1155968006497</v>
      </c>
      <c r="P13" s="168" t="s">
        <v>1989</v>
      </c>
      <c r="Q13" s="169">
        <f>SUMIF('Measure-Level Adj Gas'!$B$10:$B$709,$D13,'Measure-Level Adj Gas'!$AD$10:$AD$709)</f>
        <v>82117.93734065094</v>
      </c>
      <c r="R13" s="165">
        <v>85358.657384099279</v>
      </c>
      <c r="S13" s="165">
        <v>84785.05293745159</v>
      </c>
      <c r="T13" s="166">
        <f ca="1">SUMIF('Measure-Level Adj Gas'!$B$10:$B$709,$D13,'Measure-Level Adj Gas'!$BP$10:$BP$709)</f>
        <v>84096.109687844772</v>
      </c>
      <c r="U13" s="167">
        <f t="shared" si="13"/>
        <v>3240.7200434483384</v>
      </c>
      <c r="V13" s="170">
        <f t="shared" si="2"/>
        <v>-573.60444664768875</v>
      </c>
      <c r="W13" s="170">
        <f t="shared" ca="1" si="3"/>
        <v>-688.94324960681843</v>
      </c>
      <c r="X13" s="170">
        <f t="shared" ca="1" si="14"/>
        <v>1978.1723471938312</v>
      </c>
      <c r="Y13" s="168" t="s">
        <v>2563</v>
      </c>
      <c r="Z13" s="169">
        <f>SUMIF('Measure-Level Adj Gas'!$B$10:$B$709,$D13,'Measure-Level Adj Gas'!$AE$10:$AE$709)</f>
        <v>82117.93734065094</v>
      </c>
      <c r="AA13" s="165">
        <v>85358.657384099279</v>
      </c>
      <c r="AB13" s="165">
        <v>84785.05293745159</v>
      </c>
      <c r="AC13" s="165">
        <f ca="1">SUMIF('Measure-Level Adj Gas'!$B$10:$B$709,$D13,'Measure-Level Adj Gas'!$BQ$10:$BQ$709)</f>
        <v>84096.109687844772</v>
      </c>
      <c r="AD13" s="166">
        <f ca="1">SUMIF('Measure-Level Adj Gas'!$B$10:$B$709,$D13,'Measure-Level Adj Gas'!$BQ$10:$BQ$709)</f>
        <v>84096.109687844772</v>
      </c>
      <c r="AE13" s="167">
        <f t="shared" si="15"/>
        <v>3240.7200434483384</v>
      </c>
      <c r="AF13" s="170">
        <f t="shared" si="4"/>
        <v>-573.60444664768875</v>
      </c>
      <c r="AG13" s="170">
        <f t="shared" ca="1" si="5"/>
        <v>-688.94324960681843</v>
      </c>
      <c r="AH13" s="170">
        <f t="shared" ca="1" si="6"/>
        <v>0</v>
      </c>
      <c r="AI13" s="170">
        <f t="shared" ca="1" si="16"/>
        <v>1978.1723471938312</v>
      </c>
      <c r="AJ13" s="168"/>
      <c r="AK13" s="169">
        <f t="shared" si="7"/>
        <v>328471.74936260376</v>
      </c>
      <c r="AL13" s="165">
        <f t="shared" ca="1" si="8"/>
        <v>338335.92969724041</v>
      </c>
      <c r="AM13" s="171">
        <f t="shared" ca="1" si="9"/>
        <v>9864.1803346366505</v>
      </c>
      <c r="AN13" s="47"/>
      <c r="AO13" s="169">
        <f ca="1">SUMIF('Measure-Level Adj Gas'!$B$10:$B$709,$D13,'Measure-Level Adj Gas'!$CG$10:$CG$709)</f>
        <v>1035822.9300748412</v>
      </c>
      <c r="AP13" s="165">
        <f ca="1">SUMIF('Measure-Level Adj Gas'!$B$10:$B$709,$D13,'Measure-Level Adj Gas'!$CH$10:$CH$709)</f>
        <v>1035822.9300748412</v>
      </c>
      <c r="AQ13" s="165">
        <f ca="1">SUMIF('Measure-Level Adj Gas'!$B$10:$B$709,$D13,'Measure-Level Adj Gas'!$CI$10:$CI$709)</f>
        <v>1035822.9300748412</v>
      </c>
      <c r="AR13" s="165">
        <f ca="1">SUMIF('Measure-Level Adj Gas'!$B$10:$B$709,$D13,'Measure-Level Adj Gas'!$CJ$10:$CJ$709)</f>
        <v>1035822.9300748412</v>
      </c>
      <c r="AS13" s="172">
        <f t="shared" ca="1" si="20"/>
        <v>4143291.720299365</v>
      </c>
      <c r="AT13" s="169">
        <f ca="1">SUMIF('Measure-Level Adj Gas'!$B$10:$B$709,$D13,'Measure-Level Adj Gas'!$CU$10:$CU$709)</f>
        <v>1080561.6209662103</v>
      </c>
      <c r="AU13" s="165">
        <f ca="1">SUMIF('Measure-Level Adj Gas'!$B$10:$B$709,$D13,'Measure-Level Adj Gas'!$CV$10:$CV$709)</f>
        <v>1064745.6395847974</v>
      </c>
      <c r="AV13" s="165">
        <f ca="1">SUMIF('Measure-Level Adj Gas'!$B$10:$B$709,$D13,'Measure-Level Adj Gas'!$CW$10:$CW$709)</f>
        <v>1048655.798261551</v>
      </c>
      <c r="AW13" s="166">
        <f ca="1">SUMIF('Measure-Level Adj Gas'!$B$10:$B$709,$D13,'Measure-Level Adj Gas'!$CX$10:$CX$709)</f>
        <v>1048655.798261551</v>
      </c>
      <c r="AX13" s="172">
        <f t="shared" ca="1" si="21"/>
        <v>4242618.8570741098</v>
      </c>
    </row>
    <row r="14" spans="2:50" s="153" customFormat="1" x14ac:dyDescent="0.25">
      <c r="B14" s="162" t="e">
        <f t="shared" si="0"/>
        <v>#VALUE!</v>
      </c>
      <c r="C14" s="163" t="e">
        <f>SUMIFS('[12]Portfolio Development'!$AA:$AA,'[12]Portfolio Development'!$B:$B,$D14)</f>
        <v>#VALUE!</v>
      </c>
      <c r="D14" s="163" t="s">
        <v>1777</v>
      </c>
      <c r="E14" s="164" t="s">
        <v>1455</v>
      </c>
      <c r="F14" s="165">
        <f>SUMIF('Measure-Level Adj Gas'!$B$10:$B$709,$D14,'Measure-Level Adj Gas'!$AB$10:$AB$709)</f>
        <v>712845.10892503522</v>
      </c>
      <c r="G14" s="166">
        <f>SUMIF('Measure-Level Adj Gas'!$B$10:$B$709,$D14,'Measure-Level Adj Gas'!$BN$10:$BN$709)</f>
        <v>713167.9795499281</v>
      </c>
      <c r="H14" s="167">
        <f t="shared" si="22"/>
        <v>322.87062489287928</v>
      </c>
      <c r="I14" s="168"/>
      <c r="J14" s="169">
        <f>SUMIF('Measure-Level Adj Gas'!$B$10:$B$709,$D14,'Measure-Level Adj Gas'!$AC$10:$AC$709)</f>
        <v>688629.31437650358</v>
      </c>
      <c r="K14" s="165">
        <v>688933.19261169678</v>
      </c>
      <c r="L14" s="166">
        <v>763928.75001087377</v>
      </c>
      <c r="M14" s="167">
        <f t="shared" si="11"/>
        <v>303.87823519320227</v>
      </c>
      <c r="N14" s="170">
        <f t="shared" si="1"/>
        <v>74995.557399176992</v>
      </c>
      <c r="O14" s="170">
        <f t="shared" si="12"/>
        <v>75299.435634370195</v>
      </c>
      <c r="P14" s="168" t="s">
        <v>1990</v>
      </c>
      <c r="Q14" s="169">
        <f>SUMIF('Measure-Level Adj Gas'!$B$10:$B$709,$D14,'Measure-Level Adj Gas'!$AD$10:$AD$709)</f>
        <v>602550.65007944067</v>
      </c>
      <c r="R14" s="165">
        <v>602816.54353523476</v>
      </c>
      <c r="S14" s="165">
        <v>668437.65625951474</v>
      </c>
      <c r="T14" s="166">
        <f ca="1">SUMIF('Measure-Level Adj Gas'!$B$10:$B$709,$D14,'Measure-Level Adj Gas'!$BP$10:$BP$709)</f>
        <v>659823.25393227616</v>
      </c>
      <c r="U14" s="167">
        <f t="shared" si="13"/>
        <v>265.89345579408109</v>
      </c>
      <c r="V14" s="170">
        <f t="shared" si="2"/>
        <v>65621.112724279985</v>
      </c>
      <c r="W14" s="170">
        <f t="shared" ca="1" si="3"/>
        <v>-8614.4023272385821</v>
      </c>
      <c r="X14" s="170">
        <f t="shared" ca="1" si="14"/>
        <v>57272.603852835484</v>
      </c>
      <c r="Y14" s="168" t="s">
        <v>2564</v>
      </c>
      <c r="Z14" s="169">
        <f>SUMIF('Measure-Level Adj Gas'!$B$10:$B$709,$D14,'Measure-Level Adj Gas'!$AE$10:$AE$709)</f>
        <v>585334.91722002835</v>
      </c>
      <c r="AA14" s="165">
        <v>585593.21371994261</v>
      </c>
      <c r="AB14" s="165">
        <v>649339.43750924314</v>
      </c>
      <c r="AC14" s="165">
        <f ca="1">SUMIF('Measure-Level Adj Gas'!$B$10:$B$709,$D14,'Measure-Level Adj Gas'!$BQ$10:$BQ$709)</f>
        <v>640971.16096278257</v>
      </c>
      <c r="AD14" s="166">
        <f ca="1">SUMIF('Measure-Level Adj Gas'!$B$10:$B$709,$D14,'Measure-Level Adj Gas'!$BQ$10:$BQ$709)</f>
        <v>640971.16096278257</v>
      </c>
      <c r="AE14" s="167">
        <f t="shared" si="15"/>
        <v>258.29649991425686</v>
      </c>
      <c r="AF14" s="170">
        <f t="shared" si="4"/>
        <v>63746.223789300537</v>
      </c>
      <c r="AG14" s="170">
        <f t="shared" ca="1" si="5"/>
        <v>-8368.2765464605764</v>
      </c>
      <c r="AH14" s="170">
        <f t="shared" ca="1" si="6"/>
        <v>0</v>
      </c>
      <c r="AI14" s="170">
        <f t="shared" ca="1" si="16"/>
        <v>55636.243742754217</v>
      </c>
      <c r="AJ14" s="168"/>
      <c r="AK14" s="169">
        <f t="shared" si="7"/>
        <v>2589359.9906010078</v>
      </c>
      <c r="AL14" s="165">
        <f t="shared" ca="1" si="8"/>
        <v>2777891.1444558604</v>
      </c>
      <c r="AM14" s="171">
        <f t="shared" ca="1" si="9"/>
        <v>188531.15385485254</v>
      </c>
      <c r="AN14" s="47"/>
      <c r="AO14" s="169">
        <f ca="1">SUMIF('Measure-Level Adj Gas'!$B$10:$B$709,$D14,'Measure-Level Adj Gas'!$CG$10:$CG$709)</f>
        <v>5766186.7236213777</v>
      </c>
      <c r="AP14" s="165">
        <f ca="1">SUMIF('Measure-Level Adj Gas'!$B$10:$B$709,$D14,'Measure-Level Adj Gas'!$CH$10:$CH$709)</f>
        <v>5692743.3295260035</v>
      </c>
      <c r="AQ14" s="165">
        <f ca="1">SUMIF('Measure-Level Adj Gas'!$B$10:$B$709,$D14,'Measure-Level Adj Gas'!$CI$10:$CI$709)</f>
        <v>4981150.4133352544</v>
      </c>
      <c r="AR14" s="165">
        <f ca="1">SUMIF('Measure-Level Adj Gas'!$B$10:$B$709,$D14,'Measure-Level Adj Gas'!$CJ$10:$CJ$709)</f>
        <v>4838831.8300971044</v>
      </c>
      <c r="AS14" s="172">
        <f t="shared" ca="1" si="20"/>
        <v>21278912.296579741</v>
      </c>
      <c r="AT14" s="169">
        <f ca="1">SUMIF('Measure-Level Adj Gas'!$B$10:$B$709,$D14,'Measure-Level Adj Gas'!$CU$10:$CU$709)</f>
        <v>5771029.7829947695</v>
      </c>
      <c r="AU14" s="165">
        <f ca="1">SUMIF('Measure-Level Adj Gas'!$B$10:$B$709,$D14,'Measure-Level Adj Gas'!$CV$10:$CV$709)</f>
        <v>6138136.3198033944</v>
      </c>
      <c r="AV14" s="165">
        <f ca="1">SUMIF('Measure-Level Adj Gas'!$B$10:$B$709,$D14,'Measure-Level Adj Gas'!$CW$10:$CW$709)</f>
        <v>5155509.2216470046</v>
      </c>
      <c r="AW14" s="166">
        <f ca="1">SUMIF('Measure-Level Adj Gas'!$B$10:$B$709,$D14,'Measure-Level Adj Gas'!$CX$10:$CX$709)</f>
        <v>5008208.958171377</v>
      </c>
      <c r="AX14" s="172">
        <f t="shared" ca="1" si="21"/>
        <v>22072884.282616548</v>
      </c>
    </row>
    <row r="15" spans="2:50" s="153" customFormat="1" x14ac:dyDescent="0.25">
      <c r="B15" s="162" t="e">
        <f t="shared" si="0"/>
        <v>#VALUE!</v>
      </c>
      <c r="C15" s="163" t="e">
        <f>SUMIFS('[12]Portfolio Development'!$AA:$AA,'[12]Portfolio Development'!$B:$B,$D15)</f>
        <v>#VALUE!</v>
      </c>
      <c r="D15" s="163" t="s">
        <v>1778</v>
      </c>
      <c r="E15" s="164" t="s">
        <v>1456</v>
      </c>
      <c r="F15" s="165">
        <f>SUMIF('Measure-Level Adj Gas'!$B$10:$B$709,$D15,'Measure-Level Adj Gas'!$AB$10:$AB$709)</f>
        <v>48311.14389670793</v>
      </c>
      <c r="G15" s="166">
        <f>SUMIF('Measure-Level Adj Gas'!$B$10:$B$709,$D15,'Measure-Level Adj Gas'!$BN$10:$BN$709)</f>
        <v>48704.65231336985</v>
      </c>
      <c r="H15" s="167">
        <f t="shared" si="22"/>
        <v>393.50841666191991</v>
      </c>
      <c r="I15" s="168"/>
      <c r="J15" s="169">
        <f>SUMIF('Measure-Level Adj Gas'!$B$10:$B$709,$D15,'Measure-Level Adj Gas'!$AC$10:$AC$709)</f>
        <v>48311.14389670793</v>
      </c>
      <c r="K15" s="165">
        <v>48704.65231336985</v>
      </c>
      <c r="L15" s="166">
        <v>50325.373294339966</v>
      </c>
      <c r="M15" s="167">
        <f t="shared" si="11"/>
        <v>393.50841666191991</v>
      </c>
      <c r="N15" s="170">
        <f t="shared" si="1"/>
        <v>1620.7209809701162</v>
      </c>
      <c r="O15" s="170">
        <f t="shared" si="12"/>
        <v>2014.2293976320361</v>
      </c>
      <c r="P15" s="168" t="s">
        <v>1990</v>
      </c>
      <c r="Q15" s="169">
        <f>SUMIF('Measure-Level Adj Gas'!$B$10:$B$709,$D15,'Measure-Level Adj Gas'!$AD$10:$AD$709)</f>
        <v>48311.14389670793</v>
      </c>
      <c r="R15" s="165">
        <v>48704.65231336985</v>
      </c>
      <c r="S15" s="165">
        <v>50325.373294339966</v>
      </c>
      <c r="T15" s="166">
        <f ca="1">SUMIF('Measure-Level Adj Gas'!$B$10:$B$709,$D15,'Measure-Level Adj Gas'!$BP$10:$BP$709)</f>
        <v>42234.009792007026</v>
      </c>
      <c r="U15" s="167">
        <f t="shared" si="13"/>
        <v>393.50841666191991</v>
      </c>
      <c r="V15" s="170">
        <f t="shared" si="2"/>
        <v>1620.7209809701162</v>
      </c>
      <c r="W15" s="170">
        <f t="shared" ca="1" si="3"/>
        <v>-8091.3635023329407</v>
      </c>
      <c r="X15" s="170">
        <f t="shared" ca="1" si="14"/>
        <v>-6077.1341047009046</v>
      </c>
      <c r="Y15" s="168" t="s">
        <v>2564</v>
      </c>
      <c r="Z15" s="169">
        <f>SUMIF('Measure-Level Adj Gas'!$B$10:$B$709,$D15,'Measure-Level Adj Gas'!$AE$10:$AE$709)</f>
        <v>48311.14389670793</v>
      </c>
      <c r="AA15" s="165">
        <v>48704.65231336985</v>
      </c>
      <c r="AB15" s="165">
        <v>50325.373294339966</v>
      </c>
      <c r="AC15" s="165">
        <f ca="1">SUMIF('Measure-Level Adj Gas'!$B$10:$B$709,$D15,'Measure-Level Adj Gas'!$BQ$10:$BQ$709)</f>
        <v>42234.009792007026</v>
      </c>
      <c r="AD15" s="166">
        <f ca="1">SUMIF('Measure-Level Adj Gas'!$B$10:$B$709,$D15,'Measure-Level Adj Gas'!$BQ$10:$BQ$709)</f>
        <v>42234.009792007026</v>
      </c>
      <c r="AE15" s="167">
        <f t="shared" si="15"/>
        <v>393.50841666191991</v>
      </c>
      <c r="AF15" s="170">
        <f t="shared" si="4"/>
        <v>1620.7209809701162</v>
      </c>
      <c r="AG15" s="170">
        <f t="shared" ca="1" si="5"/>
        <v>-8091.3635023329407</v>
      </c>
      <c r="AH15" s="170">
        <f t="shared" ca="1" si="6"/>
        <v>0</v>
      </c>
      <c r="AI15" s="170">
        <f t="shared" ca="1" si="16"/>
        <v>-6077.1341047009046</v>
      </c>
      <c r="AJ15" s="168"/>
      <c r="AK15" s="169">
        <f t="shared" si="7"/>
        <v>193244.57558683172</v>
      </c>
      <c r="AL15" s="165">
        <f t="shared" ca="1" si="8"/>
        <v>183498.04519172385</v>
      </c>
      <c r="AM15" s="171">
        <f t="shared" ca="1" si="9"/>
        <v>-9746.5303951078677</v>
      </c>
      <c r="AN15" s="47"/>
      <c r="AO15" s="169">
        <f ca="1">SUMIF('Measure-Level Adj Gas'!$B$10:$B$709,$D15,'Measure-Level Adj Gas'!$CG$10:$CG$709)</f>
        <v>805588.14549441531</v>
      </c>
      <c r="AP15" s="165">
        <f ca="1">SUMIF('Measure-Level Adj Gas'!$B$10:$B$709,$D15,'Measure-Level Adj Gas'!$CH$10:$CH$709)</f>
        <v>805588.14549441531</v>
      </c>
      <c r="AQ15" s="165">
        <f ca="1">SUMIF('Measure-Level Adj Gas'!$B$10:$B$709,$D15,'Measure-Level Adj Gas'!$CI$10:$CI$709)</f>
        <v>805588.14549441531</v>
      </c>
      <c r="AR15" s="165">
        <f ca="1">SUMIF('Measure-Level Adj Gas'!$B$10:$B$709,$D15,'Measure-Level Adj Gas'!$CJ$10:$CJ$709)</f>
        <v>805588.14549441531</v>
      </c>
      <c r="AS15" s="172">
        <f t="shared" ca="1" si="20"/>
        <v>3222352.5819776612</v>
      </c>
      <c r="AT15" s="169">
        <f ca="1">SUMIF('Measure-Level Adj Gas'!$B$10:$B$709,$D15,'Measure-Level Adj Gas'!$CU$10:$CU$709)</f>
        <v>810728.83808934421</v>
      </c>
      <c r="AU15" s="165">
        <f ca="1">SUMIF('Measure-Level Adj Gas'!$B$10:$B$709,$D15,'Measure-Level Adj Gas'!$CV$10:$CV$709)</f>
        <v>816617.73652953038</v>
      </c>
      <c r="AV15" s="165">
        <f ca="1">SUMIF('Measure-Level Adj Gas'!$B$10:$B$709,$D15,'Measure-Level Adj Gas'!$CW$10:$CW$709)</f>
        <v>614333.64897120697</v>
      </c>
      <c r="AW15" s="166">
        <f ca="1">SUMIF('Measure-Level Adj Gas'!$B$10:$B$709,$D15,'Measure-Level Adj Gas'!$CX$10:$CX$709)</f>
        <v>614333.64897120697</v>
      </c>
      <c r="AX15" s="172">
        <f t="shared" ca="1" si="21"/>
        <v>2856013.8725612885</v>
      </c>
    </row>
    <row r="16" spans="2:50" s="153" customFormat="1" x14ac:dyDescent="0.25">
      <c r="B16" s="162" t="e">
        <f t="shared" si="0"/>
        <v>#VALUE!</v>
      </c>
      <c r="C16" s="163" t="e">
        <f>SUMIFS('[12]Portfolio Development'!$AA:$AA,'[12]Portfolio Development'!$B:$B,$D16)</f>
        <v>#VALUE!</v>
      </c>
      <c r="D16" s="163" t="s">
        <v>1779</v>
      </c>
      <c r="E16" s="164" t="s">
        <v>1457</v>
      </c>
      <c r="F16" s="165">
        <f>SUMIF('Measure-Level Adj Gas'!$B$10:$B$709,$D16,'Measure-Level Adj Gas'!$AB$10:$AB$709)</f>
        <v>189097.74046694589</v>
      </c>
      <c r="G16" s="166">
        <f>SUMIF('Measure-Level Adj Gas'!$B$10:$B$709,$D16,'Measure-Level Adj Gas'!$BN$10:$BN$709)</f>
        <v>189725.82778148755</v>
      </c>
      <c r="H16" s="167">
        <f t="shared" si="22"/>
        <v>628.08731454165536</v>
      </c>
      <c r="I16" s="168"/>
      <c r="J16" s="169">
        <f>SUMIF('Measure-Level Adj Gas'!$B$10:$B$709,$D16,'Measure-Level Adj Gas'!$AC$10:$AC$709)</f>
        <v>174749.30432084121</v>
      </c>
      <c r="K16" s="165">
        <v>175388.96319874737</v>
      </c>
      <c r="L16" s="166">
        <v>187936.5763881442</v>
      </c>
      <c r="M16" s="167">
        <f t="shared" si="11"/>
        <v>639.6588779061567</v>
      </c>
      <c r="N16" s="170">
        <f t="shared" si="1"/>
        <v>12547.613189396827</v>
      </c>
      <c r="O16" s="170">
        <f t="shared" si="12"/>
        <v>13187.272067302983</v>
      </c>
      <c r="P16" s="168" t="s">
        <v>1990</v>
      </c>
      <c r="Q16" s="169">
        <f>SUMIF('Measure-Level Adj Gas'!$B$10:$B$709,$D16,'Measure-Level Adj Gas'!$AD$10:$AD$709)</f>
        <v>169135.40338180523</v>
      </c>
      <c r="R16" s="165">
        <v>169735.73665171137</v>
      </c>
      <c r="S16" s="165">
        <v>181914.87058186127</v>
      </c>
      <c r="T16" s="166">
        <f ca="1">SUMIF('Measure-Level Adj Gas'!$B$10:$B$709,$D16,'Measure-Level Adj Gas'!$BP$10:$BP$709)</f>
        <v>176796.86931414137</v>
      </c>
      <c r="U16" s="167">
        <f t="shared" si="13"/>
        <v>600.33326990614296</v>
      </c>
      <c r="V16" s="170">
        <f t="shared" si="2"/>
        <v>12179.133930149896</v>
      </c>
      <c r="W16" s="170">
        <f t="shared" ca="1" si="3"/>
        <v>-5118.0012677198974</v>
      </c>
      <c r="X16" s="170">
        <f t="shared" ca="1" si="14"/>
        <v>7661.4659323361411</v>
      </c>
      <c r="Y16" s="168" t="s">
        <v>2564</v>
      </c>
      <c r="Z16" s="169">
        <f>SUMIF('Measure-Level Adj Gas'!$B$10:$B$709,$D16,'Measure-Level Adj Gas'!$AE$10:$AE$709)</f>
        <v>167151.21619480359</v>
      </c>
      <c r="AA16" s="165">
        <v>167739.62623932949</v>
      </c>
      <c r="AB16" s="165">
        <v>179181.80165098552</v>
      </c>
      <c r="AC16" s="165">
        <f ca="1">SUMIF('Measure-Level Adj Gas'!$B$10:$B$709,$D16,'Measure-Level Adj Gas'!$BQ$10:$BQ$709)</f>
        <v>174063.80038326562</v>
      </c>
      <c r="AD16" s="166">
        <f ca="1">SUMIF('Measure-Level Adj Gas'!$B$10:$B$709,$D16,'Measure-Level Adj Gas'!$BQ$10:$BQ$709)</f>
        <v>174063.80038326562</v>
      </c>
      <c r="AE16" s="167">
        <f t="shared" si="15"/>
        <v>588.4100445258955</v>
      </c>
      <c r="AF16" s="170">
        <f t="shared" si="4"/>
        <v>11442.175411656033</v>
      </c>
      <c r="AG16" s="170">
        <f t="shared" ca="1" si="5"/>
        <v>-5118.0012677198974</v>
      </c>
      <c r="AH16" s="170">
        <f t="shared" ca="1" si="6"/>
        <v>0</v>
      </c>
      <c r="AI16" s="170">
        <f t="shared" ca="1" si="16"/>
        <v>6912.5841884620313</v>
      </c>
      <c r="AJ16" s="168"/>
      <c r="AK16" s="169">
        <f t="shared" si="7"/>
        <v>700133.6643643959</v>
      </c>
      <c r="AL16" s="165">
        <f t="shared" ca="1" si="8"/>
        <v>728523.07386703871</v>
      </c>
      <c r="AM16" s="171">
        <f t="shared" ca="1" si="9"/>
        <v>28389.409502642811</v>
      </c>
      <c r="AN16" s="47"/>
      <c r="AO16" s="169">
        <f ca="1">SUMIF('Measure-Level Adj Gas'!$B$10:$B$709,$D16,'Measure-Level Adj Gas'!$CG$10:$CG$709)</f>
        <v>1785106.289001104</v>
      </c>
      <c r="AP16" s="165">
        <f ca="1">SUMIF('Measure-Level Adj Gas'!$B$10:$B$709,$D16,'Measure-Level Adj Gas'!$CH$10:$CH$709)</f>
        <v>1693569.2882076239</v>
      </c>
      <c r="AQ16" s="165">
        <f ca="1">SUMIF('Measure-Level Adj Gas'!$B$10:$B$709,$D16,'Measure-Level Adj Gas'!$CI$10:$CI$709)</f>
        <v>1678865.1168263867</v>
      </c>
      <c r="AR16" s="165">
        <f ca="1">SUMIF('Measure-Level Adj Gas'!$B$10:$B$709,$D16,'Measure-Level Adj Gas'!$CJ$10:$CJ$709)</f>
        <v>1665385.4496193025</v>
      </c>
      <c r="AS16" s="172">
        <f t="shared" ca="1" si="20"/>
        <v>6822926.1436544172</v>
      </c>
      <c r="AT16" s="169">
        <f ca="1">SUMIF('Measure-Level Adj Gas'!$B$10:$B$709,$D16,'Measure-Level Adj Gas'!$CU$10:$CU$709)</f>
        <v>1792085.4807917853</v>
      </c>
      <c r="AU16" s="165">
        <f ca="1">SUMIF('Measure-Level Adj Gas'!$B$10:$B$709,$D16,'Measure-Level Adj Gas'!$CV$10:$CV$709)</f>
        <v>1768340.2203521638</v>
      </c>
      <c r="AV16" s="165">
        <f ca="1">SUMIF('Measure-Level Adj Gas'!$B$10:$B$709,$D16,'Measure-Level Adj Gas'!$CW$10:$CW$709)</f>
        <v>1623785.418014541</v>
      </c>
      <c r="AW16" s="166">
        <f ca="1">SUMIF('Measure-Level Adj Gas'!$B$10:$B$709,$D16,'Measure-Level Adj Gas'!$CX$10:$CX$709)</f>
        <v>1605818.0195093404</v>
      </c>
      <c r="AX16" s="172">
        <f t="shared" ca="1" si="21"/>
        <v>6790029.1386678312</v>
      </c>
    </row>
    <row r="17" spans="2:50" s="153" customFormat="1" x14ac:dyDescent="0.25">
      <c r="B17" s="162" t="e">
        <f t="shared" si="0"/>
        <v>#VALUE!</v>
      </c>
      <c r="C17" s="163" t="e">
        <f>SUMIFS('[12]Portfolio Development'!$AA:$AA,'[12]Portfolio Development'!$B:$B,$D17)</f>
        <v>#VALUE!</v>
      </c>
      <c r="D17" s="163" t="s">
        <v>1780</v>
      </c>
      <c r="E17" s="164" t="s">
        <v>1458</v>
      </c>
      <c r="F17" s="165">
        <f>SUMIF('Measure-Level Adj Gas'!$B$10:$B$709,$D17,'Measure-Level Adj Gas'!$AB$10:$AB$709)</f>
        <v>24909.062549340899</v>
      </c>
      <c r="G17" s="166">
        <f>SUMIF('Measure-Level Adj Gas'!$B$10:$B$709,$D17,'Measure-Level Adj Gas'!$BN$10:$BN$709)</f>
        <v>24952.892549340901</v>
      </c>
      <c r="H17" s="167">
        <f t="shared" si="22"/>
        <v>43.830000000001746</v>
      </c>
      <c r="I17" s="168"/>
      <c r="J17" s="169">
        <f>SUMIF('Measure-Level Adj Gas'!$B$10:$B$709,$D17,'Measure-Level Adj Gas'!$AC$10:$AC$709)</f>
        <v>28932.523798729577</v>
      </c>
      <c r="K17" s="165">
        <v>28990.963798729579</v>
      </c>
      <c r="L17" s="166">
        <v>37091.309838178706</v>
      </c>
      <c r="M17" s="167">
        <f t="shared" si="11"/>
        <v>58.440000000002328</v>
      </c>
      <c r="N17" s="170">
        <f t="shared" si="1"/>
        <v>8100.3460394491267</v>
      </c>
      <c r="O17" s="170">
        <f t="shared" si="12"/>
        <v>8158.786039449129</v>
      </c>
      <c r="P17" s="168" t="s">
        <v>1991</v>
      </c>
      <c r="Q17" s="169">
        <f>SUMIF('Measure-Level Adj Gas'!$B$10:$B$709,$D17,'Measure-Level Adj Gas'!$AD$10:$AD$709)</f>
        <v>35017.436448705681</v>
      </c>
      <c r="R17" s="165">
        <v>35090.486448705684</v>
      </c>
      <c r="S17" s="165">
        <v>43076.672263465029</v>
      </c>
      <c r="T17" s="166">
        <f ca="1">SUMIF('Measure-Level Adj Gas'!$B$10:$B$709,$D17,'Measure-Level Adj Gas'!$BP$10:$BP$709)</f>
        <v>37354.634119105125</v>
      </c>
      <c r="U17" s="167">
        <f t="shared" si="13"/>
        <v>73.05000000000291</v>
      </c>
      <c r="V17" s="170">
        <f t="shared" si="2"/>
        <v>7986.1858147593448</v>
      </c>
      <c r="W17" s="170">
        <f t="shared" ca="1" si="3"/>
        <v>-5722.0381443599035</v>
      </c>
      <c r="X17" s="170">
        <f t="shared" ca="1" si="14"/>
        <v>2337.1976703994442</v>
      </c>
      <c r="Y17" s="168" t="s">
        <v>2565</v>
      </c>
      <c r="Z17" s="169">
        <f>SUMIF('Measure-Level Adj Gas'!$B$10:$B$709,$D17,'Measure-Level Adj Gas'!$AE$10:$AE$709)</f>
        <v>48230.149249169386</v>
      </c>
      <c r="AA17" s="165">
        <v>48325.11424916939</v>
      </c>
      <c r="AB17" s="165">
        <v>60361.473083653291</v>
      </c>
      <c r="AC17" s="165">
        <f ca="1">SUMIF('Measure-Level Adj Gas'!$B$10:$B$709,$D17,'Measure-Level Adj Gas'!$BQ$10:$BQ$709)</f>
        <v>52351.031355575411</v>
      </c>
      <c r="AD17" s="166">
        <f ca="1">SUMIF('Measure-Level Adj Gas'!$B$10:$B$709,$D17,'Measure-Level Adj Gas'!$BQ$10:$BQ$709)</f>
        <v>52351.031355575411</v>
      </c>
      <c r="AE17" s="167">
        <f t="shared" si="15"/>
        <v>94.965000000003783</v>
      </c>
      <c r="AF17" s="170">
        <f t="shared" si="4"/>
        <v>12036.358834483901</v>
      </c>
      <c r="AG17" s="170">
        <f t="shared" ca="1" si="5"/>
        <v>-8010.4417280778798</v>
      </c>
      <c r="AH17" s="170">
        <f t="shared" ca="1" si="6"/>
        <v>0</v>
      </c>
      <c r="AI17" s="170">
        <f t="shared" ca="1" si="16"/>
        <v>4120.8821064060248</v>
      </c>
      <c r="AJ17" s="168"/>
      <c r="AK17" s="169">
        <f t="shared" si="7"/>
        <v>137089.17204594554</v>
      </c>
      <c r="AL17" s="165">
        <f t="shared" ca="1" si="8"/>
        <v>151749.86786220013</v>
      </c>
      <c r="AM17" s="171">
        <f t="shared" ca="1" si="9"/>
        <v>14660.695816254593</v>
      </c>
      <c r="AN17" s="47"/>
      <c r="AO17" s="169">
        <f ca="1">SUMIF('Measure-Level Adj Gas'!$B$10:$B$709,$D17,'Measure-Level Adj Gas'!$CG$10:$CG$709)</f>
        <v>385230.35059209081</v>
      </c>
      <c r="AP17" s="165">
        <f ca="1">SUMIF('Measure-Level Adj Gas'!$B$10:$B$709,$D17,'Measure-Level Adj Gas'!$CH$10:$CH$709)</f>
        <v>433511.88558475493</v>
      </c>
      <c r="AQ17" s="165">
        <f ca="1">SUMIF('Measure-Level Adj Gas'!$B$10:$B$709,$D17,'Measure-Level Adj Gas'!$CI$10:$CI$709)</f>
        <v>516071.63738446834</v>
      </c>
      <c r="AR17" s="165">
        <f ca="1">SUMIF('Measure-Level Adj Gas'!$B$10:$B$709,$D17,'Measure-Level Adj Gas'!$CJ$10:$CJ$709)</f>
        <v>713014.59099003277</v>
      </c>
      <c r="AS17" s="172">
        <f t="shared" ca="1" si="20"/>
        <v>2047828.4645513468</v>
      </c>
      <c r="AT17" s="169">
        <f ca="1">SUMIF('Measure-Level Adj Gas'!$B$10:$B$709,$D17,'Measure-Level Adj Gas'!$CU$10:$CU$709)</f>
        <v>385756.31059209083</v>
      </c>
      <c r="AU17" s="165">
        <f ca="1">SUMIF('Measure-Level Adj Gas'!$B$10:$B$709,$D17,'Measure-Level Adj Gas'!$CV$10:$CV$709)</f>
        <v>531417.31805814453</v>
      </c>
      <c r="AV17" s="165">
        <f ca="1">SUMIF('Measure-Level Adj Gas'!$B$10:$B$709,$D17,'Measure-Level Adj Gas'!$CW$10:$CW$709)</f>
        <v>544118.00942926167</v>
      </c>
      <c r="AW17" s="166">
        <f ca="1">SUMIF('Measure-Level Adj Gas'!$B$10:$B$709,$D17,'Measure-Level Adj Gas'!$CX$10:$CX$709)</f>
        <v>762465.17626690492</v>
      </c>
      <c r="AX17" s="172">
        <f t="shared" ca="1" si="21"/>
        <v>2223756.814346402</v>
      </c>
    </row>
    <row r="18" spans="2:50" s="153" customFormat="1" x14ac:dyDescent="0.25">
      <c r="B18" s="162" t="e">
        <f t="shared" si="0"/>
        <v>#VALUE!</v>
      </c>
      <c r="C18" s="163" t="e">
        <f>SUMIFS('[12]Portfolio Development'!$AA:$AA,'[12]Portfolio Development'!$B:$B,$D18)</f>
        <v>#VALUE!</v>
      </c>
      <c r="D18" s="163" t="s">
        <v>1781</v>
      </c>
      <c r="E18" s="164" t="s">
        <v>1459</v>
      </c>
      <c r="F18" s="165">
        <f>SUMIF('Measure-Level Adj Gas'!$B$10:$B$709,$D18,'Measure-Level Adj Gas'!$AB$10:$AB$709)</f>
        <v>37658.172847036847</v>
      </c>
      <c r="G18" s="166">
        <f>SUMIF('Measure-Level Adj Gas'!$B$10:$B$709,$D18,'Measure-Level Adj Gas'!$BN$10:$BN$709)</f>
        <v>41443.300075650353</v>
      </c>
      <c r="H18" s="167">
        <f t="shared" si="22"/>
        <v>3785.1272286135063</v>
      </c>
      <c r="I18" s="168"/>
      <c r="J18" s="169">
        <f>SUMIF('Measure-Level Adj Gas'!$B$10:$B$709,$D18,'Measure-Level Adj Gas'!$AC$10:$AC$709)</f>
        <v>39541.915426932581</v>
      </c>
      <c r="K18" s="165">
        <v>43322.138513546961</v>
      </c>
      <c r="L18" s="166">
        <v>42367.009116451663</v>
      </c>
      <c r="M18" s="167">
        <f t="shared" si="11"/>
        <v>3780.22308661438</v>
      </c>
      <c r="N18" s="170">
        <f t="shared" si="1"/>
        <v>-955.12939709529746</v>
      </c>
      <c r="O18" s="170">
        <f t="shared" si="12"/>
        <v>2825.0936895190825</v>
      </c>
      <c r="P18" s="168" t="s">
        <v>1988</v>
      </c>
      <c r="Q18" s="169">
        <f>SUMIF('Measure-Level Adj Gas'!$B$10:$B$709,$D18,'Measure-Level Adj Gas'!$AD$10:$AD$709)</f>
        <v>45138.100336382791</v>
      </c>
      <c r="R18" s="165">
        <v>48905.257783266235</v>
      </c>
      <c r="S18" s="165">
        <v>47948.553009286421</v>
      </c>
      <c r="T18" s="166">
        <f ca="1">SUMIF('Measure-Level Adj Gas'!$B$10:$B$709,$D18,'Measure-Level Adj Gas'!$BP$10:$BP$709)</f>
        <v>48538.263059129531</v>
      </c>
      <c r="U18" s="167">
        <f t="shared" si="13"/>
        <v>3767.1574468834442</v>
      </c>
      <c r="V18" s="170">
        <f t="shared" si="2"/>
        <v>-956.70477397981449</v>
      </c>
      <c r="W18" s="170">
        <f t="shared" ca="1" si="3"/>
        <v>589.71004984311003</v>
      </c>
      <c r="X18" s="170">
        <f t="shared" ca="1" si="14"/>
        <v>3400.1627227467397</v>
      </c>
      <c r="Y18" s="168" t="s">
        <v>2566</v>
      </c>
      <c r="Z18" s="169">
        <f>SUMIF('Measure-Level Adj Gas'!$B$10:$B$709,$D18,'Measure-Level Adj Gas'!$AE$10:$AE$709)</f>
        <v>47044.297824153531</v>
      </c>
      <c r="AA18" s="165">
        <v>50807.59480785457</v>
      </c>
      <c r="AB18" s="165">
        <v>49850.259883120947</v>
      </c>
      <c r="AC18" s="165">
        <f ca="1">SUMIF('Measure-Level Adj Gas'!$B$10:$B$709,$D18,'Measure-Level Adj Gas'!$BQ$10:$BQ$709)</f>
        <v>50493.719456250619</v>
      </c>
      <c r="AD18" s="166">
        <f ca="1">SUMIF('Measure-Level Adj Gas'!$B$10:$B$709,$D18,'Measure-Level Adj Gas'!$BQ$10:$BQ$709)</f>
        <v>50493.719456250619</v>
      </c>
      <c r="AE18" s="167">
        <f t="shared" si="15"/>
        <v>3763.2969837010387</v>
      </c>
      <c r="AF18" s="170">
        <f t="shared" si="4"/>
        <v>-957.33492473362276</v>
      </c>
      <c r="AG18" s="170">
        <f t="shared" ca="1" si="5"/>
        <v>643.45957312967221</v>
      </c>
      <c r="AH18" s="170">
        <f t="shared" ca="1" si="6"/>
        <v>0</v>
      </c>
      <c r="AI18" s="170">
        <f t="shared" ca="1" si="16"/>
        <v>3449.4216320970881</v>
      </c>
      <c r="AJ18" s="168"/>
      <c r="AK18" s="169">
        <f t="shared" si="7"/>
        <v>169382.48643450573</v>
      </c>
      <c r="AL18" s="165">
        <f t="shared" ca="1" si="8"/>
        <v>182842.29170748219</v>
      </c>
      <c r="AM18" s="171">
        <f t="shared" ca="1" si="9"/>
        <v>13459.80527297646</v>
      </c>
      <c r="AN18" s="47"/>
      <c r="AO18" s="169">
        <f ca="1">SUMIF('Measure-Level Adj Gas'!$B$10:$B$709,$D18,'Measure-Level Adj Gas'!$CG$10:$CG$709)</f>
        <v>550323.88287257205</v>
      </c>
      <c r="AP18" s="165">
        <f ca="1">SUMIF('Measure-Level Adj Gas'!$B$10:$B$709,$D18,'Measure-Level Adj Gas'!$CH$10:$CH$709)</f>
        <v>585722.86012384458</v>
      </c>
      <c r="AQ18" s="165">
        <f ca="1">SUMIF('Measure-Level Adj Gas'!$B$10:$B$709,$D18,'Measure-Level Adj Gas'!$CI$10:$CI$709)</f>
        <v>690801.12977408431</v>
      </c>
      <c r="AR18" s="165">
        <f ca="1">SUMIF('Measure-Level Adj Gas'!$B$10:$B$709,$D18,'Measure-Level Adj Gas'!$CJ$10:$CJ$709)</f>
        <v>726498.75730009435</v>
      </c>
      <c r="AS18" s="172">
        <f t="shared" ca="1" si="20"/>
        <v>2553346.6300705951</v>
      </c>
      <c r="AT18" s="169">
        <f ca="1">SUMIF('Measure-Level Adj Gas'!$B$10:$B$709,$D18,'Measure-Level Adj Gas'!$CU$10:$CU$709)</f>
        <v>601223.04109755345</v>
      </c>
      <c r="AU18" s="165">
        <f ca="1">SUMIF('Measure-Level Adj Gas'!$B$10:$B$709,$D18,'Measure-Level Adj Gas'!$CV$10:$CV$709)</f>
        <v>619958.31179028586</v>
      </c>
      <c r="AV18" s="165">
        <f ca="1">SUMIF('Measure-Level Adj Gas'!$B$10:$B$709,$D18,'Measure-Level Adj Gas'!$CW$10:$CW$709)</f>
        <v>735335.11000692123</v>
      </c>
      <c r="AW18" s="166">
        <f ca="1">SUMIF('Measure-Level Adj Gas'!$B$10:$B$709,$D18,'Measure-Level Adj Gas'!$CX$10:$CX$709)</f>
        <v>771785.82284184126</v>
      </c>
      <c r="AX18" s="172">
        <f t="shared" ca="1" si="21"/>
        <v>2728302.2857366018</v>
      </c>
    </row>
    <row r="19" spans="2:50" s="153" customFormat="1" x14ac:dyDescent="0.25">
      <c r="B19" s="162" t="e">
        <f t="shared" si="0"/>
        <v>#VALUE!</v>
      </c>
      <c r="C19" s="163" t="e">
        <f>SUMIFS('[12]Portfolio Development'!$AA:$AA,'[12]Portfolio Development'!$B:$B,$D19)</f>
        <v>#VALUE!</v>
      </c>
      <c r="D19" s="163" t="s">
        <v>1782</v>
      </c>
      <c r="E19" s="164" t="s">
        <v>1460</v>
      </c>
      <c r="F19" s="165">
        <f>SUMIF('Measure-Level Adj Gas'!$B$10:$B$709,$D19,'Measure-Level Adj Gas'!$AB$10:$AB$709)</f>
        <v>29012.689941793225</v>
      </c>
      <c r="G19" s="166">
        <f>SUMIF('Measure-Level Adj Gas'!$B$10:$B$709,$D19,'Measure-Level Adj Gas'!$BN$10:$BN$709)</f>
        <v>30419.126668676246</v>
      </c>
      <c r="H19" s="167">
        <f t="shared" si="22"/>
        <v>1406.436726883021</v>
      </c>
      <c r="I19" s="168"/>
      <c r="J19" s="169">
        <f>SUMIF('Measure-Level Adj Gas'!$B$10:$B$709,$D19,'Measure-Level Adj Gas'!$AC$10:$AC$709)</f>
        <v>30553.171238834431</v>
      </c>
      <c r="K19" s="165">
        <v>32022.567607820849</v>
      </c>
      <c r="L19" s="166">
        <v>31708.262973923476</v>
      </c>
      <c r="M19" s="167">
        <f t="shared" si="11"/>
        <v>1469.3963689864177</v>
      </c>
      <c r="N19" s="170">
        <f t="shared" si="1"/>
        <v>-314.3046338973727</v>
      </c>
      <c r="O19" s="170">
        <f t="shared" si="12"/>
        <v>1155.091735089045</v>
      </c>
      <c r="P19" s="168" t="s">
        <v>1989</v>
      </c>
      <c r="Q19" s="169">
        <f>SUMIF('Measure-Level Adj Gas'!$B$10:$B$709,$D19,'Measure-Level Adj Gas'!$AD$10:$AD$709)</f>
        <v>35872.168641329532</v>
      </c>
      <c r="R19" s="165">
        <v>37597.207572846273</v>
      </c>
      <c r="S19" s="165">
        <v>37291.697762728421</v>
      </c>
      <c r="T19" s="166">
        <f ca="1">SUMIF('Measure-Level Adj Gas'!$B$10:$B$709,$D19,'Measure-Level Adj Gas'!$BP$10:$BP$709)</f>
        <v>36950.06373674341</v>
      </c>
      <c r="U19" s="167">
        <f t="shared" si="13"/>
        <v>1725.0389315167413</v>
      </c>
      <c r="V19" s="170">
        <f t="shared" si="2"/>
        <v>-305.50981011785188</v>
      </c>
      <c r="W19" s="170">
        <f t="shared" ca="1" si="3"/>
        <v>-341.63402598501125</v>
      </c>
      <c r="X19" s="170">
        <f t="shared" ca="1" si="14"/>
        <v>1077.8950954138782</v>
      </c>
      <c r="Y19" s="168" t="s">
        <v>2567</v>
      </c>
      <c r="Z19" s="169">
        <f>SUMIF('Measure-Level Adj Gas'!$B$10:$B$709,$D19,'Measure-Level Adj Gas'!$AE$10:$AE$709)</f>
        <v>37060.38667053586</v>
      </c>
      <c r="AA19" s="165">
        <v>38848.668741214387</v>
      </c>
      <c r="AB19" s="165">
        <v>38545.457321237052</v>
      </c>
      <c r="AC19" s="165">
        <f ca="1">SUMIF('Measure-Level Adj Gas'!$B$10:$B$709,$D19,'Measure-Level Adj Gas'!$BQ$10:$BQ$709)</f>
        <v>38181.692833361158</v>
      </c>
      <c r="AD19" s="166">
        <f ca="1">SUMIF('Measure-Level Adj Gas'!$B$10:$B$709,$D19,'Measure-Level Adj Gas'!$BQ$10:$BQ$709)</f>
        <v>38181.692833361158</v>
      </c>
      <c r="AE19" s="167">
        <f t="shared" si="15"/>
        <v>1788.2820706785278</v>
      </c>
      <c r="AF19" s="170">
        <f t="shared" si="4"/>
        <v>-303.21141997733503</v>
      </c>
      <c r="AG19" s="170">
        <f t="shared" ca="1" si="5"/>
        <v>-363.7644878758947</v>
      </c>
      <c r="AH19" s="170">
        <f t="shared" ca="1" si="6"/>
        <v>0</v>
      </c>
      <c r="AI19" s="170">
        <f t="shared" ca="1" si="16"/>
        <v>1121.3061628252981</v>
      </c>
      <c r="AJ19" s="168"/>
      <c r="AK19" s="169">
        <f t="shared" si="7"/>
        <v>132498.41649249307</v>
      </c>
      <c r="AL19" s="165">
        <f t="shared" ca="1" si="8"/>
        <v>137259.14621270431</v>
      </c>
      <c r="AM19" s="171">
        <f t="shared" ca="1" si="9"/>
        <v>4760.7297202112386</v>
      </c>
      <c r="AN19" s="47"/>
      <c r="AO19" s="169">
        <f ca="1">SUMIF('Measure-Level Adj Gas'!$B$10:$B$709,$D19,'Measure-Level Adj Gas'!$CG$10:$CG$709)</f>
        <v>409732.70295204956</v>
      </c>
      <c r="AP19" s="165">
        <f ca="1">SUMIF('Measure-Level Adj Gas'!$B$10:$B$709,$D19,'Measure-Level Adj Gas'!$CH$10:$CH$709)</f>
        <v>434981.58121710602</v>
      </c>
      <c r="AQ19" s="165">
        <f ca="1">SUMIF('Measure-Level Adj Gas'!$B$10:$B$709,$D19,'Measure-Level Adj Gas'!$CI$10:$CI$709)</f>
        <v>523817.78699228575</v>
      </c>
      <c r="AR19" s="165">
        <f ca="1">SUMIF('Measure-Level Adj Gas'!$B$10:$B$709,$D19,'Measure-Level Adj Gas'!$CJ$10:$CJ$709)</f>
        <v>543748.21848981909</v>
      </c>
      <c r="AS19" s="172">
        <f t="shared" ca="1" si="20"/>
        <v>1912280.2896512607</v>
      </c>
      <c r="AT19" s="169">
        <f ca="1">SUMIF('Measure-Level Adj Gas'!$B$10:$B$709,$D19,'Measure-Level Adj Gas'!$CU$10:$CU$709)</f>
        <v>428853.38413796836</v>
      </c>
      <c r="AU19" s="165">
        <f ca="1">SUMIF('Measure-Level Adj Gas'!$B$10:$B$709,$D19,'Measure-Level Adj Gas'!$CV$10:$CV$709)</f>
        <v>448622.10935156362</v>
      </c>
      <c r="AV19" s="165">
        <f ca="1">SUMIF('Measure-Level Adj Gas'!$B$10:$B$709,$D19,'Measure-Level Adj Gas'!$CW$10:$CW$709)</f>
        <v>536306.99958824716</v>
      </c>
      <c r="AW19" s="166">
        <f ca="1">SUMIF('Measure-Level Adj Gas'!$B$10:$B$709,$D19,'Measure-Level Adj Gas'!$CX$10:$CX$709)</f>
        <v>556824.08634782885</v>
      </c>
      <c r="AX19" s="172">
        <f t="shared" ca="1" si="21"/>
        <v>1970606.579425608</v>
      </c>
    </row>
    <row r="20" spans="2:50" s="153" customFormat="1" x14ac:dyDescent="0.25">
      <c r="B20" s="162" t="e">
        <f t="shared" si="0"/>
        <v>#VALUE!</v>
      </c>
      <c r="C20" s="163" t="e">
        <f>SUMIFS('[12]Portfolio Development'!$AA:$AA,'[12]Portfolio Development'!$B:$B,$D20)</f>
        <v>#VALUE!</v>
      </c>
      <c r="D20" s="163" t="s">
        <v>1783</v>
      </c>
      <c r="E20" s="164" t="s">
        <v>1461</v>
      </c>
      <c r="F20" s="165">
        <f>SUMIF('Measure-Level Adj Gas'!$B$10:$B$709,$D20,'Measure-Level Adj Gas'!$AB$10:$AB$709)</f>
        <v>13725.64453125</v>
      </c>
      <c r="G20" s="166">
        <f>SUMIF('Measure-Level Adj Gas'!$B$10:$B$709,$D20,'Measure-Level Adj Gas'!$BN$10:$BN$709)</f>
        <v>13725.64453125</v>
      </c>
      <c r="H20" s="167">
        <f t="shared" si="22"/>
        <v>0</v>
      </c>
      <c r="I20" s="168"/>
      <c r="J20" s="169">
        <f>SUMIF('Measure-Level Adj Gas'!$B$10:$B$709,$D20,'Measure-Level Adj Gas'!$AC$10:$AC$709)</f>
        <v>13725.64453125</v>
      </c>
      <c r="K20" s="165">
        <v>13725.64453125</v>
      </c>
      <c r="L20" s="166">
        <v>13725.64453125</v>
      </c>
      <c r="M20" s="167">
        <f t="shared" si="11"/>
        <v>0</v>
      </c>
      <c r="N20" s="170">
        <f t="shared" si="1"/>
        <v>0</v>
      </c>
      <c r="O20" s="170">
        <f t="shared" si="12"/>
        <v>0</v>
      </c>
      <c r="P20" s="168" t="s">
        <v>1469</v>
      </c>
      <c r="Q20" s="169">
        <f>SUMIF('Measure-Level Adj Gas'!$B$10:$B$709,$D20,'Measure-Level Adj Gas'!$AD$10:$AD$709)</f>
        <v>13725.64453125</v>
      </c>
      <c r="R20" s="165">
        <v>13725.64453125</v>
      </c>
      <c r="S20" s="165">
        <v>13725.64453125</v>
      </c>
      <c r="T20" s="166">
        <f>SUMIF('Measure-Level Adj Gas'!$B$10:$B$709,$D20,'Measure-Level Adj Gas'!$BP$10:$BP$709)</f>
        <v>13725.64453125</v>
      </c>
      <c r="U20" s="167">
        <f t="shared" si="13"/>
        <v>0</v>
      </c>
      <c r="V20" s="170">
        <f t="shared" si="2"/>
        <v>0</v>
      </c>
      <c r="W20" s="170">
        <f t="shared" si="3"/>
        <v>0</v>
      </c>
      <c r="X20" s="170">
        <f t="shared" si="14"/>
        <v>0</v>
      </c>
      <c r="Y20" s="168" t="s">
        <v>1469</v>
      </c>
      <c r="Z20" s="169">
        <f>SUMIF('Measure-Level Adj Gas'!$B$10:$B$709,$D20,'Measure-Level Adj Gas'!$AE$10:$AE$709)</f>
        <v>13725.64453125</v>
      </c>
      <c r="AA20" s="165">
        <v>13725.64453125</v>
      </c>
      <c r="AB20" s="165">
        <v>13725.64453125</v>
      </c>
      <c r="AC20" s="165">
        <f>SUMIF('Measure-Level Adj Gas'!$B$10:$B$709,$D20,'Measure-Level Adj Gas'!$BQ$10:$BQ$709)</f>
        <v>13725.64453125</v>
      </c>
      <c r="AD20" s="166">
        <f>SUMIF('Measure-Level Adj Gas'!$B$10:$B$709,$D20,'Measure-Level Adj Gas'!$BQ$10:$BQ$709)</f>
        <v>13725.64453125</v>
      </c>
      <c r="AE20" s="167">
        <f t="shared" si="15"/>
        <v>0</v>
      </c>
      <c r="AF20" s="170">
        <f t="shared" si="4"/>
        <v>0</v>
      </c>
      <c r="AG20" s="170">
        <f t="shared" si="5"/>
        <v>0</v>
      </c>
      <c r="AH20" s="170">
        <f t="shared" si="6"/>
        <v>0</v>
      </c>
      <c r="AI20" s="170">
        <f t="shared" si="16"/>
        <v>0</v>
      </c>
      <c r="AJ20" s="168"/>
      <c r="AK20" s="169">
        <f t="shared" si="7"/>
        <v>54902.578125</v>
      </c>
      <c r="AL20" s="165">
        <f t="shared" si="8"/>
        <v>54902.578125</v>
      </c>
      <c r="AM20" s="171">
        <f t="shared" si="9"/>
        <v>0</v>
      </c>
      <c r="AN20" s="47"/>
      <c r="AO20" s="169">
        <f ca="1">SUMIF('Measure-Level Adj Gas'!$B$10:$B$709,$D20,'Measure-Level Adj Gas'!$CG$10:$CG$709)</f>
        <v>130393.623046875</v>
      </c>
      <c r="AP20" s="165">
        <f ca="1">SUMIF('Measure-Level Adj Gas'!$B$10:$B$709,$D20,'Measure-Level Adj Gas'!$CH$10:$CH$709)</f>
        <v>130393.623046875</v>
      </c>
      <c r="AQ20" s="165">
        <f ca="1">SUMIF('Measure-Level Adj Gas'!$B$10:$B$709,$D20,'Measure-Level Adj Gas'!$CI$10:$CI$709)</f>
        <v>130393.623046875</v>
      </c>
      <c r="AR20" s="165">
        <f ca="1">SUMIF('Measure-Level Adj Gas'!$B$10:$B$709,$D20,'Measure-Level Adj Gas'!$CJ$10:$CJ$709)</f>
        <v>130393.623046875</v>
      </c>
      <c r="AS20" s="172">
        <f t="shared" ca="1" si="20"/>
        <v>521574.4921875</v>
      </c>
      <c r="AT20" s="169">
        <f ca="1">SUMIF('Measure-Level Adj Gas'!$B$10:$B$709,$D20,'Measure-Level Adj Gas'!$CU$10:$CU$709)</f>
        <v>130393.623046875</v>
      </c>
      <c r="AU20" s="165">
        <f ca="1">SUMIF('Measure-Level Adj Gas'!$B$10:$B$709,$D20,'Measure-Level Adj Gas'!$CV$10:$CV$709)</f>
        <v>130393.623046875</v>
      </c>
      <c r="AV20" s="165">
        <f ca="1">SUMIF('Measure-Level Adj Gas'!$B$10:$B$709,$D20,'Measure-Level Adj Gas'!$CW$10:$CW$709)</f>
        <v>130393.623046875</v>
      </c>
      <c r="AW20" s="166">
        <f ca="1">SUMIF('Measure-Level Adj Gas'!$B$10:$B$709,$D20,'Measure-Level Adj Gas'!$CX$10:$CX$709)</f>
        <v>130393.623046875</v>
      </c>
      <c r="AX20" s="172">
        <f t="shared" ca="1" si="21"/>
        <v>521574.4921875</v>
      </c>
    </row>
    <row r="21" spans="2:50" s="153" customFormat="1" x14ac:dyDescent="0.25">
      <c r="B21" s="162" t="e">
        <f t="shared" si="0"/>
        <v>#VALUE!</v>
      </c>
      <c r="C21" s="163" t="e">
        <f>SUMIFS('[12]Portfolio Development'!$AA:$AA,'[12]Portfolio Development'!$B:$B,$D21)</f>
        <v>#VALUE!</v>
      </c>
      <c r="D21" s="163" t="s">
        <v>1784</v>
      </c>
      <c r="E21" s="164" t="s">
        <v>1462</v>
      </c>
      <c r="F21" s="165">
        <f>SUMIF('Measure-Level Adj Gas'!$B$10:$B$709,$D21,'Measure-Level Adj Gas'!$AB$10:$AB$709)</f>
        <v>1918.2169527332182</v>
      </c>
      <c r="G21" s="166">
        <f>SUMIF('Measure-Level Adj Gas'!$B$10:$B$709,$D21,'Measure-Level Adj Gas'!$BN$10:$BN$709)</f>
        <v>2140.075813108936</v>
      </c>
      <c r="H21" s="167">
        <f t="shared" si="22"/>
        <v>221.85886037571777</v>
      </c>
      <c r="I21" s="168"/>
      <c r="J21" s="169">
        <f>SUMIF('Measure-Level Adj Gas'!$B$10:$B$709,$D21,'Measure-Level Adj Gas'!$AC$10:$AC$709)</f>
        <v>4729.1935485022195</v>
      </c>
      <c r="K21" s="165">
        <v>5151.5940958857564</v>
      </c>
      <c r="L21" s="166">
        <v>5271.7066894882728</v>
      </c>
      <c r="M21" s="167">
        <f t="shared" si="11"/>
        <v>422.40054738353683</v>
      </c>
      <c r="N21" s="170">
        <f t="shared" si="1"/>
        <v>120.11259360251643</v>
      </c>
      <c r="O21" s="170">
        <f t="shared" si="12"/>
        <v>542.51314098605326</v>
      </c>
      <c r="P21" s="168" t="s">
        <v>1988</v>
      </c>
      <c r="Q21" s="169">
        <f>SUMIF('Measure-Level Adj Gas'!$B$10:$B$709,$D21,'Measure-Level Adj Gas'!$AD$10:$AD$709)</f>
        <v>9561.8227273577122</v>
      </c>
      <c r="R21" s="165">
        <v>10411.953065529169</v>
      </c>
      <c r="S21" s="165">
        <v>10651.981521272122</v>
      </c>
      <c r="T21" s="166">
        <f ca="1">SUMIF('Measure-Level Adj Gas'!$B$10:$B$709,$D21,'Measure-Level Adj Gas'!$BP$10:$BP$709)</f>
        <v>10651.229726847105</v>
      </c>
      <c r="U21" s="167">
        <f t="shared" si="13"/>
        <v>850.13033817145697</v>
      </c>
      <c r="V21" s="170">
        <f t="shared" si="2"/>
        <v>240.02845574295316</v>
      </c>
      <c r="W21" s="170">
        <f t="shared" ca="1" si="3"/>
        <v>-0.75179442501757876</v>
      </c>
      <c r="X21" s="170">
        <f t="shared" ca="1" si="14"/>
        <v>1089.4069994893925</v>
      </c>
      <c r="Y21" s="168" t="s">
        <v>2561</v>
      </c>
      <c r="Z21" s="169">
        <f>SUMIF('Measure-Level Adj Gas'!$B$10:$B$709,$D21,'Measure-Level Adj Gas'!$AE$10:$AE$709)</f>
        <v>11430.145410681145</v>
      </c>
      <c r="AA21" s="165">
        <v>12452.122278301591</v>
      </c>
      <c r="AB21" s="165">
        <v>12739.861797684693</v>
      </c>
      <c r="AC21" s="165">
        <f ca="1">SUMIF('Measure-Level Adj Gas'!$B$10:$B$709,$D21,'Measure-Level Adj Gas'!$BQ$10:$BQ$709)</f>
        <v>12738.92205465342</v>
      </c>
      <c r="AD21" s="166">
        <f ca="1">SUMIF('Measure-Level Adj Gas'!$B$10:$B$709,$D21,'Measure-Level Adj Gas'!$BQ$10:$BQ$709)</f>
        <v>12738.92205465342</v>
      </c>
      <c r="AE21" s="167">
        <f t="shared" si="15"/>
        <v>1021.9768676204458</v>
      </c>
      <c r="AF21" s="170">
        <f t="shared" si="4"/>
        <v>287.73951938310165</v>
      </c>
      <c r="AG21" s="170">
        <f t="shared" ca="1" si="5"/>
        <v>-0.93974303127288294</v>
      </c>
      <c r="AH21" s="170">
        <f t="shared" ca="1" si="6"/>
        <v>0</v>
      </c>
      <c r="AI21" s="170">
        <f t="shared" ca="1" si="16"/>
        <v>1308.7766439722745</v>
      </c>
      <c r="AJ21" s="168"/>
      <c r="AK21" s="169">
        <f t="shared" si="7"/>
        <v>27639.378639274295</v>
      </c>
      <c r="AL21" s="165">
        <f t="shared" ca="1" si="8"/>
        <v>30801.934284097733</v>
      </c>
      <c r="AM21" s="171">
        <f t="shared" ca="1" si="9"/>
        <v>3162.5556448234383</v>
      </c>
      <c r="AN21" s="47"/>
      <c r="AO21" s="169">
        <f ca="1">SUMIF('Measure-Level Adj Gas'!$B$10:$B$709,$D21,'Measure-Level Adj Gas'!$CG$10:$CG$709)</f>
        <v>18304.694820452041</v>
      </c>
      <c r="AP21" s="165">
        <f ca="1">SUMIF('Measure-Level Adj Gas'!$B$10:$B$709,$D21,'Measure-Level Adj Gas'!$CH$10:$CH$709)</f>
        <v>44739.74225999476</v>
      </c>
      <c r="AQ21" s="165">
        <f ca="1">SUMIF('Measure-Level Adj Gas'!$B$10:$B$709,$D21,'Measure-Level Adj Gas'!$CI$10:$CI$709)</f>
        <v>89789.528824099834</v>
      </c>
      <c r="AR21" s="165">
        <f ca="1">SUMIF('Measure-Level Adj Gas'!$B$10:$B$709,$D21,'Measure-Level Adj Gas'!$CJ$10:$CJ$709)</f>
        <v>106992.28095045405</v>
      </c>
      <c r="AS21" s="172">
        <f t="shared" ca="1" si="20"/>
        <v>259826.24685500067</v>
      </c>
      <c r="AT21" s="169">
        <f ca="1">SUMIF('Measure-Level Adj Gas'!$B$10:$B$709,$D21,'Measure-Level Adj Gas'!$CU$10:$CU$709)</f>
        <v>21470.263983005192</v>
      </c>
      <c r="AU21" s="165">
        <f ca="1">SUMIF('Measure-Level Adj Gas'!$B$10:$B$709,$D21,'Measure-Level Adj Gas'!$CV$10:$CV$709)</f>
        <v>52509.686759786833</v>
      </c>
      <c r="AV21" s="165">
        <f ca="1">SUMIF('Measure-Level Adj Gas'!$B$10:$B$709,$D21,'Measure-Level Adj Gas'!$CW$10:$CW$709)</f>
        <v>105393.86026154866</v>
      </c>
      <c r="AW21" s="166">
        <f ca="1">SUMIF('Measure-Level Adj Gas'!$B$10:$B$709,$D21,'Measure-Level Adj Gas'!$CX$10:$CX$709)</f>
        <v>125738.73554570886</v>
      </c>
      <c r="AX21" s="172">
        <f t="shared" ca="1" si="21"/>
        <v>305112.54655004956</v>
      </c>
    </row>
    <row r="22" spans="2:50" s="153" customFormat="1" x14ac:dyDescent="0.25">
      <c r="B22" s="162" t="e">
        <f t="shared" si="0"/>
        <v>#VALUE!</v>
      </c>
      <c r="C22" s="163" t="e">
        <f>SUMIFS('[12]Portfolio Development'!$AA:$AA,'[12]Portfolio Development'!$B:$B,$D22)</f>
        <v>#VALUE!</v>
      </c>
      <c r="D22" s="163" t="s">
        <v>1785</v>
      </c>
      <c r="E22" s="164" t="s">
        <v>1463</v>
      </c>
      <c r="F22" s="165">
        <f>SUMIF('Measure-Level Adj Gas'!$B$10:$B$709,$D22,'Measure-Level Adj Gas'!$AB$10:$AB$709)</f>
        <v>0</v>
      </c>
      <c r="G22" s="166">
        <f>SUMIF('Measure-Level Adj Gas'!$B$10:$B$709,$D22,'Measure-Level Adj Gas'!$BN$10:$BN$709)</f>
        <v>0</v>
      </c>
      <c r="H22" s="167">
        <f t="shared" si="22"/>
        <v>0</v>
      </c>
      <c r="I22" s="168"/>
      <c r="J22" s="169">
        <f>SUMIF('Measure-Level Adj Gas'!$B$10:$B$709,$D22,'Measure-Level Adj Gas'!$AC$10:$AC$709)</f>
        <v>0</v>
      </c>
      <c r="K22" s="165">
        <v>0</v>
      </c>
      <c r="L22" s="166">
        <v>0</v>
      </c>
      <c r="M22" s="167">
        <f t="shared" si="11"/>
        <v>0</v>
      </c>
      <c r="N22" s="170">
        <f t="shared" si="1"/>
        <v>0</v>
      </c>
      <c r="O22" s="170">
        <f t="shared" si="12"/>
        <v>0</v>
      </c>
      <c r="P22" s="168" t="s">
        <v>1469</v>
      </c>
      <c r="Q22" s="169">
        <f>SUMIF('Measure-Level Adj Gas'!$B$10:$B$709,$D22,'Measure-Level Adj Gas'!$AD$10:$AD$709)</f>
        <v>0</v>
      </c>
      <c r="R22" s="165">
        <v>0</v>
      </c>
      <c r="S22" s="165">
        <v>0</v>
      </c>
      <c r="T22" s="166">
        <f>SUMIF('Measure-Level Adj Gas'!$B$10:$B$709,$D22,'Measure-Level Adj Gas'!$BP$10:$BP$709)</f>
        <v>0</v>
      </c>
      <c r="U22" s="167">
        <f t="shared" si="13"/>
        <v>0</v>
      </c>
      <c r="V22" s="170">
        <f t="shared" si="2"/>
        <v>0</v>
      </c>
      <c r="W22" s="170">
        <f t="shared" si="3"/>
        <v>0</v>
      </c>
      <c r="X22" s="170">
        <f t="shared" si="14"/>
        <v>0</v>
      </c>
      <c r="Y22" s="168" t="s">
        <v>1469</v>
      </c>
      <c r="Z22" s="169">
        <f>SUMIF('Measure-Level Adj Gas'!$B$10:$B$709,$D22,'Measure-Level Adj Gas'!$AE$10:$AE$709)</f>
        <v>0</v>
      </c>
      <c r="AA22" s="165">
        <v>0</v>
      </c>
      <c r="AB22" s="165">
        <v>0</v>
      </c>
      <c r="AC22" s="165">
        <f>SUMIF('Measure-Level Adj Gas'!$B$10:$B$709,$D22,'Measure-Level Adj Gas'!$BQ$10:$BQ$709)</f>
        <v>0</v>
      </c>
      <c r="AD22" s="166">
        <f>SUMIF('Measure-Level Adj Gas'!$B$10:$B$709,$D22,'Measure-Level Adj Gas'!$BQ$10:$BQ$709)</f>
        <v>0</v>
      </c>
      <c r="AE22" s="167">
        <f t="shared" si="15"/>
        <v>0</v>
      </c>
      <c r="AF22" s="170">
        <f t="shared" si="4"/>
        <v>0</v>
      </c>
      <c r="AG22" s="170">
        <f t="shared" si="5"/>
        <v>0</v>
      </c>
      <c r="AH22" s="170">
        <f t="shared" si="6"/>
        <v>0</v>
      </c>
      <c r="AI22" s="170">
        <f t="shared" si="16"/>
        <v>0</v>
      </c>
      <c r="AJ22" s="168"/>
      <c r="AK22" s="169">
        <f t="shared" si="7"/>
        <v>0</v>
      </c>
      <c r="AL22" s="165">
        <f t="shared" si="8"/>
        <v>0</v>
      </c>
      <c r="AM22" s="171">
        <f t="shared" si="9"/>
        <v>0</v>
      </c>
      <c r="AN22" s="47"/>
      <c r="AO22" s="169">
        <f>SUMIF('Measure-Level Adj Gas'!$B$10:$B$709,$D22,'Measure-Level Adj Gas'!$CG$10:$CG$709)</f>
        <v>0</v>
      </c>
      <c r="AP22" s="165">
        <f>SUMIF('Measure-Level Adj Gas'!$B$10:$B$709,$D22,'Measure-Level Adj Gas'!$CH$10:$CH$709)</f>
        <v>0</v>
      </c>
      <c r="AQ22" s="165">
        <f>SUMIF('Measure-Level Adj Gas'!$B$10:$B$709,$D22,'Measure-Level Adj Gas'!$CI$10:$CI$709)</f>
        <v>0</v>
      </c>
      <c r="AR22" s="165">
        <f>SUMIF('Measure-Level Adj Gas'!$B$10:$B$709,$D22,'Measure-Level Adj Gas'!$CJ$10:$CJ$709)</f>
        <v>0</v>
      </c>
      <c r="AS22" s="172">
        <f t="shared" si="20"/>
        <v>0</v>
      </c>
      <c r="AT22" s="169">
        <f>SUMIF('Measure-Level Adj Gas'!$B$10:$B$709,$D22,'Measure-Level Adj Gas'!$CU$10:$CU$709)</f>
        <v>0</v>
      </c>
      <c r="AU22" s="165">
        <f>SUMIF('Measure-Level Adj Gas'!$B$10:$B$709,$D22,'Measure-Level Adj Gas'!$CV$10:$CV$709)</f>
        <v>0</v>
      </c>
      <c r="AV22" s="165">
        <f>SUMIF('Measure-Level Adj Gas'!$B$10:$B$709,$D22,'Measure-Level Adj Gas'!$CW$10:$CW$709)</f>
        <v>0</v>
      </c>
      <c r="AW22" s="166">
        <f>SUMIF('Measure-Level Adj Gas'!$B$10:$B$709,$D22,'Measure-Level Adj Gas'!$CX$10:$CX$709)</f>
        <v>0</v>
      </c>
      <c r="AX22" s="172">
        <f t="shared" si="21"/>
        <v>0</v>
      </c>
    </row>
    <row r="23" spans="2:50" s="153" customFormat="1" x14ac:dyDescent="0.25">
      <c r="B23" s="162" t="e">
        <f t="shared" ref="B23" si="23">ROUND(C23,5)=ROUND(F23,5)</f>
        <v>#VALUE!</v>
      </c>
      <c r="C23" s="163" t="e">
        <f>SUMIFS('[12]Portfolio Development'!$AA:$AA,'[12]Portfolio Development'!$B:$B,$D23)</f>
        <v>#VALUE!</v>
      </c>
      <c r="D23" s="163" t="s">
        <v>1786</v>
      </c>
      <c r="E23" s="164" t="s">
        <v>1450</v>
      </c>
      <c r="F23" s="165">
        <f>SUMIF('Measure-Level Adj Gas'!$B$10:$B$709,$D23,'Measure-Level Adj Gas'!$AB$10:$AB$709)</f>
        <v>0</v>
      </c>
      <c r="G23" s="166">
        <f>SUMIF('Measure-Level Adj Gas'!$B$10:$B$709,$D23,'Measure-Level Adj Gas'!$BN$10:$BN$709)</f>
        <v>0</v>
      </c>
      <c r="H23" s="167">
        <f t="shared" ref="H23" si="24">IF(G23=0,0,G23-F23)</f>
        <v>0</v>
      </c>
      <c r="I23" s="168"/>
      <c r="J23" s="169">
        <f>SUMIF('Measure-Level Adj Gas'!$B$10:$B$709,$D23,'Measure-Level Adj Gas'!$AC$10:$AC$709)</f>
        <v>1453.1542147647001</v>
      </c>
      <c r="K23" s="165">
        <v>1470.1983763537996</v>
      </c>
      <c r="L23" s="166">
        <v>1470.1983763537996</v>
      </c>
      <c r="M23" s="167">
        <f t="shared" ref="M23" si="25">IF(K23=0,0,K23-J23)</f>
        <v>17.044161589099531</v>
      </c>
      <c r="N23" s="170">
        <f t="shared" ref="N23" si="26">IF(L23=0,0,L23-K23)</f>
        <v>0</v>
      </c>
      <c r="O23" s="170">
        <f t="shared" ref="O23" si="27">IF(L23=0,0,L23-J23)</f>
        <v>17.044161589099531</v>
      </c>
      <c r="P23" s="168" t="s">
        <v>1469</v>
      </c>
      <c r="Q23" s="169">
        <f>SUMIF('Measure-Level Adj Gas'!$B$10:$B$709,$D23,'Measure-Level Adj Gas'!$AD$10:$AD$709)</f>
        <v>2612.9422542988364</v>
      </c>
      <c r="R23" s="165">
        <v>2633.3952482057557</v>
      </c>
      <c r="S23" s="165">
        <v>2633.3952482057557</v>
      </c>
      <c r="T23" s="166">
        <f ca="1">SUMIF('Measure-Level Adj Gas'!$B$10:$B$709,$D23,'Measure-Level Adj Gas'!$BP$10:$BP$709)</f>
        <v>2633.3952482057557</v>
      </c>
      <c r="U23" s="167">
        <f t="shared" ref="U23" si="28">IF(R23=0,0,R23-Q23)</f>
        <v>20.452993906919346</v>
      </c>
      <c r="V23" s="170">
        <f t="shared" ref="V23" si="29">IF(S23=0,0,S23-R23)</f>
        <v>0</v>
      </c>
      <c r="W23" s="170">
        <f t="shared" ref="W23" ca="1" si="30">IF(T23=0,0,T23-S23)</f>
        <v>0</v>
      </c>
      <c r="X23" s="170">
        <f t="shared" ref="X23" ca="1" si="31">IF(T23=0,0,T23-Q23)</f>
        <v>20.452993906919346</v>
      </c>
      <c r="Y23" s="168" t="s">
        <v>1469</v>
      </c>
      <c r="Z23" s="169">
        <f>SUMIF('Measure-Level Adj Gas'!$B$10:$B$709,$D23,'Measure-Level Adj Gas'!$AE$10:$AE$709)</f>
        <v>3846.0718376406139</v>
      </c>
      <c r="AA23" s="165">
        <v>3873.3424961831734</v>
      </c>
      <c r="AB23" s="165">
        <v>3873.3424961831734</v>
      </c>
      <c r="AC23" s="165">
        <f ca="1">SUMIF('Measure-Level Adj Gas'!$B$10:$B$709,$D23,'Measure-Level Adj Gas'!$BQ$10:$BQ$709)</f>
        <v>3873.3424961831734</v>
      </c>
      <c r="AD23" s="166">
        <f ca="1">SUMIF('Measure-Level Adj Gas'!$B$10:$B$709,$D23,'Measure-Level Adj Gas'!$BQ$10:$BQ$709)</f>
        <v>3873.3424961831734</v>
      </c>
      <c r="AE23" s="167">
        <f t="shared" ref="AE23" si="32">IF(AA23=0,0,AA23-Z23)</f>
        <v>27.270658542559431</v>
      </c>
      <c r="AF23" s="170">
        <f t="shared" ref="AF23" si="33">IF(AB23=0,0,AB23-AA23)</f>
        <v>0</v>
      </c>
      <c r="AG23" s="170">
        <f t="shared" ref="AG23" ca="1" si="34">IF(AC23=0,0,AC23-AB23)</f>
        <v>0</v>
      </c>
      <c r="AH23" s="170">
        <f t="shared" ref="AH23" ca="1" si="35">IF(AD23=0,0,AD23-AC23)</f>
        <v>0</v>
      </c>
      <c r="AI23" s="170">
        <f t="shared" ref="AI23" ca="1" si="36">IF(AD23=0,0,AD23-Z23)</f>
        <v>27.270658542559431</v>
      </c>
      <c r="AJ23" s="168"/>
      <c r="AK23" s="169">
        <f t="shared" ref="AK23" si="37">F23+J23+Q23+Z23</f>
        <v>7912.1683067041504</v>
      </c>
      <c r="AL23" s="165">
        <f t="shared" ref="AL23" ca="1" si="38">G23+L23+T23+AD23</f>
        <v>7976.9361207427282</v>
      </c>
      <c r="AM23" s="171">
        <f t="shared" ref="AM23" ca="1" si="39">IF(AL23=0,0,AL23-AK23)</f>
        <v>64.767814038577853</v>
      </c>
      <c r="AN23" s="47"/>
      <c r="AO23" s="169">
        <f ca="1">SUMIF('Measure-Level Adj Gas'!$B$10:$B$709,$D23,'Measure-Level Adj Gas'!$CG$10:$CG$709)</f>
        <v>0</v>
      </c>
      <c r="AP23" s="165">
        <f ca="1">SUMIF('Measure-Level Adj Gas'!$B$10:$B$709,$D23,'Measure-Level Adj Gas'!$CH$10:$CH$709)</f>
        <v>22883.759717196997</v>
      </c>
      <c r="AQ23" s="165">
        <f ca="1">SUMIF('Measure-Level Adj Gas'!$B$10:$B$709,$D23,'Measure-Level Adj Gas'!$CI$10:$CI$709)</f>
        <v>41367.026805935529</v>
      </c>
      <c r="AR23" s="165">
        <f ca="1">SUMIF('Measure-Level Adj Gas'!$B$10:$B$709,$D23,'Measure-Level Adj Gas'!$CJ$10:$CJ$709)</f>
        <v>60950.417051788696</v>
      </c>
      <c r="AS23" s="172">
        <f t="shared" ca="1" si="20"/>
        <v>125201.20357492122</v>
      </c>
      <c r="AT23" s="169">
        <f ca="1">SUMIF('Measure-Level Adj Gas'!$B$10:$B$709,$D23,'Measure-Level Adj Gas'!$CU$10:$CU$709)</f>
        <v>0</v>
      </c>
      <c r="AU23" s="165">
        <f ca="1">SUMIF('Measure-Level Adj Gas'!$B$10:$B$709,$D23,'Measure-Level Adj Gas'!$CV$10:$CV$709)</f>
        <v>23139.42214103349</v>
      </c>
      <c r="AV23" s="165">
        <f ca="1">SUMIF('Measure-Level Adj Gas'!$B$10:$B$709,$D23,'Measure-Level Adj Gas'!$CW$10:$CW$709)</f>
        <v>41673.821714539328</v>
      </c>
      <c r="AW23" s="166">
        <f ca="1">SUMIF('Measure-Level Adj Gas'!$B$10:$B$709,$D23,'Measure-Level Adj Gas'!$CX$10:$CX$709)</f>
        <v>61359.476929927085</v>
      </c>
      <c r="AX23" s="172">
        <f t="shared" ca="1" si="21"/>
        <v>126172.7207854999</v>
      </c>
    </row>
    <row r="24" spans="2:50" s="173" customFormat="1" ht="15.75" thickBot="1" x14ac:dyDescent="0.3">
      <c r="E24" s="174"/>
      <c r="F24" s="175"/>
      <c r="G24" s="176"/>
      <c r="H24" s="177"/>
      <c r="I24" s="178"/>
      <c r="J24" s="179"/>
      <c r="K24" s="175"/>
      <c r="L24" s="176"/>
      <c r="M24" s="177"/>
      <c r="N24" s="180"/>
      <c r="O24" s="180"/>
      <c r="P24" s="178"/>
      <c r="Q24" s="179"/>
      <c r="R24" s="175"/>
      <c r="S24" s="175"/>
      <c r="T24" s="176"/>
      <c r="U24" s="177"/>
      <c r="V24" s="180"/>
      <c r="W24" s="180"/>
      <c r="X24" s="180"/>
      <c r="Y24" s="178"/>
      <c r="Z24" s="179"/>
      <c r="AA24" s="175"/>
      <c r="AB24" s="175"/>
      <c r="AC24" s="175"/>
      <c r="AD24" s="176"/>
      <c r="AE24" s="177"/>
      <c r="AF24" s="180"/>
      <c r="AG24" s="180"/>
      <c r="AH24" s="180"/>
      <c r="AI24" s="180"/>
      <c r="AJ24" s="178"/>
      <c r="AK24" s="181"/>
      <c r="AL24" s="182"/>
      <c r="AM24" s="183"/>
      <c r="AO24" s="181"/>
      <c r="AP24" s="182"/>
      <c r="AQ24" s="182"/>
      <c r="AR24" s="184"/>
      <c r="AS24" s="185"/>
      <c r="AT24" s="181"/>
      <c r="AU24" s="182"/>
      <c r="AV24" s="182"/>
      <c r="AW24" s="184"/>
      <c r="AX24" s="185"/>
    </row>
    <row r="25" spans="2:50" s="173" customFormat="1" ht="34.5" customHeight="1" thickTop="1" x14ac:dyDescent="0.25">
      <c r="B25" s="162"/>
      <c r="C25" s="186"/>
      <c r="D25" s="186"/>
      <c r="E25" s="187" t="s">
        <v>69</v>
      </c>
      <c r="F25" s="188">
        <f>SUM(F10:F23)</f>
        <v>1664852.6997827382</v>
      </c>
      <c r="G25" s="189">
        <f t="shared" ref="G25:H25" si="40">SUM(G10:G23)</f>
        <v>1700147.7110739278</v>
      </c>
      <c r="H25" s="190">
        <f t="shared" si="40"/>
        <v>35295.01129118981</v>
      </c>
      <c r="I25" s="191"/>
      <c r="J25" s="192">
        <f t="shared" ref="J25:O25" si="41">SUM(J10:J23)</f>
        <v>1612312.8214387703</v>
      </c>
      <c r="K25" s="188">
        <f t="shared" si="41"/>
        <v>1648998.4968808172</v>
      </c>
      <c r="L25" s="189">
        <f t="shared" si="41"/>
        <v>1744403.4821635233</v>
      </c>
      <c r="M25" s="190">
        <f t="shared" si="41"/>
        <v>36685.675442046952</v>
      </c>
      <c r="N25" s="188">
        <f t="shared" si="41"/>
        <v>95404.985282705849</v>
      </c>
      <c r="O25" s="188">
        <f t="shared" si="41"/>
        <v>132090.66072475279</v>
      </c>
      <c r="P25" s="191"/>
      <c r="Q25" s="192">
        <f t="shared" ref="Q25:X25" si="42">SUM(Q10:Q23)</f>
        <v>1504589.1260986594</v>
      </c>
      <c r="R25" s="188">
        <f t="shared" si="42"/>
        <v>1541320.4814954852</v>
      </c>
      <c r="S25" s="188">
        <f t="shared" si="42"/>
        <v>1627010.6507485665</v>
      </c>
      <c r="T25" s="189">
        <f t="shared" ca="1" si="42"/>
        <v>1600011.6651428568</v>
      </c>
      <c r="U25" s="190">
        <f t="shared" si="42"/>
        <v>36731.355396825747</v>
      </c>
      <c r="V25" s="188">
        <f t="shared" si="42"/>
        <v>85690.169253080676</v>
      </c>
      <c r="W25" s="188">
        <f t="shared" ca="1" si="42"/>
        <v>-26998.985605709106</v>
      </c>
      <c r="X25" s="188">
        <f t="shared" ca="1" si="42"/>
        <v>95422.539044197343</v>
      </c>
      <c r="Y25" s="191"/>
      <c r="Z25" s="192">
        <f t="shared" ref="Z25:AI25" si="43">SUM(Z10:Z23)</f>
        <v>1466711.7263261185</v>
      </c>
      <c r="AA25" s="188">
        <f t="shared" si="43"/>
        <v>1502886.743009333</v>
      </c>
      <c r="AB25" s="188">
        <f t="shared" si="43"/>
        <v>1590079.8274865469</v>
      </c>
      <c r="AC25" s="188">
        <f t="shared" ca="1" si="43"/>
        <v>1560835.5677674685</v>
      </c>
      <c r="AD25" s="189">
        <f t="shared" ca="1" si="43"/>
        <v>1560835.5677674685</v>
      </c>
      <c r="AE25" s="190">
        <f t="shared" si="43"/>
        <v>36175.016683214315</v>
      </c>
      <c r="AF25" s="188">
        <f t="shared" si="43"/>
        <v>87193.084477213662</v>
      </c>
      <c r="AG25" s="188">
        <f t="shared" ca="1" si="43"/>
        <v>-29244.259719078211</v>
      </c>
      <c r="AH25" s="188">
        <f t="shared" ca="1" si="43"/>
        <v>0</v>
      </c>
      <c r="AI25" s="188">
        <f t="shared" ca="1" si="43"/>
        <v>94123.841441349767</v>
      </c>
      <c r="AJ25" s="191"/>
      <c r="AK25" s="192">
        <f t="shared" ref="AK25:AX25" si="44">SUM(AK10:AK23)</f>
        <v>6248466.3736462863</v>
      </c>
      <c r="AL25" s="188">
        <f t="shared" ca="1" si="44"/>
        <v>6605398.4261477757</v>
      </c>
      <c r="AM25" s="193">
        <f t="shared" ca="1" si="44"/>
        <v>356932.05250148935</v>
      </c>
      <c r="AN25"/>
      <c r="AO25" s="192">
        <f t="shared" ca="1" si="44"/>
        <v>18876511.680685639</v>
      </c>
      <c r="AP25" s="188">
        <f t="shared" ca="1" si="44"/>
        <v>18213076.506448347</v>
      </c>
      <c r="AQ25" s="188">
        <f t="shared" ca="1" si="44"/>
        <v>17089796.038186628</v>
      </c>
      <c r="AR25" s="189">
        <f t="shared" ca="1" si="44"/>
        <v>16531243.449928127</v>
      </c>
      <c r="AS25" s="193">
        <f t="shared" ca="1" si="44"/>
        <v>70710627.675248757</v>
      </c>
      <c r="AT25" s="194">
        <f t="shared" ca="1" si="44"/>
        <v>19315199.70445415</v>
      </c>
      <c r="AU25" s="195">
        <f t="shared" ca="1" si="44"/>
        <v>19238429.734809577</v>
      </c>
      <c r="AV25" s="195">
        <f t="shared" ca="1" si="44"/>
        <v>17425656.39059924</v>
      </c>
      <c r="AW25" s="196">
        <f t="shared" ca="1" si="44"/>
        <v>16872344.362763043</v>
      </c>
      <c r="AX25" s="197">
        <f t="shared" ca="1" si="44"/>
        <v>72851630.192626014</v>
      </c>
    </row>
    <row r="26" spans="2:50" ht="18.75" customHeight="1" x14ac:dyDescent="0.25">
      <c r="G26" s="163"/>
      <c r="N26" s="198">
        <f>N25/K25</f>
        <v>5.7856320344239417E-2</v>
      </c>
      <c r="AN26" s="173"/>
    </row>
    <row r="28" spans="2:50" x14ac:dyDescent="0.25">
      <c r="F28" s="199"/>
      <c r="H28" s="163"/>
    </row>
    <row r="29" spans="2:50" x14ac:dyDescent="0.25">
      <c r="F29" s="200"/>
    </row>
  </sheetData>
  <printOptions headings="1" gridLines="1"/>
  <pageMargins left="0.25" right="0.25" top="0.75" bottom="0.75" header="0.3" footer="0.3"/>
  <pageSetup scale="15" orientation="landscape" r:id="rId1"/>
  <headerFooter>
    <oddHeader>&amp;LAppendix G (Rev.)&amp;CProgram-Level Adj Gas</oddHeader>
    <oddFooter>&amp;L&amp;"Arial,Regular"&amp;14&amp;A
&amp;F&amp;C&amp;"Arial,Regular"&amp;14&amp;P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C0DA0-86ED-4203-89D5-C128AD0A546D}">
  <sheetPr codeName="Sheet2">
    <pageSetUpPr autoPageBreaks="0" fitToPage="1"/>
  </sheetPr>
  <dimension ref="B1:CX714"/>
  <sheetViews>
    <sheetView showGridLines="0" zoomScaleNormal="100" zoomScaleSheetLayoutView="80" workbookViewId="0">
      <pane xSplit="12" ySplit="9" topLeftCell="M10" activePane="bottomRight" state="frozen"/>
      <selection pane="topRight" activeCell="M1" sqref="M1"/>
      <selection pane="bottomLeft" activeCell="A10" sqref="A10"/>
      <selection pane="bottomRight"/>
    </sheetView>
  </sheetViews>
  <sheetFormatPr defaultColWidth="9.140625" defaultRowHeight="15" x14ac:dyDescent="0.25"/>
  <cols>
    <col min="1" max="1" width="5.7109375" customWidth="1"/>
    <col min="2" max="3" width="10.7109375" hidden="1" customWidth="1"/>
    <col min="4" max="4" width="12.7109375" customWidth="1"/>
    <col min="5" max="5" width="20.7109375" customWidth="1"/>
    <col min="6" max="6" width="25.7109375" customWidth="1"/>
    <col min="7" max="7" width="29.140625" customWidth="1"/>
    <col min="8" max="8" width="35.7109375" customWidth="1"/>
    <col min="9" max="9" width="42.28515625" customWidth="1"/>
    <col min="10" max="10" width="15.7109375" customWidth="1"/>
    <col min="11" max="12" width="12.7109375" customWidth="1"/>
    <col min="13" max="18" width="15.7109375" customWidth="1"/>
    <col min="19" max="19" width="25.7109375" customWidth="1"/>
    <col min="20" max="23" width="15.7109375" customWidth="1"/>
    <col min="24" max="27" width="10.7109375" customWidth="1"/>
    <col min="28" max="32" width="15.7109375" customWidth="1"/>
    <col min="33" max="40" width="10.7109375" customWidth="1"/>
    <col min="41" max="56" width="15.7109375" customWidth="1"/>
    <col min="57" max="57" width="40.7109375" customWidth="1"/>
    <col min="58" max="72" width="15.7109375" customWidth="1"/>
    <col min="75" max="102" width="15.7109375" customWidth="1"/>
  </cols>
  <sheetData>
    <row r="1" spans="2:102" ht="24" customHeight="1" x14ac:dyDescent="0.25">
      <c r="D1" t="s">
        <v>2631</v>
      </c>
    </row>
    <row r="2" spans="2:102" ht="18.75" customHeight="1" x14ac:dyDescent="0.25">
      <c r="D2" s="46">
        <v>45349</v>
      </c>
      <c r="E2" s="46"/>
      <c r="F2" s="46"/>
    </row>
    <row r="3" spans="2:102" s="47" customFormat="1" ht="18.75" customHeight="1" x14ac:dyDescent="0.25">
      <c r="B3"/>
      <c r="C3"/>
      <c r="D3" s="48" t="s">
        <v>51</v>
      </c>
      <c r="E3" s="48"/>
      <c r="F3" s="48"/>
      <c r="G3" s="47" t="s">
        <v>525</v>
      </c>
      <c r="N3" s="47">
        <v>2022</v>
      </c>
      <c r="O3" s="47">
        <v>2023</v>
      </c>
      <c r="P3" s="47">
        <v>2024</v>
      </c>
      <c r="Q3" s="47">
        <v>2025</v>
      </c>
      <c r="X3" s="47">
        <v>2022</v>
      </c>
      <c r="Y3" s="47">
        <v>2023</v>
      </c>
      <c r="Z3" s="47">
        <v>2024</v>
      </c>
      <c r="AA3" s="47">
        <v>2025</v>
      </c>
      <c r="AG3"/>
      <c r="AH3"/>
      <c r="AI3"/>
      <c r="AJ3"/>
      <c r="AK3"/>
      <c r="AL3"/>
      <c r="AM3"/>
      <c r="AN3"/>
    </row>
    <row r="4" spans="2:102" s="153" customFormat="1" ht="31.5" customHeight="1" x14ac:dyDescent="0.25">
      <c r="B4"/>
      <c r="C4"/>
      <c r="D4" s="201"/>
      <c r="E4" s="202"/>
      <c r="F4" s="202"/>
      <c r="G4" s="202"/>
      <c r="H4" s="202"/>
      <c r="I4" s="202"/>
      <c r="J4" s="202"/>
      <c r="K4" s="202"/>
      <c r="L4" s="202"/>
      <c r="M4" s="203" t="s">
        <v>70</v>
      </c>
      <c r="N4" s="204"/>
      <c r="O4" s="204"/>
      <c r="P4" s="204"/>
      <c r="Q4" s="205"/>
      <c r="R4" s="203" t="s">
        <v>71</v>
      </c>
      <c r="S4" s="204"/>
      <c r="T4" s="204"/>
      <c r="U4" s="204"/>
      <c r="V4" s="204"/>
      <c r="W4" s="205"/>
      <c r="X4" s="203" t="s">
        <v>71</v>
      </c>
      <c r="Y4" s="204"/>
      <c r="Z4" s="204"/>
      <c r="AA4" s="204"/>
      <c r="AB4" s="204"/>
      <c r="AC4" s="204"/>
      <c r="AD4" s="204"/>
      <c r="AE4" s="204"/>
      <c r="AF4" s="205"/>
      <c r="AG4" s="206" t="s">
        <v>1826</v>
      </c>
      <c r="AH4" s="207"/>
      <c r="AI4" s="207"/>
      <c r="AJ4" s="207"/>
      <c r="AK4" s="206"/>
      <c r="AL4" s="207"/>
      <c r="AM4" s="207"/>
      <c r="AN4" s="207"/>
      <c r="AO4" s="208" t="s">
        <v>191</v>
      </c>
      <c r="AP4" s="209"/>
      <c r="AQ4" s="209"/>
      <c r="AR4" s="209"/>
      <c r="AS4" s="209"/>
      <c r="AT4" s="210"/>
      <c r="AU4" s="211" t="s">
        <v>199</v>
      </c>
      <c r="AV4" s="212"/>
      <c r="AW4" s="212"/>
      <c r="AX4" s="212"/>
      <c r="AY4" s="212"/>
      <c r="AZ4" s="212"/>
      <c r="BA4" s="213"/>
      <c r="BB4" s="214" t="s">
        <v>204</v>
      </c>
      <c r="BC4" s="215"/>
      <c r="BD4" s="215"/>
      <c r="BE4" s="215"/>
      <c r="BF4" s="215"/>
      <c r="BG4" s="216"/>
      <c r="BH4" s="217" t="s">
        <v>210</v>
      </c>
      <c r="BI4" s="218"/>
      <c r="BJ4" s="218"/>
      <c r="BK4" s="218"/>
      <c r="BL4" s="218"/>
      <c r="BM4" s="219"/>
      <c r="BN4" s="220" t="s">
        <v>72</v>
      </c>
      <c r="BO4" s="221"/>
      <c r="BP4" s="221"/>
      <c r="BQ4" s="221"/>
      <c r="BR4" s="222"/>
      <c r="BS4" s="223" t="s">
        <v>73</v>
      </c>
      <c r="BT4" s="224"/>
      <c r="BW4" s="203" t="s">
        <v>1495</v>
      </c>
      <c r="BX4" s="204"/>
      <c r="BY4" s="204"/>
      <c r="BZ4" s="204"/>
      <c r="CA4" s="204"/>
      <c r="CB4" s="204"/>
      <c r="CC4" s="204"/>
      <c r="CD4" s="205"/>
      <c r="CE4" s="205"/>
      <c r="CF4" s="205"/>
      <c r="CG4" s="204"/>
      <c r="CH4" s="204"/>
      <c r="CI4" s="204"/>
      <c r="CJ4" s="205"/>
      <c r="CK4" s="225" t="s">
        <v>1496</v>
      </c>
      <c r="CL4" s="226"/>
      <c r="CM4" s="226"/>
      <c r="CN4" s="226"/>
      <c r="CO4" s="226"/>
      <c r="CP4" s="226"/>
      <c r="CQ4" s="226"/>
      <c r="CR4" s="227"/>
      <c r="CS4" s="227"/>
      <c r="CT4" s="227"/>
      <c r="CU4" s="226"/>
      <c r="CV4" s="226"/>
      <c r="CW4" s="226"/>
      <c r="CX4" s="227"/>
    </row>
    <row r="5" spans="2:102" s="73" customFormat="1" ht="49.5" customHeight="1" x14ac:dyDescent="0.25">
      <c r="B5"/>
      <c r="C5"/>
      <c r="D5" s="228"/>
      <c r="E5" s="229"/>
      <c r="F5" s="229"/>
      <c r="G5" s="229"/>
      <c r="H5" s="229"/>
      <c r="I5" s="229"/>
      <c r="J5" s="229"/>
      <c r="K5" s="229"/>
      <c r="L5" s="229"/>
      <c r="M5" s="206" t="s">
        <v>74</v>
      </c>
      <c r="N5" s="207"/>
      <c r="O5" s="207"/>
      <c r="P5" s="207"/>
      <c r="Q5" s="230"/>
      <c r="R5" s="203" t="s">
        <v>75</v>
      </c>
      <c r="S5" s="204"/>
      <c r="T5" s="204"/>
      <c r="U5" s="204"/>
      <c r="V5" s="204"/>
      <c r="W5" s="205"/>
      <c r="X5" s="206" t="s">
        <v>1825</v>
      </c>
      <c r="Y5" s="207"/>
      <c r="Z5" s="207"/>
      <c r="AA5" s="230"/>
      <c r="AB5" s="203" t="s">
        <v>76</v>
      </c>
      <c r="AC5" s="204"/>
      <c r="AD5" s="204"/>
      <c r="AE5" s="204"/>
      <c r="AF5" s="205"/>
      <c r="AG5" s="206" t="s">
        <v>1827</v>
      </c>
      <c r="AH5" s="207"/>
      <c r="AI5" s="207"/>
      <c r="AJ5" s="230"/>
      <c r="AK5" s="206" t="s">
        <v>1826</v>
      </c>
      <c r="AL5" s="207"/>
      <c r="AM5" s="207"/>
      <c r="AN5" s="230"/>
      <c r="AO5" s="208" t="s">
        <v>192</v>
      </c>
      <c r="AP5" s="209"/>
      <c r="AQ5" s="209"/>
      <c r="AR5" s="210"/>
      <c r="AS5" s="231" t="s">
        <v>77</v>
      </c>
      <c r="AT5" s="231" t="s">
        <v>78</v>
      </c>
      <c r="AU5" s="211" t="s">
        <v>200</v>
      </c>
      <c r="AV5" s="212"/>
      <c r="AW5" s="212"/>
      <c r="AX5" s="213"/>
      <c r="AY5" s="109" t="s">
        <v>77</v>
      </c>
      <c r="AZ5" s="109" t="s">
        <v>77</v>
      </c>
      <c r="BA5" s="109" t="s">
        <v>78</v>
      </c>
      <c r="BB5" s="214" t="s">
        <v>205</v>
      </c>
      <c r="BC5" s="215"/>
      <c r="BD5" s="215"/>
      <c r="BE5" s="216"/>
      <c r="BF5" s="113" t="s">
        <v>77</v>
      </c>
      <c r="BG5" s="113" t="s">
        <v>78</v>
      </c>
      <c r="BH5" s="217" t="s">
        <v>211</v>
      </c>
      <c r="BI5" s="218"/>
      <c r="BJ5" s="218"/>
      <c r="BK5" s="219"/>
      <c r="BL5" s="117" t="s">
        <v>77</v>
      </c>
      <c r="BM5" s="117" t="s">
        <v>78</v>
      </c>
      <c r="BN5" s="232"/>
      <c r="BO5" s="233"/>
      <c r="BP5" s="233"/>
      <c r="BQ5" s="233"/>
      <c r="BR5" s="234"/>
      <c r="BS5" s="235" t="s">
        <v>2632</v>
      </c>
      <c r="BT5" s="236" t="s">
        <v>79</v>
      </c>
      <c r="BW5" s="203" t="s">
        <v>1478</v>
      </c>
      <c r="BX5" s="204"/>
      <c r="BY5" s="204"/>
      <c r="BZ5" s="204"/>
      <c r="CA5" s="203" t="s">
        <v>1484</v>
      </c>
      <c r="CB5" s="204"/>
      <c r="CC5" s="204"/>
      <c r="CD5" s="205"/>
      <c r="CE5" s="205" t="s">
        <v>259</v>
      </c>
      <c r="CF5" s="205"/>
      <c r="CG5" s="203" t="s">
        <v>1483</v>
      </c>
      <c r="CH5" s="204"/>
      <c r="CI5" s="204"/>
      <c r="CJ5" s="205"/>
      <c r="CK5" s="225" t="s">
        <v>1478</v>
      </c>
      <c r="CL5" s="226"/>
      <c r="CM5" s="226"/>
      <c r="CN5" s="226"/>
      <c r="CO5" s="225" t="s">
        <v>1484</v>
      </c>
      <c r="CP5" s="226"/>
      <c r="CQ5" s="226"/>
      <c r="CR5" s="227"/>
      <c r="CS5" s="227" t="s">
        <v>259</v>
      </c>
      <c r="CT5" s="227"/>
      <c r="CU5" s="225" t="s">
        <v>1483</v>
      </c>
      <c r="CV5" s="226"/>
      <c r="CW5" s="226"/>
      <c r="CX5" s="227"/>
    </row>
    <row r="6" spans="2:102" s="73" customFormat="1" ht="59.25" customHeight="1" x14ac:dyDescent="0.25">
      <c r="B6"/>
      <c r="C6"/>
      <c r="D6" s="237" t="s">
        <v>1449</v>
      </c>
      <c r="E6" s="237" t="s">
        <v>0</v>
      </c>
      <c r="F6" s="237" t="s">
        <v>526</v>
      </c>
      <c r="G6" s="237" t="s">
        <v>1413</v>
      </c>
      <c r="H6" s="237" t="s">
        <v>80</v>
      </c>
      <c r="I6" s="237" t="s">
        <v>246</v>
      </c>
      <c r="J6" s="237" t="s">
        <v>1</v>
      </c>
      <c r="K6" s="238" t="s">
        <v>81</v>
      </c>
      <c r="L6" s="238" t="s">
        <v>82</v>
      </c>
      <c r="M6" s="239" t="s">
        <v>83</v>
      </c>
      <c r="N6" s="240" t="s">
        <v>178</v>
      </c>
      <c r="O6" s="240" t="s">
        <v>179</v>
      </c>
      <c r="P6" s="240" t="s">
        <v>180</v>
      </c>
      <c r="Q6" s="240" t="s">
        <v>181</v>
      </c>
      <c r="R6" s="241" t="s">
        <v>177</v>
      </c>
      <c r="S6" s="241" t="s">
        <v>84</v>
      </c>
      <c r="T6" s="241" t="s">
        <v>182</v>
      </c>
      <c r="U6" s="241" t="s">
        <v>183</v>
      </c>
      <c r="V6" s="241" t="s">
        <v>184</v>
      </c>
      <c r="W6" s="241" t="s">
        <v>185</v>
      </c>
      <c r="X6" s="240">
        <v>2022</v>
      </c>
      <c r="Y6" s="240">
        <v>2023</v>
      </c>
      <c r="Z6" s="240">
        <v>2024</v>
      </c>
      <c r="AA6" s="240">
        <v>2025</v>
      </c>
      <c r="AB6" s="241" t="s">
        <v>186</v>
      </c>
      <c r="AC6" s="241" t="s">
        <v>187</v>
      </c>
      <c r="AD6" s="241" t="s">
        <v>188</v>
      </c>
      <c r="AE6" s="241" t="s">
        <v>189</v>
      </c>
      <c r="AF6" s="241" t="s">
        <v>85</v>
      </c>
      <c r="AG6" s="240">
        <v>2022</v>
      </c>
      <c r="AH6" s="240">
        <v>2023</v>
      </c>
      <c r="AI6" s="240">
        <v>2024</v>
      </c>
      <c r="AJ6" s="240">
        <v>2025</v>
      </c>
      <c r="AK6" s="231">
        <v>2022</v>
      </c>
      <c r="AL6" s="109">
        <v>2023</v>
      </c>
      <c r="AM6" s="113">
        <v>2024</v>
      </c>
      <c r="AN6" s="117">
        <v>2025</v>
      </c>
      <c r="AO6" s="242" t="s">
        <v>190</v>
      </c>
      <c r="AP6" s="242" t="s">
        <v>84</v>
      </c>
      <c r="AQ6" s="242" t="s">
        <v>193</v>
      </c>
      <c r="AR6" s="242" t="s">
        <v>86</v>
      </c>
      <c r="AS6" s="242" t="s">
        <v>194</v>
      </c>
      <c r="AT6" s="242" t="s">
        <v>195</v>
      </c>
      <c r="AU6" s="243" t="s">
        <v>201</v>
      </c>
      <c r="AV6" s="243" t="s">
        <v>84</v>
      </c>
      <c r="AW6" s="243" t="s">
        <v>202</v>
      </c>
      <c r="AX6" s="243" t="s">
        <v>86</v>
      </c>
      <c r="AY6" s="243" t="s">
        <v>1995</v>
      </c>
      <c r="AZ6" s="243" t="s">
        <v>1996</v>
      </c>
      <c r="BA6" s="243" t="s">
        <v>203</v>
      </c>
      <c r="BB6" s="244" t="s">
        <v>206</v>
      </c>
      <c r="BC6" s="244" t="s">
        <v>84</v>
      </c>
      <c r="BD6" s="244" t="s">
        <v>207</v>
      </c>
      <c r="BE6" s="244" t="s">
        <v>86</v>
      </c>
      <c r="BF6" s="244" t="s">
        <v>208</v>
      </c>
      <c r="BG6" s="244" t="s">
        <v>209</v>
      </c>
      <c r="BH6" s="245" t="s">
        <v>212</v>
      </c>
      <c r="BI6" s="245" t="s">
        <v>84</v>
      </c>
      <c r="BJ6" s="245" t="s">
        <v>213</v>
      </c>
      <c r="BK6" s="245" t="s">
        <v>86</v>
      </c>
      <c r="BL6" s="245" t="s">
        <v>214</v>
      </c>
      <c r="BM6" s="245" t="s">
        <v>215</v>
      </c>
      <c r="BN6" s="231" t="s">
        <v>216</v>
      </c>
      <c r="BO6" s="109" t="s">
        <v>217</v>
      </c>
      <c r="BP6" s="113" t="s">
        <v>218</v>
      </c>
      <c r="BQ6" s="117" t="s">
        <v>219</v>
      </c>
      <c r="BR6" s="126" t="s">
        <v>87</v>
      </c>
      <c r="BS6" s="240" t="s">
        <v>88</v>
      </c>
      <c r="BT6" s="104" t="s">
        <v>89</v>
      </c>
      <c r="BW6" s="241" t="s">
        <v>1479</v>
      </c>
      <c r="BX6" s="241" t="s">
        <v>1480</v>
      </c>
      <c r="BY6" s="241" t="s">
        <v>1481</v>
      </c>
      <c r="BZ6" s="241" t="s">
        <v>1482</v>
      </c>
      <c r="CA6" s="241" t="s">
        <v>1479</v>
      </c>
      <c r="CB6" s="241" t="s">
        <v>1480</v>
      </c>
      <c r="CC6" s="241" t="s">
        <v>1481</v>
      </c>
      <c r="CD6" s="241" t="s">
        <v>1482</v>
      </c>
      <c r="CE6" s="241" t="s">
        <v>259</v>
      </c>
      <c r="CF6" s="241" t="s">
        <v>628</v>
      </c>
      <c r="CG6" s="241" t="s">
        <v>1479</v>
      </c>
      <c r="CH6" s="241" t="s">
        <v>1480</v>
      </c>
      <c r="CI6" s="241" t="s">
        <v>1481</v>
      </c>
      <c r="CJ6" s="241" t="s">
        <v>1482</v>
      </c>
      <c r="CK6" s="242" t="s">
        <v>1479</v>
      </c>
      <c r="CL6" s="243" t="s">
        <v>1480</v>
      </c>
      <c r="CM6" s="244" t="s">
        <v>1481</v>
      </c>
      <c r="CN6" s="245" t="s">
        <v>1482</v>
      </c>
      <c r="CO6" s="242" t="s">
        <v>1479</v>
      </c>
      <c r="CP6" s="243" t="s">
        <v>1480</v>
      </c>
      <c r="CQ6" s="244" t="s">
        <v>1481</v>
      </c>
      <c r="CR6" s="245" t="s">
        <v>1482</v>
      </c>
      <c r="CS6" s="246" t="s">
        <v>259</v>
      </c>
      <c r="CT6" s="246" t="s">
        <v>628</v>
      </c>
      <c r="CU6" s="242" t="s">
        <v>1479</v>
      </c>
      <c r="CV6" s="243" t="s">
        <v>1480</v>
      </c>
      <c r="CW6" s="244" t="s">
        <v>1481</v>
      </c>
      <c r="CX6" s="245" t="s">
        <v>1482</v>
      </c>
    </row>
    <row r="7" spans="2:102" hidden="1" x14ac:dyDescent="0.25">
      <c r="E7">
        <v>1</v>
      </c>
      <c r="F7">
        <f>E7+1</f>
        <v>2</v>
      </c>
      <c r="G7">
        <f t="shared" ref="G7:BS7" si="0">F7+1</f>
        <v>3</v>
      </c>
      <c r="H7">
        <f t="shared" si="0"/>
        <v>4</v>
      </c>
      <c r="I7">
        <f t="shared" si="0"/>
        <v>5</v>
      </c>
      <c r="J7">
        <f t="shared" si="0"/>
        <v>6</v>
      </c>
      <c r="K7">
        <f t="shared" si="0"/>
        <v>7</v>
      </c>
      <c r="L7">
        <f t="shared" si="0"/>
        <v>8</v>
      </c>
      <c r="M7">
        <f t="shared" si="0"/>
        <v>9</v>
      </c>
      <c r="N7">
        <f t="shared" si="0"/>
        <v>10</v>
      </c>
      <c r="O7">
        <f t="shared" si="0"/>
        <v>11</v>
      </c>
      <c r="P7">
        <f t="shared" si="0"/>
        <v>12</v>
      </c>
      <c r="Q7">
        <f t="shared" si="0"/>
        <v>13</v>
      </c>
      <c r="R7">
        <f t="shared" si="0"/>
        <v>14</v>
      </c>
      <c r="S7">
        <f t="shared" si="0"/>
        <v>15</v>
      </c>
      <c r="T7">
        <f t="shared" si="0"/>
        <v>16</v>
      </c>
      <c r="U7">
        <f t="shared" si="0"/>
        <v>17</v>
      </c>
      <c r="V7">
        <f t="shared" si="0"/>
        <v>18</v>
      </c>
      <c r="W7">
        <f t="shared" si="0"/>
        <v>19</v>
      </c>
      <c r="X7">
        <f t="shared" si="0"/>
        <v>20</v>
      </c>
      <c r="Y7">
        <f t="shared" si="0"/>
        <v>21</v>
      </c>
      <c r="Z7">
        <f t="shared" si="0"/>
        <v>22</v>
      </c>
      <c r="AA7">
        <f t="shared" si="0"/>
        <v>23</v>
      </c>
      <c r="AB7">
        <f t="shared" si="0"/>
        <v>24</v>
      </c>
      <c r="AC7">
        <f t="shared" si="0"/>
        <v>25</v>
      </c>
      <c r="AD7">
        <f t="shared" si="0"/>
        <v>26</v>
      </c>
      <c r="AE7">
        <f t="shared" si="0"/>
        <v>27</v>
      </c>
      <c r="AF7">
        <f t="shared" si="0"/>
        <v>28</v>
      </c>
      <c r="AG7">
        <f t="shared" si="0"/>
        <v>29</v>
      </c>
      <c r="AH7">
        <f t="shared" si="0"/>
        <v>30</v>
      </c>
      <c r="AI7">
        <f t="shared" si="0"/>
        <v>31</v>
      </c>
      <c r="AJ7">
        <f t="shared" si="0"/>
        <v>32</v>
      </c>
      <c r="AK7">
        <f t="shared" si="0"/>
        <v>33</v>
      </c>
      <c r="AL7">
        <f t="shared" si="0"/>
        <v>34</v>
      </c>
      <c r="AM7">
        <f t="shared" si="0"/>
        <v>35</v>
      </c>
      <c r="AN7">
        <f t="shared" si="0"/>
        <v>36</v>
      </c>
      <c r="AO7">
        <f t="shared" si="0"/>
        <v>37</v>
      </c>
      <c r="AP7">
        <f t="shared" si="0"/>
        <v>38</v>
      </c>
      <c r="AQ7">
        <f t="shared" si="0"/>
        <v>39</v>
      </c>
      <c r="AR7">
        <f t="shared" si="0"/>
        <v>40</v>
      </c>
      <c r="AS7">
        <f t="shared" si="0"/>
        <v>41</v>
      </c>
      <c r="AT7">
        <f t="shared" si="0"/>
        <v>42</v>
      </c>
      <c r="AU7">
        <f t="shared" si="0"/>
        <v>43</v>
      </c>
      <c r="AV7">
        <f t="shared" si="0"/>
        <v>44</v>
      </c>
      <c r="AW7">
        <f t="shared" si="0"/>
        <v>45</v>
      </c>
      <c r="AX7">
        <f t="shared" si="0"/>
        <v>46</v>
      </c>
      <c r="AY7">
        <f>AW7+1</f>
        <v>46</v>
      </c>
      <c r="AZ7">
        <f>AX7+1</f>
        <v>47</v>
      </c>
      <c r="BA7">
        <f t="shared" si="0"/>
        <v>48</v>
      </c>
      <c r="BB7">
        <f t="shared" si="0"/>
        <v>49</v>
      </c>
      <c r="BC7">
        <f t="shared" si="0"/>
        <v>50</v>
      </c>
      <c r="BD7">
        <f t="shared" si="0"/>
        <v>51</v>
      </c>
      <c r="BE7">
        <f t="shared" si="0"/>
        <v>52</v>
      </c>
      <c r="BF7">
        <f t="shared" si="0"/>
        <v>53</v>
      </c>
      <c r="BG7">
        <f t="shared" si="0"/>
        <v>54</v>
      </c>
      <c r="BH7">
        <f t="shared" si="0"/>
        <v>55</v>
      </c>
      <c r="BI7">
        <f t="shared" si="0"/>
        <v>56</v>
      </c>
      <c r="BJ7">
        <f t="shared" si="0"/>
        <v>57</v>
      </c>
      <c r="BK7">
        <f t="shared" si="0"/>
        <v>58</v>
      </c>
      <c r="BL7">
        <f t="shared" si="0"/>
        <v>59</v>
      </c>
      <c r="BM7">
        <f t="shared" si="0"/>
        <v>60</v>
      </c>
      <c r="BN7">
        <f t="shared" si="0"/>
        <v>61</v>
      </c>
      <c r="BO7">
        <f t="shared" si="0"/>
        <v>62</v>
      </c>
      <c r="BP7">
        <f t="shared" si="0"/>
        <v>63</v>
      </c>
      <c r="BQ7">
        <f t="shared" si="0"/>
        <v>64</v>
      </c>
      <c r="BR7">
        <f t="shared" si="0"/>
        <v>65</v>
      </c>
      <c r="BS7">
        <f t="shared" si="0"/>
        <v>66</v>
      </c>
      <c r="BT7">
        <f t="shared" ref="BT7" si="1">BS7+1</f>
        <v>67</v>
      </c>
      <c r="BW7">
        <f>BT7+1</f>
        <v>68</v>
      </c>
      <c r="BX7">
        <f>BW7+1</f>
        <v>69</v>
      </c>
      <c r="BY7">
        <f t="shared" ref="BY7:CX7" si="2">BX7+1</f>
        <v>70</v>
      </c>
      <c r="BZ7">
        <f t="shared" si="2"/>
        <v>71</v>
      </c>
      <c r="CA7">
        <f t="shared" si="2"/>
        <v>72</v>
      </c>
      <c r="CB7">
        <f t="shared" si="2"/>
        <v>73</v>
      </c>
      <c r="CC7">
        <f t="shared" si="2"/>
        <v>74</v>
      </c>
      <c r="CD7">
        <f t="shared" si="2"/>
        <v>75</v>
      </c>
      <c r="CE7">
        <f t="shared" si="2"/>
        <v>76</v>
      </c>
      <c r="CF7">
        <f t="shared" si="2"/>
        <v>77</v>
      </c>
      <c r="CG7">
        <f t="shared" si="2"/>
        <v>78</v>
      </c>
      <c r="CH7">
        <f t="shared" si="2"/>
        <v>79</v>
      </c>
      <c r="CI7">
        <f t="shared" si="2"/>
        <v>80</v>
      </c>
      <c r="CJ7">
        <f t="shared" si="2"/>
        <v>81</v>
      </c>
      <c r="CK7">
        <f t="shared" si="2"/>
        <v>82</v>
      </c>
      <c r="CL7">
        <f t="shared" si="2"/>
        <v>83</v>
      </c>
      <c r="CM7">
        <f t="shared" si="2"/>
        <v>84</v>
      </c>
      <c r="CN7">
        <f t="shared" si="2"/>
        <v>85</v>
      </c>
      <c r="CO7">
        <f t="shared" si="2"/>
        <v>86</v>
      </c>
      <c r="CP7">
        <f t="shared" si="2"/>
        <v>87</v>
      </c>
      <c r="CQ7">
        <f t="shared" si="2"/>
        <v>88</v>
      </c>
      <c r="CR7">
        <f t="shared" si="2"/>
        <v>89</v>
      </c>
      <c r="CS7">
        <f t="shared" si="2"/>
        <v>90</v>
      </c>
      <c r="CT7">
        <f t="shared" si="2"/>
        <v>91</v>
      </c>
      <c r="CU7">
        <f t="shared" si="2"/>
        <v>92</v>
      </c>
      <c r="CV7">
        <f t="shared" si="2"/>
        <v>93</v>
      </c>
      <c r="CW7">
        <f t="shared" si="2"/>
        <v>94</v>
      </c>
      <c r="CX7">
        <f t="shared" si="2"/>
        <v>95</v>
      </c>
    </row>
    <row r="8" spans="2:102" s="247" customFormat="1" ht="32.25" customHeight="1" x14ac:dyDescent="0.25">
      <c r="B8"/>
      <c r="C8"/>
      <c r="D8" s="248"/>
      <c r="E8" s="248" t="str">
        <f>"("&amp;LOWER(SUBSTITUTE(ADDRESS(1,E7,4),"1",""))&amp;")"</f>
        <v>(a)</v>
      </c>
      <c r="F8" s="248" t="str">
        <f t="shared" ref="F8:BR8" si="3">"("&amp;LOWER(SUBSTITUTE(ADDRESS(1,F7,4),"1",""))&amp;")"</f>
        <v>(b)</v>
      </c>
      <c r="G8" s="248" t="str">
        <f t="shared" si="3"/>
        <v>(c)</v>
      </c>
      <c r="H8" s="248" t="str">
        <f t="shared" si="3"/>
        <v>(d)</v>
      </c>
      <c r="I8" s="248" t="str">
        <f t="shared" si="3"/>
        <v>(e)</v>
      </c>
      <c r="J8" s="248" t="str">
        <f t="shared" si="3"/>
        <v>(f)</v>
      </c>
      <c r="K8" s="248" t="str">
        <f t="shared" si="3"/>
        <v>(g)</v>
      </c>
      <c r="L8" s="248" t="str">
        <f t="shared" si="3"/>
        <v>(h)</v>
      </c>
      <c r="M8" s="249" t="str">
        <f t="shared" si="3"/>
        <v>(i)</v>
      </c>
      <c r="N8" s="249" t="str">
        <f t="shared" si="3"/>
        <v>(j)</v>
      </c>
      <c r="O8" s="249" t="str">
        <f t="shared" si="3"/>
        <v>(k)</v>
      </c>
      <c r="P8" s="249" t="str">
        <f t="shared" si="3"/>
        <v>(l)</v>
      </c>
      <c r="Q8" s="249" t="str">
        <f t="shared" si="3"/>
        <v>(m)</v>
      </c>
      <c r="R8" s="250" t="str">
        <f t="shared" si="3"/>
        <v>(n)</v>
      </c>
      <c r="S8" s="250" t="str">
        <f t="shared" si="3"/>
        <v>(o)</v>
      </c>
      <c r="T8" s="250" t="str">
        <f t="shared" si="3"/>
        <v>(p)</v>
      </c>
      <c r="U8" s="250" t="str">
        <f t="shared" si="3"/>
        <v>(q)</v>
      </c>
      <c r="V8" s="250" t="str">
        <f t="shared" si="3"/>
        <v>(r)</v>
      </c>
      <c r="W8" s="250" t="str">
        <f t="shared" si="3"/>
        <v>(s)</v>
      </c>
      <c r="X8" s="249" t="str">
        <f t="shared" si="3"/>
        <v>(t)</v>
      </c>
      <c r="Y8" s="249" t="str">
        <f t="shared" si="3"/>
        <v>(u)</v>
      </c>
      <c r="Z8" s="249" t="str">
        <f t="shared" si="3"/>
        <v>(v)</v>
      </c>
      <c r="AA8" s="249" t="str">
        <f t="shared" si="3"/>
        <v>(w)</v>
      </c>
      <c r="AB8" s="250" t="str">
        <f t="shared" si="3"/>
        <v>(x)</v>
      </c>
      <c r="AC8" s="250" t="str">
        <f t="shared" si="3"/>
        <v>(y)</v>
      </c>
      <c r="AD8" s="250" t="str">
        <f t="shared" si="3"/>
        <v>(z)</v>
      </c>
      <c r="AE8" s="250" t="str">
        <f t="shared" si="3"/>
        <v>(aa)</v>
      </c>
      <c r="AF8" s="250" t="str">
        <f t="shared" si="3"/>
        <v>(ab)</v>
      </c>
      <c r="AG8" s="249" t="str">
        <f t="shared" si="3"/>
        <v>(ac)</v>
      </c>
      <c r="AH8" s="249" t="str">
        <f t="shared" si="3"/>
        <v>(ad)</v>
      </c>
      <c r="AI8" s="249" t="str">
        <f t="shared" si="3"/>
        <v>(ae)</v>
      </c>
      <c r="AJ8" s="249" t="str">
        <f t="shared" si="3"/>
        <v>(af)</v>
      </c>
      <c r="AK8" s="251" t="str">
        <f t="shared" si="3"/>
        <v>(ag)</v>
      </c>
      <c r="AL8" s="252" t="str">
        <f t="shared" si="3"/>
        <v>(ah)</v>
      </c>
      <c r="AM8" s="253" t="str">
        <f t="shared" si="3"/>
        <v>(ai)</v>
      </c>
      <c r="AN8" s="254" t="str">
        <f t="shared" si="3"/>
        <v>(aj)</v>
      </c>
      <c r="AO8" s="251" t="str">
        <f t="shared" si="3"/>
        <v>(ak)</v>
      </c>
      <c r="AP8" s="251" t="str">
        <f t="shared" si="3"/>
        <v>(al)</v>
      </c>
      <c r="AQ8" s="251" t="str">
        <f t="shared" si="3"/>
        <v>(am)</v>
      </c>
      <c r="AR8" s="251" t="str">
        <f t="shared" si="3"/>
        <v>(an)</v>
      </c>
      <c r="AS8" s="251" t="str">
        <f t="shared" si="3"/>
        <v>(ao)</v>
      </c>
      <c r="AT8" s="251" t="str">
        <f t="shared" si="3"/>
        <v>(ap)</v>
      </c>
      <c r="AU8" s="252" t="str">
        <f t="shared" si="3"/>
        <v>(aq)</v>
      </c>
      <c r="AV8" s="252" t="str">
        <f t="shared" si="3"/>
        <v>(ar)</v>
      </c>
      <c r="AW8" s="252" t="str">
        <f t="shared" si="3"/>
        <v>(as)</v>
      </c>
      <c r="AX8" s="252" t="str">
        <f t="shared" si="3"/>
        <v>(at)</v>
      </c>
      <c r="AY8" s="252" t="str">
        <f t="shared" ref="AY8" si="4">"("&amp;LOWER(SUBSTITUTE(ADDRESS(1,AY7,4),"1",""))&amp;")"</f>
        <v>(at)</v>
      </c>
      <c r="AZ8" s="252" t="str">
        <f t="shared" si="3"/>
        <v>(au)</v>
      </c>
      <c r="BA8" s="252" t="str">
        <f t="shared" si="3"/>
        <v>(av)</v>
      </c>
      <c r="BB8" s="253" t="str">
        <f t="shared" si="3"/>
        <v>(aw)</v>
      </c>
      <c r="BC8" s="253" t="str">
        <f t="shared" si="3"/>
        <v>(ax)</v>
      </c>
      <c r="BD8" s="253" t="str">
        <f t="shared" si="3"/>
        <v>(ay)</v>
      </c>
      <c r="BE8" s="253" t="str">
        <f t="shared" si="3"/>
        <v>(az)</v>
      </c>
      <c r="BF8" s="253" t="str">
        <f t="shared" si="3"/>
        <v>(ba)</v>
      </c>
      <c r="BG8" s="255" t="str">
        <f t="shared" si="3"/>
        <v>(bb)</v>
      </c>
      <c r="BH8" s="254" t="str">
        <f t="shared" si="3"/>
        <v>(bc)</v>
      </c>
      <c r="BI8" s="254" t="str">
        <f t="shared" si="3"/>
        <v>(bd)</v>
      </c>
      <c r="BJ8" s="254" t="str">
        <f t="shared" si="3"/>
        <v>(be)</v>
      </c>
      <c r="BK8" s="254" t="str">
        <f t="shared" si="3"/>
        <v>(bf)</v>
      </c>
      <c r="BL8" s="254" t="str">
        <f t="shared" si="3"/>
        <v>(bg)</v>
      </c>
      <c r="BM8" s="256" t="str">
        <f t="shared" si="3"/>
        <v>(bh)</v>
      </c>
      <c r="BN8" s="251" t="str">
        <f t="shared" si="3"/>
        <v>(bi)</v>
      </c>
      <c r="BO8" s="252" t="str">
        <f t="shared" si="3"/>
        <v>(bj)</v>
      </c>
      <c r="BP8" s="253" t="str">
        <f t="shared" si="3"/>
        <v>(bk)</v>
      </c>
      <c r="BQ8" s="254" t="str">
        <f t="shared" si="3"/>
        <v>(bl)</v>
      </c>
      <c r="BR8" s="257" t="str">
        <f t="shared" si="3"/>
        <v>(bm)</v>
      </c>
      <c r="BS8" s="258" t="str">
        <f t="shared" ref="BS8:CX8" si="5">"("&amp;LOWER(SUBSTITUTE(ADDRESS(1,BS7,4),"1",""))&amp;")"</f>
        <v>(bn)</v>
      </c>
      <c r="BT8" s="259" t="str">
        <f t="shared" si="5"/>
        <v>(bo)</v>
      </c>
      <c r="BW8" s="250" t="str">
        <f t="shared" si="5"/>
        <v>(bp)</v>
      </c>
      <c r="BX8" s="250" t="str">
        <f t="shared" si="5"/>
        <v>(bq)</v>
      </c>
      <c r="BY8" s="250" t="str">
        <f t="shared" si="5"/>
        <v>(br)</v>
      </c>
      <c r="BZ8" s="250" t="str">
        <f t="shared" si="5"/>
        <v>(bs)</v>
      </c>
      <c r="CA8" s="250" t="str">
        <f t="shared" si="5"/>
        <v>(bt)</v>
      </c>
      <c r="CB8" s="250" t="str">
        <f t="shared" si="5"/>
        <v>(bu)</v>
      </c>
      <c r="CC8" s="250" t="str">
        <f t="shared" si="5"/>
        <v>(bv)</v>
      </c>
      <c r="CD8" s="250" t="str">
        <f t="shared" si="5"/>
        <v>(bw)</v>
      </c>
      <c r="CE8" s="250" t="str">
        <f t="shared" si="5"/>
        <v>(bx)</v>
      </c>
      <c r="CF8" s="250" t="str">
        <f t="shared" si="5"/>
        <v>(by)</v>
      </c>
      <c r="CG8" s="250" t="str">
        <f t="shared" si="5"/>
        <v>(bz)</v>
      </c>
      <c r="CH8" s="250" t="str">
        <f t="shared" si="5"/>
        <v>(ca)</v>
      </c>
      <c r="CI8" s="250" t="str">
        <f t="shared" si="5"/>
        <v>(cb)</v>
      </c>
      <c r="CJ8" s="250" t="str">
        <f t="shared" si="5"/>
        <v>(cc)</v>
      </c>
      <c r="CK8" s="251" t="str">
        <f t="shared" si="5"/>
        <v>(cd)</v>
      </c>
      <c r="CL8" s="252" t="str">
        <f t="shared" si="5"/>
        <v>(ce)</v>
      </c>
      <c r="CM8" s="253" t="str">
        <f t="shared" si="5"/>
        <v>(cf)</v>
      </c>
      <c r="CN8" s="254" t="str">
        <f t="shared" si="5"/>
        <v>(cg)</v>
      </c>
      <c r="CO8" s="251" t="str">
        <f t="shared" si="5"/>
        <v>(ch)</v>
      </c>
      <c r="CP8" s="252" t="str">
        <f t="shared" si="5"/>
        <v>(ci)</v>
      </c>
      <c r="CQ8" s="253" t="str">
        <f t="shared" si="5"/>
        <v>(cj)</v>
      </c>
      <c r="CR8" s="254" t="str">
        <f t="shared" si="5"/>
        <v>(ck)</v>
      </c>
      <c r="CS8" s="260" t="str">
        <f t="shared" si="5"/>
        <v>(cl)</v>
      </c>
      <c r="CT8" s="260" t="str">
        <f t="shared" si="5"/>
        <v>(cm)</v>
      </c>
      <c r="CU8" s="251" t="str">
        <f t="shared" si="5"/>
        <v>(cn)</v>
      </c>
      <c r="CV8" s="252" t="str">
        <f t="shared" si="5"/>
        <v>(co)</v>
      </c>
      <c r="CW8" s="253" t="str">
        <f t="shared" si="5"/>
        <v>(cp)</v>
      </c>
      <c r="CX8" s="254" t="str">
        <f t="shared" si="5"/>
        <v>(cq)</v>
      </c>
    </row>
    <row r="9" spans="2:102" s="47" customFormat="1" x14ac:dyDescent="0.25">
      <c r="B9" s="261" t="s">
        <v>245</v>
      </c>
      <c r="C9" s="261" t="s">
        <v>1448</v>
      </c>
      <c r="D9" s="262"/>
      <c r="E9" s="262"/>
      <c r="F9" s="262"/>
      <c r="G9" s="262"/>
      <c r="H9" s="262"/>
      <c r="I9" s="262"/>
      <c r="J9" s="262"/>
      <c r="K9" s="263"/>
      <c r="L9" s="262"/>
      <c r="M9" s="262"/>
      <c r="N9" s="264"/>
      <c r="O9" s="264"/>
      <c r="P9" s="264"/>
      <c r="Q9" s="264"/>
      <c r="R9" s="262"/>
      <c r="S9" s="262"/>
      <c r="T9" s="265"/>
      <c r="U9" s="265"/>
      <c r="V9" s="265"/>
      <c r="W9" s="265"/>
      <c r="X9" s="263"/>
      <c r="Y9" s="263"/>
      <c r="Z9" s="263"/>
      <c r="AA9" s="263"/>
      <c r="AB9" s="266"/>
      <c r="AC9" s="266"/>
      <c r="AD9" s="266"/>
      <c r="AE9" s="266"/>
      <c r="AF9" s="263"/>
      <c r="AG9" s="263"/>
      <c r="AH9" s="263"/>
      <c r="AI9" s="263"/>
      <c r="AJ9" s="263"/>
      <c r="AK9" s="263"/>
      <c r="AL9" s="263"/>
      <c r="AM9" s="263"/>
      <c r="AN9" s="263"/>
      <c r="AO9" s="262"/>
      <c r="AP9" s="262"/>
      <c r="AQ9" s="267"/>
      <c r="AR9" s="262"/>
      <c r="AS9" s="266"/>
      <c r="AT9" s="262"/>
      <c r="AU9" s="262"/>
      <c r="AV9" s="262"/>
      <c r="AW9" s="265"/>
      <c r="AX9" s="262"/>
      <c r="AY9" s="266"/>
      <c r="AZ9" s="266"/>
      <c r="BA9" s="262"/>
      <c r="BB9" s="262"/>
      <c r="BC9" s="262"/>
      <c r="BD9" s="265"/>
      <c r="BE9" s="262"/>
      <c r="BF9" s="266"/>
      <c r="BG9" s="262"/>
      <c r="BH9" s="262"/>
      <c r="BI9" s="262"/>
      <c r="BJ9" s="265"/>
      <c r="BK9" s="262"/>
      <c r="BL9" s="266"/>
      <c r="BM9" s="262"/>
      <c r="BN9" s="263"/>
      <c r="BO9" s="266"/>
      <c r="BP9" s="266"/>
      <c r="BQ9" s="266"/>
      <c r="BR9" s="268"/>
      <c r="BS9" s="262"/>
      <c r="BT9" s="269"/>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row>
    <row r="10" spans="2:102" s="47" customFormat="1" ht="18" customHeight="1" x14ac:dyDescent="0.25">
      <c r="B10" t="str">
        <f>D10&amp;"_"&amp;E10&amp;"_"&amp;F10&amp;"_"&amp;G10&amp;"_"&amp;H10&amp;"_"&amp;I10&amp;"_"&amp;J10</f>
        <v>NSG_Residential_Home Energy Rebate_Standard Rebate_Advanced Thermostat_Boiler (Replace Manual) - Non DI_SF</v>
      </c>
      <c r="C10" s="47" t="str">
        <f t="shared" ref="C10:C73" si="6">H10&amp;"_"&amp;I10&amp;"_"&amp;J10</f>
        <v>Advanced Thermostat_Boiler (Replace Manual) - Non DI_SF</v>
      </c>
      <c r="D10" s="270" t="s">
        <v>1787</v>
      </c>
      <c r="E10" s="270" t="s">
        <v>2</v>
      </c>
      <c r="F10" s="270" t="s">
        <v>1417</v>
      </c>
      <c r="G10" s="270" t="s">
        <v>1418</v>
      </c>
      <c r="H10" s="270" t="s">
        <v>7</v>
      </c>
      <c r="I10" s="270" t="s">
        <v>1410</v>
      </c>
      <c r="J10" s="270" t="s">
        <v>409</v>
      </c>
      <c r="K10" s="263">
        <v>1</v>
      </c>
      <c r="L10" s="263" t="str">
        <f ca="1">IFERROR(INDEX(Algorithms!J:J,MATCH($C10&amp;"_Therm Saved per Unit",Algorithms!$A:$A,0)),"n/a")</f>
        <v>5.3.16</v>
      </c>
      <c r="M10" s="263" t="str">
        <f>IFERROR(INDEX('Measure Level Detail'!$N:$N,MATCH($B10,'Measure Level Detail'!$B:$B,0)),0)</f>
        <v>each</v>
      </c>
      <c r="N10" s="271">
        <f>IFERROR(INDEX('Measure Level Detail'!$P:$P,MATCH($B10&amp;"_"&amp;N$3,'Measure Level Detail'!$C:$C,0)),0)</f>
        <v>800</v>
      </c>
      <c r="O10" s="271">
        <f>IFERROR(INDEX('Measure Level Detail'!$P:$P,MATCH($B10&amp;"_"&amp;O$3,'Measure Level Detail'!$C:$C,0)),0)</f>
        <v>800</v>
      </c>
      <c r="P10" s="271">
        <f>IFERROR(INDEX('Measure Level Detail'!$P:$P,MATCH($B10&amp;"_"&amp;P$3,'Measure Level Detail'!$C:$C,0)),0)</f>
        <v>800</v>
      </c>
      <c r="Q10" s="271">
        <f>IFERROR(INDEX('Measure Level Detail'!$P:$P,MATCH($B10&amp;"_"&amp;Q$3,'Measure Level Detail'!$C:$C,0)),0)</f>
        <v>800</v>
      </c>
      <c r="R10" s="263" t="str">
        <f ca="1">IFERROR(INDEX(Algorithms!K:K,MATCH($C10&amp;"_Therm Saved per Unit",Algorithms!$A:$A,0)),"n/a")</f>
        <v>RS-HVC-ADTH-V09-240101</v>
      </c>
      <c r="S10" s="262"/>
      <c r="T10" s="272">
        <v>138.99600000000001</v>
      </c>
      <c r="U10" s="272">
        <v>138.99600000000001</v>
      </c>
      <c r="V10" s="272">
        <v>138.99600000000001</v>
      </c>
      <c r="W10" s="272">
        <v>138.99600000000001</v>
      </c>
      <c r="X10" s="273">
        <f>IFERROR(INDEX('Measure Level Detail'!$R:$R,MATCH($B10&amp;"_"&amp;X$3,'Measure Level Detail'!$C:$C,0)),0)</f>
        <v>0.9</v>
      </c>
      <c r="Y10" s="273">
        <f>IFERROR(INDEX('Measure Level Detail'!$R:$R,MATCH($B10&amp;"_"&amp;Y$3,'Measure Level Detail'!$C:$C,0)),0)</f>
        <v>0.9</v>
      </c>
      <c r="Z10" s="273">
        <f>IFERROR(INDEX('Measure Level Detail'!$R:$R,MATCH($B10&amp;"_"&amp;Z$3,'Measure Level Detail'!$C:$C,0)),0)</f>
        <v>0.9</v>
      </c>
      <c r="AA10" s="273">
        <f>IFERROR(INDEX('Measure Level Detail'!$R:$R,MATCH($B10&amp;"_"&amp;AA$3,'Measure Level Detail'!$C:$C,0)),0)</f>
        <v>0.9</v>
      </c>
      <c r="AB10" s="266">
        <f t="shared" ref="AB10:AB73" si="7">N10*T10*X10</f>
        <v>100077.12000000001</v>
      </c>
      <c r="AC10" s="266">
        <f t="shared" ref="AC10:AC73" si="8">O10*U10*Y10</f>
        <v>100077.12000000001</v>
      </c>
      <c r="AD10" s="266">
        <f t="shared" ref="AD10:AD73" si="9">P10*V10*Z10</f>
        <v>100077.12000000001</v>
      </c>
      <c r="AE10" s="266">
        <f t="shared" ref="AE10:AE73" si="10">Q10*W10*AA10</f>
        <v>100077.12000000001</v>
      </c>
      <c r="AF10" s="266">
        <f t="shared" ref="AF10:AF73" si="11">AB10+AC10+AD10+AE10</f>
        <v>400308.48000000004</v>
      </c>
      <c r="AG10" s="274">
        <v>0.9</v>
      </c>
      <c r="AH10" s="274">
        <v>0.9</v>
      </c>
      <c r="AI10" s="710">
        <v>0.89</v>
      </c>
      <c r="AJ10" s="710">
        <v>0.89</v>
      </c>
      <c r="AK10" s="274">
        <f t="shared" ref="AK10:AK73" si="12">IF(AG10=X10,X10,
IF(AG10&gt;X10, IF(AG10-X10&gt;IF($E10="Income Eligible",0,10%),X10+(AG10-(X10+IF($E10="Income Eligible",0,10%))),X10),
IF(X10-AG10&gt;IF($E10="Income Eligible",0,10%),X10-((X10-IF($E10="Income Eligible",0,10%))-AG10),X10)))</f>
        <v>0.9</v>
      </c>
      <c r="AL10" s="274">
        <f t="shared" ref="AL10:AL73" si="13">IF(AH10=Y10,Y10,
IF(AH10&gt;Y10, IF(AH10-Y10&gt;IF($E10="Income Eligible",0,10%),Y10+(AH10-(Y10+IF($E10="Income Eligible",0,10%))),Y10),
IF(Y10-AH10&gt;IF($E10="Income Eligible",0,10%),Y10-((Y10-IF($E10="Income Eligible",0,10%))-AH10),Y10)))</f>
        <v>0.9</v>
      </c>
      <c r="AM10" s="274">
        <f t="shared" ref="AM10:AM73" si="14">IF(AI10=Z10,Z10,
IF(AI10&gt;Z10, IF(AI10-Z10&gt;IF($E10="Income Eligible",0,10%),Z10+(AI10-(Z10+IF($E10="Income Eligible",0,10%))),Z10),
IF(Z10-AI10&gt;IF($E10="Income Eligible",0,10%),Z10-((Z10-IF($E10="Income Eligible",0,10%))-AI10),Z10)))</f>
        <v>0.9</v>
      </c>
      <c r="AN10" s="274">
        <f t="shared" ref="AN10:AN73" si="15">IF(AJ10=AA10,AA10,
IF(AJ10&gt;AA10, IF(AJ10-AA10&gt;IF($E10="Income Eligible",0,10%),AA10+(AJ10-(AA10+IF($E10="Income Eligible",0,10%))),AA10),
IF(AA10-AJ10&gt;IF($E10="Income Eligible",0,10%),AA10-((AA10-IF($E10="Income Eligible",0,10%))-AJ10),AA10)))</f>
        <v>0.9</v>
      </c>
      <c r="AO10" s="262"/>
      <c r="AP10" s="262"/>
      <c r="AQ10" s="267">
        <v>151.47</v>
      </c>
      <c r="AR10" s="262"/>
      <c r="AS10" s="266">
        <f t="shared" ref="AS10:AS73" si="16">N10*AQ10*AK10</f>
        <v>109058.40000000001</v>
      </c>
      <c r="AT10" s="264">
        <f t="shared" ref="AT10:AT73" si="17">IF(AS10=0,0,AS10-AB10)</f>
        <v>8981.2799999999988</v>
      </c>
      <c r="AU10" s="262"/>
      <c r="AV10" s="262"/>
      <c r="AW10" s="265">
        <v>151.47</v>
      </c>
      <c r="AX10" s="164" t="s">
        <v>1469</v>
      </c>
      <c r="AY10" s="266">
        <v>109058.4</v>
      </c>
      <c r="AZ10" s="266">
        <f>O10*AW10*AL10</f>
        <v>109058.40000000001</v>
      </c>
      <c r="BA10" s="264">
        <f t="shared" ref="BA10:BA73" si="18">IF(AZ10=0,0,AZ10-AC10)</f>
        <v>8981.2799999999988</v>
      </c>
      <c r="BB10" s="262"/>
      <c r="BC10" s="262"/>
      <c r="BD10" s="265">
        <f ca="1">IFERROR(INDEX(Algorithms!$G:$G,MATCH($C10&amp;"_Therm Saved per Unit",Algorithms!$A:$A,0)),0)</f>
        <v>151.47</v>
      </c>
      <c r="BE10" s="164" t="str">
        <f ca="1">IFERROR(INDEX('v12 Revisions'!$P$29:$P$186, MATCH('Measure-Level Adj Gas'!$L10, 'v12 Revisions'!$D$29:$D$186,0)),"")</f>
        <v>n/a - FLH not in fossil fuel energy savings algorithm.</v>
      </c>
      <c r="BF10" s="266">
        <f t="shared" ref="BF10:BF73" ca="1" si="19">P10*BD10*AM10</f>
        <v>109058.40000000001</v>
      </c>
      <c r="BG10" s="264">
        <f t="shared" ref="BG10:BG73" ca="1" si="20">IF(BF10=0,0,BF10-AD10)</f>
        <v>8981.2799999999988</v>
      </c>
      <c r="BH10" s="262"/>
      <c r="BI10" s="262"/>
      <c r="BJ10" s="265">
        <f ca="1">IFERROR(INDEX(Algorithms!$G:$G,MATCH($C10&amp;"_Therm Saved per Unit",Algorithms!$A:$A,0)),0)</f>
        <v>151.47</v>
      </c>
      <c r="BK10" s="164"/>
      <c r="BL10" s="266">
        <f t="shared" ref="BL10:BL73" ca="1" si="21">Q10*BJ10*AN10</f>
        <v>109058.40000000001</v>
      </c>
      <c r="BM10" s="264">
        <f t="shared" ref="BM10:BM73" ca="1" si="22">IF(BL10=0,0,BL10-AE10)</f>
        <v>8981.2799999999988</v>
      </c>
      <c r="BN10" s="266">
        <f t="shared" ref="BN10:BN73" si="23">IF(K10=1,AS10,AB10)</f>
        <v>109058.40000000001</v>
      </c>
      <c r="BO10" s="266">
        <f>IF(K10=1,AZ10,AC10)</f>
        <v>109058.40000000001</v>
      </c>
      <c r="BP10" s="266">
        <f t="shared" ref="BP10:BP73" ca="1" si="24">IF(K10=1,BF10,AD10)</f>
        <v>109058.40000000001</v>
      </c>
      <c r="BQ10" s="266">
        <f t="shared" ref="BQ10:BQ73" ca="1" si="25">IF(K10=1,BL10,AE10)</f>
        <v>109058.40000000001</v>
      </c>
      <c r="BR10" s="268">
        <f t="shared" ref="BR10:BR73" ca="1" si="26">BN10+BO10+BP10+BQ10</f>
        <v>436233.60000000003</v>
      </c>
      <c r="BS10" s="262" t="s">
        <v>99</v>
      </c>
      <c r="BT10" s="164"/>
      <c r="BW10" s="266">
        <f t="shared" ref="BW10:BW73" si="27">N10*T10*X10</f>
        <v>100077.12000000001</v>
      </c>
      <c r="BX10" s="266">
        <f t="shared" ref="BX10:BX73" si="28">O10*U10*Y10</f>
        <v>100077.12000000001</v>
      </c>
      <c r="BY10" s="266">
        <f t="shared" ref="BY10:BY73" si="29">P10*V10*Z10</f>
        <v>100077.12000000001</v>
      </c>
      <c r="BZ10" s="266">
        <f t="shared" ref="BZ10:BZ73" si="30">Q10*W10*AA10</f>
        <v>100077.12000000001</v>
      </c>
      <c r="CA10" s="266">
        <f ca="1">N10*IFERROR(INDEX(Algorithms!$G:$G,MATCH($C10&amp;"_Therm Saved per Unit- MLA",Algorithms!$A:$A,0)),0)*X10</f>
        <v>0</v>
      </c>
      <c r="CB10" s="266">
        <f ca="1">O10*IFERROR(INDEX(Algorithms!$G:$G,MATCH($C10&amp;"_Therm Saved per Unit- MLA",Algorithms!$A:$A,0)),0)*Y10</f>
        <v>0</v>
      </c>
      <c r="CC10" s="266">
        <f ca="1">P10*IFERROR(INDEX(Algorithms!$G:$G,MATCH($C10&amp;"_Therm Saved per Unit- MLA",Algorithms!$A:$A,0)),0)*Z10</f>
        <v>0</v>
      </c>
      <c r="CD10" s="266">
        <f ca="1">Q10*IFERROR(INDEX(Algorithms!$G:$G,MATCH($C10&amp;"_Therm Saved per Unit- MLA",Algorithms!$A:$A,0)),0)*AA10</f>
        <v>0</v>
      </c>
      <c r="CE10" s="266">
        <f ca="1">IFERROR(INDEX(Algorithms!$G:$G,MATCH($C10&amp;"_Lifetime (years)",Algorithms!$A:$A,0)),0)</f>
        <v>11</v>
      </c>
      <c r="CF10" s="266">
        <f ca="1">IFERROR(INDEX(Algorithms!$G:$G,MATCH($C10&amp;"_Lifetime (years) - Remaining Years",Algorithms!$A:$A,0)),0)</f>
        <v>0</v>
      </c>
      <c r="CG10" s="266">
        <f t="shared" ref="CG10:CG73" ca="1" si="31">IF($CF10=0,(BW10*$CE10),((BW10*$CF10)+(CA10*($CE10-$CF10))))</f>
        <v>1100848.32</v>
      </c>
      <c r="CH10" s="266">
        <f t="shared" ref="CH10:CH73" ca="1" si="32">IF($CF10=0,(BX10*$CE10),((BX10*$CF10)+(CB10*($CE10-$CF10))))</f>
        <v>1100848.32</v>
      </c>
      <c r="CI10" s="266">
        <f t="shared" ref="CI10:CI73" ca="1" si="33">IF($CF10=0,(BY10*$CE10),((BY10*$CF10)+(CC10*($CE10-$CF10))))</f>
        <v>1100848.32</v>
      </c>
      <c r="CJ10" s="266">
        <f t="shared" ref="CJ10:CJ73" ca="1" si="34">IF($CF10=0,(BZ10*$CE10),((BZ10*$CF10)+(CD10*($CE10-$CF10))))</f>
        <v>1100848.32</v>
      </c>
      <c r="CK10" s="266">
        <f t="shared" ref="CK10:CK73" si="35">N10*AQ10*X10</f>
        <v>109058.40000000001</v>
      </c>
      <c r="CL10" s="266">
        <f t="shared" ref="CL10:CL73" si="36">O10*AW10*Y10</f>
        <v>109058.40000000001</v>
      </c>
      <c r="CM10" s="266">
        <f t="shared" ref="CM10:CM73" ca="1" si="37">P10*BD10*Z10</f>
        <v>109058.40000000001</v>
      </c>
      <c r="CN10" s="266">
        <f t="shared" ref="CN10:CN73" ca="1" si="38">Q10*BJ10*AA10</f>
        <v>109058.40000000001</v>
      </c>
      <c r="CO10" s="266">
        <f ca="1">N10*IFERROR(INDEX(Algorithms!$G:$G,MATCH($C10&amp;"_Therm Saved per Unit- MLA",Algorithms!$A:$A,0)),0)*X10</f>
        <v>0</v>
      </c>
      <c r="CP10" s="266">
        <f ca="1">O10*IFERROR(INDEX(Algorithms!$G:$G,MATCH($C10&amp;"_Therm Saved per Unit- MLA",Algorithms!$A:$A,0)),0)*Y10</f>
        <v>0</v>
      </c>
      <c r="CQ10" s="266">
        <f ca="1">P10*IFERROR(INDEX(Algorithms!$G:$G,MATCH($C10&amp;"_Therm Saved per Unit- MLA",Algorithms!$A:$A,0)),0)*Z10</f>
        <v>0</v>
      </c>
      <c r="CR10" s="266">
        <f ca="1">Q10*IFERROR(INDEX(Algorithms!$G:$G,MATCH($C10&amp;"_Therm Saved per Unit- MLA",Algorithms!$A:$A,0)),0)*AA10</f>
        <v>0</v>
      </c>
      <c r="CS10" s="266">
        <f ca="1">IFERROR(INDEX(Algorithms!$G:$G,MATCH($C10&amp;"_Lifetime (years)",Algorithms!$A:$A,0)),0)</f>
        <v>11</v>
      </c>
      <c r="CT10" s="266">
        <f ca="1">IFERROR(INDEX(Algorithms!$G:$G,MATCH($C10&amp;"_Lifetime (years) - Remaining Years",Algorithms!$A:$A,0)),0)</f>
        <v>0</v>
      </c>
      <c r="CU10" s="266">
        <f t="shared" ref="CU10:CU73" ca="1" si="39">IF($CT10=0,(CK10*$CS10),((CK10*$CT10)+(CO10*($CS10-$CT10))))</f>
        <v>1199642.4000000001</v>
      </c>
      <c r="CV10" s="266">
        <f t="shared" ref="CV10:CV73" ca="1" si="40">IF($CT10=0,(CL10*$CS10),((CL10*$CT10)+(CP10*($CS10-$CT10))))</f>
        <v>1199642.4000000001</v>
      </c>
      <c r="CW10" s="266">
        <f t="shared" ref="CW10:CW73" ca="1" si="41">IF($CT10=0,(CM10*$CS10),((CM10*$CT10)+(CQ10*($CS10-$CT10))))</f>
        <v>1199642.4000000001</v>
      </c>
      <c r="CX10" s="266">
        <f t="shared" ref="CX10:CX73" ca="1" si="42">IF($CT10=0,(CN10*$CS10),((CN10*$CT10)+(CR10*($CS10-$CT10))))</f>
        <v>1199642.4000000001</v>
      </c>
    </row>
    <row r="11" spans="2:102" s="47" customFormat="1" ht="18" customHeight="1" x14ac:dyDescent="0.25">
      <c r="B11" t="str">
        <f t="shared" ref="B11:B74" si="43">D11&amp;"_"&amp;E11&amp;"_"&amp;F11&amp;"_"&amp;G11&amp;"_"&amp;H11&amp;"_"&amp;I11&amp;"_"&amp;J11</f>
        <v>NSG_Residential_Home Energy Jumpstart_Core_Pipe Insulation_DHW_SF</v>
      </c>
      <c r="C11" s="47" t="str">
        <f t="shared" si="6"/>
        <v>Pipe Insulation_DHW_SF</v>
      </c>
      <c r="D11" s="270" t="s">
        <v>1787</v>
      </c>
      <c r="E11" s="270" t="s">
        <v>2</v>
      </c>
      <c r="F11" s="270" t="s">
        <v>1414</v>
      </c>
      <c r="G11" s="270" t="s">
        <v>1415</v>
      </c>
      <c r="H11" s="270" t="s">
        <v>404</v>
      </c>
      <c r="I11" s="270" t="s">
        <v>1019</v>
      </c>
      <c r="J11" s="270" t="s">
        <v>409</v>
      </c>
      <c r="K11" s="263">
        <v>1</v>
      </c>
      <c r="L11" s="263" t="str">
        <f ca="1">IFERROR(INDEX(Algorithms!J:J,MATCH($C11&amp;"_Therm Saved per Unit",Algorithms!$A:$A,0)),"n/a")</f>
        <v>5.4.1</v>
      </c>
      <c r="M11" s="263" t="str">
        <f>IFERROR(INDEX('Measure Level Detail'!$N:$N,MATCH($B11,'Measure Level Detail'!$B:$B,0)),0)</f>
        <v>Feet</v>
      </c>
      <c r="N11" s="271">
        <f>IFERROR(INDEX('Measure Level Detail'!$P:$P,MATCH($B11&amp;"_"&amp;N$3,'Measure Level Detail'!$C:$C,0)),0)</f>
        <v>5208</v>
      </c>
      <c r="O11" s="271">
        <f>IFERROR(INDEX('Measure Level Detail'!$P:$P,MATCH($B11&amp;"_"&amp;O$3,'Measure Level Detail'!$C:$C,0)),0)</f>
        <v>4686</v>
      </c>
      <c r="P11" s="271">
        <f>IFERROR(INDEX('Measure Level Detail'!$P:$P,MATCH($B11&amp;"_"&amp;P$3,'Measure Level Detail'!$C:$C,0)),0)</f>
        <v>4167</v>
      </c>
      <c r="Q11" s="271">
        <f>IFERROR(INDEX('Measure Level Detail'!$P:$P,MATCH($B11&amp;"_"&amp;Q$3,'Measure Level Detail'!$C:$C,0)),0)</f>
        <v>3645</v>
      </c>
      <c r="R11" s="263" t="str">
        <f ca="1">IFERROR(INDEX(Algorithms!K:K,MATCH($C11&amp;"_Therm Saved per Unit",Algorithms!$A:$A,0)),"n/a")</f>
        <v>RS-HWE-PINS-V07-240101</v>
      </c>
      <c r="S11" s="262"/>
      <c r="T11" s="272">
        <v>0.88266670517205537</v>
      </c>
      <c r="U11" s="272">
        <v>0.88266670517205537</v>
      </c>
      <c r="V11" s="272">
        <v>0.88266670517205537</v>
      </c>
      <c r="W11" s="272">
        <v>0.88266670517205537</v>
      </c>
      <c r="X11" s="273">
        <f>IFERROR(INDEX('Measure Level Detail'!$R:$R,MATCH($B11&amp;"_"&amp;X$3,'Measure Level Detail'!$C:$C,0)),0)</f>
        <v>0.88</v>
      </c>
      <c r="Y11" s="273">
        <f>IFERROR(INDEX('Measure Level Detail'!$R:$R,MATCH($B11&amp;"_"&amp;Y$3,'Measure Level Detail'!$C:$C,0)),0)</f>
        <v>0.88</v>
      </c>
      <c r="Z11" s="273">
        <f>IFERROR(INDEX('Measure Level Detail'!$R:$R,MATCH($B11&amp;"_"&amp;Z$3,'Measure Level Detail'!$C:$C,0)),0)</f>
        <v>0.88</v>
      </c>
      <c r="AA11" s="273">
        <f>IFERROR(INDEX('Measure Level Detail'!$R:$R,MATCH($B11&amp;"_"&amp;AA$3,'Measure Level Detail'!$C:$C,0)),0)</f>
        <v>0.88</v>
      </c>
      <c r="AB11" s="266">
        <f t="shared" si="7"/>
        <v>4045.2968164717367</v>
      </c>
      <c r="AC11" s="266">
        <f t="shared" si="8"/>
        <v>3639.8350387839014</v>
      </c>
      <c r="AD11" s="266">
        <f t="shared" si="9"/>
        <v>3236.7035011977205</v>
      </c>
      <c r="AE11" s="266">
        <f t="shared" si="10"/>
        <v>2831.2417235098847</v>
      </c>
      <c r="AF11" s="266">
        <f t="shared" si="11"/>
        <v>13753.077079963245</v>
      </c>
      <c r="AG11" s="274">
        <v>0.88</v>
      </c>
      <c r="AH11" s="274">
        <v>0.88</v>
      </c>
      <c r="AI11" s="710">
        <v>0.99</v>
      </c>
      <c r="AJ11" s="710">
        <v>0.99</v>
      </c>
      <c r="AK11" s="274">
        <f t="shared" si="12"/>
        <v>0.88</v>
      </c>
      <c r="AL11" s="274">
        <f t="shared" si="13"/>
        <v>0.88</v>
      </c>
      <c r="AM11" s="274">
        <f t="shared" si="14"/>
        <v>0.89</v>
      </c>
      <c r="AN11" s="274">
        <f t="shared" si="15"/>
        <v>0.89</v>
      </c>
      <c r="AO11" s="262"/>
      <c r="AP11" s="262"/>
      <c r="AQ11" s="267">
        <v>2.4087097696290445</v>
      </c>
      <c r="AR11" s="262"/>
      <c r="AS11" s="266">
        <f t="shared" si="16"/>
        <v>11039.213222600696</v>
      </c>
      <c r="AT11" s="264">
        <f t="shared" si="17"/>
        <v>6993.9164061289594</v>
      </c>
      <c r="AU11" s="262"/>
      <c r="AV11" s="262"/>
      <c r="AW11" s="265">
        <v>2.4087097696290445</v>
      </c>
      <c r="AX11" s="164" t="s">
        <v>2392</v>
      </c>
      <c r="AY11" s="266">
        <v>9932.7483028238967</v>
      </c>
      <c r="AZ11" s="266">
        <f>O11*AW11*AL11</f>
        <v>9932.7483028238967</v>
      </c>
      <c r="BA11" s="264">
        <f t="shared" si="18"/>
        <v>6292.9132640399948</v>
      </c>
      <c r="BB11" s="262"/>
      <c r="BC11" s="262"/>
      <c r="BD11" s="265">
        <f ca="1">IFERROR(INDEX(Algorithms!$G:$G,MATCH($C11&amp;"_Therm Saved per Unit",Algorithms!$A:$A,0)),0)</f>
        <v>2.4087097696290445</v>
      </c>
      <c r="BE11" s="164">
        <f ca="1">IFERROR(INDEX('v12 Revisions'!$P$29:$P$186, MATCH('Measure-Level Adj Gas'!$L11, 'v12 Revisions'!$D$29:$D$186,0)),"")</f>
        <v>0</v>
      </c>
      <c r="BF11" s="266">
        <f t="shared" ca="1" si="19"/>
        <v>8933.0133129393635</v>
      </c>
      <c r="BG11" s="264">
        <f t="shared" ca="1" si="20"/>
        <v>5696.309811741643</v>
      </c>
      <c r="BH11" s="262"/>
      <c r="BI11" s="262"/>
      <c r="BJ11" s="265">
        <f ca="1">IFERROR(INDEX(Algorithms!$G:$G,MATCH($C11&amp;"_Therm Saved per Unit",Algorithms!$A:$A,0)),0)</f>
        <v>2.4087097696290445</v>
      </c>
      <c r="BK11" s="164"/>
      <c r="BL11" s="266">
        <f t="shared" ca="1" si="21"/>
        <v>7813.974928165102</v>
      </c>
      <c r="BM11" s="264">
        <f t="shared" ca="1" si="22"/>
        <v>4982.7332046552174</v>
      </c>
      <c r="BN11" s="266">
        <f t="shared" si="23"/>
        <v>11039.213222600696</v>
      </c>
      <c r="BO11" s="266">
        <f t="shared" ref="BO11:BO73" si="44">IF(K11=1,AZ11,AC11)</f>
        <v>9932.7483028238967</v>
      </c>
      <c r="BP11" s="266">
        <f t="shared" ca="1" si="24"/>
        <v>8933.0133129393635</v>
      </c>
      <c r="BQ11" s="266">
        <f t="shared" ca="1" si="25"/>
        <v>7813.974928165102</v>
      </c>
      <c r="BR11" s="268">
        <f t="shared" ca="1" si="26"/>
        <v>37718.949766529062</v>
      </c>
      <c r="BS11" s="262" t="s">
        <v>99</v>
      </c>
      <c r="BT11" s="164"/>
      <c r="BW11" s="266">
        <f t="shared" si="27"/>
        <v>4045.2968164717367</v>
      </c>
      <c r="BX11" s="266">
        <f t="shared" si="28"/>
        <v>3639.8350387839014</v>
      </c>
      <c r="BY11" s="266">
        <f t="shared" si="29"/>
        <v>3236.7035011977205</v>
      </c>
      <c r="BZ11" s="266">
        <f t="shared" si="30"/>
        <v>2831.2417235098847</v>
      </c>
      <c r="CA11" s="266">
        <f ca="1">N11*IFERROR(INDEX(Algorithms!$G:$G,MATCH($C11&amp;"_Therm Saved per Unit- MLA",Algorithms!$A:$A,0)),0)*X11</f>
        <v>0</v>
      </c>
      <c r="CB11" s="266">
        <f ca="1">O11*IFERROR(INDEX(Algorithms!$G:$G,MATCH($C11&amp;"_Therm Saved per Unit- MLA",Algorithms!$A:$A,0)),0)*Y11</f>
        <v>0</v>
      </c>
      <c r="CC11" s="266">
        <f ca="1">P11*IFERROR(INDEX(Algorithms!$G:$G,MATCH($C11&amp;"_Therm Saved per Unit- MLA",Algorithms!$A:$A,0)),0)*Z11</f>
        <v>0</v>
      </c>
      <c r="CD11" s="266">
        <f ca="1">Q11*IFERROR(INDEX(Algorithms!$G:$G,MATCH($C11&amp;"_Therm Saved per Unit- MLA",Algorithms!$A:$A,0)),0)*AA11</f>
        <v>0</v>
      </c>
      <c r="CE11" s="266">
        <f ca="1">IFERROR(INDEX(Algorithms!$G:$G,MATCH($C11&amp;"_Lifetime (years)",Algorithms!$A:$A,0)),0)</f>
        <v>15</v>
      </c>
      <c r="CF11" s="266">
        <f ca="1">IFERROR(INDEX(Algorithms!$G:$G,MATCH($C11&amp;"_Lifetime (years) - Remaining Years",Algorithms!$A:$A,0)),0)</f>
        <v>0</v>
      </c>
      <c r="CG11" s="266">
        <f t="shared" ca="1" si="31"/>
        <v>60679.452247076049</v>
      </c>
      <c r="CH11" s="266">
        <f t="shared" ca="1" si="32"/>
        <v>54597.52558175852</v>
      </c>
      <c r="CI11" s="266">
        <f t="shared" ca="1" si="33"/>
        <v>48550.552517965807</v>
      </c>
      <c r="CJ11" s="266">
        <f t="shared" ca="1" si="34"/>
        <v>42468.625852648271</v>
      </c>
      <c r="CK11" s="266">
        <f t="shared" si="35"/>
        <v>11039.213222600696</v>
      </c>
      <c r="CL11" s="266">
        <f t="shared" si="36"/>
        <v>9932.7483028238967</v>
      </c>
      <c r="CM11" s="266">
        <f t="shared" ca="1" si="37"/>
        <v>8832.6423768389213</v>
      </c>
      <c r="CN11" s="266">
        <f t="shared" ca="1" si="38"/>
        <v>7726.1774570621228</v>
      </c>
      <c r="CO11" s="266">
        <f ca="1">N11*IFERROR(INDEX(Algorithms!$G:$G,MATCH($C11&amp;"_Therm Saved per Unit- MLA",Algorithms!$A:$A,0)),0)*X11</f>
        <v>0</v>
      </c>
      <c r="CP11" s="266">
        <f ca="1">O11*IFERROR(INDEX(Algorithms!$G:$G,MATCH($C11&amp;"_Therm Saved per Unit- MLA",Algorithms!$A:$A,0)),0)*Y11</f>
        <v>0</v>
      </c>
      <c r="CQ11" s="266">
        <f ca="1">P11*IFERROR(INDEX(Algorithms!$G:$G,MATCH($C11&amp;"_Therm Saved per Unit- MLA",Algorithms!$A:$A,0)),0)*Z11</f>
        <v>0</v>
      </c>
      <c r="CR11" s="266">
        <f ca="1">Q11*IFERROR(INDEX(Algorithms!$G:$G,MATCH($C11&amp;"_Therm Saved per Unit- MLA",Algorithms!$A:$A,0)),0)*AA11</f>
        <v>0</v>
      </c>
      <c r="CS11" s="266">
        <f ca="1">IFERROR(INDEX(Algorithms!$G:$G,MATCH($C11&amp;"_Lifetime (years)",Algorithms!$A:$A,0)),0)</f>
        <v>15</v>
      </c>
      <c r="CT11" s="266">
        <f ca="1">IFERROR(INDEX(Algorithms!$G:$G,MATCH($C11&amp;"_Lifetime (years) - Remaining Years",Algorithms!$A:$A,0)),0)</f>
        <v>0</v>
      </c>
      <c r="CU11" s="266">
        <f t="shared" ca="1" si="39"/>
        <v>165588.19833901044</v>
      </c>
      <c r="CV11" s="266">
        <f t="shared" ca="1" si="40"/>
        <v>148991.22454235845</v>
      </c>
      <c r="CW11" s="266">
        <f t="shared" ca="1" si="41"/>
        <v>132489.63565258382</v>
      </c>
      <c r="CX11" s="266">
        <f t="shared" ca="1" si="42"/>
        <v>115892.66185593184</v>
      </c>
    </row>
    <row r="12" spans="2:102" s="47" customFormat="1" ht="18" customHeight="1" x14ac:dyDescent="0.25">
      <c r="B12" t="str">
        <f t="shared" si="43"/>
        <v>NSG_Residential_Home Energy Rebate_Standard Rebate_Advanced Thermostat_Furnace (Replace Manual) - Non DI_SF</v>
      </c>
      <c r="C12" s="47" t="str">
        <f t="shared" si="6"/>
        <v>Advanced Thermostat_Furnace (Replace Manual) - Non DI_SF</v>
      </c>
      <c r="D12" s="270" t="s">
        <v>1787</v>
      </c>
      <c r="E12" s="270" t="s">
        <v>2</v>
      </c>
      <c r="F12" s="270" t="s">
        <v>1417</v>
      </c>
      <c r="G12" s="270" t="s">
        <v>1418</v>
      </c>
      <c r="H12" s="270" t="s">
        <v>7</v>
      </c>
      <c r="I12" s="270" t="s">
        <v>1407</v>
      </c>
      <c r="J12" s="270" t="s">
        <v>409</v>
      </c>
      <c r="K12" s="263">
        <v>1</v>
      </c>
      <c r="L12" s="263" t="str">
        <f ca="1">IFERROR(INDEX(Algorithms!J:J,MATCH($C12&amp;"_Therm Saved per Unit",Algorithms!$A:$A,0)),"n/a")</f>
        <v>5.3.16</v>
      </c>
      <c r="M12" s="263" t="str">
        <f>IFERROR(INDEX('Measure Level Detail'!$N:$N,MATCH($B12,'Measure Level Detail'!$B:$B,0)),0)</f>
        <v>each</v>
      </c>
      <c r="N12" s="271">
        <f>IFERROR(INDEX('Measure Level Detail'!$P:$P,MATCH($B12&amp;"_"&amp;N$3,'Measure Level Detail'!$C:$C,0)),0)</f>
        <v>600</v>
      </c>
      <c r="O12" s="271">
        <f>IFERROR(INDEX('Measure Level Detail'!$P:$P,MATCH($B12&amp;"_"&amp;O$3,'Measure Level Detail'!$C:$C,0)),0)</f>
        <v>600</v>
      </c>
      <c r="P12" s="271">
        <f>IFERROR(INDEX('Measure Level Detail'!$P:$P,MATCH($B12&amp;"_"&amp;P$3,'Measure Level Detail'!$C:$C,0)),0)</f>
        <v>600</v>
      </c>
      <c r="Q12" s="271">
        <f>IFERROR(INDEX('Measure Level Detail'!$P:$P,MATCH($B12&amp;"_"&amp;Q$3,'Measure Level Detail'!$C:$C,0)),0)</f>
        <v>600</v>
      </c>
      <c r="R12" s="263" t="str">
        <f ca="1">IFERROR(INDEX(Algorithms!K:K,MATCH($C12&amp;"_Therm Saved per Unit",Algorithms!$A:$A,0)),"n/a")</f>
        <v>RS-HVC-ADTH-V09-240101</v>
      </c>
      <c r="S12" s="262"/>
      <c r="T12" s="272">
        <v>94.067999999999998</v>
      </c>
      <c r="U12" s="272">
        <v>94.067999999999998</v>
      </c>
      <c r="V12" s="272">
        <v>94.067999999999998</v>
      </c>
      <c r="W12" s="272">
        <v>94.067999999999998</v>
      </c>
      <c r="X12" s="273">
        <f>IFERROR(INDEX('Measure Level Detail'!$R:$R,MATCH($B12&amp;"_"&amp;X$3,'Measure Level Detail'!$C:$C,0)),0)</f>
        <v>0.9</v>
      </c>
      <c r="Y12" s="273">
        <f>IFERROR(INDEX('Measure Level Detail'!$R:$R,MATCH($B12&amp;"_"&amp;Y$3,'Measure Level Detail'!$C:$C,0)),0)</f>
        <v>0.9</v>
      </c>
      <c r="Z12" s="273">
        <f>IFERROR(INDEX('Measure Level Detail'!$R:$R,MATCH($B12&amp;"_"&amp;Z$3,'Measure Level Detail'!$C:$C,0)),0)</f>
        <v>0.9</v>
      </c>
      <c r="AA12" s="273">
        <f>IFERROR(INDEX('Measure Level Detail'!$R:$R,MATCH($B12&amp;"_"&amp;AA$3,'Measure Level Detail'!$C:$C,0)),0)</f>
        <v>0.9</v>
      </c>
      <c r="AB12" s="266">
        <f t="shared" si="7"/>
        <v>50796.719999999994</v>
      </c>
      <c r="AC12" s="266">
        <f t="shared" si="8"/>
        <v>50796.719999999994</v>
      </c>
      <c r="AD12" s="266">
        <f t="shared" si="9"/>
        <v>50796.719999999994</v>
      </c>
      <c r="AE12" s="266">
        <f t="shared" si="10"/>
        <v>50796.719999999994</v>
      </c>
      <c r="AF12" s="266">
        <f t="shared" si="11"/>
        <v>203186.87999999998</v>
      </c>
      <c r="AG12" s="274">
        <v>0.9</v>
      </c>
      <c r="AH12" s="274">
        <v>0.9</v>
      </c>
      <c r="AI12" s="710">
        <v>0.89</v>
      </c>
      <c r="AJ12" s="710">
        <v>0.89</v>
      </c>
      <c r="AK12" s="274">
        <f t="shared" si="12"/>
        <v>0.9</v>
      </c>
      <c r="AL12" s="274">
        <f t="shared" si="13"/>
        <v>0.9</v>
      </c>
      <c r="AM12" s="274">
        <f t="shared" si="14"/>
        <v>0.9</v>
      </c>
      <c r="AN12" s="274">
        <f t="shared" si="15"/>
        <v>0.9</v>
      </c>
      <c r="AO12" s="262"/>
      <c r="AP12" s="262"/>
      <c r="AQ12" s="267">
        <v>102.50999999999999</v>
      </c>
      <c r="AR12" s="262"/>
      <c r="AS12" s="266">
        <f t="shared" si="16"/>
        <v>55355.399999999994</v>
      </c>
      <c r="AT12" s="264">
        <f t="shared" si="17"/>
        <v>4558.68</v>
      </c>
      <c r="AU12" s="262"/>
      <c r="AV12" s="262"/>
      <c r="AW12" s="265">
        <v>102.50999999999999</v>
      </c>
      <c r="AX12" s="164" t="s">
        <v>1469</v>
      </c>
      <c r="AY12" s="266">
        <v>55355.399999999994</v>
      </c>
      <c r="AZ12" s="266">
        <f>O12*AW12*AL12</f>
        <v>55355.399999999994</v>
      </c>
      <c r="BA12" s="264">
        <f t="shared" si="18"/>
        <v>4558.68</v>
      </c>
      <c r="BB12" s="262"/>
      <c r="BC12" s="262"/>
      <c r="BD12" s="265">
        <f ca="1">IFERROR(INDEX(Algorithms!$G:$G,MATCH($C12&amp;"_Therm Saved per Unit",Algorithms!$A:$A,0)),0)</f>
        <v>102.50999999999999</v>
      </c>
      <c r="BE12" s="164" t="str">
        <f ca="1">IFERROR(INDEX('v12 Revisions'!$P$29:$P$186, MATCH('Measure-Level Adj Gas'!$L12, 'v12 Revisions'!$D$29:$D$186,0)),"")</f>
        <v>n/a - FLH not in fossil fuel energy savings algorithm.</v>
      </c>
      <c r="BF12" s="266">
        <f t="shared" ca="1" si="19"/>
        <v>55355.399999999994</v>
      </c>
      <c r="BG12" s="264">
        <f t="shared" ca="1" si="20"/>
        <v>4558.68</v>
      </c>
      <c r="BH12" s="262"/>
      <c r="BI12" s="262"/>
      <c r="BJ12" s="265">
        <f ca="1">IFERROR(INDEX(Algorithms!$G:$G,MATCH($C12&amp;"_Therm Saved per Unit",Algorithms!$A:$A,0)),0)</f>
        <v>102.50999999999999</v>
      </c>
      <c r="BK12" s="164"/>
      <c r="BL12" s="266">
        <f t="shared" ca="1" si="21"/>
        <v>55355.399999999994</v>
      </c>
      <c r="BM12" s="264">
        <f t="shared" ca="1" si="22"/>
        <v>4558.68</v>
      </c>
      <c r="BN12" s="266">
        <f t="shared" si="23"/>
        <v>55355.399999999994</v>
      </c>
      <c r="BO12" s="266">
        <f t="shared" si="44"/>
        <v>55355.399999999994</v>
      </c>
      <c r="BP12" s="266">
        <f t="shared" ca="1" si="24"/>
        <v>55355.399999999994</v>
      </c>
      <c r="BQ12" s="266">
        <f t="shared" ca="1" si="25"/>
        <v>55355.399999999994</v>
      </c>
      <c r="BR12" s="268">
        <f t="shared" ca="1" si="26"/>
        <v>221421.59999999998</v>
      </c>
      <c r="BS12" s="262" t="s">
        <v>99</v>
      </c>
      <c r="BT12" s="164"/>
      <c r="BW12" s="266">
        <f t="shared" si="27"/>
        <v>50796.719999999994</v>
      </c>
      <c r="BX12" s="266">
        <f t="shared" si="28"/>
        <v>50796.719999999994</v>
      </c>
      <c r="BY12" s="266">
        <f t="shared" si="29"/>
        <v>50796.719999999994</v>
      </c>
      <c r="BZ12" s="266">
        <f t="shared" si="30"/>
        <v>50796.719999999994</v>
      </c>
      <c r="CA12" s="266">
        <f ca="1">N12*IFERROR(INDEX(Algorithms!$G:$G,MATCH($C12&amp;"_Therm Saved per Unit- MLA",Algorithms!$A:$A,0)),0)*X12</f>
        <v>0</v>
      </c>
      <c r="CB12" s="266">
        <f ca="1">O12*IFERROR(INDEX(Algorithms!$G:$G,MATCH($C12&amp;"_Therm Saved per Unit- MLA",Algorithms!$A:$A,0)),0)*Y12</f>
        <v>0</v>
      </c>
      <c r="CC12" s="266">
        <f ca="1">P12*IFERROR(INDEX(Algorithms!$G:$G,MATCH($C12&amp;"_Therm Saved per Unit- MLA",Algorithms!$A:$A,0)),0)*Z12</f>
        <v>0</v>
      </c>
      <c r="CD12" s="266">
        <f ca="1">Q12*IFERROR(INDEX(Algorithms!$G:$G,MATCH($C12&amp;"_Therm Saved per Unit- MLA",Algorithms!$A:$A,0)),0)*AA12</f>
        <v>0</v>
      </c>
      <c r="CE12" s="266">
        <f ca="1">IFERROR(INDEX(Algorithms!$G:$G,MATCH($C12&amp;"_Lifetime (years)",Algorithms!$A:$A,0)),0)</f>
        <v>11</v>
      </c>
      <c r="CF12" s="266">
        <f ca="1">IFERROR(INDEX(Algorithms!$G:$G,MATCH($C12&amp;"_Lifetime (years) - Remaining Years",Algorithms!$A:$A,0)),0)</f>
        <v>0</v>
      </c>
      <c r="CG12" s="266">
        <f t="shared" ca="1" si="31"/>
        <v>558763.91999999993</v>
      </c>
      <c r="CH12" s="266">
        <f t="shared" ca="1" si="32"/>
        <v>558763.91999999993</v>
      </c>
      <c r="CI12" s="266">
        <f t="shared" ca="1" si="33"/>
        <v>558763.91999999993</v>
      </c>
      <c r="CJ12" s="266">
        <f t="shared" ca="1" si="34"/>
        <v>558763.91999999993</v>
      </c>
      <c r="CK12" s="266">
        <f t="shared" si="35"/>
        <v>55355.399999999994</v>
      </c>
      <c r="CL12" s="266">
        <f t="shared" si="36"/>
        <v>55355.399999999994</v>
      </c>
      <c r="CM12" s="266">
        <f t="shared" ca="1" si="37"/>
        <v>55355.399999999994</v>
      </c>
      <c r="CN12" s="266">
        <f t="shared" ca="1" si="38"/>
        <v>55355.399999999994</v>
      </c>
      <c r="CO12" s="266">
        <f ca="1">N12*IFERROR(INDEX(Algorithms!$G:$G,MATCH($C12&amp;"_Therm Saved per Unit- MLA",Algorithms!$A:$A,0)),0)*X12</f>
        <v>0</v>
      </c>
      <c r="CP12" s="266">
        <f ca="1">O12*IFERROR(INDEX(Algorithms!$G:$G,MATCH($C12&amp;"_Therm Saved per Unit- MLA",Algorithms!$A:$A,0)),0)*Y12</f>
        <v>0</v>
      </c>
      <c r="CQ12" s="266">
        <f ca="1">P12*IFERROR(INDEX(Algorithms!$G:$G,MATCH($C12&amp;"_Therm Saved per Unit- MLA",Algorithms!$A:$A,0)),0)*Z12</f>
        <v>0</v>
      </c>
      <c r="CR12" s="266">
        <f ca="1">Q12*IFERROR(INDEX(Algorithms!$G:$G,MATCH($C12&amp;"_Therm Saved per Unit- MLA",Algorithms!$A:$A,0)),0)*AA12</f>
        <v>0</v>
      </c>
      <c r="CS12" s="266">
        <f ca="1">IFERROR(INDEX(Algorithms!$G:$G,MATCH($C12&amp;"_Lifetime (years)",Algorithms!$A:$A,0)),0)</f>
        <v>11</v>
      </c>
      <c r="CT12" s="266">
        <f ca="1">IFERROR(INDEX(Algorithms!$G:$G,MATCH($C12&amp;"_Lifetime (years) - Remaining Years",Algorithms!$A:$A,0)),0)</f>
        <v>0</v>
      </c>
      <c r="CU12" s="266">
        <f t="shared" ca="1" si="39"/>
        <v>608909.39999999991</v>
      </c>
      <c r="CV12" s="266">
        <f t="shared" ca="1" si="40"/>
        <v>608909.39999999991</v>
      </c>
      <c r="CW12" s="266">
        <f t="shared" ca="1" si="41"/>
        <v>608909.39999999991</v>
      </c>
      <c r="CX12" s="266">
        <f t="shared" ca="1" si="42"/>
        <v>608909.39999999991</v>
      </c>
    </row>
    <row r="13" spans="2:102" s="47" customFormat="1" ht="18" customHeight="1" x14ac:dyDescent="0.25">
      <c r="B13" t="str">
        <f t="shared" si="43"/>
        <v>NSG_Income Eligible_Single Family_IE Kits_Pipe Insulation_IE Kit_IE</v>
      </c>
      <c r="C13" s="47" t="str">
        <f t="shared" si="6"/>
        <v>Pipe Insulation_IE Kit_IE</v>
      </c>
      <c r="D13" s="270" t="s">
        <v>1787</v>
      </c>
      <c r="E13" s="270" t="s">
        <v>325</v>
      </c>
      <c r="F13" s="270" t="s">
        <v>375</v>
      </c>
      <c r="G13" s="270" t="s">
        <v>1440</v>
      </c>
      <c r="H13" s="270" t="s">
        <v>404</v>
      </c>
      <c r="I13" s="270" t="s">
        <v>550</v>
      </c>
      <c r="J13" s="270" t="s">
        <v>551</v>
      </c>
      <c r="K13" s="263">
        <v>1</v>
      </c>
      <c r="L13" s="263" t="str">
        <f ca="1">IFERROR(INDEX(Algorithms!J:J,MATCH($C13&amp;"_Therm Saved per Unit",Algorithms!$A:$A,0)),"n/a")</f>
        <v>5.4.1</v>
      </c>
      <c r="M13" s="263" t="str">
        <f>IFERROR(INDEX('Measure Level Detail'!$N:$N,MATCH($B13,'Measure Level Detail'!$B:$B,0)),0)</f>
        <v>linear ft</v>
      </c>
      <c r="N13" s="271">
        <f>IFERROR(INDEX('Measure Level Detail'!$P:$P,MATCH($B13&amp;"_"&amp;N$3,'Measure Level Detail'!$C:$C,0)),0)</f>
        <v>3360</v>
      </c>
      <c r="O13" s="271">
        <f>IFERROR(INDEX('Measure Level Detail'!$P:$P,MATCH($B13&amp;"_"&amp;O$3,'Measure Level Detail'!$C:$C,0)),0)</f>
        <v>3360</v>
      </c>
      <c r="P13" s="271">
        <f>IFERROR(INDEX('Measure Level Detail'!$P:$P,MATCH($B13&amp;"_"&amp;P$3,'Measure Level Detail'!$C:$C,0)),0)</f>
        <v>3360</v>
      </c>
      <c r="Q13" s="271">
        <f>IFERROR(INDEX('Measure Level Detail'!$P:$P,MATCH($B13&amp;"_"&amp;Q$3,'Measure Level Detail'!$C:$C,0)),0)</f>
        <v>3360</v>
      </c>
      <c r="R13" s="263" t="str">
        <f ca="1">IFERROR(INDEX(Algorithms!K:K,MATCH($C13&amp;"_Therm Saved per Unit",Algorithms!$A:$A,0)),"n/a")</f>
        <v>RS-HWE-PINS-V07-240101</v>
      </c>
      <c r="S13" s="262"/>
      <c r="T13" s="272">
        <v>0.49429335489635107</v>
      </c>
      <c r="U13" s="272">
        <v>0.49429335489635107</v>
      </c>
      <c r="V13" s="272">
        <v>0.49429335489635107</v>
      </c>
      <c r="W13" s="272">
        <v>0.49429335489635107</v>
      </c>
      <c r="X13" s="273">
        <f>IFERROR(INDEX('Measure Level Detail'!$R:$R,MATCH($B13&amp;"_"&amp;X$3,'Measure Level Detail'!$C:$C,0)),0)</f>
        <v>1</v>
      </c>
      <c r="Y13" s="273">
        <f>IFERROR(INDEX('Measure Level Detail'!$R:$R,MATCH($B13&amp;"_"&amp;Y$3,'Measure Level Detail'!$C:$C,0)),0)</f>
        <v>1</v>
      </c>
      <c r="Z13" s="273">
        <f>IFERROR(INDEX('Measure Level Detail'!$R:$R,MATCH($B13&amp;"_"&amp;Z$3,'Measure Level Detail'!$C:$C,0)),0)</f>
        <v>1</v>
      </c>
      <c r="AA13" s="273">
        <f>IFERROR(INDEX('Measure Level Detail'!$R:$R,MATCH($B13&amp;"_"&amp;AA$3,'Measure Level Detail'!$C:$C,0)),0)</f>
        <v>1</v>
      </c>
      <c r="AB13" s="266">
        <f t="shared" si="7"/>
        <v>1660.8256724517396</v>
      </c>
      <c r="AC13" s="266">
        <f t="shared" si="8"/>
        <v>1660.8256724517396</v>
      </c>
      <c r="AD13" s="266">
        <f t="shared" si="9"/>
        <v>1660.8256724517396</v>
      </c>
      <c r="AE13" s="266">
        <f t="shared" si="10"/>
        <v>1660.8256724517396</v>
      </c>
      <c r="AF13" s="266">
        <f t="shared" si="11"/>
        <v>6643.3026898069584</v>
      </c>
      <c r="AG13" s="274">
        <v>1</v>
      </c>
      <c r="AH13" s="274">
        <v>1</v>
      </c>
      <c r="AI13" s="274">
        <v>1</v>
      </c>
      <c r="AJ13" s="274">
        <v>1</v>
      </c>
      <c r="AK13" s="274">
        <f t="shared" si="12"/>
        <v>1</v>
      </c>
      <c r="AL13" s="274">
        <f t="shared" si="13"/>
        <v>1</v>
      </c>
      <c r="AM13" s="274">
        <f t="shared" si="14"/>
        <v>1</v>
      </c>
      <c r="AN13" s="274">
        <f t="shared" si="15"/>
        <v>1</v>
      </c>
      <c r="AO13" s="262"/>
      <c r="AP13" s="262"/>
      <c r="AQ13" s="267">
        <v>1.3488774709922651</v>
      </c>
      <c r="AR13" s="262"/>
      <c r="AS13" s="266">
        <f t="shared" si="16"/>
        <v>4532.2283025340103</v>
      </c>
      <c r="AT13" s="264">
        <f t="shared" si="17"/>
        <v>2871.4026300822707</v>
      </c>
      <c r="AU13" s="262"/>
      <c r="AV13" s="262"/>
      <c r="AW13" s="265">
        <v>1.2043548848145222</v>
      </c>
      <c r="AX13" s="164" t="s">
        <v>2392</v>
      </c>
      <c r="AY13" s="266">
        <v>4532.2283025340103</v>
      </c>
      <c r="AZ13" s="266">
        <f t="shared" ref="AZ13:AZ73" si="45">O13*AW13*AL13</f>
        <v>4046.6324129767945</v>
      </c>
      <c r="BA13" s="264">
        <f t="shared" si="18"/>
        <v>2385.8067405250549</v>
      </c>
      <c r="BB13" s="262"/>
      <c r="BC13" s="262"/>
      <c r="BD13" s="265">
        <f ca="1">IFERROR(INDEX(Algorithms!$G:$G,MATCH($C13&amp;"_Therm Saved per Unit",Algorithms!$A:$A,0)),0)</f>
        <v>1.2043548848145222</v>
      </c>
      <c r="BE13" s="164">
        <f ca="1">IFERROR(INDEX('v12 Revisions'!$P$29:$P$186, MATCH('Measure-Level Adj Gas'!$L13, 'v12 Revisions'!$D$29:$D$186,0)),"")</f>
        <v>0</v>
      </c>
      <c r="BF13" s="266">
        <f t="shared" ca="1" si="19"/>
        <v>4046.6324129767945</v>
      </c>
      <c r="BG13" s="264">
        <f t="shared" ca="1" si="20"/>
        <v>2385.8067405250549</v>
      </c>
      <c r="BH13" s="262"/>
      <c r="BI13" s="262"/>
      <c r="BJ13" s="265">
        <f ca="1">IFERROR(INDEX(Algorithms!$G:$G,MATCH($C13&amp;"_Therm Saved per Unit",Algorithms!$A:$A,0)),0)</f>
        <v>1.2043548848145222</v>
      </c>
      <c r="BK13" s="164"/>
      <c r="BL13" s="266">
        <f t="shared" ca="1" si="21"/>
        <v>4046.6324129767945</v>
      </c>
      <c r="BM13" s="264">
        <f t="shared" ca="1" si="22"/>
        <v>2385.8067405250549</v>
      </c>
      <c r="BN13" s="266">
        <f t="shared" si="23"/>
        <v>4532.2283025340103</v>
      </c>
      <c r="BO13" s="266">
        <f t="shared" si="44"/>
        <v>4046.6324129767945</v>
      </c>
      <c r="BP13" s="266">
        <f t="shared" ca="1" si="24"/>
        <v>4046.6324129767945</v>
      </c>
      <c r="BQ13" s="266">
        <f t="shared" ca="1" si="25"/>
        <v>4046.6324129767945</v>
      </c>
      <c r="BR13" s="268">
        <f t="shared" ca="1" si="26"/>
        <v>16672.125541464393</v>
      </c>
      <c r="BS13" s="262" t="s">
        <v>99</v>
      </c>
      <c r="BT13" s="164"/>
      <c r="BW13" s="266">
        <f t="shared" si="27"/>
        <v>1660.8256724517396</v>
      </c>
      <c r="BX13" s="266">
        <f t="shared" si="28"/>
        <v>1660.8256724517396</v>
      </c>
      <c r="BY13" s="266">
        <f t="shared" si="29"/>
        <v>1660.8256724517396</v>
      </c>
      <c r="BZ13" s="266">
        <f t="shared" si="30"/>
        <v>1660.8256724517396</v>
      </c>
      <c r="CA13" s="266">
        <f ca="1">N13*IFERROR(INDEX(Algorithms!$G:$G,MATCH($C13&amp;"_Therm Saved per Unit- MLA",Algorithms!$A:$A,0)),0)*X13</f>
        <v>0</v>
      </c>
      <c r="CB13" s="266">
        <f ca="1">O13*IFERROR(INDEX(Algorithms!$G:$G,MATCH($C13&amp;"_Therm Saved per Unit- MLA",Algorithms!$A:$A,0)),0)*Y13</f>
        <v>0</v>
      </c>
      <c r="CC13" s="266">
        <f ca="1">P13*IFERROR(INDEX(Algorithms!$G:$G,MATCH($C13&amp;"_Therm Saved per Unit- MLA",Algorithms!$A:$A,0)),0)*Z13</f>
        <v>0</v>
      </c>
      <c r="CD13" s="266">
        <f ca="1">Q13*IFERROR(INDEX(Algorithms!$G:$G,MATCH($C13&amp;"_Therm Saved per Unit- MLA",Algorithms!$A:$A,0)),0)*AA13</f>
        <v>0</v>
      </c>
      <c r="CE13" s="266">
        <f ca="1">IFERROR(INDEX(Algorithms!$G:$G,MATCH($C13&amp;"_Lifetime (years)",Algorithms!$A:$A,0)),0)</f>
        <v>15</v>
      </c>
      <c r="CF13" s="266">
        <f ca="1">IFERROR(INDEX(Algorithms!$G:$G,MATCH($C13&amp;"_Lifetime (years) - Remaining Years",Algorithms!$A:$A,0)),0)</f>
        <v>0</v>
      </c>
      <c r="CG13" s="266">
        <f t="shared" ca="1" si="31"/>
        <v>24912.385086776092</v>
      </c>
      <c r="CH13" s="266">
        <f t="shared" ca="1" si="32"/>
        <v>24912.385086776092</v>
      </c>
      <c r="CI13" s="266">
        <f t="shared" ca="1" si="33"/>
        <v>24912.385086776092</v>
      </c>
      <c r="CJ13" s="266">
        <f t="shared" ca="1" si="34"/>
        <v>24912.385086776092</v>
      </c>
      <c r="CK13" s="266">
        <f t="shared" si="35"/>
        <v>4532.2283025340103</v>
      </c>
      <c r="CL13" s="266">
        <f t="shared" si="36"/>
        <v>4046.6324129767945</v>
      </c>
      <c r="CM13" s="266">
        <f t="shared" ca="1" si="37"/>
        <v>4046.6324129767945</v>
      </c>
      <c r="CN13" s="266">
        <f t="shared" ca="1" si="38"/>
        <v>4046.6324129767945</v>
      </c>
      <c r="CO13" s="266">
        <f ca="1">N13*IFERROR(INDEX(Algorithms!$G:$G,MATCH($C13&amp;"_Therm Saved per Unit- MLA",Algorithms!$A:$A,0)),0)*X13</f>
        <v>0</v>
      </c>
      <c r="CP13" s="266">
        <f ca="1">O13*IFERROR(INDEX(Algorithms!$G:$G,MATCH($C13&amp;"_Therm Saved per Unit- MLA",Algorithms!$A:$A,0)),0)*Y13</f>
        <v>0</v>
      </c>
      <c r="CQ13" s="266">
        <f ca="1">P13*IFERROR(INDEX(Algorithms!$G:$G,MATCH($C13&amp;"_Therm Saved per Unit- MLA",Algorithms!$A:$A,0)),0)*Z13</f>
        <v>0</v>
      </c>
      <c r="CR13" s="266">
        <f ca="1">Q13*IFERROR(INDEX(Algorithms!$G:$G,MATCH($C13&amp;"_Therm Saved per Unit- MLA",Algorithms!$A:$A,0)),0)*AA13</f>
        <v>0</v>
      </c>
      <c r="CS13" s="266">
        <f ca="1">IFERROR(INDEX(Algorithms!$G:$G,MATCH($C13&amp;"_Lifetime (years)",Algorithms!$A:$A,0)),0)</f>
        <v>15</v>
      </c>
      <c r="CT13" s="266">
        <f ca="1">IFERROR(INDEX(Algorithms!$G:$G,MATCH($C13&amp;"_Lifetime (years) - Remaining Years",Algorithms!$A:$A,0)),0)</f>
        <v>0</v>
      </c>
      <c r="CU13" s="266">
        <f t="shared" ca="1" si="39"/>
        <v>67983.424538010149</v>
      </c>
      <c r="CV13" s="266">
        <f t="shared" ca="1" si="40"/>
        <v>60699.486194651916</v>
      </c>
      <c r="CW13" s="266">
        <f t="shared" ca="1" si="41"/>
        <v>60699.486194651916</v>
      </c>
      <c r="CX13" s="266">
        <f t="shared" ca="1" si="42"/>
        <v>60699.486194651916</v>
      </c>
    </row>
    <row r="14" spans="2:102" s="47" customFormat="1" ht="18" customHeight="1" x14ac:dyDescent="0.25">
      <c r="B14" t="str">
        <f t="shared" si="43"/>
        <v>NSG_Residential_Home Energy Rebate_Standard Rebate_Advanced Thermostat_Boiler (Replace Programmable) - Non DI_SF</v>
      </c>
      <c r="C14" s="47" t="str">
        <f t="shared" si="6"/>
        <v>Advanced Thermostat_Boiler (Replace Programmable) - Non DI_SF</v>
      </c>
      <c r="D14" s="270" t="s">
        <v>1787</v>
      </c>
      <c r="E14" s="270" t="s">
        <v>2</v>
      </c>
      <c r="F14" s="270" t="s">
        <v>1417</v>
      </c>
      <c r="G14" s="270" t="s">
        <v>1418</v>
      </c>
      <c r="H14" s="270" t="s">
        <v>7</v>
      </c>
      <c r="I14" s="270" t="s">
        <v>1411</v>
      </c>
      <c r="J14" s="270" t="s">
        <v>409</v>
      </c>
      <c r="K14" s="263">
        <v>1</v>
      </c>
      <c r="L14" s="263" t="str">
        <f ca="1">IFERROR(INDEX(Algorithms!J:J,MATCH($C14&amp;"_Therm Saved per Unit",Algorithms!$A:$A,0)),"n/a")</f>
        <v>5.3.16</v>
      </c>
      <c r="M14" s="263" t="str">
        <f>IFERROR(INDEX('Measure Level Detail'!$N:$N,MATCH($B14,'Measure Level Detail'!$B:$B,0)),0)</f>
        <v>each</v>
      </c>
      <c r="N14" s="271">
        <f>IFERROR(INDEX('Measure Level Detail'!$P:$P,MATCH($B14&amp;"_"&amp;N$3,'Measure Level Detail'!$C:$C,0)),0)</f>
        <v>400</v>
      </c>
      <c r="O14" s="271">
        <f>IFERROR(INDEX('Measure Level Detail'!$P:$P,MATCH($B14&amp;"_"&amp;O$3,'Measure Level Detail'!$C:$C,0)),0)</f>
        <v>400</v>
      </c>
      <c r="P14" s="271">
        <f>IFERROR(INDEX('Measure Level Detail'!$P:$P,MATCH($B14&amp;"_"&amp;P$3,'Measure Level Detail'!$C:$C,0)),0)</f>
        <v>400</v>
      </c>
      <c r="Q14" s="271">
        <f>IFERROR(INDEX('Measure Level Detail'!$P:$P,MATCH($B14&amp;"_"&amp;Q$3,'Measure Level Detail'!$C:$C,0)),0)</f>
        <v>400</v>
      </c>
      <c r="R14" s="263" t="str">
        <f ca="1">IFERROR(INDEX(Algorithms!K:K,MATCH($C14&amp;"_Therm Saved per Unit",Algorithms!$A:$A,0)),"n/a")</f>
        <v>RS-HVC-ADTH-V09-240101</v>
      </c>
      <c r="S14" s="262"/>
      <c r="T14" s="272">
        <v>97.564499999999995</v>
      </c>
      <c r="U14" s="272">
        <v>97.564499999999995</v>
      </c>
      <c r="V14" s="272">
        <v>97.564499999999995</v>
      </c>
      <c r="W14" s="272">
        <v>97.564499999999995</v>
      </c>
      <c r="X14" s="273">
        <f>IFERROR(INDEX('Measure Level Detail'!$R:$R,MATCH($B14&amp;"_"&amp;X$3,'Measure Level Detail'!$C:$C,0)),0)</f>
        <v>0.9</v>
      </c>
      <c r="Y14" s="273">
        <f>IFERROR(INDEX('Measure Level Detail'!$R:$R,MATCH($B14&amp;"_"&amp;Y$3,'Measure Level Detail'!$C:$C,0)),0)</f>
        <v>0.9</v>
      </c>
      <c r="Z14" s="273">
        <f>IFERROR(INDEX('Measure Level Detail'!$R:$R,MATCH($B14&amp;"_"&amp;Z$3,'Measure Level Detail'!$C:$C,0)),0)</f>
        <v>0.9</v>
      </c>
      <c r="AA14" s="273">
        <f>IFERROR(INDEX('Measure Level Detail'!$R:$R,MATCH($B14&amp;"_"&amp;AA$3,'Measure Level Detail'!$C:$C,0)),0)</f>
        <v>0.9</v>
      </c>
      <c r="AB14" s="266">
        <f t="shared" si="7"/>
        <v>35123.219999999994</v>
      </c>
      <c r="AC14" s="266">
        <f t="shared" si="8"/>
        <v>35123.219999999994</v>
      </c>
      <c r="AD14" s="266">
        <f t="shared" si="9"/>
        <v>35123.219999999994</v>
      </c>
      <c r="AE14" s="266">
        <f t="shared" si="10"/>
        <v>35123.219999999994</v>
      </c>
      <c r="AF14" s="266">
        <f t="shared" si="11"/>
        <v>140492.87999999998</v>
      </c>
      <c r="AG14" s="274">
        <v>0.9</v>
      </c>
      <c r="AH14" s="274">
        <v>0.9</v>
      </c>
      <c r="AI14" s="710">
        <v>0.89</v>
      </c>
      <c r="AJ14" s="710">
        <v>0.89</v>
      </c>
      <c r="AK14" s="274">
        <f t="shared" si="12"/>
        <v>0.9</v>
      </c>
      <c r="AL14" s="274">
        <f t="shared" si="13"/>
        <v>0.9</v>
      </c>
      <c r="AM14" s="274">
        <f t="shared" si="14"/>
        <v>0.9</v>
      </c>
      <c r="AN14" s="274">
        <f t="shared" si="15"/>
        <v>0.9</v>
      </c>
      <c r="AO14" s="262"/>
      <c r="AP14" s="262"/>
      <c r="AQ14" s="267">
        <v>105.43499999999999</v>
      </c>
      <c r="AR14" s="262"/>
      <c r="AS14" s="266">
        <f t="shared" si="16"/>
        <v>37956.599999999991</v>
      </c>
      <c r="AT14" s="264">
        <f t="shared" si="17"/>
        <v>2833.3799999999974</v>
      </c>
      <c r="AU14" s="262"/>
      <c r="AV14" s="262"/>
      <c r="AW14" s="265">
        <v>105.43499999999999</v>
      </c>
      <c r="AX14" s="164" t="s">
        <v>1469</v>
      </c>
      <c r="AY14" s="266">
        <v>37956.599999999991</v>
      </c>
      <c r="AZ14" s="266">
        <f t="shared" si="45"/>
        <v>37956.599999999991</v>
      </c>
      <c r="BA14" s="264">
        <f t="shared" si="18"/>
        <v>2833.3799999999974</v>
      </c>
      <c r="BB14" s="262"/>
      <c r="BC14" s="262"/>
      <c r="BD14" s="265">
        <f ca="1">IFERROR(INDEX(Algorithms!$G:$G,MATCH($C14&amp;"_Therm Saved per Unit",Algorithms!$A:$A,0)),0)</f>
        <v>105.43499999999999</v>
      </c>
      <c r="BE14" s="164" t="str">
        <f ca="1">IFERROR(INDEX('v12 Revisions'!$P$29:$P$186, MATCH('Measure-Level Adj Gas'!$L14, 'v12 Revisions'!$D$29:$D$186,0)),"")</f>
        <v>n/a - FLH not in fossil fuel energy savings algorithm.</v>
      </c>
      <c r="BF14" s="266">
        <f t="shared" ca="1" si="19"/>
        <v>37956.599999999991</v>
      </c>
      <c r="BG14" s="264">
        <f t="shared" ca="1" si="20"/>
        <v>2833.3799999999974</v>
      </c>
      <c r="BH14" s="262"/>
      <c r="BI14" s="262"/>
      <c r="BJ14" s="265">
        <f ca="1">IFERROR(INDEX(Algorithms!$G:$G,MATCH($C14&amp;"_Therm Saved per Unit",Algorithms!$A:$A,0)),0)</f>
        <v>105.43499999999999</v>
      </c>
      <c r="BK14" s="164"/>
      <c r="BL14" s="266">
        <f t="shared" ca="1" si="21"/>
        <v>37956.599999999991</v>
      </c>
      <c r="BM14" s="264">
        <f t="shared" ca="1" si="22"/>
        <v>2833.3799999999974</v>
      </c>
      <c r="BN14" s="266">
        <f t="shared" si="23"/>
        <v>37956.599999999991</v>
      </c>
      <c r="BO14" s="266">
        <f t="shared" si="44"/>
        <v>37956.599999999991</v>
      </c>
      <c r="BP14" s="266">
        <f t="shared" ca="1" si="24"/>
        <v>37956.599999999991</v>
      </c>
      <c r="BQ14" s="266">
        <f t="shared" ca="1" si="25"/>
        <v>37956.599999999991</v>
      </c>
      <c r="BR14" s="268">
        <f t="shared" ca="1" si="26"/>
        <v>151826.39999999997</v>
      </c>
      <c r="BS14" s="262" t="s">
        <v>99</v>
      </c>
      <c r="BT14" s="164"/>
      <c r="BW14" s="266">
        <f t="shared" si="27"/>
        <v>35123.219999999994</v>
      </c>
      <c r="BX14" s="266">
        <f t="shared" si="28"/>
        <v>35123.219999999994</v>
      </c>
      <c r="BY14" s="266">
        <f t="shared" si="29"/>
        <v>35123.219999999994</v>
      </c>
      <c r="BZ14" s="266">
        <f t="shared" si="30"/>
        <v>35123.219999999994</v>
      </c>
      <c r="CA14" s="266">
        <f ca="1">N14*IFERROR(INDEX(Algorithms!$G:$G,MATCH($C14&amp;"_Therm Saved per Unit- MLA",Algorithms!$A:$A,0)),0)*X14</f>
        <v>0</v>
      </c>
      <c r="CB14" s="266">
        <f ca="1">O14*IFERROR(INDEX(Algorithms!$G:$G,MATCH($C14&amp;"_Therm Saved per Unit- MLA",Algorithms!$A:$A,0)),0)*Y14</f>
        <v>0</v>
      </c>
      <c r="CC14" s="266">
        <f ca="1">P14*IFERROR(INDEX(Algorithms!$G:$G,MATCH($C14&amp;"_Therm Saved per Unit- MLA",Algorithms!$A:$A,0)),0)*Z14</f>
        <v>0</v>
      </c>
      <c r="CD14" s="266">
        <f ca="1">Q14*IFERROR(INDEX(Algorithms!$G:$G,MATCH($C14&amp;"_Therm Saved per Unit- MLA",Algorithms!$A:$A,0)),0)*AA14</f>
        <v>0</v>
      </c>
      <c r="CE14" s="266">
        <f ca="1">IFERROR(INDEX(Algorithms!$G:$G,MATCH($C14&amp;"_Lifetime (years)",Algorithms!$A:$A,0)),0)</f>
        <v>11</v>
      </c>
      <c r="CF14" s="266">
        <f ca="1">IFERROR(INDEX(Algorithms!$G:$G,MATCH($C14&amp;"_Lifetime (years) - Remaining Years",Algorithms!$A:$A,0)),0)</f>
        <v>0</v>
      </c>
      <c r="CG14" s="266">
        <f t="shared" ca="1" si="31"/>
        <v>386355.41999999993</v>
      </c>
      <c r="CH14" s="266">
        <f t="shared" ca="1" si="32"/>
        <v>386355.41999999993</v>
      </c>
      <c r="CI14" s="266">
        <f t="shared" ca="1" si="33"/>
        <v>386355.41999999993</v>
      </c>
      <c r="CJ14" s="266">
        <f t="shared" ca="1" si="34"/>
        <v>386355.41999999993</v>
      </c>
      <c r="CK14" s="266">
        <f t="shared" si="35"/>
        <v>37956.599999999991</v>
      </c>
      <c r="CL14" s="266">
        <f t="shared" si="36"/>
        <v>37956.599999999991</v>
      </c>
      <c r="CM14" s="266">
        <f t="shared" ca="1" si="37"/>
        <v>37956.599999999991</v>
      </c>
      <c r="CN14" s="266">
        <f t="shared" ca="1" si="38"/>
        <v>37956.599999999991</v>
      </c>
      <c r="CO14" s="266">
        <f ca="1">N14*IFERROR(INDEX(Algorithms!$G:$G,MATCH($C14&amp;"_Therm Saved per Unit- MLA",Algorithms!$A:$A,0)),0)*X14</f>
        <v>0</v>
      </c>
      <c r="CP14" s="266">
        <f ca="1">O14*IFERROR(INDEX(Algorithms!$G:$G,MATCH($C14&amp;"_Therm Saved per Unit- MLA",Algorithms!$A:$A,0)),0)*Y14</f>
        <v>0</v>
      </c>
      <c r="CQ14" s="266">
        <f ca="1">P14*IFERROR(INDEX(Algorithms!$G:$G,MATCH($C14&amp;"_Therm Saved per Unit- MLA",Algorithms!$A:$A,0)),0)*Z14</f>
        <v>0</v>
      </c>
      <c r="CR14" s="266">
        <f ca="1">Q14*IFERROR(INDEX(Algorithms!$G:$G,MATCH($C14&amp;"_Therm Saved per Unit- MLA",Algorithms!$A:$A,0)),0)*AA14</f>
        <v>0</v>
      </c>
      <c r="CS14" s="266">
        <f ca="1">IFERROR(INDEX(Algorithms!$G:$G,MATCH($C14&amp;"_Lifetime (years)",Algorithms!$A:$A,0)),0)</f>
        <v>11</v>
      </c>
      <c r="CT14" s="266">
        <f ca="1">IFERROR(INDEX(Algorithms!$G:$G,MATCH($C14&amp;"_Lifetime (years) - Remaining Years",Algorithms!$A:$A,0)),0)</f>
        <v>0</v>
      </c>
      <c r="CU14" s="266">
        <f t="shared" ca="1" si="39"/>
        <v>417522.59999999992</v>
      </c>
      <c r="CV14" s="266">
        <f t="shared" ca="1" si="40"/>
        <v>417522.59999999992</v>
      </c>
      <c r="CW14" s="266">
        <f t="shared" ca="1" si="41"/>
        <v>417522.59999999992</v>
      </c>
      <c r="CX14" s="266">
        <f t="shared" ca="1" si="42"/>
        <v>417522.59999999992</v>
      </c>
    </row>
    <row r="15" spans="2:102" s="47" customFormat="1" ht="18" customHeight="1" x14ac:dyDescent="0.25">
      <c r="B15" t="str">
        <f t="shared" si="43"/>
        <v>NSG_Residential_Multi-Family_Direct Install_Pipe Insulation_DHW_MF</v>
      </c>
      <c r="C15" s="47" t="str">
        <f t="shared" si="6"/>
        <v>Pipe Insulation_DHW_MF</v>
      </c>
      <c r="D15" s="270" t="s">
        <v>1787</v>
      </c>
      <c r="E15" s="270" t="s">
        <v>2</v>
      </c>
      <c r="F15" s="270" t="s">
        <v>1422</v>
      </c>
      <c r="G15" s="270" t="s">
        <v>4</v>
      </c>
      <c r="H15" s="270" t="s">
        <v>404</v>
      </c>
      <c r="I15" s="270" t="s">
        <v>1019</v>
      </c>
      <c r="J15" s="270" t="s">
        <v>553</v>
      </c>
      <c r="K15" s="263">
        <v>1</v>
      </c>
      <c r="L15" s="263" t="str">
        <f ca="1">IFERROR(INDEX(Algorithms!J:J,MATCH($C15&amp;"_Therm Saved per Unit",Algorithms!$A:$A,0)),"n/a")</f>
        <v>5.4.1</v>
      </c>
      <c r="M15" s="263" t="str">
        <f>IFERROR(INDEX('Measure Level Detail'!$N:$N,MATCH($B15,'Measure Level Detail'!$B:$B,0)),0)</f>
        <v>ft</v>
      </c>
      <c r="N15" s="271">
        <f>IFERROR(INDEX('Measure Level Detail'!$P:$P,MATCH($B15&amp;"_"&amp;N$3,'Measure Level Detail'!$C:$C,0)),0)</f>
        <v>1449</v>
      </c>
      <c r="O15" s="271">
        <f>IFERROR(INDEX('Measure Level Detail'!$P:$P,MATCH($B15&amp;"_"&amp;O$3,'Measure Level Detail'!$C:$C,0)),0)</f>
        <v>1449</v>
      </c>
      <c r="P15" s="271">
        <f>IFERROR(INDEX('Measure Level Detail'!$P:$P,MATCH($B15&amp;"_"&amp;P$3,'Measure Level Detail'!$C:$C,0)),0)</f>
        <v>1449</v>
      </c>
      <c r="Q15" s="271">
        <f>IFERROR(INDEX('Measure Level Detail'!$P:$P,MATCH($B15&amp;"_"&amp;Q$3,'Measure Level Detail'!$C:$C,0)),0)</f>
        <v>1449</v>
      </c>
      <c r="R15" s="263" t="str">
        <f ca="1">IFERROR(INDEX(Algorithms!K:K,MATCH($C15&amp;"_Therm Saved per Unit",Algorithms!$A:$A,0)),"n/a")</f>
        <v>RS-HWE-PINS-V07-240101</v>
      </c>
      <c r="S15" s="262"/>
      <c r="T15" s="272">
        <v>0.88266670517205537</v>
      </c>
      <c r="U15" s="272">
        <v>0.88266670517205537</v>
      </c>
      <c r="V15" s="272">
        <v>0.88266670517205537</v>
      </c>
      <c r="W15" s="272">
        <v>0.88266670517205537</v>
      </c>
      <c r="X15" s="273">
        <f>IFERROR(INDEX('Measure Level Detail'!$R:$R,MATCH($B15&amp;"_"&amp;X$3,'Measure Level Detail'!$C:$C,0)),0)</f>
        <v>0.96</v>
      </c>
      <c r="Y15" s="273">
        <f>IFERROR(INDEX('Measure Level Detail'!$R:$R,MATCH($B15&amp;"_"&amp;Y$3,'Measure Level Detail'!$C:$C,0)),0)</f>
        <v>0.96</v>
      </c>
      <c r="Z15" s="273">
        <f>IFERROR(INDEX('Measure Level Detail'!$R:$R,MATCH($B15&amp;"_"&amp;Z$3,'Measure Level Detail'!$C:$C,0)),0)</f>
        <v>0.96</v>
      </c>
      <c r="AA15" s="273">
        <f>IFERROR(INDEX('Measure Level Detail'!$R:$R,MATCH($B15&amp;"_"&amp;AA$3,'Measure Level Detail'!$C:$C,0)),0)</f>
        <v>0.96</v>
      </c>
      <c r="AB15" s="266">
        <f t="shared" si="7"/>
        <v>1227.8246935625359</v>
      </c>
      <c r="AC15" s="266">
        <f t="shared" si="8"/>
        <v>1227.8246935625359</v>
      </c>
      <c r="AD15" s="266">
        <f t="shared" si="9"/>
        <v>1227.8246935625359</v>
      </c>
      <c r="AE15" s="266">
        <f t="shared" si="10"/>
        <v>1227.8246935625359</v>
      </c>
      <c r="AF15" s="266">
        <f t="shared" si="11"/>
        <v>4911.2987742501437</v>
      </c>
      <c r="AG15" s="274">
        <v>0.96</v>
      </c>
      <c r="AH15" s="274">
        <v>0.96</v>
      </c>
      <c r="AI15" s="274">
        <v>0.96</v>
      </c>
      <c r="AJ15" s="274">
        <v>0.96</v>
      </c>
      <c r="AK15" s="274">
        <f t="shared" si="12"/>
        <v>0.96</v>
      </c>
      <c r="AL15" s="274">
        <f t="shared" si="13"/>
        <v>0.96</v>
      </c>
      <c r="AM15" s="274">
        <f t="shared" si="14"/>
        <v>0.96</v>
      </c>
      <c r="AN15" s="274">
        <f t="shared" si="15"/>
        <v>0.96</v>
      </c>
      <c r="AO15" s="262"/>
      <c r="AP15" s="262"/>
      <c r="AQ15" s="267">
        <v>2.4087097696290445</v>
      </c>
      <c r="AR15" s="262"/>
      <c r="AS15" s="266">
        <f t="shared" si="16"/>
        <v>3350.6116379447858</v>
      </c>
      <c r="AT15" s="264">
        <f t="shared" si="17"/>
        <v>2122.7869443822501</v>
      </c>
      <c r="AU15" s="262"/>
      <c r="AV15" s="262"/>
      <c r="AW15" s="265">
        <v>2.4087097696290445</v>
      </c>
      <c r="AX15" s="164" t="s">
        <v>2392</v>
      </c>
      <c r="AY15" s="266">
        <v>3350.6116379447858</v>
      </c>
      <c r="AZ15" s="266">
        <f t="shared" si="45"/>
        <v>3350.6116379447858</v>
      </c>
      <c r="BA15" s="264">
        <f t="shared" si="18"/>
        <v>2122.7869443822501</v>
      </c>
      <c r="BB15" s="262"/>
      <c r="BC15" s="262"/>
      <c r="BD15" s="265">
        <f ca="1">IFERROR(INDEX(Algorithms!$G:$G,MATCH($C15&amp;"_Therm Saved per Unit",Algorithms!$A:$A,0)),0)</f>
        <v>2.4087097696290445</v>
      </c>
      <c r="BE15" s="164">
        <f ca="1">IFERROR(INDEX('v12 Revisions'!$P$29:$P$186, MATCH('Measure-Level Adj Gas'!$L15, 'v12 Revisions'!$D$29:$D$186,0)),"")</f>
        <v>0</v>
      </c>
      <c r="BF15" s="266">
        <f t="shared" ca="1" si="19"/>
        <v>3350.6116379447858</v>
      </c>
      <c r="BG15" s="264">
        <f t="shared" ca="1" si="20"/>
        <v>2122.7869443822501</v>
      </c>
      <c r="BH15" s="262"/>
      <c r="BI15" s="262"/>
      <c r="BJ15" s="265">
        <f ca="1">IFERROR(INDEX(Algorithms!$G:$G,MATCH($C15&amp;"_Therm Saved per Unit",Algorithms!$A:$A,0)),0)</f>
        <v>2.4087097696290445</v>
      </c>
      <c r="BK15" s="164"/>
      <c r="BL15" s="266">
        <f t="shared" ca="1" si="21"/>
        <v>3350.6116379447858</v>
      </c>
      <c r="BM15" s="264">
        <f t="shared" ca="1" si="22"/>
        <v>2122.7869443822501</v>
      </c>
      <c r="BN15" s="266">
        <f t="shared" si="23"/>
        <v>3350.6116379447858</v>
      </c>
      <c r="BO15" s="266">
        <f t="shared" si="44"/>
        <v>3350.6116379447858</v>
      </c>
      <c r="BP15" s="266">
        <f t="shared" ca="1" si="24"/>
        <v>3350.6116379447858</v>
      </c>
      <c r="BQ15" s="266">
        <f t="shared" ca="1" si="25"/>
        <v>3350.6116379447858</v>
      </c>
      <c r="BR15" s="268">
        <f t="shared" ca="1" si="26"/>
        <v>13402.446551779143</v>
      </c>
      <c r="BS15" s="262" t="s">
        <v>99</v>
      </c>
      <c r="BT15" s="164"/>
      <c r="BW15" s="266">
        <f t="shared" si="27"/>
        <v>1227.8246935625359</v>
      </c>
      <c r="BX15" s="266">
        <f t="shared" si="28"/>
        <v>1227.8246935625359</v>
      </c>
      <c r="BY15" s="266">
        <f t="shared" si="29"/>
        <v>1227.8246935625359</v>
      </c>
      <c r="BZ15" s="266">
        <f t="shared" si="30"/>
        <v>1227.8246935625359</v>
      </c>
      <c r="CA15" s="266">
        <f ca="1">N15*IFERROR(INDEX(Algorithms!$G:$G,MATCH($C15&amp;"_Therm Saved per Unit- MLA",Algorithms!$A:$A,0)),0)*X15</f>
        <v>0</v>
      </c>
      <c r="CB15" s="266">
        <f ca="1">O15*IFERROR(INDEX(Algorithms!$G:$G,MATCH($C15&amp;"_Therm Saved per Unit- MLA",Algorithms!$A:$A,0)),0)*Y15</f>
        <v>0</v>
      </c>
      <c r="CC15" s="266">
        <f ca="1">P15*IFERROR(INDEX(Algorithms!$G:$G,MATCH($C15&amp;"_Therm Saved per Unit- MLA",Algorithms!$A:$A,0)),0)*Z15</f>
        <v>0</v>
      </c>
      <c r="CD15" s="266">
        <f ca="1">Q15*IFERROR(INDEX(Algorithms!$G:$G,MATCH($C15&amp;"_Therm Saved per Unit- MLA",Algorithms!$A:$A,0)),0)*AA15</f>
        <v>0</v>
      </c>
      <c r="CE15" s="266">
        <f ca="1">IFERROR(INDEX(Algorithms!$G:$G,MATCH($C15&amp;"_Lifetime (years)",Algorithms!$A:$A,0)),0)</f>
        <v>15</v>
      </c>
      <c r="CF15" s="266">
        <f ca="1">IFERROR(INDEX(Algorithms!$G:$G,MATCH($C15&amp;"_Lifetime (years) - Remaining Years",Algorithms!$A:$A,0)),0)</f>
        <v>0</v>
      </c>
      <c r="CG15" s="266">
        <f t="shared" ca="1" si="31"/>
        <v>18417.370403438039</v>
      </c>
      <c r="CH15" s="266">
        <f t="shared" ca="1" si="32"/>
        <v>18417.370403438039</v>
      </c>
      <c r="CI15" s="266">
        <f t="shared" ca="1" si="33"/>
        <v>18417.370403438039</v>
      </c>
      <c r="CJ15" s="266">
        <f t="shared" ca="1" si="34"/>
        <v>18417.370403438039</v>
      </c>
      <c r="CK15" s="266">
        <f t="shared" si="35"/>
        <v>3350.6116379447858</v>
      </c>
      <c r="CL15" s="266">
        <f t="shared" si="36"/>
        <v>3350.6116379447858</v>
      </c>
      <c r="CM15" s="266">
        <f t="shared" ca="1" si="37"/>
        <v>3350.6116379447858</v>
      </c>
      <c r="CN15" s="266">
        <f t="shared" ca="1" si="38"/>
        <v>3350.6116379447858</v>
      </c>
      <c r="CO15" s="266">
        <f ca="1">N15*IFERROR(INDEX(Algorithms!$G:$G,MATCH($C15&amp;"_Therm Saved per Unit- MLA",Algorithms!$A:$A,0)),0)*X15</f>
        <v>0</v>
      </c>
      <c r="CP15" s="266">
        <f ca="1">O15*IFERROR(INDEX(Algorithms!$G:$G,MATCH($C15&amp;"_Therm Saved per Unit- MLA",Algorithms!$A:$A,0)),0)*Y15</f>
        <v>0</v>
      </c>
      <c r="CQ15" s="266">
        <f ca="1">P15*IFERROR(INDEX(Algorithms!$G:$G,MATCH($C15&amp;"_Therm Saved per Unit- MLA",Algorithms!$A:$A,0)),0)*Z15</f>
        <v>0</v>
      </c>
      <c r="CR15" s="266">
        <f ca="1">Q15*IFERROR(INDEX(Algorithms!$G:$G,MATCH($C15&amp;"_Therm Saved per Unit- MLA",Algorithms!$A:$A,0)),0)*AA15</f>
        <v>0</v>
      </c>
      <c r="CS15" s="266">
        <f ca="1">IFERROR(INDEX(Algorithms!$G:$G,MATCH($C15&amp;"_Lifetime (years)",Algorithms!$A:$A,0)),0)</f>
        <v>15</v>
      </c>
      <c r="CT15" s="266">
        <f ca="1">IFERROR(INDEX(Algorithms!$G:$G,MATCH($C15&amp;"_Lifetime (years) - Remaining Years",Algorithms!$A:$A,0)),0)</f>
        <v>0</v>
      </c>
      <c r="CU15" s="266">
        <f t="shared" ca="1" si="39"/>
        <v>50259.174569171788</v>
      </c>
      <c r="CV15" s="266">
        <f t="shared" ca="1" si="40"/>
        <v>50259.174569171788</v>
      </c>
      <c r="CW15" s="266">
        <f t="shared" ca="1" si="41"/>
        <v>50259.174569171788</v>
      </c>
      <c r="CX15" s="266">
        <f t="shared" ca="1" si="42"/>
        <v>50259.174569171788</v>
      </c>
    </row>
    <row r="16" spans="2:102" s="47" customFormat="1" ht="18" customHeight="1" x14ac:dyDescent="0.25">
      <c r="B16" t="str">
        <f t="shared" si="43"/>
        <v>NSG_Residential_Home Energy Rebate_Standard Rebate_Advanced Thermostat_Furnace (Replace Programmable) - Non DI_SF</v>
      </c>
      <c r="C16" s="47" t="str">
        <f t="shared" si="6"/>
        <v>Advanced Thermostat_Furnace (Replace Programmable) - Non DI_SF</v>
      </c>
      <c r="D16" s="270" t="s">
        <v>1787</v>
      </c>
      <c r="E16" s="270" t="s">
        <v>2</v>
      </c>
      <c r="F16" s="270" t="s">
        <v>1417</v>
      </c>
      <c r="G16" s="270" t="s">
        <v>1418</v>
      </c>
      <c r="H16" s="270" t="s">
        <v>7</v>
      </c>
      <c r="I16" s="270" t="s">
        <v>1408</v>
      </c>
      <c r="J16" s="270" t="s">
        <v>409</v>
      </c>
      <c r="K16" s="263">
        <v>1</v>
      </c>
      <c r="L16" s="263" t="str">
        <f ca="1">IFERROR(INDEX(Algorithms!J:J,MATCH($C16&amp;"_Therm Saved per Unit",Algorithms!$A:$A,0)),"n/a")</f>
        <v>5.3.16</v>
      </c>
      <c r="M16" s="263" t="str">
        <f>IFERROR(INDEX('Measure Level Detail'!$N:$N,MATCH($B16,'Measure Level Detail'!$B:$B,0)),0)</f>
        <v>each</v>
      </c>
      <c r="N16" s="271">
        <f>IFERROR(INDEX('Measure Level Detail'!$P:$P,MATCH($B16&amp;"_"&amp;N$3,'Measure Level Detail'!$C:$C,0)),0)</f>
        <v>200</v>
      </c>
      <c r="O16" s="271">
        <f>IFERROR(INDEX('Measure Level Detail'!$P:$P,MATCH($B16&amp;"_"&amp;O$3,'Measure Level Detail'!$C:$C,0)),0)</f>
        <v>600</v>
      </c>
      <c r="P16" s="271">
        <f>IFERROR(INDEX('Measure Level Detail'!$P:$P,MATCH($B16&amp;"_"&amp;P$3,'Measure Level Detail'!$C:$C,0)),0)</f>
        <v>650</v>
      </c>
      <c r="Q16" s="271">
        <f>IFERROR(INDEX('Measure Level Detail'!$P:$P,MATCH($B16&amp;"_"&amp;Q$3,'Measure Level Detail'!$C:$C,0)),0)</f>
        <v>650</v>
      </c>
      <c r="R16" s="263" t="str">
        <f ca="1">IFERROR(INDEX(Algorithms!K:K,MATCH($C16&amp;"_Therm Saved per Unit",Algorithms!$A:$A,0)),"n/a")</f>
        <v>RS-HVC-ADTH-V09-240101</v>
      </c>
      <c r="S16" s="262"/>
      <c r="T16" s="272">
        <v>66.028499999999994</v>
      </c>
      <c r="U16" s="272">
        <v>66.028499999999994</v>
      </c>
      <c r="V16" s="272">
        <v>66.028499999999994</v>
      </c>
      <c r="W16" s="272">
        <v>66.028499999999994</v>
      </c>
      <c r="X16" s="273">
        <f>IFERROR(INDEX('Measure Level Detail'!$R:$R,MATCH($B16&amp;"_"&amp;X$3,'Measure Level Detail'!$C:$C,0)),0)</f>
        <v>0.9</v>
      </c>
      <c r="Y16" s="273">
        <f>IFERROR(INDEX('Measure Level Detail'!$R:$R,MATCH($B16&amp;"_"&amp;Y$3,'Measure Level Detail'!$C:$C,0)),0)</f>
        <v>0.9</v>
      </c>
      <c r="Z16" s="273">
        <f>IFERROR(INDEX('Measure Level Detail'!$R:$R,MATCH($B16&amp;"_"&amp;Z$3,'Measure Level Detail'!$C:$C,0)),0)</f>
        <v>0.9</v>
      </c>
      <c r="AA16" s="273">
        <f>IFERROR(INDEX('Measure Level Detail'!$R:$R,MATCH($B16&amp;"_"&amp;AA$3,'Measure Level Detail'!$C:$C,0)),0)</f>
        <v>0.9</v>
      </c>
      <c r="AB16" s="266">
        <f t="shared" si="7"/>
        <v>11885.13</v>
      </c>
      <c r="AC16" s="266">
        <f t="shared" si="8"/>
        <v>35655.39</v>
      </c>
      <c r="AD16" s="266">
        <f t="shared" si="9"/>
        <v>38626.672499999993</v>
      </c>
      <c r="AE16" s="266">
        <f t="shared" si="10"/>
        <v>38626.672499999993</v>
      </c>
      <c r="AF16" s="266">
        <f t="shared" si="11"/>
        <v>124793.86499999999</v>
      </c>
      <c r="AG16" s="274">
        <v>0.9</v>
      </c>
      <c r="AH16" s="274">
        <v>0.9</v>
      </c>
      <c r="AI16" s="710">
        <v>0.89</v>
      </c>
      <c r="AJ16" s="710">
        <v>0.89</v>
      </c>
      <c r="AK16" s="274">
        <f t="shared" si="12"/>
        <v>0.9</v>
      </c>
      <c r="AL16" s="274">
        <f t="shared" si="13"/>
        <v>0.9</v>
      </c>
      <c r="AM16" s="274">
        <f t="shared" si="14"/>
        <v>0.9</v>
      </c>
      <c r="AN16" s="274">
        <f t="shared" si="15"/>
        <v>0.9</v>
      </c>
      <c r="AO16" s="262"/>
      <c r="AP16" s="262"/>
      <c r="AQ16" s="267">
        <v>71.35499999999999</v>
      </c>
      <c r="AR16" s="262"/>
      <c r="AS16" s="266">
        <f t="shared" si="16"/>
        <v>12843.899999999998</v>
      </c>
      <c r="AT16" s="264">
        <f t="shared" si="17"/>
        <v>958.76999999999862</v>
      </c>
      <c r="AU16" s="262"/>
      <c r="AV16" s="262"/>
      <c r="AW16" s="265">
        <v>71.35499999999999</v>
      </c>
      <c r="AX16" s="164" t="s">
        <v>1469</v>
      </c>
      <c r="AY16" s="266">
        <v>38531.699999999997</v>
      </c>
      <c r="AZ16" s="266">
        <f t="shared" si="45"/>
        <v>38531.699999999997</v>
      </c>
      <c r="BA16" s="264">
        <f t="shared" si="18"/>
        <v>2876.3099999999977</v>
      </c>
      <c r="BB16" s="262"/>
      <c r="BC16" s="262"/>
      <c r="BD16" s="265">
        <f ca="1">IFERROR(INDEX(Algorithms!$G:$G,MATCH($C16&amp;"_Therm Saved per Unit",Algorithms!$A:$A,0)),0)</f>
        <v>71.35499999999999</v>
      </c>
      <c r="BE16" s="164" t="str">
        <f ca="1">IFERROR(INDEX('v12 Revisions'!$P$29:$P$186, MATCH('Measure-Level Adj Gas'!$L16, 'v12 Revisions'!$D$29:$D$186,0)),"")</f>
        <v>n/a - FLH not in fossil fuel energy savings algorithm.</v>
      </c>
      <c r="BF16" s="266">
        <f t="shared" ca="1" si="19"/>
        <v>41742.674999999996</v>
      </c>
      <c r="BG16" s="264">
        <f t="shared" ca="1" si="20"/>
        <v>3116.0025000000023</v>
      </c>
      <c r="BH16" s="262"/>
      <c r="BI16" s="262"/>
      <c r="BJ16" s="265">
        <f ca="1">IFERROR(INDEX(Algorithms!$G:$G,MATCH($C16&amp;"_Therm Saved per Unit",Algorithms!$A:$A,0)),0)</f>
        <v>71.35499999999999</v>
      </c>
      <c r="BK16" s="164"/>
      <c r="BL16" s="266">
        <f t="shared" ca="1" si="21"/>
        <v>41742.674999999996</v>
      </c>
      <c r="BM16" s="264">
        <f t="shared" ca="1" si="22"/>
        <v>3116.0025000000023</v>
      </c>
      <c r="BN16" s="266">
        <f t="shared" si="23"/>
        <v>12843.899999999998</v>
      </c>
      <c r="BO16" s="266">
        <f t="shared" si="44"/>
        <v>38531.699999999997</v>
      </c>
      <c r="BP16" s="266">
        <f t="shared" ca="1" si="24"/>
        <v>41742.674999999996</v>
      </c>
      <c r="BQ16" s="266">
        <f t="shared" ca="1" si="25"/>
        <v>41742.674999999996</v>
      </c>
      <c r="BR16" s="268">
        <f t="shared" ca="1" si="26"/>
        <v>134860.94999999998</v>
      </c>
      <c r="BS16" s="262" t="s">
        <v>99</v>
      </c>
      <c r="BT16" s="164"/>
      <c r="BW16" s="266">
        <f t="shared" si="27"/>
        <v>11885.13</v>
      </c>
      <c r="BX16" s="266">
        <f t="shared" si="28"/>
        <v>35655.39</v>
      </c>
      <c r="BY16" s="266">
        <f t="shared" si="29"/>
        <v>38626.672499999993</v>
      </c>
      <c r="BZ16" s="266">
        <f t="shared" si="30"/>
        <v>38626.672499999993</v>
      </c>
      <c r="CA16" s="266">
        <f ca="1">N16*IFERROR(INDEX(Algorithms!$G:$G,MATCH($C16&amp;"_Therm Saved per Unit- MLA",Algorithms!$A:$A,0)),0)*X16</f>
        <v>0</v>
      </c>
      <c r="CB16" s="266">
        <f ca="1">O16*IFERROR(INDEX(Algorithms!$G:$G,MATCH($C16&amp;"_Therm Saved per Unit- MLA",Algorithms!$A:$A,0)),0)*Y16</f>
        <v>0</v>
      </c>
      <c r="CC16" s="266">
        <f ca="1">P16*IFERROR(INDEX(Algorithms!$G:$G,MATCH($C16&amp;"_Therm Saved per Unit- MLA",Algorithms!$A:$A,0)),0)*Z16</f>
        <v>0</v>
      </c>
      <c r="CD16" s="266">
        <f ca="1">Q16*IFERROR(INDEX(Algorithms!$G:$G,MATCH($C16&amp;"_Therm Saved per Unit- MLA",Algorithms!$A:$A,0)),0)*AA16</f>
        <v>0</v>
      </c>
      <c r="CE16" s="266">
        <f ca="1">IFERROR(INDEX(Algorithms!$G:$G,MATCH($C16&amp;"_Lifetime (years)",Algorithms!$A:$A,0)),0)</f>
        <v>11</v>
      </c>
      <c r="CF16" s="266">
        <f ca="1">IFERROR(INDEX(Algorithms!$G:$G,MATCH($C16&amp;"_Lifetime (years) - Remaining Years",Algorithms!$A:$A,0)),0)</f>
        <v>0</v>
      </c>
      <c r="CG16" s="266">
        <f t="shared" ca="1" si="31"/>
        <v>130736.43</v>
      </c>
      <c r="CH16" s="266">
        <f t="shared" ca="1" si="32"/>
        <v>392209.29</v>
      </c>
      <c r="CI16" s="266">
        <f t="shared" ca="1" si="33"/>
        <v>424893.3974999999</v>
      </c>
      <c r="CJ16" s="266">
        <f t="shared" ca="1" si="34"/>
        <v>424893.3974999999</v>
      </c>
      <c r="CK16" s="266">
        <f t="shared" si="35"/>
        <v>12843.899999999998</v>
      </c>
      <c r="CL16" s="266">
        <f t="shared" si="36"/>
        <v>38531.699999999997</v>
      </c>
      <c r="CM16" s="266">
        <f t="shared" ca="1" si="37"/>
        <v>41742.674999999996</v>
      </c>
      <c r="CN16" s="266">
        <f t="shared" ca="1" si="38"/>
        <v>41742.674999999996</v>
      </c>
      <c r="CO16" s="266">
        <f ca="1">N16*IFERROR(INDEX(Algorithms!$G:$G,MATCH($C16&amp;"_Therm Saved per Unit- MLA",Algorithms!$A:$A,0)),0)*X16</f>
        <v>0</v>
      </c>
      <c r="CP16" s="266">
        <f ca="1">O16*IFERROR(INDEX(Algorithms!$G:$G,MATCH($C16&amp;"_Therm Saved per Unit- MLA",Algorithms!$A:$A,0)),0)*Y16</f>
        <v>0</v>
      </c>
      <c r="CQ16" s="266">
        <f ca="1">P16*IFERROR(INDEX(Algorithms!$G:$G,MATCH($C16&amp;"_Therm Saved per Unit- MLA",Algorithms!$A:$A,0)),0)*Z16</f>
        <v>0</v>
      </c>
      <c r="CR16" s="266">
        <f ca="1">Q16*IFERROR(INDEX(Algorithms!$G:$G,MATCH($C16&amp;"_Therm Saved per Unit- MLA",Algorithms!$A:$A,0)),0)*AA16</f>
        <v>0</v>
      </c>
      <c r="CS16" s="266">
        <f ca="1">IFERROR(INDEX(Algorithms!$G:$G,MATCH($C16&amp;"_Lifetime (years)",Algorithms!$A:$A,0)),0)</f>
        <v>11</v>
      </c>
      <c r="CT16" s="266">
        <f ca="1">IFERROR(INDEX(Algorithms!$G:$G,MATCH($C16&amp;"_Lifetime (years) - Remaining Years",Algorithms!$A:$A,0)),0)</f>
        <v>0</v>
      </c>
      <c r="CU16" s="266">
        <f t="shared" ca="1" si="39"/>
        <v>141282.89999999997</v>
      </c>
      <c r="CV16" s="266">
        <f t="shared" ca="1" si="40"/>
        <v>423848.69999999995</v>
      </c>
      <c r="CW16" s="266">
        <f t="shared" ca="1" si="41"/>
        <v>459169.42499999993</v>
      </c>
      <c r="CX16" s="266">
        <f t="shared" ca="1" si="42"/>
        <v>459169.42499999993</v>
      </c>
    </row>
    <row r="17" spans="2:102" s="47" customFormat="1" ht="18" customHeight="1" x14ac:dyDescent="0.25">
      <c r="B17" t="str">
        <f t="shared" si="43"/>
        <v>NSG_Residential_Home Energy Jumpstart_Core_Low Flow Showerhead_0_SF</v>
      </c>
      <c r="C17" s="47" t="str">
        <f t="shared" si="6"/>
        <v>Low Flow Showerhead_0_SF</v>
      </c>
      <c r="D17" s="270" t="s">
        <v>1787</v>
      </c>
      <c r="E17" s="270" t="s">
        <v>2</v>
      </c>
      <c r="F17" s="270" t="s">
        <v>1414</v>
      </c>
      <c r="G17" s="270" t="s">
        <v>1415</v>
      </c>
      <c r="H17" s="270" t="s">
        <v>15</v>
      </c>
      <c r="I17" s="270">
        <v>0</v>
      </c>
      <c r="J17" s="270" t="s">
        <v>409</v>
      </c>
      <c r="K17" s="263">
        <v>1</v>
      </c>
      <c r="L17" s="263" t="str">
        <f ca="1">IFERROR(INDEX(Algorithms!J:J,MATCH($C17&amp;"_Therm Saved per Unit",Algorithms!$A:$A,0)),"n/a")</f>
        <v>5.4.5</v>
      </c>
      <c r="M17" s="263" t="str">
        <f>IFERROR(INDEX('Measure Level Detail'!$N:$N,MATCH($B17,'Measure Level Detail'!$B:$B,0)),0)</f>
        <v>Each</v>
      </c>
      <c r="N17" s="271">
        <f>IFERROR(INDEX('Measure Level Detail'!$P:$P,MATCH($B17&amp;"_"&amp;N$3,'Measure Level Detail'!$C:$C,0)),0)</f>
        <v>1155</v>
      </c>
      <c r="O17" s="271">
        <f>IFERROR(INDEX('Measure Level Detail'!$P:$P,MATCH($B17&amp;"_"&amp;O$3,'Measure Level Detail'!$C:$C,0)),0)</f>
        <v>1039</v>
      </c>
      <c r="P17" s="271">
        <f>IFERROR(INDEX('Measure Level Detail'!$P:$P,MATCH($B17&amp;"_"&amp;P$3,'Measure Level Detail'!$C:$C,0)),0)</f>
        <v>924</v>
      </c>
      <c r="Q17" s="271">
        <f>IFERROR(INDEX('Measure Level Detail'!$P:$P,MATCH($B17&amp;"_"&amp;Q$3,'Measure Level Detail'!$C:$C,0)),0)</f>
        <v>808</v>
      </c>
      <c r="R17" s="263" t="str">
        <f ca="1">IFERROR(INDEX(Algorithms!K:K,MATCH($C17&amp;"_Therm Saved per Unit",Algorithms!$A:$A,0)),"n/a")</f>
        <v>RS-HWE-LFSH-V12-240101</v>
      </c>
      <c r="S17" s="262"/>
      <c r="T17" s="272">
        <v>8.7892072937103034</v>
      </c>
      <c r="U17" s="272">
        <v>8.7892072937103034</v>
      </c>
      <c r="V17" s="272">
        <v>8.7892072937103034</v>
      </c>
      <c r="W17" s="272">
        <v>8.7892072937103034</v>
      </c>
      <c r="X17" s="273">
        <f>IFERROR(INDEX('Measure Level Detail'!$R:$R,MATCH($B17&amp;"_"&amp;X$3,'Measure Level Detail'!$C:$C,0)),0)</f>
        <v>1.02</v>
      </c>
      <c r="Y17" s="273">
        <f>IFERROR(INDEX('Measure Level Detail'!$R:$R,MATCH($B17&amp;"_"&amp;Y$3,'Measure Level Detail'!$C:$C,0)),0)</f>
        <v>1.02</v>
      </c>
      <c r="Z17" s="273">
        <f>IFERROR(INDEX('Measure Level Detail'!$R:$R,MATCH($B17&amp;"_"&amp;Z$3,'Measure Level Detail'!$C:$C,0)),0)</f>
        <v>1.02</v>
      </c>
      <c r="AA17" s="273">
        <f>IFERROR(INDEX('Measure Level Detail'!$R:$R,MATCH($B17&amp;"_"&amp;AA$3,'Measure Level Detail'!$C:$C,0)),0)</f>
        <v>1.02</v>
      </c>
      <c r="AB17" s="266">
        <f t="shared" si="7"/>
        <v>10354.565112720109</v>
      </c>
      <c r="AC17" s="266">
        <f t="shared" si="8"/>
        <v>9314.6261057283064</v>
      </c>
      <c r="AD17" s="266">
        <f t="shared" si="9"/>
        <v>8283.6520901760869</v>
      </c>
      <c r="AE17" s="266">
        <f t="shared" si="10"/>
        <v>7243.7130831842842</v>
      </c>
      <c r="AF17" s="266">
        <f t="shared" si="11"/>
        <v>35196.556391808786</v>
      </c>
      <c r="AG17" s="274">
        <v>1.02</v>
      </c>
      <c r="AH17" s="274">
        <v>1.02</v>
      </c>
      <c r="AI17" s="710">
        <v>1.0900000000000001</v>
      </c>
      <c r="AJ17" s="710">
        <v>1.0900000000000001</v>
      </c>
      <c r="AK17" s="274">
        <f t="shared" si="12"/>
        <v>1.02</v>
      </c>
      <c r="AL17" s="274">
        <f t="shared" si="13"/>
        <v>1.02</v>
      </c>
      <c r="AM17" s="274">
        <f t="shared" si="14"/>
        <v>1.02</v>
      </c>
      <c r="AN17" s="274">
        <f t="shared" si="15"/>
        <v>1.02</v>
      </c>
      <c r="AO17" s="262"/>
      <c r="AP17" s="262"/>
      <c r="AQ17" s="267">
        <v>9.4263779717191518</v>
      </c>
      <c r="AR17" s="262"/>
      <c r="AS17" s="266">
        <f t="shared" si="16"/>
        <v>11105.215888482333</v>
      </c>
      <c r="AT17" s="264">
        <f t="shared" si="17"/>
        <v>750.65077576222393</v>
      </c>
      <c r="AU17" s="262"/>
      <c r="AV17" s="262"/>
      <c r="AW17" s="265">
        <v>9.3291988173715321</v>
      </c>
      <c r="AX17" s="164" t="s">
        <v>2392</v>
      </c>
      <c r="AY17" s="266">
        <v>9989.8868468685232</v>
      </c>
      <c r="AZ17" s="266">
        <f t="shared" si="45"/>
        <v>9886.898322674002</v>
      </c>
      <c r="BA17" s="264">
        <f t="shared" si="18"/>
        <v>572.27221694569562</v>
      </c>
      <c r="BB17" s="262"/>
      <c r="BC17" s="262"/>
      <c r="BD17" s="265">
        <f ca="1">IFERROR(INDEX(Algorithms!$G:$G,MATCH($C17&amp;"_Therm Saved per Unit",Algorithms!$A:$A,0)),0)</f>
        <v>9.3291988173715321</v>
      </c>
      <c r="BE17" s="164" t="str">
        <f ca="1">IFERROR(INDEX('v12 Revisions'!$P$29:$P$186, MATCH('Measure-Level Adj Gas'!$L17, 'v12 Revisions'!$D$29:$D$186,0)),"")</f>
        <v>n/a - plan assumes Direct Install, not Distributed School Efficiency Kit.</v>
      </c>
      <c r="BF17" s="266">
        <f t="shared" ca="1" si="19"/>
        <v>8792.583301396322</v>
      </c>
      <c r="BG17" s="264">
        <f t="shared" ca="1" si="20"/>
        <v>508.93121122023513</v>
      </c>
      <c r="BH17" s="262"/>
      <c r="BI17" s="262"/>
      <c r="BJ17" s="265">
        <f ca="1">IFERROR(INDEX(Algorithms!$G:$G,MATCH($C17&amp;"_Therm Saved per Unit",Algorithms!$A:$A,0)),0)</f>
        <v>9.3291988173715321</v>
      </c>
      <c r="BK17" s="164"/>
      <c r="BL17" s="266">
        <f t="shared" ca="1" si="21"/>
        <v>7688.7524973249219</v>
      </c>
      <c r="BM17" s="264">
        <f t="shared" ca="1" si="22"/>
        <v>445.03941414063775</v>
      </c>
      <c r="BN17" s="266">
        <f t="shared" si="23"/>
        <v>11105.215888482333</v>
      </c>
      <c r="BO17" s="266">
        <f t="shared" si="44"/>
        <v>9886.898322674002</v>
      </c>
      <c r="BP17" s="266">
        <f t="shared" ca="1" si="24"/>
        <v>8792.583301396322</v>
      </c>
      <c r="BQ17" s="266">
        <f t="shared" ca="1" si="25"/>
        <v>7688.7524973249219</v>
      </c>
      <c r="BR17" s="268">
        <f t="shared" ca="1" si="26"/>
        <v>37473.450009877582</v>
      </c>
      <c r="BS17" s="262" t="s">
        <v>99</v>
      </c>
      <c r="BT17" s="164"/>
      <c r="BW17" s="266">
        <f t="shared" si="27"/>
        <v>10354.565112720109</v>
      </c>
      <c r="BX17" s="266">
        <f t="shared" si="28"/>
        <v>9314.6261057283064</v>
      </c>
      <c r="BY17" s="266">
        <f t="shared" si="29"/>
        <v>8283.6520901760869</v>
      </c>
      <c r="BZ17" s="266">
        <f t="shared" si="30"/>
        <v>7243.7130831842842</v>
      </c>
      <c r="CA17" s="266">
        <f ca="1">N17*IFERROR(INDEX(Algorithms!$G:$G,MATCH($C17&amp;"_Therm Saved per Unit- MLA",Algorithms!$A:$A,0)),0)*X17</f>
        <v>0</v>
      </c>
      <c r="CB17" s="266">
        <f ca="1">O17*IFERROR(INDEX(Algorithms!$G:$G,MATCH($C17&amp;"_Therm Saved per Unit- MLA",Algorithms!$A:$A,0)),0)*Y17</f>
        <v>0</v>
      </c>
      <c r="CC17" s="266">
        <f ca="1">P17*IFERROR(INDEX(Algorithms!$G:$G,MATCH($C17&amp;"_Therm Saved per Unit- MLA",Algorithms!$A:$A,0)),0)*Z17</f>
        <v>0</v>
      </c>
      <c r="CD17" s="266">
        <f ca="1">Q17*IFERROR(INDEX(Algorithms!$G:$G,MATCH($C17&amp;"_Therm Saved per Unit- MLA",Algorithms!$A:$A,0)),0)*AA17</f>
        <v>0</v>
      </c>
      <c r="CE17" s="266">
        <f ca="1">IFERROR(INDEX(Algorithms!$G:$G,MATCH($C17&amp;"_Lifetime (years)",Algorithms!$A:$A,0)),0)</f>
        <v>10</v>
      </c>
      <c r="CF17" s="266">
        <f ca="1">IFERROR(INDEX(Algorithms!$G:$G,MATCH($C17&amp;"_Lifetime (years) - Remaining Years",Algorithms!$A:$A,0)),0)</f>
        <v>0</v>
      </c>
      <c r="CG17" s="266">
        <f t="shared" ca="1" si="31"/>
        <v>103545.6511272011</v>
      </c>
      <c r="CH17" s="266">
        <f t="shared" ca="1" si="32"/>
        <v>93146.26105728306</v>
      </c>
      <c r="CI17" s="266">
        <f t="shared" ca="1" si="33"/>
        <v>82836.520901760872</v>
      </c>
      <c r="CJ17" s="266">
        <f t="shared" ca="1" si="34"/>
        <v>72437.130831842835</v>
      </c>
      <c r="CK17" s="266">
        <f t="shared" si="35"/>
        <v>11105.215888482333</v>
      </c>
      <c r="CL17" s="266">
        <f t="shared" si="36"/>
        <v>9886.898322674002</v>
      </c>
      <c r="CM17" s="266">
        <f t="shared" ca="1" si="37"/>
        <v>8792.583301396322</v>
      </c>
      <c r="CN17" s="266">
        <f t="shared" ca="1" si="38"/>
        <v>7688.7524973249219</v>
      </c>
      <c r="CO17" s="266">
        <f ca="1">N17*IFERROR(INDEX(Algorithms!$G:$G,MATCH($C17&amp;"_Therm Saved per Unit- MLA",Algorithms!$A:$A,0)),0)*X17</f>
        <v>0</v>
      </c>
      <c r="CP17" s="266">
        <f ca="1">O17*IFERROR(INDEX(Algorithms!$G:$G,MATCH($C17&amp;"_Therm Saved per Unit- MLA",Algorithms!$A:$A,0)),0)*Y17</f>
        <v>0</v>
      </c>
      <c r="CQ17" s="266">
        <f ca="1">P17*IFERROR(INDEX(Algorithms!$G:$G,MATCH($C17&amp;"_Therm Saved per Unit- MLA",Algorithms!$A:$A,0)),0)*Z17</f>
        <v>0</v>
      </c>
      <c r="CR17" s="266">
        <f ca="1">Q17*IFERROR(INDEX(Algorithms!$G:$G,MATCH($C17&amp;"_Therm Saved per Unit- MLA",Algorithms!$A:$A,0)),0)*AA17</f>
        <v>0</v>
      </c>
      <c r="CS17" s="266">
        <f ca="1">IFERROR(INDEX(Algorithms!$G:$G,MATCH($C17&amp;"_Lifetime (years)",Algorithms!$A:$A,0)),0)</f>
        <v>10</v>
      </c>
      <c r="CT17" s="266">
        <f ca="1">IFERROR(INDEX(Algorithms!$G:$G,MATCH($C17&amp;"_Lifetime (years) - Remaining Years",Algorithms!$A:$A,0)),0)</f>
        <v>0</v>
      </c>
      <c r="CU17" s="266">
        <f t="shared" ca="1" si="39"/>
        <v>111052.15888482332</v>
      </c>
      <c r="CV17" s="266">
        <f t="shared" ca="1" si="40"/>
        <v>98868.98322674002</v>
      </c>
      <c r="CW17" s="266">
        <f t="shared" ca="1" si="41"/>
        <v>87925.833013963216</v>
      </c>
      <c r="CX17" s="266">
        <f t="shared" ca="1" si="42"/>
        <v>76887.524973249223</v>
      </c>
    </row>
    <row r="18" spans="2:102" s="47" customFormat="1" ht="18" customHeight="1" x14ac:dyDescent="0.25">
      <c r="B18" t="str">
        <f t="shared" si="43"/>
        <v>NSG_Income Eligible_Multi-Family_IE Kits_Pipe Insulation_IE Kit_IE</v>
      </c>
      <c r="C18" s="47" t="str">
        <f t="shared" si="6"/>
        <v>Pipe Insulation_IE Kit_IE</v>
      </c>
      <c r="D18" s="270" t="s">
        <v>1787</v>
      </c>
      <c r="E18" s="270" t="s">
        <v>325</v>
      </c>
      <c r="F18" s="270" t="s">
        <v>1422</v>
      </c>
      <c r="G18" s="270" t="s">
        <v>1440</v>
      </c>
      <c r="H18" s="270" t="s">
        <v>404</v>
      </c>
      <c r="I18" s="270" t="s">
        <v>550</v>
      </c>
      <c r="J18" s="270" t="s">
        <v>551</v>
      </c>
      <c r="K18" s="263">
        <v>1</v>
      </c>
      <c r="L18" s="263" t="str">
        <f ca="1">IFERROR(INDEX(Algorithms!J:J,MATCH($C18&amp;"_Therm Saved per Unit",Algorithms!$A:$A,0)),"n/a")</f>
        <v>5.4.1</v>
      </c>
      <c r="M18" s="263" t="str">
        <f>IFERROR(INDEX('Measure Level Detail'!$N:$N,MATCH($B18,'Measure Level Detail'!$B:$B,0)),0)</f>
        <v>linear ft</v>
      </c>
      <c r="N18" s="271">
        <f>IFERROR(INDEX('Measure Level Detail'!$P:$P,MATCH($B18&amp;"_"&amp;N$3,'Measure Level Detail'!$C:$C,0)),0)</f>
        <v>840</v>
      </c>
      <c r="O18" s="271">
        <f>IFERROR(INDEX('Measure Level Detail'!$P:$P,MATCH($B18&amp;"_"&amp;O$3,'Measure Level Detail'!$C:$C,0)),0)</f>
        <v>840</v>
      </c>
      <c r="P18" s="271">
        <f>IFERROR(INDEX('Measure Level Detail'!$P:$P,MATCH($B18&amp;"_"&amp;P$3,'Measure Level Detail'!$C:$C,0)),0)</f>
        <v>840</v>
      </c>
      <c r="Q18" s="271">
        <f>IFERROR(INDEX('Measure Level Detail'!$P:$P,MATCH($B18&amp;"_"&amp;Q$3,'Measure Level Detail'!$C:$C,0)),0)</f>
        <v>840</v>
      </c>
      <c r="R18" s="263" t="str">
        <f ca="1">IFERROR(INDEX(Algorithms!K:K,MATCH($C18&amp;"_Therm Saved per Unit",Algorithms!$A:$A,0)),"n/a")</f>
        <v>RS-HWE-PINS-V07-240101</v>
      </c>
      <c r="S18" s="262"/>
      <c r="T18" s="272">
        <v>0.49429335489635107</v>
      </c>
      <c r="U18" s="272">
        <v>0.49429335489635107</v>
      </c>
      <c r="V18" s="272">
        <v>0.49429335489635107</v>
      </c>
      <c r="W18" s="272">
        <v>0.49429335489635107</v>
      </c>
      <c r="X18" s="273">
        <f>IFERROR(INDEX('Measure Level Detail'!$R:$R,MATCH($B18&amp;"_"&amp;X$3,'Measure Level Detail'!$C:$C,0)),0)</f>
        <v>1</v>
      </c>
      <c r="Y18" s="273">
        <f>IFERROR(INDEX('Measure Level Detail'!$R:$R,MATCH($B18&amp;"_"&amp;Y$3,'Measure Level Detail'!$C:$C,0)),0)</f>
        <v>1</v>
      </c>
      <c r="Z18" s="273">
        <f>IFERROR(INDEX('Measure Level Detail'!$R:$R,MATCH($B18&amp;"_"&amp;Z$3,'Measure Level Detail'!$C:$C,0)),0)</f>
        <v>1</v>
      </c>
      <c r="AA18" s="273">
        <f>IFERROR(INDEX('Measure Level Detail'!$R:$R,MATCH($B18&amp;"_"&amp;AA$3,'Measure Level Detail'!$C:$C,0)),0)</f>
        <v>1</v>
      </c>
      <c r="AB18" s="266">
        <f t="shared" si="7"/>
        <v>415.2064181129349</v>
      </c>
      <c r="AC18" s="266">
        <f t="shared" si="8"/>
        <v>415.2064181129349</v>
      </c>
      <c r="AD18" s="266">
        <f t="shared" si="9"/>
        <v>415.2064181129349</v>
      </c>
      <c r="AE18" s="266">
        <f t="shared" si="10"/>
        <v>415.2064181129349</v>
      </c>
      <c r="AF18" s="266">
        <f t="shared" si="11"/>
        <v>1660.8256724517396</v>
      </c>
      <c r="AG18" s="274">
        <v>1</v>
      </c>
      <c r="AH18" s="274">
        <v>1</v>
      </c>
      <c r="AI18" s="274">
        <v>1</v>
      </c>
      <c r="AJ18" s="274">
        <v>1</v>
      </c>
      <c r="AK18" s="274">
        <f t="shared" si="12"/>
        <v>1</v>
      </c>
      <c r="AL18" s="274">
        <f t="shared" si="13"/>
        <v>1</v>
      </c>
      <c r="AM18" s="274">
        <f t="shared" si="14"/>
        <v>1</v>
      </c>
      <c r="AN18" s="274">
        <f t="shared" si="15"/>
        <v>1</v>
      </c>
      <c r="AO18" s="262"/>
      <c r="AP18" s="262"/>
      <c r="AQ18" s="267">
        <v>1.3488774709922651</v>
      </c>
      <c r="AR18" s="262"/>
      <c r="AS18" s="266">
        <f t="shared" si="16"/>
        <v>1133.0570756335026</v>
      </c>
      <c r="AT18" s="264">
        <f t="shared" si="17"/>
        <v>717.85065752056767</v>
      </c>
      <c r="AU18" s="262"/>
      <c r="AV18" s="262"/>
      <c r="AW18" s="265">
        <v>1.2043548848145222</v>
      </c>
      <c r="AX18" s="164" t="s">
        <v>2392</v>
      </c>
      <c r="AY18" s="266">
        <v>1133.0570756335026</v>
      </c>
      <c r="AZ18" s="266">
        <f t="shared" si="45"/>
        <v>1011.6581032441986</v>
      </c>
      <c r="BA18" s="264">
        <f t="shared" si="18"/>
        <v>596.45168513126373</v>
      </c>
      <c r="BB18" s="262"/>
      <c r="BC18" s="262"/>
      <c r="BD18" s="265">
        <f ca="1">IFERROR(INDEX(Algorithms!$G:$G,MATCH($C18&amp;"_Therm Saved per Unit",Algorithms!$A:$A,0)),0)</f>
        <v>1.2043548848145222</v>
      </c>
      <c r="BE18" s="164">
        <f ca="1">IFERROR(INDEX('v12 Revisions'!$P$29:$P$186, MATCH('Measure-Level Adj Gas'!$L18, 'v12 Revisions'!$D$29:$D$186,0)),"")</f>
        <v>0</v>
      </c>
      <c r="BF18" s="266">
        <f t="shared" ca="1" si="19"/>
        <v>1011.6581032441986</v>
      </c>
      <c r="BG18" s="264">
        <f t="shared" ca="1" si="20"/>
        <v>596.45168513126373</v>
      </c>
      <c r="BH18" s="262"/>
      <c r="BI18" s="262"/>
      <c r="BJ18" s="265">
        <f ca="1">IFERROR(INDEX(Algorithms!$G:$G,MATCH($C18&amp;"_Therm Saved per Unit",Algorithms!$A:$A,0)),0)</f>
        <v>1.2043548848145222</v>
      </c>
      <c r="BK18" s="164"/>
      <c r="BL18" s="266">
        <f t="shared" ca="1" si="21"/>
        <v>1011.6581032441986</v>
      </c>
      <c r="BM18" s="264">
        <f t="shared" ca="1" si="22"/>
        <v>596.45168513126373</v>
      </c>
      <c r="BN18" s="266">
        <f t="shared" si="23"/>
        <v>1133.0570756335026</v>
      </c>
      <c r="BO18" s="266">
        <f t="shared" si="44"/>
        <v>1011.6581032441986</v>
      </c>
      <c r="BP18" s="266">
        <f t="shared" ca="1" si="24"/>
        <v>1011.6581032441986</v>
      </c>
      <c r="BQ18" s="266">
        <f t="shared" ca="1" si="25"/>
        <v>1011.6581032441986</v>
      </c>
      <c r="BR18" s="268">
        <f t="shared" ca="1" si="26"/>
        <v>4168.0313853660982</v>
      </c>
      <c r="BS18" s="262" t="s">
        <v>99</v>
      </c>
      <c r="BT18" s="164"/>
      <c r="BW18" s="266">
        <f t="shared" si="27"/>
        <v>415.2064181129349</v>
      </c>
      <c r="BX18" s="266">
        <f t="shared" si="28"/>
        <v>415.2064181129349</v>
      </c>
      <c r="BY18" s="266">
        <f t="shared" si="29"/>
        <v>415.2064181129349</v>
      </c>
      <c r="BZ18" s="266">
        <f t="shared" si="30"/>
        <v>415.2064181129349</v>
      </c>
      <c r="CA18" s="266">
        <f ca="1">N18*IFERROR(INDEX(Algorithms!$G:$G,MATCH($C18&amp;"_Therm Saved per Unit- MLA",Algorithms!$A:$A,0)),0)*X18</f>
        <v>0</v>
      </c>
      <c r="CB18" s="266">
        <f ca="1">O18*IFERROR(INDEX(Algorithms!$G:$G,MATCH($C18&amp;"_Therm Saved per Unit- MLA",Algorithms!$A:$A,0)),0)*Y18</f>
        <v>0</v>
      </c>
      <c r="CC18" s="266">
        <f ca="1">P18*IFERROR(INDEX(Algorithms!$G:$G,MATCH($C18&amp;"_Therm Saved per Unit- MLA",Algorithms!$A:$A,0)),0)*Z18</f>
        <v>0</v>
      </c>
      <c r="CD18" s="266">
        <f ca="1">Q18*IFERROR(INDEX(Algorithms!$G:$G,MATCH($C18&amp;"_Therm Saved per Unit- MLA",Algorithms!$A:$A,0)),0)*AA18</f>
        <v>0</v>
      </c>
      <c r="CE18" s="266">
        <f ca="1">IFERROR(INDEX(Algorithms!$G:$G,MATCH($C18&amp;"_Lifetime (years)",Algorithms!$A:$A,0)),0)</f>
        <v>15</v>
      </c>
      <c r="CF18" s="266">
        <f ca="1">IFERROR(INDEX(Algorithms!$G:$G,MATCH($C18&amp;"_Lifetime (years) - Remaining Years",Algorithms!$A:$A,0)),0)</f>
        <v>0</v>
      </c>
      <c r="CG18" s="266">
        <f t="shared" ca="1" si="31"/>
        <v>6228.096271694023</v>
      </c>
      <c r="CH18" s="266">
        <f t="shared" ca="1" si="32"/>
        <v>6228.096271694023</v>
      </c>
      <c r="CI18" s="266">
        <f t="shared" ca="1" si="33"/>
        <v>6228.096271694023</v>
      </c>
      <c r="CJ18" s="266">
        <f t="shared" ca="1" si="34"/>
        <v>6228.096271694023</v>
      </c>
      <c r="CK18" s="266">
        <f t="shared" si="35"/>
        <v>1133.0570756335026</v>
      </c>
      <c r="CL18" s="266">
        <f t="shared" si="36"/>
        <v>1011.6581032441986</v>
      </c>
      <c r="CM18" s="266">
        <f t="shared" ca="1" si="37"/>
        <v>1011.6581032441986</v>
      </c>
      <c r="CN18" s="266">
        <f t="shared" ca="1" si="38"/>
        <v>1011.6581032441986</v>
      </c>
      <c r="CO18" s="266">
        <f ca="1">N18*IFERROR(INDEX(Algorithms!$G:$G,MATCH($C18&amp;"_Therm Saved per Unit- MLA",Algorithms!$A:$A,0)),0)*X18</f>
        <v>0</v>
      </c>
      <c r="CP18" s="266">
        <f ca="1">O18*IFERROR(INDEX(Algorithms!$G:$G,MATCH($C18&amp;"_Therm Saved per Unit- MLA",Algorithms!$A:$A,0)),0)*Y18</f>
        <v>0</v>
      </c>
      <c r="CQ18" s="266">
        <f ca="1">P18*IFERROR(INDEX(Algorithms!$G:$G,MATCH($C18&amp;"_Therm Saved per Unit- MLA",Algorithms!$A:$A,0)),0)*Z18</f>
        <v>0</v>
      </c>
      <c r="CR18" s="266">
        <f ca="1">Q18*IFERROR(INDEX(Algorithms!$G:$G,MATCH($C18&amp;"_Therm Saved per Unit- MLA",Algorithms!$A:$A,0)),0)*AA18</f>
        <v>0</v>
      </c>
      <c r="CS18" s="266">
        <f ca="1">IFERROR(INDEX(Algorithms!$G:$G,MATCH($C18&amp;"_Lifetime (years)",Algorithms!$A:$A,0)),0)</f>
        <v>15</v>
      </c>
      <c r="CT18" s="266">
        <f ca="1">IFERROR(INDEX(Algorithms!$G:$G,MATCH($C18&amp;"_Lifetime (years) - Remaining Years",Algorithms!$A:$A,0)),0)</f>
        <v>0</v>
      </c>
      <c r="CU18" s="266">
        <f t="shared" ca="1" si="39"/>
        <v>16995.856134502537</v>
      </c>
      <c r="CV18" s="266">
        <f t="shared" ca="1" si="40"/>
        <v>15174.871548662979</v>
      </c>
      <c r="CW18" s="266">
        <f t="shared" ca="1" si="41"/>
        <v>15174.871548662979</v>
      </c>
      <c r="CX18" s="266">
        <f t="shared" ca="1" si="42"/>
        <v>15174.871548662979</v>
      </c>
    </row>
    <row r="19" spans="2:102" s="47" customFormat="1" ht="18" customHeight="1" x14ac:dyDescent="0.25">
      <c r="B19" t="str">
        <f t="shared" si="43"/>
        <v>NSG_Income Eligible_Single Family_IE Kits_Low Flow Showerhead_IE Kit_IE</v>
      </c>
      <c r="C19" s="47" t="str">
        <f t="shared" si="6"/>
        <v>Low Flow Showerhead_IE Kit_IE</v>
      </c>
      <c r="D19" s="270" t="s">
        <v>1787</v>
      </c>
      <c r="E19" s="270" t="s">
        <v>325</v>
      </c>
      <c r="F19" s="270" t="s">
        <v>375</v>
      </c>
      <c r="G19" s="270" t="s">
        <v>1440</v>
      </c>
      <c r="H19" s="270" t="s">
        <v>15</v>
      </c>
      <c r="I19" s="270" t="s">
        <v>550</v>
      </c>
      <c r="J19" s="270" t="s">
        <v>551</v>
      </c>
      <c r="K19" s="263">
        <v>1</v>
      </c>
      <c r="L19" s="263" t="str">
        <f ca="1">IFERROR(INDEX(Algorithms!J:J,MATCH($C19&amp;"_Therm Saved per Unit",Algorithms!$A:$A,0)),"n/a")</f>
        <v>5.4.5</v>
      </c>
      <c r="M19" s="263" t="str">
        <f>IFERROR(INDEX('Measure Level Detail'!$N:$N,MATCH($B19,'Measure Level Detail'!$B:$B,0)),0)</f>
        <v>Each</v>
      </c>
      <c r="N19" s="271">
        <f>IFERROR(INDEX('Measure Level Detail'!$P:$P,MATCH($B19&amp;"_"&amp;N$3,'Measure Level Detail'!$C:$C,0)),0)</f>
        <v>560</v>
      </c>
      <c r="O19" s="271">
        <f>IFERROR(INDEX('Measure Level Detail'!$P:$P,MATCH($B19&amp;"_"&amp;O$3,'Measure Level Detail'!$C:$C,0)),0)</f>
        <v>560</v>
      </c>
      <c r="P19" s="271">
        <f>IFERROR(INDEX('Measure Level Detail'!$P:$P,MATCH($B19&amp;"_"&amp;P$3,'Measure Level Detail'!$C:$C,0)),0)</f>
        <v>560</v>
      </c>
      <c r="Q19" s="271">
        <f>IFERROR(INDEX('Measure Level Detail'!$P:$P,MATCH($B19&amp;"_"&amp;Q$3,'Measure Level Detail'!$C:$C,0)),0)</f>
        <v>560</v>
      </c>
      <c r="R19" s="263" t="str">
        <f ca="1">IFERROR(INDEX(Algorithms!K:K,MATCH($C19&amp;"_Therm Saved per Unit",Algorithms!$A:$A,0)),"n/a")</f>
        <v>RS-HWE-LFSH-V12-240101</v>
      </c>
      <c r="S19" s="262"/>
      <c r="T19" s="272">
        <v>6.255766610843156</v>
      </c>
      <c r="U19" s="272">
        <v>6.255766610843156</v>
      </c>
      <c r="V19" s="272">
        <v>6.255766610843156</v>
      </c>
      <c r="W19" s="272">
        <v>6.255766610843156</v>
      </c>
      <c r="X19" s="273">
        <f>IFERROR(INDEX('Measure Level Detail'!$R:$R,MATCH($B19&amp;"_"&amp;X$3,'Measure Level Detail'!$C:$C,0)),0)</f>
        <v>1</v>
      </c>
      <c r="Y19" s="273">
        <f>IFERROR(INDEX('Measure Level Detail'!$R:$R,MATCH($B19&amp;"_"&amp;Y$3,'Measure Level Detail'!$C:$C,0)),0)</f>
        <v>1</v>
      </c>
      <c r="Z19" s="273">
        <f>IFERROR(INDEX('Measure Level Detail'!$R:$R,MATCH($B19&amp;"_"&amp;Z$3,'Measure Level Detail'!$C:$C,0)),0)</f>
        <v>1</v>
      </c>
      <c r="AA19" s="273">
        <f>IFERROR(INDEX('Measure Level Detail'!$R:$R,MATCH($B19&amp;"_"&amp;AA$3,'Measure Level Detail'!$C:$C,0)),0)</f>
        <v>1</v>
      </c>
      <c r="AB19" s="266">
        <f t="shared" si="7"/>
        <v>3503.2293020721672</v>
      </c>
      <c r="AC19" s="266">
        <f t="shared" si="8"/>
        <v>3503.2293020721672</v>
      </c>
      <c r="AD19" s="266">
        <f t="shared" si="9"/>
        <v>3503.2293020721672</v>
      </c>
      <c r="AE19" s="266">
        <f t="shared" si="10"/>
        <v>3503.2293020721672</v>
      </c>
      <c r="AF19" s="266">
        <f t="shared" si="11"/>
        <v>14012.917208288669</v>
      </c>
      <c r="AG19" s="274">
        <v>1</v>
      </c>
      <c r="AH19" s="274">
        <v>1</v>
      </c>
      <c r="AI19" s="274">
        <v>1</v>
      </c>
      <c r="AJ19" s="274">
        <v>1</v>
      </c>
      <c r="AK19" s="274">
        <f t="shared" si="12"/>
        <v>1</v>
      </c>
      <c r="AL19" s="274">
        <f t="shared" si="13"/>
        <v>1</v>
      </c>
      <c r="AM19" s="274">
        <f t="shared" si="14"/>
        <v>1</v>
      </c>
      <c r="AN19" s="274">
        <f t="shared" si="15"/>
        <v>1</v>
      </c>
      <c r="AO19" s="262"/>
      <c r="AP19" s="262"/>
      <c r="AQ19" s="267">
        <v>7.2182559285293824</v>
      </c>
      <c r="AR19" s="262"/>
      <c r="AS19" s="266">
        <f t="shared" si="16"/>
        <v>4042.2233199764541</v>
      </c>
      <c r="AT19" s="264">
        <f t="shared" si="17"/>
        <v>538.99401790428692</v>
      </c>
      <c r="AU19" s="262"/>
      <c r="AV19" s="262"/>
      <c r="AW19" s="265">
        <v>7.2182559285293824</v>
      </c>
      <c r="AX19" s="164" t="s">
        <v>2392</v>
      </c>
      <c r="AY19" s="266">
        <v>4042.2233199764541</v>
      </c>
      <c r="AZ19" s="266">
        <f t="shared" si="45"/>
        <v>4042.2233199764541</v>
      </c>
      <c r="BA19" s="264">
        <f t="shared" si="18"/>
        <v>538.99401790428692</v>
      </c>
      <c r="BB19" s="262"/>
      <c r="BC19" s="262"/>
      <c r="BD19" s="265">
        <f ca="1">IFERROR(INDEX(Algorithms!$G:$G,MATCH($C19&amp;"_Therm Saved per Unit",Algorithms!$A:$A,0)),0)</f>
        <v>7.2182559285293824</v>
      </c>
      <c r="BE19" s="164" t="str">
        <f ca="1">IFERROR(INDEX('v12 Revisions'!$P$29:$P$186, MATCH('Measure-Level Adj Gas'!$L19, 'v12 Revisions'!$D$29:$D$186,0)),"")</f>
        <v>n/a - plan assumes Direct Install, not Distributed School Efficiency Kit.</v>
      </c>
      <c r="BF19" s="266">
        <f t="shared" ca="1" si="19"/>
        <v>4042.2233199764541</v>
      </c>
      <c r="BG19" s="264">
        <f t="shared" ca="1" si="20"/>
        <v>538.99401790428692</v>
      </c>
      <c r="BH19" s="262"/>
      <c r="BI19" s="262"/>
      <c r="BJ19" s="265">
        <f ca="1">IFERROR(INDEX(Algorithms!$G:$G,MATCH($C19&amp;"_Therm Saved per Unit",Algorithms!$A:$A,0)),0)</f>
        <v>7.2182559285293824</v>
      </c>
      <c r="BK19" s="164"/>
      <c r="BL19" s="266">
        <f t="shared" ca="1" si="21"/>
        <v>4042.2233199764541</v>
      </c>
      <c r="BM19" s="264">
        <f t="shared" ca="1" si="22"/>
        <v>538.99401790428692</v>
      </c>
      <c r="BN19" s="266">
        <f t="shared" si="23"/>
        <v>4042.2233199764541</v>
      </c>
      <c r="BO19" s="266">
        <f t="shared" si="44"/>
        <v>4042.2233199764541</v>
      </c>
      <c r="BP19" s="266">
        <f t="shared" ca="1" si="24"/>
        <v>4042.2233199764541</v>
      </c>
      <c r="BQ19" s="266">
        <f t="shared" ca="1" si="25"/>
        <v>4042.2233199764541</v>
      </c>
      <c r="BR19" s="268">
        <f t="shared" ca="1" si="26"/>
        <v>16168.893279905817</v>
      </c>
      <c r="BS19" s="262" t="s">
        <v>99</v>
      </c>
      <c r="BT19" s="164"/>
      <c r="BW19" s="266">
        <f t="shared" si="27"/>
        <v>3503.2293020721672</v>
      </c>
      <c r="BX19" s="266">
        <f t="shared" si="28"/>
        <v>3503.2293020721672</v>
      </c>
      <c r="BY19" s="266">
        <f t="shared" si="29"/>
        <v>3503.2293020721672</v>
      </c>
      <c r="BZ19" s="266">
        <f t="shared" si="30"/>
        <v>3503.2293020721672</v>
      </c>
      <c r="CA19" s="266">
        <f ca="1">N19*IFERROR(INDEX(Algorithms!$G:$G,MATCH($C19&amp;"_Therm Saved per Unit- MLA",Algorithms!$A:$A,0)),0)*X19</f>
        <v>0</v>
      </c>
      <c r="CB19" s="266">
        <f ca="1">O19*IFERROR(INDEX(Algorithms!$G:$G,MATCH($C19&amp;"_Therm Saved per Unit- MLA",Algorithms!$A:$A,0)),0)*Y19</f>
        <v>0</v>
      </c>
      <c r="CC19" s="266">
        <f ca="1">P19*IFERROR(INDEX(Algorithms!$G:$G,MATCH($C19&amp;"_Therm Saved per Unit- MLA",Algorithms!$A:$A,0)),0)*Z19</f>
        <v>0</v>
      </c>
      <c r="CD19" s="266">
        <f ca="1">Q19*IFERROR(INDEX(Algorithms!$G:$G,MATCH($C19&amp;"_Therm Saved per Unit- MLA",Algorithms!$A:$A,0)),0)*AA19</f>
        <v>0</v>
      </c>
      <c r="CE19" s="266">
        <f ca="1">IFERROR(INDEX(Algorithms!$G:$G,MATCH($C19&amp;"_Lifetime (years)",Algorithms!$A:$A,0)),0)</f>
        <v>10</v>
      </c>
      <c r="CF19" s="266">
        <f ca="1">IFERROR(INDEX(Algorithms!$G:$G,MATCH($C19&amp;"_Lifetime (years) - Remaining Years",Algorithms!$A:$A,0)),0)</f>
        <v>0</v>
      </c>
      <c r="CG19" s="266">
        <f t="shared" ca="1" si="31"/>
        <v>35032.29302072167</v>
      </c>
      <c r="CH19" s="266">
        <f t="shared" ca="1" si="32"/>
        <v>35032.29302072167</v>
      </c>
      <c r="CI19" s="266">
        <f t="shared" ca="1" si="33"/>
        <v>35032.29302072167</v>
      </c>
      <c r="CJ19" s="266">
        <f t="shared" ca="1" si="34"/>
        <v>35032.29302072167</v>
      </c>
      <c r="CK19" s="266">
        <f t="shared" si="35"/>
        <v>4042.2233199764541</v>
      </c>
      <c r="CL19" s="266">
        <f t="shared" si="36"/>
        <v>4042.2233199764541</v>
      </c>
      <c r="CM19" s="266">
        <f t="shared" ca="1" si="37"/>
        <v>4042.2233199764541</v>
      </c>
      <c r="CN19" s="266">
        <f t="shared" ca="1" si="38"/>
        <v>4042.2233199764541</v>
      </c>
      <c r="CO19" s="266">
        <f ca="1">N19*IFERROR(INDEX(Algorithms!$G:$G,MATCH($C19&amp;"_Therm Saved per Unit- MLA",Algorithms!$A:$A,0)),0)*X19</f>
        <v>0</v>
      </c>
      <c r="CP19" s="266">
        <f ca="1">O19*IFERROR(INDEX(Algorithms!$G:$G,MATCH($C19&amp;"_Therm Saved per Unit- MLA",Algorithms!$A:$A,0)),0)*Y19</f>
        <v>0</v>
      </c>
      <c r="CQ19" s="266">
        <f ca="1">P19*IFERROR(INDEX(Algorithms!$G:$G,MATCH($C19&amp;"_Therm Saved per Unit- MLA",Algorithms!$A:$A,0)),0)*Z19</f>
        <v>0</v>
      </c>
      <c r="CR19" s="266">
        <f ca="1">Q19*IFERROR(INDEX(Algorithms!$G:$G,MATCH($C19&amp;"_Therm Saved per Unit- MLA",Algorithms!$A:$A,0)),0)*AA19</f>
        <v>0</v>
      </c>
      <c r="CS19" s="266">
        <f ca="1">IFERROR(INDEX(Algorithms!$G:$G,MATCH($C19&amp;"_Lifetime (years)",Algorithms!$A:$A,0)),0)</f>
        <v>10</v>
      </c>
      <c r="CT19" s="266">
        <f ca="1">IFERROR(INDEX(Algorithms!$G:$G,MATCH($C19&amp;"_Lifetime (years) - Remaining Years",Algorithms!$A:$A,0)),0)</f>
        <v>0</v>
      </c>
      <c r="CU19" s="266">
        <f t="shared" ca="1" si="39"/>
        <v>40422.233199764538</v>
      </c>
      <c r="CV19" s="266">
        <f t="shared" ca="1" si="40"/>
        <v>40422.233199764538</v>
      </c>
      <c r="CW19" s="266">
        <f t="shared" ca="1" si="41"/>
        <v>40422.233199764538</v>
      </c>
      <c r="CX19" s="266">
        <f t="shared" ca="1" si="42"/>
        <v>40422.233199764538</v>
      </c>
    </row>
    <row r="20" spans="2:102" s="47" customFormat="1" ht="18" customHeight="1" x14ac:dyDescent="0.25">
      <c r="B20" t="str">
        <f t="shared" si="43"/>
        <v>NSG_Residential_Multi-Family_Direct Install_Pipe Insulation_Boiler_MF</v>
      </c>
      <c r="C20" s="47" t="str">
        <f t="shared" si="6"/>
        <v>Pipe Insulation_Boiler_MF</v>
      </c>
      <c r="D20" s="270" t="s">
        <v>1787</v>
      </c>
      <c r="E20" s="270" t="s">
        <v>2</v>
      </c>
      <c r="F20" s="270" t="s">
        <v>1422</v>
      </c>
      <c r="G20" s="270" t="s">
        <v>4</v>
      </c>
      <c r="H20" s="270" t="s">
        <v>404</v>
      </c>
      <c r="I20" s="270" t="s">
        <v>944</v>
      </c>
      <c r="J20" s="270" t="s">
        <v>553</v>
      </c>
      <c r="K20" s="263">
        <v>1</v>
      </c>
      <c r="L20" s="263" t="str">
        <f ca="1">IFERROR(INDEX(Algorithms!J:J,MATCH($C20&amp;"_Therm Saved per Unit",Algorithms!$A:$A,0)),"n/a")</f>
        <v>5.3.2</v>
      </c>
      <c r="M20" s="263" t="str">
        <f>IFERROR(INDEX('Measure Level Detail'!$N:$N,MATCH($B20,'Measure Level Detail'!$B:$B,0)),0)</f>
        <v>ft</v>
      </c>
      <c r="N20" s="271">
        <f>IFERROR(INDEX('Measure Level Detail'!$P:$P,MATCH($B20&amp;"_"&amp;N$3,'Measure Level Detail'!$C:$C,0)),0)</f>
        <v>1002</v>
      </c>
      <c r="O20" s="271">
        <f>IFERROR(INDEX('Measure Level Detail'!$P:$P,MATCH($B20&amp;"_"&amp;O$3,'Measure Level Detail'!$C:$C,0)),0)</f>
        <v>1002</v>
      </c>
      <c r="P20" s="271">
        <f>IFERROR(INDEX('Measure Level Detail'!$P:$P,MATCH($B20&amp;"_"&amp;P$3,'Measure Level Detail'!$C:$C,0)),0)</f>
        <v>1002</v>
      </c>
      <c r="Q20" s="271">
        <f>IFERROR(INDEX('Measure Level Detail'!$P:$P,MATCH($B20&amp;"_"&amp;Q$3,'Measure Level Detail'!$C:$C,0)),0)</f>
        <v>1002</v>
      </c>
      <c r="R20" s="263" t="str">
        <f ca="1">IFERROR(INDEX(Algorithms!K:K,MATCH($C20&amp;"_Therm Saved per Unit",Algorithms!$A:$A,0)),"n/a")</f>
        <v>RS-HVC-PINS-V07-240101</v>
      </c>
      <c r="S20" s="262"/>
      <c r="T20" s="272">
        <v>0.63522312995661756</v>
      </c>
      <c r="U20" s="272">
        <v>0.63522312995661756</v>
      </c>
      <c r="V20" s="272">
        <v>0.63522312995661756</v>
      </c>
      <c r="W20" s="272">
        <v>0.63522312995661756</v>
      </c>
      <c r="X20" s="273">
        <f>IFERROR(INDEX('Measure Level Detail'!$R:$R,MATCH($B20&amp;"_"&amp;X$3,'Measure Level Detail'!$C:$C,0)),0)</f>
        <v>0.96</v>
      </c>
      <c r="Y20" s="273">
        <f>IFERROR(INDEX('Measure Level Detail'!$R:$R,MATCH($B20&amp;"_"&amp;Y$3,'Measure Level Detail'!$C:$C,0)),0)</f>
        <v>0.96</v>
      </c>
      <c r="Z20" s="273">
        <f>IFERROR(INDEX('Measure Level Detail'!$R:$R,MATCH($B20&amp;"_"&amp;Z$3,'Measure Level Detail'!$C:$C,0)),0)</f>
        <v>0.96</v>
      </c>
      <c r="AA20" s="273">
        <f>IFERROR(INDEX('Measure Level Detail'!$R:$R,MATCH($B20&amp;"_"&amp;AA$3,'Measure Level Detail'!$C:$C,0)),0)</f>
        <v>0.96</v>
      </c>
      <c r="AB20" s="266">
        <f t="shared" si="7"/>
        <v>611.03383316786949</v>
      </c>
      <c r="AC20" s="266">
        <f t="shared" si="8"/>
        <v>611.03383316786949</v>
      </c>
      <c r="AD20" s="266">
        <f t="shared" si="9"/>
        <v>611.03383316786949</v>
      </c>
      <c r="AE20" s="266">
        <f t="shared" si="10"/>
        <v>611.03383316786949</v>
      </c>
      <c r="AF20" s="266">
        <f t="shared" si="11"/>
        <v>2444.135332671478</v>
      </c>
      <c r="AG20" s="274">
        <v>0.96</v>
      </c>
      <c r="AH20" s="274">
        <v>0.96</v>
      </c>
      <c r="AI20" s="274">
        <v>0.96</v>
      </c>
      <c r="AJ20" s="274">
        <v>0.96</v>
      </c>
      <c r="AK20" s="274">
        <f t="shared" si="12"/>
        <v>0.96</v>
      </c>
      <c r="AL20" s="274">
        <f t="shared" si="13"/>
        <v>0.96</v>
      </c>
      <c r="AM20" s="274">
        <f t="shared" si="14"/>
        <v>0.96</v>
      </c>
      <c r="AN20" s="274">
        <f t="shared" si="15"/>
        <v>0.96</v>
      </c>
      <c r="AO20" s="262"/>
      <c r="AP20" s="262"/>
      <c r="AQ20" s="267">
        <v>1.0111854839419214</v>
      </c>
      <c r="AR20" s="262"/>
      <c r="AS20" s="266">
        <f t="shared" si="16"/>
        <v>972.67954071341308</v>
      </c>
      <c r="AT20" s="264">
        <f t="shared" si="17"/>
        <v>361.64570754554359</v>
      </c>
      <c r="AU20" s="262"/>
      <c r="AV20" s="262"/>
      <c r="AW20" s="265">
        <v>1.0111854839419214</v>
      </c>
      <c r="AX20" s="164" t="s">
        <v>1469</v>
      </c>
      <c r="AY20" s="266">
        <v>972.67954071341308</v>
      </c>
      <c r="AZ20" s="266">
        <f t="shared" si="45"/>
        <v>972.67954071341308</v>
      </c>
      <c r="BA20" s="264">
        <f t="shared" si="18"/>
        <v>361.64570754554359</v>
      </c>
      <c r="BB20" s="262"/>
      <c r="BC20" s="262"/>
      <c r="BD20" s="265">
        <f ca="1">IFERROR(INDEX(Algorithms!$G:$G,MATCH($C20&amp;"_Therm Saved per Unit",Algorithms!$A:$A,0)),0)</f>
        <v>0.94853594852378065</v>
      </c>
      <c r="BE20" s="164" t="str">
        <f ca="1">IFERROR(INDEX('v12 Revisions'!$P$29:$P$186, MATCH('Measure-Level Adj Gas'!$L20, 'v12 Revisions'!$D$29:$D$186,0)),"")</f>
        <v>Updated full load hours of heating from 1840 to 1726.</v>
      </c>
      <c r="BF20" s="266">
        <f t="shared" ca="1" si="19"/>
        <v>912.41569960399511</v>
      </c>
      <c r="BG20" s="264">
        <f t="shared" ca="1" si="20"/>
        <v>301.38186643612562</v>
      </c>
      <c r="BH20" s="262"/>
      <c r="BI20" s="262"/>
      <c r="BJ20" s="265">
        <f ca="1">IFERROR(INDEX(Algorithms!$G:$G,MATCH($C20&amp;"_Therm Saved per Unit",Algorithms!$A:$A,0)),0)</f>
        <v>0.94853594852378065</v>
      </c>
      <c r="BK20" s="164"/>
      <c r="BL20" s="266">
        <f t="shared" ca="1" si="21"/>
        <v>912.41569960399511</v>
      </c>
      <c r="BM20" s="264">
        <f t="shared" ca="1" si="22"/>
        <v>301.38186643612562</v>
      </c>
      <c r="BN20" s="266">
        <f t="shared" si="23"/>
        <v>972.67954071341308</v>
      </c>
      <c r="BO20" s="266">
        <f t="shared" si="44"/>
        <v>972.67954071341308</v>
      </c>
      <c r="BP20" s="266">
        <f t="shared" ca="1" si="24"/>
        <v>912.41569960399511</v>
      </c>
      <c r="BQ20" s="266">
        <f t="shared" ca="1" si="25"/>
        <v>912.41569960399511</v>
      </c>
      <c r="BR20" s="268">
        <f t="shared" ca="1" si="26"/>
        <v>3770.1904806348161</v>
      </c>
      <c r="BS20" s="262" t="s">
        <v>99</v>
      </c>
      <c r="BT20" s="164"/>
      <c r="BW20" s="266">
        <f t="shared" si="27"/>
        <v>611.03383316786949</v>
      </c>
      <c r="BX20" s="266">
        <f t="shared" si="28"/>
        <v>611.03383316786949</v>
      </c>
      <c r="BY20" s="266">
        <f t="shared" si="29"/>
        <v>611.03383316786949</v>
      </c>
      <c r="BZ20" s="266">
        <f t="shared" si="30"/>
        <v>611.03383316786949</v>
      </c>
      <c r="CA20" s="266">
        <f ca="1">N20*IFERROR(INDEX(Algorithms!$G:$G,MATCH($C20&amp;"_Therm Saved per Unit- MLA",Algorithms!$A:$A,0)),0)*X20</f>
        <v>889.60530711389515</v>
      </c>
      <c r="CB20" s="266">
        <f ca="1">O20*IFERROR(INDEX(Algorithms!$G:$G,MATCH($C20&amp;"_Therm Saved per Unit- MLA",Algorithms!$A:$A,0)),0)*Y20</f>
        <v>889.60530711389515</v>
      </c>
      <c r="CC20" s="266">
        <f ca="1">P20*IFERROR(INDEX(Algorithms!$G:$G,MATCH($C20&amp;"_Therm Saved per Unit- MLA",Algorithms!$A:$A,0)),0)*Z20</f>
        <v>889.60530711389515</v>
      </c>
      <c r="CD20" s="266">
        <f ca="1">Q20*IFERROR(INDEX(Algorithms!$G:$G,MATCH($C20&amp;"_Therm Saved per Unit- MLA",Algorithms!$A:$A,0)),0)*AA20</f>
        <v>889.60530711389515</v>
      </c>
      <c r="CE20" s="266">
        <f ca="1">IFERROR(INDEX(Algorithms!$G:$G,MATCH($C20&amp;"_Lifetime (years)",Algorithms!$A:$A,0)),0)</f>
        <v>15</v>
      </c>
      <c r="CF20" s="266">
        <f ca="1">IFERROR(INDEX(Algorithms!$G:$G,MATCH($C20&amp;"_Lifetime (years) - Remaining Years",Algorithms!$A:$A,0)),0)</f>
        <v>13</v>
      </c>
      <c r="CG20" s="266">
        <f t="shared" ca="1" si="31"/>
        <v>9722.6504454100941</v>
      </c>
      <c r="CH20" s="266">
        <f t="shared" ca="1" si="32"/>
        <v>9722.6504454100941</v>
      </c>
      <c r="CI20" s="266">
        <f t="shared" ca="1" si="33"/>
        <v>9722.6504454100941</v>
      </c>
      <c r="CJ20" s="266">
        <f t="shared" ca="1" si="34"/>
        <v>9722.6504454100941</v>
      </c>
      <c r="CK20" s="266">
        <f t="shared" si="35"/>
        <v>972.67954071341308</v>
      </c>
      <c r="CL20" s="266">
        <f t="shared" si="36"/>
        <v>972.67954071341308</v>
      </c>
      <c r="CM20" s="266">
        <f t="shared" ca="1" si="37"/>
        <v>912.41569960399511</v>
      </c>
      <c r="CN20" s="266">
        <f t="shared" ca="1" si="38"/>
        <v>912.41569960399511</v>
      </c>
      <c r="CO20" s="266">
        <f ca="1">N20*IFERROR(INDEX(Algorithms!$G:$G,MATCH($C20&amp;"_Therm Saved per Unit- MLA",Algorithms!$A:$A,0)),0)*X20</f>
        <v>889.60530711389515</v>
      </c>
      <c r="CP20" s="266">
        <f ca="1">O20*IFERROR(INDEX(Algorithms!$G:$G,MATCH($C20&amp;"_Therm Saved per Unit- MLA",Algorithms!$A:$A,0)),0)*Y20</f>
        <v>889.60530711389515</v>
      </c>
      <c r="CQ20" s="266">
        <f ca="1">P20*IFERROR(INDEX(Algorithms!$G:$G,MATCH($C20&amp;"_Therm Saved per Unit- MLA",Algorithms!$A:$A,0)),0)*Z20</f>
        <v>889.60530711389515</v>
      </c>
      <c r="CR20" s="266">
        <f ca="1">Q20*IFERROR(INDEX(Algorithms!$G:$G,MATCH($C20&amp;"_Therm Saved per Unit- MLA",Algorithms!$A:$A,0)),0)*AA20</f>
        <v>889.60530711389515</v>
      </c>
      <c r="CS20" s="266">
        <f ca="1">IFERROR(INDEX(Algorithms!$G:$G,MATCH($C20&amp;"_Lifetime (years)",Algorithms!$A:$A,0)),0)</f>
        <v>15</v>
      </c>
      <c r="CT20" s="266">
        <f ca="1">IFERROR(INDEX(Algorithms!$G:$G,MATCH($C20&amp;"_Lifetime (years) - Remaining Years",Algorithms!$A:$A,0)),0)</f>
        <v>13</v>
      </c>
      <c r="CU20" s="266">
        <f t="shared" ca="1" si="39"/>
        <v>14424.04464350216</v>
      </c>
      <c r="CV20" s="266">
        <f t="shared" ca="1" si="40"/>
        <v>14424.04464350216</v>
      </c>
      <c r="CW20" s="266">
        <f t="shared" ca="1" si="41"/>
        <v>13640.614709079726</v>
      </c>
      <c r="CX20" s="266">
        <f t="shared" ca="1" si="42"/>
        <v>13640.614709079726</v>
      </c>
    </row>
    <row r="21" spans="2:102" s="47" customFormat="1" ht="18" customHeight="1" x14ac:dyDescent="0.25">
      <c r="B21" t="str">
        <f t="shared" si="43"/>
        <v>NSG_Residential_Multi-Family_Direct Install_Low Flow Showerhead_0_MF</v>
      </c>
      <c r="C21" s="47" t="str">
        <f t="shared" si="6"/>
        <v>Low Flow Showerhead_0_MF</v>
      </c>
      <c r="D21" s="270" t="s">
        <v>1787</v>
      </c>
      <c r="E21" s="270" t="s">
        <v>2</v>
      </c>
      <c r="F21" s="270" t="s">
        <v>1422</v>
      </c>
      <c r="G21" s="270" t="s">
        <v>4</v>
      </c>
      <c r="H21" s="270" t="s">
        <v>15</v>
      </c>
      <c r="I21" s="270">
        <v>0</v>
      </c>
      <c r="J21" s="270" t="s">
        <v>553</v>
      </c>
      <c r="K21" s="263">
        <v>1</v>
      </c>
      <c r="L21" s="263" t="str">
        <f ca="1">IFERROR(INDEX(Algorithms!J:J,MATCH($C21&amp;"_Therm Saved per Unit",Algorithms!$A:$A,0)),"n/a")</f>
        <v>5.4.5</v>
      </c>
      <c r="M21" s="263" t="str">
        <f>IFERROR(INDEX('Measure Level Detail'!$N:$N,MATCH($B21,'Measure Level Detail'!$B:$B,0)),0)</f>
        <v>each</v>
      </c>
      <c r="N21" s="271">
        <f>IFERROR(INDEX('Measure Level Detail'!$P:$P,MATCH($B21&amp;"_"&amp;N$3,'Measure Level Detail'!$C:$C,0)),0)</f>
        <v>405</v>
      </c>
      <c r="O21" s="271">
        <f>IFERROR(INDEX('Measure Level Detail'!$P:$P,MATCH($B21&amp;"_"&amp;O$3,'Measure Level Detail'!$C:$C,0)),0)</f>
        <v>405</v>
      </c>
      <c r="P21" s="271">
        <f>IFERROR(INDEX('Measure Level Detail'!$P:$P,MATCH($B21&amp;"_"&amp;P$3,'Measure Level Detail'!$C:$C,0)),0)</f>
        <v>405</v>
      </c>
      <c r="Q21" s="271">
        <f>IFERROR(INDEX('Measure Level Detail'!$P:$P,MATCH($B21&amp;"_"&amp;Q$3,'Measure Level Detail'!$C:$C,0)),0)</f>
        <v>405</v>
      </c>
      <c r="R21" s="263" t="str">
        <f ca="1">IFERROR(INDEX(Algorithms!K:K,MATCH($C21&amp;"_Therm Saved per Unit",Algorithms!$A:$A,0)),"n/a")</f>
        <v>RS-HWE-LFSH-V12-240101</v>
      </c>
      <c r="S21" s="262"/>
      <c r="T21" s="272">
        <v>11.319060638969999</v>
      </c>
      <c r="U21" s="272">
        <v>11.319060638969999</v>
      </c>
      <c r="V21" s="272">
        <v>11.319060638969999</v>
      </c>
      <c r="W21" s="272">
        <v>11.319060638969999</v>
      </c>
      <c r="X21" s="273">
        <f>IFERROR(INDEX('Measure Level Detail'!$R:$R,MATCH($B21&amp;"_"&amp;X$3,'Measure Level Detail'!$C:$C,0)),0)</f>
        <v>1.01</v>
      </c>
      <c r="Y21" s="273">
        <f>IFERROR(INDEX('Measure Level Detail'!$R:$R,MATCH($B21&amp;"_"&amp;Y$3,'Measure Level Detail'!$C:$C,0)),0)</f>
        <v>1.01</v>
      </c>
      <c r="Z21" s="273">
        <f>IFERROR(INDEX('Measure Level Detail'!$R:$R,MATCH($B21&amp;"_"&amp;Z$3,'Measure Level Detail'!$C:$C,0)),0)</f>
        <v>1.01</v>
      </c>
      <c r="AA21" s="273">
        <f>IFERROR(INDEX('Measure Level Detail'!$R:$R,MATCH($B21&amp;"_"&amp;AA$3,'Measure Level Detail'!$C:$C,0)),0)</f>
        <v>1.01</v>
      </c>
      <c r="AB21" s="266">
        <f t="shared" si="7"/>
        <v>4630.0617543706776</v>
      </c>
      <c r="AC21" s="266">
        <f t="shared" si="8"/>
        <v>4630.0617543706776</v>
      </c>
      <c r="AD21" s="266">
        <f t="shared" si="9"/>
        <v>4630.0617543706776</v>
      </c>
      <c r="AE21" s="266">
        <f t="shared" si="10"/>
        <v>4630.0617543706776</v>
      </c>
      <c r="AF21" s="266">
        <f t="shared" si="11"/>
        <v>18520.24701748271</v>
      </c>
      <c r="AG21" s="274">
        <v>1.01</v>
      </c>
      <c r="AH21" s="274">
        <v>1.01</v>
      </c>
      <c r="AI21" s="274">
        <v>1.01</v>
      </c>
      <c r="AJ21" s="274">
        <v>1.01</v>
      </c>
      <c r="AK21" s="274">
        <f t="shared" si="12"/>
        <v>1.01</v>
      </c>
      <c r="AL21" s="274">
        <f t="shared" si="13"/>
        <v>1.01</v>
      </c>
      <c r="AM21" s="274">
        <f t="shared" si="14"/>
        <v>1.01</v>
      </c>
      <c r="AN21" s="274">
        <f t="shared" si="15"/>
        <v>1.01</v>
      </c>
      <c r="AO21" s="262"/>
      <c r="AP21" s="262"/>
      <c r="AQ21" s="267">
        <v>12.139632199151192</v>
      </c>
      <c r="AR21" s="262"/>
      <c r="AS21" s="266">
        <f t="shared" si="16"/>
        <v>4965.7165510627947</v>
      </c>
      <c r="AT21" s="264">
        <f t="shared" si="17"/>
        <v>335.65479669211709</v>
      </c>
      <c r="AU21" s="262"/>
      <c r="AV21" s="262"/>
      <c r="AW21" s="265">
        <v>12.26741780124752</v>
      </c>
      <c r="AX21" s="164" t="s">
        <v>2392</v>
      </c>
      <c r="AY21" s="266">
        <v>4965.7165510627947</v>
      </c>
      <c r="AZ21" s="266">
        <f t="shared" si="45"/>
        <v>5017.9872516002979</v>
      </c>
      <c r="BA21" s="264">
        <f t="shared" si="18"/>
        <v>387.92549722962031</v>
      </c>
      <c r="BB21" s="262"/>
      <c r="BC21" s="262"/>
      <c r="BD21" s="265">
        <f ca="1">IFERROR(INDEX(Algorithms!$G:$G,MATCH($C21&amp;"_Therm Saved per Unit",Algorithms!$A:$A,0)),0)</f>
        <v>12.26741780124752</v>
      </c>
      <c r="BE21" s="164" t="str">
        <f ca="1">IFERROR(INDEX('v12 Revisions'!$P$29:$P$186, MATCH('Measure-Level Adj Gas'!$L21, 'v12 Revisions'!$D$29:$D$186,0)),"")</f>
        <v>n/a - plan assumes Direct Install, not Distributed School Efficiency Kit.</v>
      </c>
      <c r="BF21" s="266">
        <f t="shared" ca="1" si="19"/>
        <v>5017.9872516002979</v>
      </c>
      <c r="BG21" s="264">
        <f t="shared" ca="1" si="20"/>
        <v>387.92549722962031</v>
      </c>
      <c r="BH21" s="262"/>
      <c r="BI21" s="262"/>
      <c r="BJ21" s="265">
        <f ca="1">IFERROR(INDEX(Algorithms!$G:$G,MATCH($C21&amp;"_Therm Saved per Unit",Algorithms!$A:$A,0)),0)</f>
        <v>12.26741780124752</v>
      </c>
      <c r="BK21" s="164"/>
      <c r="BL21" s="266">
        <f t="shared" ca="1" si="21"/>
        <v>5017.9872516002979</v>
      </c>
      <c r="BM21" s="264">
        <f t="shared" ca="1" si="22"/>
        <v>387.92549722962031</v>
      </c>
      <c r="BN21" s="266">
        <f t="shared" si="23"/>
        <v>4965.7165510627947</v>
      </c>
      <c r="BO21" s="266">
        <f t="shared" si="44"/>
        <v>5017.9872516002979</v>
      </c>
      <c r="BP21" s="266">
        <f t="shared" ca="1" si="24"/>
        <v>5017.9872516002979</v>
      </c>
      <c r="BQ21" s="266">
        <f t="shared" ca="1" si="25"/>
        <v>5017.9872516002979</v>
      </c>
      <c r="BR21" s="268">
        <f t="shared" ca="1" si="26"/>
        <v>20019.678305863687</v>
      </c>
      <c r="BS21" s="262" t="s">
        <v>99</v>
      </c>
      <c r="BT21" s="164"/>
      <c r="BW21" s="266">
        <f t="shared" si="27"/>
        <v>4630.0617543706776</v>
      </c>
      <c r="BX21" s="266">
        <f t="shared" si="28"/>
        <v>4630.0617543706776</v>
      </c>
      <c r="BY21" s="266">
        <f t="shared" si="29"/>
        <v>4630.0617543706776</v>
      </c>
      <c r="BZ21" s="266">
        <f t="shared" si="30"/>
        <v>4630.0617543706776</v>
      </c>
      <c r="CA21" s="266">
        <f ca="1">N21*IFERROR(INDEX(Algorithms!$G:$G,MATCH($C21&amp;"_Therm Saved per Unit- MLA",Algorithms!$A:$A,0)),0)*X21</f>
        <v>0</v>
      </c>
      <c r="CB21" s="266">
        <f ca="1">O21*IFERROR(INDEX(Algorithms!$G:$G,MATCH($C21&amp;"_Therm Saved per Unit- MLA",Algorithms!$A:$A,0)),0)*Y21</f>
        <v>0</v>
      </c>
      <c r="CC21" s="266">
        <f ca="1">P21*IFERROR(INDEX(Algorithms!$G:$G,MATCH($C21&amp;"_Therm Saved per Unit- MLA",Algorithms!$A:$A,0)),0)*Z21</f>
        <v>0</v>
      </c>
      <c r="CD21" s="266">
        <f ca="1">Q21*IFERROR(INDEX(Algorithms!$G:$G,MATCH($C21&amp;"_Therm Saved per Unit- MLA",Algorithms!$A:$A,0)),0)*AA21</f>
        <v>0</v>
      </c>
      <c r="CE21" s="266">
        <f ca="1">IFERROR(INDEX(Algorithms!$G:$G,MATCH($C21&amp;"_Lifetime (years)",Algorithms!$A:$A,0)),0)</f>
        <v>10</v>
      </c>
      <c r="CF21" s="266">
        <f ca="1">IFERROR(INDEX(Algorithms!$G:$G,MATCH($C21&amp;"_Lifetime (years) - Remaining Years",Algorithms!$A:$A,0)),0)</f>
        <v>0</v>
      </c>
      <c r="CG21" s="266">
        <f t="shared" ca="1" si="31"/>
        <v>46300.617543706772</v>
      </c>
      <c r="CH21" s="266">
        <f t="shared" ca="1" si="32"/>
        <v>46300.617543706772</v>
      </c>
      <c r="CI21" s="266">
        <f t="shared" ca="1" si="33"/>
        <v>46300.617543706772</v>
      </c>
      <c r="CJ21" s="266">
        <f t="shared" ca="1" si="34"/>
        <v>46300.617543706772</v>
      </c>
      <c r="CK21" s="266">
        <f t="shared" si="35"/>
        <v>4965.7165510627947</v>
      </c>
      <c r="CL21" s="266">
        <f t="shared" si="36"/>
        <v>5017.9872516002979</v>
      </c>
      <c r="CM21" s="266">
        <f t="shared" ca="1" si="37"/>
        <v>5017.9872516002979</v>
      </c>
      <c r="CN21" s="266">
        <f t="shared" ca="1" si="38"/>
        <v>5017.9872516002979</v>
      </c>
      <c r="CO21" s="266">
        <f ca="1">N21*IFERROR(INDEX(Algorithms!$G:$G,MATCH($C21&amp;"_Therm Saved per Unit- MLA",Algorithms!$A:$A,0)),0)*X21</f>
        <v>0</v>
      </c>
      <c r="CP21" s="266">
        <f ca="1">O21*IFERROR(INDEX(Algorithms!$G:$G,MATCH($C21&amp;"_Therm Saved per Unit- MLA",Algorithms!$A:$A,0)),0)*Y21</f>
        <v>0</v>
      </c>
      <c r="CQ21" s="266">
        <f ca="1">P21*IFERROR(INDEX(Algorithms!$G:$G,MATCH($C21&amp;"_Therm Saved per Unit- MLA",Algorithms!$A:$A,0)),0)*Z21</f>
        <v>0</v>
      </c>
      <c r="CR21" s="266">
        <f ca="1">Q21*IFERROR(INDEX(Algorithms!$G:$G,MATCH($C21&amp;"_Therm Saved per Unit- MLA",Algorithms!$A:$A,0)),0)*AA21</f>
        <v>0</v>
      </c>
      <c r="CS21" s="266">
        <f ca="1">IFERROR(INDEX(Algorithms!$G:$G,MATCH($C21&amp;"_Lifetime (years)",Algorithms!$A:$A,0)),0)</f>
        <v>10</v>
      </c>
      <c r="CT21" s="266">
        <f ca="1">IFERROR(INDEX(Algorithms!$G:$G,MATCH($C21&amp;"_Lifetime (years) - Remaining Years",Algorithms!$A:$A,0)),0)</f>
        <v>0</v>
      </c>
      <c r="CU21" s="266">
        <f t="shared" ca="1" si="39"/>
        <v>49657.16551062795</v>
      </c>
      <c r="CV21" s="266">
        <f t="shared" ca="1" si="40"/>
        <v>50179.872516002979</v>
      </c>
      <c r="CW21" s="266">
        <f t="shared" ca="1" si="41"/>
        <v>50179.872516002979</v>
      </c>
      <c r="CX21" s="266">
        <f t="shared" ca="1" si="42"/>
        <v>50179.872516002979</v>
      </c>
    </row>
    <row r="22" spans="2:102" s="47" customFormat="1" ht="18" customHeight="1" x14ac:dyDescent="0.25">
      <c r="B22" t="str">
        <f t="shared" si="43"/>
        <v>NSG_Business_Small/Mid-Size Business_Rebates_Programmable Thermostat_0_CI</v>
      </c>
      <c r="C22" s="47" t="str">
        <f t="shared" si="6"/>
        <v>Programmable Thermostat_0_CI</v>
      </c>
      <c r="D22" s="270" t="s">
        <v>1787</v>
      </c>
      <c r="E22" s="270" t="s">
        <v>3</v>
      </c>
      <c r="F22" s="270" t="s">
        <v>1432</v>
      </c>
      <c r="G22" s="270" t="s">
        <v>1429</v>
      </c>
      <c r="H22" s="270" t="s">
        <v>224</v>
      </c>
      <c r="I22" s="270">
        <v>0</v>
      </c>
      <c r="J22" s="270" t="s">
        <v>1159</v>
      </c>
      <c r="K22" s="263">
        <v>1</v>
      </c>
      <c r="L22" s="263" t="str">
        <f ca="1">IFERROR(INDEX(Algorithms!J:J,MATCH($C22&amp;"_Therm Saved per Unit",Algorithms!$A:$A,0)),"n/a")</f>
        <v>4.4.48</v>
      </c>
      <c r="M22" s="263" t="str">
        <f>IFERROR(INDEX('Measure Level Detail'!$N:$N,MATCH($B22,'Measure Level Detail'!$B:$B,0)),0)</f>
        <v>each</v>
      </c>
      <c r="N22" s="271">
        <f>IFERROR(INDEX('Measure Level Detail'!$P:$P,MATCH($B22&amp;"_"&amp;N$3,'Measure Level Detail'!$C:$C,0)),0)</f>
        <v>7</v>
      </c>
      <c r="O22" s="271">
        <f>IFERROR(INDEX('Measure Level Detail'!$P:$P,MATCH($B22&amp;"_"&amp;O$3,'Measure Level Detail'!$C:$C,0)),0)</f>
        <v>7</v>
      </c>
      <c r="P22" s="271">
        <f>IFERROR(INDEX('Measure Level Detail'!$P:$P,MATCH($B22&amp;"_"&amp;P$3,'Measure Level Detail'!$C:$C,0)),0)</f>
        <v>6</v>
      </c>
      <c r="Q22" s="271">
        <f>IFERROR(INDEX('Measure Level Detail'!$P:$P,MATCH($B22&amp;"_"&amp;Q$3,'Measure Level Detail'!$C:$C,0)),0)</f>
        <v>6</v>
      </c>
      <c r="R22" s="263" t="str">
        <f ca="1">IFERROR(INDEX(Algorithms!K:K,MATCH($C22&amp;"_Therm Saved per Unit",Algorithms!$A:$A,0)),"n/a")</f>
        <v>CI-HVC-THST-V06-240101</v>
      </c>
      <c r="S22" s="262"/>
      <c r="T22" s="272">
        <v>159.30512500000003</v>
      </c>
      <c r="U22" s="272">
        <v>159.30512500000003</v>
      </c>
      <c r="V22" s="272">
        <v>159.30512500000003</v>
      </c>
      <c r="W22" s="272">
        <v>159.30512500000003</v>
      </c>
      <c r="X22" s="275">
        <v>0.96</v>
      </c>
      <c r="Y22" s="275">
        <v>0.96</v>
      </c>
      <c r="Z22" s="275">
        <v>0.96</v>
      </c>
      <c r="AA22" s="275">
        <v>0.96</v>
      </c>
      <c r="AB22" s="266">
        <f t="shared" si="7"/>
        <v>1070.5304400000002</v>
      </c>
      <c r="AC22" s="266">
        <f t="shared" si="8"/>
        <v>1070.5304400000002</v>
      </c>
      <c r="AD22" s="266">
        <f t="shared" si="9"/>
        <v>917.59752000000015</v>
      </c>
      <c r="AE22" s="266">
        <f t="shared" si="10"/>
        <v>917.59752000000015</v>
      </c>
      <c r="AF22" s="266">
        <f t="shared" si="11"/>
        <v>3976.255920000001</v>
      </c>
      <c r="AG22" s="274">
        <v>0.96</v>
      </c>
      <c r="AH22" s="274">
        <v>0.97</v>
      </c>
      <c r="AI22" s="274">
        <v>0.97</v>
      </c>
      <c r="AJ22" s="274">
        <v>0.97</v>
      </c>
      <c r="AK22" s="274">
        <f t="shared" si="12"/>
        <v>0.96</v>
      </c>
      <c r="AL22" s="274">
        <f t="shared" si="13"/>
        <v>0.96</v>
      </c>
      <c r="AM22" s="274">
        <f t="shared" si="14"/>
        <v>0.96</v>
      </c>
      <c r="AN22" s="274">
        <f t="shared" si="15"/>
        <v>0.96</v>
      </c>
      <c r="AO22" s="262"/>
      <c r="AP22" s="262"/>
      <c r="AQ22" s="267">
        <v>200.26929999999999</v>
      </c>
      <c r="AR22" s="262"/>
      <c r="AS22" s="266">
        <f t="shared" si="16"/>
        <v>1345.809696</v>
      </c>
      <c r="AT22" s="264">
        <f t="shared" si="17"/>
        <v>275.2792559999998</v>
      </c>
      <c r="AU22" s="262"/>
      <c r="AV22" s="262"/>
      <c r="AW22" s="265">
        <v>200.26929999999999</v>
      </c>
      <c r="AX22" s="164" t="s">
        <v>1469</v>
      </c>
      <c r="AY22" s="266">
        <v>1345.809696</v>
      </c>
      <c r="AZ22" s="266">
        <f t="shared" si="45"/>
        <v>1345.809696</v>
      </c>
      <c r="BA22" s="264">
        <f t="shared" si="18"/>
        <v>275.2792559999998</v>
      </c>
      <c r="BB22" s="262"/>
      <c r="BC22" s="262"/>
      <c r="BD22" s="265">
        <f ca="1">IFERROR(INDEX(Algorithms!$G:$G,MATCH($C22&amp;"_Therm Saved per Unit",Algorithms!$A:$A,0)),0)</f>
        <v>200.26929999999999</v>
      </c>
      <c r="BE22" s="164" t="str">
        <f ca="1">IFERROR(INDEX('v12 Revisions'!$P$29:$P$186, MATCH('Measure-Level Adj Gas'!$L22, 'v12 Revisions'!$D$29:$D$186,0)),"")</f>
        <v>n/a - only affects electric energy savings algorithm.</v>
      </c>
      <c r="BF22" s="266">
        <f t="shared" ca="1" si="19"/>
        <v>1153.551168</v>
      </c>
      <c r="BG22" s="264">
        <f t="shared" ca="1" si="20"/>
        <v>235.95364799999982</v>
      </c>
      <c r="BH22" s="262"/>
      <c r="BI22" s="262"/>
      <c r="BJ22" s="265">
        <f ca="1">IFERROR(INDEX(Algorithms!$G:$G,MATCH($C22&amp;"_Therm Saved per Unit",Algorithms!$A:$A,0)),0)</f>
        <v>200.26929999999999</v>
      </c>
      <c r="BK22" s="164"/>
      <c r="BL22" s="266">
        <f t="shared" ca="1" si="21"/>
        <v>1153.551168</v>
      </c>
      <c r="BM22" s="264">
        <f t="shared" ca="1" si="22"/>
        <v>235.95364799999982</v>
      </c>
      <c r="BN22" s="266">
        <f t="shared" si="23"/>
        <v>1345.809696</v>
      </c>
      <c r="BO22" s="266">
        <f t="shared" si="44"/>
        <v>1345.809696</v>
      </c>
      <c r="BP22" s="266">
        <f t="shared" ca="1" si="24"/>
        <v>1153.551168</v>
      </c>
      <c r="BQ22" s="266">
        <f t="shared" ca="1" si="25"/>
        <v>1153.551168</v>
      </c>
      <c r="BR22" s="268">
        <f t="shared" ca="1" si="26"/>
        <v>4998.7217280000004</v>
      </c>
      <c r="BS22" s="262" t="s">
        <v>99</v>
      </c>
      <c r="BT22" s="164"/>
      <c r="BW22" s="266">
        <f t="shared" si="27"/>
        <v>1070.5304400000002</v>
      </c>
      <c r="BX22" s="266">
        <f t="shared" si="28"/>
        <v>1070.5304400000002</v>
      </c>
      <c r="BY22" s="266">
        <f t="shared" si="29"/>
        <v>917.59752000000015</v>
      </c>
      <c r="BZ22" s="266">
        <f t="shared" si="30"/>
        <v>917.59752000000015</v>
      </c>
      <c r="CA22" s="266">
        <f ca="1">N22*IFERROR(INDEX(Algorithms!$G:$G,MATCH($C22&amp;"_Therm Saved per Unit- MLA",Algorithms!$A:$A,0)),0)*X22</f>
        <v>0</v>
      </c>
      <c r="CB22" s="266">
        <f ca="1">O22*IFERROR(INDEX(Algorithms!$G:$G,MATCH($C22&amp;"_Therm Saved per Unit- MLA",Algorithms!$A:$A,0)),0)*Y22</f>
        <v>0</v>
      </c>
      <c r="CC22" s="266">
        <f ca="1">P22*IFERROR(INDEX(Algorithms!$G:$G,MATCH($C22&amp;"_Therm Saved per Unit- MLA",Algorithms!$A:$A,0)),0)*Z22</f>
        <v>0</v>
      </c>
      <c r="CD22" s="266">
        <f ca="1">Q22*IFERROR(INDEX(Algorithms!$G:$G,MATCH($C22&amp;"_Therm Saved per Unit- MLA",Algorithms!$A:$A,0)),0)*AA22</f>
        <v>0</v>
      </c>
      <c r="CE22" s="266">
        <f ca="1">IFERROR(INDEX(Algorithms!$G:$G,MATCH($C22&amp;"_Lifetime (years)",Algorithms!$A:$A,0)),0)</f>
        <v>11</v>
      </c>
      <c r="CF22" s="266">
        <f ca="1">IFERROR(INDEX(Algorithms!$G:$G,MATCH($C22&amp;"_Lifetime (years) - Remaining Years",Algorithms!$A:$A,0)),0)</f>
        <v>0</v>
      </c>
      <c r="CG22" s="266">
        <f t="shared" ca="1" si="31"/>
        <v>11775.834840000003</v>
      </c>
      <c r="CH22" s="266">
        <f t="shared" ca="1" si="32"/>
        <v>11775.834840000003</v>
      </c>
      <c r="CI22" s="266">
        <f t="shared" ca="1" si="33"/>
        <v>10093.572720000002</v>
      </c>
      <c r="CJ22" s="266">
        <f t="shared" ca="1" si="34"/>
        <v>10093.572720000002</v>
      </c>
      <c r="CK22" s="266">
        <f t="shared" si="35"/>
        <v>1345.809696</v>
      </c>
      <c r="CL22" s="266">
        <f t="shared" si="36"/>
        <v>1345.809696</v>
      </c>
      <c r="CM22" s="266">
        <f t="shared" ca="1" si="37"/>
        <v>1153.551168</v>
      </c>
      <c r="CN22" s="266">
        <f t="shared" ca="1" si="38"/>
        <v>1153.551168</v>
      </c>
      <c r="CO22" s="266">
        <f ca="1">N22*IFERROR(INDEX(Algorithms!$G:$G,MATCH($C22&amp;"_Therm Saved per Unit- MLA",Algorithms!$A:$A,0)),0)*X22</f>
        <v>0</v>
      </c>
      <c r="CP22" s="266">
        <f ca="1">O22*IFERROR(INDEX(Algorithms!$G:$G,MATCH($C22&amp;"_Therm Saved per Unit- MLA",Algorithms!$A:$A,0)),0)*Y22</f>
        <v>0</v>
      </c>
      <c r="CQ22" s="266">
        <f ca="1">P22*IFERROR(INDEX(Algorithms!$G:$G,MATCH($C22&amp;"_Therm Saved per Unit- MLA",Algorithms!$A:$A,0)),0)*Z22</f>
        <v>0</v>
      </c>
      <c r="CR22" s="266">
        <f ca="1">Q22*IFERROR(INDEX(Algorithms!$G:$G,MATCH($C22&amp;"_Therm Saved per Unit- MLA",Algorithms!$A:$A,0)),0)*AA22</f>
        <v>0</v>
      </c>
      <c r="CS22" s="266">
        <f ca="1">IFERROR(INDEX(Algorithms!$G:$G,MATCH($C22&amp;"_Lifetime (years)",Algorithms!$A:$A,0)),0)</f>
        <v>11</v>
      </c>
      <c r="CT22" s="266">
        <f ca="1">IFERROR(INDEX(Algorithms!$G:$G,MATCH($C22&amp;"_Lifetime (years) - Remaining Years",Algorithms!$A:$A,0)),0)</f>
        <v>0</v>
      </c>
      <c r="CU22" s="266">
        <f t="shared" ca="1" si="39"/>
        <v>14803.906656000001</v>
      </c>
      <c r="CV22" s="266">
        <f t="shared" ca="1" si="40"/>
        <v>14803.906656000001</v>
      </c>
      <c r="CW22" s="266">
        <f t="shared" ca="1" si="41"/>
        <v>12689.062848</v>
      </c>
      <c r="CX22" s="266">
        <f t="shared" ca="1" si="42"/>
        <v>12689.062848</v>
      </c>
    </row>
    <row r="23" spans="2:102" s="47" customFormat="1" ht="18" customHeight="1" x14ac:dyDescent="0.25">
      <c r="B23" t="str">
        <f t="shared" si="43"/>
        <v>NSG_Income Eligible_Single Family_IE Kits_Low Flow Kitchen Aerator_IE Kit_IE</v>
      </c>
      <c r="C23" s="47" t="str">
        <f t="shared" si="6"/>
        <v>Low Flow Kitchen Aerator_IE Kit_IE</v>
      </c>
      <c r="D23" s="270" t="s">
        <v>1787</v>
      </c>
      <c r="E23" s="270" t="s">
        <v>325</v>
      </c>
      <c r="F23" s="270" t="s">
        <v>375</v>
      </c>
      <c r="G23" s="270" t="s">
        <v>1440</v>
      </c>
      <c r="H23" s="270" t="s">
        <v>533</v>
      </c>
      <c r="I23" s="270" t="s">
        <v>550</v>
      </c>
      <c r="J23" s="270" t="s">
        <v>551</v>
      </c>
      <c r="K23" s="263">
        <v>1</v>
      </c>
      <c r="L23" s="263" t="str">
        <f ca="1">IFERROR(INDEX(Algorithms!J:J,MATCH($C23&amp;"_Therm Saved per Unit",Algorithms!$A:$A,0)),"n/a")</f>
        <v>5.4.4</v>
      </c>
      <c r="M23" s="263" t="str">
        <f>IFERROR(INDEX('Measure Level Detail'!$N:$N,MATCH($B23,'Measure Level Detail'!$B:$B,0)),0)</f>
        <v>Each</v>
      </c>
      <c r="N23" s="271">
        <f>IFERROR(INDEX('Measure Level Detail'!$P:$P,MATCH($B23&amp;"_"&amp;N$3,'Measure Level Detail'!$C:$C,0)),0)</f>
        <v>560</v>
      </c>
      <c r="O23" s="271">
        <f>IFERROR(INDEX('Measure Level Detail'!$P:$P,MATCH($B23&amp;"_"&amp;O$3,'Measure Level Detail'!$C:$C,0)),0)</f>
        <v>560</v>
      </c>
      <c r="P23" s="271">
        <f>IFERROR(INDEX('Measure Level Detail'!$P:$P,MATCH($B23&amp;"_"&amp;P$3,'Measure Level Detail'!$C:$C,0)),0)</f>
        <v>560</v>
      </c>
      <c r="Q23" s="271">
        <f>IFERROR(INDEX('Measure Level Detail'!$P:$P,MATCH($B23&amp;"_"&amp;Q$3,'Measure Level Detail'!$C:$C,0)),0)</f>
        <v>560</v>
      </c>
      <c r="R23" s="263" t="str">
        <f ca="1">IFERROR(INDEX(Algorithms!K:K,MATCH($C23&amp;"_Therm Saved per Unit",Algorithms!$A:$A,0)),"n/a")</f>
        <v>RS-HWE-LFFA-V13-240101</v>
      </c>
      <c r="S23" s="262"/>
      <c r="T23" s="272">
        <v>4.9752596113338461</v>
      </c>
      <c r="U23" s="272">
        <v>4.9752596113338461</v>
      </c>
      <c r="V23" s="272">
        <v>4.9752596113338461</v>
      </c>
      <c r="W23" s="272">
        <v>4.9752596113338461</v>
      </c>
      <c r="X23" s="273">
        <f>IFERROR(INDEX('Measure Level Detail'!$R:$R,MATCH($B23&amp;"_"&amp;X$3,'Measure Level Detail'!$C:$C,0)),0)</f>
        <v>1</v>
      </c>
      <c r="Y23" s="273">
        <f>IFERROR(INDEX('Measure Level Detail'!$R:$R,MATCH($B23&amp;"_"&amp;Y$3,'Measure Level Detail'!$C:$C,0)),0)</f>
        <v>1</v>
      </c>
      <c r="Z23" s="273">
        <f>IFERROR(INDEX('Measure Level Detail'!$R:$R,MATCH($B23&amp;"_"&amp;Z$3,'Measure Level Detail'!$C:$C,0)),0)</f>
        <v>1</v>
      </c>
      <c r="AA23" s="273">
        <f>IFERROR(INDEX('Measure Level Detail'!$R:$R,MATCH($B23&amp;"_"&amp;AA$3,'Measure Level Detail'!$C:$C,0)),0)</f>
        <v>1</v>
      </c>
      <c r="AB23" s="266">
        <f t="shared" si="7"/>
        <v>2786.1453823469537</v>
      </c>
      <c r="AC23" s="266">
        <f t="shared" si="8"/>
        <v>2786.1453823469537</v>
      </c>
      <c r="AD23" s="266">
        <f t="shared" si="9"/>
        <v>2786.1453823469537</v>
      </c>
      <c r="AE23" s="266">
        <f t="shared" si="10"/>
        <v>2786.1453823469537</v>
      </c>
      <c r="AF23" s="266">
        <f t="shared" si="11"/>
        <v>11144.581529387815</v>
      </c>
      <c r="AG23" s="274">
        <v>1</v>
      </c>
      <c r="AH23" s="274">
        <v>1</v>
      </c>
      <c r="AI23" s="274">
        <v>1</v>
      </c>
      <c r="AJ23" s="274">
        <v>1</v>
      </c>
      <c r="AK23" s="274">
        <f t="shared" si="12"/>
        <v>1</v>
      </c>
      <c r="AL23" s="274">
        <f t="shared" si="13"/>
        <v>1</v>
      </c>
      <c r="AM23" s="274">
        <f t="shared" si="14"/>
        <v>1</v>
      </c>
      <c r="AN23" s="274">
        <f t="shared" si="15"/>
        <v>1</v>
      </c>
      <c r="AO23" s="262"/>
      <c r="AP23" s="262"/>
      <c r="AQ23" s="267">
        <v>5.4101152071830771</v>
      </c>
      <c r="AR23" s="262"/>
      <c r="AS23" s="266">
        <f t="shared" si="16"/>
        <v>3029.664516022523</v>
      </c>
      <c r="AT23" s="264">
        <f t="shared" si="17"/>
        <v>243.51913367556926</v>
      </c>
      <c r="AU23" s="262"/>
      <c r="AV23" s="262"/>
      <c r="AW23" s="265">
        <v>5.4101152071830771</v>
      </c>
      <c r="AX23" s="164" t="s">
        <v>2392</v>
      </c>
      <c r="AY23" s="266">
        <v>3029.664516022523</v>
      </c>
      <c r="AZ23" s="266">
        <f t="shared" si="45"/>
        <v>3029.664516022523</v>
      </c>
      <c r="BA23" s="264">
        <f t="shared" si="18"/>
        <v>243.51913367556926</v>
      </c>
      <c r="BB23" s="262"/>
      <c r="BC23" s="262"/>
      <c r="BD23" s="265">
        <f ca="1">IFERROR(INDEX(Algorithms!$G:$G,MATCH($C23&amp;"_Therm Saved per Unit",Algorithms!$A:$A,0)),0)</f>
        <v>5.4101152071830771</v>
      </c>
      <c r="BE23" s="164" t="str">
        <f ca="1">IFERROR(INDEX('v12 Revisions'!$P$29:$P$186, MATCH('Measure-Level Adj Gas'!$L23, 'v12 Revisions'!$D$29:$D$186,0)),"")</f>
        <v>n/a - plan assumes Direct Install, not Distributed School Efficiency Kit.</v>
      </c>
      <c r="BF23" s="266">
        <f t="shared" ca="1" si="19"/>
        <v>3029.664516022523</v>
      </c>
      <c r="BG23" s="264">
        <f t="shared" ca="1" si="20"/>
        <v>243.51913367556926</v>
      </c>
      <c r="BH23" s="262"/>
      <c r="BI23" s="262"/>
      <c r="BJ23" s="265">
        <f ca="1">IFERROR(INDEX(Algorithms!$G:$G,MATCH($C23&amp;"_Therm Saved per Unit",Algorithms!$A:$A,0)),0)</f>
        <v>5.4101152071830771</v>
      </c>
      <c r="BK23" s="164"/>
      <c r="BL23" s="266">
        <f t="shared" ca="1" si="21"/>
        <v>3029.664516022523</v>
      </c>
      <c r="BM23" s="264">
        <f t="shared" ca="1" si="22"/>
        <v>243.51913367556926</v>
      </c>
      <c r="BN23" s="266">
        <f t="shared" si="23"/>
        <v>3029.664516022523</v>
      </c>
      <c r="BO23" s="266">
        <f t="shared" si="44"/>
        <v>3029.664516022523</v>
      </c>
      <c r="BP23" s="266">
        <f t="shared" ca="1" si="24"/>
        <v>3029.664516022523</v>
      </c>
      <c r="BQ23" s="266">
        <f t="shared" ca="1" si="25"/>
        <v>3029.664516022523</v>
      </c>
      <c r="BR23" s="268">
        <f t="shared" ca="1" si="26"/>
        <v>12118.658064090092</v>
      </c>
      <c r="BS23" s="262" t="s">
        <v>99</v>
      </c>
      <c r="BT23" s="164"/>
      <c r="BW23" s="266">
        <f t="shared" si="27"/>
        <v>2786.1453823469537</v>
      </c>
      <c r="BX23" s="266">
        <f t="shared" si="28"/>
        <v>2786.1453823469537</v>
      </c>
      <c r="BY23" s="266">
        <f t="shared" si="29"/>
        <v>2786.1453823469537</v>
      </c>
      <c r="BZ23" s="266">
        <f t="shared" si="30"/>
        <v>2786.1453823469537</v>
      </c>
      <c r="CA23" s="266">
        <f ca="1">N23*IFERROR(INDEX(Algorithms!$G:$G,MATCH($C23&amp;"_Therm Saved per Unit- MLA",Algorithms!$A:$A,0)),0)*X23</f>
        <v>0</v>
      </c>
      <c r="CB23" s="266">
        <f ca="1">O23*IFERROR(INDEX(Algorithms!$G:$G,MATCH($C23&amp;"_Therm Saved per Unit- MLA",Algorithms!$A:$A,0)),0)*Y23</f>
        <v>0</v>
      </c>
      <c r="CC23" s="266">
        <f ca="1">P23*IFERROR(INDEX(Algorithms!$G:$G,MATCH($C23&amp;"_Therm Saved per Unit- MLA",Algorithms!$A:$A,0)),0)*Z23</f>
        <v>0</v>
      </c>
      <c r="CD23" s="266">
        <f ca="1">Q23*IFERROR(INDEX(Algorithms!$G:$G,MATCH($C23&amp;"_Therm Saved per Unit- MLA",Algorithms!$A:$A,0)),0)*AA23</f>
        <v>0</v>
      </c>
      <c r="CE23" s="266">
        <f ca="1">IFERROR(INDEX(Algorithms!$G:$G,MATCH($C23&amp;"_Lifetime (years)",Algorithms!$A:$A,0)),0)</f>
        <v>10</v>
      </c>
      <c r="CF23" s="266">
        <f ca="1">IFERROR(INDEX(Algorithms!$G:$G,MATCH($C23&amp;"_Lifetime (years) - Remaining Years",Algorithms!$A:$A,0)),0)</f>
        <v>0</v>
      </c>
      <c r="CG23" s="266">
        <f t="shared" ca="1" si="31"/>
        <v>27861.453823469536</v>
      </c>
      <c r="CH23" s="266">
        <f t="shared" ca="1" si="32"/>
        <v>27861.453823469536</v>
      </c>
      <c r="CI23" s="266">
        <f t="shared" ca="1" si="33"/>
        <v>27861.453823469536</v>
      </c>
      <c r="CJ23" s="266">
        <f t="shared" ca="1" si="34"/>
        <v>27861.453823469536</v>
      </c>
      <c r="CK23" s="266">
        <f t="shared" si="35"/>
        <v>3029.664516022523</v>
      </c>
      <c r="CL23" s="266">
        <f t="shared" si="36"/>
        <v>3029.664516022523</v>
      </c>
      <c r="CM23" s="266">
        <f t="shared" ca="1" si="37"/>
        <v>3029.664516022523</v>
      </c>
      <c r="CN23" s="266">
        <f t="shared" ca="1" si="38"/>
        <v>3029.664516022523</v>
      </c>
      <c r="CO23" s="266">
        <f ca="1">N23*IFERROR(INDEX(Algorithms!$G:$G,MATCH($C23&amp;"_Therm Saved per Unit- MLA",Algorithms!$A:$A,0)),0)*X23</f>
        <v>0</v>
      </c>
      <c r="CP23" s="266">
        <f ca="1">O23*IFERROR(INDEX(Algorithms!$G:$G,MATCH($C23&amp;"_Therm Saved per Unit- MLA",Algorithms!$A:$A,0)),0)*Y23</f>
        <v>0</v>
      </c>
      <c r="CQ23" s="266">
        <f ca="1">P23*IFERROR(INDEX(Algorithms!$G:$G,MATCH($C23&amp;"_Therm Saved per Unit- MLA",Algorithms!$A:$A,0)),0)*Z23</f>
        <v>0</v>
      </c>
      <c r="CR23" s="266">
        <f ca="1">Q23*IFERROR(INDEX(Algorithms!$G:$G,MATCH($C23&amp;"_Therm Saved per Unit- MLA",Algorithms!$A:$A,0)),0)*AA23</f>
        <v>0</v>
      </c>
      <c r="CS23" s="266">
        <f ca="1">IFERROR(INDEX(Algorithms!$G:$G,MATCH($C23&amp;"_Lifetime (years)",Algorithms!$A:$A,0)),0)</f>
        <v>10</v>
      </c>
      <c r="CT23" s="266">
        <f ca="1">IFERROR(INDEX(Algorithms!$G:$G,MATCH($C23&amp;"_Lifetime (years) - Remaining Years",Algorithms!$A:$A,0)),0)</f>
        <v>0</v>
      </c>
      <c r="CU23" s="266">
        <f t="shared" ca="1" si="39"/>
        <v>30296.645160225231</v>
      </c>
      <c r="CV23" s="266">
        <f t="shared" ca="1" si="40"/>
        <v>30296.645160225231</v>
      </c>
      <c r="CW23" s="266">
        <f t="shared" ca="1" si="41"/>
        <v>30296.645160225231</v>
      </c>
      <c r="CX23" s="266">
        <f t="shared" ca="1" si="42"/>
        <v>30296.645160225231</v>
      </c>
    </row>
    <row r="24" spans="2:102" s="47" customFormat="1" ht="18" customHeight="1" x14ac:dyDescent="0.25">
      <c r="B24" t="str">
        <f t="shared" si="43"/>
        <v>NSG_Business_C&amp;I_Rebates_DHW Storage Tank Insulation_0_MF/CI/SMB</v>
      </c>
      <c r="C24" s="47" t="str">
        <f t="shared" si="6"/>
        <v>DHW Storage Tank Insulation_0_MF/CI/SMB</v>
      </c>
      <c r="D24" s="270" t="s">
        <v>1787</v>
      </c>
      <c r="E24" s="270" t="s">
        <v>3</v>
      </c>
      <c r="F24" s="270" t="s">
        <v>1427</v>
      </c>
      <c r="G24" s="270" t="s">
        <v>1429</v>
      </c>
      <c r="H24" s="270" t="s">
        <v>832</v>
      </c>
      <c r="I24" s="270">
        <v>0</v>
      </c>
      <c r="J24" s="270" t="s">
        <v>662</v>
      </c>
      <c r="K24" s="263">
        <v>1</v>
      </c>
      <c r="L24" s="263" t="str">
        <f ca="1">IFERROR(INDEX(Algorithms!J:J,MATCH($C24&amp;"_Therm Saved per Unit",Algorithms!$A:$A,0)),"n/a")</f>
        <v>4.3.12</v>
      </c>
      <c r="M24" s="263" t="str">
        <f>IFERROR(INDEX('Measure Level Detail'!$N:$N,MATCH($B24,'Measure Level Detail'!$B:$B,0)),0)</f>
        <v>sqft</v>
      </c>
      <c r="N24" s="271">
        <f>IFERROR(INDEX('Measure Level Detail'!$P:$P,MATCH($B24&amp;"_"&amp;N$3,'Measure Level Detail'!$C:$C,0)),0)</f>
        <v>95.2</v>
      </c>
      <c r="O24" s="271">
        <f>IFERROR(INDEX('Measure Level Detail'!$P:$P,MATCH($B24&amp;"_"&amp;O$3,'Measure Level Detail'!$C:$C,0)),0)</f>
        <v>89.600000000000009</v>
      </c>
      <c r="P24" s="271">
        <f>IFERROR(INDEX('Measure Level Detail'!$P:$P,MATCH($B24&amp;"_"&amp;P$3,'Measure Level Detail'!$C:$C,0)),0)</f>
        <v>78.399999999999991</v>
      </c>
      <c r="Q24" s="271">
        <f>IFERROR(INDEX('Measure Level Detail'!$P:$P,MATCH($B24&amp;"_"&amp;Q$3,'Measure Level Detail'!$C:$C,0)),0)</f>
        <v>76.160000000000011</v>
      </c>
      <c r="R24" s="263" t="str">
        <f ca="1">IFERROR(INDEX(Algorithms!K:K,MATCH($C24&amp;"_Therm Saved per Unit",Algorithms!$A:$A,0)),"n/a")</f>
        <v>CI-HWE-TKIN-V03-240101</v>
      </c>
      <c r="S24" s="262"/>
      <c r="T24" s="272">
        <v>6.9553729140568805</v>
      </c>
      <c r="U24" s="272">
        <v>6.9553729140568805</v>
      </c>
      <c r="V24" s="272">
        <v>6.9553729140568805</v>
      </c>
      <c r="W24" s="272">
        <v>6.9553729140568805</v>
      </c>
      <c r="X24" s="273">
        <f>IFERROR(INDEX('Measure Level Detail'!$R:$R,MATCH($B24&amp;"_"&amp;X$3,'Measure Level Detail'!$C:$C,0)),0)</f>
        <v>0.91</v>
      </c>
      <c r="Y24" s="273">
        <f>IFERROR(INDEX('Measure Level Detail'!$R:$R,MATCH($B24&amp;"_"&amp;Y$3,'Measure Level Detail'!$C:$C,0)),0)</f>
        <v>0.91</v>
      </c>
      <c r="Z24" s="273">
        <f>IFERROR(INDEX('Measure Level Detail'!$R:$R,MATCH($B24&amp;"_"&amp;Z$3,'Measure Level Detail'!$C:$C,0)),0)</f>
        <v>0.91</v>
      </c>
      <c r="AA24" s="273">
        <f>IFERROR(INDEX('Measure Level Detail'!$R:$R,MATCH($B24&amp;"_"&amp;AA$3,'Measure Level Detail'!$C:$C,0)),0)</f>
        <v>0.91</v>
      </c>
      <c r="AB24" s="266">
        <f t="shared" si="7"/>
        <v>602.5578662905757</v>
      </c>
      <c r="AC24" s="266">
        <f t="shared" si="8"/>
        <v>567.1132859205419</v>
      </c>
      <c r="AD24" s="266">
        <f t="shared" si="9"/>
        <v>496.22412518047406</v>
      </c>
      <c r="AE24" s="266">
        <f t="shared" si="10"/>
        <v>482.0462930324606</v>
      </c>
      <c r="AF24" s="266">
        <f t="shared" si="11"/>
        <v>2147.9415704240523</v>
      </c>
      <c r="AG24" s="274">
        <v>0.91</v>
      </c>
      <c r="AH24" s="274">
        <v>0.91</v>
      </c>
      <c r="AI24" s="274">
        <v>0.91</v>
      </c>
      <c r="AJ24" s="274">
        <v>0.91</v>
      </c>
      <c r="AK24" s="274">
        <f t="shared" si="12"/>
        <v>0.91</v>
      </c>
      <c r="AL24" s="274">
        <f t="shared" si="13"/>
        <v>0.91</v>
      </c>
      <c r="AM24" s="274">
        <f t="shared" si="14"/>
        <v>0.91</v>
      </c>
      <c r="AN24" s="274">
        <f t="shared" si="15"/>
        <v>0.91</v>
      </c>
      <c r="AO24" s="262"/>
      <c r="AP24" s="262"/>
      <c r="AQ24" s="267">
        <v>9.7375220796796338</v>
      </c>
      <c r="AR24" s="262"/>
      <c r="AS24" s="266">
        <f t="shared" si="16"/>
        <v>843.58101280680614</v>
      </c>
      <c r="AT24" s="264">
        <f t="shared" si="17"/>
        <v>241.02314651623044</v>
      </c>
      <c r="AU24" s="262"/>
      <c r="AV24" s="262"/>
      <c r="AW24" s="265">
        <v>9.7375220796796338</v>
      </c>
      <c r="AX24" s="164" t="s">
        <v>1469</v>
      </c>
      <c r="AY24" s="266">
        <v>793.95860028875882</v>
      </c>
      <c r="AZ24" s="266">
        <f t="shared" si="45"/>
        <v>793.95860028875882</v>
      </c>
      <c r="BA24" s="264">
        <f t="shared" si="18"/>
        <v>226.84531436821692</v>
      </c>
      <c r="BB24" s="262"/>
      <c r="BC24" s="262"/>
      <c r="BD24" s="265">
        <f ca="1">IFERROR(INDEX(Algorithms!$G:$G,MATCH($C24&amp;"_Therm Saved per Unit",Algorithms!$A:$A,0)),0)</f>
        <v>9.7375220796796338</v>
      </c>
      <c r="BE24" s="164" t="str">
        <f ca="1">IFERROR(INDEX('v12 Revisions'!$P$29:$P$186, MATCH('Measure-Level Adj Gas'!$L24, 'v12 Revisions'!$D$29:$D$186,0)),"")</f>
        <v/>
      </c>
      <c r="BF24" s="266">
        <f t="shared" ca="1" si="19"/>
        <v>694.71377525266371</v>
      </c>
      <c r="BG24" s="264">
        <f t="shared" ca="1" si="20"/>
        <v>198.48965007218965</v>
      </c>
      <c r="BH24" s="262"/>
      <c r="BI24" s="262"/>
      <c r="BJ24" s="265">
        <f ca="1">IFERROR(INDEX(Algorithms!$G:$G,MATCH($C24&amp;"_Therm Saved per Unit",Algorithms!$A:$A,0)),0)</f>
        <v>9.7375220796796338</v>
      </c>
      <c r="BK24" s="164"/>
      <c r="BL24" s="266">
        <f t="shared" ca="1" si="21"/>
        <v>674.86481024544491</v>
      </c>
      <c r="BM24" s="264">
        <f t="shared" ca="1" si="22"/>
        <v>192.81851721298432</v>
      </c>
      <c r="BN24" s="266">
        <f t="shared" si="23"/>
        <v>843.58101280680614</v>
      </c>
      <c r="BO24" s="266">
        <f t="shared" si="44"/>
        <v>793.95860028875882</v>
      </c>
      <c r="BP24" s="266">
        <f t="shared" ca="1" si="24"/>
        <v>694.71377525266371</v>
      </c>
      <c r="BQ24" s="266">
        <f t="shared" ca="1" si="25"/>
        <v>674.86481024544491</v>
      </c>
      <c r="BR24" s="268">
        <f t="shared" ca="1" si="26"/>
        <v>3007.1181985936737</v>
      </c>
      <c r="BS24" s="262" t="s">
        <v>99</v>
      </c>
      <c r="BT24" s="164"/>
      <c r="BW24" s="266">
        <f t="shared" si="27"/>
        <v>602.5578662905757</v>
      </c>
      <c r="BX24" s="266">
        <f t="shared" si="28"/>
        <v>567.1132859205419</v>
      </c>
      <c r="BY24" s="266">
        <f t="shared" si="29"/>
        <v>496.22412518047406</v>
      </c>
      <c r="BZ24" s="266">
        <f t="shared" si="30"/>
        <v>482.0462930324606</v>
      </c>
      <c r="CA24" s="266">
        <f ca="1">N24*IFERROR(INDEX(Algorithms!$G:$G,MATCH($C24&amp;"_Therm Saved per Unit- MLA",Algorithms!$A:$A,0)),0)*X24</f>
        <v>0</v>
      </c>
      <c r="CB24" s="266">
        <f ca="1">O24*IFERROR(INDEX(Algorithms!$G:$G,MATCH($C24&amp;"_Therm Saved per Unit- MLA",Algorithms!$A:$A,0)),0)*Y24</f>
        <v>0</v>
      </c>
      <c r="CC24" s="266">
        <f ca="1">P24*IFERROR(INDEX(Algorithms!$G:$G,MATCH($C24&amp;"_Therm Saved per Unit- MLA",Algorithms!$A:$A,0)),0)*Z24</f>
        <v>0</v>
      </c>
      <c r="CD24" s="266">
        <f ca="1">Q24*IFERROR(INDEX(Algorithms!$G:$G,MATCH($C24&amp;"_Therm Saved per Unit- MLA",Algorithms!$A:$A,0)),0)*AA24</f>
        <v>0</v>
      </c>
      <c r="CE24" s="266">
        <f ca="1">IFERROR(INDEX(Algorithms!$G:$G,MATCH($C24&amp;"_Lifetime (years)",Algorithms!$A:$A,0)),0)</f>
        <v>15</v>
      </c>
      <c r="CF24" s="266">
        <f ca="1">IFERROR(INDEX(Algorithms!$G:$G,MATCH($C24&amp;"_Lifetime (years) - Remaining Years",Algorithms!$A:$A,0)),0)</f>
        <v>0</v>
      </c>
      <c r="CG24" s="266">
        <f t="shared" ca="1" si="31"/>
        <v>9038.3679943586358</v>
      </c>
      <c r="CH24" s="266">
        <f t="shared" ca="1" si="32"/>
        <v>8506.6992888081277</v>
      </c>
      <c r="CI24" s="266">
        <f t="shared" ca="1" si="33"/>
        <v>7443.3618777071106</v>
      </c>
      <c r="CJ24" s="266">
        <f t="shared" ca="1" si="34"/>
        <v>7230.6943954869093</v>
      </c>
      <c r="CK24" s="266">
        <f t="shared" si="35"/>
        <v>843.58101280680614</v>
      </c>
      <c r="CL24" s="266">
        <f t="shared" si="36"/>
        <v>793.95860028875882</v>
      </c>
      <c r="CM24" s="266">
        <f t="shared" ca="1" si="37"/>
        <v>694.71377525266371</v>
      </c>
      <c r="CN24" s="266">
        <f t="shared" ca="1" si="38"/>
        <v>674.86481024544491</v>
      </c>
      <c r="CO24" s="266">
        <f ca="1">N24*IFERROR(INDEX(Algorithms!$G:$G,MATCH($C24&amp;"_Therm Saved per Unit- MLA",Algorithms!$A:$A,0)),0)*X24</f>
        <v>0</v>
      </c>
      <c r="CP24" s="266">
        <f ca="1">O24*IFERROR(INDEX(Algorithms!$G:$G,MATCH($C24&amp;"_Therm Saved per Unit- MLA",Algorithms!$A:$A,0)),0)*Y24</f>
        <v>0</v>
      </c>
      <c r="CQ24" s="266">
        <f ca="1">P24*IFERROR(INDEX(Algorithms!$G:$G,MATCH($C24&amp;"_Therm Saved per Unit- MLA",Algorithms!$A:$A,0)),0)*Z24</f>
        <v>0</v>
      </c>
      <c r="CR24" s="266">
        <f ca="1">Q24*IFERROR(INDEX(Algorithms!$G:$G,MATCH($C24&amp;"_Therm Saved per Unit- MLA",Algorithms!$A:$A,0)),0)*AA24</f>
        <v>0</v>
      </c>
      <c r="CS24" s="266">
        <f ca="1">IFERROR(INDEX(Algorithms!$G:$G,MATCH($C24&amp;"_Lifetime (years)",Algorithms!$A:$A,0)),0)</f>
        <v>15</v>
      </c>
      <c r="CT24" s="266">
        <f ca="1">IFERROR(INDEX(Algorithms!$G:$G,MATCH($C24&amp;"_Lifetime (years) - Remaining Years",Algorithms!$A:$A,0)),0)</f>
        <v>0</v>
      </c>
      <c r="CU24" s="266">
        <f t="shared" ca="1" si="39"/>
        <v>12653.715192102092</v>
      </c>
      <c r="CV24" s="266">
        <f t="shared" ca="1" si="40"/>
        <v>11909.379004331382</v>
      </c>
      <c r="CW24" s="266">
        <f t="shared" ca="1" si="41"/>
        <v>10420.706628789956</v>
      </c>
      <c r="CX24" s="266">
        <f t="shared" ca="1" si="42"/>
        <v>10122.972153681674</v>
      </c>
    </row>
    <row r="25" spans="2:102" s="47" customFormat="1" ht="18" customHeight="1" x14ac:dyDescent="0.25">
      <c r="B25" t="str">
        <f t="shared" si="43"/>
        <v>NSG_Residential_Home Energy Jumpstart_Leave Behind Kit_Shower Timer_0_SF</v>
      </c>
      <c r="C25" s="47" t="str">
        <f t="shared" si="6"/>
        <v>Shower Timer_0_SF</v>
      </c>
      <c r="D25" s="270" t="s">
        <v>1787</v>
      </c>
      <c r="E25" s="270" t="s">
        <v>2</v>
      </c>
      <c r="F25" s="270" t="s">
        <v>1414</v>
      </c>
      <c r="G25" s="270" t="s">
        <v>1416</v>
      </c>
      <c r="H25" s="270" t="s">
        <v>1031</v>
      </c>
      <c r="I25" s="270">
        <v>0</v>
      </c>
      <c r="J25" s="270" t="s">
        <v>409</v>
      </c>
      <c r="K25" s="263">
        <v>1</v>
      </c>
      <c r="L25" s="263" t="str">
        <f ca="1">IFERROR(INDEX(Algorithms!J:J,MATCH($C25&amp;"_Therm Saved per Unit",Algorithms!$A:$A,0)),"n/a")</f>
        <v>5.4.9</v>
      </c>
      <c r="M25" s="263" t="str">
        <f>IFERROR(INDEX('Measure Level Detail'!$N:$N,MATCH($B25,'Measure Level Detail'!$B:$B,0)),0)</f>
        <v>Each</v>
      </c>
      <c r="N25" s="271">
        <f>IFERROR(INDEX('Measure Level Detail'!$P:$P,MATCH($B25&amp;"_"&amp;N$3,'Measure Level Detail'!$C:$C,0)),0)</f>
        <v>1000</v>
      </c>
      <c r="O25" s="271">
        <f>IFERROR(INDEX('Measure Level Detail'!$P:$P,MATCH($B25&amp;"_"&amp;O$3,'Measure Level Detail'!$C:$C,0)),0)</f>
        <v>900</v>
      </c>
      <c r="P25" s="271">
        <f>IFERROR(INDEX('Measure Level Detail'!$P:$P,MATCH($B25&amp;"_"&amp;P$3,'Measure Level Detail'!$C:$C,0)),0)</f>
        <v>800</v>
      </c>
      <c r="Q25" s="271">
        <f>IFERROR(INDEX('Measure Level Detail'!$P:$P,MATCH($B25&amp;"_"&amp;Q$3,'Measure Level Detail'!$C:$C,0)),0)</f>
        <v>700</v>
      </c>
      <c r="R25" s="263" t="str">
        <f ca="1">IFERROR(INDEX(Algorithms!K:K,MATCH($C25&amp;"_Therm Saved per Unit",Algorithms!$A:$A,0)),"n/a")</f>
        <v>RS-DHW-SHTM-V05-230101</v>
      </c>
      <c r="S25" s="262"/>
      <c r="T25" s="272">
        <v>3.7072463788108796</v>
      </c>
      <c r="U25" s="272">
        <v>3.7072463788108796</v>
      </c>
      <c r="V25" s="272">
        <v>3.7072463788108796</v>
      </c>
      <c r="W25" s="272">
        <v>3.7072463788108796</v>
      </c>
      <c r="X25" s="276">
        <v>0.88</v>
      </c>
      <c r="Y25" s="276">
        <v>0.88</v>
      </c>
      <c r="Z25" s="276">
        <v>0.88</v>
      </c>
      <c r="AA25" s="276">
        <v>0.88</v>
      </c>
      <c r="AB25" s="266">
        <f t="shared" si="7"/>
        <v>3262.3768133535737</v>
      </c>
      <c r="AC25" s="266">
        <f t="shared" si="8"/>
        <v>2936.1391320182165</v>
      </c>
      <c r="AD25" s="266">
        <f t="shared" si="9"/>
        <v>2609.9014506828594</v>
      </c>
      <c r="AE25" s="266">
        <f t="shared" si="10"/>
        <v>2283.6637693475018</v>
      </c>
      <c r="AF25" s="266">
        <f t="shared" si="11"/>
        <v>11092.081165402151</v>
      </c>
      <c r="AG25" s="274">
        <v>0.88</v>
      </c>
      <c r="AH25" s="274">
        <v>0.88</v>
      </c>
      <c r="AI25" s="710">
        <v>0.99</v>
      </c>
      <c r="AJ25" s="710">
        <v>0.99</v>
      </c>
      <c r="AK25" s="274">
        <f t="shared" si="12"/>
        <v>0.88</v>
      </c>
      <c r="AL25" s="274">
        <f t="shared" si="13"/>
        <v>0.88</v>
      </c>
      <c r="AM25" s="274">
        <f t="shared" si="14"/>
        <v>0.89</v>
      </c>
      <c r="AN25" s="274">
        <f t="shared" si="15"/>
        <v>0.89</v>
      </c>
      <c r="AO25" s="262"/>
      <c r="AP25" s="262"/>
      <c r="AQ25" s="267">
        <v>3.9749540034683961</v>
      </c>
      <c r="AR25" s="262"/>
      <c r="AS25" s="266">
        <f t="shared" si="16"/>
        <v>3497.9595230521886</v>
      </c>
      <c r="AT25" s="264">
        <f t="shared" si="17"/>
        <v>235.58270969861496</v>
      </c>
      <c r="AU25" s="262"/>
      <c r="AV25" s="262"/>
      <c r="AW25" s="265">
        <v>3.9749540034683961</v>
      </c>
      <c r="AX25" s="164" t="s">
        <v>2393</v>
      </c>
      <c r="AY25" s="266">
        <v>3148.1635707469695</v>
      </c>
      <c r="AZ25" s="266">
        <f t="shared" si="45"/>
        <v>3148.1635707469695</v>
      </c>
      <c r="BA25" s="264">
        <f t="shared" si="18"/>
        <v>212.02443872875301</v>
      </c>
      <c r="BB25" s="262"/>
      <c r="BC25" s="262"/>
      <c r="BD25" s="265">
        <f ca="1">IFERROR(INDEX(Algorithms!$G:$G,MATCH($C25&amp;"_Therm Saved per Unit",Algorithms!$A:$A,0)),0)</f>
        <v>3.9749540034683961</v>
      </c>
      <c r="BE25" s="164" t="str">
        <f ca="1">IFERROR(INDEX('v12 Revisions'!$P$29:$P$186, MATCH('Measure-Level Adj Gas'!$L25, 'v12 Revisions'!$D$29:$D$186,0)),"")</f>
        <v/>
      </c>
      <c r="BF25" s="266">
        <f t="shared" ca="1" si="19"/>
        <v>2830.1672504694984</v>
      </c>
      <c r="BG25" s="264">
        <f t="shared" ca="1" si="20"/>
        <v>220.26579978663904</v>
      </c>
      <c r="BH25" s="262"/>
      <c r="BI25" s="262"/>
      <c r="BJ25" s="265">
        <f ca="1">IFERROR(INDEX(Algorithms!$G:$G,MATCH($C25&amp;"_Therm Saved per Unit",Algorithms!$A:$A,0)),0)</f>
        <v>3.9749540034683961</v>
      </c>
      <c r="BK25" s="164"/>
      <c r="BL25" s="266">
        <f t="shared" ca="1" si="21"/>
        <v>2476.3963441608107</v>
      </c>
      <c r="BM25" s="264">
        <f t="shared" ca="1" si="22"/>
        <v>192.73257481330893</v>
      </c>
      <c r="BN25" s="266">
        <f t="shared" si="23"/>
        <v>3497.9595230521886</v>
      </c>
      <c r="BO25" s="266">
        <f t="shared" si="44"/>
        <v>3148.1635707469695</v>
      </c>
      <c r="BP25" s="266">
        <f t="shared" ca="1" si="24"/>
        <v>2830.1672504694984</v>
      </c>
      <c r="BQ25" s="266">
        <f t="shared" ca="1" si="25"/>
        <v>2476.3963441608107</v>
      </c>
      <c r="BR25" s="268">
        <f t="shared" ca="1" si="26"/>
        <v>11952.686688429467</v>
      </c>
      <c r="BS25" s="262" t="s">
        <v>99</v>
      </c>
      <c r="BT25" s="164"/>
      <c r="BW25" s="266">
        <f t="shared" si="27"/>
        <v>3262.3768133535737</v>
      </c>
      <c r="BX25" s="266">
        <f t="shared" si="28"/>
        <v>2936.1391320182165</v>
      </c>
      <c r="BY25" s="266">
        <f t="shared" si="29"/>
        <v>2609.9014506828594</v>
      </c>
      <c r="BZ25" s="266">
        <f t="shared" si="30"/>
        <v>2283.6637693475018</v>
      </c>
      <c r="CA25" s="266">
        <f ca="1">N25*IFERROR(INDEX(Algorithms!$G:$G,MATCH($C25&amp;"_Therm Saved per Unit- MLA",Algorithms!$A:$A,0)),0)*X25</f>
        <v>0</v>
      </c>
      <c r="CB25" s="266">
        <f ca="1">O25*IFERROR(INDEX(Algorithms!$G:$G,MATCH($C25&amp;"_Therm Saved per Unit- MLA",Algorithms!$A:$A,0)),0)*Y25</f>
        <v>0</v>
      </c>
      <c r="CC25" s="266">
        <f ca="1">P25*IFERROR(INDEX(Algorithms!$G:$G,MATCH($C25&amp;"_Therm Saved per Unit- MLA",Algorithms!$A:$A,0)),0)*Z25</f>
        <v>0</v>
      </c>
      <c r="CD25" s="266">
        <f ca="1">Q25*IFERROR(INDEX(Algorithms!$G:$G,MATCH($C25&amp;"_Therm Saved per Unit- MLA",Algorithms!$A:$A,0)),0)*AA25</f>
        <v>0</v>
      </c>
      <c r="CE25" s="266">
        <f ca="1">IFERROR(INDEX(Algorithms!$G:$G,MATCH($C25&amp;"_Lifetime (years)",Algorithms!$A:$A,0)),0)</f>
        <v>2</v>
      </c>
      <c r="CF25" s="266">
        <f ca="1">IFERROR(INDEX(Algorithms!$G:$G,MATCH($C25&amp;"_Lifetime (years) - Remaining Years",Algorithms!$A:$A,0)),0)</f>
        <v>0</v>
      </c>
      <c r="CG25" s="266">
        <f t="shared" ca="1" si="31"/>
        <v>6524.7536267071473</v>
      </c>
      <c r="CH25" s="266">
        <f t="shared" ca="1" si="32"/>
        <v>5872.278264036433</v>
      </c>
      <c r="CI25" s="266">
        <f t="shared" ca="1" si="33"/>
        <v>5219.8029013657188</v>
      </c>
      <c r="CJ25" s="266">
        <f t="shared" ca="1" si="34"/>
        <v>4567.3275386950036</v>
      </c>
      <c r="CK25" s="266">
        <f t="shared" si="35"/>
        <v>3497.9595230521886</v>
      </c>
      <c r="CL25" s="266">
        <f t="shared" si="36"/>
        <v>3148.1635707469695</v>
      </c>
      <c r="CM25" s="266">
        <f t="shared" ca="1" si="37"/>
        <v>2798.3676184417509</v>
      </c>
      <c r="CN25" s="266">
        <f t="shared" ca="1" si="38"/>
        <v>2448.5716661365323</v>
      </c>
      <c r="CO25" s="266">
        <f ca="1">N25*IFERROR(INDEX(Algorithms!$G:$G,MATCH($C25&amp;"_Therm Saved per Unit- MLA",Algorithms!$A:$A,0)),0)*X25</f>
        <v>0</v>
      </c>
      <c r="CP25" s="266">
        <f ca="1">O25*IFERROR(INDEX(Algorithms!$G:$G,MATCH($C25&amp;"_Therm Saved per Unit- MLA",Algorithms!$A:$A,0)),0)*Y25</f>
        <v>0</v>
      </c>
      <c r="CQ25" s="266">
        <f ca="1">P25*IFERROR(INDEX(Algorithms!$G:$G,MATCH($C25&amp;"_Therm Saved per Unit- MLA",Algorithms!$A:$A,0)),0)*Z25</f>
        <v>0</v>
      </c>
      <c r="CR25" s="266">
        <f ca="1">Q25*IFERROR(INDEX(Algorithms!$G:$G,MATCH($C25&amp;"_Therm Saved per Unit- MLA",Algorithms!$A:$A,0)),0)*AA25</f>
        <v>0</v>
      </c>
      <c r="CS25" s="266">
        <f ca="1">IFERROR(INDEX(Algorithms!$G:$G,MATCH($C25&amp;"_Lifetime (years)",Algorithms!$A:$A,0)),0)</f>
        <v>2</v>
      </c>
      <c r="CT25" s="266">
        <f ca="1">IFERROR(INDEX(Algorithms!$G:$G,MATCH($C25&amp;"_Lifetime (years) - Remaining Years",Algorithms!$A:$A,0)),0)</f>
        <v>0</v>
      </c>
      <c r="CU25" s="266">
        <f t="shared" ca="1" si="39"/>
        <v>6995.9190461043772</v>
      </c>
      <c r="CV25" s="266">
        <f t="shared" ca="1" si="40"/>
        <v>6296.3271414939391</v>
      </c>
      <c r="CW25" s="266">
        <f t="shared" ca="1" si="41"/>
        <v>5596.7352368835018</v>
      </c>
      <c r="CX25" s="266">
        <f t="shared" ca="1" si="42"/>
        <v>4897.1433322730645</v>
      </c>
    </row>
    <row r="26" spans="2:102" s="47" customFormat="1" ht="18" customHeight="1" x14ac:dyDescent="0.25">
      <c r="B26" t="str">
        <f t="shared" si="43"/>
        <v>NSG_Residential_Multi-Family_Direct Install_Low Flow Kitchen Aerator_0_MF</v>
      </c>
      <c r="C26" s="47" t="str">
        <f t="shared" si="6"/>
        <v>Low Flow Kitchen Aerator_0_MF</v>
      </c>
      <c r="D26" s="270" t="s">
        <v>1787</v>
      </c>
      <c r="E26" s="270" t="s">
        <v>2</v>
      </c>
      <c r="F26" s="270" t="s">
        <v>1422</v>
      </c>
      <c r="G26" s="270" t="s">
        <v>4</v>
      </c>
      <c r="H26" s="270" t="s">
        <v>533</v>
      </c>
      <c r="I26" s="270">
        <v>0</v>
      </c>
      <c r="J26" s="270" t="s">
        <v>553</v>
      </c>
      <c r="K26" s="263">
        <v>1</v>
      </c>
      <c r="L26" s="263" t="str">
        <f ca="1">IFERROR(INDEX(Algorithms!J:J,MATCH($C26&amp;"_Therm Saved per Unit",Algorithms!$A:$A,0)),"n/a")</f>
        <v>5.4.4</v>
      </c>
      <c r="M26" s="263" t="str">
        <f>IFERROR(INDEX('Measure Level Detail'!$N:$N,MATCH($B26,'Measure Level Detail'!$B:$B,0)),0)</f>
        <v>each</v>
      </c>
      <c r="N26" s="271">
        <f>IFERROR(INDEX('Measure Level Detail'!$P:$P,MATCH($B26&amp;"_"&amp;N$3,'Measure Level Detail'!$C:$C,0)),0)</f>
        <v>335</v>
      </c>
      <c r="O26" s="271">
        <f>IFERROR(INDEX('Measure Level Detail'!$P:$P,MATCH($B26&amp;"_"&amp;O$3,'Measure Level Detail'!$C:$C,0)),0)</f>
        <v>335</v>
      </c>
      <c r="P26" s="271">
        <f>IFERROR(INDEX('Measure Level Detail'!$P:$P,MATCH($B26&amp;"_"&amp;P$3,'Measure Level Detail'!$C:$C,0)),0)</f>
        <v>335</v>
      </c>
      <c r="Q26" s="271">
        <f>IFERROR(INDEX('Measure Level Detail'!$P:$P,MATCH($B26&amp;"_"&amp;Q$3,'Measure Level Detail'!$C:$C,0)),0)</f>
        <v>335</v>
      </c>
      <c r="R26" s="263" t="str">
        <f ca="1">IFERROR(INDEX(Algorithms!K:K,MATCH($C26&amp;"_Therm Saved per Unit",Algorithms!$A:$A,0)),"n/a")</f>
        <v>RS-HWE-LFFA-V13-240101</v>
      </c>
      <c r="S26" s="262"/>
      <c r="T26" s="272">
        <v>7.8612856931203403</v>
      </c>
      <c r="U26" s="272">
        <v>7.8612856931203403</v>
      </c>
      <c r="V26" s="272">
        <v>7.8612856931203403</v>
      </c>
      <c r="W26" s="272">
        <v>7.8612856931203403</v>
      </c>
      <c r="X26" s="273">
        <f>IFERROR(INDEX('Measure Level Detail'!$R:$R,MATCH($B26&amp;"_"&amp;X$3,'Measure Level Detail'!$C:$C,0)),0)</f>
        <v>1.01</v>
      </c>
      <c r="Y26" s="273">
        <f>IFERROR(INDEX('Measure Level Detail'!$R:$R,MATCH($B26&amp;"_"&amp;Y$3,'Measure Level Detail'!$C:$C,0)),0)</f>
        <v>1.01</v>
      </c>
      <c r="Z26" s="273">
        <f>IFERROR(INDEX('Measure Level Detail'!$R:$R,MATCH($B26&amp;"_"&amp;Z$3,'Measure Level Detail'!$C:$C,0)),0)</f>
        <v>1.01</v>
      </c>
      <c r="AA26" s="273">
        <f>IFERROR(INDEX('Measure Level Detail'!$R:$R,MATCH($B26&amp;"_"&amp;AA$3,'Measure Level Detail'!$C:$C,0)),0)</f>
        <v>1.01</v>
      </c>
      <c r="AB26" s="266">
        <f t="shared" si="7"/>
        <v>2659.866014267267</v>
      </c>
      <c r="AC26" s="266">
        <f t="shared" si="8"/>
        <v>2659.866014267267</v>
      </c>
      <c r="AD26" s="266">
        <f t="shared" si="9"/>
        <v>2659.866014267267</v>
      </c>
      <c r="AE26" s="266">
        <f t="shared" si="10"/>
        <v>2659.866014267267</v>
      </c>
      <c r="AF26" s="266">
        <f t="shared" si="11"/>
        <v>10639.464057069068</v>
      </c>
      <c r="AG26" s="274">
        <v>1.01</v>
      </c>
      <c r="AH26" s="274">
        <v>1.01</v>
      </c>
      <c r="AI26" s="274">
        <v>1.01</v>
      </c>
      <c r="AJ26" s="274">
        <v>1.01</v>
      </c>
      <c r="AK26" s="274">
        <f t="shared" si="12"/>
        <v>1.01</v>
      </c>
      <c r="AL26" s="274">
        <f t="shared" si="13"/>
        <v>1.01</v>
      </c>
      <c r="AM26" s="274">
        <f t="shared" si="14"/>
        <v>1.01</v>
      </c>
      <c r="AN26" s="274">
        <f t="shared" si="15"/>
        <v>1.01</v>
      </c>
      <c r="AO26" s="262"/>
      <c r="AP26" s="262"/>
      <c r="AQ26" s="267">
        <v>8.5483903552439671</v>
      </c>
      <c r="AR26" s="262"/>
      <c r="AS26" s="266">
        <f t="shared" si="16"/>
        <v>2892.3478766967964</v>
      </c>
      <c r="AT26" s="264">
        <f t="shared" si="17"/>
        <v>232.48186242952943</v>
      </c>
      <c r="AU26" s="262"/>
      <c r="AV26" s="262"/>
      <c r="AW26" s="265">
        <v>8.7362670663482316</v>
      </c>
      <c r="AX26" s="164" t="s">
        <v>2392</v>
      </c>
      <c r="AY26" s="266">
        <v>2892.3478766967964</v>
      </c>
      <c r="AZ26" s="266">
        <f t="shared" si="45"/>
        <v>2955.9159618989243</v>
      </c>
      <c r="BA26" s="264">
        <f t="shared" si="18"/>
        <v>296.04994763165723</v>
      </c>
      <c r="BB26" s="262"/>
      <c r="BC26" s="262"/>
      <c r="BD26" s="265">
        <f ca="1">IFERROR(INDEX(Algorithms!$G:$G,MATCH($C26&amp;"_Therm Saved per Unit",Algorithms!$A:$A,0)),0)</f>
        <v>8.7362670663482316</v>
      </c>
      <c r="BE26" s="164" t="str">
        <f ca="1">IFERROR(INDEX('v12 Revisions'!$P$29:$P$186, MATCH('Measure-Level Adj Gas'!$L26, 'v12 Revisions'!$D$29:$D$186,0)),"")</f>
        <v>n/a - plan assumes Direct Install, not Distributed School Efficiency Kit.</v>
      </c>
      <c r="BF26" s="266">
        <f t="shared" ca="1" si="19"/>
        <v>2955.9159618989243</v>
      </c>
      <c r="BG26" s="264">
        <f t="shared" ca="1" si="20"/>
        <v>296.04994763165723</v>
      </c>
      <c r="BH26" s="262"/>
      <c r="BI26" s="262"/>
      <c r="BJ26" s="265">
        <f ca="1">IFERROR(INDEX(Algorithms!$G:$G,MATCH($C26&amp;"_Therm Saved per Unit",Algorithms!$A:$A,0)),0)</f>
        <v>8.7362670663482316</v>
      </c>
      <c r="BK26" s="164"/>
      <c r="BL26" s="266">
        <f t="shared" ca="1" si="21"/>
        <v>2955.9159618989243</v>
      </c>
      <c r="BM26" s="264">
        <f t="shared" ca="1" si="22"/>
        <v>296.04994763165723</v>
      </c>
      <c r="BN26" s="266">
        <f t="shared" si="23"/>
        <v>2892.3478766967964</v>
      </c>
      <c r="BO26" s="266">
        <f t="shared" si="44"/>
        <v>2955.9159618989243</v>
      </c>
      <c r="BP26" s="266">
        <f t="shared" ca="1" si="24"/>
        <v>2955.9159618989243</v>
      </c>
      <c r="BQ26" s="266">
        <f t="shared" ca="1" si="25"/>
        <v>2955.9159618989243</v>
      </c>
      <c r="BR26" s="268">
        <f t="shared" ca="1" si="26"/>
        <v>11760.095762393568</v>
      </c>
      <c r="BS26" s="262" t="s">
        <v>99</v>
      </c>
      <c r="BT26" s="164"/>
      <c r="BW26" s="266">
        <f t="shared" si="27"/>
        <v>2659.866014267267</v>
      </c>
      <c r="BX26" s="266">
        <f t="shared" si="28"/>
        <v>2659.866014267267</v>
      </c>
      <c r="BY26" s="266">
        <f t="shared" si="29"/>
        <v>2659.866014267267</v>
      </c>
      <c r="BZ26" s="266">
        <f t="shared" si="30"/>
        <v>2659.866014267267</v>
      </c>
      <c r="CA26" s="266">
        <f ca="1">N26*IFERROR(INDEX(Algorithms!$G:$G,MATCH($C26&amp;"_Therm Saved per Unit- MLA",Algorithms!$A:$A,0)),0)*X26</f>
        <v>0</v>
      </c>
      <c r="CB26" s="266">
        <f ca="1">O26*IFERROR(INDEX(Algorithms!$G:$G,MATCH($C26&amp;"_Therm Saved per Unit- MLA",Algorithms!$A:$A,0)),0)*Y26</f>
        <v>0</v>
      </c>
      <c r="CC26" s="266">
        <f ca="1">P26*IFERROR(INDEX(Algorithms!$G:$G,MATCH($C26&amp;"_Therm Saved per Unit- MLA",Algorithms!$A:$A,0)),0)*Z26</f>
        <v>0</v>
      </c>
      <c r="CD26" s="266">
        <f ca="1">Q26*IFERROR(INDEX(Algorithms!$G:$G,MATCH($C26&amp;"_Therm Saved per Unit- MLA",Algorithms!$A:$A,0)),0)*AA26</f>
        <v>0</v>
      </c>
      <c r="CE26" s="266">
        <f ca="1">IFERROR(INDEX(Algorithms!$G:$G,MATCH($C26&amp;"_Lifetime (years)",Algorithms!$A:$A,0)),0)</f>
        <v>10</v>
      </c>
      <c r="CF26" s="266">
        <f ca="1">IFERROR(INDEX(Algorithms!$G:$G,MATCH($C26&amp;"_Lifetime (years) - Remaining Years",Algorithms!$A:$A,0)),0)</f>
        <v>0</v>
      </c>
      <c r="CG26" s="266">
        <f t="shared" ca="1" si="31"/>
        <v>26598.66014267267</v>
      </c>
      <c r="CH26" s="266">
        <f t="shared" ca="1" si="32"/>
        <v>26598.66014267267</v>
      </c>
      <c r="CI26" s="266">
        <f t="shared" ca="1" si="33"/>
        <v>26598.66014267267</v>
      </c>
      <c r="CJ26" s="266">
        <f t="shared" ca="1" si="34"/>
        <v>26598.66014267267</v>
      </c>
      <c r="CK26" s="266">
        <f t="shared" si="35"/>
        <v>2892.3478766967964</v>
      </c>
      <c r="CL26" s="266">
        <f t="shared" si="36"/>
        <v>2955.9159618989243</v>
      </c>
      <c r="CM26" s="266">
        <f t="shared" ca="1" si="37"/>
        <v>2955.9159618989243</v>
      </c>
      <c r="CN26" s="266">
        <f t="shared" ca="1" si="38"/>
        <v>2955.9159618989243</v>
      </c>
      <c r="CO26" s="266">
        <f ca="1">N26*IFERROR(INDEX(Algorithms!$G:$G,MATCH($C26&amp;"_Therm Saved per Unit- MLA",Algorithms!$A:$A,0)),0)*X26</f>
        <v>0</v>
      </c>
      <c r="CP26" s="266">
        <f ca="1">O26*IFERROR(INDEX(Algorithms!$G:$G,MATCH($C26&amp;"_Therm Saved per Unit- MLA",Algorithms!$A:$A,0)),0)*Y26</f>
        <v>0</v>
      </c>
      <c r="CQ26" s="266">
        <f ca="1">P26*IFERROR(INDEX(Algorithms!$G:$G,MATCH($C26&amp;"_Therm Saved per Unit- MLA",Algorithms!$A:$A,0)),0)*Z26</f>
        <v>0</v>
      </c>
      <c r="CR26" s="266">
        <f ca="1">Q26*IFERROR(INDEX(Algorithms!$G:$G,MATCH($C26&amp;"_Therm Saved per Unit- MLA",Algorithms!$A:$A,0)),0)*AA26</f>
        <v>0</v>
      </c>
      <c r="CS26" s="266">
        <f ca="1">IFERROR(INDEX(Algorithms!$G:$G,MATCH($C26&amp;"_Lifetime (years)",Algorithms!$A:$A,0)),0)</f>
        <v>10</v>
      </c>
      <c r="CT26" s="266">
        <f ca="1">IFERROR(INDEX(Algorithms!$G:$G,MATCH($C26&amp;"_Lifetime (years) - Remaining Years",Algorithms!$A:$A,0)),0)</f>
        <v>0</v>
      </c>
      <c r="CU26" s="266">
        <f t="shared" ca="1" si="39"/>
        <v>28923.478766967964</v>
      </c>
      <c r="CV26" s="266">
        <f t="shared" ca="1" si="40"/>
        <v>29559.159618989244</v>
      </c>
      <c r="CW26" s="266">
        <f t="shared" ca="1" si="41"/>
        <v>29559.159618989244</v>
      </c>
      <c r="CX26" s="266">
        <f t="shared" ca="1" si="42"/>
        <v>29559.159618989244</v>
      </c>
    </row>
    <row r="27" spans="2:102" s="47" customFormat="1" ht="18" customHeight="1" x14ac:dyDescent="0.25">
      <c r="B27" t="str">
        <f t="shared" si="43"/>
        <v>NSG_Income Eligible_Multi-Family_MF IHWAP_Pipe Insulation_DHW_MF</v>
      </c>
      <c r="C27" s="47" t="str">
        <f t="shared" si="6"/>
        <v>Pipe Insulation_DHW_MF</v>
      </c>
      <c r="D27" s="270" t="s">
        <v>1787</v>
      </c>
      <c r="E27" s="270" t="s">
        <v>325</v>
      </c>
      <c r="F27" s="270" t="s">
        <v>1422</v>
      </c>
      <c r="G27" s="270" t="s">
        <v>1441</v>
      </c>
      <c r="H27" s="270" t="s">
        <v>404</v>
      </c>
      <c r="I27" s="270" t="s">
        <v>1019</v>
      </c>
      <c r="J27" s="270" t="s">
        <v>553</v>
      </c>
      <c r="K27" s="263">
        <v>1</v>
      </c>
      <c r="L27" s="263" t="str">
        <f ca="1">IFERROR(INDEX(Algorithms!J:J,MATCH($C27&amp;"_Therm Saved per Unit",Algorithms!$A:$A,0)),"n/a")</f>
        <v>5.4.1</v>
      </c>
      <c r="M27" s="263" t="str">
        <f>IFERROR(INDEX('Measure Level Detail'!$N:$N,MATCH($B27,'Measure Level Detail'!$B:$B,0)),0)</f>
        <v>ft</v>
      </c>
      <c r="N27" s="271">
        <f>IFERROR(INDEX('Measure Level Detail'!$P:$P,MATCH($B27&amp;"_"&amp;N$3,'Measure Level Detail'!$C:$C,0)),0)</f>
        <v>144</v>
      </c>
      <c r="O27" s="271">
        <f>IFERROR(INDEX('Measure Level Detail'!$P:$P,MATCH($B27&amp;"_"&amp;O$3,'Measure Level Detail'!$C:$C,0)),0)</f>
        <v>180</v>
      </c>
      <c r="P27" s="271">
        <f>IFERROR(INDEX('Measure Level Detail'!$P:$P,MATCH($B27&amp;"_"&amp;P$3,'Measure Level Detail'!$C:$C,0)),0)</f>
        <v>324</v>
      </c>
      <c r="Q27" s="271">
        <f>IFERROR(INDEX('Measure Level Detail'!$P:$P,MATCH($B27&amp;"_"&amp;Q$3,'Measure Level Detail'!$C:$C,0)),0)</f>
        <v>360</v>
      </c>
      <c r="R27" s="263" t="str">
        <f ca="1">IFERROR(INDEX(Algorithms!K:K,MATCH($C27&amp;"_Therm Saved per Unit",Algorithms!$A:$A,0)),"n/a")</f>
        <v>RS-HWE-PINS-V07-240101</v>
      </c>
      <c r="S27" s="262"/>
      <c r="T27" s="272">
        <v>0.88266670517205537</v>
      </c>
      <c r="U27" s="272">
        <v>0.88266670517205537</v>
      </c>
      <c r="V27" s="272">
        <v>0.88266670517205537</v>
      </c>
      <c r="W27" s="272">
        <v>0.88266670517205537</v>
      </c>
      <c r="X27" s="273">
        <f>IFERROR(INDEX('Measure Level Detail'!$R:$R,MATCH($B27&amp;"_"&amp;X$3,'Measure Level Detail'!$C:$C,0)),0)</f>
        <v>1</v>
      </c>
      <c r="Y27" s="273">
        <f>IFERROR(INDEX('Measure Level Detail'!$R:$R,MATCH($B27&amp;"_"&amp;Y$3,'Measure Level Detail'!$C:$C,0)),0)</f>
        <v>1</v>
      </c>
      <c r="Z27" s="273">
        <f>IFERROR(INDEX('Measure Level Detail'!$R:$R,MATCH($B27&amp;"_"&amp;Z$3,'Measure Level Detail'!$C:$C,0)),0)</f>
        <v>1</v>
      </c>
      <c r="AA27" s="273">
        <f>IFERROR(INDEX('Measure Level Detail'!$R:$R,MATCH($B27&amp;"_"&amp;AA$3,'Measure Level Detail'!$C:$C,0)),0)</f>
        <v>1</v>
      </c>
      <c r="AB27" s="266">
        <f t="shared" si="7"/>
        <v>127.10400554477597</v>
      </c>
      <c r="AC27" s="266">
        <f t="shared" si="8"/>
        <v>158.88000693096996</v>
      </c>
      <c r="AD27" s="266">
        <f t="shared" si="9"/>
        <v>285.98401247574594</v>
      </c>
      <c r="AE27" s="266">
        <f t="shared" si="10"/>
        <v>317.76001386193991</v>
      </c>
      <c r="AF27" s="266">
        <f t="shared" si="11"/>
        <v>889.72803881343179</v>
      </c>
      <c r="AG27" s="274">
        <v>1</v>
      </c>
      <c r="AH27" s="274">
        <v>1</v>
      </c>
      <c r="AI27" s="274">
        <v>1</v>
      </c>
      <c r="AJ27" s="274">
        <v>1</v>
      </c>
      <c r="AK27" s="274">
        <f t="shared" si="12"/>
        <v>1</v>
      </c>
      <c r="AL27" s="274">
        <f t="shared" si="13"/>
        <v>1</v>
      </c>
      <c r="AM27" s="274">
        <f t="shared" si="14"/>
        <v>1</v>
      </c>
      <c r="AN27" s="274">
        <f t="shared" si="15"/>
        <v>1</v>
      </c>
      <c r="AO27" s="262"/>
      <c r="AP27" s="262"/>
      <c r="AQ27" s="267">
        <v>2.4087097696290445</v>
      </c>
      <c r="AR27" s="262"/>
      <c r="AS27" s="266">
        <f t="shared" si="16"/>
        <v>346.85420682658241</v>
      </c>
      <c r="AT27" s="264">
        <f t="shared" si="17"/>
        <v>219.75020128180643</v>
      </c>
      <c r="AU27" s="262"/>
      <c r="AV27" s="262"/>
      <c r="AW27" s="265">
        <v>2.4087097696290445</v>
      </c>
      <c r="AX27" s="164" t="s">
        <v>2392</v>
      </c>
      <c r="AY27" s="266">
        <v>433.56775853322802</v>
      </c>
      <c r="AZ27" s="266">
        <f t="shared" si="45"/>
        <v>433.56775853322802</v>
      </c>
      <c r="BA27" s="264">
        <f t="shared" si="18"/>
        <v>274.68775160225806</v>
      </c>
      <c r="BB27" s="262"/>
      <c r="BC27" s="262"/>
      <c r="BD27" s="265">
        <f ca="1">IFERROR(INDEX(Algorithms!$G:$G,MATCH($C27&amp;"_Therm Saved per Unit",Algorithms!$A:$A,0)),0)</f>
        <v>2.4087097696290445</v>
      </c>
      <c r="BE27" s="164">
        <f ca="1">IFERROR(INDEX('v12 Revisions'!$P$29:$P$186, MATCH('Measure-Level Adj Gas'!$L27, 'v12 Revisions'!$D$29:$D$186,0)),"")</f>
        <v>0</v>
      </c>
      <c r="BF27" s="266">
        <f t="shared" ca="1" si="19"/>
        <v>780.42196535981043</v>
      </c>
      <c r="BG27" s="264">
        <f t="shared" ca="1" si="20"/>
        <v>494.43795288406449</v>
      </c>
      <c r="BH27" s="262"/>
      <c r="BI27" s="262"/>
      <c r="BJ27" s="265">
        <f ca="1">IFERROR(INDEX(Algorithms!$G:$G,MATCH($C27&amp;"_Therm Saved per Unit",Algorithms!$A:$A,0)),0)</f>
        <v>2.4087097696290445</v>
      </c>
      <c r="BK27" s="164"/>
      <c r="BL27" s="266">
        <f t="shared" ca="1" si="21"/>
        <v>867.13551706645603</v>
      </c>
      <c r="BM27" s="264">
        <f t="shared" ca="1" si="22"/>
        <v>549.37550320451612</v>
      </c>
      <c r="BN27" s="266">
        <f t="shared" si="23"/>
        <v>346.85420682658241</v>
      </c>
      <c r="BO27" s="266">
        <f t="shared" si="44"/>
        <v>433.56775853322802</v>
      </c>
      <c r="BP27" s="266">
        <f t="shared" ca="1" si="24"/>
        <v>780.42196535981043</v>
      </c>
      <c r="BQ27" s="266">
        <f t="shared" ca="1" si="25"/>
        <v>867.13551706645603</v>
      </c>
      <c r="BR27" s="268">
        <f t="shared" ca="1" si="26"/>
        <v>2427.9794477860769</v>
      </c>
      <c r="BS27" s="262" t="s">
        <v>99</v>
      </c>
      <c r="BT27" s="164"/>
      <c r="BW27" s="266">
        <f t="shared" si="27"/>
        <v>127.10400554477597</v>
      </c>
      <c r="BX27" s="266">
        <f t="shared" si="28"/>
        <v>158.88000693096996</v>
      </c>
      <c r="BY27" s="266">
        <f t="shared" si="29"/>
        <v>285.98401247574594</v>
      </c>
      <c r="BZ27" s="266">
        <f t="shared" si="30"/>
        <v>317.76001386193991</v>
      </c>
      <c r="CA27" s="266">
        <f ca="1">N27*IFERROR(INDEX(Algorithms!$G:$G,MATCH($C27&amp;"_Therm Saved per Unit- MLA",Algorithms!$A:$A,0)),0)*X27</f>
        <v>0</v>
      </c>
      <c r="CB27" s="266">
        <f ca="1">O27*IFERROR(INDEX(Algorithms!$G:$G,MATCH($C27&amp;"_Therm Saved per Unit- MLA",Algorithms!$A:$A,0)),0)*Y27</f>
        <v>0</v>
      </c>
      <c r="CC27" s="266">
        <f ca="1">P27*IFERROR(INDEX(Algorithms!$G:$G,MATCH($C27&amp;"_Therm Saved per Unit- MLA",Algorithms!$A:$A,0)),0)*Z27</f>
        <v>0</v>
      </c>
      <c r="CD27" s="266">
        <f ca="1">Q27*IFERROR(INDEX(Algorithms!$G:$G,MATCH($C27&amp;"_Therm Saved per Unit- MLA",Algorithms!$A:$A,0)),0)*AA27</f>
        <v>0</v>
      </c>
      <c r="CE27" s="266">
        <f ca="1">IFERROR(INDEX(Algorithms!$G:$G,MATCH($C27&amp;"_Lifetime (years)",Algorithms!$A:$A,0)),0)</f>
        <v>15</v>
      </c>
      <c r="CF27" s="266">
        <f ca="1">IFERROR(INDEX(Algorithms!$G:$G,MATCH($C27&amp;"_Lifetime (years) - Remaining Years",Algorithms!$A:$A,0)),0)</f>
        <v>0</v>
      </c>
      <c r="CG27" s="266">
        <f t="shared" ca="1" si="31"/>
        <v>1906.5600831716397</v>
      </c>
      <c r="CH27" s="266">
        <f t="shared" ca="1" si="32"/>
        <v>2383.2001039645493</v>
      </c>
      <c r="CI27" s="266">
        <f t="shared" ca="1" si="33"/>
        <v>4289.7601871361894</v>
      </c>
      <c r="CJ27" s="266">
        <f t="shared" ca="1" si="34"/>
        <v>4766.4002079290985</v>
      </c>
      <c r="CK27" s="266">
        <f t="shared" si="35"/>
        <v>346.85420682658241</v>
      </c>
      <c r="CL27" s="266">
        <f t="shared" si="36"/>
        <v>433.56775853322802</v>
      </c>
      <c r="CM27" s="266">
        <f t="shared" ca="1" si="37"/>
        <v>780.42196535981043</v>
      </c>
      <c r="CN27" s="266">
        <f t="shared" ca="1" si="38"/>
        <v>867.13551706645603</v>
      </c>
      <c r="CO27" s="266">
        <f ca="1">N27*IFERROR(INDEX(Algorithms!$G:$G,MATCH($C27&amp;"_Therm Saved per Unit- MLA",Algorithms!$A:$A,0)),0)*X27</f>
        <v>0</v>
      </c>
      <c r="CP27" s="266">
        <f ca="1">O27*IFERROR(INDEX(Algorithms!$G:$G,MATCH($C27&amp;"_Therm Saved per Unit- MLA",Algorithms!$A:$A,0)),0)*Y27</f>
        <v>0</v>
      </c>
      <c r="CQ27" s="266">
        <f ca="1">P27*IFERROR(INDEX(Algorithms!$G:$G,MATCH($C27&amp;"_Therm Saved per Unit- MLA",Algorithms!$A:$A,0)),0)*Z27</f>
        <v>0</v>
      </c>
      <c r="CR27" s="266">
        <f ca="1">Q27*IFERROR(INDEX(Algorithms!$G:$G,MATCH($C27&amp;"_Therm Saved per Unit- MLA",Algorithms!$A:$A,0)),0)*AA27</f>
        <v>0</v>
      </c>
      <c r="CS27" s="266">
        <f ca="1">IFERROR(INDEX(Algorithms!$G:$G,MATCH($C27&amp;"_Lifetime (years)",Algorithms!$A:$A,0)),0)</f>
        <v>15</v>
      </c>
      <c r="CT27" s="266">
        <f ca="1">IFERROR(INDEX(Algorithms!$G:$G,MATCH($C27&amp;"_Lifetime (years) - Remaining Years",Algorithms!$A:$A,0)),0)</f>
        <v>0</v>
      </c>
      <c r="CU27" s="266">
        <f t="shared" ca="1" si="39"/>
        <v>5202.8131023987362</v>
      </c>
      <c r="CV27" s="266">
        <f t="shared" ca="1" si="40"/>
        <v>6503.5163779984205</v>
      </c>
      <c r="CW27" s="266">
        <f t="shared" ca="1" si="41"/>
        <v>11706.329480397157</v>
      </c>
      <c r="CX27" s="266">
        <f t="shared" ca="1" si="42"/>
        <v>13007.032755996841</v>
      </c>
    </row>
    <row r="28" spans="2:102" s="47" customFormat="1" ht="18" customHeight="1" x14ac:dyDescent="0.25">
      <c r="B28" t="str">
        <f t="shared" si="43"/>
        <v>NSG_Income Eligible_Home Energy Jumpstart_Core_Pipe Insulation_DHW_SF</v>
      </c>
      <c r="C28" s="47" t="str">
        <f t="shared" si="6"/>
        <v>Pipe Insulation_DHW_SF</v>
      </c>
      <c r="D28" s="270" t="s">
        <v>1787</v>
      </c>
      <c r="E28" s="270" t="s">
        <v>325</v>
      </c>
      <c r="F28" s="270" t="s">
        <v>1414</v>
      </c>
      <c r="G28" s="270" t="s">
        <v>1415</v>
      </c>
      <c r="H28" s="270" t="s">
        <v>404</v>
      </c>
      <c r="I28" s="270" t="s">
        <v>1019</v>
      </c>
      <c r="J28" s="270" t="s">
        <v>409</v>
      </c>
      <c r="K28" s="263">
        <v>1</v>
      </c>
      <c r="L28" s="263" t="str">
        <f ca="1">IFERROR(INDEX(Algorithms!J:J,MATCH($C28&amp;"_Therm Saved per Unit",Algorithms!$A:$A,0)),"n/a")</f>
        <v>5.4.1</v>
      </c>
      <c r="M28" s="263" t="str">
        <f>IFERROR(INDEX('Measure Level Detail'!$N:$N,MATCH($B28,'Measure Level Detail'!$B:$B,0)),0)</f>
        <v>Feet</v>
      </c>
      <c r="N28" s="271">
        <f>IFERROR(INDEX('Measure Level Detail'!$P:$P,MATCH($B28&amp;"_"&amp;N$3,'Measure Level Detail'!$C:$C,0)),0)</f>
        <v>132</v>
      </c>
      <c r="O28" s="271">
        <f>IFERROR(INDEX('Measure Level Detail'!$P:$P,MATCH($B28&amp;"_"&amp;O$3,'Measure Level Detail'!$C:$C,0)),0)</f>
        <v>327</v>
      </c>
      <c r="P28" s="271">
        <f>IFERROR(INDEX('Measure Level Detail'!$P:$P,MATCH($B28&amp;"_"&amp;P$3,'Measure Level Detail'!$C:$C,0)),0)</f>
        <v>657</v>
      </c>
      <c r="Q28" s="271">
        <f>IFERROR(INDEX('Measure Level Detail'!$P:$P,MATCH($B28&amp;"_"&amp;Q$3,'Measure Level Detail'!$C:$C,0)),0)</f>
        <v>789</v>
      </c>
      <c r="R28" s="263" t="str">
        <f ca="1">IFERROR(INDEX(Algorithms!K:K,MATCH($C28&amp;"_Therm Saved per Unit",Algorithms!$A:$A,0)),"n/a")</f>
        <v>RS-HWE-PINS-V07-240101</v>
      </c>
      <c r="S28" s="262"/>
      <c r="T28" s="272">
        <v>0.88266670517205537</v>
      </c>
      <c r="U28" s="272">
        <v>0.88266670517205537</v>
      </c>
      <c r="V28" s="272">
        <v>0.88266670517205537</v>
      </c>
      <c r="W28" s="272">
        <v>0.88266670517205537</v>
      </c>
      <c r="X28" s="273">
        <f>IFERROR(INDEX('Measure Level Detail'!$R:$R,MATCH($B28&amp;"_"&amp;X$3,'Measure Level Detail'!$C:$C,0)),0)</f>
        <v>1</v>
      </c>
      <c r="Y28" s="273">
        <f>IFERROR(INDEX('Measure Level Detail'!$R:$R,MATCH($B28&amp;"_"&amp;Y$3,'Measure Level Detail'!$C:$C,0)),0)</f>
        <v>1</v>
      </c>
      <c r="Z28" s="273">
        <f>IFERROR(INDEX('Measure Level Detail'!$R:$R,MATCH($B28&amp;"_"&amp;Z$3,'Measure Level Detail'!$C:$C,0)),0)</f>
        <v>1</v>
      </c>
      <c r="AA28" s="273">
        <f>IFERROR(INDEX('Measure Level Detail'!$R:$R,MATCH($B28&amp;"_"&amp;AA$3,'Measure Level Detail'!$C:$C,0)),0)</f>
        <v>1</v>
      </c>
      <c r="AB28" s="266">
        <f t="shared" si="7"/>
        <v>116.51200508271131</v>
      </c>
      <c r="AC28" s="266">
        <f t="shared" si="8"/>
        <v>288.63201259126208</v>
      </c>
      <c r="AD28" s="266">
        <f t="shared" si="9"/>
        <v>579.91202529804036</v>
      </c>
      <c r="AE28" s="266">
        <f t="shared" si="10"/>
        <v>696.42403038075167</v>
      </c>
      <c r="AF28" s="266">
        <f t="shared" si="11"/>
        <v>1681.4800733527654</v>
      </c>
      <c r="AG28" s="274">
        <v>1</v>
      </c>
      <c r="AH28" s="274">
        <v>1</v>
      </c>
      <c r="AI28" s="274">
        <v>1</v>
      </c>
      <c r="AJ28" s="274">
        <v>1</v>
      </c>
      <c r="AK28" s="274">
        <f t="shared" si="12"/>
        <v>1</v>
      </c>
      <c r="AL28" s="274">
        <f t="shared" si="13"/>
        <v>1</v>
      </c>
      <c r="AM28" s="274">
        <f t="shared" si="14"/>
        <v>1</v>
      </c>
      <c r="AN28" s="274">
        <f t="shared" si="15"/>
        <v>1</v>
      </c>
      <c r="AO28" s="262"/>
      <c r="AP28" s="262"/>
      <c r="AQ28" s="267">
        <v>2.4087097696290445</v>
      </c>
      <c r="AR28" s="262"/>
      <c r="AS28" s="266">
        <f t="shared" si="16"/>
        <v>317.94968959103386</v>
      </c>
      <c r="AT28" s="264">
        <f t="shared" si="17"/>
        <v>201.43768450832255</v>
      </c>
      <c r="AU28" s="262"/>
      <c r="AV28" s="262"/>
      <c r="AW28" s="265">
        <v>2.4087097696290445</v>
      </c>
      <c r="AX28" s="164" t="s">
        <v>2392</v>
      </c>
      <c r="AY28" s="266">
        <v>787.64809466869758</v>
      </c>
      <c r="AZ28" s="266">
        <f t="shared" si="45"/>
        <v>787.64809466869758</v>
      </c>
      <c r="BA28" s="264">
        <f t="shared" si="18"/>
        <v>499.0160820774355</v>
      </c>
      <c r="BB28" s="262"/>
      <c r="BC28" s="262"/>
      <c r="BD28" s="265">
        <f ca="1">IFERROR(INDEX(Algorithms!$G:$G,MATCH($C28&amp;"_Therm Saved per Unit",Algorithms!$A:$A,0)),0)</f>
        <v>2.4087097696290445</v>
      </c>
      <c r="BE28" s="164">
        <f ca="1">IFERROR(INDEX('v12 Revisions'!$P$29:$P$186, MATCH('Measure-Level Adj Gas'!$L28, 'v12 Revisions'!$D$29:$D$186,0)),"")</f>
        <v>0</v>
      </c>
      <c r="BF28" s="266">
        <f t="shared" ca="1" si="19"/>
        <v>1582.5223186462822</v>
      </c>
      <c r="BG28" s="264">
        <f t="shared" ca="1" si="20"/>
        <v>1002.6102933482418</v>
      </c>
      <c r="BH28" s="262"/>
      <c r="BI28" s="262"/>
      <c r="BJ28" s="265">
        <f ca="1">IFERROR(INDEX(Algorithms!$G:$G,MATCH($C28&amp;"_Therm Saved per Unit",Algorithms!$A:$A,0)),0)</f>
        <v>2.4087097696290445</v>
      </c>
      <c r="BK28" s="164"/>
      <c r="BL28" s="266">
        <f t="shared" ca="1" si="21"/>
        <v>1900.472008237316</v>
      </c>
      <c r="BM28" s="264">
        <f t="shared" ca="1" si="22"/>
        <v>1204.0479778565643</v>
      </c>
      <c r="BN28" s="266">
        <f t="shared" si="23"/>
        <v>317.94968959103386</v>
      </c>
      <c r="BO28" s="266">
        <f t="shared" si="44"/>
        <v>787.64809466869758</v>
      </c>
      <c r="BP28" s="266">
        <f t="shared" ca="1" si="24"/>
        <v>1582.5223186462822</v>
      </c>
      <c r="BQ28" s="266">
        <f t="shared" ca="1" si="25"/>
        <v>1900.472008237316</v>
      </c>
      <c r="BR28" s="268">
        <f t="shared" ca="1" si="26"/>
        <v>4588.5921111433299</v>
      </c>
      <c r="BS28" s="262" t="s">
        <v>99</v>
      </c>
      <c r="BT28" s="164"/>
      <c r="BW28" s="266">
        <f t="shared" si="27"/>
        <v>116.51200508271131</v>
      </c>
      <c r="BX28" s="266">
        <f t="shared" si="28"/>
        <v>288.63201259126208</v>
      </c>
      <c r="BY28" s="266">
        <f t="shared" si="29"/>
        <v>579.91202529804036</v>
      </c>
      <c r="BZ28" s="266">
        <f t="shared" si="30"/>
        <v>696.42403038075167</v>
      </c>
      <c r="CA28" s="266">
        <f ca="1">N28*IFERROR(INDEX(Algorithms!$G:$G,MATCH($C28&amp;"_Therm Saved per Unit- MLA",Algorithms!$A:$A,0)),0)*X28</f>
        <v>0</v>
      </c>
      <c r="CB28" s="266">
        <f ca="1">O28*IFERROR(INDEX(Algorithms!$G:$G,MATCH($C28&amp;"_Therm Saved per Unit- MLA",Algorithms!$A:$A,0)),0)*Y28</f>
        <v>0</v>
      </c>
      <c r="CC28" s="266">
        <f ca="1">P28*IFERROR(INDEX(Algorithms!$G:$G,MATCH($C28&amp;"_Therm Saved per Unit- MLA",Algorithms!$A:$A,0)),0)*Z28</f>
        <v>0</v>
      </c>
      <c r="CD28" s="266">
        <f ca="1">Q28*IFERROR(INDEX(Algorithms!$G:$G,MATCH($C28&amp;"_Therm Saved per Unit- MLA",Algorithms!$A:$A,0)),0)*AA28</f>
        <v>0</v>
      </c>
      <c r="CE28" s="266">
        <f ca="1">IFERROR(INDEX(Algorithms!$G:$G,MATCH($C28&amp;"_Lifetime (years)",Algorithms!$A:$A,0)),0)</f>
        <v>15</v>
      </c>
      <c r="CF28" s="266">
        <f ca="1">IFERROR(INDEX(Algorithms!$G:$G,MATCH($C28&amp;"_Lifetime (years) - Remaining Years",Algorithms!$A:$A,0)),0)</f>
        <v>0</v>
      </c>
      <c r="CG28" s="266">
        <f t="shared" ca="1" si="31"/>
        <v>1747.6800762406697</v>
      </c>
      <c r="CH28" s="266">
        <f t="shared" ca="1" si="32"/>
        <v>4329.4801888689308</v>
      </c>
      <c r="CI28" s="266">
        <f t="shared" ca="1" si="33"/>
        <v>8698.6803794706047</v>
      </c>
      <c r="CJ28" s="266">
        <f t="shared" ca="1" si="34"/>
        <v>10446.360455711276</v>
      </c>
      <c r="CK28" s="266">
        <f t="shared" si="35"/>
        <v>317.94968959103386</v>
      </c>
      <c r="CL28" s="266">
        <f t="shared" si="36"/>
        <v>787.64809466869758</v>
      </c>
      <c r="CM28" s="266">
        <f t="shared" ca="1" si="37"/>
        <v>1582.5223186462822</v>
      </c>
      <c r="CN28" s="266">
        <f t="shared" ca="1" si="38"/>
        <v>1900.472008237316</v>
      </c>
      <c r="CO28" s="266">
        <f ca="1">N28*IFERROR(INDEX(Algorithms!$G:$G,MATCH($C28&amp;"_Therm Saved per Unit- MLA",Algorithms!$A:$A,0)),0)*X28</f>
        <v>0</v>
      </c>
      <c r="CP28" s="266">
        <f ca="1">O28*IFERROR(INDEX(Algorithms!$G:$G,MATCH($C28&amp;"_Therm Saved per Unit- MLA",Algorithms!$A:$A,0)),0)*Y28</f>
        <v>0</v>
      </c>
      <c r="CQ28" s="266">
        <f ca="1">P28*IFERROR(INDEX(Algorithms!$G:$G,MATCH($C28&amp;"_Therm Saved per Unit- MLA",Algorithms!$A:$A,0)),0)*Z28</f>
        <v>0</v>
      </c>
      <c r="CR28" s="266">
        <f ca="1">Q28*IFERROR(INDEX(Algorithms!$G:$G,MATCH($C28&amp;"_Therm Saved per Unit- MLA",Algorithms!$A:$A,0)),0)*AA28</f>
        <v>0</v>
      </c>
      <c r="CS28" s="266">
        <f ca="1">IFERROR(INDEX(Algorithms!$G:$G,MATCH($C28&amp;"_Lifetime (years)",Algorithms!$A:$A,0)),0)</f>
        <v>15</v>
      </c>
      <c r="CT28" s="266">
        <f ca="1">IFERROR(INDEX(Algorithms!$G:$G,MATCH($C28&amp;"_Lifetime (years) - Remaining Years",Algorithms!$A:$A,0)),0)</f>
        <v>0</v>
      </c>
      <c r="CU28" s="266">
        <f t="shared" ca="1" si="39"/>
        <v>4769.2453438655075</v>
      </c>
      <c r="CV28" s="266">
        <f t="shared" ca="1" si="40"/>
        <v>11814.721420030464</v>
      </c>
      <c r="CW28" s="266">
        <f t="shared" ca="1" si="41"/>
        <v>23737.834779694233</v>
      </c>
      <c r="CX28" s="266">
        <f t="shared" ca="1" si="42"/>
        <v>28507.080123559739</v>
      </c>
    </row>
    <row r="29" spans="2:102" s="47" customFormat="1" ht="18" customHeight="1" x14ac:dyDescent="0.25">
      <c r="B29" t="str">
        <f t="shared" si="43"/>
        <v>NSG_Business_Small/Mid-Size Business_Assessments_Pre-Rinse Sprayer_0_Ci</v>
      </c>
      <c r="C29" s="47" t="str">
        <f t="shared" si="6"/>
        <v>Pre-Rinse Sprayer_0_Ci</v>
      </c>
      <c r="D29" s="270" t="s">
        <v>1787</v>
      </c>
      <c r="E29" s="270" t="s">
        <v>3</v>
      </c>
      <c r="F29" s="270" t="s">
        <v>1432</v>
      </c>
      <c r="G29" s="270" t="s">
        <v>1431</v>
      </c>
      <c r="H29" s="270" t="s">
        <v>1219</v>
      </c>
      <c r="I29" s="270">
        <v>0</v>
      </c>
      <c r="J29" s="270" t="s">
        <v>1433</v>
      </c>
      <c r="K29" s="263">
        <v>1</v>
      </c>
      <c r="L29" s="263" t="str">
        <f ca="1">IFERROR(INDEX(Algorithms!J:J,MATCH($C29&amp;"_Therm Saved per Unit",Algorithms!$A:$A,0)),"n/a")</f>
        <v>4.2.11</v>
      </c>
      <c r="M29" s="263" t="str">
        <f>IFERROR(INDEX('Measure Level Detail'!$N:$N,MATCH($B29,'Measure Level Detail'!$B:$B,0)),0)</f>
        <v>each</v>
      </c>
      <c r="N29" s="271">
        <f>IFERROR(INDEX('Measure Level Detail'!$P:$P,MATCH($B29&amp;"_"&amp;N$3,'Measure Level Detail'!$C:$C,0)),0)</f>
        <v>18</v>
      </c>
      <c r="O29" s="271">
        <f>IFERROR(INDEX('Measure Level Detail'!$P:$P,MATCH($B29&amp;"_"&amp;O$3,'Measure Level Detail'!$C:$C,0)),0)</f>
        <v>16</v>
      </c>
      <c r="P29" s="271">
        <f>IFERROR(INDEX('Measure Level Detail'!$P:$P,MATCH($B29&amp;"_"&amp;P$3,'Measure Level Detail'!$C:$C,0)),0)</f>
        <v>16</v>
      </c>
      <c r="Q29" s="271">
        <f>IFERROR(INDEX('Measure Level Detail'!$P:$P,MATCH($B29&amp;"_"&amp;Q$3,'Measure Level Detail'!$C:$C,0)),0)</f>
        <v>15</v>
      </c>
      <c r="R29" s="263" t="str">
        <f ca="1">IFERROR(INDEX(Algorithms!K:K,MATCH($C29&amp;"_Therm Saved per Unit",Algorithms!$A:$A,0)),"n/a")</f>
        <v>CI-FSE-SPRY-V08-220101</v>
      </c>
      <c r="S29" s="262"/>
      <c r="T29" s="272">
        <v>235.77765120000004</v>
      </c>
      <c r="U29" s="272">
        <v>235.77765120000004</v>
      </c>
      <c r="V29" s="272">
        <v>235.77765120000004</v>
      </c>
      <c r="W29" s="272">
        <v>235.77765120000004</v>
      </c>
      <c r="X29" s="276">
        <v>0.93</v>
      </c>
      <c r="Y29" s="276">
        <v>0.93</v>
      </c>
      <c r="Z29" s="276">
        <v>0.93</v>
      </c>
      <c r="AA29" s="276">
        <v>0.93</v>
      </c>
      <c r="AB29" s="266">
        <f t="shared" si="7"/>
        <v>3946.9178810880007</v>
      </c>
      <c r="AC29" s="266">
        <f t="shared" si="8"/>
        <v>3508.3714498560007</v>
      </c>
      <c r="AD29" s="266">
        <f t="shared" si="9"/>
        <v>3508.3714498560007</v>
      </c>
      <c r="AE29" s="266">
        <f t="shared" si="10"/>
        <v>3289.0982342400007</v>
      </c>
      <c r="AF29" s="266">
        <f t="shared" si="11"/>
        <v>14252.759015040003</v>
      </c>
      <c r="AG29" s="274">
        <v>0.93</v>
      </c>
      <c r="AH29" s="274">
        <v>0.93</v>
      </c>
      <c r="AI29" s="274">
        <v>0.93</v>
      </c>
      <c r="AJ29" s="274">
        <v>0.93</v>
      </c>
      <c r="AK29" s="274">
        <f t="shared" si="12"/>
        <v>0.93</v>
      </c>
      <c r="AL29" s="274">
        <f t="shared" si="13"/>
        <v>0.93</v>
      </c>
      <c r="AM29" s="274">
        <f t="shared" si="14"/>
        <v>0.93</v>
      </c>
      <c r="AN29" s="274">
        <f t="shared" si="15"/>
        <v>0.93</v>
      </c>
      <c r="AO29" s="262"/>
      <c r="AP29" s="262"/>
      <c r="AQ29" s="267">
        <v>247.22970854399998</v>
      </c>
      <c r="AR29" s="262"/>
      <c r="AS29" s="266">
        <f t="shared" si="16"/>
        <v>4138.6253210265595</v>
      </c>
      <c r="AT29" s="264">
        <f t="shared" si="17"/>
        <v>191.70743993855876</v>
      </c>
      <c r="AU29" s="262"/>
      <c r="AV29" s="262"/>
      <c r="AW29" s="265">
        <v>247.22970854399998</v>
      </c>
      <c r="AX29" s="164" t="s">
        <v>1469</v>
      </c>
      <c r="AY29" s="266">
        <v>3678.77806313472</v>
      </c>
      <c r="AZ29" s="266">
        <f t="shared" si="45"/>
        <v>3678.77806313472</v>
      </c>
      <c r="BA29" s="264">
        <f t="shared" si="18"/>
        <v>170.40661327871931</v>
      </c>
      <c r="BB29" s="262"/>
      <c r="BC29" s="262"/>
      <c r="BD29" s="265">
        <f ca="1">IFERROR(INDEX(Algorithms!$G:$G,MATCH($C29&amp;"_Therm Saved per Unit",Algorithms!$A:$A,0)),0)</f>
        <v>247.22970854399998</v>
      </c>
      <c r="BE29" s="164" t="str">
        <f ca="1">IFERROR(INDEX('v12 Revisions'!$P$29:$P$186, MATCH('Measure-Level Adj Gas'!$L29, 'v12 Revisions'!$D$29:$D$186,0)),"")</f>
        <v/>
      </c>
      <c r="BF29" s="266">
        <f t="shared" ca="1" si="19"/>
        <v>3678.77806313472</v>
      </c>
      <c r="BG29" s="264">
        <f t="shared" ca="1" si="20"/>
        <v>170.40661327871931</v>
      </c>
      <c r="BH29" s="262"/>
      <c r="BI29" s="262"/>
      <c r="BJ29" s="265">
        <f ca="1">IFERROR(INDEX(Algorithms!$G:$G,MATCH($C29&amp;"_Therm Saved per Unit",Algorithms!$A:$A,0)),0)</f>
        <v>247.22970854399998</v>
      </c>
      <c r="BK29" s="164"/>
      <c r="BL29" s="266">
        <f t="shared" ca="1" si="21"/>
        <v>3448.8544341888</v>
      </c>
      <c r="BM29" s="264">
        <f t="shared" ca="1" si="22"/>
        <v>159.75619994879935</v>
      </c>
      <c r="BN29" s="266">
        <f t="shared" si="23"/>
        <v>4138.6253210265595</v>
      </c>
      <c r="BO29" s="266">
        <f t="shared" si="44"/>
        <v>3678.77806313472</v>
      </c>
      <c r="BP29" s="266">
        <f t="shared" ca="1" si="24"/>
        <v>3678.77806313472</v>
      </c>
      <c r="BQ29" s="266">
        <f t="shared" ca="1" si="25"/>
        <v>3448.8544341888</v>
      </c>
      <c r="BR29" s="268">
        <f t="shared" ca="1" si="26"/>
        <v>14945.0358814848</v>
      </c>
      <c r="BS29" s="262" t="s">
        <v>99</v>
      </c>
      <c r="BT29" s="164"/>
      <c r="BW29" s="266">
        <f t="shared" si="27"/>
        <v>3946.9178810880007</v>
      </c>
      <c r="BX29" s="266">
        <f t="shared" si="28"/>
        <v>3508.3714498560007</v>
      </c>
      <c r="BY29" s="266">
        <f t="shared" si="29"/>
        <v>3508.3714498560007</v>
      </c>
      <c r="BZ29" s="266">
        <f t="shared" si="30"/>
        <v>3289.0982342400007</v>
      </c>
      <c r="CA29" s="266">
        <f ca="1">N29*IFERROR(INDEX(Algorithms!$G:$G,MATCH($C29&amp;"_Therm Saved per Unit- MLA",Algorithms!$A:$A,0)),0)*X29</f>
        <v>0</v>
      </c>
      <c r="CB29" s="266">
        <f ca="1">O29*IFERROR(INDEX(Algorithms!$G:$G,MATCH($C29&amp;"_Therm Saved per Unit- MLA",Algorithms!$A:$A,0)),0)*Y29</f>
        <v>0</v>
      </c>
      <c r="CC29" s="266">
        <f ca="1">P29*IFERROR(INDEX(Algorithms!$G:$G,MATCH($C29&amp;"_Therm Saved per Unit- MLA",Algorithms!$A:$A,0)),0)*Z29</f>
        <v>0</v>
      </c>
      <c r="CD29" s="266">
        <f ca="1">Q29*IFERROR(INDEX(Algorithms!$G:$G,MATCH($C29&amp;"_Therm Saved per Unit- MLA",Algorithms!$A:$A,0)),0)*AA29</f>
        <v>0</v>
      </c>
      <c r="CE29" s="266">
        <f ca="1">IFERROR(INDEX(Algorithms!$G:$G,MATCH($C29&amp;"_Lifetime (years)",Algorithms!$A:$A,0)),0)</f>
        <v>5</v>
      </c>
      <c r="CF29" s="266">
        <f ca="1">IFERROR(INDEX(Algorithms!$G:$G,MATCH($C29&amp;"_Lifetime (years) - Remaining Years",Algorithms!$A:$A,0)),0)</f>
        <v>0</v>
      </c>
      <c r="CG29" s="266">
        <f t="shared" ca="1" si="31"/>
        <v>19734.589405440005</v>
      </c>
      <c r="CH29" s="266">
        <f t="shared" ca="1" si="32"/>
        <v>17541.857249280005</v>
      </c>
      <c r="CI29" s="266">
        <f t="shared" ca="1" si="33"/>
        <v>17541.857249280005</v>
      </c>
      <c r="CJ29" s="266">
        <f t="shared" ca="1" si="34"/>
        <v>16445.491171200003</v>
      </c>
      <c r="CK29" s="266">
        <f t="shared" si="35"/>
        <v>4138.6253210265595</v>
      </c>
      <c r="CL29" s="266">
        <f t="shared" si="36"/>
        <v>3678.77806313472</v>
      </c>
      <c r="CM29" s="266">
        <f t="shared" ca="1" si="37"/>
        <v>3678.77806313472</v>
      </c>
      <c r="CN29" s="266">
        <f t="shared" ca="1" si="38"/>
        <v>3448.8544341888</v>
      </c>
      <c r="CO29" s="266">
        <f ca="1">N29*IFERROR(INDEX(Algorithms!$G:$G,MATCH($C29&amp;"_Therm Saved per Unit- MLA",Algorithms!$A:$A,0)),0)*X29</f>
        <v>0</v>
      </c>
      <c r="CP29" s="266">
        <f ca="1">O29*IFERROR(INDEX(Algorithms!$G:$G,MATCH($C29&amp;"_Therm Saved per Unit- MLA",Algorithms!$A:$A,0)),0)*Y29</f>
        <v>0</v>
      </c>
      <c r="CQ29" s="266">
        <f ca="1">P29*IFERROR(INDEX(Algorithms!$G:$G,MATCH($C29&amp;"_Therm Saved per Unit- MLA",Algorithms!$A:$A,0)),0)*Z29</f>
        <v>0</v>
      </c>
      <c r="CR29" s="266">
        <f ca="1">Q29*IFERROR(INDEX(Algorithms!$G:$G,MATCH($C29&amp;"_Therm Saved per Unit- MLA",Algorithms!$A:$A,0)),0)*AA29</f>
        <v>0</v>
      </c>
      <c r="CS29" s="266">
        <f ca="1">IFERROR(INDEX(Algorithms!$G:$G,MATCH($C29&amp;"_Lifetime (years)",Algorithms!$A:$A,0)),0)</f>
        <v>5</v>
      </c>
      <c r="CT29" s="266">
        <f ca="1">IFERROR(INDEX(Algorithms!$G:$G,MATCH($C29&amp;"_Lifetime (years) - Remaining Years",Algorithms!$A:$A,0)),0)</f>
        <v>0</v>
      </c>
      <c r="CU29" s="266">
        <f t="shared" ca="1" si="39"/>
        <v>20693.126605132798</v>
      </c>
      <c r="CV29" s="266">
        <f t="shared" ca="1" si="40"/>
        <v>18393.890315673601</v>
      </c>
      <c r="CW29" s="266">
        <f t="shared" ca="1" si="41"/>
        <v>18393.890315673601</v>
      </c>
      <c r="CX29" s="266">
        <f t="shared" ca="1" si="42"/>
        <v>17244.272170944001</v>
      </c>
    </row>
    <row r="30" spans="2:102" s="47" customFormat="1" ht="18" customHeight="1" x14ac:dyDescent="0.25">
      <c r="B30" t="str">
        <f t="shared" si="43"/>
        <v>NSG_Business_Public Sector_Rebates_Programmable Thermostat_0_CI</v>
      </c>
      <c r="C30" s="47" t="str">
        <f t="shared" si="6"/>
        <v>Programmable Thermostat_0_CI</v>
      </c>
      <c r="D30" s="270" t="s">
        <v>1787</v>
      </c>
      <c r="E30" s="270" t="s">
        <v>3</v>
      </c>
      <c r="F30" s="270" t="s">
        <v>1430</v>
      </c>
      <c r="G30" s="270" t="s">
        <v>1429</v>
      </c>
      <c r="H30" s="270" t="s">
        <v>224</v>
      </c>
      <c r="I30" s="270">
        <v>0</v>
      </c>
      <c r="J30" s="270" t="s">
        <v>1159</v>
      </c>
      <c r="K30" s="263">
        <v>1</v>
      </c>
      <c r="L30" s="263" t="str">
        <f ca="1">IFERROR(INDEX(Algorithms!J:J,MATCH($C30&amp;"_Therm Saved per Unit",Algorithms!$A:$A,0)),"n/a")</f>
        <v>4.4.48</v>
      </c>
      <c r="M30" s="263" t="str">
        <f>IFERROR(INDEX('Measure Level Detail'!$N:$N,MATCH($B30,'Measure Level Detail'!$B:$B,0)),0)</f>
        <v>each</v>
      </c>
      <c r="N30" s="271">
        <f>IFERROR(INDEX('Measure Level Detail'!$P:$P,MATCH($B30&amp;"_"&amp;N$3,'Measure Level Detail'!$C:$C,0)),0)</f>
        <v>5</v>
      </c>
      <c r="O30" s="271">
        <f>IFERROR(INDEX('Measure Level Detail'!$P:$P,MATCH($B30&amp;"_"&amp;O$3,'Measure Level Detail'!$C:$C,0)),0)</f>
        <v>5</v>
      </c>
      <c r="P30" s="271">
        <f>IFERROR(INDEX('Measure Level Detail'!$P:$P,MATCH($B30&amp;"_"&amp;P$3,'Measure Level Detail'!$C:$C,0)),0)</f>
        <v>5</v>
      </c>
      <c r="Q30" s="271">
        <f>IFERROR(INDEX('Measure Level Detail'!$P:$P,MATCH($B30&amp;"_"&amp;Q$3,'Measure Level Detail'!$C:$C,0)),0)</f>
        <v>5</v>
      </c>
      <c r="R30" s="263" t="str">
        <f ca="1">IFERROR(INDEX(Algorithms!K:K,MATCH($C30&amp;"_Therm Saved per Unit",Algorithms!$A:$A,0)),"n/a")</f>
        <v>CI-HVC-THST-V06-240101</v>
      </c>
      <c r="S30" s="262"/>
      <c r="T30" s="272">
        <v>159.30512500000003</v>
      </c>
      <c r="U30" s="272">
        <v>159.30512500000003</v>
      </c>
      <c r="V30" s="272">
        <v>159.30512500000003</v>
      </c>
      <c r="W30" s="272">
        <v>159.30512500000003</v>
      </c>
      <c r="X30" s="276">
        <v>0.93</v>
      </c>
      <c r="Y30" s="276">
        <v>0.93</v>
      </c>
      <c r="Z30" s="276">
        <v>0.93</v>
      </c>
      <c r="AA30" s="276">
        <v>0.93</v>
      </c>
      <c r="AB30" s="266">
        <f t="shared" si="7"/>
        <v>740.76883125000029</v>
      </c>
      <c r="AC30" s="266">
        <f t="shared" si="8"/>
        <v>740.76883125000029</v>
      </c>
      <c r="AD30" s="266">
        <f t="shared" si="9"/>
        <v>740.76883125000029</v>
      </c>
      <c r="AE30" s="266">
        <f t="shared" si="10"/>
        <v>740.76883125000029</v>
      </c>
      <c r="AF30" s="266">
        <f t="shared" si="11"/>
        <v>2963.0753250000012</v>
      </c>
      <c r="AG30" s="274">
        <v>0.93</v>
      </c>
      <c r="AH30" s="274">
        <v>0.93</v>
      </c>
      <c r="AI30" s="274">
        <v>0.93</v>
      </c>
      <c r="AJ30" s="274">
        <v>0.93</v>
      </c>
      <c r="AK30" s="274">
        <f t="shared" si="12"/>
        <v>0.93</v>
      </c>
      <c r="AL30" s="274">
        <f t="shared" si="13"/>
        <v>0.93</v>
      </c>
      <c r="AM30" s="274">
        <f t="shared" si="14"/>
        <v>0.93</v>
      </c>
      <c r="AN30" s="274">
        <f t="shared" si="15"/>
        <v>0.93</v>
      </c>
      <c r="AO30" s="262"/>
      <c r="AP30" s="262"/>
      <c r="AQ30" s="267">
        <v>200.26929999999999</v>
      </c>
      <c r="AR30" s="262"/>
      <c r="AS30" s="266">
        <f t="shared" si="16"/>
        <v>931.2522449999999</v>
      </c>
      <c r="AT30" s="264">
        <f t="shared" si="17"/>
        <v>190.48341374999961</v>
      </c>
      <c r="AU30" s="262"/>
      <c r="AV30" s="262"/>
      <c r="AW30" s="265">
        <v>200.26929999999999</v>
      </c>
      <c r="AX30" s="164" t="s">
        <v>1469</v>
      </c>
      <c r="AY30" s="266">
        <v>931.2522449999999</v>
      </c>
      <c r="AZ30" s="266">
        <f t="shared" si="45"/>
        <v>931.2522449999999</v>
      </c>
      <c r="BA30" s="264">
        <f t="shared" si="18"/>
        <v>190.48341374999961</v>
      </c>
      <c r="BB30" s="262"/>
      <c r="BC30" s="262"/>
      <c r="BD30" s="265">
        <f ca="1">IFERROR(INDEX(Algorithms!$G:$G,MATCH($C30&amp;"_Therm Saved per Unit",Algorithms!$A:$A,0)),0)</f>
        <v>200.26929999999999</v>
      </c>
      <c r="BE30" s="164" t="str">
        <f ca="1">IFERROR(INDEX('v12 Revisions'!$P$29:$P$186, MATCH('Measure-Level Adj Gas'!$L30, 'v12 Revisions'!$D$29:$D$186,0)),"")</f>
        <v>n/a - only affects electric energy savings algorithm.</v>
      </c>
      <c r="BF30" s="266">
        <f t="shared" ca="1" si="19"/>
        <v>931.2522449999999</v>
      </c>
      <c r="BG30" s="264">
        <f t="shared" ca="1" si="20"/>
        <v>190.48341374999961</v>
      </c>
      <c r="BH30" s="262"/>
      <c r="BI30" s="262"/>
      <c r="BJ30" s="265">
        <f ca="1">IFERROR(INDEX(Algorithms!$G:$G,MATCH($C30&amp;"_Therm Saved per Unit",Algorithms!$A:$A,0)),0)</f>
        <v>200.26929999999999</v>
      </c>
      <c r="BK30" s="164"/>
      <c r="BL30" s="266">
        <f t="shared" ca="1" si="21"/>
        <v>931.2522449999999</v>
      </c>
      <c r="BM30" s="264">
        <f t="shared" ca="1" si="22"/>
        <v>190.48341374999961</v>
      </c>
      <c r="BN30" s="266">
        <f t="shared" si="23"/>
        <v>931.2522449999999</v>
      </c>
      <c r="BO30" s="266">
        <f t="shared" si="44"/>
        <v>931.2522449999999</v>
      </c>
      <c r="BP30" s="266">
        <f t="shared" ca="1" si="24"/>
        <v>931.2522449999999</v>
      </c>
      <c r="BQ30" s="266">
        <f t="shared" ca="1" si="25"/>
        <v>931.2522449999999</v>
      </c>
      <c r="BR30" s="268">
        <f t="shared" ca="1" si="26"/>
        <v>3725.0089799999996</v>
      </c>
      <c r="BS30" s="262" t="s">
        <v>99</v>
      </c>
      <c r="BT30" s="164"/>
      <c r="BW30" s="266">
        <f t="shared" si="27"/>
        <v>740.76883125000029</v>
      </c>
      <c r="BX30" s="266">
        <f t="shared" si="28"/>
        <v>740.76883125000029</v>
      </c>
      <c r="BY30" s="266">
        <f t="shared" si="29"/>
        <v>740.76883125000029</v>
      </c>
      <c r="BZ30" s="266">
        <f t="shared" si="30"/>
        <v>740.76883125000029</v>
      </c>
      <c r="CA30" s="266">
        <f ca="1">N30*IFERROR(INDEX(Algorithms!$G:$G,MATCH($C30&amp;"_Therm Saved per Unit- MLA",Algorithms!$A:$A,0)),0)*X30</f>
        <v>0</v>
      </c>
      <c r="CB30" s="266">
        <f ca="1">O30*IFERROR(INDEX(Algorithms!$G:$G,MATCH($C30&amp;"_Therm Saved per Unit- MLA",Algorithms!$A:$A,0)),0)*Y30</f>
        <v>0</v>
      </c>
      <c r="CC30" s="266">
        <f ca="1">P30*IFERROR(INDEX(Algorithms!$G:$G,MATCH($C30&amp;"_Therm Saved per Unit- MLA",Algorithms!$A:$A,0)),0)*Z30</f>
        <v>0</v>
      </c>
      <c r="CD30" s="266">
        <f ca="1">Q30*IFERROR(INDEX(Algorithms!$G:$G,MATCH($C30&amp;"_Therm Saved per Unit- MLA",Algorithms!$A:$A,0)),0)*AA30</f>
        <v>0</v>
      </c>
      <c r="CE30" s="266">
        <f ca="1">IFERROR(INDEX(Algorithms!$G:$G,MATCH($C30&amp;"_Lifetime (years)",Algorithms!$A:$A,0)),0)</f>
        <v>11</v>
      </c>
      <c r="CF30" s="266">
        <f ca="1">IFERROR(INDEX(Algorithms!$G:$G,MATCH($C30&amp;"_Lifetime (years) - Remaining Years",Algorithms!$A:$A,0)),0)</f>
        <v>0</v>
      </c>
      <c r="CG30" s="266">
        <f t="shared" ca="1" si="31"/>
        <v>8148.4571437500035</v>
      </c>
      <c r="CH30" s="266">
        <f t="shared" ca="1" si="32"/>
        <v>8148.4571437500035</v>
      </c>
      <c r="CI30" s="266">
        <f t="shared" ca="1" si="33"/>
        <v>8148.4571437500035</v>
      </c>
      <c r="CJ30" s="266">
        <f t="shared" ca="1" si="34"/>
        <v>8148.4571437500035</v>
      </c>
      <c r="CK30" s="266">
        <f t="shared" si="35"/>
        <v>931.2522449999999</v>
      </c>
      <c r="CL30" s="266">
        <f t="shared" si="36"/>
        <v>931.2522449999999</v>
      </c>
      <c r="CM30" s="266">
        <f t="shared" ca="1" si="37"/>
        <v>931.2522449999999</v>
      </c>
      <c r="CN30" s="266">
        <f t="shared" ca="1" si="38"/>
        <v>931.2522449999999</v>
      </c>
      <c r="CO30" s="266">
        <f ca="1">N30*IFERROR(INDEX(Algorithms!$G:$G,MATCH($C30&amp;"_Therm Saved per Unit- MLA",Algorithms!$A:$A,0)),0)*X30</f>
        <v>0</v>
      </c>
      <c r="CP30" s="266">
        <f ca="1">O30*IFERROR(INDEX(Algorithms!$G:$G,MATCH($C30&amp;"_Therm Saved per Unit- MLA",Algorithms!$A:$A,0)),0)*Y30</f>
        <v>0</v>
      </c>
      <c r="CQ30" s="266">
        <f ca="1">P30*IFERROR(INDEX(Algorithms!$G:$G,MATCH($C30&amp;"_Therm Saved per Unit- MLA",Algorithms!$A:$A,0)),0)*Z30</f>
        <v>0</v>
      </c>
      <c r="CR30" s="266">
        <f ca="1">Q30*IFERROR(INDEX(Algorithms!$G:$G,MATCH($C30&amp;"_Therm Saved per Unit- MLA",Algorithms!$A:$A,0)),0)*AA30</f>
        <v>0</v>
      </c>
      <c r="CS30" s="266">
        <f ca="1">IFERROR(INDEX(Algorithms!$G:$G,MATCH($C30&amp;"_Lifetime (years)",Algorithms!$A:$A,0)),0)</f>
        <v>11</v>
      </c>
      <c r="CT30" s="266">
        <f ca="1">IFERROR(INDEX(Algorithms!$G:$G,MATCH($C30&amp;"_Lifetime (years) - Remaining Years",Algorithms!$A:$A,0)),0)</f>
        <v>0</v>
      </c>
      <c r="CU30" s="266">
        <f t="shared" ca="1" si="39"/>
        <v>10243.774694999998</v>
      </c>
      <c r="CV30" s="266">
        <f t="shared" ca="1" si="40"/>
        <v>10243.774694999998</v>
      </c>
      <c r="CW30" s="266">
        <f t="shared" ca="1" si="41"/>
        <v>10243.774694999998</v>
      </c>
      <c r="CX30" s="266">
        <f t="shared" ca="1" si="42"/>
        <v>10243.774694999998</v>
      </c>
    </row>
    <row r="31" spans="2:102" s="47" customFormat="1" ht="18" customHeight="1" x14ac:dyDescent="0.25">
      <c r="B31" t="str">
        <f t="shared" si="43"/>
        <v>NSG_Income Eligible_Single Family_IE Kits_Shower Timer_IE Kit_IE</v>
      </c>
      <c r="C31" s="47" t="str">
        <f t="shared" si="6"/>
        <v>Shower Timer_IE Kit_IE</v>
      </c>
      <c r="D31" s="270" t="s">
        <v>1787</v>
      </c>
      <c r="E31" s="270" t="s">
        <v>325</v>
      </c>
      <c r="F31" s="270" t="s">
        <v>375</v>
      </c>
      <c r="G31" s="270" t="s">
        <v>1440</v>
      </c>
      <c r="H31" s="270" t="s">
        <v>1031</v>
      </c>
      <c r="I31" s="270" t="s">
        <v>550</v>
      </c>
      <c r="J31" s="270" t="s">
        <v>551</v>
      </c>
      <c r="K31" s="263">
        <v>1</v>
      </c>
      <c r="L31" s="263" t="str">
        <f ca="1">IFERROR(INDEX(Algorithms!J:J,MATCH($C31&amp;"_Therm Saved per Unit",Algorithms!$A:$A,0)),"n/a")</f>
        <v>5.4.9</v>
      </c>
      <c r="M31" s="263" t="str">
        <f>IFERROR(INDEX('Measure Level Detail'!$N:$N,MATCH($B31,'Measure Level Detail'!$B:$B,0)),0)</f>
        <v>Each</v>
      </c>
      <c r="N31" s="271">
        <f>IFERROR(INDEX('Measure Level Detail'!$P:$P,MATCH($B31&amp;"_"&amp;N$3,'Measure Level Detail'!$C:$C,0)),0)</f>
        <v>560</v>
      </c>
      <c r="O31" s="271">
        <f>IFERROR(INDEX('Measure Level Detail'!$P:$P,MATCH($B31&amp;"_"&amp;O$3,'Measure Level Detail'!$C:$C,0)),0)</f>
        <v>560</v>
      </c>
      <c r="P31" s="271">
        <f>IFERROR(INDEX('Measure Level Detail'!$P:$P,MATCH($B31&amp;"_"&amp;P$3,'Measure Level Detail'!$C:$C,0)),0)</f>
        <v>560</v>
      </c>
      <c r="Q31" s="271">
        <f>IFERROR(INDEX('Measure Level Detail'!$P:$P,MATCH($B31&amp;"_"&amp;Q$3,'Measure Level Detail'!$C:$C,0)),0)</f>
        <v>560</v>
      </c>
      <c r="R31" s="263" t="str">
        <f ca="1">IFERROR(INDEX(Algorithms!K:K,MATCH($C31&amp;"_Therm Saved per Unit",Algorithms!$A:$A,0)),"n/a")</f>
        <v>RS-DHW-SHTM-V05-230101</v>
      </c>
      <c r="S31" s="262"/>
      <c r="T31" s="272">
        <v>3.7072463788108796</v>
      </c>
      <c r="U31" s="272">
        <v>3.7072463788108796</v>
      </c>
      <c r="V31" s="272">
        <v>3.7072463788108796</v>
      </c>
      <c r="W31" s="272">
        <v>3.7072463788108796</v>
      </c>
      <c r="X31" s="273">
        <f>IFERROR(INDEX('Measure Level Detail'!$R:$R,MATCH($B31&amp;"_"&amp;X$3,'Measure Level Detail'!$C:$C,0)),0)</f>
        <v>1</v>
      </c>
      <c r="Y31" s="273">
        <f>IFERROR(INDEX('Measure Level Detail'!$R:$R,MATCH($B31&amp;"_"&amp;Y$3,'Measure Level Detail'!$C:$C,0)),0)</f>
        <v>1</v>
      </c>
      <c r="Z31" s="273">
        <f>IFERROR(INDEX('Measure Level Detail'!$R:$R,MATCH($B31&amp;"_"&amp;Z$3,'Measure Level Detail'!$C:$C,0)),0)</f>
        <v>1</v>
      </c>
      <c r="AA31" s="273">
        <f>IFERROR(INDEX('Measure Level Detail'!$R:$R,MATCH($B31&amp;"_"&amp;AA$3,'Measure Level Detail'!$C:$C,0)),0)</f>
        <v>1</v>
      </c>
      <c r="AB31" s="266">
        <f t="shared" si="7"/>
        <v>2076.0579721340928</v>
      </c>
      <c r="AC31" s="266">
        <f t="shared" si="8"/>
        <v>2076.0579721340928</v>
      </c>
      <c r="AD31" s="266">
        <f t="shared" si="9"/>
        <v>2076.0579721340928</v>
      </c>
      <c r="AE31" s="266">
        <f t="shared" si="10"/>
        <v>2076.0579721340928</v>
      </c>
      <c r="AF31" s="266">
        <f t="shared" si="11"/>
        <v>8304.2318885363711</v>
      </c>
      <c r="AG31" s="274">
        <v>1</v>
      </c>
      <c r="AH31" s="274">
        <v>1</v>
      </c>
      <c r="AI31" s="274">
        <v>1</v>
      </c>
      <c r="AJ31" s="274">
        <v>1</v>
      </c>
      <c r="AK31" s="274">
        <f t="shared" si="12"/>
        <v>1</v>
      </c>
      <c r="AL31" s="274">
        <f t="shared" si="13"/>
        <v>1</v>
      </c>
      <c r="AM31" s="274">
        <f t="shared" si="14"/>
        <v>1</v>
      </c>
      <c r="AN31" s="274">
        <f t="shared" si="15"/>
        <v>1</v>
      </c>
      <c r="AO31" s="262"/>
      <c r="AP31" s="262"/>
      <c r="AQ31" s="267">
        <v>3.9749540034683961</v>
      </c>
      <c r="AR31" s="262"/>
      <c r="AS31" s="266">
        <f t="shared" si="16"/>
        <v>2225.9742419423019</v>
      </c>
      <c r="AT31" s="264">
        <f t="shared" si="17"/>
        <v>149.91626980820911</v>
      </c>
      <c r="AU31" s="262"/>
      <c r="AV31" s="262"/>
      <c r="AW31" s="265">
        <v>3.9749540034683961</v>
      </c>
      <c r="AX31" s="164" t="s">
        <v>2393</v>
      </c>
      <c r="AY31" s="266">
        <v>2225.9742419423019</v>
      </c>
      <c r="AZ31" s="266">
        <f t="shared" si="45"/>
        <v>2225.9742419423019</v>
      </c>
      <c r="BA31" s="264">
        <f t="shared" si="18"/>
        <v>149.91626980820911</v>
      </c>
      <c r="BB31" s="262"/>
      <c r="BC31" s="262"/>
      <c r="BD31" s="265">
        <f ca="1">IFERROR(INDEX(Algorithms!$G:$G,MATCH($C31&amp;"_Therm Saved per Unit",Algorithms!$A:$A,0)),0)</f>
        <v>3.9749540034683961</v>
      </c>
      <c r="BE31" s="164" t="str">
        <f ca="1">IFERROR(INDEX('v12 Revisions'!$P$29:$P$186, MATCH('Measure-Level Adj Gas'!$L31, 'v12 Revisions'!$D$29:$D$186,0)),"")</f>
        <v/>
      </c>
      <c r="BF31" s="266">
        <f t="shared" ca="1" si="19"/>
        <v>2225.9742419423019</v>
      </c>
      <c r="BG31" s="264">
        <f t="shared" ca="1" si="20"/>
        <v>149.91626980820911</v>
      </c>
      <c r="BH31" s="262"/>
      <c r="BI31" s="262"/>
      <c r="BJ31" s="265">
        <f ca="1">IFERROR(INDEX(Algorithms!$G:$G,MATCH($C31&amp;"_Therm Saved per Unit",Algorithms!$A:$A,0)),0)</f>
        <v>3.9749540034683961</v>
      </c>
      <c r="BK31" s="164"/>
      <c r="BL31" s="266">
        <f t="shared" ca="1" si="21"/>
        <v>2225.9742419423019</v>
      </c>
      <c r="BM31" s="264">
        <f t="shared" ca="1" si="22"/>
        <v>149.91626980820911</v>
      </c>
      <c r="BN31" s="266">
        <f t="shared" si="23"/>
        <v>2225.9742419423019</v>
      </c>
      <c r="BO31" s="266">
        <f t="shared" si="44"/>
        <v>2225.9742419423019</v>
      </c>
      <c r="BP31" s="266">
        <f t="shared" ca="1" si="24"/>
        <v>2225.9742419423019</v>
      </c>
      <c r="BQ31" s="266">
        <f t="shared" ca="1" si="25"/>
        <v>2225.9742419423019</v>
      </c>
      <c r="BR31" s="268">
        <f t="shared" ca="1" si="26"/>
        <v>8903.8969677692075</v>
      </c>
      <c r="BS31" s="262" t="s">
        <v>99</v>
      </c>
      <c r="BT31" s="164"/>
      <c r="BW31" s="266">
        <f t="shared" si="27"/>
        <v>2076.0579721340928</v>
      </c>
      <c r="BX31" s="266">
        <f t="shared" si="28"/>
        <v>2076.0579721340928</v>
      </c>
      <c r="BY31" s="266">
        <f t="shared" si="29"/>
        <v>2076.0579721340928</v>
      </c>
      <c r="BZ31" s="266">
        <f t="shared" si="30"/>
        <v>2076.0579721340928</v>
      </c>
      <c r="CA31" s="266">
        <f ca="1">N31*IFERROR(INDEX(Algorithms!$G:$G,MATCH($C31&amp;"_Therm Saved per Unit- MLA",Algorithms!$A:$A,0)),0)*X31</f>
        <v>0</v>
      </c>
      <c r="CB31" s="266">
        <f ca="1">O31*IFERROR(INDEX(Algorithms!$G:$G,MATCH($C31&amp;"_Therm Saved per Unit- MLA",Algorithms!$A:$A,0)),0)*Y31</f>
        <v>0</v>
      </c>
      <c r="CC31" s="266">
        <f ca="1">P31*IFERROR(INDEX(Algorithms!$G:$G,MATCH($C31&amp;"_Therm Saved per Unit- MLA",Algorithms!$A:$A,0)),0)*Z31</f>
        <v>0</v>
      </c>
      <c r="CD31" s="266">
        <f ca="1">Q31*IFERROR(INDEX(Algorithms!$G:$G,MATCH($C31&amp;"_Therm Saved per Unit- MLA",Algorithms!$A:$A,0)),0)*AA31</f>
        <v>0</v>
      </c>
      <c r="CE31" s="266">
        <f ca="1">IFERROR(INDEX(Algorithms!$G:$G,MATCH($C31&amp;"_Lifetime (years)",Algorithms!$A:$A,0)),0)</f>
        <v>2</v>
      </c>
      <c r="CF31" s="266">
        <f ca="1">IFERROR(INDEX(Algorithms!$G:$G,MATCH($C31&amp;"_Lifetime (years) - Remaining Years",Algorithms!$A:$A,0)),0)</f>
        <v>0</v>
      </c>
      <c r="CG31" s="266">
        <f t="shared" ca="1" si="31"/>
        <v>4152.1159442681856</v>
      </c>
      <c r="CH31" s="266">
        <f t="shared" ca="1" si="32"/>
        <v>4152.1159442681856</v>
      </c>
      <c r="CI31" s="266">
        <f t="shared" ca="1" si="33"/>
        <v>4152.1159442681856</v>
      </c>
      <c r="CJ31" s="266">
        <f t="shared" ca="1" si="34"/>
        <v>4152.1159442681856</v>
      </c>
      <c r="CK31" s="266">
        <f t="shared" si="35"/>
        <v>2225.9742419423019</v>
      </c>
      <c r="CL31" s="266">
        <f t="shared" si="36"/>
        <v>2225.9742419423019</v>
      </c>
      <c r="CM31" s="266">
        <f t="shared" ca="1" si="37"/>
        <v>2225.9742419423019</v>
      </c>
      <c r="CN31" s="266">
        <f t="shared" ca="1" si="38"/>
        <v>2225.9742419423019</v>
      </c>
      <c r="CO31" s="266">
        <f ca="1">N31*IFERROR(INDEX(Algorithms!$G:$G,MATCH($C31&amp;"_Therm Saved per Unit- MLA",Algorithms!$A:$A,0)),0)*X31</f>
        <v>0</v>
      </c>
      <c r="CP31" s="266">
        <f ca="1">O31*IFERROR(INDEX(Algorithms!$G:$G,MATCH($C31&amp;"_Therm Saved per Unit- MLA",Algorithms!$A:$A,0)),0)*Y31</f>
        <v>0</v>
      </c>
      <c r="CQ31" s="266">
        <f ca="1">P31*IFERROR(INDEX(Algorithms!$G:$G,MATCH($C31&amp;"_Therm Saved per Unit- MLA",Algorithms!$A:$A,0)),0)*Z31</f>
        <v>0</v>
      </c>
      <c r="CR31" s="266">
        <f ca="1">Q31*IFERROR(INDEX(Algorithms!$G:$G,MATCH($C31&amp;"_Therm Saved per Unit- MLA",Algorithms!$A:$A,0)),0)*AA31</f>
        <v>0</v>
      </c>
      <c r="CS31" s="266">
        <f ca="1">IFERROR(INDEX(Algorithms!$G:$G,MATCH($C31&amp;"_Lifetime (years)",Algorithms!$A:$A,0)),0)</f>
        <v>2</v>
      </c>
      <c r="CT31" s="266">
        <f ca="1">IFERROR(INDEX(Algorithms!$G:$G,MATCH($C31&amp;"_Lifetime (years) - Remaining Years",Algorithms!$A:$A,0)),0)</f>
        <v>0</v>
      </c>
      <c r="CU31" s="266">
        <f t="shared" ca="1" si="39"/>
        <v>4451.9484838846038</v>
      </c>
      <c r="CV31" s="266">
        <f t="shared" ca="1" si="40"/>
        <v>4451.9484838846038</v>
      </c>
      <c r="CW31" s="266">
        <f t="shared" ca="1" si="41"/>
        <v>4451.9484838846038</v>
      </c>
      <c r="CX31" s="266">
        <f t="shared" ca="1" si="42"/>
        <v>4451.9484838846038</v>
      </c>
    </row>
    <row r="32" spans="2:102" s="47" customFormat="1" ht="18" customHeight="1" x14ac:dyDescent="0.25">
      <c r="B32" t="str">
        <f t="shared" si="43"/>
        <v>NSG_Business_Small/Mid-Size Business_Rebates_DHW Storage Tank Insulation_0_MF/CI/SMB</v>
      </c>
      <c r="C32" s="47" t="str">
        <f t="shared" si="6"/>
        <v>DHW Storage Tank Insulation_0_MF/CI/SMB</v>
      </c>
      <c r="D32" s="270" t="s">
        <v>1787</v>
      </c>
      <c r="E32" s="270" t="s">
        <v>3</v>
      </c>
      <c r="F32" s="270" t="s">
        <v>1432</v>
      </c>
      <c r="G32" s="270" t="s">
        <v>1429</v>
      </c>
      <c r="H32" s="270" t="s">
        <v>832</v>
      </c>
      <c r="I32" s="270">
        <v>0</v>
      </c>
      <c r="J32" s="270" t="s">
        <v>662</v>
      </c>
      <c r="K32" s="263">
        <v>1</v>
      </c>
      <c r="L32" s="263" t="str">
        <f ca="1">IFERROR(INDEX(Algorithms!J:J,MATCH($C32&amp;"_Therm Saved per Unit",Algorithms!$A:$A,0)),"n/a")</f>
        <v>4.3.12</v>
      </c>
      <c r="M32" s="263" t="str">
        <f>IFERROR(INDEX('Measure Level Detail'!$N:$N,MATCH($B32,'Measure Level Detail'!$B:$B,0)),0)</f>
        <v>sqft</v>
      </c>
      <c r="N32" s="271">
        <f>IFERROR(INDEX('Measure Level Detail'!$P:$P,MATCH($B32&amp;"_"&amp;N$3,'Measure Level Detail'!$C:$C,0)),0)</f>
        <v>56</v>
      </c>
      <c r="O32" s="271">
        <f>IFERROR(INDEX('Measure Level Detail'!$P:$P,MATCH($B32&amp;"_"&amp;O$3,'Measure Level Detail'!$C:$C,0)),0)</f>
        <v>56</v>
      </c>
      <c r="P32" s="271">
        <f>IFERROR(INDEX('Measure Level Detail'!$P:$P,MATCH($B32&amp;"_"&amp;P$3,'Measure Level Detail'!$C:$C,0)),0)</f>
        <v>56</v>
      </c>
      <c r="Q32" s="271">
        <f>IFERROR(INDEX('Measure Level Detail'!$P:$P,MATCH($B32&amp;"_"&amp;Q$3,'Measure Level Detail'!$C:$C,0)),0)</f>
        <v>56</v>
      </c>
      <c r="R32" s="263" t="str">
        <f ca="1">IFERROR(INDEX(Algorithms!K:K,MATCH($C32&amp;"_Therm Saved per Unit",Algorithms!$A:$A,0)),"n/a")</f>
        <v>CI-HWE-TKIN-V03-240101</v>
      </c>
      <c r="S32" s="262"/>
      <c r="T32" s="272">
        <v>6.9553729140568805</v>
      </c>
      <c r="U32" s="272">
        <v>6.9553729140568805</v>
      </c>
      <c r="V32" s="272">
        <v>6.9553729140568805</v>
      </c>
      <c r="W32" s="272">
        <v>6.9553729140568805</v>
      </c>
      <c r="X32" s="276">
        <v>0.93</v>
      </c>
      <c r="Y32" s="276">
        <v>0.93</v>
      </c>
      <c r="Z32" s="276">
        <v>0.93</v>
      </c>
      <c r="AA32" s="276">
        <v>0.93</v>
      </c>
      <c r="AB32" s="266">
        <f t="shared" si="7"/>
        <v>362.23582136408237</v>
      </c>
      <c r="AC32" s="266">
        <f t="shared" si="8"/>
        <v>362.23582136408237</v>
      </c>
      <c r="AD32" s="266">
        <f t="shared" si="9"/>
        <v>362.23582136408237</v>
      </c>
      <c r="AE32" s="266">
        <f t="shared" si="10"/>
        <v>362.23582136408237</v>
      </c>
      <c r="AF32" s="266">
        <f t="shared" si="11"/>
        <v>1448.9432854563295</v>
      </c>
      <c r="AG32" s="274">
        <v>0.93</v>
      </c>
      <c r="AH32" s="274">
        <v>0.93</v>
      </c>
      <c r="AI32" s="274">
        <v>0.93</v>
      </c>
      <c r="AJ32" s="274">
        <v>0.93</v>
      </c>
      <c r="AK32" s="274">
        <f t="shared" si="12"/>
        <v>0.93</v>
      </c>
      <c r="AL32" s="274">
        <f t="shared" si="13"/>
        <v>0.93</v>
      </c>
      <c r="AM32" s="274">
        <f t="shared" si="14"/>
        <v>0.93</v>
      </c>
      <c r="AN32" s="274">
        <f t="shared" si="15"/>
        <v>0.93</v>
      </c>
      <c r="AO32" s="262"/>
      <c r="AP32" s="262"/>
      <c r="AQ32" s="267">
        <v>9.7375220796796338</v>
      </c>
      <c r="AR32" s="262"/>
      <c r="AS32" s="266">
        <f t="shared" si="16"/>
        <v>507.13014990971533</v>
      </c>
      <c r="AT32" s="264">
        <f t="shared" si="17"/>
        <v>144.89432854563296</v>
      </c>
      <c r="AU32" s="262"/>
      <c r="AV32" s="262"/>
      <c r="AW32" s="265">
        <v>9.7375220796796338</v>
      </c>
      <c r="AX32" s="164" t="s">
        <v>1469</v>
      </c>
      <c r="AY32" s="266">
        <v>507.13014990971533</v>
      </c>
      <c r="AZ32" s="266">
        <f t="shared" si="45"/>
        <v>507.13014990971533</v>
      </c>
      <c r="BA32" s="264">
        <f t="shared" si="18"/>
        <v>144.89432854563296</v>
      </c>
      <c r="BB32" s="262"/>
      <c r="BC32" s="262"/>
      <c r="BD32" s="265">
        <f ca="1">IFERROR(INDEX(Algorithms!$G:$G,MATCH($C32&amp;"_Therm Saved per Unit",Algorithms!$A:$A,0)),0)</f>
        <v>9.7375220796796338</v>
      </c>
      <c r="BE32" s="164" t="str">
        <f ca="1">IFERROR(INDEX('v12 Revisions'!$P$29:$P$186, MATCH('Measure-Level Adj Gas'!$L32, 'v12 Revisions'!$D$29:$D$186,0)),"")</f>
        <v/>
      </c>
      <c r="BF32" s="266">
        <f t="shared" ca="1" si="19"/>
        <v>507.13014990971533</v>
      </c>
      <c r="BG32" s="264">
        <f t="shared" ca="1" si="20"/>
        <v>144.89432854563296</v>
      </c>
      <c r="BH32" s="262"/>
      <c r="BI32" s="262"/>
      <c r="BJ32" s="265">
        <f ca="1">IFERROR(INDEX(Algorithms!$G:$G,MATCH($C32&amp;"_Therm Saved per Unit",Algorithms!$A:$A,0)),0)</f>
        <v>9.7375220796796338</v>
      </c>
      <c r="BK32" s="164"/>
      <c r="BL32" s="266">
        <f t="shared" ca="1" si="21"/>
        <v>507.13014990971533</v>
      </c>
      <c r="BM32" s="264">
        <f t="shared" ca="1" si="22"/>
        <v>144.89432854563296</v>
      </c>
      <c r="BN32" s="266">
        <f t="shared" si="23"/>
        <v>507.13014990971533</v>
      </c>
      <c r="BO32" s="266">
        <f t="shared" si="44"/>
        <v>507.13014990971533</v>
      </c>
      <c r="BP32" s="266">
        <f t="shared" ca="1" si="24"/>
        <v>507.13014990971533</v>
      </c>
      <c r="BQ32" s="266">
        <f t="shared" ca="1" si="25"/>
        <v>507.13014990971533</v>
      </c>
      <c r="BR32" s="268">
        <f t="shared" ca="1" si="26"/>
        <v>2028.5205996388613</v>
      </c>
      <c r="BS32" s="262" t="s">
        <v>99</v>
      </c>
      <c r="BT32" s="164"/>
      <c r="BW32" s="266">
        <f t="shared" si="27"/>
        <v>362.23582136408237</v>
      </c>
      <c r="BX32" s="266">
        <f t="shared" si="28"/>
        <v>362.23582136408237</v>
      </c>
      <c r="BY32" s="266">
        <f t="shared" si="29"/>
        <v>362.23582136408237</v>
      </c>
      <c r="BZ32" s="266">
        <f t="shared" si="30"/>
        <v>362.23582136408237</v>
      </c>
      <c r="CA32" s="266">
        <f ca="1">N32*IFERROR(INDEX(Algorithms!$G:$G,MATCH($C32&amp;"_Therm Saved per Unit- MLA",Algorithms!$A:$A,0)),0)*X32</f>
        <v>0</v>
      </c>
      <c r="CB32" s="266">
        <f ca="1">O32*IFERROR(INDEX(Algorithms!$G:$G,MATCH($C32&amp;"_Therm Saved per Unit- MLA",Algorithms!$A:$A,0)),0)*Y32</f>
        <v>0</v>
      </c>
      <c r="CC32" s="266">
        <f ca="1">P32*IFERROR(INDEX(Algorithms!$G:$G,MATCH($C32&amp;"_Therm Saved per Unit- MLA",Algorithms!$A:$A,0)),0)*Z32</f>
        <v>0</v>
      </c>
      <c r="CD32" s="266">
        <f ca="1">Q32*IFERROR(INDEX(Algorithms!$G:$G,MATCH($C32&amp;"_Therm Saved per Unit- MLA",Algorithms!$A:$A,0)),0)*AA32</f>
        <v>0</v>
      </c>
      <c r="CE32" s="266">
        <f ca="1">IFERROR(INDEX(Algorithms!$G:$G,MATCH($C32&amp;"_Lifetime (years)",Algorithms!$A:$A,0)),0)</f>
        <v>15</v>
      </c>
      <c r="CF32" s="266">
        <f ca="1">IFERROR(INDEX(Algorithms!$G:$G,MATCH($C32&amp;"_Lifetime (years) - Remaining Years",Algorithms!$A:$A,0)),0)</f>
        <v>0</v>
      </c>
      <c r="CG32" s="266">
        <f t="shared" ca="1" si="31"/>
        <v>5433.5373204612351</v>
      </c>
      <c r="CH32" s="266">
        <f t="shared" ca="1" si="32"/>
        <v>5433.5373204612351</v>
      </c>
      <c r="CI32" s="266">
        <f t="shared" ca="1" si="33"/>
        <v>5433.5373204612351</v>
      </c>
      <c r="CJ32" s="266">
        <f t="shared" ca="1" si="34"/>
        <v>5433.5373204612351</v>
      </c>
      <c r="CK32" s="266">
        <f t="shared" si="35"/>
        <v>507.13014990971533</v>
      </c>
      <c r="CL32" s="266">
        <f t="shared" si="36"/>
        <v>507.13014990971533</v>
      </c>
      <c r="CM32" s="266">
        <f t="shared" ca="1" si="37"/>
        <v>507.13014990971533</v>
      </c>
      <c r="CN32" s="266">
        <f t="shared" ca="1" si="38"/>
        <v>507.13014990971533</v>
      </c>
      <c r="CO32" s="266">
        <f ca="1">N32*IFERROR(INDEX(Algorithms!$G:$G,MATCH($C32&amp;"_Therm Saved per Unit- MLA",Algorithms!$A:$A,0)),0)*X32</f>
        <v>0</v>
      </c>
      <c r="CP32" s="266">
        <f ca="1">O32*IFERROR(INDEX(Algorithms!$G:$G,MATCH($C32&amp;"_Therm Saved per Unit- MLA",Algorithms!$A:$A,0)),0)*Y32</f>
        <v>0</v>
      </c>
      <c r="CQ32" s="266">
        <f ca="1">P32*IFERROR(INDEX(Algorithms!$G:$G,MATCH($C32&amp;"_Therm Saved per Unit- MLA",Algorithms!$A:$A,0)),0)*Z32</f>
        <v>0</v>
      </c>
      <c r="CR32" s="266">
        <f ca="1">Q32*IFERROR(INDEX(Algorithms!$G:$G,MATCH($C32&amp;"_Therm Saved per Unit- MLA",Algorithms!$A:$A,0)),0)*AA32</f>
        <v>0</v>
      </c>
      <c r="CS32" s="266">
        <f ca="1">IFERROR(INDEX(Algorithms!$G:$G,MATCH($C32&amp;"_Lifetime (years)",Algorithms!$A:$A,0)),0)</f>
        <v>15</v>
      </c>
      <c r="CT32" s="266">
        <f ca="1">IFERROR(INDEX(Algorithms!$G:$G,MATCH($C32&amp;"_Lifetime (years) - Remaining Years",Algorithms!$A:$A,0)),0)</f>
        <v>0</v>
      </c>
      <c r="CU32" s="266">
        <f t="shared" ca="1" si="39"/>
        <v>7606.9522486457299</v>
      </c>
      <c r="CV32" s="266">
        <f t="shared" ca="1" si="40"/>
        <v>7606.9522486457299</v>
      </c>
      <c r="CW32" s="266">
        <f t="shared" ca="1" si="41"/>
        <v>7606.9522486457299</v>
      </c>
      <c r="CX32" s="266">
        <f t="shared" ca="1" si="42"/>
        <v>7606.9522486457299</v>
      </c>
    </row>
    <row r="33" spans="2:102" s="47" customFormat="1" ht="18" customHeight="1" x14ac:dyDescent="0.25">
      <c r="B33" t="str">
        <f t="shared" si="43"/>
        <v>NSG_Business_Small/Mid-Size Business_Partner Trade Ally Rebate_DHW Storage Tank Insulation_0_MF/CI/SMB</v>
      </c>
      <c r="C33" s="47" t="str">
        <f t="shared" si="6"/>
        <v>DHW Storage Tank Insulation_0_MF/CI/SMB</v>
      </c>
      <c r="D33" s="270" t="s">
        <v>1787</v>
      </c>
      <c r="E33" s="270" t="s">
        <v>3</v>
      </c>
      <c r="F33" s="270" t="s">
        <v>1432</v>
      </c>
      <c r="G33" s="270" t="s">
        <v>1799</v>
      </c>
      <c r="H33" s="270" t="s">
        <v>832</v>
      </c>
      <c r="I33" s="270">
        <v>0</v>
      </c>
      <c r="J33" s="270" t="s">
        <v>662</v>
      </c>
      <c r="K33" s="263">
        <v>1</v>
      </c>
      <c r="L33" s="263" t="str">
        <f ca="1">IFERROR(INDEX(Algorithms!J:J,MATCH($C33&amp;"_Therm Saved per Unit",Algorithms!$A:$A,0)),"n/a")</f>
        <v>4.3.12</v>
      </c>
      <c r="M33" s="263" t="str">
        <f>IFERROR(INDEX('Measure Level Detail'!$N:$N,MATCH($B33,'Measure Level Detail'!$B:$B,0)),0)</f>
        <v>sqft</v>
      </c>
      <c r="N33" s="271">
        <f>IFERROR(INDEX('Measure Level Detail'!$P:$P,MATCH($B33&amp;"_"&amp;N$3,'Measure Level Detail'!$C:$C,0)),0)</f>
        <v>56</v>
      </c>
      <c r="O33" s="271">
        <f>IFERROR(INDEX('Measure Level Detail'!$P:$P,MATCH($B33&amp;"_"&amp;O$3,'Measure Level Detail'!$C:$C,0)),0)</f>
        <v>56</v>
      </c>
      <c r="P33" s="271">
        <f>IFERROR(INDEX('Measure Level Detail'!$P:$P,MATCH($B33&amp;"_"&amp;P$3,'Measure Level Detail'!$C:$C,0)),0)</f>
        <v>56</v>
      </c>
      <c r="Q33" s="271">
        <f>IFERROR(INDEX('Measure Level Detail'!$P:$P,MATCH($B33&amp;"_"&amp;Q$3,'Measure Level Detail'!$C:$C,0)),0)</f>
        <v>56</v>
      </c>
      <c r="R33" s="263" t="str">
        <f ca="1">IFERROR(INDEX(Algorithms!K:K,MATCH($C33&amp;"_Therm Saved per Unit",Algorithms!$A:$A,0)),"n/a")</f>
        <v>CI-HWE-TKIN-V03-240101</v>
      </c>
      <c r="S33" s="262"/>
      <c r="T33" s="272">
        <v>6.9553729140568805</v>
      </c>
      <c r="U33" s="272">
        <v>6.9553729140568805</v>
      </c>
      <c r="V33" s="272">
        <v>6.9553729140568805</v>
      </c>
      <c r="W33" s="272">
        <v>6.9553729140568805</v>
      </c>
      <c r="X33" s="276">
        <v>0.93</v>
      </c>
      <c r="Y33" s="276">
        <v>0.93</v>
      </c>
      <c r="Z33" s="276">
        <v>0.93</v>
      </c>
      <c r="AA33" s="276">
        <v>0.93</v>
      </c>
      <c r="AB33" s="266">
        <f t="shared" si="7"/>
        <v>362.23582136408237</v>
      </c>
      <c r="AC33" s="266">
        <f t="shared" si="8"/>
        <v>362.23582136408237</v>
      </c>
      <c r="AD33" s="266">
        <f t="shared" si="9"/>
        <v>362.23582136408237</v>
      </c>
      <c r="AE33" s="266">
        <f t="shared" si="10"/>
        <v>362.23582136408237</v>
      </c>
      <c r="AF33" s="266">
        <f t="shared" si="11"/>
        <v>1448.9432854563295</v>
      </c>
      <c r="AG33" s="274">
        <v>0.93</v>
      </c>
      <c r="AH33" s="274">
        <v>0.93</v>
      </c>
      <c r="AI33" s="274">
        <v>0.93</v>
      </c>
      <c r="AJ33" s="274">
        <v>0.93</v>
      </c>
      <c r="AK33" s="274">
        <f t="shared" si="12"/>
        <v>0.93</v>
      </c>
      <c r="AL33" s="274">
        <f t="shared" si="13"/>
        <v>0.93</v>
      </c>
      <c r="AM33" s="274">
        <f t="shared" si="14"/>
        <v>0.93</v>
      </c>
      <c r="AN33" s="274">
        <f t="shared" si="15"/>
        <v>0.93</v>
      </c>
      <c r="AO33" s="262"/>
      <c r="AP33" s="262"/>
      <c r="AQ33" s="267">
        <v>9.7375220796796338</v>
      </c>
      <c r="AR33" s="262"/>
      <c r="AS33" s="266">
        <f t="shared" si="16"/>
        <v>507.13014990971533</v>
      </c>
      <c r="AT33" s="264">
        <f t="shared" si="17"/>
        <v>144.89432854563296</v>
      </c>
      <c r="AU33" s="262"/>
      <c r="AV33" s="262"/>
      <c r="AW33" s="265">
        <v>9.7375220796796338</v>
      </c>
      <c r="AX33" s="164" t="s">
        <v>1469</v>
      </c>
      <c r="AY33" s="266">
        <v>507.13014990971533</v>
      </c>
      <c r="AZ33" s="266">
        <f t="shared" si="45"/>
        <v>507.13014990971533</v>
      </c>
      <c r="BA33" s="264">
        <f t="shared" si="18"/>
        <v>144.89432854563296</v>
      </c>
      <c r="BB33" s="262"/>
      <c r="BC33" s="262"/>
      <c r="BD33" s="265">
        <f ca="1">IFERROR(INDEX(Algorithms!$G:$G,MATCH($C33&amp;"_Therm Saved per Unit",Algorithms!$A:$A,0)),0)</f>
        <v>9.7375220796796338</v>
      </c>
      <c r="BE33" s="164" t="str">
        <f ca="1">IFERROR(INDEX('v12 Revisions'!$P$29:$P$186, MATCH('Measure-Level Adj Gas'!$L33, 'v12 Revisions'!$D$29:$D$186,0)),"")</f>
        <v/>
      </c>
      <c r="BF33" s="266">
        <f t="shared" ca="1" si="19"/>
        <v>507.13014990971533</v>
      </c>
      <c r="BG33" s="264">
        <f t="shared" ca="1" si="20"/>
        <v>144.89432854563296</v>
      </c>
      <c r="BH33" s="262"/>
      <c r="BI33" s="262"/>
      <c r="BJ33" s="265">
        <f ca="1">IFERROR(INDEX(Algorithms!$G:$G,MATCH($C33&amp;"_Therm Saved per Unit",Algorithms!$A:$A,0)),0)</f>
        <v>9.7375220796796338</v>
      </c>
      <c r="BK33" s="164"/>
      <c r="BL33" s="266">
        <f t="shared" ca="1" si="21"/>
        <v>507.13014990971533</v>
      </c>
      <c r="BM33" s="264">
        <f t="shared" ca="1" si="22"/>
        <v>144.89432854563296</v>
      </c>
      <c r="BN33" s="266">
        <f t="shared" si="23"/>
        <v>507.13014990971533</v>
      </c>
      <c r="BO33" s="266">
        <f t="shared" si="44"/>
        <v>507.13014990971533</v>
      </c>
      <c r="BP33" s="266">
        <f t="shared" ca="1" si="24"/>
        <v>507.13014990971533</v>
      </c>
      <c r="BQ33" s="266">
        <f t="shared" ca="1" si="25"/>
        <v>507.13014990971533</v>
      </c>
      <c r="BR33" s="268">
        <f t="shared" ca="1" si="26"/>
        <v>2028.5205996388613</v>
      </c>
      <c r="BS33" s="262" t="s">
        <v>99</v>
      </c>
      <c r="BT33" s="164"/>
      <c r="BW33" s="266">
        <f t="shared" si="27"/>
        <v>362.23582136408237</v>
      </c>
      <c r="BX33" s="266">
        <f t="shared" si="28"/>
        <v>362.23582136408237</v>
      </c>
      <c r="BY33" s="266">
        <f t="shared" si="29"/>
        <v>362.23582136408237</v>
      </c>
      <c r="BZ33" s="266">
        <f t="shared" si="30"/>
        <v>362.23582136408237</v>
      </c>
      <c r="CA33" s="266">
        <f ca="1">N33*IFERROR(INDEX(Algorithms!$G:$G,MATCH($C33&amp;"_Therm Saved per Unit- MLA",Algorithms!$A:$A,0)),0)*X33</f>
        <v>0</v>
      </c>
      <c r="CB33" s="266">
        <f ca="1">O33*IFERROR(INDEX(Algorithms!$G:$G,MATCH($C33&amp;"_Therm Saved per Unit- MLA",Algorithms!$A:$A,0)),0)*Y33</f>
        <v>0</v>
      </c>
      <c r="CC33" s="266">
        <f ca="1">P33*IFERROR(INDEX(Algorithms!$G:$G,MATCH($C33&amp;"_Therm Saved per Unit- MLA",Algorithms!$A:$A,0)),0)*Z33</f>
        <v>0</v>
      </c>
      <c r="CD33" s="266">
        <f ca="1">Q33*IFERROR(INDEX(Algorithms!$G:$G,MATCH($C33&amp;"_Therm Saved per Unit- MLA",Algorithms!$A:$A,0)),0)*AA33</f>
        <v>0</v>
      </c>
      <c r="CE33" s="266">
        <f ca="1">IFERROR(INDEX(Algorithms!$G:$G,MATCH($C33&amp;"_Lifetime (years)",Algorithms!$A:$A,0)),0)</f>
        <v>15</v>
      </c>
      <c r="CF33" s="266">
        <f ca="1">IFERROR(INDEX(Algorithms!$G:$G,MATCH($C33&amp;"_Lifetime (years) - Remaining Years",Algorithms!$A:$A,0)),0)</f>
        <v>0</v>
      </c>
      <c r="CG33" s="266">
        <f t="shared" ca="1" si="31"/>
        <v>5433.5373204612351</v>
      </c>
      <c r="CH33" s="266">
        <f t="shared" ca="1" si="32"/>
        <v>5433.5373204612351</v>
      </c>
      <c r="CI33" s="266">
        <f t="shared" ca="1" si="33"/>
        <v>5433.5373204612351</v>
      </c>
      <c r="CJ33" s="266">
        <f t="shared" ca="1" si="34"/>
        <v>5433.5373204612351</v>
      </c>
      <c r="CK33" s="266">
        <f t="shared" si="35"/>
        <v>507.13014990971533</v>
      </c>
      <c r="CL33" s="266">
        <f t="shared" si="36"/>
        <v>507.13014990971533</v>
      </c>
      <c r="CM33" s="266">
        <f t="shared" ca="1" si="37"/>
        <v>507.13014990971533</v>
      </c>
      <c r="CN33" s="266">
        <f t="shared" ca="1" si="38"/>
        <v>507.13014990971533</v>
      </c>
      <c r="CO33" s="266">
        <f ca="1">N33*IFERROR(INDEX(Algorithms!$G:$G,MATCH($C33&amp;"_Therm Saved per Unit- MLA",Algorithms!$A:$A,0)),0)*X33</f>
        <v>0</v>
      </c>
      <c r="CP33" s="266">
        <f ca="1">O33*IFERROR(INDEX(Algorithms!$G:$G,MATCH($C33&amp;"_Therm Saved per Unit- MLA",Algorithms!$A:$A,0)),0)*Y33</f>
        <v>0</v>
      </c>
      <c r="CQ33" s="266">
        <f ca="1">P33*IFERROR(INDEX(Algorithms!$G:$G,MATCH($C33&amp;"_Therm Saved per Unit- MLA",Algorithms!$A:$A,0)),0)*Z33</f>
        <v>0</v>
      </c>
      <c r="CR33" s="266">
        <f ca="1">Q33*IFERROR(INDEX(Algorithms!$G:$G,MATCH($C33&amp;"_Therm Saved per Unit- MLA",Algorithms!$A:$A,0)),0)*AA33</f>
        <v>0</v>
      </c>
      <c r="CS33" s="266">
        <f ca="1">IFERROR(INDEX(Algorithms!$G:$G,MATCH($C33&amp;"_Lifetime (years)",Algorithms!$A:$A,0)),0)</f>
        <v>15</v>
      </c>
      <c r="CT33" s="266">
        <f ca="1">IFERROR(INDEX(Algorithms!$G:$G,MATCH($C33&amp;"_Lifetime (years) - Remaining Years",Algorithms!$A:$A,0)),0)</f>
        <v>0</v>
      </c>
      <c r="CU33" s="266">
        <f t="shared" ca="1" si="39"/>
        <v>7606.9522486457299</v>
      </c>
      <c r="CV33" s="266">
        <f t="shared" ca="1" si="40"/>
        <v>7606.9522486457299</v>
      </c>
      <c r="CW33" s="266">
        <f t="shared" ca="1" si="41"/>
        <v>7606.9522486457299</v>
      </c>
      <c r="CX33" s="266">
        <f t="shared" ca="1" si="42"/>
        <v>7606.9522486457299</v>
      </c>
    </row>
    <row r="34" spans="2:102" s="47" customFormat="1" ht="18" customHeight="1" x14ac:dyDescent="0.25">
      <c r="B34" t="str">
        <f t="shared" si="43"/>
        <v>NSG_Business_Public Sector_Rebates_DHW Storage Tank Insulation_0_MF/CI/SMB</v>
      </c>
      <c r="C34" s="47" t="str">
        <f t="shared" si="6"/>
        <v>DHW Storage Tank Insulation_0_MF/CI/SMB</v>
      </c>
      <c r="D34" s="270" t="s">
        <v>1787</v>
      </c>
      <c r="E34" s="270" t="s">
        <v>3</v>
      </c>
      <c r="F34" s="270" t="s">
        <v>1430</v>
      </c>
      <c r="G34" s="270" t="s">
        <v>1429</v>
      </c>
      <c r="H34" s="270" t="s">
        <v>832</v>
      </c>
      <c r="I34" s="270">
        <v>0</v>
      </c>
      <c r="J34" s="270" t="s">
        <v>662</v>
      </c>
      <c r="K34" s="263">
        <v>1</v>
      </c>
      <c r="L34" s="263" t="str">
        <f ca="1">IFERROR(INDEX(Algorithms!J:J,MATCH($C34&amp;"_Therm Saved per Unit",Algorithms!$A:$A,0)),"n/a")</f>
        <v>4.3.12</v>
      </c>
      <c r="M34" s="263" t="str">
        <f>IFERROR(INDEX('Measure Level Detail'!$N:$N,MATCH($B34,'Measure Level Detail'!$B:$B,0)),0)</f>
        <v>sqft</v>
      </c>
      <c r="N34" s="271">
        <f>IFERROR(INDEX('Measure Level Detail'!$P:$P,MATCH($B34&amp;"_"&amp;N$3,'Measure Level Detail'!$C:$C,0)),0)</f>
        <v>56</v>
      </c>
      <c r="O34" s="271">
        <f>IFERROR(INDEX('Measure Level Detail'!$P:$P,MATCH($B34&amp;"_"&amp;O$3,'Measure Level Detail'!$C:$C,0)),0)</f>
        <v>56</v>
      </c>
      <c r="P34" s="271">
        <f>IFERROR(INDEX('Measure Level Detail'!$P:$P,MATCH($B34&amp;"_"&amp;P$3,'Measure Level Detail'!$C:$C,0)),0)</f>
        <v>56</v>
      </c>
      <c r="Q34" s="271">
        <f>IFERROR(INDEX('Measure Level Detail'!$P:$P,MATCH($B34&amp;"_"&amp;Q$3,'Measure Level Detail'!$C:$C,0)),0)</f>
        <v>56</v>
      </c>
      <c r="R34" s="263" t="str">
        <f ca="1">IFERROR(INDEX(Algorithms!K:K,MATCH($C34&amp;"_Therm Saved per Unit",Algorithms!$A:$A,0)),"n/a")</f>
        <v>CI-HWE-TKIN-V03-240101</v>
      </c>
      <c r="S34" s="262"/>
      <c r="T34" s="272">
        <v>6.9553729140568805</v>
      </c>
      <c r="U34" s="272">
        <v>6.9553729140568805</v>
      </c>
      <c r="V34" s="272">
        <v>6.9553729140568805</v>
      </c>
      <c r="W34" s="272">
        <v>6.9553729140568805</v>
      </c>
      <c r="X34" s="276">
        <v>0.92</v>
      </c>
      <c r="Y34" s="276">
        <v>0.92</v>
      </c>
      <c r="Z34" s="276">
        <v>0.92</v>
      </c>
      <c r="AA34" s="276">
        <v>0.92</v>
      </c>
      <c r="AB34" s="266">
        <f t="shared" si="7"/>
        <v>358.34081253221052</v>
      </c>
      <c r="AC34" s="266">
        <f t="shared" si="8"/>
        <v>358.34081253221052</v>
      </c>
      <c r="AD34" s="266">
        <f t="shared" si="9"/>
        <v>358.34081253221052</v>
      </c>
      <c r="AE34" s="266">
        <f t="shared" si="10"/>
        <v>358.34081253221052</v>
      </c>
      <c r="AF34" s="266">
        <f t="shared" si="11"/>
        <v>1433.3632501288421</v>
      </c>
      <c r="AG34" s="274">
        <v>0.92</v>
      </c>
      <c r="AH34" s="274">
        <v>0.92</v>
      </c>
      <c r="AI34" s="274">
        <v>0.92</v>
      </c>
      <c r="AJ34" s="274">
        <v>0.92</v>
      </c>
      <c r="AK34" s="274">
        <f t="shared" si="12"/>
        <v>0.92</v>
      </c>
      <c r="AL34" s="274">
        <f t="shared" si="13"/>
        <v>0.92</v>
      </c>
      <c r="AM34" s="274">
        <f t="shared" si="14"/>
        <v>0.92</v>
      </c>
      <c r="AN34" s="274">
        <f t="shared" si="15"/>
        <v>0.92</v>
      </c>
      <c r="AO34" s="262"/>
      <c r="AP34" s="262"/>
      <c r="AQ34" s="267">
        <v>9.7375220796796338</v>
      </c>
      <c r="AR34" s="262"/>
      <c r="AS34" s="266">
        <f t="shared" si="16"/>
        <v>501.67713754509475</v>
      </c>
      <c r="AT34" s="264">
        <f t="shared" si="17"/>
        <v>143.33632501288423</v>
      </c>
      <c r="AU34" s="262"/>
      <c r="AV34" s="262"/>
      <c r="AW34" s="265">
        <v>9.7375220796796338</v>
      </c>
      <c r="AX34" s="164" t="s">
        <v>1469</v>
      </c>
      <c r="AY34" s="266">
        <v>501.67713754509475</v>
      </c>
      <c r="AZ34" s="266">
        <f t="shared" si="45"/>
        <v>501.67713754509475</v>
      </c>
      <c r="BA34" s="264">
        <f t="shared" si="18"/>
        <v>143.33632501288423</v>
      </c>
      <c r="BB34" s="262"/>
      <c r="BC34" s="262"/>
      <c r="BD34" s="265">
        <f ca="1">IFERROR(INDEX(Algorithms!$G:$G,MATCH($C34&amp;"_Therm Saved per Unit",Algorithms!$A:$A,0)),0)</f>
        <v>9.7375220796796338</v>
      </c>
      <c r="BE34" s="164" t="str">
        <f ca="1">IFERROR(INDEX('v12 Revisions'!$P$29:$P$186, MATCH('Measure-Level Adj Gas'!$L34, 'v12 Revisions'!$D$29:$D$186,0)),"")</f>
        <v/>
      </c>
      <c r="BF34" s="266">
        <f t="shared" ca="1" si="19"/>
        <v>501.67713754509475</v>
      </c>
      <c r="BG34" s="264">
        <f t="shared" ca="1" si="20"/>
        <v>143.33632501288423</v>
      </c>
      <c r="BH34" s="262"/>
      <c r="BI34" s="262"/>
      <c r="BJ34" s="265">
        <f ca="1">IFERROR(INDEX(Algorithms!$G:$G,MATCH($C34&amp;"_Therm Saved per Unit",Algorithms!$A:$A,0)),0)</f>
        <v>9.7375220796796338</v>
      </c>
      <c r="BK34" s="164"/>
      <c r="BL34" s="266">
        <f t="shared" ca="1" si="21"/>
        <v>501.67713754509475</v>
      </c>
      <c r="BM34" s="264">
        <f t="shared" ca="1" si="22"/>
        <v>143.33632501288423</v>
      </c>
      <c r="BN34" s="266">
        <f t="shared" si="23"/>
        <v>501.67713754509475</v>
      </c>
      <c r="BO34" s="266">
        <f t="shared" si="44"/>
        <v>501.67713754509475</v>
      </c>
      <c r="BP34" s="266">
        <f t="shared" ca="1" si="24"/>
        <v>501.67713754509475</v>
      </c>
      <c r="BQ34" s="266">
        <f t="shared" ca="1" si="25"/>
        <v>501.67713754509475</v>
      </c>
      <c r="BR34" s="268">
        <f t="shared" ca="1" si="26"/>
        <v>2006.708550180379</v>
      </c>
      <c r="BS34" s="262" t="s">
        <v>99</v>
      </c>
      <c r="BT34" s="164"/>
      <c r="BW34" s="266">
        <f t="shared" si="27"/>
        <v>358.34081253221052</v>
      </c>
      <c r="BX34" s="266">
        <f t="shared" si="28"/>
        <v>358.34081253221052</v>
      </c>
      <c r="BY34" s="266">
        <f t="shared" si="29"/>
        <v>358.34081253221052</v>
      </c>
      <c r="BZ34" s="266">
        <f t="shared" si="30"/>
        <v>358.34081253221052</v>
      </c>
      <c r="CA34" s="266">
        <f ca="1">N34*IFERROR(INDEX(Algorithms!$G:$G,MATCH($C34&amp;"_Therm Saved per Unit- MLA",Algorithms!$A:$A,0)),0)*X34</f>
        <v>0</v>
      </c>
      <c r="CB34" s="266">
        <f ca="1">O34*IFERROR(INDEX(Algorithms!$G:$G,MATCH($C34&amp;"_Therm Saved per Unit- MLA",Algorithms!$A:$A,0)),0)*Y34</f>
        <v>0</v>
      </c>
      <c r="CC34" s="266">
        <f ca="1">P34*IFERROR(INDEX(Algorithms!$G:$G,MATCH($C34&amp;"_Therm Saved per Unit- MLA",Algorithms!$A:$A,0)),0)*Z34</f>
        <v>0</v>
      </c>
      <c r="CD34" s="266">
        <f ca="1">Q34*IFERROR(INDEX(Algorithms!$G:$G,MATCH($C34&amp;"_Therm Saved per Unit- MLA",Algorithms!$A:$A,0)),0)*AA34</f>
        <v>0</v>
      </c>
      <c r="CE34" s="266">
        <f ca="1">IFERROR(INDEX(Algorithms!$G:$G,MATCH($C34&amp;"_Lifetime (years)",Algorithms!$A:$A,0)),0)</f>
        <v>15</v>
      </c>
      <c r="CF34" s="266">
        <f ca="1">IFERROR(INDEX(Algorithms!$G:$G,MATCH($C34&amp;"_Lifetime (years) - Remaining Years",Algorithms!$A:$A,0)),0)</f>
        <v>0</v>
      </c>
      <c r="CG34" s="266">
        <f t="shared" ca="1" si="31"/>
        <v>5375.112187983158</v>
      </c>
      <c r="CH34" s="266">
        <f t="shared" ca="1" si="32"/>
        <v>5375.112187983158</v>
      </c>
      <c r="CI34" s="266">
        <f t="shared" ca="1" si="33"/>
        <v>5375.112187983158</v>
      </c>
      <c r="CJ34" s="266">
        <f t="shared" ca="1" si="34"/>
        <v>5375.112187983158</v>
      </c>
      <c r="CK34" s="266">
        <f t="shared" si="35"/>
        <v>501.67713754509475</v>
      </c>
      <c r="CL34" s="266">
        <f t="shared" si="36"/>
        <v>501.67713754509475</v>
      </c>
      <c r="CM34" s="266">
        <f t="shared" ca="1" si="37"/>
        <v>501.67713754509475</v>
      </c>
      <c r="CN34" s="266">
        <f t="shared" ca="1" si="38"/>
        <v>501.67713754509475</v>
      </c>
      <c r="CO34" s="266">
        <f ca="1">N34*IFERROR(INDEX(Algorithms!$G:$G,MATCH($C34&amp;"_Therm Saved per Unit- MLA",Algorithms!$A:$A,0)),0)*X34</f>
        <v>0</v>
      </c>
      <c r="CP34" s="266">
        <f ca="1">O34*IFERROR(INDEX(Algorithms!$G:$G,MATCH($C34&amp;"_Therm Saved per Unit- MLA",Algorithms!$A:$A,0)),0)*Y34</f>
        <v>0</v>
      </c>
      <c r="CQ34" s="266">
        <f ca="1">P34*IFERROR(INDEX(Algorithms!$G:$G,MATCH($C34&amp;"_Therm Saved per Unit- MLA",Algorithms!$A:$A,0)),0)*Z34</f>
        <v>0</v>
      </c>
      <c r="CR34" s="266">
        <f ca="1">Q34*IFERROR(INDEX(Algorithms!$G:$G,MATCH($C34&amp;"_Therm Saved per Unit- MLA",Algorithms!$A:$A,0)),0)*AA34</f>
        <v>0</v>
      </c>
      <c r="CS34" s="266">
        <f ca="1">IFERROR(INDEX(Algorithms!$G:$G,MATCH($C34&amp;"_Lifetime (years)",Algorithms!$A:$A,0)),0)</f>
        <v>15</v>
      </c>
      <c r="CT34" s="266">
        <f ca="1">IFERROR(INDEX(Algorithms!$G:$G,MATCH($C34&amp;"_Lifetime (years) - Remaining Years",Algorithms!$A:$A,0)),0)</f>
        <v>0</v>
      </c>
      <c r="CU34" s="266">
        <f t="shared" ca="1" si="39"/>
        <v>7525.1570631764216</v>
      </c>
      <c r="CV34" s="266">
        <f t="shared" ca="1" si="40"/>
        <v>7525.1570631764216</v>
      </c>
      <c r="CW34" s="266">
        <f t="shared" ca="1" si="41"/>
        <v>7525.1570631764216</v>
      </c>
      <c r="CX34" s="266">
        <f t="shared" ca="1" si="42"/>
        <v>7525.1570631764216</v>
      </c>
    </row>
    <row r="35" spans="2:102" s="47" customFormat="1" ht="18" customHeight="1" x14ac:dyDescent="0.25">
      <c r="B35" t="str">
        <f t="shared" si="43"/>
        <v>NSG_Residential_Multi-Family_Partner Trade Ally Rebate_DHW Storage Tank Insulation_0_MF/CI/SMB</v>
      </c>
      <c r="C35" s="47" t="str">
        <f t="shared" si="6"/>
        <v>DHW Storage Tank Insulation_0_MF/CI/SMB</v>
      </c>
      <c r="D35" s="270" t="s">
        <v>1787</v>
      </c>
      <c r="E35" s="270" t="s">
        <v>2</v>
      </c>
      <c r="F35" s="270" t="s">
        <v>1422</v>
      </c>
      <c r="G35" s="270" t="s">
        <v>1799</v>
      </c>
      <c r="H35" s="270" t="s">
        <v>832</v>
      </c>
      <c r="I35" s="270">
        <v>0</v>
      </c>
      <c r="J35" s="270" t="s">
        <v>662</v>
      </c>
      <c r="K35" s="263">
        <v>1</v>
      </c>
      <c r="L35" s="263" t="str">
        <f ca="1">IFERROR(INDEX(Algorithms!J:J,MATCH($C35&amp;"_Therm Saved per Unit",Algorithms!$A:$A,0)),"n/a")</f>
        <v>4.3.12</v>
      </c>
      <c r="M35" s="263" t="str">
        <f>IFERROR(INDEX('Measure Level Detail'!$N:$N,MATCH($B35,'Measure Level Detail'!$B:$B,0)),0)</f>
        <v>sqft</v>
      </c>
      <c r="N35" s="271">
        <f>IFERROR(INDEX('Measure Level Detail'!$P:$P,MATCH($B35&amp;"_"&amp;N$3,'Measure Level Detail'!$C:$C,0)),0)</f>
        <v>56</v>
      </c>
      <c r="O35" s="271">
        <f>IFERROR(INDEX('Measure Level Detail'!$P:$P,MATCH($B35&amp;"_"&amp;O$3,'Measure Level Detail'!$C:$C,0)),0)</f>
        <v>56</v>
      </c>
      <c r="P35" s="271">
        <f>IFERROR(INDEX('Measure Level Detail'!$P:$P,MATCH($B35&amp;"_"&amp;P$3,'Measure Level Detail'!$C:$C,0)),0)</f>
        <v>56</v>
      </c>
      <c r="Q35" s="271">
        <f>IFERROR(INDEX('Measure Level Detail'!$P:$P,MATCH($B35&amp;"_"&amp;Q$3,'Measure Level Detail'!$C:$C,0)),0)</f>
        <v>56</v>
      </c>
      <c r="R35" s="263" t="str">
        <f ca="1">IFERROR(INDEX(Algorithms!K:K,MATCH($C35&amp;"_Therm Saved per Unit",Algorithms!$A:$A,0)),"n/a")</f>
        <v>CI-HWE-TKIN-V03-240101</v>
      </c>
      <c r="S35" s="262"/>
      <c r="T35" s="272">
        <v>6.9553729140568805</v>
      </c>
      <c r="U35" s="272">
        <v>6.9553729140568805</v>
      </c>
      <c r="V35" s="272">
        <v>6.9553729140568805</v>
      </c>
      <c r="W35" s="272">
        <v>6.9553729140568805</v>
      </c>
      <c r="X35" s="273">
        <f>IFERROR(INDEX('Measure Level Detail'!$R:$R,MATCH($B35&amp;"_"&amp;X$3,'Measure Level Detail'!$C:$C,0)),0)</f>
        <v>0.87</v>
      </c>
      <c r="Y35" s="273">
        <f>IFERROR(INDEX('Measure Level Detail'!$R:$R,MATCH($B35&amp;"_"&amp;Y$3,'Measure Level Detail'!$C:$C,0)),0)</f>
        <v>0.87</v>
      </c>
      <c r="Z35" s="273">
        <f>IFERROR(INDEX('Measure Level Detail'!$R:$R,MATCH($B35&amp;"_"&amp;Z$3,'Measure Level Detail'!$C:$C,0)),0)</f>
        <v>0.87</v>
      </c>
      <c r="AA35" s="273">
        <f>IFERROR(INDEX('Measure Level Detail'!$R:$R,MATCH($B35&amp;"_"&amp;AA$3,'Measure Level Detail'!$C:$C,0)),0)</f>
        <v>0.87</v>
      </c>
      <c r="AB35" s="266">
        <f t="shared" si="7"/>
        <v>338.86576837285122</v>
      </c>
      <c r="AC35" s="266">
        <f t="shared" si="8"/>
        <v>338.86576837285122</v>
      </c>
      <c r="AD35" s="266">
        <f t="shared" si="9"/>
        <v>338.86576837285122</v>
      </c>
      <c r="AE35" s="266">
        <f t="shared" si="10"/>
        <v>338.86576837285122</v>
      </c>
      <c r="AF35" s="266">
        <f t="shared" si="11"/>
        <v>1355.4630734914049</v>
      </c>
      <c r="AG35" s="274">
        <v>0.87</v>
      </c>
      <c r="AH35" s="274">
        <v>0.87</v>
      </c>
      <c r="AI35" s="710">
        <v>0.88</v>
      </c>
      <c r="AJ35" s="710">
        <v>0.88</v>
      </c>
      <c r="AK35" s="274">
        <f t="shared" si="12"/>
        <v>0.87</v>
      </c>
      <c r="AL35" s="274">
        <f t="shared" si="13"/>
        <v>0.87</v>
      </c>
      <c r="AM35" s="274">
        <f t="shared" si="14"/>
        <v>0.87</v>
      </c>
      <c r="AN35" s="274">
        <f t="shared" si="15"/>
        <v>0.87</v>
      </c>
      <c r="AO35" s="262"/>
      <c r="AP35" s="262"/>
      <c r="AQ35" s="267">
        <v>9.7375220796796338</v>
      </c>
      <c r="AR35" s="262"/>
      <c r="AS35" s="266">
        <f t="shared" si="16"/>
        <v>474.41207572199176</v>
      </c>
      <c r="AT35" s="264">
        <f t="shared" si="17"/>
        <v>135.54630734914053</v>
      </c>
      <c r="AU35" s="262"/>
      <c r="AV35" s="262"/>
      <c r="AW35" s="265">
        <v>9.7375220796796338</v>
      </c>
      <c r="AX35" s="164" t="s">
        <v>1469</v>
      </c>
      <c r="AY35" s="266">
        <v>474.41207572199176</v>
      </c>
      <c r="AZ35" s="266">
        <f t="shared" si="45"/>
        <v>474.41207572199176</v>
      </c>
      <c r="BA35" s="264">
        <f t="shared" si="18"/>
        <v>135.54630734914053</v>
      </c>
      <c r="BB35" s="262"/>
      <c r="BC35" s="262"/>
      <c r="BD35" s="265">
        <f ca="1">IFERROR(INDEX(Algorithms!$G:$G,MATCH($C35&amp;"_Therm Saved per Unit",Algorithms!$A:$A,0)),0)</f>
        <v>9.7375220796796338</v>
      </c>
      <c r="BE35" s="164" t="str">
        <f ca="1">IFERROR(INDEX('v12 Revisions'!$P$29:$P$186, MATCH('Measure-Level Adj Gas'!$L35, 'v12 Revisions'!$D$29:$D$186,0)),"")</f>
        <v/>
      </c>
      <c r="BF35" s="266">
        <f t="shared" ca="1" si="19"/>
        <v>474.41207572199176</v>
      </c>
      <c r="BG35" s="264">
        <f t="shared" ca="1" si="20"/>
        <v>135.54630734914053</v>
      </c>
      <c r="BH35" s="262"/>
      <c r="BI35" s="262"/>
      <c r="BJ35" s="265">
        <f ca="1">IFERROR(INDEX(Algorithms!$G:$G,MATCH($C35&amp;"_Therm Saved per Unit",Algorithms!$A:$A,0)),0)</f>
        <v>9.7375220796796338</v>
      </c>
      <c r="BK35" s="164"/>
      <c r="BL35" s="266">
        <f t="shared" ca="1" si="21"/>
        <v>474.41207572199176</v>
      </c>
      <c r="BM35" s="264">
        <f t="shared" ca="1" si="22"/>
        <v>135.54630734914053</v>
      </c>
      <c r="BN35" s="266">
        <f t="shared" si="23"/>
        <v>474.41207572199176</v>
      </c>
      <c r="BO35" s="266">
        <f t="shared" si="44"/>
        <v>474.41207572199176</v>
      </c>
      <c r="BP35" s="266">
        <f t="shared" ca="1" si="24"/>
        <v>474.41207572199176</v>
      </c>
      <c r="BQ35" s="266">
        <f t="shared" ca="1" si="25"/>
        <v>474.41207572199176</v>
      </c>
      <c r="BR35" s="268">
        <f t="shared" ca="1" si="26"/>
        <v>1897.648302887967</v>
      </c>
      <c r="BS35" s="262" t="s">
        <v>99</v>
      </c>
      <c r="BT35" s="164"/>
      <c r="BW35" s="266">
        <f t="shared" si="27"/>
        <v>338.86576837285122</v>
      </c>
      <c r="BX35" s="266">
        <f t="shared" si="28"/>
        <v>338.86576837285122</v>
      </c>
      <c r="BY35" s="266">
        <f t="shared" si="29"/>
        <v>338.86576837285122</v>
      </c>
      <c r="BZ35" s="266">
        <f t="shared" si="30"/>
        <v>338.86576837285122</v>
      </c>
      <c r="CA35" s="266">
        <f ca="1">N35*IFERROR(INDEX(Algorithms!$G:$G,MATCH($C35&amp;"_Therm Saved per Unit- MLA",Algorithms!$A:$A,0)),0)*X35</f>
        <v>0</v>
      </c>
      <c r="CB35" s="266">
        <f ca="1">O35*IFERROR(INDEX(Algorithms!$G:$G,MATCH($C35&amp;"_Therm Saved per Unit- MLA",Algorithms!$A:$A,0)),0)*Y35</f>
        <v>0</v>
      </c>
      <c r="CC35" s="266">
        <f ca="1">P35*IFERROR(INDEX(Algorithms!$G:$G,MATCH($C35&amp;"_Therm Saved per Unit- MLA",Algorithms!$A:$A,0)),0)*Z35</f>
        <v>0</v>
      </c>
      <c r="CD35" s="266">
        <f ca="1">Q35*IFERROR(INDEX(Algorithms!$G:$G,MATCH($C35&amp;"_Therm Saved per Unit- MLA",Algorithms!$A:$A,0)),0)*AA35</f>
        <v>0</v>
      </c>
      <c r="CE35" s="266">
        <f ca="1">IFERROR(INDEX(Algorithms!$G:$G,MATCH($C35&amp;"_Lifetime (years)",Algorithms!$A:$A,0)),0)</f>
        <v>15</v>
      </c>
      <c r="CF35" s="266">
        <f ca="1">IFERROR(INDEX(Algorithms!$G:$G,MATCH($C35&amp;"_Lifetime (years) - Remaining Years",Algorithms!$A:$A,0)),0)</f>
        <v>0</v>
      </c>
      <c r="CG35" s="266">
        <f t="shared" ca="1" si="31"/>
        <v>5082.986525592768</v>
      </c>
      <c r="CH35" s="266">
        <f t="shared" ca="1" si="32"/>
        <v>5082.986525592768</v>
      </c>
      <c r="CI35" s="266">
        <f t="shared" ca="1" si="33"/>
        <v>5082.986525592768</v>
      </c>
      <c r="CJ35" s="266">
        <f t="shared" ca="1" si="34"/>
        <v>5082.986525592768</v>
      </c>
      <c r="CK35" s="266">
        <f t="shared" si="35"/>
        <v>474.41207572199176</v>
      </c>
      <c r="CL35" s="266">
        <f t="shared" si="36"/>
        <v>474.41207572199176</v>
      </c>
      <c r="CM35" s="266">
        <f t="shared" ca="1" si="37"/>
        <v>474.41207572199176</v>
      </c>
      <c r="CN35" s="266">
        <f t="shared" ca="1" si="38"/>
        <v>474.41207572199176</v>
      </c>
      <c r="CO35" s="266">
        <f ca="1">N35*IFERROR(INDEX(Algorithms!$G:$G,MATCH($C35&amp;"_Therm Saved per Unit- MLA",Algorithms!$A:$A,0)),0)*X35</f>
        <v>0</v>
      </c>
      <c r="CP35" s="266">
        <f ca="1">O35*IFERROR(INDEX(Algorithms!$G:$G,MATCH($C35&amp;"_Therm Saved per Unit- MLA",Algorithms!$A:$A,0)),0)*Y35</f>
        <v>0</v>
      </c>
      <c r="CQ35" s="266">
        <f ca="1">P35*IFERROR(INDEX(Algorithms!$G:$G,MATCH($C35&amp;"_Therm Saved per Unit- MLA",Algorithms!$A:$A,0)),0)*Z35</f>
        <v>0</v>
      </c>
      <c r="CR35" s="266">
        <f ca="1">Q35*IFERROR(INDEX(Algorithms!$G:$G,MATCH($C35&amp;"_Therm Saved per Unit- MLA",Algorithms!$A:$A,0)),0)*AA35</f>
        <v>0</v>
      </c>
      <c r="CS35" s="266">
        <f ca="1">IFERROR(INDEX(Algorithms!$G:$G,MATCH($C35&amp;"_Lifetime (years)",Algorithms!$A:$A,0)),0)</f>
        <v>15</v>
      </c>
      <c r="CT35" s="266">
        <f ca="1">IFERROR(INDEX(Algorithms!$G:$G,MATCH($C35&amp;"_Lifetime (years) - Remaining Years",Algorithms!$A:$A,0)),0)</f>
        <v>0</v>
      </c>
      <c r="CU35" s="266">
        <f t="shared" ca="1" si="39"/>
        <v>7116.1811358298764</v>
      </c>
      <c r="CV35" s="266">
        <f t="shared" ca="1" si="40"/>
        <v>7116.1811358298764</v>
      </c>
      <c r="CW35" s="266">
        <f t="shared" ca="1" si="41"/>
        <v>7116.1811358298764</v>
      </c>
      <c r="CX35" s="266">
        <f t="shared" ca="1" si="42"/>
        <v>7116.1811358298764</v>
      </c>
    </row>
    <row r="36" spans="2:102" s="47" customFormat="1" ht="18" customHeight="1" x14ac:dyDescent="0.25">
      <c r="B36" t="str">
        <f t="shared" si="43"/>
        <v>NSG_Income Eligible_Multi-Family_IE Kits_Low Flow Showerhead_IE Kit_IE</v>
      </c>
      <c r="C36" s="47" t="str">
        <f t="shared" si="6"/>
        <v>Low Flow Showerhead_IE Kit_IE</v>
      </c>
      <c r="D36" s="270" t="s">
        <v>1787</v>
      </c>
      <c r="E36" s="270" t="s">
        <v>325</v>
      </c>
      <c r="F36" s="270" t="s">
        <v>1422</v>
      </c>
      <c r="G36" s="270" t="s">
        <v>1440</v>
      </c>
      <c r="H36" s="270" t="s">
        <v>15</v>
      </c>
      <c r="I36" s="270" t="s">
        <v>550</v>
      </c>
      <c r="J36" s="270" t="s">
        <v>551</v>
      </c>
      <c r="K36" s="263">
        <v>1</v>
      </c>
      <c r="L36" s="263" t="str">
        <f ca="1">IFERROR(INDEX(Algorithms!J:J,MATCH($C36&amp;"_Therm Saved per Unit",Algorithms!$A:$A,0)),"n/a")</f>
        <v>5.4.5</v>
      </c>
      <c r="M36" s="263" t="str">
        <f>IFERROR(INDEX('Measure Level Detail'!$N:$N,MATCH($B36,'Measure Level Detail'!$B:$B,0)),0)</f>
        <v>Each</v>
      </c>
      <c r="N36" s="271">
        <f>IFERROR(INDEX('Measure Level Detail'!$P:$P,MATCH($B36&amp;"_"&amp;N$3,'Measure Level Detail'!$C:$C,0)),0)</f>
        <v>140</v>
      </c>
      <c r="O36" s="271">
        <f>IFERROR(INDEX('Measure Level Detail'!$P:$P,MATCH($B36&amp;"_"&amp;O$3,'Measure Level Detail'!$C:$C,0)),0)</f>
        <v>140</v>
      </c>
      <c r="P36" s="271">
        <f>IFERROR(INDEX('Measure Level Detail'!$P:$P,MATCH($B36&amp;"_"&amp;P$3,'Measure Level Detail'!$C:$C,0)),0)</f>
        <v>140</v>
      </c>
      <c r="Q36" s="271">
        <f>IFERROR(INDEX('Measure Level Detail'!$P:$P,MATCH($B36&amp;"_"&amp;Q$3,'Measure Level Detail'!$C:$C,0)),0)</f>
        <v>140</v>
      </c>
      <c r="R36" s="263" t="str">
        <f ca="1">IFERROR(INDEX(Algorithms!K:K,MATCH($C36&amp;"_Therm Saved per Unit",Algorithms!$A:$A,0)),"n/a")</f>
        <v>RS-HWE-LFSH-V12-240101</v>
      </c>
      <c r="S36" s="262"/>
      <c r="T36" s="272">
        <v>6.255766610843156</v>
      </c>
      <c r="U36" s="272">
        <v>6.255766610843156</v>
      </c>
      <c r="V36" s="272">
        <v>6.255766610843156</v>
      </c>
      <c r="W36" s="272">
        <v>6.255766610843156</v>
      </c>
      <c r="X36" s="273">
        <f>IFERROR(INDEX('Measure Level Detail'!$R:$R,MATCH($B36&amp;"_"&amp;X$3,'Measure Level Detail'!$C:$C,0)),0)</f>
        <v>1</v>
      </c>
      <c r="Y36" s="273">
        <f>IFERROR(INDEX('Measure Level Detail'!$R:$R,MATCH($B36&amp;"_"&amp;Y$3,'Measure Level Detail'!$C:$C,0)),0)</f>
        <v>1</v>
      </c>
      <c r="Z36" s="273">
        <f>IFERROR(INDEX('Measure Level Detail'!$R:$R,MATCH($B36&amp;"_"&amp;Z$3,'Measure Level Detail'!$C:$C,0)),0)</f>
        <v>1</v>
      </c>
      <c r="AA36" s="273">
        <f>IFERROR(INDEX('Measure Level Detail'!$R:$R,MATCH($B36&amp;"_"&amp;AA$3,'Measure Level Detail'!$C:$C,0)),0)</f>
        <v>1</v>
      </c>
      <c r="AB36" s="266">
        <f t="shared" si="7"/>
        <v>875.80732551804181</v>
      </c>
      <c r="AC36" s="266">
        <f t="shared" si="8"/>
        <v>875.80732551804181</v>
      </c>
      <c r="AD36" s="266">
        <f t="shared" si="9"/>
        <v>875.80732551804181</v>
      </c>
      <c r="AE36" s="266">
        <f t="shared" si="10"/>
        <v>875.80732551804181</v>
      </c>
      <c r="AF36" s="266">
        <f t="shared" si="11"/>
        <v>3503.2293020721672</v>
      </c>
      <c r="AG36" s="274">
        <v>1</v>
      </c>
      <c r="AH36" s="274">
        <v>1</v>
      </c>
      <c r="AI36" s="274">
        <v>1</v>
      </c>
      <c r="AJ36" s="274">
        <v>1</v>
      </c>
      <c r="AK36" s="274">
        <f t="shared" si="12"/>
        <v>1</v>
      </c>
      <c r="AL36" s="274">
        <f t="shared" si="13"/>
        <v>1</v>
      </c>
      <c r="AM36" s="274">
        <f t="shared" si="14"/>
        <v>1</v>
      </c>
      <c r="AN36" s="274">
        <f t="shared" si="15"/>
        <v>1</v>
      </c>
      <c r="AO36" s="262"/>
      <c r="AP36" s="262"/>
      <c r="AQ36" s="267">
        <v>7.2182559285293824</v>
      </c>
      <c r="AR36" s="262"/>
      <c r="AS36" s="266">
        <f t="shared" si="16"/>
        <v>1010.5558299941135</v>
      </c>
      <c r="AT36" s="264">
        <f t="shared" si="17"/>
        <v>134.74850447607173</v>
      </c>
      <c r="AU36" s="262"/>
      <c r="AV36" s="262"/>
      <c r="AW36" s="265">
        <v>7.2182559285293824</v>
      </c>
      <c r="AX36" s="164" t="s">
        <v>2392</v>
      </c>
      <c r="AY36" s="266">
        <v>1010.5558299941135</v>
      </c>
      <c r="AZ36" s="266">
        <f t="shared" si="45"/>
        <v>1010.5558299941135</v>
      </c>
      <c r="BA36" s="264">
        <f t="shared" si="18"/>
        <v>134.74850447607173</v>
      </c>
      <c r="BB36" s="262"/>
      <c r="BC36" s="262"/>
      <c r="BD36" s="265">
        <f ca="1">IFERROR(INDEX(Algorithms!$G:$G,MATCH($C36&amp;"_Therm Saved per Unit",Algorithms!$A:$A,0)),0)</f>
        <v>7.2182559285293824</v>
      </c>
      <c r="BE36" s="164" t="str">
        <f ca="1">IFERROR(INDEX('v12 Revisions'!$P$29:$P$186, MATCH('Measure-Level Adj Gas'!$L36, 'v12 Revisions'!$D$29:$D$186,0)),"")</f>
        <v>n/a - plan assumes Direct Install, not Distributed School Efficiency Kit.</v>
      </c>
      <c r="BF36" s="266">
        <f t="shared" ca="1" si="19"/>
        <v>1010.5558299941135</v>
      </c>
      <c r="BG36" s="264">
        <f t="shared" ca="1" si="20"/>
        <v>134.74850447607173</v>
      </c>
      <c r="BH36" s="262"/>
      <c r="BI36" s="262"/>
      <c r="BJ36" s="265">
        <f ca="1">IFERROR(INDEX(Algorithms!$G:$G,MATCH($C36&amp;"_Therm Saved per Unit",Algorithms!$A:$A,0)),0)</f>
        <v>7.2182559285293824</v>
      </c>
      <c r="BK36" s="164"/>
      <c r="BL36" s="266">
        <f t="shared" ca="1" si="21"/>
        <v>1010.5558299941135</v>
      </c>
      <c r="BM36" s="264">
        <f t="shared" ca="1" si="22"/>
        <v>134.74850447607173</v>
      </c>
      <c r="BN36" s="266">
        <f t="shared" si="23"/>
        <v>1010.5558299941135</v>
      </c>
      <c r="BO36" s="266">
        <f t="shared" si="44"/>
        <v>1010.5558299941135</v>
      </c>
      <c r="BP36" s="266">
        <f t="shared" ca="1" si="24"/>
        <v>1010.5558299941135</v>
      </c>
      <c r="BQ36" s="266">
        <f t="shared" ca="1" si="25"/>
        <v>1010.5558299941135</v>
      </c>
      <c r="BR36" s="268">
        <f t="shared" ca="1" si="26"/>
        <v>4042.2233199764541</v>
      </c>
      <c r="BS36" s="262" t="s">
        <v>99</v>
      </c>
      <c r="BT36" s="164"/>
      <c r="BW36" s="266">
        <f t="shared" si="27"/>
        <v>875.80732551804181</v>
      </c>
      <c r="BX36" s="266">
        <f t="shared" si="28"/>
        <v>875.80732551804181</v>
      </c>
      <c r="BY36" s="266">
        <f t="shared" si="29"/>
        <v>875.80732551804181</v>
      </c>
      <c r="BZ36" s="266">
        <f t="shared" si="30"/>
        <v>875.80732551804181</v>
      </c>
      <c r="CA36" s="266">
        <f ca="1">N36*IFERROR(INDEX(Algorithms!$G:$G,MATCH($C36&amp;"_Therm Saved per Unit- MLA",Algorithms!$A:$A,0)),0)*X36</f>
        <v>0</v>
      </c>
      <c r="CB36" s="266">
        <f ca="1">O36*IFERROR(INDEX(Algorithms!$G:$G,MATCH($C36&amp;"_Therm Saved per Unit- MLA",Algorithms!$A:$A,0)),0)*Y36</f>
        <v>0</v>
      </c>
      <c r="CC36" s="266">
        <f ca="1">P36*IFERROR(INDEX(Algorithms!$G:$G,MATCH($C36&amp;"_Therm Saved per Unit- MLA",Algorithms!$A:$A,0)),0)*Z36</f>
        <v>0</v>
      </c>
      <c r="CD36" s="266">
        <f ca="1">Q36*IFERROR(INDEX(Algorithms!$G:$G,MATCH($C36&amp;"_Therm Saved per Unit- MLA",Algorithms!$A:$A,0)),0)*AA36</f>
        <v>0</v>
      </c>
      <c r="CE36" s="266">
        <f ca="1">IFERROR(INDEX(Algorithms!$G:$G,MATCH($C36&amp;"_Lifetime (years)",Algorithms!$A:$A,0)),0)</f>
        <v>10</v>
      </c>
      <c r="CF36" s="266">
        <f ca="1">IFERROR(INDEX(Algorithms!$G:$G,MATCH($C36&amp;"_Lifetime (years) - Remaining Years",Algorithms!$A:$A,0)),0)</f>
        <v>0</v>
      </c>
      <c r="CG36" s="266">
        <f t="shared" ca="1" si="31"/>
        <v>8758.0732551804176</v>
      </c>
      <c r="CH36" s="266">
        <f t="shared" ca="1" si="32"/>
        <v>8758.0732551804176</v>
      </c>
      <c r="CI36" s="266">
        <f t="shared" ca="1" si="33"/>
        <v>8758.0732551804176</v>
      </c>
      <c r="CJ36" s="266">
        <f t="shared" ca="1" si="34"/>
        <v>8758.0732551804176</v>
      </c>
      <c r="CK36" s="266">
        <f t="shared" si="35"/>
        <v>1010.5558299941135</v>
      </c>
      <c r="CL36" s="266">
        <f t="shared" si="36"/>
        <v>1010.5558299941135</v>
      </c>
      <c r="CM36" s="266">
        <f t="shared" ca="1" si="37"/>
        <v>1010.5558299941135</v>
      </c>
      <c r="CN36" s="266">
        <f t="shared" ca="1" si="38"/>
        <v>1010.5558299941135</v>
      </c>
      <c r="CO36" s="266">
        <f ca="1">N36*IFERROR(INDEX(Algorithms!$G:$G,MATCH($C36&amp;"_Therm Saved per Unit- MLA",Algorithms!$A:$A,0)),0)*X36</f>
        <v>0</v>
      </c>
      <c r="CP36" s="266">
        <f ca="1">O36*IFERROR(INDEX(Algorithms!$G:$G,MATCH($C36&amp;"_Therm Saved per Unit- MLA",Algorithms!$A:$A,0)),0)*Y36</f>
        <v>0</v>
      </c>
      <c r="CQ36" s="266">
        <f ca="1">P36*IFERROR(INDEX(Algorithms!$G:$G,MATCH($C36&amp;"_Therm Saved per Unit- MLA",Algorithms!$A:$A,0)),0)*Z36</f>
        <v>0</v>
      </c>
      <c r="CR36" s="266">
        <f ca="1">Q36*IFERROR(INDEX(Algorithms!$G:$G,MATCH($C36&amp;"_Therm Saved per Unit- MLA",Algorithms!$A:$A,0)),0)*AA36</f>
        <v>0</v>
      </c>
      <c r="CS36" s="266">
        <f ca="1">IFERROR(INDEX(Algorithms!$G:$G,MATCH($C36&amp;"_Lifetime (years)",Algorithms!$A:$A,0)),0)</f>
        <v>10</v>
      </c>
      <c r="CT36" s="266">
        <f ca="1">IFERROR(INDEX(Algorithms!$G:$G,MATCH($C36&amp;"_Lifetime (years) - Remaining Years",Algorithms!$A:$A,0)),0)</f>
        <v>0</v>
      </c>
      <c r="CU36" s="266">
        <f t="shared" ca="1" si="39"/>
        <v>10105.558299941134</v>
      </c>
      <c r="CV36" s="266">
        <f t="shared" ca="1" si="40"/>
        <v>10105.558299941134</v>
      </c>
      <c r="CW36" s="266">
        <f t="shared" ca="1" si="41"/>
        <v>10105.558299941134</v>
      </c>
      <c r="CX36" s="266">
        <f t="shared" ca="1" si="42"/>
        <v>10105.558299941134</v>
      </c>
    </row>
    <row r="37" spans="2:102" s="47" customFormat="1" ht="18" customHeight="1" x14ac:dyDescent="0.25">
      <c r="B37" t="str">
        <f t="shared" si="43"/>
        <v>NSG_Residential_Multi-Family_Direct Install_Low Flow Bathroom Aerator_0_MF</v>
      </c>
      <c r="C37" s="47" t="str">
        <f t="shared" si="6"/>
        <v>Low Flow Bathroom Aerator_0_MF</v>
      </c>
      <c r="D37" s="270" t="s">
        <v>1787</v>
      </c>
      <c r="E37" s="270" t="s">
        <v>2</v>
      </c>
      <c r="F37" s="270" t="s">
        <v>1422</v>
      </c>
      <c r="G37" s="270" t="s">
        <v>4</v>
      </c>
      <c r="H37" s="270" t="s">
        <v>555</v>
      </c>
      <c r="I37" s="270">
        <v>0</v>
      </c>
      <c r="J37" s="270" t="s">
        <v>553</v>
      </c>
      <c r="K37" s="263">
        <v>1</v>
      </c>
      <c r="L37" s="263" t="str">
        <f ca="1">IFERROR(INDEX(Algorithms!J:J,MATCH($C37&amp;"_Therm Saved per Unit",Algorithms!$A:$A,0)),"n/a")</f>
        <v>5.4.4</v>
      </c>
      <c r="M37" s="263" t="str">
        <f>IFERROR(INDEX('Measure Level Detail'!$N:$N,MATCH($B37,'Measure Level Detail'!$B:$B,0)),0)</f>
        <v>each</v>
      </c>
      <c r="N37" s="271">
        <f>IFERROR(INDEX('Measure Level Detail'!$P:$P,MATCH($B37&amp;"_"&amp;N$3,'Measure Level Detail'!$C:$C,0)),0)</f>
        <v>447</v>
      </c>
      <c r="O37" s="271">
        <f>IFERROR(INDEX('Measure Level Detail'!$P:$P,MATCH($B37&amp;"_"&amp;O$3,'Measure Level Detail'!$C:$C,0)),0)</f>
        <v>447</v>
      </c>
      <c r="P37" s="271">
        <f>IFERROR(INDEX('Measure Level Detail'!$P:$P,MATCH($B37&amp;"_"&amp;P$3,'Measure Level Detail'!$C:$C,0)),0)</f>
        <v>447</v>
      </c>
      <c r="Q37" s="271">
        <f>IFERROR(INDEX('Measure Level Detail'!$P:$P,MATCH($B37&amp;"_"&amp;Q$3,'Measure Level Detail'!$C:$C,0)),0)</f>
        <v>447</v>
      </c>
      <c r="R37" s="263" t="str">
        <f ca="1">IFERROR(INDEX(Algorithms!K:K,MATCH($C37&amp;"_Therm Saved per Unit",Algorithms!$A:$A,0)),"n/a")</f>
        <v>RS-HWE-LFFA-V13-240101</v>
      </c>
      <c r="S37" s="262"/>
      <c r="T37" s="272">
        <v>1.5695120815920003</v>
      </c>
      <c r="U37" s="272">
        <v>1.5695120815920003</v>
      </c>
      <c r="V37" s="272">
        <v>1.5695120815920003</v>
      </c>
      <c r="W37" s="272">
        <v>1.5695120815920003</v>
      </c>
      <c r="X37" s="273">
        <f>IFERROR(INDEX('Measure Level Detail'!$R:$R,MATCH($B37&amp;"_"&amp;X$3,'Measure Level Detail'!$C:$C,0)),0)</f>
        <v>1.01</v>
      </c>
      <c r="Y37" s="273">
        <f>IFERROR(INDEX('Measure Level Detail'!$R:$R,MATCH($B37&amp;"_"&amp;Y$3,'Measure Level Detail'!$C:$C,0)),0)</f>
        <v>1.01</v>
      </c>
      <c r="Z37" s="273">
        <f>IFERROR(INDEX('Measure Level Detail'!$R:$R,MATCH($B37&amp;"_"&amp;Z$3,'Measure Level Detail'!$C:$C,0)),0)</f>
        <v>1.01</v>
      </c>
      <c r="AA37" s="273">
        <f>IFERROR(INDEX('Measure Level Detail'!$R:$R,MATCH($B37&amp;"_"&amp;AA$3,'Measure Level Detail'!$C:$C,0)),0)</f>
        <v>1.01</v>
      </c>
      <c r="AB37" s="266">
        <f t="shared" si="7"/>
        <v>708.58761947634036</v>
      </c>
      <c r="AC37" s="266">
        <f t="shared" si="8"/>
        <v>708.58761947634036</v>
      </c>
      <c r="AD37" s="266">
        <f t="shared" si="9"/>
        <v>708.58761947634036</v>
      </c>
      <c r="AE37" s="266">
        <f t="shared" si="10"/>
        <v>708.58761947634036</v>
      </c>
      <c r="AF37" s="266">
        <f t="shared" si="11"/>
        <v>2834.3504779053615</v>
      </c>
      <c r="AG37" s="274">
        <v>1.01</v>
      </c>
      <c r="AH37" s="274">
        <v>1.01</v>
      </c>
      <c r="AI37" s="274">
        <v>1.01</v>
      </c>
      <c r="AJ37" s="274">
        <v>1.01</v>
      </c>
      <c r="AK37" s="274">
        <f t="shared" si="12"/>
        <v>1.01</v>
      </c>
      <c r="AL37" s="274">
        <f t="shared" si="13"/>
        <v>1.01</v>
      </c>
      <c r="AM37" s="274">
        <f t="shared" si="14"/>
        <v>1.01</v>
      </c>
      <c r="AN37" s="274">
        <f t="shared" si="15"/>
        <v>1.01</v>
      </c>
      <c r="AO37" s="262"/>
      <c r="AP37" s="262"/>
      <c r="AQ37" s="267">
        <v>1.8113454036983285</v>
      </c>
      <c r="AR37" s="262"/>
      <c r="AS37" s="266">
        <f t="shared" si="16"/>
        <v>817.76810940768439</v>
      </c>
      <c r="AT37" s="264">
        <f t="shared" si="17"/>
        <v>109.18048993134403</v>
      </c>
      <c r="AU37" s="262"/>
      <c r="AV37" s="262"/>
      <c r="AW37" s="265">
        <v>1.773211816252048</v>
      </c>
      <c r="AX37" s="164" t="s">
        <v>2392</v>
      </c>
      <c r="AY37" s="266">
        <v>817.76810940768439</v>
      </c>
      <c r="AZ37" s="266">
        <f t="shared" si="45"/>
        <v>800.55193868331207</v>
      </c>
      <c r="BA37" s="264">
        <f t="shared" si="18"/>
        <v>91.964319206971709</v>
      </c>
      <c r="BB37" s="262"/>
      <c r="BC37" s="262"/>
      <c r="BD37" s="265">
        <f ca="1">IFERROR(INDEX(Algorithms!$G:$G,MATCH($C37&amp;"_Therm Saved per Unit",Algorithms!$A:$A,0)),0)</f>
        <v>1.773211816252048</v>
      </c>
      <c r="BE37" s="164" t="str">
        <f ca="1">IFERROR(INDEX('v12 Revisions'!$P$29:$P$186, MATCH('Measure-Level Adj Gas'!$L37, 'v12 Revisions'!$D$29:$D$186,0)),"")</f>
        <v>n/a - plan assumes Direct Install, not Distributed School Efficiency Kit.</v>
      </c>
      <c r="BF37" s="266">
        <f t="shared" ca="1" si="19"/>
        <v>800.55193868331207</v>
      </c>
      <c r="BG37" s="264">
        <f t="shared" ca="1" si="20"/>
        <v>91.964319206971709</v>
      </c>
      <c r="BH37" s="262"/>
      <c r="BI37" s="262"/>
      <c r="BJ37" s="265">
        <f ca="1">IFERROR(INDEX(Algorithms!$G:$G,MATCH($C37&amp;"_Therm Saved per Unit",Algorithms!$A:$A,0)),0)</f>
        <v>1.773211816252048</v>
      </c>
      <c r="BK37" s="164"/>
      <c r="BL37" s="266">
        <f t="shared" ca="1" si="21"/>
        <v>800.55193868331207</v>
      </c>
      <c r="BM37" s="264">
        <f t="shared" ca="1" si="22"/>
        <v>91.964319206971709</v>
      </c>
      <c r="BN37" s="266">
        <f t="shared" si="23"/>
        <v>817.76810940768439</v>
      </c>
      <c r="BO37" s="266">
        <f t="shared" si="44"/>
        <v>800.55193868331207</v>
      </c>
      <c r="BP37" s="266">
        <f t="shared" ca="1" si="24"/>
        <v>800.55193868331207</v>
      </c>
      <c r="BQ37" s="266">
        <f t="shared" ca="1" si="25"/>
        <v>800.55193868331207</v>
      </c>
      <c r="BR37" s="268">
        <f t="shared" ca="1" si="26"/>
        <v>3219.4239254576205</v>
      </c>
      <c r="BS37" s="262" t="s">
        <v>99</v>
      </c>
      <c r="BT37" s="164"/>
      <c r="BW37" s="266">
        <f t="shared" si="27"/>
        <v>708.58761947634036</v>
      </c>
      <c r="BX37" s="266">
        <f t="shared" si="28"/>
        <v>708.58761947634036</v>
      </c>
      <c r="BY37" s="266">
        <f t="shared" si="29"/>
        <v>708.58761947634036</v>
      </c>
      <c r="BZ37" s="266">
        <f t="shared" si="30"/>
        <v>708.58761947634036</v>
      </c>
      <c r="CA37" s="266">
        <f ca="1">N37*IFERROR(INDEX(Algorithms!$G:$G,MATCH($C37&amp;"_Therm Saved per Unit- MLA",Algorithms!$A:$A,0)),0)*X37</f>
        <v>0</v>
      </c>
      <c r="CB37" s="266">
        <f ca="1">O37*IFERROR(INDEX(Algorithms!$G:$G,MATCH($C37&amp;"_Therm Saved per Unit- MLA",Algorithms!$A:$A,0)),0)*Y37</f>
        <v>0</v>
      </c>
      <c r="CC37" s="266">
        <f ca="1">P37*IFERROR(INDEX(Algorithms!$G:$G,MATCH($C37&amp;"_Therm Saved per Unit- MLA",Algorithms!$A:$A,0)),0)*Z37</f>
        <v>0</v>
      </c>
      <c r="CD37" s="266">
        <f ca="1">Q37*IFERROR(INDEX(Algorithms!$G:$G,MATCH($C37&amp;"_Therm Saved per Unit- MLA",Algorithms!$A:$A,0)),0)*AA37</f>
        <v>0</v>
      </c>
      <c r="CE37" s="266">
        <f ca="1">IFERROR(INDEX(Algorithms!$G:$G,MATCH($C37&amp;"_Lifetime (years)",Algorithms!$A:$A,0)),0)</f>
        <v>10</v>
      </c>
      <c r="CF37" s="266">
        <f ca="1">IFERROR(INDEX(Algorithms!$G:$G,MATCH($C37&amp;"_Lifetime (years) - Remaining Years",Algorithms!$A:$A,0)),0)</f>
        <v>0</v>
      </c>
      <c r="CG37" s="266">
        <f t="shared" ca="1" si="31"/>
        <v>7085.8761947634039</v>
      </c>
      <c r="CH37" s="266">
        <f t="shared" ca="1" si="32"/>
        <v>7085.8761947634039</v>
      </c>
      <c r="CI37" s="266">
        <f t="shared" ca="1" si="33"/>
        <v>7085.8761947634039</v>
      </c>
      <c r="CJ37" s="266">
        <f t="shared" ca="1" si="34"/>
        <v>7085.8761947634039</v>
      </c>
      <c r="CK37" s="266">
        <f t="shared" si="35"/>
        <v>817.76810940768439</v>
      </c>
      <c r="CL37" s="266">
        <f t="shared" si="36"/>
        <v>800.55193868331207</v>
      </c>
      <c r="CM37" s="266">
        <f t="shared" ca="1" si="37"/>
        <v>800.55193868331207</v>
      </c>
      <c r="CN37" s="266">
        <f t="shared" ca="1" si="38"/>
        <v>800.55193868331207</v>
      </c>
      <c r="CO37" s="266">
        <f ca="1">N37*IFERROR(INDEX(Algorithms!$G:$G,MATCH($C37&amp;"_Therm Saved per Unit- MLA",Algorithms!$A:$A,0)),0)*X37</f>
        <v>0</v>
      </c>
      <c r="CP37" s="266">
        <f ca="1">O37*IFERROR(INDEX(Algorithms!$G:$G,MATCH($C37&amp;"_Therm Saved per Unit- MLA",Algorithms!$A:$A,0)),0)*Y37</f>
        <v>0</v>
      </c>
      <c r="CQ37" s="266">
        <f ca="1">P37*IFERROR(INDEX(Algorithms!$G:$G,MATCH($C37&amp;"_Therm Saved per Unit- MLA",Algorithms!$A:$A,0)),0)*Z37</f>
        <v>0</v>
      </c>
      <c r="CR37" s="266">
        <f ca="1">Q37*IFERROR(INDEX(Algorithms!$G:$G,MATCH($C37&amp;"_Therm Saved per Unit- MLA",Algorithms!$A:$A,0)),0)*AA37</f>
        <v>0</v>
      </c>
      <c r="CS37" s="266">
        <f ca="1">IFERROR(INDEX(Algorithms!$G:$G,MATCH($C37&amp;"_Lifetime (years)",Algorithms!$A:$A,0)),0)</f>
        <v>10</v>
      </c>
      <c r="CT37" s="266">
        <f ca="1">IFERROR(INDEX(Algorithms!$G:$G,MATCH($C37&amp;"_Lifetime (years) - Remaining Years",Algorithms!$A:$A,0)),0)</f>
        <v>0</v>
      </c>
      <c r="CU37" s="266">
        <f t="shared" ca="1" si="39"/>
        <v>8177.6810940768437</v>
      </c>
      <c r="CV37" s="266">
        <f t="shared" ca="1" si="40"/>
        <v>8005.5193868331207</v>
      </c>
      <c r="CW37" s="266">
        <f t="shared" ca="1" si="41"/>
        <v>8005.5193868331207</v>
      </c>
      <c r="CX37" s="266">
        <f t="shared" ca="1" si="42"/>
        <v>8005.5193868331207</v>
      </c>
    </row>
    <row r="38" spans="2:102" s="47" customFormat="1" ht="18" customHeight="1" x14ac:dyDescent="0.25">
      <c r="B38" t="str">
        <f t="shared" si="43"/>
        <v>NSG_Business_C&amp;I_Rebates_Water Heater_≥75 MBH, ≥88% TE _CI</v>
      </c>
      <c r="C38" s="47" t="str">
        <f t="shared" si="6"/>
        <v>Water Heater_≥75 MBH, ≥88% TE _CI</v>
      </c>
      <c r="D38" s="270" t="s">
        <v>1787</v>
      </c>
      <c r="E38" s="270" t="s">
        <v>3</v>
      </c>
      <c r="F38" s="270" t="s">
        <v>1427</v>
      </c>
      <c r="G38" s="270" t="s">
        <v>1429</v>
      </c>
      <c r="H38" s="270" t="s">
        <v>8</v>
      </c>
      <c r="I38" s="270" t="s">
        <v>1293</v>
      </c>
      <c r="J38" s="270" t="s">
        <v>1159</v>
      </c>
      <c r="K38" s="263">
        <v>1</v>
      </c>
      <c r="L38" s="263" t="str">
        <f ca="1">IFERROR(INDEX(Algorithms!J:J,MATCH($C38&amp;"_Therm Saved per Unit",Algorithms!$A:$A,0)),"n/a")</f>
        <v>4.3.1</v>
      </c>
      <c r="M38" s="263" t="str">
        <f>IFERROR(INDEX('Measure Level Detail'!$N:$N,MATCH($B38,'Measure Level Detail'!$B:$B,0)),0)</f>
        <v>MBH</v>
      </c>
      <c r="N38" s="271">
        <f>IFERROR(INDEX('Measure Level Detail'!$P:$P,MATCH($B38&amp;"_"&amp;N$3,'Measure Level Detail'!$C:$C,0)),0)</f>
        <v>850</v>
      </c>
      <c r="O38" s="271">
        <f>IFERROR(INDEX('Measure Level Detail'!$P:$P,MATCH($B38&amp;"_"&amp;O$3,'Measure Level Detail'!$C:$C,0)),0)</f>
        <v>800</v>
      </c>
      <c r="P38" s="271">
        <f>IFERROR(INDEX('Measure Level Detail'!$P:$P,MATCH($B38&amp;"_"&amp;P$3,'Measure Level Detail'!$C:$C,0)),0)</f>
        <v>700</v>
      </c>
      <c r="Q38" s="271">
        <f>IFERROR(INDEX('Measure Level Detail'!$P:$P,MATCH($B38&amp;"_"&amp;Q$3,'Measure Level Detail'!$C:$C,0)),0)</f>
        <v>680</v>
      </c>
      <c r="R38" s="263" t="str">
        <f ca="1">IFERROR(INDEX(Algorithms!K:K,MATCH($C38&amp;"_Therm Saved per Unit",Algorithms!$A:$A,0)),"n/a")</f>
        <v>CI-HWE-STWH-V10-240101</v>
      </c>
      <c r="S38" s="262"/>
      <c r="T38" s="272">
        <v>2.4977693963210257</v>
      </c>
      <c r="U38" s="272">
        <v>2.4977693963210257</v>
      </c>
      <c r="V38" s="272">
        <v>2.4977693963210257</v>
      </c>
      <c r="W38" s="272">
        <v>2.4977693963210257</v>
      </c>
      <c r="X38" s="273">
        <f>IFERROR(INDEX('Measure Level Detail'!$R:$R,MATCH($B38&amp;"_"&amp;X$3,'Measure Level Detail'!$C:$C,0)),0)</f>
        <v>0.91</v>
      </c>
      <c r="Y38" s="273">
        <f>IFERROR(INDEX('Measure Level Detail'!$R:$R,MATCH($B38&amp;"_"&amp;Y$3,'Measure Level Detail'!$C:$C,0)),0)</f>
        <v>0.91</v>
      </c>
      <c r="Z38" s="273">
        <f>IFERROR(INDEX('Measure Level Detail'!$R:$R,MATCH($B38&amp;"_"&amp;Z$3,'Measure Level Detail'!$C:$C,0)),0)</f>
        <v>0.91</v>
      </c>
      <c r="AA38" s="273">
        <f>IFERROR(INDEX('Measure Level Detail'!$R:$R,MATCH($B38&amp;"_"&amp;AA$3,'Measure Level Detail'!$C:$C,0)),0)</f>
        <v>0.91</v>
      </c>
      <c r="AB38" s="266">
        <f t="shared" si="7"/>
        <v>1932.0246280543133</v>
      </c>
      <c r="AC38" s="266">
        <f t="shared" si="8"/>
        <v>1818.3761205217068</v>
      </c>
      <c r="AD38" s="266">
        <f t="shared" si="9"/>
        <v>1591.0791054564934</v>
      </c>
      <c r="AE38" s="266">
        <f t="shared" si="10"/>
        <v>1545.6197024434507</v>
      </c>
      <c r="AF38" s="266">
        <f t="shared" si="11"/>
        <v>6887.0995564759642</v>
      </c>
      <c r="AG38" s="274">
        <v>0.91</v>
      </c>
      <c r="AH38" s="274">
        <v>0.91</v>
      </c>
      <c r="AI38" s="274">
        <v>0.91</v>
      </c>
      <c r="AJ38" s="274">
        <v>0.91</v>
      </c>
      <c r="AK38" s="274">
        <f t="shared" si="12"/>
        <v>0.91</v>
      </c>
      <c r="AL38" s="274">
        <f t="shared" si="13"/>
        <v>0.91</v>
      </c>
      <c r="AM38" s="274">
        <f t="shared" si="14"/>
        <v>0.91</v>
      </c>
      <c r="AN38" s="274">
        <f t="shared" si="15"/>
        <v>0.91</v>
      </c>
      <c r="AO38" s="262"/>
      <c r="AP38" s="262"/>
      <c r="AQ38" s="267">
        <v>2.6035838480037183</v>
      </c>
      <c r="AR38" s="262"/>
      <c r="AS38" s="266">
        <f t="shared" si="16"/>
        <v>2013.8721064308761</v>
      </c>
      <c r="AT38" s="264">
        <f t="shared" si="17"/>
        <v>81.847478376562776</v>
      </c>
      <c r="AU38" s="262"/>
      <c r="AV38" s="262"/>
      <c r="AW38" s="265">
        <v>2.6035838480037183</v>
      </c>
      <c r="AX38" s="164" t="s">
        <v>1469</v>
      </c>
      <c r="AY38" s="266">
        <v>1895.409041346707</v>
      </c>
      <c r="AZ38" s="266">
        <f t="shared" si="45"/>
        <v>1895.409041346707</v>
      </c>
      <c r="BA38" s="264">
        <f t="shared" si="18"/>
        <v>77.032920825000247</v>
      </c>
      <c r="BB38" s="262"/>
      <c r="BC38" s="262"/>
      <c r="BD38" s="265">
        <f ca="1">IFERROR(INDEX(Algorithms!$G:$G,MATCH($C38&amp;"_Therm Saved per Unit",Algorithms!$A:$A,0)),0)</f>
        <v>2.6035838480037183</v>
      </c>
      <c r="BE38" s="164" t="str">
        <f ca="1">IFERROR(INDEX('v12 Revisions'!$P$29:$P$186, MATCH('Measure-Level Adj Gas'!$L38, 'v12 Revisions'!$D$29:$D$186,0)),"")</f>
        <v>n/a - language only.</v>
      </c>
      <c r="BF38" s="266">
        <f t="shared" ca="1" si="19"/>
        <v>1658.4829111783686</v>
      </c>
      <c r="BG38" s="264">
        <f t="shared" ca="1" si="20"/>
        <v>67.403805721875187</v>
      </c>
      <c r="BH38" s="262"/>
      <c r="BI38" s="262"/>
      <c r="BJ38" s="265">
        <f ca="1">IFERROR(INDEX(Algorithms!$G:$G,MATCH($C38&amp;"_Therm Saved per Unit",Algorithms!$A:$A,0)),0)</f>
        <v>2.6035838480037183</v>
      </c>
      <c r="BK38" s="164"/>
      <c r="BL38" s="266">
        <f t="shared" ca="1" si="21"/>
        <v>1611.097685144701</v>
      </c>
      <c r="BM38" s="264">
        <f t="shared" ca="1" si="22"/>
        <v>65.477982701250312</v>
      </c>
      <c r="BN38" s="266">
        <f t="shared" si="23"/>
        <v>2013.8721064308761</v>
      </c>
      <c r="BO38" s="266">
        <f t="shared" si="44"/>
        <v>1895.409041346707</v>
      </c>
      <c r="BP38" s="266">
        <f t="shared" ca="1" si="24"/>
        <v>1658.4829111783686</v>
      </c>
      <c r="BQ38" s="266">
        <f t="shared" ca="1" si="25"/>
        <v>1611.097685144701</v>
      </c>
      <c r="BR38" s="268">
        <f t="shared" ca="1" si="26"/>
        <v>7178.8617441006527</v>
      </c>
      <c r="BS38" s="262" t="s">
        <v>99</v>
      </c>
      <c r="BT38" s="164"/>
      <c r="BW38" s="266">
        <f t="shared" si="27"/>
        <v>1932.0246280543133</v>
      </c>
      <c r="BX38" s="266">
        <f t="shared" si="28"/>
        <v>1818.3761205217068</v>
      </c>
      <c r="BY38" s="266">
        <f t="shared" si="29"/>
        <v>1591.0791054564934</v>
      </c>
      <c r="BZ38" s="266">
        <f t="shared" si="30"/>
        <v>1545.6197024434507</v>
      </c>
      <c r="CA38" s="266">
        <f ca="1">N38*IFERROR(INDEX(Algorithms!$G:$G,MATCH($C38&amp;"_Therm Saved per Unit- MLA",Algorithms!$A:$A,0)),0)*X38</f>
        <v>0</v>
      </c>
      <c r="CB38" s="266">
        <f ca="1">O38*IFERROR(INDEX(Algorithms!$G:$G,MATCH($C38&amp;"_Therm Saved per Unit- MLA",Algorithms!$A:$A,0)),0)*Y38</f>
        <v>0</v>
      </c>
      <c r="CC38" s="266">
        <f ca="1">P38*IFERROR(INDEX(Algorithms!$G:$G,MATCH($C38&amp;"_Therm Saved per Unit- MLA",Algorithms!$A:$A,0)),0)*Z38</f>
        <v>0</v>
      </c>
      <c r="CD38" s="266">
        <f ca="1">Q38*IFERROR(INDEX(Algorithms!$G:$G,MATCH($C38&amp;"_Therm Saved per Unit- MLA",Algorithms!$A:$A,0)),0)*AA38</f>
        <v>0</v>
      </c>
      <c r="CE38" s="266">
        <f ca="1">IFERROR(INDEX(Algorithms!$G:$G,MATCH($C38&amp;"_Lifetime (years)",Algorithms!$A:$A,0)),0)</f>
        <v>15</v>
      </c>
      <c r="CF38" s="266">
        <f ca="1">IFERROR(INDEX(Algorithms!$G:$G,MATCH($C38&amp;"_Lifetime (years) - Remaining Years",Algorithms!$A:$A,0)),0)</f>
        <v>0</v>
      </c>
      <c r="CG38" s="266">
        <f t="shared" ca="1" si="31"/>
        <v>28980.369420814699</v>
      </c>
      <c r="CH38" s="266">
        <f t="shared" ca="1" si="32"/>
        <v>27275.641807825603</v>
      </c>
      <c r="CI38" s="266">
        <f t="shared" ca="1" si="33"/>
        <v>23866.1865818474</v>
      </c>
      <c r="CJ38" s="266">
        <f t="shared" ca="1" si="34"/>
        <v>23184.29553665176</v>
      </c>
      <c r="CK38" s="266">
        <f t="shared" si="35"/>
        <v>2013.8721064308761</v>
      </c>
      <c r="CL38" s="266">
        <f t="shared" si="36"/>
        <v>1895.409041346707</v>
      </c>
      <c r="CM38" s="266">
        <f t="shared" ca="1" si="37"/>
        <v>1658.4829111783686</v>
      </c>
      <c r="CN38" s="266">
        <f t="shared" ca="1" si="38"/>
        <v>1611.097685144701</v>
      </c>
      <c r="CO38" s="266">
        <f ca="1">N38*IFERROR(INDEX(Algorithms!$G:$G,MATCH($C38&amp;"_Therm Saved per Unit- MLA",Algorithms!$A:$A,0)),0)*X38</f>
        <v>0</v>
      </c>
      <c r="CP38" s="266">
        <f ca="1">O38*IFERROR(INDEX(Algorithms!$G:$G,MATCH($C38&amp;"_Therm Saved per Unit- MLA",Algorithms!$A:$A,0)),0)*Y38</f>
        <v>0</v>
      </c>
      <c r="CQ38" s="266">
        <f ca="1">P38*IFERROR(INDEX(Algorithms!$G:$G,MATCH($C38&amp;"_Therm Saved per Unit- MLA",Algorithms!$A:$A,0)),0)*Z38</f>
        <v>0</v>
      </c>
      <c r="CR38" s="266">
        <f ca="1">Q38*IFERROR(INDEX(Algorithms!$G:$G,MATCH($C38&amp;"_Therm Saved per Unit- MLA",Algorithms!$A:$A,0)),0)*AA38</f>
        <v>0</v>
      </c>
      <c r="CS38" s="266">
        <f ca="1">IFERROR(INDEX(Algorithms!$G:$G,MATCH($C38&amp;"_Lifetime (years)",Algorithms!$A:$A,0)),0)</f>
        <v>15</v>
      </c>
      <c r="CT38" s="266">
        <f ca="1">IFERROR(INDEX(Algorithms!$G:$G,MATCH($C38&amp;"_Lifetime (years) - Remaining Years",Algorithms!$A:$A,0)),0)</f>
        <v>0</v>
      </c>
      <c r="CU38" s="266">
        <f t="shared" ca="1" si="39"/>
        <v>30208.08159646314</v>
      </c>
      <c r="CV38" s="266">
        <f t="shared" ca="1" si="40"/>
        <v>28431.135620200606</v>
      </c>
      <c r="CW38" s="266">
        <f t="shared" ca="1" si="41"/>
        <v>24877.243667675528</v>
      </c>
      <c r="CX38" s="266">
        <f t="shared" ca="1" si="42"/>
        <v>24166.465277170515</v>
      </c>
    </row>
    <row r="39" spans="2:102" s="47" customFormat="1" ht="18" customHeight="1" x14ac:dyDescent="0.25">
      <c r="B39" t="str">
        <f t="shared" si="43"/>
        <v>NSG_Residential_Home Energy Jumpstart_Core_Low Flow Bathroom Aerator_0_SF</v>
      </c>
      <c r="C39" s="47" t="str">
        <f t="shared" si="6"/>
        <v>Low Flow Bathroom Aerator_0_SF</v>
      </c>
      <c r="D39" s="270" t="s">
        <v>1787</v>
      </c>
      <c r="E39" s="270" t="s">
        <v>2</v>
      </c>
      <c r="F39" s="270" t="s">
        <v>1414</v>
      </c>
      <c r="G39" s="270" t="s">
        <v>1415</v>
      </c>
      <c r="H39" s="270" t="s">
        <v>555</v>
      </c>
      <c r="I39" s="270">
        <v>0</v>
      </c>
      <c r="J39" s="270" t="s">
        <v>409</v>
      </c>
      <c r="K39" s="263">
        <v>1</v>
      </c>
      <c r="L39" s="263" t="str">
        <f ca="1">IFERROR(INDEX(Algorithms!J:J,MATCH($C39&amp;"_Therm Saved per Unit",Algorithms!$A:$A,0)),"n/a")</f>
        <v>5.4.4</v>
      </c>
      <c r="M39" s="263" t="str">
        <f>IFERROR(INDEX('Measure Level Detail'!$N:$N,MATCH($B39,'Measure Level Detail'!$B:$B,0)),0)</f>
        <v>Each</v>
      </c>
      <c r="N39" s="271">
        <f>IFERROR(INDEX('Measure Level Detail'!$P:$P,MATCH($B39&amp;"_"&amp;N$3,'Measure Level Detail'!$C:$C,0)),0)</f>
        <v>797</v>
      </c>
      <c r="O39" s="271">
        <f>IFERROR(INDEX('Measure Level Detail'!$P:$P,MATCH($B39&amp;"_"&amp;O$3,'Measure Level Detail'!$C:$C,0)),0)</f>
        <v>717</v>
      </c>
      <c r="P39" s="271">
        <f>IFERROR(INDEX('Measure Level Detail'!$P:$P,MATCH($B39&amp;"_"&amp;P$3,'Measure Level Detail'!$C:$C,0)),0)</f>
        <v>637</v>
      </c>
      <c r="Q39" s="271">
        <f>IFERROR(INDEX('Measure Level Detail'!$P:$P,MATCH($B39&amp;"_"&amp;Q$3,'Measure Level Detail'!$C:$C,0)),0)</f>
        <v>558</v>
      </c>
      <c r="R39" s="263" t="str">
        <f ca="1">IFERROR(INDEX(Algorithms!K:K,MATCH($C39&amp;"_Therm Saved per Unit",Algorithms!$A:$A,0)),"n/a")</f>
        <v>RS-HWE-LFFA-V13-240101</v>
      </c>
      <c r="S39" s="262"/>
      <c r="T39" s="272">
        <v>0.90936082797455842</v>
      </c>
      <c r="U39" s="272">
        <v>0.90936082797455842</v>
      </c>
      <c r="V39" s="272">
        <v>0.90936082797455842</v>
      </c>
      <c r="W39" s="272">
        <v>0.90936082797455842</v>
      </c>
      <c r="X39" s="273">
        <f>IFERROR(INDEX('Measure Level Detail'!$R:$R,MATCH($B39&amp;"_"&amp;X$3,'Measure Level Detail'!$C:$C,0)),0)</f>
        <v>1.02</v>
      </c>
      <c r="Y39" s="273">
        <f>IFERROR(INDEX('Measure Level Detail'!$R:$R,MATCH($B39&amp;"_"&amp;Y$3,'Measure Level Detail'!$C:$C,0)),0)</f>
        <v>1.02</v>
      </c>
      <c r="Z39" s="273">
        <f>IFERROR(INDEX('Measure Level Detail'!$R:$R,MATCH($B39&amp;"_"&amp;Z$3,'Measure Level Detail'!$C:$C,0)),0)</f>
        <v>1.02</v>
      </c>
      <c r="AA39" s="273">
        <f>IFERROR(INDEX('Measure Level Detail'!$R:$R,MATCH($B39&amp;"_"&amp;AA$3,'Measure Level Detail'!$C:$C,0)),0)</f>
        <v>1.02</v>
      </c>
      <c r="AB39" s="266">
        <f t="shared" si="7"/>
        <v>739.2557914936375</v>
      </c>
      <c r="AC39" s="266">
        <f t="shared" si="8"/>
        <v>665.05194793091357</v>
      </c>
      <c r="AD39" s="266">
        <f t="shared" si="9"/>
        <v>590.84810436818964</v>
      </c>
      <c r="AE39" s="266">
        <f t="shared" si="10"/>
        <v>517.57180884999968</v>
      </c>
      <c r="AF39" s="266">
        <f t="shared" si="11"/>
        <v>2512.7276526427404</v>
      </c>
      <c r="AG39" s="274">
        <v>1.02</v>
      </c>
      <c r="AH39" s="274">
        <v>1.02</v>
      </c>
      <c r="AI39" s="710">
        <v>1.0900000000000001</v>
      </c>
      <c r="AJ39" s="710">
        <v>1.0900000000000001</v>
      </c>
      <c r="AK39" s="274">
        <f t="shared" si="12"/>
        <v>1.02</v>
      </c>
      <c r="AL39" s="274">
        <f t="shared" si="13"/>
        <v>1.02</v>
      </c>
      <c r="AM39" s="274">
        <f t="shared" si="14"/>
        <v>1.02</v>
      </c>
      <c r="AN39" s="274">
        <f t="shared" si="15"/>
        <v>1.02</v>
      </c>
      <c r="AO39" s="262"/>
      <c r="AP39" s="262"/>
      <c r="AQ39" s="267">
        <v>1.0053261226599404</v>
      </c>
      <c r="AR39" s="262"/>
      <c r="AS39" s="266">
        <f t="shared" si="16"/>
        <v>817.26981815517195</v>
      </c>
      <c r="AT39" s="264">
        <f t="shared" si="17"/>
        <v>78.014026661534444</v>
      </c>
      <c r="AU39" s="262"/>
      <c r="AV39" s="262"/>
      <c r="AW39" s="265">
        <v>0.98416136218288908</v>
      </c>
      <c r="AX39" s="164" t="s">
        <v>2392</v>
      </c>
      <c r="AY39" s="266">
        <v>735.23520654612082</v>
      </c>
      <c r="AZ39" s="266">
        <f t="shared" si="45"/>
        <v>719.75657061883408</v>
      </c>
      <c r="BA39" s="264">
        <f t="shared" si="18"/>
        <v>54.704622687920505</v>
      </c>
      <c r="BB39" s="262"/>
      <c r="BC39" s="262"/>
      <c r="BD39" s="265">
        <f ca="1">IFERROR(INDEX(Algorithms!$G:$G,MATCH($C39&amp;"_Therm Saved per Unit",Algorithms!$A:$A,0)),0)</f>
        <v>0.98416136218288908</v>
      </c>
      <c r="BE39" s="164" t="str">
        <f ca="1">IFERROR(INDEX('v12 Revisions'!$P$29:$P$186, MATCH('Measure-Level Adj Gas'!$L39, 'v12 Revisions'!$D$29:$D$186,0)),"")</f>
        <v>n/a - plan assumes Direct Install, not Distributed School Efficiency Kit.</v>
      </c>
      <c r="BF39" s="266">
        <f t="shared" ca="1" si="19"/>
        <v>639.44900346471036</v>
      </c>
      <c r="BG39" s="264">
        <f t="shared" ca="1" si="20"/>
        <v>48.60089909652072</v>
      </c>
      <c r="BH39" s="262"/>
      <c r="BI39" s="262"/>
      <c r="BJ39" s="265">
        <f ca="1">IFERROR(INDEX(Algorithms!$G:$G,MATCH($C39&amp;"_Therm Saved per Unit",Algorithms!$A:$A,0)),0)</f>
        <v>0.98416136218288908</v>
      </c>
      <c r="BK39" s="164"/>
      <c r="BL39" s="266">
        <f t="shared" ca="1" si="21"/>
        <v>560.14528090001318</v>
      </c>
      <c r="BM39" s="264">
        <f t="shared" ca="1" si="22"/>
        <v>42.573472050013493</v>
      </c>
      <c r="BN39" s="266">
        <f t="shared" si="23"/>
        <v>817.26981815517195</v>
      </c>
      <c r="BO39" s="266">
        <f t="shared" si="44"/>
        <v>719.75657061883408</v>
      </c>
      <c r="BP39" s="266">
        <f t="shared" ca="1" si="24"/>
        <v>639.44900346471036</v>
      </c>
      <c r="BQ39" s="266">
        <f t="shared" ca="1" si="25"/>
        <v>560.14528090001318</v>
      </c>
      <c r="BR39" s="268">
        <f t="shared" ca="1" si="26"/>
        <v>2736.6206731387292</v>
      </c>
      <c r="BS39" s="262" t="s">
        <v>99</v>
      </c>
      <c r="BT39" s="164"/>
      <c r="BW39" s="266">
        <f t="shared" si="27"/>
        <v>739.2557914936375</v>
      </c>
      <c r="BX39" s="266">
        <f t="shared" si="28"/>
        <v>665.05194793091357</v>
      </c>
      <c r="BY39" s="266">
        <f t="shared" si="29"/>
        <v>590.84810436818964</v>
      </c>
      <c r="BZ39" s="266">
        <f t="shared" si="30"/>
        <v>517.57180884999968</v>
      </c>
      <c r="CA39" s="266">
        <f ca="1">N39*IFERROR(INDEX(Algorithms!$G:$G,MATCH($C39&amp;"_Therm Saved per Unit- MLA",Algorithms!$A:$A,0)),0)*X39</f>
        <v>0</v>
      </c>
      <c r="CB39" s="266">
        <f ca="1">O39*IFERROR(INDEX(Algorithms!$G:$G,MATCH($C39&amp;"_Therm Saved per Unit- MLA",Algorithms!$A:$A,0)),0)*Y39</f>
        <v>0</v>
      </c>
      <c r="CC39" s="266">
        <f ca="1">P39*IFERROR(INDEX(Algorithms!$G:$G,MATCH($C39&amp;"_Therm Saved per Unit- MLA",Algorithms!$A:$A,0)),0)*Z39</f>
        <v>0</v>
      </c>
      <c r="CD39" s="266">
        <f ca="1">Q39*IFERROR(INDEX(Algorithms!$G:$G,MATCH($C39&amp;"_Therm Saved per Unit- MLA",Algorithms!$A:$A,0)),0)*AA39</f>
        <v>0</v>
      </c>
      <c r="CE39" s="266">
        <f ca="1">IFERROR(INDEX(Algorithms!$G:$G,MATCH($C39&amp;"_Lifetime (years)",Algorithms!$A:$A,0)),0)</f>
        <v>10</v>
      </c>
      <c r="CF39" s="266">
        <f ca="1">IFERROR(INDEX(Algorithms!$G:$G,MATCH($C39&amp;"_Lifetime (years) - Remaining Years",Algorithms!$A:$A,0)),0)</f>
        <v>0</v>
      </c>
      <c r="CG39" s="266">
        <f t="shared" ca="1" si="31"/>
        <v>7392.5579149363748</v>
      </c>
      <c r="CH39" s="266">
        <f t="shared" ca="1" si="32"/>
        <v>6650.5194793091359</v>
      </c>
      <c r="CI39" s="266">
        <f t="shared" ca="1" si="33"/>
        <v>5908.4810436818962</v>
      </c>
      <c r="CJ39" s="266">
        <f t="shared" ca="1" si="34"/>
        <v>5175.7180884999971</v>
      </c>
      <c r="CK39" s="266">
        <f t="shared" si="35"/>
        <v>817.26981815517195</v>
      </c>
      <c r="CL39" s="266">
        <f t="shared" si="36"/>
        <v>719.75657061883408</v>
      </c>
      <c r="CM39" s="266">
        <f t="shared" ca="1" si="37"/>
        <v>639.44900346471036</v>
      </c>
      <c r="CN39" s="266">
        <f t="shared" ca="1" si="38"/>
        <v>560.14528090001318</v>
      </c>
      <c r="CO39" s="266">
        <f ca="1">N39*IFERROR(INDEX(Algorithms!$G:$G,MATCH($C39&amp;"_Therm Saved per Unit- MLA",Algorithms!$A:$A,0)),0)*X39</f>
        <v>0</v>
      </c>
      <c r="CP39" s="266">
        <f ca="1">O39*IFERROR(INDEX(Algorithms!$G:$G,MATCH($C39&amp;"_Therm Saved per Unit- MLA",Algorithms!$A:$A,0)),0)*Y39</f>
        <v>0</v>
      </c>
      <c r="CQ39" s="266">
        <f ca="1">P39*IFERROR(INDEX(Algorithms!$G:$G,MATCH($C39&amp;"_Therm Saved per Unit- MLA",Algorithms!$A:$A,0)),0)*Z39</f>
        <v>0</v>
      </c>
      <c r="CR39" s="266">
        <f ca="1">Q39*IFERROR(INDEX(Algorithms!$G:$G,MATCH($C39&amp;"_Therm Saved per Unit- MLA",Algorithms!$A:$A,0)),0)*AA39</f>
        <v>0</v>
      </c>
      <c r="CS39" s="266">
        <f ca="1">IFERROR(INDEX(Algorithms!$G:$G,MATCH($C39&amp;"_Lifetime (years)",Algorithms!$A:$A,0)),0)</f>
        <v>10</v>
      </c>
      <c r="CT39" s="266">
        <f ca="1">IFERROR(INDEX(Algorithms!$G:$G,MATCH($C39&amp;"_Lifetime (years) - Remaining Years",Algorithms!$A:$A,0)),0)</f>
        <v>0</v>
      </c>
      <c r="CU39" s="266">
        <f t="shared" ca="1" si="39"/>
        <v>8172.6981815517192</v>
      </c>
      <c r="CV39" s="266">
        <f t="shared" ca="1" si="40"/>
        <v>7197.5657061883412</v>
      </c>
      <c r="CW39" s="266">
        <f t="shared" ca="1" si="41"/>
        <v>6394.490034647104</v>
      </c>
      <c r="CX39" s="266">
        <f t="shared" ca="1" si="42"/>
        <v>5601.4528090001313</v>
      </c>
    </row>
    <row r="40" spans="2:102" s="47" customFormat="1" ht="18" customHeight="1" x14ac:dyDescent="0.25">
      <c r="B40" t="str">
        <f t="shared" si="43"/>
        <v>NSG_Residential_Home Energy Jumpstart_Core_Low Flow Kitchen Aerator_0_SF</v>
      </c>
      <c r="C40" s="47" t="str">
        <f t="shared" si="6"/>
        <v>Low Flow Kitchen Aerator_0_SF</v>
      </c>
      <c r="D40" s="270" t="s">
        <v>1787</v>
      </c>
      <c r="E40" s="270" t="s">
        <v>2</v>
      </c>
      <c r="F40" s="270" t="s">
        <v>1414</v>
      </c>
      <c r="G40" s="270" t="s">
        <v>1415</v>
      </c>
      <c r="H40" s="270" t="s">
        <v>533</v>
      </c>
      <c r="I40" s="270">
        <v>0</v>
      </c>
      <c r="J40" s="270" t="s">
        <v>409</v>
      </c>
      <c r="K40" s="263">
        <v>1</v>
      </c>
      <c r="L40" s="263" t="str">
        <f ca="1">IFERROR(INDEX(Algorithms!J:J,MATCH($C40&amp;"_Therm Saved per Unit",Algorithms!$A:$A,0)),"n/a")</f>
        <v>5.4.4</v>
      </c>
      <c r="M40" s="263" t="str">
        <f>IFERROR(INDEX('Measure Level Detail'!$N:$N,MATCH($B40,'Measure Level Detail'!$B:$B,0)),0)</f>
        <v>Each</v>
      </c>
      <c r="N40" s="271">
        <f>IFERROR(INDEX('Measure Level Detail'!$P:$P,MATCH($B40&amp;"_"&amp;N$3,'Measure Level Detail'!$C:$C,0)),0)</f>
        <v>99</v>
      </c>
      <c r="O40" s="271">
        <f>IFERROR(INDEX('Measure Level Detail'!$P:$P,MATCH($B40&amp;"_"&amp;O$3,'Measure Level Detail'!$C:$C,0)),0)</f>
        <v>89</v>
      </c>
      <c r="P40" s="271">
        <f>IFERROR(INDEX('Measure Level Detail'!$P:$P,MATCH($B40&amp;"_"&amp;P$3,'Measure Level Detail'!$C:$C,0)),0)</f>
        <v>79</v>
      </c>
      <c r="Q40" s="271">
        <f>IFERROR(INDEX('Measure Level Detail'!$P:$P,MATCH($B40&amp;"_"&amp;Q$3,'Measure Level Detail'!$C:$C,0)),0)</f>
        <v>69</v>
      </c>
      <c r="R40" s="263" t="str">
        <f ca="1">IFERROR(INDEX(Algorithms!K:K,MATCH($C40&amp;"_Therm Saved per Unit",Algorithms!$A:$A,0)),"n/a")</f>
        <v>RS-HWE-LFFA-V13-240101</v>
      </c>
      <c r="S40" s="262"/>
      <c r="T40" s="272">
        <v>8.5936302377584592</v>
      </c>
      <c r="U40" s="272">
        <v>8.5936302377584592</v>
      </c>
      <c r="V40" s="272">
        <v>8.5936302377584592</v>
      </c>
      <c r="W40" s="272">
        <v>8.5936302377584592</v>
      </c>
      <c r="X40" s="273">
        <f>IFERROR(INDEX('Measure Level Detail'!$R:$R,MATCH($B40&amp;"_"&amp;X$3,'Measure Level Detail'!$C:$C,0)),0)</f>
        <v>1.02</v>
      </c>
      <c r="Y40" s="273">
        <f>IFERROR(INDEX('Measure Level Detail'!$R:$R,MATCH($B40&amp;"_"&amp;Y$3,'Measure Level Detail'!$C:$C,0)),0)</f>
        <v>1.02</v>
      </c>
      <c r="Z40" s="273">
        <f>IFERROR(INDEX('Measure Level Detail'!$R:$R,MATCH($B40&amp;"_"&amp;Z$3,'Measure Level Detail'!$C:$C,0)),0)</f>
        <v>1.02</v>
      </c>
      <c r="AA40" s="273">
        <f>IFERROR(INDEX('Measure Level Detail'!$R:$R,MATCH($B40&amp;"_"&amp;AA$3,'Measure Level Detail'!$C:$C,0)),0)</f>
        <v>1.02</v>
      </c>
      <c r="AB40" s="266">
        <f t="shared" si="7"/>
        <v>867.7847814088492</v>
      </c>
      <c r="AC40" s="266">
        <f t="shared" si="8"/>
        <v>780.12975298371293</v>
      </c>
      <c r="AD40" s="266">
        <f t="shared" si="9"/>
        <v>692.47472455857667</v>
      </c>
      <c r="AE40" s="266">
        <f t="shared" si="10"/>
        <v>604.81969613344029</v>
      </c>
      <c r="AF40" s="266">
        <f t="shared" si="11"/>
        <v>2945.208955084579</v>
      </c>
      <c r="AG40" s="274">
        <v>1.02</v>
      </c>
      <c r="AH40" s="274">
        <v>1.02</v>
      </c>
      <c r="AI40" s="710">
        <v>1.0900000000000001</v>
      </c>
      <c r="AJ40" s="710">
        <v>1.0900000000000001</v>
      </c>
      <c r="AK40" s="274">
        <f t="shared" si="12"/>
        <v>1.02</v>
      </c>
      <c r="AL40" s="274">
        <f t="shared" si="13"/>
        <v>1.02</v>
      </c>
      <c r="AM40" s="274">
        <f t="shared" si="14"/>
        <v>1.02</v>
      </c>
      <c r="AN40" s="274">
        <f t="shared" si="15"/>
        <v>1.02</v>
      </c>
      <c r="AO40" s="262"/>
      <c r="AP40" s="262"/>
      <c r="AQ40" s="267">
        <v>9.3447444487707685</v>
      </c>
      <c r="AR40" s="262"/>
      <c r="AS40" s="266">
        <f t="shared" si="16"/>
        <v>943.63229443687214</v>
      </c>
      <c r="AT40" s="264">
        <f t="shared" si="17"/>
        <v>75.847513028022945</v>
      </c>
      <c r="AU40" s="262"/>
      <c r="AV40" s="262"/>
      <c r="AW40" s="265">
        <v>9.148012986691386</v>
      </c>
      <c r="AX40" s="164" t="s">
        <v>2392</v>
      </c>
      <c r="AY40" s="266">
        <v>848.31590105941041</v>
      </c>
      <c r="AZ40" s="266">
        <f t="shared" si="45"/>
        <v>830.4566189318441</v>
      </c>
      <c r="BA40" s="264">
        <f t="shared" si="18"/>
        <v>50.326865948131172</v>
      </c>
      <c r="BB40" s="262"/>
      <c r="BC40" s="262"/>
      <c r="BD40" s="265">
        <f ca="1">IFERROR(INDEX(Algorithms!$G:$G,MATCH($C40&amp;"_Therm Saved per Unit",Algorithms!$A:$A,0)),0)</f>
        <v>9.148012986691386</v>
      </c>
      <c r="BE40" s="164" t="str">
        <f ca="1">IFERROR(INDEX('v12 Revisions'!$P$29:$P$186, MATCH('Measure-Level Adj Gas'!$L40, 'v12 Revisions'!$D$29:$D$186,0)),"")</f>
        <v>n/a - plan assumes Direct Install, not Distributed School Efficiency Kit.</v>
      </c>
      <c r="BF40" s="266">
        <f t="shared" ca="1" si="19"/>
        <v>737.14688646759191</v>
      </c>
      <c r="BG40" s="264">
        <f t="shared" ca="1" si="20"/>
        <v>44.672161909015244</v>
      </c>
      <c r="BH40" s="262"/>
      <c r="BI40" s="262"/>
      <c r="BJ40" s="265">
        <f ca="1">IFERROR(INDEX(Algorithms!$G:$G,MATCH($C40&amp;"_Therm Saved per Unit",Algorithms!$A:$A,0)),0)</f>
        <v>9.148012986691386</v>
      </c>
      <c r="BK40" s="164"/>
      <c r="BL40" s="266">
        <f t="shared" ca="1" si="21"/>
        <v>643.83715400333972</v>
      </c>
      <c r="BM40" s="264">
        <f t="shared" ca="1" si="22"/>
        <v>39.017457869899431</v>
      </c>
      <c r="BN40" s="266">
        <f t="shared" si="23"/>
        <v>943.63229443687214</v>
      </c>
      <c r="BO40" s="266">
        <f t="shared" si="44"/>
        <v>830.4566189318441</v>
      </c>
      <c r="BP40" s="266">
        <f t="shared" ca="1" si="24"/>
        <v>737.14688646759191</v>
      </c>
      <c r="BQ40" s="266">
        <f t="shared" ca="1" si="25"/>
        <v>643.83715400333972</v>
      </c>
      <c r="BR40" s="268">
        <f t="shared" ca="1" si="26"/>
        <v>3155.0729538396481</v>
      </c>
      <c r="BS40" s="262" t="s">
        <v>99</v>
      </c>
      <c r="BT40" s="164"/>
      <c r="BW40" s="266">
        <f t="shared" si="27"/>
        <v>867.7847814088492</v>
      </c>
      <c r="BX40" s="266">
        <f t="shared" si="28"/>
        <v>780.12975298371293</v>
      </c>
      <c r="BY40" s="266">
        <f t="shared" si="29"/>
        <v>692.47472455857667</v>
      </c>
      <c r="BZ40" s="266">
        <f t="shared" si="30"/>
        <v>604.81969613344029</v>
      </c>
      <c r="CA40" s="266">
        <f ca="1">N40*IFERROR(INDEX(Algorithms!$G:$G,MATCH($C40&amp;"_Therm Saved per Unit- MLA",Algorithms!$A:$A,0)),0)*X40</f>
        <v>0</v>
      </c>
      <c r="CB40" s="266">
        <f ca="1">O40*IFERROR(INDEX(Algorithms!$G:$G,MATCH($C40&amp;"_Therm Saved per Unit- MLA",Algorithms!$A:$A,0)),0)*Y40</f>
        <v>0</v>
      </c>
      <c r="CC40" s="266">
        <f ca="1">P40*IFERROR(INDEX(Algorithms!$G:$G,MATCH($C40&amp;"_Therm Saved per Unit- MLA",Algorithms!$A:$A,0)),0)*Z40</f>
        <v>0</v>
      </c>
      <c r="CD40" s="266">
        <f ca="1">Q40*IFERROR(INDEX(Algorithms!$G:$G,MATCH($C40&amp;"_Therm Saved per Unit- MLA",Algorithms!$A:$A,0)),0)*AA40</f>
        <v>0</v>
      </c>
      <c r="CE40" s="266">
        <f ca="1">IFERROR(INDEX(Algorithms!$G:$G,MATCH($C40&amp;"_Lifetime (years)",Algorithms!$A:$A,0)),0)</f>
        <v>10</v>
      </c>
      <c r="CF40" s="266">
        <f ca="1">IFERROR(INDEX(Algorithms!$G:$G,MATCH($C40&amp;"_Lifetime (years) - Remaining Years",Algorithms!$A:$A,0)),0)</f>
        <v>0</v>
      </c>
      <c r="CG40" s="266">
        <f t="shared" ca="1" si="31"/>
        <v>8677.8478140884927</v>
      </c>
      <c r="CH40" s="266">
        <f t="shared" ca="1" si="32"/>
        <v>7801.2975298371293</v>
      </c>
      <c r="CI40" s="266">
        <f t="shared" ca="1" si="33"/>
        <v>6924.7472455857669</v>
      </c>
      <c r="CJ40" s="266">
        <f t="shared" ca="1" si="34"/>
        <v>6048.1969613344027</v>
      </c>
      <c r="CK40" s="266">
        <f t="shared" si="35"/>
        <v>943.63229443687214</v>
      </c>
      <c r="CL40" s="266">
        <f t="shared" si="36"/>
        <v>830.4566189318441</v>
      </c>
      <c r="CM40" s="266">
        <f t="shared" ca="1" si="37"/>
        <v>737.14688646759191</v>
      </c>
      <c r="CN40" s="266">
        <f t="shared" ca="1" si="38"/>
        <v>643.83715400333972</v>
      </c>
      <c r="CO40" s="266">
        <f ca="1">N40*IFERROR(INDEX(Algorithms!$G:$G,MATCH($C40&amp;"_Therm Saved per Unit- MLA",Algorithms!$A:$A,0)),0)*X40</f>
        <v>0</v>
      </c>
      <c r="CP40" s="266">
        <f ca="1">O40*IFERROR(INDEX(Algorithms!$G:$G,MATCH($C40&amp;"_Therm Saved per Unit- MLA",Algorithms!$A:$A,0)),0)*Y40</f>
        <v>0</v>
      </c>
      <c r="CQ40" s="266">
        <f ca="1">P40*IFERROR(INDEX(Algorithms!$G:$G,MATCH($C40&amp;"_Therm Saved per Unit- MLA",Algorithms!$A:$A,0)),0)*Z40</f>
        <v>0</v>
      </c>
      <c r="CR40" s="266">
        <f ca="1">Q40*IFERROR(INDEX(Algorithms!$G:$G,MATCH($C40&amp;"_Therm Saved per Unit- MLA",Algorithms!$A:$A,0)),0)*AA40</f>
        <v>0</v>
      </c>
      <c r="CS40" s="266">
        <f ca="1">IFERROR(INDEX(Algorithms!$G:$G,MATCH($C40&amp;"_Lifetime (years)",Algorithms!$A:$A,0)),0)</f>
        <v>10</v>
      </c>
      <c r="CT40" s="266">
        <f ca="1">IFERROR(INDEX(Algorithms!$G:$G,MATCH($C40&amp;"_Lifetime (years) - Remaining Years",Algorithms!$A:$A,0)),0)</f>
        <v>0</v>
      </c>
      <c r="CU40" s="266">
        <f t="shared" ca="1" si="39"/>
        <v>9436.3229443687214</v>
      </c>
      <c r="CV40" s="266">
        <f t="shared" ca="1" si="40"/>
        <v>8304.5661893184406</v>
      </c>
      <c r="CW40" s="266">
        <f t="shared" ca="1" si="41"/>
        <v>7371.4688646759187</v>
      </c>
      <c r="CX40" s="266">
        <f t="shared" ca="1" si="42"/>
        <v>6438.3715400333967</v>
      </c>
    </row>
    <row r="41" spans="2:102" s="47" customFormat="1" ht="18" customHeight="1" x14ac:dyDescent="0.25">
      <c r="B41" t="str">
        <f t="shared" si="43"/>
        <v>NSG_Income Eligible_Multi-Family_Whole Building - DI_Pipe Insulation_DHW_MF</v>
      </c>
      <c r="C41" s="47" t="str">
        <f t="shared" si="6"/>
        <v>Pipe Insulation_DHW_MF</v>
      </c>
      <c r="D41" s="270" t="s">
        <v>1787</v>
      </c>
      <c r="E41" s="270" t="s">
        <v>325</v>
      </c>
      <c r="F41" s="270" t="s">
        <v>1422</v>
      </c>
      <c r="G41" s="270" t="s">
        <v>1812</v>
      </c>
      <c r="H41" s="270" t="s">
        <v>404</v>
      </c>
      <c r="I41" s="270" t="s">
        <v>1019</v>
      </c>
      <c r="J41" s="270" t="s">
        <v>553</v>
      </c>
      <c r="K41" s="263">
        <v>1</v>
      </c>
      <c r="L41" s="263" t="str">
        <f ca="1">IFERROR(INDEX(Algorithms!J:J,MATCH($C41&amp;"_Therm Saved per Unit",Algorithms!$A:$A,0)),"n/a")</f>
        <v>5.4.1</v>
      </c>
      <c r="M41" s="263" t="str">
        <f>IFERROR(INDEX('Measure Level Detail'!$N:$N,MATCH($B41,'Measure Level Detail'!$B:$B,0)),0)</f>
        <v>ft</v>
      </c>
      <c r="N41" s="271">
        <f>IFERROR(INDEX('Measure Level Detail'!$P:$P,MATCH($B41&amp;"_"&amp;N$3,'Measure Level Detail'!$C:$C,0)),0)</f>
        <v>45</v>
      </c>
      <c r="O41" s="271">
        <f>IFERROR(INDEX('Measure Level Detail'!$P:$P,MATCH($B41&amp;"_"&amp;O$3,'Measure Level Detail'!$C:$C,0)),0)</f>
        <v>45</v>
      </c>
      <c r="P41" s="271">
        <f>IFERROR(INDEX('Measure Level Detail'!$P:$P,MATCH($B41&amp;"_"&amp;P$3,'Measure Level Detail'!$C:$C,0)),0)</f>
        <v>45</v>
      </c>
      <c r="Q41" s="271">
        <f>IFERROR(INDEX('Measure Level Detail'!$P:$P,MATCH($B41&amp;"_"&amp;Q$3,'Measure Level Detail'!$C:$C,0)),0)</f>
        <v>45</v>
      </c>
      <c r="R41" s="263" t="str">
        <f ca="1">IFERROR(INDEX(Algorithms!K:K,MATCH($C41&amp;"_Therm Saved per Unit",Algorithms!$A:$A,0)),"n/a")</f>
        <v>RS-HWE-PINS-V07-240101</v>
      </c>
      <c r="S41" s="262"/>
      <c r="T41" s="272">
        <v>0.88266670517205537</v>
      </c>
      <c r="U41" s="272">
        <v>0.88266670517205537</v>
      </c>
      <c r="V41" s="272">
        <v>0.88266670517205537</v>
      </c>
      <c r="W41" s="272">
        <v>0.88266670517205537</v>
      </c>
      <c r="X41" s="273">
        <f>IFERROR(INDEX('Measure Level Detail'!$R:$R,MATCH($B41&amp;"_"&amp;X$3,'Measure Level Detail'!$C:$C,0)),0)</f>
        <v>1</v>
      </c>
      <c r="Y41" s="273">
        <f>IFERROR(INDEX('Measure Level Detail'!$R:$R,MATCH($B41&amp;"_"&amp;Y$3,'Measure Level Detail'!$C:$C,0)),0)</f>
        <v>1</v>
      </c>
      <c r="Z41" s="273">
        <f>IFERROR(INDEX('Measure Level Detail'!$R:$R,MATCH($B41&amp;"_"&amp;Z$3,'Measure Level Detail'!$C:$C,0)),0)</f>
        <v>1</v>
      </c>
      <c r="AA41" s="273">
        <f>IFERROR(INDEX('Measure Level Detail'!$R:$R,MATCH($B41&amp;"_"&amp;AA$3,'Measure Level Detail'!$C:$C,0)),0)</f>
        <v>1</v>
      </c>
      <c r="AB41" s="266">
        <f t="shared" si="7"/>
        <v>39.720001732742489</v>
      </c>
      <c r="AC41" s="266">
        <f t="shared" si="8"/>
        <v>39.720001732742489</v>
      </c>
      <c r="AD41" s="266">
        <f t="shared" si="9"/>
        <v>39.720001732742489</v>
      </c>
      <c r="AE41" s="266">
        <f t="shared" si="10"/>
        <v>39.720001732742489</v>
      </c>
      <c r="AF41" s="266">
        <f t="shared" si="11"/>
        <v>158.88000693096996</v>
      </c>
      <c r="AG41" s="274">
        <v>1</v>
      </c>
      <c r="AH41" s="274">
        <v>1</v>
      </c>
      <c r="AI41" s="274">
        <v>1</v>
      </c>
      <c r="AJ41" s="274">
        <v>1</v>
      </c>
      <c r="AK41" s="274">
        <f t="shared" si="12"/>
        <v>1</v>
      </c>
      <c r="AL41" s="274">
        <f t="shared" si="13"/>
        <v>1</v>
      </c>
      <c r="AM41" s="274">
        <f t="shared" si="14"/>
        <v>1</v>
      </c>
      <c r="AN41" s="274">
        <f t="shared" si="15"/>
        <v>1</v>
      </c>
      <c r="AO41" s="262"/>
      <c r="AP41" s="262"/>
      <c r="AQ41" s="267">
        <v>2.4087097696290445</v>
      </c>
      <c r="AR41" s="262"/>
      <c r="AS41" s="266">
        <f t="shared" si="16"/>
        <v>108.391939633307</v>
      </c>
      <c r="AT41" s="264">
        <f t="shared" si="17"/>
        <v>68.671937900564515</v>
      </c>
      <c r="AU41" s="262"/>
      <c r="AV41" s="262"/>
      <c r="AW41" s="265">
        <v>2.4087097696290445</v>
      </c>
      <c r="AX41" s="164" t="s">
        <v>2392</v>
      </c>
      <c r="AY41" s="266">
        <v>108.391939633307</v>
      </c>
      <c r="AZ41" s="266">
        <f t="shared" si="45"/>
        <v>108.391939633307</v>
      </c>
      <c r="BA41" s="264">
        <f t="shared" si="18"/>
        <v>68.671937900564515</v>
      </c>
      <c r="BB41" s="262"/>
      <c r="BC41" s="262"/>
      <c r="BD41" s="265">
        <f ca="1">IFERROR(INDEX(Algorithms!$G:$G,MATCH($C41&amp;"_Therm Saved per Unit",Algorithms!$A:$A,0)),0)</f>
        <v>2.4087097696290445</v>
      </c>
      <c r="BE41" s="164">
        <f ca="1">IFERROR(INDEX('v12 Revisions'!$P$29:$P$186, MATCH('Measure-Level Adj Gas'!$L41, 'v12 Revisions'!$D$29:$D$186,0)),"")</f>
        <v>0</v>
      </c>
      <c r="BF41" s="266">
        <f t="shared" ca="1" si="19"/>
        <v>108.391939633307</v>
      </c>
      <c r="BG41" s="264">
        <f t="shared" ca="1" si="20"/>
        <v>68.671937900564515</v>
      </c>
      <c r="BH41" s="262"/>
      <c r="BI41" s="262"/>
      <c r="BJ41" s="265">
        <f ca="1">IFERROR(INDEX(Algorithms!$G:$G,MATCH($C41&amp;"_Therm Saved per Unit",Algorithms!$A:$A,0)),0)</f>
        <v>2.4087097696290445</v>
      </c>
      <c r="BK41" s="164"/>
      <c r="BL41" s="266">
        <f t="shared" ca="1" si="21"/>
        <v>108.391939633307</v>
      </c>
      <c r="BM41" s="264">
        <f t="shared" ca="1" si="22"/>
        <v>68.671937900564515</v>
      </c>
      <c r="BN41" s="266">
        <f t="shared" si="23"/>
        <v>108.391939633307</v>
      </c>
      <c r="BO41" s="266">
        <f t="shared" si="44"/>
        <v>108.391939633307</v>
      </c>
      <c r="BP41" s="266">
        <f t="shared" ca="1" si="24"/>
        <v>108.391939633307</v>
      </c>
      <c r="BQ41" s="266">
        <f t="shared" ca="1" si="25"/>
        <v>108.391939633307</v>
      </c>
      <c r="BR41" s="268">
        <f t="shared" ca="1" si="26"/>
        <v>433.56775853322802</v>
      </c>
      <c r="BS41" s="262" t="s">
        <v>99</v>
      </c>
      <c r="BT41" s="164"/>
      <c r="BW41" s="266">
        <f t="shared" si="27"/>
        <v>39.720001732742489</v>
      </c>
      <c r="BX41" s="266">
        <f t="shared" si="28"/>
        <v>39.720001732742489</v>
      </c>
      <c r="BY41" s="266">
        <f t="shared" si="29"/>
        <v>39.720001732742489</v>
      </c>
      <c r="BZ41" s="266">
        <f t="shared" si="30"/>
        <v>39.720001732742489</v>
      </c>
      <c r="CA41" s="266">
        <f ca="1">N41*IFERROR(INDEX(Algorithms!$G:$G,MATCH($C41&amp;"_Therm Saved per Unit- MLA",Algorithms!$A:$A,0)),0)*X41</f>
        <v>0</v>
      </c>
      <c r="CB41" s="266">
        <f ca="1">O41*IFERROR(INDEX(Algorithms!$G:$G,MATCH($C41&amp;"_Therm Saved per Unit- MLA",Algorithms!$A:$A,0)),0)*Y41</f>
        <v>0</v>
      </c>
      <c r="CC41" s="266">
        <f ca="1">P41*IFERROR(INDEX(Algorithms!$G:$G,MATCH($C41&amp;"_Therm Saved per Unit- MLA",Algorithms!$A:$A,0)),0)*Z41</f>
        <v>0</v>
      </c>
      <c r="CD41" s="266">
        <f ca="1">Q41*IFERROR(INDEX(Algorithms!$G:$G,MATCH($C41&amp;"_Therm Saved per Unit- MLA",Algorithms!$A:$A,0)),0)*AA41</f>
        <v>0</v>
      </c>
      <c r="CE41" s="266">
        <f ca="1">IFERROR(INDEX(Algorithms!$G:$G,MATCH($C41&amp;"_Lifetime (years)",Algorithms!$A:$A,0)),0)</f>
        <v>15</v>
      </c>
      <c r="CF41" s="266">
        <f ca="1">IFERROR(INDEX(Algorithms!$G:$G,MATCH($C41&amp;"_Lifetime (years) - Remaining Years",Algorithms!$A:$A,0)),0)</f>
        <v>0</v>
      </c>
      <c r="CG41" s="266">
        <f t="shared" ca="1" si="31"/>
        <v>595.80002599113732</v>
      </c>
      <c r="CH41" s="266">
        <f t="shared" ca="1" si="32"/>
        <v>595.80002599113732</v>
      </c>
      <c r="CI41" s="266">
        <f t="shared" ca="1" si="33"/>
        <v>595.80002599113732</v>
      </c>
      <c r="CJ41" s="266">
        <f t="shared" ca="1" si="34"/>
        <v>595.80002599113732</v>
      </c>
      <c r="CK41" s="266">
        <f t="shared" si="35"/>
        <v>108.391939633307</v>
      </c>
      <c r="CL41" s="266">
        <f t="shared" si="36"/>
        <v>108.391939633307</v>
      </c>
      <c r="CM41" s="266">
        <f t="shared" ca="1" si="37"/>
        <v>108.391939633307</v>
      </c>
      <c r="CN41" s="266">
        <f t="shared" ca="1" si="38"/>
        <v>108.391939633307</v>
      </c>
      <c r="CO41" s="266">
        <f ca="1">N41*IFERROR(INDEX(Algorithms!$G:$G,MATCH($C41&amp;"_Therm Saved per Unit- MLA",Algorithms!$A:$A,0)),0)*X41</f>
        <v>0</v>
      </c>
      <c r="CP41" s="266">
        <f ca="1">O41*IFERROR(INDEX(Algorithms!$G:$G,MATCH($C41&amp;"_Therm Saved per Unit- MLA",Algorithms!$A:$A,0)),0)*Y41</f>
        <v>0</v>
      </c>
      <c r="CQ41" s="266">
        <f ca="1">P41*IFERROR(INDEX(Algorithms!$G:$G,MATCH($C41&amp;"_Therm Saved per Unit- MLA",Algorithms!$A:$A,0)),0)*Z41</f>
        <v>0</v>
      </c>
      <c r="CR41" s="266">
        <f ca="1">Q41*IFERROR(INDEX(Algorithms!$G:$G,MATCH($C41&amp;"_Therm Saved per Unit- MLA",Algorithms!$A:$A,0)),0)*AA41</f>
        <v>0</v>
      </c>
      <c r="CS41" s="266">
        <f ca="1">IFERROR(INDEX(Algorithms!$G:$G,MATCH($C41&amp;"_Lifetime (years)",Algorithms!$A:$A,0)),0)</f>
        <v>15</v>
      </c>
      <c r="CT41" s="266">
        <f ca="1">IFERROR(INDEX(Algorithms!$G:$G,MATCH($C41&amp;"_Lifetime (years) - Remaining Years",Algorithms!$A:$A,0)),0)</f>
        <v>0</v>
      </c>
      <c r="CU41" s="266">
        <f t="shared" ca="1" si="39"/>
        <v>1625.8790944996051</v>
      </c>
      <c r="CV41" s="266">
        <f t="shared" ca="1" si="40"/>
        <v>1625.8790944996051</v>
      </c>
      <c r="CW41" s="266">
        <f t="shared" ca="1" si="41"/>
        <v>1625.8790944996051</v>
      </c>
      <c r="CX41" s="266">
        <f t="shared" ca="1" si="42"/>
        <v>1625.8790944996051</v>
      </c>
    </row>
    <row r="42" spans="2:102" s="47" customFormat="1" ht="18" customHeight="1" x14ac:dyDescent="0.25">
      <c r="B42" t="str">
        <f t="shared" si="43"/>
        <v>NSG_Income Eligible_Multi-Family_Whole Building - Public Housing_Pipe Insulation_DHW_MF</v>
      </c>
      <c r="C42" s="47" t="str">
        <f t="shared" si="6"/>
        <v>Pipe Insulation_DHW_MF</v>
      </c>
      <c r="D42" s="270" t="s">
        <v>1787</v>
      </c>
      <c r="E42" s="270" t="s">
        <v>325</v>
      </c>
      <c r="F42" s="270" t="s">
        <v>1422</v>
      </c>
      <c r="G42" s="270" t="s">
        <v>1817</v>
      </c>
      <c r="H42" s="270" t="s">
        <v>404</v>
      </c>
      <c r="I42" s="270" t="s">
        <v>1019</v>
      </c>
      <c r="J42" s="270" t="s">
        <v>553</v>
      </c>
      <c r="K42" s="263">
        <v>1</v>
      </c>
      <c r="L42" s="263" t="str">
        <f ca="1">IFERROR(INDEX(Algorithms!J:J,MATCH($C42&amp;"_Therm Saved per Unit",Algorithms!$A:$A,0)),"n/a")</f>
        <v>5.4.1</v>
      </c>
      <c r="M42" s="263" t="str">
        <f>IFERROR(INDEX('Measure Level Detail'!$N:$N,MATCH($B42,'Measure Level Detail'!$B:$B,0)),0)</f>
        <v>each</v>
      </c>
      <c r="N42" s="271">
        <f>IFERROR(INDEX('Measure Level Detail'!$P:$P,MATCH($B42&amp;"_"&amp;N$3,'Measure Level Detail'!$C:$C,0)),0)</f>
        <v>45</v>
      </c>
      <c r="O42" s="271">
        <f>IFERROR(INDEX('Measure Level Detail'!$P:$P,MATCH($B42&amp;"_"&amp;O$3,'Measure Level Detail'!$C:$C,0)),0)</f>
        <v>45</v>
      </c>
      <c r="P42" s="271">
        <f>IFERROR(INDEX('Measure Level Detail'!$P:$P,MATCH($B42&amp;"_"&amp;P$3,'Measure Level Detail'!$C:$C,0)),0)</f>
        <v>45</v>
      </c>
      <c r="Q42" s="271">
        <f>IFERROR(INDEX('Measure Level Detail'!$P:$P,MATCH($B42&amp;"_"&amp;Q$3,'Measure Level Detail'!$C:$C,0)),0)</f>
        <v>45</v>
      </c>
      <c r="R42" s="263" t="str">
        <f ca="1">IFERROR(INDEX(Algorithms!K:K,MATCH($C42&amp;"_Therm Saved per Unit",Algorithms!$A:$A,0)),"n/a")</f>
        <v>RS-HWE-PINS-V07-240101</v>
      </c>
      <c r="S42" s="262"/>
      <c r="T42" s="272">
        <v>0.88266670517205537</v>
      </c>
      <c r="U42" s="272">
        <v>0.88266670517205537</v>
      </c>
      <c r="V42" s="272">
        <v>0.88266670517205537</v>
      </c>
      <c r="W42" s="272">
        <v>0.88266670517205537</v>
      </c>
      <c r="X42" s="273">
        <f>IFERROR(INDEX('Measure Level Detail'!$R:$R,MATCH($B42&amp;"_"&amp;X$3,'Measure Level Detail'!$C:$C,0)),0)</f>
        <v>1</v>
      </c>
      <c r="Y42" s="273">
        <f>IFERROR(INDEX('Measure Level Detail'!$R:$R,MATCH($B42&amp;"_"&amp;Y$3,'Measure Level Detail'!$C:$C,0)),0)</f>
        <v>1</v>
      </c>
      <c r="Z42" s="273">
        <f>IFERROR(INDEX('Measure Level Detail'!$R:$R,MATCH($B42&amp;"_"&amp;Z$3,'Measure Level Detail'!$C:$C,0)),0)</f>
        <v>1</v>
      </c>
      <c r="AA42" s="273">
        <f>IFERROR(INDEX('Measure Level Detail'!$R:$R,MATCH($B42&amp;"_"&amp;AA$3,'Measure Level Detail'!$C:$C,0)),0)</f>
        <v>1</v>
      </c>
      <c r="AB42" s="266">
        <f t="shared" si="7"/>
        <v>39.720001732742489</v>
      </c>
      <c r="AC42" s="266">
        <f t="shared" si="8"/>
        <v>39.720001732742489</v>
      </c>
      <c r="AD42" s="266">
        <f t="shared" si="9"/>
        <v>39.720001732742489</v>
      </c>
      <c r="AE42" s="266">
        <f t="shared" si="10"/>
        <v>39.720001732742489</v>
      </c>
      <c r="AF42" s="266">
        <f t="shared" si="11"/>
        <v>158.88000693096996</v>
      </c>
      <c r="AG42" s="274">
        <v>1</v>
      </c>
      <c r="AH42" s="274">
        <v>1</v>
      </c>
      <c r="AI42" s="274">
        <v>1</v>
      </c>
      <c r="AJ42" s="274">
        <v>1</v>
      </c>
      <c r="AK42" s="274">
        <f t="shared" si="12"/>
        <v>1</v>
      </c>
      <c r="AL42" s="274">
        <f t="shared" si="13"/>
        <v>1</v>
      </c>
      <c r="AM42" s="274">
        <f t="shared" si="14"/>
        <v>1</v>
      </c>
      <c r="AN42" s="274">
        <f t="shared" si="15"/>
        <v>1</v>
      </c>
      <c r="AO42" s="262"/>
      <c r="AP42" s="262"/>
      <c r="AQ42" s="267">
        <v>2.4087097696290445</v>
      </c>
      <c r="AR42" s="262"/>
      <c r="AS42" s="266">
        <f t="shared" si="16"/>
        <v>108.391939633307</v>
      </c>
      <c r="AT42" s="264">
        <f t="shared" si="17"/>
        <v>68.671937900564515</v>
      </c>
      <c r="AU42" s="262"/>
      <c r="AV42" s="262"/>
      <c r="AW42" s="265">
        <v>2.4087097696290445</v>
      </c>
      <c r="AX42" s="164" t="s">
        <v>2392</v>
      </c>
      <c r="AY42" s="266">
        <v>108.391939633307</v>
      </c>
      <c r="AZ42" s="266">
        <f t="shared" si="45"/>
        <v>108.391939633307</v>
      </c>
      <c r="BA42" s="264">
        <f t="shared" si="18"/>
        <v>68.671937900564515</v>
      </c>
      <c r="BB42" s="262"/>
      <c r="BC42" s="262"/>
      <c r="BD42" s="265">
        <f ca="1">IFERROR(INDEX(Algorithms!$G:$G,MATCH($C42&amp;"_Therm Saved per Unit",Algorithms!$A:$A,0)),0)</f>
        <v>2.4087097696290445</v>
      </c>
      <c r="BE42" s="164">
        <f ca="1">IFERROR(INDEX('v12 Revisions'!$P$29:$P$186, MATCH('Measure-Level Adj Gas'!$L42, 'v12 Revisions'!$D$29:$D$186,0)),"")</f>
        <v>0</v>
      </c>
      <c r="BF42" s="266">
        <f t="shared" ca="1" si="19"/>
        <v>108.391939633307</v>
      </c>
      <c r="BG42" s="264">
        <f t="shared" ca="1" si="20"/>
        <v>68.671937900564515</v>
      </c>
      <c r="BH42" s="262"/>
      <c r="BI42" s="262"/>
      <c r="BJ42" s="265">
        <f ca="1">IFERROR(INDEX(Algorithms!$G:$G,MATCH($C42&amp;"_Therm Saved per Unit",Algorithms!$A:$A,0)),0)</f>
        <v>2.4087097696290445</v>
      </c>
      <c r="BK42" s="164"/>
      <c r="BL42" s="266">
        <f t="shared" ca="1" si="21"/>
        <v>108.391939633307</v>
      </c>
      <c r="BM42" s="264">
        <f t="shared" ca="1" si="22"/>
        <v>68.671937900564515</v>
      </c>
      <c r="BN42" s="266">
        <f t="shared" si="23"/>
        <v>108.391939633307</v>
      </c>
      <c r="BO42" s="266">
        <f t="shared" si="44"/>
        <v>108.391939633307</v>
      </c>
      <c r="BP42" s="266">
        <f t="shared" ca="1" si="24"/>
        <v>108.391939633307</v>
      </c>
      <c r="BQ42" s="266">
        <f t="shared" ca="1" si="25"/>
        <v>108.391939633307</v>
      </c>
      <c r="BR42" s="268">
        <f t="shared" ca="1" si="26"/>
        <v>433.56775853322802</v>
      </c>
      <c r="BS42" s="262" t="s">
        <v>99</v>
      </c>
      <c r="BT42" s="164"/>
      <c r="BW42" s="266">
        <f t="shared" si="27"/>
        <v>39.720001732742489</v>
      </c>
      <c r="BX42" s="266">
        <f t="shared" si="28"/>
        <v>39.720001732742489</v>
      </c>
      <c r="BY42" s="266">
        <f t="shared" si="29"/>
        <v>39.720001732742489</v>
      </c>
      <c r="BZ42" s="266">
        <f t="shared" si="30"/>
        <v>39.720001732742489</v>
      </c>
      <c r="CA42" s="266">
        <f ca="1">N42*IFERROR(INDEX(Algorithms!$G:$G,MATCH($C42&amp;"_Therm Saved per Unit- MLA",Algorithms!$A:$A,0)),0)*X42</f>
        <v>0</v>
      </c>
      <c r="CB42" s="266">
        <f ca="1">O42*IFERROR(INDEX(Algorithms!$G:$G,MATCH($C42&amp;"_Therm Saved per Unit- MLA",Algorithms!$A:$A,0)),0)*Y42</f>
        <v>0</v>
      </c>
      <c r="CC42" s="266">
        <f ca="1">P42*IFERROR(INDEX(Algorithms!$G:$G,MATCH($C42&amp;"_Therm Saved per Unit- MLA",Algorithms!$A:$A,0)),0)*Z42</f>
        <v>0</v>
      </c>
      <c r="CD42" s="266">
        <f ca="1">Q42*IFERROR(INDEX(Algorithms!$G:$G,MATCH($C42&amp;"_Therm Saved per Unit- MLA",Algorithms!$A:$A,0)),0)*AA42</f>
        <v>0</v>
      </c>
      <c r="CE42" s="266">
        <f ca="1">IFERROR(INDEX(Algorithms!$G:$G,MATCH($C42&amp;"_Lifetime (years)",Algorithms!$A:$A,0)),0)</f>
        <v>15</v>
      </c>
      <c r="CF42" s="266">
        <f ca="1">IFERROR(INDEX(Algorithms!$G:$G,MATCH($C42&amp;"_Lifetime (years) - Remaining Years",Algorithms!$A:$A,0)),0)</f>
        <v>0</v>
      </c>
      <c r="CG42" s="266">
        <f t="shared" ca="1" si="31"/>
        <v>595.80002599113732</v>
      </c>
      <c r="CH42" s="266">
        <f t="shared" ca="1" si="32"/>
        <v>595.80002599113732</v>
      </c>
      <c r="CI42" s="266">
        <f t="shared" ca="1" si="33"/>
        <v>595.80002599113732</v>
      </c>
      <c r="CJ42" s="266">
        <f t="shared" ca="1" si="34"/>
        <v>595.80002599113732</v>
      </c>
      <c r="CK42" s="266">
        <f t="shared" si="35"/>
        <v>108.391939633307</v>
      </c>
      <c r="CL42" s="266">
        <f t="shared" si="36"/>
        <v>108.391939633307</v>
      </c>
      <c r="CM42" s="266">
        <f t="shared" ca="1" si="37"/>
        <v>108.391939633307</v>
      </c>
      <c r="CN42" s="266">
        <f t="shared" ca="1" si="38"/>
        <v>108.391939633307</v>
      </c>
      <c r="CO42" s="266">
        <f ca="1">N42*IFERROR(INDEX(Algorithms!$G:$G,MATCH($C42&amp;"_Therm Saved per Unit- MLA",Algorithms!$A:$A,0)),0)*X42</f>
        <v>0</v>
      </c>
      <c r="CP42" s="266">
        <f ca="1">O42*IFERROR(INDEX(Algorithms!$G:$G,MATCH($C42&amp;"_Therm Saved per Unit- MLA",Algorithms!$A:$A,0)),0)*Y42</f>
        <v>0</v>
      </c>
      <c r="CQ42" s="266">
        <f ca="1">P42*IFERROR(INDEX(Algorithms!$G:$G,MATCH($C42&amp;"_Therm Saved per Unit- MLA",Algorithms!$A:$A,0)),0)*Z42</f>
        <v>0</v>
      </c>
      <c r="CR42" s="266">
        <f ca="1">Q42*IFERROR(INDEX(Algorithms!$G:$G,MATCH($C42&amp;"_Therm Saved per Unit- MLA",Algorithms!$A:$A,0)),0)*AA42</f>
        <v>0</v>
      </c>
      <c r="CS42" s="266">
        <f ca="1">IFERROR(INDEX(Algorithms!$G:$G,MATCH($C42&amp;"_Lifetime (years)",Algorithms!$A:$A,0)),0)</f>
        <v>15</v>
      </c>
      <c r="CT42" s="266">
        <f ca="1">IFERROR(INDEX(Algorithms!$G:$G,MATCH($C42&amp;"_Lifetime (years) - Remaining Years",Algorithms!$A:$A,0)),0)</f>
        <v>0</v>
      </c>
      <c r="CU42" s="266">
        <f t="shared" ca="1" si="39"/>
        <v>1625.8790944996051</v>
      </c>
      <c r="CV42" s="266">
        <f t="shared" ca="1" si="40"/>
        <v>1625.8790944996051</v>
      </c>
      <c r="CW42" s="266">
        <f t="shared" ca="1" si="41"/>
        <v>1625.8790944996051</v>
      </c>
      <c r="CX42" s="266">
        <f t="shared" ca="1" si="42"/>
        <v>1625.8790944996051</v>
      </c>
    </row>
    <row r="43" spans="2:102" s="47" customFormat="1" ht="18" customHeight="1" x14ac:dyDescent="0.25">
      <c r="B43" t="str">
        <f t="shared" si="43"/>
        <v>NSG_Residential_Home Energy Rebate_Standard Rebate_Tankless Water Heater_0_SF</v>
      </c>
      <c r="C43" s="47" t="str">
        <f t="shared" si="6"/>
        <v>Tankless Water Heater_0_SF</v>
      </c>
      <c r="D43" s="270" t="s">
        <v>1787</v>
      </c>
      <c r="E43" s="270" t="s">
        <v>2</v>
      </c>
      <c r="F43" s="270" t="s">
        <v>1417</v>
      </c>
      <c r="G43" s="270" t="s">
        <v>1418</v>
      </c>
      <c r="H43" s="270" t="s">
        <v>865</v>
      </c>
      <c r="I43" s="270">
        <v>0</v>
      </c>
      <c r="J43" s="270" t="s">
        <v>409</v>
      </c>
      <c r="K43" s="263">
        <v>1</v>
      </c>
      <c r="L43" s="263" t="str">
        <f ca="1">IFERROR(INDEX(Algorithms!J:J,MATCH($C43&amp;"_Therm Saved per Unit",Algorithms!$A:$A,0)),"n/a")</f>
        <v>5.4.2</v>
      </c>
      <c r="M43" s="263" t="str">
        <f>IFERROR(INDEX('Measure Level Detail'!$N:$N,MATCH($B43,'Measure Level Detail'!$B:$B,0)),0)</f>
        <v>each</v>
      </c>
      <c r="N43" s="271">
        <f>IFERROR(INDEX('Measure Level Detail'!$P:$P,MATCH($B43&amp;"_"&amp;N$3,'Measure Level Detail'!$C:$C,0)),0)</f>
        <v>30</v>
      </c>
      <c r="O43" s="271">
        <f>IFERROR(INDEX('Measure Level Detail'!$P:$P,MATCH($B43&amp;"_"&amp;O$3,'Measure Level Detail'!$C:$C,0)),0)</f>
        <v>20</v>
      </c>
      <c r="P43" s="271">
        <f>IFERROR(INDEX('Measure Level Detail'!$P:$P,MATCH($B43&amp;"_"&amp;P$3,'Measure Level Detail'!$C:$C,0)),0)</f>
        <v>10</v>
      </c>
      <c r="Q43" s="271">
        <f>IFERROR(INDEX('Measure Level Detail'!$P:$P,MATCH($B43&amp;"_"&amp;Q$3,'Measure Level Detail'!$C:$C,0)),0)</f>
        <v>5</v>
      </c>
      <c r="R43" s="263" t="str">
        <f ca="1">IFERROR(INDEX(Algorithms!K:K,MATCH($C43&amp;"_Therm Saved per Unit",Algorithms!$A:$A,0)),"n/a")</f>
        <v>RS-HWE-GWHT-V11-240101</v>
      </c>
      <c r="S43" s="262"/>
      <c r="T43" s="272">
        <v>64.074938492834164</v>
      </c>
      <c r="U43" s="272">
        <v>64.074938492834164</v>
      </c>
      <c r="V43" s="272">
        <v>64.074938492834164</v>
      </c>
      <c r="W43" s="272">
        <v>64.074938492834164</v>
      </c>
      <c r="X43" s="275">
        <v>0.74</v>
      </c>
      <c r="Y43" s="275">
        <v>0.74</v>
      </c>
      <c r="Z43" s="275">
        <v>0.74</v>
      </c>
      <c r="AA43" s="275">
        <v>0.74</v>
      </c>
      <c r="AB43" s="266">
        <f t="shared" si="7"/>
        <v>1422.4636345409185</v>
      </c>
      <c r="AC43" s="266">
        <f t="shared" si="8"/>
        <v>948.30908969394568</v>
      </c>
      <c r="AD43" s="266">
        <f t="shared" si="9"/>
        <v>474.15454484697284</v>
      </c>
      <c r="AE43" s="266">
        <f t="shared" si="10"/>
        <v>237.07727242348642</v>
      </c>
      <c r="AF43" s="266">
        <f t="shared" si="11"/>
        <v>3082.0045415053237</v>
      </c>
      <c r="AG43" s="274">
        <v>0.74</v>
      </c>
      <c r="AH43" s="274">
        <v>0.74</v>
      </c>
      <c r="AI43" s="274">
        <v>0.74</v>
      </c>
      <c r="AJ43" s="274">
        <v>0.74</v>
      </c>
      <c r="AK43" s="274">
        <f t="shared" si="12"/>
        <v>0.74</v>
      </c>
      <c r="AL43" s="274">
        <f t="shared" si="13"/>
        <v>0.74</v>
      </c>
      <c r="AM43" s="274">
        <f t="shared" si="14"/>
        <v>0.74</v>
      </c>
      <c r="AN43" s="274">
        <f t="shared" si="15"/>
        <v>0.74</v>
      </c>
      <c r="AO43" s="262"/>
      <c r="AP43" s="262"/>
      <c r="AQ43" s="267">
        <v>67.053069436867304</v>
      </c>
      <c r="AR43" s="262"/>
      <c r="AS43" s="266">
        <f t="shared" si="16"/>
        <v>1488.5781414984542</v>
      </c>
      <c r="AT43" s="264">
        <f t="shared" si="17"/>
        <v>66.114506957535696</v>
      </c>
      <c r="AU43" s="262"/>
      <c r="AV43" s="262"/>
      <c r="AW43" s="265">
        <v>67.053069436867304</v>
      </c>
      <c r="AX43" s="164" t="s">
        <v>1469</v>
      </c>
      <c r="AY43" s="266">
        <v>992.38542766563603</v>
      </c>
      <c r="AZ43" s="266">
        <f t="shared" si="45"/>
        <v>992.38542766563603</v>
      </c>
      <c r="BA43" s="264">
        <f t="shared" si="18"/>
        <v>44.07633797169035</v>
      </c>
      <c r="BB43" s="262"/>
      <c r="BC43" s="262"/>
      <c r="BD43" s="265">
        <f ca="1">IFERROR(INDEX(Algorithms!$G:$G,MATCH($C43&amp;"_Therm Saved per Unit",Algorithms!$A:$A,0)),0)</f>
        <v>68.304599248414632</v>
      </c>
      <c r="BE43" s="164" t="str">
        <f ca="1">IFERROR(INDEX('v12 Revisions'!$P$29:$P$186, MATCH('Measure-Level Adj Gas'!$L43, 'v12 Revisions'!$D$29:$D$186,0)),"")</f>
        <v>Baseline and efficient water heater criteria updated ; Updated measure life to 13.3 years for gas storage water heaters and 18.3 for gas instantaneous water heaters ; Updated incremental cost based on water heater type.</v>
      </c>
      <c r="BF43" s="266">
        <f t="shared" ca="1" si="19"/>
        <v>505.45403443826831</v>
      </c>
      <c r="BG43" s="264">
        <f t="shared" ca="1" si="20"/>
        <v>31.299489591295469</v>
      </c>
      <c r="BH43" s="262"/>
      <c r="BI43" s="262"/>
      <c r="BJ43" s="265">
        <f ca="1">IFERROR(INDEX(Algorithms!$G:$G,MATCH($C43&amp;"_Therm Saved per Unit",Algorithms!$A:$A,0)),0)</f>
        <v>68.304599248414632</v>
      </c>
      <c r="BK43" s="164"/>
      <c r="BL43" s="266">
        <f t="shared" ca="1" si="21"/>
        <v>252.72701721913415</v>
      </c>
      <c r="BM43" s="264">
        <f t="shared" ca="1" si="22"/>
        <v>15.649744795647734</v>
      </c>
      <c r="BN43" s="266">
        <f t="shared" si="23"/>
        <v>1488.5781414984542</v>
      </c>
      <c r="BO43" s="266">
        <f t="shared" si="44"/>
        <v>992.38542766563603</v>
      </c>
      <c r="BP43" s="266">
        <f t="shared" ca="1" si="24"/>
        <v>505.45403443826831</v>
      </c>
      <c r="BQ43" s="266">
        <f t="shared" ca="1" si="25"/>
        <v>252.72701721913415</v>
      </c>
      <c r="BR43" s="268">
        <f t="shared" ca="1" si="26"/>
        <v>3239.1446208214925</v>
      </c>
      <c r="BS43" s="262" t="s">
        <v>99</v>
      </c>
      <c r="BT43" s="164"/>
      <c r="BW43" s="266">
        <f t="shared" si="27"/>
        <v>1422.4636345409185</v>
      </c>
      <c r="BX43" s="266">
        <f t="shared" si="28"/>
        <v>948.30908969394568</v>
      </c>
      <c r="BY43" s="266">
        <f t="shared" si="29"/>
        <v>474.15454484697284</v>
      </c>
      <c r="BZ43" s="266">
        <f t="shared" si="30"/>
        <v>237.07727242348642</v>
      </c>
      <c r="CA43" s="266">
        <f ca="1">N43*IFERROR(INDEX(Algorithms!$G:$G,MATCH($C43&amp;"_Therm Saved per Unit- MLA",Algorithms!$A:$A,0)),0)*X43</f>
        <v>0</v>
      </c>
      <c r="CB43" s="266">
        <f ca="1">O43*IFERROR(INDEX(Algorithms!$G:$G,MATCH($C43&amp;"_Therm Saved per Unit- MLA",Algorithms!$A:$A,0)),0)*Y43</f>
        <v>0</v>
      </c>
      <c r="CC43" s="266">
        <f ca="1">P43*IFERROR(INDEX(Algorithms!$G:$G,MATCH($C43&amp;"_Therm Saved per Unit- MLA",Algorithms!$A:$A,0)),0)*Z43</f>
        <v>0</v>
      </c>
      <c r="CD43" s="266">
        <f ca="1">Q43*IFERROR(INDEX(Algorithms!$G:$G,MATCH($C43&amp;"_Therm Saved per Unit- MLA",Algorithms!$A:$A,0)),0)*AA43</f>
        <v>0</v>
      </c>
      <c r="CE43" s="266">
        <f ca="1">IFERROR(INDEX(Algorithms!$G:$G,MATCH($C43&amp;"_Lifetime (years)",Algorithms!$A:$A,0)),0)</f>
        <v>18.3</v>
      </c>
      <c r="CF43" s="266">
        <f ca="1">IFERROR(INDEX(Algorithms!$G:$G,MATCH($C43&amp;"_Lifetime (years) - Remaining Years",Algorithms!$A:$A,0)),0)</f>
        <v>0</v>
      </c>
      <c r="CG43" s="266">
        <f t="shared" ca="1" si="31"/>
        <v>26031.084512098809</v>
      </c>
      <c r="CH43" s="266">
        <f t="shared" ca="1" si="32"/>
        <v>17354.056341399206</v>
      </c>
      <c r="CI43" s="266">
        <f t="shared" ca="1" si="33"/>
        <v>8677.0281706996029</v>
      </c>
      <c r="CJ43" s="266">
        <f t="shared" ca="1" si="34"/>
        <v>4338.5140853498015</v>
      </c>
      <c r="CK43" s="266">
        <f t="shared" si="35"/>
        <v>1488.5781414984542</v>
      </c>
      <c r="CL43" s="266">
        <f t="shared" si="36"/>
        <v>992.38542766563603</v>
      </c>
      <c r="CM43" s="266">
        <f t="shared" ca="1" si="37"/>
        <v>505.45403443826831</v>
      </c>
      <c r="CN43" s="266">
        <f t="shared" ca="1" si="38"/>
        <v>252.72701721913415</v>
      </c>
      <c r="CO43" s="266">
        <f ca="1">N43*IFERROR(INDEX(Algorithms!$G:$G,MATCH($C43&amp;"_Therm Saved per Unit- MLA",Algorithms!$A:$A,0)),0)*X43</f>
        <v>0</v>
      </c>
      <c r="CP43" s="266">
        <f ca="1">O43*IFERROR(INDEX(Algorithms!$G:$G,MATCH($C43&amp;"_Therm Saved per Unit- MLA",Algorithms!$A:$A,0)),0)*Y43</f>
        <v>0</v>
      </c>
      <c r="CQ43" s="266">
        <f ca="1">P43*IFERROR(INDEX(Algorithms!$G:$G,MATCH($C43&amp;"_Therm Saved per Unit- MLA",Algorithms!$A:$A,0)),0)*Z43</f>
        <v>0</v>
      </c>
      <c r="CR43" s="266">
        <f ca="1">Q43*IFERROR(INDEX(Algorithms!$G:$G,MATCH($C43&amp;"_Therm Saved per Unit- MLA",Algorithms!$A:$A,0)),0)*AA43</f>
        <v>0</v>
      </c>
      <c r="CS43" s="266">
        <f ca="1">IFERROR(INDEX(Algorithms!$G:$G,MATCH($C43&amp;"_Lifetime (years)",Algorithms!$A:$A,0)),0)</f>
        <v>18.3</v>
      </c>
      <c r="CT43" s="266">
        <f ca="1">IFERROR(INDEX(Algorithms!$G:$G,MATCH($C43&amp;"_Lifetime (years) - Remaining Years",Algorithms!$A:$A,0)),0)</f>
        <v>0</v>
      </c>
      <c r="CU43" s="266">
        <f t="shared" ca="1" si="39"/>
        <v>27240.979989421714</v>
      </c>
      <c r="CV43" s="266">
        <f t="shared" ca="1" si="40"/>
        <v>18160.653326281139</v>
      </c>
      <c r="CW43" s="266">
        <f t="shared" ca="1" si="41"/>
        <v>9249.8088302203105</v>
      </c>
      <c r="CX43" s="266">
        <f t="shared" ca="1" si="42"/>
        <v>4624.9044151101552</v>
      </c>
    </row>
    <row r="44" spans="2:102" s="47" customFormat="1" ht="18" customHeight="1" x14ac:dyDescent="0.25">
      <c r="B44" t="str">
        <f t="shared" si="43"/>
        <v>NSG_Income Eligible_Multi-Family_IE Kits_Low Flow Kitchen Aerator_IE Kit_IE</v>
      </c>
      <c r="C44" s="47" t="str">
        <f t="shared" si="6"/>
        <v>Low Flow Kitchen Aerator_IE Kit_IE</v>
      </c>
      <c r="D44" s="270" t="s">
        <v>1787</v>
      </c>
      <c r="E44" s="270" t="s">
        <v>325</v>
      </c>
      <c r="F44" s="270" t="s">
        <v>1422</v>
      </c>
      <c r="G44" s="270" t="s">
        <v>1440</v>
      </c>
      <c r="H44" s="270" t="s">
        <v>533</v>
      </c>
      <c r="I44" s="270" t="s">
        <v>550</v>
      </c>
      <c r="J44" s="270" t="s">
        <v>551</v>
      </c>
      <c r="K44" s="263">
        <v>1</v>
      </c>
      <c r="L44" s="263" t="str">
        <f ca="1">IFERROR(INDEX(Algorithms!J:J,MATCH($C44&amp;"_Therm Saved per Unit",Algorithms!$A:$A,0)),"n/a")</f>
        <v>5.4.4</v>
      </c>
      <c r="M44" s="263" t="str">
        <f>IFERROR(INDEX('Measure Level Detail'!$N:$N,MATCH($B44,'Measure Level Detail'!$B:$B,0)),0)</f>
        <v>Each</v>
      </c>
      <c r="N44" s="271">
        <f>IFERROR(INDEX('Measure Level Detail'!$P:$P,MATCH($B44&amp;"_"&amp;N$3,'Measure Level Detail'!$C:$C,0)),0)</f>
        <v>140</v>
      </c>
      <c r="O44" s="271">
        <f>IFERROR(INDEX('Measure Level Detail'!$P:$P,MATCH($B44&amp;"_"&amp;O$3,'Measure Level Detail'!$C:$C,0)),0)</f>
        <v>140</v>
      </c>
      <c r="P44" s="271">
        <f>IFERROR(INDEX('Measure Level Detail'!$P:$P,MATCH($B44&amp;"_"&amp;P$3,'Measure Level Detail'!$C:$C,0)),0)</f>
        <v>140</v>
      </c>
      <c r="Q44" s="271">
        <f>IFERROR(INDEX('Measure Level Detail'!$P:$P,MATCH($B44&amp;"_"&amp;Q$3,'Measure Level Detail'!$C:$C,0)),0)</f>
        <v>140</v>
      </c>
      <c r="R44" s="263" t="str">
        <f ca="1">IFERROR(INDEX(Algorithms!K:K,MATCH($C44&amp;"_Therm Saved per Unit",Algorithms!$A:$A,0)),"n/a")</f>
        <v>RS-HWE-LFFA-V13-240101</v>
      </c>
      <c r="S44" s="262"/>
      <c r="T44" s="272">
        <v>4.9752596113338461</v>
      </c>
      <c r="U44" s="272">
        <v>4.9752596113338461</v>
      </c>
      <c r="V44" s="272">
        <v>4.9752596113338461</v>
      </c>
      <c r="W44" s="272">
        <v>4.9752596113338461</v>
      </c>
      <c r="X44" s="273">
        <f>IFERROR(INDEX('Measure Level Detail'!$R:$R,MATCH($B44&amp;"_"&amp;X$3,'Measure Level Detail'!$C:$C,0)),0)</f>
        <v>1</v>
      </c>
      <c r="Y44" s="273">
        <f>IFERROR(INDEX('Measure Level Detail'!$R:$R,MATCH($B44&amp;"_"&amp;Y$3,'Measure Level Detail'!$C:$C,0)),0)</f>
        <v>1</v>
      </c>
      <c r="Z44" s="273">
        <f>IFERROR(INDEX('Measure Level Detail'!$R:$R,MATCH($B44&amp;"_"&amp;Z$3,'Measure Level Detail'!$C:$C,0)),0)</f>
        <v>1</v>
      </c>
      <c r="AA44" s="273">
        <f>IFERROR(INDEX('Measure Level Detail'!$R:$R,MATCH($B44&amp;"_"&amp;AA$3,'Measure Level Detail'!$C:$C,0)),0)</f>
        <v>1</v>
      </c>
      <c r="AB44" s="266">
        <f t="shared" si="7"/>
        <v>696.53634558673843</v>
      </c>
      <c r="AC44" s="266">
        <f t="shared" si="8"/>
        <v>696.53634558673843</v>
      </c>
      <c r="AD44" s="266">
        <f t="shared" si="9"/>
        <v>696.53634558673843</v>
      </c>
      <c r="AE44" s="266">
        <f t="shared" si="10"/>
        <v>696.53634558673843</v>
      </c>
      <c r="AF44" s="266">
        <f t="shared" si="11"/>
        <v>2786.1453823469537</v>
      </c>
      <c r="AG44" s="274">
        <v>1</v>
      </c>
      <c r="AH44" s="274">
        <v>1</v>
      </c>
      <c r="AI44" s="274">
        <v>1</v>
      </c>
      <c r="AJ44" s="274">
        <v>1</v>
      </c>
      <c r="AK44" s="274">
        <f t="shared" si="12"/>
        <v>1</v>
      </c>
      <c r="AL44" s="274">
        <f t="shared" si="13"/>
        <v>1</v>
      </c>
      <c r="AM44" s="274">
        <f t="shared" si="14"/>
        <v>1</v>
      </c>
      <c r="AN44" s="274">
        <f t="shared" si="15"/>
        <v>1</v>
      </c>
      <c r="AO44" s="262"/>
      <c r="AP44" s="262"/>
      <c r="AQ44" s="267">
        <v>5.4101152071830771</v>
      </c>
      <c r="AR44" s="262"/>
      <c r="AS44" s="266">
        <f t="shared" si="16"/>
        <v>757.41612900563075</v>
      </c>
      <c r="AT44" s="264">
        <f t="shared" si="17"/>
        <v>60.879783418892316</v>
      </c>
      <c r="AU44" s="262"/>
      <c r="AV44" s="262"/>
      <c r="AW44" s="265">
        <v>5.4101152071830771</v>
      </c>
      <c r="AX44" s="164" t="s">
        <v>2392</v>
      </c>
      <c r="AY44" s="266">
        <v>757.41612900563075</v>
      </c>
      <c r="AZ44" s="266">
        <f t="shared" si="45"/>
        <v>757.41612900563075</v>
      </c>
      <c r="BA44" s="264">
        <f t="shared" si="18"/>
        <v>60.879783418892316</v>
      </c>
      <c r="BB44" s="262"/>
      <c r="BC44" s="262"/>
      <c r="BD44" s="265">
        <f ca="1">IFERROR(INDEX(Algorithms!$G:$G,MATCH($C44&amp;"_Therm Saved per Unit",Algorithms!$A:$A,0)),0)</f>
        <v>5.4101152071830771</v>
      </c>
      <c r="BE44" s="164" t="str">
        <f ca="1">IFERROR(INDEX('v12 Revisions'!$P$29:$P$186, MATCH('Measure-Level Adj Gas'!$L44, 'v12 Revisions'!$D$29:$D$186,0)),"")</f>
        <v>n/a - plan assumes Direct Install, not Distributed School Efficiency Kit.</v>
      </c>
      <c r="BF44" s="266">
        <f t="shared" ca="1" si="19"/>
        <v>757.41612900563075</v>
      </c>
      <c r="BG44" s="264">
        <f t="shared" ca="1" si="20"/>
        <v>60.879783418892316</v>
      </c>
      <c r="BH44" s="262"/>
      <c r="BI44" s="262"/>
      <c r="BJ44" s="265">
        <f ca="1">IFERROR(INDEX(Algorithms!$G:$G,MATCH($C44&amp;"_Therm Saved per Unit",Algorithms!$A:$A,0)),0)</f>
        <v>5.4101152071830771</v>
      </c>
      <c r="BK44" s="164"/>
      <c r="BL44" s="266">
        <f t="shared" ca="1" si="21"/>
        <v>757.41612900563075</v>
      </c>
      <c r="BM44" s="264">
        <f t="shared" ca="1" si="22"/>
        <v>60.879783418892316</v>
      </c>
      <c r="BN44" s="266">
        <f t="shared" si="23"/>
        <v>757.41612900563075</v>
      </c>
      <c r="BO44" s="266">
        <f t="shared" si="44"/>
        <v>757.41612900563075</v>
      </c>
      <c r="BP44" s="266">
        <f t="shared" ca="1" si="24"/>
        <v>757.41612900563075</v>
      </c>
      <c r="BQ44" s="266">
        <f t="shared" ca="1" si="25"/>
        <v>757.41612900563075</v>
      </c>
      <c r="BR44" s="268">
        <f t="shared" ca="1" si="26"/>
        <v>3029.664516022523</v>
      </c>
      <c r="BS44" s="262" t="s">
        <v>99</v>
      </c>
      <c r="BT44" s="164"/>
      <c r="BW44" s="266">
        <f t="shared" si="27"/>
        <v>696.53634558673843</v>
      </c>
      <c r="BX44" s="266">
        <f t="shared" si="28"/>
        <v>696.53634558673843</v>
      </c>
      <c r="BY44" s="266">
        <f t="shared" si="29"/>
        <v>696.53634558673843</v>
      </c>
      <c r="BZ44" s="266">
        <f t="shared" si="30"/>
        <v>696.53634558673843</v>
      </c>
      <c r="CA44" s="266">
        <f ca="1">N44*IFERROR(INDEX(Algorithms!$G:$G,MATCH($C44&amp;"_Therm Saved per Unit- MLA",Algorithms!$A:$A,0)),0)*X44</f>
        <v>0</v>
      </c>
      <c r="CB44" s="266">
        <f ca="1">O44*IFERROR(INDEX(Algorithms!$G:$G,MATCH($C44&amp;"_Therm Saved per Unit- MLA",Algorithms!$A:$A,0)),0)*Y44</f>
        <v>0</v>
      </c>
      <c r="CC44" s="266">
        <f ca="1">P44*IFERROR(INDEX(Algorithms!$G:$G,MATCH($C44&amp;"_Therm Saved per Unit- MLA",Algorithms!$A:$A,0)),0)*Z44</f>
        <v>0</v>
      </c>
      <c r="CD44" s="266">
        <f ca="1">Q44*IFERROR(INDEX(Algorithms!$G:$G,MATCH($C44&amp;"_Therm Saved per Unit- MLA",Algorithms!$A:$A,0)),0)*AA44</f>
        <v>0</v>
      </c>
      <c r="CE44" s="266">
        <f ca="1">IFERROR(INDEX(Algorithms!$G:$G,MATCH($C44&amp;"_Lifetime (years)",Algorithms!$A:$A,0)),0)</f>
        <v>10</v>
      </c>
      <c r="CF44" s="266">
        <f ca="1">IFERROR(INDEX(Algorithms!$G:$G,MATCH($C44&amp;"_Lifetime (years) - Remaining Years",Algorithms!$A:$A,0)),0)</f>
        <v>0</v>
      </c>
      <c r="CG44" s="266">
        <f t="shared" ca="1" si="31"/>
        <v>6965.3634558673839</v>
      </c>
      <c r="CH44" s="266">
        <f t="shared" ca="1" si="32"/>
        <v>6965.3634558673839</v>
      </c>
      <c r="CI44" s="266">
        <f t="shared" ca="1" si="33"/>
        <v>6965.3634558673839</v>
      </c>
      <c r="CJ44" s="266">
        <f t="shared" ca="1" si="34"/>
        <v>6965.3634558673839</v>
      </c>
      <c r="CK44" s="266">
        <f t="shared" si="35"/>
        <v>757.41612900563075</v>
      </c>
      <c r="CL44" s="266">
        <f t="shared" si="36"/>
        <v>757.41612900563075</v>
      </c>
      <c r="CM44" s="266">
        <f t="shared" ca="1" si="37"/>
        <v>757.41612900563075</v>
      </c>
      <c r="CN44" s="266">
        <f t="shared" ca="1" si="38"/>
        <v>757.41612900563075</v>
      </c>
      <c r="CO44" s="266">
        <f ca="1">N44*IFERROR(INDEX(Algorithms!$G:$G,MATCH($C44&amp;"_Therm Saved per Unit- MLA",Algorithms!$A:$A,0)),0)*X44</f>
        <v>0</v>
      </c>
      <c r="CP44" s="266">
        <f ca="1">O44*IFERROR(INDEX(Algorithms!$G:$G,MATCH($C44&amp;"_Therm Saved per Unit- MLA",Algorithms!$A:$A,0)),0)*Y44</f>
        <v>0</v>
      </c>
      <c r="CQ44" s="266">
        <f ca="1">P44*IFERROR(INDEX(Algorithms!$G:$G,MATCH($C44&amp;"_Therm Saved per Unit- MLA",Algorithms!$A:$A,0)),0)*Z44</f>
        <v>0</v>
      </c>
      <c r="CR44" s="266">
        <f ca="1">Q44*IFERROR(INDEX(Algorithms!$G:$G,MATCH($C44&amp;"_Therm Saved per Unit- MLA",Algorithms!$A:$A,0)),0)*AA44</f>
        <v>0</v>
      </c>
      <c r="CS44" s="266">
        <f ca="1">IFERROR(INDEX(Algorithms!$G:$G,MATCH($C44&amp;"_Lifetime (years)",Algorithms!$A:$A,0)),0)</f>
        <v>10</v>
      </c>
      <c r="CT44" s="266">
        <f ca="1">IFERROR(INDEX(Algorithms!$G:$G,MATCH($C44&amp;"_Lifetime (years) - Remaining Years",Algorithms!$A:$A,0)),0)</f>
        <v>0</v>
      </c>
      <c r="CU44" s="266">
        <f t="shared" ca="1" si="39"/>
        <v>7574.1612900563077</v>
      </c>
      <c r="CV44" s="266">
        <f t="shared" ca="1" si="40"/>
        <v>7574.1612900563077</v>
      </c>
      <c r="CW44" s="266">
        <f t="shared" ca="1" si="41"/>
        <v>7574.1612900563077</v>
      </c>
      <c r="CX44" s="266">
        <f t="shared" ca="1" si="42"/>
        <v>7574.1612900563077</v>
      </c>
    </row>
    <row r="45" spans="2:102" s="47" customFormat="1" ht="18" customHeight="1" x14ac:dyDescent="0.25">
      <c r="B45" t="str">
        <f t="shared" si="43"/>
        <v>NSG_Business_Public Sector_Rebates_Water Heater_≥75 MBH, ≥88% TE _CI</v>
      </c>
      <c r="C45" s="47" t="str">
        <f t="shared" si="6"/>
        <v>Water Heater_≥75 MBH, ≥88% TE _CI</v>
      </c>
      <c r="D45" s="270" t="s">
        <v>1787</v>
      </c>
      <c r="E45" s="270" t="s">
        <v>3</v>
      </c>
      <c r="F45" s="270" t="s">
        <v>1430</v>
      </c>
      <c r="G45" s="270" t="s">
        <v>1429</v>
      </c>
      <c r="H45" s="270" t="s">
        <v>8</v>
      </c>
      <c r="I45" s="270" t="s">
        <v>1293</v>
      </c>
      <c r="J45" s="270" t="s">
        <v>1159</v>
      </c>
      <c r="K45" s="263">
        <v>1</v>
      </c>
      <c r="L45" s="263" t="str">
        <f ca="1">IFERROR(INDEX(Algorithms!J:J,MATCH($C45&amp;"_Therm Saved per Unit",Algorithms!$A:$A,0)),"n/a")</f>
        <v>4.3.1</v>
      </c>
      <c r="M45" s="263" t="str">
        <f>IFERROR(INDEX('Measure Level Detail'!$N:$N,MATCH($B45,'Measure Level Detail'!$B:$B,0)),0)</f>
        <v>MBH</v>
      </c>
      <c r="N45" s="271">
        <f>IFERROR(INDEX('Measure Level Detail'!$P:$P,MATCH($B45&amp;"_"&amp;N$3,'Measure Level Detail'!$C:$C,0)),0)</f>
        <v>500</v>
      </c>
      <c r="O45" s="271">
        <f>IFERROR(INDEX('Measure Level Detail'!$P:$P,MATCH($B45&amp;"_"&amp;O$3,'Measure Level Detail'!$C:$C,0)),0)</f>
        <v>500</v>
      </c>
      <c r="P45" s="271">
        <f>IFERROR(INDEX('Measure Level Detail'!$P:$P,MATCH($B45&amp;"_"&amp;P$3,'Measure Level Detail'!$C:$C,0)),0)</f>
        <v>500</v>
      </c>
      <c r="Q45" s="271">
        <f>IFERROR(INDEX('Measure Level Detail'!$P:$P,MATCH($B45&amp;"_"&amp;Q$3,'Measure Level Detail'!$C:$C,0)),0)</f>
        <v>500</v>
      </c>
      <c r="R45" s="263" t="str">
        <f ca="1">IFERROR(INDEX(Algorithms!K:K,MATCH($C45&amp;"_Therm Saved per Unit",Algorithms!$A:$A,0)),"n/a")</f>
        <v>CI-HWE-STWH-V10-240101</v>
      </c>
      <c r="S45" s="262"/>
      <c r="T45" s="272">
        <v>2.4977693963210257</v>
      </c>
      <c r="U45" s="272">
        <v>2.4977693963210257</v>
      </c>
      <c r="V45" s="272">
        <v>2.4977693963210257</v>
      </c>
      <c r="W45" s="272">
        <v>2.4977693963210257</v>
      </c>
      <c r="X45" s="276">
        <v>0.92</v>
      </c>
      <c r="Y45" s="276">
        <v>0.92</v>
      </c>
      <c r="Z45" s="276">
        <v>0.92</v>
      </c>
      <c r="AA45" s="276">
        <v>0.92</v>
      </c>
      <c r="AB45" s="266">
        <f t="shared" si="7"/>
        <v>1148.973922307672</v>
      </c>
      <c r="AC45" s="266">
        <f t="shared" si="8"/>
        <v>1148.973922307672</v>
      </c>
      <c r="AD45" s="266">
        <f t="shared" si="9"/>
        <v>1148.973922307672</v>
      </c>
      <c r="AE45" s="266">
        <f t="shared" si="10"/>
        <v>1148.973922307672</v>
      </c>
      <c r="AF45" s="266">
        <f t="shared" si="11"/>
        <v>4595.8956892306878</v>
      </c>
      <c r="AG45" s="274">
        <v>0.92</v>
      </c>
      <c r="AH45" s="274">
        <v>0.92</v>
      </c>
      <c r="AI45" s="274">
        <v>0.92</v>
      </c>
      <c r="AJ45" s="274">
        <v>0.92</v>
      </c>
      <c r="AK45" s="274">
        <f t="shared" si="12"/>
        <v>0.92</v>
      </c>
      <c r="AL45" s="274">
        <f t="shared" si="13"/>
        <v>0.92</v>
      </c>
      <c r="AM45" s="274">
        <f t="shared" si="14"/>
        <v>0.92</v>
      </c>
      <c r="AN45" s="274">
        <f t="shared" si="15"/>
        <v>0.92</v>
      </c>
      <c r="AO45" s="262"/>
      <c r="AP45" s="262"/>
      <c r="AQ45" s="267">
        <v>2.6035838480037183</v>
      </c>
      <c r="AR45" s="262"/>
      <c r="AS45" s="266">
        <f t="shared" si="16"/>
        <v>1197.6485700817104</v>
      </c>
      <c r="AT45" s="264">
        <f t="shared" si="17"/>
        <v>48.674647774038476</v>
      </c>
      <c r="AU45" s="262"/>
      <c r="AV45" s="262"/>
      <c r="AW45" s="265">
        <v>2.6035838480037183</v>
      </c>
      <c r="AX45" s="164" t="s">
        <v>1469</v>
      </c>
      <c r="AY45" s="266">
        <v>1197.6485700817104</v>
      </c>
      <c r="AZ45" s="266">
        <f t="shared" si="45"/>
        <v>1197.6485700817104</v>
      </c>
      <c r="BA45" s="264">
        <f t="shared" si="18"/>
        <v>48.674647774038476</v>
      </c>
      <c r="BB45" s="262"/>
      <c r="BC45" s="262"/>
      <c r="BD45" s="265">
        <f ca="1">IFERROR(INDEX(Algorithms!$G:$G,MATCH($C45&amp;"_Therm Saved per Unit",Algorithms!$A:$A,0)),0)</f>
        <v>2.6035838480037183</v>
      </c>
      <c r="BE45" s="164" t="str">
        <f ca="1">IFERROR(INDEX('v12 Revisions'!$P$29:$P$186, MATCH('Measure-Level Adj Gas'!$L45, 'v12 Revisions'!$D$29:$D$186,0)),"")</f>
        <v>n/a - language only.</v>
      </c>
      <c r="BF45" s="266">
        <f t="shared" ca="1" si="19"/>
        <v>1197.6485700817104</v>
      </c>
      <c r="BG45" s="264">
        <f t="shared" ca="1" si="20"/>
        <v>48.674647774038476</v>
      </c>
      <c r="BH45" s="262"/>
      <c r="BI45" s="262"/>
      <c r="BJ45" s="265">
        <f ca="1">IFERROR(INDEX(Algorithms!$G:$G,MATCH($C45&amp;"_Therm Saved per Unit",Algorithms!$A:$A,0)),0)</f>
        <v>2.6035838480037183</v>
      </c>
      <c r="BK45" s="164"/>
      <c r="BL45" s="266">
        <f t="shared" ca="1" si="21"/>
        <v>1197.6485700817104</v>
      </c>
      <c r="BM45" s="264">
        <f t="shared" ca="1" si="22"/>
        <v>48.674647774038476</v>
      </c>
      <c r="BN45" s="266">
        <f t="shared" si="23"/>
        <v>1197.6485700817104</v>
      </c>
      <c r="BO45" s="266">
        <f t="shared" si="44"/>
        <v>1197.6485700817104</v>
      </c>
      <c r="BP45" s="266">
        <f t="shared" ca="1" si="24"/>
        <v>1197.6485700817104</v>
      </c>
      <c r="BQ45" s="266">
        <f t="shared" ca="1" si="25"/>
        <v>1197.6485700817104</v>
      </c>
      <c r="BR45" s="268">
        <f t="shared" ca="1" si="26"/>
        <v>4790.5942803268417</v>
      </c>
      <c r="BS45" s="262" t="s">
        <v>99</v>
      </c>
      <c r="BT45" s="277"/>
      <c r="BW45" s="266">
        <f t="shared" si="27"/>
        <v>1148.973922307672</v>
      </c>
      <c r="BX45" s="266">
        <f t="shared" si="28"/>
        <v>1148.973922307672</v>
      </c>
      <c r="BY45" s="266">
        <f t="shared" si="29"/>
        <v>1148.973922307672</v>
      </c>
      <c r="BZ45" s="266">
        <f t="shared" si="30"/>
        <v>1148.973922307672</v>
      </c>
      <c r="CA45" s="266">
        <f ca="1">N45*IFERROR(INDEX(Algorithms!$G:$G,MATCH($C45&amp;"_Therm Saved per Unit- MLA",Algorithms!$A:$A,0)),0)*X45</f>
        <v>0</v>
      </c>
      <c r="CB45" s="266">
        <f ca="1">O45*IFERROR(INDEX(Algorithms!$G:$G,MATCH($C45&amp;"_Therm Saved per Unit- MLA",Algorithms!$A:$A,0)),0)*Y45</f>
        <v>0</v>
      </c>
      <c r="CC45" s="266">
        <f ca="1">P45*IFERROR(INDEX(Algorithms!$G:$G,MATCH($C45&amp;"_Therm Saved per Unit- MLA",Algorithms!$A:$A,0)),0)*Z45</f>
        <v>0</v>
      </c>
      <c r="CD45" s="266">
        <f ca="1">Q45*IFERROR(INDEX(Algorithms!$G:$G,MATCH($C45&amp;"_Therm Saved per Unit- MLA",Algorithms!$A:$A,0)),0)*AA45</f>
        <v>0</v>
      </c>
      <c r="CE45" s="266">
        <f ca="1">IFERROR(INDEX(Algorithms!$G:$G,MATCH($C45&amp;"_Lifetime (years)",Algorithms!$A:$A,0)),0)</f>
        <v>15</v>
      </c>
      <c r="CF45" s="266">
        <f ca="1">IFERROR(INDEX(Algorithms!$G:$G,MATCH($C45&amp;"_Lifetime (years) - Remaining Years",Algorithms!$A:$A,0)),0)</f>
        <v>0</v>
      </c>
      <c r="CG45" s="266">
        <f t="shared" ca="1" si="31"/>
        <v>17234.608834615079</v>
      </c>
      <c r="CH45" s="266">
        <f t="shared" ca="1" si="32"/>
        <v>17234.608834615079</v>
      </c>
      <c r="CI45" s="266">
        <f t="shared" ca="1" si="33"/>
        <v>17234.608834615079</v>
      </c>
      <c r="CJ45" s="266">
        <f t="shared" ca="1" si="34"/>
        <v>17234.608834615079</v>
      </c>
      <c r="CK45" s="266">
        <f t="shared" si="35"/>
        <v>1197.6485700817104</v>
      </c>
      <c r="CL45" s="266">
        <f t="shared" si="36"/>
        <v>1197.6485700817104</v>
      </c>
      <c r="CM45" s="266">
        <f t="shared" ca="1" si="37"/>
        <v>1197.6485700817104</v>
      </c>
      <c r="CN45" s="266">
        <f t="shared" ca="1" si="38"/>
        <v>1197.6485700817104</v>
      </c>
      <c r="CO45" s="266">
        <f ca="1">N45*IFERROR(INDEX(Algorithms!$G:$G,MATCH($C45&amp;"_Therm Saved per Unit- MLA",Algorithms!$A:$A,0)),0)*X45</f>
        <v>0</v>
      </c>
      <c r="CP45" s="266">
        <f ca="1">O45*IFERROR(INDEX(Algorithms!$G:$G,MATCH($C45&amp;"_Therm Saved per Unit- MLA",Algorithms!$A:$A,0)),0)*Y45</f>
        <v>0</v>
      </c>
      <c r="CQ45" s="266">
        <f ca="1">P45*IFERROR(INDEX(Algorithms!$G:$G,MATCH($C45&amp;"_Therm Saved per Unit- MLA",Algorithms!$A:$A,0)),0)*Z45</f>
        <v>0</v>
      </c>
      <c r="CR45" s="266">
        <f ca="1">Q45*IFERROR(INDEX(Algorithms!$G:$G,MATCH($C45&amp;"_Therm Saved per Unit- MLA",Algorithms!$A:$A,0)),0)*AA45</f>
        <v>0</v>
      </c>
      <c r="CS45" s="266">
        <f ca="1">IFERROR(INDEX(Algorithms!$G:$G,MATCH($C45&amp;"_Lifetime (years)",Algorithms!$A:$A,0)),0)</f>
        <v>15</v>
      </c>
      <c r="CT45" s="266">
        <f ca="1">IFERROR(INDEX(Algorithms!$G:$G,MATCH($C45&amp;"_Lifetime (years) - Remaining Years",Algorithms!$A:$A,0)),0)</f>
        <v>0</v>
      </c>
      <c r="CU45" s="266">
        <f t="shared" ca="1" si="39"/>
        <v>17964.728551225657</v>
      </c>
      <c r="CV45" s="266">
        <f t="shared" ca="1" si="40"/>
        <v>17964.728551225657</v>
      </c>
      <c r="CW45" s="266">
        <f t="shared" ca="1" si="41"/>
        <v>17964.728551225657</v>
      </c>
      <c r="CX45" s="266">
        <f t="shared" ca="1" si="42"/>
        <v>17964.728551225657</v>
      </c>
    </row>
    <row r="46" spans="2:102" s="47" customFormat="1" ht="18" customHeight="1" x14ac:dyDescent="0.25">
      <c r="B46" t="str">
        <f t="shared" si="43"/>
        <v>NSG_Business_Commercial Food Service Program_Upstream Rebate_Energy Star Fryer_0_CI</v>
      </c>
      <c r="C46" s="47" t="str">
        <f t="shared" si="6"/>
        <v>Energy Star Fryer_0_CI</v>
      </c>
      <c r="D46" s="270" t="s">
        <v>1787</v>
      </c>
      <c r="E46" s="270" t="s">
        <v>3</v>
      </c>
      <c r="F46" s="270" t="s">
        <v>1444</v>
      </c>
      <c r="G46" s="270" t="s">
        <v>1445</v>
      </c>
      <c r="H46" s="270" t="s">
        <v>1197</v>
      </c>
      <c r="I46" s="270">
        <v>0</v>
      </c>
      <c r="J46" s="270" t="s">
        <v>1159</v>
      </c>
      <c r="K46" s="263">
        <v>1</v>
      </c>
      <c r="L46" s="263" t="str">
        <f ca="1">IFERROR(INDEX(Algorithms!J:J,MATCH($C46&amp;"_Therm Saved per Unit",Algorithms!$A:$A,0)),"n/a")</f>
        <v>4.2.7</v>
      </c>
      <c r="M46" s="263" t="str">
        <f>IFERROR(INDEX('Measure Level Detail'!$N:$N,MATCH($B46,'Measure Level Detail'!$B:$B,0)),0)</f>
        <v>each</v>
      </c>
      <c r="N46" s="271">
        <f>IFERROR(INDEX('Measure Level Detail'!$P:$P,MATCH($B46&amp;"_"&amp;N$3,'Measure Level Detail'!$C:$C,0)),0)</f>
        <v>12</v>
      </c>
      <c r="O46" s="271">
        <f>IFERROR(INDEX('Measure Level Detail'!$P:$P,MATCH($B46&amp;"_"&amp;O$3,'Measure Level Detail'!$C:$C,0)),0)</f>
        <v>16</v>
      </c>
      <c r="P46" s="271">
        <f>IFERROR(INDEX('Measure Level Detail'!$P:$P,MATCH($B46&amp;"_"&amp;P$3,'Measure Level Detail'!$C:$C,0)),0)</f>
        <v>20</v>
      </c>
      <c r="Q46" s="271">
        <f>IFERROR(INDEX('Measure Level Detail'!$P:$P,MATCH($B46&amp;"_"&amp;Q$3,'Measure Level Detail'!$C:$C,0)),0)</f>
        <v>26</v>
      </c>
      <c r="R46" s="263" t="str">
        <f ca="1">IFERROR(INDEX(Algorithms!K:K,MATCH($C46&amp;"_Therm Saved per Unit",Algorithms!$A:$A,0)),"n/a")</f>
        <v>CI-FSE-ESFR-V05-240101</v>
      </c>
      <c r="S46" s="262"/>
      <c r="T46" s="272">
        <v>507.89818681318684</v>
      </c>
      <c r="U46" s="272">
        <v>507.89818681318684</v>
      </c>
      <c r="V46" s="272">
        <v>507.89818681318684</v>
      </c>
      <c r="W46" s="272">
        <v>507.89818681318684</v>
      </c>
      <c r="X46" s="276">
        <v>0.8</v>
      </c>
      <c r="Y46" s="276">
        <v>0.8</v>
      </c>
      <c r="Z46" s="276">
        <v>0.8</v>
      </c>
      <c r="AA46" s="276">
        <v>0.8</v>
      </c>
      <c r="AB46" s="266">
        <f t="shared" si="7"/>
        <v>4875.822593406594</v>
      </c>
      <c r="AC46" s="266">
        <f t="shared" si="8"/>
        <v>6501.0967912087917</v>
      </c>
      <c r="AD46" s="266">
        <f t="shared" si="9"/>
        <v>8126.3709890109894</v>
      </c>
      <c r="AE46" s="266">
        <f t="shared" si="10"/>
        <v>10564.282285714287</v>
      </c>
      <c r="AF46" s="266">
        <f t="shared" si="11"/>
        <v>30067.572659340665</v>
      </c>
      <c r="AG46" s="274">
        <v>0.8</v>
      </c>
      <c r="AH46" s="274">
        <v>0.8</v>
      </c>
      <c r="AI46" s="274">
        <v>0.8</v>
      </c>
      <c r="AJ46" s="274">
        <v>0.8</v>
      </c>
      <c r="AK46" s="274">
        <f t="shared" si="12"/>
        <v>0.8</v>
      </c>
      <c r="AL46" s="274">
        <f t="shared" si="13"/>
        <v>0.8</v>
      </c>
      <c r="AM46" s="274">
        <f t="shared" si="14"/>
        <v>0.8</v>
      </c>
      <c r="AN46" s="274">
        <f t="shared" si="15"/>
        <v>0.8</v>
      </c>
      <c r="AO46" s="262"/>
      <c r="AP46" s="262"/>
      <c r="AQ46" s="267">
        <v>512.46381181318702</v>
      </c>
      <c r="AR46" s="262"/>
      <c r="AS46" s="266">
        <f t="shared" si="16"/>
        <v>4919.6525934065958</v>
      </c>
      <c r="AT46" s="264">
        <f t="shared" si="17"/>
        <v>43.830000000001746</v>
      </c>
      <c r="AU46" s="262"/>
      <c r="AV46" s="262"/>
      <c r="AW46" s="265">
        <v>512.46381181318702</v>
      </c>
      <c r="AX46" s="164" t="s">
        <v>2394</v>
      </c>
      <c r="AY46" s="266">
        <v>6559.5367912087941</v>
      </c>
      <c r="AZ46" s="266">
        <f t="shared" si="45"/>
        <v>6559.5367912087941</v>
      </c>
      <c r="BA46" s="264">
        <f t="shared" si="18"/>
        <v>58.440000000002328</v>
      </c>
      <c r="BB46" s="262"/>
      <c r="BC46" s="262"/>
      <c r="BD46" s="265">
        <f ca="1">IFERROR(INDEX(Algorithms!$G:$G,MATCH($C46&amp;"_Therm Saved per Unit",Algorithms!$A:$A,0)),0)</f>
        <v>512.46381181318702</v>
      </c>
      <c r="BE46" s="164" t="str">
        <f ca="1">IFERROR(INDEX('v12 Revisions'!$P$29:$P$186, MATCH('Measure-Level Adj Gas'!$L46, 'v12 Revisions'!$D$29:$D$186,0)),"")</f>
        <v>n/a - plans make assumptions, actuals n/a.</v>
      </c>
      <c r="BF46" s="266">
        <f t="shared" ca="1" si="19"/>
        <v>8199.4209890109923</v>
      </c>
      <c r="BG46" s="264">
        <f t="shared" ca="1" si="20"/>
        <v>73.05000000000291</v>
      </c>
      <c r="BH46" s="262"/>
      <c r="BI46" s="262"/>
      <c r="BJ46" s="265">
        <f ca="1">IFERROR(INDEX(Algorithms!$G:$G,MATCH($C46&amp;"_Therm Saved per Unit",Algorithms!$A:$A,0)),0)</f>
        <v>512.46381181318702</v>
      </c>
      <c r="BK46" s="164"/>
      <c r="BL46" s="266">
        <f t="shared" ca="1" si="21"/>
        <v>10659.247285714291</v>
      </c>
      <c r="BM46" s="264">
        <f t="shared" ca="1" si="22"/>
        <v>94.965000000003783</v>
      </c>
      <c r="BN46" s="266">
        <f t="shared" si="23"/>
        <v>4919.6525934065958</v>
      </c>
      <c r="BO46" s="266">
        <f t="shared" si="44"/>
        <v>6559.5367912087941</v>
      </c>
      <c r="BP46" s="266">
        <f t="shared" ca="1" si="24"/>
        <v>8199.4209890109923</v>
      </c>
      <c r="BQ46" s="266">
        <f t="shared" ca="1" si="25"/>
        <v>10659.247285714291</v>
      </c>
      <c r="BR46" s="268">
        <f t="shared" ca="1" si="26"/>
        <v>30337.857659340676</v>
      </c>
      <c r="BS46" s="262" t="s">
        <v>99</v>
      </c>
      <c r="BT46" s="277"/>
      <c r="BW46" s="266">
        <f t="shared" si="27"/>
        <v>4875.822593406594</v>
      </c>
      <c r="BX46" s="266">
        <f t="shared" si="28"/>
        <v>6501.0967912087917</v>
      </c>
      <c r="BY46" s="266">
        <f t="shared" si="29"/>
        <v>8126.3709890109894</v>
      </c>
      <c r="BZ46" s="266">
        <f t="shared" si="30"/>
        <v>10564.282285714287</v>
      </c>
      <c r="CA46" s="266">
        <f ca="1">N46*IFERROR(INDEX(Algorithms!$G:$G,MATCH($C46&amp;"_Therm Saved per Unit- MLA",Algorithms!$A:$A,0)),0)*X46</f>
        <v>0</v>
      </c>
      <c r="CB46" s="266">
        <f ca="1">O46*IFERROR(INDEX(Algorithms!$G:$G,MATCH($C46&amp;"_Therm Saved per Unit- MLA",Algorithms!$A:$A,0)),0)*Y46</f>
        <v>0</v>
      </c>
      <c r="CC46" s="266">
        <f ca="1">P46*IFERROR(INDEX(Algorithms!$G:$G,MATCH($C46&amp;"_Therm Saved per Unit- MLA",Algorithms!$A:$A,0)),0)*Z46</f>
        <v>0</v>
      </c>
      <c r="CD46" s="266">
        <f ca="1">Q46*IFERROR(INDEX(Algorithms!$G:$G,MATCH($C46&amp;"_Therm Saved per Unit- MLA",Algorithms!$A:$A,0)),0)*AA46</f>
        <v>0</v>
      </c>
      <c r="CE46" s="266">
        <f ca="1">IFERROR(INDEX(Algorithms!$G:$G,MATCH($C46&amp;"_Lifetime (years)",Algorithms!$A:$A,0)),0)</f>
        <v>12</v>
      </c>
      <c r="CF46" s="266">
        <f ca="1">IFERROR(INDEX(Algorithms!$G:$G,MATCH($C46&amp;"_Lifetime (years) - Remaining Years",Algorithms!$A:$A,0)),0)</f>
        <v>0</v>
      </c>
      <c r="CG46" s="266">
        <f t="shared" ca="1" si="31"/>
        <v>58509.871120879128</v>
      </c>
      <c r="CH46" s="266">
        <f t="shared" ca="1" si="32"/>
        <v>78013.161494505504</v>
      </c>
      <c r="CI46" s="266">
        <f t="shared" ca="1" si="33"/>
        <v>97516.451868131873</v>
      </c>
      <c r="CJ46" s="266">
        <f t="shared" ca="1" si="34"/>
        <v>126771.38742857144</v>
      </c>
      <c r="CK46" s="266">
        <f t="shared" si="35"/>
        <v>4919.6525934065958</v>
      </c>
      <c r="CL46" s="266">
        <f t="shared" si="36"/>
        <v>6559.5367912087941</v>
      </c>
      <c r="CM46" s="266">
        <f t="shared" ca="1" si="37"/>
        <v>8199.4209890109923</v>
      </c>
      <c r="CN46" s="266">
        <f t="shared" ca="1" si="38"/>
        <v>10659.247285714291</v>
      </c>
      <c r="CO46" s="266">
        <f ca="1">N46*IFERROR(INDEX(Algorithms!$G:$G,MATCH($C46&amp;"_Therm Saved per Unit- MLA",Algorithms!$A:$A,0)),0)*X46</f>
        <v>0</v>
      </c>
      <c r="CP46" s="266">
        <f ca="1">O46*IFERROR(INDEX(Algorithms!$G:$G,MATCH($C46&amp;"_Therm Saved per Unit- MLA",Algorithms!$A:$A,0)),0)*Y46</f>
        <v>0</v>
      </c>
      <c r="CQ46" s="266">
        <f ca="1">P46*IFERROR(INDEX(Algorithms!$G:$G,MATCH($C46&amp;"_Therm Saved per Unit- MLA",Algorithms!$A:$A,0)),0)*Z46</f>
        <v>0</v>
      </c>
      <c r="CR46" s="266">
        <f ca="1">Q46*IFERROR(INDEX(Algorithms!$G:$G,MATCH($C46&amp;"_Therm Saved per Unit- MLA",Algorithms!$A:$A,0)),0)*AA46</f>
        <v>0</v>
      </c>
      <c r="CS46" s="266">
        <f ca="1">IFERROR(INDEX(Algorithms!$G:$G,MATCH($C46&amp;"_Lifetime (years)",Algorithms!$A:$A,0)),0)</f>
        <v>12</v>
      </c>
      <c r="CT46" s="266">
        <f ca="1">IFERROR(INDEX(Algorithms!$G:$G,MATCH($C46&amp;"_Lifetime (years) - Remaining Years",Algorithms!$A:$A,0)),0)</f>
        <v>0</v>
      </c>
      <c r="CU46" s="266">
        <f t="shared" ca="1" si="39"/>
        <v>59035.831120879149</v>
      </c>
      <c r="CV46" s="266">
        <f t="shared" ca="1" si="40"/>
        <v>78714.441494505532</v>
      </c>
      <c r="CW46" s="266">
        <f t="shared" ca="1" si="41"/>
        <v>98393.051868131908</v>
      </c>
      <c r="CX46" s="266">
        <f t="shared" ca="1" si="42"/>
        <v>127910.96742857149</v>
      </c>
    </row>
    <row r="47" spans="2:102" s="47" customFormat="1" ht="18" customHeight="1" x14ac:dyDescent="0.25">
      <c r="B47" t="str">
        <f t="shared" si="43"/>
        <v>NSG_Income Eligible_Multi-Family_IE Kits_Shower Timer_IE Kit_IE</v>
      </c>
      <c r="C47" s="47" t="str">
        <f t="shared" si="6"/>
        <v>Shower Timer_IE Kit_IE</v>
      </c>
      <c r="D47" s="270" t="s">
        <v>1787</v>
      </c>
      <c r="E47" s="270" t="s">
        <v>325</v>
      </c>
      <c r="F47" s="270" t="s">
        <v>1422</v>
      </c>
      <c r="G47" s="270" t="s">
        <v>1440</v>
      </c>
      <c r="H47" s="270" t="s">
        <v>1031</v>
      </c>
      <c r="I47" s="270" t="s">
        <v>550</v>
      </c>
      <c r="J47" s="270" t="s">
        <v>551</v>
      </c>
      <c r="K47" s="263">
        <v>1</v>
      </c>
      <c r="L47" s="263" t="str">
        <f ca="1">IFERROR(INDEX(Algorithms!J:J,MATCH($C47&amp;"_Therm Saved per Unit",Algorithms!$A:$A,0)),"n/a")</f>
        <v>5.4.9</v>
      </c>
      <c r="M47" s="263" t="str">
        <f>IFERROR(INDEX('Measure Level Detail'!$N:$N,MATCH($B47,'Measure Level Detail'!$B:$B,0)),0)</f>
        <v>Each</v>
      </c>
      <c r="N47" s="271">
        <f>IFERROR(INDEX('Measure Level Detail'!$P:$P,MATCH($B47&amp;"_"&amp;N$3,'Measure Level Detail'!$C:$C,0)),0)</f>
        <v>140</v>
      </c>
      <c r="O47" s="271">
        <f>IFERROR(INDEX('Measure Level Detail'!$P:$P,MATCH($B47&amp;"_"&amp;O$3,'Measure Level Detail'!$C:$C,0)),0)</f>
        <v>140</v>
      </c>
      <c r="P47" s="271">
        <f>IFERROR(INDEX('Measure Level Detail'!$P:$P,MATCH($B47&amp;"_"&amp;P$3,'Measure Level Detail'!$C:$C,0)),0)</f>
        <v>140</v>
      </c>
      <c r="Q47" s="271">
        <f>IFERROR(INDEX('Measure Level Detail'!$P:$P,MATCH($B47&amp;"_"&amp;Q$3,'Measure Level Detail'!$C:$C,0)),0)</f>
        <v>140</v>
      </c>
      <c r="R47" s="263" t="str">
        <f ca="1">IFERROR(INDEX(Algorithms!K:K,MATCH($C47&amp;"_Therm Saved per Unit",Algorithms!$A:$A,0)),"n/a")</f>
        <v>RS-DHW-SHTM-V05-230101</v>
      </c>
      <c r="S47" s="262"/>
      <c r="T47" s="272">
        <v>3.7072463788108796</v>
      </c>
      <c r="U47" s="272">
        <v>3.7072463788108796</v>
      </c>
      <c r="V47" s="272">
        <v>3.7072463788108796</v>
      </c>
      <c r="W47" s="272">
        <v>3.7072463788108796</v>
      </c>
      <c r="X47" s="273">
        <f>IFERROR(INDEX('Measure Level Detail'!$R:$R,MATCH($B47&amp;"_"&amp;X$3,'Measure Level Detail'!$C:$C,0)),0)</f>
        <v>1</v>
      </c>
      <c r="Y47" s="273">
        <f>IFERROR(INDEX('Measure Level Detail'!$R:$R,MATCH($B47&amp;"_"&amp;Y$3,'Measure Level Detail'!$C:$C,0)),0)</f>
        <v>1</v>
      </c>
      <c r="Z47" s="273">
        <f>IFERROR(INDEX('Measure Level Detail'!$R:$R,MATCH($B47&amp;"_"&amp;Z$3,'Measure Level Detail'!$C:$C,0)),0)</f>
        <v>1</v>
      </c>
      <c r="AA47" s="273">
        <f>IFERROR(INDEX('Measure Level Detail'!$R:$R,MATCH($B47&amp;"_"&amp;AA$3,'Measure Level Detail'!$C:$C,0)),0)</f>
        <v>1</v>
      </c>
      <c r="AB47" s="266">
        <f t="shared" si="7"/>
        <v>519.01449303352319</v>
      </c>
      <c r="AC47" s="266">
        <f t="shared" si="8"/>
        <v>519.01449303352319</v>
      </c>
      <c r="AD47" s="266">
        <f t="shared" si="9"/>
        <v>519.01449303352319</v>
      </c>
      <c r="AE47" s="266">
        <f t="shared" si="10"/>
        <v>519.01449303352319</v>
      </c>
      <c r="AF47" s="266">
        <f t="shared" si="11"/>
        <v>2076.0579721340928</v>
      </c>
      <c r="AG47" s="274">
        <v>1</v>
      </c>
      <c r="AH47" s="274">
        <v>1</v>
      </c>
      <c r="AI47" s="274">
        <v>1</v>
      </c>
      <c r="AJ47" s="274">
        <v>1</v>
      </c>
      <c r="AK47" s="274">
        <f t="shared" si="12"/>
        <v>1</v>
      </c>
      <c r="AL47" s="274">
        <f t="shared" si="13"/>
        <v>1</v>
      </c>
      <c r="AM47" s="274">
        <f t="shared" si="14"/>
        <v>1</v>
      </c>
      <c r="AN47" s="274">
        <f t="shared" si="15"/>
        <v>1</v>
      </c>
      <c r="AO47" s="262"/>
      <c r="AP47" s="262"/>
      <c r="AQ47" s="267">
        <v>3.9749540034683961</v>
      </c>
      <c r="AR47" s="262"/>
      <c r="AS47" s="266">
        <f t="shared" si="16"/>
        <v>556.49356048557547</v>
      </c>
      <c r="AT47" s="264">
        <f t="shared" si="17"/>
        <v>37.479067452052277</v>
      </c>
      <c r="AU47" s="262"/>
      <c r="AV47" s="262"/>
      <c r="AW47" s="265">
        <v>3.9749540034683961</v>
      </c>
      <c r="AX47" s="164" t="s">
        <v>2393</v>
      </c>
      <c r="AY47" s="266">
        <v>556.49356048557547</v>
      </c>
      <c r="AZ47" s="266">
        <f t="shared" si="45"/>
        <v>556.49356048557547</v>
      </c>
      <c r="BA47" s="264">
        <f t="shared" si="18"/>
        <v>37.479067452052277</v>
      </c>
      <c r="BB47" s="262"/>
      <c r="BC47" s="262"/>
      <c r="BD47" s="265">
        <f ca="1">IFERROR(INDEX(Algorithms!$G:$G,MATCH($C47&amp;"_Therm Saved per Unit",Algorithms!$A:$A,0)),0)</f>
        <v>3.9749540034683961</v>
      </c>
      <c r="BE47" s="164" t="str">
        <f ca="1">IFERROR(INDEX('v12 Revisions'!$P$29:$P$186, MATCH('Measure-Level Adj Gas'!$L47, 'v12 Revisions'!$D$29:$D$186,0)),"")</f>
        <v/>
      </c>
      <c r="BF47" s="266">
        <f t="shared" ca="1" si="19"/>
        <v>556.49356048557547</v>
      </c>
      <c r="BG47" s="264">
        <f t="shared" ca="1" si="20"/>
        <v>37.479067452052277</v>
      </c>
      <c r="BH47" s="262"/>
      <c r="BI47" s="262"/>
      <c r="BJ47" s="265">
        <f ca="1">IFERROR(INDEX(Algorithms!$G:$G,MATCH($C47&amp;"_Therm Saved per Unit",Algorithms!$A:$A,0)),0)</f>
        <v>3.9749540034683961</v>
      </c>
      <c r="BK47" s="164"/>
      <c r="BL47" s="266">
        <f t="shared" ca="1" si="21"/>
        <v>556.49356048557547</v>
      </c>
      <c r="BM47" s="264">
        <f t="shared" ca="1" si="22"/>
        <v>37.479067452052277</v>
      </c>
      <c r="BN47" s="266">
        <f t="shared" si="23"/>
        <v>556.49356048557547</v>
      </c>
      <c r="BO47" s="266">
        <f t="shared" si="44"/>
        <v>556.49356048557547</v>
      </c>
      <c r="BP47" s="266">
        <f t="shared" ca="1" si="24"/>
        <v>556.49356048557547</v>
      </c>
      <c r="BQ47" s="266">
        <f t="shared" ca="1" si="25"/>
        <v>556.49356048557547</v>
      </c>
      <c r="BR47" s="268">
        <f t="shared" ca="1" si="26"/>
        <v>2225.9742419423019</v>
      </c>
      <c r="BS47" s="262" t="s">
        <v>99</v>
      </c>
      <c r="BT47" s="277"/>
      <c r="BW47" s="266">
        <f t="shared" si="27"/>
        <v>519.01449303352319</v>
      </c>
      <c r="BX47" s="266">
        <f t="shared" si="28"/>
        <v>519.01449303352319</v>
      </c>
      <c r="BY47" s="266">
        <f t="shared" si="29"/>
        <v>519.01449303352319</v>
      </c>
      <c r="BZ47" s="266">
        <f t="shared" si="30"/>
        <v>519.01449303352319</v>
      </c>
      <c r="CA47" s="266">
        <f ca="1">N47*IFERROR(INDEX(Algorithms!$G:$G,MATCH($C47&amp;"_Therm Saved per Unit- MLA",Algorithms!$A:$A,0)),0)*X47</f>
        <v>0</v>
      </c>
      <c r="CB47" s="266">
        <f ca="1">O47*IFERROR(INDEX(Algorithms!$G:$G,MATCH($C47&amp;"_Therm Saved per Unit- MLA",Algorithms!$A:$A,0)),0)*Y47</f>
        <v>0</v>
      </c>
      <c r="CC47" s="266">
        <f ca="1">P47*IFERROR(INDEX(Algorithms!$G:$G,MATCH($C47&amp;"_Therm Saved per Unit- MLA",Algorithms!$A:$A,0)),0)*Z47</f>
        <v>0</v>
      </c>
      <c r="CD47" s="266">
        <f ca="1">Q47*IFERROR(INDEX(Algorithms!$G:$G,MATCH($C47&amp;"_Therm Saved per Unit- MLA",Algorithms!$A:$A,0)),0)*AA47</f>
        <v>0</v>
      </c>
      <c r="CE47" s="266">
        <f ca="1">IFERROR(INDEX(Algorithms!$G:$G,MATCH($C47&amp;"_Lifetime (years)",Algorithms!$A:$A,0)),0)</f>
        <v>2</v>
      </c>
      <c r="CF47" s="266">
        <f ca="1">IFERROR(INDEX(Algorithms!$G:$G,MATCH($C47&amp;"_Lifetime (years) - Remaining Years",Algorithms!$A:$A,0)),0)</f>
        <v>0</v>
      </c>
      <c r="CG47" s="266">
        <f t="shared" ca="1" si="31"/>
        <v>1038.0289860670464</v>
      </c>
      <c r="CH47" s="266">
        <f t="shared" ca="1" si="32"/>
        <v>1038.0289860670464</v>
      </c>
      <c r="CI47" s="266">
        <f t="shared" ca="1" si="33"/>
        <v>1038.0289860670464</v>
      </c>
      <c r="CJ47" s="266">
        <f t="shared" ca="1" si="34"/>
        <v>1038.0289860670464</v>
      </c>
      <c r="CK47" s="266">
        <f t="shared" si="35"/>
        <v>556.49356048557547</v>
      </c>
      <c r="CL47" s="266">
        <f t="shared" si="36"/>
        <v>556.49356048557547</v>
      </c>
      <c r="CM47" s="266">
        <f t="shared" ca="1" si="37"/>
        <v>556.49356048557547</v>
      </c>
      <c r="CN47" s="266">
        <f t="shared" ca="1" si="38"/>
        <v>556.49356048557547</v>
      </c>
      <c r="CO47" s="266">
        <f ca="1">N47*IFERROR(INDEX(Algorithms!$G:$G,MATCH($C47&amp;"_Therm Saved per Unit- MLA",Algorithms!$A:$A,0)),0)*X47</f>
        <v>0</v>
      </c>
      <c r="CP47" s="266">
        <f ca="1">O47*IFERROR(INDEX(Algorithms!$G:$G,MATCH($C47&amp;"_Therm Saved per Unit- MLA",Algorithms!$A:$A,0)),0)*Y47</f>
        <v>0</v>
      </c>
      <c r="CQ47" s="266">
        <f ca="1">P47*IFERROR(INDEX(Algorithms!$G:$G,MATCH($C47&amp;"_Therm Saved per Unit- MLA",Algorithms!$A:$A,0)),0)*Z47</f>
        <v>0</v>
      </c>
      <c r="CR47" s="266">
        <f ca="1">Q47*IFERROR(INDEX(Algorithms!$G:$G,MATCH($C47&amp;"_Therm Saved per Unit- MLA",Algorithms!$A:$A,0)),0)*AA47</f>
        <v>0</v>
      </c>
      <c r="CS47" s="266">
        <f ca="1">IFERROR(INDEX(Algorithms!$G:$G,MATCH($C47&amp;"_Lifetime (years)",Algorithms!$A:$A,0)),0)</f>
        <v>2</v>
      </c>
      <c r="CT47" s="266">
        <f ca="1">IFERROR(INDEX(Algorithms!$G:$G,MATCH($C47&amp;"_Lifetime (years) - Remaining Years",Algorithms!$A:$A,0)),0)</f>
        <v>0</v>
      </c>
      <c r="CU47" s="266">
        <f t="shared" ca="1" si="39"/>
        <v>1112.9871209711509</v>
      </c>
      <c r="CV47" s="266">
        <f t="shared" ca="1" si="40"/>
        <v>1112.9871209711509</v>
      </c>
      <c r="CW47" s="266">
        <f t="shared" ca="1" si="41"/>
        <v>1112.9871209711509</v>
      </c>
      <c r="CX47" s="266">
        <f t="shared" ca="1" si="42"/>
        <v>1112.9871209711509</v>
      </c>
    </row>
    <row r="48" spans="2:102" s="47" customFormat="1" ht="18" customHeight="1" x14ac:dyDescent="0.25">
      <c r="B48" t="str">
        <f t="shared" si="43"/>
        <v>NSG_Residential_Home Energy Jumpstart_Core_Pipe Insulation_Boiler_SF</v>
      </c>
      <c r="C48" s="47" t="str">
        <f t="shared" si="6"/>
        <v>Pipe Insulation_Boiler_SF</v>
      </c>
      <c r="D48" s="270" t="s">
        <v>1787</v>
      </c>
      <c r="E48" s="270" t="s">
        <v>2</v>
      </c>
      <c r="F48" s="270" t="s">
        <v>1414</v>
      </c>
      <c r="G48" s="270" t="s">
        <v>1415</v>
      </c>
      <c r="H48" s="270" t="s">
        <v>404</v>
      </c>
      <c r="I48" s="270" t="s">
        <v>944</v>
      </c>
      <c r="J48" s="270" t="s">
        <v>409</v>
      </c>
      <c r="K48" s="263">
        <v>1</v>
      </c>
      <c r="L48" s="263" t="str">
        <f ca="1">IFERROR(INDEX(Algorithms!J:J,MATCH($C48&amp;"_Therm Saved per Unit",Algorithms!$A:$A,0)),"n/a")</f>
        <v>5.3.2</v>
      </c>
      <c r="M48" s="263" t="str">
        <f>IFERROR(INDEX('Measure Level Detail'!$N:$N,MATCH($B48,'Measure Level Detail'!$B:$B,0)),0)</f>
        <v>Feet</v>
      </c>
      <c r="N48" s="271">
        <f>IFERROR(INDEX('Measure Level Detail'!$P:$P,MATCH($B48&amp;"_"&amp;N$3,'Measure Level Detail'!$C:$C,0)),0)</f>
        <v>93</v>
      </c>
      <c r="O48" s="271">
        <f>IFERROR(INDEX('Measure Level Detail'!$P:$P,MATCH($B48&amp;"_"&amp;O$3,'Measure Level Detail'!$C:$C,0)),0)</f>
        <v>84</v>
      </c>
      <c r="P48" s="271">
        <f>IFERROR(INDEX('Measure Level Detail'!$P:$P,MATCH($B48&amp;"_"&amp;P$3,'Measure Level Detail'!$C:$C,0)),0)</f>
        <v>75</v>
      </c>
      <c r="Q48" s="271">
        <f>IFERROR(INDEX('Measure Level Detail'!$P:$P,MATCH($B48&amp;"_"&amp;Q$3,'Measure Level Detail'!$C:$C,0)),0)</f>
        <v>66</v>
      </c>
      <c r="R48" s="263" t="str">
        <f ca="1">IFERROR(INDEX(Algorithms!K:K,MATCH($C48&amp;"_Therm Saved per Unit",Algorithms!$A:$A,0)),"n/a")</f>
        <v>RS-HVC-PINS-V07-240101</v>
      </c>
      <c r="S48" s="262"/>
      <c r="T48" s="272">
        <v>0.63522312995661756</v>
      </c>
      <c r="U48" s="272">
        <v>0.63522312995661756</v>
      </c>
      <c r="V48" s="272">
        <v>0.63522312995661756</v>
      </c>
      <c r="W48" s="272">
        <v>0.63522312995661756</v>
      </c>
      <c r="X48" s="273">
        <f>IFERROR(INDEX('Measure Level Detail'!$R:$R,MATCH($B48&amp;"_"&amp;X$3,'Measure Level Detail'!$C:$C,0)),0)</f>
        <v>0.88</v>
      </c>
      <c r="Y48" s="273">
        <f>IFERROR(INDEX('Measure Level Detail'!$R:$R,MATCH($B48&amp;"_"&amp;Y$3,'Measure Level Detail'!$C:$C,0)),0)</f>
        <v>0.88</v>
      </c>
      <c r="Z48" s="273">
        <f>IFERROR(INDEX('Measure Level Detail'!$R:$R,MATCH($B48&amp;"_"&amp;Z$3,'Measure Level Detail'!$C:$C,0)),0)</f>
        <v>0.88</v>
      </c>
      <c r="AA48" s="273">
        <f>IFERROR(INDEX('Measure Level Detail'!$R:$R,MATCH($B48&amp;"_"&amp;AA$3,'Measure Level Detail'!$C:$C,0)),0)</f>
        <v>0.88</v>
      </c>
      <c r="AB48" s="266">
        <f t="shared" si="7"/>
        <v>51.986660955649583</v>
      </c>
      <c r="AC48" s="266">
        <f t="shared" si="8"/>
        <v>46.955693766393168</v>
      </c>
      <c r="AD48" s="266">
        <f t="shared" si="9"/>
        <v>41.924726577136759</v>
      </c>
      <c r="AE48" s="266">
        <f t="shared" si="10"/>
        <v>36.893759387880351</v>
      </c>
      <c r="AF48" s="266">
        <f t="shared" si="11"/>
        <v>177.76084068705987</v>
      </c>
      <c r="AG48" s="274">
        <v>0.88</v>
      </c>
      <c r="AH48" s="274">
        <v>0.88</v>
      </c>
      <c r="AI48" s="710">
        <v>0.99</v>
      </c>
      <c r="AJ48" s="710">
        <v>0.99</v>
      </c>
      <c r="AK48" s="274">
        <f t="shared" si="12"/>
        <v>0.88</v>
      </c>
      <c r="AL48" s="274">
        <f t="shared" si="13"/>
        <v>0.88</v>
      </c>
      <c r="AM48" s="274">
        <f t="shared" si="14"/>
        <v>0.89</v>
      </c>
      <c r="AN48" s="274">
        <f t="shared" si="15"/>
        <v>0.89</v>
      </c>
      <c r="AO48" s="262"/>
      <c r="AP48" s="262"/>
      <c r="AQ48" s="267">
        <v>1.0111854839419214</v>
      </c>
      <c r="AR48" s="262"/>
      <c r="AS48" s="266">
        <f t="shared" si="16"/>
        <v>82.755420005806855</v>
      </c>
      <c r="AT48" s="264">
        <f t="shared" si="17"/>
        <v>30.768759050157271</v>
      </c>
      <c r="AU48" s="262"/>
      <c r="AV48" s="262"/>
      <c r="AW48" s="265">
        <v>1.0111854839419214</v>
      </c>
      <c r="AX48" s="164" t="s">
        <v>1469</v>
      </c>
      <c r="AY48" s="266">
        <v>74.746830972986842</v>
      </c>
      <c r="AZ48" s="266">
        <f t="shared" si="45"/>
        <v>74.746830972986842</v>
      </c>
      <c r="BA48" s="264">
        <f t="shared" si="18"/>
        <v>27.791137206593675</v>
      </c>
      <c r="BB48" s="262"/>
      <c r="BC48" s="262"/>
      <c r="BD48" s="265">
        <f ca="1">IFERROR(INDEX(Algorithms!$G:$G,MATCH($C48&amp;"_Therm Saved per Unit",Algorithms!$A:$A,0)),0)</f>
        <v>0.94853594852378065</v>
      </c>
      <c r="BE48" s="164" t="str">
        <f ca="1">IFERROR(INDEX('v12 Revisions'!$P$29:$P$186, MATCH('Measure-Level Adj Gas'!$L48, 'v12 Revisions'!$D$29:$D$186,0)),"")</f>
        <v>Updated full load hours of heating from 1840 to 1726.</v>
      </c>
      <c r="BF48" s="266">
        <f t="shared" ca="1" si="19"/>
        <v>63.314774563962359</v>
      </c>
      <c r="BG48" s="264">
        <f t="shared" ca="1" si="20"/>
        <v>21.3900479868256</v>
      </c>
      <c r="BH48" s="262"/>
      <c r="BI48" s="262"/>
      <c r="BJ48" s="265">
        <f ca="1">IFERROR(INDEX(Algorithms!$G:$G,MATCH($C48&amp;"_Therm Saved per Unit",Algorithms!$A:$A,0)),0)</f>
        <v>0.94853594852378065</v>
      </c>
      <c r="BK48" s="164"/>
      <c r="BL48" s="266">
        <f t="shared" ca="1" si="21"/>
        <v>55.717001616286872</v>
      </c>
      <c r="BM48" s="264">
        <f t="shared" ca="1" si="22"/>
        <v>18.823242228406521</v>
      </c>
      <c r="BN48" s="266">
        <f t="shared" si="23"/>
        <v>82.755420005806855</v>
      </c>
      <c r="BO48" s="266">
        <f t="shared" si="44"/>
        <v>74.746830972986842</v>
      </c>
      <c r="BP48" s="266">
        <f t="shared" ca="1" si="24"/>
        <v>63.314774563962359</v>
      </c>
      <c r="BQ48" s="266">
        <f t="shared" ca="1" si="25"/>
        <v>55.717001616286872</v>
      </c>
      <c r="BR48" s="268">
        <f t="shared" ca="1" si="26"/>
        <v>276.53402715904298</v>
      </c>
      <c r="BS48" s="262" t="s">
        <v>99</v>
      </c>
      <c r="BT48" s="277"/>
      <c r="BW48" s="266">
        <f t="shared" si="27"/>
        <v>51.986660955649583</v>
      </c>
      <c r="BX48" s="266">
        <f t="shared" si="28"/>
        <v>46.955693766393168</v>
      </c>
      <c r="BY48" s="266">
        <f t="shared" si="29"/>
        <v>41.924726577136759</v>
      </c>
      <c r="BZ48" s="266">
        <f t="shared" si="30"/>
        <v>36.893759387880351</v>
      </c>
      <c r="CA48" s="266">
        <f ca="1">N48*IFERROR(INDEX(Algorithms!$G:$G,MATCH($C48&amp;"_Therm Saved per Unit- MLA",Algorithms!$A:$A,0)),0)*X48</f>
        <v>75.687477476506558</v>
      </c>
      <c r="CB48" s="266">
        <f ca="1">O48*IFERROR(INDEX(Algorithms!$G:$G,MATCH($C48&amp;"_Therm Saved per Unit- MLA",Algorithms!$A:$A,0)),0)*Y48</f>
        <v>68.36288288200592</v>
      </c>
      <c r="CC48" s="266">
        <f ca="1">P48*IFERROR(INDEX(Algorithms!$G:$G,MATCH($C48&amp;"_Therm Saved per Unit- MLA",Algorithms!$A:$A,0)),0)*Z48</f>
        <v>61.038288287505281</v>
      </c>
      <c r="CD48" s="266">
        <f ca="1">Q48*IFERROR(INDEX(Algorithms!$G:$G,MATCH($C48&amp;"_Therm Saved per Unit- MLA",Algorithms!$A:$A,0)),0)*AA48</f>
        <v>53.71369369300465</v>
      </c>
      <c r="CE48" s="266">
        <f ca="1">IFERROR(INDEX(Algorithms!$G:$G,MATCH($C48&amp;"_Lifetime (years)",Algorithms!$A:$A,0)),0)</f>
        <v>15</v>
      </c>
      <c r="CF48" s="266">
        <f ca="1">IFERROR(INDEX(Algorithms!$G:$G,MATCH($C48&amp;"_Lifetime (years) - Remaining Years",Algorithms!$A:$A,0)),0)</f>
        <v>13</v>
      </c>
      <c r="CG48" s="266">
        <f t="shared" ca="1" si="31"/>
        <v>827.20154737645771</v>
      </c>
      <c r="CH48" s="266">
        <f t="shared" ca="1" si="32"/>
        <v>747.14978472712301</v>
      </c>
      <c r="CI48" s="266">
        <f t="shared" ca="1" si="33"/>
        <v>667.09802207778841</v>
      </c>
      <c r="CJ48" s="266">
        <f t="shared" ca="1" si="34"/>
        <v>587.04625942845382</v>
      </c>
      <c r="CK48" s="266">
        <f t="shared" si="35"/>
        <v>82.755420005806855</v>
      </c>
      <c r="CL48" s="266">
        <f t="shared" si="36"/>
        <v>74.746830972986842</v>
      </c>
      <c r="CM48" s="266">
        <f t="shared" ca="1" si="37"/>
        <v>62.603372602569522</v>
      </c>
      <c r="CN48" s="266">
        <f t="shared" ca="1" si="38"/>
        <v>55.090967890261176</v>
      </c>
      <c r="CO48" s="266">
        <f ca="1">N48*IFERROR(INDEX(Algorithms!$G:$G,MATCH($C48&amp;"_Therm Saved per Unit- MLA",Algorithms!$A:$A,0)),0)*X48</f>
        <v>75.687477476506558</v>
      </c>
      <c r="CP48" s="266">
        <f ca="1">O48*IFERROR(INDEX(Algorithms!$G:$G,MATCH($C48&amp;"_Therm Saved per Unit- MLA",Algorithms!$A:$A,0)),0)*Y48</f>
        <v>68.36288288200592</v>
      </c>
      <c r="CQ48" s="266">
        <f ca="1">P48*IFERROR(INDEX(Algorithms!$G:$G,MATCH($C48&amp;"_Therm Saved per Unit- MLA",Algorithms!$A:$A,0)),0)*Z48</f>
        <v>61.038288287505281</v>
      </c>
      <c r="CR48" s="266">
        <f ca="1">Q48*IFERROR(INDEX(Algorithms!$G:$G,MATCH($C48&amp;"_Therm Saved per Unit- MLA",Algorithms!$A:$A,0)),0)*AA48</f>
        <v>53.71369369300465</v>
      </c>
      <c r="CS48" s="266">
        <f ca="1">IFERROR(INDEX(Algorithms!$G:$G,MATCH($C48&amp;"_Lifetime (years)",Algorithms!$A:$A,0)),0)</f>
        <v>15</v>
      </c>
      <c r="CT48" s="266">
        <f ca="1">IFERROR(INDEX(Algorithms!$G:$G,MATCH($C48&amp;"_Lifetime (years) - Remaining Years",Algorithms!$A:$A,0)),0)</f>
        <v>13</v>
      </c>
      <c r="CU48" s="266">
        <f t="shared" ca="1" si="39"/>
        <v>1227.1954150285023</v>
      </c>
      <c r="CV48" s="266">
        <f t="shared" ca="1" si="40"/>
        <v>1108.4345684128407</v>
      </c>
      <c r="CW48" s="266">
        <f t="shared" ca="1" si="41"/>
        <v>935.92042040841432</v>
      </c>
      <c r="CX48" s="266">
        <f t="shared" ca="1" si="42"/>
        <v>823.60996995940457</v>
      </c>
    </row>
    <row r="49" spans="2:102" s="47" customFormat="1" ht="18" customHeight="1" x14ac:dyDescent="0.25">
      <c r="B49" t="str">
        <f t="shared" si="43"/>
        <v>NSG_Income Eligible_Single Family_IHWAP_Water Heater_Storage 0.67 EF_SF</v>
      </c>
      <c r="C49" s="47" t="str">
        <f t="shared" si="6"/>
        <v>Water Heater_Storage 0.67 EF_SF</v>
      </c>
      <c r="D49" s="270" t="s">
        <v>1787</v>
      </c>
      <c r="E49" s="270" t="s">
        <v>325</v>
      </c>
      <c r="F49" s="270" t="s">
        <v>375</v>
      </c>
      <c r="G49" s="270" t="s">
        <v>1439</v>
      </c>
      <c r="H49" s="270" t="s">
        <v>8</v>
      </c>
      <c r="I49" s="270" t="s">
        <v>879</v>
      </c>
      <c r="J49" s="270" t="s">
        <v>409</v>
      </c>
      <c r="K49" s="263">
        <v>1</v>
      </c>
      <c r="L49" s="263" t="str">
        <f ca="1">IFERROR(INDEX(Algorithms!J:J,MATCH($C49&amp;"_Therm Saved per Unit",Algorithms!$A:$A,0)),"n/a")</f>
        <v>5.4.2</v>
      </c>
      <c r="M49" s="263" t="str">
        <f>IFERROR(INDEX('Measure Level Detail'!$N:$N,MATCH($B49,'Measure Level Detail'!$B:$B,0)),0)</f>
        <v>Each</v>
      </c>
      <c r="N49" s="271">
        <f>IFERROR(INDEX('Measure Level Detail'!$P:$P,MATCH($B49&amp;"_"&amp;N$3,'Measure Level Detail'!$C:$C,0)),0)</f>
        <v>29</v>
      </c>
      <c r="O49" s="271">
        <f>IFERROR(INDEX('Measure Level Detail'!$P:$P,MATCH($B49&amp;"_"&amp;O$3,'Measure Level Detail'!$C:$C,0)),0)</f>
        <v>31</v>
      </c>
      <c r="P49" s="271">
        <f>IFERROR(INDEX('Measure Level Detail'!$P:$P,MATCH($B49&amp;"_"&amp;P$3,'Measure Level Detail'!$C:$C,0)),0)</f>
        <v>40</v>
      </c>
      <c r="Q49" s="271">
        <f>IFERROR(INDEX('Measure Level Detail'!$P:$P,MATCH($B49&amp;"_"&amp;Q$3,'Measure Level Detail'!$C:$C,0)),0)</f>
        <v>43</v>
      </c>
      <c r="R49" s="263" t="str">
        <f ca="1">IFERROR(INDEX(Algorithms!K:K,MATCH($C49&amp;"_Therm Saved per Unit",Algorithms!$A:$A,0)),"n/a")</f>
        <v>RS-HWE-GWHT-V11-240101</v>
      </c>
      <c r="S49" s="262"/>
      <c r="T49" s="272">
        <v>22.454907874999904</v>
      </c>
      <c r="U49" s="272">
        <v>22.454907874999904</v>
      </c>
      <c r="V49" s="272">
        <v>22.454907874999904</v>
      </c>
      <c r="W49" s="272">
        <v>22.454907874999904</v>
      </c>
      <c r="X49" s="273">
        <f>IFERROR(INDEX('Measure Level Detail'!$R:$R,MATCH($B49&amp;"_"&amp;X$3,'Measure Level Detail'!$C:$C,0)),0)</f>
        <v>1</v>
      </c>
      <c r="Y49" s="273">
        <f>IFERROR(INDEX('Measure Level Detail'!$R:$R,MATCH($B49&amp;"_"&amp;Y$3,'Measure Level Detail'!$C:$C,0)),0)</f>
        <v>1</v>
      </c>
      <c r="Z49" s="273">
        <f>IFERROR(INDEX('Measure Level Detail'!$R:$R,MATCH($B49&amp;"_"&amp;Z$3,'Measure Level Detail'!$C:$C,0)),0)</f>
        <v>1</v>
      </c>
      <c r="AA49" s="273">
        <f>IFERROR(INDEX('Measure Level Detail'!$R:$R,MATCH($B49&amp;"_"&amp;AA$3,'Measure Level Detail'!$C:$C,0)),0)</f>
        <v>1</v>
      </c>
      <c r="AB49" s="266">
        <f t="shared" si="7"/>
        <v>651.19232837499726</v>
      </c>
      <c r="AC49" s="266">
        <f t="shared" si="8"/>
        <v>696.10214412499704</v>
      </c>
      <c r="AD49" s="266">
        <f t="shared" si="9"/>
        <v>898.19631499999616</v>
      </c>
      <c r="AE49" s="266">
        <f t="shared" si="10"/>
        <v>965.56103862499583</v>
      </c>
      <c r="AF49" s="266">
        <f t="shared" si="11"/>
        <v>3211.0518261249863</v>
      </c>
      <c r="AG49" s="274">
        <v>1</v>
      </c>
      <c r="AH49" s="274">
        <v>1</v>
      </c>
      <c r="AI49" s="274">
        <v>1</v>
      </c>
      <c r="AJ49" s="274">
        <v>1</v>
      </c>
      <c r="AK49" s="274">
        <f t="shared" si="12"/>
        <v>1</v>
      </c>
      <c r="AL49" s="274">
        <f t="shared" si="13"/>
        <v>1</v>
      </c>
      <c r="AM49" s="274">
        <f t="shared" si="14"/>
        <v>1</v>
      </c>
      <c r="AN49" s="274">
        <f t="shared" si="15"/>
        <v>1</v>
      </c>
      <c r="AO49" s="262"/>
      <c r="AP49" s="262"/>
      <c r="AQ49" s="267">
        <v>23.498586691725251</v>
      </c>
      <c r="AR49" s="262"/>
      <c r="AS49" s="266">
        <f t="shared" si="16"/>
        <v>681.45901406003225</v>
      </c>
      <c r="AT49" s="264">
        <f t="shared" si="17"/>
        <v>30.266685685034986</v>
      </c>
      <c r="AU49" s="262"/>
      <c r="AV49" s="262"/>
      <c r="AW49" s="265">
        <v>23.498586691725251</v>
      </c>
      <c r="AX49" s="164" t="s">
        <v>1469</v>
      </c>
      <c r="AY49" s="266">
        <v>728.4561874434828</v>
      </c>
      <c r="AZ49" s="266">
        <f t="shared" si="45"/>
        <v>728.4561874434828</v>
      </c>
      <c r="BA49" s="264">
        <f t="shared" si="18"/>
        <v>32.354043318485765</v>
      </c>
      <c r="BB49" s="262"/>
      <c r="BC49" s="262"/>
      <c r="BD49" s="265">
        <f ca="1">IFERROR(INDEX(Algorithms!$G:$G,MATCH($C49&amp;"_Therm Saved per Unit",Algorithms!$A:$A,0)),0)</f>
        <v>49.773717512006058</v>
      </c>
      <c r="BE49" s="164" t="str">
        <f ca="1">IFERROR(INDEX('v12 Revisions'!$P$29:$P$186, MATCH('Measure-Level Adj Gas'!$L49, 'v12 Revisions'!$D$29:$D$186,0)),"")</f>
        <v>Baseline and efficient water heater criteria updated ; Updated measure life to 13.3 years for gas storage water heaters and 18.3 for gas instantaneous water heaters ; Updated incremental cost based on water heater type.</v>
      </c>
      <c r="BF49" s="266">
        <f t="shared" ca="1" si="19"/>
        <v>1990.9487004802422</v>
      </c>
      <c r="BG49" s="264">
        <f t="shared" ca="1" si="20"/>
        <v>1092.7523854802462</v>
      </c>
      <c r="BH49" s="262"/>
      <c r="BI49" s="262"/>
      <c r="BJ49" s="265">
        <f ca="1">IFERROR(INDEX(Algorithms!$G:$G,MATCH($C49&amp;"_Therm Saved per Unit",Algorithms!$A:$A,0)),0)</f>
        <v>49.773717512006058</v>
      </c>
      <c r="BK49" s="164"/>
      <c r="BL49" s="266">
        <f t="shared" ca="1" si="21"/>
        <v>2140.2698530162606</v>
      </c>
      <c r="BM49" s="264">
        <f t="shared" ca="1" si="22"/>
        <v>1174.7088143912647</v>
      </c>
      <c r="BN49" s="266">
        <f t="shared" si="23"/>
        <v>681.45901406003225</v>
      </c>
      <c r="BO49" s="266">
        <f t="shared" si="44"/>
        <v>728.4561874434828</v>
      </c>
      <c r="BP49" s="266">
        <f t="shared" ca="1" si="24"/>
        <v>1990.9487004802422</v>
      </c>
      <c r="BQ49" s="266">
        <f t="shared" ca="1" si="25"/>
        <v>2140.2698530162606</v>
      </c>
      <c r="BR49" s="268">
        <f t="shared" ca="1" si="26"/>
        <v>5541.133755000018</v>
      </c>
      <c r="BS49" s="262" t="s">
        <v>99</v>
      </c>
      <c r="BT49" s="277"/>
      <c r="BW49" s="266">
        <f t="shared" si="27"/>
        <v>651.19232837499726</v>
      </c>
      <c r="BX49" s="266">
        <f t="shared" si="28"/>
        <v>696.10214412499704</v>
      </c>
      <c r="BY49" s="266">
        <f t="shared" si="29"/>
        <v>898.19631499999616</v>
      </c>
      <c r="BZ49" s="266">
        <f t="shared" si="30"/>
        <v>965.56103862499583</v>
      </c>
      <c r="CA49" s="266">
        <f ca="1">N49*IFERROR(INDEX(Algorithms!$G:$G,MATCH($C49&amp;"_Therm Saved per Unit- MLA",Algorithms!$A:$A,0)),0)*X49</f>
        <v>0</v>
      </c>
      <c r="CB49" s="266">
        <f ca="1">O49*IFERROR(INDEX(Algorithms!$G:$G,MATCH($C49&amp;"_Therm Saved per Unit- MLA",Algorithms!$A:$A,0)),0)*Y49</f>
        <v>0</v>
      </c>
      <c r="CC49" s="266">
        <f ca="1">P49*IFERROR(INDEX(Algorithms!$G:$G,MATCH($C49&amp;"_Therm Saved per Unit- MLA",Algorithms!$A:$A,0)),0)*Z49</f>
        <v>0</v>
      </c>
      <c r="CD49" s="266">
        <f ca="1">Q49*IFERROR(INDEX(Algorithms!$G:$G,MATCH($C49&amp;"_Therm Saved per Unit- MLA",Algorithms!$A:$A,0)),0)*AA49</f>
        <v>0</v>
      </c>
      <c r="CE49" s="266">
        <f ca="1">IFERROR(INDEX(Algorithms!$G:$G,MATCH($C49&amp;"_Lifetime (years)",Algorithms!$A:$A,0)),0)</f>
        <v>13.3</v>
      </c>
      <c r="CF49" s="266">
        <f ca="1">IFERROR(INDEX(Algorithms!$G:$G,MATCH($C49&amp;"_Lifetime (years) - Remaining Years",Algorithms!$A:$A,0)),0)</f>
        <v>0</v>
      </c>
      <c r="CG49" s="266">
        <f t="shared" ca="1" si="31"/>
        <v>8660.8579673874647</v>
      </c>
      <c r="CH49" s="266">
        <f t="shared" ca="1" si="32"/>
        <v>9258.1585168624606</v>
      </c>
      <c r="CI49" s="266">
        <f t="shared" ca="1" si="33"/>
        <v>11946.01098949995</v>
      </c>
      <c r="CJ49" s="266">
        <f t="shared" ca="1" si="34"/>
        <v>12841.961813712445</v>
      </c>
      <c r="CK49" s="266">
        <f t="shared" si="35"/>
        <v>681.45901406003225</v>
      </c>
      <c r="CL49" s="266">
        <f t="shared" si="36"/>
        <v>728.4561874434828</v>
      </c>
      <c r="CM49" s="266">
        <f t="shared" ca="1" si="37"/>
        <v>1990.9487004802422</v>
      </c>
      <c r="CN49" s="266">
        <f t="shared" ca="1" si="38"/>
        <v>2140.2698530162606</v>
      </c>
      <c r="CO49" s="266">
        <f ca="1">N49*IFERROR(INDEX(Algorithms!$G:$G,MATCH($C49&amp;"_Therm Saved per Unit- MLA",Algorithms!$A:$A,0)),0)*X49</f>
        <v>0</v>
      </c>
      <c r="CP49" s="266">
        <f ca="1">O49*IFERROR(INDEX(Algorithms!$G:$G,MATCH($C49&amp;"_Therm Saved per Unit- MLA",Algorithms!$A:$A,0)),0)*Y49</f>
        <v>0</v>
      </c>
      <c r="CQ49" s="266">
        <f ca="1">P49*IFERROR(INDEX(Algorithms!$G:$G,MATCH($C49&amp;"_Therm Saved per Unit- MLA",Algorithms!$A:$A,0)),0)*Z49</f>
        <v>0</v>
      </c>
      <c r="CR49" s="266">
        <f ca="1">Q49*IFERROR(INDEX(Algorithms!$G:$G,MATCH($C49&amp;"_Therm Saved per Unit- MLA",Algorithms!$A:$A,0)),0)*AA49</f>
        <v>0</v>
      </c>
      <c r="CS49" s="266">
        <f ca="1">IFERROR(INDEX(Algorithms!$G:$G,MATCH($C49&amp;"_Lifetime (years)",Algorithms!$A:$A,0)),0)</f>
        <v>13.3</v>
      </c>
      <c r="CT49" s="266">
        <f ca="1">IFERROR(INDEX(Algorithms!$G:$G,MATCH($C49&amp;"_Lifetime (years) - Remaining Years",Algorithms!$A:$A,0)),0)</f>
        <v>0</v>
      </c>
      <c r="CU49" s="266">
        <f t="shared" ca="1" si="39"/>
        <v>9063.404886998429</v>
      </c>
      <c r="CV49" s="266">
        <f t="shared" ca="1" si="40"/>
        <v>9688.4672929983226</v>
      </c>
      <c r="CW49" s="266">
        <f t="shared" ca="1" si="41"/>
        <v>26479.617716387223</v>
      </c>
      <c r="CX49" s="266">
        <f t="shared" ca="1" si="42"/>
        <v>28465.589045116267</v>
      </c>
    </row>
    <row r="50" spans="2:102" s="47" customFormat="1" ht="18" customHeight="1" x14ac:dyDescent="0.25">
      <c r="B50" t="str">
        <f t="shared" si="43"/>
        <v>NSG_Income Eligible_Multi-Family_MF IHWAP_Low Flow Showerhead_0_MF</v>
      </c>
      <c r="C50" s="47" t="str">
        <f t="shared" si="6"/>
        <v>Low Flow Showerhead_0_MF</v>
      </c>
      <c r="D50" s="270" t="s">
        <v>1787</v>
      </c>
      <c r="E50" s="270" t="s">
        <v>325</v>
      </c>
      <c r="F50" s="270" t="s">
        <v>1422</v>
      </c>
      <c r="G50" s="270" t="s">
        <v>1441</v>
      </c>
      <c r="H50" s="270" t="s">
        <v>15</v>
      </c>
      <c r="I50" s="270">
        <v>0</v>
      </c>
      <c r="J50" s="270" t="s">
        <v>553</v>
      </c>
      <c r="K50" s="263">
        <v>1</v>
      </c>
      <c r="L50" s="263" t="str">
        <f ca="1">IFERROR(INDEX(Algorithms!J:J,MATCH($C50&amp;"_Therm Saved per Unit",Algorithms!$A:$A,0)),"n/a")</f>
        <v>5.4.5</v>
      </c>
      <c r="M50" s="263" t="str">
        <f>IFERROR(INDEX('Measure Level Detail'!$N:$N,MATCH($B50,'Measure Level Detail'!$B:$B,0)),0)</f>
        <v>each</v>
      </c>
      <c r="N50" s="271">
        <f>IFERROR(INDEX('Measure Level Detail'!$P:$P,MATCH($B50&amp;"_"&amp;N$3,'Measure Level Detail'!$C:$C,0)),0)</f>
        <v>36</v>
      </c>
      <c r="O50" s="271">
        <f>IFERROR(INDEX('Measure Level Detail'!$P:$P,MATCH($B50&amp;"_"&amp;O$3,'Measure Level Detail'!$C:$C,0)),0)</f>
        <v>45</v>
      </c>
      <c r="P50" s="271">
        <f>IFERROR(INDEX('Measure Level Detail'!$P:$P,MATCH($B50&amp;"_"&amp;P$3,'Measure Level Detail'!$C:$C,0)),0)</f>
        <v>81</v>
      </c>
      <c r="Q50" s="271">
        <f>IFERROR(INDEX('Measure Level Detail'!$P:$P,MATCH($B50&amp;"_"&amp;Q$3,'Measure Level Detail'!$C:$C,0)),0)</f>
        <v>90</v>
      </c>
      <c r="R50" s="263" t="str">
        <f ca="1">IFERROR(INDEX(Algorithms!K:K,MATCH($C50&amp;"_Therm Saved per Unit",Algorithms!$A:$A,0)),"n/a")</f>
        <v>RS-HWE-LFSH-V12-240101</v>
      </c>
      <c r="S50" s="262"/>
      <c r="T50" s="272">
        <v>11.319060638969999</v>
      </c>
      <c r="U50" s="272">
        <v>11.319060638969999</v>
      </c>
      <c r="V50" s="272">
        <v>11.319060638969999</v>
      </c>
      <c r="W50" s="272">
        <v>11.319060638969999</v>
      </c>
      <c r="X50" s="273">
        <f>IFERROR(INDEX('Measure Level Detail'!$R:$R,MATCH($B50&amp;"_"&amp;X$3,'Measure Level Detail'!$C:$C,0)),0)</f>
        <v>1</v>
      </c>
      <c r="Y50" s="273">
        <f>IFERROR(INDEX('Measure Level Detail'!$R:$R,MATCH($B50&amp;"_"&amp;Y$3,'Measure Level Detail'!$C:$C,0)),0)</f>
        <v>1</v>
      </c>
      <c r="Z50" s="273">
        <f>IFERROR(INDEX('Measure Level Detail'!$R:$R,MATCH($B50&amp;"_"&amp;Z$3,'Measure Level Detail'!$C:$C,0)),0)</f>
        <v>1</v>
      </c>
      <c r="AA50" s="273">
        <f>IFERROR(INDEX('Measure Level Detail'!$R:$R,MATCH($B50&amp;"_"&amp;AA$3,'Measure Level Detail'!$C:$C,0)),0)</f>
        <v>1</v>
      </c>
      <c r="AB50" s="266">
        <f t="shared" si="7"/>
        <v>407.48618300291997</v>
      </c>
      <c r="AC50" s="266">
        <f t="shared" si="8"/>
        <v>509.35772875364995</v>
      </c>
      <c r="AD50" s="266">
        <f t="shared" si="9"/>
        <v>916.84391175656992</v>
      </c>
      <c r="AE50" s="266">
        <f t="shared" si="10"/>
        <v>1018.7154575072999</v>
      </c>
      <c r="AF50" s="266">
        <f t="shared" si="11"/>
        <v>2852.4032810204399</v>
      </c>
      <c r="AG50" s="274">
        <v>1</v>
      </c>
      <c r="AH50" s="274">
        <v>1</v>
      </c>
      <c r="AI50" s="274">
        <v>1</v>
      </c>
      <c r="AJ50" s="274">
        <v>1</v>
      </c>
      <c r="AK50" s="274">
        <f t="shared" si="12"/>
        <v>1</v>
      </c>
      <c r="AL50" s="274">
        <f t="shared" si="13"/>
        <v>1</v>
      </c>
      <c r="AM50" s="274">
        <f t="shared" si="14"/>
        <v>1</v>
      </c>
      <c r="AN50" s="274">
        <f t="shared" si="15"/>
        <v>1</v>
      </c>
      <c r="AO50" s="262"/>
      <c r="AP50" s="262"/>
      <c r="AQ50" s="267">
        <v>12.139632199151192</v>
      </c>
      <c r="AR50" s="262"/>
      <c r="AS50" s="266">
        <f t="shared" si="16"/>
        <v>437.02675916944293</v>
      </c>
      <c r="AT50" s="264">
        <f t="shared" si="17"/>
        <v>29.540576166522953</v>
      </c>
      <c r="AU50" s="262"/>
      <c r="AV50" s="262"/>
      <c r="AW50" s="265">
        <v>12.26741780124752</v>
      </c>
      <c r="AX50" s="164" t="s">
        <v>2392</v>
      </c>
      <c r="AY50" s="266">
        <v>546.28344896180363</v>
      </c>
      <c r="AZ50" s="266">
        <f t="shared" si="45"/>
        <v>552.03380105613837</v>
      </c>
      <c r="BA50" s="264">
        <f t="shared" si="18"/>
        <v>42.676072302488421</v>
      </c>
      <c r="BB50" s="262"/>
      <c r="BC50" s="262"/>
      <c r="BD50" s="265">
        <f ca="1">IFERROR(INDEX(Algorithms!$G:$G,MATCH($C50&amp;"_Therm Saved per Unit",Algorithms!$A:$A,0)),0)</f>
        <v>12.26741780124752</v>
      </c>
      <c r="BE50" s="164" t="str">
        <f ca="1">IFERROR(INDEX('v12 Revisions'!$P$29:$P$186, MATCH('Measure-Level Adj Gas'!$L50, 'v12 Revisions'!$D$29:$D$186,0)),"")</f>
        <v>n/a - plan assumes Direct Install, not Distributed School Efficiency Kit.</v>
      </c>
      <c r="BF50" s="266">
        <f t="shared" ca="1" si="19"/>
        <v>993.66084190104914</v>
      </c>
      <c r="BG50" s="264">
        <f t="shared" ca="1" si="20"/>
        <v>76.816930144479215</v>
      </c>
      <c r="BH50" s="262"/>
      <c r="BI50" s="262"/>
      <c r="BJ50" s="265">
        <f ca="1">IFERROR(INDEX(Algorithms!$G:$G,MATCH($C50&amp;"_Therm Saved per Unit",Algorithms!$A:$A,0)),0)</f>
        <v>12.26741780124752</v>
      </c>
      <c r="BK50" s="164"/>
      <c r="BL50" s="266">
        <f t="shared" ca="1" si="21"/>
        <v>1104.0676021122767</v>
      </c>
      <c r="BM50" s="264">
        <f t="shared" ca="1" si="22"/>
        <v>85.352144604976843</v>
      </c>
      <c r="BN50" s="266">
        <f t="shared" si="23"/>
        <v>437.02675916944293</v>
      </c>
      <c r="BO50" s="266">
        <f t="shared" si="44"/>
        <v>552.03380105613837</v>
      </c>
      <c r="BP50" s="266">
        <f t="shared" ca="1" si="24"/>
        <v>993.66084190104914</v>
      </c>
      <c r="BQ50" s="266">
        <f t="shared" ca="1" si="25"/>
        <v>1104.0676021122767</v>
      </c>
      <c r="BR50" s="268">
        <f t="shared" ca="1" si="26"/>
        <v>3086.7890042389072</v>
      </c>
      <c r="BS50" s="262" t="s">
        <v>99</v>
      </c>
      <c r="BT50" s="277"/>
      <c r="BW50" s="266">
        <f t="shared" si="27"/>
        <v>407.48618300291997</v>
      </c>
      <c r="BX50" s="266">
        <f t="shared" si="28"/>
        <v>509.35772875364995</v>
      </c>
      <c r="BY50" s="266">
        <f t="shared" si="29"/>
        <v>916.84391175656992</v>
      </c>
      <c r="BZ50" s="266">
        <f t="shared" si="30"/>
        <v>1018.7154575072999</v>
      </c>
      <c r="CA50" s="266">
        <f ca="1">N50*IFERROR(INDEX(Algorithms!$G:$G,MATCH($C50&amp;"_Therm Saved per Unit- MLA",Algorithms!$A:$A,0)),0)*X50</f>
        <v>0</v>
      </c>
      <c r="CB50" s="266">
        <f ca="1">O50*IFERROR(INDEX(Algorithms!$G:$G,MATCH($C50&amp;"_Therm Saved per Unit- MLA",Algorithms!$A:$A,0)),0)*Y50</f>
        <v>0</v>
      </c>
      <c r="CC50" s="266">
        <f ca="1">P50*IFERROR(INDEX(Algorithms!$G:$G,MATCH($C50&amp;"_Therm Saved per Unit- MLA",Algorithms!$A:$A,0)),0)*Z50</f>
        <v>0</v>
      </c>
      <c r="CD50" s="266">
        <f ca="1">Q50*IFERROR(INDEX(Algorithms!$G:$G,MATCH($C50&amp;"_Therm Saved per Unit- MLA",Algorithms!$A:$A,0)),0)*AA50</f>
        <v>0</v>
      </c>
      <c r="CE50" s="266">
        <f ca="1">IFERROR(INDEX(Algorithms!$G:$G,MATCH($C50&amp;"_Lifetime (years)",Algorithms!$A:$A,0)),0)</f>
        <v>10</v>
      </c>
      <c r="CF50" s="266">
        <f ca="1">IFERROR(INDEX(Algorithms!$G:$G,MATCH($C50&amp;"_Lifetime (years) - Remaining Years",Algorithms!$A:$A,0)),0)</f>
        <v>0</v>
      </c>
      <c r="CG50" s="266">
        <f t="shared" ca="1" si="31"/>
        <v>4074.8618300291996</v>
      </c>
      <c r="CH50" s="266">
        <f t="shared" ca="1" si="32"/>
        <v>5093.5772875364992</v>
      </c>
      <c r="CI50" s="266">
        <f t="shared" ca="1" si="33"/>
        <v>9168.4391175657001</v>
      </c>
      <c r="CJ50" s="266">
        <f t="shared" ca="1" si="34"/>
        <v>10187.154575072998</v>
      </c>
      <c r="CK50" s="266">
        <f t="shared" si="35"/>
        <v>437.02675916944293</v>
      </c>
      <c r="CL50" s="266">
        <f t="shared" si="36"/>
        <v>552.03380105613837</v>
      </c>
      <c r="CM50" s="266">
        <f t="shared" ca="1" si="37"/>
        <v>993.66084190104914</v>
      </c>
      <c r="CN50" s="266">
        <f t="shared" ca="1" si="38"/>
        <v>1104.0676021122767</v>
      </c>
      <c r="CO50" s="266">
        <f ca="1">N50*IFERROR(INDEX(Algorithms!$G:$G,MATCH($C50&amp;"_Therm Saved per Unit- MLA",Algorithms!$A:$A,0)),0)*X50</f>
        <v>0</v>
      </c>
      <c r="CP50" s="266">
        <f ca="1">O50*IFERROR(INDEX(Algorithms!$G:$G,MATCH($C50&amp;"_Therm Saved per Unit- MLA",Algorithms!$A:$A,0)),0)*Y50</f>
        <v>0</v>
      </c>
      <c r="CQ50" s="266">
        <f ca="1">P50*IFERROR(INDEX(Algorithms!$G:$G,MATCH($C50&amp;"_Therm Saved per Unit- MLA",Algorithms!$A:$A,0)),0)*Z50</f>
        <v>0</v>
      </c>
      <c r="CR50" s="266">
        <f ca="1">Q50*IFERROR(INDEX(Algorithms!$G:$G,MATCH($C50&amp;"_Therm Saved per Unit- MLA",Algorithms!$A:$A,0)),0)*AA50</f>
        <v>0</v>
      </c>
      <c r="CS50" s="266">
        <f ca="1">IFERROR(INDEX(Algorithms!$G:$G,MATCH($C50&amp;"_Lifetime (years)",Algorithms!$A:$A,0)),0)</f>
        <v>10</v>
      </c>
      <c r="CT50" s="266">
        <f ca="1">IFERROR(INDEX(Algorithms!$G:$G,MATCH($C50&amp;"_Lifetime (years) - Remaining Years",Algorithms!$A:$A,0)),0)</f>
        <v>0</v>
      </c>
      <c r="CU50" s="266">
        <f t="shared" ca="1" si="39"/>
        <v>4370.267591694429</v>
      </c>
      <c r="CV50" s="266">
        <f t="shared" ca="1" si="40"/>
        <v>5520.3380105613833</v>
      </c>
      <c r="CW50" s="266">
        <f t="shared" ca="1" si="41"/>
        <v>9936.6084190104921</v>
      </c>
      <c r="CX50" s="266">
        <f t="shared" ca="1" si="42"/>
        <v>11040.676021122767</v>
      </c>
    </row>
    <row r="51" spans="2:102" s="47" customFormat="1" ht="18" customHeight="1" x14ac:dyDescent="0.25">
      <c r="B51" t="str">
        <f t="shared" si="43"/>
        <v>NSG_Income Eligible_Multi-Family_Whole Building - Public Housing_Low Flow Showerhead_0_MF</v>
      </c>
      <c r="C51" s="47" t="str">
        <f t="shared" si="6"/>
        <v>Low Flow Showerhead_0_MF</v>
      </c>
      <c r="D51" s="270" t="s">
        <v>1787</v>
      </c>
      <c r="E51" s="270" t="s">
        <v>325</v>
      </c>
      <c r="F51" s="270" t="s">
        <v>1422</v>
      </c>
      <c r="G51" s="270" t="s">
        <v>1817</v>
      </c>
      <c r="H51" s="270" t="s">
        <v>15</v>
      </c>
      <c r="I51" s="270">
        <v>0</v>
      </c>
      <c r="J51" s="270" t="s">
        <v>553</v>
      </c>
      <c r="K51" s="263">
        <v>1</v>
      </c>
      <c r="L51" s="263" t="str">
        <f ca="1">IFERROR(INDEX(Algorithms!J:J,MATCH($C51&amp;"_Therm Saved per Unit",Algorithms!$A:$A,0)),"n/a")</f>
        <v>5.4.5</v>
      </c>
      <c r="M51" s="263" t="str">
        <f>IFERROR(INDEX('Measure Level Detail'!$N:$N,MATCH($B51,'Measure Level Detail'!$B:$B,0)),0)</f>
        <v>each</v>
      </c>
      <c r="N51" s="271">
        <f>IFERROR(INDEX('Measure Level Detail'!$P:$P,MATCH($B51&amp;"_"&amp;N$3,'Measure Level Detail'!$C:$C,0)),0)</f>
        <v>36</v>
      </c>
      <c r="O51" s="271">
        <f>IFERROR(INDEX('Measure Level Detail'!$P:$P,MATCH($B51&amp;"_"&amp;O$3,'Measure Level Detail'!$C:$C,0)),0)</f>
        <v>36</v>
      </c>
      <c r="P51" s="271">
        <f>IFERROR(INDEX('Measure Level Detail'!$P:$P,MATCH($B51&amp;"_"&amp;P$3,'Measure Level Detail'!$C:$C,0)),0)</f>
        <v>36</v>
      </c>
      <c r="Q51" s="271">
        <f>IFERROR(INDEX('Measure Level Detail'!$P:$P,MATCH($B51&amp;"_"&amp;Q$3,'Measure Level Detail'!$C:$C,0)),0)</f>
        <v>36</v>
      </c>
      <c r="R51" s="263" t="str">
        <f ca="1">IFERROR(INDEX(Algorithms!K:K,MATCH($C51&amp;"_Therm Saved per Unit",Algorithms!$A:$A,0)),"n/a")</f>
        <v>RS-HWE-LFSH-V12-240101</v>
      </c>
      <c r="S51" s="262"/>
      <c r="T51" s="272">
        <v>11.319060638969999</v>
      </c>
      <c r="U51" s="272">
        <v>11.319060638969999</v>
      </c>
      <c r="V51" s="272">
        <v>11.319060638969999</v>
      </c>
      <c r="W51" s="272">
        <v>11.319060638969999</v>
      </c>
      <c r="X51" s="273">
        <f>IFERROR(INDEX('Measure Level Detail'!$R:$R,MATCH($B51&amp;"_"&amp;X$3,'Measure Level Detail'!$C:$C,0)),0)</f>
        <v>1</v>
      </c>
      <c r="Y51" s="273">
        <f>IFERROR(INDEX('Measure Level Detail'!$R:$R,MATCH($B51&amp;"_"&amp;Y$3,'Measure Level Detail'!$C:$C,0)),0)</f>
        <v>1</v>
      </c>
      <c r="Z51" s="273">
        <f>IFERROR(INDEX('Measure Level Detail'!$R:$R,MATCH($B51&amp;"_"&amp;Z$3,'Measure Level Detail'!$C:$C,0)),0)</f>
        <v>1</v>
      </c>
      <c r="AA51" s="273">
        <f>IFERROR(INDEX('Measure Level Detail'!$R:$R,MATCH($B51&amp;"_"&amp;AA$3,'Measure Level Detail'!$C:$C,0)),0)</f>
        <v>1</v>
      </c>
      <c r="AB51" s="266">
        <f t="shared" si="7"/>
        <v>407.48618300291997</v>
      </c>
      <c r="AC51" s="266">
        <f t="shared" si="8"/>
        <v>407.48618300291997</v>
      </c>
      <c r="AD51" s="266">
        <f t="shared" si="9"/>
        <v>407.48618300291997</v>
      </c>
      <c r="AE51" s="266">
        <f t="shared" si="10"/>
        <v>407.48618300291997</v>
      </c>
      <c r="AF51" s="266">
        <f t="shared" si="11"/>
        <v>1629.9447320116799</v>
      </c>
      <c r="AG51" s="274">
        <v>1</v>
      </c>
      <c r="AH51" s="274">
        <v>1</v>
      </c>
      <c r="AI51" s="274">
        <v>1</v>
      </c>
      <c r="AJ51" s="274">
        <v>1</v>
      </c>
      <c r="AK51" s="274">
        <f t="shared" si="12"/>
        <v>1</v>
      </c>
      <c r="AL51" s="274">
        <f t="shared" si="13"/>
        <v>1</v>
      </c>
      <c r="AM51" s="274">
        <f t="shared" si="14"/>
        <v>1</v>
      </c>
      <c r="AN51" s="274">
        <f t="shared" si="15"/>
        <v>1</v>
      </c>
      <c r="AO51" s="262"/>
      <c r="AP51" s="262"/>
      <c r="AQ51" s="267">
        <v>12.139632199151192</v>
      </c>
      <c r="AR51" s="262"/>
      <c r="AS51" s="266">
        <f t="shared" si="16"/>
        <v>437.02675916944293</v>
      </c>
      <c r="AT51" s="264">
        <f t="shared" si="17"/>
        <v>29.540576166522953</v>
      </c>
      <c r="AU51" s="262"/>
      <c r="AV51" s="262"/>
      <c r="AW51" s="265">
        <v>12.26741780124752</v>
      </c>
      <c r="AX51" s="164" t="s">
        <v>2392</v>
      </c>
      <c r="AY51" s="266">
        <v>437.02675916944293</v>
      </c>
      <c r="AZ51" s="266">
        <f t="shared" si="45"/>
        <v>441.62704084491071</v>
      </c>
      <c r="BA51" s="264">
        <f t="shared" si="18"/>
        <v>34.140857841990737</v>
      </c>
      <c r="BB51" s="262"/>
      <c r="BC51" s="262"/>
      <c r="BD51" s="265">
        <f ca="1">IFERROR(INDEX(Algorithms!$G:$G,MATCH($C51&amp;"_Therm Saved per Unit",Algorithms!$A:$A,0)),0)</f>
        <v>12.26741780124752</v>
      </c>
      <c r="BE51" s="164" t="str">
        <f ca="1">IFERROR(INDEX('v12 Revisions'!$P$29:$P$186, MATCH('Measure-Level Adj Gas'!$L51, 'v12 Revisions'!$D$29:$D$186,0)),"")</f>
        <v>n/a - plan assumes Direct Install, not Distributed School Efficiency Kit.</v>
      </c>
      <c r="BF51" s="266">
        <f t="shared" ca="1" si="19"/>
        <v>441.62704084491071</v>
      </c>
      <c r="BG51" s="264">
        <f t="shared" ca="1" si="20"/>
        <v>34.140857841990737</v>
      </c>
      <c r="BH51" s="262"/>
      <c r="BI51" s="262"/>
      <c r="BJ51" s="265">
        <f ca="1">IFERROR(INDEX(Algorithms!$G:$G,MATCH($C51&amp;"_Therm Saved per Unit",Algorithms!$A:$A,0)),0)</f>
        <v>12.26741780124752</v>
      </c>
      <c r="BK51" s="164"/>
      <c r="BL51" s="266">
        <f t="shared" ca="1" si="21"/>
        <v>441.62704084491071</v>
      </c>
      <c r="BM51" s="264">
        <f t="shared" ca="1" si="22"/>
        <v>34.140857841990737</v>
      </c>
      <c r="BN51" s="266">
        <f t="shared" si="23"/>
        <v>437.02675916944293</v>
      </c>
      <c r="BO51" s="266">
        <f t="shared" si="44"/>
        <v>441.62704084491071</v>
      </c>
      <c r="BP51" s="266">
        <f t="shared" ca="1" si="24"/>
        <v>441.62704084491071</v>
      </c>
      <c r="BQ51" s="266">
        <f t="shared" ca="1" si="25"/>
        <v>441.62704084491071</v>
      </c>
      <c r="BR51" s="268">
        <f t="shared" ca="1" si="26"/>
        <v>1761.907881704175</v>
      </c>
      <c r="BS51" s="262" t="s">
        <v>99</v>
      </c>
      <c r="BT51" s="277"/>
      <c r="BW51" s="266">
        <f t="shared" si="27"/>
        <v>407.48618300291997</v>
      </c>
      <c r="BX51" s="266">
        <f t="shared" si="28"/>
        <v>407.48618300291997</v>
      </c>
      <c r="BY51" s="266">
        <f t="shared" si="29"/>
        <v>407.48618300291997</v>
      </c>
      <c r="BZ51" s="266">
        <f t="shared" si="30"/>
        <v>407.48618300291997</v>
      </c>
      <c r="CA51" s="266">
        <f ca="1">N51*IFERROR(INDEX(Algorithms!$G:$G,MATCH($C51&amp;"_Therm Saved per Unit- MLA",Algorithms!$A:$A,0)),0)*X51</f>
        <v>0</v>
      </c>
      <c r="CB51" s="266">
        <f ca="1">O51*IFERROR(INDEX(Algorithms!$G:$G,MATCH($C51&amp;"_Therm Saved per Unit- MLA",Algorithms!$A:$A,0)),0)*Y51</f>
        <v>0</v>
      </c>
      <c r="CC51" s="266">
        <f ca="1">P51*IFERROR(INDEX(Algorithms!$G:$G,MATCH($C51&amp;"_Therm Saved per Unit- MLA",Algorithms!$A:$A,0)),0)*Z51</f>
        <v>0</v>
      </c>
      <c r="CD51" s="266">
        <f ca="1">Q51*IFERROR(INDEX(Algorithms!$G:$G,MATCH($C51&amp;"_Therm Saved per Unit- MLA",Algorithms!$A:$A,0)),0)*AA51</f>
        <v>0</v>
      </c>
      <c r="CE51" s="266">
        <f ca="1">IFERROR(INDEX(Algorithms!$G:$G,MATCH($C51&amp;"_Lifetime (years)",Algorithms!$A:$A,0)),0)</f>
        <v>10</v>
      </c>
      <c r="CF51" s="266">
        <f ca="1">IFERROR(INDEX(Algorithms!$G:$G,MATCH($C51&amp;"_Lifetime (years) - Remaining Years",Algorithms!$A:$A,0)),0)</f>
        <v>0</v>
      </c>
      <c r="CG51" s="266">
        <f t="shared" ca="1" si="31"/>
        <v>4074.8618300291996</v>
      </c>
      <c r="CH51" s="266">
        <f t="shared" ca="1" si="32"/>
        <v>4074.8618300291996</v>
      </c>
      <c r="CI51" s="266">
        <f t="shared" ca="1" si="33"/>
        <v>4074.8618300291996</v>
      </c>
      <c r="CJ51" s="266">
        <f t="shared" ca="1" si="34"/>
        <v>4074.8618300291996</v>
      </c>
      <c r="CK51" s="266">
        <f t="shared" si="35"/>
        <v>437.02675916944293</v>
      </c>
      <c r="CL51" s="266">
        <f t="shared" si="36"/>
        <v>441.62704084491071</v>
      </c>
      <c r="CM51" s="266">
        <f t="shared" ca="1" si="37"/>
        <v>441.62704084491071</v>
      </c>
      <c r="CN51" s="266">
        <f t="shared" ca="1" si="38"/>
        <v>441.62704084491071</v>
      </c>
      <c r="CO51" s="266">
        <f ca="1">N51*IFERROR(INDEX(Algorithms!$G:$G,MATCH($C51&amp;"_Therm Saved per Unit- MLA",Algorithms!$A:$A,0)),0)*X51</f>
        <v>0</v>
      </c>
      <c r="CP51" s="266">
        <f ca="1">O51*IFERROR(INDEX(Algorithms!$G:$G,MATCH($C51&amp;"_Therm Saved per Unit- MLA",Algorithms!$A:$A,0)),0)*Y51</f>
        <v>0</v>
      </c>
      <c r="CQ51" s="266">
        <f ca="1">P51*IFERROR(INDEX(Algorithms!$G:$G,MATCH($C51&amp;"_Therm Saved per Unit- MLA",Algorithms!$A:$A,0)),0)*Z51</f>
        <v>0</v>
      </c>
      <c r="CR51" s="266">
        <f ca="1">Q51*IFERROR(INDEX(Algorithms!$G:$G,MATCH($C51&amp;"_Therm Saved per Unit- MLA",Algorithms!$A:$A,0)),0)*AA51</f>
        <v>0</v>
      </c>
      <c r="CS51" s="266">
        <f ca="1">IFERROR(INDEX(Algorithms!$G:$G,MATCH($C51&amp;"_Lifetime (years)",Algorithms!$A:$A,0)),0)</f>
        <v>10</v>
      </c>
      <c r="CT51" s="266">
        <f ca="1">IFERROR(INDEX(Algorithms!$G:$G,MATCH($C51&amp;"_Lifetime (years) - Remaining Years",Algorithms!$A:$A,0)),0)</f>
        <v>0</v>
      </c>
      <c r="CU51" s="266">
        <f t="shared" ca="1" si="39"/>
        <v>4370.267591694429</v>
      </c>
      <c r="CV51" s="266">
        <f t="shared" ca="1" si="40"/>
        <v>4416.270408449107</v>
      </c>
      <c r="CW51" s="266">
        <f t="shared" ca="1" si="41"/>
        <v>4416.270408449107</v>
      </c>
      <c r="CX51" s="266">
        <f t="shared" ca="1" si="42"/>
        <v>4416.270408449107</v>
      </c>
    </row>
    <row r="52" spans="2:102" s="47" customFormat="1" ht="18" customHeight="1" x14ac:dyDescent="0.25">
      <c r="B52" t="str">
        <f t="shared" si="43"/>
        <v>NSG_Income Eligible_Multi-Family_MF IHWAP_Low Flow Kitchen Aerator_0_MF</v>
      </c>
      <c r="C52" s="47" t="str">
        <f t="shared" si="6"/>
        <v>Low Flow Kitchen Aerator_0_MF</v>
      </c>
      <c r="D52" s="270" t="s">
        <v>1787</v>
      </c>
      <c r="E52" s="270" t="s">
        <v>325</v>
      </c>
      <c r="F52" s="270" t="s">
        <v>1422</v>
      </c>
      <c r="G52" s="270" t="s">
        <v>1441</v>
      </c>
      <c r="H52" s="270" t="s">
        <v>533</v>
      </c>
      <c r="I52" s="270">
        <v>0</v>
      </c>
      <c r="J52" s="270" t="s">
        <v>553</v>
      </c>
      <c r="K52" s="263">
        <v>1</v>
      </c>
      <c r="L52" s="263" t="str">
        <f ca="1">IFERROR(INDEX(Algorithms!J:J,MATCH($C52&amp;"_Therm Saved per Unit",Algorithms!$A:$A,0)),"n/a")</f>
        <v>5.4.4</v>
      </c>
      <c r="M52" s="263" t="str">
        <f>IFERROR(INDEX('Measure Level Detail'!$N:$N,MATCH($B52,'Measure Level Detail'!$B:$B,0)),0)</f>
        <v>each</v>
      </c>
      <c r="N52" s="271">
        <f>IFERROR(INDEX('Measure Level Detail'!$P:$P,MATCH($B52&amp;"_"&amp;N$3,'Measure Level Detail'!$C:$C,0)),0)</f>
        <v>36</v>
      </c>
      <c r="O52" s="271">
        <f>IFERROR(INDEX('Measure Level Detail'!$P:$P,MATCH($B52&amp;"_"&amp;O$3,'Measure Level Detail'!$C:$C,0)),0)</f>
        <v>45</v>
      </c>
      <c r="P52" s="271">
        <f>IFERROR(INDEX('Measure Level Detail'!$P:$P,MATCH($B52&amp;"_"&amp;P$3,'Measure Level Detail'!$C:$C,0)),0)</f>
        <v>81</v>
      </c>
      <c r="Q52" s="271">
        <f>IFERROR(INDEX('Measure Level Detail'!$P:$P,MATCH($B52&amp;"_"&amp;Q$3,'Measure Level Detail'!$C:$C,0)),0)</f>
        <v>90</v>
      </c>
      <c r="R52" s="263" t="str">
        <f ca="1">IFERROR(INDEX(Algorithms!K:K,MATCH($C52&amp;"_Therm Saved per Unit",Algorithms!$A:$A,0)),"n/a")</f>
        <v>RS-HWE-LFFA-V13-240101</v>
      </c>
      <c r="S52" s="262"/>
      <c r="T52" s="272">
        <v>7.8612856931203403</v>
      </c>
      <c r="U52" s="272">
        <v>7.8612856931203403</v>
      </c>
      <c r="V52" s="272">
        <v>7.8612856931203403</v>
      </c>
      <c r="W52" s="272">
        <v>7.8612856931203403</v>
      </c>
      <c r="X52" s="273">
        <f>IFERROR(INDEX('Measure Level Detail'!$R:$R,MATCH($B52&amp;"_"&amp;X$3,'Measure Level Detail'!$C:$C,0)),0)</f>
        <v>1</v>
      </c>
      <c r="Y52" s="273">
        <f>IFERROR(INDEX('Measure Level Detail'!$R:$R,MATCH($B52&amp;"_"&amp;Y$3,'Measure Level Detail'!$C:$C,0)),0)</f>
        <v>1</v>
      </c>
      <c r="Z52" s="273">
        <f>IFERROR(INDEX('Measure Level Detail'!$R:$R,MATCH($B52&amp;"_"&amp;Z$3,'Measure Level Detail'!$C:$C,0)),0)</f>
        <v>1</v>
      </c>
      <c r="AA52" s="273">
        <f>IFERROR(INDEX('Measure Level Detail'!$R:$R,MATCH($B52&amp;"_"&amp;AA$3,'Measure Level Detail'!$C:$C,0)),0)</f>
        <v>1</v>
      </c>
      <c r="AB52" s="266">
        <f t="shared" si="7"/>
        <v>283.00628495233224</v>
      </c>
      <c r="AC52" s="266">
        <f t="shared" si="8"/>
        <v>353.75785619041534</v>
      </c>
      <c r="AD52" s="266">
        <f t="shared" si="9"/>
        <v>636.76414114274758</v>
      </c>
      <c r="AE52" s="266">
        <f t="shared" si="10"/>
        <v>707.51571238083068</v>
      </c>
      <c r="AF52" s="266">
        <f t="shared" si="11"/>
        <v>1981.0439946663259</v>
      </c>
      <c r="AG52" s="274">
        <v>1</v>
      </c>
      <c r="AH52" s="274">
        <v>1</v>
      </c>
      <c r="AI52" s="274">
        <v>1</v>
      </c>
      <c r="AJ52" s="274">
        <v>1</v>
      </c>
      <c r="AK52" s="274">
        <f t="shared" si="12"/>
        <v>1</v>
      </c>
      <c r="AL52" s="274">
        <f t="shared" si="13"/>
        <v>1</v>
      </c>
      <c r="AM52" s="274">
        <f t="shared" si="14"/>
        <v>1</v>
      </c>
      <c r="AN52" s="274">
        <f t="shared" si="15"/>
        <v>1</v>
      </c>
      <c r="AO52" s="262"/>
      <c r="AP52" s="262"/>
      <c r="AQ52" s="267">
        <v>8.5483903552439671</v>
      </c>
      <c r="AR52" s="262"/>
      <c r="AS52" s="266">
        <f t="shared" si="16"/>
        <v>307.74205278878281</v>
      </c>
      <c r="AT52" s="264">
        <f t="shared" si="17"/>
        <v>24.735767836450577</v>
      </c>
      <c r="AU52" s="262"/>
      <c r="AV52" s="262"/>
      <c r="AW52" s="265">
        <v>8.7362670663482316</v>
      </c>
      <c r="AX52" s="164" t="s">
        <v>2392</v>
      </c>
      <c r="AY52" s="266">
        <v>384.6775659859785</v>
      </c>
      <c r="AZ52" s="266">
        <f t="shared" si="45"/>
        <v>393.13201798567042</v>
      </c>
      <c r="BA52" s="264">
        <f t="shared" si="18"/>
        <v>39.374161795255077</v>
      </c>
      <c r="BB52" s="262"/>
      <c r="BC52" s="262"/>
      <c r="BD52" s="265">
        <f ca="1">IFERROR(INDEX(Algorithms!$G:$G,MATCH($C52&amp;"_Therm Saved per Unit",Algorithms!$A:$A,0)),0)</f>
        <v>8.7362670663482316</v>
      </c>
      <c r="BE52" s="164" t="str">
        <f ca="1">IFERROR(INDEX('v12 Revisions'!$P$29:$P$186, MATCH('Measure-Level Adj Gas'!$L52, 'v12 Revisions'!$D$29:$D$186,0)),"")</f>
        <v>n/a - plan assumes Direct Install, not Distributed School Efficiency Kit.</v>
      </c>
      <c r="BF52" s="266">
        <f t="shared" ca="1" si="19"/>
        <v>707.63763237420676</v>
      </c>
      <c r="BG52" s="264">
        <f t="shared" ca="1" si="20"/>
        <v>70.873491231459184</v>
      </c>
      <c r="BH52" s="262"/>
      <c r="BI52" s="262"/>
      <c r="BJ52" s="265">
        <f ca="1">IFERROR(INDEX(Algorithms!$G:$G,MATCH($C52&amp;"_Therm Saved per Unit",Algorithms!$A:$A,0)),0)</f>
        <v>8.7362670663482316</v>
      </c>
      <c r="BK52" s="164"/>
      <c r="BL52" s="266">
        <f t="shared" ca="1" si="21"/>
        <v>786.26403597134083</v>
      </c>
      <c r="BM52" s="264">
        <f t="shared" ca="1" si="22"/>
        <v>78.748323590510154</v>
      </c>
      <c r="BN52" s="266">
        <f t="shared" si="23"/>
        <v>307.74205278878281</v>
      </c>
      <c r="BO52" s="266">
        <f t="shared" si="44"/>
        <v>393.13201798567042</v>
      </c>
      <c r="BP52" s="266">
        <f t="shared" ca="1" si="24"/>
        <v>707.63763237420676</v>
      </c>
      <c r="BQ52" s="266">
        <f t="shared" ca="1" si="25"/>
        <v>786.26403597134083</v>
      </c>
      <c r="BR52" s="268">
        <f t="shared" ca="1" si="26"/>
        <v>2194.7757391200007</v>
      </c>
      <c r="BS52" s="262" t="s">
        <v>99</v>
      </c>
      <c r="BT52" s="277"/>
      <c r="BW52" s="266">
        <f t="shared" si="27"/>
        <v>283.00628495233224</v>
      </c>
      <c r="BX52" s="266">
        <f t="shared" si="28"/>
        <v>353.75785619041534</v>
      </c>
      <c r="BY52" s="266">
        <f t="shared" si="29"/>
        <v>636.76414114274758</v>
      </c>
      <c r="BZ52" s="266">
        <f t="shared" si="30"/>
        <v>707.51571238083068</v>
      </c>
      <c r="CA52" s="266">
        <f ca="1">N52*IFERROR(INDEX(Algorithms!$G:$G,MATCH($C52&amp;"_Therm Saved per Unit- MLA",Algorithms!$A:$A,0)),0)*X52</f>
        <v>0</v>
      </c>
      <c r="CB52" s="266">
        <f ca="1">O52*IFERROR(INDEX(Algorithms!$G:$G,MATCH($C52&amp;"_Therm Saved per Unit- MLA",Algorithms!$A:$A,0)),0)*Y52</f>
        <v>0</v>
      </c>
      <c r="CC52" s="266">
        <f ca="1">P52*IFERROR(INDEX(Algorithms!$G:$G,MATCH($C52&amp;"_Therm Saved per Unit- MLA",Algorithms!$A:$A,0)),0)*Z52</f>
        <v>0</v>
      </c>
      <c r="CD52" s="266">
        <f ca="1">Q52*IFERROR(INDEX(Algorithms!$G:$G,MATCH($C52&amp;"_Therm Saved per Unit- MLA",Algorithms!$A:$A,0)),0)*AA52</f>
        <v>0</v>
      </c>
      <c r="CE52" s="266">
        <f ca="1">IFERROR(INDEX(Algorithms!$G:$G,MATCH($C52&amp;"_Lifetime (years)",Algorithms!$A:$A,0)),0)</f>
        <v>10</v>
      </c>
      <c r="CF52" s="266">
        <f ca="1">IFERROR(INDEX(Algorithms!$G:$G,MATCH($C52&amp;"_Lifetime (years) - Remaining Years",Algorithms!$A:$A,0)),0)</f>
        <v>0</v>
      </c>
      <c r="CG52" s="266">
        <f t="shared" ca="1" si="31"/>
        <v>2830.0628495233223</v>
      </c>
      <c r="CH52" s="266">
        <f t="shared" ca="1" si="32"/>
        <v>3537.5785619041535</v>
      </c>
      <c r="CI52" s="266">
        <f t="shared" ca="1" si="33"/>
        <v>6367.6414114274758</v>
      </c>
      <c r="CJ52" s="266">
        <f t="shared" ca="1" si="34"/>
        <v>7075.157123808307</v>
      </c>
      <c r="CK52" s="266">
        <f t="shared" si="35"/>
        <v>307.74205278878281</v>
      </c>
      <c r="CL52" s="266">
        <f t="shared" si="36"/>
        <v>393.13201798567042</v>
      </c>
      <c r="CM52" s="266">
        <f t="shared" ca="1" si="37"/>
        <v>707.63763237420676</v>
      </c>
      <c r="CN52" s="266">
        <f t="shared" ca="1" si="38"/>
        <v>786.26403597134083</v>
      </c>
      <c r="CO52" s="266">
        <f ca="1">N52*IFERROR(INDEX(Algorithms!$G:$G,MATCH($C52&amp;"_Therm Saved per Unit- MLA",Algorithms!$A:$A,0)),0)*X52</f>
        <v>0</v>
      </c>
      <c r="CP52" s="266">
        <f ca="1">O52*IFERROR(INDEX(Algorithms!$G:$G,MATCH($C52&amp;"_Therm Saved per Unit- MLA",Algorithms!$A:$A,0)),0)*Y52</f>
        <v>0</v>
      </c>
      <c r="CQ52" s="266">
        <f ca="1">P52*IFERROR(INDEX(Algorithms!$G:$G,MATCH($C52&amp;"_Therm Saved per Unit- MLA",Algorithms!$A:$A,0)),0)*Z52</f>
        <v>0</v>
      </c>
      <c r="CR52" s="266">
        <f ca="1">Q52*IFERROR(INDEX(Algorithms!$G:$G,MATCH($C52&amp;"_Therm Saved per Unit- MLA",Algorithms!$A:$A,0)),0)*AA52</f>
        <v>0</v>
      </c>
      <c r="CS52" s="266">
        <f ca="1">IFERROR(INDEX(Algorithms!$G:$G,MATCH($C52&amp;"_Lifetime (years)",Algorithms!$A:$A,0)),0)</f>
        <v>10</v>
      </c>
      <c r="CT52" s="266">
        <f ca="1">IFERROR(INDEX(Algorithms!$G:$G,MATCH($C52&amp;"_Lifetime (years) - Remaining Years",Algorithms!$A:$A,0)),0)</f>
        <v>0</v>
      </c>
      <c r="CU52" s="266">
        <f t="shared" ca="1" si="39"/>
        <v>3077.420527887828</v>
      </c>
      <c r="CV52" s="266">
        <f t="shared" ca="1" si="40"/>
        <v>3931.3201798567043</v>
      </c>
      <c r="CW52" s="266">
        <f t="shared" ca="1" si="41"/>
        <v>7076.3763237420681</v>
      </c>
      <c r="CX52" s="266">
        <f t="shared" ca="1" si="42"/>
        <v>7862.6403597134085</v>
      </c>
    </row>
    <row r="53" spans="2:102" s="47" customFormat="1" ht="18" customHeight="1" x14ac:dyDescent="0.25">
      <c r="B53" t="str">
        <f t="shared" si="43"/>
        <v>NSG_Business_Small/Mid-Size Business_Partner Trade Ally Rebate_Water Heater_≥75 MBH, ≥88% TE _CI</v>
      </c>
      <c r="C53" s="47" t="str">
        <f t="shared" si="6"/>
        <v>Water Heater_≥75 MBH, ≥88% TE _CI</v>
      </c>
      <c r="D53" s="270" t="s">
        <v>1787</v>
      </c>
      <c r="E53" s="270" t="s">
        <v>3</v>
      </c>
      <c r="F53" s="270" t="s">
        <v>1432</v>
      </c>
      <c r="G53" s="270" t="s">
        <v>1799</v>
      </c>
      <c r="H53" s="270" t="s">
        <v>8</v>
      </c>
      <c r="I53" s="270" t="s">
        <v>1293</v>
      </c>
      <c r="J53" s="270" t="s">
        <v>1159</v>
      </c>
      <c r="K53" s="263">
        <v>1</v>
      </c>
      <c r="L53" s="263" t="str">
        <f ca="1">IFERROR(INDEX(Algorithms!J:J,MATCH($C53&amp;"_Therm Saved per Unit",Algorithms!$A:$A,0)),"n/a")</f>
        <v>4.3.1</v>
      </c>
      <c r="M53" s="263" t="str">
        <f>IFERROR(INDEX('Measure Level Detail'!$N:$N,MATCH($B53,'Measure Level Detail'!$B:$B,0)),0)</f>
        <v>MBH</v>
      </c>
      <c r="N53" s="271">
        <f>IFERROR(INDEX('Measure Level Detail'!$P:$P,MATCH($B53&amp;"_"&amp;N$3,'Measure Level Detail'!$C:$C,0)),0)</f>
        <v>250</v>
      </c>
      <c r="O53" s="271">
        <f>IFERROR(INDEX('Measure Level Detail'!$P:$P,MATCH($B53&amp;"_"&amp;O$3,'Measure Level Detail'!$C:$C,0)),0)</f>
        <v>250</v>
      </c>
      <c r="P53" s="271">
        <f>IFERROR(INDEX('Measure Level Detail'!$P:$P,MATCH($B53&amp;"_"&amp;P$3,'Measure Level Detail'!$C:$C,0)),0)</f>
        <v>250</v>
      </c>
      <c r="Q53" s="271">
        <f>IFERROR(INDEX('Measure Level Detail'!$P:$P,MATCH($B53&amp;"_"&amp;Q$3,'Measure Level Detail'!$C:$C,0)),0)</f>
        <v>250</v>
      </c>
      <c r="R53" s="263" t="str">
        <f ca="1">IFERROR(INDEX(Algorithms!K:K,MATCH($C53&amp;"_Therm Saved per Unit",Algorithms!$A:$A,0)),"n/a")</f>
        <v>CI-HWE-STWH-V10-240101</v>
      </c>
      <c r="S53" s="262"/>
      <c r="T53" s="272">
        <v>2.4977693963210257</v>
      </c>
      <c r="U53" s="272">
        <v>2.4977693963210257</v>
      </c>
      <c r="V53" s="272">
        <v>2.4977693963210257</v>
      </c>
      <c r="W53" s="272">
        <v>2.4977693963210257</v>
      </c>
      <c r="X53" s="276">
        <v>0.93</v>
      </c>
      <c r="Y53" s="276">
        <v>0.93</v>
      </c>
      <c r="Z53" s="276">
        <v>0.93</v>
      </c>
      <c r="AA53" s="276">
        <v>0.93</v>
      </c>
      <c r="AB53" s="266">
        <f t="shared" si="7"/>
        <v>580.73138464463852</v>
      </c>
      <c r="AC53" s="266">
        <f t="shared" si="8"/>
        <v>580.73138464463852</v>
      </c>
      <c r="AD53" s="266">
        <f t="shared" si="9"/>
        <v>580.73138464463852</v>
      </c>
      <c r="AE53" s="266">
        <f t="shared" si="10"/>
        <v>580.73138464463852</v>
      </c>
      <c r="AF53" s="266">
        <f t="shared" si="11"/>
        <v>2322.9255385785541</v>
      </c>
      <c r="AG53" s="274">
        <v>0.93</v>
      </c>
      <c r="AH53" s="274">
        <v>0.93</v>
      </c>
      <c r="AI53" s="274">
        <v>0.93</v>
      </c>
      <c r="AJ53" s="274">
        <v>0.93</v>
      </c>
      <c r="AK53" s="274">
        <f t="shared" si="12"/>
        <v>0.93</v>
      </c>
      <c r="AL53" s="274">
        <f t="shared" si="13"/>
        <v>0.93</v>
      </c>
      <c r="AM53" s="274">
        <f t="shared" si="14"/>
        <v>0.93</v>
      </c>
      <c r="AN53" s="274">
        <f t="shared" si="15"/>
        <v>0.93</v>
      </c>
      <c r="AO53" s="262"/>
      <c r="AP53" s="262"/>
      <c r="AQ53" s="267">
        <v>2.6035838480037183</v>
      </c>
      <c r="AR53" s="262"/>
      <c r="AS53" s="266">
        <f t="shared" si="16"/>
        <v>605.33324466086447</v>
      </c>
      <c r="AT53" s="264">
        <f t="shared" si="17"/>
        <v>24.601860016225942</v>
      </c>
      <c r="AU53" s="262"/>
      <c r="AV53" s="262"/>
      <c r="AW53" s="265">
        <v>2.6035838480037183</v>
      </c>
      <c r="AX53" s="164" t="s">
        <v>1469</v>
      </c>
      <c r="AY53" s="266">
        <v>605.33324466086447</v>
      </c>
      <c r="AZ53" s="266">
        <f t="shared" si="45"/>
        <v>605.33324466086447</v>
      </c>
      <c r="BA53" s="264">
        <f t="shared" si="18"/>
        <v>24.601860016225942</v>
      </c>
      <c r="BB53" s="262"/>
      <c r="BC53" s="262"/>
      <c r="BD53" s="265">
        <f ca="1">IFERROR(INDEX(Algorithms!$G:$G,MATCH($C53&amp;"_Therm Saved per Unit",Algorithms!$A:$A,0)),0)</f>
        <v>2.6035838480037183</v>
      </c>
      <c r="BE53" s="164" t="str">
        <f ca="1">IFERROR(INDEX('v12 Revisions'!$P$29:$P$186, MATCH('Measure-Level Adj Gas'!$L53, 'v12 Revisions'!$D$29:$D$186,0)),"")</f>
        <v>n/a - language only.</v>
      </c>
      <c r="BF53" s="266">
        <f t="shared" ca="1" si="19"/>
        <v>605.33324466086447</v>
      </c>
      <c r="BG53" s="264">
        <f t="shared" ca="1" si="20"/>
        <v>24.601860016225942</v>
      </c>
      <c r="BH53" s="262"/>
      <c r="BI53" s="262"/>
      <c r="BJ53" s="265">
        <f ca="1">IFERROR(INDEX(Algorithms!$G:$G,MATCH($C53&amp;"_Therm Saved per Unit",Algorithms!$A:$A,0)),0)</f>
        <v>2.6035838480037183</v>
      </c>
      <c r="BK53" s="164"/>
      <c r="BL53" s="266">
        <f t="shared" ca="1" si="21"/>
        <v>605.33324466086447</v>
      </c>
      <c r="BM53" s="264">
        <f t="shared" ca="1" si="22"/>
        <v>24.601860016225942</v>
      </c>
      <c r="BN53" s="266">
        <f t="shared" si="23"/>
        <v>605.33324466086447</v>
      </c>
      <c r="BO53" s="266">
        <f t="shared" si="44"/>
        <v>605.33324466086447</v>
      </c>
      <c r="BP53" s="266">
        <f t="shared" ca="1" si="24"/>
        <v>605.33324466086447</v>
      </c>
      <c r="BQ53" s="266">
        <f t="shared" ca="1" si="25"/>
        <v>605.33324466086447</v>
      </c>
      <c r="BR53" s="268">
        <f t="shared" ca="1" si="26"/>
        <v>2421.3329786434579</v>
      </c>
      <c r="BS53" s="262" t="s">
        <v>99</v>
      </c>
      <c r="BT53" s="277"/>
      <c r="BW53" s="266">
        <f t="shared" si="27"/>
        <v>580.73138464463852</v>
      </c>
      <c r="BX53" s="266">
        <f t="shared" si="28"/>
        <v>580.73138464463852</v>
      </c>
      <c r="BY53" s="266">
        <f t="shared" si="29"/>
        <v>580.73138464463852</v>
      </c>
      <c r="BZ53" s="266">
        <f t="shared" si="30"/>
        <v>580.73138464463852</v>
      </c>
      <c r="CA53" s="266">
        <f ca="1">N53*IFERROR(INDEX(Algorithms!$G:$G,MATCH($C53&amp;"_Therm Saved per Unit- MLA",Algorithms!$A:$A,0)),0)*X53</f>
        <v>0</v>
      </c>
      <c r="CB53" s="266">
        <f ca="1">O53*IFERROR(INDEX(Algorithms!$G:$G,MATCH($C53&amp;"_Therm Saved per Unit- MLA",Algorithms!$A:$A,0)),0)*Y53</f>
        <v>0</v>
      </c>
      <c r="CC53" s="266">
        <f ca="1">P53*IFERROR(INDEX(Algorithms!$G:$G,MATCH($C53&amp;"_Therm Saved per Unit- MLA",Algorithms!$A:$A,0)),0)*Z53</f>
        <v>0</v>
      </c>
      <c r="CD53" s="266">
        <f ca="1">Q53*IFERROR(INDEX(Algorithms!$G:$G,MATCH($C53&amp;"_Therm Saved per Unit- MLA",Algorithms!$A:$A,0)),0)*AA53</f>
        <v>0</v>
      </c>
      <c r="CE53" s="266">
        <f ca="1">IFERROR(INDEX(Algorithms!$G:$G,MATCH($C53&amp;"_Lifetime (years)",Algorithms!$A:$A,0)),0)</f>
        <v>15</v>
      </c>
      <c r="CF53" s="266">
        <f ca="1">IFERROR(INDEX(Algorithms!$G:$G,MATCH($C53&amp;"_Lifetime (years) - Remaining Years",Algorithms!$A:$A,0)),0)</f>
        <v>0</v>
      </c>
      <c r="CG53" s="266">
        <f t="shared" ca="1" si="31"/>
        <v>8710.9707696695787</v>
      </c>
      <c r="CH53" s="266">
        <f t="shared" ca="1" si="32"/>
        <v>8710.9707696695787</v>
      </c>
      <c r="CI53" s="266">
        <f t="shared" ca="1" si="33"/>
        <v>8710.9707696695787</v>
      </c>
      <c r="CJ53" s="266">
        <f t="shared" ca="1" si="34"/>
        <v>8710.9707696695787</v>
      </c>
      <c r="CK53" s="266">
        <f t="shared" si="35"/>
        <v>605.33324466086447</v>
      </c>
      <c r="CL53" s="266">
        <f t="shared" si="36"/>
        <v>605.33324466086447</v>
      </c>
      <c r="CM53" s="266">
        <f t="shared" ca="1" si="37"/>
        <v>605.33324466086447</v>
      </c>
      <c r="CN53" s="266">
        <f t="shared" ca="1" si="38"/>
        <v>605.33324466086447</v>
      </c>
      <c r="CO53" s="266">
        <f ca="1">N53*IFERROR(INDEX(Algorithms!$G:$G,MATCH($C53&amp;"_Therm Saved per Unit- MLA",Algorithms!$A:$A,0)),0)*X53</f>
        <v>0</v>
      </c>
      <c r="CP53" s="266">
        <f ca="1">O53*IFERROR(INDEX(Algorithms!$G:$G,MATCH($C53&amp;"_Therm Saved per Unit- MLA",Algorithms!$A:$A,0)),0)*Y53</f>
        <v>0</v>
      </c>
      <c r="CQ53" s="266">
        <f ca="1">P53*IFERROR(INDEX(Algorithms!$G:$G,MATCH($C53&amp;"_Therm Saved per Unit- MLA",Algorithms!$A:$A,0)),0)*Z53</f>
        <v>0</v>
      </c>
      <c r="CR53" s="266">
        <f ca="1">Q53*IFERROR(INDEX(Algorithms!$G:$G,MATCH($C53&amp;"_Therm Saved per Unit- MLA",Algorithms!$A:$A,0)),0)*AA53</f>
        <v>0</v>
      </c>
      <c r="CS53" s="266">
        <f ca="1">IFERROR(INDEX(Algorithms!$G:$G,MATCH($C53&amp;"_Lifetime (years)",Algorithms!$A:$A,0)),0)</f>
        <v>15</v>
      </c>
      <c r="CT53" s="266">
        <f ca="1">IFERROR(INDEX(Algorithms!$G:$G,MATCH($C53&amp;"_Lifetime (years) - Remaining Years",Algorithms!$A:$A,0)),0)</f>
        <v>0</v>
      </c>
      <c r="CU53" s="266">
        <f t="shared" ca="1" si="39"/>
        <v>9079.9986699129677</v>
      </c>
      <c r="CV53" s="266">
        <f t="shared" ca="1" si="40"/>
        <v>9079.9986699129677</v>
      </c>
      <c r="CW53" s="266">
        <f t="shared" ca="1" si="41"/>
        <v>9079.9986699129677</v>
      </c>
      <c r="CX53" s="266">
        <f t="shared" ca="1" si="42"/>
        <v>9079.9986699129677</v>
      </c>
    </row>
    <row r="54" spans="2:102" s="47" customFormat="1" ht="18" customHeight="1" x14ac:dyDescent="0.25">
      <c r="B54" t="str">
        <f t="shared" si="43"/>
        <v>NSG_Income Eligible_Home Energy Jumpstart_Core_Low Flow Showerhead_0_SF</v>
      </c>
      <c r="C54" s="47" t="str">
        <f t="shared" si="6"/>
        <v>Low Flow Showerhead_0_SF</v>
      </c>
      <c r="D54" s="270" t="s">
        <v>1787</v>
      </c>
      <c r="E54" s="270" t="s">
        <v>325</v>
      </c>
      <c r="F54" s="270" t="s">
        <v>1414</v>
      </c>
      <c r="G54" s="270" t="s">
        <v>1415</v>
      </c>
      <c r="H54" s="270" t="s">
        <v>15</v>
      </c>
      <c r="I54" s="270">
        <v>0</v>
      </c>
      <c r="J54" s="270" t="s">
        <v>409</v>
      </c>
      <c r="K54" s="263">
        <v>1</v>
      </c>
      <c r="L54" s="263" t="str">
        <f ca="1">IFERROR(INDEX(Algorithms!J:J,MATCH($C54&amp;"_Therm Saved per Unit",Algorithms!$A:$A,0)),"n/a")</f>
        <v>5.4.5</v>
      </c>
      <c r="M54" s="263" t="str">
        <f>IFERROR(INDEX('Measure Level Detail'!$N:$N,MATCH($B54,'Measure Level Detail'!$B:$B,0)),0)</f>
        <v>Each</v>
      </c>
      <c r="N54" s="271">
        <f>IFERROR(INDEX('Measure Level Detail'!$P:$P,MATCH($B54&amp;"_"&amp;N$3,'Measure Level Detail'!$C:$C,0)),0)</f>
        <v>29</v>
      </c>
      <c r="O54" s="271">
        <f>IFERROR(INDEX('Measure Level Detail'!$P:$P,MATCH($B54&amp;"_"&amp;O$3,'Measure Level Detail'!$C:$C,0)),0)</f>
        <v>73</v>
      </c>
      <c r="P54" s="271">
        <f>IFERROR(INDEX('Measure Level Detail'!$P:$P,MATCH($B54&amp;"_"&amp;P$3,'Measure Level Detail'!$C:$C,0)),0)</f>
        <v>146</v>
      </c>
      <c r="Q54" s="271">
        <f>IFERROR(INDEX('Measure Level Detail'!$P:$P,MATCH($B54&amp;"_"&amp;Q$3,'Measure Level Detail'!$C:$C,0)),0)</f>
        <v>175</v>
      </c>
      <c r="R54" s="263" t="str">
        <f ca="1">IFERROR(INDEX(Algorithms!K:K,MATCH($C54&amp;"_Therm Saved per Unit",Algorithms!$A:$A,0)),"n/a")</f>
        <v>RS-HWE-LFSH-V12-240101</v>
      </c>
      <c r="S54" s="262"/>
      <c r="T54" s="272">
        <v>8.7892072937103034</v>
      </c>
      <c r="U54" s="272">
        <v>8.7892072937103034</v>
      </c>
      <c r="V54" s="272">
        <v>8.7892072937103034</v>
      </c>
      <c r="W54" s="272">
        <v>8.7892072937103034</v>
      </c>
      <c r="X54" s="273">
        <f>IFERROR(INDEX('Measure Level Detail'!$R:$R,MATCH($B54&amp;"_"&amp;X$3,'Measure Level Detail'!$C:$C,0)),0)</f>
        <v>1</v>
      </c>
      <c r="Y54" s="273">
        <f>IFERROR(INDEX('Measure Level Detail'!$R:$R,MATCH($B54&amp;"_"&amp;Y$3,'Measure Level Detail'!$C:$C,0)),0)</f>
        <v>1</v>
      </c>
      <c r="Z54" s="273">
        <f>IFERROR(INDEX('Measure Level Detail'!$R:$R,MATCH($B54&amp;"_"&amp;Z$3,'Measure Level Detail'!$C:$C,0)),0)</f>
        <v>1</v>
      </c>
      <c r="AA54" s="273">
        <f>IFERROR(INDEX('Measure Level Detail'!$R:$R,MATCH($B54&amp;"_"&amp;AA$3,'Measure Level Detail'!$C:$C,0)),0)</f>
        <v>1</v>
      </c>
      <c r="AB54" s="266">
        <f t="shared" si="7"/>
        <v>254.88701151759881</v>
      </c>
      <c r="AC54" s="266">
        <f t="shared" si="8"/>
        <v>641.61213244085218</v>
      </c>
      <c r="AD54" s="266">
        <f t="shared" si="9"/>
        <v>1283.2242648817044</v>
      </c>
      <c r="AE54" s="266">
        <f t="shared" si="10"/>
        <v>1538.1112763993031</v>
      </c>
      <c r="AF54" s="266">
        <f t="shared" si="11"/>
        <v>3717.8346852394588</v>
      </c>
      <c r="AG54" s="274">
        <v>1</v>
      </c>
      <c r="AH54" s="274">
        <v>1</v>
      </c>
      <c r="AI54" s="274">
        <v>1</v>
      </c>
      <c r="AJ54" s="274">
        <v>1</v>
      </c>
      <c r="AK54" s="274">
        <f t="shared" si="12"/>
        <v>1</v>
      </c>
      <c r="AL54" s="274">
        <f t="shared" si="13"/>
        <v>1</v>
      </c>
      <c r="AM54" s="274">
        <f t="shared" si="14"/>
        <v>1</v>
      </c>
      <c r="AN54" s="274">
        <f t="shared" si="15"/>
        <v>1</v>
      </c>
      <c r="AO54" s="262"/>
      <c r="AP54" s="262"/>
      <c r="AQ54" s="267">
        <v>9.4263779717191518</v>
      </c>
      <c r="AR54" s="262"/>
      <c r="AS54" s="266">
        <f t="shared" si="16"/>
        <v>273.36496117985541</v>
      </c>
      <c r="AT54" s="264">
        <f t="shared" si="17"/>
        <v>18.477949662256606</v>
      </c>
      <c r="AU54" s="262"/>
      <c r="AV54" s="262"/>
      <c r="AW54" s="265">
        <v>9.3291988173715321</v>
      </c>
      <c r="AX54" s="164" t="s">
        <v>2392</v>
      </c>
      <c r="AY54" s="266">
        <v>688.12559193549805</v>
      </c>
      <c r="AZ54" s="266">
        <f t="shared" si="45"/>
        <v>681.03151366812187</v>
      </c>
      <c r="BA54" s="264">
        <f t="shared" si="18"/>
        <v>39.419381227269696</v>
      </c>
      <c r="BB54" s="262"/>
      <c r="BC54" s="262"/>
      <c r="BD54" s="265">
        <f ca="1">IFERROR(INDEX(Algorithms!$G:$G,MATCH($C54&amp;"_Therm Saved per Unit",Algorithms!$A:$A,0)),0)</f>
        <v>9.3291988173715321</v>
      </c>
      <c r="BE54" s="164" t="str">
        <f ca="1">IFERROR(INDEX('v12 Revisions'!$P$29:$P$186, MATCH('Measure-Level Adj Gas'!$L54, 'v12 Revisions'!$D$29:$D$186,0)),"")</f>
        <v>n/a - plan assumes Direct Install, not Distributed School Efficiency Kit.</v>
      </c>
      <c r="BF54" s="266">
        <f t="shared" ca="1" si="19"/>
        <v>1362.0630273362437</v>
      </c>
      <c r="BG54" s="264">
        <f t="shared" ca="1" si="20"/>
        <v>78.838762454539392</v>
      </c>
      <c r="BH54" s="262"/>
      <c r="BI54" s="262"/>
      <c r="BJ54" s="265">
        <f ca="1">IFERROR(INDEX(Algorithms!$G:$G,MATCH($C54&amp;"_Therm Saved per Unit",Algorithms!$A:$A,0)),0)</f>
        <v>9.3291988173715321</v>
      </c>
      <c r="BK54" s="164"/>
      <c r="BL54" s="266">
        <f t="shared" ca="1" si="21"/>
        <v>1632.6097930400181</v>
      </c>
      <c r="BM54" s="264">
        <f t="shared" ca="1" si="22"/>
        <v>94.498516640715025</v>
      </c>
      <c r="BN54" s="266">
        <f t="shared" si="23"/>
        <v>273.36496117985541</v>
      </c>
      <c r="BO54" s="266">
        <f t="shared" si="44"/>
        <v>681.03151366812187</v>
      </c>
      <c r="BP54" s="266">
        <f t="shared" ca="1" si="24"/>
        <v>1362.0630273362437</v>
      </c>
      <c r="BQ54" s="266">
        <f t="shared" ca="1" si="25"/>
        <v>1632.6097930400181</v>
      </c>
      <c r="BR54" s="268">
        <f t="shared" ca="1" si="26"/>
        <v>3949.0692952242389</v>
      </c>
      <c r="BS54" s="262" t="s">
        <v>99</v>
      </c>
      <c r="BT54" s="277"/>
      <c r="BW54" s="266">
        <f t="shared" si="27"/>
        <v>254.88701151759881</v>
      </c>
      <c r="BX54" s="266">
        <f t="shared" si="28"/>
        <v>641.61213244085218</v>
      </c>
      <c r="BY54" s="266">
        <f t="shared" si="29"/>
        <v>1283.2242648817044</v>
      </c>
      <c r="BZ54" s="266">
        <f t="shared" si="30"/>
        <v>1538.1112763993031</v>
      </c>
      <c r="CA54" s="266">
        <f ca="1">N54*IFERROR(INDEX(Algorithms!$G:$G,MATCH($C54&amp;"_Therm Saved per Unit- MLA",Algorithms!$A:$A,0)),0)*X54</f>
        <v>0</v>
      </c>
      <c r="CB54" s="266">
        <f ca="1">O54*IFERROR(INDEX(Algorithms!$G:$G,MATCH($C54&amp;"_Therm Saved per Unit- MLA",Algorithms!$A:$A,0)),0)*Y54</f>
        <v>0</v>
      </c>
      <c r="CC54" s="266">
        <f ca="1">P54*IFERROR(INDEX(Algorithms!$G:$G,MATCH($C54&amp;"_Therm Saved per Unit- MLA",Algorithms!$A:$A,0)),0)*Z54</f>
        <v>0</v>
      </c>
      <c r="CD54" s="266">
        <f ca="1">Q54*IFERROR(INDEX(Algorithms!$G:$G,MATCH($C54&amp;"_Therm Saved per Unit- MLA",Algorithms!$A:$A,0)),0)*AA54</f>
        <v>0</v>
      </c>
      <c r="CE54" s="266">
        <f ca="1">IFERROR(INDEX(Algorithms!$G:$G,MATCH($C54&amp;"_Lifetime (years)",Algorithms!$A:$A,0)),0)</f>
        <v>10</v>
      </c>
      <c r="CF54" s="266">
        <f ca="1">IFERROR(INDEX(Algorithms!$G:$G,MATCH($C54&amp;"_Lifetime (years) - Remaining Years",Algorithms!$A:$A,0)),0)</f>
        <v>0</v>
      </c>
      <c r="CG54" s="266">
        <f t="shared" ca="1" si="31"/>
        <v>2548.8701151759878</v>
      </c>
      <c r="CH54" s="266">
        <f t="shared" ca="1" si="32"/>
        <v>6416.121324408522</v>
      </c>
      <c r="CI54" s="266">
        <f t="shared" ca="1" si="33"/>
        <v>12832.242648817044</v>
      </c>
      <c r="CJ54" s="266">
        <f t="shared" ca="1" si="34"/>
        <v>15381.112763993031</v>
      </c>
      <c r="CK54" s="266">
        <f t="shared" si="35"/>
        <v>273.36496117985541</v>
      </c>
      <c r="CL54" s="266">
        <f t="shared" si="36"/>
        <v>681.03151366812187</v>
      </c>
      <c r="CM54" s="266">
        <f t="shared" ca="1" si="37"/>
        <v>1362.0630273362437</v>
      </c>
      <c r="CN54" s="266">
        <f t="shared" ca="1" si="38"/>
        <v>1632.6097930400181</v>
      </c>
      <c r="CO54" s="266">
        <f ca="1">N54*IFERROR(INDEX(Algorithms!$G:$G,MATCH($C54&amp;"_Therm Saved per Unit- MLA",Algorithms!$A:$A,0)),0)*X54</f>
        <v>0</v>
      </c>
      <c r="CP54" s="266">
        <f ca="1">O54*IFERROR(INDEX(Algorithms!$G:$G,MATCH($C54&amp;"_Therm Saved per Unit- MLA",Algorithms!$A:$A,0)),0)*Y54</f>
        <v>0</v>
      </c>
      <c r="CQ54" s="266">
        <f ca="1">P54*IFERROR(INDEX(Algorithms!$G:$G,MATCH($C54&amp;"_Therm Saved per Unit- MLA",Algorithms!$A:$A,0)),0)*Z54</f>
        <v>0</v>
      </c>
      <c r="CR54" s="266">
        <f ca="1">Q54*IFERROR(INDEX(Algorithms!$G:$G,MATCH($C54&amp;"_Therm Saved per Unit- MLA",Algorithms!$A:$A,0)),0)*AA54</f>
        <v>0</v>
      </c>
      <c r="CS54" s="266">
        <f ca="1">IFERROR(INDEX(Algorithms!$G:$G,MATCH($C54&amp;"_Lifetime (years)",Algorithms!$A:$A,0)),0)</f>
        <v>10</v>
      </c>
      <c r="CT54" s="266">
        <f ca="1">IFERROR(INDEX(Algorithms!$G:$G,MATCH($C54&amp;"_Lifetime (years) - Remaining Years",Algorithms!$A:$A,0)),0)</f>
        <v>0</v>
      </c>
      <c r="CU54" s="266">
        <f t="shared" ca="1" si="39"/>
        <v>2733.6496117985544</v>
      </c>
      <c r="CV54" s="266">
        <f t="shared" ca="1" si="40"/>
        <v>6810.315136681219</v>
      </c>
      <c r="CW54" s="266">
        <f t="shared" ca="1" si="41"/>
        <v>13620.630273362438</v>
      </c>
      <c r="CX54" s="266">
        <f t="shared" ca="1" si="42"/>
        <v>16326.097930400181</v>
      </c>
    </row>
    <row r="55" spans="2:102" s="47" customFormat="1" ht="18" customHeight="1" x14ac:dyDescent="0.25">
      <c r="B55" t="str">
        <f t="shared" si="43"/>
        <v>NSG_Business_Small/Mid-Size Business_Assessments_Low Flow Showerhead_0_CI</v>
      </c>
      <c r="C55" s="47" t="str">
        <f t="shared" si="6"/>
        <v>Low Flow Showerhead_0_CI</v>
      </c>
      <c r="D55" s="270" t="s">
        <v>1787</v>
      </c>
      <c r="E55" s="270" t="s">
        <v>3</v>
      </c>
      <c r="F55" s="270" t="s">
        <v>1432</v>
      </c>
      <c r="G55" s="270" t="s">
        <v>1431</v>
      </c>
      <c r="H55" s="270" t="s">
        <v>15</v>
      </c>
      <c r="I55" s="270">
        <v>0</v>
      </c>
      <c r="J55" s="270" t="s">
        <v>1159</v>
      </c>
      <c r="K55" s="263">
        <v>1</v>
      </c>
      <c r="L55" s="263" t="str">
        <f ca="1">IFERROR(INDEX(Algorithms!J:J,MATCH($C55&amp;"_Therm Saved per Unit",Algorithms!$A:$A,0)),"n/a")</f>
        <v>4.3.3</v>
      </c>
      <c r="M55" s="263" t="str">
        <f>IFERROR(INDEX('Measure Level Detail'!$N:$N,MATCH($B55,'Measure Level Detail'!$B:$B,0)),0)</f>
        <v>each</v>
      </c>
      <c r="N55" s="271">
        <f>IFERROR(INDEX('Measure Level Detail'!$P:$P,MATCH($B55&amp;"_"&amp;N$3,'Measure Level Detail'!$C:$C,0)),0)</f>
        <v>13</v>
      </c>
      <c r="O55" s="271">
        <f>IFERROR(INDEX('Measure Level Detail'!$P:$P,MATCH($B55&amp;"_"&amp;O$3,'Measure Level Detail'!$C:$C,0)),0)</f>
        <v>11</v>
      </c>
      <c r="P55" s="271">
        <f>IFERROR(INDEX('Measure Level Detail'!$P:$P,MATCH($B55&amp;"_"&amp;P$3,'Measure Level Detail'!$C:$C,0)),0)</f>
        <v>11</v>
      </c>
      <c r="Q55" s="271">
        <f>IFERROR(INDEX('Measure Level Detail'!$P:$P,MATCH($B55&amp;"_"&amp;Q$3,'Measure Level Detail'!$C:$C,0)),0)</f>
        <v>11</v>
      </c>
      <c r="R55" s="263" t="str">
        <f ca="1">IFERROR(INDEX(Algorithms!K:K,MATCH($C55&amp;"_Therm Saved per Unit",Algorithms!$A:$A,0)),"n/a")</f>
        <v>CI-HWE-LFSH-V09-230101</v>
      </c>
      <c r="S55" s="262"/>
      <c r="T55" s="272">
        <v>20.024378968229996</v>
      </c>
      <c r="U55" s="272">
        <v>20.024378968229996</v>
      </c>
      <c r="V55" s="272">
        <v>20.024378968229996</v>
      </c>
      <c r="W55" s="272">
        <v>20.024378968229996</v>
      </c>
      <c r="X55" s="276">
        <v>0.93</v>
      </c>
      <c r="Y55" s="276">
        <v>0.93</v>
      </c>
      <c r="Z55" s="276">
        <v>0.93</v>
      </c>
      <c r="AA55" s="276">
        <v>0.93</v>
      </c>
      <c r="AB55" s="266">
        <f t="shared" si="7"/>
        <v>242.09474172590066</v>
      </c>
      <c r="AC55" s="266">
        <f t="shared" si="8"/>
        <v>204.84939684499287</v>
      </c>
      <c r="AD55" s="266">
        <f t="shared" si="9"/>
        <v>204.84939684499287</v>
      </c>
      <c r="AE55" s="266">
        <f t="shared" si="10"/>
        <v>204.84939684499287</v>
      </c>
      <c r="AF55" s="266">
        <f t="shared" si="11"/>
        <v>856.64293226087921</v>
      </c>
      <c r="AG55" s="274">
        <v>0.93</v>
      </c>
      <c r="AH55" s="274">
        <v>0.93</v>
      </c>
      <c r="AI55" s="274">
        <v>0.93</v>
      </c>
      <c r="AJ55" s="274">
        <v>0.93</v>
      </c>
      <c r="AK55" s="274">
        <f t="shared" si="12"/>
        <v>0.93</v>
      </c>
      <c r="AL55" s="274">
        <f t="shared" si="13"/>
        <v>0.93</v>
      </c>
      <c r="AM55" s="274">
        <f t="shared" si="14"/>
        <v>0.93</v>
      </c>
      <c r="AN55" s="274">
        <f t="shared" si="15"/>
        <v>0.93</v>
      </c>
      <c r="AO55" s="262"/>
      <c r="AP55" s="262"/>
      <c r="AQ55" s="267">
        <v>21.476039703666711</v>
      </c>
      <c r="AR55" s="262"/>
      <c r="AS55" s="266">
        <f t="shared" si="16"/>
        <v>259.64532001733056</v>
      </c>
      <c r="AT55" s="264">
        <f t="shared" si="17"/>
        <v>17.5505782914299</v>
      </c>
      <c r="AU55" s="262"/>
      <c r="AV55" s="262"/>
      <c r="AW55" s="265">
        <v>21.476039703666711</v>
      </c>
      <c r="AX55" s="164" t="s">
        <v>2393</v>
      </c>
      <c r="AY55" s="266">
        <v>219.69988616851046</v>
      </c>
      <c r="AZ55" s="266">
        <f t="shared" si="45"/>
        <v>219.69988616851046</v>
      </c>
      <c r="BA55" s="264">
        <f t="shared" si="18"/>
        <v>14.850489323517593</v>
      </c>
      <c r="BB55" s="262"/>
      <c r="BC55" s="262"/>
      <c r="BD55" s="265">
        <f ca="1">IFERROR(INDEX(Algorithms!$G:$G,MATCH($C55&amp;"_Therm Saved per Unit",Algorithms!$A:$A,0)),0)</f>
        <v>21.476039703666711</v>
      </c>
      <c r="BE55" s="164" t="str">
        <f ca="1">IFERROR(INDEX('v12 Revisions'!$P$29:$P$186, MATCH('Measure-Level Adj Gas'!$L55, 'v12 Revisions'!$D$29:$D$186,0)),"")</f>
        <v>n/a - language only.</v>
      </c>
      <c r="BF55" s="266">
        <f t="shared" ca="1" si="19"/>
        <v>219.69988616851046</v>
      </c>
      <c r="BG55" s="264">
        <f t="shared" ca="1" si="20"/>
        <v>14.850489323517593</v>
      </c>
      <c r="BH55" s="262"/>
      <c r="BI55" s="262"/>
      <c r="BJ55" s="265">
        <f ca="1">IFERROR(INDEX(Algorithms!$G:$G,MATCH($C55&amp;"_Therm Saved per Unit",Algorithms!$A:$A,0)),0)</f>
        <v>21.476039703666711</v>
      </c>
      <c r="BK55" s="164"/>
      <c r="BL55" s="266">
        <f t="shared" ca="1" si="21"/>
        <v>219.69988616851046</v>
      </c>
      <c r="BM55" s="264">
        <f t="shared" ca="1" si="22"/>
        <v>14.850489323517593</v>
      </c>
      <c r="BN55" s="266">
        <f t="shared" si="23"/>
        <v>259.64532001733056</v>
      </c>
      <c r="BO55" s="266">
        <f t="shared" si="44"/>
        <v>219.69988616851046</v>
      </c>
      <c r="BP55" s="266">
        <f t="shared" ca="1" si="24"/>
        <v>219.69988616851046</v>
      </c>
      <c r="BQ55" s="266">
        <f t="shared" ca="1" si="25"/>
        <v>219.69988616851046</v>
      </c>
      <c r="BR55" s="268">
        <f t="shared" ca="1" si="26"/>
        <v>918.74497852286197</v>
      </c>
      <c r="BS55" s="262" t="s">
        <v>99</v>
      </c>
      <c r="BT55" s="277"/>
      <c r="BW55" s="266">
        <f t="shared" si="27"/>
        <v>242.09474172590066</v>
      </c>
      <c r="BX55" s="266">
        <f t="shared" si="28"/>
        <v>204.84939684499287</v>
      </c>
      <c r="BY55" s="266">
        <f t="shared" si="29"/>
        <v>204.84939684499287</v>
      </c>
      <c r="BZ55" s="266">
        <f t="shared" si="30"/>
        <v>204.84939684499287</v>
      </c>
      <c r="CA55" s="266">
        <f ca="1">N55*IFERROR(INDEX(Algorithms!$G:$G,MATCH($C55&amp;"_Therm Saved per Unit- MLA",Algorithms!$A:$A,0)),0)*X55</f>
        <v>0</v>
      </c>
      <c r="CB55" s="266">
        <f ca="1">O55*IFERROR(INDEX(Algorithms!$G:$G,MATCH($C55&amp;"_Therm Saved per Unit- MLA",Algorithms!$A:$A,0)),0)*Y55</f>
        <v>0</v>
      </c>
      <c r="CC55" s="266">
        <f ca="1">P55*IFERROR(INDEX(Algorithms!$G:$G,MATCH($C55&amp;"_Therm Saved per Unit- MLA",Algorithms!$A:$A,0)),0)*Z55</f>
        <v>0</v>
      </c>
      <c r="CD55" s="266">
        <f ca="1">Q55*IFERROR(INDEX(Algorithms!$G:$G,MATCH($C55&amp;"_Therm Saved per Unit- MLA",Algorithms!$A:$A,0)),0)*AA55</f>
        <v>0</v>
      </c>
      <c r="CE55" s="266">
        <f ca="1">IFERROR(INDEX(Algorithms!$G:$G,MATCH($C55&amp;"_Lifetime (years)",Algorithms!$A:$A,0)),0)</f>
        <v>10</v>
      </c>
      <c r="CF55" s="266">
        <f ca="1">IFERROR(INDEX(Algorithms!$G:$G,MATCH($C55&amp;"_Lifetime (years) - Remaining Years",Algorithms!$A:$A,0)),0)</f>
        <v>0</v>
      </c>
      <c r="CG55" s="266">
        <f t="shared" ca="1" si="31"/>
        <v>2420.9474172590067</v>
      </c>
      <c r="CH55" s="266">
        <f t="shared" ca="1" si="32"/>
        <v>2048.4939684499286</v>
      </c>
      <c r="CI55" s="266">
        <f t="shared" ca="1" si="33"/>
        <v>2048.4939684499286</v>
      </c>
      <c r="CJ55" s="266">
        <f t="shared" ca="1" si="34"/>
        <v>2048.4939684499286</v>
      </c>
      <c r="CK55" s="266">
        <f t="shared" si="35"/>
        <v>259.64532001733056</v>
      </c>
      <c r="CL55" s="266">
        <f t="shared" si="36"/>
        <v>219.69988616851046</v>
      </c>
      <c r="CM55" s="266">
        <f t="shared" ca="1" si="37"/>
        <v>219.69988616851046</v>
      </c>
      <c r="CN55" s="266">
        <f t="shared" ca="1" si="38"/>
        <v>219.69988616851046</v>
      </c>
      <c r="CO55" s="266">
        <f ca="1">N55*IFERROR(INDEX(Algorithms!$G:$G,MATCH($C55&amp;"_Therm Saved per Unit- MLA",Algorithms!$A:$A,0)),0)*X55</f>
        <v>0</v>
      </c>
      <c r="CP55" s="266">
        <f ca="1">O55*IFERROR(INDEX(Algorithms!$G:$G,MATCH($C55&amp;"_Therm Saved per Unit- MLA",Algorithms!$A:$A,0)),0)*Y55</f>
        <v>0</v>
      </c>
      <c r="CQ55" s="266">
        <f ca="1">P55*IFERROR(INDEX(Algorithms!$G:$G,MATCH($C55&amp;"_Therm Saved per Unit- MLA",Algorithms!$A:$A,0)),0)*Z55</f>
        <v>0</v>
      </c>
      <c r="CR55" s="266">
        <f ca="1">Q55*IFERROR(INDEX(Algorithms!$G:$G,MATCH($C55&amp;"_Therm Saved per Unit- MLA",Algorithms!$A:$A,0)),0)*AA55</f>
        <v>0</v>
      </c>
      <c r="CS55" s="266">
        <f ca="1">IFERROR(INDEX(Algorithms!$G:$G,MATCH($C55&amp;"_Lifetime (years)",Algorithms!$A:$A,0)),0)</f>
        <v>10</v>
      </c>
      <c r="CT55" s="266">
        <f ca="1">IFERROR(INDEX(Algorithms!$G:$G,MATCH($C55&amp;"_Lifetime (years) - Remaining Years",Algorithms!$A:$A,0)),0)</f>
        <v>0</v>
      </c>
      <c r="CU55" s="266">
        <f t="shared" ca="1" si="39"/>
        <v>2596.4532001733055</v>
      </c>
      <c r="CV55" s="266">
        <f t="shared" ca="1" si="40"/>
        <v>2196.9988616851047</v>
      </c>
      <c r="CW55" s="266">
        <f t="shared" ca="1" si="41"/>
        <v>2196.9988616851047</v>
      </c>
      <c r="CX55" s="266">
        <f t="shared" ca="1" si="42"/>
        <v>2196.9988616851047</v>
      </c>
    </row>
    <row r="56" spans="2:102" s="47" customFormat="1" ht="18" customHeight="1" x14ac:dyDescent="0.25">
      <c r="B56" t="str">
        <f t="shared" si="43"/>
        <v>NSG_Income Eligible_Single Family_IE Kits_Water Heater Temperature Setback_IE Kit_IE</v>
      </c>
      <c r="C56" s="47" t="str">
        <f t="shared" si="6"/>
        <v>Water Heater Temperature Setback_IE Kit_IE</v>
      </c>
      <c r="D56" s="270" t="s">
        <v>1787</v>
      </c>
      <c r="E56" s="270" t="s">
        <v>325</v>
      </c>
      <c r="F56" s="270" t="s">
        <v>375</v>
      </c>
      <c r="G56" s="270" t="s">
        <v>1440</v>
      </c>
      <c r="H56" s="270" t="s">
        <v>223</v>
      </c>
      <c r="I56" s="270" t="s">
        <v>550</v>
      </c>
      <c r="J56" s="270" t="s">
        <v>551</v>
      </c>
      <c r="K56" s="263">
        <v>1</v>
      </c>
      <c r="L56" s="263" t="str">
        <f ca="1">IFERROR(INDEX(Algorithms!J:J,MATCH($C56&amp;"_Therm Saved per Unit",Algorithms!$A:$A,0)),"n/a")</f>
        <v>5.4.6</v>
      </c>
      <c r="M56" s="263" t="str">
        <f>IFERROR(INDEX('Measure Level Detail'!$N:$N,MATCH($B56,'Measure Level Detail'!$B:$B,0)),0)</f>
        <v>Each</v>
      </c>
      <c r="N56" s="271">
        <f>IFERROR(INDEX('Measure Level Detail'!$P:$P,MATCH($B56&amp;"_"&amp;N$3,'Measure Level Detail'!$C:$C,0)),0)</f>
        <v>560</v>
      </c>
      <c r="O56" s="271">
        <f>IFERROR(INDEX('Measure Level Detail'!$P:$P,MATCH($B56&amp;"_"&amp;O$3,'Measure Level Detail'!$C:$C,0)),0)</f>
        <v>560</v>
      </c>
      <c r="P56" s="271">
        <f>IFERROR(INDEX('Measure Level Detail'!$P:$P,MATCH($B56&amp;"_"&amp;P$3,'Measure Level Detail'!$C:$C,0)),0)</f>
        <v>560</v>
      </c>
      <c r="Q56" s="271">
        <f>IFERROR(INDEX('Measure Level Detail'!$P:$P,MATCH($B56&amp;"_"&amp;Q$3,'Measure Level Detail'!$C:$C,0)),0)</f>
        <v>560</v>
      </c>
      <c r="R56" s="263" t="str">
        <f ca="1">IFERROR(INDEX(Algorithms!K:K,MATCH($C56&amp;"_Therm Saved per Unit",Algorithms!$A:$A,0)),"n/a")</f>
        <v>RS-HWE-TMPS-V09-240101</v>
      </c>
      <c r="S56" s="262"/>
      <c r="T56" s="272">
        <v>0.34965719653846161</v>
      </c>
      <c r="U56" s="272">
        <v>0.34965719653846161</v>
      </c>
      <c r="V56" s="272">
        <v>0.34965719653846161</v>
      </c>
      <c r="W56" s="272">
        <v>0.34965719653846161</v>
      </c>
      <c r="X56" s="273">
        <f>IFERROR(INDEX('Measure Level Detail'!$R:$R,MATCH($B56&amp;"_"&amp;X$3,'Measure Level Detail'!$C:$C,0)),0)</f>
        <v>1</v>
      </c>
      <c r="Y56" s="273">
        <f>IFERROR(INDEX('Measure Level Detail'!$R:$R,MATCH($B56&amp;"_"&amp;Y$3,'Measure Level Detail'!$C:$C,0)),0)</f>
        <v>1</v>
      </c>
      <c r="Z56" s="273">
        <f>IFERROR(INDEX('Measure Level Detail'!$R:$R,MATCH($B56&amp;"_"&amp;Z$3,'Measure Level Detail'!$C:$C,0)),0)</f>
        <v>1</v>
      </c>
      <c r="AA56" s="273">
        <f>IFERROR(INDEX('Measure Level Detail'!$R:$R,MATCH($B56&amp;"_"&amp;AA$3,'Measure Level Detail'!$C:$C,0)),0)</f>
        <v>1</v>
      </c>
      <c r="AB56" s="266">
        <f t="shared" si="7"/>
        <v>195.80803006153849</v>
      </c>
      <c r="AC56" s="266">
        <f t="shared" si="8"/>
        <v>195.80803006153849</v>
      </c>
      <c r="AD56" s="266">
        <f t="shared" si="9"/>
        <v>195.80803006153849</v>
      </c>
      <c r="AE56" s="266">
        <f t="shared" si="10"/>
        <v>195.80803006153849</v>
      </c>
      <c r="AF56" s="266">
        <f t="shared" si="11"/>
        <v>783.23212024615395</v>
      </c>
      <c r="AG56" s="274">
        <v>1</v>
      </c>
      <c r="AH56" s="274">
        <v>1</v>
      </c>
      <c r="AI56" s="274">
        <v>1</v>
      </c>
      <c r="AJ56" s="274">
        <v>1</v>
      </c>
      <c r="AK56" s="274">
        <f t="shared" si="12"/>
        <v>1</v>
      </c>
      <c r="AL56" s="274">
        <f t="shared" si="13"/>
        <v>1</v>
      </c>
      <c r="AM56" s="274">
        <f t="shared" si="14"/>
        <v>1</v>
      </c>
      <c r="AN56" s="274">
        <f t="shared" si="15"/>
        <v>1</v>
      </c>
      <c r="AO56" s="262"/>
      <c r="AP56" s="262"/>
      <c r="AQ56" s="267">
        <v>0.3761829148965517</v>
      </c>
      <c r="AR56" s="262"/>
      <c r="AS56" s="266">
        <f t="shared" si="16"/>
        <v>210.66243234206894</v>
      </c>
      <c r="AT56" s="264">
        <f t="shared" si="17"/>
        <v>14.854402280530451</v>
      </c>
      <c r="AU56" s="262"/>
      <c r="AV56" s="262"/>
      <c r="AW56" s="265">
        <v>0.3761829148965517</v>
      </c>
      <c r="AX56" s="164" t="s">
        <v>1469</v>
      </c>
      <c r="AY56" s="266">
        <v>210.66243234206894</v>
      </c>
      <c r="AZ56" s="266">
        <f t="shared" si="45"/>
        <v>210.66243234206894</v>
      </c>
      <c r="BA56" s="264">
        <f t="shared" si="18"/>
        <v>14.854402280530451</v>
      </c>
      <c r="BB56" s="262"/>
      <c r="BC56" s="262"/>
      <c r="BD56" s="265">
        <f ca="1">IFERROR(INDEX(Algorithms!$G:$G,MATCH($C56&amp;"_Therm Saved per Unit",Algorithms!$A:$A,0)),0)</f>
        <v>0.13542584936275873</v>
      </c>
      <c r="BE56" s="164" t="str">
        <f ca="1">IFERROR(INDEX('v12 Revisions'!$P$29:$P$186, MATCH('Measure-Level Adj Gas'!$L56, 'v12 Revisions'!$D$29:$D$186,0)),"")</f>
        <v>Updated all pre and post temperatures.</v>
      </c>
      <c r="BF56" s="266">
        <f t="shared" ca="1" si="19"/>
        <v>75.838475643144889</v>
      </c>
      <c r="BG56" s="264">
        <f t="shared" ca="1" si="20"/>
        <v>-119.9695544183936</v>
      </c>
      <c r="BH56" s="262"/>
      <c r="BI56" s="262"/>
      <c r="BJ56" s="265">
        <f ca="1">IFERROR(INDEX(Algorithms!$G:$G,MATCH($C56&amp;"_Therm Saved per Unit",Algorithms!$A:$A,0)),0)</f>
        <v>0.13542584936275873</v>
      </c>
      <c r="BK56" s="164"/>
      <c r="BL56" s="266">
        <f t="shared" ca="1" si="21"/>
        <v>75.838475643144889</v>
      </c>
      <c r="BM56" s="264">
        <f t="shared" ca="1" si="22"/>
        <v>-119.9695544183936</v>
      </c>
      <c r="BN56" s="266">
        <f t="shared" si="23"/>
        <v>210.66243234206894</v>
      </c>
      <c r="BO56" s="266">
        <f t="shared" si="44"/>
        <v>210.66243234206894</v>
      </c>
      <c r="BP56" s="266">
        <f t="shared" ca="1" si="24"/>
        <v>75.838475643144889</v>
      </c>
      <c r="BQ56" s="266">
        <f t="shared" ca="1" si="25"/>
        <v>75.838475643144889</v>
      </c>
      <c r="BR56" s="268">
        <f t="shared" ca="1" si="26"/>
        <v>573.00181597042763</v>
      </c>
      <c r="BS56" s="262" t="s">
        <v>99</v>
      </c>
      <c r="BT56" s="277"/>
      <c r="BW56" s="266">
        <f t="shared" si="27"/>
        <v>195.80803006153849</v>
      </c>
      <c r="BX56" s="266">
        <f t="shared" si="28"/>
        <v>195.80803006153849</v>
      </c>
      <c r="BY56" s="266">
        <f t="shared" si="29"/>
        <v>195.80803006153849</v>
      </c>
      <c r="BZ56" s="266">
        <f t="shared" si="30"/>
        <v>195.80803006153849</v>
      </c>
      <c r="CA56" s="266">
        <f ca="1">N56*IFERROR(INDEX(Algorithms!$G:$G,MATCH($C56&amp;"_Therm Saved per Unit- MLA",Algorithms!$A:$A,0)),0)*X56</f>
        <v>0</v>
      </c>
      <c r="CB56" s="266">
        <f ca="1">O56*IFERROR(INDEX(Algorithms!$G:$G,MATCH($C56&amp;"_Therm Saved per Unit- MLA",Algorithms!$A:$A,0)),0)*Y56</f>
        <v>0</v>
      </c>
      <c r="CC56" s="266">
        <f ca="1">P56*IFERROR(INDEX(Algorithms!$G:$G,MATCH($C56&amp;"_Therm Saved per Unit- MLA",Algorithms!$A:$A,0)),0)*Z56</f>
        <v>0</v>
      </c>
      <c r="CD56" s="266">
        <f ca="1">Q56*IFERROR(INDEX(Algorithms!$G:$G,MATCH($C56&amp;"_Therm Saved per Unit- MLA",Algorithms!$A:$A,0)),0)*AA56</f>
        <v>0</v>
      </c>
      <c r="CE56" s="266">
        <f ca="1">IFERROR(INDEX(Algorithms!$G:$G,MATCH($C56&amp;"_Lifetime (years)",Algorithms!$A:$A,0)),0)</f>
        <v>2</v>
      </c>
      <c r="CF56" s="266">
        <f ca="1">IFERROR(INDEX(Algorithms!$G:$G,MATCH($C56&amp;"_Lifetime (years) - Remaining Years",Algorithms!$A:$A,0)),0)</f>
        <v>0</v>
      </c>
      <c r="CG56" s="266">
        <f t="shared" ca="1" si="31"/>
        <v>391.61606012307698</v>
      </c>
      <c r="CH56" s="266">
        <f t="shared" ca="1" si="32"/>
        <v>391.61606012307698</v>
      </c>
      <c r="CI56" s="266">
        <f t="shared" ca="1" si="33"/>
        <v>391.61606012307698</v>
      </c>
      <c r="CJ56" s="266">
        <f t="shared" ca="1" si="34"/>
        <v>391.61606012307698</v>
      </c>
      <c r="CK56" s="266">
        <f t="shared" si="35"/>
        <v>210.66243234206894</v>
      </c>
      <c r="CL56" s="266">
        <f t="shared" si="36"/>
        <v>210.66243234206894</v>
      </c>
      <c r="CM56" s="266">
        <f t="shared" ca="1" si="37"/>
        <v>75.838475643144889</v>
      </c>
      <c r="CN56" s="266">
        <f t="shared" ca="1" si="38"/>
        <v>75.838475643144889</v>
      </c>
      <c r="CO56" s="266">
        <f ca="1">N56*IFERROR(INDEX(Algorithms!$G:$G,MATCH($C56&amp;"_Therm Saved per Unit- MLA",Algorithms!$A:$A,0)),0)*X56</f>
        <v>0</v>
      </c>
      <c r="CP56" s="266">
        <f ca="1">O56*IFERROR(INDEX(Algorithms!$G:$G,MATCH($C56&amp;"_Therm Saved per Unit- MLA",Algorithms!$A:$A,0)),0)*Y56</f>
        <v>0</v>
      </c>
      <c r="CQ56" s="266">
        <f ca="1">P56*IFERROR(INDEX(Algorithms!$G:$G,MATCH($C56&amp;"_Therm Saved per Unit- MLA",Algorithms!$A:$A,0)),0)*Z56</f>
        <v>0</v>
      </c>
      <c r="CR56" s="266">
        <f ca="1">Q56*IFERROR(INDEX(Algorithms!$G:$G,MATCH($C56&amp;"_Therm Saved per Unit- MLA",Algorithms!$A:$A,0)),0)*AA56</f>
        <v>0</v>
      </c>
      <c r="CS56" s="266">
        <f ca="1">IFERROR(INDEX(Algorithms!$G:$G,MATCH($C56&amp;"_Lifetime (years)",Algorithms!$A:$A,0)),0)</f>
        <v>2</v>
      </c>
      <c r="CT56" s="266">
        <f ca="1">IFERROR(INDEX(Algorithms!$G:$G,MATCH($C56&amp;"_Lifetime (years) - Remaining Years",Algorithms!$A:$A,0)),0)</f>
        <v>0</v>
      </c>
      <c r="CU56" s="266">
        <f t="shared" ca="1" si="39"/>
        <v>421.32486468413788</v>
      </c>
      <c r="CV56" s="266">
        <f t="shared" ca="1" si="40"/>
        <v>421.32486468413788</v>
      </c>
      <c r="CW56" s="266">
        <f t="shared" ca="1" si="41"/>
        <v>151.67695128628978</v>
      </c>
      <c r="CX56" s="266">
        <f t="shared" ca="1" si="42"/>
        <v>151.67695128628978</v>
      </c>
    </row>
    <row r="57" spans="2:102" s="47" customFormat="1" ht="18" customHeight="1" x14ac:dyDescent="0.25">
      <c r="B57" t="str">
        <f t="shared" si="43"/>
        <v>NSG_Income Eligible_Single Family_IHWAP_Low Flow Kitchen Aerator_0_SF</v>
      </c>
      <c r="C57" s="47" t="str">
        <f t="shared" si="6"/>
        <v>Low Flow Kitchen Aerator_0_SF</v>
      </c>
      <c r="D57" s="270" t="s">
        <v>1787</v>
      </c>
      <c r="E57" s="270" t="s">
        <v>325</v>
      </c>
      <c r="F57" s="270" t="s">
        <v>375</v>
      </c>
      <c r="G57" s="270" t="s">
        <v>1439</v>
      </c>
      <c r="H57" s="270" t="s">
        <v>533</v>
      </c>
      <c r="I57" s="270">
        <v>0</v>
      </c>
      <c r="J57" s="270" t="s">
        <v>409</v>
      </c>
      <c r="K57" s="263">
        <v>1</v>
      </c>
      <c r="L57" s="263" t="str">
        <f ca="1">IFERROR(INDEX(Algorithms!J:J,MATCH($C57&amp;"_Therm Saved per Unit",Algorithms!$A:$A,0)),"n/a")</f>
        <v>5.4.4</v>
      </c>
      <c r="M57" s="263" t="str">
        <f>IFERROR(INDEX('Measure Level Detail'!$N:$N,MATCH($B57,'Measure Level Detail'!$B:$B,0)),0)</f>
        <v>Each</v>
      </c>
      <c r="N57" s="271">
        <f>IFERROR(INDEX('Measure Level Detail'!$P:$P,MATCH($B57&amp;"_"&amp;N$3,'Measure Level Detail'!$C:$C,0)),0)</f>
        <v>18</v>
      </c>
      <c r="O57" s="271">
        <f>IFERROR(INDEX('Measure Level Detail'!$P:$P,MATCH($B57&amp;"_"&amp;O$3,'Measure Level Detail'!$C:$C,0)),0)</f>
        <v>20</v>
      </c>
      <c r="P57" s="271">
        <f>IFERROR(INDEX('Measure Level Detail'!$P:$P,MATCH($B57&amp;"_"&amp;P$3,'Measure Level Detail'!$C:$C,0)),0)</f>
        <v>25</v>
      </c>
      <c r="Q57" s="271">
        <f>IFERROR(INDEX('Measure Level Detail'!$P:$P,MATCH($B57&amp;"_"&amp;Q$3,'Measure Level Detail'!$C:$C,0)),0)</f>
        <v>27</v>
      </c>
      <c r="R57" s="263" t="str">
        <f ca="1">IFERROR(INDEX(Algorithms!K:K,MATCH($C57&amp;"_Therm Saved per Unit",Algorithms!$A:$A,0)),"n/a")</f>
        <v>RS-HWE-LFFA-V13-240101</v>
      </c>
      <c r="S57" s="262"/>
      <c r="T57" s="272">
        <v>8.5936302377584592</v>
      </c>
      <c r="U57" s="272">
        <v>8.5936302377584592</v>
      </c>
      <c r="V57" s="272">
        <v>8.5936302377584592</v>
      </c>
      <c r="W57" s="272">
        <v>8.5936302377584592</v>
      </c>
      <c r="X57" s="273">
        <f>IFERROR(INDEX('Measure Level Detail'!$R:$R,MATCH($B57&amp;"_"&amp;X$3,'Measure Level Detail'!$C:$C,0)),0)</f>
        <v>1</v>
      </c>
      <c r="Y57" s="273">
        <f>IFERROR(INDEX('Measure Level Detail'!$R:$R,MATCH($B57&amp;"_"&amp;Y$3,'Measure Level Detail'!$C:$C,0)),0)</f>
        <v>1</v>
      </c>
      <c r="Z57" s="273">
        <f>IFERROR(INDEX('Measure Level Detail'!$R:$R,MATCH($B57&amp;"_"&amp;Z$3,'Measure Level Detail'!$C:$C,0)),0)</f>
        <v>1</v>
      </c>
      <c r="AA57" s="273">
        <f>IFERROR(INDEX('Measure Level Detail'!$R:$R,MATCH($B57&amp;"_"&amp;AA$3,'Measure Level Detail'!$C:$C,0)),0)</f>
        <v>1</v>
      </c>
      <c r="AB57" s="266">
        <f t="shared" si="7"/>
        <v>154.68534427965227</v>
      </c>
      <c r="AC57" s="266">
        <f t="shared" si="8"/>
        <v>171.87260475516919</v>
      </c>
      <c r="AD57" s="266">
        <f t="shared" si="9"/>
        <v>214.84075594396148</v>
      </c>
      <c r="AE57" s="266">
        <f t="shared" si="10"/>
        <v>232.0280164194784</v>
      </c>
      <c r="AF57" s="266">
        <f t="shared" si="11"/>
        <v>773.42672139826129</v>
      </c>
      <c r="AG57" s="274">
        <v>1</v>
      </c>
      <c r="AH57" s="274">
        <v>1</v>
      </c>
      <c r="AI57" s="274">
        <v>1</v>
      </c>
      <c r="AJ57" s="274">
        <v>1</v>
      </c>
      <c r="AK57" s="274">
        <f t="shared" si="12"/>
        <v>1</v>
      </c>
      <c r="AL57" s="274">
        <f t="shared" si="13"/>
        <v>1</v>
      </c>
      <c r="AM57" s="274">
        <f t="shared" si="14"/>
        <v>1</v>
      </c>
      <c r="AN57" s="274">
        <f t="shared" si="15"/>
        <v>1</v>
      </c>
      <c r="AO57" s="262"/>
      <c r="AP57" s="262"/>
      <c r="AQ57" s="267">
        <v>9.3447444487707685</v>
      </c>
      <c r="AR57" s="262"/>
      <c r="AS57" s="266">
        <f t="shared" si="16"/>
        <v>168.20540007787383</v>
      </c>
      <c r="AT57" s="264">
        <f t="shared" si="17"/>
        <v>13.520055798221563</v>
      </c>
      <c r="AU57" s="262"/>
      <c r="AV57" s="262"/>
      <c r="AW57" s="265">
        <v>9.148012986691386</v>
      </c>
      <c r="AX57" s="164" t="s">
        <v>2392</v>
      </c>
      <c r="AY57" s="266">
        <v>186.89488897541537</v>
      </c>
      <c r="AZ57" s="266">
        <f t="shared" si="45"/>
        <v>182.96025973382771</v>
      </c>
      <c r="BA57" s="264">
        <f t="shared" si="18"/>
        <v>11.08765497865852</v>
      </c>
      <c r="BB57" s="262"/>
      <c r="BC57" s="262"/>
      <c r="BD57" s="265">
        <f ca="1">IFERROR(INDEX(Algorithms!$G:$G,MATCH($C57&amp;"_Therm Saved per Unit",Algorithms!$A:$A,0)),0)</f>
        <v>9.148012986691386</v>
      </c>
      <c r="BE57" s="164" t="str">
        <f ca="1">IFERROR(INDEX('v12 Revisions'!$P$29:$P$186, MATCH('Measure-Level Adj Gas'!$L57, 'v12 Revisions'!$D$29:$D$186,0)),"")</f>
        <v>n/a - plan assumes Direct Install, not Distributed School Efficiency Kit.</v>
      </c>
      <c r="BF57" s="266">
        <f t="shared" ca="1" si="19"/>
        <v>228.70032466728466</v>
      </c>
      <c r="BG57" s="264">
        <f t="shared" ca="1" si="20"/>
        <v>13.859568723323179</v>
      </c>
      <c r="BH57" s="262"/>
      <c r="BI57" s="262"/>
      <c r="BJ57" s="265">
        <f ca="1">IFERROR(INDEX(Algorithms!$G:$G,MATCH($C57&amp;"_Therm Saved per Unit",Algorithms!$A:$A,0)),0)</f>
        <v>9.148012986691386</v>
      </c>
      <c r="BK57" s="164"/>
      <c r="BL57" s="266">
        <f t="shared" ca="1" si="21"/>
        <v>246.99635064066743</v>
      </c>
      <c r="BM57" s="264">
        <f t="shared" ca="1" si="22"/>
        <v>14.968334221189025</v>
      </c>
      <c r="BN57" s="266">
        <f t="shared" si="23"/>
        <v>168.20540007787383</v>
      </c>
      <c r="BO57" s="266">
        <f t="shared" si="44"/>
        <v>182.96025973382771</v>
      </c>
      <c r="BP57" s="266">
        <f t="shared" ca="1" si="24"/>
        <v>228.70032466728466</v>
      </c>
      <c r="BQ57" s="266">
        <f t="shared" ca="1" si="25"/>
        <v>246.99635064066743</v>
      </c>
      <c r="BR57" s="268">
        <f t="shared" ca="1" si="26"/>
        <v>826.86233511965361</v>
      </c>
      <c r="BS57" s="262" t="s">
        <v>99</v>
      </c>
      <c r="BT57" s="277"/>
      <c r="BW57" s="266">
        <f t="shared" si="27"/>
        <v>154.68534427965227</v>
      </c>
      <c r="BX57" s="266">
        <f t="shared" si="28"/>
        <v>171.87260475516919</v>
      </c>
      <c r="BY57" s="266">
        <f t="shared" si="29"/>
        <v>214.84075594396148</v>
      </c>
      <c r="BZ57" s="266">
        <f t="shared" si="30"/>
        <v>232.0280164194784</v>
      </c>
      <c r="CA57" s="266">
        <f ca="1">N57*IFERROR(INDEX(Algorithms!$G:$G,MATCH($C57&amp;"_Therm Saved per Unit- MLA",Algorithms!$A:$A,0)),0)*X57</f>
        <v>0</v>
      </c>
      <c r="CB57" s="266">
        <f ca="1">O57*IFERROR(INDEX(Algorithms!$G:$G,MATCH($C57&amp;"_Therm Saved per Unit- MLA",Algorithms!$A:$A,0)),0)*Y57</f>
        <v>0</v>
      </c>
      <c r="CC57" s="266">
        <f ca="1">P57*IFERROR(INDEX(Algorithms!$G:$G,MATCH($C57&amp;"_Therm Saved per Unit- MLA",Algorithms!$A:$A,0)),0)*Z57</f>
        <v>0</v>
      </c>
      <c r="CD57" s="266">
        <f ca="1">Q57*IFERROR(INDEX(Algorithms!$G:$G,MATCH($C57&amp;"_Therm Saved per Unit- MLA",Algorithms!$A:$A,0)),0)*AA57</f>
        <v>0</v>
      </c>
      <c r="CE57" s="266">
        <f ca="1">IFERROR(INDEX(Algorithms!$G:$G,MATCH($C57&amp;"_Lifetime (years)",Algorithms!$A:$A,0)),0)</f>
        <v>10</v>
      </c>
      <c r="CF57" s="266">
        <f ca="1">IFERROR(INDEX(Algorithms!$G:$G,MATCH($C57&amp;"_Lifetime (years) - Remaining Years",Algorithms!$A:$A,0)),0)</f>
        <v>0</v>
      </c>
      <c r="CG57" s="266">
        <f t="shared" ca="1" si="31"/>
        <v>1546.8534427965228</v>
      </c>
      <c r="CH57" s="266">
        <f t="shared" ca="1" si="32"/>
        <v>1718.7260475516919</v>
      </c>
      <c r="CI57" s="266">
        <f t="shared" ca="1" si="33"/>
        <v>2148.4075594396149</v>
      </c>
      <c r="CJ57" s="266">
        <f t="shared" ca="1" si="34"/>
        <v>2320.280164194784</v>
      </c>
      <c r="CK57" s="266">
        <f t="shared" si="35"/>
        <v>168.20540007787383</v>
      </c>
      <c r="CL57" s="266">
        <f t="shared" si="36"/>
        <v>182.96025973382771</v>
      </c>
      <c r="CM57" s="266">
        <f t="shared" ca="1" si="37"/>
        <v>228.70032466728466</v>
      </c>
      <c r="CN57" s="266">
        <f t="shared" ca="1" si="38"/>
        <v>246.99635064066743</v>
      </c>
      <c r="CO57" s="266">
        <f ca="1">N57*IFERROR(INDEX(Algorithms!$G:$G,MATCH($C57&amp;"_Therm Saved per Unit- MLA",Algorithms!$A:$A,0)),0)*X57</f>
        <v>0</v>
      </c>
      <c r="CP57" s="266">
        <f ca="1">O57*IFERROR(INDEX(Algorithms!$G:$G,MATCH($C57&amp;"_Therm Saved per Unit- MLA",Algorithms!$A:$A,0)),0)*Y57</f>
        <v>0</v>
      </c>
      <c r="CQ57" s="266">
        <f ca="1">P57*IFERROR(INDEX(Algorithms!$G:$G,MATCH($C57&amp;"_Therm Saved per Unit- MLA",Algorithms!$A:$A,0)),0)*Z57</f>
        <v>0</v>
      </c>
      <c r="CR57" s="266">
        <f ca="1">Q57*IFERROR(INDEX(Algorithms!$G:$G,MATCH($C57&amp;"_Therm Saved per Unit- MLA",Algorithms!$A:$A,0)),0)*AA57</f>
        <v>0</v>
      </c>
      <c r="CS57" s="266">
        <f ca="1">IFERROR(INDEX(Algorithms!$G:$G,MATCH($C57&amp;"_Lifetime (years)",Algorithms!$A:$A,0)),0)</f>
        <v>10</v>
      </c>
      <c r="CT57" s="266">
        <f ca="1">IFERROR(INDEX(Algorithms!$G:$G,MATCH($C57&amp;"_Lifetime (years) - Remaining Years",Algorithms!$A:$A,0)),0)</f>
        <v>0</v>
      </c>
      <c r="CU57" s="266">
        <f t="shared" ca="1" si="39"/>
        <v>1682.0540007787383</v>
      </c>
      <c r="CV57" s="266">
        <f t="shared" ca="1" si="40"/>
        <v>1829.6025973382771</v>
      </c>
      <c r="CW57" s="266">
        <f t="shared" ca="1" si="41"/>
        <v>2287.0032466728467</v>
      </c>
      <c r="CX57" s="266">
        <f t="shared" ca="1" si="42"/>
        <v>2469.9635064066742</v>
      </c>
    </row>
    <row r="58" spans="2:102" s="47" customFormat="1" ht="18" customHeight="1" x14ac:dyDescent="0.25">
      <c r="B58" t="str">
        <f t="shared" si="43"/>
        <v>NSG_Business_Small/Mid-Size Business_Assessments_Low Flow Bathroom Aerator_0_CI</v>
      </c>
      <c r="C58" s="47" t="str">
        <f t="shared" si="6"/>
        <v>Low Flow Bathroom Aerator_0_CI</v>
      </c>
      <c r="D58" s="270" t="s">
        <v>1787</v>
      </c>
      <c r="E58" s="270" t="s">
        <v>3</v>
      </c>
      <c r="F58" s="270" t="s">
        <v>1432</v>
      </c>
      <c r="G58" s="270" t="s">
        <v>1431</v>
      </c>
      <c r="H58" s="270" t="s">
        <v>555</v>
      </c>
      <c r="I58" s="270">
        <v>0</v>
      </c>
      <c r="J58" s="270" t="s">
        <v>1159</v>
      </c>
      <c r="K58" s="263">
        <v>1</v>
      </c>
      <c r="L58" s="263" t="str">
        <f ca="1">IFERROR(INDEX(Algorithms!J:J,MATCH($C58&amp;"_Therm Saved per Unit",Algorithms!$A:$A,0)),"n/a")</f>
        <v>4.3.2</v>
      </c>
      <c r="M58" s="263" t="str">
        <f>IFERROR(INDEX('Measure Level Detail'!$N:$N,MATCH($B58,'Measure Level Detail'!$B:$B,0)),0)</f>
        <v>each</v>
      </c>
      <c r="N58" s="271">
        <f>IFERROR(INDEX('Measure Level Detail'!$P:$P,MATCH($B58&amp;"_"&amp;N$3,'Measure Level Detail'!$C:$C,0)),0)</f>
        <v>20</v>
      </c>
      <c r="O58" s="271">
        <f>IFERROR(INDEX('Measure Level Detail'!$P:$P,MATCH($B58&amp;"_"&amp;O$3,'Measure Level Detail'!$C:$C,0)),0)</f>
        <v>17</v>
      </c>
      <c r="P58" s="271">
        <f>IFERROR(INDEX('Measure Level Detail'!$P:$P,MATCH($B58&amp;"_"&amp;P$3,'Measure Level Detail'!$C:$C,0)),0)</f>
        <v>17</v>
      </c>
      <c r="Q58" s="271">
        <f>IFERROR(INDEX('Measure Level Detail'!$P:$P,MATCH($B58&amp;"_"&amp;Q$3,'Measure Level Detail'!$C:$C,0)),0)</f>
        <v>16</v>
      </c>
      <c r="R58" s="263" t="str">
        <f ca="1">IFERROR(INDEX(Algorithms!K:K,MATCH($C58&amp;"_Therm Saved per Unit",Algorithms!$A:$A,0)),"n/a")</f>
        <v>CI-HWE-LFFA-V12-240101</v>
      </c>
      <c r="S58" s="262"/>
      <c r="T58" s="272">
        <v>6.1049460431654667</v>
      </c>
      <c r="U58" s="272">
        <v>6.1049460431654667</v>
      </c>
      <c r="V58" s="272">
        <v>6.1049460431654667</v>
      </c>
      <c r="W58" s="272">
        <v>6.1049460431654667</v>
      </c>
      <c r="X58" s="276">
        <v>0.93</v>
      </c>
      <c r="Y58" s="276">
        <v>0.93</v>
      </c>
      <c r="Z58" s="276">
        <v>0.93</v>
      </c>
      <c r="AA58" s="276">
        <v>0.93</v>
      </c>
      <c r="AB58" s="266">
        <f t="shared" si="7"/>
        <v>113.55199640287768</v>
      </c>
      <c r="AC58" s="266">
        <f t="shared" si="8"/>
        <v>96.51919694244603</v>
      </c>
      <c r="AD58" s="266">
        <f t="shared" si="9"/>
        <v>96.51919694244603</v>
      </c>
      <c r="AE58" s="266">
        <f t="shared" si="10"/>
        <v>90.841597122302147</v>
      </c>
      <c r="AF58" s="266">
        <f t="shared" si="11"/>
        <v>397.43198741007188</v>
      </c>
      <c r="AG58" s="274">
        <v>0.93</v>
      </c>
      <c r="AH58" s="274">
        <v>0.93</v>
      </c>
      <c r="AI58" s="274">
        <v>0.93</v>
      </c>
      <c r="AJ58" s="274">
        <v>0.93</v>
      </c>
      <c r="AK58" s="274">
        <f t="shared" si="12"/>
        <v>0.93</v>
      </c>
      <c r="AL58" s="274">
        <f t="shared" si="13"/>
        <v>0.93</v>
      </c>
      <c r="AM58" s="274">
        <f t="shared" si="14"/>
        <v>0.93</v>
      </c>
      <c r="AN58" s="274">
        <f t="shared" si="15"/>
        <v>0.93</v>
      </c>
      <c r="AO58" s="262"/>
      <c r="AP58" s="262"/>
      <c r="AQ58" s="267">
        <v>6.7661870503597124</v>
      </c>
      <c r="AR58" s="262"/>
      <c r="AS58" s="266">
        <f t="shared" si="16"/>
        <v>125.85107913669067</v>
      </c>
      <c r="AT58" s="264">
        <f t="shared" si="17"/>
        <v>12.299082733812995</v>
      </c>
      <c r="AU58" s="262"/>
      <c r="AV58" s="262"/>
      <c r="AW58" s="265">
        <v>6.7661870503597124</v>
      </c>
      <c r="AX58" s="164" t="s">
        <v>2393</v>
      </c>
      <c r="AY58" s="266">
        <v>106.97341726618707</v>
      </c>
      <c r="AZ58" s="266">
        <f t="shared" si="45"/>
        <v>106.97341726618707</v>
      </c>
      <c r="BA58" s="264">
        <f t="shared" si="18"/>
        <v>10.45422032374104</v>
      </c>
      <c r="BB58" s="262"/>
      <c r="BC58" s="262"/>
      <c r="BD58" s="265">
        <f ca="1">IFERROR(INDEX(Algorithms!$G:$G,MATCH($C58&amp;"_Therm Saved per Unit",Algorithms!$A:$A,0)),0)</f>
        <v>6.7661870503597124</v>
      </c>
      <c r="BE58" s="164" t="str">
        <f ca="1">IFERROR(INDEX('v12 Revisions'!$P$29:$P$186, MATCH('Measure-Level Adj Gas'!$L58, 'v12 Revisions'!$D$29:$D$186,0)),"")</f>
        <v/>
      </c>
      <c r="BF58" s="266">
        <f t="shared" ca="1" si="19"/>
        <v>106.97341726618707</v>
      </c>
      <c r="BG58" s="264">
        <f t="shared" ca="1" si="20"/>
        <v>10.45422032374104</v>
      </c>
      <c r="BH58" s="262"/>
      <c r="BI58" s="262"/>
      <c r="BJ58" s="265">
        <f ca="1">IFERROR(INDEX(Algorithms!$G:$G,MATCH($C58&amp;"_Therm Saved per Unit",Algorithms!$A:$A,0)),0)</f>
        <v>6.7661870503597124</v>
      </c>
      <c r="BK58" s="164"/>
      <c r="BL58" s="266">
        <f t="shared" ca="1" si="21"/>
        <v>100.68086330935253</v>
      </c>
      <c r="BM58" s="264">
        <f t="shared" ca="1" si="22"/>
        <v>9.8392661870503844</v>
      </c>
      <c r="BN58" s="266">
        <f t="shared" si="23"/>
        <v>125.85107913669067</v>
      </c>
      <c r="BO58" s="266">
        <f t="shared" si="44"/>
        <v>106.97341726618707</v>
      </c>
      <c r="BP58" s="266">
        <f t="shared" ca="1" si="24"/>
        <v>106.97341726618707</v>
      </c>
      <c r="BQ58" s="266">
        <f t="shared" ca="1" si="25"/>
        <v>100.68086330935253</v>
      </c>
      <c r="BR58" s="268">
        <f t="shared" ca="1" si="26"/>
        <v>440.47877697841739</v>
      </c>
      <c r="BS58" s="262" t="s">
        <v>99</v>
      </c>
      <c r="BT58" s="277"/>
      <c r="BW58" s="266">
        <f t="shared" si="27"/>
        <v>113.55199640287768</v>
      </c>
      <c r="BX58" s="266">
        <f t="shared" si="28"/>
        <v>96.51919694244603</v>
      </c>
      <c r="BY58" s="266">
        <f t="shared" si="29"/>
        <v>96.51919694244603</v>
      </c>
      <c r="BZ58" s="266">
        <f t="shared" si="30"/>
        <v>90.841597122302147</v>
      </c>
      <c r="CA58" s="266">
        <f ca="1">N58*IFERROR(INDEX(Algorithms!$G:$G,MATCH($C58&amp;"_Therm Saved per Unit- MLA",Algorithms!$A:$A,0)),0)*X58</f>
        <v>0</v>
      </c>
      <c r="CB58" s="266">
        <f ca="1">O58*IFERROR(INDEX(Algorithms!$G:$G,MATCH($C58&amp;"_Therm Saved per Unit- MLA",Algorithms!$A:$A,0)),0)*Y58</f>
        <v>0</v>
      </c>
      <c r="CC58" s="266">
        <f ca="1">P58*IFERROR(INDEX(Algorithms!$G:$G,MATCH($C58&amp;"_Therm Saved per Unit- MLA",Algorithms!$A:$A,0)),0)*Z58</f>
        <v>0</v>
      </c>
      <c r="CD58" s="266">
        <f ca="1">Q58*IFERROR(INDEX(Algorithms!$G:$G,MATCH($C58&amp;"_Therm Saved per Unit- MLA",Algorithms!$A:$A,0)),0)*AA58</f>
        <v>0</v>
      </c>
      <c r="CE58" s="266">
        <f ca="1">IFERROR(INDEX(Algorithms!$G:$G,MATCH($C58&amp;"_Lifetime (years)",Algorithms!$A:$A,0)),0)</f>
        <v>10</v>
      </c>
      <c r="CF58" s="266">
        <f ca="1">IFERROR(INDEX(Algorithms!$G:$G,MATCH($C58&amp;"_Lifetime (years) - Remaining Years",Algorithms!$A:$A,0)),0)</f>
        <v>0</v>
      </c>
      <c r="CG58" s="266">
        <f t="shared" ca="1" si="31"/>
        <v>1135.5199640287767</v>
      </c>
      <c r="CH58" s="266">
        <f t="shared" ca="1" si="32"/>
        <v>965.19196942446024</v>
      </c>
      <c r="CI58" s="266">
        <f t="shared" ca="1" si="33"/>
        <v>965.19196942446024</v>
      </c>
      <c r="CJ58" s="266">
        <f t="shared" ca="1" si="34"/>
        <v>908.41597122302142</v>
      </c>
      <c r="CK58" s="266">
        <f t="shared" si="35"/>
        <v>125.85107913669067</v>
      </c>
      <c r="CL58" s="266">
        <f t="shared" si="36"/>
        <v>106.97341726618707</v>
      </c>
      <c r="CM58" s="266">
        <f t="shared" ca="1" si="37"/>
        <v>106.97341726618707</v>
      </c>
      <c r="CN58" s="266">
        <f t="shared" ca="1" si="38"/>
        <v>100.68086330935253</v>
      </c>
      <c r="CO58" s="266">
        <f ca="1">N58*IFERROR(INDEX(Algorithms!$G:$G,MATCH($C58&amp;"_Therm Saved per Unit- MLA",Algorithms!$A:$A,0)),0)*X58</f>
        <v>0</v>
      </c>
      <c r="CP58" s="266">
        <f ca="1">O58*IFERROR(INDEX(Algorithms!$G:$G,MATCH($C58&amp;"_Therm Saved per Unit- MLA",Algorithms!$A:$A,0)),0)*Y58</f>
        <v>0</v>
      </c>
      <c r="CQ58" s="266">
        <f ca="1">P58*IFERROR(INDEX(Algorithms!$G:$G,MATCH($C58&amp;"_Therm Saved per Unit- MLA",Algorithms!$A:$A,0)),0)*Z58</f>
        <v>0</v>
      </c>
      <c r="CR58" s="266">
        <f ca="1">Q58*IFERROR(INDEX(Algorithms!$G:$G,MATCH($C58&amp;"_Therm Saved per Unit- MLA",Algorithms!$A:$A,0)),0)*AA58</f>
        <v>0</v>
      </c>
      <c r="CS58" s="266">
        <f ca="1">IFERROR(INDEX(Algorithms!$G:$G,MATCH($C58&amp;"_Lifetime (years)",Algorithms!$A:$A,0)),0)</f>
        <v>10</v>
      </c>
      <c r="CT58" s="266">
        <f ca="1">IFERROR(INDEX(Algorithms!$G:$G,MATCH($C58&amp;"_Lifetime (years) - Remaining Years",Algorithms!$A:$A,0)),0)</f>
        <v>0</v>
      </c>
      <c r="CU58" s="266">
        <f t="shared" ca="1" si="39"/>
        <v>1258.5107913669067</v>
      </c>
      <c r="CV58" s="266">
        <f t="shared" ca="1" si="40"/>
        <v>1069.7341726618706</v>
      </c>
      <c r="CW58" s="266">
        <f t="shared" ca="1" si="41"/>
        <v>1069.7341726618706</v>
      </c>
      <c r="CX58" s="266">
        <f t="shared" ca="1" si="42"/>
        <v>1006.8086330935253</v>
      </c>
    </row>
    <row r="59" spans="2:102" s="47" customFormat="1" ht="18" customHeight="1" x14ac:dyDescent="0.25">
      <c r="B59" t="str">
        <f t="shared" si="43"/>
        <v>NSG_Income Eligible_Single Family_IHWAP_Low Flow Showerhead_0_SF</v>
      </c>
      <c r="C59" s="47" t="str">
        <f t="shared" si="6"/>
        <v>Low Flow Showerhead_0_SF</v>
      </c>
      <c r="D59" s="270" t="s">
        <v>1787</v>
      </c>
      <c r="E59" s="270" t="s">
        <v>325</v>
      </c>
      <c r="F59" s="270" t="s">
        <v>375</v>
      </c>
      <c r="G59" s="270" t="s">
        <v>1439</v>
      </c>
      <c r="H59" s="270" t="s">
        <v>15</v>
      </c>
      <c r="I59" s="270">
        <v>0</v>
      </c>
      <c r="J59" s="270" t="s">
        <v>409</v>
      </c>
      <c r="K59" s="263">
        <v>1</v>
      </c>
      <c r="L59" s="263" t="str">
        <f ca="1">IFERROR(INDEX(Algorithms!J:J,MATCH($C59&amp;"_Therm Saved per Unit",Algorithms!$A:$A,0)),"n/a")</f>
        <v>5.4.5</v>
      </c>
      <c r="M59" s="263" t="str">
        <f>IFERROR(INDEX('Measure Level Detail'!$N:$N,MATCH($B59,'Measure Level Detail'!$B:$B,0)),0)</f>
        <v>Each</v>
      </c>
      <c r="N59" s="271">
        <f>IFERROR(INDEX('Measure Level Detail'!$P:$P,MATCH($B59&amp;"_"&amp;N$3,'Measure Level Detail'!$C:$C,0)),0)</f>
        <v>18</v>
      </c>
      <c r="O59" s="271">
        <f>IFERROR(INDEX('Measure Level Detail'!$P:$P,MATCH($B59&amp;"_"&amp;O$3,'Measure Level Detail'!$C:$C,0)),0)</f>
        <v>20</v>
      </c>
      <c r="P59" s="271">
        <f>IFERROR(INDEX('Measure Level Detail'!$P:$P,MATCH($B59&amp;"_"&amp;P$3,'Measure Level Detail'!$C:$C,0)),0)</f>
        <v>25</v>
      </c>
      <c r="Q59" s="271">
        <f>IFERROR(INDEX('Measure Level Detail'!$P:$P,MATCH($B59&amp;"_"&amp;Q$3,'Measure Level Detail'!$C:$C,0)),0)</f>
        <v>27</v>
      </c>
      <c r="R59" s="263" t="str">
        <f ca="1">IFERROR(INDEX(Algorithms!K:K,MATCH($C59&amp;"_Therm Saved per Unit",Algorithms!$A:$A,0)),"n/a")</f>
        <v>RS-HWE-LFSH-V12-240101</v>
      </c>
      <c r="S59" s="262"/>
      <c r="T59" s="272">
        <v>8.7892072937103034</v>
      </c>
      <c r="U59" s="272">
        <v>8.7892072937103034</v>
      </c>
      <c r="V59" s="272">
        <v>8.7892072937103034</v>
      </c>
      <c r="W59" s="272">
        <v>8.7892072937103034</v>
      </c>
      <c r="X59" s="273">
        <f>IFERROR(INDEX('Measure Level Detail'!$R:$R,MATCH($B59&amp;"_"&amp;X$3,'Measure Level Detail'!$C:$C,0)),0)</f>
        <v>1</v>
      </c>
      <c r="Y59" s="273">
        <f>IFERROR(INDEX('Measure Level Detail'!$R:$R,MATCH($B59&amp;"_"&amp;Y$3,'Measure Level Detail'!$C:$C,0)),0)</f>
        <v>1</v>
      </c>
      <c r="Z59" s="273">
        <f>IFERROR(INDEX('Measure Level Detail'!$R:$R,MATCH($B59&amp;"_"&amp;Z$3,'Measure Level Detail'!$C:$C,0)),0)</f>
        <v>1</v>
      </c>
      <c r="AA59" s="273">
        <f>IFERROR(INDEX('Measure Level Detail'!$R:$R,MATCH($B59&amp;"_"&amp;AA$3,'Measure Level Detail'!$C:$C,0)),0)</f>
        <v>1</v>
      </c>
      <c r="AB59" s="266">
        <f t="shared" si="7"/>
        <v>158.20573128678546</v>
      </c>
      <c r="AC59" s="266">
        <f t="shared" si="8"/>
        <v>175.78414587420608</v>
      </c>
      <c r="AD59" s="266">
        <f t="shared" si="9"/>
        <v>219.73018234275759</v>
      </c>
      <c r="AE59" s="266">
        <f t="shared" si="10"/>
        <v>237.3085969301782</v>
      </c>
      <c r="AF59" s="266">
        <f t="shared" si="11"/>
        <v>791.02865643392727</v>
      </c>
      <c r="AG59" s="274">
        <v>1</v>
      </c>
      <c r="AH59" s="274">
        <v>1</v>
      </c>
      <c r="AI59" s="274">
        <v>1</v>
      </c>
      <c r="AJ59" s="274">
        <v>1</v>
      </c>
      <c r="AK59" s="274">
        <f t="shared" si="12"/>
        <v>1</v>
      </c>
      <c r="AL59" s="274">
        <f t="shared" si="13"/>
        <v>1</v>
      </c>
      <c r="AM59" s="274">
        <f t="shared" si="14"/>
        <v>1</v>
      </c>
      <c r="AN59" s="274">
        <f t="shared" si="15"/>
        <v>1</v>
      </c>
      <c r="AO59" s="262"/>
      <c r="AP59" s="262"/>
      <c r="AQ59" s="267">
        <v>9.4263779717191518</v>
      </c>
      <c r="AR59" s="262"/>
      <c r="AS59" s="266">
        <f t="shared" si="16"/>
        <v>169.67480349094473</v>
      </c>
      <c r="AT59" s="264">
        <f t="shared" si="17"/>
        <v>11.469072204159261</v>
      </c>
      <c r="AU59" s="262"/>
      <c r="AV59" s="262"/>
      <c r="AW59" s="265">
        <v>9.3291988173715321</v>
      </c>
      <c r="AX59" s="164" t="s">
        <v>2392</v>
      </c>
      <c r="AY59" s="266">
        <v>188.52755943438302</v>
      </c>
      <c r="AZ59" s="266">
        <f t="shared" si="45"/>
        <v>186.58397634743065</v>
      </c>
      <c r="BA59" s="264">
        <f t="shared" si="18"/>
        <v>10.799830473224574</v>
      </c>
      <c r="BB59" s="262"/>
      <c r="BC59" s="262"/>
      <c r="BD59" s="265">
        <f ca="1">IFERROR(INDEX(Algorithms!$G:$G,MATCH($C59&amp;"_Therm Saved per Unit",Algorithms!$A:$A,0)),0)</f>
        <v>9.3291988173715321</v>
      </c>
      <c r="BE59" s="164" t="str">
        <f ca="1">IFERROR(INDEX('v12 Revisions'!$P$29:$P$186, MATCH('Measure-Level Adj Gas'!$L59, 'v12 Revisions'!$D$29:$D$186,0)),"")</f>
        <v>n/a - plan assumes Direct Install, not Distributed School Efficiency Kit.</v>
      </c>
      <c r="BF59" s="266">
        <f t="shared" ca="1" si="19"/>
        <v>233.2299704342883</v>
      </c>
      <c r="BG59" s="264">
        <f t="shared" ca="1" si="20"/>
        <v>13.499788091530718</v>
      </c>
      <c r="BH59" s="262"/>
      <c r="BI59" s="262"/>
      <c r="BJ59" s="265">
        <f ca="1">IFERROR(INDEX(Algorithms!$G:$G,MATCH($C59&amp;"_Therm Saved per Unit",Algorithms!$A:$A,0)),0)</f>
        <v>9.3291988173715321</v>
      </c>
      <c r="BK59" s="164"/>
      <c r="BL59" s="266">
        <f t="shared" ca="1" si="21"/>
        <v>251.88836806903137</v>
      </c>
      <c r="BM59" s="264">
        <f t="shared" ca="1" si="22"/>
        <v>14.579771138853175</v>
      </c>
      <c r="BN59" s="266">
        <f t="shared" si="23"/>
        <v>169.67480349094473</v>
      </c>
      <c r="BO59" s="266">
        <f t="shared" si="44"/>
        <v>186.58397634743065</v>
      </c>
      <c r="BP59" s="266">
        <f t="shared" ca="1" si="24"/>
        <v>233.2299704342883</v>
      </c>
      <c r="BQ59" s="266">
        <f t="shared" ca="1" si="25"/>
        <v>251.88836806903137</v>
      </c>
      <c r="BR59" s="268">
        <f t="shared" ca="1" si="26"/>
        <v>841.37711834169511</v>
      </c>
      <c r="BS59" s="262" t="s">
        <v>99</v>
      </c>
      <c r="BT59" s="277"/>
      <c r="BW59" s="266">
        <f t="shared" si="27"/>
        <v>158.20573128678546</v>
      </c>
      <c r="BX59" s="266">
        <f t="shared" si="28"/>
        <v>175.78414587420608</v>
      </c>
      <c r="BY59" s="266">
        <f t="shared" si="29"/>
        <v>219.73018234275759</v>
      </c>
      <c r="BZ59" s="266">
        <f t="shared" si="30"/>
        <v>237.3085969301782</v>
      </c>
      <c r="CA59" s="266">
        <f ca="1">N59*IFERROR(INDEX(Algorithms!$G:$G,MATCH($C59&amp;"_Therm Saved per Unit- MLA",Algorithms!$A:$A,0)),0)*X59</f>
        <v>0</v>
      </c>
      <c r="CB59" s="266">
        <f ca="1">O59*IFERROR(INDEX(Algorithms!$G:$G,MATCH($C59&amp;"_Therm Saved per Unit- MLA",Algorithms!$A:$A,0)),0)*Y59</f>
        <v>0</v>
      </c>
      <c r="CC59" s="266">
        <f ca="1">P59*IFERROR(INDEX(Algorithms!$G:$G,MATCH($C59&amp;"_Therm Saved per Unit- MLA",Algorithms!$A:$A,0)),0)*Z59</f>
        <v>0</v>
      </c>
      <c r="CD59" s="266">
        <f ca="1">Q59*IFERROR(INDEX(Algorithms!$G:$G,MATCH($C59&amp;"_Therm Saved per Unit- MLA",Algorithms!$A:$A,0)),0)*AA59</f>
        <v>0</v>
      </c>
      <c r="CE59" s="266">
        <f ca="1">IFERROR(INDEX(Algorithms!$G:$G,MATCH($C59&amp;"_Lifetime (years)",Algorithms!$A:$A,0)),0)</f>
        <v>10</v>
      </c>
      <c r="CF59" s="266">
        <f ca="1">IFERROR(INDEX(Algorithms!$G:$G,MATCH($C59&amp;"_Lifetime (years) - Remaining Years",Algorithms!$A:$A,0)),0)</f>
        <v>0</v>
      </c>
      <c r="CG59" s="266">
        <f t="shared" ca="1" si="31"/>
        <v>1582.0573128678548</v>
      </c>
      <c r="CH59" s="266">
        <f t="shared" ca="1" si="32"/>
        <v>1757.8414587420607</v>
      </c>
      <c r="CI59" s="266">
        <f t="shared" ca="1" si="33"/>
        <v>2197.301823427576</v>
      </c>
      <c r="CJ59" s="266">
        <f t="shared" ca="1" si="34"/>
        <v>2373.0859693017819</v>
      </c>
      <c r="CK59" s="266">
        <f t="shared" si="35"/>
        <v>169.67480349094473</v>
      </c>
      <c r="CL59" s="266">
        <f t="shared" si="36"/>
        <v>186.58397634743065</v>
      </c>
      <c r="CM59" s="266">
        <f t="shared" ca="1" si="37"/>
        <v>233.2299704342883</v>
      </c>
      <c r="CN59" s="266">
        <f t="shared" ca="1" si="38"/>
        <v>251.88836806903137</v>
      </c>
      <c r="CO59" s="266">
        <f ca="1">N59*IFERROR(INDEX(Algorithms!$G:$G,MATCH($C59&amp;"_Therm Saved per Unit- MLA",Algorithms!$A:$A,0)),0)*X59</f>
        <v>0</v>
      </c>
      <c r="CP59" s="266">
        <f ca="1">O59*IFERROR(INDEX(Algorithms!$G:$G,MATCH($C59&amp;"_Therm Saved per Unit- MLA",Algorithms!$A:$A,0)),0)*Y59</f>
        <v>0</v>
      </c>
      <c r="CQ59" s="266">
        <f ca="1">P59*IFERROR(INDEX(Algorithms!$G:$G,MATCH($C59&amp;"_Therm Saved per Unit- MLA",Algorithms!$A:$A,0)),0)*Z59</f>
        <v>0</v>
      </c>
      <c r="CR59" s="266">
        <f ca="1">Q59*IFERROR(INDEX(Algorithms!$G:$G,MATCH($C59&amp;"_Therm Saved per Unit- MLA",Algorithms!$A:$A,0)),0)*AA59</f>
        <v>0</v>
      </c>
      <c r="CS59" s="266">
        <f ca="1">IFERROR(INDEX(Algorithms!$G:$G,MATCH($C59&amp;"_Lifetime (years)",Algorithms!$A:$A,0)),0)</f>
        <v>10</v>
      </c>
      <c r="CT59" s="266">
        <f ca="1">IFERROR(INDEX(Algorithms!$G:$G,MATCH($C59&amp;"_Lifetime (years) - Remaining Years",Algorithms!$A:$A,0)),0)</f>
        <v>0</v>
      </c>
      <c r="CU59" s="266">
        <f t="shared" ca="1" si="39"/>
        <v>1696.7480349094471</v>
      </c>
      <c r="CV59" s="266">
        <f t="shared" ca="1" si="40"/>
        <v>1865.8397634743064</v>
      </c>
      <c r="CW59" s="266">
        <f t="shared" ca="1" si="41"/>
        <v>2332.2997043428832</v>
      </c>
      <c r="CX59" s="266">
        <f t="shared" ca="1" si="42"/>
        <v>2518.8836806903137</v>
      </c>
    </row>
    <row r="60" spans="2:102" s="47" customFormat="1" ht="18" customHeight="1" x14ac:dyDescent="0.25">
      <c r="B60" t="str">
        <f t="shared" si="43"/>
        <v>NSG_Business_Public Sector_Rebates_Water Heater_Storage 88% TE ≥75MBh_CI</v>
      </c>
      <c r="C60" s="47" t="str">
        <f t="shared" si="6"/>
        <v>Water Heater_Storage 88% TE ≥75MBh_CI</v>
      </c>
      <c r="D60" s="270" t="s">
        <v>1787</v>
      </c>
      <c r="E60" s="270" t="s">
        <v>3</v>
      </c>
      <c r="F60" s="270" t="s">
        <v>1430</v>
      </c>
      <c r="G60" s="270" t="s">
        <v>1429</v>
      </c>
      <c r="H60" s="270" t="s">
        <v>8</v>
      </c>
      <c r="I60" s="270" t="s">
        <v>1262</v>
      </c>
      <c r="J60" s="270" t="s">
        <v>1159</v>
      </c>
      <c r="K60" s="263">
        <v>1</v>
      </c>
      <c r="L60" s="263" t="str">
        <f ca="1">IFERROR(INDEX(Algorithms!J:J,MATCH($C60&amp;"_Therm Saved per Unit",Algorithms!$A:$A,0)),"n/a")</f>
        <v>4.3.1</v>
      </c>
      <c r="M60" s="263" t="str">
        <f>IFERROR(INDEX('Measure Level Detail'!$N:$N,MATCH($B60,'Measure Level Detail'!$B:$B,0)),0)</f>
        <v>each</v>
      </c>
      <c r="N60" s="271">
        <f>IFERROR(INDEX('Measure Level Detail'!$P:$P,MATCH($B60&amp;"_"&amp;N$3,'Measure Level Detail'!$C:$C,0)),0)</f>
        <v>3</v>
      </c>
      <c r="O60" s="271">
        <f>IFERROR(INDEX('Measure Level Detail'!$P:$P,MATCH($B60&amp;"_"&amp;O$3,'Measure Level Detail'!$C:$C,0)),0)</f>
        <v>3</v>
      </c>
      <c r="P60" s="271">
        <f>IFERROR(INDEX('Measure Level Detail'!$P:$P,MATCH($B60&amp;"_"&amp;P$3,'Measure Level Detail'!$C:$C,0)),0)</f>
        <v>3</v>
      </c>
      <c r="Q60" s="271">
        <f>IFERROR(INDEX('Measure Level Detail'!$P:$P,MATCH($B60&amp;"_"&amp;Q$3,'Measure Level Detail'!$C:$C,0)),0)</f>
        <v>3</v>
      </c>
      <c r="R60" s="263" t="str">
        <f ca="1">IFERROR(INDEX(Algorithms!K:K,MATCH($C60&amp;"_Therm Saved per Unit",Algorithms!$A:$A,0)),"n/a")</f>
        <v>CI-HWE-STWH-V10-240101</v>
      </c>
      <c r="S60" s="262"/>
      <c r="T60" s="272">
        <v>135.66827090062347</v>
      </c>
      <c r="U60" s="272">
        <v>135.66827090062347</v>
      </c>
      <c r="V60" s="272">
        <v>135.66827090062347</v>
      </c>
      <c r="W60" s="272">
        <v>135.66827090062347</v>
      </c>
      <c r="X60" s="276">
        <v>0.92</v>
      </c>
      <c r="Y60" s="276">
        <v>0.92</v>
      </c>
      <c r="Z60" s="276">
        <v>0.92</v>
      </c>
      <c r="AA60" s="276">
        <v>0.92</v>
      </c>
      <c r="AB60" s="266">
        <f t="shared" si="7"/>
        <v>374.44442768572077</v>
      </c>
      <c r="AC60" s="266">
        <f t="shared" si="8"/>
        <v>374.44442768572077</v>
      </c>
      <c r="AD60" s="266">
        <f t="shared" si="9"/>
        <v>374.44442768572077</v>
      </c>
      <c r="AE60" s="266">
        <f t="shared" si="10"/>
        <v>374.44442768572077</v>
      </c>
      <c r="AF60" s="266">
        <f t="shared" si="11"/>
        <v>1497.7777107428831</v>
      </c>
      <c r="AG60" s="274">
        <v>0.92</v>
      </c>
      <c r="AH60" s="274">
        <v>0.92</v>
      </c>
      <c r="AI60" s="274">
        <v>0.92</v>
      </c>
      <c r="AJ60" s="274">
        <v>0.92</v>
      </c>
      <c r="AK60" s="274">
        <f t="shared" si="12"/>
        <v>0.92</v>
      </c>
      <c r="AL60" s="274">
        <f t="shared" si="13"/>
        <v>0.92</v>
      </c>
      <c r="AM60" s="274">
        <f t="shared" si="14"/>
        <v>0.92</v>
      </c>
      <c r="AN60" s="274">
        <f t="shared" si="15"/>
        <v>0.92</v>
      </c>
      <c r="AO60" s="262"/>
      <c r="AP60" s="262"/>
      <c r="AQ60" s="267">
        <v>139.65886152562348</v>
      </c>
      <c r="AR60" s="262"/>
      <c r="AS60" s="266">
        <f t="shared" si="16"/>
        <v>385.4584578107208</v>
      </c>
      <c r="AT60" s="264">
        <f t="shared" si="17"/>
        <v>11.014030125000033</v>
      </c>
      <c r="AU60" s="262"/>
      <c r="AV60" s="262"/>
      <c r="AW60" s="265">
        <v>139.65886152562348</v>
      </c>
      <c r="AX60" s="164" t="s">
        <v>1469</v>
      </c>
      <c r="AY60" s="266">
        <v>385.4584578107208</v>
      </c>
      <c r="AZ60" s="266">
        <f t="shared" si="45"/>
        <v>385.4584578107208</v>
      </c>
      <c r="BA60" s="264">
        <f t="shared" si="18"/>
        <v>11.014030125000033</v>
      </c>
      <c r="BB60" s="262"/>
      <c r="BC60" s="262"/>
      <c r="BD60" s="265">
        <f ca="1">IFERROR(INDEX(Algorithms!$G:$G,MATCH($C60&amp;"_Therm Saved per Unit",Algorithms!$A:$A,0)),0)</f>
        <v>139.65886152562348</v>
      </c>
      <c r="BE60" s="164" t="str">
        <f ca="1">IFERROR(INDEX('v12 Revisions'!$P$29:$P$186, MATCH('Measure-Level Adj Gas'!$L60, 'v12 Revisions'!$D$29:$D$186,0)),"")</f>
        <v>n/a - language only.</v>
      </c>
      <c r="BF60" s="266">
        <f t="shared" ca="1" si="19"/>
        <v>385.4584578107208</v>
      </c>
      <c r="BG60" s="264">
        <f t="shared" ca="1" si="20"/>
        <v>11.014030125000033</v>
      </c>
      <c r="BH60" s="262"/>
      <c r="BI60" s="262"/>
      <c r="BJ60" s="265">
        <f ca="1">IFERROR(INDEX(Algorithms!$G:$G,MATCH($C60&amp;"_Therm Saved per Unit",Algorithms!$A:$A,0)),0)</f>
        <v>139.65886152562348</v>
      </c>
      <c r="BK60" s="164"/>
      <c r="BL60" s="266">
        <f t="shared" ca="1" si="21"/>
        <v>385.4584578107208</v>
      </c>
      <c r="BM60" s="264">
        <f t="shared" ca="1" si="22"/>
        <v>11.014030125000033</v>
      </c>
      <c r="BN60" s="266">
        <f t="shared" si="23"/>
        <v>385.4584578107208</v>
      </c>
      <c r="BO60" s="266">
        <f t="shared" si="44"/>
        <v>385.4584578107208</v>
      </c>
      <c r="BP60" s="266">
        <f t="shared" ca="1" si="24"/>
        <v>385.4584578107208</v>
      </c>
      <c r="BQ60" s="266">
        <f t="shared" ca="1" si="25"/>
        <v>385.4584578107208</v>
      </c>
      <c r="BR60" s="268">
        <f t="shared" ca="1" si="26"/>
        <v>1541.8338312428832</v>
      </c>
      <c r="BS60" s="262" t="s">
        <v>99</v>
      </c>
      <c r="BT60" s="277"/>
      <c r="BW60" s="266">
        <f t="shared" si="27"/>
        <v>374.44442768572077</v>
      </c>
      <c r="BX60" s="266">
        <f t="shared" si="28"/>
        <v>374.44442768572077</v>
      </c>
      <c r="BY60" s="266">
        <f t="shared" si="29"/>
        <v>374.44442768572077</v>
      </c>
      <c r="BZ60" s="266">
        <f t="shared" si="30"/>
        <v>374.44442768572077</v>
      </c>
      <c r="CA60" s="266">
        <f ca="1">N60*IFERROR(INDEX(Algorithms!$G:$G,MATCH($C60&amp;"_Therm Saved per Unit- MLA",Algorithms!$A:$A,0)),0)*X60</f>
        <v>0</v>
      </c>
      <c r="CB60" s="266">
        <f ca="1">O60*IFERROR(INDEX(Algorithms!$G:$G,MATCH($C60&amp;"_Therm Saved per Unit- MLA",Algorithms!$A:$A,0)),0)*Y60</f>
        <v>0</v>
      </c>
      <c r="CC60" s="266">
        <f ca="1">P60*IFERROR(INDEX(Algorithms!$G:$G,MATCH($C60&amp;"_Therm Saved per Unit- MLA",Algorithms!$A:$A,0)),0)*Z60</f>
        <v>0</v>
      </c>
      <c r="CD60" s="266">
        <f ca="1">Q60*IFERROR(INDEX(Algorithms!$G:$G,MATCH($C60&amp;"_Therm Saved per Unit- MLA",Algorithms!$A:$A,0)),0)*AA60</f>
        <v>0</v>
      </c>
      <c r="CE60" s="266">
        <f ca="1">IFERROR(INDEX(Algorithms!$G:$G,MATCH($C60&amp;"_Lifetime (years)",Algorithms!$A:$A,0)),0)</f>
        <v>15</v>
      </c>
      <c r="CF60" s="266">
        <f ca="1">IFERROR(INDEX(Algorithms!$G:$G,MATCH($C60&amp;"_Lifetime (years) - Remaining Years",Algorithms!$A:$A,0)),0)</f>
        <v>0</v>
      </c>
      <c r="CG60" s="266">
        <f t="shared" ca="1" si="31"/>
        <v>5616.6664152858111</v>
      </c>
      <c r="CH60" s="266">
        <f t="shared" ca="1" si="32"/>
        <v>5616.6664152858111</v>
      </c>
      <c r="CI60" s="266">
        <f t="shared" ca="1" si="33"/>
        <v>5616.6664152858111</v>
      </c>
      <c r="CJ60" s="266">
        <f t="shared" ca="1" si="34"/>
        <v>5616.6664152858111</v>
      </c>
      <c r="CK60" s="266">
        <f t="shared" si="35"/>
        <v>385.4584578107208</v>
      </c>
      <c r="CL60" s="266">
        <f t="shared" si="36"/>
        <v>385.4584578107208</v>
      </c>
      <c r="CM60" s="266">
        <f t="shared" ca="1" si="37"/>
        <v>385.4584578107208</v>
      </c>
      <c r="CN60" s="266">
        <f t="shared" ca="1" si="38"/>
        <v>385.4584578107208</v>
      </c>
      <c r="CO60" s="266">
        <f ca="1">N60*IFERROR(INDEX(Algorithms!$G:$G,MATCH($C60&amp;"_Therm Saved per Unit- MLA",Algorithms!$A:$A,0)),0)*X60</f>
        <v>0</v>
      </c>
      <c r="CP60" s="266">
        <f ca="1">O60*IFERROR(INDEX(Algorithms!$G:$G,MATCH($C60&amp;"_Therm Saved per Unit- MLA",Algorithms!$A:$A,0)),0)*Y60</f>
        <v>0</v>
      </c>
      <c r="CQ60" s="266">
        <f ca="1">P60*IFERROR(INDEX(Algorithms!$G:$G,MATCH($C60&amp;"_Therm Saved per Unit- MLA",Algorithms!$A:$A,0)),0)*Z60</f>
        <v>0</v>
      </c>
      <c r="CR60" s="266">
        <f ca="1">Q60*IFERROR(INDEX(Algorithms!$G:$G,MATCH($C60&amp;"_Therm Saved per Unit- MLA",Algorithms!$A:$A,0)),0)*AA60</f>
        <v>0</v>
      </c>
      <c r="CS60" s="266">
        <f ca="1">IFERROR(INDEX(Algorithms!$G:$G,MATCH($C60&amp;"_Lifetime (years)",Algorithms!$A:$A,0)),0)</f>
        <v>15</v>
      </c>
      <c r="CT60" s="266">
        <f ca="1">IFERROR(INDEX(Algorithms!$G:$G,MATCH($C60&amp;"_Lifetime (years) - Remaining Years",Algorithms!$A:$A,0)),0)</f>
        <v>0</v>
      </c>
      <c r="CU60" s="266">
        <f t="shared" ca="1" si="39"/>
        <v>5781.8768671608123</v>
      </c>
      <c r="CV60" s="266">
        <f t="shared" ca="1" si="40"/>
        <v>5781.8768671608123</v>
      </c>
      <c r="CW60" s="266">
        <f t="shared" ca="1" si="41"/>
        <v>5781.8768671608123</v>
      </c>
      <c r="CX60" s="266">
        <f t="shared" ca="1" si="42"/>
        <v>5781.8768671608123</v>
      </c>
    </row>
    <row r="61" spans="2:102" s="47" customFormat="1" ht="18" customHeight="1" x14ac:dyDescent="0.25">
      <c r="B61" t="str">
        <f t="shared" si="43"/>
        <v>NSG_Income Eligible_Multi-Family_MF IHWAP_Water Heater_Storage 0.67 EF_MF</v>
      </c>
      <c r="C61" s="47" t="str">
        <f t="shared" si="6"/>
        <v>Water Heater_Storage 0.67 EF_MF</v>
      </c>
      <c r="D61" s="270" t="s">
        <v>1787</v>
      </c>
      <c r="E61" s="270" t="s">
        <v>325</v>
      </c>
      <c r="F61" s="270" t="s">
        <v>1422</v>
      </c>
      <c r="G61" s="270" t="s">
        <v>1441</v>
      </c>
      <c r="H61" s="270" t="s">
        <v>8</v>
      </c>
      <c r="I61" s="270" t="s">
        <v>879</v>
      </c>
      <c r="J61" s="270" t="s">
        <v>553</v>
      </c>
      <c r="K61" s="263">
        <v>1</v>
      </c>
      <c r="L61" s="263" t="str">
        <f ca="1">IFERROR(INDEX(Algorithms!J:J,MATCH($C61&amp;"_Therm Saved per Unit",Algorithms!$A:$A,0)),"n/a")</f>
        <v>4.3.1</v>
      </c>
      <c r="M61" s="263" t="str">
        <f>IFERROR(INDEX('Measure Level Detail'!$N:$N,MATCH($B61,'Measure Level Detail'!$B:$B,0)),0)</f>
        <v>each</v>
      </c>
      <c r="N61" s="271">
        <f>IFERROR(INDEX('Measure Level Detail'!$P:$P,MATCH($B61&amp;"_"&amp;N$3,'Measure Level Detail'!$C:$C,0)),0)</f>
        <v>6</v>
      </c>
      <c r="O61" s="271">
        <f>IFERROR(INDEX('Measure Level Detail'!$P:$P,MATCH($B61&amp;"_"&amp;O$3,'Measure Level Detail'!$C:$C,0)),0)</f>
        <v>8</v>
      </c>
      <c r="P61" s="271">
        <f>IFERROR(INDEX('Measure Level Detail'!$P:$P,MATCH($B61&amp;"_"&amp;P$3,'Measure Level Detail'!$C:$C,0)),0)</f>
        <v>14</v>
      </c>
      <c r="Q61" s="271">
        <f>IFERROR(INDEX('Measure Level Detail'!$P:$P,MATCH($B61&amp;"_"&amp;Q$3,'Measure Level Detail'!$C:$C,0)),0)</f>
        <v>15</v>
      </c>
      <c r="R61" s="263" t="str">
        <f ca="1">IFERROR(INDEX(Algorithms!K:K,MATCH($C61&amp;"_Therm Saved per Unit",Algorithms!$A:$A,0)),"n/a")</f>
        <v>CI-HWE-STWH-V10-240101</v>
      </c>
      <c r="S61" s="262"/>
      <c r="T61" s="272">
        <v>35.435517834876244</v>
      </c>
      <c r="U61" s="272">
        <v>35.435517834876244</v>
      </c>
      <c r="V61" s="272">
        <v>35.435517834876244</v>
      </c>
      <c r="W61" s="272">
        <v>35.435517834876244</v>
      </c>
      <c r="X61" s="273">
        <f>IFERROR(INDEX('Measure Level Detail'!$R:$R,MATCH($B61&amp;"_"&amp;X$3,'Measure Level Detail'!$C:$C,0)),0)</f>
        <v>1</v>
      </c>
      <c r="Y61" s="273">
        <f>IFERROR(INDEX('Measure Level Detail'!$R:$R,MATCH($B61&amp;"_"&amp;Y$3,'Measure Level Detail'!$C:$C,0)),0)</f>
        <v>1</v>
      </c>
      <c r="Z61" s="273">
        <f>IFERROR(INDEX('Measure Level Detail'!$R:$R,MATCH($B61&amp;"_"&amp;Z$3,'Measure Level Detail'!$C:$C,0)),0)</f>
        <v>1</v>
      </c>
      <c r="AA61" s="273">
        <f>IFERROR(INDEX('Measure Level Detail'!$R:$R,MATCH($B61&amp;"_"&amp;AA$3,'Measure Level Detail'!$C:$C,0)),0)</f>
        <v>1</v>
      </c>
      <c r="AB61" s="266">
        <f t="shared" si="7"/>
        <v>212.61310700925748</v>
      </c>
      <c r="AC61" s="266">
        <f t="shared" si="8"/>
        <v>283.48414267900995</v>
      </c>
      <c r="AD61" s="266">
        <f t="shared" si="9"/>
        <v>496.09724968826742</v>
      </c>
      <c r="AE61" s="266">
        <f t="shared" si="10"/>
        <v>531.53276752314366</v>
      </c>
      <c r="AF61" s="266">
        <f t="shared" si="11"/>
        <v>1523.7272668996784</v>
      </c>
      <c r="AG61" s="274">
        <v>1</v>
      </c>
      <c r="AH61" s="274">
        <v>1</v>
      </c>
      <c r="AI61" s="274">
        <v>1</v>
      </c>
      <c r="AJ61" s="274">
        <v>1</v>
      </c>
      <c r="AK61" s="274">
        <f t="shared" si="12"/>
        <v>1</v>
      </c>
      <c r="AL61" s="274">
        <f t="shared" si="13"/>
        <v>1</v>
      </c>
      <c r="AM61" s="274">
        <f t="shared" si="14"/>
        <v>1</v>
      </c>
      <c r="AN61" s="274">
        <f t="shared" si="15"/>
        <v>1</v>
      </c>
      <c r="AO61" s="262"/>
      <c r="AP61" s="262"/>
      <c r="AQ61" s="267">
        <v>37.082520776497255</v>
      </c>
      <c r="AR61" s="262"/>
      <c r="AS61" s="266">
        <f t="shared" si="16"/>
        <v>222.49512465898351</v>
      </c>
      <c r="AT61" s="264">
        <f t="shared" si="17"/>
        <v>9.8820176497260377</v>
      </c>
      <c r="AU61" s="262"/>
      <c r="AV61" s="262"/>
      <c r="AW61" s="265">
        <v>36.883152385225763</v>
      </c>
      <c r="AX61" s="164" t="s">
        <v>1469</v>
      </c>
      <c r="AY61" s="266">
        <v>296.66016621197804</v>
      </c>
      <c r="AZ61" s="266">
        <f t="shared" si="45"/>
        <v>295.06521908180611</v>
      </c>
      <c r="BA61" s="264">
        <f t="shared" si="18"/>
        <v>11.581076402796157</v>
      </c>
      <c r="BB61" s="262"/>
      <c r="BC61" s="262"/>
      <c r="BD61" s="265">
        <f ca="1">IFERROR(INDEX(Algorithms!$G:$G,MATCH($C61&amp;"_Therm Saved per Unit",Algorithms!$A:$A,0)),0)</f>
        <v>36.883152385225763</v>
      </c>
      <c r="BE61" s="164" t="str">
        <f ca="1">IFERROR(INDEX('v12 Revisions'!$P$29:$P$186, MATCH('Measure-Level Adj Gas'!$L61, 'v12 Revisions'!$D$29:$D$186,0)),"")</f>
        <v>n/a - language only.</v>
      </c>
      <c r="BF61" s="266">
        <f t="shared" ca="1" si="19"/>
        <v>516.36413339316073</v>
      </c>
      <c r="BG61" s="264">
        <f t="shared" ca="1" si="20"/>
        <v>20.266883704893303</v>
      </c>
      <c r="BH61" s="262"/>
      <c r="BI61" s="262"/>
      <c r="BJ61" s="265">
        <f ca="1">IFERROR(INDEX(Algorithms!$G:$G,MATCH($C61&amp;"_Therm Saved per Unit",Algorithms!$A:$A,0)),0)</f>
        <v>36.883152385225763</v>
      </c>
      <c r="BK61" s="164"/>
      <c r="BL61" s="266">
        <f t="shared" ca="1" si="21"/>
        <v>553.24728577838641</v>
      </c>
      <c r="BM61" s="264">
        <f t="shared" ca="1" si="22"/>
        <v>21.714518255242751</v>
      </c>
      <c r="BN61" s="266">
        <f t="shared" si="23"/>
        <v>222.49512465898351</v>
      </c>
      <c r="BO61" s="266">
        <f t="shared" si="44"/>
        <v>295.06521908180611</v>
      </c>
      <c r="BP61" s="266">
        <f t="shared" ca="1" si="24"/>
        <v>516.36413339316073</v>
      </c>
      <c r="BQ61" s="266">
        <f t="shared" ca="1" si="25"/>
        <v>553.24728577838641</v>
      </c>
      <c r="BR61" s="268">
        <f t="shared" ca="1" si="26"/>
        <v>1587.1717629123368</v>
      </c>
      <c r="BS61" s="262" t="s">
        <v>99</v>
      </c>
      <c r="BT61" s="277"/>
      <c r="BW61" s="266">
        <f t="shared" si="27"/>
        <v>212.61310700925748</v>
      </c>
      <c r="BX61" s="266">
        <f t="shared" si="28"/>
        <v>283.48414267900995</v>
      </c>
      <c r="BY61" s="266">
        <f t="shared" si="29"/>
        <v>496.09724968826742</v>
      </c>
      <c r="BZ61" s="266">
        <f t="shared" si="30"/>
        <v>531.53276752314366</v>
      </c>
      <c r="CA61" s="266">
        <f ca="1">N61*IFERROR(INDEX(Algorithms!$G:$G,MATCH($C61&amp;"_Therm Saved per Unit- MLA",Algorithms!$A:$A,0)),0)*X61</f>
        <v>0</v>
      </c>
      <c r="CB61" s="266">
        <f ca="1">O61*IFERROR(INDEX(Algorithms!$G:$G,MATCH($C61&amp;"_Therm Saved per Unit- MLA",Algorithms!$A:$A,0)),0)*Y61</f>
        <v>0</v>
      </c>
      <c r="CC61" s="266">
        <f ca="1">P61*IFERROR(INDEX(Algorithms!$G:$G,MATCH($C61&amp;"_Therm Saved per Unit- MLA",Algorithms!$A:$A,0)),0)*Z61</f>
        <v>0</v>
      </c>
      <c r="CD61" s="266">
        <f ca="1">Q61*IFERROR(INDEX(Algorithms!$G:$G,MATCH($C61&amp;"_Therm Saved per Unit- MLA",Algorithms!$A:$A,0)),0)*AA61</f>
        <v>0</v>
      </c>
      <c r="CE61" s="266">
        <f ca="1">IFERROR(INDEX(Algorithms!$G:$G,MATCH($C61&amp;"_Lifetime (years)",Algorithms!$A:$A,0)),0)</f>
        <v>15</v>
      </c>
      <c r="CF61" s="266">
        <f ca="1">IFERROR(INDEX(Algorithms!$G:$G,MATCH($C61&amp;"_Lifetime (years) - Remaining Years",Algorithms!$A:$A,0)),0)</f>
        <v>0</v>
      </c>
      <c r="CG61" s="266">
        <f t="shared" ca="1" si="31"/>
        <v>3189.1966051388622</v>
      </c>
      <c r="CH61" s="266">
        <f t="shared" ca="1" si="32"/>
        <v>4252.2621401851493</v>
      </c>
      <c r="CI61" s="266">
        <f t="shared" ca="1" si="33"/>
        <v>7441.458745324011</v>
      </c>
      <c r="CJ61" s="266">
        <f t="shared" ca="1" si="34"/>
        <v>7972.9915128471548</v>
      </c>
      <c r="CK61" s="266">
        <f t="shared" si="35"/>
        <v>222.49512465898351</v>
      </c>
      <c r="CL61" s="266">
        <f t="shared" si="36"/>
        <v>295.06521908180611</v>
      </c>
      <c r="CM61" s="266">
        <f t="shared" ca="1" si="37"/>
        <v>516.36413339316073</v>
      </c>
      <c r="CN61" s="266">
        <f t="shared" ca="1" si="38"/>
        <v>553.24728577838641</v>
      </c>
      <c r="CO61" s="266">
        <f ca="1">N61*IFERROR(INDEX(Algorithms!$G:$G,MATCH($C61&amp;"_Therm Saved per Unit- MLA",Algorithms!$A:$A,0)),0)*X61</f>
        <v>0</v>
      </c>
      <c r="CP61" s="266">
        <f ca="1">O61*IFERROR(INDEX(Algorithms!$G:$G,MATCH($C61&amp;"_Therm Saved per Unit- MLA",Algorithms!$A:$A,0)),0)*Y61</f>
        <v>0</v>
      </c>
      <c r="CQ61" s="266">
        <f ca="1">P61*IFERROR(INDEX(Algorithms!$G:$G,MATCH($C61&amp;"_Therm Saved per Unit- MLA",Algorithms!$A:$A,0)),0)*Z61</f>
        <v>0</v>
      </c>
      <c r="CR61" s="266">
        <f ca="1">Q61*IFERROR(INDEX(Algorithms!$G:$G,MATCH($C61&amp;"_Therm Saved per Unit- MLA",Algorithms!$A:$A,0)),0)*AA61</f>
        <v>0</v>
      </c>
      <c r="CS61" s="266">
        <f ca="1">IFERROR(INDEX(Algorithms!$G:$G,MATCH($C61&amp;"_Lifetime (years)",Algorithms!$A:$A,0)),0)</f>
        <v>15</v>
      </c>
      <c r="CT61" s="266">
        <f ca="1">IFERROR(INDEX(Algorithms!$G:$G,MATCH($C61&amp;"_Lifetime (years) - Remaining Years",Algorithms!$A:$A,0)),0)</f>
        <v>0</v>
      </c>
      <c r="CU61" s="266">
        <f t="shared" ca="1" si="39"/>
        <v>3337.4268698847527</v>
      </c>
      <c r="CV61" s="266">
        <f t="shared" ca="1" si="40"/>
        <v>4425.9782862270913</v>
      </c>
      <c r="CW61" s="266">
        <f t="shared" ca="1" si="41"/>
        <v>7745.4620008974107</v>
      </c>
      <c r="CX61" s="266">
        <f t="shared" ca="1" si="42"/>
        <v>8298.7092866757957</v>
      </c>
    </row>
    <row r="62" spans="2:102" s="47" customFormat="1" ht="18" customHeight="1" x14ac:dyDescent="0.25">
      <c r="B62" t="str">
        <f t="shared" si="43"/>
        <v>NSG_Income Eligible_Multi-Family_Whole Building - DI_Low Flow Showerhead_0_MF</v>
      </c>
      <c r="C62" s="47" t="str">
        <f t="shared" si="6"/>
        <v>Low Flow Showerhead_0_MF</v>
      </c>
      <c r="D62" s="270" t="s">
        <v>1787</v>
      </c>
      <c r="E62" s="270" t="s">
        <v>325</v>
      </c>
      <c r="F62" s="270" t="s">
        <v>1422</v>
      </c>
      <c r="G62" s="270" t="s">
        <v>1812</v>
      </c>
      <c r="H62" s="270" t="s">
        <v>15</v>
      </c>
      <c r="I62" s="270">
        <v>0</v>
      </c>
      <c r="J62" s="270" t="s">
        <v>553</v>
      </c>
      <c r="K62" s="263">
        <v>1</v>
      </c>
      <c r="L62" s="263" t="str">
        <f ca="1">IFERROR(INDEX(Algorithms!J:J,MATCH($C62&amp;"_Therm Saved per Unit",Algorithms!$A:$A,0)),"n/a")</f>
        <v>5.4.5</v>
      </c>
      <c r="M62" s="263" t="str">
        <f>IFERROR(INDEX('Measure Level Detail'!$N:$N,MATCH($B62,'Measure Level Detail'!$B:$B,0)),0)</f>
        <v>each</v>
      </c>
      <c r="N62" s="271">
        <f>IFERROR(INDEX('Measure Level Detail'!$P:$P,MATCH($B62&amp;"_"&amp;N$3,'Measure Level Detail'!$C:$C,0)),0)</f>
        <v>12</v>
      </c>
      <c r="O62" s="271">
        <f>IFERROR(INDEX('Measure Level Detail'!$P:$P,MATCH($B62&amp;"_"&amp;O$3,'Measure Level Detail'!$C:$C,0)),0)</f>
        <v>12</v>
      </c>
      <c r="P62" s="271">
        <f>IFERROR(INDEX('Measure Level Detail'!$P:$P,MATCH($B62&amp;"_"&amp;P$3,'Measure Level Detail'!$C:$C,0)),0)</f>
        <v>12</v>
      </c>
      <c r="Q62" s="271">
        <f>IFERROR(INDEX('Measure Level Detail'!$P:$P,MATCH($B62&amp;"_"&amp;Q$3,'Measure Level Detail'!$C:$C,0)),0)</f>
        <v>12</v>
      </c>
      <c r="R62" s="263" t="str">
        <f ca="1">IFERROR(INDEX(Algorithms!K:K,MATCH($C62&amp;"_Therm Saved per Unit",Algorithms!$A:$A,0)),"n/a")</f>
        <v>RS-HWE-LFSH-V12-240101</v>
      </c>
      <c r="S62" s="262"/>
      <c r="T62" s="272">
        <v>11.319060638969999</v>
      </c>
      <c r="U62" s="272">
        <v>11.319060638969999</v>
      </c>
      <c r="V62" s="272">
        <v>11.319060638969999</v>
      </c>
      <c r="W62" s="272">
        <v>11.319060638969999</v>
      </c>
      <c r="X62" s="273">
        <f>IFERROR(INDEX('Measure Level Detail'!$R:$R,MATCH($B62&amp;"_"&amp;X$3,'Measure Level Detail'!$C:$C,0)),0)</f>
        <v>1</v>
      </c>
      <c r="Y62" s="273">
        <f>IFERROR(INDEX('Measure Level Detail'!$R:$R,MATCH($B62&amp;"_"&amp;Y$3,'Measure Level Detail'!$C:$C,0)),0)</f>
        <v>1</v>
      </c>
      <c r="Z62" s="273">
        <f>IFERROR(INDEX('Measure Level Detail'!$R:$R,MATCH($B62&amp;"_"&amp;Z$3,'Measure Level Detail'!$C:$C,0)),0)</f>
        <v>1</v>
      </c>
      <c r="AA62" s="273">
        <f>IFERROR(INDEX('Measure Level Detail'!$R:$R,MATCH($B62&amp;"_"&amp;AA$3,'Measure Level Detail'!$C:$C,0)),0)</f>
        <v>1</v>
      </c>
      <c r="AB62" s="266">
        <f t="shared" si="7"/>
        <v>135.82872766763998</v>
      </c>
      <c r="AC62" s="266">
        <f t="shared" si="8"/>
        <v>135.82872766763998</v>
      </c>
      <c r="AD62" s="266">
        <f t="shared" si="9"/>
        <v>135.82872766763998</v>
      </c>
      <c r="AE62" s="266">
        <f t="shared" si="10"/>
        <v>135.82872766763998</v>
      </c>
      <c r="AF62" s="266">
        <f t="shared" si="11"/>
        <v>543.31491067055993</v>
      </c>
      <c r="AG62" s="274">
        <v>1</v>
      </c>
      <c r="AH62" s="274">
        <v>1</v>
      </c>
      <c r="AI62" s="274">
        <v>1</v>
      </c>
      <c r="AJ62" s="274">
        <v>1</v>
      </c>
      <c r="AK62" s="274">
        <f t="shared" si="12"/>
        <v>1</v>
      </c>
      <c r="AL62" s="274">
        <f t="shared" si="13"/>
        <v>1</v>
      </c>
      <c r="AM62" s="274">
        <f t="shared" si="14"/>
        <v>1</v>
      </c>
      <c r="AN62" s="274">
        <f t="shared" si="15"/>
        <v>1</v>
      </c>
      <c r="AO62" s="262"/>
      <c r="AP62" s="262"/>
      <c r="AQ62" s="267">
        <v>12.139632199151192</v>
      </c>
      <c r="AR62" s="262"/>
      <c r="AS62" s="266">
        <f t="shared" si="16"/>
        <v>145.6755863898143</v>
      </c>
      <c r="AT62" s="264">
        <f t="shared" si="17"/>
        <v>9.8468587221743178</v>
      </c>
      <c r="AU62" s="262"/>
      <c r="AV62" s="262"/>
      <c r="AW62" s="265">
        <v>12.26741780124752</v>
      </c>
      <c r="AX62" s="164" t="s">
        <v>2392</v>
      </c>
      <c r="AY62" s="266">
        <v>145.6755863898143</v>
      </c>
      <c r="AZ62" s="266">
        <f t="shared" si="45"/>
        <v>147.20901361497025</v>
      </c>
      <c r="BA62" s="264">
        <f t="shared" si="18"/>
        <v>11.380285947330265</v>
      </c>
      <c r="BB62" s="262"/>
      <c r="BC62" s="262"/>
      <c r="BD62" s="265">
        <f ca="1">IFERROR(INDEX(Algorithms!$G:$G,MATCH($C62&amp;"_Therm Saved per Unit",Algorithms!$A:$A,0)),0)</f>
        <v>12.26741780124752</v>
      </c>
      <c r="BE62" s="164" t="str">
        <f ca="1">IFERROR(INDEX('v12 Revisions'!$P$29:$P$186, MATCH('Measure-Level Adj Gas'!$L62, 'v12 Revisions'!$D$29:$D$186,0)),"")</f>
        <v>n/a - plan assumes Direct Install, not Distributed School Efficiency Kit.</v>
      </c>
      <c r="BF62" s="266">
        <f t="shared" ca="1" si="19"/>
        <v>147.20901361497025</v>
      </c>
      <c r="BG62" s="264">
        <f t="shared" ca="1" si="20"/>
        <v>11.380285947330265</v>
      </c>
      <c r="BH62" s="262"/>
      <c r="BI62" s="262"/>
      <c r="BJ62" s="265">
        <f ca="1">IFERROR(INDEX(Algorithms!$G:$G,MATCH($C62&amp;"_Therm Saved per Unit",Algorithms!$A:$A,0)),0)</f>
        <v>12.26741780124752</v>
      </c>
      <c r="BK62" s="164"/>
      <c r="BL62" s="266">
        <f t="shared" ca="1" si="21"/>
        <v>147.20901361497025</v>
      </c>
      <c r="BM62" s="264">
        <f t="shared" ca="1" si="22"/>
        <v>11.380285947330265</v>
      </c>
      <c r="BN62" s="266">
        <f t="shared" si="23"/>
        <v>145.6755863898143</v>
      </c>
      <c r="BO62" s="266">
        <f t="shared" si="44"/>
        <v>147.20901361497025</v>
      </c>
      <c r="BP62" s="266">
        <f t="shared" ca="1" si="24"/>
        <v>147.20901361497025</v>
      </c>
      <c r="BQ62" s="266">
        <f t="shared" ca="1" si="25"/>
        <v>147.20901361497025</v>
      </c>
      <c r="BR62" s="268">
        <f t="shared" ca="1" si="26"/>
        <v>587.30262723472504</v>
      </c>
      <c r="BS62" s="262" t="s">
        <v>99</v>
      </c>
      <c r="BT62" s="277"/>
      <c r="BW62" s="266">
        <f t="shared" si="27"/>
        <v>135.82872766763998</v>
      </c>
      <c r="BX62" s="266">
        <f t="shared" si="28"/>
        <v>135.82872766763998</v>
      </c>
      <c r="BY62" s="266">
        <f t="shared" si="29"/>
        <v>135.82872766763998</v>
      </c>
      <c r="BZ62" s="266">
        <f t="shared" si="30"/>
        <v>135.82872766763998</v>
      </c>
      <c r="CA62" s="266">
        <f ca="1">N62*IFERROR(INDEX(Algorithms!$G:$G,MATCH($C62&amp;"_Therm Saved per Unit- MLA",Algorithms!$A:$A,0)),0)*X62</f>
        <v>0</v>
      </c>
      <c r="CB62" s="266">
        <f ca="1">O62*IFERROR(INDEX(Algorithms!$G:$G,MATCH($C62&amp;"_Therm Saved per Unit- MLA",Algorithms!$A:$A,0)),0)*Y62</f>
        <v>0</v>
      </c>
      <c r="CC62" s="266">
        <f ca="1">P62*IFERROR(INDEX(Algorithms!$G:$G,MATCH($C62&amp;"_Therm Saved per Unit- MLA",Algorithms!$A:$A,0)),0)*Z62</f>
        <v>0</v>
      </c>
      <c r="CD62" s="266">
        <f ca="1">Q62*IFERROR(INDEX(Algorithms!$G:$G,MATCH($C62&amp;"_Therm Saved per Unit- MLA",Algorithms!$A:$A,0)),0)*AA62</f>
        <v>0</v>
      </c>
      <c r="CE62" s="266">
        <f ca="1">IFERROR(INDEX(Algorithms!$G:$G,MATCH($C62&amp;"_Lifetime (years)",Algorithms!$A:$A,0)),0)</f>
        <v>10</v>
      </c>
      <c r="CF62" s="266">
        <f ca="1">IFERROR(INDEX(Algorithms!$G:$G,MATCH($C62&amp;"_Lifetime (years) - Remaining Years",Algorithms!$A:$A,0)),0)</f>
        <v>0</v>
      </c>
      <c r="CG62" s="266">
        <f t="shared" ca="1" si="31"/>
        <v>1358.2872766763999</v>
      </c>
      <c r="CH62" s="266">
        <f t="shared" ca="1" si="32"/>
        <v>1358.2872766763999</v>
      </c>
      <c r="CI62" s="266">
        <f t="shared" ca="1" si="33"/>
        <v>1358.2872766763999</v>
      </c>
      <c r="CJ62" s="266">
        <f t="shared" ca="1" si="34"/>
        <v>1358.2872766763999</v>
      </c>
      <c r="CK62" s="266">
        <f t="shared" si="35"/>
        <v>145.6755863898143</v>
      </c>
      <c r="CL62" s="266">
        <f t="shared" si="36"/>
        <v>147.20901361497025</v>
      </c>
      <c r="CM62" s="266">
        <f t="shared" ca="1" si="37"/>
        <v>147.20901361497025</v>
      </c>
      <c r="CN62" s="266">
        <f t="shared" ca="1" si="38"/>
        <v>147.20901361497025</v>
      </c>
      <c r="CO62" s="266">
        <f ca="1">N62*IFERROR(INDEX(Algorithms!$G:$G,MATCH($C62&amp;"_Therm Saved per Unit- MLA",Algorithms!$A:$A,0)),0)*X62</f>
        <v>0</v>
      </c>
      <c r="CP62" s="266">
        <f ca="1">O62*IFERROR(INDEX(Algorithms!$G:$G,MATCH($C62&amp;"_Therm Saved per Unit- MLA",Algorithms!$A:$A,0)),0)*Y62</f>
        <v>0</v>
      </c>
      <c r="CQ62" s="266">
        <f ca="1">P62*IFERROR(INDEX(Algorithms!$G:$G,MATCH($C62&amp;"_Therm Saved per Unit- MLA",Algorithms!$A:$A,0)),0)*Z62</f>
        <v>0</v>
      </c>
      <c r="CR62" s="266">
        <f ca="1">Q62*IFERROR(INDEX(Algorithms!$G:$G,MATCH($C62&amp;"_Therm Saved per Unit- MLA",Algorithms!$A:$A,0)),0)*AA62</f>
        <v>0</v>
      </c>
      <c r="CS62" s="266">
        <f ca="1">IFERROR(INDEX(Algorithms!$G:$G,MATCH($C62&amp;"_Lifetime (years)",Algorithms!$A:$A,0)),0)</f>
        <v>10</v>
      </c>
      <c r="CT62" s="266">
        <f ca="1">IFERROR(INDEX(Algorithms!$G:$G,MATCH($C62&amp;"_Lifetime (years) - Remaining Years",Algorithms!$A:$A,0)),0)</f>
        <v>0</v>
      </c>
      <c r="CU62" s="266">
        <f t="shared" ca="1" si="39"/>
        <v>1456.7558638981429</v>
      </c>
      <c r="CV62" s="266">
        <f t="shared" ca="1" si="40"/>
        <v>1472.0901361497024</v>
      </c>
      <c r="CW62" s="266">
        <f t="shared" ca="1" si="41"/>
        <v>1472.0901361497024</v>
      </c>
      <c r="CX62" s="266">
        <f t="shared" ca="1" si="42"/>
        <v>1472.0901361497024</v>
      </c>
    </row>
    <row r="63" spans="2:102" s="47" customFormat="1" ht="18" customHeight="1" x14ac:dyDescent="0.25">
      <c r="B63" t="str">
        <f t="shared" si="43"/>
        <v>NSG_Income Eligible_Multi-Family_MF IHWAP_Low Flow Bathroom Aerator_0_MF</v>
      </c>
      <c r="C63" s="47" t="str">
        <f t="shared" si="6"/>
        <v>Low Flow Bathroom Aerator_0_MF</v>
      </c>
      <c r="D63" s="270" t="s">
        <v>1787</v>
      </c>
      <c r="E63" s="270" t="s">
        <v>325</v>
      </c>
      <c r="F63" s="270" t="s">
        <v>1422</v>
      </c>
      <c r="G63" s="270" t="s">
        <v>1441</v>
      </c>
      <c r="H63" s="270" t="s">
        <v>555</v>
      </c>
      <c r="I63" s="270">
        <v>0</v>
      </c>
      <c r="J63" s="270" t="s">
        <v>553</v>
      </c>
      <c r="K63" s="263">
        <v>1</v>
      </c>
      <c r="L63" s="263" t="str">
        <f ca="1">IFERROR(INDEX(Algorithms!J:J,MATCH($C63&amp;"_Therm Saved per Unit",Algorithms!$A:$A,0)),"n/a")</f>
        <v>5.4.4</v>
      </c>
      <c r="M63" s="263" t="str">
        <f>IFERROR(INDEX('Measure Level Detail'!$N:$N,MATCH($B63,'Measure Level Detail'!$B:$B,0)),0)</f>
        <v>each</v>
      </c>
      <c r="N63" s="271">
        <f>IFERROR(INDEX('Measure Level Detail'!$P:$P,MATCH($B63&amp;"_"&amp;N$3,'Measure Level Detail'!$C:$C,0)),0)</f>
        <v>36</v>
      </c>
      <c r="O63" s="271">
        <f>IFERROR(INDEX('Measure Level Detail'!$P:$P,MATCH($B63&amp;"_"&amp;O$3,'Measure Level Detail'!$C:$C,0)),0)</f>
        <v>45</v>
      </c>
      <c r="P63" s="271">
        <f>IFERROR(INDEX('Measure Level Detail'!$P:$P,MATCH($B63&amp;"_"&amp;P$3,'Measure Level Detail'!$C:$C,0)),0)</f>
        <v>81</v>
      </c>
      <c r="Q63" s="271">
        <f>IFERROR(INDEX('Measure Level Detail'!$P:$P,MATCH($B63&amp;"_"&amp;Q$3,'Measure Level Detail'!$C:$C,0)),0)</f>
        <v>90</v>
      </c>
      <c r="R63" s="263" t="str">
        <f ca="1">IFERROR(INDEX(Algorithms!K:K,MATCH($C63&amp;"_Therm Saved per Unit",Algorithms!$A:$A,0)),"n/a")</f>
        <v>RS-HWE-LFFA-V13-240101</v>
      </c>
      <c r="S63" s="262"/>
      <c r="T63" s="272">
        <v>1.5695120815920003</v>
      </c>
      <c r="U63" s="272">
        <v>1.5695120815920003</v>
      </c>
      <c r="V63" s="272">
        <v>1.5695120815920003</v>
      </c>
      <c r="W63" s="272">
        <v>1.5695120815920003</v>
      </c>
      <c r="X63" s="273">
        <f>IFERROR(INDEX('Measure Level Detail'!$R:$R,MATCH($B63&amp;"_"&amp;X$3,'Measure Level Detail'!$C:$C,0)),0)</f>
        <v>1</v>
      </c>
      <c r="Y63" s="273">
        <f>IFERROR(INDEX('Measure Level Detail'!$R:$R,MATCH($B63&amp;"_"&amp;Y$3,'Measure Level Detail'!$C:$C,0)),0)</f>
        <v>1</v>
      </c>
      <c r="Z63" s="273">
        <f>IFERROR(INDEX('Measure Level Detail'!$R:$R,MATCH($B63&amp;"_"&amp;Z$3,'Measure Level Detail'!$C:$C,0)),0)</f>
        <v>1</v>
      </c>
      <c r="AA63" s="273">
        <f>IFERROR(INDEX('Measure Level Detail'!$R:$R,MATCH($B63&amp;"_"&amp;AA$3,'Measure Level Detail'!$C:$C,0)),0)</f>
        <v>1</v>
      </c>
      <c r="AB63" s="266">
        <f t="shared" si="7"/>
        <v>56.50243493731201</v>
      </c>
      <c r="AC63" s="266">
        <f t="shared" si="8"/>
        <v>70.628043671640015</v>
      </c>
      <c r="AD63" s="266">
        <f t="shared" si="9"/>
        <v>127.13047860895202</v>
      </c>
      <c r="AE63" s="266">
        <f t="shared" si="10"/>
        <v>141.25608734328003</v>
      </c>
      <c r="AF63" s="266">
        <f t="shared" si="11"/>
        <v>395.51704456118409</v>
      </c>
      <c r="AG63" s="274">
        <v>1</v>
      </c>
      <c r="AH63" s="274">
        <v>1</v>
      </c>
      <c r="AI63" s="274">
        <v>1</v>
      </c>
      <c r="AJ63" s="274">
        <v>1</v>
      </c>
      <c r="AK63" s="274">
        <f t="shared" si="12"/>
        <v>1</v>
      </c>
      <c r="AL63" s="274">
        <f t="shared" si="13"/>
        <v>1</v>
      </c>
      <c r="AM63" s="274">
        <f t="shared" si="14"/>
        <v>1</v>
      </c>
      <c r="AN63" s="274">
        <f t="shared" si="15"/>
        <v>1</v>
      </c>
      <c r="AO63" s="262"/>
      <c r="AP63" s="262"/>
      <c r="AQ63" s="267">
        <v>1.8113454036983285</v>
      </c>
      <c r="AR63" s="262"/>
      <c r="AS63" s="266">
        <f t="shared" si="16"/>
        <v>65.208434533139823</v>
      </c>
      <c r="AT63" s="264">
        <f t="shared" si="17"/>
        <v>8.7059995958278122</v>
      </c>
      <c r="AU63" s="262"/>
      <c r="AV63" s="262"/>
      <c r="AW63" s="265">
        <v>1.773211816252048</v>
      </c>
      <c r="AX63" s="164" t="s">
        <v>2392</v>
      </c>
      <c r="AY63" s="266">
        <v>81.510543166424782</v>
      </c>
      <c r="AZ63" s="266">
        <f t="shared" si="45"/>
        <v>79.794531731342161</v>
      </c>
      <c r="BA63" s="264">
        <f t="shared" si="18"/>
        <v>9.1664880597021465</v>
      </c>
      <c r="BB63" s="262"/>
      <c r="BC63" s="262"/>
      <c r="BD63" s="265">
        <f ca="1">IFERROR(INDEX(Algorithms!$G:$G,MATCH($C63&amp;"_Therm Saved per Unit",Algorithms!$A:$A,0)),0)</f>
        <v>1.773211816252048</v>
      </c>
      <c r="BE63" s="164" t="str">
        <f ca="1">IFERROR(INDEX('v12 Revisions'!$P$29:$P$186, MATCH('Measure-Level Adj Gas'!$L63, 'v12 Revisions'!$D$29:$D$186,0)),"")</f>
        <v>n/a - plan assumes Direct Install, not Distributed School Efficiency Kit.</v>
      </c>
      <c r="BF63" s="266">
        <f t="shared" ca="1" si="19"/>
        <v>143.63015711641589</v>
      </c>
      <c r="BG63" s="264">
        <f t="shared" ca="1" si="20"/>
        <v>16.499678507463869</v>
      </c>
      <c r="BH63" s="262"/>
      <c r="BI63" s="262"/>
      <c r="BJ63" s="265">
        <f ca="1">IFERROR(INDEX(Algorithms!$G:$G,MATCH($C63&amp;"_Therm Saved per Unit",Algorithms!$A:$A,0)),0)</f>
        <v>1.773211816252048</v>
      </c>
      <c r="BK63" s="164"/>
      <c r="BL63" s="266">
        <f t="shared" ca="1" si="21"/>
        <v>159.58906346268432</v>
      </c>
      <c r="BM63" s="264">
        <f t="shared" ca="1" si="22"/>
        <v>18.332976119404293</v>
      </c>
      <c r="BN63" s="266">
        <f t="shared" si="23"/>
        <v>65.208434533139823</v>
      </c>
      <c r="BO63" s="266">
        <f t="shared" si="44"/>
        <v>79.794531731342161</v>
      </c>
      <c r="BP63" s="266">
        <f t="shared" ca="1" si="24"/>
        <v>143.63015711641589</v>
      </c>
      <c r="BQ63" s="266">
        <f t="shared" ca="1" si="25"/>
        <v>159.58906346268432</v>
      </c>
      <c r="BR63" s="268">
        <f t="shared" ca="1" si="26"/>
        <v>448.22218684358222</v>
      </c>
      <c r="BS63" s="262" t="s">
        <v>99</v>
      </c>
      <c r="BT63" s="277"/>
      <c r="BW63" s="266">
        <f t="shared" si="27"/>
        <v>56.50243493731201</v>
      </c>
      <c r="BX63" s="266">
        <f t="shared" si="28"/>
        <v>70.628043671640015</v>
      </c>
      <c r="BY63" s="266">
        <f t="shared" si="29"/>
        <v>127.13047860895202</v>
      </c>
      <c r="BZ63" s="266">
        <f t="shared" si="30"/>
        <v>141.25608734328003</v>
      </c>
      <c r="CA63" s="266">
        <f ca="1">N63*IFERROR(INDEX(Algorithms!$G:$G,MATCH($C63&amp;"_Therm Saved per Unit- MLA",Algorithms!$A:$A,0)),0)*X63</f>
        <v>0</v>
      </c>
      <c r="CB63" s="266">
        <f ca="1">O63*IFERROR(INDEX(Algorithms!$G:$G,MATCH($C63&amp;"_Therm Saved per Unit- MLA",Algorithms!$A:$A,0)),0)*Y63</f>
        <v>0</v>
      </c>
      <c r="CC63" s="266">
        <f ca="1">P63*IFERROR(INDEX(Algorithms!$G:$G,MATCH($C63&amp;"_Therm Saved per Unit- MLA",Algorithms!$A:$A,0)),0)*Z63</f>
        <v>0</v>
      </c>
      <c r="CD63" s="266">
        <f ca="1">Q63*IFERROR(INDEX(Algorithms!$G:$G,MATCH($C63&amp;"_Therm Saved per Unit- MLA",Algorithms!$A:$A,0)),0)*AA63</f>
        <v>0</v>
      </c>
      <c r="CE63" s="266">
        <f ca="1">IFERROR(INDEX(Algorithms!$G:$G,MATCH($C63&amp;"_Lifetime (years)",Algorithms!$A:$A,0)),0)</f>
        <v>10</v>
      </c>
      <c r="CF63" s="266">
        <f ca="1">IFERROR(INDEX(Algorithms!$G:$G,MATCH($C63&amp;"_Lifetime (years) - Remaining Years",Algorithms!$A:$A,0)),0)</f>
        <v>0</v>
      </c>
      <c r="CG63" s="266">
        <f t="shared" ca="1" si="31"/>
        <v>565.02434937312012</v>
      </c>
      <c r="CH63" s="266">
        <f t="shared" ca="1" si="32"/>
        <v>706.28043671640012</v>
      </c>
      <c r="CI63" s="266">
        <f t="shared" ca="1" si="33"/>
        <v>1271.3047860895201</v>
      </c>
      <c r="CJ63" s="266">
        <f t="shared" ca="1" si="34"/>
        <v>1412.5608734328002</v>
      </c>
      <c r="CK63" s="266">
        <f t="shared" si="35"/>
        <v>65.208434533139823</v>
      </c>
      <c r="CL63" s="266">
        <f t="shared" si="36"/>
        <v>79.794531731342161</v>
      </c>
      <c r="CM63" s="266">
        <f t="shared" ca="1" si="37"/>
        <v>143.63015711641589</v>
      </c>
      <c r="CN63" s="266">
        <f t="shared" ca="1" si="38"/>
        <v>159.58906346268432</v>
      </c>
      <c r="CO63" s="266">
        <f ca="1">N63*IFERROR(INDEX(Algorithms!$G:$G,MATCH($C63&amp;"_Therm Saved per Unit- MLA",Algorithms!$A:$A,0)),0)*X63</f>
        <v>0</v>
      </c>
      <c r="CP63" s="266">
        <f ca="1">O63*IFERROR(INDEX(Algorithms!$G:$G,MATCH($C63&amp;"_Therm Saved per Unit- MLA",Algorithms!$A:$A,0)),0)*Y63</f>
        <v>0</v>
      </c>
      <c r="CQ63" s="266">
        <f ca="1">P63*IFERROR(INDEX(Algorithms!$G:$G,MATCH($C63&amp;"_Therm Saved per Unit- MLA",Algorithms!$A:$A,0)),0)*Z63</f>
        <v>0</v>
      </c>
      <c r="CR63" s="266">
        <f ca="1">Q63*IFERROR(INDEX(Algorithms!$G:$G,MATCH($C63&amp;"_Therm Saved per Unit- MLA",Algorithms!$A:$A,0)),0)*AA63</f>
        <v>0</v>
      </c>
      <c r="CS63" s="266">
        <f ca="1">IFERROR(INDEX(Algorithms!$G:$G,MATCH($C63&amp;"_Lifetime (years)",Algorithms!$A:$A,0)),0)</f>
        <v>10</v>
      </c>
      <c r="CT63" s="266">
        <f ca="1">IFERROR(INDEX(Algorithms!$G:$G,MATCH($C63&amp;"_Lifetime (years) - Remaining Years",Algorithms!$A:$A,0)),0)</f>
        <v>0</v>
      </c>
      <c r="CU63" s="266">
        <f t="shared" ca="1" si="39"/>
        <v>652.08434533139825</v>
      </c>
      <c r="CV63" s="266">
        <f t="shared" ca="1" si="40"/>
        <v>797.94531731342158</v>
      </c>
      <c r="CW63" s="266">
        <f t="shared" ca="1" si="41"/>
        <v>1436.3015711641588</v>
      </c>
      <c r="CX63" s="266">
        <f t="shared" ca="1" si="42"/>
        <v>1595.8906346268432</v>
      </c>
    </row>
    <row r="64" spans="2:102" s="47" customFormat="1" ht="18" customHeight="1" x14ac:dyDescent="0.25">
      <c r="B64" t="str">
        <f t="shared" si="43"/>
        <v>NSG_Income Eligible_Multi-Family_Whole Building - DI_Low Flow Kitchen Aerator_0_MF</v>
      </c>
      <c r="C64" s="47" t="str">
        <f t="shared" si="6"/>
        <v>Low Flow Kitchen Aerator_0_MF</v>
      </c>
      <c r="D64" s="270" t="s">
        <v>1787</v>
      </c>
      <c r="E64" s="270" t="s">
        <v>325</v>
      </c>
      <c r="F64" s="270" t="s">
        <v>1422</v>
      </c>
      <c r="G64" s="270" t="s">
        <v>1812</v>
      </c>
      <c r="H64" s="270" t="s">
        <v>533</v>
      </c>
      <c r="I64" s="270">
        <v>0</v>
      </c>
      <c r="J64" s="270" t="s">
        <v>553</v>
      </c>
      <c r="K64" s="263">
        <v>1</v>
      </c>
      <c r="L64" s="263" t="str">
        <f ca="1">IFERROR(INDEX(Algorithms!J:J,MATCH($C64&amp;"_Therm Saved per Unit",Algorithms!$A:$A,0)),"n/a")</f>
        <v>5.4.4</v>
      </c>
      <c r="M64" s="263" t="str">
        <f>IFERROR(INDEX('Measure Level Detail'!$N:$N,MATCH($B64,'Measure Level Detail'!$B:$B,0)),0)</f>
        <v>each</v>
      </c>
      <c r="N64" s="271">
        <f>IFERROR(INDEX('Measure Level Detail'!$P:$P,MATCH($B64&amp;"_"&amp;N$3,'Measure Level Detail'!$C:$C,0)),0)</f>
        <v>12</v>
      </c>
      <c r="O64" s="271">
        <f>IFERROR(INDEX('Measure Level Detail'!$P:$P,MATCH($B64&amp;"_"&amp;O$3,'Measure Level Detail'!$C:$C,0)),0)</f>
        <v>12</v>
      </c>
      <c r="P64" s="271">
        <f>IFERROR(INDEX('Measure Level Detail'!$P:$P,MATCH($B64&amp;"_"&amp;P$3,'Measure Level Detail'!$C:$C,0)),0)</f>
        <v>12</v>
      </c>
      <c r="Q64" s="271">
        <f>IFERROR(INDEX('Measure Level Detail'!$P:$P,MATCH($B64&amp;"_"&amp;Q$3,'Measure Level Detail'!$C:$C,0)),0)</f>
        <v>12</v>
      </c>
      <c r="R64" s="263" t="str">
        <f ca="1">IFERROR(INDEX(Algorithms!K:K,MATCH($C64&amp;"_Therm Saved per Unit",Algorithms!$A:$A,0)),"n/a")</f>
        <v>RS-HWE-LFFA-V13-240101</v>
      </c>
      <c r="S64" s="262"/>
      <c r="T64" s="272">
        <v>7.8612856931203403</v>
      </c>
      <c r="U64" s="272">
        <v>7.8612856931203403</v>
      </c>
      <c r="V64" s="272">
        <v>7.8612856931203403</v>
      </c>
      <c r="W64" s="272">
        <v>7.8612856931203403</v>
      </c>
      <c r="X64" s="273">
        <f>IFERROR(INDEX('Measure Level Detail'!$R:$R,MATCH($B64&amp;"_"&amp;X$3,'Measure Level Detail'!$C:$C,0)),0)</f>
        <v>1</v>
      </c>
      <c r="Y64" s="273">
        <f>IFERROR(INDEX('Measure Level Detail'!$R:$R,MATCH($B64&amp;"_"&amp;Y$3,'Measure Level Detail'!$C:$C,0)),0)</f>
        <v>1</v>
      </c>
      <c r="Z64" s="273">
        <f>IFERROR(INDEX('Measure Level Detail'!$R:$R,MATCH($B64&amp;"_"&amp;Z$3,'Measure Level Detail'!$C:$C,0)),0)</f>
        <v>1</v>
      </c>
      <c r="AA64" s="273">
        <f>IFERROR(INDEX('Measure Level Detail'!$R:$R,MATCH($B64&amp;"_"&amp;AA$3,'Measure Level Detail'!$C:$C,0)),0)</f>
        <v>1</v>
      </c>
      <c r="AB64" s="266">
        <f t="shared" si="7"/>
        <v>94.335428317444084</v>
      </c>
      <c r="AC64" s="266">
        <f t="shared" si="8"/>
        <v>94.335428317444084</v>
      </c>
      <c r="AD64" s="266">
        <f t="shared" si="9"/>
        <v>94.335428317444084</v>
      </c>
      <c r="AE64" s="266">
        <f t="shared" si="10"/>
        <v>94.335428317444084</v>
      </c>
      <c r="AF64" s="266">
        <f t="shared" si="11"/>
        <v>377.34171326977633</v>
      </c>
      <c r="AG64" s="274">
        <v>1</v>
      </c>
      <c r="AH64" s="274">
        <v>1</v>
      </c>
      <c r="AI64" s="274">
        <v>1</v>
      </c>
      <c r="AJ64" s="274">
        <v>1</v>
      </c>
      <c r="AK64" s="274">
        <f t="shared" si="12"/>
        <v>1</v>
      </c>
      <c r="AL64" s="274">
        <f t="shared" si="13"/>
        <v>1</v>
      </c>
      <c r="AM64" s="274">
        <f t="shared" si="14"/>
        <v>1</v>
      </c>
      <c r="AN64" s="274">
        <f t="shared" si="15"/>
        <v>1</v>
      </c>
      <c r="AO64" s="262"/>
      <c r="AP64" s="262"/>
      <c r="AQ64" s="267">
        <v>8.5483903552439671</v>
      </c>
      <c r="AR64" s="262"/>
      <c r="AS64" s="266">
        <f t="shared" si="16"/>
        <v>102.5806842629276</v>
      </c>
      <c r="AT64" s="264">
        <f t="shared" si="17"/>
        <v>8.245255945483521</v>
      </c>
      <c r="AU64" s="262"/>
      <c r="AV64" s="262"/>
      <c r="AW64" s="265">
        <v>8.7362670663482316</v>
      </c>
      <c r="AX64" s="164" t="s">
        <v>2392</v>
      </c>
      <c r="AY64" s="266">
        <v>102.5806842629276</v>
      </c>
      <c r="AZ64" s="266">
        <f t="shared" si="45"/>
        <v>104.83520479617877</v>
      </c>
      <c r="BA64" s="264">
        <f t="shared" si="18"/>
        <v>10.499776478734688</v>
      </c>
      <c r="BB64" s="262"/>
      <c r="BC64" s="262"/>
      <c r="BD64" s="265">
        <f ca="1">IFERROR(INDEX(Algorithms!$G:$G,MATCH($C64&amp;"_Therm Saved per Unit",Algorithms!$A:$A,0)),0)</f>
        <v>8.7362670663482316</v>
      </c>
      <c r="BE64" s="164" t="str">
        <f ca="1">IFERROR(INDEX('v12 Revisions'!$P$29:$P$186, MATCH('Measure-Level Adj Gas'!$L64, 'v12 Revisions'!$D$29:$D$186,0)),"")</f>
        <v>n/a - plan assumes Direct Install, not Distributed School Efficiency Kit.</v>
      </c>
      <c r="BF64" s="266">
        <f t="shared" ca="1" si="19"/>
        <v>104.83520479617877</v>
      </c>
      <c r="BG64" s="264">
        <f t="shared" ca="1" si="20"/>
        <v>10.499776478734688</v>
      </c>
      <c r="BH64" s="262"/>
      <c r="BI64" s="262"/>
      <c r="BJ64" s="265">
        <f ca="1">IFERROR(INDEX(Algorithms!$G:$G,MATCH($C64&amp;"_Therm Saved per Unit",Algorithms!$A:$A,0)),0)</f>
        <v>8.7362670663482316</v>
      </c>
      <c r="BK64" s="164"/>
      <c r="BL64" s="266">
        <f t="shared" ca="1" si="21"/>
        <v>104.83520479617877</v>
      </c>
      <c r="BM64" s="264">
        <f t="shared" ca="1" si="22"/>
        <v>10.499776478734688</v>
      </c>
      <c r="BN64" s="266">
        <f t="shared" si="23"/>
        <v>102.5806842629276</v>
      </c>
      <c r="BO64" s="266">
        <f t="shared" si="44"/>
        <v>104.83520479617877</v>
      </c>
      <c r="BP64" s="266">
        <f t="shared" ca="1" si="24"/>
        <v>104.83520479617877</v>
      </c>
      <c r="BQ64" s="266">
        <f t="shared" ca="1" si="25"/>
        <v>104.83520479617877</v>
      </c>
      <c r="BR64" s="268">
        <f t="shared" ca="1" si="26"/>
        <v>417.08629865146395</v>
      </c>
      <c r="BS64" s="262" t="s">
        <v>99</v>
      </c>
      <c r="BT64" s="277"/>
      <c r="BW64" s="266">
        <f t="shared" si="27"/>
        <v>94.335428317444084</v>
      </c>
      <c r="BX64" s="266">
        <f t="shared" si="28"/>
        <v>94.335428317444084</v>
      </c>
      <c r="BY64" s="266">
        <f t="shared" si="29"/>
        <v>94.335428317444084</v>
      </c>
      <c r="BZ64" s="266">
        <f t="shared" si="30"/>
        <v>94.335428317444084</v>
      </c>
      <c r="CA64" s="266">
        <f ca="1">N64*IFERROR(INDEX(Algorithms!$G:$G,MATCH($C64&amp;"_Therm Saved per Unit- MLA",Algorithms!$A:$A,0)),0)*X64</f>
        <v>0</v>
      </c>
      <c r="CB64" s="266">
        <f ca="1">O64*IFERROR(INDEX(Algorithms!$G:$G,MATCH($C64&amp;"_Therm Saved per Unit- MLA",Algorithms!$A:$A,0)),0)*Y64</f>
        <v>0</v>
      </c>
      <c r="CC64" s="266">
        <f ca="1">P64*IFERROR(INDEX(Algorithms!$G:$G,MATCH($C64&amp;"_Therm Saved per Unit- MLA",Algorithms!$A:$A,0)),0)*Z64</f>
        <v>0</v>
      </c>
      <c r="CD64" s="266">
        <f ca="1">Q64*IFERROR(INDEX(Algorithms!$G:$G,MATCH($C64&amp;"_Therm Saved per Unit- MLA",Algorithms!$A:$A,0)),0)*AA64</f>
        <v>0</v>
      </c>
      <c r="CE64" s="266">
        <f ca="1">IFERROR(INDEX(Algorithms!$G:$G,MATCH($C64&amp;"_Lifetime (years)",Algorithms!$A:$A,0)),0)</f>
        <v>10</v>
      </c>
      <c r="CF64" s="266">
        <f ca="1">IFERROR(INDEX(Algorithms!$G:$G,MATCH($C64&amp;"_Lifetime (years) - Remaining Years",Algorithms!$A:$A,0)),0)</f>
        <v>0</v>
      </c>
      <c r="CG64" s="266">
        <f t="shared" ca="1" si="31"/>
        <v>943.35428317444087</v>
      </c>
      <c r="CH64" s="266">
        <f t="shared" ca="1" si="32"/>
        <v>943.35428317444087</v>
      </c>
      <c r="CI64" s="266">
        <f t="shared" ca="1" si="33"/>
        <v>943.35428317444087</v>
      </c>
      <c r="CJ64" s="266">
        <f t="shared" ca="1" si="34"/>
        <v>943.35428317444087</v>
      </c>
      <c r="CK64" s="266">
        <f t="shared" si="35"/>
        <v>102.5806842629276</v>
      </c>
      <c r="CL64" s="266">
        <f t="shared" si="36"/>
        <v>104.83520479617877</v>
      </c>
      <c r="CM64" s="266">
        <f t="shared" ca="1" si="37"/>
        <v>104.83520479617877</v>
      </c>
      <c r="CN64" s="266">
        <f t="shared" ca="1" si="38"/>
        <v>104.83520479617877</v>
      </c>
      <c r="CO64" s="266">
        <f ca="1">N64*IFERROR(INDEX(Algorithms!$G:$G,MATCH($C64&amp;"_Therm Saved per Unit- MLA",Algorithms!$A:$A,0)),0)*X64</f>
        <v>0</v>
      </c>
      <c r="CP64" s="266">
        <f ca="1">O64*IFERROR(INDEX(Algorithms!$G:$G,MATCH($C64&amp;"_Therm Saved per Unit- MLA",Algorithms!$A:$A,0)),0)*Y64</f>
        <v>0</v>
      </c>
      <c r="CQ64" s="266">
        <f ca="1">P64*IFERROR(INDEX(Algorithms!$G:$G,MATCH($C64&amp;"_Therm Saved per Unit- MLA",Algorithms!$A:$A,0)),0)*Z64</f>
        <v>0</v>
      </c>
      <c r="CR64" s="266">
        <f ca="1">Q64*IFERROR(INDEX(Algorithms!$G:$G,MATCH($C64&amp;"_Therm Saved per Unit- MLA",Algorithms!$A:$A,0)),0)*AA64</f>
        <v>0</v>
      </c>
      <c r="CS64" s="266">
        <f ca="1">IFERROR(INDEX(Algorithms!$G:$G,MATCH($C64&amp;"_Lifetime (years)",Algorithms!$A:$A,0)),0)</f>
        <v>10</v>
      </c>
      <c r="CT64" s="266">
        <f ca="1">IFERROR(INDEX(Algorithms!$G:$G,MATCH($C64&amp;"_Lifetime (years) - Remaining Years",Algorithms!$A:$A,0)),0)</f>
        <v>0</v>
      </c>
      <c r="CU64" s="266">
        <f t="shared" ca="1" si="39"/>
        <v>1025.8068426292762</v>
      </c>
      <c r="CV64" s="266">
        <f t="shared" ca="1" si="40"/>
        <v>1048.3520479617878</v>
      </c>
      <c r="CW64" s="266">
        <f t="shared" ca="1" si="41"/>
        <v>1048.3520479617878</v>
      </c>
      <c r="CX64" s="266">
        <f t="shared" ca="1" si="42"/>
        <v>1048.3520479617878</v>
      </c>
    </row>
    <row r="65" spans="2:102" s="47" customFormat="1" ht="18" customHeight="1" x14ac:dyDescent="0.25">
      <c r="B65" t="str">
        <f t="shared" si="43"/>
        <v>NSG_Income Eligible_Multi-Family_Whole Building - Public Housing_Low Flow Kitchen Aerator_0_MF</v>
      </c>
      <c r="C65" s="47" t="str">
        <f t="shared" si="6"/>
        <v>Low Flow Kitchen Aerator_0_MF</v>
      </c>
      <c r="D65" s="270" t="s">
        <v>1787</v>
      </c>
      <c r="E65" s="270" t="s">
        <v>325</v>
      </c>
      <c r="F65" s="270" t="s">
        <v>1422</v>
      </c>
      <c r="G65" s="270" t="s">
        <v>1817</v>
      </c>
      <c r="H65" s="270" t="s">
        <v>533</v>
      </c>
      <c r="I65" s="270">
        <v>0</v>
      </c>
      <c r="J65" s="270" t="s">
        <v>553</v>
      </c>
      <c r="K65" s="263">
        <v>1</v>
      </c>
      <c r="L65" s="263" t="str">
        <f ca="1">IFERROR(INDEX(Algorithms!J:J,MATCH($C65&amp;"_Therm Saved per Unit",Algorithms!$A:$A,0)),"n/a")</f>
        <v>5.4.4</v>
      </c>
      <c r="M65" s="263" t="str">
        <f>IFERROR(INDEX('Measure Level Detail'!$N:$N,MATCH($B65,'Measure Level Detail'!$B:$B,0)),0)</f>
        <v>each</v>
      </c>
      <c r="N65" s="271">
        <f>IFERROR(INDEX('Measure Level Detail'!$P:$P,MATCH($B65&amp;"_"&amp;N$3,'Measure Level Detail'!$C:$C,0)),0)</f>
        <v>12</v>
      </c>
      <c r="O65" s="271">
        <f>IFERROR(INDEX('Measure Level Detail'!$P:$P,MATCH($B65&amp;"_"&amp;O$3,'Measure Level Detail'!$C:$C,0)),0)</f>
        <v>12</v>
      </c>
      <c r="P65" s="271">
        <f>IFERROR(INDEX('Measure Level Detail'!$P:$P,MATCH($B65&amp;"_"&amp;P$3,'Measure Level Detail'!$C:$C,0)),0)</f>
        <v>12</v>
      </c>
      <c r="Q65" s="271">
        <f>IFERROR(INDEX('Measure Level Detail'!$P:$P,MATCH($B65&amp;"_"&amp;Q$3,'Measure Level Detail'!$C:$C,0)),0)</f>
        <v>12</v>
      </c>
      <c r="R65" s="263" t="str">
        <f ca="1">IFERROR(INDEX(Algorithms!K:K,MATCH($C65&amp;"_Therm Saved per Unit",Algorithms!$A:$A,0)),"n/a")</f>
        <v>RS-HWE-LFFA-V13-240101</v>
      </c>
      <c r="S65" s="262"/>
      <c r="T65" s="272">
        <v>7.8612856931203403</v>
      </c>
      <c r="U65" s="272">
        <v>7.8612856931203403</v>
      </c>
      <c r="V65" s="272">
        <v>7.8612856931203403</v>
      </c>
      <c r="W65" s="272">
        <v>7.8612856931203403</v>
      </c>
      <c r="X65" s="273">
        <f>IFERROR(INDEX('Measure Level Detail'!$R:$R,MATCH($B65&amp;"_"&amp;X$3,'Measure Level Detail'!$C:$C,0)),0)</f>
        <v>1</v>
      </c>
      <c r="Y65" s="273">
        <f>IFERROR(INDEX('Measure Level Detail'!$R:$R,MATCH($B65&amp;"_"&amp;Y$3,'Measure Level Detail'!$C:$C,0)),0)</f>
        <v>1</v>
      </c>
      <c r="Z65" s="273">
        <f>IFERROR(INDEX('Measure Level Detail'!$R:$R,MATCH($B65&amp;"_"&amp;Z$3,'Measure Level Detail'!$C:$C,0)),0)</f>
        <v>1</v>
      </c>
      <c r="AA65" s="273">
        <f>IFERROR(INDEX('Measure Level Detail'!$R:$R,MATCH($B65&amp;"_"&amp;AA$3,'Measure Level Detail'!$C:$C,0)),0)</f>
        <v>1</v>
      </c>
      <c r="AB65" s="266">
        <f t="shared" si="7"/>
        <v>94.335428317444084</v>
      </c>
      <c r="AC65" s="266">
        <f t="shared" si="8"/>
        <v>94.335428317444084</v>
      </c>
      <c r="AD65" s="266">
        <f t="shared" si="9"/>
        <v>94.335428317444084</v>
      </c>
      <c r="AE65" s="266">
        <f t="shared" si="10"/>
        <v>94.335428317444084</v>
      </c>
      <c r="AF65" s="266">
        <f t="shared" si="11"/>
        <v>377.34171326977633</v>
      </c>
      <c r="AG65" s="274">
        <v>1</v>
      </c>
      <c r="AH65" s="274">
        <v>1</v>
      </c>
      <c r="AI65" s="274">
        <v>1</v>
      </c>
      <c r="AJ65" s="274">
        <v>1</v>
      </c>
      <c r="AK65" s="274">
        <f t="shared" si="12"/>
        <v>1</v>
      </c>
      <c r="AL65" s="274">
        <f t="shared" si="13"/>
        <v>1</v>
      </c>
      <c r="AM65" s="274">
        <f t="shared" si="14"/>
        <v>1</v>
      </c>
      <c r="AN65" s="274">
        <f t="shared" si="15"/>
        <v>1</v>
      </c>
      <c r="AO65" s="262"/>
      <c r="AP65" s="262"/>
      <c r="AQ65" s="267">
        <v>8.5483903552439671</v>
      </c>
      <c r="AR65" s="262"/>
      <c r="AS65" s="266">
        <f t="shared" si="16"/>
        <v>102.5806842629276</v>
      </c>
      <c r="AT65" s="264">
        <f t="shared" si="17"/>
        <v>8.245255945483521</v>
      </c>
      <c r="AU65" s="262"/>
      <c r="AV65" s="262"/>
      <c r="AW65" s="265">
        <v>8.7362670663482316</v>
      </c>
      <c r="AX65" s="164" t="s">
        <v>2392</v>
      </c>
      <c r="AY65" s="266">
        <v>102.5806842629276</v>
      </c>
      <c r="AZ65" s="266">
        <f t="shared" si="45"/>
        <v>104.83520479617877</v>
      </c>
      <c r="BA65" s="264">
        <f t="shared" si="18"/>
        <v>10.499776478734688</v>
      </c>
      <c r="BB65" s="262"/>
      <c r="BC65" s="262"/>
      <c r="BD65" s="265">
        <f ca="1">IFERROR(INDEX(Algorithms!$G:$G,MATCH($C65&amp;"_Therm Saved per Unit",Algorithms!$A:$A,0)),0)</f>
        <v>8.7362670663482316</v>
      </c>
      <c r="BE65" s="164" t="str">
        <f ca="1">IFERROR(INDEX('v12 Revisions'!$P$29:$P$186, MATCH('Measure-Level Adj Gas'!$L65, 'v12 Revisions'!$D$29:$D$186,0)),"")</f>
        <v>n/a - plan assumes Direct Install, not Distributed School Efficiency Kit.</v>
      </c>
      <c r="BF65" s="266">
        <f t="shared" ca="1" si="19"/>
        <v>104.83520479617877</v>
      </c>
      <c r="BG65" s="264">
        <f t="shared" ca="1" si="20"/>
        <v>10.499776478734688</v>
      </c>
      <c r="BH65" s="262"/>
      <c r="BI65" s="262"/>
      <c r="BJ65" s="265">
        <f ca="1">IFERROR(INDEX(Algorithms!$G:$G,MATCH($C65&amp;"_Therm Saved per Unit",Algorithms!$A:$A,0)),0)</f>
        <v>8.7362670663482316</v>
      </c>
      <c r="BK65" s="164"/>
      <c r="BL65" s="266">
        <f t="shared" ca="1" si="21"/>
        <v>104.83520479617877</v>
      </c>
      <c r="BM65" s="264">
        <f t="shared" ca="1" si="22"/>
        <v>10.499776478734688</v>
      </c>
      <c r="BN65" s="266">
        <f t="shared" si="23"/>
        <v>102.5806842629276</v>
      </c>
      <c r="BO65" s="266">
        <f t="shared" si="44"/>
        <v>104.83520479617877</v>
      </c>
      <c r="BP65" s="266">
        <f t="shared" ca="1" si="24"/>
        <v>104.83520479617877</v>
      </c>
      <c r="BQ65" s="266">
        <f t="shared" ca="1" si="25"/>
        <v>104.83520479617877</v>
      </c>
      <c r="BR65" s="268">
        <f t="shared" ca="1" si="26"/>
        <v>417.08629865146395</v>
      </c>
      <c r="BS65" s="262" t="s">
        <v>99</v>
      </c>
      <c r="BT65" s="277"/>
      <c r="BW65" s="266">
        <f t="shared" si="27"/>
        <v>94.335428317444084</v>
      </c>
      <c r="BX65" s="266">
        <f t="shared" si="28"/>
        <v>94.335428317444084</v>
      </c>
      <c r="BY65" s="266">
        <f t="shared" si="29"/>
        <v>94.335428317444084</v>
      </c>
      <c r="BZ65" s="266">
        <f t="shared" si="30"/>
        <v>94.335428317444084</v>
      </c>
      <c r="CA65" s="266">
        <f ca="1">N65*IFERROR(INDEX(Algorithms!$G:$G,MATCH($C65&amp;"_Therm Saved per Unit- MLA",Algorithms!$A:$A,0)),0)*X65</f>
        <v>0</v>
      </c>
      <c r="CB65" s="266">
        <f ca="1">O65*IFERROR(INDEX(Algorithms!$G:$G,MATCH($C65&amp;"_Therm Saved per Unit- MLA",Algorithms!$A:$A,0)),0)*Y65</f>
        <v>0</v>
      </c>
      <c r="CC65" s="266">
        <f ca="1">P65*IFERROR(INDEX(Algorithms!$G:$G,MATCH($C65&amp;"_Therm Saved per Unit- MLA",Algorithms!$A:$A,0)),0)*Z65</f>
        <v>0</v>
      </c>
      <c r="CD65" s="266">
        <f ca="1">Q65*IFERROR(INDEX(Algorithms!$G:$G,MATCH($C65&amp;"_Therm Saved per Unit- MLA",Algorithms!$A:$A,0)),0)*AA65</f>
        <v>0</v>
      </c>
      <c r="CE65" s="266">
        <f ca="1">IFERROR(INDEX(Algorithms!$G:$G,MATCH($C65&amp;"_Lifetime (years)",Algorithms!$A:$A,0)),0)</f>
        <v>10</v>
      </c>
      <c r="CF65" s="266">
        <f ca="1">IFERROR(INDEX(Algorithms!$G:$G,MATCH($C65&amp;"_Lifetime (years) - Remaining Years",Algorithms!$A:$A,0)),0)</f>
        <v>0</v>
      </c>
      <c r="CG65" s="266">
        <f t="shared" ca="1" si="31"/>
        <v>943.35428317444087</v>
      </c>
      <c r="CH65" s="266">
        <f t="shared" ca="1" si="32"/>
        <v>943.35428317444087</v>
      </c>
      <c r="CI65" s="266">
        <f t="shared" ca="1" si="33"/>
        <v>943.35428317444087</v>
      </c>
      <c r="CJ65" s="266">
        <f t="shared" ca="1" si="34"/>
        <v>943.35428317444087</v>
      </c>
      <c r="CK65" s="266">
        <f t="shared" si="35"/>
        <v>102.5806842629276</v>
      </c>
      <c r="CL65" s="266">
        <f t="shared" si="36"/>
        <v>104.83520479617877</v>
      </c>
      <c r="CM65" s="266">
        <f t="shared" ca="1" si="37"/>
        <v>104.83520479617877</v>
      </c>
      <c r="CN65" s="266">
        <f t="shared" ca="1" si="38"/>
        <v>104.83520479617877</v>
      </c>
      <c r="CO65" s="266">
        <f ca="1">N65*IFERROR(INDEX(Algorithms!$G:$G,MATCH($C65&amp;"_Therm Saved per Unit- MLA",Algorithms!$A:$A,0)),0)*X65</f>
        <v>0</v>
      </c>
      <c r="CP65" s="266">
        <f ca="1">O65*IFERROR(INDEX(Algorithms!$G:$G,MATCH($C65&amp;"_Therm Saved per Unit- MLA",Algorithms!$A:$A,0)),0)*Y65</f>
        <v>0</v>
      </c>
      <c r="CQ65" s="266">
        <f ca="1">P65*IFERROR(INDEX(Algorithms!$G:$G,MATCH($C65&amp;"_Therm Saved per Unit- MLA",Algorithms!$A:$A,0)),0)*Z65</f>
        <v>0</v>
      </c>
      <c r="CR65" s="266">
        <f ca="1">Q65*IFERROR(INDEX(Algorithms!$G:$G,MATCH($C65&amp;"_Therm Saved per Unit- MLA",Algorithms!$A:$A,0)),0)*AA65</f>
        <v>0</v>
      </c>
      <c r="CS65" s="266">
        <f ca="1">IFERROR(INDEX(Algorithms!$G:$G,MATCH($C65&amp;"_Lifetime (years)",Algorithms!$A:$A,0)),0)</f>
        <v>10</v>
      </c>
      <c r="CT65" s="266">
        <f ca="1">IFERROR(INDEX(Algorithms!$G:$G,MATCH($C65&amp;"_Lifetime (years) - Remaining Years",Algorithms!$A:$A,0)),0)</f>
        <v>0</v>
      </c>
      <c r="CU65" s="266">
        <f t="shared" ca="1" si="39"/>
        <v>1025.8068426292762</v>
      </c>
      <c r="CV65" s="266">
        <f t="shared" ca="1" si="40"/>
        <v>1048.3520479617878</v>
      </c>
      <c r="CW65" s="266">
        <f t="shared" ca="1" si="41"/>
        <v>1048.3520479617878</v>
      </c>
      <c r="CX65" s="266">
        <f t="shared" ca="1" si="42"/>
        <v>1048.3520479617878</v>
      </c>
    </row>
    <row r="66" spans="2:102" s="47" customFormat="1" ht="18" customHeight="1" x14ac:dyDescent="0.25">
      <c r="B66" t="str">
        <f t="shared" si="43"/>
        <v>NSG_Business_Small/Mid-Size Business_Assessments_Low Flow Kitchen Aerator_0_CI</v>
      </c>
      <c r="C66" s="47" t="str">
        <f t="shared" si="6"/>
        <v>Low Flow Kitchen Aerator_0_CI</v>
      </c>
      <c r="D66" s="270" t="s">
        <v>1787</v>
      </c>
      <c r="E66" s="270" t="s">
        <v>3</v>
      </c>
      <c r="F66" s="270" t="s">
        <v>1432</v>
      </c>
      <c r="G66" s="270" t="s">
        <v>1431</v>
      </c>
      <c r="H66" s="270" t="s">
        <v>533</v>
      </c>
      <c r="I66" s="270">
        <v>0</v>
      </c>
      <c r="J66" s="270" t="s">
        <v>1159</v>
      </c>
      <c r="K66" s="263">
        <v>1</v>
      </c>
      <c r="L66" s="263" t="str">
        <f ca="1">IFERROR(INDEX(Algorithms!J:J,MATCH($C66&amp;"_Therm Saved per Unit",Algorithms!$A:$A,0)),"n/a")</f>
        <v>4.3.2</v>
      </c>
      <c r="M66" s="263" t="str">
        <f>IFERROR(INDEX('Measure Level Detail'!$N:$N,MATCH($B66,'Measure Level Detail'!$B:$B,0)),0)</f>
        <v>each</v>
      </c>
      <c r="N66" s="271">
        <f>IFERROR(INDEX('Measure Level Detail'!$P:$P,MATCH($B66&amp;"_"&amp;N$3,'Measure Level Detail'!$C:$C,0)),0)</f>
        <v>11</v>
      </c>
      <c r="O66" s="271">
        <f>IFERROR(INDEX('Measure Level Detail'!$P:$P,MATCH($B66&amp;"_"&amp;O$3,'Measure Level Detail'!$C:$C,0)),0)</f>
        <v>10</v>
      </c>
      <c r="P66" s="271">
        <f>IFERROR(INDEX('Measure Level Detail'!$P:$P,MATCH($B66&amp;"_"&amp;P$3,'Measure Level Detail'!$C:$C,0)),0)</f>
        <v>10</v>
      </c>
      <c r="Q66" s="271">
        <f>IFERROR(INDEX('Measure Level Detail'!$P:$P,MATCH($B66&amp;"_"&amp;Q$3,'Measure Level Detail'!$C:$C,0)),0)</f>
        <v>9</v>
      </c>
      <c r="R66" s="263" t="str">
        <f ca="1">IFERROR(INDEX(Algorithms!K:K,MATCH($C66&amp;"_Therm Saved per Unit",Algorithms!$A:$A,0)),"n/a")</f>
        <v>CI-HWE-LFFA-V12-240101</v>
      </c>
      <c r="S66" s="262"/>
      <c r="T66" s="272">
        <v>7.4428057553956828</v>
      </c>
      <c r="U66" s="272">
        <v>7.4428057553956828</v>
      </c>
      <c r="V66" s="272">
        <v>7.4428057553956828</v>
      </c>
      <c r="W66" s="272">
        <v>7.4428057553956828</v>
      </c>
      <c r="X66" s="276">
        <v>0.93</v>
      </c>
      <c r="Y66" s="276">
        <v>0.93</v>
      </c>
      <c r="Z66" s="276">
        <v>0.93</v>
      </c>
      <c r="AA66" s="276">
        <v>0.93</v>
      </c>
      <c r="AB66" s="266">
        <f t="shared" si="7"/>
        <v>76.13990287769785</v>
      </c>
      <c r="AC66" s="266">
        <f t="shared" si="8"/>
        <v>69.218093525179853</v>
      </c>
      <c r="AD66" s="266">
        <f t="shared" si="9"/>
        <v>69.218093525179853</v>
      </c>
      <c r="AE66" s="266">
        <f t="shared" si="10"/>
        <v>62.296284172661871</v>
      </c>
      <c r="AF66" s="266">
        <f t="shared" si="11"/>
        <v>276.87237410071941</v>
      </c>
      <c r="AG66" s="274">
        <v>0.93</v>
      </c>
      <c r="AH66" s="274">
        <v>0.93</v>
      </c>
      <c r="AI66" s="274">
        <v>0.93</v>
      </c>
      <c r="AJ66" s="274">
        <v>0.93</v>
      </c>
      <c r="AK66" s="274">
        <f t="shared" si="12"/>
        <v>0.93</v>
      </c>
      <c r="AL66" s="274">
        <f t="shared" si="13"/>
        <v>0.93</v>
      </c>
      <c r="AM66" s="274">
        <f t="shared" si="14"/>
        <v>0.93</v>
      </c>
      <c r="AN66" s="274">
        <f t="shared" si="15"/>
        <v>0.93</v>
      </c>
      <c r="AO66" s="262"/>
      <c r="AP66" s="262"/>
      <c r="AQ66" s="267">
        <v>8.1501798561151073</v>
      </c>
      <c r="AR66" s="262"/>
      <c r="AS66" s="266">
        <f t="shared" si="16"/>
        <v>83.376339928057547</v>
      </c>
      <c r="AT66" s="264">
        <f t="shared" si="17"/>
        <v>7.2364370503596973</v>
      </c>
      <c r="AU66" s="262"/>
      <c r="AV66" s="262"/>
      <c r="AW66" s="265">
        <v>8.1501798561151073</v>
      </c>
      <c r="AX66" s="164" t="s">
        <v>2393</v>
      </c>
      <c r="AY66" s="266">
        <v>75.796672661870502</v>
      </c>
      <c r="AZ66" s="266">
        <f t="shared" si="45"/>
        <v>75.796672661870502</v>
      </c>
      <c r="BA66" s="264">
        <f t="shared" si="18"/>
        <v>6.5785791366906494</v>
      </c>
      <c r="BB66" s="262"/>
      <c r="BC66" s="262"/>
      <c r="BD66" s="265">
        <f ca="1">IFERROR(INDEX(Algorithms!$G:$G,MATCH($C66&amp;"_Therm Saved per Unit",Algorithms!$A:$A,0)),0)</f>
        <v>8.1501798561151073</v>
      </c>
      <c r="BE66" s="164" t="str">
        <f ca="1">IFERROR(INDEX('v12 Revisions'!$P$29:$P$186, MATCH('Measure-Level Adj Gas'!$L66, 'v12 Revisions'!$D$29:$D$186,0)),"")</f>
        <v/>
      </c>
      <c r="BF66" s="266">
        <f t="shared" ca="1" si="19"/>
        <v>75.796672661870502</v>
      </c>
      <c r="BG66" s="264">
        <f t="shared" ca="1" si="20"/>
        <v>6.5785791366906494</v>
      </c>
      <c r="BH66" s="262"/>
      <c r="BI66" s="262"/>
      <c r="BJ66" s="265">
        <f ca="1">IFERROR(INDEX(Algorithms!$G:$G,MATCH($C66&amp;"_Therm Saved per Unit",Algorithms!$A:$A,0)),0)</f>
        <v>8.1501798561151073</v>
      </c>
      <c r="BK66" s="164"/>
      <c r="BL66" s="266">
        <f t="shared" ca="1" si="21"/>
        <v>68.217005395683444</v>
      </c>
      <c r="BM66" s="264">
        <f t="shared" ca="1" si="22"/>
        <v>5.9207212230215731</v>
      </c>
      <c r="BN66" s="266">
        <f t="shared" si="23"/>
        <v>83.376339928057547</v>
      </c>
      <c r="BO66" s="266">
        <f t="shared" si="44"/>
        <v>75.796672661870502</v>
      </c>
      <c r="BP66" s="266">
        <f t="shared" ca="1" si="24"/>
        <v>75.796672661870502</v>
      </c>
      <c r="BQ66" s="266">
        <f t="shared" ca="1" si="25"/>
        <v>68.217005395683444</v>
      </c>
      <c r="BR66" s="268">
        <f t="shared" ca="1" si="26"/>
        <v>303.18669064748201</v>
      </c>
      <c r="BS66" s="262" t="s">
        <v>99</v>
      </c>
      <c r="BT66" s="277"/>
      <c r="BW66" s="266">
        <f t="shared" si="27"/>
        <v>76.13990287769785</v>
      </c>
      <c r="BX66" s="266">
        <f t="shared" si="28"/>
        <v>69.218093525179853</v>
      </c>
      <c r="BY66" s="266">
        <f t="shared" si="29"/>
        <v>69.218093525179853</v>
      </c>
      <c r="BZ66" s="266">
        <f t="shared" si="30"/>
        <v>62.296284172661871</v>
      </c>
      <c r="CA66" s="266">
        <f ca="1">N66*IFERROR(INDEX(Algorithms!$G:$G,MATCH($C66&amp;"_Therm Saved per Unit- MLA",Algorithms!$A:$A,0)),0)*X66</f>
        <v>0</v>
      </c>
      <c r="CB66" s="266">
        <f ca="1">O66*IFERROR(INDEX(Algorithms!$G:$G,MATCH($C66&amp;"_Therm Saved per Unit- MLA",Algorithms!$A:$A,0)),0)*Y66</f>
        <v>0</v>
      </c>
      <c r="CC66" s="266">
        <f ca="1">P66*IFERROR(INDEX(Algorithms!$G:$G,MATCH($C66&amp;"_Therm Saved per Unit- MLA",Algorithms!$A:$A,0)),0)*Z66</f>
        <v>0</v>
      </c>
      <c r="CD66" s="266">
        <f ca="1">Q66*IFERROR(INDEX(Algorithms!$G:$G,MATCH($C66&amp;"_Therm Saved per Unit- MLA",Algorithms!$A:$A,0)),0)*AA66</f>
        <v>0</v>
      </c>
      <c r="CE66" s="266">
        <f ca="1">IFERROR(INDEX(Algorithms!$G:$G,MATCH($C66&amp;"_Lifetime (years)",Algorithms!$A:$A,0)),0)</f>
        <v>10</v>
      </c>
      <c r="CF66" s="266">
        <f ca="1">IFERROR(INDEX(Algorithms!$G:$G,MATCH($C66&amp;"_Lifetime (years) - Remaining Years",Algorithms!$A:$A,0)),0)</f>
        <v>0</v>
      </c>
      <c r="CG66" s="266">
        <f t="shared" ca="1" si="31"/>
        <v>761.39902877697853</v>
      </c>
      <c r="CH66" s="266">
        <f t="shared" ca="1" si="32"/>
        <v>692.18093525179847</v>
      </c>
      <c r="CI66" s="266">
        <f t="shared" ca="1" si="33"/>
        <v>692.18093525179847</v>
      </c>
      <c r="CJ66" s="266">
        <f t="shared" ca="1" si="34"/>
        <v>622.96284172661876</v>
      </c>
      <c r="CK66" s="266">
        <f t="shared" si="35"/>
        <v>83.376339928057547</v>
      </c>
      <c r="CL66" s="266">
        <f t="shared" si="36"/>
        <v>75.796672661870502</v>
      </c>
      <c r="CM66" s="266">
        <f t="shared" ca="1" si="37"/>
        <v>75.796672661870502</v>
      </c>
      <c r="CN66" s="266">
        <f t="shared" ca="1" si="38"/>
        <v>68.217005395683444</v>
      </c>
      <c r="CO66" s="266">
        <f ca="1">N66*IFERROR(INDEX(Algorithms!$G:$G,MATCH($C66&amp;"_Therm Saved per Unit- MLA",Algorithms!$A:$A,0)),0)*X66</f>
        <v>0</v>
      </c>
      <c r="CP66" s="266">
        <f ca="1">O66*IFERROR(INDEX(Algorithms!$G:$G,MATCH($C66&amp;"_Therm Saved per Unit- MLA",Algorithms!$A:$A,0)),0)*Y66</f>
        <v>0</v>
      </c>
      <c r="CQ66" s="266">
        <f ca="1">P66*IFERROR(INDEX(Algorithms!$G:$G,MATCH($C66&amp;"_Therm Saved per Unit- MLA",Algorithms!$A:$A,0)),0)*Z66</f>
        <v>0</v>
      </c>
      <c r="CR66" s="266">
        <f ca="1">Q66*IFERROR(INDEX(Algorithms!$G:$G,MATCH($C66&amp;"_Therm Saved per Unit- MLA",Algorithms!$A:$A,0)),0)*AA66</f>
        <v>0</v>
      </c>
      <c r="CS66" s="266">
        <f ca="1">IFERROR(INDEX(Algorithms!$G:$G,MATCH($C66&amp;"_Lifetime (years)",Algorithms!$A:$A,0)),0)</f>
        <v>10</v>
      </c>
      <c r="CT66" s="266">
        <f ca="1">IFERROR(INDEX(Algorithms!$G:$G,MATCH($C66&amp;"_Lifetime (years) - Remaining Years",Algorithms!$A:$A,0)),0)</f>
        <v>0</v>
      </c>
      <c r="CU66" s="266">
        <f t="shared" ca="1" si="39"/>
        <v>833.76339928057541</v>
      </c>
      <c r="CV66" s="266">
        <f t="shared" ca="1" si="40"/>
        <v>757.96672661870502</v>
      </c>
      <c r="CW66" s="266">
        <f t="shared" ca="1" si="41"/>
        <v>757.96672661870502</v>
      </c>
      <c r="CX66" s="266">
        <f t="shared" ca="1" si="42"/>
        <v>682.17005395683441</v>
      </c>
    </row>
    <row r="67" spans="2:102" s="47" customFormat="1" ht="18" customHeight="1" x14ac:dyDescent="0.25">
      <c r="B67" t="str">
        <f t="shared" si="43"/>
        <v>NSG_Income Eligible_Single Family_IE Kits_Low Flow Bathroom Aerator_IE Kit_IE</v>
      </c>
      <c r="C67" s="47" t="str">
        <f t="shared" si="6"/>
        <v>Low Flow Bathroom Aerator_IE Kit_IE</v>
      </c>
      <c r="D67" s="270" t="s">
        <v>1787</v>
      </c>
      <c r="E67" s="270" t="s">
        <v>325</v>
      </c>
      <c r="F67" s="270" t="s">
        <v>375</v>
      </c>
      <c r="G67" s="270" t="s">
        <v>1440</v>
      </c>
      <c r="H67" s="270" t="s">
        <v>555</v>
      </c>
      <c r="I67" s="270" t="s">
        <v>550</v>
      </c>
      <c r="J67" s="270" t="s">
        <v>551</v>
      </c>
      <c r="K67" s="263">
        <v>1</v>
      </c>
      <c r="L67" s="263" t="str">
        <f ca="1">IFERROR(INDEX(Algorithms!J:J,MATCH($C67&amp;"_Therm Saved per Unit",Algorithms!$A:$A,0)),"n/a")</f>
        <v>5.4.4</v>
      </c>
      <c r="M67" s="263" t="str">
        <f>IFERROR(INDEX('Measure Level Detail'!$N:$N,MATCH($B67,'Measure Level Detail'!$B:$B,0)),0)</f>
        <v>Each</v>
      </c>
      <c r="N67" s="271">
        <f>IFERROR(INDEX('Measure Level Detail'!$P:$P,MATCH($B67&amp;"_"&amp;N$3,'Measure Level Detail'!$C:$C,0)),0)</f>
        <v>560</v>
      </c>
      <c r="O67" s="271">
        <f>IFERROR(INDEX('Measure Level Detail'!$P:$P,MATCH($B67&amp;"_"&amp;O$3,'Measure Level Detail'!$C:$C,0)),0)</f>
        <v>560</v>
      </c>
      <c r="P67" s="271">
        <f>IFERROR(INDEX('Measure Level Detail'!$P:$P,MATCH($B67&amp;"_"&amp;P$3,'Measure Level Detail'!$C:$C,0)),0)</f>
        <v>560</v>
      </c>
      <c r="Q67" s="271">
        <f>IFERROR(INDEX('Measure Level Detail'!$P:$P,MATCH($B67&amp;"_"&amp;Q$3,'Measure Level Detail'!$C:$C,0)),0)</f>
        <v>560</v>
      </c>
      <c r="R67" s="263" t="str">
        <f ca="1">IFERROR(INDEX(Algorithms!K:K,MATCH($C67&amp;"_Therm Saved per Unit",Algorithms!$A:$A,0)),"n/a")</f>
        <v>RS-HWE-LFFA-V13-240101</v>
      </c>
      <c r="S67" s="262"/>
      <c r="T67" s="272">
        <v>0.5904178513594347</v>
      </c>
      <c r="U67" s="272">
        <v>0.5904178513594347</v>
      </c>
      <c r="V67" s="272">
        <v>0.5904178513594347</v>
      </c>
      <c r="W67" s="272">
        <v>0.5904178513594347</v>
      </c>
      <c r="X67" s="273">
        <f>IFERROR(INDEX('Measure Level Detail'!$R:$R,MATCH($B67&amp;"_"&amp;X$3,'Measure Level Detail'!$C:$C,0)),0)</f>
        <v>1</v>
      </c>
      <c r="Y67" s="273">
        <f>IFERROR(INDEX('Measure Level Detail'!$R:$R,MATCH($B67&amp;"_"&amp;Y$3,'Measure Level Detail'!$C:$C,0)),0)</f>
        <v>1</v>
      </c>
      <c r="Z67" s="273">
        <f>IFERROR(INDEX('Measure Level Detail'!$R:$R,MATCH($B67&amp;"_"&amp;Z$3,'Measure Level Detail'!$C:$C,0)),0)</f>
        <v>1</v>
      </c>
      <c r="AA67" s="273">
        <f>IFERROR(INDEX('Measure Level Detail'!$R:$R,MATCH($B67&amp;"_"&amp;AA$3,'Measure Level Detail'!$C:$C,0)),0)</f>
        <v>1</v>
      </c>
      <c r="AB67" s="266">
        <f t="shared" si="7"/>
        <v>330.63399676128341</v>
      </c>
      <c r="AC67" s="266">
        <f t="shared" si="8"/>
        <v>330.63399676128341</v>
      </c>
      <c r="AD67" s="266">
        <f t="shared" si="9"/>
        <v>330.63399676128341</v>
      </c>
      <c r="AE67" s="266">
        <f t="shared" si="10"/>
        <v>330.63399676128341</v>
      </c>
      <c r="AF67" s="266">
        <f t="shared" si="11"/>
        <v>1322.5359870451337</v>
      </c>
      <c r="AG67" s="274">
        <v>1</v>
      </c>
      <c r="AH67" s="274">
        <v>1</v>
      </c>
      <c r="AI67" s="274">
        <v>1</v>
      </c>
      <c r="AJ67" s="274">
        <v>1</v>
      </c>
      <c r="AK67" s="274">
        <f t="shared" si="12"/>
        <v>1</v>
      </c>
      <c r="AL67" s="274">
        <f t="shared" si="13"/>
        <v>1</v>
      </c>
      <c r="AM67" s="274">
        <f t="shared" si="14"/>
        <v>1</v>
      </c>
      <c r="AN67" s="274">
        <f t="shared" si="15"/>
        <v>1</v>
      </c>
      <c r="AO67" s="262"/>
      <c r="AP67" s="262"/>
      <c r="AQ67" s="267">
        <v>0.60319567359596415</v>
      </c>
      <c r="AR67" s="262"/>
      <c r="AS67" s="266">
        <f t="shared" si="16"/>
        <v>337.7895772137399</v>
      </c>
      <c r="AT67" s="264">
        <f t="shared" si="17"/>
        <v>7.1555804524564905</v>
      </c>
      <c r="AU67" s="262"/>
      <c r="AV67" s="262"/>
      <c r="AW67" s="265">
        <v>0.60319567359596415</v>
      </c>
      <c r="AX67" s="164" t="s">
        <v>2392</v>
      </c>
      <c r="AY67" s="266">
        <v>337.7895772137399</v>
      </c>
      <c r="AZ67" s="266">
        <f t="shared" si="45"/>
        <v>337.7895772137399</v>
      </c>
      <c r="BA67" s="264">
        <f t="shared" si="18"/>
        <v>7.1555804524564905</v>
      </c>
      <c r="BB67" s="262"/>
      <c r="BC67" s="262"/>
      <c r="BD67" s="265">
        <f ca="1">IFERROR(INDEX(Algorithms!$G:$G,MATCH($C67&amp;"_Therm Saved per Unit",Algorithms!$A:$A,0)),0)</f>
        <v>0.60319567359596415</v>
      </c>
      <c r="BE67" s="164" t="str">
        <f ca="1">IFERROR(INDEX('v12 Revisions'!$P$29:$P$186, MATCH('Measure-Level Adj Gas'!$L67, 'v12 Revisions'!$D$29:$D$186,0)),"")</f>
        <v>n/a - plan assumes Direct Install, not Distributed School Efficiency Kit.</v>
      </c>
      <c r="BF67" s="266">
        <f t="shared" ca="1" si="19"/>
        <v>337.7895772137399</v>
      </c>
      <c r="BG67" s="264">
        <f t="shared" ca="1" si="20"/>
        <v>7.1555804524564905</v>
      </c>
      <c r="BH67" s="262"/>
      <c r="BI67" s="262"/>
      <c r="BJ67" s="265">
        <f ca="1">IFERROR(INDEX(Algorithms!$G:$G,MATCH($C67&amp;"_Therm Saved per Unit",Algorithms!$A:$A,0)),0)</f>
        <v>0.60319567359596415</v>
      </c>
      <c r="BK67" s="164"/>
      <c r="BL67" s="266">
        <f t="shared" ca="1" si="21"/>
        <v>337.7895772137399</v>
      </c>
      <c r="BM67" s="264">
        <f t="shared" ca="1" si="22"/>
        <v>7.1555804524564905</v>
      </c>
      <c r="BN67" s="266">
        <f t="shared" si="23"/>
        <v>337.7895772137399</v>
      </c>
      <c r="BO67" s="266">
        <f t="shared" si="44"/>
        <v>337.7895772137399</v>
      </c>
      <c r="BP67" s="266">
        <f t="shared" ca="1" si="24"/>
        <v>337.7895772137399</v>
      </c>
      <c r="BQ67" s="266">
        <f t="shared" ca="1" si="25"/>
        <v>337.7895772137399</v>
      </c>
      <c r="BR67" s="268">
        <f t="shared" ca="1" si="26"/>
        <v>1351.1583088549596</v>
      </c>
      <c r="BS67" s="262" t="s">
        <v>99</v>
      </c>
      <c r="BT67" s="277"/>
      <c r="BW67" s="266">
        <f t="shared" si="27"/>
        <v>330.63399676128341</v>
      </c>
      <c r="BX67" s="266">
        <f t="shared" si="28"/>
        <v>330.63399676128341</v>
      </c>
      <c r="BY67" s="266">
        <f t="shared" si="29"/>
        <v>330.63399676128341</v>
      </c>
      <c r="BZ67" s="266">
        <f t="shared" si="30"/>
        <v>330.63399676128341</v>
      </c>
      <c r="CA67" s="266">
        <f ca="1">N67*IFERROR(INDEX(Algorithms!$G:$G,MATCH($C67&amp;"_Therm Saved per Unit- MLA",Algorithms!$A:$A,0)),0)*X67</f>
        <v>0</v>
      </c>
      <c r="CB67" s="266">
        <f ca="1">O67*IFERROR(INDEX(Algorithms!$G:$G,MATCH($C67&amp;"_Therm Saved per Unit- MLA",Algorithms!$A:$A,0)),0)*Y67</f>
        <v>0</v>
      </c>
      <c r="CC67" s="266">
        <f ca="1">P67*IFERROR(INDEX(Algorithms!$G:$G,MATCH($C67&amp;"_Therm Saved per Unit- MLA",Algorithms!$A:$A,0)),0)*Z67</f>
        <v>0</v>
      </c>
      <c r="CD67" s="266">
        <f ca="1">Q67*IFERROR(INDEX(Algorithms!$G:$G,MATCH($C67&amp;"_Therm Saved per Unit- MLA",Algorithms!$A:$A,0)),0)*AA67</f>
        <v>0</v>
      </c>
      <c r="CE67" s="266">
        <f ca="1">IFERROR(INDEX(Algorithms!$G:$G,MATCH($C67&amp;"_Lifetime (years)",Algorithms!$A:$A,0)),0)</f>
        <v>10</v>
      </c>
      <c r="CF67" s="266">
        <f ca="1">IFERROR(INDEX(Algorithms!$G:$G,MATCH($C67&amp;"_Lifetime (years) - Remaining Years",Algorithms!$A:$A,0)),0)</f>
        <v>0</v>
      </c>
      <c r="CG67" s="266">
        <f t="shared" ca="1" si="31"/>
        <v>3306.3399676128342</v>
      </c>
      <c r="CH67" s="266">
        <f t="shared" ca="1" si="32"/>
        <v>3306.3399676128342</v>
      </c>
      <c r="CI67" s="266">
        <f t="shared" ca="1" si="33"/>
        <v>3306.3399676128342</v>
      </c>
      <c r="CJ67" s="266">
        <f t="shared" ca="1" si="34"/>
        <v>3306.3399676128342</v>
      </c>
      <c r="CK67" s="266">
        <f t="shared" si="35"/>
        <v>337.7895772137399</v>
      </c>
      <c r="CL67" s="266">
        <f t="shared" si="36"/>
        <v>337.7895772137399</v>
      </c>
      <c r="CM67" s="266">
        <f t="shared" ca="1" si="37"/>
        <v>337.7895772137399</v>
      </c>
      <c r="CN67" s="266">
        <f t="shared" ca="1" si="38"/>
        <v>337.7895772137399</v>
      </c>
      <c r="CO67" s="266">
        <f ca="1">N67*IFERROR(INDEX(Algorithms!$G:$G,MATCH($C67&amp;"_Therm Saved per Unit- MLA",Algorithms!$A:$A,0)),0)*X67</f>
        <v>0</v>
      </c>
      <c r="CP67" s="266">
        <f ca="1">O67*IFERROR(INDEX(Algorithms!$G:$G,MATCH($C67&amp;"_Therm Saved per Unit- MLA",Algorithms!$A:$A,0)),0)*Y67</f>
        <v>0</v>
      </c>
      <c r="CQ67" s="266">
        <f ca="1">P67*IFERROR(INDEX(Algorithms!$G:$G,MATCH($C67&amp;"_Therm Saved per Unit- MLA",Algorithms!$A:$A,0)),0)*Z67</f>
        <v>0</v>
      </c>
      <c r="CR67" s="266">
        <f ca="1">Q67*IFERROR(INDEX(Algorithms!$G:$G,MATCH($C67&amp;"_Therm Saved per Unit- MLA",Algorithms!$A:$A,0)),0)*AA67</f>
        <v>0</v>
      </c>
      <c r="CS67" s="266">
        <f ca="1">IFERROR(INDEX(Algorithms!$G:$G,MATCH($C67&amp;"_Lifetime (years)",Algorithms!$A:$A,0)),0)</f>
        <v>10</v>
      </c>
      <c r="CT67" s="266">
        <f ca="1">IFERROR(INDEX(Algorithms!$G:$G,MATCH($C67&amp;"_Lifetime (years) - Remaining Years",Algorithms!$A:$A,0)),0)</f>
        <v>0</v>
      </c>
      <c r="CU67" s="266">
        <f t="shared" ca="1" si="39"/>
        <v>3377.895772137399</v>
      </c>
      <c r="CV67" s="266">
        <f t="shared" ca="1" si="40"/>
        <v>3377.895772137399</v>
      </c>
      <c r="CW67" s="266">
        <f t="shared" ca="1" si="41"/>
        <v>3377.895772137399</v>
      </c>
      <c r="CX67" s="266">
        <f t="shared" ca="1" si="42"/>
        <v>3377.895772137399</v>
      </c>
    </row>
    <row r="68" spans="2:102" s="47" customFormat="1" ht="18" customHeight="1" x14ac:dyDescent="0.25">
      <c r="B68" t="str">
        <f t="shared" si="43"/>
        <v>NSG_Income Eligible_Home Energy Jumpstart_Leave Behind Kit_Shower Timer_0_SF</v>
      </c>
      <c r="C68" s="47" t="str">
        <f t="shared" si="6"/>
        <v>Shower Timer_0_SF</v>
      </c>
      <c r="D68" s="270" t="s">
        <v>1787</v>
      </c>
      <c r="E68" s="270" t="s">
        <v>325</v>
      </c>
      <c r="F68" s="270" t="s">
        <v>1414</v>
      </c>
      <c r="G68" s="270" t="s">
        <v>1416</v>
      </c>
      <c r="H68" s="270" t="s">
        <v>1031</v>
      </c>
      <c r="I68" s="270">
        <v>0</v>
      </c>
      <c r="J68" s="270" t="s">
        <v>409</v>
      </c>
      <c r="K68" s="263">
        <v>1</v>
      </c>
      <c r="L68" s="263" t="str">
        <f ca="1">IFERROR(INDEX(Algorithms!J:J,MATCH($C68&amp;"_Therm Saved per Unit",Algorithms!$A:$A,0)),"n/a")</f>
        <v>5.4.9</v>
      </c>
      <c r="M68" s="263" t="str">
        <f>IFERROR(INDEX('Measure Level Detail'!$N:$N,MATCH($B68,'Measure Level Detail'!$B:$B,0)),0)</f>
        <v>Each</v>
      </c>
      <c r="N68" s="271">
        <f>IFERROR(INDEX('Measure Level Detail'!$P:$P,MATCH($B68&amp;"_"&amp;N$3,'Measure Level Detail'!$C:$C,0)),0)</f>
        <v>25</v>
      </c>
      <c r="O68" s="271">
        <f>IFERROR(INDEX('Measure Level Detail'!$P:$P,MATCH($B68&amp;"_"&amp;O$3,'Measure Level Detail'!$C:$C,0)),0)</f>
        <v>63</v>
      </c>
      <c r="P68" s="271">
        <f>IFERROR(INDEX('Measure Level Detail'!$P:$P,MATCH($B68&amp;"_"&amp;P$3,'Measure Level Detail'!$C:$C,0)),0)</f>
        <v>126</v>
      </c>
      <c r="Q68" s="271">
        <f>IFERROR(INDEX('Measure Level Detail'!$P:$P,MATCH($B68&amp;"_"&amp;Q$3,'Measure Level Detail'!$C:$C,0)),0)</f>
        <v>151</v>
      </c>
      <c r="R68" s="263" t="str">
        <f ca="1">IFERROR(INDEX(Algorithms!K:K,MATCH($C68&amp;"_Therm Saved per Unit",Algorithms!$A:$A,0)),"n/a")</f>
        <v>RS-DHW-SHTM-V05-230101</v>
      </c>
      <c r="S68" s="262"/>
      <c r="T68" s="272">
        <v>3.7072463788108796</v>
      </c>
      <c r="U68" s="272">
        <v>3.7072463788108796</v>
      </c>
      <c r="V68" s="272">
        <v>3.7072463788108796</v>
      </c>
      <c r="W68" s="272">
        <v>3.7072463788108796</v>
      </c>
      <c r="X68" s="273">
        <f>IFERROR(INDEX('Measure Level Detail'!$R:$R,MATCH($B68&amp;"_"&amp;X$3,'Measure Level Detail'!$C:$C,0)),0)</f>
        <v>1</v>
      </c>
      <c r="Y68" s="273">
        <f>IFERROR(INDEX('Measure Level Detail'!$R:$R,MATCH($B68&amp;"_"&amp;Y$3,'Measure Level Detail'!$C:$C,0)),0)</f>
        <v>1</v>
      </c>
      <c r="Z68" s="273">
        <f>IFERROR(INDEX('Measure Level Detail'!$R:$R,MATCH($B68&amp;"_"&amp;Z$3,'Measure Level Detail'!$C:$C,0)),0)</f>
        <v>1</v>
      </c>
      <c r="AA68" s="273">
        <f>IFERROR(INDEX('Measure Level Detail'!$R:$R,MATCH($B68&amp;"_"&amp;AA$3,'Measure Level Detail'!$C:$C,0)),0)</f>
        <v>1</v>
      </c>
      <c r="AB68" s="266">
        <f t="shared" si="7"/>
        <v>92.681159470271993</v>
      </c>
      <c r="AC68" s="266">
        <f t="shared" si="8"/>
        <v>233.55652186508541</v>
      </c>
      <c r="AD68" s="266">
        <f t="shared" si="9"/>
        <v>467.11304373017083</v>
      </c>
      <c r="AE68" s="266">
        <f t="shared" si="10"/>
        <v>559.79420320044278</v>
      </c>
      <c r="AF68" s="266">
        <f t="shared" si="11"/>
        <v>1353.144928265971</v>
      </c>
      <c r="AG68" s="274">
        <v>1</v>
      </c>
      <c r="AH68" s="274">
        <v>1</v>
      </c>
      <c r="AI68" s="274">
        <v>1</v>
      </c>
      <c r="AJ68" s="274">
        <v>1</v>
      </c>
      <c r="AK68" s="274">
        <f t="shared" si="12"/>
        <v>1</v>
      </c>
      <c r="AL68" s="274">
        <f t="shared" si="13"/>
        <v>1</v>
      </c>
      <c r="AM68" s="274">
        <f t="shared" si="14"/>
        <v>1</v>
      </c>
      <c r="AN68" s="274">
        <f t="shared" si="15"/>
        <v>1</v>
      </c>
      <c r="AO68" s="262"/>
      <c r="AP68" s="262"/>
      <c r="AQ68" s="267">
        <v>3.9749540034683961</v>
      </c>
      <c r="AR68" s="262"/>
      <c r="AS68" s="266">
        <f t="shared" si="16"/>
        <v>99.373850086709908</v>
      </c>
      <c r="AT68" s="264">
        <f t="shared" si="17"/>
        <v>6.6926906164379147</v>
      </c>
      <c r="AU68" s="262"/>
      <c r="AV68" s="262"/>
      <c r="AW68" s="265">
        <v>3.9749540034683961</v>
      </c>
      <c r="AX68" s="164" t="s">
        <v>2393</v>
      </c>
      <c r="AY68" s="266">
        <v>220.37144995228789</v>
      </c>
      <c r="AZ68" s="266">
        <f t="shared" si="45"/>
        <v>250.42210221850897</v>
      </c>
      <c r="BA68" s="264">
        <f t="shared" si="18"/>
        <v>16.865580353423553</v>
      </c>
      <c r="BB68" s="262"/>
      <c r="BC68" s="262"/>
      <c r="BD68" s="265">
        <f ca="1">IFERROR(INDEX(Algorithms!$G:$G,MATCH($C68&amp;"_Therm Saved per Unit",Algorithms!$A:$A,0)),0)</f>
        <v>3.9749540034683961</v>
      </c>
      <c r="BE68" s="164" t="str">
        <f ca="1">IFERROR(INDEX('v12 Revisions'!$P$29:$P$186, MATCH('Measure-Level Adj Gas'!$L68, 'v12 Revisions'!$D$29:$D$186,0)),"")</f>
        <v/>
      </c>
      <c r="BF68" s="266">
        <f t="shared" ca="1" si="19"/>
        <v>500.84420443701794</v>
      </c>
      <c r="BG68" s="264">
        <f t="shared" ca="1" si="20"/>
        <v>33.731160706847106</v>
      </c>
      <c r="BH68" s="262"/>
      <c r="BI68" s="262"/>
      <c r="BJ68" s="265">
        <f ca="1">IFERROR(INDEX(Algorithms!$G:$G,MATCH($C68&amp;"_Therm Saved per Unit",Algorithms!$A:$A,0)),0)</f>
        <v>3.9749540034683961</v>
      </c>
      <c r="BK68" s="164"/>
      <c r="BL68" s="266">
        <f t="shared" ca="1" si="21"/>
        <v>600.2180545237278</v>
      </c>
      <c r="BM68" s="264">
        <f t="shared" ca="1" si="22"/>
        <v>40.423851323285021</v>
      </c>
      <c r="BN68" s="266">
        <f t="shared" si="23"/>
        <v>99.373850086709908</v>
      </c>
      <c r="BO68" s="266">
        <f t="shared" si="44"/>
        <v>250.42210221850897</v>
      </c>
      <c r="BP68" s="266">
        <f t="shared" ca="1" si="24"/>
        <v>500.84420443701794</v>
      </c>
      <c r="BQ68" s="266">
        <f t="shared" ca="1" si="25"/>
        <v>600.2180545237278</v>
      </c>
      <c r="BR68" s="268">
        <f t="shared" ca="1" si="26"/>
        <v>1450.8582112659647</v>
      </c>
      <c r="BS68" s="262" t="s">
        <v>99</v>
      </c>
      <c r="BT68" s="277"/>
      <c r="BW68" s="266">
        <f t="shared" si="27"/>
        <v>92.681159470271993</v>
      </c>
      <c r="BX68" s="266">
        <f t="shared" si="28"/>
        <v>233.55652186508541</v>
      </c>
      <c r="BY68" s="266">
        <f t="shared" si="29"/>
        <v>467.11304373017083</v>
      </c>
      <c r="BZ68" s="266">
        <f t="shared" si="30"/>
        <v>559.79420320044278</v>
      </c>
      <c r="CA68" s="266">
        <f ca="1">N68*IFERROR(INDEX(Algorithms!$G:$G,MATCH($C68&amp;"_Therm Saved per Unit- MLA",Algorithms!$A:$A,0)),0)*X68</f>
        <v>0</v>
      </c>
      <c r="CB68" s="266">
        <f ca="1">O68*IFERROR(INDEX(Algorithms!$G:$G,MATCH($C68&amp;"_Therm Saved per Unit- MLA",Algorithms!$A:$A,0)),0)*Y68</f>
        <v>0</v>
      </c>
      <c r="CC68" s="266">
        <f ca="1">P68*IFERROR(INDEX(Algorithms!$G:$G,MATCH($C68&amp;"_Therm Saved per Unit- MLA",Algorithms!$A:$A,0)),0)*Z68</f>
        <v>0</v>
      </c>
      <c r="CD68" s="266">
        <f ca="1">Q68*IFERROR(INDEX(Algorithms!$G:$G,MATCH($C68&amp;"_Therm Saved per Unit- MLA",Algorithms!$A:$A,0)),0)*AA68</f>
        <v>0</v>
      </c>
      <c r="CE68" s="266">
        <f ca="1">IFERROR(INDEX(Algorithms!$G:$G,MATCH($C68&amp;"_Lifetime (years)",Algorithms!$A:$A,0)),0)</f>
        <v>2</v>
      </c>
      <c r="CF68" s="266">
        <f ca="1">IFERROR(INDEX(Algorithms!$G:$G,MATCH($C68&amp;"_Lifetime (years) - Remaining Years",Algorithms!$A:$A,0)),0)</f>
        <v>0</v>
      </c>
      <c r="CG68" s="266">
        <f t="shared" ca="1" si="31"/>
        <v>185.36231894054399</v>
      </c>
      <c r="CH68" s="266">
        <f t="shared" ca="1" si="32"/>
        <v>467.11304373017083</v>
      </c>
      <c r="CI68" s="266">
        <f t="shared" ca="1" si="33"/>
        <v>934.22608746034166</v>
      </c>
      <c r="CJ68" s="266">
        <f t="shared" ca="1" si="34"/>
        <v>1119.5884064008856</v>
      </c>
      <c r="CK68" s="266">
        <f t="shared" si="35"/>
        <v>99.373850086709908</v>
      </c>
      <c r="CL68" s="266">
        <f t="shared" si="36"/>
        <v>250.42210221850897</v>
      </c>
      <c r="CM68" s="266">
        <f t="shared" ca="1" si="37"/>
        <v>500.84420443701794</v>
      </c>
      <c r="CN68" s="266">
        <f t="shared" ca="1" si="38"/>
        <v>600.2180545237278</v>
      </c>
      <c r="CO68" s="266">
        <f ca="1">N68*IFERROR(INDEX(Algorithms!$G:$G,MATCH($C68&amp;"_Therm Saved per Unit- MLA",Algorithms!$A:$A,0)),0)*X68</f>
        <v>0</v>
      </c>
      <c r="CP68" s="266">
        <f ca="1">O68*IFERROR(INDEX(Algorithms!$G:$G,MATCH($C68&amp;"_Therm Saved per Unit- MLA",Algorithms!$A:$A,0)),0)*Y68</f>
        <v>0</v>
      </c>
      <c r="CQ68" s="266">
        <f ca="1">P68*IFERROR(INDEX(Algorithms!$G:$G,MATCH($C68&amp;"_Therm Saved per Unit- MLA",Algorithms!$A:$A,0)),0)*Z68</f>
        <v>0</v>
      </c>
      <c r="CR68" s="266">
        <f ca="1">Q68*IFERROR(INDEX(Algorithms!$G:$G,MATCH($C68&amp;"_Therm Saved per Unit- MLA",Algorithms!$A:$A,0)),0)*AA68</f>
        <v>0</v>
      </c>
      <c r="CS68" s="266">
        <f ca="1">IFERROR(INDEX(Algorithms!$G:$G,MATCH($C68&amp;"_Lifetime (years)",Algorithms!$A:$A,0)),0)</f>
        <v>2</v>
      </c>
      <c r="CT68" s="266">
        <f ca="1">IFERROR(INDEX(Algorithms!$G:$G,MATCH($C68&amp;"_Lifetime (years) - Remaining Years",Algorithms!$A:$A,0)),0)</f>
        <v>0</v>
      </c>
      <c r="CU68" s="266">
        <f t="shared" ca="1" si="39"/>
        <v>198.74770017341982</v>
      </c>
      <c r="CV68" s="266">
        <f t="shared" ca="1" si="40"/>
        <v>500.84420443701794</v>
      </c>
      <c r="CW68" s="266">
        <f t="shared" ca="1" si="41"/>
        <v>1001.6884088740359</v>
      </c>
      <c r="CX68" s="266">
        <f t="shared" ca="1" si="42"/>
        <v>1200.4361090474556</v>
      </c>
    </row>
    <row r="69" spans="2:102" s="47" customFormat="1" ht="18" customHeight="1" x14ac:dyDescent="0.25">
      <c r="B69" t="str">
        <f t="shared" si="43"/>
        <v>NSG_Income Eligible_Multi-Family_IE Kits_Water Heater Temperature Setback_IE Kit_IE</v>
      </c>
      <c r="C69" s="47" t="str">
        <f t="shared" si="6"/>
        <v>Water Heater Temperature Setback_IE Kit_IE</v>
      </c>
      <c r="D69" s="270" t="s">
        <v>1787</v>
      </c>
      <c r="E69" s="270" t="s">
        <v>325</v>
      </c>
      <c r="F69" s="270" t="s">
        <v>1422</v>
      </c>
      <c r="G69" s="270" t="s">
        <v>1440</v>
      </c>
      <c r="H69" s="270" t="s">
        <v>223</v>
      </c>
      <c r="I69" s="270" t="s">
        <v>550</v>
      </c>
      <c r="J69" s="270" t="s">
        <v>551</v>
      </c>
      <c r="K69" s="263">
        <v>1</v>
      </c>
      <c r="L69" s="263" t="str">
        <f ca="1">IFERROR(INDEX(Algorithms!J:J,MATCH($C69&amp;"_Therm Saved per Unit",Algorithms!$A:$A,0)),"n/a")</f>
        <v>5.4.6</v>
      </c>
      <c r="M69" s="263" t="str">
        <f>IFERROR(INDEX('Measure Level Detail'!$N:$N,MATCH($B69,'Measure Level Detail'!$B:$B,0)),0)</f>
        <v>Each</v>
      </c>
      <c r="N69" s="271">
        <f>IFERROR(INDEX('Measure Level Detail'!$P:$P,MATCH($B69&amp;"_"&amp;N$3,'Measure Level Detail'!$C:$C,0)),0)</f>
        <v>140</v>
      </c>
      <c r="O69" s="271">
        <f>IFERROR(INDEX('Measure Level Detail'!$P:$P,MATCH($B69&amp;"_"&amp;O$3,'Measure Level Detail'!$C:$C,0)),0)</f>
        <v>140</v>
      </c>
      <c r="P69" s="271">
        <f>IFERROR(INDEX('Measure Level Detail'!$P:$P,MATCH($B69&amp;"_"&amp;P$3,'Measure Level Detail'!$C:$C,0)),0)</f>
        <v>140</v>
      </c>
      <c r="Q69" s="271">
        <f>IFERROR(INDEX('Measure Level Detail'!$P:$P,MATCH($B69&amp;"_"&amp;Q$3,'Measure Level Detail'!$C:$C,0)),0)</f>
        <v>140</v>
      </c>
      <c r="R69" s="263" t="str">
        <f ca="1">IFERROR(INDEX(Algorithms!K:K,MATCH($C69&amp;"_Therm Saved per Unit",Algorithms!$A:$A,0)),"n/a")</f>
        <v>RS-HWE-TMPS-V09-240101</v>
      </c>
      <c r="S69" s="262"/>
      <c r="T69" s="272">
        <v>0.34965719653846161</v>
      </c>
      <c r="U69" s="272">
        <v>0.34965719653846161</v>
      </c>
      <c r="V69" s="272">
        <v>0.34965719653846161</v>
      </c>
      <c r="W69" s="272">
        <v>0.34965719653846161</v>
      </c>
      <c r="X69" s="273">
        <f>IFERROR(INDEX('Measure Level Detail'!$R:$R,MATCH($B69&amp;"_"&amp;X$3,'Measure Level Detail'!$C:$C,0)),0)</f>
        <v>1</v>
      </c>
      <c r="Y69" s="273">
        <f>IFERROR(INDEX('Measure Level Detail'!$R:$R,MATCH($B69&amp;"_"&amp;Y$3,'Measure Level Detail'!$C:$C,0)),0)</f>
        <v>1</v>
      </c>
      <c r="Z69" s="273">
        <f>IFERROR(INDEX('Measure Level Detail'!$R:$R,MATCH($B69&amp;"_"&amp;Z$3,'Measure Level Detail'!$C:$C,0)),0)</f>
        <v>1</v>
      </c>
      <c r="AA69" s="273">
        <f>IFERROR(INDEX('Measure Level Detail'!$R:$R,MATCH($B69&amp;"_"&amp;AA$3,'Measure Level Detail'!$C:$C,0)),0)</f>
        <v>1</v>
      </c>
      <c r="AB69" s="266">
        <f t="shared" si="7"/>
        <v>48.952007515384622</v>
      </c>
      <c r="AC69" s="266">
        <f t="shared" si="8"/>
        <v>48.952007515384622</v>
      </c>
      <c r="AD69" s="266">
        <f t="shared" si="9"/>
        <v>48.952007515384622</v>
      </c>
      <c r="AE69" s="266">
        <f t="shared" si="10"/>
        <v>48.952007515384622</v>
      </c>
      <c r="AF69" s="266">
        <f t="shared" si="11"/>
        <v>195.80803006153849</v>
      </c>
      <c r="AG69" s="274">
        <v>1</v>
      </c>
      <c r="AH69" s="274">
        <v>1</v>
      </c>
      <c r="AI69" s="274">
        <v>1</v>
      </c>
      <c r="AJ69" s="274">
        <v>1</v>
      </c>
      <c r="AK69" s="274">
        <f t="shared" si="12"/>
        <v>1</v>
      </c>
      <c r="AL69" s="274">
        <f t="shared" si="13"/>
        <v>1</v>
      </c>
      <c r="AM69" s="274">
        <f t="shared" si="14"/>
        <v>1</v>
      </c>
      <c r="AN69" s="274">
        <f t="shared" si="15"/>
        <v>1</v>
      </c>
      <c r="AO69" s="262"/>
      <c r="AP69" s="262"/>
      <c r="AQ69" s="267">
        <v>0.3761829148965517</v>
      </c>
      <c r="AR69" s="262"/>
      <c r="AS69" s="266">
        <f t="shared" si="16"/>
        <v>52.665608085517235</v>
      </c>
      <c r="AT69" s="264">
        <f t="shared" si="17"/>
        <v>3.7136005701326127</v>
      </c>
      <c r="AU69" s="262"/>
      <c r="AV69" s="262"/>
      <c r="AW69" s="265">
        <v>0.3761829148965517</v>
      </c>
      <c r="AX69" s="164" t="s">
        <v>1469</v>
      </c>
      <c r="AY69" s="266">
        <v>52.665608085517235</v>
      </c>
      <c r="AZ69" s="266">
        <f t="shared" si="45"/>
        <v>52.665608085517235</v>
      </c>
      <c r="BA69" s="264">
        <f t="shared" si="18"/>
        <v>3.7136005701326127</v>
      </c>
      <c r="BB69" s="262"/>
      <c r="BC69" s="262"/>
      <c r="BD69" s="265">
        <f ca="1">IFERROR(INDEX(Algorithms!$G:$G,MATCH($C69&amp;"_Therm Saved per Unit",Algorithms!$A:$A,0)),0)</f>
        <v>0.13542584936275873</v>
      </c>
      <c r="BE69" s="164" t="str">
        <f ca="1">IFERROR(INDEX('v12 Revisions'!$P$29:$P$186, MATCH('Measure-Level Adj Gas'!$L69, 'v12 Revisions'!$D$29:$D$186,0)),"")</f>
        <v>Updated all pre and post temperatures.</v>
      </c>
      <c r="BF69" s="266">
        <f t="shared" ca="1" si="19"/>
        <v>18.959618910786222</v>
      </c>
      <c r="BG69" s="264">
        <f t="shared" ca="1" si="20"/>
        <v>-29.9923886045984</v>
      </c>
      <c r="BH69" s="262"/>
      <c r="BI69" s="262"/>
      <c r="BJ69" s="265">
        <f ca="1">IFERROR(INDEX(Algorithms!$G:$G,MATCH($C69&amp;"_Therm Saved per Unit",Algorithms!$A:$A,0)),0)</f>
        <v>0.13542584936275873</v>
      </c>
      <c r="BK69" s="164"/>
      <c r="BL69" s="266">
        <f t="shared" ca="1" si="21"/>
        <v>18.959618910786222</v>
      </c>
      <c r="BM69" s="264">
        <f t="shared" ca="1" si="22"/>
        <v>-29.9923886045984</v>
      </c>
      <c r="BN69" s="266">
        <f t="shared" si="23"/>
        <v>52.665608085517235</v>
      </c>
      <c r="BO69" s="266">
        <f t="shared" si="44"/>
        <v>52.665608085517235</v>
      </c>
      <c r="BP69" s="266">
        <f t="shared" ca="1" si="24"/>
        <v>18.959618910786222</v>
      </c>
      <c r="BQ69" s="266">
        <f t="shared" ca="1" si="25"/>
        <v>18.959618910786222</v>
      </c>
      <c r="BR69" s="268">
        <f t="shared" ca="1" si="26"/>
        <v>143.25045399260691</v>
      </c>
      <c r="BS69" s="262" t="s">
        <v>99</v>
      </c>
      <c r="BT69" s="277"/>
      <c r="BW69" s="266">
        <f t="shared" si="27"/>
        <v>48.952007515384622</v>
      </c>
      <c r="BX69" s="266">
        <f t="shared" si="28"/>
        <v>48.952007515384622</v>
      </c>
      <c r="BY69" s="266">
        <f t="shared" si="29"/>
        <v>48.952007515384622</v>
      </c>
      <c r="BZ69" s="266">
        <f t="shared" si="30"/>
        <v>48.952007515384622</v>
      </c>
      <c r="CA69" s="266">
        <f ca="1">N69*IFERROR(INDEX(Algorithms!$G:$G,MATCH($C69&amp;"_Therm Saved per Unit- MLA",Algorithms!$A:$A,0)),0)*X69</f>
        <v>0</v>
      </c>
      <c r="CB69" s="266">
        <f ca="1">O69*IFERROR(INDEX(Algorithms!$G:$G,MATCH($C69&amp;"_Therm Saved per Unit- MLA",Algorithms!$A:$A,0)),0)*Y69</f>
        <v>0</v>
      </c>
      <c r="CC69" s="266">
        <f ca="1">P69*IFERROR(INDEX(Algorithms!$G:$G,MATCH($C69&amp;"_Therm Saved per Unit- MLA",Algorithms!$A:$A,0)),0)*Z69</f>
        <v>0</v>
      </c>
      <c r="CD69" s="266">
        <f ca="1">Q69*IFERROR(INDEX(Algorithms!$G:$G,MATCH($C69&amp;"_Therm Saved per Unit- MLA",Algorithms!$A:$A,0)),0)*AA69</f>
        <v>0</v>
      </c>
      <c r="CE69" s="266">
        <f ca="1">IFERROR(INDEX(Algorithms!$G:$G,MATCH($C69&amp;"_Lifetime (years)",Algorithms!$A:$A,0)),0)</f>
        <v>2</v>
      </c>
      <c r="CF69" s="266">
        <f ca="1">IFERROR(INDEX(Algorithms!$G:$G,MATCH($C69&amp;"_Lifetime (years) - Remaining Years",Algorithms!$A:$A,0)),0)</f>
        <v>0</v>
      </c>
      <c r="CG69" s="266">
        <f t="shared" ca="1" si="31"/>
        <v>97.904015030769244</v>
      </c>
      <c r="CH69" s="266">
        <f t="shared" ca="1" si="32"/>
        <v>97.904015030769244</v>
      </c>
      <c r="CI69" s="266">
        <f t="shared" ca="1" si="33"/>
        <v>97.904015030769244</v>
      </c>
      <c r="CJ69" s="266">
        <f t="shared" ca="1" si="34"/>
        <v>97.904015030769244</v>
      </c>
      <c r="CK69" s="266">
        <f t="shared" si="35"/>
        <v>52.665608085517235</v>
      </c>
      <c r="CL69" s="266">
        <f t="shared" si="36"/>
        <v>52.665608085517235</v>
      </c>
      <c r="CM69" s="266">
        <f t="shared" ca="1" si="37"/>
        <v>18.959618910786222</v>
      </c>
      <c r="CN69" s="266">
        <f t="shared" ca="1" si="38"/>
        <v>18.959618910786222</v>
      </c>
      <c r="CO69" s="266">
        <f ca="1">N69*IFERROR(INDEX(Algorithms!$G:$G,MATCH($C69&amp;"_Therm Saved per Unit- MLA",Algorithms!$A:$A,0)),0)*X69</f>
        <v>0</v>
      </c>
      <c r="CP69" s="266">
        <f ca="1">O69*IFERROR(INDEX(Algorithms!$G:$G,MATCH($C69&amp;"_Therm Saved per Unit- MLA",Algorithms!$A:$A,0)),0)*Y69</f>
        <v>0</v>
      </c>
      <c r="CQ69" s="266">
        <f ca="1">P69*IFERROR(INDEX(Algorithms!$G:$G,MATCH($C69&amp;"_Therm Saved per Unit- MLA",Algorithms!$A:$A,0)),0)*Z69</f>
        <v>0</v>
      </c>
      <c r="CR69" s="266">
        <f ca="1">Q69*IFERROR(INDEX(Algorithms!$G:$G,MATCH($C69&amp;"_Therm Saved per Unit- MLA",Algorithms!$A:$A,0)),0)*AA69</f>
        <v>0</v>
      </c>
      <c r="CS69" s="266">
        <f ca="1">IFERROR(INDEX(Algorithms!$G:$G,MATCH($C69&amp;"_Lifetime (years)",Algorithms!$A:$A,0)),0)</f>
        <v>2</v>
      </c>
      <c r="CT69" s="266">
        <f ca="1">IFERROR(INDEX(Algorithms!$G:$G,MATCH($C69&amp;"_Lifetime (years) - Remaining Years",Algorithms!$A:$A,0)),0)</f>
        <v>0</v>
      </c>
      <c r="CU69" s="266">
        <f t="shared" ca="1" si="39"/>
        <v>105.33121617103447</v>
      </c>
      <c r="CV69" s="266">
        <f t="shared" ca="1" si="40"/>
        <v>105.33121617103447</v>
      </c>
      <c r="CW69" s="266">
        <f t="shared" ca="1" si="41"/>
        <v>37.919237821572445</v>
      </c>
      <c r="CX69" s="266">
        <f t="shared" ca="1" si="42"/>
        <v>37.919237821572445</v>
      </c>
    </row>
    <row r="70" spans="2:102" s="47" customFormat="1" ht="18" customHeight="1" x14ac:dyDescent="0.25">
      <c r="B70" t="str">
        <f t="shared" si="43"/>
        <v>NSG_Residential_Multi-Family_Partner Trade Ally Rebate_Water Heater_Storage 0.67 EF_MF</v>
      </c>
      <c r="C70" s="47" t="str">
        <f t="shared" si="6"/>
        <v>Water Heater_Storage 0.67 EF_MF</v>
      </c>
      <c r="D70" s="270" t="s">
        <v>1787</v>
      </c>
      <c r="E70" s="270" t="s">
        <v>2</v>
      </c>
      <c r="F70" s="270" t="s">
        <v>1422</v>
      </c>
      <c r="G70" s="270" t="s">
        <v>1799</v>
      </c>
      <c r="H70" s="270" t="s">
        <v>8</v>
      </c>
      <c r="I70" s="270" t="s">
        <v>879</v>
      </c>
      <c r="J70" s="270" t="s">
        <v>553</v>
      </c>
      <c r="K70" s="263">
        <v>1</v>
      </c>
      <c r="L70" s="263" t="str">
        <f ca="1">IFERROR(INDEX(Algorithms!J:J,MATCH($C70&amp;"_Therm Saved per Unit",Algorithms!$A:$A,0)),"n/a")</f>
        <v>4.3.1</v>
      </c>
      <c r="M70" s="263" t="str">
        <f>IFERROR(INDEX('Measure Level Detail'!$N:$N,MATCH($B70,'Measure Level Detail'!$B:$B,0)),0)</f>
        <v>each</v>
      </c>
      <c r="N70" s="271">
        <f>IFERROR(INDEX('Measure Level Detail'!$P:$P,MATCH($B70&amp;"_"&amp;N$3,'Measure Level Detail'!$C:$C,0)),0)</f>
        <v>2</v>
      </c>
      <c r="O70" s="271">
        <f>IFERROR(INDEX('Measure Level Detail'!$P:$P,MATCH($B70&amp;"_"&amp;O$3,'Measure Level Detail'!$C:$C,0)),0)</f>
        <v>2</v>
      </c>
      <c r="P70" s="271">
        <f>IFERROR(INDEX('Measure Level Detail'!$P:$P,MATCH($B70&amp;"_"&amp;P$3,'Measure Level Detail'!$C:$C,0)),0)</f>
        <v>2</v>
      </c>
      <c r="Q70" s="271">
        <f>IFERROR(INDEX('Measure Level Detail'!$P:$P,MATCH($B70&amp;"_"&amp;Q$3,'Measure Level Detail'!$C:$C,0)),0)</f>
        <v>2</v>
      </c>
      <c r="R70" s="263" t="str">
        <f ca="1">IFERROR(INDEX(Algorithms!K:K,MATCH($C70&amp;"_Therm Saved per Unit",Algorithms!$A:$A,0)),"n/a")</f>
        <v>CI-HWE-STWH-V10-240101</v>
      </c>
      <c r="S70" s="262"/>
      <c r="T70" s="272">
        <v>35.435517834876244</v>
      </c>
      <c r="U70" s="272">
        <v>35.435517834876244</v>
      </c>
      <c r="V70" s="272">
        <v>35.435517834876244</v>
      </c>
      <c r="W70" s="272">
        <v>35.435517834876244</v>
      </c>
      <c r="X70" s="273">
        <f>IFERROR(INDEX('Measure Level Detail'!$R:$R,MATCH($B70&amp;"_"&amp;X$3,'Measure Level Detail'!$C:$C,0)),0)</f>
        <v>0.87</v>
      </c>
      <c r="Y70" s="273">
        <f>IFERROR(INDEX('Measure Level Detail'!$R:$R,MATCH($B70&amp;"_"&amp;Y$3,'Measure Level Detail'!$C:$C,0)),0)</f>
        <v>0.87</v>
      </c>
      <c r="Z70" s="273">
        <f>IFERROR(INDEX('Measure Level Detail'!$R:$R,MATCH($B70&amp;"_"&amp;Z$3,'Measure Level Detail'!$C:$C,0)),0)</f>
        <v>0.87</v>
      </c>
      <c r="AA70" s="273">
        <f>IFERROR(INDEX('Measure Level Detail'!$R:$R,MATCH($B70&amp;"_"&amp;AA$3,'Measure Level Detail'!$C:$C,0)),0)</f>
        <v>0.87</v>
      </c>
      <c r="AB70" s="266">
        <f t="shared" si="7"/>
        <v>61.657801032684667</v>
      </c>
      <c r="AC70" s="266">
        <f t="shared" si="8"/>
        <v>61.657801032684667</v>
      </c>
      <c r="AD70" s="266">
        <f t="shared" si="9"/>
        <v>61.657801032684667</v>
      </c>
      <c r="AE70" s="266">
        <f t="shared" si="10"/>
        <v>61.657801032684667</v>
      </c>
      <c r="AF70" s="266">
        <f t="shared" si="11"/>
        <v>246.63120413073867</v>
      </c>
      <c r="AG70" s="274">
        <v>0.87</v>
      </c>
      <c r="AH70" s="274">
        <v>0.87</v>
      </c>
      <c r="AI70" s="710">
        <v>0.88</v>
      </c>
      <c r="AJ70" s="710">
        <v>0.88</v>
      </c>
      <c r="AK70" s="274">
        <f t="shared" si="12"/>
        <v>0.87</v>
      </c>
      <c r="AL70" s="274">
        <f t="shared" si="13"/>
        <v>0.87</v>
      </c>
      <c r="AM70" s="274">
        <f t="shared" si="14"/>
        <v>0.87</v>
      </c>
      <c r="AN70" s="274">
        <f t="shared" si="15"/>
        <v>0.87</v>
      </c>
      <c r="AO70" s="262"/>
      <c r="AP70" s="262"/>
      <c r="AQ70" s="267">
        <v>37.082520776497255</v>
      </c>
      <c r="AR70" s="262"/>
      <c r="AS70" s="266">
        <f t="shared" si="16"/>
        <v>64.523586151105221</v>
      </c>
      <c r="AT70" s="264">
        <f t="shared" si="17"/>
        <v>2.8657851184205541</v>
      </c>
      <c r="AU70" s="262"/>
      <c r="AV70" s="262"/>
      <c r="AW70" s="265">
        <v>36.883152385225763</v>
      </c>
      <c r="AX70" s="164" t="s">
        <v>1469</v>
      </c>
      <c r="AY70" s="266">
        <v>64.523586151105221</v>
      </c>
      <c r="AZ70" s="266">
        <f t="shared" si="45"/>
        <v>64.176685150292826</v>
      </c>
      <c r="BA70" s="264">
        <f t="shared" si="18"/>
        <v>2.5188841176081596</v>
      </c>
      <c r="BB70" s="262"/>
      <c r="BC70" s="262"/>
      <c r="BD70" s="265">
        <f ca="1">IFERROR(INDEX(Algorithms!$G:$G,MATCH($C70&amp;"_Therm Saved per Unit",Algorithms!$A:$A,0)),0)</f>
        <v>36.883152385225763</v>
      </c>
      <c r="BE70" s="164" t="str">
        <f ca="1">IFERROR(INDEX('v12 Revisions'!$P$29:$P$186, MATCH('Measure-Level Adj Gas'!$L70, 'v12 Revisions'!$D$29:$D$186,0)),"")</f>
        <v>n/a - language only.</v>
      </c>
      <c r="BF70" s="266">
        <f t="shared" ca="1" si="19"/>
        <v>64.176685150292826</v>
      </c>
      <c r="BG70" s="264">
        <f t="shared" ca="1" si="20"/>
        <v>2.5188841176081596</v>
      </c>
      <c r="BH70" s="262"/>
      <c r="BI70" s="262"/>
      <c r="BJ70" s="265">
        <f ca="1">IFERROR(INDEX(Algorithms!$G:$G,MATCH($C70&amp;"_Therm Saved per Unit",Algorithms!$A:$A,0)),0)</f>
        <v>36.883152385225763</v>
      </c>
      <c r="BK70" s="164"/>
      <c r="BL70" s="266">
        <f t="shared" ca="1" si="21"/>
        <v>64.176685150292826</v>
      </c>
      <c r="BM70" s="264">
        <f t="shared" ca="1" si="22"/>
        <v>2.5188841176081596</v>
      </c>
      <c r="BN70" s="266">
        <f t="shared" si="23"/>
        <v>64.523586151105221</v>
      </c>
      <c r="BO70" s="266">
        <f t="shared" si="44"/>
        <v>64.176685150292826</v>
      </c>
      <c r="BP70" s="266">
        <f t="shared" ca="1" si="24"/>
        <v>64.176685150292826</v>
      </c>
      <c r="BQ70" s="266">
        <f t="shared" ca="1" si="25"/>
        <v>64.176685150292826</v>
      </c>
      <c r="BR70" s="268">
        <f t="shared" ca="1" si="26"/>
        <v>257.05364160198371</v>
      </c>
      <c r="BS70" s="262" t="s">
        <v>99</v>
      </c>
      <c r="BT70" s="277"/>
      <c r="BW70" s="266">
        <f t="shared" si="27"/>
        <v>61.657801032684667</v>
      </c>
      <c r="BX70" s="266">
        <f t="shared" si="28"/>
        <v>61.657801032684667</v>
      </c>
      <c r="BY70" s="266">
        <f t="shared" si="29"/>
        <v>61.657801032684667</v>
      </c>
      <c r="BZ70" s="266">
        <f t="shared" si="30"/>
        <v>61.657801032684667</v>
      </c>
      <c r="CA70" s="266">
        <f ca="1">N70*IFERROR(INDEX(Algorithms!$G:$G,MATCH($C70&amp;"_Therm Saved per Unit- MLA",Algorithms!$A:$A,0)),0)*X70</f>
        <v>0</v>
      </c>
      <c r="CB70" s="266">
        <f ca="1">O70*IFERROR(INDEX(Algorithms!$G:$G,MATCH($C70&amp;"_Therm Saved per Unit- MLA",Algorithms!$A:$A,0)),0)*Y70</f>
        <v>0</v>
      </c>
      <c r="CC70" s="266">
        <f ca="1">P70*IFERROR(INDEX(Algorithms!$G:$G,MATCH($C70&amp;"_Therm Saved per Unit- MLA",Algorithms!$A:$A,0)),0)*Z70</f>
        <v>0</v>
      </c>
      <c r="CD70" s="266">
        <f ca="1">Q70*IFERROR(INDEX(Algorithms!$G:$G,MATCH($C70&amp;"_Therm Saved per Unit- MLA",Algorithms!$A:$A,0)),0)*AA70</f>
        <v>0</v>
      </c>
      <c r="CE70" s="266">
        <f ca="1">IFERROR(INDEX(Algorithms!$G:$G,MATCH($C70&amp;"_Lifetime (years)",Algorithms!$A:$A,0)),0)</f>
        <v>15</v>
      </c>
      <c r="CF70" s="266">
        <f ca="1">IFERROR(INDEX(Algorithms!$G:$G,MATCH($C70&amp;"_Lifetime (years) - Remaining Years",Algorithms!$A:$A,0)),0)</f>
        <v>0</v>
      </c>
      <c r="CG70" s="266">
        <f t="shared" ca="1" si="31"/>
        <v>924.86701549026998</v>
      </c>
      <c r="CH70" s="266">
        <f t="shared" ca="1" si="32"/>
        <v>924.86701549026998</v>
      </c>
      <c r="CI70" s="266">
        <f t="shared" ca="1" si="33"/>
        <v>924.86701549026998</v>
      </c>
      <c r="CJ70" s="266">
        <f t="shared" ca="1" si="34"/>
        <v>924.86701549026998</v>
      </c>
      <c r="CK70" s="266">
        <f t="shared" si="35"/>
        <v>64.523586151105221</v>
      </c>
      <c r="CL70" s="266">
        <f t="shared" si="36"/>
        <v>64.176685150292826</v>
      </c>
      <c r="CM70" s="266">
        <f t="shared" ca="1" si="37"/>
        <v>64.176685150292826</v>
      </c>
      <c r="CN70" s="266">
        <f t="shared" ca="1" si="38"/>
        <v>64.176685150292826</v>
      </c>
      <c r="CO70" s="266">
        <f ca="1">N70*IFERROR(INDEX(Algorithms!$G:$G,MATCH($C70&amp;"_Therm Saved per Unit- MLA",Algorithms!$A:$A,0)),0)*X70</f>
        <v>0</v>
      </c>
      <c r="CP70" s="266">
        <f ca="1">O70*IFERROR(INDEX(Algorithms!$G:$G,MATCH($C70&amp;"_Therm Saved per Unit- MLA",Algorithms!$A:$A,0)),0)*Y70</f>
        <v>0</v>
      </c>
      <c r="CQ70" s="266">
        <f ca="1">P70*IFERROR(INDEX(Algorithms!$G:$G,MATCH($C70&amp;"_Therm Saved per Unit- MLA",Algorithms!$A:$A,0)),0)*Z70</f>
        <v>0</v>
      </c>
      <c r="CR70" s="266">
        <f ca="1">Q70*IFERROR(INDEX(Algorithms!$G:$G,MATCH($C70&amp;"_Therm Saved per Unit- MLA",Algorithms!$A:$A,0)),0)*AA70</f>
        <v>0</v>
      </c>
      <c r="CS70" s="266">
        <f ca="1">IFERROR(INDEX(Algorithms!$G:$G,MATCH($C70&amp;"_Lifetime (years)",Algorithms!$A:$A,0)),0)</f>
        <v>15</v>
      </c>
      <c r="CT70" s="266">
        <f ca="1">IFERROR(INDEX(Algorithms!$G:$G,MATCH($C70&amp;"_Lifetime (years) - Remaining Years",Algorithms!$A:$A,0)),0)</f>
        <v>0</v>
      </c>
      <c r="CU70" s="266">
        <f t="shared" ca="1" si="39"/>
        <v>967.85379226657835</v>
      </c>
      <c r="CV70" s="266">
        <f t="shared" ca="1" si="40"/>
        <v>962.65027725439245</v>
      </c>
      <c r="CW70" s="266">
        <f t="shared" ca="1" si="41"/>
        <v>962.65027725439245</v>
      </c>
      <c r="CX70" s="266">
        <f t="shared" ca="1" si="42"/>
        <v>962.65027725439245</v>
      </c>
    </row>
    <row r="71" spans="2:102" s="47" customFormat="1" ht="18" customHeight="1" x14ac:dyDescent="0.25">
      <c r="B71" t="str">
        <f t="shared" si="43"/>
        <v>NSG_Income Eligible_Home Energy Jumpstart_Core_Low Flow Kitchen Aerator_0_SF</v>
      </c>
      <c r="C71" s="47" t="str">
        <f t="shared" si="6"/>
        <v>Low Flow Kitchen Aerator_0_SF</v>
      </c>
      <c r="D71" s="270" t="s">
        <v>1787</v>
      </c>
      <c r="E71" s="270" t="s">
        <v>325</v>
      </c>
      <c r="F71" s="270" t="s">
        <v>1414</v>
      </c>
      <c r="G71" s="270" t="s">
        <v>1415</v>
      </c>
      <c r="H71" s="270" t="s">
        <v>533</v>
      </c>
      <c r="I71" s="270">
        <v>0</v>
      </c>
      <c r="J71" s="270" t="s">
        <v>409</v>
      </c>
      <c r="K71" s="263">
        <v>1</v>
      </c>
      <c r="L71" s="263" t="str">
        <f ca="1">IFERROR(INDEX(Algorithms!J:J,MATCH($C71&amp;"_Therm Saved per Unit",Algorithms!$A:$A,0)),"n/a")</f>
        <v>5.4.4</v>
      </c>
      <c r="M71" s="263" t="str">
        <f>IFERROR(INDEX('Measure Level Detail'!$N:$N,MATCH($B71,'Measure Level Detail'!$B:$B,0)),0)</f>
        <v>Each</v>
      </c>
      <c r="N71" s="271">
        <f>IFERROR(INDEX('Measure Level Detail'!$P:$P,MATCH($B71&amp;"_"&amp;N$3,'Measure Level Detail'!$C:$C,0)),0)</f>
        <v>3</v>
      </c>
      <c r="O71" s="271">
        <f>IFERROR(INDEX('Measure Level Detail'!$P:$P,MATCH($B71&amp;"_"&amp;O$3,'Measure Level Detail'!$C:$C,0)),0)</f>
        <v>6</v>
      </c>
      <c r="P71" s="271">
        <f>IFERROR(INDEX('Measure Level Detail'!$P:$P,MATCH($B71&amp;"_"&amp;P$3,'Measure Level Detail'!$C:$C,0)),0)</f>
        <v>13</v>
      </c>
      <c r="Q71" s="271">
        <f>IFERROR(INDEX('Measure Level Detail'!$P:$P,MATCH($B71&amp;"_"&amp;Q$3,'Measure Level Detail'!$C:$C,0)),0)</f>
        <v>15</v>
      </c>
      <c r="R71" s="263" t="str">
        <f ca="1">IFERROR(INDEX(Algorithms!K:K,MATCH($C71&amp;"_Therm Saved per Unit",Algorithms!$A:$A,0)),"n/a")</f>
        <v>RS-HWE-LFFA-V13-240101</v>
      </c>
      <c r="S71" s="262"/>
      <c r="T71" s="272">
        <v>8.5936302377584592</v>
      </c>
      <c r="U71" s="272">
        <v>8.5936302377584592</v>
      </c>
      <c r="V71" s="272">
        <v>8.5936302377584592</v>
      </c>
      <c r="W71" s="272">
        <v>8.5936302377584592</v>
      </c>
      <c r="X71" s="273">
        <f>IFERROR(INDEX('Measure Level Detail'!$R:$R,MATCH($B71&amp;"_"&amp;X$3,'Measure Level Detail'!$C:$C,0)),0)</f>
        <v>1</v>
      </c>
      <c r="Y71" s="273">
        <f>IFERROR(INDEX('Measure Level Detail'!$R:$R,MATCH($B71&amp;"_"&amp;Y$3,'Measure Level Detail'!$C:$C,0)),0)</f>
        <v>1</v>
      </c>
      <c r="Z71" s="273">
        <f>IFERROR(INDEX('Measure Level Detail'!$R:$R,MATCH($B71&amp;"_"&amp;Z$3,'Measure Level Detail'!$C:$C,0)),0)</f>
        <v>1</v>
      </c>
      <c r="AA71" s="273">
        <f>IFERROR(INDEX('Measure Level Detail'!$R:$R,MATCH($B71&amp;"_"&amp;AA$3,'Measure Level Detail'!$C:$C,0)),0)</f>
        <v>1</v>
      </c>
      <c r="AB71" s="266">
        <f t="shared" si="7"/>
        <v>25.780890713275376</v>
      </c>
      <c r="AC71" s="266">
        <f t="shared" si="8"/>
        <v>51.561781426550752</v>
      </c>
      <c r="AD71" s="266">
        <f t="shared" si="9"/>
        <v>111.71719309085996</v>
      </c>
      <c r="AE71" s="266">
        <f t="shared" si="10"/>
        <v>128.9044535663769</v>
      </c>
      <c r="AF71" s="266">
        <f t="shared" si="11"/>
        <v>317.96431879706302</v>
      </c>
      <c r="AG71" s="274">
        <v>1</v>
      </c>
      <c r="AH71" s="274">
        <v>1</v>
      </c>
      <c r="AI71" s="274">
        <v>1</v>
      </c>
      <c r="AJ71" s="274">
        <v>1</v>
      </c>
      <c r="AK71" s="274">
        <f t="shared" si="12"/>
        <v>1</v>
      </c>
      <c r="AL71" s="274">
        <f t="shared" si="13"/>
        <v>1</v>
      </c>
      <c r="AM71" s="274">
        <f t="shared" si="14"/>
        <v>1</v>
      </c>
      <c r="AN71" s="274">
        <f t="shared" si="15"/>
        <v>1</v>
      </c>
      <c r="AO71" s="262"/>
      <c r="AP71" s="262"/>
      <c r="AQ71" s="267">
        <v>9.3447444487707685</v>
      </c>
      <c r="AR71" s="262"/>
      <c r="AS71" s="266">
        <f t="shared" si="16"/>
        <v>28.034233346312305</v>
      </c>
      <c r="AT71" s="264">
        <f t="shared" si="17"/>
        <v>2.2533426330369295</v>
      </c>
      <c r="AU71" s="262"/>
      <c r="AV71" s="262"/>
      <c r="AW71" s="265">
        <v>9.148012986691386</v>
      </c>
      <c r="AX71" s="164" t="s">
        <v>2392</v>
      </c>
      <c r="AY71" s="266">
        <v>56.068466692624611</v>
      </c>
      <c r="AZ71" s="266">
        <f t="shared" si="45"/>
        <v>54.888077920148319</v>
      </c>
      <c r="BA71" s="264">
        <f t="shared" si="18"/>
        <v>3.3262964935975674</v>
      </c>
      <c r="BB71" s="262"/>
      <c r="BC71" s="262"/>
      <c r="BD71" s="265">
        <f ca="1">IFERROR(INDEX(Algorithms!$G:$G,MATCH($C71&amp;"_Therm Saved per Unit",Algorithms!$A:$A,0)),0)</f>
        <v>9.148012986691386</v>
      </c>
      <c r="BE71" s="164" t="str">
        <f ca="1">IFERROR(INDEX('v12 Revisions'!$P$29:$P$186, MATCH('Measure-Level Adj Gas'!$L71, 'v12 Revisions'!$D$29:$D$186,0)),"")</f>
        <v>n/a - plan assumes Direct Install, not Distributed School Efficiency Kit.</v>
      </c>
      <c r="BF71" s="266">
        <f t="shared" ca="1" si="19"/>
        <v>118.92416882698802</v>
      </c>
      <c r="BG71" s="264">
        <f t="shared" ca="1" si="20"/>
        <v>7.206975736128058</v>
      </c>
      <c r="BH71" s="262"/>
      <c r="BI71" s="262"/>
      <c r="BJ71" s="265">
        <f ca="1">IFERROR(INDEX(Algorithms!$G:$G,MATCH($C71&amp;"_Therm Saved per Unit",Algorithms!$A:$A,0)),0)</f>
        <v>9.148012986691386</v>
      </c>
      <c r="BK71" s="164"/>
      <c r="BL71" s="266">
        <f t="shared" ca="1" si="21"/>
        <v>137.22019480037079</v>
      </c>
      <c r="BM71" s="264">
        <f t="shared" ca="1" si="22"/>
        <v>8.3157412339938901</v>
      </c>
      <c r="BN71" s="266">
        <f t="shared" si="23"/>
        <v>28.034233346312305</v>
      </c>
      <c r="BO71" s="266">
        <f t="shared" si="44"/>
        <v>54.888077920148319</v>
      </c>
      <c r="BP71" s="266">
        <f t="shared" ca="1" si="24"/>
        <v>118.92416882698802</v>
      </c>
      <c r="BQ71" s="266">
        <f t="shared" ca="1" si="25"/>
        <v>137.22019480037079</v>
      </c>
      <c r="BR71" s="268">
        <f t="shared" ca="1" si="26"/>
        <v>339.06667489381942</v>
      </c>
      <c r="BS71" s="262" t="s">
        <v>99</v>
      </c>
      <c r="BT71" s="277"/>
      <c r="BW71" s="266">
        <f t="shared" si="27"/>
        <v>25.780890713275376</v>
      </c>
      <c r="BX71" s="266">
        <f t="shared" si="28"/>
        <v>51.561781426550752</v>
      </c>
      <c r="BY71" s="266">
        <f t="shared" si="29"/>
        <v>111.71719309085996</v>
      </c>
      <c r="BZ71" s="266">
        <f t="shared" si="30"/>
        <v>128.9044535663769</v>
      </c>
      <c r="CA71" s="266">
        <f ca="1">N71*IFERROR(INDEX(Algorithms!$G:$G,MATCH($C71&amp;"_Therm Saved per Unit- MLA",Algorithms!$A:$A,0)),0)*X71</f>
        <v>0</v>
      </c>
      <c r="CB71" s="266">
        <f ca="1">O71*IFERROR(INDEX(Algorithms!$G:$G,MATCH($C71&amp;"_Therm Saved per Unit- MLA",Algorithms!$A:$A,0)),0)*Y71</f>
        <v>0</v>
      </c>
      <c r="CC71" s="266">
        <f ca="1">P71*IFERROR(INDEX(Algorithms!$G:$G,MATCH($C71&amp;"_Therm Saved per Unit- MLA",Algorithms!$A:$A,0)),0)*Z71</f>
        <v>0</v>
      </c>
      <c r="CD71" s="266">
        <f ca="1">Q71*IFERROR(INDEX(Algorithms!$G:$G,MATCH($C71&amp;"_Therm Saved per Unit- MLA",Algorithms!$A:$A,0)),0)*AA71</f>
        <v>0</v>
      </c>
      <c r="CE71" s="266">
        <f ca="1">IFERROR(INDEX(Algorithms!$G:$G,MATCH($C71&amp;"_Lifetime (years)",Algorithms!$A:$A,0)),0)</f>
        <v>10</v>
      </c>
      <c r="CF71" s="266">
        <f ca="1">IFERROR(INDEX(Algorithms!$G:$G,MATCH($C71&amp;"_Lifetime (years) - Remaining Years",Algorithms!$A:$A,0)),0)</f>
        <v>0</v>
      </c>
      <c r="CG71" s="266">
        <f t="shared" ca="1" si="31"/>
        <v>257.80890713275375</v>
      </c>
      <c r="CH71" s="266">
        <f t="shared" ca="1" si="32"/>
        <v>515.61781426550749</v>
      </c>
      <c r="CI71" s="266">
        <f t="shared" ca="1" si="33"/>
        <v>1117.1719309085997</v>
      </c>
      <c r="CJ71" s="266">
        <f t="shared" ca="1" si="34"/>
        <v>1289.044535663769</v>
      </c>
      <c r="CK71" s="266">
        <f t="shared" si="35"/>
        <v>28.034233346312305</v>
      </c>
      <c r="CL71" s="266">
        <f t="shared" si="36"/>
        <v>54.888077920148319</v>
      </c>
      <c r="CM71" s="266">
        <f t="shared" ca="1" si="37"/>
        <v>118.92416882698802</v>
      </c>
      <c r="CN71" s="266">
        <f t="shared" ca="1" si="38"/>
        <v>137.22019480037079</v>
      </c>
      <c r="CO71" s="266">
        <f ca="1">N71*IFERROR(INDEX(Algorithms!$G:$G,MATCH($C71&amp;"_Therm Saved per Unit- MLA",Algorithms!$A:$A,0)),0)*X71</f>
        <v>0</v>
      </c>
      <c r="CP71" s="266">
        <f ca="1">O71*IFERROR(INDEX(Algorithms!$G:$G,MATCH($C71&amp;"_Therm Saved per Unit- MLA",Algorithms!$A:$A,0)),0)*Y71</f>
        <v>0</v>
      </c>
      <c r="CQ71" s="266">
        <f ca="1">P71*IFERROR(INDEX(Algorithms!$G:$G,MATCH($C71&amp;"_Therm Saved per Unit- MLA",Algorithms!$A:$A,0)),0)*Z71</f>
        <v>0</v>
      </c>
      <c r="CR71" s="266">
        <f ca="1">Q71*IFERROR(INDEX(Algorithms!$G:$G,MATCH($C71&amp;"_Therm Saved per Unit- MLA",Algorithms!$A:$A,0)),0)*AA71</f>
        <v>0</v>
      </c>
      <c r="CS71" s="266">
        <f ca="1">IFERROR(INDEX(Algorithms!$G:$G,MATCH($C71&amp;"_Lifetime (years)",Algorithms!$A:$A,0)),0)</f>
        <v>10</v>
      </c>
      <c r="CT71" s="266">
        <f ca="1">IFERROR(INDEX(Algorithms!$G:$G,MATCH($C71&amp;"_Lifetime (years) - Remaining Years",Algorithms!$A:$A,0)),0)</f>
        <v>0</v>
      </c>
      <c r="CU71" s="266">
        <f t="shared" ca="1" si="39"/>
        <v>280.34233346312305</v>
      </c>
      <c r="CV71" s="266">
        <f t="shared" ca="1" si="40"/>
        <v>548.88077920148316</v>
      </c>
      <c r="CW71" s="266">
        <f t="shared" ca="1" si="41"/>
        <v>1189.2416882698803</v>
      </c>
      <c r="CX71" s="266">
        <f t="shared" ca="1" si="42"/>
        <v>1372.2019480037079</v>
      </c>
    </row>
    <row r="72" spans="2:102" s="47" customFormat="1" ht="18" customHeight="1" x14ac:dyDescent="0.25">
      <c r="B72" t="str">
        <f t="shared" si="43"/>
        <v>NSG_Income Eligible_Home Energy Jumpstart_Core_Low Flow Bathroom Aerator_0_SF</v>
      </c>
      <c r="C72" s="47" t="str">
        <f t="shared" si="6"/>
        <v>Low Flow Bathroom Aerator_0_SF</v>
      </c>
      <c r="D72" s="270" t="s">
        <v>1787</v>
      </c>
      <c r="E72" s="270" t="s">
        <v>325</v>
      </c>
      <c r="F72" s="270" t="s">
        <v>1414</v>
      </c>
      <c r="G72" s="270" t="s">
        <v>1415</v>
      </c>
      <c r="H72" s="270" t="s">
        <v>555</v>
      </c>
      <c r="I72" s="270">
        <v>0</v>
      </c>
      <c r="J72" s="270" t="s">
        <v>409</v>
      </c>
      <c r="K72" s="263">
        <v>1</v>
      </c>
      <c r="L72" s="263" t="str">
        <f ca="1">IFERROR(INDEX(Algorithms!J:J,MATCH($C72&amp;"_Therm Saved per Unit",Algorithms!$A:$A,0)),"n/a")</f>
        <v>5.4.4</v>
      </c>
      <c r="M72" s="263" t="str">
        <f>IFERROR(INDEX('Measure Level Detail'!$N:$N,MATCH($B72,'Measure Level Detail'!$B:$B,0)),0)</f>
        <v>Each</v>
      </c>
      <c r="N72" s="271">
        <f>IFERROR(INDEX('Measure Level Detail'!$P:$P,MATCH($B72&amp;"_"&amp;N$3,'Measure Level Detail'!$C:$C,0)),0)</f>
        <v>20</v>
      </c>
      <c r="O72" s="271">
        <f>IFERROR(INDEX('Measure Level Detail'!$P:$P,MATCH($B72&amp;"_"&amp;O$3,'Measure Level Detail'!$C:$C,0)),0)</f>
        <v>50</v>
      </c>
      <c r="P72" s="271">
        <f>IFERROR(INDEX('Measure Level Detail'!$P:$P,MATCH($B72&amp;"_"&amp;P$3,'Measure Level Detail'!$C:$C,0)),0)</f>
        <v>100</v>
      </c>
      <c r="Q72" s="271">
        <f>IFERROR(INDEX('Measure Level Detail'!$P:$P,MATCH($B72&amp;"_"&amp;Q$3,'Measure Level Detail'!$C:$C,0)),0)</f>
        <v>121</v>
      </c>
      <c r="R72" s="263" t="str">
        <f ca="1">IFERROR(INDEX(Algorithms!K:K,MATCH($C72&amp;"_Therm Saved per Unit",Algorithms!$A:$A,0)),"n/a")</f>
        <v>RS-HWE-LFFA-V13-240101</v>
      </c>
      <c r="S72" s="262"/>
      <c r="T72" s="272">
        <v>0.90936082797455842</v>
      </c>
      <c r="U72" s="272">
        <v>0.90936082797455842</v>
      </c>
      <c r="V72" s="272">
        <v>0.90936082797455842</v>
      </c>
      <c r="W72" s="272">
        <v>0.90936082797455842</v>
      </c>
      <c r="X72" s="273">
        <f>IFERROR(INDEX('Measure Level Detail'!$R:$R,MATCH($B72&amp;"_"&amp;X$3,'Measure Level Detail'!$C:$C,0)),0)</f>
        <v>1</v>
      </c>
      <c r="Y72" s="273">
        <f>IFERROR(INDEX('Measure Level Detail'!$R:$R,MATCH($B72&amp;"_"&amp;Y$3,'Measure Level Detail'!$C:$C,0)),0)</f>
        <v>1</v>
      </c>
      <c r="Z72" s="273">
        <f>IFERROR(INDEX('Measure Level Detail'!$R:$R,MATCH($B72&amp;"_"&amp;Z$3,'Measure Level Detail'!$C:$C,0)),0)</f>
        <v>1</v>
      </c>
      <c r="AA72" s="273">
        <f>IFERROR(INDEX('Measure Level Detail'!$R:$R,MATCH($B72&amp;"_"&amp;AA$3,'Measure Level Detail'!$C:$C,0)),0)</f>
        <v>1</v>
      </c>
      <c r="AB72" s="266">
        <f t="shared" si="7"/>
        <v>18.187216559491169</v>
      </c>
      <c r="AC72" s="266">
        <f t="shared" si="8"/>
        <v>45.468041398727919</v>
      </c>
      <c r="AD72" s="266">
        <f t="shared" si="9"/>
        <v>90.936082797455839</v>
      </c>
      <c r="AE72" s="266">
        <f t="shared" si="10"/>
        <v>110.03266018492157</v>
      </c>
      <c r="AF72" s="266">
        <f t="shared" si="11"/>
        <v>264.62400094059649</v>
      </c>
      <c r="AG72" s="274">
        <v>1</v>
      </c>
      <c r="AH72" s="274">
        <v>1</v>
      </c>
      <c r="AI72" s="274">
        <v>1</v>
      </c>
      <c r="AJ72" s="274">
        <v>1</v>
      </c>
      <c r="AK72" s="274">
        <f t="shared" si="12"/>
        <v>1</v>
      </c>
      <c r="AL72" s="274">
        <f t="shared" si="13"/>
        <v>1</v>
      </c>
      <c r="AM72" s="274">
        <f t="shared" si="14"/>
        <v>1</v>
      </c>
      <c r="AN72" s="274">
        <f t="shared" si="15"/>
        <v>1</v>
      </c>
      <c r="AO72" s="262"/>
      <c r="AP72" s="262"/>
      <c r="AQ72" s="267">
        <v>1.0053261226599404</v>
      </c>
      <c r="AR72" s="262"/>
      <c r="AS72" s="266">
        <f t="shared" si="16"/>
        <v>20.106522453198806</v>
      </c>
      <c r="AT72" s="264">
        <f t="shared" si="17"/>
        <v>1.9193058937076373</v>
      </c>
      <c r="AU72" s="262"/>
      <c r="AV72" s="262"/>
      <c r="AW72" s="265">
        <v>0.98416136218288908</v>
      </c>
      <c r="AX72" s="164" t="s">
        <v>2392</v>
      </c>
      <c r="AY72" s="266">
        <v>50.266306132997016</v>
      </c>
      <c r="AZ72" s="266">
        <f t="shared" si="45"/>
        <v>49.208068109144456</v>
      </c>
      <c r="BA72" s="264">
        <f t="shared" si="18"/>
        <v>3.7400267104165366</v>
      </c>
      <c r="BB72" s="262"/>
      <c r="BC72" s="262"/>
      <c r="BD72" s="265">
        <f ca="1">IFERROR(INDEX(Algorithms!$G:$G,MATCH($C72&amp;"_Therm Saved per Unit",Algorithms!$A:$A,0)),0)</f>
        <v>0.98416136218288908</v>
      </c>
      <c r="BE72" s="164" t="str">
        <f ca="1">IFERROR(INDEX('v12 Revisions'!$P$29:$P$186, MATCH('Measure-Level Adj Gas'!$L72, 'v12 Revisions'!$D$29:$D$186,0)),"")</f>
        <v>n/a - plan assumes Direct Install, not Distributed School Efficiency Kit.</v>
      </c>
      <c r="BF72" s="266">
        <f t="shared" ca="1" si="19"/>
        <v>98.416136218288912</v>
      </c>
      <c r="BG72" s="264">
        <f t="shared" ca="1" si="20"/>
        <v>7.4800534208330731</v>
      </c>
      <c r="BH72" s="262"/>
      <c r="BI72" s="262"/>
      <c r="BJ72" s="265">
        <f ca="1">IFERROR(INDEX(Algorithms!$G:$G,MATCH($C72&amp;"_Therm Saved per Unit",Algorithms!$A:$A,0)),0)</f>
        <v>0.98416136218288908</v>
      </c>
      <c r="BK72" s="164"/>
      <c r="BL72" s="266">
        <f t="shared" ca="1" si="21"/>
        <v>119.08352482412958</v>
      </c>
      <c r="BM72" s="264">
        <f t="shared" ca="1" si="22"/>
        <v>9.0508646392080152</v>
      </c>
      <c r="BN72" s="266">
        <f t="shared" si="23"/>
        <v>20.106522453198806</v>
      </c>
      <c r="BO72" s="266">
        <f t="shared" si="44"/>
        <v>49.208068109144456</v>
      </c>
      <c r="BP72" s="266">
        <f t="shared" ca="1" si="24"/>
        <v>98.416136218288912</v>
      </c>
      <c r="BQ72" s="266">
        <f t="shared" ca="1" si="25"/>
        <v>119.08352482412958</v>
      </c>
      <c r="BR72" s="268">
        <f t="shared" ca="1" si="26"/>
        <v>286.81425160476175</v>
      </c>
      <c r="BS72" s="262" t="s">
        <v>99</v>
      </c>
      <c r="BT72" s="277"/>
      <c r="BW72" s="266">
        <f t="shared" si="27"/>
        <v>18.187216559491169</v>
      </c>
      <c r="BX72" s="266">
        <f t="shared" si="28"/>
        <v>45.468041398727919</v>
      </c>
      <c r="BY72" s="266">
        <f t="shared" si="29"/>
        <v>90.936082797455839</v>
      </c>
      <c r="BZ72" s="266">
        <f t="shared" si="30"/>
        <v>110.03266018492157</v>
      </c>
      <c r="CA72" s="266">
        <f ca="1">N72*IFERROR(INDEX(Algorithms!$G:$G,MATCH($C72&amp;"_Therm Saved per Unit- MLA",Algorithms!$A:$A,0)),0)*X72</f>
        <v>0</v>
      </c>
      <c r="CB72" s="266">
        <f ca="1">O72*IFERROR(INDEX(Algorithms!$G:$G,MATCH($C72&amp;"_Therm Saved per Unit- MLA",Algorithms!$A:$A,0)),0)*Y72</f>
        <v>0</v>
      </c>
      <c r="CC72" s="266">
        <f ca="1">P72*IFERROR(INDEX(Algorithms!$G:$G,MATCH($C72&amp;"_Therm Saved per Unit- MLA",Algorithms!$A:$A,0)),0)*Z72</f>
        <v>0</v>
      </c>
      <c r="CD72" s="266">
        <f ca="1">Q72*IFERROR(INDEX(Algorithms!$G:$G,MATCH($C72&amp;"_Therm Saved per Unit- MLA",Algorithms!$A:$A,0)),0)*AA72</f>
        <v>0</v>
      </c>
      <c r="CE72" s="266">
        <f ca="1">IFERROR(INDEX(Algorithms!$G:$G,MATCH($C72&amp;"_Lifetime (years)",Algorithms!$A:$A,0)),0)</f>
        <v>10</v>
      </c>
      <c r="CF72" s="266">
        <f ca="1">IFERROR(INDEX(Algorithms!$G:$G,MATCH($C72&amp;"_Lifetime (years) - Remaining Years",Algorithms!$A:$A,0)),0)</f>
        <v>0</v>
      </c>
      <c r="CG72" s="266">
        <f t="shared" ca="1" si="31"/>
        <v>181.87216559491168</v>
      </c>
      <c r="CH72" s="266">
        <f t="shared" ca="1" si="32"/>
        <v>454.68041398727917</v>
      </c>
      <c r="CI72" s="266">
        <f t="shared" ca="1" si="33"/>
        <v>909.36082797455833</v>
      </c>
      <c r="CJ72" s="266">
        <f t="shared" ca="1" si="34"/>
        <v>1100.3266018492156</v>
      </c>
      <c r="CK72" s="266">
        <f t="shared" si="35"/>
        <v>20.106522453198806</v>
      </c>
      <c r="CL72" s="266">
        <f t="shared" si="36"/>
        <v>49.208068109144456</v>
      </c>
      <c r="CM72" s="266">
        <f t="shared" ca="1" si="37"/>
        <v>98.416136218288912</v>
      </c>
      <c r="CN72" s="266">
        <f t="shared" ca="1" si="38"/>
        <v>119.08352482412958</v>
      </c>
      <c r="CO72" s="266">
        <f ca="1">N72*IFERROR(INDEX(Algorithms!$G:$G,MATCH($C72&amp;"_Therm Saved per Unit- MLA",Algorithms!$A:$A,0)),0)*X72</f>
        <v>0</v>
      </c>
      <c r="CP72" s="266">
        <f ca="1">O72*IFERROR(INDEX(Algorithms!$G:$G,MATCH($C72&amp;"_Therm Saved per Unit- MLA",Algorithms!$A:$A,0)),0)*Y72</f>
        <v>0</v>
      </c>
      <c r="CQ72" s="266">
        <f ca="1">P72*IFERROR(INDEX(Algorithms!$G:$G,MATCH($C72&amp;"_Therm Saved per Unit- MLA",Algorithms!$A:$A,0)),0)*Z72</f>
        <v>0</v>
      </c>
      <c r="CR72" s="266">
        <f ca="1">Q72*IFERROR(INDEX(Algorithms!$G:$G,MATCH($C72&amp;"_Therm Saved per Unit- MLA",Algorithms!$A:$A,0)),0)*AA72</f>
        <v>0</v>
      </c>
      <c r="CS72" s="266">
        <f ca="1">IFERROR(INDEX(Algorithms!$G:$G,MATCH($C72&amp;"_Lifetime (years)",Algorithms!$A:$A,0)),0)</f>
        <v>10</v>
      </c>
      <c r="CT72" s="266">
        <f ca="1">IFERROR(INDEX(Algorithms!$G:$G,MATCH($C72&amp;"_Lifetime (years) - Remaining Years",Algorithms!$A:$A,0)),0)</f>
        <v>0</v>
      </c>
      <c r="CU72" s="266">
        <f t="shared" ca="1" si="39"/>
        <v>201.06522453198806</v>
      </c>
      <c r="CV72" s="266">
        <f t="shared" ca="1" si="40"/>
        <v>492.08068109144455</v>
      </c>
      <c r="CW72" s="266">
        <f t="shared" ca="1" si="41"/>
        <v>984.16136218288909</v>
      </c>
      <c r="CX72" s="266">
        <f t="shared" ca="1" si="42"/>
        <v>1190.8352482412959</v>
      </c>
    </row>
    <row r="73" spans="2:102" s="47" customFormat="1" ht="18" customHeight="1" x14ac:dyDescent="0.25">
      <c r="B73" t="str">
        <f t="shared" si="43"/>
        <v>NSG_Income Eligible_Multi-Family_IE Kits_Low Flow Bathroom Aerator_IE Kit_IE</v>
      </c>
      <c r="C73" s="47" t="str">
        <f t="shared" si="6"/>
        <v>Low Flow Bathroom Aerator_IE Kit_IE</v>
      </c>
      <c r="D73" s="270" t="s">
        <v>1787</v>
      </c>
      <c r="E73" s="270" t="s">
        <v>325</v>
      </c>
      <c r="F73" s="270" t="s">
        <v>1422</v>
      </c>
      <c r="G73" s="270" t="s">
        <v>1440</v>
      </c>
      <c r="H73" s="270" t="s">
        <v>555</v>
      </c>
      <c r="I73" s="270" t="s">
        <v>550</v>
      </c>
      <c r="J73" s="270" t="s">
        <v>551</v>
      </c>
      <c r="K73" s="263">
        <v>1</v>
      </c>
      <c r="L73" s="263" t="str">
        <f ca="1">IFERROR(INDEX(Algorithms!J:J,MATCH($C73&amp;"_Therm Saved per Unit",Algorithms!$A:$A,0)),"n/a")</f>
        <v>5.4.4</v>
      </c>
      <c r="M73" s="263" t="str">
        <f>IFERROR(INDEX('Measure Level Detail'!$N:$N,MATCH($B73,'Measure Level Detail'!$B:$B,0)),0)</f>
        <v>Each</v>
      </c>
      <c r="N73" s="271">
        <f>IFERROR(INDEX('Measure Level Detail'!$P:$P,MATCH($B73&amp;"_"&amp;N$3,'Measure Level Detail'!$C:$C,0)),0)</f>
        <v>140</v>
      </c>
      <c r="O73" s="271">
        <f>IFERROR(INDEX('Measure Level Detail'!$P:$P,MATCH($B73&amp;"_"&amp;O$3,'Measure Level Detail'!$C:$C,0)),0)</f>
        <v>140</v>
      </c>
      <c r="P73" s="271">
        <f>IFERROR(INDEX('Measure Level Detail'!$P:$P,MATCH($B73&amp;"_"&amp;P$3,'Measure Level Detail'!$C:$C,0)),0)</f>
        <v>140</v>
      </c>
      <c r="Q73" s="271">
        <f>IFERROR(INDEX('Measure Level Detail'!$P:$P,MATCH($B73&amp;"_"&amp;Q$3,'Measure Level Detail'!$C:$C,0)),0)</f>
        <v>140</v>
      </c>
      <c r="R73" s="263" t="str">
        <f ca="1">IFERROR(INDEX(Algorithms!K:K,MATCH($C73&amp;"_Therm Saved per Unit",Algorithms!$A:$A,0)),"n/a")</f>
        <v>RS-HWE-LFFA-V13-240101</v>
      </c>
      <c r="S73" s="262"/>
      <c r="T73" s="272">
        <v>0.5904178513594347</v>
      </c>
      <c r="U73" s="272">
        <v>0.5904178513594347</v>
      </c>
      <c r="V73" s="272">
        <v>0.5904178513594347</v>
      </c>
      <c r="W73" s="272">
        <v>0.5904178513594347</v>
      </c>
      <c r="X73" s="273">
        <f>IFERROR(INDEX('Measure Level Detail'!$R:$R,MATCH($B73&amp;"_"&amp;X$3,'Measure Level Detail'!$C:$C,0)),0)</f>
        <v>1</v>
      </c>
      <c r="Y73" s="273">
        <f>IFERROR(INDEX('Measure Level Detail'!$R:$R,MATCH($B73&amp;"_"&amp;Y$3,'Measure Level Detail'!$C:$C,0)),0)</f>
        <v>1</v>
      </c>
      <c r="Z73" s="273">
        <f>IFERROR(INDEX('Measure Level Detail'!$R:$R,MATCH($B73&amp;"_"&amp;Z$3,'Measure Level Detail'!$C:$C,0)),0)</f>
        <v>1</v>
      </c>
      <c r="AA73" s="273">
        <f>IFERROR(INDEX('Measure Level Detail'!$R:$R,MATCH($B73&amp;"_"&amp;AA$3,'Measure Level Detail'!$C:$C,0)),0)</f>
        <v>1</v>
      </c>
      <c r="AB73" s="266">
        <f t="shared" si="7"/>
        <v>82.658499190320853</v>
      </c>
      <c r="AC73" s="266">
        <f t="shared" si="8"/>
        <v>82.658499190320853</v>
      </c>
      <c r="AD73" s="266">
        <f t="shared" si="9"/>
        <v>82.658499190320853</v>
      </c>
      <c r="AE73" s="266">
        <f t="shared" si="10"/>
        <v>82.658499190320853</v>
      </c>
      <c r="AF73" s="266">
        <f t="shared" si="11"/>
        <v>330.63399676128341</v>
      </c>
      <c r="AG73" s="274">
        <v>1</v>
      </c>
      <c r="AH73" s="274">
        <v>1</v>
      </c>
      <c r="AI73" s="274">
        <v>1</v>
      </c>
      <c r="AJ73" s="274">
        <v>1</v>
      </c>
      <c r="AK73" s="274">
        <f t="shared" si="12"/>
        <v>1</v>
      </c>
      <c r="AL73" s="274">
        <f t="shared" si="13"/>
        <v>1</v>
      </c>
      <c r="AM73" s="274">
        <f t="shared" si="14"/>
        <v>1</v>
      </c>
      <c r="AN73" s="274">
        <f t="shared" si="15"/>
        <v>1</v>
      </c>
      <c r="AO73" s="262"/>
      <c r="AP73" s="262"/>
      <c r="AQ73" s="267">
        <v>0.60319567359596415</v>
      </c>
      <c r="AR73" s="262"/>
      <c r="AS73" s="266">
        <f t="shared" si="16"/>
        <v>84.447394303434976</v>
      </c>
      <c r="AT73" s="264">
        <f t="shared" si="17"/>
        <v>1.7888951131141226</v>
      </c>
      <c r="AU73" s="262"/>
      <c r="AV73" s="262"/>
      <c r="AW73" s="265">
        <v>0.60319567359596415</v>
      </c>
      <c r="AX73" s="164" t="s">
        <v>2392</v>
      </c>
      <c r="AY73" s="266">
        <v>84.447394303434976</v>
      </c>
      <c r="AZ73" s="266">
        <f t="shared" si="45"/>
        <v>84.447394303434976</v>
      </c>
      <c r="BA73" s="264">
        <f t="shared" si="18"/>
        <v>1.7888951131141226</v>
      </c>
      <c r="BB73" s="262"/>
      <c r="BC73" s="262"/>
      <c r="BD73" s="265">
        <f ca="1">IFERROR(INDEX(Algorithms!$G:$G,MATCH($C73&amp;"_Therm Saved per Unit",Algorithms!$A:$A,0)),0)</f>
        <v>0.60319567359596415</v>
      </c>
      <c r="BE73" s="164" t="str">
        <f ca="1">IFERROR(INDEX('v12 Revisions'!$P$29:$P$186, MATCH('Measure-Level Adj Gas'!$L73, 'v12 Revisions'!$D$29:$D$186,0)),"")</f>
        <v>n/a - plan assumes Direct Install, not Distributed School Efficiency Kit.</v>
      </c>
      <c r="BF73" s="266">
        <f t="shared" ca="1" si="19"/>
        <v>84.447394303434976</v>
      </c>
      <c r="BG73" s="264">
        <f t="shared" ca="1" si="20"/>
        <v>1.7888951131141226</v>
      </c>
      <c r="BH73" s="262"/>
      <c r="BI73" s="262"/>
      <c r="BJ73" s="265">
        <f ca="1">IFERROR(INDEX(Algorithms!$G:$G,MATCH($C73&amp;"_Therm Saved per Unit",Algorithms!$A:$A,0)),0)</f>
        <v>0.60319567359596415</v>
      </c>
      <c r="BK73" s="164"/>
      <c r="BL73" s="266">
        <f t="shared" ca="1" si="21"/>
        <v>84.447394303434976</v>
      </c>
      <c r="BM73" s="264">
        <f t="shared" ca="1" si="22"/>
        <v>1.7888951131141226</v>
      </c>
      <c r="BN73" s="266">
        <f t="shared" si="23"/>
        <v>84.447394303434976</v>
      </c>
      <c r="BO73" s="266">
        <f t="shared" si="44"/>
        <v>84.447394303434976</v>
      </c>
      <c r="BP73" s="266">
        <f t="shared" ca="1" si="24"/>
        <v>84.447394303434976</v>
      </c>
      <c r="BQ73" s="266">
        <f t="shared" ca="1" si="25"/>
        <v>84.447394303434976</v>
      </c>
      <c r="BR73" s="268">
        <f t="shared" ca="1" si="26"/>
        <v>337.7895772137399</v>
      </c>
      <c r="BS73" s="262" t="s">
        <v>99</v>
      </c>
      <c r="BT73" s="277"/>
      <c r="BW73" s="266">
        <f t="shared" si="27"/>
        <v>82.658499190320853</v>
      </c>
      <c r="BX73" s="266">
        <f t="shared" si="28"/>
        <v>82.658499190320853</v>
      </c>
      <c r="BY73" s="266">
        <f t="shared" si="29"/>
        <v>82.658499190320853</v>
      </c>
      <c r="BZ73" s="266">
        <f t="shared" si="30"/>
        <v>82.658499190320853</v>
      </c>
      <c r="CA73" s="266">
        <f ca="1">N73*IFERROR(INDEX(Algorithms!$G:$G,MATCH($C73&amp;"_Therm Saved per Unit- MLA",Algorithms!$A:$A,0)),0)*X73</f>
        <v>0</v>
      </c>
      <c r="CB73" s="266">
        <f ca="1">O73*IFERROR(INDEX(Algorithms!$G:$G,MATCH($C73&amp;"_Therm Saved per Unit- MLA",Algorithms!$A:$A,0)),0)*Y73</f>
        <v>0</v>
      </c>
      <c r="CC73" s="266">
        <f ca="1">P73*IFERROR(INDEX(Algorithms!$G:$G,MATCH($C73&amp;"_Therm Saved per Unit- MLA",Algorithms!$A:$A,0)),0)*Z73</f>
        <v>0</v>
      </c>
      <c r="CD73" s="266">
        <f ca="1">Q73*IFERROR(INDEX(Algorithms!$G:$G,MATCH($C73&amp;"_Therm Saved per Unit- MLA",Algorithms!$A:$A,0)),0)*AA73</f>
        <v>0</v>
      </c>
      <c r="CE73" s="266">
        <f ca="1">IFERROR(INDEX(Algorithms!$G:$G,MATCH($C73&amp;"_Lifetime (years)",Algorithms!$A:$A,0)),0)</f>
        <v>10</v>
      </c>
      <c r="CF73" s="266">
        <f ca="1">IFERROR(INDEX(Algorithms!$G:$G,MATCH($C73&amp;"_Lifetime (years) - Remaining Years",Algorithms!$A:$A,0)),0)</f>
        <v>0</v>
      </c>
      <c r="CG73" s="266">
        <f t="shared" ca="1" si="31"/>
        <v>826.58499190320856</v>
      </c>
      <c r="CH73" s="266">
        <f t="shared" ca="1" si="32"/>
        <v>826.58499190320856</v>
      </c>
      <c r="CI73" s="266">
        <f t="shared" ca="1" si="33"/>
        <v>826.58499190320856</v>
      </c>
      <c r="CJ73" s="266">
        <f t="shared" ca="1" si="34"/>
        <v>826.58499190320856</v>
      </c>
      <c r="CK73" s="266">
        <f t="shared" si="35"/>
        <v>84.447394303434976</v>
      </c>
      <c r="CL73" s="266">
        <f t="shared" si="36"/>
        <v>84.447394303434976</v>
      </c>
      <c r="CM73" s="266">
        <f t="shared" ca="1" si="37"/>
        <v>84.447394303434976</v>
      </c>
      <c r="CN73" s="266">
        <f t="shared" ca="1" si="38"/>
        <v>84.447394303434976</v>
      </c>
      <c r="CO73" s="266">
        <f ca="1">N73*IFERROR(INDEX(Algorithms!$G:$G,MATCH($C73&amp;"_Therm Saved per Unit- MLA",Algorithms!$A:$A,0)),0)*X73</f>
        <v>0</v>
      </c>
      <c r="CP73" s="266">
        <f ca="1">O73*IFERROR(INDEX(Algorithms!$G:$G,MATCH($C73&amp;"_Therm Saved per Unit- MLA",Algorithms!$A:$A,0)),0)*Y73</f>
        <v>0</v>
      </c>
      <c r="CQ73" s="266">
        <f ca="1">P73*IFERROR(INDEX(Algorithms!$G:$G,MATCH($C73&amp;"_Therm Saved per Unit- MLA",Algorithms!$A:$A,0)),0)*Z73</f>
        <v>0</v>
      </c>
      <c r="CR73" s="266">
        <f ca="1">Q73*IFERROR(INDEX(Algorithms!$G:$G,MATCH($C73&amp;"_Therm Saved per Unit- MLA",Algorithms!$A:$A,0)),0)*AA73</f>
        <v>0</v>
      </c>
      <c r="CS73" s="266">
        <f ca="1">IFERROR(INDEX(Algorithms!$G:$G,MATCH($C73&amp;"_Lifetime (years)",Algorithms!$A:$A,0)),0)</f>
        <v>10</v>
      </c>
      <c r="CT73" s="266">
        <f ca="1">IFERROR(INDEX(Algorithms!$G:$G,MATCH($C73&amp;"_Lifetime (years) - Remaining Years",Algorithms!$A:$A,0)),0)</f>
        <v>0</v>
      </c>
      <c r="CU73" s="266">
        <f t="shared" ca="1" si="39"/>
        <v>844.47394303434976</v>
      </c>
      <c r="CV73" s="266">
        <f t="shared" ca="1" si="40"/>
        <v>844.47394303434976</v>
      </c>
      <c r="CW73" s="266">
        <f t="shared" ca="1" si="41"/>
        <v>844.47394303434976</v>
      </c>
      <c r="CX73" s="266">
        <f t="shared" ca="1" si="42"/>
        <v>844.47394303434976</v>
      </c>
    </row>
    <row r="74" spans="2:102" s="47" customFormat="1" ht="18" customHeight="1" x14ac:dyDescent="0.25">
      <c r="B74" t="str">
        <f t="shared" si="43"/>
        <v>NSG_Income Eligible_Single Family_IHWAP_Low Flow Bathroom Aerator_0_SF</v>
      </c>
      <c r="C74" s="47" t="str">
        <f t="shared" ref="C74:C137" si="46">H74&amp;"_"&amp;I74&amp;"_"&amp;J74</f>
        <v>Low Flow Bathroom Aerator_0_SF</v>
      </c>
      <c r="D74" s="270" t="s">
        <v>1787</v>
      </c>
      <c r="E74" s="270" t="s">
        <v>325</v>
      </c>
      <c r="F74" s="270" t="s">
        <v>375</v>
      </c>
      <c r="G74" s="270" t="s">
        <v>1439</v>
      </c>
      <c r="H74" s="270" t="s">
        <v>555</v>
      </c>
      <c r="I74" s="270">
        <v>0</v>
      </c>
      <c r="J74" s="270" t="s">
        <v>409</v>
      </c>
      <c r="K74" s="263">
        <v>1</v>
      </c>
      <c r="L74" s="263" t="str">
        <f ca="1">IFERROR(INDEX(Algorithms!J:J,MATCH($C74&amp;"_Therm Saved per Unit",Algorithms!$A:$A,0)),"n/a")</f>
        <v>5.4.4</v>
      </c>
      <c r="M74" s="263" t="str">
        <f>IFERROR(INDEX('Measure Level Detail'!$N:$N,MATCH($B74,'Measure Level Detail'!$B:$B,0)),0)</f>
        <v>Each</v>
      </c>
      <c r="N74" s="271">
        <f>IFERROR(INDEX('Measure Level Detail'!$P:$P,MATCH($B74&amp;"_"&amp;N$3,'Measure Level Detail'!$C:$C,0)),0)</f>
        <v>18</v>
      </c>
      <c r="O74" s="271">
        <f>IFERROR(INDEX('Measure Level Detail'!$P:$P,MATCH($B74&amp;"_"&amp;O$3,'Measure Level Detail'!$C:$C,0)),0)</f>
        <v>20</v>
      </c>
      <c r="P74" s="271">
        <f>IFERROR(INDEX('Measure Level Detail'!$P:$P,MATCH($B74&amp;"_"&amp;P$3,'Measure Level Detail'!$C:$C,0)),0)</f>
        <v>25</v>
      </c>
      <c r="Q74" s="271">
        <f>IFERROR(INDEX('Measure Level Detail'!$P:$P,MATCH($B74&amp;"_"&amp;Q$3,'Measure Level Detail'!$C:$C,0)),0)</f>
        <v>27</v>
      </c>
      <c r="R74" s="263" t="str">
        <f ca="1">IFERROR(INDEX(Algorithms!K:K,MATCH($C74&amp;"_Therm Saved per Unit",Algorithms!$A:$A,0)),"n/a")</f>
        <v>RS-HWE-LFFA-V13-240101</v>
      </c>
      <c r="S74" s="262"/>
      <c r="T74" s="272">
        <v>0.90936082797455842</v>
      </c>
      <c r="U74" s="272">
        <v>0.90936082797455842</v>
      </c>
      <c r="V74" s="272">
        <v>0.90936082797455842</v>
      </c>
      <c r="W74" s="272">
        <v>0.90936082797455842</v>
      </c>
      <c r="X74" s="273">
        <f>IFERROR(INDEX('Measure Level Detail'!$R:$R,MATCH($B74&amp;"_"&amp;X$3,'Measure Level Detail'!$C:$C,0)),0)</f>
        <v>1</v>
      </c>
      <c r="Y74" s="273">
        <f>IFERROR(INDEX('Measure Level Detail'!$R:$R,MATCH($B74&amp;"_"&amp;Y$3,'Measure Level Detail'!$C:$C,0)),0)</f>
        <v>1</v>
      </c>
      <c r="Z74" s="273">
        <f>IFERROR(INDEX('Measure Level Detail'!$R:$R,MATCH($B74&amp;"_"&amp;Z$3,'Measure Level Detail'!$C:$C,0)),0)</f>
        <v>1</v>
      </c>
      <c r="AA74" s="273">
        <f>IFERROR(INDEX('Measure Level Detail'!$R:$R,MATCH($B74&amp;"_"&amp;AA$3,'Measure Level Detail'!$C:$C,0)),0)</f>
        <v>1</v>
      </c>
      <c r="AB74" s="266">
        <f t="shared" ref="AB74:AB137" si="47">N74*T74*X74</f>
        <v>16.36849490354205</v>
      </c>
      <c r="AC74" s="266">
        <f t="shared" ref="AC74:AC137" si="48">O74*U74*Y74</f>
        <v>18.187216559491169</v>
      </c>
      <c r="AD74" s="266">
        <f t="shared" ref="AD74:AD137" si="49">P74*V74*Z74</f>
        <v>22.73402069936396</v>
      </c>
      <c r="AE74" s="266">
        <f t="shared" ref="AE74:AE137" si="50">Q74*W74*AA74</f>
        <v>24.552742355313079</v>
      </c>
      <c r="AF74" s="266">
        <f t="shared" ref="AF74:AF137" si="51">AB74+AC74+AD74+AE74</f>
        <v>81.842474517710258</v>
      </c>
      <c r="AG74" s="274">
        <v>1</v>
      </c>
      <c r="AH74" s="274">
        <v>1</v>
      </c>
      <c r="AI74" s="274">
        <v>1</v>
      </c>
      <c r="AJ74" s="274">
        <v>1</v>
      </c>
      <c r="AK74" s="274">
        <f t="shared" ref="AK74:AK137" si="52">IF(AG74=X74,X74,
IF(AG74&gt;X74, IF(AG74-X74&gt;IF($E74="Income Eligible",0,10%),X74+(AG74-(X74+IF($E74="Income Eligible",0,10%))),X74),
IF(X74-AG74&gt;IF($E74="Income Eligible",0,10%),X74-((X74-IF($E74="Income Eligible",0,10%))-AG74),X74)))</f>
        <v>1</v>
      </c>
      <c r="AL74" s="274">
        <f t="shared" ref="AL74:AL137" si="53">IF(AH74=Y74,Y74,
IF(AH74&gt;Y74, IF(AH74-Y74&gt;IF($E74="Income Eligible",0,10%),Y74+(AH74-(Y74+IF($E74="Income Eligible",0,10%))),Y74),
IF(Y74-AH74&gt;IF($E74="Income Eligible",0,10%),Y74-((Y74-IF($E74="Income Eligible",0,10%))-AH74),Y74)))</f>
        <v>1</v>
      </c>
      <c r="AM74" s="274">
        <f t="shared" ref="AM74:AM137" si="54">IF(AI74=Z74,Z74,
IF(AI74&gt;Z74, IF(AI74-Z74&gt;IF($E74="Income Eligible",0,10%),Z74+(AI74-(Z74+IF($E74="Income Eligible",0,10%))),Z74),
IF(Z74-AI74&gt;IF($E74="Income Eligible",0,10%),Z74-((Z74-IF($E74="Income Eligible",0,10%))-AI74),Z74)))</f>
        <v>1</v>
      </c>
      <c r="AN74" s="274">
        <f t="shared" ref="AN74:AN137" si="55">IF(AJ74=AA74,AA74,
IF(AJ74&gt;AA74, IF(AJ74-AA74&gt;IF($E74="Income Eligible",0,10%),AA74+(AJ74-(AA74+IF($E74="Income Eligible",0,10%))),AA74),
IF(AA74-AJ74&gt;IF($E74="Income Eligible",0,10%),AA74-((AA74-IF($E74="Income Eligible",0,10%))-AJ74),AA74)))</f>
        <v>1</v>
      </c>
      <c r="AO74" s="262"/>
      <c r="AP74" s="262"/>
      <c r="AQ74" s="267">
        <v>1.0053261226599404</v>
      </c>
      <c r="AR74" s="262"/>
      <c r="AS74" s="266">
        <f t="shared" ref="AS74:AS137" si="56">N74*AQ74*AK74</f>
        <v>18.095870207878928</v>
      </c>
      <c r="AT74" s="264">
        <f t="shared" ref="AT74:AT137" si="57">IF(AS74=0,0,AS74-AB74)</f>
        <v>1.7273753043368778</v>
      </c>
      <c r="AU74" s="262"/>
      <c r="AV74" s="262"/>
      <c r="AW74" s="265">
        <v>0.98416136218288908</v>
      </c>
      <c r="AX74" s="164" t="s">
        <v>2392</v>
      </c>
      <c r="AY74" s="266">
        <v>20.106522453198806</v>
      </c>
      <c r="AZ74" s="266">
        <f t="shared" ref="AZ74:AZ137" si="58">O74*AW74*AL74</f>
        <v>19.683227243657782</v>
      </c>
      <c r="BA74" s="264">
        <f t="shared" ref="BA74:BA137" si="59">IF(AZ74=0,0,AZ74-AC74)</f>
        <v>1.4960106841666132</v>
      </c>
      <c r="BB74" s="262"/>
      <c r="BC74" s="262"/>
      <c r="BD74" s="265">
        <f ca="1">IFERROR(INDEX(Algorithms!$G:$G,MATCH($C74&amp;"_Therm Saved per Unit",Algorithms!$A:$A,0)),0)</f>
        <v>0.98416136218288908</v>
      </c>
      <c r="BE74" s="164" t="str">
        <f ca="1">IFERROR(INDEX('v12 Revisions'!$P$29:$P$186, MATCH('Measure-Level Adj Gas'!$L74, 'v12 Revisions'!$D$29:$D$186,0)),"")</f>
        <v>n/a - plan assumes Direct Install, not Distributed School Efficiency Kit.</v>
      </c>
      <c r="BF74" s="266">
        <f t="shared" ref="BF74:BF137" ca="1" si="60">P74*BD74*AM74</f>
        <v>24.604034054572228</v>
      </c>
      <c r="BG74" s="264">
        <f t="shared" ref="BG74:BG137" ca="1" si="61">IF(BF74=0,0,BF74-AD74)</f>
        <v>1.8700133552082683</v>
      </c>
      <c r="BH74" s="262"/>
      <c r="BI74" s="262"/>
      <c r="BJ74" s="265">
        <f ca="1">IFERROR(INDEX(Algorithms!$G:$G,MATCH($C74&amp;"_Therm Saved per Unit",Algorithms!$A:$A,0)),0)</f>
        <v>0.98416136218288908</v>
      </c>
      <c r="BK74" s="164"/>
      <c r="BL74" s="266">
        <f t="shared" ref="BL74:BL137" ca="1" si="62">Q74*BJ74*AN74</f>
        <v>26.572356778938005</v>
      </c>
      <c r="BM74" s="264">
        <f t="shared" ref="BM74:BM137" ca="1" si="63">IF(BL74=0,0,BL74-AE74)</f>
        <v>2.019614423624926</v>
      </c>
      <c r="BN74" s="266">
        <f t="shared" ref="BN74:BN137" si="64">IF(K74=1,AS74,AB74)</f>
        <v>18.095870207878928</v>
      </c>
      <c r="BO74" s="266">
        <f t="shared" ref="BO74:BO137" si="65">IF(K74=1,AZ74,AC74)</f>
        <v>19.683227243657782</v>
      </c>
      <c r="BP74" s="266">
        <f t="shared" ref="BP74:BP137" ca="1" si="66">IF(K74=1,BF74,AD74)</f>
        <v>24.604034054572228</v>
      </c>
      <c r="BQ74" s="266">
        <f t="shared" ref="BQ74:BQ137" ca="1" si="67">IF(K74=1,BL74,AE74)</f>
        <v>26.572356778938005</v>
      </c>
      <c r="BR74" s="268">
        <f t="shared" ref="BR74:BR137" ca="1" si="68">BN74+BO74+BP74+BQ74</f>
        <v>88.95548828504694</v>
      </c>
      <c r="BS74" s="262" t="s">
        <v>99</v>
      </c>
      <c r="BT74" s="277"/>
      <c r="BW74" s="266">
        <f t="shared" ref="BW74:BW137" si="69">N74*T74*X74</f>
        <v>16.36849490354205</v>
      </c>
      <c r="BX74" s="266">
        <f t="shared" ref="BX74:BX137" si="70">O74*U74*Y74</f>
        <v>18.187216559491169</v>
      </c>
      <c r="BY74" s="266">
        <f t="shared" ref="BY74:BY137" si="71">P74*V74*Z74</f>
        <v>22.73402069936396</v>
      </c>
      <c r="BZ74" s="266">
        <f t="shared" ref="BZ74:BZ137" si="72">Q74*W74*AA74</f>
        <v>24.552742355313079</v>
      </c>
      <c r="CA74" s="266">
        <f ca="1">N74*IFERROR(INDEX(Algorithms!$G:$G,MATCH($C74&amp;"_Therm Saved per Unit- MLA",Algorithms!$A:$A,0)),0)*X74</f>
        <v>0</v>
      </c>
      <c r="CB74" s="266">
        <f ca="1">O74*IFERROR(INDEX(Algorithms!$G:$G,MATCH($C74&amp;"_Therm Saved per Unit- MLA",Algorithms!$A:$A,0)),0)*Y74</f>
        <v>0</v>
      </c>
      <c r="CC74" s="266">
        <f ca="1">P74*IFERROR(INDEX(Algorithms!$G:$G,MATCH($C74&amp;"_Therm Saved per Unit- MLA",Algorithms!$A:$A,0)),0)*Z74</f>
        <v>0</v>
      </c>
      <c r="CD74" s="266">
        <f ca="1">Q74*IFERROR(INDEX(Algorithms!$G:$G,MATCH($C74&amp;"_Therm Saved per Unit- MLA",Algorithms!$A:$A,0)),0)*AA74</f>
        <v>0</v>
      </c>
      <c r="CE74" s="266">
        <f ca="1">IFERROR(INDEX(Algorithms!$G:$G,MATCH($C74&amp;"_Lifetime (years)",Algorithms!$A:$A,0)),0)</f>
        <v>10</v>
      </c>
      <c r="CF74" s="266">
        <f ca="1">IFERROR(INDEX(Algorithms!$G:$G,MATCH($C74&amp;"_Lifetime (years) - Remaining Years",Algorithms!$A:$A,0)),0)</f>
        <v>0</v>
      </c>
      <c r="CG74" s="266">
        <f t="shared" ref="CG74:CG137" ca="1" si="73">IF($CF74=0,(BW74*$CE74),((BW74*$CF74)+(CA74*($CE74-$CF74))))</f>
        <v>163.68494903542052</v>
      </c>
      <c r="CH74" s="266">
        <f t="shared" ref="CH74:CH137" ca="1" si="74">IF($CF74=0,(BX74*$CE74),((BX74*$CF74)+(CB74*($CE74-$CF74))))</f>
        <v>181.87216559491168</v>
      </c>
      <c r="CI74" s="266">
        <f t="shared" ref="CI74:CI137" ca="1" si="75">IF($CF74=0,(BY74*$CE74),((BY74*$CF74)+(CC74*($CE74-$CF74))))</f>
        <v>227.34020699363958</v>
      </c>
      <c r="CJ74" s="266">
        <f t="shared" ref="CJ74:CJ137" ca="1" si="76">IF($CF74=0,(BZ74*$CE74),((BZ74*$CF74)+(CD74*($CE74-$CF74))))</f>
        <v>245.5274235531308</v>
      </c>
      <c r="CK74" s="266">
        <f t="shared" ref="CK74:CK137" si="77">N74*AQ74*X74</f>
        <v>18.095870207878928</v>
      </c>
      <c r="CL74" s="266">
        <f t="shared" ref="CL74:CL137" si="78">O74*AW74*Y74</f>
        <v>19.683227243657782</v>
      </c>
      <c r="CM74" s="266">
        <f t="shared" ref="CM74:CM137" ca="1" si="79">P74*BD74*Z74</f>
        <v>24.604034054572228</v>
      </c>
      <c r="CN74" s="266">
        <f t="shared" ref="CN74:CN137" ca="1" si="80">Q74*BJ74*AA74</f>
        <v>26.572356778938005</v>
      </c>
      <c r="CO74" s="266">
        <f ca="1">N74*IFERROR(INDEX(Algorithms!$G:$G,MATCH($C74&amp;"_Therm Saved per Unit- MLA",Algorithms!$A:$A,0)),0)*X74</f>
        <v>0</v>
      </c>
      <c r="CP74" s="266">
        <f ca="1">O74*IFERROR(INDEX(Algorithms!$G:$G,MATCH($C74&amp;"_Therm Saved per Unit- MLA",Algorithms!$A:$A,0)),0)*Y74</f>
        <v>0</v>
      </c>
      <c r="CQ74" s="266">
        <f ca="1">P74*IFERROR(INDEX(Algorithms!$G:$G,MATCH($C74&amp;"_Therm Saved per Unit- MLA",Algorithms!$A:$A,0)),0)*Z74</f>
        <v>0</v>
      </c>
      <c r="CR74" s="266">
        <f ca="1">Q74*IFERROR(INDEX(Algorithms!$G:$G,MATCH($C74&amp;"_Therm Saved per Unit- MLA",Algorithms!$A:$A,0)),0)*AA74</f>
        <v>0</v>
      </c>
      <c r="CS74" s="266">
        <f ca="1">IFERROR(INDEX(Algorithms!$G:$G,MATCH($C74&amp;"_Lifetime (years)",Algorithms!$A:$A,0)),0)</f>
        <v>10</v>
      </c>
      <c r="CT74" s="266">
        <f ca="1">IFERROR(INDEX(Algorithms!$G:$G,MATCH($C74&amp;"_Lifetime (years) - Remaining Years",Algorithms!$A:$A,0)),0)</f>
        <v>0</v>
      </c>
      <c r="CU74" s="266">
        <f t="shared" ref="CU74:CU137" ca="1" si="81">IF($CT74=0,(CK74*$CS74),((CK74*$CT74)+(CO74*($CS74-$CT74))))</f>
        <v>180.95870207878929</v>
      </c>
      <c r="CV74" s="266">
        <f t="shared" ref="CV74:CV137" ca="1" si="82">IF($CT74=0,(CL74*$CS74),((CL74*$CT74)+(CP74*($CS74-$CT74))))</f>
        <v>196.83227243657782</v>
      </c>
      <c r="CW74" s="266">
        <f t="shared" ref="CW74:CW137" ca="1" si="83">IF($CT74=0,(CM74*$CS74),((CM74*$CT74)+(CQ74*($CS74-$CT74))))</f>
        <v>246.04034054572227</v>
      </c>
      <c r="CX74" s="266">
        <f t="shared" ref="CX74:CX137" ca="1" si="84">IF($CT74=0,(CN74*$CS74),((CN74*$CT74)+(CR74*($CS74-$CT74))))</f>
        <v>265.72356778938007</v>
      </c>
    </row>
    <row r="75" spans="2:102" s="47" customFormat="1" ht="18" customHeight="1" x14ac:dyDescent="0.25">
      <c r="B75" t="str">
        <f t="shared" ref="B75:B138" si="85">D75&amp;"_"&amp;E75&amp;"_"&amp;F75&amp;"_"&amp;G75&amp;"_"&amp;H75&amp;"_"&amp;I75&amp;"_"&amp;J75</f>
        <v>NSG_Income Eligible_Single Family_IHWAP_Pipe Insulation_DHW_SF</v>
      </c>
      <c r="C75" s="47" t="str">
        <f t="shared" si="46"/>
        <v>Pipe Insulation_DHW_SF</v>
      </c>
      <c r="D75" s="270" t="s">
        <v>1787</v>
      </c>
      <c r="E75" s="270" t="s">
        <v>325</v>
      </c>
      <c r="F75" s="270" t="s">
        <v>375</v>
      </c>
      <c r="G75" s="270" t="s">
        <v>1439</v>
      </c>
      <c r="H75" s="270" t="s">
        <v>404</v>
      </c>
      <c r="I75" s="270" t="s">
        <v>1019</v>
      </c>
      <c r="J75" s="270" t="s">
        <v>409</v>
      </c>
      <c r="K75" s="263">
        <v>1</v>
      </c>
      <c r="L75" s="263" t="str">
        <f ca="1">IFERROR(INDEX(Algorithms!J:J,MATCH($C75&amp;"_Therm Saved per Unit",Algorithms!$A:$A,0)),"n/a")</f>
        <v>5.4.1</v>
      </c>
      <c r="M75" s="263" t="str">
        <f>IFERROR(INDEX('Measure Level Detail'!$N:$N,MATCH($B75,'Measure Level Detail'!$B:$B,0)),0)</f>
        <v>Feet</v>
      </c>
      <c r="N75" s="271">
        <f>IFERROR(INDEX('Measure Level Detail'!$P:$P,MATCH($B75&amp;"_"&amp;N$3,'Measure Level Detail'!$C:$C,0)),0)</f>
        <v>1</v>
      </c>
      <c r="O75" s="271">
        <f>IFERROR(INDEX('Measure Level Detail'!$P:$P,MATCH($B75&amp;"_"&amp;O$3,'Measure Level Detail'!$C:$C,0)),0)</f>
        <v>1</v>
      </c>
      <c r="P75" s="271">
        <f>IFERROR(INDEX('Measure Level Detail'!$P:$P,MATCH($B75&amp;"_"&amp;P$3,'Measure Level Detail'!$C:$C,0)),0)</f>
        <v>1</v>
      </c>
      <c r="Q75" s="271">
        <f>IFERROR(INDEX('Measure Level Detail'!$P:$P,MATCH($B75&amp;"_"&amp;Q$3,'Measure Level Detail'!$C:$C,0)),0)</f>
        <v>1</v>
      </c>
      <c r="R75" s="263" t="str">
        <f ca="1">IFERROR(INDEX(Algorithms!K:K,MATCH($C75&amp;"_Therm Saved per Unit",Algorithms!$A:$A,0)),"n/a")</f>
        <v>RS-HWE-PINS-V07-240101</v>
      </c>
      <c r="S75" s="262"/>
      <c r="T75" s="272">
        <v>0.88266670517205537</v>
      </c>
      <c r="U75" s="272">
        <v>0.88266670517205537</v>
      </c>
      <c r="V75" s="272">
        <v>0.88266670517205537</v>
      </c>
      <c r="W75" s="272">
        <v>0.88266670517205537</v>
      </c>
      <c r="X75" s="273">
        <f>IFERROR(INDEX('Measure Level Detail'!$R:$R,MATCH($B75&amp;"_"&amp;X$3,'Measure Level Detail'!$C:$C,0)),0)</f>
        <v>1</v>
      </c>
      <c r="Y75" s="273">
        <f>IFERROR(INDEX('Measure Level Detail'!$R:$R,MATCH($B75&amp;"_"&amp;Y$3,'Measure Level Detail'!$C:$C,0)),0)</f>
        <v>1</v>
      </c>
      <c r="Z75" s="273">
        <f>IFERROR(INDEX('Measure Level Detail'!$R:$R,MATCH($B75&amp;"_"&amp;Z$3,'Measure Level Detail'!$C:$C,0)),0)</f>
        <v>1</v>
      </c>
      <c r="AA75" s="273">
        <f>IFERROR(INDEX('Measure Level Detail'!$R:$R,MATCH($B75&amp;"_"&amp;AA$3,'Measure Level Detail'!$C:$C,0)),0)</f>
        <v>1</v>
      </c>
      <c r="AB75" s="266">
        <f t="shared" si="47"/>
        <v>0.88266670517205537</v>
      </c>
      <c r="AC75" s="266">
        <f t="shared" si="48"/>
        <v>0.88266670517205537</v>
      </c>
      <c r="AD75" s="266">
        <f t="shared" si="49"/>
        <v>0.88266670517205537</v>
      </c>
      <c r="AE75" s="266">
        <f t="shared" si="50"/>
        <v>0.88266670517205537</v>
      </c>
      <c r="AF75" s="266">
        <f t="shared" si="51"/>
        <v>3.5306668206882215</v>
      </c>
      <c r="AG75" s="274">
        <v>1</v>
      </c>
      <c r="AH75" s="274">
        <v>1</v>
      </c>
      <c r="AI75" s="274">
        <v>1</v>
      </c>
      <c r="AJ75" s="274">
        <v>1</v>
      </c>
      <c r="AK75" s="274">
        <f t="shared" si="52"/>
        <v>1</v>
      </c>
      <c r="AL75" s="274">
        <f t="shared" si="53"/>
        <v>1</v>
      </c>
      <c r="AM75" s="274">
        <f t="shared" si="54"/>
        <v>1</v>
      </c>
      <c r="AN75" s="274">
        <f t="shared" si="55"/>
        <v>1</v>
      </c>
      <c r="AO75" s="262"/>
      <c r="AP75" s="262"/>
      <c r="AQ75" s="267">
        <v>2.4087097696290445</v>
      </c>
      <c r="AR75" s="262"/>
      <c r="AS75" s="266">
        <f t="shared" si="56"/>
        <v>2.4087097696290445</v>
      </c>
      <c r="AT75" s="264">
        <f t="shared" si="57"/>
        <v>1.5260430644569891</v>
      </c>
      <c r="AU75" s="262"/>
      <c r="AV75" s="262"/>
      <c r="AW75" s="265">
        <v>2.4087097696290445</v>
      </c>
      <c r="AX75" s="164" t="s">
        <v>2392</v>
      </c>
      <c r="AY75" s="266">
        <v>2.4087097696290445</v>
      </c>
      <c r="AZ75" s="266">
        <f t="shared" si="58"/>
        <v>2.4087097696290445</v>
      </c>
      <c r="BA75" s="264">
        <f t="shared" si="59"/>
        <v>1.5260430644569891</v>
      </c>
      <c r="BB75" s="262"/>
      <c r="BC75" s="262"/>
      <c r="BD75" s="265">
        <f ca="1">IFERROR(INDEX(Algorithms!$G:$G,MATCH($C75&amp;"_Therm Saved per Unit",Algorithms!$A:$A,0)),0)</f>
        <v>2.4087097696290445</v>
      </c>
      <c r="BE75" s="164">
        <f ca="1">IFERROR(INDEX('v12 Revisions'!$P$29:$P$186, MATCH('Measure-Level Adj Gas'!$L75, 'v12 Revisions'!$D$29:$D$186,0)),"")</f>
        <v>0</v>
      </c>
      <c r="BF75" s="266">
        <f t="shared" ca="1" si="60"/>
        <v>2.4087097696290445</v>
      </c>
      <c r="BG75" s="264">
        <f t="shared" ca="1" si="61"/>
        <v>1.5260430644569891</v>
      </c>
      <c r="BH75" s="262"/>
      <c r="BI75" s="262"/>
      <c r="BJ75" s="265">
        <f ca="1">IFERROR(INDEX(Algorithms!$G:$G,MATCH($C75&amp;"_Therm Saved per Unit",Algorithms!$A:$A,0)),0)</f>
        <v>2.4087097696290445</v>
      </c>
      <c r="BK75" s="164"/>
      <c r="BL75" s="266">
        <f t="shared" ca="1" si="62"/>
        <v>2.4087097696290445</v>
      </c>
      <c r="BM75" s="264">
        <f t="shared" ca="1" si="63"/>
        <v>1.5260430644569891</v>
      </c>
      <c r="BN75" s="266">
        <f t="shared" si="64"/>
        <v>2.4087097696290445</v>
      </c>
      <c r="BO75" s="266">
        <f t="shared" si="65"/>
        <v>2.4087097696290445</v>
      </c>
      <c r="BP75" s="266">
        <f t="shared" ca="1" si="66"/>
        <v>2.4087097696290445</v>
      </c>
      <c r="BQ75" s="266">
        <f t="shared" ca="1" si="67"/>
        <v>2.4087097696290445</v>
      </c>
      <c r="BR75" s="268">
        <f t="shared" ca="1" si="68"/>
        <v>9.6348390785161779</v>
      </c>
      <c r="BS75" s="262" t="s">
        <v>99</v>
      </c>
      <c r="BT75" s="277"/>
      <c r="BW75" s="266">
        <f t="shared" si="69"/>
        <v>0.88266670517205537</v>
      </c>
      <c r="BX75" s="266">
        <f t="shared" si="70"/>
        <v>0.88266670517205537</v>
      </c>
      <c r="BY75" s="266">
        <f t="shared" si="71"/>
        <v>0.88266670517205537</v>
      </c>
      <c r="BZ75" s="266">
        <f t="shared" si="72"/>
        <v>0.88266670517205537</v>
      </c>
      <c r="CA75" s="266">
        <f ca="1">N75*IFERROR(INDEX(Algorithms!$G:$G,MATCH($C75&amp;"_Therm Saved per Unit- MLA",Algorithms!$A:$A,0)),0)*X75</f>
        <v>0</v>
      </c>
      <c r="CB75" s="266">
        <f ca="1">O75*IFERROR(INDEX(Algorithms!$G:$G,MATCH($C75&amp;"_Therm Saved per Unit- MLA",Algorithms!$A:$A,0)),0)*Y75</f>
        <v>0</v>
      </c>
      <c r="CC75" s="266">
        <f ca="1">P75*IFERROR(INDEX(Algorithms!$G:$G,MATCH($C75&amp;"_Therm Saved per Unit- MLA",Algorithms!$A:$A,0)),0)*Z75</f>
        <v>0</v>
      </c>
      <c r="CD75" s="266">
        <f ca="1">Q75*IFERROR(INDEX(Algorithms!$G:$G,MATCH($C75&amp;"_Therm Saved per Unit- MLA",Algorithms!$A:$A,0)),0)*AA75</f>
        <v>0</v>
      </c>
      <c r="CE75" s="266">
        <f ca="1">IFERROR(INDEX(Algorithms!$G:$G,MATCH($C75&amp;"_Lifetime (years)",Algorithms!$A:$A,0)),0)</f>
        <v>15</v>
      </c>
      <c r="CF75" s="266">
        <f ca="1">IFERROR(INDEX(Algorithms!$G:$G,MATCH($C75&amp;"_Lifetime (years) - Remaining Years",Algorithms!$A:$A,0)),0)</f>
        <v>0</v>
      </c>
      <c r="CG75" s="266">
        <f t="shared" ca="1" si="73"/>
        <v>13.24000057758083</v>
      </c>
      <c r="CH75" s="266">
        <f t="shared" ca="1" si="74"/>
        <v>13.24000057758083</v>
      </c>
      <c r="CI75" s="266">
        <f t="shared" ca="1" si="75"/>
        <v>13.24000057758083</v>
      </c>
      <c r="CJ75" s="266">
        <f t="shared" ca="1" si="76"/>
        <v>13.24000057758083</v>
      </c>
      <c r="CK75" s="266">
        <f t="shared" si="77"/>
        <v>2.4087097696290445</v>
      </c>
      <c r="CL75" s="266">
        <f t="shared" si="78"/>
        <v>2.4087097696290445</v>
      </c>
      <c r="CM75" s="266">
        <f t="shared" ca="1" si="79"/>
        <v>2.4087097696290445</v>
      </c>
      <c r="CN75" s="266">
        <f t="shared" ca="1" si="80"/>
        <v>2.4087097696290445</v>
      </c>
      <c r="CO75" s="266">
        <f ca="1">N75*IFERROR(INDEX(Algorithms!$G:$G,MATCH($C75&amp;"_Therm Saved per Unit- MLA",Algorithms!$A:$A,0)),0)*X75</f>
        <v>0</v>
      </c>
      <c r="CP75" s="266">
        <f ca="1">O75*IFERROR(INDEX(Algorithms!$G:$G,MATCH($C75&amp;"_Therm Saved per Unit- MLA",Algorithms!$A:$A,0)),0)*Y75</f>
        <v>0</v>
      </c>
      <c r="CQ75" s="266">
        <f ca="1">P75*IFERROR(INDEX(Algorithms!$G:$G,MATCH($C75&amp;"_Therm Saved per Unit- MLA",Algorithms!$A:$A,0)),0)*Z75</f>
        <v>0</v>
      </c>
      <c r="CR75" s="266">
        <f ca="1">Q75*IFERROR(INDEX(Algorithms!$G:$G,MATCH($C75&amp;"_Therm Saved per Unit- MLA",Algorithms!$A:$A,0)),0)*AA75</f>
        <v>0</v>
      </c>
      <c r="CS75" s="266">
        <f ca="1">IFERROR(INDEX(Algorithms!$G:$G,MATCH($C75&amp;"_Lifetime (years)",Algorithms!$A:$A,0)),0)</f>
        <v>15</v>
      </c>
      <c r="CT75" s="266">
        <f ca="1">IFERROR(INDEX(Algorithms!$G:$G,MATCH($C75&amp;"_Lifetime (years) - Remaining Years",Algorithms!$A:$A,0)),0)</f>
        <v>0</v>
      </c>
      <c r="CU75" s="266">
        <f t="shared" ca="1" si="81"/>
        <v>36.13064654443567</v>
      </c>
      <c r="CV75" s="266">
        <f t="shared" ca="1" si="82"/>
        <v>36.13064654443567</v>
      </c>
      <c r="CW75" s="266">
        <f t="shared" ca="1" si="83"/>
        <v>36.13064654443567</v>
      </c>
      <c r="CX75" s="266">
        <f t="shared" ca="1" si="84"/>
        <v>36.13064654443567</v>
      </c>
    </row>
    <row r="76" spans="2:102" s="47" customFormat="1" ht="18" customHeight="1" x14ac:dyDescent="0.25">
      <c r="B76" t="str">
        <f t="shared" si="85"/>
        <v>NSG_Income Eligible_Multi-Family_Whole Building - DI_Low Flow Bathroom Aerator_0_MF</v>
      </c>
      <c r="C76" s="47" t="str">
        <f t="shared" si="46"/>
        <v>Low Flow Bathroom Aerator_0_MF</v>
      </c>
      <c r="D76" s="270" t="s">
        <v>1787</v>
      </c>
      <c r="E76" s="270" t="s">
        <v>325</v>
      </c>
      <c r="F76" s="270" t="s">
        <v>1422</v>
      </c>
      <c r="G76" s="270" t="s">
        <v>1812</v>
      </c>
      <c r="H76" s="270" t="s">
        <v>555</v>
      </c>
      <c r="I76" s="270">
        <v>0</v>
      </c>
      <c r="J76" s="270" t="s">
        <v>553</v>
      </c>
      <c r="K76" s="263">
        <v>1</v>
      </c>
      <c r="L76" s="263" t="str">
        <f ca="1">IFERROR(INDEX(Algorithms!J:J,MATCH($C76&amp;"_Therm Saved per Unit",Algorithms!$A:$A,0)),"n/a")</f>
        <v>5.4.4</v>
      </c>
      <c r="M76" s="263" t="str">
        <f>IFERROR(INDEX('Measure Level Detail'!$N:$N,MATCH($B76,'Measure Level Detail'!$B:$B,0)),0)</f>
        <v>each</v>
      </c>
      <c r="N76" s="271">
        <f>IFERROR(INDEX('Measure Level Detail'!$P:$P,MATCH($B76&amp;"_"&amp;N$3,'Measure Level Detail'!$C:$C,0)),0)</f>
        <v>5</v>
      </c>
      <c r="O76" s="271">
        <f>IFERROR(INDEX('Measure Level Detail'!$P:$P,MATCH($B76&amp;"_"&amp;O$3,'Measure Level Detail'!$C:$C,0)),0)</f>
        <v>5</v>
      </c>
      <c r="P76" s="271">
        <f>IFERROR(INDEX('Measure Level Detail'!$P:$P,MATCH($B76&amp;"_"&amp;P$3,'Measure Level Detail'!$C:$C,0)),0)</f>
        <v>5</v>
      </c>
      <c r="Q76" s="271">
        <f>IFERROR(INDEX('Measure Level Detail'!$P:$P,MATCH($B76&amp;"_"&amp;Q$3,'Measure Level Detail'!$C:$C,0)),0)</f>
        <v>5</v>
      </c>
      <c r="R76" s="263" t="str">
        <f ca="1">IFERROR(INDEX(Algorithms!K:K,MATCH($C76&amp;"_Therm Saved per Unit",Algorithms!$A:$A,0)),"n/a")</f>
        <v>RS-HWE-LFFA-V13-240101</v>
      </c>
      <c r="S76" s="262"/>
      <c r="T76" s="272">
        <v>1.5695120815920003</v>
      </c>
      <c r="U76" s="272">
        <v>1.5695120815920003</v>
      </c>
      <c r="V76" s="272">
        <v>1.5695120815920003</v>
      </c>
      <c r="W76" s="272">
        <v>1.5695120815920003</v>
      </c>
      <c r="X76" s="273">
        <f>IFERROR(INDEX('Measure Level Detail'!$R:$R,MATCH($B76&amp;"_"&amp;X$3,'Measure Level Detail'!$C:$C,0)),0)</f>
        <v>1</v>
      </c>
      <c r="Y76" s="273">
        <f>IFERROR(INDEX('Measure Level Detail'!$R:$R,MATCH($B76&amp;"_"&amp;Y$3,'Measure Level Detail'!$C:$C,0)),0)</f>
        <v>1</v>
      </c>
      <c r="Z76" s="273">
        <f>IFERROR(INDEX('Measure Level Detail'!$R:$R,MATCH($B76&amp;"_"&amp;Z$3,'Measure Level Detail'!$C:$C,0)),0)</f>
        <v>1</v>
      </c>
      <c r="AA76" s="273">
        <f>IFERROR(INDEX('Measure Level Detail'!$R:$R,MATCH($B76&amp;"_"&amp;AA$3,'Measure Level Detail'!$C:$C,0)),0)</f>
        <v>1</v>
      </c>
      <c r="AB76" s="266">
        <f t="shared" si="47"/>
        <v>7.8475604079600014</v>
      </c>
      <c r="AC76" s="266">
        <f t="shared" si="48"/>
        <v>7.8475604079600014</v>
      </c>
      <c r="AD76" s="266">
        <f t="shared" si="49"/>
        <v>7.8475604079600014</v>
      </c>
      <c r="AE76" s="266">
        <f t="shared" si="50"/>
        <v>7.8475604079600014</v>
      </c>
      <c r="AF76" s="266">
        <f t="shared" si="51"/>
        <v>31.390241631840006</v>
      </c>
      <c r="AG76" s="274">
        <v>1</v>
      </c>
      <c r="AH76" s="274">
        <v>1</v>
      </c>
      <c r="AI76" s="274">
        <v>1</v>
      </c>
      <c r="AJ76" s="274">
        <v>1</v>
      </c>
      <c r="AK76" s="274">
        <f t="shared" si="52"/>
        <v>1</v>
      </c>
      <c r="AL76" s="274">
        <f t="shared" si="53"/>
        <v>1</v>
      </c>
      <c r="AM76" s="274">
        <f t="shared" si="54"/>
        <v>1</v>
      </c>
      <c r="AN76" s="274">
        <f t="shared" si="55"/>
        <v>1</v>
      </c>
      <c r="AO76" s="262"/>
      <c r="AP76" s="262"/>
      <c r="AQ76" s="267">
        <v>1.8113454036983285</v>
      </c>
      <c r="AR76" s="262"/>
      <c r="AS76" s="266">
        <f t="shared" si="56"/>
        <v>9.0567270184916424</v>
      </c>
      <c r="AT76" s="264">
        <f t="shared" si="57"/>
        <v>1.209166610531641</v>
      </c>
      <c r="AU76" s="262"/>
      <c r="AV76" s="262"/>
      <c r="AW76" s="265">
        <v>1.773211816252048</v>
      </c>
      <c r="AX76" s="164" t="s">
        <v>2392</v>
      </c>
      <c r="AY76" s="266">
        <v>9.0567270184916424</v>
      </c>
      <c r="AZ76" s="266">
        <f t="shared" si="58"/>
        <v>8.8660590812602393</v>
      </c>
      <c r="BA76" s="264">
        <f t="shared" si="59"/>
        <v>1.0184986733002379</v>
      </c>
      <c r="BB76" s="262"/>
      <c r="BC76" s="262"/>
      <c r="BD76" s="265">
        <f ca="1">IFERROR(INDEX(Algorithms!$G:$G,MATCH($C76&amp;"_Therm Saved per Unit",Algorithms!$A:$A,0)),0)</f>
        <v>1.773211816252048</v>
      </c>
      <c r="BE76" s="164" t="str">
        <f ca="1">IFERROR(INDEX('v12 Revisions'!$P$29:$P$186, MATCH('Measure-Level Adj Gas'!$L76, 'v12 Revisions'!$D$29:$D$186,0)),"")</f>
        <v>n/a - plan assumes Direct Install, not Distributed School Efficiency Kit.</v>
      </c>
      <c r="BF76" s="266">
        <f t="shared" ca="1" si="60"/>
        <v>8.8660590812602393</v>
      </c>
      <c r="BG76" s="264">
        <f t="shared" ca="1" si="61"/>
        <v>1.0184986733002379</v>
      </c>
      <c r="BH76" s="262"/>
      <c r="BI76" s="262"/>
      <c r="BJ76" s="265">
        <f ca="1">IFERROR(INDEX(Algorithms!$G:$G,MATCH($C76&amp;"_Therm Saved per Unit",Algorithms!$A:$A,0)),0)</f>
        <v>1.773211816252048</v>
      </c>
      <c r="BK76" s="164"/>
      <c r="BL76" s="266">
        <f t="shared" ca="1" si="62"/>
        <v>8.8660590812602393</v>
      </c>
      <c r="BM76" s="264">
        <f t="shared" ca="1" si="63"/>
        <v>1.0184986733002379</v>
      </c>
      <c r="BN76" s="266">
        <f t="shared" si="64"/>
        <v>9.0567270184916424</v>
      </c>
      <c r="BO76" s="266">
        <f t="shared" si="65"/>
        <v>8.8660590812602393</v>
      </c>
      <c r="BP76" s="266">
        <f t="shared" ca="1" si="66"/>
        <v>8.8660590812602393</v>
      </c>
      <c r="BQ76" s="266">
        <f t="shared" ca="1" si="67"/>
        <v>8.8660590812602393</v>
      </c>
      <c r="BR76" s="268">
        <f t="shared" ca="1" si="68"/>
        <v>35.65490426227236</v>
      </c>
      <c r="BS76" s="262" t="s">
        <v>99</v>
      </c>
      <c r="BT76" s="277"/>
      <c r="BW76" s="266">
        <f t="shared" si="69"/>
        <v>7.8475604079600014</v>
      </c>
      <c r="BX76" s="266">
        <f t="shared" si="70"/>
        <v>7.8475604079600014</v>
      </c>
      <c r="BY76" s="266">
        <f t="shared" si="71"/>
        <v>7.8475604079600014</v>
      </c>
      <c r="BZ76" s="266">
        <f t="shared" si="72"/>
        <v>7.8475604079600014</v>
      </c>
      <c r="CA76" s="266">
        <f ca="1">N76*IFERROR(INDEX(Algorithms!$G:$G,MATCH($C76&amp;"_Therm Saved per Unit- MLA",Algorithms!$A:$A,0)),0)*X76</f>
        <v>0</v>
      </c>
      <c r="CB76" s="266">
        <f ca="1">O76*IFERROR(INDEX(Algorithms!$G:$G,MATCH($C76&amp;"_Therm Saved per Unit- MLA",Algorithms!$A:$A,0)),0)*Y76</f>
        <v>0</v>
      </c>
      <c r="CC76" s="266">
        <f ca="1">P76*IFERROR(INDEX(Algorithms!$G:$G,MATCH($C76&amp;"_Therm Saved per Unit- MLA",Algorithms!$A:$A,0)),0)*Z76</f>
        <v>0</v>
      </c>
      <c r="CD76" s="266">
        <f ca="1">Q76*IFERROR(INDEX(Algorithms!$G:$G,MATCH($C76&amp;"_Therm Saved per Unit- MLA",Algorithms!$A:$A,0)),0)*AA76</f>
        <v>0</v>
      </c>
      <c r="CE76" s="266">
        <f ca="1">IFERROR(INDEX(Algorithms!$G:$G,MATCH($C76&amp;"_Lifetime (years)",Algorithms!$A:$A,0)),0)</f>
        <v>10</v>
      </c>
      <c r="CF76" s="266">
        <f ca="1">IFERROR(INDEX(Algorithms!$G:$G,MATCH($C76&amp;"_Lifetime (years) - Remaining Years",Algorithms!$A:$A,0)),0)</f>
        <v>0</v>
      </c>
      <c r="CG76" s="266">
        <f t="shared" ca="1" si="73"/>
        <v>78.475604079600018</v>
      </c>
      <c r="CH76" s="266">
        <f t="shared" ca="1" si="74"/>
        <v>78.475604079600018</v>
      </c>
      <c r="CI76" s="266">
        <f t="shared" ca="1" si="75"/>
        <v>78.475604079600018</v>
      </c>
      <c r="CJ76" s="266">
        <f t="shared" ca="1" si="76"/>
        <v>78.475604079600018</v>
      </c>
      <c r="CK76" s="266">
        <f t="shared" si="77"/>
        <v>9.0567270184916424</v>
      </c>
      <c r="CL76" s="266">
        <f t="shared" si="78"/>
        <v>8.8660590812602393</v>
      </c>
      <c r="CM76" s="266">
        <f t="shared" ca="1" si="79"/>
        <v>8.8660590812602393</v>
      </c>
      <c r="CN76" s="266">
        <f t="shared" ca="1" si="80"/>
        <v>8.8660590812602393</v>
      </c>
      <c r="CO76" s="266">
        <f ca="1">N76*IFERROR(INDEX(Algorithms!$G:$G,MATCH($C76&amp;"_Therm Saved per Unit- MLA",Algorithms!$A:$A,0)),0)*X76</f>
        <v>0</v>
      </c>
      <c r="CP76" s="266">
        <f ca="1">O76*IFERROR(INDEX(Algorithms!$G:$G,MATCH($C76&amp;"_Therm Saved per Unit- MLA",Algorithms!$A:$A,0)),0)*Y76</f>
        <v>0</v>
      </c>
      <c r="CQ76" s="266">
        <f ca="1">P76*IFERROR(INDEX(Algorithms!$G:$G,MATCH($C76&amp;"_Therm Saved per Unit- MLA",Algorithms!$A:$A,0)),0)*Z76</f>
        <v>0</v>
      </c>
      <c r="CR76" s="266">
        <f ca="1">Q76*IFERROR(INDEX(Algorithms!$G:$G,MATCH($C76&amp;"_Therm Saved per Unit- MLA",Algorithms!$A:$A,0)),0)*AA76</f>
        <v>0</v>
      </c>
      <c r="CS76" s="266">
        <f ca="1">IFERROR(INDEX(Algorithms!$G:$G,MATCH($C76&amp;"_Lifetime (years)",Algorithms!$A:$A,0)),0)</f>
        <v>10</v>
      </c>
      <c r="CT76" s="266">
        <f ca="1">IFERROR(INDEX(Algorithms!$G:$G,MATCH($C76&amp;"_Lifetime (years) - Remaining Years",Algorithms!$A:$A,0)),0)</f>
        <v>0</v>
      </c>
      <c r="CU76" s="266">
        <f t="shared" ca="1" si="81"/>
        <v>90.567270184916424</v>
      </c>
      <c r="CV76" s="266">
        <f t="shared" ca="1" si="82"/>
        <v>88.660590812602393</v>
      </c>
      <c r="CW76" s="266">
        <f t="shared" ca="1" si="83"/>
        <v>88.660590812602393</v>
      </c>
      <c r="CX76" s="266">
        <f t="shared" ca="1" si="84"/>
        <v>88.660590812602393</v>
      </c>
    </row>
    <row r="77" spans="2:102" s="47" customFormat="1" ht="18" customHeight="1" x14ac:dyDescent="0.25">
      <c r="B77" t="str">
        <f t="shared" si="85"/>
        <v>NSG_Income Eligible_Multi-Family_Whole Building - Public Housing_Low Flow Bathroom Aerator_0_MF</v>
      </c>
      <c r="C77" s="47" t="str">
        <f t="shared" si="46"/>
        <v>Low Flow Bathroom Aerator_0_MF</v>
      </c>
      <c r="D77" s="270" t="s">
        <v>1787</v>
      </c>
      <c r="E77" s="270" t="s">
        <v>325</v>
      </c>
      <c r="F77" s="270" t="s">
        <v>1422</v>
      </c>
      <c r="G77" s="270" t="s">
        <v>1817</v>
      </c>
      <c r="H77" s="270" t="s">
        <v>555</v>
      </c>
      <c r="I77" s="270">
        <v>0</v>
      </c>
      <c r="J77" s="270" t="s">
        <v>553</v>
      </c>
      <c r="K77" s="263">
        <v>1</v>
      </c>
      <c r="L77" s="263" t="str">
        <f ca="1">IFERROR(INDEX(Algorithms!J:J,MATCH($C77&amp;"_Therm Saved per Unit",Algorithms!$A:$A,0)),"n/a")</f>
        <v>5.4.4</v>
      </c>
      <c r="M77" s="263" t="str">
        <f>IFERROR(INDEX('Measure Level Detail'!$N:$N,MATCH($B77,'Measure Level Detail'!$B:$B,0)),0)</f>
        <v>each</v>
      </c>
      <c r="N77" s="271">
        <f>IFERROR(INDEX('Measure Level Detail'!$P:$P,MATCH($B77&amp;"_"&amp;N$3,'Measure Level Detail'!$C:$C,0)),0)</f>
        <v>5</v>
      </c>
      <c r="O77" s="271">
        <f>IFERROR(INDEX('Measure Level Detail'!$P:$P,MATCH($B77&amp;"_"&amp;O$3,'Measure Level Detail'!$C:$C,0)),0)</f>
        <v>5</v>
      </c>
      <c r="P77" s="271">
        <f>IFERROR(INDEX('Measure Level Detail'!$P:$P,MATCH($B77&amp;"_"&amp;P$3,'Measure Level Detail'!$C:$C,0)),0)</f>
        <v>5</v>
      </c>
      <c r="Q77" s="271">
        <f>IFERROR(INDEX('Measure Level Detail'!$P:$P,MATCH($B77&amp;"_"&amp;Q$3,'Measure Level Detail'!$C:$C,0)),0)</f>
        <v>5</v>
      </c>
      <c r="R77" s="263" t="str">
        <f ca="1">IFERROR(INDEX(Algorithms!K:K,MATCH($C77&amp;"_Therm Saved per Unit",Algorithms!$A:$A,0)),"n/a")</f>
        <v>RS-HWE-LFFA-V13-240101</v>
      </c>
      <c r="S77" s="262"/>
      <c r="T77" s="272">
        <v>1.5695120815920003</v>
      </c>
      <c r="U77" s="272">
        <v>1.5695120815920003</v>
      </c>
      <c r="V77" s="272">
        <v>1.5695120815920003</v>
      </c>
      <c r="W77" s="272">
        <v>1.5695120815920003</v>
      </c>
      <c r="X77" s="273">
        <f>IFERROR(INDEX('Measure Level Detail'!$R:$R,MATCH($B77&amp;"_"&amp;X$3,'Measure Level Detail'!$C:$C,0)),0)</f>
        <v>1</v>
      </c>
      <c r="Y77" s="273">
        <f>IFERROR(INDEX('Measure Level Detail'!$R:$R,MATCH($B77&amp;"_"&amp;Y$3,'Measure Level Detail'!$C:$C,0)),0)</f>
        <v>1</v>
      </c>
      <c r="Z77" s="273">
        <f>IFERROR(INDEX('Measure Level Detail'!$R:$R,MATCH($B77&amp;"_"&amp;Z$3,'Measure Level Detail'!$C:$C,0)),0)</f>
        <v>1</v>
      </c>
      <c r="AA77" s="273">
        <f>IFERROR(INDEX('Measure Level Detail'!$R:$R,MATCH($B77&amp;"_"&amp;AA$3,'Measure Level Detail'!$C:$C,0)),0)</f>
        <v>1</v>
      </c>
      <c r="AB77" s="266">
        <f t="shared" si="47"/>
        <v>7.8475604079600014</v>
      </c>
      <c r="AC77" s="266">
        <f t="shared" si="48"/>
        <v>7.8475604079600014</v>
      </c>
      <c r="AD77" s="266">
        <f t="shared" si="49"/>
        <v>7.8475604079600014</v>
      </c>
      <c r="AE77" s="266">
        <f t="shared" si="50"/>
        <v>7.8475604079600014</v>
      </c>
      <c r="AF77" s="266">
        <f t="shared" si="51"/>
        <v>31.390241631840006</v>
      </c>
      <c r="AG77" s="274">
        <v>1</v>
      </c>
      <c r="AH77" s="274">
        <v>1</v>
      </c>
      <c r="AI77" s="274">
        <v>1</v>
      </c>
      <c r="AJ77" s="274">
        <v>1</v>
      </c>
      <c r="AK77" s="274">
        <f t="shared" si="52"/>
        <v>1</v>
      </c>
      <c r="AL77" s="274">
        <f t="shared" si="53"/>
        <v>1</v>
      </c>
      <c r="AM77" s="274">
        <f t="shared" si="54"/>
        <v>1</v>
      </c>
      <c r="AN77" s="274">
        <f t="shared" si="55"/>
        <v>1</v>
      </c>
      <c r="AO77" s="262"/>
      <c r="AP77" s="262"/>
      <c r="AQ77" s="267">
        <v>1.8113454036983285</v>
      </c>
      <c r="AR77" s="262"/>
      <c r="AS77" s="266">
        <f t="shared" si="56"/>
        <v>9.0567270184916424</v>
      </c>
      <c r="AT77" s="264">
        <f t="shared" si="57"/>
        <v>1.209166610531641</v>
      </c>
      <c r="AU77" s="262"/>
      <c r="AV77" s="262"/>
      <c r="AW77" s="265">
        <v>1.773211816252048</v>
      </c>
      <c r="AX77" s="164" t="s">
        <v>2392</v>
      </c>
      <c r="AY77" s="266">
        <v>9.0567270184916424</v>
      </c>
      <c r="AZ77" s="266">
        <f t="shared" si="58"/>
        <v>8.8660590812602393</v>
      </c>
      <c r="BA77" s="264">
        <f t="shared" si="59"/>
        <v>1.0184986733002379</v>
      </c>
      <c r="BB77" s="262"/>
      <c r="BC77" s="262"/>
      <c r="BD77" s="265">
        <f ca="1">IFERROR(INDEX(Algorithms!$G:$G,MATCH($C77&amp;"_Therm Saved per Unit",Algorithms!$A:$A,0)),0)</f>
        <v>1.773211816252048</v>
      </c>
      <c r="BE77" s="164" t="str">
        <f ca="1">IFERROR(INDEX('v12 Revisions'!$P$29:$P$186, MATCH('Measure-Level Adj Gas'!$L77, 'v12 Revisions'!$D$29:$D$186,0)),"")</f>
        <v>n/a - plan assumes Direct Install, not Distributed School Efficiency Kit.</v>
      </c>
      <c r="BF77" s="266">
        <f t="shared" ca="1" si="60"/>
        <v>8.8660590812602393</v>
      </c>
      <c r="BG77" s="264">
        <f t="shared" ca="1" si="61"/>
        <v>1.0184986733002379</v>
      </c>
      <c r="BH77" s="262"/>
      <c r="BI77" s="262"/>
      <c r="BJ77" s="265">
        <f ca="1">IFERROR(INDEX(Algorithms!$G:$G,MATCH($C77&amp;"_Therm Saved per Unit",Algorithms!$A:$A,0)),0)</f>
        <v>1.773211816252048</v>
      </c>
      <c r="BK77" s="164"/>
      <c r="BL77" s="266">
        <f t="shared" ca="1" si="62"/>
        <v>8.8660590812602393</v>
      </c>
      <c r="BM77" s="264">
        <f t="shared" ca="1" si="63"/>
        <v>1.0184986733002379</v>
      </c>
      <c r="BN77" s="266">
        <f t="shared" si="64"/>
        <v>9.0567270184916424</v>
      </c>
      <c r="BO77" s="266">
        <f t="shared" si="65"/>
        <v>8.8660590812602393</v>
      </c>
      <c r="BP77" s="266">
        <f t="shared" ca="1" si="66"/>
        <v>8.8660590812602393</v>
      </c>
      <c r="BQ77" s="266">
        <f t="shared" ca="1" si="67"/>
        <v>8.8660590812602393</v>
      </c>
      <c r="BR77" s="268">
        <f t="shared" ca="1" si="68"/>
        <v>35.65490426227236</v>
      </c>
      <c r="BS77" s="262" t="s">
        <v>99</v>
      </c>
      <c r="BT77" s="277"/>
      <c r="BW77" s="266">
        <f t="shared" si="69"/>
        <v>7.8475604079600014</v>
      </c>
      <c r="BX77" s="266">
        <f t="shared" si="70"/>
        <v>7.8475604079600014</v>
      </c>
      <c r="BY77" s="266">
        <f t="shared" si="71"/>
        <v>7.8475604079600014</v>
      </c>
      <c r="BZ77" s="266">
        <f t="shared" si="72"/>
        <v>7.8475604079600014</v>
      </c>
      <c r="CA77" s="266">
        <f ca="1">N77*IFERROR(INDEX(Algorithms!$G:$G,MATCH($C77&amp;"_Therm Saved per Unit- MLA",Algorithms!$A:$A,0)),0)*X77</f>
        <v>0</v>
      </c>
      <c r="CB77" s="266">
        <f ca="1">O77*IFERROR(INDEX(Algorithms!$G:$G,MATCH($C77&amp;"_Therm Saved per Unit- MLA",Algorithms!$A:$A,0)),0)*Y77</f>
        <v>0</v>
      </c>
      <c r="CC77" s="266">
        <f ca="1">P77*IFERROR(INDEX(Algorithms!$G:$G,MATCH($C77&amp;"_Therm Saved per Unit- MLA",Algorithms!$A:$A,0)),0)*Z77</f>
        <v>0</v>
      </c>
      <c r="CD77" s="266">
        <f ca="1">Q77*IFERROR(INDEX(Algorithms!$G:$G,MATCH($C77&amp;"_Therm Saved per Unit- MLA",Algorithms!$A:$A,0)),0)*AA77</f>
        <v>0</v>
      </c>
      <c r="CE77" s="266">
        <f ca="1">IFERROR(INDEX(Algorithms!$G:$G,MATCH($C77&amp;"_Lifetime (years)",Algorithms!$A:$A,0)),0)</f>
        <v>10</v>
      </c>
      <c r="CF77" s="266">
        <f ca="1">IFERROR(INDEX(Algorithms!$G:$G,MATCH($C77&amp;"_Lifetime (years) - Remaining Years",Algorithms!$A:$A,0)),0)</f>
        <v>0</v>
      </c>
      <c r="CG77" s="266">
        <f t="shared" ca="1" si="73"/>
        <v>78.475604079600018</v>
      </c>
      <c r="CH77" s="266">
        <f t="shared" ca="1" si="74"/>
        <v>78.475604079600018</v>
      </c>
      <c r="CI77" s="266">
        <f t="shared" ca="1" si="75"/>
        <v>78.475604079600018</v>
      </c>
      <c r="CJ77" s="266">
        <f t="shared" ca="1" si="76"/>
        <v>78.475604079600018</v>
      </c>
      <c r="CK77" s="266">
        <f t="shared" si="77"/>
        <v>9.0567270184916424</v>
      </c>
      <c r="CL77" s="266">
        <f t="shared" si="78"/>
        <v>8.8660590812602393</v>
      </c>
      <c r="CM77" s="266">
        <f t="shared" ca="1" si="79"/>
        <v>8.8660590812602393</v>
      </c>
      <c r="CN77" s="266">
        <f t="shared" ca="1" si="80"/>
        <v>8.8660590812602393</v>
      </c>
      <c r="CO77" s="266">
        <f ca="1">N77*IFERROR(INDEX(Algorithms!$G:$G,MATCH($C77&amp;"_Therm Saved per Unit- MLA",Algorithms!$A:$A,0)),0)*X77</f>
        <v>0</v>
      </c>
      <c r="CP77" s="266">
        <f ca="1">O77*IFERROR(INDEX(Algorithms!$G:$G,MATCH($C77&amp;"_Therm Saved per Unit- MLA",Algorithms!$A:$A,0)),0)*Y77</f>
        <v>0</v>
      </c>
      <c r="CQ77" s="266">
        <f ca="1">P77*IFERROR(INDEX(Algorithms!$G:$G,MATCH($C77&amp;"_Therm Saved per Unit- MLA",Algorithms!$A:$A,0)),0)*Z77</f>
        <v>0</v>
      </c>
      <c r="CR77" s="266">
        <f ca="1">Q77*IFERROR(INDEX(Algorithms!$G:$G,MATCH($C77&amp;"_Therm Saved per Unit- MLA",Algorithms!$A:$A,0)),0)*AA77</f>
        <v>0</v>
      </c>
      <c r="CS77" s="266">
        <f ca="1">IFERROR(INDEX(Algorithms!$G:$G,MATCH($C77&amp;"_Lifetime (years)",Algorithms!$A:$A,0)),0)</f>
        <v>10</v>
      </c>
      <c r="CT77" s="266">
        <f ca="1">IFERROR(INDEX(Algorithms!$G:$G,MATCH($C77&amp;"_Lifetime (years) - Remaining Years",Algorithms!$A:$A,0)),0)</f>
        <v>0</v>
      </c>
      <c r="CU77" s="266">
        <f t="shared" ca="1" si="81"/>
        <v>90.567270184916424</v>
      </c>
      <c r="CV77" s="266">
        <f t="shared" ca="1" si="82"/>
        <v>88.660590812602393</v>
      </c>
      <c r="CW77" s="266">
        <f t="shared" ca="1" si="83"/>
        <v>88.660590812602393</v>
      </c>
      <c r="CX77" s="266">
        <f t="shared" ca="1" si="84"/>
        <v>88.660590812602393</v>
      </c>
    </row>
    <row r="78" spans="2:102" s="47" customFormat="1" ht="18" customHeight="1" x14ac:dyDescent="0.25">
      <c r="B78" t="str">
        <f t="shared" si="85"/>
        <v>NSG_Income Eligible_Home Energy Jumpstart_Core_Pipe Insulation_Boiler_SF</v>
      </c>
      <c r="C78" s="47" t="str">
        <f t="shared" si="46"/>
        <v>Pipe Insulation_Boiler_SF</v>
      </c>
      <c r="D78" s="270" t="s">
        <v>1787</v>
      </c>
      <c r="E78" s="270" t="s">
        <v>325</v>
      </c>
      <c r="F78" s="270" t="s">
        <v>1414</v>
      </c>
      <c r="G78" s="270" t="s">
        <v>1415</v>
      </c>
      <c r="H78" s="270" t="s">
        <v>404</v>
      </c>
      <c r="I78" s="270" t="s">
        <v>944</v>
      </c>
      <c r="J78" s="270" t="s">
        <v>409</v>
      </c>
      <c r="K78" s="263">
        <v>1</v>
      </c>
      <c r="L78" s="263" t="str">
        <f ca="1">IFERROR(INDEX(Algorithms!J:J,MATCH($C78&amp;"_Therm Saved per Unit",Algorithms!$A:$A,0)),"n/a")</f>
        <v>5.3.2</v>
      </c>
      <c r="M78" s="263" t="str">
        <f>IFERROR(INDEX('Measure Level Detail'!$N:$N,MATCH($B78,'Measure Level Detail'!$B:$B,0)),0)</f>
        <v>Feet</v>
      </c>
      <c r="N78" s="271">
        <f>IFERROR(INDEX('Measure Level Detail'!$P:$P,MATCH($B78&amp;"_"&amp;N$3,'Measure Level Detail'!$C:$C,0)),0)</f>
        <v>3</v>
      </c>
      <c r="O78" s="271">
        <f>IFERROR(INDEX('Measure Level Detail'!$P:$P,MATCH($B78&amp;"_"&amp;O$3,'Measure Level Detail'!$C:$C,0)),0)</f>
        <v>6</v>
      </c>
      <c r="P78" s="271">
        <f>IFERROR(INDEX('Measure Level Detail'!$P:$P,MATCH($B78&amp;"_"&amp;P$3,'Measure Level Detail'!$C:$C,0)),0)</f>
        <v>12</v>
      </c>
      <c r="Q78" s="271">
        <f>IFERROR(INDEX('Measure Level Detail'!$P:$P,MATCH($B78&amp;"_"&amp;Q$3,'Measure Level Detail'!$C:$C,0)),0)</f>
        <v>15</v>
      </c>
      <c r="R78" s="263" t="str">
        <f ca="1">IFERROR(INDEX(Algorithms!K:K,MATCH($C78&amp;"_Therm Saved per Unit",Algorithms!$A:$A,0)),"n/a")</f>
        <v>RS-HVC-PINS-V07-240101</v>
      </c>
      <c r="S78" s="262"/>
      <c r="T78" s="272">
        <v>0.63522312995661756</v>
      </c>
      <c r="U78" s="272">
        <v>0.63522312995661756</v>
      </c>
      <c r="V78" s="272">
        <v>0.63522312995661756</v>
      </c>
      <c r="W78" s="272">
        <v>0.63522312995661756</v>
      </c>
      <c r="X78" s="273">
        <f>IFERROR(INDEX('Measure Level Detail'!$R:$R,MATCH($B78&amp;"_"&amp;X$3,'Measure Level Detail'!$C:$C,0)),0)</f>
        <v>1</v>
      </c>
      <c r="Y78" s="273">
        <f>IFERROR(INDEX('Measure Level Detail'!$R:$R,MATCH($B78&amp;"_"&amp;Y$3,'Measure Level Detail'!$C:$C,0)),0)</f>
        <v>1</v>
      </c>
      <c r="Z78" s="273">
        <f>IFERROR(INDEX('Measure Level Detail'!$R:$R,MATCH($B78&amp;"_"&amp;Z$3,'Measure Level Detail'!$C:$C,0)),0)</f>
        <v>1</v>
      </c>
      <c r="AA78" s="273">
        <f>IFERROR(INDEX('Measure Level Detail'!$R:$R,MATCH($B78&amp;"_"&amp;AA$3,'Measure Level Detail'!$C:$C,0)),0)</f>
        <v>1</v>
      </c>
      <c r="AB78" s="266">
        <f t="shared" si="47"/>
        <v>1.9056693898698527</v>
      </c>
      <c r="AC78" s="266">
        <f t="shared" si="48"/>
        <v>3.8113387797397054</v>
      </c>
      <c r="AD78" s="266">
        <f t="shared" si="49"/>
        <v>7.6226775594794107</v>
      </c>
      <c r="AE78" s="266">
        <f t="shared" si="50"/>
        <v>9.5283469493492632</v>
      </c>
      <c r="AF78" s="266">
        <f t="shared" si="51"/>
        <v>22.868032678438233</v>
      </c>
      <c r="AG78" s="274">
        <v>1</v>
      </c>
      <c r="AH78" s="274">
        <v>1</v>
      </c>
      <c r="AI78" s="274">
        <v>1</v>
      </c>
      <c r="AJ78" s="274">
        <v>1</v>
      </c>
      <c r="AK78" s="274">
        <f t="shared" si="52"/>
        <v>1</v>
      </c>
      <c r="AL78" s="274">
        <f t="shared" si="53"/>
        <v>1</v>
      </c>
      <c r="AM78" s="274">
        <f t="shared" si="54"/>
        <v>1</v>
      </c>
      <c r="AN78" s="274">
        <f t="shared" si="55"/>
        <v>1</v>
      </c>
      <c r="AO78" s="262"/>
      <c r="AP78" s="262"/>
      <c r="AQ78" s="267">
        <v>1.0111854839419214</v>
      </c>
      <c r="AR78" s="262"/>
      <c r="AS78" s="266">
        <f t="shared" si="56"/>
        <v>3.0335564518257643</v>
      </c>
      <c r="AT78" s="264">
        <f t="shared" si="57"/>
        <v>1.1278870619559116</v>
      </c>
      <c r="AU78" s="262"/>
      <c r="AV78" s="262"/>
      <c r="AW78" s="265">
        <v>1.0111854839419214</v>
      </c>
      <c r="AX78" s="164" t="s">
        <v>1469</v>
      </c>
      <c r="AY78" s="266">
        <v>6.0671129036515286</v>
      </c>
      <c r="AZ78" s="266">
        <f t="shared" si="58"/>
        <v>6.0671129036515286</v>
      </c>
      <c r="BA78" s="264">
        <f t="shared" si="59"/>
        <v>2.2557741239118232</v>
      </c>
      <c r="BB78" s="262"/>
      <c r="BC78" s="262"/>
      <c r="BD78" s="265">
        <f ca="1">IFERROR(INDEX(Algorithms!$G:$G,MATCH($C78&amp;"_Therm Saved per Unit",Algorithms!$A:$A,0)),0)</f>
        <v>0.94853594852378065</v>
      </c>
      <c r="BE78" s="164" t="str">
        <f ca="1">IFERROR(INDEX('v12 Revisions'!$P$29:$P$186, MATCH('Measure-Level Adj Gas'!$L78, 'v12 Revisions'!$D$29:$D$186,0)),"")</f>
        <v>Updated full load hours of heating from 1840 to 1726.</v>
      </c>
      <c r="BF78" s="266">
        <f t="shared" ca="1" si="60"/>
        <v>11.382431382285368</v>
      </c>
      <c r="BG78" s="264">
        <f t="shared" ca="1" si="61"/>
        <v>3.7597538228059575</v>
      </c>
      <c r="BH78" s="262"/>
      <c r="BI78" s="262"/>
      <c r="BJ78" s="265">
        <f ca="1">IFERROR(INDEX(Algorithms!$G:$G,MATCH($C78&amp;"_Therm Saved per Unit",Algorithms!$A:$A,0)),0)</f>
        <v>0.94853594852378065</v>
      </c>
      <c r="BK78" s="164"/>
      <c r="BL78" s="266">
        <f t="shared" ca="1" si="62"/>
        <v>14.22803922785671</v>
      </c>
      <c r="BM78" s="264">
        <f t="shared" ca="1" si="63"/>
        <v>4.6996922785074471</v>
      </c>
      <c r="BN78" s="266">
        <f t="shared" si="64"/>
        <v>3.0335564518257643</v>
      </c>
      <c r="BO78" s="266">
        <f t="shared" si="65"/>
        <v>6.0671129036515286</v>
      </c>
      <c r="BP78" s="266">
        <f t="shared" ca="1" si="66"/>
        <v>11.382431382285368</v>
      </c>
      <c r="BQ78" s="266">
        <f t="shared" ca="1" si="67"/>
        <v>14.22803922785671</v>
      </c>
      <c r="BR78" s="268">
        <f t="shared" ca="1" si="68"/>
        <v>34.711139965619374</v>
      </c>
      <c r="BS78" s="262" t="s">
        <v>99</v>
      </c>
      <c r="BT78" s="277"/>
      <c r="BW78" s="266">
        <f t="shared" si="69"/>
        <v>1.9056693898698527</v>
      </c>
      <c r="BX78" s="266">
        <f t="shared" si="70"/>
        <v>3.8113387797397054</v>
      </c>
      <c r="BY78" s="266">
        <f t="shared" si="71"/>
        <v>7.6226775594794107</v>
      </c>
      <c r="BZ78" s="266">
        <f t="shared" si="72"/>
        <v>9.5283469493492632</v>
      </c>
      <c r="CA78" s="266">
        <f ca="1">N78*IFERROR(INDEX(Algorithms!$G:$G,MATCH($C78&amp;"_Therm Saved per Unit- MLA",Algorithms!$A:$A,0)),0)*X78</f>
        <v>2.7744676494320584</v>
      </c>
      <c r="CB78" s="266">
        <f ca="1">O78*IFERROR(INDEX(Algorithms!$G:$G,MATCH($C78&amp;"_Therm Saved per Unit- MLA",Algorithms!$A:$A,0)),0)*Y78</f>
        <v>5.5489352988641167</v>
      </c>
      <c r="CC78" s="266">
        <f ca="1">P78*IFERROR(INDEX(Algorithms!$G:$G,MATCH($C78&amp;"_Therm Saved per Unit- MLA",Algorithms!$A:$A,0)),0)*Z78</f>
        <v>11.097870597728233</v>
      </c>
      <c r="CD78" s="266">
        <f ca="1">Q78*IFERROR(INDEX(Algorithms!$G:$G,MATCH($C78&amp;"_Therm Saved per Unit- MLA",Algorithms!$A:$A,0)),0)*AA78</f>
        <v>13.872338247160291</v>
      </c>
      <c r="CE78" s="266">
        <f ca="1">IFERROR(INDEX(Algorithms!$G:$G,MATCH($C78&amp;"_Lifetime (years)",Algorithms!$A:$A,0)),0)</f>
        <v>15</v>
      </c>
      <c r="CF78" s="266">
        <f ca="1">IFERROR(INDEX(Algorithms!$G:$G,MATCH($C78&amp;"_Lifetime (years) - Remaining Years",Algorithms!$A:$A,0)),0)</f>
        <v>13</v>
      </c>
      <c r="CG78" s="266">
        <f t="shared" ca="1" si="73"/>
        <v>30.322637367172202</v>
      </c>
      <c r="CH78" s="266">
        <f t="shared" ca="1" si="74"/>
        <v>60.645274734344405</v>
      </c>
      <c r="CI78" s="266">
        <f t="shared" ca="1" si="75"/>
        <v>121.29054946868881</v>
      </c>
      <c r="CJ78" s="266">
        <f t="shared" ca="1" si="76"/>
        <v>151.613186835861</v>
      </c>
      <c r="CK78" s="266">
        <f t="shared" si="77"/>
        <v>3.0335564518257643</v>
      </c>
      <c r="CL78" s="266">
        <f t="shared" si="78"/>
        <v>6.0671129036515286</v>
      </c>
      <c r="CM78" s="266">
        <f t="shared" ca="1" si="79"/>
        <v>11.382431382285368</v>
      </c>
      <c r="CN78" s="266">
        <f t="shared" ca="1" si="80"/>
        <v>14.22803922785671</v>
      </c>
      <c r="CO78" s="266">
        <f ca="1">N78*IFERROR(INDEX(Algorithms!$G:$G,MATCH($C78&amp;"_Therm Saved per Unit- MLA",Algorithms!$A:$A,0)),0)*X78</f>
        <v>2.7744676494320584</v>
      </c>
      <c r="CP78" s="266">
        <f ca="1">O78*IFERROR(INDEX(Algorithms!$G:$G,MATCH($C78&amp;"_Therm Saved per Unit- MLA",Algorithms!$A:$A,0)),0)*Y78</f>
        <v>5.5489352988641167</v>
      </c>
      <c r="CQ78" s="266">
        <f ca="1">P78*IFERROR(INDEX(Algorithms!$G:$G,MATCH($C78&amp;"_Therm Saved per Unit- MLA",Algorithms!$A:$A,0)),0)*Z78</f>
        <v>11.097870597728233</v>
      </c>
      <c r="CR78" s="266">
        <f ca="1">Q78*IFERROR(INDEX(Algorithms!$G:$G,MATCH($C78&amp;"_Therm Saved per Unit- MLA",Algorithms!$A:$A,0)),0)*AA78</f>
        <v>13.872338247160291</v>
      </c>
      <c r="CS78" s="266">
        <f ca="1">IFERROR(INDEX(Algorithms!$G:$G,MATCH($C78&amp;"_Lifetime (years)",Algorithms!$A:$A,0)),0)</f>
        <v>15</v>
      </c>
      <c r="CT78" s="266">
        <f ca="1">IFERROR(INDEX(Algorithms!$G:$G,MATCH($C78&amp;"_Lifetime (years) - Remaining Years",Algorithms!$A:$A,0)),0)</f>
        <v>13</v>
      </c>
      <c r="CU78" s="266">
        <f t="shared" ca="1" si="81"/>
        <v>44.985169172599051</v>
      </c>
      <c r="CV78" s="266">
        <f t="shared" ca="1" si="82"/>
        <v>89.970338345198101</v>
      </c>
      <c r="CW78" s="266">
        <f t="shared" ca="1" si="83"/>
        <v>170.16734916516626</v>
      </c>
      <c r="CX78" s="266">
        <f t="shared" ca="1" si="84"/>
        <v>212.70918645645781</v>
      </c>
    </row>
    <row r="79" spans="2:102" s="47" customFormat="1" ht="18" customHeight="1" x14ac:dyDescent="0.25">
      <c r="B79" t="str">
        <f t="shared" si="85"/>
        <v>NSG_Residential_Home Energy Rebate_Standard Rebate_Indirect Water Heater_≥88% AFUE_SF</v>
      </c>
      <c r="C79" s="47" t="str">
        <f t="shared" si="46"/>
        <v>Indirect Water Heater_≥88% AFUE_SF</v>
      </c>
      <c r="D79" s="270" t="s">
        <v>1787</v>
      </c>
      <c r="E79" s="270" t="s">
        <v>2</v>
      </c>
      <c r="F79" s="270" t="s">
        <v>1417</v>
      </c>
      <c r="G79" s="270" t="s">
        <v>1418</v>
      </c>
      <c r="H79" s="270" t="s">
        <v>1362</v>
      </c>
      <c r="I79" s="270" t="s">
        <v>1363</v>
      </c>
      <c r="J79" s="270" t="s">
        <v>409</v>
      </c>
      <c r="K79" s="263">
        <v>1</v>
      </c>
      <c r="L79" s="263" t="str">
        <f ca="1">IFERROR(INDEX(Algorithms!J:J,MATCH($C79&amp;"_Therm Saved per Unit",Algorithms!$A:$A,0)),"n/a")</f>
        <v>5.4.2</v>
      </c>
      <c r="M79" s="263" t="str">
        <f>IFERROR(INDEX('Measure Level Detail'!$N:$N,MATCH($B79,'Measure Level Detail'!$B:$B,0)),0)</f>
        <v>each</v>
      </c>
      <c r="N79" s="271">
        <f>IFERROR(INDEX('Measure Level Detail'!$P:$P,MATCH($B79&amp;"_"&amp;N$3,'Measure Level Detail'!$C:$C,0)),0)</f>
        <v>1</v>
      </c>
      <c r="O79" s="271">
        <f>IFERROR(INDEX('Measure Level Detail'!$P:$P,MATCH($B79&amp;"_"&amp;O$3,'Measure Level Detail'!$C:$C,0)),0)</f>
        <v>1</v>
      </c>
      <c r="P79" s="271">
        <f>IFERROR(INDEX('Measure Level Detail'!$P:$P,MATCH($B79&amp;"_"&amp;P$3,'Measure Level Detail'!$C:$C,0)),0)</f>
        <v>1</v>
      </c>
      <c r="Q79" s="271">
        <f>IFERROR(INDEX('Measure Level Detail'!$P:$P,MATCH($B79&amp;"_"&amp;Q$3,'Measure Level Detail'!$C:$C,0)),0)</f>
        <v>1</v>
      </c>
      <c r="R79" s="263" t="str">
        <f ca="1">IFERROR(INDEX(Algorithms!K:K,MATCH($C79&amp;"_Therm Saved per Unit",Algorithms!$A:$A,0)),"n/a")</f>
        <v>RS-HWE-GWHT-V11-240101</v>
      </c>
      <c r="S79" s="262"/>
      <c r="T79" s="272">
        <v>20.799292584298428</v>
      </c>
      <c r="U79" s="272">
        <v>20.799292584298428</v>
      </c>
      <c r="V79" s="272">
        <v>20.799292584298428</v>
      </c>
      <c r="W79" s="272">
        <v>20.799292584298428</v>
      </c>
      <c r="X79" s="275">
        <v>0.74</v>
      </c>
      <c r="Y79" s="275">
        <v>0.74</v>
      </c>
      <c r="Z79" s="275">
        <v>0.74</v>
      </c>
      <c r="AA79" s="275">
        <v>0.74</v>
      </c>
      <c r="AB79" s="266">
        <f t="shared" si="47"/>
        <v>15.391476512380835</v>
      </c>
      <c r="AC79" s="266">
        <f t="shared" si="48"/>
        <v>15.391476512380835</v>
      </c>
      <c r="AD79" s="266">
        <f t="shared" si="49"/>
        <v>15.391476512380835</v>
      </c>
      <c r="AE79" s="266">
        <f t="shared" si="50"/>
        <v>15.391476512380835</v>
      </c>
      <c r="AF79" s="266">
        <f t="shared" si="51"/>
        <v>61.565906049523342</v>
      </c>
      <c r="AG79" s="274">
        <v>0.74</v>
      </c>
      <c r="AH79" s="274">
        <v>0.74</v>
      </c>
      <c r="AI79" s="274">
        <v>0.74</v>
      </c>
      <c r="AJ79" s="274">
        <v>0.74</v>
      </c>
      <c r="AK79" s="274">
        <f t="shared" si="52"/>
        <v>0.74</v>
      </c>
      <c r="AL79" s="274">
        <f t="shared" si="53"/>
        <v>0.74</v>
      </c>
      <c r="AM79" s="274">
        <f t="shared" si="54"/>
        <v>0.74</v>
      </c>
      <c r="AN79" s="274">
        <f t="shared" si="55"/>
        <v>0.74</v>
      </c>
      <c r="AO79" s="262"/>
      <c r="AP79" s="262"/>
      <c r="AQ79" s="267">
        <v>21.766020267793987</v>
      </c>
      <c r="AR79" s="262"/>
      <c r="AS79" s="266">
        <f t="shared" si="56"/>
        <v>16.106854998167549</v>
      </c>
      <c r="AT79" s="264">
        <f t="shared" si="57"/>
        <v>0.71537848578671337</v>
      </c>
      <c r="AU79" s="262"/>
      <c r="AV79" s="262"/>
      <c r="AW79" s="265">
        <v>21.766020267793987</v>
      </c>
      <c r="AX79" s="164" t="s">
        <v>1469</v>
      </c>
      <c r="AY79" s="266">
        <v>16.106854998167549</v>
      </c>
      <c r="AZ79" s="266">
        <f t="shared" si="58"/>
        <v>16.106854998167549</v>
      </c>
      <c r="BA79" s="264">
        <f t="shared" si="59"/>
        <v>0.71537848578671337</v>
      </c>
      <c r="BB79" s="262"/>
      <c r="BC79" s="262"/>
      <c r="BD79" s="265">
        <f ca="1">IFERROR(INDEX(Algorithms!$G:$G,MATCH($C79&amp;"_Therm Saved per Unit",Algorithms!$A:$A,0)),0)</f>
        <v>55.16710732616437</v>
      </c>
      <c r="BE79" s="164" t="str">
        <f ca="1">IFERROR(INDEX('v12 Revisions'!$P$29:$P$186, MATCH('Measure-Level Adj Gas'!$L79, 'v12 Revisions'!$D$29:$D$186,0)),"")</f>
        <v>Baseline and efficient water heater criteria updated ; Updated measure life to 13.3 years for gas storage water heaters and 18.3 for gas instantaneous water heaters ; Updated incremental cost based on water heater type.</v>
      </c>
      <c r="BF79" s="266">
        <f t="shared" ca="1" si="60"/>
        <v>40.823659421361633</v>
      </c>
      <c r="BG79" s="264">
        <f t="shared" ca="1" si="61"/>
        <v>25.432182908980799</v>
      </c>
      <c r="BH79" s="262"/>
      <c r="BI79" s="262"/>
      <c r="BJ79" s="265">
        <f ca="1">IFERROR(INDEX(Algorithms!$G:$G,MATCH($C79&amp;"_Therm Saved per Unit",Algorithms!$A:$A,0)),0)</f>
        <v>55.16710732616437</v>
      </c>
      <c r="BK79" s="164"/>
      <c r="BL79" s="266">
        <f t="shared" ca="1" si="62"/>
        <v>40.823659421361633</v>
      </c>
      <c r="BM79" s="264">
        <f t="shared" ca="1" si="63"/>
        <v>25.432182908980799</v>
      </c>
      <c r="BN79" s="266">
        <f t="shared" si="64"/>
        <v>16.106854998167549</v>
      </c>
      <c r="BO79" s="266">
        <f t="shared" si="65"/>
        <v>16.106854998167549</v>
      </c>
      <c r="BP79" s="266">
        <f t="shared" ca="1" si="66"/>
        <v>40.823659421361633</v>
      </c>
      <c r="BQ79" s="266">
        <f t="shared" ca="1" si="67"/>
        <v>40.823659421361633</v>
      </c>
      <c r="BR79" s="268">
        <f t="shared" ca="1" si="68"/>
        <v>113.86102883905838</v>
      </c>
      <c r="BS79" s="262" t="s">
        <v>99</v>
      </c>
      <c r="BT79" s="277"/>
      <c r="BW79" s="266">
        <f t="shared" si="69"/>
        <v>15.391476512380835</v>
      </c>
      <c r="BX79" s="266">
        <f t="shared" si="70"/>
        <v>15.391476512380835</v>
      </c>
      <c r="BY79" s="266">
        <f t="shared" si="71"/>
        <v>15.391476512380835</v>
      </c>
      <c r="BZ79" s="266">
        <f t="shared" si="72"/>
        <v>15.391476512380835</v>
      </c>
      <c r="CA79" s="266">
        <f ca="1">N79*IFERROR(INDEX(Algorithms!$G:$G,MATCH($C79&amp;"_Therm Saved per Unit- MLA",Algorithms!$A:$A,0)),0)*X79</f>
        <v>0</v>
      </c>
      <c r="CB79" s="266">
        <f ca="1">O79*IFERROR(INDEX(Algorithms!$G:$G,MATCH($C79&amp;"_Therm Saved per Unit- MLA",Algorithms!$A:$A,0)),0)*Y79</f>
        <v>0</v>
      </c>
      <c r="CC79" s="266">
        <f ca="1">P79*IFERROR(INDEX(Algorithms!$G:$G,MATCH($C79&amp;"_Therm Saved per Unit- MLA",Algorithms!$A:$A,0)),0)*Z79</f>
        <v>0</v>
      </c>
      <c r="CD79" s="266">
        <f ca="1">Q79*IFERROR(INDEX(Algorithms!$G:$G,MATCH($C79&amp;"_Therm Saved per Unit- MLA",Algorithms!$A:$A,0)),0)*AA79</f>
        <v>0</v>
      </c>
      <c r="CE79" s="266">
        <f ca="1">IFERROR(INDEX(Algorithms!$G:$G,MATCH($C79&amp;"_Lifetime (years)",Algorithms!$A:$A,0)),0)</f>
        <v>13.3</v>
      </c>
      <c r="CF79" s="266">
        <f ca="1">IFERROR(INDEX(Algorithms!$G:$G,MATCH($C79&amp;"_Lifetime (years) - Remaining Years",Algorithms!$A:$A,0)),0)</f>
        <v>0</v>
      </c>
      <c r="CG79" s="266">
        <f t="shared" ca="1" si="73"/>
        <v>204.70663761466511</v>
      </c>
      <c r="CH79" s="266">
        <f t="shared" ca="1" si="74"/>
        <v>204.70663761466511</v>
      </c>
      <c r="CI79" s="266">
        <f t="shared" ca="1" si="75"/>
        <v>204.70663761466511</v>
      </c>
      <c r="CJ79" s="266">
        <f t="shared" ca="1" si="76"/>
        <v>204.70663761466511</v>
      </c>
      <c r="CK79" s="266">
        <f t="shared" si="77"/>
        <v>16.106854998167549</v>
      </c>
      <c r="CL79" s="266">
        <f t="shared" si="78"/>
        <v>16.106854998167549</v>
      </c>
      <c r="CM79" s="266">
        <f t="shared" ca="1" si="79"/>
        <v>40.823659421361633</v>
      </c>
      <c r="CN79" s="266">
        <f t="shared" ca="1" si="80"/>
        <v>40.823659421361633</v>
      </c>
      <c r="CO79" s="266">
        <f ca="1">N79*IFERROR(INDEX(Algorithms!$G:$G,MATCH($C79&amp;"_Therm Saved per Unit- MLA",Algorithms!$A:$A,0)),0)*X79</f>
        <v>0</v>
      </c>
      <c r="CP79" s="266">
        <f ca="1">O79*IFERROR(INDEX(Algorithms!$G:$G,MATCH($C79&amp;"_Therm Saved per Unit- MLA",Algorithms!$A:$A,0)),0)*Y79</f>
        <v>0</v>
      </c>
      <c r="CQ79" s="266">
        <f ca="1">P79*IFERROR(INDEX(Algorithms!$G:$G,MATCH($C79&amp;"_Therm Saved per Unit- MLA",Algorithms!$A:$A,0)),0)*Z79</f>
        <v>0</v>
      </c>
      <c r="CR79" s="266">
        <f ca="1">Q79*IFERROR(INDEX(Algorithms!$G:$G,MATCH($C79&amp;"_Therm Saved per Unit- MLA",Algorithms!$A:$A,0)),0)*AA79</f>
        <v>0</v>
      </c>
      <c r="CS79" s="266">
        <f ca="1">IFERROR(INDEX(Algorithms!$G:$G,MATCH($C79&amp;"_Lifetime (years)",Algorithms!$A:$A,0)),0)</f>
        <v>13.3</v>
      </c>
      <c r="CT79" s="266">
        <f ca="1">IFERROR(INDEX(Algorithms!$G:$G,MATCH($C79&amp;"_Lifetime (years) - Remaining Years",Algorithms!$A:$A,0)),0)</f>
        <v>0</v>
      </c>
      <c r="CU79" s="266">
        <f t="shared" ca="1" si="81"/>
        <v>214.22117147562841</v>
      </c>
      <c r="CV79" s="266">
        <f t="shared" ca="1" si="82"/>
        <v>214.22117147562841</v>
      </c>
      <c r="CW79" s="266">
        <f t="shared" ca="1" si="83"/>
        <v>542.95467030410975</v>
      </c>
      <c r="CX79" s="266">
        <f t="shared" ca="1" si="84"/>
        <v>542.95467030410975</v>
      </c>
    </row>
    <row r="80" spans="2:102" s="47" customFormat="1" ht="18" customHeight="1" x14ac:dyDescent="0.25">
      <c r="B80" t="str">
        <f t="shared" si="85"/>
        <v>NSG_Income Eligible_Single Family_IHWAP_Pipe Insulation_Boiler_SF</v>
      </c>
      <c r="C80" s="47" t="str">
        <f t="shared" si="46"/>
        <v>Pipe Insulation_Boiler_SF</v>
      </c>
      <c r="D80" s="270" t="s">
        <v>1787</v>
      </c>
      <c r="E80" s="270" t="s">
        <v>325</v>
      </c>
      <c r="F80" s="270" t="s">
        <v>375</v>
      </c>
      <c r="G80" s="270" t="s">
        <v>1439</v>
      </c>
      <c r="H80" s="270" t="s">
        <v>404</v>
      </c>
      <c r="I80" s="270" t="s">
        <v>944</v>
      </c>
      <c r="J80" s="270" t="s">
        <v>409</v>
      </c>
      <c r="K80" s="263">
        <v>1</v>
      </c>
      <c r="L80" s="263" t="str">
        <f ca="1">IFERROR(INDEX(Algorithms!J:J,MATCH($C80&amp;"_Therm Saved per Unit",Algorithms!$A:$A,0)),"n/a")</f>
        <v>5.3.2</v>
      </c>
      <c r="M80" s="263" t="str">
        <f>IFERROR(INDEX('Measure Level Detail'!$N:$N,MATCH($B80,'Measure Level Detail'!$B:$B,0)),0)</f>
        <v>Feet</v>
      </c>
      <c r="N80" s="271">
        <f>IFERROR(INDEX('Measure Level Detail'!$P:$P,MATCH($B80&amp;"_"&amp;N$3,'Measure Level Detail'!$C:$C,0)),0)</f>
        <v>1</v>
      </c>
      <c r="O80" s="271">
        <f>IFERROR(INDEX('Measure Level Detail'!$P:$P,MATCH($B80&amp;"_"&amp;O$3,'Measure Level Detail'!$C:$C,0)),0)</f>
        <v>1</v>
      </c>
      <c r="P80" s="271">
        <f>IFERROR(INDEX('Measure Level Detail'!$P:$P,MATCH($B80&amp;"_"&amp;P$3,'Measure Level Detail'!$C:$C,0)),0)</f>
        <v>1</v>
      </c>
      <c r="Q80" s="271">
        <f>IFERROR(INDEX('Measure Level Detail'!$P:$P,MATCH($B80&amp;"_"&amp;Q$3,'Measure Level Detail'!$C:$C,0)),0)</f>
        <v>1</v>
      </c>
      <c r="R80" s="263" t="str">
        <f ca="1">IFERROR(INDEX(Algorithms!K:K,MATCH($C80&amp;"_Therm Saved per Unit",Algorithms!$A:$A,0)),"n/a")</f>
        <v>RS-HVC-PINS-V07-240101</v>
      </c>
      <c r="S80" s="262"/>
      <c r="T80" s="272">
        <v>0.63522312995661756</v>
      </c>
      <c r="U80" s="272">
        <v>0.63522312995661756</v>
      </c>
      <c r="V80" s="272">
        <v>0.63522312995661756</v>
      </c>
      <c r="W80" s="272">
        <v>0.63522312995661756</v>
      </c>
      <c r="X80" s="273">
        <f>IFERROR(INDEX('Measure Level Detail'!$R:$R,MATCH($B80&amp;"_"&amp;X$3,'Measure Level Detail'!$C:$C,0)),0)</f>
        <v>1</v>
      </c>
      <c r="Y80" s="273">
        <f>IFERROR(INDEX('Measure Level Detail'!$R:$R,MATCH($B80&amp;"_"&amp;Y$3,'Measure Level Detail'!$C:$C,0)),0)</f>
        <v>1</v>
      </c>
      <c r="Z80" s="273">
        <f>IFERROR(INDEX('Measure Level Detail'!$R:$R,MATCH($B80&amp;"_"&amp;Z$3,'Measure Level Detail'!$C:$C,0)),0)</f>
        <v>1</v>
      </c>
      <c r="AA80" s="273">
        <f>IFERROR(INDEX('Measure Level Detail'!$R:$R,MATCH($B80&amp;"_"&amp;AA$3,'Measure Level Detail'!$C:$C,0)),0)</f>
        <v>1</v>
      </c>
      <c r="AB80" s="266">
        <f t="shared" si="47"/>
        <v>0.63522312995661756</v>
      </c>
      <c r="AC80" s="266">
        <f t="shared" si="48"/>
        <v>0.63522312995661756</v>
      </c>
      <c r="AD80" s="266">
        <f t="shared" si="49"/>
        <v>0.63522312995661756</v>
      </c>
      <c r="AE80" s="266">
        <f t="shared" si="50"/>
        <v>0.63522312995661756</v>
      </c>
      <c r="AF80" s="266">
        <f t="shared" si="51"/>
        <v>2.5408925198264702</v>
      </c>
      <c r="AG80" s="274">
        <v>1</v>
      </c>
      <c r="AH80" s="274">
        <v>1</v>
      </c>
      <c r="AI80" s="274">
        <v>1</v>
      </c>
      <c r="AJ80" s="274">
        <v>1</v>
      </c>
      <c r="AK80" s="274">
        <f t="shared" si="52"/>
        <v>1</v>
      </c>
      <c r="AL80" s="274">
        <f t="shared" si="53"/>
        <v>1</v>
      </c>
      <c r="AM80" s="274">
        <f t="shared" si="54"/>
        <v>1</v>
      </c>
      <c r="AN80" s="274">
        <f t="shared" si="55"/>
        <v>1</v>
      </c>
      <c r="AO80" s="262"/>
      <c r="AP80" s="262"/>
      <c r="AQ80" s="267">
        <v>1.0111854839419214</v>
      </c>
      <c r="AR80" s="262"/>
      <c r="AS80" s="266">
        <f t="shared" si="56"/>
        <v>1.0111854839419214</v>
      </c>
      <c r="AT80" s="264">
        <f t="shared" si="57"/>
        <v>0.37596235398530387</v>
      </c>
      <c r="AU80" s="262"/>
      <c r="AV80" s="262"/>
      <c r="AW80" s="265">
        <v>1.0111854839419214</v>
      </c>
      <c r="AX80" s="164" t="s">
        <v>1469</v>
      </c>
      <c r="AY80" s="266">
        <v>1.0111854839419214</v>
      </c>
      <c r="AZ80" s="266">
        <f t="shared" si="58"/>
        <v>1.0111854839419214</v>
      </c>
      <c r="BA80" s="264">
        <f t="shared" si="59"/>
        <v>0.37596235398530387</v>
      </c>
      <c r="BB80" s="262"/>
      <c r="BC80" s="262"/>
      <c r="BD80" s="265">
        <f ca="1">IFERROR(INDEX(Algorithms!$G:$G,MATCH($C80&amp;"_Therm Saved per Unit",Algorithms!$A:$A,0)),0)</f>
        <v>0.94853594852378065</v>
      </c>
      <c r="BE80" s="164" t="str">
        <f ca="1">IFERROR(INDEX('v12 Revisions'!$P$29:$P$186, MATCH('Measure-Level Adj Gas'!$L80, 'v12 Revisions'!$D$29:$D$186,0)),"")</f>
        <v>Updated full load hours of heating from 1840 to 1726.</v>
      </c>
      <c r="BF80" s="266">
        <f t="shared" ca="1" si="60"/>
        <v>0.94853594852378065</v>
      </c>
      <c r="BG80" s="264">
        <f t="shared" ca="1" si="61"/>
        <v>0.31331281856716309</v>
      </c>
      <c r="BH80" s="262"/>
      <c r="BI80" s="262"/>
      <c r="BJ80" s="265">
        <f ca="1">IFERROR(INDEX(Algorithms!$G:$G,MATCH($C80&amp;"_Therm Saved per Unit",Algorithms!$A:$A,0)),0)</f>
        <v>0.94853594852378065</v>
      </c>
      <c r="BK80" s="164"/>
      <c r="BL80" s="266">
        <f t="shared" ca="1" si="62"/>
        <v>0.94853594852378065</v>
      </c>
      <c r="BM80" s="264">
        <f t="shared" ca="1" si="63"/>
        <v>0.31331281856716309</v>
      </c>
      <c r="BN80" s="266">
        <f t="shared" si="64"/>
        <v>1.0111854839419214</v>
      </c>
      <c r="BO80" s="266">
        <f t="shared" si="65"/>
        <v>1.0111854839419214</v>
      </c>
      <c r="BP80" s="266">
        <f t="shared" ca="1" si="66"/>
        <v>0.94853594852378065</v>
      </c>
      <c r="BQ80" s="266">
        <f t="shared" ca="1" si="67"/>
        <v>0.94853594852378065</v>
      </c>
      <c r="BR80" s="268">
        <f t="shared" ca="1" si="68"/>
        <v>3.9194428649314039</v>
      </c>
      <c r="BS80" s="262" t="s">
        <v>99</v>
      </c>
      <c r="BT80" s="277"/>
      <c r="BW80" s="266">
        <f t="shared" si="69"/>
        <v>0.63522312995661756</v>
      </c>
      <c r="BX80" s="266">
        <f t="shared" si="70"/>
        <v>0.63522312995661756</v>
      </c>
      <c r="BY80" s="266">
        <f t="shared" si="71"/>
        <v>0.63522312995661756</v>
      </c>
      <c r="BZ80" s="266">
        <f t="shared" si="72"/>
        <v>0.63522312995661756</v>
      </c>
      <c r="CA80" s="266">
        <f ca="1">N80*IFERROR(INDEX(Algorithms!$G:$G,MATCH($C80&amp;"_Therm Saved per Unit- MLA",Algorithms!$A:$A,0)),0)*X80</f>
        <v>0.92482254981068612</v>
      </c>
      <c r="CB80" s="266">
        <f ca="1">O80*IFERROR(INDEX(Algorithms!$G:$G,MATCH($C80&amp;"_Therm Saved per Unit- MLA",Algorithms!$A:$A,0)),0)*Y80</f>
        <v>0.92482254981068612</v>
      </c>
      <c r="CC80" s="266">
        <f ca="1">P80*IFERROR(INDEX(Algorithms!$G:$G,MATCH($C80&amp;"_Therm Saved per Unit- MLA",Algorithms!$A:$A,0)),0)*Z80</f>
        <v>0.92482254981068612</v>
      </c>
      <c r="CD80" s="266">
        <f ca="1">Q80*IFERROR(INDEX(Algorithms!$G:$G,MATCH($C80&amp;"_Therm Saved per Unit- MLA",Algorithms!$A:$A,0)),0)*AA80</f>
        <v>0.92482254981068612</v>
      </c>
      <c r="CE80" s="266">
        <f ca="1">IFERROR(INDEX(Algorithms!$G:$G,MATCH($C80&amp;"_Lifetime (years)",Algorithms!$A:$A,0)),0)</f>
        <v>15</v>
      </c>
      <c r="CF80" s="266">
        <f ca="1">IFERROR(INDEX(Algorithms!$G:$G,MATCH($C80&amp;"_Lifetime (years) - Remaining Years",Algorithms!$A:$A,0)),0)</f>
        <v>13</v>
      </c>
      <c r="CG80" s="266">
        <f t="shared" ca="1" si="73"/>
        <v>10.107545789057401</v>
      </c>
      <c r="CH80" s="266">
        <f t="shared" ca="1" si="74"/>
        <v>10.107545789057401</v>
      </c>
      <c r="CI80" s="266">
        <f t="shared" ca="1" si="75"/>
        <v>10.107545789057401</v>
      </c>
      <c r="CJ80" s="266">
        <f t="shared" ca="1" si="76"/>
        <v>10.107545789057401</v>
      </c>
      <c r="CK80" s="266">
        <f t="shared" si="77"/>
        <v>1.0111854839419214</v>
      </c>
      <c r="CL80" s="266">
        <f t="shared" si="78"/>
        <v>1.0111854839419214</v>
      </c>
      <c r="CM80" s="266">
        <f t="shared" ca="1" si="79"/>
        <v>0.94853594852378065</v>
      </c>
      <c r="CN80" s="266">
        <f t="shared" ca="1" si="80"/>
        <v>0.94853594852378065</v>
      </c>
      <c r="CO80" s="266">
        <f ca="1">N80*IFERROR(INDEX(Algorithms!$G:$G,MATCH($C80&amp;"_Therm Saved per Unit- MLA",Algorithms!$A:$A,0)),0)*X80</f>
        <v>0.92482254981068612</v>
      </c>
      <c r="CP80" s="266">
        <f ca="1">O80*IFERROR(INDEX(Algorithms!$G:$G,MATCH($C80&amp;"_Therm Saved per Unit- MLA",Algorithms!$A:$A,0)),0)*Y80</f>
        <v>0.92482254981068612</v>
      </c>
      <c r="CQ80" s="266">
        <f ca="1">P80*IFERROR(INDEX(Algorithms!$G:$G,MATCH($C80&amp;"_Therm Saved per Unit- MLA",Algorithms!$A:$A,0)),0)*Z80</f>
        <v>0.92482254981068612</v>
      </c>
      <c r="CR80" s="266">
        <f ca="1">Q80*IFERROR(INDEX(Algorithms!$G:$G,MATCH($C80&amp;"_Therm Saved per Unit- MLA",Algorithms!$A:$A,0)),0)*AA80</f>
        <v>0.92482254981068612</v>
      </c>
      <c r="CS80" s="266">
        <f ca="1">IFERROR(INDEX(Algorithms!$G:$G,MATCH($C80&amp;"_Lifetime (years)",Algorithms!$A:$A,0)),0)</f>
        <v>15</v>
      </c>
      <c r="CT80" s="266">
        <f ca="1">IFERROR(INDEX(Algorithms!$G:$G,MATCH($C80&amp;"_Lifetime (years) - Remaining Years",Algorithms!$A:$A,0)),0)</f>
        <v>13</v>
      </c>
      <c r="CU80" s="266">
        <f t="shared" ca="1" si="81"/>
        <v>14.995056390866353</v>
      </c>
      <c r="CV80" s="266">
        <f t="shared" ca="1" si="82"/>
        <v>14.995056390866353</v>
      </c>
      <c r="CW80" s="266">
        <f t="shared" ca="1" si="83"/>
        <v>14.180612430430521</v>
      </c>
      <c r="CX80" s="266">
        <f t="shared" ca="1" si="84"/>
        <v>14.180612430430521</v>
      </c>
    </row>
    <row r="81" spans="2:102" s="47" customFormat="1" ht="18" customHeight="1" x14ac:dyDescent="0.25">
      <c r="B81" t="str">
        <f t="shared" si="85"/>
        <v>NSG_Residential_Home Energy Rebate_Partner Trade Ally Rebate_Attic Insulation_0_SF</v>
      </c>
      <c r="C81" s="47" t="str">
        <f t="shared" si="46"/>
        <v>Attic Insulation_0_SF</v>
      </c>
      <c r="D81" s="270" t="s">
        <v>1787</v>
      </c>
      <c r="E81" s="270" t="s">
        <v>2</v>
      </c>
      <c r="F81" s="270" t="s">
        <v>1417</v>
      </c>
      <c r="G81" s="270" t="s">
        <v>1799</v>
      </c>
      <c r="H81" s="270" t="s">
        <v>631</v>
      </c>
      <c r="I81" s="270">
        <v>0</v>
      </c>
      <c r="J81" s="270" t="s">
        <v>409</v>
      </c>
      <c r="K81" s="263">
        <v>1</v>
      </c>
      <c r="L81" s="263" t="str">
        <f ca="1">IFERROR(INDEX(Algorithms!J:J,MATCH($C81&amp;"_Therm Saved per Unit",Algorithms!$A:$A,0)),"n/a")</f>
        <v>5.6.5</v>
      </c>
      <c r="M81" s="263" t="str">
        <f>IFERROR(INDEX('Measure Level Detail'!$N:$N,MATCH($B81,'Measure Level Detail'!$B:$B,0)),0)</f>
        <v>sq ft</v>
      </c>
      <c r="N81" s="271">
        <f>IFERROR(INDEX('Measure Level Detail'!$P:$P,MATCH($B81&amp;"_"&amp;N$3,'Measure Level Detail'!$C:$C,0)),0)</f>
        <v>240000</v>
      </c>
      <c r="O81" s="271">
        <f>IFERROR(INDEX('Measure Level Detail'!$P:$P,MATCH($B81&amp;"_"&amp;O$3,'Measure Level Detail'!$C:$C,0)),0)</f>
        <v>240000</v>
      </c>
      <c r="P81" s="271">
        <f>IFERROR(INDEX('Measure Level Detail'!$P:$P,MATCH($B81&amp;"_"&amp;P$3,'Measure Level Detail'!$C:$C,0)),0)</f>
        <v>240000</v>
      </c>
      <c r="Q81" s="271">
        <f>IFERROR(INDEX('Measure Level Detail'!$P:$P,MATCH($B81&amp;"_"&amp;Q$3,'Measure Level Detail'!$C:$C,0)),0)</f>
        <v>240000</v>
      </c>
      <c r="R81" s="263" t="str">
        <f ca="1">IFERROR(INDEX(Algorithms!K:K,MATCH($C81&amp;"_Therm Saved per Unit",Algorithms!$A:$A,0)),"n/a")</f>
        <v>RS-SHL-AINS-V07-240101</v>
      </c>
      <c r="S81" s="262"/>
      <c r="T81" s="272">
        <v>8.0457181447124299E-2</v>
      </c>
      <c r="U81" s="272">
        <v>8.0457181447124299E-2</v>
      </c>
      <c r="V81" s="272">
        <v>8.0457181447124299E-2</v>
      </c>
      <c r="W81" s="272">
        <v>8.0457181447124299E-2</v>
      </c>
      <c r="X81" s="275">
        <v>0.89</v>
      </c>
      <c r="Y81" s="275">
        <v>0.89</v>
      </c>
      <c r="Z81" s="275">
        <v>0.89</v>
      </c>
      <c r="AA81" s="275">
        <v>0.89</v>
      </c>
      <c r="AB81" s="266">
        <f t="shared" si="47"/>
        <v>17185.653957105747</v>
      </c>
      <c r="AC81" s="266">
        <f t="shared" si="48"/>
        <v>17185.653957105747</v>
      </c>
      <c r="AD81" s="266">
        <f t="shared" si="49"/>
        <v>17185.653957105747</v>
      </c>
      <c r="AE81" s="266">
        <f t="shared" si="50"/>
        <v>17185.653957105747</v>
      </c>
      <c r="AF81" s="266">
        <f t="shared" si="51"/>
        <v>68742.61582842299</v>
      </c>
      <c r="AG81" s="274">
        <v>0.89</v>
      </c>
      <c r="AH81" s="274">
        <v>0.89</v>
      </c>
      <c r="AI81" s="274">
        <v>0.89</v>
      </c>
      <c r="AJ81" s="274">
        <v>0.89</v>
      </c>
      <c r="AK81" s="274">
        <f t="shared" si="52"/>
        <v>0.89</v>
      </c>
      <c r="AL81" s="274">
        <f t="shared" si="53"/>
        <v>0.89</v>
      </c>
      <c r="AM81" s="274">
        <f t="shared" si="54"/>
        <v>0.89</v>
      </c>
      <c r="AN81" s="274">
        <f t="shared" si="55"/>
        <v>0.89</v>
      </c>
      <c r="AO81" s="262"/>
      <c r="AP81" s="262"/>
      <c r="AQ81" s="267">
        <v>8.0457181447124299E-2</v>
      </c>
      <c r="AR81" s="262"/>
      <c r="AS81" s="266">
        <f t="shared" si="56"/>
        <v>17185.653957105747</v>
      </c>
      <c r="AT81" s="264">
        <f t="shared" si="57"/>
        <v>0</v>
      </c>
      <c r="AU81" s="262"/>
      <c r="AV81" s="262"/>
      <c r="AW81" s="265">
        <v>8.0457181447124299E-2</v>
      </c>
      <c r="AX81" s="164" t="s">
        <v>2393</v>
      </c>
      <c r="AY81" s="266">
        <v>17185.653957105747</v>
      </c>
      <c r="AZ81" s="266">
        <f t="shared" si="58"/>
        <v>17185.653957105747</v>
      </c>
      <c r="BA81" s="264">
        <f t="shared" si="59"/>
        <v>0</v>
      </c>
      <c r="BB81" s="262"/>
      <c r="BC81" s="262"/>
      <c r="BD81" s="265">
        <f ca="1">IFERROR(INDEX(Algorithms!$G:$G,MATCH($C81&amp;"_Therm Saved per Unit",Algorithms!$A:$A,0)),0)</f>
        <v>7.9694869016697589E-2</v>
      </c>
      <c r="BE81" s="164" t="str">
        <f ca="1">IFERROR(INDEX('v12 Revisions'!$P$29:$P$186, MATCH('Measure-Level Adj Gas'!$L81, 'v12 Revisions'!$D$29:$D$186,0)),"")</f>
        <v>Updated HDD from 5113 to 4798 and shell adjustment factor from 0.72 to 0.76 ; Updated measure life to 30 years.</v>
      </c>
      <c r="BF81" s="266">
        <f t="shared" ca="1" si="60"/>
        <v>17022.824021966604</v>
      </c>
      <c r="BG81" s="264">
        <f t="shared" ca="1" si="61"/>
        <v>-162.82993513914334</v>
      </c>
      <c r="BH81" s="262"/>
      <c r="BI81" s="262"/>
      <c r="BJ81" s="265">
        <f ca="1">IFERROR(INDEX(Algorithms!$G:$G,MATCH($C81&amp;"_Therm Saved per Unit",Algorithms!$A:$A,0)),0)</f>
        <v>7.9694869016697589E-2</v>
      </c>
      <c r="BK81" s="164"/>
      <c r="BL81" s="266">
        <f t="shared" ca="1" si="62"/>
        <v>17022.824021966604</v>
      </c>
      <c r="BM81" s="264">
        <f t="shared" ca="1" si="63"/>
        <v>-162.82993513914334</v>
      </c>
      <c r="BN81" s="266">
        <f t="shared" si="64"/>
        <v>17185.653957105747</v>
      </c>
      <c r="BO81" s="266">
        <f t="shared" si="65"/>
        <v>17185.653957105747</v>
      </c>
      <c r="BP81" s="266">
        <f t="shared" ca="1" si="66"/>
        <v>17022.824021966604</v>
      </c>
      <c r="BQ81" s="266">
        <f t="shared" ca="1" si="67"/>
        <v>17022.824021966604</v>
      </c>
      <c r="BR81" s="268">
        <f t="shared" ca="1" si="68"/>
        <v>68416.95595814471</v>
      </c>
      <c r="BS81" s="262" t="s">
        <v>99</v>
      </c>
      <c r="BT81" s="277"/>
      <c r="BW81" s="266">
        <f t="shared" si="69"/>
        <v>17185.653957105747</v>
      </c>
      <c r="BX81" s="266">
        <f t="shared" si="70"/>
        <v>17185.653957105747</v>
      </c>
      <c r="BY81" s="266">
        <f t="shared" si="71"/>
        <v>17185.653957105747</v>
      </c>
      <c r="BZ81" s="266">
        <f t="shared" si="72"/>
        <v>17185.653957105747</v>
      </c>
      <c r="CA81" s="266">
        <f ca="1">N81*IFERROR(INDEX(Algorithms!$G:$G,MATCH($C81&amp;"_Therm Saved per Unit- MLA",Algorithms!$A:$A,0)),0)*X81</f>
        <v>18024.166611494053</v>
      </c>
      <c r="CB81" s="266">
        <f ca="1">O81*IFERROR(INDEX(Algorithms!$G:$G,MATCH($C81&amp;"_Therm Saved per Unit- MLA",Algorithms!$A:$A,0)),0)*Y81</f>
        <v>18024.166611494053</v>
      </c>
      <c r="CC81" s="266">
        <f ca="1">P81*IFERROR(INDEX(Algorithms!$G:$G,MATCH($C81&amp;"_Therm Saved per Unit- MLA",Algorithms!$A:$A,0)),0)*Z81</f>
        <v>18024.166611494053</v>
      </c>
      <c r="CD81" s="266">
        <f ca="1">Q81*IFERROR(INDEX(Algorithms!$G:$G,MATCH($C81&amp;"_Therm Saved per Unit- MLA",Algorithms!$A:$A,0)),0)*AA81</f>
        <v>18024.166611494053</v>
      </c>
      <c r="CE81" s="266">
        <f ca="1">IFERROR(INDEX(Algorithms!$G:$G,MATCH($C81&amp;"_Lifetime (years)",Algorithms!$A:$A,0)),0)</f>
        <v>30</v>
      </c>
      <c r="CF81" s="266">
        <f ca="1">IFERROR(INDEX(Algorithms!$G:$G,MATCH($C81&amp;"_Lifetime (years) - Remaining Years",Algorithms!$A:$A,0)),0)</f>
        <v>10</v>
      </c>
      <c r="CG81" s="266">
        <f t="shared" ca="1" si="73"/>
        <v>532339.87180093862</v>
      </c>
      <c r="CH81" s="266">
        <f t="shared" ca="1" si="74"/>
        <v>532339.87180093862</v>
      </c>
      <c r="CI81" s="266">
        <f t="shared" ca="1" si="75"/>
        <v>532339.87180093862</v>
      </c>
      <c r="CJ81" s="266">
        <f t="shared" ca="1" si="76"/>
        <v>532339.87180093862</v>
      </c>
      <c r="CK81" s="266">
        <f t="shared" si="77"/>
        <v>17185.653957105747</v>
      </c>
      <c r="CL81" s="266">
        <f t="shared" si="78"/>
        <v>17185.653957105747</v>
      </c>
      <c r="CM81" s="266">
        <f t="shared" ca="1" si="79"/>
        <v>17022.824021966604</v>
      </c>
      <c r="CN81" s="266">
        <f t="shared" ca="1" si="80"/>
        <v>17022.824021966604</v>
      </c>
      <c r="CO81" s="266">
        <f ca="1">N81*IFERROR(INDEX(Algorithms!$G:$G,MATCH($C81&amp;"_Therm Saved per Unit- MLA",Algorithms!$A:$A,0)),0)*X81</f>
        <v>18024.166611494053</v>
      </c>
      <c r="CP81" s="266">
        <f ca="1">O81*IFERROR(INDEX(Algorithms!$G:$G,MATCH($C81&amp;"_Therm Saved per Unit- MLA",Algorithms!$A:$A,0)),0)*Y81</f>
        <v>18024.166611494053</v>
      </c>
      <c r="CQ81" s="266">
        <f ca="1">P81*IFERROR(INDEX(Algorithms!$G:$G,MATCH($C81&amp;"_Therm Saved per Unit- MLA",Algorithms!$A:$A,0)),0)*Z81</f>
        <v>18024.166611494053</v>
      </c>
      <c r="CR81" s="266">
        <f ca="1">Q81*IFERROR(INDEX(Algorithms!$G:$G,MATCH($C81&amp;"_Therm Saved per Unit- MLA",Algorithms!$A:$A,0)),0)*AA81</f>
        <v>18024.166611494053</v>
      </c>
      <c r="CS81" s="266">
        <f ca="1">IFERROR(INDEX(Algorithms!$G:$G,MATCH($C81&amp;"_Lifetime (years)",Algorithms!$A:$A,0)),0)</f>
        <v>30</v>
      </c>
      <c r="CT81" s="266">
        <f ca="1">IFERROR(INDEX(Algorithms!$G:$G,MATCH($C81&amp;"_Lifetime (years) - Remaining Years",Algorithms!$A:$A,0)),0)</f>
        <v>10</v>
      </c>
      <c r="CU81" s="266">
        <f t="shared" ca="1" si="81"/>
        <v>532339.87180093862</v>
      </c>
      <c r="CV81" s="266">
        <f t="shared" ca="1" si="82"/>
        <v>532339.87180093862</v>
      </c>
      <c r="CW81" s="266">
        <f t="shared" ca="1" si="83"/>
        <v>530711.57244954712</v>
      </c>
      <c r="CX81" s="266">
        <f t="shared" ca="1" si="84"/>
        <v>530711.57244954712</v>
      </c>
    </row>
    <row r="82" spans="2:102" s="47" customFormat="1" ht="18" customHeight="1" x14ac:dyDescent="0.25">
      <c r="B82" t="str">
        <f t="shared" si="85"/>
        <v>NSG_Residential_Home Energy Rebate_Partner Trade Ally Rebate_Air Sealing w/ Attic Insulation_0_SF</v>
      </c>
      <c r="C82" s="47" t="str">
        <f t="shared" si="46"/>
        <v>Air Sealing w/ Attic Insulation_0_SF</v>
      </c>
      <c r="D82" s="270" t="s">
        <v>1787</v>
      </c>
      <c r="E82" s="270" t="s">
        <v>2</v>
      </c>
      <c r="F82" s="270" t="s">
        <v>1417</v>
      </c>
      <c r="G82" s="270" t="s">
        <v>1799</v>
      </c>
      <c r="H82" s="270" t="s">
        <v>890</v>
      </c>
      <c r="I82" s="270">
        <v>0</v>
      </c>
      <c r="J82" s="270" t="s">
        <v>409</v>
      </c>
      <c r="K82" s="263">
        <v>1</v>
      </c>
      <c r="L82" s="263" t="str">
        <f ca="1">IFERROR(INDEX(Algorithms!J:J,MATCH($C82&amp;"_Therm Saved per Unit",Algorithms!$A:$A,0)),"n/a")</f>
        <v>5.6.1</v>
      </c>
      <c r="M82" s="263" t="str">
        <f>IFERROR(INDEX('Measure Level Detail'!$N:$N,MATCH($B82,'Measure Level Detail'!$B:$B,0)),0)</f>
        <v>CFM_50</v>
      </c>
      <c r="N82" s="271">
        <f>IFERROR(INDEX('Measure Level Detail'!$P:$P,MATCH($B82&amp;"_"&amp;N$3,'Measure Level Detail'!$C:$C,0)),0)</f>
        <v>178377.59999999995</v>
      </c>
      <c r="O82" s="271">
        <f>IFERROR(INDEX('Measure Level Detail'!$P:$P,MATCH($B82&amp;"_"&amp;O$3,'Measure Level Detail'!$C:$C,0)),0)</f>
        <v>178377.59999999995</v>
      </c>
      <c r="P82" s="271">
        <f>IFERROR(INDEX('Measure Level Detail'!$P:$P,MATCH($B82&amp;"_"&amp;P$3,'Measure Level Detail'!$C:$C,0)),0)</f>
        <v>178377.59999999995</v>
      </c>
      <c r="Q82" s="271">
        <f>IFERROR(INDEX('Measure Level Detail'!$P:$P,MATCH($B82&amp;"_"&amp;Q$3,'Measure Level Detail'!$C:$C,0)),0)</f>
        <v>178377.59999999995</v>
      </c>
      <c r="R82" s="263" t="str">
        <f ca="1">IFERROR(INDEX(Algorithms!K:K,MATCH($C82&amp;"_Therm Saved per Unit",Algorithms!$A:$A,0)),"n/a")</f>
        <v>RS-SHL-AIRS-V13-240101</v>
      </c>
      <c r="S82" s="262"/>
      <c r="T82" s="272">
        <v>6.2809933649289093E-2</v>
      </c>
      <c r="U82" s="272">
        <v>6.2809933649289093E-2</v>
      </c>
      <c r="V82" s="272">
        <v>6.2809933649289093E-2</v>
      </c>
      <c r="W82" s="272">
        <v>6.2809933649289093E-2</v>
      </c>
      <c r="X82" s="275">
        <v>0.88</v>
      </c>
      <c r="Y82" s="275">
        <v>0.88</v>
      </c>
      <c r="Z82" s="275">
        <v>0.88</v>
      </c>
      <c r="AA82" s="275">
        <v>0.88</v>
      </c>
      <c r="AB82" s="266">
        <f t="shared" si="47"/>
        <v>9859.4189940570959</v>
      </c>
      <c r="AC82" s="266">
        <f t="shared" si="48"/>
        <v>9859.4189940570959</v>
      </c>
      <c r="AD82" s="266">
        <f t="shared" si="49"/>
        <v>9859.4189940570959</v>
      </c>
      <c r="AE82" s="266">
        <f t="shared" si="50"/>
        <v>9859.4189940570959</v>
      </c>
      <c r="AF82" s="266">
        <f t="shared" si="51"/>
        <v>39437.675976228384</v>
      </c>
      <c r="AG82" s="274">
        <v>0.88</v>
      </c>
      <c r="AH82" s="274">
        <v>0.88</v>
      </c>
      <c r="AI82" s="274">
        <v>0.88</v>
      </c>
      <c r="AJ82" s="274">
        <v>0.88</v>
      </c>
      <c r="AK82" s="274">
        <f t="shared" si="52"/>
        <v>0.88</v>
      </c>
      <c r="AL82" s="274">
        <f t="shared" si="53"/>
        <v>0.88</v>
      </c>
      <c r="AM82" s="274">
        <f t="shared" si="54"/>
        <v>0.88</v>
      </c>
      <c r="AN82" s="274">
        <f t="shared" si="55"/>
        <v>0.88</v>
      </c>
      <c r="AO82" s="262"/>
      <c r="AP82" s="262"/>
      <c r="AQ82" s="267">
        <v>6.2809933649289093E-2</v>
      </c>
      <c r="AR82" s="262"/>
      <c r="AS82" s="266">
        <f t="shared" si="56"/>
        <v>9859.4189940570959</v>
      </c>
      <c r="AT82" s="264">
        <f t="shared" si="57"/>
        <v>0</v>
      </c>
      <c r="AU82" s="262"/>
      <c r="AV82" s="262"/>
      <c r="AW82" s="265">
        <v>6.2809933649289093E-2</v>
      </c>
      <c r="AX82" s="164" t="s">
        <v>2395</v>
      </c>
      <c r="AY82" s="266">
        <v>9859.4189940570959</v>
      </c>
      <c r="AZ82" s="266">
        <f t="shared" si="58"/>
        <v>9859.4189940570959</v>
      </c>
      <c r="BA82" s="264">
        <f t="shared" si="59"/>
        <v>0</v>
      </c>
      <c r="BB82" s="262"/>
      <c r="BC82" s="262"/>
      <c r="BD82" s="265">
        <f ca="1">IFERROR(INDEX(Algorithms!$G:$G,MATCH($C82&amp;"_Therm Saved per Unit",Algorithms!$A:$A,0)),0)</f>
        <v>6.2214824644549756E-2</v>
      </c>
      <c r="BE82" s="164" t="str">
        <f ca="1">IFERROR(INDEX('v12 Revisions'!$P$29:$P$186, MATCH('Measure-Level Adj Gas'!$L82, 'v12 Revisions'!$D$29:$D$186,0)),"")</f>
        <v>Updated HDD from 5113 to 4798 and shell adjustment factor from 0.72 to 0.76.</v>
      </c>
      <c r="BF82" s="266">
        <f t="shared" ca="1" si="60"/>
        <v>9766.0033719737585</v>
      </c>
      <c r="BG82" s="264">
        <f t="shared" ca="1" si="61"/>
        <v>-93.415622083337439</v>
      </c>
      <c r="BH82" s="262"/>
      <c r="BI82" s="262"/>
      <c r="BJ82" s="265">
        <f ca="1">IFERROR(INDEX(Algorithms!$G:$G,MATCH($C82&amp;"_Therm Saved per Unit",Algorithms!$A:$A,0)),0)</f>
        <v>6.2214824644549756E-2</v>
      </c>
      <c r="BK82" s="164"/>
      <c r="BL82" s="266">
        <f t="shared" ca="1" si="62"/>
        <v>9766.0033719737585</v>
      </c>
      <c r="BM82" s="264">
        <f t="shared" ca="1" si="63"/>
        <v>-93.415622083337439</v>
      </c>
      <c r="BN82" s="266">
        <f t="shared" si="64"/>
        <v>9859.4189940570959</v>
      </c>
      <c r="BO82" s="266">
        <f t="shared" si="65"/>
        <v>9859.4189940570959</v>
      </c>
      <c r="BP82" s="266">
        <f t="shared" ca="1" si="66"/>
        <v>9766.0033719737585</v>
      </c>
      <c r="BQ82" s="266">
        <f t="shared" ca="1" si="67"/>
        <v>9766.0033719737585</v>
      </c>
      <c r="BR82" s="268">
        <f t="shared" ca="1" si="68"/>
        <v>39250.844732061712</v>
      </c>
      <c r="BS82" s="262" t="s">
        <v>99</v>
      </c>
      <c r="BT82" s="277"/>
      <c r="BW82" s="266">
        <f t="shared" si="69"/>
        <v>9859.4189940570959</v>
      </c>
      <c r="BX82" s="266">
        <f t="shared" si="70"/>
        <v>9859.4189940570959</v>
      </c>
      <c r="BY82" s="266">
        <f t="shared" si="71"/>
        <v>9859.4189940570959</v>
      </c>
      <c r="BZ82" s="266">
        <f t="shared" si="72"/>
        <v>9859.4189940570959</v>
      </c>
      <c r="CA82" s="266">
        <f ca="1">N82*IFERROR(INDEX(Algorithms!$G:$G,MATCH($C82&amp;"_Therm Saved per Unit- MLA",Algorithms!$A:$A,0)),0)*X82</f>
        <v>10340.474158560448</v>
      </c>
      <c r="CB82" s="266">
        <f ca="1">O82*IFERROR(INDEX(Algorithms!$G:$G,MATCH($C82&amp;"_Therm Saved per Unit- MLA",Algorithms!$A:$A,0)),0)*Y82</f>
        <v>10340.474158560448</v>
      </c>
      <c r="CC82" s="266">
        <f ca="1">P82*IFERROR(INDEX(Algorithms!$G:$G,MATCH($C82&amp;"_Therm Saved per Unit- MLA",Algorithms!$A:$A,0)),0)*Z82</f>
        <v>10340.474158560448</v>
      </c>
      <c r="CD82" s="266">
        <f ca="1">Q82*IFERROR(INDEX(Algorithms!$G:$G,MATCH($C82&amp;"_Therm Saved per Unit- MLA",Algorithms!$A:$A,0)),0)*AA82</f>
        <v>10340.474158560448</v>
      </c>
      <c r="CE82" s="266">
        <f ca="1">IFERROR(INDEX(Algorithms!$G:$G,MATCH($C82&amp;"_Lifetime (years)",Algorithms!$A:$A,0)),0)</f>
        <v>20</v>
      </c>
      <c r="CF82" s="266">
        <f ca="1">IFERROR(INDEX(Algorithms!$G:$G,MATCH($C82&amp;"_Lifetime (years) - Remaining Years",Algorithms!$A:$A,0)),0)</f>
        <v>10</v>
      </c>
      <c r="CG82" s="266">
        <f t="shared" ca="1" si="73"/>
        <v>201998.93152617544</v>
      </c>
      <c r="CH82" s="266">
        <f t="shared" ca="1" si="74"/>
        <v>201998.93152617544</v>
      </c>
      <c r="CI82" s="266">
        <f t="shared" ca="1" si="75"/>
        <v>201998.93152617544</v>
      </c>
      <c r="CJ82" s="266">
        <f t="shared" ca="1" si="76"/>
        <v>201998.93152617544</v>
      </c>
      <c r="CK82" s="266">
        <f t="shared" si="77"/>
        <v>9859.4189940570959</v>
      </c>
      <c r="CL82" s="266">
        <f t="shared" si="78"/>
        <v>9859.4189940570959</v>
      </c>
      <c r="CM82" s="266">
        <f t="shared" ca="1" si="79"/>
        <v>9766.0033719737585</v>
      </c>
      <c r="CN82" s="266">
        <f t="shared" ca="1" si="80"/>
        <v>9766.0033719737585</v>
      </c>
      <c r="CO82" s="266">
        <f ca="1">N82*IFERROR(INDEX(Algorithms!$G:$G,MATCH($C82&amp;"_Therm Saved per Unit- MLA",Algorithms!$A:$A,0)),0)*X82</f>
        <v>10340.474158560448</v>
      </c>
      <c r="CP82" s="266">
        <f ca="1">O82*IFERROR(INDEX(Algorithms!$G:$G,MATCH($C82&amp;"_Therm Saved per Unit- MLA",Algorithms!$A:$A,0)),0)*Y82</f>
        <v>10340.474158560448</v>
      </c>
      <c r="CQ82" s="266">
        <f ca="1">P82*IFERROR(INDEX(Algorithms!$G:$G,MATCH($C82&amp;"_Therm Saved per Unit- MLA",Algorithms!$A:$A,0)),0)*Z82</f>
        <v>10340.474158560448</v>
      </c>
      <c r="CR82" s="266">
        <f ca="1">Q82*IFERROR(INDEX(Algorithms!$G:$G,MATCH($C82&amp;"_Therm Saved per Unit- MLA",Algorithms!$A:$A,0)),0)*AA82</f>
        <v>10340.474158560448</v>
      </c>
      <c r="CS82" s="266">
        <f ca="1">IFERROR(INDEX(Algorithms!$G:$G,MATCH($C82&amp;"_Lifetime (years)",Algorithms!$A:$A,0)),0)</f>
        <v>20</v>
      </c>
      <c r="CT82" s="266">
        <f ca="1">IFERROR(INDEX(Algorithms!$G:$G,MATCH($C82&amp;"_Lifetime (years) - Remaining Years",Algorithms!$A:$A,0)),0)</f>
        <v>10</v>
      </c>
      <c r="CU82" s="266">
        <f t="shared" ca="1" si="81"/>
        <v>201998.93152617544</v>
      </c>
      <c r="CV82" s="266">
        <f t="shared" ca="1" si="82"/>
        <v>201998.93152617544</v>
      </c>
      <c r="CW82" s="266">
        <f t="shared" ca="1" si="83"/>
        <v>201064.77530534205</v>
      </c>
      <c r="CX82" s="266">
        <f t="shared" ca="1" si="84"/>
        <v>201064.77530534205</v>
      </c>
    </row>
    <row r="83" spans="2:102" s="47" customFormat="1" ht="18" customHeight="1" x14ac:dyDescent="0.25">
      <c r="B83" t="str">
        <f t="shared" si="85"/>
        <v>NSG_Residential_Home Energy Rebate_Partner Trade Ally Rebate_Air Sealing_0_SF</v>
      </c>
      <c r="C83" s="47" t="str">
        <f t="shared" si="46"/>
        <v>Air Sealing_0_SF</v>
      </c>
      <c r="D83" s="270" t="s">
        <v>1787</v>
      </c>
      <c r="E83" s="270" t="s">
        <v>2</v>
      </c>
      <c r="F83" s="270" t="s">
        <v>1417</v>
      </c>
      <c r="G83" s="270" t="s">
        <v>1799</v>
      </c>
      <c r="H83" s="270" t="s">
        <v>221</v>
      </c>
      <c r="I83" s="270">
        <v>0</v>
      </c>
      <c r="J83" s="270" t="s">
        <v>409</v>
      </c>
      <c r="K83" s="263">
        <v>1</v>
      </c>
      <c r="L83" s="263" t="str">
        <f ca="1">IFERROR(INDEX(Algorithms!J:J,MATCH($C83&amp;"_Therm Saved per Unit",Algorithms!$A:$A,0)),"n/a")</f>
        <v>5.6.1</v>
      </c>
      <c r="M83" s="263" t="str">
        <f>IFERROR(INDEX('Measure Level Detail'!$N:$N,MATCH($B83,'Measure Level Detail'!$B:$B,0)),0)</f>
        <v>CFM_50</v>
      </c>
      <c r="N83" s="271">
        <f>IFERROR(INDEX('Measure Level Detail'!$P:$P,MATCH($B83&amp;"_"&amp;N$3,'Measure Level Detail'!$C:$C,0)),0)</f>
        <v>114161.66399999998</v>
      </c>
      <c r="O83" s="271">
        <f>IFERROR(INDEX('Measure Level Detail'!$P:$P,MATCH($B83&amp;"_"&amp;O$3,'Measure Level Detail'!$C:$C,0)),0)</f>
        <v>114161.66399999998</v>
      </c>
      <c r="P83" s="271">
        <f>IFERROR(INDEX('Measure Level Detail'!$P:$P,MATCH($B83&amp;"_"&amp;P$3,'Measure Level Detail'!$C:$C,0)),0)</f>
        <v>114161.66399999998</v>
      </c>
      <c r="Q83" s="271">
        <f>IFERROR(INDEX('Measure Level Detail'!$P:$P,MATCH($B83&amp;"_"&amp;Q$3,'Measure Level Detail'!$C:$C,0)),0)</f>
        <v>114161.66399999998</v>
      </c>
      <c r="R83" s="263" t="str">
        <f ca="1">IFERROR(INDEX(Algorithms!K:K,MATCH($C83&amp;"_Therm Saved per Unit",Algorithms!$A:$A,0)),"n/a")</f>
        <v>RS-SHL-AIRS-V13-240101</v>
      </c>
      <c r="S83" s="262"/>
      <c r="T83" s="272">
        <v>8.7236018957345965E-2</v>
      </c>
      <c r="U83" s="272">
        <v>8.7236018957345965E-2</v>
      </c>
      <c r="V83" s="272">
        <v>8.7236018957345965E-2</v>
      </c>
      <c r="W83" s="272">
        <v>8.7236018957345965E-2</v>
      </c>
      <c r="X83" s="273">
        <f>IFERROR(INDEX('Measure Level Detail'!$R:$R,MATCH($B83&amp;"_"&amp;X$3,'Measure Level Detail'!$C:$C,0)),0)</f>
        <v>0.77</v>
      </c>
      <c r="Y83" s="273">
        <f>IFERROR(INDEX('Measure Level Detail'!$R:$R,MATCH($B83&amp;"_"&amp;Y$3,'Measure Level Detail'!$C:$C,0)),0)</f>
        <v>0.77</v>
      </c>
      <c r="Z83" s="273">
        <f>IFERROR(INDEX('Measure Level Detail'!$R:$R,MATCH($B83&amp;"_"&amp;Z$3,'Measure Level Detail'!$C:$C,0)),0)</f>
        <v>0.77</v>
      </c>
      <c r="AA83" s="273">
        <f>IFERROR(INDEX('Measure Level Detail'!$R:$R,MATCH($B83&amp;"_"&amp;AA$3,'Measure Level Detail'!$C:$C,0)),0)</f>
        <v>0.77</v>
      </c>
      <c r="AB83" s="266">
        <f t="shared" si="47"/>
        <v>7668.4369953777423</v>
      </c>
      <c r="AC83" s="266">
        <f t="shared" si="48"/>
        <v>7668.4369953777423</v>
      </c>
      <c r="AD83" s="266">
        <f t="shared" si="49"/>
        <v>7668.4369953777423</v>
      </c>
      <c r="AE83" s="266">
        <f t="shared" si="50"/>
        <v>7668.4369953777423</v>
      </c>
      <c r="AF83" s="266">
        <f t="shared" si="51"/>
        <v>30673.747981510969</v>
      </c>
      <c r="AG83" s="274">
        <v>0.77</v>
      </c>
      <c r="AH83" s="274">
        <v>0.77</v>
      </c>
      <c r="AI83" s="274">
        <v>0.77</v>
      </c>
      <c r="AJ83" s="274">
        <v>0.77</v>
      </c>
      <c r="AK83" s="274">
        <f t="shared" si="52"/>
        <v>0.77</v>
      </c>
      <c r="AL83" s="274">
        <f t="shared" si="53"/>
        <v>0.77</v>
      </c>
      <c r="AM83" s="274">
        <f t="shared" si="54"/>
        <v>0.77</v>
      </c>
      <c r="AN83" s="274">
        <f t="shared" si="55"/>
        <v>0.77</v>
      </c>
      <c r="AO83" s="262"/>
      <c r="AP83" s="262"/>
      <c r="AQ83" s="267">
        <v>8.7236018957345965E-2</v>
      </c>
      <c r="AR83" s="262"/>
      <c r="AS83" s="266">
        <f t="shared" si="56"/>
        <v>7668.4369953777423</v>
      </c>
      <c r="AT83" s="264">
        <f t="shared" si="57"/>
        <v>0</v>
      </c>
      <c r="AU83" s="262"/>
      <c r="AV83" s="262"/>
      <c r="AW83" s="265">
        <v>8.7236018957345965E-2</v>
      </c>
      <c r="AX83" s="164" t="s">
        <v>2395</v>
      </c>
      <c r="AY83" s="266">
        <v>7668.4369953777423</v>
      </c>
      <c r="AZ83" s="266">
        <f t="shared" si="58"/>
        <v>7668.4369953777423</v>
      </c>
      <c r="BA83" s="264">
        <f t="shared" si="59"/>
        <v>0</v>
      </c>
      <c r="BB83" s="262"/>
      <c r="BC83" s="262"/>
      <c r="BD83" s="265">
        <f ca="1">IFERROR(INDEX(Algorithms!$G:$G,MATCH($C83&amp;"_Therm Saved per Unit",Algorithms!$A:$A,0)),0)</f>
        <v>8.1861611374407575E-2</v>
      </c>
      <c r="BE83" s="164" t="str">
        <f ca="1">IFERROR(INDEX('v12 Revisions'!$P$29:$P$186, MATCH('Measure-Level Adj Gas'!$L83, 'v12 Revisions'!$D$29:$D$186,0)),"")</f>
        <v>Updated HDD from 5113 to 4798 and shell adjustment factor from 0.72 to 0.76.</v>
      </c>
      <c r="BF83" s="266">
        <f t="shared" ca="1" si="60"/>
        <v>7196.0024846122442</v>
      </c>
      <c r="BG83" s="264">
        <f t="shared" ca="1" si="61"/>
        <v>-472.43451076549809</v>
      </c>
      <c r="BH83" s="262"/>
      <c r="BI83" s="262"/>
      <c r="BJ83" s="265">
        <f ca="1">IFERROR(INDEX(Algorithms!$G:$G,MATCH($C83&amp;"_Therm Saved per Unit",Algorithms!$A:$A,0)),0)</f>
        <v>8.1861611374407575E-2</v>
      </c>
      <c r="BK83" s="164"/>
      <c r="BL83" s="266">
        <f t="shared" ca="1" si="62"/>
        <v>7196.0024846122442</v>
      </c>
      <c r="BM83" s="264">
        <f t="shared" ca="1" si="63"/>
        <v>-472.43451076549809</v>
      </c>
      <c r="BN83" s="266">
        <f t="shared" si="64"/>
        <v>7668.4369953777423</v>
      </c>
      <c r="BO83" s="266">
        <f t="shared" si="65"/>
        <v>7668.4369953777423</v>
      </c>
      <c r="BP83" s="266">
        <f t="shared" ca="1" si="66"/>
        <v>7196.0024846122442</v>
      </c>
      <c r="BQ83" s="266">
        <f t="shared" ca="1" si="67"/>
        <v>7196.0024846122442</v>
      </c>
      <c r="BR83" s="268">
        <f t="shared" ca="1" si="68"/>
        <v>29728.878959979971</v>
      </c>
      <c r="BS83" s="262" t="s">
        <v>99</v>
      </c>
      <c r="BT83" s="277"/>
      <c r="BW83" s="266">
        <f t="shared" si="69"/>
        <v>7668.4369953777423</v>
      </c>
      <c r="BX83" s="266">
        <f t="shared" si="70"/>
        <v>7668.4369953777423</v>
      </c>
      <c r="BY83" s="266">
        <f t="shared" si="71"/>
        <v>7668.4369953777423</v>
      </c>
      <c r="BZ83" s="266">
        <f t="shared" si="72"/>
        <v>7668.4369953777423</v>
      </c>
      <c r="CA83" s="266">
        <f ca="1">N83*IFERROR(INDEX(Algorithms!$G:$G,MATCH($C83&amp;"_Therm Saved per Unit- MLA",Algorithms!$A:$A,0)),0)*X83</f>
        <v>7619.296748412964</v>
      </c>
      <c r="CB83" s="266">
        <f ca="1">O83*IFERROR(INDEX(Algorithms!$G:$G,MATCH($C83&amp;"_Therm Saved per Unit- MLA",Algorithms!$A:$A,0)),0)*Y83</f>
        <v>7619.296748412964</v>
      </c>
      <c r="CC83" s="266">
        <f ca="1">P83*IFERROR(INDEX(Algorithms!$G:$G,MATCH($C83&amp;"_Therm Saved per Unit- MLA",Algorithms!$A:$A,0)),0)*Z83</f>
        <v>7619.296748412964</v>
      </c>
      <c r="CD83" s="266">
        <f ca="1">Q83*IFERROR(INDEX(Algorithms!$G:$G,MATCH($C83&amp;"_Therm Saved per Unit- MLA",Algorithms!$A:$A,0)),0)*AA83</f>
        <v>7619.296748412964</v>
      </c>
      <c r="CE83" s="266">
        <f ca="1">IFERROR(INDEX(Algorithms!$G:$G,MATCH($C83&amp;"_Lifetime (years)",Algorithms!$A:$A,0)),0)</f>
        <v>20</v>
      </c>
      <c r="CF83" s="266">
        <f ca="1">IFERROR(INDEX(Algorithms!$G:$G,MATCH($C83&amp;"_Lifetime (years) - Remaining Years",Algorithms!$A:$A,0)),0)</f>
        <v>10</v>
      </c>
      <c r="CG83" s="266">
        <f t="shared" ca="1" si="73"/>
        <v>152877.33743790706</v>
      </c>
      <c r="CH83" s="266">
        <f t="shared" ca="1" si="74"/>
        <v>152877.33743790706</v>
      </c>
      <c r="CI83" s="266">
        <f t="shared" ca="1" si="75"/>
        <v>152877.33743790706</v>
      </c>
      <c r="CJ83" s="266">
        <f t="shared" ca="1" si="76"/>
        <v>152877.33743790706</v>
      </c>
      <c r="CK83" s="266">
        <f t="shared" si="77"/>
        <v>7668.4369953777423</v>
      </c>
      <c r="CL83" s="266">
        <f t="shared" si="78"/>
        <v>7668.4369953777423</v>
      </c>
      <c r="CM83" s="266">
        <f t="shared" ca="1" si="79"/>
        <v>7196.0024846122442</v>
      </c>
      <c r="CN83" s="266">
        <f t="shared" ca="1" si="80"/>
        <v>7196.0024846122442</v>
      </c>
      <c r="CO83" s="266">
        <f ca="1">N83*IFERROR(INDEX(Algorithms!$G:$G,MATCH($C83&amp;"_Therm Saved per Unit- MLA",Algorithms!$A:$A,0)),0)*X83</f>
        <v>7619.296748412964</v>
      </c>
      <c r="CP83" s="266">
        <f ca="1">O83*IFERROR(INDEX(Algorithms!$G:$G,MATCH($C83&amp;"_Therm Saved per Unit- MLA",Algorithms!$A:$A,0)),0)*Y83</f>
        <v>7619.296748412964</v>
      </c>
      <c r="CQ83" s="266">
        <f ca="1">P83*IFERROR(INDEX(Algorithms!$G:$G,MATCH($C83&amp;"_Therm Saved per Unit- MLA",Algorithms!$A:$A,0)),0)*Z83</f>
        <v>7619.296748412964</v>
      </c>
      <c r="CR83" s="266">
        <f ca="1">Q83*IFERROR(INDEX(Algorithms!$G:$G,MATCH($C83&amp;"_Therm Saved per Unit- MLA",Algorithms!$A:$A,0)),0)*AA83</f>
        <v>7619.296748412964</v>
      </c>
      <c r="CS83" s="266">
        <f ca="1">IFERROR(INDEX(Algorithms!$G:$G,MATCH($C83&amp;"_Lifetime (years)",Algorithms!$A:$A,0)),0)</f>
        <v>20</v>
      </c>
      <c r="CT83" s="266">
        <f ca="1">IFERROR(INDEX(Algorithms!$G:$G,MATCH($C83&amp;"_Lifetime (years) - Remaining Years",Algorithms!$A:$A,0)),0)</f>
        <v>10</v>
      </c>
      <c r="CU83" s="266">
        <f t="shared" ca="1" si="81"/>
        <v>152877.33743790706</v>
      </c>
      <c r="CV83" s="266">
        <f t="shared" ca="1" si="82"/>
        <v>152877.33743790706</v>
      </c>
      <c r="CW83" s="266">
        <f t="shared" ca="1" si="83"/>
        <v>148152.99233025208</v>
      </c>
      <c r="CX83" s="266">
        <f t="shared" ca="1" si="84"/>
        <v>148152.99233025208</v>
      </c>
    </row>
    <row r="84" spans="2:102" s="47" customFormat="1" ht="18" customHeight="1" x14ac:dyDescent="0.25">
      <c r="B84" t="str">
        <f t="shared" si="85"/>
        <v>NSG_Business_C&amp;I_Strategic Energy Management_Strategic Energy Management_0_CI</v>
      </c>
      <c r="C84" s="47" t="str">
        <f t="shared" si="46"/>
        <v>Strategic Energy Management_0_CI</v>
      </c>
      <c r="D84" s="270" t="s">
        <v>1787</v>
      </c>
      <c r="E84" s="270" t="s">
        <v>3</v>
      </c>
      <c r="F84" s="270" t="s">
        <v>1427</v>
      </c>
      <c r="G84" s="270" t="s">
        <v>1397</v>
      </c>
      <c r="H84" s="270" t="s">
        <v>1397</v>
      </c>
      <c r="I84" s="270">
        <v>0</v>
      </c>
      <c r="J84" s="270" t="s">
        <v>1159</v>
      </c>
      <c r="K84" s="263">
        <v>1</v>
      </c>
      <c r="L84" s="263">
        <f ca="1">IFERROR(INDEX(Algorithms!J:J,MATCH($C84&amp;"_Therm Saved per Unit",Algorithms!$A:$A,0)),"n/a")</f>
        <v>0</v>
      </c>
      <c r="M84" s="263" t="str">
        <f>IFERROR(INDEX('Measure Level Detail'!$N:$N,MATCH($B84,'Measure Level Detail'!$B:$B,0)),0)</f>
        <v>therm</v>
      </c>
      <c r="N84" s="271">
        <f>IFERROR(INDEX('Measure Level Detail'!$P:$P,MATCH($B84&amp;"_"&amp;N$3,'Measure Level Detail'!$C:$C,0)),0)</f>
        <v>105503.63461538462</v>
      </c>
      <c r="O84" s="271">
        <f>IFERROR(INDEX('Measure Level Detail'!$P:$P,MATCH($B84&amp;"_"&amp;O$3,'Measure Level Detail'!$C:$C,0)),0)</f>
        <v>99297.538461538468</v>
      </c>
      <c r="P84" s="271">
        <f>IFERROR(INDEX('Measure Level Detail'!$P:$P,MATCH($B84&amp;"_"&amp;P$3,'Measure Level Detail'!$C:$C,0)),0)</f>
        <v>86885.346153846156</v>
      </c>
      <c r="Q84" s="271">
        <f>IFERROR(INDEX('Measure Level Detail'!$P:$P,MATCH($B84&amp;"_"&amp;Q$3,'Measure Level Detail'!$C:$C,0)),0)</f>
        <v>84402.907692307708</v>
      </c>
      <c r="R84" s="263">
        <f ca="1">IFERROR(INDEX(Algorithms!K:K,MATCH($C84&amp;"_Therm Saved per Unit",Algorithms!$A:$A,0)),"n/a")</f>
        <v>0</v>
      </c>
      <c r="S84" s="262"/>
      <c r="T84" s="272">
        <v>1</v>
      </c>
      <c r="U84" s="272">
        <v>1</v>
      </c>
      <c r="V84" s="272">
        <v>1</v>
      </c>
      <c r="W84" s="272">
        <v>1</v>
      </c>
      <c r="X84" s="276">
        <v>0.97</v>
      </c>
      <c r="Y84" s="276">
        <v>0.97</v>
      </c>
      <c r="Z84" s="276">
        <v>0.97</v>
      </c>
      <c r="AA84" s="276">
        <v>0.97</v>
      </c>
      <c r="AB84" s="266">
        <f t="shared" si="47"/>
        <v>102338.52557692309</v>
      </c>
      <c r="AC84" s="266">
        <f t="shared" si="48"/>
        <v>96318.61230769231</v>
      </c>
      <c r="AD84" s="266">
        <f t="shared" si="49"/>
        <v>84278.785769230773</v>
      </c>
      <c r="AE84" s="266">
        <f t="shared" si="50"/>
        <v>81870.820461538475</v>
      </c>
      <c r="AF84" s="266">
        <f t="shared" si="51"/>
        <v>364806.74411538464</v>
      </c>
      <c r="AG84" s="274">
        <v>0.97</v>
      </c>
      <c r="AH84" s="274">
        <v>0.97</v>
      </c>
      <c r="AI84" s="274">
        <v>0.97</v>
      </c>
      <c r="AJ84" s="274">
        <v>0.97</v>
      </c>
      <c r="AK84" s="274">
        <f t="shared" si="52"/>
        <v>0.97</v>
      </c>
      <c r="AL84" s="274">
        <f t="shared" si="53"/>
        <v>0.97</v>
      </c>
      <c r="AM84" s="274">
        <f t="shared" si="54"/>
        <v>0.97</v>
      </c>
      <c r="AN84" s="274">
        <f t="shared" si="55"/>
        <v>0.97</v>
      </c>
      <c r="AO84" s="262"/>
      <c r="AP84" s="262"/>
      <c r="AQ84" s="267">
        <v>1</v>
      </c>
      <c r="AR84" s="262"/>
      <c r="AS84" s="266">
        <f t="shared" si="56"/>
        <v>102338.52557692309</v>
      </c>
      <c r="AT84" s="264">
        <f t="shared" si="57"/>
        <v>0</v>
      </c>
      <c r="AU84" s="262"/>
      <c r="AV84" s="262"/>
      <c r="AW84" s="265">
        <v>1</v>
      </c>
      <c r="AX84" s="164" t="s">
        <v>1469</v>
      </c>
      <c r="AY84" s="266">
        <v>96318.61230769231</v>
      </c>
      <c r="AZ84" s="266">
        <f t="shared" si="58"/>
        <v>96318.61230769231</v>
      </c>
      <c r="BA84" s="264">
        <f t="shared" si="59"/>
        <v>0</v>
      </c>
      <c r="BB84" s="262"/>
      <c r="BC84" s="262"/>
      <c r="BD84" s="265">
        <f ca="1">IFERROR(INDEX(Algorithms!$G:$G,MATCH($C84&amp;"_Therm Saved per Unit",Algorithms!$A:$A,0)),0)</f>
        <v>1</v>
      </c>
      <c r="BE84" s="164" t="str">
        <f ca="1">IFERROR(INDEX('v12 Revisions'!$P$29:$P$186, MATCH('Measure-Level Adj Gas'!$L84, 'v12 Revisions'!$D$29:$D$186,0)),"")</f>
        <v/>
      </c>
      <c r="BF84" s="266">
        <f t="shared" ca="1" si="60"/>
        <v>84278.785769230773</v>
      </c>
      <c r="BG84" s="264">
        <f t="shared" ca="1" si="61"/>
        <v>0</v>
      </c>
      <c r="BH84" s="262"/>
      <c r="BI84" s="262"/>
      <c r="BJ84" s="265">
        <f ca="1">IFERROR(INDEX(Algorithms!$G:$G,MATCH($C84&amp;"_Therm Saved per Unit",Algorithms!$A:$A,0)),0)</f>
        <v>1</v>
      </c>
      <c r="BK84" s="164"/>
      <c r="BL84" s="266">
        <f t="shared" ca="1" si="62"/>
        <v>81870.820461538475</v>
      </c>
      <c r="BM84" s="264">
        <f t="shared" ca="1" si="63"/>
        <v>0</v>
      </c>
      <c r="BN84" s="266">
        <f t="shared" si="64"/>
        <v>102338.52557692309</v>
      </c>
      <c r="BO84" s="266">
        <f t="shared" si="65"/>
        <v>96318.61230769231</v>
      </c>
      <c r="BP84" s="266">
        <f t="shared" ca="1" si="66"/>
        <v>84278.785769230773</v>
      </c>
      <c r="BQ84" s="266">
        <f t="shared" ca="1" si="67"/>
        <v>81870.820461538475</v>
      </c>
      <c r="BR84" s="268">
        <f t="shared" ca="1" si="68"/>
        <v>364806.74411538464</v>
      </c>
      <c r="BS84" s="262" t="s">
        <v>99</v>
      </c>
      <c r="BT84" s="277"/>
      <c r="BW84" s="266">
        <f t="shared" si="69"/>
        <v>102338.52557692309</v>
      </c>
      <c r="BX84" s="266">
        <f t="shared" si="70"/>
        <v>96318.61230769231</v>
      </c>
      <c r="BY84" s="266">
        <f t="shared" si="71"/>
        <v>84278.785769230773</v>
      </c>
      <c r="BZ84" s="266">
        <f t="shared" si="72"/>
        <v>81870.820461538475</v>
      </c>
      <c r="CA84" s="266">
        <f ca="1">N84*IFERROR(INDEX(Algorithms!$G:$G,MATCH($C84&amp;"_Therm Saved per Unit- MLA",Algorithms!$A:$A,0)),0)*X84</f>
        <v>0</v>
      </c>
      <c r="CB84" s="266">
        <f ca="1">O84*IFERROR(INDEX(Algorithms!$G:$G,MATCH($C84&amp;"_Therm Saved per Unit- MLA",Algorithms!$A:$A,0)),0)*Y84</f>
        <v>0</v>
      </c>
      <c r="CC84" s="266">
        <f ca="1">P84*IFERROR(INDEX(Algorithms!$G:$G,MATCH($C84&amp;"_Therm Saved per Unit- MLA",Algorithms!$A:$A,0)),0)*Z84</f>
        <v>0</v>
      </c>
      <c r="CD84" s="266">
        <f ca="1">Q84*IFERROR(INDEX(Algorithms!$G:$G,MATCH($C84&amp;"_Therm Saved per Unit- MLA",Algorithms!$A:$A,0)),0)*AA84</f>
        <v>0</v>
      </c>
      <c r="CE84" s="266">
        <f ca="1">IFERROR(INDEX(Algorithms!$G:$G,MATCH($C84&amp;"_Lifetime (years)",Algorithms!$A:$A,0)),0)</f>
        <v>5</v>
      </c>
      <c r="CF84" s="266">
        <f ca="1">IFERROR(INDEX(Algorithms!$G:$G,MATCH($C84&amp;"_Lifetime (years) - Remaining Years",Algorithms!$A:$A,0)),0)</f>
        <v>0</v>
      </c>
      <c r="CG84" s="266">
        <f t="shared" ca="1" si="73"/>
        <v>511692.62788461545</v>
      </c>
      <c r="CH84" s="266">
        <f t="shared" ca="1" si="74"/>
        <v>481593.06153846154</v>
      </c>
      <c r="CI84" s="266">
        <f t="shared" ca="1" si="75"/>
        <v>421393.9288461539</v>
      </c>
      <c r="CJ84" s="266">
        <f t="shared" ca="1" si="76"/>
        <v>409354.1023076924</v>
      </c>
      <c r="CK84" s="266">
        <f t="shared" si="77"/>
        <v>102338.52557692309</v>
      </c>
      <c r="CL84" s="266">
        <f t="shared" si="78"/>
        <v>96318.61230769231</v>
      </c>
      <c r="CM84" s="266">
        <f t="shared" ca="1" si="79"/>
        <v>84278.785769230773</v>
      </c>
      <c r="CN84" s="266">
        <f t="shared" ca="1" si="80"/>
        <v>81870.820461538475</v>
      </c>
      <c r="CO84" s="266">
        <f ca="1">N84*IFERROR(INDEX(Algorithms!$G:$G,MATCH($C84&amp;"_Therm Saved per Unit- MLA",Algorithms!$A:$A,0)),0)*X84</f>
        <v>0</v>
      </c>
      <c r="CP84" s="266">
        <f ca="1">O84*IFERROR(INDEX(Algorithms!$G:$G,MATCH($C84&amp;"_Therm Saved per Unit- MLA",Algorithms!$A:$A,0)),0)*Y84</f>
        <v>0</v>
      </c>
      <c r="CQ84" s="266">
        <f ca="1">P84*IFERROR(INDEX(Algorithms!$G:$G,MATCH($C84&amp;"_Therm Saved per Unit- MLA",Algorithms!$A:$A,0)),0)*Z84</f>
        <v>0</v>
      </c>
      <c r="CR84" s="266">
        <f ca="1">Q84*IFERROR(INDEX(Algorithms!$G:$G,MATCH($C84&amp;"_Therm Saved per Unit- MLA",Algorithms!$A:$A,0)),0)*AA84</f>
        <v>0</v>
      </c>
      <c r="CS84" s="266">
        <f ca="1">IFERROR(INDEX(Algorithms!$G:$G,MATCH($C84&amp;"_Lifetime (years)",Algorithms!$A:$A,0)),0)</f>
        <v>5</v>
      </c>
      <c r="CT84" s="266">
        <f ca="1">IFERROR(INDEX(Algorithms!$G:$G,MATCH($C84&amp;"_Lifetime (years) - Remaining Years",Algorithms!$A:$A,0)),0)</f>
        <v>0</v>
      </c>
      <c r="CU84" s="266">
        <f t="shared" ca="1" si="81"/>
        <v>511692.62788461545</v>
      </c>
      <c r="CV84" s="266">
        <f t="shared" ca="1" si="82"/>
        <v>481593.06153846154</v>
      </c>
      <c r="CW84" s="266">
        <f t="shared" ca="1" si="83"/>
        <v>421393.9288461539</v>
      </c>
      <c r="CX84" s="266">
        <f t="shared" ca="1" si="84"/>
        <v>409354.1023076924</v>
      </c>
    </row>
    <row r="85" spans="2:102" s="47" customFormat="1" ht="18" customHeight="1" x14ac:dyDescent="0.25">
      <c r="B85" t="str">
        <f t="shared" si="85"/>
        <v>NSG_Business_C&amp;I_Rebates_Boiler Tune Up_Process_MF/CI</v>
      </c>
      <c r="C85" s="47" t="str">
        <f t="shared" si="46"/>
        <v>Boiler Tune Up_Process_MF/CI</v>
      </c>
      <c r="D85" s="270" t="s">
        <v>1787</v>
      </c>
      <c r="E85" s="270" t="s">
        <v>3</v>
      </c>
      <c r="F85" s="270" t="s">
        <v>1427</v>
      </c>
      <c r="G85" s="270" t="s">
        <v>1429</v>
      </c>
      <c r="H85" s="270" t="s">
        <v>906</v>
      </c>
      <c r="I85" s="270" t="s">
        <v>924</v>
      </c>
      <c r="J85" s="270" t="s">
        <v>587</v>
      </c>
      <c r="K85" s="263">
        <v>1</v>
      </c>
      <c r="L85" s="263" t="str">
        <f ca="1">IFERROR(INDEX(Algorithms!J:J,MATCH($C85&amp;"_Therm Saved per Unit",Algorithms!$A:$A,0)),"n/a")</f>
        <v>4.4.3</v>
      </c>
      <c r="M85" s="263" t="str">
        <f>IFERROR(INDEX('Measure Level Detail'!$N:$N,MATCH($B85,'Measure Level Detail'!$B:$B,0)),0)</f>
        <v>MBH</v>
      </c>
      <c r="N85" s="271">
        <f>IFERROR(INDEX('Measure Level Detail'!$P:$P,MATCH($B85&amp;"_"&amp;N$3,'Measure Level Detail'!$C:$C,0)),0)</f>
        <v>102000</v>
      </c>
      <c r="O85" s="271">
        <f>IFERROR(INDEX('Measure Level Detail'!$P:$P,MATCH($B85&amp;"_"&amp;O$3,'Measure Level Detail'!$C:$C,0)),0)</f>
        <v>96000</v>
      </c>
      <c r="P85" s="271">
        <f>IFERROR(INDEX('Measure Level Detail'!$P:$P,MATCH($B85&amp;"_"&amp;P$3,'Measure Level Detail'!$C:$C,0)),0)</f>
        <v>84000</v>
      </c>
      <c r="Q85" s="271">
        <f>IFERROR(INDEX('Measure Level Detail'!$P:$P,MATCH($B85&amp;"_"&amp;Q$3,'Measure Level Detail'!$C:$C,0)),0)</f>
        <v>81600.000000000015</v>
      </c>
      <c r="R85" s="263" t="str">
        <f ca="1">IFERROR(INDEX(Algorithms!K:K,MATCH($C85&amp;"_Therm Saved per Unit",Algorithms!$A:$A,0)),"n/a")</f>
        <v>CI-HVC-PBTU-V07-230101</v>
      </c>
      <c r="S85" s="262"/>
      <c r="T85" s="272">
        <v>1.0227353753026578</v>
      </c>
      <c r="U85" s="272">
        <v>1.0227353753026578</v>
      </c>
      <c r="V85" s="272">
        <v>1.0227353753026578</v>
      </c>
      <c r="W85" s="272">
        <v>1.0227353753026578</v>
      </c>
      <c r="X85" s="273">
        <f>IFERROR(INDEX('Measure Level Detail'!$R:$R,MATCH($B85&amp;"_"&amp;X$3,'Measure Level Detail'!$C:$C,0)),0)</f>
        <v>0.91</v>
      </c>
      <c r="Y85" s="273">
        <f>IFERROR(INDEX('Measure Level Detail'!$R:$R,MATCH($B85&amp;"_"&amp;Y$3,'Measure Level Detail'!$C:$C,0)),0)</f>
        <v>0.91</v>
      </c>
      <c r="Z85" s="273">
        <f>IFERROR(INDEX('Measure Level Detail'!$R:$R,MATCH($B85&amp;"_"&amp;Z$3,'Measure Level Detail'!$C:$C,0)),0)</f>
        <v>0.91</v>
      </c>
      <c r="AA85" s="273">
        <f>IFERROR(INDEX('Measure Level Detail'!$R:$R,MATCH($B85&amp;"_"&amp;AA$3,'Measure Level Detail'!$C:$C,0)),0)</f>
        <v>0.91</v>
      </c>
      <c r="AB85" s="266">
        <f t="shared" si="47"/>
        <v>94930.297535592705</v>
      </c>
      <c r="AC85" s="266">
        <f t="shared" si="48"/>
        <v>89346.162386440192</v>
      </c>
      <c r="AD85" s="266">
        <f t="shared" si="49"/>
        <v>78177.892088135166</v>
      </c>
      <c r="AE85" s="266">
        <f t="shared" si="50"/>
        <v>75944.238028474167</v>
      </c>
      <c r="AF85" s="266">
        <f t="shared" si="51"/>
        <v>338398.59003864223</v>
      </c>
      <c r="AG85" s="274">
        <v>0.91</v>
      </c>
      <c r="AH85" s="274">
        <v>0.91</v>
      </c>
      <c r="AI85" s="274">
        <v>0.91</v>
      </c>
      <c r="AJ85" s="274">
        <v>0.91</v>
      </c>
      <c r="AK85" s="274">
        <f t="shared" si="52"/>
        <v>0.91</v>
      </c>
      <c r="AL85" s="274">
        <f t="shared" si="53"/>
        <v>0.91</v>
      </c>
      <c r="AM85" s="274">
        <f t="shared" si="54"/>
        <v>0.91</v>
      </c>
      <c r="AN85" s="274">
        <f t="shared" si="55"/>
        <v>0.91</v>
      </c>
      <c r="AO85" s="262"/>
      <c r="AP85" s="262"/>
      <c r="AQ85" s="267">
        <v>1.0227353753026578</v>
      </c>
      <c r="AR85" s="262"/>
      <c r="AS85" s="266">
        <f t="shared" si="56"/>
        <v>94930.297535592705</v>
      </c>
      <c r="AT85" s="264">
        <f t="shared" si="57"/>
        <v>0</v>
      </c>
      <c r="AU85" s="262"/>
      <c r="AV85" s="262"/>
      <c r="AW85" s="265">
        <v>1.0227353753026578</v>
      </c>
      <c r="AX85" s="164" t="s">
        <v>2396</v>
      </c>
      <c r="AY85" s="266">
        <v>89346.162386440192</v>
      </c>
      <c r="AZ85" s="266">
        <f t="shared" si="58"/>
        <v>89346.162386440192</v>
      </c>
      <c r="BA85" s="264">
        <f t="shared" si="59"/>
        <v>0</v>
      </c>
      <c r="BB85" s="262"/>
      <c r="BC85" s="262"/>
      <c r="BD85" s="265">
        <f ca="1">IFERROR(INDEX(Algorithms!$G:$G,MATCH($C85&amp;"_Therm Saved per Unit",Algorithms!$A:$A,0)),0)</f>
        <v>1.0227353753026578</v>
      </c>
      <c r="BE85" s="164" t="str">
        <f ca="1">IFERROR(INDEX('v12 Revisions'!$P$29:$P$186, MATCH('Measure-Level Adj Gas'!$L85, 'v12 Revisions'!$D$29:$D$186,0)),"")</f>
        <v/>
      </c>
      <c r="BF85" s="266">
        <f t="shared" ca="1" si="60"/>
        <v>78177.892088135166</v>
      </c>
      <c r="BG85" s="264">
        <f t="shared" ca="1" si="61"/>
        <v>0</v>
      </c>
      <c r="BH85" s="262"/>
      <c r="BI85" s="262"/>
      <c r="BJ85" s="265">
        <f ca="1">IFERROR(INDEX(Algorithms!$G:$G,MATCH($C85&amp;"_Therm Saved per Unit",Algorithms!$A:$A,0)),0)</f>
        <v>1.0227353753026578</v>
      </c>
      <c r="BK85" s="164"/>
      <c r="BL85" s="266">
        <f t="shared" ca="1" si="62"/>
        <v>75944.238028474167</v>
      </c>
      <c r="BM85" s="264">
        <f t="shared" ca="1" si="63"/>
        <v>0</v>
      </c>
      <c r="BN85" s="266">
        <f t="shared" si="64"/>
        <v>94930.297535592705</v>
      </c>
      <c r="BO85" s="266">
        <f t="shared" si="65"/>
        <v>89346.162386440192</v>
      </c>
      <c r="BP85" s="266">
        <f t="shared" ca="1" si="66"/>
        <v>78177.892088135166</v>
      </c>
      <c r="BQ85" s="266">
        <f t="shared" ca="1" si="67"/>
        <v>75944.238028474167</v>
      </c>
      <c r="BR85" s="268">
        <f t="shared" ca="1" si="68"/>
        <v>338398.59003864223</v>
      </c>
      <c r="BS85" s="262" t="s">
        <v>99</v>
      </c>
      <c r="BT85" s="277"/>
      <c r="BW85" s="266">
        <f t="shared" si="69"/>
        <v>94930.297535592705</v>
      </c>
      <c r="BX85" s="266">
        <f t="shared" si="70"/>
        <v>89346.162386440192</v>
      </c>
      <c r="BY85" s="266">
        <f t="shared" si="71"/>
        <v>78177.892088135166</v>
      </c>
      <c r="BZ85" s="266">
        <f t="shared" si="72"/>
        <v>75944.238028474167</v>
      </c>
      <c r="CA85" s="266">
        <f ca="1">N85*IFERROR(INDEX(Algorithms!$G:$G,MATCH($C85&amp;"_Therm Saved per Unit- MLA",Algorithms!$A:$A,0)),0)*X85</f>
        <v>0</v>
      </c>
      <c r="CB85" s="266">
        <f ca="1">O85*IFERROR(INDEX(Algorithms!$G:$G,MATCH($C85&amp;"_Therm Saved per Unit- MLA",Algorithms!$A:$A,0)),0)*Y85</f>
        <v>0</v>
      </c>
      <c r="CC85" s="266">
        <f ca="1">P85*IFERROR(INDEX(Algorithms!$G:$G,MATCH($C85&amp;"_Therm Saved per Unit- MLA",Algorithms!$A:$A,0)),0)*Z85</f>
        <v>0</v>
      </c>
      <c r="CD85" s="266">
        <f ca="1">Q85*IFERROR(INDEX(Algorithms!$G:$G,MATCH($C85&amp;"_Therm Saved per Unit- MLA",Algorithms!$A:$A,0)),0)*AA85</f>
        <v>0</v>
      </c>
      <c r="CE85" s="266">
        <f ca="1">IFERROR(INDEX(Algorithms!$G:$G,MATCH($C85&amp;"_Lifetime (years)",Algorithms!$A:$A,0)),0)</f>
        <v>2</v>
      </c>
      <c r="CF85" s="266">
        <f ca="1">IFERROR(INDEX(Algorithms!$G:$G,MATCH($C85&amp;"_Lifetime (years) - Remaining Years",Algorithms!$A:$A,0)),0)</f>
        <v>0</v>
      </c>
      <c r="CG85" s="266">
        <f t="shared" ca="1" si="73"/>
        <v>189860.59507118541</v>
      </c>
      <c r="CH85" s="266">
        <f t="shared" ca="1" si="74"/>
        <v>178692.32477288038</v>
      </c>
      <c r="CI85" s="266">
        <f t="shared" ca="1" si="75"/>
        <v>156355.78417627033</v>
      </c>
      <c r="CJ85" s="266">
        <f t="shared" ca="1" si="76"/>
        <v>151888.47605694833</v>
      </c>
      <c r="CK85" s="266">
        <f t="shared" si="77"/>
        <v>94930.297535592705</v>
      </c>
      <c r="CL85" s="266">
        <f t="shared" si="78"/>
        <v>89346.162386440192</v>
      </c>
      <c r="CM85" s="266">
        <f t="shared" ca="1" si="79"/>
        <v>78177.892088135166</v>
      </c>
      <c r="CN85" s="266">
        <f t="shared" ca="1" si="80"/>
        <v>75944.238028474167</v>
      </c>
      <c r="CO85" s="266">
        <f ca="1">N85*IFERROR(INDEX(Algorithms!$G:$G,MATCH($C85&amp;"_Therm Saved per Unit- MLA",Algorithms!$A:$A,0)),0)*X85</f>
        <v>0</v>
      </c>
      <c r="CP85" s="266">
        <f ca="1">O85*IFERROR(INDEX(Algorithms!$G:$G,MATCH($C85&amp;"_Therm Saved per Unit- MLA",Algorithms!$A:$A,0)),0)*Y85</f>
        <v>0</v>
      </c>
      <c r="CQ85" s="266">
        <f ca="1">P85*IFERROR(INDEX(Algorithms!$G:$G,MATCH($C85&amp;"_Therm Saved per Unit- MLA",Algorithms!$A:$A,0)),0)*Z85</f>
        <v>0</v>
      </c>
      <c r="CR85" s="266">
        <f ca="1">Q85*IFERROR(INDEX(Algorithms!$G:$G,MATCH($C85&amp;"_Therm Saved per Unit- MLA",Algorithms!$A:$A,0)),0)*AA85</f>
        <v>0</v>
      </c>
      <c r="CS85" s="266">
        <f ca="1">IFERROR(INDEX(Algorithms!$G:$G,MATCH($C85&amp;"_Lifetime (years)",Algorithms!$A:$A,0)),0)</f>
        <v>2</v>
      </c>
      <c r="CT85" s="266">
        <f ca="1">IFERROR(INDEX(Algorithms!$G:$G,MATCH($C85&amp;"_Lifetime (years) - Remaining Years",Algorithms!$A:$A,0)),0)</f>
        <v>0</v>
      </c>
      <c r="CU85" s="266">
        <f t="shared" ca="1" si="81"/>
        <v>189860.59507118541</v>
      </c>
      <c r="CV85" s="266">
        <f t="shared" ca="1" si="82"/>
        <v>178692.32477288038</v>
      </c>
      <c r="CW85" s="266">
        <f t="shared" ca="1" si="83"/>
        <v>156355.78417627033</v>
      </c>
      <c r="CX85" s="266">
        <f t="shared" ca="1" si="84"/>
        <v>151888.47605694833</v>
      </c>
    </row>
    <row r="86" spans="2:102" s="47" customFormat="1" ht="18" customHeight="1" x14ac:dyDescent="0.25">
      <c r="B86" t="str">
        <f t="shared" si="85"/>
        <v>NSG_Business_C&amp;I_Custom_C&amp;I Custom_0_CI</v>
      </c>
      <c r="C86" s="47" t="str">
        <f t="shared" si="46"/>
        <v>C&amp;I Custom_0_CI</v>
      </c>
      <c r="D86" s="270" t="s">
        <v>1787</v>
      </c>
      <c r="E86" s="270" t="s">
        <v>3</v>
      </c>
      <c r="F86" s="270" t="s">
        <v>1427</v>
      </c>
      <c r="G86" s="270" t="s">
        <v>5</v>
      </c>
      <c r="H86" s="270" t="s">
        <v>1285</v>
      </c>
      <c r="I86" s="270">
        <v>0</v>
      </c>
      <c r="J86" s="270" t="s">
        <v>1159</v>
      </c>
      <c r="K86" s="263">
        <v>0</v>
      </c>
      <c r="L86" s="263">
        <f ca="1">IFERROR(INDEX(Algorithms!J:J,MATCH($C86&amp;"_Therm Saved per Unit",Algorithms!$A:$A,0)),"n/a")</f>
        <v>0</v>
      </c>
      <c r="M86" s="263" t="str">
        <f>IFERROR(INDEX('Measure Level Detail'!$N:$N,MATCH($B86,'Measure Level Detail'!$B:$B,0)),0)</f>
        <v>therm</v>
      </c>
      <c r="N86" s="271">
        <f>IFERROR(INDEX('Measure Level Detail'!$P:$P,MATCH($B86&amp;"_"&amp;N$3,'Measure Level Detail'!$C:$C,0)),0)</f>
        <v>50976</v>
      </c>
      <c r="O86" s="271">
        <f>IFERROR(INDEX('Measure Level Detail'!$P:$P,MATCH($B86&amp;"_"&amp;O$3,'Measure Level Detail'!$C:$C,0)),0)</f>
        <v>54374.400000000001</v>
      </c>
      <c r="P86" s="271">
        <f>IFERROR(INDEX('Measure Level Detail'!$P:$P,MATCH($B86&amp;"_"&amp;P$3,'Measure Level Detail'!$C:$C,0)),0)</f>
        <v>47577.599999999999</v>
      </c>
      <c r="Q86" s="271">
        <f>IFERROR(INDEX('Measure Level Detail'!$P:$P,MATCH($B86&amp;"_"&amp;Q$3,'Measure Level Detail'!$C:$C,0)),0)</f>
        <v>46218.240000000005</v>
      </c>
      <c r="R86" s="263">
        <f ca="1">IFERROR(INDEX(Algorithms!K:K,MATCH($C86&amp;"_Therm Saved per Unit",Algorithms!$A:$A,0)),"n/a")</f>
        <v>0</v>
      </c>
      <c r="S86" s="262"/>
      <c r="T86" s="272">
        <v>1</v>
      </c>
      <c r="U86" s="272">
        <v>1</v>
      </c>
      <c r="V86" s="272">
        <v>1</v>
      </c>
      <c r="W86" s="272">
        <v>1</v>
      </c>
      <c r="X86" s="273">
        <f>IFERROR(INDEX('Measure Level Detail'!$R:$R,MATCH($B86&amp;"_"&amp;X$3,'Measure Level Detail'!$C:$C,0)),0)</f>
        <v>0.74</v>
      </c>
      <c r="Y86" s="273">
        <f>IFERROR(INDEX('Measure Level Detail'!$R:$R,MATCH($B86&amp;"_"&amp;Y$3,'Measure Level Detail'!$C:$C,0)),0)</f>
        <v>0.74</v>
      </c>
      <c r="Z86" s="273">
        <f>IFERROR(INDEX('Measure Level Detail'!$R:$R,MATCH($B86&amp;"_"&amp;Z$3,'Measure Level Detail'!$C:$C,0)),0)</f>
        <v>0.74</v>
      </c>
      <c r="AA86" s="273">
        <f>IFERROR(INDEX('Measure Level Detail'!$R:$R,MATCH($B86&amp;"_"&amp;AA$3,'Measure Level Detail'!$C:$C,0)),0)</f>
        <v>0.74</v>
      </c>
      <c r="AB86" s="266">
        <f t="shared" si="47"/>
        <v>37722.239999999998</v>
      </c>
      <c r="AC86" s="266">
        <f t="shared" si="48"/>
        <v>40237.056000000004</v>
      </c>
      <c r="AD86" s="266">
        <f t="shared" si="49"/>
        <v>35207.423999999999</v>
      </c>
      <c r="AE86" s="266">
        <f t="shared" si="50"/>
        <v>34201.497600000002</v>
      </c>
      <c r="AF86" s="266">
        <f t="shared" si="51"/>
        <v>147368.2176</v>
      </c>
      <c r="AG86" s="274">
        <v>0.74</v>
      </c>
      <c r="AH86" s="274">
        <v>0.74</v>
      </c>
      <c r="AI86" s="274">
        <v>0.74</v>
      </c>
      <c r="AJ86" s="274">
        <v>0.74</v>
      </c>
      <c r="AK86" s="274">
        <f t="shared" si="52"/>
        <v>0.74</v>
      </c>
      <c r="AL86" s="274">
        <f t="shared" si="53"/>
        <v>0.74</v>
      </c>
      <c r="AM86" s="274">
        <f t="shared" si="54"/>
        <v>0.74</v>
      </c>
      <c r="AN86" s="274">
        <f t="shared" si="55"/>
        <v>0.74</v>
      </c>
      <c r="AO86" s="262"/>
      <c r="AP86" s="262"/>
      <c r="AQ86" s="267">
        <v>1</v>
      </c>
      <c r="AR86" s="262"/>
      <c r="AS86" s="266">
        <f t="shared" si="56"/>
        <v>37722.239999999998</v>
      </c>
      <c r="AT86" s="264">
        <f t="shared" si="57"/>
        <v>0</v>
      </c>
      <c r="AU86" s="262"/>
      <c r="AV86" s="262"/>
      <c r="AW86" s="265">
        <v>1</v>
      </c>
      <c r="AX86" s="164" t="s">
        <v>1469</v>
      </c>
      <c r="AY86" s="266">
        <v>40237.056000000004</v>
      </c>
      <c r="AZ86" s="266">
        <f t="shared" si="58"/>
        <v>40237.056000000004</v>
      </c>
      <c r="BA86" s="264">
        <f t="shared" si="59"/>
        <v>0</v>
      </c>
      <c r="BB86" s="262"/>
      <c r="BC86" s="262"/>
      <c r="BD86" s="265">
        <f ca="1">IFERROR(INDEX(Algorithms!$G:$G,MATCH($C86&amp;"_Therm Saved per Unit",Algorithms!$A:$A,0)),0)</f>
        <v>1</v>
      </c>
      <c r="BE86" s="164" t="str">
        <f ca="1">IFERROR(INDEX('v12 Revisions'!$P$29:$P$186, MATCH('Measure-Level Adj Gas'!$L86, 'v12 Revisions'!$D$29:$D$186,0)),"")</f>
        <v/>
      </c>
      <c r="BF86" s="266">
        <f t="shared" ca="1" si="60"/>
        <v>35207.423999999999</v>
      </c>
      <c r="BG86" s="264">
        <f t="shared" ca="1" si="61"/>
        <v>0</v>
      </c>
      <c r="BH86" s="262"/>
      <c r="BI86" s="262"/>
      <c r="BJ86" s="265">
        <f ca="1">IFERROR(INDEX(Algorithms!$G:$G,MATCH($C86&amp;"_Therm Saved per Unit",Algorithms!$A:$A,0)),0)</f>
        <v>1</v>
      </c>
      <c r="BK86" s="164"/>
      <c r="BL86" s="266">
        <f t="shared" ca="1" si="62"/>
        <v>34201.497600000002</v>
      </c>
      <c r="BM86" s="264">
        <f t="shared" ca="1" si="63"/>
        <v>0</v>
      </c>
      <c r="BN86" s="266">
        <f t="shared" si="64"/>
        <v>37722.239999999998</v>
      </c>
      <c r="BO86" s="266">
        <f t="shared" si="65"/>
        <v>40237.056000000004</v>
      </c>
      <c r="BP86" s="266">
        <f t="shared" si="66"/>
        <v>35207.423999999999</v>
      </c>
      <c r="BQ86" s="266">
        <f t="shared" si="67"/>
        <v>34201.497600000002</v>
      </c>
      <c r="BR86" s="268">
        <f t="shared" si="68"/>
        <v>147368.2176</v>
      </c>
      <c r="BS86" s="262" t="s">
        <v>99</v>
      </c>
      <c r="BT86" s="277"/>
      <c r="BW86" s="266">
        <f t="shared" si="69"/>
        <v>37722.239999999998</v>
      </c>
      <c r="BX86" s="266">
        <f t="shared" si="70"/>
        <v>40237.056000000004</v>
      </c>
      <c r="BY86" s="266">
        <f t="shared" si="71"/>
        <v>35207.423999999999</v>
      </c>
      <c r="BZ86" s="266">
        <f t="shared" si="72"/>
        <v>34201.497600000002</v>
      </c>
      <c r="CA86" s="266">
        <f ca="1">N86*IFERROR(INDEX(Algorithms!$G:$G,MATCH($C86&amp;"_Therm Saved per Unit- MLA",Algorithms!$A:$A,0)),0)*X86</f>
        <v>0</v>
      </c>
      <c r="CB86" s="266">
        <f ca="1">O86*IFERROR(INDEX(Algorithms!$G:$G,MATCH($C86&amp;"_Therm Saved per Unit- MLA",Algorithms!$A:$A,0)),0)*Y86</f>
        <v>0</v>
      </c>
      <c r="CC86" s="266">
        <f ca="1">P86*IFERROR(INDEX(Algorithms!$G:$G,MATCH($C86&amp;"_Therm Saved per Unit- MLA",Algorithms!$A:$A,0)),0)*Z86</f>
        <v>0</v>
      </c>
      <c r="CD86" s="266">
        <f ca="1">Q86*IFERROR(INDEX(Algorithms!$G:$G,MATCH($C86&amp;"_Therm Saved per Unit- MLA",Algorithms!$A:$A,0)),0)*AA86</f>
        <v>0</v>
      </c>
      <c r="CE86" s="266">
        <f ca="1">IFERROR(INDEX(Algorithms!$G:$G,MATCH($C86&amp;"_Lifetime (years)",Algorithms!$A:$A,0)),0)</f>
        <v>15</v>
      </c>
      <c r="CF86" s="266">
        <f ca="1">IFERROR(INDEX(Algorithms!$G:$G,MATCH($C86&amp;"_Lifetime (years) - Remaining Years",Algorithms!$A:$A,0)),0)</f>
        <v>0</v>
      </c>
      <c r="CG86" s="266">
        <f t="shared" ca="1" si="73"/>
        <v>565833.6</v>
      </c>
      <c r="CH86" s="266">
        <f t="shared" ca="1" si="74"/>
        <v>603555.84000000008</v>
      </c>
      <c r="CI86" s="266">
        <f t="shared" ca="1" si="75"/>
        <v>528111.35999999999</v>
      </c>
      <c r="CJ86" s="266">
        <f t="shared" ca="1" si="76"/>
        <v>513022.46400000004</v>
      </c>
      <c r="CK86" s="266">
        <f t="shared" si="77"/>
        <v>37722.239999999998</v>
      </c>
      <c r="CL86" s="266">
        <f t="shared" si="78"/>
        <v>40237.056000000004</v>
      </c>
      <c r="CM86" s="266">
        <f t="shared" ca="1" si="79"/>
        <v>35207.423999999999</v>
      </c>
      <c r="CN86" s="266">
        <f t="shared" ca="1" si="80"/>
        <v>34201.497600000002</v>
      </c>
      <c r="CO86" s="266">
        <f ca="1">N86*IFERROR(INDEX(Algorithms!$G:$G,MATCH($C86&amp;"_Therm Saved per Unit- MLA",Algorithms!$A:$A,0)),0)*X86</f>
        <v>0</v>
      </c>
      <c r="CP86" s="266">
        <f ca="1">O86*IFERROR(INDEX(Algorithms!$G:$G,MATCH($C86&amp;"_Therm Saved per Unit- MLA",Algorithms!$A:$A,0)),0)*Y86</f>
        <v>0</v>
      </c>
      <c r="CQ86" s="266">
        <f ca="1">P86*IFERROR(INDEX(Algorithms!$G:$G,MATCH($C86&amp;"_Therm Saved per Unit- MLA",Algorithms!$A:$A,0)),0)*Z86</f>
        <v>0</v>
      </c>
      <c r="CR86" s="266">
        <f ca="1">Q86*IFERROR(INDEX(Algorithms!$G:$G,MATCH($C86&amp;"_Therm Saved per Unit- MLA",Algorithms!$A:$A,0)),0)*AA86</f>
        <v>0</v>
      </c>
      <c r="CS86" s="266">
        <f ca="1">IFERROR(INDEX(Algorithms!$G:$G,MATCH($C86&amp;"_Lifetime (years)",Algorithms!$A:$A,0)),0)</f>
        <v>15</v>
      </c>
      <c r="CT86" s="266">
        <f ca="1">IFERROR(INDEX(Algorithms!$G:$G,MATCH($C86&amp;"_Lifetime (years) - Remaining Years",Algorithms!$A:$A,0)),0)</f>
        <v>0</v>
      </c>
      <c r="CU86" s="266">
        <f t="shared" ca="1" si="81"/>
        <v>565833.6</v>
      </c>
      <c r="CV86" s="266">
        <f t="shared" ca="1" si="82"/>
        <v>603555.84000000008</v>
      </c>
      <c r="CW86" s="266">
        <f t="shared" ca="1" si="83"/>
        <v>528111.35999999999</v>
      </c>
      <c r="CX86" s="266">
        <f t="shared" ca="1" si="84"/>
        <v>513022.46400000004</v>
      </c>
    </row>
    <row r="87" spans="2:102" s="47" customFormat="1" ht="18" customHeight="1" x14ac:dyDescent="0.25">
      <c r="B87" t="str">
        <f t="shared" si="85"/>
        <v>NSG_Income Eligible_Single Family_IE Kits_Window Kit_IE Kit_IE</v>
      </c>
      <c r="C87" s="47" t="str">
        <f t="shared" si="46"/>
        <v>Window Kit_IE Kit_IE</v>
      </c>
      <c r="D87" s="270" t="s">
        <v>1787</v>
      </c>
      <c r="E87" s="270" t="s">
        <v>325</v>
      </c>
      <c r="F87" s="270" t="s">
        <v>375</v>
      </c>
      <c r="G87" s="270" t="s">
        <v>1440</v>
      </c>
      <c r="H87" s="270" t="s">
        <v>574</v>
      </c>
      <c r="I87" s="270" t="s">
        <v>550</v>
      </c>
      <c r="J87" s="270" t="s">
        <v>551</v>
      </c>
      <c r="K87" s="263">
        <v>1</v>
      </c>
      <c r="L87" s="263" t="str">
        <f ca="1">IFERROR(INDEX(Algorithms!J:J,MATCH($C87&amp;"_Therm Saved per Unit",Algorithms!$A:$A,0)),"n/a")</f>
        <v>5.6.1</v>
      </c>
      <c r="M87" s="263" t="str">
        <f>IFERROR(INDEX('Measure Level Detail'!$N:$N,MATCH($B87,'Measure Level Detail'!$B:$B,0)),0)</f>
        <v>sqft</v>
      </c>
      <c r="N87" s="271">
        <f>IFERROR(INDEX('Measure Level Detail'!$P:$P,MATCH($B87&amp;"_"&amp;N$3,'Measure Level Detail'!$C:$C,0)),0)</f>
        <v>42000</v>
      </c>
      <c r="O87" s="271">
        <f>IFERROR(INDEX('Measure Level Detail'!$P:$P,MATCH($B87&amp;"_"&amp;O$3,'Measure Level Detail'!$C:$C,0)),0)</f>
        <v>42000</v>
      </c>
      <c r="P87" s="271">
        <f>IFERROR(INDEX('Measure Level Detail'!$P:$P,MATCH($B87&amp;"_"&amp;P$3,'Measure Level Detail'!$C:$C,0)),0)</f>
        <v>42000</v>
      </c>
      <c r="Q87" s="271">
        <f>IFERROR(INDEX('Measure Level Detail'!$P:$P,MATCH($B87&amp;"_"&amp;Q$3,'Measure Level Detail'!$C:$C,0)),0)</f>
        <v>42000</v>
      </c>
      <c r="R87" s="263" t="str">
        <f ca="1">IFERROR(INDEX(Algorithms!K:K,MATCH($C87&amp;"_Therm Saved per Unit",Algorithms!$A:$A,0)),"n/a")</f>
        <v>RS-SHL-AIRS-V13-240101</v>
      </c>
      <c r="S87" s="262"/>
      <c r="T87" s="272">
        <v>8.3447999999999994E-2</v>
      </c>
      <c r="U87" s="272">
        <v>8.3447999999999994E-2</v>
      </c>
      <c r="V87" s="272">
        <v>8.3447999999999994E-2</v>
      </c>
      <c r="W87" s="272">
        <v>8.3447999999999994E-2</v>
      </c>
      <c r="X87" s="273">
        <f>IFERROR(INDEX('Measure Level Detail'!$R:$R,MATCH($B87&amp;"_"&amp;X$3,'Measure Level Detail'!$C:$C,0)),0)</f>
        <v>1</v>
      </c>
      <c r="Y87" s="273">
        <f>IFERROR(INDEX('Measure Level Detail'!$R:$R,MATCH($B87&amp;"_"&amp;Y$3,'Measure Level Detail'!$C:$C,0)),0)</f>
        <v>1</v>
      </c>
      <c r="Z87" s="273">
        <f>IFERROR(INDEX('Measure Level Detail'!$R:$R,MATCH($B87&amp;"_"&amp;Z$3,'Measure Level Detail'!$C:$C,0)),0)</f>
        <v>1</v>
      </c>
      <c r="AA87" s="273">
        <f>IFERROR(INDEX('Measure Level Detail'!$R:$R,MATCH($B87&amp;"_"&amp;AA$3,'Measure Level Detail'!$C:$C,0)),0)</f>
        <v>1</v>
      </c>
      <c r="AB87" s="266">
        <f t="shared" si="47"/>
        <v>3504.8159999999998</v>
      </c>
      <c r="AC87" s="266">
        <f t="shared" si="48"/>
        <v>3504.8159999999998</v>
      </c>
      <c r="AD87" s="266">
        <f t="shared" si="49"/>
        <v>3504.8159999999998</v>
      </c>
      <c r="AE87" s="266">
        <f t="shared" si="50"/>
        <v>3504.8159999999998</v>
      </c>
      <c r="AF87" s="266">
        <f t="shared" si="51"/>
        <v>14019.263999999999</v>
      </c>
      <c r="AG87" s="274">
        <v>1</v>
      </c>
      <c r="AH87" s="274">
        <v>1</v>
      </c>
      <c r="AI87" s="274">
        <v>1</v>
      </c>
      <c r="AJ87" s="274">
        <v>1</v>
      </c>
      <c r="AK87" s="274">
        <f t="shared" si="52"/>
        <v>1</v>
      </c>
      <c r="AL87" s="274">
        <f t="shared" si="53"/>
        <v>1</v>
      </c>
      <c r="AM87" s="274">
        <f t="shared" si="54"/>
        <v>1</v>
      </c>
      <c r="AN87" s="274">
        <f t="shared" si="55"/>
        <v>1</v>
      </c>
      <c r="AO87" s="262"/>
      <c r="AP87" s="262"/>
      <c r="AQ87" s="267">
        <v>8.3447999999999994E-2</v>
      </c>
      <c r="AR87" s="262"/>
      <c r="AS87" s="266">
        <f t="shared" si="56"/>
        <v>3504.8159999999998</v>
      </c>
      <c r="AT87" s="264">
        <f t="shared" si="57"/>
        <v>0</v>
      </c>
      <c r="AU87" s="262"/>
      <c r="AV87" s="262"/>
      <c r="AW87" s="265">
        <v>8.3447999999999994E-2</v>
      </c>
      <c r="AX87" s="164" t="s">
        <v>2395</v>
      </c>
      <c r="AY87" s="266">
        <v>3504.8159999999998</v>
      </c>
      <c r="AZ87" s="266">
        <f t="shared" si="58"/>
        <v>3504.8159999999998</v>
      </c>
      <c r="BA87" s="264">
        <f t="shared" si="59"/>
        <v>0</v>
      </c>
      <c r="BB87" s="262"/>
      <c r="BC87" s="262"/>
      <c r="BD87" s="265">
        <f ca="1">IFERROR(INDEX(Algorithms!$G:$G,MATCH($C87&amp;"_Therm Saved per Unit",Algorithms!$A:$A,0)),0)</f>
        <v>8.3447999999999994E-2</v>
      </c>
      <c r="BE87" s="164" t="str">
        <f ca="1">IFERROR(INDEX('v12 Revisions'!$P$29:$P$186, MATCH('Measure-Level Adj Gas'!$L87, 'v12 Revisions'!$D$29:$D$186,0)),"")</f>
        <v>Updated HDD from 5113 to 4798 and shell adjustment factor from 0.72 to 0.76.</v>
      </c>
      <c r="BF87" s="266">
        <f t="shared" ca="1" si="60"/>
        <v>3504.8159999999998</v>
      </c>
      <c r="BG87" s="264">
        <f t="shared" ca="1" si="61"/>
        <v>0</v>
      </c>
      <c r="BH87" s="262"/>
      <c r="BI87" s="262"/>
      <c r="BJ87" s="265">
        <f ca="1">IFERROR(INDEX(Algorithms!$G:$G,MATCH($C87&amp;"_Therm Saved per Unit",Algorithms!$A:$A,0)),0)</f>
        <v>8.3447999999999994E-2</v>
      </c>
      <c r="BK87" s="164"/>
      <c r="BL87" s="266">
        <f t="shared" ca="1" si="62"/>
        <v>3504.8159999999998</v>
      </c>
      <c r="BM87" s="264">
        <f t="shared" ca="1" si="63"/>
        <v>0</v>
      </c>
      <c r="BN87" s="266">
        <f t="shared" si="64"/>
        <v>3504.8159999999998</v>
      </c>
      <c r="BO87" s="266">
        <f t="shared" si="65"/>
        <v>3504.8159999999998</v>
      </c>
      <c r="BP87" s="266">
        <f t="shared" ca="1" si="66"/>
        <v>3504.8159999999998</v>
      </c>
      <c r="BQ87" s="266">
        <f t="shared" ca="1" si="67"/>
        <v>3504.8159999999998</v>
      </c>
      <c r="BR87" s="268">
        <f t="shared" ca="1" si="68"/>
        <v>14019.263999999999</v>
      </c>
      <c r="BS87" s="262" t="s">
        <v>99</v>
      </c>
      <c r="BT87" s="277"/>
      <c r="BW87" s="266">
        <f t="shared" si="69"/>
        <v>3504.8159999999998</v>
      </c>
      <c r="BX87" s="266">
        <f t="shared" si="70"/>
        <v>3504.8159999999998</v>
      </c>
      <c r="BY87" s="266">
        <f t="shared" si="71"/>
        <v>3504.8159999999998</v>
      </c>
      <c r="BZ87" s="266">
        <f t="shared" si="72"/>
        <v>3504.8159999999998</v>
      </c>
      <c r="CA87" s="266">
        <f ca="1">N87*IFERROR(INDEX(Algorithms!$G:$G,MATCH($C87&amp;"_Therm Saved per Unit- MLA",Algorithms!$A:$A,0)),0)*X87</f>
        <v>0</v>
      </c>
      <c r="CB87" s="266">
        <f ca="1">O87*IFERROR(INDEX(Algorithms!$G:$G,MATCH($C87&amp;"_Therm Saved per Unit- MLA",Algorithms!$A:$A,0)),0)*Y87</f>
        <v>0</v>
      </c>
      <c r="CC87" s="266">
        <f ca="1">P87*IFERROR(INDEX(Algorithms!$G:$G,MATCH($C87&amp;"_Therm Saved per Unit- MLA",Algorithms!$A:$A,0)),0)*Z87</f>
        <v>0</v>
      </c>
      <c r="CD87" s="266">
        <f ca="1">Q87*IFERROR(INDEX(Algorithms!$G:$G,MATCH($C87&amp;"_Therm Saved per Unit- MLA",Algorithms!$A:$A,0)),0)*AA87</f>
        <v>0</v>
      </c>
      <c r="CE87" s="266">
        <f ca="1">IFERROR(INDEX(Algorithms!$G:$G,MATCH($C87&amp;"_Lifetime (years)",Algorithms!$A:$A,0)),0)</f>
        <v>10</v>
      </c>
      <c r="CF87" s="266">
        <f ca="1">IFERROR(INDEX(Algorithms!$G:$G,MATCH($C87&amp;"_Lifetime (years) - Remaining Years",Algorithms!$A:$A,0)),0)</f>
        <v>0</v>
      </c>
      <c r="CG87" s="266">
        <f t="shared" ca="1" si="73"/>
        <v>35048.159999999996</v>
      </c>
      <c r="CH87" s="266">
        <f t="shared" ca="1" si="74"/>
        <v>35048.159999999996</v>
      </c>
      <c r="CI87" s="266">
        <f t="shared" ca="1" si="75"/>
        <v>35048.159999999996</v>
      </c>
      <c r="CJ87" s="266">
        <f t="shared" ca="1" si="76"/>
        <v>35048.159999999996</v>
      </c>
      <c r="CK87" s="266">
        <f t="shared" si="77"/>
        <v>3504.8159999999998</v>
      </c>
      <c r="CL87" s="266">
        <f t="shared" si="78"/>
        <v>3504.8159999999998</v>
      </c>
      <c r="CM87" s="266">
        <f t="shared" ca="1" si="79"/>
        <v>3504.8159999999998</v>
      </c>
      <c r="CN87" s="266">
        <f t="shared" ca="1" si="80"/>
        <v>3504.8159999999998</v>
      </c>
      <c r="CO87" s="266">
        <f ca="1">N87*IFERROR(INDEX(Algorithms!$G:$G,MATCH($C87&amp;"_Therm Saved per Unit- MLA",Algorithms!$A:$A,0)),0)*X87</f>
        <v>0</v>
      </c>
      <c r="CP87" s="266">
        <f ca="1">O87*IFERROR(INDEX(Algorithms!$G:$G,MATCH($C87&amp;"_Therm Saved per Unit- MLA",Algorithms!$A:$A,0)),0)*Y87</f>
        <v>0</v>
      </c>
      <c r="CQ87" s="266">
        <f ca="1">P87*IFERROR(INDEX(Algorithms!$G:$G,MATCH($C87&amp;"_Therm Saved per Unit- MLA",Algorithms!$A:$A,0)),0)*Z87</f>
        <v>0</v>
      </c>
      <c r="CR87" s="266">
        <f ca="1">Q87*IFERROR(INDEX(Algorithms!$G:$G,MATCH($C87&amp;"_Therm Saved per Unit- MLA",Algorithms!$A:$A,0)),0)*AA87</f>
        <v>0</v>
      </c>
      <c r="CS87" s="266">
        <f ca="1">IFERROR(INDEX(Algorithms!$G:$G,MATCH($C87&amp;"_Lifetime (years)",Algorithms!$A:$A,0)),0)</f>
        <v>10</v>
      </c>
      <c r="CT87" s="266">
        <f ca="1">IFERROR(INDEX(Algorithms!$G:$G,MATCH($C87&amp;"_Lifetime (years) - Remaining Years",Algorithms!$A:$A,0)),0)</f>
        <v>0</v>
      </c>
      <c r="CU87" s="266">
        <f t="shared" ca="1" si="81"/>
        <v>35048.159999999996</v>
      </c>
      <c r="CV87" s="266">
        <f t="shared" ca="1" si="82"/>
        <v>35048.159999999996</v>
      </c>
      <c r="CW87" s="266">
        <f t="shared" ca="1" si="83"/>
        <v>35048.159999999996</v>
      </c>
      <c r="CX87" s="266">
        <f t="shared" ca="1" si="84"/>
        <v>35048.159999999996</v>
      </c>
    </row>
    <row r="88" spans="2:102" s="47" customFormat="1" ht="18" customHeight="1" x14ac:dyDescent="0.25">
      <c r="B88" t="str">
        <f t="shared" si="85"/>
        <v>NSG_Business_Small/Mid-Size Business_Partner Trade Ally Rebate_Boiler Tune Up_Process_MF/CI</v>
      </c>
      <c r="C88" s="47" t="str">
        <f t="shared" si="46"/>
        <v>Boiler Tune Up_Process_MF/CI</v>
      </c>
      <c r="D88" s="270" t="s">
        <v>1787</v>
      </c>
      <c r="E88" s="270" t="s">
        <v>3</v>
      </c>
      <c r="F88" s="270" t="s">
        <v>1432</v>
      </c>
      <c r="G88" s="270" t="s">
        <v>1799</v>
      </c>
      <c r="H88" s="270" t="s">
        <v>906</v>
      </c>
      <c r="I88" s="270" t="s">
        <v>924</v>
      </c>
      <c r="J88" s="270" t="s">
        <v>587</v>
      </c>
      <c r="K88" s="263">
        <v>1</v>
      </c>
      <c r="L88" s="263" t="str">
        <f ca="1">IFERROR(INDEX(Algorithms!J:J,MATCH($C88&amp;"_Therm Saved per Unit",Algorithms!$A:$A,0)),"n/a")</f>
        <v>4.4.3</v>
      </c>
      <c r="M88" s="263" t="str">
        <f>IFERROR(INDEX('Measure Level Detail'!$N:$N,MATCH($B88,'Measure Level Detail'!$B:$B,0)),0)</f>
        <v>MBH</v>
      </c>
      <c r="N88" s="271">
        <f>IFERROR(INDEX('Measure Level Detail'!$P:$P,MATCH($B88&amp;"_"&amp;N$3,'Measure Level Detail'!$C:$C,0)),0)</f>
        <v>36945.131999999998</v>
      </c>
      <c r="O88" s="271">
        <f>IFERROR(INDEX('Measure Level Detail'!$P:$P,MATCH($B88&amp;"_"&amp;O$3,'Measure Level Detail'!$C:$C,0)),0)</f>
        <v>36945.131999999998</v>
      </c>
      <c r="P88" s="271">
        <f>IFERROR(INDEX('Measure Level Detail'!$P:$P,MATCH($B88&amp;"_"&amp;P$3,'Measure Level Detail'!$C:$C,0)),0)</f>
        <v>31667.256000000001</v>
      </c>
      <c r="Q88" s="271">
        <f>IFERROR(INDEX('Measure Level Detail'!$P:$P,MATCH($B88&amp;"_"&amp;Q$3,'Measure Level Detail'!$C:$C,0)),0)</f>
        <v>31667.256000000001</v>
      </c>
      <c r="R88" s="263" t="str">
        <f ca="1">IFERROR(INDEX(Algorithms!K:K,MATCH($C88&amp;"_Therm Saved per Unit",Algorithms!$A:$A,0)),"n/a")</f>
        <v>CI-HVC-PBTU-V07-230101</v>
      </c>
      <c r="S88" s="262"/>
      <c r="T88" s="272">
        <v>1.0227353753026578</v>
      </c>
      <c r="U88" s="272">
        <v>1.0227353753026578</v>
      </c>
      <c r="V88" s="272">
        <v>1.0227353753026578</v>
      </c>
      <c r="W88" s="272">
        <v>1.0227353753026578</v>
      </c>
      <c r="X88" s="276">
        <v>0.93</v>
      </c>
      <c r="Y88" s="276">
        <v>0.93</v>
      </c>
      <c r="Z88" s="276">
        <v>0.93</v>
      </c>
      <c r="AA88" s="276">
        <v>0.93</v>
      </c>
      <c r="AB88" s="266">
        <f t="shared" si="47"/>
        <v>35140.136900712394</v>
      </c>
      <c r="AC88" s="266">
        <f t="shared" si="48"/>
        <v>35140.136900712394</v>
      </c>
      <c r="AD88" s="266">
        <f t="shared" si="49"/>
        <v>30120.117343467773</v>
      </c>
      <c r="AE88" s="266">
        <f t="shared" si="50"/>
        <v>30120.117343467773</v>
      </c>
      <c r="AF88" s="266">
        <f t="shared" si="51"/>
        <v>130520.50848836034</v>
      </c>
      <c r="AG88" s="274">
        <v>0.93</v>
      </c>
      <c r="AH88" s="274">
        <v>0.93</v>
      </c>
      <c r="AI88" s="274">
        <v>0.93</v>
      </c>
      <c r="AJ88" s="274">
        <v>0.93</v>
      </c>
      <c r="AK88" s="274">
        <f t="shared" si="52"/>
        <v>0.93</v>
      </c>
      <c r="AL88" s="274">
        <f t="shared" si="53"/>
        <v>0.93</v>
      </c>
      <c r="AM88" s="274">
        <f t="shared" si="54"/>
        <v>0.93</v>
      </c>
      <c r="AN88" s="274">
        <f t="shared" si="55"/>
        <v>0.93</v>
      </c>
      <c r="AO88" s="262"/>
      <c r="AP88" s="262"/>
      <c r="AQ88" s="267">
        <v>1.0227353753026578</v>
      </c>
      <c r="AR88" s="262"/>
      <c r="AS88" s="266">
        <f t="shared" si="56"/>
        <v>35140.136900712394</v>
      </c>
      <c r="AT88" s="264">
        <f t="shared" si="57"/>
        <v>0</v>
      </c>
      <c r="AU88" s="262"/>
      <c r="AV88" s="262"/>
      <c r="AW88" s="265">
        <v>1.0227353753026578</v>
      </c>
      <c r="AX88" s="164" t="s">
        <v>2396</v>
      </c>
      <c r="AY88" s="266">
        <v>35140.136900712394</v>
      </c>
      <c r="AZ88" s="266">
        <f t="shared" si="58"/>
        <v>35140.136900712394</v>
      </c>
      <c r="BA88" s="264">
        <f t="shared" si="59"/>
        <v>0</v>
      </c>
      <c r="BB88" s="262"/>
      <c r="BC88" s="262"/>
      <c r="BD88" s="265">
        <f ca="1">IFERROR(INDEX(Algorithms!$G:$G,MATCH($C88&amp;"_Therm Saved per Unit",Algorithms!$A:$A,0)),0)</f>
        <v>1.0227353753026578</v>
      </c>
      <c r="BE88" s="164" t="str">
        <f ca="1">IFERROR(INDEX('v12 Revisions'!$P$29:$P$186, MATCH('Measure-Level Adj Gas'!$L88, 'v12 Revisions'!$D$29:$D$186,0)),"")</f>
        <v/>
      </c>
      <c r="BF88" s="266">
        <f t="shared" ca="1" si="60"/>
        <v>30120.117343467773</v>
      </c>
      <c r="BG88" s="264">
        <f t="shared" ca="1" si="61"/>
        <v>0</v>
      </c>
      <c r="BH88" s="262"/>
      <c r="BI88" s="262"/>
      <c r="BJ88" s="265">
        <f ca="1">IFERROR(INDEX(Algorithms!$G:$G,MATCH($C88&amp;"_Therm Saved per Unit",Algorithms!$A:$A,0)),0)</f>
        <v>1.0227353753026578</v>
      </c>
      <c r="BK88" s="164"/>
      <c r="BL88" s="266">
        <f t="shared" ca="1" si="62"/>
        <v>30120.117343467773</v>
      </c>
      <c r="BM88" s="264">
        <f t="shared" ca="1" si="63"/>
        <v>0</v>
      </c>
      <c r="BN88" s="266">
        <f t="shared" si="64"/>
        <v>35140.136900712394</v>
      </c>
      <c r="BO88" s="266">
        <f t="shared" si="65"/>
        <v>35140.136900712394</v>
      </c>
      <c r="BP88" s="266">
        <f t="shared" ca="1" si="66"/>
        <v>30120.117343467773</v>
      </c>
      <c r="BQ88" s="266">
        <f t="shared" ca="1" si="67"/>
        <v>30120.117343467773</v>
      </c>
      <c r="BR88" s="268">
        <f t="shared" ca="1" si="68"/>
        <v>130520.50848836034</v>
      </c>
      <c r="BS88" s="262" t="s">
        <v>99</v>
      </c>
      <c r="BT88" s="277"/>
      <c r="BW88" s="266">
        <f t="shared" si="69"/>
        <v>35140.136900712394</v>
      </c>
      <c r="BX88" s="266">
        <f t="shared" si="70"/>
        <v>35140.136900712394</v>
      </c>
      <c r="BY88" s="266">
        <f t="shared" si="71"/>
        <v>30120.117343467773</v>
      </c>
      <c r="BZ88" s="266">
        <f t="shared" si="72"/>
        <v>30120.117343467773</v>
      </c>
      <c r="CA88" s="266">
        <f ca="1">N88*IFERROR(INDEX(Algorithms!$G:$G,MATCH($C88&amp;"_Therm Saved per Unit- MLA",Algorithms!$A:$A,0)),0)*X88</f>
        <v>0</v>
      </c>
      <c r="CB88" s="266">
        <f ca="1">O88*IFERROR(INDEX(Algorithms!$G:$G,MATCH($C88&amp;"_Therm Saved per Unit- MLA",Algorithms!$A:$A,0)),0)*Y88</f>
        <v>0</v>
      </c>
      <c r="CC88" s="266">
        <f ca="1">P88*IFERROR(INDEX(Algorithms!$G:$G,MATCH($C88&amp;"_Therm Saved per Unit- MLA",Algorithms!$A:$A,0)),0)*Z88</f>
        <v>0</v>
      </c>
      <c r="CD88" s="266">
        <f ca="1">Q88*IFERROR(INDEX(Algorithms!$G:$G,MATCH($C88&amp;"_Therm Saved per Unit- MLA",Algorithms!$A:$A,0)),0)*AA88</f>
        <v>0</v>
      </c>
      <c r="CE88" s="266">
        <f ca="1">IFERROR(INDEX(Algorithms!$G:$G,MATCH($C88&amp;"_Lifetime (years)",Algorithms!$A:$A,0)),0)</f>
        <v>2</v>
      </c>
      <c r="CF88" s="266">
        <f ca="1">IFERROR(INDEX(Algorithms!$G:$G,MATCH($C88&amp;"_Lifetime (years) - Remaining Years",Algorithms!$A:$A,0)),0)</f>
        <v>0</v>
      </c>
      <c r="CG88" s="266">
        <f t="shared" ca="1" si="73"/>
        <v>70280.273801424788</v>
      </c>
      <c r="CH88" s="266">
        <f t="shared" ca="1" si="74"/>
        <v>70280.273801424788</v>
      </c>
      <c r="CI88" s="266">
        <f t="shared" ca="1" si="75"/>
        <v>60240.234686935546</v>
      </c>
      <c r="CJ88" s="266">
        <f t="shared" ca="1" si="76"/>
        <v>60240.234686935546</v>
      </c>
      <c r="CK88" s="266">
        <f t="shared" si="77"/>
        <v>35140.136900712394</v>
      </c>
      <c r="CL88" s="266">
        <f t="shared" si="78"/>
        <v>35140.136900712394</v>
      </c>
      <c r="CM88" s="266">
        <f t="shared" ca="1" si="79"/>
        <v>30120.117343467773</v>
      </c>
      <c r="CN88" s="266">
        <f t="shared" ca="1" si="80"/>
        <v>30120.117343467773</v>
      </c>
      <c r="CO88" s="266">
        <f ca="1">N88*IFERROR(INDEX(Algorithms!$G:$G,MATCH($C88&amp;"_Therm Saved per Unit- MLA",Algorithms!$A:$A,0)),0)*X88</f>
        <v>0</v>
      </c>
      <c r="CP88" s="266">
        <f ca="1">O88*IFERROR(INDEX(Algorithms!$G:$G,MATCH($C88&amp;"_Therm Saved per Unit- MLA",Algorithms!$A:$A,0)),0)*Y88</f>
        <v>0</v>
      </c>
      <c r="CQ88" s="266">
        <f ca="1">P88*IFERROR(INDEX(Algorithms!$G:$G,MATCH($C88&amp;"_Therm Saved per Unit- MLA",Algorithms!$A:$A,0)),0)*Z88</f>
        <v>0</v>
      </c>
      <c r="CR88" s="266">
        <f ca="1">Q88*IFERROR(INDEX(Algorithms!$G:$G,MATCH($C88&amp;"_Therm Saved per Unit- MLA",Algorithms!$A:$A,0)),0)*AA88</f>
        <v>0</v>
      </c>
      <c r="CS88" s="266">
        <f ca="1">IFERROR(INDEX(Algorithms!$G:$G,MATCH($C88&amp;"_Lifetime (years)",Algorithms!$A:$A,0)),0)</f>
        <v>2</v>
      </c>
      <c r="CT88" s="266">
        <f ca="1">IFERROR(INDEX(Algorithms!$G:$G,MATCH($C88&amp;"_Lifetime (years) - Remaining Years",Algorithms!$A:$A,0)),0)</f>
        <v>0</v>
      </c>
      <c r="CU88" s="266">
        <f t="shared" ca="1" si="81"/>
        <v>70280.273801424788</v>
      </c>
      <c r="CV88" s="266">
        <f t="shared" ca="1" si="82"/>
        <v>70280.273801424788</v>
      </c>
      <c r="CW88" s="266">
        <f t="shared" ca="1" si="83"/>
        <v>60240.234686935546</v>
      </c>
      <c r="CX88" s="266">
        <f t="shared" ca="1" si="84"/>
        <v>60240.234686935546</v>
      </c>
    </row>
    <row r="89" spans="2:102" s="47" customFormat="1" ht="18" customHeight="1" x14ac:dyDescent="0.25">
      <c r="B89" t="str">
        <f t="shared" si="85"/>
        <v>NSG_Business_C&amp;I_Retrocommissioning_C&amp;I Retrocommissioning_0_CI</v>
      </c>
      <c r="C89" s="47" t="str">
        <f t="shared" si="46"/>
        <v>C&amp;I Retrocommissioning_0_CI</v>
      </c>
      <c r="D89" s="270" t="s">
        <v>1787</v>
      </c>
      <c r="E89" s="270" t="s">
        <v>3</v>
      </c>
      <c r="F89" s="270" t="s">
        <v>1427</v>
      </c>
      <c r="G89" s="270" t="s">
        <v>1428</v>
      </c>
      <c r="H89" s="270" t="s">
        <v>1284</v>
      </c>
      <c r="I89" s="270">
        <v>0</v>
      </c>
      <c r="J89" s="270" t="s">
        <v>1159</v>
      </c>
      <c r="K89" s="263">
        <v>1</v>
      </c>
      <c r="L89" s="263">
        <f ca="1">IFERROR(INDEX(Algorithms!J:J,MATCH($C89&amp;"_Therm Saved per Unit",Algorithms!$A:$A,0)),"n/a")</f>
        <v>0</v>
      </c>
      <c r="M89" s="263" t="str">
        <f>IFERROR(INDEX('Measure Level Detail'!$N:$N,MATCH($B89,'Measure Level Detail'!$B:$B,0)),0)</f>
        <v>therm</v>
      </c>
      <c r="N89" s="271">
        <f>IFERROR(INDEX('Measure Level Detail'!$P:$P,MATCH($B89&amp;"_"&amp;N$3,'Measure Level Detail'!$C:$C,0)),0)</f>
        <v>35681.399999999994</v>
      </c>
      <c r="O89" s="271">
        <f>IFERROR(INDEX('Measure Level Detail'!$P:$P,MATCH($B89&amp;"_"&amp;O$3,'Measure Level Detail'!$C:$C,0)),0)</f>
        <v>38060.159999999996</v>
      </c>
      <c r="P89" s="271">
        <f>IFERROR(INDEX('Measure Level Detail'!$P:$P,MATCH($B89&amp;"_"&amp;P$3,'Measure Level Detail'!$C:$C,0)),0)</f>
        <v>33302.639999999999</v>
      </c>
      <c r="Q89" s="271">
        <f>IFERROR(INDEX('Measure Level Detail'!$P:$P,MATCH($B89&amp;"_"&amp;Q$3,'Measure Level Detail'!$C:$C,0)),0)</f>
        <v>32351.135999999999</v>
      </c>
      <c r="R89" s="263">
        <f ca="1">IFERROR(INDEX(Algorithms!K:K,MATCH($C89&amp;"_Therm Saved per Unit",Algorithms!$A:$A,0)),"n/a")</f>
        <v>0</v>
      </c>
      <c r="S89" s="262"/>
      <c r="T89" s="272">
        <v>1</v>
      </c>
      <c r="U89" s="272">
        <v>1</v>
      </c>
      <c r="V89" s="272">
        <v>1</v>
      </c>
      <c r="W89" s="272">
        <v>1</v>
      </c>
      <c r="X89" s="276">
        <v>0.98</v>
      </c>
      <c r="Y89" s="276">
        <v>0.98</v>
      </c>
      <c r="Z89" s="276">
        <v>0.98</v>
      </c>
      <c r="AA89" s="276">
        <v>0.98</v>
      </c>
      <c r="AB89" s="266">
        <f t="shared" si="47"/>
        <v>34967.771999999997</v>
      </c>
      <c r="AC89" s="266">
        <f t="shared" si="48"/>
        <v>37298.956799999993</v>
      </c>
      <c r="AD89" s="266">
        <f t="shared" si="49"/>
        <v>32636.587199999998</v>
      </c>
      <c r="AE89" s="266">
        <f t="shared" si="50"/>
        <v>31704.113279999998</v>
      </c>
      <c r="AF89" s="266">
        <f t="shared" si="51"/>
        <v>136607.42927999998</v>
      </c>
      <c r="AG89" s="274">
        <v>0.98</v>
      </c>
      <c r="AH89" s="274">
        <v>0.98</v>
      </c>
      <c r="AI89" s="274">
        <v>0.98</v>
      </c>
      <c r="AJ89" s="274">
        <v>0.98</v>
      </c>
      <c r="AK89" s="274">
        <f t="shared" si="52"/>
        <v>0.98</v>
      </c>
      <c r="AL89" s="274">
        <f t="shared" si="53"/>
        <v>0.98</v>
      </c>
      <c r="AM89" s="274">
        <f t="shared" si="54"/>
        <v>0.98</v>
      </c>
      <c r="AN89" s="274">
        <f t="shared" si="55"/>
        <v>0.98</v>
      </c>
      <c r="AO89" s="262"/>
      <c r="AP89" s="262"/>
      <c r="AQ89" s="267">
        <v>1</v>
      </c>
      <c r="AR89" s="262"/>
      <c r="AS89" s="266">
        <f t="shared" si="56"/>
        <v>34967.771999999997</v>
      </c>
      <c r="AT89" s="264">
        <f t="shared" si="57"/>
        <v>0</v>
      </c>
      <c r="AU89" s="262"/>
      <c r="AV89" s="262"/>
      <c r="AW89" s="265">
        <v>1</v>
      </c>
      <c r="AX89" s="164" t="s">
        <v>1469</v>
      </c>
      <c r="AY89" s="266">
        <v>37298.956799999993</v>
      </c>
      <c r="AZ89" s="266">
        <f t="shared" si="58"/>
        <v>37298.956799999993</v>
      </c>
      <c r="BA89" s="264">
        <f t="shared" si="59"/>
        <v>0</v>
      </c>
      <c r="BB89" s="262"/>
      <c r="BC89" s="262"/>
      <c r="BD89" s="265">
        <f ca="1">IFERROR(INDEX(Algorithms!$G:$G,MATCH($C89&amp;"_Therm Saved per Unit",Algorithms!$A:$A,0)),0)</f>
        <v>1</v>
      </c>
      <c r="BE89" s="164" t="str">
        <f ca="1">IFERROR(INDEX('v12 Revisions'!$P$29:$P$186, MATCH('Measure-Level Adj Gas'!$L89, 'v12 Revisions'!$D$29:$D$186,0)),"")</f>
        <v/>
      </c>
      <c r="BF89" s="266">
        <f t="shared" ca="1" si="60"/>
        <v>32636.587199999998</v>
      </c>
      <c r="BG89" s="264">
        <f t="shared" ca="1" si="61"/>
        <v>0</v>
      </c>
      <c r="BH89" s="262"/>
      <c r="BI89" s="262"/>
      <c r="BJ89" s="265">
        <f ca="1">IFERROR(INDEX(Algorithms!$G:$G,MATCH($C89&amp;"_Therm Saved per Unit",Algorithms!$A:$A,0)),0)</f>
        <v>1</v>
      </c>
      <c r="BK89" s="164"/>
      <c r="BL89" s="266">
        <f t="shared" ca="1" si="62"/>
        <v>31704.113279999998</v>
      </c>
      <c r="BM89" s="264">
        <f t="shared" ca="1" si="63"/>
        <v>0</v>
      </c>
      <c r="BN89" s="266">
        <f t="shared" si="64"/>
        <v>34967.771999999997</v>
      </c>
      <c r="BO89" s="266">
        <f t="shared" si="65"/>
        <v>37298.956799999993</v>
      </c>
      <c r="BP89" s="266">
        <f t="shared" ca="1" si="66"/>
        <v>32636.587199999998</v>
      </c>
      <c r="BQ89" s="266">
        <f t="shared" ca="1" si="67"/>
        <v>31704.113279999998</v>
      </c>
      <c r="BR89" s="268">
        <f t="shared" ca="1" si="68"/>
        <v>136607.42927999998</v>
      </c>
      <c r="BS89" s="262" t="s">
        <v>99</v>
      </c>
      <c r="BT89" s="277"/>
      <c r="BW89" s="266">
        <f t="shared" si="69"/>
        <v>34967.771999999997</v>
      </c>
      <c r="BX89" s="266">
        <f t="shared" si="70"/>
        <v>37298.956799999993</v>
      </c>
      <c r="BY89" s="266">
        <f t="shared" si="71"/>
        <v>32636.587199999998</v>
      </c>
      <c r="BZ89" s="266">
        <f t="shared" si="72"/>
        <v>31704.113279999998</v>
      </c>
      <c r="CA89" s="266">
        <f ca="1">N89*IFERROR(INDEX(Algorithms!$G:$G,MATCH($C89&amp;"_Therm Saved per Unit- MLA",Algorithms!$A:$A,0)),0)*X89</f>
        <v>0</v>
      </c>
      <c r="CB89" s="266">
        <f ca="1">O89*IFERROR(INDEX(Algorithms!$G:$G,MATCH($C89&amp;"_Therm Saved per Unit- MLA",Algorithms!$A:$A,0)),0)*Y89</f>
        <v>0</v>
      </c>
      <c r="CC89" s="266">
        <f ca="1">P89*IFERROR(INDEX(Algorithms!$G:$G,MATCH($C89&amp;"_Therm Saved per Unit- MLA",Algorithms!$A:$A,0)),0)*Z89</f>
        <v>0</v>
      </c>
      <c r="CD89" s="266">
        <f ca="1">Q89*IFERROR(INDEX(Algorithms!$G:$G,MATCH($C89&amp;"_Therm Saved per Unit- MLA",Algorithms!$A:$A,0)),0)*AA89</f>
        <v>0</v>
      </c>
      <c r="CE89" s="266">
        <f ca="1">IFERROR(INDEX(Algorithms!$G:$G,MATCH($C89&amp;"_Lifetime (years)",Algorithms!$A:$A,0)),0)</f>
        <v>15</v>
      </c>
      <c r="CF89" s="266">
        <f ca="1">IFERROR(INDEX(Algorithms!$G:$G,MATCH($C89&amp;"_Lifetime (years) - Remaining Years",Algorithms!$A:$A,0)),0)</f>
        <v>0</v>
      </c>
      <c r="CG89" s="266">
        <f t="shared" ca="1" si="73"/>
        <v>524516.57999999996</v>
      </c>
      <c r="CH89" s="266">
        <f t="shared" ca="1" si="74"/>
        <v>559484.35199999984</v>
      </c>
      <c r="CI89" s="266">
        <f t="shared" ca="1" si="75"/>
        <v>489548.80799999996</v>
      </c>
      <c r="CJ89" s="266">
        <f t="shared" ca="1" si="76"/>
        <v>475561.69919999997</v>
      </c>
      <c r="CK89" s="266">
        <f t="shared" si="77"/>
        <v>34967.771999999997</v>
      </c>
      <c r="CL89" s="266">
        <f t="shared" si="78"/>
        <v>37298.956799999993</v>
      </c>
      <c r="CM89" s="266">
        <f t="shared" ca="1" si="79"/>
        <v>32636.587199999998</v>
      </c>
      <c r="CN89" s="266">
        <f t="shared" ca="1" si="80"/>
        <v>31704.113279999998</v>
      </c>
      <c r="CO89" s="266">
        <f ca="1">N89*IFERROR(INDEX(Algorithms!$G:$G,MATCH($C89&amp;"_Therm Saved per Unit- MLA",Algorithms!$A:$A,0)),0)*X89</f>
        <v>0</v>
      </c>
      <c r="CP89" s="266">
        <f ca="1">O89*IFERROR(INDEX(Algorithms!$G:$G,MATCH($C89&amp;"_Therm Saved per Unit- MLA",Algorithms!$A:$A,0)),0)*Y89</f>
        <v>0</v>
      </c>
      <c r="CQ89" s="266">
        <f ca="1">P89*IFERROR(INDEX(Algorithms!$G:$G,MATCH($C89&amp;"_Therm Saved per Unit- MLA",Algorithms!$A:$A,0)),0)*Z89</f>
        <v>0</v>
      </c>
      <c r="CR89" s="266">
        <f ca="1">Q89*IFERROR(INDEX(Algorithms!$G:$G,MATCH($C89&amp;"_Therm Saved per Unit- MLA",Algorithms!$A:$A,0)),0)*AA89</f>
        <v>0</v>
      </c>
      <c r="CS89" s="266">
        <f ca="1">IFERROR(INDEX(Algorithms!$G:$G,MATCH($C89&amp;"_Lifetime (years)",Algorithms!$A:$A,0)),0)</f>
        <v>15</v>
      </c>
      <c r="CT89" s="266">
        <f ca="1">IFERROR(INDEX(Algorithms!$G:$G,MATCH($C89&amp;"_Lifetime (years) - Remaining Years",Algorithms!$A:$A,0)),0)</f>
        <v>0</v>
      </c>
      <c r="CU89" s="266">
        <f t="shared" ca="1" si="81"/>
        <v>524516.57999999996</v>
      </c>
      <c r="CV89" s="266">
        <f t="shared" ca="1" si="82"/>
        <v>559484.35199999984</v>
      </c>
      <c r="CW89" s="266">
        <f t="shared" ca="1" si="83"/>
        <v>489548.80799999996</v>
      </c>
      <c r="CX89" s="266">
        <f t="shared" ca="1" si="84"/>
        <v>475561.69919999997</v>
      </c>
    </row>
    <row r="90" spans="2:102" s="47" customFormat="1" ht="18" customHeight="1" x14ac:dyDescent="0.25">
      <c r="B90" t="str">
        <f t="shared" si="85"/>
        <v>NSG_Business_C&amp;I_Rebates_Boiler Tune Up_Space Heating_CI</v>
      </c>
      <c r="C90" s="47" t="str">
        <f t="shared" si="46"/>
        <v>Boiler Tune Up_Space Heating_CI</v>
      </c>
      <c r="D90" s="270" t="s">
        <v>1787</v>
      </c>
      <c r="E90" s="270" t="s">
        <v>3</v>
      </c>
      <c r="F90" s="270" t="s">
        <v>1427</v>
      </c>
      <c r="G90" s="270" t="s">
        <v>1429</v>
      </c>
      <c r="H90" s="270" t="s">
        <v>906</v>
      </c>
      <c r="I90" s="270" t="s">
        <v>907</v>
      </c>
      <c r="J90" s="270" t="s">
        <v>1159</v>
      </c>
      <c r="K90" s="263">
        <v>1</v>
      </c>
      <c r="L90" s="263" t="str">
        <f ca="1">IFERROR(INDEX(Algorithms!J:J,MATCH($C90&amp;"_Therm Saved per Unit",Algorithms!$A:$A,0)),"n/a")</f>
        <v>4.4.2</v>
      </c>
      <c r="M90" s="263" t="str">
        <f>IFERROR(INDEX('Measure Level Detail'!$N:$N,MATCH($B90,'Measure Level Detail'!$B:$B,0)),0)</f>
        <v>MBH</v>
      </c>
      <c r="N90" s="271">
        <f>IFERROR(INDEX('Measure Level Detail'!$P:$P,MATCH($B90&amp;"_"&amp;N$3,'Measure Level Detail'!$C:$C,0)),0)</f>
        <v>25500</v>
      </c>
      <c r="O90" s="271">
        <f>IFERROR(INDEX('Measure Level Detail'!$P:$P,MATCH($B90&amp;"_"&amp;O$3,'Measure Level Detail'!$C:$C,0)),0)</f>
        <v>24000</v>
      </c>
      <c r="P90" s="271">
        <f>IFERROR(INDEX('Measure Level Detail'!$P:$P,MATCH($B90&amp;"_"&amp;P$3,'Measure Level Detail'!$C:$C,0)),0)</f>
        <v>21000</v>
      </c>
      <c r="Q90" s="271">
        <f>IFERROR(INDEX('Measure Level Detail'!$P:$P,MATCH($B90&amp;"_"&amp;Q$3,'Measure Level Detail'!$C:$C,0)),0)</f>
        <v>20400.000000000004</v>
      </c>
      <c r="R90" s="263" t="str">
        <f ca="1">IFERROR(INDEX(Algorithms!K:K,MATCH($C90&amp;"_Therm Saved per Unit",Algorithms!$A:$A,0)),"n/a")</f>
        <v>CI-HVC-BLRT-V07-210101</v>
      </c>
      <c r="S90" s="262"/>
      <c r="T90" s="272">
        <v>0.46874846625766969</v>
      </c>
      <c r="U90" s="272">
        <v>0.46874846625766969</v>
      </c>
      <c r="V90" s="272">
        <v>0.46874846625766969</v>
      </c>
      <c r="W90" s="272">
        <v>0.46874846625766969</v>
      </c>
      <c r="X90" s="273">
        <f>IFERROR(INDEX('Measure Level Detail'!$R:$R,MATCH($B90&amp;"_"&amp;X$3,'Measure Level Detail'!$C:$C,0)),0)</f>
        <v>0.91</v>
      </c>
      <c r="Y90" s="273">
        <f>IFERROR(INDEX('Measure Level Detail'!$R:$R,MATCH($B90&amp;"_"&amp;Y$3,'Measure Level Detail'!$C:$C,0)),0)</f>
        <v>0.91</v>
      </c>
      <c r="Z90" s="273">
        <f>IFERROR(INDEX('Measure Level Detail'!$R:$R,MATCH($B90&amp;"_"&amp;Z$3,'Measure Level Detail'!$C:$C,0)),0)</f>
        <v>0.91</v>
      </c>
      <c r="AA90" s="273">
        <f>IFERROR(INDEX('Measure Level Detail'!$R:$R,MATCH($B90&amp;"_"&amp;AA$3,'Measure Level Detail'!$C:$C,0)),0)</f>
        <v>0.91</v>
      </c>
      <c r="AB90" s="266">
        <f t="shared" si="47"/>
        <v>10877.308159509226</v>
      </c>
      <c r="AC90" s="266">
        <f t="shared" si="48"/>
        <v>10237.466503067506</v>
      </c>
      <c r="AD90" s="266">
        <f t="shared" si="49"/>
        <v>8957.7831901840673</v>
      </c>
      <c r="AE90" s="266">
        <f t="shared" si="50"/>
        <v>8701.8465276073821</v>
      </c>
      <c r="AF90" s="266">
        <f t="shared" si="51"/>
        <v>38774.404380368185</v>
      </c>
      <c r="AG90" s="274">
        <v>0.91</v>
      </c>
      <c r="AH90" s="274">
        <v>0.91</v>
      </c>
      <c r="AI90" s="274">
        <v>0.91</v>
      </c>
      <c r="AJ90" s="274">
        <v>0.91</v>
      </c>
      <c r="AK90" s="274">
        <f t="shared" si="52"/>
        <v>0.91</v>
      </c>
      <c r="AL90" s="274">
        <f t="shared" si="53"/>
        <v>0.91</v>
      </c>
      <c r="AM90" s="274">
        <f t="shared" si="54"/>
        <v>0.91</v>
      </c>
      <c r="AN90" s="274">
        <f t="shared" si="55"/>
        <v>0.91</v>
      </c>
      <c r="AO90" s="262"/>
      <c r="AP90" s="262"/>
      <c r="AQ90" s="267">
        <v>0.46874846625766969</v>
      </c>
      <c r="AR90" s="262"/>
      <c r="AS90" s="266">
        <f t="shared" si="56"/>
        <v>10877.308159509226</v>
      </c>
      <c r="AT90" s="264">
        <f t="shared" si="57"/>
        <v>0</v>
      </c>
      <c r="AU90" s="262"/>
      <c r="AV90" s="262"/>
      <c r="AW90" s="265">
        <v>0.46874846625766969</v>
      </c>
      <c r="AX90" s="164" t="s">
        <v>1469</v>
      </c>
      <c r="AY90" s="266">
        <v>10237.466503067506</v>
      </c>
      <c r="AZ90" s="266">
        <f t="shared" si="58"/>
        <v>10237.466503067506</v>
      </c>
      <c r="BA90" s="264">
        <f t="shared" si="59"/>
        <v>0</v>
      </c>
      <c r="BB90" s="262"/>
      <c r="BC90" s="262"/>
      <c r="BD90" s="265">
        <f ca="1">IFERROR(INDEX(Algorithms!$G:$G,MATCH($C90&amp;"_Therm Saved per Unit",Algorithms!$A:$A,0)),0)</f>
        <v>0.46874846625766969</v>
      </c>
      <c r="BE90" s="164" t="str">
        <f ca="1">IFERROR(INDEX('v12 Revisions'!$P$29:$P$186, MATCH('Measure-Level Adj Gas'!$L90, 'v12 Revisions'!$D$29:$D$186,0)),"")</f>
        <v/>
      </c>
      <c r="BF90" s="266">
        <f t="shared" ca="1" si="60"/>
        <v>8957.7831901840673</v>
      </c>
      <c r="BG90" s="264">
        <f t="shared" ca="1" si="61"/>
        <v>0</v>
      </c>
      <c r="BH90" s="262"/>
      <c r="BI90" s="262"/>
      <c r="BJ90" s="265">
        <f ca="1">IFERROR(INDEX(Algorithms!$G:$G,MATCH($C90&amp;"_Therm Saved per Unit",Algorithms!$A:$A,0)),0)</f>
        <v>0.46874846625766969</v>
      </c>
      <c r="BK90" s="164"/>
      <c r="BL90" s="266">
        <f t="shared" ca="1" si="62"/>
        <v>8701.8465276073821</v>
      </c>
      <c r="BM90" s="264">
        <f t="shared" ca="1" si="63"/>
        <v>0</v>
      </c>
      <c r="BN90" s="266">
        <f t="shared" si="64"/>
        <v>10877.308159509226</v>
      </c>
      <c r="BO90" s="266">
        <f t="shared" si="65"/>
        <v>10237.466503067506</v>
      </c>
      <c r="BP90" s="266">
        <f t="shared" ca="1" si="66"/>
        <v>8957.7831901840673</v>
      </c>
      <c r="BQ90" s="266">
        <f t="shared" ca="1" si="67"/>
        <v>8701.8465276073821</v>
      </c>
      <c r="BR90" s="268">
        <f t="shared" ca="1" si="68"/>
        <v>38774.404380368185</v>
      </c>
      <c r="BS90" s="262" t="s">
        <v>99</v>
      </c>
      <c r="BT90" s="277"/>
      <c r="BW90" s="266">
        <f t="shared" si="69"/>
        <v>10877.308159509226</v>
      </c>
      <c r="BX90" s="266">
        <f t="shared" si="70"/>
        <v>10237.466503067506</v>
      </c>
      <c r="BY90" s="266">
        <f t="shared" si="71"/>
        <v>8957.7831901840673</v>
      </c>
      <c r="BZ90" s="266">
        <f t="shared" si="72"/>
        <v>8701.8465276073821</v>
      </c>
      <c r="CA90" s="266">
        <f ca="1">N90*IFERROR(INDEX(Algorithms!$G:$G,MATCH($C90&amp;"_Therm Saved per Unit- MLA",Algorithms!$A:$A,0)),0)*X90</f>
        <v>0</v>
      </c>
      <c r="CB90" s="266">
        <f ca="1">O90*IFERROR(INDEX(Algorithms!$G:$G,MATCH($C90&amp;"_Therm Saved per Unit- MLA",Algorithms!$A:$A,0)),0)*Y90</f>
        <v>0</v>
      </c>
      <c r="CC90" s="266">
        <f ca="1">P90*IFERROR(INDEX(Algorithms!$G:$G,MATCH($C90&amp;"_Therm Saved per Unit- MLA",Algorithms!$A:$A,0)),0)*Z90</f>
        <v>0</v>
      </c>
      <c r="CD90" s="266">
        <f ca="1">Q90*IFERROR(INDEX(Algorithms!$G:$G,MATCH($C90&amp;"_Therm Saved per Unit- MLA",Algorithms!$A:$A,0)),0)*AA90</f>
        <v>0</v>
      </c>
      <c r="CE90" s="266">
        <f ca="1">IFERROR(INDEX(Algorithms!$G:$G,MATCH($C90&amp;"_Lifetime (years)",Algorithms!$A:$A,0)),0)</f>
        <v>3</v>
      </c>
      <c r="CF90" s="266">
        <f ca="1">IFERROR(INDEX(Algorithms!$G:$G,MATCH($C90&amp;"_Lifetime (years) - Remaining Years",Algorithms!$A:$A,0)),0)</f>
        <v>0</v>
      </c>
      <c r="CG90" s="266">
        <f t="shared" ca="1" si="73"/>
        <v>32631.924478527679</v>
      </c>
      <c r="CH90" s="266">
        <f t="shared" ca="1" si="74"/>
        <v>30712.399509202518</v>
      </c>
      <c r="CI90" s="266">
        <f t="shared" ca="1" si="75"/>
        <v>26873.3495705522</v>
      </c>
      <c r="CJ90" s="266">
        <f t="shared" ca="1" si="76"/>
        <v>26105.539582822144</v>
      </c>
      <c r="CK90" s="266">
        <f t="shared" si="77"/>
        <v>10877.308159509226</v>
      </c>
      <c r="CL90" s="266">
        <f t="shared" si="78"/>
        <v>10237.466503067506</v>
      </c>
      <c r="CM90" s="266">
        <f t="shared" ca="1" si="79"/>
        <v>8957.7831901840673</v>
      </c>
      <c r="CN90" s="266">
        <f t="shared" ca="1" si="80"/>
        <v>8701.8465276073821</v>
      </c>
      <c r="CO90" s="266">
        <f ca="1">N90*IFERROR(INDEX(Algorithms!$G:$G,MATCH($C90&amp;"_Therm Saved per Unit- MLA",Algorithms!$A:$A,0)),0)*X90</f>
        <v>0</v>
      </c>
      <c r="CP90" s="266">
        <f ca="1">O90*IFERROR(INDEX(Algorithms!$G:$G,MATCH($C90&amp;"_Therm Saved per Unit- MLA",Algorithms!$A:$A,0)),0)*Y90</f>
        <v>0</v>
      </c>
      <c r="CQ90" s="266">
        <f ca="1">P90*IFERROR(INDEX(Algorithms!$G:$G,MATCH($C90&amp;"_Therm Saved per Unit- MLA",Algorithms!$A:$A,0)),0)*Z90</f>
        <v>0</v>
      </c>
      <c r="CR90" s="266">
        <f ca="1">Q90*IFERROR(INDEX(Algorithms!$G:$G,MATCH($C90&amp;"_Therm Saved per Unit- MLA",Algorithms!$A:$A,0)),0)*AA90</f>
        <v>0</v>
      </c>
      <c r="CS90" s="266">
        <f ca="1">IFERROR(INDEX(Algorithms!$G:$G,MATCH($C90&amp;"_Lifetime (years)",Algorithms!$A:$A,0)),0)</f>
        <v>3</v>
      </c>
      <c r="CT90" s="266">
        <f ca="1">IFERROR(INDEX(Algorithms!$G:$G,MATCH($C90&amp;"_Lifetime (years) - Remaining Years",Algorithms!$A:$A,0)),0)</f>
        <v>0</v>
      </c>
      <c r="CU90" s="266">
        <f t="shared" ca="1" si="81"/>
        <v>32631.924478527679</v>
      </c>
      <c r="CV90" s="266">
        <f t="shared" ca="1" si="82"/>
        <v>30712.399509202518</v>
      </c>
      <c r="CW90" s="266">
        <f t="shared" ca="1" si="83"/>
        <v>26873.3495705522</v>
      </c>
      <c r="CX90" s="266">
        <f t="shared" ca="1" si="84"/>
        <v>26105.539582822144</v>
      </c>
    </row>
    <row r="91" spans="2:102" s="47" customFormat="1" ht="18" customHeight="1" x14ac:dyDescent="0.25">
      <c r="B91" t="str">
        <f t="shared" si="85"/>
        <v>NSG_Income Eligible_Single Family_IHWAP_Attic Insulation_0_SF</v>
      </c>
      <c r="C91" s="47" t="str">
        <f t="shared" si="46"/>
        <v>Attic Insulation_0_SF</v>
      </c>
      <c r="D91" s="270" t="s">
        <v>1787</v>
      </c>
      <c r="E91" s="270" t="s">
        <v>325</v>
      </c>
      <c r="F91" s="270" t="s">
        <v>375</v>
      </c>
      <c r="G91" s="270" t="s">
        <v>1439</v>
      </c>
      <c r="H91" s="270" t="s">
        <v>631</v>
      </c>
      <c r="I91" s="270">
        <v>0</v>
      </c>
      <c r="J91" s="270" t="s">
        <v>409</v>
      </c>
      <c r="K91" s="263">
        <v>1</v>
      </c>
      <c r="L91" s="263" t="str">
        <f ca="1">IFERROR(INDEX(Algorithms!J:J,MATCH($C91&amp;"_Therm Saved per Unit",Algorithms!$A:$A,0)),"n/a")</f>
        <v>5.6.5</v>
      </c>
      <c r="M91" s="263" t="str">
        <f>IFERROR(INDEX('Measure Level Detail'!$N:$N,MATCH($B91,'Measure Level Detail'!$B:$B,0)),0)</f>
        <v>sq ft</v>
      </c>
      <c r="N91" s="271">
        <f>IFERROR(INDEX('Measure Level Detail'!$P:$P,MATCH($B91&amp;"_"&amp;N$3,'Measure Level Detail'!$C:$C,0)),0)</f>
        <v>24000</v>
      </c>
      <c r="O91" s="271">
        <f>IFERROR(INDEX('Measure Level Detail'!$P:$P,MATCH($B91&amp;"_"&amp;O$3,'Measure Level Detail'!$C:$C,0)),0)</f>
        <v>26400</v>
      </c>
      <c r="P91" s="271">
        <f>IFERROR(INDEX('Measure Level Detail'!$P:$P,MATCH($B91&amp;"_"&amp;P$3,'Measure Level Detail'!$C:$C,0)),0)</f>
        <v>33600</v>
      </c>
      <c r="Q91" s="271">
        <f>IFERROR(INDEX('Measure Level Detail'!$P:$P,MATCH($B91&amp;"_"&amp;Q$3,'Measure Level Detail'!$C:$C,0)),0)</f>
        <v>36000</v>
      </c>
      <c r="R91" s="263" t="str">
        <f ca="1">IFERROR(INDEX(Algorithms!K:K,MATCH($C91&amp;"_Therm Saved per Unit",Algorithms!$A:$A,0)),"n/a")</f>
        <v>RS-SHL-AINS-V07-240101</v>
      </c>
      <c r="S91" s="262"/>
      <c r="T91" s="272">
        <v>8.0457181447124299E-2</v>
      </c>
      <c r="U91" s="272">
        <v>8.0457181447124299E-2</v>
      </c>
      <c r="V91" s="272">
        <v>8.0457181447124299E-2</v>
      </c>
      <c r="W91" s="272">
        <v>8.0457181447124299E-2</v>
      </c>
      <c r="X91" s="273">
        <f>IFERROR(INDEX('Measure Level Detail'!$R:$R,MATCH($B91&amp;"_"&amp;X$3,'Measure Level Detail'!$C:$C,0)),0)</f>
        <v>1</v>
      </c>
      <c r="Y91" s="273">
        <f>IFERROR(INDEX('Measure Level Detail'!$R:$R,MATCH($B91&amp;"_"&amp;Y$3,'Measure Level Detail'!$C:$C,0)),0)</f>
        <v>1</v>
      </c>
      <c r="Z91" s="273">
        <f>IFERROR(INDEX('Measure Level Detail'!$R:$R,MATCH($B91&amp;"_"&amp;Z$3,'Measure Level Detail'!$C:$C,0)),0)</f>
        <v>1</v>
      </c>
      <c r="AA91" s="273">
        <f>IFERROR(INDEX('Measure Level Detail'!$R:$R,MATCH($B91&amp;"_"&amp;AA$3,'Measure Level Detail'!$C:$C,0)),0)</f>
        <v>1</v>
      </c>
      <c r="AB91" s="266">
        <f t="shared" si="47"/>
        <v>1930.9723547309832</v>
      </c>
      <c r="AC91" s="266">
        <f t="shared" si="48"/>
        <v>2124.0695902040816</v>
      </c>
      <c r="AD91" s="266">
        <f t="shared" si="49"/>
        <v>2703.3612966233763</v>
      </c>
      <c r="AE91" s="266">
        <f t="shared" si="50"/>
        <v>2896.4585320964748</v>
      </c>
      <c r="AF91" s="266">
        <f t="shared" si="51"/>
        <v>9654.8617736549149</v>
      </c>
      <c r="AG91" s="274">
        <v>1</v>
      </c>
      <c r="AH91" s="274">
        <v>1</v>
      </c>
      <c r="AI91" s="274">
        <v>1</v>
      </c>
      <c r="AJ91" s="274">
        <v>1</v>
      </c>
      <c r="AK91" s="274">
        <f t="shared" si="52"/>
        <v>1</v>
      </c>
      <c r="AL91" s="274">
        <f t="shared" si="53"/>
        <v>1</v>
      </c>
      <c r="AM91" s="274">
        <f t="shared" si="54"/>
        <v>1</v>
      </c>
      <c r="AN91" s="274">
        <f t="shared" si="55"/>
        <v>1</v>
      </c>
      <c r="AO91" s="262"/>
      <c r="AP91" s="262"/>
      <c r="AQ91" s="267">
        <v>8.0457181447124299E-2</v>
      </c>
      <c r="AR91" s="262"/>
      <c r="AS91" s="266">
        <f t="shared" si="56"/>
        <v>1930.9723547309832</v>
      </c>
      <c r="AT91" s="264">
        <f t="shared" si="57"/>
        <v>0</v>
      </c>
      <c r="AU91" s="262"/>
      <c r="AV91" s="262"/>
      <c r="AW91" s="265">
        <v>8.0457181447124299E-2</v>
      </c>
      <c r="AX91" s="164" t="s">
        <v>2393</v>
      </c>
      <c r="AY91" s="266">
        <v>2124.0695902040816</v>
      </c>
      <c r="AZ91" s="266">
        <f t="shared" si="58"/>
        <v>2124.0695902040816</v>
      </c>
      <c r="BA91" s="264">
        <f t="shared" si="59"/>
        <v>0</v>
      </c>
      <c r="BB91" s="262"/>
      <c r="BC91" s="262"/>
      <c r="BD91" s="265">
        <f ca="1">IFERROR(INDEX(Algorithms!$G:$G,MATCH($C91&amp;"_Therm Saved per Unit",Algorithms!$A:$A,0)),0)</f>
        <v>7.9694869016697589E-2</v>
      </c>
      <c r="BE91" s="164" t="str">
        <f ca="1">IFERROR(INDEX('v12 Revisions'!$P$29:$P$186, MATCH('Measure-Level Adj Gas'!$L91, 'v12 Revisions'!$D$29:$D$186,0)),"")</f>
        <v>Updated HDD from 5113 to 4798 and shell adjustment factor from 0.72 to 0.76 ; Updated measure life to 30 years.</v>
      </c>
      <c r="BF91" s="266">
        <f t="shared" ca="1" si="60"/>
        <v>2677.7475989610389</v>
      </c>
      <c r="BG91" s="264">
        <f t="shared" ca="1" si="61"/>
        <v>-25.613697662337472</v>
      </c>
      <c r="BH91" s="262"/>
      <c r="BI91" s="262"/>
      <c r="BJ91" s="265">
        <f ca="1">IFERROR(INDEX(Algorithms!$G:$G,MATCH($C91&amp;"_Therm Saved per Unit",Algorithms!$A:$A,0)),0)</f>
        <v>7.9694869016697589E-2</v>
      </c>
      <c r="BK91" s="164"/>
      <c r="BL91" s="266">
        <f t="shared" ca="1" si="62"/>
        <v>2869.0152846011133</v>
      </c>
      <c r="BM91" s="264">
        <f t="shared" ca="1" si="63"/>
        <v>-27.443247495361447</v>
      </c>
      <c r="BN91" s="266">
        <f t="shared" si="64"/>
        <v>1930.9723547309832</v>
      </c>
      <c r="BO91" s="266">
        <f t="shared" si="65"/>
        <v>2124.0695902040816</v>
      </c>
      <c r="BP91" s="266">
        <f t="shared" ca="1" si="66"/>
        <v>2677.7475989610389</v>
      </c>
      <c r="BQ91" s="266">
        <f t="shared" ca="1" si="67"/>
        <v>2869.0152846011133</v>
      </c>
      <c r="BR91" s="268">
        <f t="shared" ca="1" si="68"/>
        <v>9601.8048284972174</v>
      </c>
      <c r="BS91" s="262" t="s">
        <v>99</v>
      </c>
      <c r="BT91" s="277"/>
      <c r="BW91" s="266">
        <f t="shared" si="69"/>
        <v>1930.9723547309832</v>
      </c>
      <c r="BX91" s="266">
        <f t="shared" si="70"/>
        <v>2124.0695902040816</v>
      </c>
      <c r="BY91" s="266">
        <f t="shared" si="71"/>
        <v>2703.3612966233763</v>
      </c>
      <c r="BZ91" s="266">
        <f t="shared" si="72"/>
        <v>2896.4585320964748</v>
      </c>
      <c r="CA91" s="266">
        <f ca="1">N91*IFERROR(INDEX(Algorithms!$G:$G,MATCH($C91&amp;"_Therm Saved per Unit- MLA",Algorithms!$A:$A,0)),0)*X91</f>
        <v>2025.1872597184331</v>
      </c>
      <c r="CB91" s="266">
        <f ca="1">O91*IFERROR(INDEX(Algorithms!$G:$G,MATCH($C91&amp;"_Therm Saved per Unit- MLA",Algorithms!$A:$A,0)),0)*Y91</f>
        <v>2227.7059856902765</v>
      </c>
      <c r="CC91" s="266">
        <f ca="1">P91*IFERROR(INDEX(Algorithms!$G:$G,MATCH($C91&amp;"_Therm Saved per Unit- MLA",Algorithms!$A:$A,0)),0)*Z91</f>
        <v>2835.2621636058061</v>
      </c>
      <c r="CD91" s="266">
        <f ca="1">Q91*IFERROR(INDEX(Algorithms!$G:$G,MATCH($C91&amp;"_Therm Saved per Unit- MLA",Algorithms!$A:$A,0)),0)*AA91</f>
        <v>3037.7808895776498</v>
      </c>
      <c r="CE91" s="266">
        <f ca="1">IFERROR(INDEX(Algorithms!$G:$G,MATCH($C91&amp;"_Lifetime (years)",Algorithms!$A:$A,0)),0)</f>
        <v>30</v>
      </c>
      <c r="CF91" s="266">
        <f ca="1">IFERROR(INDEX(Algorithms!$G:$G,MATCH($C91&amp;"_Lifetime (years) - Remaining Years",Algorithms!$A:$A,0)),0)</f>
        <v>10</v>
      </c>
      <c r="CG91" s="266">
        <f t="shared" ca="1" si="73"/>
        <v>59813.468741678495</v>
      </c>
      <c r="CH91" s="266">
        <f t="shared" ca="1" si="74"/>
        <v>65794.815615846339</v>
      </c>
      <c r="CI91" s="266">
        <f t="shared" ca="1" si="75"/>
        <v>83738.856238349894</v>
      </c>
      <c r="CJ91" s="266">
        <f t="shared" ca="1" si="76"/>
        <v>89720.203112517745</v>
      </c>
      <c r="CK91" s="266">
        <f t="shared" si="77"/>
        <v>1930.9723547309832</v>
      </c>
      <c r="CL91" s="266">
        <f t="shared" si="78"/>
        <v>2124.0695902040816</v>
      </c>
      <c r="CM91" s="266">
        <f t="shared" ca="1" si="79"/>
        <v>2677.7475989610389</v>
      </c>
      <c r="CN91" s="266">
        <f t="shared" ca="1" si="80"/>
        <v>2869.0152846011133</v>
      </c>
      <c r="CO91" s="266">
        <f ca="1">N91*IFERROR(INDEX(Algorithms!$G:$G,MATCH($C91&amp;"_Therm Saved per Unit- MLA",Algorithms!$A:$A,0)),0)*X91</f>
        <v>2025.1872597184331</v>
      </c>
      <c r="CP91" s="266">
        <f ca="1">O91*IFERROR(INDEX(Algorithms!$G:$G,MATCH($C91&amp;"_Therm Saved per Unit- MLA",Algorithms!$A:$A,0)),0)*Y91</f>
        <v>2227.7059856902765</v>
      </c>
      <c r="CQ91" s="266">
        <f ca="1">P91*IFERROR(INDEX(Algorithms!$G:$G,MATCH($C91&amp;"_Therm Saved per Unit- MLA",Algorithms!$A:$A,0)),0)*Z91</f>
        <v>2835.2621636058061</v>
      </c>
      <c r="CR91" s="266">
        <f ca="1">Q91*IFERROR(INDEX(Algorithms!$G:$G,MATCH($C91&amp;"_Therm Saved per Unit- MLA",Algorithms!$A:$A,0)),0)*AA91</f>
        <v>3037.7808895776498</v>
      </c>
      <c r="CS91" s="266">
        <f ca="1">IFERROR(INDEX(Algorithms!$G:$G,MATCH($C91&amp;"_Lifetime (years)",Algorithms!$A:$A,0)),0)</f>
        <v>30</v>
      </c>
      <c r="CT91" s="266">
        <f ca="1">IFERROR(INDEX(Algorithms!$G:$G,MATCH($C91&amp;"_Lifetime (years) - Remaining Years",Algorithms!$A:$A,0)),0)</f>
        <v>10</v>
      </c>
      <c r="CU91" s="266">
        <f t="shared" ca="1" si="81"/>
        <v>59813.468741678495</v>
      </c>
      <c r="CV91" s="266">
        <f t="shared" ca="1" si="82"/>
        <v>65794.815615846339</v>
      </c>
      <c r="CW91" s="266">
        <f t="shared" ca="1" si="83"/>
        <v>83482.71926172651</v>
      </c>
      <c r="CX91" s="266">
        <f t="shared" ca="1" si="84"/>
        <v>89445.770637564128</v>
      </c>
    </row>
    <row r="92" spans="2:102" s="47" customFormat="1" ht="18" customHeight="1" x14ac:dyDescent="0.25">
      <c r="B92" t="str">
        <f t="shared" si="85"/>
        <v>NSG_Income Eligible_Single Family_IHWAP_Air Sealing_0_SF</v>
      </c>
      <c r="C92" s="47" t="str">
        <f t="shared" si="46"/>
        <v>Air Sealing_0_SF</v>
      </c>
      <c r="D92" s="270" t="s">
        <v>1787</v>
      </c>
      <c r="E92" s="270" t="s">
        <v>325</v>
      </c>
      <c r="F92" s="270" t="s">
        <v>375</v>
      </c>
      <c r="G92" s="270" t="s">
        <v>1439</v>
      </c>
      <c r="H92" s="270" t="s">
        <v>221</v>
      </c>
      <c r="I92" s="270">
        <v>0</v>
      </c>
      <c r="J92" s="270" t="s">
        <v>409</v>
      </c>
      <c r="K92" s="263">
        <v>1</v>
      </c>
      <c r="L92" s="263" t="str">
        <f ca="1">IFERROR(INDEX(Algorithms!J:J,MATCH($C92&amp;"_Therm Saved per Unit",Algorithms!$A:$A,0)),"n/a")</f>
        <v>5.6.1</v>
      </c>
      <c r="M92" s="263" t="str">
        <f>IFERROR(INDEX('Measure Level Detail'!$N:$N,MATCH($B92,'Measure Level Detail'!$B:$B,0)),0)</f>
        <v>CFM_50</v>
      </c>
      <c r="N92" s="271">
        <f>IFERROR(INDEX('Measure Level Detail'!$P:$P,MATCH($B92&amp;"_"&amp;N$3,'Measure Level Detail'!$C:$C,0)),0)</f>
        <v>23783.679999999997</v>
      </c>
      <c r="O92" s="271">
        <f>IFERROR(INDEX('Measure Level Detail'!$P:$P,MATCH($B92&amp;"_"&amp;O$3,'Measure Level Detail'!$C:$C,0)),0)</f>
        <v>26013.399999999998</v>
      </c>
      <c r="P92" s="271">
        <f>IFERROR(INDEX('Measure Level Detail'!$P:$P,MATCH($B92&amp;"_"&amp;P$3,'Measure Level Detail'!$C:$C,0)),0)</f>
        <v>33445.799999999996</v>
      </c>
      <c r="Q92" s="271">
        <f>IFERROR(INDEX('Measure Level Detail'!$P:$P,MATCH($B92&amp;"_"&amp;Q$3,'Measure Level Detail'!$C:$C,0)),0)</f>
        <v>35675.519999999997</v>
      </c>
      <c r="R92" s="263" t="str">
        <f ca="1">IFERROR(INDEX(Algorithms!K:K,MATCH($C92&amp;"_Therm Saved per Unit",Algorithms!$A:$A,0)),"n/a")</f>
        <v>RS-SHL-AIRS-V13-240101</v>
      </c>
      <c r="S92" s="262"/>
      <c r="T92" s="272">
        <v>8.7236018957345965E-2</v>
      </c>
      <c r="U92" s="272">
        <v>8.7236018957345965E-2</v>
      </c>
      <c r="V92" s="272">
        <v>8.7236018957345965E-2</v>
      </c>
      <c r="W92" s="272">
        <v>8.7236018957345965E-2</v>
      </c>
      <c r="X92" s="273">
        <f>IFERROR(INDEX('Measure Level Detail'!$R:$R,MATCH($B92&amp;"_"&amp;X$3,'Measure Level Detail'!$C:$C,0)),0)</f>
        <v>1</v>
      </c>
      <c r="Y92" s="273">
        <f>IFERROR(INDEX('Measure Level Detail'!$R:$R,MATCH($B92&amp;"_"&amp;Y$3,'Measure Level Detail'!$C:$C,0)),0)</f>
        <v>1</v>
      </c>
      <c r="Z92" s="273">
        <f>IFERROR(INDEX('Measure Level Detail'!$R:$R,MATCH($B92&amp;"_"&amp;Z$3,'Measure Level Detail'!$C:$C,0)),0)</f>
        <v>1</v>
      </c>
      <c r="AA92" s="273">
        <f>IFERROR(INDEX('Measure Level Detail'!$R:$R,MATCH($B92&amp;"_"&amp;AA$3,'Measure Level Detail'!$C:$C,0)),0)</f>
        <v>1</v>
      </c>
      <c r="AB92" s="266">
        <f t="shared" si="47"/>
        <v>2074.7935593554498</v>
      </c>
      <c r="AC92" s="266">
        <f t="shared" si="48"/>
        <v>2269.3054555450235</v>
      </c>
      <c r="AD92" s="266">
        <f t="shared" si="49"/>
        <v>2917.6784428436013</v>
      </c>
      <c r="AE92" s="266">
        <f t="shared" si="50"/>
        <v>3112.190339033175</v>
      </c>
      <c r="AF92" s="266">
        <f t="shared" si="51"/>
        <v>10373.96779677725</v>
      </c>
      <c r="AG92" s="274">
        <v>1</v>
      </c>
      <c r="AH92" s="274">
        <v>1</v>
      </c>
      <c r="AI92" s="274">
        <v>1</v>
      </c>
      <c r="AJ92" s="274">
        <v>1</v>
      </c>
      <c r="AK92" s="274">
        <f t="shared" si="52"/>
        <v>1</v>
      </c>
      <c r="AL92" s="274">
        <f t="shared" si="53"/>
        <v>1</v>
      </c>
      <c r="AM92" s="274">
        <f t="shared" si="54"/>
        <v>1</v>
      </c>
      <c r="AN92" s="274">
        <f t="shared" si="55"/>
        <v>1</v>
      </c>
      <c r="AO92" s="262"/>
      <c r="AP92" s="262"/>
      <c r="AQ92" s="267">
        <v>8.7236018957345965E-2</v>
      </c>
      <c r="AR92" s="262"/>
      <c r="AS92" s="266">
        <f t="shared" si="56"/>
        <v>2074.7935593554498</v>
      </c>
      <c r="AT92" s="264">
        <f t="shared" si="57"/>
        <v>0</v>
      </c>
      <c r="AU92" s="262"/>
      <c r="AV92" s="262"/>
      <c r="AW92" s="265">
        <v>8.7236018957345965E-2</v>
      </c>
      <c r="AX92" s="164" t="s">
        <v>2395</v>
      </c>
      <c r="AY92" s="266">
        <v>2269.3054555450235</v>
      </c>
      <c r="AZ92" s="266">
        <f t="shared" si="58"/>
        <v>2269.3054555450235</v>
      </c>
      <c r="BA92" s="264">
        <f t="shared" si="59"/>
        <v>0</v>
      </c>
      <c r="BB92" s="262"/>
      <c r="BC92" s="262"/>
      <c r="BD92" s="265">
        <f ca="1">IFERROR(INDEX(Algorithms!$G:$G,MATCH($C92&amp;"_Therm Saved per Unit",Algorithms!$A:$A,0)),0)</f>
        <v>8.1861611374407575E-2</v>
      </c>
      <c r="BE92" s="164" t="str">
        <f ca="1">IFERROR(INDEX('v12 Revisions'!$P$29:$P$186, MATCH('Measure-Level Adj Gas'!$L92, 'v12 Revisions'!$D$29:$D$186,0)),"")</f>
        <v>Updated HDD from 5113 to 4798 and shell adjustment factor from 0.72 to 0.76.</v>
      </c>
      <c r="BF92" s="266">
        <f t="shared" ca="1" si="60"/>
        <v>2737.9270817061606</v>
      </c>
      <c r="BG92" s="264">
        <f t="shared" ca="1" si="61"/>
        <v>-179.75136113744065</v>
      </c>
      <c r="BH92" s="262"/>
      <c r="BI92" s="262"/>
      <c r="BJ92" s="265">
        <f ca="1">IFERROR(INDEX(Algorithms!$G:$G,MATCH($C92&amp;"_Therm Saved per Unit",Algorithms!$A:$A,0)),0)</f>
        <v>8.1861611374407575E-2</v>
      </c>
      <c r="BK92" s="164"/>
      <c r="BL92" s="266">
        <f t="shared" ca="1" si="62"/>
        <v>2920.4555538199047</v>
      </c>
      <c r="BM92" s="264">
        <f t="shared" ca="1" si="63"/>
        <v>-191.73478521327024</v>
      </c>
      <c r="BN92" s="266">
        <f t="shared" si="64"/>
        <v>2074.7935593554498</v>
      </c>
      <c r="BO92" s="266">
        <f t="shared" si="65"/>
        <v>2269.3054555450235</v>
      </c>
      <c r="BP92" s="266">
        <f t="shared" ca="1" si="66"/>
        <v>2737.9270817061606</v>
      </c>
      <c r="BQ92" s="266">
        <f t="shared" ca="1" si="67"/>
        <v>2920.4555538199047</v>
      </c>
      <c r="BR92" s="268">
        <f t="shared" ca="1" si="68"/>
        <v>10002.48165042654</v>
      </c>
      <c r="BS92" s="262" t="s">
        <v>99</v>
      </c>
      <c r="BT92" s="277"/>
      <c r="BW92" s="266">
        <f t="shared" si="69"/>
        <v>2074.7935593554498</v>
      </c>
      <c r="BX92" s="266">
        <f t="shared" si="70"/>
        <v>2269.3054555450235</v>
      </c>
      <c r="BY92" s="266">
        <f t="shared" si="71"/>
        <v>2917.6784428436013</v>
      </c>
      <c r="BZ92" s="266">
        <f t="shared" si="72"/>
        <v>3112.190339033175</v>
      </c>
      <c r="CA92" s="266">
        <f ca="1">N92*IFERROR(INDEX(Algorithms!$G:$G,MATCH($C92&amp;"_Therm Saved per Unit- MLA",Algorithms!$A:$A,0)),0)*X92</f>
        <v>2061.4980379905205</v>
      </c>
      <c r="CB92" s="266">
        <f ca="1">O92*IFERROR(INDEX(Algorithms!$G:$G,MATCH($C92&amp;"_Therm Saved per Unit- MLA",Algorithms!$A:$A,0)),0)*Y92</f>
        <v>2254.763479052132</v>
      </c>
      <c r="CC92" s="266">
        <f ca="1">P92*IFERROR(INDEX(Algorithms!$G:$G,MATCH($C92&amp;"_Therm Saved per Unit- MLA",Algorithms!$A:$A,0)),0)*Z92</f>
        <v>2898.9816159241695</v>
      </c>
      <c r="CD92" s="266">
        <f ca="1">Q92*IFERROR(INDEX(Algorithms!$G:$G,MATCH($C92&amp;"_Therm Saved per Unit- MLA",Algorithms!$A:$A,0)),0)*AA92</f>
        <v>3092.247056985781</v>
      </c>
      <c r="CE92" s="266">
        <f ca="1">IFERROR(INDEX(Algorithms!$G:$G,MATCH($C92&amp;"_Lifetime (years)",Algorithms!$A:$A,0)),0)</f>
        <v>20</v>
      </c>
      <c r="CF92" s="266">
        <f ca="1">IFERROR(INDEX(Algorithms!$G:$G,MATCH($C92&amp;"_Lifetime (years) - Remaining Years",Algorithms!$A:$A,0)),0)</f>
        <v>10</v>
      </c>
      <c r="CG92" s="266">
        <f t="shared" ca="1" si="73"/>
        <v>41362.915973459705</v>
      </c>
      <c r="CH92" s="266">
        <f t="shared" ca="1" si="74"/>
        <v>45240.68934597155</v>
      </c>
      <c r="CI92" s="266">
        <f t="shared" ca="1" si="75"/>
        <v>58166.600587677705</v>
      </c>
      <c r="CJ92" s="266">
        <f t="shared" ca="1" si="76"/>
        <v>62044.373960189565</v>
      </c>
      <c r="CK92" s="266">
        <f t="shared" si="77"/>
        <v>2074.7935593554498</v>
      </c>
      <c r="CL92" s="266">
        <f t="shared" si="78"/>
        <v>2269.3054555450235</v>
      </c>
      <c r="CM92" s="266">
        <f t="shared" ca="1" si="79"/>
        <v>2737.9270817061606</v>
      </c>
      <c r="CN92" s="266">
        <f t="shared" ca="1" si="80"/>
        <v>2920.4555538199047</v>
      </c>
      <c r="CO92" s="266">
        <f ca="1">N92*IFERROR(INDEX(Algorithms!$G:$G,MATCH($C92&amp;"_Therm Saved per Unit- MLA",Algorithms!$A:$A,0)),0)*X92</f>
        <v>2061.4980379905205</v>
      </c>
      <c r="CP92" s="266">
        <f ca="1">O92*IFERROR(INDEX(Algorithms!$G:$G,MATCH($C92&amp;"_Therm Saved per Unit- MLA",Algorithms!$A:$A,0)),0)*Y92</f>
        <v>2254.763479052132</v>
      </c>
      <c r="CQ92" s="266">
        <f ca="1">P92*IFERROR(INDEX(Algorithms!$G:$G,MATCH($C92&amp;"_Therm Saved per Unit- MLA",Algorithms!$A:$A,0)),0)*Z92</f>
        <v>2898.9816159241695</v>
      </c>
      <c r="CR92" s="266">
        <f ca="1">Q92*IFERROR(INDEX(Algorithms!$G:$G,MATCH($C92&amp;"_Therm Saved per Unit- MLA",Algorithms!$A:$A,0)),0)*AA92</f>
        <v>3092.247056985781</v>
      </c>
      <c r="CS92" s="266">
        <f ca="1">IFERROR(INDEX(Algorithms!$G:$G,MATCH($C92&amp;"_Lifetime (years)",Algorithms!$A:$A,0)),0)</f>
        <v>20</v>
      </c>
      <c r="CT92" s="266">
        <f ca="1">IFERROR(INDEX(Algorithms!$G:$G,MATCH($C92&amp;"_Lifetime (years) - Remaining Years",Algorithms!$A:$A,0)),0)</f>
        <v>10</v>
      </c>
      <c r="CU92" s="266">
        <f t="shared" ca="1" si="81"/>
        <v>41362.915973459705</v>
      </c>
      <c r="CV92" s="266">
        <f t="shared" ca="1" si="82"/>
        <v>45240.68934597155</v>
      </c>
      <c r="CW92" s="266">
        <f t="shared" ca="1" si="83"/>
        <v>56369.086976303297</v>
      </c>
      <c r="CX92" s="266">
        <f t="shared" ca="1" si="84"/>
        <v>60127.02610805686</v>
      </c>
    </row>
    <row r="93" spans="2:102" s="47" customFormat="1" ht="18" customHeight="1" x14ac:dyDescent="0.25">
      <c r="B93" t="str">
        <f t="shared" si="85"/>
        <v>NSG_Business_Small/Mid-Size Business_Gas Optimization_C&amp;I Gas Optimization_0_CI</v>
      </c>
      <c r="C93" s="47" t="str">
        <f t="shared" si="46"/>
        <v>C&amp;I Gas Optimization_0_CI</v>
      </c>
      <c r="D93" s="270" t="s">
        <v>1787</v>
      </c>
      <c r="E93" s="270" t="s">
        <v>3</v>
      </c>
      <c r="F93" s="270" t="s">
        <v>1432</v>
      </c>
      <c r="G93" s="270" t="s">
        <v>1098</v>
      </c>
      <c r="H93" s="270" t="s">
        <v>1283</v>
      </c>
      <c r="I93" s="270">
        <v>0</v>
      </c>
      <c r="J93" s="270" t="s">
        <v>1159</v>
      </c>
      <c r="K93" s="263">
        <v>1</v>
      </c>
      <c r="L93" s="263">
        <f ca="1">IFERROR(INDEX(Algorithms!J:J,MATCH($C93&amp;"_Therm Saved per Unit",Algorithms!$A:$A,0)),"n/a")</f>
        <v>0</v>
      </c>
      <c r="M93" s="263" t="str">
        <f>IFERROR(INDEX('Measure Level Detail'!$N:$N,MATCH($B93,'Measure Level Detail'!$B:$B,0)),0)</f>
        <v>therm</v>
      </c>
      <c r="N93" s="271">
        <f>IFERROR(INDEX('Measure Level Detail'!$P:$P,MATCH($B93&amp;"_"&amp;N$3,'Measure Level Detail'!$C:$C,0)),0)</f>
        <v>21177.16</v>
      </c>
      <c r="O93" s="271">
        <f>IFERROR(INDEX('Measure Level Detail'!$P:$P,MATCH($B93&amp;"_"&amp;O$3,'Measure Level Detail'!$C:$C,0)),0)</f>
        <v>21177.16</v>
      </c>
      <c r="P93" s="271">
        <f>IFERROR(INDEX('Measure Level Detail'!$P:$P,MATCH($B93&amp;"_"&amp;P$3,'Measure Level Detail'!$C:$C,0)),0)</f>
        <v>21177.16</v>
      </c>
      <c r="Q93" s="271">
        <f>IFERROR(INDEX('Measure Level Detail'!$P:$P,MATCH($B93&amp;"_"&amp;Q$3,'Measure Level Detail'!$C:$C,0)),0)</f>
        <v>21177.16</v>
      </c>
      <c r="R93" s="263">
        <f ca="1">IFERROR(INDEX(Algorithms!K:K,MATCH($C93&amp;"_Therm Saved per Unit",Algorithms!$A:$A,0)),"n/a")</f>
        <v>0</v>
      </c>
      <c r="S93" s="262"/>
      <c r="T93" s="272">
        <v>1</v>
      </c>
      <c r="U93" s="272">
        <v>1</v>
      </c>
      <c r="V93" s="272">
        <v>1</v>
      </c>
      <c r="W93" s="272">
        <v>1</v>
      </c>
      <c r="X93" s="276">
        <v>0.94</v>
      </c>
      <c r="Y93" s="276">
        <v>0.94</v>
      </c>
      <c r="Z93" s="276">
        <v>0.94</v>
      </c>
      <c r="AA93" s="276">
        <v>0.94</v>
      </c>
      <c r="AB93" s="266">
        <f t="shared" si="47"/>
        <v>19906.5304</v>
      </c>
      <c r="AC93" s="266">
        <f t="shared" si="48"/>
        <v>19906.5304</v>
      </c>
      <c r="AD93" s="266">
        <f t="shared" si="49"/>
        <v>19906.5304</v>
      </c>
      <c r="AE93" s="266">
        <f t="shared" si="50"/>
        <v>19906.5304</v>
      </c>
      <c r="AF93" s="266">
        <f t="shared" si="51"/>
        <v>79626.121599999999</v>
      </c>
      <c r="AG93" s="274">
        <v>0.94</v>
      </c>
      <c r="AH93" s="274">
        <v>0.94</v>
      </c>
      <c r="AI93" s="274">
        <v>0.94</v>
      </c>
      <c r="AJ93" s="274">
        <v>0.94</v>
      </c>
      <c r="AK93" s="274">
        <f t="shared" si="52"/>
        <v>0.94</v>
      </c>
      <c r="AL93" s="274">
        <f t="shared" si="53"/>
        <v>0.94</v>
      </c>
      <c r="AM93" s="274">
        <f t="shared" si="54"/>
        <v>0.94</v>
      </c>
      <c r="AN93" s="274">
        <f t="shared" si="55"/>
        <v>0.94</v>
      </c>
      <c r="AO93" s="262"/>
      <c r="AP93" s="262"/>
      <c r="AQ93" s="267">
        <v>1</v>
      </c>
      <c r="AR93" s="262"/>
      <c r="AS93" s="266">
        <f t="shared" si="56"/>
        <v>19906.5304</v>
      </c>
      <c r="AT93" s="264">
        <f t="shared" si="57"/>
        <v>0</v>
      </c>
      <c r="AU93" s="262"/>
      <c r="AV93" s="262"/>
      <c r="AW93" s="265">
        <v>1</v>
      </c>
      <c r="AX93" s="164" t="s">
        <v>1469</v>
      </c>
      <c r="AY93" s="266">
        <v>19906.5304</v>
      </c>
      <c r="AZ93" s="266">
        <f t="shared" si="58"/>
        <v>19906.5304</v>
      </c>
      <c r="BA93" s="264">
        <f t="shared" si="59"/>
        <v>0</v>
      </c>
      <c r="BB93" s="262"/>
      <c r="BC93" s="262"/>
      <c r="BD93" s="265">
        <f ca="1">IFERROR(INDEX(Algorithms!$G:$G,MATCH($C93&amp;"_Therm Saved per Unit",Algorithms!$A:$A,0)),0)</f>
        <v>1</v>
      </c>
      <c r="BE93" s="164" t="str">
        <f ca="1">IFERROR(INDEX('v12 Revisions'!$P$29:$P$186, MATCH('Measure-Level Adj Gas'!$L93, 'v12 Revisions'!$D$29:$D$186,0)),"")</f>
        <v/>
      </c>
      <c r="BF93" s="266">
        <f t="shared" ca="1" si="60"/>
        <v>19906.5304</v>
      </c>
      <c r="BG93" s="264">
        <f t="shared" ca="1" si="61"/>
        <v>0</v>
      </c>
      <c r="BH93" s="262"/>
      <c r="BI93" s="262"/>
      <c r="BJ93" s="265">
        <f ca="1">IFERROR(INDEX(Algorithms!$G:$G,MATCH($C93&amp;"_Therm Saved per Unit",Algorithms!$A:$A,0)),0)</f>
        <v>1</v>
      </c>
      <c r="BK93" s="164"/>
      <c r="BL93" s="266">
        <f t="shared" ca="1" si="62"/>
        <v>19906.5304</v>
      </c>
      <c r="BM93" s="264">
        <f t="shared" ca="1" si="63"/>
        <v>0</v>
      </c>
      <c r="BN93" s="266">
        <f t="shared" si="64"/>
        <v>19906.5304</v>
      </c>
      <c r="BO93" s="266">
        <f t="shared" si="65"/>
        <v>19906.5304</v>
      </c>
      <c r="BP93" s="266">
        <f t="shared" ca="1" si="66"/>
        <v>19906.5304</v>
      </c>
      <c r="BQ93" s="266">
        <f t="shared" ca="1" si="67"/>
        <v>19906.5304</v>
      </c>
      <c r="BR93" s="268">
        <f t="shared" ca="1" si="68"/>
        <v>79626.121599999999</v>
      </c>
      <c r="BS93" s="262" t="s">
        <v>99</v>
      </c>
      <c r="BT93" s="277"/>
      <c r="BW93" s="266">
        <f t="shared" si="69"/>
        <v>19906.5304</v>
      </c>
      <c r="BX93" s="266">
        <f t="shared" si="70"/>
        <v>19906.5304</v>
      </c>
      <c r="BY93" s="266">
        <f t="shared" si="71"/>
        <v>19906.5304</v>
      </c>
      <c r="BZ93" s="266">
        <f t="shared" si="72"/>
        <v>19906.5304</v>
      </c>
      <c r="CA93" s="266">
        <f ca="1">N93*IFERROR(INDEX(Algorithms!$G:$G,MATCH($C93&amp;"_Therm Saved per Unit- MLA",Algorithms!$A:$A,0)),0)*X93</f>
        <v>0</v>
      </c>
      <c r="CB93" s="266">
        <f ca="1">O93*IFERROR(INDEX(Algorithms!$G:$G,MATCH($C93&amp;"_Therm Saved per Unit- MLA",Algorithms!$A:$A,0)),0)*Y93</f>
        <v>0</v>
      </c>
      <c r="CC93" s="266">
        <f ca="1">P93*IFERROR(INDEX(Algorithms!$G:$G,MATCH($C93&amp;"_Therm Saved per Unit- MLA",Algorithms!$A:$A,0)),0)*Z93</f>
        <v>0</v>
      </c>
      <c r="CD93" s="266">
        <f ca="1">Q93*IFERROR(INDEX(Algorithms!$G:$G,MATCH($C93&amp;"_Therm Saved per Unit- MLA",Algorithms!$A:$A,0)),0)*AA93</f>
        <v>0</v>
      </c>
      <c r="CE93" s="266">
        <f ca="1">IFERROR(INDEX(Algorithms!$G:$G,MATCH($C93&amp;"_Lifetime (years)",Algorithms!$A:$A,0)),0)</f>
        <v>15</v>
      </c>
      <c r="CF93" s="266">
        <f ca="1">IFERROR(INDEX(Algorithms!$G:$G,MATCH($C93&amp;"_Lifetime (years) - Remaining Years",Algorithms!$A:$A,0)),0)</f>
        <v>0</v>
      </c>
      <c r="CG93" s="266">
        <f t="shared" ca="1" si="73"/>
        <v>298597.95600000001</v>
      </c>
      <c r="CH93" s="266">
        <f t="shared" ca="1" si="74"/>
        <v>298597.95600000001</v>
      </c>
      <c r="CI93" s="266">
        <f t="shared" ca="1" si="75"/>
        <v>298597.95600000001</v>
      </c>
      <c r="CJ93" s="266">
        <f t="shared" ca="1" si="76"/>
        <v>298597.95600000001</v>
      </c>
      <c r="CK93" s="266">
        <f t="shared" si="77"/>
        <v>19906.5304</v>
      </c>
      <c r="CL93" s="266">
        <f t="shared" si="78"/>
        <v>19906.5304</v>
      </c>
      <c r="CM93" s="266">
        <f t="shared" ca="1" si="79"/>
        <v>19906.5304</v>
      </c>
      <c r="CN93" s="266">
        <f t="shared" ca="1" si="80"/>
        <v>19906.5304</v>
      </c>
      <c r="CO93" s="266">
        <f ca="1">N93*IFERROR(INDEX(Algorithms!$G:$G,MATCH($C93&amp;"_Therm Saved per Unit- MLA",Algorithms!$A:$A,0)),0)*X93</f>
        <v>0</v>
      </c>
      <c r="CP93" s="266">
        <f ca="1">O93*IFERROR(INDEX(Algorithms!$G:$G,MATCH($C93&amp;"_Therm Saved per Unit- MLA",Algorithms!$A:$A,0)),0)*Y93</f>
        <v>0</v>
      </c>
      <c r="CQ93" s="266">
        <f ca="1">P93*IFERROR(INDEX(Algorithms!$G:$G,MATCH($C93&amp;"_Therm Saved per Unit- MLA",Algorithms!$A:$A,0)),0)*Z93</f>
        <v>0</v>
      </c>
      <c r="CR93" s="266">
        <f ca="1">Q93*IFERROR(INDEX(Algorithms!$G:$G,MATCH($C93&amp;"_Therm Saved per Unit- MLA",Algorithms!$A:$A,0)),0)*AA93</f>
        <v>0</v>
      </c>
      <c r="CS93" s="266">
        <f ca="1">IFERROR(INDEX(Algorithms!$G:$G,MATCH($C93&amp;"_Lifetime (years)",Algorithms!$A:$A,0)),0)</f>
        <v>15</v>
      </c>
      <c r="CT93" s="266">
        <f ca="1">IFERROR(INDEX(Algorithms!$G:$G,MATCH($C93&amp;"_Lifetime (years) - Remaining Years",Algorithms!$A:$A,0)),0)</f>
        <v>0</v>
      </c>
      <c r="CU93" s="266">
        <f t="shared" ca="1" si="81"/>
        <v>298597.95600000001</v>
      </c>
      <c r="CV93" s="266">
        <f t="shared" ca="1" si="82"/>
        <v>298597.95600000001</v>
      </c>
      <c r="CW93" s="266">
        <f t="shared" ca="1" si="83"/>
        <v>298597.95600000001</v>
      </c>
      <c r="CX93" s="266">
        <f t="shared" ca="1" si="84"/>
        <v>298597.95600000001</v>
      </c>
    </row>
    <row r="94" spans="2:102" s="47" customFormat="1" ht="18" customHeight="1" x14ac:dyDescent="0.25">
      <c r="B94" t="str">
        <f t="shared" si="85"/>
        <v>NSG_Business_Small/Mid-Size Business_Rebates_Boiler Tune Up_Process_MF/CI</v>
      </c>
      <c r="C94" s="47" t="str">
        <f t="shared" si="46"/>
        <v>Boiler Tune Up_Process_MF/CI</v>
      </c>
      <c r="D94" s="270" t="s">
        <v>1787</v>
      </c>
      <c r="E94" s="270" t="s">
        <v>3</v>
      </c>
      <c r="F94" s="270" t="s">
        <v>1432</v>
      </c>
      <c r="G94" s="270" t="s">
        <v>1429</v>
      </c>
      <c r="H94" s="270" t="s">
        <v>906</v>
      </c>
      <c r="I94" s="270" t="s">
        <v>924</v>
      </c>
      <c r="J94" s="270" t="s">
        <v>587</v>
      </c>
      <c r="K94" s="263">
        <v>1</v>
      </c>
      <c r="L94" s="263" t="str">
        <f ca="1">IFERROR(INDEX(Algorithms!J:J,MATCH($C94&amp;"_Therm Saved per Unit",Algorithms!$A:$A,0)),"n/a")</f>
        <v>4.4.3</v>
      </c>
      <c r="M94" s="263" t="str">
        <f>IFERROR(INDEX('Measure Level Detail'!$N:$N,MATCH($B94,'Measure Level Detail'!$B:$B,0)),0)</f>
        <v>MBH</v>
      </c>
      <c r="N94" s="271">
        <f>IFERROR(INDEX('Measure Level Detail'!$P:$P,MATCH($B94&amp;"_"&amp;N$3,'Measure Level Detail'!$C:$C,0)),0)</f>
        <v>21111.504000000001</v>
      </c>
      <c r="O94" s="271">
        <f>IFERROR(INDEX('Measure Level Detail'!$P:$P,MATCH($B94&amp;"_"&amp;O$3,'Measure Level Detail'!$C:$C,0)),0)</f>
        <v>15833.628000000001</v>
      </c>
      <c r="P94" s="271">
        <f>IFERROR(INDEX('Measure Level Detail'!$P:$P,MATCH($B94&amp;"_"&amp;P$3,'Measure Level Detail'!$C:$C,0)),0)</f>
        <v>15833.628000000001</v>
      </c>
      <c r="Q94" s="271">
        <f>IFERROR(INDEX('Measure Level Detail'!$P:$P,MATCH($B94&amp;"_"&amp;Q$3,'Measure Level Detail'!$C:$C,0)),0)</f>
        <v>15833.628000000001</v>
      </c>
      <c r="R94" s="263" t="str">
        <f ca="1">IFERROR(INDEX(Algorithms!K:K,MATCH($C94&amp;"_Therm Saved per Unit",Algorithms!$A:$A,0)),"n/a")</f>
        <v>CI-HVC-PBTU-V07-230101</v>
      </c>
      <c r="S94" s="262"/>
      <c r="T94" s="272">
        <v>1.0227353753026578</v>
      </c>
      <c r="U94" s="272">
        <v>1.0227353753026578</v>
      </c>
      <c r="V94" s="272">
        <v>1.0227353753026578</v>
      </c>
      <c r="W94" s="272">
        <v>1.0227353753026578</v>
      </c>
      <c r="X94" s="276">
        <v>0.93</v>
      </c>
      <c r="Y94" s="276">
        <v>0.93</v>
      </c>
      <c r="Z94" s="276">
        <v>0.93</v>
      </c>
      <c r="AA94" s="276">
        <v>0.93</v>
      </c>
      <c r="AB94" s="266">
        <f t="shared" si="47"/>
        <v>20080.078228978513</v>
      </c>
      <c r="AC94" s="266">
        <f t="shared" si="48"/>
        <v>15060.058671733887</v>
      </c>
      <c r="AD94" s="266">
        <f t="shared" si="49"/>
        <v>15060.058671733887</v>
      </c>
      <c r="AE94" s="266">
        <f t="shared" si="50"/>
        <v>15060.058671733887</v>
      </c>
      <c r="AF94" s="266">
        <f t="shared" si="51"/>
        <v>65260.254244180178</v>
      </c>
      <c r="AG94" s="274">
        <v>0.93</v>
      </c>
      <c r="AH94" s="274">
        <v>0.93</v>
      </c>
      <c r="AI94" s="274">
        <v>0.93</v>
      </c>
      <c r="AJ94" s="274">
        <v>0.93</v>
      </c>
      <c r="AK94" s="274">
        <f t="shared" si="52"/>
        <v>0.93</v>
      </c>
      <c r="AL94" s="274">
        <f t="shared" si="53"/>
        <v>0.93</v>
      </c>
      <c r="AM94" s="274">
        <f t="shared" si="54"/>
        <v>0.93</v>
      </c>
      <c r="AN94" s="274">
        <f t="shared" si="55"/>
        <v>0.93</v>
      </c>
      <c r="AO94" s="262"/>
      <c r="AP94" s="262"/>
      <c r="AQ94" s="267">
        <v>1.0227353753026578</v>
      </c>
      <c r="AR94" s="262"/>
      <c r="AS94" s="266">
        <f t="shared" si="56"/>
        <v>20080.078228978513</v>
      </c>
      <c r="AT94" s="264">
        <f t="shared" si="57"/>
        <v>0</v>
      </c>
      <c r="AU94" s="262"/>
      <c r="AV94" s="262"/>
      <c r="AW94" s="265">
        <v>1.0227353753026578</v>
      </c>
      <c r="AX94" s="164" t="s">
        <v>2396</v>
      </c>
      <c r="AY94" s="266">
        <v>15060.058671733887</v>
      </c>
      <c r="AZ94" s="266">
        <f t="shared" si="58"/>
        <v>15060.058671733887</v>
      </c>
      <c r="BA94" s="264">
        <f t="shared" si="59"/>
        <v>0</v>
      </c>
      <c r="BB94" s="262"/>
      <c r="BC94" s="262"/>
      <c r="BD94" s="265">
        <f ca="1">IFERROR(INDEX(Algorithms!$G:$G,MATCH($C94&amp;"_Therm Saved per Unit",Algorithms!$A:$A,0)),0)</f>
        <v>1.0227353753026578</v>
      </c>
      <c r="BE94" s="164" t="str">
        <f ca="1">IFERROR(INDEX('v12 Revisions'!$P$29:$P$186, MATCH('Measure-Level Adj Gas'!$L94, 'v12 Revisions'!$D$29:$D$186,0)),"")</f>
        <v/>
      </c>
      <c r="BF94" s="266">
        <f t="shared" ca="1" si="60"/>
        <v>15060.058671733887</v>
      </c>
      <c r="BG94" s="264">
        <f t="shared" ca="1" si="61"/>
        <v>0</v>
      </c>
      <c r="BH94" s="262"/>
      <c r="BI94" s="262"/>
      <c r="BJ94" s="265">
        <f ca="1">IFERROR(INDEX(Algorithms!$G:$G,MATCH($C94&amp;"_Therm Saved per Unit",Algorithms!$A:$A,0)),0)</f>
        <v>1.0227353753026578</v>
      </c>
      <c r="BK94" s="164"/>
      <c r="BL94" s="266">
        <f t="shared" ca="1" si="62"/>
        <v>15060.058671733887</v>
      </c>
      <c r="BM94" s="264">
        <f t="shared" ca="1" si="63"/>
        <v>0</v>
      </c>
      <c r="BN94" s="266">
        <f t="shared" si="64"/>
        <v>20080.078228978513</v>
      </c>
      <c r="BO94" s="266">
        <f t="shared" si="65"/>
        <v>15060.058671733887</v>
      </c>
      <c r="BP94" s="266">
        <f t="shared" ca="1" si="66"/>
        <v>15060.058671733887</v>
      </c>
      <c r="BQ94" s="266">
        <f t="shared" ca="1" si="67"/>
        <v>15060.058671733887</v>
      </c>
      <c r="BR94" s="268">
        <f t="shared" ca="1" si="68"/>
        <v>65260.254244180178</v>
      </c>
      <c r="BS94" s="262" t="s">
        <v>99</v>
      </c>
      <c r="BT94" s="277"/>
      <c r="BW94" s="266">
        <f t="shared" si="69"/>
        <v>20080.078228978513</v>
      </c>
      <c r="BX94" s="266">
        <f t="shared" si="70"/>
        <v>15060.058671733887</v>
      </c>
      <c r="BY94" s="266">
        <f t="shared" si="71"/>
        <v>15060.058671733887</v>
      </c>
      <c r="BZ94" s="266">
        <f t="shared" si="72"/>
        <v>15060.058671733887</v>
      </c>
      <c r="CA94" s="266">
        <f ca="1">N94*IFERROR(INDEX(Algorithms!$G:$G,MATCH($C94&amp;"_Therm Saved per Unit- MLA",Algorithms!$A:$A,0)),0)*X94</f>
        <v>0</v>
      </c>
      <c r="CB94" s="266">
        <f ca="1">O94*IFERROR(INDEX(Algorithms!$G:$G,MATCH($C94&amp;"_Therm Saved per Unit- MLA",Algorithms!$A:$A,0)),0)*Y94</f>
        <v>0</v>
      </c>
      <c r="CC94" s="266">
        <f ca="1">P94*IFERROR(INDEX(Algorithms!$G:$G,MATCH($C94&amp;"_Therm Saved per Unit- MLA",Algorithms!$A:$A,0)),0)*Z94</f>
        <v>0</v>
      </c>
      <c r="CD94" s="266">
        <f ca="1">Q94*IFERROR(INDEX(Algorithms!$G:$G,MATCH($C94&amp;"_Therm Saved per Unit- MLA",Algorithms!$A:$A,0)),0)*AA94</f>
        <v>0</v>
      </c>
      <c r="CE94" s="266">
        <f ca="1">IFERROR(INDEX(Algorithms!$G:$G,MATCH($C94&amp;"_Lifetime (years)",Algorithms!$A:$A,0)),0)</f>
        <v>2</v>
      </c>
      <c r="CF94" s="266">
        <f ca="1">IFERROR(INDEX(Algorithms!$G:$G,MATCH($C94&amp;"_Lifetime (years) - Remaining Years",Algorithms!$A:$A,0)),0)</f>
        <v>0</v>
      </c>
      <c r="CG94" s="266">
        <f t="shared" ca="1" si="73"/>
        <v>40160.156457957026</v>
      </c>
      <c r="CH94" s="266">
        <f t="shared" ca="1" si="74"/>
        <v>30120.117343467773</v>
      </c>
      <c r="CI94" s="266">
        <f t="shared" ca="1" si="75"/>
        <v>30120.117343467773</v>
      </c>
      <c r="CJ94" s="266">
        <f t="shared" ca="1" si="76"/>
        <v>30120.117343467773</v>
      </c>
      <c r="CK94" s="266">
        <f t="shared" si="77"/>
        <v>20080.078228978513</v>
      </c>
      <c r="CL94" s="266">
        <f t="shared" si="78"/>
        <v>15060.058671733887</v>
      </c>
      <c r="CM94" s="266">
        <f t="shared" ca="1" si="79"/>
        <v>15060.058671733887</v>
      </c>
      <c r="CN94" s="266">
        <f t="shared" ca="1" si="80"/>
        <v>15060.058671733887</v>
      </c>
      <c r="CO94" s="266">
        <f ca="1">N94*IFERROR(INDEX(Algorithms!$G:$G,MATCH($C94&amp;"_Therm Saved per Unit- MLA",Algorithms!$A:$A,0)),0)*X94</f>
        <v>0</v>
      </c>
      <c r="CP94" s="266">
        <f ca="1">O94*IFERROR(INDEX(Algorithms!$G:$G,MATCH($C94&amp;"_Therm Saved per Unit- MLA",Algorithms!$A:$A,0)),0)*Y94</f>
        <v>0</v>
      </c>
      <c r="CQ94" s="266">
        <f ca="1">P94*IFERROR(INDEX(Algorithms!$G:$G,MATCH($C94&amp;"_Therm Saved per Unit- MLA",Algorithms!$A:$A,0)),0)*Z94</f>
        <v>0</v>
      </c>
      <c r="CR94" s="266">
        <f ca="1">Q94*IFERROR(INDEX(Algorithms!$G:$G,MATCH($C94&amp;"_Therm Saved per Unit- MLA",Algorithms!$A:$A,0)),0)*AA94</f>
        <v>0</v>
      </c>
      <c r="CS94" s="266">
        <f ca="1">IFERROR(INDEX(Algorithms!$G:$G,MATCH($C94&amp;"_Lifetime (years)",Algorithms!$A:$A,0)),0)</f>
        <v>2</v>
      </c>
      <c r="CT94" s="266">
        <f ca="1">IFERROR(INDEX(Algorithms!$G:$G,MATCH($C94&amp;"_Lifetime (years) - Remaining Years",Algorithms!$A:$A,0)),0)</f>
        <v>0</v>
      </c>
      <c r="CU94" s="266">
        <f t="shared" ca="1" si="81"/>
        <v>40160.156457957026</v>
      </c>
      <c r="CV94" s="266">
        <f t="shared" ca="1" si="82"/>
        <v>30120.117343467773</v>
      </c>
      <c r="CW94" s="266">
        <f t="shared" ca="1" si="83"/>
        <v>30120.117343467773</v>
      </c>
      <c r="CX94" s="266">
        <f t="shared" ca="1" si="84"/>
        <v>30120.117343467773</v>
      </c>
    </row>
    <row r="95" spans="2:102" s="47" customFormat="1" ht="18" customHeight="1" x14ac:dyDescent="0.25">
      <c r="B95" t="str">
        <f t="shared" si="85"/>
        <v>NSG_Residential_Home Energy Jumpstart_Leave Behind Kit_Weatherstripping_0_SF</v>
      </c>
      <c r="C95" s="47" t="str">
        <f t="shared" si="46"/>
        <v>Weatherstripping_0_SF</v>
      </c>
      <c r="D95" s="270" t="s">
        <v>1787</v>
      </c>
      <c r="E95" s="270" t="s">
        <v>2</v>
      </c>
      <c r="F95" s="270" t="s">
        <v>1414</v>
      </c>
      <c r="G95" s="270" t="s">
        <v>1416</v>
      </c>
      <c r="H95" s="270" t="s">
        <v>576</v>
      </c>
      <c r="I95" s="270">
        <v>0</v>
      </c>
      <c r="J95" s="270" t="s">
        <v>409</v>
      </c>
      <c r="K95" s="263">
        <v>1</v>
      </c>
      <c r="L95" s="263" t="str">
        <f ca="1">IFERROR(INDEX(Algorithms!J:J,MATCH($C95&amp;"_Therm Saved per Unit",Algorithms!$A:$A,0)),"n/a")</f>
        <v>5.6.1</v>
      </c>
      <c r="M95" s="263" t="str">
        <f>IFERROR(INDEX('Measure Level Detail'!$N:$N,MATCH($B95,'Measure Level Detail'!$B:$B,0)),0)</f>
        <v>linear foot</v>
      </c>
      <c r="N95" s="271">
        <f>IFERROR(INDEX('Measure Level Detail'!$P:$P,MATCH($B95&amp;"_"&amp;N$3,'Measure Level Detail'!$C:$C,0)),0)</f>
        <v>16000</v>
      </c>
      <c r="O95" s="271">
        <f>IFERROR(INDEX('Measure Level Detail'!$P:$P,MATCH($B95&amp;"_"&amp;O$3,'Measure Level Detail'!$C:$C,0)),0)</f>
        <v>14400</v>
      </c>
      <c r="P95" s="271">
        <f>IFERROR(INDEX('Measure Level Detail'!$P:$P,MATCH($B95&amp;"_"&amp;P$3,'Measure Level Detail'!$C:$C,0)),0)</f>
        <v>12800</v>
      </c>
      <c r="Q95" s="271">
        <f>IFERROR(INDEX('Measure Level Detail'!$P:$P,MATCH($B95&amp;"_"&amp;Q$3,'Measure Level Detail'!$C:$C,0)),0)</f>
        <v>11200</v>
      </c>
      <c r="R95" s="263" t="str">
        <f ca="1">IFERROR(INDEX(Algorithms!K:K,MATCH($C95&amp;"_Therm Saved per Unit",Algorithms!$A:$A,0)),"n/a")</f>
        <v>RS-SHL-AIRS-V13-240101</v>
      </c>
      <c r="S95" s="262"/>
      <c r="T95" s="272">
        <v>0.42455999999999999</v>
      </c>
      <c r="U95" s="272">
        <v>0.42455999999999999</v>
      </c>
      <c r="V95" s="272">
        <v>0.42455999999999999</v>
      </c>
      <c r="W95" s="272">
        <v>0.42455999999999999</v>
      </c>
      <c r="X95" s="276">
        <v>0.88</v>
      </c>
      <c r="Y95" s="276">
        <v>0.88</v>
      </c>
      <c r="Z95" s="276">
        <v>0.88</v>
      </c>
      <c r="AA95" s="276">
        <v>0.88</v>
      </c>
      <c r="AB95" s="266">
        <f t="shared" si="47"/>
        <v>5977.8047999999999</v>
      </c>
      <c r="AC95" s="266">
        <f t="shared" si="48"/>
        <v>5380.0243199999995</v>
      </c>
      <c r="AD95" s="266">
        <f t="shared" si="49"/>
        <v>4782.2438399999992</v>
      </c>
      <c r="AE95" s="266">
        <f t="shared" si="50"/>
        <v>4184.4633599999997</v>
      </c>
      <c r="AF95" s="266">
        <f t="shared" si="51"/>
        <v>20324.536319999999</v>
      </c>
      <c r="AG95" s="274">
        <v>0.88</v>
      </c>
      <c r="AH95" s="274">
        <v>0.88</v>
      </c>
      <c r="AI95" s="710">
        <v>0.99</v>
      </c>
      <c r="AJ95" s="710">
        <v>0.99</v>
      </c>
      <c r="AK95" s="274">
        <f t="shared" si="52"/>
        <v>0.88</v>
      </c>
      <c r="AL95" s="274">
        <f t="shared" si="53"/>
        <v>0.88</v>
      </c>
      <c r="AM95" s="274">
        <f t="shared" si="54"/>
        <v>0.89</v>
      </c>
      <c r="AN95" s="274">
        <f t="shared" si="55"/>
        <v>0.89</v>
      </c>
      <c r="AO95" s="262"/>
      <c r="AP95" s="262"/>
      <c r="AQ95" s="267">
        <v>0.42455999999999999</v>
      </c>
      <c r="AR95" s="262"/>
      <c r="AS95" s="266">
        <f t="shared" si="56"/>
        <v>5977.8047999999999</v>
      </c>
      <c r="AT95" s="264">
        <f t="shared" si="57"/>
        <v>0</v>
      </c>
      <c r="AU95" s="262"/>
      <c r="AV95" s="262"/>
      <c r="AW95" s="265">
        <v>0.42455999999999999</v>
      </c>
      <c r="AX95" s="164" t="s">
        <v>2395</v>
      </c>
      <c r="AY95" s="266">
        <v>5380.0243199999995</v>
      </c>
      <c r="AZ95" s="266">
        <f t="shared" si="58"/>
        <v>5380.0243199999995</v>
      </c>
      <c r="BA95" s="264">
        <f t="shared" si="59"/>
        <v>0</v>
      </c>
      <c r="BB95" s="262"/>
      <c r="BC95" s="262"/>
      <c r="BD95" s="265">
        <f ca="1">IFERROR(INDEX(Algorithms!$G:$G,MATCH($C95&amp;"_Therm Saved per Unit",Algorithms!$A:$A,0)),0)</f>
        <v>0.42455999999999999</v>
      </c>
      <c r="BE95" s="164" t="str">
        <f ca="1">IFERROR(INDEX('v12 Revisions'!$P$29:$P$186, MATCH('Measure-Level Adj Gas'!$L95, 'v12 Revisions'!$D$29:$D$186,0)),"")</f>
        <v>Updated HDD from 5113 to 4798 and shell adjustment factor from 0.72 to 0.76.</v>
      </c>
      <c r="BF95" s="266">
        <f t="shared" ca="1" si="60"/>
        <v>4836.58752</v>
      </c>
      <c r="BG95" s="264">
        <f t="shared" ca="1" si="61"/>
        <v>54.343680000000859</v>
      </c>
      <c r="BH95" s="262"/>
      <c r="BI95" s="262"/>
      <c r="BJ95" s="265">
        <f ca="1">IFERROR(INDEX(Algorithms!$G:$G,MATCH($C95&amp;"_Therm Saved per Unit",Algorithms!$A:$A,0)),0)</f>
        <v>0.42455999999999999</v>
      </c>
      <c r="BK95" s="164"/>
      <c r="BL95" s="266">
        <f t="shared" ca="1" si="62"/>
        <v>4232.0140799999999</v>
      </c>
      <c r="BM95" s="264">
        <f t="shared" ca="1" si="63"/>
        <v>47.550720000000183</v>
      </c>
      <c r="BN95" s="266">
        <f t="shared" si="64"/>
        <v>5977.8047999999999</v>
      </c>
      <c r="BO95" s="266">
        <f t="shared" si="65"/>
        <v>5380.0243199999995</v>
      </c>
      <c r="BP95" s="266">
        <f t="shared" ca="1" si="66"/>
        <v>4836.58752</v>
      </c>
      <c r="BQ95" s="266">
        <f t="shared" ca="1" si="67"/>
        <v>4232.0140799999999</v>
      </c>
      <c r="BR95" s="268">
        <f t="shared" ca="1" si="68"/>
        <v>20426.43072</v>
      </c>
      <c r="BS95" s="262" t="s">
        <v>99</v>
      </c>
      <c r="BT95" s="277"/>
      <c r="BW95" s="266">
        <f t="shared" si="69"/>
        <v>5977.8047999999999</v>
      </c>
      <c r="BX95" s="266">
        <f t="shared" si="70"/>
        <v>5380.0243199999995</v>
      </c>
      <c r="BY95" s="266">
        <f t="shared" si="71"/>
        <v>4782.2438399999992</v>
      </c>
      <c r="BZ95" s="266">
        <f t="shared" si="72"/>
        <v>4184.4633599999997</v>
      </c>
      <c r="CA95" s="266">
        <f ca="1">N95*IFERROR(INDEX(Algorithms!$G:$G,MATCH($C95&amp;"_Therm Saved per Unit- MLA",Algorithms!$A:$A,0)),0)*X95</f>
        <v>0</v>
      </c>
      <c r="CB95" s="266">
        <f ca="1">O95*IFERROR(INDEX(Algorithms!$G:$G,MATCH($C95&amp;"_Therm Saved per Unit- MLA",Algorithms!$A:$A,0)),0)*Y95</f>
        <v>0</v>
      </c>
      <c r="CC95" s="266">
        <f ca="1">P95*IFERROR(INDEX(Algorithms!$G:$G,MATCH($C95&amp;"_Therm Saved per Unit- MLA",Algorithms!$A:$A,0)),0)*Z95</f>
        <v>0</v>
      </c>
      <c r="CD95" s="266">
        <f ca="1">Q95*IFERROR(INDEX(Algorithms!$G:$G,MATCH($C95&amp;"_Therm Saved per Unit- MLA",Algorithms!$A:$A,0)),0)*AA95</f>
        <v>0</v>
      </c>
      <c r="CE95" s="266">
        <f ca="1">IFERROR(INDEX(Algorithms!$G:$G,MATCH($C95&amp;"_Lifetime (years)",Algorithms!$A:$A,0)),0)</f>
        <v>20</v>
      </c>
      <c r="CF95" s="266">
        <f ca="1">IFERROR(INDEX(Algorithms!$G:$G,MATCH($C95&amp;"_Lifetime (years) - Remaining Years",Algorithms!$A:$A,0)),0)</f>
        <v>0</v>
      </c>
      <c r="CG95" s="266">
        <f t="shared" ca="1" si="73"/>
        <v>119556.09599999999</v>
      </c>
      <c r="CH95" s="266">
        <f t="shared" ca="1" si="74"/>
        <v>107600.48639999999</v>
      </c>
      <c r="CI95" s="266">
        <f t="shared" ca="1" si="75"/>
        <v>95644.876799999984</v>
      </c>
      <c r="CJ95" s="266">
        <f t="shared" ca="1" si="76"/>
        <v>83689.267200000002</v>
      </c>
      <c r="CK95" s="266">
        <f t="shared" si="77"/>
        <v>5977.8047999999999</v>
      </c>
      <c r="CL95" s="266">
        <f t="shared" si="78"/>
        <v>5380.0243199999995</v>
      </c>
      <c r="CM95" s="266">
        <f t="shared" ca="1" si="79"/>
        <v>4782.2438399999992</v>
      </c>
      <c r="CN95" s="266">
        <f t="shared" ca="1" si="80"/>
        <v>4184.4633599999997</v>
      </c>
      <c r="CO95" s="266">
        <f ca="1">N95*IFERROR(INDEX(Algorithms!$G:$G,MATCH($C95&amp;"_Therm Saved per Unit- MLA",Algorithms!$A:$A,0)),0)*X95</f>
        <v>0</v>
      </c>
      <c r="CP95" s="266">
        <f ca="1">O95*IFERROR(INDEX(Algorithms!$G:$G,MATCH($C95&amp;"_Therm Saved per Unit- MLA",Algorithms!$A:$A,0)),0)*Y95</f>
        <v>0</v>
      </c>
      <c r="CQ95" s="266">
        <f ca="1">P95*IFERROR(INDEX(Algorithms!$G:$G,MATCH($C95&amp;"_Therm Saved per Unit- MLA",Algorithms!$A:$A,0)),0)*Z95</f>
        <v>0</v>
      </c>
      <c r="CR95" s="266">
        <f ca="1">Q95*IFERROR(INDEX(Algorithms!$G:$G,MATCH($C95&amp;"_Therm Saved per Unit- MLA",Algorithms!$A:$A,0)),0)*AA95</f>
        <v>0</v>
      </c>
      <c r="CS95" s="266">
        <f ca="1">IFERROR(INDEX(Algorithms!$G:$G,MATCH($C95&amp;"_Lifetime (years)",Algorithms!$A:$A,0)),0)</f>
        <v>20</v>
      </c>
      <c r="CT95" s="266">
        <f ca="1">IFERROR(INDEX(Algorithms!$G:$G,MATCH($C95&amp;"_Lifetime (years) - Remaining Years",Algorithms!$A:$A,0)),0)</f>
        <v>0</v>
      </c>
      <c r="CU95" s="266">
        <f t="shared" ca="1" si="81"/>
        <v>119556.09599999999</v>
      </c>
      <c r="CV95" s="266">
        <f t="shared" ca="1" si="82"/>
        <v>107600.48639999999</v>
      </c>
      <c r="CW95" s="266">
        <f t="shared" ca="1" si="83"/>
        <v>95644.876799999984</v>
      </c>
      <c r="CX95" s="266">
        <f t="shared" ca="1" si="84"/>
        <v>83689.267200000002</v>
      </c>
    </row>
    <row r="96" spans="2:102" s="47" customFormat="1" ht="18" customHeight="1" x14ac:dyDescent="0.25">
      <c r="B96" t="str">
        <f t="shared" si="85"/>
        <v>NSG_Business_Small/Mid-Size Business_Partner Trade Ally Rebate_Boiler Tune Up_Space Heating_CI</v>
      </c>
      <c r="C96" s="47" t="str">
        <f t="shared" si="46"/>
        <v>Boiler Tune Up_Space Heating_CI</v>
      </c>
      <c r="D96" s="270" t="s">
        <v>1787</v>
      </c>
      <c r="E96" s="270" t="s">
        <v>3</v>
      </c>
      <c r="F96" s="270" t="s">
        <v>1432</v>
      </c>
      <c r="G96" s="270" t="s">
        <v>1799</v>
      </c>
      <c r="H96" s="270" t="s">
        <v>906</v>
      </c>
      <c r="I96" s="270" t="s">
        <v>907</v>
      </c>
      <c r="J96" s="270" t="s">
        <v>1159</v>
      </c>
      <c r="K96" s="263">
        <v>1</v>
      </c>
      <c r="L96" s="263" t="str">
        <f ca="1">IFERROR(INDEX(Algorithms!J:J,MATCH($C96&amp;"_Therm Saved per Unit",Algorithms!$A:$A,0)),"n/a")</f>
        <v>4.4.2</v>
      </c>
      <c r="M96" s="263" t="str">
        <f>IFERROR(INDEX('Measure Level Detail'!$N:$N,MATCH($B96,'Measure Level Detail'!$B:$B,0)),0)</f>
        <v>MBH</v>
      </c>
      <c r="N96" s="271">
        <f>IFERROR(INDEX('Measure Level Detail'!$P:$P,MATCH($B96&amp;"_"&amp;N$3,'Measure Level Detail'!$C:$C,0)),0)</f>
        <v>15235.5</v>
      </c>
      <c r="O96" s="271">
        <f>IFERROR(INDEX('Measure Level Detail'!$P:$P,MATCH($B96&amp;"_"&amp;O$3,'Measure Level Detail'!$C:$C,0)),0)</f>
        <v>10157</v>
      </c>
      <c r="P96" s="271">
        <f>IFERROR(INDEX('Measure Level Detail'!$P:$P,MATCH($B96&amp;"_"&amp;P$3,'Measure Level Detail'!$C:$C,0)),0)</f>
        <v>10157</v>
      </c>
      <c r="Q96" s="271">
        <f>IFERROR(INDEX('Measure Level Detail'!$P:$P,MATCH($B96&amp;"_"&amp;Q$3,'Measure Level Detail'!$C:$C,0)),0)</f>
        <v>10157</v>
      </c>
      <c r="R96" s="263" t="str">
        <f ca="1">IFERROR(INDEX(Algorithms!K:K,MATCH($C96&amp;"_Therm Saved per Unit",Algorithms!$A:$A,0)),"n/a")</f>
        <v>CI-HVC-BLRT-V07-210101</v>
      </c>
      <c r="S96" s="262"/>
      <c r="T96" s="272">
        <v>0.46874846625766969</v>
      </c>
      <c r="U96" s="272">
        <v>0.46874846625766969</v>
      </c>
      <c r="V96" s="272">
        <v>0.46874846625766969</v>
      </c>
      <c r="W96" s="272">
        <v>0.46874846625766969</v>
      </c>
      <c r="X96" s="276">
        <v>0.93</v>
      </c>
      <c r="Y96" s="276">
        <v>0.93</v>
      </c>
      <c r="Z96" s="276">
        <v>0.93</v>
      </c>
      <c r="AA96" s="276">
        <v>0.93</v>
      </c>
      <c r="AB96" s="266">
        <f t="shared" si="47"/>
        <v>6641.704049631916</v>
      </c>
      <c r="AC96" s="266">
        <f t="shared" si="48"/>
        <v>4427.8026997546112</v>
      </c>
      <c r="AD96" s="266">
        <f t="shared" si="49"/>
        <v>4427.8026997546112</v>
      </c>
      <c r="AE96" s="266">
        <f t="shared" si="50"/>
        <v>4427.8026997546112</v>
      </c>
      <c r="AF96" s="266">
        <f t="shared" si="51"/>
        <v>19925.112148895751</v>
      </c>
      <c r="AG96" s="274">
        <v>0.93</v>
      </c>
      <c r="AH96" s="274">
        <v>0.93</v>
      </c>
      <c r="AI96" s="274">
        <v>0.93</v>
      </c>
      <c r="AJ96" s="274">
        <v>0.93</v>
      </c>
      <c r="AK96" s="274">
        <f t="shared" si="52"/>
        <v>0.93</v>
      </c>
      <c r="AL96" s="274">
        <f t="shared" si="53"/>
        <v>0.93</v>
      </c>
      <c r="AM96" s="274">
        <f t="shared" si="54"/>
        <v>0.93</v>
      </c>
      <c r="AN96" s="274">
        <f t="shared" si="55"/>
        <v>0.93</v>
      </c>
      <c r="AO96" s="262"/>
      <c r="AP96" s="262"/>
      <c r="AQ96" s="267">
        <v>0.46874846625766969</v>
      </c>
      <c r="AR96" s="262"/>
      <c r="AS96" s="266">
        <f t="shared" si="56"/>
        <v>6641.704049631916</v>
      </c>
      <c r="AT96" s="264">
        <f t="shared" si="57"/>
        <v>0</v>
      </c>
      <c r="AU96" s="262"/>
      <c r="AV96" s="262"/>
      <c r="AW96" s="265">
        <v>0.46874846625766969</v>
      </c>
      <c r="AX96" s="164" t="s">
        <v>1469</v>
      </c>
      <c r="AY96" s="266">
        <v>4427.8026997546112</v>
      </c>
      <c r="AZ96" s="266">
        <f t="shared" si="58"/>
        <v>4427.8026997546112</v>
      </c>
      <c r="BA96" s="264">
        <f t="shared" si="59"/>
        <v>0</v>
      </c>
      <c r="BB96" s="262"/>
      <c r="BC96" s="262"/>
      <c r="BD96" s="265">
        <f ca="1">IFERROR(INDEX(Algorithms!$G:$G,MATCH($C96&amp;"_Therm Saved per Unit",Algorithms!$A:$A,0)),0)</f>
        <v>0.46874846625766969</v>
      </c>
      <c r="BE96" s="164" t="str">
        <f ca="1">IFERROR(INDEX('v12 Revisions'!$P$29:$P$186, MATCH('Measure-Level Adj Gas'!$L96, 'v12 Revisions'!$D$29:$D$186,0)),"")</f>
        <v/>
      </c>
      <c r="BF96" s="266">
        <f t="shared" ca="1" si="60"/>
        <v>4427.8026997546112</v>
      </c>
      <c r="BG96" s="264">
        <f t="shared" ca="1" si="61"/>
        <v>0</v>
      </c>
      <c r="BH96" s="262"/>
      <c r="BI96" s="262"/>
      <c r="BJ96" s="265">
        <f ca="1">IFERROR(INDEX(Algorithms!$G:$G,MATCH($C96&amp;"_Therm Saved per Unit",Algorithms!$A:$A,0)),0)</f>
        <v>0.46874846625766969</v>
      </c>
      <c r="BK96" s="164"/>
      <c r="BL96" s="266">
        <f t="shared" ca="1" si="62"/>
        <v>4427.8026997546112</v>
      </c>
      <c r="BM96" s="264">
        <f t="shared" ca="1" si="63"/>
        <v>0</v>
      </c>
      <c r="BN96" s="266">
        <f t="shared" si="64"/>
        <v>6641.704049631916</v>
      </c>
      <c r="BO96" s="266">
        <f t="shared" si="65"/>
        <v>4427.8026997546112</v>
      </c>
      <c r="BP96" s="266">
        <f t="shared" ca="1" si="66"/>
        <v>4427.8026997546112</v>
      </c>
      <c r="BQ96" s="266">
        <f t="shared" ca="1" si="67"/>
        <v>4427.8026997546112</v>
      </c>
      <c r="BR96" s="268">
        <f t="shared" ca="1" si="68"/>
        <v>19925.112148895751</v>
      </c>
      <c r="BS96" s="262" t="s">
        <v>99</v>
      </c>
      <c r="BT96" s="277"/>
      <c r="BW96" s="266">
        <f t="shared" si="69"/>
        <v>6641.704049631916</v>
      </c>
      <c r="BX96" s="266">
        <f t="shared" si="70"/>
        <v>4427.8026997546112</v>
      </c>
      <c r="BY96" s="266">
        <f t="shared" si="71"/>
        <v>4427.8026997546112</v>
      </c>
      <c r="BZ96" s="266">
        <f t="shared" si="72"/>
        <v>4427.8026997546112</v>
      </c>
      <c r="CA96" s="266">
        <f ca="1">N96*IFERROR(INDEX(Algorithms!$G:$G,MATCH($C96&amp;"_Therm Saved per Unit- MLA",Algorithms!$A:$A,0)),0)*X96</f>
        <v>0</v>
      </c>
      <c r="CB96" s="266">
        <f ca="1">O96*IFERROR(INDEX(Algorithms!$G:$G,MATCH($C96&amp;"_Therm Saved per Unit- MLA",Algorithms!$A:$A,0)),0)*Y96</f>
        <v>0</v>
      </c>
      <c r="CC96" s="266">
        <f ca="1">P96*IFERROR(INDEX(Algorithms!$G:$G,MATCH($C96&amp;"_Therm Saved per Unit- MLA",Algorithms!$A:$A,0)),0)*Z96</f>
        <v>0</v>
      </c>
      <c r="CD96" s="266">
        <f ca="1">Q96*IFERROR(INDEX(Algorithms!$G:$G,MATCH($C96&amp;"_Therm Saved per Unit- MLA",Algorithms!$A:$A,0)),0)*AA96</f>
        <v>0</v>
      </c>
      <c r="CE96" s="266">
        <f ca="1">IFERROR(INDEX(Algorithms!$G:$G,MATCH($C96&amp;"_Lifetime (years)",Algorithms!$A:$A,0)),0)</f>
        <v>3</v>
      </c>
      <c r="CF96" s="266">
        <f ca="1">IFERROR(INDEX(Algorithms!$G:$G,MATCH($C96&amp;"_Lifetime (years) - Remaining Years",Algorithms!$A:$A,0)),0)</f>
        <v>0</v>
      </c>
      <c r="CG96" s="266">
        <f t="shared" ca="1" si="73"/>
        <v>19925.112148895747</v>
      </c>
      <c r="CH96" s="266">
        <f t="shared" ca="1" si="74"/>
        <v>13283.408099263834</v>
      </c>
      <c r="CI96" s="266">
        <f t="shared" ca="1" si="75"/>
        <v>13283.408099263834</v>
      </c>
      <c r="CJ96" s="266">
        <f t="shared" ca="1" si="76"/>
        <v>13283.408099263834</v>
      </c>
      <c r="CK96" s="266">
        <f t="shared" si="77"/>
        <v>6641.704049631916</v>
      </c>
      <c r="CL96" s="266">
        <f t="shared" si="78"/>
        <v>4427.8026997546112</v>
      </c>
      <c r="CM96" s="266">
        <f t="shared" ca="1" si="79"/>
        <v>4427.8026997546112</v>
      </c>
      <c r="CN96" s="266">
        <f t="shared" ca="1" si="80"/>
        <v>4427.8026997546112</v>
      </c>
      <c r="CO96" s="266">
        <f ca="1">N96*IFERROR(INDEX(Algorithms!$G:$G,MATCH($C96&amp;"_Therm Saved per Unit- MLA",Algorithms!$A:$A,0)),0)*X96</f>
        <v>0</v>
      </c>
      <c r="CP96" s="266">
        <f ca="1">O96*IFERROR(INDEX(Algorithms!$G:$G,MATCH($C96&amp;"_Therm Saved per Unit- MLA",Algorithms!$A:$A,0)),0)*Y96</f>
        <v>0</v>
      </c>
      <c r="CQ96" s="266">
        <f ca="1">P96*IFERROR(INDEX(Algorithms!$G:$G,MATCH($C96&amp;"_Therm Saved per Unit- MLA",Algorithms!$A:$A,0)),0)*Z96</f>
        <v>0</v>
      </c>
      <c r="CR96" s="266">
        <f ca="1">Q96*IFERROR(INDEX(Algorithms!$G:$G,MATCH($C96&amp;"_Therm Saved per Unit- MLA",Algorithms!$A:$A,0)),0)*AA96</f>
        <v>0</v>
      </c>
      <c r="CS96" s="266">
        <f ca="1">IFERROR(INDEX(Algorithms!$G:$G,MATCH($C96&amp;"_Lifetime (years)",Algorithms!$A:$A,0)),0)</f>
        <v>3</v>
      </c>
      <c r="CT96" s="266">
        <f ca="1">IFERROR(INDEX(Algorithms!$G:$G,MATCH($C96&amp;"_Lifetime (years) - Remaining Years",Algorithms!$A:$A,0)),0)</f>
        <v>0</v>
      </c>
      <c r="CU96" s="266">
        <f t="shared" ca="1" si="81"/>
        <v>19925.112148895747</v>
      </c>
      <c r="CV96" s="266">
        <f t="shared" ca="1" si="82"/>
        <v>13283.408099263834</v>
      </c>
      <c r="CW96" s="266">
        <f t="shared" ca="1" si="83"/>
        <v>13283.408099263834</v>
      </c>
      <c r="CX96" s="266">
        <f t="shared" ca="1" si="84"/>
        <v>13283.408099263834</v>
      </c>
    </row>
    <row r="97" spans="2:102" s="47" customFormat="1" ht="18" customHeight="1" x14ac:dyDescent="0.25">
      <c r="B97" t="str">
        <f t="shared" si="85"/>
        <v>NSG_Income Eligible_Multi-Family_MF IHWAP_Custom_0_MF</v>
      </c>
      <c r="C97" s="47" t="str">
        <f t="shared" si="46"/>
        <v>Custom_0_MF</v>
      </c>
      <c r="D97" s="270" t="s">
        <v>1787</v>
      </c>
      <c r="E97" s="270" t="s">
        <v>325</v>
      </c>
      <c r="F97" s="270" t="s">
        <v>1422</v>
      </c>
      <c r="G97" s="270" t="s">
        <v>1441</v>
      </c>
      <c r="H97" s="270" t="s">
        <v>5</v>
      </c>
      <c r="I97" s="270">
        <v>0</v>
      </c>
      <c r="J97" s="270" t="s">
        <v>553</v>
      </c>
      <c r="K97" s="263">
        <v>0</v>
      </c>
      <c r="L97" s="263">
        <f ca="1">IFERROR(INDEX(Algorithms!J:J,MATCH($C97&amp;"_Therm Saved per Unit",Algorithms!$A:$A,0)),"n/a")</f>
        <v>0</v>
      </c>
      <c r="M97" s="263" t="str">
        <f>IFERROR(INDEX('Measure Level Detail'!$N:$N,MATCH($B97,'Measure Level Detail'!$B:$B,0)),0)</f>
        <v>therm</v>
      </c>
      <c r="N97" s="271">
        <f>IFERROR(INDEX('Measure Level Detail'!$P:$P,MATCH($B97&amp;"_"&amp;N$3,'Measure Level Detail'!$C:$C,0)),0)</f>
        <v>13600</v>
      </c>
      <c r="O97" s="271">
        <f>IFERROR(INDEX('Measure Level Detail'!$P:$P,MATCH($B97&amp;"_"&amp;O$3,'Measure Level Detail'!$C:$C,0)),0)</f>
        <v>13600</v>
      </c>
      <c r="P97" s="271">
        <f>IFERROR(INDEX('Measure Level Detail'!$P:$P,MATCH($B97&amp;"_"&amp;P$3,'Measure Level Detail'!$C:$C,0)),0)</f>
        <v>13600</v>
      </c>
      <c r="Q97" s="271">
        <f>IFERROR(INDEX('Measure Level Detail'!$P:$P,MATCH($B97&amp;"_"&amp;Q$3,'Measure Level Detail'!$C:$C,0)),0)</f>
        <v>13600</v>
      </c>
      <c r="R97" s="263">
        <f ca="1">IFERROR(INDEX(Algorithms!K:K,MATCH($C97&amp;"_Therm Saved per Unit",Algorithms!$A:$A,0)),"n/a")</f>
        <v>0</v>
      </c>
      <c r="S97" s="262"/>
      <c r="T97" s="272">
        <v>1</v>
      </c>
      <c r="U97" s="272">
        <v>1</v>
      </c>
      <c r="V97" s="272">
        <v>1</v>
      </c>
      <c r="W97" s="272">
        <v>1</v>
      </c>
      <c r="X97" s="273">
        <f>IFERROR(INDEX('Measure Level Detail'!$R:$R,MATCH($B97&amp;"_"&amp;X$3,'Measure Level Detail'!$C:$C,0)),0)</f>
        <v>1</v>
      </c>
      <c r="Y97" s="273">
        <f>IFERROR(INDEX('Measure Level Detail'!$R:$R,MATCH($B97&amp;"_"&amp;Y$3,'Measure Level Detail'!$C:$C,0)),0)</f>
        <v>1</v>
      </c>
      <c r="Z97" s="273">
        <f>IFERROR(INDEX('Measure Level Detail'!$R:$R,MATCH($B97&amp;"_"&amp;Z$3,'Measure Level Detail'!$C:$C,0)),0)</f>
        <v>1</v>
      </c>
      <c r="AA97" s="273">
        <f>IFERROR(INDEX('Measure Level Detail'!$R:$R,MATCH($B97&amp;"_"&amp;AA$3,'Measure Level Detail'!$C:$C,0)),0)</f>
        <v>1</v>
      </c>
      <c r="AB97" s="266">
        <f t="shared" si="47"/>
        <v>13600</v>
      </c>
      <c r="AC97" s="266">
        <f t="shared" si="48"/>
        <v>13600</v>
      </c>
      <c r="AD97" s="266">
        <f t="shared" si="49"/>
        <v>13600</v>
      </c>
      <c r="AE97" s="266">
        <f t="shared" si="50"/>
        <v>13600</v>
      </c>
      <c r="AF97" s="266">
        <f t="shared" si="51"/>
        <v>54400</v>
      </c>
      <c r="AG97" s="274">
        <v>1</v>
      </c>
      <c r="AH97" s="274">
        <v>1</v>
      </c>
      <c r="AI97" s="274">
        <v>1</v>
      </c>
      <c r="AJ97" s="274">
        <v>1</v>
      </c>
      <c r="AK97" s="274">
        <f t="shared" si="52"/>
        <v>1</v>
      </c>
      <c r="AL97" s="274">
        <f t="shared" si="53"/>
        <v>1</v>
      </c>
      <c r="AM97" s="274">
        <f t="shared" si="54"/>
        <v>1</v>
      </c>
      <c r="AN97" s="274">
        <f t="shared" si="55"/>
        <v>1</v>
      </c>
      <c r="AO97" s="262"/>
      <c r="AP97" s="262"/>
      <c r="AQ97" s="267">
        <v>1</v>
      </c>
      <c r="AR97" s="262"/>
      <c r="AS97" s="266">
        <f t="shared" si="56"/>
        <v>13600</v>
      </c>
      <c r="AT97" s="264">
        <f t="shared" si="57"/>
        <v>0</v>
      </c>
      <c r="AU97" s="262"/>
      <c r="AV97" s="262"/>
      <c r="AW97" s="265">
        <v>1</v>
      </c>
      <c r="AX97" s="164" t="s">
        <v>1469</v>
      </c>
      <c r="AY97" s="266">
        <v>13600</v>
      </c>
      <c r="AZ97" s="266">
        <f t="shared" si="58"/>
        <v>13600</v>
      </c>
      <c r="BA97" s="264">
        <f t="shared" si="59"/>
        <v>0</v>
      </c>
      <c r="BB97" s="262"/>
      <c r="BC97" s="262"/>
      <c r="BD97" s="265">
        <f ca="1">IFERROR(INDEX(Algorithms!$G:$G,MATCH($C97&amp;"_Therm Saved per Unit",Algorithms!$A:$A,0)),0)</f>
        <v>1</v>
      </c>
      <c r="BE97" s="164" t="str">
        <f ca="1">IFERROR(INDEX('v12 Revisions'!$P$29:$P$186, MATCH('Measure-Level Adj Gas'!$L97, 'v12 Revisions'!$D$29:$D$186,0)),"")</f>
        <v/>
      </c>
      <c r="BF97" s="266">
        <f t="shared" ca="1" si="60"/>
        <v>13600</v>
      </c>
      <c r="BG97" s="264">
        <f t="shared" ca="1" si="61"/>
        <v>0</v>
      </c>
      <c r="BH97" s="262"/>
      <c r="BI97" s="262"/>
      <c r="BJ97" s="265">
        <f ca="1">IFERROR(INDEX(Algorithms!$G:$G,MATCH($C97&amp;"_Therm Saved per Unit",Algorithms!$A:$A,0)),0)</f>
        <v>1</v>
      </c>
      <c r="BK97" s="164"/>
      <c r="BL97" s="266">
        <f t="shared" ca="1" si="62"/>
        <v>13600</v>
      </c>
      <c r="BM97" s="264">
        <f t="shared" ca="1" si="63"/>
        <v>0</v>
      </c>
      <c r="BN97" s="266">
        <f t="shared" si="64"/>
        <v>13600</v>
      </c>
      <c r="BO97" s="266">
        <f t="shared" si="65"/>
        <v>13600</v>
      </c>
      <c r="BP97" s="266">
        <f t="shared" si="66"/>
        <v>13600</v>
      </c>
      <c r="BQ97" s="266">
        <f t="shared" si="67"/>
        <v>13600</v>
      </c>
      <c r="BR97" s="268">
        <f t="shared" si="68"/>
        <v>54400</v>
      </c>
      <c r="BS97" s="262" t="s">
        <v>99</v>
      </c>
      <c r="BT97" s="277"/>
      <c r="BW97" s="266">
        <f t="shared" si="69"/>
        <v>13600</v>
      </c>
      <c r="BX97" s="266">
        <f t="shared" si="70"/>
        <v>13600</v>
      </c>
      <c r="BY97" s="266">
        <f t="shared" si="71"/>
        <v>13600</v>
      </c>
      <c r="BZ97" s="266">
        <f t="shared" si="72"/>
        <v>13600</v>
      </c>
      <c r="CA97" s="266">
        <f ca="1">N97*IFERROR(INDEX(Algorithms!$G:$G,MATCH($C97&amp;"_Therm Saved per Unit- MLA",Algorithms!$A:$A,0)),0)*X97</f>
        <v>0</v>
      </c>
      <c r="CB97" s="266">
        <f ca="1">O97*IFERROR(INDEX(Algorithms!$G:$G,MATCH($C97&amp;"_Therm Saved per Unit- MLA",Algorithms!$A:$A,0)),0)*Y97</f>
        <v>0</v>
      </c>
      <c r="CC97" s="266">
        <f ca="1">P97*IFERROR(INDEX(Algorithms!$G:$G,MATCH($C97&amp;"_Therm Saved per Unit- MLA",Algorithms!$A:$A,0)),0)*Z97</f>
        <v>0</v>
      </c>
      <c r="CD97" s="266">
        <f ca="1">Q97*IFERROR(INDEX(Algorithms!$G:$G,MATCH($C97&amp;"_Therm Saved per Unit- MLA",Algorithms!$A:$A,0)),0)*AA97</f>
        <v>0</v>
      </c>
      <c r="CE97" s="266">
        <f ca="1">IFERROR(INDEX(Algorithms!$G:$G,MATCH($C97&amp;"_Lifetime (years)",Algorithms!$A:$A,0)),0)</f>
        <v>15</v>
      </c>
      <c r="CF97" s="266">
        <f ca="1">IFERROR(INDEX(Algorithms!$G:$G,MATCH($C97&amp;"_Lifetime (years) - Remaining Years",Algorithms!$A:$A,0)),0)</f>
        <v>0</v>
      </c>
      <c r="CG97" s="266">
        <f t="shared" ca="1" si="73"/>
        <v>204000</v>
      </c>
      <c r="CH97" s="266">
        <f t="shared" ca="1" si="74"/>
        <v>204000</v>
      </c>
      <c r="CI97" s="266">
        <f t="shared" ca="1" si="75"/>
        <v>204000</v>
      </c>
      <c r="CJ97" s="266">
        <f t="shared" ca="1" si="76"/>
        <v>204000</v>
      </c>
      <c r="CK97" s="266">
        <f t="shared" si="77"/>
        <v>13600</v>
      </c>
      <c r="CL97" s="266">
        <f t="shared" si="78"/>
        <v>13600</v>
      </c>
      <c r="CM97" s="266">
        <f t="shared" ca="1" si="79"/>
        <v>13600</v>
      </c>
      <c r="CN97" s="266">
        <f t="shared" ca="1" si="80"/>
        <v>13600</v>
      </c>
      <c r="CO97" s="266">
        <f ca="1">N97*IFERROR(INDEX(Algorithms!$G:$G,MATCH($C97&amp;"_Therm Saved per Unit- MLA",Algorithms!$A:$A,0)),0)*X97</f>
        <v>0</v>
      </c>
      <c r="CP97" s="266">
        <f ca="1">O97*IFERROR(INDEX(Algorithms!$G:$G,MATCH($C97&amp;"_Therm Saved per Unit- MLA",Algorithms!$A:$A,0)),0)*Y97</f>
        <v>0</v>
      </c>
      <c r="CQ97" s="266">
        <f ca="1">P97*IFERROR(INDEX(Algorithms!$G:$G,MATCH($C97&amp;"_Therm Saved per Unit- MLA",Algorithms!$A:$A,0)),0)*Z97</f>
        <v>0</v>
      </c>
      <c r="CR97" s="266">
        <f ca="1">Q97*IFERROR(INDEX(Algorithms!$G:$G,MATCH($C97&amp;"_Therm Saved per Unit- MLA",Algorithms!$A:$A,0)),0)*AA97</f>
        <v>0</v>
      </c>
      <c r="CS97" s="266">
        <f ca="1">IFERROR(INDEX(Algorithms!$G:$G,MATCH($C97&amp;"_Lifetime (years)",Algorithms!$A:$A,0)),0)</f>
        <v>15</v>
      </c>
      <c r="CT97" s="266">
        <f ca="1">IFERROR(INDEX(Algorithms!$G:$G,MATCH($C97&amp;"_Lifetime (years) - Remaining Years",Algorithms!$A:$A,0)),0)</f>
        <v>0</v>
      </c>
      <c r="CU97" s="266">
        <f t="shared" ca="1" si="81"/>
        <v>204000</v>
      </c>
      <c r="CV97" s="266">
        <f t="shared" ca="1" si="82"/>
        <v>204000</v>
      </c>
      <c r="CW97" s="266">
        <f t="shared" ca="1" si="83"/>
        <v>204000</v>
      </c>
      <c r="CX97" s="266">
        <f t="shared" ca="1" si="84"/>
        <v>204000</v>
      </c>
    </row>
    <row r="98" spans="2:102" s="47" customFormat="1" ht="18" customHeight="1" x14ac:dyDescent="0.25">
      <c r="B98" t="str">
        <f t="shared" si="85"/>
        <v>NSG_Business_C&amp;I_Rebates_Boiler_≥88% AFUE, ≥300MBh TE_CI</v>
      </c>
      <c r="C98" s="47" t="str">
        <f t="shared" si="46"/>
        <v>Boiler_≥88% AFUE, ≥300MBh TE_CI</v>
      </c>
      <c r="D98" s="270" t="s">
        <v>1787</v>
      </c>
      <c r="E98" s="270" t="s">
        <v>3</v>
      </c>
      <c r="F98" s="270" t="s">
        <v>1427</v>
      </c>
      <c r="G98" s="270" t="s">
        <v>1429</v>
      </c>
      <c r="H98" s="270" t="s">
        <v>944</v>
      </c>
      <c r="I98" s="270" t="s">
        <v>946</v>
      </c>
      <c r="J98" s="270" t="s">
        <v>1159</v>
      </c>
      <c r="K98" s="263">
        <v>1</v>
      </c>
      <c r="L98" s="263" t="str">
        <f ca="1">IFERROR(INDEX(Algorithms!J:J,MATCH($C98&amp;"_Therm Saved per Unit",Algorithms!$A:$A,0)),"n/a")</f>
        <v>4.4.10</v>
      </c>
      <c r="M98" s="263" t="str">
        <f>IFERROR(INDEX('Measure Level Detail'!$N:$N,MATCH($B98,'Measure Level Detail'!$B:$B,0)),0)</f>
        <v>MBH</v>
      </c>
      <c r="N98" s="271">
        <f>IFERROR(INDEX('Measure Level Detail'!$P:$P,MATCH($B98&amp;"_"&amp;N$3,'Measure Level Detail'!$C:$C,0)),0)</f>
        <v>12750</v>
      </c>
      <c r="O98" s="271">
        <f>IFERROR(INDEX('Measure Level Detail'!$P:$P,MATCH($B98&amp;"_"&amp;O$3,'Measure Level Detail'!$C:$C,0)),0)</f>
        <v>12000.000000000002</v>
      </c>
      <c r="P98" s="271">
        <f>IFERROR(INDEX('Measure Level Detail'!$P:$P,MATCH($B98&amp;"_"&amp;P$3,'Measure Level Detail'!$C:$C,0)),0)</f>
        <v>10499.999999999998</v>
      </c>
      <c r="Q98" s="271">
        <f>IFERROR(INDEX('Measure Level Detail'!$P:$P,MATCH($B98&amp;"_"&amp;Q$3,'Measure Level Detail'!$C:$C,0)),0)</f>
        <v>10200</v>
      </c>
      <c r="R98" s="263" t="str">
        <f ca="1">IFERROR(INDEX(Algorithms!K:K,MATCH($C98&amp;"_Therm Saved per Unit",Algorithms!$A:$A,0)),"n/a")</f>
        <v>CI-HVC-BOIL-V11-240101</v>
      </c>
      <c r="S98" s="262"/>
      <c r="T98" s="272">
        <v>1.6609999999999991</v>
      </c>
      <c r="U98" s="272">
        <v>1.6609999999999991</v>
      </c>
      <c r="V98" s="272">
        <v>1.6609999999999991</v>
      </c>
      <c r="W98" s="272">
        <v>1.6609999999999991</v>
      </c>
      <c r="X98" s="273">
        <f>IFERROR(INDEX('Measure Level Detail'!$R:$R,MATCH($B98&amp;"_"&amp;X$3,'Measure Level Detail'!$C:$C,0)),0)</f>
        <v>0.91</v>
      </c>
      <c r="Y98" s="273">
        <f>IFERROR(INDEX('Measure Level Detail'!$R:$R,MATCH($B98&amp;"_"&amp;Y$3,'Measure Level Detail'!$C:$C,0)),0)</f>
        <v>0.91</v>
      </c>
      <c r="Z98" s="273">
        <f>IFERROR(INDEX('Measure Level Detail'!$R:$R,MATCH($B98&amp;"_"&amp;Z$3,'Measure Level Detail'!$C:$C,0)),0)</f>
        <v>0.91</v>
      </c>
      <c r="AA98" s="273">
        <f>IFERROR(INDEX('Measure Level Detail'!$R:$R,MATCH($B98&amp;"_"&amp;AA$3,'Measure Level Detail'!$C:$C,0)),0)</f>
        <v>0.91</v>
      </c>
      <c r="AB98" s="266">
        <f t="shared" si="47"/>
        <v>19271.752499999991</v>
      </c>
      <c r="AC98" s="266">
        <f t="shared" si="48"/>
        <v>18138.119999999995</v>
      </c>
      <c r="AD98" s="266">
        <f t="shared" si="49"/>
        <v>15870.85499999999</v>
      </c>
      <c r="AE98" s="266">
        <f t="shared" si="50"/>
        <v>15417.401999999991</v>
      </c>
      <c r="AF98" s="266">
        <f t="shared" si="51"/>
        <v>68698.129499999966</v>
      </c>
      <c r="AG98" s="274">
        <v>0.91</v>
      </c>
      <c r="AH98" s="274">
        <v>0.91</v>
      </c>
      <c r="AI98" s="274">
        <v>0.91</v>
      </c>
      <c r="AJ98" s="274">
        <v>0.91</v>
      </c>
      <c r="AK98" s="274">
        <f t="shared" si="52"/>
        <v>0.91</v>
      </c>
      <c r="AL98" s="274">
        <f t="shared" si="53"/>
        <v>0.91</v>
      </c>
      <c r="AM98" s="274">
        <f t="shared" si="54"/>
        <v>0.91</v>
      </c>
      <c r="AN98" s="274">
        <f t="shared" si="55"/>
        <v>0.91</v>
      </c>
      <c r="AO98" s="262"/>
      <c r="AP98" s="262"/>
      <c r="AQ98" s="267">
        <v>1.6609999999999991</v>
      </c>
      <c r="AR98" s="262"/>
      <c r="AS98" s="266">
        <f t="shared" si="56"/>
        <v>19271.752499999991</v>
      </c>
      <c r="AT98" s="264">
        <f t="shared" si="57"/>
        <v>0</v>
      </c>
      <c r="AU98" s="262"/>
      <c r="AV98" s="262"/>
      <c r="AW98" s="265">
        <v>1.6609999999999991</v>
      </c>
      <c r="AX98" s="164" t="s">
        <v>1469</v>
      </c>
      <c r="AY98" s="266">
        <v>18138.119999999995</v>
      </c>
      <c r="AZ98" s="266">
        <f t="shared" si="58"/>
        <v>18138.119999999995</v>
      </c>
      <c r="BA98" s="264">
        <f t="shared" si="59"/>
        <v>0</v>
      </c>
      <c r="BB98" s="262"/>
      <c r="BC98" s="262"/>
      <c r="BD98" s="265">
        <f ca="1">IFERROR(INDEX(Algorithms!$G:$G,MATCH($C98&amp;"_Therm Saved per Unit",Algorithms!$A:$A,0)),0)</f>
        <v>0.79095238095238163</v>
      </c>
      <c r="BE98" s="164" t="str">
        <f ca="1">IFERROR(INDEX('v12 Revisions'!$P$29:$P$186, MATCH('Measure-Level Adj Gas'!$L98, 'v12 Revisions'!$D$29:$D$186,0)),"")</f>
        <v>Updated baseline and efficient boiler efficiency ratings.</v>
      </c>
      <c r="BF98" s="266">
        <f t="shared" ca="1" si="60"/>
        <v>7557.5500000000056</v>
      </c>
      <c r="BG98" s="264">
        <f t="shared" ca="1" si="61"/>
        <v>-8313.3049999999857</v>
      </c>
      <c r="BH98" s="262"/>
      <c r="BI98" s="262"/>
      <c r="BJ98" s="265">
        <f ca="1">IFERROR(INDEX(Algorithms!$G:$G,MATCH($C98&amp;"_Therm Saved per Unit",Algorithms!$A:$A,0)),0)</f>
        <v>0.79095238095238163</v>
      </c>
      <c r="BK98" s="164"/>
      <c r="BL98" s="266">
        <f t="shared" ca="1" si="62"/>
        <v>7341.6200000000063</v>
      </c>
      <c r="BM98" s="264">
        <f t="shared" ca="1" si="63"/>
        <v>-8075.7819999999847</v>
      </c>
      <c r="BN98" s="266">
        <f t="shared" si="64"/>
        <v>19271.752499999991</v>
      </c>
      <c r="BO98" s="266">
        <f t="shared" si="65"/>
        <v>18138.119999999995</v>
      </c>
      <c r="BP98" s="266">
        <f t="shared" ca="1" si="66"/>
        <v>7557.5500000000056</v>
      </c>
      <c r="BQ98" s="266">
        <f t="shared" ca="1" si="67"/>
        <v>7341.6200000000063</v>
      </c>
      <c r="BR98" s="268">
        <f t="shared" ca="1" si="68"/>
        <v>52309.042499999996</v>
      </c>
      <c r="BS98" s="262" t="s">
        <v>99</v>
      </c>
      <c r="BT98" s="277"/>
      <c r="BW98" s="266">
        <f t="shared" si="69"/>
        <v>19271.752499999991</v>
      </c>
      <c r="BX98" s="266">
        <f t="shared" si="70"/>
        <v>18138.119999999995</v>
      </c>
      <c r="BY98" s="266">
        <f t="shared" si="71"/>
        <v>15870.85499999999</v>
      </c>
      <c r="BZ98" s="266">
        <f t="shared" si="72"/>
        <v>15417.401999999991</v>
      </c>
      <c r="CA98" s="266">
        <f ca="1">N98*IFERROR(INDEX(Algorithms!$G:$G,MATCH($C98&amp;"_Therm Saved per Unit- MLA",Algorithms!$A:$A,0)),0)*X98</f>
        <v>0</v>
      </c>
      <c r="CB98" s="266">
        <f ca="1">O98*IFERROR(INDEX(Algorithms!$G:$G,MATCH($C98&amp;"_Therm Saved per Unit- MLA",Algorithms!$A:$A,0)),0)*Y98</f>
        <v>0</v>
      </c>
      <c r="CC98" s="266">
        <f ca="1">P98*IFERROR(INDEX(Algorithms!$G:$G,MATCH($C98&amp;"_Therm Saved per Unit- MLA",Algorithms!$A:$A,0)),0)*Z98</f>
        <v>0</v>
      </c>
      <c r="CD98" s="266">
        <f ca="1">Q98*IFERROR(INDEX(Algorithms!$G:$G,MATCH($C98&amp;"_Therm Saved per Unit- MLA",Algorithms!$A:$A,0)),0)*AA98</f>
        <v>0</v>
      </c>
      <c r="CE98" s="266">
        <f ca="1">IFERROR(INDEX(Algorithms!$G:$G,MATCH($C98&amp;"_Lifetime (years)",Algorithms!$A:$A,0)),0)</f>
        <v>25</v>
      </c>
      <c r="CF98" s="266">
        <f ca="1">IFERROR(INDEX(Algorithms!$G:$G,MATCH($C98&amp;"_Lifetime (years) - Remaining Years",Algorithms!$A:$A,0)),0)</f>
        <v>0</v>
      </c>
      <c r="CG98" s="266">
        <f t="shared" ca="1" si="73"/>
        <v>481793.81249999977</v>
      </c>
      <c r="CH98" s="266">
        <f t="shared" ca="1" si="74"/>
        <v>453452.99999999988</v>
      </c>
      <c r="CI98" s="266">
        <f t="shared" ca="1" si="75"/>
        <v>396771.37499999977</v>
      </c>
      <c r="CJ98" s="266">
        <f t="shared" ca="1" si="76"/>
        <v>385435.04999999976</v>
      </c>
      <c r="CK98" s="266">
        <f t="shared" si="77"/>
        <v>19271.752499999991</v>
      </c>
      <c r="CL98" s="266">
        <f t="shared" si="78"/>
        <v>18138.119999999995</v>
      </c>
      <c r="CM98" s="266">
        <f t="shared" ca="1" si="79"/>
        <v>7557.5500000000056</v>
      </c>
      <c r="CN98" s="266">
        <f t="shared" ca="1" si="80"/>
        <v>7341.6200000000063</v>
      </c>
      <c r="CO98" s="266">
        <f ca="1">N98*IFERROR(INDEX(Algorithms!$G:$G,MATCH($C98&amp;"_Therm Saved per Unit- MLA",Algorithms!$A:$A,0)),0)*X98</f>
        <v>0</v>
      </c>
      <c r="CP98" s="266">
        <f ca="1">O98*IFERROR(INDEX(Algorithms!$G:$G,MATCH($C98&amp;"_Therm Saved per Unit- MLA",Algorithms!$A:$A,0)),0)*Y98</f>
        <v>0</v>
      </c>
      <c r="CQ98" s="266">
        <f ca="1">P98*IFERROR(INDEX(Algorithms!$G:$G,MATCH($C98&amp;"_Therm Saved per Unit- MLA",Algorithms!$A:$A,0)),0)*Z98</f>
        <v>0</v>
      </c>
      <c r="CR98" s="266">
        <f ca="1">Q98*IFERROR(INDEX(Algorithms!$G:$G,MATCH($C98&amp;"_Therm Saved per Unit- MLA",Algorithms!$A:$A,0)),0)*AA98</f>
        <v>0</v>
      </c>
      <c r="CS98" s="266">
        <f ca="1">IFERROR(INDEX(Algorithms!$G:$G,MATCH($C98&amp;"_Lifetime (years)",Algorithms!$A:$A,0)),0)</f>
        <v>25</v>
      </c>
      <c r="CT98" s="266">
        <f ca="1">IFERROR(INDEX(Algorithms!$G:$G,MATCH($C98&amp;"_Lifetime (years) - Remaining Years",Algorithms!$A:$A,0)),0)</f>
        <v>0</v>
      </c>
      <c r="CU98" s="266">
        <f t="shared" ca="1" si="81"/>
        <v>481793.81249999977</v>
      </c>
      <c r="CV98" s="266">
        <f t="shared" ca="1" si="82"/>
        <v>453452.99999999988</v>
      </c>
      <c r="CW98" s="266">
        <f t="shared" ca="1" si="83"/>
        <v>188938.75000000015</v>
      </c>
      <c r="CX98" s="266">
        <f t="shared" ca="1" si="84"/>
        <v>183540.50000000015</v>
      </c>
    </row>
    <row r="99" spans="2:102" s="47" customFormat="1" ht="18" customHeight="1" x14ac:dyDescent="0.25">
      <c r="B99" t="str">
        <f t="shared" si="85"/>
        <v>NSG_Business_C&amp;I_Rebates_Linkageless Controls_0_CI</v>
      </c>
      <c r="C99" s="47" t="str">
        <f t="shared" si="46"/>
        <v>Linkageless Controls_0_CI</v>
      </c>
      <c r="D99" s="270" t="s">
        <v>1787</v>
      </c>
      <c r="E99" s="270" t="s">
        <v>3</v>
      </c>
      <c r="F99" s="270" t="s">
        <v>1427</v>
      </c>
      <c r="G99" s="270" t="s">
        <v>1429</v>
      </c>
      <c r="H99" s="270" t="s">
        <v>1287</v>
      </c>
      <c r="I99" s="270">
        <v>0</v>
      </c>
      <c r="J99" s="270" t="s">
        <v>1159</v>
      </c>
      <c r="K99" s="263">
        <v>1</v>
      </c>
      <c r="L99" s="263" t="str">
        <f ca="1">IFERROR(INDEX(Algorithms!J:J,MATCH($C99&amp;"_Therm Saved per Unit",Algorithms!$A:$A,0)),"n/a")</f>
        <v>4.4.21</v>
      </c>
      <c r="M99" s="263" t="str">
        <f>IFERROR(INDEX('Measure Level Detail'!$N:$N,MATCH($B99,'Measure Level Detail'!$B:$B,0)),0)</f>
        <v>MBH</v>
      </c>
      <c r="N99" s="271">
        <f>IFERROR(INDEX('Measure Level Detail'!$P:$P,MATCH($B99&amp;"_"&amp;N$3,'Measure Level Detail'!$C:$C,0)),0)</f>
        <v>12750</v>
      </c>
      <c r="O99" s="271">
        <f>IFERROR(INDEX('Measure Level Detail'!$P:$P,MATCH($B99&amp;"_"&amp;O$3,'Measure Level Detail'!$C:$C,0)),0)</f>
        <v>12000.000000000002</v>
      </c>
      <c r="P99" s="271">
        <f>IFERROR(INDEX('Measure Level Detail'!$P:$P,MATCH($B99&amp;"_"&amp;P$3,'Measure Level Detail'!$C:$C,0)),0)</f>
        <v>10499.999999999998</v>
      </c>
      <c r="Q99" s="271">
        <f>IFERROR(INDEX('Measure Level Detail'!$P:$P,MATCH($B99&amp;"_"&amp;Q$3,'Measure Level Detail'!$C:$C,0)),0)</f>
        <v>10200</v>
      </c>
      <c r="R99" s="263" t="str">
        <f ca="1">IFERROR(INDEX(Algorithms!K:K,MATCH($C99&amp;"_Therm Saved per Unit",Algorithms!$A:$A,0)),"n/a")</f>
        <v>CI-HVC-LBC-V06-220101</v>
      </c>
      <c r="S99" s="262"/>
      <c r="T99" s="272">
        <v>0.56277999999999995</v>
      </c>
      <c r="U99" s="272">
        <v>0.56277999999999995</v>
      </c>
      <c r="V99" s="272">
        <v>0.56277999999999995</v>
      </c>
      <c r="W99" s="272">
        <v>0.56277999999999995</v>
      </c>
      <c r="X99" s="273">
        <f>IFERROR(INDEX('Measure Level Detail'!$R:$R,MATCH($B99&amp;"_"&amp;X$3,'Measure Level Detail'!$C:$C,0)),0)</f>
        <v>0.91</v>
      </c>
      <c r="Y99" s="273">
        <f>IFERROR(INDEX('Measure Level Detail'!$R:$R,MATCH($B99&amp;"_"&amp;Y$3,'Measure Level Detail'!$C:$C,0)),0)</f>
        <v>0.91</v>
      </c>
      <c r="Z99" s="273">
        <f>IFERROR(INDEX('Measure Level Detail'!$R:$R,MATCH($B99&amp;"_"&amp;Z$3,'Measure Level Detail'!$C:$C,0)),0)</f>
        <v>0.91</v>
      </c>
      <c r="AA99" s="273">
        <f>IFERROR(INDEX('Measure Level Detail'!$R:$R,MATCH($B99&amp;"_"&amp;AA$3,'Measure Level Detail'!$C:$C,0)),0)</f>
        <v>0.91</v>
      </c>
      <c r="AB99" s="266">
        <f t="shared" si="47"/>
        <v>6529.6549500000001</v>
      </c>
      <c r="AC99" s="266">
        <f t="shared" si="48"/>
        <v>6145.557600000001</v>
      </c>
      <c r="AD99" s="266">
        <f t="shared" si="49"/>
        <v>5377.3628999999992</v>
      </c>
      <c r="AE99" s="266">
        <f t="shared" si="50"/>
        <v>5223.7239600000003</v>
      </c>
      <c r="AF99" s="266">
        <f t="shared" si="51"/>
        <v>23276.29941</v>
      </c>
      <c r="AG99" s="274">
        <v>0.91</v>
      </c>
      <c r="AH99" s="274">
        <v>0.91</v>
      </c>
      <c r="AI99" s="274">
        <v>0.91</v>
      </c>
      <c r="AJ99" s="274">
        <v>0.91</v>
      </c>
      <c r="AK99" s="274">
        <f t="shared" si="52"/>
        <v>0.91</v>
      </c>
      <c r="AL99" s="274">
        <f t="shared" si="53"/>
        <v>0.91</v>
      </c>
      <c r="AM99" s="274">
        <f t="shared" si="54"/>
        <v>0.91</v>
      </c>
      <c r="AN99" s="274">
        <f t="shared" si="55"/>
        <v>0.91</v>
      </c>
      <c r="AO99" s="262"/>
      <c r="AP99" s="262"/>
      <c r="AQ99" s="267">
        <v>0.56277999999999995</v>
      </c>
      <c r="AR99" s="262"/>
      <c r="AS99" s="266">
        <f t="shared" si="56"/>
        <v>6529.6549500000001</v>
      </c>
      <c r="AT99" s="264">
        <f t="shared" si="57"/>
        <v>0</v>
      </c>
      <c r="AU99" s="262"/>
      <c r="AV99" s="262"/>
      <c r="AW99" s="265">
        <v>0.56277999999999995</v>
      </c>
      <c r="AX99" s="164" t="s">
        <v>1469</v>
      </c>
      <c r="AY99" s="266">
        <v>6145.557600000001</v>
      </c>
      <c r="AZ99" s="266">
        <f t="shared" si="58"/>
        <v>6145.557600000001</v>
      </c>
      <c r="BA99" s="264">
        <f t="shared" si="59"/>
        <v>0</v>
      </c>
      <c r="BB99" s="262"/>
      <c r="BC99" s="262"/>
      <c r="BD99" s="265">
        <f ca="1">IFERROR(INDEX(Algorithms!$G:$G,MATCH($C99&amp;"_Therm Saved per Unit",Algorithms!$A:$A,0)),0)</f>
        <v>0.56277999999999995</v>
      </c>
      <c r="BE99" s="164" t="str">
        <f ca="1">IFERROR(INDEX('v12 Revisions'!$P$29:$P$186, MATCH('Measure-Level Adj Gas'!$L99, 'v12 Revisions'!$D$29:$D$186,0)),"")</f>
        <v/>
      </c>
      <c r="BF99" s="266">
        <f t="shared" ca="1" si="60"/>
        <v>5377.3628999999992</v>
      </c>
      <c r="BG99" s="264">
        <f t="shared" ca="1" si="61"/>
        <v>0</v>
      </c>
      <c r="BH99" s="262"/>
      <c r="BI99" s="262"/>
      <c r="BJ99" s="265">
        <f ca="1">IFERROR(INDEX(Algorithms!$G:$G,MATCH($C99&amp;"_Therm Saved per Unit",Algorithms!$A:$A,0)),0)</f>
        <v>0.56277999999999995</v>
      </c>
      <c r="BK99" s="164"/>
      <c r="BL99" s="266">
        <f t="shared" ca="1" si="62"/>
        <v>5223.7239600000003</v>
      </c>
      <c r="BM99" s="264">
        <f t="shared" ca="1" si="63"/>
        <v>0</v>
      </c>
      <c r="BN99" s="266">
        <f t="shared" si="64"/>
        <v>6529.6549500000001</v>
      </c>
      <c r="BO99" s="266">
        <f t="shared" si="65"/>
        <v>6145.557600000001</v>
      </c>
      <c r="BP99" s="266">
        <f t="shared" ca="1" si="66"/>
        <v>5377.3628999999992</v>
      </c>
      <c r="BQ99" s="266">
        <f t="shared" ca="1" si="67"/>
        <v>5223.7239600000003</v>
      </c>
      <c r="BR99" s="268">
        <f t="shared" ca="1" si="68"/>
        <v>23276.29941</v>
      </c>
      <c r="BS99" s="262" t="s">
        <v>99</v>
      </c>
      <c r="BT99" s="277"/>
      <c r="BW99" s="266">
        <f t="shared" si="69"/>
        <v>6529.6549500000001</v>
      </c>
      <c r="BX99" s="266">
        <f t="shared" si="70"/>
        <v>6145.557600000001</v>
      </c>
      <c r="BY99" s="266">
        <f t="shared" si="71"/>
        <v>5377.3628999999992</v>
      </c>
      <c r="BZ99" s="266">
        <f t="shared" si="72"/>
        <v>5223.7239600000003</v>
      </c>
      <c r="CA99" s="266">
        <f ca="1">N99*IFERROR(INDEX(Algorithms!$G:$G,MATCH($C99&amp;"_Therm Saved per Unit- MLA",Algorithms!$A:$A,0)),0)*X99</f>
        <v>0</v>
      </c>
      <c r="CB99" s="266">
        <f ca="1">O99*IFERROR(INDEX(Algorithms!$G:$G,MATCH($C99&amp;"_Therm Saved per Unit- MLA",Algorithms!$A:$A,0)),0)*Y99</f>
        <v>0</v>
      </c>
      <c r="CC99" s="266">
        <f ca="1">P99*IFERROR(INDEX(Algorithms!$G:$G,MATCH($C99&amp;"_Therm Saved per Unit- MLA",Algorithms!$A:$A,0)),0)*Z99</f>
        <v>0</v>
      </c>
      <c r="CD99" s="266">
        <f ca="1">Q99*IFERROR(INDEX(Algorithms!$G:$G,MATCH($C99&amp;"_Therm Saved per Unit- MLA",Algorithms!$A:$A,0)),0)*AA99</f>
        <v>0</v>
      </c>
      <c r="CE99" s="266">
        <f ca="1">IFERROR(INDEX(Algorithms!$G:$G,MATCH($C99&amp;"_Lifetime (years)",Algorithms!$A:$A,0)),0)</f>
        <v>20</v>
      </c>
      <c r="CF99" s="266">
        <f ca="1">IFERROR(INDEX(Algorithms!$G:$G,MATCH($C99&amp;"_Lifetime (years) - Remaining Years",Algorithms!$A:$A,0)),0)</f>
        <v>0</v>
      </c>
      <c r="CG99" s="266">
        <f t="shared" ca="1" si="73"/>
        <v>130593.099</v>
      </c>
      <c r="CH99" s="266">
        <f t="shared" ca="1" si="74"/>
        <v>122911.15200000002</v>
      </c>
      <c r="CI99" s="266">
        <f t="shared" ca="1" si="75"/>
        <v>107547.25799999999</v>
      </c>
      <c r="CJ99" s="266">
        <f t="shared" ca="1" si="76"/>
        <v>104474.4792</v>
      </c>
      <c r="CK99" s="266">
        <f t="shared" si="77"/>
        <v>6529.6549500000001</v>
      </c>
      <c r="CL99" s="266">
        <f t="shared" si="78"/>
        <v>6145.557600000001</v>
      </c>
      <c r="CM99" s="266">
        <f t="shared" ca="1" si="79"/>
        <v>5377.3628999999992</v>
      </c>
      <c r="CN99" s="266">
        <f t="shared" ca="1" si="80"/>
        <v>5223.7239600000003</v>
      </c>
      <c r="CO99" s="266">
        <f ca="1">N99*IFERROR(INDEX(Algorithms!$G:$G,MATCH($C99&amp;"_Therm Saved per Unit- MLA",Algorithms!$A:$A,0)),0)*X99</f>
        <v>0</v>
      </c>
      <c r="CP99" s="266">
        <f ca="1">O99*IFERROR(INDEX(Algorithms!$G:$G,MATCH($C99&amp;"_Therm Saved per Unit- MLA",Algorithms!$A:$A,0)),0)*Y99</f>
        <v>0</v>
      </c>
      <c r="CQ99" s="266">
        <f ca="1">P99*IFERROR(INDEX(Algorithms!$G:$G,MATCH($C99&amp;"_Therm Saved per Unit- MLA",Algorithms!$A:$A,0)),0)*Z99</f>
        <v>0</v>
      </c>
      <c r="CR99" s="266">
        <f ca="1">Q99*IFERROR(INDEX(Algorithms!$G:$G,MATCH($C99&amp;"_Therm Saved per Unit- MLA",Algorithms!$A:$A,0)),0)*AA99</f>
        <v>0</v>
      </c>
      <c r="CS99" s="266">
        <f ca="1">IFERROR(INDEX(Algorithms!$G:$G,MATCH($C99&amp;"_Lifetime (years)",Algorithms!$A:$A,0)),0)</f>
        <v>20</v>
      </c>
      <c r="CT99" s="266">
        <f ca="1">IFERROR(INDEX(Algorithms!$G:$G,MATCH($C99&amp;"_Lifetime (years) - Remaining Years",Algorithms!$A:$A,0)),0)</f>
        <v>0</v>
      </c>
      <c r="CU99" s="266">
        <f t="shared" ca="1" si="81"/>
        <v>130593.099</v>
      </c>
      <c r="CV99" s="266">
        <f t="shared" ca="1" si="82"/>
        <v>122911.15200000002</v>
      </c>
      <c r="CW99" s="266">
        <f t="shared" ca="1" si="83"/>
        <v>107547.25799999999</v>
      </c>
      <c r="CX99" s="266">
        <f t="shared" ca="1" si="84"/>
        <v>104474.4792</v>
      </c>
    </row>
    <row r="100" spans="2:102" s="47" customFormat="1" ht="18" customHeight="1" x14ac:dyDescent="0.25">
      <c r="B100" t="str">
        <f t="shared" si="85"/>
        <v>NSG_Business_Public Sector_Rebates_Boiler Tune Up_Space Heating_CI</v>
      </c>
      <c r="C100" s="47" t="str">
        <f t="shared" si="46"/>
        <v>Boiler Tune Up_Space Heating_CI</v>
      </c>
      <c r="D100" s="270" t="s">
        <v>1787</v>
      </c>
      <c r="E100" s="270" t="s">
        <v>3</v>
      </c>
      <c r="F100" s="270" t="s">
        <v>1430</v>
      </c>
      <c r="G100" s="270" t="s">
        <v>1429</v>
      </c>
      <c r="H100" s="270" t="s">
        <v>906</v>
      </c>
      <c r="I100" s="270" t="s">
        <v>907</v>
      </c>
      <c r="J100" s="270" t="s">
        <v>1159</v>
      </c>
      <c r="K100" s="263">
        <v>1</v>
      </c>
      <c r="L100" s="263" t="str">
        <f ca="1">IFERROR(INDEX(Algorithms!J:J,MATCH($C100&amp;"_Therm Saved per Unit",Algorithms!$A:$A,0)),"n/a")</f>
        <v>4.4.2</v>
      </c>
      <c r="M100" s="263" t="str">
        <f>IFERROR(INDEX('Measure Level Detail'!$N:$N,MATCH($B100,'Measure Level Detail'!$B:$B,0)),0)</f>
        <v>MBH</v>
      </c>
      <c r="N100" s="271">
        <f>IFERROR(INDEX('Measure Level Detail'!$P:$P,MATCH($B100&amp;"_"&amp;N$3,'Measure Level Detail'!$C:$C,0)),0)</f>
        <v>12000</v>
      </c>
      <c r="O100" s="271">
        <f>IFERROR(INDEX('Measure Level Detail'!$P:$P,MATCH($B100&amp;"_"&amp;O$3,'Measure Level Detail'!$C:$C,0)),0)</f>
        <v>12000</v>
      </c>
      <c r="P100" s="271">
        <f>IFERROR(INDEX('Measure Level Detail'!$P:$P,MATCH($B100&amp;"_"&amp;P$3,'Measure Level Detail'!$C:$C,0)),0)</f>
        <v>12000</v>
      </c>
      <c r="Q100" s="271">
        <f>IFERROR(INDEX('Measure Level Detail'!$P:$P,MATCH($B100&amp;"_"&amp;Q$3,'Measure Level Detail'!$C:$C,0)),0)</f>
        <v>12000</v>
      </c>
      <c r="R100" s="263" t="str">
        <f ca="1">IFERROR(INDEX(Algorithms!K:K,MATCH($C100&amp;"_Therm Saved per Unit",Algorithms!$A:$A,0)),"n/a")</f>
        <v>CI-HVC-BLRT-V07-210101</v>
      </c>
      <c r="S100" s="262"/>
      <c r="T100" s="272">
        <v>0.46874846625766969</v>
      </c>
      <c r="U100" s="272">
        <v>0.46874846625766969</v>
      </c>
      <c r="V100" s="272">
        <v>0.46874846625766969</v>
      </c>
      <c r="W100" s="272">
        <v>0.46874846625766969</v>
      </c>
      <c r="X100" s="276">
        <v>0.92</v>
      </c>
      <c r="Y100" s="276">
        <v>0.92</v>
      </c>
      <c r="Z100" s="276">
        <v>0.92</v>
      </c>
      <c r="AA100" s="276">
        <v>0.92</v>
      </c>
      <c r="AB100" s="266">
        <f t="shared" si="47"/>
        <v>5174.9830674846735</v>
      </c>
      <c r="AC100" s="266">
        <f t="shared" si="48"/>
        <v>5174.9830674846735</v>
      </c>
      <c r="AD100" s="266">
        <f t="shared" si="49"/>
        <v>5174.9830674846735</v>
      </c>
      <c r="AE100" s="266">
        <f t="shared" si="50"/>
        <v>5174.9830674846735</v>
      </c>
      <c r="AF100" s="266">
        <f t="shared" si="51"/>
        <v>20699.932269938694</v>
      </c>
      <c r="AG100" s="274">
        <v>0.92</v>
      </c>
      <c r="AH100" s="274">
        <v>0.92</v>
      </c>
      <c r="AI100" s="274">
        <v>0.92</v>
      </c>
      <c r="AJ100" s="274">
        <v>0.92</v>
      </c>
      <c r="AK100" s="274">
        <f t="shared" si="52"/>
        <v>0.92</v>
      </c>
      <c r="AL100" s="274">
        <f t="shared" si="53"/>
        <v>0.92</v>
      </c>
      <c r="AM100" s="274">
        <f t="shared" si="54"/>
        <v>0.92</v>
      </c>
      <c r="AN100" s="274">
        <f t="shared" si="55"/>
        <v>0.92</v>
      </c>
      <c r="AO100" s="262"/>
      <c r="AP100" s="262"/>
      <c r="AQ100" s="267">
        <v>0.46874846625766969</v>
      </c>
      <c r="AR100" s="262"/>
      <c r="AS100" s="266">
        <f t="shared" si="56"/>
        <v>5174.9830674846735</v>
      </c>
      <c r="AT100" s="264">
        <f t="shared" si="57"/>
        <v>0</v>
      </c>
      <c r="AU100" s="262"/>
      <c r="AV100" s="262"/>
      <c r="AW100" s="265">
        <v>0.46874846625766969</v>
      </c>
      <c r="AX100" s="164" t="s">
        <v>1469</v>
      </c>
      <c r="AY100" s="266">
        <v>5174.9830674846735</v>
      </c>
      <c r="AZ100" s="266">
        <f t="shared" si="58"/>
        <v>5174.9830674846735</v>
      </c>
      <c r="BA100" s="264">
        <f t="shared" si="59"/>
        <v>0</v>
      </c>
      <c r="BB100" s="262"/>
      <c r="BC100" s="262"/>
      <c r="BD100" s="265">
        <f ca="1">IFERROR(INDEX(Algorithms!$G:$G,MATCH($C100&amp;"_Therm Saved per Unit",Algorithms!$A:$A,0)),0)</f>
        <v>0.46874846625766969</v>
      </c>
      <c r="BE100" s="164" t="str">
        <f ca="1">IFERROR(INDEX('v12 Revisions'!$P$29:$P$186, MATCH('Measure-Level Adj Gas'!$L100, 'v12 Revisions'!$D$29:$D$186,0)),"")</f>
        <v/>
      </c>
      <c r="BF100" s="266">
        <f t="shared" ca="1" si="60"/>
        <v>5174.9830674846735</v>
      </c>
      <c r="BG100" s="264">
        <f t="shared" ca="1" si="61"/>
        <v>0</v>
      </c>
      <c r="BH100" s="262"/>
      <c r="BI100" s="262"/>
      <c r="BJ100" s="265">
        <f ca="1">IFERROR(INDEX(Algorithms!$G:$G,MATCH($C100&amp;"_Therm Saved per Unit",Algorithms!$A:$A,0)),0)</f>
        <v>0.46874846625766969</v>
      </c>
      <c r="BK100" s="164"/>
      <c r="BL100" s="266">
        <f t="shared" ca="1" si="62"/>
        <v>5174.9830674846735</v>
      </c>
      <c r="BM100" s="264">
        <f t="shared" ca="1" si="63"/>
        <v>0</v>
      </c>
      <c r="BN100" s="266">
        <f t="shared" si="64"/>
        <v>5174.9830674846735</v>
      </c>
      <c r="BO100" s="266">
        <f t="shared" si="65"/>
        <v>5174.9830674846735</v>
      </c>
      <c r="BP100" s="266">
        <f t="shared" ca="1" si="66"/>
        <v>5174.9830674846735</v>
      </c>
      <c r="BQ100" s="266">
        <f t="shared" ca="1" si="67"/>
        <v>5174.9830674846735</v>
      </c>
      <c r="BR100" s="268">
        <f t="shared" ca="1" si="68"/>
        <v>20699.932269938694</v>
      </c>
      <c r="BS100" s="262" t="s">
        <v>99</v>
      </c>
      <c r="BT100" s="277"/>
      <c r="BW100" s="266">
        <f t="shared" si="69"/>
        <v>5174.9830674846735</v>
      </c>
      <c r="BX100" s="266">
        <f t="shared" si="70"/>
        <v>5174.9830674846735</v>
      </c>
      <c r="BY100" s="266">
        <f t="shared" si="71"/>
        <v>5174.9830674846735</v>
      </c>
      <c r="BZ100" s="266">
        <f t="shared" si="72"/>
        <v>5174.9830674846735</v>
      </c>
      <c r="CA100" s="266">
        <f ca="1">N100*IFERROR(INDEX(Algorithms!$G:$G,MATCH($C100&amp;"_Therm Saved per Unit- MLA",Algorithms!$A:$A,0)),0)*X100</f>
        <v>0</v>
      </c>
      <c r="CB100" s="266">
        <f ca="1">O100*IFERROR(INDEX(Algorithms!$G:$G,MATCH($C100&amp;"_Therm Saved per Unit- MLA",Algorithms!$A:$A,0)),0)*Y100</f>
        <v>0</v>
      </c>
      <c r="CC100" s="266">
        <f ca="1">P100*IFERROR(INDEX(Algorithms!$G:$G,MATCH($C100&amp;"_Therm Saved per Unit- MLA",Algorithms!$A:$A,0)),0)*Z100</f>
        <v>0</v>
      </c>
      <c r="CD100" s="266">
        <f ca="1">Q100*IFERROR(INDEX(Algorithms!$G:$G,MATCH($C100&amp;"_Therm Saved per Unit- MLA",Algorithms!$A:$A,0)),0)*AA100</f>
        <v>0</v>
      </c>
      <c r="CE100" s="266">
        <f ca="1">IFERROR(INDEX(Algorithms!$G:$G,MATCH($C100&amp;"_Lifetime (years)",Algorithms!$A:$A,0)),0)</f>
        <v>3</v>
      </c>
      <c r="CF100" s="266">
        <f ca="1">IFERROR(INDEX(Algorithms!$G:$G,MATCH($C100&amp;"_Lifetime (years) - Remaining Years",Algorithms!$A:$A,0)),0)</f>
        <v>0</v>
      </c>
      <c r="CG100" s="266">
        <f t="shared" ca="1" si="73"/>
        <v>15524.94920245402</v>
      </c>
      <c r="CH100" s="266">
        <f t="shared" ca="1" si="74"/>
        <v>15524.94920245402</v>
      </c>
      <c r="CI100" s="266">
        <f t="shared" ca="1" si="75"/>
        <v>15524.94920245402</v>
      </c>
      <c r="CJ100" s="266">
        <f t="shared" ca="1" si="76"/>
        <v>15524.94920245402</v>
      </c>
      <c r="CK100" s="266">
        <f t="shared" si="77"/>
        <v>5174.9830674846735</v>
      </c>
      <c r="CL100" s="266">
        <f t="shared" si="78"/>
        <v>5174.9830674846735</v>
      </c>
      <c r="CM100" s="266">
        <f t="shared" ca="1" si="79"/>
        <v>5174.9830674846735</v>
      </c>
      <c r="CN100" s="266">
        <f t="shared" ca="1" si="80"/>
        <v>5174.9830674846735</v>
      </c>
      <c r="CO100" s="266">
        <f ca="1">N100*IFERROR(INDEX(Algorithms!$G:$G,MATCH($C100&amp;"_Therm Saved per Unit- MLA",Algorithms!$A:$A,0)),0)*X100</f>
        <v>0</v>
      </c>
      <c r="CP100" s="266">
        <f ca="1">O100*IFERROR(INDEX(Algorithms!$G:$G,MATCH($C100&amp;"_Therm Saved per Unit- MLA",Algorithms!$A:$A,0)),0)*Y100</f>
        <v>0</v>
      </c>
      <c r="CQ100" s="266">
        <f ca="1">P100*IFERROR(INDEX(Algorithms!$G:$G,MATCH($C100&amp;"_Therm Saved per Unit- MLA",Algorithms!$A:$A,0)),0)*Z100</f>
        <v>0</v>
      </c>
      <c r="CR100" s="266">
        <f ca="1">Q100*IFERROR(INDEX(Algorithms!$G:$G,MATCH($C100&amp;"_Therm Saved per Unit- MLA",Algorithms!$A:$A,0)),0)*AA100</f>
        <v>0</v>
      </c>
      <c r="CS100" s="266">
        <f ca="1">IFERROR(INDEX(Algorithms!$G:$G,MATCH($C100&amp;"_Lifetime (years)",Algorithms!$A:$A,0)),0)</f>
        <v>3</v>
      </c>
      <c r="CT100" s="266">
        <f ca="1">IFERROR(INDEX(Algorithms!$G:$G,MATCH($C100&amp;"_Lifetime (years) - Remaining Years",Algorithms!$A:$A,0)),0)</f>
        <v>0</v>
      </c>
      <c r="CU100" s="266">
        <f t="shared" ca="1" si="81"/>
        <v>15524.94920245402</v>
      </c>
      <c r="CV100" s="266">
        <f t="shared" ca="1" si="82"/>
        <v>15524.94920245402</v>
      </c>
      <c r="CW100" s="266">
        <f t="shared" ca="1" si="83"/>
        <v>15524.94920245402</v>
      </c>
      <c r="CX100" s="266">
        <f t="shared" ca="1" si="84"/>
        <v>15524.94920245402</v>
      </c>
    </row>
    <row r="101" spans="2:102" s="47" customFormat="1" ht="18" customHeight="1" x14ac:dyDescent="0.25">
      <c r="B101" t="str">
        <f t="shared" si="85"/>
        <v>NSG_Business_Public Sector_Custom_C&amp;I Custom_0_CI</v>
      </c>
      <c r="C101" s="47" t="str">
        <f t="shared" si="46"/>
        <v>C&amp;I Custom_0_CI</v>
      </c>
      <c r="D101" s="270" t="s">
        <v>1787</v>
      </c>
      <c r="E101" s="270" t="s">
        <v>3</v>
      </c>
      <c r="F101" s="270" t="s">
        <v>1430</v>
      </c>
      <c r="G101" s="270" t="s">
        <v>5</v>
      </c>
      <c r="H101" s="270" t="s">
        <v>1285</v>
      </c>
      <c r="I101" s="270">
        <v>0</v>
      </c>
      <c r="J101" s="270" t="s">
        <v>1159</v>
      </c>
      <c r="K101" s="263">
        <v>0</v>
      </c>
      <c r="L101" s="263">
        <f ca="1">IFERROR(INDEX(Algorithms!J:J,MATCH($C101&amp;"_Therm Saved per Unit",Algorithms!$A:$A,0)),"n/a")</f>
        <v>0</v>
      </c>
      <c r="M101" s="263" t="str">
        <f>IFERROR(INDEX('Measure Level Detail'!$N:$N,MATCH($B101,'Measure Level Detail'!$B:$B,0)),0)</f>
        <v>therm</v>
      </c>
      <c r="N101" s="271">
        <f>IFERROR(INDEX('Measure Level Detail'!$P:$P,MATCH($B101&amp;"_"&amp;N$3,'Measure Level Detail'!$C:$C,0)),0)</f>
        <v>11869.5</v>
      </c>
      <c r="O101" s="271">
        <f>IFERROR(INDEX('Measure Level Detail'!$P:$P,MATCH($B101&amp;"_"&amp;O$3,'Measure Level Detail'!$C:$C,0)),0)</f>
        <v>11869.5</v>
      </c>
      <c r="P101" s="271">
        <f>IFERROR(INDEX('Measure Level Detail'!$P:$P,MATCH($B101&amp;"_"&amp;P$3,'Measure Level Detail'!$C:$C,0)),0)</f>
        <v>11869.5</v>
      </c>
      <c r="Q101" s="271">
        <f>IFERROR(INDEX('Measure Level Detail'!$P:$P,MATCH($B101&amp;"_"&amp;Q$3,'Measure Level Detail'!$C:$C,0)),0)</f>
        <v>11869.5</v>
      </c>
      <c r="R101" s="263">
        <f ca="1">IFERROR(INDEX(Algorithms!K:K,MATCH($C101&amp;"_Therm Saved per Unit",Algorithms!$A:$A,0)),"n/a")</f>
        <v>0</v>
      </c>
      <c r="S101" s="262"/>
      <c r="T101" s="272">
        <v>1</v>
      </c>
      <c r="U101" s="272">
        <v>1</v>
      </c>
      <c r="V101" s="272">
        <v>1</v>
      </c>
      <c r="W101" s="272">
        <v>1</v>
      </c>
      <c r="X101" s="276">
        <v>0.92</v>
      </c>
      <c r="Y101" s="276">
        <v>0.92</v>
      </c>
      <c r="Z101" s="276">
        <v>0.92</v>
      </c>
      <c r="AA101" s="276">
        <v>0.92</v>
      </c>
      <c r="AB101" s="266">
        <f t="shared" si="47"/>
        <v>10919.94</v>
      </c>
      <c r="AC101" s="266">
        <f t="shared" si="48"/>
        <v>10919.94</v>
      </c>
      <c r="AD101" s="266">
        <f t="shared" si="49"/>
        <v>10919.94</v>
      </c>
      <c r="AE101" s="266">
        <f t="shared" si="50"/>
        <v>10919.94</v>
      </c>
      <c r="AF101" s="266">
        <f t="shared" si="51"/>
        <v>43679.76</v>
      </c>
      <c r="AG101" s="274">
        <v>0.92</v>
      </c>
      <c r="AH101" s="274">
        <v>0.92</v>
      </c>
      <c r="AI101" s="274">
        <v>0.92</v>
      </c>
      <c r="AJ101" s="274">
        <v>0.92</v>
      </c>
      <c r="AK101" s="274">
        <f t="shared" si="52"/>
        <v>0.92</v>
      </c>
      <c r="AL101" s="274">
        <f t="shared" si="53"/>
        <v>0.92</v>
      </c>
      <c r="AM101" s="274">
        <f t="shared" si="54"/>
        <v>0.92</v>
      </c>
      <c r="AN101" s="274">
        <f t="shared" si="55"/>
        <v>0.92</v>
      </c>
      <c r="AO101" s="262"/>
      <c r="AP101" s="262"/>
      <c r="AQ101" s="267">
        <v>1</v>
      </c>
      <c r="AR101" s="262"/>
      <c r="AS101" s="266">
        <f t="shared" si="56"/>
        <v>10919.94</v>
      </c>
      <c r="AT101" s="264">
        <f t="shared" si="57"/>
        <v>0</v>
      </c>
      <c r="AU101" s="262"/>
      <c r="AV101" s="262"/>
      <c r="AW101" s="265">
        <v>1</v>
      </c>
      <c r="AX101" s="164" t="s">
        <v>1469</v>
      </c>
      <c r="AY101" s="266">
        <v>10919.94</v>
      </c>
      <c r="AZ101" s="266">
        <f t="shared" si="58"/>
        <v>10919.94</v>
      </c>
      <c r="BA101" s="264">
        <f t="shared" si="59"/>
        <v>0</v>
      </c>
      <c r="BB101" s="262"/>
      <c r="BC101" s="262"/>
      <c r="BD101" s="265">
        <f ca="1">IFERROR(INDEX(Algorithms!$G:$G,MATCH($C101&amp;"_Therm Saved per Unit",Algorithms!$A:$A,0)),0)</f>
        <v>1</v>
      </c>
      <c r="BE101" s="164" t="str">
        <f ca="1">IFERROR(INDEX('v12 Revisions'!$P$29:$P$186, MATCH('Measure-Level Adj Gas'!$L101, 'v12 Revisions'!$D$29:$D$186,0)),"")</f>
        <v/>
      </c>
      <c r="BF101" s="266">
        <f t="shared" ca="1" si="60"/>
        <v>10919.94</v>
      </c>
      <c r="BG101" s="264">
        <f t="shared" ca="1" si="61"/>
        <v>0</v>
      </c>
      <c r="BH101" s="262"/>
      <c r="BI101" s="262"/>
      <c r="BJ101" s="265">
        <f ca="1">IFERROR(INDEX(Algorithms!$G:$G,MATCH($C101&amp;"_Therm Saved per Unit",Algorithms!$A:$A,0)),0)</f>
        <v>1</v>
      </c>
      <c r="BK101" s="164"/>
      <c r="BL101" s="266">
        <f t="shared" ca="1" si="62"/>
        <v>10919.94</v>
      </c>
      <c r="BM101" s="264">
        <f t="shared" ca="1" si="63"/>
        <v>0</v>
      </c>
      <c r="BN101" s="266">
        <f t="shared" si="64"/>
        <v>10919.94</v>
      </c>
      <c r="BO101" s="266">
        <f t="shared" si="65"/>
        <v>10919.94</v>
      </c>
      <c r="BP101" s="266">
        <f t="shared" si="66"/>
        <v>10919.94</v>
      </c>
      <c r="BQ101" s="266">
        <f t="shared" si="67"/>
        <v>10919.94</v>
      </c>
      <c r="BR101" s="268">
        <f t="shared" si="68"/>
        <v>43679.76</v>
      </c>
      <c r="BS101" s="262" t="s">
        <v>99</v>
      </c>
      <c r="BT101" s="277"/>
      <c r="BW101" s="266">
        <f t="shared" si="69"/>
        <v>10919.94</v>
      </c>
      <c r="BX101" s="266">
        <f t="shared" si="70"/>
        <v>10919.94</v>
      </c>
      <c r="BY101" s="266">
        <f t="shared" si="71"/>
        <v>10919.94</v>
      </c>
      <c r="BZ101" s="266">
        <f t="shared" si="72"/>
        <v>10919.94</v>
      </c>
      <c r="CA101" s="266">
        <f ca="1">N101*IFERROR(INDEX(Algorithms!$G:$G,MATCH($C101&amp;"_Therm Saved per Unit- MLA",Algorithms!$A:$A,0)),0)*X101</f>
        <v>0</v>
      </c>
      <c r="CB101" s="266">
        <f ca="1">O101*IFERROR(INDEX(Algorithms!$G:$G,MATCH($C101&amp;"_Therm Saved per Unit- MLA",Algorithms!$A:$A,0)),0)*Y101</f>
        <v>0</v>
      </c>
      <c r="CC101" s="266">
        <f ca="1">P101*IFERROR(INDEX(Algorithms!$G:$G,MATCH($C101&amp;"_Therm Saved per Unit- MLA",Algorithms!$A:$A,0)),0)*Z101</f>
        <v>0</v>
      </c>
      <c r="CD101" s="266">
        <f ca="1">Q101*IFERROR(INDEX(Algorithms!$G:$G,MATCH($C101&amp;"_Therm Saved per Unit- MLA",Algorithms!$A:$A,0)),0)*AA101</f>
        <v>0</v>
      </c>
      <c r="CE101" s="266">
        <f ca="1">IFERROR(INDEX(Algorithms!$G:$G,MATCH($C101&amp;"_Lifetime (years)",Algorithms!$A:$A,0)),0)</f>
        <v>15</v>
      </c>
      <c r="CF101" s="266">
        <f ca="1">IFERROR(INDEX(Algorithms!$G:$G,MATCH($C101&amp;"_Lifetime (years) - Remaining Years",Algorithms!$A:$A,0)),0)</f>
        <v>0</v>
      </c>
      <c r="CG101" s="266">
        <f t="shared" ca="1" si="73"/>
        <v>163799.1</v>
      </c>
      <c r="CH101" s="266">
        <f t="shared" ca="1" si="74"/>
        <v>163799.1</v>
      </c>
      <c r="CI101" s="266">
        <f t="shared" ca="1" si="75"/>
        <v>163799.1</v>
      </c>
      <c r="CJ101" s="266">
        <f t="shared" ca="1" si="76"/>
        <v>163799.1</v>
      </c>
      <c r="CK101" s="266">
        <f t="shared" si="77"/>
        <v>10919.94</v>
      </c>
      <c r="CL101" s="266">
        <f t="shared" si="78"/>
        <v>10919.94</v>
      </c>
      <c r="CM101" s="266">
        <f t="shared" ca="1" si="79"/>
        <v>10919.94</v>
      </c>
      <c r="CN101" s="266">
        <f t="shared" ca="1" si="80"/>
        <v>10919.94</v>
      </c>
      <c r="CO101" s="266">
        <f ca="1">N101*IFERROR(INDEX(Algorithms!$G:$G,MATCH($C101&amp;"_Therm Saved per Unit- MLA",Algorithms!$A:$A,0)),0)*X101</f>
        <v>0</v>
      </c>
      <c r="CP101" s="266">
        <f ca="1">O101*IFERROR(INDEX(Algorithms!$G:$G,MATCH($C101&amp;"_Therm Saved per Unit- MLA",Algorithms!$A:$A,0)),0)*Y101</f>
        <v>0</v>
      </c>
      <c r="CQ101" s="266">
        <f ca="1">P101*IFERROR(INDEX(Algorithms!$G:$G,MATCH($C101&amp;"_Therm Saved per Unit- MLA",Algorithms!$A:$A,0)),0)*Z101</f>
        <v>0</v>
      </c>
      <c r="CR101" s="266">
        <f ca="1">Q101*IFERROR(INDEX(Algorithms!$G:$G,MATCH($C101&amp;"_Therm Saved per Unit- MLA",Algorithms!$A:$A,0)),0)*AA101</f>
        <v>0</v>
      </c>
      <c r="CS101" s="266">
        <f ca="1">IFERROR(INDEX(Algorithms!$G:$G,MATCH($C101&amp;"_Lifetime (years)",Algorithms!$A:$A,0)),0)</f>
        <v>15</v>
      </c>
      <c r="CT101" s="266">
        <f ca="1">IFERROR(INDEX(Algorithms!$G:$G,MATCH($C101&amp;"_Lifetime (years) - Remaining Years",Algorithms!$A:$A,0)),0)</f>
        <v>0</v>
      </c>
      <c r="CU101" s="266">
        <f t="shared" ca="1" si="81"/>
        <v>163799.1</v>
      </c>
      <c r="CV101" s="266">
        <f t="shared" ca="1" si="82"/>
        <v>163799.1</v>
      </c>
      <c r="CW101" s="266">
        <f t="shared" ca="1" si="83"/>
        <v>163799.1</v>
      </c>
      <c r="CX101" s="266">
        <f t="shared" ca="1" si="84"/>
        <v>163799.1</v>
      </c>
    </row>
    <row r="102" spans="2:102" s="47" customFormat="1" ht="18" customHeight="1" x14ac:dyDescent="0.25">
      <c r="B102" t="str">
        <f t="shared" si="85"/>
        <v>NSG_Income Eligible_Single Family_IE Kits_Outlet and Switch Gaskets_IE Kit_IE</v>
      </c>
      <c r="C102" s="47" t="str">
        <f t="shared" si="46"/>
        <v>Outlet and Switch Gaskets_IE Kit_IE</v>
      </c>
      <c r="D102" s="270" t="s">
        <v>1787</v>
      </c>
      <c r="E102" s="270" t="s">
        <v>325</v>
      </c>
      <c r="F102" s="270" t="s">
        <v>375</v>
      </c>
      <c r="G102" s="270" t="s">
        <v>1440</v>
      </c>
      <c r="H102" s="270" t="s">
        <v>563</v>
      </c>
      <c r="I102" s="270" t="s">
        <v>550</v>
      </c>
      <c r="J102" s="270" t="s">
        <v>551</v>
      </c>
      <c r="K102" s="263">
        <v>1</v>
      </c>
      <c r="L102" s="263" t="str">
        <f ca="1">IFERROR(INDEX(Algorithms!J:J,MATCH($C102&amp;"_Therm Saved per Unit",Algorithms!$A:$A,0)),"n/a")</f>
        <v>5.6.1</v>
      </c>
      <c r="M102" s="263" t="str">
        <f>IFERROR(INDEX('Measure Level Detail'!$N:$N,MATCH($B102,'Measure Level Detail'!$B:$B,0)),0)</f>
        <v>each</v>
      </c>
      <c r="N102" s="271">
        <f>IFERROR(INDEX('Measure Level Detail'!$P:$P,MATCH($B102&amp;"_"&amp;N$3,'Measure Level Detail'!$C:$C,0)),0)</f>
        <v>11200</v>
      </c>
      <c r="O102" s="271">
        <f>IFERROR(INDEX('Measure Level Detail'!$P:$P,MATCH($B102&amp;"_"&amp;O$3,'Measure Level Detail'!$C:$C,0)),0)</f>
        <v>11200</v>
      </c>
      <c r="P102" s="271">
        <f>IFERROR(INDEX('Measure Level Detail'!$P:$P,MATCH($B102&amp;"_"&amp;P$3,'Measure Level Detail'!$C:$C,0)),0)</f>
        <v>11200</v>
      </c>
      <c r="Q102" s="271">
        <f>IFERROR(INDEX('Measure Level Detail'!$P:$P,MATCH($B102&amp;"_"&amp;Q$3,'Measure Level Detail'!$C:$C,0)),0)</f>
        <v>11200</v>
      </c>
      <c r="R102" s="263" t="str">
        <f ca="1">IFERROR(INDEX(Algorithms!K:K,MATCH($C102&amp;"_Therm Saved per Unit",Algorithms!$A:$A,0)),"n/a")</f>
        <v>RS-SHL-AIRS-V13-240101</v>
      </c>
      <c r="S102" s="262"/>
      <c r="T102" s="272">
        <v>0.19176000000000001</v>
      </c>
      <c r="U102" s="272">
        <v>0.19176000000000001</v>
      </c>
      <c r="V102" s="272">
        <v>0.19176000000000001</v>
      </c>
      <c r="W102" s="272">
        <v>0.19176000000000001</v>
      </c>
      <c r="X102" s="273">
        <f>IFERROR(INDEX('Measure Level Detail'!$R:$R,MATCH($B102&amp;"_"&amp;X$3,'Measure Level Detail'!$C:$C,0)),0)</f>
        <v>1</v>
      </c>
      <c r="Y102" s="273">
        <f>IFERROR(INDEX('Measure Level Detail'!$R:$R,MATCH($B102&amp;"_"&amp;Y$3,'Measure Level Detail'!$C:$C,0)),0)</f>
        <v>1</v>
      </c>
      <c r="Z102" s="273">
        <f>IFERROR(INDEX('Measure Level Detail'!$R:$R,MATCH($B102&amp;"_"&amp;Z$3,'Measure Level Detail'!$C:$C,0)),0)</f>
        <v>1</v>
      </c>
      <c r="AA102" s="273">
        <f>IFERROR(INDEX('Measure Level Detail'!$R:$R,MATCH($B102&amp;"_"&amp;AA$3,'Measure Level Detail'!$C:$C,0)),0)</f>
        <v>1</v>
      </c>
      <c r="AB102" s="266">
        <f t="shared" si="47"/>
        <v>2147.712</v>
      </c>
      <c r="AC102" s="266">
        <f t="shared" si="48"/>
        <v>2147.712</v>
      </c>
      <c r="AD102" s="266">
        <f t="shared" si="49"/>
        <v>2147.712</v>
      </c>
      <c r="AE102" s="266">
        <f t="shared" si="50"/>
        <v>2147.712</v>
      </c>
      <c r="AF102" s="266">
        <f t="shared" si="51"/>
        <v>8590.848</v>
      </c>
      <c r="AG102" s="274">
        <v>1</v>
      </c>
      <c r="AH102" s="274">
        <v>1</v>
      </c>
      <c r="AI102" s="274">
        <v>1</v>
      </c>
      <c r="AJ102" s="274">
        <v>1</v>
      </c>
      <c r="AK102" s="274">
        <f t="shared" si="52"/>
        <v>1</v>
      </c>
      <c r="AL102" s="274">
        <f t="shared" si="53"/>
        <v>1</v>
      </c>
      <c r="AM102" s="274">
        <f t="shared" si="54"/>
        <v>1</v>
      </c>
      <c r="AN102" s="274">
        <f t="shared" si="55"/>
        <v>1</v>
      </c>
      <c r="AO102" s="262"/>
      <c r="AP102" s="262"/>
      <c r="AQ102" s="267">
        <v>0.19176000000000001</v>
      </c>
      <c r="AR102" s="262"/>
      <c r="AS102" s="266">
        <f t="shared" si="56"/>
        <v>2147.712</v>
      </c>
      <c r="AT102" s="264">
        <f t="shared" si="57"/>
        <v>0</v>
      </c>
      <c r="AU102" s="262"/>
      <c r="AV102" s="262"/>
      <c r="AW102" s="265">
        <v>0.15040000000000001</v>
      </c>
      <c r="AX102" s="164" t="s">
        <v>2395</v>
      </c>
      <c r="AY102" s="266">
        <v>2147.712</v>
      </c>
      <c r="AZ102" s="266">
        <f t="shared" si="58"/>
        <v>1684.48</v>
      </c>
      <c r="BA102" s="264">
        <f t="shared" si="59"/>
        <v>-463.23199999999997</v>
      </c>
      <c r="BB102" s="262"/>
      <c r="BC102" s="262"/>
      <c r="BD102" s="265">
        <f ca="1">IFERROR(INDEX(Algorithms!$G:$G,MATCH($C102&amp;"_Therm Saved per Unit",Algorithms!$A:$A,0)),0)</f>
        <v>0.15040000000000001</v>
      </c>
      <c r="BE102" s="164" t="str">
        <f ca="1">IFERROR(INDEX('v12 Revisions'!$P$29:$P$186, MATCH('Measure-Level Adj Gas'!$L102, 'v12 Revisions'!$D$29:$D$186,0)),"")</f>
        <v>Updated HDD from 5113 to 4798 and shell adjustment factor from 0.72 to 0.76.</v>
      </c>
      <c r="BF102" s="266">
        <f t="shared" ca="1" si="60"/>
        <v>1684.48</v>
      </c>
      <c r="BG102" s="264">
        <f t="shared" ca="1" si="61"/>
        <v>-463.23199999999997</v>
      </c>
      <c r="BH102" s="262"/>
      <c r="BI102" s="262"/>
      <c r="BJ102" s="265">
        <f ca="1">IFERROR(INDEX(Algorithms!$G:$G,MATCH($C102&amp;"_Therm Saved per Unit",Algorithms!$A:$A,0)),0)</f>
        <v>0.15040000000000001</v>
      </c>
      <c r="BK102" s="164"/>
      <c r="BL102" s="266">
        <f t="shared" ca="1" si="62"/>
        <v>1684.48</v>
      </c>
      <c r="BM102" s="264">
        <f t="shared" ca="1" si="63"/>
        <v>-463.23199999999997</v>
      </c>
      <c r="BN102" s="266">
        <f t="shared" si="64"/>
        <v>2147.712</v>
      </c>
      <c r="BO102" s="266">
        <f t="shared" si="65"/>
        <v>1684.48</v>
      </c>
      <c r="BP102" s="266">
        <f t="shared" ca="1" si="66"/>
        <v>1684.48</v>
      </c>
      <c r="BQ102" s="266">
        <f t="shared" ca="1" si="67"/>
        <v>1684.48</v>
      </c>
      <c r="BR102" s="268">
        <f t="shared" ca="1" si="68"/>
        <v>7201.152</v>
      </c>
      <c r="BS102" s="262" t="s">
        <v>99</v>
      </c>
      <c r="BT102" s="277"/>
      <c r="BW102" s="266">
        <f t="shared" si="69"/>
        <v>2147.712</v>
      </c>
      <c r="BX102" s="266">
        <f t="shared" si="70"/>
        <v>2147.712</v>
      </c>
      <c r="BY102" s="266">
        <f t="shared" si="71"/>
        <v>2147.712</v>
      </c>
      <c r="BZ102" s="266">
        <f t="shared" si="72"/>
        <v>2147.712</v>
      </c>
      <c r="CA102" s="266">
        <f ca="1">N102*IFERROR(INDEX(Algorithms!$G:$G,MATCH($C102&amp;"_Therm Saved per Unit- MLA",Algorithms!$A:$A,0)),0)*X102</f>
        <v>0</v>
      </c>
      <c r="CB102" s="266">
        <f ca="1">O102*IFERROR(INDEX(Algorithms!$G:$G,MATCH($C102&amp;"_Therm Saved per Unit- MLA",Algorithms!$A:$A,0)),0)*Y102</f>
        <v>0</v>
      </c>
      <c r="CC102" s="266">
        <f ca="1">P102*IFERROR(INDEX(Algorithms!$G:$G,MATCH($C102&amp;"_Therm Saved per Unit- MLA",Algorithms!$A:$A,0)),0)*Z102</f>
        <v>0</v>
      </c>
      <c r="CD102" s="266">
        <f ca="1">Q102*IFERROR(INDEX(Algorithms!$G:$G,MATCH($C102&amp;"_Therm Saved per Unit- MLA",Algorithms!$A:$A,0)),0)*AA102</f>
        <v>0</v>
      </c>
      <c r="CE102" s="266">
        <f ca="1">IFERROR(INDEX(Algorithms!$G:$G,MATCH($C102&amp;"_Lifetime (years)",Algorithms!$A:$A,0)),0)</f>
        <v>20</v>
      </c>
      <c r="CF102" s="266">
        <f ca="1">IFERROR(INDEX(Algorithms!$G:$G,MATCH($C102&amp;"_Lifetime (years) - Remaining Years",Algorithms!$A:$A,0)),0)</f>
        <v>0</v>
      </c>
      <c r="CG102" s="266">
        <f t="shared" ca="1" si="73"/>
        <v>42954.239999999998</v>
      </c>
      <c r="CH102" s="266">
        <f t="shared" ca="1" si="74"/>
        <v>42954.239999999998</v>
      </c>
      <c r="CI102" s="266">
        <f t="shared" ca="1" si="75"/>
        <v>42954.239999999998</v>
      </c>
      <c r="CJ102" s="266">
        <f t="shared" ca="1" si="76"/>
        <v>42954.239999999998</v>
      </c>
      <c r="CK102" s="266">
        <f t="shared" si="77"/>
        <v>2147.712</v>
      </c>
      <c r="CL102" s="266">
        <f t="shared" si="78"/>
        <v>1684.48</v>
      </c>
      <c r="CM102" s="266">
        <f t="shared" ca="1" si="79"/>
        <v>1684.48</v>
      </c>
      <c r="CN102" s="266">
        <f t="shared" ca="1" si="80"/>
        <v>1684.48</v>
      </c>
      <c r="CO102" s="266">
        <f ca="1">N102*IFERROR(INDEX(Algorithms!$G:$G,MATCH($C102&amp;"_Therm Saved per Unit- MLA",Algorithms!$A:$A,0)),0)*X102</f>
        <v>0</v>
      </c>
      <c r="CP102" s="266">
        <f ca="1">O102*IFERROR(INDEX(Algorithms!$G:$G,MATCH($C102&amp;"_Therm Saved per Unit- MLA",Algorithms!$A:$A,0)),0)*Y102</f>
        <v>0</v>
      </c>
      <c r="CQ102" s="266">
        <f ca="1">P102*IFERROR(INDEX(Algorithms!$G:$G,MATCH($C102&amp;"_Therm Saved per Unit- MLA",Algorithms!$A:$A,0)),0)*Z102</f>
        <v>0</v>
      </c>
      <c r="CR102" s="266">
        <f ca="1">Q102*IFERROR(INDEX(Algorithms!$G:$G,MATCH($C102&amp;"_Therm Saved per Unit- MLA",Algorithms!$A:$A,0)),0)*AA102</f>
        <v>0</v>
      </c>
      <c r="CS102" s="266">
        <f ca="1">IFERROR(INDEX(Algorithms!$G:$G,MATCH($C102&amp;"_Lifetime (years)",Algorithms!$A:$A,0)),0)</f>
        <v>20</v>
      </c>
      <c r="CT102" s="266">
        <f ca="1">IFERROR(INDEX(Algorithms!$G:$G,MATCH($C102&amp;"_Lifetime (years) - Remaining Years",Algorithms!$A:$A,0)),0)</f>
        <v>0</v>
      </c>
      <c r="CU102" s="266">
        <f t="shared" ca="1" si="81"/>
        <v>42954.239999999998</v>
      </c>
      <c r="CV102" s="266">
        <f t="shared" ca="1" si="82"/>
        <v>33689.599999999999</v>
      </c>
      <c r="CW102" s="266">
        <f t="shared" ca="1" si="83"/>
        <v>33689.599999999999</v>
      </c>
      <c r="CX102" s="266">
        <f t="shared" ca="1" si="84"/>
        <v>33689.599999999999</v>
      </c>
    </row>
    <row r="103" spans="2:102" s="47" customFormat="1" ht="18" customHeight="1" x14ac:dyDescent="0.25">
      <c r="B103" t="str">
        <f t="shared" si="85"/>
        <v>NSG_Business_Small/Mid-Size Business_Custom_C&amp;I Custom_0_CI</v>
      </c>
      <c r="C103" s="47" t="str">
        <f t="shared" si="46"/>
        <v>C&amp;I Custom_0_CI</v>
      </c>
      <c r="D103" s="270" t="s">
        <v>1787</v>
      </c>
      <c r="E103" s="270" t="s">
        <v>3</v>
      </c>
      <c r="F103" s="270" t="s">
        <v>1432</v>
      </c>
      <c r="G103" s="270" t="s">
        <v>5</v>
      </c>
      <c r="H103" s="270" t="s">
        <v>1285</v>
      </c>
      <c r="I103" s="270">
        <v>0</v>
      </c>
      <c r="J103" s="270" t="s">
        <v>1159</v>
      </c>
      <c r="K103" s="263">
        <v>0</v>
      </c>
      <c r="L103" s="263">
        <f ca="1">IFERROR(INDEX(Algorithms!J:J,MATCH($C103&amp;"_Therm Saved per Unit",Algorithms!$A:$A,0)),"n/a")</f>
        <v>0</v>
      </c>
      <c r="M103" s="263" t="str">
        <f>IFERROR(INDEX('Measure Level Detail'!$N:$N,MATCH($B103,'Measure Level Detail'!$B:$B,0)),0)</f>
        <v>therm</v>
      </c>
      <c r="N103" s="271">
        <f>IFERROR(INDEX('Measure Level Detail'!$P:$P,MATCH($B103&amp;"_"&amp;N$3,'Measure Level Detail'!$C:$C,0)),0)</f>
        <v>10784</v>
      </c>
      <c r="O103" s="271">
        <f>IFERROR(INDEX('Measure Level Detail'!$P:$P,MATCH($B103&amp;"_"&amp;O$3,'Measure Level Detail'!$C:$C,0)),0)</f>
        <v>10784</v>
      </c>
      <c r="P103" s="271">
        <f>IFERROR(INDEX('Measure Level Detail'!$P:$P,MATCH($B103&amp;"_"&amp;P$3,'Measure Level Detail'!$C:$C,0)),0)</f>
        <v>10784</v>
      </c>
      <c r="Q103" s="271">
        <f>IFERROR(INDEX('Measure Level Detail'!$P:$P,MATCH($B103&amp;"_"&amp;Q$3,'Measure Level Detail'!$C:$C,0)),0)</f>
        <v>10784</v>
      </c>
      <c r="R103" s="263">
        <f ca="1">IFERROR(INDEX(Algorithms!K:K,MATCH($C103&amp;"_Therm Saved per Unit",Algorithms!$A:$A,0)),"n/a")</f>
        <v>0</v>
      </c>
      <c r="S103" s="262"/>
      <c r="T103" s="272">
        <v>1</v>
      </c>
      <c r="U103" s="272">
        <v>1</v>
      </c>
      <c r="V103" s="272">
        <v>1</v>
      </c>
      <c r="W103" s="272">
        <v>1</v>
      </c>
      <c r="X103" s="276">
        <v>0.93</v>
      </c>
      <c r="Y103" s="276">
        <v>0.93</v>
      </c>
      <c r="Z103" s="276">
        <v>0.93</v>
      </c>
      <c r="AA103" s="276">
        <v>0.93</v>
      </c>
      <c r="AB103" s="266">
        <f t="shared" si="47"/>
        <v>10029.120000000001</v>
      </c>
      <c r="AC103" s="266">
        <f t="shared" si="48"/>
        <v>10029.120000000001</v>
      </c>
      <c r="AD103" s="266">
        <f t="shared" si="49"/>
        <v>10029.120000000001</v>
      </c>
      <c r="AE103" s="266">
        <f t="shared" si="50"/>
        <v>10029.120000000001</v>
      </c>
      <c r="AF103" s="266">
        <f t="shared" si="51"/>
        <v>40116.480000000003</v>
      </c>
      <c r="AG103" s="274">
        <v>0.93</v>
      </c>
      <c r="AH103" s="274">
        <v>0.93</v>
      </c>
      <c r="AI103" s="274">
        <v>0.93</v>
      </c>
      <c r="AJ103" s="274">
        <v>0.93</v>
      </c>
      <c r="AK103" s="274">
        <f t="shared" si="52"/>
        <v>0.93</v>
      </c>
      <c r="AL103" s="274">
        <f t="shared" si="53"/>
        <v>0.93</v>
      </c>
      <c r="AM103" s="274">
        <f t="shared" si="54"/>
        <v>0.93</v>
      </c>
      <c r="AN103" s="274">
        <f t="shared" si="55"/>
        <v>0.93</v>
      </c>
      <c r="AO103" s="262"/>
      <c r="AP103" s="262"/>
      <c r="AQ103" s="267">
        <v>1</v>
      </c>
      <c r="AR103" s="262"/>
      <c r="AS103" s="266">
        <f t="shared" si="56"/>
        <v>10029.120000000001</v>
      </c>
      <c r="AT103" s="264">
        <f t="shared" si="57"/>
        <v>0</v>
      </c>
      <c r="AU103" s="262"/>
      <c r="AV103" s="262"/>
      <c r="AW103" s="265">
        <v>1</v>
      </c>
      <c r="AX103" s="164" t="s">
        <v>1469</v>
      </c>
      <c r="AY103" s="266">
        <v>10029.120000000001</v>
      </c>
      <c r="AZ103" s="266">
        <f t="shared" si="58"/>
        <v>10029.120000000001</v>
      </c>
      <c r="BA103" s="264">
        <f t="shared" si="59"/>
        <v>0</v>
      </c>
      <c r="BB103" s="262"/>
      <c r="BC103" s="262"/>
      <c r="BD103" s="265">
        <f ca="1">IFERROR(INDEX(Algorithms!$G:$G,MATCH($C103&amp;"_Therm Saved per Unit",Algorithms!$A:$A,0)),0)</f>
        <v>1</v>
      </c>
      <c r="BE103" s="164" t="str">
        <f ca="1">IFERROR(INDEX('v12 Revisions'!$P$29:$P$186, MATCH('Measure-Level Adj Gas'!$L103, 'v12 Revisions'!$D$29:$D$186,0)),"")</f>
        <v/>
      </c>
      <c r="BF103" s="266">
        <f t="shared" ca="1" si="60"/>
        <v>10029.120000000001</v>
      </c>
      <c r="BG103" s="264">
        <f t="shared" ca="1" si="61"/>
        <v>0</v>
      </c>
      <c r="BH103" s="262"/>
      <c r="BI103" s="262"/>
      <c r="BJ103" s="265">
        <f ca="1">IFERROR(INDEX(Algorithms!$G:$G,MATCH($C103&amp;"_Therm Saved per Unit",Algorithms!$A:$A,0)),0)</f>
        <v>1</v>
      </c>
      <c r="BK103" s="164"/>
      <c r="BL103" s="266">
        <f t="shared" ca="1" si="62"/>
        <v>10029.120000000001</v>
      </c>
      <c r="BM103" s="264">
        <f t="shared" ca="1" si="63"/>
        <v>0</v>
      </c>
      <c r="BN103" s="266">
        <f t="shared" si="64"/>
        <v>10029.120000000001</v>
      </c>
      <c r="BO103" s="266">
        <f t="shared" si="65"/>
        <v>10029.120000000001</v>
      </c>
      <c r="BP103" s="266">
        <f t="shared" si="66"/>
        <v>10029.120000000001</v>
      </c>
      <c r="BQ103" s="266">
        <f t="shared" si="67"/>
        <v>10029.120000000001</v>
      </c>
      <c r="BR103" s="268">
        <f t="shared" si="68"/>
        <v>40116.480000000003</v>
      </c>
      <c r="BS103" s="262" t="s">
        <v>99</v>
      </c>
      <c r="BT103" s="277"/>
      <c r="BW103" s="266">
        <f t="shared" si="69"/>
        <v>10029.120000000001</v>
      </c>
      <c r="BX103" s="266">
        <f t="shared" si="70"/>
        <v>10029.120000000001</v>
      </c>
      <c r="BY103" s="266">
        <f t="shared" si="71"/>
        <v>10029.120000000001</v>
      </c>
      <c r="BZ103" s="266">
        <f t="shared" si="72"/>
        <v>10029.120000000001</v>
      </c>
      <c r="CA103" s="266">
        <f ca="1">N103*IFERROR(INDEX(Algorithms!$G:$G,MATCH($C103&amp;"_Therm Saved per Unit- MLA",Algorithms!$A:$A,0)),0)*X103</f>
        <v>0</v>
      </c>
      <c r="CB103" s="266">
        <f ca="1">O103*IFERROR(INDEX(Algorithms!$G:$G,MATCH($C103&amp;"_Therm Saved per Unit- MLA",Algorithms!$A:$A,0)),0)*Y103</f>
        <v>0</v>
      </c>
      <c r="CC103" s="266">
        <f ca="1">P103*IFERROR(INDEX(Algorithms!$G:$G,MATCH($C103&amp;"_Therm Saved per Unit- MLA",Algorithms!$A:$A,0)),0)*Z103</f>
        <v>0</v>
      </c>
      <c r="CD103" s="266">
        <f ca="1">Q103*IFERROR(INDEX(Algorithms!$G:$G,MATCH($C103&amp;"_Therm Saved per Unit- MLA",Algorithms!$A:$A,0)),0)*AA103</f>
        <v>0</v>
      </c>
      <c r="CE103" s="266">
        <f ca="1">IFERROR(INDEX(Algorithms!$G:$G,MATCH($C103&amp;"_Lifetime (years)",Algorithms!$A:$A,0)),0)</f>
        <v>15</v>
      </c>
      <c r="CF103" s="266">
        <f ca="1">IFERROR(INDEX(Algorithms!$G:$G,MATCH($C103&amp;"_Lifetime (years) - Remaining Years",Algorithms!$A:$A,0)),0)</f>
        <v>0</v>
      </c>
      <c r="CG103" s="266">
        <f t="shared" ca="1" si="73"/>
        <v>150436.80000000002</v>
      </c>
      <c r="CH103" s="266">
        <f t="shared" ca="1" si="74"/>
        <v>150436.80000000002</v>
      </c>
      <c r="CI103" s="266">
        <f t="shared" ca="1" si="75"/>
        <v>150436.80000000002</v>
      </c>
      <c r="CJ103" s="266">
        <f t="shared" ca="1" si="76"/>
        <v>150436.80000000002</v>
      </c>
      <c r="CK103" s="266">
        <f t="shared" si="77"/>
        <v>10029.120000000001</v>
      </c>
      <c r="CL103" s="266">
        <f t="shared" si="78"/>
        <v>10029.120000000001</v>
      </c>
      <c r="CM103" s="266">
        <f t="shared" ca="1" si="79"/>
        <v>10029.120000000001</v>
      </c>
      <c r="CN103" s="266">
        <f t="shared" ca="1" si="80"/>
        <v>10029.120000000001</v>
      </c>
      <c r="CO103" s="266">
        <f ca="1">N103*IFERROR(INDEX(Algorithms!$G:$G,MATCH($C103&amp;"_Therm Saved per Unit- MLA",Algorithms!$A:$A,0)),0)*X103</f>
        <v>0</v>
      </c>
      <c r="CP103" s="266">
        <f ca="1">O103*IFERROR(INDEX(Algorithms!$G:$G,MATCH($C103&amp;"_Therm Saved per Unit- MLA",Algorithms!$A:$A,0)),0)*Y103</f>
        <v>0</v>
      </c>
      <c r="CQ103" s="266">
        <f ca="1">P103*IFERROR(INDEX(Algorithms!$G:$G,MATCH($C103&amp;"_Therm Saved per Unit- MLA",Algorithms!$A:$A,0)),0)*Z103</f>
        <v>0</v>
      </c>
      <c r="CR103" s="266">
        <f ca="1">Q103*IFERROR(INDEX(Algorithms!$G:$G,MATCH($C103&amp;"_Therm Saved per Unit- MLA",Algorithms!$A:$A,0)),0)*AA103</f>
        <v>0</v>
      </c>
      <c r="CS103" s="266">
        <f ca="1">IFERROR(INDEX(Algorithms!$G:$G,MATCH($C103&amp;"_Lifetime (years)",Algorithms!$A:$A,0)),0)</f>
        <v>15</v>
      </c>
      <c r="CT103" s="266">
        <f ca="1">IFERROR(INDEX(Algorithms!$G:$G,MATCH($C103&amp;"_Lifetime (years) - Remaining Years",Algorithms!$A:$A,0)),0)</f>
        <v>0</v>
      </c>
      <c r="CU103" s="266">
        <f t="shared" ca="1" si="81"/>
        <v>150436.80000000002</v>
      </c>
      <c r="CV103" s="266">
        <f t="shared" ca="1" si="82"/>
        <v>150436.80000000002</v>
      </c>
      <c r="CW103" s="266">
        <f t="shared" ca="1" si="83"/>
        <v>150436.80000000002</v>
      </c>
      <c r="CX103" s="266">
        <f t="shared" ca="1" si="84"/>
        <v>150436.80000000002</v>
      </c>
    </row>
    <row r="104" spans="2:102" s="47" customFormat="1" ht="18" customHeight="1" x14ac:dyDescent="0.25">
      <c r="B104" t="str">
        <f t="shared" si="85"/>
        <v>NSG_Income Eligible_Multi-Family_IE Kits_Window Kit_IE Kit_IE</v>
      </c>
      <c r="C104" s="47" t="str">
        <f t="shared" si="46"/>
        <v>Window Kit_IE Kit_IE</v>
      </c>
      <c r="D104" s="270" t="s">
        <v>1787</v>
      </c>
      <c r="E104" s="270" t="s">
        <v>325</v>
      </c>
      <c r="F104" s="270" t="s">
        <v>1422</v>
      </c>
      <c r="G104" s="270" t="s">
        <v>1440</v>
      </c>
      <c r="H104" s="270" t="s">
        <v>574</v>
      </c>
      <c r="I104" s="270" t="s">
        <v>550</v>
      </c>
      <c r="J104" s="270" t="s">
        <v>551</v>
      </c>
      <c r="K104" s="263">
        <v>1</v>
      </c>
      <c r="L104" s="263" t="str">
        <f ca="1">IFERROR(INDEX(Algorithms!J:J,MATCH($C104&amp;"_Therm Saved per Unit",Algorithms!$A:$A,0)),"n/a")</f>
        <v>5.6.1</v>
      </c>
      <c r="M104" s="263" t="str">
        <f>IFERROR(INDEX('Measure Level Detail'!$N:$N,MATCH($B104,'Measure Level Detail'!$B:$B,0)),0)</f>
        <v>sqft</v>
      </c>
      <c r="N104" s="271">
        <f>IFERROR(INDEX('Measure Level Detail'!$P:$P,MATCH($B104&amp;"_"&amp;N$3,'Measure Level Detail'!$C:$C,0)),0)</f>
        <v>10500</v>
      </c>
      <c r="O104" s="271">
        <f>IFERROR(INDEX('Measure Level Detail'!$P:$P,MATCH($B104&amp;"_"&amp;O$3,'Measure Level Detail'!$C:$C,0)),0)</f>
        <v>10500</v>
      </c>
      <c r="P104" s="271">
        <f>IFERROR(INDEX('Measure Level Detail'!$P:$P,MATCH($B104&amp;"_"&amp;P$3,'Measure Level Detail'!$C:$C,0)),0)</f>
        <v>10500</v>
      </c>
      <c r="Q104" s="271">
        <f>IFERROR(INDEX('Measure Level Detail'!$P:$P,MATCH($B104&amp;"_"&amp;Q$3,'Measure Level Detail'!$C:$C,0)),0)</f>
        <v>10500</v>
      </c>
      <c r="R104" s="263" t="str">
        <f ca="1">IFERROR(INDEX(Algorithms!K:K,MATCH($C104&amp;"_Therm Saved per Unit",Algorithms!$A:$A,0)),"n/a")</f>
        <v>RS-SHL-AIRS-V13-240101</v>
      </c>
      <c r="S104" s="262"/>
      <c r="T104" s="272">
        <v>8.3447999999999994E-2</v>
      </c>
      <c r="U104" s="272">
        <v>8.3447999999999994E-2</v>
      </c>
      <c r="V104" s="272">
        <v>8.3447999999999994E-2</v>
      </c>
      <c r="W104" s="272">
        <v>8.3447999999999994E-2</v>
      </c>
      <c r="X104" s="273">
        <f>IFERROR(INDEX('Measure Level Detail'!$R:$R,MATCH($B104&amp;"_"&amp;X$3,'Measure Level Detail'!$C:$C,0)),0)</f>
        <v>1</v>
      </c>
      <c r="Y104" s="273">
        <f>IFERROR(INDEX('Measure Level Detail'!$R:$R,MATCH($B104&amp;"_"&amp;Y$3,'Measure Level Detail'!$C:$C,0)),0)</f>
        <v>1</v>
      </c>
      <c r="Z104" s="273">
        <f>IFERROR(INDEX('Measure Level Detail'!$R:$R,MATCH($B104&amp;"_"&amp;Z$3,'Measure Level Detail'!$C:$C,0)),0)</f>
        <v>1</v>
      </c>
      <c r="AA104" s="273">
        <f>IFERROR(INDEX('Measure Level Detail'!$R:$R,MATCH($B104&amp;"_"&amp;AA$3,'Measure Level Detail'!$C:$C,0)),0)</f>
        <v>1</v>
      </c>
      <c r="AB104" s="266">
        <f t="shared" si="47"/>
        <v>876.20399999999995</v>
      </c>
      <c r="AC104" s="266">
        <f t="shared" si="48"/>
        <v>876.20399999999995</v>
      </c>
      <c r="AD104" s="266">
        <f t="shared" si="49"/>
        <v>876.20399999999995</v>
      </c>
      <c r="AE104" s="266">
        <f t="shared" si="50"/>
        <v>876.20399999999995</v>
      </c>
      <c r="AF104" s="266">
        <f t="shared" si="51"/>
        <v>3504.8159999999998</v>
      </c>
      <c r="AG104" s="274">
        <v>1</v>
      </c>
      <c r="AH104" s="274">
        <v>1</v>
      </c>
      <c r="AI104" s="274">
        <v>1</v>
      </c>
      <c r="AJ104" s="274">
        <v>1</v>
      </c>
      <c r="AK104" s="274">
        <f t="shared" si="52"/>
        <v>1</v>
      </c>
      <c r="AL104" s="274">
        <f t="shared" si="53"/>
        <v>1</v>
      </c>
      <c r="AM104" s="274">
        <f t="shared" si="54"/>
        <v>1</v>
      </c>
      <c r="AN104" s="274">
        <f t="shared" si="55"/>
        <v>1</v>
      </c>
      <c r="AO104" s="262"/>
      <c r="AP104" s="262"/>
      <c r="AQ104" s="267">
        <v>8.3447999999999994E-2</v>
      </c>
      <c r="AR104" s="262"/>
      <c r="AS104" s="266">
        <f t="shared" si="56"/>
        <v>876.20399999999995</v>
      </c>
      <c r="AT104" s="264">
        <f t="shared" si="57"/>
        <v>0</v>
      </c>
      <c r="AU104" s="262"/>
      <c r="AV104" s="262"/>
      <c r="AW104" s="265">
        <v>8.3447999999999994E-2</v>
      </c>
      <c r="AX104" s="164" t="s">
        <v>2395</v>
      </c>
      <c r="AY104" s="266">
        <v>876.20399999999995</v>
      </c>
      <c r="AZ104" s="266">
        <f t="shared" si="58"/>
        <v>876.20399999999995</v>
      </c>
      <c r="BA104" s="264">
        <f t="shared" si="59"/>
        <v>0</v>
      </c>
      <c r="BB104" s="262"/>
      <c r="BC104" s="262"/>
      <c r="BD104" s="265">
        <f ca="1">IFERROR(INDEX(Algorithms!$G:$G,MATCH($C104&amp;"_Therm Saved per Unit",Algorithms!$A:$A,0)),0)</f>
        <v>8.3447999999999994E-2</v>
      </c>
      <c r="BE104" s="164" t="str">
        <f ca="1">IFERROR(INDEX('v12 Revisions'!$P$29:$P$186, MATCH('Measure-Level Adj Gas'!$L104, 'v12 Revisions'!$D$29:$D$186,0)),"")</f>
        <v>Updated HDD from 5113 to 4798 and shell adjustment factor from 0.72 to 0.76.</v>
      </c>
      <c r="BF104" s="266">
        <f t="shared" ca="1" si="60"/>
        <v>876.20399999999995</v>
      </c>
      <c r="BG104" s="264">
        <f t="shared" ca="1" si="61"/>
        <v>0</v>
      </c>
      <c r="BH104" s="262"/>
      <c r="BI104" s="262"/>
      <c r="BJ104" s="265">
        <f ca="1">IFERROR(INDEX(Algorithms!$G:$G,MATCH($C104&amp;"_Therm Saved per Unit",Algorithms!$A:$A,0)),0)</f>
        <v>8.3447999999999994E-2</v>
      </c>
      <c r="BK104" s="164"/>
      <c r="BL104" s="266">
        <f t="shared" ca="1" si="62"/>
        <v>876.20399999999995</v>
      </c>
      <c r="BM104" s="264">
        <f t="shared" ca="1" si="63"/>
        <v>0</v>
      </c>
      <c r="BN104" s="266">
        <f t="shared" si="64"/>
        <v>876.20399999999995</v>
      </c>
      <c r="BO104" s="266">
        <f t="shared" si="65"/>
        <v>876.20399999999995</v>
      </c>
      <c r="BP104" s="266">
        <f t="shared" ca="1" si="66"/>
        <v>876.20399999999995</v>
      </c>
      <c r="BQ104" s="266">
        <f t="shared" ca="1" si="67"/>
        <v>876.20399999999995</v>
      </c>
      <c r="BR104" s="268">
        <f t="shared" ca="1" si="68"/>
        <v>3504.8159999999998</v>
      </c>
      <c r="BS104" s="262" t="s">
        <v>99</v>
      </c>
      <c r="BT104" s="277"/>
      <c r="BW104" s="266">
        <f t="shared" si="69"/>
        <v>876.20399999999995</v>
      </c>
      <c r="BX104" s="266">
        <f t="shared" si="70"/>
        <v>876.20399999999995</v>
      </c>
      <c r="BY104" s="266">
        <f t="shared" si="71"/>
        <v>876.20399999999995</v>
      </c>
      <c r="BZ104" s="266">
        <f t="shared" si="72"/>
        <v>876.20399999999995</v>
      </c>
      <c r="CA104" s="266">
        <f ca="1">N104*IFERROR(INDEX(Algorithms!$G:$G,MATCH($C104&amp;"_Therm Saved per Unit- MLA",Algorithms!$A:$A,0)),0)*X104</f>
        <v>0</v>
      </c>
      <c r="CB104" s="266">
        <f ca="1">O104*IFERROR(INDEX(Algorithms!$G:$G,MATCH($C104&amp;"_Therm Saved per Unit- MLA",Algorithms!$A:$A,0)),0)*Y104</f>
        <v>0</v>
      </c>
      <c r="CC104" s="266">
        <f ca="1">P104*IFERROR(INDEX(Algorithms!$G:$G,MATCH($C104&amp;"_Therm Saved per Unit- MLA",Algorithms!$A:$A,0)),0)*Z104</f>
        <v>0</v>
      </c>
      <c r="CD104" s="266">
        <f ca="1">Q104*IFERROR(INDEX(Algorithms!$G:$G,MATCH($C104&amp;"_Therm Saved per Unit- MLA",Algorithms!$A:$A,0)),0)*AA104</f>
        <v>0</v>
      </c>
      <c r="CE104" s="266">
        <f ca="1">IFERROR(INDEX(Algorithms!$G:$G,MATCH($C104&amp;"_Lifetime (years)",Algorithms!$A:$A,0)),0)</f>
        <v>10</v>
      </c>
      <c r="CF104" s="266">
        <f ca="1">IFERROR(INDEX(Algorithms!$G:$G,MATCH($C104&amp;"_Lifetime (years) - Remaining Years",Algorithms!$A:$A,0)),0)</f>
        <v>0</v>
      </c>
      <c r="CG104" s="266">
        <f t="shared" ca="1" si="73"/>
        <v>8762.0399999999991</v>
      </c>
      <c r="CH104" s="266">
        <f t="shared" ca="1" si="74"/>
        <v>8762.0399999999991</v>
      </c>
      <c r="CI104" s="266">
        <f t="shared" ca="1" si="75"/>
        <v>8762.0399999999991</v>
      </c>
      <c r="CJ104" s="266">
        <f t="shared" ca="1" si="76"/>
        <v>8762.0399999999991</v>
      </c>
      <c r="CK104" s="266">
        <f t="shared" si="77"/>
        <v>876.20399999999995</v>
      </c>
      <c r="CL104" s="266">
        <f t="shared" si="78"/>
        <v>876.20399999999995</v>
      </c>
      <c r="CM104" s="266">
        <f t="shared" ca="1" si="79"/>
        <v>876.20399999999995</v>
      </c>
      <c r="CN104" s="266">
        <f t="shared" ca="1" si="80"/>
        <v>876.20399999999995</v>
      </c>
      <c r="CO104" s="266">
        <f ca="1">N104*IFERROR(INDEX(Algorithms!$G:$G,MATCH($C104&amp;"_Therm Saved per Unit- MLA",Algorithms!$A:$A,0)),0)*X104</f>
        <v>0</v>
      </c>
      <c r="CP104" s="266">
        <f ca="1">O104*IFERROR(INDEX(Algorithms!$G:$G,MATCH($C104&amp;"_Therm Saved per Unit- MLA",Algorithms!$A:$A,0)),0)*Y104</f>
        <v>0</v>
      </c>
      <c r="CQ104" s="266">
        <f ca="1">P104*IFERROR(INDEX(Algorithms!$G:$G,MATCH($C104&amp;"_Therm Saved per Unit- MLA",Algorithms!$A:$A,0)),0)*Z104</f>
        <v>0</v>
      </c>
      <c r="CR104" s="266">
        <f ca="1">Q104*IFERROR(INDEX(Algorithms!$G:$G,MATCH($C104&amp;"_Therm Saved per Unit- MLA",Algorithms!$A:$A,0)),0)*AA104</f>
        <v>0</v>
      </c>
      <c r="CS104" s="266">
        <f ca="1">IFERROR(INDEX(Algorithms!$G:$G,MATCH($C104&amp;"_Lifetime (years)",Algorithms!$A:$A,0)),0)</f>
        <v>10</v>
      </c>
      <c r="CT104" s="266">
        <f ca="1">IFERROR(INDEX(Algorithms!$G:$G,MATCH($C104&amp;"_Lifetime (years) - Remaining Years",Algorithms!$A:$A,0)),0)</f>
        <v>0</v>
      </c>
      <c r="CU104" s="266">
        <f t="shared" ca="1" si="81"/>
        <v>8762.0399999999991</v>
      </c>
      <c r="CV104" s="266">
        <f t="shared" ca="1" si="82"/>
        <v>8762.0399999999991</v>
      </c>
      <c r="CW104" s="266">
        <f t="shared" ca="1" si="83"/>
        <v>8762.0399999999991</v>
      </c>
      <c r="CX104" s="266">
        <f t="shared" ca="1" si="84"/>
        <v>8762.0399999999991</v>
      </c>
    </row>
    <row r="105" spans="2:102" s="47" customFormat="1" ht="18" customHeight="1" x14ac:dyDescent="0.25">
      <c r="B105" t="str">
        <f t="shared" si="85"/>
        <v>NSG_Business_Small/Mid-Size Business_Rebates_Boiler Tune Up_Space Heating_CI</v>
      </c>
      <c r="C105" s="47" t="str">
        <f t="shared" si="46"/>
        <v>Boiler Tune Up_Space Heating_CI</v>
      </c>
      <c r="D105" s="270" t="s">
        <v>1787</v>
      </c>
      <c r="E105" s="270" t="s">
        <v>3</v>
      </c>
      <c r="F105" s="270" t="s">
        <v>1432</v>
      </c>
      <c r="G105" s="270" t="s">
        <v>1429</v>
      </c>
      <c r="H105" s="270" t="s">
        <v>906</v>
      </c>
      <c r="I105" s="270" t="s">
        <v>907</v>
      </c>
      <c r="J105" s="270" t="s">
        <v>1159</v>
      </c>
      <c r="K105" s="263">
        <v>1</v>
      </c>
      <c r="L105" s="263" t="str">
        <f ca="1">IFERROR(INDEX(Algorithms!J:J,MATCH($C105&amp;"_Therm Saved per Unit",Algorithms!$A:$A,0)),"n/a")</f>
        <v>4.4.2</v>
      </c>
      <c r="M105" s="263" t="str">
        <f>IFERROR(INDEX('Measure Level Detail'!$N:$N,MATCH($B105,'Measure Level Detail'!$B:$B,0)),0)</f>
        <v>MBH</v>
      </c>
      <c r="N105" s="271">
        <f>IFERROR(INDEX('Measure Level Detail'!$P:$P,MATCH($B105&amp;"_"&amp;N$3,'Measure Level Detail'!$C:$C,0)),0)</f>
        <v>10157</v>
      </c>
      <c r="O105" s="271">
        <f>IFERROR(INDEX('Measure Level Detail'!$P:$P,MATCH($B105&amp;"_"&amp;O$3,'Measure Level Detail'!$C:$C,0)),0)</f>
        <v>10157</v>
      </c>
      <c r="P105" s="271">
        <f>IFERROR(INDEX('Measure Level Detail'!$P:$P,MATCH($B105&amp;"_"&amp;P$3,'Measure Level Detail'!$C:$C,0)),0)</f>
        <v>10157</v>
      </c>
      <c r="Q105" s="271">
        <f>IFERROR(INDEX('Measure Level Detail'!$P:$P,MATCH($B105&amp;"_"&amp;Q$3,'Measure Level Detail'!$C:$C,0)),0)</f>
        <v>10157</v>
      </c>
      <c r="R105" s="263" t="str">
        <f ca="1">IFERROR(INDEX(Algorithms!K:K,MATCH($C105&amp;"_Therm Saved per Unit",Algorithms!$A:$A,0)),"n/a")</f>
        <v>CI-HVC-BLRT-V07-210101</v>
      </c>
      <c r="S105" s="262"/>
      <c r="T105" s="272">
        <v>0.46874846625766969</v>
      </c>
      <c r="U105" s="272">
        <v>0.46874846625766969</v>
      </c>
      <c r="V105" s="272">
        <v>0.46874846625766969</v>
      </c>
      <c r="W105" s="272">
        <v>0.46874846625766969</v>
      </c>
      <c r="X105" s="276">
        <v>0.93</v>
      </c>
      <c r="Y105" s="276">
        <v>0.93</v>
      </c>
      <c r="Z105" s="276">
        <v>0.93</v>
      </c>
      <c r="AA105" s="276">
        <v>0.93</v>
      </c>
      <c r="AB105" s="266">
        <f t="shared" si="47"/>
        <v>4427.8026997546112</v>
      </c>
      <c r="AC105" s="266">
        <f t="shared" si="48"/>
        <v>4427.8026997546112</v>
      </c>
      <c r="AD105" s="266">
        <f t="shared" si="49"/>
        <v>4427.8026997546112</v>
      </c>
      <c r="AE105" s="266">
        <f t="shared" si="50"/>
        <v>4427.8026997546112</v>
      </c>
      <c r="AF105" s="266">
        <f t="shared" si="51"/>
        <v>17711.210799018445</v>
      </c>
      <c r="AG105" s="274">
        <v>0.93</v>
      </c>
      <c r="AH105" s="274">
        <v>0.93</v>
      </c>
      <c r="AI105" s="274">
        <v>0.93</v>
      </c>
      <c r="AJ105" s="274">
        <v>0.93</v>
      </c>
      <c r="AK105" s="274">
        <f t="shared" si="52"/>
        <v>0.93</v>
      </c>
      <c r="AL105" s="274">
        <f t="shared" si="53"/>
        <v>0.93</v>
      </c>
      <c r="AM105" s="274">
        <f t="shared" si="54"/>
        <v>0.93</v>
      </c>
      <c r="AN105" s="274">
        <f t="shared" si="55"/>
        <v>0.93</v>
      </c>
      <c r="AO105" s="262"/>
      <c r="AP105" s="262"/>
      <c r="AQ105" s="267">
        <v>0.46874846625766969</v>
      </c>
      <c r="AR105" s="262"/>
      <c r="AS105" s="266">
        <f t="shared" si="56"/>
        <v>4427.8026997546112</v>
      </c>
      <c r="AT105" s="264">
        <f t="shared" si="57"/>
        <v>0</v>
      </c>
      <c r="AU105" s="262"/>
      <c r="AV105" s="262"/>
      <c r="AW105" s="265">
        <v>0.46874846625766969</v>
      </c>
      <c r="AX105" s="164" t="s">
        <v>1469</v>
      </c>
      <c r="AY105" s="266">
        <v>4427.8026997546112</v>
      </c>
      <c r="AZ105" s="266">
        <f t="shared" si="58"/>
        <v>4427.8026997546112</v>
      </c>
      <c r="BA105" s="264">
        <f t="shared" si="59"/>
        <v>0</v>
      </c>
      <c r="BB105" s="262"/>
      <c r="BC105" s="262"/>
      <c r="BD105" s="265">
        <f ca="1">IFERROR(INDEX(Algorithms!$G:$G,MATCH($C105&amp;"_Therm Saved per Unit",Algorithms!$A:$A,0)),0)</f>
        <v>0.46874846625766969</v>
      </c>
      <c r="BE105" s="164" t="str">
        <f ca="1">IFERROR(INDEX('v12 Revisions'!$P$29:$P$186, MATCH('Measure-Level Adj Gas'!$L105, 'v12 Revisions'!$D$29:$D$186,0)),"")</f>
        <v/>
      </c>
      <c r="BF105" s="266">
        <f t="shared" ca="1" si="60"/>
        <v>4427.8026997546112</v>
      </c>
      <c r="BG105" s="264">
        <f t="shared" ca="1" si="61"/>
        <v>0</v>
      </c>
      <c r="BH105" s="262"/>
      <c r="BI105" s="262"/>
      <c r="BJ105" s="265">
        <f ca="1">IFERROR(INDEX(Algorithms!$G:$G,MATCH($C105&amp;"_Therm Saved per Unit",Algorithms!$A:$A,0)),0)</f>
        <v>0.46874846625766969</v>
      </c>
      <c r="BK105" s="164"/>
      <c r="BL105" s="266">
        <f t="shared" ca="1" si="62"/>
        <v>4427.8026997546112</v>
      </c>
      <c r="BM105" s="264">
        <f t="shared" ca="1" si="63"/>
        <v>0</v>
      </c>
      <c r="BN105" s="266">
        <f t="shared" si="64"/>
        <v>4427.8026997546112</v>
      </c>
      <c r="BO105" s="266">
        <f t="shared" si="65"/>
        <v>4427.8026997546112</v>
      </c>
      <c r="BP105" s="266">
        <f t="shared" ca="1" si="66"/>
        <v>4427.8026997546112</v>
      </c>
      <c r="BQ105" s="266">
        <f t="shared" ca="1" si="67"/>
        <v>4427.8026997546112</v>
      </c>
      <c r="BR105" s="268">
        <f t="shared" ca="1" si="68"/>
        <v>17711.210799018445</v>
      </c>
      <c r="BS105" s="262" t="s">
        <v>99</v>
      </c>
      <c r="BT105" s="277"/>
      <c r="BW105" s="266">
        <f t="shared" si="69"/>
        <v>4427.8026997546112</v>
      </c>
      <c r="BX105" s="266">
        <f t="shared" si="70"/>
        <v>4427.8026997546112</v>
      </c>
      <c r="BY105" s="266">
        <f t="shared" si="71"/>
        <v>4427.8026997546112</v>
      </c>
      <c r="BZ105" s="266">
        <f t="shared" si="72"/>
        <v>4427.8026997546112</v>
      </c>
      <c r="CA105" s="266">
        <f ca="1">N105*IFERROR(INDEX(Algorithms!$G:$G,MATCH($C105&amp;"_Therm Saved per Unit- MLA",Algorithms!$A:$A,0)),0)*X105</f>
        <v>0</v>
      </c>
      <c r="CB105" s="266">
        <f ca="1">O105*IFERROR(INDEX(Algorithms!$G:$G,MATCH($C105&amp;"_Therm Saved per Unit- MLA",Algorithms!$A:$A,0)),0)*Y105</f>
        <v>0</v>
      </c>
      <c r="CC105" s="266">
        <f ca="1">P105*IFERROR(INDEX(Algorithms!$G:$G,MATCH($C105&amp;"_Therm Saved per Unit- MLA",Algorithms!$A:$A,0)),0)*Z105</f>
        <v>0</v>
      </c>
      <c r="CD105" s="266">
        <f ca="1">Q105*IFERROR(INDEX(Algorithms!$G:$G,MATCH($C105&amp;"_Therm Saved per Unit- MLA",Algorithms!$A:$A,0)),0)*AA105</f>
        <v>0</v>
      </c>
      <c r="CE105" s="266">
        <f ca="1">IFERROR(INDEX(Algorithms!$G:$G,MATCH($C105&amp;"_Lifetime (years)",Algorithms!$A:$A,0)),0)</f>
        <v>3</v>
      </c>
      <c r="CF105" s="266">
        <f ca="1">IFERROR(INDEX(Algorithms!$G:$G,MATCH($C105&amp;"_Lifetime (years) - Remaining Years",Algorithms!$A:$A,0)),0)</f>
        <v>0</v>
      </c>
      <c r="CG105" s="266">
        <f t="shared" ca="1" si="73"/>
        <v>13283.408099263834</v>
      </c>
      <c r="CH105" s="266">
        <f t="shared" ca="1" si="74"/>
        <v>13283.408099263834</v>
      </c>
      <c r="CI105" s="266">
        <f t="shared" ca="1" si="75"/>
        <v>13283.408099263834</v>
      </c>
      <c r="CJ105" s="266">
        <f t="shared" ca="1" si="76"/>
        <v>13283.408099263834</v>
      </c>
      <c r="CK105" s="266">
        <f t="shared" si="77"/>
        <v>4427.8026997546112</v>
      </c>
      <c r="CL105" s="266">
        <f t="shared" si="78"/>
        <v>4427.8026997546112</v>
      </c>
      <c r="CM105" s="266">
        <f t="shared" ca="1" si="79"/>
        <v>4427.8026997546112</v>
      </c>
      <c r="CN105" s="266">
        <f t="shared" ca="1" si="80"/>
        <v>4427.8026997546112</v>
      </c>
      <c r="CO105" s="266">
        <f ca="1">N105*IFERROR(INDEX(Algorithms!$G:$G,MATCH($C105&amp;"_Therm Saved per Unit- MLA",Algorithms!$A:$A,0)),0)*X105</f>
        <v>0</v>
      </c>
      <c r="CP105" s="266">
        <f ca="1">O105*IFERROR(INDEX(Algorithms!$G:$G,MATCH($C105&amp;"_Therm Saved per Unit- MLA",Algorithms!$A:$A,0)),0)*Y105</f>
        <v>0</v>
      </c>
      <c r="CQ105" s="266">
        <f ca="1">P105*IFERROR(INDEX(Algorithms!$G:$G,MATCH($C105&amp;"_Therm Saved per Unit- MLA",Algorithms!$A:$A,0)),0)*Z105</f>
        <v>0</v>
      </c>
      <c r="CR105" s="266">
        <f ca="1">Q105*IFERROR(INDEX(Algorithms!$G:$G,MATCH($C105&amp;"_Therm Saved per Unit- MLA",Algorithms!$A:$A,0)),0)*AA105</f>
        <v>0</v>
      </c>
      <c r="CS105" s="266">
        <f ca="1">IFERROR(INDEX(Algorithms!$G:$G,MATCH($C105&amp;"_Lifetime (years)",Algorithms!$A:$A,0)),0)</f>
        <v>3</v>
      </c>
      <c r="CT105" s="266">
        <f ca="1">IFERROR(INDEX(Algorithms!$G:$G,MATCH($C105&amp;"_Lifetime (years) - Remaining Years",Algorithms!$A:$A,0)),0)</f>
        <v>0</v>
      </c>
      <c r="CU105" s="266">
        <f t="shared" ca="1" si="81"/>
        <v>13283.408099263834</v>
      </c>
      <c r="CV105" s="266">
        <f t="shared" ca="1" si="82"/>
        <v>13283.408099263834</v>
      </c>
      <c r="CW105" s="266">
        <f t="shared" ca="1" si="83"/>
        <v>13283.408099263834</v>
      </c>
      <c r="CX105" s="266">
        <f t="shared" ca="1" si="84"/>
        <v>13283.408099263834</v>
      </c>
    </row>
    <row r="106" spans="2:102" s="47" customFormat="1" ht="18" customHeight="1" x14ac:dyDescent="0.25">
      <c r="B106" t="str">
        <f t="shared" si="85"/>
        <v>NSG_Residential_Multi-Family_Partner Trade Ally Rebate_Boiler Tune Up_Process_MF/CI</v>
      </c>
      <c r="C106" s="47" t="str">
        <f t="shared" si="46"/>
        <v>Boiler Tune Up_Process_MF/CI</v>
      </c>
      <c r="D106" s="270" t="s">
        <v>1787</v>
      </c>
      <c r="E106" s="270" t="s">
        <v>2</v>
      </c>
      <c r="F106" s="270" t="s">
        <v>1422</v>
      </c>
      <c r="G106" s="270" t="s">
        <v>1799</v>
      </c>
      <c r="H106" s="270" t="s">
        <v>906</v>
      </c>
      <c r="I106" s="270" t="s">
        <v>924</v>
      </c>
      <c r="J106" s="270" t="s">
        <v>587</v>
      </c>
      <c r="K106" s="263">
        <v>1</v>
      </c>
      <c r="L106" s="263" t="str">
        <f ca="1">IFERROR(INDEX(Algorithms!J:J,MATCH($C106&amp;"_Therm Saved per Unit",Algorithms!$A:$A,0)),"n/a")</f>
        <v>4.4.3</v>
      </c>
      <c r="M106" s="263" t="str">
        <f>IFERROR(INDEX('Measure Level Detail'!$N:$N,MATCH($B106,'Measure Level Detail'!$B:$B,0)),0)</f>
        <v>MBH</v>
      </c>
      <c r="N106" s="271">
        <f>IFERROR(INDEX('Measure Level Detail'!$P:$P,MATCH($B106&amp;"_"&amp;N$3,'Measure Level Detail'!$C:$C,0)),0)</f>
        <v>10000</v>
      </c>
      <c r="O106" s="271">
        <f>IFERROR(INDEX('Measure Level Detail'!$P:$P,MATCH($B106&amp;"_"&amp;O$3,'Measure Level Detail'!$C:$C,0)),0)</f>
        <v>10000</v>
      </c>
      <c r="P106" s="271">
        <f>IFERROR(INDEX('Measure Level Detail'!$P:$P,MATCH($B106&amp;"_"&amp;P$3,'Measure Level Detail'!$C:$C,0)),0)</f>
        <v>10000</v>
      </c>
      <c r="Q106" s="271">
        <f>IFERROR(INDEX('Measure Level Detail'!$P:$P,MATCH($B106&amp;"_"&amp;Q$3,'Measure Level Detail'!$C:$C,0)),0)</f>
        <v>10000</v>
      </c>
      <c r="R106" s="263" t="str">
        <f ca="1">IFERROR(INDEX(Algorithms!K:K,MATCH($C106&amp;"_Therm Saved per Unit",Algorithms!$A:$A,0)),"n/a")</f>
        <v>CI-HVC-PBTU-V07-230101</v>
      </c>
      <c r="S106" s="262"/>
      <c r="T106" s="272">
        <v>1.0227353753026578</v>
      </c>
      <c r="U106" s="272">
        <v>1.0227353753026578</v>
      </c>
      <c r="V106" s="272">
        <v>1.0227353753026578</v>
      </c>
      <c r="W106" s="272">
        <v>1.0227353753026578</v>
      </c>
      <c r="X106" s="273">
        <f>IFERROR(INDEX('Measure Level Detail'!$R:$R,MATCH($B106&amp;"_"&amp;X$3,'Measure Level Detail'!$C:$C,0)),0)</f>
        <v>0.87</v>
      </c>
      <c r="Y106" s="273">
        <f>IFERROR(INDEX('Measure Level Detail'!$R:$R,MATCH($B106&amp;"_"&amp;Y$3,'Measure Level Detail'!$C:$C,0)),0)</f>
        <v>0.87</v>
      </c>
      <c r="Z106" s="273">
        <f>IFERROR(INDEX('Measure Level Detail'!$R:$R,MATCH($B106&amp;"_"&amp;Z$3,'Measure Level Detail'!$C:$C,0)),0)</f>
        <v>0.87</v>
      </c>
      <c r="AA106" s="273">
        <f>IFERROR(INDEX('Measure Level Detail'!$R:$R,MATCH($B106&amp;"_"&amp;AA$3,'Measure Level Detail'!$C:$C,0)),0)</f>
        <v>0.87</v>
      </c>
      <c r="AB106" s="266">
        <f t="shared" si="47"/>
        <v>8897.7977651331239</v>
      </c>
      <c r="AC106" s="266">
        <f t="shared" si="48"/>
        <v>8897.7977651331239</v>
      </c>
      <c r="AD106" s="266">
        <f t="shared" si="49"/>
        <v>8897.7977651331239</v>
      </c>
      <c r="AE106" s="266">
        <f t="shared" si="50"/>
        <v>8897.7977651331239</v>
      </c>
      <c r="AF106" s="266">
        <f t="shared" si="51"/>
        <v>35591.191060532496</v>
      </c>
      <c r="AG106" s="274">
        <v>0.87</v>
      </c>
      <c r="AH106" s="274">
        <v>0.87</v>
      </c>
      <c r="AI106" s="710">
        <v>0.88</v>
      </c>
      <c r="AJ106" s="710">
        <v>0.88</v>
      </c>
      <c r="AK106" s="274">
        <f t="shared" si="52"/>
        <v>0.87</v>
      </c>
      <c r="AL106" s="274">
        <f t="shared" si="53"/>
        <v>0.87</v>
      </c>
      <c r="AM106" s="274">
        <f t="shared" si="54"/>
        <v>0.87</v>
      </c>
      <c r="AN106" s="274">
        <f t="shared" si="55"/>
        <v>0.87</v>
      </c>
      <c r="AO106" s="262"/>
      <c r="AP106" s="262"/>
      <c r="AQ106" s="267">
        <v>1.0227353753026578</v>
      </c>
      <c r="AR106" s="262"/>
      <c r="AS106" s="266">
        <f t="shared" si="56"/>
        <v>8897.7977651331239</v>
      </c>
      <c r="AT106" s="264">
        <f t="shared" si="57"/>
        <v>0</v>
      </c>
      <c r="AU106" s="262"/>
      <c r="AV106" s="262"/>
      <c r="AW106" s="265">
        <v>1.0227353753026578</v>
      </c>
      <c r="AX106" s="164" t="s">
        <v>2396</v>
      </c>
      <c r="AY106" s="266">
        <v>8897.7977651331239</v>
      </c>
      <c r="AZ106" s="266">
        <f t="shared" si="58"/>
        <v>8897.7977651331239</v>
      </c>
      <c r="BA106" s="264">
        <f t="shared" si="59"/>
        <v>0</v>
      </c>
      <c r="BB106" s="262"/>
      <c r="BC106" s="262"/>
      <c r="BD106" s="265">
        <f ca="1">IFERROR(INDEX(Algorithms!$G:$G,MATCH($C106&amp;"_Therm Saved per Unit",Algorithms!$A:$A,0)),0)</f>
        <v>1.0227353753026578</v>
      </c>
      <c r="BE106" s="164" t="str">
        <f ca="1">IFERROR(INDEX('v12 Revisions'!$P$29:$P$186, MATCH('Measure-Level Adj Gas'!$L106, 'v12 Revisions'!$D$29:$D$186,0)),"")</f>
        <v/>
      </c>
      <c r="BF106" s="266">
        <f t="shared" ca="1" si="60"/>
        <v>8897.7977651331239</v>
      </c>
      <c r="BG106" s="264">
        <f t="shared" ca="1" si="61"/>
        <v>0</v>
      </c>
      <c r="BH106" s="262"/>
      <c r="BI106" s="262"/>
      <c r="BJ106" s="265">
        <f ca="1">IFERROR(INDEX(Algorithms!$G:$G,MATCH($C106&amp;"_Therm Saved per Unit",Algorithms!$A:$A,0)),0)</f>
        <v>1.0227353753026578</v>
      </c>
      <c r="BK106" s="164"/>
      <c r="BL106" s="266">
        <f t="shared" ca="1" si="62"/>
        <v>8897.7977651331239</v>
      </c>
      <c r="BM106" s="264">
        <f t="shared" ca="1" si="63"/>
        <v>0</v>
      </c>
      <c r="BN106" s="266">
        <f t="shared" si="64"/>
        <v>8897.7977651331239</v>
      </c>
      <c r="BO106" s="266">
        <f t="shared" si="65"/>
        <v>8897.7977651331239</v>
      </c>
      <c r="BP106" s="266">
        <f t="shared" ca="1" si="66"/>
        <v>8897.7977651331239</v>
      </c>
      <c r="BQ106" s="266">
        <f t="shared" ca="1" si="67"/>
        <v>8897.7977651331239</v>
      </c>
      <c r="BR106" s="268">
        <f t="shared" ca="1" si="68"/>
        <v>35591.191060532496</v>
      </c>
      <c r="BS106" s="262" t="s">
        <v>99</v>
      </c>
      <c r="BT106" s="277"/>
      <c r="BW106" s="266">
        <f t="shared" si="69"/>
        <v>8897.7977651331239</v>
      </c>
      <c r="BX106" s="266">
        <f t="shared" si="70"/>
        <v>8897.7977651331239</v>
      </c>
      <c r="BY106" s="266">
        <f t="shared" si="71"/>
        <v>8897.7977651331239</v>
      </c>
      <c r="BZ106" s="266">
        <f t="shared" si="72"/>
        <v>8897.7977651331239</v>
      </c>
      <c r="CA106" s="266">
        <f ca="1">N106*IFERROR(INDEX(Algorithms!$G:$G,MATCH($C106&amp;"_Therm Saved per Unit- MLA",Algorithms!$A:$A,0)),0)*X106</f>
        <v>0</v>
      </c>
      <c r="CB106" s="266">
        <f ca="1">O106*IFERROR(INDEX(Algorithms!$G:$G,MATCH($C106&amp;"_Therm Saved per Unit- MLA",Algorithms!$A:$A,0)),0)*Y106</f>
        <v>0</v>
      </c>
      <c r="CC106" s="266">
        <f ca="1">P106*IFERROR(INDEX(Algorithms!$G:$G,MATCH($C106&amp;"_Therm Saved per Unit- MLA",Algorithms!$A:$A,0)),0)*Z106</f>
        <v>0</v>
      </c>
      <c r="CD106" s="266">
        <f ca="1">Q106*IFERROR(INDEX(Algorithms!$G:$G,MATCH($C106&amp;"_Therm Saved per Unit- MLA",Algorithms!$A:$A,0)),0)*AA106</f>
        <v>0</v>
      </c>
      <c r="CE106" s="266">
        <f ca="1">IFERROR(INDEX(Algorithms!$G:$G,MATCH($C106&amp;"_Lifetime (years)",Algorithms!$A:$A,0)),0)</f>
        <v>2</v>
      </c>
      <c r="CF106" s="266">
        <f ca="1">IFERROR(INDEX(Algorithms!$G:$G,MATCH($C106&amp;"_Lifetime (years) - Remaining Years",Algorithms!$A:$A,0)),0)</f>
        <v>0</v>
      </c>
      <c r="CG106" s="266">
        <f t="shared" ca="1" si="73"/>
        <v>17795.595530266248</v>
      </c>
      <c r="CH106" s="266">
        <f t="shared" ca="1" si="74"/>
        <v>17795.595530266248</v>
      </c>
      <c r="CI106" s="266">
        <f t="shared" ca="1" si="75"/>
        <v>17795.595530266248</v>
      </c>
      <c r="CJ106" s="266">
        <f t="shared" ca="1" si="76"/>
        <v>17795.595530266248</v>
      </c>
      <c r="CK106" s="266">
        <f t="shared" si="77"/>
        <v>8897.7977651331239</v>
      </c>
      <c r="CL106" s="266">
        <f t="shared" si="78"/>
        <v>8897.7977651331239</v>
      </c>
      <c r="CM106" s="266">
        <f t="shared" ca="1" si="79"/>
        <v>8897.7977651331239</v>
      </c>
      <c r="CN106" s="266">
        <f t="shared" ca="1" si="80"/>
        <v>8897.7977651331239</v>
      </c>
      <c r="CO106" s="266">
        <f ca="1">N106*IFERROR(INDEX(Algorithms!$G:$G,MATCH($C106&amp;"_Therm Saved per Unit- MLA",Algorithms!$A:$A,0)),0)*X106</f>
        <v>0</v>
      </c>
      <c r="CP106" s="266">
        <f ca="1">O106*IFERROR(INDEX(Algorithms!$G:$G,MATCH($C106&amp;"_Therm Saved per Unit- MLA",Algorithms!$A:$A,0)),0)*Y106</f>
        <v>0</v>
      </c>
      <c r="CQ106" s="266">
        <f ca="1">P106*IFERROR(INDEX(Algorithms!$G:$G,MATCH($C106&amp;"_Therm Saved per Unit- MLA",Algorithms!$A:$A,0)),0)*Z106</f>
        <v>0</v>
      </c>
      <c r="CR106" s="266">
        <f ca="1">Q106*IFERROR(INDEX(Algorithms!$G:$G,MATCH($C106&amp;"_Therm Saved per Unit- MLA",Algorithms!$A:$A,0)),0)*AA106</f>
        <v>0</v>
      </c>
      <c r="CS106" s="266">
        <f ca="1">IFERROR(INDEX(Algorithms!$G:$G,MATCH($C106&amp;"_Lifetime (years)",Algorithms!$A:$A,0)),0)</f>
        <v>2</v>
      </c>
      <c r="CT106" s="266">
        <f ca="1">IFERROR(INDEX(Algorithms!$G:$G,MATCH($C106&amp;"_Lifetime (years) - Remaining Years",Algorithms!$A:$A,0)),0)</f>
        <v>0</v>
      </c>
      <c r="CU106" s="266">
        <f t="shared" ca="1" si="81"/>
        <v>17795.595530266248</v>
      </c>
      <c r="CV106" s="266">
        <f t="shared" ca="1" si="82"/>
        <v>17795.595530266248</v>
      </c>
      <c r="CW106" s="266">
        <f t="shared" ca="1" si="83"/>
        <v>17795.595530266248</v>
      </c>
      <c r="CX106" s="266">
        <f t="shared" ca="1" si="84"/>
        <v>17795.595530266248</v>
      </c>
    </row>
    <row r="107" spans="2:102" s="47" customFormat="1" ht="18" customHeight="1" x14ac:dyDescent="0.25">
      <c r="B107" t="str">
        <f t="shared" si="85"/>
        <v>NSG_Business_Public Sector_Rebates_Boiler_≥88% AFUE, ≥300MBh TE_CI</v>
      </c>
      <c r="C107" s="47" t="str">
        <f t="shared" si="46"/>
        <v>Boiler_≥88% AFUE, ≥300MBh TE_CI</v>
      </c>
      <c r="D107" s="270" t="s">
        <v>1787</v>
      </c>
      <c r="E107" s="270" t="s">
        <v>3</v>
      </c>
      <c r="F107" s="270" t="s">
        <v>1430</v>
      </c>
      <c r="G107" s="270" t="s">
        <v>1429</v>
      </c>
      <c r="H107" s="270" t="s">
        <v>944</v>
      </c>
      <c r="I107" s="270" t="s">
        <v>946</v>
      </c>
      <c r="J107" s="270" t="s">
        <v>1159</v>
      </c>
      <c r="K107" s="263">
        <v>1</v>
      </c>
      <c r="L107" s="263" t="str">
        <f ca="1">IFERROR(INDEX(Algorithms!J:J,MATCH($C107&amp;"_Therm Saved per Unit",Algorithms!$A:$A,0)),"n/a")</f>
        <v>4.4.10</v>
      </c>
      <c r="M107" s="263" t="str">
        <f>IFERROR(INDEX('Measure Level Detail'!$N:$N,MATCH($B107,'Measure Level Detail'!$B:$B,0)),0)</f>
        <v>MBH</v>
      </c>
      <c r="N107" s="271">
        <f>IFERROR(INDEX('Measure Level Detail'!$P:$P,MATCH($B107&amp;"_"&amp;N$3,'Measure Level Detail'!$C:$C,0)),0)</f>
        <v>10000</v>
      </c>
      <c r="O107" s="271">
        <f>IFERROR(INDEX('Measure Level Detail'!$P:$P,MATCH($B107&amp;"_"&amp;O$3,'Measure Level Detail'!$C:$C,0)),0)</f>
        <v>10000</v>
      </c>
      <c r="P107" s="271">
        <f>IFERROR(INDEX('Measure Level Detail'!$P:$P,MATCH($B107&amp;"_"&amp;P$3,'Measure Level Detail'!$C:$C,0)),0)</f>
        <v>10000</v>
      </c>
      <c r="Q107" s="271">
        <f>IFERROR(INDEX('Measure Level Detail'!$P:$P,MATCH($B107&amp;"_"&amp;Q$3,'Measure Level Detail'!$C:$C,0)),0)</f>
        <v>10000</v>
      </c>
      <c r="R107" s="263" t="str">
        <f ca="1">IFERROR(INDEX(Algorithms!K:K,MATCH($C107&amp;"_Therm Saved per Unit",Algorithms!$A:$A,0)),"n/a")</f>
        <v>CI-HVC-BOIL-V11-240101</v>
      </c>
      <c r="S107" s="262"/>
      <c r="T107" s="272">
        <v>1.6609999999999991</v>
      </c>
      <c r="U107" s="272">
        <v>1.6609999999999991</v>
      </c>
      <c r="V107" s="272">
        <v>1.6609999999999991</v>
      </c>
      <c r="W107" s="272">
        <v>1.6609999999999991</v>
      </c>
      <c r="X107" s="276">
        <v>0.92</v>
      </c>
      <c r="Y107" s="276">
        <v>0.92</v>
      </c>
      <c r="Z107" s="276">
        <v>0.92</v>
      </c>
      <c r="AA107" s="276">
        <v>0.92</v>
      </c>
      <c r="AB107" s="266">
        <f t="shared" si="47"/>
        <v>15281.199999999993</v>
      </c>
      <c r="AC107" s="266">
        <f t="shared" si="48"/>
        <v>15281.199999999993</v>
      </c>
      <c r="AD107" s="266">
        <f t="shared" si="49"/>
        <v>15281.199999999993</v>
      </c>
      <c r="AE107" s="266">
        <f t="shared" si="50"/>
        <v>15281.199999999993</v>
      </c>
      <c r="AF107" s="266">
        <f t="shared" si="51"/>
        <v>61124.799999999974</v>
      </c>
      <c r="AG107" s="274">
        <v>0.92</v>
      </c>
      <c r="AH107" s="274">
        <v>0.92</v>
      </c>
      <c r="AI107" s="274">
        <v>0.92</v>
      </c>
      <c r="AJ107" s="274">
        <v>0.92</v>
      </c>
      <c r="AK107" s="274">
        <f t="shared" si="52"/>
        <v>0.92</v>
      </c>
      <c r="AL107" s="274">
        <f t="shared" si="53"/>
        <v>0.92</v>
      </c>
      <c r="AM107" s="274">
        <f t="shared" si="54"/>
        <v>0.92</v>
      </c>
      <c r="AN107" s="274">
        <f t="shared" si="55"/>
        <v>0.92</v>
      </c>
      <c r="AO107" s="262"/>
      <c r="AP107" s="262"/>
      <c r="AQ107" s="267">
        <v>1.6609999999999991</v>
      </c>
      <c r="AR107" s="262"/>
      <c r="AS107" s="266">
        <f t="shared" si="56"/>
        <v>15281.199999999993</v>
      </c>
      <c r="AT107" s="264">
        <f t="shared" si="57"/>
        <v>0</v>
      </c>
      <c r="AU107" s="262"/>
      <c r="AV107" s="262"/>
      <c r="AW107" s="265">
        <v>1.6609999999999991</v>
      </c>
      <c r="AX107" s="164" t="s">
        <v>1469</v>
      </c>
      <c r="AY107" s="266">
        <v>15281.199999999993</v>
      </c>
      <c r="AZ107" s="266">
        <f t="shared" si="58"/>
        <v>15281.199999999993</v>
      </c>
      <c r="BA107" s="264">
        <f t="shared" si="59"/>
        <v>0</v>
      </c>
      <c r="BB107" s="262"/>
      <c r="BC107" s="262"/>
      <c r="BD107" s="265">
        <f ca="1">IFERROR(INDEX(Algorithms!$G:$G,MATCH($C107&amp;"_Therm Saved per Unit",Algorithms!$A:$A,0)),0)</f>
        <v>0.79095238095238163</v>
      </c>
      <c r="BE107" s="164" t="str">
        <f ca="1">IFERROR(INDEX('v12 Revisions'!$P$29:$P$186, MATCH('Measure-Level Adj Gas'!$L107, 'v12 Revisions'!$D$29:$D$186,0)),"")</f>
        <v>Updated baseline and efficient boiler efficiency ratings.</v>
      </c>
      <c r="BF107" s="266">
        <f t="shared" ca="1" si="60"/>
        <v>7276.7619047619119</v>
      </c>
      <c r="BG107" s="264">
        <f t="shared" ca="1" si="61"/>
        <v>-8004.4380952380816</v>
      </c>
      <c r="BH107" s="262"/>
      <c r="BI107" s="262"/>
      <c r="BJ107" s="265">
        <f ca="1">IFERROR(INDEX(Algorithms!$G:$G,MATCH($C107&amp;"_Therm Saved per Unit",Algorithms!$A:$A,0)),0)</f>
        <v>0.79095238095238163</v>
      </c>
      <c r="BK107" s="164"/>
      <c r="BL107" s="266">
        <f t="shared" ca="1" si="62"/>
        <v>7276.7619047619119</v>
      </c>
      <c r="BM107" s="264">
        <f t="shared" ca="1" si="63"/>
        <v>-8004.4380952380816</v>
      </c>
      <c r="BN107" s="266">
        <f t="shared" si="64"/>
        <v>15281.199999999993</v>
      </c>
      <c r="BO107" s="266">
        <f t="shared" si="65"/>
        <v>15281.199999999993</v>
      </c>
      <c r="BP107" s="266">
        <f t="shared" ca="1" si="66"/>
        <v>7276.7619047619119</v>
      </c>
      <c r="BQ107" s="266">
        <f t="shared" ca="1" si="67"/>
        <v>7276.7619047619119</v>
      </c>
      <c r="BR107" s="268">
        <f t="shared" ca="1" si="68"/>
        <v>45115.923809523811</v>
      </c>
      <c r="BS107" s="262" t="s">
        <v>99</v>
      </c>
      <c r="BT107" s="277"/>
      <c r="BW107" s="266">
        <f t="shared" si="69"/>
        <v>15281.199999999993</v>
      </c>
      <c r="BX107" s="266">
        <f t="shared" si="70"/>
        <v>15281.199999999993</v>
      </c>
      <c r="BY107" s="266">
        <f t="shared" si="71"/>
        <v>15281.199999999993</v>
      </c>
      <c r="BZ107" s="266">
        <f t="shared" si="72"/>
        <v>15281.199999999993</v>
      </c>
      <c r="CA107" s="266">
        <f ca="1">N107*IFERROR(INDEX(Algorithms!$G:$G,MATCH($C107&amp;"_Therm Saved per Unit- MLA",Algorithms!$A:$A,0)),0)*X107</f>
        <v>0</v>
      </c>
      <c r="CB107" s="266">
        <f ca="1">O107*IFERROR(INDEX(Algorithms!$G:$G,MATCH($C107&amp;"_Therm Saved per Unit- MLA",Algorithms!$A:$A,0)),0)*Y107</f>
        <v>0</v>
      </c>
      <c r="CC107" s="266">
        <f ca="1">P107*IFERROR(INDEX(Algorithms!$G:$G,MATCH($C107&amp;"_Therm Saved per Unit- MLA",Algorithms!$A:$A,0)),0)*Z107</f>
        <v>0</v>
      </c>
      <c r="CD107" s="266">
        <f ca="1">Q107*IFERROR(INDEX(Algorithms!$G:$G,MATCH($C107&amp;"_Therm Saved per Unit- MLA",Algorithms!$A:$A,0)),0)*AA107</f>
        <v>0</v>
      </c>
      <c r="CE107" s="266">
        <f ca="1">IFERROR(INDEX(Algorithms!$G:$G,MATCH($C107&amp;"_Lifetime (years)",Algorithms!$A:$A,0)),0)</f>
        <v>25</v>
      </c>
      <c r="CF107" s="266">
        <f ca="1">IFERROR(INDEX(Algorithms!$G:$G,MATCH($C107&amp;"_Lifetime (years) - Remaining Years",Algorithms!$A:$A,0)),0)</f>
        <v>0</v>
      </c>
      <c r="CG107" s="266">
        <f t="shared" ca="1" si="73"/>
        <v>382029.99999999983</v>
      </c>
      <c r="CH107" s="266">
        <f t="shared" ca="1" si="74"/>
        <v>382029.99999999983</v>
      </c>
      <c r="CI107" s="266">
        <f t="shared" ca="1" si="75"/>
        <v>382029.99999999983</v>
      </c>
      <c r="CJ107" s="266">
        <f t="shared" ca="1" si="76"/>
        <v>382029.99999999983</v>
      </c>
      <c r="CK107" s="266">
        <f t="shared" si="77"/>
        <v>15281.199999999993</v>
      </c>
      <c r="CL107" s="266">
        <f t="shared" si="78"/>
        <v>15281.199999999993</v>
      </c>
      <c r="CM107" s="266">
        <f t="shared" ca="1" si="79"/>
        <v>7276.7619047619119</v>
      </c>
      <c r="CN107" s="266">
        <f t="shared" ca="1" si="80"/>
        <v>7276.7619047619119</v>
      </c>
      <c r="CO107" s="266">
        <f ca="1">N107*IFERROR(INDEX(Algorithms!$G:$G,MATCH($C107&amp;"_Therm Saved per Unit- MLA",Algorithms!$A:$A,0)),0)*X107</f>
        <v>0</v>
      </c>
      <c r="CP107" s="266">
        <f ca="1">O107*IFERROR(INDEX(Algorithms!$G:$G,MATCH($C107&amp;"_Therm Saved per Unit- MLA",Algorithms!$A:$A,0)),0)*Y107</f>
        <v>0</v>
      </c>
      <c r="CQ107" s="266">
        <f ca="1">P107*IFERROR(INDEX(Algorithms!$G:$G,MATCH($C107&amp;"_Therm Saved per Unit- MLA",Algorithms!$A:$A,0)),0)*Z107</f>
        <v>0</v>
      </c>
      <c r="CR107" s="266">
        <f ca="1">Q107*IFERROR(INDEX(Algorithms!$G:$G,MATCH($C107&amp;"_Therm Saved per Unit- MLA",Algorithms!$A:$A,0)),0)*AA107</f>
        <v>0</v>
      </c>
      <c r="CS107" s="266">
        <f ca="1">IFERROR(INDEX(Algorithms!$G:$G,MATCH($C107&amp;"_Lifetime (years)",Algorithms!$A:$A,0)),0)</f>
        <v>25</v>
      </c>
      <c r="CT107" s="266">
        <f ca="1">IFERROR(INDEX(Algorithms!$G:$G,MATCH($C107&amp;"_Lifetime (years) - Remaining Years",Algorithms!$A:$A,0)),0)</f>
        <v>0</v>
      </c>
      <c r="CU107" s="266">
        <f t="shared" ca="1" si="81"/>
        <v>382029.99999999983</v>
      </c>
      <c r="CV107" s="266">
        <f t="shared" ca="1" si="82"/>
        <v>382029.99999999983</v>
      </c>
      <c r="CW107" s="266">
        <f t="shared" ca="1" si="83"/>
        <v>181919.04761904781</v>
      </c>
      <c r="CX107" s="266">
        <f t="shared" ca="1" si="84"/>
        <v>181919.04761904781</v>
      </c>
    </row>
    <row r="108" spans="2:102" s="47" customFormat="1" ht="18" customHeight="1" x14ac:dyDescent="0.25">
      <c r="B108" t="str">
        <f t="shared" si="85"/>
        <v>NSG_Business_Public Sector_Rebates_Demand Controlled Ventilation_0_MF/CI/SMB</v>
      </c>
      <c r="C108" s="47" t="str">
        <f t="shared" si="46"/>
        <v>Demand Controlled Ventilation_0_MF/CI/SMB</v>
      </c>
      <c r="D108" s="270" t="s">
        <v>1787</v>
      </c>
      <c r="E108" s="270" t="s">
        <v>3</v>
      </c>
      <c r="F108" s="270" t="s">
        <v>1430</v>
      </c>
      <c r="G108" s="270" t="s">
        <v>1429</v>
      </c>
      <c r="H108" s="270" t="s">
        <v>14</v>
      </c>
      <c r="I108" s="270">
        <v>0</v>
      </c>
      <c r="J108" s="270" t="s">
        <v>662</v>
      </c>
      <c r="K108" s="263">
        <v>1</v>
      </c>
      <c r="L108" s="263" t="str">
        <f ca="1">IFERROR(INDEX(Algorithms!J:J,MATCH($C108&amp;"_Therm Saved per Unit",Algorithms!$A:$A,0)),"n/a")</f>
        <v>4.4.19</v>
      </c>
      <c r="M108" s="263" t="str">
        <f>IFERROR(INDEX('Measure Level Detail'!$N:$N,MATCH($B108,'Measure Level Detail'!$B:$B,0)),0)</f>
        <v>sqft</v>
      </c>
      <c r="N108" s="271">
        <f>IFERROR(INDEX('Measure Level Detail'!$P:$P,MATCH($B108&amp;"_"&amp;N$3,'Measure Level Detail'!$C:$C,0)),0)</f>
        <v>10000</v>
      </c>
      <c r="O108" s="271">
        <f>IFERROR(INDEX('Measure Level Detail'!$P:$P,MATCH($B108&amp;"_"&amp;O$3,'Measure Level Detail'!$C:$C,0)),0)</f>
        <v>10000</v>
      </c>
      <c r="P108" s="271">
        <f>IFERROR(INDEX('Measure Level Detail'!$P:$P,MATCH($B108&amp;"_"&amp;P$3,'Measure Level Detail'!$C:$C,0)),0)</f>
        <v>10000</v>
      </c>
      <c r="Q108" s="271">
        <f>IFERROR(INDEX('Measure Level Detail'!$P:$P,MATCH($B108&amp;"_"&amp;Q$3,'Measure Level Detail'!$C:$C,0)),0)</f>
        <v>10000</v>
      </c>
      <c r="R108" s="263" t="str">
        <f ca="1">IFERROR(INDEX(Algorithms!K:K,MATCH($C108&amp;"_Therm Saved per Unit",Algorithms!$A:$A,0)),"n/a")</f>
        <v>CI-HVC-DCV-V07-240101</v>
      </c>
      <c r="S108" s="262"/>
      <c r="T108" s="272">
        <v>6.8000000000000005E-2</v>
      </c>
      <c r="U108" s="272">
        <v>6.8000000000000005E-2</v>
      </c>
      <c r="V108" s="272">
        <v>6.8000000000000005E-2</v>
      </c>
      <c r="W108" s="272">
        <v>6.8000000000000005E-2</v>
      </c>
      <c r="X108" s="276">
        <v>0.92</v>
      </c>
      <c r="Y108" s="276">
        <v>0.92</v>
      </c>
      <c r="Z108" s="276">
        <v>0.92</v>
      </c>
      <c r="AA108" s="276">
        <v>0.92</v>
      </c>
      <c r="AB108" s="266">
        <f t="shared" si="47"/>
        <v>625.6</v>
      </c>
      <c r="AC108" s="266">
        <f t="shared" si="48"/>
        <v>625.6</v>
      </c>
      <c r="AD108" s="266">
        <f t="shared" si="49"/>
        <v>625.6</v>
      </c>
      <c r="AE108" s="266">
        <f t="shared" si="50"/>
        <v>625.6</v>
      </c>
      <c r="AF108" s="266">
        <f t="shared" si="51"/>
        <v>2502.4</v>
      </c>
      <c r="AG108" s="274">
        <v>0.92</v>
      </c>
      <c r="AH108" s="274">
        <v>0.92</v>
      </c>
      <c r="AI108" s="274">
        <v>0.92</v>
      </c>
      <c r="AJ108" s="274">
        <v>0.92</v>
      </c>
      <c r="AK108" s="274">
        <f t="shared" si="52"/>
        <v>0.92</v>
      </c>
      <c r="AL108" s="274">
        <f t="shared" si="53"/>
        <v>0.92</v>
      </c>
      <c r="AM108" s="274">
        <f t="shared" si="54"/>
        <v>0.92</v>
      </c>
      <c r="AN108" s="274">
        <f t="shared" si="55"/>
        <v>0.92</v>
      </c>
      <c r="AO108" s="262"/>
      <c r="AP108" s="262"/>
      <c r="AQ108" s="267">
        <v>6.8000000000000005E-2</v>
      </c>
      <c r="AR108" s="262"/>
      <c r="AS108" s="266">
        <f t="shared" si="56"/>
        <v>625.6</v>
      </c>
      <c r="AT108" s="264">
        <f t="shared" si="57"/>
        <v>0</v>
      </c>
      <c r="AU108" s="262"/>
      <c r="AV108" s="262"/>
      <c r="AW108" s="265">
        <v>6.8000000000000005E-2</v>
      </c>
      <c r="AX108" s="164" t="s">
        <v>1469</v>
      </c>
      <c r="AY108" s="266">
        <v>625.6</v>
      </c>
      <c r="AZ108" s="266">
        <f t="shared" si="58"/>
        <v>625.6</v>
      </c>
      <c r="BA108" s="264">
        <f t="shared" si="59"/>
        <v>0</v>
      </c>
      <c r="BB108" s="262"/>
      <c r="BC108" s="262"/>
      <c r="BD108" s="265">
        <f ca="1">IFERROR(INDEX(Algorithms!$G:$G,MATCH($C108&amp;"_Therm Saved per Unit",Algorithms!$A:$A,0)),0)</f>
        <v>6.8000000000000005E-2</v>
      </c>
      <c r="BE108" s="164" t="str">
        <f ca="1">IFERROR(INDEX('v12 Revisions'!$P$29:$P$186, MATCH('Measure-Level Adj Gas'!$L108, 'v12 Revisions'!$D$29:$D$186,0)),"")</f>
        <v>n/a - language and costs.</v>
      </c>
      <c r="BF108" s="266">
        <f t="shared" ca="1" si="60"/>
        <v>625.6</v>
      </c>
      <c r="BG108" s="264">
        <f t="shared" ca="1" si="61"/>
        <v>0</v>
      </c>
      <c r="BH108" s="262"/>
      <c r="BI108" s="262"/>
      <c r="BJ108" s="265">
        <f ca="1">IFERROR(INDEX(Algorithms!$G:$G,MATCH($C108&amp;"_Therm Saved per Unit",Algorithms!$A:$A,0)),0)</f>
        <v>6.8000000000000005E-2</v>
      </c>
      <c r="BK108" s="164"/>
      <c r="BL108" s="266">
        <f t="shared" ca="1" si="62"/>
        <v>625.6</v>
      </c>
      <c r="BM108" s="264">
        <f t="shared" ca="1" si="63"/>
        <v>0</v>
      </c>
      <c r="BN108" s="266">
        <f t="shared" si="64"/>
        <v>625.6</v>
      </c>
      <c r="BO108" s="266">
        <f t="shared" si="65"/>
        <v>625.6</v>
      </c>
      <c r="BP108" s="266">
        <f t="shared" ca="1" si="66"/>
        <v>625.6</v>
      </c>
      <c r="BQ108" s="266">
        <f t="shared" ca="1" si="67"/>
        <v>625.6</v>
      </c>
      <c r="BR108" s="268">
        <f t="shared" ca="1" si="68"/>
        <v>2502.4</v>
      </c>
      <c r="BS108" s="262" t="s">
        <v>99</v>
      </c>
      <c r="BT108" s="277"/>
      <c r="BW108" s="266">
        <f t="shared" si="69"/>
        <v>625.6</v>
      </c>
      <c r="BX108" s="266">
        <f t="shared" si="70"/>
        <v>625.6</v>
      </c>
      <c r="BY108" s="266">
        <f t="shared" si="71"/>
        <v>625.6</v>
      </c>
      <c r="BZ108" s="266">
        <f t="shared" si="72"/>
        <v>625.6</v>
      </c>
      <c r="CA108" s="266">
        <f ca="1">N108*IFERROR(INDEX(Algorithms!$G:$G,MATCH($C108&amp;"_Therm Saved per Unit- MLA",Algorithms!$A:$A,0)),0)*X108</f>
        <v>0</v>
      </c>
      <c r="CB108" s="266">
        <f ca="1">O108*IFERROR(INDEX(Algorithms!$G:$G,MATCH($C108&amp;"_Therm Saved per Unit- MLA",Algorithms!$A:$A,0)),0)*Y108</f>
        <v>0</v>
      </c>
      <c r="CC108" s="266">
        <f ca="1">P108*IFERROR(INDEX(Algorithms!$G:$G,MATCH($C108&amp;"_Therm Saved per Unit- MLA",Algorithms!$A:$A,0)),0)*Z108</f>
        <v>0</v>
      </c>
      <c r="CD108" s="266">
        <f ca="1">Q108*IFERROR(INDEX(Algorithms!$G:$G,MATCH($C108&amp;"_Therm Saved per Unit- MLA",Algorithms!$A:$A,0)),0)*AA108</f>
        <v>0</v>
      </c>
      <c r="CE108" s="266">
        <f ca="1">IFERROR(INDEX(Algorithms!$G:$G,MATCH($C108&amp;"_Lifetime (years)",Algorithms!$A:$A,0)),0)</f>
        <v>10</v>
      </c>
      <c r="CF108" s="266">
        <f ca="1">IFERROR(INDEX(Algorithms!$G:$G,MATCH($C108&amp;"_Lifetime (years) - Remaining Years",Algorithms!$A:$A,0)),0)</f>
        <v>0</v>
      </c>
      <c r="CG108" s="266">
        <f t="shared" ca="1" si="73"/>
        <v>6256</v>
      </c>
      <c r="CH108" s="266">
        <f t="shared" ca="1" si="74"/>
        <v>6256</v>
      </c>
      <c r="CI108" s="266">
        <f t="shared" ca="1" si="75"/>
        <v>6256</v>
      </c>
      <c r="CJ108" s="266">
        <f t="shared" ca="1" si="76"/>
        <v>6256</v>
      </c>
      <c r="CK108" s="266">
        <f t="shared" si="77"/>
        <v>625.6</v>
      </c>
      <c r="CL108" s="266">
        <f t="shared" si="78"/>
        <v>625.6</v>
      </c>
      <c r="CM108" s="266">
        <f t="shared" ca="1" si="79"/>
        <v>625.6</v>
      </c>
      <c r="CN108" s="266">
        <f t="shared" ca="1" si="80"/>
        <v>625.6</v>
      </c>
      <c r="CO108" s="266">
        <f ca="1">N108*IFERROR(INDEX(Algorithms!$G:$G,MATCH($C108&amp;"_Therm Saved per Unit- MLA",Algorithms!$A:$A,0)),0)*X108</f>
        <v>0</v>
      </c>
      <c r="CP108" s="266">
        <f ca="1">O108*IFERROR(INDEX(Algorithms!$G:$G,MATCH($C108&amp;"_Therm Saved per Unit- MLA",Algorithms!$A:$A,0)),0)*Y108</f>
        <v>0</v>
      </c>
      <c r="CQ108" s="266">
        <f ca="1">P108*IFERROR(INDEX(Algorithms!$G:$G,MATCH($C108&amp;"_Therm Saved per Unit- MLA",Algorithms!$A:$A,0)),0)*Z108</f>
        <v>0</v>
      </c>
      <c r="CR108" s="266">
        <f ca="1">Q108*IFERROR(INDEX(Algorithms!$G:$G,MATCH($C108&amp;"_Therm Saved per Unit- MLA",Algorithms!$A:$A,0)),0)*AA108</f>
        <v>0</v>
      </c>
      <c r="CS108" s="266">
        <f ca="1">IFERROR(INDEX(Algorithms!$G:$G,MATCH($C108&amp;"_Lifetime (years)",Algorithms!$A:$A,0)),0)</f>
        <v>10</v>
      </c>
      <c r="CT108" s="266">
        <f ca="1">IFERROR(INDEX(Algorithms!$G:$G,MATCH($C108&amp;"_Lifetime (years) - Remaining Years",Algorithms!$A:$A,0)),0)</f>
        <v>0</v>
      </c>
      <c r="CU108" s="266">
        <f t="shared" ca="1" si="81"/>
        <v>6256</v>
      </c>
      <c r="CV108" s="266">
        <f t="shared" ca="1" si="82"/>
        <v>6256</v>
      </c>
      <c r="CW108" s="266">
        <f t="shared" ca="1" si="83"/>
        <v>6256</v>
      </c>
      <c r="CX108" s="266">
        <f t="shared" ca="1" si="84"/>
        <v>6256</v>
      </c>
    </row>
    <row r="109" spans="2:102" s="47" customFormat="1" ht="18" customHeight="1" x14ac:dyDescent="0.25">
      <c r="B109" t="str">
        <f t="shared" si="85"/>
        <v>NSG_Income Eligible_Single Family_IE Kits_Weatherstripping_IE Kit_IE</v>
      </c>
      <c r="C109" s="47" t="str">
        <f t="shared" si="46"/>
        <v>Weatherstripping_IE Kit_IE</v>
      </c>
      <c r="D109" s="270" t="s">
        <v>1787</v>
      </c>
      <c r="E109" s="270" t="s">
        <v>325</v>
      </c>
      <c r="F109" s="270" t="s">
        <v>375</v>
      </c>
      <c r="G109" s="270" t="s">
        <v>1440</v>
      </c>
      <c r="H109" s="270" t="s">
        <v>576</v>
      </c>
      <c r="I109" s="270" t="s">
        <v>550</v>
      </c>
      <c r="J109" s="270" t="s">
        <v>551</v>
      </c>
      <c r="K109" s="263">
        <v>1</v>
      </c>
      <c r="L109" s="263" t="str">
        <f ca="1">IFERROR(INDEX(Algorithms!J:J,MATCH($C109&amp;"_Therm Saved per Unit",Algorithms!$A:$A,0)),"n/a")</f>
        <v>5.6.1</v>
      </c>
      <c r="M109" s="263" t="str">
        <f>IFERROR(INDEX('Measure Level Detail'!$N:$N,MATCH($B109,'Measure Level Detail'!$B:$B,0)),0)</f>
        <v>linear ft</v>
      </c>
      <c r="N109" s="271">
        <f>IFERROR(INDEX('Measure Level Detail'!$P:$P,MATCH($B109&amp;"_"&amp;N$3,'Measure Level Detail'!$C:$C,0)),0)</f>
        <v>9520</v>
      </c>
      <c r="O109" s="271">
        <f>IFERROR(INDEX('Measure Level Detail'!$P:$P,MATCH($B109&amp;"_"&amp;O$3,'Measure Level Detail'!$C:$C,0)),0)</f>
        <v>9520</v>
      </c>
      <c r="P109" s="271">
        <f>IFERROR(INDEX('Measure Level Detail'!$P:$P,MATCH($B109&amp;"_"&amp;P$3,'Measure Level Detail'!$C:$C,0)),0)</f>
        <v>9520</v>
      </c>
      <c r="Q109" s="271">
        <f>IFERROR(INDEX('Measure Level Detail'!$P:$P,MATCH($B109&amp;"_"&amp;Q$3,'Measure Level Detail'!$C:$C,0)),0)</f>
        <v>9520</v>
      </c>
      <c r="R109" s="263" t="str">
        <f ca="1">IFERROR(INDEX(Algorithms!K:K,MATCH($C109&amp;"_Therm Saved per Unit",Algorithms!$A:$A,0)),"n/a")</f>
        <v>RS-SHL-AIRS-V13-240101</v>
      </c>
      <c r="S109" s="262"/>
      <c r="T109" s="272">
        <v>0.30743999999999999</v>
      </c>
      <c r="U109" s="272">
        <v>0.30743999999999999</v>
      </c>
      <c r="V109" s="272">
        <v>0.30743999999999999</v>
      </c>
      <c r="W109" s="272">
        <v>0.30743999999999999</v>
      </c>
      <c r="X109" s="273">
        <f>IFERROR(INDEX('Measure Level Detail'!$R:$R,MATCH($B109&amp;"_"&amp;X$3,'Measure Level Detail'!$C:$C,0)),0)</f>
        <v>1</v>
      </c>
      <c r="Y109" s="273">
        <f>IFERROR(INDEX('Measure Level Detail'!$R:$R,MATCH($B109&amp;"_"&amp;Y$3,'Measure Level Detail'!$C:$C,0)),0)</f>
        <v>1</v>
      </c>
      <c r="Z109" s="273">
        <f>IFERROR(INDEX('Measure Level Detail'!$R:$R,MATCH($B109&amp;"_"&amp;Z$3,'Measure Level Detail'!$C:$C,0)),0)</f>
        <v>1</v>
      </c>
      <c r="AA109" s="273">
        <f>IFERROR(INDEX('Measure Level Detail'!$R:$R,MATCH($B109&amp;"_"&amp;AA$3,'Measure Level Detail'!$C:$C,0)),0)</f>
        <v>1</v>
      </c>
      <c r="AB109" s="266">
        <f t="shared" si="47"/>
        <v>2926.8287999999998</v>
      </c>
      <c r="AC109" s="266">
        <f t="shared" si="48"/>
        <v>2926.8287999999998</v>
      </c>
      <c r="AD109" s="266">
        <f t="shared" si="49"/>
        <v>2926.8287999999998</v>
      </c>
      <c r="AE109" s="266">
        <f t="shared" si="50"/>
        <v>2926.8287999999998</v>
      </c>
      <c r="AF109" s="266">
        <f t="shared" si="51"/>
        <v>11707.315199999999</v>
      </c>
      <c r="AG109" s="274">
        <v>1</v>
      </c>
      <c r="AH109" s="274">
        <v>1</v>
      </c>
      <c r="AI109" s="274">
        <v>1</v>
      </c>
      <c r="AJ109" s="274">
        <v>1</v>
      </c>
      <c r="AK109" s="274">
        <f t="shared" si="52"/>
        <v>1</v>
      </c>
      <c r="AL109" s="274">
        <f t="shared" si="53"/>
        <v>1</v>
      </c>
      <c r="AM109" s="274">
        <f t="shared" si="54"/>
        <v>1</v>
      </c>
      <c r="AN109" s="274">
        <f t="shared" si="55"/>
        <v>1</v>
      </c>
      <c r="AO109" s="262"/>
      <c r="AP109" s="262"/>
      <c r="AQ109" s="267">
        <v>0.30743999999999999</v>
      </c>
      <c r="AR109" s="262"/>
      <c r="AS109" s="266">
        <f t="shared" si="56"/>
        <v>2926.8287999999998</v>
      </c>
      <c r="AT109" s="264">
        <f t="shared" si="57"/>
        <v>0</v>
      </c>
      <c r="AU109" s="262"/>
      <c r="AV109" s="262"/>
      <c r="AW109" s="265">
        <v>0.30743999999999999</v>
      </c>
      <c r="AX109" s="164" t="s">
        <v>2395</v>
      </c>
      <c r="AY109" s="266">
        <v>2926.8287999999998</v>
      </c>
      <c r="AZ109" s="266">
        <f t="shared" si="58"/>
        <v>2926.8287999999998</v>
      </c>
      <c r="BA109" s="264">
        <f t="shared" si="59"/>
        <v>0</v>
      </c>
      <c r="BB109" s="262"/>
      <c r="BC109" s="262"/>
      <c r="BD109" s="265">
        <f ca="1">IFERROR(INDEX(Algorithms!$G:$G,MATCH($C109&amp;"_Therm Saved per Unit",Algorithms!$A:$A,0)),0)</f>
        <v>0.30743999999999999</v>
      </c>
      <c r="BE109" s="164" t="str">
        <f ca="1">IFERROR(INDEX('v12 Revisions'!$P$29:$P$186, MATCH('Measure-Level Adj Gas'!$L109, 'v12 Revisions'!$D$29:$D$186,0)),"")</f>
        <v>Updated HDD from 5113 to 4798 and shell adjustment factor from 0.72 to 0.76.</v>
      </c>
      <c r="BF109" s="266">
        <f t="shared" ca="1" si="60"/>
        <v>2926.8287999999998</v>
      </c>
      <c r="BG109" s="264">
        <f t="shared" ca="1" si="61"/>
        <v>0</v>
      </c>
      <c r="BH109" s="262"/>
      <c r="BI109" s="262"/>
      <c r="BJ109" s="265">
        <f ca="1">IFERROR(INDEX(Algorithms!$G:$G,MATCH($C109&amp;"_Therm Saved per Unit",Algorithms!$A:$A,0)),0)</f>
        <v>0.30743999999999999</v>
      </c>
      <c r="BK109" s="164"/>
      <c r="BL109" s="266">
        <f t="shared" ca="1" si="62"/>
        <v>2926.8287999999998</v>
      </c>
      <c r="BM109" s="264">
        <f t="shared" ca="1" si="63"/>
        <v>0</v>
      </c>
      <c r="BN109" s="266">
        <f t="shared" si="64"/>
        <v>2926.8287999999998</v>
      </c>
      <c r="BO109" s="266">
        <f t="shared" si="65"/>
        <v>2926.8287999999998</v>
      </c>
      <c r="BP109" s="266">
        <f t="shared" ca="1" si="66"/>
        <v>2926.8287999999998</v>
      </c>
      <c r="BQ109" s="266">
        <f t="shared" ca="1" si="67"/>
        <v>2926.8287999999998</v>
      </c>
      <c r="BR109" s="268">
        <f t="shared" ca="1" si="68"/>
        <v>11707.315199999999</v>
      </c>
      <c r="BS109" s="262" t="s">
        <v>99</v>
      </c>
      <c r="BT109" s="277"/>
      <c r="BW109" s="266">
        <f t="shared" si="69"/>
        <v>2926.8287999999998</v>
      </c>
      <c r="BX109" s="266">
        <f t="shared" si="70"/>
        <v>2926.8287999999998</v>
      </c>
      <c r="BY109" s="266">
        <f t="shared" si="71"/>
        <v>2926.8287999999998</v>
      </c>
      <c r="BZ109" s="266">
        <f t="shared" si="72"/>
        <v>2926.8287999999998</v>
      </c>
      <c r="CA109" s="266">
        <f ca="1">N109*IFERROR(INDEX(Algorithms!$G:$G,MATCH($C109&amp;"_Therm Saved per Unit- MLA",Algorithms!$A:$A,0)),0)*X109</f>
        <v>0</v>
      </c>
      <c r="CB109" s="266">
        <f ca="1">O109*IFERROR(INDEX(Algorithms!$G:$G,MATCH($C109&amp;"_Therm Saved per Unit- MLA",Algorithms!$A:$A,0)),0)*Y109</f>
        <v>0</v>
      </c>
      <c r="CC109" s="266">
        <f ca="1">P109*IFERROR(INDEX(Algorithms!$G:$G,MATCH($C109&amp;"_Therm Saved per Unit- MLA",Algorithms!$A:$A,0)),0)*Z109</f>
        <v>0</v>
      </c>
      <c r="CD109" s="266">
        <f ca="1">Q109*IFERROR(INDEX(Algorithms!$G:$G,MATCH($C109&amp;"_Therm Saved per Unit- MLA",Algorithms!$A:$A,0)),0)*AA109</f>
        <v>0</v>
      </c>
      <c r="CE109" s="266">
        <f ca="1">IFERROR(INDEX(Algorithms!$G:$G,MATCH($C109&amp;"_Lifetime (years)",Algorithms!$A:$A,0)),0)</f>
        <v>10</v>
      </c>
      <c r="CF109" s="266">
        <f ca="1">IFERROR(INDEX(Algorithms!$G:$G,MATCH($C109&amp;"_Lifetime (years) - Remaining Years",Algorithms!$A:$A,0)),0)</f>
        <v>0</v>
      </c>
      <c r="CG109" s="266">
        <f t="shared" ca="1" si="73"/>
        <v>29268.287999999997</v>
      </c>
      <c r="CH109" s="266">
        <f t="shared" ca="1" si="74"/>
        <v>29268.287999999997</v>
      </c>
      <c r="CI109" s="266">
        <f t="shared" ca="1" si="75"/>
        <v>29268.287999999997</v>
      </c>
      <c r="CJ109" s="266">
        <f t="shared" ca="1" si="76"/>
        <v>29268.287999999997</v>
      </c>
      <c r="CK109" s="266">
        <f t="shared" si="77"/>
        <v>2926.8287999999998</v>
      </c>
      <c r="CL109" s="266">
        <f t="shared" si="78"/>
        <v>2926.8287999999998</v>
      </c>
      <c r="CM109" s="266">
        <f t="shared" ca="1" si="79"/>
        <v>2926.8287999999998</v>
      </c>
      <c r="CN109" s="266">
        <f t="shared" ca="1" si="80"/>
        <v>2926.8287999999998</v>
      </c>
      <c r="CO109" s="266">
        <f ca="1">N109*IFERROR(INDEX(Algorithms!$G:$G,MATCH($C109&amp;"_Therm Saved per Unit- MLA",Algorithms!$A:$A,0)),0)*X109</f>
        <v>0</v>
      </c>
      <c r="CP109" s="266">
        <f ca="1">O109*IFERROR(INDEX(Algorithms!$G:$G,MATCH($C109&amp;"_Therm Saved per Unit- MLA",Algorithms!$A:$A,0)),0)*Y109</f>
        <v>0</v>
      </c>
      <c r="CQ109" s="266">
        <f ca="1">P109*IFERROR(INDEX(Algorithms!$G:$G,MATCH($C109&amp;"_Therm Saved per Unit- MLA",Algorithms!$A:$A,0)),0)*Z109</f>
        <v>0</v>
      </c>
      <c r="CR109" s="266">
        <f ca="1">Q109*IFERROR(INDEX(Algorithms!$G:$G,MATCH($C109&amp;"_Therm Saved per Unit- MLA",Algorithms!$A:$A,0)),0)*AA109</f>
        <v>0</v>
      </c>
      <c r="CS109" s="266">
        <f ca="1">IFERROR(INDEX(Algorithms!$G:$G,MATCH($C109&amp;"_Lifetime (years)",Algorithms!$A:$A,0)),0)</f>
        <v>10</v>
      </c>
      <c r="CT109" s="266">
        <f ca="1">IFERROR(INDEX(Algorithms!$G:$G,MATCH($C109&amp;"_Lifetime (years) - Remaining Years",Algorithms!$A:$A,0)),0)</f>
        <v>0</v>
      </c>
      <c r="CU109" s="266">
        <f t="shared" ca="1" si="81"/>
        <v>29268.287999999997</v>
      </c>
      <c r="CV109" s="266">
        <f t="shared" ca="1" si="82"/>
        <v>29268.287999999997</v>
      </c>
      <c r="CW109" s="266">
        <f t="shared" ca="1" si="83"/>
        <v>29268.287999999997</v>
      </c>
      <c r="CX109" s="266">
        <f t="shared" ca="1" si="84"/>
        <v>29268.287999999997</v>
      </c>
    </row>
    <row r="110" spans="2:102" s="47" customFormat="1" ht="18" customHeight="1" x14ac:dyDescent="0.25">
      <c r="B110" t="str">
        <f t="shared" si="85"/>
        <v>NSG_Business_C&amp;I_Rebates_Demand Controlled Ventilation_0_MF/CI/SMB</v>
      </c>
      <c r="C110" s="47" t="str">
        <f t="shared" si="46"/>
        <v>Demand Controlled Ventilation_0_MF/CI/SMB</v>
      </c>
      <c r="D110" s="270" t="s">
        <v>1787</v>
      </c>
      <c r="E110" s="270" t="s">
        <v>3</v>
      </c>
      <c r="F110" s="270" t="s">
        <v>1427</v>
      </c>
      <c r="G110" s="270" t="s">
        <v>1429</v>
      </c>
      <c r="H110" s="270" t="s">
        <v>14</v>
      </c>
      <c r="I110" s="270">
        <v>0</v>
      </c>
      <c r="J110" s="270" t="s">
        <v>662</v>
      </c>
      <c r="K110" s="263">
        <v>1</v>
      </c>
      <c r="L110" s="263" t="str">
        <f ca="1">IFERROR(INDEX(Algorithms!J:J,MATCH($C110&amp;"_Therm Saved per Unit",Algorithms!$A:$A,0)),"n/a")</f>
        <v>4.4.19</v>
      </c>
      <c r="M110" s="263" t="str">
        <f>IFERROR(INDEX('Measure Level Detail'!$N:$N,MATCH($B110,'Measure Level Detail'!$B:$B,0)),0)</f>
        <v>sqft</v>
      </c>
      <c r="N110" s="271">
        <f>IFERROR(INDEX('Measure Level Detail'!$P:$P,MATCH($B110&amp;"_"&amp;N$3,'Measure Level Detail'!$C:$C,0)),0)</f>
        <v>8500</v>
      </c>
      <c r="O110" s="271">
        <f>IFERROR(INDEX('Measure Level Detail'!$P:$P,MATCH($B110&amp;"_"&amp;O$3,'Measure Level Detail'!$C:$C,0)),0)</f>
        <v>8000</v>
      </c>
      <c r="P110" s="271">
        <f>IFERROR(INDEX('Measure Level Detail'!$P:$P,MATCH($B110&amp;"_"&amp;P$3,'Measure Level Detail'!$C:$C,0)),0)</f>
        <v>7000</v>
      </c>
      <c r="Q110" s="271">
        <f>IFERROR(INDEX('Measure Level Detail'!$P:$P,MATCH($B110&amp;"_"&amp;Q$3,'Measure Level Detail'!$C:$C,0)),0)</f>
        <v>6800.0000000000009</v>
      </c>
      <c r="R110" s="263" t="str">
        <f ca="1">IFERROR(INDEX(Algorithms!K:K,MATCH($C110&amp;"_Therm Saved per Unit",Algorithms!$A:$A,0)),"n/a")</f>
        <v>CI-HVC-DCV-V07-240101</v>
      </c>
      <c r="S110" s="262"/>
      <c r="T110" s="272">
        <v>6.8000000000000005E-2</v>
      </c>
      <c r="U110" s="272">
        <v>6.8000000000000005E-2</v>
      </c>
      <c r="V110" s="272">
        <v>6.8000000000000005E-2</v>
      </c>
      <c r="W110" s="272">
        <v>6.8000000000000005E-2</v>
      </c>
      <c r="X110" s="273">
        <f>IFERROR(INDEX('Measure Level Detail'!$R:$R,MATCH($B110&amp;"_"&amp;X$3,'Measure Level Detail'!$C:$C,0)),0)</f>
        <v>0.91</v>
      </c>
      <c r="Y110" s="273">
        <f>IFERROR(INDEX('Measure Level Detail'!$R:$R,MATCH($B110&amp;"_"&amp;Y$3,'Measure Level Detail'!$C:$C,0)),0)</f>
        <v>0.91</v>
      </c>
      <c r="Z110" s="273">
        <f>IFERROR(INDEX('Measure Level Detail'!$R:$R,MATCH($B110&amp;"_"&amp;Z$3,'Measure Level Detail'!$C:$C,0)),0)</f>
        <v>0.91</v>
      </c>
      <c r="AA110" s="273">
        <f>IFERROR(INDEX('Measure Level Detail'!$R:$R,MATCH($B110&amp;"_"&amp;AA$3,'Measure Level Detail'!$C:$C,0)),0)</f>
        <v>0.91</v>
      </c>
      <c r="AB110" s="266">
        <f t="shared" si="47"/>
        <v>525.98</v>
      </c>
      <c r="AC110" s="266">
        <f t="shared" si="48"/>
        <v>495.04</v>
      </c>
      <c r="AD110" s="266">
        <f t="shared" si="49"/>
        <v>433.16000000000008</v>
      </c>
      <c r="AE110" s="266">
        <f t="shared" si="50"/>
        <v>420.78400000000011</v>
      </c>
      <c r="AF110" s="266">
        <f t="shared" si="51"/>
        <v>1874.9640000000002</v>
      </c>
      <c r="AG110" s="274">
        <v>0.91</v>
      </c>
      <c r="AH110" s="274">
        <v>0.91</v>
      </c>
      <c r="AI110" s="274">
        <v>0.91</v>
      </c>
      <c r="AJ110" s="274">
        <v>0.91</v>
      </c>
      <c r="AK110" s="274">
        <f t="shared" si="52"/>
        <v>0.91</v>
      </c>
      <c r="AL110" s="274">
        <f t="shared" si="53"/>
        <v>0.91</v>
      </c>
      <c r="AM110" s="274">
        <f t="shared" si="54"/>
        <v>0.91</v>
      </c>
      <c r="AN110" s="274">
        <f t="shared" si="55"/>
        <v>0.91</v>
      </c>
      <c r="AO110" s="262"/>
      <c r="AP110" s="262"/>
      <c r="AQ110" s="267">
        <v>6.8000000000000005E-2</v>
      </c>
      <c r="AR110" s="262"/>
      <c r="AS110" s="266">
        <f t="shared" si="56"/>
        <v>525.98</v>
      </c>
      <c r="AT110" s="264">
        <f t="shared" si="57"/>
        <v>0</v>
      </c>
      <c r="AU110" s="262"/>
      <c r="AV110" s="262"/>
      <c r="AW110" s="265">
        <v>6.8000000000000005E-2</v>
      </c>
      <c r="AX110" s="164" t="s">
        <v>1469</v>
      </c>
      <c r="AY110" s="266">
        <v>495.04</v>
      </c>
      <c r="AZ110" s="266">
        <f t="shared" si="58"/>
        <v>495.04</v>
      </c>
      <c r="BA110" s="264">
        <f t="shared" si="59"/>
        <v>0</v>
      </c>
      <c r="BB110" s="262"/>
      <c r="BC110" s="262"/>
      <c r="BD110" s="265">
        <f ca="1">IFERROR(INDEX(Algorithms!$G:$G,MATCH($C110&amp;"_Therm Saved per Unit",Algorithms!$A:$A,0)),0)</f>
        <v>6.8000000000000005E-2</v>
      </c>
      <c r="BE110" s="164" t="str">
        <f ca="1">IFERROR(INDEX('v12 Revisions'!$P$29:$P$186, MATCH('Measure-Level Adj Gas'!$L110, 'v12 Revisions'!$D$29:$D$186,0)),"")</f>
        <v>n/a - language and costs.</v>
      </c>
      <c r="BF110" s="266">
        <f t="shared" ca="1" si="60"/>
        <v>433.16000000000008</v>
      </c>
      <c r="BG110" s="264">
        <f t="shared" ca="1" si="61"/>
        <v>0</v>
      </c>
      <c r="BH110" s="262"/>
      <c r="BI110" s="262"/>
      <c r="BJ110" s="265">
        <f ca="1">IFERROR(INDEX(Algorithms!$G:$G,MATCH($C110&amp;"_Therm Saved per Unit",Algorithms!$A:$A,0)),0)</f>
        <v>6.8000000000000005E-2</v>
      </c>
      <c r="BK110" s="164"/>
      <c r="BL110" s="266">
        <f t="shared" ca="1" si="62"/>
        <v>420.78400000000011</v>
      </c>
      <c r="BM110" s="264">
        <f t="shared" ca="1" si="63"/>
        <v>0</v>
      </c>
      <c r="BN110" s="266">
        <f t="shared" si="64"/>
        <v>525.98</v>
      </c>
      <c r="BO110" s="266">
        <f t="shared" si="65"/>
        <v>495.04</v>
      </c>
      <c r="BP110" s="266">
        <f t="shared" ca="1" si="66"/>
        <v>433.16000000000008</v>
      </c>
      <c r="BQ110" s="266">
        <f t="shared" ca="1" si="67"/>
        <v>420.78400000000011</v>
      </c>
      <c r="BR110" s="268">
        <f t="shared" ca="1" si="68"/>
        <v>1874.9640000000002</v>
      </c>
      <c r="BS110" s="262" t="s">
        <v>99</v>
      </c>
      <c r="BT110" s="277"/>
      <c r="BW110" s="266">
        <f t="shared" si="69"/>
        <v>525.98</v>
      </c>
      <c r="BX110" s="266">
        <f t="shared" si="70"/>
        <v>495.04</v>
      </c>
      <c r="BY110" s="266">
        <f t="shared" si="71"/>
        <v>433.16000000000008</v>
      </c>
      <c r="BZ110" s="266">
        <f t="shared" si="72"/>
        <v>420.78400000000011</v>
      </c>
      <c r="CA110" s="266">
        <f ca="1">N110*IFERROR(INDEX(Algorithms!$G:$G,MATCH($C110&amp;"_Therm Saved per Unit- MLA",Algorithms!$A:$A,0)),0)*X110</f>
        <v>0</v>
      </c>
      <c r="CB110" s="266">
        <f ca="1">O110*IFERROR(INDEX(Algorithms!$G:$G,MATCH($C110&amp;"_Therm Saved per Unit- MLA",Algorithms!$A:$A,0)),0)*Y110</f>
        <v>0</v>
      </c>
      <c r="CC110" s="266">
        <f ca="1">P110*IFERROR(INDEX(Algorithms!$G:$G,MATCH($C110&amp;"_Therm Saved per Unit- MLA",Algorithms!$A:$A,0)),0)*Z110</f>
        <v>0</v>
      </c>
      <c r="CD110" s="266">
        <f ca="1">Q110*IFERROR(INDEX(Algorithms!$G:$G,MATCH($C110&amp;"_Therm Saved per Unit- MLA",Algorithms!$A:$A,0)),0)*AA110</f>
        <v>0</v>
      </c>
      <c r="CE110" s="266">
        <f ca="1">IFERROR(INDEX(Algorithms!$G:$G,MATCH($C110&amp;"_Lifetime (years)",Algorithms!$A:$A,0)),0)</f>
        <v>10</v>
      </c>
      <c r="CF110" s="266">
        <f ca="1">IFERROR(INDEX(Algorithms!$G:$G,MATCH($C110&amp;"_Lifetime (years) - Remaining Years",Algorithms!$A:$A,0)),0)</f>
        <v>0</v>
      </c>
      <c r="CG110" s="266">
        <f t="shared" ca="1" si="73"/>
        <v>5259.8</v>
      </c>
      <c r="CH110" s="266">
        <f t="shared" ca="1" si="74"/>
        <v>4950.4000000000005</v>
      </c>
      <c r="CI110" s="266">
        <f t="shared" ca="1" si="75"/>
        <v>4331.6000000000004</v>
      </c>
      <c r="CJ110" s="266">
        <f t="shared" ca="1" si="76"/>
        <v>4207.8400000000011</v>
      </c>
      <c r="CK110" s="266">
        <f t="shared" si="77"/>
        <v>525.98</v>
      </c>
      <c r="CL110" s="266">
        <f t="shared" si="78"/>
        <v>495.04</v>
      </c>
      <c r="CM110" s="266">
        <f t="shared" ca="1" si="79"/>
        <v>433.16000000000008</v>
      </c>
      <c r="CN110" s="266">
        <f t="shared" ca="1" si="80"/>
        <v>420.78400000000011</v>
      </c>
      <c r="CO110" s="266">
        <f ca="1">N110*IFERROR(INDEX(Algorithms!$G:$G,MATCH($C110&amp;"_Therm Saved per Unit- MLA",Algorithms!$A:$A,0)),0)*X110</f>
        <v>0</v>
      </c>
      <c r="CP110" s="266">
        <f ca="1">O110*IFERROR(INDEX(Algorithms!$G:$G,MATCH($C110&amp;"_Therm Saved per Unit- MLA",Algorithms!$A:$A,0)),0)*Y110</f>
        <v>0</v>
      </c>
      <c r="CQ110" s="266">
        <f ca="1">P110*IFERROR(INDEX(Algorithms!$G:$G,MATCH($C110&amp;"_Therm Saved per Unit- MLA",Algorithms!$A:$A,0)),0)*Z110</f>
        <v>0</v>
      </c>
      <c r="CR110" s="266">
        <f ca="1">Q110*IFERROR(INDEX(Algorithms!$G:$G,MATCH($C110&amp;"_Therm Saved per Unit- MLA",Algorithms!$A:$A,0)),0)*AA110</f>
        <v>0</v>
      </c>
      <c r="CS110" s="266">
        <f ca="1">IFERROR(INDEX(Algorithms!$G:$G,MATCH($C110&amp;"_Lifetime (years)",Algorithms!$A:$A,0)),0)</f>
        <v>10</v>
      </c>
      <c r="CT110" s="266">
        <f ca="1">IFERROR(INDEX(Algorithms!$G:$G,MATCH($C110&amp;"_Lifetime (years) - Remaining Years",Algorithms!$A:$A,0)),0)</f>
        <v>0</v>
      </c>
      <c r="CU110" s="266">
        <f t="shared" ca="1" si="81"/>
        <v>5259.8</v>
      </c>
      <c r="CV110" s="266">
        <f t="shared" ca="1" si="82"/>
        <v>4950.4000000000005</v>
      </c>
      <c r="CW110" s="266">
        <f t="shared" ca="1" si="83"/>
        <v>4331.6000000000004</v>
      </c>
      <c r="CX110" s="266">
        <f t="shared" ca="1" si="84"/>
        <v>4207.8400000000011</v>
      </c>
    </row>
    <row r="111" spans="2:102" s="47" customFormat="1" ht="18" customHeight="1" x14ac:dyDescent="0.25">
      <c r="B111" t="str">
        <f t="shared" si="85"/>
        <v>NSG_Income Eligible_Multi-Family_MF IHWAP_Wall Insulation_0_SF</v>
      </c>
      <c r="C111" s="47" t="str">
        <f t="shared" si="46"/>
        <v>Wall Insulation_0_SF</v>
      </c>
      <c r="D111" s="270" t="s">
        <v>1787</v>
      </c>
      <c r="E111" s="270" t="s">
        <v>325</v>
      </c>
      <c r="F111" s="270" t="s">
        <v>1422</v>
      </c>
      <c r="G111" s="270" t="s">
        <v>1441</v>
      </c>
      <c r="H111" s="270" t="s">
        <v>222</v>
      </c>
      <c r="I111" s="270">
        <v>0</v>
      </c>
      <c r="J111" s="270" t="s">
        <v>409</v>
      </c>
      <c r="K111" s="263">
        <v>1</v>
      </c>
      <c r="L111" s="263" t="str">
        <f ca="1">IFERROR(INDEX(Algorithms!J:J,MATCH($C111&amp;"_Therm Saved per Unit",Algorithms!$A:$A,0)),"n/a")</f>
        <v>5.6.4</v>
      </c>
      <c r="M111" s="263" t="str">
        <f>IFERROR(INDEX('Measure Level Detail'!$N:$N,MATCH($B111,'Measure Level Detail'!$B:$B,0)),0)</f>
        <v>sq ft</v>
      </c>
      <c r="N111" s="271">
        <f>IFERROR(INDEX('Measure Level Detail'!$P:$P,MATCH($B111&amp;"_"&amp;N$3,'Measure Level Detail'!$C:$C,0)),0)</f>
        <v>7200</v>
      </c>
      <c r="O111" s="271">
        <f>IFERROR(INDEX('Measure Level Detail'!$P:$P,MATCH($B111&amp;"_"&amp;O$3,'Measure Level Detail'!$C:$C,0)),0)</f>
        <v>9000</v>
      </c>
      <c r="P111" s="271">
        <f>IFERROR(INDEX('Measure Level Detail'!$P:$P,MATCH($B111&amp;"_"&amp;P$3,'Measure Level Detail'!$C:$C,0)),0)</f>
        <v>16200</v>
      </c>
      <c r="Q111" s="271">
        <f>IFERROR(INDEX('Measure Level Detail'!$P:$P,MATCH($B111&amp;"_"&amp;Q$3,'Measure Level Detail'!$C:$C,0)),0)</f>
        <v>18000</v>
      </c>
      <c r="R111" s="263" t="str">
        <f ca="1">IFERROR(INDEX(Algorithms!K:K,MATCH($C111&amp;"_Therm Saved per Unit",Algorithms!$A:$A,0)),"n/a")</f>
        <v>RS-SHL-WINS-V13-240101</v>
      </c>
      <c r="S111" s="262"/>
      <c r="T111" s="272">
        <v>0.10827529411764705</v>
      </c>
      <c r="U111" s="272">
        <v>0.10827529411764705</v>
      </c>
      <c r="V111" s="272">
        <v>0.10827529411764705</v>
      </c>
      <c r="W111" s="272">
        <v>0.10827529411764705</v>
      </c>
      <c r="X111" s="273">
        <f>IFERROR(INDEX('Measure Level Detail'!$R:$R,MATCH($B111&amp;"_"&amp;X$3,'Measure Level Detail'!$C:$C,0)),0)</f>
        <v>1</v>
      </c>
      <c r="Y111" s="273">
        <f>IFERROR(INDEX('Measure Level Detail'!$R:$R,MATCH($B111&amp;"_"&amp;Y$3,'Measure Level Detail'!$C:$C,0)),0)</f>
        <v>1</v>
      </c>
      <c r="Z111" s="273">
        <f>IFERROR(INDEX('Measure Level Detail'!$R:$R,MATCH($B111&amp;"_"&amp;Z$3,'Measure Level Detail'!$C:$C,0)),0)</f>
        <v>1</v>
      </c>
      <c r="AA111" s="273">
        <f>IFERROR(INDEX('Measure Level Detail'!$R:$R,MATCH($B111&amp;"_"&amp;AA$3,'Measure Level Detail'!$C:$C,0)),0)</f>
        <v>1</v>
      </c>
      <c r="AB111" s="266">
        <f t="shared" si="47"/>
        <v>779.58211764705879</v>
      </c>
      <c r="AC111" s="266">
        <f t="shared" si="48"/>
        <v>974.47764705882344</v>
      </c>
      <c r="AD111" s="266">
        <f t="shared" si="49"/>
        <v>1754.0597647058823</v>
      </c>
      <c r="AE111" s="266">
        <f t="shared" si="50"/>
        <v>1948.9552941176469</v>
      </c>
      <c r="AF111" s="266">
        <f t="shared" si="51"/>
        <v>5457.0748235294113</v>
      </c>
      <c r="AG111" s="274">
        <v>1</v>
      </c>
      <c r="AH111" s="274">
        <v>1</v>
      </c>
      <c r="AI111" s="274">
        <v>1</v>
      </c>
      <c r="AJ111" s="274">
        <v>1</v>
      </c>
      <c r="AK111" s="274">
        <f t="shared" si="52"/>
        <v>1</v>
      </c>
      <c r="AL111" s="274">
        <f t="shared" si="53"/>
        <v>1</v>
      </c>
      <c r="AM111" s="274">
        <f t="shared" si="54"/>
        <v>1</v>
      </c>
      <c r="AN111" s="274">
        <f t="shared" si="55"/>
        <v>1</v>
      </c>
      <c r="AO111" s="262"/>
      <c r="AP111" s="262"/>
      <c r="AQ111" s="267">
        <v>0.10827529411764705</v>
      </c>
      <c r="AR111" s="262"/>
      <c r="AS111" s="266">
        <f t="shared" si="56"/>
        <v>779.58211764705879</v>
      </c>
      <c r="AT111" s="264">
        <f t="shared" si="57"/>
        <v>0</v>
      </c>
      <c r="AU111" s="262"/>
      <c r="AV111" s="262"/>
      <c r="AW111" s="265">
        <v>0.10827529411764705</v>
      </c>
      <c r="AX111" s="164" t="s">
        <v>2393</v>
      </c>
      <c r="AY111" s="266">
        <v>974.47764705882344</v>
      </c>
      <c r="AZ111" s="266">
        <f t="shared" si="58"/>
        <v>974.47764705882344</v>
      </c>
      <c r="BA111" s="264">
        <f t="shared" si="59"/>
        <v>0</v>
      </c>
      <c r="BB111" s="262"/>
      <c r="BC111" s="262"/>
      <c r="BD111" s="265">
        <f ca="1">IFERROR(INDEX(Algorithms!$G:$G,MATCH($C111&amp;"_Therm Saved per Unit",Algorithms!$A:$A,0)),0)</f>
        <v>0.10668494117647059</v>
      </c>
      <c r="BE111" s="164" t="str">
        <f ca="1">IFERROR(INDEX('v12 Revisions'!$P$29:$P$186, MATCH('Measure-Level Adj Gas'!$L111, 'v12 Revisions'!$D$29:$D$186,0)),"")</f>
        <v>Updated HDD from 5113 to 4798 and shell adjustment factor from 0.60 to 0.63 ; Updated measure life to 30 years.</v>
      </c>
      <c r="BF111" s="266">
        <f t="shared" ca="1" si="60"/>
        <v>1728.2960470588237</v>
      </c>
      <c r="BG111" s="264">
        <f t="shared" ca="1" si="61"/>
        <v>-25.763717647058684</v>
      </c>
      <c r="BH111" s="262"/>
      <c r="BI111" s="262"/>
      <c r="BJ111" s="265">
        <f ca="1">IFERROR(INDEX(Algorithms!$G:$G,MATCH($C111&amp;"_Therm Saved per Unit",Algorithms!$A:$A,0)),0)</f>
        <v>0.10668494117647059</v>
      </c>
      <c r="BK111" s="164"/>
      <c r="BL111" s="266">
        <f t="shared" ca="1" si="62"/>
        <v>1920.3289411764706</v>
      </c>
      <c r="BM111" s="264">
        <f t="shared" ca="1" si="63"/>
        <v>-28.626352941176265</v>
      </c>
      <c r="BN111" s="266">
        <f t="shared" si="64"/>
        <v>779.58211764705879</v>
      </c>
      <c r="BO111" s="266">
        <f t="shared" si="65"/>
        <v>974.47764705882344</v>
      </c>
      <c r="BP111" s="266">
        <f t="shared" ca="1" si="66"/>
        <v>1728.2960470588237</v>
      </c>
      <c r="BQ111" s="266">
        <f t="shared" ca="1" si="67"/>
        <v>1920.3289411764706</v>
      </c>
      <c r="BR111" s="268">
        <f t="shared" ca="1" si="68"/>
        <v>5402.6847529411762</v>
      </c>
      <c r="BS111" s="262" t="s">
        <v>99</v>
      </c>
      <c r="BT111" s="277"/>
      <c r="BW111" s="266">
        <f t="shared" si="69"/>
        <v>779.58211764705879</v>
      </c>
      <c r="BX111" s="266">
        <f t="shared" si="70"/>
        <v>974.47764705882344</v>
      </c>
      <c r="BY111" s="266">
        <f t="shared" si="71"/>
        <v>1754.0597647058823</v>
      </c>
      <c r="BZ111" s="266">
        <f t="shared" si="72"/>
        <v>1948.9552941176469</v>
      </c>
      <c r="CA111" s="266">
        <f ca="1">N111*IFERROR(INDEX(Algorithms!$G:$G,MATCH($C111&amp;"_Therm Saved per Unit- MLA",Algorithms!$A:$A,0)),0)*X111</f>
        <v>813.31578685121099</v>
      </c>
      <c r="CB111" s="266">
        <f ca="1">O111*IFERROR(INDEX(Algorithms!$G:$G,MATCH($C111&amp;"_Therm Saved per Unit- MLA",Algorithms!$A:$A,0)),0)*Y111</f>
        <v>1016.6447335640138</v>
      </c>
      <c r="CC111" s="266">
        <f ca="1">P111*IFERROR(INDEX(Algorithms!$G:$G,MATCH($C111&amp;"_Therm Saved per Unit- MLA",Algorithms!$A:$A,0)),0)*Z111</f>
        <v>1829.9605204152249</v>
      </c>
      <c r="CD111" s="266">
        <f ca="1">Q111*IFERROR(INDEX(Algorithms!$G:$G,MATCH($C111&amp;"_Therm Saved per Unit- MLA",Algorithms!$A:$A,0)),0)*AA111</f>
        <v>2033.2894671280276</v>
      </c>
      <c r="CE111" s="266">
        <f ca="1">IFERROR(INDEX(Algorithms!$G:$G,MATCH($C111&amp;"_Lifetime (years)",Algorithms!$A:$A,0)),0)</f>
        <v>30</v>
      </c>
      <c r="CF111" s="266">
        <f ca="1">IFERROR(INDEX(Algorithms!$G:$G,MATCH($C111&amp;"_Lifetime (years) - Remaining Years",Algorithms!$A:$A,0)),0)</f>
        <v>10</v>
      </c>
      <c r="CG111" s="266">
        <f t="shared" ca="1" si="73"/>
        <v>24062.136913494807</v>
      </c>
      <c r="CH111" s="266">
        <f t="shared" ca="1" si="74"/>
        <v>30077.671141868508</v>
      </c>
      <c r="CI111" s="266">
        <f t="shared" ca="1" si="75"/>
        <v>54139.808055363319</v>
      </c>
      <c r="CJ111" s="266">
        <f t="shared" ca="1" si="76"/>
        <v>60155.342283737016</v>
      </c>
      <c r="CK111" s="266">
        <f t="shared" si="77"/>
        <v>779.58211764705879</v>
      </c>
      <c r="CL111" s="266">
        <f t="shared" si="78"/>
        <v>974.47764705882344</v>
      </c>
      <c r="CM111" s="266">
        <f t="shared" ca="1" si="79"/>
        <v>1728.2960470588237</v>
      </c>
      <c r="CN111" s="266">
        <f t="shared" ca="1" si="80"/>
        <v>1920.3289411764706</v>
      </c>
      <c r="CO111" s="266">
        <f ca="1">N111*IFERROR(INDEX(Algorithms!$G:$G,MATCH($C111&amp;"_Therm Saved per Unit- MLA",Algorithms!$A:$A,0)),0)*X111</f>
        <v>813.31578685121099</v>
      </c>
      <c r="CP111" s="266">
        <f ca="1">O111*IFERROR(INDEX(Algorithms!$G:$G,MATCH($C111&amp;"_Therm Saved per Unit- MLA",Algorithms!$A:$A,0)),0)*Y111</f>
        <v>1016.6447335640138</v>
      </c>
      <c r="CQ111" s="266">
        <f ca="1">P111*IFERROR(INDEX(Algorithms!$G:$G,MATCH($C111&amp;"_Therm Saved per Unit- MLA",Algorithms!$A:$A,0)),0)*Z111</f>
        <v>1829.9605204152249</v>
      </c>
      <c r="CR111" s="266">
        <f ca="1">Q111*IFERROR(INDEX(Algorithms!$G:$G,MATCH($C111&amp;"_Therm Saved per Unit- MLA",Algorithms!$A:$A,0)),0)*AA111</f>
        <v>2033.2894671280276</v>
      </c>
      <c r="CS111" s="266">
        <f ca="1">IFERROR(INDEX(Algorithms!$G:$G,MATCH($C111&amp;"_Lifetime (years)",Algorithms!$A:$A,0)),0)</f>
        <v>30</v>
      </c>
      <c r="CT111" s="266">
        <f ca="1">IFERROR(INDEX(Algorithms!$G:$G,MATCH($C111&amp;"_Lifetime (years) - Remaining Years",Algorithms!$A:$A,0)),0)</f>
        <v>10</v>
      </c>
      <c r="CU111" s="266">
        <f t="shared" ca="1" si="81"/>
        <v>24062.136913494807</v>
      </c>
      <c r="CV111" s="266">
        <f t="shared" ca="1" si="82"/>
        <v>30077.671141868508</v>
      </c>
      <c r="CW111" s="266">
        <f t="shared" ca="1" si="83"/>
        <v>53882.170878892735</v>
      </c>
      <c r="CX111" s="266">
        <f t="shared" ca="1" si="84"/>
        <v>59869.078754325252</v>
      </c>
    </row>
    <row r="112" spans="2:102" s="47" customFormat="1" ht="18" customHeight="1" x14ac:dyDescent="0.25">
      <c r="B112" t="str">
        <f t="shared" si="85"/>
        <v>NSG_Residential_Home Energy Rebate_Partner Trade Ally Rebate_Duct Sealing_0_SF</v>
      </c>
      <c r="C112" s="47" t="str">
        <f t="shared" si="46"/>
        <v>Duct Sealing_0_SF</v>
      </c>
      <c r="D112" s="270" t="s">
        <v>1787</v>
      </c>
      <c r="E112" s="270" t="s">
        <v>2</v>
      </c>
      <c r="F112" s="270" t="s">
        <v>1417</v>
      </c>
      <c r="G112" s="270" t="s">
        <v>1799</v>
      </c>
      <c r="H112" s="270" t="s">
        <v>680</v>
      </c>
      <c r="I112" s="270">
        <v>0</v>
      </c>
      <c r="J112" s="270" t="s">
        <v>409</v>
      </c>
      <c r="K112" s="263">
        <v>1</v>
      </c>
      <c r="L112" s="263" t="str">
        <f ca="1">IFERROR(INDEX(Algorithms!J:J,MATCH($C112&amp;"_Therm Saved per Unit",Algorithms!$A:$A,0)),"n/a")</f>
        <v>5.3.4</v>
      </c>
      <c r="M112" s="263" t="str">
        <f>IFERROR(INDEX('Measure Level Detail'!$N:$N,MATCH($B112,'Measure Level Detail'!$B:$B,0)),0)</f>
        <v>CFM_25</v>
      </c>
      <c r="N112" s="271">
        <f>IFERROR(INDEX('Measure Level Detail'!$P:$P,MATCH($B112&amp;"_"&amp;N$3,'Measure Level Detail'!$C:$C,0)),0)</f>
        <v>6000</v>
      </c>
      <c r="O112" s="271">
        <f>IFERROR(INDEX('Measure Level Detail'!$P:$P,MATCH($B112&amp;"_"&amp;O$3,'Measure Level Detail'!$C:$C,0)),0)</f>
        <v>6000</v>
      </c>
      <c r="P112" s="271">
        <f>IFERROR(INDEX('Measure Level Detail'!$P:$P,MATCH($B112&amp;"_"&amp;P$3,'Measure Level Detail'!$C:$C,0)),0)</f>
        <v>6000</v>
      </c>
      <c r="Q112" s="271">
        <f>IFERROR(INDEX('Measure Level Detail'!$P:$P,MATCH($B112&amp;"_"&amp;Q$3,'Measure Level Detail'!$C:$C,0)),0)</f>
        <v>6000</v>
      </c>
      <c r="R112" s="263" t="str">
        <f ca="1">IFERROR(INDEX(Algorithms!K:K,MATCH($C112&amp;"_Therm Saved per Unit",Algorithms!$A:$A,0)),"n/a")</f>
        <v>RS-HVC-DINS-V12-240101</v>
      </c>
      <c r="S112" s="262"/>
      <c r="T112" s="272">
        <v>0.70396939263510283</v>
      </c>
      <c r="U112" s="272">
        <v>0.70396939263510283</v>
      </c>
      <c r="V112" s="272">
        <v>0.70396939263510283</v>
      </c>
      <c r="W112" s="272">
        <v>0.70396939263510283</v>
      </c>
      <c r="X112" s="273">
        <f>IFERROR(INDEX('Measure Level Detail'!$R:$R,MATCH($B112&amp;"_"&amp;X$3,'Measure Level Detail'!$C:$C,0)),0)</f>
        <v>0.87</v>
      </c>
      <c r="Y112" s="273">
        <f>IFERROR(INDEX('Measure Level Detail'!$R:$R,MATCH($B112&amp;"_"&amp;Y$3,'Measure Level Detail'!$C:$C,0)),0)</f>
        <v>0.87</v>
      </c>
      <c r="Z112" s="273">
        <f>IFERROR(INDEX('Measure Level Detail'!$R:$R,MATCH($B112&amp;"_"&amp;Z$3,'Measure Level Detail'!$C:$C,0)),0)</f>
        <v>0.87</v>
      </c>
      <c r="AA112" s="273">
        <f>IFERROR(INDEX('Measure Level Detail'!$R:$R,MATCH($B112&amp;"_"&amp;AA$3,'Measure Level Detail'!$C:$C,0)),0)</f>
        <v>0.87</v>
      </c>
      <c r="AB112" s="266">
        <f t="shared" si="47"/>
        <v>3674.720229555237</v>
      </c>
      <c r="AC112" s="266">
        <f t="shared" si="48"/>
        <v>3674.720229555237</v>
      </c>
      <c r="AD112" s="266">
        <f t="shared" si="49"/>
        <v>3674.720229555237</v>
      </c>
      <c r="AE112" s="266">
        <f t="shared" si="50"/>
        <v>3674.720229555237</v>
      </c>
      <c r="AF112" s="266">
        <f t="shared" si="51"/>
        <v>14698.880918220948</v>
      </c>
      <c r="AG112" s="274">
        <v>0.87</v>
      </c>
      <c r="AH112" s="274">
        <v>0.87</v>
      </c>
      <c r="AI112" s="274">
        <v>0.87</v>
      </c>
      <c r="AJ112" s="274">
        <v>0.87</v>
      </c>
      <c r="AK112" s="274">
        <f t="shared" si="52"/>
        <v>0.87</v>
      </c>
      <c r="AL112" s="274">
        <f t="shared" si="53"/>
        <v>0.87</v>
      </c>
      <c r="AM112" s="274">
        <f t="shared" si="54"/>
        <v>0.87</v>
      </c>
      <c r="AN112" s="274">
        <f t="shared" si="55"/>
        <v>0.87</v>
      </c>
      <c r="AO112" s="262"/>
      <c r="AP112" s="262"/>
      <c r="AQ112" s="267">
        <v>0.70396939263510283</v>
      </c>
      <c r="AR112" s="262"/>
      <c r="AS112" s="266">
        <f t="shared" si="56"/>
        <v>3674.720229555237</v>
      </c>
      <c r="AT112" s="264">
        <f t="shared" si="57"/>
        <v>0</v>
      </c>
      <c r="AU112" s="262"/>
      <c r="AV112" s="262"/>
      <c r="AW112" s="265">
        <v>0.70396939263510283</v>
      </c>
      <c r="AX112" s="164" t="s">
        <v>1469</v>
      </c>
      <c r="AY112" s="266">
        <v>3674.720229555237</v>
      </c>
      <c r="AZ112" s="266">
        <f t="shared" si="58"/>
        <v>3674.720229555237</v>
      </c>
      <c r="BA112" s="264">
        <f t="shared" si="59"/>
        <v>0</v>
      </c>
      <c r="BB112" s="262"/>
      <c r="BC112" s="262"/>
      <c r="BD112" s="265">
        <f ca="1">IFERROR(INDEX(Algorithms!$G:$G,MATCH($C112&amp;"_Therm Saved per Unit",Algorithms!$A:$A,0)),0)</f>
        <v>0.66035389765662356</v>
      </c>
      <c r="BE112" s="164" t="str">
        <f ca="1">IFERROR(INDEX('v12 Revisions'!$P$29:$P$186, MATCH('Measure-Level Adj Gas'!$L112, 'v12 Revisions'!$D$29:$D$186,0)),"")</f>
        <v>Updated full load hours of heating from 1840 to 1726 ; Revision of mid-life adjustment algorithm.</v>
      </c>
      <c r="BF112" s="266">
        <f t="shared" ca="1" si="60"/>
        <v>3447.0473457675748</v>
      </c>
      <c r="BG112" s="264">
        <f t="shared" ca="1" si="61"/>
        <v>-227.67288378766216</v>
      </c>
      <c r="BH112" s="262"/>
      <c r="BI112" s="262"/>
      <c r="BJ112" s="265">
        <f ca="1">IFERROR(INDEX(Algorithms!$G:$G,MATCH($C112&amp;"_Therm Saved per Unit",Algorithms!$A:$A,0)),0)</f>
        <v>0.66035389765662356</v>
      </c>
      <c r="BK112" s="164"/>
      <c r="BL112" s="266">
        <f t="shared" ca="1" si="62"/>
        <v>3447.0473457675748</v>
      </c>
      <c r="BM112" s="264">
        <f t="shared" ca="1" si="63"/>
        <v>-227.67288378766216</v>
      </c>
      <c r="BN112" s="266">
        <f t="shared" si="64"/>
        <v>3674.720229555237</v>
      </c>
      <c r="BO112" s="266">
        <f t="shared" si="65"/>
        <v>3674.720229555237</v>
      </c>
      <c r="BP112" s="266">
        <f t="shared" ca="1" si="66"/>
        <v>3447.0473457675748</v>
      </c>
      <c r="BQ112" s="266">
        <f t="shared" ca="1" si="67"/>
        <v>3447.0473457675748</v>
      </c>
      <c r="BR112" s="268">
        <f t="shared" ca="1" si="68"/>
        <v>14243.535150645623</v>
      </c>
      <c r="BS112" s="262" t="s">
        <v>99</v>
      </c>
      <c r="BT112" s="277"/>
      <c r="BW112" s="266">
        <f t="shared" si="69"/>
        <v>3674.720229555237</v>
      </c>
      <c r="BX112" s="266">
        <f t="shared" si="70"/>
        <v>3674.720229555237</v>
      </c>
      <c r="BY112" s="266">
        <f t="shared" si="71"/>
        <v>3674.720229555237</v>
      </c>
      <c r="BZ112" s="266">
        <f t="shared" si="72"/>
        <v>3674.720229555237</v>
      </c>
      <c r="CA112" s="266">
        <f ca="1">N112*IFERROR(INDEX(Algorithms!$G:$G,MATCH($C112&amp;"_Therm Saved per Unit- MLA",Algorithms!$A:$A,0)),0)*X112</f>
        <v>3120.5932691417961</v>
      </c>
      <c r="CB112" s="266">
        <f ca="1">O112*IFERROR(INDEX(Algorithms!$G:$G,MATCH($C112&amp;"_Therm Saved per Unit- MLA",Algorithms!$A:$A,0)),0)*Y112</f>
        <v>3120.5932691417961</v>
      </c>
      <c r="CC112" s="266">
        <f ca="1">P112*IFERROR(INDEX(Algorithms!$G:$G,MATCH($C112&amp;"_Therm Saved per Unit- MLA",Algorithms!$A:$A,0)),0)*Z112</f>
        <v>3120.5932691417961</v>
      </c>
      <c r="CD112" s="266">
        <f ca="1">Q112*IFERROR(INDEX(Algorithms!$G:$G,MATCH($C112&amp;"_Therm Saved per Unit- MLA",Algorithms!$A:$A,0)),0)*AA112</f>
        <v>3120.5932691417961</v>
      </c>
      <c r="CE112" s="266">
        <f ca="1">IFERROR(INDEX(Algorithms!$G:$G,MATCH($C112&amp;"_Lifetime (years)",Algorithms!$A:$A,0)),0)</f>
        <v>20</v>
      </c>
      <c r="CF112" s="266">
        <f ca="1">IFERROR(INDEX(Algorithms!$G:$G,MATCH($C112&amp;"_Lifetime (years) - Remaining Years",Algorithms!$A:$A,0)),0)</f>
        <v>10</v>
      </c>
      <c r="CG112" s="266">
        <f t="shared" ca="1" si="73"/>
        <v>67953.134986970341</v>
      </c>
      <c r="CH112" s="266">
        <f t="shared" ca="1" si="74"/>
        <v>67953.134986970341</v>
      </c>
      <c r="CI112" s="266">
        <f t="shared" ca="1" si="75"/>
        <v>67953.134986970341</v>
      </c>
      <c r="CJ112" s="266">
        <f t="shared" ca="1" si="76"/>
        <v>67953.134986970341</v>
      </c>
      <c r="CK112" s="266">
        <f t="shared" si="77"/>
        <v>3674.720229555237</v>
      </c>
      <c r="CL112" s="266">
        <f t="shared" si="78"/>
        <v>3674.720229555237</v>
      </c>
      <c r="CM112" s="266">
        <f t="shared" ca="1" si="79"/>
        <v>3447.0473457675748</v>
      </c>
      <c r="CN112" s="266">
        <f t="shared" ca="1" si="80"/>
        <v>3447.0473457675748</v>
      </c>
      <c r="CO112" s="266">
        <f ca="1">N112*IFERROR(INDEX(Algorithms!$G:$G,MATCH($C112&amp;"_Therm Saved per Unit- MLA",Algorithms!$A:$A,0)),0)*X112</f>
        <v>3120.5932691417961</v>
      </c>
      <c r="CP112" s="266">
        <f ca="1">O112*IFERROR(INDEX(Algorithms!$G:$G,MATCH($C112&amp;"_Therm Saved per Unit- MLA",Algorithms!$A:$A,0)),0)*Y112</f>
        <v>3120.5932691417961</v>
      </c>
      <c r="CQ112" s="266">
        <f ca="1">P112*IFERROR(INDEX(Algorithms!$G:$G,MATCH($C112&amp;"_Therm Saved per Unit- MLA",Algorithms!$A:$A,0)),0)*Z112</f>
        <v>3120.5932691417961</v>
      </c>
      <c r="CR112" s="266">
        <f ca="1">Q112*IFERROR(INDEX(Algorithms!$G:$G,MATCH($C112&amp;"_Therm Saved per Unit- MLA",Algorithms!$A:$A,0)),0)*AA112</f>
        <v>3120.5932691417961</v>
      </c>
      <c r="CS112" s="266">
        <f ca="1">IFERROR(INDEX(Algorithms!$G:$G,MATCH($C112&amp;"_Lifetime (years)",Algorithms!$A:$A,0)),0)</f>
        <v>20</v>
      </c>
      <c r="CT112" s="266">
        <f ca="1">IFERROR(INDEX(Algorithms!$G:$G,MATCH($C112&amp;"_Lifetime (years) - Remaining Years",Algorithms!$A:$A,0)),0)</f>
        <v>10</v>
      </c>
      <c r="CU112" s="266">
        <f t="shared" ca="1" si="81"/>
        <v>67953.134986970341</v>
      </c>
      <c r="CV112" s="266">
        <f t="shared" ca="1" si="82"/>
        <v>67953.134986970341</v>
      </c>
      <c r="CW112" s="266">
        <f t="shared" ca="1" si="83"/>
        <v>65676.406149093702</v>
      </c>
      <c r="CX112" s="266">
        <f t="shared" ca="1" si="84"/>
        <v>65676.406149093702</v>
      </c>
    </row>
    <row r="113" spans="2:102" s="47" customFormat="1" ht="18" customHeight="1" x14ac:dyDescent="0.25">
      <c r="B113" t="str">
        <f t="shared" si="85"/>
        <v>NSG_Income Eligible_Single Family_IHWAP_Wall Insulation_0_SF</v>
      </c>
      <c r="C113" s="47" t="str">
        <f t="shared" si="46"/>
        <v>Wall Insulation_0_SF</v>
      </c>
      <c r="D113" s="270" t="s">
        <v>1787</v>
      </c>
      <c r="E113" s="270" t="s">
        <v>325</v>
      </c>
      <c r="F113" s="270" t="s">
        <v>375</v>
      </c>
      <c r="G113" s="270" t="s">
        <v>1439</v>
      </c>
      <c r="H113" s="270" t="s">
        <v>222</v>
      </c>
      <c r="I113" s="270">
        <v>0</v>
      </c>
      <c r="J113" s="270" t="s">
        <v>409</v>
      </c>
      <c r="K113" s="263">
        <v>1</v>
      </c>
      <c r="L113" s="263" t="str">
        <f ca="1">IFERROR(INDEX(Algorithms!J:J,MATCH($C113&amp;"_Therm Saved per Unit",Algorithms!$A:$A,0)),"n/a")</f>
        <v>5.6.4</v>
      </c>
      <c r="M113" s="263" t="str">
        <f>IFERROR(INDEX('Measure Level Detail'!$N:$N,MATCH($B113,'Measure Level Detail'!$B:$B,0)),0)</f>
        <v>sq ft</v>
      </c>
      <c r="N113" s="271">
        <f>IFERROR(INDEX('Measure Level Detail'!$P:$P,MATCH($B113&amp;"_"&amp;N$3,'Measure Level Detail'!$C:$C,0)),0)</f>
        <v>5000</v>
      </c>
      <c r="O113" s="271">
        <f>IFERROR(INDEX('Measure Level Detail'!$P:$P,MATCH($B113&amp;"_"&amp;O$3,'Measure Level Detail'!$C:$C,0)),0)</f>
        <v>5500</v>
      </c>
      <c r="P113" s="271">
        <f>IFERROR(INDEX('Measure Level Detail'!$P:$P,MATCH($B113&amp;"_"&amp;P$3,'Measure Level Detail'!$C:$C,0)),0)</f>
        <v>7000</v>
      </c>
      <c r="Q113" s="271">
        <f>IFERROR(INDEX('Measure Level Detail'!$P:$P,MATCH($B113&amp;"_"&amp;Q$3,'Measure Level Detail'!$C:$C,0)),0)</f>
        <v>7500</v>
      </c>
      <c r="R113" s="263" t="str">
        <f ca="1">IFERROR(INDEX(Algorithms!K:K,MATCH($C113&amp;"_Therm Saved per Unit",Algorithms!$A:$A,0)),"n/a")</f>
        <v>RS-SHL-WINS-V13-240101</v>
      </c>
      <c r="S113" s="262"/>
      <c r="T113" s="272">
        <v>0.10827529411764705</v>
      </c>
      <c r="U113" s="272">
        <v>0.10827529411764705</v>
      </c>
      <c r="V113" s="272">
        <v>0.10827529411764705</v>
      </c>
      <c r="W113" s="272">
        <v>0.10827529411764705</v>
      </c>
      <c r="X113" s="273">
        <f>IFERROR(INDEX('Measure Level Detail'!$R:$R,MATCH($B113&amp;"_"&amp;X$3,'Measure Level Detail'!$C:$C,0)),0)</f>
        <v>1</v>
      </c>
      <c r="Y113" s="273">
        <f>IFERROR(INDEX('Measure Level Detail'!$R:$R,MATCH($B113&amp;"_"&amp;Y$3,'Measure Level Detail'!$C:$C,0)),0)</f>
        <v>1</v>
      </c>
      <c r="Z113" s="273">
        <f>IFERROR(INDEX('Measure Level Detail'!$R:$R,MATCH($B113&amp;"_"&amp;Z$3,'Measure Level Detail'!$C:$C,0)),0)</f>
        <v>1</v>
      </c>
      <c r="AA113" s="273">
        <f>IFERROR(INDEX('Measure Level Detail'!$R:$R,MATCH($B113&amp;"_"&amp;AA$3,'Measure Level Detail'!$C:$C,0)),0)</f>
        <v>1</v>
      </c>
      <c r="AB113" s="266">
        <f t="shared" si="47"/>
        <v>541.37647058823529</v>
      </c>
      <c r="AC113" s="266">
        <f t="shared" si="48"/>
        <v>595.51411764705881</v>
      </c>
      <c r="AD113" s="266">
        <f t="shared" si="49"/>
        <v>757.92705882352936</v>
      </c>
      <c r="AE113" s="266">
        <f t="shared" si="50"/>
        <v>812.06470588235288</v>
      </c>
      <c r="AF113" s="266">
        <f t="shared" si="51"/>
        <v>2706.8823529411766</v>
      </c>
      <c r="AG113" s="274">
        <v>1</v>
      </c>
      <c r="AH113" s="274">
        <v>1</v>
      </c>
      <c r="AI113" s="274">
        <v>1</v>
      </c>
      <c r="AJ113" s="274">
        <v>1</v>
      </c>
      <c r="AK113" s="274">
        <f t="shared" si="52"/>
        <v>1</v>
      </c>
      <c r="AL113" s="274">
        <f t="shared" si="53"/>
        <v>1</v>
      </c>
      <c r="AM113" s="274">
        <f t="shared" si="54"/>
        <v>1</v>
      </c>
      <c r="AN113" s="274">
        <f t="shared" si="55"/>
        <v>1</v>
      </c>
      <c r="AO113" s="262"/>
      <c r="AP113" s="262"/>
      <c r="AQ113" s="267">
        <v>0.10827529411764705</v>
      </c>
      <c r="AR113" s="262"/>
      <c r="AS113" s="266">
        <f t="shared" si="56"/>
        <v>541.37647058823529</v>
      </c>
      <c r="AT113" s="264">
        <f t="shared" si="57"/>
        <v>0</v>
      </c>
      <c r="AU113" s="262"/>
      <c r="AV113" s="262"/>
      <c r="AW113" s="265">
        <v>0.10827529411764705</v>
      </c>
      <c r="AX113" s="164" t="s">
        <v>2393</v>
      </c>
      <c r="AY113" s="266">
        <v>595.51411764705881</v>
      </c>
      <c r="AZ113" s="266">
        <f t="shared" si="58"/>
        <v>595.51411764705881</v>
      </c>
      <c r="BA113" s="264">
        <f t="shared" si="59"/>
        <v>0</v>
      </c>
      <c r="BB113" s="262"/>
      <c r="BC113" s="262"/>
      <c r="BD113" s="265">
        <f ca="1">IFERROR(INDEX(Algorithms!$G:$G,MATCH($C113&amp;"_Therm Saved per Unit",Algorithms!$A:$A,0)),0)</f>
        <v>0.10668494117647059</v>
      </c>
      <c r="BE113" s="164" t="str">
        <f ca="1">IFERROR(INDEX('v12 Revisions'!$P$29:$P$186, MATCH('Measure-Level Adj Gas'!$L113, 'v12 Revisions'!$D$29:$D$186,0)),"")</f>
        <v>Updated HDD from 5113 to 4798 and shell adjustment factor from 0.60 to 0.63 ; Updated measure life to 30 years.</v>
      </c>
      <c r="BF113" s="266">
        <f t="shared" ca="1" si="60"/>
        <v>746.7945882352941</v>
      </c>
      <c r="BG113" s="264">
        <f t="shared" ca="1" si="61"/>
        <v>-11.132470588235265</v>
      </c>
      <c r="BH113" s="262"/>
      <c r="BI113" s="262"/>
      <c r="BJ113" s="265">
        <f ca="1">IFERROR(INDEX(Algorithms!$G:$G,MATCH($C113&amp;"_Therm Saved per Unit",Algorithms!$A:$A,0)),0)</f>
        <v>0.10668494117647059</v>
      </c>
      <c r="BK113" s="164"/>
      <c r="BL113" s="266">
        <f t="shared" ca="1" si="62"/>
        <v>800.1370588235294</v>
      </c>
      <c r="BM113" s="264">
        <f t="shared" ca="1" si="63"/>
        <v>-11.927647058823482</v>
      </c>
      <c r="BN113" s="266">
        <f t="shared" si="64"/>
        <v>541.37647058823529</v>
      </c>
      <c r="BO113" s="266">
        <f t="shared" si="65"/>
        <v>595.51411764705881</v>
      </c>
      <c r="BP113" s="266">
        <f t="shared" ca="1" si="66"/>
        <v>746.7945882352941</v>
      </c>
      <c r="BQ113" s="266">
        <f t="shared" ca="1" si="67"/>
        <v>800.1370588235294</v>
      </c>
      <c r="BR113" s="268">
        <f t="shared" ca="1" si="68"/>
        <v>2683.8222352941179</v>
      </c>
      <c r="BS113" s="262" t="s">
        <v>99</v>
      </c>
      <c r="BT113" s="277"/>
      <c r="BW113" s="266">
        <f t="shared" si="69"/>
        <v>541.37647058823529</v>
      </c>
      <c r="BX113" s="266">
        <f t="shared" si="70"/>
        <v>595.51411764705881</v>
      </c>
      <c r="BY113" s="266">
        <f t="shared" si="71"/>
        <v>757.92705882352936</v>
      </c>
      <c r="BZ113" s="266">
        <f t="shared" si="72"/>
        <v>812.06470588235288</v>
      </c>
      <c r="CA113" s="266">
        <f ca="1">N113*IFERROR(INDEX(Algorithms!$G:$G,MATCH($C113&amp;"_Therm Saved per Unit- MLA",Algorithms!$A:$A,0)),0)*X113</f>
        <v>564.80262975778544</v>
      </c>
      <c r="CB113" s="266">
        <f ca="1">O113*IFERROR(INDEX(Algorithms!$G:$G,MATCH($C113&amp;"_Therm Saved per Unit- MLA",Algorithms!$A:$A,0)),0)*Y113</f>
        <v>621.28289273356404</v>
      </c>
      <c r="CC113" s="266">
        <f ca="1">P113*IFERROR(INDEX(Algorithms!$G:$G,MATCH($C113&amp;"_Therm Saved per Unit- MLA",Algorithms!$A:$A,0)),0)*Z113</f>
        <v>790.72368166089962</v>
      </c>
      <c r="CD113" s="266">
        <f ca="1">Q113*IFERROR(INDEX(Algorithms!$G:$G,MATCH($C113&amp;"_Therm Saved per Unit- MLA",Algorithms!$A:$A,0)),0)*AA113</f>
        <v>847.20394463667822</v>
      </c>
      <c r="CE113" s="266">
        <f ca="1">IFERROR(INDEX(Algorithms!$G:$G,MATCH($C113&amp;"_Lifetime (years)",Algorithms!$A:$A,0)),0)</f>
        <v>30</v>
      </c>
      <c r="CF113" s="266">
        <f ca="1">IFERROR(INDEX(Algorithms!$G:$G,MATCH($C113&amp;"_Lifetime (years) - Remaining Years",Algorithms!$A:$A,0)),0)</f>
        <v>10</v>
      </c>
      <c r="CG113" s="266">
        <f t="shared" ca="1" si="73"/>
        <v>16709.817301038063</v>
      </c>
      <c r="CH113" s="266">
        <f t="shared" ca="1" si="74"/>
        <v>18380.799031141869</v>
      </c>
      <c r="CI113" s="266">
        <f t="shared" ca="1" si="75"/>
        <v>23393.744221453286</v>
      </c>
      <c r="CJ113" s="266">
        <f t="shared" ca="1" si="76"/>
        <v>25064.725951557091</v>
      </c>
      <c r="CK113" s="266">
        <f t="shared" si="77"/>
        <v>541.37647058823529</v>
      </c>
      <c r="CL113" s="266">
        <f t="shared" si="78"/>
        <v>595.51411764705881</v>
      </c>
      <c r="CM113" s="266">
        <f t="shared" ca="1" si="79"/>
        <v>746.7945882352941</v>
      </c>
      <c r="CN113" s="266">
        <f t="shared" ca="1" si="80"/>
        <v>800.1370588235294</v>
      </c>
      <c r="CO113" s="266">
        <f ca="1">N113*IFERROR(INDEX(Algorithms!$G:$G,MATCH($C113&amp;"_Therm Saved per Unit- MLA",Algorithms!$A:$A,0)),0)*X113</f>
        <v>564.80262975778544</v>
      </c>
      <c r="CP113" s="266">
        <f ca="1">O113*IFERROR(INDEX(Algorithms!$G:$G,MATCH($C113&amp;"_Therm Saved per Unit- MLA",Algorithms!$A:$A,0)),0)*Y113</f>
        <v>621.28289273356404</v>
      </c>
      <c r="CQ113" s="266">
        <f ca="1">P113*IFERROR(INDEX(Algorithms!$G:$G,MATCH($C113&amp;"_Therm Saved per Unit- MLA",Algorithms!$A:$A,0)),0)*Z113</f>
        <v>790.72368166089962</v>
      </c>
      <c r="CR113" s="266">
        <f ca="1">Q113*IFERROR(INDEX(Algorithms!$G:$G,MATCH($C113&amp;"_Therm Saved per Unit- MLA",Algorithms!$A:$A,0)),0)*AA113</f>
        <v>847.20394463667822</v>
      </c>
      <c r="CS113" s="266">
        <f ca="1">IFERROR(INDEX(Algorithms!$G:$G,MATCH($C113&amp;"_Lifetime (years)",Algorithms!$A:$A,0)),0)</f>
        <v>30</v>
      </c>
      <c r="CT113" s="266">
        <f ca="1">IFERROR(INDEX(Algorithms!$G:$G,MATCH($C113&amp;"_Lifetime (years) - Remaining Years",Algorithms!$A:$A,0)),0)</f>
        <v>10</v>
      </c>
      <c r="CU113" s="266">
        <f t="shared" ca="1" si="81"/>
        <v>16709.817301038063</v>
      </c>
      <c r="CV113" s="266">
        <f t="shared" ca="1" si="82"/>
        <v>18380.799031141869</v>
      </c>
      <c r="CW113" s="266">
        <f t="shared" ca="1" si="83"/>
        <v>23282.419515570935</v>
      </c>
      <c r="CX113" s="266">
        <f t="shared" ca="1" si="84"/>
        <v>24945.449480968859</v>
      </c>
    </row>
    <row r="114" spans="2:102" s="47" customFormat="1" ht="18" customHeight="1" x14ac:dyDescent="0.25">
      <c r="B114" t="str">
        <f t="shared" si="85"/>
        <v>NSG_Residential_Multi-Family_Partner Trade Ally Rebate_Boiler Tune Up_Space Heating_MF</v>
      </c>
      <c r="C114" s="47" t="str">
        <f t="shared" si="46"/>
        <v>Boiler Tune Up_Space Heating_MF</v>
      </c>
      <c r="D114" s="270" t="s">
        <v>1787</v>
      </c>
      <c r="E114" s="270" t="s">
        <v>2</v>
      </c>
      <c r="F114" s="270" t="s">
        <v>1422</v>
      </c>
      <c r="G114" s="270" t="s">
        <v>1799</v>
      </c>
      <c r="H114" s="270" t="s">
        <v>906</v>
      </c>
      <c r="I114" s="270" t="s">
        <v>907</v>
      </c>
      <c r="J114" s="270" t="s">
        <v>553</v>
      </c>
      <c r="K114" s="263">
        <v>1</v>
      </c>
      <c r="L114" s="263" t="str">
        <f ca="1">IFERROR(INDEX(Algorithms!J:J,MATCH($C114&amp;"_Therm Saved per Unit",Algorithms!$A:$A,0)),"n/a")</f>
        <v>4.4.2</v>
      </c>
      <c r="M114" s="263" t="str">
        <f>IFERROR(INDEX('Measure Level Detail'!$N:$N,MATCH($B114,'Measure Level Detail'!$B:$B,0)),0)</f>
        <v>MBH</v>
      </c>
      <c r="N114" s="271">
        <f>IFERROR(INDEX('Measure Level Detail'!$P:$P,MATCH($B114&amp;"_"&amp;N$3,'Measure Level Detail'!$C:$C,0)),0)</f>
        <v>4800</v>
      </c>
      <c r="O114" s="271">
        <f>IFERROR(INDEX('Measure Level Detail'!$P:$P,MATCH($B114&amp;"_"&amp;O$3,'Measure Level Detail'!$C:$C,0)),0)</f>
        <v>4800</v>
      </c>
      <c r="P114" s="271">
        <f>IFERROR(INDEX('Measure Level Detail'!$P:$P,MATCH($B114&amp;"_"&amp;P$3,'Measure Level Detail'!$C:$C,0)),0)</f>
        <v>4800</v>
      </c>
      <c r="Q114" s="271">
        <f>IFERROR(INDEX('Measure Level Detail'!$P:$P,MATCH($B114&amp;"_"&amp;Q$3,'Measure Level Detail'!$C:$C,0)),0)</f>
        <v>4800</v>
      </c>
      <c r="R114" s="263" t="str">
        <f ca="1">IFERROR(INDEX(Algorithms!K:K,MATCH($C114&amp;"_Therm Saved per Unit",Algorithms!$A:$A,0)),"n/a")</f>
        <v>CI-HVC-BLRT-V07-210101</v>
      </c>
      <c r="S114" s="262"/>
      <c r="T114" s="272">
        <v>0.46874846625766969</v>
      </c>
      <c r="U114" s="272">
        <v>0.46874846625766969</v>
      </c>
      <c r="V114" s="272">
        <v>0.46874846625766969</v>
      </c>
      <c r="W114" s="272">
        <v>0.46874846625766969</v>
      </c>
      <c r="X114" s="273">
        <f>IFERROR(INDEX('Measure Level Detail'!$R:$R,MATCH($B114&amp;"_"&amp;X$3,'Measure Level Detail'!$C:$C,0)),0)</f>
        <v>0.87</v>
      </c>
      <c r="Y114" s="273">
        <f>IFERROR(INDEX('Measure Level Detail'!$R:$R,MATCH($B114&amp;"_"&amp;Y$3,'Measure Level Detail'!$C:$C,0)),0)</f>
        <v>0.87</v>
      </c>
      <c r="Z114" s="273">
        <f>IFERROR(INDEX('Measure Level Detail'!$R:$R,MATCH($B114&amp;"_"&amp;Z$3,'Measure Level Detail'!$C:$C,0)),0)</f>
        <v>0.87</v>
      </c>
      <c r="AA114" s="273">
        <f>IFERROR(INDEX('Measure Level Detail'!$R:$R,MATCH($B114&amp;"_"&amp;AA$3,'Measure Level Detail'!$C:$C,0)),0)</f>
        <v>0.87</v>
      </c>
      <c r="AB114" s="266">
        <f t="shared" si="47"/>
        <v>1957.4935950920287</v>
      </c>
      <c r="AC114" s="266">
        <f t="shared" si="48"/>
        <v>1957.4935950920287</v>
      </c>
      <c r="AD114" s="266">
        <f t="shared" si="49"/>
        <v>1957.4935950920287</v>
      </c>
      <c r="AE114" s="266">
        <f t="shared" si="50"/>
        <v>1957.4935950920287</v>
      </c>
      <c r="AF114" s="266">
        <f t="shared" si="51"/>
        <v>7829.9743803681149</v>
      </c>
      <c r="AG114" s="274">
        <v>0.87</v>
      </c>
      <c r="AH114" s="274">
        <v>0.87</v>
      </c>
      <c r="AI114" s="710">
        <v>0.88</v>
      </c>
      <c r="AJ114" s="710">
        <v>0.88</v>
      </c>
      <c r="AK114" s="274">
        <f t="shared" si="52"/>
        <v>0.87</v>
      </c>
      <c r="AL114" s="274">
        <f t="shared" si="53"/>
        <v>0.87</v>
      </c>
      <c r="AM114" s="274">
        <f t="shared" si="54"/>
        <v>0.87</v>
      </c>
      <c r="AN114" s="274">
        <f t="shared" si="55"/>
        <v>0.87</v>
      </c>
      <c r="AO114" s="262"/>
      <c r="AP114" s="262"/>
      <c r="AQ114" s="267">
        <v>0.46874846625766969</v>
      </c>
      <c r="AR114" s="262"/>
      <c r="AS114" s="266">
        <f t="shared" si="56"/>
        <v>1957.4935950920287</v>
      </c>
      <c r="AT114" s="264">
        <f t="shared" si="57"/>
        <v>0</v>
      </c>
      <c r="AU114" s="262"/>
      <c r="AV114" s="262"/>
      <c r="AW114" s="265">
        <v>0.46874846625766969</v>
      </c>
      <c r="AX114" s="164" t="s">
        <v>1469</v>
      </c>
      <c r="AY114" s="266">
        <v>1957.4935950920287</v>
      </c>
      <c r="AZ114" s="266">
        <f t="shared" si="58"/>
        <v>1957.4935950920287</v>
      </c>
      <c r="BA114" s="264">
        <f t="shared" si="59"/>
        <v>0</v>
      </c>
      <c r="BB114" s="262"/>
      <c r="BC114" s="262"/>
      <c r="BD114" s="265">
        <f ca="1">IFERROR(INDEX(Algorithms!$G:$G,MATCH($C114&amp;"_Therm Saved per Unit",Algorithms!$A:$A,0)),0)</f>
        <v>0.46874846625766969</v>
      </c>
      <c r="BE114" s="164" t="str">
        <f ca="1">IFERROR(INDEX('v12 Revisions'!$P$29:$P$186, MATCH('Measure-Level Adj Gas'!$L114, 'v12 Revisions'!$D$29:$D$186,0)),"")</f>
        <v/>
      </c>
      <c r="BF114" s="266">
        <f t="shared" ca="1" si="60"/>
        <v>1957.4935950920287</v>
      </c>
      <c r="BG114" s="264">
        <f t="shared" ca="1" si="61"/>
        <v>0</v>
      </c>
      <c r="BH114" s="262"/>
      <c r="BI114" s="262"/>
      <c r="BJ114" s="265">
        <f ca="1">IFERROR(INDEX(Algorithms!$G:$G,MATCH($C114&amp;"_Therm Saved per Unit",Algorithms!$A:$A,0)),0)</f>
        <v>0.46874846625766969</v>
      </c>
      <c r="BK114" s="164"/>
      <c r="BL114" s="266">
        <f t="shared" ca="1" si="62"/>
        <v>1957.4935950920287</v>
      </c>
      <c r="BM114" s="264">
        <f t="shared" ca="1" si="63"/>
        <v>0</v>
      </c>
      <c r="BN114" s="266">
        <f t="shared" si="64"/>
        <v>1957.4935950920287</v>
      </c>
      <c r="BO114" s="266">
        <f t="shared" si="65"/>
        <v>1957.4935950920287</v>
      </c>
      <c r="BP114" s="266">
        <f t="shared" ca="1" si="66"/>
        <v>1957.4935950920287</v>
      </c>
      <c r="BQ114" s="266">
        <f t="shared" ca="1" si="67"/>
        <v>1957.4935950920287</v>
      </c>
      <c r="BR114" s="268">
        <f t="shared" ca="1" si="68"/>
        <v>7829.9743803681149</v>
      </c>
      <c r="BS114" s="262" t="s">
        <v>99</v>
      </c>
      <c r="BT114" s="277"/>
      <c r="BW114" s="266">
        <f t="shared" si="69"/>
        <v>1957.4935950920287</v>
      </c>
      <c r="BX114" s="266">
        <f t="shared" si="70"/>
        <v>1957.4935950920287</v>
      </c>
      <c r="BY114" s="266">
        <f t="shared" si="71"/>
        <v>1957.4935950920287</v>
      </c>
      <c r="BZ114" s="266">
        <f t="shared" si="72"/>
        <v>1957.4935950920287</v>
      </c>
      <c r="CA114" s="266">
        <f ca="1">N114*IFERROR(INDEX(Algorithms!$G:$G,MATCH($C114&amp;"_Therm Saved per Unit- MLA",Algorithms!$A:$A,0)),0)*X114</f>
        <v>0</v>
      </c>
      <c r="CB114" s="266">
        <f ca="1">O114*IFERROR(INDEX(Algorithms!$G:$G,MATCH($C114&amp;"_Therm Saved per Unit- MLA",Algorithms!$A:$A,0)),0)*Y114</f>
        <v>0</v>
      </c>
      <c r="CC114" s="266">
        <f ca="1">P114*IFERROR(INDEX(Algorithms!$G:$G,MATCH($C114&amp;"_Therm Saved per Unit- MLA",Algorithms!$A:$A,0)),0)*Z114</f>
        <v>0</v>
      </c>
      <c r="CD114" s="266">
        <f ca="1">Q114*IFERROR(INDEX(Algorithms!$G:$G,MATCH($C114&amp;"_Therm Saved per Unit- MLA",Algorithms!$A:$A,0)),0)*AA114</f>
        <v>0</v>
      </c>
      <c r="CE114" s="266">
        <f ca="1">IFERROR(INDEX(Algorithms!$G:$G,MATCH($C114&amp;"_Lifetime (years)",Algorithms!$A:$A,0)),0)</f>
        <v>3</v>
      </c>
      <c r="CF114" s="266">
        <f ca="1">IFERROR(INDEX(Algorithms!$G:$G,MATCH($C114&amp;"_Lifetime (years) - Remaining Years",Algorithms!$A:$A,0)),0)</f>
        <v>0</v>
      </c>
      <c r="CG114" s="266">
        <f t="shared" ca="1" si="73"/>
        <v>5872.480785276086</v>
      </c>
      <c r="CH114" s="266">
        <f t="shared" ca="1" si="74"/>
        <v>5872.480785276086</v>
      </c>
      <c r="CI114" s="266">
        <f t="shared" ca="1" si="75"/>
        <v>5872.480785276086</v>
      </c>
      <c r="CJ114" s="266">
        <f t="shared" ca="1" si="76"/>
        <v>5872.480785276086</v>
      </c>
      <c r="CK114" s="266">
        <f t="shared" si="77"/>
        <v>1957.4935950920287</v>
      </c>
      <c r="CL114" s="266">
        <f t="shared" si="78"/>
        <v>1957.4935950920287</v>
      </c>
      <c r="CM114" s="266">
        <f t="shared" ca="1" si="79"/>
        <v>1957.4935950920287</v>
      </c>
      <c r="CN114" s="266">
        <f t="shared" ca="1" si="80"/>
        <v>1957.4935950920287</v>
      </c>
      <c r="CO114" s="266">
        <f ca="1">N114*IFERROR(INDEX(Algorithms!$G:$G,MATCH($C114&amp;"_Therm Saved per Unit- MLA",Algorithms!$A:$A,0)),0)*X114</f>
        <v>0</v>
      </c>
      <c r="CP114" s="266">
        <f ca="1">O114*IFERROR(INDEX(Algorithms!$G:$G,MATCH($C114&amp;"_Therm Saved per Unit- MLA",Algorithms!$A:$A,0)),0)*Y114</f>
        <v>0</v>
      </c>
      <c r="CQ114" s="266">
        <f ca="1">P114*IFERROR(INDEX(Algorithms!$G:$G,MATCH($C114&amp;"_Therm Saved per Unit- MLA",Algorithms!$A:$A,0)),0)*Z114</f>
        <v>0</v>
      </c>
      <c r="CR114" s="266">
        <f ca="1">Q114*IFERROR(INDEX(Algorithms!$G:$G,MATCH($C114&amp;"_Therm Saved per Unit- MLA",Algorithms!$A:$A,0)),0)*AA114</f>
        <v>0</v>
      </c>
      <c r="CS114" s="266">
        <f ca="1">IFERROR(INDEX(Algorithms!$G:$G,MATCH($C114&amp;"_Lifetime (years)",Algorithms!$A:$A,0)),0)</f>
        <v>3</v>
      </c>
      <c r="CT114" s="266">
        <f ca="1">IFERROR(INDEX(Algorithms!$G:$G,MATCH($C114&amp;"_Lifetime (years) - Remaining Years",Algorithms!$A:$A,0)),0)</f>
        <v>0</v>
      </c>
      <c r="CU114" s="266">
        <f t="shared" ca="1" si="81"/>
        <v>5872.480785276086</v>
      </c>
      <c r="CV114" s="266">
        <f t="shared" ca="1" si="82"/>
        <v>5872.480785276086</v>
      </c>
      <c r="CW114" s="266">
        <f t="shared" ca="1" si="83"/>
        <v>5872.480785276086</v>
      </c>
      <c r="CX114" s="266">
        <f t="shared" ca="1" si="84"/>
        <v>5872.480785276086</v>
      </c>
    </row>
    <row r="115" spans="2:102" s="47" customFormat="1" ht="18" customHeight="1" x14ac:dyDescent="0.25">
      <c r="B115" t="str">
        <f t="shared" si="85"/>
        <v>NSG_Income Eligible_Multi-Family_MF IHWAP_Attic Insulation_0_SF</v>
      </c>
      <c r="C115" s="47" t="str">
        <f t="shared" si="46"/>
        <v>Attic Insulation_0_SF</v>
      </c>
      <c r="D115" s="270" t="s">
        <v>1787</v>
      </c>
      <c r="E115" s="270" t="s">
        <v>325</v>
      </c>
      <c r="F115" s="270" t="s">
        <v>1422</v>
      </c>
      <c r="G115" s="270" t="s">
        <v>1441</v>
      </c>
      <c r="H115" s="270" t="s">
        <v>631</v>
      </c>
      <c r="I115" s="270">
        <v>0</v>
      </c>
      <c r="J115" s="270" t="s">
        <v>409</v>
      </c>
      <c r="K115" s="263">
        <v>1</v>
      </c>
      <c r="L115" s="263" t="str">
        <f ca="1">IFERROR(INDEX(Algorithms!J:J,MATCH($C115&amp;"_Therm Saved per Unit",Algorithms!$A:$A,0)),"n/a")</f>
        <v>5.6.5</v>
      </c>
      <c r="M115" s="263" t="str">
        <f>IFERROR(INDEX('Measure Level Detail'!$N:$N,MATCH($B115,'Measure Level Detail'!$B:$B,0)),0)</f>
        <v>sq ft</v>
      </c>
      <c r="N115" s="271">
        <f>IFERROR(INDEX('Measure Level Detail'!$P:$P,MATCH($B115&amp;"_"&amp;N$3,'Measure Level Detail'!$C:$C,0)),0)</f>
        <v>3993.1428571428569</v>
      </c>
      <c r="O115" s="271">
        <f>IFERROR(INDEX('Measure Level Detail'!$P:$P,MATCH($B115&amp;"_"&amp;O$3,'Measure Level Detail'!$C:$C,0)),0)</f>
        <v>4991.4285714285716</v>
      </c>
      <c r="P115" s="271">
        <f>IFERROR(INDEX('Measure Level Detail'!$P:$P,MATCH($B115&amp;"_"&amp;P$3,'Measure Level Detail'!$C:$C,0)),0)</f>
        <v>8984.5714285714294</v>
      </c>
      <c r="Q115" s="271">
        <f>IFERROR(INDEX('Measure Level Detail'!$P:$P,MATCH($B115&amp;"_"&amp;Q$3,'Measure Level Detail'!$C:$C,0)),0)</f>
        <v>9982.8571428571431</v>
      </c>
      <c r="R115" s="263" t="str">
        <f ca="1">IFERROR(INDEX(Algorithms!K:K,MATCH($C115&amp;"_Therm Saved per Unit",Algorithms!$A:$A,0)),"n/a")</f>
        <v>RS-SHL-AINS-V07-240101</v>
      </c>
      <c r="S115" s="262"/>
      <c r="T115" s="272">
        <v>8.0457181447124299E-2</v>
      </c>
      <c r="U115" s="272">
        <v>8.0457181447124299E-2</v>
      </c>
      <c r="V115" s="272">
        <v>8.0457181447124299E-2</v>
      </c>
      <c r="W115" s="272">
        <v>8.0457181447124299E-2</v>
      </c>
      <c r="X115" s="273">
        <f>IFERROR(INDEX('Measure Level Detail'!$R:$R,MATCH($B115&amp;"_"&amp;X$3,'Measure Level Detail'!$C:$C,0)),0)</f>
        <v>1</v>
      </c>
      <c r="Y115" s="273">
        <f>IFERROR(INDEX('Measure Level Detail'!$R:$R,MATCH($B115&amp;"_"&amp;Y$3,'Measure Level Detail'!$C:$C,0)),0)</f>
        <v>1</v>
      </c>
      <c r="Z115" s="273">
        <f>IFERROR(INDEX('Measure Level Detail'!$R:$R,MATCH($B115&amp;"_"&amp;Z$3,'Measure Level Detail'!$C:$C,0)),0)</f>
        <v>1</v>
      </c>
      <c r="AA115" s="273">
        <f>IFERROR(INDEX('Measure Level Detail'!$R:$R,MATCH($B115&amp;"_"&amp;AA$3,'Measure Level Detail'!$C:$C,0)),0)</f>
        <v>1</v>
      </c>
      <c r="AB115" s="266">
        <f t="shared" si="47"/>
        <v>321.27701940143118</v>
      </c>
      <c r="AC115" s="266">
        <f t="shared" si="48"/>
        <v>401.596274251789</v>
      </c>
      <c r="AD115" s="266">
        <f t="shared" si="49"/>
        <v>722.87329365322023</v>
      </c>
      <c r="AE115" s="266">
        <f t="shared" si="50"/>
        <v>803.192548503578</v>
      </c>
      <c r="AF115" s="266">
        <f t="shared" si="51"/>
        <v>2248.9391358100183</v>
      </c>
      <c r="AG115" s="274">
        <v>1</v>
      </c>
      <c r="AH115" s="274">
        <v>1</v>
      </c>
      <c r="AI115" s="274">
        <v>1</v>
      </c>
      <c r="AJ115" s="274">
        <v>1</v>
      </c>
      <c r="AK115" s="274">
        <f t="shared" si="52"/>
        <v>1</v>
      </c>
      <c r="AL115" s="274">
        <f t="shared" si="53"/>
        <v>1</v>
      </c>
      <c r="AM115" s="274">
        <f t="shared" si="54"/>
        <v>1</v>
      </c>
      <c r="AN115" s="274">
        <f t="shared" si="55"/>
        <v>1</v>
      </c>
      <c r="AO115" s="262"/>
      <c r="AP115" s="262"/>
      <c r="AQ115" s="267">
        <v>8.0457181447124299E-2</v>
      </c>
      <c r="AR115" s="262"/>
      <c r="AS115" s="266">
        <f t="shared" si="56"/>
        <v>321.27701940143118</v>
      </c>
      <c r="AT115" s="264">
        <f t="shared" si="57"/>
        <v>0</v>
      </c>
      <c r="AU115" s="262"/>
      <c r="AV115" s="262"/>
      <c r="AW115" s="265">
        <v>8.0457181447124299E-2</v>
      </c>
      <c r="AX115" s="164" t="s">
        <v>2393</v>
      </c>
      <c r="AY115" s="266">
        <v>401.596274251789</v>
      </c>
      <c r="AZ115" s="266">
        <f t="shared" si="58"/>
        <v>401.596274251789</v>
      </c>
      <c r="BA115" s="264">
        <f t="shared" si="59"/>
        <v>0</v>
      </c>
      <c r="BB115" s="262"/>
      <c r="BC115" s="262"/>
      <c r="BD115" s="265">
        <f ca="1">IFERROR(INDEX(Algorithms!$G:$G,MATCH($C115&amp;"_Therm Saved per Unit",Algorithms!$A:$A,0)),0)</f>
        <v>7.9694869016697589E-2</v>
      </c>
      <c r="BE115" s="164" t="str">
        <f ca="1">IFERROR(INDEX('v12 Revisions'!$P$29:$P$186, MATCH('Measure-Level Adj Gas'!$L115, 'v12 Revisions'!$D$29:$D$186,0)),"")</f>
        <v>Updated HDD from 5113 to 4798 and shell adjustment factor from 0.72 to 0.76 ; Updated measure life to 30 years.</v>
      </c>
      <c r="BF115" s="266">
        <f t="shared" ca="1" si="60"/>
        <v>716.02424317116356</v>
      </c>
      <c r="BG115" s="264">
        <f t="shared" ca="1" si="61"/>
        <v>-6.8490504820566684</v>
      </c>
      <c r="BH115" s="262"/>
      <c r="BI115" s="262"/>
      <c r="BJ115" s="265">
        <f ca="1">IFERROR(INDEX(Algorithms!$G:$G,MATCH($C115&amp;"_Therm Saved per Unit",Algorithms!$A:$A,0)),0)</f>
        <v>7.9694869016697589E-2</v>
      </c>
      <c r="BK115" s="164"/>
      <c r="BL115" s="266">
        <f t="shared" ca="1" si="62"/>
        <v>795.58249241240401</v>
      </c>
      <c r="BM115" s="264">
        <f t="shared" ca="1" si="63"/>
        <v>-7.6100560911739876</v>
      </c>
      <c r="BN115" s="266">
        <f t="shared" si="64"/>
        <v>321.27701940143118</v>
      </c>
      <c r="BO115" s="266">
        <f t="shared" si="65"/>
        <v>401.596274251789</v>
      </c>
      <c r="BP115" s="266">
        <f t="shared" ca="1" si="66"/>
        <v>716.02424317116356</v>
      </c>
      <c r="BQ115" s="266">
        <f t="shared" ca="1" si="67"/>
        <v>795.58249241240401</v>
      </c>
      <c r="BR115" s="268">
        <f t="shared" ca="1" si="68"/>
        <v>2234.4800292367877</v>
      </c>
      <c r="BS115" s="262" t="s">
        <v>99</v>
      </c>
      <c r="BT115" s="277"/>
      <c r="BW115" s="266">
        <f t="shared" si="69"/>
        <v>321.27701940143118</v>
      </c>
      <c r="BX115" s="266">
        <f t="shared" si="70"/>
        <v>401.596274251789</v>
      </c>
      <c r="BY115" s="266">
        <f t="shared" si="71"/>
        <v>722.87329365322023</v>
      </c>
      <c r="BZ115" s="266">
        <f t="shared" si="72"/>
        <v>803.192548503578</v>
      </c>
      <c r="CA115" s="266">
        <f ca="1">N115*IFERROR(INDEX(Algorithms!$G:$G,MATCH($C115&amp;"_Therm Saved per Unit- MLA",Algorithms!$A:$A,0)),0)*X115</f>
        <v>336.95258502172402</v>
      </c>
      <c r="CB115" s="266">
        <f ca="1">O115*IFERROR(INDEX(Algorithms!$G:$G,MATCH($C115&amp;"_Therm Saved per Unit- MLA",Algorithms!$A:$A,0)),0)*Y115</f>
        <v>421.19073127715507</v>
      </c>
      <c r="CC115" s="266">
        <f ca="1">P115*IFERROR(INDEX(Algorithms!$G:$G,MATCH($C115&amp;"_Therm Saved per Unit- MLA",Algorithms!$A:$A,0)),0)*Z115</f>
        <v>758.1433162988792</v>
      </c>
      <c r="CD115" s="266">
        <f ca="1">Q115*IFERROR(INDEX(Algorithms!$G:$G,MATCH($C115&amp;"_Therm Saved per Unit- MLA",Algorithms!$A:$A,0)),0)*AA115</f>
        <v>842.38146255431013</v>
      </c>
      <c r="CE115" s="266">
        <f ca="1">IFERROR(INDEX(Algorithms!$G:$G,MATCH($C115&amp;"_Lifetime (years)",Algorithms!$A:$A,0)),0)</f>
        <v>30</v>
      </c>
      <c r="CF115" s="266">
        <f ca="1">IFERROR(INDEX(Algorithms!$G:$G,MATCH($C115&amp;"_Lifetime (years) - Remaining Years",Algorithms!$A:$A,0)),0)</f>
        <v>10</v>
      </c>
      <c r="CG115" s="266">
        <f t="shared" ca="1" si="73"/>
        <v>9951.8218944487926</v>
      </c>
      <c r="CH115" s="266">
        <f t="shared" ca="1" si="74"/>
        <v>12439.777368060992</v>
      </c>
      <c r="CI115" s="266">
        <f t="shared" ca="1" si="75"/>
        <v>22391.599262509786</v>
      </c>
      <c r="CJ115" s="266">
        <f t="shared" ca="1" si="76"/>
        <v>24879.554736121983</v>
      </c>
      <c r="CK115" s="266">
        <f t="shared" si="77"/>
        <v>321.27701940143118</v>
      </c>
      <c r="CL115" s="266">
        <f t="shared" si="78"/>
        <v>401.596274251789</v>
      </c>
      <c r="CM115" s="266">
        <f t="shared" ca="1" si="79"/>
        <v>716.02424317116356</v>
      </c>
      <c r="CN115" s="266">
        <f t="shared" ca="1" si="80"/>
        <v>795.58249241240401</v>
      </c>
      <c r="CO115" s="266">
        <f ca="1">N115*IFERROR(INDEX(Algorithms!$G:$G,MATCH($C115&amp;"_Therm Saved per Unit- MLA",Algorithms!$A:$A,0)),0)*X115</f>
        <v>336.95258502172402</v>
      </c>
      <c r="CP115" s="266">
        <f ca="1">O115*IFERROR(INDEX(Algorithms!$G:$G,MATCH($C115&amp;"_Therm Saved per Unit- MLA",Algorithms!$A:$A,0)),0)*Y115</f>
        <v>421.19073127715507</v>
      </c>
      <c r="CQ115" s="266">
        <f ca="1">P115*IFERROR(INDEX(Algorithms!$G:$G,MATCH($C115&amp;"_Therm Saved per Unit- MLA",Algorithms!$A:$A,0)),0)*Z115</f>
        <v>758.1433162988792</v>
      </c>
      <c r="CR115" s="266">
        <f ca="1">Q115*IFERROR(INDEX(Algorithms!$G:$G,MATCH($C115&amp;"_Therm Saved per Unit- MLA",Algorithms!$A:$A,0)),0)*AA115</f>
        <v>842.38146255431013</v>
      </c>
      <c r="CS115" s="266">
        <f ca="1">IFERROR(INDEX(Algorithms!$G:$G,MATCH($C115&amp;"_Lifetime (years)",Algorithms!$A:$A,0)),0)</f>
        <v>30</v>
      </c>
      <c r="CT115" s="266">
        <f ca="1">IFERROR(INDEX(Algorithms!$G:$G,MATCH($C115&amp;"_Lifetime (years) - Remaining Years",Algorithms!$A:$A,0)),0)</f>
        <v>10</v>
      </c>
      <c r="CU115" s="266">
        <f t="shared" ca="1" si="81"/>
        <v>9951.8218944487926</v>
      </c>
      <c r="CV115" s="266">
        <f t="shared" ca="1" si="82"/>
        <v>12439.777368060992</v>
      </c>
      <c r="CW115" s="266">
        <f t="shared" ca="1" si="83"/>
        <v>22323.108757689221</v>
      </c>
      <c r="CX115" s="266">
        <f t="shared" ca="1" si="84"/>
        <v>24803.454175210245</v>
      </c>
    </row>
    <row r="116" spans="2:102" s="47" customFormat="1" ht="18" customHeight="1" x14ac:dyDescent="0.25">
      <c r="B116" t="str">
        <f t="shared" si="85"/>
        <v>NSG_Residential_Multi-Family_Custom Rebate_Custom_0_MF</v>
      </c>
      <c r="C116" s="47" t="str">
        <f t="shared" si="46"/>
        <v>Custom_0_MF</v>
      </c>
      <c r="D116" s="270" t="s">
        <v>1787</v>
      </c>
      <c r="E116" s="270" t="s">
        <v>2</v>
      </c>
      <c r="F116" s="270" t="s">
        <v>1422</v>
      </c>
      <c r="G116" s="270" t="s">
        <v>1426</v>
      </c>
      <c r="H116" s="270" t="s">
        <v>5</v>
      </c>
      <c r="I116" s="270">
        <v>0</v>
      </c>
      <c r="J116" s="270" t="s">
        <v>553</v>
      </c>
      <c r="K116" s="263">
        <v>0</v>
      </c>
      <c r="L116" s="263">
        <f ca="1">IFERROR(INDEX(Algorithms!J:J,MATCH($C116&amp;"_Therm Saved per Unit",Algorithms!$A:$A,0)),"n/a")</f>
        <v>0</v>
      </c>
      <c r="M116" s="263" t="str">
        <f>IFERROR(INDEX('Measure Level Detail'!$N:$N,MATCH($B116,'Measure Level Detail'!$B:$B,0)),0)</f>
        <v>therm</v>
      </c>
      <c r="N116" s="271">
        <f>IFERROR(INDEX('Measure Level Detail'!$P:$P,MATCH($B116&amp;"_"&amp;N$3,'Measure Level Detail'!$C:$C,0)),0)</f>
        <v>3921</v>
      </c>
      <c r="O116" s="271">
        <f>IFERROR(INDEX('Measure Level Detail'!$P:$P,MATCH($B116&amp;"_"&amp;O$3,'Measure Level Detail'!$C:$C,0)),0)</f>
        <v>3921</v>
      </c>
      <c r="P116" s="271">
        <f>IFERROR(INDEX('Measure Level Detail'!$P:$P,MATCH($B116&amp;"_"&amp;P$3,'Measure Level Detail'!$C:$C,0)),0)</f>
        <v>3921</v>
      </c>
      <c r="Q116" s="271">
        <f>IFERROR(INDEX('Measure Level Detail'!$P:$P,MATCH($B116&amp;"_"&amp;Q$3,'Measure Level Detail'!$C:$C,0)),0)</f>
        <v>3921</v>
      </c>
      <c r="R116" s="263">
        <f ca="1">IFERROR(INDEX(Algorithms!K:K,MATCH($C116&amp;"_Therm Saved per Unit",Algorithms!$A:$A,0)),"n/a")</f>
        <v>0</v>
      </c>
      <c r="S116" s="262"/>
      <c r="T116" s="272">
        <v>1</v>
      </c>
      <c r="U116" s="272">
        <v>1</v>
      </c>
      <c r="V116" s="272">
        <v>1</v>
      </c>
      <c r="W116" s="272">
        <v>1</v>
      </c>
      <c r="X116" s="273">
        <f>IFERROR(INDEX('Measure Level Detail'!$R:$R,MATCH($B116&amp;"_"&amp;X$3,'Measure Level Detail'!$C:$C,0)),0)</f>
        <v>0.87</v>
      </c>
      <c r="Y116" s="273">
        <f>IFERROR(INDEX('Measure Level Detail'!$R:$R,MATCH($B116&amp;"_"&amp;Y$3,'Measure Level Detail'!$C:$C,0)),0)</f>
        <v>0.87</v>
      </c>
      <c r="Z116" s="273">
        <f>IFERROR(INDEX('Measure Level Detail'!$R:$R,MATCH($B116&amp;"_"&amp;Z$3,'Measure Level Detail'!$C:$C,0)),0)</f>
        <v>0.87</v>
      </c>
      <c r="AA116" s="273">
        <f>IFERROR(INDEX('Measure Level Detail'!$R:$R,MATCH($B116&amp;"_"&amp;AA$3,'Measure Level Detail'!$C:$C,0)),0)</f>
        <v>0.87</v>
      </c>
      <c r="AB116" s="266">
        <f t="shared" si="47"/>
        <v>3411.27</v>
      </c>
      <c r="AC116" s="266">
        <f t="shared" si="48"/>
        <v>3411.27</v>
      </c>
      <c r="AD116" s="266">
        <f t="shared" si="49"/>
        <v>3411.27</v>
      </c>
      <c r="AE116" s="266">
        <f t="shared" si="50"/>
        <v>3411.27</v>
      </c>
      <c r="AF116" s="266">
        <f t="shared" si="51"/>
        <v>13645.08</v>
      </c>
      <c r="AG116" s="274">
        <v>0.87</v>
      </c>
      <c r="AH116" s="274">
        <v>0.87</v>
      </c>
      <c r="AI116" s="274">
        <v>0.87</v>
      </c>
      <c r="AJ116" s="274">
        <v>0.87</v>
      </c>
      <c r="AK116" s="274">
        <f t="shared" si="52"/>
        <v>0.87</v>
      </c>
      <c r="AL116" s="274">
        <f t="shared" si="53"/>
        <v>0.87</v>
      </c>
      <c r="AM116" s="274">
        <f t="shared" si="54"/>
        <v>0.87</v>
      </c>
      <c r="AN116" s="274">
        <f t="shared" si="55"/>
        <v>0.87</v>
      </c>
      <c r="AO116" s="262"/>
      <c r="AP116" s="262"/>
      <c r="AQ116" s="267">
        <v>1</v>
      </c>
      <c r="AR116" s="262"/>
      <c r="AS116" s="266">
        <f t="shared" si="56"/>
        <v>3411.27</v>
      </c>
      <c r="AT116" s="264">
        <f t="shared" si="57"/>
        <v>0</v>
      </c>
      <c r="AU116" s="262"/>
      <c r="AV116" s="262"/>
      <c r="AW116" s="265">
        <v>1</v>
      </c>
      <c r="AX116" s="164" t="s">
        <v>1469</v>
      </c>
      <c r="AY116" s="266">
        <v>3411.27</v>
      </c>
      <c r="AZ116" s="266">
        <f t="shared" si="58"/>
        <v>3411.27</v>
      </c>
      <c r="BA116" s="264">
        <f t="shared" si="59"/>
        <v>0</v>
      </c>
      <c r="BB116" s="262"/>
      <c r="BC116" s="262"/>
      <c r="BD116" s="265">
        <f ca="1">IFERROR(INDEX(Algorithms!$G:$G,MATCH($C116&amp;"_Therm Saved per Unit",Algorithms!$A:$A,0)),0)</f>
        <v>1</v>
      </c>
      <c r="BE116" s="164" t="str">
        <f ca="1">IFERROR(INDEX('v12 Revisions'!$P$29:$P$186, MATCH('Measure-Level Adj Gas'!$L116, 'v12 Revisions'!$D$29:$D$186,0)),"")</f>
        <v/>
      </c>
      <c r="BF116" s="266">
        <f t="shared" ca="1" si="60"/>
        <v>3411.27</v>
      </c>
      <c r="BG116" s="264">
        <f t="shared" ca="1" si="61"/>
        <v>0</v>
      </c>
      <c r="BH116" s="262"/>
      <c r="BI116" s="262"/>
      <c r="BJ116" s="265">
        <f ca="1">IFERROR(INDEX(Algorithms!$G:$G,MATCH($C116&amp;"_Therm Saved per Unit",Algorithms!$A:$A,0)),0)</f>
        <v>1</v>
      </c>
      <c r="BK116" s="164"/>
      <c r="BL116" s="266">
        <f t="shared" ca="1" si="62"/>
        <v>3411.27</v>
      </c>
      <c r="BM116" s="264">
        <f t="shared" ca="1" si="63"/>
        <v>0</v>
      </c>
      <c r="BN116" s="266">
        <f t="shared" si="64"/>
        <v>3411.27</v>
      </c>
      <c r="BO116" s="266">
        <f t="shared" si="65"/>
        <v>3411.27</v>
      </c>
      <c r="BP116" s="266">
        <f t="shared" si="66"/>
        <v>3411.27</v>
      </c>
      <c r="BQ116" s="266">
        <f t="shared" si="67"/>
        <v>3411.27</v>
      </c>
      <c r="BR116" s="268">
        <f t="shared" si="68"/>
        <v>13645.08</v>
      </c>
      <c r="BS116" s="262" t="s">
        <v>99</v>
      </c>
      <c r="BT116" s="277"/>
      <c r="BW116" s="266">
        <f t="shared" si="69"/>
        <v>3411.27</v>
      </c>
      <c r="BX116" s="266">
        <f t="shared" si="70"/>
        <v>3411.27</v>
      </c>
      <c r="BY116" s="266">
        <f t="shared" si="71"/>
        <v>3411.27</v>
      </c>
      <c r="BZ116" s="266">
        <f t="shared" si="72"/>
        <v>3411.27</v>
      </c>
      <c r="CA116" s="266">
        <f ca="1">N116*IFERROR(INDEX(Algorithms!$G:$G,MATCH($C116&amp;"_Therm Saved per Unit- MLA",Algorithms!$A:$A,0)),0)*X116</f>
        <v>0</v>
      </c>
      <c r="CB116" s="266">
        <f ca="1">O116*IFERROR(INDEX(Algorithms!$G:$G,MATCH($C116&amp;"_Therm Saved per Unit- MLA",Algorithms!$A:$A,0)),0)*Y116</f>
        <v>0</v>
      </c>
      <c r="CC116" s="266">
        <f ca="1">P116*IFERROR(INDEX(Algorithms!$G:$G,MATCH($C116&amp;"_Therm Saved per Unit- MLA",Algorithms!$A:$A,0)),0)*Z116</f>
        <v>0</v>
      </c>
      <c r="CD116" s="266">
        <f ca="1">Q116*IFERROR(INDEX(Algorithms!$G:$G,MATCH($C116&amp;"_Therm Saved per Unit- MLA",Algorithms!$A:$A,0)),0)*AA116</f>
        <v>0</v>
      </c>
      <c r="CE116" s="266">
        <f ca="1">IFERROR(INDEX(Algorithms!$G:$G,MATCH($C116&amp;"_Lifetime (years)",Algorithms!$A:$A,0)),0)</f>
        <v>15</v>
      </c>
      <c r="CF116" s="266">
        <f ca="1">IFERROR(INDEX(Algorithms!$G:$G,MATCH($C116&amp;"_Lifetime (years) - Remaining Years",Algorithms!$A:$A,0)),0)</f>
        <v>0</v>
      </c>
      <c r="CG116" s="266">
        <f t="shared" ca="1" si="73"/>
        <v>51169.05</v>
      </c>
      <c r="CH116" s="266">
        <f t="shared" ca="1" si="74"/>
        <v>51169.05</v>
      </c>
      <c r="CI116" s="266">
        <f t="shared" ca="1" si="75"/>
        <v>51169.05</v>
      </c>
      <c r="CJ116" s="266">
        <f t="shared" ca="1" si="76"/>
        <v>51169.05</v>
      </c>
      <c r="CK116" s="266">
        <f t="shared" si="77"/>
        <v>3411.27</v>
      </c>
      <c r="CL116" s="266">
        <f t="shared" si="78"/>
        <v>3411.27</v>
      </c>
      <c r="CM116" s="266">
        <f t="shared" ca="1" si="79"/>
        <v>3411.27</v>
      </c>
      <c r="CN116" s="266">
        <f t="shared" ca="1" si="80"/>
        <v>3411.27</v>
      </c>
      <c r="CO116" s="266">
        <f ca="1">N116*IFERROR(INDEX(Algorithms!$G:$G,MATCH($C116&amp;"_Therm Saved per Unit- MLA",Algorithms!$A:$A,0)),0)*X116</f>
        <v>0</v>
      </c>
      <c r="CP116" s="266">
        <f ca="1">O116*IFERROR(INDEX(Algorithms!$G:$G,MATCH($C116&amp;"_Therm Saved per Unit- MLA",Algorithms!$A:$A,0)),0)*Y116</f>
        <v>0</v>
      </c>
      <c r="CQ116" s="266">
        <f ca="1">P116*IFERROR(INDEX(Algorithms!$G:$G,MATCH($C116&amp;"_Therm Saved per Unit- MLA",Algorithms!$A:$A,0)),0)*Z116</f>
        <v>0</v>
      </c>
      <c r="CR116" s="266">
        <f ca="1">Q116*IFERROR(INDEX(Algorithms!$G:$G,MATCH($C116&amp;"_Therm Saved per Unit- MLA",Algorithms!$A:$A,0)),0)*AA116</f>
        <v>0</v>
      </c>
      <c r="CS116" s="266">
        <f ca="1">IFERROR(INDEX(Algorithms!$G:$G,MATCH($C116&amp;"_Lifetime (years)",Algorithms!$A:$A,0)),0)</f>
        <v>15</v>
      </c>
      <c r="CT116" s="266">
        <f ca="1">IFERROR(INDEX(Algorithms!$G:$G,MATCH($C116&amp;"_Lifetime (years) - Remaining Years",Algorithms!$A:$A,0)),0)</f>
        <v>0</v>
      </c>
      <c r="CU116" s="266">
        <f t="shared" ca="1" si="81"/>
        <v>51169.05</v>
      </c>
      <c r="CV116" s="266">
        <f t="shared" ca="1" si="82"/>
        <v>51169.05</v>
      </c>
      <c r="CW116" s="266">
        <f t="shared" ca="1" si="83"/>
        <v>51169.05</v>
      </c>
      <c r="CX116" s="266">
        <f t="shared" ca="1" si="84"/>
        <v>51169.05</v>
      </c>
    </row>
    <row r="117" spans="2:102" s="47" customFormat="1" ht="18" customHeight="1" x14ac:dyDescent="0.25">
      <c r="B117" t="str">
        <f t="shared" si="85"/>
        <v>NSG_Business_Public Sector_Rebates_Boiler Reset Controls_0_CI</v>
      </c>
      <c r="C117" s="47" t="str">
        <f t="shared" si="46"/>
        <v>Boiler Reset Controls_0_CI</v>
      </c>
      <c r="D117" s="270" t="s">
        <v>1787</v>
      </c>
      <c r="E117" s="270" t="s">
        <v>3</v>
      </c>
      <c r="F117" s="270" t="s">
        <v>1430</v>
      </c>
      <c r="G117" s="270" t="s">
        <v>1429</v>
      </c>
      <c r="H117" s="270" t="s">
        <v>978</v>
      </c>
      <c r="I117" s="270">
        <v>0</v>
      </c>
      <c r="J117" s="270" t="s">
        <v>1159</v>
      </c>
      <c r="K117" s="263">
        <v>1</v>
      </c>
      <c r="L117" s="263" t="str">
        <f ca="1">IFERROR(INDEX(Algorithms!J:J,MATCH($C117&amp;"_Therm Saved per Unit",Algorithms!$A:$A,0)),"n/a")</f>
        <v>4.4.4</v>
      </c>
      <c r="M117" s="263" t="str">
        <f>IFERROR(INDEX('Measure Level Detail'!$N:$N,MATCH($B117,'Measure Level Detail'!$B:$B,0)),0)</f>
        <v>MBH</v>
      </c>
      <c r="N117" s="271">
        <f>IFERROR(INDEX('Measure Level Detail'!$P:$P,MATCH($B117&amp;"_"&amp;N$3,'Measure Level Detail'!$C:$C,0)),0)</f>
        <v>3600</v>
      </c>
      <c r="O117" s="271">
        <f>IFERROR(INDEX('Measure Level Detail'!$P:$P,MATCH($B117&amp;"_"&amp;O$3,'Measure Level Detail'!$C:$C,0)),0)</f>
        <v>3600</v>
      </c>
      <c r="P117" s="271">
        <f>IFERROR(INDEX('Measure Level Detail'!$P:$P,MATCH($B117&amp;"_"&amp;P$3,'Measure Level Detail'!$C:$C,0)),0)</f>
        <v>3600</v>
      </c>
      <c r="Q117" s="271">
        <f>IFERROR(INDEX('Measure Level Detail'!$P:$P,MATCH($B117&amp;"_"&amp;Q$3,'Measure Level Detail'!$C:$C,0)),0)</f>
        <v>3600</v>
      </c>
      <c r="R117" s="263" t="str">
        <f ca="1">IFERROR(INDEX(Algorithms!K:K,MATCH($C117&amp;"_Therm Saved per Unit",Algorithms!$A:$A,0)),"n/a")</f>
        <v>CI-HVC-BLRC-V05-240101</v>
      </c>
      <c r="S117" s="262"/>
      <c r="T117" s="272">
        <v>1.3424</v>
      </c>
      <c r="U117" s="272">
        <v>1.3424</v>
      </c>
      <c r="V117" s="272">
        <v>1.3424</v>
      </c>
      <c r="W117" s="272">
        <v>1.3424</v>
      </c>
      <c r="X117" s="276">
        <v>0.92</v>
      </c>
      <c r="Y117" s="276">
        <v>0.92</v>
      </c>
      <c r="Z117" s="276">
        <v>0.92</v>
      </c>
      <c r="AA117" s="276">
        <v>0.92</v>
      </c>
      <c r="AB117" s="266">
        <f t="shared" si="47"/>
        <v>4446.0288</v>
      </c>
      <c r="AC117" s="266">
        <f t="shared" si="48"/>
        <v>4446.0288</v>
      </c>
      <c r="AD117" s="266">
        <f t="shared" si="49"/>
        <v>4446.0288</v>
      </c>
      <c r="AE117" s="266">
        <f t="shared" si="50"/>
        <v>4446.0288</v>
      </c>
      <c r="AF117" s="266">
        <f t="shared" si="51"/>
        <v>17784.1152</v>
      </c>
      <c r="AG117" s="274">
        <v>0.92</v>
      </c>
      <c r="AH117" s="274">
        <v>0.92</v>
      </c>
      <c r="AI117" s="274">
        <v>0.92</v>
      </c>
      <c r="AJ117" s="274">
        <v>0.92</v>
      </c>
      <c r="AK117" s="274">
        <f t="shared" si="52"/>
        <v>0.92</v>
      </c>
      <c r="AL117" s="274">
        <f t="shared" si="53"/>
        <v>0.92</v>
      </c>
      <c r="AM117" s="274">
        <f t="shared" si="54"/>
        <v>0.92</v>
      </c>
      <c r="AN117" s="274">
        <f t="shared" si="55"/>
        <v>0.92</v>
      </c>
      <c r="AO117" s="262"/>
      <c r="AP117" s="262"/>
      <c r="AQ117" s="267">
        <v>1.3424</v>
      </c>
      <c r="AR117" s="262"/>
      <c r="AS117" s="266">
        <f t="shared" si="56"/>
        <v>4446.0288</v>
      </c>
      <c r="AT117" s="264">
        <f t="shared" si="57"/>
        <v>0</v>
      </c>
      <c r="AU117" s="262"/>
      <c r="AV117" s="262"/>
      <c r="AW117" s="265">
        <v>1.3424</v>
      </c>
      <c r="AX117" s="164" t="s">
        <v>1469</v>
      </c>
      <c r="AY117" s="266">
        <v>4446.0288</v>
      </c>
      <c r="AZ117" s="266">
        <f t="shared" si="58"/>
        <v>4446.0288</v>
      </c>
      <c r="BA117" s="264">
        <f t="shared" si="59"/>
        <v>0</v>
      </c>
      <c r="BB117" s="262"/>
      <c r="BC117" s="262"/>
      <c r="BD117" s="265">
        <f ca="1">IFERROR(INDEX(Algorithms!$G:$G,MATCH($C117&amp;"_Therm Saved per Unit",Algorithms!$A:$A,0)),0)</f>
        <v>1.3424</v>
      </c>
      <c r="BE117" s="164" t="str">
        <f ca="1">IFERROR(INDEX('v12 Revisions'!$P$29:$P$186, MATCH('Measure-Level Adj Gas'!$L117, 'v12 Revisions'!$D$29:$D$186,0)),"")</f>
        <v/>
      </c>
      <c r="BF117" s="266">
        <f t="shared" ca="1" si="60"/>
        <v>4446.0288</v>
      </c>
      <c r="BG117" s="264">
        <f t="shared" ca="1" si="61"/>
        <v>0</v>
      </c>
      <c r="BH117" s="262"/>
      <c r="BI117" s="262"/>
      <c r="BJ117" s="265">
        <f ca="1">IFERROR(INDEX(Algorithms!$G:$G,MATCH($C117&amp;"_Therm Saved per Unit",Algorithms!$A:$A,0)),0)</f>
        <v>1.3424</v>
      </c>
      <c r="BK117" s="164"/>
      <c r="BL117" s="266">
        <f t="shared" ca="1" si="62"/>
        <v>4446.0288</v>
      </c>
      <c r="BM117" s="264">
        <f t="shared" ca="1" si="63"/>
        <v>0</v>
      </c>
      <c r="BN117" s="266">
        <f t="shared" si="64"/>
        <v>4446.0288</v>
      </c>
      <c r="BO117" s="266">
        <f t="shared" si="65"/>
        <v>4446.0288</v>
      </c>
      <c r="BP117" s="266">
        <f t="shared" ca="1" si="66"/>
        <v>4446.0288</v>
      </c>
      <c r="BQ117" s="266">
        <f t="shared" ca="1" si="67"/>
        <v>4446.0288</v>
      </c>
      <c r="BR117" s="268">
        <f t="shared" ca="1" si="68"/>
        <v>17784.1152</v>
      </c>
      <c r="BS117" s="262" t="s">
        <v>99</v>
      </c>
      <c r="BT117" s="277"/>
      <c r="BW117" s="266">
        <f t="shared" si="69"/>
        <v>4446.0288</v>
      </c>
      <c r="BX117" s="266">
        <f t="shared" si="70"/>
        <v>4446.0288</v>
      </c>
      <c r="BY117" s="266">
        <f t="shared" si="71"/>
        <v>4446.0288</v>
      </c>
      <c r="BZ117" s="266">
        <f t="shared" si="72"/>
        <v>4446.0288</v>
      </c>
      <c r="CA117" s="266">
        <f ca="1">N117*IFERROR(INDEX(Algorithms!$G:$G,MATCH($C117&amp;"_Therm Saved per Unit- MLA",Algorithms!$A:$A,0)),0)*X117</f>
        <v>0</v>
      </c>
      <c r="CB117" s="266">
        <f ca="1">O117*IFERROR(INDEX(Algorithms!$G:$G,MATCH($C117&amp;"_Therm Saved per Unit- MLA",Algorithms!$A:$A,0)),0)*Y117</f>
        <v>0</v>
      </c>
      <c r="CC117" s="266">
        <f ca="1">P117*IFERROR(INDEX(Algorithms!$G:$G,MATCH($C117&amp;"_Therm Saved per Unit- MLA",Algorithms!$A:$A,0)),0)*Z117</f>
        <v>0</v>
      </c>
      <c r="CD117" s="266">
        <f ca="1">Q117*IFERROR(INDEX(Algorithms!$G:$G,MATCH($C117&amp;"_Therm Saved per Unit- MLA",Algorithms!$A:$A,0)),0)*AA117</f>
        <v>0</v>
      </c>
      <c r="CE117" s="266">
        <f ca="1">IFERROR(INDEX(Algorithms!$G:$G,MATCH($C117&amp;"_Lifetime (years)",Algorithms!$A:$A,0)),0)</f>
        <v>16</v>
      </c>
      <c r="CF117" s="266">
        <f ca="1">IFERROR(INDEX(Algorithms!$G:$G,MATCH($C117&amp;"_Lifetime (years) - Remaining Years",Algorithms!$A:$A,0)),0)</f>
        <v>0</v>
      </c>
      <c r="CG117" s="266">
        <f t="shared" ca="1" si="73"/>
        <v>71136.460800000001</v>
      </c>
      <c r="CH117" s="266">
        <f t="shared" ca="1" si="74"/>
        <v>71136.460800000001</v>
      </c>
      <c r="CI117" s="266">
        <f t="shared" ca="1" si="75"/>
        <v>71136.460800000001</v>
      </c>
      <c r="CJ117" s="266">
        <f t="shared" ca="1" si="76"/>
        <v>71136.460800000001</v>
      </c>
      <c r="CK117" s="266">
        <f t="shared" si="77"/>
        <v>4446.0288</v>
      </c>
      <c r="CL117" s="266">
        <f t="shared" si="78"/>
        <v>4446.0288</v>
      </c>
      <c r="CM117" s="266">
        <f t="shared" ca="1" si="79"/>
        <v>4446.0288</v>
      </c>
      <c r="CN117" s="266">
        <f t="shared" ca="1" si="80"/>
        <v>4446.0288</v>
      </c>
      <c r="CO117" s="266">
        <f ca="1">N117*IFERROR(INDEX(Algorithms!$G:$G,MATCH($C117&amp;"_Therm Saved per Unit- MLA",Algorithms!$A:$A,0)),0)*X117</f>
        <v>0</v>
      </c>
      <c r="CP117" s="266">
        <f ca="1">O117*IFERROR(INDEX(Algorithms!$G:$G,MATCH($C117&amp;"_Therm Saved per Unit- MLA",Algorithms!$A:$A,0)),0)*Y117</f>
        <v>0</v>
      </c>
      <c r="CQ117" s="266">
        <f ca="1">P117*IFERROR(INDEX(Algorithms!$G:$G,MATCH($C117&amp;"_Therm Saved per Unit- MLA",Algorithms!$A:$A,0)),0)*Z117</f>
        <v>0</v>
      </c>
      <c r="CR117" s="266">
        <f ca="1">Q117*IFERROR(INDEX(Algorithms!$G:$G,MATCH($C117&amp;"_Therm Saved per Unit- MLA",Algorithms!$A:$A,0)),0)*AA117</f>
        <v>0</v>
      </c>
      <c r="CS117" s="266">
        <f ca="1">IFERROR(INDEX(Algorithms!$G:$G,MATCH($C117&amp;"_Lifetime (years)",Algorithms!$A:$A,0)),0)</f>
        <v>16</v>
      </c>
      <c r="CT117" s="266">
        <f ca="1">IFERROR(INDEX(Algorithms!$G:$G,MATCH($C117&amp;"_Lifetime (years) - Remaining Years",Algorithms!$A:$A,0)),0)</f>
        <v>0</v>
      </c>
      <c r="CU117" s="266">
        <f t="shared" ca="1" si="81"/>
        <v>71136.460800000001</v>
      </c>
      <c r="CV117" s="266">
        <f t="shared" ca="1" si="82"/>
        <v>71136.460800000001</v>
      </c>
      <c r="CW117" s="266">
        <f t="shared" ca="1" si="83"/>
        <v>71136.460800000001</v>
      </c>
      <c r="CX117" s="266">
        <f t="shared" ca="1" si="84"/>
        <v>71136.460800000001</v>
      </c>
    </row>
    <row r="118" spans="2:102" s="47" customFormat="1" ht="18" customHeight="1" x14ac:dyDescent="0.25">
      <c r="B118" t="str">
        <f t="shared" si="85"/>
        <v>NSG_Residential_Home Energy Rebate_Partner Trade Ally Rebate_Wall Insulation_0_SF</v>
      </c>
      <c r="C118" s="47" t="str">
        <f t="shared" si="46"/>
        <v>Wall Insulation_0_SF</v>
      </c>
      <c r="D118" s="270" t="s">
        <v>1787</v>
      </c>
      <c r="E118" s="270" t="s">
        <v>2</v>
      </c>
      <c r="F118" s="270" t="s">
        <v>1417</v>
      </c>
      <c r="G118" s="270" t="s">
        <v>1799</v>
      </c>
      <c r="H118" s="270" t="s">
        <v>222</v>
      </c>
      <c r="I118" s="270">
        <v>0</v>
      </c>
      <c r="J118" s="270" t="s">
        <v>409</v>
      </c>
      <c r="K118" s="263">
        <v>1</v>
      </c>
      <c r="L118" s="263" t="str">
        <f ca="1">IFERROR(INDEX(Algorithms!J:J,MATCH($C118&amp;"_Therm Saved per Unit",Algorithms!$A:$A,0)),"n/a")</f>
        <v>5.6.4</v>
      </c>
      <c r="M118" s="263" t="str">
        <f>IFERROR(INDEX('Measure Level Detail'!$N:$N,MATCH($B118,'Measure Level Detail'!$B:$B,0)),0)</f>
        <v>sq ft</v>
      </c>
      <c r="N118" s="271">
        <f>IFERROR(INDEX('Measure Level Detail'!$P:$P,MATCH($B118&amp;"_"&amp;N$3,'Measure Level Detail'!$C:$C,0)),0)</f>
        <v>3500</v>
      </c>
      <c r="O118" s="271">
        <f>IFERROR(INDEX('Measure Level Detail'!$P:$P,MATCH($B118&amp;"_"&amp;O$3,'Measure Level Detail'!$C:$C,0)),0)</f>
        <v>3500</v>
      </c>
      <c r="P118" s="271">
        <f>IFERROR(INDEX('Measure Level Detail'!$P:$P,MATCH($B118&amp;"_"&amp;P$3,'Measure Level Detail'!$C:$C,0)),0)</f>
        <v>3500</v>
      </c>
      <c r="Q118" s="271">
        <f>IFERROR(INDEX('Measure Level Detail'!$P:$P,MATCH($B118&amp;"_"&amp;Q$3,'Measure Level Detail'!$C:$C,0)),0)</f>
        <v>3500</v>
      </c>
      <c r="R118" s="263" t="str">
        <f ca="1">IFERROR(INDEX(Algorithms!K:K,MATCH($C118&amp;"_Therm Saved per Unit",Algorithms!$A:$A,0)),"n/a")</f>
        <v>RS-SHL-WINS-V13-240101</v>
      </c>
      <c r="S118" s="262"/>
      <c r="T118" s="272">
        <v>0.10827529411764705</v>
      </c>
      <c r="U118" s="272">
        <v>0.10827529411764705</v>
      </c>
      <c r="V118" s="272">
        <v>0.10827529411764705</v>
      </c>
      <c r="W118" s="272">
        <v>0.10827529411764705</v>
      </c>
      <c r="X118" s="273">
        <f>IFERROR(INDEX('Measure Level Detail'!$R:$R,MATCH($B118&amp;"_"&amp;X$3,'Measure Level Detail'!$C:$C,0)),0)</f>
        <v>0.79</v>
      </c>
      <c r="Y118" s="273">
        <f>IFERROR(INDEX('Measure Level Detail'!$R:$R,MATCH($B118&amp;"_"&amp;Y$3,'Measure Level Detail'!$C:$C,0)),0)</f>
        <v>0.79</v>
      </c>
      <c r="Z118" s="273">
        <f>IFERROR(INDEX('Measure Level Detail'!$R:$R,MATCH($B118&amp;"_"&amp;Z$3,'Measure Level Detail'!$C:$C,0)),0)</f>
        <v>0.79</v>
      </c>
      <c r="AA118" s="273">
        <f>IFERROR(INDEX('Measure Level Detail'!$R:$R,MATCH($B118&amp;"_"&amp;AA$3,'Measure Level Detail'!$C:$C,0)),0)</f>
        <v>0.79</v>
      </c>
      <c r="AB118" s="266">
        <f t="shared" si="47"/>
        <v>299.38118823529413</v>
      </c>
      <c r="AC118" s="266">
        <f t="shared" si="48"/>
        <v>299.38118823529413</v>
      </c>
      <c r="AD118" s="266">
        <f t="shared" si="49"/>
        <v>299.38118823529413</v>
      </c>
      <c r="AE118" s="266">
        <f t="shared" si="50"/>
        <v>299.38118823529413</v>
      </c>
      <c r="AF118" s="266">
        <f t="shared" si="51"/>
        <v>1197.5247529411765</v>
      </c>
      <c r="AG118" s="274">
        <v>0.79</v>
      </c>
      <c r="AH118" s="274">
        <v>0.79</v>
      </c>
      <c r="AI118" s="274">
        <v>0.79</v>
      </c>
      <c r="AJ118" s="274">
        <v>0.79</v>
      </c>
      <c r="AK118" s="274">
        <f t="shared" si="52"/>
        <v>0.79</v>
      </c>
      <c r="AL118" s="274">
        <f t="shared" si="53"/>
        <v>0.79</v>
      </c>
      <c r="AM118" s="274">
        <f t="shared" si="54"/>
        <v>0.79</v>
      </c>
      <c r="AN118" s="274">
        <f t="shared" si="55"/>
        <v>0.79</v>
      </c>
      <c r="AO118" s="262"/>
      <c r="AP118" s="262"/>
      <c r="AQ118" s="267">
        <v>0.10827529411764705</v>
      </c>
      <c r="AR118" s="262"/>
      <c r="AS118" s="266">
        <f t="shared" si="56"/>
        <v>299.38118823529413</v>
      </c>
      <c r="AT118" s="264">
        <f t="shared" si="57"/>
        <v>0</v>
      </c>
      <c r="AU118" s="262"/>
      <c r="AV118" s="262"/>
      <c r="AW118" s="265">
        <v>0.10827529411764705</v>
      </c>
      <c r="AX118" s="164" t="s">
        <v>2393</v>
      </c>
      <c r="AY118" s="266">
        <v>299.38118823529413</v>
      </c>
      <c r="AZ118" s="266">
        <f t="shared" si="58"/>
        <v>299.38118823529413</v>
      </c>
      <c r="BA118" s="264">
        <f t="shared" si="59"/>
        <v>0</v>
      </c>
      <c r="BB118" s="262"/>
      <c r="BC118" s="262"/>
      <c r="BD118" s="265">
        <f ca="1">IFERROR(INDEX(Algorithms!$G:$G,MATCH($C118&amp;"_Therm Saved per Unit",Algorithms!$A:$A,0)),0)</f>
        <v>0.10668494117647059</v>
      </c>
      <c r="BE118" s="164" t="str">
        <f ca="1">IFERROR(INDEX('v12 Revisions'!$P$29:$P$186, MATCH('Measure-Level Adj Gas'!$L118, 'v12 Revisions'!$D$29:$D$186,0)),"")</f>
        <v>Updated HDD from 5113 to 4798 and shell adjustment factor from 0.60 to 0.63 ; Updated measure life to 30 years.</v>
      </c>
      <c r="BF118" s="266">
        <f t="shared" ca="1" si="60"/>
        <v>294.98386235294117</v>
      </c>
      <c r="BG118" s="264">
        <f t="shared" ca="1" si="61"/>
        <v>-4.3973258823529591</v>
      </c>
      <c r="BH118" s="262"/>
      <c r="BI118" s="262"/>
      <c r="BJ118" s="265">
        <f ca="1">IFERROR(INDEX(Algorithms!$G:$G,MATCH($C118&amp;"_Therm Saved per Unit",Algorithms!$A:$A,0)),0)</f>
        <v>0.10668494117647059</v>
      </c>
      <c r="BK118" s="164"/>
      <c r="BL118" s="266">
        <f t="shared" ca="1" si="62"/>
        <v>294.98386235294117</v>
      </c>
      <c r="BM118" s="264">
        <f t="shared" ca="1" si="63"/>
        <v>-4.3973258823529591</v>
      </c>
      <c r="BN118" s="266">
        <f t="shared" si="64"/>
        <v>299.38118823529413</v>
      </c>
      <c r="BO118" s="266">
        <f t="shared" si="65"/>
        <v>299.38118823529413</v>
      </c>
      <c r="BP118" s="266">
        <f t="shared" ca="1" si="66"/>
        <v>294.98386235294117</v>
      </c>
      <c r="BQ118" s="266">
        <f t="shared" ca="1" si="67"/>
        <v>294.98386235294117</v>
      </c>
      <c r="BR118" s="268">
        <f t="shared" ca="1" si="68"/>
        <v>1188.7301011764707</v>
      </c>
      <c r="BS118" s="262" t="s">
        <v>99</v>
      </c>
      <c r="BT118" s="277"/>
      <c r="BW118" s="266">
        <f t="shared" si="69"/>
        <v>299.38118823529413</v>
      </c>
      <c r="BX118" s="266">
        <f t="shared" si="70"/>
        <v>299.38118823529413</v>
      </c>
      <c r="BY118" s="266">
        <f t="shared" si="71"/>
        <v>299.38118823529413</v>
      </c>
      <c r="BZ118" s="266">
        <f t="shared" si="72"/>
        <v>299.38118823529413</v>
      </c>
      <c r="CA118" s="266">
        <f ca="1">N118*IFERROR(INDEX(Algorithms!$G:$G,MATCH($C118&amp;"_Therm Saved per Unit- MLA",Algorithms!$A:$A,0)),0)*X118</f>
        <v>312.33585425605537</v>
      </c>
      <c r="CB118" s="266">
        <f ca="1">O118*IFERROR(INDEX(Algorithms!$G:$G,MATCH($C118&amp;"_Therm Saved per Unit- MLA",Algorithms!$A:$A,0)),0)*Y118</f>
        <v>312.33585425605537</v>
      </c>
      <c r="CC118" s="266">
        <f ca="1">P118*IFERROR(INDEX(Algorithms!$G:$G,MATCH($C118&amp;"_Therm Saved per Unit- MLA",Algorithms!$A:$A,0)),0)*Z118</f>
        <v>312.33585425605537</v>
      </c>
      <c r="CD118" s="266">
        <f ca="1">Q118*IFERROR(INDEX(Algorithms!$G:$G,MATCH($C118&amp;"_Therm Saved per Unit- MLA",Algorithms!$A:$A,0)),0)*AA118</f>
        <v>312.33585425605537</v>
      </c>
      <c r="CE118" s="266">
        <f ca="1">IFERROR(INDEX(Algorithms!$G:$G,MATCH($C118&amp;"_Lifetime (years)",Algorithms!$A:$A,0)),0)</f>
        <v>30</v>
      </c>
      <c r="CF118" s="266">
        <f ca="1">IFERROR(INDEX(Algorithms!$G:$G,MATCH($C118&amp;"_Lifetime (years) - Remaining Years",Algorithms!$A:$A,0)),0)</f>
        <v>10</v>
      </c>
      <c r="CG118" s="266">
        <f t="shared" ca="1" si="73"/>
        <v>9240.5289674740488</v>
      </c>
      <c r="CH118" s="266">
        <f t="shared" ca="1" si="74"/>
        <v>9240.5289674740488</v>
      </c>
      <c r="CI118" s="266">
        <f t="shared" ca="1" si="75"/>
        <v>9240.5289674740488</v>
      </c>
      <c r="CJ118" s="266">
        <f t="shared" ca="1" si="76"/>
        <v>9240.5289674740488</v>
      </c>
      <c r="CK118" s="266">
        <f t="shared" si="77"/>
        <v>299.38118823529413</v>
      </c>
      <c r="CL118" s="266">
        <f t="shared" si="78"/>
        <v>299.38118823529413</v>
      </c>
      <c r="CM118" s="266">
        <f t="shared" ca="1" si="79"/>
        <v>294.98386235294117</v>
      </c>
      <c r="CN118" s="266">
        <f t="shared" ca="1" si="80"/>
        <v>294.98386235294117</v>
      </c>
      <c r="CO118" s="266">
        <f ca="1">N118*IFERROR(INDEX(Algorithms!$G:$G,MATCH($C118&amp;"_Therm Saved per Unit- MLA",Algorithms!$A:$A,0)),0)*X118</f>
        <v>312.33585425605537</v>
      </c>
      <c r="CP118" s="266">
        <f ca="1">O118*IFERROR(INDEX(Algorithms!$G:$G,MATCH($C118&amp;"_Therm Saved per Unit- MLA",Algorithms!$A:$A,0)),0)*Y118</f>
        <v>312.33585425605537</v>
      </c>
      <c r="CQ118" s="266">
        <f ca="1">P118*IFERROR(INDEX(Algorithms!$G:$G,MATCH($C118&amp;"_Therm Saved per Unit- MLA",Algorithms!$A:$A,0)),0)*Z118</f>
        <v>312.33585425605537</v>
      </c>
      <c r="CR118" s="266">
        <f ca="1">Q118*IFERROR(INDEX(Algorithms!$G:$G,MATCH($C118&amp;"_Therm Saved per Unit- MLA",Algorithms!$A:$A,0)),0)*AA118</f>
        <v>312.33585425605537</v>
      </c>
      <c r="CS118" s="266">
        <f ca="1">IFERROR(INDEX(Algorithms!$G:$G,MATCH($C118&amp;"_Lifetime (years)",Algorithms!$A:$A,0)),0)</f>
        <v>30</v>
      </c>
      <c r="CT118" s="266">
        <f ca="1">IFERROR(INDEX(Algorithms!$G:$G,MATCH($C118&amp;"_Lifetime (years) - Remaining Years",Algorithms!$A:$A,0)),0)</f>
        <v>10</v>
      </c>
      <c r="CU118" s="266">
        <f t="shared" ca="1" si="81"/>
        <v>9240.5289674740488</v>
      </c>
      <c r="CV118" s="266">
        <f t="shared" ca="1" si="82"/>
        <v>9240.5289674740488</v>
      </c>
      <c r="CW118" s="266">
        <f t="shared" ca="1" si="83"/>
        <v>9196.5557086505196</v>
      </c>
      <c r="CX118" s="266">
        <f t="shared" ca="1" si="84"/>
        <v>9196.5557086505196</v>
      </c>
    </row>
    <row r="119" spans="2:102" s="47" customFormat="1" ht="18" customHeight="1" x14ac:dyDescent="0.25">
      <c r="B119" t="str">
        <f t="shared" si="85"/>
        <v>NSG_Residential_Multi-Family_Partner Trade Ally Rebate_Steam Boiler_ &gt;=1500MBH, &gt;=82% TE_MF</v>
      </c>
      <c r="C119" s="47" t="str">
        <f t="shared" si="46"/>
        <v>Steam Boiler_ &gt;=1500MBH, &gt;=82% TE_MF</v>
      </c>
      <c r="D119" s="270" t="s">
        <v>1787</v>
      </c>
      <c r="E119" s="270" t="s">
        <v>2</v>
      </c>
      <c r="F119" s="270" t="s">
        <v>1422</v>
      </c>
      <c r="G119" s="270" t="s">
        <v>1799</v>
      </c>
      <c r="H119" s="270" t="s">
        <v>938</v>
      </c>
      <c r="I119" s="270" t="s">
        <v>939</v>
      </c>
      <c r="J119" s="270" t="s">
        <v>553</v>
      </c>
      <c r="K119" s="263">
        <v>1</v>
      </c>
      <c r="L119" s="263" t="str">
        <f ca="1">IFERROR(INDEX(Algorithms!J:J,MATCH($C119&amp;"_Therm Saved per Unit",Algorithms!$A:$A,0)),"n/a")</f>
        <v>4.4.10</v>
      </c>
      <c r="M119" s="263" t="str">
        <f>IFERROR(INDEX('Measure Level Detail'!$N:$N,MATCH($B119,'Measure Level Detail'!$B:$B,0)),0)</f>
        <v>MBH</v>
      </c>
      <c r="N119" s="271">
        <f>IFERROR(INDEX('Measure Level Detail'!$P:$P,MATCH($B119&amp;"_"&amp;N$3,'Measure Level Detail'!$C:$C,0)),0)</f>
        <v>3000</v>
      </c>
      <c r="O119" s="271">
        <f>IFERROR(INDEX('Measure Level Detail'!$P:$P,MATCH($B119&amp;"_"&amp;O$3,'Measure Level Detail'!$C:$C,0)),0)</f>
        <v>3000</v>
      </c>
      <c r="P119" s="271">
        <f>IFERROR(INDEX('Measure Level Detail'!$P:$P,MATCH($B119&amp;"_"&amp;P$3,'Measure Level Detail'!$C:$C,0)),0)</f>
        <v>3000</v>
      </c>
      <c r="Q119" s="271">
        <f>IFERROR(INDEX('Measure Level Detail'!$P:$P,MATCH($B119&amp;"_"&amp;Q$3,'Measure Level Detail'!$C:$C,0)),0)</f>
        <v>3000</v>
      </c>
      <c r="R119" s="263" t="str">
        <f ca="1">IFERROR(INDEX(Algorithms!K:K,MATCH($C119&amp;"_Therm Saved per Unit",Algorithms!$A:$A,0)),"n/a")</f>
        <v>CI-HVC-BOIL-V11-240101</v>
      </c>
      <c r="S119" s="262"/>
      <c r="T119" s="272">
        <v>0.85179487179487012</v>
      </c>
      <c r="U119" s="272">
        <v>0.85179487179487012</v>
      </c>
      <c r="V119" s="272">
        <v>0.85179487179487012</v>
      </c>
      <c r="W119" s="272">
        <v>0.85179487179487012</v>
      </c>
      <c r="X119" s="273">
        <f>IFERROR(INDEX('Measure Level Detail'!$R:$R,MATCH($B119&amp;"_"&amp;X$3,'Measure Level Detail'!$C:$C,0)),0)</f>
        <v>0.87</v>
      </c>
      <c r="Y119" s="273">
        <f>IFERROR(INDEX('Measure Level Detail'!$R:$R,MATCH($B119&amp;"_"&amp;Y$3,'Measure Level Detail'!$C:$C,0)),0)</f>
        <v>0.87</v>
      </c>
      <c r="Z119" s="273">
        <f>IFERROR(INDEX('Measure Level Detail'!$R:$R,MATCH($B119&amp;"_"&amp;Z$3,'Measure Level Detail'!$C:$C,0)),0)</f>
        <v>0.87</v>
      </c>
      <c r="AA119" s="273">
        <f>IFERROR(INDEX('Measure Level Detail'!$R:$R,MATCH($B119&amp;"_"&amp;AA$3,'Measure Level Detail'!$C:$C,0)),0)</f>
        <v>0.87</v>
      </c>
      <c r="AB119" s="266">
        <f t="shared" si="47"/>
        <v>2223.1846153846109</v>
      </c>
      <c r="AC119" s="266">
        <f t="shared" si="48"/>
        <v>2223.1846153846109</v>
      </c>
      <c r="AD119" s="266">
        <f t="shared" si="49"/>
        <v>2223.1846153846109</v>
      </c>
      <c r="AE119" s="266">
        <f t="shared" si="50"/>
        <v>2223.1846153846109</v>
      </c>
      <c r="AF119" s="266">
        <f t="shared" si="51"/>
        <v>8892.7384615384435</v>
      </c>
      <c r="AG119" s="274">
        <v>0.87</v>
      </c>
      <c r="AH119" s="274">
        <v>0.87</v>
      </c>
      <c r="AI119" s="710">
        <v>0.88</v>
      </c>
      <c r="AJ119" s="710">
        <v>0.88</v>
      </c>
      <c r="AK119" s="274">
        <f t="shared" si="52"/>
        <v>0.87</v>
      </c>
      <c r="AL119" s="274">
        <f t="shared" si="53"/>
        <v>0.87</v>
      </c>
      <c r="AM119" s="274">
        <f t="shared" si="54"/>
        <v>0.87</v>
      </c>
      <c r="AN119" s="274">
        <f t="shared" si="55"/>
        <v>0.87</v>
      </c>
      <c r="AO119" s="262"/>
      <c r="AP119" s="262"/>
      <c r="AQ119" s="267">
        <v>0.85179487179487012</v>
      </c>
      <c r="AR119" s="262"/>
      <c r="AS119" s="266">
        <f t="shared" si="56"/>
        <v>2223.1846153846109</v>
      </c>
      <c r="AT119" s="264">
        <f t="shared" si="57"/>
        <v>0</v>
      </c>
      <c r="AU119" s="262"/>
      <c r="AV119" s="262"/>
      <c r="AW119" s="265">
        <v>0.63075949367088424</v>
      </c>
      <c r="AX119" s="164" t="s">
        <v>1469</v>
      </c>
      <c r="AY119" s="266">
        <v>2223.1846153846109</v>
      </c>
      <c r="AZ119" s="266">
        <f t="shared" si="58"/>
        <v>1646.2822784810078</v>
      </c>
      <c r="BA119" s="264">
        <f t="shared" si="59"/>
        <v>-576.9023369036031</v>
      </c>
      <c r="BB119" s="262"/>
      <c r="BC119" s="262"/>
      <c r="BD119" s="265">
        <f ca="1">IFERROR(INDEX(Algorithms!$G:$G,MATCH($C119&amp;"_Therm Saved per Unit",Algorithms!$A:$A,0)),0)</f>
        <v>0.41012345679012158</v>
      </c>
      <c r="BE119" s="164" t="str">
        <f ca="1">IFERROR(INDEX('v12 Revisions'!$P$29:$P$186, MATCH('Measure-Level Adj Gas'!$L119, 'v12 Revisions'!$D$29:$D$186,0)),"")</f>
        <v>Updated baseline and efficient boiler efficiency ratings.</v>
      </c>
      <c r="BF119" s="266">
        <f t="shared" ca="1" si="60"/>
        <v>1070.4222222222174</v>
      </c>
      <c r="BG119" s="264">
        <f t="shared" ca="1" si="61"/>
        <v>-1152.7623931623934</v>
      </c>
      <c r="BH119" s="262"/>
      <c r="BI119" s="262"/>
      <c r="BJ119" s="265">
        <f ca="1">IFERROR(INDEX(Algorithms!$G:$G,MATCH($C119&amp;"_Therm Saved per Unit",Algorithms!$A:$A,0)),0)</f>
        <v>0.41012345679012158</v>
      </c>
      <c r="BK119" s="164"/>
      <c r="BL119" s="266">
        <f t="shared" ca="1" si="62"/>
        <v>1070.4222222222174</v>
      </c>
      <c r="BM119" s="264">
        <f t="shared" ca="1" si="63"/>
        <v>-1152.7623931623934</v>
      </c>
      <c r="BN119" s="266">
        <f t="shared" si="64"/>
        <v>2223.1846153846109</v>
      </c>
      <c r="BO119" s="266">
        <f t="shared" si="65"/>
        <v>1646.2822784810078</v>
      </c>
      <c r="BP119" s="266">
        <f t="shared" ca="1" si="66"/>
        <v>1070.4222222222174</v>
      </c>
      <c r="BQ119" s="266">
        <f t="shared" ca="1" si="67"/>
        <v>1070.4222222222174</v>
      </c>
      <c r="BR119" s="268">
        <f t="shared" ca="1" si="68"/>
        <v>6010.3113383100535</v>
      </c>
      <c r="BS119" s="262" t="s">
        <v>99</v>
      </c>
      <c r="BT119" s="277"/>
      <c r="BW119" s="266">
        <f t="shared" si="69"/>
        <v>2223.1846153846109</v>
      </c>
      <c r="BX119" s="266">
        <f t="shared" si="70"/>
        <v>2223.1846153846109</v>
      </c>
      <c r="BY119" s="266">
        <f t="shared" si="71"/>
        <v>2223.1846153846109</v>
      </c>
      <c r="BZ119" s="266">
        <f t="shared" si="72"/>
        <v>2223.1846153846109</v>
      </c>
      <c r="CA119" s="266">
        <f ca="1">N119*IFERROR(INDEX(Algorithms!$G:$G,MATCH($C119&amp;"_Therm Saved per Unit- MLA",Algorithms!$A:$A,0)),0)*X119</f>
        <v>0</v>
      </c>
      <c r="CB119" s="266">
        <f ca="1">O119*IFERROR(INDEX(Algorithms!$G:$G,MATCH($C119&amp;"_Therm Saved per Unit- MLA",Algorithms!$A:$A,0)),0)*Y119</f>
        <v>0</v>
      </c>
      <c r="CC119" s="266">
        <f ca="1">P119*IFERROR(INDEX(Algorithms!$G:$G,MATCH($C119&amp;"_Therm Saved per Unit- MLA",Algorithms!$A:$A,0)),0)*Z119</f>
        <v>0</v>
      </c>
      <c r="CD119" s="266">
        <f ca="1">Q119*IFERROR(INDEX(Algorithms!$G:$G,MATCH($C119&amp;"_Therm Saved per Unit- MLA",Algorithms!$A:$A,0)),0)*AA119</f>
        <v>0</v>
      </c>
      <c r="CE119" s="266">
        <f ca="1">IFERROR(INDEX(Algorithms!$G:$G,MATCH($C119&amp;"_Lifetime (years)",Algorithms!$A:$A,0)),0)</f>
        <v>25</v>
      </c>
      <c r="CF119" s="266">
        <f ca="1">IFERROR(INDEX(Algorithms!$G:$G,MATCH($C119&amp;"_Lifetime (years) - Remaining Years",Algorithms!$A:$A,0)),0)</f>
        <v>0</v>
      </c>
      <c r="CG119" s="266">
        <f t="shared" ca="1" si="73"/>
        <v>55579.615384615274</v>
      </c>
      <c r="CH119" s="266">
        <f t="shared" ca="1" si="74"/>
        <v>55579.615384615274</v>
      </c>
      <c r="CI119" s="266">
        <f t="shared" ca="1" si="75"/>
        <v>55579.615384615274</v>
      </c>
      <c r="CJ119" s="266">
        <f t="shared" ca="1" si="76"/>
        <v>55579.615384615274</v>
      </c>
      <c r="CK119" s="266">
        <f t="shared" si="77"/>
        <v>2223.1846153846109</v>
      </c>
      <c r="CL119" s="266">
        <f t="shared" si="78"/>
        <v>1646.2822784810078</v>
      </c>
      <c r="CM119" s="266">
        <f t="shared" ca="1" si="79"/>
        <v>1070.4222222222174</v>
      </c>
      <c r="CN119" s="266">
        <f t="shared" ca="1" si="80"/>
        <v>1070.4222222222174</v>
      </c>
      <c r="CO119" s="266">
        <f ca="1">N119*IFERROR(INDEX(Algorithms!$G:$G,MATCH($C119&amp;"_Therm Saved per Unit- MLA",Algorithms!$A:$A,0)),0)*X119</f>
        <v>0</v>
      </c>
      <c r="CP119" s="266">
        <f ca="1">O119*IFERROR(INDEX(Algorithms!$G:$G,MATCH($C119&amp;"_Therm Saved per Unit- MLA",Algorithms!$A:$A,0)),0)*Y119</f>
        <v>0</v>
      </c>
      <c r="CQ119" s="266">
        <f ca="1">P119*IFERROR(INDEX(Algorithms!$G:$G,MATCH($C119&amp;"_Therm Saved per Unit- MLA",Algorithms!$A:$A,0)),0)*Z119</f>
        <v>0</v>
      </c>
      <c r="CR119" s="266">
        <f ca="1">Q119*IFERROR(INDEX(Algorithms!$G:$G,MATCH($C119&amp;"_Therm Saved per Unit- MLA",Algorithms!$A:$A,0)),0)*AA119</f>
        <v>0</v>
      </c>
      <c r="CS119" s="266">
        <f ca="1">IFERROR(INDEX(Algorithms!$G:$G,MATCH($C119&amp;"_Lifetime (years)",Algorithms!$A:$A,0)),0)</f>
        <v>25</v>
      </c>
      <c r="CT119" s="266">
        <f ca="1">IFERROR(INDEX(Algorithms!$G:$G,MATCH($C119&amp;"_Lifetime (years) - Remaining Years",Algorithms!$A:$A,0)),0)</f>
        <v>0</v>
      </c>
      <c r="CU119" s="266">
        <f t="shared" ca="1" si="81"/>
        <v>55579.615384615274</v>
      </c>
      <c r="CV119" s="266">
        <f t="shared" ca="1" si="82"/>
        <v>41157.056962025192</v>
      </c>
      <c r="CW119" s="266">
        <f t="shared" ca="1" si="83"/>
        <v>26760.555555555435</v>
      </c>
      <c r="CX119" s="266">
        <f t="shared" ca="1" si="84"/>
        <v>26760.555555555435</v>
      </c>
    </row>
    <row r="120" spans="2:102" s="47" customFormat="1" ht="18" customHeight="1" x14ac:dyDescent="0.25">
      <c r="B120" t="str">
        <f t="shared" si="85"/>
        <v>NSG_Business_Small/Mid-Size Business_Rebates_Boiler_≥88% AFUE, ≥300MBh TE_CI</v>
      </c>
      <c r="C120" s="47" t="str">
        <f t="shared" si="46"/>
        <v>Boiler_≥88% AFUE, ≥300MBh TE_CI</v>
      </c>
      <c r="D120" s="270" t="s">
        <v>1787</v>
      </c>
      <c r="E120" s="270" t="s">
        <v>3</v>
      </c>
      <c r="F120" s="270" t="s">
        <v>1432</v>
      </c>
      <c r="G120" s="270" t="s">
        <v>1429</v>
      </c>
      <c r="H120" s="270" t="s">
        <v>944</v>
      </c>
      <c r="I120" s="270" t="s">
        <v>946</v>
      </c>
      <c r="J120" s="270" t="s">
        <v>1159</v>
      </c>
      <c r="K120" s="263">
        <v>1</v>
      </c>
      <c r="L120" s="263" t="str">
        <f ca="1">IFERROR(INDEX(Algorithms!J:J,MATCH($C120&amp;"_Therm Saved per Unit",Algorithms!$A:$A,0)),"n/a")</f>
        <v>4.4.10</v>
      </c>
      <c r="M120" s="263" t="str">
        <f>IFERROR(INDEX('Measure Level Detail'!$N:$N,MATCH($B120,'Measure Level Detail'!$B:$B,0)),0)</f>
        <v>MBH</v>
      </c>
      <c r="N120" s="271">
        <f>IFERROR(INDEX('Measure Level Detail'!$P:$P,MATCH($B120&amp;"_"&amp;N$3,'Measure Level Detail'!$C:$C,0)),0)</f>
        <v>3000</v>
      </c>
      <c r="O120" s="271">
        <f>IFERROR(INDEX('Measure Level Detail'!$P:$P,MATCH($B120&amp;"_"&amp;O$3,'Measure Level Detail'!$C:$C,0)),0)</f>
        <v>3000</v>
      </c>
      <c r="P120" s="271">
        <f>IFERROR(INDEX('Measure Level Detail'!$P:$P,MATCH($B120&amp;"_"&amp;P$3,'Measure Level Detail'!$C:$C,0)),0)</f>
        <v>3000</v>
      </c>
      <c r="Q120" s="271">
        <f>IFERROR(INDEX('Measure Level Detail'!$P:$P,MATCH($B120&amp;"_"&amp;Q$3,'Measure Level Detail'!$C:$C,0)),0)</f>
        <v>3000</v>
      </c>
      <c r="R120" s="263" t="str">
        <f ca="1">IFERROR(INDEX(Algorithms!K:K,MATCH($C120&amp;"_Therm Saved per Unit",Algorithms!$A:$A,0)),"n/a")</f>
        <v>CI-HVC-BOIL-V11-240101</v>
      </c>
      <c r="S120" s="262"/>
      <c r="T120" s="272">
        <v>1.6609999999999991</v>
      </c>
      <c r="U120" s="272">
        <v>1.6609999999999991</v>
      </c>
      <c r="V120" s="272">
        <v>1.6609999999999991</v>
      </c>
      <c r="W120" s="272">
        <v>1.6609999999999991</v>
      </c>
      <c r="X120" s="276">
        <v>0.93</v>
      </c>
      <c r="Y120" s="276">
        <v>0.93</v>
      </c>
      <c r="Z120" s="276">
        <v>0.93</v>
      </c>
      <c r="AA120" s="276">
        <v>0.93</v>
      </c>
      <c r="AB120" s="266">
        <f t="shared" si="47"/>
        <v>4634.1899999999978</v>
      </c>
      <c r="AC120" s="266">
        <f t="shared" si="48"/>
        <v>4634.1899999999978</v>
      </c>
      <c r="AD120" s="266">
        <f t="shared" si="49"/>
        <v>4634.1899999999978</v>
      </c>
      <c r="AE120" s="266">
        <f t="shared" si="50"/>
        <v>4634.1899999999978</v>
      </c>
      <c r="AF120" s="266">
        <f t="shared" si="51"/>
        <v>18536.759999999991</v>
      </c>
      <c r="AG120" s="274">
        <v>0.93</v>
      </c>
      <c r="AH120" s="274">
        <v>0.93</v>
      </c>
      <c r="AI120" s="274">
        <v>0.93</v>
      </c>
      <c r="AJ120" s="274">
        <v>0.93</v>
      </c>
      <c r="AK120" s="274">
        <f t="shared" si="52"/>
        <v>0.93</v>
      </c>
      <c r="AL120" s="274">
        <f t="shared" si="53"/>
        <v>0.93</v>
      </c>
      <c r="AM120" s="274">
        <f t="shared" si="54"/>
        <v>0.93</v>
      </c>
      <c r="AN120" s="274">
        <f t="shared" si="55"/>
        <v>0.93</v>
      </c>
      <c r="AO120" s="262"/>
      <c r="AP120" s="262"/>
      <c r="AQ120" s="267">
        <v>1.6609999999999991</v>
      </c>
      <c r="AR120" s="262"/>
      <c r="AS120" s="266">
        <f t="shared" si="56"/>
        <v>4634.1899999999978</v>
      </c>
      <c r="AT120" s="264">
        <f t="shared" si="57"/>
        <v>0</v>
      </c>
      <c r="AU120" s="262"/>
      <c r="AV120" s="262"/>
      <c r="AW120" s="265">
        <v>1.6609999999999991</v>
      </c>
      <c r="AX120" s="164" t="s">
        <v>1469</v>
      </c>
      <c r="AY120" s="266">
        <v>4634.1899999999978</v>
      </c>
      <c r="AZ120" s="266">
        <f t="shared" si="58"/>
        <v>4634.1899999999978</v>
      </c>
      <c r="BA120" s="264">
        <f t="shared" si="59"/>
        <v>0</v>
      </c>
      <c r="BB120" s="262"/>
      <c r="BC120" s="262"/>
      <c r="BD120" s="265">
        <f ca="1">IFERROR(INDEX(Algorithms!$G:$G,MATCH($C120&amp;"_Therm Saved per Unit",Algorithms!$A:$A,0)),0)</f>
        <v>0.79095238095238163</v>
      </c>
      <c r="BE120" s="164" t="str">
        <f ca="1">IFERROR(INDEX('v12 Revisions'!$P$29:$P$186, MATCH('Measure-Level Adj Gas'!$L120, 'v12 Revisions'!$D$29:$D$186,0)),"")</f>
        <v>Updated baseline and efficient boiler efficiency ratings.</v>
      </c>
      <c r="BF120" s="266">
        <f t="shared" ca="1" si="60"/>
        <v>2206.757142857145</v>
      </c>
      <c r="BG120" s="264">
        <f t="shared" ca="1" si="61"/>
        <v>-2427.4328571428528</v>
      </c>
      <c r="BH120" s="262"/>
      <c r="BI120" s="262"/>
      <c r="BJ120" s="265">
        <f ca="1">IFERROR(INDEX(Algorithms!$G:$G,MATCH($C120&amp;"_Therm Saved per Unit",Algorithms!$A:$A,0)),0)</f>
        <v>0.79095238095238163</v>
      </c>
      <c r="BK120" s="164"/>
      <c r="BL120" s="266">
        <f t="shared" ca="1" si="62"/>
        <v>2206.757142857145</v>
      </c>
      <c r="BM120" s="264">
        <f t="shared" ca="1" si="63"/>
        <v>-2427.4328571428528</v>
      </c>
      <c r="BN120" s="266">
        <f t="shared" si="64"/>
        <v>4634.1899999999978</v>
      </c>
      <c r="BO120" s="266">
        <f t="shared" si="65"/>
        <v>4634.1899999999978</v>
      </c>
      <c r="BP120" s="266">
        <f t="shared" ca="1" si="66"/>
        <v>2206.757142857145</v>
      </c>
      <c r="BQ120" s="266">
        <f t="shared" ca="1" si="67"/>
        <v>2206.757142857145</v>
      </c>
      <c r="BR120" s="268">
        <f t="shared" ca="1" si="68"/>
        <v>13681.894285714285</v>
      </c>
      <c r="BS120" s="262" t="s">
        <v>99</v>
      </c>
      <c r="BT120" s="277"/>
      <c r="BW120" s="266">
        <f t="shared" si="69"/>
        <v>4634.1899999999978</v>
      </c>
      <c r="BX120" s="266">
        <f t="shared" si="70"/>
        <v>4634.1899999999978</v>
      </c>
      <c r="BY120" s="266">
        <f t="shared" si="71"/>
        <v>4634.1899999999978</v>
      </c>
      <c r="BZ120" s="266">
        <f t="shared" si="72"/>
        <v>4634.1899999999978</v>
      </c>
      <c r="CA120" s="266">
        <f ca="1">N120*IFERROR(INDEX(Algorithms!$G:$G,MATCH($C120&amp;"_Therm Saved per Unit- MLA",Algorithms!$A:$A,0)),0)*X120</f>
        <v>0</v>
      </c>
      <c r="CB120" s="266">
        <f ca="1">O120*IFERROR(INDEX(Algorithms!$G:$G,MATCH($C120&amp;"_Therm Saved per Unit- MLA",Algorithms!$A:$A,0)),0)*Y120</f>
        <v>0</v>
      </c>
      <c r="CC120" s="266">
        <f ca="1">P120*IFERROR(INDEX(Algorithms!$G:$G,MATCH($C120&amp;"_Therm Saved per Unit- MLA",Algorithms!$A:$A,0)),0)*Z120</f>
        <v>0</v>
      </c>
      <c r="CD120" s="266">
        <f ca="1">Q120*IFERROR(INDEX(Algorithms!$G:$G,MATCH($C120&amp;"_Therm Saved per Unit- MLA",Algorithms!$A:$A,0)),0)*AA120</f>
        <v>0</v>
      </c>
      <c r="CE120" s="266">
        <f ca="1">IFERROR(INDEX(Algorithms!$G:$G,MATCH($C120&amp;"_Lifetime (years)",Algorithms!$A:$A,0)),0)</f>
        <v>25</v>
      </c>
      <c r="CF120" s="266">
        <f ca="1">IFERROR(INDEX(Algorithms!$G:$G,MATCH($C120&amp;"_Lifetime (years) - Remaining Years",Algorithms!$A:$A,0)),0)</f>
        <v>0</v>
      </c>
      <c r="CG120" s="266">
        <f t="shared" ca="1" si="73"/>
        <v>115854.74999999994</v>
      </c>
      <c r="CH120" s="266">
        <f t="shared" ca="1" si="74"/>
        <v>115854.74999999994</v>
      </c>
      <c r="CI120" s="266">
        <f t="shared" ca="1" si="75"/>
        <v>115854.74999999994</v>
      </c>
      <c r="CJ120" s="266">
        <f t="shared" ca="1" si="76"/>
        <v>115854.74999999994</v>
      </c>
      <c r="CK120" s="266">
        <f t="shared" si="77"/>
        <v>4634.1899999999978</v>
      </c>
      <c r="CL120" s="266">
        <f t="shared" si="78"/>
        <v>4634.1899999999978</v>
      </c>
      <c r="CM120" s="266">
        <f t="shared" ca="1" si="79"/>
        <v>2206.757142857145</v>
      </c>
      <c r="CN120" s="266">
        <f t="shared" ca="1" si="80"/>
        <v>2206.757142857145</v>
      </c>
      <c r="CO120" s="266">
        <f ca="1">N120*IFERROR(INDEX(Algorithms!$G:$G,MATCH($C120&amp;"_Therm Saved per Unit- MLA",Algorithms!$A:$A,0)),0)*X120</f>
        <v>0</v>
      </c>
      <c r="CP120" s="266">
        <f ca="1">O120*IFERROR(INDEX(Algorithms!$G:$G,MATCH($C120&amp;"_Therm Saved per Unit- MLA",Algorithms!$A:$A,0)),0)*Y120</f>
        <v>0</v>
      </c>
      <c r="CQ120" s="266">
        <f ca="1">P120*IFERROR(INDEX(Algorithms!$G:$G,MATCH($C120&amp;"_Therm Saved per Unit- MLA",Algorithms!$A:$A,0)),0)*Z120</f>
        <v>0</v>
      </c>
      <c r="CR120" s="266">
        <f ca="1">Q120*IFERROR(INDEX(Algorithms!$G:$G,MATCH($C120&amp;"_Therm Saved per Unit- MLA",Algorithms!$A:$A,0)),0)*AA120</f>
        <v>0</v>
      </c>
      <c r="CS120" s="266">
        <f ca="1">IFERROR(INDEX(Algorithms!$G:$G,MATCH($C120&amp;"_Lifetime (years)",Algorithms!$A:$A,0)),0)</f>
        <v>25</v>
      </c>
      <c r="CT120" s="266">
        <f ca="1">IFERROR(INDEX(Algorithms!$G:$G,MATCH($C120&amp;"_Lifetime (years) - Remaining Years",Algorithms!$A:$A,0)),0)</f>
        <v>0</v>
      </c>
      <c r="CU120" s="266">
        <f t="shared" ca="1" si="81"/>
        <v>115854.74999999994</v>
      </c>
      <c r="CV120" s="266">
        <f t="shared" ca="1" si="82"/>
        <v>115854.74999999994</v>
      </c>
      <c r="CW120" s="266">
        <f t="shared" ca="1" si="83"/>
        <v>55168.928571428623</v>
      </c>
      <c r="CX120" s="266">
        <f t="shared" ca="1" si="84"/>
        <v>55168.928571428623</v>
      </c>
    </row>
    <row r="121" spans="2:102" s="47" customFormat="1" ht="18" customHeight="1" x14ac:dyDescent="0.25">
      <c r="B121" t="str">
        <f t="shared" si="85"/>
        <v>NSG_Business_Small/Mid-Size Business_Partner Trade Ally Rebate_Boiler_≥88% AFUE, ≥300MBh TE_CI</v>
      </c>
      <c r="C121" s="47" t="str">
        <f t="shared" si="46"/>
        <v>Boiler_≥88% AFUE, ≥300MBh TE_CI</v>
      </c>
      <c r="D121" s="270" t="s">
        <v>1787</v>
      </c>
      <c r="E121" s="270" t="s">
        <v>3</v>
      </c>
      <c r="F121" s="270" t="s">
        <v>1432</v>
      </c>
      <c r="G121" s="270" t="s">
        <v>1799</v>
      </c>
      <c r="H121" s="270" t="s">
        <v>944</v>
      </c>
      <c r="I121" s="270" t="s">
        <v>946</v>
      </c>
      <c r="J121" s="270" t="s">
        <v>1159</v>
      </c>
      <c r="K121" s="263">
        <v>1</v>
      </c>
      <c r="L121" s="263" t="str">
        <f ca="1">IFERROR(INDEX(Algorithms!J:J,MATCH($C121&amp;"_Therm Saved per Unit",Algorithms!$A:$A,0)),"n/a")</f>
        <v>4.4.10</v>
      </c>
      <c r="M121" s="263" t="str">
        <f>IFERROR(INDEX('Measure Level Detail'!$N:$N,MATCH($B121,'Measure Level Detail'!$B:$B,0)),0)</f>
        <v>MBH</v>
      </c>
      <c r="N121" s="271">
        <f>IFERROR(INDEX('Measure Level Detail'!$P:$P,MATCH($B121&amp;"_"&amp;N$3,'Measure Level Detail'!$C:$C,0)),0)</f>
        <v>3000</v>
      </c>
      <c r="O121" s="271">
        <f>IFERROR(INDEX('Measure Level Detail'!$P:$P,MATCH($B121&amp;"_"&amp;O$3,'Measure Level Detail'!$C:$C,0)),0)</f>
        <v>3000</v>
      </c>
      <c r="P121" s="271">
        <f>IFERROR(INDEX('Measure Level Detail'!$P:$P,MATCH($B121&amp;"_"&amp;P$3,'Measure Level Detail'!$C:$C,0)),0)</f>
        <v>3000</v>
      </c>
      <c r="Q121" s="271">
        <f>IFERROR(INDEX('Measure Level Detail'!$P:$P,MATCH($B121&amp;"_"&amp;Q$3,'Measure Level Detail'!$C:$C,0)),0)</f>
        <v>3000</v>
      </c>
      <c r="R121" s="263" t="str">
        <f ca="1">IFERROR(INDEX(Algorithms!K:K,MATCH($C121&amp;"_Therm Saved per Unit",Algorithms!$A:$A,0)),"n/a")</f>
        <v>CI-HVC-BOIL-V11-240101</v>
      </c>
      <c r="S121" s="262"/>
      <c r="T121" s="272">
        <v>1.6609999999999991</v>
      </c>
      <c r="U121" s="272">
        <v>1.6609999999999991</v>
      </c>
      <c r="V121" s="272">
        <v>1.6609999999999991</v>
      </c>
      <c r="W121" s="272">
        <v>1.6609999999999991</v>
      </c>
      <c r="X121" s="276">
        <v>0.93</v>
      </c>
      <c r="Y121" s="276">
        <v>0.93</v>
      </c>
      <c r="Z121" s="276">
        <v>0.93</v>
      </c>
      <c r="AA121" s="276">
        <v>0.93</v>
      </c>
      <c r="AB121" s="266">
        <f t="shared" si="47"/>
        <v>4634.1899999999978</v>
      </c>
      <c r="AC121" s="266">
        <f t="shared" si="48"/>
        <v>4634.1899999999978</v>
      </c>
      <c r="AD121" s="266">
        <f t="shared" si="49"/>
        <v>4634.1899999999978</v>
      </c>
      <c r="AE121" s="266">
        <f t="shared" si="50"/>
        <v>4634.1899999999978</v>
      </c>
      <c r="AF121" s="266">
        <f t="shared" si="51"/>
        <v>18536.759999999991</v>
      </c>
      <c r="AG121" s="274">
        <v>0.93</v>
      </c>
      <c r="AH121" s="274">
        <v>0.93</v>
      </c>
      <c r="AI121" s="274">
        <v>0.93</v>
      </c>
      <c r="AJ121" s="274">
        <v>0.93</v>
      </c>
      <c r="AK121" s="274">
        <f t="shared" si="52"/>
        <v>0.93</v>
      </c>
      <c r="AL121" s="274">
        <f t="shared" si="53"/>
        <v>0.93</v>
      </c>
      <c r="AM121" s="274">
        <f t="shared" si="54"/>
        <v>0.93</v>
      </c>
      <c r="AN121" s="274">
        <f t="shared" si="55"/>
        <v>0.93</v>
      </c>
      <c r="AO121" s="262"/>
      <c r="AP121" s="262"/>
      <c r="AQ121" s="267">
        <v>1.6609999999999991</v>
      </c>
      <c r="AR121" s="262"/>
      <c r="AS121" s="266">
        <f t="shared" si="56"/>
        <v>4634.1899999999978</v>
      </c>
      <c r="AT121" s="264">
        <f t="shared" si="57"/>
        <v>0</v>
      </c>
      <c r="AU121" s="262"/>
      <c r="AV121" s="262"/>
      <c r="AW121" s="265">
        <v>1.6609999999999991</v>
      </c>
      <c r="AX121" s="164" t="s">
        <v>1469</v>
      </c>
      <c r="AY121" s="266">
        <v>4634.1899999999978</v>
      </c>
      <c r="AZ121" s="266">
        <f t="shared" si="58"/>
        <v>4634.1899999999978</v>
      </c>
      <c r="BA121" s="264">
        <f t="shared" si="59"/>
        <v>0</v>
      </c>
      <c r="BB121" s="262"/>
      <c r="BC121" s="262"/>
      <c r="BD121" s="265">
        <f ca="1">IFERROR(INDEX(Algorithms!$G:$G,MATCH($C121&amp;"_Therm Saved per Unit",Algorithms!$A:$A,0)),0)</f>
        <v>0.79095238095238163</v>
      </c>
      <c r="BE121" s="164" t="str">
        <f ca="1">IFERROR(INDEX('v12 Revisions'!$P$29:$P$186, MATCH('Measure-Level Adj Gas'!$L121, 'v12 Revisions'!$D$29:$D$186,0)),"")</f>
        <v>Updated baseline and efficient boiler efficiency ratings.</v>
      </c>
      <c r="BF121" s="266">
        <f t="shared" ca="1" si="60"/>
        <v>2206.757142857145</v>
      </c>
      <c r="BG121" s="264">
        <f t="shared" ca="1" si="61"/>
        <v>-2427.4328571428528</v>
      </c>
      <c r="BH121" s="262"/>
      <c r="BI121" s="262"/>
      <c r="BJ121" s="265">
        <f ca="1">IFERROR(INDEX(Algorithms!$G:$G,MATCH($C121&amp;"_Therm Saved per Unit",Algorithms!$A:$A,0)),0)</f>
        <v>0.79095238095238163</v>
      </c>
      <c r="BK121" s="164"/>
      <c r="BL121" s="266">
        <f t="shared" ca="1" si="62"/>
        <v>2206.757142857145</v>
      </c>
      <c r="BM121" s="264">
        <f t="shared" ca="1" si="63"/>
        <v>-2427.4328571428528</v>
      </c>
      <c r="BN121" s="266">
        <f t="shared" si="64"/>
        <v>4634.1899999999978</v>
      </c>
      <c r="BO121" s="266">
        <f t="shared" si="65"/>
        <v>4634.1899999999978</v>
      </c>
      <c r="BP121" s="266">
        <f t="shared" ca="1" si="66"/>
        <v>2206.757142857145</v>
      </c>
      <c r="BQ121" s="266">
        <f t="shared" ca="1" si="67"/>
        <v>2206.757142857145</v>
      </c>
      <c r="BR121" s="268">
        <f t="shared" ca="1" si="68"/>
        <v>13681.894285714285</v>
      </c>
      <c r="BS121" s="262" t="s">
        <v>99</v>
      </c>
      <c r="BT121" s="277"/>
      <c r="BW121" s="266">
        <f t="shared" si="69"/>
        <v>4634.1899999999978</v>
      </c>
      <c r="BX121" s="266">
        <f t="shared" si="70"/>
        <v>4634.1899999999978</v>
      </c>
      <c r="BY121" s="266">
        <f t="shared" si="71"/>
        <v>4634.1899999999978</v>
      </c>
      <c r="BZ121" s="266">
        <f t="shared" si="72"/>
        <v>4634.1899999999978</v>
      </c>
      <c r="CA121" s="266">
        <f ca="1">N121*IFERROR(INDEX(Algorithms!$G:$G,MATCH($C121&amp;"_Therm Saved per Unit- MLA",Algorithms!$A:$A,0)),0)*X121</f>
        <v>0</v>
      </c>
      <c r="CB121" s="266">
        <f ca="1">O121*IFERROR(INDEX(Algorithms!$G:$G,MATCH($C121&amp;"_Therm Saved per Unit- MLA",Algorithms!$A:$A,0)),0)*Y121</f>
        <v>0</v>
      </c>
      <c r="CC121" s="266">
        <f ca="1">P121*IFERROR(INDEX(Algorithms!$G:$G,MATCH($C121&amp;"_Therm Saved per Unit- MLA",Algorithms!$A:$A,0)),0)*Z121</f>
        <v>0</v>
      </c>
      <c r="CD121" s="266">
        <f ca="1">Q121*IFERROR(INDEX(Algorithms!$G:$G,MATCH($C121&amp;"_Therm Saved per Unit- MLA",Algorithms!$A:$A,0)),0)*AA121</f>
        <v>0</v>
      </c>
      <c r="CE121" s="266">
        <f ca="1">IFERROR(INDEX(Algorithms!$G:$G,MATCH($C121&amp;"_Lifetime (years)",Algorithms!$A:$A,0)),0)</f>
        <v>25</v>
      </c>
      <c r="CF121" s="266">
        <f ca="1">IFERROR(INDEX(Algorithms!$G:$G,MATCH($C121&amp;"_Lifetime (years) - Remaining Years",Algorithms!$A:$A,0)),0)</f>
        <v>0</v>
      </c>
      <c r="CG121" s="266">
        <f t="shared" ca="1" si="73"/>
        <v>115854.74999999994</v>
      </c>
      <c r="CH121" s="266">
        <f t="shared" ca="1" si="74"/>
        <v>115854.74999999994</v>
      </c>
      <c r="CI121" s="266">
        <f t="shared" ca="1" si="75"/>
        <v>115854.74999999994</v>
      </c>
      <c r="CJ121" s="266">
        <f t="shared" ca="1" si="76"/>
        <v>115854.74999999994</v>
      </c>
      <c r="CK121" s="266">
        <f t="shared" si="77"/>
        <v>4634.1899999999978</v>
      </c>
      <c r="CL121" s="266">
        <f t="shared" si="78"/>
        <v>4634.1899999999978</v>
      </c>
      <c r="CM121" s="266">
        <f t="shared" ca="1" si="79"/>
        <v>2206.757142857145</v>
      </c>
      <c r="CN121" s="266">
        <f t="shared" ca="1" si="80"/>
        <v>2206.757142857145</v>
      </c>
      <c r="CO121" s="266">
        <f ca="1">N121*IFERROR(INDEX(Algorithms!$G:$G,MATCH($C121&amp;"_Therm Saved per Unit- MLA",Algorithms!$A:$A,0)),0)*X121</f>
        <v>0</v>
      </c>
      <c r="CP121" s="266">
        <f ca="1">O121*IFERROR(INDEX(Algorithms!$G:$G,MATCH($C121&amp;"_Therm Saved per Unit- MLA",Algorithms!$A:$A,0)),0)*Y121</f>
        <v>0</v>
      </c>
      <c r="CQ121" s="266">
        <f ca="1">P121*IFERROR(INDEX(Algorithms!$G:$G,MATCH($C121&amp;"_Therm Saved per Unit- MLA",Algorithms!$A:$A,0)),0)*Z121</f>
        <v>0</v>
      </c>
      <c r="CR121" s="266">
        <f ca="1">Q121*IFERROR(INDEX(Algorithms!$G:$G,MATCH($C121&amp;"_Therm Saved per Unit- MLA",Algorithms!$A:$A,0)),0)*AA121</f>
        <v>0</v>
      </c>
      <c r="CS121" s="266">
        <f ca="1">IFERROR(INDEX(Algorithms!$G:$G,MATCH($C121&amp;"_Lifetime (years)",Algorithms!$A:$A,0)),0)</f>
        <v>25</v>
      </c>
      <c r="CT121" s="266">
        <f ca="1">IFERROR(INDEX(Algorithms!$G:$G,MATCH($C121&amp;"_Lifetime (years) - Remaining Years",Algorithms!$A:$A,0)),0)</f>
        <v>0</v>
      </c>
      <c r="CU121" s="266">
        <f t="shared" ca="1" si="81"/>
        <v>115854.74999999994</v>
      </c>
      <c r="CV121" s="266">
        <f t="shared" ca="1" si="82"/>
        <v>115854.74999999994</v>
      </c>
      <c r="CW121" s="266">
        <f t="shared" ca="1" si="83"/>
        <v>55168.928571428623</v>
      </c>
      <c r="CX121" s="266">
        <f t="shared" ca="1" si="84"/>
        <v>55168.928571428623</v>
      </c>
    </row>
    <row r="122" spans="2:102" s="47" customFormat="1" ht="18" customHeight="1" x14ac:dyDescent="0.25">
      <c r="B122" t="str">
        <f t="shared" si="85"/>
        <v>NSG_Income Eligible_Multi-Family_IE Kits_Outlet and Switch Gaskets_IE Kit_IE</v>
      </c>
      <c r="C122" s="47" t="str">
        <f t="shared" si="46"/>
        <v>Outlet and Switch Gaskets_IE Kit_IE</v>
      </c>
      <c r="D122" s="270" t="s">
        <v>1787</v>
      </c>
      <c r="E122" s="270" t="s">
        <v>325</v>
      </c>
      <c r="F122" s="270" t="s">
        <v>1422</v>
      </c>
      <c r="G122" s="270" t="s">
        <v>1440</v>
      </c>
      <c r="H122" s="270" t="s">
        <v>563</v>
      </c>
      <c r="I122" s="270" t="s">
        <v>550</v>
      </c>
      <c r="J122" s="270" t="s">
        <v>551</v>
      </c>
      <c r="K122" s="263">
        <v>1</v>
      </c>
      <c r="L122" s="263" t="str">
        <f ca="1">IFERROR(INDEX(Algorithms!J:J,MATCH($C122&amp;"_Therm Saved per Unit",Algorithms!$A:$A,0)),"n/a")</f>
        <v>5.6.1</v>
      </c>
      <c r="M122" s="263" t="str">
        <f>IFERROR(INDEX('Measure Level Detail'!$N:$N,MATCH($B122,'Measure Level Detail'!$B:$B,0)),0)</f>
        <v>each</v>
      </c>
      <c r="N122" s="271">
        <f>IFERROR(INDEX('Measure Level Detail'!$P:$P,MATCH($B122&amp;"_"&amp;N$3,'Measure Level Detail'!$C:$C,0)),0)</f>
        <v>2800</v>
      </c>
      <c r="O122" s="271">
        <f>IFERROR(INDEX('Measure Level Detail'!$P:$P,MATCH($B122&amp;"_"&amp;O$3,'Measure Level Detail'!$C:$C,0)),0)</f>
        <v>2800</v>
      </c>
      <c r="P122" s="271">
        <f>IFERROR(INDEX('Measure Level Detail'!$P:$P,MATCH($B122&amp;"_"&amp;P$3,'Measure Level Detail'!$C:$C,0)),0)</f>
        <v>2800</v>
      </c>
      <c r="Q122" s="271">
        <f>IFERROR(INDEX('Measure Level Detail'!$P:$P,MATCH($B122&amp;"_"&amp;Q$3,'Measure Level Detail'!$C:$C,0)),0)</f>
        <v>2800</v>
      </c>
      <c r="R122" s="263" t="str">
        <f ca="1">IFERROR(INDEX(Algorithms!K:K,MATCH($C122&amp;"_Therm Saved per Unit",Algorithms!$A:$A,0)),"n/a")</f>
        <v>RS-SHL-AIRS-V13-240101</v>
      </c>
      <c r="S122" s="262"/>
      <c r="T122" s="272">
        <v>0.19176000000000001</v>
      </c>
      <c r="U122" s="272">
        <v>0.19176000000000001</v>
      </c>
      <c r="V122" s="272">
        <v>0.19176000000000001</v>
      </c>
      <c r="W122" s="272">
        <v>0.19176000000000001</v>
      </c>
      <c r="X122" s="273">
        <f>IFERROR(INDEX('Measure Level Detail'!$R:$R,MATCH($B122&amp;"_"&amp;X$3,'Measure Level Detail'!$C:$C,0)),0)</f>
        <v>1</v>
      </c>
      <c r="Y122" s="273">
        <f>IFERROR(INDEX('Measure Level Detail'!$R:$R,MATCH($B122&amp;"_"&amp;Y$3,'Measure Level Detail'!$C:$C,0)),0)</f>
        <v>1</v>
      </c>
      <c r="Z122" s="273">
        <f>IFERROR(INDEX('Measure Level Detail'!$R:$R,MATCH($B122&amp;"_"&amp;Z$3,'Measure Level Detail'!$C:$C,0)),0)</f>
        <v>1</v>
      </c>
      <c r="AA122" s="273">
        <f>IFERROR(INDEX('Measure Level Detail'!$R:$R,MATCH($B122&amp;"_"&amp;AA$3,'Measure Level Detail'!$C:$C,0)),0)</f>
        <v>1</v>
      </c>
      <c r="AB122" s="266">
        <f t="shared" si="47"/>
        <v>536.928</v>
      </c>
      <c r="AC122" s="266">
        <f t="shared" si="48"/>
        <v>536.928</v>
      </c>
      <c r="AD122" s="266">
        <f t="shared" si="49"/>
        <v>536.928</v>
      </c>
      <c r="AE122" s="266">
        <f t="shared" si="50"/>
        <v>536.928</v>
      </c>
      <c r="AF122" s="266">
        <f t="shared" si="51"/>
        <v>2147.712</v>
      </c>
      <c r="AG122" s="274">
        <v>1</v>
      </c>
      <c r="AH122" s="274">
        <v>1</v>
      </c>
      <c r="AI122" s="274">
        <v>1</v>
      </c>
      <c r="AJ122" s="274">
        <v>1</v>
      </c>
      <c r="AK122" s="274">
        <f t="shared" si="52"/>
        <v>1</v>
      </c>
      <c r="AL122" s="274">
        <f t="shared" si="53"/>
        <v>1</v>
      </c>
      <c r="AM122" s="274">
        <f t="shared" si="54"/>
        <v>1</v>
      </c>
      <c r="AN122" s="274">
        <f t="shared" si="55"/>
        <v>1</v>
      </c>
      <c r="AO122" s="262"/>
      <c r="AP122" s="262"/>
      <c r="AQ122" s="267">
        <v>0.19176000000000001</v>
      </c>
      <c r="AR122" s="262"/>
      <c r="AS122" s="266">
        <f t="shared" si="56"/>
        <v>536.928</v>
      </c>
      <c r="AT122" s="264">
        <f t="shared" si="57"/>
        <v>0</v>
      </c>
      <c r="AU122" s="262"/>
      <c r="AV122" s="262"/>
      <c r="AW122" s="265">
        <v>0.15040000000000001</v>
      </c>
      <c r="AX122" s="164" t="s">
        <v>2395</v>
      </c>
      <c r="AY122" s="266">
        <v>536.928</v>
      </c>
      <c r="AZ122" s="266">
        <f t="shared" si="58"/>
        <v>421.12</v>
      </c>
      <c r="BA122" s="264">
        <f t="shared" si="59"/>
        <v>-115.80799999999999</v>
      </c>
      <c r="BB122" s="262"/>
      <c r="BC122" s="262"/>
      <c r="BD122" s="265">
        <f ca="1">IFERROR(INDEX(Algorithms!$G:$G,MATCH($C122&amp;"_Therm Saved per Unit",Algorithms!$A:$A,0)),0)</f>
        <v>0.15040000000000001</v>
      </c>
      <c r="BE122" s="164" t="str">
        <f ca="1">IFERROR(INDEX('v12 Revisions'!$P$29:$P$186, MATCH('Measure-Level Adj Gas'!$L122, 'v12 Revisions'!$D$29:$D$186,0)),"")</f>
        <v>Updated HDD from 5113 to 4798 and shell adjustment factor from 0.72 to 0.76.</v>
      </c>
      <c r="BF122" s="266">
        <f t="shared" ca="1" si="60"/>
        <v>421.12</v>
      </c>
      <c r="BG122" s="264">
        <f t="shared" ca="1" si="61"/>
        <v>-115.80799999999999</v>
      </c>
      <c r="BH122" s="262"/>
      <c r="BI122" s="262"/>
      <c r="BJ122" s="265">
        <f ca="1">IFERROR(INDEX(Algorithms!$G:$G,MATCH($C122&amp;"_Therm Saved per Unit",Algorithms!$A:$A,0)),0)</f>
        <v>0.15040000000000001</v>
      </c>
      <c r="BK122" s="164"/>
      <c r="BL122" s="266">
        <f t="shared" ca="1" si="62"/>
        <v>421.12</v>
      </c>
      <c r="BM122" s="264">
        <f t="shared" ca="1" si="63"/>
        <v>-115.80799999999999</v>
      </c>
      <c r="BN122" s="266">
        <f t="shared" si="64"/>
        <v>536.928</v>
      </c>
      <c r="BO122" s="266">
        <f t="shared" si="65"/>
        <v>421.12</v>
      </c>
      <c r="BP122" s="266">
        <f t="shared" ca="1" si="66"/>
        <v>421.12</v>
      </c>
      <c r="BQ122" s="266">
        <f t="shared" ca="1" si="67"/>
        <v>421.12</v>
      </c>
      <c r="BR122" s="268">
        <f t="shared" ca="1" si="68"/>
        <v>1800.288</v>
      </c>
      <c r="BS122" s="262" t="s">
        <v>99</v>
      </c>
      <c r="BT122" s="277"/>
      <c r="BW122" s="266">
        <f t="shared" si="69"/>
        <v>536.928</v>
      </c>
      <c r="BX122" s="266">
        <f t="shared" si="70"/>
        <v>536.928</v>
      </c>
      <c r="BY122" s="266">
        <f t="shared" si="71"/>
        <v>536.928</v>
      </c>
      <c r="BZ122" s="266">
        <f t="shared" si="72"/>
        <v>536.928</v>
      </c>
      <c r="CA122" s="266">
        <f ca="1">N122*IFERROR(INDEX(Algorithms!$G:$G,MATCH($C122&amp;"_Therm Saved per Unit- MLA",Algorithms!$A:$A,0)),0)*X122</f>
        <v>0</v>
      </c>
      <c r="CB122" s="266">
        <f ca="1">O122*IFERROR(INDEX(Algorithms!$G:$G,MATCH($C122&amp;"_Therm Saved per Unit- MLA",Algorithms!$A:$A,0)),0)*Y122</f>
        <v>0</v>
      </c>
      <c r="CC122" s="266">
        <f ca="1">P122*IFERROR(INDEX(Algorithms!$G:$G,MATCH($C122&amp;"_Therm Saved per Unit- MLA",Algorithms!$A:$A,0)),0)*Z122</f>
        <v>0</v>
      </c>
      <c r="CD122" s="266">
        <f ca="1">Q122*IFERROR(INDEX(Algorithms!$G:$G,MATCH($C122&amp;"_Therm Saved per Unit- MLA",Algorithms!$A:$A,0)),0)*AA122</f>
        <v>0</v>
      </c>
      <c r="CE122" s="266">
        <f ca="1">IFERROR(INDEX(Algorithms!$G:$G,MATCH($C122&amp;"_Lifetime (years)",Algorithms!$A:$A,0)),0)</f>
        <v>20</v>
      </c>
      <c r="CF122" s="266">
        <f ca="1">IFERROR(INDEX(Algorithms!$G:$G,MATCH($C122&amp;"_Lifetime (years) - Remaining Years",Algorithms!$A:$A,0)),0)</f>
        <v>0</v>
      </c>
      <c r="CG122" s="266">
        <f t="shared" ca="1" si="73"/>
        <v>10738.56</v>
      </c>
      <c r="CH122" s="266">
        <f t="shared" ca="1" si="74"/>
        <v>10738.56</v>
      </c>
      <c r="CI122" s="266">
        <f t="shared" ca="1" si="75"/>
        <v>10738.56</v>
      </c>
      <c r="CJ122" s="266">
        <f t="shared" ca="1" si="76"/>
        <v>10738.56</v>
      </c>
      <c r="CK122" s="266">
        <f t="shared" si="77"/>
        <v>536.928</v>
      </c>
      <c r="CL122" s="266">
        <f t="shared" si="78"/>
        <v>421.12</v>
      </c>
      <c r="CM122" s="266">
        <f t="shared" ca="1" si="79"/>
        <v>421.12</v>
      </c>
      <c r="CN122" s="266">
        <f t="shared" ca="1" si="80"/>
        <v>421.12</v>
      </c>
      <c r="CO122" s="266">
        <f ca="1">N122*IFERROR(INDEX(Algorithms!$G:$G,MATCH($C122&amp;"_Therm Saved per Unit- MLA",Algorithms!$A:$A,0)),0)*X122</f>
        <v>0</v>
      </c>
      <c r="CP122" s="266">
        <f ca="1">O122*IFERROR(INDEX(Algorithms!$G:$G,MATCH($C122&amp;"_Therm Saved per Unit- MLA",Algorithms!$A:$A,0)),0)*Y122</f>
        <v>0</v>
      </c>
      <c r="CQ122" s="266">
        <f ca="1">P122*IFERROR(INDEX(Algorithms!$G:$G,MATCH($C122&amp;"_Therm Saved per Unit- MLA",Algorithms!$A:$A,0)),0)*Z122</f>
        <v>0</v>
      </c>
      <c r="CR122" s="266">
        <f ca="1">Q122*IFERROR(INDEX(Algorithms!$G:$G,MATCH($C122&amp;"_Therm Saved per Unit- MLA",Algorithms!$A:$A,0)),0)*AA122</f>
        <v>0</v>
      </c>
      <c r="CS122" s="266">
        <f ca="1">IFERROR(INDEX(Algorithms!$G:$G,MATCH($C122&amp;"_Lifetime (years)",Algorithms!$A:$A,0)),0)</f>
        <v>20</v>
      </c>
      <c r="CT122" s="266">
        <f ca="1">IFERROR(INDEX(Algorithms!$G:$G,MATCH($C122&amp;"_Lifetime (years) - Remaining Years",Algorithms!$A:$A,0)),0)</f>
        <v>0</v>
      </c>
      <c r="CU122" s="266">
        <f t="shared" ca="1" si="81"/>
        <v>10738.56</v>
      </c>
      <c r="CV122" s="266">
        <f t="shared" ca="1" si="82"/>
        <v>8422.4</v>
      </c>
      <c r="CW122" s="266">
        <f t="shared" ca="1" si="83"/>
        <v>8422.4</v>
      </c>
      <c r="CX122" s="266">
        <f t="shared" ca="1" si="84"/>
        <v>8422.4</v>
      </c>
    </row>
    <row r="123" spans="2:102" s="47" customFormat="1" ht="18" customHeight="1" x14ac:dyDescent="0.25">
      <c r="B123" t="str">
        <f t="shared" si="85"/>
        <v>NSG_Residential_Multi-Family_Partner Trade Ally Rebate_Boiler Reset Controls_0_MF</v>
      </c>
      <c r="C123" s="47" t="str">
        <f t="shared" si="46"/>
        <v>Boiler Reset Controls_0_MF</v>
      </c>
      <c r="D123" s="270" t="s">
        <v>1787</v>
      </c>
      <c r="E123" s="270" t="s">
        <v>2</v>
      </c>
      <c r="F123" s="270" t="s">
        <v>1422</v>
      </c>
      <c r="G123" s="270" t="s">
        <v>1799</v>
      </c>
      <c r="H123" s="270" t="s">
        <v>978</v>
      </c>
      <c r="I123" s="270">
        <v>0</v>
      </c>
      <c r="J123" s="270" t="s">
        <v>553</v>
      </c>
      <c r="K123" s="263">
        <v>1</v>
      </c>
      <c r="L123" s="263" t="str">
        <f ca="1">IFERROR(INDEX(Algorithms!J:J,MATCH($C123&amp;"_Therm Saved per Unit",Algorithms!$A:$A,0)),"n/a")</f>
        <v>4.4.4</v>
      </c>
      <c r="M123" s="263" t="str">
        <f>IFERROR(INDEX('Measure Level Detail'!$N:$N,MATCH($B123,'Measure Level Detail'!$B:$B,0)),0)</f>
        <v>MBH</v>
      </c>
      <c r="N123" s="271">
        <f>IFERROR(INDEX('Measure Level Detail'!$P:$P,MATCH($B123&amp;"_"&amp;N$3,'Measure Level Detail'!$C:$C,0)),0)</f>
        <v>2400</v>
      </c>
      <c r="O123" s="271">
        <f>IFERROR(INDEX('Measure Level Detail'!$P:$P,MATCH($B123&amp;"_"&amp;O$3,'Measure Level Detail'!$C:$C,0)),0)</f>
        <v>2400</v>
      </c>
      <c r="P123" s="271">
        <f>IFERROR(INDEX('Measure Level Detail'!$P:$P,MATCH($B123&amp;"_"&amp;P$3,'Measure Level Detail'!$C:$C,0)),0)</f>
        <v>2400</v>
      </c>
      <c r="Q123" s="271">
        <f>IFERROR(INDEX('Measure Level Detail'!$P:$P,MATCH($B123&amp;"_"&amp;Q$3,'Measure Level Detail'!$C:$C,0)),0)</f>
        <v>2400</v>
      </c>
      <c r="R123" s="263" t="str">
        <f ca="1">IFERROR(INDEX(Algorithms!K:K,MATCH($C123&amp;"_Therm Saved per Unit",Algorithms!$A:$A,0)),"n/a")</f>
        <v>CI-HVC-BLRC-V05-240101</v>
      </c>
      <c r="S123" s="262"/>
      <c r="T123" s="272">
        <v>1.3288</v>
      </c>
      <c r="U123" s="272">
        <v>1.3288</v>
      </c>
      <c r="V123" s="272">
        <v>1.3288</v>
      </c>
      <c r="W123" s="272">
        <v>1.3288</v>
      </c>
      <c r="X123" s="273">
        <f>IFERROR(INDEX('Measure Level Detail'!$R:$R,MATCH($B123&amp;"_"&amp;X$3,'Measure Level Detail'!$C:$C,0)),0)</f>
        <v>0.87</v>
      </c>
      <c r="Y123" s="273">
        <f>IFERROR(INDEX('Measure Level Detail'!$R:$R,MATCH($B123&amp;"_"&amp;Y$3,'Measure Level Detail'!$C:$C,0)),0)</f>
        <v>0.87</v>
      </c>
      <c r="Z123" s="273">
        <f>IFERROR(INDEX('Measure Level Detail'!$R:$R,MATCH($B123&amp;"_"&amp;Z$3,'Measure Level Detail'!$C:$C,0)),0)</f>
        <v>0.87</v>
      </c>
      <c r="AA123" s="273">
        <f>IFERROR(INDEX('Measure Level Detail'!$R:$R,MATCH($B123&amp;"_"&amp;AA$3,'Measure Level Detail'!$C:$C,0)),0)</f>
        <v>0.87</v>
      </c>
      <c r="AB123" s="266">
        <f t="shared" si="47"/>
        <v>2774.5344</v>
      </c>
      <c r="AC123" s="266">
        <f t="shared" si="48"/>
        <v>2774.5344</v>
      </c>
      <c r="AD123" s="266">
        <f t="shared" si="49"/>
        <v>2774.5344</v>
      </c>
      <c r="AE123" s="266">
        <f t="shared" si="50"/>
        <v>2774.5344</v>
      </c>
      <c r="AF123" s="266">
        <f t="shared" si="51"/>
        <v>11098.1376</v>
      </c>
      <c r="AG123" s="274">
        <v>0.87</v>
      </c>
      <c r="AH123" s="274">
        <v>0.87</v>
      </c>
      <c r="AI123" s="710">
        <v>0.88</v>
      </c>
      <c r="AJ123" s="710">
        <v>0.88</v>
      </c>
      <c r="AK123" s="274">
        <f t="shared" si="52"/>
        <v>0.87</v>
      </c>
      <c r="AL123" s="274">
        <f t="shared" si="53"/>
        <v>0.87</v>
      </c>
      <c r="AM123" s="274">
        <f t="shared" si="54"/>
        <v>0.87</v>
      </c>
      <c r="AN123" s="274">
        <f t="shared" si="55"/>
        <v>0.87</v>
      </c>
      <c r="AO123" s="262"/>
      <c r="AP123" s="262"/>
      <c r="AQ123" s="267">
        <v>1.3288</v>
      </c>
      <c r="AR123" s="262"/>
      <c r="AS123" s="266">
        <f t="shared" si="56"/>
        <v>2774.5344</v>
      </c>
      <c r="AT123" s="264">
        <f t="shared" si="57"/>
        <v>0</v>
      </c>
      <c r="AU123" s="262"/>
      <c r="AV123" s="262"/>
      <c r="AW123" s="265">
        <v>1.3288</v>
      </c>
      <c r="AX123" s="164" t="s">
        <v>1469</v>
      </c>
      <c r="AY123" s="266">
        <v>2774.5344</v>
      </c>
      <c r="AZ123" s="266">
        <f t="shared" si="58"/>
        <v>2774.5344</v>
      </c>
      <c r="BA123" s="264">
        <f t="shared" si="59"/>
        <v>0</v>
      </c>
      <c r="BB123" s="262"/>
      <c r="BC123" s="262"/>
      <c r="BD123" s="265">
        <f ca="1">IFERROR(INDEX(Algorithms!$G:$G,MATCH($C123&amp;"_Therm Saved per Unit",Algorithms!$A:$A,0)),0)</f>
        <v>1.3288</v>
      </c>
      <c r="BE123" s="164" t="str">
        <f ca="1">IFERROR(INDEX('v12 Revisions'!$P$29:$P$186, MATCH('Measure-Level Adj Gas'!$L123, 'v12 Revisions'!$D$29:$D$186,0)),"")</f>
        <v/>
      </c>
      <c r="BF123" s="266">
        <f t="shared" ca="1" si="60"/>
        <v>2774.5344</v>
      </c>
      <c r="BG123" s="264">
        <f t="shared" ca="1" si="61"/>
        <v>0</v>
      </c>
      <c r="BH123" s="262"/>
      <c r="BI123" s="262"/>
      <c r="BJ123" s="265">
        <f ca="1">IFERROR(INDEX(Algorithms!$G:$G,MATCH($C123&amp;"_Therm Saved per Unit",Algorithms!$A:$A,0)),0)</f>
        <v>1.3288</v>
      </c>
      <c r="BK123" s="164"/>
      <c r="BL123" s="266">
        <f t="shared" ca="1" si="62"/>
        <v>2774.5344</v>
      </c>
      <c r="BM123" s="264">
        <f t="shared" ca="1" si="63"/>
        <v>0</v>
      </c>
      <c r="BN123" s="266">
        <f t="shared" si="64"/>
        <v>2774.5344</v>
      </c>
      <c r="BO123" s="266">
        <f t="shared" si="65"/>
        <v>2774.5344</v>
      </c>
      <c r="BP123" s="266">
        <f t="shared" ca="1" si="66"/>
        <v>2774.5344</v>
      </c>
      <c r="BQ123" s="266">
        <f t="shared" ca="1" si="67"/>
        <v>2774.5344</v>
      </c>
      <c r="BR123" s="268">
        <f t="shared" ca="1" si="68"/>
        <v>11098.1376</v>
      </c>
      <c r="BS123" s="262" t="s">
        <v>99</v>
      </c>
      <c r="BT123" s="277"/>
      <c r="BW123" s="266">
        <f t="shared" si="69"/>
        <v>2774.5344</v>
      </c>
      <c r="BX123" s="266">
        <f t="shared" si="70"/>
        <v>2774.5344</v>
      </c>
      <c r="BY123" s="266">
        <f t="shared" si="71"/>
        <v>2774.5344</v>
      </c>
      <c r="BZ123" s="266">
        <f t="shared" si="72"/>
        <v>2774.5344</v>
      </c>
      <c r="CA123" s="266">
        <f ca="1">N123*IFERROR(INDEX(Algorithms!$G:$G,MATCH($C123&amp;"_Therm Saved per Unit- MLA",Algorithms!$A:$A,0)),0)*X123</f>
        <v>0</v>
      </c>
      <c r="CB123" s="266">
        <f ca="1">O123*IFERROR(INDEX(Algorithms!$G:$G,MATCH($C123&amp;"_Therm Saved per Unit- MLA",Algorithms!$A:$A,0)),0)*Y123</f>
        <v>0</v>
      </c>
      <c r="CC123" s="266">
        <f ca="1">P123*IFERROR(INDEX(Algorithms!$G:$G,MATCH($C123&amp;"_Therm Saved per Unit- MLA",Algorithms!$A:$A,0)),0)*Z123</f>
        <v>0</v>
      </c>
      <c r="CD123" s="266">
        <f ca="1">Q123*IFERROR(INDEX(Algorithms!$G:$G,MATCH($C123&amp;"_Therm Saved per Unit- MLA",Algorithms!$A:$A,0)),0)*AA123</f>
        <v>0</v>
      </c>
      <c r="CE123" s="266">
        <f ca="1">IFERROR(INDEX(Algorithms!$G:$G,MATCH($C123&amp;"_Lifetime (years)",Algorithms!$A:$A,0)),0)</f>
        <v>16</v>
      </c>
      <c r="CF123" s="266">
        <f ca="1">IFERROR(INDEX(Algorithms!$G:$G,MATCH($C123&amp;"_Lifetime (years) - Remaining Years",Algorithms!$A:$A,0)),0)</f>
        <v>0</v>
      </c>
      <c r="CG123" s="266">
        <f t="shared" ca="1" si="73"/>
        <v>44392.5504</v>
      </c>
      <c r="CH123" s="266">
        <f t="shared" ca="1" si="74"/>
        <v>44392.5504</v>
      </c>
      <c r="CI123" s="266">
        <f t="shared" ca="1" si="75"/>
        <v>44392.5504</v>
      </c>
      <c r="CJ123" s="266">
        <f t="shared" ca="1" si="76"/>
        <v>44392.5504</v>
      </c>
      <c r="CK123" s="266">
        <f t="shared" si="77"/>
        <v>2774.5344</v>
      </c>
      <c r="CL123" s="266">
        <f t="shared" si="78"/>
        <v>2774.5344</v>
      </c>
      <c r="CM123" s="266">
        <f t="shared" ca="1" si="79"/>
        <v>2774.5344</v>
      </c>
      <c r="CN123" s="266">
        <f t="shared" ca="1" si="80"/>
        <v>2774.5344</v>
      </c>
      <c r="CO123" s="266">
        <f ca="1">N123*IFERROR(INDEX(Algorithms!$G:$G,MATCH($C123&amp;"_Therm Saved per Unit- MLA",Algorithms!$A:$A,0)),0)*X123</f>
        <v>0</v>
      </c>
      <c r="CP123" s="266">
        <f ca="1">O123*IFERROR(INDEX(Algorithms!$G:$G,MATCH($C123&amp;"_Therm Saved per Unit- MLA",Algorithms!$A:$A,0)),0)*Y123</f>
        <v>0</v>
      </c>
      <c r="CQ123" s="266">
        <f ca="1">P123*IFERROR(INDEX(Algorithms!$G:$G,MATCH($C123&amp;"_Therm Saved per Unit- MLA",Algorithms!$A:$A,0)),0)*Z123</f>
        <v>0</v>
      </c>
      <c r="CR123" s="266">
        <f ca="1">Q123*IFERROR(INDEX(Algorithms!$G:$G,MATCH($C123&amp;"_Therm Saved per Unit- MLA",Algorithms!$A:$A,0)),0)*AA123</f>
        <v>0</v>
      </c>
      <c r="CS123" s="266">
        <f ca="1">IFERROR(INDEX(Algorithms!$G:$G,MATCH($C123&amp;"_Lifetime (years)",Algorithms!$A:$A,0)),0)</f>
        <v>16</v>
      </c>
      <c r="CT123" s="266">
        <f ca="1">IFERROR(INDEX(Algorithms!$G:$G,MATCH($C123&amp;"_Lifetime (years) - Remaining Years",Algorithms!$A:$A,0)),0)</f>
        <v>0</v>
      </c>
      <c r="CU123" s="266">
        <f t="shared" ca="1" si="81"/>
        <v>44392.5504</v>
      </c>
      <c r="CV123" s="266">
        <f t="shared" ca="1" si="82"/>
        <v>44392.5504</v>
      </c>
      <c r="CW123" s="266">
        <f t="shared" ca="1" si="83"/>
        <v>44392.5504</v>
      </c>
      <c r="CX123" s="266">
        <f t="shared" ca="1" si="84"/>
        <v>44392.5504</v>
      </c>
    </row>
    <row r="124" spans="2:102" s="47" customFormat="1" ht="18" customHeight="1" x14ac:dyDescent="0.25">
      <c r="B124" t="str">
        <f t="shared" si="85"/>
        <v>NSG_Income Eligible_Multi-Family_IE Kits_Weatherstripping_IE Kit_IE</v>
      </c>
      <c r="C124" s="47" t="str">
        <f t="shared" si="46"/>
        <v>Weatherstripping_IE Kit_IE</v>
      </c>
      <c r="D124" s="270" t="s">
        <v>1787</v>
      </c>
      <c r="E124" s="270" t="s">
        <v>325</v>
      </c>
      <c r="F124" s="270" t="s">
        <v>1422</v>
      </c>
      <c r="G124" s="270" t="s">
        <v>1440</v>
      </c>
      <c r="H124" s="270" t="s">
        <v>576</v>
      </c>
      <c r="I124" s="270" t="s">
        <v>550</v>
      </c>
      <c r="J124" s="270" t="s">
        <v>551</v>
      </c>
      <c r="K124" s="263">
        <v>1</v>
      </c>
      <c r="L124" s="263" t="str">
        <f ca="1">IFERROR(INDEX(Algorithms!J:J,MATCH($C124&amp;"_Therm Saved per Unit",Algorithms!$A:$A,0)),"n/a")</f>
        <v>5.6.1</v>
      </c>
      <c r="M124" s="263" t="str">
        <f>IFERROR(INDEX('Measure Level Detail'!$N:$N,MATCH($B124,'Measure Level Detail'!$B:$B,0)),0)</f>
        <v>linear ft</v>
      </c>
      <c r="N124" s="271">
        <f>IFERROR(INDEX('Measure Level Detail'!$P:$P,MATCH($B124&amp;"_"&amp;N$3,'Measure Level Detail'!$C:$C,0)),0)</f>
        <v>2380</v>
      </c>
      <c r="O124" s="271">
        <f>IFERROR(INDEX('Measure Level Detail'!$P:$P,MATCH($B124&amp;"_"&amp;O$3,'Measure Level Detail'!$C:$C,0)),0)</f>
        <v>2380</v>
      </c>
      <c r="P124" s="271">
        <f>IFERROR(INDEX('Measure Level Detail'!$P:$P,MATCH($B124&amp;"_"&amp;P$3,'Measure Level Detail'!$C:$C,0)),0)</f>
        <v>2380</v>
      </c>
      <c r="Q124" s="271">
        <f>IFERROR(INDEX('Measure Level Detail'!$P:$P,MATCH($B124&amp;"_"&amp;Q$3,'Measure Level Detail'!$C:$C,0)),0)</f>
        <v>2380</v>
      </c>
      <c r="R124" s="263" t="str">
        <f ca="1">IFERROR(INDEX(Algorithms!K:K,MATCH($C124&amp;"_Therm Saved per Unit",Algorithms!$A:$A,0)),"n/a")</f>
        <v>RS-SHL-AIRS-V13-240101</v>
      </c>
      <c r="S124" s="262"/>
      <c r="T124" s="272">
        <v>0.30743999999999999</v>
      </c>
      <c r="U124" s="272">
        <v>0.30743999999999999</v>
      </c>
      <c r="V124" s="272">
        <v>0.30743999999999999</v>
      </c>
      <c r="W124" s="272">
        <v>0.30743999999999999</v>
      </c>
      <c r="X124" s="273">
        <f>IFERROR(INDEX('Measure Level Detail'!$R:$R,MATCH($B124&amp;"_"&amp;X$3,'Measure Level Detail'!$C:$C,0)),0)</f>
        <v>1</v>
      </c>
      <c r="Y124" s="273">
        <f>IFERROR(INDEX('Measure Level Detail'!$R:$R,MATCH($B124&amp;"_"&amp;Y$3,'Measure Level Detail'!$C:$C,0)),0)</f>
        <v>1</v>
      </c>
      <c r="Z124" s="273">
        <f>IFERROR(INDEX('Measure Level Detail'!$R:$R,MATCH($B124&amp;"_"&amp;Z$3,'Measure Level Detail'!$C:$C,0)),0)</f>
        <v>1</v>
      </c>
      <c r="AA124" s="273">
        <f>IFERROR(INDEX('Measure Level Detail'!$R:$R,MATCH($B124&amp;"_"&amp;AA$3,'Measure Level Detail'!$C:$C,0)),0)</f>
        <v>1</v>
      </c>
      <c r="AB124" s="266">
        <f t="shared" si="47"/>
        <v>731.70719999999994</v>
      </c>
      <c r="AC124" s="266">
        <f t="shared" si="48"/>
        <v>731.70719999999994</v>
      </c>
      <c r="AD124" s="266">
        <f t="shared" si="49"/>
        <v>731.70719999999994</v>
      </c>
      <c r="AE124" s="266">
        <f t="shared" si="50"/>
        <v>731.70719999999994</v>
      </c>
      <c r="AF124" s="266">
        <f t="shared" si="51"/>
        <v>2926.8287999999998</v>
      </c>
      <c r="AG124" s="274">
        <v>1</v>
      </c>
      <c r="AH124" s="274">
        <v>1</v>
      </c>
      <c r="AI124" s="274">
        <v>1</v>
      </c>
      <c r="AJ124" s="274">
        <v>1</v>
      </c>
      <c r="AK124" s="274">
        <f t="shared" si="52"/>
        <v>1</v>
      </c>
      <c r="AL124" s="274">
        <f t="shared" si="53"/>
        <v>1</v>
      </c>
      <c r="AM124" s="274">
        <f t="shared" si="54"/>
        <v>1</v>
      </c>
      <c r="AN124" s="274">
        <f t="shared" si="55"/>
        <v>1</v>
      </c>
      <c r="AO124" s="262"/>
      <c r="AP124" s="262"/>
      <c r="AQ124" s="267">
        <v>0.30743999999999999</v>
      </c>
      <c r="AR124" s="262"/>
      <c r="AS124" s="266">
        <f t="shared" si="56"/>
        <v>731.70719999999994</v>
      </c>
      <c r="AT124" s="264">
        <f t="shared" si="57"/>
        <v>0</v>
      </c>
      <c r="AU124" s="262"/>
      <c r="AV124" s="262"/>
      <c r="AW124" s="265">
        <v>0.30743999999999999</v>
      </c>
      <c r="AX124" s="164" t="s">
        <v>2395</v>
      </c>
      <c r="AY124" s="266">
        <v>731.70719999999994</v>
      </c>
      <c r="AZ124" s="266">
        <f t="shared" si="58"/>
        <v>731.70719999999994</v>
      </c>
      <c r="BA124" s="264">
        <f t="shared" si="59"/>
        <v>0</v>
      </c>
      <c r="BB124" s="262"/>
      <c r="BC124" s="262"/>
      <c r="BD124" s="265">
        <f ca="1">IFERROR(INDEX(Algorithms!$G:$G,MATCH($C124&amp;"_Therm Saved per Unit",Algorithms!$A:$A,0)),0)</f>
        <v>0.30743999999999999</v>
      </c>
      <c r="BE124" s="164" t="str">
        <f ca="1">IFERROR(INDEX('v12 Revisions'!$P$29:$P$186, MATCH('Measure-Level Adj Gas'!$L124, 'v12 Revisions'!$D$29:$D$186,0)),"")</f>
        <v>Updated HDD from 5113 to 4798 and shell adjustment factor from 0.72 to 0.76.</v>
      </c>
      <c r="BF124" s="266">
        <f t="shared" ca="1" si="60"/>
        <v>731.70719999999994</v>
      </c>
      <c r="BG124" s="264">
        <f t="shared" ca="1" si="61"/>
        <v>0</v>
      </c>
      <c r="BH124" s="262"/>
      <c r="BI124" s="262"/>
      <c r="BJ124" s="265">
        <f ca="1">IFERROR(INDEX(Algorithms!$G:$G,MATCH($C124&amp;"_Therm Saved per Unit",Algorithms!$A:$A,0)),0)</f>
        <v>0.30743999999999999</v>
      </c>
      <c r="BK124" s="164"/>
      <c r="BL124" s="266">
        <f t="shared" ca="1" si="62"/>
        <v>731.70719999999994</v>
      </c>
      <c r="BM124" s="264">
        <f t="shared" ca="1" si="63"/>
        <v>0</v>
      </c>
      <c r="BN124" s="266">
        <f t="shared" si="64"/>
        <v>731.70719999999994</v>
      </c>
      <c r="BO124" s="266">
        <f t="shared" si="65"/>
        <v>731.70719999999994</v>
      </c>
      <c r="BP124" s="266">
        <f t="shared" ca="1" si="66"/>
        <v>731.70719999999994</v>
      </c>
      <c r="BQ124" s="266">
        <f t="shared" ca="1" si="67"/>
        <v>731.70719999999994</v>
      </c>
      <c r="BR124" s="268">
        <f t="shared" ca="1" si="68"/>
        <v>2926.8287999999998</v>
      </c>
      <c r="BS124" s="262" t="s">
        <v>99</v>
      </c>
      <c r="BT124" s="277"/>
      <c r="BW124" s="266">
        <f t="shared" si="69"/>
        <v>731.70719999999994</v>
      </c>
      <c r="BX124" s="266">
        <f t="shared" si="70"/>
        <v>731.70719999999994</v>
      </c>
      <c r="BY124" s="266">
        <f t="shared" si="71"/>
        <v>731.70719999999994</v>
      </c>
      <c r="BZ124" s="266">
        <f t="shared" si="72"/>
        <v>731.70719999999994</v>
      </c>
      <c r="CA124" s="266">
        <f ca="1">N124*IFERROR(INDEX(Algorithms!$G:$G,MATCH($C124&amp;"_Therm Saved per Unit- MLA",Algorithms!$A:$A,0)),0)*X124</f>
        <v>0</v>
      </c>
      <c r="CB124" s="266">
        <f ca="1">O124*IFERROR(INDEX(Algorithms!$G:$G,MATCH($C124&amp;"_Therm Saved per Unit- MLA",Algorithms!$A:$A,0)),0)*Y124</f>
        <v>0</v>
      </c>
      <c r="CC124" s="266">
        <f ca="1">P124*IFERROR(INDEX(Algorithms!$G:$G,MATCH($C124&amp;"_Therm Saved per Unit- MLA",Algorithms!$A:$A,0)),0)*Z124</f>
        <v>0</v>
      </c>
      <c r="CD124" s="266">
        <f ca="1">Q124*IFERROR(INDEX(Algorithms!$G:$G,MATCH($C124&amp;"_Therm Saved per Unit- MLA",Algorithms!$A:$A,0)),0)*AA124</f>
        <v>0</v>
      </c>
      <c r="CE124" s="266">
        <f ca="1">IFERROR(INDEX(Algorithms!$G:$G,MATCH($C124&amp;"_Lifetime (years)",Algorithms!$A:$A,0)),0)</f>
        <v>10</v>
      </c>
      <c r="CF124" s="266">
        <f ca="1">IFERROR(INDEX(Algorithms!$G:$G,MATCH($C124&amp;"_Lifetime (years) - Remaining Years",Algorithms!$A:$A,0)),0)</f>
        <v>0</v>
      </c>
      <c r="CG124" s="266">
        <f t="shared" ca="1" si="73"/>
        <v>7317.0719999999992</v>
      </c>
      <c r="CH124" s="266">
        <f t="shared" ca="1" si="74"/>
        <v>7317.0719999999992</v>
      </c>
      <c r="CI124" s="266">
        <f t="shared" ca="1" si="75"/>
        <v>7317.0719999999992</v>
      </c>
      <c r="CJ124" s="266">
        <f t="shared" ca="1" si="76"/>
        <v>7317.0719999999992</v>
      </c>
      <c r="CK124" s="266">
        <f t="shared" si="77"/>
        <v>731.70719999999994</v>
      </c>
      <c r="CL124" s="266">
        <f t="shared" si="78"/>
        <v>731.70719999999994</v>
      </c>
      <c r="CM124" s="266">
        <f t="shared" ca="1" si="79"/>
        <v>731.70719999999994</v>
      </c>
      <c r="CN124" s="266">
        <f t="shared" ca="1" si="80"/>
        <v>731.70719999999994</v>
      </c>
      <c r="CO124" s="266">
        <f ca="1">N124*IFERROR(INDEX(Algorithms!$G:$G,MATCH($C124&amp;"_Therm Saved per Unit- MLA",Algorithms!$A:$A,0)),0)*X124</f>
        <v>0</v>
      </c>
      <c r="CP124" s="266">
        <f ca="1">O124*IFERROR(INDEX(Algorithms!$G:$G,MATCH($C124&amp;"_Therm Saved per Unit- MLA",Algorithms!$A:$A,0)),0)*Y124</f>
        <v>0</v>
      </c>
      <c r="CQ124" s="266">
        <f ca="1">P124*IFERROR(INDEX(Algorithms!$G:$G,MATCH($C124&amp;"_Therm Saved per Unit- MLA",Algorithms!$A:$A,0)),0)*Z124</f>
        <v>0</v>
      </c>
      <c r="CR124" s="266">
        <f ca="1">Q124*IFERROR(INDEX(Algorithms!$G:$G,MATCH($C124&amp;"_Therm Saved per Unit- MLA",Algorithms!$A:$A,0)),0)*AA124</f>
        <v>0</v>
      </c>
      <c r="CS124" s="266">
        <f ca="1">IFERROR(INDEX(Algorithms!$G:$G,MATCH($C124&amp;"_Lifetime (years)",Algorithms!$A:$A,0)),0)</f>
        <v>10</v>
      </c>
      <c r="CT124" s="266">
        <f ca="1">IFERROR(INDEX(Algorithms!$G:$G,MATCH($C124&amp;"_Lifetime (years) - Remaining Years",Algorithms!$A:$A,0)),0)</f>
        <v>0</v>
      </c>
      <c r="CU124" s="266">
        <f t="shared" ca="1" si="81"/>
        <v>7317.0719999999992</v>
      </c>
      <c r="CV124" s="266">
        <f t="shared" ca="1" si="82"/>
        <v>7317.0719999999992</v>
      </c>
      <c r="CW124" s="266">
        <f t="shared" ca="1" si="83"/>
        <v>7317.0719999999992</v>
      </c>
      <c r="CX124" s="266">
        <f t="shared" ca="1" si="84"/>
        <v>7317.0719999999992</v>
      </c>
    </row>
    <row r="125" spans="2:102" s="47" customFormat="1" ht="18" customHeight="1" x14ac:dyDescent="0.25">
      <c r="B125" t="str">
        <f t="shared" si="85"/>
        <v>NSG_Income Eligible_Multi-Family_Whole Building - Prescriptive_Attic Insulation_0_SF</v>
      </c>
      <c r="C125" s="47" t="str">
        <f t="shared" si="46"/>
        <v>Attic Insulation_0_SF</v>
      </c>
      <c r="D125" s="270" t="s">
        <v>1787</v>
      </c>
      <c r="E125" s="270" t="s">
        <v>325</v>
      </c>
      <c r="F125" s="270" t="s">
        <v>1422</v>
      </c>
      <c r="G125" s="270" t="s">
        <v>1813</v>
      </c>
      <c r="H125" s="270" t="s">
        <v>631</v>
      </c>
      <c r="I125" s="270">
        <v>0</v>
      </c>
      <c r="J125" s="270" t="s">
        <v>409</v>
      </c>
      <c r="K125" s="263">
        <v>1</v>
      </c>
      <c r="L125" s="263" t="str">
        <f ca="1">IFERROR(INDEX(Algorithms!J:J,MATCH($C125&amp;"_Therm Saved per Unit",Algorithms!$A:$A,0)),"n/a")</f>
        <v>5.6.5</v>
      </c>
      <c r="M125" s="263" t="str">
        <f>IFERROR(INDEX('Measure Level Detail'!$N:$N,MATCH($B125,'Measure Level Detail'!$B:$B,0)),0)</f>
        <v>sq ft</v>
      </c>
      <c r="N125" s="271">
        <f>IFERROR(INDEX('Measure Level Detail'!$P:$P,MATCH($B125&amp;"_"&amp;N$3,'Measure Level Detail'!$C:$C,0)),0)</f>
        <v>1996.5714285714284</v>
      </c>
      <c r="O125" s="271">
        <f>IFERROR(INDEX('Measure Level Detail'!$P:$P,MATCH($B125&amp;"_"&amp;O$3,'Measure Level Detail'!$C:$C,0)),0)</f>
        <v>1996.5714285714284</v>
      </c>
      <c r="P125" s="271">
        <f>IFERROR(INDEX('Measure Level Detail'!$P:$P,MATCH($B125&amp;"_"&amp;P$3,'Measure Level Detail'!$C:$C,0)),0)</f>
        <v>1996.5714285714284</v>
      </c>
      <c r="Q125" s="271">
        <f>IFERROR(INDEX('Measure Level Detail'!$P:$P,MATCH($B125&amp;"_"&amp;Q$3,'Measure Level Detail'!$C:$C,0)),0)</f>
        <v>1996.5714285714284</v>
      </c>
      <c r="R125" s="263" t="str">
        <f ca="1">IFERROR(INDEX(Algorithms!K:K,MATCH($C125&amp;"_Therm Saved per Unit",Algorithms!$A:$A,0)),"n/a")</f>
        <v>RS-SHL-AINS-V07-240101</v>
      </c>
      <c r="S125" s="262"/>
      <c r="T125" s="272">
        <v>8.0457181447124299E-2</v>
      </c>
      <c r="U125" s="272">
        <v>8.0457181447124299E-2</v>
      </c>
      <c r="V125" s="272">
        <v>8.0457181447124299E-2</v>
      </c>
      <c r="W125" s="272">
        <v>8.0457181447124299E-2</v>
      </c>
      <c r="X125" s="273">
        <f>IFERROR(INDEX('Measure Level Detail'!$R:$R,MATCH($B125&amp;"_"&amp;X$3,'Measure Level Detail'!$C:$C,0)),0)</f>
        <v>1</v>
      </c>
      <c r="Y125" s="273">
        <f>IFERROR(INDEX('Measure Level Detail'!$R:$R,MATCH($B125&amp;"_"&amp;Y$3,'Measure Level Detail'!$C:$C,0)),0)</f>
        <v>1</v>
      </c>
      <c r="Z125" s="273">
        <f>IFERROR(INDEX('Measure Level Detail'!$R:$R,MATCH($B125&amp;"_"&amp;Z$3,'Measure Level Detail'!$C:$C,0)),0)</f>
        <v>1</v>
      </c>
      <c r="AA125" s="273">
        <f>IFERROR(INDEX('Measure Level Detail'!$R:$R,MATCH($B125&amp;"_"&amp;AA$3,'Measure Level Detail'!$C:$C,0)),0)</f>
        <v>1</v>
      </c>
      <c r="AB125" s="266">
        <f t="shared" si="47"/>
        <v>160.63850970071559</v>
      </c>
      <c r="AC125" s="266">
        <f t="shared" si="48"/>
        <v>160.63850970071559</v>
      </c>
      <c r="AD125" s="266">
        <f t="shared" si="49"/>
        <v>160.63850970071559</v>
      </c>
      <c r="AE125" s="266">
        <f t="shared" si="50"/>
        <v>160.63850970071559</v>
      </c>
      <c r="AF125" s="266">
        <f t="shared" si="51"/>
        <v>642.55403880286235</v>
      </c>
      <c r="AG125" s="274">
        <v>1</v>
      </c>
      <c r="AH125" s="274">
        <v>1</v>
      </c>
      <c r="AI125" s="274">
        <v>1</v>
      </c>
      <c r="AJ125" s="274">
        <v>1</v>
      </c>
      <c r="AK125" s="274">
        <f t="shared" si="52"/>
        <v>1</v>
      </c>
      <c r="AL125" s="274">
        <f t="shared" si="53"/>
        <v>1</v>
      </c>
      <c r="AM125" s="274">
        <f t="shared" si="54"/>
        <v>1</v>
      </c>
      <c r="AN125" s="274">
        <f t="shared" si="55"/>
        <v>1</v>
      </c>
      <c r="AO125" s="262"/>
      <c r="AP125" s="262"/>
      <c r="AQ125" s="267">
        <v>8.0457181447124299E-2</v>
      </c>
      <c r="AR125" s="262"/>
      <c r="AS125" s="266">
        <f t="shared" si="56"/>
        <v>160.63850970071559</v>
      </c>
      <c r="AT125" s="264">
        <f t="shared" si="57"/>
        <v>0</v>
      </c>
      <c r="AU125" s="262"/>
      <c r="AV125" s="262"/>
      <c r="AW125" s="265">
        <v>8.0457181447124299E-2</v>
      </c>
      <c r="AX125" s="164" t="s">
        <v>2393</v>
      </c>
      <c r="AY125" s="266">
        <v>160.63850970071559</v>
      </c>
      <c r="AZ125" s="266">
        <f t="shared" si="58"/>
        <v>160.63850970071559</v>
      </c>
      <c r="BA125" s="264">
        <f t="shared" si="59"/>
        <v>0</v>
      </c>
      <c r="BB125" s="262"/>
      <c r="BC125" s="262"/>
      <c r="BD125" s="265">
        <f ca="1">IFERROR(INDEX(Algorithms!$G:$G,MATCH($C125&amp;"_Therm Saved per Unit",Algorithms!$A:$A,0)),0)</f>
        <v>7.9694869016697589E-2</v>
      </c>
      <c r="BE125" s="164" t="str">
        <f ca="1">IFERROR(INDEX('v12 Revisions'!$P$29:$P$186, MATCH('Measure-Level Adj Gas'!$L125, 'v12 Revisions'!$D$29:$D$186,0)),"")</f>
        <v>Updated HDD from 5113 to 4798 and shell adjustment factor from 0.72 to 0.76 ; Updated measure life to 30 years.</v>
      </c>
      <c r="BF125" s="266">
        <f t="shared" ca="1" si="60"/>
        <v>159.11649848248078</v>
      </c>
      <c r="BG125" s="264">
        <f t="shared" ca="1" si="61"/>
        <v>-1.5220112182348089</v>
      </c>
      <c r="BH125" s="262"/>
      <c r="BI125" s="262"/>
      <c r="BJ125" s="265">
        <f ca="1">IFERROR(INDEX(Algorithms!$G:$G,MATCH($C125&amp;"_Therm Saved per Unit",Algorithms!$A:$A,0)),0)</f>
        <v>7.9694869016697589E-2</v>
      </c>
      <c r="BK125" s="164"/>
      <c r="BL125" s="266">
        <f t="shared" ca="1" si="62"/>
        <v>159.11649848248078</v>
      </c>
      <c r="BM125" s="264">
        <f t="shared" ca="1" si="63"/>
        <v>-1.5220112182348089</v>
      </c>
      <c r="BN125" s="266">
        <f t="shared" si="64"/>
        <v>160.63850970071559</v>
      </c>
      <c r="BO125" s="266">
        <f t="shared" si="65"/>
        <v>160.63850970071559</v>
      </c>
      <c r="BP125" s="266">
        <f t="shared" ca="1" si="66"/>
        <v>159.11649848248078</v>
      </c>
      <c r="BQ125" s="266">
        <f t="shared" ca="1" si="67"/>
        <v>159.11649848248078</v>
      </c>
      <c r="BR125" s="268">
        <f t="shared" ca="1" si="68"/>
        <v>639.51001636639273</v>
      </c>
      <c r="BS125" s="262" t="s">
        <v>99</v>
      </c>
      <c r="BT125" s="277"/>
      <c r="BW125" s="266">
        <f t="shared" si="69"/>
        <v>160.63850970071559</v>
      </c>
      <c r="BX125" s="266">
        <f t="shared" si="70"/>
        <v>160.63850970071559</v>
      </c>
      <c r="BY125" s="266">
        <f t="shared" si="71"/>
        <v>160.63850970071559</v>
      </c>
      <c r="BZ125" s="266">
        <f t="shared" si="72"/>
        <v>160.63850970071559</v>
      </c>
      <c r="CA125" s="266">
        <f ca="1">N125*IFERROR(INDEX(Algorithms!$G:$G,MATCH($C125&amp;"_Therm Saved per Unit- MLA",Algorithms!$A:$A,0)),0)*X125</f>
        <v>168.47629251086201</v>
      </c>
      <c r="CB125" s="266">
        <f ca="1">O125*IFERROR(INDEX(Algorithms!$G:$G,MATCH($C125&amp;"_Therm Saved per Unit- MLA",Algorithms!$A:$A,0)),0)*Y125</f>
        <v>168.47629251086201</v>
      </c>
      <c r="CC125" s="266">
        <f ca="1">P125*IFERROR(INDEX(Algorithms!$G:$G,MATCH($C125&amp;"_Therm Saved per Unit- MLA",Algorithms!$A:$A,0)),0)*Z125</f>
        <v>168.47629251086201</v>
      </c>
      <c r="CD125" s="266">
        <f ca="1">Q125*IFERROR(INDEX(Algorithms!$G:$G,MATCH($C125&amp;"_Therm Saved per Unit- MLA",Algorithms!$A:$A,0)),0)*AA125</f>
        <v>168.47629251086201</v>
      </c>
      <c r="CE125" s="266">
        <f ca="1">IFERROR(INDEX(Algorithms!$G:$G,MATCH($C125&amp;"_Lifetime (years)",Algorithms!$A:$A,0)),0)</f>
        <v>30</v>
      </c>
      <c r="CF125" s="266">
        <f ca="1">IFERROR(INDEX(Algorithms!$G:$G,MATCH($C125&amp;"_Lifetime (years) - Remaining Years",Algorithms!$A:$A,0)),0)</f>
        <v>10</v>
      </c>
      <c r="CG125" s="266">
        <f t="shared" ca="1" si="73"/>
        <v>4975.9109472243963</v>
      </c>
      <c r="CH125" s="266">
        <f t="shared" ca="1" si="74"/>
        <v>4975.9109472243963</v>
      </c>
      <c r="CI125" s="266">
        <f t="shared" ca="1" si="75"/>
        <v>4975.9109472243963</v>
      </c>
      <c r="CJ125" s="266">
        <f t="shared" ca="1" si="76"/>
        <v>4975.9109472243963</v>
      </c>
      <c r="CK125" s="266">
        <f t="shared" si="77"/>
        <v>160.63850970071559</v>
      </c>
      <c r="CL125" s="266">
        <f t="shared" si="78"/>
        <v>160.63850970071559</v>
      </c>
      <c r="CM125" s="266">
        <f t="shared" ca="1" si="79"/>
        <v>159.11649848248078</v>
      </c>
      <c r="CN125" s="266">
        <f t="shared" ca="1" si="80"/>
        <v>159.11649848248078</v>
      </c>
      <c r="CO125" s="266">
        <f ca="1">N125*IFERROR(INDEX(Algorithms!$G:$G,MATCH($C125&amp;"_Therm Saved per Unit- MLA",Algorithms!$A:$A,0)),0)*X125</f>
        <v>168.47629251086201</v>
      </c>
      <c r="CP125" s="266">
        <f ca="1">O125*IFERROR(INDEX(Algorithms!$G:$G,MATCH($C125&amp;"_Therm Saved per Unit- MLA",Algorithms!$A:$A,0)),0)*Y125</f>
        <v>168.47629251086201</v>
      </c>
      <c r="CQ125" s="266">
        <f ca="1">P125*IFERROR(INDEX(Algorithms!$G:$G,MATCH($C125&amp;"_Therm Saved per Unit- MLA",Algorithms!$A:$A,0)),0)*Z125</f>
        <v>168.47629251086201</v>
      </c>
      <c r="CR125" s="266">
        <f ca="1">Q125*IFERROR(INDEX(Algorithms!$G:$G,MATCH($C125&amp;"_Therm Saved per Unit- MLA",Algorithms!$A:$A,0)),0)*AA125</f>
        <v>168.47629251086201</v>
      </c>
      <c r="CS125" s="266">
        <f ca="1">IFERROR(INDEX(Algorithms!$G:$G,MATCH($C125&amp;"_Lifetime (years)",Algorithms!$A:$A,0)),0)</f>
        <v>30</v>
      </c>
      <c r="CT125" s="266">
        <f ca="1">IFERROR(INDEX(Algorithms!$G:$G,MATCH($C125&amp;"_Lifetime (years) - Remaining Years",Algorithms!$A:$A,0)),0)</f>
        <v>10</v>
      </c>
      <c r="CU125" s="266">
        <f t="shared" ca="1" si="81"/>
        <v>4975.9109472243963</v>
      </c>
      <c r="CV125" s="266">
        <f t="shared" ca="1" si="82"/>
        <v>4975.9109472243963</v>
      </c>
      <c r="CW125" s="266">
        <f t="shared" ca="1" si="83"/>
        <v>4960.6908350420481</v>
      </c>
      <c r="CX125" s="266">
        <f t="shared" ca="1" si="84"/>
        <v>4960.6908350420481</v>
      </c>
    </row>
    <row r="126" spans="2:102" s="47" customFormat="1" ht="18" customHeight="1" x14ac:dyDescent="0.25">
      <c r="B126" t="str">
        <f t="shared" si="85"/>
        <v>NSG_Income Eligible_Single Family_IHWAP_Duct Sealing_0_SF</v>
      </c>
      <c r="C126" s="47" t="str">
        <f t="shared" si="46"/>
        <v>Duct Sealing_0_SF</v>
      </c>
      <c r="D126" s="270" t="s">
        <v>1787</v>
      </c>
      <c r="E126" s="270" t="s">
        <v>325</v>
      </c>
      <c r="F126" s="270" t="s">
        <v>375</v>
      </c>
      <c r="G126" s="270" t="s">
        <v>1439</v>
      </c>
      <c r="H126" s="270" t="s">
        <v>680</v>
      </c>
      <c r="I126" s="270">
        <v>0</v>
      </c>
      <c r="J126" s="270" t="s">
        <v>409</v>
      </c>
      <c r="K126" s="263">
        <v>1</v>
      </c>
      <c r="L126" s="263" t="str">
        <f ca="1">IFERROR(INDEX(Algorithms!J:J,MATCH($C126&amp;"_Therm Saved per Unit",Algorithms!$A:$A,0)),"n/a")</f>
        <v>5.3.4</v>
      </c>
      <c r="M126" s="263" t="str">
        <f>IFERROR(INDEX('Measure Level Detail'!$N:$N,MATCH($B126,'Measure Level Detail'!$B:$B,0)),0)</f>
        <v>CFM_25</v>
      </c>
      <c r="N126" s="271">
        <f>IFERROR(INDEX('Measure Level Detail'!$P:$P,MATCH($B126&amp;"_"&amp;N$3,'Measure Level Detail'!$C:$C,0)),0)</f>
        <v>1800</v>
      </c>
      <c r="O126" s="271">
        <f>IFERROR(INDEX('Measure Level Detail'!$P:$P,MATCH($B126&amp;"_"&amp;O$3,'Measure Level Detail'!$C:$C,0)),0)</f>
        <v>2040</v>
      </c>
      <c r="P126" s="271">
        <f>IFERROR(INDEX('Measure Level Detail'!$P:$P,MATCH($B126&amp;"_"&amp;P$3,'Measure Level Detail'!$C:$C,0)),0)</f>
        <v>2520</v>
      </c>
      <c r="Q126" s="271">
        <f>IFERROR(INDEX('Measure Level Detail'!$P:$P,MATCH($B126&amp;"_"&amp;Q$3,'Measure Level Detail'!$C:$C,0)),0)</f>
        <v>2760</v>
      </c>
      <c r="R126" s="263" t="str">
        <f ca="1">IFERROR(INDEX(Algorithms!K:K,MATCH($C126&amp;"_Therm Saved per Unit",Algorithms!$A:$A,0)),"n/a")</f>
        <v>RS-HVC-DINS-V12-240101</v>
      </c>
      <c r="S126" s="262"/>
      <c r="T126" s="272">
        <v>0.70396939263510283</v>
      </c>
      <c r="U126" s="272">
        <v>0.70396939263510283</v>
      </c>
      <c r="V126" s="272">
        <v>0.70396939263510283</v>
      </c>
      <c r="W126" s="272">
        <v>0.70396939263510283</v>
      </c>
      <c r="X126" s="273">
        <f>IFERROR(INDEX('Measure Level Detail'!$R:$R,MATCH($B126&amp;"_"&amp;X$3,'Measure Level Detail'!$C:$C,0)),0)</f>
        <v>1</v>
      </c>
      <c r="Y126" s="273">
        <f>IFERROR(INDEX('Measure Level Detail'!$R:$R,MATCH($B126&amp;"_"&amp;Y$3,'Measure Level Detail'!$C:$C,0)),0)</f>
        <v>1</v>
      </c>
      <c r="Z126" s="273">
        <f>IFERROR(INDEX('Measure Level Detail'!$R:$R,MATCH($B126&amp;"_"&amp;Z$3,'Measure Level Detail'!$C:$C,0)),0)</f>
        <v>1</v>
      </c>
      <c r="AA126" s="273">
        <f>IFERROR(INDEX('Measure Level Detail'!$R:$R,MATCH($B126&amp;"_"&amp;AA$3,'Measure Level Detail'!$C:$C,0)),0)</f>
        <v>1</v>
      </c>
      <c r="AB126" s="266">
        <f t="shared" si="47"/>
        <v>1267.1449067431852</v>
      </c>
      <c r="AC126" s="266">
        <f t="shared" si="48"/>
        <v>1436.0975609756097</v>
      </c>
      <c r="AD126" s="266">
        <f t="shared" si="49"/>
        <v>1774.0028694404591</v>
      </c>
      <c r="AE126" s="266">
        <f t="shared" si="50"/>
        <v>1942.9555236728838</v>
      </c>
      <c r="AF126" s="266">
        <f t="shared" si="51"/>
        <v>6420.2008608321376</v>
      </c>
      <c r="AG126" s="274">
        <v>1</v>
      </c>
      <c r="AH126" s="274">
        <v>1</v>
      </c>
      <c r="AI126" s="274">
        <v>1</v>
      </c>
      <c r="AJ126" s="274">
        <v>1</v>
      </c>
      <c r="AK126" s="274">
        <f t="shared" si="52"/>
        <v>1</v>
      </c>
      <c r="AL126" s="274">
        <f t="shared" si="53"/>
        <v>1</v>
      </c>
      <c r="AM126" s="274">
        <f t="shared" si="54"/>
        <v>1</v>
      </c>
      <c r="AN126" s="274">
        <f t="shared" si="55"/>
        <v>1</v>
      </c>
      <c r="AO126" s="262"/>
      <c r="AP126" s="262"/>
      <c r="AQ126" s="267">
        <v>0.70396939263510283</v>
      </c>
      <c r="AR126" s="262"/>
      <c r="AS126" s="266">
        <f t="shared" si="56"/>
        <v>1267.1449067431852</v>
      </c>
      <c r="AT126" s="264">
        <f t="shared" si="57"/>
        <v>0</v>
      </c>
      <c r="AU126" s="262"/>
      <c r="AV126" s="262"/>
      <c r="AW126" s="265">
        <v>0.70396939263510283</v>
      </c>
      <c r="AX126" s="164" t="s">
        <v>1469</v>
      </c>
      <c r="AY126" s="266">
        <v>1436.0975609756097</v>
      </c>
      <c r="AZ126" s="266">
        <f t="shared" si="58"/>
        <v>1436.0975609756097</v>
      </c>
      <c r="BA126" s="264">
        <f t="shared" si="59"/>
        <v>0</v>
      </c>
      <c r="BB126" s="262"/>
      <c r="BC126" s="262"/>
      <c r="BD126" s="265">
        <f ca="1">IFERROR(INDEX(Algorithms!$G:$G,MATCH($C126&amp;"_Therm Saved per Unit",Algorithms!$A:$A,0)),0)</f>
        <v>0.66035389765662356</v>
      </c>
      <c r="BE126" s="164" t="str">
        <f ca="1">IFERROR(INDEX('v12 Revisions'!$P$29:$P$186, MATCH('Measure-Level Adj Gas'!$L126, 'v12 Revisions'!$D$29:$D$186,0)),"")</f>
        <v>Updated full load hours of heating from 1840 to 1726 ; Revision of mid-life adjustment algorithm.</v>
      </c>
      <c r="BF126" s="266">
        <f t="shared" ca="1" si="60"/>
        <v>1664.0918220946915</v>
      </c>
      <c r="BG126" s="264">
        <f t="shared" ca="1" si="61"/>
        <v>-109.91104734576766</v>
      </c>
      <c r="BH126" s="262"/>
      <c r="BI126" s="262"/>
      <c r="BJ126" s="265">
        <f ca="1">IFERROR(INDEX(Algorithms!$G:$G,MATCH($C126&amp;"_Therm Saved per Unit",Algorithms!$A:$A,0)),0)</f>
        <v>0.66035389765662356</v>
      </c>
      <c r="BK126" s="164"/>
      <c r="BL126" s="266">
        <f t="shared" ca="1" si="62"/>
        <v>1822.5767575322809</v>
      </c>
      <c r="BM126" s="264">
        <f t="shared" ca="1" si="63"/>
        <v>-120.37876614060292</v>
      </c>
      <c r="BN126" s="266">
        <f t="shared" si="64"/>
        <v>1267.1449067431852</v>
      </c>
      <c r="BO126" s="266">
        <f t="shared" si="65"/>
        <v>1436.0975609756097</v>
      </c>
      <c r="BP126" s="266">
        <f t="shared" ca="1" si="66"/>
        <v>1664.0918220946915</v>
      </c>
      <c r="BQ126" s="266">
        <f t="shared" ca="1" si="67"/>
        <v>1822.5767575322809</v>
      </c>
      <c r="BR126" s="268">
        <f t="shared" ca="1" si="68"/>
        <v>6189.9110473457667</v>
      </c>
      <c r="BS126" s="262" t="s">
        <v>99</v>
      </c>
      <c r="BT126" s="277"/>
      <c r="BW126" s="266">
        <f t="shared" si="69"/>
        <v>1267.1449067431852</v>
      </c>
      <c r="BX126" s="266">
        <f t="shared" si="70"/>
        <v>1436.0975609756097</v>
      </c>
      <c r="BY126" s="266">
        <f t="shared" si="71"/>
        <v>1774.0028694404591</v>
      </c>
      <c r="BZ126" s="266">
        <f t="shared" si="72"/>
        <v>1942.9555236728838</v>
      </c>
      <c r="CA126" s="266">
        <f ca="1">N126*IFERROR(INDEX(Algorithms!$G:$G,MATCH($C126&amp;"_Therm Saved per Unit- MLA",Algorithms!$A:$A,0)),0)*X126</f>
        <v>1076.0666445316538</v>
      </c>
      <c r="CB126" s="266">
        <f ca="1">O126*IFERROR(INDEX(Algorithms!$G:$G,MATCH($C126&amp;"_Therm Saved per Unit- MLA",Algorithms!$A:$A,0)),0)*Y126</f>
        <v>1219.5421971358744</v>
      </c>
      <c r="CC126" s="266">
        <f ca="1">P126*IFERROR(INDEX(Algorithms!$G:$G,MATCH($C126&amp;"_Therm Saved per Unit- MLA",Algorithms!$A:$A,0)),0)*Z126</f>
        <v>1506.4933023443155</v>
      </c>
      <c r="CD126" s="266">
        <f ca="1">Q126*IFERROR(INDEX(Algorithms!$G:$G,MATCH($C126&amp;"_Therm Saved per Unit- MLA",Algorithms!$A:$A,0)),0)*AA126</f>
        <v>1649.9688549485359</v>
      </c>
      <c r="CE126" s="266">
        <f ca="1">IFERROR(INDEX(Algorithms!$G:$G,MATCH($C126&amp;"_Lifetime (years)",Algorithms!$A:$A,0)),0)</f>
        <v>20</v>
      </c>
      <c r="CF126" s="266">
        <f ca="1">IFERROR(INDEX(Algorithms!$G:$G,MATCH($C126&amp;"_Lifetime (years) - Remaining Years",Algorithms!$A:$A,0)),0)</f>
        <v>10</v>
      </c>
      <c r="CG126" s="266">
        <f t="shared" ca="1" si="73"/>
        <v>23432.115512748387</v>
      </c>
      <c r="CH126" s="266">
        <f t="shared" ca="1" si="74"/>
        <v>26556.397581114841</v>
      </c>
      <c r="CI126" s="266">
        <f t="shared" ca="1" si="75"/>
        <v>32804.961717847749</v>
      </c>
      <c r="CJ126" s="266">
        <f t="shared" ca="1" si="76"/>
        <v>35929.243786214196</v>
      </c>
      <c r="CK126" s="266">
        <f t="shared" si="77"/>
        <v>1267.1449067431852</v>
      </c>
      <c r="CL126" s="266">
        <f t="shared" si="78"/>
        <v>1436.0975609756097</v>
      </c>
      <c r="CM126" s="266">
        <f t="shared" ca="1" si="79"/>
        <v>1664.0918220946915</v>
      </c>
      <c r="CN126" s="266">
        <f t="shared" ca="1" si="80"/>
        <v>1822.5767575322809</v>
      </c>
      <c r="CO126" s="266">
        <f ca="1">N126*IFERROR(INDEX(Algorithms!$G:$G,MATCH($C126&amp;"_Therm Saved per Unit- MLA",Algorithms!$A:$A,0)),0)*X126</f>
        <v>1076.0666445316538</v>
      </c>
      <c r="CP126" s="266">
        <f ca="1">O126*IFERROR(INDEX(Algorithms!$G:$G,MATCH($C126&amp;"_Therm Saved per Unit- MLA",Algorithms!$A:$A,0)),0)*Y126</f>
        <v>1219.5421971358744</v>
      </c>
      <c r="CQ126" s="266">
        <f ca="1">P126*IFERROR(INDEX(Algorithms!$G:$G,MATCH($C126&amp;"_Therm Saved per Unit- MLA",Algorithms!$A:$A,0)),0)*Z126</f>
        <v>1506.4933023443155</v>
      </c>
      <c r="CR126" s="266">
        <f ca="1">Q126*IFERROR(INDEX(Algorithms!$G:$G,MATCH($C126&amp;"_Therm Saved per Unit- MLA",Algorithms!$A:$A,0)),0)*AA126</f>
        <v>1649.9688549485359</v>
      </c>
      <c r="CS126" s="266">
        <f ca="1">IFERROR(INDEX(Algorithms!$G:$G,MATCH($C126&amp;"_Lifetime (years)",Algorithms!$A:$A,0)),0)</f>
        <v>20</v>
      </c>
      <c r="CT126" s="266">
        <f ca="1">IFERROR(INDEX(Algorithms!$G:$G,MATCH($C126&amp;"_Lifetime (years) - Remaining Years",Algorithms!$A:$A,0)),0)</f>
        <v>10</v>
      </c>
      <c r="CU126" s="266">
        <f t="shared" ca="1" si="81"/>
        <v>23432.115512748387</v>
      </c>
      <c r="CV126" s="266">
        <f t="shared" ca="1" si="82"/>
        <v>26556.397581114841</v>
      </c>
      <c r="CW126" s="266">
        <f t="shared" ca="1" si="83"/>
        <v>31705.851244390069</v>
      </c>
      <c r="CX126" s="266">
        <f t="shared" ca="1" si="84"/>
        <v>34725.456124808174</v>
      </c>
    </row>
    <row r="127" spans="2:102" s="47" customFormat="1" ht="18" customHeight="1" x14ac:dyDescent="0.25">
      <c r="B127" t="str">
        <f t="shared" si="85"/>
        <v>NSG_Business_Small/Mid-Size Business_Rebates_Linkageless Controls_0_CI</v>
      </c>
      <c r="C127" s="47" t="str">
        <f t="shared" si="46"/>
        <v>Linkageless Controls_0_CI</v>
      </c>
      <c r="D127" s="270" t="s">
        <v>1787</v>
      </c>
      <c r="E127" s="270" t="s">
        <v>3</v>
      </c>
      <c r="F127" s="270" t="s">
        <v>1432</v>
      </c>
      <c r="G127" s="270" t="s">
        <v>1429</v>
      </c>
      <c r="H127" s="270" t="s">
        <v>1287</v>
      </c>
      <c r="I127" s="270">
        <v>0</v>
      </c>
      <c r="J127" s="270" t="s">
        <v>1159</v>
      </c>
      <c r="K127" s="263">
        <v>1</v>
      </c>
      <c r="L127" s="263" t="str">
        <f ca="1">IFERROR(INDEX(Algorithms!J:J,MATCH($C127&amp;"_Therm Saved per Unit",Algorithms!$A:$A,0)),"n/a")</f>
        <v>4.4.21</v>
      </c>
      <c r="M127" s="263" t="str">
        <f>IFERROR(INDEX('Measure Level Detail'!$N:$N,MATCH($B127,'Measure Level Detail'!$B:$B,0)),0)</f>
        <v>MBH</v>
      </c>
      <c r="N127" s="271">
        <f>IFERROR(INDEX('Measure Level Detail'!$P:$P,MATCH($B127&amp;"_"&amp;N$3,'Measure Level Detail'!$C:$C,0)),0)</f>
        <v>1500</v>
      </c>
      <c r="O127" s="271">
        <f>IFERROR(INDEX('Measure Level Detail'!$P:$P,MATCH($B127&amp;"_"&amp;O$3,'Measure Level Detail'!$C:$C,0)),0)</f>
        <v>1500</v>
      </c>
      <c r="P127" s="271">
        <f>IFERROR(INDEX('Measure Level Detail'!$P:$P,MATCH($B127&amp;"_"&amp;P$3,'Measure Level Detail'!$C:$C,0)),0)</f>
        <v>1500</v>
      </c>
      <c r="Q127" s="271">
        <f>IFERROR(INDEX('Measure Level Detail'!$P:$P,MATCH($B127&amp;"_"&amp;Q$3,'Measure Level Detail'!$C:$C,0)),0)</f>
        <v>1500</v>
      </c>
      <c r="R127" s="263" t="str">
        <f ca="1">IFERROR(INDEX(Algorithms!K:K,MATCH($C127&amp;"_Therm Saved per Unit",Algorithms!$A:$A,0)),"n/a")</f>
        <v>CI-HVC-LBC-V06-220101</v>
      </c>
      <c r="S127" s="262"/>
      <c r="T127" s="272">
        <v>0.56277999999999995</v>
      </c>
      <c r="U127" s="272">
        <v>0.56277999999999995</v>
      </c>
      <c r="V127" s="272">
        <v>0.56277999999999995</v>
      </c>
      <c r="W127" s="272">
        <v>0.56277999999999995</v>
      </c>
      <c r="X127" s="276">
        <v>0.93</v>
      </c>
      <c r="Y127" s="276">
        <v>0.93</v>
      </c>
      <c r="Z127" s="276">
        <v>0.93</v>
      </c>
      <c r="AA127" s="276">
        <v>0.93</v>
      </c>
      <c r="AB127" s="266">
        <f t="shared" si="47"/>
        <v>785.07809999999995</v>
      </c>
      <c r="AC127" s="266">
        <f t="shared" si="48"/>
        <v>785.07809999999995</v>
      </c>
      <c r="AD127" s="266">
        <f t="shared" si="49"/>
        <v>785.07809999999995</v>
      </c>
      <c r="AE127" s="266">
        <f t="shared" si="50"/>
        <v>785.07809999999995</v>
      </c>
      <c r="AF127" s="266">
        <f t="shared" si="51"/>
        <v>3140.3123999999998</v>
      </c>
      <c r="AG127" s="274">
        <v>0.93</v>
      </c>
      <c r="AH127" s="274">
        <v>0.93</v>
      </c>
      <c r="AI127" s="274">
        <v>0.93</v>
      </c>
      <c r="AJ127" s="274">
        <v>0.93</v>
      </c>
      <c r="AK127" s="274">
        <f t="shared" si="52"/>
        <v>0.93</v>
      </c>
      <c r="AL127" s="274">
        <f t="shared" si="53"/>
        <v>0.93</v>
      </c>
      <c r="AM127" s="274">
        <f t="shared" si="54"/>
        <v>0.93</v>
      </c>
      <c r="AN127" s="274">
        <f t="shared" si="55"/>
        <v>0.93</v>
      </c>
      <c r="AO127" s="262"/>
      <c r="AP127" s="262"/>
      <c r="AQ127" s="267">
        <v>0.56277999999999995</v>
      </c>
      <c r="AR127" s="262"/>
      <c r="AS127" s="266">
        <f t="shared" si="56"/>
        <v>785.07809999999995</v>
      </c>
      <c r="AT127" s="264">
        <f t="shared" si="57"/>
        <v>0</v>
      </c>
      <c r="AU127" s="262"/>
      <c r="AV127" s="262"/>
      <c r="AW127" s="265">
        <v>0.56277999999999995</v>
      </c>
      <c r="AX127" s="164" t="s">
        <v>1469</v>
      </c>
      <c r="AY127" s="266">
        <v>785.07809999999995</v>
      </c>
      <c r="AZ127" s="266">
        <f t="shared" si="58"/>
        <v>785.07809999999995</v>
      </c>
      <c r="BA127" s="264">
        <f t="shared" si="59"/>
        <v>0</v>
      </c>
      <c r="BB127" s="262"/>
      <c r="BC127" s="262"/>
      <c r="BD127" s="265">
        <f ca="1">IFERROR(INDEX(Algorithms!$G:$G,MATCH($C127&amp;"_Therm Saved per Unit",Algorithms!$A:$A,0)),0)</f>
        <v>0.56277999999999995</v>
      </c>
      <c r="BE127" s="164" t="str">
        <f ca="1">IFERROR(INDEX('v12 Revisions'!$P$29:$P$186, MATCH('Measure-Level Adj Gas'!$L127, 'v12 Revisions'!$D$29:$D$186,0)),"")</f>
        <v/>
      </c>
      <c r="BF127" s="266">
        <f t="shared" ca="1" si="60"/>
        <v>785.07809999999995</v>
      </c>
      <c r="BG127" s="264">
        <f t="shared" ca="1" si="61"/>
        <v>0</v>
      </c>
      <c r="BH127" s="262"/>
      <c r="BI127" s="262"/>
      <c r="BJ127" s="265">
        <f ca="1">IFERROR(INDEX(Algorithms!$G:$G,MATCH($C127&amp;"_Therm Saved per Unit",Algorithms!$A:$A,0)),0)</f>
        <v>0.56277999999999995</v>
      </c>
      <c r="BK127" s="164"/>
      <c r="BL127" s="266">
        <f t="shared" ca="1" si="62"/>
        <v>785.07809999999995</v>
      </c>
      <c r="BM127" s="264">
        <f t="shared" ca="1" si="63"/>
        <v>0</v>
      </c>
      <c r="BN127" s="266">
        <f t="shared" si="64"/>
        <v>785.07809999999995</v>
      </c>
      <c r="BO127" s="266">
        <f t="shared" si="65"/>
        <v>785.07809999999995</v>
      </c>
      <c r="BP127" s="266">
        <f t="shared" ca="1" si="66"/>
        <v>785.07809999999995</v>
      </c>
      <c r="BQ127" s="266">
        <f t="shared" ca="1" si="67"/>
        <v>785.07809999999995</v>
      </c>
      <c r="BR127" s="268">
        <f t="shared" ca="1" si="68"/>
        <v>3140.3123999999998</v>
      </c>
      <c r="BS127" s="262" t="s">
        <v>99</v>
      </c>
      <c r="BT127" s="277"/>
      <c r="BW127" s="266">
        <f t="shared" si="69"/>
        <v>785.07809999999995</v>
      </c>
      <c r="BX127" s="266">
        <f t="shared" si="70"/>
        <v>785.07809999999995</v>
      </c>
      <c r="BY127" s="266">
        <f t="shared" si="71"/>
        <v>785.07809999999995</v>
      </c>
      <c r="BZ127" s="266">
        <f t="shared" si="72"/>
        <v>785.07809999999995</v>
      </c>
      <c r="CA127" s="266">
        <f ca="1">N127*IFERROR(INDEX(Algorithms!$G:$G,MATCH($C127&amp;"_Therm Saved per Unit- MLA",Algorithms!$A:$A,0)),0)*X127</f>
        <v>0</v>
      </c>
      <c r="CB127" s="266">
        <f ca="1">O127*IFERROR(INDEX(Algorithms!$G:$G,MATCH($C127&amp;"_Therm Saved per Unit- MLA",Algorithms!$A:$A,0)),0)*Y127</f>
        <v>0</v>
      </c>
      <c r="CC127" s="266">
        <f ca="1">P127*IFERROR(INDEX(Algorithms!$G:$G,MATCH($C127&amp;"_Therm Saved per Unit- MLA",Algorithms!$A:$A,0)),0)*Z127</f>
        <v>0</v>
      </c>
      <c r="CD127" s="266">
        <f ca="1">Q127*IFERROR(INDEX(Algorithms!$G:$G,MATCH($C127&amp;"_Therm Saved per Unit- MLA",Algorithms!$A:$A,0)),0)*AA127</f>
        <v>0</v>
      </c>
      <c r="CE127" s="266">
        <f ca="1">IFERROR(INDEX(Algorithms!$G:$G,MATCH($C127&amp;"_Lifetime (years)",Algorithms!$A:$A,0)),0)</f>
        <v>20</v>
      </c>
      <c r="CF127" s="266">
        <f ca="1">IFERROR(INDEX(Algorithms!$G:$G,MATCH($C127&amp;"_Lifetime (years) - Remaining Years",Algorithms!$A:$A,0)),0)</f>
        <v>0</v>
      </c>
      <c r="CG127" s="266">
        <f t="shared" ca="1" si="73"/>
        <v>15701.561999999998</v>
      </c>
      <c r="CH127" s="266">
        <f t="shared" ca="1" si="74"/>
        <v>15701.561999999998</v>
      </c>
      <c r="CI127" s="266">
        <f t="shared" ca="1" si="75"/>
        <v>15701.561999999998</v>
      </c>
      <c r="CJ127" s="266">
        <f t="shared" ca="1" si="76"/>
        <v>15701.561999999998</v>
      </c>
      <c r="CK127" s="266">
        <f t="shared" si="77"/>
        <v>785.07809999999995</v>
      </c>
      <c r="CL127" s="266">
        <f t="shared" si="78"/>
        <v>785.07809999999995</v>
      </c>
      <c r="CM127" s="266">
        <f t="shared" ca="1" si="79"/>
        <v>785.07809999999995</v>
      </c>
      <c r="CN127" s="266">
        <f t="shared" ca="1" si="80"/>
        <v>785.07809999999995</v>
      </c>
      <c r="CO127" s="266">
        <f ca="1">N127*IFERROR(INDEX(Algorithms!$G:$G,MATCH($C127&amp;"_Therm Saved per Unit- MLA",Algorithms!$A:$A,0)),0)*X127</f>
        <v>0</v>
      </c>
      <c r="CP127" s="266">
        <f ca="1">O127*IFERROR(INDEX(Algorithms!$G:$G,MATCH($C127&amp;"_Therm Saved per Unit- MLA",Algorithms!$A:$A,0)),0)*Y127</f>
        <v>0</v>
      </c>
      <c r="CQ127" s="266">
        <f ca="1">P127*IFERROR(INDEX(Algorithms!$G:$G,MATCH($C127&amp;"_Therm Saved per Unit- MLA",Algorithms!$A:$A,0)),0)*Z127</f>
        <v>0</v>
      </c>
      <c r="CR127" s="266">
        <f ca="1">Q127*IFERROR(INDEX(Algorithms!$G:$G,MATCH($C127&amp;"_Therm Saved per Unit- MLA",Algorithms!$A:$A,0)),0)*AA127</f>
        <v>0</v>
      </c>
      <c r="CS127" s="266">
        <f ca="1">IFERROR(INDEX(Algorithms!$G:$G,MATCH($C127&amp;"_Lifetime (years)",Algorithms!$A:$A,0)),0)</f>
        <v>20</v>
      </c>
      <c r="CT127" s="266">
        <f ca="1">IFERROR(INDEX(Algorithms!$G:$G,MATCH($C127&amp;"_Lifetime (years) - Remaining Years",Algorithms!$A:$A,0)),0)</f>
        <v>0</v>
      </c>
      <c r="CU127" s="266">
        <f t="shared" ca="1" si="81"/>
        <v>15701.561999999998</v>
      </c>
      <c r="CV127" s="266">
        <f t="shared" ca="1" si="82"/>
        <v>15701.561999999998</v>
      </c>
      <c r="CW127" s="266">
        <f t="shared" ca="1" si="83"/>
        <v>15701.561999999998</v>
      </c>
      <c r="CX127" s="266">
        <f t="shared" ca="1" si="84"/>
        <v>15701.561999999998</v>
      </c>
    </row>
    <row r="128" spans="2:102" s="47" customFormat="1" ht="18" customHeight="1" x14ac:dyDescent="0.25">
      <c r="B128" t="str">
        <f t="shared" si="85"/>
        <v>NSG_Business_Small/Mid-Size Business_Partner Trade Ally Rebate_Linkageless Controls_0_CI</v>
      </c>
      <c r="C128" s="47" t="str">
        <f t="shared" si="46"/>
        <v>Linkageless Controls_0_CI</v>
      </c>
      <c r="D128" s="270" t="s">
        <v>1787</v>
      </c>
      <c r="E128" s="270" t="s">
        <v>3</v>
      </c>
      <c r="F128" s="270" t="s">
        <v>1432</v>
      </c>
      <c r="G128" s="270" t="s">
        <v>1799</v>
      </c>
      <c r="H128" s="270" t="s">
        <v>1287</v>
      </c>
      <c r="I128" s="270">
        <v>0</v>
      </c>
      <c r="J128" s="270" t="s">
        <v>1159</v>
      </c>
      <c r="K128" s="263">
        <v>1</v>
      </c>
      <c r="L128" s="263" t="str">
        <f ca="1">IFERROR(INDEX(Algorithms!J:J,MATCH($C128&amp;"_Therm Saved per Unit",Algorithms!$A:$A,0)),"n/a")</f>
        <v>4.4.21</v>
      </c>
      <c r="M128" s="263" t="str">
        <f>IFERROR(INDEX('Measure Level Detail'!$N:$N,MATCH($B128,'Measure Level Detail'!$B:$B,0)),0)</f>
        <v>MBH</v>
      </c>
      <c r="N128" s="271">
        <f>IFERROR(INDEX('Measure Level Detail'!$P:$P,MATCH($B128&amp;"_"&amp;N$3,'Measure Level Detail'!$C:$C,0)),0)</f>
        <v>1500</v>
      </c>
      <c r="O128" s="271">
        <f>IFERROR(INDEX('Measure Level Detail'!$P:$P,MATCH($B128&amp;"_"&amp;O$3,'Measure Level Detail'!$C:$C,0)),0)</f>
        <v>1500</v>
      </c>
      <c r="P128" s="271">
        <f>IFERROR(INDEX('Measure Level Detail'!$P:$P,MATCH($B128&amp;"_"&amp;P$3,'Measure Level Detail'!$C:$C,0)),0)</f>
        <v>1500</v>
      </c>
      <c r="Q128" s="271">
        <f>IFERROR(INDEX('Measure Level Detail'!$P:$P,MATCH($B128&amp;"_"&amp;Q$3,'Measure Level Detail'!$C:$C,0)),0)</f>
        <v>1500</v>
      </c>
      <c r="R128" s="263" t="str">
        <f ca="1">IFERROR(INDEX(Algorithms!K:K,MATCH($C128&amp;"_Therm Saved per Unit",Algorithms!$A:$A,0)),"n/a")</f>
        <v>CI-HVC-LBC-V06-220101</v>
      </c>
      <c r="S128" s="262"/>
      <c r="T128" s="272">
        <v>0.56277999999999995</v>
      </c>
      <c r="U128" s="272">
        <v>0.56277999999999995</v>
      </c>
      <c r="V128" s="272">
        <v>0.56277999999999995</v>
      </c>
      <c r="W128" s="272">
        <v>0.56277999999999995</v>
      </c>
      <c r="X128" s="276">
        <v>0.93</v>
      </c>
      <c r="Y128" s="276">
        <v>0.93</v>
      </c>
      <c r="Z128" s="276">
        <v>0.93</v>
      </c>
      <c r="AA128" s="276">
        <v>0.93</v>
      </c>
      <c r="AB128" s="266">
        <f t="shared" si="47"/>
        <v>785.07809999999995</v>
      </c>
      <c r="AC128" s="266">
        <f t="shared" si="48"/>
        <v>785.07809999999995</v>
      </c>
      <c r="AD128" s="266">
        <f t="shared" si="49"/>
        <v>785.07809999999995</v>
      </c>
      <c r="AE128" s="266">
        <f t="shared" si="50"/>
        <v>785.07809999999995</v>
      </c>
      <c r="AF128" s="266">
        <f t="shared" si="51"/>
        <v>3140.3123999999998</v>
      </c>
      <c r="AG128" s="274">
        <v>0.93</v>
      </c>
      <c r="AH128" s="274">
        <v>0.93</v>
      </c>
      <c r="AI128" s="274">
        <v>0.93</v>
      </c>
      <c r="AJ128" s="274">
        <v>0.93</v>
      </c>
      <c r="AK128" s="274">
        <f t="shared" si="52"/>
        <v>0.93</v>
      </c>
      <c r="AL128" s="274">
        <f t="shared" si="53"/>
        <v>0.93</v>
      </c>
      <c r="AM128" s="274">
        <f t="shared" si="54"/>
        <v>0.93</v>
      </c>
      <c r="AN128" s="274">
        <f t="shared" si="55"/>
        <v>0.93</v>
      </c>
      <c r="AO128" s="262"/>
      <c r="AP128" s="262"/>
      <c r="AQ128" s="267">
        <v>0.56277999999999995</v>
      </c>
      <c r="AR128" s="262"/>
      <c r="AS128" s="266">
        <f t="shared" si="56"/>
        <v>785.07809999999995</v>
      </c>
      <c r="AT128" s="264">
        <f t="shared" si="57"/>
        <v>0</v>
      </c>
      <c r="AU128" s="262"/>
      <c r="AV128" s="262"/>
      <c r="AW128" s="265">
        <v>0.56277999999999995</v>
      </c>
      <c r="AX128" s="164" t="s">
        <v>1469</v>
      </c>
      <c r="AY128" s="266">
        <v>785.07809999999995</v>
      </c>
      <c r="AZ128" s="266">
        <f t="shared" si="58"/>
        <v>785.07809999999995</v>
      </c>
      <c r="BA128" s="264">
        <f t="shared" si="59"/>
        <v>0</v>
      </c>
      <c r="BB128" s="262"/>
      <c r="BC128" s="262"/>
      <c r="BD128" s="265">
        <f ca="1">IFERROR(INDEX(Algorithms!$G:$G,MATCH($C128&amp;"_Therm Saved per Unit",Algorithms!$A:$A,0)),0)</f>
        <v>0.56277999999999995</v>
      </c>
      <c r="BE128" s="164" t="str">
        <f ca="1">IFERROR(INDEX('v12 Revisions'!$P$29:$P$186, MATCH('Measure-Level Adj Gas'!$L128, 'v12 Revisions'!$D$29:$D$186,0)),"")</f>
        <v/>
      </c>
      <c r="BF128" s="266">
        <f t="shared" ca="1" si="60"/>
        <v>785.07809999999995</v>
      </c>
      <c r="BG128" s="264">
        <f t="shared" ca="1" si="61"/>
        <v>0</v>
      </c>
      <c r="BH128" s="262"/>
      <c r="BI128" s="262"/>
      <c r="BJ128" s="265">
        <f ca="1">IFERROR(INDEX(Algorithms!$G:$G,MATCH($C128&amp;"_Therm Saved per Unit",Algorithms!$A:$A,0)),0)</f>
        <v>0.56277999999999995</v>
      </c>
      <c r="BK128" s="164"/>
      <c r="BL128" s="266">
        <f t="shared" ca="1" si="62"/>
        <v>785.07809999999995</v>
      </c>
      <c r="BM128" s="264">
        <f t="shared" ca="1" si="63"/>
        <v>0</v>
      </c>
      <c r="BN128" s="266">
        <f t="shared" si="64"/>
        <v>785.07809999999995</v>
      </c>
      <c r="BO128" s="266">
        <f t="shared" si="65"/>
        <v>785.07809999999995</v>
      </c>
      <c r="BP128" s="266">
        <f t="shared" ca="1" si="66"/>
        <v>785.07809999999995</v>
      </c>
      <c r="BQ128" s="266">
        <f t="shared" ca="1" si="67"/>
        <v>785.07809999999995</v>
      </c>
      <c r="BR128" s="268">
        <f t="shared" ca="1" si="68"/>
        <v>3140.3123999999998</v>
      </c>
      <c r="BS128" s="262" t="s">
        <v>99</v>
      </c>
      <c r="BT128" s="277"/>
      <c r="BW128" s="266">
        <f t="shared" si="69"/>
        <v>785.07809999999995</v>
      </c>
      <c r="BX128" s="266">
        <f t="shared" si="70"/>
        <v>785.07809999999995</v>
      </c>
      <c r="BY128" s="266">
        <f t="shared" si="71"/>
        <v>785.07809999999995</v>
      </c>
      <c r="BZ128" s="266">
        <f t="shared" si="72"/>
        <v>785.07809999999995</v>
      </c>
      <c r="CA128" s="266">
        <f ca="1">N128*IFERROR(INDEX(Algorithms!$G:$G,MATCH($C128&amp;"_Therm Saved per Unit- MLA",Algorithms!$A:$A,0)),0)*X128</f>
        <v>0</v>
      </c>
      <c r="CB128" s="266">
        <f ca="1">O128*IFERROR(INDEX(Algorithms!$G:$G,MATCH($C128&amp;"_Therm Saved per Unit- MLA",Algorithms!$A:$A,0)),0)*Y128</f>
        <v>0</v>
      </c>
      <c r="CC128" s="266">
        <f ca="1">P128*IFERROR(INDEX(Algorithms!$G:$G,MATCH($C128&amp;"_Therm Saved per Unit- MLA",Algorithms!$A:$A,0)),0)*Z128</f>
        <v>0</v>
      </c>
      <c r="CD128" s="266">
        <f ca="1">Q128*IFERROR(INDEX(Algorithms!$G:$G,MATCH($C128&amp;"_Therm Saved per Unit- MLA",Algorithms!$A:$A,0)),0)*AA128</f>
        <v>0</v>
      </c>
      <c r="CE128" s="266">
        <f ca="1">IFERROR(INDEX(Algorithms!$G:$G,MATCH($C128&amp;"_Lifetime (years)",Algorithms!$A:$A,0)),0)</f>
        <v>20</v>
      </c>
      <c r="CF128" s="266">
        <f ca="1">IFERROR(INDEX(Algorithms!$G:$G,MATCH($C128&amp;"_Lifetime (years) - Remaining Years",Algorithms!$A:$A,0)),0)</f>
        <v>0</v>
      </c>
      <c r="CG128" s="266">
        <f t="shared" ca="1" si="73"/>
        <v>15701.561999999998</v>
      </c>
      <c r="CH128" s="266">
        <f t="shared" ca="1" si="74"/>
        <v>15701.561999999998</v>
      </c>
      <c r="CI128" s="266">
        <f t="shared" ca="1" si="75"/>
        <v>15701.561999999998</v>
      </c>
      <c r="CJ128" s="266">
        <f t="shared" ca="1" si="76"/>
        <v>15701.561999999998</v>
      </c>
      <c r="CK128" s="266">
        <f t="shared" si="77"/>
        <v>785.07809999999995</v>
      </c>
      <c r="CL128" s="266">
        <f t="shared" si="78"/>
        <v>785.07809999999995</v>
      </c>
      <c r="CM128" s="266">
        <f t="shared" ca="1" si="79"/>
        <v>785.07809999999995</v>
      </c>
      <c r="CN128" s="266">
        <f t="shared" ca="1" si="80"/>
        <v>785.07809999999995</v>
      </c>
      <c r="CO128" s="266">
        <f ca="1">N128*IFERROR(INDEX(Algorithms!$G:$G,MATCH($C128&amp;"_Therm Saved per Unit- MLA",Algorithms!$A:$A,0)),0)*X128</f>
        <v>0</v>
      </c>
      <c r="CP128" s="266">
        <f ca="1">O128*IFERROR(INDEX(Algorithms!$G:$G,MATCH($C128&amp;"_Therm Saved per Unit- MLA",Algorithms!$A:$A,0)),0)*Y128</f>
        <v>0</v>
      </c>
      <c r="CQ128" s="266">
        <f ca="1">P128*IFERROR(INDEX(Algorithms!$G:$G,MATCH($C128&amp;"_Therm Saved per Unit- MLA",Algorithms!$A:$A,0)),0)*Z128</f>
        <v>0</v>
      </c>
      <c r="CR128" s="266">
        <f ca="1">Q128*IFERROR(INDEX(Algorithms!$G:$G,MATCH($C128&amp;"_Therm Saved per Unit- MLA",Algorithms!$A:$A,0)),0)*AA128</f>
        <v>0</v>
      </c>
      <c r="CS128" s="266">
        <f ca="1">IFERROR(INDEX(Algorithms!$G:$G,MATCH($C128&amp;"_Lifetime (years)",Algorithms!$A:$A,0)),0)</f>
        <v>20</v>
      </c>
      <c r="CT128" s="266">
        <f ca="1">IFERROR(INDEX(Algorithms!$G:$G,MATCH($C128&amp;"_Lifetime (years) - Remaining Years",Algorithms!$A:$A,0)),0)</f>
        <v>0</v>
      </c>
      <c r="CU128" s="266">
        <f t="shared" ca="1" si="81"/>
        <v>15701.561999999998</v>
      </c>
      <c r="CV128" s="266">
        <f t="shared" ca="1" si="82"/>
        <v>15701.561999999998</v>
      </c>
      <c r="CW128" s="266">
        <f t="shared" ca="1" si="83"/>
        <v>15701.561999999998</v>
      </c>
      <c r="CX128" s="266">
        <f t="shared" ca="1" si="84"/>
        <v>15701.561999999998</v>
      </c>
    </row>
    <row r="129" spans="2:102" s="47" customFormat="1" ht="18" customHeight="1" x14ac:dyDescent="0.25">
      <c r="B129" t="str">
        <f t="shared" si="85"/>
        <v>NSG_Business_C&amp;I_Rebates_Steam Boiler_ &gt;=1500MBH, &gt;=82% TE_CI</v>
      </c>
      <c r="C129" s="47" t="str">
        <f t="shared" si="46"/>
        <v>Steam Boiler_ &gt;=1500MBH, &gt;=82% TE_CI</v>
      </c>
      <c r="D129" s="270" t="s">
        <v>1787</v>
      </c>
      <c r="E129" s="270" t="s">
        <v>3</v>
      </c>
      <c r="F129" s="270" t="s">
        <v>1427</v>
      </c>
      <c r="G129" s="270" t="s">
        <v>1429</v>
      </c>
      <c r="H129" s="270" t="s">
        <v>938</v>
      </c>
      <c r="I129" s="270" t="s">
        <v>939</v>
      </c>
      <c r="J129" s="270" t="s">
        <v>1159</v>
      </c>
      <c r="K129" s="263">
        <v>1</v>
      </c>
      <c r="L129" s="263" t="str">
        <f ca="1">IFERROR(INDEX(Algorithms!J:J,MATCH($C129&amp;"_Therm Saved per Unit",Algorithms!$A:$A,0)),"n/a")</f>
        <v>4.4.10</v>
      </c>
      <c r="M129" s="263" t="str">
        <f>IFERROR(INDEX('Measure Level Detail'!$N:$N,MATCH($B129,'Measure Level Detail'!$B:$B,0)),0)</f>
        <v>MBH</v>
      </c>
      <c r="N129" s="271">
        <f>IFERROR(INDEX('Measure Level Detail'!$P:$P,MATCH($B129&amp;"_"&amp;N$3,'Measure Level Detail'!$C:$C,0)),0)</f>
        <v>1275</v>
      </c>
      <c r="O129" s="271">
        <f>IFERROR(INDEX('Measure Level Detail'!$P:$P,MATCH($B129&amp;"_"&amp;O$3,'Measure Level Detail'!$C:$C,0)),0)</f>
        <v>1200</v>
      </c>
      <c r="P129" s="271">
        <f>IFERROR(INDEX('Measure Level Detail'!$P:$P,MATCH($B129&amp;"_"&amp;P$3,'Measure Level Detail'!$C:$C,0)),0)</f>
        <v>1050</v>
      </c>
      <c r="Q129" s="271">
        <f>IFERROR(INDEX('Measure Level Detail'!$P:$P,MATCH($B129&amp;"_"&amp;Q$3,'Measure Level Detail'!$C:$C,0)),0)</f>
        <v>1020.0000000000001</v>
      </c>
      <c r="R129" s="263" t="str">
        <f ca="1">IFERROR(INDEX(Algorithms!K:K,MATCH($C129&amp;"_Therm Saved per Unit",Algorithms!$A:$A,0)),"n/a")</f>
        <v>CI-HVC-BOIL-V11-240101</v>
      </c>
      <c r="S129" s="262"/>
      <c r="T129" s="272">
        <v>0.85179487179487012</v>
      </c>
      <c r="U129" s="272">
        <v>0.85179487179487012</v>
      </c>
      <c r="V129" s="272">
        <v>0.85179487179487012</v>
      </c>
      <c r="W129" s="272">
        <v>0.85179487179487012</v>
      </c>
      <c r="X129" s="273">
        <f>IFERROR(INDEX('Measure Level Detail'!$R:$R,MATCH($B129&amp;"_"&amp;X$3,'Measure Level Detail'!$C:$C,0)),0)</f>
        <v>0.91</v>
      </c>
      <c r="Y129" s="273">
        <f>IFERROR(INDEX('Measure Level Detail'!$R:$R,MATCH($B129&amp;"_"&amp;Y$3,'Measure Level Detail'!$C:$C,0)),0)</f>
        <v>0.91</v>
      </c>
      <c r="Z129" s="273">
        <f>IFERROR(INDEX('Measure Level Detail'!$R:$R,MATCH($B129&amp;"_"&amp;Z$3,'Measure Level Detail'!$C:$C,0)),0)</f>
        <v>0.91</v>
      </c>
      <c r="AA129" s="273">
        <f>IFERROR(INDEX('Measure Level Detail'!$R:$R,MATCH($B129&amp;"_"&amp;AA$3,'Measure Level Detail'!$C:$C,0)),0)</f>
        <v>0.91</v>
      </c>
      <c r="AB129" s="266">
        <f t="shared" si="47"/>
        <v>988.29499999999803</v>
      </c>
      <c r="AC129" s="266">
        <f t="shared" si="48"/>
        <v>930.15999999999815</v>
      </c>
      <c r="AD129" s="266">
        <f t="shared" si="49"/>
        <v>813.88999999999851</v>
      </c>
      <c r="AE129" s="266">
        <f t="shared" si="50"/>
        <v>790.63599999999849</v>
      </c>
      <c r="AF129" s="266">
        <f t="shared" si="51"/>
        <v>3522.9809999999934</v>
      </c>
      <c r="AG129" s="274">
        <v>0.91</v>
      </c>
      <c r="AH129" s="274">
        <v>0.91</v>
      </c>
      <c r="AI129" s="274">
        <v>0.91</v>
      </c>
      <c r="AJ129" s="274">
        <v>0.91</v>
      </c>
      <c r="AK129" s="274">
        <f t="shared" si="52"/>
        <v>0.91</v>
      </c>
      <c r="AL129" s="274">
        <f t="shared" si="53"/>
        <v>0.91</v>
      </c>
      <c r="AM129" s="274">
        <f t="shared" si="54"/>
        <v>0.91</v>
      </c>
      <c r="AN129" s="274">
        <f t="shared" si="55"/>
        <v>0.91</v>
      </c>
      <c r="AO129" s="262"/>
      <c r="AP129" s="262"/>
      <c r="AQ129" s="267">
        <v>0.85179487179487012</v>
      </c>
      <c r="AR129" s="262"/>
      <c r="AS129" s="266">
        <f t="shared" si="56"/>
        <v>988.29499999999803</v>
      </c>
      <c r="AT129" s="264">
        <f t="shared" si="57"/>
        <v>0</v>
      </c>
      <c r="AU129" s="262"/>
      <c r="AV129" s="262"/>
      <c r="AW129" s="265">
        <v>0.63075949367088424</v>
      </c>
      <c r="AX129" s="164" t="s">
        <v>1469</v>
      </c>
      <c r="AY129" s="266">
        <v>930.15999999999815</v>
      </c>
      <c r="AZ129" s="266">
        <f t="shared" si="58"/>
        <v>688.78936708860556</v>
      </c>
      <c r="BA129" s="264">
        <f t="shared" si="59"/>
        <v>-241.37063291139259</v>
      </c>
      <c r="BB129" s="262"/>
      <c r="BC129" s="262"/>
      <c r="BD129" s="265">
        <f ca="1">IFERROR(INDEX(Algorithms!$G:$G,MATCH($C129&amp;"_Therm Saved per Unit",Algorithms!$A:$A,0)),0)</f>
        <v>0.41012345679012158</v>
      </c>
      <c r="BE129" s="164" t="str">
        <f ca="1">IFERROR(INDEX('v12 Revisions'!$P$29:$P$186, MATCH('Measure-Level Adj Gas'!$L129, 'v12 Revisions'!$D$29:$D$186,0)),"")</f>
        <v>Updated baseline and efficient boiler efficiency ratings.</v>
      </c>
      <c r="BF129" s="266">
        <f t="shared" ca="1" si="60"/>
        <v>391.87296296296114</v>
      </c>
      <c r="BG129" s="264">
        <f t="shared" ca="1" si="61"/>
        <v>-422.01703703703737</v>
      </c>
      <c r="BH129" s="262"/>
      <c r="BI129" s="262"/>
      <c r="BJ129" s="265">
        <f ca="1">IFERROR(INDEX(Algorithms!$G:$G,MATCH($C129&amp;"_Therm Saved per Unit",Algorithms!$A:$A,0)),0)</f>
        <v>0.41012345679012158</v>
      </c>
      <c r="BK129" s="164"/>
      <c r="BL129" s="266">
        <f t="shared" ca="1" si="62"/>
        <v>380.67659259259091</v>
      </c>
      <c r="BM129" s="264">
        <f t="shared" ca="1" si="63"/>
        <v>-409.95940740740758</v>
      </c>
      <c r="BN129" s="266">
        <f t="shared" si="64"/>
        <v>988.29499999999803</v>
      </c>
      <c r="BO129" s="266">
        <f t="shared" si="65"/>
        <v>688.78936708860556</v>
      </c>
      <c r="BP129" s="266">
        <f t="shared" ca="1" si="66"/>
        <v>391.87296296296114</v>
      </c>
      <c r="BQ129" s="266">
        <f t="shared" ca="1" si="67"/>
        <v>380.67659259259091</v>
      </c>
      <c r="BR129" s="268">
        <f t="shared" ca="1" si="68"/>
        <v>2449.633922644156</v>
      </c>
      <c r="BS129" s="262" t="s">
        <v>99</v>
      </c>
      <c r="BT129" s="277"/>
      <c r="BW129" s="266">
        <f t="shared" si="69"/>
        <v>988.29499999999803</v>
      </c>
      <c r="BX129" s="266">
        <f t="shared" si="70"/>
        <v>930.15999999999815</v>
      </c>
      <c r="BY129" s="266">
        <f t="shared" si="71"/>
        <v>813.88999999999851</v>
      </c>
      <c r="BZ129" s="266">
        <f t="shared" si="72"/>
        <v>790.63599999999849</v>
      </c>
      <c r="CA129" s="266">
        <f ca="1">N129*IFERROR(INDEX(Algorithms!$G:$G,MATCH($C129&amp;"_Therm Saved per Unit- MLA",Algorithms!$A:$A,0)),0)*X129</f>
        <v>0</v>
      </c>
      <c r="CB129" s="266">
        <f ca="1">O129*IFERROR(INDEX(Algorithms!$G:$G,MATCH($C129&amp;"_Therm Saved per Unit- MLA",Algorithms!$A:$A,0)),0)*Y129</f>
        <v>0</v>
      </c>
      <c r="CC129" s="266">
        <f ca="1">P129*IFERROR(INDEX(Algorithms!$G:$G,MATCH($C129&amp;"_Therm Saved per Unit- MLA",Algorithms!$A:$A,0)),0)*Z129</f>
        <v>0</v>
      </c>
      <c r="CD129" s="266">
        <f ca="1">Q129*IFERROR(INDEX(Algorithms!$G:$G,MATCH($C129&amp;"_Therm Saved per Unit- MLA",Algorithms!$A:$A,0)),0)*AA129</f>
        <v>0</v>
      </c>
      <c r="CE129" s="266">
        <f ca="1">IFERROR(INDEX(Algorithms!$G:$G,MATCH($C129&amp;"_Lifetime (years)",Algorithms!$A:$A,0)),0)</f>
        <v>25</v>
      </c>
      <c r="CF129" s="266">
        <f ca="1">IFERROR(INDEX(Algorithms!$G:$G,MATCH($C129&amp;"_Lifetime (years) - Remaining Years",Algorithms!$A:$A,0)),0)</f>
        <v>0</v>
      </c>
      <c r="CG129" s="266">
        <f t="shared" ca="1" si="73"/>
        <v>24707.374999999949</v>
      </c>
      <c r="CH129" s="266">
        <f t="shared" ca="1" si="74"/>
        <v>23253.999999999953</v>
      </c>
      <c r="CI129" s="266">
        <f t="shared" ca="1" si="75"/>
        <v>20347.249999999964</v>
      </c>
      <c r="CJ129" s="266">
        <f t="shared" ca="1" si="76"/>
        <v>19765.899999999961</v>
      </c>
      <c r="CK129" s="266">
        <f t="shared" si="77"/>
        <v>988.29499999999803</v>
      </c>
      <c r="CL129" s="266">
        <f t="shared" si="78"/>
        <v>688.78936708860556</v>
      </c>
      <c r="CM129" s="266">
        <f t="shared" ca="1" si="79"/>
        <v>391.87296296296114</v>
      </c>
      <c r="CN129" s="266">
        <f t="shared" ca="1" si="80"/>
        <v>380.67659259259091</v>
      </c>
      <c r="CO129" s="266">
        <f ca="1">N129*IFERROR(INDEX(Algorithms!$G:$G,MATCH($C129&amp;"_Therm Saved per Unit- MLA",Algorithms!$A:$A,0)),0)*X129</f>
        <v>0</v>
      </c>
      <c r="CP129" s="266">
        <f ca="1">O129*IFERROR(INDEX(Algorithms!$G:$G,MATCH($C129&amp;"_Therm Saved per Unit- MLA",Algorithms!$A:$A,0)),0)*Y129</f>
        <v>0</v>
      </c>
      <c r="CQ129" s="266">
        <f ca="1">P129*IFERROR(INDEX(Algorithms!$G:$G,MATCH($C129&amp;"_Therm Saved per Unit- MLA",Algorithms!$A:$A,0)),0)*Z129</f>
        <v>0</v>
      </c>
      <c r="CR129" s="266">
        <f ca="1">Q129*IFERROR(INDEX(Algorithms!$G:$G,MATCH($C129&amp;"_Therm Saved per Unit- MLA",Algorithms!$A:$A,0)),0)*AA129</f>
        <v>0</v>
      </c>
      <c r="CS129" s="266">
        <f ca="1">IFERROR(INDEX(Algorithms!$G:$G,MATCH($C129&amp;"_Lifetime (years)",Algorithms!$A:$A,0)),0)</f>
        <v>25</v>
      </c>
      <c r="CT129" s="266">
        <f ca="1">IFERROR(INDEX(Algorithms!$G:$G,MATCH($C129&amp;"_Lifetime (years) - Remaining Years",Algorithms!$A:$A,0)),0)</f>
        <v>0</v>
      </c>
      <c r="CU129" s="266">
        <f t="shared" ca="1" si="81"/>
        <v>24707.374999999949</v>
      </c>
      <c r="CV129" s="266">
        <f t="shared" ca="1" si="82"/>
        <v>17219.734177215138</v>
      </c>
      <c r="CW129" s="266">
        <f t="shared" ca="1" si="83"/>
        <v>9796.8240740740293</v>
      </c>
      <c r="CX129" s="266">
        <f t="shared" ca="1" si="84"/>
        <v>9516.9148148147724</v>
      </c>
    </row>
    <row r="130" spans="2:102" s="47" customFormat="1" ht="18" customHeight="1" x14ac:dyDescent="0.25">
      <c r="B130" t="str">
        <f t="shared" si="85"/>
        <v>NSG_Business_C&amp;I_Rebates_Steam Boiler_&gt;=300MBH, &lt;1,500, &gt;=81% AFUE_CI</v>
      </c>
      <c r="C130" s="47" t="str">
        <f t="shared" si="46"/>
        <v>Steam Boiler_&gt;=300MBH, &lt;1,500, &gt;=81% AFUE_CI</v>
      </c>
      <c r="D130" s="270" t="s">
        <v>1787</v>
      </c>
      <c r="E130" s="270" t="s">
        <v>3</v>
      </c>
      <c r="F130" s="270" t="s">
        <v>1427</v>
      </c>
      <c r="G130" s="270" t="s">
        <v>1429</v>
      </c>
      <c r="H130" s="270" t="s">
        <v>938</v>
      </c>
      <c r="I130" s="270" t="s">
        <v>1300</v>
      </c>
      <c r="J130" s="270" t="s">
        <v>1159</v>
      </c>
      <c r="K130" s="263">
        <v>1</v>
      </c>
      <c r="L130" s="263" t="str">
        <f ca="1">IFERROR(INDEX(Algorithms!J:J,MATCH($C130&amp;"_Therm Saved per Unit",Algorithms!$A:$A,0)),"n/a")</f>
        <v>4.4.10</v>
      </c>
      <c r="M130" s="263" t="str">
        <f>IFERROR(INDEX('Measure Level Detail'!$N:$N,MATCH($B130,'Measure Level Detail'!$B:$B,0)),0)</f>
        <v>MBH</v>
      </c>
      <c r="N130" s="271">
        <f>IFERROR(INDEX('Measure Level Detail'!$P:$P,MATCH($B130&amp;"_"&amp;N$3,'Measure Level Detail'!$C:$C,0)),0)</f>
        <v>1275</v>
      </c>
      <c r="O130" s="271">
        <f>IFERROR(INDEX('Measure Level Detail'!$P:$P,MATCH($B130&amp;"_"&amp;O$3,'Measure Level Detail'!$C:$C,0)),0)</f>
        <v>1200.0000000000002</v>
      </c>
      <c r="P130" s="271">
        <f>IFERROR(INDEX('Measure Level Detail'!$P:$P,MATCH($B130&amp;"_"&amp;P$3,'Measure Level Detail'!$C:$C,0)),0)</f>
        <v>1049.9999999999998</v>
      </c>
      <c r="Q130" s="271">
        <f>IFERROR(INDEX('Measure Level Detail'!$P:$P,MATCH($B130&amp;"_"&amp;Q$3,'Measure Level Detail'!$C:$C,0)),0)</f>
        <v>1020</v>
      </c>
      <c r="R130" s="263" t="str">
        <f ca="1">IFERROR(INDEX(Algorithms!K:K,MATCH($C130&amp;"_Therm Saved per Unit",Algorithms!$A:$A,0)),"n/a")</f>
        <v>CI-HVC-BOIL-V11-240101</v>
      </c>
      <c r="S130" s="262"/>
      <c r="T130" s="272">
        <v>0.72402564102563916</v>
      </c>
      <c r="U130" s="272">
        <v>0.72402564102563916</v>
      </c>
      <c r="V130" s="272">
        <v>0.72402564102563916</v>
      </c>
      <c r="W130" s="272">
        <v>0.72402564102563916</v>
      </c>
      <c r="X130" s="273">
        <f>IFERROR(INDEX('Measure Level Detail'!$R:$R,MATCH($B130&amp;"_"&amp;X$3,'Measure Level Detail'!$C:$C,0)),0)</f>
        <v>0.91</v>
      </c>
      <c r="Y130" s="273">
        <f>IFERROR(INDEX('Measure Level Detail'!$R:$R,MATCH($B130&amp;"_"&amp;Y$3,'Measure Level Detail'!$C:$C,0)),0)</f>
        <v>0.91</v>
      </c>
      <c r="Z130" s="273">
        <f>IFERROR(INDEX('Measure Level Detail'!$R:$R,MATCH($B130&amp;"_"&amp;Z$3,'Measure Level Detail'!$C:$C,0)),0)</f>
        <v>0.91</v>
      </c>
      <c r="AA130" s="273">
        <f>IFERROR(INDEX('Measure Level Detail'!$R:$R,MATCH($B130&amp;"_"&amp;AA$3,'Measure Level Detail'!$C:$C,0)),0)</f>
        <v>0.91</v>
      </c>
      <c r="AB130" s="266">
        <f t="shared" si="47"/>
        <v>840.05074999999783</v>
      </c>
      <c r="AC130" s="266">
        <f t="shared" si="48"/>
        <v>790.63599999999815</v>
      </c>
      <c r="AD130" s="266">
        <f t="shared" si="49"/>
        <v>691.8064999999981</v>
      </c>
      <c r="AE130" s="266">
        <f t="shared" si="50"/>
        <v>672.04059999999834</v>
      </c>
      <c r="AF130" s="266">
        <f t="shared" si="51"/>
        <v>2994.5338499999925</v>
      </c>
      <c r="AG130" s="274">
        <v>0.91</v>
      </c>
      <c r="AH130" s="274">
        <v>0.91</v>
      </c>
      <c r="AI130" s="274">
        <v>0.91</v>
      </c>
      <c r="AJ130" s="274">
        <v>0.91</v>
      </c>
      <c r="AK130" s="274">
        <f t="shared" si="52"/>
        <v>0.91</v>
      </c>
      <c r="AL130" s="274">
        <f t="shared" si="53"/>
        <v>0.91</v>
      </c>
      <c r="AM130" s="274">
        <f t="shared" si="54"/>
        <v>0.91</v>
      </c>
      <c r="AN130" s="274">
        <f t="shared" si="55"/>
        <v>0.91</v>
      </c>
      <c r="AO130" s="262"/>
      <c r="AP130" s="262"/>
      <c r="AQ130" s="267">
        <v>0.72402564102563916</v>
      </c>
      <c r="AR130" s="262"/>
      <c r="AS130" s="266">
        <f t="shared" si="56"/>
        <v>840.05074999999783</v>
      </c>
      <c r="AT130" s="264">
        <f t="shared" si="57"/>
        <v>0</v>
      </c>
      <c r="AU130" s="262"/>
      <c r="AV130" s="262"/>
      <c r="AW130" s="265">
        <v>0.50460759493670693</v>
      </c>
      <c r="AX130" s="164" t="s">
        <v>1469</v>
      </c>
      <c r="AY130" s="266">
        <v>790.63599999999815</v>
      </c>
      <c r="AZ130" s="266">
        <f t="shared" si="58"/>
        <v>551.03149367088406</v>
      </c>
      <c r="BA130" s="264">
        <f t="shared" si="59"/>
        <v>-239.60450632911409</v>
      </c>
      <c r="BB130" s="262"/>
      <c r="BC130" s="262"/>
      <c r="BD130" s="265">
        <f ca="1">IFERROR(INDEX(Algorithms!$G:$G,MATCH($C130&amp;"_Therm Saved per Unit",Algorithms!$A:$A,0)),0)</f>
        <v>0.41012345679012158</v>
      </c>
      <c r="BE130" s="164" t="str">
        <f ca="1">IFERROR(INDEX('v12 Revisions'!$P$29:$P$186, MATCH('Measure-Level Adj Gas'!$L130, 'v12 Revisions'!$D$29:$D$186,0)),"")</f>
        <v>Updated baseline and efficient boiler efficiency ratings.</v>
      </c>
      <c r="BF130" s="266">
        <f t="shared" ca="1" si="60"/>
        <v>391.87296296296108</v>
      </c>
      <c r="BG130" s="264">
        <f t="shared" ca="1" si="61"/>
        <v>-299.93353703703701</v>
      </c>
      <c r="BH130" s="262"/>
      <c r="BI130" s="262"/>
      <c r="BJ130" s="265">
        <f ca="1">IFERROR(INDEX(Algorithms!$G:$G,MATCH($C130&amp;"_Therm Saved per Unit",Algorithms!$A:$A,0)),0)</f>
        <v>0.41012345679012158</v>
      </c>
      <c r="BK130" s="164"/>
      <c r="BL130" s="266">
        <f t="shared" ca="1" si="62"/>
        <v>380.67659259259085</v>
      </c>
      <c r="BM130" s="264">
        <f t="shared" ca="1" si="63"/>
        <v>-291.36400740740748</v>
      </c>
      <c r="BN130" s="266">
        <f t="shared" si="64"/>
        <v>840.05074999999783</v>
      </c>
      <c r="BO130" s="266">
        <f t="shared" si="65"/>
        <v>551.03149367088406</v>
      </c>
      <c r="BP130" s="266">
        <f t="shared" ca="1" si="66"/>
        <v>391.87296296296108</v>
      </c>
      <c r="BQ130" s="266">
        <f t="shared" ca="1" si="67"/>
        <v>380.67659259259085</v>
      </c>
      <c r="BR130" s="268">
        <f t="shared" ca="1" si="68"/>
        <v>2163.6317992264339</v>
      </c>
      <c r="BS130" s="262" t="s">
        <v>99</v>
      </c>
      <c r="BT130" s="277"/>
      <c r="BW130" s="266">
        <f t="shared" si="69"/>
        <v>840.05074999999783</v>
      </c>
      <c r="BX130" s="266">
        <f t="shared" si="70"/>
        <v>790.63599999999815</v>
      </c>
      <c r="BY130" s="266">
        <f t="shared" si="71"/>
        <v>691.8064999999981</v>
      </c>
      <c r="BZ130" s="266">
        <f t="shared" si="72"/>
        <v>672.04059999999834</v>
      </c>
      <c r="CA130" s="266">
        <f ca="1">N130*IFERROR(INDEX(Algorithms!$G:$G,MATCH($C130&amp;"_Therm Saved per Unit- MLA",Algorithms!$A:$A,0)),0)*X130</f>
        <v>0</v>
      </c>
      <c r="CB130" s="266">
        <f ca="1">O130*IFERROR(INDEX(Algorithms!$G:$G,MATCH($C130&amp;"_Therm Saved per Unit- MLA",Algorithms!$A:$A,0)),0)*Y130</f>
        <v>0</v>
      </c>
      <c r="CC130" s="266">
        <f ca="1">P130*IFERROR(INDEX(Algorithms!$G:$G,MATCH($C130&amp;"_Therm Saved per Unit- MLA",Algorithms!$A:$A,0)),0)*Z130</f>
        <v>0</v>
      </c>
      <c r="CD130" s="266">
        <f ca="1">Q130*IFERROR(INDEX(Algorithms!$G:$G,MATCH($C130&amp;"_Therm Saved per Unit- MLA",Algorithms!$A:$A,0)),0)*AA130</f>
        <v>0</v>
      </c>
      <c r="CE130" s="266">
        <f ca="1">IFERROR(INDEX(Algorithms!$G:$G,MATCH($C130&amp;"_Lifetime (years)",Algorithms!$A:$A,0)),0)</f>
        <v>25</v>
      </c>
      <c r="CF130" s="266">
        <f ca="1">IFERROR(INDEX(Algorithms!$G:$G,MATCH($C130&amp;"_Lifetime (years) - Remaining Years",Algorithms!$A:$A,0)),0)</f>
        <v>0</v>
      </c>
      <c r="CG130" s="266">
        <f t="shared" ca="1" si="73"/>
        <v>21001.268749999945</v>
      </c>
      <c r="CH130" s="266">
        <f t="shared" ca="1" si="74"/>
        <v>19765.899999999954</v>
      </c>
      <c r="CI130" s="266">
        <f t="shared" ca="1" si="75"/>
        <v>17295.162499999951</v>
      </c>
      <c r="CJ130" s="266">
        <f t="shared" ca="1" si="76"/>
        <v>16801.014999999959</v>
      </c>
      <c r="CK130" s="266">
        <f t="shared" si="77"/>
        <v>840.05074999999783</v>
      </c>
      <c r="CL130" s="266">
        <f t="shared" si="78"/>
        <v>551.03149367088406</v>
      </c>
      <c r="CM130" s="266">
        <f t="shared" ca="1" si="79"/>
        <v>391.87296296296108</v>
      </c>
      <c r="CN130" s="266">
        <f t="shared" ca="1" si="80"/>
        <v>380.67659259259085</v>
      </c>
      <c r="CO130" s="266">
        <f ca="1">N130*IFERROR(INDEX(Algorithms!$G:$G,MATCH($C130&amp;"_Therm Saved per Unit- MLA",Algorithms!$A:$A,0)),0)*X130</f>
        <v>0</v>
      </c>
      <c r="CP130" s="266">
        <f ca="1">O130*IFERROR(INDEX(Algorithms!$G:$G,MATCH($C130&amp;"_Therm Saved per Unit- MLA",Algorithms!$A:$A,0)),0)*Y130</f>
        <v>0</v>
      </c>
      <c r="CQ130" s="266">
        <f ca="1">P130*IFERROR(INDEX(Algorithms!$G:$G,MATCH($C130&amp;"_Therm Saved per Unit- MLA",Algorithms!$A:$A,0)),0)*Z130</f>
        <v>0</v>
      </c>
      <c r="CR130" s="266">
        <f ca="1">Q130*IFERROR(INDEX(Algorithms!$G:$G,MATCH($C130&amp;"_Therm Saved per Unit- MLA",Algorithms!$A:$A,0)),0)*AA130</f>
        <v>0</v>
      </c>
      <c r="CS130" s="266">
        <f ca="1">IFERROR(INDEX(Algorithms!$G:$G,MATCH($C130&amp;"_Lifetime (years)",Algorithms!$A:$A,0)),0)</f>
        <v>25</v>
      </c>
      <c r="CT130" s="266">
        <f ca="1">IFERROR(INDEX(Algorithms!$G:$G,MATCH($C130&amp;"_Lifetime (years) - Remaining Years",Algorithms!$A:$A,0)),0)</f>
        <v>0</v>
      </c>
      <c r="CU130" s="266">
        <f t="shared" ca="1" si="81"/>
        <v>21001.268749999945</v>
      </c>
      <c r="CV130" s="266">
        <f t="shared" ca="1" si="82"/>
        <v>13775.787341772102</v>
      </c>
      <c r="CW130" s="266">
        <f t="shared" ca="1" si="83"/>
        <v>9796.8240740740275</v>
      </c>
      <c r="CX130" s="266">
        <f t="shared" ca="1" si="84"/>
        <v>9516.9148148147706</v>
      </c>
    </row>
    <row r="131" spans="2:102" s="47" customFormat="1" ht="18" customHeight="1" x14ac:dyDescent="0.25">
      <c r="B131" t="str">
        <f t="shared" si="85"/>
        <v>NSG_Residential_Outreach and Education_Elementary Energy Education_Energy Education Kits_0_SF</v>
      </c>
      <c r="C131" s="47" t="str">
        <f t="shared" si="46"/>
        <v>Energy Education Kits_0_SF</v>
      </c>
      <c r="D131" s="270" t="s">
        <v>1787</v>
      </c>
      <c r="E131" s="270" t="s">
        <v>2</v>
      </c>
      <c r="F131" s="270" t="s">
        <v>1419</v>
      </c>
      <c r="G131" s="270" t="s">
        <v>1420</v>
      </c>
      <c r="H131" s="270" t="s">
        <v>1421</v>
      </c>
      <c r="I131" s="270">
        <v>0</v>
      </c>
      <c r="J131" s="270" t="s">
        <v>409</v>
      </c>
      <c r="K131" s="263">
        <v>0</v>
      </c>
      <c r="L131" s="263" t="str">
        <f ca="1">IFERROR(INDEX(Algorithms!J:J,MATCH($C131&amp;"_Therm Saved per Unit",Algorithms!$A:$A,0)),"n/a")</f>
        <v>n/a</v>
      </c>
      <c r="M131" s="263" t="str">
        <f>IFERROR(INDEX('Measure Level Detail'!$N:$N,MATCH($B131,'Measure Level Detail'!$B:$B,0)),0)</f>
        <v>Household</v>
      </c>
      <c r="N131" s="271">
        <f>IFERROR(INDEX('Measure Level Detail'!$P:$P,MATCH($B131&amp;"_"&amp;N$3,'Measure Level Detail'!$C:$C,0)),0)</f>
        <v>1240</v>
      </c>
      <c r="O131" s="271">
        <f>IFERROR(INDEX('Measure Level Detail'!$P:$P,MATCH($B131&amp;"_"&amp;O$3,'Measure Level Detail'!$C:$C,0)),0)</f>
        <v>1240</v>
      </c>
      <c r="P131" s="271">
        <f>IFERROR(INDEX('Measure Level Detail'!$P:$P,MATCH($B131&amp;"_"&amp;P$3,'Measure Level Detail'!$C:$C,0)),0)</f>
        <v>1240</v>
      </c>
      <c r="Q131" s="271">
        <f>IFERROR(INDEX('Measure Level Detail'!$P:$P,MATCH($B131&amp;"_"&amp;Q$3,'Measure Level Detail'!$C:$C,0)),0)</f>
        <v>1240</v>
      </c>
      <c r="R131" s="263" t="str">
        <f ca="1">IFERROR(INDEX(Algorithms!K:K,MATCH($C131&amp;"_Therm Saved per Unit",Algorithms!$A:$A,0)),"n/a")</f>
        <v>n/a</v>
      </c>
      <c r="S131" s="262"/>
      <c r="T131" s="272">
        <v>18.06005859375</v>
      </c>
      <c r="U131" s="272">
        <v>18.06005859375</v>
      </c>
      <c r="V131" s="272">
        <v>18.06005859375</v>
      </c>
      <c r="W131" s="272">
        <v>18.06005859375</v>
      </c>
      <c r="X131" s="273">
        <f>IFERROR(INDEX('Measure Level Detail'!$R:$R,MATCH($B131&amp;"_"&amp;X$3,'Measure Level Detail'!$C:$C,0)),0)</f>
        <v>1</v>
      </c>
      <c r="Y131" s="273">
        <f>IFERROR(INDEX('Measure Level Detail'!$R:$R,MATCH($B131&amp;"_"&amp;Y$3,'Measure Level Detail'!$C:$C,0)),0)</f>
        <v>1</v>
      </c>
      <c r="Z131" s="273">
        <f>IFERROR(INDEX('Measure Level Detail'!$R:$R,MATCH($B131&amp;"_"&amp;Z$3,'Measure Level Detail'!$C:$C,0)),0)</f>
        <v>1</v>
      </c>
      <c r="AA131" s="273">
        <f>IFERROR(INDEX('Measure Level Detail'!$R:$R,MATCH($B131&amp;"_"&amp;AA$3,'Measure Level Detail'!$C:$C,0)),0)</f>
        <v>1</v>
      </c>
      <c r="AB131" s="266">
        <f t="shared" si="47"/>
        <v>22394.47265625</v>
      </c>
      <c r="AC131" s="266">
        <f t="shared" si="48"/>
        <v>22394.47265625</v>
      </c>
      <c r="AD131" s="266">
        <f t="shared" si="49"/>
        <v>22394.47265625</v>
      </c>
      <c r="AE131" s="266">
        <f t="shared" si="50"/>
        <v>22394.47265625</v>
      </c>
      <c r="AF131" s="266">
        <f t="shared" si="51"/>
        <v>89577.890625</v>
      </c>
      <c r="AG131" s="274">
        <v>1</v>
      </c>
      <c r="AH131" s="274">
        <v>1</v>
      </c>
      <c r="AI131" s="274">
        <v>1</v>
      </c>
      <c r="AJ131" s="274">
        <v>1</v>
      </c>
      <c r="AK131" s="274">
        <f t="shared" si="52"/>
        <v>1</v>
      </c>
      <c r="AL131" s="274">
        <f t="shared" si="53"/>
        <v>1</v>
      </c>
      <c r="AM131" s="274">
        <f t="shared" si="54"/>
        <v>1</v>
      </c>
      <c r="AN131" s="274">
        <f t="shared" si="55"/>
        <v>1</v>
      </c>
      <c r="AO131" s="262"/>
      <c r="AP131" s="262"/>
      <c r="AQ131" s="267">
        <v>18.06005859375</v>
      </c>
      <c r="AR131" s="262"/>
      <c r="AS131" s="266">
        <f t="shared" si="56"/>
        <v>22394.47265625</v>
      </c>
      <c r="AT131" s="264">
        <f t="shared" si="57"/>
        <v>0</v>
      </c>
      <c r="AU131" s="262"/>
      <c r="AV131" s="262"/>
      <c r="AW131" s="265">
        <v>18.06005859375</v>
      </c>
      <c r="AX131" s="164" t="s">
        <v>1469</v>
      </c>
      <c r="AY131" s="266">
        <v>22394.47265625</v>
      </c>
      <c r="AZ131" s="266">
        <f t="shared" si="58"/>
        <v>22394.47265625</v>
      </c>
      <c r="BA131" s="264">
        <f t="shared" si="59"/>
        <v>0</v>
      </c>
      <c r="BB131" s="262"/>
      <c r="BC131" s="262"/>
      <c r="BD131" s="265">
        <f ca="1">IFERROR(INDEX(Algorithms!$G:$G,MATCH($C131&amp;"_Therm Saved per Unit",Algorithms!$A:$A,0)),0)</f>
        <v>18.06005859375</v>
      </c>
      <c r="BE131" s="164" t="str">
        <f ca="1">IFERROR(INDEX('v12 Revisions'!$P$29:$P$186, MATCH('Measure-Level Adj Gas'!$L131, 'v12 Revisions'!$D$29:$D$186,0)),"")</f>
        <v/>
      </c>
      <c r="BF131" s="266">
        <f t="shared" ca="1" si="60"/>
        <v>22394.47265625</v>
      </c>
      <c r="BG131" s="264">
        <f t="shared" ca="1" si="61"/>
        <v>0</v>
      </c>
      <c r="BH131" s="262"/>
      <c r="BI131" s="262"/>
      <c r="BJ131" s="265">
        <f ca="1">IFERROR(INDEX(Algorithms!$G:$G,MATCH($C131&amp;"_Therm Saved per Unit",Algorithms!$A:$A,0)),0)</f>
        <v>18.06005859375</v>
      </c>
      <c r="BK131" s="164"/>
      <c r="BL131" s="266">
        <f t="shared" ca="1" si="62"/>
        <v>22394.47265625</v>
      </c>
      <c r="BM131" s="264">
        <f t="shared" ca="1" si="63"/>
        <v>0</v>
      </c>
      <c r="BN131" s="266">
        <f t="shared" si="64"/>
        <v>22394.47265625</v>
      </c>
      <c r="BO131" s="266">
        <f t="shared" si="65"/>
        <v>22394.47265625</v>
      </c>
      <c r="BP131" s="266">
        <f t="shared" si="66"/>
        <v>22394.47265625</v>
      </c>
      <c r="BQ131" s="266">
        <f t="shared" si="67"/>
        <v>22394.47265625</v>
      </c>
      <c r="BR131" s="268">
        <f t="shared" si="68"/>
        <v>89577.890625</v>
      </c>
      <c r="BS131" s="262" t="s">
        <v>99</v>
      </c>
      <c r="BT131" s="277"/>
      <c r="BW131" s="266">
        <f t="shared" si="69"/>
        <v>22394.47265625</v>
      </c>
      <c r="BX131" s="266">
        <f t="shared" si="70"/>
        <v>22394.47265625</v>
      </c>
      <c r="BY131" s="266">
        <f t="shared" si="71"/>
        <v>22394.47265625</v>
      </c>
      <c r="BZ131" s="266">
        <f t="shared" si="72"/>
        <v>22394.47265625</v>
      </c>
      <c r="CA131" s="266">
        <f ca="1">N131*IFERROR(INDEX(Algorithms!$G:$G,MATCH($C131&amp;"_Therm Saved per Unit- MLA",Algorithms!$A:$A,0)),0)*X131</f>
        <v>0</v>
      </c>
      <c r="CB131" s="266">
        <f ca="1">O131*IFERROR(INDEX(Algorithms!$G:$G,MATCH($C131&amp;"_Therm Saved per Unit- MLA",Algorithms!$A:$A,0)),0)*Y131</f>
        <v>0</v>
      </c>
      <c r="CC131" s="266">
        <f ca="1">P131*IFERROR(INDEX(Algorithms!$G:$G,MATCH($C131&amp;"_Therm Saved per Unit- MLA",Algorithms!$A:$A,0)),0)*Z131</f>
        <v>0</v>
      </c>
      <c r="CD131" s="266">
        <f ca="1">Q131*IFERROR(INDEX(Algorithms!$G:$G,MATCH($C131&amp;"_Therm Saved per Unit- MLA",Algorithms!$A:$A,0)),0)*AA131</f>
        <v>0</v>
      </c>
      <c r="CE131" s="266">
        <f ca="1">IFERROR(INDEX(Algorithms!$G:$G,MATCH($C131&amp;"_Lifetime (years)",Algorithms!$A:$A,0)),0)</f>
        <v>9.5</v>
      </c>
      <c r="CF131" s="266">
        <f ca="1">IFERROR(INDEX(Algorithms!$G:$G,MATCH($C131&amp;"_Lifetime (years) - Remaining Years",Algorithms!$A:$A,0)),0)</f>
        <v>0</v>
      </c>
      <c r="CG131" s="266">
        <f t="shared" ca="1" si="73"/>
        <v>212747.490234375</v>
      </c>
      <c r="CH131" s="266">
        <f t="shared" ca="1" si="74"/>
        <v>212747.490234375</v>
      </c>
      <c r="CI131" s="266">
        <f t="shared" ca="1" si="75"/>
        <v>212747.490234375</v>
      </c>
      <c r="CJ131" s="266">
        <f t="shared" ca="1" si="76"/>
        <v>212747.490234375</v>
      </c>
      <c r="CK131" s="266">
        <f t="shared" si="77"/>
        <v>22394.47265625</v>
      </c>
      <c r="CL131" s="266">
        <f t="shared" si="78"/>
        <v>22394.47265625</v>
      </c>
      <c r="CM131" s="266">
        <f t="shared" ca="1" si="79"/>
        <v>22394.47265625</v>
      </c>
      <c r="CN131" s="266">
        <f t="shared" ca="1" si="80"/>
        <v>22394.47265625</v>
      </c>
      <c r="CO131" s="266">
        <f ca="1">N131*IFERROR(INDEX(Algorithms!$G:$G,MATCH($C131&amp;"_Therm Saved per Unit- MLA",Algorithms!$A:$A,0)),0)*X131</f>
        <v>0</v>
      </c>
      <c r="CP131" s="266">
        <f ca="1">O131*IFERROR(INDEX(Algorithms!$G:$G,MATCH($C131&amp;"_Therm Saved per Unit- MLA",Algorithms!$A:$A,0)),0)*Y131</f>
        <v>0</v>
      </c>
      <c r="CQ131" s="266">
        <f ca="1">P131*IFERROR(INDEX(Algorithms!$G:$G,MATCH($C131&amp;"_Therm Saved per Unit- MLA",Algorithms!$A:$A,0)),0)*Z131</f>
        <v>0</v>
      </c>
      <c r="CR131" s="266">
        <f ca="1">Q131*IFERROR(INDEX(Algorithms!$G:$G,MATCH($C131&amp;"_Therm Saved per Unit- MLA",Algorithms!$A:$A,0)),0)*AA131</f>
        <v>0</v>
      </c>
      <c r="CS131" s="266">
        <f ca="1">IFERROR(INDEX(Algorithms!$G:$G,MATCH($C131&amp;"_Lifetime (years)",Algorithms!$A:$A,0)),0)</f>
        <v>9.5</v>
      </c>
      <c r="CT131" s="266">
        <f ca="1">IFERROR(INDEX(Algorithms!$G:$G,MATCH($C131&amp;"_Lifetime (years) - Remaining Years",Algorithms!$A:$A,0)),0)</f>
        <v>0</v>
      </c>
      <c r="CU131" s="266">
        <f t="shared" ca="1" si="81"/>
        <v>212747.490234375</v>
      </c>
      <c r="CV131" s="266">
        <f t="shared" ca="1" si="82"/>
        <v>212747.490234375</v>
      </c>
      <c r="CW131" s="266">
        <f t="shared" ca="1" si="83"/>
        <v>212747.490234375</v>
      </c>
      <c r="CX131" s="266">
        <f t="shared" ca="1" si="84"/>
        <v>212747.490234375</v>
      </c>
    </row>
    <row r="132" spans="2:102" s="47" customFormat="1" ht="18" customHeight="1" x14ac:dyDescent="0.25">
      <c r="B132" t="str">
        <f t="shared" si="85"/>
        <v>NSG_Residential_Home Energy Rebate_Standard Rebate_Furnace_&gt;95% AFUE_SF</v>
      </c>
      <c r="C132" s="47" t="str">
        <f t="shared" si="46"/>
        <v>Furnace_&gt;95% AFUE_SF</v>
      </c>
      <c r="D132" s="270" t="s">
        <v>1787</v>
      </c>
      <c r="E132" s="270" t="s">
        <v>2</v>
      </c>
      <c r="F132" s="270" t="s">
        <v>1417</v>
      </c>
      <c r="G132" s="270" t="s">
        <v>1418</v>
      </c>
      <c r="H132" s="270" t="s">
        <v>490</v>
      </c>
      <c r="I132" s="270" t="s">
        <v>982</v>
      </c>
      <c r="J132" s="270" t="s">
        <v>409</v>
      </c>
      <c r="K132" s="263">
        <v>1</v>
      </c>
      <c r="L132" s="263" t="str">
        <f ca="1">IFERROR(INDEX(Algorithms!J:J,MATCH($C132&amp;"_Therm Saved per Unit",Algorithms!$A:$A,0)),"n/a")</f>
        <v>5.3.7</v>
      </c>
      <c r="M132" s="263" t="str">
        <f>IFERROR(INDEX('Measure Level Detail'!$N:$N,MATCH($B132,'Measure Level Detail'!$B:$B,0)),0)</f>
        <v>each</v>
      </c>
      <c r="N132" s="271">
        <f>IFERROR(INDEX('Measure Level Detail'!$P:$P,MATCH($B132&amp;"_"&amp;N$3,'Measure Level Detail'!$C:$C,0)),0)</f>
        <v>1200</v>
      </c>
      <c r="O132" s="271">
        <f>IFERROR(INDEX('Measure Level Detail'!$P:$P,MATCH($B132&amp;"_"&amp;O$3,'Measure Level Detail'!$C:$C,0)),0)</f>
        <v>1000</v>
      </c>
      <c r="P132" s="271">
        <f>IFERROR(INDEX('Measure Level Detail'!$P:$P,MATCH($B132&amp;"_"&amp;P$3,'Measure Level Detail'!$C:$C,0)),0)</f>
        <v>800</v>
      </c>
      <c r="Q132" s="271">
        <f>IFERROR(INDEX('Measure Level Detail'!$P:$P,MATCH($B132&amp;"_"&amp;Q$3,'Measure Level Detail'!$C:$C,0)),0)</f>
        <v>600</v>
      </c>
      <c r="R132" s="263" t="str">
        <f ca="1">IFERROR(INDEX(Algorithms!K:K,MATCH($C132&amp;"_Therm Saved per Unit",Algorithms!$A:$A,0)),"n/a")</f>
        <v>RS-HVC-GHEF-V13-240101</v>
      </c>
      <c r="S132" s="262"/>
      <c r="T132" s="272">
        <v>185.63073361823353</v>
      </c>
      <c r="U132" s="272">
        <v>185.63073361823353</v>
      </c>
      <c r="V132" s="272">
        <v>185.63073361823353</v>
      </c>
      <c r="W132" s="272">
        <v>185.63073361823353</v>
      </c>
      <c r="X132" s="275">
        <v>0.74</v>
      </c>
      <c r="Y132" s="275">
        <v>0.74</v>
      </c>
      <c r="Z132" s="275">
        <v>0.74</v>
      </c>
      <c r="AA132" s="275">
        <v>0.74</v>
      </c>
      <c r="AB132" s="266">
        <f t="shared" si="47"/>
        <v>164840.09145299139</v>
      </c>
      <c r="AC132" s="266">
        <f t="shared" si="48"/>
        <v>137366.7428774928</v>
      </c>
      <c r="AD132" s="266">
        <f t="shared" si="49"/>
        <v>109893.39430199425</v>
      </c>
      <c r="AE132" s="266">
        <f t="shared" si="50"/>
        <v>82420.045726495693</v>
      </c>
      <c r="AF132" s="266">
        <f t="shared" si="51"/>
        <v>494520.27435897407</v>
      </c>
      <c r="AG132" s="274">
        <v>0.74</v>
      </c>
      <c r="AH132" s="274">
        <v>0.74</v>
      </c>
      <c r="AI132" s="274">
        <v>0.74</v>
      </c>
      <c r="AJ132" s="274">
        <v>0.74</v>
      </c>
      <c r="AK132" s="274">
        <f t="shared" si="52"/>
        <v>0.74</v>
      </c>
      <c r="AL132" s="274">
        <f t="shared" si="53"/>
        <v>0.74</v>
      </c>
      <c r="AM132" s="274">
        <f t="shared" si="54"/>
        <v>0.74</v>
      </c>
      <c r="AN132" s="274">
        <f t="shared" si="55"/>
        <v>0.74</v>
      </c>
      <c r="AO132" s="262"/>
      <c r="AP132" s="262"/>
      <c r="AQ132" s="267">
        <v>185.63073361823353</v>
      </c>
      <c r="AR132" s="262"/>
      <c r="AS132" s="266">
        <f t="shared" si="56"/>
        <v>164840.09145299139</v>
      </c>
      <c r="AT132" s="264">
        <f t="shared" si="57"/>
        <v>0</v>
      </c>
      <c r="AU132" s="262"/>
      <c r="AV132" s="262"/>
      <c r="AW132" s="265">
        <v>185.63073361823353</v>
      </c>
      <c r="AX132" s="164" t="s">
        <v>1469</v>
      </c>
      <c r="AY132" s="266">
        <v>137366.7428774928</v>
      </c>
      <c r="AZ132" s="266">
        <f t="shared" si="58"/>
        <v>137366.7428774928</v>
      </c>
      <c r="BA132" s="264">
        <f t="shared" si="59"/>
        <v>0</v>
      </c>
      <c r="BB132" s="262"/>
      <c r="BC132" s="262"/>
      <c r="BD132" s="265">
        <f ca="1">IFERROR(INDEX(Algorithms!$G:$G,MATCH($C132&amp;"_Therm Saved per Unit",Algorithms!$A:$A,0)),0)</f>
        <v>185.63073361823353</v>
      </c>
      <c r="BE132" s="164" t="str">
        <f ca="1">IFERROR(INDEX('v12 Revisions'!$P$29:$P$186, MATCH('Measure-Level Adj Gas'!$L132, 'v12 Revisions'!$D$29:$D$186,0)),"")</f>
        <v>n/a - AFUE ≥ 95 eligibility tier, efficient AFUE value already 96.0% in plan.</v>
      </c>
      <c r="BF132" s="266">
        <f t="shared" ca="1" si="60"/>
        <v>109893.39430199425</v>
      </c>
      <c r="BG132" s="264">
        <f t="shared" ca="1" si="61"/>
        <v>0</v>
      </c>
      <c r="BH132" s="262"/>
      <c r="BI132" s="262"/>
      <c r="BJ132" s="265">
        <f ca="1">IFERROR(INDEX(Algorithms!$G:$G,MATCH($C132&amp;"_Therm Saved per Unit",Algorithms!$A:$A,0)),0)</f>
        <v>185.63073361823353</v>
      </c>
      <c r="BK132" s="164"/>
      <c r="BL132" s="266">
        <f t="shared" ca="1" si="62"/>
        <v>82420.045726495693</v>
      </c>
      <c r="BM132" s="264">
        <f t="shared" ca="1" si="63"/>
        <v>0</v>
      </c>
      <c r="BN132" s="266">
        <f t="shared" si="64"/>
        <v>164840.09145299139</v>
      </c>
      <c r="BO132" s="266">
        <f t="shared" si="65"/>
        <v>137366.7428774928</v>
      </c>
      <c r="BP132" s="266">
        <f t="shared" ca="1" si="66"/>
        <v>109893.39430199425</v>
      </c>
      <c r="BQ132" s="266">
        <f t="shared" ca="1" si="67"/>
        <v>82420.045726495693</v>
      </c>
      <c r="BR132" s="268">
        <f t="shared" ca="1" si="68"/>
        <v>494520.27435897407</v>
      </c>
      <c r="BS132" s="262" t="s">
        <v>99</v>
      </c>
      <c r="BT132" s="277"/>
      <c r="BW132" s="266">
        <f t="shared" si="69"/>
        <v>164840.09145299139</v>
      </c>
      <c r="BX132" s="266">
        <f t="shared" si="70"/>
        <v>137366.7428774928</v>
      </c>
      <c r="BY132" s="266">
        <f t="shared" si="71"/>
        <v>109893.39430199425</v>
      </c>
      <c r="BZ132" s="266">
        <f t="shared" si="72"/>
        <v>82420.045726495693</v>
      </c>
      <c r="CA132" s="266">
        <f ca="1">N132*IFERROR(INDEX(Algorithms!$G:$G,MATCH($C132&amp;"_Therm Saved per Unit- MLA",Algorithms!$A:$A,0)),0)*X132</f>
        <v>0</v>
      </c>
      <c r="CB132" s="266">
        <f ca="1">O132*IFERROR(INDEX(Algorithms!$G:$G,MATCH($C132&amp;"_Therm Saved per Unit- MLA",Algorithms!$A:$A,0)),0)*Y132</f>
        <v>0</v>
      </c>
      <c r="CC132" s="266">
        <f ca="1">P132*IFERROR(INDEX(Algorithms!$G:$G,MATCH($C132&amp;"_Therm Saved per Unit- MLA",Algorithms!$A:$A,0)),0)*Z132</f>
        <v>0</v>
      </c>
      <c r="CD132" s="266">
        <f ca="1">Q132*IFERROR(INDEX(Algorithms!$G:$G,MATCH($C132&amp;"_Therm Saved per Unit- MLA",Algorithms!$A:$A,0)),0)*AA132</f>
        <v>0</v>
      </c>
      <c r="CE132" s="266">
        <f ca="1">IFERROR(INDEX(Algorithms!$G:$G,MATCH($C132&amp;"_Lifetime (years)",Algorithms!$A:$A,0)),0)</f>
        <v>20</v>
      </c>
      <c r="CF132" s="266">
        <f ca="1">IFERROR(INDEX(Algorithms!$G:$G,MATCH($C132&amp;"_Lifetime (years) - Remaining Years",Algorithms!$A:$A,0)),0)</f>
        <v>0</v>
      </c>
      <c r="CG132" s="266">
        <f t="shared" ca="1" si="73"/>
        <v>3296801.8290598276</v>
      </c>
      <c r="CH132" s="266">
        <f t="shared" ca="1" si="74"/>
        <v>2747334.857549856</v>
      </c>
      <c r="CI132" s="266">
        <f t="shared" ca="1" si="75"/>
        <v>2197867.8860398852</v>
      </c>
      <c r="CJ132" s="266">
        <f t="shared" ca="1" si="76"/>
        <v>1648400.9145299138</v>
      </c>
      <c r="CK132" s="266">
        <f t="shared" si="77"/>
        <v>164840.09145299139</v>
      </c>
      <c r="CL132" s="266">
        <f t="shared" si="78"/>
        <v>137366.7428774928</v>
      </c>
      <c r="CM132" s="266">
        <f t="shared" ca="1" si="79"/>
        <v>109893.39430199425</v>
      </c>
      <c r="CN132" s="266">
        <f t="shared" ca="1" si="80"/>
        <v>82420.045726495693</v>
      </c>
      <c r="CO132" s="266">
        <f ca="1">N132*IFERROR(INDEX(Algorithms!$G:$G,MATCH($C132&amp;"_Therm Saved per Unit- MLA",Algorithms!$A:$A,0)),0)*X132</f>
        <v>0</v>
      </c>
      <c r="CP132" s="266">
        <f ca="1">O132*IFERROR(INDEX(Algorithms!$G:$G,MATCH($C132&amp;"_Therm Saved per Unit- MLA",Algorithms!$A:$A,0)),0)*Y132</f>
        <v>0</v>
      </c>
      <c r="CQ132" s="266">
        <f ca="1">P132*IFERROR(INDEX(Algorithms!$G:$G,MATCH($C132&amp;"_Therm Saved per Unit- MLA",Algorithms!$A:$A,0)),0)*Z132</f>
        <v>0</v>
      </c>
      <c r="CR132" s="266">
        <f ca="1">Q132*IFERROR(INDEX(Algorithms!$G:$G,MATCH($C132&amp;"_Therm Saved per Unit- MLA",Algorithms!$A:$A,0)),0)*AA132</f>
        <v>0</v>
      </c>
      <c r="CS132" s="266">
        <f ca="1">IFERROR(INDEX(Algorithms!$G:$G,MATCH($C132&amp;"_Lifetime (years)",Algorithms!$A:$A,0)),0)</f>
        <v>20</v>
      </c>
      <c r="CT132" s="266">
        <f ca="1">IFERROR(INDEX(Algorithms!$G:$G,MATCH($C132&amp;"_Lifetime (years) - Remaining Years",Algorithms!$A:$A,0)),0)</f>
        <v>0</v>
      </c>
      <c r="CU132" s="266">
        <f t="shared" ca="1" si="81"/>
        <v>3296801.8290598276</v>
      </c>
      <c r="CV132" s="266">
        <f t="shared" ca="1" si="82"/>
        <v>2747334.857549856</v>
      </c>
      <c r="CW132" s="266">
        <f t="shared" ca="1" si="83"/>
        <v>2197867.8860398852</v>
      </c>
      <c r="CX132" s="266">
        <f t="shared" ca="1" si="84"/>
        <v>1648400.9145299138</v>
      </c>
    </row>
    <row r="133" spans="2:102" s="47" customFormat="1" ht="18" customHeight="1" x14ac:dyDescent="0.25">
      <c r="B133" t="str">
        <f t="shared" si="85"/>
        <v>NSG_Residential_Multi-Family_Standard Rebate_Boiler Reset Controls_0_MF</v>
      </c>
      <c r="C133" s="47" t="str">
        <f t="shared" si="46"/>
        <v>Boiler Reset Controls_0_MF</v>
      </c>
      <c r="D133" s="270" t="s">
        <v>1787</v>
      </c>
      <c r="E133" s="270" t="s">
        <v>2</v>
      </c>
      <c r="F133" s="270" t="s">
        <v>1422</v>
      </c>
      <c r="G133" s="270" t="s">
        <v>1418</v>
      </c>
      <c r="H133" s="270" t="s">
        <v>978</v>
      </c>
      <c r="I133" s="270">
        <v>0</v>
      </c>
      <c r="J133" s="270" t="s">
        <v>553</v>
      </c>
      <c r="K133" s="263">
        <v>1</v>
      </c>
      <c r="L133" s="263" t="str">
        <f ca="1">IFERROR(INDEX(Algorithms!J:J,MATCH($C133&amp;"_Therm Saved per Unit",Algorithms!$A:$A,0)),"n/a")</f>
        <v>4.4.4</v>
      </c>
      <c r="M133" s="263" t="str">
        <f>IFERROR(INDEX('Measure Level Detail'!$N:$N,MATCH($B133,'Measure Level Detail'!$B:$B,0)),0)</f>
        <v>MBH</v>
      </c>
      <c r="N133" s="271">
        <f>IFERROR(INDEX('Measure Level Detail'!$P:$P,MATCH($B133&amp;"_"&amp;N$3,'Measure Level Detail'!$C:$C,0)),0)</f>
        <v>1200</v>
      </c>
      <c r="O133" s="271">
        <f>IFERROR(INDEX('Measure Level Detail'!$P:$P,MATCH($B133&amp;"_"&amp;O$3,'Measure Level Detail'!$C:$C,0)),0)</f>
        <v>1200</v>
      </c>
      <c r="P133" s="271">
        <f>IFERROR(INDEX('Measure Level Detail'!$P:$P,MATCH($B133&amp;"_"&amp;P$3,'Measure Level Detail'!$C:$C,0)),0)</f>
        <v>1200</v>
      </c>
      <c r="Q133" s="271">
        <f>IFERROR(INDEX('Measure Level Detail'!$P:$P,MATCH($B133&amp;"_"&amp;Q$3,'Measure Level Detail'!$C:$C,0)),0)</f>
        <v>1200</v>
      </c>
      <c r="R133" s="263" t="str">
        <f ca="1">IFERROR(INDEX(Algorithms!K:K,MATCH($C133&amp;"_Therm Saved per Unit",Algorithms!$A:$A,0)),"n/a")</f>
        <v>CI-HVC-BLRC-V05-240101</v>
      </c>
      <c r="S133" s="262"/>
      <c r="T133" s="272">
        <v>1.3288</v>
      </c>
      <c r="U133" s="272">
        <v>1.3288</v>
      </c>
      <c r="V133" s="272">
        <v>1.3288</v>
      </c>
      <c r="W133" s="272">
        <v>1.3288</v>
      </c>
      <c r="X133" s="273">
        <f>IFERROR(INDEX('Measure Level Detail'!$R:$R,MATCH($B133&amp;"_"&amp;X$3,'Measure Level Detail'!$C:$C,0)),0)</f>
        <v>0.87</v>
      </c>
      <c r="Y133" s="273">
        <f>IFERROR(INDEX('Measure Level Detail'!$R:$R,MATCH($B133&amp;"_"&amp;Y$3,'Measure Level Detail'!$C:$C,0)),0)</f>
        <v>0.87</v>
      </c>
      <c r="Z133" s="273">
        <f>IFERROR(INDEX('Measure Level Detail'!$R:$R,MATCH($B133&amp;"_"&amp;Z$3,'Measure Level Detail'!$C:$C,0)),0)</f>
        <v>0.87</v>
      </c>
      <c r="AA133" s="273">
        <f>IFERROR(INDEX('Measure Level Detail'!$R:$R,MATCH($B133&amp;"_"&amp;AA$3,'Measure Level Detail'!$C:$C,0)),0)</f>
        <v>0.87</v>
      </c>
      <c r="AB133" s="266">
        <f t="shared" si="47"/>
        <v>1387.2672</v>
      </c>
      <c r="AC133" s="266">
        <f t="shared" si="48"/>
        <v>1387.2672</v>
      </c>
      <c r="AD133" s="266">
        <f t="shared" si="49"/>
        <v>1387.2672</v>
      </c>
      <c r="AE133" s="266">
        <f t="shared" si="50"/>
        <v>1387.2672</v>
      </c>
      <c r="AF133" s="266">
        <f t="shared" si="51"/>
        <v>5549.0688</v>
      </c>
      <c r="AG133" s="274">
        <v>0.87</v>
      </c>
      <c r="AH133" s="274">
        <v>0.87</v>
      </c>
      <c r="AI133" s="274">
        <v>0.87</v>
      </c>
      <c r="AJ133" s="274">
        <v>0.87</v>
      </c>
      <c r="AK133" s="274">
        <f t="shared" si="52"/>
        <v>0.87</v>
      </c>
      <c r="AL133" s="274">
        <f t="shared" si="53"/>
        <v>0.87</v>
      </c>
      <c r="AM133" s="274">
        <f t="shared" si="54"/>
        <v>0.87</v>
      </c>
      <c r="AN133" s="274">
        <f t="shared" si="55"/>
        <v>0.87</v>
      </c>
      <c r="AO133" s="262"/>
      <c r="AP133" s="262"/>
      <c r="AQ133" s="267">
        <v>1.3288</v>
      </c>
      <c r="AR133" s="262"/>
      <c r="AS133" s="266">
        <f t="shared" si="56"/>
        <v>1387.2672</v>
      </c>
      <c r="AT133" s="264">
        <f t="shared" si="57"/>
        <v>0</v>
      </c>
      <c r="AU133" s="262"/>
      <c r="AV133" s="262"/>
      <c r="AW133" s="265">
        <v>1.3288</v>
      </c>
      <c r="AX133" s="164" t="s">
        <v>1469</v>
      </c>
      <c r="AY133" s="266">
        <v>1387.2672</v>
      </c>
      <c r="AZ133" s="266">
        <f t="shared" si="58"/>
        <v>1387.2672</v>
      </c>
      <c r="BA133" s="264">
        <f t="shared" si="59"/>
        <v>0</v>
      </c>
      <c r="BB133" s="262"/>
      <c r="BC133" s="262"/>
      <c r="BD133" s="265">
        <f ca="1">IFERROR(INDEX(Algorithms!$G:$G,MATCH($C133&amp;"_Therm Saved per Unit",Algorithms!$A:$A,0)),0)</f>
        <v>1.3288</v>
      </c>
      <c r="BE133" s="164" t="str">
        <f ca="1">IFERROR(INDEX('v12 Revisions'!$P$29:$P$186, MATCH('Measure-Level Adj Gas'!$L133, 'v12 Revisions'!$D$29:$D$186,0)),"")</f>
        <v/>
      </c>
      <c r="BF133" s="266">
        <f t="shared" ca="1" si="60"/>
        <v>1387.2672</v>
      </c>
      <c r="BG133" s="264">
        <f t="shared" ca="1" si="61"/>
        <v>0</v>
      </c>
      <c r="BH133" s="262"/>
      <c r="BI133" s="262"/>
      <c r="BJ133" s="265">
        <f ca="1">IFERROR(INDEX(Algorithms!$G:$G,MATCH($C133&amp;"_Therm Saved per Unit",Algorithms!$A:$A,0)),0)</f>
        <v>1.3288</v>
      </c>
      <c r="BK133" s="164"/>
      <c r="BL133" s="266">
        <f t="shared" ca="1" si="62"/>
        <v>1387.2672</v>
      </c>
      <c r="BM133" s="264">
        <f t="shared" ca="1" si="63"/>
        <v>0</v>
      </c>
      <c r="BN133" s="266">
        <f t="shared" si="64"/>
        <v>1387.2672</v>
      </c>
      <c r="BO133" s="266">
        <f t="shared" si="65"/>
        <v>1387.2672</v>
      </c>
      <c r="BP133" s="266">
        <f t="shared" ca="1" si="66"/>
        <v>1387.2672</v>
      </c>
      <c r="BQ133" s="266">
        <f t="shared" ca="1" si="67"/>
        <v>1387.2672</v>
      </c>
      <c r="BR133" s="268">
        <f t="shared" ca="1" si="68"/>
        <v>5549.0688</v>
      </c>
      <c r="BS133" s="262" t="s">
        <v>99</v>
      </c>
      <c r="BT133" s="277"/>
      <c r="BW133" s="266">
        <f t="shared" si="69"/>
        <v>1387.2672</v>
      </c>
      <c r="BX133" s="266">
        <f t="shared" si="70"/>
        <v>1387.2672</v>
      </c>
      <c r="BY133" s="266">
        <f t="shared" si="71"/>
        <v>1387.2672</v>
      </c>
      <c r="BZ133" s="266">
        <f t="shared" si="72"/>
        <v>1387.2672</v>
      </c>
      <c r="CA133" s="266">
        <f ca="1">N133*IFERROR(INDEX(Algorithms!$G:$G,MATCH($C133&amp;"_Therm Saved per Unit- MLA",Algorithms!$A:$A,0)),0)*X133</f>
        <v>0</v>
      </c>
      <c r="CB133" s="266">
        <f ca="1">O133*IFERROR(INDEX(Algorithms!$G:$G,MATCH($C133&amp;"_Therm Saved per Unit- MLA",Algorithms!$A:$A,0)),0)*Y133</f>
        <v>0</v>
      </c>
      <c r="CC133" s="266">
        <f ca="1">P133*IFERROR(INDEX(Algorithms!$G:$G,MATCH($C133&amp;"_Therm Saved per Unit- MLA",Algorithms!$A:$A,0)),0)*Z133</f>
        <v>0</v>
      </c>
      <c r="CD133" s="266">
        <f ca="1">Q133*IFERROR(INDEX(Algorithms!$G:$G,MATCH($C133&amp;"_Therm Saved per Unit- MLA",Algorithms!$A:$A,0)),0)*AA133</f>
        <v>0</v>
      </c>
      <c r="CE133" s="266">
        <f ca="1">IFERROR(INDEX(Algorithms!$G:$G,MATCH($C133&amp;"_Lifetime (years)",Algorithms!$A:$A,0)),0)</f>
        <v>16</v>
      </c>
      <c r="CF133" s="266">
        <f ca="1">IFERROR(INDEX(Algorithms!$G:$G,MATCH($C133&amp;"_Lifetime (years) - Remaining Years",Algorithms!$A:$A,0)),0)</f>
        <v>0</v>
      </c>
      <c r="CG133" s="266">
        <f t="shared" ca="1" si="73"/>
        <v>22196.2752</v>
      </c>
      <c r="CH133" s="266">
        <f t="shared" ca="1" si="74"/>
        <v>22196.2752</v>
      </c>
      <c r="CI133" s="266">
        <f t="shared" ca="1" si="75"/>
        <v>22196.2752</v>
      </c>
      <c r="CJ133" s="266">
        <f t="shared" ca="1" si="76"/>
        <v>22196.2752</v>
      </c>
      <c r="CK133" s="266">
        <f t="shared" si="77"/>
        <v>1387.2672</v>
      </c>
      <c r="CL133" s="266">
        <f t="shared" si="78"/>
        <v>1387.2672</v>
      </c>
      <c r="CM133" s="266">
        <f t="shared" ca="1" si="79"/>
        <v>1387.2672</v>
      </c>
      <c r="CN133" s="266">
        <f t="shared" ca="1" si="80"/>
        <v>1387.2672</v>
      </c>
      <c r="CO133" s="266">
        <f ca="1">N133*IFERROR(INDEX(Algorithms!$G:$G,MATCH($C133&amp;"_Therm Saved per Unit- MLA",Algorithms!$A:$A,0)),0)*X133</f>
        <v>0</v>
      </c>
      <c r="CP133" s="266">
        <f ca="1">O133*IFERROR(INDEX(Algorithms!$G:$G,MATCH($C133&amp;"_Therm Saved per Unit- MLA",Algorithms!$A:$A,0)),0)*Y133</f>
        <v>0</v>
      </c>
      <c r="CQ133" s="266">
        <f ca="1">P133*IFERROR(INDEX(Algorithms!$G:$G,MATCH($C133&amp;"_Therm Saved per Unit- MLA",Algorithms!$A:$A,0)),0)*Z133</f>
        <v>0</v>
      </c>
      <c r="CR133" s="266">
        <f ca="1">Q133*IFERROR(INDEX(Algorithms!$G:$G,MATCH($C133&amp;"_Therm Saved per Unit- MLA",Algorithms!$A:$A,0)),0)*AA133</f>
        <v>0</v>
      </c>
      <c r="CS133" s="266">
        <f ca="1">IFERROR(INDEX(Algorithms!$G:$G,MATCH($C133&amp;"_Lifetime (years)",Algorithms!$A:$A,0)),0)</f>
        <v>16</v>
      </c>
      <c r="CT133" s="266">
        <f ca="1">IFERROR(INDEX(Algorithms!$G:$G,MATCH($C133&amp;"_Lifetime (years) - Remaining Years",Algorithms!$A:$A,0)),0)</f>
        <v>0</v>
      </c>
      <c r="CU133" s="266">
        <f t="shared" ca="1" si="81"/>
        <v>22196.2752</v>
      </c>
      <c r="CV133" s="266">
        <f t="shared" ca="1" si="82"/>
        <v>22196.2752</v>
      </c>
      <c r="CW133" s="266">
        <f t="shared" ca="1" si="83"/>
        <v>22196.2752</v>
      </c>
      <c r="CX133" s="266">
        <f t="shared" ca="1" si="84"/>
        <v>22196.2752</v>
      </c>
    </row>
    <row r="134" spans="2:102" s="47" customFormat="1" ht="18" customHeight="1" x14ac:dyDescent="0.25">
      <c r="B134" t="str">
        <f t="shared" si="85"/>
        <v>NSG_Residential_Multi-Family_Partner Trade Ally Rebate_Condensate Tank Insulation_0_MF/CI/SMB</v>
      </c>
      <c r="C134" s="47" t="str">
        <f t="shared" si="46"/>
        <v>Condensate Tank Insulation_0_MF/CI/SMB</v>
      </c>
      <c r="D134" s="270" t="s">
        <v>1787</v>
      </c>
      <c r="E134" s="270" t="s">
        <v>2</v>
      </c>
      <c r="F134" s="270" t="s">
        <v>1422</v>
      </c>
      <c r="G134" s="270" t="s">
        <v>1799</v>
      </c>
      <c r="H134" s="270" t="s">
        <v>806</v>
      </c>
      <c r="I134" s="270">
        <v>0</v>
      </c>
      <c r="J134" s="270" t="s">
        <v>662</v>
      </c>
      <c r="K134" s="263">
        <v>1</v>
      </c>
      <c r="L134" s="263" t="str">
        <f ca="1">IFERROR(INDEX(Algorithms!J:J,MATCH($C134&amp;"_Therm Saved per Unit",Algorithms!$A:$A,0)),"n/a")</f>
        <v>4.3.12</v>
      </c>
      <c r="M134" s="263" t="str">
        <f>IFERROR(INDEX('Measure Level Detail'!$N:$N,MATCH($B134,'Measure Level Detail'!$B:$B,0)),0)</f>
        <v>sqft</v>
      </c>
      <c r="N134" s="271">
        <f>IFERROR(INDEX('Measure Level Detail'!$P:$P,MATCH($B134&amp;"_"&amp;N$3,'Measure Level Detail'!$C:$C,0)),0)</f>
        <v>1100</v>
      </c>
      <c r="O134" s="271">
        <f>IFERROR(INDEX('Measure Level Detail'!$P:$P,MATCH($B134&amp;"_"&amp;O$3,'Measure Level Detail'!$C:$C,0)),0)</f>
        <v>1100</v>
      </c>
      <c r="P134" s="271">
        <f>IFERROR(INDEX('Measure Level Detail'!$P:$P,MATCH($B134&amp;"_"&amp;P$3,'Measure Level Detail'!$C:$C,0)),0)</f>
        <v>1100</v>
      </c>
      <c r="Q134" s="271">
        <f>IFERROR(INDEX('Measure Level Detail'!$P:$P,MATCH($B134&amp;"_"&amp;Q$3,'Measure Level Detail'!$C:$C,0)),0)</f>
        <v>1100</v>
      </c>
      <c r="R134" s="263" t="str">
        <f ca="1">IFERROR(INDEX(Algorithms!K:K,MATCH($C134&amp;"_Therm Saved per Unit",Algorithms!$A:$A,0)),"n/a")</f>
        <v>CI-HWE-TKIN-V03-240101</v>
      </c>
      <c r="S134" s="262"/>
      <c r="T134" s="272">
        <v>16.746197539658972</v>
      </c>
      <c r="U134" s="272">
        <v>16.746197539658972</v>
      </c>
      <c r="V134" s="272">
        <v>16.746197539658972</v>
      </c>
      <c r="W134" s="272">
        <v>16.746197539658972</v>
      </c>
      <c r="X134" s="273">
        <f>IFERROR(INDEX('Measure Level Detail'!$R:$R,MATCH($B134&amp;"_"&amp;X$3,'Measure Level Detail'!$C:$C,0)),0)</f>
        <v>0.87</v>
      </c>
      <c r="Y134" s="273">
        <f>IFERROR(INDEX('Measure Level Detail'!$R:$R,MATCH($B134&amp;"_"&amp;Y$3,'Measure Level Detail'!$C:$C,0)),0)</f>
        <v>0.87</v>
      </c>
      <c r="Z134" s="273">
        <f>IFERROR(INDEX('Measure Level Detail'!$R:$R,MATCH($B134&amp;"_"&amp;Z$3,'Measure Level Detail'!$C:$C,0)),0)</f>
        <v>0.87</v>
      </c>
      <c r="AA134" s="273">
        <f>IFERROR(INDEX('Measure Level Detail'!$R:$R,MATCH($B134&amp;"_"&amp;AA$3,'Measure Level Detail'!$C:$C,0)),0)</f>
        <v>0.87</v>
      </c>
      <c r="AB134" s="266">
        <f t="shared" si="47"/>
        <v>16026.111045453637</v>
      </c>
      <c r="AC134" s="266">
        <f t="shared" si="48"/>
        <v>16026.111045453637</v>
      </c>
      <c r="AD134" s="266">
        <f t="shared" si="49"/>
        <v>16026.111045453637</v>
      </c>
      <c r="AE134" s="266">
        <f t="shared" si="50"/>
        <v>16026.111045453637</v>
      </c>
      <c r="AF134" s="266">
        <f t="shared" si="51"/>
        <v>64104.44418181455</v>
      </c>
      <c r="AG134" s="274">
        <v>0.87</v>
      </c>
      <c r="AH134" s="274">
        <v>0.87</v>
      </c>
      <c r="AI134" s="710">
        <v>0.88</v>
      </c>
      <c r="AJ134" s="710">
        <v>0.88</v>
      </c>
      <c r="AK134" s="274">
        <f t="shared" si="52"/>
        <v>0.87</v>
      </c>
      <c r="AL134" s="274">
        <f t="shared" si="53"/>
        <v>0.87</v>
      </c>
      <c r="AM134" s="274">
        <f t="shared" si="54"/>
        <v>0.87</v>
      </c>
      <c r="AN134" s="274">
        <f t="shared" si="55"/>
        <v>0.87</v>
      </c>
      <c r="AO134" s="262"/>
      <c r="AP134" s="262"/>
      <c r="AQ134" s="267">
        <v>16.746197539658972</v>
      </c>
      <c r="AR134" s="262"/>
      <c r="AS134" s="266">
        <f t="shared" si="56"/>
        <v>16026.111045453637</v>
      </c>
      <c r="AT134" s="264">
        <f t="shared" si="57"/>
        <v>0</v>
      </c>
      <c r="AU134" s="262"/>
      <c r="AV134" s="262"/>
      <c r="AW134" s="265">
        <v>16.746197539658972</v>
      </c>
      <c r="AX134" s="164" t="s">
        <v>1469</v>
      </c>
      <c r="AY134" s="266">
        <v>16026.111045453637</v>
      </c>
      <c r="AZ134" s="266">
        <f t="shared" si="58"/>
        <v>16026.111045453637</v>
      </c>
      <c r="BA134" s="264">
        <f t="shared" si="59"/>
        <v>0</v>
      </c>
      <c r="BB134" s="262"/>
      <c r="BC134" s="262"/>
      <c r="BD134" s="265">
        <f ca="1">IFERROR(INDEX(Algorithms!$G:$G,MATCH($C134&amp;"_Therm Saved per Unit",Algorithms!$A:$A,0)),0)</f>
        <v>16.746197539658972</v>
      </c>
      <c r="BE134" s="164" t="str">
        <f ca="1">IFERROR(INDEX('v12 Revisions'!$P$29:$P$186, MATCH('Measure-Level Adj Gas'!$L134, 'v12 Revisions'!$D$29:$D$186,0)),"")</f>
        <v/>
      </c>
      <c r="BF134" s="266">
        <f t="shared" ca="1" si="60"/>
        <v>16026.111045453637</v>
      </c>
      <c r="BG134" s="264">
        <f t="shared" ca="1" si="61"/>
        <v>0</v>
      </c>
      <c r="BH134" s="262"/>
      <c r="BI134" s="262"/>
      <c r="BJ134" s="265">
        <f ca="1">IFERROR(INDEX(Algorithms!$G:$G,MATCH($C134&amp;"_Therm Saved per Unit",Algorithms!$A:$A,0)),0)</f>
        <v>16.746197539658972</v>
      </c>
      <c r="BK134" s="164"/>
      <c r="BL134" s="266">
        <f t="shared" ca="1" si="62"/>
        <v>16026.111045453637</v>
      </c>
      <c r="BM134" s="264">
        <f t="shared" ca="1" si="63"/>
        <v>0</v>
      </c>
      <c r="BN134" s="266">
        <f t="shared" si="64"/>
        <v>16026.111045453637</v>
      </c>
      <c r="BO134" s="266">
        <f t="shared" si="65"/>
        <v>16026.111045453637</v>
      </c>
      <c r="BP134" s="266">
        <f t="shared" ca="1" si="66"/>
        <v>16026.111045453637</v>
      </c>
      <c r="BQ134" s="266">
        <f t="shared" ca="1" si="67"/>
        <v>16026.111045453637</v>
      </c>
      <c r="BR134" s="268">
        <f t="shared" ca="1" si="68"/>
        <v>64104.44418181455</v>
      </c>
      <c r="BS134" s="262" t="s">
        <v>99</v>
      </c>
      <c r="BT134" s="277"/>
      <c r="BW134" s="266">
        <f t="shared" si="69"/>
        <v>16026.111045453637</v>
      </c>
      <c r="BX134" s="266">
        <f t="shared" si="70"/>
        <v>16026.111045453637</v>
      </c>
      <c r="BY134" s="266">
        <f t="shared" si="71"/>
        <v>16026.111045453637</v>
      </c>
      <c r="BZ134" s="266">
        <f t="shared" si="72"/>
        <v>16026.111045453637</v>
      </c>
      <c r="CA134" s="266">
        <f ca="1">N134*IFERROR(INDEX(Algorithms!$G:$G,MATCH($C134&amp;"_Therm Saved per Unit- MLA",Algorithms!$A:$A,0)),0)*X134</f>
        <v>0</v>
      </c>
      <c r="CB134" s="266">
        <f ca="1">O134*IFERROR(INDEX(Algorithms!$G:$G,MATCH($C134&amp;"_Therm Saved per Unit- MLA",Algorithms!$A:$A,0)),0)*Y134</f>
        <v>0</v>
      </c>
      <c r="CC134" s="266">
        <f ca="1">P134*IFERROR(INDEX(Algorithms!$G:$G,MATCH($C134&amp;"_Therm Saved per Unit- MLA",Algorithms!$A:$A,0)),0)*Z134</f>
        <v>0</v>
      </c>
      <c r="CD134" s="266">
        <f ca="1">Q134*IFERROR(INDEX(Algorithms!$G:$G,MATCH($C134&amp;"_Therm Saved per Unit- MLA",Algorithms!$A:$A,0)),0)*AA134</f>
        <v>0</v>
      </c>
      <c r="CE134" s="266">
        <f ca="1">IFERROR(INDEX(Algorithms!$G:$G,MATCH($C134&amp;"_Lifetime (years)",Algorithms!$A:$A,0)),0)</f>
        <v>15</v>
      </c>
      <c r="CF134" s="266">
        <f ca="1">IFERROR(INDEX(Algorithms!$G:$G,MATCH($C134&amp;"_Lifetime (years) - Remaining Years",Algorithms!$A:$A,0)),0)</f>
        <v>0</v>
      </c>
      <c r="CG134" s="266">
        <f t="shared" ca="1" si="73"/>
        <v>240391.66568180456</v>
      </c>
      <c r="CH134" s="266">
        <f t="shared" ca="1" si="74"/>
        <v>240391.66568180456</v>
      </c>
      <c r="CI134" s="266">
        <f t="shared" ca="1" si="75"/>
        <v>240391.66568180456</v>
      </c>
      <c r="CJ134" s="266">
        <f t="shared" ca="1" si="76"/>
        <v>240391.66568180456</v>
      </c>
      <c r="CK134" s="266">
        <f t="shared" si="77"/>
        <v>16026.111045453637</v>
      </c>
      <c r="CL134" s="266">
        <f t="shared" si="78"/>
        <v>16026.111045453637</v>
      </c>
      <c r="CM134" s="266">
        <f t="shared" ca="1" si="79"/>
        <v>16026.111045453637</v>
      </c>
      <c r="CN134" s="266">
        <f t="shared" ca="1" si="80"/>
        <v>16026.111045453637</v>
      </c>
      <c r="CO134" s="266">
        <f ca="1">N134*IFERROR(INDEX(Algorithms!$G:$G,MATCH($C134&amp;"_Therm Saved per Unit- MLA",Algorithms!$A:$A,0)),0)*X134</f>
        <v>0</v>
      </c>
      <c r="CP134" s="266">
        <f ca="1">O134*IFERROR(INDEX(Algorithms!$G:$G,MATCH($C134&amp;"_Therm Saved per Unit- MLA",Algorithms!$A:$A,0)),0)*Y134</f>
        <v>0</v>
      </c>
      <c r="CQ134" s="266">
        <f ca="1">P134*IFERROR(INDEX(Algorithms!$G:$G,MATCH($C134&amp;"_Therm Saved per Unit- MLA",Algorithms!$A:$A,0)),0)*Z134</f>
        <v>0</v>
      </c>
      <c r="CR134" s="266">
        <f ca="1">Q134*IFERROR(INDEX(Algorithms!$G:$G,MATCH($C134&amp;"_Therm Saved per Unit- MLA",Algorithms!$A:$A,0)),0)*AA134</f>
        <v>0</v>
      </c>
      <c r="CS134" s="266">
        <f ca="1">IFERROR(INDEX(Algorithms!$G:$G,MATCH($C134&amp;"_Lifetime (years)",Algorithms!$A:$A,0)),0)</f>
        <v>15</v>
      </c>
      <c r="CT134" s="266">
        <f ca="1">IFERROR(INDEX(Algorithms!$G:$G,MATCH($C134&amp;"_Lifetime (years) - Remaining Years",Algorithms!$A:$A,0)),0)</f>
        <v>0</v>
      </c>
      <c r="CU134" s="266">
        <f t="shared" ca="1" si="81"/>
        <v>240391.66568180456</v>
      </c>
      <c r="CV134" s="266">
        <f t="shared" ca="1" si="82"/>
        <v>240391.66568180456</v>
      </c>
      <c r="CW134" s="266">
        <f t="shared" ca="1" si="83"/>
        <v>240391.66568180456</v>
      </c>
      <c r="CX134" s="266">
        <f t="shared" ca="1" si="84"/>
        <v>240391.66568180456</v>
      </c>
    </row>
    <row r="135" spans="2:102" s="47" customFormat="1" ht="18" customHeight="1" x14ac:dyDescent="0.25">
      <c r="B135" t="str">
        <f t="shared" si="85"/>
        <v>NSG_Residential_Home Energy Jumpstart_Core_Unit Visit_0_SF</v>
      </c>
      <c r="C135" s="47" t="str">
        <f t="shared" si="46"/>
        <v>Unit Visit_0_SF</v>
      </c>
      <c r="D135" s="270" t="s">
        <v>1787</v>
      </c>
      <c r="E135" s="270" t="s">
        <v>2</v>
      </c>
      <c r="F135" s="270" t="s">
        <v>1414</v>
      </c>
      <c r="G135" s="270" t="s">
        <v>1415</v>
      </c>
      <c r="H135" s="270" t="s">
        <v>1090</v>
      </c>
      <c r="I135" s="270">
        <v>0</v>
      </c>
      <c r="J135" s="270" t="s">
        <v>409</v>
      </c>
      <c r="K135" s="263">
        <v>1</v>
      </c>
      <c r="L135" s="263" t="str">
        <f ca="1">IFERROR(INDEX(Algorithms!J:J,MATCH($C135&amp;"_Therm Saved per Unit",Algorithms!$A:$A,0)),"n/a")</f>
        <v>n/a</v>
      </c>
      <c r="M135" s="263" t="str">
        <f>IFERROR(INDEX('Measure Level Detail'!$N:$N,MATCH($B135,'Measure Level Detail'!$B:$B,0)),0)</f>
        <v>Household</v>
      </c>
      <c r="N135" s="271">
        <f>IFERROR(INDEX('Measure Level Detail'!$P:$P,MATCH($B135&amp;"_"&amp;N$3,'Measure Level Detail'!$C:$C,0)),0)</f>
        <v>1000</v>
      </c>
      <c r="O135" s="271">
        <f>IFERROR(INDEX('Measure Level Detail'!$P:$P,MATCH($B135&amp;"_"&amp;O$3,'Measure Level Detail'!$C:$C,0)),0)</f>
        <v>900</v>
      </c>
      <c r="P135" s="271">
        <f>IFERROR(INDEX('Measure Level Detail'!$P:$P,MATCH($B135&amp;"_"&amp;P$3,'Measure Level Detail'!$C:$C,0)),0)</f>
        <v>800</v>
      </c>
      <c r="Q135" s="271">
        <f>IFERROR(INDEX('Measure Level Detail'!$P:$P,MATCH($B135&amp;"_"&amp;Q$3,'Measure Level Detail'!$C:$C,0)),0)</f>
        <v>700</v>
      </c>
      <c r="R135" s="263" t="str">
        <f ca="1">IFERROR(INDEX(Algorithms!K:K,MATCH($C135&amp;"_Therm Saved per Unit",Algorithms!$A:$A,0)),"n/a")</f>
        <v>n/a</v>
      </c>
      <c r="S135" s="262"/>
      <c r="T135" s="272">
        <v>0</v>
      </c>
      <c r="U135" s="272">
        <v>0</v>
      </c>
      <c r="V135" s="272">
        <v>0</v>
      </c>
      <c r="W135" s="272">
        <v>0</v>
      </c>
      <c r="X135" s="273">
        <f>IFERROR(INDEX('Measure Level Detail'!$R:$R,MATCH($B135&amp;"_"&amp;X$3,'Measure Level Detail'!$C:$C,0)),0)</f>
        <v>1</v>
      </c>
      <c r="Y135" s="273">
        <f>IFERROR(INDEX('Measure Level Detail'!$R:$R,MATCH($B135&amp;"_"&amp;Y$3,'Measure Level Detail'!$C:$C,0)),0)</f>
        <v>1</v>
      </c>
      <c r="Z135" s="273">
        <f>IFERROR(INDEX('Measure Level Detail'!$R:$R,MATCH($B135&amp;"_"&amp;Z$3,'Measure Level Detail'!$C:$C,0)),0)</f>
        <v>1</v>
      </c>
      <c r="AA135" s="273">
        <f>IFERROR(INDEX('Measure Level Detail'!$R:$R,MATCH($B135&amp;"_"&amp;AA$3,'Measure Level Detail'!$C:$C,0)),0)</f>
        <v>1</v>
      </c>
      <c r="AB135" s="266">
        <f t="shared" si="47"/>
        <v>0</v>
      </c>
      <c r="AC135" s="266">
        <f t="shared" si="48"/>
        <v>0</v>
      </c>
      <c r="AD135" s="266">
        <f t="shared" si="49"/>
        <v>0</v>
      </c>
      <c r="AE135" s="266">
        <f t="shared" si="50"/>
        <v>0</v>
      </c>
      <c r="AF135" s="266">
        <f t="shared" si="51"/>
        <v>0</v>
      </c>
      <c r="AG135" s="274">
        <v>1</v>
      </c>
      <c r="AH135" s="274">
        <v>1</v>
      </c>
      <c r="AI135" s="274">
        <v>1</v>
      </c>
      <c r="AJ135" s="274">
        <v>1</v>
      </c>
      <c r="AK135" s="274">
        <f t="shared" si="52"/>
        <v>1</v>
      </c>
      <c r="AL135" s="274">
        <f t="shared" si="53"/>
        <v>1</v>
      </c>
      <c r="AM135" s="274">
        <f t="shared" si="54"/>
        <v>1</v>
      </c>
      <c r="AN135" s="274">
        <f t="shared" si="55"/>
        <v>1</v>
      </c>
      <c r="AO135" s="262"/>
      <c r="AP135" s="262"/>
      <c r="AQ135" s="267">
        <v>0</v>
      </c>
      <c r="AR135" s="262"/>
      <c r="AS135" s="266">
        <f t="shared" si="56"/>
        <v>0</v>
      </c>
      <c r="AT135" s="264">
        <f t="shared" si="57"/>
        <v>0</v>
      </c>
      <c r="AU135" s="262"/>
      <c r="AV135" s="262"/>
      <c r="AW135" s="265">
        <v>0</v>
      </c>
      <c r="AX135" s="164" t="s">
        <v>1469</v>
      </c>
      <c r="AY135" s="266">
        <v>0</v>
      </c>
      <c r="AZ135" s="266">
        <f t="shared" si="58"/>
        <v>0</v>
      </c>
      <c r="BA135" s="264">
        <f t="shared" si="59"/>
        <v>0</v>
      </c>
      <c r="BB135" s="262"/>
      <c r="BC135" s="262"/>
      <c r="BD135" s="265">
        <f ca="1">IFERROR(INDEX(Algorithms!$G:$G,MATCH($C135&amp;"_Therm Saved per Unit",Algorithms!$A:$A,0)),0)</f>
        <v>0</v>
      </c>
      <c r="BE135" s="164" t="str">
        <f ca="1">IFERROR(INDEX('v12 Revisions'!$P$29:$P$186, MATCH('Measure-Level Adj Gas'!$L135, 'v12 Revisions'!$D$29:$D$186,0)),"")</f>
        <v/>
      </c>
      <c r="BF135" s="266">
        <f t="shared" ca="1" si="60"/>
        <v>0</v>
      </c>
      <c r="BG135" s="264">
        <f t="shared" ca="1" si="61"/>
        <v>0</v>
      </c>
      <c r="BH135" s="262"/>
      <c r="BI135" s="262"/>
      <c r="BJ135" s="265">
        <f ca="1">IFERROR(INDEX(Algorithms!$G:$G,MATCH($C135&amp;"_Therm Saved per Unit",Algorithms!$A:$A,0)),0)</f>
        <v>0</v>
      </c>
      <c r="BK135" s="164"/>
      <c r="BL135" s="266">
        <f t="shared" ca="1" si="62"/>
        <v>0</v>
      </c>
      <c r="BM135" s="264">
        <f t="shared" ca="1" si="63"/>
        <v>0</v>
      </c>
      <c r="BN135" s="266">
        <f t="shared" si="64"/>
        <v>0</v>
      </c>
      <c r="BO135" s="266">
        <f t="shared" si="65"/>
        <v>0</v>
      </c>
      <c r="BP135" s="266">
        <f t="shared" ca="1" si="66"/>
        <v>0</v>
      </c>
      <c r="BQ135" s="266">
        <f t="shared" ca="1" si="67"/>
        <v>0</v>
      </c>
      <c r="BR135" s="268">
        <f t="shared" ca="1" si="68"/>
        <v>0</v>
      </c>
      <c r="BS135" s="262" t="s">
        <v>99</v>
      </c>
      <c r="BT135" s="277"/>
      <c r="BW135" s="266">
        <f t="shared" si="69"/>
        <v>0</v>
      </c>
      <c r="BX135" s="266">
        <f t="shared" si="70"/>
        <v>0</v>
      </c>
      <c r="BY135" s="266">
        <f t="shared" si="71"/>
        <v>0</v>
      </c>
      <c r="BZ135" s="266">
        <f t="shared" si="72"/>
        <v>0</v>
      </c>
      <c r="CA135" s="266">
        <f ca="1">N135*IFERROR(INDEX(Algorithms!$G:$G,MATCH($C135&amp;"_Therm Saved per Unit- MLA",Algorithms!$A:$A,0)),0)*X135</f>
        <v>0</v>
      </c>
      <c r="CB135" s="266">
        <f ca="1">O135*IFERROR(INDEX(Algorithms!$G:$G,MATCH($C135&amp;"_Therm Saved per Unit- MLA",Algorithms!$A:$A,0)),0)*Y135</f>
        <v>0</v>
      </c>
      <c r="CC135" s="266">
        <f ca="1">P135*IFERROR(INDEX(Algorithms!$G:$G,MATCH($C135&amp;"_Therm Saved per Unit- MLA",Algorithms!$A:$A,0)),0)*Z135</f>
        <v>0</v>
      </c>
      <c r="CD135" s="266">
        <f ca="1">Q135*IFERROR(INDEX(Algorithms!$G:$G,MATCH($C135&amp;"_Therm Saved per Unit- MLA",Algorithms!$A:$A,0)),0)*AA135</f>
        <v>0</v>
      </c>
      <c r="CE135" s="266">
        <f ca="1">IFERROR(INDEX(Algorithms!$G:$G,MATCH($C135&amp;"_Lifetime (years)",Algorithms!$A:$A,0)),0)</f>
        <v>1</v>
      </c>
      <c r="CF135" s="266">
        <f ca="1">IFERROR(INDEX(Algorithms!$G:$G,MATCH($C135&amp;"_Lifetime (years) - Remaining Years",Algorithms!$A:$A,0)),0)</f>
        <v>0</v>
      </c>
      <c r="CG135" s="266">
        <f t="shared" ca="1" si="73"/>
        <v>0</v>
      </c>
      <c r="CH135" s="266">
        <f t="shared" ca="1" si="74"/>
        <v>0</v>
      </c>
      <c r="CI135" s="266">
        <f t="shared" ca="1" si="75"/>
        <v>0</v>
      </c>
      <c r="CJ135" s="266">
        <f t="shared" ca="1" si="76"/>
        <v>0</v>
      </c>
      <c r="CK135" s="266">
        <f t="shared" si="77"/>
        <v>0</v>
      </c>
      <c r="CL135" s="266">
        <f t="shared" si="78"/>
        <v>0</v>
      </c>
      <c r="CM135" s="266">
        <f t="shared" ca="1" si="79"/>
        <v>0</v>
      </c>
      <c r="CN135" s="266">
        <f t="shared" ca="1" si="80"/>
        <v>0</v>
      </c>
      <c r="CO135" s="266">
        <f ca="1">N135*IFERROR(INDEX(Algorithms!$G:$G,MATCH($C135&amp;"_Therm Saved per Unit- MLA",Algorithms!$A:$A,0)),0)*X135</f>
        <v>0</v>
      </c>
      <c r="CP135" s="266">
        <f ca="1">O135*IFERROR(INDEX(Algorithms!$G:$G,MATCH($C135&amp;"_Therm Saved per Unit- MLA",Algorithms!$A:$A,0)),0)*Y135</f>
        <v>0</v>
      </c>
      <c r="CQ135" s="266">
        <f ca="1">P135*IFERROR(INDEX(Algorithms!$G:$G,MATCH($C135&amp;"_Therm Saved per Unit- MLA",Algorithms!$A:$A,0)),0)*Z135</f>
        <v>0</v>
      </c>
      <c r="CR135" s="266">
        <f ca="1">Q135*IFERROR(INDEX(Algorithms!$G:$G,MATCH($C135&amp;"_Therm Saved per Unit- MLA",Algorithms!$A:$A,0)),0)*AA135</f>
        <v>0</v>
      </c>
      <c r="CS135" s="266">
        <f ca="1">IFERROR(INDEX(Algorithms!$G:$G,MATCH($C135&amp;"_Lifetime (years)",Algorithms!$A:$A,0)),0)</f>
        <v>1</v>
      </c>
      <c r="CT135" s="266">
        <f ca="1">IFERROR(INDEX(Algorithms!$G:$G,MATCH($C135&amp;"_Lifetime (years) - Remaining Years",Algorithms!$A:$A,0)),0)</f>
        <v>0</v>
      </c>
      <c r="CU135" s="266">
        <f t="shared" ca="1" si="81"/>
        <v>0</v>
      </c>
      <c r="CV135" s="266">
        <f t="shared" ca="1" si="82"/>
        <v>0</v>
      </c>
      <c r="CW135" s="266">
        <f t="shared" ca="1" si="83"/>
        <v>0</v>
      </c>
      <c r="CX135" s="266">
        <f t="shared" ca="1" si="84"/>
        <v>0</v>
      </c>
    </row>
    <row r="136" spans="2:102" s="47" customFormat="1" ht="18" customHeight="1" x14ac:dyDescent="0.25">
      <c r="B136" t="str">
        <f t="shared" si="85"/>
        <v>NSG_Residential_Home Energy Jumpstart_Leave Behind Kit_Door Sweep_0_SF</v>
      </c>
      <c r="C136" s="47" t="str">
        <f t="shared" si="46"/>
        <v>Door Sweep_0_SF</v>
      </c>
      <c r="D136" s="270" t="s">
        <v>1787</v>
      </c>
      <c r="E136" s="270" t="s">
        <v>2</v>
      </c>
      <c r="F136" s="270" t="s">
        <v>1414</v>
      </c>
      <c r="G136" s="270" t="s">
        <v>1416</v>
      </c>
      <c r="H136" s="270" t="s">
        <v>6</v>
      </c>
      <c r="I136" s="270">
        <v>0</v>
      </c>
      <c r="J136" s="270" t="s">
        <v>409</v>
      </c>
      <c r="K136" s="263">
        <v>1</v>
      </c>
      <c r="L136" s="263" t="str">
        <f ca="1">IFERROR(INDEX(Algorithms!J:J,MATCH($C136&amp;"_Therm Saved per Unit",Algorithms!$A:$A,0)),"n/a")</f>
        <v>5.6.1</v>
      </c>
      <c r="M136" s="263" t="str">
        <f>IFERROR(INDEX('Measure Level Detail'!$N:$N,MATCH($B136,'Measure Level Detail'!$B:$B,0)),0)</f>
        <v>each</v>
      </c>
      <c r="N136" s="271">
        <f>IFERROR(INDEX('Measure Level Detail'!$P:$P,MATCH($B136&amp;"_"&amp;N$3,'Measure Level Detail'!$C:$C,0)),0)</f>
        <v>1000</v>
      </c>
      <c r="O136" s="271">
        <f>IFERROR(INDEX('Measure Level Detail'!$P:$P,MATCH($B136&amp;"_"&amp;O$3,'Measure Level Detail'!$C:$C,0)),0)</f>
        <v>900</v>
      </c>
      <c r="P136" s="271">
        <f>IFERROR(INDEX('Measure Level Detail'!$P:$P,MATCH($B136&amp;"_"&amp;P$3,'Measure Level Detail'!$C:$C,0)),0)</f>
        <v>800</v>
      </c>
      <c r="Q136" s="271">
        <f>IFERROR(INDEX('Measure Level Detail'!$P:$P,MATCH($B136&amp;"_"&amp;Q$3,'Measure Level Detail'!$C:$C,0)),0)</f>
        <v>700</v>
      </c>
      <c r="R136" s="263" t="str">
        <f ca="1">IFERROR(INDEX(Algorithms!K:K,MATCH($C136&amp;"_Therm Saved per Unit",Algorithms!$A:$A,0)),"n/a")</f>
        <v>RS-SHL-AIRS-V13-240101</v>
      </c>
      <c r="S136" s="262"/>
      <c r="T136" s="272">
        <v>6.3544800000000006</v>
      </c>
      <c r="U136" s="272">
        <v>6.3544800000000006</v>
      </c>
      <c r="V136" s="272">
        <v>6.3544800000000006</v>
      </c>
      <c r="W136" s="272">
        <v>6.3544800000000006</v>
      </c>
      <c r="X136" s="276">
        <v>0.88</v>
      </c>
      <c r="Y136" s="276">
        <v>0.88</v>
      </c>
      <c r="Z136" s="276">
        <v>0.88</v>
      </c>
      <c r="AA136" s="276">
        <v>0.88</v>
      </c>
      <c r="AB136" s="266">
        <f t="shared" si="47"/>
        <v>5591.9424000000008</v>
      </c>
      <c r="AC136" s="266">
        <f t="shared" si="48"/>
        <v>5032.7481600000001</v>
      </c>
      <c r="AD136" s="266">
        <f t="shared" si="49"/>
        <v>4473.5539200000003</v>
      </c>
      <c r="AE136" s="266">
        <f t="shared" si="50"/>
        <v>3914.3596800000005</v>
      </c>
      <c r="AF136" s="266">
        <f t="shared" si="51"/>
        <v>19012.604160000003</v>
      </c>
      <c r="AG136" s="274">
        <v>0.88</v>
      </c>
      <c r="AH136" s="274">
        <v>0.88</v>
      </c>
      <c r="AI136" s="710">
        <v>0.99</v>
      </c>
      <c r="AJ136" s="710">
        <v>0.99</v>
      </c>
      <c r="AK136" s="274">
        <f t="shared" si="52"/>
        <v>0.88</v>
      </c>
      <c r="AL136" s="274">
        <f t="shared" si="53"/>
        <v>0.88</v>
      </c>
      <c r="AM136" s="274">
        <f t="shared" si="54"/>
        <v>0.89</v>
      </c>
      <c r="AN136" s="274">
        <f t="shared" si="55"/>
        <v>0.89</v>
      </c>
      <c r="AO136" s="262"/>
      <c r="AP136" s="262"/>
      <c r="AQ136" s="267">
        <v>6.3544800000000006</v>
      </c>
      <c r="AR136" s="262"/>
      <c r="AS136" s="266">
        <f t="shared" si="56"/>
        <v>5591.9424000000008</v>
      </c>
      <c r="AT136" s="264">
        <f t="shared" si="57"/>
        <v>0</v>
      </c>
      <c r="AU136" s="262"/>
      <c r="AV136" s="262"/>
      <c r="AW136" s="265">
        <v>6.3544800000000006</v>
      </c>
      <c r="AX136" s="164" t="s">
        <v>2395</v>
      </c>
      <c r="AY136" s="266">
        <v>5032.7481600000001</v>
      </c>
      <c r="AZ136" s="266">
        <f t="shared" si="58"/>
        <v>5032.7481600000001</v>
      </c>
      <c r="BA136" s="264">
        <f t="shared" si="59"/>
        <v>0</v>
      </c>
      <c r="BB136" s="262"/>
      <c r="BC136" s="262"/>
      <c r="BD136" s="265">
        <f ca="1">IFERROR(INDEX(Algorithms!$G:$G,MATCH($C136&amp;"_Therm Saved per Unit",Algorithms!$A:$A,0)),0)</f>
        <v>6.3544800000000006</v>
      </c>
      <c r="BE136" s="164" t="str">
        <f ca="1">IFERROR(INDEX('v12 Revisions'!$P$29:$P$186, MATCH('Measure-Level Adj Gas'!$L136, 'v12 Revisions'!$D$29:$D$186,0)),"")</f>
        <v>Updated HDD from 5113 to 4798 and shell adjustment factor from 0.72 to 0.76.</v>
      </c>
      <c r="BF136" s="266">
        <f t="shared" ca="1" si="60"/>
        <v>4524.3897600000009</v>
      </c>
      <c r="BG136" s="264">
        <f t="shared" ca="1" si="61"/>
        <v>50.835840000000644</v>
      </c>
      <c r="BH136" s="262"/>
      <c r="BI136" s="262"/>
      <c r="BJ136" s="265">
        <f ca="1">IFERROR(INDEX(Algorithms!$G:$G,MATCH($C136&amp;"_Therm Saved per Unit",Algorithms!$A:$A,0)),0)</f>
        <v>6.3544800000000006</v>
      </c>
      <c r="BK136" s="164"/>
      <c r="BL136" s="266">
        <f t="shared" ca="1" si="62"/>
        <v>3958.8410400000002</v>
      </c>
      <c r="BM136" s="264">
        <f t="shared" ca="1" si="63"/>
        <v>44.481359999999768</v>
      </c>
      <c r="BN136" s="266">
        <f t="shared" si="64"/>
        <v>5591.9424000000008</v>
      </c>
      <c r="BO136" s="266">
        <f t="shared" si="65"/>
        <v>5032.7481600000001</v>
      </c>
      <c r="BP136" s="266">
        <f t="shared" ca="1" si="66"/>
        <v>4524.3897600000009</v>
      </c>
      <c r="BQ136" s="266">
        <f t="shared" ca="1" si="67"/>
        <v>3958.8410400000002</v>
      </c>
      <c r="BR136" s="268">
        <f t="shared" ca="1" si="68"/>
        <v>19107.92136</v>
      </c>
      <c r="BS136" s="262" t="s">
        <v>99</v>
      </c>
      <c r="BT136" s="277"/>
      <c r="BW136" s="266">
        <f t="shared" si="69"/>
        <v>5591.9424000000008</v>
      </c>
      <c r="BX136" s="266">
        <f t="shared" si="70"/>
        <v>5032.7481600000001</v>
      </c>
      <c r="BY136" s="266">
        <f t="shared" si="71"/>
        <v>4473.5539200000003</v>
      </c>
      <c r="BZ136" s="266">
        <f t="shared" si="72"/>
        <v>3914.3596800000005</v>
      </c>
      <c r="CA136" s="266">
        <f ca="1">N136*IFERROR(INDEX(Algorithms!$G:$G,MATCH($C136&amp;"_Therm Saved per Unit- MLA",Algorithms!$A:$A,0)),0)*X136</f>
        <v>0</v>
      </c>
      <c r="CB136" s="266">
        <f ca="1">O136*IFERROR(INDEX(Algorithms!$G:$G,MATCH($C136&amp;"_Therm Saved per Unit- MLA",Algorithms!$A:$A,0)),0)*Y136</f>
        <v>0</v>
      </c>
      <c r="CC136" s="266">
        <f ca="1">P136*IFERROR(INDEX(Algorithms!$G:$G,MATCH($C136&amp;"_Therm Saved per Unit- MLA",Algorithms!$A:$A,0)),0)*Z136</f>
        <v>0</v>
      </c>
      <c r="CD136" s="266">
        <f ca="1">Q136*IFERROR(INDEX(Algorithms!$G:$G,MATCH($C136&amp;"_Therm Saved per Unit- MLA",Algorithms!$A:$A,0)),0)*AA136</f>
        <v>0</v>
      </c>
      <c r="CE136" s="266">
        <f ca="1">IFERROR(INDEX(Algorithms!$G:$G,MATCH($C136&amp;"_Lifetime (years)",Algorithms!$A:$A,0)),0)</f>
        <v>20</v>
      </c>
      <c r="CF136" s="266">
        <f ca="1">IFERROR(INDEX(Algorithms!$G:$G,MATCH($C136&amp;"_Lifetime (years) - Remaining Years",Algorithms!$A:$A,0)),0)</f>
        <v>0</v>
      </c>
      <c r="CG136" s="266">
        <f t="shared" ca="1" si="73"/>
        <v>111838.84800000001</v>
      </c>
      <c r="CH136" s="266">
        <f t="shared" ca="1" si="74"/>
        <v>100654.9632</v>
      </c>
      <c r="CI136" s="266">
        <f t="shared" ca="1" si="75"/>
        <v>89471.078399999999</v>
      </c>
      <c r="CJ136" s="266">
        <f t="shared" ca="1" si="76"/>
        <v>78287.193600000013</v>
      </c>
      <c r="CK136" s="266">
        <f t="shared" si="77"/>
        <v>5591.9424000000008</v>
      </c>
      <c r="CL136" s="266">
        <f t="shared" si="78"/>
        <v>5032.7481600000001</v>
      </c>
      <c r="CM136" s="266">
        <f t="shared" ca="1" si="79"/>
        <v>4473.5539200000003</v>
      </c>
      <c r="CN136" s="266">
        <f t="shared" ca="1" si="80"/>
        <v>3914.3596800000005</v>
      </c>
      <c r="CO136" s="266">
        <f ca="1">N136*IFERROR(INDEX(Algorithms!$G:$G,MATCH($C136&amp;"_Therm Saved per Unit- MLA",Algorithms!$A:$A,0)),0)*X136</f>
        <v>0</v>
      </c>
      <c r="CP136" s="266">
        <f ca="1">O136*IFERROR(INDEX(Algorithms!$G:$G,MATCH($C136&amp;"_Therm Saved per Unit- MLA",Algorithms!$A:$A,0)),0)*Y136</f>
        <v>0</v>
      </c>
      <c r="CQ136" s="266">
        <f ca="1">P136*IFERROR(INDEX(Algorithms!$G:$G,MATCH($C136&amp;"_Therm Saved per Unit- MLA",Algorithms!$A:$A,0)),0)*Z136</f>
        <v>0</v>
      </c>
      <c r="CR136" s="266">
        <f ca="1">Q136*IFERROR(INDEX(Algorithms!$G:$G,MATCH($C136&amp;"_Therm Saved per Unit- MLA",Algorithms!$A:$A,0)),0)*AA136</f>
        <v>0</v>
      </c>
      <c r="CS136" s="266">
        <f ca="1">IFERROR(INDEX(Algorithms!$G:$G,MATCH($C136&amp;"_Lifetime (years)",Algorithms!$A:$A,0)),0)</f>
        <v>20</v>
      </c>
      <c r="CT136" s="266">
        <f ca="1">IFERROR(INDEX(Algorithms!$G:$G,MATCH($C136&amp;"_Lifetime (years) - Remaining Years",Algorithms!$A:$A,0)),0)</f>
        <v>0</v>
      </c>
      <c r="CU136" s="266">
        <f t="shared" ca="1" si="81"/>
        <v>111838.84800000001</v>
      </c>
      <c r="CV136" s="266">
        <f t="shared" ca="1" si="82"/>
        <v>100654.9632</v>
      </c>
      <c r="CW136" s="266">
        <f t="shared" ca="1" si="83"/>
        <v>89471.078399999999</v>
      </c>
      <c r="CX136" s="266">
        <f t="shared" ca="1" si="84"/>
        <v>78287.193600000013</v>
      </c>
    </row>
    <row r="137" spans="2:102" s="47" customFormat="1" ht="18" customHeight="1" x14ac:dyDescent="0.25">
      <c r="B137" t="str">
        <f t="shared" si="85"/>
        <v>NSG_Business_Public Sector_Rebates_Steam Boiler_&gt;=300MBH, &lt;1,500, &gt;=81% AFUE_CI</v>
      </c>
      <c r="C137" s="47" t="str">
        <f t="shared" si="46"/>
        <v>Steam Boiler_&gt;=300MBH, &lt;1,500, &gt;=81% AFUE_CI</v>
      </c>
      <c r="D137" s="270" t="s">
        <v>1787</v>
      </c>
      <c r="E137" s="270" t="s">
        <v>3</v>
      </c>
      <c r="F137" s="270" t="s">
        <v>1430</v>
      </c>
      <c r="G137" s="270" t="s">
        <v>1429</v>
      </c>
      <c r="H137" s="270" t="s">
        <v>938</v>
      </c>
      <c r="I137" s="270" t="s">
        <v>1300</v>
      </c>
      <c r="J137" s="270" t="s">
        <v>1159</v>
      </c>
      <c r="K137" s="263">
        <v>1</v>
      </c>
      <c r="L137" s="263" t="str">
        <f ca="1">IFERROR(INDEX(Algorithms!J:J,MATCH($C137&amp;"_Therm Saved per Unit",Algorithms!$A:$A,0)),"n/a")</f>
        <v>4.4.10</v>
      </c>
      <c r="M137" s="263" t="str">
        <f>IFERROR(INDEX('Measure Level Detail'!$N:$N,MATCH($B137,'Measure Level Detail'!$B:$B,0)),0)</f>
        <v>MBH</v>
      </c>
      <c r="N137" s="271">
        <f>IFERROR(INDEX('Measure Level Detail'!$P:$P,MATCH($B137&amp;"_"&amp;N$3,'Measure Level Detail'!$C:$C,0)),0)</f>
        <v>1000</v>
      </c>
      <c r="O137" s="271">
        <f>IFERROR(INDEX('Measure Level Detail'!$P:$P,MATCH($B137&amp;"_"&amp;O$3,'Measure Level Detail'!$C:$C,0)),0)</f>
        <v>1000</v>
      </c>
      <c r="P137" s="271">
        <f>IFERROR(INDEX('Measure Level Detail'!$P:$P,MATCH($B137&amp;"_"&amp;P$3,'Measure Level Detail'!$C:$C,0)),0)</f>
        <v>1000</v>
      </c>
      <c r="Q137" s="271">
        <f>IFERROR(INDEX('Measure Level Detail'!$P:$P,MATCH($B137&amp;"_"&amp;Q$3,'Measure Level Detail'!$C:$C,0)),0)</f>
        <v>1000</v>
      </c>
      <c r="R137" s="263" t="str">
        <f ca="1">IFERROR(INDEX(Algorithms!K:K,MATCH($C137&amp;"_Therm Saved per Unit",Algorithms!$A:$A,0)),"n/a")</f>
        <v>CI-HVC-BOIL-V11-240101</v>
      </c>
      <c r="S137" s="262"/>
      <c r="T137" s="272">
        <v>0.72402564102563916</v>
      </c>
      <c r="U137" s="272">
        <v>0.72402564102563916</v>
      </c>
      <c r="V137" s="272">
        <v>0.72402564102563916</v>
      </c>
      <c r="W137" s="272">
        <v>0.72402564102563916</v>
      </c>
      <c r="X137" s="276">
        <v>0.92</v>
      </c>
      <c r="Y137" s="276">
        <v>0.92</v>
      </c>
      <c r="Z137" s="276">
        <v>0.92</v>
      </c>
      <c r="AA137" s="276">
        <v>0.92</v>
      </c>
      <c r="AB137" s="266">
        <f t="shared" si="47"/>
        <v>666.10358974358803</v>
      </c>
      <c r="AC137" s="266">
        <f t="shared" si="48"/>
        <v>666.10358974358803</v>
      </c>
      <c r="AD137" s="266">
        <f t="shared" si="49"/>
        <v>666.10358974358803</v>
      </c>
      <c r="AE137" s="266">
        <f t="shared" si="50"/>
        <v>666.10358974358803</v>
      </c>
      <c r="AF137" s="266">
        <f t="shared" si="51"/>
        <v>2664.4143589743521</v>
      </c>
      <c r="AG137" s="274">
        <v>0.92</v>
      </c>
      <c r="AH137" s="274">
        <v>0.92</v>
      </c>
      <c r="AI137" s="274">
        <v>0.92</v>
      </c>
      <c r="AJ137" s="274">
        <v>0.92</v>
      </c>
      <c r="AK137" s="274">
        <f t="shared" si="52"/>
        <v>0.92</v>
      </c>
      <c r="AL137" s="274">
        <f t="shared" si="53"/>
        <v>0.92</v>
      </c>
      <c r="AM137" s="274">
        <f t="shared" si="54"/>
        <v>0.92</v>
      </c>
      <c r="AN137" s="274">
        <f t="shared" si="55"/>
        <v>0.92</v>
      </c>
      <c r="AO137" s="262"/>
      <c r="AP137" s="262"/>
      <c r="AQ137" s="267">
        <v>0.72402564102563916</v>
      </c>
      <c r="AR137" s="262"/>
      <c r="AS137" s="266">
        <f t="shared" si="56"/>
        <v>666.10358974358803</v>
      </c>
      <c r="AT137" s="264">
        <f t="shared" si="57"/>
        <v>0</v>
      </c>
      <c r="AU137" s="262"/>
      <c r="AV137" s="262"/>
      <c r="AW137" s="265">
        <v>0.50460759493670693</v>
      </c>
      <c r="AX137" s="164" t="s">
        <v>1469</v>
      </c>
      <c r="AY137" s="266">
        <v>666.10358974358803</v>
      </c>
      <c r="AZ137" s="266">
        <f t="shared" si="58"/>
        <v>464.23898734177038</v>
      </c>
      <c r="BA137" s="264">
        <f t="shared" si="59"/>
        <v>-201.86460240181765</v>
      </c>
      <c r="BB137" s="262"/>
      <c r="BC137" s="262"/>
      <c r="BD137" s="265">
        <f ca="1">IFERROR(INDEX(Algorithms!$G:$G,MATCH($C137&amp;"_Therm Saved per Unit",Algorithms!$A:$A,0)),0)</f>
        <v>0.41012345679012158</v>
      </c>
      <c r="BE137" s="164" t="str">
        <f ca="1">IFERROR(INDEX('v12 Revisions'!$P$29:$P$186, MATCH('Measure-Level Adj Gas'!$L137, 'v12 Revisions'!$D$29:$D$186,0)),"")</f>
        <v>Updated baseline and efficient boiler efficiency ratings.</v>
      </c>
      <c r="BF137" s="266">
        <f t="shared" ca="1" si="60"/>
        <v>377.31358024691184</v>
      </c>
      <c r="BG137" s="264">
        <f t="shared" ca="1" si="61"/>
        <v>-288.79000949667619</v>
      </c>
      <c r="BH137" s="262"/>
      <c r="BI137" s="262"/>
      <c r="BJ137" s="265">
        <f ca="1">IFERROR(INDEX(Algorithms!$G:$G,MATCH($C137&amp;"_Therm Saved per Unit",Algorithms!$A:$A,0)),0)</f>
        <v>0.41012345679012158</v>
      </c>
      <c r="BK137" s="164"/>
      <c r="BL137" s="266">
        <f t="shared" ca="1" si="62"/>
        <v>377.31358024691184</v>
      </c>
      <c r="BM137" s="264">
        <f t="shared" ca="1" si="63"/>
        <v>-288.79000949667619</v>
      </c>
      <c r="BN137" s="266">
        <f t="shared" si="64"/>
        <v>666.10358974358803</v>
      </c>
      <c r="BO137" s="266">
        <f t="shared" si="65"/>
        <v>464.23898734177038</v>
      </c>
      <c r="BP137" s="266">
        <f t="shared" ca="1" si="66"/>
        <v>377.31358024691184</v>
      </c>
      <c r="BQ137" s="266">
        <f t="shared" ca="1" si="67"/>
        <v>377.31358024691184</v>
      </c>
      <c r="BR137" s="268">
        <f t="shared" ca="1" si="68"/>
        <v>1884.9697375791823</v>
      </c>
      <c r="BS137" s="262" t="s">
        <v>99</v>
      </c>
      <c r="BT137" s="277"/>
      <c r="BW137" s="266">
        <f t="shared" si="69"/>
        <v>666.10358974358803</v>
      </c>
      <c r="BX137" s="266">
        <f t="shared" si="70"/>
        <v>666.10358974358803</v>
      </c>
      <c r="BY137" s="266">
        <f t="shared" si="71"/>
        <v>666.10358974358803</v>
      </c>
      <c r="BZ137" s="266">
        <f t="shared" si="72"/>
        <v>666.10358974358803</v>
      </c>
      <c r="CA137" s="266">
        <f ca="1">N137*IFERROR(INDEX(Algorithms!$G:$G,MATCH($C137&amp;"_Therm Saved per Unit- MLA",Algorithms!$A:$A,0)),0)*X137</f>
        <v>0</v>
      </c>
      <c r="CB137" s="266">
        <f ca="1">O137*IFERROR(INDEX(Algorithms!$G:$G,MATCH($C137&amp;"_Therm Saved per Unit- MLA",Algorithms!$A:$A,0)),0)*Y137</f>
        <v>0</v>
      </c>
      <c r="CC137" s="266">
        <f ca="1">P137*IFERROR(INDEX(Algorithms!$G:$G,MATCH($C137&amp;"_Therm Saved per Unit- MLA",Algorithms!$A:$A,0)),0)*Z137</f>
        <v>0</v>
      </c>
      <c r="CD137" s="266">
        <f ca="1">Q137*IFERROR(INDEX(Algorithms!$G:$G,MATCH($C137&amp;"_Therm Saved per Unit- MLA",Algorithms!$A:$A,0)),0)*AA137</f>
        <v>0</v>
      </c>
      <c r="CE137" s="266">
        <f ca="1">IFERROR(INDEX(Algorithms!$G:$G,MATCH($C137&amp;"_Lifetime (years)",Algorithms!$A:$A,0)),0)</f>
        <v>25</v>
      </c>
      <c r="CF137" s="266">
        <f ca="1">IFERROR(INDEX(Algorithms!$G:$G,MATCH($C137&amp;"_Lifetime (years) - Remaining Years",Algorithms!$A:$A,0)),0)</f>
        <v>0</v>
      </c>
      <c r="CG137" s="266">
        <f t="shared" ca="1" si="73"/>
        <v>16652.589743589702</v>
      </c>
      <c r="CH137" s="266">
        <f t="shared" ca="1" si="74"/>
        <v>16652.589743589702</v>
      </c>
      <c r="CI137" s="266">
        <f t="shared" ca="1" si="75"/>
        <v>16652.589743589702</v>
      </c>
      <c r="CJ137" s="266">
        <f t="shared" ca="1" si="76"/>
        <v>16652.589743589702</v>
      </c>
      <c r="CK137" s="266">
        <f t="shared" si="77"/>
        <v>666.10358974358803</v>
      </c>
      <c r="CL137" s="266">
        <f t="shared" si="78"/>
        <v>464.23898734177038</v>
      </c>
      <c r="CM137" s="266">
        <f t="shared" ca="1" si="79"/>
        <v>377.31358024691184</v>
      </c>
      <c r="CN137" s="266">
        <f t="shared" ca="1" si="80"/>
        <v>377.31358024691184</v>
      </c>
      <c r="CO137" s="266">
        <f ca="1">N137*IFERROR(INDEX(Algorithms!$G:$G,MATCH($C137&amp;"_Therm Saved per Unit- MLA",Algorithms!$A:$A,0)),0)*X137</f>
        <v>0</v>
      </c>
      <c r="CP137" s="266">
        <f ca="1">O137*IFERROR(INDEX(Algorithms!$G:$G,MATCH($C137&amp;"_Therm Saved per Unit- MLA",Algorithms!$A:$A,0)),0)*Y137</f>
        <v>0</v>
      </c>
      <c r="CQ137" s="266">
        <f ca="1">P137*IFERROR(INDEX(Algorithms!$G:$G,MATCH($C137&amp;"_Therm Saved per Unit- MLA",Algorithms!$A:$A,0)),0)*Z137</f>
        <v>0</v>
      </c>
      <c r="CR137" s="266">
        <f ca="1">Q137*IFERROR(INDEX(Algorithms!$G:$G,MATCH($C137&amp;"_Therm Saved per Unit- MLA",Algorithms!$A:$A,0)),0)*AA137</f>
        <v>0</v>
      </c>
      <c r="CS137" s="266">
        <f ca="1">IFERROR(INDEX(Algorithms!$G:$G,MATCH($C137&amp;"_Lifetime (years)",Algorithms!$A:$A,0)),0)</f>
        <v>25</v>
      </c>
      <c r="CT137" s="266">
        <f ca="1">IFERROR(INDEX(Algorithms!$G:$G,MATCH($C137&amp;"_Lifetime (years) - Remaining Years",Algorithms!$A:$A,0)),0)</f>
        <v>0</v>
      </c>
      <c r="CU137" s="266">
        <f t="shared" ca="1" si="81"/>
        <v>16652.589743589702</v>
      </c>
      <c r="CV137" s="266">
        <f t="shared" ca="1" si="82"/>
        <v>11605.97468354426</v>
      </c>
      <c r="CW137" s="266">
        <f t="shared" ca="1" si="83"/>
        <v>9432.8395061727952</v>
      </c>
      <c r="CX137" s="266">
        <f t="shared" ca="1" si="84"/>
        <v>9432.8395061727952</v>
      </c>
    </row>
    <row r="138" spans="2:102" s="47" customFormat="1" ht="18" customHeight="1" x14ac:dyDescent="0.25">
      <c r="B138" t="str">
        <f t="shared" si="85"/>
        <v>NSG_Business_Small/Mid-Size Business_Rebates_Steam Boiler_&gt;=300MBH, &lt;1,500, &gt;=81% AFUE_CI</v>
      </c>
      <c r="C138" s="47" t="str">
        <f t="shared" ref="C138:C201" si="86">H138&amp;"_"&amp;I138&amp;"_"&amp;J138</f>
        <v>Steam Boiler_&gt;=300MBH, &lt;1,500, &gt;=81% AFUE_CI</v>
      </c>
      <c r="D138" s="270" t="s">
        <v>1787</v>
      </c>
      <c r="E138" s="270" t="s">
        <v>3</v>
      </c>
      <c r="F138" s="270" t="s">
        <v>1432</v>
      </c>
      <c r="G138" s="270" t="s">
        <v>1429</v>
      </c>
      <c r="H138" s="270" t="s">
        <v>938</v>
      </c>
      <c r="I138" s="270" t="s">
        <v>1300</v>
      </c>
      <c r="J138" s="270" t="s">
        <v>1159</v>
      </c>
      <c r="K138" s="263">
        <v>1</v>
      </c>
      <c r="L138" s="263" t="str">
        <f ca="1">IFERROR(INDEX(Algorithms!J:J,MATCH($C138&amp;"_Therm Saved per Unit",Algorithms!$A:$A,0)),"n/a")</f>
        <v>4.4.10</v>
      </c>
      <c r="M138" s="263" t="str">
        <f>IFERROR(INDEX('Measure Level Detail'!$N:$N,MATCH($B138,'Measure Level Detail'!$B:$B,0)),0)</f>
        <v>MBH</v>
      </c>
      <c r="N138" s="271">
        <f>IFERROR(INDEX('Measure Level Detail'!$P:$P,MATCH($B138&amp;"_"&amp;N$3,'Measure Level Detail'!$C:$C,0)),0)</f>
        <v>1000</v>
      </c>
      <c r="O138" s="271">
        <f>IFERROR(INDEX('Measure Level Detail'!$P:$P,MATCH($B138&amp;"_"&amp;O$3,'Measure Level Detail'!$C:$C,0)),0)</f>
        <v>1000</v>
      </c>
      <c r="P138" s="271">
        <f>IFERROR(INDEX('Measure Level Detail'!$P:$P,MATCH($B138&amp;"_"&amp;P$3,'Measure Level Detail'!$C:$C,0)),0)</f>
        <v>1000</v>
      </c>
      <c r="Q138" s="271">
        <f>IFERROR(INDEX('Measure Level Detail'!$P:$P,MATCH($B138&amp;"_"&amp;Q$3,'Measure Level Detail'!$C:$C,0)),0)</f>
        <v>1000</v>
      </c>
      <c r="R138" s="263" t="str">
        <f ca="1">IFERROR(INDEX(Algorithms!K:K,MATCH($C138&amp;"_Therm Saved per Unit",Algorithms!$A:$A,0)),"n/a")</f>
        <v>CI-HVC-BOIL-V11-240101</v>
      </c>
      <c r="S138" s="262"/>
      <c r="T138" s="272">
        <v>0.72402564102563916</v>
      </c>
      <c r="U138" s="272">
        <v>0.72402564102563916</v>
      </c>
      <c r="V138" s="272">
        <v>0.72402564102563916</v>
      </c>
      <c r="W138" s="272">
        <v>0.72402564102563916</v>
      </c>
      <c r="X138" s="276">
        <v>0.93</v>
      </c>
      <c r="Y138" s="276">
        <v>0.93</v>
      </c>
      <c r="Z138" s="276">
        <v>0.93</v>
      </c>
      <c r="AA138" s="276">
        <v>0.93</v>
      </c>
      <c r="AB138" s="266">
        <f t="shared" ref="AB138:AB201" si="87">N138*T138*X138</f>
        <v>673.34384615384442</v>
      </c>
      <c r="AC138" s="266">
        <f t="shared" ref="AC138:AC201" si="88">O138*U138*Y138</f>
        <v>673.34384615384442</v>
      </c>
      <c r="AD138" s="266">
        <f t="shared" ref="AD138:AD201" si="89">P138*V138*Z138</f>
        <v>673.34384615384442</v>
      </c>
      <c r="AE138" s="266">
        <f t="shared" ref="AE138:AE201" si="90">Q138*W138*AA138</f>
        <v>673.34384615384442</v>
      </c>
      <c r="AF138" s="266">
        <f t="shared" ref="AF138:AF201" si="91">AB138+AC138+AD138+AE138</f>
        <v>2693.3753846153777</v>
      </c>
      <c r="AG138" s="274">
        <v>0.93</v>
      </c>
      <c r="AH138" s="274">
        <v>0.93</v>
      </c>
      <c r="AI138" s="274">
        <v>0.93</v>
      </c>
      <c r="AJ138" s="274">
        <v>0.93</v>
      </c>
      <c r="AK138" s="274">
        <f t="shared" ref="AK138:AK201" si="92">IF(AG138=X138,X138,
IF(AG138&gt;X138, IF(AG138-X138&gt;IF($E138="Income Eligible",0,10%),X138+(AG138-(X138+IF($E138="Income Eligible",0,10%))),X138),
IF(X138-AG138&gt;IF($E138="Income Eligible",0,10%),X138-((X138-IF($E138="Income Eligible",0,10%))-AG138),X138)))</f>
        <v>0.93</v>
      </c>
      <c r="AL138" s="274">
        <f t="shared" ref="AL138:AL201" si="93">IF(AH138=Y138,Y138,
IF(AH138&gt;Y138, IF(AH138-Y138&gt;IF($E138="Income Eligible",0,10%),Y138+(AH138-(Y138+IF($E138="Income Eligible",0,10%))),Y138),
IF(Y138-AH138&gt;IF($E138="Income Eligible",0,10%),Y138-((Y138-IF($E138="Income Eligible",0,10%))-AH138),Y138)))</f>
        <v>0.93</v>
      </c>
      <c r="AM138" s="274">
        <f t="shared" ref="AM138:AM201" si="94">IF(AI138=Z138,Z138,
IF(AI138&gt;Z138, IF(AI138-Z138&gt;IF($E138="Income Eligible",0,10%),Z138+(AI138-(Z138+IF($E138="Income Eligible",0,10%))),Z138),
IF(Z138-AI138&gt;IF($E138="Income Eligible",0,10%),Z138-((Z138-IF($E138="Income Eligible",0,10%))-AI138),Z138)))</f>
        <v>0.93</v>
      </c>
      <c r="AN138" s="274">
        <f t="shared" ref="AN138:AN201" si="95">IF(AJ138=AA138,AA138,
IF(AJ138&gt;AA138, IF(AJ138-AA138&gt;IF($E138="Income Eligible",0,10%),AA138+(AJ138-(AA138+IF($E138="Income Eligible",0,10%))),AA138),
IF(AA138-AJ138&gt;IF($E138="Income Eligible",0,10%),AA138-((AA138-IF($E138="Income Eligible",0,10%))-AJ138),AA138)))</f>
        <v>0.93</v>
      </c>
      <c r="AO138" s="262"/>
      <c r="AP138" s="262"/>
      <c r="AQ138" s="267">
        <v>0.72402564102563916</v>
      </c>
      <c r="AR138" s="262"/>
      <c r="AS138" s="266">
        <f t="shared" ref="AS138:AS201" si="96">N138*AQ138*AK138</f>
        <v>673.34384615384442</v>
      </c>
      <c r="AT138" s="264">
        <f t="shared" ref="AT138:AT201" si="97">IF(AS138=0,0,AS138-AB138)</f>
        <v>0</v>
      </c>
      <c r="AU138" s="262"/>
      <c r="AV138" s="262"/>
      <c r="AW138" s="265">
        <v>0.50460759493670693</v>
      </c>
      <c r="AX138" s="164" t="s">
        <v>1469</v>
      </c>
      <c r="AY138" s="266">
        <v>673.34384615384442</v>
      </c>
      <c r="AZ138" s="266">
        <f t="shared" ref="AZ138:AZ201" si="98">O138*AW138*AL138</f>
        <v>469.28506329113742</v>
      </c>
      <c r="BA138" s="264">
        <f t="shared" ref="BA138:BA201" si="99">IF(AZ138=0,0,AZ138-AC138)</f>
        <v>-204.05878286270701</v>
      </c>
      <c r="BB138" s="262"/>
      <c r="BC138" s="262"/>
      <c r="BD138" s="265">
        <f ca="1">IFERROR(INDEX(Algorithms!$G:$G,MATCH($C138&amp;"_Therm Saved per Unit",Algorithms!$A:$A,0)),0)</f>
        <v>0.41012345679012158</v>
      </c>
      <c r="BE138" s="164" t="str">
        <f ca="1">IFERROR(INDEX('v12 Revisions'!$P$29:$P$186, MATCH('Measure-Level Adj Gas'!$L138, 'v12 Revisions'!$D$29:$D$186,0)),"")</f>
        <v>Updated baseline and efficient boiler efficiency ratings.</v>
      </c>
      <c r="BF138" s="266">
        <f t="shared" ref="BF138:BF201" ca="1" si="100">P138*BD138*AM138</f>
        <v>381.4148148148131</v>
      </c>
      <c r="BG138" s="264">
        <f t="shared" ref="BG138:BG201" ca="1" si="101">IF(BF138=0,0,BF138-AD138)</f>
        <v>-291.92903133903133</v>
      </c>
      <c r="BH138" s="262"/>
      <c r="BI138" s="262"/>
      <c r="BJ138" s="265">
        <f ca="1">IFERROR(INDEX(Algorithms!$G:$G,MATCH($C138&amp;"_Therm Saved per Unit",Algorithms!$A:$A,0)),0)</f>
        <v>0.41012345679012158</v>
      </c>
      <c r="BK138" s="164"/>
      <c r="BL138" s="266">
        <f t="shared" ref="BL138:BL201" ca="1" si="102">Q138*BJ138*AN138</f>
        <v>381.4148148148131</v>
      </c>
      <c r="BM138" s="264">
        <f t="shared" ref="BM138:BM201" ca="1" si="103">IF(BL138=0,0,BL138-AE138)</f>
        <v>-291.92903133903133</v>
      </c>
      <c r="BN138" s="266">
        <f t="shared" ref="BN138:BN201" si="104">IF(K138=1,AS138,AB138)</f>
        <v>673.34384615384442</v>
      </c>
      <c r="BO138" s="266">
        <f t="shared" ref="BO138:BO201" si="105">IF(K138=1,AZ138,AC138)</f>
        <v>469.28506329113742</v>
      </c>
      <c r="BP138" s="266">
        <f t="shared" ref="BP138:BP201" ca="1" si="106">IF(K138=1,BF138,AD138)</f>
        <v>381.4148148148131</v>
      </c>
      <c r="BQ138" s="266">
        <f t="shared" ref="BQ138:BQ201" ca="1" si="107">IF(K138=1,BL138,AE138)</f>
        <v>381.4148148148131</v>
      </c>
      <c r="BR138" s="268">
        <f t="shared" ref="BR138:BR201" ca="1" si="108">BN138+BO138+BP138+BQ138</f>
        <v>1905.4585390746081</v>
      </c>
      <c r="BS138" s="262" t="s">
        <v>99</v>
      </c>
      <c r="BT138" s="277"/>
      <c r="BW138" s="266">
        <f t="shared" ref="BW138:BW201" si="109">N138*T138*X138</f>
        <v>673.34384615384442</v>
      </c>
      <c r="BX138" s="266">
        <f t="shared" ref="BX138:BX201" si="110">O138*U138*Y138</f>
        <v>673.34384615384442</v>
      </c>
      <c r="BY138" s="266">
        <f t="shared" ref="BY138:BY201" si="111">P138*V138*Z138</f>
        <v>673.34384615384442</v>
      </c>
      <c r="BZ138" s="266">
        <f t="shared" ref="BZ138:BZ201" si="112">Q138*W138*AA138</f>
        <v>673.34384615384442</v>
      </c>
      <c r="CA138" s="266">
        <f ca="1">N138*IFERROR(INDEX(Algorithms!$G:$G,MATCH($C138&amp;"_Therm Saved per Unit- MLA",Algorithms!$A:$A,0)),0)*X138</f>
        <v>0</v>
      </c>
      <c r="CB138" s="266">
        <f ca="1">O138*IFERROR(INDEX(Algorithms!$G:$G,MATCH($C138&amp;"_Therm Saved per Unit- MLA",Algorithms!$A:$A,0)),0)*Y138</f>
        <v>0</v>
      </c>
      <c r="CC138" s="266">
        <f ca="1">P138*IFERROR(INDEX(Algorithms!$G:$G,MATCH($C138&amp;"_Therm Saved per Unit- MLA",Algorithms!$A:$A,0)),0)*Z138</f>
        <v>0</v>
      </c>
      <c r="CD138" s="266">
        <f ca="1">Q138*IFERROR(INDEX(Algorithms!$G:$G,MATCH($C138&amp;"_Therm Saved per Unit- MLA",Algorithms!$A:$A,0)),0)*AA138</f>
        <v>0</v>
      </c>
      <c r="CE138" s="266">
        <f ca="1">IFERROR(INDEX(Algorithms!$G:$G,MATCH($C138&amp;"_Lifetime (years)",Algorithms!$A:$A,0)),0)</f>
        <v>25</v>
      </c>
      <c r="CF138" s="266">
        <f ca="1">IFERROR(INDEX(Algorithms!$G:$G,MATCH($C138&amp;"_Lifetime (years) - Remaining Years",Algorithms!$A:$A,0)),0)</f>
        <v>0</v>
      </c>
      <c r="CG138" s="266">
        <f t="shared" ref="CG138:CG201" ca="1" si="113">IF($CF138=0,(BW138*$CE138),((BW138*$CF138)+(CA138*($CE138-$CF138))))</f>
        <v>16833.596153846112</v>
      </c>
      <c r="CH138" s="266">
        <f t="shared" ref="CH138:CH201" ca="1" si="114">IF($CF138=0,(BX138*$CE138),((BX138*$CF138)+(CB138*($CE138-$CF138))))</f>
        <v>16833.596153846112</v>
      </c>
      <c r="CI138" s="266">
        <f t="shared" ref="CI138:CI201" ca="1" si="115">IF($CF138=0,(BY138*$CE138),((BY138*$CF138)+(CC138*($CE138-$CF138))))</f>
        <v>16833.596153846112</v>
      </c>
      <c r="CJ138" s="266">
        <f t="shared" ref="CJ138:CJ201" ca="1" si="116">IF($CF138=0,(BZ138*$CE138),((BZ138*$CF138)+(CD138*($CE138-$CF138))))</f>
        <v>16833.596153846112</v>
      </c>
      <c r="CK138" s="266">
        <f t="shared" ref="CK138:CK201" si="117">N138*AQ138*X138</f>
        <v>673.34384615384442</v>
      </c>
      <c r="CL138" s="266">
        <f t="shared" ref="CL138:CL201" si="118">O138*AW138*Y138</f>
        <v>469.28506329113742</v>
      </c>
      <c r="CM138" s="266">
        <f t="shared" ref="CM138:CM201" ca="1" si="119">P138*BD138*Z138</f>
        <v>381.4148148148131</v>
      </c>
      <c r="CN138" s="266">
        <f t="shared" ref="CN138:CN201" ca="1" si="120">Q138*BJ138*AA138</f>
        <v>381.4148148148131</v>
      </c>
      <c r="CO138" s="266">
        <f ca="1">N138*IFERROR(INDEX(Algorithms!$G:$G,MATCH($C138&amp;"_Therm Saved per Unit- MLA",Algorithms!$A:$A,0)),0)*X138</f>
        <v>0</v>
      </c>
      <c r="CP138" s="266">
        <f ca="1">O138*IFERROR(INDEX(Algorithms!$G:$G,MATCH($C138&amp;"_Therm Saved per Unit- MLA",Algorithms!$A:$A,0)),0)*Y138</f>
        <v>0</v>
      </c>
      <c r="CQ138" s="266">
        <f ca="1">P138*IFERROR(INDEX(Algorithms!$G:$G,MATCH($C138&amp;"_Therm Saved per Unit- MLA",Algorithms!$A:$A,0)),0)*Z138</f>
        <v>0</v>
      </c>
      <c r="CR138" s="266">
        <f ca="1">Q138*IFERROR(INDEX(Algorithms!$G:$G,MATCH($C138&amp;"_Therm Saved per Unit- MLA",Algorithms!$A:$A,0)),0)*AA138</f>
        <v>0</v>
      </c>
      <c r="CS138" s="266">
        <f ca="1">IFERROR(INDEX(Algorithms!$G:$G,MATCH($C138&amp;"_Lifetime (years)",Algorithms!$A:$A,0)),0)</f>
        <v>25</v>
      </c>
      <c r="CT138" s="266">
        <f ca="1">IFERROR(INDEX(Algorithms!$G:$G,MATCH($C138&amp;"_Lifetime (years) - Remaining Years",Algorithms!$A:$A,0)),0)</f>
        <v>0</v>
      </c>
      <c r="CU138" s="266">
        <f t="shared" ref="CU138:CU201" ca="1" si="121">IF($CT138=0,(CK138*$CS138),((CK138*$CT138)+(CO138*($CS138-$CT138))))</f>
        <v>16833.596153846112</v>
      </c>
      <c r="CV138" s="266">
        <f t="shared" ref="CV138:CV201" ca="1" si="122">IF($CT138=0,(CL138*$CS138),((CL138*$CT138)+(CP138*($CS138-$CT138))))</f>
        <v>11732.126582278435</v>
      </c>
      <c r="CW138" s="266">
        <f t="shared" ref="CW138:CW201" ca="1" si="123">IF($CT138=0,(CM138*$CS138),((CM138*$CT138)+(CQ138*($CS138-$CT138))))</f>
        <v>9535.3703703703268</v>
      </c>
      <c r="CX138" s="266">
        <f t="shared" ref="CX138:CX201" ca="1" si="124">IF($CT138=0,(CN138*$CS138),((CN138*$CT138)+(CR138*($CS138-$CT138))))</f>
        <v>9535.3703703703268</v>
      </c>
    </row>
    <row r="139" spans="2:102" s="47" customFormat="1" ht="18" customHeight="1" x14ac:dyDescent="0.25">
      <c r="B139" t="str">
        <f t="shared" ref="B139:B202" si="125">D139&amp;"_"&amp;E139&amp;"_"&amp;F139&amp;"_"&amp;G139&amp;"_"&amp;H139&amp;"_"&amp;I139&amp;"_"&amp;J139</f>
        <v>NSG_Business_Small/Mid-Size Business_Partner Trade Ally Rebate_Steam Boiler_&gt;=300MBH, &lt;1,500, &gt;=81% AFUE_CI</v>
      </c>
      <c r="C139" s="47" t="str">
        <f t="shared" si="86"/>
        <v>Steam Boiler_&gt;=300MBH, &lt;1,500, &gt;=81% AFUE_CI</v>
      </c>
      <c r="D139" s="270" t="s">
        <v>1787</v>
      </c>
      <c r="E139" s="270" t="s">
        <v>3</v>
      </c>
      <c r="F139" s="270" t="s">
        <v>1432</v>
      </c>
      <c r="G139" s="270" t="s">
        <v>1799</v>
      </c>
      <c r="H139" s="270" t="s">
        <v>938</v>
      </c>
      <c r="I139" s="270" t="s">
        <v>1300</v>
      </c>
      <c r="J139" s="270" t="s">
        <v>1159</v>
      </c>
      <c r="K139" s="263">
        <v>1</v>
      </c>
      <c r="L139" s="263" t="str">
        <f ca="1">IFERROR(INDEX(Algorithms!J:J,MATCH($C139&amp;"_Therm Saved per Unit",Algorithms!$A:$A,0)),"n/a")</f>
        <v>4.4.10</v>
      </c>
      <c r="M139" s="263" t="str">
        <f>IFERROR(INDEX('Measure Level Detail'!$N:$N,MATCH($B139,'Measure Level Detail'!$B:$B,0)),0)</f>
        <v>MBH</v>
      </c>
      <c r="N139" s="271">
        <f>IFERROR(INDEX('Measure Level Detail'!$P:$P,MATCH($B139&amp;"_"&amp;N$3,'Measure Level Detail'!$C:$C,0)),0)</f>
        <v>1000</v>
      </c>
      <c r="O139" s="271">
        <f>IFERROR(INDEX('Measure Level Detail'!$P:$P,MATCH($B139&amp;"_"&amp;O$3,'Measure Level Detail'!$C:$C,0)),0)</f>
        <v>1000</v>
      </c>
      <c r="P139" s="271">
        <f>IFERROR(INDEX('Measure Level Detail'!$P:$P,MATCH($B139&amp;"_"&amp;P$3,'Measure Level Detail'!$C:$C,0)),0)</f>
        <v>1000</v>
      </c>
      <c r="Q139" s="271">
        <f>IFERROR(INDEX('Measure Level Detail'!$P:$P,MATCH($B139&amp;"_"&amp;Q$3,'Measure Level Detail'!$C:$C,0)),0)</f>
        <v>1000</v>
      </c>
      <c r="R139" s="263" t="str">
        <f ca="1">IFERROR(INDEX(Algorithms!K:K,MATCH($C139&amp;"_Therm Saved per Unit",Algorithms!$A:$A,0)),"n/a")</f>
        <v>CI-HVC-BOIL-V11-240101</v>
      </c>
      <c r="S139" s="262"/>
      <c r="T139" s="272">
        <v>0.72402564102563916</v>
      </c>
      <c r="U139" s="272">
        <v>0.72402564102563916</v>
      </c>
      <c r="V139" s="272">
        <v>0.72402564102563916</v>
      </c>
      <c r="W139" s="272">
        <v>0.72402564102563916</v>
      </c>
      <c r="X139" s="276">
        <v>0.93</v>
      </c>
      <c r="Y139" s="276">
        <v>0.93</v>
      </c>
      <c r="Z139" s="276">
        <v>0.93</v>
      </c>
      <c r="AA139" s="276">
        <v>0.93</v>
      </c>
      <c r="AB139" s="266">
        <f t="shared" si="87"/>
        <v>673.34384615384442</v>
      </c>
      <c r="AC139" s="266">
        <f t="shared" si="88"/>
        <v>673.34384615384442</v>
      </c>
      <c r="AD139" s="266">
        <f t="shared" si="89"/>
        <v>673.34384615384442</v>
      </c>
      <c r="AE139" s="266">
        <f t="shared" si="90"/>
        <v>673.34384615384442</v>
      </c>
      <c r="AF139" s="266">
        <f t="shared" si="91"/>
        <v>2693.3753846153777</v>
      </c>
      <c r="AG139" s="274">
        <v>0.93</v>
      </c>
      <c r="AH139" s="274">
        <v>0.93</v>
      </c>
      <c r="AI139" s="274">
        <v>0.93</v>
      </c>
      <c r="AJ139" s="274">
        <v>0.93</v>
      </c>
      <c r="AK139" s="274">
        <f t="shared" si="92"/>
        <v>0.93</v>
      </c>
      <c r="AL139" s="274">
        <f t="shared" si="93"/>
        <v>0.93</v>
      </c>
      <c r="AM139" s="274">
        <f t="shared" si="94"/>
        <v>0.93</v>
      </c>
      <c r="AN139" s="274">
        <f t="shared" si="95"/>
        <v>0.93</v>
      </c>
      <c r="AO139" s="262"/>
      <c r="AP139" s="262"/>
      <c r="AQ139" s="267">
        <v>0.72402564102563916</v>
      </c>
      <c r="AR139" s="262"/>
      <c r="AS139" s="266">
        <f t="shared" si="96"/>
        <v>673.34384615384442</v>
      </c>
      <c r="AT139" s="264">
        <f t="shared" si="97"/>
        <v>0</v>
      </c>
      <c r="AU139" s="262"/>
      <c r="AV139" s="262"/>
      <c r="AW139" s="265">
        <v>0.50460759493670693</v>
      </c>
      <c r="AX139" s="164" t="s">
        <v>1469</v>
      </c>
      <c r="AY139" s="266">
        <v>673.34384615384442</v>
      </c>
      <c r="AZ139" s="266">
        <f t="shared" si="98"/>
        <v>469.28506329113742</v>
      </c>
      <c r="BA139" s="264">
        <f t="shared" si="99"/>
        <v>-204.05878286270701</v>
      </c>
      <c r="BB139" s="262"/>
      <c r="BC139" s="262"/>
      <c r="BD139" s="265">
        <f ca="1">IFERROR(INDEX(Algorithms!$G:$G,MATCH($C139&amp;"_Therm Saved per Unit",Algorithms!$A:$A,0)),0)</f>
        <v>0.41012345679012158</v>
      </c>
      <c r="BE139" s="164" t="str">
        <f ca="1">IFERROR(INDEX('v12 Revisions'!$P$29:$P$186, MATCH('Measure-Level Adj Gas'!$L139, 'v12 Revisions'!$D$29:$D$186,0)),"")</f>
        <v>Updated baseline and efficient boiler efficiency ratings.</v>
      </c>
      <c r="BF139" s="266">
        <f t="shared" ca="1" si="100"/>
        <v>381.4148148148131</v>
      </c>
      <c r="BG139" s="264">
        <f t="shared" ca="1" si="101"/>
        <v>-291.92903133903133</v>
      </c>
      <c r="BH139" s="262"/>
      <c r="BI139" s="262"/>
      <c r="BJ139" s="265">
        <f ca="1">IFERROR(INDEX(Algorithms!$G:$G,MATCH($C139&amp;"_Therm Saved per Unit",Algorithms!$A:$A,0)),0)</f>
        <v>0.41012345679012158</v>
      </c>
      <c r="BK139" s="164"/>
      <c r="BL139" s="266">
        <f t="shared" ca="1" si="102"/>
        <v>381.4148148148131</v>
      </c>
      <c r="BM139" s="264">
        <f t="shared" ca="1" si="103"/>
        <v>-291.92903133903133</v>
      </c>
      <c r="BN139" s="266">
        <f t="shared" si="104"/>
        <v>673.34384615384442</v>
      </c>
      <c r="BO139" s="266">
        <f t="shared" si="105"/>
        <v>469.28506329113742</v>
      </c>
      <c r="BP139" s="266">
        <f t="shared" ca="1" si="106"/>
        <v>381.4148148148131</v>
      </c>
      <c r="BQ139" s="266">
        <f t="shared" ca="1" si="107"/>
        <v>381.4148148148131</v>
      </c>
      <c r="BR139" s="268">
        <f t="shared" ca="1" si="108"/>
        <v>1905.4585390746081</v>
      </c>
      <c r="BS139" s="262" t="s">
        <v>99</v>
      </c>
      <c r="BT139" s="277"/>
      <c r="BW139" s="266">
        <f t="shared" si="109"/>
        <v>673.34384615384442</v>
      </c>
      <c r="BX139" s="266">
        <f t="shared" si="110"/>
        <v>673.34384615384442</v>
      </c>
      <c r="BY139" s="266">
        <f t="shared" si="111"/>
        <v>673.34384615384442</v>
      </c>
      <c r="BZ139" s="266">
        <f t="shared" si="112"/>
        <v>673.34384615384442</v>
      </c>
      <c r="CA139" s="266">
        <f ca="1">N139*IFERROR(INDEX(Algorithms!$G:$G,MATCH($C139&amp;"_Therm Saved per Unit- MLA",Algorithms!$A:$A,0)),0)*X139</f>
        <v>0</v>
      </c>
      <c r="CB139" s="266">
        <f ca="1">O139*IFERROR(INDEX(Algorithms!$G:$G,MATCH($C139&amp;"_Therm Saved per Unit- MLA",Algorithms!$A:$A,0)),0)*Y139</f>
        <v>0</v>
      </c>
      <c r="CC139" s="266">
        <f ca="1">P139*IFERROR(INDEX(Algorithms!$G:$G,MATCH($C139&amp;"_Therm Saved per Unit- MLA",Algorithms!$A:$A,0)),0)*Z139</f>
        <v>0</v>
      </c>
      <c r="CD139" s="266">
        <f ca="1">Q139*IFERROR(INDEX(Algorithms!$G:$G,MATCH($C139&amp;"_Therm Saved per Unit- MLA",Algorithms!$A:$A,0)),0)*AA139</f>
        <v>0</v>
      </c>
      <c r="CE139" s="266">
        <f ca="1">IFERROR(INDEX(Algorithms!$G:$G,MATCH($C139&amp;"_Lifetime (years)",Algorithms!$A:$A,0)),0)</f>
        <v>25</v>
      </c>
      <c r="CF139" s="266">
        <f ca="1">IFERROR(INDEX(Algorithms!$G:$G,MATCH($C139&amp;"_Lifetime (years) - Remaining Years",Algorithms!$A:$A,0)),0)</f>
        <v>0</v>
      </c>
      <c r="CG139" s="266">
        <f t="shared" ca="1" si="113"/>
        <v>16833.596153846112</v>
      </c>
      <c r="CH139" s="266">
        <f t="shared" ca="1" si="114"/>
        <v>16833.596153846112</v>
      </c>
      <c r="CI139" s="266">
        <f t="shared" ca="1" si="115"/>
        <v>16833.596153846112</v>
      </c>
      <c r="CJ139" s="266">
        <f t="shared" ca="1" si="116"/>
        <v>16833.596153846112</v>
      </c>
      <c r="CK139" s="266">
        <f t="shared" si="117"/>
        <v>673.34384615384442</v>
      </c>
      <c r="CL139" s="266">
        <f t="shared" si="118"/>
        <v>469.28506329113742</v>
      </c>
      <c r="CM139" s="266">
        <f t="shared" ca="1" si="119"/>
        <v>381.4148148148131</v>
      </c>
      <c r="CN139" s="266">
        <f t="shared" ca="1" si="120"/>
        <v>381.4148148148131</v>
      </c>
      <c r="CO139" s="266">
        <f ca="1">N139*IFERROR(INDEX(Algorithms!$G:$G,MATCH($C139&amp;"_Therm Saved per Unit- MLA",Algorithms!$A:$A,0)),0)*X139</f>
        <v>0</v>
      </c>
      <c r="CP139" s="266">
        <f ca="1">O139*IFERROR(INDEX(Algorithms!$G:$G,MATCH($C139&amp;"_Therm Saved per Unit- MLA",Algorithms!$A:$A,0)),0)*Y139</f>
        <v>0</v>
      </c>
      <c r="CQ139" s="266">
        <f ca="1">P139*IFERROR(INDEX(Algorithms!$G:$G,MATCH($C139&amp;"_Therm Saved per Unit- MLA",Algorithms!$A:$A,0)),0)*Z139</f>
        <v>0</v>
      </c>
      <c r="CR139" s="266">
        <f ca="1">Q139*IFERROR(INDEX(Algorithms!$G:$G,MATCH($C139&amp;"_Therm Saved per Unit- MLA",Algorithms!$A:$A,0)),0)*AA139</f>
        <v>0</v>
      </c>
      <c r="CS139" s="266">
        <f ca="1">IFERROR(INDEX(Algorithms!$G:$G,MATCH($C139&amp;"_Lifetime (years)",Algorithms!$A:$A,0)),0)</f>
        <v>25</v>
      </c>
      <c r="CT139" s="266">
        <f ca="1">IFERROR(INDEX(Algorithms!$G:$G,MATCH($C139&amp;"_Lifetime (years) - Remaining Years",Algorithms!$A:$A,0)),0)</f>
        <v>0</v>
      </c>
      <c r="CU139" s="266">
        <f t="shared" ca="1" si="121"/>
        <v>16833.596153846112</v>
      </c>
      <c r="CV139" s="266">
        <f t="shared" ca="1" si="122"/>
        <v>11732.126582278435</v>
      </c>
      <c r="CW139" s="266">
        <f t="shared" ca="1" si="123"/>
        <v>9535.3703703703268</v>
      </c>
      <c r="CX139" s="266">
        <f t="shared" ca="1" si="124"/>
        <v>9535.3703703703268</v>
      </c>
    </row>
    <row r="140" spans="2:102" s="47" customFormat="1" ht="18" customHeight="1" x14ac:dyDescent="0.25">
      <c r="B140" t="str">
        <f t="shared" si="125"/>
        <v>NSG_Business_C&amp;I_Rebates_Steam Traps_Test_CI</v>
      </c>
      <c r="C140" s="47" t="str">
        <f t="shared" si="86"/>
        <v>Steam Traps_Test_CI</v>
      </c>
      <c r="D140" s="270" t="s">
        <v>1787</v>
      </c>
      <c r="E140" s="270" t="s">
        <v>3</v>
      </c>
      <c r="F140" s="270" t="s">
        <v>1427</v>
      </c>
      <c r="G140" s="270" t="s">
        <v>1429</v>
      </c>
      <c r="H140" s="270" t="s">
        <v>644</v>
      </c>
      <c r="I140" s="270" t="s">
        <v>1097</v>
      </c>
      <c r="J140" s="270" t="s">
        <v>1159</v>
      </c>
      <c r="K140" s="263">
        <v>1</v>
      </c>
      <c r="L140" s="263">
        <f ca="1">IFERROR(INDEX(Algorithms!J:J,MATCH($C140&amp;"_Therm Saved per Unit",Algorithms!$A:$A,0)),"n/a")</f>
        <v>0</v>
      </c>
      <c r="M140" s="263" t="str">
        <f>IFERROR(INDEX('Measure Level Detail'!$N:$N,MATCH($B140,'Measure Level Detail'!$B:$B,0)),0)</f>
        <v>each</v>
      </c>
      <c r="N140" s="271">
        <f>IFERROR(INDEX('Measure Level Detail'!$P:$P,MATCH($B140&amp;"_"&amp;N$3,'Measure Level Detail'!$C:$C,0)),0)</f>
        <v>850</v>
      </c>
      <c r="O140" s="271">
        <f>IFERROR(INDEX('Measure Level Detail'!$P:$P,MATCH($B140&amp;"_"&amp;O$3,'Measure Level Detail'!$C:$C,0)),0)</f>
        <v>800</v>
      </c>
      <c r="P140" s="271">
        <f>IFERROR(INDEX('Measure Level Detail'!$P:$P,MATCH($B140&amp;"_"&amp;P$3,'Measure Level Detail'!$C:$C,0)),0)</f>
        <v>700</v>
      </c>
      <c r="Q140" s="271">
        <f>IFERROR(INDEX('Measure Level Detail'!$P:$P,MATCH($B140&amp;"_"&amp;Q$3,'Measure Level Detail'!$C:$C,0)),0)</f>
        <v>680</v>
      </c>
      <c r="R140" s="263">
        <f ca="1">IFERROR(INDEX(Algorithms!K:K,MATCH($C140&amp;"_Therm Saved per Unit",Algorithms!$A:$A,0)),"n/a")</f>
        <v>0</v>
      </c>
      <c r="S140" s="262"/>
      <c r="T140" s="272">
        <v>0</v>
      </c>
      <c r="U140" s="272">
        <v>0</v>
      </c>
      <c r="V140" s="272">
        <v>0</v>
      </c>
      <c r="W140" s="272">
        <v>0</v>
      </c>
      <c r="X140" s="273">
        <f>IFERROR(INDEX('Measure Level Detail'!$R:$R,MATCH($B140&amp;"_"&amp;X$3,'Measure Level Detail'!$C:$C,0)),0)</f>
        <v>0.91</v>
      </c>
      <c r="Y140" s="273">
        <f>IFERROR(INDEX('Measure Level Detail'!$R:$R,MATCH($B140&amp;"_"&amp;Y$3,'Measure Level Detail'!$C:$C,0)),0)</f>
        <v>0.91</v>
      </c>
      <c r="Z140" s="273">
        <f>IFERROR(INDEX('Measure Level Detail'!$R:$R,MATCH($B140&amp;"_"&amp;Z$3,'Measure Level Detail'!$C:$C,0)),0)</f>
        <v>0.91</v>
      </c>
      <c r="AA140" s="273">
        <f>IFERROR(INDEX('Measure Level Detail'!$R:$R,MATCH($B140&amp;"_"&amp;AA$3,'Measure Level Detail'!$C:$C,0)),0)</f>
        <v>0.91</v>
      </c>
      <c r="AB140" s="266">
        <f t="shared" si="87"/>
        <v>0</v>
      </c>
      <c r="AC140" s="266">
        <f t="shared" si="88"/>
        <v>0</v>
      </c>
      <c r="AD140" s="266">
        <f t="shared" si="89"/>
        <v>0</v>
      </c>
      <c r="AE140" s="266">
        <f t="shared" si="90"/>
        <v>0</v>
      </c>
      <c r="AF140" s="266">
        <f t="shared" si="91"/>
        <v>0</v>
      </c>
      <c r="AG140" s="274">
        <v>0.91</v>
      </c>
      <c r="AH140" s="274">
        <v>0.91</v>
      </c>
      <c r="AI140" s="274">
        <v>0.91</v>
      </c>
      <c r="AJ140" s="274">
        <v>0.91</v>
      </c>
      <c r="AK140" s="274">
        <f t="shared" si="92"/>
        <v>0.91</v>
      </c>
      <c r="AL140" s="274">
        <f t="shared" si="93"/>
        <v>0.91</v>
      </c>
      <c r="AM140" s="274">
        <f t="shared" si="94"/>
        <v>0.91</v>
      </c>
      <c r="AN140" s="274">
        <f t="shared" si="95"/>
        <v>0.91</v>
      </c>
      <c r="AO140" s="262"/>
      <c r="AP140" s="262"/>
      <c r="AQ140" s="267">
        <v>0</v>
      </c>
      <c r="AR140" s="262"/>
      <c r="AS140" s="266">
        <f t="shared" si="96"/>
        <v>0</v>
      </c>
      <c r="AT140" s="264">
        <f t="shared" si="97"/>
        <v>0</v>
      </c>
      <c r="AU140" s="262"/>
      <c r="AV140" s="262"/>
      <c r="AW140" s="265">
        <v>0</v>
      </c>
      <c r="AX140" s="164" t="s">
        <v>1469</v>
      </c>
      <c r="AY140" s="266">
        <v>0</v>
      </c>
      <c r="AZ140" s="266">
        <f t="shared" si="98"/>
        <v>0</v>
      </c>
      <c r="BA140" s="264">
        <f t="shared" si="99"/>
        <v>0</v>
      </c>
      <c r="BB140" s="262"/>
      <c r="BC140" s="262"/>
      <c r="BD140" s="265">
        <f ca="1">IFERROR(INDEX(Algorithms!$G:$G,MATCH($C140&amp;"_Therm Saved per Unit",Algorithms!$A:$A,0)),0)</f>
        <v>0</v>
      </c>
      <c r="BE140" s="164" t="str">
        <f ca="1">IFERROR(INDEX('v12 Revisions'!$P$29:$P$186, MATCH('Measure-Level Adj Gas'!$L140, 'v12 Revisions'!$D$29:$D$186,0)),"")</f>
        <v/>
      </c>
      <c r="BF140" s="266">
        <f t="shared" ca="1" si="100"/>
        <v>0</v>
      </c>
      <c r="BG140" s="264">
        <f t="shared" ca="1" si="101"/>
        <v>0</v>
      </c>
      <c r="BH140" s="262"/>
      <c r="BI140" s="262"/>
      <c r="BJ140" s="265">
        <f ca="1">IFERROR(INDEX(Algorithms!$G:$G,MATCH($C140&amp;"_Therm Saved per Unit",Algorithms!$A:$A,0)),0)</f>
        <v>0</v>
      </c>
      <c r="BK140" s="164"/>
      <c r="BL140" s="266">
        <f t="shared" ca="1" si="102"/>
        <v>0</v>
      </c>
      <c r="BM140" s="264">
        <f t="shared" ca="1" si="103"/>
        <v>0</v>
      </c>
      <c r="BN140" s="266">
        <f t="shared" si="104"/>
        <v>0</v>
      </c>
      <c r="BO140" s="266">
        <f t="shared" si="105"/>
        <v>0</v>
      </c>
      <c r="BP140" s="266">
        <f t="shared" ca="1" si="106"/>
        <v>0</v>
      </c>
      <c r="BQ140" s="266">
        <f t="shared" ca="1" si="107"/>
        <v>0</v>
      </c>
      <c r="BR140" s="268">
        <f t="shared" ca="1" si="108"/>
        <v>0</v>
      </c>
      <c r="BS140" s="262" t="s">
        <v>99</v>
      </c>
      <c r="BT140" s="277"/>
      <c r="BW140" s="266">
        <f t="shared" si="109"/>
        <v>0</v>
      </c>
      <c r="BX140" s="266">
        <f t="shared" si="110"/>
        <v>0</v>
      </c>
      <c r="BY140" s="266">
        <f t="shared" si="111"/>
        <v>0</v>
      </c>
      <c r="BZ140" s="266">
        <f t="shared" si="112"/>
        <v>0</v>
      </c>
      <c r="CA140" s="266">
        <f ca="1">N140*IFERROR(INDEX(Algorithms!$G:$G,MATCH($C140&amp;"_Therm Saved per Unit- MLA",Algorithms!$A:$A,0)),0)*X140</f>
        <v>0</v>
      </c>
      <c r="CB140" s="266">
        <f ca="1">O140*IFERROR(INDEX(Algorithms!$G:$G,MATCH($C140&amp;"_Therm Saved per Unit- MLA",Algorithms!$A:$A,0)),0)*Y140</f>
        <v>0</v>
      </c>
      <c r="CC140" s="266">
        <f ca="1">P140*IFERROR(INDEX(Algorithms!$G:$G,MATCH($C140&amp;"_Therm Saved per Unit- MLA",Algorithms!$A:$A,0)),0)*Z140</f>
        <v>0</v>
      </c>
      <c r="CD140" s="266">
        <f ca="1">Q140*IFERROR(INDEX(Algorithms!$G:$G,MATCH($C140&amp;"_Therm Saved per Unit- MLA",Algorithms!$A:$A,0)),0)*AA140</f>
        <v>0</v>
      </c>
      <c r="CE140" s="266">
        <f ca="1">IFERROR(INDEX(Algorithms!$G:$G,MATCH($C140&amp;"_Lifetime (years)",Algorithms!$A:$A,0)),0)</f>
        <v>3</v>
      </c>
      <c r="CF140" s="266">
        <f ca="1">IFERROR(INDEX(Algorithms!$G:$G,MATCH($C140&amp;"_Lifetime (years) - Remaining Years",Algorithms!$A:$A,0)),0)</f>
        <v>0</v>
      </c>
      <c r="CG140" s="266">
        <f t="shared" ca="1" si="113"/>
        <v>0</v>
      </c>
      <c r="CH140" s="266">
        <f t="shared" ca="1" si="114"/>
        <v>0</v>
      </c>
      <c r="CI140" s="266">
        <f t="shared" ca="1" si="115"/>
        <v>0</v>
      </c>
      <c r="CJ140" s="266">
        <f t="shared" ca="1" si="116"/>
        <v>0</v>
      </c>
      <c r="CK140" s="266">
        <f t="shared" si="117"/>
        <v>0</v>
      </c>
      <c r="CL140" s="266">
        <f t="shared" si="118"/>
        <v>0</v>
      </c>
      <c r="CM140" s="266">
        <f t="shared" ca="1" si="119"/>
        <v>0</v>
      </c>
      <c r="CN140" s="266">
        <f t="shared" ca="1" si="120"/>
        <v>0</v>
      </c>
      <c r="CO140" s="266">
        <f ca="1">N140*IFERROR(INDEX(Algorithms!$G:$G,MATCH($C140&amp;"_Therm Saved per Unit- MLA",Algorithms!$A:$A,0)),0)*X140</f>
        <v>0</v>
      </c>
      <c r="CP140" s="266">
        <f ca="1">O140*IFERROR(INDEX(Algorithms!$G:$G,MATCH($C140&amp;"_Therm Saved per Unit- MLA",Algorithms!$A:$A,0)),0)*Y140</f>
        <v>0</v>
      </c>
      <c r="CQ140" s="266">
        <f ca="1">P140*IFERROR(INDEX(Algorithms!$G:$G,MATCH($C140&amp;"_Therm Saved per Unit- MLA",Algorithms!$A:$A,0)),0)*Z140</f>
        <v>0</v>
      </c>
      <c r="CR140" s="266">
        <f ca="1">Q140*IFERROR(INDEX(Algorithms!$G:$G,MATCH($C140&amp;"_Therm Saved per Unit- MLA",Algorithms!$A:$A,0)),0)*AA140</f>
        <v>0</v>
      </c>
      <c r="CS140" s="266">
        <f ca="1">IFERROR(INDEX(Algorithms!$G:$G,MATCH($C140&amp;"_Lifetime (years)",Algorithms!$A:$A,0)),0)</f>
        <v>3</v>
      </c>
      <c r="CT140" s="266">
        <f ca="1">IFERROR(INDEX(Algorithms!$G:$G,MATCH($C140&amp;"_Lifetime (years) - Remaining Years",Algorithms!$A:$A,0)),0)</f>
        <v>0</v>
      </c>
      <c r="CU140" s="266">
        <f t="shared" ca="1" si="121"/>
        <v>0</v>
      </c>
      <c r="CV140" s="266">
        <f t="shared" ca="1" si="122"/>
        <v>0</v>
      </c>
      <c r="CW140" s="266">
        <f t="shared" ca="1" si="123"/>
        <v>0</v>
      </c>
      <c r="CX140" s="266">
        <f t="shared" ca="1" si="124"/>
        <v>0</v>
      </c>
    </row>
    <row r="141" spans="2:102" s="47" customFormat="1" ht="18" customHeight="1" x14ac:dyDescent="0.25">
      <c r="B141" t="str">
        <f t="shared" si="125"/>
        <v>NSG_Income Eligible_Multi-Family_Whole Building - Prescriptive_Boiler Tune Up_Space Heating_MF</v>
      </c>
      <c r="C141" s="47" t="str">
        <f t="shared" si="86"/>
        <v>Boiler Tune Up_Space Heating_MF</v>
      </c>
      <c r="D141" s="270" t="s">
        <v>1787</v>
      </c>
      <c r="E141" s="270" t="s">
        <v>325</v>
      </c>
      <c r="F141" s="270" t="s">
        <v>1422</v>
      </c>
      <c r="G141" s="270" t="s">
        <v>1813</v>
      </c>
      <c r="H141" s="270" t="s">
        <v>906</v>
      </c>
      <c r="I141" s="270" t="s">
        <v>907</v>
      </c>
      <c r="J141" s="270" t="s">
        <v>553</v>
      </c>
      <c r="K141" s="263">
        <v>1</v>
      </c>
      <c r="L141" s="263" t="str">
        <f ca="1">IFERROR(INDEX(Algorithms!J:J,MATCH($C141&amp;"_Therm Saved per Unit",Algorithms!$A:$A,0)),"n/a")</f>
        <v>4.4.2</v>
      </c>
      <c r="M141" s="263" t="str">
        <f>IFERROR(INDEX('Measure Level Detail'!$N:$N,MATCH($B141,'Measure Level Detail'!$B:$B,0)),0)</f>
        <v>MBH</v>
      </c>
      <c r="N141" s="271">
        <f>IFERROR(INDEX('Measure Level Detail'!$P:$P,MATCH($B141&amp;"_"&amp;N$3,'Measure Level Detail'!$C:$C,0)),0)</f>
        <v>800</v>
      </c>
      <c r="O141" s="271">
        <f>IFERROR(INDEX('Measure Level Detail'!$P:$P,MATCH($B141&amp;"_"&amp;O$3,'Measure Level Detail'!$C:$C,0)),0)</f>
        <v>800</v>
      </c>
      <c r="P141" s="271">
        <f>IFERROR(INDEX('Measure Level Detail'!$P:$P,MATCH($B141&amp;"_"&amp;P$3,'Measure Level Detail'!$C:$C,0)),0)</f>
        <v>800</v>
      </c>
      <c r="Q141" s="271">
        <f>IFERROR(INDEX('Measure Level Detail'!$P:$P,MATCH($B141&amp;"_"&amp;Q$3,'Measure Level Detail'!$C:$C,0)),0)</f>
        <v>800</v>
      </c>
      <c r="R141" s="263" t="str">
        <f ca="1">IFERROR(INDEX(Algorithms!K:K,MATCH($C141&amp;"_Therm Saved per Unit",Algorithms!$A:$A,0)),"n/a")</f>
        <v>CI-HVC-BLRT-V07-210101</v>
      </c>
      <c r="S141" s="262"/>
      <c r="T141" s="272">
        <v>0.46874846625766969</v>
      </c>
      <c r="U141" s="272">
        <v>0.46874846625766969</v>
      </c>
      <c r="V141" s="272">
        <v>0.46874846625766969</v>
      </c>
      <c r="W141" s="272">
        <v>0.46874846625766969</v>
      </c>
      <c r="X141" s="273">
        <f>IFERROR(INDEX('Measure Level Detail'!$R:$R,MATCH($B141&amp;"_"&amp;X$3,'Measure Level Detail'!$C:$C,0)),0)</f>
        <v>1</v>
      </c>
      <c r="Y141" s="273">
        <f>IFERROR(INDEX('Measure Level Detail'!$R:$R,MATCH($B141&amp;"_"&amp;Y$3,'Measure Level Detail'!$C:$C,0)),0)</f>
        <v>1</v>
      </c>
      <c r="Z141" s="273">
        <f>IFERROR(INDEX('Measure Level Detail'!$R:$R,MATCH($B141&amp;"_"&amp;Z$3,'Measure Level Detail'!$C:$C,0)),0)</f>
        <v>1</v>
      </c>
      <c r="AA141" s="273">
        <f>IFERROR(INDEX('Measure Level Detail'!$R:$R,MATCH($B141&amp;"_"&amp;AA$3,'Measure Level Detail'!$C:$C,0)),0)</f>
        <v>1</v>
      </c>
      <c r="AB141" s="266">
        <f t="shared" si="87"/>
        <v>374.99877300613576</v>
      </c>
      <c r="AC141" s="266">
        <f t="shared" si="88"/>
        <v>374.99877300613576</v>
      </c>
      <c r="AD141" s="266">
        <f t="shared" si="89"/>
        <v>374.99877300613576</v>
      </c>
      <c r="AE141" s="266">
        <f t="shared" si="90"/>
        <v>374.99877300613576</v>
      </c>
      <c r="AF141" s="266">
        <f t="shared" si="91"/>
        <v>1499.9950920245431</v>
      </c>
      <c r="AG141" s="274">
        <v>1</v>
      </c>
      <c r="AH141" s="274">
        <v>1</v>
      </c>
      <c r="AI141" s="274">
        <v>1</v>
      </c>
      <c r="AJ141" s="274">
        <v>1</v>
      </c>
      <c r="AK141" s="274">
        <f t="shared" si="92"/>
        <v>1</v>
      </c>
      <c r="AL141" s="274">
        <f t="shared" si="93"/>
        <v>1</v>
      </c>
      <c r="AM141" s="274">
        <f t="shared" si="94"/>
        <v>1</v>
      </c>
      <c r="AN141" s="274">
        <f t="shared" si="95"/>
        <v>1</v>
      </c>
      <c r="AO141" s="262"/>
      <c r="AP141" s="262"/>
      <c r="AQ141" s="267">
        <v>0.46874846625766969</v>
      </c>
      <c r="AR141" s="262"/>
      <c r="AS141" s="266">
        <f t="shared" si="96"/>
        <v>374.99877300613576</v>
      </c>
      <c r="AT141" s="264">
        <f t="shared" si="97"/>
        <v>0</v>
      </c>
      <c r="AU141" s="262"/>
      <c r="AV141" s="262"/>
      <c r="AW141" s="265">
        <v>0.46874846625766969</v>
      </c>
      <c r="AX141" s="164" t="s">
        <v>1469</v>
      </c>
      <c r="AY141" s="266">
        <v>374.99877300613576</v>
      </c>
      <c r="AZ141" s="266">
        <f t="shared" si="98"/>
        <v>374.99877300613576</v>
      </c>
      <c r="BA141" s="264">
        <f t="shared" si="99"/>
        <v>0</v>
      </c>
      <c r="BB141" s="262"/>
      <c r="BC141" s="262"/>
      <c r="BD141" s="265">
        <f ca="1">IFERROR(INDEX(Algorithms!$G:$G,MATCH($C141&amp;"_Therm Saved per Unit",Algorithms!$A:$A,0)),0)</f>
        <v>0.46874846625766969</v>
      </c>
      <c r="BE141" s="164" t="str">
        <f ca="1">IFERROR(INDEX('v12 Revisions'!$P$29:$P$186, MATCH('Measure-Level Adj Gas'!$L141, 'v12 Revisions'!$D$29:$D$186,0)),"")</f>
        <v/>
      </c>
      <c r="BF141" s="266">
        <f t="shared" ca="1" si="100"/>
        <v>374.99877300613576</v>
      </c>
      <c r="BG141" s="264">
        <f t="shared" ca="1" si="101"/>
        <v>0</v>
      </c>
      <c r="BH141" s="262"/>
      <c r="BI141" s="262"/>
      <c r="BJ141" s="265">
        <f ca="1">IFERROR(INDEX(Algorithms!$G:$G,MATCH($C141&amp;"_Therm Saved per Unit",Algorithms!$A:$A,0)),0)</f>
        <v>0.46874846625766969</v>
      </c>
      <c r="BK141" s="164"/>
      <c r="BL141" s="266">
        <f t="shared" ca="1" si="102"/>
        <v>374.99877300613576</v>
      </c>
      <c r="BM141" s="264">
        <f t="shared" ca="1" si="103"/>
        <v>0</v>
      </c>
      <c r="BN141" s="266">
        <f t="shared" si="104"/>
        <v>374.99877300613576</v>
      </c>
      <c r="BO141" s="266">
        <f t="shared" si="105"/>
        <v>374.99877300613576</v>
      </c>
      <c r="BP141" s="266">
        <f t="shared" ca="1" si="106"/>
        <v>374.99877300613576</v>
      </c>
      <c r="BQ141" s="266">
        <f t="shared" ca="1" si="107"/>
        <v>374.99877300613576</v>
      </c>
      <c r="BR141" s="268">
        <f t="shared" ca="1" si="108"/>
        <v>1499.9950920245431</v>
      </c>
      <c r="BS141" s="262" t="s">
        <v>99</v>
      </c>
      <c r="BT141" s="277"/>
      <c r="BW141" s="266">
        <f t="shared" si="109"/>
        <v>374.99877300613576</v>
      </c>
      <c r="BX141" s="266">
        <f t="shared" si="110"/>
        <v>374.99877300613576</v>
      </c>
      <c r="BY141" s="266">
        <f t="shared" si="111"/>
        <v>374.99877300613576</v>
      </c>
      <c r="BZ141" s="266">
        <f t="shared" si="112"/>
        <v>374.99877300613576</v>
      </c>
      <c r="CA141" s="266">
        <f ca="1">N141*IFERROR(INDEX(Algorithms!$G:$G,MATCH($C141&amp;"_Therm Saved per Unit- MLA",Algorithms!$A:$A,0)),0)*X141</f>
        <v>0</v>
      </c>
      <c r="CB141" s="266">
        <f ca="1">O141*IFERROR(INDEX(Algorithms!$G:$G,MATCH($C141&amp;"_Therm Saved per Unit- MLA",Algorithms!$A:$A,0)),0)*Y141</f>
        <v>0</v>
      </c>
      <c r="CC141" s="266">
        <f ca="1">P141*IFERROR(INDEX(Algorithms!$G:$G,MATCH($C141&amp;"_Therm Saved per Unit- MLA",Algorithms!$A:$A,0)),0)*Z141</f>
        <v>0</v>
      </c>
      <c r="CD141" s="266">
        <f ca="1">Q141*IFERROR(INDEX(Algorithms!$G:$G,MATCH($C141&amp;"_Therm Saved per Unit- MLA",Algorithms!$A:$A,0)),0)*AA141</f>
        <v>0</v>
      </c>
      <c r="CE141" s="266">
        <f ca="1">IFERROR(INDEX(Algorithms!$G:$G,MATCH($C141&amp;"_Lifetime (years)",Algorithms!$A:$A,0)),0)</f>
        <v>3</v>
      </c>
      <c r="CF141" s="266">
        <f ca="1">IFERROR(INDEX(Algorithms!$G:$G,MATCH($C141&amp;"_Lifetime (years) - Remaining Years",Algorithms!$A:$A,0)),0)</f>
        <v>0</v>
      </c>
      <c r="CG141" s="266">
        <f t="shared" ca="1" si="113"/>
        <v>1124.9963190184073</v>
      </c>
      <c r="CH141" s="266">
        <f t="shared" ca="1" si="114"/>
        <v>1124.9963190184073</v>
      </c>
      <c r="CI141" s="266">
        <f t="shared" ca="1" si="115"/>
        <v>1124.9963190184073</v>
      </c>
      <c r="CJ141" s="266">
        <f t="shared" ca="1" si="116"/>
        <v>1124.9963190184073</v>
      </c>
      <c r="CK141" s="266">
        <f t="shared" si="117"/>
        <v>374.99877300613576</v>
      </c>
      <c r="CL141" s="266">
        <f t="shared" si="118"/>
        <v>374.99877300613576</v>
      </c>
      <c r="CM141" s="266">
        <f t="shared" ca="1" si="119"/>
        <v>374.99877300613576</v>
      </c>
      <c r="CN141" s="266">
        <f t="shared" ca="1" si="120"/>
        <v>374.99877300613576</v>
      </c>
      <c r="CO141" s="266">
        <f ca="1">N141*IFERROR(INDEX(Algorithms!$G:$G,MATCH($C141&amp;"_Therm Saved per Unit- MLA",Algorithms!$A:$A,0)),0)*X141</f>
        <v>0</v>
      </c>
      <c r="CP141" s="266">
        <f ca="1">O141*IFERROR(INDEX(Algorithms!$G:$G,MATCH($C141&amp;"_Therm Saved per Unit- MLA",Algorithms!$A:$A,0)),0)*Y141</f>
        <v>0</v>
      </c>
      <c r="CQ141" s="266">
        <f ca="1">P141*IFERROR(INDEX(Algorithms!$G:$G,MATCH($C141&amp;"_Therm Saved per Unit- MLA",Algorithms!$A:$A,0)),0)*Z141</f>
        <v>0</v>
      </c>
      <c r="CR141" s="266">
        <f ca="1">Q141*IFERROR(INDEX(Algorithms!$G:$G,MATCH($C141&amp;"_Therm Saved per Unit- MLA",Algorithms!$A:$A,0)),0)*AA141</f>
        <v>0</v>
      </c>
      <c r="CS141" s="266">
        <f ca="1">IFERROR(INDEX(Algorithms!$G:$G,MATCH($C141&amp;"_Lifetime (years)",Algorithms!$A:$A,0)),0)</f>
        <v>3</v>
      </c>
      <c r="CT141" s="266">
        <f ca="1">IFERROR(INDEX(Algorithms!$G:$G,MATCH($C141&amp;"_Lifetime (years) - Remaining Years",Algorithms!$A:$A,0)),0)</f>
        <v>0</v>
      </c>
      <c r="CU141" s="266">
        <f t="shared" ca="1" si="121"/>
        <v>1124.9963190184073</v>
      </c>
      <c r="CV141" s="266">
        <f t="shared" ca="1" si="122"/>
        <v>1124.9963190184073</v>
      </c>
      <c r="CW141" s="266">
        <f t="shared" ca="1" si="123"/>
        <v>1124.9963190184073</v>
      </c>
      <c r="CX141" s="266">
        <f t="shared" ca="1" si="124"/>
        <v>1124.9963190184073</v>
      </c>
    </row>
    <row r="142" spans="2:102" s="47" customFormat="1" ht="18" customHeight="1" x14ac:dyDescent="0.25">
      <c r="B142" t="str">
        <f t="shared" si="125"/>
        <v>NSG_Income Eligible_Outreach and Education_Elementary Energy Education_Energy Education Kits_0_SF</v>
      </c>
      <c r="C142" s="47" t="str">
        <f t="shared" si="86"/>
        <v>Energy Education Kits_0_SF</v>
      </c>
      <c r="D142" s="270" t="s">
        <v>1787</v>
      </c>
      <c r="E142" s="270" t="s">
        <v>325</v>
      </c>
      <c r="F142" s="270" t="s">
        <v>1419</v>
      </c>
      <c r="G142" s="270" t="s">
        <v>1420</v>
      </c>
      <c r="H142" s="270" t="s">
        <v>1421</v>
      </c>
      <c r="I142" s="270">
        <v>0</v>
      </c>
      <c r="J142" s="270" t="s">
        <v>409</v>
      </c>
      <c r="K142" s="263">
        <v>0</v>
      </c>
      <c r="L142" s="263" t="str">
        <f ca="1">IFERROR(INDEX(Algorithms!J:J,MATCH($C142&amp;"_Therm Saved per Unit",Algorithms!$A:$A,0)),"n/a")</f>
        <v>n/a</v>
      </c>
      <c r="M142" s="263" t="str">
        <f>IFERROR(INDEX('Measure Level Detail'!$N:$N,MATCH($B142,'Measure Level Detail'!$B:$B,0)),0)</f>
        <v>Household</v>
      </c>
      <c r="N142" s="271">
        <f>IFERROR(INDEX('Measure Level Detail'!$P:$P,MATCH($B142&amp;"_"&amp;N$3,'Measure Level Detail'!$C:$C,0)),0)</f>
        <v>760</v>
      </c>
      <c r="O142" s="271">
        <f>IFERROR(INDEX('Measure Level Detail'!$P:$P,MATCH($B142&amp;"_"&amp;O$3,'Measure Level Detail'!$C:$C,0)),0)</f>
        <v>760</v>
      </c>
      <c r="P142" s="271">
        <f>IFERROR(INDEX('Measure Level Detail'!$P:$P,MATCH($B142&amp;"_"&amp;P$3,'Measure Level Detail'!$C:$C,0)),0)</f>
        <v>760</v>
      </c>
      <c r="Q142" s="271">
        <f>IFERROR(INDEX('Measure Level Detail'!$P:$P,MATCH($B142&amp;"_"&amp;Q$3,'Measure Level Detail'!$C:$C,0)),0)</f>
        <v>760</v>
      </c>
      <c r="R142" s="263" t="str">
        <f ca="1">IFERROR(INDEX(Algorithms!K:K,MATCH($C142&amp;"_Therm Saved per Unit",Algorithms!$A:$A,0)),"n/a")</f>
        <v>n/a</v>
      </c>
      <c r="S142" s="262"/>
      <c r="T142" s="272">
        <v>18.06005859375</v>
      </c>
      <c r="U142" s="272">
        <v>18.06005859375</v>
      </c>
      <c r="V142" s="272">
        <v>18.06005859375</v>
      </c>
      <c r="W142" s="272">
        <v>18.06005859375</v>
      </c>
      <c r="X142" s="273">
        <f>IFERROR(INDEX('Measure Level Detail'!$R:$R,MATCH($B142&amp;"_"&amp;X$3,'Measure Level Detail'!$C:$C,0)),0)</f>
        <v>1</v>
      </c>
      <c r="Y142" s="273">
        <f>IFERROR(INDEX('Measure Level Detail'!$R:$R,MATCH($B142&amp;"_"&amp;Y$3,'Measure Level Detail'!$C:$C,0)),0)</f>
        <v>1</v>
      </c>
      <c r="Z142" s="273">
        <f>IFERROR(INDEX('Measure Level Detail'!$R:$R,MATCH($B142&amp;"_"&amp;Z$3,'Measure Level Detail'!$C:$C,0)),0)</f>
        <v>1</v>
      </c>
      <c r="AA142" s="273">
        <f>IFERROR(INDEX('Measure Level Detail'!$R:$R,MATCH($B142&amp;"_"&amp;AA$3,'Measure Level Detail'!$C:$C,0)),0)</f>
        <v>1</v>
      </c>
      <c r="AB142" s="266">
        <f t="shared" si="87"/>
        <v>13725.64453125</v>
      </c>
      <c r="AC142" s="266">
        <f t="shared" si="88"/>
        <v>13725.64453125</v>
      </c>
      <c r="AD142" s="266">
        <f t="shared" si="89"/>
        <v>13725.64453125</v>
      </c>
      <c r="AE142" s="266">
        <f t="shared" si="90"/>
        <v>13725.64453125</v>
      </c>
      <c r="AF142" s="266">
        <f t="shared" si="91"/>
        <v>54902.578125</v>
      </c>
      <c r="AG142" s="274">
        <v>1</v>
      </c>
      <c r="AH142" s="274">
        <v>1</v>
      </c>
      <c r="AI142" s="274">
        <v>1</v>
      </c>
      <c r="AJ142" s="274">
        <v>1</v>
      </c>
      <c r="AK142" s="274">
        <f t="shared" si="92"/>
        <v>1</v>
      </c>
      <c r="AL142" s="274">
        <f t="shared" si="93"/>
        <v>1</v>
      </c>
      <c r="AM142" s="274">
        <f t="shared" si="94"/>
        <v>1</v>
      </c>
      <c r="AN142" s="274">
        <f t="shared" si="95"/>
        <v>1</v>
      </c>
      <c r="AO142" s="262"/>
      <c r="AP142" s="262"/>
      <c r="AQ142" s="267">
        <v>18.06005859375</v>
      </c>
      <c r="AR142" s="262"/>
      <c r="AS142" s="266">
        <f t="shared" si="96"/>
        <v>13725.64453125</v>
      </c>
      <c r="AT142" s="264">
        <f t="shared" si="97"/>
        <v>0</v>
      </c>
      <c r="AU142" s="262"/>
      <c r="AV142" s="262"/>
      <c r="AW142" s="265">
        <v>18.06005859375</v>
      </c>
      <c r="AX142" s="164" t="s">
        <v>1469</v>
      </c>
      <c r="AY142" s="266">
        <v>13725.64453125</v>
      </c>
      <c r="AZ142" s="266">
        <f t="shared" si="98"/>
        <v>13725.64453125</v>
      </c>
      <c r="BA142" s="264">
        <f t="shared" si="99"/>
        <v>0</v>
      </c>
      <c r="BB142" s="262"/>
      <c r="BC142" s="262"/>
      <c r="BD142" s="265">
        <f ca="1">IFERROR(INDEX(Algorithms!$G:$G,MATCH($C142&amp;"_Therm Saved per Unit",Algorithms!$A:$A,0)),0)</f>
        <v>18.06005859375</v>
      </c>
      <c r="BE142" s="164" t="str">
        <f ca="1">IFERROR(INDEX('v12 Revisions'!$P$29:$P$186, MATCH('Measure-Level Adj Gas'!$L142, 'v12 Revisions'!$D$29:$D$186,0)),"")</f>
        <v/>
      </c>
      <c r="BF142" s="266">
        <f t="shared" ca="1" si="100"/>
        <v>13725.64453125</v>
      </c>
      <c r="BG142" s="264">
        <f t="shared" ca="1" si="101"/>
        <v>0</v>
      </c>
      <c r="BH142" s="262"/>
      <c r="BI142" s="262"/>
      <c r="BJ142" s="265">
        <f ca="1">IFERROR(INDEX(Algorithms!$G:$G,MATCH($C142&amp;"_Therm Saved per Unit",Algorithms!$A:$A,0)),0)</f>
        <v>18.06005859375</v>
      </c>
      <c r="BK142" s="164"/>
      <c r="BL142" s="266">
        <f t="shared" ca="1" si="102"/>
        <v>13725.64453125</v>
      </c>
      <c r="BM142" s="264">
        <f t="shared" ca="1" si="103"/>
        <v>0</v>
      </c>
      <c r="BN142" s="266">
        <f t="shared" si="104"/>
        <v>13725.64453125</v>
      </c>
      <c r="BO142" s="266">
        <f t="shared" si="105"/>
        <v>13725.64453125</v>
      </c>
      <c r="BP142" s="266">
        <f t="shared" si="106"/>
        <v>13725.64453125</v>
      </c>
      <c r="BQ142" s="266">
        <f t="shared" si="107"/>
        <v>13725.64453125</v>
      </c>
      <c r="BR142" s="268">
        <f t="shared" si="108"/>
        <v>54902.578125</v>
      </c>
      <c r="BS142" s="262" t="s">
        <v>99</v>
      </c>
      <c r="BT142" s="277"/>
      <c r="BW142" s="266">
        <f t="shared" si="109"/>
        <v>13725.64453125</v>
      </c>
      <c r="BX142" s="266">
        <f t="shared" si="110"/>
        <v>13725.64453125</v>
      </c>
      <c r="BY142" s="266">
        <f t="shared" si="111"/>
        <v>13725.64453125</v>
      </c>
      <c r="BZ142" s="266">
        <f t="shared" si="112"/>
        <v>13725.64453125</v>
      </c>
      <c r="CA142" s="266">
        <f ca="1">N142*IFERROR(INDEX(Algorithms!$G:$G,MATCH($C142&amp;"_Therm Saved per Unit- MLA",Algorithms!$A:$A,0)),0)*X142</f>
        <v>0</v>
      </c>
      <c r="CB142" s="266">
        <f ca="1">O142*IFERROR(INDEX(Algorithms!$G:$G,MATCH($C142&amp;"_Therm Saved per Unit- MLA",Algorithms!$A:$A,0)),0)*Y142</f>
        <v>0</v>
      </c>
      <c r="CC142" s="266">
        <f ca="1">P142*IFERROR(INDEX(Algorithms!$G:$G,MATCH($C142&amp;"_Therm Saved per Unit- MLA",Algorithms!$A:$A,0)),0)*Z142</f>
        <v>0</v>
      </c>
      <c r="CD142" s="266">
        <f ca="1">Q142*IFERROR(INDEX(Algorithms!$G:$G,MATCH($C142&amp;"_Therm Saved per Unit- MLA",Algorithms!$A:$A,0)),0)*AA142</f>
        <v>0</v>
      </c>
      <c r="CE142" s="266">
        <f ca="1">IFERROR(INDEX(Algorithms!$G:$G,MATCH($C142&amp;"_Lifetime (years)",Algorithms!$A:$A,0)),0)</f>
        <v>9.5</v>
      </c>
      <c r="CF142" s="266">
        <f ca="1">IFERROR(INDEX(Algorithms!$G:$G,MATCH($C142&amp;"_Lifetime (years) - Remaining Years",Algorithms!$A:$A,0)),0)</f>
        <v>0</v>
      </c>
      <c r="CG142" s="266">
        <f t="shared" ca="1" si="113"/>
        <v>130393.623046875</v>
      </c>
      <c r="CH142" s="266">
        <f t="shared" ca="1" si="114"/>
        <v>130393.623046875</v>
      </c>
      <c r="CI142" s="266">
        <f t="shared" ca="1" si="115"/>
        <v>130393.623046875</v>
      </c>
      <c r="CJ142" s="266">
        <f t="shared" ca="1" si="116"/>
        <v>130393.623046875</v>
      </c>
      <c r="CK142" s="266">
        <f t="shared" si="117"/>
        <v>13725.64453125</v>
      </c>
      <c r="CL142" s="266">
        <f t="shared" si="118"/>
        <v>13725.64453125</v>
      </c>
      <c r="CM142" s="266">
        <f t="shared" ca="1" si="119"/>
        <v>13725.64453125</v>
      </c>
      <c r="CN142" s="266">
        <f t="shared" ca="1" si="120"/>
        <v>13725.64453125</v>
      </c>
      <c r="CO142" s="266">
        <f ca="1">N142*IFERROR(INDEX(Algorithms!$G:$G,MATCH($C142&amp;"_Therm Saved per Unit- MLA",Algorithms!$A:$A,0)),0)*X142</f>
        <v>0</v>
      </c>
      <c r="CP142" s="266">
        <f ca="1">O142*IFERROR(INDEX(Algorithms!$G:$G,MATCH($C142&amp;"_Therm Saved per Unit- MLA",Algorithms!$A:$A,0)),0)*Y142</f>
        <v>0</v>
      </c>
      <c r="CQ142" s="266">
        <f ca="1">P142*IFERROR(INDEX(Algorithms!$G:$G,MATCH($C142&amp;"_Therm Saved per Unit- MLA",Algorithms!$A:$A,0)),0)*Z142</f>
        <v>0</v>
      </c>
      <c r="CR142" s="266">
        <f ca="1">Q142*IFERROR(INDEX(Algorithms!$G:$G,MATCH($C142&amp;"_Therm Saved per Unit- MLA",Algorithms!$A:$A,0)),0)*AA142</f>
        <v>0</v>
      </c>
      <c r="CS142" s="266">
        <f ca="1">IFERROR(INDEX(Algorithms!$G:$G,MATCH($C142&amp;"_Lifetime (years)",Algorithms!$A:$A,0)),0)</f>
        <v>9.5</v>
      </c>
      <c r="CT142" s="266">
        <f ca="1">IFERROR(INDEX(Algorithms!$G:$G,MATCH($C142&amp;"_Lifetime (years) - Remaining Years",Algorithms!$A:$A,0)),0)</f>
        <v>0</v>
      </c>
      <c r="CU142" s="266">
        <f t="shared" ca="1" si="121"/>
        <v>130393.623046875</v>
      </c>
      <c r="CV142" s="266">
        <f t="shared" ca="1" si="122"/>
        <v>130393.623046875</v>
      </c>
      <c r="CW142" s="266">
        <f t="shared" ca="1" si="123"/>
        <v>130393.623046875</v>
      </c>
      <c r="CX142" s="266">
        <f t="shared" ca="1" si="124"/>
        <v>130393.623046875</v>
      </c>
    </row>
    <row r="143" spans="2:102" s="47" customFormat="1" ht="18" customHeight="1" x14ac:dyDescent="0.25">
      <c r="B143" t="str">
        <f t="shared" si="125"/>
        <v>NSG_Income Eligible_Single Family_IE Kits_IE Kits_IE Kit_IE</v>
      </c>
      <c r="C143" s="47" t="str">
        <f t="shared" si="86"/>
        <v>IE Kits_IE Kit_IE</v>
      </c>
      <c r="D143" s="270" t="s">
        <v>1787</v>
      </c>
      <c r="E143" s="270" t="s">
        <v>325</v>
      </c>
      <c r="F143" s="270" t="s">
        <v>375</v>
      </c>
      <c r="G143" s="270" t="s">
        <v>1440</v>
      </c>
      <c r="H143" s="270" t="s">
        <v>1440</v>
      </c>
      <c r="I143" s="270" t="s">
        <v>550</v>
      </c>
      <c r="J143" s="270" t="s">
        <v>551</v>
      </c>
      <c r="K143" s="263">
        <v>1</v>
      </c>
      <c r="L143" s="263" t="str">
        <f ca="1">IFERROR(INDEX(Algorithms!J:J,MATCH($C143&amp;"_Therm Saved per Unit",Algorithms!$A:$A,0)),"n/a")</f>
        <v>n/a</v>
      </c>
      <c r="M143" s="263" t="str">
        <f>IFERROR(INDEX('Measure Level Detail'!$N:$N,MATCH($B143,'Measure Level Detail'!$B:$B,0)),0)</f>
        <v>kits</v>
      </c>
      <c r="N143" s="271">
        <f>IFERROR(INDEX('Measure Level Detail'!$P:$P,MATCH($B143&amp;"_"&amp;N$3,'Measure Level Detail'!$C:$C,0)),0)</f>
        <v>560</v>
      </c>
      <c r="O143" s="271">
        <f>IFERROR(INDEX('Measure Level Detail'!$P:$P,MATCH($B143&amp;"_"&amp;O$3,'Measure Level Detail'!$C:$C,0)),0)</f>
        <v>560</v>
      </c>
      <c r="P143" s="271">
        <f>IFERROR(INDEX('Measure Level Detail'!$P:$P,MATCH($B143&amp;"_"&amp;P$3,'Measure Level Detail'!$C:$C,0)),0)</f>
        <v>560</v>
      </c>
      <c r="Q143" s="271">
        <f>IFERROR(INDEX('Measure Level Detail'!$P:$P,MATCH($B143&amp;"_"&amp;Q$3,'Measure Level Detail'!$C:$C,0)),0)</f>
        <v>560</v>
      </c>
      <c r="R143" s="263" t="str">
        <f ca="1">IFERROR(INDEX(Algorithms!K:K,MATCH($C143&amp;"_Therm Saved per Unit",Algorithms!$A:$A,0)),"n/a")</f>
        <v>n/a</v>
      </c>
      <c r="S143" s="262"/>
      <c r="T143" s="272">
        <v>0</v>
      </c>
      <c r="U143" s="272">
        <v>0</v>
      </c>
      <c r="V143" s="272">
        <v>0</v>
      </c>
      <c r="W143" s="272">
        <v>0</v>
      </c>
      <c r="X143" s="273">
        <f>IFERROR(INDEX('Measure Level Detail'!$R:$R,MATCH($B143&amp;"_"&amp;X$3,'Measure Level Detail'!$C:$C,0)),0)</f>
        <v>1</v>
      </c>
      <c r="Y143" s="273">
        <f>IFERROR(INDEX('Measure Level Detail'!$R:$R,MATCH($B143&amp;"_"&amp;Y$3,'Measure Level Detail'!$C:$C,0)),0)</f>
        <v>1</v>
      </c>
      <c r="Z143" s="273">
        <f>IFERROR(INDEX('Measure Level Detail'!$R:$R,MATCH($B143&amp;"_"&amp;Z$3,'Measure Level Detail'!$C:$C,0)),0)</f>
        <v>1</v>
      </c>
      <c r="AA143" s="273">
        <f>IFERROR(INDEX('Measure Level Detail'!$R:$R,MATCH($B143&amp;"_"&amp;AA$3,'Measure Level Detail'!$C:$C,0)),0)</f>
        <v>1</v>
      </c>
      <c r="AB143" s="266">
        <f t="shared" si="87"/>
        <v>0</v>
      </c>
      <c r="AC143" s="266">
        <f t="shared" si="88"/>
        <v>0</v>
      </c>
      <c r="AD143" s="266">
        <f t="shared" si="89"/>
        <v>0</v>
      </c>
      <c r="AE143" s="266">
        <f t="shared" si="90"/>
        <v>0</v>
      </c>
      <c r="AF143" s="266">
        <f t="shared" si="91"/>
        <v>0</v>
      </c>
      <c r="AG143" s="274">
        <v>1</v>
      </c>
      <c r="AH143" s="274">
        <v>1</v>
      </c>
      <c r="AI143" s="274">
        <v>1</v>
      </c>
      <c r="AJ143" s="274">
        <v>1</v>
      </c>
      <c r="AK143" s="274">
        <f t="shared" si="92"/>
        <v>1</v>
      </c>
      <c r="AL143" s="274">
        <f t="shared" si="93"/>
        <v>1</v>
      </c>
      <c r="AM143" s="274">
        <f t="shared" si="94"/>
        <v>1</v>
      </c>
      <c r="AN143" s="274">
        <f t="shared" si="95"/>
        <v>1</v>
      </c>
      <c r="AO143" s="262"/>
      <c r="AP143" s="262"/>
      <c r="AQ143" s="267">
        <v>0</v>
      </c>
      <c r="AR143" s="262"/>
      <c r="AS143" s="266">
        <f t="shared" si="96"/>
        <v>0</v>
      </c>
      <c r="AT143" s="264">
        <f t="shared" si="97"/>
        <v>0</v>
      </c>
      <c r="AU143" s="262"/>
      <c r="AV143" s="262"/>
      <c r="AW143" s="265">
        <v>0</v>
      </c>
      <c r="AX143" s="164" t="s">
        <v>1469</v>
      </c>
      <c r="AY143" s="266">
        <v>0</v>
      </c>
      <c r="AZ143" s="266">
        <f t="shared" si="98"/>
        <v>0</v>
      </c>
      <c r="BA143" s="264">
        <f t="shared" si="99"/>
        <v>0</v>
      </c>
      <c r="BB143" s="262"/>
      <c r="BC143" s="262"/>
      <c r="BD143" s="265">
        <f ca="1">IFERROR(INDEX(Algorithms!$G:$G,MATCH($C143&amp;"_Therm Saved per Unit",Algorithms!$A:$A,0)),0)</f>
        <v>0</v>
      </c>
      <c r="BE143" s="164" t="str">
        <f ca="1">IFERROR(INDEX('v12 Revisions'!$P$29:$P$186, MATCH('Measure-Level Adj Gas'!$L143, 'v12 Revisions'!$D$29:$D$186,0)),"")</f>
        <v/>
      </c>
      <c r="BF143" s="266">
        <f t="shared" ca="1" si="100"/>
        <v>0</v>
      </c>
      <c r="BG143" s="264">
        <f t="shared" ca="1" si="101"/>
        <v>0</v>
      </c>
      <c r="BH143" s="262"/>
      <c r="BI143" s="262"/>
      <c r="BJ143" s="265">
        <f ca="1">IFERROR(INDEX(Algorithms!$G:$G,MATCH($C143&amp;"_Therm Saved per Unit",Algorithms!$A:$A,0)),0)</f>
        <v>0</v>
      </c>
      <c r="BK143" s="164"/>
      <c r="BL143" s="266">
        <f t="shared" ca="1" si="102"/>
        <v>0</v>
      </c>
      <c r="BM143" s="264">
        <f t="shared" ca="1" si="103"/>
        <v>0</v>
      </c>
      <c r="BN143" s="266">
        <f t="shared" si="104"/>
        <v>0</v>
      </c>
      <c r="BO143" s="266">
        <f t="shared" si="105"/>
        <v>0</v>
      </c>
      <c r="BP143" s="266">
        <f t="shared" ca="1" si="106"/>
        <v>0</v>
      </c>
      <c r="BQ143" s="266">
        <f t="shared" ca="1" si="107"/>
        <v>0</v>
      </c>
      <c r="BR143" s="268">
        <f t="shared" ca="1" si="108"/>
        <v>0</v>
      </c>
      <c r="BS143" s="262" t="s">
        <v>99</v>
      </c>
      <c r="BT143" s="277"/>
      <c r="BW143" s="266">
        <f t="shared" si="109"/>
        <v>0</v>
      </c>
      <c r="BX143" s="266">
        <f t="shared" si="110"/>
        <v>0</v>
      </c>
      <c r="BY143" s="266">
        <f t="shared" si="111"/>
        <v>0</v>
      </c>
      <c r="BZ143" s="266">
        <f t="shared" si="112"/>
        <v>0</v>
      </c>
      <c r="CA143" s="266">
        <f ca="1">N143*IFERROR(INDEX(Algorithms!$G:$G,MATCH($C143&amp;"_Therm Saved per Unit- MLA",Algorithms!$A:$A,0)),0)*X143</f>
        <v>0</v>
      </c>
      <c r="CB143" s="266">
        <f ca="1">O143*IFERROR(INDEX(Algorithms!$G:$G,MATCH($C143&amp;"_Therm Saved per Unit- MLA",Algorithms!$A:$A,0)),0)*Y143</f>
        <v>0</v>
      </c>
      <c r="CC143" s="266">
        <f ca="1">P143*IFERROR(INDEX(Algorithms!$G:$G,MATCH($C143&amp;"_Therm Saved per Unit- MLA",Algorithms!$A:$A,0)),0)*Z143</f>
        <v>0</v>
      </c>
      <c r="CD143" s="266">
        <f ca="1">Q143*IFERROR(INDEX(Algorithms!$G:$G,MATCH($C143&amp;"_Therm Saved per Unit- MLA",Algorithms!$A:$A,0)),0)*AA143</f>
        <v>0</v>
      </c>
      <c r="CE143" s="266">
        <f ca="1">IFERROR(INDEX(Algorithms!$G:$G,MATCH($C143&amp;"_Lifetime (years)",Algorithms!$A:$A,0)),0)</f>
        <v>0</v>
      </c>
      <c r="CF143" s="266">
        <f ca="1">IFERROR(INDEX(Algorithms!$G:$G,MATCH($C143&amp;"_Lifetime (years) - Remaining Years",Algorithms!$A:$A,0)),0)</f>
        <v>0</v>
      </c>
      <c r="CG143" s="266">
        <f t="shared" ca="1" si="113"/>
        <v>0</v>
      </c>
      <c r="CH143" s="266">
        <f t="shared" ca="1" si="114"/>
        <v>0</v>
      </c>
      <c r="CI143" s="266">
        <f t="shared" ca="1" si="115"/>
        <v>0</v>
      </c>
      <c r="CJ143" s="266">
        <f t="shared" ca="1" si="116"/>
        <v>0</v>
      </c>
      <c r="CK143" s="266">
        <f t="shared" si="117"/>
        <v>0</v>
      </c>
      <c r="CL143" s="266">
        <f t="shared" si="118"/>
        <v>0</v>
      </c>
      <c r="CM143" s="266">
        <f t="shared" ca="1" si="119"/>
        <v>0</v>
      </c>
      <c r="CN143" s="266">
        <f t="shared" ca="1" si="120"/>
        <v>0</v>
      </c>
      <c r="CO143" s="266">
        <f ca="1">N143*IFERROR(INDEX(Algorithms!$G:$G,MATCH($C143&amp;"_Therm Saved per Unit- MLA",Algorithms!$A:$A,0)),0)*X143</f>
        <v>0</v>
      </c>
      <c r="CP143" s="266">
        <f ca="1">O143*IFERROR(INDEX(Algorithms!$G:$G,MATCH($C143&amp;"_Therm Saved per Unit- MLA",Algorithms!$A:$A,0)),0)*Y143</f>
        <v>0</v>
      </c>
      <c r="CQ143" s="266">
        <f ca="1">P143*IFERROR(INDEX(Algorithms!$G:$G,MATCH($C143&amp;"_Therm Saved per Unit- MLA",Algorithms!$A:$A,0)),0)*Z143</f>
        <v>0</v>
      </c>
      <c r="CR143" s="266">
        <f ca="1">Q143*IFERROR(INDEX(Algorithms!$G:$G,MATCH($C143&amp;"_Therm Saved per Unit- MLA",Algorithms!$A:$A,0)),0)*AA143</f>
        <v>0</v>
      </c>
      <c r="CS143" s="266">
        <f ca="1">IFERROR(INDEX(Algorithms!$G:$G,MATCH($C143&amp;"_Lifetime (years)",Algorithms!$A:$A,0)),0)</f>
        <v>0</v>
      </c>
      <c r="CT143" s="266">
        <f ca="1">IFERROR(INDEX(Algorithms!$G:$G,MATCH($C143&amp;"_Lifetime (years) - Remaining Years",Algorithms!$A:$A,0)),0)</f>
        <v>0</v>
      </c>
      <c r="CU143" s="266">
        <f t="shared" ca="1" si="121"/>
        <v>0</v>
      </c>
      <c r="CV143" s="266">
        <f t="shared" ca="1" si="122"/>
        <v>0</v>
      </c>
      <c r="CW143" s="266">
        <f t="shared" ca="1" si="123"/>
        <v>0</v>
      </c>
      <c r="CX143" s="266">
        <f t="shared" ca="1" si="124"/>
        <v>0</v>
      </c>
    </row>
    <row r="144" spans="2:102" s="47" customFormat="1" ht="18" customHeight="1" x14ac:dyDescent="0.25">
      <c r="B144" t="str">
        <f t="shared" si="125"/>
        <v>NSG_Business_Small/Mid-Size Business_Partner Trade Ally Rebate_Condensate Tank Insulation_0_MF/CI/SMB</v>
      </c>
      <c r="C144" s="47" t="str">
        <f t="shared" si="86"/>
        <v>Condensate Tank Insulation_0_MF/CI/SMB</v>
      </c>
      <c r="D144" s="270" t="s">
        <v>1787</v>
      </c>
      <c r="E144" s="270" t="s">
        <v>3</v>
      </c>
      <c r="F144" s="270" t="s">
        <v>1432</v>
      </c>
      <c r="G144" s="270" t="s">
        <v>1799</v>
      </c>
      <c r="H144" s="270" t="s">
        <v>806</v>
      </c>
      <c r="I144" s="270">
        <v>0</v>
      </c>
      <c r="J144" s="270" t="s">
        <v>662</v>
      </c>
      <c r="K144" s="263">
        <v>1</v>
      </c>
      <c r="L144" s="263" t="str">
        <f ca="1">IFERROR(INDEX(Algorithms!J:J,MATCH($C144&amp;"_Therm Saved per Unit",Algorithms!$A:$A,0)),"n/a")</f>
        <v>4.3.12</v>
      </c>
      <c r="M144" s="263" t="str">
        <f>IFERROR(INDEX('Measure Level Detail'!$N:$N,MATCH($B144,'Measure Level Detail'!$B:$B,0)),0)</f>
        <v>sqft</v>
      </c>
      <c r="N144" s="271">
        <f>IFERROR(INDEX('Measure Level Detail'!$P:$P,MATCH($B144&amp;"_"&amp;N$3,'Measure Level Detail'!$C:$C,0)),0)</f>
        <v>550</v>
      </c>
      <c r="O144" s="271">
        <f>IFERROR(INDEX('Measure Level Detail'!$P:$P,MATCH($B144&amp;"_"&amp;O$3,'Measure Level Detail'!$C:$C,0)),0)</f>
        <v>550</v>
      </c>
      <c r="P144" s="271">
        <f>IFERROR(INDEX('Measure Level Detail'!$P:$P,MATCH($B144&amp;"_"&amp;P$3,'Measure Level Detail'!$C:$C,0)),0)</f>
        <v>550</v>
      </c>
      <c r="Q144" s="271">
        <f>IFERROR(INDEX('Measure Level Detail'!$P:$P,MATCH($B144&amp;"_"&amp;Q$3,'Measure Level Detail'!$C:$C,0)),0)</f>
        <v>550</v>
      </c>
      <c r="R144" s="263" t="str">
        <f ca="1">IFERROR(INDEX(Algorithms!K:K,MATCH($C144&amp;"_Therm Saved per Unit",Algorithms!$A:$A,0)),"n/a")</f>
        <v>CI-HWE-TKIN-V03-240101</v>
      </c>
      <c r="S144" s="262"/>
      <c r="T144" s="272">
        <v>16.746197539658972</v>
      </c>
      <c r="U144" s="272">
        <v>16.746197539658972</v>
      </c>
      <c r="V144" s="272">
        <v>16.746197539658972</v>
      </c>
      <c r="W144" s="272">
        <v>16.746197539658972</v>
      </c>
      <c r="X144" s="276">
        <v>0.93</v>
      </c>
      <c r="Y144" s="276">
        <v>0.93</v>
      </c>
      <c r="Z144" s="276">
        <v>0.93</v>
      </c>
      <c r="AA144" s="276">
        <v>0.93</v>
      </c>
      <c r="AB144" s="266">
        <f t="shared" si="87"/>
        <v>8565.6800415355647</v>
      </c>
      <c r="AC144" s="266">
        <f t="shared" si="88"/>
        <v>8565.6800415355647</v>
      </c>
      <c r="AD144" s="266">
        <f t="shared" si="89"/>
        <v>8565.6800415355647</v>
      </c>
      <c r="AE144" s="266">
        <f t="shared" si="90"/>
        <v>8565.6800415355647</v>
      </c>
      <c r="AF144" s="266">
        <f t="shared" si="91"/>
        <v>34262.720166142259</v>
      </c>
      <c r="AG144" s="274">
        <v>0.93</v>
      </c>
      <c r="AH144" s="274">
        <v>0.93</v>
      </c>
      <c r="AI144" s="274">
        <v>0.93</v>
      </c>
      <c r="AJ144" s="274">
        <v>0.93</v>
      </c>
      <c r="AK144" s="274">
        <f t="shared" si="92"/>
        <v>0.93</v>
      </c>
      <c r="AL144" s="274">
        <f t="shared" si="93"/>
        <v>0.93</v>
      </c>
      <c r="AM144" s="274">
        <f t="shared" si="94"/>
        <v>0.93</v>
      </c>
      <c r="AN144" s="274">
        <f t="shared" si="95"/>
        <v>0.93</v>
      </c>
      <c r="AO144" s="262"/>
      <c r="AP144" s="262"/>
      <c r="AQ144" s="267">
        <v>16.746197539658972</v>
      </c>
      <c r="AR144" s="262"/>
      <c r="AS144" s="266">
        <f t="shared" si="96"/>
        <v>8565.6800415355647</v>
      </c>
      <c r="AT144" s="264">
        <f t="shared" si="97"/>
        <v>0</v>
      </c>
      <c r="AU144" s="262"/>
      <c r="AV144" s="262"/>
      <c r="AW144" s="265">
        <v>16.746197539658972</v>
      </c>
      <c r="AX144" s="164" t="s">
        <v>1469</v>
      </c>
      <c r="AY144" s="266">
        <v>8565.6800415355647</v>
      </c>
      <c r="AZ144" s="266">
        <f t="shared" si="98"/>
        <v>8565.6800415355647</v>
      </c>
      <c r="BA144" s="264">
        <f t="shared" si="99"/>
        <v>0</v>
      </c>
      <c r="BB144" s="262"/>
      <c r="BC144" s="262"/>
      <c r="BD144" s="265">
        <f ca="1">IFERROR(INDEX(Algorithms!$G:$G,MATCH($C144&amp;"_Therm Saved per Unit",Algorithms!$A:$A,0)),0)</f>
        <v>16.746197539658972</v>
      </c>
      <c r="BE144" s="164" t="str">
        <f ca="1">IFERROR(INDEX('v12 Revisions'!$P$29:$P$186, MATCH('Measure-Level Adj Gas'!$L144, 'v12 Revisions'!$D$29:$D$186,0)),"")</f>
        <v/>
      </c>
      <c r="BF144" s="266">
        <f t="shared" ca="1" si="100"/>
        <v>8565.6800415355647</v>
      </c>
      <c r="BG144" s="264">
        <f t="shared" ca="1" si="101"/>
        <v>0</v>
      </c>
      <c r="BH144" s="262"/>
      <c r="BI144" s="262"/>
      <c r="BJ144" s="265">
        <f ca="1">IFERROR(INDEX(Algorithms!$G:$G,MATCH($C144&amp;"_Therm Saved per Unit",Algorithms!$A:$A,0)),0)</f>
        <v>16.746197539658972</v>
      </c>
      <c r="BK144" s="164"/>
      <c r="BL144" s="266">
        <f t="shared" ca="1" si="102"/>
        <v>8565.6800415355647</v>
      </c>
      <c r="BM144" s="264">
        <f t="shared" ca="1" si="103"/>
        <v>0</v>
      </c>
      <c r="BN144" s="266">
        <f t="shared" si="104"/>
        <v>8565.6800415355647</v>
      </c>
      <c r="BO144" s="266">
        <f t="shared" si="105"/>
        <v>8565.6800415355647</v>
      </c>
      <c r="BP144" s="266">
        <f t="shared" ca="1" si="106"/>
        <v>8565.6800415355647</v>
      </c>
      <c r="BQ144" s="266">
        <f t="shared" ca="1" si="107"/>
        <v>8565.6800415355647</v>
      </c>
      <c r="BR144" s="268">
        <f t="shared" ca="1" si="108"/>
        <v>34262.720166142259</v>
      </c>
      <c r="BS144" s="262" t="s">
        <v>99</v>
      </c>
      <c r="BT144" s="277"/>
      <c r="BW144" s="266">
        <f t="shared" si="109"/>
        <v>8565.6800415355647</v>
      </c>
      <c r="BX144" s="266">
        <f t="shared" si="110"/>
        <v>8565.6800415355647</v>
      </c>
      <c r="BY144" s="266">
        <f t="shared" si="111"/>
        <v>8565.6800415355647</v>
      </c>
      <c r="BZ144" s="266">
        <f t="shared" si="112"/>
        <v>8565.6800415355647</v>
      </c>
      <c r="CA144" s="266">
        <f ca="1">N144*IFERROR(INDEX(Algorithms!$G:$G,MATCH($C144&amp;"_Therm Saved per Unit- MLA",Algorithms!$A:$A,0)),0)*X144</f>
        <v>0</v>
      </c>
      <c r="CB144" s="266">
        <f ca="1">O144*IFERROR(INDEX(Algorithms!$G:$G,MATCH($C144&amp;"_Therm Saved per Unit- MLA",Algorithms!$A:$A,0)),0)*Y144</f>
        <v>0</v>
      </c>
      <c r="CC144" s="266">
        <f ca="1">P144*IFERROR(INDEX(Algorithms!$G:$G,MATCH($C144&amp;"_Therm Saved per Unit- MLA",Algorithms!$A:$A,0)),0)*Z144</f>
        <v>0</v>
      </c>
      <c r="CD144" s="266">
        <f ca="1">Q144*IFERROR(INDEX(Algorithms!$G:$G,MATCH($C144&amp;"_Therm Saved per Unit- MLA",Algorithms!$A:$A,0)),0)*AA144</f>
        <v>0</v>
      </c>
      <c r="CE144" s="266">
        <f ca="1">IFERROR(INDEX(Algorithms!$G:$G,MATCH($C144&amp;"_Lifetime (years)",Algorithms!$A:$A,0)),0)</f>
        <v>15</v>
      </c>
      <c r="CF144" s="266">
        <f ca="1">IFERROR(INDEX(Algorithms!$G:$G,MATCH($C144&amp;"_Lifetime (years) - Remaining Years",Algorithms!$A:$A,0)),0)</f>
        <v>0</v>
      </c>
      <c r="CG144" s="266">
        <f t="shared" ca="1" si="113"/>
        <v>128485.20062303347</v>
      </c>
      <c r="CH144" s="266">
        <f t="shared" ca="1" si="114"/>
        <v>128485.20062303347</v>
      </c>
      <c r="CI144" s="266">
        <f t="shared" ca="1" si="115"/>
        <v>128485.20062303347</v>
      </c>
      <c r="CJ144" s="266">
        <f t="shared" ca="1" si="116"/>
        <v>128485.20062303347</v>
      </c>
      <c r="CK144" s="266">
        <f t="shared" si="117"/>
        <v>8565.6800415355647</v>
      </c>
      <c r="CL144" s="266">
        <f t="shared" si="118"/>
        <v>8565.6800415355647</v>
      </c>
      <c r="CM144" s="266">
        <f t="shared" ca="1" si="119"/>
        <v>8565.6800415355647</v>
      </c>
      <c r="CN144" s="266">
        <f t="shared" ca="1" si="120"/>
        <v>8565.6800415355647</v>
      </c>
      <c r="CO144" s="266">
        <f ca="1">N144*IFERROR(INDEX(Algorithms!$G:$G,MATCH($C144&amp;"_Therm Saved per Unit- MLA",Algorithms!$A:$A,0)),0)*X144</f>
        <v>0</v>
      </c>
      <c r="CP144" s="266">
        <f ca="1">O144*IFERROR(INDEX(Algorithms!$G:$G,MATCH($C144&amp;"_Therm Saved per Unit- MLA",Algorithms!$A:$A,0)),0)*Y144</f>
        <v>0</v>
      </c>
      <c r="CQ144" s="266">
        <f ca="1">P144*IFERROR(INDEX(Algorithms!$G:$G,MATCH($C144&amp;"_Therm Saved per Unit- MLA",Algorithms!$A:$A,0)),0)*Z144</f>
        <v>0</v>
      </c>
      <c r="CR144" s="266">
        <f ca="1">Q144*IFERROR(INDEX(Algorithms!$G:$G,MATCH($C144&amp;"_Therm Saved per Unit- MLA",Algorithms!$A:$A,0)),0)*AA144</f>
        <v>0</v>
      </c>
      <c r="CS144" s="266">
        <f ca="1">IFERROR(INDEX(Algorithms!$G:$G,MATCH($C144&amp;"_Lifetime (years)",Algorithms!$A:$A,0)),0)</f>
        <v>15</v>
      </c>
      <c r="CT144" s="266">
        <f ca="1">IFERROR(INDEX(Algorithms!$G:$G,MATCH($C144&amp;"_Lifetime (years) - Remaining Years",Algorithms!$A:$A,0)),0)</f>
        <v>0</v>
      </c>
      <c r="CU144" s="266">
        <f t="shared" ca="1" si="121"/>
        <v>128485.20062303347</v>
      </c>
      <c r="CV144" s="266">
        <f t="shared" ca="1" si="122"/>
        <v>128485.20062303347</v>
      </c>
      <c r="CW144" s="266">
        <f t="shared" ca="1" si="123"/>
        <v>128485.20062303347</v>
      </c>
      <c r="CX144" s="266">
        <f t="shared" ca="1" si="124"/>
        <v>128485.20062303347</v>
      </c>
    </row>
    <row r="145" spans="2:102" s="47" customFormat="1" ht="18" customHeight="1" x14ac:dyDescent="0.25">
      <c r="B145" t="str">
        <f t="shared" si="125"/>
        <v>NSG_Residential_Multi-Family_Direct Install_Unit Visit_0_MF</v>
      </c>
      <c r="C145" s="47" t="str">
        <f t="shared" si="86"/>
        <v>Unit Visit_0_MF</v>
      </c>
      <c r="D145" s="270" t="s">
        <v>1787</v>
      </c>
      <c r="E145" s="270" t="s">
        <v>2</v>
      </c>
      <c r="F145" s="270" t="s">
        <v>1422</v>
      </c>
      <c r="G145" s="270" t="s">
        <v>4</v>
      </c>
      <c r="H145" s="270" t="s">
        <v>1090</v>
      </c>
      <c r="I145" s="270">
        <v>0</v>
      </c>
      <c r="J145" s="270" t="s">
        <v>553</v>
      </c>
      <c r="K145" s="263">
        <v>1</v>
      </c>
      <c r="L145" s="263">
        <f ca="1">IFERROR(INDEX(Algorithms!J:J,MATCH($C145&amp;"_Therm Saved per Unit",Algorithms!$A:$A,0)),"n/a")</f>
        <v>0</v>
      </c>
      <c r="M145" s="263" t="str">
        <f>IFERROR(INDEX('Measure Level Detail'!$N:$N,MATCH($B145,'Measure Level Detail'!$B:$B,0)),0)</f>
        <v>each</v>
      </c>
      <c r="N145" s="271">
        <f>IFERROR(INDEX('Measure Level Detail'!$P:$P,MATCH($B145&amp;"_"&amp;N$3,'Measure Level Detail'!$C:$C,0)),0)</f>
        <v>500</v>
      </c>
      <c r="O145" s="271">
        <f>IFERROR(INDEX('Measure Level Detail'!$P:$P,MATCH($B145&amp;"_"&amp;O$3,'Measure Level Detail'!$C:$C,0)),0)</f>
        <v>500</v>
      </c>
      <c r="P145" s="271">
        <f>IFERROR(INDEX('Measure Level Detail'!$P:$P,MATCH($B145&amp;"_"&amp;P$3,'Measure Level Detail'!$C:$C,0)),0)</f>
        <v>500</v>
      </c>
      <c r="Q145" s="271">
        <f>IFERROR(INDEX('Measure Level Detail'!$P:$P,MATCH($B145&amp;"_"&amp;Q$3,'Measure Level Detail'!$C:$C,0)),0)</f>
        <v>500</v>
      </c>
      <c r="R145" s="263">
        <f ca="1">IFERROR(INDEX(Algorithms!K:K,MATCH($C145&amp;"_Therm Saved per Unit",Algorithms!$A:$A,0)),"n/a")</f>
        <v>0</v>
      </c>
      <c r="S145" s="262"/>
      <c r="T145" s="272">
        <v>0</v>
      </c>
      <c r="U145" s="272">
        <v>0</v>
      </c>
      <c r="V145" s="272">
        <v>0</v>
      </c>
      <c r="W145" s="272">
        <v>0</v>
      </c>
      <c r="X145" s="273">
        <f>IFERROR(INDEX('Measure Level Detail'!$R:$R,MATCH($B145&amp;"_"&amp;X$3,'Measure Level Detail'!$C:$C,0)),0)</f>
        <v>0.96</v>
      </c>
      <c r="Y145" s="273">
        <f>IFERROR(INDEX('Measure Level Detail'!$R:$R,MATCH($B145&amp;"_"&amp;Y$3,'Measure Level Detail'!$C:$C,0)),0)</f>
        <v>0.96</v>
      </c>
      <c r="Z145" s="273">
        <f>IFERROR(INDEX('Measure Level Detail'!$R:$R,MATCH($B145&amp;"_"&amp;Z$3,'Measure Level Detail'!$C:$C,0)),0)</f>
        <v>0.96</v>
      </c>
      <c r="AA145" s="273">
        <f>IFERROR(INDEX('Measure Level Detail'!$R:$R,MATCH($B145&amp;"_"&amp;AA$3,'Measure Level Detail'!$C:$C,0)),0)</f>
        <v>0.96</v>
      </c>
      <c r="AB145" s="266">
        <f t="shared" si="87"/>
        <v>0</v>
      </c>
      <c r="AC145" s="266">
        <f t="shared" si="88"/>
        <v>0</v>
      </c>
      <c r="AD145" s="266">
        <f t="shared" si="89"/>
        <v>0</v>
      </c>
      <c r="AE145" s="266">
        <f t="shared" si="90"/>
        <v>0</v>
      </c>
      <c r="AF145" s="266">
        <f t="shared" si="91"/>
        <v>0</v>
      </c>
      <c r="AG145" s="274">
        <v>0.96</v>
      </c>
      <c r="AH145" s="274">
        <v>0.96</v>
      </c>
      <c r="AI145" s="274">
        <v>0.96</v>
      </c>
      <c r="AJ145" s="274">
        <v>0.96</v>
      </c>
      <c r="AK145" s="274">
        <f t="shared" si="92"/>
        <v>0.96</v>
      </c>
      <c r="AL145" s="274">
        <f t="shared" si="93"/>
        <v>0.96</v>
      </c>
      <c r="AM145" s="274">
        <f t="shared" si="94"/>
        <v>0.96</v>
      </c>
      <c r="AN145" s="274">
        <f t="shared" si="95"/>
        <v>0.96</v>
      </c>
      <c r="AO145" s="262"/>
      <c r="AP145" s="262"/>
      <c r="AQ145" s="267">
        <v>0</v>
      </c>
      <c r="AR145" s="262"/>
      <c r="AS145" s="266">
        <f t="shared" si="96"/>
        <v>0</v>
      </c>
      <c r="AT145" s="264">
        <f t="shared" si="97"/>
        <v>0</v>
      </c>
      <c r="AU145" s="262"/>
      <c r="AV145" s="262"/>
      <c r="AW145" s="265">
        <v>0</v>
      </c>
      <c r="AX145" s="164" t="s">
        <v>1469</v>
      </c>
      <c r="AY145" s="266">
        <v>0</v>
      </c>
      <c r="AZ145" s="266">
        <f t="shared" si="98"/>
        <v>0</v>
      </c>
      <c r="BA145" s="264">
        <f t="shared" si="99"/>
        <v>0</v>
      </c>
      <c r="BB145" s="262"/>
      <c r="BC145" s="262"/>
      <c r="BD145" s="265">
        <f ca="1">IFERROR(INDEX(Algorithms!$G:$G,MATCH($C145&amp;"_Therm Saved per Unit",Algorithms!$A:$A,0)),0)</f>
        <v>0</v>
      </c>
      <c r="BE145" s="164" t="str">
        <f ca="1">IFERROR(INDEX('v12 Revisions'!$P$29:$P$186, MATCH('Measure-Level Adj Gas'!$L145, 'v12 Revisions'!$D$29:$D$186,0)),"")</f>
        <v/>
      </c>
      <c r="BF145" s="266">
        <f t="shared" ca="1" si="100"/>
        <v>0</v>
      </c>
      <c r="BG145" s="264">
        <f t="shared" ca="1" si="101"/>
        <v>0</v>
      </c>
      <c r="BH145" s="262"/>
      <c r="BI145" s="262"/>
      <c r="BJ145" s="265">
        <f ca="1">IFERROR(INDEX(Algorithms!$G:$G,MATCH($C145&amp;"_Therm Saved per Unit",Algorithms!$A:$A,0)),0)</f>
        <v>0</v>
      </c>
      <c r="BK145" s="164"/>
      <c r="BL145" s="266">
        <f t="shared" ca="1" si="102"/>
        <v>0</v>
      </c>
      <c r="BM145" s="264">
        <f t="shared" ca="1" si="103"/>
        <v>0</v>
      </c>
      <c r="BN145" s="266">
        <f t="shared" si="104"/>
        <v>0</v>
      </c>
      <c r="BO145" s="266">
        <f t="shared" si="105"/>
        <v>0</v>
      </c>
      <c r="BP145" s="266">
        <f t="shared" ca="1" si="106"/>
        <v>0</v>
      </c>
      <c r="BQ145" s="266">
        <f t="shared" ca="1" si="107"/>
        <v>0</v>
      </c>
      <c r="BR145" s="268">
        <f t="shared" ca="1" si="108"/>
        <v>0</v>
      </c>
      <c r="BS145" s="262" t="s">
        <v>99</v>
      </c>
      <c r="BT145" s="277"/>
      <c r="BW145" s="266">
        <f t="shared" si="109"/>
        <v>0</v>
      </c>
      <c r="BX145" s="266">
        <f t="shared" si="110"/>
        <v>0</v>
      </c>
      <c r="BY145" s="266">
        <f t="shared" si="111"/>
        <v>0</v>
      </c>
      <c r="BZ145" s="266">
        <f t="shared" si="112"/>
        <v>0</v>
      </c>
      <c r="CA145" s="266">
        <f ca="1">N145*IFERROR(INDEX(Algorithms!$G:$G,MATCH($C145&amp;"_Therm Saved per Unit- MLA",Algorithms!$A:$A,0)),0)*X145</f>
        <v>0</v>
      </c>
      <c r="CB145" s="266">
        <f ca="1">O145*IFERROR(INDEX(Algorithms!$G:$G,MATCH($C145&amp;"_Therm Saved per Unit- MLA",Algorithms!$A:$A,0)),0)*Y145</f>
        <v>0</v>
      </c>
      <c r="CC145" s="266">
        <f ca="1">P145*IFERROR(INDEX(Algorithms!$G:$G,MATCH($C145&amp;"_Therm Saved per Unit- MLA",Algorithms!$A:$A,0)),0)*Z145</f>
        <v>0</v>
      </c>
      <c r="CD145" s="266">
        <f ca="1">Q145*IFERROR(INDEX(Algorithms!$G:$G,MATCH($C145&amp;"_Therm Saved per Unit- MLA",Algorithms!$A:$A,0)),0)*AA145</f>
        <v>0</v>
      </c>
      <c r="CE145" s="266">
        <f ca="1">IFERROR(INDEX(Algorithms!$G:$G,MATCH($C145&amp;"_Lifetime (years)",Algorithms!$A:$A,0)),0)</f>
        <v>1</v>
      </c>
      <c r="CF145" s="266">
        <f ca="1">IFERROR(INDEX(Algorithms!$G:$G,MATCH($C145&amp;"_Lifetime (years) - Remaining Years",Algorithms!$A:$A,0)),0)</f>
        <v>0</v>
      </c>
      <c r="CG145" s="266">
        <f t="shared" ca="1" si="113"/>
        <v>0</v>
      </c>
      <c r="CH145" s="266">
        <f t="shared" ca="1" si="114"/>
        <v>0</v>
      </c>
      <c r="CI145" s="266">
        <f t="shared" ca="1" si="115"/>
        <v>0</v>
      </c>
      <c r="CJ145" s="266">
        <f t="shared" ca="1" si="116"/>
        <v>0</v>
      </c>
      <c r="CK145" s="266">
        <f t="shared" si="117"/>
        <v>0</v>
      </c>
      <c r="CL145" s="266">
        <f t="shared" si="118"/>
        <v>0</v>
      </c>
      <c r="CM145" s="266">
        <f t="shared" ca="1" si="119"/>
        <v>0</v>
      </c>
      <c r="CN145" s="266">
        <f t="shared" ca="1" si="120"/>
        <v>0</v>
      </c>
      <c r="CO145" s="266">
        <f ca="1">N145*IFERROR(INDEX(Algorithms!$G:$G,MATCH($C145&amp;"_Therm Saved per Unit- MLA",Algorithms!$A:$A,0)),0)*X145</f>
        <v>0</v>
      </c>
      <c r="CP145" s="266">
        <f ca="1">O145*IFERROR(INDEX(Algorithms!$G:$G,MATCH($C145&amp;"_Therm Saved per Unit- MLA",Algorithms!$A:$A,0)),0)*Y145</f>
        <v>0</v>
      </c>
      <c r="CQ145" s="266">
        <f ca="1">P145*IFERROR(INDEX(Algorithms!$G:$G,MATCH($C145&amp;"_Therm Saved per Unit- MLA",Algorithms!$A:$A,0)),0)*Z145</f>
        <v>0</v>
      </c>
      <c r="CR145" s="266">
        <f ca="1">Q145*IFERROR(INDEX(Algorithms!$G:$G,MATCH($C145&amp;"_Therm Saved per Unit- MLA",Algorithms!$A:$A,0)),0)*AA145</f>
        <v>0</v>
      </c>
      <c r="CS145" s="266">
        <f ca="1">IFERROR(INDEX(Algorithms!$G:$G,MATCH($C145&amp;"_Lifetime (years)",Algorithms!$A:$A,0)),0)</f>
        <v>1</v>
      </c>
      <c r="CT145" s="266">
        <f ca="1">IFERROR(INDEX(Algorithms!$G:$G,MATCH($C145&amp;"_Lifetime (years) - Remaining Years",Algorithms!$A:$A,0)),0)</f>
        <v>0</v>
      </c>
      <c r="CU145" s="266">
        <f t="shared" ca="1" si="121"/>
        <v>0</v>
      </c>
      <c r="CV145" s="266">
        <f t="shared" ca="1" si="122"/>
        <v>0</v>
      </c>
      <c r="CW145" s="266">
        <f t="shared" ca="1" si="123"/>
        <v>0</v>
      </c>
      <c r="CX145" s="266">
        <f t="shared" ca="1" si="124"/>
        <v>0</v>
      </c>
    </row>
    <row r="146" spans="2:102" s="47" customFormat="1" ht="18" customHeight="1" x14ac:dyDescent="0.25">
      <c r="B146" t="str">
        <f t="shared" si="125"/>
        <v>NSG_Residential_Multi-Family_Partner Trade Ally Rebate_Steam Boiler_&gt;=300MBH, &lt;1,500, &gt;=81% AFUE_MF</v>
      </c>
      <c r="C146" s="47" t="str">
        <f t="shared" si="86"/>
        <v>Steam Boiler_&gt;=300MBH, &lt;1,500, &gt;=81% AFUE_MF</v>
      </c>
      <c r="D146" s="270" t="s">
        <v>1787</v>
      </c>
      <c r="E146" s="270" t="s">
        <v>2</v>
      </c>
      <c r="F146" s="270" t="s">
        <v>1422</v>
      </c>
      <c r="G146" s="270" t="s">
        <v>1799</v>
      </c>
      <c r="H146" s="270" t="s">
        <v>938</v>
      </c>
      <c r="I146" s="270" t="s">
        <v>1300</v>
      </c>
      <c r="J146" s="270" t="s">
        <v>553</v>
      </c>
      <c r="K146" s="263">
        <v>1</v>
      </c>
      <c r="L146" s="263" t="str">
        <f ca="1">IFERROR(INDEX(Algorithms!J:J,MATCH($C146&amp;"_Therm Saved per Unit",Algorithms!$A:$A,0)),"n/a")</f>
        <v>4.4.10</v>
      </c>
      <c r="M146" s="263" t="str">
        <f>IFERROR(INDEX('Measure Level Detail'!$N:$N,MATCH($B146,'Measure Level Detail'!$B:$B,0)),0)</f>
        <v>MBH</v>
      </c>
      <c r="N146" s="271">
        <f>IFERROR(INDEX('Measure Level Detail'!$P:$P,MATCH($B146&amp;"_"&amp;N$3,'Measure Level Detail'!$C:$C,0)),0)</f>
        <v>500</v>
      </c>
      <c r="O146" s="271">
        <f>IFERROR(INDEX('Measure Level Detail'!$P:$P,MATCH($B146&amp;"_"&amp;O$3,'Measure Level Detail'!$C:$C,0)),0)</f>
        <v>500</v>
      </c>
      <c r="P146" s="271">
        <f>IFERROR(INDEX('Measure Level Detail'!$P:$P,MATCH($B146&amp;"_"&amp;P$3,'Measure Level Detail'!$C:$C,0)),0)</f>
        <v>500</v>
      </c>
      <c r="Q146" s="271">
        <f>IFERROR(INDEX('Measure Level Detail'!$P:$P,MATCH($B146&amp;"_"&amp;Q$3,'Measure Level Detail'!$C:$C,0)),0)</f>
        <v>500</v>
      </c>
      <c r="R146" s="263" t="str">
        <f ca="1">IFERROR(INDEX(Algorithms!K:K,MATCH($C146&amp;"_Therm Saved per Unit",Algorithms!$A:$A,0)),"n/a")</f>
        <v>CI-HVC-BOIL-V11-240101</v>
      </c>
      <c r="S146" s="262"/>
      <c r="T146" s="272">
        <v>0.63884615384615429</v>
      </c>
      <c r="U146" s="272">
        <v>0.63884615384615429</v>
      </c>
      <c r="V146" s="272">
        <v>0.63884615384615429</v>
      </c>
      <c r="W146" s="272">
        <v>0.63884615384615429</v>
      </c>
      <c r="X146" s="273">
        <f>IFERROR(INDEX('Measure Level Detail'!$R:$R,MATCH($B146&amp;"_"&amp;X$3,'Measure Level Detail'!$C:$C,0)),0)</f>
        <v>0.87</v>
      </c>
      <c r="Y146" s="273">
        <f>IFERROR(INDEX('Measure Level Detail'!$R:$R,MATCH($B146&amp;"_"&amp;Y$3,'Measure Level Detail'!$C:$C,0)),0)</f>
        <v>0.87</v>
      </c>
      <c r="Z146" s="273">
        <f>IFERROR(INDEX('Measure Level Detail'!$R:$R,MATCH($B146&amp;"_"&amp;Z$3,'Measure Level Detail'!$C:$C,0)),0)</f>
        <v>0.87</v>
      </c>
      <c r="AA146" s="273">
        <f>IFERROR(INDEX('Measure Level Detail'!$R:$R,MATCH($B146&amp;"_"&amp;AA$3,'Measure Level Detail'!$C:$C,0)),0)</f>
        <v>0.87</v>
      </c>
      <c r="AB146" s="266">
        <f t="shared" si="87"/>
        <v>277.8980769230771</v>
      </c>
      <c r="AC146" s="266">
        <f t="shared" si="88"/>
        <v>277.8980769230771</v>
      </c>
      <c r="AD146" s="266">
        <f t="shared" si="89"/>
        <v>277.8980769230771</v>
      </c>
      <c r="AE146" s="266">
        <f t="shared" si="90"/>
        <v>277.8980769230771</v>
      </c>
      <c r="AF146" s="266">
        <f t="shared" si="91"/>
        <v>1111.5923076923084</v>
      </c>
      <c r="AG146" s="274">
        <v>0.87</v>
      </c>
      <c r="AH146" s="274">
        <v>0.87</v>
      </c>
      <c r="AI146" s="710">
        <v>0.88</v>
      </c>
      <c r="AJ146" s="710">
        <v>0.88</v>
      </c>
      <c r="AK146" s="274">
        <f t="shared" si="92"/>
        <v>0.87</v>
      </c>
      <c r="AL146" s="274">
        <f t="shared" si="93"/>
        <v>0.87</v>
      </c>
      <c r="AM146" s="274">
        <f t="shared" si="94"/>
        <v>0.87</v>
      </c>
      <c r="AN146" s="274">
        <f t="shared" si="95"/>
        <v>0.87</v>
      </c>
      <c r="AO146" s="262"/>
      <c r="AP146" s="262"/>
      <c r="AQ146" s="267">
        <v>0.63884615384615429</v>
      </c>
      <c r="AR146" s="262"/>
      <c r="AS146" s="266">
        <f t="shared" si="96"/>
        <v>277.8980769230771</v>
      </c>
      <c r="AT146" s="264">
        <f t="shared" si="97"/>
        <v>0</v>
      </c>
      <c r="AU146" s="262"/>
      <c r="AV146" s="262"/>
      <c r="AW146" s="265">
        <v>0.42050632911392438</v>
      </c>
      <c r="AX146" s="164" t="s">
        <v>1469</v>
      </c>
      <c r="AY146" s="266">
        <v>277.8980769230771</v>
      </c>
      <c r="AZ146" s="266">
        <f t="shared" si="98"/>
        <v>182.9202531645571</v>
      </c>
      <c r="BA146" s="264">
        <f t="shared" si="99"/>
        <v>-94.977823758520003</v>
      </c>
      <c r="BB146" s="262"/>
      <c r="BC146" s="262"/>
      <c r="BD146" s="265">
        <f ca="1">IFERROR(INDEX(Algorithms!$G:$G,MATCH($C146&amp;"_Therm Saved per Unit",Algorithms!$A:$A,0)),0)</f>
        <v>0.41012345679012158</v>
      </c>
      <c r="BE146" s="164" t="str">
        <f ca="1">IFERROR(INDEX('v12 Revisions'!$P$29:$P$186, MATCH('Measure-Level Adj Gas'!$L146, 'v12 Revisions'!$D$29:$D$186,0)),"")</f>
        <v>Updated baseline and efficient boiler efficiency ratings.</v>
      </c>
      <c r="BF146" s="266">
        <f t="shared" ca="1" si="100"/>
        <v>178.40370370370289</v>
      </c>
      <c r="BG146" s="264">
        <f t="shared" ca="1" si="101"/>
        <v>-99.494373219374211</v>
      </c>
      <c r="BH146" s="262"/>
      <c r="BI146" s="262"/>
      <c r="BJ146" s="265">
        <f ca="1">IFERROR(INDEX(Algorithms!$G:$G,MATCH($C146&amp;"_Therm Saved per Unit",Algorithms!$A:$A,0)),0)</f>
        <v>0.41012345679012158</v>
      </c>
      <c r="BK146" s="164"/>
      <c r="BL146" s="266">
        <f t="shared" ca="1" si="102"/>
        <v>178.40370370370289</v>
      </c>
      <c r="BM146" s="264">
        <f t="shared" ca="1" si="103"/>
        <v>-99.494373219374211</v>
      </c>
      <c r="BN146" s="266">
        <f t="shared" si="104"/>
        <v>277.8980769230771</v>
      </c>
      <c r="BO146" s="266">
        <f t="shared" si="105"/>
        <v>182.9202531645571</v>
      </c>
      <c r="BP146" s="266">
        <f t="shared" ca="1" si="106"/>
        <v>178.40370370370289</v>
      </c>
      <c r="BQ146" s="266">
        <f t="shared" ca="1" si="107"/>
        <v>178.40370370370289</v>
      </c>
      <c r="BR146" s="268">
        <f t="shared" ca="1" si="108"/>
        <v>817.62573749503986</v>
      </c>
      <c r="BS146" s="262" t="s">
        <v>99</v>
      </c>
      <c r="BT146" s="277"/>
      <c r="BW146" s="266">
        <f t="shared" si="109"/>
        <v>277.8980769230771</v>
      </c>
      <c r="BX146" s="266">
        <f t="shared" si="110"/>
        <v>277.8980769230771</v>
      </c>
      <c r="BY146" s="266">
        <f t="shared" si="111"/>
        <v>277.8980769230771</v>
      </c>
      <c r="BZ146" s="266">
        <f t="shared" si="112"/>
        <v>277.8980769230771</v>
      </c>
      <c r="CA146" s="266">
        <f ca="1">N146*IFERROR(INDEX(Algorithms!$G:$G,MATCH($C146&amp;"_Therm Saved per Unit- MLA",Algorithms!$A:$A,0)),0)*X146</f>
        <v>0</v>
      </c>
      <c r="CB146" s="266">
        <f ca="1">O146*IFERROR(INDEX(Algorithms!$G:$G,MATCH($C146&amp;"_Therm Saved per Unit- MLA",Algorithms!$A:$A,0)),0)*Y146</f>
        <v>0</v>
      </c>
      <c r="CC146" s="266">
        <f ca="1">P146*IFERROR(INDEX(Algorithms!$G:$G,MATCH($C146&amp;"_Therm Saved per Unit- MLA",Algorithms!$A:$A,0)),0)*Z146</f>
        <v>0</v>
      </c>
      <c r="CD146" s="266">
        <f ca="1">Q146*IFERROR(INDEX(Algorithms!$G:$G,MATCH($C146&amp;"_Therm Saved per Unit- MLA",Algorithms!$A:$A,0)),0)*AA146</f>
        <v>0</v>
      </c>
      <c r="CE146" s="266">
        <f ca="1">IFERROR(INDEX(Algorithms!$G:$G,MATCH($C146&amp;"_Lifetime (years)",Algorithms!$A:$A,0)),0)</f>
        <v>25</v>
      </c>
      <c r="CF146" s="266">
        <f ca="1">IFERROR(INDEX(Algorithms!$G:$G,MATCH($C146&amp;"_Lifetime (years) - Remaining Years",Algorithms!$A:$A,0)),0)</f>
        <v>0</v>
      </c>
      <c r="CG146" s="266">
        <f t="shared" ca="1" si="113"/>
        <v>6947.4519230769274</v>
      </c>
      <c r="CH146" s="266">
        <f t="shared" ca="1" si="114"/>
        <v>6947.4519230769274</v>
      </c>
      <c r="CI146" s="266">
        <f t="shared" ca="1" si="115"/>
        <v>6947.4519230769274</v>
      </c>
      <c r="CJ146" s="266">
        <f t="shared" ca="1" si="116"/>
        <v>6947.4519230769274</v>
      </c>
      <c r="CK146" s="266">
        <f t="shared" si="117"/>
        <v>277.8980769230771</v>
      </c>
      <c r="CL146" s="266">
        <f t="shared" si="118"/>
        <v>182.9202531645571</v>
      </c>
      <c r="CM146" s="266">
        <f t="shared" ca="1" si="119"/>
        <v>178.40370370370289</v>
      </c>
      <c r="CN146" s="266">
        <f t="shared" ca="1" si="120"/>
        <v>178.40370370370289</v>
      </c>
      <c r="CO146" s="266">
        <f ca="1">N146*IFERROR(INDEX(Algorithms!$G:$G,MATCH($C146&amp;"_Therm Saved per Unit- MLA",Algorithms!$A:$A,0)),0)*X146</f>
        <v>0</v>
      </c>
      <c r="CP146" s="266">
        <f ca="1">O146*IFERROR(INDEX(Algorithms!$G:$G,MATCH($C146&amp;"_Therm Saved per Unit- MLA",Algorithms!$A:$A,0)),0)*Y146</f>
        <v>0</v>
      </c>
      <c r="CQ146" s="266">
        <f ca="1">P146*IFERROR(INDEX(Algorithms!$G:$G,MATCH($C146&amp;"_Therm Saved per Unit- MLA",Algorithms!$A:$A,0)),0)*Z146</f>
        <v>0</v>
      </c>
      <c r="CR146" s="266">
        <f ca="1">Q146*IFERROR(INDEX(Algorithms!$G:$G,MATCH($C146&amp;"_Therm Saved per Unit- MLA",Algorithms!$A:$A,0)),0)*AA146</f>
        <v>0</v>
      </c>
      <c r="CS146" s="266">
        <f ca="1">IFERROR(INDEX(Algorithms!$G:$G,MATCH($C146&amp;"_Lifetime (years)",Algorithms!$A:$A,0)),0)</f>
        <v>25</v>
      </c>
      <c r="CT146" s="266">
        <f ca="1">IFERROR(INDEX(Algorithms!$G:$G,MATCH($C146&amp;"_Lifetime (years) - Remaining Years",Algorithms!$A:$A,0)),0)</f>
        <v>0</v>
      </c>
      <c r="CU146" s="266">
        <f t="shared" ca="1" si="121"/>
        <v>6947.4519230769274</v>
      </c>
      <c r="CV146" s="266">
        <f t="shared" ca="1" si="122"/>
        <v>4573.0063291139277</v>
      </c>
      <c r="CW146" s="266">
        <f t="shared" ca="1" si="123"/>
        <v>4460.0925925925721</v>
      </c>
      <c r="CX146" s="266">
        <f t="shared" ca="1" si="124"/>
        <v>4460.0925925925721</v>
      </c>
    </row>
    <row r="147" spans="2:102" s="47" customFormat="1" ht="18" customHeight="1" x14ac:dyDescent="0.25">
      <c r="B147" t="str">
        <f t="shared" si="125"/>
        <v>NSG_Business_Small/Mid-Size Business_Rebates_High Speed Washer_Hotel/Motel/Hospital_CI</v>
      </c>
      <c r="C147" s="47" t="str">
        <f t="shared" si="86"/>
        <v>High Speed Washer_Hotel/Motel/Hospital_CI</v>
      </c>
      <c r="D147" s="270" t="s">
        <v>1787</v>
      </c>
      <c r="E147" s="270" t="s">
        <v>3</v>
      </c>
      <c r="F147" s="270" t="s">
        <v>1432</v>
      </c>
      <c r="G147" s="270" t="s">
        <v>1429</v>
      </c>
      <c r="H147" s="270" t="s">
        <v>725</v>
      </c>
      <c r="I147" s="270" t="s">
        <v>1162</v>
      </c>
      <c r="J147" s="270" t="s">
        <v>1159</v>
      </c>
      <c r="K147" s="263">
        <v>1</v>
      </c>
      <c r="L147" s="263" t="str">
        <f ca="1">IFERROR(INDEX(Algorithms!J:J,MATCH($C147&amp;"_Therm Saved per Unit",Algorithms!$A:$A,0)),"n/a")</f>
        <v>4.8.5</v>
      </c>
      <c r="M147" s="263" t="str">
        <f>IFERROR(INDEX('Measure Level Detail'!$N:$N,MATCH($B147,'Measure Level Detail'!$B:$B,0)),0)</f>
        <v>lb-capacity</v>
      </c>
      <c r="N147" s="271">
        <f>IFERROR(INDEX('Measure Level Detail'!$P:$P,MATCH($B147&amp;"_"&amp;N$3,'Measure Level Detail'!$C:$C,0)),0)</f>
        <v>500</v>
      </c>
      <c r="O147" s="271">
        <f>IFERROR(INDEX('Measure Level Detail'!$P:$P,MATCH($B147&amp;"_"&amp;O$3,'Measure Level Detail'!$C:$C,0)),0)</f>
        <v>500</v>
      </c>
      <c r="P147" s="271">
        <f>IFERROR(INDEX('Measure Level Detail'!$P:$P,MATCH($B147&amp;"_"&amp;P$3,'Measure Level Detail'!$C:$C,0)),0)</f>
        <v>500</v>
      </c>
      <c r="Q147" s="271">
        <f>IFERROR(INDEX('Measure Level Detail'!$P:$P,MATCH($B147&amp;"_"&amp;Q$3,'Measure Level Detail'!$C:$C,0)),0)</f>
        <v>500</v>
      </c>
      <c r="R147" s="263" t="str">
        <f ca="1">IFERROR(INDEX(Algorithms!K:K,MATCH($C147&amp;"_Therm Saved per Unit",Algorithms!$A:$A,0)),"n/a")</f>
        <v>CI-MSC-HSCW-V03-240101</v>
      </c>
      <c r="S147" s="262"/>
      <c r="T147" s="272">
        <v>6.7459391999999996</v>
      </c>
      <c r="U147" s="272">
        <v>6.7459391999999996</v>
      </c>
      <c r="V147" s="272">
        <v>6.7459391999999996</v>
      </c>
      <c r="W147" s="272">
        <v>6.7459391999999996</v>
      </c>
      <c r="X147" s="276">
        <v>0.93</v>
      </c>
      <c r="Y147" s="276">
        <v>0.93</v>
      </c>
      <c r="Z147" s="276">
        <v>0.93</v>
      </c>
      <c r="AA147" s="276">
        <v>0.93</v>
      </c>
      <c r="AB147" s="266">
        <f t="shared" si="87"/>
        <v>3136.8617279999999</v>
      </c>
      <c r="AC147" s="266">
        <f t="shared" si="88"/>
        <v>3136.8617279999999</v>
      </c>
      <c r="AD147" s="266">
        <f t="shared" si="89"/>
        <v>3136.8617279999999</v>
      </c>
      <c r="AE147" s="266">
        <f t="shared" si="90"/>
        <v>3136.8617279999999</v>
      </c>
      <c r="AF147" s="266">
        <f t="shared" si="91"/>
        <v>12547.446911999999</v>
      </c>
      <c r="AG147" s="274">
        <v>0.93</v>
      </c>
      <c r="AH147" s="274">
        <v>0.93</v>
      </c>
      <c r="AI147" s="274">
        <v>0.93</v>
      </c>
      <c r="AJ147" s="274">
        <v>0.93</v>
      </c>
      <c r="AK147" s="274">
        <f t="shared" si="92"/>
        <v>0.93</v>
      </c>
      <c r="AL147" s="274">
        <f t="shared" si="93"/>
        <v>0.93</v>
      </c>
      <c r="AM147" s="274">
        <f t="shared" si="94"/>
        <v>0.93</v>
      </c>
      <c r="AN147" s="274">
        <f t="shared" si="95"/>
        <v>0.93</v>
      </c>
      <c r="AO147" s="262"/>
      <c r="AP147" s="262"/>
      <c r="AQ147" s="267">
        <v>6.7459391999999996</v>
      </c>
      <c r="AR147" s="262"/>
      <c r="AS147" s="266">
        <f t="shared" si="96"/>
        <v>3136.8617279999999</v>
      </c>
      <c r="AT147" s="264">
        <f t="shared" si="97"/>
        <v>0</v>
      </c>
      <c r="AU147" s="262"/>
      <c r="AV147" s="262"/>
      <c r="AW147" s="265">
        <v>6.7459391999999996</v>
      </c>
      <c r="AX147" s="164" t="s">
        <v>1469</v>
      </c>
      <c r="AY147" s="266">
        <v>3136.8617279999999</v>
      </c>
      <c r="AZ147" s="266">
        <f t="shared" si="98"/>
        <v>3136.8617279999999</v>
      </c>
      <c r="BA147" s="264">
        <f t="shared" si="99"/>
        <v>0</v>
      </c>
      <c r="BB147" s="262"/>
      <c r="BC147" s="262"/>
      <c r="BD147" s="265">
        <f ca="1">IFERROR(INDEX(Algorithms!$G:$G,MATCH($C147&amp;"_Therm Saved per Unit",Algorithms!$A:$A,0)),0)</f>
        <v>6.7459391999999996</v>
      </c>
      <c r="BE147" s="164" t="str">
        <f ca="1">IFERROR(INDEX('v12 Revisions'!$P$29:$P$186, MATCH('Measure-Level Adj Gas'!$L147, 'v12 Revisions'!$D$29:$D$186,0)),"")</f>
        <v>n/a - costs only.</v>
      </c>
      <c r="BF147" s="266">
        <f t="shared" ca="1" si="100"/>
        <v>3136.8617279999999</v>
      </c>
      <c r="BG147" s="264">
        <f t="shared" ca="1" si="101"/>
        <v>0</v>
      </c>
      <c r="BH147" s="262"/>
      <c r="BI147" s="262"/>
      <c r="BJ147" s="265">
        <f ca="1">IFERROR(INDEX(Algorithms!$G:$G,MATCH($C147&amp;"_Therm Saved per Unit",Algorithms!$A:$A,0)),0)</f>
        <v>6.7459391999999996</v>
      </c>
      <c r="BK147" s="164"/>
      <c r="BL147" s="266">
        <f t="shared" ca="1" si="102"/>
        <v>3136.8617279999999</v>
      </c>
      <c r="BM147" s="264">
        <f t="shared" ca="1" si="103"/>
        <v>0</v>
      </c>
      <c r="BN147" s="266">
        <f t="shared" si="104"/>
        <v>3136.8617279999999</v>
      </c>
      <c r="BO147" s="266">
        <f t="shared" si="105"/>
        <v>3136.8617279999999</v>
      </c>
      <c r="BP147" s="266">
        <f t="shared" ca="1" si="106"/>
        <v>3136.8617279999999</v>
      </c>
      <c r="BQ147" s="266">
        <f t="shared" ca="1" si="107"/>
        <v>3136.8617279999999</v>
      </c>
      <c r="BR147" s="268">
        <f t="shared" ca="1" si="108"/>
        <v>12547.446911999999</v>
      </c>
      <c r="BS147" s="262" t="s">
        <v>99</v>
      </c>
      <c r="BT147" s="277"/>
      <c r="BW147" s="266">
        <f t="shared" si="109"/>
        <v>3136.8617279999999</v>
      </c>
      <c r="BX147" s="266">
        <f t="shared" si="110"/>
        <v>3136.8617279999999</v>
      </c>
      <c r="BY147" s="266">
        <f t="shared" si="111"/>
        <v>3136.8617279999999</v>
      </c>
      <c r="BZ147" s="266">
        <f t="shared" si="112"/>
        <v>3136.8617279999999</v>
      </c>
      <c r="CA147" s="266">
        <f ca="1">N147*IFERROR(INDEX(Algorithms!$G:$G,MATCH($C147&amp;"_Therm Saved per Unit- MLA",Algorithms!$A:$A,0)),0)*X147</f>
        <v>0</v>
      </c>
      <c r="CB147" s="266">
        <f ca="1">O147*IFERROR(INDEX(Algorithms!$G:$G,MATCH($C147&amp;"_Therm Saved per Unit- MLA",Algorithms!$A:$A,0)),0)*Y147</f>
        <v>0</v>
      </c>
      <c r="CC147" s="266">
        <f ca="1">P147*IFERROR(INDEX(Algorithms!$G:$G,MATCH($C147&amp;"_Therm Saved per Unit- MLA",Algorithms!$A:$A,0)),0)*Z147</f>
        <v>0</v>
      </c>
      <c r="CD147" s="266">
        <f ca="1">Q147*IFERROR(INDEX(Algorithms!$G:$G,MATCH($C147&amp;"_Therm Saved per Unit- MLA",Algorithms!$A:$A,0)),0)*AA147</f>
        <v>0</v>
      </c>
      <c r="CE147" s="266">
        <f ca="1">IFERROR(INDEX(Algorithms!$G:$G,MATCH($C147&amp;"_Lifetime (years)",Algorithms!$A:$A,0)),0)</f>
        <v>7</v>
      </c>
      <c r="CF147" s="266">
        <f ca="1">IFERROR(INDEX(Algorithms!$G:$G,MATCH($C147&amp;"_Lifetime (years) - Remaining Years",Algorithms!$A:$A,0)),0)</f>
        <v>0</v>
      </c>
      <c r="CG147" s="266">
        <f t="shared" ca="1" si="113"/>
        <v>21958.032095999999</v>
      </c>
      <c r="CH147" s="266">
        <f t="shared" ca="1" si="114"/>
        <v>21958.032095999999</v>
      </c>
      <c r="CI147" s="266">
        <f t="shared" ca="1" si="115"/>
        <v>21958.032095999999</v>
      </c>
      <c r="CJ147" s="266">
        <f t="shared" ca="1" si="116"/>
        <v>21958.032095999999</v>
      </c>
      <c r="CK147" s="266">
        <f t="shared" si="117"/>
        <v>3136.8617279999999</v>
      </c>
      <c r="CL147" s="266">
        <f t="shared" si="118"/>
        <v>3136.8617279999999</v>
      </c>
      <c r="CM147" s="266">
        <f t="shared" ca="1" si="119"/>
        <v>3136.8617279999999</v>
      </c>
      <c r="CN147" s="266">
        <f t="shared" ca="1" si="120"/>
        <v>3136.8617279999999</v>
      </c>
      <c r="CO147" s="266">
        <f ca="1">N147*IFERROR(INDEX(Algorithms!$G:$G,MATCH($C147&amp;"_Therm Saved per Unit- MLA",Algorithms!$A:$A,0)),0)*X147</f>
        <v>0</v>
      </c>
      <c r="CP147" s="266">
        <f ca="1">O147*IFERROR(INDEX(Algorithms!$G:$G,MATCH($C147&amp;"_Therm Saved per Unit- MLA",Algorithms!$A:$A,0)),0)*Y147</f>
        <v>0</v>
      </c>
      <c r="CQ147" s="266">
        <f ca="1">P147*IFERROR(INDEX(Algorithms!$G:$G,MATCH($C147&amp;"_Therm Saved per Unit- MLA",Algorithms!$A:$A,0)),0)*Z147</f>
        <v>0</v>
      </c>
      <c r="CR147" s="266">
        <f ca="1">Q147*IFERROR(INDEX(Algorithms!$G:$G,MATCH($C147&amp;"_Therm Saved per Unit- MLA",Algorithms!$A:$A,0)),0)*AA147</f>
        <v>0</v>
      </c>
      <c r="CS147" s="266">
        <f ca="1">IFERROR(INDEX(Algorithms!$G:$G,MATCH($C147&amp;"_Lifetime (years)",Algorithms!$A:$A,0)),0)</f>
        <v>7</v>
      </c>
      <c r="CT147" s="266">
        <f ca="1">IFERROR(INDEX(Algorithms!$G:$G,MATCH($C147&amp;"_Lifetime (years) - Remaining Years",Algorithms!$A:$A,0)),0)</f>
        <v>0</v>
      </c>
      <c r="CU147" s="266">
        <f t="shared" ca="1" si="121"/>
        <v>21958.032095999999</v>
      </c>
      <c r="CV147" s="266">
        <f t="shared" ca="1" si="122"/>
        <v>21958.032095999999</v>
      </c>
      <c r="CW147" s="266">
        <f t="shared" ca="1" si="123"/>
        <v>21958.032095999999</v>
      </c>
      <c r="CX147" s="266">
        <f t="shared" ca="1" si="124"/>
        <v>21958.032095999999</v>
      </c>
    </row>
    <row r="148" spans="2:102" s="47" customFormat="1" ht="18" customHeight="1" x14ac:dyDescent="0.25">
      <c r="B148" t="str">
        <f t="shared" si="125"/>
        <v>NSG_Business_C&amp;I_Rebates_Condensate Tank Insulation_0_MF/CI/SMB</v>
      </c>
      <c r="C148" s="47" t="str">
        <f t="shared" si="86"/>
        <v>Condensate Tank Insulation_0_MF/CI/SMB</v>
      </c>
      <c r="D148" s="270" t="s">
        <v>1787</v>
      </c>
      <c r="E148" s="270" t="s">
        <v>3</v>
      </c>
      <c r="F148" s="270" t="s">
        <v>1427</v>
      </c>
      <c r="G148" s="270" t="s">
        <v>1429</v>
      </c>
      <c r="H148" s="270" t="s">
        <v>806</v>
      </c>
      <c r="I148" s="270">
        <v>0</v>
      </c>
      <c r="J148" s="270" t="s">
        <v>662</v>
      </c>
      <c r="K148" s="263">
        <v>1</v>
      </c>
      <c r="L148" s="263" t="str">
        <f ca="1">IFERROR(INDEX(Algorithms!J:J,MATCH($C148&amp;"_Therm Saved per Unit",Algorithms!$A:$A,0)),"n/a")</f>
        <v>4.3.12</v>
      </c>
      <c r="M148" s="263" t="str">
        <f>IFERROR(INDEX('Measure Level Detail'!$N:$N,MATCH($B148,'Measure Level Detail'!$B:$B,0)),0)</f>
        <v>sqft</v>
      </c>
      <c r="N148" s="271">
        <f>IFERROR(INDEX('Measure Level Detail'!$P:$P,MATCH($B148&amp;"_"&amp;N$3,'Measure Level Detail'!$C:$C,0)),0)</f>
        <v>467.5</v>
      </c>
      <c r="O148" s="271">
        <f>IFERROR(INDEX('Measure Level Detail'!$P:$P,MATCH($B148&amp;"_"&amp;O$3,'Measure Level Detail'!$C:$C,0)),0)</f>
        <v>440</v>
      </c>
      <c r="P148" s="271">
        <f>IFERROR(INDEX('Measure Level Detail'!$P:$P,MATCH($B148&amp;"_"&amp;P$3,'Measure Level Detail'!$C:$C,0)),0)</f>
        <v>385</v>
      </c>
      <c r="Q148" s="271">
        <f>IFERROR(INDEX('Measure Level Detail'!$P:$P,MATCH($B148&amp;"_"&amp;Q$3,'Measure Level Detail'!$C:$C,0)),0)</f>
        <v>374</v>
      </c>
      <c r="R148" s="263" t="str">
        <f ca="1">IFERROR(INDEX(Algorithms!K:K,MATCH($C148&amp;"_Therm Saved per Unit",Algorithms!$A:$A,0)),"n/a")</f>
        <v>CI-HWE-TKIN-V03-240101</v>
      </c>
      <c r="S148" s="262"/>
      <c r="T148" s="272">
        <v>16.746197539658972</v>
      </c>
      <c r="U148" s="272">
        <v>16.746197539658972</v>
      </c>
      <c r="V148" s="272">
        <v>16.746197539658972</v>
      </c>
      <c r="W148" s="272">
        <v>16.746197539658972</v>
      </c>
      <c r="X148" s="273">
        <f>IFERROR(INDEX('Measure Level Detail'!$R:$R,MATCH($B148&amp;"_"&amp;X$3,'Measure Level Detail'!$C:$C,0)),0)</f>
        <v>0.91</v>
      </c>
      <c r="Y148" s="273">
        <f>IFERROR(INDEX('Measure Level Detail'!$R:$R,MATCH($B148&amp;"_"&amp;Y$3,'Measure Level Detail'!$C:$C,0)),0)</f>
        <v>0.91</v>
      </c>
      <c r="Z148" s="273">
        <f>IFERROR(INDEX('Measure Level Detail'!$R:$R,MATCH($B148&amp;"_"&amp;Z$3,'Measure Level Detail'!$C:$C,0)),0)</f>
        <v>0.91</v>
      </c>
      <c r="AA148" s="273">
        <f>IFERROR(INDEX('Measure Level Detail'!$R:$R,MATCH($B148&amp;"_"&amp;AA$3,'Measure Level Detail'!$C:$C,0)),0)</f>
        <v>0.91</v>
      </c>
      <c r="AB148" s="266">
        <f t="shared" si="87"/>
        <v>7124.2510883094183</v>
      </c>
      <c r="AC148" s="266">
        <f t="shared" si="88"/>
        <v>6705.1774948794528</v>
      </c>
      <c r="AD148" s="266">
        <f t="shared" si="89"/>
        <v>5867.0303080195208</v>
      </c>
      <c r="AE148" s="266">
        <f t="shared" si="90"/>
        <v>5699.4008706475342</v>
      </c>
      <c r="AF148" s="266">
        <f t="shared" si="91"/>
        <v>25395.859761855929</v>
      </c>
      <c r="AG148" s="274">
        <v>0.91</v>
      </c>
      <c r="AH148" s="274">
        <v>0.91</v>
      </c>
      <c r="AI148" s="274">
        <v>0.91</v>
      </c>
      <c r="AJ148" s="274">
        <v>0.91</v>
      </c>
      <c r="AK148" s="274">
        <f t="shared" si="92"/>
        <v>0.91</v>
      </c>
      <c r="AL148" s="274">
        <f t="shared" si="93"/>
        <v>0.91</v>
      </c>
      <c r="AM148" s="274">
        <f t="shared" si="94"/>
        <v>0.91</v>
      </c>
      <c r="AN148" s="274">
        <f t="shared" si="95"/>
        <v>0.91</v>
      </c>
      <c r="AO148" s="262"/>
      <c r="AP148" s="262"/>
      <c r="AQ148" s="267">
        <v>16.746197539658972</v>
      </c>
      <c r="AR148" s="262"/>
      <c r="AS148" s="266">
        <f t="shared" si="96"/>
        <v>7124.2510883094183</v>
      </c>
      <c r="AT148" s="264">
        <f t="shared" si="97"/>
        <v>0</v>
      </c>
      <c r="AU148" s="262"/>
      <c r="AV148" s="262"/>
      <c r="AW148" s="265">
        <v>16.746197539658972</v>
      </c>
      <c r="AX148" s="164" t="s">
        <v>1469</v>
      </c>
      <c r="AY148" s="266">
        <v>6705.1774948794528</v>
      </c>
      <c r="AZ148" s="266">
        <f t="shared" si="98"/>
        <v>6705.1774948794528</v>
      </c>
      <c r="BA148" s="264">
        <f t="shared" si="99"/>
        <v>0</v>
      </c>
      <c r="BB148" s="262"/>
      <c r="BC148" s="262"/>
      <c r="BD148" s="265">
        <f ca="1">IFERROR(INDEX(Algorithms!$G:$G,MATCH($C148&amp;"_Therm Saved per Unit",Algorithms!$A:$A,0)),0)</f>
        <v>16.746197539658972</v>
      </c>
      <c r="BE148" s="164" t="str">
        <f ca="1">IFERROR(INDEX('v12 Revisions'!$P$29:$P$186, MATCH('Measure-Level Adj Gas'!$L148, 'v12 Revisions'!$D$29:$D$186,0)),"")</f>
        <v/>
      </c>
      <c r="BF148" s="266">
        <f t="shared" ca="1" si="100"/>
        <v>5867.0303080195208</v>
      </c>
      <c r="BG148" s="264">
        <f t="shared" ca="1" si="101"/>
        <v>0</v>
      </c>
      <c r="BH148" s="262"/>
      <c r="BI148" s="262"/>
      <c r="BJ148" s="265">
        <f ca="1">IFERROR(INDEX(Algorithms!$G:$G,MATCH($C148&amp;"_Therm Saved per Unit",Algorithms!$A:$A,0)),0)</f>
        <v>16.746197539658972</v>
      </c>
      <c r="BK148" s="164"/>
      <c r="BL148" s="266">
        <f t="shared" ca="1" si="102"/>
        <v>5699.4008706475342</v>
      </c>
      <c r="BM148" s="264">
        <f t="shared" ca="1" si="103"/>
        <v>0</v>
      </c>
      <c r="BN148" s="266">
        <f t="shared" si="104"/>
        <v>7124.2510883094183</v>
      </c>
      <c r="BO148" s="266">
        <f t="shared" si="105"/>
        <v>6705.1774948794528</v>
      </c>
      <c r="BP148" s="266">
        <f t="shared" ca="1" si="106"/>
        <v>5867.0303080195208</v>
      </c>
      <c r="BQ148" s="266">
        <f t="shared" ca="1" si="107"/>
        <v>5699.4008706475342</v>
      </c>
      <c r="BR148" s="268">
        <f t="shared" ca="1" si="108"/>
        <v>25395.859761855929</v>
      </c>
      <c r="BS148" s="262" t="s">
        <v>99</v>
      </c>
      <c r="BT148" s="277"/>
      <c r="BW148" s="266">
        <f t="shared" si="109"/>
        <v>7124.2510883094183</v>
      </c>
      <c r="BX148" s="266">
        <f t="shared" si="110"/>
        <v>6705.1774948794528</v>
      </c>
      <c r="BY148" s="266">
        <f t="shared" si="111"/>
        <v>5867.0303080195208</v>
      </c>
      <c r="BZ148" s="266">
        <f t="shared" si="112"/>
        <v>5699.4008706475342</v>
      </c>
      <c r="CA148" s="266">
        <f ca="1">N148*IFERROR(INDEX(Algorithms!$G:$G,MATCH($C148&amp;"_Therm Saved per Unit- MLA",Algorithms!$A:$A,0)),0)*X148</f>
        <v>0</v>
      </c>
      <c r="CB148" s="266">
        <f ca="1">O148*IFERROR(INDEX(Algorithms!$G:$G,MATCH($C148&amp;"_Therm Saved per Unit- MLA",Algorithms!$A:$A,0)),0)*Y148</f>
        <v>0</v>
      </c>
      <c r="CC148" s="266">
        <f ca="1">P148*IFERROR(INDEX(Algorithms!$G:$G,MATCH($C148&amp;"_Therm Saved per Unit- MLA",Algorithms!$A:$A,0)),0)*Z148</f>
        <v>0</v>
      </c>
      <c r="CD148" s="266">
        <f ca="1">Q148*IFERROR(INDEX(Algorithms!$G:$G,MATCH($C148&amp;"_Therm Saved per Unit- MLA",Algorithms!$A:$A,0)),0)*AA148</f>
        <v>0</v>
      </c>
      <c r="CE148" s="266">
        <f ca="1">IFERROR(INDEX(Algorithms!$G:$G,MATCH($C148&amp;"_Lifetime (years)",Algorithms!$A:$A,0)),0)</f>
        <v>15</v>
      </c>
      <c r="CF148" s="266">
        <f ca="1">IFERROR(INDEX(Algorithms!$G:$G,MATCH($C148&amp;"_Lifetime (years) - Remaining Years",Algorithms!$A:$A,0)),0)</f>
        <v>0</v>
      </c>
      <c r="CG148" s="266">
        <f t="shared" ca="1" si="113"/>
        <v>106863.76632464127</v>
      </c>
      <c r="CH148" s="266">
        <f t="shared" ca="1" si="114"/>
        <v>100577.6624231918</v>
      </c>
      <c r="CI148" s="266">
        <f t="shared" ca="1" si="115"/>
        <v>88005.454620292818</v>
      </c>
      <c r="CJ148" s="266">
        <f t="shared" ca="1" si="116"/>
        <v>85491.013059713019</v>
      </c>
      <c r="CK148" s="266">
        <f t="shared" si="117"/>
        <v>7124.2510883094183</v>
      </c>
      <c r="CL148" s="266">
        <f t="shared" si="118"/>
        <v>6705.1774948794528</v>
      </c>
      <c r="CM148" s="266">
        <f t="shared" ca="1" si="119"/>
        <v>5867.0303080195208</v>
      </c>
      <c r="CN148" s="266">
        <f t="shared" ca="1" si="120"/>
        <v>5699.4008706475342</v>
      </c>
      <c r="CO148" s="266">
        <f ca="1">N148*IFERROR(INDEX(Algorithms!$G:$G,MATCH($C148&amp;"_Therm Saved per Unit- MLA",Algorithms!$A:$A,0)),0)*X148</f>
        <v>0</v>
      </c>
      <c r="CP148" s="266">
        <f ca="1">O148*IFERROR(INDEX(Algorithms!$G:$G,MATCH($C148&amp;"_Therm Saved per Unit- MLA",Algorithms!$A:$A,0)),0)*Y148</f>
        <v>0</v>
      </c>
      <c r="CQ148" s="266">
        <f ca="1">P148*IFERROR(INDEX(Algorithms!$G:$G,MATCH($C148&amp;"_Therm Saved per Unit- MLA",Algorithms!$A:$A,0)),0)*Z148</f>
        <v>0</v>
      </c>
      <c r="CR148" s="266">
        <f ca="1">Q148*IFERROR(INDEX(Algorithms!$G:$G,MATCH($C148&amp;"_Therm Saved per Unit- MLA",Algorithms!$A:$A,0)),0)*AA148</f>
        <v>0</v>
      </c>
      <c r="CS148" s="266">
        <f ca="1">IFERROR(INDEX(Algorithms!$G:$G,MATCH($C148&amp;"_Lifetime (years)",Algorithms!$A:$A,0)),0)</f>
        <v>15</v>
      </c>
      <c r="CT148" s="266">
        <f ca="1">IFERROR(INDEX(Algorithms!$G:$G,MATCH($C148&amp;"_Lifetime (years) - Remaining Years",Algorithms!$A:$A,0)),0)</f>
        <v>0</v>
      </c>
      <c r="CU148" s="266">
        <f t="shared" ca="1" si="121"/>
        <v>106863.76632464127</v>
      </c>
      <c r="CV148" s="266">
        <f t="shared" ca="1" si="122"/>
        <v>100577.6624231918</v>
      </c>
      <c r="CW148" s="266">
        <f t="shared" ca="1" si="123"/>
        <v>88005.454620292818</v>
      </c>
      <c r="CX148" s="266">
        <f t="shared" ca="1" si="124"/>
        <v>85491.013059713019</v>
      </c>
    </row>
    <row r="149" spans="2:102" s="47" customFormat="1" ht="18" customHeight="1" x14ac:dyDescent="0.25">
      <c r="B149" t="str">
        <f t="shared" si="125"/>
        <v>NSG_Income Eligible_Multi-Family_Whole Building - Prescriptive_Weatherstripping_0_IE MF</v>
      </c>
      <c r="C149" s="47" t="str">
        <f t="shared" si="86"/>
        <v>Weatherstripping_0_IE MF</v>
      </c>
      <c r="D149" s="270" t="s">
        <v>1787</v>
      </c>
      <c r="E149" s="270" t="s">
        <v>325</v>
      </c>
      <c r="F149" s="270" t="s">
        <v>1422</v>
      </c>
      <c r="G149" s="270" t="s">
        <v>1813</v>
      </c>
      <c r="H149" s="270" t="s">
        <v>576</v>
      </c>
      <c r="I149" s="270">
        <v>0</v>
      </c>
      <c r="J149" s="270" t="s">
        <v>1398</v>
      </c>
      <c r="K149" s="263">
        <v>1</v>
      </c>
      <c r="L149" s="263" t="str">
        <f ca="1">IFERROR(INDEX(Algorithms!J:J,MATCH($C149&amp;"_Therm Saved per Unit",Algorithms!$A:$A,0)),"n/a")</f>
        <v>5.6.1</v>
      </c>
      <c r="M149" s="263" t="str">
        <f>IFERROR(INDEX('Measure Level Detail'!$N:$N,MATCH($B149,'Measure Level Detail'!$B:$B,0)),0)</f>
        <v>linear ft</v>
      </c>
      <c r="N149" s="271">
        <f>IFERROR(INDEX('Measure Level Detail'!$P:$P,MATCH($B149&amp;"_"&amp;N$3,'Measure Level Detail'!$C:$C,0)),0)</f>
        <v>459</v>
      </c>
      <c r="O149" s="271">
        <f>IFERROR(INDEX('Measure Level Detail'!$P:$P,MATCH($B149&amp;"_"&amp;O$3,'Measure Level Detail'!$C:$C,0)),0)</f>
        <v>459</v>
      </c>
      <c r="P149" s="271">
        <f>IFERROR(INDEX('Measure Level Detail'!$P:$P,MATCH($B149&amp;"_"&amp;P$3,'Measure Level Detail'!$C:$C,0)),0)</f>
        <v>459</v>
      </c>
      <c r="Q149" s="271">
        <f>IFERROR(INDEX('Measure Level Detail'!$P:$P,MATCH($B149&amp;"_"&amp;Q$3,'Measure Level Detail'!$C:$C,0)),0)</f>
        <v>459</v>
      </c>
      <c r="R149" s="263" t="str">
        <f ca="1">IFERROR(INDEX(Algorithms!K:K,MATCH($C149&amp;"_Therm Saved per Unit",Algorithms!$A:$A,0)),"n/a")</f>
        <v>RS-SHL-AIRS-V13-240101</v>
      </c>
      <c r="S149" s="262"/>
      <c r="T149" s="272">
        <v>0.48799999999999999</v>
      </c>
      <c r="U149" s="272">
        <v>0.48799999999999999</v>
      </c>
      <c r="V149" s="272">
        <v>0.48799999999999999</v>
      </c>
      <c r="W149" s="272">
        <v>0.48799999999999999</v>
      </c>
      <c r="X149" s="273">
        <f>IFERROR(INDEX('Measure Level Detail'!$R:$R,MATCH($B149&amp;"_"&amp;X$3,'Measure Level Detail'!$C:$C,0)),0)</f>
        <v>1</v>
      </c>
      <c r="Y149" s="273">
        <f>IFERROR(INDEX('Measure Level Detail'!$R:$R,MATCH($B149&amp;"_"&amp;Y$3,'Measure Level Detail'!$C:$C,0)),0)</f>
        <v>1</v>
      </c>
      <c r="Z149" s="273">
        <f>IFERROR(INDEX('Measure Level Detail'!$R:$R,MATCH($B149&amp;"_"&amp;Z$3,'Measure Level Detail'!$C:$C,0)),0)</f>
        <v>1</v>
      </c>
      <c r="AA149" s="273">
        <f>IFERROR(INDEX('Measure Level Detail'!$R:$R,MATCH($B149&amp;"_"&amp;AA$3,'Measure Level Detail'!$C:$C,0)),0)</f>
        <v>1</v>
      </c>
      <c r="AB149" s="266">
        <f t="shared" si="87"/>
        <v>223.99199999999999</v>
      </c>
      <c r="AC149" s="266">
        <f t="shared" si="88"/>
        <v>223.99199999999999</v>
      </c>
      <c r="AD149" s="266">
        <f t="shared" si="89"/>
        <v>223.99199999999999</v>
      </c>
      <c r="AE149" s="266">
        <f t="shared" si="90"/>
        <v>223.99199999999999</v>
      </c>
      <c r="AF149" s="266">
        <f t="shared" si="91"/>
        <v>895.96799999999996</v>
      </c>
      <c r="AG149" s="274">
        <v>1</v>
      </c>
      <c r="AH149" s="274">
        <v>1</v>
      </c>
      <c r="AI149" s="274">
        <v>1</v>
      </c>
      <c r="AJ149" s="274">
        <v>1</v>
      </c>
      <c r="AK149" s="274">
        <f t="shared" si="92"/>
        <v>1</v>
      </c>
      <c r="AL149" s="274">
        <f t="shared" si="93"/>
        <v>1</v>
      </c>
      <c r="AM149" s="274">
        <f t="shared" si="94"/>
        <v>1</v>
      </c>
      <c r="AN149" s="274">
        <f t="shared" si="95"/>
        <v>1</v>
      </c>
      <c r="AO149" s="262"/>
      <c r="AP149" s="262"/>
      <c r="AQ149" s="267">
        <v>0.48799999999999999</v>
      </c>
      <c r="AR149" s="262"/>
      <c r="AS149" s="266">
        <f t="shared" si="96"/>
        <v>223.99199999999999</v>
      </c>
      <c r="AT149" s="264">
        <f t="shared" si="97"/>
        <v>0</v>
      </c>
      <c r="AU149" s="262"/>
      <c r="AV149" s="262"/>
      <c r="AW149" s="265">
        <v>0.48799999999999999</v>
      </c>
      <c r="AX149" s="164" t="s">
        <v>2395</v>
      </c>
      <c r="AY149" s="266">
        <v>223.99199999999999</v>
      </c>
      <c r="AZ149" s="266">
        <f t="shared" si="98"/>
        <v>223.99199999999999</v>
      </c>
      <c r="BA149" s="264">
        <f t="shared" si="99"/>
        <v>0</v>
      </c>
      <c r="BB149" s="262"/>
      <c r="BC149" s="262"/>
      <c r="BD149" s="265">
        <f ca="1">IFERROR(INDEX(Algorithms!$G:$G,MATCH($C149&amp;"_Therm Saved per Unit",Algorithms!$A:$A,0)),0)</f>
        <v>0.48799999999999999</v>
      </c>
      <c r="BE149" s="164" t="str">
        <f ca="1">IFERROR(INDEX('v12 Revisions'!$P$29:$P$186, MATCH('Measure-Level Adj Gas'!$L149, 'v12 Revisions'!$D$29:$D$186,0)),"")</f>
        <v>Updated HDD from 5113 to 4798 and shell adjustment factor from 0.72 to 0.76.</v>
      </c>
      <c r="BF149" s="266">
        <f t="shared" ca="1" si="100"/>
        <v>223.99199999999999</v>
      </c>
      <c r="BG149" s="264">
        <f t="shared" ca="1" si="101"/>
        <v>0</v>
      </c>
      <c r="BH149" s="262"/>
      <c r="BI149" s="262"/>
      <c r="BJ149" s="265">
        <f ca="1">IFERROR(INDEX(Algorithms!$G:$G,MATCH($C149&amp;"_Therm Saved per Unit",Algorithms!$A:$A,0)),0)</f>
        <v>0.48799999999999999</v>
      </c>
      <c r="BK149" s="164"/>
      <c r="BL149" s="266">
        <f t="shared" ca="1" si="102"/>
        <v>223.99199999999999</v>
      </c>
      <c r="BM149" s="264">
        <f t="shared" ca="1" si="103"/>
        <v>0</v>
      </c>
      <c r="BN149" s="266">
        <f t="shared" si="104"/>
        <v>223.99199999999999</v>
      </c>
      <c r="BO149" s="266">
        <f t="shared" si="105"/>
        <v>223.99199999999999</v>
      </c>
      <c r="BP149" s="266">
        <f t="shared" ca="1" si="106"/>
        <v>223.99199999999999</v>
      </c>
      <c r="BQ149" s="266">
        <f t="shared" ca="1" si="107"/>
        <v>223.99199999999999</v>
      </c>
      <c r="BR149" s="268">
        <f t="shared" ca="1" si="108"/>
        <v>895.96799999999996</v>
      </c>
      <c r="BS149" s="262" t="s">
        <v>99</v>
      </c>
      <c r="BT149" s="277"/>
      <c r="BW149" s="266">
        <f t="shared" si="109"/>
        <v>223.99199999999999</v>
      </c>
      <c r="BX149" s="266">
        <f t="shared" si="110"/>
        <v>223.99199999999999</v>
      </c>
      <c r="BY149" s="266">
        <f t="shared" si="111"/>
        <v>223.99199999999999</v>
      </c>
      <c r="BZ149" s="266">
        <f t="shared" si="112"/>
        <v>223.99199999999999</v>
      </c>
      <c r="CA149" s="266">
        <f ca="1">N149*IFERROR(INDEX(Algorithms!$G:$G,MATCH($C149&amp;"_Therm Saved per Unit- MLA",Algorithms!$A:$A,0)),0)*X149</f>
        <v>0</v>
      </c>
      <c r="CB149" s="266">
        <f ca="1">O149*IFERROR(INDEX(Algorithms!$G:$G,MATCH($C149&amp;"_Therm Saved per Unit- MLA",Algorithms!$A:$A,0)),0)*Y149</f>
        <v>0</v>
      </c>
      <c r="CC149" s="266">
        <f ca="1">P149*IFERROR(INDEX(Algorithms!$G:$G,MATCH($C149&amp;"_Therm Saved per Unit- MLA",Algorithms!$A:$A,0)),0)*Z149</f>
        <v>0</v>
      </c>
      <c r="CD149" s="266">
        <f ca="1">Q149*IFERROR(INDEX(Algorithms!$G:$G,MATCH($C149&amp;"_Therm Saved per Unit- MLA",Algorithms!$A:$A,0)),0)*AA149</f>
        <v>0</v>
      </c>
      <c r="CE149" s="266">
        <f ca="1">IFERROR(INDEX(Algorithms!$G:$G,MATCH($C149&amp;"_Lifetime (years)",Algorithms!$A:$A,0)),0)</f>
        <v>10</v>
      </c>
      <c r="CF149" s="266">
        <f ca="1">IFERROR(INDEX(Algorithms!$G:$G,MATCH($C149&amp;"_Lifetime (years) - Remaining Years",Algorithms!$A:$A,0)),0)</f>
        <v>0</v>
      </c>
      <c r="CG149" s="266">
        <f t="shared" ca="1" si="113"/>
        <v>2239.92</v>
      </c>
      <c r="CH149" s="266">
        <f t="shared" ca="1" si="114"/>
        <v>2239.92</v>
      </c>
      <c r="CI149" s="266">
        <f t="shared" ca="1" si="115"/>
        <v>2239.92</v>
      </c>
      <c r="CJ149" s="266">
        <f t="shared" ca="1" si="116"/>
        <v>2239.92</v>
      </c>
      <c r="CK149" s="266">
        <f t="shared" si="117"/>
        <v>223.99199999999999</v>
      </c>
      <c r="CL149" s="266">
        <f t="shared" si="118"/>
        <v>223.99199999999999</v>
      </c>
      <c r="CM149" s="266">
        <f t="shared" ca="1" si="119"/>
        <v>223.99199999999999</v>
      </c>
      <c r="CN149" s="266">
        <f t="shared" ca="1" si="120"/>
        <v>223.99199999999999</v>
      </c>
      <c r="CO149" s="266">
        <f ca="1">N149*IFERROR(INDEX(Algorithms!$G:$G,MATCH($C149&amp;"_Therm Saved per Unit- MLA",Algorithms!$A:$A,0)),0)*X149</f>
        <v>0</v>
      </c>
      <c r="CP149" s="266">
        <f ca="1">O149*IFERROR(INDEX(Algorithms!$G:$G,MATCH($C149&amp;"_Therm Saved per Unit- MLA",Algorithms!$A:$A,0)),0)*Y149</f>
        <v>0</v>
      </c>
      <c r="CQ149" s="266">
        <f ca="1">P149*IFERROR(INDEX(Algorithms!$G:$G,MATCH($C149&amp;"_Therm Saved per Unit- MLA",Algorithms!$A:$A,0)),0)*Z149</f>
        <v>0</v>
      </c>
      <c r="CR149" s="266">
        <f ca="1">Q149*IFERROR(INDEX(Algorithms!$G:$G,MATCH($C149&amp;"_Therm Saved per Unit- MLA",Algorithms!$A:$A,0)),0)*AA149</f>
        <v>0</v>
      </c>
      <c r="CS149" s="266">
        <f ca="1">IFERROR(INDEX(Algorithms!$G:$G,MATCH($C149&amp;"_Lifetime (years)",Algorithms!$A:$A,0)),0)</f>
        <v>10</v>
      </c>
      <c r="CT149" s="266">
        <f ca="1">IFERROR(INDEX(Algorithms!$G:$G,MATCH($C149&amp;"_Lifetime (years) - Remaining Years",Algorithms!$A:$A,0)),0)</f>
        <v>0</v>
      </c>
      <c r="CU149" s="266">
        <f t="shared" ca="1" si="121"/>
        <v>2239.92</v>
      </c>
      <c r="CV149" s="266">
        <f t="shared" ca="1" si="122"/>
        <v>2239.92</v>
      </c>
      <c r="CW149" s="266">
        <f t="shared" ca="1" si="123"/>
        <v>2239.92</v>
      </c>
      <c r="CX149" s="266">
        <f t="shared" ca="1" si="124"/>
        <v>2239.92</v>
      </c>
    </row>
    <row r="150" spans="2:102" s="47" customFormat="1" ht="18" customHeight="1" x14ac:dyDescent="0.25">
      <c r="B150" t="str">
        <f t="shared" si="125"/>
        <v>NSG_Income Eligible_Multi-Family_Whole Building - Prescriptive_Steam Boiler_&gt;=300MBH, &lt;1,500, &gt;=81% AFUE_MF</v>
      </c>
      <c r="C150" s="47" t="str">
        <f t="shared" si="86"/>
        <v>Steam Boiler_&gt;=300MBH, &lt;1,500, &gt;=81% AFUE_MF</v>
      </c>
      <c r="D150" s="270" t="s">
        <v>1787</v>
      </c>
      <c r="E150" s="270" t="s">
        <v>325</v>
      </c>
      <c r="F150" s="270" t="s">
        <v>1422</v>
      </c>
      <c r="G150" s="270" t="s">
        <v>1813</v>
      </c>
      <c r="H150" s="270" t="s">
        <v>938</v>
      </c>
      <c r="I150" s="270" t="s">
        <v>1300</v>
      </c>
      <c r="J150" s="270" t="s">
        <v>553</v>
      </c>
      <c r="K150" s="263">
        <v>1</v>
      </c>
      <c r="L150" s="263" t="str">
        <f ca="1">IFERROR(INDEX(Algorithms!J:J,MATCH($C150&amp;"_Therm Saved per Unit",Algorithms!$A:$A,0)),"n/a")</f>
        <v>4.4.10</v>
      </c>
      <c r="M150" s="263" t="str">
        <f>IFERROR(INDEX('Measure Level Detail'!$N:$N,MATCH($B150,'Measure Level Detail'!$B:$B,0)),0)</f>
        <v>MBH</v>
      </c>
      <c r="N150" s="271">
        <f>IFERROR(INDEX('Measure Level Detail'!$P:$P,MATCH($B150&amp;"_"&amp;N$3,'Measure Level Detail'!$C:$C,0)),0)</f>
        <v>450</v>
      </c>
      <c r="O150" s="271">
        <f>IFERROR(INDEX('Measure Level Detail'!$P:$P,MATCH($B150&amp;"_"&amp;O$3,'Measure Level Detail'!$C:$C,0)),0)</f>
        <v>450</v>
      </c>
      <c r="P150" s="271">
        <f>IFERROR(INDEX('Measure Level Detail'!$P:$P,MATCH($B150&amp;"_"&amp;P$3,'Measure Level Detail'!$C:$C,0)),0)</f>
        <v>450</v>
      </c>
      <c r="Q150" s="271">
        <f>IFERROR(INDEX('Measure Level Detail'!$P:$P,MATCH($B150&amp;"_"&amp;Q$3,'Measure Level Detail'!$C:$C,0)),0)</f>
        <v>450</v>
      </c>
      <c r="R150" s="263" t="str">
        <f ca="1">IFERROR(INDEX(Algorithms!K:K,MATCH($C150&amp;"_Therm Saved per Unit",Algorithms!$A:$A,0)),"n/a")</f>
        <v>CI-HVC-BOIL-V11-240101</v>
      </c>
      <c r="S150" s="262"/>
      <c r="T150" s="272">
        <v>0.63884615384615429</v>
      </c>
      <c r="U150" s="272">
        <v>0.63884615384615429</v>
      </c>
      <c r="V150" s="272">
        <v>0.63884615384615429</v>
      </c>
      <c r="W150" s="272">
        <v>0.63884615384615429</v>
      </c>
      <c r="X150" s="273">
        <f>IFERROR(INDEX('Measure Level Detail'!$R:$R,MATCH($B150&amp;"_"&amp;X$3,'Measure Level Detail'!$C:$C,0)),0)</f>
        <v>1</v>
      </c>
      <c r="Y150" s="273">
        <f>IFERROR(INDEX('Measure Level Detail'!$R:$R,MATCH($B150&amp;"_"&amp;Y$3,'Measure Level Detail'!$C:$C,0)),0)</f>
        <v>1</v>
      </c>
      <c r="Z150" s="273">
        <f>IFERROR(INDEX('Measure Level Detail'!$R:$R,MATCH($B150&amp;"_"&amp;Z$3,'Measure Level Detail'!$C:$C,0)),0)</f>
        <v>1</v>
      </c>
      <c r="AA150" s="273">
        <f>IFERROR(INDEX('Measure Level Detail'!$R:$R,MATCH($B150&amp;"_"&amp;AA$3,'Measure Level Detail'!$C:$C,0)),0)</f>
        <v>1</v>
      </c>
      <c r="AB150" s="266">
        <f t="shared" si="87"/>
        <v>287.48076923076945</v>
      </c>
      <c r="AC150" s="266">
        <f t="shared" si="88"/>
        <v>287.48076923076945</v>
      </c>
      <c r="AD150" s="266">
        <f t="shared" si="89"/>
        <v>287.48076923076945</v>
      </c>
      <c r="AE150" s="266">
        <f t="shared" si="90"/>
        <v>287.48076923076945</v>
      </c>
      <c r="AF150" s="266">
        <f t="shared" si="91"/>
        <v>1149.9230769230778</v>
      </c>
      <c r="AG150" s="274">
        <v>1</v>
      </c>
      <c r="AH150" s="274">
        <v>1</v>
      </c>
      <c r="AI150" s="274">
        <v>1</v>
      </c>
      <c r="AJ150" s="274">
        <v>1</v>
      </c>
      <c r="AK150" s="274">
        <f t="shared" si="92"/>
        <v>1</v>
      </c>
      <c r="AL150" s="274">
        <f t="shared" si="93"/>
        <v>1</v>
      </c>
      <c r="AM150" s="274">
        <f t="shared" si="94"/>
        <v>1</v>
      </c>
      <c r="AN150" s="274">
        <f t="shared" si="95"/>
        <v>1</v>
      </c>
      <c r="AO150" s="262"/>
      <c r="AP150" s="262"/>
      <c r="AQ150" s="267">
        <v>0.63884615384615429</v>
      </c>
      <c r="AR150" s="262"/>
      <c r="AS150" s="266">
        <f t="shared" si="96"/>
        <v>287.48076923076945</v>
      </c>
      <c r="AT150" s="264">
        <f t="shared" si="97"/>
        <v>0</v>
      </c>
      <c r="AU150" s="262"/>
      <c r="AV150" s="262"/>
      <c r="AW150" s="265">
        <v>0.42050632911392438</v>
      </c>
      <c r="AX150" s="164" t="s">
        <v>1469</v>
      </c>
      <c r="AY150" s="266">
        <v>287.48076923076945</v>
      </c>
      <c r="AZ150" s="266">
        <f t="shared" si="98"/>
        <v>189.22784810126598</v>
      </c>
      <c r="BA150" s="264">
        <f t="shared" si="99"/>
        <v>-98.252921129503477</v>
      </c>
      <c r="BB150" s="262"/>
      <c r="BC150" s="262"/>
      <c r="BD150" s="265">
        <f ca="1">IFERROR(INDEX(Algorithms!$G:$G,MATCH($C150&amp;"_Therm Saved per Unit",Algorithms!$A:$A,0)),0)</f>
        <v>0.41012345679012158</v>
      </c>
      <c r="BE150" s="164" t="str">
        <f ca="1">IFERROR(INDEX('v12 Revisions'!$P$29:$P$186, MATCH('Measure-Level Adj Gas'!$L150, 'v12 Revisions'!$D$29:$D$186,0)),"")</f>
        <v>Updated baseline and efficient boiler efficiency ratings.</v>
      </c>
      <c r="BF150" s="266">
        <f t="shared" ca="1" si="100"/>
        <v>184.55555555555472</v>
      </c>
      <c r="BG150" s="264">
        <f t="shared" ca="1" si="101"/>
        <v>-102.92521367521474</v>
      </c>
      <c r="BH150" s="262"/>
      <c r="BI150" s="262"/>
      <c r="BJ150" s="265">
        <f ca="1">IFERROR(INDEX(Algorithms!$G:$G,MATCH($C150&amp;"_Therm Saved per Unit",Algorithms!$A:$A,0)),0)</f>
        <v>0.41012345679012158</v>
      </c>
      <c r="BK150" s="164"/>
      <c r="BL150" s="266">
        <f t="shared" ca="1" si="102"/>
        <v>184.55555555555472</v>
      </c>
      <c r="BM150" s="264">
        <f t="shared" ca="1" si="103"/>
        <v>-102.92521367521474</v>
      </c>
      <c r="BN150" s="266">
        <f t="shared" si="104"/>
        <v>287.48076923076945</v>
      </c>
      <c r="BO150" s="266">
        <f t="shared" si="105"/>
        <v>189.22784810126598</v>
      </c>
      <c r="BP150" s="266">
        <f t="shared" ca="1" si="106"/>
        <v>184.55555555555472</v>
      </c>
      <c r="BQ150" s="266">
        <f t="shared" ca="1" si="107"/>
        <v>184.55555555555472</v>
      </c>
      <c r="BR150" s="268">
        <f t="shared" ca="1" si="108"/>
        <v>845.81972844314487</v>
      </c>
      <c r="BS150" s="262" t="s">
        <v>99</v>
      </c>
      <c r="BT150" s="277"/>
      <c r="BW150" s="266">
        <f t="shared" si="109"/>
        <v>287.48076923076945</v>
      </c>
      <c r="BX150" s="266">
        <f t="shared" si="110"/>
        <v>287.48076923076945</v>
      </c>
      <c r="BY150" s="266">
        <f t="shared" si="111"/>
        <v>287.48076923076945</v>
      </c>
      <c r="BZ150" s="266">
        <f t="shared" si="112"/>
        <v>287.48076923076945</v>
      </c>
      <c r="CA150" s="266">
        <f ca="1">N150*IFERROR(INDEX(Algorithms!$G:$G,MATCH($C150&amp;"_Therm Saved per Unit- MLA",Algorithms!$A:$A,0)),0)*X150</f>
        <v>0</v>
      </c>
      <c r="CB150" s="266">
        <f ca="1">O150*IFERROR(INDEX(Algorithms!$G:$G,MATCH($C150&amp;"_Therm Saved per Unit- MLA",Algorithms!$A:$A,0)),0)*Y150</f>
        <v>0</v>
      </c>
      <c r="CC150" s="266">
        <f ca="1">P150*IFERROR(INDEX(Algorithms!$G:$G,MATCH($C150&amp;"_Therm Saved per Unit- MLA",Algorithms!$A:$A,0)),0)*Z150</f>
        <v>0</v>
      </c>
      <c r="CD150" s="266">
        <f ca="1">Q150*IFERROR(INDEX(Algorithms!$G:$G,MATCH($C150&amp;"_Therm Saved per Unit- MLA",Algorithms!$A:$A,0)),0)*AA150</f>
        <v>0</v>
      </c>
      <c r="CE150" s="266">
        <f ca="1">IFERROR(INDEX(Algorithms!$G:$G,MATCH($C150&amp;"_Lifetime (years)",Algorithms!$A:$A,0)),0)</f>
        <v>25</v>
      </c>
      <c r="CF150" s="266">
        <f ca="1">IFERROR(INDEX(Algorithms!$G:$G,MATCH($C150&amp;"_Lifetime (years) - Remaining Years",Algorithms!$A:$A,0)),0)</f>
        <v>0</v>
      </c>
      <c r="CG150" s="266">
        <f t="shared" ca="1" si="113"/>
        <v>7187.0192307692359</v>
      </c>
      <c r="CH150" s="266">
        <f t="shared" ca="1" si="114"/>
        <v>7187.0192307692359</v>
      </c>
      <c r="CI150" s="266">
        <f t="shared" ca="1" si="115"/>
        <v>7187.0192307692359</v>
      </c>
      <c r="CJ150" s="266">
        <f t="shared" ca="1" si="116"/>
        <v>7187.0192307692359</v>
      </c>
      <c r="CK150" s="266">
        <f t="shared" si="117"/>
        <v>287.48076923076945</v>
      </c>
      <c r="CL150" s="266">
        <f t="shared" si="118"/>
        <v>189.22784810126598</v>
      </c>
      <c r="CM150" s="266">
        <f t="shared" ca="1" si="119"/>
        <v>184.55555555555472</v>
      </c>
      <c r="CN150" s="266">
        <f t="shared" ca="1" si="120"/>
        <v>184.55555555555472</v>
      </c>
      <c r="CO150" s="266">
        <f ca="1">N150*IFERROR(INDEX(Algorithms!$G:$G,MATCH($C150&amp;"_Therm Saved per Unit- MLA",Algorithms!$A:$A,0)),0)*X150</f>
        <v>0</v>
      </c>
      <c r="CP150" s="266">
        <f ca="1">O150*IFERROR(INDEX(Algorithms!$G:$G,MATCH($C150&amp;"_Therm Saved per Unit- MLA",Algorithms!$A:$A,0)),0)*Y150</f>
        <v>0</v>
      </c>
      <c r="CQ150" s="266">
        <f ca="1">P150*IFERROR(INDEX(Algorithms!$G:$G,MATCH($C150&amp;"_Therm Saved per Unit- MLA",Algorithms!$A:$A,0)),0)*Z150</f>
        <v>0</v>
      </c>
      <c r="CR150" s="266">
        <f ca="1">Q150*IFERROR(INDEX(Algorithms!$G:$G,MATCH($C150&amp;"_Therm Saved per Unit- MLA",Algorithms!$A:$A,0)),0)*AA150</f>
        <v>0</v>
      </c>
      <c r="CS150" s="266">
        <f ca="1">IFERROR(INDEX(Algorithms!$G:$G,MATCH($C150&amp;"_Lifetime (years)",Algorithms!$A:$A,0)),0)</f>
        <v>25</v>
      </c>
      <c r="CT150" s="266">
        <f ca="1">IFERROR(INDEX(Algorithms!$G:$G,MATCH($C150&amp;"_Lifetime (years) - Remaining Years",Algorithms!$A:$A,0)),0)</f>
        <v>0</v>
      </c>
      <c r="CU150" s="266">
        <f t="shared" ca="1" si="121"/>
        <v>7187.0192307692359</v>
      </c>
      <c r="CV150" s="266">
        <f t="shared" ca="1" si="122"/>
        <v>4730.6962025316498</v>
      </c>
      <c r="CW150" s="266">
        <f t="shared" ca="1" si="123"/>
        <v>4613.8888888888678</v>
      </c>
      <c r="CX150" s="266">
        <f t="shared" ca="1" si="124"/>
        <v>4613.8888888888678</v>
      </c>
    </row>
    <row r="151" spans="2:102" s="47" customFormat="1" ht="18" customHeight="1" x14ac:dyDescent="0.25">
      <c r="B151" t="str">
        <f t="shared" si="125"/>
        <v>NSG_Business_C&amp;I_Rebates_High Speed Washer_Hotel/Motel/Hospital_CI</v>
      </c>
      <c r="C151" s="47" t="str">
        <f t="shared" si="86"/>
        <v>High Speed Washer_Hotel/Motel/Hospital_CI</v>
      </c>
      <c r="D151" s="270" t="s">
        <v>1787</v>
      </c>
      <c r="E151" s="270" t="s">
        <v>3</v>
      </c>
      <c r="F151" s="270" t="s">
        <v>1427</v>
      </c>
      <c r="G151" s="270" t="s">
        <v>1429</v>
      </c>
      <c r="H151" s="270" t="s">
        <v>725</v>
      </c>
      <c r="I151" s="270" t="s">
        <v>1162</v>
      </c>
      <c r="J151" s="270" t="s">
        <v>1159</v>
      </c>
      <c r="K151" s="263">
        <v>1</v>
      </c>
      <c r="L151" s="263" t="str">
        <f ca="1">IFERROR(INDEX(Algorithms!J:J,MATCH($C151&amp;"_Therm Saved per Unit",Algorithms!$A:$A,0)),"n/a")</f>
        <v>4.8.5</v>
      </c>
      <c r="M151" s="263" t="str">
        <f>IFERROR(INDEX('Measure Level Detail'!$N:$N,MATCH($B151,'Measure Level Detail'!$B:$B,0)),0)</f>
        <v>lb-capacity</v>
      </c>
      <c r="N151" s="271">
        <f>IFERROR(INDEX('Measure Level Detail'!$P:$P,MATCH($B151&amp;"_"&amp;N$3,'Measure Level Detail'!$C:$C,0)),0)</f>
        <v>425</v>
      </c>
      <c r="O151" s="271">
        <f>IFERROR(INDEX('Measure Level Detail'!$P:$P,MATCH($B151&amp;"_"&amp;O$3,'Measure Level Detail'!$C:$C,0)),0)</f>
        <v>400</v>
      </c>
      <c r="P151" s="271">
        <f>IFERROR(INDEX('Measure Level Detail'!$P:$P,MATCH($B151&amp;"_"&amp;P$3,'Measure Level Detail'!$C:$C,0)),0)</f>
        <v>350</v>
      </c>
      <c r="Q151" s="271">
        <f>IFERROR(INDEX('Measure Level Detail'!$P:$P,MATCH($B151&amp;"_"&amp;Q$3,'Measure Level Detail'!$C:$C,0)),0)</f>
        <v>340</v>
      </c>
      <c r="R151" s="263" t="str">
        <f ca="1">IFERROR(INDEX(Algorithms!K:K,MATCH($C151&amp;"_Therm Saved per Unit",Algorithms!$A:$A,0)),"n/a")</f>
        <v>CI-MSC-HSCW-V03-240101</v>
      </c>
      <c r="S151" s="262"/>
      <c r="T151" s="272">
        <v>6.7459391999999996</v>
      </c>
      <c r="U151" s="272">
        <v>6.7459391999999996</v>
      </c>
      <c r="V151" s="272">
        <v>6.7459391999999996</v>
      </c>
      <c r="W151" s="272">
        <v>6.7459391999999996</v>
      </c>
      <c r="X151" s="273">
        <f>IFERROR(INDEX('Measure Level Detail'!$R:$R,MATCH($B151&amp;"_"&amp;X$3,'Measure Level Detail'!$C:$C,0)),0)</f>
        <v>0.91</v>
      </c>
      <c r="Y151" s="273">
        <f>IFERROR(INDEX('Measure Level Detail'!$R:$R,MATCH($B151&amp;"_"&amp;Y$3,'Measure Level Detail'!$C:$C,0)),0)</f>
        <v>0.91</v>
      </c>
      <c r="Z151" s="273">
        <f>IFERROR(INDEX('Measure Level Detail'!$R:$R,MATCH($B151&amp;"_"&amp;Z$3,'Measure Level Detail'!$C:$C,0)),0)</f>
        <v>0.91</v>
      </c>
      <c r="AA151" s="273">
        <f>IFERROR(INDEX('Measure Level Detail'!$R:$R,MATCH($B151&amp;"_"&amp;AA$3,'Measure Level Detail'!$C:$C,0)),0)</f>
        <v>0.91</v>
      </c>
      <c r="AB151" s="266">
        <f t="shared" si="87"/>
        <v>2608.9919856000001</v>
      </c>
      <c r="AC151" s="266">
        <f t="shared" si="88"/>
        <v>2455.5218687999995</v>
      </c>
      <c r="AD151" s="266">
        <f t="shared" si="89"/>
        <v>2148.5816352000002</v>
      </c>
      <c r="AE151" s="266">
        <f t="shared" si="90"/>
        <v>2087.19358848</v>
      </c>
      <c r="AF151" s="266">
        <f t="shared" si="91"/>
        <v>9300.2890780800008</v>
      </c>
      <c r="AG151" s="274">
        <v>0.91</v>
      </c>
      <c r="AH151" s="274">
        <v>0.91</v>
      </c>
      <c r="AI151" s="274">
        <v>0.91</v>
      </c>
      <c r="AJ151" s="274">
        <v>0.91</v>
      </c>
      <c r="AK151" s="274">
        <f t="shared" si="92"/>
        <v>0.91</v>
      </c>
      <c r="AL151" s="274">
        <f t="shared" si="93"/>
        <v>0.91</v>
      </c>
      <c r="AM151" s="274">
        <f t="shared" si="94"/>
        <v>0.91</v>
      </c>
      <c r="AN151" s="274">
        <f t="shared" si="95"/>
        <v>0.91</v>
      </c>
      <c r="AO151" s="262"/>
      <c r="AP151" s="262"/>
      <c r="AQ151" s="267">
        <v>6.7459391999999996</v>
      </c>
      <c r="AR151" s="262"/>
      <c r="AS151" s="266">
        <f t="shared" si="96"/>
        <v>2608.9919856000001</v>
      </c>
      <c r="AT151" s="264">
        <f t="shared" si="97"/>
        <v>0</v>
      </c>
      <c r="AU151" s="262"/>
      <c r="AV151" s="262"/>
      <c r="AW151" s="265">
        <v>6.7459391999999996</v>
      </c>
      <c r="AX151" s="164" t="s">
        <v>1469</v>
      </c>
      <c r="AY151" s="266">
        <v>2455.5218687999995</v>
      </c>
      <c r="AZ151" s="266">
        <f t="shared" si="98"/>
        <v>2455.5218687999995</v>
      </c>
      <c r="BA151" s="264">
        <f t="shared" si="99"/>
        <v>0</v>
      </c>
      <c r="BB151" s="262"/>
      <c r="BC151" s="262"/>
      <c r="BD151" s="265">
        <f ca="1">IFERROR(INDEX(Algorithms!$G:$G,MATCH($C151&amp;"_Therm Saved per Unit",Algorithms!$A:$A,0)),0)</f>
        <v>6.7459391999999996</v>
      </c>
      <c r="BE151" s="164" t="str">
        <f ca="1">IFERROR(INDEX('v12 Revisions'!$P$29:$P$186, MATCH('Measure-Level Adj Gas'!$L151, 'v12 Revisions'!$D$29:$D$186,0)),"")</f>
        <v>n/a - costs only.</v>
      </c>
      <c r="BF151" s="266">
        <f t="shared" ca="1" si="100"/>
        <v>2148.5816352000002</v>
      </c>
      <c r="BG151" s="264">
        <f t="shared" ca="1" si="101"/>
        <v>0</v>
      </c>
      <c r="BH151" s="262"/>
      <c r="BI151" s="262"/>
      <c r="BJ151" s="265">
        <f ca="1">IFERROR(INDEX(Algorithms!$G:$G,MATCH($C151&amp;"_Therm Saved per Unit",Algorithms!$A:$A,0)),0)</f>
        <v>6.7459391999999996</v>
      </c>
      <c r="BK151" s="164"/>
      <c r="BL151" s="266">
        <f t="shared" ca="1" si="102"/>
        <v>2087.19358848</v>
      </c>
      <c r="BM151" s="264">
        <f t="shared" ca="1" si="103"/>
        <v>0</v>
      </c>
      <c r="BN151" s="266">
        <f t="shared" si="104"/>
        <v>2608.9919856000001</v>
      </c>
      <c r="BO151" s="266">
        <f t="shared" si="105"/>
        <v>2455.5218687999995</v>
      </c>
      <c r="BP151" s="266">
        <f t="shared" ca="1" si="106"/>
        <v>2148.5816352000002</v>
      </c>
      <c r="BQ151" s="266">
        <f t="shared" ca="1" si="107"/>
        <v>2087.19358848</v>
      </c>
      <c r="BR151" s="268">
        <f t="shared" ca="1" si="108"/>
        <v>9300.2890780800008</v>
      </c>
      <c r="BS151" s="262" t="s">
        <v>99</v>
      </c>
      <c r="BT151" s="277"/>
      <c r="BW151" s="266">
        <f t="shared" si="109"/>
        <v>2608.9919856000001</v>
      </c>
      <c r="BX151" s="266">
        <f t="shared" si="110"/>
        <v>2455.5218687999995</v>
      </c>
      <c r="BY151" s="266">
        <f t="shared" si="111"/>
        <v>2148.5816352000002</v>
      </c>
      <c r="BZ151" s="266">
        <f t="shared" si="112"/>
        <v>2087.19358848</v>
      </c>
      <c r="CA151" s="266">
        <f ca="1">N151*IFERROR(INDEX(Algorithms!$G:$G,MATCH($C151&amp;"_Therm Saved per Unit- MLA",Algorithms!$A:$A,0)),0)*X151</f>
        <v>0</v>
      </c>
      <c r="CB151" s="266">
        <f ca="1">O151*IFERROR(INDEX(Algorithms!$G:$G,MATCH($C151&amp;"_Therm Saved per Unit- MLA",Algorithms!$A:$A,0)),0)*Y151</f>
        <v>0</v>
      </c>
      <c r="CC151" s="266">
        <f ca="1">P151*IFERROR(INDEX(Algorithms!$G:$G,MATCH($C151&amp;"_Therm Saved per Unit- MLA",Algorithms!$A:$A,0)),0)*Z151</f>
        <v>0</v>
      </c>
      <c r="CD151" s="266">
        <f ca="1">Q151*IFERROR(INDEX(Algorithms!$G:$G,MATCH($C151&amp;"_Therm Saved per Unit- MLA",Algorithms!$A:$A,0)),0)*AA151</f>
        <v>0</v>
      </c>
      <c r="CE151" s="266">
        <f ca="1">IFERROR(INDEX(Algorithms!$G:$G,MATCH($C151&amp;"_Lifetime (years)",Algorithms!$A:$A,0)),0)</f>
        <v>7</v>
      </c>
      <c r="CF151" s="266">
        <f ca="1">IFERROR(INDEX(Algorithms!$G:$G,MATCH($C151&amp;"_Lifetime (years) - Remaining Years",Algorithms!$A:$A,0)),0)</f>
        <v>0</v>
      </c>
      <c r="CG151" s="266">
        <f t="shared" ca="1" si="113"/>
        <v>18262.9438992</v>
      </c>
      <c r="CH151" s="266">
        <f t="shared" ca="1" si="114"/>
        <v>17188.653081599998</v>
      </c>
      <c r="CI151" s="266">
        <f t="shared" ca="1" si="115"/>
        <v>15040.071446400001</v>
      </c>
      <c r="CJ151" s="266">
        <f t="shared" ca="1" si="116"/>
        <v>14610.35511936</v>
      </c>
      <c r="CK151" s="266">
        <f t="shared" si="117"/>
        <v>2608.9919856000001</v>
      </c>
      <c r="CL151" s="266">
        <f t="shared" si="118"/>
        <v>2455.5218687999995</v>
      </c>
      <c r="CM151" s="266">
        <f t="shared" ca="1" si="119"/>
        <v>2148.5816352000002</v>
      </c>
      <c r="CN151" s="266">
        <f t="shared" ca="1" si="120"/>
        <v>2087.19358848</v>
      </c>
      <c r="CO151" s="266">
        <f ca="1">N151*IFERROR(INDEX(Algorithms!$G:$G,MATCH($C151&amp;"_Therm Saved per Unit- MLA",Algorithms!$A:$A,0)),0)*X151</f>
        <v>0</v>
      </c>
      <c r="CP151" s="266">
        <f ca="1">O151*IFERROR(INDEX(Algorithms!$G:$G,MATCH($C151&amp;"_Therm Saved per Unit- MLA",Algorithms!$A:$A,0)),0)*Y151</f>
        <v>0</v>
      </c>
      <c r="CQ151" s="266">
        <f ca="1">P151*IFERROR(INDEX(Algorithms!$G:$G,MATCH($C151&amp;"_Therm Saved per Unit- MLA",Algorithms!$A:$A,0)),0)*Z151</f>
        <v>0</v>
      </c>
      <c r="CR151" s="266">
        <f ca="1">Q151*IFERROR(INDEX(Algorithms!$G:$G,MATCH($C151&amp;"_Therm Saved per Unit- MLA",Algorithms!$A:$A,0)),0)*AA151</f>
        <v>0</v>
      </c>
      <c r="CS151" s="266">
        <f ca="1">IFERROR(INDEX(Algorithms!$G:$G,MATCH($C151&amp;"_Lifetime (years)",Algorithms!$A:$A,0)),0)</f>
        <v>7</v>
      </c>
      <c r="CT151" s="266">
        <f ca="1">IFERROR(INDEX(Algorithms!$G:$G,MATCH($C151&amp;"_Lifetime (years) - Remaining Years",Algorithms!$A:$A,0)),0)</f>
        <v>0</v>
      </c>
      <c r="CU151" s="266">
        <f t="shared" ca="1" si="121"/>
        <v>18262.9438992</v>
      </c>
      <c r="CV151" s="266">
        <f t="shared" ca="1" si="122"/>
        <v>17188.653081599998</v>
      </c>
      <c r="CW151" s="266">
        <f t="shared" ca="1" si="123"/>
        <v>15040.071446400001</v>
      </c>
      <c r="CX151" s="266">
        <f t="shared" ca="1" si="124"/>
        <v>14610.35511936</v>
      </c>
    </row>
    <row r="152" spans="2:102" s="47" customFormat="1" ht="18" customHeight="1" x14ac:dyDescent="0.25">
      <c r="B152" t="str">
        <f t="shared" si="125"/>
        <v>NSG_Income Eligible_Home Energy Jumpstart_Leave Behind Kit_Weatherstripping_0_SF</v>
      </c>
      <c r="C152" s="47" t="str">
        <f t="shared" si="86"/>
        <v>Weatherstripping_0_SF</v>
      </c>
      <c r="D152" s="270" t="s">
        <v>1787</v>
      </c>
      <c r="E152" s="270" t="s">
        <v>325</v>
      </c>
      <c r="F152" s="270" t="s">
        <v>1414</v>
      </c>
      <c r="G152" s="270" t="s">
        <v>1416</v>
      </c>
      <c r="H152" s="270" t="s">
        <v>576</v>
      </c>
      <c r="I152" s="270">
        <v>0</v>
      </c>
      <c r="J152" s="270" t="s">
        <v>409</v>
      </c>
      <c r="K152" s="263">
        <v>1</v>
      </c>
      <c r="L152" s="263" t="str">
        <f ca="1">IFERROR(INDEX(Algorithms!J:J,MATCH($C152&amp;"_Therm Saved per Unit",Algorithms!$A:$A,0)),"n/a")</f>
        <v>5.6.1</v>
      </c>
      <c r="M152" s="263" t="str">
        <f>IFERROR(INDEX('Measure Level Detail'!$N:$N,MATCH($B152,'Measure Level Detail'!$B:$B,0)),0)</f>
        <v>linear foot</v>
      </c>
      <c r="N152" s="271">
        <f>IFERROR(INDEX('Measure Level Detail'!$P:$P,MATCH($B152&amp;"_"&amp;N$3,'Measure Level Detail'!$C:$C,0)),0)</f>
        <v>400</v>
      </c>
      <c r="O152" s="271">
        <f>IFERROR(INDEX('Measure Level Detail'!$P:$P,MATCH($B152&amp;"_"&amp;O$3,'Measure Level Detail'!$C:$C,0)),0)</f>
        <v>1008</v>
      </c>
      <c r="P152" s="271">
        <f>IFERROR(INDEX('Measure Level Detail'!$P:$P,MATCH($B152&amp;"_"&amp;P$3,'Measure Level Detail'!$C:$C,0)),0)</f>
        <v>2016</v>
      </c>
      <c r="Q152" s="271">
        <f>IFERROR(INDEX('Measure Level Detail'!$P:$P,MATCH($B152&amp;"_"&amp;Q$3,'Measure Level Detail'!$C:$C,0)),0)</f>
        <v>2416</v>
      </c>
      <c r="R152" s="263" t="str">
        <f ca="1">IFERROR(INDEX(Algorithms!K:K,MATCH($C152&amp;"_Therm Saved per Unit",Algorithms!$A:$A,0)),"n/a")</f>
        <v>RS-SHL-AIRS-V13-240101</v>
      </c>
      <c r="S152" s="262"/>
      <c r="T152" s="272">
        <v>0.42455999999999999</v>
      </c>
      <c r="U152" s="272">
        <v>0.42455999999999999</v>
      </c>
      <c r="V152" s="272">
        <v>0.42455999999999999</v>
      </c>
      <c r="W152" s="272">
        <v>0.42455999999999999</v>
      </c>
      <c r="X152" s="273">
        <f>IFERROR(INDEX('Measure Level Detail'!$R:$R,MATCH($B152&amp;"_"&amp;X$3,'Measure Level Detail'!$C:$C,0)),0)</f>
        <v>1</v>
      </c>
      <c r="Y152" s="273">
        <f>IFERROR(INDEX('Measure Level Detail'!$R:$R,MATCH($B152&amp;"_"&amp;Y$3,'Measure Level Detail'!$C:$C,0)),0)</f>
        <v>1</v>
      </c>
      <c r="Z152" s="273">
        <f>IFERROR(INDEX('Measure Level Detail'!$R:$R,MATCH($B152&amp;"_"&amp;Z$3,'Measure Level Detail'!$C:$C,0)),0)</f>
        <v>1</v>
      </c>
      <c r="AA152" s="273">
        <f>IFERROR(INDEX('Measure Level Detail'!$R:$R,MATCH($B152&amp;"_"&amp;AA$3,'Measure Level Detail'!$C:$C,0)),0)</f>
        <v>1</v>
      </c>
      <c r="AB152" s="266">
        <f t="shared" si="87"/>
        <v>169.82399999999998</v>
      </c>
      <c r="AC152" s="266">
        <f t="shared" si="88"/>
        <v>427.95648</v>
      </c>
      <c r="AD152" s="266">
        <f t="shared" si="89"/>
        <v>855.91296</v>
      </c>
      <c r="AE152" s="266">
        <f t="shared" si="90"/>
        <v>1025.73696</v>
      </c>
      <c r="AF152" s="266">
        <f t="shared" si="91"/>
        <v>2479.4304000000002</v>
      </c>
      <c r="AG152" s="274">
        <v>1</v>
      </c>
      <c r="AH152" s="274">
        <v>1</v>
      </c>
      <c r="AI152" s="274">
        <v>1</v>
      </c>
      <c r="AJ152" s="274">
        <v>1</v>
      </c>
      <c r="AK152" s="274">
        <f t="shared" si="92"/>
        <v>1</v>
      </c>
      <c r="AL152" s="274">
        <f t="shared" si="93"/>
        <v>1</v>
      </c>
      <c r="AM152" s="274">
        <f t="shared" si="94"/>
        <v>1</v>
      </c>
      <c r="AN152" s="274">
        <f t="shared" si="95"/>
        <v>1</v>
      </c>
      <c r="AO152" s="262"/>
      <c r="AP152" s="262"/>
      <c r="AQ152" s="267">
        <v>0.42455999999999999</v>
      </c>
      <c r="AR152" s="262"/>
      <c r="AS152" s="266">
        <f t="shared" si="96"/>
        <v>169.82399999999998</v>
      </c>
      <c r="AT152" s="264">
        <f t="shared" si="97"/>
        <v>0</v>
      </c>
      <c r="AU152" s="262"/>
      <c r="AV152" s="262"/>
      <c r="AW152" s="265">
        <v>0.42455999999999999</v>
      </c>
      <c r="AX152" s="164" t="s">
        <v>2395</v>
      </c>
      <c r="AY152" s="266">
        <v>376.60170240000002</v>
      </c>
      <c r="AZ152" s="266">
        <f t="shared" si="98"/>
        <v>427.95648</v>
      </c>
      <c r="BA152" s="264">
        <f t="shared" si="99"/>
        <v>0</v>
      </c>
      <c r="BB152" s="262"/>
      <c r="BC152" s="262"/>
      <c r="BD152" s="265">
        <f ca="1">IFERROR(INDEX(Algorithms!$G:$G,MATCH($C152&amp;"_Therm Saved per Unit",Algorithms!$A:$A,0)),0)</f>
        <v>0.42455999999999999</v>
      </c>
      <c r="BE152" s="164" t="str">
        <f ca="1">IFERROR(INDEX('v12 Revisions'!$P$29:$P$186, MATCH('Measure-Level Adj Gas'!$L152, 'v12 Revisions'!$D$29:$D$186,0)),"")</f>
        <v>Updated HDD from 5113 to 4798 and shell adjustment factor from 0.72 to 0.76.</v>
      </c>
      <c r="BF152" s="266">
        <f t="shared" ca="1" si="100"/>
        <v>855.91296</v>
      </c>
      <c r="BG152" s="264">
        <f t="shared" ca="1" si="101"/>
        <v>0</v>
      </c>
      <c r="BH152" s="262"/>
      <c r="BI152" s="262"/>
      <c r="BJ152" s="265">
        <f ca="1">IFERROR(INDEX(Algorithms!$G:$G,MATCH($C152&amp;"_Therm Saved per Unit",Algorithms!$A:$A,0)),0)</f>
        <v>0.42455999999999999</v>
      </c>
      <c r="BK152" s="164"/>
      <c r="BL152" s="266">
        <f t="shared" ca="1" si="102"/>
        <v>1025.73696</v>
      </c>
      <c r="BM152" s="264">
        <f t="shared" ca="1" si="103"/>
        <v>0</v>
      </c>
      <c r="BN152" s="266">
        <f t="shared" si="104"/>
        <v>169.82399999999998</v>
      </c>
      <c r="BO152" s="266">
        <f t="shared" si="105"/>
        <v>427.95648</v>
      </c>
      <c r="BP152" s="266">
        <f t="shared" ca="1" si="106"/>
        <v>855.91296</v>
      </c>
      <c r="BQ152" s="266">
        <f t="shared" ca="1" si="107"/>
        <v>1025.73696</v>
      </c>
      <c r="BR152" s="268">
        <f t="shared" ca="1" si="108"/>
        <v>2479.4304000000002</v>
      </c>
      <c r="BS152" s="262" t="s">
        <v>99</v>
      </c>
      <c r="BT152" s="277"/>
      <c r="BW152" s="266">
        <f t="shared" si="109"/>
        <v>169.82399999999998</v>
      </c>
      <c r="BX152" s="266">
        <f t="shared" si="110"/>
        <v>427.95648</v>
      </c>
      <c r="BY152" s="266">
        <f t="shared" si="111"/>
        <v>855.91296</v>
      </c>
      <c r="BZ152" s="266">
        <f t="shared" si="112"/>
        <v>1025.73696</v>
      </c>
      <c r="CA152" s="266">
        <f ca="1">N152*IFERROR(INDEX(Algorithms!$G:$G,MATCH($C152&amp;"_Therm Saved per Unit- MLA",Algorithms!$A:$A,0)),0)*X152</f>
        <v>0</v>
      </c>
      <c r="CB152" s="266">
        <f ca="1">O152*IFERROR(INDEX(Algorithms!$G:$G,MATCH($C152&amp;"_Therm Saved per Unit- MLA",Algorithms!$A:$A,0)),0)*Y152</f>
        <v>0</v>
      </c>
      <c r="CC152" s="266">
        <f ca="1">P152*IFERROR(INDEX(Algorithms!$G:$G,MATCH($C152&amp;"_Therm Saved per Unit- MLA",Algorithms!$A:$A,0)),0)*Z152</f>
        <v>0</v>
      </c>
      <c r="CD152" s="266">
        <f ca="1">Q152*IFERROR(INDEX(Algorithms!$G:$G,MATCH($C152&amp;"_Therm Saved per Unit- MLA",Algorithms!$A:$A,0)),0)*AA152</f>
        <v>0</v>
      </c>
      <c r="CE152" s="266">
        <f ca="1">IFERROR(INDEX(Algorithms!$G:$G,MATCH($C152&amp;"_Lifetime (years)",Algorithms!$A:$A,0)),0)</f>
        <v>20</v>
      </c>
      <c r="CF152" s="266">
        <f ca="1">IFERROR(INDEX(Algorithms!$G:$G,MATCH($C152&amp;"_Lifetime (years) - Remaining Years",Algorithms!$A:$A,0)),0)</f>
        <v>0</v>
      </c>
      <c r="CG152" s="266">
        <f t="shared" ca="1" si="113"/>
        <v>3396.4799999999996</v>
      </c>
      <c r="CH152" s="266">
        <f t="shared" ca="1" si="114"/>
        <v>8559.1296000000002</v>
      </c>
      <c r="CI152" s="266">
        <f t="shared" ca="1" si="115"/>
        <v>17118.2592</v>
      </c>
      <c r="CJ152" s="266">
        <f t="shared" ca="1" si="116"/>
        <v>20514.7392</v>
      </c>
      <c r="CK152" s="266">
        <f t="shared" si="117"/>
        <v>169.82399999999998</v>
      </c>
      <c r="CL152" s="266">
        <f t="shared" si="118"/>
        <v>427.95648</v>
      </c>
      <c r="CM152" s="266">
        <f t="shared" ca="1" si="119"/>
        <v>855.91296</v>
      </c>
      <c r="CN152" s="266">
        <f t="shared" ca="1" si="120"/>
        <v>1025.73696</v>
      </c>
      <c r="CO152" s="266">
        <f ca="1">N152*IFERROR(INDEX(Algorithms!$G:$G,MATCH($C152&amp;"_Therm Saved per Unit- MLA",Algorithms!$A:$A,0)),0)*X152</f>
        <v>0</v>
      </c>
      <c r="CP152" s="266">
        <f ca="1">O152*IFERROR(INDEX(Algorithms!$G:$G,MATCH($C152&amp;"_Therm Saved per Unit- MLA",Algorithms!$A:$A,0)),0)*Y152</f>
        <v>0</v>
      </c>
      <c r="CQ152" s="266">
        <f ca="1">P152*IFERROR(INDEX(Algorithms!$G:$G,MATCH($C152&amp;"_Therm Saved per Unit- MLA",Algorithms!$A:$A,0)),0)*Z152</f>
        <v>0</v>
      </c>
      <c r="CR152" s="266">
        <f ca="1">Q152*IFERROR(INDEX(Algorithms!$G:$G,MATCH($C152&amp;"_Therm Saved per Unit- MLA",Algorithms!$A:$A,0)),0)*AA152</f>
        <v>0</v>
      </c>
      <c r="CS152" s="266">
        <f ca="1">IFERROR(INDEX(Algorithms!$G:$G,MATCH($C152&amp;"_Lifetime (years)",Algorithms!$A:$A,0)),0)</f>
        <v>20</v>
      </c>
      <c r="CT152" s="266">
        <f ca="1">IFERROR(INDEX(Algorithms!$G:$G,MATCH($C152&amp;"_Lifetime (years) - Remaining Years",Algorithms!$A:$A,0)),0)</f>
        <v>0</v>
      </c>
      <c r="CU152" s="266">
        <f t="shared" ca="1" si="121"/>
        <v>3396.4799999999996</v>
      </c>
      <c r="CV152" s="266">
        <f t="shared" ca="1" si="122"/>
        <v>8559.1296000000002</v>
      </c>
      <c r="CW152" s="266">
        <f t="shared" ca="1" si="123"/>
        <v>17118.2592</v>
      </c>
      <c r="CX152" s="266">
        <f t="shared" ca="1" si="124"/>
        <v>20514.7392</v>
      </c>
    </row>
    <row r="153" spans="2:102" s="47" customFormat="1" ht="18" customHeight="1" x14ac:dyDescent="0.25">
      <c r="B153" t="str">
        <f t="shared" si="125"/>
        <v>NSG_Business_C&amp;I_Rebates_Boiler_≥88% AFUE, &lt;300MBh_CI</v>
      </c>
      <c r="C153" s="47" t="str">
        <f t="shared" si="86"/>
        <v>Boiler_≥88% AFUE, &lt;300MBh_CI</v>
      </c>
      <c r="D153" s="270" t="s">
        <v>1787</v>
      </c>
      <c r="E153" s="270" t="s">
        <v>3</v>
      </c>
      <c r="F153" s="270" t="s">
        <v>1427</v>
      </c>
      <c r="G153" s="270" t="s">
        <v>1429</v>
      </c>
      <c r="H153" s="270" t="s">
        <v>944</v>
      </c>
      <c r="I153" s="270" t="s">
        <v>945</v>
      </c>
      <c r="J153" s="270" t="s">
        <v>1159</v>
      </c>
      <c r="K153" s="263">
        <v>1</v>
      </c>
      <c r="L153" s="263" t="str">
        <f ca="1">IFERROR(INDEX(Algorithms!J:J,MATCH($C153&amp;"_Therm Saved per Unit",Algorithms!$A:$A,0)),"n/a")</f>
        <v>4.4.10</v>
      </c>
      <c r="M153" s="263" t="str">
        <f>IFERROR(INDEX('Measure Level Detail'!$N:$N,MATCH($B153,'Measure Level Detail'!$B:$B,0)),0)</f>
        <v>MBH</v>
      </c>
      <c r="N153" s="271">
        <f>IFERROR(INDEX('Measure Level Detail'!$P:$P,MATCH($B153&amp;"_"&amp;N$3,'Measure Level Detail'!$C:$C,0)),0)</f>
        <v>340</v>
      </c>
      <c r="O153" s="271">
        <f>IFERROR(INDEX('Measure Level Detail'!$P:$P,MATCH($B153&amp;"_"&amp;O$3,'Measure Level Detail'!$C:$C,0)),0)</f>
        <v>320</v>
      </c>
      <c r="P153" s="271">
        <f>IFERROR(INDEX('Measure Level Detail'!$P:$P,MATCH($B153&amp;"_"&amp;P$3,'Measure Level Detail'!$C:$C,0)),0)</f>
        <v>280</v>
      </c>
      <c r="Q153" s="271">
        <f>IFERROR(INDEX('Measure Level Detail'!$P:$P,MATCH($B153&amp;"_"&amp;Q$3,'Measure Level Detail'!$C:$C,0)),0)</f>
        <v>272</v>
      </c>
      <c r="R153" s="263" t="str">
        <f ca="1">IFERROR(INDEX(Algorithms!K:K,MATCH($C153&amp;"_Therm Saved per Unit",Algorithms!$A:$A,0)),"n/a")</f>
        <v>CI-HVC-BOIL-V11-240101</v>
      </c>
      <c r="S153" s="262"/>
      <c r="T153" s="272">
        <v>0.79095238095238163</v>
      </c>
      <c r="U153" s="272">
        <v>0.79095238095238163</v>
      </c>
      <c r="V153" s="272">
        <v>0.79095238095238163</v>
      </c>
      <c r="W153" s="272">
        <v>0.79095238095238163</v>
      </c>
      <c r="X153" s="273">
        <f>IFERROR(INDEX('Measure Level Detail'!$R:$R,MATCH($B153&amp;"_"&amp;X$3,'Measure Level Detail'!$C:$C,0)),0)</f>
        <v>0.91</v>
      </c>
      <c r="Y153" s="273">
        <f>IFERROR(INDEX('Measure Level Detail'!$R:$R,MATCH($B153&amp;"_"&amp;Y$3,'Measure Level Detail'!$C:$C,0)),0)</f>
        <v>0.91</v>
      </c>
      <c r="Z153" s="273">
        <f>IFERROR(INDEX('Measure Level Detail'!$R:$R,MATCH($B153&amp;"_"&amp;Z$3,'Measure Level Detail'!$C:$C,0)),0)</f>
        <v>0.91</v>
      </c>
      <c r="AA153" s="273">
        <f>IFERROR(INDEX('Measure Level Detail'!$R:$R,MATCH($B153&amp;"_"&amp;AA$3,'Measure Level Detail'!$C:$C,0)),0)</f>
        <v>0.91</v>
      </c>
      <c r="AB153" s="266">
        <f t="shared" si="87"/>
        <v>244.72066666666692</v>
      </c>
      <c r="AC153" s="266">
        <f t="shared" si="88"/>
        <v>230.32533333333353</v>
      </c>
      <c r="AD153" s="266">
        <f t="shared" si="89"/>
        <v>201.53466666666685</v>
      </c>
      <c r="AE153" s="266">
        <f t="shared" si="90"/>
        <v>195.7765333333335</v>
      </c>
      <c r="AF153" s="266">
        <f t="shared" si="91"/>
        <v>872.35720000000083</v>
      </c>
      <c r="AG153" s="274">
        <v>0.91</v>
      </c>
      <c r="AH153" s="274">
        <v>0.91</v>
      </c>
      <c r="AI153" s="274">
        <v>0.91</v>
      </c>
      <c r="AJ153" s="274">
        <v>0.91</v>
      </c>
      <c r="AK153" s="274">
        <f t="shared" si="92"/>
        <v>0.91</v>
      </c>
      <c r="AL153" s="274">
        <f t="shared" si="93"/>
        <v>0.91</v>
      </c>
      <c r="AM153" s="274">
        <f t="shared" si="94"/>
        <v>0.91</v>
      </c>
      <c r="AN153" s="274">
        <f t="shared" si="95"/>
        <v>0.91</v>
      </c>
      <c r="AO153" s="262"/>
      <c r="AP153" s="262"/>
      <c r="AQ153" s="267">
        <v>0.79095238095238163</v>
      </c>
      <c r="AR153" s="262"/>
      <c r="AS153" s="266">
        <f t="shared" si="96"/>
        <v>244.72066666666692</v>
      </c>
      <c r="AT153" s="264">
        <f t="shared" si="97"/>
        <v>0</v>
      </c>
      <c r="AU153" s="262"/>
      <c r="AV153" s="262"/>
      <c r="AW153" s="265">
        <v>0.79095238095238163</v>
      </c>
      <c r="AX153" s="164" t="s">
        <v>1469</v>
      </c>
      <c r="AY153" s="266">
        <v>230.32533333333353</v>
      </c>
      <c r="AZ153" s="266">
        <f t="shared" si="98"/>
        <v>230.32533333333353</v>
      </c>
      <c r="BA153" s="264">
        <f t="shared" si="99"/>
        <v>0</v>
      </c>
      <c r="BB153" s="262"/>
      <c r="BC153" s="262"/>
      <c r="BD153" s="265">
        <f ca="1">IFERROR(INDEX(Algorithms!$G:$G,MATCH($C153&amp;"_Therm Saved per Unit",Algorithms!$A:$A,0)),0)</f>
        <v>0.79095238095238163</v>
      </c>
      <c r="BE153" s="164" t="str">
        <f ca="1">IFERROR(INDEX('v12 Revisions'!$P$29:$P$186, MATCH('Measure-Level Adj Gas'!$L153, 'v12 Revisions'!$D$29:$D$186,0)),"")</f>
        <v>Updated baseline and efficient boiler efficiency ratings.</v>
      </c>
      <c r="BF153" s="266">
        <f t="shared" ca="1" si="100"/>
        <v>201.53466666666685</v>
      </c>
      <c r="BG153" s="264">
        <f t="shared" ca="1" si="101"/>
        <v>0</v>
      </c>
      <c r="BH153" s="262"/>
      <c r="BI153" s="262"/>
      <c r="BJ153" s="265">
        <f ca="1">IFERROR(INDEX(Algorithms!$G:$G,MATCH($C153&amp;"_Therm Saved per Unit",Algorithms!$A:$A,0)),0)</f>
        <v>0.79095238095238163</v>
      </c>
      <c r="BK153" s="164"/>
      <c r="BL153" s="266">
        <f t="shared" ca="1" si="102"/>
        <v>195.7765333333335</v>
      </c>
      <c r="BM153" s="264">
        <f t="shared" ca="1" si="103"/>
        <v>0</v>
      </c>
      <c r="BN153" s="266">
        <f t="shared" si="104"/>
        <v>244.72066666666692</v>
      </c>
      <c r="BO153" s="266">
        <f t="shared" si="105"/>
        <v>230.32533333333353</v>
      </c>
      <c r="BP153" s="266">
        <f t="shared" ca="1" si="106"/>
        <v>201.53466666666685</v>
      </c>
      <c r="BQ153" s="266">
        <f t="shared" ca="1" si="107"/>
        <v>195.7765333333335</v>
      </c>
      <c r="BR153" s="268">
        <f t="shared" ca="1" si="108"/>
        <v>872.35720000000083</v>
      </c>
      <c r="BS153" s="262" t="s">
        <v>99</v>
      </c>
      <c r="BT153" s="277"/>
      <c r="BW153" s="266">
        <f t="shared" si="109"/>
        <v>244.72066666666692</v>
      </c>
      <c r="BX153" s="266">
        <f t="shared" si="110"/>
        <v>230.32533333333353</v>
      </c>
      <c r="BY153" s="266">
        <f t="shared" si="111"/>
        <v>201.53466666666685</v>
      </c>
      <c r="BZ153" s="266">
        <f t="shared" si="112"/>
        <v>195.7765333333335</v>
      </c>
      <c r="CA153" s="266">
        <f ca="1">N153*IFERROR(INDEX(Algorithms!$G:$G,MATCH($C153&amp;"_Therm Saved per Unit- MLA",Algorithms!$A:$A,0)),0)*X153</f>
        <v>0</v>
      </c>
      <c r="CB153" s="266">
        <f ca="1">O153*IFERROR(INDEX(Algorithms!$G:$G,MATCH($C153&amp;"_Therm Saved per Unit- MLA",Algorithms!$A:$A,0)),0)*Y153</f>
        <v>0</v>
      </c>
      <c r="CC153" s="266">
        <f ca="1">P153*IFERROR(INDEX(Algorithms!$G:$G,MATCH($C153&amp;"_Therm Saved per Unit- MLA",Algorithms!$A:$A,0)),0)*Z153</f>
        <v>0</v>
      </c>
      <c r="CD153" s="266">
        <f ca="1">Q153*IFERROR(INDEX(Algorithms!$G:$G,MATCH($C153&amp;"_Therm Saved per Unit- MLA",Algorithms!$A:$A,0)),0)*AA153</f>
        <v>0</v>
      </c>
      <c r="CE153" s="266">
        <f ca="1">IFERROR(INDEX(Algorithms!$G:$G,MATCH($C153&amp;"_Lifetime (years)",Algorithms!$A:$A,0)),0)</f>
        <v>25</v>
      </c>
      <c r="CF153" s="266">
        <f ca="1">IFERROR(INDEX(Algorithms!$G:$G,MATCH($C153&amp;"_Lifetime (years) - Remaining Years",Algorithms!$A:$A,0)),0)</f>
        <v>0</v>
      </c>
      <c r="CG153" s="266">
        <f t="shared" ca="1" si="113"/>
        <v>6118.0166666666728</v>
      </c>
      <c r="CH153" s="266">
        <f t="shared" ca="1" si="114"/>
        <v>5758.1333333333387</v>
      </c>
      <c r="CI153" s="266">
        <f t="shared" ca="1" si="115"/>
        <v>5038.3666666666713</v>
      </c>
      <c r="CJ153" s="266">
        <f t="shared" ca="1" si="116"/>
        <v>4894.4133333333375</v>
      </c>
      <c r="CK153" s="266">
        <f t="shared" si="117"/>
        <v>244.72066666666692</v>
      </c>
      <c r="CL153" s="266">
        <f t="shared" si="118"/>
        <v>230.32533333333353</v>
      </c>
      <c r="CM153" s="266">
        <f t="shared" ca="1" si="119"/>
        <v>201.53466666666685</v>
      </c>
      <c r="CN153" s="266">
        <f t="shared" ca="1" si="120"/>
        <v>195.7765333333335</v>
      </c>
      <c r="CO153" s="266">
        <f ca="1">N153*IFERROR(INDEX(Algorithms!$G:$G,MATCH($C153&amp;"_Therm Saved per Unit- MLA",Algorithms!$A:$A,0)),0)*X153</f>
        <v>0</v>
      </c>
      <c r="CP153" s="266">
        <f ca="1">O153*IFERROR(INDEX(Algorithms!$G:$G,MATCH($C153&amp;"_Therm Saved per Unit- MLA",Algorithms!$A:$A,0)),0)*Y153</f>
        <v>0</v>
      </c>
      <c r="CQ153" s="266">
        <f ca="1">P153*IFERROR(INDEX(Algorithms!$G:$G,MATCH($C153&amp;"_Therm Saved per Unit- MLA",Algorithms!$A:$A,0)),0)*Z153</f>
        <v>0</v>
      </c>
      <c r="CR153" s="266">
        <f ca="1">Q153*IFERROR(INDEX(Algorithms!$G:$G,MATCH($C153&amp;"_Therm Saved per Unit- MLA",Algorithms!$A:$A,0)),0)*AA153</f>
        <v>0</v>
      </c>
      <c r="CS153" s="266">
        <f ca="1">IFERROR(INDEX(Algorithms!$G:$G,MATCH($C153&amp;"_Lifetime (years)",Algorithms!$A:$A,0)),0)</f>
        <v>25</v>
      </c>
      <c r="CT153" s="266">
        <f ca="1">IFERROR(INDEX(Algorithms!$G:$G,MATCH($C153&amp;"_Lifetime (years) - Remaining Years",Algorithms!$A:$A,0)),0)</f>
        <v>0</v>
      </c>
      <c r="CU153" s="266">
        <f t="shared" ca="1" si="121"/>
        <v>6118.0166666666728</v>
      </c>
      <c r="CV153" s="266">
        <f t="shared" ca="1" si="122"/>
        <v>5758.1333333333387</v>
      </c>
      <c r="CW153" s="266">
        <f t="shared" ca="1" si="123"/>
        <v>5038.3666666666713</v>
      </c>
      <c r="CX153" s="266">
        <f t="shared" ca="1" si="124"/>
        <v>4894.4133333333375</v>
      </c>
    </row>
    <row r="154" spans="2:102" s="47" customFormat="1" ht="18" customHeight="1" x14ac:dyDescent="0.25">
      <c r="B154" t="str">
        <f t="shared" si="125"/>
        <v>NSG_Business_C&amp;I_Rebates_Pipe Insulation_HW Large &gt;4"_MF/CI/SMB</v>
      </c>
      <c r="C154" s="47" t="str">
        <f t="shared" si="86"/>
        <v>Pipe Insulation_HW Large &gt;4"_MF/CI/SMB</v>
      </c>
      <c r="D154" s="270" t="s">
        <v>1787</v>
      </c>
      <c r="E154" s="270" t="s">
        <v>3</v>
      </c>
      <c r="F154" s="270" t="s">
        <v>1427</v>
      </c>
      <c r="G154" s="270" t="s">
        <v>1429</v>
      </c>
      <c r="H154" s="270" t="s">
        <v>404</v>
      </c>
      <c r="I154" s="270" t="s">
        <v>955</v>
      </c>
      <c r="J154" s="270" t="s">
        <v>662</v>
      </c>
      <c r="K154" s="263">
        <v>1</v>
      </c>
      <c r="L154" s="263" t="str">
        <f ca="1">IFERROR(INDEX(Algorithms!J:J,MATCH($C154&amp;"_Therm Saved per Unit",Algorithms!$A:$A,0)),"n/a")</f>
        <v>"3 - Res Pipe Insulation" worksheet</v>
      </c>
      <c r="M154" s="263" t="str">
        <f>IFERROR(INDEX('Measure Level Detail'!$N:$N,MATCH($B154,'Measure Level Detail'!$B:$B,0)),0)</f>
        <v>ft</v>
      </c>
      <c r="N154" s="271">
        <f>IFERROR(INDEX('Measure Level Detail'!$P:$P,MATCH($B154&amp;"_"&amp;N$3,'Measure Level Detail'!$C:$C,0)),0)</f>
        <v>318.75</v>
      </c>
      <c r="O154" s="271">
        <f>IFERROR(INDEX('Measure Level Detail'!$P:$P,MATCH($B154&amp;"_"&amp;O$3,'Measure Level Detail'!$C:$C,0)),0)</f>
        <v>300</v>
      </c>
      <c r="P154" s="271">
        <f>IFERROR(INDEX('Measure Level Detail'!$P:$P,MATCH($B154&amp;"_"&amp;P$3,'Measure Level Detail'!$C:$C,0)),0)</f>
        <v>262.5</v>
      </c>
      <c r="Q154" s="271">
        <f>IFERROR(INDEX('Measure Level Detail'!$P:$P,MATCH($B154&amp;"_"&amp;Q$3,'Measure Level Detail'!$C:$C,0)),0)</f>
        <v>255.00000000000003</v>
      </c>
      <c r="R154" s="263">
        <f ca="1">IFERROR(INDEX(Algorithms!K:K,MATCH($C154&amp;"_Therm Saved per Unit",Algorithms!$A:$A,0)),"n/a")</f>
        <v>0</v>
      </c>
      <c r="S154" s="262"/>
      <c r="T154" s="272">
        <v>9.0407613085908682</v>
      </c>
      <c r="U154" s="272">
        <v>9.0407613085908682</v>
      </c>
      <c r="V154" s="272">
        <v>9.0407613085908682</v>
      </c>
      <c r="W154" s="272">
        <v>9.0407613085908682</v>
      </c>
      <c r="X154" s="273">
        <f>IFERROR(INDEX('Measure Level Detail'!$R:$R,MATCH($B154&amp;"_"&amp;X$3,'Measure Level Detail'!$C:$C,0)),0)</f>
        <v>0.91</v>
      </c>
      <c r="Y154" s="273">
        <f>IFERROR(INDEX('Measure Level Detail'!$R:$R,MATCH($B154&amp;"_"&amp;Y$3,'Measure Level Detail'!$C:$C,0)),0)</f>
        <v>0.91</v>
      </c>
      <c r="Z154" s="273">
        <f>IFERROR(INDEX('Measure Level Detail'!$R:$R,MATCH($B154&amp;"_"&amp;Z$3,'Measure Level Detail'!$C:$C,0)),0)</f>
        <v>0.91</v>
      </c>
      <c r="AA154" s="273">
        <f>IFERROR(INDEX('Measure Level Detail'!$R:$R,MATCH($B154&amp;"_"&amp;AA$3,'Measure Level Detail'!$C:$C,0)),0)</f>
        <v>0.91</v>
      </c>
      <c r="AB154" s="266">
        <f t="shared" si="87"/>
        <v>2622.3858270731389</v>
      </c>
      <c r="AC154" s="266">
        <f t="shared" si="88"/>
        <v>2468.1278372453071</v>
      </c>
      <c r="AD154" s="266">
        <f t="shared" si="89"/>
        <v>2159.6118575896435</v>
      </c>
      <c r="AE154" s="266">
        <f t="shared" si="90"/>
        <v>2097.9086616585114</v>
      </c>
      <c r="AF154" s="266">
        <f t="shared" si="91"/>
        <v>9348.0341835666004</v>
      </c>
      <c r="AG154" s="274">
        <v>0.91</v>
      </c>
      <c r="AH154" s="274">
        <v>0.91</v>
      </c>
      <c r="AI154" s="274">
        <v>0.91</v>
      </c>
      <c r="AJ154" s="274">
        <v>0.91</v>
      </c>
      <c r="AK154" s="274">
        <f t="shared" si="92"/>
        <v>0.91</v>
      </c>
      <c r="AL154" s="274">
        <f t="shared" si="93"/>
        <v>0.91</v>
      </c>
      <c r="AM154" s="274">
        <f t="shared" si="94"/>
        <v>0.91</v>
      </c>
      <c r="AN154" s="274">
        <f t="shared" si="95"/>
        <v>0.91</v>
      </c>
      <c r="AO154" s="262"/>
      <c r="AP154" s="262"/>
      <c r="AQ154" s="267">
        <v>9.0407613085908682</v>
      </c>
      <c r="AR154" s="262"/>
      <c r="AS154" s="266">
        <f t="shared" si="96"/>
        <v>2622.3858270731389</v>
      </c>
      <c r="AT154" s="264">
        <f t="shared" si="97"/>
        <v>0</v>
      </c>
      <c r="AU154" s="262"/>
      <c r="AV154" s="262"/>
      <c r="AW154" s="265">
        <v>9.0407613085908682</v>
      </c>
      <c r="AX154" s="164" t="s">
        <v>1469</v>
      </c>
      <c r="AY154" s="266">
        <v>2468.1278372453071</v>
      </c>
      <c r="AZ154" s="266">
        <f t="shared" si="98"/>
        <v>2468.1278372453071</v>
      </c>
      <c r="BA154" s="264">
        <f t="shared" si="99"/>
        <v>0</v>
      </c>
      <c r="BB154" s="262"/>
      <c r="BC154" s="262"/>
      <c r="BD154" s="265">
        <f ca="1">IFERROR(INDEX(Algorithms!$G:$G,MATCH($C154&amp;"_Therm Saved per Unit",Algorithms!$A:$A,0)),0)</f>
        <v>9.0407613085908682</v>
      </c>
      <c r="BE154" s="164" t="str">
        <f ca="1">IFERROR(INDEX('v12 Revisions'!$P$29:$P$186, MATCH('Measure-Level Adj Gas'!$L154, 'v12 Revisions'!$D$29:$D$186,0)),"")</f>
        <v/>
      </c>
      <c r="BF154" s="266">
        <f t="shared" ca="1" si="100"/>
        <v>2159.6118575896435</v>
      </c>
      <c r="BG154" s="264">
        <f t="shared" ca="1" si="101"/>
        <v>0</v>
      </c>
      <c r="BH154" s="262"/>
      <c r="BI154" s="262"/>
      <c r="BJ154" s="265">
        <f ca="1">IFERROR(INDEX(Algorithms!$G:$G,MATCH($C154&amp;"_Therm Saved per Unit",Algorithms!$A:$A,0)),0)</f>
        <v>9.0407613085908682</v>
      </c>
      <c r="BK154" s="164"/>
      <c r="BL154" s="266">
        <f t="shared" ca="1" si="102"/>
        <v>2097.9086616585114</v>
      </c>
      <c r="BM154" s="264">
        <f t="shared" ca="1" si="103"/>
        <v>0</v>
      </c>
      <c r="BN154" s="266">
        <f t="shared" si="104"/>
        <v>2622.3858270731389</v>
      </c>
      <c r="BO154" s="266">
        <f t="shared" si="105"/>
        <v>2468.1278372453071</v>
      </c>
      <c r="BP154" s="266">
        <f t="shared" ca="1" si="106"/>
        <v>2159.6118575896435</v>
      </c>
      <c r="BQ154" s="266">
        <f t="shared" ca="1" si="107"/>
        <v>2097.9086616585114</v>
      </c>
      <c r="BR154" s="268">
        <f t="shared" ca="1" si="108"/>
        <v>9348.0341835666004</v>
      </c>
      <c r="BS154" s="262" t="s">
        <v>99</v>
      </c>
      <c r="BT154" s="277"/>
      <c r="BW154" s="266">
        <f t="shared" si="109"/>
        <v>2622.3858270731389</v>
      </c>
      <c r="BX154" s="266">
        <f t="shared" si="110"/>
        <v>2468.1278372453071</v>
      </c>
      <c r="BY154" s="266">
        <f t="shared" si="111"/>
        <v>2159.6118575896435</v>
      </c>
      <c r="BZ154" s="266">
        <f t="shared" si="112"/>
        <v>2097.9086616585114</v>
      </c>
      <c r="CA154" s="266">
        <f ca="1">N154*IFERROR(INDEX(Algorithms!$G:$G,MATCH($C154&amp;"_Therm Saved per Unit- MLA",Algorithms!$A:$A,0)),0)*X154</f>
        <v>0</v>
      </c>
      <c r="CB154" s="266">
        <f ca="1">O154*IFERROR(INDEX(Algorithms!$G:$G,MATCH($C154&amp;"_Therm Saved per Unit- MLA",Algorithms!$A:$A,0)),0)*Y154</f>
        <v>0</v>
      </c>
      <c r="CC154" s="266">
        <f ca="1">P154*IFERROR(INDEX(Algorithms!$G:$G,MATCH($C154&amp;"_Therm Saved per Unit- MLA",Algorithms!$A:$A,0)),0)*Z154</f>
        <v>0</v>
      </c>
      <c r="CD154" s="266">
        <f ca="1">Q154*IFERROR(INDEX(Algorithms!$G:$G,MATCH($C154&amp;"_Therm Saved per Unit- MLA",Algorithms!$A:$A,0)),0)*AA154</f>
        <v>0</v>
      </c>
      <c r="CE154" s="266">
        <f ca="1">IFERROR(INDEX(Algorithms!$G:$G,MATCH($C154&amp;"_Lifetime (years)",Algorithms!$A:$A,0)),0)</f>
        <v>15</v>
      </c>
      <c r="CF154" s="266">
        <f ca="1">IFERROR(INDEX(Algorithms!$G:$G,MATCH($C154&amp;"_Lifetime (years) - Remaining Years",Algorithms!$A:$A,0)),0)</f>
        <v>0</v>
      </c>
      <c r="CG154" s="266">
        <f t="shared" ca="1" si="113"/>
        <v>39335.787406097086</v>
      </c>
      <c r="CH154" s="266">
        <f t="shared" ca="1" si="114"/>
        <v>37021.917558679605</v>
      </c>
      <c r="CI154" s="266">
        <f t="shared" ca="1" si="115"/>
        <v>32394.177863844652</v>
      </c>
      <c r="CJ154" s="266">
        <f t="shared" ca="1" si="116"/>
        <v>31468.62992487767</v>
      </c>
      <c r="CK154" s="266">
        <f t="shared" si="117"/>
        <v>2622.3858270731389</v>
      </c>
      <c r="CL154" s="266">
        <f t="shared" si="118"/>
        <v>2468.1278372453071</v>
      </c>
      <c r="CM154" s="266">
        <f t="shared" ca="1" si="119"/>
        <v>2159.6118575896435</v>
      </c>
      <c r="CN154" s="266">
        <f t="shared" ca="1" si="120"/>
        <v>2097.9086616585114</v>
      </c>
      <c r="CO154" s="266">
        <f ca="1">N154*IFERROR(INDEX(Algorithms!$G:$G,MATCH($C154&amp;"_Therm Saved per Unit- MLA",Algorithms!$A:$A,0)),0)*X154</f>
        <v>0</v>
      </c>
      <c r="CP154" s="266">
        <f ca="1">O154*IFERROR(INDEX(Algorithms!$G:$G,MATCH($C154&amp;"_Therm Saved per Unit- MLA",Algorithms!$A:$A,0)),0)*Y154</f>
        <v>0</v>
      </c>
      <c r="CQ154" s="266">
        <f ca="1">P154*IFERROR(INDEX(Algorithms!$G:$G,MATCH($C154&amp;"_Therm Saved per Unit- MLA",Algorithms!$A:$A,0)),0)*Z154</f>
        <v>0</v>
      </c>
      <c r="CR154" s="266">
        <f ca="1">Q154*IFERROR(INDEX(Algorithms!$G:$G,MATCH($C154&amp;"_Therm Saved per Unit- MLA",Algorithms!$A:$A,0)),0)*AA154</f>
        <v>0</v>
      </c>
      <c r="CS154" s="266">
        <f ca="1">IFERROR(INDEX(Algorithms!$G:$G,MATCH($C154&amp;"_Lifetime (years)",Algorithms!$A:$A,0)),0)</f>
        <v>15</v>
      </c>
      <c r="CT154" s="266">
        <f ca="1">IFERROR(INDEX(Algorithms!$G:$G,MATCH($C154&amp;"_Lifetime (years) - Remaining Years",Algorithms!$A:$A,0)),0)</f>
        <v>0</v>
      </c>
      <c r="CU154" s="266">
        <f t="shared" ca="1" si="121"/>
        <v>39335.787406097086</v>
      </c>
      <c r="CV154" s="266">
        <f t="shared" ca="1" si="122"/>
        <v>37021.917558679605</v>
      </c>
      <c r="CW154" s="266">
        <f t="shared" ca="1" si="123"/>
        <v>32394.177863844652</v>
      </c>
      <c r="CX154" s="266">
        <f t="shared" ca="1" si="124"/>
        <v>31468.62992487767</v>
      </c>
    </row>
    <row r="155" spans="2:102" s="47" customFormat="1" ht="18" customHeight="1" x14ac:dyDescent="0.25">
      <c r="B155" t="str">
        <f t="shared" si="125"/>
        <v>NSG_Residential_Multi-Family_Partner Trade Ally Rebate_Pipe Insulation_HW Medium 2.1" to 4"_MF/CI/SMB</v>
      </c>
      <c r="C155" s="47" t="str">
        <f t="shared" si="86"/>
        <v>Pipe Insulation_HW Medium 2.1" to 4"_MF/CI/SMB</v>
      </c>
      <c r="D155" s="270" t="s">
        <v>1787</v>
      </c>
      <c r="E155" s="270" t="s">
        <v>2</v>
      </c>
      <c r="F155" s="270" t="s">
        <v>1422</v>
      </c>
      <c r="G155" s="270" t="s">
        <v>1799</v>
      </c>
      <c r="H155" s="270" t="s">
        <v>404</v>
      </c>
      <c r="I155" s="270" t="s">
        <v>954</v>
      </c>
      <c r="J155" s="270" t="s">
        <v>662</v>
      </c>
      <c r="K155" s="263">
        <v>1</v>
      </c>
      <c r="L155" s="263" t="str">
        <f ca="1">IFERROR(INDEX(Algorithms!J:J,MATCH($C155&amp;"_Therm Saved per Unit",Algorithms!$A:$A,0)),"n/a")</f>
        <v>"3 - Res Pipe Insulation" worksheet</v>
      </c>
      <c r="M155" s="263" t="str">
        <f>IFERROR(INDEX('Measure Level Detail'!$N:$N,MATCH($B155,'Measure Level Detail'!$B:$B,0)),0)</f>
        <v>ft</v>
      </c>
      <c r="N155" s="271">
        <f>IFERROR(INDEX('Measure Level Detail'!$P:$P,MATCH($B155&amp;"_"&amp;N$3,'Measure Level Detail'!$C:$C,0)),0)</f>
        <v>300</v>
      </c>
      <c r="O155" s="271">
        <f>IFERROR(INDEX('Measure Level Detail'!$P:$P,MATCH($B155&amp;"_"&amp;O$3,'Measure Level Detail'!$C:$C,0)),0)</f>
        <v>300</v>
      </c>
      <c r="P155" s="271">
        <f>IFERROR(INDEX('Measure Level Detail'!$P:$P,MATCH($B155&amp;"_"&amp;P$3,'Measure Level Detail'!$C:$C,0)),0)</f>
        <v>300</v>
      </c>
      <c r="Q155" s="271">
        <f>IFERROR(INDEX('Measure Level Detail'!$P:$P,MATCH($B155&amp;"_"&amp;Q$3,'Measure Level Detail'!$C:$C,0)),0)</f>
        <v>300</v>
      </c>
      <c r="R155" s="263">
        <f ca="1">IFERROR(INDEX(Algorithms!K:K,MATCH($C155&amp;"_Therm Saved per Unit",Algorithms!$A:$A,0)),"n/a")</f>
        <v>0</v>
      </c>
      <c r="S155" s="262"/>
      <c r="T155" s="272">
        <v>5.2492031493764015</v>
      </c>
      <c r="U155" s="272">
        <v>5.2492031493764015</v>
      </c>
      <c r="V155" s="272">
        <v>5.2492031493764015</v>
      </c>
      <c r="W155" s="272">
        <v>5.2492031493764015</v>
      </c>
      <c r="X155" s="273">
        <f>IFERROR(INDEX('Measure Level Detail'!$R:$R,MATCH($B155&amp;"_"&amp;X$3,'Measure Level Detail'!$C:$C,0)),0)</f>
        <v>0.87</v>
      </c>
      <c r="Y155" s="273">
        <f>IFERROR(INDEX('Measure Level Detail'!$R:$R,MATCH($B155&amp;"_"&amp;Y$3,'Measure Level Detail'!$C:$C,0)),0)</f>
        <v>0.87</v>
      </c>
      <c r="Z155" s="273">
        <f>IFERROR(INDEX('Measure Level Detail'!$R:$R,MATCH($B155&amp;"_"&amp;Z$3,'Measure Level Detail'!$C:$C,0)),0)</f>
        <v>0.87</v>
      </c>
      <c r="AA155" s="273">
        <f>IFERROR(INDEX('Measure Level Detail'!$R:$R,MATCH($B155&amp;"_"&amp;AA$3,'Measure Level Detail'!$C:$C,0)),0)</f>
        <v>0.87</v>
      </c>
      <c r="AB155" s="266">
        <f t="shared" si="87"/>
        <v>1370.0420219872408</v>
      </c>
      <c r="AC155" s="266">
        <f t="shared" si="88"/>
        <v>1370.0420219872408</v>
      </c>
      <c r="AD155" s="266">
        <f t="shared" si="89"/>
        <v>1370.0420219872408</v>
      </c>
      <c r="AE155" s="266">
        <f t="shared" si="90"/>
        <v>1370.0420219872408</v>
      </c>
      <c r="AF155" s="266">
        <f t="shared" si="91"/>
        <v>5480.1680879489631</v>
      </c>
      <c r="AG155" s="274">
        <v>0.87</v>
      </c>
      <c r="AH155" s="274">
        <v>0.87</v>
      </c>
      <c r="AI155" s="710">
        <v>0.88</v>
      </c>
      <c r="AJ155" s="710">
        <v>0.88</v>
      </c>
      <c r="AK155" s="274">
        <f t="shared" si="92"/>
        <v>0.87</v>
      </c>
      <c r="AL155" s="274">
        <f t="shared" si="93"/>
        <v>0.87</v>
      </c>
      <c r="AM155" s="274">
        <f t="shared" si="94"/>
        <v>0.87</v>
      </c>
      <c r="AN155" s="274">
        <f t="shared" si="95"/>
        <v>0.87</v>
      </c>
      <c r="AO155" s="262"/>
      <c r="AP155" s="262"/>
      <c r="AQ155" s="267">
        <v>5.2492031493764015</v>
      </c>
      <c r="AR155" s="262"/>
      <c r="AS155" s="266">
        <f t="shared" si="96"/>
        <v>1370.0420219872408</v>
      </c>
      <c r="AT155" s="264">
        <f t="shared" si="97"/>
        <v>0</v>
      </c>
      <c r="AU155" s="262"/>
      <c r="AV155" s="262"/>
      <c r="AW155" s="265">
        <v>5.2492031493764015</v>
      </c>
      <c r="AX155" s="164" t="s">
        <v>1469</v>
      </c>
      <c r="AY155" s="266">
        <v>1370.0420219872408</v>
      </c>
      <c r="AZ155" s="266">
        <f t="shared" si="98"/>
        <v>1370.0420219872408</v>
      </c>
      <c r="BA155" s="264">
        <f t="shared" si="99"/>
        <v>0</v>
      </c>
      <c r="BB155" s="262"/>
      <c r="BC155" s="262"/>
      <c r="BD155" s="265">
        <f ca="1">IFERROR(INDEX(Algorithms!$G:$G,MATCH($C155&amp;"_Therm Saved per Unit",Algorithms!$A:$A,0)),0)</f>
        <v>5.2492031493764015</v>
      </c>
      <c r="BE155" s="164" t="str">
        <f ca="1">IFERROR(INDEX('v12 Revisions'!$P$29:$P$186, MATCH('Measure-Level Adj Gas'!$L155, 'v12 Revisions'!$D$29:$D$186,0)),"")</f>
        <v/>
      </c>
      <c r="BF155" s="266">
        <f t="shared" ca="1" si="100"/>
        <v>1370.0420219872408</v>
      </c>
      <c r="BG155" s="264">
        <f t="shared" ca="1" si="101"/>
        <v>0</v>
      </c>
      <c r="BH155" s="262"/>
      <c r="BI155" s="262"/>
      <c r="BJ155" s="265">
        <f ca="1">IFERROR(INDEX(Algorithms!$G:$G,MATCH($C155&amp;"_Therm Saved per Unit",Algorithms!$A:$A,0)),0)</f>
        <v>5.2492031493764015</v>
      </c>
      <c r="BK155" s="164"/>
      <c r="BL155" s="266">
        <f t="shared" ca="1" si="102"/>
        <v>1370.0420219872408</v>
      </c>
      <c r="BM155" s="264">
        <f t="shared" ca="1" si="103"/>
        <v>0</v>
      </c>
      <c r="BN155" s="266">
        <f t="shared" si="104"/>
        <v>1370.0420219872408</v>
      </c>
      <c r="BO155" s="266">
        <f t="shared" si="105"/>
        <v>1370.0420219872408</v>
      </c>
      <c r="BP155" s="266">
        <f t="shared" ca="1" si="106"/>
        <v>1370.0420219872408</v>
      </c>
      <c r="BQ155" s="266">
        <f t="shared" ca="1" si="107"/>
        <v>1370.0420219872408</v>
      </c>
      <c r="BR155" s="268">
        <f t="shared" ca="1" si="108"/>
        <v>5480.1680879489631</v>
      </c>
      <c r="BS155" s="262" t="s">
        <v>99</v>
      </c>
      <c r="BT155" s="277"/>
      <c r="BW155" s="266">
        <f t="shared" si="109"/>
        <v>1370.0420219872408</v>
      </c>
      <c r="BX155" s="266">
        <f t="shared" si="110"/>
        <v>1370.0420219872408</v>
      </c>
      <c r="BY155" s="266">
        <f t="shared" si="111"/>
        <v>1370.0420219872408</v>
      </c>
      <c r="BZ155" s="266">
        <f t="shared" si="112"/>
        <v>1370.0420219872408</v>
      </c>
      <c r="CA155" s="266">
        <f ca="1">N155*IFERROR(INDEX(Algorithms!$G:$G,MATCH($C155&amp;"_Therm Saved per Unit- MLA",Algorithms!$A:$A,0)),0)*X155</f>
        <v>0</v>
      </c>
      <c r="CB155" s="266">
        <f ca="1">O155*IFERROR(INDEX(Algorithms!$G:$G,MATCH($C155&amp;"_Therm Saved per Unit- MLA",Algorithms!$A:$A,0)),0)*Y155</f>
        <v>0</v>
      </c>
      <c r="CC155" s="266">
        <f ca="1">P155*IFERROR(INDEX(Algorithms!$G:$G,MATCH($C155&amp;"_Therm Saved per Unit- MLA",Algorithms!$A:$A,0)),0)*Z155</f>
        <v>0</v>
      </c>
      <c r="CD155" s="266">
        <f ca="1">Q155*IFERROR(INDEX(Algorithms!$G:$G,MATCH($C155&amp;"_Therm Saved per Unit- MLA",Algorithms!$A:$A,0)),0)*AA155</f>
        <v>0</v>
      </c>
      <c r="CE155" s="266">
        <f ca="1">IFERROR(INDEX(Algorithms!$G:$G,MATCH($C155&amp;"_Lifetime (years)",Algorithms!$A:$A,0)),0)</f>
        <v>15</v>
      </c>
      <c r="CF155" s="266">
        <f ca="1">IFERROR(INDEX(Algorithms!$G:$G,MATCH($C155&amp;"_Lifetime (years) - Remaining Years",Algorithms!$A:$A,0)),0)</f>
        <v>0</v>
      </c>
      <c r="CG155" s="266">
        <f t="shared" ca="1" si="113"/>
        <v>20550.630329808613</v>
      </c>
      <c r="CH155" s="266">
        <f t="shared" ca="1" si="114"/>
        <v>20550.630329808613</v>
      </c>
      <c r="CI155" s="266">
        <f t="shared" ca="1" si="115"/>
        <v>20550.630329808613</v>
      </c>
      <c r="CJ155" s="266">
        <f t="shared" ca="1" si="116"/>
        <v>20550.630329808613</v>
      </c>
      <c r="CK155" s="266">
        <f t="shared" si="117"/>
        <v>1370.0420219872408</v>
      </c>
      <c r="CL155" s="266">
        <f t="shared" si="118"/>
        <v>1370.0420219872408</v>
      </c>
      <c r="CM155" s="266">
        <f t="shared" ca="1" si="119"/>
        <v>1370.0420219872408</v>
      </c>
      <c r="CN155" s="266">
        <f t="shared" ca="1" si="120"/>
        <v>1370.0420219872408</v>
      </c>
      <c r="CO155" s="266">
        <f ca="1">N155*IFERROR(INDEX(Algorithms!$G:$G,MATCH($C155&amp;"_Therm Saved per Unit- MLA",Algorithms!$A:$A,0)),0)*X155</f>
        <v>0</v>
      </c>
      <c r="CP155" s="266">
        <f ca="1">O155*IFERROR(INDEX(Algorithms!$G:$G,MATCH($C155&amp;"_Therm Saved per Unit- MLA",Algorithms!$A:$A,0)),0)*Y155</f>
        <v>0</v>
      </c>
      <c r="CQ155" s="266">
        <f ca="1">P155*IFERROR(INDEX(Algorithms!$G:$G,MATCH($C155&amp;"_Therm Saved per Unit- MLA",Algorithms!$A:$A,0)),0)*Z155</f>
        <v>0</v>
      </c>
      <c r="CR155" s="266">
        <f ca="1">Q155*IFERROR(INDEX(Algorithms!$G:$G,MATCH($C155&amp;"_Therm Saved per Unit- MLA",Algorithms!$A:$A,0)),0)*AA155</f>
        <v>0</v>
      </c>
      <c r="CS155" s="266">
        <f ca="1">IFERROR(INDEX(Algorithms!$G:$G,MATCH($C155&amp;"_Lifetime (years)",Algorithms!$A:$A,0)),0)</f>
        <v>15</v>
      </c>
      <c r="CT155" s="266">
        <f ca="1">IFERROR(INDEX(Algorithms!$G:$G,MATCH($C155&amp;"_Lifetime (years) - Remaining Years",Algorithms!$A:$A,0)),0)</f>
        <v>0</v>
      </c>
      <c r="CU155" s="266">
        <f t="shared" ca="1" si="121"/>
        <v>20550.630329808613</v>
      </c>
      <c r="CV155" s="266">
        <f t="shared" ca="1" si="122"/>
        <v>20550.630329808613</v>
      </c>
      <c r="CW155" s="266">
        <f t="shared" ca="1" si="123"/>
        <v>20550.630329808613</v>
      </c>
      <c r="CX155" s="266">
        <f t="shared" ca="1" si="124"/>
        <v>20550.630329808613</v>
      </c>
    </row>
    <row r="156" spans="2:102" s="47" customFormat="1" ht="18" customHeight="1" x14ac:dyDescent="0.25">
      <c r="B156" t="str">
        <f t="shared" si="125"/>
        <v>NSG_Residential_Multi-Family_Partner Trade Ally Rebate_Pipe Insulation_HW Large &gt;4"_MF/CI/SMB</v>
      </c>
      <c r="C156" s="47" t="str">
        <f t="shared" si="86"/>
        <v>Pipe Insulation_HW Large &gt;4"_MF/CI/SMB</v>
      </c>
      <c r="D156" s="270" t="s">
        <v>1787</v>
      </c>
      <c r="E156" s="270" t="s">
        <v>2</v>
      </c>
      <c r="F156" s="270" t="s">
        <v>1422</v>
      </c>
      <c r="G156" s="270" t="s">
        <v>1799</v>
      </c>
      <c r="H156" s="270" t="s">
        <v>404</v>
      </c>
      <c r="I156" s="270" t="s">
        <v>955</v>
      </c>
      <c r="J156" s="270" t="s">
        <v>662</v>
      </c>
      <c r="K156" s="263">
        <v>1</v>
      </c>
      <c r="L156" s="263" t="str">
        <f ca="1">IFERROR(INDEX(Algorithms!J:J,MATCH($C156&amp;"_Therm Saved per Unit",Algorithms!$A:$A,0)),"n/a")</f>
        <v>"3 - Res Pipe Insulation" worksheet</v>
      </c>
      <c r="M156" s="263" t="str">
        <f>IFERROR(INDEX('Measure Level Detail'!$N:$N,MATCH($B156,'Measure Level Detail'!$B:$B,0)),0)</f>
        <v>ft</v>
      </c>
      <c r="N156" s="271">
        <f>IFERROR(INDEX('Measure Level Detail'!$P:$P,MATCH($B156&amp;"_"&amp;N$3,'Measure Level Detail'!$C:$C,0)),0)</f>
        <v>300</v>
      </c>
      <c r="O156" s="271">
        <f>IFERROR(INDEX('Measure Level Detail'!$P:$P,MATCH($B156&amp;"_"&amp;O$3,'Measure Level Detail'!$C:$C,0)),0)</f>
        <v>300</v>
      </c>
      <c r="P156" s="271">
        <f>IFERROR(INDEX('Measure Level Detail'!$P:$P,MATCH($B156&amp;"_"&amp;P$3,'Measure Level Detail'!$C:$C,0)),0)</f>
        <v>300</v>
      </c>
      <c r="Q156" s="271">
        <f>IFERROR(INDEX('Measure Level Detail'!$P:$P,MATCH($B156&amp;"_"&amp;Q$3,'Measure Level Detail'!$C:$C,0)),0)</f>
        <v>300</v>
      </c>
      <c r="R156" s="263">
        <f ca="1">IFERROR(INDEX(Algorithms!K:K,MATCH($C156&amp;"_Therm Saved per Unit",Algorithms!$A:$A,0)),"n/a")</f>
        <v>0</v>
      </c>
      <c r="S156" s="262"/>
      <c r="T156" s="272">
        <v>9.0407613085908682</v>
      </c>
      <c r="U156" s="272">
        <v>9.0407613085908682</v>
      </c>
      <c r="V156" s="272">
        <v>9.0407613085908682</v>
      </c>
      <c r="W156" s="272">
        <v>9.0407613085908682</v>
      </c>
      <c r="X156" s="273">
        <f>IFERROR(INDEX('Measure Level Detail'!$R:$R,MATCH($B156&amp;"_"&amp;X$3,'Measure Level Detail'!$C:$C,0)),0)</f>
        <v>0.87</v>
      </c>
      <c r="Y156" s="273">
        <f>IFERROR(INDEX('Measure Level Detail'!$R:$R,MATCH($B156&amp;"_"&amp;Y$3,'Measure Level Detail'!$C:$C,0)),0)</f>
        <v>0.87</v>
      </c>
      <c r="Z156" s="273">
        <f>IFERROR(INDEX('Measure Level Detail'!$R:$R,MATCH($B156&amp;"_"&amp;Z$3,'Measure Level Detail'!$C:$C,0)),0)</f>
        <v>0.87</v>
      </c>
      <c r="AA156" s="273">
        <f>IFERROR(INDEX('Measure Level Detail'!$R:$R,MATCH($B156&amp;"_"&amp;AA$3,'Measure Level Detail'!$C:$C,0)),0)</f>
        <v>0.87</v>
      </c>
      <c r="AB156" s="266">
        <f t="shared" si="87"/>
        <v>2359.6387015422165</v>
      </c>
      <c r="AC156" s="266">
        <f t="shared" si="88"/>
        <v>2359.6387015422165</v>
      </c>
      <c r="AD156" s="266">
        <f t="shared" si="89"/>
        <v>2359.6387015422165</v>
      </c>
      <c r="AE156" s="266">
        <f t="shared" si="90"/>
        <v>2359.6387015422165</v>
      </c>
      <c r="AF156" s="266">
        <f t="shared" si="91"/>
        <v>9438.554806168866</v>
      </c>
      <c r="AG156" s="274">
        <v>0.87</v>
      </c>
      <c r="AH156" s="274">
        <v>0.87</v>
      </c>
      <c r="AI156" s="710">
        <v>0.88</v>
      </c>
      <c r="AJ156" s="710">
        <v>0.88</v>
      </c>
      <c r="AK156" s="274">
        <f t="shared" si="92"/>
        <v>0.87</v>
      </c>
      <c r="AL156" s="274">
        <f t="shared" si="93"/>
        <v>0.87</v>
      </c>
      <c r="AM156" s="274">
        <f t="shared" si="94"/>
        <v>0.87</v>
      </c>
      <c r="AN156" s="274">
        <f t="shared" si="95"/>
        <v>0.87</v>
      </c>
      <c r="AO156" s="262"/>
      <c r="AP156" s="262"/>
      <c r="AQ156" s="267">
        <v>9.0407613085908682</v>
      </c>
      <c r="AR156" s="262"/>
      <c r="AS156" s="266">
        <f t="shared" si="96"/>
        <v>2359.6387015422165</v>
      </c>
      <c r="AT156" s="264">
        <f t="shared" si="97"/>
        <v>0</v>
      </c>
      <c r="AU156" s="262"/>
      <c r="AV156" s="262"/>
      <c r="AW156" s="265">
        <v>9.0407613085908682</v>
      </c>
      <c r="AX156" s="164" t="s">
        <v>1469</v>
      </c>
      <c r="AY156" s="266">
        <v>2359.6387015422165</v>
      </c>
      <c r="AZ156" s="266">
        <f t="shared" si="98"/>
        <v>2359.6387015422165</v>
      </c>
      <c r="BA156" s="264">
        <f t="shared" si="99"/>
        <v>0</v>
      </c>
      <c r="BB156" s="262"/>
      <c r="BC156" s="262"/>
      <c r="BD156" s="265">
        <f ca="1">IFERROR(INDEX(Algorithms!$G:$G,MATCH($C156&amp;"_Therm Saved per Unit",Algorithms!$A:$A,0)),0)</f>
        <v>9.0407613085908682</v>
      </c>
      <c r="BE156" s="164" t="str">
        <f ca="1">IFERROR(INDEX('v12 Revisions'!$P$29:$P$186, MATCH('Measure-Level Adj Gas'!$L156, 'v12 Revisions'!$D$29:$D$186,0)),"")</f>
        <v/>
      </c>
      <c r="BF156" s="266">
        <f t="shared" ca="1" si="100"/>
        <v>2359.6387015422165</v>
      </c>
      <c r="BG156" s="264">
        <f t="shared" ca="1" si="101"/>
        <v>0</v>
      </c>
      <c r="BH156" s="262"/>
      <c r="BI156" s="262"/>
      <c r="BJ156" s="265">
        <f ca="1">IFERROR(INDEX(Algorithms!$G:$G,MATCH($C156&amp;"_Therm Saved per Unit",Algorithms!$A:$A,0)),0)</f>
        <v>9.0407613085908682</v>
      </c>
      <c r="BK156" s="164"/>
      <c r="BL156" s="266">
        <f t="shared" ca="1" si="102"/>
        <v>2359.6387015422165</v>
      </c>
      <c r="BM156" s="264">
        <f t="shared" ca="1" si="103"/>
        <v>0</v>
      </c>
      <c r="BN156" s="266">
        <f t="shared" si="104"/>
        <v>2359.6387015422165</v>
      </c>
      <c r="BO156" s="266">
        <f t="shared" si="105"/>
        <v>2359.6387015422165</v>
      </c>
      <c r="BP156" s="266">
        <f t="shared" ca="1" si="106"/>
        <v>2359.6387015422165</v>
      </c>
      <c r="BQ156" s="266">
        <f t="shared" ca="1" si="107"/>
        <v>2359.6387015422165</v>
      </c>
      <c r="BR156" s="268">
        <f t="shared" ca="1" si="108"/>
        <v>9438.554806168866</v>
      </c>
      <c r="BS156" s="262" t="s">
        <v>99</v>
      </c>
      <c r="BT156" s="277"/>
      <c r="BW156" s="266">
        <f t="shared" si="109"/>
        <v>2359.6387015422165</v>
      </c>
      <c r="BX156" s="266">
        <f t="shared" si="110"/>
        <v>2359.6387015422165</v>
      </c>
      <c r="BY156" s="266">
        <f t="shared" si="111"/>
        <v>2359.6387015422165</v>
      </c>
      <c r="BZ156" s="266">
        <f t="shared" si="112"/>
        <v>2359.6387015422165</v>
      </c>
      <c r="CA156" s="266">
        <f ca="1">N156*IFERROR(INDEX(Algorithms!$G:$G,MATCH($C156&amp;"_Therm Saved per Unit- MLA",Algorithms!$A:$A,0)),0)*X156</f>
        <v>0</v>
      </c>
      <c r="CB156" s="266">
        <f ca="1">O156*IFERROR(INDEX(Algorithms!$G:$G,MATCH($C156&amp;"_Therm Saved per Unit- MLA",Algorithms!$A:$A,0)),0)*Y156</f>
        <v>0</v>
      </c>
      <c r="CC156" s="266">
        <f ca="1">P156*IFERROR(INDEX(Algorithms!$G:$G,MATCH($C156&amp;"_Therm Saved per Unit- MLA",Algorithms!$A:$A,0)),0)*Z156</f>
        <v>0</v>
      </c>
      <c r="CD156" s="266">
        <f ca="1">Q156*IFERROR(INDEX(Algorithms!$G:$G,MATCH($C156&amp;"_Therm Saved per Unit- MLA",Algorithms!$A:$A,0)),0)*AA156</f>
        <v>0</v>
      </c>
      <c r="CE156" s="266">
        <f ca="1">IFERROR(INDEX(Algorithms!$G:$G,MATCH($C156&amp;"_Lifetime (years)",Algorithms!$A:$A,0)),0)</f>
        <v>15</v>
      </c>
      <c r="CF156" s="266">
        <f ca="1">IFERROR(INDEX(Algorithms!$G:$G,MATCH($C156&amp;"_Lifetime (years) - Remaining Years",Algorithms!$A:$A,0)),0)</f>
        <v>0</v>
      </c>
      <c r="CG156" s="266">
        <f t="shared" ca="1" si="113"/>
        <v>35394.580523133249</v>
      </c>
      <c r="CH156" s="266">
        <f t="shared" ca="1" si="114"/>
        <v>35394.580523133249</v>
      </c>
      <c r="CI156" s="266">
        <f t="shared" ca="1" si="115"/>
        <v>35394.580523133249</v>
      </c>
      <c r="CJ156" s="266">
        <f t="shared" ca="1" si="116"/>
        <v>35394.580523133249</v>
      </c>
      <c r="CK156" s="266">
        <f t="shared" si="117"/>
        <v>2359.6387015422165</v>
      </c>
      <c r="CL156" s="266">
        <f t="shared" si="118"/>
        <v>2359.6387015422165</v>
      </c>
      <c r="CM156" s="266">
        <f t="shared" ca="1" si="119"/>
        <v>2359.6387015422165</v>
      </c>
      <c r="CN156" s="266">
        <f t="shared" ca="1" si="120"/>
        <v>2359.6387015422165</v>
      </c>
      <c r="CO156" s="266">
        <f ca="1">N156*IFERROR(INDEX(Algorithms!$G:$G,MATCH($C156&amp;"_Therm Saved per Unit- MLA",Algorithms!$A:$A,0)),0)*X156</f>
        <v>0</v>
      </c>
      <c r="CP156" s="266">
        <f ca="1">O156*IFERROR(INDEX(Algorithms!$G:$G,MATCH($C156&amp;"_Therm Saved per Unit- MLA",Algorithms!$A:$A,0)),0)*Y156</f>
        <v>0</v>
      </c>
      <c r="CQ156" s="266">
        <f ca="1">P156*IFERROR(INDEX(Algorithms!$G:$G,MATCH($C156&amp;"_Therm Saved per Unit- MLA",Algorithms!$A:$A,0)),0)*Z156</f>
        <v>0</v>
      </c>
      <c r="CR156" s="266">
        <f ca="1">Q156*IFERROR(INDEX(Algorithms!$G:$G,MATCH($C156&amp;"_Therm Saved per Unit- MLA",Algorithms!$A:$A,0)),0)*AA156</f>
        <v>0</v>
      </c>
      <c r="CS156" s="266">
        <f ca="1">IFERROR(INDEX(Algorithms!$G:$G,MATCH($C156&amp;"_Lifetime (years)",Algorithms!$A:$A,0)),0)</f>
        <v>15</v>
      </c>
      <c r="CT156" s="266">
        <f ca="1">IFERROR(INDEX(Algorithms!$G:$G,MATCH($C156&amp;"_Lifetime (years) - Remaining Years",Algorithms!$A:$A,0)),0)</f>
        <v>0</v>
      </c>
      <c r="CU156" s="266">
        <f t="shared" ca="1" si="121"/>
        <v>35394.580523133249</v>
      </c>
      <c r="CV156" s="266">
        <f t="shared" ca="1" si="122"/>
        <v>35394.580523133249</v>
      </c>
      <c r="CW156" s="266">
        <f t="shared" ca="1" si="123"/>
        <v>35394.580523133249</v>
      </c>
      <c r="CX156" s="266">
        <f t="shared" ca="1" si="124"/>
        <v>35394.580523133249</v>
      </c>
    </row>
    <row r="157" spans="2:102" s="47" customFormat="1" ht="18" customHeight="1" x14ac:dyDescent="0.25">
      <c r="B157" t="str">
        <f t="shared" si="125"/>
        <v>NSG_Business_Small/Mid-Size Business_Partner Trade Ally Rebate_Pipe Insulation_Steam - Med 2.1" to 5"_CI</v>
      </c>
      <c r="C157" s="47" t="str">
        <f t="shared" si="86"/>
        <v>Pipe Insulation_Steam - Med 2.1" to 5"_CI</v>
      </c>
      <c r="D157" s="270" t="s">
        <v>1787</v>
      </c>
      <c r="E157" s="270" t="s">
        <v>3</v>
      </c>
      <c r="F157" s="270" t="s">
        <v>1432</v>
      </c>
      <c r="G157" s="270" t="s">
        <v>1799</v>
      </c>
      <c r="H157" s="270" t="s">
        <v>404</v>
      </c>
      <c r="I157" s="270" t="s">
        <v>957</v>
      </c>
      <c r="J157" s="270" t="s">
        <v>1159</v>
      </c>
      <c r="K157" s="263">
        <v>1</v>
      </c>
      <c r="L157" s="263" t="str">
        <f ca="1">IFERROR(INDEX(Algorithms!J:J,MATCH($C157&amp;"_Therm Saved per Unit",Algorithms!$A:$A,0)),"n/a")</f>
        <v>"3 - Pipe Insulation" worksheet</v>
      </c>
      <c r="M157" s="263" t="str">
        <f>IFERROR(INDEX('Measure Level Detail'!$N:$N,MATCH($B157,'Measure Level Detail'!$B:$B,0)),0)</f>
        <v>ft</v>
      </c>
      <c r="N157" s="271">
        <f>IFERROR(INDEX('Measure Level Detail'!$P:$P,MATCH($B157&amp;"_"&amp;N$3,'Measure Level Detail'!$C:$C,0)),0)</f>
        <v>300</v>
      </c>
      <c r="O157" s="271">
        <f>IFERROR(INDEX('Measure Level Detail'!$P:$P,MATCH($B157&amp;"_"&amp;O$3,'Measure Level Detail'!$C:$C,0)),0)</f>
        <v>225</v>
      </c>
      <c r="P157" s="271">
        <f>IFERROR(INDEX('Measure Level Detail'!$P:$P,MATCH($B157&amp;"_"&amp;P$3,'Measure Level Detail'!$C:$C,0)),0)</f>
        <v>225</v>
      </c>
      <c r="Q157" s="271">
        <f>IFERROR(INDEX('Measure Level Detail'!$P:$P,MATCH($B157&amp;"_"&amp;Q$3,'Measure Level Detail'!$C:$C,0)),0)</f>
        <v>225</v>
      </c>
      <c r="R157" s="263">
        <f ca="1">IFERROR(INDEX(Algorithms!K:K,MATCH($C157&amp;"_Therm Saved per Unit",Algorithms!$A:$A,0)),"n/a")</f>
        <v>0</v>
      </c>
      <c r="S157" s="262"/>
      <c r="T157" s="272">
        <v>12.811046084448035</v>
      </c>
      <c r="U157" s="272">
        <v>12.811046084448035</v>
      </c>
      <c r="V157" s="272">
        <v>12.811046084448035</v>
      </c>
      <c r="W157" s="272">
        <v>12.811046084448035</v>
      </c>
      <c r="X157" s="276">
        <v>0.93</v>
      </c>
      <c r="Y157" s="276">
        <v>0.93</v>
      </c>
      <c r="Z157" s="276">
        <v>0.93</v>
      </c>
      <c r="AA157" s="276">
        <v>0.93</v>
      </c>
      <c r="AB157" s="266">
        <f t="shared" si="87"/>
        <v>3574.2818575610017</v>
      </c>
      <c r="AC157" s="266">
        <f t="shared" si="88"/>
        <v>2680.7113931707518</v>
      </c>
      <c r="AD157" s="266">
        <f t="shared" si="89"/>
        <v>2680.7113931707518</v>
      </c>
      <c r="AE157" s="266">
        <f t="shared" si="90"/>
        <v>2680.7113931707518</v>
      </c>
      <c r="AF157" s="266">
        <f t="shared" si="91"/>
        <v>11616.416037073257</v>
      </c>
      <c r="AG157" s="274">
        <v>0.93</v>
      </c>
      <c r="AH157" s="274">
        <v>0.93</v>
      </c>
      <c r="AI157" s="274">
        <v>0.93</v>
      </c>
      <c r="AJ157" s="274">
        <v>0.93</v>
      </c>
      <c r="AK157" s="274">
        <f t="shared" si="92"/>
        <v>0.93</v>
      </c>
      <c r="AL157" s="274">
        <f t="shared" si="93"/>
        <v>0.93</v>
      </c>
      <c r="AM157" s="274">
        <f t="shared" si="94"/>
        <v>0.93</v>
      </c>
      <c r="AN157" s="274">
        <f t="shared" si="95"/>
        <v>0.93</v>
      </c>
      <c r="AO157" s="262"/>
      <c r="AP157" s="262"/>
      <c r="AQ157" s="267">
        <v>12.811046084448035</v>
      </c>
      <c r="AR157" s="262"/>
      <c r="AS157" s="266">
        <f t="shared" si="96"/>
        <v>3574.2818575610017</v>
      </c>
      <c r="AT157" s="264">
        <f t="shared" si="97"/>
        <v>0</v>
      </c>
      <c r="AU157" s="262"/>
      <c r="AV157" s="262"/>
      <c r="AW157" s="265">
        <v>12.811046084448035</v>
      </c>
      <c r="AX157" s="164" t="s">
        <v>1469</v>
      </c>
      <c r="AY157" s="266">
        <v>2680.7113931707518</v>
      </c>
      <c r="AZ157" s="266">
        <f t="shared" si="98"/>
        <v>2680.7113931707518</v>
      </c>
      <c r="BA157" s="264">
        <f t="shared" si="99"/>
        <v>0</v>
      </c>
      <c r="BB157" s="262"/>
      <c r="BC157" s="262"/>
      <c r="BD157" s="265">
        <f ca="1">IFERROR(INDEX(Algorithms!$G:$G,MATCH($C157&amp;"_Therm Saved per Unit",Algorithms!$A:$A,0)),0)</f>
        <v>12.811046084448035</v>
      </c>
      <c r="BE157" s="164" t="str">
        <f ca="1">IFERROR(INDEX('v12 Revisions'!$P$29:$P$186, MATCH('Measure-Level Adj Gas'!$L157, 'v12 Revisions'!$D$29:$D$186,0)),"")</f>
        <v/>
      </c>
      <c r="BF157" s="266">
        <f t="shared" ca="1" si="100"/>
        <v>2680.7113931707518</v>
      </c>
      <c r="BG157" s="264">
        <f t="shared" ca="1" si="101"/>
        <v>0</v>
      </c>
      <c r="BH157" s="262"/>
      <c r="BI157" s="262"/>
      <c r="BJ157" s="265">
        <f ca="1">IFERROR(INDEX(Algorithms!$G:$G,MATCH($C157&amp;"_Therm Saved per Unit",Algorithms!$A:$A,0)),0)</f>
        <v>12.811046084448035</v>
      </c>
      <c r="BK157" s="164"/>
      <c r="BL157" s="266">
        <f t="shared" ca="1" si="102"/>
        <v>2680.7113931707518</v>
      </c>
      <c r="BM157" s="264">
        <f t="shared" ca="1" si="103"/>
        <v>0</v>
      </c>
      <c r="BN157" s="266">
        <f t="shared" si="104"/>
        <v>3574.2818575610017</v>
      </c>
      <c r="BO157" s="266">
        <f t="shared" si="105"/>
        <v>2680.7113931707518</v>
      </c>
      <c r="BP157" s="266">
        <f t="shared" ca="1" si="106"/>
        <v>2680.7113931707518</v>
      </c>
      <c r="BQ157" s="266">
        <f t="shared" ca="1" si="107"/>
        <v>2680.7113931707518</v>
      </c>
      <c r="BR157" s="268">
        <f t="shared" ca="1" si="108"/>
        <v>11616.416037073257</v>
      </c>
      <c r="BS157" s="262" t="s">
        <v>99</v>
      </c>
      <c r="BT157" s="277"/>
      <c r="BW157" s="266">
        <f t="shared" si="109"/>
        <v>3574.2818575610017</v>
      </c>
      <c r="BX157" s="266">
        <f t="shared" si="110"/>
        <v>2680.7113931707518</v>
      </c>
      <c r="BY157" s="266">
        <f t="shared" si="111"/>
        <v>2680.7113931707518</v>
      </c>
      <c r="BZ157" s="266">
        <f t="shared" si="112"/>
        <v>2680.7113931707518</v>
      </c>
      <c r="CA157" s="266">
        <f ca="1">N157*IFERROR(INDEX(Algorithms!$G:$G,MATCH($C157&amp;"_Therm Saved per Unit- MLA",Algorithms!$A:$A,0)),0)*X157</f>
        <v>0</v>
      </c>
      <c r="CB157" s="266">
        <f ca="1">O157*IFERROR(INDEX(Algorithms!$G:$G,MATCH($C157&amp;"_Therm Saved per Unit- MLA",Algorithms!$A:$A,0)),0)*Y157</f>
        <v>0</v>
      </c>
      <c r="CC157" s="266">
        <f ca="1">P157*IFERROR(INDEX(Algorithms!$G:$G,MATCH($C157&amp;"_Therm Saved per Unit- MLA",Algorithms!$A:$A,0)),0)*Z157</f>
        <v>0</v>
      </c>
      <c r="CD157" s="266">
        <f ca="1">Q157*IFERROR(INDEX(Algorithms!$G:$G,MATCH($C157&amp;"_Therm Saved per Unit- MLA",Algorithms!$A:$A,0)),0)*AA157</f>
        <v>0</v>
      </c>
      <c r="CE157" s="266">
        <f ca="1">IFERROR(INDEX(Algorithms!$G:$G,MATCH($C157&amp;"_Lifetime (years)",Algorithms!$A:$A,0)),0)</f>
        <v>15</v>
      </c>
      <c r="CF157" s="266">
        <f ca="1">IFERROR(INDEX(Algorithms!$G:$G,MATCH($C157&amp;"_Lifetime (years) - Remaining Years",Algorithms!$A:$A,0)),0)</f>
        <v>0</v>
      </c>
      <c r="CG157" s="266">
        <f t="shared" ca="1" si="113"/>
        <v>53614.227863415028</v>
      </c>
      <c r="CH157" s="266">
        <f t="shared" ca="1" si="114"/>
        <v>40210.670897561278</v>
      </c>
      <c r="CI157" s="266">
        <f t="shared" ca="1" si="115"/>
        <v>40210.670897561278</v>
      </c>
      <c r="CJ157" s="266">
        <f t="shared" ca="1" si="116"/>
        <v>40210.670897561278</v>
      </c>
      <c r="CK157" s="266">
        <f t="shared" si="117"/>
        <v>3574.2818575610017</v>
      </c>
      <c r="CL157" s="266">
        <f t="shared" si="118"/>
        <v>2680.7113931707518</v>
      </c>
      <c r="CM157" s="266">
        <f t="shared" ca="1" si="119"/>
        <v>2680.7113931707518</v>
      </c>
      <c r="CN157" s="266">
        <f t="shared" ca="1" si="120"/>
        <v>2680.7113931707518</v>
      </c>
      <c r="CO157" s="266">
        <f ca="1">N157*IFERROR(INDEX(Algorithms!$G:$G,MATCH($C157&amp;"_Therm Saved per Unit- MLA",Algorithms!$A:$A,0)),0)*X157</f>
        <v>0</v>
      </c>
      <c r="CP157" s="266">
        <f ca="1">O157*IFERROR(INDEX(Algorithms!$G:$G,MATCH($C157&amp;"_Therm Saved per Unit- MLA",Algorithms!$A:$A,0)),0)*Y157</f>
        <v>0</v>
      </c>
      <c r="CQ157" s="266">
        <f ca="1">P157*IFERROR(INDEX(Algorithms!$G:$G,MATCH($C157&amp;"_Therm Saved per Unit- MLA",Algorithms!$A:$A,0)),0)*Z157</f>
        <v>0</v>
      </c>
      <c r="CR157" s="266">
        <f ca="1">Q157*IFERROR(INDEX(Algorithms!$G:$G,MATCH($C157&amp;"_Therm Saved per Unit- MLA",Algorithms!$A:$A,0)),0)*AA157</f>
        <v>0</v>
      </c>
      <c r="CS157" s="266">
        <f ca="1">IFERROR(INDEX(Algorithms!$G:$G,MATCH($C157&amp;"_Lifetime (years)",Algorithms!$A:$A,0)),0)</f>
        <v>15</v>
      </c>
      <c r="CT157" s="266">
        <f ca="1">IFERROR(INDEX(Algorithms!$G:$G,MATCH($C157&amp;"_Lifetime (years) - Remaining Years",Algorithms!$A:$A,0)),0)</f>
        <v>0</v>
      </c>
      <c r="CU157" s="266">
        <f t="shared" ca="1" si="121"/>
        <v>53614.227863415028</v>
      </c>
      <c r="CV157" s="266">
        <f t="shared" ca="1" si="122"/>
        <v>40210.670897561278</v>
      </c>
      <c r="CW157" s="266">
        <f t="shared" ca="1" si="123"/>
        <v>40210.670897561278</v>
      </c>
      <c r="CX157" s="266">
        <f t="shared" ca="1" si="124"/>
        <v>40210.670897561278</v>
      </c>
    </row>
    <row r="158" spans="2:102" s="47" customFormat="1" ht="18" customHeight="1" x14ac:dyDescent="0.25">
      <c r="B158" t="str">
        <f t="shared" si="125"/>
        <v>NSG_Residential_Multi-Family_Partner Trade Ally Rebate_Pipe Insulation_HW Small 1" to 2"_MF/CI/SMB</v>
      </c>
      <c r="C158" s="47" t="str">
        <f t="shared" si="86"/>
        <v>Pipe Insulation_HW Small 1" to 2"_MF/CI/SMB</v>
      </c>
      <c r="D158" s="270" t="s">
        <v>1787</v>
      </c>
      <c r="E158" s="270" t="s">
        <v>2</v>
      </c>
      <c r="F158" s="270" t="s">
        <v>1422</v>
      </c>
      <c r="G158" s="270" t="s">
        <v>1799</v>
      </c>
      <c r="H158" s="270" t="s">
        <v>404</v>
      </c>
      <c r="I158" s="270" t="s">
        <v>953</v>
      </c>
      <c r="J158" s="270" t="s">
        <v>662</v>
      </c>
      <c r="K158" s="263">
        <v>1</v>
      </c>
      <c r="L158" s="263" t="str">
        <f ca="1">IFERROR(INDEX(Algorithms!J:J,MATCH($C158&amp;"_Therm Saved per Unit",Algorithms!$A:$A,0)),"n/a")</f>
        <v>"3 - Res Pipe Insulation" worksheet</v>
      </c>
      <c r="M158" s="263" t="str">
        <f>IFERROR(INDEX('Measure Level Detail'!$N:$N,MATCH($B158,'Measure Level Detail'!$B:$B,0)),0)</f>
        <v>ft</v>
      </c>
      <c r="N158" s="271">
        <f>IFERROR(INDEX('Measure Level Detail'!$P:$P,MATCH($B158&amp;"_"&amp;N$3,'Measure Level Detail'!$C:$C,0)),0)</f>
        <v>225</v>
      </c>
      <c r="O158" s="271">
        <f>IFERROR(INDEX('Measure Level Detail'!$P:$P,MATCH($B158&amp;"_"&amp;O$3,'Measure Level Detail'!$C:$C,0)),0)</f>
        <v>225</v>
      </c>
      <c r="P158" s="271">
        <f>IFERROR(INDEX('Measure Level Detail'!$P:$P,MATCH($B158&amp;"_"&amp;P$3,'Measure Level Detail'!$C:$C,0)),0)</f>
        <v>225</v>
      </c>
      <c r="Q158" s="271">
        <f>IFERROR(INDEX('Measure Level Detail'!$P:$P,MATCH($B158&amp;"_"&amp;Q$3,'Measure Level Detail'!$C:$C,0)),0)</f>
        <v>225</v>
      </c>
      <c r="R158" s="263">
        <f ca="1">IFERROR(INDEX(Algorithms!K:K,MATCH($C158&amp;"_Therm Saved per Unit",Algorithms!$A:$A,0)),"n/a")</f>
        <v>0</v>
      </c>
      <c r="S158" s="262"/>
      <c r="T158" s="272">
        <v>2.6588140926267867</v>
      </c>
      <c r="U158" s="272">
        <v>2.6588140926267867</v>
      </c>
      <c r="V158" s="272">
        <v>2.6588140926267867</v>
      </c>
      <c r="W158" s="272">
        <v>2.6588140926267867</v>
      </c>
      <c r="X158" s="273">
        <f>IFERROR(INDEX('Measure Level Detail'!$R:$R,MATCH($B158&amp;"_"&amp;X$3,'Measure Level Detail'!$C:$C,0)),0)</f>
        <v>0.87</v>
      </c>
      <c r="Y158" s="273">
        <f>IFERROR(INDEX('Measure Level Detail'!$R:$R,MATCH($B158&amp;"_"&amp;Y$3,'Measure Level Detail'!$C:$C,0)),0)</f>
        <v>0.87</v>
      </c>
      <c r="Z158" s="273">
        <f>IFERROR(INDEX('Measure Level Detail'!$R:$R,MATCH($B158&amp;"_"&amp;Z$3,'Measure Level Detail'!$C:$C,0)),0)</f>
        <v>0.87</v>
      </c>
      <c r="AA158" s="273">
        <f>IFERROR(INDEX('Measure Level Detail'!$R:$R,MATCH($B158&amp;"_"&amp;AA$3,'Measure Level Detail'!$C:$C,0)),0)</f>
        <v>0.87</v>
      </c>
      <c r="AB158" s="266">
        <f t="shared" si="87"/>
        <v>520.46285863169351</v>
      </c>
      <c r="AC158" s="266">
        <f t="shared" si="88"/>
        <v>520.46285863169351</v>
      </c>
      <c r="AD158" s="266">
        <f t="shared" si="89"/>
        <v>520.46285863169351</v>
      </c>
      <c r="AE158" s="266">
        <f t="shared" si="90"/>
        <v>520.46285863169351</v>
      </c>
      <c r="AF158" s="266">
        <f t="shared" si="91"/>
        <v>2081.851434526774</v>
      </c>
      <c r="AG158" s="274">
        <v>0.87</v>
      </c>
      <c r="AH158" s="274">
        <v>0.87</v>
      </c>
      <c r="AI158" s="710">
        <v>0.88</v>
      </c>
      <c r="AJ158" s="710">
        <v>0.88</v>
      </c>
      <c r="AK158" s="274">
        <f t="shared" si="92"/>
        <v>0.87</v>
      </c>
      <c r="AL158" s="274">
        <f t="shared" si="93"/>
        <v>0.87</v>
      </c>
      <c r="AM158" s="274">
        <f t="shared" si="94"/>
        <v>0.87</v>
      </c>
      <c r="AN158" s="274">
        <f t="shared" si="95"/>
        <v>0.87</v>
      </c>
      <c r="AO158" s="262"/>
      <c r="AP158" s="262"/>
      <c r="AQ158" s="267">
        <v>2.6588140926267867</v>
      </c>
      <c r="AR158" s="262"/>
      <c r="AS158" s="266">
        <f t="shared" si="96"/>
        <v>520.46285863169351</v>
      </c>
      <c r="AT158" s="264">
        <f t="shared" si="97"/>
        <v>0</v>
      </c>
      <c r="AU158" s="262"/>
      <c r="AV158" s="262"/>
      <c r="AW158" s="265">
        <v>2.6588140926267867</v>
      </c>
      <c r="AX158" s="164" t="s">
        <v>1469</v>
      </c>
      <c r="AY158" s="266">
        <v>520.46285863169351</v>
      </c>
      <c r="AZ158" s="266">
        <f t="shared" si="98"/>
        <v>520.46285863169351</v>
      </c>
      <c r="BA158" s="264">
        <f t="shared" si="99"/>
        <v>0</v>
      </c>
      <c r="BB158" s="262"/>
      <c r="BC158" s="262"/>
      <c r="BD158" s="265">
        <f ca="1">IFERROR(INDEX(Algorithms!$G:$G,MATCH($C158&amp;"_Therm Saved per Unit",Algorithms!$A:$A,0)),0)</f>
        <v>2.6588140926267867</v>
      </c>
      <c r="BE158" s="164" t="str">
        <f ca="1">IFERROR(INDEX('v12 Revisions'!$P$29:$P$186, MATCH('Measure-Level Adj Gas'!$L158, 'v12 Revisions'!$D$29:$D$186,0)),"")</f>
        <v/>
      </c>
      <c r="BF158" s="266">
        <f t="shared" ca="1" si="100"/>
        <v>520.46285863169351</v>
      </c>
      <c r="BG158" s="264">
        <f t="shared" ca="1" si="101"/>
        <v>0</v>
      </c>
      <c r="BH158" s="262"/>
      <c r="BI158" s="262"/>
      <c r="BJ158" s="265">
        <f ca="1">IFERROR(INDEX(Algorithms!$G:$G,MATCH($C158&amp;"_Therm Saved per Unit",Algorithms!$A:$A,0)),0)</f>
        <v>2.6588140926267867</v>
      </c>
      <c r="BK158" s="164"/>
      <c r="BL158" s="266">
        <f t="shared" ca="1" si="102"/>
        <v>520.46285863169351</v>
      </c>
      <c r="BM158" s="264">
        <f t="shared" ca="1" si="103"/>
        <v>0</v>
      </c>
      <c r="BN158" s="266">
        <f t="shared" si="104"/>
        <v>520.46285863169351</v>
      </c>
      <c r="BO158" s="266">
        <f t="shared" si="105"/>
        <v>520.46285863169351</v>
      </c>
      <c r="BP158" s="266">
        <f t="shared" ca="1" si="106"/>
        <v>520.46285863169351</v>
      </c>
      <c r="BQ158" s="266">
        <f t="shared" ca="1" si="107"/>
        <v>520.46285863169351</v>
      </c>
      <c r="BR158" s="268">
        <f t="shared" ca="1" si="108"/>
        <v>2081.851434526774</v>
      </c>
      <c r="BS158" s="262" t="s">
        <v>99</v>
      </c>
      <c r="BT158" s="277"/>
      <c r="BW158" s="266">
        <f t="shared" si="109"/>
        <v>520.46285863169351</v>
      </c>
      <c r="BX158" s="266">
        <f t="shared" si="110"/>
        <v>520.46285863169351</v>
      </c>
      <c r="BY158" s="266">
        <f t="shared" si="111"/>
        <v>520.46285863169351</v>
      </c>
      <c r="BZ158" s="266">
        <f t="shared" si="112"/>
        <v>520.46285863169351</v>
      </c>
      <c r="CA158" s="266">
        <f ca="1">N158*IFERROR(INDEX(Algorithms!$G:$G,MATCH($C158&amp;"_Therm Saved per Unit- MLA",Algorithms!$A:$A,0)),0)*X158</f>
        <v>0</v>
      </c>
      <c r="CB158" s="266">
        <f ca="1">O158*IFERROR(INDEX(Algorithms!$G:$G,MATCH($C158&amp;"_Therm Saved per Unit- MLA",Algorithms!$A:$A,0)),0)*Y158</f>
        <v>0</v>
      </c>
      <c r="CC158" s="266">
        <f ca="1">P158*IFERROR(INDEX(Algorithms!$G:$G,MATCH($C158&amp;"_Therm Saved per Unit- MLA",Algorithms!$A:$A,0)),0)*Z158</f>
        <v>0</v>
      </c>
      <c r="CD158" s="266">
        <f ca="1">Q158*IFERROR(INDEX(Algorithms!$G:$G,MATCH($C158&amp;"_Therm Saved per Unit- MLA",Algorithms!$A:$A,0)),0)*AA158</f>
        <v>0</v>
      </c>
      <c r="CE158" s="266">
        <f ca="1">IFERROR(INDEX(Algorithms!$G:$G,MATCH($C158&amp;"_Lifetime (years)",Algorithms!$A:$A,0)),0)</f>
        <v>15</v>
      </c>
      <c r="CF158" s="266">
        <f ca="1">IFERROR(INDEX(Algorithms!$G:$G,MATCH($C158&amp;"_Lifetime (years) - Remaining Years",Algorithms!$A:$A,0)),0)</f>
        <v>0</v>
      </c>
      <c r="CG158" s="266">
        <f t="shared" ca="1" si="113"/>
        <v>7806.9428794754022</v>
      </c>
      <c r="CH158" s="266">
        <f t="shared" ca="1" si="114"/>
        <v>7806.9428794754022</v>
      </c>
      <c r="CI158" s="266">
        <f t="shared" ca="1" si="115"/>
        <v>7806.9428794754022</v>
      </c>
      <c r="CJ158" s="266">
        <f t="shared" ca="1" si="116"/>
        <v>7806.9428794754022</v>
      </c>
      <c r="CK158" s="266">
        <f t="shared" si="117"/>
        <v>520.46285863169351</v>
      </c>
      <c r="CL158" s="266">
        <f t="shared" si="118"/>
        <v>520.46285863169351</v>
      </c>
      <c r="CM158" s="266">
        <f t="shared" ca="1" si="119"/>
        <v>520.46285863169351</v>
      </c>
      <c r="CN158" s="266">
        <f t="shared" ca="1" si="120"/>
        <v>520.46285863169351</v>
      </c>
      <c r="CO158" s="266">
        <f ca="1">N158*IFERROR(INDEX(Algorithms!$G:$G,MATCH($C158&amp;"_Therm Saved per Unit- MLA",Algorithms!$A:$A,0)),0)*X158</f>
        <v>0</v>
      </c>
      <c r="CP158" s="266">
        <f ca="1">O158*IFERROR(INDEX(Algorithms!$G:$G,MATCH($C158&amp;"_Therm Saved per Unit- MLA",Algorithms!$A:$A,0)),0)*Y158</f>
        <v>0</v>
      </c>
      <c r="CQ158" s="266">
        <f ca="1">P158*IFERROR(INDEX(Algorithms!$G:$G,MATCH($C158&amp;"_Therm Saved per Unit- MLA",Algorithms!$A:$A,0)),0)*Z158</f>
        <v>0</v>
      </c>
      <c r="CR158" s="266">
        <f ca="1">Q158*IFERROR(INDEX(Algorithms!$G:$G,MATCH($C158&amp;"_Therm Saved per Unit- MLA",Algorithms!$A:$A,0)),0)*AA158</f>
        <v>0</v>
      </c>
      <c r="CS158" s="266">
        <f ca="1">IFERROR(INDEX(Algorithms!$G:$G,MATCH($C158&amp;"_Lifetime (years)",Algorithms!$A:$A,0)),0)</f>
        <v>15</v>
      </c>
      <c r="CT158" s="266">
        <f ca="1">IFERROR(INDEX(Algorithms!$G:$G,MATCH($C158&amp;"_Lifetime (years) - Remaining Years",Algorithms!$A:$A,0)),0)</f>
        <v>0</v>
      </c>
      <c r="CU158" s="266">
        <f t="shared" ca="1" si="121"/>
        <v>7806.9428794754022</v>
      </c>
      <c r="CV158" s="266">
        <f t="shared" ca="1" si="122"/>
        <v>7806.9428794754022</v>
      </c>
      <c r="CW158" s="266">
        <f t="shared" ca="1" si="123"/>
        <v>7806.9428794754022</v>
      </c>
      <c r="CX158" s="266">
        <f t="shared" ca="1" si="124"/>
        <v>7806.9428794754022</v>
      </c>
    </row>
    <row r="159" spans="2:102" s="47" customFormat="1" ht="18" customHeight="1" x14ac:dyDescent="0.25">
      <c r="B159" t="str">
        <f t="shared" si="125"/>
        <v>NSG_Business_Public Sector_Rebates_Pipe Insulation_HW Medium 2.1" to 4"_MF/CI/SMB</v>
      </c>
      <c r="C159" s="47" t="str">
        <f t="shared" si="86"/>
        <v>Pipe Insulation_HW Medium 2.1" to 4"_MF/CI/SMB</v>
      </c>
      <c r="D159" s="270" t="s">
        <v>1787</v>
      </c>
      <c r="E159" s="270" t="s">
        <v>3</v>
      </c>
      <c r="F159" s="270" t="s">
        <v>1430</v>
      </c>
      <c r="G159" s="270" t="s">
        <v>1429</v>
      </c>
      <c r="H159" s="270" t="s">
        <v>404</v>
      </c>
      <c r="I159" s="270" t="s">
        <v>954</v>
      </c>
      <c r="J159" s="270" t="s">
        <v>662</v>
      </c>
      <c r="K159" s="263">
        <v>1</v>
      </c>
      <c r="L159" s="263" t="str">
        <f ca="1">IFERROR(INDEX(Algorithms!J:J,MATCH($C159&amp;"_Therm Saved per Unit",Algorithms!$A:$A,0)),"n/a")</f>
        <v>"3 - Res Pipe Insulation" worksheet</v>
      </c>
      <c r="M159" s="263" t="str">
        <f>IFERROR(INDEX('Measure Level Detail'!$N:$N,MATCH($B159,'Measure Level Detail'!$B:$B,0)),0)</f>
        <v>ft</v>
      </c>
      <c r="N159" s="271">
        <f>IFERROR(INDEX('Measure Level Detail'!$P:$P,MATCH($B159&amp;"_"&amp;N$3,'Measure Level Detail'!$C:$C,0)),0)</f>
        <v>225</v>
      </c>
      <c r="O159" s="271">
        <f>IFERROR(INDEX('Measure Level Detail'!$P:$P,MATCH($B159&amp;"_"&amp;O$3,'Measure Level Detail'!$C:$C,0)),0)</f>
        <v>225</v>
      </c>
      <c r="P159" s="271">
        <f>IFERROR(INDEX('Measure Level Detail'!$P:$P,MATCH($B159&amp;"_"&amp;P$3,'Measure Level Detail'!$C:$C,0)),0)</f>
        <v>225</v>
      </c>
      <c r="Q159" s="271">
        <f>IFERROR(INDEX('Measure Level Detail'!$P:$P,MATCH($B159&amp;"_"&amp;Q$3,'Measure Level Detail'!$C:$C,0)),0)</f>
        <v>225</v>
      </c>
      <c r="R159" s="263">
        <f ca="1">IFERROR(INDEX(Algorithms!K:K,MATCH($C159&amp;"_Therm Saved per Unit",Algorithms!$A:$A,0)),"n/a")</f>
        <v>0</v>
      </c>
      <c r="S159" s="262"/>
      <c r="T159" s="272">
        <v>5.2492031493764015</v>
      </c>
      <c r="U159" s="272">
        <v>5.2492031493764015</v>
      </c>
      <c r="V159" s="272">
        <v>5.2492031493764015</v>
      </c>
      <c r="W159" s="272">
        <v>5.2492031493764015</v>
      </c>
      <c r="X159" s="276">
        <v>0.92</v>
      </c>
      <c r="Y159" s="276">
        <v>0.92</v>
      </c>
      <c r="Z159" s="276">
        <v>0.92</v>
      </c>
      <c r="AA159" s="276">
        <v>0.92</v>
      </c>
      <c r="AB159" s="266">
        <f t="shared" si="87"/>
        <v>1086.5850519209152</v>
      </c>
      <c r="AC159" s="266">
        <f t="shared" si="88"/>
        <v>1086.5850519209152</v>
      </c>
      <c r="AD159" s="266">
        <f t="shared" si="89"/>
        <v>1086.5850519209152</v>
      </c>
      <c r="AE159" s="266">
        <f t="shared" si="90"/>
        <v>1086.5850519209152</v>
      </c>
      <c r="AF159" s="266">
        <f t="shared" si="91"/>
        <v>4346.340207683661</v>
      </c>
      <c r="AG159" s="274">
        <v>0.92</v>
      </c>
      <c r="AH159" s="274">
        <v>0.92</v>
      </c>
      <c r="AI159" s="274">
        <v>0.92</v>
      </c>
      <c r="AJ159" s="274">
        <v>0.92</v>
      </c>
      <c r="AK159" s="274">
        <f t="shared" si="92"/>
        <v>0.92</v>
      </c>
      <c r="AL159" s="274">
        <f t="shared" si="93"/>
        <v>0.92</v>
      </c>
      <c r="AM159" s="274">
        <f t="shared" si="94"/>
        <v>0.92</v>
      </c>
      <c r="AN159" s="274">
        <f t="shared" si="95"/>
        <v>0.92</v>
      </c>
      <c r="AO159" s="262"/>
      <c r="AP159" s="262"/>
      <c r="AQ159" s="267">
        <v>5.2492031493764015</v>
      </c>
      <c r="AR159" s="262"/>
      <c r="AS159" s="266">
        <f t="shared" si="96"/>
        <v>1086.5850519209152</v>
      </c>
      <c r="AT159" s="264">
        <f t="shared" si="97"/>
        <v>0</v>
      </c>
      <c r="AU159" s="262"/>
      <c r="AV159" s="262"/>
      <c r="AW159" s="265">
        <v>5.2492031493764015</v>
      </c>
      <c r="AX159" s="164" t="s">
        <v>1469</v>
      </c>
      <c r="AY159" s="266">
        <v>1086.5850519209152</v>
      </c>
      <c r="AZ159" s="266">
        <f t="shared" si="98"/>
        <v>1086.5850519209152</v>
      </c>
      <c r="BA159" s="264">
        <f t="shared" si="99"/>
        <v>0</v>
      </c>
      <c r="BB159" s="262"/>
      <c r="BC159" s="262"/>
      <c r="BD159" s="265">
        <f ca="1">IFERROR(INDEX(Algorithms!$G:$G,MATCH($C159&amp;"_Therm Saved per Unit",Algorithms!$A:$A,0)),0)</f>
        <v>5.2492031493764015</v>
      </c>
      <c r="BE159" s="164" t="str">
        <f ca="1">IFERROR(INDEX('v12 Revisions'!$P$29:$P$186, MATCH('Measure-Level Adj Gas'!$L159, 'v12 Revisions'!$D$29:$D$186,0)),"")</f>
        <v/>
      </c>
      <c r="BF159" s="266">
        <f t="shared" ca="1" si="100"/>
        <v>1086.5850519209152</v>
      </c>
      <c r="BG159" s="264">
        <f t="shared" ca="1" si="101"/>
        <v>0</v>
      </c>
      <c r="BH159" s="262"/>
      <c r="BI159" s="262"/>
      <c r="BJ159" s="265">
        <f ca="1">IFERROR(INDEX(Algorithms!$G:$G,MATCH($C159&amp;"_Therm Saved per Unit",Algorithms!$A:$A,0)),0)</f>
        <v>5.2492031493764015</v>
      </c>
      <c r="BK159" s="164"/>
      <c r="BL159" s="266">
        <f t="shared" ca="1" si="102"/>
        <v>1086.5850519209152</v>
      </c>
      <c r="BM159" s="264">
        <f t="shared" ca="1" si="103"/>
        <v>0</v>
      </c>
      <c r="BN159" s="266">
        <f t="shared" si="104"/>
        <v>1086.5850519209152</v>
      </c>
      <c r="BO159" s="266">
        <f t="shared" si="105"/>
        <v>1086.5850519209152</v>
      </c>
      <c r="BP159" s="266">
        <f t="shared" ca="1" si="106"/>
        <v>1086.5850519209152</v>
      </c>
      <c r="BQ159" s="266">
        <f t="shared" ca="1" si="107"/>
        <v>1086.5850519209152</v>
      </c>
      <c r="BR159" s="268">
        <f t="shared" ca="1" si="108"/>
        <v>4346.340207683661</v>
      </c>
      <c r="BS159" s="262" t="s">
        <v>99</v>
      </c>
      <c r="BT159" s="277"/>
      <c r="BW159" s="266">
        <f t="shared" si="109"/>
        <v>1086.5850519209152</v>
      </c>
      <c r="BX159" s="266">
        <f t="shared" si="110"/>
        <v>1086.5850519209152</v>
      </c>
      <c r="BY159" s="266">
        <f t="shared" si="111"/>
        <v>1086.5850519209152</v>
      </c>
      <c r="BZ159" s="266">
        <f t="shared" si="112"/>
        <v>1086.5850519209152</v>
      </c>
      <c r="CA159" s="266">
        <f ca="1">N159*IFERROR(INDEX(Algorithms!$G:$G,MATCH($C159&amp;"_Therm Saved per Unit- MLA",Algorithms!$A:$A,0)),0)*X159</f>
        <v>0</v>
      </c>
      <c r="CB159" s="266">
        <f ca="1">O159*IFERROR(INDEX(Algorithms!$G:$G,MATCH($C159&amp;"_Therm Saved per Unit- MLA",Algorithms!$A:$A,0)),0)*Y159</f>
        <v>0</v>
      </c>
      <c r="CC159" s="266">
        <f ca="1">P159*IFERROR(INDEX(Algorithms!$G:$G,MATCH($C159&amp;"_Therm Saved per Unit- MLA",Algorithms!$A:$A,0)),0)*Z159</f>
        <v>0</v>
      </c>
      <c r="CD159" s="266">
        <f ca="1">Q159*IFERROR(INDEX(Algorithms!$G:$G,MATCH($C159&amp;"_Therm Saved per Unit- MLA",Algorithms!$A:$A,0)),0)*AA159</f>
        <v>0</v>
      </c>
      <c r="CE159" s="266">
        <f ca="1">IFERROR(INDEX(Algorithms!$G:$G,MATCH($C159&amp;"_Lifetime (years)",Algorithms!$A:$A,0)),0)</f>
        <v>15</v>
      </c>
      <c r="CF159" s="266">
        <f ca="1">IFERROR(INDEX(Algorithms!$G:$G,MATCH($C159&amp;"_Lifetime (years) - Remaining Years",Algorithms!$A:$A,0)),0)</f>
        <v>0</v>
      </c>
      <c r="CG159" s="266">
        <f t="shared" ca="1" si="113"/>
        <v>16298.775778813728</v>
      </c>
      <c r="CH159" s="266">
        <f t="shared" ca="1" si="114"/>
        <v>16298.775778813728</v>
      </c>
      <c r="CI159" s="266">
        <f t="shared" ca="1" si="115"/>
        <v>16298.775778813728</v>
      </c>
      <c r="CJ159" s="266">
        <f t="shared" ca="1" si="116"/>
        <v>16298.775778813728</v>
      </c>
      <c r="CK159" s="266">
        <f t="shared" si="117"/>
        <v>1086.5850519209152</v>
      </c>
      <c r="CL159" s="266">
        <f t="shared" si="118"/>
        <v>1086.5850519209152</v>
      </c>
      <c r="CM159" s="266">
        <f t="shared" ca="1" si="119"/>
        <v>1086.5850519209152</v>
      </c>
      <c r="CN159" s="266">
        <f t="shared" ca="1" si="120"/>
        <v>1086.5850519209152</v>
      </c>
      <c r="CO159" s="266">
        <f ca="1">N159*IFERROR(INDEX(Algorithms!$G:$G,MATCH($C159&amp;"_Therm Saved per Unit- MLA",Algorithms!$A:$A,0)),0)*X159</f>
        <v>0</v>
      </c>
      <c r="CP159" s="266">
        <f ca="1">O159*IFERROR(INDEX(Algorithms!$G:$G,MATCH($C159&amp;"_Therm Saved per Unit- MLA",Algorithms!$A:$A,0)),0)*Y159</f>
        <v>0</v>
      </c>
      <c r="CQ159" s="266">
        <f ca="1">P159*IFERROR(INDEX(Algorithms!$G:$G,MATCH($C159&amp;"_Therm Saved per Unit- MLA",Algorithms!$A:$A,0)),0)*Z159</f>
        <v>0</v>
      </c>
      <c r="CR159" s="266">
        <f ca="1">Q159*IFERROR(INDEX(Algorithms!$G:$G,MATCH($C159&amp;"_Therm Saved per Unit- MLA",Algorithms!$A:$A,0)),0)*AA159</f>
        <v>0</v>
      </c>
      <c r="CS159" s="266">
        <f ca="1">IFERROR(INDEX(Algorithms!$G:$G,MATCH($C159&amp;"_Lifetime (years)",Algorithms!$A:$A,0)),0)</f>
        <v>15</v>
      </c>
      <c r="CT159" s="266">
        <f ca="1">IFERROR(INDEX(Algorithms!$G:$G,MATCH($C159&amp;"_Lifetime (years) - Remaining Years",Algorithms!$A:$A,0)),0)</f>
        <v>0</v>
      </c>
      <c r="CU159" s="266">
        <f t="shared" ca="1" si="121"/>
        <v>16298.775778813728</v>
      </c>
      <c r="CV159" s="266">
        <f t="shared" ca="1" si="122"/>
        <v>16298.775778813728</v>
      </c>
      <c r="CW159" s="266">
        <f t="shared" ca="1" si="123"/>
        <v>16298.775778813728</v>
      </c>
      <c r="CX159" s="266">
        <f t="shared" ca="1" si="124"/>
        <v>16298.775778813728</v>
      </c>
    </row>
    <row r="160" spans="2:102" s="47" customFormat="1" ht="18" customHeight="1" x14ac:dyDescent="0.25">
      <c r="B160" t="str">
        <f t="shared" si="125"/>
        <v>NSG_Business_Public Sector_Rebates_Pipe Insulation_HW Large &gt;4"_MF/CI/SMB</v>
      </c>
      <c r="C160" s="47" t="str">
        <f t="shared" si="86"/>
        <v>Pipe Insulation_HW Large &gt;4"_MF/CI/SMB</v>
      </c>
      <c r="D160" s="270" t="s">
        <v>1787</v>
      </c>
      <c r="E160" s="270" t="s">
        <v>3</v>
      </c>
      <c r="F160" s="270" t="s">
        <v>1430</v>
      </c>
      <c r="G160" s="270" t="s">
        <v>1429</v>
      </c>
      <c r="H160" s="270" t="s">
        <v>404</v>
      </c>
      <c r="I160" s="270" t="s">
        <v>955</v>
      </c>
      <c r="J160" s="270" t="s">
        <v>662</v>
      </c>
      <c r="K160" s="263">
        <v>1</v>
      </c>
      <c r="L160" s="263" t="str">
        <f ca="1">IFERROR(INDEX(Algorithms!J:J,MATCH($C160&amp;"_Therm Saved per Unit",Algorithms!$A:$A,0)),"n/a")</f>
        <v>"3 - Res Pipe Insulation" worksheet</v>
      </c>
      <c r="M160" s="263" t="str">
        <f>IFERROR(INDEX('Measure Level Detail'!$N:$N,MATCH($B160,'Measure Level Detail'!$B:$B,0)),0)</f>
        <v>ft</v>
      </c>
      <c r="N160" s="271">
        <f>IFERROR(INDEX('Measure Level Detail'!$P:$P,MATCH($B160&amp;"_"&amp;N$3,'Measure Level Detail'!$C:$C,0)),0)</f>
        <v>225</v>
      </c>
      <c r="O160" s="271">
        <f>IFERROR(INDEX('Measure Level Detail'!$P:$P,MATCH($B160&amp;"_"&amp;O$3,'Measure Level Detail'!$C:$C,0)),0)</f>
        <v>225</v>
      </c>
      <c r="P160" s="271">
        <f>IFERROR(INDEX('Measure Level Detail'!$P:$P,MATCH($B160&amp;"_"&amp;P$3,'Measure Level Detail'!$C:$C,0)),0)</f>
        <v>225</v>
      </c>
      <c r="Q160" s="271">
        <f>IFERROR(INDEX('Measure Level Detail'!$P:$P,MATCH($B160&amp;"_"&amp;Q$3,'Measure Level Detail'!$C:$C,0)),0)</f>
        <v>225</v>
      </c>
      <c r="R160" s="263">
        <f ca="1">IFERROR(INDEX(Algorithms!K:K,MATCH($C160&amp;"_Therm Saved per Unit",Algorithms!$A:$A,0)),"n/a")</f>
        <v>0</v>
      </c>
      <c r="S160" s="262"/>
      <c r="T160" s="272">
        <v>9.0407613085908682</v>
      </c>
      <c r="U160" s="272">
        <v>9.0407613085908682</v>
      </c>
      <c r="V160" s="272">
        <v>9.0407613085908682</v>
      </c>
      <c r="W160" s="272">
        <v>9.0407613085908682</v>
      </c>
      <c r="X160" s="276">
        <v>0.92</v>
      </c>
      <c r="Y160" s="276">
        <v>0.92</v>
      </c>
      <c r="Z160" s="276">
        <v>0.92</v>
      </c>
      <c r="AA160" s="276">
        <v>0.92</v>
      </c>
      <c r="AB160" s="266">
        <f t="shared" si="87"/>
        <v>1871.4375908783099</v>
      </c>
      <c r="AC160" s="266">
        <f t="shared" si="88"/>
        <v>1871.4375908783099</v>
      </c>
      <c r="AD160" s="266">
        <f t="shared" si="89"/>
        <v>1871.4375908783099</v>
      </c>
      <c r="AE160" s="266">
        <f t="shared" si="90"/>
        <v>1871.4375908783099</v>
      </c>
      <c r="AF160" s="266">
        <f t="shared" si="91"/>
        <v>7485.7503635132398</v>
      </c>
      <c r="AG160" s="274">
        <v>0.92</v>
      </c>
      <c r="AH160" s="274">
        <v>0.92</v>
      </c>
      <c r="AI160" s="274">
        <v>0.92</v>
      </c>
      <c r="AJ160" s="274">
        <v>0.92</v>
      </c>
      <c r="AK160" s="274">
        <f t="shared" si="92"/>
        <v>0.92</v>
      </c>
      <c r="AL160" s="274">
        <f t="shared" si="93"/>
        <v>0.92</v>
      </c>
      <c r="AM160" s="274">
        <f t="shared" si="94"/>
        <v>0.92</v>
      </c>
      <c r="AN160" s="274">
        <f t="shared" si="95"/>
        <v>0.92</v>
      </c>
      <c r="AO160" s="262"/>
      <c r="AP160" s="262"/>
      <c r="AQ160" s="267">
        <v>9.0407613085908682</v>
      </c>
      <c r="AR160" s="262"/>
      <c r="AS160" s="266">
        <f t="shared" si="96"/>
        <v>1871.4375908783099</v>
      </c>
      <c r="AT160" s="264">
        <f t="shared" si="97"/>
        <v>0</v>
      </c>
      <c r="AU160" s="262"/>
      <c r="AV160" s="262"/>
      <c r="AW160" s="265">
        <v>9.0407613085908682</v>
      </c>
      <c r="AX160" s="164" t="s">
        <v>1469</v>
      </c>
      <c r="AY160" s="266">
        <v>1871.4375908783099</v>
      </c>
      <c r="AZ160" s="266">
        <f t="shared" si="98"/>
        <v>1871.4375908783099</v>
      </c>
      <c r="BA160" s="264">
        <f t="shared" si="99"/>
        <v>0</v>
      </c>
      <c r="BB160" s="262"/>
      <c r="BC160" s="262"/>
      <c r="BD160" s="265">
        <f ca="1">IFERROR(INDEX(Algorithms!$G:$G,MATCH($C160&amp;"_Therm Saved per Unit",Algorithms!$A:$A,0)),0)</f>
        <v>9.0407613085908682</v>
      </c>
      <c r="BE160" s="164" t="str">
        <f ca="1">IFERROR(INDEX('v12 Revisions'!$P$29:$P$186, MATCH('Measure-Level Adj Gas'!$L160, 'v12 Revisions'!$D$29:$D$186,0)),"")</f>
        <v/>
      </c>
      <c r="BF160" s="266">
        <f t="shared" ca="1" si="100"/>
        <v>1871.4375908783099</v>
      </c>
      <c r="BG160" s="264">
        <f t="shared" ca="1" si="101"/>
        <v>0</v>
      </c>
      <c r="BH160" s="262"/>
      <c r="BI160" s="262"/>
      <c r="BJ160" s="265">
        <f ca="1">IFERROR(INDEX(Algorithms!$G:$G,MATCH($C160&amp;"_Therm Saved per Unit",Algorithms!$A:$A,0)),0)</f>
        <v>9.0407613085908682</v>
      </c>
      <c r="BK160" s="164"/>
      <c r="BL160" s="266">
        <f t="shared" ca="1" si="102"/>
        <v>1871.4375908783099</v>
      </c>
      <c r="BM160" s="264">
        <f t="shared" ca="1" si="103"/>
        <v>0</v>
      </c>
      <c r="BN160" s="266">
        <f t="shared" si="104"/>
        <v>1871.4375908783099</v>
      </c>
      <c r="BO160" s="266">
        <f t="shared" si="105"/>
        <v>1871.4375908783099</v>
      </c>
      <c r="BP160" s="266">
        <f t="shared" ca="1" si="106"/>
        <v>1871.4375908783099</v>
      </c>
      <c r="BQ160" s="266">
        <f t="shared" ca="1" si="107"/>
        <v>1871.4375908783099</v>
      </c>
      <c r="BR160" s="268">
        <f t="shared" ca="1" si="108"/>
        <v>7485.7503635132398</v>
      </c>
      <c r="BS160" s="262" t="s">
        <v>99</v>
      </c>
      <c r="BT160" s="277"/>
      <c r="BW160" s="266">
        <f t="shared" si="109"/>
        <v>1871.4375908783099</v>
      </c>
      <c r="BX160" s="266">
        <f t="shared" si="110"/>
        <v>1871.4375908783099</v>
      </c>
      <c r="BY160" s="266">
        <f t="shared" si="111"/>
        <v>1871.4375908783099</v>
      </c>
      <c r="BZ160" s="266">
        <f t="shared" si="112"/>
        <v>1871.4375908783099</v>
      </c>
      <c r="CA160" s="266">
        <f ca="1">N160*IFERROR(INDEX(Algorithms!$G:$G,MATCH($C160&amp;"_Therm Saved per Unit- MLA",Algorithms!$A:$A,0)),0)*X160</f>
        <v>0</v>
      </c>
      <c r="CB160" s="266">
        <f ca="1">O160*IFERROR(INDEX(Algorithms!$G:$G,MATCH($C160&amp;"_Therm Saved per Unit- MLA",Algorithms!$A:$A,0)),0)*Y160</f>
        <v>0</v>
      </c>
      <c r="CC160" s="266">
        <f ca="1">P160*IFERROR(INDEX(Algorithms!$G:$G,MATCH($C160&amp;"_Therm Saved per Unit- MLA",Algorithms!$A:$A,0)),0)*Z160</f>
        <v>0</v>
      </c>
      <c r="CD160" s="266">
        <f ca="1">Q160*IFERROR(INDEX(Algorithms!$G:$G,MATCH($C160&amp;"_Therm Saved per Unit- MLA",Algorithms!$A:$A,0)),0)*AA160</f>
        <v>0</v>
      </c>
      <c r="CE160" s="266">
        <f ca="1">IFERROR(INDEX(Algorithms!$G:$G,MATCH($C160&amp;"_Lifetime (years)",Algorithms!$A:$A,0)),0)</f>
        <v>15</v>
      </c>
      <c r="CF160" s="266">
        <f ca="1">IFERROR(INDEX(Algorithms!$G:$G,MATCH($C160&amp;"_Lifetime (years) - Remaining Years",Algorithms!$A:$A,0)),0)</f>
        <v>0</v>
      </c>
      <c r="CG160" s="266">
        <f t="shared" ca="1" si="113"/>
        <v>28071.563863174648</v>
      </c>
      <c r="CH160" s="266">
        <f t="shared" ca="1" si="114"/>
        <v>28071.563863174648</v>
      </c>
      <c r="CI160" s="266">
        <f t="shared" ca="1" si="115"/>
        <v>28071.563863174648</v>
      </c>
      <c r="CJ160" s="266">
        <f t="shared" ca="1" si="116"/>
        <v>28071.563863174648</v>
      </c>
      <c r="CK160" s="266">
        <f t="shared" si="117"/>
        <v>1871.4375908783099</v>
      </c>
      <c r="CL160" s="266">
        <f t="shared" si="118"/>
        <v>1871.4375908783099</v>
      </c>
      <c r="CM160" s="266">
        <f t="shared" ca="1" si="119"/>
        <v>1871.4375908783099</v>
      </c>
      <c r="CN160" s="266">
        <f t="shared" ca="1" si="120"/>
        <v>1871.4375908783099</v>
      </c>
      <c r="CO160" s="266">
        <f ca="1">N160*IFERROR(INDEX(Algorithms!$G:$G,MATCH($C160&amp;"_Therm Saved per Unit- MLA",Algorithms!$A:$A,0)),0)*X160</f>
        <v>0</v>
      </c>
      <c r="CP160" s="266">
        <f ca="1">O160*IFERROR(INDEX(Algorithms!$G:$G,MATCH($C160&amp;"_Therm Saved per Unit- MLA",Algorithms!$A:$A,0)),0)*Y160</f>
        <v>0</v>
      </c>
      <c r="CQ160" s="266">
        <f ca="1">P160*IFERROR(INDEX(Algorithms!$G:$G,MATCH($C160&amp;"_Therm Saved per Unit- MLA",Algorithms!$A:$A,0)),0)*Z160</f>
        <v>0</v>
      </c>
      <c r="CR160" s="266">
        <f ca="1">Q160*IFERROR(INDEX(Algorithms!$G:$G,MATCH($C160&amp;"_Therm Saved per Unit- MLA",Algorithms!$A:$A,0)),0)*AA160</f>
        <v>0</v>
      </c>
      <c r="CS160" s="266">
        <f ca="1">IFERROR(INDEX(Algorithms!$G:$G,MATCH($C160&amp;"_Lifetime (years)",Algorithms!$A:$A,0)),0)</f>
        <v>15</v>
      </c>
      <c r="CT160" s="266">
        <f ca="1">IFERROR(INDEX(Algorithms!$G:$G,MATCH($C160&amp;"_Lifetime (years) - Remaining Years",Algorithms!$A:$A,0)),0)</f>
        <v>0</v>
      </c>
      <c r="CU160" s="266">
        <f t="shared" ca="1" si="121"/>
        <v>28071.563863174648</v>
      </c>
      <c r="CV160" s="266">
        <f t="shared" ca="1" si="122"/>
        <v>28071.563863174648</v>
      </c>
      <c r="CW160" s="266">
        <f t="shared" ca="1" si="123"/>
        <v>28071.563863174648</v>
      </c>
      <c r="CX160" s="266">
        <f t="shared" ca="1" si="124"/>
        <v>28071.563863174648</v>
      </c>
    </row>
    <row r="161" spans="2:102" s="47" customFormat="1" ht="18" customHeight="1" x14ac:dyDescent="0.25">
      <c r="B161" t="str">
        <f t="shared" si="125"/>
        <v>NSG_Business_Public Sector_Rebates_Pipe Insulation_Steam - Small 1" to 2"_CI</v>
      </c>
      <c r="C161" s="47" t="str">
        <f t="shared" si="86"/>
        <v>Pipe Insulation_Steam - Small 1" to 2"_CI</v>
      </c>
      <c r="D161" s="270" t="s">
        <v>1787</v>
      </c>
      <c r="E161" s="270" t="s">
        <v>3</v>
      </c>
      <c r="F161" s="270" t="s">
        <v>1430</v>
      </c>
      <c r="G161" s="270" t="s">
        <v>1429</v>
      </c>
      <c r="H161" s="270" t="s">
        <v>404</v>
      </c>
      <c r="I161" s="270" t="s">
        <v>956</v>
      </c>
      <c r="J161" s="270" t="s">
        <v>1159</v>
      </c>
      <c r="K161" s="263">
        <v>1</v>
      </c>
      <c r="L161" s="263" t="str">
        <f ca="1">IFERROR(INDEX(Algorithms!J:J,MATCH($C161&amp;"_Therm Saved per Unit",Algorithms!$A:$A,0)),"n/a")</f>
        <v>"3 - Pipe Insulation" worksheet</v>
      </c>
      <c r="M161" s="263" t="str">
        <f>IFERROR(INDEX('Measure Level Detail'!$N:$N,MATCH($B161,'Measure Level Detail'!$B:$B,0)),0)</f>
        <v>ft</v>
      </c>
      <c r="N161" s="271">
        <f>IFERROR(INDEX('Measure Level Detail'!$P:$P,MATCH($B161&amp;"_"&amp;N$3,'Measure Level Detail'!$C:$C,0)),0)</f>
        <v>225</v>
      </c>
      <c r="O161" s="271">
        <f>IFERROR(INDEX('Measure Level Detail'!$P:$P,MATCH($B161&amp;"_"&amp;O$3,'Measure Level Detail'!$C:$C,0)),0)</f>
        <v>225</v>
      </c>
      <c r="P161" s="271">
        <f>IFERROR(INDEX('Measure Level Detail'!$P:$P,MATCH($B161&amp;"_"&amp;P$3,'Measure Level Detail'!$C:$C,0)),0)</f>
        <v>225</v>
      </c>
      <c r="Q161" s="271">
        <f>IFERROR(INDEX('Measure Level Detail'!$P:$P,MATCH($B161&amp;"_"&amp;Q$3,'Measure Level Detail'!$C:$C,0)),0)</f>
        <v>225</v>
      </c>
      <c r="R161" s="263">
        <f ca="1">IFERROR(INDEX(Algorithms!K:K,MATCH($C161&amp;"_Therm Saved per Unit",Algorithms!$A:$A,0)),"n/a")</f>
        <v>0</v>
      </c>
      <c r="S161" s="262"/>
      <c r="T161" s="272">
        <v>3.1854757047967208</v>
      </c>
      <c r="U161" s="272">
        <v>3.1854757047967208</v>
      </c>
      <c r="V161" s="272">
        <v>3.1854757047967208</v>
      </c>
      <c r="W161" s="272">
        <v>3.1854757047967208</v>
      </c>
      <c r="X161" s="276">
        <v>0.92</v>
      </c>
      <c r="Y161" s="276">
        <v>0.92</v>
      </c>
      <c r="Z161" s="276">
        <v>0.92</v>
      </c>
      <c r="AA161" s="276">
        <v>0.92</v>
      </c>
      <c r="AB161" s="266">
        <f t="shared" si="87"/>
        <v>659.39347089292119</v>
      </c>
      <c r="AC161" s="266">
        <f t="shared" si="88"/>
        <v>659.39347089292119</v>
      </c>
      <c r="AD161" s="266">
        <f t="shared" si="89"/>
        <v>659.39347089292119</v>
      </c>
      <c r="AE161" s="266">
        <f t="shared" si="90"/>
        <v>659.39347089292119</v>
      </c>
      <c r="AF161" s="266">
        <f t="shared" si="91"/>
        <v>2637.5738835716847</v>
      </c>
      <c r="AG161" s="274">
        <v>0.92</v>
      </c>
      <c r="AH161" s="274">
        <v>0.92</v>
      </c>
      <c r="AI161" s="274">
        <v>0.92</v>
      </c>
      <c r="AJ161" s="274">
        <v>0.92</v>
      </c>
      <c r="AK161" s="274">
        <f t="shared" si="92"/>
        <v>0.92</v>
      </c>
      <c r="AL161" s="274">
        <f t="shared" si="93"/>
        <v>0.92</v>
      </c>
      <c r="AM161" s="274">
        <f t="shared" si="94"/>
        <v>0.92</v>
      </c>
      <c r="AN161" s="274">
        <f t="shared" si="95"/>
        <v>0.92</v>
      </c>
      <c r="AO161" s="262"/>
      <c r="AP161" s="262"/>
      <c r="AQ161" s="267">
        <v>3.1854757047967208</v>
      </c>
      <c r="AR161" s="262"/>
      <c r="AS161" s="266">
        <f t="shared" si="96"/>
        <v>659.39347089292119</v>
      </c>
      <c r="AT161" s="264">
        <f t="shared" si="97"/>
        <v>0</v>
      </c>
      <c r="AU161" s="262"/>
      <c r="AV161" s="262"/>
      <c r="AW161" s="265">
        <v>3.1854757047967208</v>
      </c>
      <c r="AX161" s="164" t="s">
        <v>1469</v>
      </c>
      <c r="AY161" s="266">
        <v>659.39347089292119</v>
      </c>
      <c r="AZ161" s="266">
        <f t="shared" si="98"/>
        <v>659.39347089292119</v>
      </c>
      <c r="BA161" s="264">
        <f t="shared" si="99"/>
        <v>0</v>
      </c>
      <c r="BB161" s="262"/>
      <c r="BC161" s="262"/>
      <c r="BD161" s="265">
        <f ca="1">IFERROR(INDEX(Algorithms!$G:$G,MATCH($C161&amp;"_Therm Saved per Unit",Algorithms!$A:$A,0)),0)</f>
        <v>3.1854757047967208</v>
      </c>
      <c r="BE161" s="164" t="str">
        <f ca="1">IFERROR(INDEX('v12 Revisions'!$P$29:$P$186, MATCH('Measure-Level Adj Gas'!$L161, 'v12 Revisions'!$D$29:$D$186,0)),"")</f>
        <v/>
      </c>
      <c r="BF161" s="266">
        <f t="shared" ca="1" si="100"/>
        <v>659.39347089292119</v>
      </c>
      <c r="BG161" s="264">
        <f t="shared" ca="1" si="101"/>
        <v>0</v>
      </c>
      <c r="BH161" s="262"/>
      <c r="BI161" s="262"/>
      <c r="BJ161" s="265">
        <f ca="1">IFERROR(INDEX(Algorithms!$G:$G,MATCH($C161&amp;"_Therm Saved per Unit",Algorithms!$A:$A,0)),0)</f>
        <v>3.1854757047967208</v>
      </c>
      <c r="BK161" s="164"/>
      <c r="BL161" s="266">
        <f t="shared" ca="1" si="102"/>
        <v>659.39347089292119</v>
      </c>
      <c r="BM161" s="264">
        <f t="shared" ca="1" si="103"/>
        <v>0</v>
      </c>
      <c r="BN161" s="266">
        <f t="shared" si="104"/>
        <v>659.39347089292119</v>
      </c>
      <c r="BO161" s="266">
        <f t="shared" si="105"/>
        <v>659.39347089292119</v>
      </c>
      <c r="BP161" s="266">
        <f t="shared" ca="1" si="106"/>
        <v>659.39347089292119</v>
      </c>
      <c r="BQ161" s="266">
        <f t="shared" ca="1" si="107"/>
        <v>659.39347089292119</v>
      </c>
      <c r="BR161" s="268">
        <f t="shared" ca="1" si="108"/>
        <v>2637.5738835716847</v>
      </c>
      <c r="BS161" s="262" t="s">
        <v>99</v>
      </c>
      <c r="BT161" s="277"/>
      <c r="BW161" s="266">
        <f t="shared" si="109"/>
        <v>659.39347089292119</v>
      </c>
      <c r="BX161" s="266">
        <f t="shared" si="110"/>
        <v>659.39347089292119</v>
      </c>
      <c r="BY161" s="266">
        <f t="shared" si="111"/>
        <v>659.39347089292119</v>
      </c>
      <c r="BZ161" s="266">
        <f t="shared" si="112"/>
        <v>659.39347089292119</v>
      </c>
      <c r="CA161" s="266">
        <f ca="1">N161*IFERROR(INDEX(Algorithms!$G:$G,MATCH($C161&amp;"_Therm Saved per Unit- MLA",Algorithms!$A:$A,0)),0)*X161</f>
        <v>0</v>
      </c>
      <c r="CB161" s="266">
        <f ca="1">O161*IFERROR(INDEX(Algorithms!$G:$G,MATCH($C161&amp;"_Therm Saved per Unit- MLA",Algorithms!$A:$A,0)),0)*Y161</f>
        <v>0</v>
      </c>
      <c r="CC161" s="266">
        <f ca="1">P161*IFERROR(INDEX(Algorithms!$G:$G,MATCH($C161&amp;"_Therm Saved per Unit- MLA",Algorithms!$A:$A,0)),0)*Z161</f>
        <v>0</v>
      </c>
      <c r="CD161" s="266">
        <f ca="1">Q161*IFERROR(INDEX(Algorithms!$G:$G,MATCH($C161&amp;"_Therm Saved per Unit- MLA",Algorithms!$A:$A,0)),0)*AA161</f>
        <v>0</v>
      </c>
      <c r="CE161" s="266">
        <f ca="1">IFERROR(INDEX(Algorithms!$G:$G,MATCH($C161&amp;"_Lifetime (years)",Algorithms!$A:$A,0)),0)</f>
        <v>15</v>
      </c>
      <c r="CF161" s="266">
        <f ca="1">IFERROR(INDEX(Algorithms!$G:$G,MATCH($C161&amp;"_Lifetime (years) - Remaining Years",Algorithms!$A:$A,0)),0)</f>
        <v>0</v>
      </c>
      <c r="CG161" s="266">
        <f t="shared" ca="1" si="113"/>
        <v>9890.902063393818</v>
      </c>
      <c r="CH161" s="266">
        <f t="shared" ca="1" si="114"/>
        <v>9890.902063393818</v>
      </c>
      <c r="CI161" s="266">
        <f t="shared" ca="1" si="115"/>
        <v>9890.902063393818</v>
      </c>
      <c r="CJ161" s="266">
        <f t="shared" ca="1" si="116"/>
        <v>9890.902063393818</v>
      </c>
      <c r="CK161" s="266">
        <f t="shared" si="117"/>
        <v>659.39347089292119</v>
      </c>
      <c r="CL161" s="266">
        <f t="shared" si="118"/>
        <v>659.39347089292119</v>
      </c>
      <c r="CM161" s="266">
        <f t="shared" ca="1" si="119"/>
        <v>659.39347089292119</v>
      </c>
      <c r="CN161" s="266">
        <f t="shared" ca="1" si="120"/>
        <v>659.39347089292119</v>
      </c>
      <c r="CO161" s="266">
        <f ca="1">N161*IFERROR(INDEX(Algorithms!$G:$G,MATCH($C161&amp;"_Therm Saved per Unit- MLA",Algorithms!$A:$A,0)),0)*X161</f>
        <v>0</v>
      </c>
      <c r="CP161" s="266">
        <f ca="1">O161*IFERROR(INDEX(Algorithms!$G:$G,MATCH($C161&amp;"_Therm Saved per Unit- MLA",Algorithms!$A:$A,0)),0)*Y161</f>
        <v>0</v>
      </c>
      <c r="CQ161" s="266">
        <f ca="1">P161*IFERROR(INDEX(Algorithms!$G:$G,MATCH($C161&amp;"_Therm Saved per Unit- MLA",Algorithms!$A:$A,0)),0)*Z161</f>
        <v>0</v>
      </c>
      <c r="CR161" s="266">
        <f ca="1">Q161*IFERROR(INDEX(Algorithms!$G:$G,MATCH($C161&amp;"_Therm Saved per Unit- MLA",Algorithms!$A:$A,0)),0)*AA161</f>
        <v>0</v>
      </c>
      <c r="CS161" s="266">
        <f ca="1">IFERROR(INDEX(Algorithms!$G:$G,MATCH($C161&amp;"_Lifetime (years)",Algorithms!$A:$A,0)),0)</f>
        <v>15</v>
      </c>
      <c r="CT161" s="266">
        <f ca="1">IFERROR(INDEX(Algorithms!$G:$G,MATCH($C161&amp;"_Lifetime (years) - Remaining Years",Algorithms!$A:$A,0)),0)</f>
        <v>0</v>
      </c>
      <c r="CU161" s="266">
        <f t="shared" ca="1" si="121"/>
        <v>9890.902063393818</v>
      </c>
      <c r="CV161" s="266">
        <f t="shared" ca="1" si="122"/>
        <v>9890.902063393818</v>
      </c>
      <c r="CW161" s="266">
        <f t="shared" ca="1" si="123"/>
        <v>9890.902063393818</v>
      </c>
      <c r="CX161" s="266">
        <f t="shared" ca="1" si="124"/>
        <v>9890.902063393818</v>
      </c>
    </row>
    <row r="162" spans="2:102" s="47" customFormat="1" ht="18" customHeight="1" x14ac:dyDescent="0.25">
      <c r="B162" t="str">
        <f t="shared" si="125"/>
        <v>NSG_Business_Small/Mid-Size Business_Rebates_Pipe Insulation_Steam - Large 5.1" to 8"_CI</v>
      </c>
      <c r="C162" s="47" t="str">
        <f t="shared" si="86"/>
        <v>Pipe Insulation_Steam - Large 5.1" to 8"_CI</v>
      </c>
      <c r="D162" s="270" t="s">
        <v>1787</v>
      </c>
      <c r="E162" s="270" t="s">
        <v>3</v>
      </c>
      <c r="F162" s="270" t="s">
        <v>1432</v>
      </c>
      <c r="G162" s="270" t="s">
        <v>1429</v>
      </c>
      <c r="H162" s="270" t="s">
        <v>404</v>
      </c>
      <c r="I162" s="270" t="s">
        <v>958</v>
      </c>
      <c r="J162" s="270" t="s">
        <v>1159</v>
      </c>
      <c r="K162" s="263">
        <v>1</v>
      </c>
      <c r="L162" s="263" t="str">
        <f ca="1">IFERROR(INDEX(Algorithms!J:J,MATCH($C162&amp;"_Therm Saved per Unit",Algorithms!$A:$A,0)),"n/a")</f>
        <v>"3 - Pipe Insulation" worksheet</v>
      </c>
      <c r="M162" s="263" t="str">
        <f>IFERROR(INDEX('Measure Level Detail'!$N:$N,MATCH($B162,'Measure Level Detail'!$B:$B,0)),0)</f>
        <v>ft</v>
      </c>
      <c r="N162" s="271">
        <f>IFERROR(INDEX('Measure Level Detail'!$P:$P,MATCH($B162&amp;"_"&amp;N$3,'Measure Level Detail'!$C:$C,0)),0)</f>
        <v>225</v>
      </c>
      <c r="O162" s="271">
        <f>IFERROR(INDEX('Measure Level Detail'!$P:$P,MATCH($B162&amp;"_"&amp;O$3,'Measure Level Detail'!$C:$C,0)),0)</f>
        <v>150</v>
      </c>
      <c r="P162" s="271">
        <f>IFERROR(INDEX('Measure Level Detail'!$P:$P,MATCH($B162&amp;"_"&amp;P$3,'Measure Level Detail'!$C:$C,0)),0)</f>
        <v>150</v>
      </c>
      <c r="Q162" s="271">
        <f>IFERROR(INDEX('Measure Level Detail'!$P:$P,MATCH($B162&amp;"_"&amp;Q$3,'Measure Level Detail'!$C:$C,0)),0)</f>
        <v>150</v>
      </c>
      <c r="R162" s="263">
        <f ca="1">IFERROR(INDEX(Algorithms!K:K,MATCH($C162&amp;"_Therm Saved per Unit",Algorithms!$A:$A,0)),"n/a")</f>
        <v>0</v>
      </c>
      <c r="S162" s="262"/>
      <c r="T162" s="272">
        <v>24.999763600321025</v>
      </c>
      <c r="U162" s="272">
        <v>24.999763600321025</v>
      </c>
      <c r="V162" s="272">
        <v>24.999763600321025</v>
      </c>
      <c r="W162" s="272">
        <v>24.999763600321025</v>
      </c>
      <c r="X162" s="276">
        <v>0.93</v>
      </c>
      <c r="Y162" s="276">
        <v>0.93</v>
      </c>
      <c r="Z162" s="276">
        <v>0.93</v>
      </c>
      <c r="AA162" s="276">
        <v>0.93</v>
      </c>
      <c r="AB162" s="266">
        <f t="shared" si="87"/>
        <v>5231.200533367175</v>
      </c>
      <c r="AC162" s="266">
        <f t="shared" si="88"/>
        <v>3487.467022244783</v>
      </c>
      <c r="AD162" s="266">
        <f t="shared" si="89"/>
        <v>3487.467022244783</v>
      </c>
      <c r="AE162" s="266">
        <f t="shared" si="90"/>
        <v>3487.467022244783</v>
      </c>
      <c r="AF162" s="266">
        <f t="shared" si="91"/>
        <v>15693.601600101523</v>
      </c>
      <c r="AG162" s="274">
        <v>0.93</v>
      </c>
      <c r="AH162" s="274">
        <v>0.93</v>
      </c>
      <c r="AI162" s="274">
        <v>0.93</v>
      </c>
      <c r="AJ162" s="274">
        <v>0.93</v>
      </c>
      <c r="AK162" s="274">
        <f t="shared" si="92"/>
        <v>0.93</v>
      </c>
      <c r="AL162" s="274">
        <f t="shared" si="93"/>
        <v>0.93</v>
      </c>
      <c r="AM162" s="274">
        <f t="shared" si="94"/>
        <v>0.93</v>
      </c>
      <c r="AN162" s="274">
        <f t="shared" si="95"/>
        <v>0.93</v>
      </c>
      <c r="AO162" s="262"/>
      <c r="AP162" s="262"/>
      <c r="AQ162" s="267">
        <v>24.999763600321025</v>
      </c>
      <c r="AR162" s="262"/>
      <c r="AS162" s="266">
        <f t="shared" si="96"/>
        <v>5231.200533367175</v>
      </c>
      <c r="AT162" s="264">
        <f t="shared" si="97"/>
        <v>0</v>
      </c>
      <c r="AU162" s="262"/>
      <c r="AV162" s="262"/>
      <c r="AW162" s="265">
        <v>24.999763600321025</v>
      </c>
      <c r="AX162" s="164" t="s">
        <v>1469</v>
      </c>
      <c r="AY162" s="266">
        <v>3487.467022244783</v>
      </c>
      <c r="AZ162" s="266">
        <f t="shared" si="98"/>
        <v>3487.467022244783</v>
      </c>
      <c r="BA162" s="264">
        <f t="shared" si="99"/>
        <v>0</v>
      </c>
      <c r="BB162" s="262"/>
      <c r="BC162" s="262"/>
      <c r="BD162" s="265">
        <f ca="1">IFERROR(INDEX(Algorithms!$G:$G,MATCH($C162&amp;"_Therm Saved per Unit",Algorithms!$A:$A,0)),0)</f>
        <v>24.999763600321025</v>
      </c>
      <c r="BE162" s="164" t="str">
        <f ca="1">IFERROR(INDEX('v12 Revisions'!$P$29:$P$186, MATCH('Measure-Level Adj Gas'!$L162, 'v12 Revisions'!$D$29:$D$186,0)),"")</f>
        <v/>
      </c>
      <c r="BF162" s="266">
        <f t="shared" ca="1" si="100"/>
        <v>3487.467022244783</v>
      </c>
      <c r="BG162" s="264">
        <f t="shared" ca="1" si="101"/>
        <v>0</v>
      </c>
      <c r="BH162" s="262"/>
      <c r="BI162" s="262"/>
      <c r="BJ162" s="265">
        <f ca="1">IFERROR(INDEX(Algorithms!$G:$G,MATCH($C162&amp;"_Therm Saved per Unit",Algorithms!$A:$A,0)),0)</f>
        <v>24.999763600321025</v>
      </c>
      <c r="BK162" s="164"/>
      <c r="BL162" s="266">
        <f t="shared" ca="1" si="102"/>
        <v>3487.467022244783</v>
      </c>
      <c r="BM162" s="264">
        <f t="shared" ca="1" si="103"/>
        <v>0</v>
      </c>
      <c r="BN162" s="266">
        <f t="shared" si="104"/>
        <v>5231.200533367175</v>
      </c>
      <c r="BO162" s="266">
        <f t="shared" si="105"/>
        <v>3487.467022244783</v>
      </c>
      <c r="BP162" s="266">
        <f t="shared" ca="1" si="106"/>
        <v>3487.467022244783</v>
      </c>
      <c r="BQ162" s="266">
        <f t="shared" ca="1" si="107"/>
        <v>3487.467022244783</v>
      </c>
      <c r="BR162" s="268">
        <f t="shared" ca="1" si="108"/>
        <v>15693.601600101523</v>
      </c>
      <c r="BS162" s="262" t="s">
        <v>99</v>
      </c>
      <c r="BT162" s="277"/>
      <c r="BW162" s="266">
        <f t="shared" si="109"/>
        <v>5231.200533367175</v>
      </c>
      <c r="BX162" s="266">
        <f t="shared" si="110"/>
        <v>3487.467022244783</v>
      </c>
      <c r="BY162" s="266">
        <f t="shared" si="111"/>
        <v>3487.467022244783</v>
      </c>
      <c r="BZ162" s="266">
        <f t="shared" si="112"/>
        <v>3487.467022244783</v>
      </c>
      <c r="CA162" s="266">
        <f ca="1">N162*IFERROR(INDEX(Algorithms!$G:$G,MATCH($C162&amp;"_Therm Saved per Unit- MLA",Algorithms!$A:$A,0)),0)*X162</f>
        <v>0</v>
      </c>
      <c r="CB162" s="266">
        <f ca="1">O162*IFERROR(INDEX(Algorithms!$G:$G,MATCH($C162&amp;"_Therm Saved per Unit- MLA",Algorithms!$A:$A,0)),0)*Y162</f>
        <v>0</v>
      </c>
      <c r="CC162" s="266">
        <f ca="1">P162*IFERROR(INDEX(Algorithms!$G:$G,MATCH($C162&amp;"_Therm Saved per Unit- MLA",Algorithms!$A:$A,0)),0)*Z162</f>
        <v>0</v>
      </c>
      <c r="CD162" s="266">
        <f ca="1">Q162*IFERROR(INDEX(Algorithms!$G:$G,MATCH($C162&amp;"_Therm Saved per Unit- MLA",Algorithms!$A:$A,0)),0)*AA162</f>
        <v>0</v>
      </c>
      <c r="CE162" s="266">
        <f ca="1">IFERROR(INDEX(Algorithms!$G:$G,MATCH($C162&amp;"_Lifetime (years)",Algorithms!$A:$A,0)),0)</f>
        <v>15</v>
      </c>
      <c r="CF162" s="266">
        <f ca="1">IFERROR(INDEX(Algorithms!$G:$G,MATCH($C162&amp;"_Lifetime (years) - Remaining Years",Algorithms!$A:$A,0)),0)</f>
        <v>0</v>
      </c>
      <c r="CG162" s="266">
        <f t="shared" ca="1" si="113"/>
        <v>78468.008000507631</v>
      </c>
      <c r="CH162" s="266">
        <f t="shared" ca="1" si="114"/>
        <v>52312.005333671746</v>
      </c>
      <c r="CI162" s="266">
        <f t="shared" ca="1" si="115"/>
        <v>52312.005333671746</v>
      </c>
      <c r="CJ162" s="266">
        <f t="shared" ca="1" si="116"/>
        <v>52312.005333671746</v>
      </c>
      <c r="CK162" s="266">
        <f t="shared" si="117"/>
        <v>5231.200533367175</v>
      </c>
      <c r="CL162" s="266">
        <f t="shared" si="118"/>
        <v>3487.467022244783</v>
      </c>
      <c r="CM162" s="266">
        <f t="shared" ca="1" si="119"/>
        <v>3487.467022244783</v>
      </c>
      <c r="CN162" s="266">
        <f t="shared" ca="1" si="120"/>
        <v>3487.467022244783</v>
      </c>
      <c r="CO162" s="266">
        <f ca="1">N162*IFERROR(INDEX(Algorithms!$G:$G,MATCH($C162&amp;"_Therm Saved per Unit- MLA",Algorithms!$A:$A,0)),0)*X162</f>
        <v>0</v>
      </c>
      <c r="CP162" s="266">
        <f ca="1">O162*IFERROR(INDEX(Algorithms!$G:$G,MATCH($C162&amp;"_Therm Saved per Unit- MLA",Algorithms!$A:$A,0)),0)*Y162</f>
        <v>0</v>
      </c>
      <c r="CQ162" s="266">
        <f ca="1">P162*IFERROR(INDEX(Algorithms!$G:$G,MATCH($C162&amp;"_Therm Saved per Unit- MLA",Algorithms!$A:$A,0)),0)*Z162</f>
        <v>0</v>
      </c>
      <c r="CR162" s="266">
        <f ca="1">Q162*IFERROR(INDEX(Algorithms!$G:$G,MATCH($C162&amp;"_Therm Saved per Unit- MLA",Algorithms!$A:$A,0)),0)*AA162</f>
        <v>0</v>
      </c>
      <c r="CS162" s="266">
        <f ca="1">IFERROR(INDEX(Algorithms!$G:$G,MATCH($C162&amp;"_Lifetime (years)",Algorithms!$A:$A,0)),0)</f>
        <v>15</v>
      </c>
      <c r="CT162" s="266">
        <f ca="1">IFERROR(INDEX(Algorithms!$G:$G,MATCH($C162&amp;"_Lifetime (years) - Remaining Years",Algorithms!$A:$A,0)),0)</f>
        <v>0</v>
      </c>
      <c r="CU162" s="266">
        <f t="shared" ca="1" si="121"/>
        <v>78468.008000507631</v>
      </c>
      <c r="CV162" s="266">
        <f t="shared" ca="1" si="122"/>
        <v>52312.005333671746</v>
      </c>
      <c r="CW162" s="266">
        <f t="shared" ca="1" si="123"/>
        <v>52312.005333671746</v>
      </c>
      <c r="CX162" s="266">
        <f t="shared" ca="1" si="124"/>
        <v>52312.005333671746</v>
      </c>
    </row>
    <row r="163" spans="2:102" s="47" customFormat="1" ht="18" customHeight="1" x14ac:dyDescent="0.25">
      <c r="B163" t="str">
        <f t="shared" si="125"/>
        <v>NSG_Business_Small/Mid-Size Business_Partner Trade Ally Rebate_Pipe Insulation_Steam - Small 1" to 2"_CI</v>
      </c>
      <c r="C163" s="47" t="str">
        <f t="shared" si="86"/>
        <v>Pipe Insulation_Steam - Small 1" to 2"_CI</v>
      </c>
      <c r="D163" s="270" t="s">
        <v>1787</v>
      </c>
      <c r="E163" s="270" t="s">
        <v>3</v>
      </c>
      <c r="F163" s="270" t="s">
        <v>1432</v>
      </c>
      <c r="G163" s="270" t="s">
        <v>1799</v>
      </c>
      <c r="H163" s="270" t="s">
        <v>404</v>
      </c>
      <c r="I163" s="270" t="s">
        <v>956</v>
      </c>
      <c r="J163" s="270" t="s">
        <v>1159</v>
      </c>
      <c r="K163" s="263">
        <v>1</v>
      </c>
      <c r="L163" s="263" t="str">
        <f ca="1">IFERROR(INDEX(Algorithms!J:J,MATCH($C163&amp;"_Therm Saved per Unit",Algorithms!$A:$A,0)),"n/a")</f>
        <v>"3 - Pipe Insulation" worksheet</v>
      </c>
      <c r="M163" s="263" t="str">
        <f>IFERROR(INDEX('Measure Level Detail'!$N:$N,MATCH($B163,'Measure Level Detail'!$B:$B,0)),0)</f>
        <v>ft</v>
      </c>
      <c r="N163" s="271">
        <f>IFERROR(INDEX('Measure Level Detail'!$P:$P,MATCH($B163&amp;"_"&amp;N$3,'Measure Level Detail'!$C:$C,0)),0)</f>
        <v>225</v>
      </c>
      <c r="O163" s="271">
        <f>IFERROR(INDEX('Measure Level Detail'!$P:$P,MATCH($B163&amp;"_"&amp;O$3,'Measure Level Detail'!$C:$C,0)),0)</f>
        <v>150</v>
      </c>
      <c r="P163" s="271">
        <f>IFERROR(INDEX('Measure Level Detail'!$P:$P,MATCH($B163&amp;"_"&amp;P$3,'Measure Level Detail'!$C:$C,0)),0)</f>
        <v>150</v>
      </c>
      <c r="Q163" s="271">
        <f>IFERROR(INDEX('Measure Level Detail'!$P:$P,MATCH($B163&amp;"_"&amp;Q$3,'Measure Level Detail'!$C:$C,0)),0)</f>
        <v>150</v>
      </c>
      <c r="R163" s="263">
        <f ca="1">IFERROR(INDEX(Algorithms!K:K,MATCH($C163&amp;"_Therm Saved per Unit",Algorithms!$A:$A,0)),"n/a")</f>
        <v>0</v>
      </c>
      <c r="S163" s="262"/>
      <c r="T163" s="272">
        <v>3.1854757047967208</v>
      </c>
      <c r="U163" s="272">
        <v>3.1854757047967208</v>
      </c>
      <c r="V163" s="272">
        <v>3.1854757047967208</v>
      </c>
      <c r="W163" s="272">
        <v>3.1854757047967208</v>
      </c>
      <c r="X163" s="276">
        <v>0.93</v>
      </c>
      <c r="Y163" s="276">
        <v>0.93</v>
      </c>
      <c r="Z163" s="276">
        <v>0.93</v>
      </c>
      <c r="AA163" s="276">
        <v>0.93</v>
      </c>
      <c r="AB163" s="266">
        <f t="shared" si="87"/>
        <v>666.56079122871381</v>
      </c>
      <c r="AC163" s="266">
        <f t="shared" si="88"/>
        <v>444.37386081914258</v>
      </c>
      <c r="AD163" s="266">
        <f t="shared" si="89"/>
        <v>444.37386081914258</v>
      </c>
      <c r="AE163" s="266">
        <f t="shared" si="90"/>
        <v>444.37386081914258</v>
      </c>
      <c r="AF163" s="266">
        <f t="shared" si="91"/>
        <v>1999.6823736861415</v>
      </c>
      <c r="AG163" s="274">
        <v>0.93</v>
      </c>
      <c r="AH163" s="274">
        <v>0.93</v>
      </c>
      <c r="AI163" s="274">
        <v>0.93</v>
      </c>
      <c r="AJ163" s="274">
        <v>0.93</v>
      </c>
      <c r="AK163" s="274">
        <f t="shared" si="92"/>
        <v>0.93</v>
      </c>
      <c r="AL163" s="274">
        <f t="shared" si="93"/>
        <v>0.93</v>
      </c>
      <c r="AM163" s="274">
        <f t="shared" si="94"/>
        <v>0.93</v>
      </c>
      <c r="AN163" s="274">
        <f t="shared" si="95"/>
        <v>0.93</v>
      </c>
      <c r="AO163" s="262"/>
      <c r="AP163" s="262"/>
      <c r="AQ163" s="267">
        <v>3.1854757047967208</v>
      </c>
      <c r="AR163" s="262"/>
      <c r="AS163" s="266">
        <f t="shared" si="96"/>
        <v>666.56079122871381</v>
      </c>
      <c r="AT163" s="264">
        <f t="shared" si="97"/>
        <v>0</v>
      </c>
      <c r="AU163" s="262"/>
      <c r="AV163" s="262"/>
      <c r="AW163" s="265">
        <v>3.1854757047967208</v>
      </c>
      <c r="AX163" s="164" t="s">
        <v>1469</v>
      </c>
      <c r="AY163" s="266">
        <v>444.37386081914258</v>
      </c>
      <c r="AZ163" s="266">
        <f t="shared" si="98"/>
        <v>444.37386081914258</v>
      </c>
      <c r="BA163" s="264">
        <f t="shared" si="99"/>
        <v>0</v>
      </c>
      <c r="BB163" s="262"/>
      <c r="BC163" s="262"/>
      <c r="BD163" s="265">
        <f ca="1">IFERROR(INDEX(Algorithms!$G:$G,MATCH($C163&amp;"_Therm Saved per Unit",Algorithms!$A:$A,0)),0)</f>
        <v>3.1854757047967208</v>
      </c>
      <c r="BE163" s="164" t="str">
        <f ca="1">IFERROR(INDEX('v12 Revisions'!$P$29:$P$186, MATCH('Measure-Level Adj Gas'!$L163, 'v12 Revisions'!$D$29:$D$186,0)),"")</f>
        <v/>
      </c>
      <c r="BF163" s="266">
        <f t="shared" ca="1" si="100"/>
        <v>444.37386081914258</v>
      </c>
      <c r="BG163" s="264">
        <f t="shared" ca="1" si="101"/>
        <v>0</v>
      </c>
      <c r="BH163" s="262"/>
      <c r="BI163" s="262"/>
      <c r="BJ163" s="265">
        <f ca="1">IFERROR(INDEX(Algorithms!$G:$G,MATCH($C163&amp;"_Therm Saved per Unit",Algorithms!$A:$A,0)),0)</f>
        <v>3.1854757047967208</v>
      </c>
      <c r="BK163" s="164"/>
      <c r="BL163" s="266">
        <f t="shared" ca="1" si="102"/>
        <v>444.37386081914258</v>
      </c>
      <c r="BM163" s="264">
        <f t="shared" ca="1" si="103"/>
        <v>0</v>
      </c>
      <c r="BN163" s="266">
        <f t="shared" si="104"/>
        <v>666.56079122871381</v>
      </c>
      <c r="BO163" s="266">
        <f t="shared" si="105"/>
        <v>444.37386081914258</v>
      </c>
      <c r="BP163" s="266">
        <f t="shared" ca="1" si="106"/>
        <v>444.37386081914258</v>
      </c>
      <c r="BQ163" s="266">
        <f t="shared" ca="1" si="107"/>
        <v>444.37386081914258</v>
      </c>
      <c r="BR163" s="268">
        <f t="shared" ca="1" si="108"/>
        <v>1999.6823736861415</v>
      </c>
      <c r="BS163" s="262" t="s">
        <v>99</v>
      </c>
      <c r="BT163" s="277"/>
      <c r="BW163" s="266">
        <f t="shared" si="109"/>
        <v>666.56079122871381</v>
      </c>
      <c r="BX163" s="266">
        <f t="shared" si="110"/>
        <v>444.37386081914258</v>
      </c>
      <c r="BY163" s="266">
        <f t="shared" si="111"/>
        <v>444.37386081914258</v>
      </c>
      <c r="BZ163" s="266">
        <f t="shared" si="112"/>
        <v>444.37386081914258</v>
      </c>
      <c r="CA163" s="266">
        <f ca="1">N163*IFERROR(INDEX(Algorithms!$G:$G,MATCH($C163&amp;"_Therm Saved per Unit- MLA",Algorithms!$A:$A,0)),0)*X163</f>
        <v>0</v>
      </c>
      <c r="CB163" s="266">
        <f ca="1">O163*IFERROR(INDEX(Algorithms!$G:$G,MATCH($C163&amp;"_Therm Saved per Unit- MLA",Algorithms!$A:$A,0)),0)*Y163</f>
        <v>0</v>
      </c>
      <c r="CC163" s="266">
        <f ca="1">P163*IFERROR(INDEX(Algorithms!$G:$G,MATCH($C163&amp;"_Therm Saved per Unit- MLA",Algorithms!$A:$A,0)),0)*Z163</f>
        <v>0</v>
      </c>
      <c r="CD163" s="266">
        <f ca="1">Q163*IFERROR(INDEX(Algorithms!$G:$G,MATCH($C163&amp;"_Therm Saved per Unit- MLA",Algorithms!$A:$A,0)),0)*AA163</f>
        <v>0</v>
      </c>
      <c r="CE163" s="266">
        <f ca="1">IFERROR(INDEX(Algorithms!$G:$G,MATCH($C163&amp;"_Lifetime (years)",Algorithms!$A:$A,0)),0)</f>
        <v>15</v>
      </c>
      <c r="CF163" s="266">
        <f ca="1">IFERROR(INDEX(Algorithms!$G:$G,MATCH($C163&amp;"_Lifetime (years) - Remaining Years",Algorithms!$A:$A,0)),0)</f>
        <v>0</v>
      </c>
      <c r="CG163" s="266">
        <f t="shared" ca="1" si="113"/>
        <v>9998.4118684307068</v>
      </c>
      <c r="CH163" s="266">
        <f t="shared" ca="1" si="114"/>
        <v>6665.6079122871388</v>
      </c>
      <c r="CI163" s="266">
        <f t="shared" ca="1" si="115"/>
        <v>6665.6079122871388</v>
      </c>
      <c r="CJ163" s="266">
        <f t="shared" ca="1" si="116"/>
        <v>6665.6079122871388</v>
      </c>
      <c r="CK163" s="266">
        <f t="shared" si="117"/>
        <v>666.56079122871381</v>
      </c>
      <c r="CL163" s="266">
        <f t="shared" si="118"/>
        <v>444.37386081914258</v>
      </c>
      <c r="CM163" s="266">
        <f t="shared" ca="1" si="119"/>
        <v>444.37386081914258</v>
      </c>
      <c r="CN163" s="266">
        <f t="shared" ca="1" si="120"/>
        <v>444.37386081914258</v>
      </c>
      <c r="CO163" s="266">
        <f ca="1">N163*IFERROR(INDEX(Algorithms!$G:$G,MATCH($C163&amp;"_Therm Saved per Unit- MLA",Algorithms!$A:$A,0)),0)*X163</f>
        <v>0</v>
      </c>
      <c r="CP163" s="266">
        <f ca="1">O163*IFERROR(INDEX(Algorithms!$G:$G,MATCH($C163&amp;"_Therm Saved per Unit- MLA",Algorithms!$A:$A,0)),0)*Y163</f>
        <v>0</v>
      </c>
      <c r="CQ163" s="266">
        <f ca="1">P163*IFERROR(INDEX(Algorithms!$G:$G,MATCH($C163&amp;"_Therm Saved per Unit- MLA",Algorithms!$A:$A,0)),0)*Z163</f>
        <v>0</v>
      </c>
      <c r="CR163" s="266">
        <f ca="1">Q163*IFERROR(INDEX(Algorithms!$G:$G,MATCH($C163&amp;"_Therm Saved per Unit- MLA",Algorithms!$A:$A,0)),0)*AA163</f>
        <v>0</v>
      </c>
      <c r="CS163" s="266">
        <f ca="1">IFERROR(INDEX(Algorithms!$G:$G,MATCH($C163&amp;"_Lifetime (years)",Algorithms!$A:$A,0)),0)</f>
        <v>15</v>
      </c>
      <c r="CT163" s="266">
        <f ca="1">IFERROR(INDEX(Algorithms!$G:$G,MATCH($C163&amp;"_Lifetime (years) - Remaining Years",Algorithms!$A:$A,0)),0)</f>
        <v>0</v>
      </c>
      <c r="CU163" s="266">
        <f t="shared" ca="1" si="121"/>
        <v>9998.4118684307068</v>
      </c>
      <c r="CV163" s="266">
        <f t="shared" ca="1" si="122"/>
        <v>6665.6079122871388</v>
      </c>
      <c r="CW163" s="266">
        <f t="shared" ca="1" si="123"/>
        <v>6665.6079122871388</v>
      </c>
      <c r="CX163" s="266">
        <f t="shared" ca="1" si="124"/>
        <v>6665.6079122871388</v>
      </c>
    </row>
    <row r="164" spans="2:102" s="47" customFormat="1" ht="18" customHeight="1" x14ac:dyDescent="0.25">
      <c r="B164" t="str">
        <f t="shared" si="125"/>
        <v>NSG_Business_C&amp;I_Rebates_High Speed Washer_Laundromat_SMB</v>
      </c>
      <c r="C164" s="47" t="str">
        <f t="shared" si="86"/>
        <v>High Speed Washer_Laundromat_SMB</v>
      </c>
      <c r="D164" s="270" t="s">
        <v>1787</v>
      </c>
      <c r="E164" s="270" t="s">
        <v>3</v>
      </c>
      <c r="F164" s="270" t="s">
        <v>1427</v>
      </c>
      <c r="G164" s="270" t="s">
        <v>1429</v>
      </c>
      <c r="H164" s="270" t="s">
        <v>725</v>
      </c>
      <c r="I164" s="270" t="s">
        <v>1356</v>
      </c>
      <c r="J164" s="270" t="s">
        <v>1220</v>
      </c>
      <c r="K164" s="263">
        <v>1</v>
      </c>
      <c r="L164" s="263" t="str">
        <f ca="1">IFERROR(INDEX(Algorithms!J:J,MATCH($C164&amp;"_Therm Saved per Unit",Algorithms!$A:$A,0)),"n/a")</f>
        <v>4.8.5</v>
      </c>
      <c r="M164" s="263" t="str">
        <f>IFERROR(INDEX('Measure Level Detail'!$N:$N,MATCH($B164,'Measure Level Detail'!$B:$B,0)),0)</f>
        <v>lb-capacity</v>
      </c>
      <c r="N164" s="271">
        <f>IFERROR(INDEX('Measure Level Detail'!$P:$P,MATCH($B164&amp;"_"&amp;N$3,'Measure Level Detail'!$C:$C,0)),0)</f>
        <v>212.5</v>
      </c>
      <c r="O164" s="271">
        <f>IFERROR(INDEX('Measure Level Detail'!$P:$P,MATCH($B164&amp;"_"&amp;O$3,'Measure Level Detail'!$C:$C,0)),0)</f>
        <v>200</v>
      </c>
      <c r="P164" s="271">
        <f>IFERROR(INDEX('Measure Level Detail'!$P:$P,MATCH($B164&amp;"_"&amp;P$3,'Measure Level Detail'!$C:$C,0)),0)</f>
        <v>175</v>
      </c>
      <c r="Q164" s="271">
        <f>IFERROR(INDEX('Measure Level Detail'!$P:$P,MATCH($B164&amp;"_"&amp;Q$3,'Measure Level Detail'!$C:$C,0)),0)</f>
        <v>170</v>
      </c>
      <c r="R164" s="263" t="str">
        <f ca="1">IFERROR(INDEX(Algorithms!K:K,MATCH($C164&amp;"_Therm Saved per Unit",Algorithms!$A:$A,0)),"n/a")</f>
        <v>CI-MSC-HSCW-V03-240101</v>
      </c>
      <c r="S164" s="262"/>
      <c r="T164" s="272">
        <v>2.7891864000000002</v>
      </c>
      <c r="U164" s="272">
        <v>2.7891864000000002</v>
      </c>
      <c r="V164" s="272">
        <v>2.7891864000000002</v>
      </c>
      <c r="W164" s="272">
        <v>2.7891864000000002</v>
      </c>
      <c r="X164" s="273">
        <f>IFERROR(INDEX('Measure Level Detail'!$R:$R,MATCH($B164&amp;"_"&amp;X$3,'Measure Level Detail'!$C:$C,0)),0)</f>
        <v>0.91</v>
      </c>
      <c r="Y164" s="273">
        <f>IFERROR(INDEX('Measure Level Detail'!$R:$R,MATCH($B164&amp;"_"&amp;Y$3,'Measure Level Detail'!$C:$C,0)),0)</f>
        <v>0.91</v>
      </c>
      <c r="Z164" s="273">
        <f>IFERROR(INDEX('Measure Level Detail'!$R:$R,MATCH($B164&amp;"_"&amp;Z$3,'Measure Level Detail'!$C:$C,0)),0)</f>
        <v>0.91</v>
      </c>
      <c r="AA164" s="273">
        <f>IFERROR(INDEX('Measure Level Detail'!$R:$R,MATCH($B164&amp;"_"&amp;AA$3,'Measure Level Detail'!$C:$C,0)),0)</f>
        <v>0.91</v>
      </c>
      <c r="AB164" s="266">
        <f t="shared" si="87"/>
        <v>539.35892010000009</v>
      </c>
      <c r="AC164" s="266">
        <f t="shared" si="88"/>
        <v>507.63192480000009</v>
      </c>
      <c r="AD164" s="266">
        <f t="shared" si="89"/>
        <v>444.17793420000004</v>
      </c>
      <c r="AE164" s="266">
        <f t="shared" si="90"/>
        <v>431.48713608000003</v>
      </c>
      <c r="AF164" s="266">
        <f t="shared" si="91"/>
        <v>1922.6559151800002</v>
      </c>
      <c r="AG164" s="274">
        <v>0.91</v>
      </c>
      <c r="AH164" s="274">
        <v>0.91</v>
      </c>
      <c r="AI164" s="274">
        <v>0.91</v>
      </c>
      <c r="AJ164" s="274">
        <v>0.91</v>
      </c>
      <c r="AK164" s="274">
        <f t="shared" si="92"/>
        <v>0.91</v>
      </c>
      <c r="AL164" s="274">
        <f t="shared" si="93"/>
        <v>0.91</v>
      </c>
      <c r="AM164" s="274">
        <f t="shared" si="94"/>
        <v>0.91</v>
      </c>
      <c r="AN164" s="274">
        <f t="shared" si="95"/>
        <v>0.91</v>
      </c>
      <c r="AO164" s="262"/>
      <c r="AP164" s="262"/>
      <c r="AQ164" s="267">
        <v>2.7891864000000002</v>
      </c>
      <c r="AR164" s="262"/>
      <c r="AS164" s="266">
        <f t="shared" si="96"/>
        <v>539.35892010000009</v>
      </c>
      <c r="AT164" s="264">
        <f t="shared" si="97"/>
        <v>0</v>
      </c>
      <c r="AU164" s="262"/>
      <c r="AV164" s="262"/>
      <c r="AW164" s="265">
        <v>2.7891864000000002</v>
      </c>
      <c r="AX164" s="164" t="s">
        <v>1469</v>
      </c>
      <c r="AY164" s="266">
        <v>507.63192480000009</v>
      </c>
      <c r="AZ164" s="266">
        <f t="shared" si="98"/>
        <v>507.63192480000009</v>
      </c>
      <c r="BA164" s="264">
        <f t="shared" si="99"/>
        <v>0</v>
      </c>
      <c r="BB164" s="262"/>
      <c r="BC164" s="262"/>
      <c r="BD164" s="265">
        <f ca="1">IFERROR(INDEX(Algorithms!$G:$G,MATCH($C164&amp;"_Therm Saved per Unit",Algorithms!$A:$A,0)),0)</f>
        <v>2.7891864000000002</v>
      </c>
      <c r="BE164" s="164" t="str">
        <f ca="1">IFERROR(INDEX('v12 Revisions'!$P$29:$P$186, MATCH('Measure-Level Adj Gas'!$L164, 'v12 Revisions'!$D$29:$D$186,0)),"")</f>
        <v>n/a - costs only.</v>
      </c>
      <c r="BF164" s="266">
        <f t="shared" ca="1" si="100"/>
        <v>444.17793420000004</v>
      </c>
      <c r="BG164" s="264">
        <f t="shared" ca="1" si="101"/>
        <v>0</v>
      </c>
      <c r="BH164" s="262"/>
      <c r="BI164" s="262"/>
      <c r="BJ164" s="265">
        <f ca="1">IFERROR(INDEX(Algorithms!$G:$G,MATCH($C164&amp;"_Therm Saved per Unit",Algorithms!$A:$A,0)),0)</f>
        <v>2.7891864000000002</v>
      </c>
      <c r="BK164" s="164"/>
      <c r="BL164" s="266">
        <f t="shared" ca="1" si="102"/>
        <v>431.48713608000003</v>
      </c>
      <c r="BM164" s="264">
        <f t="shared" ca="1" si="103"/>
        <v>0</v>
      </c>
      <c r="BN164" s="266">
        <f t="shared" si="104"/>
        <v>539.35892010000009</v>
      </c>
      <c r="BO164" s="266">
        <f t="shared" si="105"/>
        <v>507.63192480000009</v>
      </c>
      <c r="BP164" s="266">
        <f t="shared" ca="1" si="106"/>
        <v>444.17793420000004</v>
      </c>
      <c r="BQ164" s="266">
        <f t="shared" ca="1" si="107"/>
        <v>431.48713608000003</v>
      </c>
      <c r="BR164" s="268">
        <f t="shared" ca="1" si="108"/>
        <v>1922.6559151800002</v>
      </c>
      <c r="BS164" s="262" t="s">
        <v>99</v>
      </c>
      <c r="BT164" s="277"/>
      <c r="BW164" s="266">
        <f t="shared" si="109"/>
        <v>539.35892010000009</v>
      </c>
      <c r="BX164" s="266">
        <f t="shared" si="110"/>
        <v>507.63192480000009</v>
      </c>
      <c r="BY164" s="266">
        <f t="shared" si="111"/>
        <v>444.17793420000004</v>
      </c>
      <c r="BZ164" s="266">
        <f t="shared" si="112"/>
        <v>431.48713608000003</v>
      </c>
      <c r="CA164" s="266">
        <f ca="1">N164*IFERROR(INDEX(Algorithms!$G:$G,MATCH($C164&amp;"_Therm Saved per Unit- MLA",Algorithms!$A:$A,0)),0)*X164</f>
        <v>0</v>
      </c>
      <c r="CB164" s="266">
        <f ca="1">O164*IFERROR(INDEX(Algorithms!$G:$G,MATCH($C164&amp;"_Therm Saved per Unit- MLA",Algorithms!$A:$A,0)),0)*Y164</f>
        <v>0</v>
      </c>
      <c r="CC164" s="266">
        <f ca="1">P164*IFERROR(INDEX(Algorithms!$G:$G,MATCH($C164&amp;"_Therm Saved per Unit- MLA",Algorithms!$A:$A,0)),0)*Z164</f>
        <v>0</v>
      </c>
      <c r="CD164" s="266">
        <f ca="1">Q164*IFERROR(INDEX(Algorithms!$G:$G,MATCH($C164&amp;"_Therm Saved per Unit- MLA",Algorithms!$A:$A,0)),0)*AA164</f>
        <v>0</v>
      </c>
      <c r="CE164" s="266">
        <f ca="1">IFERROR(INDEX(Algorithms!$G:$G,MATCH($C164&amp;"_Lifetime (years)",Algorithms!$A:$A,0)),0)</f>
        <v>7</v>
      </c>
      <c r="CF164" s="266">
        <f ca="1">IFERROR(INDEX(Algorithms!$G:$G,MATCH($C164&amp;"_Lifetime (years) - Remaining Years",Algorithms!$A:$A,0)),0)</f>
        <v>0</v>
      </c>
      <c r="CG164" s="266">
        <f t="shared" ca="1" si="113"/>
        <v>3775.5124407000008</v>
      </c>
      <c r="CH164" s="266">
        <f t="shared" ca="1" si="114"/>
        <v>3553.4234736000008</v>
      </c>
      <c r="CI164" s="266">
        <f t="shared" ca="1" si="115"/>
        <v>3109.2455394000003</v>
      </c>
      <c r="CJ164" s="266">
        <f t="shared" ca="1" si="116"/>
        <v>3020.4099525600004</v>
      </c>
      <c r="CK164" s="266">
        <f t="shared" si="117"/>
        <v>539.35892010000009</v>
      </c>
      <c r="CL164" s="266">
        <f t="shared" si="118"/>
        <v>507.63192480000009</v>
      </c>
      <c r="CM164" s="266">
        <f t="shared" ca="1" si="119"/>
        <v>444.17793420000004</v>
      </c>
      <c r="CN164" s="266">
        <f t="shared" ca="1" si="120"/>
        <v>431.48713608000003</v>
      </c>
      <c r="CO164" s="266">
        <f ca="1">N164*IFERROR(INDEX(Algorithms!$G:$G,MATCH($C164&amp;"_Therm Saved per Unit- MLA",Algorithms!$A:$A,0)),0)*X164</f>
        <v>0</v>
      </c>
      <c r="CP164" s="266">
        <f ca="1">O164*IFERROR(INDEX(Algorithms!$G:$G,MATCH($C164&amp;"_Therm Saved per Unit- MLA",Algorithms!$A:$A,0)),0)*Y164</f>
        <v>0</v>
      </c>
      <c r="CQ164" s="266">
        <f ca="1">P164*IFERROR(INDEX(Algorithms!$G:$G,MATCH($C164&amp;"_Therm Saved per Unit- MLA",Algorithms!$A:$A,0)),0)*Z164</f>
        <v>0</v>
      </c>
      <c r="CR164" s="266">
        <f ca="1">Q164*IFERROR(INDEX(Algorithms!$G:$G,MATCH($C164&amp;"_Therm Saved per Unit- MLA",Algorithms!$A:$A,0)),0)*AA164</f>
        <v>0</v>
      </c>
      <c r="CS164" s="266">
        <f ca="1">IFERROR(INDEX(Algorithms!$G:$G,MATCH($C164&amp;"_Lifetime (years)",Algorithms!$A:$A,0)),0)</f>
        <v>7</v>
      </c>
      <c r="CT164" s="266">
        <f ca="1">IFERROR(INDEX(Algorithms!$G:$G,MATCH($C164&amp;"_Lifetime (years) - Remaining Years",Algorithms!$A:$A,0)),0)</f>
        <v>0</v>
      </c>
      <c r="CU164" s="266">
        <f t="shared" ca="1" si="121"/>
        <v>3775.5124407000008</v>
      </c>
      <c r="CV164" s="266">
        <f t="shared" ca="1" si="122"/>
        <v>3553.4234736000008</v>
      </c>
      <c r="CW164" s="266">
        <f t="shared" ca="1" si="123"/>
        <v>3109.2455394000003</v>
      </c>
      <c r="CX164" s="266">
        <f t="shared" ca="1" si="124"/>
        <v>3020.4099525600004</v>
      </c>
    </row>
    <row r="165" spans="2:102" s="47" customFormat="1" ht="18" customHeight="1" x14ac:dyDescent="0.25">
      <c r="B165" t="str">
        <f t="shared" si="125"/>
        <v>NSG_Residential_Home Energy Rebate_Standard Rebate_Furnace_&gt;97% AFUE_SF</v>
      </c>
      <c r="C165" s="47" t="str">
        <f t="shared" si="86"/>
        <v>Furnace_&gt;97% AFUE_SF</v>
      </c>
      <c r="D165" s="270" t="s">
        <v>1787</v>
      </c>
      <c r="E165" s="270" t="s">
        <v>2</v>
      </c>
      <c r="F165" s="270" t="s">
        <v>1417</v>
      </c>
      <c r="G165" s="270" t="s">
        <v>1418</v>
      </c>
      <c r="H165" s="270" t="s">
        <v>490</v>
      </c>
      <c r="I165" s="270" t="s">
        <v>1000</v>
      </c>
      <c r="J165" s="270" t="s">
        <v>409</v>
      </c>
      <c r="K165" s="263">
        <v>1</v>
      </c>
      <c r="L165" s="263" t="str">
        <f ca="1">IFERROR(INDEX(Algorithms!J:J,MATCH($C165&amp;"_Therm Saved per Unit",Algorithms!$A:$A,0)),"n/a")</f>
        <v>5.3.7</v>
      </c>
      <c r="M165" s="263" t="str">
        <f>IFERROR(INDEX('Measure Level Detail'!$N:$N,MATCH($B165,'Measure Level Detail'!$B:$B,0)),0)</f>
        <v>each</v>
      </c>
      <c r="N165" s="271">
        <f>IFERROR(INDEX('Measure Level Detail'!$P:$P,MATCH($B165&amp;"_"&amp;N$3,'Measure Level Detail'!$C:$C,0)),0)</f>
        <v>200</v>
      </c>
      <c r="O165" s="271">
        <f>IFERROR(INDEX('Measure Level Detail'!$P:$P,MATCH($B165&amp;"_"&amp;O$3,'Measure Level Detail'!$C:$C,0)),0)</f>
        <v>100</v>
      </c>
      <c r="P165" s="271">
        <f>IFERROR(INDEX('Measure Level Detail'!$P:$P,MATCH($B165&amp;"_"&amp;P$3,'Measure Level Detail'!$C:$C,0)),0)</f>
        <v>50</v>
      </c>
      <c r="Q165" s="271">
        <f>IFERROR(INDEX('Measure Level Detail'!$P:$P,MATCH($B165&amp;"_"&amp;Q$3,'Measure Level Detail'!$C:$C,0)),0)</f>
        <v>25</v>
      </c>
      <c r="R165" s="263" t="str">
        <f ca="1">IFERROR(INDEX(Algorithms!K:K,MATCH($C165&amp;"_Therm Saved per Unit",Algorithms!$A:$A,0)),"n/a")</f>
        <v>RS-HVC-GHEF-V13-240101</v>
      </c>
      <c r="S165" s="262"/>
      <c r="T165" s="272">
        <v>199.9100208196362</v>
      </c>
      <c r="U165" s="272">
        <v>199.9100208196362</v>
      </c>
      <c r="V165" s="272">
        <v>199.9100208196362</v>
      </c>
      <c r="W165" s="272">
        <v>199.9100208196362</v>
      </c>
      <c r="X165" s="275">
        <v>0.74</v>
      </c>
      <c r="Y165" s="275">
        <v>0.74</v>
      </c>
      <c r="Z165" s="275">
        <v>0.74</v>
      </c>
      <c r="AA165" s="275">
        <v>0.74</v>
      </c>
      <c r="AB165" s="266">
        <f t="shared" si="87"/>
        <v>29586.683081306157</v>
      </c>
      <c r="AC165" s="266">
        <f t="shared" si="88"/>
        <v>14793.341540653078</v>
      </c>
      <c r="AD165" s="266">
        <f t="shared" si="89"/>
        <v>7396.6707703265392</v>
      </c>
      <c r="AE165" s="266">
        <f t="shared" si="90"/>
        <v>3698.3353851632696</v>
      </c>
      <c r="AF165" s="266">
        <f t="shared" si="91"/>
        <v>55475.03077744905</v>
      </c>
      <c r="AG165" s="274">
        <v>0.74</v>
      </c>
      <c r="AH165" s="274">
        <v>0.74</v>
      </c>
      <c r="AI165" s="274">
        <v>0.74</v>
      </c>
      <c r="AJ165" s="274">
        <v>0.74</v>
      </c>
      <c r="AK165" s="274">
        <f t="shared" si="92"/>
        <v>0.74</v>
      </c>
      <c r="AL165" s="274">
        <f t="shared" si="93"/>
        <v>0.74</v>
      </c>
      <c r="AM165" s="274">
        <f t="shared" si="94"/>
        <v>0.74</v>
      </c>
      <c r="AN165" s="274">
        <f t="shared" si="95"/>
        <v>0.74</v>
      </c>
      <c r="AO165" s="262"/>
      <c r="AP165" s="262"/>
      <c r="AQ165" s="267">
        <v>199.9100208196362</v>
      </c>
      <c r="AR165" s="262"/>
      <c r="AS165" s="266">
        <f t="shared" si="96"/>
        <v>29586.683081306157</v>
      </c>
      <c r="AT165" s="264">
        <f t="shared" si="97"/>
        <v>0</v>
      </c>
      <c r="AU165" s="262"/>
      <c r="AV165" s="262"/>
      <c r="AW165" s="265">
        <v>199.9100208196362</v>
      </c>
      <c r="AX165" s="164" t="s">
        <v>1469</v>
      </c>
      <c r="AY165" s="266">
        <v>14793.341540653078</v>
      </c>
      <c r="AZ165" s="266">
        <f t="shared" si="98"/>
        <v>14793.341540653078</v>
      </c>
      <c r="BA165" s="264">
        <f t="shared" si="99"/>
        <v>0</v>
      </c>
      <c r="BB165" s="262"/>
      <c r="BC165" s="262"/>
      <c r="BD165" s="265">
        <f ca="1">IFERROR(INDEX(Algorithms!$G:$G,MATCH($C165&amp;"_Therm Saved per Unit",Algorithms!$A:$A,0)),0)</f>
        <v>199.9100208196362</v>
      </c>
      <c r="BE165" s="164" t="str">
        <f ca="1">IFERROR(INDEX('v12 Revisions'!$P$29:$P$186, MATCH('Measure-Level Adj Gas'!$L165, 'v12 Revisions'!$D$29:$D$186,0)),"")</f>
        <v>n/a - AFUE ≥ 95 eligibility tier, efficient AFUE value already 96.0% in plan.</v>
      </c>
      <c r="BF165" s="266">
        <f t="shared" ca="1" si="100"/>
        <v>7396.6707703265392</v>
      </c>
      <c r="BG165" s="264">
        <f t="shared" ca="1" si="101"/>
        <v>0</v>
      </c>
      <c r="BH165" s="262"/>
      <c r="BI165" s="262"/>
      <c r="BJ165" s="265">
        <f ca="1">IFERROR(INDEX(Algorithms!$G:$G,MATCH($C165&amp;"_Therm Saved per Unit",Algorithms!$A:$A,0)),0)</f>
        <v>199.9100208196362</v>
      </c>
      <c r="BK165" s="164"/>
      <c r="BL165" s="266">
        <f t="shared" ca="1" si="102"/>
        <v>3698.3353851632696</v>
      </c>
      <c r="BM165" s="264">
        <f t="shared" ca="1" si="103"/>
        <v>0</v>
      </c>
      <c r="BN165" s="266">
        <f t="shared" si="104"/>
        <v>29586.683081306157</v>
      </c>
      <c r="BO165" s="266">
        <f t="shared" si="105"/>
        <v>14793.341540653078</v>
      </c>
      <c r="BP165" s="266">
        <f t="shared" ca="1" si="106"/>
        <v>7396.6707703265392</v>
      </c>
      <c r="BQ165" s="266">
        <f t="shared" ca="1" si="107"/>
        <v>3698.3353851632696</v>
      </c>
      <c r="BR165" s="268">
        <f t="shared" ca="1" si="108"/>
        <v>55475.03077744905</v>
      </c>
      <c r="BS165" s="262" t="s">
        <v>99</v>
      </c>
      <c r="BT165" s="277"/>
      <c r="BW165" s="266">
        <f t="shared" si="109"/>
        <v>29586.683081306157</v>
      </c>
      <c r="BX165" s="266">
        <f t="shared" si="110"/>
        <v>14793.341540653078</v>
      </c>
      <c r="BY165" s="266">
        <f t="shared" si="111"/>
        <v>7396.6707703265392</v>
      </c>
      <c r="BZ165" s="266">
        <f t="shared" si="112"/>
        <v>3698.3353851632696</v>
      </c>
      <c r="CA165" s="266">
        <f ca="1">N165*IFERROR(INDEX(Algorithms!$G:$G,MATCH($C165&amp;"_Therm Saved per Unit- MLA",Algorithms!$A:$A,0)),0)*X165</f>
        <v>0</v>
      </c>
      <c r="CB165" s="266">
        <f ca="1">O165*IFERROR(INDEX(Algorithms!$G:$G,MATCH($C165&amp;"_Therm Saved per Unit- MLA",Algorithms!$A:$A,0)),0)*Y165</f>
        <v>0</v>
      </c>
      <c r="CC165" s="266">
        <f ca="1">P165*IFERROR(INDEX(Algorithms!$G:$G,MATCH($C165&amp;"_Therm Saved per Unit- MLA",Algorithms!$A:$A,0)),0)*Z165</f>
        <v>0</v>
      </c>
      <c r="CD165" s="266">
        <f ca="1">Q165*IFERROR(INDEX(Algorithms!$G:$G,MATCH($C165&amp;"_Therm Saved per Unit- MLA",Algorithms!$A:$A,0)),0)*AA165</f>
        <v>0</v>
      </c>
      <c r="CE165" s="266">
        <f ca="1">IFERROR(INDEX(Algorithms!$G:$G,MATCH($C165&amp;"_Lifetime (years)",Algorithms!$A:$A,0)),0)</f>
        <v>20</v>
      </c>
      <c r="CF165" s="266">
        <f ca="1">IFERROR(INDEX(Algorithms!$G:$G,MATCH($C165&amp;"_Lifetime (years) - Remaining Years",Algorithms!$A:$A,0)),0)</f>
        <v>0</v>
      </c>
      <c r="CG165" s="266">
        <f t="shared" ca="1" si="113"/>
        <v>591733.66162612312</v>
      </c>
      <c r="CH165" s="266">
        <f t="shared" ca="1" si="114"/>
        <v>295866.83081306156</v>
      </c>
      <c r="CI165" s="266">
        <f t="shared" ca="1" si="115"/>
        <v>147933.41540653078</v>
      </c>
      <c r="CJ165" s="266">
        <f t="shared" ca="1" si="116"/>
        <v>73966.707703265391</v>
      </c>
      <c r="CK165" s="266">
        <f t="shared" si="117"/>
        <v>29586.683081306157</v>
      </c>
      <c r="CL165" s="266">
        <f t="shared" si="118"/>
        <v>14793.341540653078</v>
      </c>
      <c r="CM165" s="266">
        <f t="shared" ca="1" si="119"/>
        <v>7396.6707703265392</v>
      </c>
      <c r="CN165" s="266">
        <f t="shared" ca="1" si="120"/>
        <v>3698.3353851632696</v>
      </c>
      <c r="CO165" s="266">
        <f ca="1">N165*IFERROR(INDEX(Algorithms!$G:$G,MATCH($C165&amp;"_Therm Saved per Unit- MLA",Algorithms!$A:$A,0)),0)*X165</f>
        <v>0</v>
      </c>
      <c r="CP165" s="266">
        <f ca="1">O165*IFERROR(INDEX(Algorithms!$G:$G,MATCH($C165&amp;"_Therm Saved per Unit- MLA",Algorithms!$A:$A,0)),0)*Y165</f>
        <v>0</v>
      </c>
      <c r="CQ165" s="266">
        <f ca="1">P165*IFERROR(INDEX(Algorithms!$G:$G,MATCH($C165&amp;"_Therm Saved per Unit- MLA",Algorithms!$A:$A,0)),0)*Z165</f>
        <v>0</v>
      </c>
      <c r="CR165" s="266">
        <f ca="1">Q165*IFERROR(INDEX(Algorithms!$G:$G,MATCH($C165&amp;"_Therm Saved per Unit- MLA",Algorithms!$A:$A,0)),0)*AA165</f>
        <v>0</v>
      </c>
      <c r="CS165" s="266">
        <f ca="1">IFERROR(INDEX(Algorithms!$G:$G,MATCH($C165&amp;"_Lifetime (years)",Algorithms!$A:$A,0)),0)</f>
        <v>20</v>
      </c>
      <c r="CT165" s="266">
        <f ca="1">IFERROR(INDEX(Algorithms!$G:$G,MATCH($C165&amp;"_Lifetime (years) - Remaining Years",Algorithms!$A:$A,0)),0)</f>
        <v>0</v>
      </c>
      <c r="CU165" s="266">
        <f t="shared" ca="1" si="121"/>
        <v>591733.66162612312</v>
      </c>
      <c r="CV165" s="266">
        <f t="shared" ca="1" si="122"/>
        <v>295866.83081306156</v>
      </c>
      <c r="CW165" s="266">
        <f t="shared" ca="1" si="123"/>
        <v>147933.41540653078</v>
      </c>
      <c r="CX165" s="266">
        <f t="shared" ca="1" si="124"/>
        <v>73966.707703265391</v>
      </c>
    </row>
    <row r="166" spans="2:102" s="47" customFormat="1" ht="18" customHeight="1" x14ac:dyDescent="0.25">
      <c r="B166" t="str">
        <f t="shared" si="125"/>
        <v>NSG_Residential_Multi-Family_Standard Rebate_Boiler_≥88% AFUE, &lt;300MBh_MF</v>
      </c>
      <c r="C166" s="47" t="str">
        <f t="shared" si="86"/>
        <v>Boiler_≥88% AFUE, &lt;300MBh_MF</v>
      </c>
      <c r="D166" s="270" t="s">
        <v>1787</v>
      </c>
      <c r="E166" s="270" t="s">
        <v>2</v>
      </c>
      <c r="F166" s="270" t="s">
        <v>1422</v>
      </c>
      <c r="G166" s="270" t="s">
        <v>1418</v>
      </c>
      <c r="H166" s="270" t="s">
        <v>944</v>
      </c>
      <c r="I166" s="270" t="s">
        <v>945</v>
      </c>
      <c r="J166" s="270" t="s">
        <v>553</v>
      </c>
      <c r="K166" s="263">
        <v>1</v>
      </c>
      <c r="L166" s="263" t="str">
        <f ca="1">IFERROR(INDEX(Algorithms!J:J,MATCH($C166&amp;"_Therm Saved per Unit",Algorithms!$A:$A,0)),"n/a")</f>
        <v>4.4.10</v>
      </c>
      <c r="M166" s="263" t="str">
        <f>IFERROR(INDEX('Measure Level Detail'!$N:$N,MATCH($B166,'Measure Level Detail'!$B:$B,0)),0)</f>
        <v>MBH</v>
      </c>
      <c r="N166" s="271">
        <f>IFERROR(INDEX('Measure Level Detail'!$P:$P,MATCH($B166&amp;"_"&amp;N$3,'Measure Level Detail'!$C:$C,0)),0)</f>
        <v>200</v>
      </c>
      <c r="O166" s="271">
        <f>IFERROR(INDEX('Measure Level Detail'!$P:$P,MATCH($B166&amp;"_"&amp;O$3,'Measure Level Detail'!$C:$C,0)),0)</f>
        <v>200</v>
      </c>
      <c r="P166" s="271">
        <f>IFERROR(INDEX('Measure Level Detail'!$P:$P,MATCH($B166&amp;"_"&amp;P$3,'Measure Level Detail'!$C:$C,0)),0)</f>
        <v>200</v>
      </c>
      <c r="Q166" s="271">
        <f>IFERROR(INDEX('Measure Level Detail'!$P:$P,MATCH($B166&amp;"_"&amp;Q$3,'Measure Level Detail'!$C:$C,0)),0)</f>
        <v>200</v>
      </c>
      <c r="R166" s="263" t="str">
        <f ca="1">IFERROR(INDEX(Algorithms!K:K,MATCH($C166&amp;"_Therm Saved per Unit",Algorithms!$A:$A,0)),"n/a")</f>
        <v>CI-HVC-BOIL-V11-240101</v>
      </c>
      <c r="S166" s="262"/>
      <c r="T166" s="272">
        <v>0.79095238095238163</v>
      </c>
      <c r="U166" s="272">
        <v>0.79095238095238163</v>
      </c>
      <c r="V166" s="272">
        <v>0.79095238095238163</v>
      </c>
      <c r="W166" s="272">
        <v>0.79095238095238163</v>
      </c>
      <c r="X166" s="273">
        <f>IFERROR(INDEX('Measure Level Detail'!$R:$R,MATCH($B166&amp;"_"&amp;X$3,'Measure Level Detail'!$C:$C,0)),0)</f>
        <v>0.87</v>
      </c>
      <c r="Y166" s="273">
        <f>IFERROR(INDEX('Measure Level Detail'!$R:$R,MATCH($B166&amp;"_"&amp;Y$3,'Measure Level Detail'!$C:$C,0)),0)</f>
        <v>0.87</v>
      </c>
      <c r="Z166" s="273">
        <f>IFERROR(INDEX('Measure Level Detail'!$R:$R,MATCH($B166&amp;"_"&amp;Z$3,'Measure Level Detail'!$C:$C,0)),0)</f>
        <v>0.87</v>
      </c>
      <c r="AA166" s="273">
        <f>IFERROR(INDEX('Measure Level Detail'!$R:$R,MATCH($B166&amp;"_"&amp;AA$3,'Measure Level Detail'!$C:$C,0)),0)</f>
        <v>0.87</v>
      </c>
      <c r="AB166" s="266">
        <f t="shared" si="87"/>
        <v>137.62571428571439</v>
      </c>
      <c r="AC166" s="266">
        <f t="shared" si="88"/>
        <v>137.62571428571439</v>
      </c>
      <c r="AD166" s="266">
        <f t="shared" si="89"/>
        <v>137.62571428571439</v>
      </c>
      <c r="AE166" s="266">
        <f t="shared" si="90"/>
        <v>137.62571428571439</v>
      </c>
      <c r="AF166" s="266">
        <f t="shared" si="91"/>
        <v>550.50285714285758</v>
      </c>
      <c r="AG166" s="274">
        <v>0.87</v>
      </c>
      <c r="AH166" s="274">
        <v>0.87</v>
      </c>
      <c r="AI166" s="274">
        <v>0.87</v>
      </c>
      <c r="AJ166" s="274">
        <v>0.87</v>
      </c>
      <c r="AK166" s="274">
        <f t="shared" si="92"/>
        <v>0.87</v>
      </c>
      <c r="AL166" s="274">
        <f t="shared" si="93"/>
        <v>0.87</v>
      </c>
      <c r="AM166" s="274">
        <f t="shared" si="94"/>
        <v>0.87</v>
      </c>
      <c r="AN166" s="274">
        <f t="shared" si="95"/>
        <v>0.87</v>
      </c>
      <c r="AO166" s="262"/>
      <c r="AP166" s="262"/>
      <c r="AQ166" s="267">
        <v>0.79095238095238163</v>
      </c>
      <c r="AR166" s="262"/>
      <c r="AS166" s="266">
        <f t="shared" si="96"/>
        <v>137.62571428571439</v>
      </c>
      <c r="AT166" s="264">
        <f t="shared" si="97"/>
        <v>0</v>
      </c>
      <c r="AU166" s="262"/>
      <c r="AV166" s="262"/>
      <c r="AW166" s="265">
        <v>0.79095238095238163</v>
      </c>
      <c r="AX166" s="164" t="s">
        <v>1469</v>
      </c>
      <c r="AY166" s="266">
        <v>137.62571428571439</v>
      </c>
      <c r="AZ166" s="266">
        <f t="shared" si="98"/>
        <v>137.62571428571439</v>
      </c>
      <c r="BA166" s="264">
        <f t="shared" si="99"/>
        <v>0</v>
      </c>
      <c r="BB166" s="262"/>
      <c r="BC166" s="262"/>
      <c r="BD166" s="265">
        <f ca="1">IFERROR(INDEX(Algorithms!$G:$G,MATCH($C166&amp;"_Therm Saved per Unit",Algorithms!$A:$A,0)),0)</f>
        <v>0.79095238095238163</v>
      </c>
      <c r="BE166" s="164" t="str">
        <f ca="1">IFERROR(INDEX('v12 Revisions'!$P$29:$P$186, MATCH('Measure-Level Adj Gas'!$L166, 'v12 Revisions'!$D$29:$D$186,0)),"")</f>
        <v>Updated baseline and efficient boiler efficiency ratings.</v>
      </c>
      <c r="BF166" s="266">
        <f t="shared" ca="1" si="100"/>
        <v>137.62571428571439</v>
      </c>
      <c r="BG166" s="264">
        <f t="shared" ca="1" si="101"/>
        <v>0</v>
      </c>
      <c r="BH166" s="262"/>
      <c r="BI166" s="262"/>
      <c r="BJ166" s="265">
        <f ca="1">IFERROR(INDEX(Algorithms!$G:$G,MATCH($C166&amp;"_Therm Saved per Unit",Algorithms!$A:$A,0)),0)</f>
        <v>0.79095238095238163</v>
      </c>
      <c r="BK166" s="164"/>
      <c r="BL166" s="266">
        <f t="shared" ca="1" si="102"/>
        <v>137.62571428571439</v>
      </c>
      <c r="BM166" s="264">
        <f t="shared" ca="1" si="103"/>
        <v>0</v>
      </c>
      <c r="BN166" s="266">
        <f t="shared" si="104"/>
        <v>137.62571428571439</v>
      </c>
      <c r="BO166" s="266">
        <f t="shared" si="105"/>
        <v>137.62571428571439</v>
      </c>
      <c r="BP166" s="266">
        <f t="shared" ca="1" si="106"/>
        <v>137.62571428571439</v>
      </c>
      <c r="BQ166" s="266">
        <f t="shared" ca="1" si="107"/>
        <v>137.62571428571439</v>
      </c>
      <c r="BR166" s="268">
        <f t="shared" ca="1" si="108"/>
        <v>550.50285714285758</v>
      </c>
      <c r="BS166" s="262" t="s">
        <v>99</v>
      </c>
      <c r="BT166" s="277"/>
      <c r="BW166" s="266">
        <f t="shared" si="109"/>
        <v>137.62571428571439</v>
      </c>
      <c r="BX166" s="266">
        <f t="shared" si="110"/>
        <v>137.62571428571439</v>
      </c>
      <c r="BY166" s="266">
        <f t="shared" si="111"/>
        <v>137.62571428571439</v>
      </c>
      <c r="BZ166" s="266">
        <f t="shared" si="112"/>
        <v>137.62571428571439</v>
      </c>
      <c r="CA166" s="266">
        <f ca="1">N166*IFERROR(INDEX(Algorithms!$G:$G,MATCH($C166&amp;"_Therm Saved per Unit- MLA",Algorithms!$A:$A,0)),0)*X166</f>
        <v>0</v>
      </c>
      <c r="CB166" s="266">
        <f ca="1">O166*IFERROR(INDEX(Algorithms!$G:$G,MATCH($C166&amp;"_Therm Saved per Unit- MLA",Algorithms!$A:$A,0)),0)*Y166</f>
        <v>0</v>
      </c>
      <c r="CC166" s="266">
        <f ca="1">P166*IFERROR(INDEX(Algorithms!$G:$G,MATCH($C166&amp;"_Therm Saved per Unit- MLA",Algorithms!$A:$A,0)),0)*Z166</f>
        <v>0</v>
      </c>
      <c r="CD166" s="266">
        <f ca="1">Q166*IFERROR(INDEX(Algorithms!$G:$G,MATCH($C166&amp;"_Therm Saved per Unit- MLA",Algorithms!$A:$A,0)),0)*AA166</f>
        <v>0</v>
      </c>
      <c r="CE166" s="266">
        <f ca="1">IFERROR(INDEX(Algorithms!$G:$G,MATCH($C166&amp;"_Lifetime (years)",Algorithms!$A:$A,0)),0)</f>
        <v>25</v>
      </c>
      <c r="CF166" s="266">
        <f ca="1">IFERROR(INDEX(Algorithms!$G:$G,MATCH($C166&amp;"_Lifetime (years) - Remaining Years",Algorithms!$A:$A,0)),0)</f>
        <v>0</v>
      </c>
      <c r="CG166" s="266">
        <f t="shared" ca="1" si="113"/>
        <v>3440.6428571428601</v>
      </c>
      <c r="CH166" s="266">
        <f t="shared" ca="1" si="114"/>
        <v>3440.6428571428601</v>
      </c>
      <c r="CI166" s="266">
        <f t="shared" ca="1" si="115"/>
        <v>3440.6428571428601</v>
      </c>
      <c r="CJ166" s="266">
        <f t="shared" ca="1" si="116"/>
        <v>3440.6428571428601</v>
      </c>
      <c r="CK166" s="266">
        <f t="shared" si="117"/>
        <v>137.62571428571439</v>
      </c>
      <c r="CL166" s="266">
        <f t="shared" si="118"/>
        <v>137.62571428571439</v>
      </c>
      <c r="CM166" s="266">
        <f t="shared" ca="1" si="119"/>
        <v>137.62571428571439</v>
      </c>
      <c r="CN166" s="266">
        <f t="shared" ca="1" si="120"/>
        <v>137.62571428571439</v>
      </c>
      <c r="CO166" s="266">
        <f ca="1">N166*IFERROR(INDEX(Algorithms!$G:$G,MATCH($C166&amp;"_Therm Saved per Unit- MLA",Algorithms!$A:$A,0)),0)*X166</f>
        <v>0</v>
      </c>
      <c r="CP166" s="266">
        <f ca="1">O166*IFERROR(INDEX(Algorithms!$G:$G,MATCH($C166&amp;"_Therm Saved per Unit- MLA",Algorithms!$A:$A,0)),0)*Y166</f>
        <v>0</v>
      </c>
      <c r="CQ166" s="266">
        <f ca="1">P166*IFERROR(INDEX(Algorithms!$G:$G,MATCH($C166&amp;"_Therm Saved per Unit- MLA",Algorithms!$A:$A,0)),0)*Z166</f>
        <v>0</v>
      </c>
      <c r="CR166" s="266">
        <f ca="1">Q166*IFERROR(INDEX(Algorithms!$G:$G,MATCH($C166&amp;"_Therm Saved per Unit- MLA",Algorithms!$A:$A,0)),0)*AA166</f>
        <v>0</v>
      </c>
      <c r="CS166" s="266">
        <f ca="1">IFERROR(INDEX(Algorithms!$G:$G,MATCH($C166&amp;"_Lifetime (years)",Algorithms!$A:$A,0)),0)</f>
        <v>25</v>
      </c>
      <c r="CT166" s="266">
        <f ca="1">IFERROR(INDEX(Algorithms!$G:$G,MATCH($C166&amp;"_Lifetime (years) - Remaining Years",Algorithms!$A:$A,0)),0)</f>
        <v>0</v>
      </c>
      <c r="CU166" s="266">
        <f t="shared" ca="1" si="121"/>
        <v>3440.6428571428601</v>
      </c>
      <c r="CV166" s="266">
        <f t="shared" ca="1" si="122"/>
        <v>3440.6428571428601</v>
      </c>
      <c r="CW166" s="266">
        <f t="shared" ca="1" si="123"/>
        <v>3440.6428571428601</v>
      </c>
      <c r="CX166" s="266">
        <f t="shared" ca="1" si="124"/>
        <v>3440.6428571428601</v>
      </c>
    </row>
    <row r="167" spans="2:102" s="47" customFormat="1" ht="18" customHeight="1" x14ac:dyDescent="0.25">
      <c r="B167" t="str">
        <f t="shared" si="125"/>
        <v>NSG_Residential_Multi-Family_Standard Rebate_Boiler Tune Up_Process_MF/CI</v>
      </c>
      <c r="C167" s="47" t="str">
        <f t="shared" si="86"/>
        <v>Boiler Tune Up_Process_MF/CI</v>
      </c>
      <c r="D167" s="270" t="s">
        <v>1787</v>
      </c>
      <c r="E167" s="270" t="s">
        <v>2</v>
      </c>
      <c r="F167" s="270" t="s">
        <v>1422</v>
      </c>
      <c r="G167" s="270" t="s">
        <v>1418</v>
      </c>
      <c r="H167" s="270" t="s">
        <v>906</v>
      </c>
      <c r="I167" s="270" t="s">
        <v>924</v>
      </c>
      <c r="J167" s="270" t="s">
        <v>587</v>
      </c>
      <c r="K167" s="263">
        <v>1</v>
      </c>
      <c r="L167" s="263" t="str">
        <f ca="1">IFERROR(INDEX(Algorithms!J:J,MATCH($C167&amp;"_Therm Saved per Unit",Algorithms!$A:$A,0)),"n/a")</f>
        <v>4.4.3</v>
      </c>
      <c r="M167" s="263" t="str">
        <f>IFERROR(INDEX('Measure Level Detail'!$N:$N,MATCH($B167,'Measure Level Detail'!$B:$B,0)),0)</f>
        <v>MBH</v>
      </c>
      <c r="N167" s="271">
        <f>IFERROR(INDEX('Measure Level Detail'!$P:$P,MATCH($B167&amp;"_"&amp;N$3,'Measure Level Detail'!$C:$C,0)),0)</f>
        <v>200</v>
      </c>
      <c r="O167" s="271">
        <f>IFERROR(INDEX('Measure Level Detail'!$P:$P,MATCH($B167&amp;"_"&amp;O$3,'Measure Level Detail'!$C:$C,0)),0)</f>
        <v>200</v>
      </c>
      <c r="P167" s="271">
        <f>IFERROR(INDEX('Measure Level Detail'!$P:$P,MATCH($B167&amp;"_"&amp;P$3,'Measure Level Detail'!$C:$C,0)),0)</f>
        <v>200</v>
      </c>
      <c r="Q167" s="271">
        <f>IFERROR(INDEX('Measure Level Detail'!$P:$P,MATCH($B167&amp;"_"&amp;Q$3,'Measure Level Detail'!$C:$C,0)),0)</f>
        <v>200</v>
      </c>
      <c r="R167" s="263" t="str">
        <f ca="1">IFERROR(INDEX(Algorithms!K:K,MATCH($C167&amp;"_Therm Saved per Unit",Algorithms!$A:$A,0)),"n/a")</f>
        <v>CI-HVC-PBTU-V07-230101</v>
      </c>
      <c r="S167" s="262"/>
      <c r="T167" s="272">
        <v>1.0227353753026578</v>
      </c>
      <c r="U167" s="272">
        <v>1.0227353753026578</v>
      </c>
      <c r="V167" s="272">
        <v>1.0227353753026578</v>
      </c>
      <c r="W167" s="272">
        <v>1.0227353753026578</v>
      </c>
      <c r="X167" s="273">
        <f>IFERROR(INDEX('Measure Level Detail'!$R:$R,MATCH($B167&amp;"_"&amp;X$3,'Measure Level Detail'!$C:$C,0)),0)</f>
        <v>0.87</v>
      </c>
      <c r="Y167" s="273">
        <f>IFERROR(INDEX('Measure Level Detail'!$R:$R,MATCH($B167&amp;"_"&amp;Y$3,'Measure Level Detail'!$C:$C,0)),0)</f>
        <v>0.87</v>
      </c>
      <c r="Z167" s="273">
        <f>IFERROR(INDEX('Measure Level Detail'!$R:$R,MATCH($B167&amp;"_"&amp;Z$3,'Measure Level Detail'!$C:$C,0)),0)</f>
        <v>0.87</v>
      </c>
      <c r="AA167" s="273">
        <f>IFERROR(INDEX('Measure Level Detail'!$R:$R,MATCH($B167&amp;"_"&amp;AA$3,'Measure Level Detail'!$C:$C,0)),0)</f>
        <v>0.87</v>
      </c>
      <c r="AB167" s="266">
        <f t="shared" si="87"/>
        <v>177.95595530266246</v>
      </c>
      <c r="AC167" s="266">
        <f t="shared" si="88"/>
        <v>177.95595530266246</v>
      </c>
      <c r="AD167" s="266">
        <f t="shared" si="89"/>
        <v>177.95595530266246</v>
      </c>
      <c r="AE167" s="266">
        <f t="shared" si="90"/>
        <v>177.95595530266246</v>
      </c>
      <c r="AF167" s="266">
        <f t="shared" si="91"/>
        <v>711.82382121064984</v>
      </c>
      <c r="AG167" s="274">
        <v>0.87</v>
      </c>
      <c r="AH167" s="274">
        <v>0.87</v>
      </c>
      <c r="AI167" s="274">
        <v>0.87</v>
      </c>
      <c r="AJ167" s="274">
        <v>0.87</v>
      </c>
      <c r="AK167" s="274">
        <f t="shared" si="92"/>
        <v>0.87</v>
      </c>
      <c r="AL167" s="274">
        <f t="shared" si="93"/>
        <v>0.87</v>
      </c>
      <c r="AM167" s="274">
        <f t="shared" si="94"/>
        <v>0.87</v>
      </c>
      <c r="AN167" s="274">
        <f t="shared" si="95"/>
        <v>0.87</v>
      </c>
      <c r="AO167" s="262"/>
      <c r="AP167" s="262"/>
      <c r="AQ167" s="267">
        <v>1.0227353753026578</v>
      </c>
      <c r="AR167" s="262"/>
      <c r="AS167" s="266">
        <f t="shared" si="96"/>
        <v>177.95595530266246</v>
      </c>
      <c r="AT167" s="264">
        <f t="shared" si="97"/>
        <v>0</v>
      </c>
      <c r="AU167" s="262"/>
      <c r="AV167" s="262"/>
      <c r="AW167" s="265">
        <v>1.0227353753026578</v>
      </c>
      <c r="AX167" s="164" t="s">
        <v>2396</v>
      </c>
      <c r="AY167" s="266">
        <v>177.95595530266246</v>
      </c>
      <c r="AZ167" s="266">
        <f t="shared" si="98"/>
        <v>177.95595530266246</v>
      </c>
      <c r="BA167" s="264">
        <f t="shared" si="99"/>
        <v>0</v>
      </c>
      <c r="BB167" s="262"/>
      <c r="BC167" s="262"/>
      <c r="BD167" s="265">
        <f ca="1">IFERROR(INDEX(Algorithms!$G:$G,MATCH($C167&amp;"_Therm Saved per Unit",Algorithms!$A:$A,0)),0)</f>
        <v>1.0227353753026578</v>
      </c>
      <c r="BE167" s="164" t="str">
        <f ca="1">IFERROR(INDEX('v12 Revisions'!$P$29:$P$186, MATCH('Measure-Level Adj Gas'!$L167, 'v12 Revisions'!$D$29:$D$186,0)),"")</f>
        <v/>
      </c>
      <c r="BF167" s="266">
        <f t="shared" ca="1" si="100"/>
        <v>177.95595530266246</v>
      </c>
      <c r="BG167" s="264">
        <f t="shared" ca="1" si="101"/>
        <v>0</v>
      </c>
      <c r="BH167" s="262"/>
      <c r="BI167" s="262"/>
      <c r="BJ167" s="265">
        <f ca="1">IFERROR(INDEX(Algorithms!$G:$G,MATCH($C167&amp;"_Therm Saved per Unit",Algorithms!$A:$A,0)),0)</f>
        <v>1.0227353753026578</v>
      </c>
      <c r="BK167" s="164"/>
      <c r="BL167" s="266">
        <f t="shared" ca="1" si="102"/>
        <v>177.95595530266246</v>
      </c>
      <c r="BM167" s="264">
        <f t="shared" ca="1" si="103"/>
        <v>0</v>
      </c>
      <c r="BN167" s="266">
        <f t="shared" si="104"/>
        <v>177.95595530266246</v>
      </c>
      <c r="BO167" s="266">
        <f t="shared" si="105"/>
        <v>177.95595530266246</v>
      </c>
      <c r="BP167" s="266">
        <f t="shared" ca="1" si="106"/>
        <v>177.95595530266246</v>
      </c>
      <c r="BQ167" s="266">
        <f t="shared" ca="1" si="107"/>
        <v>177.95595530266246</v>
      </c>
      <c r="BR167" s="268">
        <f t="shared" ca="1" si="108"/>
        <v>711.82382121064984</v>
      </c>
      <c r="BS167" s="262" t="s">
        <v>99</v>
      </c>
      <c r="BT167" s="277"/>
      <c r="BW167" s="266">
        <f t="shared" si="109"/>
        <v>177.95595530266246</v>
      </c>
      <c r="BX167" s="266">
        <f t="shared" si="110"/>
        <v>177.95595530266246</v>
      </c>
      <c r="BY167" s="266">
        <f t="shared" si="111"/>
        <v>177.95595530266246</v>
      </c>
      <c r="BZ167" s="266">
        <f t="shared" si="112"/>
        <v>177.95595530266246</v>
      </c>
      <c r="CA167" s="266">
        <f ca="1">N167*IFERROR(INDEX(Algorithms!$G:$G,MATCH($C167&amp;"_Therm Saved per Unit- MLA",Algorithms!$A:$A,0)),0)*X167</f>
        <v>0</v>
      </c>
      <c r="CB167" s="266">
        <f ca="1">O167*IFERROR(INDEX(Algorithms!$G:$G,MATCH($C167&amp;"_Therm Saved per Unit- MLA",Algorithms!$A:$A,0)),0)*Y167</f>
        <v>0</v>
      </c>
      <c r="CC167" s="266">
        <f ca="1">P167*IFERROR(INDEX(Algorithms!$G:$G,MATCH($C167&amp;"_Therm Saved per Unit- MLA",Algorithms!$A:$A,0)),0)*Z167</f>
        <v>0</v>
      </c>
      <c r="CD167" s="266">
        <f ca="1">Q167*IFERROR(INDEX(Algorithms!$G:$G,MATCH($C167&amp;"_Therm Saved per Unit- MLA",Algorithms!$A:$A,0)),0)*AA167</f>
        <v>0</v>
      </c>
      <c r="CE167" s="266">
        <f ca="1">IFERROR(INDEX(Algorithms!$G:$G,MATCH($C167&amp;"_Lifetime (years)",Algorithms!$A:$A,0)),0)</f>
        <v>2</v>
      </c>
      <c r="CF167" s="266">
        <f ca="1">IFERROR(INDEX(Algorithms!$G:$G,MATCH($C167&amp;"_Lifetime (years) - Remaining Years",Algorithms!$A:$A,0)),0)</f>
        <v>0</v>
      </c>
      <c r="CG167" s="266">
        <f t="shared" ca="1" si="113"/>
        <v>355.91191060532492</v>
      </c>
      <c r="CH167" s="266">
        <f t="shared" ca="1" si="114"/>
        <v>355.91191060532492</v>
      </c>
      <c r="CI167" s="266">
        <f t="shared" ca="1" si="115"/>
        <v>355.91191060532492</v>
      </c>
      <c r="CJ167" s="266">
        <f t="shared" ca="1" si="116"/>
        <v>355.91191060532492</v>
      </c>
      <c r="CK167" s="266">
        <f t="shared" si="117"/>
        <v>177.95595530266246</v>
      </c>
      <c r="CL167" s="266">
        <f t="shared" si="118"/>
        <v>177.95595530266246</v>
      </c>
      <c r="CM167" s="266">
        <f t="shared" ca="1" si="119"/>
        <v>177.95595530266246</v>
      </c>
      <c r="CN167" s="266">
        <f t="shared" ca="1" si="120"/>
        <v>177.95595530266246</v>
      </c>
      <c r="CO167" s="266">
        <f ca="1">N167*IFERROR(INDEX(Algorithms!$G:$G,MATCH($C167&amp;"_Therm Saved per Unit- MLA",Algorithms!$A:$A,0)),0)*X167</f>
        <v>0</v>
      </c>
      <c r="CP167" s="266">
        <f ca="1">O167*IFERROR(INDEX(Algorithms!$G:$G,MATCH($C167&amp;"_Therm Saved per Unit- MLA",Algorithms!$A:$A,0)),0)*Y167</f>
        <v>0</v>
      </c>
      <c r="CQ167" s="266">
        <f ca="1">P167*IFERROR(INDEX(Algorithms!$G:$G,MATCH($C167&amp;"_Therm Saved per Unit- MLA",Algorithms!$A:$A,0)),0)*Z167</f>
        <v>0</v>
      </c>
      <c r="CR167" s="266">
        <f ca="1">Q167*IFERROR(INDEX(Algorithms!$G:$G,MATCH($C167&amp;"_Therm Saved per Unit- MLA",Algorithms!$A:$A,0)),0)*AA167</f>
        <v>0</v>
      </c>
      <c r="CS167" s="266">
        <f ca="1">IFERROR(INDEX(Algorithms!$G:$G,MATCH($C167&amp;"_Lifetime (years)",Algorithms!$A:$A,0)),0)</f>
        <v>2</v>
      </c>
      <c r="CT167" s="266">
        <f ca="1">IFERROR(INDEX(Algorithms!$G:$G,MATCH($C167&amp;"_Lifetime (years) - Remaining Years",Algorithms!$A:$A,0)),0)</f>
        <v>0</v>
      </c>
      <c r="CU167" s="266">
        <f t="shared" ca="1" si="121"/>
        <v>355.91191060532492</v>
      </c>
      <c r="CV167" s="266">
        <f t="shared" ca="1" si="122"/>
        <v>355.91191060532492</v>
      </c>
      <c r="CW167" s="266">
        <f t="shared" ca="1" si="123"/>
        <v>355.91191060532492</v>
      </c>
      <c r="CX167" s="266">
        <f t="shared" ca="1" si="124"/>
        <v>355.91191060532492</v>
      </c>
    </row>
    <row r="168" spans="2:102" s="47" customFormat="1" ht="18" customHeight="1" x14ac:dyDescent="0.25">
      <c r="B168" t="str">
        <f t="shared" si="125"/>
        <v>NSG_Residential_Multi-Family_Standard Rebate_Boiler Tune Up_Space Heating_MF</v>
      </c>
      <c r="C168" s="47" t="str">
        <f t="shared" si="86"/>
        <v>Boiler Tune Up_Space Heating_MF</v>
      </c>
      <c r="D168" s="270" t="s">
        <v>1787</v>
      </c>
      <c r="E168" s="270" t="s">
        <v>2</v>
      </c>
      <c r="F168" s="270" t="s">
        <v>1422</v>
      </c>
      <c r="G168" s="270" t="s">
        <v>1418</v>
      </c>
      <c r="H168" s="270" t="s">
        <v>906</v>
      </c>
      <c r="I168" s="270" t="s">
        <v>907</v>
      </c>
      <c r="J168" s="270" t="s">
        <v>553</v>
      </c>
      <c r="K168" s="263">
        <v>1</v>
      </c>
      <c r="L168" s="263" t="str">
        <f ca="1">IFERROR(INDEX(Algorithms!J:J,MATCH($C168&amp;"_Therm Saved per Unit",Algorithms!$A:$A,0)),"n/a")</f>
        <v>4.4.2</v>
      </c>
      <c r="M168" s="263" t="str">
        <f>IFERROR(INDEX('Measure Level Detail'!$N:$N,MATCH($B168,'Measure Level Detail'!$B:$B,0)),0)</f>
        <v>MBH</v>
      </c>
      <c r="N168" s="271">
        <f>IFERROR(INDEX('Measure Level Detail'!$P:$P,MATCH($B168&amp;"_"&amp;N$3,'Measure Level Detail'!$C:$C,0)),0)</f>
        <v>200</v>
      </c>
      <c r="O168" s="271">
        <f>IFERROR(INDEX('Measure Level Detail'!$P:$P,MATCH($B168&amp;"_"&amp;O$3,'Measure Level Detail'!$C:$C,0)),0)</f>
        <v>200</v>
      </c>
      <c r="P168" s="271">
        <f>IFERROR(INDEX('Measure Level Detail'!$P:$P,MATCH($B168&amp;"_"&amp;P$3,'Measure Level Detail'!$C:$C,0)),0)</f>
        <v>200</v>
      </c>
      <c r="Q168" s="271">
        <f>IFERROR(INDEX('Measure Level Detail'!$P:$P,MATCH($B168&amp;"_"&amp;Q$3,'Measure Level Detail'!$C:$C,0)),0)</f>
        <v>200</v>
      </c>
      <c r="R168" s="263" t="str">
        <f ca="1">IFERROR(INDEX(Algorithms!K:K,MATCH($C168&amp;"_Therm Saved per Unit",Algorithms!$A:$A,0)),"n/a")</f>
        <v>CI-HVC-BLRT-V07-210101</v>
      </c>
      <c r="S168" s="262"/>
      <c r="T168" s="272">
        <v>0.46874846625766969</v>
      </c>
      <c r="U168" s="272">
        <v>0.46874846625766969</v>
      </c>
      <c r="V168" s="272">
        <v>0.46874846625766969</v>
      </c>
      <c r="W168" s="272">
        <v>0.46874846625766969</v>
      </c>
      <c r="X168" s="273">
        <f>IFERROR(INDEX('Measure Level Detail'!$R:$R,MATCH($B168&amp;"_"&amp;X$3,'Measure Level Detail'!$C:$C,0)),0)</f>
        <v>0.87</v>
      </c>
      <c r="Y168" s="273">
        <f>IFERROR(INDEX('Measure Level Detail'!$R:$R,MATCH($B168&amp;"_"&amp;Y$3,'Measure Level Detail'!$C:$C,0)),0)</f>
        <v>0.87</v>
      </c>
      <c r="Z168" s="273">
        <f>IFERROR(INDEX('Measure Level Detail'!$R:$R,MATCH($B168&amp;"_"&amp;Z$3,'Measure Level Detail'!$C:$C,0)),0)</f>
        <v>0.87</v>
      </c>
      <c r="AA168" s="273">
        <f>IFERROR(INDEX('Measure Level Detail'!$R:$R,MATCH($B168&amp;"_"&amp;AA$3,'Measure Level Detail'!$C:$C,0)),0)</f>
        <v>0.87</v>
      </c>
      <c r="AB168" s="266">
        <f t="shared" si="87"/>
        <v>81.562233128834535</v>
      </c>
      <c r="AC168" s="266">
        <f t="shared" si="88"/>
        <v>81.562233128834535</v>
      </c>
      <c r="AD168" s="266">
        <f t="shared" si="89"/>
        <v>81.562233128834535</v>
      </c>
      <c r="AE168" s="266">
        <f t="shared" si="90"/>
        <v>81.562233128834535</v>
      </c>
      <c r="AF168" s="266">
        <f t="shared" si="91"/>
        <v>326.24893251533814</v>
      </c>
      <c r="AG168" s="274">
        <v>0.87</v>
      </c>
      <c r="AH168" s="274">
        <v>0.87</v>
      </c>
      <c r="AI168" s="274">
        <v>0.87</v>
      </c>
      <c r="AJ168" s="274">
        <v>0.87</v>
      </c>
      <c r="AK168" s="274">
        <f t="shared" si="92"/>
        <v>0.87</v>
      </c>
      <c r="AL168" s="274">
        <f t="shared" si="93"/>
        <v>0.87</v>
      </c>
      <c r="AM168" s="274">
        <f t="shared" si="94"/>
        <v>0.87</v>
      </c>
      <c r="AN168" s="274">
        <f t="shared" si="95"/>
        <v>0.87</v>
      </c>
      <c r="AO168" s="262"/>
      <c r="AP168" s="262"/>
      <c r="AQ168" s="267">
        <v>0.46874846625766969</v>
      </c>
      <c r="AR168" s="262"/>
      <c r="AS168" s="266">
        <f t="shared" si="96"/>
        <v>81.562233128834535</v>
      </c>
      <c r="AT168" s="264">
        <f t="shared" si="97"/>
        <v>0</v>
      </c>
      <c r="AU168" s="262"/>
      <c r="AV168" s="262"/>
      <c r="AW168" s="265">
        <v>0.46874846625766969</v>
      </c>
      <c r="AX168" s="164" t="s">
        <v>1469</v>
      </c>
      <c r="AY168" s="266">
        <v>81.562233128834535</v>
      </c>
      <c r="AZ168" s="266">
        <f t="shared" si="98"/>
        <v>81.562233128834535</v>
      </c>
      <c r="BA168" s="264">
        <f t="shared" si="99"/>
        <v>0</v>
      </c>
      <c r="BB168" s="262"/>
      <c r="BC168" s="262"/>
      <c r="BD168" s="265">
        <f ca="1">IFERROR(INDEX(Algorithms!$G:$G,MATCH($C168&amp;"_Therm Saved per Unit",Algorithms!$A:$A,0)),0)</f>
        <v>0.46874846625766969</v>
      </c>
      <c r="BE168" s="164" t="str">
        <f ca="1">IFERROR(INDEX('v12 Revisions'!$P$29:$P$186, MATCH('Measure-Level Adj Gas'!$L168, 'v12 Revisions'!$D$29:$D$186,0)),"")</f>
        <v/>
      </c>
      <c r="BF168" s="266">
        <f t="shared" ca="1" si="100"/>
        <v>81.562233128834535</v>
      </c>
      <c r="BG168" s="264">
        <f t="shared" ca="1" si="101"/>
        <v>0</v>
      </c>
      <c r="BH168" s="262"/>
      <c r="BI168" s="262"/>
      <c r="BJ168" s="265">
        <f ca="1">IFERROR(INDEX(Algorithms!$G:$G,MATCH($C168&amp;"_Therm Saved per Unit",Algorithms!$A:$A,0)),0)</f>
        <v>0.46874846625766969</v>
      </c>
      <c r="BK168" s="164"/>
      <c r="BL168" s="266">
        <f t="shared" ca="1" si="102"/>
        <v>81.562233128834535</v>
      </c>
      <c r="BM168" s="264">
        <f t="shared" ca="1" si="103"/>
        <v>0</v>
      </c>
      <c r="BN168" s="266">
        <f t="shared" si="104"/>
        <v>81.562233128834535</v>
      </c>
      <c r="BO168" s="266">
        <f t="shared" si="105"/>
        <v>81.562233128834535</v>
      </c>
      <c r="BP168" s="266">
        <f t="shared" ca="1" si="106"/>
        <v>81.562233128834535</v>
      </c>
      <c r="BQ168" s="266">
        <f t="shared" ca="1" si="107"/>
        <v>81.562233128834535</v>
      </c>
      <c r="BR168" s="268">
        <f t="shared" ca="1" si="108"/>
        <v>326.24893251533814</v>
      </c>
      <c r="BS168" s="262" t="s">
        <v>99</v>
      </c>
      <c r="BT168" s="277"/>
      <c r="BW168" s="266">
        <f t="shared" si="109"/>
        <v>81.562233128834535</v>
      </c>
      <c r="BX168" s="266">
        <f t="shared" si="110"/>
        <v>81.562233128834535</v>
      </c>
      <c r="BY168" s="266">
        <f t="shared" si="111"/>
        <v>81.562233128834535</v>
      </c>
      <c r="BZ168" s="266">
        <f t="shared" si="112"/>
        <v>81.562233128834535</v>
      </c>
      <c r="CA168" s="266">
        <f ca="1">N168*IFERROR(INDEX(Algorithms!$G:$G,MATCH($C168&amp;"_Therm Saved per Unit- MLA",Algorithms!$A:$A,0)),0)*X168</f>
        <v>0</v>
      </c>
      <c r="CB168" s="266">
        <f ca="1">O168*IFERROR(INDEX(Algorithms!$G:$G,MATCH($C168&amp;"_Therm Saved per Unit- MLA",Algorithms!$A:$A,0)),0)*Y168</f>
        <v>0</v>
      </c>
      <c r="CC168" s="266">
        <f ca="1">P168*IFERROR(INDEX(Algorithms!$G:$G,MATCH($C168&amp;"_Therm Saved per Unit- MLA",Algorithms!$A:$A,0)),0)*Z168</f>
        <v>0</v>
      </c>
      <c r="CD168" s="266">
        <f ca="1">Q168*IFERROR(INDEX(Algorithms!$G:$G,MATCH($C168&amp;"_Therm Saved per Unit- MLA",Algorithms!$A:$A,0)),0)*AA168</f>
        <v>0</v>
      </c>
      <c r="CE168" s="266">
        <f ca="1">IFERROR(INDEX(Algorithms!$G:$G,MATCH($C168&amp;"_Lifetime (years)",Algorithms!$A:$A,0)),0)</f>
        <v>3</v>
      </c>
      <c r="CF168" s="266">
        <f ca="1">IFERROR(INDEX(Algorithms!$G:$G,MATCH($C168&amp;"_Lifetime (years) - Remaining Years",Algorithms!$A:$A,0)),0)</f>
        <v>0</v>
      </c>
      <c r="CG168" s="266">
        <f t="shared" ca="1" si="113"/>
        <v>244.68669938650362</v>
      </c>
      <c r="CH168" s="266">
        <f t="shared" ca="1" si="114"/>
        <v>244.68669938650362</v>
      </c>
      <c r="CI168" s="266">
        <f t="shared" ca="1" si="115"/>
        <v>244.68669938650362</v>
      </c>
      <c r="CJ168" s="266">
        <f t="shared" ca="1" si="116"/>
        <v>244.68669938650362</v>
      </c>
      <c r="CK168" s="266">
        <f t="shared" si="117"/>
        <v>81.562233128834535</v>
      </c>
      <c r="CL168" s="266">
        <f t="shared" si="118"/>
        <v>81.562233128834535</v>
      </c>
      <c r="CM168" s="266">
        <f t="shared" ca="1" si="119"/>
        <v>81.562233128834535</v>
      </c>
      <c r="CN168" s="266">
        <f t="shared" ca="1" si="120"/>
        <v>81.562233128834535</v>
      </c>
      <c r="CO168" s="266">
        <f ca="1">N168*IFERROR(INDEX(Algorithms!$G:$G,MATCH($C168&amp;"_Therm Saved per Unit- MLA",Algorithms!$A:$A,0)),0)*X168</f>
        <v>0</v>
      </c>
      <c r="CP168" s="266">
        <f ca="1">O168*IFERROR(INDEX(Algorithms!$G:$G,MATCH($C168&amp;"_Therm Saved per Unit- MLA",Algorithms!$A:$A,0)),0)*Y168</f>
        <v>0</v>
      </c>
      <c r="CQ168" s="266">
        <f ca="1">P168*IFERROR(INDEX(Algorithms!$G:$G,MATCH($C168&amp;"_Therm Saved per Unit- MLA",Algorithms!$A:$A,0)),0)*Z168</f>
        <v>0</v>
      </c>
      <c r="CR168" s="266">
        <f ca="1">Q168*IFERROR(INDEX(Algorithms!$G:$G,MATCH($C168&amp;"_Therm Saved per Unit- MLA",Algorithms!$A:$A,0)),0)*AA168</f>
        <v>0</v>
      </c>
      <c r="CS168" s="266">
        <f ca="1">IFERROR(INDEX(Algorithms!$G:$G,MATCH($C168&amp;"_Lifetime (years)",Algorithms!$A:$A,0)),0)</f>
        <v>3</v>
      </c>
      <c r="CT168" s="266">
        <f ca="1">IFERROR(INDEX(Algorithms!$G:$G,MATCH($C168&amp;"_Lifetime (years) - Remaining Years",Algorithms!$A:$A,0)),0)</f>
        <v>0</v>
      </c>
      <c r="CU168" s="266">
        <f t="shared" ca="1" si="121"/>
        <v>244.68669938650362</v>
      </c>
      <c r="CV168" s="266">
        <f t="shared" ca="1" si="122"/>
        <v>244.68669938650362</v>
      </c>
      <c r="CW168" s="266">
        <f t="shared" ca="1" si="123"/>
        <v>244.68669938650362</v>
      </c>
      <c r="CX168" s="266">
        <f t="shared" ca="1" si="124"/>
        <v>244.68669938650362</v>
      </c>
    </row>
    <row r="169" spans="2:102" s="47" customFormat="1" ht="18" customHeight="1" x14ac:dyDescent="0.25">
      <c r="B169" t="str">
        <f t="shared" si="125"/>
        <v>NSG_Business_Small/Mid-Size Business_Rebates_Boiler Reset Controls_0_CI</v>
      </c>
      <c r="C169" s="47" t="str">
        <f t="shared" si="86"/>
        <v>Boiler Reset Controls_0_CI</v>
      </c>
      <c r="D169" s="270" t="s">
        <v>1787</v>
      </c>
      <c r="E169" s="270" t="s">
        <v>3</v>
      </c>
      <c r="F169" s="270" t="s">
        <v>1432</v>
      </c>
      <c r="G169" s="270" t="s">
        <v>1429</v>
      </c>
      <c r="H169" s="270" t="s">
        <v>978</v>
      </c>
      <c r="I169" s="270">
        <v>0</v>
      </c>
      <c r="J169" s="270" t="s">
        <v>1159</v>
      </c>
      <c r="K169" s="263">
        <v>1</v>
      </c>
      <c r="L169" s="263" t="str">
        <f ca="1">IFERROR(INDEX(Algorithms!J:J,MATCH($C169&amp;"_Therm Saved per Unit",Algorithms!$A:$A,0)),"n/a")</f>
        <v>4.4.4</v>
      </c>
      <c r="M169" s="263" t="str">
        <f>IFERROR(INDEX('Measure Level Detail'!$N:$N,MATCH($B169,'Measure Level Detail'!$B:$B,0)),0)</f>
        <v>MBH</v>
      </c>
      <c r="N169" s="271">
        <f>IFERROR(INDEX('Measure Level Detail'!$P:$P,MATCH($B169&amp;"_"&amp;N$3,'Measure Level Detail'!$C:$C,0)),0)</f>
        <v>200</v>
      </c>
      <c r="O169" s="271">
        <f>IFERROR(INDEX('Measure Level Detail'!$P:$P,MATCH($B169&amp;"_"&amp;O$3,'Measure Level Detail'!$C:$C,0)),0)</f>
        <v>200</v>
      </c>
      <c r="P169" s="271">
        <f>IFERROR(INDEX('Measure Level Detail'!$P:$P,MATCH($B169&amp;"_"&amp;P$3,'Measure Level Detail'!$C:$C,0)),0)</f>
        <v>200</v>
      </c>
      <c r="Q169" s="271">
        <f>IFERROR(INDEX('Measure Level Detail'!$P:$P,MATCH($B169&amp;"_"&amp;Q$3,'Measure Level Detail'!$C:$C,0)),0)</f>
        <v>200</v>
      </c>
      <c r="R169" s="263" t="str">
        <f ca="1">IFERROR(INDEX(Algorithms!K:K,MATCH($C169&amp;"_Therm Saved per Unit",Algorithms!$A:$A,0)),"n/a")</f>
        <v>CI-HVC-BLRC-V05-240101</v>
      </c>
      <c r="S169" s="262"/>
      <c r="T169" s="272">
        <v>1.3424</v>
      </c>
      <c r="U169" s="272">
        <v>1.3424</v>
      </c>
      <c r="V169" s="272">
        <v>1.3424</v>
      </c>
      <c r="W169" s="272">
        <v>1.3424</v>
      </c>
      <c r="X169" s="276">
        <v>0.93</v>
      </c>
      <c r="Y169" s="276">
        <v>0.93</v>
      </c>
      <c r="Z169" s="276">
        <v>0.93</v>
      </c>
      <c r="AA169" s="276">
        <v>0.93</v>
      </c>
      <c r="AB169" s="266">
        <f t="shared" si="87"/>
        <v>249.68640000000002</v>
      </c>
      <c r="AC169" s="266">
        <f t="shared" si="88"/>
        <v>249.68640000000002</v>
      </c>
      <c r="AD169" s="266">
        <f t="shared" si="89"/>
        <v>249.68640000000002</v>
      </c>
      <c r="AE169" s="266">
        <f t="shared" si="90"/>
        <v>249.68640000000002</v>
      </c>
      <c r="AF169" s="266">
        <f t="shared" si="91"/>
        <v>998.74560000000008</v>
      </c>
      <c r="AG169" s="274">
        <v>0.93</v>
      </c>
      <c r="AH169" s="274">
        <v>0.93</v>
      </c>
      <c r="AI169" s="274">
        <v>0.93</v>
      </c>
      <c r="AJ169" s="274">
        <v>0.93</v>
      </c>
      <c r="AK169" s="274">
        <f t="shared" si="92"/>
        <v>0.93</v>
      </c>
      <c r="AL169" s="274">
        <f t="shared" si="93"/>
        <v>0.93</v>
      </c>
      <c r="AM169" s="274">
        <f t="shared" si="94"/>
        <v>0.93</v>
      </c>
      <c r="AN169" s="274">
        <f t="shared" si="95"/>
        <v>0.93</v>
      </c>
      <c r="AO169" s="262"/>
      <c r="AP169" s="262"/>
      <c r="AQ169" s="267">
        <v>1.3424</v>
      </c>
      <c r="AR169" s="262"/>
      <c r="AS169" s="266">
        <f t="shared" si="96"/>
        <v>249.68640000000002</v>
      </c>
      <c r="AT169" s="264">
        <f t="shared" si="97"/>
        <v>0</v>
      </c>
      <c r="AU169" s="262"/>
      <c r="AV169" s="262"/>
      <c r="AW169" s="265">
        <v>1.3424</v>
      </c>
      <c r="AX169" s="164" t="s">
        <v>1469</v>
      </c>
      <c r="AY169" s="266">
        <v>249.68640000000002</v>
      </c>
      <c r="AZ169" s="266">
        <f t="shared" si="98"/>
        <v>249.68640000000002</v>
      </c>
      <c r="BA169" s="264">
        <f t="shared" si="99"/>
        <v>0</v>
      </c>
      <c r="BB169" s="262"/>
      <c r="BC169" s="262"/>
      <c r="BD169" s="265">
        <f ca="1">IFERROR(INDEX(Algorithms!$G:$G,MATCH($C169&amp;"_Therm Saved per Unit",Algorithms!$A:$A,0)),0)</f>
        <v>1.3424</v>
      </c>
      <c r="BE169" s="164" t="str">
        <f ca="1">IFERROR(INDEX('v12 Revisions'!$P$29:$P$186, MATCH('Measure-Level Adj Gas'!$L169, 'v12 Revisions'!$D$29:$D$186,0)),"")</f>
        <v/>
      </c>
      <c r="BF169" s="266">
        <f t="shared" ca="1" si="100"/>
        <v>249.68640000000002</v>
      </c>
      <c r="BG169" s="264">
        <f t="shared" ca="1" si="101"/>
        <v>0</v>
      </c>
      <c r="BH169" s="262"/>
      <c r="BI169" s="262"/>
      <c r="BJ169" s="265">
        <f ca="1">IFERROR(INDEX(Algorithms!$G:$G,MATCH($C169&amp;"_Therm Saved per Unit",Algorithms!$A:$A,0)),0)</f>
        <v>1.3424</v>
      </c>
      <c r="BK169" s="164"/>
      <c r="BL169" s="266">
        <f t="shared" ca="1" si="102"/>
        <v>249.68640000000002</v>
      </c>
      <c r="BM169" s="264">
        <f t="shared" ca="1" si="103"/>
        <v>0</v>
      </c>
      <c r="BN169" s="266">
        <f t="shared" si="104"/>
        <v>249.68640000000002</v>
      </c>
      <c r="BO169" s="266">
        <f t="shared" si="105"/>
        <v>249.68640000000002</v>
      </c>
      <c r="BP169" s="266">
        <f t="shared" ca="1" si="106"/>
        <v>249.68640000000002</v>
      </c>
      <c r="BQ169" s="266">
        <f t="shared" ca="1" si="107"/>
        <v>249.68640000000002</v>
      </c>
      <c r="BR169" s="268">
        <f t="shared" ca="1" si="108"/>
        <v>998.74560000000008</v>
      </c>
      <c r="BS169" s="262" t="s">
        <v>99</v>
      </c>
      <c r="BT169" s="277"/>
      <c r="BW169" s="266">
        <f t="shared" si="109"/>
        <v>249.68640000000002</v>
      </c>
      <c r="BX169" s="266">
        <f t="shared" si="110"/>
        <v>249.68640000000002</v>
      </c>
      <c r="BY169" s="266">
        <f t="shared" si="111"/>
        <v>249.68640000000002</v>
      </c>
      <c r="BZ169" s="266">
        <f t="shared" si="112"/>
        <v>249.68640000000002</v>
      </c>
      <c r="CA169" s="266">
        <f ca="1">N169*IFERROR(INDEX(Algorithms!$G:$G,MATCH($C169&amp;"_Therm Saved per Unit- MLA",Algorithms!$A:$A,0)),0)*X169</f>
        <v>0</v>
      </c>
      <c r="CB169" s="266">
        <f ca="1">O169*IFERROR(INDEX(Algorithms!$G:$G,MATCH($C169&amp;"_Therm Saved per Unit- MLA",Algorithms!$A:$A,0)),0)*Y169</f>
        <v>0</v>
      </c>
      <c r="CC169" s="266">
        <f ca="1">P169*IFERROR(INDEX(Algorithms!$G:$G,MATCH($C169&amp;"_Therm Saved per Unit- MLA",Algorithms!$A:$A,0)),0)*Z169</f>
        <v>0</v>
      </c>
      <c r="CD169" s="266">
        <f ca="1">Q169*IFERROR(INDEX(Algorithms!$G:$G,MATCH($C169&amp;"_Therm Saved per Unit- MLA",Algorithms!$A:$A,0)),0)*AA169</f>
        <v>0</v>
      </c>
      <c r="CE169" s="266">
        <f ca="1">IFERROR(INDEX(Algorithms!$G:$G,MATCH($C169&amp;"_Lifetime (years)",Algorithms!$A:$A,0)),0)</f>
        <v>16</v>
      </c>
      <c r="CF169" s="266">
        <f ca="1">IFERROR(INDEX(Algorithms!$G:$G,MATCH($C169&amp;"_Lifetime (years) - Remaining Years",Algorithms!$A:$A,0)),0)</f>
        <v>0</v>
      </c>
      <c r="CG169" s="266">
        <f t="shared" ca="1" si="113"/>
        <v>3994.9824000000003</v>
      </c>
      <c r="CH169" s="266">
        <f t="shared" ca="1" si="114"/>
        <v>3994.9824000000003</v>
      </c>
      <c r="CI169" s="266">
        <f t="shared" ca="1" si="115"/>
        <v>3994.9824000000003</v>
      </c>
      <c r="CJ169" s="266">
        <f t="shared" ca="1" si="116"/>
        <v>3994.9824000000003</v>
      </c>
      <c r="CK169" s="266">
        <f t="shared" si="117"/>
        <v>249.68640000000002</v>
      </c>
      <c r="CL169" s="266">
        <f t="shared" si="118"/>
        <v>249.68640000000002</v>
      </c>
      <c r="CM169" s="266">
        <f t="shared" ca="1" si="119"/>
        <v>249.68640000000002</v>
      </c>
      <c r="CN169" s="266">
        <f t="shared" ca="1" si="120"/>
        <v>249.68640000000002</v>
      </c>
      <c r="CO169" s="266">
        <f ca="1">N169*IFERROR(INDEX(Algorithms!$G:$G,MATCH($C169&amp;"_Therm Saved per Unit- MLA",Algorithms!$A:$A,0)),0)*X169</f>
        <v>0</v>
      </c>
      <c r="CP169" s="266">
        <f ca="1">O169*IFERROR(INDEX(Algorithms!$G:$G,MATCH($C169&amp;"_Therm Saved per Unit- MLA",Algorithms!$A:$A,0)),0)*Y169</f>
        <v>0</v>
      </c>
      <c r="CQ169" s="266">
        <f ca="1">P169*IFERROR(INDEX(Algorithms!$G:$G,MATCH($C169&amp;"_Therm Saved per Unit- MLA",Algorithms!$A:$A,0)),0)*Z169</f>
        <v>0</v>
      </c>
      <c r="CR169" s="266">
        <f ca="1">Q169*IFERROR(INDEX(Algorithms!$G:$G,MATCH($C169&amp;"_Therm Saved per Unit- MLA",Algorithms!$A:$A,0)),0)*AA169</f>
        <v>0</v>
      </c>
      <c r="CS169" s="266">
        <f ca="1">IFERROR(INDEX(Algorithms!$G:$G,MATCH($C169&amp;"_Lifetime (years)",Algorithms!$A:$A,0)),0)</f>
        <v>16</v>
      </c>
      <c r="CT169" s="266">
        <f ca="1">IFERROR(INDEX(Algorithms!$G:$G,MATCH($C169&amp;"_Lifetime (years) - Remaining Years",Algorithms!$A:$A,0)),0)</f>
        <v>0</v>
      </c>
      <c r="CU169" s="266">
        <f t="shared" ca="1" si="121"/>
        <v>3994.9824000000003</v>
      </c>
      <c r="CV169" s="266">
        <f t="shared" ca="1" si="122"/>
        <v>3994.9824000000003</v>
      </c>
      <c r="CW169" s="266">
        <f t="shared" ca="1" si="123"/>
        <v>3994.9824000000003</v>
      </c>
      <c r="CX169" s="266">
        <f t="shared" ca="1" si="124"/>
        <v>3994.9824000000003</v>
      </c>
    </row>
    <row r="170" spans="2:102" s="47" customFormat="1" ht="18" customHeight="1" x14ac:dyDescent="0.25">
      <c r="B170" t="str">
        <f t="shared" si="125"/>
        <v>NSG_Business_C&amp;I_Rebates_Pipe Insulation_HW Medium 2.1" to 4"_MF/CI/SMB</v>
      </c>
      <c r="C170" s="47" t="str">
        <f t="shared" si="86"/>
        <v>Pipe Insulation_HW Medium 2.1" to 4"_MF/CI/SMB</v>
      </c>
      <c r="D170" s="270" t="s">
        <v>1787</v>
      </c>
      <c r="E170" s="270" t="s">
        <v>3</v>
      </c>
      <c r="F170" s="270" t="s">
        <v>1427</v>
      </c>
      <c r="G170" s="270" t="s">
        <v>1429</v>
      </c>
      <c r="H170" s="270" t="s">
        <v>404</v>
      </c>
      <c r="I170" s="270" t="s">
        <v>954</v>
      </c>
      <c r="J170" s="270" t="s">
        <v>662</v>
      </c>
      <c r="K170" s="263">
        <v>1</v>
      </c>
      <c r="L170" s="263" t="str">
        <f ca="1">IFERROR(INDEX(Algorithms!J:J,MATCH($C170&amp;"_Therm Saved per Unit",Algorithms!$A:$A,0)),"n/a")</f>
        <v>"3 - Res Pipe Insulation" worksheet</v>
      </c>
      <c r="M170" s="263" t="str">
        <f>IFERROR(INDEX('Measure Level Detail'!$N:$N,MATCH($B170,'Measure Level Detail'!$B:$B,0)),0)</f>
        <v>ft</v>
      </c>
      <c r="N170" s="271">
        <f>IFERROR(INDEX('Measure Level Detail'!$P:$P,MATCH($B170&amp;"_"&amp;N$3,'Measure Level Detail'!$C:$C,0)),0)</f>
        <v>191.25</v>
      </c>
      <c r="O170" s="271">
        <f>IFERROR(INDEX('Measure Level Detail'!$P:$P,MATCH($B170&amp;"_"&amp;O$3,'Measure Level Detail'!$C:$C,0)),0)</f>
        <v>180.00000000000003</v>
      </c>
      <c r="P170" s="271">
        <f>IFERROR(INDEX('Measure Level Detail'!$P:$P,MATCH($B170&amp;"_"&amp;P$3,'Measure Level Detail'!$C:$C,0)),0)</f>
        <v>157.49999999999997</v>
      </c>
      <c r="Q170" s="271">
        <f>IFERROR(INDEX('Measure Level Detail'!$P:$P,MATCH($B170&amp;"_"&amp;Q$3,'Measure Level Detail'!$C:$C,0)),0)</f>
        <v>153</v>
      </c>
      <c r="R170" s="263">
        <f ca="1">IFERROR(INDEX(Algorithms!K:K,MATCH($C170&amp;"_Therm Saved per Unit",Algorithms!$A:$A,0)),"n/a")</f>
        <v>0</v>
      </c>
      <c r="S170" s="262"/>
      <c r="T170" s="272">
        <v>5.2492031493764015</v>
      </c>
      <c r="U170" s="272">
        <v>5.2492031493764015</v>
      </c>
      <c r="V170" s="272">
        <v>5.2492031493764015</v>
      </c>
      <c r="W170" s="272">
        <v>5.2492031493764015</v>
      </c>
      <c r="X170" s="273">
        <f>IFERROR(INDEX('Measure Level Detail'!$R:$R,MATCH($B170&amp;"_"&amp;X$3,'Measure Level Detail'!$C:$C,0)),0)</f>
        <v>0.91</v>
      </c>
      <c r="Y170" s="273">
        <f>IFERROR(INDEX('Measure Level Detail'!$R:$R,MATCH($B170&amp;"_"&amp;Y$3,'Measure Level Detail'!$C:$C,0)),0)</f>
        <v>0.91</v>
      </c>
      <c r="Z170" s="273">
        <f>IFERROR(INDEX('Measure Level Detail'!$R:$R,MATCH($B170&amp;"_"&amp;Z$3,'Measure Level Detail'!$C:$C,0)),0)</f>
        <v>0.91</v>
      </c>
      <c r="AA170" s="273">
        <f>IFERROR(INDEX('Measure Level Detail'!$R:$R,MATCH($B170&amp;"_"&amp;AA$3,'Measure Level Detail'!$C:$C,0)),0)</f>
        <v>0.91</v>
      </c>
      <c r="AB170" s="266">
        <f t="shared" si="87"/>
        <v>913.55819310959555</v>
      </c>
      <c r="AC170" s="266">
        <f t="shared" si="88"/>
        <v>859.81947586785475</v>
      </c>
      <c r="AD170" s="266">
        <f t="shared" si="89"/>
        <v>752.34204138437258</v>
      </c>
      <c r="AE170" s="266">
        <f t="shared" si="90"/>
        <v>730.84655448767649</v>
      </c>
      <c r="AF170" s="266">
        <f t="shared" si="91"/>
        <v>3256.566264849499</v>
      </c>
      <c r="AG170" s="274">
        <v>0.91</v>
      </c>
      <c r="AH170" s="274">
        <v>0.91</v>
      </c>
      <c r="AI170" s="274">
        <v>0.91</v>
      </c>
      <c r="AJ170" s="274">
        <v>0.91</v>
      </c>
      <c r="AK170" s="274">
        <f t="shared" si="92"/>
        <v>0.91</v>
      </c>
      <c r="AL170" s="274">
        <f t="shared" si="93"/>
        <v>0.91</v>
      </c>
      <c r="AM170" s="274">
        <f t="shared" si="94"/>
        <v>0.91</v>
      </c>
      <c r="AN170" s="274">
        <f t="shared" si="95"/>
        <v>0.91</v>
      </c>
      <c r="AO170" s="262"/>
      <c r="AP170" s="262"/>
      <c r="AQ170" s="267">
        <v>5.2492031493764015</v>
      </c>
      <c r="AR170" s="262"/>
      <c r="AS170" s="266">
        <f t="shared" si="96"/>
        <v>913.55819310959555</v>
      </c>
      <c r="AT170" s="264">
        <f t="shared" si="97"/>
        <v>0</v>
      </c>
      <c r="AU170" s="262"/>
      <c r="AV170" s="262"/>
      <c r="AW170" s="265">
        <v>5.2492031493764015</v>
      </c>
      <c r="AX170" s="164" t="s">
        <v>1469</v>
      </c>
      <c r="AY170" s="266">
        <v>859.81947586785475</v>
      </c>
      <c r="AZ170" s="266">
        <f t="shared" si="98"/>
        <v>859.81947586785475</v>
      </c>
      <c r="BA170" s="264">
        <f t="shared" si="99"/>
        <v>0</v>
      </c>
      <c r="BB170" s="262"/>
      <c r="BC170" s="262"/>
      <c r="BD170" s="265">
        <f ca="1">IFERROR(INDEX(Algorithms!$G:$G,MATCH($C170&amp;"_Therm Saved per Unit",Algorithms!$A:$A,0)),0)</f>
        <v>5.2492031493764015</v>
      </c>
      <c r="BE170" s="164" t="str">
        <f ca="1">IFERROR(INDEX('v12 Revisions'!$P$29:$P$186, MATCH('Measure-Level Adj Gas'!$L170, 'v12 Revisions'!$D$29:$D$186,0)),"")</f>
        <v/>
      </c>
      <c r="BF170" s="266">
        <f t="shared" ca="1" si="100"/>
        <v>752.34204138437258</v>
      </c>
      <c r="BG170" s="264">
        <f t="shared" ca="1" si="101"/>
        <v>0</v>
      </c>
      <c r="BH170" s="262"/>
      <c r="BI170" s="262"/>
      <c r="BJ170" s="265">
        <f ca="1">IFERROR(INDEX(Algorithms!$G:$G,MATCH($C170&amp;"_Therm Saved per Unit",Algorithms!$A:$A,0)),0)</f>
        <v>5.2492031493764015</v>
      </c>
      <c r="BK170" s="164"/>
      <c r="BL170" s="266">
        <f t="shared" ca="1" si="102"/>
        <v>730.84655448767649</v>
      </c>
      <c r="BM170" s="264">
        <f t="shared" ca="1" si="103"/>
        <v>0</v>
      </c>
      <c r="BN170" s="266">
        <f t="shared" si="104"/>
        <v>913.55819310959555</v>
      </c>
      <c r="BO170" s="266">
        <f t="shared" si="105"/>
        <v>859.81947586785475</v>
      </c>
      <c r="BP170" s="266">
        <f t="shared" ca="1" si="106"/>
        <v>752.34204138437258</v>
      </c>
      <c r="BQ170" s="266">
        <f t="shared" ca="1" si="107"/>
        <v>730.84655448767649</v>
      </c>
      <c r="BR170" s="268">
        <f t="shared" ca="1" si="108"/>
        <v>3256.566264849499</v>
      </c>
      <c r="BS170" s="262" t="s">
        <v>99</v>
      </c>
      <c r="BT170" s="277"/>
      <c r="BW170" s="266">
        <f t="shared" si="109"/>
        <v>913.55819310959555</v>
      </c>
      <c r="BX170" s="266">
        <f t="shared" si="110"/>
        <v>859.81947586785475</v>
      </c>
      <c r="BY170" s="266">
        <f t="shared" si="111"/>
        <v>752.34204138437258</v>
      </c>
      <c r="BZ170" s="266">
        <f t="shared" si="112"/>
        <v>730.84655448767649</v>
      </c>
      <c r="CA170" s="266">
        <f ca="1">N170*IFERROR(INDEX(Algorithms!$G:$G,MATCH($C170&amp;"_Therm Saved per Unit- MLA",Algorithms!$A:$A,0)),0)*X170</f>
        <v>0</v>
      </c>
      <c r="CB170" s="266">
        <f ca="1">O170*IFERROR(INDEX(Algorithms!$G:$G,MATCH($C170&amp;"_Therm Saved per Unit- MLA",Algorithms!$A:$A,0)),0)*Y170</f>
        <v>0</v>
      </c>
      <c r="CC170" s="266">
        <f ca="1">P170*IFERROR(INDEX(Algorithms!$G:$G,MATCH($C170&amp;"_Therm Saved per Unit- MLA",Algorithms!$A:$A,0)),0)*Z170</f>
        <v>0</v>
      </c>
      <c r="CD170" s="266">
        <f ca="1">Q170*IFERROR(INDEX(Algorithms!$G:$G,MATCH($C170&amp;"_Therm Saved per Unit- MLA",Algorithms!$A:$A,0)),0)*AA170</f>
        <v>0</v>
      </c>
      <c r="CE170" s="266">
        <f ca="1">IFERROR(INDEX(Algorithms!$G:$G,MATCH($C170&amp;"_Lifetime (years)",Algorithms!$A:$A,0)),0)</f>
        <v>15</v>
      </c>
      <c r="CF170" s="266">
        <f ca="1">IFERROR(INDEX(Algorithms!$G:$G,MATCH($C170&amp;"_Lifetime (years) - Remaining Years",Algorithms!$A:$A,0)),0)</f>
        <v>0</v>
      </c>
      <c r="CG170" s="266">
        <f t="shared" ca="1" si="113"/>
        <v>13703.372896643934</v>
      </c>
      <c r="CH170" s="266">
        <f t="shared" ca="1" si="114"/>
        <v>12897.292138017821</v>
      </c>
      <c r="CI170" s="266">
        <f t="shared" ca="1" si="115"/>
        <v>11285.130620765589</v>
      </c>
      <c r="CJ170" s="266">
        <f t="shared" ca="1" si="116"/>
        <v>10962.698317315148</v>
      </c>
      <c r="CK170" s="266">
        <f t="shared" si="117"/>
        <v>913.55819310959555</v>
      </c>
      <c r="CL170" s="266">
        <f t="shared" si="118"/>
        <v>859.81947586785475</v>
      </c>
      <c r="CM170" s="266">
        <f t="shared" ca="1" si="119"/>
        <v>752.34204138437258</v>
      </c>
      <c r="CN170" s="266">
        <f t="shared" ca="1" si="120"/>
        <v>730.84655448767649</v>
      </c>
      <c r="CO170" s="266">
        <f ca="1">N170*IFERROR(INDEX(Algorithms!$G:$G,MATCH($C170&amp;"_Therm Saved per Unit- MLA",Algorithms!$A:$A,0)),0)*X170</f>
        <v>0</v>
      </c>
      <c r="CP170" s="266">
        <f ca="1">O170*IFERROR(INDEX(Algorithms!$G:$G,MATCH($C170&amp;"_Therm Saved per Unit- MLA",Algorithms!$A:$A,0)),0)*Y170</f>
        <v>0</v>
      </c>
      <c r="CQ170" s="266">
        <f ca="1">P170*IFERROR(INDEX(Algorithms!$G:$G,MATCH($C170&amp;"_Therm Saved per Unit- MLA",Algorithms!$A:$A,0)),0)*Z170</f>
        <v>0</v>
      </c>
      <c r="CR170" s="266">
        <f ca="1">Q170*IFERROR(INDEX(Algorithms!$G:$G,MATCH($C170&amp;"_Therm Saved per Unit- MLA",Algorithms!$A:$A,0)),0)*AA170</f>
        <v>0</v>
      </c>
      <c r="CS170" s="266">
        <f ca="1">IFERROR(INDEX(Algorithms!$G:$G,MATCH($C170&amp;"_Lifetime (years)",Algorithms!$A:$A,0)),0)</f>
        <v>15</v>
      </c>
      <c r="CT170" s="266">
        <f ca="1">IFERROR(INDEX(Algorithms!$G:$G,MATCH($C170&amp;"_Lifetime (years) - Remaining Years",Algorithms!$A:$A,0)),0)</f>
        <v>0</v>
      </c>
      <c r="CU170" s="266">
        <f t="shared" ca="1" si="121"/>
        <v>13703.372896643934</v>
      </c>
      <c r="CV170" s="266">
        <f t="shared" ca="1" si="122"/>
        <v>12897.292138017821</v>
      </c>
      <c r="CW170" s="266">
        <f t="shared" ca="1" si="123"/>
        <v>11285.130620765589</v>
      </c>
      <c r="CX170" s="266">
        <f t="shared" ca="1" si="124"/>
        <v>10962.698317315148</v>
      </c>
    </row>
    <row r="171" spans="2:102" s="47" customFormat="1" ht="18" customHeight="1" x14ac:dyDescent="0.25">
      <c r="B171" t="str">
        <f t="shared" si="125"/>
        <v>NSG_Business_Small/Mid-Size Business_Partner Trade Ally Rebate_Steam Traps_Test_CI</v>
      </c>
      <c r="C171" s="47" t="str">
        <f t="shared" si="86"/>
        <v>Steam Traps_Test_CI</v>
      </c>
      <c r="D171" s="270" t="s">
        <v>1787</v>
      </c>
      <c r="E171" s="270" t="s">
        <v>3</v>
      </c>
      <c r="F171" s="270" t="s">
        <v>1432</v>
      </c>
      <c r="G171" s="270" t="s">
        <v>1799</v>
      </c>
      <c r="H171" s="270" t="s">
        <v>644</v>
      </c>
      <c r="I171" s="270" t="s">
        <v>1097</v>
      </c>
      <c r="J171" s="270" t="s">
        <v>1159</v>
      </c>
      <c r="K171" s="263">
        <v>1</v>
      </c>
      <c r="L171" s="263">
        <f ca="1">IFERROR(INDEX(Algorithms!J:J,MATCH($C171&amp;"_Therm Saved per Unit",Algorithms!$A:$A,0)),"n/a")</f>
        <v>0</v>
      </c>
      <c r="M171" s="263" t="str">
        <f>IFERROR(INDEX('Measure Level Detail'!$N:$N,MATCH($B171,'Measure Level Detail'!$B:$B,0)),0)</f>
        <v>each</v>
      </c>
      <c r="N171" s="271">
        <f>IFERROR(INDEX('Measure Level Detail'!$P:$P,MATCH($B171&amp;"_"&amp;N$3,'Measure Level Detail'!$C:$C,0)),0)</f>
        <v>180</v>
      </c>
      <c r="O171" s="271">
        <f>IFERROR(INDEX('Measure Level Detail'!$P:$P,MATCH($B171&amp;"_"&amp;O$3,'Measure Level Detail'!$C:$C,0)),0)</f>
        <v>164</v>
      </c>
      <c r="P171" s="271">
        <f>IFERROR(INDEX('Measure Level Detail'!$P:$P,MATCH($B171&amp;"_"&amp;P$3,'Measure Level Detail'!$C:$C,0)),0)</f>
        <v>160</v>
      </c>
      <c r="Q171" s="271">
        <f>IFERROR(INDEX('Measure Level Detail'!$P:$P,MATCH($B171&amp;"_"&amp;Q$3,'Measure Level Detail'!$C:$C,0)),0)</f>
        <v>150</v>
      </c>
      <c r="R171" s="263">
        <f ca="1">IFERROR(INDEX(Algorithms!K:K,MATCH($C171&amp;"_Therm Saved per Unit",Algorithms!$A:$A,0)),"n/a")</f>
        <v>0</v>
      </c>
      <c r="S171" s="262"/>
      <c r="T171" s="272">
        <v>0</v>
      </c>
      <c r="U171" s="272">
        <v>0</v>
      </c>
      <c r="V171" s="272">
        <v>0</v>
      </c>
      <c r="W171" s="272">
        <v>0</v>
      </c>
      <c r="X171" s="276">
        <v>0.93</v>
      </c>
      <c r="Y171" s="276">
        <v>0.93</v>
      </c>
      <c r="Z171" s="276">
        <v>0.93</v>
      </c>
      <c r="AA171" s="276">
        <v>0.93</v>
      </c>
      <c r="AB171" s="266">
        <f t="shared" si="87"/>
        <v>0</v>
      </c>
      <c r="AC171" s="266">
        <f t="shared" si="88"/>
        <v>0</v>
      </c>
      <c r="AD171" s="266">
        <f t="shared" si="89"/>
        <v>0</v>
      </c>
      <c r="AE171" s="266">
        <f t="shared" si="90"/>
        <v>0</v>
      </c>
      <c r="AF171" s="266">
        <f t="shared" si="91"/>
        <v>0</v>
      </c>
      <c r="AG171" s="274">
        <v>0.93</v>
      </c>
      <c r="AH171" s="274">
        <v>0.93</v>
      </c>
      <c r="AI171" s="274">
        <v>0.93</v>
      </c>
      <c r="AJ171" s="274">
        <v>0.93</v>
      </c>
      <c r="AK171" s="274">
        <f t="shared" si="92"/>
        <v>0.93</v>
      </c>
      <c r="AL171" s="274">
        <f t="shared" si="93"/>
        <v>0.93</v>
      </c>
      <c r="AM171" s="274">
        <f t="shared" si="94"/>
        <v>0.93</v>
      </c>
      <c r="AN171" s="274">
        <f t="shared" si="95"/>
        <v>0.93</v>
      </c>
      <c r="AO171" s="262"/>
      <c r="AP171" s="262"/>
      <c r="AQ171" s="267">
        <v>0</v>
      </c>
      <c r="AR171" s="262"/>
      <c r="AS171" s="266">
        <f t="shared" si="96"/>
        <v>0</v>
      </c>
      <c r="AT171" s="264">
        <f t="shared" si="97"/>
        <v>0</v>
      </c>
      <c r="AU171" s="262"/>
      <c r="AV171" s="262"/>
      <c r="AW171" s="265">
        <v>0</v>
      </c>
      <c r="AX171" s="164" t="s">
        <v>1469</v>
      </c>
      <c r="AY171" s="266">
        <v>0</v>
      </c>
      <c r="AZ171" s="266">
        <f t="shared" si="98"/>
        <v>0</v>
      </c>
      <c r="BA171" s="264">
        <f t="shared" si="99"/>
        <v>0</v>
      </c>
      <c r="BB171" s="262"/>
      <c r="BC171" s="262"/>
      <c r="BD171" s="265">
        <f ca="1">IFERROR(INDEX(Algorithms!$G:$G,MATCH($C171&amp;"_Therm Saved per Unit",Algorithms!$A:$A,0)),0)</f>
        <v>0</v>
      </c>
      <c r="BE171" s="164" t="str">
        <f ca="1">IFERROR(INDEX('v12 Revisions'!$P$29:$P$186, MATCH('Measure-Level Adj Gas'!$L171, 'v12 Revisions'!$D$29:$D$186,0)),"")</f>
        <v/>
      </c>
      <c r="BF171" s="266">
        <f t="shared" ca="1" si="100"/>
        <v>0</v>
      </c>
      <c r="BG171" s="264">
        <f t="shared" ca="1" si="101"/>
        <v>0</v>
      </c>
      <c r="BH171" s="262"/>
      <c r="BI171" s="262"/>
      <c r="BJ171" s="265">
        <f ca="1">IFERROR(INDEX(Algorithms!$G:$G,MATCH($C171&amp;"_Therm Saved per Unit",Algorithms!$A:$A,0)),0)</f>
        <v>0</v>
      </c>
      <c r="BK171" s="164"/>
      <c r="BL171" s="266">
        <f t="shared" ca="1" si="102"/>
        <v>0</v>
      </c>
      <c r="BM171" s="264">
        <f t="shared" ca="1" si="103"/>
        <v>0</v>
      </c>
      <c r="BN171" s="266">
        <f t="shared" si="104"/>
        <v>0</v>
      </c>
      <c r="BO171" s="266">
        <f t="shared" si="105"/>
        <v>0</v>
      </c>
      <c r="BP171" s="266">
        <f t="shared" ca="1" si="106"/>
        <v>0</v>
      </c>
      <c r="BQ171" s="266">
        <f t="shared" ca="1" si="107"/>
        <v>0</v>
      </c>
      <c r="BR171" s="268">
        <f t="shared" ca="1" si="108"/>
        <v>0</v>
      </c>
      <c r="BS171" s="262" t="s">
        <v>99</v>
      </c>
      <c r="BT171" s="277"/>
      <c r="BW171" s="266">
        <f t="shared" si="109"/>
        <v>0</v>
      </c>
      <c r="BX171" s="266">
        <f t="shared" si="110"/>
        <v>0</v>
      </c>
      <c r="BY171" s="266">
        <f t="shared" si="111"/>
        <v>0</v>
      </c>
      <c r="BZ171" s="266">
        <f t="shared" si="112"/>
        <v>0</v>
      </c>
      <c r="CA171" s="266">
        <f ca="1">N171*IFERROR(INDEX(Algorithms!$G:$G,MATCH($C171&amp;"_Therm Saved per Unit- MLA",Algorithms!$A:$A,0)),0)*X171</f>
        <v>0</v>
      </c>
      <c r="CB171" s="266">
        <f ca="1">O171*IFERROR(INDEX(Algorithms!$G:$G,MATCH($C171&amp;"_Therm Saved per Unit- MLA",Algorithms!$A:$A,0)),0)*Y171</f>
        <v>0</v>
      </c>
      <c r="CC171" s="266">
        <f ca="1">P171*IFERROR(INDEX(Algorithms!$G:$G,MATCH($C171&amp;"_Therm Saved per Unit- MLA",Algorithms!$A:$A,0)),0)*Z171</f>
        <v>0</v>
      </c>
      <c r="CD171" s="266">
        <f ca="1">Q171*IFERROR(INDEX(Algorithms!$G:$G,MATCH($C171&amp;"_Therm Saved per Unit- MLA",Algorithms!$A:$A,0)),0)*AA171</f>
        <v>0</v>
      </c>
      <c r="CE171" s="266">
        <f ca="1">IFERROR(INDEX(Algorithms!$G:$G,MATCH($C171&amp;"_Lifetime (years)",Algorithms!$A:$A,0)),0)</f>
        <v>3</v>
      </c>
      <c r="CF171" s="266">
        <f ca="1">IFERROR(INDEX(Algorithms!$G:$G,MATCH($C171&amp;"_Lifetime (years) - Remaining Years",Algorithms!$A:$A,0)),0)</f>
        <v>0</v>
      </c>
      <c r="CG171" s="266">
        <f t="shared" ca="1" si="113"/>
        <v>0</v>
      </c>
      <c r="CH171" s="266">
        <f t="shared" ca="1" si="114"/>
        <v>0</v>
      </c>
      <c r="CI171" s="266">
        <f t="shared" ca="1" si="115"/>
        <v>0</v>
      </c>
      <c r="CJ171" s="266">
        <f t="shared" ca="1" si="116"/>
        <v>0</v>
      </c>
      <c r="CK171" s="266">
        <f t="shared" si="117"/>
        <v>0</v>
      </c>
      <c r="CL171" s="266">
        <f t="shared" si="118"/>
        <v>0</v>
      </c>
      <c r="CM171" s="266">
        <f t="shared" ca="1" si="119"/>
        <v>0</v>
      </c>
      <c r="CN171" s="266">
        <f t="shared" ca="1" si="120"/>
        <v>0</v>
      </c>
      <c r="CO171" s="266">
        <f ca="1">N171*IFERROR(INDEX(Algorithms!$G:$G,MATCH($C171&amp;"_Therm Saved per Unit- MLA",Algorithms!$A:$A,0)),0)*X171</f>
        <v>0</v>
      </c>
      <c r="CP171" s="266">
        <f ca="1">O171*IFERROR(INDEX(Algorithms!$G:$G,MATCH($C171&amp;"_Therm Saved per Unit- MLA",Algorithms!$A:$A,0)),0)*Y171</f>
        <v>0</v>
      </c>
      <c r="CQ171" s="266">
        <f ca="1">P171*IFERROR(INDEX(Algorithms!$G:$G,MATCH($C171&amp;"_Therm Saved per Unit- MLA",Algorithms!$A:$A,0)),0)*Z171</f>
        <v>0</v>
      </c>
      <c r="CR171" s="266">
        <f ca="1">Q171*IFERROR(INDEX(Algorithms!$G:$G,MATCH($C171&amp;"_Therm Saved per Unit- MLA",Algorithms!$A:$A,0)),0)*AA171</f>
        <v>0</v>
      </c>
      <c r="CS171" s="266">
        <f ca="1">IFERROR(INDEX(Algorithms!$G:$G,MATCH($C171&amp;"_Lifetime (years)",Algorithms!$A:$A,0)),0)</f>
        <v>3</v>
      </c>
      <c r="CT171" s="266">
        <f ca="1">IFERROR(INDEX(Algorithms!$G:$G,MATCH($C171&amp;"_Lifetime (years) - Remaining Years",Algorithms!$A:$A,0)),0)</f>
        <v>0</v>
      </c>
      <c r="CU171" s="266">
        <f t="shared" ca="1" si="121"/>
        <v>0</v>
      </c>
      <c r="CV171" s="266">
        <f t="shared" ca="1" si="122"/>
        <v>0</v>
      </c>
      <c r="CW171" s="266">
        <f t="shared" ca="1" si="123"/>
        <v>0</v>
      </c>
      <c r="CX171" s="266">
        <f t="shared" ca="1" si="124"/>
        <v>0</v>
      </c>
    </row>
    <row r="172" spans="2:102" s="47" customFormat="1" ht="18" customHeight="1" x14ac:dyDescent="0.25">
      <c r="B172" t="str">
        <f t="shared" si="125"/>
        <v>NSG_Residential_Home Energy Jumpstart_Core_Thermostat - Reprogram_Furnace (DI)_SF</v>
      </c>
      <c r="C172" s="47" t="str">
        <f t="shared" si="86"/>
        <v>Thermostat - Reprogram_Furnace (DI)_SF</v>
      </c>
      <c r="D172" s="270" t="s">
        <v>1787</v>
      </c>
      <c r="E172" s="270" t="s">
        <v>2</v>
      </c>
      <c r="F172" s="270" t="s">
        <v>1414</v>
      </c>
      <c r="G172" s="270" t="s">
        <v>1415</v>
      </c>
      <c r="H172" s="270" t="s">
        <v>1055</v>
      </c>
      <c r="I172" s="270" t="s">
        <v>1038</v>
      </c>
      <c r="J172" s="270" t="s">
        <v>409</v>
      </c>
      <c r="K172" s="263">
        <v>1</v>
      </c>
      <c r="L172" s="263" t="str">
        <f ca="1">IFERROR(INDEX(Algorithms!J:J,MATCH($C172&amp;"_Therm Saved per Unit",Algorithms!$A:$A,0)),"n/a")</f>
        <v>5.3.11</v>
      </c>
      <c r="M172" s="263" t="str">
        <f>IFERROR(INDEX('Measure Level Detail'!$N:$N,MATCH($B172,'Measure Level Detail'!$B:$B,0)),0)</f>
        <v>Each</v>
      </c>
      <c r="N172" s="271">
        <f>IFERROR(INDEX('Measure Level Detail'!$P:$P,MATCH($B172&amp;"_"&amp;N$3,'Measure Level Detail'!$C:$C,0)),0)</f>
        <v>178</v>
      </c>
      <c r="O172" s="271">
        <f>IFERROR(INDEX('Measure Level Detail'!$P:$P,MATCH($B172&amp;"_"&amp;O$3,'Measure Level Detail'!$C:$C,0)),0)</f>
        <v>160</v>
      </c>
      <c r="P172" s="271">
        <f>IFERROR(INDEX('Measure Level Detail'!$P:$P,MATCH($B172&amp;"_"&amp;P$3,'Measure Level Detail'!$C:$C,0)),0)</f>
        <v>142</v>
      </c>
      <c r="Q172" s="271">
        <f>IFERROR(INDEX('Measure Level Detail'!$P:$P,MATCH($B172&amp;"_"&amp;Q$3,'Measure Level Detail'!$C:$C,0)),0)</f>
        <v>125</v>
      </c>
      <c r="R172" s="263" t="str">
        <f ca="1">IFERROR(INDEX(Algorithms!K:K,MATCH($C172&amp;"_Therm Saved per Unit",Algorithms!$A:$A,0)),"n/a")</f>
        <v>RS-HVC-PROG-V08-220101</v>
      </c>
      <c r="S172" s="262"/>
      <c r="T172" s="272">
        <v>62.31</v>
      </c>
      <c r="U172" s="272">
        <v>62.31</v>
      </c>
      <c r="V172" s="272">
        <v>62.31</v>
      </c>
      <c r="W172" s="272">
        <v>62.31</v>
      </c>
      <c r="X172" s="273">
        <f>IFERROR(INDEX('Measure Level Detail'!$R:$R,MATCH($B172&amp;"_"&amp;X$3,'Measure Level Detail'!$C:$C,0)),0)</f>
        <v>0.8</v>
      </c>
      <c r="Y172" s="273">
        <f>IFERROR(INDEX('Measure Level Detail'!$R:$R,MATCH($B172&amp;"_"&amp;Y$3,'Measure Level Detail'!$C:$C,0)),0)</f>
        <v>0.8</v>
      </c>
      <c r="Z172" s="273">
        <f>IFERROR(INDEX('Measure Level Detail'!$R:$R,MATCH($B172&amp;"_"&amp;Z$3,'Measure Level Detail'!$C:$C,0)),0)</f>
        <v>0.8</v>
      </c>
      <c r="AA172" s="273">
        <f>IFERROR(INDEX('Measure Level Detail'!$R:$R,MATCH($B172&amp;"_"&amp;AA$3,'Measure Level Detail'!$C:$C,0)),0)</f>
        <v>0.8</v>
      </c>
      <c r="AB172" s="266">
        <f t="shared" si="87"/>
        <v>8872.9440000000013</v>
      </c>
      <c r="AC172" s="266">
        <f t="shared" si="88"/>
        <v>7975.68</v>
      </c>
      <c r="AD172" s="266">
        <f t="shared" si="89"/>
        <v>7078.4160000000011</v>
      </c>
      <c r="AE172" s="266">
        <f t="shared" si="90"/>
        <v>6231</v>
      </c>
      <c r="AF172" s="266">
        <f t="shared" si="91"/>
        <v>30158.040000000005</v>
      </c>
      <c r="AG172" s="274">
        <v>0.8</v>
      </c>
      <c r="AH172" s="274">
        <v>0.8</v>
      </c>
      <c r="AI172" s="710">
        <v>0.99</v>
      </c>
      <c r="AJ172" s="710">
        <v>0.99</v>
      </c>
      <c r="AK172" s="274">
        <f t="shared" si="92"/>
        <v>0.8</v>
      </c>
      <c r="AL172" s="274">
        <f t="shared" si="93"/>
        <v>0.8</v>
      </c>
      <c r="AM172" s="274">
        <f t="shared" si="94"/>
        <v>0.89</v>
      </c>
      <c r="AN172" s="274">
        <f t="shared" si="95"/>
        <v>0.89</v>
      </c>
      <c r="AO172" s="262"/>
      <c r="AP172" s="262"/>
      <c r="AQ172" s="267">
        <v>62.31</v>
      </c>
      <c r="AR172" s="262"/>
      <c r="AS172" s="266">
        <f t="shared" si="96"/>
        <v>8872.9440000000013</v>
      </c>
      <c r="AT172" s="264">
        <f t="shared" si="97"/>
        <v>0</v>
      </c>
      <c r="AU172" s="262"/>
      <c r="AV172" s="262"/>
      <c r="AW172" s="265">
        <v>62.31</v>
      </c>
      <c r="AX172" s="164" t="s">
        <v>1469</v>
      </c>
      <c r="AY172" s="266">
        <v>7975.68</v>
      </c>
      <c r="AZ172" s="266">
        <f t="shared" si="98"/>
        <v>7975.68</v>
      </c>
      <c r="BA172" s="264">
        <f t="shared" si="99"/>
        <v>0</v>
      </c>
      <c r="BB172" s="262"/>
      <c r="BC172" s="262"/>
      <c r="BD172" s="265">
        <f ca="1">IFERROR(INDEX(Algorithms!$G:$G,MATCH($C172&amp;"_Therm Saved per Unit",Algorithms!$A:$A,0)),0)</f>
        <v>62.31</v>
      </c>
      <c r="BE172" s="164" t="str">
        <f ca="1">IFERROR(INDEX('v12 Revisions'!$P$29:$P$186, MATCH('Measure-Level Adj Gas'!$L172, 'v12 Revisions'!$D$29:$D$186,0)),"")</f>
        <v/>
      </c>
      <c r="BF172" s="266">
        <f t="shared" ca="1" si="100"/>
        <v>7874.7378000000008</v>
      </c>
      <c r="BG172" s="264">
        <f t="shared" ca="1" si="101"/>
        <v>796.32179999999971</v>
      </c>
      <c r="BH172" s="262"/>
      <c r="BI172" s="262"/>
      <c r="BJ172" s="265">
        <f ca="1">IFERROR(INDEX(Algorithms!$G:$G,MATCH($C172&amp;"_Therm Saved per Unit",Algorithms!$A:$A,0)),0)</f>
        <v>62.31</v>
      </c>
      <c r="BK172" s="164"/>
      <c r="BL172" s="266">
        <f t="shared" ca="1" si="102"/>
        <v>6931.9875000000002</v>
      </c>
      <c r="BM172" s="264">
        <f t="shared" ca="1" si="103"/>
        <v>700.98750000000018</v>
      </c>
      <c r="BN172" s="266">
        <f t="shared" si="104"/>
        <v>8872.9440000000013</v>
      </c>
      <c r="BO172" s="266">
        <f t="shared" si="105"/>
        <v>7975.68</v>
      </c>
      <c r="BP172" s="266">
        <f t="shared" ca="1" si="106"/>
        <v>7874.7378000000008</v>
      </c>
      <c r="BQ172" s="266">
        <f t="shared" ca="1" si="107"/>
        <v>6931.9875000000002</v>
      </c>
      <c r="BR172" s="268">
        <f t="shared" ca="1" si="108"/>
        <v>31655.349300000005</v>
      </c>
      <c r="BS172" s="262" t="s">
        <v>99</v>
      </c>
      <c r="BT172" s="277"/>
      <c r="BW172" s="266">
        <f t="shared" si="109"/>
        <v>8872.9440000000013</v>
      </c>
      <c r="BX172" s="266">
        <f t="shared" si="110"/>
        <v>7975.68</v>
      </c>
      <c r="BY172" s="266">
        <f t="shared" si="111"/>
        <v>7078.4160000000011</v>
      </c>
      <c r="BZ172" s="266">
        <f t="shared" si="112"/>
        <v>6231</v>
      </c>
      <c r="CA172" s="266">
        <f ca="1">N172*IFERROR(INDEX(Algorithms!$G:$G,MATCH($C172&amp;"_Therm Saved per Unit- MLA",Algorithms!$A:$A,0)),0)*X172</f>
        <v>0</v>
      </c>
      <c r="CB172" s="266">
        <f ca="1">O172*IFERROR(INDEX(Algorithms!$G:$G,MATCH($C172&amp;"_Therm Saved per Unit- MLA",Algorithms!$A:$A,0)),0)*Y172</f>
        <v>0</v>
      </c>
      <c r="CC172" s="266">
        <f ca="1">P172*IFERROR(INDEX(Algorithms!$G:$G,MATCH($C172&amp;"_Therm Saved per Unit- MLA",Algorithms!$A:$A,0)),0)*Z172</f>
        <v>0</v>
      </c>
      <c r="CD172" s="266">
        <f ca="1">Q172*IFERROR(INDEX(Algorithms!$G:$G,MATCH($C172&amp;"_Therm Saved per Unit- MLA",Algorithms!$A:$A,0)),0)*AA172</f>
        <v>0</v>
      </c>
      <c r="CE172" s="266">
        <f ca="1">IFERROR(INDEX(Algorithms!$G:$G,MATCH($C172&amp;"_Lifetime (years)",Algorithms!$A:$A,0)),0)</f>
        <v>2</v>
      </c>
      <c r="CF172" s="266">
        <f ca="1">IFERROR(INDEX(Algorithms!$G:$G,MATCH($C172&amp;"_Lifetime (years) - Remaining Years",Algorithms!$A:$A,0)),0)</f>
        <v>0</v>
      </c>
      <c r="CG172" s="266">
        <f t="shared" ca="1" si="113"/>
        <v>17745.888000000003</v>
      </c>
      <c r="CH172" s="266">
        <f t="shared" ca="1" si="114"/>
        <v>15951.36</v>
      </c>
      <c r="CI172" s="266">
        <f t="shared" ca="1" si="115"/>
        <v>14156.832000000002</v>
      </c>
      <c r="CJ172" s="266">
        <f t="shared" ca="1" si="116"/>
        <v>12462</v>
      </c>
      <c r="CK172" s="266">
        <f t="shared" si="117"/>
        <v>8872.9440000000013</v>
      </c>
      <c r="CL172" s="266">
        <f t="shared" si="118"/>
        <v>7975.68</v>
      </c>
      <c r="CM172" s="266">
        <f t="shared" ca="1" si="119"/>
        <v>7078.4160000000011</v>
      </c>
      <c r="CN172" s="266">
        <f t="shared" ca="1" si="120"/>
        <v>6231</v>
      </c>
      <c r="CO172" s="266">
        <f ca="1">N172*IFERROR(INDEX(Algorithms!$G:$G,MATCH($C172&amp;"_Therm Saved per Unit- MLA",Algorithms!$A:$A,0)),0)*X172</f>
        <v>0</v>
      </c>
      <c r="CP172" s="266">
        <f ca="1">O172*IFERROR(INDEX(Algorithms!$G:$G,MATCH($C172&amp;"_Therm Saved per Unit- MLA",Algorithms!$A:$A,0)),0)*Y172</f>
        <v>0</v>
      </c>
      <c r="CQ172" s="266">
        <f ca="1">P172*IFERROR(INDEX(Algorithms!$G:$G,MATCH($C172&amp;"_Therm Saved per Unit- MLA",Algorithms!$A:$A,0)),0)*Z172</f>
        <v>0</v>
      </c>
      <c r="CR172" s="266">
        <f ca="1">Q172*IFERROR(INDEX(Algorithms!$G:$G,MATCH($C172&amp;"_Therm Saved per Unit- MLA",Algorithms!$A:$A,0)),0)*AA172</f>
        <v>0</v>
      </c>
      <c r="CS172" s="266">
        <f ca="1">IFERROR(INDEX(Algorithms!$G:$G,MATCH($C172&amp;"_Lifetime (years)",Algorithms!$A:$A,0)),0)</f>
        <v>2</v>
      </c>
      <c r="CT172" s="266">
        <f ca="1">IFERROR(INDEX(Algorithms!$G:$G,MATCH($C172&amp;"_Lifetime (years) - Remaining Years",Algorithms!$A:$A,0)),0)</f>
        <v>0</v>
      </c>
      <c r="CU172" s="266">
        <f t="shared" ca="1" si="121"/>
        <v>17745.888000000003</v>
      </c>
      <c r="CV172" s="266">
        <f t="shared" ca="1" si="122"/>
        <v>15951.36</v>
      </c>
      <c r="CW172" s="266">
        <f t="shared" ca="1" si="123"/>
        <v>14156.832000000002</v>
      </c>
      <c r="CX172" s="266">
        <f t="shared" ca="1" si="124"/>
        <v>12462</v>
      </c>
    </row>
    <row r="173" spans="2:102" s="47" customFormat="1" ht="18" customHeight="1" x14ac:dyDescent="0.25">
      <c r="B173" t="str">
        <f t="shared" si="125"/>
        <v>NSG_Business_C&amp;I_Rebates_Steam Traps_HVAC Repair/Rep - Audit_CI</v>
      </c>
      <c r="C173" s="47" t="str">
        <f t="shared" si="86"/>
        <v>Steam Traps_HVAC Repair/Rep - Audit_CI</v>
      </c>
      <c r="D173" s="270" t="s">
        <v>1787</v>
      </c>
      <c r="E173" s="270" t="s">
        <v>3</v>
      </c>
      <c r="F173" s="270" t="s">
        <v>1427</v>
      </c>
      <c r="G173" s="270" t="s">
        <v>1429</v>
      </c>
      <c r="H173" s="270" t="s">
        <v>644</v>
      </c>
      <c r="I173" s="270" t="s">
        <v>645</v>
      </c>
      <c r="J173" s="270" t="s">
        <v>1159</v>
      </c>
      <c r="K173" s="263">
        <v>1</v>
      </c>
      <c r="L173" s="263" t="str">
        <f ca="1">IFERROR(INDEX(Algorithms!J:J,MATCH($C173&amp;"_Therm Saved per Unit",Algorithms!$A:$A,0)),"n/a")</f>
        <v>4.4.16</v>
      </c>
      <c r="M173" s="263" t="str">
        <f>IFERROR(INDEX('Measure Level Detail'!$N:$N,MATCH($B173,'Measure Level Detail'!$B:$B,0)),0)</f>
        <v>each</v>
      </c>
      <c r="N173" s="271">
        <f>IFERROR(INDEX('Measure Level Detail'!$P:$P,MATCH($B173&amp;"_"&amp;N$3,'Measure Level Detail'!$C:$C,0)),0)</f>
        <v>170</v>
      </c>
      <c r="O173" s="271">
        <f>IFERROR(INDEX('Measure Level Detail'!$P:$P,MATCH($B173&amp;"_"&amp;O$3,'Measure Level Detail'!$C:$C,0)),0)</f>
        <v>160</v>
      </c>
      <c r="P173" s="271">
        <f>IFERROR(INDEX('Measure Level Detail'!$P:$P,MATCH($B173&amp;"_"&amp;P$3,'Measure Level Detail'!$C:$C,0)),0)</f>
        <v>140</v>
      </c>
      <c r="Q173" s="271">
        <f>IFERROR(INDEX('Measure Level Detail'!$P:$P,MATCH($B173&amp;"_"&amp;Q$3,'Measure Level Detail'!$C:$C,0)),0)</f>
        <v>136</v>
      </c>
      <c r="R173" s="263" t="str">
        <f ca="1">IFERROR(INDEX(Algorithms!K:K,MATCH($C173&amp;"_Therm Saved per Unit",Algorithms!$A:$A,0)),"n/a")</f>
        <v>CI-HVC-STRE-V10-240101</v>
      </c>
      <c r="S173" s="262"/>
      <c r="T173" s="272">
        <v>383.76733095846322</v>
      </c>
      <c r="U173" s="272">
        <v>383.76733095846322</v>
      </c>
      <c r="V173" s="272">
        <v>383.76733095846322</v>
      </c>
      <c r="W173" s="272">
        <v>383.76733095846322</v>
      </c>
      <c r="X173" s="273">
        <f>IFERROR(INDEX('Measure Level Detail'!$R:$R,MATCH($B173&amp;"_"&amp;X$3,'Measure Level Detail'!$C:$C,0)),0)</f>
        <v>0.91</v>
      </c>
      <c r="Y173" s="273">
        <f>IFERROR(INDEX('Measure Level Detail'!$R:$R,MATCH($B173&amp;"_"&amp;Y$3,'Measure Level Detail'!$C:$C,0)),0)</f>
        <v>0.91</v>
      </c>
      <c r="Z173" s="273">
        <f>IFERROR(INDEX('Measure Level Detail'!$R:$R,MATCH($B173&amp;"_"&amp;Z$3,'Measure Level Detail'!$C:$C,0)),0)</f>
        <v>0.91</v>
      </c>
      <c r="AA173" s="273">
        <f>IFERROR(INDEX('Measure Level Detail'!$R:$R,MATCH($B173&amp;"_"&amp;AA$3,'Measure Level Detail'!$C:$C,0)),0)</f>
        <v>0.91</v>
      </c>
      <c r="AB173" s="266">
        <f t="shared" si="87"/>
        <v>59368.806099274261</v>
      </c>
      <c r="AC173" s="266">
        <f t="shared" si="88"/>
        <v>55876.523387552246</v>
      </c>
      <c r="AD173" s="266">
        <f t="shared" si="89"/>
        <v>48891.957964108216</v>
      </c>
      <c r="AE173" s="266">
        <f t="shared" si="90"/>
        <v>47495.044879419409</v>
      </c>
      <c r="AF173" s="266">
        <f t="shared" si="91"/>
        <v>211632.33233035414</v>
      </c>
      <c r="AG173" s="274">
        <v>0.91</v>
      </c>
      <c r="AH173" s="274">
        <v>0.91</v>
      </c>
      <c r="AI173" s="274">
        <v>0.91</v>
      </c>
      <c r="AJ173" s="274">
        <v>0.91</v>
      </c>
      <c r="AK173" s="274">
        <f t="shared" si="92"/>
        <v>0.91</v>
      </c>
      <c r="AL173" s="274">
        <f t="shared" si="93"/>
        <v>0.91</v>
      </c>
      <c r="AM173" s="274">
        <f t="shared" si="94"/>
        <v>0.91</v>
      </c>
      <c r="AN173" s="274">
        <f t="shared" si="95"/>
        <v>0.91</v>
      </c>
      <c r="AO173" s="262"/>
      <c r="AP173" s="262"/>
      <c r="AQ173" s="267">
        <v>383.76733095846322</v>
      </c>
      <c r="AR173" s="262"/>
      <c r="AS173" s="266">
        <f t="shared" si="96"/>
        <v>59368.806099274261</v>
      </c>
      <c r="AT173" s="264">
        <f t="shared" si="97"/>
        <v>0</v>
      </c>
      <c r="AU173" s="262"/>
      <c r="AV173" s="262"/>
      <c r="AW173" s="265">
        <v>779.98158821323193</v>
      </c>
      <c r="AX173" s="164" t="s">
        <v>2397</v>
      </c>
      <c r="AY173" s="266">
        <v>55876.523387552246</v>
      </c>
      <c r="AZ173" s="266">
        <f t="shared" si="98"/>
        <v>113565.31924384658</v>
      </c>
      <c r="BA173" s="264">
        <f t="shared" si="99"/>
        <v>57688.795856294331</v>
      </c>
      <c r="BB173" s="262"/>
      <c r="BC173" s="262"/>
      <c r="BD173" s="265">
        <f ca="1">IFERROR(INDEX(Algorithms!$G:$G,MATCH($C173&amp;"_Therm Saved per Unit",Algorithms!$A:$A,0)),0)</f>
        <v>779.98158821323193</v>
      </c>
      <c r="BE173" s="164" t="str">
        <f ca="1">IFERROR(INDEX('v12 Revisions'!$P$29:$P$186, MATCH('Measure-Level Adj Gas'!$L173, 'v12 Revisions'!$D$29:$D$186,0)),"")</f>
        <v>n/a - costs only.</v>
      </c>
      <c r="BF173" s="266">
        <f t="shared" ca="1" si="100"/>
        <v>99369.654338365741</v>
      </c>
      <c r="BG173" s="264">
        <f t="shared" ca="1" si="101"/>
        <v>50477.696374257524</v>
      </c>
      <c r="BH173" s="262"/>
      <c r="BI173" s="262"/>
      <c r="BJ173" s="265">
        <f ca="1">IFERROR(INDEX(Algorithms!$G:$G,MATCH($C173&amp;"_Therm Saved per Unit",Algorithms!$A:$A,0)),0)</f>
        <v>779.98158821323193</v>
      </c>
      <c r="BK173" s="164"/>
      <c r="BL173" s="266">
        <f t="shared" ca="1" si="102"/>
        <v>96530.521357269579</v>
      </c>
      <c r="BM173" s="264">
        <f t="shared" ca="1" si="103"/>
        <v>49035.47647785017</v>
      </c>
      <c r="BN173" s="266">
        <f t="shared" si="104"/>
        <v>59368.806099274261</v>
      </c>
      <c r="BO173" s="266">
        <f t="shared" si="105"/>
        <v>113565.31924384658</v>
      </c>
      <c r="BP173" s="266">
        <f t="shared" ca="1" si="106"/>
        <v>99369.654338365741</v>
      </c>
      <c r="BQ173" s="266">
        <f t="shared" ca="1" si="107"/>
        <v>96530.521357269579</v>
      </c>
      <c r="BR173" s="268">
        <f t="shared" ca="1" si="108"/>
        <v>368834.30103875615</v>
      </c>
      <c r="BS173" s="262" t="s">
        <v>99</v>
      </c>
      <c r="BT173" s="277"/>
      <c r="BW173" s="266">
        <f t="shared" si="109"/>
        <v>59368.806099274261</v>
      </c>
      <c r="BX173" s="266">
        <f t="shared" si="110"/>
        <v>55876.523387552246</v>
      </c>
      <c r="BY173" s="266">
        <f t="shared" si="111"/>
        <v>48891.957964108216</v>
      </c>
      <c r="BZ173" s="266">
        <f t="shared" si="112"/>
        <v>47495.044879419409</v>
      </c>
      <c r="CA173" s="266">
        <f ca="1">N173*IFERROR(INDEX(Algorithms!$G:$G,MATCH($C173&amp;"_Therm Saved per Unit- MLA",Algorithms!$A:$A,0)),0)*X173</f>
        <v>0</v>
      </c>
      <c r="CB173" s="266">
        <f ca="1">O173*IFERROR(INDEX(Algorithms!$G:$G,MATCH($C173&amp;"_Therm Saved per Unit- MLA",Algorithms!$A:$A,0)),0)*Y173</f>
        <v>0</v>
      </c>
      <c r="CC173" s="266">
        <f ca="1">P173*IFERROR(INDEX(Algorithms!$G:$G,MATCH($C173&amp;"_Therm Saved per Unit- MLA",Algorithms!$A:$A,0)),0)*Z173</f>
        <v>0</v>
      </c>
      <c r="CD173" s="266">
        <f ca="1">Q173*IFERROR(INDEX(Algorithms!$G:$G,MATCH($C173&amp;"_Therm Saved per Unit- MLA",Algorithms!$A:$A,0)),0)*AA173</f>
        <v>0</v>
      </c>
      <c r="CE173" s="266">
        <f ca="1">IFERROR(INDEX(Algorithms!$G:$G,MATCH($C173&amp;"_Lifetime (years)",Algorithms!$A:$A,0)),0)</f>
        <v>6</v>
      </c>
      <c r="CF173" s="266">
        <f ca="1">IFERROR(INDEX(Algorithms!$G:$G,MATCH($C173&amp;"_Lifetime (years) - Remaining Years",Algorithms!$A:$A,0)),0)</f>
        <v>0</v>
      </c>
      <c r="CG173" s="266">
        <f t="shared" ca="1" si="113"/>
        <v>356212.83659564558</v>
      </c>
      <c r="CH173" s="266">
        <f t="shared" ca="1" si="114"/>
        <v>335259.14032531349</v>
      </c>
      <c r="CI173" s="266">
        <f t="shared" ca="1" si="115"/>
        <v>293351.74778464931</v>
      </c>
      <c r="CJ173" s="266">
        <f t="shared" ca="1" si="116"/>
        <v>284970.26927651645</v>
      </c>
      <c r="CK173" s="266">
        <f t="shared" si="117"/>
        <v>59368.806099274261</v>
      </c>
      <c r="CL173" s="266">
        <f t="shared" si="118"/>
        <v>113565.31924384658</v>
      </c>
      <c r="CM173" s="266">
        <f t="shared" ca="1" si="119"/>
        <v>99369.654338365741</v>
      </c>
      <c r="CN173" s="266">
        <f t="shared" ca="1" si="120"/>
        <v>96530.521357269579</v>
      </c>
      <c r="CO173" s="266">
        <f ca="1">N173*IFERROR(INDEX(Algorithms!$G:$G,MATCH($C173&amp;"_Therm Saved per Unit- MLA",Algorithms!$A:$A,0)),0)*X173</f>
        <v>0</v>
      </c>
      <c r="CP173" s="266">
        <f ca="1">O173*IFERROR(INDEX(Algorithms!$G:$G,MATCH($C173&amp;"_Therm Saved per Unit- MLA",Algorithms!$A:$A,0)),0)*Y173</f>
        <v>0</v>
      </c>
      <c r="CQ173" s="266">
        <f ca="1">P173*IFERROR(INDEX(Algorithms!$G:$G,MATCH($C173&amp;"_Therm Saved per Unit- MLA",Algorithms!$A:$A,0)),0)*Z173</f>
        <v>0</v>
      </c>
      <c r="CR173" s="266">
        <f ca="1">Q173*IFERROR(INDEX(Algorithms!$G:$G,MATCH($C173&amp;"_Therm Saved per Unit- MLA",Algorithms!$A:$A,0)),0)*AA173</f>
        <v>0</v>
      </c>
      <c r="CS173" s="266">
        <f ca="1">IFERROR(INDEX(Algorithms!$G:$G,MATCH($C173&amp;"_Lifetime (years)",Algorithms!$A:$A,0)),0)</f>
        <v>6</v>
      </c>
      <c r="CT173" s="266">
        <f ca="1">IFERROR(INDEX(Algorithms!$G:$G,MATCH($C173&amp;"_Lifetime (years) - Remaining Years",Algorithms!$A:$A,0)),0)</f>
        <v>0</v>
      </c>
      <c r="CU173" s="266">
        <f t="shared" ca="1" si="121"/>
        <v>356212.83659564558</v>
      </c>
      <c r="CV173" s="266">
        <f t="shared" ca="1" si="122"/>
        <v>681391.91546307947</v>
      </c>
      <c r="CW173" s="266">
        <f t="shared" ca="1" si="123"/>
        <v>596217.92603019439</v>
      </c>
      <c r="CX173" s="266">
        <f t="shared" ca="1" si="124"/>
        <v>579183.12814361742</v>
      </c>
    </row>
    <row r="174" spans="2:102" s="47" customFormat="1" ht="18" customHeight="1" x14ac:dyDescent="0.25">
      <c r="B174" t="str">
        <f t="shared" si="125"/>
        <v>NSG_Income Eligible_Single Family_IHWAP_Weatherstripping_0_IE SF</v>
      </c>
      <c r="C174" s="47" t="str">
        <f t="shared" si="86"/>
        <v>Weatherstripping_0_IE SF</v>
      </c>
      <c r="D174" s="270" t="s">
        <v>1787</v>
      </c>
      <c r="E174" s="270" t="s">
        <v>325</v>
      </c>
      <c r="F174" s="270" t="s">
        <v>375</v>
      </c>
      <c r="G174" s="270" t="s">
        <v>1439</v>
      </c>
      <c r="H174" s="270" t="s">
        <v>576</v>
      </c>
      <c r="I174" s="270">
        <v>0</v>
      </c>
      <c r="J174" s="270" t="s">
        <v>581</v>
      </c>
      <c r="K174" s="263">
        <v>1</v>
      </c>
      <c r="L174" s="263" t="str">
        <f ca="1">IFERROR(INDEX(Algorithms!J:J,MATCH($C174&amp;"_Therm Saved per Unit",Algorithms!$A:$A,0)),"n/a")</f>
        <v>5.6.1</v>
      </c>
      <c r="M174" s="263" t="str">
        <f>IFERROR(INDEX('Measure Level Detail'!$N:$N,MATCH($B174,'Measure Level Detail'!$B:$B,0)),0)</f>
        <v>linear ft</v>
      </c>
      <c r="N174" s="271">
        <f>IFERROR(INDEX('Measure Level Detail'!$P:$P,MATCH($B174&amp;"_"&amp;N$3,'Measure Level Detail'!$C:$C,0)),0)</f>
        <v>170</v>
      </c>
      <c r="O174" s="271">
        <f>IFERROR(INDEX('Measure Level Detail'!$P:$P,MATCH($B174&amp;"_"&amp;O$3,'Measure Level Detail'!$C:$C,0)),0)</f>
        <v>187</v>
      </c>
      <c r="P174" s="271">
        <f>IFERROR(INDEX('Measure Level Detail'!$P:$P,MATCH($B174&amp;"_"&amp;P$3,'Measure Level Detail'!$C:$C,0)),0)</f>
        <v>238</v>
      </c>
      <c r="Q174" s="271">
        <f>IFERROR(INDEX('Measure Level Detail'!$P:$P,MATCH($B174&amp;"_"&amp;Q$3,'Measure Level Detail'!$C:$C,0)),0)</f>
        <v>255</v>
      </c>
      <c r="R174" s="263" t="str">
        <f ca="1">IFERROR(INDEX(Algorithms!K:K,MATCH($C174&amp;"_Therm Saved per Unit",Algorithms!$A:$A,0)),"n/a")</f>
        <v>RS-SHL-AIRS-V13-240101</v>
      </c>
      <c r="S174" s="262"/>
      <c r="T174" s="272">
        <v>0.48799999999999999</v>
      </c>
      <c r="U174" s="272">
        <v>0.48799999999999999</v>
      </c>
      <c r="V174" s="272">
        <v>0.48799999999999999</v>
      </c>
      <c r="W174" s="272">
        <v>0.48799999999999999</v>
      </c>
      <c r="X174" s="273">
        <f>IFERROR(INDEX('Measure Level Detail'!$R:$R,MATCH($B174&amp;"_"&amp;X$3,'Measure Level Detail'!$C:$C,0)),0)</f>
        <v>1</v>
      </c>
      <c r="Y174" s="273">
        <f>IFERROR(INDEX('Measure Level Detail'!$R:$R,MATCH($B174&amp;"_"&amp;Y$3,'Measure Level Detail'!$C:$C,0)),0)</f>
        <v>1</v>
      </c>
      <c r="Z174" s="273">
        <f>IFERROR(INDEX('Measure Level Detail'!$R:$R,MATCH($B174&amp;"_"&amp;Z$3,'Measure Level Detail'!$C:$C,0)),0)</f>
        <v>1</v>
      </c>
      <c r="AA174" s="273">
        <f>IFERROR(INDEX('Measure Level Detail'!$R:$R,MATCH($B174&amp;"_"&amp;AA$3,'Measure Level Detail'!$C:$C,0)),0)</f>
        <v>1</v>
      </c>
      <c r="AB174" s="266">
        <f t="shared" si="87"/>
        <v>82.96</v>
      </c>
      <c r="AC174" s="266">
        <f t="shared" si="88"/>
        <v>91.256</v>
      </c>
      <c r="AD174" s="266">
        <f t="shared" si="89"/>
        <v>116.14399999999999</v>
      </c>
      <c r="AE174" s="266">
        <f t="shared" si="90"/>
        <v>124.44</v>
      </c>
      <c r="AF174" s="266">
        <f t="shared" si="91"/>
        <v>414.8</v>
      </c>
      <c r="AG174" s="274">
        <v>1</v>
      </c>
      <c r="AH174" s="274">
        <v>1</v>
      </c>
      <c r="AI174" s="274">
        <v>1</v>
      </c>
      <c r="AJ174" s="274">
        <v>1</v>
      </c>
      <c r="AK174" s="274">
        <f t="shared" si="92"/>
        <v>1</v>
      </c>
      <c r="AL174" s="274">
        <f t="shared" si="93"/>
        <v>1</v>
      </c>
      <c r="AM174" s="274">
        <f t="shared" si="94"/>
        <v>1</v>
      </c>
      <c r="AN174" s="274">
        <f t="shared" si="95"/>
        <v>1</v>
      </c>
      <c r="AO174" s="262"/>
      <c r="AP174" s="262"/>
      <c r="AQ174" s="267">
        <v>0.48799999999999999</v>
      </c>
      <c r="AR174" s="262"/>
      <c r="AS174" s="266">
        <f t="shared" si="96"/>
        <v>82.96</v>
      </c>
      <c r="AT174" s="264">
        <f t="shared" si="97"/>
        <v>0</v>
      </c>
      <c r="AU174" s="262"/>
      <c r="AV174" s="262"/>
      <c r="AW174" s="265">
        <v>0.48799999999999999</v>
      </c>
      <c r="AX174" s="164" t="s">
        <v>2395</v>
      </c>
      <c r="AY174" s="266">
        <v>91.256</v>
      </c>
      <c r="AZ174" s="266">
        <f t="shared" si="98"/>
        <v>91.256</v>
      </c>
      <c r="BA174" s="264">
        <f t="shared" si="99"/>
        <v>0</v>
      </c>
      <c r="BB174" s="262"/>
      <c r="BC174" s="262"/>
      <c r="BD174" s="265">
        <f ca="1">IFERROR(INDEX(Algorithms!$G:$G,MATCH($C174&amp;"_Therm Saved per Unit",Algorithms!$A:$A,0)),0)</f>
        <v>0.48799999999999999</v>
      </c>
      <c r="BE174" s="164" t="str">
        <f ca="1">IFERROR(INDEX('v12 Revisions'!$P$29:$P$186, MATCH('Measure-Level Adj Gas'!$L174, 'v12 Revisions'!$D$29:$D$186,0)),"")</f>
        <v>Updated HDD from 5113 to 4798 and shell adjustment factor from 0.72 to 0.76.</v>
      </c>
      <c r="BF174" s="266">
        <f t="shared" ca="1" si="100"/>
        <v>116.14399999999999</v>
      </c>
      <c r="BG174" s="264">
        <f t="shared" ca="1" si="101"/>
        <v>0</v>
      </c>
      <c r="BH174" s="262"/>
      <c r="BI174" s="262"/>
      <c r="BJ174" s="265">
        <f ca="1">IFERROR(INDEX(Algorithms!$G:$G,MATCH($C174&amp;"_Therm Saved per Unit",Algorithms!$A:$A,0)),0)</f>
        <v>0.48799999999999999</v>
      </c>
      <c r="BK174" s="164"/>
      <c r="BL174" s="266">
        <f t="shared" ca="1" si="102"/>
        <v>124.44</v>
      </c>
      <c r="BM174" s="264">
        <f t="shared" ca="1" si="103"/>
        <v>0</v>
      </c>
      <c r="BN174" s="266">
        <f t="shared" si="104"/>
        <v>82.96</v>
      </c>
      <c r="BO174" s="266">
        <f t="shared" si="105"/>
        <v>91.256</v>
      </c>
      <c r="BP174" s="266">
        <f t="shared" ca="1" si="106"/>
        <v>116.14399999999999</v>
      </c>
      <c r="BQ174" s="266">
        <f t="shared" ca="1" si="107"/>
        <v>124.44</v>
      </c>
      <c r="BR174" s="268">
        <f t="shared" ca="1" si="108"/>
        <v>414.8</v>
      </c>
      <c r="BS174" s="262" t="s">
        <v>99</v>
      </c>
      <c r="BT174" s="277"/>
      <c r="BW174" s="266">
        <f t="shared" si="109"/>
        <v>82.96</v>
      </c>
      <c r="BX174" s="266">
        <f t="shared" si="110"/>
        <v>91.256</v>
      </c>
      <c r="BY174" s="266">
        <f t="shared" si="111"/>
        <v>116.14399999999999</v>
      </c>
      <c r="BZ174" s="266">
        <f t="shared" si="112"/>
        <v>124.44</v>
      </c>
      <c r="CA174" s="266">
        <f ca="1">N174*IFERROR(INDEX(Algorithms!$G:$G,MATCH($C174&amp;"_Therm Saved per Unit- MLA",Algorithms!$A:$A,0)),0)*X174</f>
        <v>0</v>
      </c>
      <c r="CB174" s="266">
        <f ca="1">O174*IFERROR(INDEX(Algorithms!$G:$G,MATCH($C174&amp;"_Therm Saved per Unit- MLA",Algorithms!$A:$A,0)),0)*Y174</f>
        <v>0</v>
      </c>
      <c r="CC174" s="266">
        <f ca="1">P174*IFERROR(INDEX(Algorithms!$G:$G,MATCH($C174&amp;"_Therm Saved per Unit- MLA",Algorithms!$A:$A,0)),0)*Z174</f>
        <v>0</v>
      </c>
      <c r="CD174" s="266">
        <f ca="1">Q174*IFERROR(INDEX(Algorithms!$G:$G,MATCH($C174&amp;"_Therm Saved per Unit- MLA",Algorithms!$A:$A,0)),0)*AA174</f>
        <v>0</v>
      </c>
      <c r="CE174" s="266">
        <f ca="1">IFERROR(INDEX(Algorithms!$G:$G,MATCH($C174&amp;"_Lifetime (years)",Algorithms!$A:$A,0)),0)</f>
        <v>10</v>
      </c>
      <c r="CF174" s="266">
        <f ca="1">IFERROR(INDEX(Algorithms!$G:$G,MATCH($C174&amp;"_Lifetime (years) - Remaining Years",Algorithms!$A:$A,0)),0)</f>
        <v>0</v>
      </c>
      <c r="CG174" s="266">
        <f t="shared" ca="1" si="113"/>
        <v>829.59999999999991</v>
      </c>
      <c r="CH174" s="266">
        <f t="shared" ca="1" si="114"/>
        <v>912.56</v>
      </c>
      <c r="CI174" s="266">
        <f t="shared" ca="1" si="115"/>
        <v>1161.4399999999998</v>
      </c>
      <c r="CJ174" s="266">
        <f t="shared" ca="1" si="116"/>
        <v>1244.4000000000001</v>
      </c>
      <c r="CK174" s="266">
        <f t="shared" si="117"/>
        <v>82.96</v>
      </c>
      <c r="CL174" s="266">
        <f t="shared" si="118"/>
        <v>91.256</v>
      </c>
      <c r="CM174" s="266">
        <f t="shared" ca="1" si="119"/>
        <v>116.14399999999999</v>
      </c>
      <c r="CN174" s="266">
        <f t="shared" ca="1" si="120"/>
        <v>124.44</v>
      </c>
      <c r="CO174" s="266">
        <f ca="1">N174*IFERROR(INDEX(Algorithms!$G:$G,MATCH($C174&amp;"_Therm Saved per Unit- MLA",Algorithms!$A:$A,0)),0)*X174</f>
        <v>0</v>
      </c>
      <c r="CP174" s="266">
        <f ca="1">O174*IFERROR(INDEX(Algorithms!$G:$G,MATCH($C174&amp;"_Therm Saved per Unit- MLA",Algorithms!$A:$A,0)),0)*Y174</f>
        <v>0</v>
      </c>
      <c r="CQ174" s="266">
        <f ca="1">P174*IFERROR(INDEX(Algorithms!$G:$G,MATCH($C174&amp;"_Therm Saved per Unit- MLA",Algorithms!$A:$A,0)),0)*Z174</f>
        <v>0</v>
      </c>
      <c r="CR174" s="266">
        <f ca="1">Q174*IFERROR(INDEX(Algorithms!$G:$G,MATCH($C174&amp;"_Therm Saved per Unit- MLA",Algorithms!$A:$A,0)),0)*AA174</f>
        <v>0</v>
      </c>
      <c r="CS174" s="266">
        <f ca="1">IFERROR(INDEX(Algorithms!$G:$G,MATCH($C174&amp;"_Lifetime (years)",Algorithms!$A:$A,0)),0)</f>
        <v>10</v>
      </c>
      <c r="CT174" s="266">
        <f ca="1">IFERROR(INDEX(Algorithms!$G:$G,MATCH($C174&amp;"_Lifetime (years) - Remaining Years",Algorithms!$A:$A,0)),0)</f>
        <v>0</v>
      </c>
      <c r="CU174" s="266">
        <f t="shared" ca="1" si="121"/>
        <v>829.59999999999991</v>
      </c>
      <c r="CV174" s="266">
        <f t="shared" ca="1" si="122"/>
        <v>912.56</v>
      </c>
      <c r="CW174" s="266">
        <f t="shared" ca="1" si="123"/>
        <v>1161.4399999999998</v>
      </c>
      <c r="CX174" s="266">
        <f t="shared" ca="1" si="124"/>
        <v>1244.4000000000001</v>
      </c>
    </row>
    <row r="175" spans="2:102" s="47" customFormat="1" ht="18" customHeight="1" x14ac:dyDescent="0.25">
      <c r="B175" t="str">
        <f t="shared" si="125"/>
        <v>NSG_Residential_Multi-Family_Partner Trade Ally Rebate_Pipe Insulation_Hyd. Boiler Med 1.25-2"_MF</v>
      </c>
      <c r="C175" s="47" t="str">
        <f t="shared" si="86"/>
        <v>Pipe Insulation_Hyd. Boiler Med 1.25-2"_MF</v>
      </c>
      <c r="D175" s="270" t="s">
        <v>1787</v>
      </c>
      <c r="E175" s="270" t="s">
        <v>2</v>
      </c>
      <c r="F175" s="270" t="s">
        <v>1422</v>
      </c>
      <c r="G175" s="270" t="s">
        <v>1799</v>
      </c>
      <c r="H175" s="270" t="s">
        <v>404</v>
      </c>
      <c r="I175" s="270" t="s">
        <v>951</v>
      </c>
      <c r="J175" s="270" t="s">
        <v>553</v>
      </c>
      <c r="K175" s="263">
        <v>1</v>
      </c>
      <c r="L175" s="263" t="str">
        <f ca="1">IFERROR(INDEX(Algorithms!J:J,MATCH($C175&amp;"_Therm Saved per Unit",Algorithms!$A:$A,0)),"n/a")</f>
        <v>"3 - Res Pipe Insulation" worksheet</v>
      </c>
      <c r="M175" s="263" t="str">
        <f>IFERROR(INDEX('Measure Level Detail'!$N:$N,MATCH($B175,'Measure Level Detail'!$B:$B,0)),0)</f>
        <v>ft</v>
      </c>
      <c r="N175" s="271">
        <f>IFERROR(INDEX('Measure Level Detail'!$P:$P,MATCH($B175&amp;"_"&amp;N$3,'Measure Level Detail'!$C:$C,0)),0)</f>
        <v>150</v>
      </c>
      <c r="O175" s="271">
        <f>IFERROR(INDEX('Measure Level Detail'!$P:$P,MATCH($B175&amp;"_"&amp;O$3,'Measure Level Detail'!$C:$C,0)),0)</f>
        <v>150</v>
      </c>
      <c r="P175" s="271">
        <f>IFERROR(INDEX('Measure Level Detail'!$P:$P,MATCH($B175&amp;"_"&amp;P$3,'Measure Level Detail'!$C:$C,0)),0)</f>
        <v>150</v>
      </c>
      <c r="Q175" s="271">
        <f>IFERROR(INDEX('Measure Level Detail'!$P:$P,MATCH($B175&amp;"_"&amp;Q$3,'Measure Level Detail'!$C:$C,0)),0)</f>
        <v>150</v>
      </c>
      <c r="R175" s="263">
        <f ca="1">IFERROR(INDEX(Algorithms!K:K,MATCH($C175&amp;"_Therm Saved per Unit",Algorithms!$A:$A,0)),"n/a")</f>
        <v>0</v>
      </c>
      <c r="S175" s="262"/>
      <c r="T175" s="272">
        <v>3.6034773504273505</v>
      </c>
      <c r="U175" s="272">
        <v>3.6034773504273505</v>
      </c>
      <c r="V175" s="272">
        <v>3.6034773504273505</v>
      </c>
      <c r="W175" s="272">
        <v>3.6034773504273505</v>
      </c>
      <c r="X175" s="273">
        <f>IFERROR(INDEX('Measure Level Detail'!$R:$R,MATCH($B175&amp;"_"&amp;X$3,'Measure Level Detail'!$C:$C,0)),0)</f>
        <v>0.87</v>
      </c>
      <c r="Y175" s="273">
        <f>IFERROR(INDEX('Measure Level Detail'!$R:$R,MATCH($B175&amp;"_"&amp;Y$3,'Measure Level Detail'!$C:$C,0)),0)</f>
        <v>0.87</v>
      </c>
      <c r="Z175" s="273">
        <f>IFERROR(INDEX('Measure Level Detail'!$R:$R,MATCH($B175&amp;"_"&amp;Z$3,'Measure Level Detail'!$C:$C,0)),0)</f>
        <v>0.87</v>
      </c>
      <c r="AA175" s="273">
        <f>IFERROR(INDEX('Measure Level Detail'!$R:$R,MATCH($B175&amp;"_"&amp;AA$3,'Measure Level Detail'!$C:$C,0)),0)</f>
        <v>0.87</v>
      </c>
      <c r="AB175" s="266">
        <f t="shared" si="87"/>
        <v>470.25379423076919</v>
      </c>
      <c r="AC175" s="266">
        <f t="shared" si="88"/>
        <v>470.25379423076919</v>
      </c>
      <c r="AD175" s="266">
        <f t="shared" si="89"/>
        <v>470.25379423076919</v>
      </c>
      <c r="AE175" s="266">
        <f t="shared" si="90"/>
        <v>470.25379423076919</v>
      </c>
      <c r="AF175" s="266">
        <f t="shared" si="91"/>
        <v>1881.0151769230768</v>
      </c>
      <c r="AG175" s="274">
        <v>0.87</v>
      </c>
      <c r="AH175" s="274">
        <v>0.87</v>
      </c>
      <c r="AI175" s="710">
        <v>0.88</v>
      </c>
      <c r="AJ175" s="710">
        <v>0.88</v>
      </c>
      <c r="AK175" s="274">
        <f t="shared" si="92"/>
        <v>0.87</v>
      </c>
      <c r="AL175" s="274">
        <f t="shared" si="93"/>
        <v>0.87</v>
      </c>
      <c r="AM175" s="274">
        <f t="shared" si="94"/>
        <v>0.87</v>
      </c>
      <c r="AN175" s="274">
        <f t="shared" si="95"/>
        <v>0.87</v>
      </c>
      <c r="AO175" s="262"/>
      <c r="AP175" s="262"/>
      <c r="AQ175" s="267">
        <v>3.6034773504273505</v>
      </c>
      <c r="AR175" s="262"/>
      <c r="AS175" s="266">
        <f t="shared" si="96"/>
        <v>470.25379423076919</v>
      </c>
      <c r="AT175" s="264">
        <f t="shared" si="97"/>
        <v>0</v>
      </c>
      <c r="AU175" s="262"/>
      <c r="AV175" s="262"/>
      <c r="AW175" s="265">
        <v>3.6034773504273505</v>
      </c>
      <c r="AX175" s="164" t="s">
        <v>1469</v>
      </c>
      <c r="AY175" s="266">
        <v>470.25379423076919</v>
      </c>
      <c r="AZ175" s="266">
        <f t="shared" si="98"/>
        <v>470.25379423076919</v>
      </c>
      <c r="BA175" s="264">
        <f t="shared" si="99"/>
        <v>0</v>
      </c>
      <c r="BB175" s="262"/>
      <c r="BC175" s="262"/>
      <c r="BD175" s="265">
        <f ca="1">IFERROR(INDEX(Algorithms!$G:$G,MATCH($C175&amp;"_Therm Saved per Unit",Algorithms!$A:$A,0)),0)</f>
        <v>3.6034773504273505</v>
      </c>
      <c r="BE175" s="164" t="str">
        <f ca="1">IFERROR(INDEX('v12 Revisions'!$P$29:$P$186, MATCH('Measure-Level Adj Gas'!$L175, 'v12 Revisions'!$D$29:$D$186,0)),"")</f>
        <v/>
      </c>
      <c r="BF175" s="266">
        <f t="shared" ca="1" si="100"/>
        <v>470.25379423076919</v>
      </c>
      <c r="BG175" s="264">
        <f t="shared" ca="1" si="101"/>
        <v>0</v>
      </c>
      <c r="BH175" s="262"/>
      <c r="BI175" s="262"/>
      <c r="BJ175" s="265">
        <f ca="1">IFERROR(INDEX(Algorithms!$G:$G,MATCH($C175&amp;"_Therm Saved per Unit",Algorithms!$A:$A,0)),0)</f>
        <v>3.6034773504273505</v>
      </c>
      <c r="BK175" s="164"/>
      <c r="BL175" s="266">
        <f t="shared" ca="1" si="102"/>
        <v>470.25379423076919</v>
      </c>
      <c r="BM175" s="264">
        <f t="shared" ca="1" si="103"/>
        <v>0</v>
      </c>
      <c r="BN175" s="266">
        <f t="shared" si="104"/>
        <v>470.25379423076919</v>
      </c>
      <c r="BO175" s="266">
        <f t="shared" si="105"/>
        <v>470.25379423076919</v>
      </c>
      <c r="BP175" s="266">
        <f t="shared" ca="1" si="106"/>
        <v>470.25379423076919</v>
      </c>
      <c r="BQ175" s="266">
        <f t="shared" ca="1" si="107"/>
        <v>470.25379423076919</v>
      </c>
      <c r="BR175" s="268">
        <f t="shared" ca="1" si="108"/>
        <v>1881.0151769230768</v>
      </c>
      <c r="BS175" s="262" t="s">
        <v>99</v>
      </c>
      <c r="BT175" s="277"/>
      <c r="BW175" s="266">
        <f t="shared" si="109"/>
        <v>470.25379423076919</v>
      </c>
      <c r="BX175" s="266">
        <f t="shared" si="110"/>
        <v>470.25379423076919</v>
      </c>
      <c r="BY175" s="266">
        <f t="shared" si="111"/>
        <v>470.25379423076919</v>
      </c>
      <c r="BZ175" s="266">
        <f t="shared" si="112"/>
        <v>470.25379423076919</v>
      </c>
      <c r="CA175" s="266">
        <f ca="1">N175*IFERROR(INDEX(Algorithms!$G:$G,MATCH($C175&amp;"_Therm Saved per Unit- MLA",Algorithms!$A:$A,0)),0)*X175</f>
        <v>0</v>
      </c>
      <c r="CB175" s="266">
        <f ca="1">O175*IFERROR(INDEX(Algorithms!$G:$G,MATCH($C175&amp;"_Therm Saved per Unit- MLA",Algorithms!$A:$A,0)),0)*Y175</f>
        <v>0</v>
      </c>
      <c r="CC175" s="266">
        <f ca="1">P175*IFERROR(INDEX(Algorithms!$G:$G,MATCH($C175&amp;"_Therm Saved per Unit- MLA",Algorithms!$A:$A,0)),0)*Z175</f>
        <v>0</v>
      </c>
      <c r="CD175" s="266">
        <f ca="1">Q175*IFERROR(INDEX(Algorithms!$G:$G,MATCH($C175&amp;"_Therm Saved per Unit- MLA",Algorithms!$A:$A,0)),0)*AA175</f>
        <v>0</v>
      </c>
      <c r="CE175" s="266">
        <f ca="1">IFERROR(INDEX(Algorithms!$G:$G,MATCH($C175&amp;"_Lifetime (years)",Algorithms!$A:$A,0)),0)</f>
        <v>15</v>
      </c>
      <c r="CF175" s="266">
        <f ca="1">IFERROR(INDEX(Algorithms!$G:$G,MATCH($C175&amp;"_Lifetime (years) - Remaining Years",Algorithms!$A:$A,0)),0)</f>
        <v>0</v>
      </c>
      <c r="CG175" s="266">
        <f t="shared" ca="1" si="113"/>
        <v>7053.806913461538</v>
      </c>
      <c r="CH175" s="266">
        <f t="shared" ca="1" si="114"/>
        <v>7053.806913461538</v>
      </c>
      <c r="CI175" s="266">
        <f t="shared" ca="1" si="115"/>
        <v>7053.806913461538</v>
      </c>
      <c r="CJ175" s="266">
        <f t="shared" ca="1" si="116"/>
        <v>7053.806913461538</v>
      </c>
      <c r="CK175" s="266">
        <f t="shared" si="117"/>
        <v>470.25379423076919</v>
      </c>
      <c r="CL175" s="266">
        <f t="shared" si="118"/>
        <v>470.25379423076919</v>
      </c>
      <c r="CM175" s="266">
        <f t="shared" ca="1" si="119"/>
        <v>470.25379423076919</v>
      </c>
      <c r="CN175" s="266">
        <f t="shared" ca="1" si="120"/>
        <v>470.25379423076919</v>
      </c>
      <c r="CO175" s="266">
        <f ca="1">N175*IFERROR(INDEX(Algorithms!$G:$G,MATCH($C175&amp;"_Therm Saved per Unit- MLA",Algorithms!$A:$A,0)),0)*X175</f>
        <v>0</v>
      </c>
      <c r="CP175" s="266">
        <f ca="1">O175*IFERROR(INDEX(Algorithms!$G:$G,MATCH($C175&amp;"_Therm Saved per Unit- MLA",Algorithms!$A:$A,0)),0)*Y175</f>
        <v>0</v>
      </c>
      <c r="CQ175" s="266">
        <f ca="1">P175*IFERROR(INDEX(Algorithms!$G:$G,MATCH($C175&amp;"_Therm Saved per Unit- MLA",Algorithms!$A:$A,0)),0)*Z175</f>
        <v>0</v>
      </c>
      <c r="CR175" s="266">
        <f ca="1">Q175*IFERROR(INDEX(Algorithms!$G:$G,MATCH($C175&amp;"_Therm Saved per Unit- MLA",Algorithms!$A:$A,0)),0)*AA175</f>
        <v>0</v>
      </c>
      <c r="CS175" s="266">
        <f ca="1">IFERROR(INDEX(Algorithms!$G:$G,MATCH($C175&amp;"_Lifetime (years)",Algorithms!$A:$A,0)),0)</f>
        <v>15</v>
      </c>
      <c r="CT175" s="266">
        <f ca="1">IFERROR(INDEX(Algorithms!$G:$G,MATCH($C175&amp;"_Lifetime (years) - Remaining Years",Algorithms!$A:$A,0)),0)</f>
        <v>0</v>
      </c>
      <c r="CU175" s="266">
        <f t="shared" ca="1" si="121"/>
        <v>7053.806913461538</v>
      </c>
      <c r="CV175" s="266">
        <f t="shared" ca="1" si="122"/>
        <v>7053.806913461538</v>
      </c>
      <c r="CW175" s="266">
        <f t="shared" ca="1" si="123"/>
        <v>7053.806913461538</v>
      </c>
      <c r="CX175" s="266">
        <f t="shared" ca="1" si="124"/>
        <v>7053.806913461538</v>
      </c>
    </row>
    <row r="176" spans="2:102" s="47" customFormat="1" ht="18" customHeight="1" x14ac:dyDescent="0.25">
      <c r="B176" t="str">
        <f t="shared" si="125"/>
        <v>NSG_Residential_Multi-Family_Partner Trade Ally Rebate_Pipe Insulation_Steam - Small 1" to 2"_MF</v>
      </c>
      <c r="C176" s="47" t="str">
        <f t="shared" si="86"/>
        <v>Pipe Insulation_Steam - Small 1" to 2"_MF</v>
      </c>
      <c r="D176" s="270" t="s">
        <v>1787</v>
      </c>
      <c r="E176" s="270" t="s">
        <v>2</v>
      </c>
      <c r="F176" s="270" t="s">
        <v>1422</v>
      </c>
      <c r="G176" s="270" t="s">
        <v>1799</v>
      </c>
      <c r="H176" s="270" t="s">
        <v>404</v>
      </c>
      <c r="I176" s="270" t="s">
        <v>956</v>
      </c>
      <c r="J176" s="270" t="s">
        <v>553</v>
      </c>
      <c r="K176" s="263">
        <v>1</v>
      </c>
      <c r="L176" s="263" t="str">
        <f ca="1">IFERROR(INDEX(Algorithms!J:J,MATCH($C176&amp;"_Therm Saved per Unit",Algorithms!$A:$A,0)),"n/a")</f>
        <v>"3 - Res Pipe Insulation" worksheet</v>
      </c>
      <c r="M176" s="263" t="str">
        <f>IFERROR(INDEX('Measure Level Detail'!$N:$N,MATCH($B176,'Measure Level Detail'!$B:$B,0)),0)</f>
        <v>ft</v>
      </c>
      <c r="N176" s="271">
        <f>IFERROR(INDEX('Measure Level Detail'!$P:$P,MATCH($B176&amp;"_"&amp;N$3,'Measure Level Detail'!$C:$C,0)),0)</f>
        <v>150</v>
      </c>
      <c r="O176" s="271">
        <f>IFERROR(INDEX('Measure Level Detail'!$P:$P,MATCH($B176&amp;"_"&amp;O$3,'Measure Level Detail'!$C:$C,0)),0)</f>
        <v>150</v>
      </c>
      <c r="P176" s="271">
        <f>IFERROR(INDEX('Measure Level Detail'!$P:$P,MATCH($B176&amp;"_"&amp;P$3,'Measure Level Detail'!$C:$C,0)),0)</f>
        <v>150</v>
      </c>
      <c r="Q176" s="271">
        <f>IFERROR(INDEX('Measure Level Detail'!$P:$P,MATCH($B176&amp;"_"&amp;Q$3,'Measure Level Detail'!$C:$C,0)),0)</f>
        <v>150</v>
      </c>
      <c r="R176" s="263">
        <f ca="1">IFERROR(INDEX(Algorithms!K:K,MATCH($C176&amp;"_Therm Saved per Unit",Algorithms!$A:$A,0)),"n/a")</f>
        <v>0</v>
      </c>
      <c r="S176" s="262"/>
      <c r="T176" s="272">
        <v>3.967097058288509</v>
      </c>
      <c r="U176" s="272">
        <v>3.967097058288509</v>
      </c>
      <c r="V176" s="272">
        <v>3.967097058288509</v>
      </c>
      <c r="W176" s="272">
        <v>3.967097058288509</v>
      </c>
      <c r="X176" s="273">
        <f>IFERROR(INDEX('Measure Level Detail'!$R:$R,MATCH($B176&amp;"_"&amp;X$3,'Measure Level Detail'!$C:$C,0)),0)</f>
        <v>0.87</v>
      </c>
      <c r="Y176" s="273">
        <f>IFERROR(INDEX('Measure Level Detail'!$R:$R,MATCH($B176&amp;"_"&amp;Y$3,'Measure Level Detail'!$C:$C,0)),0)</f>
        <v>0.87</v>
      </c>
      <c r="Z176" s="273">
        <f>IFERROR(INDEX('Measure Level Detail'!$R:$R,MATCH($B176&amp;"_"&amp;Z$3,'Measure Level Detail'!$C:$C,0)),0)</f>
        <v>0.87</v>
      </c>
      <c r="AA176" s="273">
        <f>IFERROR(INDEX('Measure Level Detail'!$R:$R,MATCH($B176&amp;"_"&amp;AA$3,'Measure Level Detail'!$C:$C,0)),0)</f>
        <v>0.87</v>
      </c>
      <c r="AB176" s="266">
        <f t="shared" si="87"/>
        <v>517.70616610665047</v>
      </c>
      <c r="AC176" s="266">
        <f t="shared" si="88"/>
        <v>517.70616610665047</v>
      </c>
      <c r="AD176" s="266">
        <f t="shared" si="89"/>
        <v>517.70616610665047</v>
      </c>
      <c r="AE176" s="266">
        <f t="shared" si="90"/>
        <v>517.70616610665047</v>
      </c>
      <c r="AF176" s="266">
        <f t="shared" si="91"/>
        <v>2070.8246644266019</v>
      </c>
      <c r="AG176" s="274">
        <v>0.87</v>
      </c>
      <c r="AH176" s="274">
        <v>0.87</v>
      </c>
      <c r="AI176" s="710">
        <v>0.88</v>
      </c>
      <c r="AJ176" s="710">
        <v>0.88</v>
      </c>
      <c r="AK176" s="274">
        <f t="shared" si="92"/>
        <v>0.87</v>
      </c>
      <c r="AL176" s="274">
        <f t="shared" si="93"/>
        <v>0.87</v>
      </c>
      <c r="AM176" s="274">
        <f t="shared" si="94"/>
        <v>0.87</v>
      </c>
      <c r="AN176" s="274">
        <f t="shared" si="95"/>
        <v>0.87</v>
      </c>
      <c r="AO176" s="262"/>
      <c r="AP176" s="262"/>
      <c r="AQ176" s="267">
        <v>3.967097058288509</v>
      </c>
      <c r="AR176" s="262"/>
      <c r="AS176" s="266">
        <f t="shared" si="96"/>
        <v>517.70616610665047</v>
      </c>
      <c r="AT176" s="264">
        <f t="shared" si="97"/>
        <v>0</v>
      </c>
      <c r="AU176" s="262"/>
      <c r="AV176" s="262"/>
      <c r="AW176" s="265">
        <v>3.967097058288509</v>
      </c>
      <c r="AX176" s="164" t="s">
        <v>1469</v>
      </c>
      <c r="AY176" s="266">
        <v>517.70616610665047</v>
      </c>
      <c r="AZ176" s="266">
        <f t="shared" si="98"/>
        <v>517.70616610665047</v>
      </c>
      <c r="BA176" s="264">
        <f t="shared" si="99"/>
        <v>0</v>
      </c>
      <c r="BB176" s="262"/>
      <c r="BC176" s="262"/>
      <c r="BD176" s="265">
        <f ca="1">IFERROR(INDEX(Algorithms!$G:$G,MATCH($C176&amp;"_Therm Saved per Unit",Algorithms!$A:$A,0)),0)</f>
        <v>3.967097058288509</v>
      </c>
      <c r="BE176" s="164" t="str">
        <f ca="1">IFERROR(INDEX('v12 Revisions'!$P$29:$P$186, MATCH('Measure-Level Adj Gas'!$L176, 'v12 Revisions'!$D$29:$D$186,0)),"")</f>
        <v/>
      </c>
      <c r="BF176" s="266">
        <f t="shared" ca="1" si="100"/>
        <v>517.70616610665047</v>
      </c>
      <c r="BG176" s="264">
        <f t="shared" ca="1" si="101"/>
        <v>0</v>
      </c>
      <c r="BH176" s="262"/>
      <c r="BI176" s="262"/>
      <c r="BJ176" s="265">
        <f ca="1">IFERROR(INDEX(Algorithms!$G:$G,MATCH($C176&amp;"_Therm Saved per Unit",Algorithms!$A:$A,0)),0)</f>
        <v>3.967097058288509</v>
      </c>
      <c r="BK176" s="164"/>
      <c r="BL176" s="266">
        <f t="shared" ca="1" si="102"/>
        <v>517.70616610665047</v>
      </c>
      <c r="BM176" s="264">
        <f t="shared" ca="1" si="103"/>
        <v>0</v>
      </c>
      <c r="BN176" s="266">
        <f t="shared" si="104"/>
        <v>517.70616610665047</v>
      </c>
      <c r="BO176" s="266">
        <f t="shared" si="105"/>
        <v>517.70616610665047</v>
      </c>
      <c r="BP176" s="266">
        <f t="shared" ca="1" si="106"/>
        <v>517.70616610665047</v>
      </c>
      <c r="BQ176" s="266">
        <f t="shared" ca="1" si="107"/>
        <v>517.70616610665047</v>
      </c>
      <c r="BR176" s="268">
        <f t="shared" ca="1" si="108"/>
        <v>2070.8246644266019</v>
      </c>
      <c r="BS176" s="262" t="s">
        <v>99</v>
      </c>
      <c r="BT176" s="277"/>
      <c r="BW176" s="266">
        <f t="shared" si="109"/>
        <v>517.70616610665047</v>
      </c>
      <c r="BX176" s="266">
        <f t="shared" si="110"/>
        <v>517.70616610665047</v>
      </c>
      <c r="BY176" s="266">
        <f t="shared" si="111"/>
        <v>517.70616610665047</v>
      </c>
      <c r="BZ176" s="266">
        <f t="shared" si="112"/>
        <v>517.70616610665047</v>
      </c>
      <c r="CA176" s="266">
        <f ca="1">N176*IFERROR(INDEX(Algorithms!$G:$G,MATCH($C176&amp;"_Therm Saved per Unit- MLA",Algorithms!$A:$A,0)),0)*X176</f>
        <v>0</v>
      </c>
      <c r="CB176" s="266">
        <f ca="1">O176*IFERROR(INDEX(Algorithms!$G:$G,MATCH($C176&amp;"_Therm Saved per Unit- MLA",Algorithms!$A:$A,0)),0)*Y176</f>
        <v>0</v>
      </c>
      <c r="CC176" s="266">
        <f ca="1">P176*IFERROR(INDEX(Algorithms!$G:$G,MATCH($C176&amp;"_Therm Saved per Unit- MLA",Algorithms!$A:$A,0)),0)*Z176</f>
        <v>0</v>
      </c>
      <c r="CD176" s="266">
        <f ca="1">Q176*IFERROR(INDEX(Algorithms!$G:$G,MATCH($C176&amp;"_Therm Saved per Unit- MLA",Algorithms!$A:$A,0)),0)*AA176</f>
        <v>0</v>
      </c>
      <c r="CE176" s="266">
        <f ca="1">IFERROR(INDEX(Algorithms!$G:$G,MATCH($C176&amp;"_Lifetime (years)",Algorithms!$A:$A,0)),0)</f>
        <v>15</v>
      </c>
      <c r="CF176" s="266">
        <f ca="1">IFERROR(INDEX(Algorithms!$G:$G,MATCH($C176&amp;"_Lifetime (years) - Remaining Years",Algorithms!$A:$A,0)),0)</f>
        <v>0</v>
      </c>
      <c r="CG176" s="266">
        <f t="shared" ca="1" si="113"/>
        <v>7765.5924915997566</v>
      </c>
      <c r="CH176" s="266">
        <f t="shared" ca="1" si="114"/>
        <v>7765.5924915997566</v>
      </c>
      <c r="CI176" s="266">
        <f t="shared" ca="1" si="115"/>
        <v>7765.5924915997566</v>
      </c>
      <c r="CJ176" s="266">
        <f t="shared" ca="1" si="116"/>
        <v>7765.5924915997566</v>
      </c>
      <c r="CK176" s="266">
        <f t="shared" si="117"/>
        <v>517.70616610665047</v>
      </c>
      <c r="CL176" s="266">
        <f t="shared" si="118"/>
        <v>517.70616610665047</v>
      </c>
      <c r="CM176" s="266">
        <f t="shared" ca="1" si="119"/>
        <v>517.70616610665047</v>
      </c>
      <c r="CN176" s="266">
        <f t="shared" ca="1" si="120"/>
        <v>517.70616610665047</v>
      </c>
      <c r="CO176" s="266">
        <f ca="1">N176*IFERROR(INDEX(Algorithms!$G:$G,MATCH($C176&amp;"_Therm Saved per Unit- MLA",Algorithms!$A:$A,0)),0)*X176</f>
        <v>0</v>
      </c>
      <c r="CP176" s="266">
        <f ca="1">O176*IFERROR(INDEX(Algorithms!$G:$G,MATCH($C176&amp;"_Therm Saved per Unit- MLA",Algorithms!$A:$A,0)),0)*Y176</f>
        <v>0</v>
      </c>
      <c r="CQ176" s="266">
        <f ca="1">P176*IFERROR(INDEX(Algorithms!$G:$G,MATCH($C176&amp;"_Therm Saved per Unit- MLA",Algorithms!$A:$A,0)),0)*Z176</f>
        <v>0</v>
      </c>
      <c r="CR176" s="266">
        <f ca="1">Q176*IFERROR(INDEX(Algorithms!$G:$G,MATCH($C176&amp;"_Therm Saved per Unit- MLA",Algorithms!$A:$A,0)),0)*AA176</f>
        <v>0</v>
      </c>
      <c r="CS176" s="266">
        <f ca="1">IFERROR(INDEX(Algorithms!$G:$G,MATCH($C176&amp;"_Lifetime (years)",Algorithms!$A:$A,0)),0)</f>
        <v>15</v>
      </c>
      <c r="CT176" s="266">
        <f ca="1">IFERROR(INDEX(Algorithms!$G:$G,MATCH($C176&amp;"_Lifetime (years) - Remaining Years",Algorithms!$A:$A,0)),0)</f>
        <v>0</v>
      </c>
      <c r="CU176" s="266">
        <f t="shared" ca="1" si="121"/>
        <v>7765.5924915997566</v>
      </c>
      <c r="CV176" s="266">
        <f t="shared" ca="1" si="122"/>
        <v>7765.5924915997566</v>
      </c>
      <c r="CW176" s="266">
        <f t="shared" ca="1" si="123"/>
        <v>7765.5924915997566</v>
      </c>
      <c r="CX176" s="266">
        <f t="shared" ca="1" si="124"/>
        <v>7765.5924915997566</v>
      </c>
    </row>
    <row r="177" spans="2:102" s="47" customFormat="1" ht="18" customHeight="1" x14ac:dyDescent="0.25">
      <c r="B177" t="str">
        <f t="shared" si="125"/>
        <v>NSG_Residential_Multi-Family_Partner Trade Ally Rebate_Pipe Insulation_Steam - Med 2.1" to 5"_MF</v>
      </c>
      <c r="C177" s="47" t="str">
        <f t="shared" si="86"/>
        <v>Pipe Insulation_Steam - Med 2.1" to 5"_MF</v>
      </c>
      <c r="D177" s="270" t="s">
        <v>1787</v>
      </c>
      <c r="E177" s="270" t="s">
        <v>2</v>
      </c>
      <c r="F177" s="270" t="s">
        <v>1422</v>
      </c>
      <c r="G177" s="270" t="s">
        <v>1799</v>
      </c>
      <c r="H177" s="270" t="s">
        <v>404</v>
      </c>
      <c r="I177" s="270" t="s">
        <v>957</v>
      </c>
      <c r="J177" s="270" t="s">
        <v>553</v>
      </c>
      <c r="K177" s="263">
        <v>1</v>
      </c>
      <c r="L177" s="263" t="str">
        <f ca="1">IFERROR(INDEX(Algorithms!J:J,MATCH($C177&amp;"_Therm Saved per Unit",Algorithms!$A:$A,0)),"n/a")</f>
        <v>"3 - Res Pipe Insulation" worksheet</v>
      </c>
      <c r="M177" s="263" t="str">
        <f>IFERROR(INDEX('Measure Level Detail'!$N:$N,MATCH($B177,'Measure Level Detail'!$B:$B,0)),0)</f>
        <v>ft</v>
      </c>
      <c r="N177" s="271">
        <f>IFERROR(INDEX('Measure Level Detail'!$P:$P,MATCH($B177&amp;"_"&amp;N$3,'Measure Level Detail'!$C:$C,0)),0)</f>
        <v>150</v>
      </c>
      <c r="O177" s="271">
        <f>IFERROR(INDEX('Measure Level Detail'!$P:$P,MATCH($B177&amp;"_"&amp;O$3,'Measure Level Detail'!$C:$C,0)),0)</f>
        <v>150</v>
      </c>
      <c r="P177" s="271">
        <f>IFERROR(INDEX('Measure Level Detail'!$P:$P,MATCH($B177&amp;"_"&amp;P$3,'Measure Level Detail'!$C:$C,0)),0)</f>
        <v>150</v>
      </c>
      <c r="Q177" s="271">
        <f>IFERROR(INDEX('Measure Level Detail'!$P:$P,MATCH($B177&amp;"_"&amp;Q$3,'Measure Level Detail'!$C:$C,0)),0)</f>
        <v>150</v>
      </c>
      <c r="R177" s="263">
        <f ca="1">IFERROR(INDEX(Algorithms!K:K,MATCH($C177&amp;"_Therm Saved per Unit",Algorithms!$A:$A,0)),"n/a")</f>
        <v>0</v>
      </c>
      <c r="S177" s="262"/>
      <c r="T177" s="272">
        <v>15.954497207020932</v>
      </c>
      <c r="U177" s="272">
        <v>15.954497207020932</v>
      </c>
      <c r="V177" s="272">
        <v>15.954497207020932</v>
      </c>
      <c r="W177" s="272">
        <v>15.954497207020932</v>
      </c>
      <c r="X177" s="273">
        <f>IFERROR(INDEX('Measure Level Detail'!$R:$R,MATCH($B177&amp;"_"&amp;X$3,'Measure Level Detail'!$C:$C,0)),0)</f>
        <v>0.87</v>
      </c>
      <c r="Y177" s="273">
        <f>IFERROR(INDEX('Measure Level Detail'!$R:$R,MATCH($B177&amp;"_"&amp;Y$3,'Measure Level Detail'!$C:$C,0)),0)</f>
        <v>0.87</v>
      </c>
      <c r="Z177" s="273">
        <f>IFERROR(INDEX('Measure Level Detail'!$R:$R,MATCH($B177&amp;"_"&amp;Z$3,'Measure Level Detail'!$C:$C,0)),0)</f>
        <v>0.87</v>
      </c>
      <c r="AA177" s="273">
        <f>IFERROR(INDEX('Measure Level Detail'!$R:$R,MATCH($B177&amp;"_"&amp;AA$3,'Measure Level Detail'!$C:$C,0)),0)</f>
        <v>0.87</v>
      </c>
      <c r="AB177" s="266">
        <f t="shared" si="87"/>
        <v>2082.0618855162315</v>
      </c>
      <c r="AC177" s="266">
        <f t="shared" si="88"/>
        <v>2082.0618855162315</v>
      </c>
      <c r="AD177" s="266">
        <f t="shared" si="89"/>
        <v>2082.0618855162315</v>
      </c>
      <c r="AE177" s="266">
        <f t="shared" si="90"/>
        <v>2082.0618855162315</v>
      </c>
      <c r="AF177" s="266">
        <f t="shared" si="91"/>
        <v>8328.2475420649262</v>
      </c>
      <c r="AG177" s="274">
        <v>0.87</v>
      </c>
      <c r="AH177" s="274">
        <v>0.87</v>
      </c>
      <c r="AI177" s="710">
        <v>0.88</v>
      </c>
      <c r="AJ177" s="710">
        <v>0.88</v>
      </c>
      <c r="AK177" s="274">
        <f t="shared" si="92"/>
        <v>0.87</v>
      </c>
      <c r="AL177" s="274">
        <f t="shared" si="93"/>
        <v>0.87</v>
      </c>
      <c r="AM177" s="274">
        <f t="shared" si="94"/>
        <v>0.87</v>
      </c>
      <c r="AN177" s="274">
        <f t="shared" si="95"/>
        <v>0.87</v>
      </c>
      <c r="AO177" s="262"/>
      <c r="AP177" s="262"/>
      <c r="AQ177" s="267">
        <v>15.954497207020932</v>
      </c>
      <c r="AR177" s="262"/>
      <c r="AS177" s="266">
        <f t="shared" si="96"/>
        <v>2082.0618855162315</v>
      </c>
      <c r="AT177" s="264">
        <f t="shared" si="97"/>
        <v>0</v>
      </c>
      <c r="AU177" s="262"/>
      <c r="AV177" s="262"/>
      <c r="AW177" s="265">
        <v>15.954497207020932</v>
      </c>
      <c r="AX177" s="164" t="s">
        <v>1469</v>
      </c>
      <c r="AY177" s="266">
        <v>2082.0618855162315</v>
      </c>
      <c r="AZ177" s="266">
        <f t="shared" si="98"/>
        <v>2082.0618855162315</v>
      </c>
      <c r="BA177" s="264">
        <f t="shared" si="99"/>
        <v>0</v>
      </c>
      <c r="BB177" s="262"/>
      <c r="BC177" s="262"/>
      <c r="BD177" s="265">
        <f ca="1">IFERROR(INDEX(Algorithms!$G:$G,MATCH($C177&amp;"_Therm Saved per Unit",Algorithms!$A:$A,0)),0)</f>
        <v>15.954497207020932</v>
      </c>
      <c r="BE177" s="164" t="str">
        <f ca="1">IFERROR(INDEX('v12 Revisions'!$P$29:$P$186, MATCH('Measure-Level Adj Gas'!$L177, 'v12 Revisions'!$D$29:$D$186,0)),"")</f>
        <v/>
      </c>
      <c r="BF177" s="266">
        <f t="shared" ca="1" si="100"/>
        <v>2082.0618855162315</v>
      </c>
      <c r="BG177" s="264">
        <f t="shared" ca="1" si="101"/>
        <v>0</v>
      </c>
      <c r="BH177" s="262"/>
      <c r="BI177" s="262"/>
      <c r="BJ177" s="265">
        <f ca="1">IFERROR(INDEX(Algorithms!$G:$G,MATCH($C177&amp;"_Therm Saved per Unit",Algorithms!$A:$A,0)),0)</f>
        <v>15.954497207020932</v>
      </c>
      <c r="BK177" s="164"/>
      <c r="BL177" s="266">
        <f t="shared" ca="1" si="102"/>
        <v>2082.0618855162315</v>
      </c>
      <c r="BM177" s="264">
        <f t="shared" ca="1" si="103"/>
        <v>0</v>
      </c>
      <c r="BN177" s="266">
        <f t="shared" si="104"/>
        <v>2082.0618855162315</v>
      </c>
      <c r="BO177" s="266">
        <f t="shared" si="105"/>
        <v>2082.0618855162315</v>
      </c>
      <c r="BP177" s="266">
        <f t="shared" ca="1" si="106"/>
        <v>2082.0618855162315</v>
      </c>
      <c r="BQ177" s="266">
        <f t="shared" ca="1" si="107"/>
        <v>2082.0618855162315</v>
      </c>
      <c r="BR177" s="268">
        <f t="shared" ca="1" si="108"/>
        <v>8328.2475420649262</v>
      </c>
      <c r="BS177" s="262" t="s">
        <v>99</v>
      </c>
      <c r="BT177" s="277"/>
      <c r="BW177" s="266">
        <f t="shared" si="109"/>
        <v>2082.0618855162315</v>
      </c>
      <c r="BX177" s="266">
        <f t="shared" si="110"/>
        <v>2082.0618855162315</v>
      </c>
      <c r="BY177" s="266">
        <f t="shared" si="111"/>
        <v>2082.0618855162315</v>
      </c>
      <c r="BZ177" s="266">
        <f t="shared" si="112"/>
        <v>2082.0618855162315</v>
      </c>
      <c r="CA177" s="266">
        <f ca="1">N177*IFERROR(INDEX(Algorithms!$G:$G,MATCH($C177&amp;"_Therm Saved per Unit- MLA",Algorithms!$A:$A,0)),0)*X177</f>
        <v>0</v>
      </c>
      <c r="CB177" s="266">
        <f ca="1">O177*IFERROR(INDEX(Algorithms!$G:$G,MATCH($C177&amp;"_Therm Saved per Unit- MLA",Algorithms!$A:$A,0)),0)*Y177</f>
        <v>0</v>
      </c>
      <c r="CC177" s="266">
        <f ca="1">P177*IFERROR(INDEX(Algorithms!$G:$G,MATCH($C177&amp;"_Therm Saved per Unit- MLA",Algorithms!$A:$A,0)),0)*Z177</f>
        <v>0</v>
      </c>
      <c r="CD177" s="266">
        <f ca="1">Q177*IFERROR(INDEX(Algorithms!$G:$G,MATCH($C177&amp;"_Therm Saved per Unit- MLA",Algorithms!$A:$A,0)),0)*AA177</f>
        <v>0</v>
      </c>
      <c r="CE177" s="266">
        <f ca="1">IFERROR(INDEX(Algorithms!$G:$G,MATCH($C177&amp;"_Lifetime (years)",Algorithms!$A:$A,0)),0)</f>
        <v>15</v>
      </c>
      <c r="CF177" s="266">
        <f ca="1">IFERROR(INDEX(Algorithms!$G:$G,MATCH($C177&amp;"_Lifetime (years) - Remaining Years",Algorithms!$A:$A,0)),0)</f>
        <v>0</v>
      </c>
      <c r="CG177" s="266">
        <f t="shared" ca="1" si="113"/>
        <v>31230.928282743473</v>
      </c>
      <c r="CH177" s="266">
        <f t="shared" ca="1" si="114"/>
        <v>31230.928282743473</v>
      </c>
      <c r="CI177" s="266">
        <f t="shared" ca="1" si="115"/>
        <v>31230.928282743473</v>
      </c>
      <c r="CJ177" s="266">
        <f t="shared" ca="1" si="116"/>
        <v>31230.928282743473</v>
      </c>
      <c r="CK177" s="266">
        <f t="shared" si="117"/>
        <v>2082.0618855162315</v>
      </c>
      <c r="CL177" s="266">
        <f t="shared" si="118"/>
        <v>2082.0618855162315</v>
      </c>
      <c r="CM177" s="266">
        <f t="shared" ca="1" si="119"/>
        <v>2082.0618855162315</v>
      </c>
      <c r="CN177" s="266">
        <f t="shared" ca="1" si="120"/>
        <v>2082.0618855162315</v>
      </c>
      <c r="CO177" s="266">
        <f ca="1">N177*IFERROR(INDEX(Algorithms!$G:$G,MATCH($C177&amp;"_Therm Saved per Unit- MLA",Algorithms!$A:$A,0)),0)*X177</f>
        <v>0</v>
      </c>
      <c r="CP177" s="266">
        <f ca="1">O177*IFERROR(INDEX(Algorithms!$G:$G,MATCH($C177&amp;"_Therm Saved per Unit- MLA",Algorithms!$A:$A,0)),0)*Y177</f>
        <v>0</v>
      </c>
      <c r="CQ177" s="266">
        <f ca="1">P177*IFERROR(INDEX(Algorithms!$G:$G,MATCH($C177&amp;"_Therm Saved per Unit- MLA",Algorithms!$A:$A,0)),0)*Z177</f>
        <v>0</v>
      </c>
      <c r="CR177" s="266">
        <f ca="1">Q177*IFERROR(INDEX(Algorithms!$G:$G,MATCH($C177&amp;"_Therm Saved per Unit- MLA",Algorithms!$A:$A,0)),0)*AA177</f>
        <v>0</v>
      </c>
      <c r="CS177" s="266">
        <f ca="1">IFERROR(INDEX(Algorithms!$G:$G,MATCH($C177&amp;"_Lifetime (years)",Algorithms!$A:$A,0)),0)</f>
        <v>15</v>
      </c>
      <c r="CT177" s="266">
        <f ca="1">IFERROR(INDEX(Algorithms!$G:$G,MATCH($C177&amp;"_Lifetime (years) - Remaining Years",Algorithms!$A:$A,0)),0)</f>
        <v>0</v>
      </c>
      <c r="CU177" s="266">
        <f t="shared" ca="1" si="121"/>
        <v>31230.928282743473</v>
      </c>
      <c r="CV177" s="266">
        <f t="shared" ca="1" si="122"/>
        <v>31230.928282743473</v>
      </c>
      <c r="CW177" s="266">
        <f t="shared" ca="1" si="123"/>
        <v>31230.928282743473</v>
      </c>
      <c r="CX177" s="266">
        <f t="shared" ca="1" si="124"/>
        <v>31230.928282743473</v>
      </c>
    </row>
    <row r="178" spans="2:102" s="47" customFormat="1" ht="18" customHeight="1" x14ac:dyDescent="0.25">
      <c r="B178" t="str">
        <f t="shared" si="125"/>
        <v>NSG_Income Eligible_Multi-Family_Whole Building - Prescriptive_Pipe Insulation_HW Medium 2.1" to 4"_MF/CI/SMB</v>
      </c>
      <c r="C178" s="47" t="str">
        <f t="shared" si="86"/>
        <v>Pipe Insulation_HW Medium 2.1" to 4"_MF/CI/SMB</v>
      </c>
      <c r="D178" s="270" t="s">
        <v>1787</v>
      </c>
      <c r="E178" s="270" t="s">
        <v>325</v>
      </c>
      <c r="F178" s="270" t="s">
        <v>1422</v>
      </c>
      <c r="G178" s="270" t="s">
        <v>1813</v>
      </c>
      <c r="H178" s="270" t="s">
        <v>404</v>
      </c>
      <c r="I178" s="270" t="s">
        <v>954</v>
      </c>
      <c r="J178" s="270" t="s">
        <v>662</v>
      </c>
      <c r="K178" s="263">
        <v>1</v>
      </c>
      <c r="L178" s="263" t="str">
        <f ca="1">IFERROR(INDEX(Algorithms!J:J,MATCH($C178&amp;"_Therm Saved per Unit",Algorithms!$A:$A,0)),"n/a")</f>
        <v>"3 - Res Pipe Insulation" worksheet</v>
      </c>
      <c r="M178" s="263" t="str">
        <f>IFERROR(INDEX('Measure Level Detail'!$N:$N,MATCH($B178,'Measure Level Detail'!$B:$B,0)),0)</f>
        <v>ft</v>
      </c>
      <c r="N178" s="271">
        <f>IFERROR(INDEX('Measure Level Detail'!$P:$P,MATCH($B178&amp;"_"&amp;N$3,'Measure Level Detail'!$C:$C,0)),0)</f>
        <v>150</v>
      </c>
      <c r="O178" s="271">
        <f>IFERROR(INDEX('Measure Level Detail'!$P:$P,MATCH($B178&amp;"_"&amp;O$3,'Measure Level Detail'!$C:$C,0)),0)</f>
        <v>150</v>
      </c>
      <c r="P178" s="271">
        <f>IFERROR(INDEX('Measure Level Detail'!$P:$P,MATCH($B178&amp;"_"&amp;P$3,'Measure Level Detail'!$C:$C,0)),0)</f>
        <v>150</v>
      </c>
      <c r="Q178" s="271">
        <f>IFERROR(INDEX('Measure Level Detail'!$P:$P,MATCH($B178&amp;"_"&amp;Q$3,'Measure Level Detail'!$C:$C,0)),0)</f>
        <v>150</v>
      </c>
      <c r="R178" s="263">
        <f ca="1">IFERROR(INDEX(Algorithms!K:K,MATCH($C178&amp;"_Therm Saved per Unit",Algorithms!$A:$A,0)),"n/a")</f>
        <v>0</v>
      </c>
      <c r="S178" s="262"/>
      <c r="T178" s="272">
        <v>5.2492031493764015</v>
      </c>
      <c r="U178" s="272">
        <v>5.2492031493764015</v>
      </c>
      <c r="V178" s="272">
        <v>5.2492031493764015</v>
      </c>
      <c r="W178" s="272">
        <v>5.2492031493764015</v>
      </c>
      <c r="X178" s="273">
        <f>IFERROR(INDEX('Measure Level Detail'!$R:$R,MATCH($B178&amp;"_"&amp;X$3,'Measure Level Detail'!$C:$C,0)),0)</f>
        <v>1</v>
      </c>
      <c r="Y178" s="273">
        <f>IFERROR(INDEX('Measure Level Detail'!$R:$R,MATCH($B178&amp;"_"&amp;Y$3,'Measure Level Detail'!$C:$C,0)),0)</f>
        <v>1</v>
      </c>
      <c r="Z178" s="273">
        <f>IFERROR(INDEX('Measure Level Detail'!$R:$R,MATCH($B178&amp;"_"&amp;Z$3,'Measure Level Detail'!$C:$C,0)),0)</f>
        <v>1</v>
      </c>
      <c r="AA178" s="273">
        <f>IFERROR(INDEX('Measure Level Detail'!$R:$R,MATCH($B178&amp;"_"&amp;AA$3,'Measure Level Detail'!$C:$C,0)),0)</f>
        <v>1</v>
      </c>
      <c r="AB178" s="266">
        <f t="shared" si="87"/>
        <v>787.38047240646029</v>
      </c>
      <c r="AC178" s="266">
        <f t="shared" si="88"/>
        <v>787.38047240646029</v>
      </c>
      <c r="AD178" s="266">
        <f t="shared" si="89"/>
        <v>787.38047240646029</v>
      </c>
      <c r="AE178" s="266">
        <f t="shared" si="90"/>
        <v>787.38047240646029</v>
      </c>
      <c r="AF178" s="266">
        <f t="shared" si="91"/>
        <v>3149.5218896258411</v>
      </c>
      <c r="AG178" s="274">
        <v>1</v>
      </c>
      <c r="AH178" s="274">
        <v>1</v>
      </c>
      <c r="AI178" s="274">
        <v>1</v>
      </c>
      <c r="AJ178" s="274">
        <v>1</v>
      </c>
      <c r="AK178" s="274">
        <f t="shared" si="92"/>
        <v>1</v>
      </c>
      <c r="AL178" s="274">
        <f t="shared" si="93"/>
        <v>1</v>
      </c>
      <c r="AM178" s="274">
        <f t="shared" si="94"/>
        <v>1</v>
      </c>
      <c r="AN178" s="274">
        <f t="shared" si="95"/>
        <v>1</v>
      </c>
      <c r="AO178" s="262"/>
      <c r="AP178" s="262"/>
      <c r="AQ178" s="267">
        <v>5.2492031493764015</v>
      </c>
      <c r="AR178" s="262"/>
      <c r="AS178" s="266">
        <f t="shared" si="96"/>
        <v>787.38047240646029</v>
      </c>
      <c r="AT178" s="264">
        <f t="shared" si="97"/>
        <v>0</v>
      </c>
      <c r="AU178" s="262"/>
      <c r="AV178" s="262"/>
      <c r="AW178" s="265">
        <v>5.2492031493764015</v>
      </c>
      <c r="AX178" s="164" t="s">
        <v>1469</v>
      </c>
      <c r="AY178" s="266">
        <v>787.38047240646029</v>
      </c>
      <c r="AZ178" s="266">
        <f t="shared" si="98"/>
        <v>787.38047240646029</v>
      </c>
      <c r="BA178" s="264">
        <f t="shared" si="99"/>
        <v>0</v>
      </c>
      <c r="BB178" s="262"/>
      <c r="BC178" s="262"/>
      <c r="BD178" s="265">
        <f ca="1">IFERROR(INDEX(Algorithms!$G:$G,MATCH($C178&amp;"_Therm Saved per Unit",Algorithms!$A:$A,0)),0)</f>
        <v>5.2492031493764015</v>
      </c>
      <c r="BE178" s="164" t="str">
        <f ca="1">IFERROR(INDEX('v12 Revisions'!$P$29:$P$186, MATCH('Measure-Level Adj Gas'!$L178, 'v12 Revisions'!$D$29:$D$186,0)),"")</f>
        <v/>
      </c>
      <c r="BF178" s="266">
        <f t="shared" ca="1" si="100"/>
        <v>787.38047240646029</v>
      </c>
      <c r="BG178" s="264">
        <f t="shared" ca="1" si="101"/>
        <v>0</v>
      </c>
      <c r="BH178" s="262"/>
      <c r="BI178" s="262"/>
      <c r="BJ178" s="265">
        <f ca="1">IFERROR(INDEX(Algorithms!$G:$G,MATCH($C178&amp;"_Therm Saved per Unit",Algorithms!$A:$A,0)),0)</f>
        <v>5.2492031493764015</v>
      </c>
      <c r="BK178" s="164"/>
      <c r="BL178" s="266">
        <f t="shared" ca="1" si="102"/>
        <v>787.38047240646029</v>
      </c>
      <c r="BM178" s="264">
        <f t="shared" ca="1" si="103"/>
        <v>0</v>
      </c>
      <c r="BN178" s="266">
        <f t="shared" si="104"/>
        <v>787.38047240646029</v>
      </c>
      <c r="BO178" s="266">
        <f t="shared" si="105"/>
        <v>787.38047240646029</v>
      </c>
      <c r="BP178" s="266">
        <f t="shared" ca="1" si="106"/>
        <v>787.38047240646029</v>
      </c>
      <c r="BQ178" s="266">
        <f t="shared" ca="1" si="107"/>
        <v>787.38047240646029</v>
      </c>
      <c r="BR178" s="268">
        <f t="shared" ca="1" si="108"/>
        <v>3149.5218896258411</v>
      </c>
      <c r="BS178" s="262" t="s">
        <v>99</v>
      </c>
      <c r="BT178" s="277"/>
      <c r="BW178" s="266">
        <f t="shared" si="109"/>
        <v>787.38047240646029</v>
      </c>
      <c r="BX178" s="266">
        <f t="shared" si="110"/>
        <v>787.38047240646029</v>
      </c>
      <c r="BY178" s="266">
        <f t="shared" si="111"/>
        <v>787.38047240646029</v>
      </c>
      <c r="BZ178" s="266">
        <f t="shared" si="112"/>
        <v>787.38047240646029</v>
      </c>
      <c r="CA178" s="266">
        <f ca="1">N178*IFERROR(INDEX(Algorithms!$G:$G,MATCH($C178&amp;"_Therm Saved per Unit- MLA",Algorithms!$A:$A,0)),0)*X178</f>
        <v>0</v>
      </c>
      <c r="CB178" s="266">
        <f ca="1">O178*IFERROR(INDEX(Algorithms!$G:$G,MATCH($C178&amp;"_Therm Saved per Unit- MLA",Algorithms!$A:$A,0)),0)*Y178</f>
        <v>0</v>
      </c>
      <c r="CC178" s="266">
        <f ca="1">P178*IFERROR(INDEX(Algorithms!$G:$G,MATCH($C178&amp;"_Therm Saved per Unit- MLA",Algorithms!$A:$A,0)),0)*Z178</f>
        <v>0</v>
      </c>
      <c r="CD178" s="266">
        <f ca="1">Q178*IFERROR(INDEX(Algorithms!$G:$G,MATCH($C178&amp;"_Therm Saved per Unit- MLA",Algorithms!$A:$A,0)),0)*AA178</f>
        <v>0</v>
      </c>
      <c r="CE178" s="266">
        <f ca="1">IFERROR(INDEX(Algorithms!$G:$G,MATCH($C178&amp;"_Lifetime (years)",Algorithms!$A:$A,0)),0)</f>
        <v>15</v>
      </c>
      <c r="CF178" s="266">
        <f ca="1">IFERROR(INDEX(Algorithms!$G:$G,MATCH($C178&amp;"_Lifetime (years) - Remaining Years",Algorithms!$A:$A,0)),0)</f>
        <v>0</v>
      </c>
      <c r="CG178" s="266">
        <f t="shared" ca="1" si="113"/>
        <v>11810.707086096903</v>
      </c>
      <c r="CH178" s="266">
        <f t="shared" ca="1" si="114"/>
        <v>11810.707086096903</v>
      </c>
      <c r="CI178" s="266">
        <f t="shared" ca="1" si="115"/>
        <v>11810.707086096903</v>
      </c>
      <c r="CJ178" s="266">
        <f t="shared" ca="1" si="116"/>
        <v>11810.707086096903</v>
      </c>
      <c r="CK178" s="266">
        <f t="shared" si="117"/>
        <v>787.38047240646029</v>
      </c>
      <c r="CL178" s="266">
        <f t="shared" si="118"/>
        <v>787.38047240646029</v>
      </c>
      <c r="CM178" s="266">
        <f t="shared" ca="1" si="119"/>
        <v>787.38047240646029</v>
      </c>
      <c r="CN178" s="266">
        <f t="shared" ca="1" si="120"/>
        <v>787.38047240646029</v>
      </c>
      <c r="CO178" s="266">
        <f ca="1">N178*IFERROR(INDEX(Algorithms!$G:$G,MATCH($C178&amp;"_Therm Saved per Unit- MLA",Algorithms!$A:$A,0)),0)*X178</f>
        <v>0</v>
      </c>
      <c r="CP178" s="266">
        <f ca="1">O178*IFERROR(INDEX(Algorithms!$G:$G,MATCH($C178&amp;"_Therm Saved per Unit- MLA",Algorithms!$A:$A,0)),0)*Y178</f>
        <v>0</v>
      </c>
      <c r="CQ178" s="266">
        <f ca="1">P178*IFERROR(INDEX(Algorithms!$G:$G,MATCH($C178&amp;"_Therm Saved per Unit- MLA",Algorithms!$A:$A,0)),0)*Z178</f>
        <v>0</v>
      </c>
      <c r="CR178" s="266">
        <f ca="1">Q178*IFERROR(INDEX(Algorithms!$G:$G,MATCH($C178&amp;"_Therm Saved per Unit- MLA",Algorithms!$A:$A,0)),0)*AA178</f>
        <v>0</v>
      </c>
      <c r="CS178" s="266">
        <f ca="1">IFERROR(INDEX(Algorithms!$G:$G,MATCH($C178&amp;"_Lifetime (years)",Algorithms!$A:$A,0)),0)</f>
        <v>15</v>
      </c>
      <c r="CT178" s="266">
        <f ca="1">IFERROR(INDEX(Algorithms!$G:$G,MATCH($C178&amp;"_Lifetime (years) - Remaining Years",Algorithms!$A:$A,0)),0)</f>
        <v>0</v>
      </c>
      <c r="CU178" s="266">
        <f t="shared" ca="1" si="121"/>
        <v>11810.707086096903</v>
      </c>
      <c r="CV178" s="266">
        <f t="shared" ca="1" si="122"/>
        <v>11810.707086096903</v>
      </c>
      <c r="CW178" s="266">
        <f t="shared" ca="1" si="123"/>
        <v>11810.707086096903</v>
      </c>
      <c r="CX178" s="266">
        <f t="shared" ca="1" si="124"/>
        <v>11810.707086096903</v>
      </c>
    </row>
    <row r="179" spans="2:102" s="47" customFormat="1" ht="18" customHeight="1" x14ac:dyDescent="0.25">
      <c r="B179" t="str">
        <f t="shared" si="125"/>
        <v>NSG_Business_Public Sector_Rebates_Pipe Insulation_HW Small 1" to 2"_MF/CI/SMB</v>
      </c>
      <c r="C179" s="47" t="str">
        <f t="shared" si="86"/>
        <v>Pipe Insulation_HW Small 1" to 2"_MF/CI/SMB</v>
      </c>
      <c r="D179" s="270" t="s">
        <v>1787</v>
      </c>
      <c r="E179" s="270" t="s">
        <v>3</v>
      </c>
      <c r="F179" s="270" t="s">
        <v>1430</v>
      </c>
      <c r="G179" s="270" t="s">
        <v>1429</v>
      </c>
      <c r="H179" s="270" t="s">
        <v>404</v>
      </c>
      <c r="I179" s="270" t="s">
        <v>953</v>
      </c>
      <c r="J179" s="270" t="s">
        <v>662</v>
      </c>
      <c r="K179" s="263">
        <v>1</v>
      </c>
      <c r="L179" s="263" t="str">
        <f ca="1">IFERROR(INDEX(Algorithms!J:J,MATCH($C179&amp;"_Therm Saved per Unit",Algorithms!$A:$A,0)),"n/a")</f>
        <v>"3 - Res Pipe Insulation" worksheet</v>
      </c>
      <c r="M179" s="263" t="str">
        <f>IFERROR(INDEX('Measure Level Detail'!$N:$N,MATCH($B179,'Measure Level Detail'!$B:$B,0)),0)</f>
        <v>ft</v>
      </c>
      <c r="N179" s="271">
        <f>IFERROR(INDEX('Measure Level Detail'!$P:$P,MATCH($B179&amp;"_"&amp;N$3,'Measure Level Detail'!$C:$C,0)),0)</f>
        <v>150</v>
      </c>
      <c r="O179" s="271">
        <f>IFERROR(INDEX('Measure Level Detail'!$P:$P,MATCH($B179&amp;"_"&amp;O$3,'Measure Level Detail'!$C:$C,0)),0)</f>
        <v>150</v>
      </c>
      <c r="P179" s="271">
        <f>IFERROR(INDEX('Measure Level Detail'!$P:$P,MATCH($B179&amp;"_"&amp;P$3,'Measure Level Detail'!$C:$C,0)),0)</f>
        <v>150</v>
      </c>
      <c r="Q179" s="271">
        <f>IFERROR(INDEX('Measure Level Detail'!$P:$P,MATCH($B179&amp;"_"&amp;Q$3,'Measure Level Detail'!$C:$C,0)),0)</f>
        <v>150</v>
      </c>
      <c r="R179" s="263">
        <f ca="1">IFERROR(INDEX(Algorithms!K:K,MATCH($C179&amp;"_Therm Saved per Unit",Algorithms!$A:$A,0)),"n/a")</f>
        <v>0</v>
      </c>
      <c r="S179" s="262"/>
      <c r="T179" s="272">
        <v>2.6588140926267867</v>
      </c>
      <c r="U179" s="272">
        <v>2.6588140926267867</v>
      </c>
      <c r="V179" s="272">
        <v>2.6588140926267867</v>
      </c>
      <c r="W179" s="272">
        <v>2.6588140926267867</v>
      </c>
      <c r="X179" s="276">
        <v>0.92</v>
      </c>
      <c r="Y179" s="276">
        <v>0.92</v>
      </c>
      <c r="Z179" s="276">
        <v>0.92</v>
      </c>
      <c r="AA179" s="276">
        <v>0.92</v>
      </c>
      <c r="AB179" s="266">
        <f t="shared" si="87"/>
        <v>366.91634478249659</v>
      </c>
      <c r="AC179" s="266">
        <f t="shared" si="88"/>
        <v>366.91634478249659</v>
      </c>
      <c r="AD179" s="266">
        <f t="shared" si="89"/>
        <v>366.91634478249659</v>
      </c>
      <c r="AE179" s="266">
        <f t="shared" si="90"/>
        <v>366.91634478249659</v>
      </c>
      <c r="AF179" s="266">
        <f t="shared" si="91"/>
        <v>1467.6653791299864</v>
      </c>
      <c r="AG179" s="274">
        <v>0.92</v>
      </c>
      <c r="AH179" s="274">
        <v>0.92</v>
      </c>
      <c r="AI179" s="274">
        <v>0.92</v>
      </c>
      <c r="AJ179" s="274">
        <v>0.92</v>
      </c>
      <c r="AK179" s="274">
        <f t="shared" si="92"/>
        <v>0.92</v>
      </c>
      <c r="AL179" s="274">
        <f t="shared" si="93"/>
        <v>0.92</v>
      </c>
      <c r="AM179" s="274">
        <f t="shared" si="94"/>
        <v>0.92</v>
      </c>
      <c r="AN179" s="274">
        <f t="shared" si="95"/>
        <v>0.92</v>
      </c>
      <c r="AO179" s="262"/>
      <c r="AP179" s="262"/>
      <c r="AQ179" s="267">
        <v>2.6588140926267867</v>
      </c>
      <c r="AR179" s="262"/>
      <c r="AS179" s="266">
        <f t="shared" si="96"/>
        <v>366.91634478249659</v>
      </c>
      <c r="AT179" s="264">
        <f t="shared" si="97"/>
        <v>0</v>
      </c>
      <c r="AU179" s="262"/>
      <c r="AV179" s="262"/>
      <c r="AW179" s="265">
        <v>2.6588140926267867</v>
      </c>
      <c r="AX179" s="164" t="s">
        <v>1469</v>
      </c>
      <c r="AY179" s="266">
        <v>366.91634478249659</v>
      </c>
      <c r="AZ179" s="266">
        <f t="shared" si="98"/>
        <v>366.91634478249659</v>
      </c>
      <c r="BA179" s="264">
        <f t="shared" si="99"/>
        <v>0</v>
      </c>
      <c r="BB179" s="262"/>
      <c r="BC179" s="262"/>
      <c r="BD179" s="265">
        <f ca="1">IFERROR(INDEX(Algorithms!$G:$G,MATCH($C179&amp;"_Therm Saved per Unit",Algorithms!$A:$A,0)),0)</f>
        <v>2.6588140926267867</v>
      </c>
      <c r="BE179" s="164" t="str">
        <f ca="1">IFERROR(INDEX('v12 Revisions'!$P$29:$P$186, MATCH('Measure-Level Adj Gas'!$L179, 'v12 Revisions'!$D$29:$D$186,0)),"")</f>
        <v/>
      </c>
      <c r="BF179" s="266">
        <f t="shared" ca="1" si="100"/>
        <v>366.91634478249659</v>
      </c>
      <c r="BG179" s="264">
        <f t="shared" ca="1" si="101"/>
        <v>0</v>
      </c>
      <c r="BH179" s="262"/>
      <c r="BI179" s="262"/>
      <c r="BJ179" s="265">
        <f ca="1">IFERROR(INDEX(Algorithms!$G:$G,MATCH($C179&amp;"_Therm Saved per Unit",Algorithms!$A:$A,0)),0)</f>
        <v>2.6588140926267867</v>
      </c>
      <c r="BK179" s="164"/>
      <c r="BL179" s="266">
        <f t="shared" ca="1" si="102"/>
        <v>366.91634478249659</v>
      </c>
      <c r="BM179" s="264">
        <f t="shared" ca="1" si="103"/>
        <v>0</v>
      </c>
      <c r="BN179" s="266">
        <f t="shared" si="104"/>
        <v>366.91634478249659</v>
      </c>
      <c r="BO179" s="266">
        <f t="shared" si="105"/>
        <v>366.91634478249659</v>
      </c>
      <c r="BP179" s="266">
        <f t="shared" ca="1" si="106"/>
        <v>366.91634478249659</v>
      </c>
      <c r="BQ179" s="266">
        <f t="shared" ca="1" si="107"/>
        <v>366.91634478249659</v>
      </c>
      <c r="BR179" s="268">
        <f t="shared" ca="1" si="108"/>
        <v>1467.6653791299864</v>
      </c>
      <c r="BS179" s="262" t="s">
        <v>99</v>
      </c>
      <c r="BT179" s="277"/>
      <c r="BW179" s="266">
        <f t="shared" si="109"/>
        <v>366.91634478249659</v>
      </c>
      <c r="BX179" s="266">
        <f t="shared" si="110"/>
        <v>366.91634478249659</v>
      </c>
      <c r="BY179" s="266">
        <f t="shared" si="111"/>
        <v>366.91634478249659</v>
      </c>
      <c r="BZ179" s="266">
        <f t="shared" si="112"/>
        <v>366.91634478249659</v>
      </c>
      <c r="CA179" s="266">
        <f ca="1">N179*IFERROR(INDEX(Algorithms!$G:$G,MATCH($C179&amp;"_Therm Saved per Unit- MLA",Algorithms!$A:$A,0)),0)*X179</f>
        <v>0</v>
      </c>
      <c r="CB179" s="266">
        <f ca="1">O179*IFERROR(INDEX(Algorithms!$G:$G,MATCH($C179&amp;"_Therm Saved per Unit- MLA",Algorithms!$A:$A,0)),0)*Y179</f>
        <v>0</v>
      </c>
      <c r="CC179" s="266">
        <f ca="1">P179*IFERROR(INDEX(Algorithms!$G:$G,MATCH($C179&amp;"_Therm Saved per Unit- MLA",Algorithms!$A:$A,0)),0)*Z179</f>
        <v>0</v>
      </c>
      <c r="CD179" s="266">
        <f ca="1">Q179*IFERROR(INDEX(Algorithms!$G:$G,MATCH($C179&amp;"_Therm Saved per Unit- MLA",Algorithms!$A:$A,0)),0)*AA179</f>
        <v>0</v>
      </c>
      <c r="CE179" s="266">
        <f ca="1">IFERROR(INDEX(Algorithms!$G:$G,MATCH($C179&amp;"_Lifetime (years)",Algorithms!$A:$A,0)),0)</f>
        <v>15</v>
      </c>
      <c r="CF179" s="266">
        <f ca="1">IFERROR(INDEX(Algorithms!$G:$G,MATCH($C179&amp;"_Lifetime (years) - Remaining Years",Algorithms!$A:$A,0)),0)</f>
        <v>0</v>
      </c>
      <c r="CG179" s="266">
        <f t="shared" ca="1" si="113"/>
        <v>5503.7451717374488</v>
      </c>
      <c r="CH179" s="266">
        <f t="shared" ca="1" si="114"/>
        <v>5503.7451717374488</v>
      </c>
      <c r="CI179" s="266">
        <f t="shared" ca="1" si="115"/>
        <v>5503.7451717374488</v>
      </c>
      <c r="CJ179" s="266">
        <f t="shared" ca="1" si="116"/>
        <v>5503.7451717374488</v>
      </c>
      <c r="CK179" s="266">
        <f t="shared" si="117"/>
        <v>366.91634478249659</v>
      </c>
      <c r="CL179" s="266">
        <f t="shared" si="118"/>
        <v>366.91634478249659</v>
      </c>
      <c r="CM179" s="266">
        <f t="shared" ca="1" si="119"/>
        <v>366.91634478249659</v>
      </c>
      <c r="CN179" s="266">
        <f t="shared" ca="1" si="120"/>
        <v>366.91634478249659</v>
      </c>
      <c r="CO179" s="266">
        <f ca="1">N179*IFERROR(INDEX(Algorithms!$G:$G,MATCH($C179&amp;"_Therm Saved per Unit- MLA",Algorithms!$A:$A,0)),0)*X179</f>
        <v>0</v>
      </c>
      <c r="CP179" s="266">
        <f ca="1">O179*IFERROR(INDEX(Algorithms!$G:$G,MATCH($C179&amp;"_Therm Saved per Unit- MLA",Algorithms!$A:$A,0)),0)*Y179</f>
        <v>0</v>
      </c>
      <c r="CQ179" s="266">
        <f ca="1">P179*IFERROR(INDEX(Algorithms!$G:$G,MATCH($C179&amp;"_Therm Saved per Unit- MLA",Algorithms!$A:$A,0)),0)*Z179</f>
        <v>0</v>
      </c>
      <c r="CR179" s="266">
        <f ca="1">Q179*IFERROR(INDEX(Algorithms!$G:$G,MATCH($C179&amp;"_Therm Saved per Unit- MLA",Algorithms!$A:$A,0)),0)*AA179</f>
        <v>0</v>
      </c>
      <c r="CS179" s="266">
        <f ca="1">IFERROR(INDEX(Algorithms!$G:$G,MATCH($C179&amp;"_Lifetime (years)",Algorithms!$A:$A,0)),0)</f>
        <v>15</v>
      </c>
      <c r="CT179" s="266">
        <f ca="1">IFERROR(INDEX(Algorithms!$G:$G,MATCH($C179&amp;"_Lifetime (years) - Remaining Years",Algorithms!$A:$A,0)),0)</f>
        <v>0</v>
      </c>
      <c r="CU179" s="266">
        <f t="shared" ca="1" si="121"/>
        <v>5503.7451717374488</v>
      </c>
      <c r="CV179" s="266">
        <f t="shared" ca="1" si="122"/>
        <v>5503.7451717374488</v>
      </c>
      <c r="CW179" s="266">
        <f t="shared" ca="1" si="123"/>
        <v>5503.7451717374488</v>
      </c>
      <c r="CX179" s="266">
        <f t="shared" ca="1" si="124"/>
        <v>5503.7451717374488</v>
      </c>
    </row>
    <row r="180" spans="2:102" s="47" customFormat="1" ht="18" customHeight="1" x14ac:dyDescent="0.25">
      <c r="B180" t="str">
        <f t="shared" si="125"/>
        <v>NSG_Business_Small/Mid-Size Business_Rebates_Pipe Insulation_HW Medium 2.1" to 4"_MF/CI/SMB</v>
      </c>
      <c r="C180" s="47" t="str">
        <f t="shared" si="86"/>
        <v>Pipe Insulation_HW Medium 2.1" to 4"_MF/CI/SMB</v>
      </c>
      <c r="D180" s="270" t="s">
        <v>1787</v>
      </c>
      <c r="E180" s="270" t="s">
        <v>3</v>
      </c>
      <c r="F180" s="270" t="s">
        <v>1432</v>
      </c>
      <c r="G180" s="270" t="s">
        <v>1429</v>
      </c>
      <c r="H180" s="270" t="s">
        <v>404</v>
      </c>
      <c r="I180" s="270" t="s">
        <v>954</v>
      </c>
      <c r="J180" s="270" t="s">
        <v>662</v>
      </c>
      <c r="K180" s="263">
        <v>1</v>
      </c>
      <c r="L180" s="263" t="str">
        <f ca="1">IFERROR(INDEX(Algorithms!J:J,MATCH($C180&amp;"_Therm Saved per Unit",Algorithms!$A:$A,0)),"n/a")</f>
        <v>"3 - Res Pipe Insulation" worksheet</v>
      </c>
      <c r="M180" s="263" t="str">
        <f>IFERROR(INDEX('Measure Level Detail'!$N:$N,MATCH($B180,'Measure Level Detail'!$B:$B,0)),0)</f>
        <v>ft</v>
      </c>
      <c r="N180" s="271">
        <f>IFERROR(INDEX('Measure Level Detail'!$P:$P,MATCH($B180&amp;"_"&amp;N$3,'Measure Level Detail'!$C:$C,0)),0)</f>
        <v>150</v>
      </c>
      <c r="O180" s="271">
        <f>IFERROR(INDEX('Measure Level Detail'!$P:$P,MATCH($B180&amp;"_"&amp;O$3,'Measure Level Detail'!$C:$C,0)),0)</f>
        <v>150</v>
      </c>
      <c r="P180" s="271">
        <f>IFERROR(INDEX('Measure Level Detail'!$P:$P,MATCH($B180&amp;"_"&amp;P$3,'Measure Level Detail'!$C:$C,0)),0)</f>
        <v>150</v>
      </c>
      <c r="Q180" s="271">
        <f>IFERROR(INDEX('Measure Level Detail'!$P:$P,MATCH($B180&amp;"_"&amp;Q$3,'Measure Level Detail'!$C:$C,0)),0)</f>
        <v>150</v>
      </c>
      <c r="R180" s="263">
        <f ca="1">IFERROR(INDEX(Algorithms!K:K,MATCH($C180&amp;"_Therm Saved per Unit",Algorithms!$A:$A,0)),"n/a")</f>
        <v>0</v>
      </c>
      <c r="S180" s="262"/>
      <c r="T180" s="272">
        <v>5.2492031493764015</v>
      </c>
      <c r="U180" s="272">
        <v>5.2492031493764015</v>
      </c>
      <c r="V180" s="272">
        <v>5.2492031493764015</v>
      </c>
      <c r="W180" s="272">
        <v>5.2492031493764015</v>
      </c>
      <c r="X180" s="276">
        <v>0.93</v>
      </c>
      <c r="Y180" s="276">
        <v>0.93</v>
      </c>
      <c r="Z180" s="276">
        <v>0.93</v>
      </c>
      <c r="AA180" s="276">
        <v>0.93</v>
      </c>
      <c r="AB180" s="266">
        <f t="shared" si="87"/>
        <v>732.2638393380081</v>
      </c>
      <c r="AC180" s="266">
        <f t="shared" si="88"/>
        <v>732.2638393380081</v>
      </c>
      <c r="AD180" s="266">
        <f t="shared" si="89"/>
        <v>732.2638393380081</v>
      </c>
      <c r="AE180" s="266">
        <f t="shared" si="90"/>
        <v>732.2638393380081</v>
      </c>
      <c r="AF180" s="266">
        <f t="shared" si="91"/>
        <v>2929.0553573520324</v>
      </c>
      <c r="AG180" s="274">
        <v>0.93</v>
      </c>
      <c r="AH180" s="274">
        <v>0.93</v>
      </c>
      <c r="AI180" s="274">
        <v>0.93</v>
      </c>
      <c r="AJ180" s="274">
        <v>0.93</v>
      </c>
      <c r="AK180" s="274">
        <f t="shared" si="92"/>
        <v>0.93</v>
      </c>
      <c r="AL180" s="274">
        <f t="shared" si="93"/>
        <v>0.93</v>
      </c>
      <c r="AM180" s="274">
        <f t="shared" si="94"/>
        <v>0.93</v>
      </c>
      <c r="AN180" s="274">
        <f t="shared" si="95"/>
        <v>0.93</v>
      </c>
      <c r="AO180" s="262"/>
      <c r="AP180" s="262"/>
      <c r="AQ180" s="267">
        <v>5.2492031493764015</v>
      </c>
      <c r="AR180" s="262"/>
      <c r="AS180" s="266">
        <f t="shared" si="96"/>
        <v>732.2638393380081</v>
      </c>
      <c r="AT180" s="264">
        <f t="shared" si="97"/>
        <v>0</v>
      </c>
      <c r="AU180" s="262"/>
      <c r="AV180" s="262"/>
      <c r="AW180" s="265">
        <v>5.2492031493764015</v>
      </c>
      <c r="AX180" s="164" t="s">
        <v>1469</v>
      </c>
      <c r="AY180" s="266">
        <v>732.2638393380081</v>
      </c>
      <c r="AZ180" s="266">
        <f t="shared" si="98"/>
        <v>732.2638393380081</v>
      </c>
      <c r="BA180" s="264">
        <f t="shared" si="99"/>
        <v>0</v>
      </c>
      <c r="BB180" s="262"/>
      <c r="BC180" s="262"/>
      <c r="BD180" s="265">
        <f ca="1">IFERROR(INDEX(Algorithms!$G:$G,MATCH($C180&amp;"_Therm Saved per Unit",Algorithms!$A:$A,0)),0)</f>
        <v>5.2492031493764015</v>
      </c>
      <c r="BE180" s="164" t="str">
        <f ca="1">IFERROR(INDEX('v12 Revisions'!$P$29:$P$186, MATCH('Measure-Level Adj Gas'!$L180, 'v12 Revisions'!$D$29:$D$186,0)),"")</f>
        <v/>
      </c>
      <c r="BF180" s="266">
        <f t="shared" ca="1" si="100"/>
        <v>732.2638393380081</v>
      </c>
      <c r="BG180" s="264">
        <f t="shared" ca="1" si="101"/>
        <v>0</v>
      </c>
      <c r="BH180" s="262"/>
      <c r="BI180" s="262"/>
      <c r="BJ180" s="265">
        <f ca="1">IFERROR(INDEX(Algorithms!$G:$G,MATCH($C180&amp;"_Therm Saved per Unit",Algorithms!$A:$A,0)),0)</f>
        <v>5.2492031493764015</v>
      </c>
      <c r="BK180" s="164"/>
      <c r="BL180" s="266">
        <f t="shared" ca="1" si="102"/>
        <v>732.2638393380081</v>
      </c>
      <c r="BM180" s="264">
        <f t="shared" ca="1" si="103"/>
        <v>0</v>
      </c>
      <c r="BN180" s="266">
        <f t="shared" si="104"/>
        <v>732.2638393380081</v>
      </c>
      <c r="BO180" s="266">
        <f t="shared" si="105"/>
        <v>732.2638393380081</v>
      </c>
      <c r="BP180" s="266">
        <f t="shared" ca="1" si="106"/>
        <v>732.2638393380081</v>
      </c>
      <c r="BQ180" s="266">
        <f t="shared" ca="1" si="107"/>
        <v>732.2638393380081</v>
      </c>
      <c r="BR180" s="268">
        <f t="shared" ca="1" si="108"/>
        <v>2929.0553573520324</v>
      </c>
      <c r="BS180" s="262" t="s">
        <v>99</v>
      </c>
      <c r="BT180" s="277"/>
      <c r="BW180" s="266">
        <f t="shared" si="109"/>
        <v>732.2638393380081</v>
      </c>
      <c r="BX180" s="266">
        <f t="shared" si="110"/>
        <v>732.2638393380081</v>
      </c>
      <c r="BY180" s="266">
        <f t="shared" si="111"/>
        <v>732.2638393380081</v>
      </c>
      <c r="BZ180" s="266">
        <f t="shared" si="112"/>
        <v>732.2638393380081</v>
      </c>
      <c r="CA180" s="266">
        <f ca="1">N180*IFERROR(INDEX(Algorithms!$G:$G,MATCH($C180&amp;"_Therm Saved per Unit- MLA",Algorithms!$A:$A,0)),0)*X180</f>
        <v>0</v>
      </c>
      <c r="CB180" s="266">
        <f ca="1">O180*IFERROR(INDEX(Algorithms!$G:$G,MATCH($C180&amp;"_Therm Saved per Unit- MLA",Algorithms!$A:$A,0)),0)*Y180</f>
        <v>0</v>
      </c>
      <c r="CC180" s="266">
        <f ca="1">P180*IFERROR(INDEX(Algorithms!$G:$G,MATCH($C180&amp;"_Therm Saved per Unit- MLA",Algorithms!$A:$A,0)),0)*Z180</f>
        <v>0</v>
      </c>
      <c r="CD180" s="266">
        <f ca="1">Q180*IFERROR(INDEX(Algorithms!$G:$G,MATCH($C180&amp;"_Therm Saved per Unit- MLA",Algorithms!$A:$A,0)),0)*AA180</f>
        <v>0</v>
      </c>
      <c r="CE180" s="266">
        <f ca="1">IFERROR(INDEX(Algorithms!$G:$G,MATCH($C180&amp;"_Lifetime (years)",Algorithms!$A:$A,0)),0)</f>
        <v>15</v>
      </c>
      <c r="CF180" s="266">
        <f ca="1">IFERROR(INDEX(Algorithms!$G:$G,MATCH($C180&amp;"_Lifetime (years) - Remaining Years",Algorithms!$A:$A,0)),0)</f>
        <v>0</v>
      </c>
      <c r="CG180" s="266">
        <f t="shared" ca="1" si="113"/>
        <v>10983.957590070122</v>
      </c>
      <c r="CH180" s="266">
        <f t="shared" ca="1" si="114"/>
        <v>10983.957590070122</v>
      </c>
      <c r="CI180" s="266">
        <f t="shared" ca="1" si="115"/>
        <v>10983.957590070122</v>
      </c>
      <c r="CJ180" s="266">
        <f t="shared" ca="1" si="116"/>
        <v>10983.957590070122</v>
      </c>
      <c r="CK180" s="266">
        <f t="shared" si="117"/>
        <v>732.2638393380081</v>
      </c>
      <c r="CL180" s="266">
        <f t="shared" si="118"/>
        <v>732.2638393380081</v>
      </c>
      <c r="CM180" s="266">
        <f t="shared" ca="1" si="119"/>
        <v>732.2638393380081</v>
      </c>
      <c r="CN180" s="266">
        <f t="shared" ca="1" si="120"/>
        <v>732.2638393380081</v>
      </c>
      <c r="CO180" s="266">
        <f ca="1">N180*IFERROR(INDEX(Algorithms!$G:$G,MATCH($C180&amp;"_Therm Saved per Unit- MLA",Algorithms!$A:$A,0)),0)*X180</f>
        <v>0</v>
      </c>
      <c r="CP180" s="266">
        <f ca="1">O180*IFERROR(INDEX(Algorithms!$G:$G,MATCH($C180&amp;"_Therm Saved per Unit- MLA",Algorithms!$A:$A,0)),0)*Y180</f>
        <v>0</v>
      </c>
      <c r="CQ180" s="266">
        <f ca="1">P180*IFERROR(INDEX(Algorithms!$G:$G,MATCH($C180&amp;"_Therm Saved per Unit- MLA",Algorithms!$A:$A,0)),0)*Z180</f>
        <v>0</v>
      </c>
      <c r="CR180" s="266">
        <f ca="1">Q180*IFERROR(INDEX(Algorithms!$G:$G,MATCH($C180&amp;"_Therm Saved per Unit- MLA",Algorithms!$A:$A,0)),0)*AA180</f>
        <v>0</v>
      </c>
      <c r="CS180" s="266">
        <f ca="1">IFERROR(INDEX(Algorithms!$G:$G,MATCH($C180&amp;"_Lifetime (years)",Algorithms!$A:$A,0)),0)</f>
        <v>15</v>
      </c>
      <c r="CT180" s="266">
        <f ca="1">IFERROR(INDEX(Algorithms!$G:$G,MATCH($C180&amp;"_Lifetime (years) - Remaining Years",Algorithms!$A:$A,0)),0)</f>
        <v>0</v>
      </c>
      <c r="CU180" s="266">
        <f t="shared" ca="1" si="121"/>
        <v>10983.957590070122</v>
      </c>
      <c r="CV180" s="266">
        <f t="shared" ca="1" si="122"/>
        <v>10983.957590070122</v>
      </c>
      <c r="CW180" s="266">
        <f t="shared" ca="1" si="123"/>
        <v>10983.957590070122</v>
      </c>
      <c r="CX180" s="266">
        <f t="shared" ca="1" si="124"/>
        <v>10983.957590070122</v>
      </c>
    </row>
    <row r="181" spans="2:102" s="47" customFormat="1" ht="18" customHeight="1" x14ac:dyDescent="0.25">
      <c r="B181" t="str">
        <f t="shared" si="125"/>
        <v>NSG_Business_Small/Mid-Size Business_Rebates_Pipe Insulation_Steam - Med 2.1" to 5"_CI</v>
      </c>
      <c r="C181" s="47" t="str">
        <f t="shared" si="86"/>
        <v>Pipe Insulation_Steam - Med 2.1" to 5"_CI</v>
      </c>
      <c r="D181" s="270" t="s">
        <v>1787</v>
      </c>
      <c r="E181" s="270" t="s">
        <v>3</v>
      </c>
      <c r="F181" s="270" t="s">
        <v>1432</v>
      </c>
      <c r="G181" s="270" t="s">
        <v>1429</v>
      </c>
      <c r="H181" s="270" t="s">
        <v>404</v>
      </c>
      <c r="I181" s="270" t="s">
        <v>957</v>
      </c>
      <c r="J181" s="270" t="s">
        <v>1159</v>
      </c>
      <c r="K181" s="263">
        <v>1</v>
      </c>
      <c r="L181" s="263" t="str">
        <f ca="1">IFERROR(INDEX(Algorithms!J:J,MATCH($C181&amp;"_Therm Saved per Unit",Algorithms!$A:$A,0)),"n/a")</f>
        <v>"3 - Pipe Insulation" worksheet</v>
      </c>
      <c r="M181" s="263" t="str">
        <f>IFERROR(INDEX('Measure Level Detail'!$N:$N,MATCH($B181,'Measure Level Detail'!$B:$B,0)),0)</f>
        <v>ft</v>
      </c>
      <c r="N181" s="271">
        <f>IFERROR(INDEX('Measure Level Detail'!$P:$P,MATCH($B181&amp;"_"&amp;N$3,'Measure Level Detail'!$C:$C,0)),0)</f>
        <v>150</v>
      </c>
      <c r="O181" s="271">
        <f>IFERROR(INDEX('Measure Level Detail'!$P:$P,MATCH($B181&amp;"_"&amp;O$3,'Measure Level Detail'!$C:$C,0)),0)</f>
        <v>150</v>
      </c>
      <c r="P181" s="271">
        <f>IFERROR(INDEX('Measure Level Detail'!$P:$P,MATCH($B181&amp;"_"&amp;P$3,'Measure Level Detail'!$C:$C,0)),0)</f>
        <v>150</v>
      </c>
      <c r="Q181" s="271">
        <f>IFERROR(INDEX('Measure Level Detail'!$P:$P,MATCH($B181&amp;"_"&amp;Q$3,'Measure Level Detail'!$C:$C,0)),0)</f>
        <v>150</v>
      </c>
      <c r="R181" s="263">
        <f ca="1">IFERROR(INDEX(Algorithms!K:K,MATCH($C181&amp;"_Therm Saved per Unit",Algorithms!$A:$A,0)),"n/a")</f>
        <v>0</v>
      </c>
      <c r="S181" s="262"/>
      <c r="T181" s="272">
        <v>12.811046084448035</v>
      </c>
      <c r="U181" s="272">
        <v>12.811046084448035</v>
      </c>
      <c r="V181" s="272">
        <v>12.811046084448035</v>
      </c>
      <c r="W181" s="272">
        <v>12.811046084448035</v>
      </c>
      <c r="X181" s="276">
        <v>0.93</v>
      </c>
      <c r="Y181" s="276">
        <v>0.93</v>
      </c>
      <c r="Z181" s="276">
        <v>0.93</v>
      </c>
      <c r="AA181" s="276">
        <v>0.93</v>
      </c>
      <c r="AB181" s="266">
        <f t="shared" si="87"/>
        <v>1787.1409287805009</v>
      </c>
      <c r="AC181" s="266">
        <f t="shared" si="88"/>
        <v>1787.1409287805009</v>
      </c>
      <c r="AD181" s="266">
        <f t="shared" si="89"/>
        <v>1787.1409287805009</v>
      </c>
      <c r="AE181" s="266">
        <f t="shared" si="90"/>
        <v>1787.1409287805009</v>
      </c>
      <c r="AF181" s="266">
        <f t="shared" si="91"/>
        <v>7148.5637151220035</v>
      </c>
      <c r="AG181" s="274">
        <v>0.93</v>
      </c>
      <c r="AH181" s="274">
        <v>0.93</v>
      </c>
      <c r="AI181" s="274">
        <v>0.93</v>
      </c>
      <c r="AJ181" s="274">
        <v>0.93</v>
      </c>
      <c r="AK181" s="274">
        <f t="shared" si="92"/>
        <v>0.93</v>
      </c>
      <c r="AL181" s="274">
        <f t="shared" si="93"/>
        <v>0.93</v>
      </c>
      <c r="AM181" s="274">
        <f t="shared" si="94"/>
        <v>0.93</v>
      </c>
      <c r="AN181" s="274">
        <f t="shared" si="95"/>
        <v>0.93</v>
      </c>
      <c r="AO181" s="262"/>
      <c r="AP181" s="262"/>
      <c r="AQ181" s="267">
        <v>12.811046084448035</v>
      </c>
      <c r="AR181" s="262"/>
      <c r="AS181" s="266">
        <f t="shared" si="96"/>
        <v>1787.1409287805009</v>
      </c>
      <c r="AT181" s="264">
        <f t="shared" si="97"/>
        <v>0</v>
      </c>
      <c r="AU181" s="262"/>
      <c r="AV181" s="262"/>
      <c r="AW181" s="265">
        <v>12.811046084448035</v>
      </c>
      <c r="AX181" s="164" t="s">
        <v>1469</v>
      </c>
      <c r="AY181" s="266">
        <v>1787.1409287805009</v>
      </c>
      <c r="AZ181" s="266">
        <f t="shared" si="98"/>
        <v>1787.1409287805009</v>
      </c>
      <c r="BA181" s="264">
        <f t="shared" si="99"/>
        <v>0</v>
      </c>
      <c r="BB181" s="262"/>
      <c r="BC181" s="262"/>
      <c r="BD181" s="265">
        <f ca="1">IFERROR(INDEX(Algorithms!$G:$G,MATCH($C181&amp;"_Therm Saved per Unit",Algorithms!$A:$A,0)),0)</f>
        <v>12.811046084448035</v>
      </c>
      <c r="BE181" s="164" t="str">
        <f ca="1">IFERROR(INDEX('v12 Revisions'!$P$29:$P$186, MATCH('Measure-Level Adj Gas'!$L181, 'v12 Revisions'!$D$29:$D$186,0)),"")</f>
        <v/>
      </c>
      <c r="BF181" s="266">
        <f t="shared" ca="1" si="100"/>
        <v>1787.1409287805009</v>
      </c>
      <c r="BG181" s="264">
        <f t="shared" ca="1" si="101"/>
        <v>0</v>
      </c>
      <c r="BH181" s="262"/>
      <c r="BI181" s="262"/>
      <c r="BJ181" s="265">
        <f ca="1">IFERROR(INDEX(Algorithms!$G:$G,MATCH($C181&amp;"_Therm Saved per Unit",Algorithms!$A:$A,0)),0)</f>
        <v>12.811046084448035</v>
      </c>
      <c r="BK181" s="164"/>
      <c r="BL181" s="266">
        <f t="shared" ca="1" si="102"/>
        <v>1787.1409287805009</v>
      </c>
      <c r="BM181" s="264">
        <f t="shared" ca="1" si="103"/>
        <v>0</v>
      </c>
      <c r="BN181" s="266">
        <f t="shared" si="104"/>
        <v>1787.1409287805009</v>
      </c>
      <c r="BO181" s="266">
        <f t="shared" si="105"/>
        <v>1787.1409287805009</v>
      </c>
      <c r="BP181" s="266">
        <f t="shared" ca="1" si="106"/>
        <v>1787.1409287805009</v>
      </c>
      <c r="BQ181" s="266">
        <f t="shared" ca="1" si="107"/>
        <v>1787.1409287805009</v>
      </c>
      <c r="BR181" s="268">
        <f t="shared" ca="1" si="108"/>
        <v>7148.5637151220035</v>
      </c>
      <c r="BS181" s="262" t="s">
        <v>99</v>
      </c>
      <c r="BT181" s="277"/>
      <c r="BW181" s="266">
        <f t="shared" si="109"/>
        <v>1787.1409287805009</v>
      </c>
      <c r="BX181" s="266">
        <f t="shared" si="110"/>
        <v>1787.1409287805009</v>
      </c>
      <c r="BY181" s="266">
        <f t="shared" si="111"/>
        <v>1787.1409287805009</v>
      </c>
      <c r="BZ181" s="266">
        <f t="shared" si="112"/>
        <v>1787.1409287805009</v>
      </c>
      <c r="CA181" s="266">
        <f ca="1">N181*IFERROR(INDEX(Algorithms!$G:$G,MATCH($C181&amp;"_Therm Saved per Unit- MLA",Algorithms!$A:$A,0)),0)*X181</f>
        <v>0</v>
      </c>
      <c r="CB181" s="266">
        <f ca="1">O181*IFERROR(INDEX(Algorithms!$G:$G,MATCH($C181&amp;"_Therm Saved per Unit- MLA",Algorithms!$A:$A,0)),0)*Y181</f>
        <v>0</v>
      </c>
      <c r="CC181" s="266">
        <f ca="1">P181*IFERROR(INDEX(Algorithms!$G:$G,MATCH($C181&amp;"_Therm Saved per Unit- MLA",Algorithms!$A:$A,0)),0)*Z181</f>
        <v>0</v>
      </c>
      <c r="CD181" s="266">
        <f ca="1">Q181*IFERROR(INDEX(Algorithms!$G:$G,MATCH($C181&amp;"_Therm Saved per Unit- MLA",Algorithms!$A:$A,0)),0)*AA181</f>
        <v>0</v>
      </c>
      <c r="CE181" s="266">
        <f ca="1">IFERROR(INDEX(Algorithms!$G:$G,MATCH($C181&amp;"_Lifetime (years)",Algorithms!$A:$A,0)),0)</f>
        <v>15</v>
      </c>
      <c r="CF181" s="266">
        <f ca="1">IFERROR(INDEX(Algorithms!$G:$G,MATCH($C181&amp;"_Lifetime (years) - Remaining Years",Algorithms!$A:$A,0)),0)</f>
        <v>0</v>
      </c>
      <c r="CG181" s="266">
        <f t="shared" ca="1" si="113"/>
        <v>26807.113931707514</v>
      </c>
      <c r="CH181" s="266">
        <f t="shared" ca="1" si="114"/>
        <v>26807.113931707514</v>
      </c>
      <c r="CI181" s="266">
        <f t="shared" ca="1" si="115"/>
        <v>26807.113931707514</v>
      </c>
      <c r="CJ181" s="266">
        <f t="shared" ca="1" si="116"/>
        <v>26807.113931707514</v>
      </c>
      <c r="CK181" s="266">
        <f t="shared" si="117"/>
        <v>1787.1409287805009</v>
      </c>
      <c r="CL181" s="266">
        <f t="shared" si="118"/>
        <v>1787.1409287805009</v>
      </c>
      <c r="CM181" s="266">
        <f t="shared" ca="1" si="119"/>
        <v>1787.1409287805009</v>
      </c>
      <c r="CN181" s="266">
        <f t="shared" ca="1" si="120"/>
        <v>1787.1409287805009</v>
      </c>
      <c r="CO181" s="266">
        <f ca="1">N181*IFERROR(INDEX(Algorithms!$G:$G,MATCH($C181&amp;"_Therm Saved per Unit- MLA",Algorithms!$A:$A,0)),0)*X181</f>
        <v>0</v>
      </c>
      <c r="CP181" s="266">
        <f ca="1">O181*IFERROR(INDEX(Algorithms!$G:$G,MATCH($C181&amp;"_Therm Saved per Unit- MLA",Algorithms!$A:$A,0)),0)*Y181</f>
        <v>0</v>
      </c>
      <c r="CQ181" s="266">
        <f ca="1">P181*IFERROR(INDEX(Algorithms!$G:$G,MATCH($C181&amp;"_Therm Saved per Unit- MLA",Algorithms!$A:$A,0)),0)*Z181</f>
        <v>0</v>
      </c>
      <c r="CR181" s="266">
        <f ca="1">Q181*IFERROR(INDEX(Algorithms!$G:$G,MATCH($C181&amp;"_Therm Saved per Unit- MLA",Algorithms!$A:$A,0)),0)*AA181</f>
        <v>0</v>
      </c>
      <c r="CS181" s="266">
        <f ca="1">IFERROR(INDEX(Algorithms!$G:$G,MATCH($C181&amp;"_Lifetime (years)",Algorithms!$A:$A,0)),0)</f>
        <v>15</v>
      </c>
      <c r="CT181" s="266">
        <f ca="1">IFERROR(INDEX(Algorithms!$G:$G,MATCH($C181&amp;"_Lifetime (years) - Remaining Years",Algorithms!$A:$A,0)),0)</f>
        <v>0</v>
      </c>
      <c r="CU181" s="266">
        <f t="shared" ca="1" si="121"/>
        <v>26807.113931707514</v>
      </c>
      <c r="CV181" s="266">
        <f t="shared" ca="1" si="122"/>
        <v>26807.113931707514</v>
      </c>
      <c r="CW181" s="266">
        <f t="shared" ca="1" si="123"/>
        <v>26807.113931707514</v>
      </c>
      <c r="CX181" s="266">
        <f t="shared" ca="1" si="124"/>
        <v>26807.113931707514</v>
      </c>
    </row>
    <row r="182" spans="2:102" s="47" customFormat="1" ht="18" customHeight="1" x14ac:dyDescent="0.25">
      <c r="B182" t="str">
        <f t="shared" si="125"/>
        <v>NSG_Business_Small/Mid-Size Business_Partner Trade Ally Rebate_Boiler_≥88% AFUE, &lt;300MBh_CI</v>
      </c>
      <c r="C182" s="47" t="str">
        <f t="shared" si="86"/>
        <v>Boiler_≥88% AFUE, &lt;300MBh_CI</v>
      </c>
      <c r="D182" s="270" t="s">
        <v>1787</v>
      </c>
      <c r="E182" s="270" t="s">
        <v>3</v>
      </c>
      <c r="F182" s="270" t="s">
        <v>1432</v>
      </c>
      <c r="G182" s="270" t="s">
        <v>1799</v>
      </c>
      <c r="H182" s="270" t="s">
        <v>944</v>
      </c>
      <c r="I182" s="270" t="s">
        <v>945</v>
      </c>
      <c r="J182" s="270" t="s">
        <v>1159</v>
      </c>
      <c r="K182" s="263">
        <v>1</v>
      </c>
      <c r="L182" s="263" t="str">
        <f ca="1">IFERROR(INDEX(Algorithms!J:J,MATCH($C182&amp;"_Therm Saved per Unit",Algorithms!$A:$A,0)),"n/a")</f>
        <v>4.4.10</v>
      </c>
      <c r="M182" s="263" t="str">
        <f>IFERROR(INDEX('Measure Level Detail'!$N:$N,MATCH($B182,'Measure Level Detail'!$B:$B,0)),0)</f>
        <v>MBH</v>
      </c>
      <c r="N182" s="271">
        <f>IFERROR(INDEX('Measure Level Detail'!$P:$P,MATCH($B182&amp;"_"&amp;N$3,'Measure Level Detail'!$C:$C,0)),0)</f>
        <v>150</v>
      </c>
      <c r="O182" s="271">
        <f>IFERROR(INDEX('Measure Level Detail'!$P:$P,MATCH($B182&amp;"_"&amp;O$3,'Measure Level Detail'!$C:$C,0)),0)</f>
        <v>150</v>
      </c>
      <c r="P182" s="271">
        <f>IFERROR(INDEX('Measure Level Detail'!$P:$P,MATCH($B182&amp;"_"&amp;P$3,'Measure Level Detail'!$C:$C,0)),0)</f>
        <v>150</v>
      </c>
      <c r="Q182" s="271">
        <f>IFERROR(INDEX('Measure Level Detail'!$P:$P,MATCH($B182&amp;"_"&amp;Q$3,'Measure Level Detail'!$C:$C,0)),0)</f>
        <v>150</v>
      </c>
      <c r="R182" s="263" t="str">
        <f ca="1">IFERROR(INDEX(Algorithms!K:K,MATCH($C182&amp;"_Therm Saved per Unit",Algorithms!$A:$A,0)),"n/a")</f>
        <v>CI-HVC-BOIL-V11-240101</v>
      </c>
      <c r="S182" s="262"/>
      <c r="T182" s="272">
        <v>0.79095238095238163</v>
      </c>
      <c r="U182" s="272">
        <v>0.79095238095238163</v>
      </c>
      <c r="V182" s="272">
        <v>0.79095238095238163</v>
      </c>
      <c r="W182" s="272">
        <v>0.79095238095238163</v>
      </c>
      <c r="X182" s="276">
        <v>0.93</v>
      </c>
      <c r="Y182" s="276">
        <v>0.93</v>
      </c>
      <c r="Z182" s="276">
        <v>0.93</v>
      </c>
      <c r="AA182" s="276">
        <v>0.93</v>
      </c>
      <c r="AB182" s="266">
        <f t="shared" si="87"/>
        <v>110.33785714285723</v>
      </c>
      <c r="AC182" s="266">
        <f t="shared" si="88"/>
        <v>110.33785714285723</v>
      </c>
      <c r="AD182" s="266">
        <f t="shared" si="89"/>
        <v>110.33785714285723</v>
      </c>
      <c r="AE182" s="266">
        <f t="shared" si="90"/>
        <v>110.33785714285723</v>
      </c>
      <c r="AF182" s="266">
        <f t="shared" si="91"/>
        <v>441.35142857142893</v>
      </c>
      <c r="AG182" s="274">
        <v>0.93</v>
      </c>
      <c r="AH182" s="274">
        <v>0.93</v>
      </c>
      <c r="AI182" s="274">
        <v>0.93</v>
      </c>
      <c r="AJ182" s="274">
        <v>0.93</v>
      </c>
      <c r="AK182" s="274">
        <f t="shared" si="92"/>
        <v>0.93</v>
      </c>
      <c r="AL182" s="274">
        <f t="shared" si="93"/>
        <v>0.93</v>
      </c>
      <c r="AM182" s="274">
        <f t="shared" si="94"/>
        <v>0.93</v>
      </c>
      <c r="AN182" s="274">
        <f t="shared" si="95"/>
        <v>0.93</v>
      </c>
      <c r="AO182" s="262"/>
      <c r="AP182" s="262"/>
      <c r="AQ182" s="267">
        <v>0.79095238095238163</v>
      </c>
      <c r="AR182" s="262"/>
      <c r="AS182" s="266">
        <f t="shared" si="96"/>
        <v>110.33785714285723</v>
      </c>
      <c r="AT182" s="264">
        <f t="shared" si="97"/>
        <v>0</v>
      </c>
      <c r="AU182" s="262"/>
      <c r="AV182" s="262"/>
      <c r="AW182" s="265">
        <v>0.79095238095238163</v>
      </c>
      <c r="AX182" s="164" t="s">
        <v>1469</v>
      </c>
      <c r="AY182" s="266">
        <v>110.33785714285723</v>
      </c>
      <c r="AZ182" s="266">
        <f t="shared" si="98"/>
        <v>110.33785714285723</v>
      </c>
      <c r="BA182" s="264">
        <f t="shared" si="99"/>
        <v>0</v>
      </c>
      <c r="BB182" s="262"/>
      <c r="BC182" s="262"/>
      <c r="BD182" s="265">
        <f ca="1">IFERROR(INDEX(Algorithms!$G:$G,MATCH($C182&amp;"_Therm Saved per Unit",Algorithms!$A:$A,0)),0)</f>
        <v>0.79095238095238163</v>
      </c>
      <c r="BE182" s="164" t="str">
        <f ca="1">IFERROR(INDEX('v12 Revisions'!$P$29:$P$186, MATCH('Measure-Level Adj Gas'!$L182, 'v12 Revisions'!$D$29:$D$186,0)),"")</f>
        <v>Updated baseline and efficient boiler efficiency ratings.</v>
      </c>
      <c r="BF182" s="266">
        <f t="shared" ca="1" si="100"/>
        <v>110.33785714285723</v>
      </c>
      <c r="BG182" s="264">
        <f t="shared" ca="1" si="101"/>
        <v>0</v>
      </c>
      <c r="BH182" s="262"/>
      <c r="BI182" s="262"/>
      <c r="BJ182" s="265">
        <f ca="1">IFERROR(INDEX(Algorithms!$G:$G,MATCH($C182&amp;"_Therm Saved per Unit",Algorithms!$A:$A,0)),0)</f>
        <v>0.79095238095238163</v>
      </c>
      <c r="BK182" s="164"/>
      <c r="BL182" s="266">
        <f t="shared" ca="1" si="102"/>
        <v>110.33785714285723</v>
      </c>
      <c r="BM182" s="264">
        <f t="shared" ca="1" si="103"/>
        <v>0</v>
      </c>
      <c r="BN182" s="266">
        <f t="shared" si="104"/>
        <v>110.33785714285723</v>
      </c>
      <c r="BO182" s="266">
        <f t="shared" si="105"/>
        <v>110.33785714285723</v>
      </c>
      <c r="BP182" s="266">
        <f t="shared" ca="1" si="106"/>
        <v>110.33785714285723</v>
      </c>
      <c r="BQ182" s="266">
        <f t="shared" ca="1" si="107"/>
        <v>110.33785714285723</v>
      </c>
      <c r="BR182" s="268">
        <f t="shared" ca="1" si="108"/>
        <v>441.35142857142893</v>
      </c>
      <c r="BS182" s="262" t="s">
        <v>99</v>
      </c>
      <c r="BT182" s="277"/>
      <c r="BW182" s="266">
        <f t="shared" si="109"/>
        <v>110.33785714285723</v>
      </c>
      <c r="BX182" s="266">
        <f t="shared" si="110"/>
        <v>110.33785714285723</v>
      </c>
      <c r="BY182" s="266">
        <f t="shared" si="111"/>
        <v>110.33785714285723</v>
      </c>
      <c r="BZ182" s="266">
        <f t="shared" si="112"/>
        <v>110.33785714285723</v>
      </c>
      <c r="CA182" s="266">
        <f ca="1">N182*IFERROR(INDEX(Algorithms!$G:$G,MATCH($C182&amp;"_Therm Saved per Unit- MLA",Algorithms!$A:$A,0)),0)*X182</f>
        <v>0</v>
      </c>
      <c r="CB182" s="266">
        <f ca="1">O182*IFERROR(INDEX(Algorithms!$G:$G,MATCH($C182&amp;"_Therm Saved per Unit- MLA",Algorithms!$A:$A,0)),0)*Y182</f>
        <v>0</v>
      </c>
      <c r="CC182" s="266">
        <f ca="1">P182*IFERROR(INDEX(Algorithms!$G:$G,MATCH($C182&amp;"_Therm Saved per Unit- MLA",Algorithms!$A:$A,0)),0)*Z182</f>
        <v>0</v>
      </c>
      <c r="CD182" s="266">
        <f ca="1">Q182*IFERROR(INDEX(Algorithms!$G:$G,MATCH($C182&amp;"_Therm Saved per Unit- MLA",Algorithms!$A:$A,0)),0)*AA182</f>
        <v>0</v>
      </c>
      <c r="CE182" s="266">
        <f ca="1">IFERROR(INDEX(Algorithms!$G:$G,MATCH($C182&amp;"_Lifetime (years)",Algorithms!$A:$A,0)),0)</f>
        <v>25</v>
      </c>
      <c r="CF182" s="266">
        <f ca="1">IFERROR(INDEX(Algorithms!$G:$G,MATCH($C182&amp;"_Lifetime (years) - Remaining Years",Algorithms!$A:$A,0)),0)</f>
        <v>0</v>
      </c>
      <c r="CG182" s="266">
        <f t="shared" ca="1" si="113"/>
        <v>2758.4464285714307</v>
      </c>
      <c r="CH182" s="266">
        <f t="shared" ca="1" si="114"/>
        <v>2758.4464285714307</v>
      </c>
      <c r="CI182" s="266">
        <f t="shared" ca="1" si="115"/>
        <v>2758.4464285714307</v>
      </c>
      <c r="CJ182" s="266">
        <f t="shared" ca="1" si="116"/>
        <v>2758.4464285714307</v>
      </c>
      <c r="CK182" s="266">
        <f t="shared" si="117"/>
        <v>110.33785714285723</v>
      </c>
      <c r="CL182" s="266">
        <f t="shared" si="118"/>
        <v>110.33785714285723</v>
      </c>
      <c r="CM182" s="266">
        <f t="shared" ca="1" si="119"/>
        <v>110.33785714285723</v>
      </c>
      <c r="CN182" s="266">
        <f t="shared" ca="1" si="120"/>
        <v>110.33785714285723</v>
      </c>
      <c r="CO182" s="266">
        <f ca="1">N182*IFERROR(INDEX(Algorithms!$G:$G,MATCH($C182&amp;"_Therm Saved per Unit- MLA",Algorithms!$A:$A,0)),0)*X182</f>
        <v>0</v>
      </c>
      <c r="CP182" s="266">
        <f ca="1">O182*IFERROR(INDEX(Algorithms!$G:$G,MATCH($C182&amp;"_Therm Saved per Unit- MLA",Algorithms!$A:$A,0)),0)*Y182</f>
        <v>0</v>
      </c>
      <c r="CQ182" s="266">
        <f ca="1">P182*IFERROR(INDEX(Algorithms!$G:$G,MATCH($C182&amp;"_Therm Saved per Unit- MLA",Algorithms!$A:$A,0)),0)*Z182</f>
        <v>0</v>
      </c>
      <c r="CR182" s="266">
        <f ca="1">Q182*IFERROR(INDEX(Algorithms!$G:$G,MATCH($C182&amp;"_Therm Saved per Unit- MLA",Algorithms!$A:$A,0)),0)*AA182</f>
        <v>0</v>
      </c>
      <c r="CS182" s="266">
        <f ca="1">IFERROR(INDEX(Algorithms!$G:$G,MATCH($C182&amp;"_Lifetime (years)",Algorithms!$A:$A,0)),0)</f>
        <v>25</v>
      </c>
      <c r="CT182" s="266">
        <f ca="1">IFERROR(INDEX(Algorithms!$G:$G,MATCH($C182&amp;"_Lifetime (years) - Remaining Years",Algorithms!$A:$A,0)),0)</f>
        <v>0</v>
      </c>
      <c r="CU182" s="266">
        <f t="shared" ca="1" si="121"/>
        <v>2758.4464285714307</v>
      </c>
      <c r="CV182" s="266">
        <f t="shared" ca="1" si="122"/>
        <v>2758.4464285714307</v>
      </c>
      <c r="CW182" s="266">
        <f t="shared" ca="1" si="123"/>
        <v>2758.4464285714307</v>
      </c>
      <c r="CX182" s="266">
        <f t="shared" ca="1" si="124"/>
        <v>2758.4464285714307</v>
      </c>
    </row>
    <row r="183" spans="2:102" s="47" customFormat="1" ht="18" customHeight="1" x14ac:dyDescent="0.25">
      <c r="B183" t="str">
        <f t="shared" si="125"/>
        <v>NSG_Business_Small/Mid-Size Business_Partner Trade Ally Rebate_Pipe Insulation_HW Medium 2.1" to 4"_MF/CI/SMB</v>
      </c>
      <c r="C183" s="47" t="str">
        <f t="shared" si="86"/>
        <v>Pipe Insulation_HW Medium 2.1" to 4"_MF/CI/SMB</v>
      </c>
      <c r="D183" s="270" t="s">
        <v>1787</v>
      </c>
      <c r="E183" s="270" t="s">
        <v>3</v>
      </c>
      <c r="F183" s="270" t="s">
        <v>1432</v>
      </c>
      <c r="G183" s="270" t="s">
        <v>1799</v>
      </c>
      <c r="H183" s="270" t="s">
        <v>404</v>
      </c>
      <c r="I183" s="270" t="s">
        <v>954</v>
      </c>
      <c r="J183" s="270" t="s">
        <v>662</v>
      </c>
      <c r="K183" s="263">
        <v>1</v>
      </c>
      <c r="L183" s="263" t="str">
        <f ca="1">IFERROR(INDEX(Algorithms!J:J,MATCH($C183&amp;"_Therm Saved per Unit",Algorithms!$A:$A,0)),"n/a")</f>
        <v>"3 - Res Pipe Insulation" worksheet</v>
      </c>
      <c r="M183" s="263" t="str">
        <f>IFERROR(INDEX('Measure Level Detail'!$N:$N,MATCH($B183,'Measure Level Detail'!$B:$B,0)),0)</f>
        <v>ft</v>
      </c>
      <c r="N183" s="271">
        <f>IFERROR(INDEX('Measure Level Detail'!$P:$P,MATCH($B183&amp;"_"&amp;N$3,'Measure Level Detail'!$C:$C,0)),0)</f>
        <v>150</v>
      </c>
      <c r="O183" s="271">
        <f>IFERROR(INDEX('Measure Level Detail'!$P:$P,MATCH($B183&amp;"_"&amp;O$3,'Measure Level Detail'!$C:$C,0)),0)</f>
        <v>150</v>
      </c>
      <c r="P183" s="271">
        <f>IFERROR(INDEX('Measure Level Detail'!$P:$P,MATCH($B183&amp;"_"&amp;P$3,'Measure Level Detail'!$C:$C,0)),0)</f>
        <v>150</v>
      </c>
      <c r="Q183" s="271">
        <f>IFERROR(INDEX('Measure Level Detail'!$P:$P,MATCH($B183&amp;"_"&amp;Q$3,'Measure Level Detail'!$C:$C,0)),0)</f>
        <v>150</v>
      </c>
      <c r="R183" s="263">
        <f ca="1">IFERROR(INDEX(Algorithms!K:K,MATCH($C183&amp;"_Therm Saved per Unit",Algorithms!$A:$A,0)),"n/a")</f>
        <v>0</v>
      </c>
      <c r="S183" s="262"/>
      <c r="T183" s="272">
        <v>5.2492031493764015</v>
      </c>
      <c r="U183" s="272">
        <v>5.2492031493764015</v>
      </c>
      <c r="V183" s="272">
        <v>5.2492031493764015</v>
      </c>
      <c r="W183" s="272">
        <v>5.2492031493764015</v>
      </c>
      <c r="X183" s="276">
        <v>0.93</v>
      </c>
      <c r="Y183" s="276">
        <v>0.93</v>
      </c>
      <c r="Z183" s="276">
        <v>0.93</v>
      </c>
      <c r="AA183" s="276">
        <v>0.93</v>
      </c>
      <c r="AB183" s="266">
        <f t="shared" si="87"/>
        <v>732.2638393380081</v>
      </c>
      <c r="AC183" s="266">
        <f t="shared" si="88"/>
        <v>732.2638393380081</v>
      </c>
      <c r="AD183" s="266">
        <f t="shared" si="89"/>
        <v>732.2638393380081</v>
      </c>
      <c r="AE183" s="266">
        <f t="shared" si="90"/>
        <v>732.2638393380081</v>
      </c>
      <c r="AF183" s="266">
        <f t="shared" si="91"/>
        <v>2929.0553573520324</v>
      </c>
      <c r="AG183" s="274">
        <v>0.93</v>
      </c>
      <c r="AH183" s="274">
        <v>0.93</v>
      </c>
      <c r="AI183" s="274">
        <v>0.93</v>
      </c>
      <c r="AJ183" s="274">
        <v>0.93</v>
      </c>
      <c r="AK183" s="274">
        <f t="shared" si="92"/>
        <v>0.93</v>
      </c>
      <c r="AL183" s="274">
        <f t="shared" si="93"/>
        <v>0.93</v>
      </c>
      <c r="AM183" s="274">
        <f t="shared" si="94"/>
        <v>0.93</v>
      </c>
      <c r="AN183" s="274">
        <f t="shared" si="95"/>
        <v>0.93</v>
      </c>
      <c r="AO183" s="262"/>
      <c r="AP183" s="262"/>
      <c r="AQ183" s="267">
        <v>5.2492031493764015</v>
      </c>
      <c r="AR183" s="262"/>
      <c r="AS183" s="266">
        <f t="shared" si="96"/>
        <v>732.2638393380081</v>
      </c>
      <c r="AT183" s="264">
        <f t="shared" si="97"/>
        <v>0</v>
      </c>
      <c r="AU183" s="262"/>
      <c r="AV183" s="262"/>
      <c r="AW183" s="265">
        <v>5.2492031493764015</v>
      </c>
      <c r="AX183" s="164" t="s">
        <v>1469</v>
      </c>
      <c r="AY183" s="266">
        <v>732.2638393380081</v>
      </c>
      <c r="AZ183" s="266">
        <f t="shared" si="98"/>
        <v>732.2638393380081</v>
      </c>
      <c r="BA183" s="264">
        <f t="shared" si="99"/>
        <v>0</v>
      </c>
      <c r="BB183" s="262"/>
      <c r="BC183" s="262"/>
      <c r="BD183" s="265">
        <f ca="1">IFERROR(INDEX(Algorithms!$G:$G,MATCH($C183&amp;"_Therm Saved per Unit",Algorithms!$A:$A,0)),0)</f>
        <v>5.2492031493764015</v>
      </c>
      <c r="BE183" s="164" t="str">
        <f ca="1">IFERROR(INDEX('v12 Revisions'!$P$29:$P$186, MATCH('Measure-Level Adj Gas'!$L183, 'v12 Revisions'!$D$29:$D$186,0)),"")</f>
        <v/>
      </c>
      <c r="BF183" s="266">
        <f t="shared" ca="1" si="100"/>
        <v>732.2638393380081</v>
      </c>
      <c r="BG183" s="264">
        <f t="shared" ca="1" si="101"/>
        <v>0</v>
      </c>
      <c r="BH183" s="262"/>
      <c r="BI183" s="262"/>
      <c r="BJ183" s="265">
        <f ca="1">IFERROR(INDEX(Algorithms!$G:$G,MATCH($C183&amp;"_Therm Saved per Unit",Algorithms!$A:$A,0)),0)</f>
        <v>5.2492031493764015</v>
      </c>
      <c r="BK183" s="164"/>
      <c r="BL183" s="266">
        <f t="shared" ca="1" si="102"/>
        <v>732.2638393380081</v>
      </c>
      <c r="BM183" s="264">
        <f t="shared" ca="1" si="103"/>
        <v>0</v>
      </c>
      <c r="BN183" s="266">
        <f t="shared" si="104"/>
        <v>732.2638393380081</v>
      </c>
      <c r="BO183" s="266">
        <f t="shared" si="105"/>
        <v>732.2638393380081</v>
      </c>
      <c r="BP183" s="266">
        <f t="shared" ca="1" si="106"/>
        <v>732.2638393380081</v>
      </c>
      <c r="BQ183" s="266">
        <f t="shared" ca="1" si="107"/>
        <v>732.2638393380081</v>
      </c>
      <c r="BR183" s="268">
        <f t="shared" ca="1" si="108"/>
        <v>2929.0553573520324</v>
      </c>
      <c r="BS183" s="262" t="s">
        <v>99</v>
      </c>
      <c r="BT183" s="277"/>
      <c r="BW183" s="266">
        <f t="shared" si="109"/>
        <v>732.2638393380081</v>
      </c>
      <c r="BX183" s="266">
        <f t="shared" si="110"/>
        <v>732.2638393380081</v>
      </c>
      <c r="BY183" s="266">
        <f t="shared" si="111"/>
        <v>732.2638393380081</v>
      </c>
      <c r="BZ183" s="266">
        <f t="shared" si="112"/>
        <v>732.2638393380081</v>
      </c>
      <c r="CA183" s="266">
        <f ca="1">N183*IFERROR(INDEX(Algorithms!$G:$G,MATCH($C183&amp;"_Therm Saved per Unit- MLA",Algorithms!$A:$A,0)),0)*X183</f>
        <v>0</v>
      </c>
      <c r="CB183" s="266">
        <f ca="1">O183*IFERROR(INDEX(Algorithms!$G:$G,MATCH($C183&amp;"_Therm Saved per Unit- MLA",Algorithms!$A:$A,0)),0)*Y183</f>
        <v>0</v>
      </c>
      <c r="CC183" s="266">
        <f ca="1">P183*IFERROR(INDEX(Algorithms!$G:$G,MATCH($C183&amp;"_Therm Saved per Unit- MLA",Algorithms!$A:$A,0)),0)*Z183</f>
        <v>0</v>
      </c>
      <c r="CD183" s="266">
        <f ca="1">Q183*IFERROR(INDEX(Algorithms!$G:$G,MATCH($C183&amp;"_Therm Saved per Unit- MLA",Algorithms!$A:$A,0)),0)*AA183</f>
        <v>0</v>
      </c>
      <c r="CE183" s="266">
        <f ca="1">IFERROR(INDEX(Algorithms!$G:$G,MATCH($C183&amp;"_Lifetime (years)",Algorithms!$A:$A,0)),0)</f>
        <v>15</v>
      </c>
      <c r="CF183" s="266">
        <f ca="1">IFERROR(INDEX(Algorithms!$G:$G,MATCH($C183&amp;"_Lifetime (years) - Remaining Years",Algorithms!$A:$A,0)),0)</f>
        <v>0</v>
      </c>
      <c r="CG183" s="266">
        <f t="shared" ca="1" si="113"/>
        <v>10983.957590070122</v>
      </c>
      <c r="CH183" s="266">
        <f t="shared" ca="1" si="114"/>
        <v>10983.957590070122</v>
      </c>
      <c r="CI183" s="266">
        <f t="shared" ca="1" si="115"/>
        <v>10983.957590070122</v>
      </c>
      <c r="CJ183" s="266">
        <f t="shared" ca="1" si="116"/>
        <v>10983.957590070122</v>
      </c>
      <c r="CK183" s="266">
        <f t="shared" si="117"/>
        <v>732.2638393380081</v>
      </c>
      <c r="CL183" s="266">
        <f t="shared" si="118"/>
        <v>732.2638393380081</v>
      </c>
      <c r="CM183" s="266">
        <f t="shared" ca="1" si="119"/>
        <v>732.2638393380081</v>
      </c>
      <c r="CN183" s="266">
        <f t="shared" ca="1" si="120"/>
        <v>732.2638393380081</v>
      </c>
      <c r="CO183" s="266">
        <f ca="1">N183*IFERROR(INDEX(Algorithms!$G:$G,MATCH($C183&amp;"_Therm Saved per Unit- MLA",Algorithms!$A:$A,0)),0)*X183</f>
        <v>0</v>
      </c>
      <c r="CP183" s="266">
        <f ca="1">O183*IFERROR(INDEX(Algorithms!$G:$G,MATCH($C183&amp;"_Therm Saved per Unit- MLA",Algorithms!$A:$A,0)),0)*Y183</f>
        <v>0</v>
      </c>
      <c r="CQ183" s="266">
        <f ca="1">P183*IFERROR(INDEX(Algorithms!$G:$G,MATCH($C183&amp;"_Therm Saved per Unit- MLA",Algorithms!$A:$A,0)),0)*Z183</f>
        <v>0</v>
      </c>
      <c r="CR183" s="266">
        <f ca="1">Q183*IFERROR(INDEX(Algorithms!$G:$G,MATCH($C183&amp;"_Therm Saved per Unit- MLA",Algorithms!$A:$A,0)),0)*AA183</f>
        <v>0</v>
      </c>
      <c r="CS183" s="266">
        <f ca="1">IFERROR(INDEX(Algorithms!$G:$G,MATCH($C183&amp;"_Lifetime (years)",Algorithms!$A:$A,0)),0)</f>
        <v>15</v>
      </c>
      <c r="CT183" s="266">
        <f ca="1">IFERROR(INDEX(Algorithms!$G:$G,MATCH($C183&amp;"_Lifetime (years) - Remaining Years",Algorithms!$A:$A,0)),0)</f>
        <v>0</v>
      </c>
      <c r="CU183" s="266">
        <f t="shared" ca="1" si="121"/>
        <v>10983.957590070122</v>
      </c>
      <c r="CV183" s="266">
        <f t="shared" ca="1" si="122"/>
        <v>10983.957590070122</v>
      </c>
      <c r="CW183" s="266">
        <f t="shared" ca="1" si="123"/>
        <v>10983.957590070122</v>
      </c>
      <c r="CX183" s="266">
        <f t="shared" ca="1" si="124"/>
        <v>10983.957590070122</v>
      </c>
    </row>
    <row r="184" spans="2:102" s="47" customFormat="1" ht="18" customHeight="1" x14ac:dyDescent="0.25">
      <c r="B184" t="str">
        <f t="shared" si="125"/>
        <v>NSG_Business_Small/Mid-Size Business_Partner Trade Ally Rebate_Pipe Insulation_Steam - Large 5.1" to 8"_CI</v>
      </c>
      <c r="C184" s="47" t="str">
        <f t="shared" si="86"/>
        <v>Pipe Insulation_Steam - Large 5.1" to 8"_CI</v>
      </c>
      <c r="D184" s="270" t="s">
        <v>1787</v>
      </c>
      <c r="E184" s="270" t="s">
        <v>3</v>
      </c>
      <c r="F184" s="270" t="s">
        <v>1432</v>
      </c>
      <c r="G184" s="270" t="s">
        <v>1799</v>
      </c>
      <c r="H184" s="270" t="s">
        <v>404</v>
      </c>
      <c r="I184" s="270" t="s">
        <v>958</v>
      </c>
      <c r="J184" s="270" t="s">
        <v>1159</v>
      </c>
      <c r="K184" s="263">
        <v>1</v>
      </c>
      <c r="L184" s="263" t="str">
        <f ca="1">IFERROR(INDEX(Algorithms!J:J,MATCH($C184&amp;"_Therm Saved per Unit",Algorithms!$A:$A,0)),"n/a")</f>
        <v>"3 - Pipe Insulation" worksheet</v>
      </c>
      <c r="M184" s="263" t="str">
        <f>IFERROR(INDEX('Measure Level Detail'!$N:$N,MATCH($B184,'Measure Level Detail'!$B:$B,0)),0)</f>
        <v>ft</v>
      </c>
      <c r="N184" s="271">
        <f>IFERROR(INDEX('Measure Level Detail'!$P:$P,MATCH($B184&amp;"_"&amp;N$3,'Measure Level Detail'!$C:$C,0)),0)</f>
        <v>150</v>
      </c>
      <c r="O184" s="271">
        <f>IFERROR(INDEX('Measure Level Detail'!$P:$P,MATCH($B184&amp;"_"&amp;O$3,'Measure Level Detail'!$C:$C,0)),0)</f>
        <v>150</v>
      </c>
      <c r="P184" s="271">
        <f>IFERROR(INDEX('Measure Level Detail'!$P:$P,MATCH($B184&amp;"_"&amp;P$3,'Measure Level Detail'!$C:$C,0)),0)</f>
        <v>150</v>
      </c>
      <c r="Q184" s="271">
        <f>IFERROR(INDEX('Measure Level Detail'!$P:$P,MATCH($B184&amp;"_"&amp;Q$3,'Measure Level Detail'!$C:$C,0)),0)</f>
        <v>150</v>
      </c>
      <c r="R184" s="263">
        <f ca="1">IFERROR(INDEX(Algorithms!K:K,MATCH($C184&amp;"_Therm Saved per Unit",Algorithms!$A:$A,0)),"n/a")</f>
        <v>0</v>
      </c>
      <c r="S184" s="262"/>
      <c r="T184" s="272">
        <v>24.999763600321025</v>
      </c>
      <c r="U184" s="272">
        <v>24.999763600321025</v>
      </c>
      <c r="V184" s="272">
        <v>24.999763600321025</v>
      </c>
      <c r="W184" s="272">
        <v>24.999763600321025</v>
      </c>
      <c r="X184" s="276">
        <v>0.93</v>
      </c>
      <c r="Y184" s="276">
        <v>0.93</v>
      </c>
      <c r="Z184" s="276">
        <v>0.93</v>
      </c>
      <c r="AA184" s="276">
        <v>0.93</v>
      </c>
      <c r="AB184" s="266">
        <f t="shared" si="87"/>
        <v>3487.467022244783</v>
      </c>
      <c r="AC184" s="266">
        <f t="shared" si="88"/>
        <v>3487.467022244783</v>
      </c>
      <c r="AD184" s="266">
        <f t="shared" si="89"/>
        <v>3487.467022244783</v>
      </c>
      <c r="AE184" s="266">
        <f t="shared" si="90"/>
        <v>3487.467022244783</v>
      </c>
      <c r="AF184" s="266">
        <f t="shared" si="91"/>
        <v>13949.868088979132</v>
      </c>
      <c r="AG184" s="274">
        <v>0.93</v>
      </c>
      <c r="AH184" s="274">
        <v>0.93</v>
      </c>
      <c r="AI184" s="274">
        <v>0.93</v>
      </c>
      <c r="AJ184" s="274">
        <v>0.93</v>
      </c>
      <c r="AK184" s="274">
        <f t="shared" si="92"/>
        <v>0.93</v>
      </c>
      <c r="AL184" s="274">
        <f t="shared" si="93"/>
        <v>0.93</v>
      </c>
      <c r="AM184" s="274">
        <f t="shared" si="94"/>
        <v>0.93</v>
      </c>
      <c r="AN184" s="274">
        <f t="shared" si="95"/>
        <v>0.93</v>
      </c>
      <c r="AO184" s="262"/>
      <c r="AP184" s="262"/>
      <c r="AQ184" s="267">
        <v>24.999763600321025</v>
      </c>
      <c r="AR184" s="262"/>
      <c r="AS184" s="266">
        <f t="shared" si="96"/>
        <v>3487.467022244783</v>
      </c>
      <c r="AT184" s="264">
        <f t="shared" si="97"/>
        <v>0</v>
      </c>
      <c r="AU184" s="262"/>
      <c r="AV184" s="262"/>
      <c r="AW184" s="265">
        <v>24.999763600321025</v>
      </c>
      <c r="AX184" s="164" t="s">
        <v>1469</v>
      </c>
      <c r="AY184" s="266">
        <v>3487.467022244783</v>
      </c>
      <c r="AZ184" s="266">
        <f t="shared" si="98"/>
        <v>3487.467022244783</v>
      </c>
      <c r="BA184" s="264">
        <f t="shared" si="99"/>
        <v>0</v>
      </c>
      <c r="BB184" s="262"/>
      <c r="BC184" s="262"/>
      <c r="BD184" s="265">
        <f ca="1">IFERROR(INDEX(Algorithms!$G:$G,MATCH($C184&amp;"_Therm Saved per Unit",Algorithms!$A:$A,0)),0)</f>
        <v>24.999763600321025</v>
      </c>
      <c r="BE184" s="164" t="str">
        <f ca="1">IFERROR(INDEX('v12 Revisions'!$P$29:$P$186, MATCH('Measure-Level Adj Gas'!$L184, 'v12 Revisions'!$D$29:$D$186,0)),"")</f>
        <v/>
      </c>
      <c r="BF184" s="266">
        <f t="shared" ca="1" si="100"/>
        <v>3487.467022244783</v>
      </c>
      <c r="BG184" s="264">
        <f t="shared" ca="1" si="101"/>
        <v>0</v>
      </c>
      <c r="BH184" s="262"/>
      <c r="BI184" s="262"/>
      <c r="BJ184" s="265">
        <f ca="1">IFERROR(INDEX(Algorithms!$G:$G,MATCH($C184&amp;"_Therm Saved per Unit",Algorithms!$A:$A,0)),0)</f>
        <v>24.999763600321025</v>
      </c>
      <c r="BK184" s="164"/>
      <c r="BL184" s="266">
        <f t="shared" ca="1" si="102"/>
        <v>3487.467022244783</v>
      </c>
      <c r="BM184" s="264">
        <f t="shared" ca="1" si="103"/>
        <v>0</v>
      </c>
      <c r="BN184" s="266">
        <f t="shared" si="104"/>
        <v>3487.467022244783</v>
      </c>
      <c r="BO184" s="266">
        <f t="shared" si="105"/>
        <v>3487.467022244783</v>
      </c>
      <c r="BP184" s="266">
        <f t="shared" ca="1" si="106"/>
        <v>3487.467022244783</v>
      </c>
      <c r="BQ184" s="266">
        <f t="shared" ca="1" si="107"/>
        <v>3487.467022244783</v>
      </c>
      <c r="BR184" s="268">
        <f t="shared" ca="1" si="108"/>
        <v>13949.868088979132</v>
      </c>
      <c r="BS184" s="262" t="s">
        <v>99</v>
      </c>
      <c r="BT184" s="277"/>
      <c r="BW184" s="266">
        <f t="shared" si="109"/>
        <v>3487.467022244783</v>
      </c>
      <c r="BX184" s="266">
        <f t="shared" si="110"/>
        <v>3487.467022244783</v>
      </c>
      <c r="BY184" s="266">
        <f t="shared" si="111"/>
        <v>3487.467022244783</v>
      </c>
      <c r="BZ184" s="266">
        <f t="shared" si="112"/>
        <v>3487.467022244783</v>
      </c>
      <c r="CA184" s="266">
        <f ca="1">N184*IFERROR(INDEX(Algorithms!$G:$G,MATCH($C184&amp;"_Therm Saved per Unit- MLA",Algorithms!$A:$A,0)),0)*X184</f>
        <v>0</v>
      </c>
      <c r="CB184" s="266">
        <f ca="1">O184*IFERROR(INDEX(Algorithms!$G:$G,MATCH($C184&amp;"_Therm Saved per Unit- MLA",Algorithms!$A:$A,0)),0)*Y184</f>
        <v>0</v>
      </c>
      <c r="CC184" s="266">
        <f ca="1">P184*IFERROR(INDEX(Algorithms!$G:$G,MATCH($C184&amp;"_Therm Saved per Unit- MLA",Algorithms!$A:$A,0)),0)*Z184</f>
        <v>0</v>
      </c>
      <c r="CD184" s="266">
        <f ca="1">Q184*IFERROR(INDEX(Algorithms!$G:$G,MATCH($C184&amp;"_Therm Saved per Unit- MLA",Algorithms!$A:$A,0)),0)*AA184</f>
        <v>0</v>
      </c>
      <c r="CE184" s="266">
        <f ca="1">IFERROR(INDEX(Algorithms!$G:$G,MATCH($C184&amp;"_Lifetime (years)",Algorithms!$A:$A,0)),0)</f>
        <v>15</v>
      </c>
      <c r="CF184" s="266">
        <f ca="1">IFERROR(INDEX(Algorithms!$G:$G,MATCH($C184&amp;"_Lifetime (years) - Remaining Years",Algorithms!$A:$A,0)),0)</f>
        <v>0</v>
      </c>
      <c r="CG184" s="266">
        <f t="shared" ca="1" si="113"/>
        <v>52312.005333671746</v>
      </c>
      <c r="CH184" s="266">
        <f t="shared" ca="1" si="114"/>
        <v>52312.005333671746</v>
      </c>
      <c r="CI184" s="266">
        <f t="shared" ca="1" si="115"/>
        <v>52312.005333671746</v>
      </c>
      <c r="CJ184" s="266">
        <f t="shared" ca="1" si="116"/>
        <v>52312.005333671746</v>
      </c>
      <c r="CK184" s="266">
        <f t="shared" si="117"/>
        <v>3487.467022244783</v>
      </c>
      <c r="CL184" s="266">
        <f t="shared" si="118"/>
        <v>3487.467022244783</v>
      </c>
      <c r="CM184" s="266">
        <f t="shared" ca="1" si="119"/>
        <v>3487.467022244783</v>
      </c>
      <c r="CN184" s="266">
        <f t="shared" ca="1" si="120"/>
        <v>3487.467022244783</v>
      </c>
      <c r="CO184" s="266">
        <f ca="1">N184*IFERROR(INDEX(Algorithms!$G:$G,MATCH($C184&amp;"_Therm Saved per Unit- MLA",Algorithms!$A:$A,0)),0)*X184</f>
        <v>0</v>
      </c>
      <c r="CP184" s="266">
        <f ca="1">O184*IFERROR(INDEX(Algorithms!$G:$G,MATCH($C184&amp;"_Therm Saved per Unit- MLA",Algorithms!$A:$A,0)),0)*Y184</f>
        <v>0</v>
      </c>
      <c r="CQ184" s="266">
        <f ca="1">P184*IFERROR(INDEX(Algorithms!$G:$G,MATCH($C184&amp;"_Therm Saved per Unit- MLA",Algorithms!$A:$A,0)),0)*Z184</f>
        <v>0</v>
      </c>
      <c r="CR184" s="266">
        <f ca="1">Q184*IFERROR(INDEX(Algorithms!$G:$G,MATCH($C184&amp;"_Therm Saved per Unit- MLA",Algorithms!$A:$A,0)),0)*AA184</f>
        <v>0</v>
      </c>
      <c r="CS184" s="266">
        <f ca="1">IFERROR(INDEX(Algorithms!$G:$G,MATCH($C184&amp;"_Lifetime (years)",Algorithms!$A:$A,0)),0)</f>
        <v>15</v>
      </c>
      <c r="CT184" s="266">
        <f ca="1">IFERROR(INDEX(Algorithms!$G:$G,MATCH($C184&amp;"_Lifetime (years) - Remaining Years",Algorithms!$A:$A,0)),0)</f>
        <v>0</v>
      </c>
      <c r="CU184" s="266">
        <f t="shared" ca="1" si="121"/>
        <v>52312.005333671746</v>
      </c>
      <c r="CV184" s="266">
        <f t="shared" ca="1" si="122"/>
        <v>52312.005333671746</v>
      </c>
      <c r="CW184" s="266">
        <f t="shared" ca="1" si="123"/>
        <v>52312.005333671746</v>
      </c>
      <c r="CX184" s="266">
        <f t="shared" ca="1" si="124"/>
        <v>52312.005333671746</v>
      </c>
    </row>
    <row r="185" spans="2:102" s="47" customFormat="1" ht="18" customHeight="1" x14ac:dyDescent="0.25">
      <c r="B185" t="str">
        <f t="shared" si="125"/>
        <v>NSG_Residential_Home Energy Rebate_Partner Trade Ally Rebate_Foundation Insulation_0_SF</v>
      </c>
      <c r="C185" s="47" t="str">
        <f t="shared" si="86"/>
        <v>Foundation Insulation_0_SF</v>
      </c>
      <c r="D185" s="270" t="s">
        <v>1787</v>
      </c>
      <c r="E185" s="270" t="s">
        <v>2</v>
      </c>
      <c r="F185" s="270" t="s">
        <v>1417</v>
      </c>
      <c r="G185" s="270" t="s">
        <v>1799</v>
      </c>
      <c r="H185" s="270" t="s">
        <v>608</v>
      </c>
      <c r="I185" s="270">
        <v>0</v>
      </c>
      <c r="J185" s="270" t="s">
        <v>409</v>
      </c>
      <c r="K185" s="263">
        <v>1</v>
      </c>
      <c r="L185" s="263" t="str">
        <f ca="1">IFERROR(INDEX(Algorithms!J:J,MATCH($C185&amp;"_Therm Saved per Unit",Algorithms!$A:$A,0)),"n/a")</f>
        <v>5.6.2</v>
      </c>
      <c r="M185" s="263" t="str">
        <f>IFERROR(INDEX('Measure Level Detail'!$N:$N,MATCH($B185,'Measure Level Detail'!$B:$B,0)),0)</f>
        <v>sq ft</v>
      </c>
      <c r="N185" s="271">
        <f>IFERROR(INDEX('Measure Level Detail'!$P:$P,MATCH($B185&amp;"_"&amp;N$3,'Measure Level Detail'!$C:$C,0)),0)</f>
        <v>140</v>
      </c>
      <c r="O185" s="271">
        <f>IFERROR(INDEX('Measure Level Detail'!$P:$P,MATCH($B185&amp;"_"&amp;O$3,'Measure Level Detail'!$C:$C,0)),0)</f>
        <v>140</v>
      </c>
      <c r="P185" s="271">
        <f>IFERROR(INDEX('Measure Level Detail'!$P:$P,MATCH($B185&amp;"_"&amp;P$3,'Measure Level Detail'!$C:$C,0)),0)</f>
        <v>140</v>
      </c>
      <c r="Q185" s="271">
        <f>IFERROR(INDEX('Measure Level Detail'!$P:$P,MATCH($B185&amp;"_"&amp;Q$3,'Measure Level Detail'!$C:$C,0)),0)</f>
        <v>140</v>
      </c>
      <c r="R185" s="263" t="str">
        <f ca="1">IFERROR(INDEX(Algorithms!K:K,MATCH($C185&amp;"_Therm Saved per Unit",Algorithms!$A:$A,0)),"n/a")</f>
        <v>RS-SHL-BINS-V14-240101</v>
      </c>
      <c r="S185" s="262"/>
      <c r="T185" s="272">
        <v>0.13695535714285714</v>
      </c>
      <c r="U185" s="272">
        <v>0.13695535714285714</v>
      </c>
      <c r="V185" s="272">
        <v>0.13695535714285714</v>
      </c>
      <c r="W185" s="272">
        <v>0.13695535714285714</v>
      </c>
      <c r="X185" s="273">
        <f>IFERROR(INDEX('Measure Level Detail'!$R:$R,MATCH($B185&amp;"_"&amp;X$3,'Measure Level Detail'!$C:$C,0)),0)</f>
        <v>0.79</v>
      </c>
      <c r="Y185" s="273">
        <f>IFERROR(INDEX('Measure Level Detail'!$R:$R,MATCH($B185&amp;"_"&amp;Y$3,'Measure Level Detail'!$C:$C,0)),0)</f>
        <v>0.79</v>
      </c>
      <c r="Z185" s="273">
        <f>IFERROR(INDEX('Measure Level Detail'!$R:$R,MATCH($B185&amp;"_"&amp;Z$3,'Measure Level Detail'!$C:$C,0)),0)</f>
        <v>0.79</v>
      </c>
      <c r="AA185" s="273">
        <f>IFERROR(INDEX('Measure Level Detail'!$R:$R,MATCH($B185&amp;"_"&amp;AA$3,'Measure Level Detail'!$C:$C,0)),0)</f>
        <v>0.79</v>
      </c>
      <c r="AB185" s="266">
        <f t="shared" si="87"/>
        <v>15.1472625</v>
      </c>
      <c r="AC185" s="266">
        <f t="shared" si="88"/>
        <v>15.1472625</v>
      </c>
      <c r="AD185" s="266">
        <f t="shared" si="89"/>
        <v>15.1472625</v>
      </c>
      <c r="AE185" s="266">
        <f t="shared" si="90"/>
        <v>15.1472625</v>
      </c>
      <c r="AF185" s="266">
        <f t="shared" si="91"/>
        <v>60.58905</v>
      </c>
      <c r="AG185" s="274">
        <v>0.79</v>
      </c>
      <c r="AH185" s="274">
        <v>0.79</v>
      </c>
      <c r="AI185" s="274">
        <v>0.79</v>
      </c>
      <c r="AJ185" s="274">
        <v>0.79</v>
      </c>
      <c r="AK185" s="274">
        <f t="shared" si="92"/>
        <v>0.79</v>
      </c>
      <c r="AL185" s="274">
        <f t="shared" si="93"/>
        <v>0.79</v>
      </c>
      <c r="AM185" s="274">
        <f t="shared" si="94"/>
        <v>0.79</v>
      </c>
      <c r="AN185" s="274">
        <f t="shared" si="95"/>
        <v>0.79</v>
      </c>
      <c r="AO185" s="262"/>
      <c r="AP185" s="262"/>
      <c r="AQ185" s="267">
        <v>0.13695535714285714</v>
      </c>
      <c r="AR185" s="262"/>
      <c r="AS185" s="266">
        <f t="shared" si="96"/>
        <v>15.1472625</v>
      </c>
      <c r="AT185" s="264">
        <f t="shared" si="97"/>
        <v>0</v>
      </c>
      <c r="AU185" s="262"/>
      <c r="AV185" s="262"/>
      <c r="AW185" s="265">
        <v>0.13695535714285714</v>
      </c>
      <c r="AX185" s="164" t="s">
        <v>2393</v>
      </c>
      <c r="AY185" s="266">
        <v>15.1472625</v>
      </c>
      <c r="AZ185" s="266">
        <f t="shared" si="98"/>
        <v>15.1472625</v>
      </c>
      <c r="BA185" s="264">
        <f t="shared" si="99"/>
        <v>0</v>
      </c>
      <c r="BB185" s="262"/>
      <c r="BC185" s="262"/>
      <c r="BD185" s="265">
        <f ca="1">IFERROR(INDEX(Algorithms!$G:$G,MATCH($C185&amp;"_Therm Saved per Unit",Algorithms!$A:$A,0)),0)</f>
        <v>0.70170749999999993</v>
      </c>
      <c r="BE185" s="164" t="str">
        <f ca="1">IFERROR(INDEX('v12 Revisions'!$P$29:$P$186, MATCH('Measure-Level Adj Gas'!$L185, 'v12 Revisions'!$D$29:$D$186,0)),"")</f>
        <v>Updated HDD from 5113 to 4798 and shell adjustment factor from 0.60 to 0.63 ; Updated measure life to 30 years.</v>
      </c>
      <c r="BF185" s="266">
        <f t="shared" ca="1" si="100"/>
        <v>77.608849499999991</v>
      </c>
      <c r="BG185" s="264">
        <f t="shared" ca="1" si="101"/>
        <v>62.461586999999994</v>
      </c>
      <c r="BH185" s="262"/>
      <c r="BI185" s="262"/>
      <c r="BJ185" s="265">
        <f ca="1">IFERROR(INDEX(Algorithms!$G:$G,MATCH($C185&amp;"_Therm Saved per Unit",Algorithms!$A:$A,0)),0)</f>
        <v>0.70170749999999993</v>
      </c>
      <c r="BK185" s="164"/>
      <c r="BL185" s="266">
        <f t="shared" ca="1" si="102"/>
        <v>77.608849499999991</v>
      </c>
      <c r="BM185" s="264">
        <f t="shared" ca="1" si="103"/>
        <v>62.461586999999994</v>
      </c>
      <c r="BN185" s="266">
        <f t="shared" si="104"/>
        <v>15.1472625</v>
      </c>
      <c r="BO185" s="266">
        <f t="shared" si="105"/>
        <v>15.1472625</v>
      </c>
      <c r="BP185" s="266">
        <f t="shared" ca="1" si="106"/>
        <v>77.608849499999991</v>
      </c>
      <c r="BQ185" s="266">
        <f t="shared" ca="1" si="107"/>
        <v>77.608849499999991</v>
      </c>
      <c r="BR185" s="268">
        <f t="shared" ca="1" si="108"/>
        <v>185.51222399999997</v>
      </c>
      <c r="BS185" s="262" t="s">
        <v>99</v>
      </c>
      <c r="BT185" s="277"/>
      <c r="BW185" s="266">
        <f t="shared" si="109"/>
        <v>15.1472625</v>
      </c>
      <c r="BX185" s="266">
        <f t="shared" si="110"/>
        <v>15.1472625</v>
      </c>
      <c r="BY185" s="266">
        <f t="shared" si="111"/>
        <v>15.1472625</v>
      </c>
      <c r="BZ185" s="266">
        <f t="shared" si="112"/>
        <v>15.1472625</v>
      </c>
      <c r="CA185" s="266">
        <f ca="1">N185*IFERROR(INDEX(Algorithms!$G:$G,MATCH($C185&amp;"_Therm Saved per Unit- MLA",Algorithms!$A:$A,0)),0)*X185</f>
        <v>82.174075941176469</v>
      </c>
      <c r="CB185" s="266">
        <f ca="1">O185*IFERROR(INDEX(Algorithms!$G:$G,MATCH($C185&amp;"_Therm Saved per Unit- MLA",Algorithms!$A:$A,0)),0)*Y185</f>
        <v>82.174075941176469</v>
      </c>
      <c r="CC185" s="266">
        <f ca="1">P185*IFERROR(INDEX(Algorithms!$G:$G,MATCH($C185&amp;"_Therm Saved per Unit- MLA",Algorithms!$A:$A,0)),0)*Z185</f>
        <v>82.174075941176469</v>
      </c>
      <c r="CD185" s="266">
        <f ca="1">Q185*IFERROR(INDEX(Algorithms!$G:$G,MATCH($C185&amp;"_Therm Saved per Unit- MLA",Algorithms!$A:$A,0)),0)*AA185</f>
        <v>82.174075941176469</v>
      </c>
      <c r="CE185" s="266">
        <f ca="1">IFERROR(INDEX(Algorithms!$G:$G,MATCH($C185&amp;"_Lifetime (years)",Algorithms!$A:$A,0)),0)</f>
        <v>30</v>
      </c>
      <c r="CF185" s="266">
        <f ca="1">IFERROR(INDEX(Algorithms!$G:$G,MATCH($C185&amp;"_Lifetime (years) - Remaining Years",Algorithms!$A:$A,0)),0)</f>
        <v>10</v>
      </c>
      <c r="CG185" s="266">
        <f t="shared" ca="1" si="113"/>
        <v>1794.9541438235292</v>
      </c>
      <c r="CH185" s="266">
        <f t="shared" ca="1" si="114"/>
        <v>1794.9541438235292</v>
      </c>
      <c r="CI185" s="266">
        <f t="shared" ca="1" si="115"/>
        <v>1794.9541438235292</v>
      </c>
      <c r="CJ185" s="266">
        <f t="shared" ca="1" si="116"/>
        <v>1794.9541438235292</v>
      </c>
      <c r="CK185" s="266">
        <f t="shared" si="117"/>
        <v>15.1472625</v>
      </c>
      <c r="CL185" s="266">
        <f t="shared" si="118"/>
        <v>15.1472625</v>
      </c>
      <c r="CM185" s="266">
        <f t="shared" ca="1" si="119"/>
        <v>77.608849499999991</v>
      </c>
      <c r="CN185" s="266">
        <f t="shared" ca="1" si="120"/>
        <v>77.608849499999991</v>
      </c>
      <c r="CO185" s="266">
        <f ca="1">N185*IFERROR(INDEX(Algorithms!$G:$G,MATCH($C185&amp;"_Therm Saved per Unit- MLA",Algorithms!$A:$A,0)),0)*X185</f>
        <v>82.174075941176469</v>
      </c>
      <c r="CP185" s="266">
        <f ca="1">O185*IFERROR(INDEX(Algorithms!$G:$G,MATCH($C185&amp;"_Therm Saved per Unit- MLA",Algorithms!$A:$A,0)),0)*Y185</f>
        <v>82.174075941176469</v>
      </c>
      <c r="CQ185" s="266">
        <f ca="1">P185*IFERROR(INDEX(Algorithms!$G:$G,MATCH($C185&amp;"_Therm Saved per Unit- MLA",Algorithms!$A:$A,0)),0)*Z185</f>
        <v>82.174075941176469</v>
      </c>
      <c r="CR185" s="266">
        <f ca="1">Q185*IFERROR(INDEX(Algorithms!$G:$G,MATCH($C185&amp;"_Therm Saved per Unit- MLA",Algorithms!$A:$A,0)),0)*AA185</f>
        <v>82.174075941176469</v>
      </c>
      <c r="CS185" s="266">
        <f ca="1">IFERROR(INDEX(Algorithms!$G:$G,MATCH($C185&amp;"_Lifetime (years)",Algorithms!$A:$A,0)),0)</f>
        <v>30</v>
      </c>
      <c r="CT185" s="266">
        <f ca="1">IFERROR(INDEX(Algorithms!$G:$G,MATCH($C185&amp;"_Lifetime (years) - Remaining Years",Algorithms!$A:$A,0)),0)</f>
        <v>10</v>
      </c>
      <c r="CU185" s="266">
        <f t="shared" ca="1" si="121"/>
        <v>1794.9541438235292</v>
      </c>
      <c r="CV185" s="266">
        <f t="shared" ca="1" si="122"/>
        <v>1794.9541438235292</v>
      </c>
      <c r="CW185" s="266">
        <f t="shared" ca="1" si="123"/>
        <v>2419.5700138235293</v>
      </c>
      <c r="CX185" s="266">
        <f t="shared" ca="1" si="124"/>
        <v>2419.5700138235293</v>
      </c>
    </row>
    <row r="186" spans="2:102" s="47" customFormat="1" ht="18" customHeight="1" x14ac:dyDescent="0.25">
      <c r="B186" t="str">
        <f t="shared" si="125"/>
        <v>NSG_Income Eligible_Multi-Family_IE Kits_IE Kits_IE Kit_IE</v>
      </c>
      <c r="C186" s="47" t="str">
        <f t="shared" si="86"/>
        <v>IE Kits_IE Kit_IE</v>
      </c>
      <c r="D186" s="270" t="s">
        <v>1787</v>
      </c>
      <c r="E186" s="270" t="s">
        <v>325</v>
      </c>
      <c r="F186" s="270" t="s">
        <v>1422</v>
      </c>
      <c r="G186" s="270" t="s">
        <v>1440</v>
      </c>
      <c r="H186" s="270" t="s">
        <v>1440</v>
      </c>
      <c r="I186" s="270" t="s">
        <v>550</v>
      </c>
      <c r="J186" s="270" t="s">
        <v>551</v>
      </c>
      <c r="K186" s="263">
        <v>1</v>
      </c>
      <c r="L186" s="263" t="str">
        <f ca="1">IFERROR(INDEX(Algorithms!J:J,MATCH($C186&amp;"_Therm Saved per Unit",Algorithms!$A:$A,0)),"n/a")</f>
        <v>n/a</v>
      </c>
      <c r="M186" s="263">
        <f>IFERROR(INDEX('Measure Level Detail'!$N:$N,MATCH($B186,'Measure Level Detail'!$B:$B,0)),0)</f>
        <v>1</v>
      </c>
      <c r="N186" s="271">
        <f>IFERROR(INDEX('Measure Level Detail'!$P:$P,MATCH($B186&amp;"_"&amp;N$3,'Measure Level Detail'!$C:$C,0)),0)</f>
        <v>140</v>
      </c>
      <c r="O186" s="271">
        <f>IFERROR(INDEX('Measure Level Detail'!$P:$P,MATCH($B186&amp;"_"&amp;O$3,'Measure Level Detail'!$C:$C,0)),0)</f>
        <v>140</v>
      </c>
      <c r="P186" s="271">
        <f>IFERROR(INDEX('Measure Level Detail'!$P:$P,MATCH($B186&amp;"_"&amp;P$3,'Measure Level Detail'!$C:$C,0)),0)</f>
        <v>140</v>
      </c>
      <c r="Q186" s="271">
        <f>IFERROR(INDEX('Measure Level Detail'!$P:$P,MATCH($B186&amp;"_"&amp;Q$3,'Measure Level Detail'!$C:$C,0)),0)</f>
        <v>140</v>
      </c>
      <c r="R186" s="263" t="str">
        <f ca="1">IFERROR(INDEX(Algorithms!K:K,MATCH($C186&amp;"_Therm Saved per Unit",Algorithms!$A:$A,0)),"n/a")</f>
        <v>n/a</v>
      </c>
      <c r="S186" s="262"/>
      <c r="T186" s="272">
        <v>0</v>
      </c>
      <c r="U186" s="272">
        <v>0</v>
      </c>
      <c r="V186" s="272">
        <v>0</v>
      </c>
      <c r="W186" s="272">
        <v>0</v>
      </c>
      <c r="X186" s="273">
        <f>IFERROR(INDEX('Measure Level Detail'!$R:$R,MATCH($B186&amp;"_"&amp;X$3,'Measure Level Detail'!$C:$C,0)),0)</f>
        <v>1</v>
      </c>
      <c r="Y186" s="273">
        <f>IFERROR(INDEX('Measure Level Detail'!$R:$R,MATCH($B186&amp;"_"&amp;Y$3,'Measure Level Detail'!$C:$C,0)),0)</f>
        <v>1</v>
      </c>
      <c r="Z186" s="273">
        <f>IFERROR(INDEX('Measure Level Detail'!$R:$R,MATCH($B186&amp;"_"&amp;Z$3,'Measure Level Detail'!$C:$C,0)),0)</f>
        <v>1</v>
      </c>
      <c r="AA186" s="273">
        <f>IFERROR(INDEX('Measure Level Detail'!$R:$R,MATCH($B186&amp;"_"&amp;AA$3,'Measure Level Detail'!$C:$C,0)),0)</f>
        <v>1</v>
      </c>
      <c r="AB186" s="266">
        <f t="shared" si="87"/>
        <v>0</v>
      </c>
      <c r="AC186" s="266">
        <f t="shared" si="88"/>
        <v>0</v>
      </c>
      <c r="AD186" s="266">
        <f t="shared" si="89"/>
        <v>0</v>
      </c>
      <c r="AE186" s="266">
        <f t="shared" si="90"/>
        <v>0</v>
      </c>
      <c r="AF186" s="266">
        <f t="shared" si="91"/>
        <v>0</v>
      </c>
      <c r="AG186" s="274">
        <v>1</v>
      </c>
      <c r="AH186" s="274">
        <v>1</v>
      </c>
      <c r="AI186" s="274">
        <v>1</v>
      </c>
      <c r="AJ186" s="274">
        <v>1</v>
      </c>
      <c r="AK186" s="274">
        <f t="shared" si="92"/>
        <v>1</v>
      </c>
      <c r="AL186" s="274">
        <f t="shared" si="93"/>
        <v>1</v>
      </c>
      <c r="AM186" s="274">
        <f t="shared" si="94"/>
        <v>1</v>
      </c>
      <c r="AN186" s="274">
        <f t="shared" si="95"/>
        <v>1</v>
      </c>
      <c r="AO186" s="262"/>
      <c r="AP186" s="262"/>
      <c r="AQ186" s="267">
        <v>0</v>
      </c>
      <c r="AR186" s="262"/>
      <c r="AS186" s="266">
        <f t="shared" si="96"/>
        <v>0</v>
      </c>
      <c r="AT186" s="264">
        <f t="shared" si="97"/>
        <v>0</v>
      </c>
      <c r="AU186" s="262"/>
      <c r="AV186" s="262"/>
      <c r="AW186" s="265">
        <v>0</v>
      </c>
      <c r="AX186" s="164" t="s">
        <v>1469</v>
      </c>
      <c r="AY186" s="266">
        <v>0</v>
      </c>
      <c r="AZ186" s="266">
        <f t="shared" si="98"/>
        <v>0</v>
      </c>
      <c r="BA186" s="264">
        <f t="shared" si="99"/>
        <v>0</v>
      </c>
      <c r="BB186" s="262"/>
      <c r="BC186" s="262"/>
      <c r="BD186" s="265">
        <f ca="1">IFERROR(INDEX(Algorithms!$G:$G,MATCH($C186&amp;"_Therm Saved per Unit",Algorithms!$A:$A,0)),0)</f>
        <v>0</v>
      </c>
      <c r="BE186" s="164" t="str">
        <f ca="1">IFERROR(INDEX('v12 Revisions'!$P$29:$P$186, MATCH('Measure-Level Adj Gas'!$L186, 'v12 Revisions'!$D$29:$D$186,0)),"")</f>
        <v/>
      </c>
      <c r="BF186" s="266">
        <f t="shared" ca="1" si="100"/>
        <v>0</v>
      </c>
      <c r="BG186" s="264">
        <f t="shared" ca="1" si="101"/>
        <v>0</v>
      </c>
      <c r="BH186" s="262"/>
      <c r="BI186" s="262"/>
      <c r="BJ186" s="265">
        <f ca="1">IFERROR(INDEX(Algorithms!$G:$G,MATCH($C186&amp;"_Therm Saved per Unit",Algorithms!$A:$A,0)),0)</f>
        <v>0</v>
      </c>
      <c r="BK186" s="164"/>
      <c r="BL186" s="266">
        <f t="shared" ca="1" si="102"/>
        <v>0</v>
      </c>
      <c r="BM186" s="264">
        <f t="shared" ca="1" si="103"/>
        <v>0</v>
      </c>
      <c r="BN186" s="266">
        <f t="shared" si="104"/>
        <v>0</v>
      </c>
      <c r="BO186" s="266">
        <f t="shared" si="105"/>
        <v>0</v>
      </c>
      <c r="BP186" s="266">
        <f t="shared" ca="1" si="106"/>
        <v>0</v>
      </c>
      <c r="BQ186" s="266">
        <f t="shared" ca="1" si="107"/>
        <v>0</v>
      </c>
      <c r="BR186" s="268">
        <f t="shared" ca="1" si="108"/>
        <v>0</v>
      </c>
      <c r="BS186" s="262" t="s">
        <v>99</v>
      </c>
      <c r="BT186" s="277"/>
      <c r="BW186" s="266">
        <f t="shared" si="109"/>
        <v>0</v>
      </c>
      <c r="BX186" s="266">
        <f t="shared" si="110"/>
        <v>0</v>
      </c>
      <c r="BY186" s="266">
        <f t="shared" si="111"/>
        <v>0</v>
      </c>
      <c r="BZ186" s="266">
        <f t="shared" si="112"/>
        <v>0</v>
      </c>
      <c r="CA186" s="266">
        <f ca="1">N186*IFERROR(INDEX(Algorithms!$G:$G,MATCH($C186&amp;"_Therm Saved per Unit- MLA",Algorithms!$A:$A,0)),0)*X186</f>
        <v>0</v>
      </c>
      <c r="CB186" s="266">
        <f ca="1">O186*IFERROR(INDEX(Algorithms!$G:$G,MATCH($C186&amp;"_Therm Saved per Unit- MLA",Algorithms!$A:$A,0)),0)*Y186</f>
        <v>0</v>
      </c>
      <c r="CC186" s="266">
        <f ca="1">P186*IFERROR(INDEX(Algorithms!$G:$G,MATCH($C186&amp;"_Therm Saved per Unit- MLA",Algorithms!$A:$A,0)),0)*Z186</f>
        <v>0</v>
      </c>
      <c r="CD186" s="266">
        <f ca="1">Q186*IFERROR(INDEX(Algorithms!$G:$G,MATCH($C186&amp;"_Therm Saved per Unit- MLA",Algorithms!$A:$A,0)),0)*AA186</f>
        <v>0</v>
      </c>
      <c r="CE186" s="266">
        <f ca="1">IFERROR(INDEX(Algorithms!$G:$G,MATCH($C186&amp;"_Lifetime (years)",Algorithms!$A:$A,0)),0)</f>
        <v>0</v>
      </c>
      <c r="CF186" s="266">
        <f ca="1">IFERROR(INDEX(Algorithms!$G:$G,MATCH($C186&amp;"_Lifetime (years) - Remaining Years",Algorithms!$A:$A,0)),0)</f>
        <v>0</v>
      </c>
      <c r="CG186" s="266">
        <f t="shared" ca="1" si="113"/>
        <v>0</v>
      </c>
      <c r="CH186" s="266">
        <f t="shared" ca="1" si="114"/>
        <v>0</v>
      </c>
      <c r="CI186" s="266">
        <f t="shared" ca="1" si="115"/>
        <v>0</v>
      </c>
      <c r="CJ186" s="266">
        <f t="shared" ca="1" si="116"/>
        <v>0</v>
      </c>
      <c r="CK186" s="266">
        <f t="shared" si="117"/>
        <v>0</v>
      </c>
      <c r="CL186" s="266">
        <f t="shared" si="118"/>
        <v>0</v>
      </c>
      <c r="CM186" s="266">
        <f t="shared" ca="1" si="119"/>
        <v>0</v>
      </c>
      <c r="CN186" s="266">
        <f t="shared" ca="1" si="120"/>
        <v>0</v>
      </c>
      <c r="CO186" s="266">
        <f ca="1">N186*IFERROR(INDEX(Algorithms!$G:$G,MATCH($C186&amp;"_Therm Saved per Unit- MLA",Algorithms!$A:$A,0)),0)*X186</f>
        <v>0</v>
      </c>
      <c r="CP186" s="266">
        <f ca="1">O186*IFERROR(INDEX(Algorithms!$G:$G,MATCH($C186&amp;"_Therm Saved per Unit- MLA",Algorithms!$A:$A,0)),0)*Y186</f>
        <v>0</v>
      </c>
      <c r="CQ186" s="266">
        <f ca="1">P186*IFERROR(INDEX(Algorithms!$G:$G,MATCH($C186&amp;"_Therm Saved per Unit- MLA",Algorithms!$A:$A,0)),0)*Z186</f>
        <v>0</v>
      </c>
      <c r="CR186" s="266">
        <f ca="1">Q186*IFERROR(INDEX(Algorithms!$G:$G,MATCH($C186&amp;"_Therm Saved per Unit- MLA",Algorithms!$A:$A,0)),0)*AA186</f>
        <v>0</v>
      </c>
      <c r="CS186" s="266">
        <f ca="1">IFERROR(INDEX(Algorithms!$G:$G,MATCH($C186&amp;"_Lifetime (years)",Algorithms!$A:$A,0)),0)</f>
        <v>0</v>
      </c>
      <c r="CT186" s="266">
        <f ca="1">IFERROR(INDEX(Algorithms!$G:$G,MATCH($C186&amp;"_Lifetime (years) - Remaining Years",Algorithms!$A:$A,0)),0)</f>
        <v>0</v>
      </c>
      <c r="CU186" s="266">
        <f t="shared" ca="1" si="121"/>
        <v>0</v>
      </c>
      <c r="CV186" s="266">
        <f t="shared" ca="1" si="122"/>
        <v>0</v>
      </c>
      <c r="CW186" s="266">
        <f t="shared" ca="1" si="123"/>
        <v>0</v>
      </c>
      <c r="CX186" s="266">
        <f t="shared" ca="1" si="124"/>
        <v>0</v>
      </c>
    </row>
    <row r="187" spans="2:102" s="47" customFormat="1" ht="18" customHeight="1" x14ac:dyDescent="0.25">
      <c r="B187" t="str">
        <f t="shared" si="125"/>
        <v>NSG_Business_C&amp;I_Rebates_Pipe Insulation_HW Small 1" to 2"_MF/CI/SMB</v>
      </c>
      <c r="C187" s="47" t="str">
        <f t="shared" si="86"/>
        <v>Pipe Insulation_HW Small 1" to 2"_MF/CI/SMB</v>
      </c>
      <c r="D187" s="270" t="s">
        <v>1787</v>
      </c>
      <c r="E187" s="270" t="s">
        <v>3</v>
      </c>
      <c r="F187" s="270" t="s">
        <v>1427</v>
      </c>
      <c r="G187" s="270" t="s">
        <v>1429</v>
      </c>
      <c r="H187" s="270" t="s">
        <v>404</v>
      </c>
      <c r="I187" s="270" t="s">
        <v>953</v>
      </c>
      <c r="J187" s="270" t="s">
        <v>662</v>
      </c>
      <c r="K187" s="263">
        <v>1</v>
      </c>
      <c r="L187" s="263" t="str">
        <f ca="1">IFERROR(INDEX(Algorithms!J:J,MATCH($C187&amp;"_Therm Saved per Unit",Algorithms!$A:$A,0)),"n/a")</f>
        <v>"3 - Res Pipe Insulation" worksheet</v>
      </c>
      <c r="M187" s="263" t="str">
        <f>IFERROR(INDEX('Measure Level Detail'!$N:$N,MATCH($B187,'Measure Level Detail'!$B:$B,0)),0)</f>
        <v>ft</v>
      </c>
      <c r="N187" s="271">
        <f>IFERROR(INDEX('Measure Level Detail'!$P:$P,MATCH($B187&amp;"_"&amp;N$3,'Measure Level Detail'!$C:$C,0)),0)</f>
        <v>127.5</v>
      </c>
      <c r="O187" s="271">
        <f>IFERROR(INDEX('Measure Level Detail'!$P:$P,MATCH($B187&amp;"_"&amp;O$3,'Measure Level Detail'!$C:$C,0)),0)</f>
        <v>120</v>
      </c>
      <c r="P187" s="271">
        <f>IFERROR(INDEX('Measure Level Detail'!$P:$P,MATCH($B187&amp;"_"&amp;P$3,'Measure Level Detail'!$C:$C,0)),0)</f>
        <v>105</v>
      </c>
      <c r="Q187" s="271">
        <f>IFERROR(INDEX('Measure Level Detail'!$P:$P,MATCH($B187&amp;"_"&amp;Q$3,'Measure Level Detail'!$C:$C,0)),0)</f>
        <v>102.00000000000001</v>
      </c>
      <c r="R187" s="263">
        <f ca="1">IFERROR(INDEX(Algorithms!K:K,MATCH($C187&amp;"_Therm Saved per Unit",Algorithms!$A:$A,0)),"n/a")</f>
        <v>0</v>
      </c>
      <c r="S187" s="262"/>
      <c r="T187" s="272">
        <v>2.6588140926267867</v>
      </c>
      <c r="U187" s="272">
        <v>2.6588140926267867</v>
      </c>
      <c r="V187" s="272">
        <v>2.6588140926267867</v>
      </c>
      <c r="W187" s="272">
        <v>2.6588140926267867</v>
      </c>
      <c r="X187" s="273">
        <f>IFERROR(INDEX('Measure Level Detail'!$R:$R,MATCH($B187&amp;"_"&amp;X$3,'Measure Level Detail'!$C:$C,0)),0)</f>
        <v>0.91</v>
      </c>
      <c r="Y187" s="273">
        <f>IFERROR(INDEX('Measure Level Detail'!$R:$R,MATCH($B187&amp;"_"&amp;Y$3,'Measure Level Detail'!$C:$C,0)),0)</f>
        <v>0.91</v>
      </c>
      <c r="Z187" s="273">
        <f>IFERROR(INDEX('Measure Level Detail'!$R:$R,MATCH($B187&amp;"_"&amp;Z$3,'Measure Level Detail'!$C:$C,0)),0)</f>
        <v>0.91</v>
      </c>
      <c r="AA187" s="273">
        <f>IFERROR(INDEX('Measure Level Detail'!$R:$R,MATCH($B187&amp;"_"&amp;AA$3,'Measure Level Detail'!$C:$C,0)),0)</f>
        <v>0.91</v>
      </c>
      <c r="AB187" s="266">
        <f t="shared" si="87"/>
        <v>308.48890509702295</v>
      </c>
      <c r="AC187" s="266">
        <f t="shared" si="88"/>
        <v>290.34249891484512</v>
      </c>
      <c r="AD187" s="266">
        <f t="shared" si="89"/>
        <v>254.04968655048947</v>
      </c>
      <c r="AE187" s="266">
        <f t="shared" si="90"/>
        <v>246.79112407761835</v>
      </c>
      <c r="AF187" s="266">
        <f t="shared" si="91"/>
        <v>1099.6722146399759</v>
      </c>
      <c r="AG187" s="274">
        <v>0.91</v>
      </c>
      <c r="AH187" s="274">
        <v>0.91</v>
      </c>
      <c r="AI187" s="274">
        <v>0.91</v>
      </c>
      <c r="AJ187" s="274">
        <v>0.91</v>
      </c>
      <c r="AK187" s="274">
        <f t="shared" si="92"/>
        <v>0.91</v>
      </c>
      <c r="AL187" s="274">
        <f t="shared" si="93"/>
        <v>0.91</v>
      </c>
      <c r="AM187" s="274">
        <f t="shared" si="94"/>
        <v>0.91</v>
      </c>
      <c r="AN187" s="274">
        <f t="shared" si="95"/>
        <v>0.91</v>
      </c>
      <c r="AO187" s="262"/>
      <c r="AP187" s="262"/>
      <c r="AQ187" s="267">
        <v>2.6588140926267867</v>
      </c>
      <c r="AR187" s="262"/>
      <c r="AS187" s="266">
        <f t="shared" si="96"/>
        <v>308.48890509702295</v>
      </c>
      <c r="AT187" s="264">
        <f t="shared" si="97"/>
        <v>0</v>
      </c>
      <c r="AU187" s="262"/>
      <c r="AV187" s="262"/>
      <c r="AW187" s="265">
        <v>2.6588140926267867</v>
      </c>
      <c r="AX187" s="164" t="s">
        <v>1469</v>
      </c>
      <c r="AY187" s="266">
        <v>290.34249891484512</v>
      </c>
      <c r="AZ187" s="266">
        <f t="shared" si="98"/>
        <v>290.34249891484512</v>
      </c>
      <c r="BA187" s="264">
        <f t="shared" si="99"/>
        <v>0</v>
      </c>
      <c r="BB187" s="262"/>
      <c r="BC187" s="262"/>
      <c r="BD187" s="265">
        <f ca="1">IFERROR(INDEX(Algorithms!$G:$G,MATCH($C187&amp;"_Therm Saved per Unit",Algorithms!$A:$A,0)),0)</f>
        <v>2.6588140926267867</v>
      </c>
      <c r="BE187" s="164" t="str">
        <f ca="1">IFERROR(INDEX('v12 Revisions'!$P$29:$P$186, MATCH('Measure-Level Adj Gas'!$L187, 'v12 Revisions'!$D$29:$D$186,0)),"")</f>
        <v/>
      </c>
      <c r="BF187" s="266">
        <f t="shared" ca="1" si="100"/>
        <v>254.04968655048947</v>
      </c>
      <c r="BG187" s="264">
        <f t="shared" ca="1" si="101"/>
        <v>0</v>
      </c>
      <c r="BH187" s="262"/>
      <c r="BI187" s="262"/>
      <c r="BJ187" s="265">
        <f ca="1">IFERROR(INDEX(Algorithms!$G:$G,MATCH($C187&amp;"_Therm Saved per Unit",Algorithms!$A:$A,0)),0)</f>
        <v>2.6588140926267867</v>
      </c>
      <c r="BK187" s="164"/>
      <c r="BL187" s="266">
        <f t="shared" ca="1" si="102"/>
        <v>246.79112407761835</v>
      </c>
      <c r="BM187" s="264">
        <f t="shared" ca="1" si="103"/>
        <v>0</v>
      </c>
      <c r="BN187" s="266">
        <f t="shared" si="104"/>
        <v>308.48890509702295</v>
      </c>
      <c r="BO187" s="266">
        <f t="shared" si="105"/>
        <v>290.34249891484512</v>
      </c>
      <c r="BP187" s="266">
        <f t="shared" ca="1" si="106"/>
        <v>254.04968655048947</v>
      </c>
      <c r="BQ187" s="266">
        <f t="shared" ca="1" si="107"/>
        <v>246.79112407761835</v>
      </c>
      <c r="BR187" s="268">
        <f t="shared" ca="1" si="108"/>
        <v>1099.6722146399759</v>
      </c>
      <c r="BS187" s="262" t="s">
        <v>99</v>
      </c>
      <c r="BT187" s="277"/>
      <c r="BW187" s="266">
        <f t="shared" si="109"/>
        <v>308.48890509702295</v>
      </c>
      <c r="BX187" s="266">
        <f t="shared" si="110"/>
        <v>290.34249891484512</v>
      </c>
      <c r="BY187" s="266">
        <f t="shared" si="111"/>
        <v>254.04968655048947</v>
      </c>
      <c r="BZ187" s="266">
        <f t="shared" si="112"/>
        <v>246.79112407761835</v>
      </c>
      <c r="CA187" s="266">
        <f ca="1">N187*IFERROR(INDEX(Algorithms!$G:$G,MATCH($C187&amp;"_Therm Saved per Unit- MLA",Algorithms!$A:$A,0)),0)*X187</f>
        <v>0</v>
      </c>
      <c r="CB187" s="266">
        <f ca="1">O187*IFERROR(INDEX(Algorithms!$G:$G,MATCH($C187&amp;"_Therm Saved per Unit- MLA",Algorithms!$A:$A,0)),0)*Y187</f>
        <v>0</v>
      </c>
      <c r="CC187" s="266">
        <f ca="1">P187*IFERROR(INDEX(Algorithms!$G:$G,MATCH($C187&amp;"_Therm Saved per Unit- MLA",Algorithms!$A:$A,0)),0)*Z187</f>
        <v>0</v>
      </c>
      <c r="CD187" s="266">
        <f ca="1">Q187*IFERROR(INDEX(Algorithms!$G:$G,MATCH($C187&amp;"_Therm Saved per Unit- MLA",Algorithms!$A:$A,0)),0)*AA187</f>
        <v>0</v>
      </c>
      <c r="CE187" s="266">
        <f ca="1">IFERROR(INDEX(Algorithms!$G:$G,MATCH($C187&amp;"_Lifetime (years)",Algorithms!$A:$A,0)),0)</f>
        <v>15</v>
      </c>
      <c r="CF187" s="266">
        <f ca="1">IFERROR(INDEX(Algorithms!$G:$G,MATCH($C187&amp;"_Lifetime (years) - Remaining Years",Algorithms!$A:$A,0)),0)</f>
        <v>0</v>
      </c>
      <c r="CG187" s="266">
        <f t="shared" ca="1" si="113"/>
        <v>4627.333576455344</v>
      </c>
      <c r="CH187" s="266">
        <f t="shared" ca="1" si="114"/>
        <v>4355.1374837226767</v>
      </c>
      <c r="CI187" s="266">
        <f t="shared" ca="1" si="115"/>
        <v>3810.7452982573423</v>
      </c>
      <c r="CJ187" s="266">
        <f t="shared" ca="1" si="116"/>
        <v>3701.8668611642752</v>
      </c>
      <c r="CK187" s="266">
        <f t="shared" si="117"/>
        <v>308.48890509702295</v>
      </c>
      <c r="CL187" s="266">
        <f t="shared" si="118"/>
        <v>290.34249891484512</v>
      </c>
      <c r="CM187" s="266">
        <f t="shared" ca="1" si="119"/>
        <v>254.04968655048947</v>
      </c>
      <c r="CN187" s="266">
        <f t="shared" ca="1" si="120"/>
        <v>246.79112407761835</v>
      </c>
      <c r="CO187" s="266">
        <f ca="1">N187*IFERROR(INDEX(Algorithms!$G:$G,MATCH($C187&amp;"_Therm Saved per Unit- MLA",Algorithms!$A:$A,0)),0)*X187</f>
        <v>0</v>
      </c>
      <c r="CP187" s="266">
        <f ca="1">O187*IFERROR(INDEX(Algorithms!$G:$G,MATCH($C187&amp;"_Therm Saved per Unit- MLA",Algorithms!$A:$A,0)),0)*Y187</f>
        <v>0</v>
      </c>
      <c r="CQ187" s="266">
        <f ca="1">P187*IFERROR(INDEX(Algorithms!$G:$G,MATCH($C187&amp;"_Therm Saved per Unit- MLA",Algorithms!$A:$A,0)),0)*Z187</f>
        <v>0</v>
      </c>
      <c r="CR187" s="266">
        <f ca="1">Q187*IFERROR(INDEX(Algorithms!$G:$G,MATCH($C187&amp;"_Therm Saved per Unit- MLA",Algorithms!$A:$A,0)),0)*AA187</f>
        <v>0</v>
      </c>
      <c r="CS187" s="266">
        <f ca="1">IFERROR(INDEX(Algorithms!$G:$G,MATCH($C187&amp;"_Lifetime (years)",Algorithms!$A:$A,0)),0)</f>
        <v>15</v>
      </c>
      <c r="CT187" s="266">
        <f ca="1">IFERROR(INDEX(Algorithms!$G:$G,MATCH($C187&amp;"_Lifetime (years) - Remaining Years",Algorithms!$A:$A,0)),0)</f>
        <v>0</v>
      </c>
      <c r="CU187" s="266">
        <f t="shared" ca="1" si="121"/>
        <v>4627.333576455344</v>
      </c>
      <c r="CV187" s="266">
        <f t="shared" ca="1" si="122"/>
        <v>4355.1374837226767</v>
      </c>
      <c r="CW187" s="266">
        <f t="shared" ca="1" si="123"/>
        <v>3810.7452982573423</v>
      </c>
      <c r="CX187" s="266">
        <f t="shared" ca="1" si="124"/>
        <v>3701.8668611642752</v>
      </c>
    </row>
    <row r="188" spans="2:102" s="47" customFormat="1" ht="18" customHeight="1" x14ac:dyDescent="0.25">
      <c r="B188" t="str">
        <f t="shared" si="125"/>
        <v>NSG_Business_C&amp;I_Rebates_Pipe Insulation_Steam - Small 1" to 2"_CI</v>
      </c>
      <c r="C188" s="47" t="str">
        <f t="shared" si="86"/>
        <v>Pipe Insulation_Steam - Small 1" to 2"_CI</v>
      </c>
      <c r="D188" s="270" t="s">
        <v>1787</v>
      </c>
      <c r="E188" s="270" t="s">
        <v>3</v>
      </c>
      <c r="F188" s="270" t="s">
        <v>1427</v>
      </c>
      <c r="G188" s="270" t="s">
        <v>1429</v>
      </c>
      <c r="H188" s="270" t="s">
        <v>404</v>
      </c>
      <c r="I188" s="270" t="s">
        <v>956</v>
      </c>
      <c r="J188" s="270" t="s">
        <v>1159</v>
      </c>
      <c r="K188" s="263">
        <v>1</v>
      </c>
      <c r="L188" s="263" t="str">
        <f ca="1">IFERROR(INDEX(Algorithms!J:J,MATCH($C188&amp;"_Therm Saved per Unit",Algorithms!$A:$A,0)),"n/a")</f>
        <v>"3 - Pipe Insulation" worksheet</v>
      </c>
      <c r="M188" s="263" t="str">
        <f>IFERROR(INDEX('Measure Level Detail'!$N:$N,MATCH($B188,'Measure Level Detail'!$B:$B,0)),0)</f>
        <v>ft</v>
      </c>
      <c r="N188" s="271">
        <f>IFERROR(INDEX('Measure Level Detail'!$P:$P,MATCH($B188&amp;"_"&amp;N$3,'Measure Level Detail'!$C:$C,0)),0)</f>
        <v>127.5</v>
      </c>
      <c r="O188" s="271">
        <f>IFERROR(INDEX('Measure Level Detail'!$P:$P,MATCH($B188&amp;"_"&amp;O$3,'Measure Level Detail'!$C:$C,0)),0)</f>
        <v>120</v>
      </c>
      <c r="P188" s="271">
        <f>IFERROR(INDEX('Measure Level Detail'!$P:$P,MATCH($B188&amp;"_"&amp;P$3,'Measure Level Detail'!$C:$C,0)),0)</f>
        <v>105</v>
      </c>
      <c r="Q188" s="271">
        <f>IFERROR(INDEX('Measure Level Detail'!$P:$P,MATCH($B188&amp;"_"&amp;Q$3,'Measure Level Detail'!$C:$C,0)),0)</f>
        <v>102.00000000000001</v>
      </c>
      <c r="R188" s="263">
        <f ca="1">IFERROR(INDEX(Algorithms!K:K,MATCH($C188&amp;"_Therm Saved per Unit",Algorithms!$A:$A,0)),"n/a")</f>
        <v>0</v>
      </c>
      <c r="S188" s="262"/>
      <c r="T188" s="272">
        <v>3.1854757047967208</v>
      </c>
      <c r="U188" s="272">
        <v>3.1854757047967208</v>
      </c>
      <c r="V188" s="272">
        <v>3.1854757047967208</v>
      </c>
      <c r="W188" s="272">
        <v>3.1854757047967208</v>
      </c>
      <c r="X188" s="273">
        <f>IFERROR(INDEX('Measure Level Detail'!$R:$R,MATCH($B188&amp;"_"&amp;X$3,'Measure Level Detail'!$C:$C,0)),0)</f>
        <v>0.91</v>
      </c>
      <c r="Y188" s="273">
        <f>IFERROR(INDEX('Measure Level Detail'!$R:$R,MATCH($B188&amp;"_"&amp;Y$3,'Measure Level Detail'!$C:$C,0)),0)</f>
        <v>0.91</v>
      </c>
      <c r="Z188" s="273">
        <f>IFERROR(INDEX('Measure Level Detail'!$R:$R,MATCH($B188&amp;"_"&amp;Z$3,'Measure Level Detail'!$C:$C,0)),0)</f>
        <v>0.91</v>
      </c>
      <c r="AA188" s="273">
        <f>IFERROR(INDEX('Measure Level Detail'!$R:$R,MATCH($B188&amp;"_"&amp;AA$3,'Measure Level Detail'!$C:$C,0)),0)</f>
        <v>0.91</v>
      </c>
      <c r="AB188" s="266">
        <f t="shared" si="87"/>
        <v>369.5948186490395</v>
      </c>
      <c r="AC188" s="266">
        <f t="shared" si="88"/>
        <v>347.85394696380189</v>
      </c>
      <c r="AD188" s="266">
        <f t="shared" si="89"/>
        <v>304.37220359332667</v>
      </c>
      <c r="AE188" s="266">
        <f t="shared" si="90"/>
        <v>295.67585491923165</v>
      </c>
      <c r="AF188" s="266">
        <f t="shared" si="91"/>
        <v>1317.4968241253996</v>
      </c>
      <c r="AG188" s="274">
        <v>0.91</v>
      </c>
      <c r="AH188" s="274">
        <v>0.91</v>
      </c>
      <c r="AI188" s="274">
        <v>0.91</v>
      </c>
      <c r="AJ188" s="274">
        <v>0.91</v>
      </c>
      <c r="AK188" s="274">
        <f t="shared" si="92"/>
        <v>0.91</v>
      </c>
      <c r="AL188" s="274">
        <f t="shared" si="93"/>
        <v>0.91</v>
      </c>
      <c r="AM188" s="274">
        <f t="shared" si="94"/>
        <v>0.91</v>
      </c>
      <c r="AN188" s="274">
        <f t="shared" si="95"/>
        <v>0.91</v>
      </c>
      <c r="AO188" s="262"/>
      <c r="AP188" s="262"/>
      <c r="AQ188" s="267">
        <v>3.1854757047967208</v>
      </c>
      <c r="AR188" s="262"/>
      <c r="AS188" s="266">
        <f t="shared" si="96"/>
        <v>369.5948186490395</v>
      </c>
      <c r="AT188" s="264">
        <f t="shared" si="97"/>
        <v>0</v>
      </c>
      <c r="AU188" s="262"/>
      <c r="AV188" s="262"/>
      <c r="AW188" s="265">
        <v>3.1854757047967208</v>
      </c>
      <c r="AX188" s="164" t="s">
        <v>1469</v>
      </c>
      <c r="AY188" s="266">
        <v>347.85394696380189</v>
      </c>
      <c r="AZ188" s="266">
        <f t="shared" si="98"/>
        <v>347.85394696380189</v>
      </c>
      <c r="BA188" s="264">
        <f t="shared" si="99"/>
        <v>0</v>
      </c>
      <c r="BB188" s="262"/>
      <c r="BC188" s="262"/>
      <c r="BD188" s="265">
        <f ca="1">IFERROR(INDEX(Algorithms!$G:$G,MATCH($C188&amp;"_Therm Saved per Unit",Algorithms!$A:$A,0)),0)</f>
        <v>3.1854757047967208</v>
      </c>
      <c r="BE188" s="164" t="str">
        <f ca="1">IFERROR(INDEX('v12 Revisions'!$P$29:$P$186, MATCH('Measure-Level Adj Gas'!$L188, 'v12 Revisions'!$D$29:$D$186,0)),"")</f>
        <v/>
      </c>
      <c r="BF188" s="266">
        <f t="shared" ca="1" si="100"/>
        <v>304.37220359332667</v>
      </c>
      <c r="BG188" s="264">
        <f t="shared" ca="1" si="101"/>
        <v>0</v>
      </c>
      <c r="BH188" s="262"/>
      <c r="BI188" s="262"/>
      <c r="BJ188" s="265">
        <f ca="1">IFERROR(INDEX(Algorithms!$G:$G,MATCH($C188&amp;"_Therm Saved per Unit",Algorithms!$A:$A,0)),0)</f>
        <v>3.1854757047967208</v>
      </c>
      <c r="BK188" s="164"/>
      <c r="BL188" s="266">
        <f t="shared" ca="1" si="102"/>
        <v>295.67585491923165</v>
      </c>
      <c r="BM188" s="264">
        <f t="shared" ca="1" si="103"/>
        <v>0</v>
      </c>
      <c r="BN188" s="266">
        <f t="shared" si="104"/>
        <v>369.5948186490395</v>
      </c>
      <c r="BO188" s="266">
        <f t="shared" si="105"/>
        <v>347.85394696380189</v>
      </c>
      <c r="BP188" s="266">
        <f t="shared" ca="1" si="106"/>
        <v>304.37220359332667</v>
      </c>
      <c r="BQ188" s="266">
        <f t="shared" ca="1" si="107"/>
        <v>295.67585491923165</v>
      </c>
      <c r="BR188" s="268">
        <f t="shared" ca="1" si="108"/>
        <v>1317.4968241253996</v>
      </c>
      <c r="BS188" s="262" t="s">
        <v>99</v>
      </c>
      <c r="BT188" s="277"/>
      <c r="BW188" s="266">
        <f t="shared" si="109"/>
        <v>369.5948186490395</v>
      </c>
      <c r="BX188" s="266">
        <f t="shared" si="110"/>
        <v>347.85394696380189</v>
      </c>
      <c r="BY188" s="266">
        <f t="shared" si="111"/>
        <v>304.37220359332667</v>
      </c>
      <c r="BZ188" s="266">
        <f t="shared" si="112"/>
        <v>295.67585491923165</v>
      </c>
      <c r="CA188" s="266">
        <f ca="1">N188*IFERROR(INDEX(Algorithms!$G:$G,MATCH($C188&amp;"_Therm Saved per Unit- MLA",Algorithms!$A:$A,0)),0)*X188</f>
        <v>0</v>
      </c>
      <c r="CB188" s="266">
        <f ca="1">O188*IFERROR(INDEX(Algorithms!$G:$G,MATCH($C188&amp;"_Therm Saved per Unit- MLA",Algorithms!$A:$A,0)),0)*Y188</f>
        <v>0</v>
      </c>
      <c r="CC188" s="266">
        <f ca="1">P188*IFERROR(INDEX(Algorithms!$G:$G,MATCH($C188&amp;"_Therm Saved per Unit- MLA",Algorithms!$A:$A,0)),0)*Z188</f>
        <v>0</v>
      </c>
      <c r="CD188" s="266">
        <f ca="1">Q188*IFERROR(INDEX(Algorithms!$G:$G,MATCH($C188&amp;"_Therm Saved per Unit- MLA",Algorithms!$A:$A,0)),0)*AA188</f>
        <v>0</v>
      </c>
      <c r="CE188" s="266">
        <f ca="1">IFERROR(INDEX(Algorithms!$G:$G,MATCH($C188&amp;"_Lifetime (years)",Algorithms!$A:$A,0)),0)</f>
        <v>15</v>
      </c>
      <c r="CF188" s="266">
        <f ca="1">IFERROR(INDEX(Algorithms!$G:$G,MATCH($C188&amp;"_Lifetime (years) - Remaining Years",Algorithms!$A:$A,0)),0)</f>
        <v>0</v>
      </c>
      <c r="CG188" s="266">
        <f t="shared" ca="1" si="113"/>
        <v>5543.9222797355924</v>
      </c>
      <c r="CH188" s="266">
        <f t="shared" ca="1" si="114"/>
        <v>5217.8092044570285</v>
      </c>
      <c r="CI188" s="266">
        <f t="shared" ca="1" si="115"/>
        <v>4565.5830538998998</v>
      </c>
      <c r="CJ188" s="266">
        <f t="shared" ca="1" si="116"/>
        <v>4435.1378237884746</v>
      </c>
      <c r="CK188" s="266">
        <f t="shared" si="117"/>
        <v>369.5948186490395</v>
      </c>
      <c r="CL188" s="266">
        <f t="shared" si="118"/>
        <v>347.85394696380189</v>
      </c>
      <c r="CM188" s="266">
        <f t="shared" ca="1" si="119"/>
        <v>304.37220359332667</v>
      </c>
      <c r="CN188" s="266">
        <f t="shared" ca="1" si="120"/>
        <v>295.67585491923165</v>
      </c>
      <c r="CO188" s="266">
        <f ca="1">N188*IFERROR(INDEX(Algorithms!$G:$G,MATCH($C188&amp;"_Therm Saved per Unit- MLA",Algorithms!$A:$A,0)),0)*X188</f>
        <v>0</v>
      </c>
      <c r="CP188" s="266">
        <f ca="1">O188*IFERROR(INDEX(Algorithms!$G:$G,MATCH($C188&amp;"_Therm Saved per Unit- MLA",Algorithms!$A:$A,0)),0)*Y188</f>
        <v>0</v>
      </c>
      <c r="CQ188" s="266">
        <f ca="1">P188*IFERROR(INDEX(Algorithms!$G:$G,MATCH($C188&amp;"_Therm Saved per Unit- MLA",Algorithms!$A:$A,0)),0)*Z188</f>
        <v>0</v>
      </c>
      <c r="CR188" s="266">
        <f ca="1">Q188*IFERROR(INDEX(Algorithms!$G:$G,MATCH($C188&amp;"_Therm Saved per Unit- MLA",Algorithms!$A:$A,0)),0)*AA188</f>
        <v>0</v>
      </c>
      <c r="CS188" s="266">
        <f ca="1">IFERROR(INDEX(Algorithms!$G:$G,MATCH($C188&amp;"_Lifetime (years)",Algorithms!$A:$A,0)),0)</f>
        <v>15</v>
      </c>
      <c r="CT188" s="266">
        <f ca="1">IFERROR(INDEX(Algorithms!$G:$G,MATCH($C188&amp;"_Lifetime (years) - Remaining Years",Algorithms!$A:$A,0)),0)</f>
        <v>0</v>
      </c>
      <c r="CU188" s="266">
        <f t="shared" ca="1" si="121"/>
        <v>5543.9222797355924</v>
      </c>
      <c r="CV188" s="266">
        <f t="shared" ca="1" si="122"/>
        <v>5217.8092044570285</v>
      </c>
      <c r="CW188" s="266">
        <f t="shared" ca="1" si="123"/>
        <v>4565.5830538998998</v>
      </c>
      <c r="CX188" s="266">
        <f t="shared" ca="1" si="124"/>
        <v>4435.1378237884746</v>
      </c>
    </row>
    <row r="189" spans="2:102" s="47" customFormat="1" ht="18" customHeight="1" x14ac:dyDescent="0.25">
      <c r="B189" t="str">
        <f t="shared" si="125"/>
        <v>NSG_Residential_Home Energy Jumpstart_Core_Thermostat - Reprogram_Boiler (DI)_SF</v>
      </c>
      <c r="C189" s="47" t="str">
        <f t="shared" si="86"/>
        <v>Thermostat - Reprogram_Boiler (DI)_SF</v>
      </c>
      <c r="D189" s="270" t="s">
        <v>1787</v>
      </c>
      <c r="E189" s="270" t="s">
        <v>2</v>
      </c>
      <c r="F189" s="270" t="s">
        <v>1414</v>
      </c>
      <c r="G189" s="270" t="s">
        <v>1415</v>
      </c>
      <c r="H189" s="270" t="s">
        <v>1055</v>
      </c>
      <c r="I189" s="270" t="s">
        <v>1045</v>
      </c>
      <c r="J189" s="270" t="s">
        <v>409</v>
      </c>
      <c r="K189" s="263">
        <v>1</v>
      </c>
      <c r="L189" s="263" t="str">
        <f ca="1">IFERROR(INDEX(Algorithms!J:J,MATCH($C189&amp;"_Therm Saved per Unit",Algorithms!$A:$A,0)),"n/a")</f>
        <v>5.3.11</v>
      </c>
      <c r="M189" s="263" t="str">
        <f>IFERROR(INDEX('Measure Level Detail'!$N:$N,MATCH($B189,'Measure Level Detail'!$B:$B,0)),0)</f>
        <v>Each</v>
      </c>
      <c r="N189" s="271">
        <f>IFERROR(INDEX('Measure Level Detail'!$P:$P,MATCH($B189&amp;"_"&amp;N$3,'Measure Level Detail'!$C:$C,0)),0)</f>
        <v>119</v>
      </c>
      <c r="O189" s="271">
        <f>IFERROR(INDEX('Measure Level Detail'!$P:$P,MATCH($B189&amp;"_"&amp;O$3,'Measure Level Detail'!$C:$C,0)),0)</f>
        <v>107</v>
      </c>
      <c r="P189" s="271">
        <f>IFERROR(INDEX('Measure Level Detail'!$P:$P,MATCH($B189&amp;"_"&amp;P$3,'Measure Level Detail'!$C:$C,0)),0)</f>
        <v>95</v>
      </c>
      <c r="Q189" s="271">
        <f>IFERROR(INDEX('Measure Level Detail'!$P:$P,MATCH($B189&amp;"_"&amp;Q$3,'Measure Level Detail'!$C:$C,0)),0)</f>
        <v>83</v>
      </c>
      <c r="R189" s="263" t="str">
        <f ca="1">IFERROR(INDEX(Algorithms!K:K,MATCH($C189&amp;"_Therm Saved per Unit",Algorithms!$A:$A,0)),"n/a")</f>
        <v>RS-HVC-PROG-V08-220101</v>
      </c>
      <c r="S189" s="262"/>
      <c r="T189" s="272">
        <v>92.194000000000003</v>
      </c>
      <c r="U189" s="272">
        <v>92.194000000000003</v>
      </c>
      <c r="V189" s="272">
        <v>92.194000000000003</v>
      </c>
      <c r="W189" s="272">
        <v>92.194000000000003</v>
      </c>
      <c r="X189" s="273">
        <f>IFERROR(INDEX('Measure Level Detail'!$R:$R,MATCH($B189&amp;"_"&amp;X$3,'Measure Level Detail'!$C:$C,0)),0)</f>
        <v>0.8</v>
      </c>
      <c r="Y189" s="273">
        <f>IFERROR(INDEX('Measure Level Detail'!$R:$R,MATCH($B189&amp;"_"&amp;Y$3,'Measure Level Detail'!$C:$C,0)),0)</f>
        <v>0.8</v>
      </c>
      <c r="Z189" s="273">
        <f>IFERROR(INDEX('Measure Level Detail'!$R:$R,MATCH($B189&amp;"_"&amp;Z$3,'Measure Level Detail'!$C:$C,0)),0)</f>
        <v>0.8</v>
      </c>
      <c r="AA189" s="273">
        <f>IFERROR(INDEX('Measure Level Detail'!$R:$R,MATCH($B189&amp;"_"&amp;AA$3,'Measure Level Detail'!$C:$C,0)),0)</f>
        <v>0.8</v>
      </c>
      <c r="AB189" s="266">
        <f t="shared" si="87"/>
        <v>8776.868800000002</v>
      </c>
      <c r="AC189" s="266">
        <f t="shared" si="88"/>
        <v>7891.8064000000004</v>
      </c>
      <c r="AD189" s="266">
        <f t="shared" si="89"/>
        <v>7006.7440000000006</v>
      </c>
      <c r="AE189" s="266">
        <f t="shared" si="90"/>
        <v>6121.6815999999999</v>
      </c>
      <c r="AF189" s="266">
        <f t="shared" si="91"/>
        <v>29797.100800000004</v>
      </c>
      <c r="AG189" s="274">
        <v>0.8</v>
      </c>
      <c r="AH189" s="274">
        <v>0.8</v>
      </c>
      <c r="AI189" s="710">
        <v>0.99</v>
      </c>
      <c r="AJ189" s="710">
        <v>0.99</v>
      </c>
      <c r="AK189" s="274">
        <f t="shared" si="92"/>
        <v>0.8</v>
      </c>
      <c r="AL189" s="274">
        <f t="shared" si="93"/>
        <v>0.8</v>
      </c>
      <c r="AM189" s="274">
        <f t="shared" si="94"/>
        <v>0.89</v>
      </c>
      <c r="AN189" s="274">
        <f t="shared" si="95"/>
        <v>0.89</v>
      </c>
      <c r="AO189" s="262"/>
      <c r="AP189" s="262"/>
      <c r="AQ189" s="267">
        <v>92.194000000000003</v>
      </c>
      <c r="AR189" s="262"/>
      <c r="AS189" s="266">
        <f t="shared" si="96"/>
        <v>8776.868800000002</v>
      </c>
      <c r="AT189" s="264">
        <f t="shared" si="97"/>
        <v>0</v>
      </c>
      <c r="AU189" s="262"/>
      <c r="AV189" s="262"/>
      <c r="AW189" s="265">
        <v>92.194000000000003</v>
      </c>
      <c r="AX189" s="164" t="s">
        <v>1469</v>
      </c>
      <c r="AY189" s="266">
        <v>7891.8064000000004</v>
      </c>
      <c r="AZ189" s="266">
        <f t="shared" si="98"/>
        <v>7891.8064000000004</v>
      </c>
      <c r="BA189" s="264">
        <f t="shared" si="99"/>
        <v>0</v>
      </c>
      <c r="BB189" s="262"/>
      <c r="BC189" s="262"/>
      <c r="BD189" s="265">
        <f ca="1">IFERROR(INDEX(Algorithms!$G:$G,MATCH($C189&amp;"_Therm Saved per Unit",Algorithms!$A:$A,0)),0)</f>
        <v>92.194000000000003</v>
      </c>
      <c r="BE189" s="164" t="str">
        <f ca="1">IFERROR(INDEX('v12 Revisions'!$P$29:$P$186, MATCH('Measure-Level Adj Gas'!$L189, 'v12 Revisions'!$D$29:$D$186,0)),"")</f>
        <v/>
      </c>
      <c r="BF189" s="266">
        <f t="shared" ca="1" si="100"/>
        <v>7795.0027</v>
      </c>
      <c r="BG189" s="264">
        <f t="shared" ca="1" si="101"/>
        <v>788.25869999999941</v>
      </c>
      <c r="BH189" s="262"/>
      <c r="BI189" s="262"/>
      <c r="BJ189" s="265">
        <f ca="1">IFERROR(INDEX(Algorithms!$G:$G,MATCH($C189&amp;"_Therm Saved per Unit",Algorithms!$A:$A,0)),0)</f>
        <v>92.194000000000003</v>
      </c>
      <c r="BK189" s="164"/>
      <c r="BL189" s="266">
        <f t="shared" ca="1" si="102"/>
        <v>6810.3707800000002</v>
      </c>
      <c r="BM189" s="264">
        <f t="shared" ca="1" si="103"/>
        <v>688.68918000000031</v>
      </c>
      <c r="BN189" s="266">
        <f t="shared" si="104"/>
        <v>8776.868800000002</v>
      </c>
      <c r="BO189" s="266">
        <f t="shared" si="105"/>
        <v>7891.8064000000004</v>
      </c>
      <c r="BP189" s="266">
        <f t="shared" ca="1" si="106"/>
        <v>7795.0027</v>
      </c>
      <c r="BQ189" s="266">
        <f t="shared" ca="1" si="107"/>
        <v>6810.3707800000002</v>
      </c>
      <c r="BR189" s="268">
        <f t="shared" ca="1" si="108"/>
        <v>31274.048680000004</v>
      </c>
      <c r="BS189" s="262" t="s">
        <v>99</v>
      </c>
      <c r="BT189" s="277"/>
      <c r="BW189" s="266">
        <f t="shared" si="109"/>
        <v>8776.868800000002</v>
      </c>
      <c r="BX189" s="266">
        <f t="shared" si="110"/>
        <v>7891.8064000000004</v>
      </c>
      <c r="BY189" s="266">
        <f t="shared" si="111"/>
        <v>7006.7440000000006</v>
      </c>
      <c r="BZ189" s="266">
        <f t="shared" si="112"/>
        <v>6121.6815999999999</v>
      </c>
      <c r="CA189" s="266">
        <f ca="1">N189*IFERROR(INDEX(Algorithms!$G:$G,MATCH($C189&amp;"_Therm Saved per Unit- MLA",Algorithms!$A:$A,0)),0)*X189</f>
        <v>0</v>
      </c>
      <c r="CB189" s="266">
        <f ca="1">O189*IFERROR(INDEX(Algorithms!$G:$G,MATCH($C189&amp;"_Therm Saved per Unit- MLA",Algorithms!$A:$A,0)),0)*Y189</f>
        <v>0</v>
      </c>
      <c r="CC189" s="266">
        <f ca="1">P189*IFERROR(INDEX(Algorithms!$G:$G,MATCH($C189&amp;"_Therm Saved per Unit- MLA",Algorithms!$A:$A,0)),0)*Z189</f>
        <v>0</v>
      </c>
      <c r="CD189" s="266">
        <f ca="1">Q189*IFERROR(INDEX(Algorithms!$G:$G,MATCH($C189&amp;"_Therm Saved per Unit- MLA",Algorithms!$A:$A,0)),0)*AA189</f>
        <v>0</v>
      </c>
      <c r="CE189" s="266">
        <f ca="1">IFERROR(INDEX(Algorithms!$G:$G,MATCH($C189&amp;"_Lifetime (years)",Algorithms!$A:$A,0)),0)</f>
        <v>2</v>
      </c>
      <c r="CF189" s="266">
        <f ca="1">IFERROR(INDEX(Algorithms!$G:$G,MATCH($C189&amp;"_Lifetime (years) - Remaining Years",Algorithms!$A:$A,0)),0)</f>
        <v>0</v>
      </c>
      <c r="CG189" s="266">
        <f t="shared" ca="1" si="113"/>
        <v>17553.737600000004</v>
      </c>
      <c r="CH189" s="266">
        <f t="shared" ca="1" si="114"/>
        <v>15783.612800000001</v>
      </c>
      <c r="CI189" s="266">
        <f t="shared" ca="1" si="115"/>
        <v>14013.488000000001</v>
      </c>
      <c r="CJ189" s="266">
        <f t="shared" ca="1" si="116"/>
        <v>12243.3632</v>
      </c>
      <c r="CK189" s="266">
        <f t="shared" si="117"/>
        <v>8776.868800000002</v>
      </c>
      <c r="CL189" s="266">
        <f t="shared" si="118"/>
        <v>7891.8064000000004</v>
      </c>
      <c r="CM189" s="266">
        <f t="shared" ca="1" si="119"/>
        <v>7006.7440000000006</v>
      </c>
      <c r="CN189" s="266">
        <f t="shared" ca="1" si="120"/>
        <v>6121.6815999999999</v>
      </c>
      <c r="CO189" s="266">
        <f ca="1">N189*IFERROR(INDEX(Algorithms!$G:$G,MATCH($C189&amp;"_Therm Saved per Unit- MLA",Algorithms!$A:$A,0)),0)*X189</f>
        <v>0</v>
      </c>
      <c r="CP189" s="266">
        <f ca="1">O189*IFERROR(INDEX(Algorithms!$G:$G,MATCH($C189&amp;"_Therm Saved per Unit- MLA",Algorithms!$A:$A,0)),0)*Y189</f>
        <v>0</v>
      </c>
      <c r="CQ189" s="266">
        <f ca="1">P189*IFERROR(INDEX(Algorithms!$G:$G,MATCH($C189&amp;"_Therm Saved per Unit- MLA",Algorithms!$A:$A,0)),0)*Z189</f>
        <v>0</v>
      </c>
      <c r="CR189" s="266">
        <f ca="1">Q189*IFERROR(INDEX(Algorithms!$G:$G,MATCH($C189&amp;"_Therm Saved per Unit- MLA",Algorithms!$A:$A,0)),0)*AA189</f>
        <v>0</v>
      </c>
      <c r="CS189" s="266">
        <f ca="1">IFERROR(INDEX(Algorithms!$G:$G,MATCH($C189&amp;"_Lifetime (years)",Algorithms!$A:$A,0)),0)</f>
        <v>2</v>
      </c>
      <c r="CT189" s="266">
        <f ca="1">IFERROR(INDEX(Algorithms!$G:$G,MATCH($C189&amp;"_Lifetime (years) - Remaining Years",Algorithms!$A:$A,0)),0)</f>
        <v>0</v>
      </c>
      <c r="CU189" s="266">
        <f t="shared" ca="1" si="121"/>
        <v>17553.737600000004</v>
      </c>
      <c r="CV189" s="266">
        <f t="shared" ca="1" si="122"/>
        <v>15783.612800000001</v>
      </c>
      <c r="CW189" s="266">
        <f t="shared" ca="1" si="123"/>
        <v>14013.488000000001</v>
      </c>
      <c r="CX189" s="266">
        <f t="shared" ca="1" si="124"/>
        <v>12243.3632</v>
      </c>
    </row>
    <row r="190" spans="2:102" s="47" customFormat="1" ht="18" customHeight="1" x14ac:dyDescent="0.25">
      <c r="B190" t="str">
        <f t="shared" si="125"/>
        <v>NSG_Residential_Multi-Family_Direct Install_Programmable Thermostat_Furnace (DI)_MF</v>
      </c>
      <c r="C190" s="47" t="str">
        <f t="shared" si="86"/>
        <v>Programmable Thermostat_Furnace (DI)_MF</v>
      </c>
      <c r="D190" s="270" t="s">
        <v>1787</v>
      </c>
      <c r="E190" s="270" t="s">
        <v>2</v>
      </c>
      <c r="F190" s="270" t="s">
        <v>1422</v>
      </c>
      <c r="G190" s="270" t="s">
        <v>4</v>
      </c>
      <c r="H190" s="270" t="s">
        <v>224</v>
      </c>
      <c r="I190" s="270" t="s">
        <v>1038</v>
      </c>
      <c r="J190" s="270" t="s">
        <v>553</v>
      </c>
      <c r="K190" s="263">
        <v>1</v>
      </c>
      <c r="L190" s="263" t="str">
        <f ca="1">IFERROR(INDEX(Algorithms!J:J,MATCH($C190&amp;"_Therm Saved per Unit",Algorithms!$A:$A,0)),"n/a")</f>
        <v>5.3.11</v>
      </c>
      <c r="M190" s="263" t="str">
        <f>IFERROR(INDEX('Measure Level Detail'!$N:$N,MATCH($B190,'Measure Level Detail'!$B:$B,0)),0)</f>
        <v>each</v>
      </c>
      <c r="N190" s="271">
        <f>IFERROR(INDEX('Measure Level Detail'!$P:$P,MATCH($B190&amp;"_"&amp;N$3,'Measure Level Detail'!$C:$C,0)),0)</f>
        <v>118</v>
      </c>
      <c r="O190" s="271">
        <f>IFERROR(INDEX('Measure Level Detail'!$P:$P,MATCH($B190&amp;"_"&amp;O$3,'Measure Level Detail'!$C:$C,0)),0)</f>
        <v>118</v>
      </c>
      <c r="P190" s="271">
        <f>IFERROR(INDEX('Measure Level Detail'!$P:$P,MATCH($B190&amp;"_"&amp;P$3,'Measure Level Detail'!$C:$C,0)),0)</f>
        <v>118</v>
      </c>
      <c r="Q190" s="271">
        <f>IFERROR(INDEX('Measure Level Detail'!$P:$P,MATCH($B190&amp;"_"&amp;Q$3,'Measure Level Detail'!$C:$C,0)),0)</f>
        <v>118</v>
      </c>
      <c r="R190" s="263" t="str">
        <f ca="1">IFERROR(INDEX(Algorithms!K:K,MATCH($C190&amp;"_Therm Saved per Unit",Algorithms!$A:$A,0)),"n/a")</f>
        <v>RS-HVC-PROG-V08-220101</v>
      </c>
      <c r="S190" s="262"/>
      <c r="T190" s="272">
        <v>40.5015</v>
      </c>
      <c r="U190" s="272">
        <v>40.5015</v>
      </c>
      <c r="V190" s="272">
        <v>40.5015</v>
      </c>
      <c r="W190" s="272">
        <v>40.5015</v>
      </c>
      <c r="X190" s="273">
        <f>IFERROR(INDEX('Measure Level Detail'!$R:$R,MATCH($B190&amp;"_"&amp;X$3,'Measure Level Detail'!$C:$C,0)),0)</f>
        <v>0.96</v>
      </c>
      <c r="Y190" s="273">
        <f>IFERROR(INDEX('Measure Level Detail'!$R:$R,MATCH($B190&amp;"_"&amp;Y$3,'Measure Level Detail'!$C:$C,0)),0)</f>
        <v>0.96</v>
      </c>
      <c r="Z190" s="273">
        <f>IFERROR(INDEX('Measure Level Detail'!$R:$R,MATCH($B190&amp;"_"&amp;Z$3,'Measure Level Detail'!$C:$C,0)),0)</f>
        <v>0.96</v>
      </c>
      <c r="AA190" s="273">
        <f>IFERROR(INDEX('Measure Level Detail'!$R:$R,MATCH($B190&amp;"_"&amp;AA$3,'Measure Level Detail'!$C:$C,0)),0)</f>
        <v>0.96</v>
      </c>
      <c r="AB190" s="266">
        <f t="shared" si="87"/>
        <v>4588.0099199999995</v>
      </c>
      <c r="AC190" s="266">
        <f t="shared" si="88"/>
        <v>4588.0099199999995</v>
      </c>
      <c r="AD190" s="266">
        <f t="shared" si="89"/>
        <v>4588.0099199999995</v>
      </c>
      <c r="AE190" s="266">
        <f t="shared" si="90"/>
        <v>4588.0099199999995</v>
      </c>
      <c r="AF190" s="266">
        <f t="shared" si="91"/>
        <v>18352.039679999998</v>
      </c>
      <c r="AG190" s="274">
        <v>0.96</v>
      </c>
      <c r="AH190" s="274">
        <v>0.96</v>
      </c>
      <c r="AI190" s="274">
        <v>0.96</v>
      </c>
      <c r="AJ190" s="274">
        <v>0.96</v>
      </c>
      <c r="AK190" s="274">
        <f t="shared" si="92"/>
        <v>0.96</v>
      </c>
      <c r="AL190" s="274">
        <f t="shared" si="93"/>
        <v>0.96</v>
      </c>
      <c r="AM190" s="274">
        <f t="shared" si="94"/>
        <v>0.96</v>
      </c>
      <c r="AN190" s="274">
        <f t="shared" si="95"/>
        <v>0.96</v>
      </c>
      <c r="AO190" s="262"/>
      <c r="AP190" s="262"/>
      <c r="AQ190" s="267">
        <v>40.5015</v>
      </c>
      <c r="AR190" s="262"/>
      <c r="AS190" s="266">
        <f t="shared" si="96"/>
        <v>4588.0099199999995</v>
      </c>
      <c r="AT190" s="264">
        <f t="shared" si="97"/>
        <v>0</v>
      </c>
      <c r="AU190" s="262"/>
      <c r="AV190" s="262"/>
      <c r="AW190" s="265">
        <v>40.5015</v>
      </c>
      <c r="AX190" s="164" t="s">
        <v>1469</v>
      </c>
      <c r="AY190" s="266">
        <v>4588.0099199999995</v>
      </c>
      <c r="AZ190" s="266">
        <f t="shared" si="98"/>
        <v>4588.0099199999995</v>
      </c>
      <c r="BA190" s="264">
        <f t="shared" si="99"/>
        <v>0</v>
      </c>
      <c r="BB190" s="262"/>
      <c r="BC190" s="262"/>
      <c r="BD190" s="265">
        <f ca="1">IFERROR(INDEX(Algorithms!$G:$G,MATCH($C190&amp;"_Therm Saved per Unit",Algorithms!$A:$A,0)),0)</f>
        <v>40.5015</v>
      </c>
      <c r="BE190" s="164" t="str">
        <f ca="1">IFERROR(INDEX('v12 Revisions'!$P$29:$P$186, MATCH('Measure-Level Adj Gas'!$L190, 'v12 Revisions'!$D$29:$D$186,0)),"")</f>
        <v/>
      </c>
      <c r="BF190" s="266">
        <f t="shared" ca="1" si="100"/>
        <v>4588.0099199999995</v>
      </c>
      <c r="BG190" s="264">
        <f t="shared" ca="1" si="101"/>
        <v>0</v>
      </c>
      <c r="BH190" s="262"/>
      <c r="BI190" s="262"/>
      <c r="BJ190" s="265">
        <f ca="1">IFERROR(INDEX(Algorithms!$G:$G,MATCH($C190&amp;"_Therm Saved per Unit",Algorithms!$A:$A,0)),0)</f>
        <v>40.5015</v>
      </c>
      <c r="BK190" s="164"/>
      <c r="BL190" s="266">
        <f t="shared" ca="1" si="102"/>
        <v>4588.0099199999995</v>
      </c>
      <c r="BM190" s="264">
        <f t="shared" ca="1" si="103"/>
        <v>0</v>
      </c>
      <c r="BN190" s="266">
        <f t="shared" si="104"/>
        <v>4588.0099199999995</v>
      </c>
      <c r="BO190" s="266">
        <f t="shared" si="105"/>
        <v>4588.0099199999995</v>
      </c>
      <c r="BP190" s="266">
        <f t="shared" ca="1" si="106"/>
        <v>4588.0099199999995</v>
      </c>
      <c r="BQ190" s="266">
        <f t="shared" ca="1" si="107"/>
        <v>4588.0099199999995</v>
      </c>
      <c r="BR190" s="268">
        <f t="shared" ca="1" si="108"/>
        <v>18352.039679999998</v>
      </c>
      <c r="BS190" s="262" t="s">
        <v>99</v>
      </c>
      <c r="BT190" s="277"/>
      <c r="BW190" s="266">
        <f t="shared" si="109"/>
        <v>4588.0099199999995</v>
      </c>
      <c r="BX190" s="266">
        <f t="shared" si="110"/>
        <v>4588.0099199999995</v>
      </c>
      <c r="BY190" s="266">
        <f t="shared" si="111"/>
        <v>4588.0099199999995</v>
      </c>
      <c r="BZ190" s="266">
        <f t="shared" si="112"/>
        <v>4588.0099199999995</v>
      </c>
      <c r="CA190" s="266">
        <f ca="1">N190*IFERROR(INDEX(Algorithms!$G:$G,MATCH($C190&amp;"_Therm Saved per Unit- MLA",Algorithms!$A:$A,0)),0)*X190</f>
        <v>1284.6427776000003</v>
      </c>
      <c r="CB190" s="266">
        <f ca="1">O190*IFERROR(INDEX(Algorithms!$G:$G,MATCH($C190&amp;"_Therm Saved per Unit- MLA",Algorithms!$A:$A,0)),0)*Y190</f>
        <v>1284.6427776000003</v>
      </c>
      <c r="CC190" s="266">
        <f ca="1">P190*IFERROR(INDEX(Algorithms!$G:$G,MATCH($C190&amp;"_Therm Saved per Unit- MLA",Algorithms!$A:$A,0)),0)*Z190</f>
        <v>1284.6427776000003</v>
      </c>
      <c r="CD190" s="266">
        <f ca="1">Q190*IFERROR(INDEX(Algorithms!$G:$G,MATCH($C190&amp;"_Therm Saved per Unit- MLA",Algorithms!$A:$A,0)),0)*AA190</f>
        <v>1284.6427776000003</v>
      </c>
      <c r="CE190" s="266">
        <f ca="1">IFERROR(INDEX(Algorithms!$G:$G,MATCH($C190&amp;"_Lifetime (years)",Algorithms!$A:$A,0)),0)</f>
        <v>16</v>
      </c>
      <c r="CF190" s="266">
        <f ca="1">IFERROR(INDEX(Algorithms!$G:$G,MATCH($C190&amp;"_Lifetime (years) - Remaining Years",Algorithms!$A:$A,0)),0)</f>
        <v>5</v>
      </c>
      <c r="CG190" s="266">
        <f t="shared" ca="1" si="113"/>
        <v>37071.120153600001</v>
      </c>
      <c r="CH190" s="266">
        <f t="shared" ca="1" si="114"/>
        <v>37071.120153600001</v>
      </c>
      <c r="CI190" s="266">
        <f t="shared" ca="1" si="115"/>
        <v>37071.120153600001</v>
      </c>
      <c r="CJ190" s="266">
        <f t="shared" ca="1" si="116"/>
        <v>37071.120153600001</v>
      </c>
      <c r="CK190" s="266">
        <f t="shared" si="117"/>
        <v>4588.0099199999995</v>
      </c>
      <c r="CL190" s="266">
        <f t="shared" si="118"/>
        <v>4588.0099199999995</v>
      </c>
      <c r="CM190" s="266">
        <f t="shared" ca="1" si="119"/>
        <v>4588.0099199999995</v>
      </c>
      <c r="CN190" s="266">
        <f t="shared" ca="1" si="120"/>
        <v>4588.0099199999995</v>
      </c>
      <c r="CO190" s="266">
        <f ca="1">N190*IFERROR(INDEX(Algorithms!$G:$G,MATCH($C190&amp;"_Therm Saved per Unit- MLA",Algorithms!$A:$A,0)),0)*X190</f>
        <v>1284.6427776000003</v>
      </c>
      <c r="CP190" s="266">
        <f ca="1">O190*IFERROR(INDEX(Algorithms!$G:$G,MATCH($C190&amp;"_Therm Saved per Unit- MLA",Algorithms!$A:$A,0)),0)*Y190</f>
        <v>1284.6427776000003</v>
      </c>
      <c r="CQ190" s="266">
        <f ca="1">P190*IFERROR(INDEX(Algorithms!$G:$G,MATCH($C190&amp;"_Therm Saved per Unit- MLA",Algorithms!$A:$A,0)),0)*Z190</f>
        <v>1284.6427776000003</v>
      </c>
      <c r="CR190" s="266">
        <f ca="1">Q190*IFERROR(INDEX(Algorithms!$G:$G,MATCH($C190&amp;"_Therm Saved per Unit- MLA",Algorithms!$A:$A,0)),0)*AA190</f>
        <v>1284.6427776000003</v>
      </c>
      <c r="CS190" s="266">
        <f ca="1">IFERROR(INDEX(Algorithms!$G:$G,MATCH($C190&amp;"_Lifetime (years)",Algorithms!$A:$A,0)),0)</f>
        <v>16</v>
      </c>
      <c r="CT190" s="266">
        <f ca="1">IFERROR(INDEX(Algorithms!$G:$G,MATCH($C190&amp;"_Lifetime (years) - Remaining Years",Algorithms!$A:$A,0)),0)</f>
        <v>5</v>
      </c>
      <c r="CU190" s="266">
        <f t="shared" ca="1" si="121"/>
        <v>37071.120153600001</v>
      </c>
      <c r="CV190" s="266">
        <f t="shared" ca="1" si="122"/>
        <v>37071.120153600001</v>
      </c>
      <c r="CW190" s="266">
        <f t="shared" ca="1" si="123"/>
        <v>37071.120153600001</v>
      </c>
      <c r="CX190" s="266">
        <f t="shared" ca="1" si="124"/>
        <v>37071.120153600001</v>
      </c>
    </row>
    <row r="191" spans="2:102" s="47" customFormat="1" ht="18" customHeight="1" x14ac:dyDescent="0.25">
      <c r="B191" t="str">
        <f t="shared" si="125"/>
        <v>NSG_Residential_Multi-Family_Partner Trade Ally Rebate_Boiler_≥88% AFUE, &lt;300MBh_MF</v>
      </c>
      <c r="C191" s="47" t="str">
        <f t="shared" si="86"/>
        <v>Boiler_≥88% AFUE, &lt;300MBh_MF</v>
      </c>
      <c r="D191" s="270" t="s">
        <v>1787</v>
      </c>
      <c r="E191" s="270" t="s">
        <v>2</v>
      </c>
      <c r="F191" s="270" t="s">
        <v>1422</v>
      </c>
      <c r="G191" s="270" t="s">
        <v>1799</v>
      </c>
      <c r="H191" s="270" t="s">
        <v>944</v>
      </c>
      <c r="I191" s="270" t="s">
        <v>945</v>
      </c>
      <c r="J191" s="270" t="s">
        <v>553</v>
      </c>
      <c r="K191" s="263">
        <v>1</v>
      </c>
      <c r="L191" s="263" t="str">
        <f ca="1">IFERROR(INDEX(Algorithms!J:J,MATCH($C191&amp;"_Therm Saved per Unit",Algorithms!$A:$A,0)),"n/a")</f>
        <v>4.4.10</v>
      </c>
      <c r="M191" s="263" t="str">
        <f>IFERROR(INDEX('Measure Level Detail'!$N:$N,MATCH($B191,'Measure Level Detail'!$B:$B,0)),0)</f>
        <v>MBH</v>
      </c>
      <c r="N191" s="271">
        <f>IFERROR(INDEX('Measure Level Detail'!$P:$P,MATCH($B191&amp;"_"&amp;N$3,'Measure Level Detail'!$C:$C,0)),0)</f>
        <v>100</v>
      </c>
      <c r="O191" s="271">
        <f>IFERROR(INDEX('Measure Level Detail'!$P:$P,MATCH($B191&amp;"_"&amp;O$3,'Measure Level Detail'!$C:$C,0)),0)</f>
        <v>100</v>
      </c>
      <c r="P191" s="271">
        <f>IFERROR(INDEX('Measure Level Detail'!$P:$P,MATCH($B191&amp;"_"&amp;P$3,'Measure Level Detail'!$C:$C,0)),0)</f>
        <v>100</v>
      </c>
      <c r="Q191" s="271">
        <f>IFERROR(INDEX('Measure Level Detail'!$P:$P,MATCH($B191&amp;"_"&amp;Q$3,'Measure Level Detail'!$C:$C,0)),0)</f>
        <v>100</v>
      </c>
      <c r="R191" s="263" t="str">
        <f ca="1">IFERROR(INDEX(Algorithms!K:K,MATCH($C191&amp;"_Therm Saved per Unit",Algorithms!$A:$A,0)),"n/a")</f>
        <v>CI-HVC-BOIL-V11-240101</v>
      </c>
      <c r="S191" s="262"/>
      <c r="T191" s="272">
        <v>0.79095238095238163</v>
      </c>
      <c r="U191" s="272">
        <v>0.79095238095238163</v>
      </c>
      <c r="V191" s="272">
        <v>0.79095238095238163</v>
      </c>
      <c r="W191" s="272">
        <v>0.79095238095238163</v>
      </c>
      <c r="X191" s="273">
        <f>IFERROR(INDEX('Measure Level Detail'!$R:$R,MATCH($B191&amp;"_"&amp;X$3,'Measure Level Detail'!$C:$C,0)),0)</f>
        <v>0.87</v>
      </c>
      <c r="Y191" s="273">
        <f>IFERROR(INDEX('Measure Level Detail'!$R:$R,MATCH($B191&amp;"_"&amp;Y$3,'Measure Level Detail'!$C:$C,0)),0)</f>
        <v>0.87</v>
      </c>
      <c r="Z191" s="273">
        <f>IFERROR(INDEX('Measure Level Detail'!$R:$R,MATCH($B191&amp;"_"&amp;Z$3,'Measure Level Detail'!$C:$C,0)),0)</f>
        <v>0.87</v>
      </c>
      <c r="AA191" s="273">
        <f>IFERROR(INDEX('Measure Level Detail'!$R:$R,MATCH($B191&amp;"_"&amp;AA$3,'Measure Level Detail'!$C:$C,0)),0)</f>
        <v>0.87</v>
      </c>
      <c r="AB191" s="266">
        <f t="shared" si="87"/>
        <v>68.812857142857197</v>
      </c>
      <c r="AC191" s="266">
        <f t="shared" si="88"/>
        <v>68.812857142857197</v>
      </c>
      <c r="AD191" s="266">
        <f t="shared" si="89"/>
        <v>68.812857142857197</v>
      </c>
      <c r="AE191" s="266">
        <f t="shared" si="90"/>
        <v>68.812857142857197</v>
      </c>
      <c r="AF191" s="266">
        <f t="shared" si="91"/>
        <v>275.25142857142879</v>
      </c>
      <c r="AG191" s="274">
        <v>0.87</v>
      </c>
      <c r="AH191" s="274">
        <v>0.87</v>
      </c>
      <c r="AI191" s="710">
        <v>0.88</v>
      </c>
      <c r="AJ191" s="710">
        <v>0.88</v>
      </c>
      <c r="AK191" s="274">
        <f t="shared" si="92"/>
        <v>0.87</v>
      </c>
      <c r="AL191" s="274">
        <f t="shared" si="93"/>
        <v>0.87</v>
      </c>
      <c r="AM191" s="274">
        <f t="shared" si="94"/>
        <v>0.87</v>
      </c>
      <c r="AN191" s="274">
        <f t="shared" si="95"/>
        <v>0.87</v>
      </c>
      <c r="AO191" s="262"/>
      <c r="AP191" s="262"/>
      <c r="AQ191" s="267">
        <v>0.79095238095238163</v>
      </c>
      <c r="AR191" s="262"/>
      <c r="AS191" s="266">
        <f t="shared" si="96"/>
        <v>68.812857142857197</v>
      </c>
      <c r="AT191" s="264">
        <f t="shared" si="97"/>
        <v>0</v>
      </c>
      <c r="AU191" s="262"/>
      <c r="AV191" s="262"/>
      <c r="AW191" s="265">
        <v>0.79095238095238163</v>
      </c>
      <c r="AX191" s="164" t="s">
        <v>1469</v>
      </c>
      <c r="AY191" s="266">
        <v>68.812857142857197</v>
      </c>
      <c r="AZ191" s="266">
        <f t="shared" si="98"/>
        <v>68.812857142857197</v>
      </c>
      <c r="BA191" s="264">
        <f t="shared" si="99"/>
        <v>0</v>
      </c>
      <c r="BB191" s="262"/>
      <c r="BC191" s="262"/>
      <c r="BD191" s="265">
        <f ca="1">IFERROR(INDEX(Algorithms!$G:$G,MATCH($C191&amp;"_Therm Saved per Unit",Algorithms!$A:$A,0)),0)</f>
        <v>0.79095238095238163</v>
      </c>
      <c r="BE191" s="164" t="str">
        <f ca="1">IFERROR(INDEX('v12 Revisions'!$P$29:$P$186, MATCH('Measure-Level Adj Gas'!$L191, 'v12 Revisions'!$D$29:$D$186,0)),"")</f>
        <v>Updated baseline and efficient boiler efficiency ratings.</v>
      </c>
      <c r="BF191" s="266">
        <f t="shared" ca="1" si="100"/>
        <v>68.812857142857197</v>
      </c>
      <c r="BG191" s="264">
        <f t="shared" ca="1" si="101"/>
        <v>0</v>
      </c>
      <c r="BH191" s="262"/>
      <c r="BI191" s="262"/>
      <c r="BJ191" s="265">
        <f ca="1">IFERROR(INDEX(Algorithms!$G:$G,MATCH($C191&amp;"_Therm Saved per Unit",Algorithms!$A:$A,0)),0)</f>
        <v>0.79095238095238163</v>
      </c>
      <c r="BK191" s="164"/>
      <c r="BL191" s="266">
        <f t="shared" ca="1" si="102"/>
        <v>68.812857142857197</v>
      </c>
      <c r="BM191" s="264">
        <f t="shared" ca="1" si="103"/>
        <v>0</v>
      </c>
      <c r="BN191" s="266">
        <f t="shared" si="104"/>
        <v>68.812857142857197</v>
      </c>
      <c r="BO191" s="266">
        <f t="shared" si="105"/>
        <v>68.812857142857197</v>
      </c>
      <c r="BP191" s="266">
        <f t="shared" ca="1" si="106"/>
        <v>68.812857142857197</v>
      </c>
      <c r="BQ191" s="266">
        <f t="shared" ca="1" si="107"/>
        <v>68.812857142857197</v>
      </c>
      <c r="BR191" s="268">
        <f t="shared" ca="1" si="108"/>
        <v>275.25142857142879</v>
      </c>
      <c r="BS191" s="262" t="s">
        <v>99</v>
      </c>
      <c r="BT191" s="277"/>
      <c r="BW191" s="266">
        <f t="shared" si="109"/>
        <v>68.812857142857197</v>
      </c>
      <c r="BX191" s="266">
        <f t="shared" si="110"/>
        <v>68.812857142857197</v>
      </c>
      <c r="BY191" s="266">
        <f t="shared" si="111"/>
        <v>68.812857142857197</v>
      </c>
      <c r="BZ191" s="266">
        <f t="shared" si="112"/>
        <v>68.812857142857197</v>
      </c>
      <c r="CA191" s="266">
        <f ca="1">N191*IFERROR(INDEX(Algorithms!$G:$G,MATCH($C191&amp;"_Therm Saved per Unit- MLA",Algorithms!$A:$A,0)),0)*X191</f>
        <v>0</v>
      </c>
      <c r="CB191" s="266">
        <f ca="1">O191*IFERROR(INDEX(Algorithms!$G:$G,MATCH($C191&amp;"_Therm Saved per Unit- MLA",Algorithms!$A:$A,0)),0)*Y191</f>
        <v>0</v>
      </c>
      <c r="CC191" s="266">
        <f ca="1">P191*IFERROR(INDEX(Algorithms!$G:$G,MATCH($C191&amp;"_Therm Saved per Unit- MLA",Algorithms!$A:$A,0)),0)*Z191</f>
        <v>0</v>
      </c>
      <c r="CD191" s="266">
        <f ca="1">Q191*IFERROR(INDEX(Algorithms!$G:$G,MATCH($C191&amp;"_Therm Saved per Unit- MLA",Algorithms!$A:$A,0)),0)*AA191</f>
        <v>0</v>
      </c>
      <c r="CE191" s="266">
        <f ca="1">IFERROR(INDEX(Algorithms!$G:$G,MATCH($C191&amp;"_Lifetime (years)",Algorithms!$A:$A,0)),0)</f>
        <v>25</v>
      </c>
      <c r="CF191" s="266">
        <f ca="1">IFERROR(INDEX(Algorithms!$G:$G,MATCH($C191&amp;"_Lifetime (years) - Remaining Years",Algorithms!$A:$A,0)),0)</f>
        <v>0</v>
      </c>
      <c r="CG191" s="266">
        <f t="shared" ca="1" si="113"/>
        <v>1720.32142857143</v>
      </c>
      <c r="CH191" s="266">
        <f t="shared" ca="1" si="114"/>
        <v>1720.32142857143</v>
      </c>
      <c r="CI191" s="266">
        <f t="shared" ca="1" si="115"/>
        <v>1720.32142857143</v>
      </c>
      <c r="CJ191" s="266">
        <f t="shared" ca="1" si="116"/>
        <v>1720.32142857143</v>
      </c>
      <c r="CK191" s="266">
        <f t="shared" si="117"/>
        <v>68.812857142857197</v>
      </c>
      <c r="CL191" s="266">
        <f t="shared" si="118"/>
        <v>68.812857142857197</v>
      </c>
      <c r="CM191" s="266">
        <f t="shared" ca="1" si="119"/>
        <v>68.812857142857197</v>
      </c>
      <c r="CN191" s="266">
        <f t="shared" ca="1" si="120"/>
        <v>68.812857142857197</v>
      </c>
      <c r="CO191" s="266">
        <f ca="1">N191*IFERROR(INDEX(Algorithms!$G:$G,MATCH($C191&amp;"_Therm Saved per Unit- MLA",Algorithms!$A:$A,0)),0)*X191</f>
        <v>0</v>
      </c>
      <c r="CP191" s="266">
        <f ca="1">O191*IFERROR(INDEX(Algorithms!$G:$G,MATCH($C191&amp;"_Therm Saved per Unit- MLA",Algorithms!$A:$A,0)),0)*Y191</f>
        <v>0</v>
      </c>
      <c r="CQ191" s="266">
        <f ca="1">P191*IFERROR(INDEX(Algorithms!$G:$G,MATCH($C191&amp;"_Therm Saved per Unit- MLA",Algorithms!$A:$A,0)),0)*Z191</f>
        <v>0</v>
      </c>
      <c r="CR191" s="266">
        <f ca="1">Q191*IFERROR(INDEX(Algorithms!$G:$G,MATCH($C191&amp;"_Therm Saved per Unit- MLA",Algorithms!$A:$A,0)),0)*AA191</f>
        <v>0</v>
      </c>
      <c r="CS191" s="266">
        <f ca="1">IFERROR(INDEX(Algorithms!$G:$G,MATCH($C191&amp;"_Lifetime (years)",Algorithms!$A:$A,0)),0)</f>
        <v>25</v>
      </c>
      <c r="CT191" s="266">
        <f ca="1">IFERROR(INDEX(Algorithms!$G:$G,MATCH($C191&amp;"_Lifetime (years) - Remaining Years",Algorithms!$A:$A,0)),0)</f>
        <v>0</v>
      </c>
      <c r="CU191" s="266">
        <f t="shared" ca="1" si="121"/>
        <v>1720.32142857143</v>
      </c>
      <c r="CV191" s="266">
        <f t="shared" ca="1" si="122"/>
        <v>1720.32142857143</v>
      </c>
      <c r="CW191" s="266">
        <f t="shared" ca="1" si="123"/>
        <v>1720.32142857143</v>
      </c>
      <c r="CX191" s="266">
        <f t="shared" ca="1" si="124"/>
        <v>1720.32142857143</v>
      </c>
    </row>
    <row r="192" spans="2:102" s="47" customFormat="1" ht="18" customHeight="1" x14ac:dyDescent="0.25">
      <c r="B192" t="str">
        <f t="shared" si="125"/>
        <v>NSG_Residential_Multi-Family_Partner Trade Ally Rebate_On Demand DHW Circulation System_0_MF</v>
      </c>
      <c r="C192" s="47" t="str">
        <f t="shared" si="86"/>
        <v>On Demand DHW Circulation System_0_MF</v>
      </c>
      <c r="D192" s="270" t="s">
        <v>1787</v>
      </c>
      <c r="E192" s="270" t="s">
        <v>2</v>
      </c>
      <c r="F192" s="270" t="s">
        <v>1422</v>
      </c>
      <c r="G192" s="270" t="s">
        <v>1799</v>
      </c>
      <c r="H192" s="270" t="s">
        <v>1075</v>
      </c>
      <c r="I192" s="270">
        <v>0</v>
      </c>
      <c r="J192" s="270" t="s">
        <v>553</v>
      </c>
      <c r="K192" s="263">
        <v>1</v>
      </c>
      <c r="L192" s="263" t="str">
        <f ca="1">IFERROR(INDEX(Algorithms!J:J,MATCH($C192&amp;"_Therm Saved per Unit",Algorithms!$A:$A,0)),"n/a")</f>
        <v>4.3.8</v>
      </c>
      <c r="M192" s="263" t="str">
        <f>IFERROR(INDEX('Measure Level Detail'!$N:$N,MATCH($B192,'Measure Level Detail'!$B:$B,0)),0)</f>
        <v>living unit</v>
      </c>
      <c r="N192" s="271">
        <f>IFERROR(INDEX('Measure Level Detail'!$P:$P,MATCH($B192&amp;"_"&amp;N$3,'Measure Level Detail'!$C:$C,0)),0)</f>
        <v>100</v>
      </c>
      <c r="O192" s="271">
        <f>IFERROR(INDEX('Measure Level Detail'!$P:$P,MATCH($B192&amp;"_"&amp;O$3,'Measure Level Detail'!$C:$C,0)),0)</f>
        <v>100</v>
      </c>
      <c r="P192" s="271">
        <f>IFERROR(INDEX('Measure Level Detail'!$P:$P,MATCH($B192&amp;"_"&amp;P$3,'Measure Level Detail'!$C:$C,0)),0)</f>
        <v>100</v>
      </c>
      <c r="Q192" s="271">
        <f>IFERROR(INDEX('Measure Level Detail'!$P:$P,MATCH($B192&amp;"_"&amp;Q$3,'Measure Level Detail'!$C:$C,0)),0)</f>
        <v>100</v>
      </c>
      <c r="R192" s="263" t="str">
        <f ca="1">IFERROR(INDEX(Algorithms!K:K,MATCH($C192&amp;"_Therm Saved per Unit",Algorithms!$A:$A,0)),"n/a")</f>
        <v>CI-HWE-CDHW-V06-240101</v>
      </c>
      <c r="S192" s="262"/>
      <c r="T192" s="272">
        <v>62.687100553999997</v>
      </c>
      <c r="U192" s="272">
        <v>62.687100553999997</v>
      </c>
      <c r="V192" s="272">
        <v>62.687100553999997</v>
      </c>
      <c r="W192" s="272">
        <v>62.687100553999997</v>
      </c>
      <c r="X192" s="273">
        <f>IFERROR(INDEX('Measure Level Detail'!$R:$R,MATCH($B192&amp;"_"&amp;X$3,'Measure Level Detail'!$C:$C,0)),0)</f>
        <v>0.87</v>
      </c>
      <c r="Y192" s="273">
        <f>IFERROR(INDEX('Measure Level Detail'!$R:$R,MATCH($B192&amp;"_"&amp;Y$3,'Measure Level Detail'!$C:$C,0)),0)</f>
        <v>0.87</v>
      </c>
      <c r="Z192" s="273">
        <f>IFERROR(INDEX('Measure Level Detail'!$R:$R,MATCH($B192&amp;"_"&amp;Z$3,'Measure Level Detail'!$C:$C,0)),0)</f>
        <v>0.87</v>
      </c>
      <c r="AA192" s="273">
        <f>IFERROR(INDEX('Measure Level Detail'!$R:$R,MATCH($B192&amp;"_"&amp;AA$3,'Measure Level Detail'!$C:$C,0)),0)</f>
        <v>0.87</v>
      </c>
      <c r="AB192" s="266">
        <f t="shared" si="87"/>
        <v>5453.7777481980002</v>
      </c>
      <c r="AC192" s="266">
        <f t="shared" si="88"/>
        <v>5453.7777481980002</v>
      </c>
      <c r="AD192" s="266">
        <f t="shared" si="89"/>
        <v>5453.7777481980002</v>
      </c>
      <c r="AE192" s="266">
        <f t="shared" si="90"/>
        <v>5453.7777481980002</v>
      </c>
      <c r="AF192" s="266">
        <f t="shared" si="91"/>
        <v>21815.110992792001</v>
      </c>
      <c r="AG192" s="274">
        <v>0.87</v>
      </c>
      <c r="AH192" s="274">
        <v>0.87</v>
      </c>
      <c r="AI192" s="710">
        <v>0.88</v>
      </c>
      <c r="AJ192" s="710">
        <v>0.88</v>
      </c>
      <c r="AK192" s="274">
        <f t="shared" si="92"/>
        <v>0.87</v>
      </c>
      <c r="AL192" s="274">
        <f t="shared" si="93"/>
        <v>0.87</v>
      </c>
      <c r="AM192" s="274">
        <f t="shared" si="94"/>
        <v>0.87</v>
      </c>
      <c r="AN192" s="274">
        <f t="shared" si="95"/>
        <v>0.87</v>
      </c>
      <c r="AO192" s="262"/>
      <c r="AP192" s="262"/>
      <c r="AQ192" s="267">
        <v>62.687100553999997</v>
      </c>
      <c r="AR192" s="262"/>
      <c r="AS192" s="266">
        <f t="shared" si="96"/>
        <v>5453.7777481980002</v>
      </c>
      <c r="AT192" s="264">
        <f t="shared" si="97"/>
        <v>0</v>
      </c>
      <c r="AU192" s="262"/>
      <c r="AV192" s="262"/>
      <c r="AW192" s="265">
        <v>62.687100553999997</v>
      </c>
      <c r="AX192" s="164" t="s">
        <v>2400</v>
      </c>
      <c r="AY192" s="266">
        <v>5453.7777481980002</v>
      </c>
      <c r="AZ192" s="266">
        <f t="shared" si="98"/>
        <v>5453.7777481980002</v>
      </c>
      <c r="BA192" s="264">
        <f t="shared" si="99"/>
        <v>0</v>
      </c>
      <c r="BB192" s="262"/>
      <c r="BC192" s="262"/>
      <c r="BD192" s="265">
        <f ca="1">IFERROR(INDEX(Algorithms!$G:$G,MATCH($C192&amp;"_Therm Saved per Unit",Algorithms!$A:$A,0)),0)</f>
        <v>62.687100553999997</v>
      </c>
      <c r="BE192" s="164" t="str">
        <f ca="1">IFERROR(INDEX('v12 Revisions'!$P$29:$P$186, MATCH('Measure-Level Adj Gas'!$L192, 'v12 Revisions'!$D$29:$D$186,0)),"")</f>
        <v>Updated reduction(%) in total operating hours for normal and low occupancy period.</v>
      </c>
      <c r="BF192" s="266">
        <f t="shared" ca="1" si="100"/>
        <v>5453.7777481980002</v>
      </c>
      <c r="BG192" s="264">
        <f t="shared" ca="1" si="101"/>
        <v>0</v>
      </c>
      <c r="BH192" s="262"/>
      <c r="BI192" s="262"/>
      <c r="BJ192" s="265">
        <f ca="1">IFERROR(INDEX(Algorithms!$G:$G,MATCH($C192&amp;"_Therm Saved per Unit",Algorithms!$A:$A,0)),0)</f>
        <v>62.687100553999997</v>
      </c>
      <c r="BK192" s="164"/>
      <c r="BL192" s="266">
        <f t="shared" ca="1" si="102"/>
        <v>5453.7777481980002</v>
      </c>
      <c r="BM192" s="264">
        <f t="shared" ca="1" si="103"/>
        <v>0</v>
      </c>
      <c r="BN192" s="266">
        <f t="shared" si="104"/>
        <v>5453.7777481980002</v>
      </c>
      <c r="BO192" s="266">
        <f t="shared" si="105"/>
        <v>5453.7777481980002</v>
      </c>
      <c r="BP192" s="266">
        <f t="shared" ca="1" si="106"/>
        <v>5453.7777481980002</v>
      </c>
      <c r="BQ192" s="266">
        <f t="shared" ca="1" si="107"/>
        <v>5453.7777481980002</v>
      </c>
      <c r="BR192" s="268">
        <f t="shared" ca="1" si="108"/>
        <v>21815.110992792001</v>
      </c>
      <c r="BS192" s="262" t="s">
        <v>99</v>
      </c>
      <c r="BT192" s="277"/>
      <c r="BW192" s="266">
        <f t="shared" si="109"/>
        <v>5453.7777481980002</v>
      </c>
      <c r="BX192" s="266">
        <f t="shared" si="110"/>
        <v>5453.7777481980002</v>
      </c>
      <c r="BY192" s="266">
        <f t="shared" si="111"/>
        <v>5453.7777481980002</v>
      </c>
      <c r="BZ192" s="266">
        <f t="shared" si="112"/>
        <v>5453.7777481980002</v>
      </c>
      <c r="CA192" s="266">
        <f ca="1">N192*IFERROR(INDEX(Algorithms!$G:$G,MATCH($C192&amp;"_Therm Saved per Unit- MLA",Algorithms!$A:$A,0)),0)*X192</f>
        <v>0</v>
      </c>
      <c r="CB192" s="266">
        <f ca="1">O192*IFERROR(INDEX(Algorithms!$G:$G,MATCH($C192&amp;"_Therm Saved per Unit- MLA",Algorithms!$A:$A,0)),0)*Y192</f>
        <v>0</v>
      </c>
      <c r="CC192" s="266">
        <f ca="1">P192*IFERROR(INDEX(Algorithms!$G:$G,MATCH($C192&amp;"_Therm Saved per Unit- MLA",Algorithms!$A:$A,0)),0)*Z192</f>
        <v>0</v>
      </c>
      <c r="CD192" s="266">
        <f ca="1">Q192*IFERROR(INDEX(Algorithms!$G:$G,MATCH($C192&amp;"_Therm Saved per Unit- MLA",Algorithms!$A:$A,0)),0)*AA192</f>
        <v>0</v>
      </c>
      <c r="CE192" s="266">
        <f ca="1">IFERROR(INDEX(Algorithms!$G:$G,MATCH($C192&amp;"_Lifetime (years)",Algorithms!$A:$A,0)),0)</f>
        <v>15</v>
      </c>
      <c r="CF192" s="266">
        <f ca="1">IFERROR(INDEX(Algorithms!$G:$G,MATCH($C192&amp;"_Lifetime (years) - Remaining Years",Algorithms!$A:$A,0)),0)</f>
        <v>0</v>
      </c>
      <c r="CG192" s="266">
        <f t="shared" ca="1" si="113"/>
        <v>81806.666222970001</v>
      </c>
      <c r="CH192" s="266">
        <f t="shared" ca="1" si="114"/>
        <v>81806.666222970001</v>
      </c>
      <c r="CI192" s="266">
        <f t="shared" ca="1" si="115"/>
        <v>81806.666222970001</v>
      </c>
      <c r="CJ192" s="266">
        <f t="shared" ca="1" si="116"/>
        <v>81806.666222970001</v>
      </c>
      <c r="CK192" s="266">
        <f t="shared" si="117"/>
        <v>5453.7777481980002</v>
      </c>
      <c r="CL192" s="266">
        <f t="shared" si="118"/>
        <v>5453.7777481980002</v>
      </c>
      <c r="CM192" s="266">
        <f t="shared" ca="1" si="119"/>
        <v>5453.7777481980002</v>
      </c>
      <c r="CN192" s="266">
        <f t="shared" ca="1" si="120"/>
        <v>5453.7777481980002</v>
      </c>
      <c r="CO192" s="266">
        <f ca="1">N192*IFERROR(INDEX(Algorithms!$G:$G,MATCH($C192&amp;"_Therm Saved per Unit- MLA",Algorithms!$A:$A,0)),0)*X192</f>
        <v>0</v>
      </c>
      <c r="CP192" s="266">
        <f ca="1">O192*IFERROR(INDEX(Algorithms!$G:$G,MATCH($C192&amp;"_Therm Saved per Unit- MLA",Algorithms!$A:$A,0)),0)*Y192</f>
        <v>0</v>
      </c>
      <c r="CQ192" s="266">
        <f ca="1">P192*IFERROR(INDEX(Algorithms!$G:$G,MATCH($C192&amp;"_Therm Saved per Unit- MLA",Algorithms!$A:$A,0)),0)*Z192</f>
        <v>0</v>
      </c>
      <c r="CR192" s="266">
        <f ca="1">Q192*IFERROR(INDEX(Algorithms!$G:$G,MATCH($C192&amp;"_Therm Saved per Unit- MLA",Algorithms!$A:$A,0)),0)*AA192</f>
        <v>0</v>
      </c>
      <c r="CS192" s="266">
        <f ca="1">IFERROR(INDEX(Algorithms!$G:$G,MATCH($C192&amp;"_Lifetime (years)",Algorithms!$A:$A,0)),0)</f>
        <v>15</v>
      </c>
      <c r="CT192" s="266">
        <f ca="1">IFERROR(INDEX(Algorithms!$G:$G,MATCH($C192&amp;"_Lifetime (years) - Remaining Years",Algorithms!$A:$A,0)),0)</f>
        <v>0</v>
      </c>
      <c r="CU192" s="266">
        <f t="shared" ca="1" si="121"/>
        <v>81806.666222970001</v>
      </c>
      <c r="CV192" s="266">
        <f t="shared" ca="1" si="122"/>
        <v>81806.666222970001</v>
      </c>
      <c r="CW192" s="266">
        <f t="shared" ca="1" si="123"/>
        <v>81806.666222970001</v>
      </c>
      <c r="CX192" s="266">
        <f t="shared" ca="1" si="124"/>
        <v>81806.666222970001</v>
      </c>
    </row>
    <row r="193" spans="2:102" s="47" customFormat="1" ht="18" customHeight="1" x14ac:dyDescent="0.25">
      <c r="B193" t="str">
        <f t="shared" si="125"/>
        <v>NSG_Business_Small/Mid-Size Business_Rebates_Boiler_≥88% AFUE, &lt;300MBh_CI</v>
      </c>
      <c r="C193" s="47" t="str">
        <f t="shared" si="86"/>
        <v>Boiler_≥88% AFUE, &lt;300MBh_CI</v>
      </c>
      <c r="D193" s="270" t="s">
        <v>1787</v>
      </c>
      <c r="E193" s="270" t="s">
        <v>3</v>
      </c>
      <c r="F193" s="270" t="s">
        <v>1432</v>
      </c>
      <c r="G193" s="270" t="s">
        <v>1429</v>
      </c>
      <c r="H193" s="270" t="s">
        <v>944</v>
      </c>
      <c r="I193" s="270" t="s">
        <v>945</v>
      </c>
      <c r="J193" s="270" t="s">
        <v>1159</v>
      </c>
      <c r="K193" s="263">
        <v>1</v>
      </c>
      <c r="L193" s="263" t="str">
        <f ca="1">IFERROR(INDEX(Algorithms!J:J,MATCH($C193&amp;"_Therm Saved per Unit",Algorithms!$A:$A,0)),"n/a")</f>
        <v>4.4.10</v>
      </c>
      <c r="M193" s="263" t="str">
        <f>IFERROR(INDEX('Measure Level Detail'!$N:$N,MATCH($B193,'Measure Level Detail'!$B:$B,0)),0)</f>
        <v>MBH</v>
      </c>
      <c r="N193" s="271">
        <f>IFERROR(INDEX('Measure Level Detail'!$P:$P,MATCH($B193&amp;"_"&amp;N$3,'Measure Level Detail'!$C:$C,0)),0)</f>
        <v>100</v>
      </c>
      <c r="O193" s="271">
        <f>IFERROR(INDEX('Measure Level Detail'!$P:$P,MATCH($B193&amp;"_"&amp;O$3,'Measure Level Detail'!$C:$C,0)),0)</f>
        <v>100</v>
      </c>
      <c r="P193" s="271">
        <f>IFERROR(INDEX('Measure Level Detail'!$P:$P,MATCH($B193&amp;"_"&amp;P$3,'Measure Level Detail'!$C:$C,0)),0)</f>
        <v>100</v>
      </c>
      <c r="Q193" s="271">
        <f>IFERROR(INDEX('Measure Level Detail'!$P:$P,MATCH($B193&amp;"_"&amp;Q$3,'Measure Level Detail'!$C:$C,0)),0)</f>
        <v>100</v>
      </c>
      <c r="R193" s="263" t="str">
        <f ca="1">IFERROR(INDEX(Algorithms!K:K,MATCH($C193&amp;"_Therm Saved per Unit",Algorithms!$A:$A,0)),"n/a")</f>
        <v>CI-HVC-BOIL-V11-240101</v>
      </c>
      <c r="S193" s="262"/>
      <c r="T193" s="272">
        <v>0.79095238095238163</v>
      </c>
      <c r="U193" s="272">
        <v>0.79095238095238163</v>
      </c>
      <c r="V193" s="272">
        <v>0.79095238095238163</v>
      </c>
      <c r="W193" s="272">
        <v>0.79095238095238163</v>
      </c>
      <c r="X193" s="276">
        <v>0.93</v>
      </c>
      <c r="Y193" s="276">
        <v>0.93</v>
      </c>
      <c r="Z193" s="276">
        <v>0.93</v>
      </c>
      <c r="AA193" s="276">
        <v>0.93</v>
      </c>
      <c r="AB193" s="266">
        <f t="shared" si="87"/>
        <v>73.558571428571497</v>
      </c>
      <c r="AC193" s="266">
        <f t="shared" si="88"/>
        <v>73.558571428571497</v>
      </c>
      <c r="AD193" s="266">
        <f t="shared" si="89"/>
        <v>73.558571428571497</v>
      </c>
      <c r="AE193" s="266">
        <f t="shared" si="90"/>
        <v>73.558571428571497</v>
      </c>
      <c r="AF193" s="266">
        <f t="shared" si="91"/>
        <v>294.23428571428599</v>
      </c>
      <c r="AG193" s="274">
        <v>0.93</v>
      </c>
      <c r="AH193" s="274">
        <v>0.93</v>
      </c>
      <c r="AI193" s="274">
        <v>0.93</v>
      </c>
      <c r="AJ193" s="274">
        <v>0.93</v>
      </c>
      <c r="AK193" s="274">
        <f t="shared" si="92"/>
        <v>0.93</v>
      </c>
      <c r="AL193" s="274">
        <f t="shared" si="93"/>
        <v>0.93</v>
      </c>
      <c r="AM193" s="274">
        <f t="shared" si="94"/>
        <v>0.93</v>
      </c>
      <c r="AN193" s="274">
        <f t="shared" si="95"/>
        <v>0.93</v>
      </c>
      <c r="AO193" s="262"/>
      <c r="AP193" s="262"/>
      <c r="AQ193" s="267">
        <v>0.79095238095238163</v>
      </c>
      <c r="AR193" s="262"/>
      <c r="AS193" s="266">
        <f t="shared" si="96"/>
        <v>73.558571428571497</v>
      </c>
      <c r="AT193" s="264">
        <f t="shared" si="97"/>
        <v>0</v>
      </c>
      <c r="AU193" s="262"/>
      <c r="AV193" s="262"/>
      <c r="AW193" s="265">
        <v>0.79095238095238163</v>
      </c>
      <c r="AX193" s="164" t="s">
        <v>1469</v>
      </c>
      <c r="AY193" s="266">
        <v>73.558571428571497</v>
      </c>
      <c r="AZ193" s="266">
        <f t="shared" si="98"/>
        <v>73.558571428571497</v>
      </c>
      <c r="BA193" s="264">
        <f t="shared" si="99"/>
        <v>0</v>
      </c>
      <c r="BB193" s="262"/>
      <c r="BC193" s="262"/>
      <c r="BD193" s="265">
        <f ca="1">IFERROR(INDEX(Algorithms!$G:$G,MATCH($C193&amp;"_Therm Saved per Unit",Algorithms!$A:$A,0)),0)</f>
        <v>0.79095238095238163</v>
      </c>
      <c r="BE193" s="164" t="str">
        <f ca="1">IFERROR(INDEX('v12 Revisions'!$P$29:$P$186, MATCH('Measure-Level Adj Gas'!$L193, 'v12 Revisions'!$D$29:$D$186,0)),"")</f>
        <v>Updated baseline and efficient boiler efficiency ratings.</v>
      </c>
      <c r="BF193" s="266">
        <f t="shared" ca="1" si="100"/>
        <v>73.558571428571497</v>
      </c>
      <c r="BG193" s="264">
        <f t="shared" ca="1" si="101"/>
        <v>0</v>
      </c>
      <c r="BH193" s="262"/>
      <c r="BI193" s="262"/>
      <c r="BJ193" s="265">
        <f ca="1">IFERROR(INDEX(Algorithms!$G:$G,MATCH($C193&amp;"_Therm Saved per Unit",Algorithms!$A:$A,0)),0)</f>
        <v>0.79095238095238163</v>
      </c>
      <c r="BK193" s="164"/>
      <c r="BL193" s="266">
        <f t="shared" ca="1" si="102"/>
        <v>73.558571428571497</v>
      </c>
      <c r="BM193" s="264">
        <f t="shared" ca="1" si="103"/>
        <v>0</v>
      </c>
      <c r="BN193" s="266">
        <f t="shared" si="104"/>
        <v>73.558571428571497</v>
      </c>
      <c r="BO193" s="266">
        <f t="shared" si="105"/>
        <v>73.558571428571497</v>
      </c>
      <c r="BP193" s="266">
        <f t="shared" ca="1" si="106"/>
        <v>73.558571428571497</v>
      </c>
      <c r="BQ193" s="266">
        <f t="shared" ca="1" si="107"/>
        <v>73.558571428571497</v>
      </c>
      <c r="BR193" s="268">
        <f t="shared" ca="1" si="108"/>
        <v>294.23428571428599</v>
      </c>
      <c r="BS193" s="262" t="s">
        <v>99</v>
      </c>
      <c r="BT193" s="277"/>
      <c r="BW193" s="266">
        <f t="shared" si="109"/>
        <v>73.558571428571497</v>
      </c>
      <c r="BX193" s="266">
        <f t="shared" si="110"/>
        <v>73.558571428571497</v>
      </c>
      <c r="BY193" s="266">
        <f t="shared" si="111"/>
        <v>73.558571428571497</v>
      </c>
      <c r="BZ193" s="266">
        <f t="shared" si="112"/>
        <v>73.558571428571497</v>
      </c>
      <c r="CA193" s="266">
        <f ca="1">N193*IFERROR(INDEX(Algorithms!$G:$G,MATCH($C193&amp;"_Therm Saved per Unit- MLA",Algorithms!$A:$A,0)),0)*X193</f>
        <v>0</v>
      </c>
      <c r="CB193" s="266">
        <f ca="1">O193*IFERROR(INDEX(Algorithms!$G:$G,MATCH($C193&amp;"_Therm Saved per Unit- MLA",Algorithms!$A:$A,0)),0)*Y193</f>
        <v>0</v>
      </c>
      <c r="CC193" s="266">
        <f ca="1">P193*IFERROR(INDEX(Algorithms!$G:$G,MATCH($C193&amp;"_Therm Saved per Unit- MLA",Algorithms!$A:$A,0)),0)*Z193</f>
        <v>0</v>
      </c>
      <c r="CD193" s="266">
        <f ca="1">Q193*IFERROR(INDEX(Algorithms!$G:$G,MATCH($C193&amp;"_Therm Saved per Unit- MLA",Algorithms!$A:$A,0)),0)*AA193</f>
        <v>0</v>
      </c>
      <c r="CE193" s="266">
        <f ca="1">IFERROR(INDEX(Algorithms!$G:$G,MATCH($C193&amp;"_Lifetime (years)",Algorithms!$A:$A,0)),0)</f>
        <v>25</v>
      </c>
      <c r="CF193" s="266">
        <f ca="1">IFERROR(INDEX(Algorithms!$G:$G,MATCH($C193&amp;"_Lifetime (years) - Remaining Years",Algorithms!$A:$A,0)),0)</f>
        <v>0</v>
      </c>
      <c r="CG193" s="266">
        <f t="shared" ca="1" si="113"/>
        <v>1838.9642857142874</v>
      </c>
      <c r="CH193" s="266">
        <f t="shared" ca="1" si="114"/>
        <v>1838.9642857142874</v>
      </c>
      <c r="CI193" s="266">
        <f t="shared" ca="1" si="115"/>
        <v>1838.9642857142874</v>
      </c>
      <c r="CJ193" s="266">
        <f t="shared" ca="1" si="116"/>
        <v>1838.9642857142874</v>
      </c>
      <c r="CK193" s="266">
        <f t="shared" si="117"/>
        <v>73.558571428571497</v>
      </c>
      <c r="CL193" s="266">
        <f t="shared" si="118"/>
        <v>73.558571428571497</v>
      </c>
      <c r="CM193" s="266">
        <f t="shared" ca="1" si="119"/>
        <v>73.558571428571497</v>
      </c>
      <c r="CN193" s="266">
        <f t="shared" ca="1" si="120"/>
        <v>73.558571428571497</v>
      </c>
      <c r="CO193" s="266">
        <f ca="1">N193*IFERROR(INDEX(Algorithms!$G:$G,MATCH($C193&amp;"_Therm Saved per Unit- MLA",Algorithms!$A:$A,0)),0)*X193</f>
        <v>0</v>
      </c>
      <c r="CP193" s="266">
        <f ca="1">O193*IFERROR(INDEX(Algorithms!$G:$G,MATCH($C193&amp;"_Therm Saved per Unit- MLA",Algorithms!$A:$A,0)),0)*Y193</f>
        <v>0</v>
      </c>
      <c r="CQ193" s="266">
        <f ca="1">P193*IFERROR(INDEX(Algorithms!$G:$G,MATCH($C193&amp;"_Therm Saved per Unit- MLA",Algorithms!$A:$A,0)),0)*Z193</f>
        <v>0</v>
      </c>
      <c r="CR193" s="266">
        <f ca="1">Q193*IFERROR(INDEX(Algorithms!$G:$G,MATCH($C193&amp;"_Therm Saved per Unit- MLA",Algorithms!$A:$A,0)),0)*AA193</f>
        <v>0</v>
      </c>
      <c r="CS193" s="266">
        <f ca="1">IFERROR(INDEX(Algorithms!$G:$G,MATCH($C193&amp;"_Lifetime (years)",Algorithms!$A:$A,0)),0)</f>
        <v>25</v>
      </c>
      <c r="CT193" s="266">
        <f ca="1">IFERROR(INDEX(Algorithms!$G:$G,MATCH($C193&amp;"_Lifetime (years) - Remaining Years",Algorithms!$A:$A,0)),0)</f>
        <v>0</v>
      </c>
      <c r="CU193" s="266">
        <f t="shared" ca="1" si="121"/>
        <v>1838.9642857142874</v>
      </c>
      <c r="CV193" s="266">
        <f t="shared" ca="1" si="122"/>
        <v>1838.9642857142874</v>
      </c>
      <c r="CW193" s="266">
        <f t="shared" ca="1" si="123"/>
        <v>1838.9642857142874</v>
      </c>
      <c r="CX193" s="266">
        <f t="shared" ca="1" si="124"/>
        <v>1838.9642857142874</v>
      </c>
    </row>
    <row r="194" spans="2:102" s="47" customFormat="1" ht="18" customHeight="1" x14ac:dyDescent="0.25">
      <c r="B194" t="str">
        <f t="shared" si="125"/>
        <v>NSG_Residential_Home Energy Jumpstart_Core_Programmable Thermostat_Furnace (DI)_SF</v>
      </c>
      <c r="C194" s="47" t="str">
        <f t="shared" si="86"/>
        <v>Programmable Thermostat_Furnace (DI)_SF</v>
      </c>
      <c r="D194" s="270" t="s">
        <v>1787</v>
      </c>
      <c r="E194" s="270" t="s">
        <v>2</v>
      </c>
      <c r="F194" s="270" t="s">
        <v>1414</v>
      </c>
      <c r="G194" s="270" t="s">
        <v>1415</v>
      </c>
      <c r="H194" s="270" t="s">
        <v>224</v>
      </c>
      <c r="I194" s="270" t="s">
        <v>1038</v>
      </c>
      <c r="J194" s="270" t="s">
        <v>409</v>
      </c>
      <c r="K194" s="263">
        <v>1</v>
      </c>
      <c r="L194" s="263" t="str">
        <f ca="1">IFERROR(INDEX(Algorithms!J:J,MATCH($C194&amp;"_Therm Saved per Unit",Algorithms!$A:$A,0)),"n/a")</f>
        <v>5.3.11</v>
      </c>
      <c r="M194" s="263" t="str">
        <f>IFERROR(INDEX('Measure Level Detail'!$N:$N,MATCH($B194,'Measure Level Detail'!$B:$B,0)),0)</f>
        <v>Each</v>
      </c>
      <c r="N194" s="271">
        <f>IFERROR(INDEX('Measure Level Detail'!$P:$P,MATCH($B194&amp;"_"&amp;N$3,'Measure Level Detail'!$C:$C,0)),0)</f>
        <v>92</v>
      </c>
      <c r="O194" s="271">
        <f>IFERROR(INDEX('Measure Level Detail'!$P:$P,MATCH($B194&amp;"_"&amp;O$3,'Measure Level Detail'!$C:$C,0)),0)</f>
        <v>82</v>
      </c>
      <c r="P194" s="271">
        <f>IFERROR(INDEX('Measure Level Detail'!$P:$P,MATCH($B194&amp;"_"&amp;P$3,'Measure Level Detail'!$C:$C,0)),0)</f>
        <v>73</v>
      </c>
      <c r="Q194" s="271">
        <f>IFERROR(INDEX('Measure Level Detail'!$P:$P,MATCH($B194&amp;"_"&amp;Q$3,'Measure Level Detail'!$C:$C,0)),0)</f>
        <v>64</v>
      </c>
      <c r="R194" s="263" t="str">
        <f ca="1">IFERROR(INDEX(Algorithms!K:K,MATCH($C194&amp;"_Therm Saved per Unit",Algorithms!$A:$A,0)),"n/a")</f>
        <v>RS-HVC-PROG-V08-220101</v>
      </c>
      <c r="S194" s="262"/>
      <c r="T194" s="272">
        <v>62.31</v>
      </c>
      <c r="U194" s="272">
        <v>62.31</v>
      </c>
      <c r="V194" s="272">
        <v>62.31</v>
      </c>
      <c r="W194" s="272">
        <v>62.31</v>
      </c>
      <c r="X194" s="273">
        <f>IFERROR(INDEX('Measure Level Detail'!$R:$R,MATCH($B194&amp;"_"&amp;X$3,'Measure Level Detail'!$C:$C,0)),0)</f>
        <v>0.88</v>
      </c>
      <c r="Y194" s="273">
        <f>IFERROR(INDEX('Measure Level Detail'!$R:$R,MATCH($B194&amp;"_"&amp;Y$3,'Measure Level Detail'!$C:$C,0)),0)</f>
        <v>0.88</v>
      </c>
      <c r="Z194" s="273">
        <f>IFERROR(INDEX('Measure Level Detail'!$R:$R,MATCH($B194&amp;"_"&amp;Z$3,'Measure Level Detail'!$C:$C,0)),0)</f>
        <v>0.88</v>
      </c>
      <c r="AA194" s="273">
        <f>IFERROR(INDEX('Measure Level Detail'!$R:$R,MATCH($B194&amp;"_"&amp;AA$3,'Measure Level Detail'!$C:$C,0)),0)</f>
        <v>0.88</v>
      </c>
      <c r="AB194" s="266">
        <f t="shared" si="87"/>
        <v>5044.6176000000005</v>
      </c>
      <c r="AC194" s="266">
        <f t="shared" si="88"/>
        <v>4496.2896000000001</v>
      </c>
      <c r="AD194" s="266">
        <f t="shared" si="89"/>
        <v>4002.7944000000002</v>
      </c>
      <c r="AE194" s="266">
        <f t="shared" si="90"/>
        <v>3509.2991999999999</v>
      </c>
      <c r="AF194" s="266">
        <f t="shared" si="91"/>
        <v>17053.000800000002</v>
      </c>
      <c r="AG194" s="274">
        <v>0.88</v>
      </c>
      <c r="AH194" s="274">
        <v>0.88</v>
      </c>
      <c r="AI194" s="710">
        <v>0.99</v>
      </c>
      <c r="AJ194" s="710">
        <v>0.99</v>
      </c>
      <c r="AK194" s="274">
        <f t="shared" si="92"/>
        <v>0.88</v>
      </c>
      <c r="AL194" s="274">
        <f t="shared" si="93"/>
        <v>0.88</v>
      </c>
      <c r="AM194" s="274">
        <f t="shared" si="94"/>
        <v>0.89</v>
      </c>
      <c r="AN194" s="274">
        <f t="shared" si="95"/>
        <v>0.89</v>
      </c>
      <c r="AO194" s="262"/>
      <c r="AP194" s="262"/>
      <c r="AQ194" s="267">
        <v>62.31</v>
      </c>
      <c r="AR194" s="262"/>
      <c r="AS194" s="266">
        <f t="shared" si="96"/>
        <v>5044.6176000000005</v>
      </c>
      <c r="AT194" s="264">
        <f t="shared" si="97"/>
        <v>0</v>
      </c>
      <c r="AU194" s="262"/>
      <c r="AV194" s="262"/>
      <c r="AW194" s="265">
        <v>62.31</v>
      </c>
      <c r="AX194" s="164" t="s">
        <v>1469</v>
      </c>
      <c r="AY194" s="266">
        <v>4496.2896000000001</v>
      </c>
      <c r="AZ194" s="266">
        <f t="shared" si="98"/>
        <v>4496.2896000000001</v>
      </c>
      <c r="BA194" s="264">
        <f t="shared" si="99"/>
        <v>0</v>
      </c>
      <c r="BB194" s="262"/>
      <c r="BC194" s="262"/>
      <c r="BD194" s="265">
        <f ca="1">IFERROR(INDEX(Algorithms!$G:$G,MATCH($C194&amp;"_Therm Saved per Unit",Algorithms!$A:$A,0)),0)</f>
        <v>62.31</v>
      </c>
      <c r="BE194" s="164" t="str">
        <f ca="1">IFERROR(INDEX('v12 Revisions'!$P$29:$P$186, MATCH('Measure-Level Adj Gas'!$L194, 'v12 Revisions'!$D$29:$D$186,0)),"")</f>
        <v/>
      </c>
      <c r="BF194" s="266">
        <f t="shared" ca="1" si="100"/>
        <v>4048.2807000000003</v>
      </c>
      <c r="BG194" s="264">
        <f t="shared" ca="1" si="101"/>
        <v>45.486300000000028</v>
      </c>
      <c r="BH194" s="262"/>
      <c r="BI194" s="262"/>
      <c r="BJ194" s="265">
        <f ca="1">IFERROR(INDEX(Algorithms!$G:$G,MATCH($C194&amp;"_Therm Saved per Unit",Algorithms!$A:$A,0)),0)</f>
        <v>62.31</v>
      </c>
      <c r="BK194" s="164"/>
      <c r="BL194" s="266">
        <f t="shared" ca="1" si="102"/>
        <v>3549.1776</v>
      </c>
      <c r="BM194" s="264">
        <f t="shared" ca="1" si="103"/>
        <v>39.878400000000056</v>
      </c>
      <c r="BN194" s="266">
        <f t="shared" si="104"/>
        <v>5044.6176000000005</v>
      </c>
      <c r="BO194" s="266">
        <f t="shared" si="105"/>
        <v>4496.2896000000001</v>
      </c>
      <c r="BP194" s="266">
        <f t="shared" ca="1" si="106"/>
        <v>4048.2807000000003</v>
      </c>
      <c r="BQ194" s="266">
        <f t="shared" ca="1" si="107"/>
        <v>3549.1776</v>
      </c>
      <c r="BR194" s="268">
        <f t="shared" ca="1" si="108"/>
        <v>17138.3655</v>
      </c>
      <c r="BS194" s="262" t="s">
        <v>99</v>
      </c>
      <c r="BT194" s="277"/>
      <c r="BW194" s="266">
        <f t="shared" si="109"/>
        <v>5044.6176000000005</v>
      </c>
      <c r="BX194" s="266">
        <f t="shared" si="110"/>
        <v>4496.2896000000001</v>
      </c>
      <c r="BY194" s="266">
        <f t="shared" si="111"/>
        <v>4002.7944000000002</v>
      </c>
      <c r="BZ194" s="266">
        <f t="shared" si="112"/>
        <v>3509.2991999999999</v>
      </c>
      <c r="CA194" s="266">
        <f ca="1">N194*IFERROR(INDEX(Algorithms!$G:$G,MATCH($C194&amp;"_Therm Saved per Unit- MLA",Algorithms!$A:$A,0)),0)*X194</f>
        <v>1412.4929280000003</v>
      </c>
      <c r="CB194" s="266">
        <f ca="1">O194*IFERROR(INDEX(Algorithms!$G:$G,MATCH($C194&amp;"_Therm Saved per Unit- MLA",Algorithms!$A:$A,0)),0)*Y194</f>
        <v>1258.9610880000002</v>
      </c>
      <c r="CC194" s="266">
        <f ca="1">P194*IFERROR(INDEX(Algorithms!$G:$G,MATCH($C194&amp;"_Therm Saved per Unit- MLA",Algorithms!$A:$A,0)),0)*Z194</f>
        <v>1120.7824320000002</v>
      </c>
      <c r="CD194" s="266">
        <f ca="1">Q194*IFERROR(INDEX(Algorithms!$G:$G,MATCH($C194&amp;"_Therm Saved per Unit- MLA",Algorithms!$A:$A,0)),0)*AA194</f>
        <v>982.60377600000015</v>
      </c>
      <c r="CE194" s="266">
        <f ca="1">IFERROR(INDEX(Algorithms!$G:$G,MATCH($C194&amp;"_Lifetime (years)",Algorithms!$A:$A,0)),0)</f>
        <v>16</v>
      </c>
      <c r="CF194" s="266">
        <f ca="1">IFERROR(INDEX(Algorithms!$G:$G,MATCH($C194&amp;"_Lifetime (years) - Remaining Years",Algorithms!$A:$A,0)),0)</f>
        <v>5</v>
      </c>
      <c r="CG194" s="266">
        <f t="shared" ca="1" si="113"/>
        <v>40760.510208000007</v>
      </c>
      <c r="CH194" s="266">
        <f t="shared" ca="1" si="114"/>
        <v>36330.019968000001</v>
      </c>
      <c r="CI194" s="266">
        <f t="shared" ca="1" si="115"/>
        <v>32342.578752000001</v>
      </c>
      <c r="CJ194" s="266">
        <f t="shared" ca="1" si="116"/>
        <v>28355.137536000002</v>
      </c>
      <c r="CK194" s="266">
        <f t="shared" si="117"/>
        <v>5044.6176000000005</v>
      </c>
      <c r="CL194" s="266">
        <f t="shared" si="118"/>
        <v>4496.2896000000001</v>
      </c>
      <c r="CM194" s="266">
        <f t="shared" ca="1" si="119"/>
        <v>4002.7944000000002</v>
      </c>
      <c r="CN194" s="266">
        <f t="shared" ca="1" si="120"/>
        <v>3509.2991999999999</v>
      </c>
      <c r="CO194" s="266">
        <f ca="1">N194*IFERROR(INDEX(Algorithms!$G:$G,MATCH($C194&amp;"_Therm Saved per Unit- MLA",Algorithms!$A:$A,0)),0)*X194</f>
        <v>1412.4929280000003</v>
      </c>
      <c r="CP194" s="266">
        <f ca="1">O194*IFERROR(INDEX(Algorithms!$G:$G,MATCH($C194&amp;"_Therm Saved per Unit- MLA",Algorithms!$A:$A,0)),0)*Y194</f>
        <v>1258.9610880000002</v>
      </c>
      <c r="CQ194" s="266">
        <f ca="1">P194*IFERROR(INDEX(Algorithms!$G:$G,MATCH($C194&amp;"_Therm Saved per Unit- MLA",Algorithms!$A:$A,0)),0)*Z194</f>
        <v>1120.7824320000002</v>
      </c>
      <c r="CR194" s="266">
        <f ca="1">Q194*IFERROR(INDEX(Algorithms!$G:$G,MATCH($C194&amp;"_Therm Saved per Unit- MLA",Algorithms!$A:$A,0)),0)*AA194</f>
        <v>982.60377600000015</v>
      </c>
      <c r="CS194" s="266">
        <f ca="1">IFERROR(INDEX(Algorithms!$G:$G,MATCH($C194&amp;"_Lifetime (years)",Algorithms!$A:$A,0)),0)</f>
        <v>16</v>
      </c>
      <c r="CT194" s="266">
        <f ca="1">IFERROR(INDEX(Algorithms!$G:$G,MATCH($C194&amp;"_Lifetime (years) - Remaining Years",Algorithms!$A:$A,0)),0)</f>
        <v>5</v>
      </c>
      <c r="CU194" s="266">
        <f t="shared" ca="1" si="121"/>
        <v>40760.510208000007</v>
      </c>
      <c r="CV194" s="266">
        <f t="shared" ca="1" si="122"/>
        <v>36330.019968000001</v>
      </c>
      <c r="CW194" s="266">
        <f t="shared" ca="1" si="123"/>
        <v>32342.578752000001</v>
      </c>
      <c r="CX194" s="266">
        <f t="shared" ca="1" si="124"/>
        <v>28355.137536000002</v>
      </c>
    </row>
    <row r="195" spans="2:102" s="47" customFormat="1" ht="18" customHeight="1" x14ac:dyDescent="0.25">
      <c r="B195" t="str">
        <f t="shared" si="125"/>
        <v>NSG_Business_Small/Mid-Size Business_Kits_SMB Kit_General - Worship_SMB</v>
      </c>
      <c r="C195" s="47" t="str">
        <f t="shared" si="86"/>
        <v>SMB Kit_General - Worship_SMB</v>
      </c>
      <c r="D195" s="270" t="s">
        <v>1787</v>
      </c>
      <c r="E195" s="270" t="s">
        <v>3</v>
      </c>
      <c r="F195" s="270" t="s">
        <v>1432</v>
      </c>
      <c r="G195" s="270" t="s">
        <v>1434</v>
      </c>
      <c r="H195" s="270" t="s">
        <v>1364</v>
      </c>
      <c r="I195" s="270" t="s">
        <v>1396</v>
      </c>
      <c r="J195" s="270" t="s">
        <v>1220</v>
      </c>
      <c r="K195" s="263">
        <v>0</v>
      </c>
      <c r="L195" s="263" t="str">
        <f ca="1">IFERROR(INDEX(Algorithms!J:J,MATCH($C195&amp;"_Therm Saved per Unit",Algorithms!$A:$A,0)),"n/a")</f>
        <v>n/a</v>
      </c>
      <c r="M195" s="263" t="str">
        <f>IFERROR(INDEX('Measure Level Detail'!$N:$N,MATCH($B195,'Measure Level Detail'!$B:$B,0)),0)</f>
        <v>kit</v>
      </c>
      <c r="N195" s="271">
        <f>IFERROR(INDEX('Measure Level Detail'!$P:$P,MATCH($B195&amp;"_"&amp;N$3,'Measure Level Detail'!$C:$C,0)),0)</f>
        <v>90</v>
      </c>
      <c r="O195" s="271">
        <f>IFERROR(INDEX('Measure Level Detail'!$P:$P,MATCH($B195&amp;"_"&amp;O$3,'Measure Level Detail'!$C:$C,0)),0)</f>
        <v>82</v>
      </c>
      <c r="P195" s="271">
        <f>IFERROR(INDEX('Measure Level Detail'!$P:$P,MATCH($B195&amp;"_"&amp;P$3,'Measure Level Detail'!$C:$C,0)),0)</f>
        <v>80</v>
      </c>
      <c r="Q195" s="271">
        <f>IFERROR(INDEX('Measure Level Detail'!$P:$P,MATCH($B195&amp;"_"&amp;Q$3,'Measure Level Detail'!$C:$C,0)),0)</f>
        <v>75</v>
      </c>
      <c r="R195" s="263" t="str">
        <f ca="1">IFERROR(INDEX(Algorithms!K:K,MATCH($C195&amp;"_Therm Saved per Unit",Algorithms!$A:$A,0)),"n/a")</f>
        <v>n/a</v>
      </c>
      <c r="S195" s="262"/>
      <c r="T195" s="272">
        <v>45.185399999999994</v>
      </c>
      <c r="U195" s="272">
        <v>45.185399999999994</v>
      </c>
      <c r="V195" s="272">
        <v>45.185399999999994</v>
      </c>
      <c r="W195" s="272">
        <v>45.185399999999994</v>
      </c>
      <c r="X195" s="276">
        <v>0.93</v>
      </c>
      <c r="Y195" s="276">
        <v>0.93</v>
      </c>
      <c r="Z195" s="276">
        <v>0.93</v>
      </c>
      <c r="AA195" s="276">
        <v>0.93</v>
      </c>
      <c r="AB195" s="266">
        <f t="shared" si="87"/>
        <v>3782.0179800000001</v>
      </c>
      <c r="AC195" s="266">
        <f t="shared" si="88"/>
        <v>3445.8386039999996</v>
      </c>
      <c r="AD195" s="266">
        <f t="shared" si="89"/>
        <v>3361.7937599999996</v>
      </c>
      <c r="AE195" s="266">
        <f t="shared" si="90"/>
        <v>3151.68165</v>
      </c>
      <c r="AF195" s="266">
        <f t="shared" si="91"/>
        <v>13741.331993999998</v>
      </c>
      <c r="AG195" s="274">
        <v>0.93</v>
      </c>
      <c r="AH195" s="274">
        <v>0.93</v>
      </c>
      <c r="AI195" s="274">
        <v>0.93</v>
      </c>
      <c r="AJ195" s="274">
        <v>0.93</v>
      </c>
      <c r="AK195" s="274">
        <f t="shared" si="92"/>
        <v>0.93</v>
      </c>
      <c r="AL195" s="274">
        <f t="shared" si="93"/>
        <v>0.93</v>
      </c>
      <c r="AM195" s="274">
        <f t="shared" si="94"/>
        <v>0.93</v>
      </c>
      <c r="AN195" s="274">
        <f t="shared" si="95"/>
        <v>0.93</v>
      </c>
      <c r="AO195" s="262"/>
      <c r="AP195" s="262"/>
      <c r="AQ195" s="267">
        <v>45.185399999999994</v>
      </c>
      <c r="AR195" s="262"/>
      <c r="AS195" s="266">
        <f t="shared" si="96"/>
        <v>3782.0179800000001</v>
      </c>
      <c r="AT195" s="264">
        <f t="shared" si="97"/>
        <v>0</v>
      </c>
      <c r="AU195" s="262"/>
      <c r="AV195" s="262"/>
      <c r="AW195" s="265">
        <v>45.185399999999994</v>
      </c>
      <c r="AX195" s="164" t="s">
        <v>1469</v>
      </c>
      <c r="AY195" s="266">
        <v>3445.8386039999996</v>
      </c>
      <c r="AZ195" s="266">
        <f t="shared" si="98"/>
        <v>3445.8386039999996</v>
      </c>
      <c r="BA195" s="264">
        <f t="shared" si="99"/>
        <v>0</v>
      </c>
      <c r="BB195" s="262"/>
      <c r="BC195" s="262"/>
      <c r="BD195" s="265">
        <f ca="1">IFERROR(INDEX(Algorithms!$G:$G,MATCH($C195&amp;"_Therm Saved per Unit",Algorithms!$A:$A,0)),0)</f>
        <v>45.185399999999994</v>
      </c>
      <c r="BE195" s="164" t="str">
        <f ca="1">IFERROR(INDEX('v12 Revisions'!$P$29:$P$186, MATCH('Measure-Level Adj Gas'!$L195, 'v12 Revisions'!$D$29:$D$186,0)),"")</f>
        <v/>
      </c>
      <c r="BF195" s="266">
        <f t="shared" ca="1" si="100"/>
        <v>3361.7937599999996</v>
      </c>
      <c r="BG195" s="264">
        <f t="shared" ca="1" si="101"/>
        <v>0</v>
      </c>
      <c r="BH195" s="262"/>
      <c r="BI195" s="262"/>
      <c r="BJ195" s="265">
        <f ca="1">IFERROR(INDEX(Algorithms!$G:$G,MATCH($C195&amp;"_Therm Saved per Unit",Algorithms!$A:$A,0)),0)</f>
        <v>45.185399999999994</v>
      </c>
      <c r="BK195" s="164"/>
      <c r="BL195" s="266">
        <f t="shared" ca="1" si="102"/>
        <v>3151.68165</v>
      </c>
      <c r="BM195" s="264">
        <f t="shared" ca="1" si="103"/>
        <v>0</v>
      </c>
      <c r="BN195" s="266">
        <f t="shared" si="104"/>
        <v>3782.0179800000001</v>
      </c>
      <c r="BO195" s="266">
        <f t="shared" si="105"/>
        <v>3445.8386039999996</v>
      </c>
      <c r="BP195" s="266">
        <f t="shared" si="106"/>
        <v>3361.7937599999996</v>
      </c>
      <c r="BQ195" s="266">
        <f t="shared" si="107"/>
        <v>3151.68165</v>
      </c>
      <c r="BR195" s="268">
        <f t="shared" si="108"/>
        <v>13741.331993999998</v>
      </c>
      <c r="BS195" s="262" t="s">
        <v>99</v>
      </c>
      <c r="BT195" s="277"/>
      <c r="BW195" s="266">
        <f t="shared" si="109"/>
        <v>3782.0179800000001</v>
      </c>
      <c r="BX195" s="266">
        <f t="shared" si="110"/>
        <v>3445.8386039999996</v>
      </c>
      <c r="BY195" s="266">
        <f t="shared" si="111"/>
        <v>3361.7937599999996</v>
      </c>
      <c r="BZ195" s="266">
        <f t="shared" si="112"/>
        <v>3151.68165</v>
      </c>
      <c r="CA195" s="266">
        <f ca="1">N195*IFERROR(INDEX(Algorithms!$G:$G,MATCH($C195&amp;"_Therm Saved per Unit- MLA",Algorithms!$A:$A,0)),0)*X195</f>
        <v>0</v>
      </c>
      <c r="CB195" s="266">
        <f ca="1">O195*IFERROR(INDEX(Algorithms!$G:$G,MATCH($C195&amp;"_Therm Saved per Unit- MLA",Algorithms!$A:$A,0)),0)*Y195</f>
        <v>0</v>
      </c>
      <c r="CC195" s="266">
        <f ca="1">P195*IFERROR(INDEX(Algorithms!$G:$G,MATCH($C195&amp;"_Therm Saved per Unit- MLA",Algorithms!$A:$A,0)),0)*Z195</f>
        <v>0</v>
      </c>
      <c r="CD195" s="266">
        <f ca="1">Q195*IFERROR(INDEX(Algorithms!$G:$G,MATCH($C195&amp;"_Therm Saved per Unit- MLA",Algorithms!$A:$A,0)),0)*AA195</f>
        <v>0</v>
      </c>
      <c r="CE195" s="266">
        <f ca="1">IFERROR(INDEX(Algorithms!$G:$G,MATCH($C195&amp;"_Lifetime (years)",Algorithms!$A:$A,0)),0)</f>
        <v>10</v>
      </c>
      <c r="CF195" s="266">
        <f ca="1">IFERROR(INDEX(Algorithms!$G:$G,MATCH($C195&amp;"_Lifetime (years) - Remaining Years",Algorithms!$A:$A,0)),0)</f>
        <v>0</v>
      </c>
      <c r="CG195" s="266">
        <f t="shared" ca="1" si="113"/>
        <v>37820.179799999998</v>
      </c>
      <c r="CH195" s="266">
        <f t="shared" ca="1" si="114"/>
        <v>34458.386039999998</v>
      </c>
      <c r="CI195" s="266">
        <f t="shared" ca="1" si="115"/>
        <v>33617.937599999997</v>
      </c>
      <c r="CJ195" s="266">
        <f t="shared" ca="1" si="116"/>
        <v>31516.816500000001</v>
      </c>
      <c r="CK195" s="266">
        <f t="shared" si="117"/>
        <v>3782.0179800000001</v>
      </c>
      <c r="CL195" s="266">
        <f t="shared" si="118"/>
        <v>3445.8386039999996</v>
      </c>
      <c r="CM195" s="266">
        <f t="shared" ca="1" si="119"/>
        <v>3361.7937599999996</v>
      </c>
      <c r="CN195" s="266">
        <f t="shared" ca="1" si="120"/>
        <v>3151.68165</v>
      </c>
      <c r="CO195" s="266">
        <f ca="1">N195*IFERROR(INDEX(Algorithms!$G:$G,MATCH($C195&amp;"_Therm Saved per Unit- MLA",Algorithms!$A:$A,0)),0)*X195</f>
        <v>0</v>
      </c>
      <c r="CP195" s="266">
        <f ca="1">O195*IFERROR(INDEX(Algorithms!$G:$G,MATCH($C195&amp;"_Therm Saved per Unit- MLA",Algorithms!$A:$A,0)),0)*Y195</f>
        <v>0</v>
      </c>
      <c r="CQ195" s="266">
        <f ca="1">P195*IFERROR(INDEX(Algorithms!$G:$G,MATCH($C195&amp;"_Therm Saved per Unit- MLA",Algorithms!$A:$A,0)),0)*Z195</f>
        <v>0</v>
      </c>
      <c r="CR195" s="266">
        <f ca="1">Q195*IFERROR(INDEX(Algorithms!$G:$G,MATCH($C195&amp;"_Therm Saved per Unit- MLA",Algorithms!$A:$A,0)),0)*AA195</f>
        <v>0</v>
      </c>
      <c r="CS195" s="266">
        <f ca="1">IFERROR(INDEX(Algorithms!$G:$G,MATCH($C195&amp;"_Lifetime (years)",Algorithms!$A:$A,0)),0)</f>
        <v>10</v>
      </c>
      <c r="CT195" s="266">
        <f ca="1">IFERROR(INDEX(Algorithms!$G:$G,MATCH($C195&amp;"_Lifetime (years) - Remaining Years",Algorithms!$A:$A,0)),0)</f>
        <v>0</v>
      </c>
      <c r="CU195" s="266">
        <f t="shared" ca="1" si="121"/>
        <v>37820.179799999998</v>
      </c>
      <c r="CV195" s="266">
        <f t="shared" ca="1" si="122"/>
        <v>34458.386039999998</v>
      </c>
      <c r="CW195" s="266">
        <f t="shared" ca="1" si="123"/>
        <v>33617.937599999997</v>
      </c>
      <c r="CX195" s="266">
        <f t="shared" ca="1" si="124"/>
        <v>31516.816500000001</v>
      </c>
    </row>
    <row r="196" spans="2:102" s="47" customFormat="1" ht="18" customHeight="1" x14ac:dyDescent="0.25">
      <c r="B196" t="str">
        <f t="shared" si="125"/>
        <v>NSG_Residential_Multi-Family_Standard Rebate_Pipe Insulation_Hyd. Boiler Large ≥2"_MF</v>
      </c>
      <c r="C196" s="47" t="str">
        <f t="shared" si="86"/>
        <v>Pipe Insulation_Hyd. Boiler Large ≥2"_MF</v>
      </c>
      <c r="D196" s="270" t="s">
        <v>1787</v>
      </c>
      <c r="E196" s="270" t="s">
        <v>2</v>
      </c>
      <c r="F196" s="270" t="s">
        <v>1422</v>
      </c>
      <c r="G196" s="270" t="s">
        <v>1418</v>
      </c>
      <c r="H196" s="270" t="s">
        <v>404</v>
      </c>
      <c r="I196" s="270" t="s">
        <v>952</v>
      </c>
      <c r="J196" s="270" t="s">
        <v>553</v>
      </c>
      <c r="K196" s="263">
        <v>1</v>
      </c>
      <c r="L196" s="263" t="str">
        <f ca="1">IFERROR(INDEX(Algorithms!J:J,MATCH($C196&amp;"_Therm Saved per Unit",Algorithms!$A:$A,0)),"n/a")</f>
        <v>"3 - Res Pipe Insulation" worksheet</v>
      </c>
      <c r="M196" s="263" t="str">
        <f>IFERROR(INDEX('Measure Level Detail'!$N:$N,MATCH($B196,'Measure Level Detail'!$B:$B,0)),0)</f>
        <v>ft</v>
      </c>
      <c r="N196" s="271">
        <f>IFERROR(INDEX('Measure Level Detail'!$P:$P,MATCH($B196&amp;"_"&amp;N$3,'Measure Level Detail'!$C:$C,0)),0)</f>
        <v>75</v>
      </c>
      <c r="O196" s="271">
        <f>IFERROR(INDEX('Measure Level Detail'!$P:$P,MATCH($B196&amp;"_"&amp;O$3,'Measure Level Detail'!$C:$C,0)),0)</f>
        <v>75</v>
      </c>
      <c r="P196" s="271">
        <f>IFERROR(INDEX('Measure Level Detail'!$P:$P,MATCH($B196&amp;"_"&amp;P$3,'Measure Level Detail'!$C:$C,0)),0)</f>
        <v>75</v>
      </c>
      <c r="Q196" s="271">
        <f>IFERROR(INDEX('Measure Level Detail'!$P:$P,MATCH($B196&amp;"_"&amp;Q$3,'Measure Level Detail'!$C:$C,0)),0)</f>
        <v>75</v>
      </c>
      <c r="R196" s="263">
        <f ca="1">IFERROR(INDEX(Algorithms!K:K,MATCH($C196&amp;"_Therm Saved per Unit",Algorithms!$A:$A,0)),"n/a")</f>
        <v>0</v>
      </c>
      <c r="S196" s="262"/>
      <c r="T196" s="272">
        <v>6.1867824786324785</v>
      </c>
      <c r="U196" s="272">
        <v>6.1867824786324785</v>
      </c>
      <c r="V196" s="272">
        <v>6.1867824786324785</v>
      </c>
      <c r="W196" s="272">
        <v>6.1867824786324785</v>
      </c>
      <c r="X196" s="273">
        <f>IFERROR(INDEX('Measure Level Detail'!$R:$R,MATCH($B196&amp;"_"&amp;X$3,'Measure Level Detail'!$C:$C,0)),0)</f>
        <v>0.87</v>
      </c>
      <c r="Y196" s="273">
        <f>IFERROR(INDEX('Measure Level Detail'!$R:$R,MATCH($B196&amp;"_"&amp;Y$3,'Measure Level Detail'!$C:$C,0)),0)</f>
        <v>0.87</v>
      </c>
      <c r="Z196" s="273">
        <f>IFERROR(INDEX('Measure Level Detail'!$R:$R,MATCH($B196&amp;"_"&amp;Z$3,'Measure Level Detail'!$C:$C,0)),0)</f>
        <v>0.87</v>
      </c>
      <c r="AA196" s="273">
        <f>IFERROR(INDEX('Measure Level Detail'!$R:$R,MATCH($B196&amp;"_"&amp;AA$3,'Measure Level Detail'!$C:$C,0)),0)</f>
        <v>0.87</v>
      </c>
      <c r="AB196" s="266">
        <f t="shared" si="87"/>
        <v>403.68755673076924</v>
      </c>
      <c r="AC196" s="266">
        <f t="shared" si="88"/>
        <v>403.68755673076924</v>
      </c>
      <c r="AD196" s="266">
        <f t="shared" si="89"/>
        <v>403.68755673076924</v>
      </c>
      <c r="AE196" s="266">
        <f t="shared" si="90"/>
        <v>403.68755673076924</v>
      </c>
      <c r="AF196" s="266">
        <f t="shared" si="91"/>
        <v>1614.750226923077</v>
      </c>
      <c r="AG196" s="274">
        <v>0.87</v>
      </c>
      <c r="AH196" s="274">
        <v>0.87</v>
      </c>
      <c r="AI196" s="274">
        <v>0.87</v>
      </c>
      <c r="AJ196" s="274">
        <v>0.87</v>
      </c>
      <c r="AK196" s="274">
        <f t="shared" si="92"/>
        <v>0.87</v>
      </c>
      <c r="AL196" s="274">
        <f t="shared" si="93"/>
        <v>0.87</v>
      </c>
      <c r="AM196" s="274">
        <f t="shared" si="94"/>
        <v>0.87</v>
      </c>
      <c r="AN196" s="274">
        <f t="shared" si="95"/>
        <v>0.87</v>
      </c>
      <c r="AO196" s="262"/>
      <c r="AP196" s="262"/>
      <c r="AQ196" s="267">
        <v>6.1867824786324785</v>
      </c>
      <c r="AR196" s="262"/>
      <c r="AS196" s="266">
        <f t="shared" si="96"/>
        <v>403.68755673076924</v>
      </c>
      <c r="AT196" s="264">
        <f t="shared" si="97"/>
        <v>0</v>
      </c>
      <c r="AU196" s="262"/>
      <c r="AV196" s="262"/>
      <c r="AW196" s="265">
        <v>6.1867824786324785</v>
      </c>
      <c r="AX196" s="164" t="s">
        <v>1469</v>
      </c>
      <c r="AY196" s="266">
        <v>403.68755673076924</v>
      </c>
      <c r="AZ196" s="266">
        <f t="shared" si="98"/>
        <v>403.68755673076924</v>
      </c>
      <c r="BA196" s="264">
        <f t="shared" si="99"/>
        <v>0</v>
      </c>
      <c r="BB196" s="262"/>
      <c r="BC196" s="262"/>
      <c r="BD196" s="265">
        <f ca="1">IFERROR(INDEX(Algorithms!$G:$G,MATCH($C196&amp;"_Therm Saved per Unit",Algorithms!$A:$A,0)),0)</f>
        <v>6.1867824786324785</v>
      </c>
      <c r="BE196" s="164" t="str">
        <f ca="1">IFERROR(INDEX('v12 Revisions'!$P$29:$P$186, MATCH('Measure-Level Adj Gas'!$L196, 'v12 Revisions'!$D$29:$D$186,0)),"")</f>
        <v/>
      </c>
      <c r="BF196" s="266">
        <f t="shared" ca="1" si="100"/>
        <v>403.68755673076924</v>
      </c>
      <c r="BG196" s="264">
        <f t="shared" ca="1" si="101"/>
        <v>0</v>
      </c>
      <c r="BH196" s="262"/>
      <c r="BI196" s="262"/>
      <c r="BJ196" s="265">
        <f ca="1">IFERROR(INDEX(Algorithms!$G:$G,MATCH($C196&amp;"_Therm Saved per Unit",Algorithms!$A:$A,0)),0)</f>
        <v>6.1867824786324785</v>
      </c>
      <c r="BK196" s="164"/>
      <c r="BL196" s="266">
        <f t="shared" ca="1" si="102"/>
        <v>403.68755673076924</v>
      </c>
      <c r="BM196" s="264">
        <f t="shared" ca="1" si="103"/>
        <v>0</v>
      </c>
      <c r="BN196" s="266">
        <f t="shared" si="104"/>
        <v>403.68755673076924</v>
      </c>
      <c r="BO196" s="266">
        <f t="shared" si="105"/>
        <v>403.68755673076924</v>
      </c>
      <c r="BP196" s="266">
        <f t="shared" ca="1" si="106"/>
        <v>403.68755673076924</v>
      </c>
      <c r="BQ196" s="266">
        <f t="shared" ca="1" si="107"/>
        <v>403.68755673076924</v>
      </c>
      <c r="BR196" s="268">
        <f t="shared" ca="1" si="108"/>
        <v>1614.750226923077</v>
      </c>
      <c r="BS196" s="262" t="s">
        <v>99</v>
      </c>
      <c r="BT196" s="277"/>
      <c r="BW196" s="266">
        <f t="shared" si="109"/>
        <v>403.68755673076924</v>
      </c>
      <c r="BX196" s="266">
        <f t="shared" si="110"/>
        <v>403.68755673076924</v>
      </c>
      <c r="BY196" s="266">
        <f t="shared" si="111"/>
        <v>403.68755673076924</v>
      </c>
      <c r="BZ196" s="266">
        <f t="shared" si="112"/>
        <v>403.68755673076924</v>
      </c>
      <c r="CA196" s="266">
        <f ca="1">N196*IFERROR(INDEX(Algorithms!$G:$G,MATCH($C196&amp;"_Therm Saved per Unit- MLA",Algorithms!$A:$A,0)),0)*X196</f>
        <v>0</v>
      </c>
      <c r="CB196" s="266">
        <f ca="1">O196*IFERROR(INDEX(Algorithms!$G:$G,MATCH($C196&amp;"_Therm Saved per Unit- MLA",Algorithms!$A:$A,0)),0)*Y196</f>
        <v>0</v>
      </c>
      <c r="CC196" s="266">
        <f ca="1">P196*IFERROR(INDEX(Algorithms!$G:$G,MATCH($C196&amp;"_Therm Saved per Unit- MLA",Algorithms!$A:$A,0)),0)*Z196</f>
        <v>0</v>
      </c>
      <c r="CD196" s="266">
        <f ca="1">Q196*IFERROR(INDEX(Algorithms!$G:$G,MATCH($C196&amp;"_Therm Saved per Unit- MLA",Algorithms!$A:$A,0)),0)*AA196</f>
        <v>0</v>
      </c>
      <c r="CE196" s="266">
        <f ca="1">IFERROR(INDEX(Algorithms!$G:$G,MATCH($C196&amp;"_Lifetime (years)",Algorithms!$A:$A,0)),0)</f>
        <v>15</v>
      </c>
      <c r="CF196" s="266">
        <f ca="1">IFERROR(INDEX(Algorithms!$G:$G,MATCH($C196&amp;"_Lifetime (years) - Remaining Years",Algorithms!$A:$A,0)),0)</f>
        <v>0</v>
      </c>
      <c r="CG196" s="266">
        <f t="shared" ca="1" si="113"/>
        <v>6055.3133509615391</v>
      </c>
      <c r="CH196" s="266">
        <f t="shared" ca="1" si="114"/>
        <v>6055.3133509615391</v>
      </c>
      <c r="CI196" s="266">
        <f t="shared" ca="1" si="115"/>
        <v>6055.3133509615391</v>
      </c>
      <c r="CJ196" s="266">
        <f t="shared" ca="1" si="116"/>
        <v>6055.3133509615391</v>
      </c>
      <c r="CK196" s="266">
        <f t="shared" si="117"/>
        <v>403.68755673076924</v>
      </c>
      <c r="CL196" s="266">
        <f t="shared" si="118"/>
        <v>403.68755673076924</v>
      </c>
      <c r="CM196" s="266">
        <f t="shared" ca="1" si="119"/>
        <v>403.68755673076924</v>
      </c>
      <c r="CN196" s="266">
        <f t="shared" ca="1" si="120"/>
        <v>403.68755673076924</v>
      </c>
      <c r="CO196" s="266">
        <f ca="1">N196*IFERROR(INDEX(Algorithms!$G:$G,MATCH($C196&amp;"_Therm Saved per Unit- MLA",Algorithms!$A:$A,0)),0)*X196</f>
        <v>0</v>
      </c>
      <c r="CP196" s="266">
        <f ca="1">O196*IFERROR(INDEX(Algorithms!$G:$G,MATCH($C196&amp;"_Therm Saved per Unit- MLA",Algorithms!$A:$A,0)),0)*Y196</f>
        <v>0</v>
      </c>
      <c r="CQ196" s="266">
        <f ca="1">P196*IFERROR(INDEX(Algorithms!$G:$G,MATCH($C196&amp;"_Therm Saved per Unit- MLA",Algorithms!$A:$A,0)),0)*Z196</f>
        <v>0</v>
      </c>
      <c r="CR196" s="266">
        <f ca="1">Q196*IFERROR(INDEX(Algorithms!$G:$G,MATCH($C196&amp;"_Therm Saved per Unit- MLA",Algorithms!$A:$A,0)),0)*AA196</f>
        <v>0</v>
      </c>
      <c r="CS196" s="266">
        <f ca="1">IFERROR(INDEX(Algorithms!$G:$G,MATCH($C196&amp;"_Lifetime (years)",Algorithms!$A:$A,0)),0)</f>
        <v>15</v>
      </c>
      <c r="CT196" s="266">
        <f ca="1">IFERROR(INDEX(Algorithms!$G:$G,MATCH($C196&amp;"_Lifetime (years) - Remaining Years",Algorithms!$A:$A,0)),0)</f>
        <v>0</v>
      </c>
      <c r="CU196" s="266">
        <f t="shared" ca="1" si="121"/>
        <v>6055.3133509615391</v>
      </c>
      <c r="CV196" s="266">
        <f t="shared" ca="1" si="122"/>
        <v>6055.3133509615391</v>
      </c>
      <c r="CW196" s="266">
        <f t="shared" ca="1" si="123"/>
        <v>6055.3133509615391</v>
      </c>
      <c r="CX196" s="266">
        <f t="shared" ca="1" si="124"/>
        <v>6055.3133509615391</v>
      </c>
    </row>
    <row r="197" spans="2:102" s="47" customFormat="1" ht="18" customHeight="1" x14ac:dyDescent="0.25">
      <c r="B197" t="str">
        <f t="shared" si="125"/>
        <v>NSG_Residential_Multi-Family_Standard Rebate_Pipe Insulation_HW Small 1" to 2"_MF/CI/SMB</v>
      </c>
      <c r="C197" s="47" t="str">
        <f t="shared" si="86"/>
        <v>Pipe Insulation_HW Small 1" to 2"_MF/CI/SMB</v>
      </c>
      <c r="D197" s="270" t="s">
        <v>1787</v>
      </c>
      <c r="E197" s="270" t="s">
        <v>2</v>
      </c>
      <c r="F197" s="270" t="s">
        <v>1422</v>
      </c>
      <c r="G197" s="270" t="s">
        <v>1418</v>
      </c>
      <c r="H197" s="270" t="s">
        <v>404</v>
      </c>
      <c r="I197" s="270" t="s">
        <v>953</v>
      </c>
      <c r="J197" s="270" t="s">
        <v>662</v>
      </c>
      <c r="K197" s="263">
        <v>1</v>
      </c>
      <c r="L197" s="263" t="str">
        <f ca="1">IFERROR(INDEX(Algorithms!J:J,MATCH($C197&amp;"_Therm Saved per Unit",Algorithms!$A:$A,0)),"n/a")</f>
        <v>"3 - Res Pipe Insulation" worksheet</v>
      </c>
      <c r="M197" s="263" t="str">
        <f>IFERROR(INDEX('Measure Level Detail'!$N:$N,MATCH($B197,'Measure Level Detail'!$B:$B,0)),0)</f>
        <v>ft</v>
      </c>
      <c r="N197" s="271">
        <f>IFERROR(INDEX('Measure Level Detail'!$P:$P,MATCH($B197&amp;"_"&amp;N$3,'Measure Level Detail'!$C:$C,0)),0)</f>
        <v>75</v>
      </c>
      <c r="O197" s="271">
        <f>IFERROR(INDEX('Measure Level Detail'!$P:$P,MATCH($B197&amp;"_"&amp;O$3,'Measure Level Detail'!$C:$C,0)),0)</f>
        <v>75</v>
      </c>
      <c r="P197" s="271">
        <f>IFERROR(INDEX('Measure Level Detail'!$P:$P,MATCH($B197&amp;"_"&amp;P$3,'Measure Level Detail'!$C:$C,0)),0)</f>
        <v>75</v>
      </c>
      <c r="Q197" s="271">
        <f>IFERROR(INDEX('Measure Level Detail'!$P:$P,MATCH($B197&amp;"_"&amp;Q$3,'Measure Level Detail'!$C:$C,0)),0)</f>
        <v>75</v>
      </c>
      <c r="R197" s="263">
        <f ca="1">IFERROR(INDEX(Algorithms!K:K,MATCH($C197&amp;"_Therm Saved per Unit",Algorithms!$A:$A,0)),"n/a")</f>
        <v>0</v>
      </c>
      <c r="S197" s="262"/>
      <c r="T197" s="272">
        <v>2.6588140926267867</v>
      </c>
      <c r="U197" s="272">
        <v>2.6588140926267867</v>
      </c>
      <c r="V197" s="272">
        <v>2.6588140926267867</v>
      </c>
      <c r="W197" s="272">
        <v>2.6588140926267867</v>
      </c>
      <c r="X197" s="273">
        <f>IFERROR(INDEX('Measure Level Detail'!$R:$R,MATCH($B197&amp;"_"&amp;X$3,'Measure Level Detail'!$C:$C,0)),0)</f>
        <v>0.87</v>
      </c>
      <c r="Y197" s="273">
        <f>IFERROR(INDEX('Measure Level Detail'!$R:$R,MATCH($B197&amp;"_"&amp;Y$3,'Measure Level Detail'!$C:$C,0)),0)</f>
        <v>0.87</v>
      </c>
      <c r="Z197" s="273">
        <f>IFERROR(INDEX('Measure Level Detail'!$R:$R,MATCH($B197&amp;"_"&amp;Z$3,'Measure Level Detail'!$C:$C,0)),0)</f>
        <v>0.87</v>
      </c>
      <c r="AA197" s="273">
        <f>IFERROR(INDEX('Measure Level Detail'!$R:$R,MATCH($B197&amp;"_"&amp;AA$3,'Measure Level Detail'!$C:$C,0)),0)</f>
        <v>0.87</v>
      </c>
      <c r="AB197" s="266">
        <f t="shared" si="87"/>
        <v>173.48761954389784</v>
      </c>
      <c r="AC197" s="266">
        <f t="shared" si="88"/>
        <v>173.48761954389784</v>
      </c>
      <c r="AD197" s="266">
        <f t="shared" si="89"/>
        <v>173.48761954389784</v>
      </c>
      <c r="AE197" s="266">
        <f t="shared" si="90"/>
        <v>173.48761954389784</v>
      </c>
      <c r="AF197" s="266">
        <f t="shared" si="91"/>
        <v>693.95047817559134</v>
      </c>
      <c r="AG197" s="274">
        <v>0.87</v>
      </c>
      <c r="AH197" s="274">
        <v>0.87</v>
      </c>
      <c r="AI197" s="274">
        <v>0.87</v>
      </c>
      <c r="AJ197" s="274">
        <v>0.87</v>
      </c>
      <c r="AK197" s="274">
        <f t="shared" si="92"/>
        <v>0.87</v>
      </c>
      <c r="AL197" s="274">
        <f t="shared" si="93"/>
        <v>0.87</v>
      </c>
      <c r="AM197" s="274">
        <f t="shared" si="94"/>
        <v>0.87</v>
      </c>
      <c r="AN197" s="274">
        <f t="shared" si="95"/>
        <v>0.87</v>
      </c>
      <c r="AO197" s="262"/>
      <c r="AP197" s="262"/>
      <c r="AQ197" s="267">
        <v>2.6588140926267867</v>
      </c>
      <c r="AR197" s="262"/>
      <c r="AS197" s="266">
        <f t="shared" si="96"/>
        <v>173.48761954389784</v>
      </c>
      <c r="AT197" s="264">
        <f t="shared" si="97"/>
        <v>0</v>
      </c>
      <c r="AU197" s="262"/>
      <c r="AV197" s="262"/>
      <c r="AW197" s="265">
        <v>2.6588140926267867</v>
      </c>
      <c r="AX197" s="164" t="s">
        <v>1469</v>
      </c>
      <c r="AY197" s="266">
        <v>173.48761954389784</v>
      </c>
      <c r="AZ197" s="266">
        <f t="shared" si="98"/>
        <v>173.48761954389784</v>
      </c>
      <c r="BA197" s="264">
        <f t="shared" si="99"/>
        <v>0</v>
      </c>
      <c r="BB197" s="262"/>
      <c r="BC197" s="262"/>
      <c r="BD197" s="265">
        <f ca="1">IFERROR(INDEX(Algorithms!$G:$G,MATCH($C197&amp;"_Therm Saved per Unit",Algorithms!$A:$A,0)),0)</f>
        <v>2.6588140926267867</v>
      </c>
      <c r="BE197" s="164" t="str">
        <f ca="1">IFERROR(INDEX('v12 Revisions'!$P$29:$P$186, MATCH('Measure-Level Adj Gas'!$L197, 'v12 Revisions'!$D$29:$D$186,0)),"")</f>
        <v/>
      </c>
      <c r="BF197" s="266">
        <f t="shared" ca="1" si="100"/>
        <v>173.48761954389784</v>
      </c>
      <c r="BG197" s="264">
        <f t="shared" ca="1" si="101"/>
        <v>0</v>
      </c>
      <c r="BH197" s="262"/>
      <c r="BI197" s="262"/>
      <c r="BJ197" s="265">
        <f ca="1">IFERROR(INDEX(Algorithms!$G:$G,MATCH($C197&amp;"_Therm Saved per Unit",Algorithms!$A:$A,0)),0)</f>
        <v>2.6588140926267867</v>
      </c>
      <c r="BK197" s="164"/>
      <c r="BL197" s="266">
        <f t="shared" ca="1" si="102"/>
        <v>173.48761954389784</v>
      </c>
      <c r="BM197" s="264">
        <f t="shared" ca="1" si="103"/>
        <v>0</v>
      </c>
      <c r="BN197" s="266">
        <f t="shared" si="104"/>
        <v>173.48761954389784</v>
      </c>
      <c r="BO197" s="266">
        <f t="shared" si="105"/>
        <v>173.48761954389784</v>
      </c>
      <c r="BP197" s="266">
        <f t="shared" ca="1" si="106"/>
        <v>173.48761954389784</v>
      </c>
      <c r="BQ197" s="266">
        <f t="shared" ca="1" si="107"/>
        <v>173.48761954389784</v>
      </c>
      <c r="BR197" s="268">
        <f t="shared" ca="1" si="108"/>
        <v>693.95047817559134</v>
      </c>
      <c r="BS197" s="262" t="s">
        <v>99</v>
      </c>
      <c r="BT197" s="277"/>
      <c r="BW197" s="266">
        <f t="shared" si="109"/>
        <v>173.48761954389784</v>
      </c>
      <c r="BX197" s="266">
        <f t="shared" si="110"/>
        <v>173.48761954389784</v>
      </c>
      <c r="BY197" s="266">
        <f t="shared" si="111"/>
        <v>173.48761954389784</v>
      </c>
      <c r="BZ197" s="266">
        <f t="shared" si="112"/>
        <v>173.48761954389784</v>
      </c>
      <c r="CA197" s="266">
        <f ca="1">N197*IFERROR(INDEX(Algorithms!$G:$G,MATCH($C197&amp;"_Therm Saved per Unit- MLA",Algorithms!$A:$A,0)),0)*X197</f>
        <v>0</v>
      </c>
      <c r="CB197" s="266">
        <f ca="1">O197*IFERROR(INDEX(Algorithms!$G:$G,MATCH($C197&amp;"_Therm Saved per Unit- MLA",Algorithms!$A:$A,0)),0)*Y197</f>
        <v>0</v>
      </c>
      <c r="CC197" s="266">
        <f ca="1">P197*IFERROR(INDEX(Algorithms!$G:$G,MATCH($C197&amp;"_Therm Saved per Unit- MLA",Algorithms!$A:$A,0)),0)*Z197</f>
        <v>0</v>
      </c>
      <c r="CD197" s="266">
        <f ca="1">Q197*IFERROR(INDEX(Algorithms!$G:$G,MATCH($C197&amp;"_Therm Saved per Unit- MLA",Algorithms!$A:$A,0)),0)*AA197</f>
        <v>0</v>
      </c>
      <c r="CE197" s="266">
        <f ca="1">IFERROR(INDEX(Algorithms!$G:$G,MATCH($C197&amp;"_Lifetime (years)",Algorithms!$A:$A,0)),0)</f>
        <v>15</v>
      </c>
      <c r="CF197" s="266">
        <f ca="1">IFERROR(INDEX(Algorithms!$G:$G,MATCH($C197&amp;"_Lifetime (years) - Remaining Years",Algorithms!$A:$A,0)),0)</f>
        <v>0</v>
      </c>
      <c r="CG197" s="266">
        <f t="shared" ca="1" si="113"/>
        <v>2602.3142931584675</v>
      </c>
      <c r="CH197" s="266">
        <f t="shared" ca="1" si="114"/>
        <v>2602.3142931584675</v>
      </c>
      <c r="CI197" s="266">
        <f t="shared" ca="1" si="115"/>
        <v>2602.3142931584675</v>
      </c>
      <c r="CJ197" s="266">
        <f t="shared" ca="1" si="116"/>
        <v>2602.3142931584675</v>
      </c>
      <c r="CK197" s="266">
        <f t="shared" si="117"/>
        <v>173.48761954389784</v>
      </c>
      <c r="CL197" s="266">
        <f t="shared" si="118"/>
        <v>173.48761954389784</v>
      </c>
      <c r="CM197" s="266">
        <f t="shared" ca="1" si="119"/>
        <v>173.48761954389784</v>
      </c>
      <c r="CN197" s="266">
        <f t="shared" ca="1" si="120"/>
        <v>173.48761954389784</v>
      </c>
      <c r="CO197" s="266">
        <f ca="1">N197*IFERROR(INDEX(Algorithms!$G:$G,MATCH($C197&amp;"_Therm Saved per Unit- MLA",Algorithms!$A:$A,0)),0)*X197</f>
        <v>0</v>
      </c>
      <c r="CP197" s="266">
        <f ca="1">O197*IFERROR(INDEX(Algorithms!$G:$G,MATCH($C197&amp;"_Therm Saved per Unit- MLA",Algorithms!$A:$A,0)),0)*Y197</f>
        <v>0</v>
      </c>
      <c r="CQ197" s="266">
        <f ca="1">P197*IFERROR(INDEX(Algorithms!$G:$G,MATCH($C197&amp;"_Therm Saved per Unit- MLA",Algorithms!$A:$A,0)),0)*Z197</f>
        <v>0</v>
      </c>
      <c r="CR197" s="266">
        <f ca="1">Q197*IFERROR(INDEX(Algorithms!$G:$G,MATCH($C197&amp;"_Therm Saved per Unit- MLA",Algorithms!$A:$A,0)),0)*AA197</f>
        <v>0</v>
      </c>
      <c r="CS197" s="266">
        <f ca="1">IFERROR(INDEX(Algorithms!$G:$G,MATCH($C197&amp;"_Lifetime (years)",Algorithms!$A:$A,0)),0)</f>
        <v>15</v>
      </c>
      <c r="CT197" s="266">
        <f ca="1">IFERROR(INDEX(Algorithms!$G:$G,MATCH($C197&amp;"_Lifetime (years) - Remaining Years",Algorithms!$A:$A,0)),0)</f>
        <v>0</v>
      </c>
      <c r="CU197" s="266">
        <f t="shared" ca="1" si="121"/>
        <v>2602.3142931584675</v>
      </c>
      <c r="CV197" s="266">
        <f t="shared" ca="1" si="122"/>
        <v>2602.3142931584675</v>
      </c>
      <c r="CW197" s="266">
        <f t="shared" ca="1" si="123"/>
        <v>2602.3142931584675</v>
      </c>
      <c r="CX197" s="266">
        <f t="shared" ca="1" si="124"/>
        <v>2602.3142931584675</v>
      </c>
    </row>
    <row r="198" spans="2:102" s="47" customFormat="1" ht="18" customHeight="1" x14ac:dyDescent="0.25">
      <c r="B198" t="str">
        <f t="shared" si="125"/>
        <v>NSG_Residential_Multi-Family_Standard Rebate_Pipe Insulation_HW Medium 2.1" to 4"_MF/CI/SMB</v>
      </c>
      <c r="C198" s="47" t="str">
        <f t="shared" si="86"/>
        <v>Pipe Insulation_HW Medium 2.1" to 4"_MF/CI/SMB</v>
      </c>
      <c r="D198" s="270" t="s">
        <v>1787</v>
      </c>
      <c r="E198" s="270" t="s">
        <v>2</v>
      </c>
      <c r="F198" s="270" t="s">
        <v>1422</v>
      </c>
      <c r="G198" s="270" t="s">
        <v>1418</v>
      </c>
      <c r="H198" s="270" t="s">
        <v>404</v>
      </c>
      <c r="I198" s="270" t="s">
        <v>954</v>
      </c>
      <c r="J198" s="270" t="s">
        <v>662</v>
      </c>
      <c r="K198" s="263">
        <v>1</v>
      </c>
      <c r="L198" s="263" t="str">
        <f ca="1">IFERROR(INDEX(Algorithms!J:J,MATCH($C198&amp;"_Therm Saved per Unit",Algorithms!$A:$A,0)),"n/a")</f>
        <v>"3 - Res Pipe Insulation" worksheet</v>
      </c>
      <c r="M198" s="263" t="str">
        <f>IFERROR(INDEX('Measure Level Detail'!$N:$N,MATCH($B198,'Measure Level Detail'!$B:$B,0)),0)</f>
        <v>ft</v>
      </c>
      <c r="N198" s="271">
        <f>IFERROR(INDEX('Measure Level Detail'!$P:$P,MATCH($B198&amp;"_"&amp;N$3,'Measure Level Detail'!$C:$C,0)),0)</f>
        <v>75</v>
      </c>
      <c r="O198" s="271">
        <f>IFERROR(INDEX('Measure Level Detail'!$P:$P,MATCH($B198&amp;"_"&amp;O$3,'Measure Level Detail'!$C:$C,0)),0)</f>
        <v>75</v>
      </c>
      <c r="P198" s="271">
        <f>IFERROR(INDEX('Measure Level Detail'!$P:$P,MATCH($B198&amp;"_"&amp;P$3,'Measure Level Detail'!$C:$C,0)),0)</f>
        <v>75</v>
      </c>
      <c r="Q198" s="271">
        <f>IFERROR(INDEX('Measure Level Detail'!$P:$P,MATCH($B198&amp;"_"&amp;Q$3,'Measure Level Detail'!$C:$C,0)),0)</f>
        <v>75</v>
      </c>
      <c r="R198" s="263">
        <f ca="1">IFERROR(INDEX(Algorithms!K:K,MATCH($C198&amp;"_Therm Saved per Unit",Algorithms!$A:$A,0)),"n/a")</f>
        <v>0</v>
      </c>
      <c r="S198" s="262"/>
      <c r="T198" s="272">
        <v>5.2492031493764015</v>
      </c>
      <c r="U198" s="272">
        <v>5.2492031493764015</v>
      </c>
      <c r="V198" s="272">
        <v>5.2492031493764015</v>
      </c>
      <c r="W198" s="272">
        <v>5.2492031493764015</v>
      </c>
      <c r="X198" s="273">
        <f>IFERROR(INDEX('Measure Level Detail'!$R:$R,MATCH($B198&amp;"_"&amp;X$3,'Measure Level Detail'!$C:$C,0)),0)</f>
        <v>0.87</v>
      </c>
      <c r="Y198" s="273">
        <f>IFERROR(INDEX('Measure Level Detail'!$R:$R,MATCH($B198&amp;"_"&amp;Y$3,'Measure Level Detail'!$C:$C,0)),0)</f>
        <v>0.87</v>
      </c>
      <c r="Z198" s="273">
        <f>IFERROR(INDEX('Measure Level Detail'!$R:$R,MATCH($B198&amp;"_"&amp;Z$3,'Measure Level Detail'!$C:$C,0)),0)</f>
        <v>0.87</v>
      </c>
      <c r="AA198" s="273">
        <f>IFERROR(INDEX('Measure Level Detail'!$R:$R,MATCH($B198&amp;"_"&amp;AA$3,'Measure Level Detail'!$C:$C,0)),0)</f>
        <v>0.87</v>
      </c>
      <c r="AB198" s="266">
        <f t="shared" si="87"/>
        <v>342.5105054968102</v>
      </c>
      <c r="AC198" s="266">
        <f t="shared" si="88"/>
        <v>342.5105054968102</v>
      </c>
      <c r="AD198" s="266">
        <f t="shared" si="89"/>
        <v>342.5105054968102</v>
      </c>
      <c r="AE198" s="266">
        <f t="shared" si="90"/>
        <v>342.5105054968102</v>
      </c>
      <c r="AF198" s="266">
        <f t="shared" si="91"/>
        <v>1370.0420219872408</v>
      </c>
      <c r="AG198" s="274">
        <v>0.87</v>
      </c>
      <c r="AH198" s="274">
        <v>0.87</v>
      </c>
      <c r="AI198" s="274">
        <v>0.87</v>
      </c>
      <c r="AJ198" s="274">
        <v>0.87</v>
      </c>
      <c r="AK198" s="274">
        <f t="shared" si="92"/>
        <v>0.87</v>
      </c>
      <c r="AL198" s="274">
        <f t="shared" si="93"/>
        <v>0.87</v>
      </c>
      <c r="AM198" s="274">
        <f t="shared" si="94"/>
        <v>0.87</v>
      </c>
      <c r="AN198" s="274">
        <f t="shared" si="95"/>
        <v>0.87</v>
      </c>
      <c r="AO198" s="262"/>
      <c r="AP198" s="262"/>
      <c r="AQ198" s="267">
        <v>5.2492031493764015</v>
      </c>
      <c r="AR198" s="262"/>
      <c r="AS198" s="266">
        <f t="shared" si="96"/>
        <v>342.5105054968102</v>
      </c>
      <c r="AT198" s="264">
        <f t="shared" si="97"/>
        <v>0</v>
      </c>
      <c r="AU198" s="262"/>
      <c r="AV198" s="262"/>
      <c r="AW198" s="265">
        <v>5.2492031493764015</v>
      </c>
      <c r="AX198" s="164" t="s">
        <v>1469</v>
      </c>
      <c r="AY198" s="266">
        <v>342.5105054968102</v>
      </c>
      <c r="AZ198" s="266">
        <f t="shared" si="98"/>
        <v>342.5105054968102</v>
      </c>
      <c r="BA198" s="264">
        <f t="shared" si="99"/>
        <v>0</v>
      </c>
      <c r="BB198" s="262"/>
      <c r="BC198" s="262"/>
      <c r="BD198" s="265">
        <f ca="1">IFERROR(INDEX(Algorithms!$G:$G,MATCH($C198&amp;"_Therm Saved per Unit",Algorithms!$A:$A,0)),0)</f>
        <v>5.2492031493764015</v>
      </c>
      <c r="BE198" s="164" t="str">
        <f ca="1">IFERROR(INDEX('v12 Revisions'!$P$29:$P$186, MATCH('Measure-Level Adj Gas'!$L198, 'v12 Revisions'!$D$29:$D$186,0)),"")</f>
        <v/>
      </c>
      <c r="BF198" s="266">
        <f t="shared" ca="1" si="100"/>
        <v>342.5105054968102</v>
      </c>
      <c r="BG198" s="264">
        <f t="shared" ca="1" si="101"/>
        <v>0</v>
      </c>
      <c r="BH198" s="262"/>
      <c r="BI198" s="262"/>
      <c r="BJ198" s="265">
        <f ca="1">IFERROR(INDEX(Algorithms!$G:$G,MATCH($C198&amp;"_Therm Saved per Unit",Algorithms!$A:$A,0)),0)</f>
        <v>5.2492031493764015</v>
      </c>
      <c r="BK198" s="164"/>
      <c r="BL198" s="266">
        <f t="shared" ca="1" si="102"/>
        <v>342.5105054968102</v>
      </c>
      <c r="BM198" s="264">
        <f t="shared" ca="1" si="103"/>
        <v>0</v>
      </c>
      <c r="BN198" s="266">
        <f t="shared" si="104"/>
        <v>342.5105054968102</v>
      </c>
      <c r="BO198" s="266">
        <f t="shared" si="105"/>
        <v>342.5105054968102</v>
      </c>
      <c r="BP198" s="266">
        <f t="shared" ca="1" si="106"/>
        <v>342.5105054968102</v>
      </c>
      <c r="BQ198" s="266">
        <f t="shared" ca="1" si="107"/>
        <v>342.5105054968102</v>
      </c>
      <c r="BR198" s="268">
        <f t="shared" ca="1" si="108"/>
        <v>1370.0420219872408</v>
      </c>
      <c r="BS198" s="262" t="s">
        <v>99</v>
      </c>
      <c r="BT198" s="277"/>
      <c r="BW198" s="266">
        <f t="shared" si="109"/>
        <v>342.5105054968102</v>
      </c>
      <c r="BX198" s="266">
        <f t="shared" si="110"/>
        <v>342.5105054968102</v>
      </c>
      <c r="BY198" s="266">
        <f t="shared" si="111"/>
        <v>342.5105054968102</v>
      </c>
      <c r="BZ198" s="266">
        <f t="shared" si="112"/>
        <v>342.5105054968102</v>
      </c>
      <c r="CA198" s="266">
        <f ca="1">N198*IFERROR(INDEX(Algorithms!$G:$G,MATCH($C198&amp;"_Therm Saved per Unit- MLA",Algorithms!$A:$A,0)),0)*X198</f>
        <v>0</v>
      </c>
      <c r="CB198" s="266">
        <f ca="1">O198*IFERROR(INDEX(Algorithms!$G:$G,MATCH($C198&amp;"_Therm Saved per Unit- MLA",Algorithms!$A:$A,0)),0)*Y198</f>
        <v>0</v>
      </c>
      <c r="CC198" s="266">
        <f ca="1">P198*IFERROR(INDEX(Algorithms!$G:$G,MATCH($C198&amp;"_Therm Saved per Unit- MLA",Algorithms!$A:$A,0)),0)*Z198</f>
        <v>0</v>
      </c>
      <c r="CD198" s="266">
        <f ca="1">Q198*IFERROR(INDEX(Algorithms!$G:$G,MATCH($C198&amp;"_Therm Saved per Unit- MLA",Algorithms!$A:$A,0)),0)*AA198</f>
        <v>0</v>
      </c>
      <c r="CE198" s="266">
        <f ca="1">IFERROR(INDEX(Algorithms!$G:$G,MATCH($C198&amp;"_Lifetime (years)",Algorithms!$A:$A,0)),0)</f>
        <v>15</v>
      </c>
      <c r="CF198" s="266">
        <f ca="1">IFERROR(INDEX(Algorithms!$G:$G,MATCH($C198&amp;"_Lifetime (years) - Remaining Years",Algorithms!$A:$A,0)),0)</f>
        <v>0</v>
      </c>
      <c r="CG198" s="266">
        <f t="shared" ca="1" si="113"/>
        <v>5137.6575824521533</v>
      </c>
      <c r="CH198" s="266">
        <f t="shared" ca="1" si="114"/>
        <v>5137.6575824521533</v>
      </c>
      <c r="CI198" s="266">
        <f t="shared" ca="1" si="115"/>
        <v>5137.6575824521533</v>
      </c>
      <c r="CJ198" s="266">
        <f t="shared" ca="1" si="116"/>
        <v>5137.6575824521533</v>
      </c>
      <c r="CK198" s="266">
        <f t="shared" si="117"/>
        <v>342.5105054968102</v>
      </c>
      <c r="CL198" s="266">
        <f t="shared" si="118"/>
        <v>342.5105054968102</v>
      </c>
      <c r="CM198" s="266">
        <f t="shared" ca="1" si="119"/>
        <v>342.5105054968102</v>
      </c>
      <c r="CN198" s="266">
        <f t="shared" ca="1" si="120"/>
        <v>342.5105054968102</v>
      </c>
      <c r="CO198" s="266">
        <f ca="1">N198*IFERROR(INDEX(Algorithms!$G:$G,MATCH($C198&amp;"_Therm Saved per Unit- MLA",Algorithms!$A:$A,0)),0)*X198</f>
        <v>0</v>
      </c>
      <c r="CP198" s="266">
        <f ca="1">O198*IFERROR(INDEX(Algorithms!$G:$G,MATCH($C198&amp;"_Therm Saved per Unit- MLA",Algorithms!$A:$A,0)),0)*Y198</f>
        <v>0</v>
      </c>
      <c r="CQ198" s="266">
        <f ca="1">P198*IFERROR(INDEX(Algorithms!$G:$G,MATCH($C198&amp;"_Therm Saved per Unit- MLA",Algorithms!$A:$A,0)),0)*Z198</f>
        <v>0</v>
      </c>
      <c r="CR198" s="266">
        <f ca="1">Q198*IFERROR(INDEX(Algorithms!$G:$G,MATCH($C198&amp;"_Therm Saved per Unit- MLA",Algorithms!$A:$A,0)),0)*AA198</f>
        <v>0</v>
      </c>
      <c r="CS198" s="266">
        <f ca="1">IFERROR(INDEX(Algorithms!$G:$G,MATCH($C198&amp;"_Lifetime (years)",Algorithms!$A:$A,0)),0)</f>
        <v>15</v>
      </c>
      <c r="CT198" s="266">
        <f ca="1">IFERROR(INDEX(Algorithms!$G:$G,MATCH($C198&amp;"_Lifetime (years) - Remaining Years",Algorithms!$A:$A,0)),0)</f>
        <v>0</v>
      </c>
      <c r="CU198" s="266">
        <f t="shared" ca="1" si="121"/>
        <v>5137.6575824521533</v>
      </c>
      <c r="CV198" s="266">
        <f t="shared" ca="1" si="122"/>
        <v>5137.6575824521533</v>
      </c>
      <c r="CW198" s="266">
        <f t="shared" ca="1" si="123"/>
        <v>5137.6575824521533</v>
      </c>
      <c r="CX198" s="266">
        <f t="shared" ca="1" si="124"/>
        <v>5137.6575824521533</v>
      </c>
    </row>
    <row r="199" spans="2:102" s="47" customFormat="1" ht="18" customHeight="1" x14ac:dyDescent="0.25">
      <c r="B199" t="str">
        <f t="shared" si="125"/>
        <v>NSG_Residential_Multi-Family_Standard Rebate_Pipe Insulation_HW Large &gt;4"_MF/CI/SMB</v>
      </c>
      <c r="C199" s="47" t="str">
        <f t="shared" si="86"/>
        <v>Pipe Insulation_HW Large &gt;4"_MF/CI/SMB</v>
      </c>
      <c r="D199" s="270" t="s">
        <v>1787</v>
      </c>
      <c r="E199" s="270" t="s">
        <v>2</v>
      </c>
      <c r="F199" s="270" t="s">
        <v>1422</v>
      </c>
      <c r="G199" s="270" t="s">
        <v>1418</v>
      </c>
      <c r="H199" s="270" t="s">
        <v>404</v>
      </c>
      <c r="I199" s="270" t="s">
        <v>955</v>
      </c>
      <c r="J199" s="270" t="s">
        <v>662</v>
      </c>
      <c r="K199" s="263">
        <v>1</v>
      </c>
      <c r="L199" s="263" t="str">
        <f ca="1">IFERROR(INDEX(Algorithms!J:J,MATCH($C199&amp;"_Therm Saved per Unit",Algorithms!$A:$A,0)),"n/a")</f>
        <v>"3 - Res Pipe Insulation" worksheet</v>
      </c>
      <c r="M199" s="263" t="str">
        <f>IFERROR(INDEX('Measure Level Detail'!$N:$N,MATCH($B199,'Measure Level Detail'!$B:$B,0)),0)</f>
        <v>ft</v>
      </c>
      <c r="N199" s="271">
        <f>IFERROR(INDEX('Measure Level Detail'!$P:$P,MATCH($B199&amp;"_"&amp;N$3,'Measure Level Detail'!$C:$C,0)),0)</f>
        <v>75</v>
      </c>
      <c r="O199" s="271">
        <f>IFERROR(INDEX('Measure Level Detail'!$P:$P,MATCH($B199&amp;"_"&amp;O$3,'Measure Level Detail'!$C:$C,0)),0)</f>
        <v>75</v>
      </c>
      <c r="P199" s="271">
        <f>IFERROR(INDEX('Measure Level Detail'!$P:$P,MATCH($B199&amp;"_"&amp;P$3,'Measure Level Detail'!$C:$C,0)),0)</f>
        <v>75</v>
      </c>
      <c r="Q199" s="271">
        <f>IFERROR(INDEX('Measure Level Detail'!$P:$P,MATCH($B199&amp;"_"&amp;Q$3,'Measure Level Detail'!$C:$C,0)),0)</f>
        <v>75</v>
      </c>
      <c r="R199" s="263">
        <f ca="1">IFERROR(INDEX(Algorithms!K:K,MATCH($C199&amp;"_Therm Saved per Unit",Algorithms!$A:$A,0)),"n/a")</f>
        <v>0</v>
      </c>
      <c r="S199" s="262"/>
      <c r="T199" s="272">
        <v>9.0407613085908682</v>
      </c>
      <c r="U199" s="272">
        <v>9.0407613085908682</v>
      </c>
      <c r="V199" s="272">
        <v>9.0407613085908682</v>
      </c>
      <c r="W199" s="272">
        <v>9.0407613085908682</v>
      </c>
      <c r="X199" s="273">
        <f>IFERROR(INDEX('Measure Level Detail'!$R:$R,MATCH($B199&amp;"_"&amp;X$3,'Measure Level Detail'!$C:$C,0)),0)</f>
        <v>0.87</v>
      </c>
      <c r="Y199" s="273">
        <f>IFERROR(INDEX('Measure Level Detail'!$R:$R,MATCH($B199&amp;"_"&amp;Y$3,'Measure Level Detail'!$C:$C,0)),0)</f>
        <v>0.87</v>
      </c>
      <c r="Z199" s="273">
        <f>IFERROR(INDEX('Measure Level Detail'!$R:$R,MATCH($B199&amp;"_"&amp;Z$3,'Measure Level Detail'!$C:$C,0)),0)</f>
        <v>0.87</v>
      </c>
      <c r="AA199" s="273">
        <f>IFERROR(INDEX('Measure Level Detail'!$R:$R,MATCH($B199&amp;"_"&amp;AA$3,'Measure Level Detail'!$C:$C,0)),0)</f>
        <v>0.87</v>
      </c>
      <c r="AB199" s="266">
        <f t="shared" si="87"/>
        <v>589.90967538555412</v>
      </c>
      <c r="AC199" s="266">
        <f t="shared" si="88"/>
        <v>589.90967538555412</v>
      </c>
      <c r="AD199" s="266">
        <f t="shared" si="89"/>
        <v>589.90967538555412</v>
      </c>
      <c r="AE199" s="266">
        <f t="shared" si="90"/>
        <v>589.90967538555412</v>
      </c>
      <c r="AF199" s="266">
        <f t="shared" si="91"/>
        <v>2359.6387015422165</v>
      </c>
      <c r="AG199" s="274">
        <v>0.87</v>
      </c>
      <c r="AH199" s="274">
        <v>0.87</v>
      </c>
      <c r="AI199" s="274">
        <v>0.87</v>
      </c>
      <c r="AJ199" s="274">
        <v>0.87</v>
      </c>
      <c r="AK199" s="274">
        <f t="shared" si="92"/>
        <v>0.87</v>
      </c>
      <c r="AL199" s="274">
        <f t="shared" si="93"/>
        <v>0.87</v>
      </c>
      <c r="AM199" s="274">
        <f t="shared" si="94"/>
        <v>0.87</v>
      </c>
      <c r="AN199" s="274">
        <f t="shared" si="95"/>
        <v>0.87</v>
      </c>
      <c r="AO199" s="262"/>
      <c r="AP199" s="262"/>
      <c r="AQ199" s="267">
        <v>9.0407613085908682</v>
      </c>
      <c r="AR199" s="262"/>
      <c r="AS199" s="266">
        <f t="shared" si="96"/>
        <v>589.90967538555412</v>
      </c>
      <c r="AT199" s="264">
        <f t="shared" si="97"/>
        <v>0</v>
      </c>
      <c r="AU199" s="262"/>
      <c r="AV199" s="262"/>
      <c r="AW199" s="265">
        <v>9.0407613085908682</v>
      </c>
      <c r="AX199" s="164" t="s">
        <v>1469</v>
      </c>
      <c r="AY199" s="266">
        <v>589.90967538555412</v>
      </c>
      <c r="AZ199" s="266">
        <f t="shared" si="98"/>
        <v>589.90967538555412</v>
      </c>
      <c r="BA199" s="264">
        <f t="shared" si="99"/>
        <v>0</v>
      </c>
      <c r="BB199" s="262"/>
      <c r="BC199" s="262"/>
      <c r="BD199" s="265">
        <f ca="1">IFERROR(INDEX(Algorithms!$G:$G,MATCH($C199&amp;"_Therm Saved per Unit",Algorithms!$A:$A,0)),0)</f>
        <v>9.0407613085908682</v>
      </c>
      <c r="BE199" s="164" t="str">
        <f ca="1">IFERROR(INDEX('v12 Revisions'!$P$29:$P$186, MATCH('Measure-Level Adj Gas'!$L199, 'v12 Revisions'!$D$29:$D$186,0)),"")</f>
        <v/>
      </c>
      <c r="BF199" s="266">
        <f t="shared" ca="1" si="100"/>
        <v>589.90967538555412</v>
      </c>
      <c r="BG199" s="264">
        <f t="shared" ca="1" si="101"/>
        <v>0</v>
      </c>
      <c r="BH199" s="262"/>
      <c r="BI199" s="262"/>
      <c r="BJ199" s="265">
        <f ca="1">IFERROR(INDEX(Algorithms!$G:$G,MATCH($C199&amp;"_Therm Saved per Unit",Algorithms!$A:$A,0)),0)</f>
        <v>9.0407613085908682</v>
      </c>
      <c r="BK199" s="164"/>
      <c r="BL199" s="266">
        <f t="shared" ca="1" si="102"/>
        <v>589.90967538555412</v>
      </c>
      <c r="BM199" s="264">
        <f t="shared" ca="1" si="103"/>
        <v>0</v>
      </c>
      <c r="BN199" s="266">
        <f t="shared" si="104"/>
        <v>589.90967538555412</v>
      </c>
      <c r="BO199" s="266">
        <f t="shared" si="105"/>
        <v>589.90967538555412</v>
      </c>
      <c r="BP199" s="266">
        <f t="shared" ca="1" si="106"/>
        <v>589.90967538555412</v>
      </c>
      <c r="BQ199" s="266">
        <f t="shared" ca="1" si="107"/>
        <v>589.90967538555412</v>
      </c>
      <c r="BR199" s="268">
        <f t="shared" ca="1" si="108"/>
        <v>2359.6387015422165</v>
      </c>
      <c r="BS199" s="262" t="s">
        <v>99</v>
      </c>
      <c r="BT199" s="277"/>
      <c r="BW199" s="266">
        <f t="shared" si="109"/>
        <v>589.90967538555412</v>
      </c>
      <c r="BX199" s="266">
        <f t="shared" si="110"/>
        <v>589.90967538555412</v>
      </c>
      <c r="BY199" s="266">
        <f t="shared" si="111"/>
        <v>589.90967538555412</v>
      </c>
      <c r="BZ199" s="266">
        <f t="shared" si="112"/>
        <v>589.90967538555412</v>
      </c>
      <c r="CA199" s="266">
        <f ca="1">N199*IFERROR(INDEX(Algorithms!$G:$G,MATCH($C199&amp;"_Therm Saved per Unit- MLA",Algorithms!$A:$A,0)),0)*X199</f>
        <v>0</v>
      </c>
      <c r="CB199" s="266">
        <f ca="1">O199*IFERROR(INDEX(Algorithms!$G:$G,MATCH($C199&amp;"_Therm Saved per Unit- MLA",Algorithms!$A:$A,0)),0)*Y199</f>
        <v>0</v>
      </c>
      <c r="CC199" s="266">
        <f ca="1">P199*IFERROR(INDEX(Algorithms!$G:$G,MATCH($C199&amp;"_Therm Saved per Unit- MLA",Algorithms!$A:$A,0)),0)*Z199</f>
        <v>0</v>
      </c>
      <c r="CD199" s="266">
        <f ca="1">Q199*IFERROR(INDEX(Algorithms!$G:$G,MATCH($C199&amp;"_Therm Saved per Unit- MLA",Algorithms!$A:$A,0)),0)*AA199</f>
        <v>0</v>
      </c>
      <c r="CE199" s="266">
        <f ca="1">IFERROR(INDEX(Algorithms!$G:$G,MATCH($C199&amp;"_Lifetime (years)",Algorithms!$A:$A,0)),0)</f>
        <v>15</v>
      </c>
      <c r="CF199" s="266">
        <f ca="1">IFERROR(INDEX(Algorithms!$G:$G,MATCH($C199&amp;"_Lifetime (years) - Remaining Years",Algorithms!$A:$A,0)),0)</f>
        <v>0</v>
      </c>
      <c r="CG199" s="266">
        <f t="shared" ca="1" si="113"/>
        <v>8848.6451307833122</v>
      </c>
      <c r="CH199" s="266">
        <f t="shared" ca="1" si="114"/>
        <v>8848.6451307833122</v>
      </c>
      <c r="CI199" s="266">
        <f t="shared" ca="1" si="115"/>
        <v>8848.6451307833122</v>
      </c>
      <c r="CJ199" s="266">
        <f t="shared" ca="1" si="116"/>
        <v>8848.6451307833122</v>
      </c>
      <c r="CK199" s="266">
        <f t="shared" si="117"/>
        <v>589.90967538555412</v>
      </c>
      <c r="CL199" s="266">
        <f t="shared" si="118"/>
        <v>589.90967538555412</v>
      </c>
      <c r="CM199" s="266">
        <f t="shared" ca="1" si="119"/>
        <v>589.90967538555412</v>
      </c>
      <c r="CN199" s="266">
        <f t="shared" ca="1" si="120"/>
        <v>589.90967538555412</v>
      </c>
      <c r="CO199" s="266">
        <f ca="1">N199*IFERROR(INDEX(Algorithms!$G:$G,MATCH($C199&amp;"_Therm Saved per Unit- MLA",Algorithms!$A:$A,0)),0)*X199</f>
        <v>0</v>
      </c>
      <c r="CP199" s="266">
        <f ca="1">O199*IFERROR(INDEX(Algorithms!$G:$G,MATCH($C199&amp;"_Therm Saved per Unit- MLA",Algorithms!$A:$A,0)),0)*Y199</f>
        <v>0</v>
      </c>
      <c r="CQ199" s="266">
        <f ca="1">P199*IFERROR(INDEX(Algorithms!$G:$G,MATCH($C199&amp;"_Therm Saved per Unit- MLA",Algorithms!$A:$A,0)),0)*Z199</f>
        <v>0</v>
      </c>
      <c r="CR199" s="266">
        <f ca="1">Q199*IFERROR(INDEX(Algorithms!$G:$G,MATCH($C199&amp;"_Therm Saved per Unit- MLA",Algorithms!$A:$A,0)),0)*AA199</f>
        <v>0</v>
      </c>
      <c r="CS199" s="266">
        <f ca="1">IFERROR(INDEX(Algorithms!$G:$G,MATCH($C199&amp;"_Lifetime (years)",Algorithms!$A:$A,0)),0)</f>
        <v>15</v>
      </c>
      <c r="CT199" s="266">
        <f ca="1">IFERROR(INDEX(Algorithms!$G:$G,MATCH($C199&amp;"_Lifetime (years) - Remaining Years",Algorithms!$A:$A,0)),0)</f>
        <v>0</v>
      </c>
      <c r="CU199" s="266">
        <f t="shared" ca="1" si="121"/>
        <v>8848.6451307833122</v>
      </c>
      <c r="CV199" s="266">
        <f t="shared" ca="1" si="122"/>
        <v>8848.6451307833122</v>
      </c>
      <c r="CW199" s="266">
        <f t="shared" ca="1" si="123"/>
        <v>8848.6451307833122</v>
      </c>
      <c r="CX199" s="266">
        <f t="shared" ca="1" si="124"/>
        <v>8848.6451307833122</v>
      </c>
    </row>
    <row r="200" spans="2:102" s="47" customFormat="1" ht="18" customHeight="1" x14ac:dyDescent="0.25">
      <c r="B200" t="str">
        <f t="shared" si="125"/>
        <v>NSG_Residential_Multi-Family_Partner Trade Ally Rebate_Pipe Insulation_Hyd. Boiler Sm ≤1.25"_MF</v>
      </c>
      <c r="C200" s="47" t="str">
        <f t="shared" si="86"/>
        <v>Pipe Insulation_Hyd. Boiler Sm ≤1.25"_MF</v>
      </c>
      <c r="D200" s="270" t="s">
        <v>1787</v>
      </c>
      <c r="E200" s="270" t="s">
        <v>2</v>
      </c>
      <c r="F200" s="270" t="s">
        <v>1422</v>
      </c>
      <c r="G200" s="270" t="s">
        <v>1799</v>
      </c>
      <c r="H200" s="270" t="s">
        <v>404</v>
      </c>
      <c r="I200" s="270" t="s">
        <v>947</v>
      </c>
      <c r="J200" s="270" t="s">
        <v>553</v>
      </c>
      <c r="K200" s="263">
        <v>1</v>
      </c>
      <c r="L200" s="263" t="str">
        <f ca="1">IFERROR(INDEX(Algorithms!J:J,MATCH($C200&amp;"_Therm Saved per Unit",Algorithms!$A:$A,0)),"n/a")</f>
        <v>"3 - Res Pipe Insulation" worksheet</v>
      </c>
      <c r="M200" s="263" t="str">
        <f>IFERROR(INDEX('Measure Level Detail'!$N:$N,MATCH($B200,'Measure Level Detail'!$B:$B,0)),0)</f>
        <v>ft</v>
      </c>
      <c r="N200" s="271">
        <f>IFERROR(INDEX('Measure Level Detail'!$P:$P,MATCH($B200&amp;"_"&amp;N$3,'Measure Level Detail'!$C:$C,0)),0)</f>
        <v>75</v>
      </c>
      <c r="O200" s="271">
        <f>IFERROR(INDEX('Measure Level Detail'!$P:$P,MATCH($B200&amp;"_"&amp;O$3,'Measure Level Detail'!$C:$C,0)),0)</f>
        <v>75</v>
      </c>
      <c r="P200" s="271">
        <f>IFERROR(INDEX('Measure Level Detail'!$P:$P,MATCH($B200&amp;"_"&amp;P$3,'Measure Level Detail'!$C:$C,0)),0)</f>
        <v>75</v>
      </c>
      <c r="Q200" s="271">
        <f>IFERROR(INDEX('Measure Level Detail'!$P:$P,MATCH($B200&amp;"_"&amp;Q$3,'Measure Level Detail'!$C:$C,0)),0)</f>
        <v>75</v>
      </c>
      <c r="R200" s="263">
        <f ca="1">IFERROR(INDEX(Algorithms!K:K,MATCH($C200&amp;"_Therm Saved per Unit",Algorithms!$A:$A,0)),"n/a")</f>
        <v>0</v>
      </c>
      <c r="S200" s="262"/>
      <c r="T200" s="272">
        <v>2.0682348076923076</v>
      </c>
      <c r="U200" s="272">
        <v>2.0682348076923076</v>
      </c>
      <c r="V200" s="272">
        <v>2.0682348076923076</v>
      </c>
      <c r="W200" s="272">
        <v>2.0682348076923076</v>
      </c>
      <c r="X200" s="273">
        <f>IFERROR(INDEX('Measure Level Detail'!$R:$R,MATCH($B200&amp;"_"&amp;X$3,'Measure Level Detail'!$C:$C,0)),0)</f>
        <v>0.87</v>
      </c>
      <c r="Y200" s="273">
        <f>IFERROR(INDEX('Measure Level Detail'!$R:$R,MATCH($B200&amp;"_"&amp;Y$3,'Measure Level Detail'!$C:$C,0)),0)</f>
        <v>0.87</v>
      </c>
      <c r="Z200" s="273">
        <f>IFERROR(INDEX('Measure Level Detail'!$R:$R,MATCH($B200&amp;"_"&amp;Z$3,'Measure Level Detail'!$C:$C,0)),0)</f>
        <v>0.87</v>
      </c>
      <c r="AA200" s="273">
        <f>IFERROR(INDEX('Measure Level Detail'!$R:$R,MATCH($B200&amp;"_"&amp;AA$3,'Measure Level Detail'!$C:$C,0)),0)</f>
        <v>0.87</v>
      </c>
      <c r="AB200" s="266">
        <f t="shared" si="87"/>
        <v>134.95232120192307</v>
      </c>
      <c r="AC200" s="266">
        <f t="shared" si="88"/>
        <v>134.95232120192307</v>
      </c>
      <c r="AD200" s="266">
        <f t="shared" si="89"/>
        <v>134.95232120192307</v>
      </c>
      <c r="AE200" s="266">
        <f t="shared" si="90"/>
        <v>134.95232120192307</v>
      </c>
      <c r="AF200" s="266">
        <f t="shared" si="91"/>
        <v>539.80928480769228</v>
      </c>
      <c r="AG200" s="274">
        <v>0.87</v>
      </c>
      <c r="AH200" s="274">
        <v>0.87</v>
      </c>
      <c r="AI200" s="710">
        <v>0.88</v>
      </c>
      <c r="AJ200" s="710">
        <v>0.88</v>
      </c>
      <c r="AK200" s="274">
        <f t="shared" si="92"/>
        <v>0.87</v>
      </c>
      <c r="AL200" s="274">
        <f t="shared" si="93"/>
        <v>0.87</v>
      </c>
      <c r="AM200" s="274">
        <f t="shared" si="94"/>
        <v>0.87</v>
      </c>
      <c r="AN200" s="274">
        <f t="shared" si="95"/>
        <v>0.87</v>
      </c>
      <c r="AO200" s="262"/>
      <c r="AP200" s="262"/>
      <c r="AQ200" s="267">
        <v>2.0682348076923076</v>
      </c>
      <c r="AR200" s="262"/>
      <c r="AS200" s="266">
        <f t="shared" si="96"/>
        <v>134.95232120192307</v>
      </c>
      <c r="AT200" s="264">
        <f t="shared" si="97"/>
        <v>0</v>
      </c>
      <c r="AU200" s="262"/>
      <c r="AV200" s="262"/>
      <c r="AW200" s="265">
        <v>2.0682348076923076</v>
      </c>
      <c r="AX200" s="164" t="s">
        <v>1469</v>
      </c>
      <c r="AY200" s="266">
        <v>134.95232120192307</v>
      </c>
      <c r="AZ200" s="266">
        <f t="shared" si="98"/>
        <v>134.95232120192307</v>
      </c>
      <c r="BA200" s="264">
        <f t="shared" si="99"/>
        <v>0</v>
      </c>
      <c r="BB200" s="262"/>
      <c r="BC200" s="262"/>
      <c r="BD200" s="265">
        <f ca="1">IFERROR(INDEX(Algorithms!$G:$G,MATCH($C200&amp;"_Therm Saved per Unit",Algorithms!$A:$A,0)),0)</f>
        <v>2.0682348076923076</v>
      </c>
      <c r="BE200" s="164" t="str">
        <f ca="1">IFERROR(INDEX('v12 Revisions'!$P$29:$P$186, MATCH('Measure-Level Adj Gas'!$L200, 'v12 Revisions'!$D$29:$D$186,0)),"")</f>
        <v/>
      </c>
      <c r="BF200" s="266">
        <f t="shared" ca="1" si="100"/>
        <v>134.95232120192307</v>
      </c>
      <c r="BG200" s="264">
        <f t="shared" ca="1" si="101"/>
        <v>0</v>
      </c>
      <c r="BH200" s="262"/>
      <c r="BI200" s="262"/>
      <c r="BJ200" s="265">
        <f ca="1">IFERROR(INDEX(Algorithms!$G:$G,MATCH($C200&amp;"_Therm Saved per Unit",Algorithms!$A:$A,0)),0)</f>
        <v>2.0682348076923076</v>
      </c>
      <c r="BK200" s="164"/>
      <c r="BL200" s="266">
        <f t="shared" ca="1" si="102"/>
        <v>134.95232120192307</v>
      </c>
      <c r="BM200" s="264">
        <f t="shared" ca="1" si="103"/>
        <v>0</v>
      </c>
      <c r="BN200" s="266">
        <f t="shared" si="104"/>
        <v>134.95232120192307</v>
      </c>
      <c r="BO200" s="266">
        <f t="shared" si="105"/>
        <v>134.95232120192307</v>
      </c>
      <c r="BP200" s="266">
        <f t="shared" ca="1" si="106"/>
        <v>134.95232120192307</v>
      </c>
      <c r="BQ200" s="266">
        <f t="shared" ca="1" si="107"/>
        <v>134.95232120192307</v>
      </c>
      <c r="BR200" s="268">
        <f t="shared" ca="1" si="108"/>
        <v>539.80928480769228</v>
      </c>
      <c r="BS200" s="262" t="s">
        <v>99</v>
      </c>
      <c r="BT200" s="277"/>
      <c r="BW200" s="266">
        <f t="shared" si="109"/>
        <v>134.95232120192307</v>
      </c>
      <c r="BX200" s="266">
        <f t="shared" si="110"/>
        <v>134.95232120192307</v>
      </c>
      <c r="BY200" s="266">
        <f t="shared" si="111"/>
        <v>134.95232120192307</v>
      </c>
      <c r="BZ200" s="266">
        <f t="shared" si="112"/>
        <v>134.95232120192307</v>
      </c>
      <c r="CA200" s="266">
        <f ca="1">N200*IFERROR(INDEX(Algorithms!$G:$G,MATCH($C200&amp;"_Therm Saved per Unit- MLA",Algorithms!$A:$A,0)),0)*X200</f>
        <v>0</v>
      </c>
      <c r="CB200" s="266">
        <f ca="1">O200*IFERROR(INDEX(Algorithms!$G:$G,MATCH($C200&amp;"_Therm Saved per Unit- MLA",Algorithms!$A:$A,0)),0)*Y200</f>
        <v>0</v>
      </c>
      <c r="CC200" s="266">
        <f ca="1">P200*IFERROR(INDEX(Algorithms!$G:$G,MATCH($C200&amp;"_Therm Saved per Unit- MLA",Algorithms!$A:$A,0)),0)*Z200</f>
        <v>0</v>
      </c>
      <c r="CD200" s="266">
        <f ca="1">Q200*IFERROR(INDEX(Algorithms!$G:$G,MATCH($C200&amp;"_Therm Saved per Unit- MLA",Algorithms!$A:$A,0)),0)*AA200</f>
        <v>0</v>
      </c>
      <c r="CE200" s="266">
        <f ca="1">IFERROR(INDEX(Algorithms!$G:$G,MATCH($C200&amp;"_Lifetime (years)",Algorithms!$A:$A,0)),0)</f>
        <v>15</v>
      </c>
      <c r="CF200" s="266">
        <f ca="1">IFERROR(INDEX(Algorithms!$G:$G,MATCH($C200&amp;"_Lifetime (years) - Remaining Years",Algorithms!$A:$A,0)),0)</f>
        <v>0</v>
      </c>
      <c r="CG200" s="266">
        <f t="shared" ca="1" si="113"/>
        <v>2024.2848180288461</v>
      </c>
      <c r="CH200" s="266">
        <f t="shared" ca="1" si="114"/>
        <v>2024.2848180288461</v>
      </c>
      <c r="CI200" s="266">
        <f t="shared" ca="1" si="115"/>
        <v>2024.2848180288461</v>
      </c>
      <c r="CJ200" s="266">
        <f t="shared" ca="1" si="116"/>
        <v>2024.2848180288461</v>
      </c>
      <c r="CK200" s="266">
        <f t="shared" si="117"/>
        <v>134.95232120192307</v>
      </c>
      <c r="CL200" s="266">
        <f t="shared" si="118"/>
        <v>134.95232120192307</v>
      </c>
      <c r="CM200" s="266">
        <f t="shared" ca="1" si="119"/>
        <v>134.95232120192307</v>
      </c>
      <c r="CN200" s="266">
        <f t="shared" ca="1" si="120"/>
        <v>134.95232120192307</v>
      </c>
      <c r="CO200" s="266">
        <f ca="1">N200*IFERROR(INDEX(Algorithms!$G:$G,MATCH($C200&amp;"_Therm Saved per Unit- MLA",Algorithms!$A:$A,0)),0)*X200</f>
        <v>0</v>
      </c>
      <c r="CP200" s="266">
        <f ca="1">O200*IFERROR(INDEX(Algorithms!$G:$G,MATCH($C200&amp;"_Therm Saved per Unit- MLA",Algorithms!$A:$A,0)),0)*Y200</f>
        <v>0</v>
      </c>
      <c r="CQ200" s="266">
        <f ca="1">P200*IFERROR(INDEX(Algorithms!$G:$G,MATCH($C200&amp;"_Therm Saved per Unit- MLA",Algorithms!$A:$A,0)),0)*Z200</f>
        <v>0</v>
      </c>
      <c r="CR200" s="266">
        <f ca="1">Q200*IFERROR(INDEX(Algorithms!$G:$G,MATCH($C200&amp;"_Therm Saved per Unit- MLA",Algorithms!$A:$A,0)),0)*AA200</f>
        <v>0</v>
      </c>
      <c r="CS200" s="266">
        <f ca="1">IFERROR(INDEX(Algorithms!$G:$G,MATCH($C200&amp;"_Lifetime (years)",Algorithms!$A:$A,0)),0)</f>
        <v>15</v>
      </c>
      <c r="CT200" s="266">
        <f ca="1">IFERROR(INDEX(Algorithms!$G:$G,MATCH($C200&amp;"_Lifetime (years) - Remaining Years",Algorithms!$A:$A,0)),0)</f>
        <v>0</v>
      </c>
      <c r="CU200" s="266">
        <f t="shared" ca="1" si="121"/>
        <v>2024.2848180288461</v>
      </c>
      <c r="CV200" s="266">
        <f t="shared" ca="1" si="122"/>
        <v>2024.2848180288461</v>
      </c>
      <c r="CW200" s="266">
        <f t="shared" ca="1" si="123"/>
        <v>2024.2848180288461</v>
      </c>
      <c r="CX200" s="266">
        <f t="shared" ca="1" si="124"/>
        <v>2024.2848180288461</v>
      </c>
    </row>
    <row r="201" spans="2:102" s="47" customFormat="1" ht="18" customHeight="1" x14ac:dyDescent="0.25">
      <c r="B201" t="str">
        <f t="shared" si="125"/>
        <v>NSG_Residential_Multi-Family_Partner Trade Ally Rebate_Pipe Insulation_Hyd. Boiler Large ≥2"_MF</v>
      </c>
      <c r="C201" s="47" t="str">
        <f t="shared" si="86"/>
        <v>Pipe Insulation_Hyd. Boiler Large ≥2"_MF</v>
      </c>
      <c r="D201" s="270" t="s">
        <v>1787</v>
      </c>
      <c r="E201" s="270" t="s">
        <v>2</v>
      </c>
      <c r="F201" s="270" t="s">
        <v>1422</v>
      </c>
      <c r="G201" s="270" t="s">
        <v>1799</v>
      </c>
      <c r="H201" s="270" t="s">
        <v>404</v>
      </c>
      <c r="I201" s="270" t="s">
        <v>952</v>
      </c>
      <c r="J201" s="270" t="s">
        <v>553</v>
      </c>
      <c r="K201" s="263">
        <v>1</v>
      </c>
      <c r="L201" s="263" t="str">
        <f ca="1">IFERROR(INDEX(Algorithms!J:J,MATCH($C201&amp;"_Therm Saved per Unit",Algorithms!$A:$A,0)),"n/a")</f>
        <v>"3 - Res Pipe Insulation" worksheet</v>
      </c>
      <c r="M201" s="263" t="str">
        <f>IFERROR(INDEX('Measure Level Detail'!$N:$N,MATCH($B201,'Measure Level Detail'!$B:$B,0)),0)</f>
        <v>ft</v>
      </c>
      <c r="N201" s="271">
        <f>IFERROR(INDEX('Measure Level Detail'!$P:$P,MATCH($B201&amp;"_"&amp;N$3,'Measure Level Detail'!$C:$C,0)),0)</f>
        <v>75</v>
      </c>
      <c r="O201" s="271">
        <f>IFERROR(INDEX('Measure Level Detail'!$P:$P,MATCH($B201&amp;"_"&amp;O$3,'Measure Level Detail'!$C:$C,0)),0)</f>
        <v>75</v>
      </c>
      <c r="P201" s="271">
        <f>IFERROR(INDEX('Measure Level Detail'!$P:$P,MATCH($B201&amp;"_"&amp;P$3,'Measure Level Detail'!$C:$C,0)),0)</f>
        <v>75</v>
      </c>
      <c r="Q201" s="271">
        <f>IFERROR(INDEX('Measure Level Detail'!$P:$P,MATCH($B201&amp;"_"&amp;Q$3,'Measure Level Detail'!$C:$C,0)),0)</f>
        <v>75</v>
      </c>
      <c r="R201" s="263">
        <f ca="1">IFERROR(INDEX(Algorithms!K:K,MATCH($C201&amp;"_Therm Saved per Unit",Algorithms!$A:$A,0)),"n/a")</f>
        <v>0</v>
      </c>
      <c r="S201" s="262"/>
      <c r="T201" s="272">
        <v>6.1867824786324785</v>
      </c>
      <c r="U201" s="272">
        <v>6.1867824786324785</v>
      </c>
      <c r="V201" s="272">
        <v>6.1867824786324785</v>
      </c>
      <c r="W201" s="272">
        <v>6.1867824786324785</v>
      </c>
      <c r="X201" s="273">
        <f>IFERROR(INDEX('Measure Level Detail'!$R:$R,MATCH($B201&amp;"_"&amp;X$3,'Measure Level Detail'!$C:$C,0)),0)</f>
        <v>0.87</v>
      </c>
      <c r="Y201" s="273">
        <f>IFERROR(INDEX('Measure Level Detail'!$R:$R,MATCH($B201&amp;"_"&amp;Y$3,'Measure Level Detail'!$C:$C,0)),0)</f>
        <v>0.87</v>
      </c>
      <c r="Z201" s="273">
        <f>IFERROR(INDEX('Measure Level Detail'!$R:$R,MATCH($B201&amp;"_"&amp;Z$3,'Measure Level Detail'!$C:$C,0)),0)</f>
        <v>0.87</v>
      </c>
      <c r="AA201" s="273">
        <f>IFERROR(INDEX('Measure Level Detail'!$R:$R,MATCH($B201&amp;"_"&amp;AA$3,'Measure Level Detail'!$C:$C,0)),0)</f>
        <v>0.87</v>
      </c>
      <c r="AB201" s="266">
        <f t="shared" si="87"/>
        <v>403.68755673076924</v>
      </c>
      <c r="AC201" s="266">
        <f t="shared" si="88"/>
        <v>403.68755673076924</v>
      </c>
      <c r="AD201" s="266">
        <f t="shared" si="89"/>
        <v>403.68755673076924</v>
      </c>
      <c r="AE201" s="266">
        <f t="shared" si="90"/>
        <v>403.68755673076924</v>
      </c>
      <c r="AF201" s="266">
        <f t="shared" si="91"/>
        <v>1614.750226923077</v>
      </c>
      <c r="AG201" s="274">
        <v>0.87</v>
      </c>
      <c r="AH201" s="274">
        <v>0.87</v>
      </c>
      <c r="AI201" s="710">
        <v>0.88</v>
      </c>
      <c r="AJ201" s="710">
        <v>0.88</v>
      </c>
      <c r="AK201" s="274">
        <f t="shared" si="92"/>
        <v>0.87</v>
      </c>
      <c r="AL201" s="274">
        <f t="shared" si="93"/>
        <v>0.87</v>
      </c>
      <c r="AM201" s="274">
        <f t="shared" si="94"/>
        <v>0.87</v>
      </c>
      <c r="AN201" s="274">
        <f t="shared" si="95"/>
        <v>0.87</v>
      </c>
      <c r="AO201" s="262"/>
      <c r="AP201" s="262"/>
      <c r="AQ201" s="267">
        <v>6.1867824786324785</v>
      </c>
      <c r="AR201" s="262"/>
      <c r="AS201" s="266">
        <f t="shared" si="96"/>
        <v>403.68755673076924</v>
      </c>
      <c r="AT201" s="264">
        <f t="shared" si="97"/>
        <v>0</v>
      </c>
      <c r="AU201" s="262"/>
      <c r="AV201" s="262"/>
      <c r="AW201" s="265">
        <v>6.1867824786324785</v>
      </c>
      <c r="AX201" s="164" t="s">
        <v>1469</v>
      </c>
      <c r="AY201" s="266">
        <v>403.68755673076924</v>
      </c>
      <c r="AZ201" s="266">
        <f t="shared" si="98"/>
        <v>403.68755673076924</v>
      </c>
      <c r="BA201" s="264">
        <f t="shared" si="99"/>
        <v>0</v>
      </c>
      <c r="BB201" s="262"/>
      <c r="BC201" s="262"/>
      <c r="BD201" s="265">
        <f ca="1">IFERROR(INDEX(Algorithms!$G:$G,MATCH($C201&amp;"_Therm Saved per Unit",Algorithms!$A:$A,0)),0)</f>
        <v>6.1867824786324785</v>
      </c>
      <c r="BE201" s="164" t="str">
        <f ca="1">IFERROR(INDEX('v12 Revisions'!$P$29:$P$186, MATCH('Measure-Level Adj Gas'!$L201, 'v12 Revisions'!$D$29:$D$186,0)),"")</f>
        <v/>
      </c>
      <c r="BF201" s="266">
        <f t="shared" ca="1" si="100"/>
        <v>403.68755673076924</v>
      </c>
      <c r="BG201" s="264">
        <f t="shared" ca="1" si="101"/>
        <v>0</v>
      </c>
      <c r="BH201" s="262"/>
      <c r="BI201" s="262"/>
      <c r="BJ201" s="265">
        <f ca="1">IFERROR(INDEX(Algorithms!$G:$G,MATCH($C201&amp;"_Therm Saved per Unit",Algorithms!$A:$A,0)),0)</f>
        <v>6.1867824786324785</v>
      </c>
      <c r="BK201" s="164"/>
      <c r="BL201" s="266">
        <f t="shared" ca="1" si="102"/>
        <v>403.68755673076924</v>
      </c>
      <c r="BM201" s="264">
        <f t="shared" ca="1" si="103"/>
        <v>0</v>
      </c>
      <c r="BN201" s="266">
        <f t="shared" si="104"/>
        <v>403.68755673076924</v>
      </c>
      <c r="BO201" s="266">
        <f t="shared" si="105"/>
        <v>403.68755673076924</v>
      </c>
      <c r="BP201" s="266">
        <f t="shared" ca="1" si="106"/>
        <v>403.68755673076924</v>
      </c>
      <c r="BQ201" s="266">
        <f t="shared" ca="1" si="107"/>
        <v>403.68755673076924</v>
      </c>
      <c r="BR201" s="268">
        <f t="shared" ca="1" si="108"/>
        <v>1614.750226923077</v>
      </c>
      <c r="BS201" s="262" t="s">
        <v>99</v>
      </c>
      <c r="BT201" s="277"/>
      <c r="BW201" s="266">
        <f t="shared" si="109"/>
        <v>403.68755673076924</v>
      </c>
      <c r="BX201" s="266">
        <f t="shared" si="110"/>
        <v>403.68755673076924</v>
      </c>
      <c r="BY201" s="266">
        <f t="shared" si="111"/>
        <v>403.68755673076924</v>
      </c>
      <c r="BZ201" s="266">
        <f t="shared" si="112"/>
        <v>403.68755673076924</v>
      </c>
      <c r="CA201" s="266">
        <f ca="1">N201*IFERROR(INDEX(Algorithms!$G:$G,MATCH($C201&amp;"_Therm Saved per Unit- MLA",Algorithms!$A:$A,0)),0)*X201</f>
        <v>0</v>
      </c>
      <c r="CB201" s="266">
        <f ca="1">O201*IFERROR(INDEX(Algorithms!$G:$G,MATCH($C201&amp;"_Therm Saved per Unit- MLA",Algorithms!$A:$A,0)),0)*Y201</f>
        <v>0</v>
      </c>
      <c r="CC201" s="266">
        <f ca="1">P201*IFERROR(INDEX(Algorithms!$G:$G,MATCH($C201&amp;"_Therm Saved per Unit- MLA",Algorithms!$A:$A,0)),0)*Z201</f>
        <v>0</v>
      </c>
      <c r="CD201" s="266">
        <f ca="1">Q201*IFERROR(INDEX(Algorithms!$G:$G,MATCH($C201&amp;"_Therm Saved per Unit- MLA",Algorithms!$A:$A,0)),0)*AA201</f>
        <v>0</v>
      </c>
      <c r="CE201" s="266">
        <f ca="1">IFERROR(INDEX(Algorithms!$G:$G,MATCH($C201&amp;"_Lifetime (years)",Algorithms!$A:$A,0)),0)</f>
        <v>15</v>
      </c>
      <c r="CF201" s="266">
        <f ca="1">IFERROR(INDEX(Algorithms!$G:$G,MATCH($C201&amp;"_Lifetime (years) - Remaining Years",Algorithms!$A:$A,0)),0)</f>
        <v>0</v>
      </c>
      <c r="CG201" s="266">
        <f t="shared" ca="1" si="113"/>
        <v>6055.3133509615391</v>
      </c>
      <c r="CH201" s="266">
        <f t="shared" ca="1" si="114"/>
        <v>6055.3133509615391</v>
      </c>
      <c r="CI201" s="266">
        <f t="shared" ca="1" si="115"/>
        <v>6055.3133509615391</v>
      </c>
      <c r="CJ201" s="266">
        <f t="shared" ca="1" si="116"/>
        <v>6055.3133509615391</v>
      </c>
      <c r="CK201" s="266">
        <f t="shared" si="117"/>
        <v>403.68755673076924</v>
      </c>
      <c r="CL201" s="266">
        <f t="shared" si="118"/>
        <v>403.68755673076924</v>
      </c>
      <c r="CM201" s="266">
        <f t="shared" ca="1" si="119"/>
        <v>403.68755673076924</v>
      </c>
      <c r="CN201" s="266">
        <f t="shared" ca="1" si="120"/>
        <v>403.68755673076924</v>
      </c>
      <c r="CO201" s="266">
        <f ca="1">N201*IFERROR(INDEX(Algorithms!$G:$G,MATCH($C201&amp;"_Therm Saved per Unit- MLA",Algorithms!$A:$A,0)),0)*X201</f>
        <v>0</v>
      </c>
      <c r="CP201" s="266">
        <f ca="1">O201*IFERROR(INDEX(Algorithms!$G:$G,MATCH($C201&amp;"_Therm Saved per Unit- MLA",Algorithms!$A:$A,0)),0)*Y201</f>
        <v>0</v>
      </c>
      <c r="CQ201" s="266">
        <f ca="1">P201*IFERROR(INDEX(Algorithms!$G:$G,MATCH($C201&amp;"_Therm Saved per Unit- MLA",Algorithms!$A:$A,0)),0)*Z201</f>
        <v>0</v>
      </c>
      <c r="CR201" s="266">
        <f ca="1">Q201*IFERROR(INDEX(Algorithms!$G:$G,MATCH($C201&amp;"_Therm Saved per Unit- MLA",Algorithms!$A:$A,0)),0)*AA201</f>
        <v>0</v>
      </c>
      <c r="CS201" s="266">
        <f ca="1">IFERROR(INDEX(Algorithms!$G:$G,MATCH($C201&amp;"_Lifetime (years)",Algorithms!$A:$A,0)),0)</f>
        <v>15</v>
      </c>
      <c r="CT201" s="266">
        <f ca="1">IFERROR(INDEX(Algorithms!$G:$G,MATCH($C201&amp;"_Lifetime (years) - Remaining Years",Algorithms!$A:$A,0)),0)</f>
        <v>0</v>
      </c>
      <c r="CU201" s="266">
        <f t="shared" ca="1" si="121"/>
        <v>6055.3133509615391</v>
      </c>
      <c r="CV201" s="266">
        <f t="shared" ca="1" si="122"/>
        <v>6055.3133509615391</v>
      </c>
      <c r="CW201" s="266">
        <f t="shared" ca="1" si="123"/>
        <v>6055.3133509615391</v>
      </c>
      <c r="CX201" s="266">
        <f t="shared" ca="1" si="124"/>
        <v>6055.3133509615391</v>
      </c>
    </row>
    <row r="202" spans="2:102" s="47" customFormat="1" ht="18" customHeight="1" x14ac:dyDescent="0.25">
      <c r="B202" t="str">
        <f t="shared" si="125"/>
        <v>NSG_Residential_Multi-Family_Partner Trade Ally Rebate_Pipe Insulation_Steam - Large 5.1" to 8"_MF</v>
      </c>
      <c r="C202" s="47" t="str">
        <f t="shared" ref="C202:C265" si="126">H202&amp;"_"&amp;I202&amp;"_"&amp;J202</f>
        <v>Pipe Insulation_Steam - Large 5.1" to 8"_MF</v>
      </c>
      <c r="D202" s="270" t="s">
        <v>1787</v>
      </c>
      <c r="E202" s="270" t="s">
        <v>2</v>
      </c>
      <c r="F202" s="270" t="s">
        <v>1422</v>
      </c>
      <c r="G202" s="270" t="s">
        <v>1799</v>
      </c>
      <c r="H202" s="270" t="s">
        <v>404</v>
      </c>
      <c r="I202" s="270" t="s">
        <v>958</v>
      </c>
      <c r="J202" s="270" t="s">
        <v>553</v>
      </c>
      <c r="K202" s="263">
        <v>1</v>
      </c>
      <c r="L202" s="263" t="str">
        <f ca="1">IFERROR(INDEX(Algorithms!J:J,MATCH($C202&amp;"_Therm Saved per Unit",Algorithms!$A:$A,0)),"n/a")</f>
        <v>"3 - Res Pipe Insulation" worksheet</v>
      </c>
      <c r="M202" s="263" t="str">
        <f>IFERROR(INDEX('Measure Level Detail'!$N:$N,MATCH($B202,'Measure Level Detail'!$B:$B,0)),0)</f>
        <v>ft</v>
      </c>
      <c r="N202" s="271">
        <f>IFERROR(INDEX('Measure Level Detail'!$P:$P,MATCH($B202&amp;"_"&amp;N$3,'Measure Level Detail'!$C:$C,0)),0)</f>
        <v>75</v>
      </c>
      <c r="O202" s="271">
        <f>IFERROR(INDEX('Measure Level Detail'!$P:$P,MATCH($B202&amp;"_"&amp;O$3,'Measure Level Detail'!$C:$C,0)),0)</f>
        <v>75</v>
      </c>
      <c r="P202" s="271">
        <f>IFERROR(INDEX('Measure Level Detail'!$P:$P,MATCH($B202&amp;"_"&amp;P$3,'Measure Level Detail'!$C:$C,0)),0)</f>
        <v>75</v>
      </c>
      <c r="Q202" s="271">
        <f>IFERROR(INDEX('Measure Level Detail'!$P:$P,MATCH($B202&amp;"_"&amp;Q$3,'Measure Level Detail'!$C:$C,0)),0)</f>
        <v>75</v>
      </c>
      <c r="R202" s="263">
        <f ca="1">IFERROR(INDEX(Algorithms!K:K,MATCH($C202&amp;"_Therm Saved per Unit",Algorithms!$A:$A,0)),"n/a")</f>
        <v>0</v>
      </c>
      <c r="S202" s="262"/>
      <c r="T202" s="272">
        <v>31.133964854103496</v>
      </c>
      <c r="U202" s="272">
        <v>31.133964854103496</v>
      </c>
      <c r="V202" s="272">
        <v>31.133964854103496</v>
      </c>
      <c r="W202" s="272">
        <v>31.133964854103496</v>
      </c>
      <c r="X202" s="273">
        <f>IFERROR(INDEX('Measure Level Detail'!$R:$R,MATCH($B202&amp;"_"&amp;X$3,'Measure Level Detail'!$C:$C,0)),0)</f>
        <v>0.87</v>
      </c>
      <c r="Y202" s="273">
        <f>IFERROR(INDEX('Measure Level Detail'!$R:$R,MATCH($B202&amp;"_"&amp;Y$3,'Measure Level Detail'!$C:$C,0)),0)</f>
        <v>0.87</v>
      </c>
      <c r="Z202" s="273">
        <f>IFERROR(INDEX('Measure Level Detail'!$R:$R,MATCH($B202&amp;"_"&amp;Z$3,'Measure Level Detail'!$C:$C,0)),0)</f>
        <v>0.87</v>
      </c>
      <c r="AA202" s="273">
        <f>IFERROR(INDEX('Measure Level Detail'!$R:$R,MATCH($B202&amp;"_"&amp;AA$3,'Measure Level Detail'!$C:$C,0)),0)</f>
        <v>0.87</v>
      </c>
      <c r="AB202" s="266">
        <f t="shared" ref="AB202:AB265" si="127">N202*T202*X202</f>
        <v>2031.491206730253</v>
      </c>
      <c r="AC202" s="266">
        <f t="shared" ref="AC202:AC265" si="128">O202*U202*Y202</f>
        <v>2031.491206730253</v>
      </c>
      <c r="AD202" s="266">
        <f t="shared" ref="AD202:AD265" si="129">P202*V202*Z202</f>
        <v>2031.491206730253</v>
      </c>
      <c r="AE202" s="266">
        <f t="shared" ref="AE202:AE265" si="130">Q202*W202*AA202</f>
        <v>2031.491206730253</v>
      </c>
      <c r="AF202" s="266">
        <f t="shared" ref="AF202:AF265" si="131">AB202+AC202+AD202+AE202</f>
        <v>8125.964826921012</v>
      </c>
      <c r="AG202" s="274">
        <v>0.87</v>
      </c>
      <c r="AH202" s="274">
        <v>0.87</v>
      </c>
      <c r="AI202" s="710">
        <v>0.88</v>
      </c>
      <c r="AJ202" s="710">
        <v>0.88</v>
      </c>
      <c r="AK202" s="274">
        <f t="shared" ref="AK202:AK265" si="132">IF(AG202=X202,X202,
IF(AG202&gt;X202, IF(AG202-X202&gt;IF($E202="Income Eligible",0,10%),X202+(AG202-(X202+IF($E202="Income Eligible",0,10%))),X202),
IF(X202-AG202&gt;IF($E202="Income Eligible",0,10%),X202-((X202-IF($E202="Income Eligible",0,10%))-AG202),X202)))</f>
        <v>0.87</v>
      </c>
      <c r="AL202" s="274">
        <f t="shared" ref="AL202:AL265" si="133">IF(AH202=Y202,Y202,
IF(AH202&gt;Y202, IF(AH202-Y202&gt;IF($E202="Income Eligible",0,10%),Y202+(AH202-(Y202+IF($E202="Income Eligible",0,10%))),Y202),
IF(Y202-AH202&gt;IF($E202="Income Eligible",0,10%),Y202-((Y202-IF($E202="Income Eligible",0,10%))-AH202),Y202)))</f>
        <v>0.87</v>
      </c>
      <c r="AM202" s="274">
        <f t="shared" ref="AM202:AM265" si="134">IF(AI202=Z202,Z202,
IF(AI202&gt;Z202, IF(AI202-Z202&gt;IF($E202="Income Eligible",0,10%),Z202+(AI202-(Z202+IF($E202="Income Eligible",0,10%))),Z202),
IF(Z202-AI202&gt;IF($E202="Income Eligible",0,10%),Z202-((Z202-IF($E202="Income Eligible",0,10%))-AI202),Z202)))</f>
        <v>0.87</v>
      </c>
      <c r="AN202" s="274">
        <f t="shared" ref="AN202:AN265" si="135">IF(AJ202=AA202,AA202,
IF(AJ202&gt;AA202, IF(AJ202-AA202&gt;IF($E202="Income Eligible",0,10%),AA202+(AJ202-(AA202+IF($E202="Income Eligible",0,10%))),AA202),
IF(AA202-AJ202&gt;IF($E202="Income Eligible",0,10%),AA202-((AA202-IF($E202="Income Eligible",0,10%))-AJ202),AA202)))</f>
        <v>0.87</v>
      </c>
      <c r="AO202" s="262"/>
      <c r="AP202" s="262"/>
      <c r="AQ202" s="267">
        <v>31.133964854103496</v>
      </c>
      <c r="AR202" s="262"/>
      <c r="AS202" s="266">
        <f t="shared" ref="AS202:AS265" si="136">N202*AQ202*AK202</f>
        <v>2031.491206730253</v>
      </c>
      <c r="AT202" s="264">
        <f t="shared" ref="AT202:AT265" si="137">IF(AS202=0,0,AS202-AB202)</f>
        <v>0</v>
      </c>
      <c r="AU202" s="262"/>
      <c r="AV202" s="262"/>
      <c r="AW202" s="265">
        <v>31.133964854103496</v>
      </c>
      <c r="AX202" s="164" t="s">
        <v>1469</v>
      </c>
      <c r="AY202" s="266">
        <v>2031.491206730253</v>
      </c>
      <c r="AZ202" s="266">
        <f t="shared" ref="AZ202:AZ265" si="138">O202*AW202*AL202</f>
        <v>2031.491206730253</v>
      </c>
      <c r="BA202" s="264">
        <f t="shared" ref="BA202:BA265" si="139">IF(AZ202=0,0,AZ202-AC202)</f>
        <v>0</v>
      </c>
      <c r="BB202" s="262"/>
      <c r="BC202" s="262"/>
      <c r="BD202" s="265">
        <f ca="1">IFERROR(INDEX(Algorithms!$G:$G,MATCH($C202&amp;"_Therm Saved per Unit",Algorithms!$A:$A,0)),0)</f>
        <v>31.133964854103496</v>
      </c>
      <c r="BE202" s="164" t="str">
        <f ca="1">IFERROR(INDEX('v12 Revisions'!$P$29:$P$186, MATCH('Measure-Level Adj Gas'!$L202, 'v12 Revisions'!$D$29:$D$186,0)),"")</f>
        <v/>
      </c>
      <c r="BF202" s="266">
        <f t="shared" ref="BF202:BF265" ca="1" si="140">P202*BD202*AM202</f>
        <v>2031.491206730253</v>
      </c>
      <c r="BG202" s="264">
        <f t="shared" ref="BG202:BG265" ca="1" si="141">IF(BF202=0,0,BF202-AD202)</f>
        <v>0</v>
      </c>
      <c r="BH202" s="262"/>
      <c r="BI202" s="262"/>
      <c r="BJ202" s="265">
        <f ca="1">IFERROR(INDEX(Algorithms!$G:$G,MATCH($C202&amp;"_Therm Saved per Unit",Algorithms!$A:$A,0)),0)</f>
        <v>31.133964854103496</v>
      </c>
      <c r="BK202" s="164"/>
      <c r="BL202" s="266">
        <f t="shared" ref="BL202:BL265" ca="1" si="142">Q202*BJ202*AN202</f>
        <v>2031.491206730253</v>
      </c>
      <c r="BM202" s="264">
        <f t="shared" ref="BM202:BM265" ca="1" si="143">IF(BL202=0,0,BL202-AE202)</f>
        <v>0</v>
      </c>
      <c r="BN202" s="266">
        <f t="shared" ref="BN202:BN265" si="144">IF(K202=1,AS202,AB202)</f>
        <v>2031.491206730253</v>
      </c>
      <c r="BO202" s="266">
        <f t="shared" ref="BO202:BO265" si="145">IF(K202=1,AZ202,AC202)</f>
        <v>2031.491206730253</v>
      </c>
      <c r="BP202" s="266">
        <f t="shared" ref="BP202:BP265" ca="1" si="146">IF(K202=1,BF202,AD202)</f>
        <v>2031.491206730253</v>
      </c>
      <c r="BQ202" s="266">
        <f t="shared" ref="BQ202:BQ265" ca="1" si="147">IF(K202=1,BL202,AE202)</f>
        <v>2031.491206730253</v>
      </c>
      <c r="BR202" s="268">
        <f t="shared" ref="BR202:BR265" ca="1" si="148">BN202+BO202+BP202+BQ202</f>
        <v>8125.964826921012</v>
      </c>
      <c r="BS202" s="262" t="s">
        <v>99</v>
      </c>
      <c r="BT202" s="277"/>
      <c r="BW202" s="266">
        <f t="shared" ref="BW202:BW265" si="149">N202*T202*X202</f>
        <v>2031.491206730253</v>
      </c>
      <c r="BX202" s="266">
        <f t="shared" ref="BX202:BX265" si="150">O202*U202*Y202</f>
        <v>2031.491206730253</v>
      </c>
      <c r="BY202" s="266">
        <f t="shared" ref="BY202:BY265" si="151">P202*V202*Z202</f>
        <v>2031.491206730253</v>
      </c>
      <c r="BZ202" s="266">
        <f t="shared" ref="BZ202:BZ265" si="152">Q202*W202*AA202</f>
        <v>2031.491206730253</v>
      </c>
      <c r="CA202" s="266">
        <f ca="1">N202*IFERROR(INDEX(Algorithms!$G:$G,MATCH($C202&amp;"_Therm Saved per Unit- MLA",Algorithms!$A:$A,0)),0)*X202</f>
        <v>0</v>
      </c>
      <c r="CB202" s="266">
        <f ca="1">O202*IFERROR(INDEX(Algorithms!$G:$G,MATCH($C202&amp;"_Therm Saved per Unit- MLA",Algorithms!$A:$A,0)),0)*Y202</f>
        <v>0</v>
      </c>
      <c r="CC202" s="266">
        <f ca="1">P202*IFERROR(INDEX(Algorithms!$G:$G,MATCH($C202&amp;"_Therm Saved per Unit- MLA",Algorithms!$A:$A,0)),0)*Z202</f>
        <v>0</v>
      </c>
      <c r="CD202" s="266">
        <f ca="1">Q202*IFERROR(INDEX(Algorithms!$G:$G,MATCH($C202&amp;"_Therm Saved per Unit- MLA",Algorithms!$A:$A,0)),0)*AA202</f>
        <v>0</v>
      </c>
      <c r="CE202" s="266">
        <f ca="1">IFERROR(INDEX(Algorithms!$G:$G,MATCH($C202&amp;"_Lifetime (years)",Algorithms!$A:$A,0)),0)</f>
        <v>15</v>
      </c>
      <c r="CF202" s="266">
        <f ca="1">IFERROR(INDEX(Algorithms!$G:$G,MATCH($C202&amp;"_Lifetime (years) - Remaining Years",Algorithms!$A:$A,0)),0)</f>
        <v>0</v>
      </c>
      <c r="CG202" s="266">
        <f t="shared" ref="CG202:CG265" ca="1" si="153">IF($CF202=0,(BW202*$CE202),((BW202*$CF202)+(CA202*($CE202-$CF202))))</f>
        <v>30472.368100953794</v>
      </c>
      <c r="CH202" s="266">
        <f t="shared" ref="CH202:CH265" ca="1" si="154">IF($CF202=0,(BX202*$CE202),((BX202*$CF202)+(CB202*($CE202-$CF202))))</f>
        <v>30472.368100953794</v>
      </c>
      <c r="CI202" s="266">
        <f t="shared" ref="CI202:CI265" ca="1" si="155">IF($CF202=0,(BY202*$CE202),((BY202*$CF202)+(CC202*($CE202-$CF202))))</f>
        <v>30472.368100953794</v>
      </c>
      <c r="CJ202" s="266">
        <f t="shared" ref="CJ202:CJ265" ca="1" si="156">IF($CF202=0,(BZ202*$CE202),((BZ202*$CF202)+(CD202*($CE202-$CF202))))</f>
        <v>30472.368100953794</v>
      </c>
      <c r="CK202" s="266">
        <f t="shared" ref="CK202:CK265" si="157">N202*AQ202*X202</f>
        <v>2031.491206730253</v>
      </c>
      <c r="CL202" s="266">
        <f t="shared" ref="CL202:CL265" si="158">O202*AW202*Y202</f>
        <v>2031.491206730253</v>
      </c>
      <c r="CM202" s="266">
        <f t="shared" ref="CM202:CM265" ca="1" si="159">P202*BD202*Z202</f>
        <v>2031.491206730253</v>
      </c>
      <c r="CN202" s="266">
        <f t="shared" ref="CN202:CN265" ca="1" si="160">Q202*BJ202*AA202</f>
        <v>2031.491206730253</v>
      </c>
      <c r="CO202" s="266">
        <f ca="1">N202*IFERROR(INDEX(Algorithms!$G:$G,MATCH($C202&amp;"_Therm Saved per Unit- MLA",Algorithms!$A:$A,0)),0)*X202</f>
        <v>0</v>
      </c>
      <c r="CP202" s="266">
        <f ca="1">O202*IFERROR(INDEX(Algorithms!$G:$G,MATCH($C202&amp;"_Therm Saved per Unit- MLA",Algorithms!$A:$A,0)),0)*Y202</f>
        <v>0</v>
      </c>
      <c r="CQ202" s="266">
        <f ca="1">P202*IFERROR(INDEX(Algorithms!$G:$G,MATCH($C202&amp;"_Therm Saved per Unit- MLA",Algorithms!$A:$A,0)),0)*Z202</f>
        <v>0</v>
      </c>
      <c r="CR202" s="266">
        <f ca="1">Q202*IFERROR(INDEX(Algorithms!$G:$G,MATCH($C202&amp;"_Therm Saved per Unit- MLA",Algorithms!$A:$A,0)),0)*AA202</f>
        <v>0</v>
      </c>
      <c r="CS202" s="266">
        <f ca="1">IFERROR(INDEX(Algorithms!$G:$G,MATCH($C202&amp;"_Lifetime (years)",Algorithms!$A:$A,0)),0)</f>
        <v>15</v>
      </c>
      <c r="CT202" s="266">
        <f ca="1">IFERROR(INDEX(Algorithms!$G:$G,MATCH($C202&amp;"_Lifetime (years) - Remaining Years",Algorithms!$A:$A,0)),0)</f>
        <v>0</v>
      </c>
      <c r="CU202" s="266">
        <f t="shared" ref="CU202:CU265" ca="1" si="161">IF($CT202=0,(CK202*$CS202),((CK202*$CT202)+(CO202*($CS202-$CT202))))</f>
        <v>30472.368100953794</v>
      </c>
      <c r="CV202" s="266">
        <f t="shared" ref="CV202:CV265" ca="1" si="162">IF($CT202=0,(CL202*$CS202),((CL202*$CT202)+(CP202*($CS202-$CT202))))</f>
        <v>30472.368100953794</v>
      </c>
      <c r="CW202" s="266">
        <f t="shared" ref="CW202:CW265" ca="1" si="163">IF($CT202=0,(CM202*$CS202),((CM202*$CT202)+(CQ202*($CS202-$CT202))))</f>
        <v>30472.368100953794</v>
      </c>
      <c r="CX202" s="266">
        <f t="shared" ref="CX202:CX265" ca="1" si="164">IF($CT202=0,(CN202*$CS202),((CN202*$CT202)+(CR202*($CS202-$CT202))))</f>
        <v>30472.368100953794</v>
      </c>
    </row>
    <row r="203" spans="2:102" s="47" customFormat="1" ht="18" customHeight="1" x14ac:dyDescent="0.25">
      <c r="B203" t="str">
        <f t="shared" ref="B203:B266" si="165">D203&amp;"_"&amp;E203&amp;"_"&amp;F203&amp;"_"&amp;G203&amp;"_"&amp;H203&amp;"_"&amp;I203&amp;"_"&amp;J203</f>
        <v>NSG_Income Eligible_Multi-Family_Whole Building - Prescriptive_Pipe Insulation_HW Small 1" to 2"_MF/CI/SMB</v>
      </c>
      <c r="C203" s="47" t="str">
        <f t="shared" si="126"/>
        <v>Pipe Insulation_HW Small 1" to 2"_MF/CI/SMB</v>
      </c>
      <c r="D203" s="270" t="s">
        <v>1787</v>
      </c>
      <c r="E203" s="270" t="s">
        <v>325</v>
      </c>
      <c r="F203" s="270" t="s">
        <v>1422</v>
      </c>
      <c r="G203" s="270" t="s">
        <v>1813</v>
      </c>
      <c r="H203" s="270" t="s">
        <v>404</v>
      </c>
      <c r="I203" s="270" t="s">
        <v>953</v>
      </c>
      <c r="J203" s="270" t="s">
        <v>662</v>
      </c>
      <c r="K203" s="263">
        <v>1</v>
      </c>
      <c r="L203" s="263" t="str">
        <f ca="1">IFERROR(INDEX(Algorithms!J:J,MATCH($C203&amp;"_Therm Saved per Unit",Algorithms!$A:$A,0)),"n/a")</f>
        <v>"3 - Res Pipe Insulation" worksheet</v>
      </c>
      <c r="M203" s="263" t="str">
        <f>IFERROR(INDEX('Measure Level Detail'!$N:$N,MATCH($B203,'Measure Level Detail'!$B:$B,0)),0)</f>
        <v>ft</v>
      </c>
      <c r="N203" s="271">
        <f>IFERROR(INDEX('Measure Level Detail'!$P:$P,MATCH($B203&amp;"_"&amp;N$3,'Measure Level Detail'!$C:$C,0)),0)</f>
        <v>75</v>
      </c>
      <c r="O203" s="271">
        <f>IFERROR(INDEX('Measure Level Detail'!$P:$P,MATCH($B203&amp;"_"&amp;O$3,'Measure Level Detail'!$C:$C,0)),0)</f>
        <v>75</v>
      </c>
      <c r="P203" s="271">
        <f>IFERROR(INDEX('Measure Level Detail'!$P:$P,MATCH($B203&amp;"_"&amp;P$3,'Measure Level Detail'!$C:$C,0)),0)</f>
        <v>75</v>
      </c>
      <c r="Q203" s="271">
        <f>IFERROR(INDEX('Measure Level Detail'!$P:$P,MATCH($B203&amp;"_"&amp;Q$3,'Measure Level Detail'!$C:$C,0)),0)</f>
        <v>75</v>
      </c>
      <c r="R203" s="263">
        <f ca="1">IFERROR(INDEX(Algorithms!K:K,MATCH($C203&amp;"_Therm Saved per Unit",Algorithms!$A:$A,0)),"n/a")</f>
        <v>0</v>
      </c>
      <c r="S203" s="262"/>
      <c r="T203" s="272">
        <v>2.6588140926267867</v>
      </c>
      <c r="U203" s="272">
        <v>2.6588140926267867</v>
      </c>
      <c r="V203" s="272">
        <v>2.6588140926267867</v>
      </c>
      <c r="W203" s="272">
        <v>2.6588140926267867</v>
      </c>
      <c r="X203" s="273">
        <f>IFERROR(INDEX('Measure Level Detail'!$R:$R,MATCH($B203&amp;"_"&amp;X$3,'Measure Level Detail'!$C:$C,0)),0)</f>
        <v>1</v>
      </c>
      <c r="Y203" s="273">
        <f>IFERROR(INDEX('Measure Level Detail'!$R:$R,MATCH($B203&amp;"_"&amp;Y$3,'Measure Level Detail'!$C:$C,0)),0)</f>
        <v>1</v>
      </c>
      <c r="Z203" s="273">
        <f>IFERROR(INDEX('Measure Level Detail'!$R:$R,MATCH($B203&amp;"_"&amp;Z$3,'Measure Level Detail'!$C:$C,0)),0)</f>
        <v>1</v>
      </c>
      <c r="AA203" s="273">
        <f>IFERROR(INDEX('Measure Level Detail'!$R:$R,MATCH($B203&amp;"_"&amp;AA$3,'Measure Level Detail'!$C:$C,0)),0)</f>
        <v>1</v>
      </c>
      <c r="AB203" s="266">
        <f t="shared" si="127"/>
        <v>199.411056947009</v>
      </c>
      <c r="AC203" s="266">
        <f t="shared" si="128"/>
        <v>199.411056947009</v>
      </c>
      <c r="AD203" s="266">
        <f t="shared" si="129"/>
        <v>199.411056947009</v>
      </c>
      <c r="AE203" s="266">
        <f t="shared" si="130"/>
        <v>199.411056947009</v>
      </c>
      <c r="AF203" s="266">
        <f t="shared" si="131"/>
        <v>797.64422778803601</v>
      </c>
      <c r="AG203" s="274">
        <v>1</v>
      </c>
      <c r="AH203" s="274">
        <v>1</v>
      </c>
      <c r="AI203" s="274">
        <v>1</v>
      </c>
      <c r="AJ203" s="274">
        <v>1</v>
      </c>
      <c r="AK203" s="274">
        <f t="shared" si="132"/>
        <v>1</v>
      </c>
      <c r="AL203" s="274">
        <f t="shared" si="133"/>
        <v>1</v>
      </c>
      <c r="AM203" s="274">
        <f t="shared" si="134"/>
        <v>1</v>
      </c>
      <c r="AN203" s="274">
        <f t="shared" si="135"/>
        <v>1</v>
      </c>
      <c r="AO203" s="262"/>
      <c r="AP203" s="262"/>
      <c r="AQ203" s="267">
        <v>2.6588140926267867</v>
      </c>
      <c r="AR203" s="262"/>
      <c r="AS203" s="266">
        <f t="shared" si="136"/>
        <v>199.411056947009</v>
      </c>
      <c r="AT203" s="264">
        <f t="shared" si="137"/>
        <v>0</v>
      </c>
      <c r="AU203" s="262"/>
      <c r="AV203" s="262"/>
      <c r="AW203" s="265">
        <v>2.6588140926267867</v>
      </c>
      <c r="AX203" s="164" t="s">
        <v>1469</v>
      </c>
      <c r="AY203" s="266">
        <v>199.411056947009</v>
      </c>
      <c r="AZ203" s="266">
        <f t="shared" si="138"/>
        <v>199.411056947009</v>
      </c>
      <c r="BA203" s="264">
        <f t="shared" si="139"/>
        <v>0</v>
      </c>
      <c r="BB203" s="262"/>
      <c r="BC203" s="262"/>
      <c r="BD203" s="265">
        <f ca="1">IFERROR(INDEX(Algorithms!$G:$G,MATCH($C203&amp;"_Therm Saved per Unit",Algorithms!$A:$A,0)),0)</f>
        <v>2.6588140926267867</v>
      </c>
      <c r="BE203" s="164" t="str">
        <f ca="1">IFERROR(INDEX('v12 Revisions'!$P$29:$P$186, MATCH('Measure-Level Adj Gas'!$L203, 'v12 Revisions'!$D$29:$D$186,0)),"")</f>
        <v/>
      </c>
      <c r="BF203" s="266">
        <f t="shared" ca="1" si="140"/>
        <v>199.411056947009</v>
      </c>
      <c r="BG203" s="264">
        <f t="shared" ca="1" si="141"/>
        <v>0</v>
      </c>
      <c r="BH203" s="262"/>
      <c r="BI203" s="262"/>
      <c r="BJ203" s="265">
        <f ca="1">IFERROR(INDEX(Algorithms!$G:$G,MATCH($C203&amp;"_Therm Saved per Unit",Algorithms!$A:$A,0)),0)</f>
        <v>2.6588140926267867</v>
      </c>
      <c r="BK203" s="164"/>
      <c r="BL203" s="266">
        <f t="shared" ca="1" si="142"/>
        <v>199.411056947009</v>
      </c>
      <c r="BM203" s="264">
        <f t="shared" ca="1" si="143"/>
        <v>0</v>
      </c>
      <c r="BN203" s="266">
        <f t="shared" si="144"/>
        <v>199.411056947009</v>
      </c>
      <c r="BO203" s="266">
        <f t="shared" si="145"/>
        <v>199.411056947009</v>
      </c>
      <c r="BP203" s="266">
        <f t="shared" ca="1" si="146"/>
        <v>199.411056947009</v>
      </c>
      <c r="BQ203" s="266">
        <f t="shared" ca="1" si="147"/>
        <v>199.411056947009</v>
      </c>
      <c r="BR203" s="268">
        <f t="shared" ca="1" si="148"/>
        <v>797.64422778803601</v>
      </c>
      <c r="BS203" s="262" t="s">
        <v>99</v>
      </c>
      <c r="BT203" s="277"/>
      <c r="BW203" s="266">
        <f t="shared" si="149"/>
        <v>199.411056947009</v>
      </c>
      <c r="BX203" s="266">
        <f t="shared" si="150"/>
        <v>199.411056947009</v>
      </c>
      <c r="BY203" s="266">
        <f t="shared" si="151"/>
        <v>199.411056947009</v>
      </c>
      <c r="BZ203" s="266">
        <f t="shared" si="152"/>
        <v>199.411056947009</v>
      </c>
      <c r="CA203" s="266">
        <f ca="1">N203*IFERROR(INDEX(Algorithms!$G:$G,MATCH($C203&amp;"_Therm Saved per Unit- MLA",Algorithms!$A:$A,0)),0)*X203</f>
        <v>0</v>
      </c>
      <c r="CB203" s="266">
        <f ca="1">O203*IFERROR(INDEX(Algorithms!$G:$G,MATCH($C203&amp;"_Therm Saved per Unit- MLA",Algorithms!$A:$A,0)),0)*Y203</f>
        <v>0</v>
      </c>
      <c r="CC203" s="266">
        <f ca="1">P203*IFERROR(INDEX(Algorithms!$G:$G,MATCH($C203&amp;"_Therm Saved per Unit- MLA",Algorithms!$A:$A,0)),0)*Z203</f>
        <v>0</v>
      </c>
      <c r="CD203" s="266">
        <f ca="1">Q203*IFERROR(INDEX(Algorithms!$G:$G,MATCH($C203&amp;"_Therm Saved per Unit- MLA",Algorithms!$A:$A,0)),0)*AA203</f>
        <v>0</v>
      </c>
      <c r="CE203" s="266">
        <f ca="1">IFERROR(INDEX(Algorithms!$G:$G,MATCH($C203&amp;"_Lifetime (years)",Algorithms!$A:$A,0)),0)</f>
        <v>15</v>
      </c>
      <c r="CF203" s="266">
        <f ca="1">IFERROR(INDEX(Algorithms!$G:$G,MATCH($C203&amp;"_Lifetime (years) - Remaining Years",Algorithms!$A:$A,0)),0)</f>
        <v>0</v>
      </c>
      <c r="CG203" s="266">
        <f t="shared" ca="1" si="153"/>
        <v>2991.165854205135</v>
      </c>
      <c r="CH203" s="266">
        <f t="shared" ca="1" si="154"/>
        <v>2991.165854205135</v>
      </c>
      <c r="CI203" s="266">
        <f t="shared" ca="1" si="155"/>
        <v>2991.165854205135</v>
      </c>
      <c r="CJ203" s="266">
        <f t="shared" ca="1" si="156"/>
        <v>2991.165854205135</v>
      </c>
      <c r="CK203" s="266">
        <f t="shared" si="157"/>
        <v>199.411056947009</v>
      </c>
      <c r="CL203" s="266">
        <f t="shared" si="158"/>
        <v>199.411056947009</v>
      </c>
      <c r="CM203" s="266">
        <f t="shared" ca="1" si="159"/>
        <v>199.411056947009</v>
      </c>
      <c r="CN203" s="266">
        <f t="shared" ca="1" si="160"/>
        <v>199.411056947009</v>
      </c>
      <c r="CO203" s="266">
        <f ca="1">N203*IFERROR(INDEX(Algorithms!$G:$G,MATCH($C203&amp;"_Therm Saved per Unit- MLA",Algorithms!$A:$A,0)),0)*X203</f>
        <v>0</v>
      </c>
      <c r="CP203" s="266">
        <f ca="1">O203*IFERROR(INDEX(Algorithms!$G:$G,MATCH($C203&amp;"_Therm Saved per Unit- MLA",Algorithms!$A:$A,0)),0)*Y203</f>
        <v>0</v>
      </c>
      <c r="CQ203" s="266">
        <f ca="1">P203*IFERROR(INDEX(Algorithms!$G:$G,MATCH($C203&amp;"_Therm Saved per Unit- MLA",Algorithms!$A:$A,0)),0)*Z203</f>
        <v>0</v>
      </c>
      <c r="CR203" s="266">
        <f ca="1">Q203*IFERROR(INDEX(Algorithms!$G:$G,MATCH($C203&amp;"_Therm Saved per Unit- MLA",Algorithms!$A:$A,0)),0)*AA203</f>
        <v>0</v>
      </c>
      <c r="CS203" s="266">
        <f ca="1">IFERROR(INDEX(Algorithms!$G:$G,MATCH($C203&amp;"_Lifetime (years)",Algorithms!$A:$A,0)),0)</f>
        <v>15</v>
      </c>
      <c r="CT203" s="266">
        <f ca="1">IFERROR(INDEX(Algorithms!$G:$G,MATCH($C203&amp;"_Lifetime (years) - Remaining Years",Algorithms!$A:$A,0)),0)</f>
        <v>0</v>
      </c>
      <c r="CU203" s="266">
        <f t="shared" ca="1" si="161"/>
        <v>2991.165854205135</v>
      </c>
      <c r="CV203" s="266">
        <f t="shared" ca="1" si="162"/>
        <v>2991.165854205135</v>
      </c>
      <c r="CW203" s="266">
        <f t="shared" ca="1" si="163"/>
        <v>2991.165854205135</v>
      </c>
      <c r="CX203" s="266">
        <f t="shared" ca="1" si="164"/>
        <v>2991.165854205135</v>
      </c>
    </row>
    <row r="204" spans="2:102" s="47" customFormat="1" ht="18" customHeight="1" x14ac:dyDescent="0.25">
      <c r="B204" t="str">
        <f t="shared" si="165"/>
        <v>NSG_Business_Public Sector_Rebates_Pipe Insulation_Steam - Med 2.1" to 5"_CI</v>
      </c>
      <c r="C204" s="47" t="str">
        <f t="shared" si="126"/>
        <v>Pipe Insulation_Steam - Med 2.1" to 5"_CI</v>
      </c>
      <c r="D204" s="270" t="s">
        <v>1787</v>
      </c>
      <c r="E204" s="270" t="s">
        <v>3</v>
      </c>
      <c r="F204" s="270" t="s">
        <v>1430</v>
      </c>
      <c r="G204" s="270" t="s">
        <v>1429</v>
      </c>
      <c r="H204" s="270" t="s">
        <v>404</v>
      </c>
      <c r="I204" s="270" t="s">
        <v>957</v>
      </c>
      <c r="J204" s="270" t="s">
        <v>1159</v>
      </c>
      <c r="K204" s="263">
        <v>1</v>
      </c>
      <c r="L204" s="263" t="str">
        <f ca="1">IFERROR(INDEX(Algorithms!J:J,MATCH($C204&amp;"_Therm Saved per Unit",Algorithms!$A:$A,0)),"n/a")</f>
        <v>"3 - Pipe Insulation" worksheet</v>
      </c>
      <c r="M204" s="263" t="str">
        <f>IFERROR(INDEX('Measure Level Detail'!$N:$N,MATCH($B204,'Measure Level Detail'!$B:$B,0)),0)</f>
        <v>ft</v>
      </c>
      <c r="N204" s="271">
        <f>IFERROR(INDEX('Measure Level Detail'!$P:$P,MATCH($B204&amp;"_"&amp;N$3,'Measure Level Detail'!$C:$C,0)),0)</f>
        <v>75</v>
      </c>
      <c r="O204" s="271">
        <f>IFERROR(INDEX('Measure Level Detail'!$P:$P,MATCH($B204&amp;"_"&amp;O$3,'Measure Level Detail'!$C:$C,0)),0)</f>
        <v>75</v>
      </c>
      <c r="P204" s="271">
        <f>IFERROR(INDEX('Measure Level Detail'!$P:$P,MATCH($B204&amp;"_"&amp;P$3,'Measure Level Detail'!$C:$C,0)),0)</f>
        <v>75</v>
      </c>
      <c r="Q204" s="271">
        <f>IFERROR(INDEX('Measure Level Detail'!$P:$P,MATCH($B204&amp;"_"&amp;Q$3,'Measure Level Detail'!$C:$C,0)),0)</f>
        <v>75</v>
      </c>
      <c r="R204" s="263">
        <f ca="1">IFERROR(INDEX(Algorithms!K:K,MATCH($C204&amp;"_Therm Saved per Unit",Algorithms!$A:$A,0)),"n/a")</f>
        <v>0</v>
      </c>
      <c r="S204" s="262"/>
      <c r="T204" s="272">
        <v>12.811046084448035</v>
      </c>
      <c r="U204" s="272">
        <v>12.811046084448035</v>
      </c>
      <c r="V204" s="272">
        <v>12.811046084448035</v>
      </c>
      <c r="W204" s="272">
        <v>12.811046084448035</v>
      </c>
      <c r="X204" s="276">
        <v>0.92</v>
      </c>
      <c r="Y204" s="276">
        <v>0.92</v>
      </c>
      <c r="Z204" s="276">
        <v>0.92</v>
      </c>
      <c r="AA204" s="276">
        <v>0.92</v>
      </c>
      <c r="AB204" s="266">
        <f t="shared" si="127"/>
        <v>883.96217982691439</v>
      </c>
      <c r="AC204" s="266">
        <f t="shared" si="128"/>
        <v>883.96217982691439</v>
      </c>
      <c r="AD204" s="266">
        <f t="shared" si="129"/>
        <v>883.96217982691439</v>
      </c>
      <c r="AE204" s="266">
        <f t="shared" si="130"/>
        <v>883.96217982691439</v>
      </c>
      <c r="AF204" s="266">
        <f t="shared" si="131"/>
        <v>3535.8487193076576</v>
      </c>
      <c r="AG204" s="274">
        <v>0.92</v>
      </c>
      <c r="AH204" s="274">
        <v>0.92</v>
      </c>
      <c r="AI204" s="274">
        <v>0.92</v>
      </c>
      <c r="AJ204" s="274">
        <v>0.92</v>
      </c>
      <c r="AK204" s="274">
        <f t="shared" si="132"/>
        <v>0.92</v>
      </c>
      <c r="AL204" s="274">
        <f t="shared" si="133"/>
        <v>0.92</v>
      </c>
      <c r="AM204" s="274">
        <f t="shared" si="134"/>
        <v>0.92</v>
      </c>
      <c r="AN204" s="274">
        <f t="shared" si="135"/>
        <v>0.92</v>
      </c>
      <c r="AO204" s="262"/>
      <c r="AP204" s="262"/>
      <c r="AQ204" s="267">
        <v>12.811046084448035</v>
      </c>
      <c r="AR204" s="262"/>
      <c r="AS204" s="266">
        <f t="shared" si="136"/>
        <v>883.96217982691439</v>
      </c>
      <c r="AT204" s="264">
        <f t="shared" si="137"/>
        <v>0</v>
      </c>
      <c r="AU204" s="262"/>
      <c r="AV204" s="262"/>
      <c r="AW204" s="265">
        <v>12.811046084448035</v>
      </c>
      <c r="AX204" s="164" t="s">
        <v>1469</v>
      </c>
      <c r="AY204" s="266">
        <v>883.96217982691439</v>
      </c>
      <c r="AZ204" s="266">
        <f t="shared" si="138"/>
        <v>883.96217982691439</v>
      </c>
      <c r="BA204" s="264">
        <f t="shared" si="139"/>
        <v>0</v>
      </c>
      <c r="BB204" s="262"/>
      <c r="BC204" s="262"/>
      <c r="BD204" s="265">
        <f ca="1">IFERROR(INDEX(Algorithms!$G:$G,MATCH($C204&amp;"_Therm Saved per Unit",Algorithms!$A:$A,0)),0)</f>
        <v>12.811046084448035</v>
      </c>
      <c r="BE204" s="164" t="str">
        <f ca="1">IFERROR(INDEX('v12 Revisions'!$P$29:$P$186, MATCH('Measure-Level Adj Gas'!$L204, 'v12 Revisions'!$D$29:$D$186,0)),"")</f>
        <v/>
      </c>
      <c r="BF204" s="266">
        <f t="shared" ca="1" si="140"/>
        <v>883.96217982691439</v>
      </c>
      <c r="BG204" s="264">
        <f t="shared" ca="1" si="141"/>
        <v>0</v>
      </c>
      <c r="BH204" s="262"/>
      <c r="BI204" s="262"/>
      <c r="BJ204" s="265">
        <f ca="1">IFERROR(INDEX(Algorithms!$G:$G,MATCH($C204&amp;"_Therm Saved per Unit",Algorithms!$A:$A,0)),0)</f>
        <v>12.811046084448035</v>
      </c>
      <c r="BK204" s="164"/>
      <c r="BL204" s="266">
        <f t="shared" ca="1" si="142"/>
        <v>883.96217982691439</v>
      </c>
      <c r="BM204" s="264">
        <f t="shared" ca="1" si="143"/>
        <v>0</v>
      </c>
      <c r="BN204" s="266">
        <f t="shared" si="144"/>
        <v>883.96217982691439</v>
      </c>
      <c r="BO204" s="266">
        <f t="shared" si="145"/>
        <v>883.96217982691439</v>
      </c>
      <c r="BP204" s="266">
        <f t="shared" ca="1" si="146"/>
        <v>883.96217982691439</v>
      </c>
      <c r="BQ204" s="266">
        <f t="shared" ca="1" si="147"/>
        <v>883.96217982691439</v>
      </c>
      <c r="BR204" s="268">
        <f t="shared" ca="1" si="148"/>
        <v>3535.8487193076576</v>
      </c>
      <c r="BS204" s="262" t="s">
        <v>99</v>
      </c>
      <c r="BT204" s="277"/>
      <c r="BW204" s="266">
        <f t="shared" si="149"/>
        <v>883.96217982691439</v>
      </c>
      <c r="BX204" s="266">
        <f t="shared" si="150"/>
        <v>883.96217982691439</v>
      </c>
      <c r="BY204" s="266">
        <f t="shared" si="151"/>
        <v>883.96217982691439</v>
      </c>
      <c r="BZ204" s="266">
        <f t="shared" si="152"/>
        <v>883.96217982691439</v>
      </c>
      <c r="CA204" s="266">
        <f ca="1">N204*IFERROR(INDEX(Algorithms!$G:$G,MATCH($C204&amp;"_Therm Saved per Unit- MLA",Algorithms!$A:$A,0)),0)*X204</f>
        <v>0</v>
      </c>
      <c r="CB204" s="266">
        <f ca="1">O204*IFERROR(INDEX(Algorithms!$G:$G,MATCH($C204&amp;"_Therm Saved per Unit- MLA",Algorithms!$A:$A,0)),0)*Y204</f>
        <v>0</v>
      </c>
      <c r="CC204" s="266">
        <f ca="1">P204*IFERROR(INDEX(Algorithms!$G:$G,MATCH($C204&amp;"_Therm Saved per Unit- MLA",Algorithms!$A:$A,0)),0)*Z204</f>
        <v>0</v>
      </c>
      <c r="CD204" s="266">
        <f ca="1">Q204*IFERROR(INDEX(Algorithms!$G:$G,MATCH($C204&amp;"_Therm Saved per Unit- MLA",Algorithms!$A:$A,0)),0)*AA204</f>
        <v>0</v>
      </c>
      <c r="CE204" s="266">
        <f ca="1">IFERROR(INDEX(Algorithms!$G:$G,MATCH($C204&amp;"_Lifetime (years)",Algorithms!$A:$A,0)),0)</f>
        <v>15</v>
      </c>
      <c r="CF204" s="266">
        <f ca="1">IFERROR(INDEX(Algorithms!$G:$G,MATCH($C204&amp;"_Lifetime (years) - Remaining Years",Algorithms!$A:$A,0)),0)</f>
        <v>0</v>
      </c>
      <c r="CG204" s="266">
        <f t="shared" ca="1" si="153"/>
        <v>13259.432697403716</v>
      </c>
      <c r="CH204" s="266">
        <f t="shared" ca="1" si="154"/>
        <v>13259.432697403716</v>
      </c>
      <c r="CI204" s="266">
        <f t="shared" ca="1" si="155"/>
        <v>13259.432697403716</v>
      </c>
      <c r="CJ204" s="266">
        <f t="shared" ca="1" si="156"/>
        <v>13259.432697403716</v>
      </c>
      <c r="CK204" s="266">
        <f t="shared" si="157"/>
        <v>883.96217982691439</v>
      </c>
      <c r="CL204" s="266">
        <f t="shared" si="158"/>
        <v>883.96217982691439</v>
      </c>
      <c r="CM204" s="266">
        <f t="shared" ca="1" si="159"/>
        <v>883.96217982691439</v>
      </c>
      <c r="CN204" s="266">
        <f t="shared" ca="1" si="160"/>
        <v>883.96217982691439</v>
      </c>
      <c r="CO204" s="266">
        <f ca="1">N204*IFERROR(INDEX(Algorithms!$G:$G,MATCH($C204&amp;"_Therm Saved per Unit- MLA",Algorithms!$A:$A,0)),0)*X204</f>
        <v>0</v>
      </c>
      <c r="CP204" s="266">
        <f ca="1">O204*IFERROR(INDEX(Algorithms!$G:$G,MATCH($C204&amp;"_Therm Saved per Unit- MLA",Algorithms!$A:$A,0)),0)*Y204</f>
        <v>0</v>
      </c>
      <c r="CQ204" s="266">
        <f ca="1">P204*IFERROR(INDEX(Algorithms!$G:$G,MATCH($C204&amp;"_Therm Saved per Unit- MLA",Algorithms!$A:$A,0)),0)*Z204</f>
        <v>0</v>
      </c>
      <c r="CR204" s="266">
        <f ca="1">Q204*IFERROR(INDEX(Algorithms!$G:$G,MATCH($C204&amp;"_Therm Saved per Unit- MLA",Algorithms!$A:$A,0)),0)*AA204</f>
        <v>0</v>
      </c>
      <c r="CS204" s="266">
        <f ca="1">IFERROR(INDEX(Algorithms!$G:$G,MATCH($C204&amp;"_Lifetime (years)",Algorithms!$A:$A,0)),0)</f>
        <v>15</v>
      </c>
      <c r="CT204" s="266">
        <f ca="1">IFERROR(INDEX(Algorithms!$G:$G,MATCH($C204&amp;"_Lifetime (years) - Remaining Years",Algorithms!$A:$A,0)),0)</f>
        <v>0</v>
      </c>
      <c r="CU204" s="266">
        <f t="shared" ca="1" si="161"/>
        <v>13259.432697403716</v>
      </c>
      <c r="CV204" s="266">
        <f t="shared" ca="1" si="162"/>
        <v>13259.432697403716</v>
      </c>
      <c r="CW204" s="266">
        <f t="shared" ca="1" si="163"/>
        <v>13259.432697403716</v>
      </c>
      <c r="CX204" s="266">
        <f t="shared" ca="1" si="164"/>
        <v>13259.432697403716</v>
      </c>
    </row>
    <row r="205" spans="2:102" s="47" customFormat="1" ht="18" customHeight="1" x14ac:dyDescent="0.25">
      <c r="B205" t="str">
        <f t="shared" si="165"/>
        <v>NSG_Business_Public Sector_Rebates_Pipe Insulation_Steam - Large 5.1" to 8"_CI</v>
      </c>
      <c r="C205" s="47" t="str">
        <f t="shared" si="126"/>
        <v>Pipe Insulation_Steam - Large 5.1" to 8"_CI</v>
      </c>
      <c r="D205" s="270" t="s">
        <v>1787</v>
      </c>
      <c r="E205" s="270" t="s">
        <v>3</v>
      </c>
      <c r="F205" s="270" t="s">
        <v>1430</v>
      </c>
      <c r="G205" s="270" t="s">
        <v>1429</v>
      </c>
      <c r="H205" s="270" t="s">
        <v>404</v>
      </c>
      <c r="I205" s="270" t="s">
        <v>958</v>
      </c>
      <c r="J205" s="270" t="s">
        <v>1159</v>
      </c>
      <c r="K205" s="263">
        <v>1</v>
      </c>
      <c r="L205" s="263" t="str">
        <f ca="1">IFERROR(INDEX(Algorithms!J:J,MATCH($C205&amp;"_Therm Saved per Unit",Algorithms!$A:$A,0)),"n/a")</f>
        <v>"3 - Pipe Insulation" worksheet</v>
      </c>
      <c r="M205" s="263" t="str">
        <f>IFERROR(INDEX('Measure Level Detail'!$N:$N,MATCH($B205,'Measure Level Detail'!$B:$B,0)),0)</f>
        <v>ft</v>
      </c>
      <c r="N205" s="271">
        <f>IFERROR(INDEX('Measure Level Detail'!$P:$P,MATCH($B205&amp;"_"&amp;N$3,'Measure Level Detail'!$C:$C,0)),0)</f>
        <v>75</v>
      </c>
      <c r="O205" s="271">
        <f>IFERROR(INDEX('Measure Level Detail'!$P:$P,MATCH($B205&amp;"_"&amp;O$3,'Measure Level Detail'!$C:$C,0)),0)</f>
        <v>75</v>
      </c>
      <c r="P205" s="271">
        <f>IFERROR(INDEX('Measure Level Detail'!$P:$P,MATCH($B205&amp;"_"&amp;P$3,'Measure Level Detail'!$C:$C,0)),0)</f>
        <v>75</v>
      </c>
      <c r="Q205" s="271">
        <f>IFERROR(INDEX('Measure Level Detail'!$P:$P,MATCH($B205&amp;"_"&amp;Q$3,'Measure Level Detail'!$C:$C,0)),0)</f>
        <v>75</v>
      </c>
      <c r="R205" s="263">
        <f ca="1">IFERROR(INDEX(Algorithms!K:K,MATCH($C205&amp;"_Therm Saved per Unit",Algorithms!$A:$A,0)),"n/a")</f>
        <v>0</v>
      </c>
      <c r="S205" s="262"/>
      <c r="T205" s="272">
        <v>24.999763600321025</v>
      </c>
      <c r="U205" s="272">
        <v>24.999763600321025</v>
      </c>
      <c r="V205" s="272">
        <v>24.999763600321025</v>
      </c>
      <c r="W205" s="272">
        <v>24.999763600321025</v>
      </c>
      <c r="X205" s="276">
        <v>0.92</v>
      </c>
      <c r="Y205" s="276">
        <v>0.92</v>
      </c>
      <c r="Z205" s="276">
        <v>0.92</v>
      </c>
      <c r="AA205" s="276">
        <v>0.92</v>
      </c>
      <c r="AB205" s="266">
        <f t="shared" si="127"/>
        <v>1724.9836884221506</v>
      </c>
      <c r="AC205" s="266">
        <f t="shared" si="128"/>
        <v>1724.9836884221506</v>
      </c>
      <c r="AD205" s="266">
        <f t="shared" si="129"/>
        <v>1724.9836884221506</v>
      </c>
      <c r="AE205" s="266">
        <f t="shared" si="130"/>
        <v>1724.9836884221506</v>
      </c>
      <c r="AF205" s="266">
        <f t="shared" si="131"/>
        <v>6899.9347536886025</v>
      </c>
      <c r="AG205" s="274">
        <v>0.92</v>
      </c>
      <c r="AH205" s="274">
        <v>0.92</v>
      </c>
      <c r="AI205" s="274">
        <v>0.92</v>
      </c>
      <c r="AJ205" s="274">
        <v>0.92</v>
      </c>
      <c r="AK205" s="274">
        <f t="shared" si="132"/>
        <v>0.92</v>
      </c>
      <c r="AL205" s="274">
        <f t="shared" si="133"/>
        <v>0.92</v>
      </c>
      <c r="AM205" s="274">
        <f t="shared" si="134"/>
        <v>0.92</v>
      </c>
      <c r="AN205" s="274">
        <f t="shared" si="135"/>
        <v>0.92</v>
      </c>
      <c r="AO205" s="262"/>
      <c r="AP205" s="262"/>
      <c r="AQ205" s="267">
        <v>24.999763600321025</v>
      </c>
      <c r="AR205" s="262"/>
      <c r="AS205" s="266">
        <f t="shared" si="136"/>
        <v>1724.9836884221506</v>
      </c>
      <c r="AT205" s="264">
        <f t="shared" si="137"/>
        <v>0</v>
      </c>
      <c r="AU205" s="262"/>
      <c r="AV205" s="262"/>
      <c r="AW205" s="265">
        <v>24.999763600321025</v>
      </c>
      <c r="AX205" s="164" t="s">
        <v>1469</v>
      </c>
      <c r="AY205" s="266">
        <v>1724.9836884221506</v>
      </c>
      <c r="AZ205" s="266">
        <f t="shared" si="138"/>
        <v>1724.9836884221506</v>
      </c>
      <c r="BA205" s="264">
        <f t="shared" si="139"/>
        <v>0</v>
      </c>
      <c r="BB205" s="262"/>
      <c r="BC205" s="262"/>
      <c r="BD205" s="265">
        <f ca="1">IFERROR(INDEX(Algorithms!$G:$G,MATCH($C205&amp;"_Therm Saved per Unit",Algorithms!$A:$A,0)),0)</f>
        <v>24.999763600321025</v>
      </c>
      <c r="BE205" s="164" t="str">
        <f ca="1">IFERROR(INDEX('v12 Revisions'!$P$29:$P$186, MATCH('Measure-Level Adj Gas'!$L205, 'v12 Revisions'!$D$29:$D$186,0)),"")</f>
        <v/>
      </c>
      <c r="BF205" s="266">
        <f t="shared" ca="1" si="140"/>
        <v>1724.9836884221506</v>
      </c>
      <c r="BG205" s="264">
        <f t="shared" ca="1" si="141"/>
        <v>0</v>
      </c>
      <c r="BH205" s="262"/>
      <c r="BI205" s="262"/>
      <c r="BJ205" s="265">
        <f ca="1">IFERROR(INDEX(Algorithms!$G:$G,MATCH($C205&amp;"_Therm Saved per Unit",Algorithms!$A:$A,0)),0)</f>
        <v>24.999763600321025</v>
      </c>
      <c r="BK205" s="164"/>
      <c r="BL205" s="266">
        <f t="shared" ca="1" si="142"/>
        <v>1724.9836884221506</v>
      </c>
      <c r="BM205" s="264">
        <f t="shared" ca="1" si="143"/>
        <v>0</v>
      </c>
      <c r="BN205" s="266">
        <f t="shared" si="144"/>
        <v>1724.9836884221506</v>
      </c>
      <c r="BO205" s="266">
        <f t="shared" si="145"/>
        <v>1724.9836884221506</v>
      </c>
      <c r="BP205" s="266">
        <f t="shared" ca="1" si="146"/>
        <v>1724.9836884221506</v>
      </c>
      <c r="BQ205" s="266">
        <f t="shared" ca="1" si="147"/>
        <v>1724.9836884221506</v>
      </c>
      <c r="BR205" s="268">
        <f t="shared" ca="1" si="148"/>
        <v>6899.9347536886025</v>
      </c>
      <c r="BS205" s="262" t="s">
        <v>99</v>
      </c>
      <c r="BT205" s="277"/>
      <c r="BW205" s="266">
        <f t="shared" si="149"/>
        <v>1724.9836884221506</v>
      </c>
      <c r="BX205" s="266">
        <f t="shared" si="150"/>
        <v>1724.9836884221506</v>
      </c>
      <c r="BY205" s="266">
        <f t="shared" si="151"/>
        <v>1724.9836884221506</v>
      </c>
      <c r="BZ205" s="266">
        <f t="shared" si="152"/>
        <v>1724.9836884221506</v>
      </c>
      <c r="CA205" s="266">
        <f ca="1">N205*IFERROR(INDEX(Algorithms!$G:$G,MATCH($C205&amp;"_Therm Saved per Unit- MLA",Algorithms!$A:$A,0)),0)*X205</f>
        <v>0</v>
      </c>
      <c r="CB205" s="266">
        <f ca="1">O205*IFERROR(INDEX(Algorithms!$G:$G,MATCH($C205&amp;"_Therm Saved per Unit- MLA",Algorithms!$A:$A,0)),0)*Y205</f>
        <v>0</v>
      </c>
      <c r="CC205" s="266">
        <f ca="1">P205*IFERROR(INDEX(Algorithms!$G:$G,MATCH($C205&amp;"_Therm Saved per Unit- MLA",Algorithms!$A:$A,0)),0)*Z205</f>
        <v>0</v>
      </c>
      <c r="CD205" s="266">
        <f ca="1">Q205*IFERROR(INDEX(Algorithms!$G:$G,MATCH($C205&amp;"_Therm Saved per Unit- MLA",Algorithms!$A:$A,0)),0)*AA205</f>
        <v>0</v>
      </c>
      <c r="CE205" s="266">
        <f ca="1">IFERROR(INDEX(Algorithms!$G:$G,MATCH($C205&amp;"_Lifetime (years)",Algorithms!$A:$A,0)),0)</f>
        <v>15</v>
      </c>
      <c r="CF205" s="266">
        <f ca="1">IFERROR(INDEX(Algorithms!$G:$G,MATCH($C205&amp;"_Lifetime (years) - Remaining Years",Algorithms!$A:$A,0)),0)</f>
        <v>0</v>
      </c>
      <c r="CG205" s="266">
        <f t="shared" ca="1" si="153"/>
        <v>25874.755326332259</v>
      </c>
      <c r="CH205" s="266">
        <f t="shared" ca="1" si="154"/>
        <v>25874.755326332259</v>
      </c>
      <c r="CI205" s="266">
        <f t="shared" ca="1" si="155"/>
        <v>25874.755326332259</v>
      </c>
      <c r="CJ205" s="266">
        <f t="shared" ca="1" si="156"/>
        <v>25874.755326332259</v>
      </c>
      <c r="CK205" s="266">
        <f t="shared" si="157"/>
        <v>1724.9836884221506</v>
      </c>
      <c r="CL205" s="266">
        <f t="shared" si="158"/>
        <v>1724.9836884221506</v>
      </c>
      <c r="CM205" s="266">
        <f t="shared" ca="1" si="159"/>
        <v>1724.9836884221506</v>
      </c>
      <c r="CN205" s="266">
        <f t="shared" ca="1" si="160"/>
        <v>1724.9836884221506</v>
      </c>
      <c r="CO205" s="266">
        <f ca="1">N205*IFERROR(INDEX(Algorithms!$G:$G,MATCH($C205&amp;"_Therm Saved per Unit- MLA",Algorithms!$A:$A,0)),0)*X205</f>
        <v>0</v>
      </c>
      <c r="CP205" s="266">
        <f ca="1">O205*IFERROR(INDEX(Algorithms!$G:$G,MATCH($C205&amp;"_Therm Saved per Unit- MLA",Algorithms!$A:$A,0)),0)*Y205</f>
        <v>0</v>
      </c>
      <c r="CQ205" s="266">
        <f ca="1">P205*IFERROR(INDEX(Algorithms!$G:$G,MATCH($C205&amp;"_Therm Saved per Unit- MLA",Algorithms!$A:$A,0)),0)*Z205</f>
        <v>0</v>
      </c>
      <c r="CR205" s="266">
        <f ca="1">Q205*IFERROR(INDEX(Algorithms!$G:$G,MATCH($C205&amp;"_Therm Saved per Unit- MLA",Algorithms!$A:$A,0)),0)*AA205</f>
        <v>0</v>
      </c>
      <c r="CS205" s="266">
        <f ca="1">IFERROR(INDEX(Algorithms!$G:$G,MATCH($C205&amp;"_Lifetime (years)",Algorithms!$A:$A,0)),0)</f>
        <v>15</v>
      </c>
      <c r="CT205" s="266">
        <f ca="1">IFERROR(INDEX(Algorithms!$G:$G,MATCH($C205&amp;"_Lifetime (years) - Remaining Years",Algorithms!$A:$A,0)),0)</f>
        <v>0</v>
      </c>
      <c r="CU205" s="266">
        <f t="shared" ca="1" si="161"/>
        <v>25874.755326332259</v>
      </c>
      <c r="CV205" s="266">
        <f t="shared" ca="1" si="162"/>
        <v>25874.755326332259</v>
      </c>
      <c r="CW205" s="266">
        <f t="shared" ca="1" si="163"/>
        <v>25874.755326332259</v>
      </c>
      <c r="CX205" s="266">
        <f t="shared" ca="1" si="164"/>
        <v>25874.755326332259</v>
      </c>
    </row>
    <row r="206" spans="2:102" s="47" customFormat="1" ht="18" customHeight="1" x14ac:dyDescent="0.25">
      <c r="B206" t="str">
        <f t="shared" si="165"/>
        <v>NSG_Business_Small/Mid-Size Business_Rebates_Pipe Insulation_HW Small 1" to 2"_MF/CI/SMB</v>
      </c>
      <c r="C206" s="47" t="str">
        <f t="shared" si="126"/>
        <v>Pipe Insulation_HW Small 1" to 2"_MF/CI/SMB</v>
      </c>
      <c r="D206" s="270" t="s">
        <v>1787</v>
      </c>
      <c r="E206" s="270" t="s">
        <v>3</v>
      </c>
      <c r="F206" s="270" t="s">
        <v>1432</v>
      </c>
      <c r="G206" s="270" t="s">
        <v>1429</v>
      </c>
      <c r="H206" s="270" t="s">
        <v>404</v>
      </c>
      <c r="I206" s="270" t="s">
        <v>953</v>
      </c>
      <c r="J206" s="270" t="s">
        <v>662</v>
      </c>
      <c r="K206" s="263">
        <v>1</v>
      </c>
      <c r="L206" s="263" t="str">
        <f ca="1">IFERROR(INDEX(Algorithms!J:J,MATCH($C206&amp;"_Therm Saved per Unit",Algorithms!$A:$A,0)),"n/a")</f>
        <v>"3 - Res Pipe Insulation" worksheet</v>
      </c>
      <c r="M206" s="263" t="str">
        <f>IFERROR(INDEX('Measure Level Detail'!$N:$N,MATCH($B206,'Measure Level Detail'!$B:$B,0)),0)</f>
        <v>ft</v>
      </c>
      <c r="N206" s="271">
        <f>IFERROR(INDEX('Measure Level Detail'!$P:$P,MATCH($B206&amp;"_"&amp;N$3,'Measure Level Detail'!$C:$C,0)),0)</f>
        <v>75</v>
      </c>
      <c r="O206" s="271">
        <f>IFERROR(INDEX('Measure Level Detail'!$P:$P,MATCH($B206&amp;"_"&amp;O$3,'Measure Level Detail'!$C:$C,0)),0)</f>
        <v>75</v>
      </c>
      <c r="P206" s="271">
        <f>IFERROR(INDEX('Measure Level Detail'!$P:$P,MATCH($B206&amp;"_"&amp;P$3,'Measure Level Detail'!$C:$C,0)),0)</f>
        <v>75</v>
      </c>
      <c r="Q206" s="271">
        <f>IFERROR(INDEX('Measure Level Detail'!$P:$P,MATCH($B206&amp;"_"&amp;Q$3,'Measure Level Detail'!$C:$C,0)),0)</f>
        <v>75</v>
      </c>
      <c r="R206" s="263">
        <f ca="1">IFERROR(INDEX(Algorithms!K:K,MATCH($C206&amp;"_Therm Saved per Unit",Algorithms!$A:$A,0)),"n/a")</f>
        <v>0</v>
      </c>
      <c r="S206" s="262"/>
      <c r="T206" s="272">
        <v>2.6588140926267867</v>
      </c>
      <c r="U206" s="272">
        <v>2.6588140926267867</v>
      </c>
      <c r="V206" s="272">
        <v>2.6588140926267867</v>
      </c>
      <c r="W206" s="272">
        <v>2.6588140926267867</v>
      </c>
      <c r="X206" s="276">
        <v>0.93</v>
      </c>
      <c r="Y206" s="276">
        <v>0.93</v>
      </c>
      <c r="Z206" s="276">
        <v>0.93</v>
      </c>
      <c r="AA206" s="276">
        <v>0.93</v>
      </c>
      <c r="AB206" s="266">
        <f t="shared" si="127"/>
        <v>185.45228296071838</v>
      </c>
      <c r="AC206" s="266">
        <f t="shared" si="128"/>
        <v>185.45228296071838</v>
      </c>
      <c r="AD206" s="266">
        <f t="shared" si="129"/>
        <v>185.45228296071838</v>
      </c>
      <c r="AE206" s="266">
        <f t="shared" si="130"/>
        <v>185.45228296071838</v>
      </c>
      <c r="AF206" s="266">
        <f t="shared" si="131"/>
        <v>741.80913184287351</v>
      </c>
      <c r="AG206" s="274">
        <v>0.93</v>
      </c>
      <c r="AH206" s="274">
        <v>0.93</v>
      </c>
      <c r="AI206" s="274">
        <v>0.93</v>
      </c>
      <c r="AJ206" s="274">
        <v>0.93</v>
      </c>
      <c r="AK206" s="274">
        <f t="shared" si="132"/>
        <v>0.93</v>
      </c>
      <c r="AL206" s="274">
        <f t="shared" si="133"/>
        <v>0.93</v>
      </c>
      <c r="AM206" s="274">
        <f t="shared" si="134"/>
        <v>0.93</v>
      </c>
      <c r="AN206" s="274">
        <f t="shared" si="135"/>
        <v>0.93</v>
      </c>
      <c r="AO206" s="262"/>
      <c r="AP206" s="262"/>
      <c r="AQ206" s="267">
        <v>2.6588140926267867</v>
      </c>
      <c r="AR206" s="262"/>
      <c r="AS206" s="266">
        <f t="shared" si="136"/>
        <v>185.45228296071838</v>
      </c>
      <c r="AT206" s="264">
        <f t="shared" si="137"/>
        <v>0</v>
      </c>
      <c r="AU206" s="262"/>
      <c r="AV206" s="262"/>
      <c r="AW206" s="265">
        <v>2.6588140926267867</v>
      </c>
      <c r="AX206" s="164" t="s">
        <v>1469</v>
      </c>
      <c r="AY206" s="266">
        <v>185.45228296071838</v>
      </c>
      <c r="AZ206" s="266">
        <f t="shared" si="138"/>
        <v>185.45228296071838</v>
      </c>
      <c r="BA206" s="264">
        <f t="shared" si="139"/>
        <v>0</v>
      </c>
      <c r="BB206" s="262"/>
      <c r="BC206" s="262"/>
      <c r="BD206" s="265">
        <f ca="1">IFERROR(INDEX(Algorithms!$G:$G,MATCH($C206&amp;"_Therm Saved per Unit",Algorithms!$A:$A,0)),0)</f>
        <v>2.6588140926267867</v>
      </c>
      <c r="BE206" s="164" t="str">
        <f ca="1">IFERROR(INDEX('v12 Revisions'!$P$29:$P$186, MATCH('Measure-Level Adj Gas'!$L206, 'v12 Revisions'!$D$29:$D$186,0)),"")</f>
        <v/>
      </c>
      <c r="BF206" s="266">
        <f t="shared" ca="1" si="140"/>
        <v>185.45228296071838</v>
      </c>
      <c r="BG206" s="264">
        <f t="shared" ca="1" si="141"/>
        <v>0</v>
      </c>
      <c r="BH206" s="262"/>
      <c r="BI206" s="262"/>
      <c r="BJ206" s="265">
        <f ca="1">IFERROR(INDEX(Algorithms!$G:$G,MATCH($C206&amp;"_Therm Saved per Unit",Algorithms!$A:$A,0)),0)</f>
        <v>2.6588140926267867</v>
      </c>
      <c r="BK206" s="164"/>
      <c r="BL206" s="266">
        <f t="shared" ca="1" si="142"/>
        <v>185.45228296071838</v>
      </c>
      <c r="BM206" s="264">
        <f t="shared" ca="1" si="143"/>
        <v>0</v>
      </c>
      <c r="BN206" s="266">
        <f t="shared" si="144"/>
        <v>185.45228296071838</v>
      </c>
      <c r="BO206" s="266">
        <f t="shared" si="145"/>
        <v>185.45228296071838</v>
      </c>
      <c r="BP206" s="266">
        <f t="shared" ca="1" si="146"/>
        <v>185.45228296071838</v>
      </c>
      <c r="BQ206" s="266">
        <f t="shared" ca="1" si="147"/>
        <v>185.45228296071838</v>
      </c>
      <c r="BR206" s="268">
        <f t="shared" ca="1" si="148"/>
        <v>741.80913184287351</v>
      </c>
      <c r="BS206" s="262" t="s">
        <v>99</v>
      </c>
      <c r="BT206" s="277"/>
      <c r="BW206" s="266">
        <f t="shared" si="149"/>
        <v>185.45228296071838</v>
      </c>
      <c r="BX206" s="266">
        <f t="shared" si="150"/>
        <v>185.45228296071838</v>
      </c>
      <c r="BY206" s="266">
        <f t="shared" si="151"/>
        <v>185.45228296071838</v>
      </c>
      <c r="BZ206" s="266">
        <f t="shared" si="152"/>
        <v>185.45228296071838</v>
      </c>
      <c r="CA206" s="266">
        <f ca="1">N206*IFERROR(INDEX(Algorithms!$G:$G,MATCH($C206&amp;"_Therm Saved per Unit- MLA",Algorithms!$A:$A,0)),0)*X206</f>
        <v>0</v>
      </c>
      <c r="CB206" s="266">
        <f ca="1">O206*IFERROR(INDEX(Algorithms!$G:$G,MATCH($C206&amp;"_Therm Saved per Unit- MLA",Algorithms!$A:$A,0)),0)*Y206</f>
        <v>0</v>
      </c>
      <c r="CC206" s="266">
        <f ca="1">P206*IFERROR(INDEX(Algorithms!$G:$G,MATCH($C206&amp;"_Therm Saved per Unit- MLA",Algorithms!$A:$A,0)),0)*Z206</f>
        <v>0</v>
      </c>
      <c r="CD206" s="266">
        <f ca="1">Q206*IFERROR(INDEX(Algorithms!$G:$G,MATCH($C206&amp;"_Therm Saved per Unit- MLA",Algorithms!$A:$A,0)),0)*AA206</f>
        <v>0</v>
      </c>
      <c r="CE206" s="266">
        <f ca="1">IFERROR(INDEX(Algorithms!$G:$G,MATCH($C206&amp;"_Lifetime (years)",Algorithms!$A:$A,0)),0)</f>
        <v>15</v>
      </c>
      <c r="CF206" s="266">
        <f ca="1">IFERROR(INDEX(Algorithms!$G:$G,MATCH($C206&amp;"_Lifetime (years) - Remaining Years",Algorithms!$A:$A,0)),0)</f>
        <v>0</v>
      </c>
      <c r="CG206" s="266">
        <f t="shared" ca="1" si="153"/>
        <v>2781.7842444107755</v>
      </c>
      <c r="CH206" s="266">
        <f t="shared" ca="1" si="154"/>
        <v>2781.7842444107755</v>
      </c>
      <c r="CI206" s="266">
        <f t="shared" ca="1" si="155"/>
        <v>2781.7842444107755</v>
      </c>
      <c r="CJ206" s="266">
        <f t="shared" ca="1" si="156"/>
        <v>2781.7842444107755</v>
      </c>
      <c r="CK206" s="266">
        <f t="shared" si="157"/>
        <v>185.45228296071838</v>
      </c>
      <c r="CL206" s="266">
        <f t="shared" si="158"/>
        <v>185.45228296071838</v>
      </c>
      <c r="CM206" s="266">
        <f t="shared" ca="1" si="159"/>
        <v>185.45228296071838</v>
      </c>
      <c r="CN206" s="266">
        <f t="shared" ca="1" si="160"/>
        <v>185.45228296071838</v>
      </c>
      <c r="CO206" s="266">
        <f ca="1">N206*IFERROR(INDEX(Algorithms!$G:$G,MATCH($C206&amp;"_Therm Saved per Unit- MLA",Algorithms!$A:$A,0)),0)*X206</f>
        <v>0</v>
      </c>
      <c r="CP206" s="266">
        <f ca="1">O206*IFERROR(INDEX(Algorithms!$G:$G,MATCH($C206&amp;"_Therm Saved per Unit- MLA",Algorithms!$A:$A,0)),0)*Y206</f>
        <v>0</v>
      </c>
      <c r="CQ206" s="266">
        <f ca="1">P206*IFERROR(INDEX(Algorithms!$G:$G,MATCH($C206&amp;"_Therm Saved per Unit- MLA",Algorithms!$A:$A,0)),0)*Z206</f>
        <v>0</v>
      </c>
      <c r="CR206" s="266">
        <f ca="1">Q206*IFERROR(INDEX(Algorithms!$G:$G,MATCH($C206&amp;"_Therm Saved per Unit- MLA",Algorithms!$A:$A,0)),0)*AA206</f>
        <v>0</v>
      </c>
      <c r="CS206" s="266">
        <f ca="1">IFERROR(INDEX(Algorithms!$G:$G,MATCH($C206&amp;"_Lifetime (years)",Algorithms!$A:$A,0)),0)</f>
        <v>15</v>
      </c>
      <c r="CT206" s="266">
        <f ca="1">IFERROR(INDEX(Algorithms!$G:$G,MATCH($C206&amp;"_Lifetime (years) - Remaining Years",Algorithms!$A:$A,0)),0)</f>
        <v>0</v>
      </c>
      <c r="CU206" s="266">
        <f t="shared" ca="1" si="161"/>
        <v>2781.7842444107755</v>
      </c>
      <c r="CV206" s="266">
        <f t="shared" ca="1" si="162"/>
        <v>2781.7842444107755</v>
      </c>
      <c r="CW206" s="266">
        <f t="shared" ca="1" si="163"/>
        <v>2781.7842444107755</v>
      </c>
      <c r="CX206" s="266">
        <f t="shared" ca="1" si="164"/>
        <v>2781.7842444107755</v>
      </c>
    </row>
    <row r="207" spans="2:102" s="47" customFormat="1" ht="18" customHeight="1" x14ac:dyDescent="0.25">
      <c r="B207" t="str">
        <f t="shared" si="165"/>
        <v>NSG_Business_Small/Mid-Size Business_Rebates_Pipe Insulation_HW Large &gt;4"_MF/CI/SMB</v>
      </c>
      <c r="C207" s="47" t="str">
        <f t="shared" si="126"/>
        <v>Pipe Insulation_HW Large &gt;4"_MF/CI/SMB</v>
      </c>
      <c r="D207" s="270" t="s">
        <v>1787</v>
      </c>
      <c r="E207" s="270" t="s">
        <v>3</v>
      </c>
      <c r="F207" s="270" t="s">
        <v>1432</v>
      </c>
      <c r="G207" s="270" t="s">
        <v>1429</v>
      </c>
      <c r="H207" s="270" t="s">
        <v>404</v>
      </c>
      <c r="I207" s="270" t="s">
        <v>955</v>
      </c>
      <c r="J207" s="270" t="s">
        <v>662</v>
      </c>
      <c r="K207" s="263">
        <v>1</v>
      </c>
      <c r="L207" s="263" t="str">
        <f ca="1">IFERROR(INDEX(Algorithms!J:J,MATCH($C207&amp;"_Therm Saved per Unit",Algorithms!$A:$A,0)),"n/a")</f>
        <v>"3 - Res Pipe Insulation" worksheet</v>
      </c>
      <c r="M207" s="263" t="str">
        <f>IFERROR(INDEX('Measure Level Detail'!$N:$N,MATCH($B207,'Measure Level Detail'!$B:$B,0)),0)</f>
        <v>ft</v>
      </c>
      <c r="N207" s="271">
        <f>IFERROR(INDEX('Measure Level Detail'!$P:$P,MATCH($B207&amp;"_"&amp;N$3,'Measure Level Detail'!$C:$C,0)),0)</f>
        <v>75</v>
      </c>
      <c r="O207" s="271">
        <f>IFERROR(INDEX('Measure Level Detail'!$P:$P,MATCH($B207&amp;"_"&amp;O$3,'Measure Level Detail'!$C:$C,0)),0)</f>
        <v>75</v>
      </c>
      <c r="P207" s="271">
        <f>IFERROR(INDEX('Measure Level Detail'!$P:$P,MATCH($B207&amp;"_"&amp;P$3,'Measure Level Detail'!$C:$C,0)),0)</f>
        <v>75</v>
      </c>
      <c r="Q207" s="271">
        <f>IFERROR(INDEX('Measure Level Detail'!$P:$P,MATCH($B207&amp;"_"&amp;Q$3,'Measure Level Detail'!$C:$C,0)),0)</f>
        <v>75</v>
      </c>
      <c r="R207" s="263">
        <f ca="1">IFERROR(INDEX(Algorithms!K:K,MATCH($C207&amp;"_Therm Saved per Unit",Algorithms!$A:$A,0)),"n/a")</f>
        <v>0</v>
      </c>
      <c r="S207" s="262"/>
      <c r="T207" s="272">
        <v>9.0407613085908682</v>
      </c>
      <c r="U207" s="272">
        <v>9.0407613085908682</v>
      </c>
      <c r="V207" s="272">
        <v>9.0407613085908682</v>
      </c>
      <c r="W207" s="272">
        <v>9.0407613085908682</v>
      </c>
      <c r="X207" s="276">
        <v>0.93</v>
      </c>
      <c r="Y207" s="276">
        <v>0.93</v>
      </c>
      <c r="Z207" s="276">
        <v>0.93</v>
      </c>
      <c r="AA207" s="276">
        <v>0.93</v>
      </c>
      <c r="AB207" s="266">
        <f t="shared" si="127"/>
        <v>630.59310127421304</v>
      </c>
      <c r="AC207" s="266">
        <f t="shared" si="128"/>
        <v>630.59310127421304</v>
      </c>
      <c r="AD207" s="266">
        <f t="shared" si="129"/>
        <v>630.59310127421304</v>
      </c>
      <c r="AE207" s="266">
        <f t="shared" si="130"/>
        <v>630.59310127421304</v>
      </c>
      <c r="AF207" s="266">
        <f t="shared" si="131"/>
        <v>2522.3724050968522</v>
      </c>
      <c r="AG207" s="274">
        <v>0.93</v>
      </c>
      <c r="AH207" s="274">
        <v>0.93</v>
      </c>
      <c r="AI207" s="274">
        <v>0.93</v>
      </c>
      <c r="AJ207" s="274">
        <v>0.93</v>
      </c>
      <c r="AK207" s="274">
        <f t="shared" si="132"/>
        <v>0.93</v>
      </c>
      <c r="AL207" s="274">
        <f t="shared" si="133"/>
        <v>0.93</v>
      </c>
      <c r="AM207" s="274">
        <f t="shared" si="134"/>
        <v>0.93</v>
      </c>
      <c r="AN207" s="274">
        <f t="shared" si="135"/>
        <v>0.93</v>
      </c>
      <c r="AO207" s="262"/>
      <c r="AP207" s="262"/>
      <c r="AQ207" s="267">
        <v>9.0407613085908682</v>
      </c>
      <c r="AR207" s="262"/>
      <c r="AS207" s="266">
        <f t="shared" si="136"/>
        <v>630.59310127421304</v>
      </c>
      <c r="AT207" s="264">
        <f t="shared" si="137"/>
        <v>0</v>
      </c>
      <c r="AU207" s="262"/>
      <c r="AV207" s="262"/>
      <c r="AW207" s="265">
        <v>9.0407613085908682</v>
      </c>
      <c r="AX207" s="164" t="s">
        <v>1469</v>
      </c>
      <c r="AY207" s="266">
        <v>630.59310127421304</v>
      </c>
      <c r="AZ207" s="266">
        <f t="shared" si="138"/>
        <v>630.59310127421304</v>
      </c>
      <c r="BA207" s="264">
        <f t="shared" si="139"/>
        <v>0</v>
      </c>
      <c r="BB207" s="262"/>
      <c r="BC207" s="262"/>
      <c r="BD207" s="265">
        <f ca="1">IFERROR(INDEX(Algorithms!$G:$G,MATCH($C207&amp;"_Therm Saved per Unit",Algorithms!$A:$A,0)),0)</f>
        <v>9.0407613085908682</v>
      </c>
      <c r="BE207" s="164" t="str">
        <f ca="1">IFERROR(INDEX('v12 Revisions'!$P$29:$P$186, MATCH('Measure-Level Adj Gas'!$L207, 'v12 Revisions'!$D$29:$D$186,0)),"")</f>
        <v/>
      </c>
      <c r="BF207" s="266">
        <f t="shared" ca="1" si="140"/>
        <v>630.59310127421304</v>
      </c>
      <c r="BG207" s="264">
        <f t="shared" ca="1" si="141"/>
        <v>0</v>
      </c>
      <c r="BH207" s="262"/>
      <c r="BI207" s="262"/>
      <c r="BJ207" s="265">
        <f ca="1">IFERROR(INDEX(Algorithms!$G:$G,MATCH($C207&amp;"_Therm Saved per Unit",Algorithms!$A:$A,0)),0)</f>
        <v>9.0407613085908682</v>
      </c>
      <c r="BK207" s="164"/>
      <c r="BL207" s="266">
        <f t="shared" ca="1" si="142"/>
        <v>630.59310127421304</v>
      </c>
      <c r="BM207" s="264">
        <f t="shared" ca="1" si="143"/>
        <v>0</v>
      </c>
      <c r="BN207" s="266">
        <f t="shared" si="144"/>
        <v>630.59310127421304</v>
      </c>
      <c r="BO207" s="266">
        <f t="shared" si="145"/>
        <v>630.59310127421304</v>
      </c>
      <c r="BP207" s="266">
        <f t="shared" ca="1" si="146"/>
        <v>630.59310127421304</v>
      </c>
      <c r="BQ207" s="266">
        <f t="shared" ca="1" si="147"/>
        <v>630.59310127421304</v>
      </c>
      <c r="BR207" s="268">
        <f t="shared" ca="1" si="148"/>
        <v>2522.3724050968522</v>
      </c>
      <c r="BS207" s="262" t="s">
        <v>99</v>
      </c>
      <c r="BT207" s="277"/>
      <c r="BW207" s="266">
        <f t="shared" si="149"/>
        <v>630.59310127421304</v>
      </c>
      <c r="BX207" s="266">
        <f t="shared" si="150"/>
        <v>630.59310127421304</v>
      </c>
      <c r="BY207" s="266">
        <f t="shared" si="151"/>
        <v>630.59310127421304</v>
      </c>
      <c r="BZ207" s="266">
        <f t="shared" si="152"/>
        <v>630.59310127421304</v>
      </c>
      <c r="CA207" s="266">
        <f ca="1">N207*IFERROR(INDEX(Algorithms!$G:$G,MATCH($C207&amp;"_Therm Saved per Unit- MLA",Algorithms!$A:$A,0)),0)*X207</f>
        <v>0</v>
      </c>
      <c r="CB207" s="266">
        <f ca="1">O207*IFERROR(INDEX(Algorithms!$G:$G,MATCH($C207&amp;"_Therm Saved per Unit- MLA",Algorithms!$A:$A,0)),0)*Y207</f>
        <v>0</v>
      </c>
      <c r="CC207" s="266">
        <f ca="1">P207*IFERROR(INDEX(Algorithms!$G:$G,MATCH($C207&amp;"_Therm Saved per Unit- MLA",Algorithms!$A:$A,0)),0)*Z207</f>
        <v>0</v>
      </c>
      <c r="CD207" s="266">
        <f ca="1">Q207*IFERROR(INDEX(Algorithms!$G:$G,MATCH($C207&amp;"_Therm Saved per Unit- MLA",Algorithms!$A:$A,0)),0)*AA207</f>
        <v>0</v>
      </c>
      <c r="CE207" s="266">
        <f ca="1">IFERROR(INDEX(Algorithms!$G:$G,MATCH($C207&amp;"_Lifetime (years)",Algorithms!$A:$A,0)),0)</f>
        <v>15</v>
      </c>
      <c r="CF207" s="266">
        <f ca="1">IFERROR(INDEX(Algorithms!$G:$G,MATCH($C207&amp;"_Lifetime (years) - Remaining Years",Algorithms!$A:$A,0)),0)</f>
        <v>0</v>
      </c>
      <c r="CG207" s="266">
        <f t="shared" ca="1" si="153"/>
        <v>9458.8965191131956</v>
      </c>
      <c r="CH207" s="266">
        <f t="shared" ca="1" si="154"/>
        <v>9458.8965191131956</v>
      </c>
      <c r="CI207" s="266">
        <f t="shared" ca="1" si="155"/>
        <v>9458.8965191131956</v>
      </c>
      <c r="CJ207" s="266">
        <f t="shared" ca="1" si="156"/>
        <v>9458.8965191131956</v>
      </c>
      <c r="CK207" s="266">
        <f t="shared" si="157"/>
        <v>630.59310127421304</v>
      </c>
      <c r="CL207" s="266">
        <f t="shared" si="158"/>
        <v>630.59310127421304</v>
      </c>
      <c r="CM207" s="266">
        <f t="shared" ca="1" si="159"/>
        <v>630.59310127421304</v>
      </c>
      <c r="CN207" s="266">
        <f t="shared" ca="1" si="160"/>
        <v>630.59310127421304</v>
      </c>
      <c r="CO207" s="266">
        <f ca="1">N207*IFERROR(INDEX(Algorithms!$G:$G,MATCH($C207&amp;"_Therm Saved per Unit- MLA",Algorithms!$A:$A,0)),0)*X207</f>
        <v>0</v>
      </c>
      <c r="CP207" s="266">
        <f ca="1">O207*IFERROR(INDEX(Algorithms!$G:$G,MATCH($C207&amp;"_Therm Saved per Unit- MLA",Algorithms!$A:$A,0)),0)*Y207</f>
        <v>0</v>
      </c>
      <c r="CQ207" s="266">
        <f ca="1">P207*IFERROR(INDEX(Algorithms!$G:$G,MATCH($C207&amp;"_Therm Saved per Unit- MLA",Algorithms!$A:$A,0)),0)*Z207</f>
        <v>0</v>
      </c>
      <c r="CR207" s="266">
        <f ca="1">Q207*IFERROR(INDEX(Algorithms!$G:$G,MATCH($C207&amp;"_Therm Saved per Unit- MLA",Algorithms!$A:$A,0)),0)*AA207</f>
        <v>0</v>
      </c>
      <c r="CS207" s="266">
        <f ca="1">IFERROR(INDEX(Algorithms!$G:$G,MATCH($C207&amp;"_Lifetime (years)",Algorithms!$A:$A,0)),0)</f>
        <v>15</v>
      </c>
      <c r="CT207" s="266">
        <f ca="1">IFERROR(INDEX(Algorithms!$G:$G,MATCH($C207&amp;"_Lifetime (years) - Remaining Years",Algorithms!$A:$A,0)),0)</f>
        <v>0</v>
      </c>
      <c r="CU207" s="266">
        <f t="shared" ca="1" si="161"/>
        <v>9458.8965191131956</v>
      </c>
      <c r="CV207" s="266">
        <f t="shared" ca="1" si="162"/>
        <v>9458.8965191131956</v>
      </c>
      <c r="CW207" s="266">
        <f t="shared" ca="1" si="163"/>
        <v>9458.8965191131956</v>
      </c>
      <c r="CX207" s="266">
        <f t="shared" ca="1" si="164"/>
        <v>9458.8965191131956</v>
      </c>
    </row>
    <row r="208" spans="2:102" s="47" customFormat="1" ht="18" customHeight="1" x14ac:dyDescent="0.25">
      <c r="B208" t="str">
        <f t="shared" si="165"/>
        <v>NSG_Business_Small/Mid-Size Business_Rebates_Pipe Insulation_Steam - Small 1" to 2"_CI</v>
      </c>
      <c r="C208" s="47" t="str">
        <f t="shared" si="126"/>
        <v>Pipe Insulation_Steam - Small 1" to 2"_CI</v>
      </c>
      <c r="D208" s="270" t="s">
        <v>1787</v>
      </c>
      <c r="E208" s="270" t="s">
        <v>3</v>
      </c>
      <c r="F208" s="270" t="s">
        <v>1432</v>
      </c>
      <c r="G208" s="270" t="s">
        <v>1429</v>
      </c>
      <c r="H208" s="270" t="s">
        <v>404</v>
      </c>
      <c r="I208" s="270" t="s">
        <v>956</v>
      </c>
      <c r="J208" s="270" t="s">
        <v>1159</v>
      </c>
      <c r="K208" s="263">
        <v>1</v>
      </c>
      <c r="L208" s="263" t="str">
        <f ca="1">IFERROR(INDEX(Algorithms!J:J,MATCH($C208&amp;"_Therm Saved per Unit",Algorithms!$A:$A,0)),"n/a")</f>
        <v>"3 - Pipe Insulation" worksheet</v>
      </c>
      <c r="M208" s="263" t="str">
        <f>IFERROR(INDEX('Measure Level Detail'!$N:$N,MATCH($B208,'Measure Level Detail'!$B:$B,0)),0)</f>
        <v>ft</v>
      </c>
      <c r="N208" s="271">
        <f>IFERROR(INDEX('Measure Level Detail'!$P:$P,MATCH($B208&amp;"_"&amp;N$3,'Measure Level Detail'!$C:$C,0)),0)</f>
        <v>75</v>
      </c>
      <c r="O208" s="271">
        <f>IFERROR(INDEX('Measure Level Detail'!$P:$P,MATCH($B208&amp;"_"&amp;O$3,'Measure Level Detail'!$C:$C,0)),0)</f>
        <v>75</v>
      </c>
      <c r="P208" s="271">
        <f>IFERROR(INDEX('Measure Level Detail'!$P:$P,MATCH($B208&amp;"_"&amp;P$3,'Measure Level Detail'!$C:$C,0)),0)</f>
        <v>75</v>
      </c>
      <c r="Q208" s="271">
        <f>IFERROR(INDEX('Measure Level Detail'!$P:$P,MATCH($B208&amp;"_"&amp;Q$3,'Measure Level Detail'!$C:$C,0)),0)</f>
        <v>75</v>
      </c>
      <c r="R208" s="263">
        <f ca="1">IFERROR(INDEX(Algorithms!K:K,MATCH($C208&amp;"_Therm Saved per Unit",Algorithms!$A:$A,0)),"n/a")</f>
        <v>0</v>
      </c>
      <c r="S208" s="262"/>
      <c r="T208" s="272">
        <v>3.1854757047967208</v>
      </c>
      <c r="U208" s="272">
        <v>3.1854757047967208</v>
      </c>
      <c r="V208" s="272">
        <v>3.1854757047967208</v>
      </c>
      <c r="W208" s="272">
        <v>3.1854757047967208</v>
      </c>
      <c r="X208" s="276">
        <v>0.93</v>
      </c>
      <c r="Y208" s="276">
        <v>0.93</v>
      </c>
      <c r="Z208" s="276">
        <v>0.93</v>
      </c>
      <c r="AA208" s="276">
        <v>0.93</v>
      </c>
      <c r="AB208" s="266">
        <f t="shared" si="127"/>
        <v>222.18693040957129</v>
      </c>
      <c r="AC208" s="266">
        <f t="shared" si="128"/>
        <v>222.18693040957129</v>
      </c>
      <c r="AD208" s="266">
        <f t="shared" si="129"/>
        <v>222.18693040957129</v>
      </c>
      <c r="AE208" s="266">
        <f t="shared" si="130"/>
        <v>222.18693040957129</v>
      </c>
      <c r="AF208" s="266">
        <f t="shared" si="131"/>
        <v>888.74772163828516</v>
      </c>
      <c r="AG208" s="274">
        <v>0.93</v>
      </c>
      <c r="AH208" s="274">
        <v>0.93</v>
      </c>
      <c r="AI208" s="274">
        <v>0.93</v>
      </c>
      <c r="AJ208" s="274">
        <v>0.93</v>
      </c>
      <c r="AK208" s="274">
        <f t="shared" si="132"/>
        <v>0.93</v>
      </c>
      <c r="AL208" s="274">
        <f t="shared" si="133"/>
        <v>0.93</v>
      </c>
      <c r="AM208" s="274">
        <f t="shared" si="134"/>
        <v>0.93</v>
      </c>
      <c r="AN208" s="274">
        <f t="shared" si="135"/>
        <v>0.93</v>
      </c>
      <c r="AO208" s="262"/>
      <c r="AP208" s="262"/>
      <c r="AQ208" s="267">
        <v>3.1854757047967208</v>
      </c>
      <c r="AR208" s="262"/>
      <c r="AS208" s="266">
        <f t="shared" si="136"/>
        <v>222.18693040957129</v>
      </c>
      <c r="AT208" s="264">
        <f t="shared" si="137"/>
        <v>0</v>
      </c>
      <c r="AU208" s="262"/>
      <c r="AV208" s="262"/>
      <c r="AW208" s="265">
        <v>3.1854757047967208</v>
      </c>
      <c r="AX208" s="164" t="s">
        <v>1469</v>
      </c>
      <c r="AY208" s="266">
        <v>222.18693040957129</v>
      </c>
      <c r="AZ208" s="266">
        <f t="shared" si="138"/>
        <v>222.18693040957129</v>
      </c>
      <c r="BA208" s="264">
        <f t="shared" si="139"/>
        <v>0</v>
      </c>
      <c r="BB208" s="262"/>
      <c r="BC208" s="262"/>
      <c r="BD208" s="265">
        <f ca="1">IFERROR(INDEX(Algorithms!$G:$G,MATCH($C208&amp;"_Therm Saved per Unit",Algorithms!$A:$A,0)),0)</f>
        <v>3.1854757047967208</v>
      </c>
      <c r="BE208" s="164" t="str">
        <f ca="1">IFERROR(INDEX('v12 Revisions'!$P$29:$P$186, MATCH('Measure-Level Adj Gas'!$L208, 'v12 Revisions'!$D$29:$D$186,0)),"")</f>
        <v/>
      </c>
      <c r="BF208" s="266">
        <f t="shared" ca="1" si="140"/>
        <v>222.18693040957129</v>
      </c>
      <c r="BG208" s="264">
        <f t="shared" ca="1" si="141"/>
        <v>0</v>
      </c>
      <c r="BH208" s="262"/>
      <c r="BI208" s="262"/>
      <c r="BJ208" s="265">
        <f ca="1">IFERROR(INDEX(Algorithms!$G:$G,MATCH($C208&amp;"_Therm Saved per Unit",Algorithms!$A:$A,0)),0)</f>
        <v>3.1854757047967208</v>
      </c>
      <c r="BK208" s="164"/>
      <c r="BL208" s="266">
        <f t="shared" ca="1" si="142"/>
        <v>222.18693040957129</v>
      </c>
      <c r="BM208" s="264">
        <f t="shared" ca="1" si="143"/>
        <v>0</v>
      </c>
      <c r="BN208" s="266">
        <f t="shared" si="144"/>
        <v>222.18693040957129</v>
      </c>
      <c r="BO208" s="266">
        <f t="shared" si="145"/>
        <v>222.18693040957129</v>
      </c>
      <c r="BP208" s="266">
        <f t="shared" ca="1" si="146"/>
        <v>222.18693040957129</v>
      </c>
      <c r="BQ208" s="266">
        <f t="shared" ca="1" si="147"/>
        <v>222.18693040957129</v>
      </c>
      <c r="BR208" s="268">
        <f t="shared" ca="1" si="148"/>
        <v>888.74772163828516</v>
      </c>
      <c r="BS208" s="262" t="s">
        <v>99</v>
      </c>
      <c r="BT208" s="277"/>
      <c r="BW208" s="266">
        <f t="shared" si="149"/>
        <v>222.18693040957129</v>
      </c>
      <c r="BX208" s="266">
        <f t="shared" si="150"/>
        <v>222.18693040957129</v>
      </c>
      <c r="BY208" s="266">
        <f t="shared" si="151"/>
        <v>222.18693040957129</v>
      </c>
      <c r="BZ208" s="266">
        <f t="shared" si="152"/>
        <v>222.18693040957129</v>
      </c>
      <c r="CA208" s="266">
        <f ca="1">N208*IFERROR(INDEX(Algorithms!$G:$G,MATCH($C208&amp;"_Therm Saved per Unit- MLA",Algorithms!$A:$A,0)),0)*X208</f>
        <v>0</v>
      </c>
      <c r="CB208" s="266">
        <f ca="1">O208*IFERROR(INDEX(Algorithms!$G:$G,MATCH($C208&amp;"_Therm Saved per Unit- MLA",Algorithms!$A:$A,0)),0)*Y208</f>
        <v>0</v>
      </c>
      <c r="CC208" s="266">
        <f ca="1">P208*IFERROR(INDEX(Algorithms!$G:$G,MATCH($C208&amp;"_Therm Saved per Unit- MLA",Algorithms!$A:$A,0)),0)*Z208</f>
        <v>0</v>
      </c>
      <c r="CD208" s="266">
        <f ca="1">Q208*IFERROR(INDEX(Algorithms!$G:$G,MATCH($C208&amp;"_Therm Saved per Unit- MLA",Algorithms!$A:$A,0)),0)*AA208</f>
        <v>0</v>
      </c>
      <c r="CE208" s="266">
        <f ca="1">IFERROR(INDEX(Algorithms!$G:$G,MATCH($C208&amp;"_Lifetime (years)",Algorithms!$A:$A,0)),0)</f>
        <v>15</v>
      </c>
      <c r="CF208" s="266">
        <f ca="1">IFERROR(INDEX(Algorithms!$G:$G,MATCH($C208&amp;"_Lifetime (years) - Remaining Years",Algorithms!$A:$A,0)),0)</f>
        <v>0</v>
      </c>
      <c r="CG208" s="266">
        <f t="shared" ca="1" si="153"/>
        <v>3332.8039561435694</v>
      </c>
      <c r="CH208" s="266">
        <f t="shared" ca="1" si="154"/>
        <v>3332.8039561435694</v>
      </c>
      <c r="CI208" s="266">
        <f t="shared" ca="1" si="155"/>
        <v>3332.8039561435694</v>
      </c>
      <c r="CJ208" s="266">
        <f t="shared" ca="1" si="156"/>
        <v>3332.8039561435694</v>
      </c>
      <c r="CK208" s="266">
        <f t="shared" si="157"/>
        <v>222.18693040957129</v>
      </c>
      <c r="CL208" s="266">
        <f t="shared" si="158"/>
        <v>222.18693040957129</v>
      </c>
      <c r="CM208" s="266">
        <f t="shared" ca="1" si="159"/>
        <v>222.18693040957129</v>
      </c>
      <c r="CN208" s="266">
        <f t="shared" ca="1" si="160"/>
        <v>222.18693040957129</v>
      </c>
      <c r="CO208" s="266">
        <f ca="1">N208*IFERROR(INDEX(Algorithms!$G:$G,MATCH($C208&amp;"_Therm Saved per Unit- MLA",Algorithms!$A:$A,0)),0)*X208</f>
        <v>0</v>
      </c>
      <c r="CP208" s="266">
        <f ca="1">O208*IFERROR(INDEX(Algorithms!$G:$G,MATCH($C208&amp;"_Therm Saved per Unit- MLA",Algorithms!$A:$A,0)),0)*Y208</f>
        <v>0</v>
      </c>
      <c r="CQ208" s="266">
        <f ca="1">P208*IFERROR(INDEX(Algorithms!$G:$G,MATCH($C208&amp;"_Therm Saved per Unit- MLA",Algorithms!$A:$A,0)),0)*Z208</f>
        <v>0</v>
      </c>
      <c r="CR208" s="266">
        <f ca="1">Q208*IFERROR(INDEX(Algorithms!$G:$G,MATCH($C208&amp;"_Therm Saved per Unit- MLA",Algorithms!$A:$A,0)),0)*AA208</f>
        <v>0</v>
      </c>
      <c r="CS208" s="266">
        <f ca="1">IFERROR(INDEX(Algorithms!$G:$G,MATCH($C208&amp;"_Lifetime (years)",Algorithms!$A:$A,0)),0)</f>
        <v>15</v>
      </c>
      <c r="CT208" s="266">
        <f ca="1">IFERROR(INDEX(Algorithms!$G:$G,MATCH($C208&amp;"_Lifetime (years) - Remaining Years",Algorithms!$A:$A,0)),0)</f>
        <v>0</v>
      </c>
      <c r="CU208" s="266">
        <f t="shared" ca="1" si="161"/>
        <v>3332.8039561435694</v>
      </c>
      <c r="CV208" s="266">
        <f t="shared" ca="1" si="162"/>
        <v>3332.8039561435694</v>
      </c>
      <c r="CW208" s="266">
        <f t="shared" ca="1" si="163"/>
        <v>3332.8039561435694</v>
      </c>
      <c r="CX208" s="266">
        <f t="shared" ca="1" si="164"/>
        <v>3332.8039561435694</v>
      </c>
    </row>
    <row r="209" spans="2:102" s="47" customFormat="1" ht="18" customHeight="1" x14ac:dyDescent="0.25">
      <c r="B209" t="str">
        <f t="shared" si="165"/>
        <v>NSG_Business_Small/Mid-Size Business_Partner Trade Ally Rebate_Pipe Insulation_Steam - X-Large &gt;8"_CI</v>
      </c>
      <c r="C209" s="47" t="str">
        <f t="shared" si="126"/>
        <v>Pipe Insulation_Steam - X-Large &gt;8"_CI</v>
      </c>
      <c r="D209" s="270" t="s">
        <v>1787</v>
      </c>
      <c r="E209" s="270" t="s">
        <v>3</v>
      </c>
      <c r="F209" s="270" t="s">
        <v>1432</v>
      </c>
      <c r="G209" s="270" t="s">
        <v>1799</v>
      </c>
      <c r="H209" s="270" t="s">
        <v>404</v>
      </c>
      <c r="I209" s="270" t="s">
        <v>960</v>
      </c>
      <c r="J209" s="270" t="s">
        <v>1159</v>
      </c>
      <c r="K209" s="263">
        <v>1</v>
      </c>
      <c r="L209" s="263" t="str">
        <f ca="1">IFERROR(INDEX(Algorithms!J:J,MATCH($C209&amp;"_Therm Saved per Unit",Algorithms!$A:$A,0)),"n/a")</f>
        <v>"3 - Pipe Insulation" worksheet</v>
      </c>
      <c r="M209" s="263" t="str">
        <f>IFERROR(INDEX('Measure Level Detail'!$N:$N,MATCH($B209,'Measure Level Detail'!$B:$B,0)),0)</f>
        <v>ft</v>
      </c>
      <c r="N209" s="271">
        <f>IFERROR(INDEX('Measure Level Detail'!$P:$P,MATCH($B209&amp;"_"&amp;N$3,'Measure Level Detail'!$C:$C,0)),0)</f>
        <v>75</v>
      </c>
      <c r="O209" s="271">
        <f>IFERROR(INDEX('Measure Level Detail'!$P:$P,MATCH($B209&amp;"_"&amp;O$3,'Measure Level Detail'!$C:$C,0)),0)</f>
        <v>75</v>
      </c>
      <c r="P209" s="271">
        <f>IFERROR(INDEX('Measure Level Detail'!$P:$P,MATCH($B209&amp;"_"&amp;P$3,'Measure Level Detail'!$C:$C,0)),0)</f>
        <v>75</v>
      </c>
      <c r="Q209" s="271">
        <f>IFERROR(INDEX('Measure Level Detail'!$P:$P,MATCH($B209&amp;"_"&amp;Q$3,'Measure Level Detail'!$C:$C,0)),0)</f>
        <v>75</v>
      </c>
      <c r="R209" s="263">
        <f ca="1">IFERROR(INDEX(Algorithms!K:K,MATCH($C209&amp;"_Therm Saved per Unit",Algorithms!$A:$A,0)),"n/a")</f>
        <v>0</v>
      </c>
      <c r="S209" s="262"/>
      <c r="T209" s="272">
        <v>35.984797966765058</v>
      </c>
      <c r="U209" s="272">
        <v>35.984797966765058</v>
      </c>
      <c r="V209" s="272">
        <v>35.984797966765058</v>
      </c>
      <c r="W209" s="272">
        <v>35.984797966765058</v>
      </c>
      <c r="X209" s="276">
        <v>0.93</v>
      </c>
      <c r="Y209" s="276">
        <v>0.93</v>
      </c>
      <c r="Z209" s="276">
        <v>0.93</v>
      </c>
      <c r="AA209" s="276">
        <v>0.93</v>
      </c>
      <c r="AB209" s="266">
        <f t="shared" si="127"/>
        <v>2509.9396581818633</v>
      </c>
      <c r="AC209" s="266">
        <f t="shared" si="128"/>
        <v>2509.9396581818633</v>
      </c>
      <c r="AD209" s="266">
        <f t="shared" si="129"/>
        <v>2509.9396581818633</v>
      </c>
      <c r="AE209" s="266">
        <f t="shared" si="130"/>
        <v>2509.9396581818633</v>
      </c>
      <c r="AF209" s="266">
        <f t="shared" si="131"/>
        <v>10039.758632727453</v>
      </c>
      <c r="AG209" s="274">
        <v>0.93</v>
      </c>
      <c r="AH209" s="274">
        <v>0.93</v>
      </c>
      <c r="AI209" s="274">
        <v>0.93</v>
      </c>
      <c r="AJ209" s="274">
        <v>0.93</v>
      </c>
      <c r="AK209" s="274">
        <f t="shared" si="132"/>
        <v>0.93</v>
      </c>
      <c r="AL209" s="274">
        <f t="shared" si="133"/>
        <v>0.93</v>
      </c>
      <c r="AM209" s="274">
        <f t="shared" si="134"/>
        <v>0.93</v>
      </c>
      <c r="AN209" s="274">
        <f t="shared" si="135"/>
        <v>0.93</v>
      </c>
      <c r="AO209" s="262"/>
      <c r="AP209" s="262"/>
      <c r="AQ209" s="267">
        <v>35.984797966765058</v>
      </c>
      <c r="AR209" s="262"/>
      <c r="AS209" s="266">
        <f t="shared" si="136"/>
        <v>2509.9396581818633</v>
      </c>
      <c r="AT209" s="264">
        <f t="shared" si="137"/>
        <v>0</v>
      </c>
      <c r="AU209" s="262"/>
      <c r="AV209" s="262"/>
      <c r="AW209" s="265">
        <v>35.984797966765058</v>
      </c>
      <c r="AX209" s="164" t="s">
        <v>1469</v>
      </c>
      <c r="AY209" s="266">
        <v>2509.9396581818633</v>
      </c>
      <c r="AZ209" s="266">
        <f t="shared" si="138"/>
        <v>2509.9396581818633</v>
      </c>
      <c r="BA209" s="264">
        <f t="shared" si="139"/>
        <v>0</v>
      </c>
      <c r="BB209" s="262"/>
      <c r="BC209" s="262"/>
      <c r="BD209" s="265">
        <f ca="1">IFERROR(INDEX(Algorithms!$G:$G,MATCH($C209&amp;"_Therm Saved per Unit",Algorithms!$A:$A,0)),0)</f>
        <v>35.984797966765058</v>
      </c>
      <c r="BE209" s="164" t="str">
        <f ca="1">IFERROR(INDEX('v12 Revisions'!$P$29:$P$186, MATCH('Measure-Level Adj Gas'!$L209, 'v12 Revisions'!$D$29:$D$186,0)),"")</f>
        <v/>
      </c>
      <c r="BF209" s="266">
        <f t="shared" ca="1" si="140"/>
        <v>2509.9396581818633</v>
      </c>
      <c r="BG209" s="264">
        <f t="shared" ca="1" si="141"/>
        <v>0</v>
      </c>
      <c r="BH209" s="262"/>
      <c r="BI209" s="262"/>
      <c r="BJ209" s="265">
        <f ca="1">IFERROR(INDEX(Algorithms!$G:$G,MATCH($C209&amp;"_Therm Saved per Unit",Algorithms!$A:$A,0)),0)</f>
        <v>35.984797966765058</v>
      </c>
      <c r="BK209" s="164"/>
      <c r="BL209" s="266">
        <f t="shared" ca="1" si="142"/>
        <v>2509.9396581818633</v>
      </c>
      <c r="BM209" s="264">
        <f t="shared" ca="1" si="143"/>
        <v>0</v>
      </c>
      <c r="BN209" s="266">
        <f t="shared" si="144"/>
        <v>2509.9396581818633</v>
      </c>
      <c r="BO209" s="266">
        <f t="shared" si="145"/>
        <v>2509.9396581818633</v>
      </c>
      <c r="BP209" s="266">
        <f t="shared" ca="1" si="146"/>
        <v>2509.9396581818633</v>
      </c>
      <c r="BQ209" s="266">
        <f t="shared" ca="1" si="147"/>
        <v>2509.9396581818633</v>
      </c>
      <c r="BR209" s="268">
        <f t="shared" ca="1" si="148"/>
        <v>10039.758632727453</v>
      </c>
      <c r="BS209" s="262" t="s">
        <v>99</v>
      </c>
      <c r="BT209" s="277"/>
      <c r="BW209" s="266">
        <f t="shared" si="149"/>
        <v>2509.9396581818633</v>
      </c>
      <c r="BX209" s="266">
        <f t="shared" si="150"/>
        <v>2509.9396581818633</v>
      </c>
      <c r="BY209" s="266">
        <f t="shared" si="151"/>
        <v>2509.9396581818633</v>
      </c>
      <c r="BZ209" s="266">
        <f t="shared" si="152"/>
        <v>2509.9396581818633</v>
      </c>
      <c r="CA209" s="266">
        <f ca="1">N209*IFERROR(INDEX(Algorithms!$G:$G,MATCH($C209&amp;"_Therm Saved per Unit- MLA",Algorithms!$A:$A,0)),0)*X209</f>
        <v>0</v>
      </c>
      <c r="CB209" s="266">
        <f ca="1">O209*IFERROR(INDEX(Algorithms!$G:$G,MATCH($C209&amp;"_Therm Saved per Unit- MLA",Algorithms!$A:$A,0)),0)*Y209</f>
        <v>0</v>
      </c>
      <c r="CC209" s="266">
        <f ca="1">P209*IFERROR(INDEX(Algorithms!$G:$G,MATCH($C209&amp;"_Therm Saved per Unit- MLA",Algorithms!$A:$A,0)),0)*Z209</f>
        <v>0</v>
      </c>
      <c r="CD209" s="266">
        <f ca="1">Q209*IFERROR(INDEX(Algorithms!$G:$G,MATCH($C209&amp;"_Therm Saved per Unit- MLA",Algorithms!$A:$A,0)),0)*AA209</f>
        <v>0</v>
      </c>
      <c r="CE209" s="266">
        <f ca="1">IFERROR(INDEX(Algorithms!$G:$G,MATCH($C209&amp;"_Lifetime (years)",Algorithms!$A:$A,0)),0)</f>
        <v>15</v>
      </c>
      <c r="CF209" s="266">
        <f ca="1">IFERROR(INDEX(Algorithms!$G:$G,MATCH($C209&amp;"_Lifetime (years) - Remaining Years",Algorithms!$A:$A,0)),0)</f>
        <v>0</v>
      </c>
      <c r="CG209" s="266">
        <f t="shared" ca="1" si="153"/>
        <v>37649.094872727946</v>
      </c>
      <c r="CH209" s="266">
        <f t="shared" ca="1" si="154"/>
        <v>37649.094872727946</v>
      </c>
      <c r="CI209" s="266">
        <f t="shared" ca="1" si="155"/>
        <v>37649.094872727946</v>
      </c>
      <c r="CJ209" s="266">
        <f t="shared" ca="1" si="156"/>
        <v>37649.094872727946</v>
      </c>
      <c r="CK209" s="266">
        <f t="shared" si="157"/>
        <v>2509.9396581818633</v>
      </c>
      <c r="CL209" s="266">
        <f t="shared" si="158"/>
        <v>2509.9396581818633</v>
      </c>
      <c r="CM209" s="266">
        <f t="shared" ca="1" si="159"/>
        <v>2509.9396581818633</v>
      </c>
      <c r="CN209" s="266">
        <f t="shared" ca="1" si="160"/>
        <v>2509.9396581818633</v>
      </c>
      <c r="CO209" s="266">
        <f ca="1">N209*IFERROR(INDEX(Algorithms!$G:$G,MATCH($C209&amp;"_Therm Saved per Unit- MLA",Algorithms!$A:$A,0)),0)*X209</f>
        <v>0</v>
      </c>
      <c r="CP209" s="266">
        <f ca="1">O209*IFERROR(INDEX(Algorithms!$G:$G,MATCH($C209&amp;"_Therm Saved per Unit- MLA",Algorithms!$A:$A,0)),0)*Y209</f>
        <v>0</v>
      </c>
      <c r="CQ209" s="266">
        <f ca="1">P209*IFERROR(INDEX(Algorithms!$G:$G,MATCH($C209&amp;"_Therm Saved per Unit- MLA",Algorithms!$A:$A,0)),0)*Z209</f>
        <v>0</v>
      </c>
      <c r="CR209" s="266">
        <f ca="1">Q209*IFERROR(INDEX(Algorithms!$G:$G,MATCH($C209&amp;"_Therm Saved per Unit- MLA",Algorithms!$A:$A,0)),0)*AA209</f>
        <v>0</v>
      </c>
      <c r="CS209" s="266">
        <f ca="1">IFERROR(INDEX(Algorithms!$G:$G,MATCH($C209&amp;"_Lifetime (years)",Algorithms!$A:$A,0)),0)</f>
        <v>15</v>
      </c>
      <c r="CT209" s="266">
        <f ca="1">IFERROR(INDEX(Algorithms!$G:$G,MATCH($C209&amp;"_Lifetime (years) - Remaining Years",Algorithms!$A:$A,0)),0)</f>
        <v>0</v>
      </c>
      <c r="CU209" s="266">
        <f t="shared" ca="1" si="161"/>
        <v>37649.094872727946</v>
      </c>
      <c r="CV209" s="266">
        <f t="shared" ca="1" si="162"/>
        <v>37649.094872727946</v>
      </c>
      <c r="CW209" s="266">
        <f t="shared" ca="1" si="163"/>
        <v>37649.094872727946</v>
      </c>
      <c r="CX209" s="266">
        <f t="shared" ca="1" si="164"/>
        <v>37649.094872727946</v>
      </c>
    </row>
    <row r="210" spans="2:102" s="47" customFormat="1" ht="18" customHeight="1" x14ac:dyDescent="0.25">
      <c r="B210" t="str">
        <f t="shared" si="165"/>
        <v>NSG_Business_C&amp;I_Rebates_Pipe Insulation_Steam - Med 2.1" to 5"_CI</v>
      </c>
      <c r="C210" s="47" t="str">
        <f t="shared" si="126"/>
        <v>Pipe Insulation_Steam - Med 2.1" to 5"_CI</v>
      </c>
      <c r="D210" s="270" t="s">
        <v>1787</v>
      </c>
      <c r="E210" s="270" t="s">
        <v>3</v>
      </c>
      <c r="F210" s="270" t="s">
        <v>1427</v>
      </c>
      <c r="G210" s="270" t="s">
        <v>1429</v>
      </c>
      <c r="H210" s="270" t="s">
        <v>404</v>
      </c>
      <c r="I210" s="270" t="s">
        <v>957</v>
      </c>
      <c r="J210" s="270" t="s">
        <v>1159</v>
      </c>
      <c r="K210" s="263">
        <v>1</v>
      </c>
      <c r="L210" s="263" t="str">
        <f ca="1">IFERROR(INDEX(Algorithms!J:J,MATCH($C210&amp;"_Therm Saved per Unit",Algorithms!$A:$A,0)),"n/a")</f>
        <v>"3 - Pipe Insulation" worksheet</v>
      </c>
      <c r="M210" s="263" t="str">
        <f>IFERROR(INDEX('Measure Level Detail'!$N:$N,MATCH($B210,'Measure Level Detail'!$B:$B,0)),0)</f>
        <v>ft</v>
      </c>
      <c r="N210" s="271">
        <f>IFERROR(INDEX('Measure Level Detail'!$P:$P,MATCH($B210&amp;"_"&amp;N$3,'Measure Level Detail'!$C:$C,0)),0)</f>
        <v>63.75</v>
      </c>
      <c r="O210" s="271">
        <f>IFERROR(INDEX('Measure Level Detail'!$P:$P,MATCH($B210&amp;"_"&amp;O$3,'Measure Level Detail'!$C:$C,0)),0)</f>
        <v>60</v>
      </c>
      <c r="P210" s="271">
        <f>IFERROR(INDEX('Measure Level Detail'!$P:$P,MATCH($B210&amp;"_"&amp;P$3,'Measure Level Detail'!$C:$C,0)),0)</f>
        <v>52.5</v>
      </c>
      <c r="Q210" s="271">
        <f>IFERROR(INDEX('Measure Level Detail'!$P:$P,MATCH($B210&amp;"_"&amp;Q$3,'Measure Level Detail'!$C:$C,0)),0)</f>
        <v>51.000000000000007</v>
      </c>
      <c r="R210" s="263">
        <f ca="1">IFERROR(INDEX(Algorithms!K:K,MATCH($C210&amp;"_Therm Saved per Unit",Algorithms!$A:$A,0)),"n/a")</f>
        <v>0</v>
      </c>
      <c r="S210" s="262"/>
      <c r="T210" s="272">
        <v>12.811046084448035</v>
      </c>
      <c r="U210" s="272">
        <v>12.811046084448035</v>
      </c>
      <c r="V210" s="272">
        <v>12.811046084448035</v>
      </c>
      <c r="W210" s="272">
        <v>12.811046084448035</v>
      </c>
      <c r="X210" s="273">
        <f>IFERROR(INDEX('Measure Level Detail'!$R:$R,MATCH($B210&amp;"_"&amp;X$3,'Measure Level Detail'!$C:$C,0)),0)</f>
        <v>0.91</v>
      </c>
      <c r="Y210" s="273">
        <f>IFERROR(INDEX('Measure Level Detail'!$R:$R,MATCH($B210&amp;"_"&amp;Y$3,'Measure Level Detail'!$C:$C,0)),0)</f>
        <v>0.91</v>
      </c>
      <c r="Z210" s="273">
        <f>IFERROR(INDEX('Measure Level Detail'!$R:$R,MATCH($B210&amp;"_"&amp;Z$3,'Measure Level Detail'!$C:$C,0)),0)</f>
        <v>0.91</v>
      </c>
      <c r="AA210" s="273">
        <f>IFERROR(INDEX('Measure Level Detail'!$R:$R,MATCH($B210&amp;"_"&amp;AA$3,'Measure Level Detail'!$C:$C,0)),0)</f>
        <v>0.91</v>
      </c>
      <c r="AB210" s="266">
        <f t="shared" si="127"/>
        <v>743.20081097404159</v>
      </c>
      <c r="AC210" s="266">
        <f t="shared" si="128"/>
        <v>699.4831162108627</v>
      </c>
      <c r="AD210" s="266">
        <f t="shared" si="129"/>
        <v>612.04772668450482</v>
      </c>
      <c r="AE210" s="266">
        <f t="shared" si="130"/>
        <v>594.56064877923347</v>
      </c>
      <c r="AF210" s="266">
        <f t="shared" si="131"/>
        <v>2649.2923026486428</v>
      </c>
      <c r="AG210" s="274">
        <v>0.91</v>
      </c>
      <c r="AH210" s="274">
        <v>0.91</v>
      </c>
      <c r="AI210" s="274">
        <v>0.91</v>
      </c>
      <c r="AJ210" s="274">
        <v>0.91</v>
      </c>
      <c r="AK210" s="274">
        <f t="shared" si="132"/>
        <v>0.91</v>
      </c>
      <c r="AL210" s="274">
        <f t="shared" si="133"/>
        <v>0.91</v>
      </c>
      <c r="AM210" s="274">
        <f t="shared" si="134"/>
        <v>0.91</v>
      </c>
      <c r="AN210" s="274">
        <f t="shared" si="135"/>
        <v>0.91</v>
      </c>
      <c r="AO210" s="262"/>
      <c r="AP210" s="262"/>
      <c r="AQ210" s="267">
        <v>12.811046084448035</v>
      </c>
      <c r="AR210" s="262"/>
      <c r="AS210" s="266">
        <f t="shared" si="136"/>
        <v>743.20081097404159</v>
      </c>
      <c r="AT210" s="264">
        <f t="shared" si="137"/>
        <v>0</v>
      </c>
      <c r="AU210" s="262"/>
      <c r="AV210" s="262"/>
      <c r="AW210" s="265">
        <v>12.811046084448035</v>
      </c>
      <c r="AX210" s="164" t="s">
        <v>1469</v>
      </c>
      <c r="AY210" s="266">
        <v>699.4831162108627</v>
      </c>
      <c r="AZ210" s="266">
        <f t="shared" si="138"/>
        <v>699.4831162108627</v>
      </c>
      <c r="BA210" s="264">
        <f t="shared" si="139"/>
        <v>0</v>
      </c>
      <c r="BB210" s="262"/>
      <c r="BC210" s="262"/>
      <c r="BD210" s="265">
        <f ca="1">IFERROR(INDEX(Algorithms!$G:$G,MATCH($C210&amp;"_Therm Saved per Unit",Algorithms!$A:$A,0)),0)</f>
        <v>12.811046084448035</v>
      </c>
      <c r="BE210" s="164" t="str">
        <f ca="1">IFERROR(INDEX('v12 Revisions'!$P$29:$P$186, MATCH('Measure-Level Adj Gas'!$L210, 'v12 Revisions'!$D$29:$D$186,0)),"")</f>
        <v/>
      </c>
      <c r="BF210" s="266">
        <f t="shared" ca="1" si="140"/>
        <v>612.04772668450482</v>
      </c>
      <c r="BG210" s="264">
        <f t="shared" ca="1" si="141"/>
        <v>0</v>
      </c>
      <c r="BH210" s="262"/>
      <c r="BI210" s="262"/>
      <c r="BJ210" s="265">
        <f ca="1">IFERROR(INDEX(Algorithms!$G:$G,MATCH($C210&amp;"_Therm Saved per Unit",Algorithms!$A:$A,0)),0)</f>
        <v>12.811046084448035</v>
      </c>
      <c r="BK210" s="164"/>
      <c r="BL210" s="266">
        <f t="shared" ca="1" si="142"/>
        <v>594.56064877923347</v>
      </c>
      <c r="BM210" s="264">
        <f t="shared" ca="1" si="143"/>
        <v>0</v>
      </c>
      <c r="BN210" s="266">
        <f t="shared" si="144"/>
        <v>743.20081097404159</v>
      </c>
      <c r="BO210" s="266">
        <f t="shared" si="145"/>
        <v>699.4831162108627</v>
      </c>
      <c r="BP210" s="266">
        <f t="shared" ca="1" si="146"/>
        <v>612.04772668450482</v>
      </c>
      <c r="BQ210" s="266">
        <f t="shared" ca="1" si="147"/>
        <v>594.56064877923347</v>
      </c>
      <c r="BR210" s="268">
        <f t="shared" ca="1" si="148"/>
        <v>2649.2923026486428</v>
      </c>
      <c r="BS210" s="262" t="s">
        <v>99</v>
      </c>
      <c r="BT210" s="277"/>
      <c r="BW210" s="266">
        <f t="shared" si="149"/>
        <v>743.20081097404159</v>
      </c>
      <c r="BX210" s="266">
        <f t="shared" si="150"/>
        <v>699.4831162108627</v>
      </c>
      <c r="BY210" s="266">
        <f t="shared" si="151"/>
        <v>612.04772668450482</v>
      </c>
      <c r="BZ210" s="266">
        <f t="shared" si="152"/>
        <v>594.56064877923347</v>
      </c>
      <c r="CA210" s="266">
        <f ca="1">N210*IFERROR(INDEX(Algorithms!$G:$G,MATCH($C210&amp;"_Therm Saved per Unit- MLA",Algorithms!$A:$A,0)),0)*X210</f>
        <v>0</v>
      </c>
      <c r="CB210" s="266">
        <f ca="1">O210*IFERROR(INDEX(Algorithms!$G:$G,MATCH($C210&amp;"_Therm Saved per Unit- MLA",Algorithms!$A:$A,0)),0)*Y210</f>
        <v>0</v>
      </c>
      <c r="CC210" s="266">
        <f ca="1">P210*IFERROR(INDEX(Algorithms!$G:$G,MATCH($C210&amp;"_Therm Saved per Unit- MLA",Algorithms!$A:$A,0)),0)*Z210</f>
        <v>0</v>
      </c>
      <c r="CD210" s="266">
        <f ca="1">Q210*IFERROR(INDEX(Algorithms!$G:$G,MATCH($C210&amp;"_Therm Saved per Unit- MLA",Algorithms!$A:$A,0)),0)*AA210</f>
        <v>0</v>
      </c>
      <c r="CE210" s="266">
        <f ca="1">IFERROR(INDEX(Algorithms!$G:$G,MATCH($C210&amp;"_Lifetime (years)",Algorithms!$A:$A,0)),0)</f>
        <v>15</v>
      </c>
      <c r="CF210" s="266">
        <f ca="1">IFERROR(INDEX(Algorithms!$G:$G,MATCH($C210&amp;"_Lifetime (years) - Remaining Years",Algorithms!$A:$A,0)),0)</f>
        <v>0</v>
      </c>
      <c r="CG210" s="266">
        <f t="shared" ca="1" si="153"/>
        <v>11148.012164610624</v>
      </c>
      <c r="CH210" s="266">
        <f t="shared" ca="1" si="154"/>
        <v>10492.246743162941</v>
      </c>
      <c r="CI210" s="266">
        <f t="shared" ca="1" si="155"/>
        <v>9180.7159002675726</v>
      </c>
      <c r="CJ210" s="266">
        <f t="shared" ca="1" si="156"/>
        <v>8918.4097316885018</v>
      </c>
      <c r="CK210" s="266">
        <f t="shared" si="157"/>
        <v>743.20081097404159</v>
      </c>
      <c r="CL210" s="266">
        <f t="shared" si="158"/>
        <v>699.4831162108627</v>
      </c>
      <c r="CM210" s="266">
        <f t="shared" ca="1" si="159"/>
        <v>612.04772668450482</v>
      </c>
      <c r="CN210" s="266">
        <f t="shared" ca="1" si="160"/>
        <v>594.56064877923347</v>
      </c>
      <c r="CO210" s="266">
        <f ca="1">N210*IFERROR(INDEX(Algorithms!$G:$G,MATCH($C210&amp;"_Therm Saved per Unit- MLA",Algorithms!$A:$A,0)),0)*X210</f>
        <v>0</v>
      </c>
      <c r="CP210" s="266">
        <f ca="1">O210*IFERROR(INDEX(Algorithms!$G:$G,MATCH($C210&amp;"_Therm Saved per Unit- MLA",Algorithms!$A:$A,0)),0)*Y210</f>
        <v>0</v>
      </c>
      <c r="CQ210" s="266">
        <f ca="1">P210*IFERROR(INDEX(Algorithms!$G:$G,MATCH($C210&amp;"_Therm Saved per Unit- MLA",Algorithms!$A:$A,0)),0)*Z210</f>
        <v>0</v>
      </c>
      <c r="CR210" s="266">
        <f ca="1">Q210*IFERROR(INDEX(Algorithms!$G:$G,MATCH($C210&amp;"_Therm Saved per Unit- MLA",Algorithms!$A:$A,0)),0)*AA210</f>
        <v>0</v>
      </c>
      <c r="CS210" s="266">
        <f ca="1">IFERROR(INDEX(Algorithms!$G:$G,MATCH($C210&amp;"_Lifetime (years)",Algorithms!$A:$A,0)),0)</f>
        <v>15</v>
      </c>
      <c r="CT210" s="266">
        <f ca="1">IFERROR(INDEX(Algorithms!$G:$G,MATCH($C210&amp;"_Lifetime (years) - Remaining Years",Algorithms!$A:$A,0)),0)</f>
        <v>0</v>
      </c>
      <c r="CU210" s="266">
        <f t="shared" ca="1" si="161"/>
        <v>11148.012164610624</v>
      </c>
      <c r="CV210" s="266">
        <f t="shared" ca="1" si="162"/>
        <v>10492.246743162941</v>
      </c>
      <c r="CW210" s="266">
        <f t="shared" ca="1" si="163"/>
        <v>9180.7159002675726</v>
      </c>
      <c r="CX210" s="266">
        <f t="shared" ca="1" si="164"/>
        <v>8918.4097316885018</v>
      </c>
    </row>
    <row r="211" spans="2:102" s="47" customFormat="1" ht="18" customHeight="1" x14ac:dyDescent="0.25">
      <c r="B211" t="str">
        <f t="shared" si="165"/>
        <v>NSG_Business_C&amp;I_Rebates_Pipe Insulation_Steam - Large 5.1" to 8"_CI</v>
      </c>
      <c r="C211" s="47" t="str">
        <f t="shared" si="126"/>
        <v>Pipe Insulation_Steam - Large 5.1" to 8"_CI</v>
      </c>
      <c r="D211" s="270" t="s">
        <v>1787</v>
      </c>
      <c r="E211" s="270" t="s">
        <v>3</v>
      </c>
      <c r="F211" s="270" t="s">
        <v>1427</v>
      </c>
      <c r="G211" s="270" t="s">
        <v>1429</v>
      </c>
      <c r="H211" s="270" t="s">
        <v>404</v>
      </c>
      <c r="I211" s="270" t="s">
        <v>958</v>
      </c>
      <c r="J211" s="270" t="s">
        <v>1159</v>
      </c>
      <c r="K211" s="263">
        <v>1</v>
      </c>
      <c r="L211" s="263" t="str">
        <f ca="1">IFERROR(INDEX(Algorithms!J:J,MATCH($C211&amp;"_Therm Saved per Unit",Algorithms!$A:$A,0)),"n/a")</f>
        <v>"3 - Pipe Insulation" worksheet</v>
      </c>
      <c r="M211" s="263" t="str">
        <f>IFERROR(INDEX('Measure Level Detail'!$N:$N,MATCH($B211,'Measure Level Detail'!$B:$B,0)),0)</f>
        <v>ft</v>
      </c>
      <c r="N211" s="271">
        <f>IFERROR(INDEX('Measure Level Detail'!$P:$P,MATCH($B211&amp;"_"&amp;N$3,'Measure Level Detail'!$C:$C,0)),0)</f>
        <v>63.75</v>
      </c>
      <c r="O211" s="271">
        <f>IFERROR(INDEX('Measure Level Detail'!$P:$P,MATCH($B211&amp;"_"&amp;O$3,'Measure Level Detail'!$C:$C,0)),0)</f>
        <v>60</v>
      </c>
      <c r="P211" s="271">
        <f>IFERROR(INDEX('Measure Level Detail'!$P:$P,MATCH($B211&amp;"_"&amp;P$3,'Measure Level Detail'!$C:$C,0)),0)</f>
        <v>52.5</v>
      </c>
      <c r="Q211" s="271">
        <f>IFERROR(INDEX('Measure Level Detail'!$P:$P,MATCH($B211&amp;"_"&amp;Q$3,'Measure Level Detail'!$C:$C,0)),0)</f>
        <v>51.000000000000007</v>
      </c>
      <c r="R211" s="263">
        <f ca="1">IFERROR(INDEX(Algorithms!K:K,MATCH($C211&amp;"_Therm Saved per Unit",Algorithms!$A:$A,0)),"n/a")</f>
        <v>0</v>
      </c>
      <c r="S211" s="262"/>
      <c r="T211" s="272">
        <v>24.999763600321025</v>
      </c>
      <c r="U211" s="272">
        <v>24.999763600321025</v>
      </c>
      <c r="V211" s="272">
        <v>24.999763600321025</v>
      </c>
      <c r="W211" s="272">
        <v>24.999763600321025</v>
      </c>
      <c r="X211" s="273">
        <f>IFERROR(INDEX('Measure Level Detail'!$R:$R,MATCH($B211&amp;"_"&amp;X$3,'Measure Level Detail'!$C:$C,0)),0)</f>
        <v>0.91</v>
      </c>
      <c r="Y211" s="273">
        <f>IFERROR(INDEX('Measure Level Detail'!$R:$R,MATCH($B211&amp;"_"&amp;Y$3,'Measure Level Detail'!$C:$C,0)),0)</f>
        <v>0.91</v>
      </c>
      <c r="Z211" s="273">
        <f>IFERROR(INDEX('Measure Level Detail'!$R:$R,MATCH($B211&amp;"_"&amp;Z$3,'Measure Level Detail'!$C:$C,0)),0)</f>
        <v>0.91</v>
      </c>
      <c r="AA211" s="273">
        <f>IFERROR(INDEX('Measure Level Detail'!$R:$R,MATCH($B211&amp;"_"&amp;AA$3,'Measure Level Detail'!$C:$C,0)),0)</f>
        <v>0.91</v>
      </c>
      <c r="AB211" s="266">
        <f t="shared" si="127"/>
        <v>1450.2987858636236</v>
      </c>
      <c r="AC211" s="266">
        <f t="shared" si="128"/>
        <v>1364.9870925775278</v>
      </c>
      <c r="AD211" s="266">
        <f t="shared" si="129"/>
        <v>1194.363706005337</v>
      </c>
      <c r="AE211" s="266">
        <f t="shared" si="130"/>
        <v>1160.239028690899</v>
      </c>
      <c r="AF211" s="266">
        <f t="shared" si="131"/>
        <v>5169.8886131373874</v>
      </c>
      <c r="AG211" s="274">
        <v>0.91</v>
      </c>
      <c r="AH211" s="274">
        <v>0.91</v>
      </c>
      <c r="AI211" s="274">
        <v>0.91</v>
      </c>
      <c r="AJ211" s="274">
        <v>0.91</v>
      </c>
      <c r="AK211" s="274">
        <f t="shared" si="132"/>
        <v>0.91</v>
      </c>
      <c r="AL211" s="274">
        <f t="shared" si="133"/>
        <v>0.91</v>
      </c>
      <c r="AM211" s="274">
        <f t="shared" si="134"/>
        <v>0.91</v>
      </c>
      <c r="AN211" s="274">
        <f t="shared" si="135"/>
        <v>0.91</v>
      </c>
      <c r="AO211" s="262"/>
      <c r="AP211" s="262"/>
      <c r="AQ211" s="267">
        <v>24.999763600321025</v>
      </c>
      <c r="AR211" s="262"/>
      <c r="AS211" s="266">
        <f t="shared" si="136"/>
        <v>1450.2987858636236</v>
      </c>
      <c r="AT211" s="264">
        <f t="shared" si="137"/>
        <v>0</v>
      </c>
      <c r="AU211" s="262"/>
      <c r="AV211" s="262"/>
      <c r="AW211" s="265">
        <v>24.999763600321025</v>
      </c>
      <c r="AX211" s="164" t="s">
        <v>1469</v>
      </c>
      <c r="AY211" s="266">
        <v>1364.9870925775278</v>
      </c>
      <c r="AZ211" s="266">
        <f t="shared" si="138"/>
        <v>1364.9870925775278</v>
      </c>
      <c r="BA211" s="264">
        <f t="shared" si="139"/>
        <v>0</v>
      </c>
      <c r="BB211" s="262"/>
      <c r="BC211" s="262"/>
      <c r="BD211" s="265">
        <f ca="1">IFERROR(INDEX(Algorithms!$G:$G,MATCH($C211&amp;"_Therm Saved per Unit",Algorithms!$A:$A,0)),0)</f>
        <v>24.999763600321025</v>
      </c>
      <c r="BE211" s="164" t="str">
        <f ca="1">IFERROR(INDEX('v12 Revisions'!$P$29:$P$186, MATCH('Measure-Level Adj Gas'!$L211, 'v12 Revisions'!$D$29:$D$186,0)),"")</f>
        <v/>
      </c>
      <c r="BF211" s="266">
        <f t="shared" ca="1" si="140"/>
        <v>1194.363706005337</v>
      </c>
      <c r="BG211" s="264">
        <f t="shared" ca="1" si="141"/>
        <v>0</v>
      </c>
      <c r="BH211" s="262"/>
      <c r="BI211" s="262"/>
      <c r="BJ211" s="265">
        <f ca="1">IFERROR(INDEX(Algorithms!$G:$G,MATCH($C211&amp;"_Therm Saved per Unit",Algorithms!$A:$A,0)),0)</f>
        <v>24.999763600321025</v>
      </c>
      <c r="BK211" s="164"/>
      <c r="BL211" s="266">
        <f t="shared" ca="1" si="142"/>
        <v>1160.239028690899</v>
      </c>
      <c r="BM211" s="264">
        <f t="shared" ca="1" si="143"/>
        <v>0</v>
      </c>
      <c r="BN211" s="266">
        <f t="shared" si="144"/>
        <v>1450.2987858636236</v>
      </c>
      <c r="BO211" s="266">
        <f t="shared" si="145"/>
        <v>1364.9870925775278</v>
      </c>
      <c r="BP211" s="266">
        <f t="shared" ca="1" si="146"/>
        <v>1194.363706005337</v>
      </c>
      <c r="BQ211" s="266">
        <f t="shared" ca="1" si="147"/>
        <v>1160.239028690899</v>
      </c>
      <c r="BR211" s="268">
        <f t="shared" ca="1" si="148"/>
        <v>5169.8886131373874</v>
      </c>
      <c r="BS211" s="262" t="s">
        <v>99</v>
      </c>
      <c r="BT211" s="277"/>
      <c r="BW211" s="266">
        <f t="shared" si="149"/>
        <v>1450.2987858636236</v>
      </c>
      <c r="BX211" s="266">
        <f t="shared" si="150"/>
        <v>1364.9870925775278</v>
      </c>
      <c r="BY211" s="266">
        <f t="shared" si="151"/>
        <v>1194.363706005337</v>
      </c>
      <c r="BZ211" s="266">
        <f t="shared" si="152"/>
        <v>1160.239028690899</v>
      </c>
      <c r="CA211" s="266">
        <f ca="1">N211*IFERROR(INDEX(Algorithms!$G:$G,MATCH($C211&amp;"_Therm Saved per Unit- MLA",Algorithms!$A:$A,0)),0)*X211</f>
        <v>0</v>
      </c>
      <c r="CB211" s="266">
        <f ca="1">O211*IFERROR(INDEX(Algorithms!$G:$G,MATCH($C211&amp;"_Therm Saved per Unit- MLA",Algorithms!$A:$A,0)),0)*Y211</f>
        <v>0</v>
      </c>
      <c r="CC211" s="266">
        <f ca="1">P211*IFERROR(INDEX(Algorithms!$G:$G,MATCH($C211&amp;"_Therm Saved per Unit- MLA",Algorithms!$A:$A,0)),0)*Z211</f>
        <v>0</v>
      </c>
      <c r="CD211" s="266">
        <f ca="1">Q211*IFERROR(INDEX(Algorithms!$G:$G,MATCH($C211&amp;"_Therm Saved per Unit- MLA",Algorithms!$A:$A,0)),0)*AA211</f>
        <v>0</v>
      </c>
      <c r="CE211" s="266">
        <f ca="1">IFERROR(INDEX(Algorithms!$G:$G,MATCH($C211&amp;"_Lifetime (years)",Algorithms!$A:$A,0)),0)</f>
        <v>15</v>
      </c>
      <c r="CF211" s="266">
        <f ca="1">IFERROR(INDEX(Algorithms!$G:$G,MATCH($C211&amp;"_Lifetime (years) - Remaining Years",Algorithms!$A:$A,0)),0)</f>
        <v>0</v>
      </c>
      <c r="CG211" s="266">
        <f t="shared" ca="1" si="153"/>
        <v>21754.481787954355</v>
      </c>
      <c r="CH211" s="266">
        <f t="shared" ca="1" si="154"/>
        <v>20474.806388662917</v>
      </c>
      <c r="CI211" s="266">
        <f t="shared" ca="1" si="155"/>
        <v>17915.455590080055</v>
      </c>
      <c r="CJ211" s="266">
        <f t="shared" ca="1" si="156"/>
        <v>17403.585430363484</v>
      </c>
      <c r="CK211" s="266">
        <f t="shared" si="157"/>
        <v>1450.2987858636236</v>
      </c>
      <c r="CL211" s="266">
        <f t="shared" si="158"/>
        <v>1364.9870925775278</v>
      </c>
      <c r="CM211" s="266">
        <f t="shared" ca="1" si="159"/>
        <v>1194.363706005337</v>
      </c>
      <c r="CN211" s="266">
        <f t="shared" ca="1" si="160"/>
        <v>1160.239028690899</v>
      </c>
      <c r="CO211" s="266">
        <f ca="1">N211*IFERROR(INDEX(Algorithms!$G:$G,MATCH($C211&amp;"_Therm Saved per Unit- MLA",Algorithms!$A:$A,0)),0)*X211</f>
        <v>0</v>
      </c>
      <c r="CP211" s="266">
        <f ca="1">O211*IFERROR(INDEX(Algorithms!$G:$G,MATCH($C211&amp;"_Therm Saved per Unit- MLA",Algorithms!$A:$A,0)),0)*Y211</f>
        <v>0</v>
      </c>
      <c r="CQ211" s="266">
        <f ca="1">P211*IFERROR(INDEX(Algorithms!$G:$G,MATCH($C211&amp;"_Therm Saved per Unit- MLA",Algorithms!$A:$A,0)),0)*Z211</f>
        <v>0</v>
      </c>
      <c r="CR211" s="266">
        <f ca="1">Q211*IFERROR(INDEX(Algorithms!$G:$G,MATCH($C211&amp;"_Therm Saved per Unit- MLA",Algorithms!$A:$A,0)),0)*AA211</f>
        <v>0</v>
      </c>
      <c r="CS211" s="266">
        <f ca="1">IFERROR(INDEX(Algorithms!$G:$G,MATCH($C211&amp;"_Lifetime (years)",Algorithms!$A:$A,0)),0)</f>
        <v>15</v>
      </c>
      <c r="CT211" s="266">
        <f ca="1">IFERROR(INDEX(Algorithms!$G:$G,MATCH($C211&amp;"_Lifetime (years) - Remaining Years",Algorithms!$A:$A,0)),0)</f>
        <v>0</v>
      </c>
      <c r="CU211" s="266">
        <f t="shared" ca="1" si="161"/>
        <v>21754.481787954355</v>
      </c>
      <c r="CV211" s="266">
        <f t="shared" ca="1" si="162"/>
        <v>20474.806388662917</v>
      </c>
      <c r="CW211" s="266">
        <f t="shared" ca="1" si="163"/>
        <v>17915.455590080055</v>
      </c>
      <c r="CX211" s="266">
        <f t="shared" ca="1" si="164"/>
        <v>17403.585430363484</v>
      </c>
    </row>
    <row r="212" spans="2:102" s="47" customFormat="1" ht="18" customHeight="1" x14ac:dyDescent="0.25">
      <c r="B212" t="str">
        <f t="shared" si="165"/>
        <v>NSG_Business_C&amp;I_Rebates_Pipe Insulation_Steam - X-Large &gt;8"_CI</v>
      </c>
      <c r="C212" s="47" t="str">
        <f t="shared" si="126"/>
        <v>Pipe Insulation_Steam - X-Large &gt;8"_CI</v>
      </c>
      <c r="D212" s="270" t="s">
        <v>1787</v>
      </c>
      <c r="E212" s="270" t="s">
        <v>3</v>
      </c>
      <c r="F212" s="270" t="s">
        <v>1427</v>
      </c>
      <c r="G212" s="270" t="s">
        <v>1429</v>
      </c>
      <c r="H212" s="270" t="s">
        <v>404</v>
      </c>
      <c r="I212" s="270" t="s">
        <v>960</v>
      </c>
      <c r="J212" s="270" t="s">
        <v>1159</v>
      </c>
      <c r="K212" s="263">
        <v>1</v>
      </c>
      <c r="L212" s="263" t="str">
        <f ca="1">IFERROR(INDEX(Algorithms!J:J,MATCH($C212&amp;"_Therm Saved per Unit",Algorithms!$A:$A,0)),"n/a")</f>
        <v>"3 - Pipe Insulation" worksheet</v>
      </c>
      <c r="M212" s="263" t="str">
        <f>IFERROR(INDEX('Measure Level Detail'!$N:$N,MATCH($B212,'Measure Level Detail'!$B:$B,0)),0)</f>
        <v>ft</v>
      </c>
      <c r="N212" s="271">
        <f>IFERROR(INDEX('Measure Level Detail'!$P:$P,MATCH($B212&amp;"_"&amp;N$3,'Measure Level Detail'!$C:$C,0)),0)</f>
        <v>63.75</v>
      </c>
      <c r="O212" s="271">
        <f>IFERROR(INDEX('Measure Level Detail'!$P:$P,MATCH($B212&amp;"_"&amp;O$3,'Measure Level Detail'!$C:$C,0)),0)</f>
        <v>60</v>
      </c>
      <c r="P212" s="271">
        <f>IFERROR(INDEX('Measure Level Detail'!$P:$P,MATCH($B212&amp;"_"&amp;P$3,'Measure Level Detail'!$C:$C,0)),0)</f>
        <v>52.5</v>
      </c>
      <c r="Q212" s="271">
        <f>IFERROR(INDEX('Measure Level Detail'!$P:$P,MATCH($B212&amp;"_"&amp;Q$3,'Measure Level Detail'!$C:$C,0)),0)</f>
        <v>51.000000000000007</v>
      </c>
      <c r="R212" s="263">
        <f ca="1">IFERROR(INDEX(Algorithms!K:K,MATCH($C212&amp;"_Therm Saved per Unit",Algorithms!$A:$A,0)),"n/a")</f>
        <v>0</v>
      </c>
      <c r="S212" s="262"/>
      <c r="T212" s="272">
        <v>35.984797966765058</v>
      </c>
      <c r="U212" s="272">
        <v>35.984797966765058</v>
      </c>
      <c r="V212" s="272">
        <v>35.984797966765058</v>
      </c>
      <c r="W212" s="272">
        <v>35.984797966765058</v>
      </c>
      <c r="X212" s="273">
        <f>IFERROR(INDEX('Measure Level Detail'!$R:$R,MATCH($B212&amp;"_"&amp;X$3,'Measure Level Detail'!$C:$C,0)),0)</f>
        <v>0.91</v>
      </c>
      <c r="Y212" s="273">
        <f>IFERROR(INDEX('Measure Level Detail'!$R:$R,MATCH($B212&amp;"_"&amp;Y$3,'Measure Level Detail'!$C:$C,0)),0)</f>
        <v>0.91</v>
      </c>
      <c r="Z212" s="273">
        <f>IFERROR(INDEX('Measure Level Detail'!$R:$R,MATCH($B212&amp;"_"&amp;Z$3,'Measure Level Detail'!$C:$C,0)),0)</f>
        <v>0.91</v>
      </c>
      <c r="AA212" s="273">
        <f>IFERROR(INDEX('Measure Level Detail'!$R:$R,MATCH($B212&amp;"_"&amp;AA$3,'Measure Level Detail'!$C:$C,0)),0)</f>
        <v>0.91</v>
      </c>
      <c r="AB212" s="266">
        <f t="shared" si="127"/>
        <v>2087.5680920469581</v>
      </c>
      <c r="AC212" s="266">
        <f t="shared" si="128"/>
        <v>1964.7699689853721</v>
      </c>
      <c r="AD212" s="266">
        <f t="shared" si="129"/>
        <v>1719.1737228622007</v>
      </c>
      <c r="AE212" s="266">
        <f t="shared" si="130"/>
        <v>1670.0544736375666</v>
      </c>
      <c r="AF212" s="266">
        <f t="shared" si="131"/>
        <v>7441.5662575320976</v>
      </c>
      <c r="AG212" s="274">
        <v>0.91</v>
      </c>
      <c r="AH212" s="274">
        <v>0.91</v>
      </c>
      <c r="AI212" s="274">
        <v>0.91</v>
      </c>
      <c r="AJ212" s="274">
        <v>0.91</v>
      </c>
      <c r="AK212" s="274">
        <f t="shared" si="132"/>
        <v>0.91</v>
      </c>
      <c r="AL212" s="274">
        <f t="shared" si="133"/>
        <v>0.91</v>
      </c>
      <c r="AM212" s="274">
        <f t="shared" si="134"/>
        <v>0.91</v>
      </c>
      <c r="AN212" s="274">
        <f t="shared" si="135"/>
        <v>0.91</v>
      </c>
      <c r="AO212" s="262"/>
      <c r="AP212" s="262"/>
      <c r="AQ212" s="267">
        <v>35.984797966765058</v>
      </c>
      <c r="AR212" s="262"/>
      <c r="AS212" s="266">
        <f t="shared" si="136"/>
        <v>2087.5680920469581</v>
      </c>
      <c r="AT212" s="264">
        <f t="shared" si="137"/>
        <v>0</v>
      </c>
      <c r="AU212" s="262"/>
      <c r="AV212" s="262"/>
      <c r="AW212" s="265">
        <v>35.984797966765058</v>
      </c>
      <c r="AX212" s="164" t="s">
        <v>1469</v>
      </c>
      <c r="AY212" s="266">
        <v>1964.7699689853721</v>
      </c>
      <c r="AZ212" s="266">
        <f t="shared" si="138"/>
        <v>1964.7699689853721</v>
      </c>
      <c r="BA212" s="264">
        <f t="shared" si="139"/>
        <v>0</v>
      </c>
      <c r="BB212" s="262"/>
      <c r="BC212" s="262"/>
      <c r="BD212" s="265">
        <f ca="1">IFERROR(INDEX(Algorithms!$G:$G,MATCH($C212&amp;"_Therm Saved per Unit",Algorithms!$A:$A,0)),0)</f>
        <v>35.984797966765058</v>
      </c>
      <c r="BE212" s="164" t="str">
        <f ca="1">IFERROR(INDEX('v12 Revisions'!$P$29:$P$186, MATCH('Measure-Level Adj Gas'!$L212, 'v12 Revisions'!$D$29:$D$186,0)),"")</f>
        <v/>
      </c>
      <c r="BF212" s="266">
        <f t="shared" ca="1" si="140"/>
        <v>1719.1737228622007</v>
      </c>
      <c r="BG212" s="264">
        <f t="shared" ca="1" si="141"/>
        <v>0</v>
      </c>
      <c r="BH212" s="262"/>
      <c r="BI212" s="262"/>
      <c r="BJ212" s="265">
        <f ca="1">IFERROR(INDEX(Algorithms!$G:$G,MATCH($C212&amp;"_Therm Saved per Unit",Algorithms!$A:$A,0)),0)</f>
        <v>35.984797966765058</v>
      </c>
      <c r="BK212" s="164"/>
      <c r="BL212" s="266">
        <f t="shared" ca="1" si="142"/>
        <v>1670.0544736375666</v>
      </c>
      <c r="BM212" s="264">
        <f t="shared" ca="1" si="143"/>
        <v>0</v>
      </c>
      <c r="BN212" s="266">
        <f t="shared" si="144"/>
        <v>2087.5680920469581</v>
      </c>
      <c r="BO212" s="266">
        <f t="shared" si="145"/>
        <v>1964.7699689853721</v>
      </c>
      <c r="BP212" s="266">
        <f t="shared" ca="1" si="146"/>
        <v>1719.1737228622007</v>
      </c>
      <c r="BQ212" s="266">
        <f t="shared" ca="1" si="147"/>
        <v>1670.0544736375666</v>
      </c>
      <c r="BR212" s="268">
        <f t="shared" ca="1" si="148"/>
        <v>7441.5662575320976</v>
      </c>
      <c r="BS212" s="262" t="s">
        <v>99</v>
      </c>
      <c r="BT212" s="277"/>
      <c r="BW212" s="266">
        <f t="shared" si="149"/>
        <v>2087.5680920469581</v>
      </c>
      <c r="BX212" s="266">
        <f t="shared" si="150"/>
        <v>1964.7699689853721</v>
      </c>
      <c r="BY212" s="266">
        <f t="shared" si="151"/>
        <v>1719.1737228622007</v>
      </c>
      <c r="BZ212" s="266">
        <f t="shared" si="152"/>
        <v>1670.0544736375666</v>
      </c>
      <c r="CA212" s="266">
        <f ca="1">N212*IFERROR(INDEX(Algorithms!$G:$G,MATCH($C212&amp;"_Therm Saved per Unit- MLA",Algorithms!$A:$A,0)),0)*X212</f>
        <v>0</v>
      </c>
      <c r="CB212" s="266">
        <f ca="1">O212*IFERROR(INDEX(Algorithms!$G:$G,MATCH($C212&amp;"_Therm Saved per Unit- MLA",Algorithms!$A:$A,0)),0)*Y212</f>
        <v>0</v>
      </c>
      <c r="CC212" s="266">
        <f ca="1">P212*IFERROR(INDEX(Algorithms!$G:$G,MATCH($C212&amp;"_Therm Saved per Unit- MLA",Algorithms!$A:$A,0)),0)*Z212</f>
        <v>0</v>
      </c>
      <c r="CD212" s="266">
        <f ca="1">Q212*IFERROR(INDEX(Algorithms!$G:$G,MATCH($C212&amp;"_Therm Saved per Unit- MLA",Algorithms!$A:$A,0)),0)*AA212</f>
        <v>0</v>
      </c>
      <c r="CE212" s="266">
        <f ca="1">IFERROR(INDEX(Algorithms!$G:$G,MATCH($C212&amp;"_Lifetime (years)",Algorithms!$A:$A,0)),0)</f>
        <v>15</v>
      </c>
      <c r="CF212" s="266">
        <f ca="1">IFERROR(INDEX(Algorithms!$G:$G,MATCH($C212&amp;"_Lifetime (years) - Remaining Years",Algorithms!$A:$A,0)),0)</f>
        <v>0</v>
      </c>
      <c r="CG212" s="266">
        <f t="shared" ca="1" si="153"/>
        <v>31313.521380704373</v>
      </c>
      <c r="CH212" s="266">
        <f t="shared" ca="1" si="154"/>
        <v>29471.549534780581</v>
      </c>
      <c r="CI212" s="266">
        <f t="shared" ca="1" si="155"/>
        <v>25787.605842933011</v>
      </c>
      <c r="CJ212" s="266">
        <f t="shared" ca="1" si="156"/>
        <v>25050.817104563499</v>
      </c>
      <c r="CK212" s="266">
        <f t="shared" si="157"/>
        <v>2087.5680920469581</v>
      </c>
      <c r="CL212" s="266">
        <f t="shared" si="158"/>
        <v>1964.7699689853721</v>
      </c>
      <c r="CM212" s="266">
        <f t="shared" ca="1" si="159"/>
        <v>1719.1737228622007</v>
      </c>
      <c r="CN212" s="266">
        <f t="shared" ca="1" si="160"/>
        <v>1670.0544736375666</v>
      </c>
      <c r="CO212" s="266">
        <f ca="1">N212*IFERROR(INDEX(Algorithms!$G:$G,MATCH($C212&amp;"_Therm Saved per Unit- MLA",Algorithms!$A:$A,0)),0)*X212</f>
        <v>0</v>
      </c>
      <c r="CP212" s="266">
        <f ca="1">O212*IFERROR(INDEX(Algorithms!$G:$G,MATCH($C212&amp;"_Therm Saved per Unit- MLA",Algorithms!$A:$A,0)),0)*Y212</f>
        <v>0</v>
      </c>
      <c r="CQ212" s="266">
        <f ca="1">P212*IFERROR(INDEX(Algorithms!$G:$G,MATCH($C212&amp;"_Therm Saved per Unit- MLA",Algorithms!$A:$A,0)),0)*Z212</f>
        <v>0</v>
      </c>
      <c r="CR212" s="266">
        <f ca="1">Q212*IFERROR(INDEX(Algorithms!$G:$G,MATCH($C212&amp;"_Therm Saved per Unit- MLA",Algorithms!$A:$A,0)),0)*AA212</f>
        <v>0</v>
      </c>
      <c r="CS212" s="266">
        <f ca="1">IFERROR(INDEX(Algorithms!$G:$G,MATCH($C212&amp;"_Lifetime (years)",Algorithms!$A:$A,0)),0)</f>
        <v>15</v>
      </c>
      <c r="CT212" s="266">
        <f ca="1">IFERROR(INDEX(Algorithms!$G:$G,MATCH($C212&amp;"_Lifetime (years) - Remaining Years",Algorithms!$A:$A,0)),0)</f>
        <v>0</v>
      </c>
      <c r="CU212" s="266">
        <f t="shared" ca="1" si="161"/>
        <v>31313.521380704373</v>
      </c>
      <c r="CV212" s="266">
        <f t="shared" ca="1" si="162"/>
        <v>29471.549534780581</v>
      </c>
      <c r="CW212" s="266">
        <f t="shared" ca="1" si="163"/>
        <v>25787.605842933011</v>
      </c>
      <c r="CX212" s="266">
        <f t="shared" ca="1" si="164"/>
        <v>25050.817104563499</v>
      </c>
    </row>
    <row r="213" spans="2:102" s="47" customFormat="1" ht="18" customHeight="1" x14ac:dyDescent="0.25">
      <c r="B213" t="str">
        <f t="shared" si="165"/>
        <v>NSG_Income Eligible_Multi-Family_MF IHWAP_Unit Visit_0_MF</v>
      </c>
      <c r="C213" s="47" t="str">
        <f t="shared" si="126"/>
        <v>Unit Visit_0_MF</v>
      </c>
      <c r="D213" s="270" t="s">
        <v>1787</v>
      </c>
      <c r="E213" s="270" t="s">
        <v>325</v>
      </c>
      <c r="F213" s="270" t="s">
        <v>1422</v>
      </c>
      <c r="G213" s="270" t="s">
        <v>1441</v>
      </c>
      <c r="H213" s="270" t="s">
        <v>1090</v>
      </c>
      <c r="I213" s="270">
        <v>0</v>
      </c>
      <c r="J213" s="270" t="s">
        <v>553</v>
      </c>
      <c r="K213" s="263">
        <v>1</v>
      </c>
      <c r="L213" s="263">
        <f ca="1">IFERROR(INDEX(Algorithms!J:J,MATCH($C213&amp;"_Therm Saved per Unit",Algorithms!$A:$A,0)),"n/a")</f>
        <v>0</v>
      </c>
      <c r="M213" s="263">
        <f>IFERROR(INDEX('Measure Level Detail'!$N:$N,MATCH($B213,'Measure Level Detail'!$B:$B,0)),0)</f>
        <v>0</v>
      </c>
      <c r="N213" s="271">
        <f>IFERROR(INDEX('Measure Level Detail'!$P:$P,MATCH($B213&amp;"_"&amp;N$3,'Measure Level Detail'!$C:$C,0)),0)</f>
        <v>60</v>
      </c>
      <c r="O213" s="271">
        <f>IFERROR(INDEX('Measure Level Detail'!$P:$P,MATCH($B213&amp;"_"&amp;O$3,'Measure Level Detail'!$C:$C,0)),0)</f>
        <v>75</v>
      </c>
      <c r="P213" s="271">
        <f>IFERROR(INDEX('Measure Level Detail'!$P:$P,MATCH($B213&amp;"_"&amp;P$3,'Measure Level Detail'!$C:$C,0)),0)</f>
        <v>135</v>
      </c>
      <c r="Q213" s="271">
        <f>IFERROR(INDEX('Measure Level Detail'!$P:$P,MATCH($B213&amp;"_"&amp;Q$3,'Measure Level Detail'!$C:$C,0)),0)</f>
        <v>150</v>
      </c>
      <c r="R213" s="263">
        <f ca="1">IFERROR(INDEX(Algorithms!K:K,MATCH($C213&amp;"_Therm Saved per Unit",Algorithms!$A:$A,0)),"n/a")</f>
        <v>0</v>
      </c>
      <c r="S213" s="262"/>
      <c r="T213" s="272">
        <v>0</v>
      </c>
      <c r="U213" s="272">
        <v>0</v>
      </c>
      <c r="V213" s="272">
        <v>0</v>
      </c>
      <c r="W213" s="272">
        <v>0</v>
      </c>
      <c r="X213" s="273">
        <f>IFERROR(INDEX('Measure Level Detail'!$R:$R,MATCH($B213&amp;"_"&amp;X$3,'Measure Level Detail'!$C:$C,0)),0)</f>
        <v>1</v>
      </c>
      <c r="Y213" s="273">
        <f>IFERROR(INDEX('Measure Level Detail'!$R:$R,MATCH($B213&amp;"_"&amp;Y$3,'Measure Level Detail'!$C:$C,0)),0)</f>
        <v>1</v>
      </c>
      <c r="Z213" s="273">
        <f>IFERROR(INDEX('Measure Level Detail'!$R:$R,MATCH($B213&amp;"_"&amp;Z$3,'Measure Level Detail'!$C:$C,0)),0)</f>
        <v>1</v>
      </c>
      <c r="AA213" s="273">
        <f>IFERROR(INDEX('Measure Level Detail'!$R:$R,MATCH($B213&amp;"_"&amp;AA$3,'Measure Level Detail'!$C:$C,0)),0)</f>
        <v>1</v>
      </c>
      <c r="AB213" s="266">
        <f t="shared" si="127"/>
        <v>0</v>
      </c>
      <c r="AC213" s="266">
        <f t="shared" si="128"/>
        <v>0</v>
      </c>
      <c r="AD213" s="266">
        <f t="shared" si="129"/>
        <v>0</v>
      </c>
      <c r="AE213" s="266">
        <f t="shared" si="130"/>
        <v>0</v>
      </c>
      <c r="AF213" s="266">
        <f t="shared" si="131"/>
        <v>0</v>
      </c>
      <c r="AG213" s="274">
        <v>1</v>
      </c>
      <c r="AH213" s="274">
        <v>1</v>
      </c>
      <c r="AI213" s="274">
        <v>1</v>
      </c>
      <c r="AJ213" s="274">
        <v>1</v>
      </c>
      <c r="AK213" s="274">
        <f t="shared" si="132"/>
        <v>1</v>
      </c>
      <c r="AL213" s="274">
        <f t="shared" si="133"/>
        <v>1</v>
      </c>
      <c r="AM213" s="274">
        <f t="shared" si="134"/>
        <v>1</v>
      </c>
      <c r="AN213" s="274">
        <f t="shared" si="135"/>
        <v>1</v>
      </c>
      <c r="AO213" s="262"/>
      <c r="AP213" s="262"/>
      <c r="AQ213" s="267">
        <v>0</v>
      </c>
      <c r="AR213" s="262"/>
      <c r="AS213" s="266">
        <f t="shared" si="136"/>
        <v>0</v>
      </c>
      <c r="AT213" s="264">
        <f t="shared" si="137"/>
        <v>0</v>
      </c>
      <c r="AU213" s="262"/>
      <c r="AV213" s="262"/>
      <c r="AW213" s="265">
        <v>0</v>
      </c>
      <c r="AX213" s="164" t="s">
        <v>1469</v>
      </c>
      <c r="AY213" s="266">
        <v>0</v>
      </c>
      <c r="AZ213" s="266">
        <f t="shared" si="138"/>
        <v>0</v>
      </c>
      <c r="BA213" s="264">
        <f t="shared" si="139"/>
        <v>0</v>
      </c>
      <c r="BB213" s="262"/>
      <c r="BC213" s="262"/>
      <c r="BD213" s="265">
        <f ca="1">IFERROR(INDEX(Algorithms!$G:$G,MATCH($C213&amp;"_Therm Saved per Unit",Algorithms!$A:$A,0)),0)</f>
        <v>0</v>
      </c>
      <c r="BE213" s="164" t="str">
        <f ca="1">IFERROR(INDEX('v12 Revisions'!$P$29:$P$186, MATCH('Measure-Level Adj Gas'!$L213, 'v12 Revisions'!$D$29:$D$186,0)),"")</f>
        <v/>
      </c>
      <c r="BF213" s="266">
        <f t="shared" ca="1" si="140"/>
        <v>0</v>
      </c>
      <c r="BG213" s="264">
        <f t="shared" ca="1" si="141"/>
        <v>0</v>
      </c>
      <c r="BH213" s="262"/>
      <c r="BI213" s="262"/>
      <c r="BJ213" s="265">
        <f ca="1">IFERROR(INDEX(Algorithms!$G:$G,MATCH($C213&amp;"_Therm Saved per Unit",Algorithms!$A:$A,0)),0)</f>
        <v>0</v>
      </c>
      <c r="BK213" s="164"/>
      <c r="BL213" s="266">
        <f t="shared" ca="1" si="142"/>
        <v>0</v>
      </c>
      <c r="BM213" s="264">
        <f t="shared" ca="1" si="143"/>
        <v>0</v>
      </c>
      <c r="BN213" s="266">
        <f t="shared" si="144"/>
        <v>0</v>
      </c>
      <c r="BO213" s="266">
        <f t="shared" si="145"/>
        <v>0</v>
      </c>
      <c r="BP213" s="266">
        <f t="shared" ca="1" si="146"/>
        <v>0</v>
      </c>
      <c r="BQ213" s="266">
        <f t="shared" ca="1" si="147"/>
        <v>0</v>
      </c>
      <c r="BR213" s="268">
        <f t="shared" ca="1" si="148"/>
        <v>0</v>
      </c>
      <c r="BS213" s="262" t="s">
        <v>99</v>
      </c>
      <c r="BT213" s="277"/>
      <c r="BW213" s="266">
        <f t="shared" si="149"/>
        <v>0</v>
      </c>
      <c r="BX213" s="266">
        <f t="shared" si="150"/>
        <v>0</v>
      </c>
      <c r="BY213" s="266">
        <f t="shared" si="151"/>
        <v>0</v>
      </c>
      <c r="BZ213" s="266">
        <f t="shared" si="152"/>
        <v>0</v>
      </c>
      <c r="CA213" s="266">
        <f ca="1">N213*IFERROR(INDEX(Algorithms!$G:$G,MATCH($C213&amp;"_Therm Saved per Unit- MLA",Algorithms!$A:$A,0)),0)*X213</f>
        <v>0</v>
      </c>
      <c r="CB213" s="266">
        <f ca="1">O213*IFERROR(INDEX(Algorithms!$G:$G,MATCH($C213&amp;"_Therm Saved per Unit- MLA",Algorithms!$A:$A,0)),0)*Y213</f>
        <v>0</v>
      </c>
      <c r="CC213" s="266">
        <f ca="1">P213*IFERROR(INDEX(Algorithms!$G:$G,MATCH($C213&amp;"_Therm Saved per Unit- MLA",Algorithms!$A:$A,0)),0)*Z213</f>
        <v>0</v>
      </c>
      <c r="CD213" s="266">
        <f ca="1">Q213*IFERROR(INDEX(Algorithms!$G:$G,MATCH($C213&amp;"_Therm Saved per Unit- MLA",Algorithms!$A:$A,0)),0)*AA213</f>
        <v>0</v>
      </c>
      <c r="CE213" s="266">
        <f ca="1">IFERROR(INDEX(Algorithms!$G:$G,MATCH($C213&amp;"_Lifetime (years)",Algorithms!$A:$A,0)),0)</f>
        <v>1</v>
      </c>
      <c r="CF213" s="266">
        <f ca="1">IFERROR(INDEX(Algorithms!$G:$G,MATCH($C213&amp;"_Lifetime (years) - Remaining Years",Algorithms!$A:$A,0)),0)</f>
        <v>0</v>
      </c>
      <c r="CG213" s="266">
        <f t="shared" ca="1" si="153"/>
        <v>0</v>
      </c>
      <c r="CH213" s="266">
        <f t="shared" ca="1" si="154"/>
        <v>0</v>
      </c>
      <c r="CI213" s="266">
        <f t="shared" ca="1" si="155"/>
        <v>0</v>
      </c>
      <c r="CJ213" s="266">
        <f t="shared" ca="1" si="156"/>
        <v>0</v>
      </c>
      <c r="CK213" s="266">
        <f t="shared" si="157"/>
        <v>0</v>
      </c>
      <c r="CL213" s="266">
        <f t="shared" si="158"/>
        <v>0</v>
      </c>
      <c r="CM213" s="266">
        <f t="shared" ca="1" si="159"/>
        <v>0</v>
      </c>
      <c r="CN213" s="266">
        <f t="shared" ca="1" si="160"/>
        <v>0</v>
      </c>
      <c r="CO213" s="266">
        <f ca="1">N213*IFERROR(INDEX(Algorithms!$G:$G,MATCH($C213&amp;"_Therm Saved per Unit- MLA",Algorithms!$A:$A,0)),0)*X213</f>
        <v>0</v>
      </c>
      <c r="CP213" s="266">
        <f ca="1">O213*IFERROR(INDEX(Algorithms!$G:$G,MATCH($C213&amp;"_Therm Saved per Unit- MLA",Algorithms!$A:$A,0)),0)*Y213</f>
        <v>0</v>
      </c>
      <c r="CQ213" s="266">
        <f ca="1">P213*IFERROR(INDEX(Algorithms!$G:$G,MATCH($C213&amp;"_Therm Saved per Unit- MLA",Algorithms!$A:$A,0)),0)*Z213</f>
        <v>0</v>
      </c>
      <c r="CR213" s="266">
        <f ca="1">Q213*IFERROR(INDEX(Algorithms!$G:$G,MATCH($C213&amp;"_Therm Saved per Unit- MLA",Algorithms!$A:$A,0)),0)*AA213</f>
        <v>0</v>
      </c>
      <c r="CS213" s="266">
        <f ca="1">IFERROR(INDEX(Algorithms!$G:$G,MATCH($C213&amp;"_Lifetime (years)",Algorithms!$A:$A,0)),0)</f>
        <v>1</v>
      </c>
      <c r="CT213" s="266">
        <f ca="1">IFERROR(INDEX(Algorithms!$G:$G,MATCH($C213&amp;"_Lifetime (years) - Remaining Years",Algorithms!$A:$A,0)),0)</f>
        <v>0</v>
      </c>
      <c r="CU213" s="266">
        <f t="shared" ca="1" si="161"/>
        <v>0</v>
      </c>
      <c r="CV213" s="266">
        <f t="shared" ca="1" si="162"/>
        <v>0</v>
      </c>
      <c r="CW213" s="266">
        <f t="shared" ca="1" si="163"/>
        <v>0</v>
      </c>
      <c r="CX213" s="266">
        <f t="shared" ca="1" si="164"/>
        <v>0</v>
      </c>
    </row>
    <row r="214" spans="2:102" s="47" customFormat="1" ht="18" customHeight="1" x14ac:dyDescent="0.25">
      <c r="B214" t="str">
        <f t="shared" si="165"/>
        <v>NSG_Income Eligible_Multi-Family_MF IHWAP_Health &amp; Safety_0_MF</v>
      </c>
      <c r="C214" s="47" t="str">
        <f t="shared" si="126"/>
        <v>Health &amp; Safety_0_MF</v>
      </c>
      <c r="D214" s="270" t="s">
        <v>1787</v>
      </c>
      <c r="E214" s="270" t="s">
        <v>325</v>
      </c>
      <c r="F214" s="270" t="s">
        <v>1422</v>
      </c>
      <c r="G214" s="270" t="s">
        <v>1441</v>
      </c>
      <c r="H214" s="270" t="s">
        <v>241</v>
      </c>
      <c r="I214" s="270">
        <v>0</v>
      </c>
      <c r="J214" s="270" t="s">
        <v>553</v>
      </c>
      <c r="K214" s="263">
        <v>1</v>
      </c>
      <c r="L214" s="263" t="str">
        <f ca="1">IFERROR(INDEX(Algorithms!J:J,MATCH($C214&amp;"_Therm Saved per Unit",Algorithms!$A:$A,0)),"n/a")</f>
        <v>n/a</v>
      </c>
      <c r="M214" s="263" t="str">
        <f>IFERROR(INDEX('Measure Level Detail'!$N:$N,MATCH($B214,'Measure Level Detail'!$B:$B,0)),0)</f>
        <v>each</v>
      </c>
      <c r="N214" s="271">
        <f>IFERROR(INDEX('Measure Level Detail'!$P:$P,MATCH($B214&amp;"_"&amp;N$3,'Measure Level Detail'!$C:$C,0)),0)</f>
        <v>60</v>
      </c>
      <c r="O214" s="271">
        <f>IFERROR(INDEX('Measure Level Detail'!$P:$P,MATCH($B214&amp;"_"&amp;O$3,'Measure Level Detail'!$C:$C,0)),0)</f>
        <v>75</v>
      </c>
      <c r="P214" s="271">
        <f>IFERROR(INDEX('Measure Level Detail'!$P:$P,MATCH($B214&amp;"_"&amp;P$3,'Measure Level Detail'!$C:$C,0)),0)</f>
        <v>135</v>
      </c>
      <c r="Q214" s="271">
        <f>IFERROR(INDEX('Measure Level Detail'!$P:$P,MATCH($B214&amp;"_"&amp;Q$3,'Measure Level Detail'!$C:$C,0)),0)</f>
        <v>150</v>
      </c>
      <c r="R214" s="263" t="str">
        <f ca="1">IFERROR(INDEX(Algorithms!K:K,MATCH($C214&amp;"_Therm Saved per Unit",Algorithms!$A:$A,0)),"n/a")</f>
        <v>n/a</v>
      </c>
      <c r="S214" s="262"/>
      <c r="T214" s="272">
        <v>0</v>
      </c>
      <c r="U214" s="272">
        <v>0</v>
      </c>
      <c r="V214" s="272">
        <v>0</v>
      </c>
      <c r="W214" s="272">
        <v>0</v>
      </c>
      <c r="X214" s="273">
        <f>IFERROR(INDEX('Measure Level Detail'!$R:$R,MATCH($B214&amp;"_"&amp;X$3,'Measure Level Detail'!$C:$C,0)),0)</f>
        <v>1</v>
      </c>
      <c r="Y214" s="273">
        <f>IFERROR(INDEX('Measure Level Detail'!$R:$R,MATCH($B214&amp;"_"&amp;Y$3,'Measure Level Detail'!$C:$C,0)),0)</f>
        <v>1</v>
      </c>
      <c r="Z214" s="273">
        <f>IFERROR(INDEX('Measure Level Detail'!$R:$R,MATCH($B214&amp;"_"&amp;Z$3,'Measure Level Detail'!$C:$C,0)),0)</f>
        <v>1</v>
      </c>
      <c r="AA214" s="273">
        <f>IFERROR(INDEX('Measure Level Detail'!$R:$R,MATCH($B214&amp;"_"&amp;AA$3,'Measure Level Detail'!$C:$C,0)),0)</f>
        <v>1</v>
      </c>
      <c r="AB214" s="266">
        <f t="shared" si="127"/>
        <v>0</v>
      </c>
      <c r="AC214" s="266">
        <f t="shared" si="128"/>
        <v>0</v>
      </c>
      <c r="AD214" s="266">
        <f t="shared" si="129"/>
        <v>0</v>
      </c>
      <c r="AE214" s="266">
        <f t="shared" si="130"/>
        <v>0</v>
      </c>
      <c r="AF214" s="266">
        <f t="shared" si="131"/>
        <v>0</v>
      </c>
      <c r="AG214" s="274">
        <v>1</v>
      </c>
      <c r="AH214" s="274">
        <v>1</v>
      </c>
      <c r="AI214" s="274">
        <v>1</v>
      </c>
      <c r="AJ214" s="274">
        <v>1</v>
      </c>
      <c r="AK214" s="274">
        <f t="shared" si="132"/>
        <v>1</v>
      </c>
      <c r="AL214" s="274">
        <f t="shared" si="133"/>
        <v>1</v>
      </c>
      <c r="AM214" s="274">
        <f t="shared" si="134"/>
        <v>1</v>
      </c>
      <c r="AN214" s="274">
        <f t="shared" si="135"/>
        <v>1</v>
      </c>
      <c r="AO214" s="262"/>
      <c r="AP214" s="262"/>
      <c r="AQ214" s="267">
        <v>0</v>
      </c>
      <c r="AR214" s="262"/>
      <c r="AS214" s="266">
        <f t="shared" si="136"/>
        <v>0</v>
      </c>
      <c r="AT214" s="264">
        <f t="shared" si="137"/>
        <v>0</v>
      </c>
      <c r="AU214" s="262"/>
      <c r="AV214" s="262"/>
      <c r="AW214" s="265">
        <v>0</v>
      </c>
      <c r="AX214" s="164" t="s">
        <v>1469</v>
      </c>
      <c r="AY214" s="266">
        <v>0</v>
      </c>
      <c r="AZ214" s="266">
        <f t="shared" si="138"/>
        <v>0</v>
      </c>
      <c r="BA214" s="264">
        <f t="shared" si="139"/>
        <v>0</v>
      </c>
      <c r="BB214" s="262"/>
      <c r="BC214" s="262"/>
      <c r="BD214" s="265">
        <f ca="1">IFERROR(INDEX(Algorithms!$G:$G,MATCH($C214&amp;"_Therm Saved per Unit",Algorithms!$A:$A,0)),0)</f>
        <v>0</v>
      </c>
      <c r="BE214" s="164" t="str">
        <f ca="1">IFERROR(INDEX('v12 Revisions'!$P$29:$P$186, MATCH('Measure-Level Adj Gas'!$L214, 'v12 Revisions'!$D$29:$D$186,0)),"")</f>
        <v/>
      </c>
      <c r="BF214" s="266">
        <f t="shared" ca="1" si="140"/>
        <v>0</v>
      </c>
      <c r="BG214" s="264">
        <f t="shared" ca="1" si="141"/>
        <v>0</v>
      </c>
      <c r="BH214" s="262"/>
      <c r="BI214" s="262"/>
      <c r="BJ214" s="265">
        <f ca="1">IFERROR(INDEX(Algorithms!$G:$G,MATCH($C214&amp;"_Therm Saved per Unit",Algorithms!$A:$A,0)),0)</f>
        <v>0</v>
      </c>
      <c r="BK214" s="164"/>
      <c r="BL214" s="266">
        <f t="shared" ca="1" si="142"/>
        <v>0</v>
      </c>
      <c r="BM214" s="264">
        <f t="shared" ca="1" si="143"/>
        <v>0</v>
      </c>
      <c r="BN214" s="266">
        <f t="shared" si="144"/>
        <v>0</v>
      </c>
      <c r="BO214" s="266">
        <f t="shared" si="145"/>
        <v>0</v>
      </c>
      <c r="BP214" s="266">
        <f t="shared" ca="1" si="146"/>
        <v>0</v>
      </c>
      <c r="BQ214" s="266">
        <f t="shared" ca="1" si="147"/>
        <v>0</v>
      </c>
      <c r="BR214" s="268">
        <f t="shared" ca="1" si="148"/>
        <v>0</v>
      </c>
      <c r="BS214" s="262" t="s">
        <v>99</v>
      </c>
      <c r="BT214" s="277"/>
      <c r="BW214" s="266">
        <f t="shared" si="149"/>
        <v>0</v>
      </c>
      <c r="BX214" s="266">
        <f t="shared" si="150"/>
        <v>0</v>
      </c>
      <c r="BY214" s="266">
        <f t="shared" si="151"/>
        <v>0</v>
      </c>
      <c r="BZ214" s="266">
        <f t="shared" si="152"/>
        <v>0</v>
      </c>
      <c r="CA214" s="266">
        <f ca="1">N214*IFERROR(INDEX(Algorithms!$G:$G,MATCH($C214&amp;"_Therm Saved per Unit- MLA",Algorithms!$A:$A,0)),0)*X214</f>
        <v>0</v>
      </c>
      <c r="CB214" s="266">
        <f ca="1">O214*IFERROR(INDEX(Algorithms!$G:$G,MATCH($C214&amp;"_Therm Saved per Unit- MLA",Algorithms!$A:$A,0)),0)*Y214</f>
        <v>0</v>
      </c>
      <c r="CC214" s="266">
        <f ca="1">P214*IFERROR(INDEX(Algorithms!$G:$G,MATCH($C214&amp;"_Therm Saved per Unit- MLA",Algorithms!$A:$A,0)),0)*Z214</f>
        <v>0</v>
      </c>
      <c r="CD214" s="266">
        <f ca="1">Q214*IFERROR(INDEX(Algorithms!$G:$G,MATCH($C214&amp;"_Therm Saved per Unit- MLA",Algorithms!$A:$A,0)),0)*AA214</f>
        <v>0</v>
      </c>
      <c r="CE214" s="266">
        <f ca="1">IFERROR(INDEX(Algorithms!$G:$G,MATCH($C214&amp;"_Lifetime (years)",Algorithms!$A:$A,0)),0)</f>
        <v>0</v>
      </c>
      <c r="CF214" s="266">
        <f ca="1">IFERROR(INDEX(Algorithms!$G:$G,MATCH($C214&amp;"_Lifetime (years) - Remaining Years",Algorithms!$A:$A,0)),0)</f>
        <v>0</v>
      </c>
      <c r="CG214" s="266">
        <f t="shared" ca="1" si="153"/>
        <v>0</v>
      </c>
      <c r="CH214" s="266">
        <f t="shared" ca="1" si="154"/>
        <v>0</v>
      </c>
      <c r="CI214" s="266">
        <f t="shared" ca="1" si="155"/>
        <v>0</v>
      </c>
      <c r="CJ214" s="266">
        <f t="shared" ca="1" si="156"/>
        <v>0</v>
      </c>
      <c r="CK214" s="266">
        <f t="shared" si="157"/>
        <v>0</v>
      </c>
      <c r="CL214" s="266">
        <f t="shared" si="158"/>
        <v>0</v>
      </c>
      <c r="CM214" s="266">
        <f t="shared" ca="1" si="159"/>
        <v>0</v>
      </c>
      <c r="CN214" s="266">
        <f t="shared" ca="1" si="160"/>
        <v>0</v>
      </c>
      <c r="CO214" s="266">
        <f ca="1">N214*IFERROR(INDEX(Algorithms!$G:$G,MATCH($C214&amp;"_Therm Saved per Unit- MLA",Algorithms!$A:$A,0)),0)*X214</f>
        <v>0</v>
      </c>
      <c r="CP214" s="266">
        <f ca="1">O214*IFERROR(INDEX(Algorithms!$G:$G,MATCH($C214&amp;"_Therm Saved per Unit- MLA",Algorithms!$A:$A,0)),0)*Y214</f>
        <v>0</v>
      </c>
      <c r="CQ214" s="266">
        <f ca="1">P214*IFERROR(INDEX(Algorithms!$G:$G,MATCH($C214&amp;"_Therm Saved per Unit- MLA",Algorithms!$A:$A,0)),0)*Z214</f>
        <v>0</v>
      </c>
      <c r="CR214" s="266">
        <f ca="1">Q214*IFERROR(INDEX(Algorithms!$G:$G,MATCH($C214&amp;"_Therm Saved per Unit- MLA",Algorithms!$A:$A,0)),0)*AA214</f>
        <v>0</v>
      </c>
      <c r="CS214" s="266">
        <f ca="1">IFERROR(INDEX(Algorithms!$G:$G,MATCH($C214&amp;"_Lifetime (years)",Algorithms!$A:$A,0)),0)</f>
        <v>0</v>
      </c>
      <c r="CT214" s="266">
        <f ca="1">IFERROR(INDEX(Algorithms!$G:$G,MATCH($C214&amp;"_Lifetime (years) - Remaining Years",Algorithms!$A:$A,0)),0)</f>
        <v>0</v>
      </c>
      <c r="CU214" s="266">
        <f t="shared" ca="1" si="161"/>
        <v>0</v>
      </c>
      <c r="CV214" s="266">
        <f t="shared" ca="1" si="162"/>
        <v>0</v>
      </c>
      <c r="CW214" s="266">
        <f t="shared" ca="1" si="163"/>
        <v>0</v>
      </c>
      <c r="CX214" s="266">
        <f t="shared" ca="1" si="164"/>
        <v>0</v>
      </c>
    </row>
    <row r="215" spans="2:102" s="47" customFormat="1" ht="18" customHeight="1" x14ac:dyDescent="0.25">
      <c r="B215" t="str">
        <f t="shared" si="165"/>
        <v>NSG_Income Eligible_Single Family_IHWAP_Unit Visit_0_SF</v>
      </c>
      <c r="C215" s="47" t="str">
        <f t="shared" si="126"/>
        <v>Unit Visit_0_SF</v>
      </c>
      <c r="D215" s="270" t="s">
        <v>1787</v>
      </c>
      <c r="E215" s="270" t="s">
        <v>325</v>
      </c>
      <c r="F215" s="270" t="s">
        <v>375</v>
      </c>
      <c r="G215" s="270" t="s">
        <v>1439</v>
      </c>
      <c r="H215" s="270" t="s">
        <v>1090</v>
      </c>
      <c r="I215" s="270">
        <v>0</v>
      </c>
      <c r="J215" s="270" t="s">
        <v>409</v>
      </c>
      <c r="K215" s="263">
        <v>1</v>
      </c>
      <c r="L215" s="263" t="str">
        <f ca="1">IFERROR(INDEX(Algorithms!J:J,MATCH($C215&amp;"_Therm Saved per Unit",Algorithms!$A:$A,0)),"n/a")</f>
        <v>n/a</v>
      </c>
      <c r="M215" s="263" t="str">
        <f>IFERROR(INDEX('Measure Level Detail'!$N:$N,MATCH($B215,'Measure Level Detail'!$B:$B,0)),0)</f>
        <v>Household</v>
      </c>
      <c r="N215" s="271">
        <f>IFERROR(INDEX('Measure Level Detail'!$P:$P,MATCH($B215&amp;"_"&amp;N$3,'Measure Level Detail'!$C:$C,0)),0)</f>
        <v>50</v>
      </c>
      <c r="O215" s="271">
        <f>IFERROR(INDEX('Measure Level Detail'!$P:$P,MATCH($B215&amp;"_"&amp;O$3,'Measure Level Detail'!$C:$C,0)),0)</f>
        <v>55</v>
      </c>
      <c r="P215" s="271">
        <f>IFERROR(INDEX('Measure Level Detail'!$P:$P,MATCH($B215&amp;"_"&amp;P$3,'Measure Level Detail'!$C:$C,0)),0)</f>
        <v>70</v>
      </c>
      <c r="Q215" s="271">
        <f>IFERROR(INDEX('Measure Level Detail'!$P:$P,MATCH($B215&amp;"_"&amp;Q$3,'Measure Level Detail'!$C:$C,0)),0)</f>
        <v>75</v>
      </c>
      <c r="R215" s="263" t="str">
        <f ca="1">IFERROR(INDEX(Algorithms!K:K,MATCH($C215&amp;"_Therm Saved per Unit",Algorithms!$A:$A,0)),"n/a")</f>
        <v>n/a</v>
      </c>
      <c r="S215" s="262"/>
      <c r="T215" s="272">
        <v>0</v>
      </c>
      <c r="U215" s="272">
        <v>0</v>
      </c>
      <c r="V215" s="272">
        <v>0</v>
      </c>
      <c r="W215" s="272">
        <v>0</v>
      </c>
      <c r="X215" s="273">
        <f>IFERROR(INDEX('Measure Level Detail'!$R:$R,MATCH($B215&amp;"_"&amp;X$3,'Measure Level Detail'!$C:$C,0)),0)</f>
        <v>1</v>
      </c>
      <c r="Y215" s="273">
        <f>IFERROR(INDEX('Measure Level Detail'!$R:$R,MATCH($B215&amp;"_"&amp;Y$3,'Measure Level Detail'!$C:$C,0)),0)</f>
        <v>1</v>
      </c>
      <c r="Z215" s="273">
        <f>IFERROR(INDEX('Measure Level Detail'!$R:$R,MATCH($B215&amp;"_"&amp;Z$3,'Measure Level Detail'!$C:$C,0)),0)</f>
        <v>1</v>
      </c>
      <c r="AA215" s="273">
        <f>IFERROR(INDEX('Measure Level Detail'!$R:$R,MATCH($B215&amp;"_"&amp;AA$3,'Measure Level Detail'!$C:$C,0)),0)</f>
        <v>1</v>
      </c>
      <c r="AB215" s="266">
        <f t="shared" si="127"/>
        <v>0</v>
      </c>
      <c r="AC215" s="266">
        <f t="shared" si="128"/>
        <v>0</v>
      </c>
      <c r="AD215" s="266">
        <f t="shared" si="129"/>
        <v>0</v>
      </c>
      <c r="AE215" s="266">
        <f t="shared" si="130"/>
        <v>0</v>
      </c>
      <c r="AF215" s="266">
        <f t="shared" si="131"/>
        <v>0</v>
      </c>
      <c r="AG215" s="274">
        <v>1</v>
      </c>
      <c r="AH215" s="274">
        <v>1</v>
      </c>
      <c r="AI215" s="274">
        <v>1</v>
      </c>
      <c r="AJ215" s="274">
        <v>1</v>
      </c>
      <c r="AK215" s="274">
        <f t="shared" si="132"/>
        <v>1</v>
      </c>
      <c r="AL215" s="274">
        <f t="shared" si="133"/>
        <v>1</v>
      </c>
      <c r="AM215" s="274">
        <f t="shared" si="134"/>
        <v>1</v>
      </c>
      <c r="AN215" s="274">
        <f t="shared" si="135"/>
        <v>1</v>
      </c>
      <c r="AO215" s="262"/>
      <c r="AP215" s="262"/>
      <c r="AQ215" s="267">
        <v>0</v>
      </c>
      <c r="AR215" s="262"/>
      <c r="AS215" s="266">
        <f t="shared" si="136"/>
        <v>0</v>
      </c>
      <c r="AT215" s="264">
        <f t="shared" si="137"/>
        <v>0</v>
      </c>
      <c r="AU215" s="262"/>
      <c r="AV215" s="262"/>
      <c r="AW215" s="265">
        <v>0</v>
      </c>
      <c r="AX215" s="164" t="s">
        <v>1469</v>
      </c>
      <c r="AY215" s="266">
        <v>0</v>
      </c>
      <c r="AZ215" s="266">
        <f t="shared" si="138"/>
        <v>0</v>
      </c>
      <c r="BA215" s="264">
        <f t="shared" si="139"/>
        <v>0</v>
      </c>
      <c r="BB215" s="262"/>
      <c r="BC215" s="262"/>
      <c r="BD215" s="265">
        <f ca="1">IFERROR(INDEX(Algorithms!$G:$G,MATCH($C215&amp;"_Therm Saved per Unit",Algorithms!$A:$A,0)),0)</f>
        <v>0</v>
      </c>
      <c r="BE215" s="164" t="str">
        <f ca="1">IFERROR(INDEX('v12 Revisions'!$P$29:$P$186, MATCH('Measure-Level Adj Gas'!$L215, 'v12 Revisions'!$D$29:$D$186,0)),"")</f>
        <v/>
      </c>
      <c r="BF215" s="266">
        <f t="shared" ca="1" si="140"/>
        <v>0</v>
      </c>
      <c r="BG215" s="264">
        <f t="shared" ca="1" si="141"/>
        <v>0</v>
      </c>
      <c r="BH215" s="262"/>
      <c r="BI215" s="262"/>
      <c r="BJ215" s="265">
        <f ca="1">IFERROR(INDEX(Algorithms!$G:$G,MATCH($C215&amp;"_Therm Saved per Unit",Algorithms!$A:$A,0)),0)</f>
        <v>0</v>
      </c>
      <c r="BK215" s="164"/>
      <c r="BL215" s="266">
        <f t="shared" ca="1" si="142"/>
        <v>0</v>
      </c>
      <c r="BM215" s="264">
        <f t="shared" ca="1" si="143"/>
        <v>0</v>
      </c>
      <c r="BN215" s="266">
        <f t="shared" si="144"/>
        <v>0</v>
      </c>
      <c r="BO215" s="266">
        <f t="shared" si="145"/>
        <v>0</v>
      </c>
      <c r="BP215" s="266">
        <f t="shared" ca="1" si="146"/>
        <v>0</v>
      </c>
      <c r="BQ215" s="266">
        <f t="shared" ca="1" si="147"/>
        <v>0</v>
      </c>
      <c r="BR215" s="268">
        <f t="shared" ca="1" si="148"/>
        <v>0</v>
      </c>
      <c r="BS215" s="262" t="s">
        <v>99</v>
      </c>
      <c r="BT215" s="277"/>
      <c r="BW215" s="266">
        <f t="shared" si="149"/>
        <v>0</v>
      </c>
      <c r="BX215" s="266">
        <f t="shared" si="150"/>
        <v>0</v>
      </c>
      <c r="BY215" s="266">
        <f t="shared" si="151"/>
        <v>0</v>
      </c>
      <c r="BZ215" s="266">
        <f t="shared" si="152"/>
        <v>0</v>
      </c>
      <c r="CA215" s="266">
        <f ca="1">N215*IFERROR(INDEX(Algorithms!$G:$G,MATCH($C215&amp;"_Therm Saved per Unit- MLA",Algorithms!$A:$A,0)),0)*X215</f>
        <v>0</v>
      </c>
      <c r="CB215" s="266">
        <f ca="1">O215*IFERROR(INDEX(Algorithms!$G:$G,MATCH($C215&amp;"_Therm Saved per Unit- MLA",Algorithms!$A:$A,0)),0)*Y215</f>
        <v>0</v>
      </c>
      <c r="CC215" s="266">
        <f ca="1">P215*IFERROR(INDEX(Algorithms!$G:$G,MATCH($C215&amp;"_Therm Saved per Unit- MLA",Algorithms!$A:$A,0)),0)*Z215</f>
        <v>0</v>
      </c>
      <c r="CD215" s="266">
        <f ca="1">Q215*IFERROR(INDEX(Algorithms!$G:$G,MATCH($C215&amp;"_Therm Saved per Unit- MLA",Algorithms!$A:$A,0)),0)*AA215</f>
        <v>0</v>
      </c>
      <c r="CE215" s="266">
        <f ca="1">IFERROR(INDEX(Algorithms!$G:$G,MATCH($C215&amp;"_Lifetime (years)",Algorithms!$A:$A,0)),0)</f>
        <v>1</v>
      </c>
      <c r="CF215" s="266">
        <f ca="1">IFERROR(INDEX(Algorithms!$G:$G,MATCH($C215&amp;"_Lifetime (years) - Remaining Years",Algorithms!$A:$A,0)),0)</f>
        <v>0</v>
      </c>
      <c r="CG215" s="266">
        <f t="shared" ca="1" si="153"/>
        <v>0</v>
      </c>
      <c r="CH215" s="266">
        <f t="shared" ca="1" si="154"/>
        <v>0</v>
      </c>
      <c r="CI215" s="266">
        <f t="shared" ca="1" si="155"/>
        <v>0</v>
      </c>
      <c r="CJ215" s="266">
        <f t="shared" ca="1" si="156"/>
        <v>0</v>
      </c>
      <c r="CK215" s="266">
        <f t="shared" si="157"/>
        <v>0</v>
      </c>
      <c r="CL215" s="266">
        <f t="shared" si="158"/>
        <v>0</v>
      </c>
      <c r="CM215" s="266">
        <f t="shared" ca="1" si="159"/>
        <v>0</v>
      </c>
      <c r="CN215" s="266">
        <f t="shared" ca="1" si="160"/>
        <v>0</v>
      </c>
      <c r="CO215" s="266">
        <f ca="1">N215*IFERROR(INDEX(Algorithms!$G:$G,MATCH($C215&amp;"_Therm Saved per Unit- MLA",Algorithms!$A:$A,0)),0)*X215</f>
        <v>0</v>
      </c>
      <c r="CP215" s="266">
        <f ca="1">O215*IFERROR(INDEX(Algorithms!$G:$G,MATCH($C215&amp;"_Therm Saved per Unit- MLA",Algorithms!$A:$A,0)),0)*Y215</f>
        <v>0</v>
      </c>
      <c r="CQ215" s="266">
        <f ca="1">P215*IFERROR(INDEX(Algorithms!$G:$G,MATCH($C215&amp;"_Therm Saved per Unit- MLA",Algorithms!$A:$A,0)),0)*Z215</f>
        <v>0</v>
      </c>
      <c r="CR215" s="266">
        <f ca="1">Q215*IFERROR(INDEX(Algorithms!$G:$G,MATCH($C215&amp;"_Therm Saved per Unit- MLA",Algorithms!$A:$A,0)),0)*AA215</f>
        <v>0</v>
      </c>
      <c r="CS215" s="266">
        <f ca="1">IFERROR(INDEX(Algorithms!$G:$G,MATCH($C215&amp;"_Lifetime (years)",Algorithms!$A:$A,0)),0)</f>
        <v>1</v>
      </c>
      <c r="CT215" s="266">
        <f ca="1">IFERROR(INDEX(Algorithms!$G:$G,MATCH($C215&amp;"_Lifetime (years) - Remaining Years",Algorithms!$A:$A,0)),0)</f>
        <v>0</v>
      </c>
      <c r="CU215" s="266">
        <f t="shared" ca="1" si="161"/>
        <v>0</v>
      </c>
      <c r="CV215" s="266">
        <f t="shared" ca="1" si="162"/>
        <v>0</v>
      </c>
      <c r="CW215" s="266">
        <f t="shared" ca="1" si="163"/>
        <v>0</v>
      </c>
      <c r="CX215" s="266">
        <f t="shared" ca="1" si="164"/>
        <v>0</v>
      </c>
    </row>
    <row r="216" spans="2:102" s="47" customFormat="1" ht="18" customHeight="1" x14ac:dyDescent="0.25">
      <c r="B216" t="str">
        <f t="shared" si="165"/>
        <v>NSG_Income Eligible_Single Family_IHWAP_Health and Safety_no savings_SF</v>
      </c>
      <c r="C216" s="47" t="str">
        <f t="shared" si="126"/>
        <v>Health and Safety_no savings_SF</v>
      </c>
      <c r="D216" s="270" t="s">
        <v>1787</v>
      </c>
      <c r="E216" s="270" t="s">
        <v>325</v>
      </c>
      <c r="F216" s="270" t="s">
        <v>375</v>
      </c>
      <c r="G216" s="270" t="s">
        <v>1439</v>
      </c>
      <c r="H216" s="270" t="s">
        <v>1437</v>
      </c>
      <c r="I216" s="270" t="s">
        <v>1438</v>
      </c>
      <c r="J216" s="270" t="s">
        <v>409</v>
      </c>
      <c r="K216" s="263">
        <v>1</v>
      </c>
      <c r="L216" s="263" t="str">
        <f ca="1">IFERROR(INDEX(Algorithms!J:J,MATCH($C216&amp;"_Therm Saved per Unit",Algorithms!$A:$A,0)),"n/a")</f>
        <v>n/a</v>
      </c>
      <c r="M216" s="263" t="str">
        <f>IFERROR(INDEX('Measure Level Detail'!$N:$N,MATCH($B216,'Measure Level Detail'!$B:$B,0)),0)</f>
        <v>Each</v>
      </c>
      <c r="N216" s="271">
        <f>IFERROR(INDEX('Measure Level Detail'!$P:$P,MATCH($B216&amp;"_"&amp;N$3,'Measure Level Detail'!$C:$C,0)),0)</f>
        <v>50</v>
      </c>
      <c r="O216" s="271">
        <f>IFERROR(INDEX('Measure Level Detail'!$P:$P,MATCH($B216&amp;"_"&amp;O$3,'Measure Level Detail'!$C:$C,0)),0)</f>
        <v>55</v>
      </c>
      <c r="P216" s="271">
        <f>IFERROR(INDEX('Measure Level Detail'!$P:$P,MATCH($B216&amp;"_"&amp;P$3,'Measure Level Detail'!$C:$C,0)),0)</f>
        <v>70</v>
      </c>
      <c r="Q216" s="271">
        <f>IFERROR(INDEX('Measure Level Detail'!$P:$P,MATCH($B216&amp;"_"&amp;Q$3,'Measure Level Detail'!$C:$C,0)),0)</f>
        <v>75</v>
      </c>
      <c r="R216" s="263" t="str">
        <f ca="1">IFERROR(INDEX(Algorithms!K:K,MATCH($C216&amp;"_Therm Saved per Unit",Algorithms!$A:$A,0)),"n/a")</f>
        <v>n/a</v>
      </c>
      <c r="S216" s="262"/>
      <c r="T216" s="272">
        <v>0</v>
      </c>
      <c r="U216" s="272">
        <v>0</v>
      </c>
      <c r="V216" s="272">
        <v>0</v>
      </c>
      <c r="W216" s="272">
        <v>0</v>
      </c>
      <c r="X216" s="273">
        <f>IFERROR(INDEX('Measure Level Detail'!$R:$R,MATCH($B216&amp;"_"&amp;X$3,'Measure Level Detail'!$C:$C,0)),0)</f>
        <v>1</v>
      </c>
      <c r="Y216" s="273">
        <f>IFERROR(INDEX('Measure Level Detail'!$R:$R,MATCH($B216&amp;"_"&amp;Y$3,'Measure Level Detail'!$C:$C,0)),0)</f>
        <v>1</v>
      </c>
      <c r="Z216" s="273">
        <f>IFERROR(INDEX('Measure Level Detail'!$R:$R,MATCH($B216&amp;"_"&amp;Z$3,'Measure Level Detail'!$C:$C,0)),0)</f>
        <v>1</v>
      </c>
      <c r="AA216" s="273">
        <f>IFERROR(INDEX('Measure Level Detail'!$R:$R,MATCH($B216&amp;"_"&amp;AA$3,'Measure Level Detail'!$C:$C,0)),0)</f>
        <v>1</v>
      </c>
      <c r="AB216" s="266">
        <f t="shared" si="127"/>
        <v>0</v>
      </c>
      <c r="AC216" s="266">
        <f t="shared" si="128"/>
        <v>0</v>
      </c>
      <c r="AD216" s="266">
        <f t="shared" si="129"/>
        <v>0</v>
      </c>
      <c r="AE216" s="266">
        <f t="shared" si="130"/>
        <v>0</v>
      </c>
      <c r="AF216" s="266">
        <f t="shared" si="131"/>
        <v>0</v>
      </c>
      <c r="AG216" s="274">
        <v>1</v>
      </c>
      <c r="AH216" s="274">
        <v>1</v>
      </c>
      <c r="AI216" s="274">
        <v>1</v>
      </c>
      <c r="AJ216" s="274">
        <v>1</v>
      </c>
      <c r="AK216" s="274">
        <f t="shared" si="132"/>
        <v>1</v>
      </c>
      <c r="AL216" s="274">
        <f t="shared" si="133"/>
        <v>1</v>
      </c>
      <c r="AM216" s="274">
        <f t="shared" si="134"/>
        <v>1</v>
      </c>
      <c r="AN216" s="274">
        <f t="shared" si="135"/>
        <v>1</v>
      </c>
      <c r="AO216" s="262"/>
      <c r="AP216" s="262"/>
      <c r="AQ216" s="267">
        <v>0</v>
      </c>
      <c r="AR216" s="262"/>
      <c r="AS216" s="266">
        <f t="shared" si="136"/>
        <v>0</v>
      </c>
      <c r="AT216" s="264">
        <f t="shared" si="137"/>
        <v>0</v>
      </c>
      <c r="AU216" s="262"/>
      <c r="AV216" s="262"/>
      <c r="AW216" s="265">
        <v>0</v>
      </c>
      <c r="AX216" s="164" t="s">
        <v>1469</v>
      </c>
      <c r="AY216" s="266">
        <v>0</v>
      </c>
      <c r="AZ216" s="266">
        <f t="shared" si="138"/>
        <v>0</v>
      </c>
      <c r="BA216" s="264">
        <f t="shared" si="139"/>
        <v>0</v>
      </c>
      <c r="BB216" s="262"/>
      <c r="BC216" s="262"/>
      <c r="BD216" s="265">
        <f ca="1">IFERROR(INDEX(Algorithms!$G:$G,MATCH($C216&amp;"_Therm Saved per Unit",Algorithms!$A:$A,0)),0)</f>
        <v>0</v>
      </c>
      <c r="BE216" s="164" t="str">
        <f ca="1">IFERROR(INDEX('v12 Revisions'!$P$29:$P$186, MATCH('Measure-Level Adj Gas'!$L216, 'v12 Revisions'!$D$29:$D$186,0)),"")</f>
        <v/>
      </c>
      <c r="BF216" s="266">
        <f t="shared" ca="1" si="140"/>
        <v>0</v>
      </c>
      <c r="BG216" s="264">
        <f t="shared" ca="1" si="141"/>
        <v>0</v>
      </c>
      <c r="BH216" s="262"/>
      <c r="BI216" s="262"/>
      <c r="BJ216" s="265">
        <f ca="1">IFERROR(INDEX(Algorithms!$G:$G,MATCH($C216&amp;"_Therm Saved per Unit",Algorithms!$A:$A,0)),0)</f>
        <v>0</v>
      </c>
      <c r="BK216" s="164"/>
      <c r="BL216" s="266">
        <f t="shared" ca="1" si="142"/>
        <v>0</v>
      </c>
      <c r="BM216" s="264">
        <f t="shared" ca="1" si="143"/>
        <v>0</v>
      </c>
      <c r="BN216" s="266">
        <f t="shared" si="144"/>
        <v>0</v>
      </c>
      <c r="BO216" s="266">
        <f t="shared" si="145"/>
        <v>0</v>
      </c>
      <c r="BP216" s="266">
        <f t="shared" ca="1" si="146"/>
        <v>0</v>
      </c>
      <c r="BQ216" s="266">
        <f t="shared" ca="1" si="147"/>
        <v>0</v>
      </c>
      <c r="BR216" s="268">
        <f t="shared" ca="1" si="148"/>
        <v>0</v>
      </c>
      <c r="BS216" s="262" t="s">
        <v>99</v>
      </c>
      <c r="BT216" s="277"/>
      <c r="BW216" s="266">
        <f t="shared" si="149"/>
        <v>0</v>
      </c>
      <c r="BX216" s="266">
        <f t="shared" si="150"/>
        <v>0</v>
      </c>
      <c r="BY216" s="266">
        <f t="shared" si="151"/>
        <v>0</v>
      </c>
      <c r="BZ216" s="266">
        <f t="shared" si="152"/>
        <v>0</v>
      </c>
      <c r="CA216" s="266">
        <f ca="1">N216*IFERROR(INDEX(Algorithms!$G:$G,MATCH($C216&amp;"_Therm Saved per Unit- MLA",Algorithms!$A:$A,0)),0)*X216</f>
        <v>0</v>
      </c>
      <c r="CB216" s="266">
        <f ca="1">O216*IFERROR(INDEX(Algorithms!$G:$G,MATCH($C216&amp;"_Therm Saved per Unit- MLA",Algorithms!$A:$A,0)),0)*Y216</f>
        <v>0</v>
      </c>
      <c r="CC216" s="266">
        <f ca="1">P216*IFERROR(INDEX(Algorithms!$G:$G,MATCH($C216&amp;"_Therm Saved per Unit- MLA",Algorithms!$A:$A,0)),0)*Z216</f>
        <v>0</v>
      </c>
      <c r="CD216" s="266">
        <f ca="1">Q216*IFERROR(INDEX(Algorithms!$G:$G,MATCH($C216&amp;"_Therm Saved per Unit- MLA",Algorithms!$A:$A,0)),0)*AA216</f>
        <v>0</v>
      </c>
      <c r="CE216" s="266">
        <f ca="1">IFERROR(INDEX(Algorithms!$G:$G,MATCH($C216&amp;"_Lifetime (years)",Algorithms!$A:$A,0)),0)</f>
        <v>0</v>
      </c>
      <c r="CF216" s="266">
        <f ca="1">IFERROR(INDEX(Algorithms!$G:$G,MATCH($C216&amp;"_Lifetime (years) - Remaining Years",Algorithms!$A:$A,0)),0)</f>
        <v>0</v>
      </c>
      <c r="CG216" s="266">
        <f t="shared" ca="1" si="153"/>
        <v>0</v>
      </c>
      <c r="CH216" s="266">
        <f t="shared" ca="1" si="154"/>
        <v>0</v>
      </c>
      <c r="CI216" s="266">
        <f t="shared" ca="1" si="155"/>
        <v>0</v>
      </c>
      <c r="CJ216" s="266">
        <f t="shared" ca="1" si="156"/>
        <v>0</v>
      </c>
      <c r="CK216" s="266">
        <f t="shared" si="157"/>
        <v>0</v>
      </c>
      <c r="CL216" s="266">
        <f t="shared" si="158"/>
        <v>0</v>
      </c>
      <c r="CM216" s="266">
        <f t="shared" ca="1" si="159"/>
        <v>0</v>
      </c>
      <c r="CN216" s="266">
        <f t="shared" ca="1" si="160"/>
        <v>0</v>
      </c>
      <c r="CO216" s="266">
        <f ca="1">N216*IFERROR(INDEX(Algorithms!$G:$G,MATCH($C216&amp;"_Therm Saved per Unit- MLA",Algorithms!$A:$A,0)),0)*X216</f>
        <v>0</v>
      </c>
      <c r="CP216" s="266">
        <f ca="1">O216*IFERROR(INDEX(Algorithms!$G:$G,MATCH($C216&amp;"_Therm Saved per Unit- MLA",Algorithms!$A:$A,0)),0)*Y216</f>
        <v>0</v>
      </c>
      <c r="CQ216" s="266">
        <f ca="1">P216*IFERROR(INDEX(Algorithms!$G:$G,MATCH($C216&amp;"_Therm Saved per Unit- MLA",Algorithms!$A:$A,0)),0)*Z216</f>
        <v>0</v>
      </c>
      <c r="CR216" s="266">
        <f ca="1">Q216*IFERROR(INDEX(Algorithms!$G:$G,MATCH($C216&amp;"_Therm Saved per Unit- MLA",Algorithms!$A:$A,0)),0)*AA216</f>
        <v>0</v>
      </c>
      <c r="CS216" s="266">
        <f ca="1">IFERROR(INDEX(Algorithms!$G:$G,MATCH($C216&amp;"_Lifetime (years)",Algorithms!$A:$A,0)),0)</f>
        <v>0</v>
      </c>
      <c r="CT216" s="266">
        <f ca="1">IFERROR(INDEX(Algorithms!$G:$G,MATCH($C216&amp;"_Lifetime (years) - Remaining Years",Algorithms!$A:$A,0)),0)</f>
        <v>0</v>
      </c>
      <c r="CU216" s="266">
        <f t="shared" ca="1" si="161"/>
        <v>0</v>
      </c>
      <c r="CV216" s="266">
        <f t="shared" ca="1" si="162"/>
        <v>0</v>
      </c>
      <c r="CW216" s="266">
        <f t="shared" ca="1" si="163"/>
        <v>0</v>
      </c>
      <c r="CX216" s="266">
        <f t="shared" ca="1" si="164"/>
        <v>0</v>
      </c>
    </row>
    <row r="217" spans="2:102" s="47" customFormat="1" ht="18" customHeight="1" x14ac:dyDescent="0.25">
      <c r="B217" t="str">
        <f t="shared" si="165"/>
        <v>NSG_Residential_Multi-Family_Direct Install_Programmable Thermostat_Boiler (DI)_MF</v>
      </c>
      <c r="C217" s="47" t="str">
        <f t="shared" si="126"/>
        <v>Programmable Thermostat_Boiler (DI)_MF</v>
      </c>
      <c r="D217" s="270" t="s">
        <v>1787</v>
      </c>
      <c r="E217" s="270" t="s">
        <v>2</v>
      </c>
      <c r="F217" s="270" t="s">
        <v>1422</v>
      </c>
      <c r="G217" s="270" t="s">
        <v>4</v>
      </c>
      <c r="H217" s="270" t="s">
        <v>224</v>
      </c>
      <c r="I217" s="270" t="s">
        <v>1045</v>
      </c>
      <c r="J217" s="270" t="s">
        <v>553</v>
      </c>
      <c r="K217" s="263">
        <v>1</v>
      </c>
      <c r="L217" s="263" t="str">
        <f ca="1">IFERROR(INDEX(Algorithms!J:J,MATCH($C217&amp;"_Therm Saved per Unit",Algorithms!$A:$A,0)),"n/a")</f>
        <v>5.3.11</v>
      </c>
      <c r="M217" s="263" t="str">
        <f>IFERROR(INDEX('Measure Level Detail'!$N:$N,MATCH($B217,'Measure Level Detail'!$B:$B,0)),0)</f>
        <v>each</v>
      </c>
      <c r="N217" s="271">
        <f>IFERROR(INDEX('Measure Level Detail'!$P:$P,MATCH($B217&amp;"_"&amp;N$3,'Measure Level Detail'!$C:$C,0)),0)</f>
        <v>39</v>
      </c>
      <c r="O217" s="271">
        <f>IFERROR(INDEX('Measure Level Detail'!$P:$P,MATCH($B217&amp;"_"&amp;O$3,'Measure Level Detail'!$C:$C,0)),0)</f>
        <v>39</v>
      </c>
      <c r="P217" s="271">
        <f>IFERROR(INDEX('Measure Level Detail'!$P:$P,MATCH($B217&amp;"_"&amp;P$3,'Measure Level Detail'!$C:$C,0)),0)</f>
        <v>39</v>
      </c>
      <c r="Q217" s="271">
        <f>IFERROR(INDEX('Measure Level Detail'!$P:$P,MATCH($B217&amp;"_"&amp;Q$3,'Measure Level Detail'!$C:$C,0)),0)</f>
        <v>39</v>
      </c>
      <c r="R217" s="263" t="str">
        <f ca="1">IFERROR(INDEX(Algorithms!K:K,MATCH($C217&amp;"_Therm Saved per Unit",Algorithms!$A:$A,0)),"n/a")</f>
        <v>RS-HVC-PROG-V08-220101</v>
      </c>
      <c r="S217" s="262"/>
      <c r="T217" s="272">
        <v>59.845499999999994</v>
      </c>
      <c r="U217" s="272">
        <v>59.845499999999994</v>
      </c>
      <c r="V217" s="272">
        <v>59.845499999999994</v>
      </c>
      <c r="W217" s="272">
        <v>59.845499999999994</v>
      </c>
      <c r="X217" s="273">
        <f>IFERROR(INDEX('Measure Level Detail'!$R:$R,MATCH($B217&amp;"_"&amp;X$3,'Measure Level Detail'!$C:$C,0)),0)</f>
        <v>0.96</v>
      </c>
      <c r="Y217" s="273">
        <f>IFERROR(INDEX('Measure Level Detail'!$R:$R,MATCH($B217&amp;"_"&amp;Y$3,'Measure Level Detail'!$C:$C,0)),0)</f>
        <v>0.96</v>
      </c>
      <c r="Z217" s="273">
        <f>IFERROR(INDEX('Measure Level Detail'!$R:$R,MATCH($B217&amp;"_"&amp;Z$3,'Measure Level Detail'!$C:$C,0)),0)</f>
        <v>0.96</v>
      </c>
      <c r="AA217" s="273">
        <f>IFERROR(INDEX('Measure Level Detail'!$R:$R,MATCH($B217&amp;"_"&amp;AA$3,'Measure Level Detail'!$C:$C,0)),0)</f>
        <v>0.96</v>
      </c>
      <c r="AB217" s="266">
        <f t="shared" si="127"/>
        <v>2240.6155199999998</v>
      </c>
      <c r="AC217" s="266">
        <f t="shared" si="128"/>
        <v>2240.6155199999998</v>
      </c>
      <c r="AD217" s="266">
        <f t="shared" si="129"/>
        <v>2240.6155199999998</v>
      </c>
      <c r="AE217" s="266">
        <f t="shared" si="130"/>
        <v>2240.6155199999998</v>
      </c>
      <c r="AF217" s="266">
        <f t="shared" si="131"/>
        <v>8962.4620799999993</v>
      </c>
      <c r="AG217" s="274">
        <v>0.96</v>
      </c>
      <c r="AH217" s="274">
        <v>0.96</v>
      </c>
      <c r="AI217" s="274">
        <v>0.96</v>
      </c>
      <c r="AJ217" s="274">
        <v>0.96</v>
      </c>
      <c r="AK217" s="274">
        <f t="shared" si="132"/>
        <v>0.96</v>
      </c>
      <c r="AL217" s="274">
        <f t="shared" si="133"/>
        <v>0.96</v>
      </c>
      <c r="AM217" s="274">
        <f t="shared" si="134"/>
        <v>0.96</v>
      </c>
      <c r="AN217" s="274">
        <f t="shared" si="135"/>
        <v>0.96</v>
      </c>
      <c r="AO217" s="262"/>
      <c r="AP217" s="262"/>
      <c r="AQ217" s="267">
        <v>59.845499999999994</v>
      </c>
      <c r="AR217" s="262"/>
      <c r="AS217" s="266">
        <f t="shared" si="136"/>
        <v>2240.6155199999998</v>
      </c>
      <c r="AT217" s="264">
        <f t="shared" si="137"/>
        <v>0</v>
      </c>
      <c r="AU217" s="262"/>
      <c r="AV217" s="262"/>
      <c r="AW217" s="265">
        <v>59.845499999999994</v>
      </c>
      <c r="AX217" s="164" t="s">
        <v>1469</v>
      </c>
      <c r="AY217" s="266">
        <v>2240.6155199999998</v>
      </c>
      <c r="AZ217" s="266">
        <f t="shared" si="138"/>
        <v>2240.6155199999998</v>
      </c>
      <c r="BA217" s="264">
        <f t="shared" si="139"/>
        <v>0</v>
      </c>
      <c r="BB217" s="262"/>
      <c r="BC217" s="262"/>
      <c r="BD217" s="265">
        <f ca="1">IFERROR(INDEX(Algorithms!$G:$G,MATCH($C217&amp;"_Therm Saved per Unit",Algorithms!$A:$A,0)),0)</f>
        <v>59.845499999999994</v>
      </c>
      <c r="BE217" s="164" t="str">
        <f ca="1">IFERROR(INDEX('v12 Revisions'!$P$29:$P$186, MATCH('Measure-Level Adj Gas'!$L217, 'v12 Revisions'!$D$29:$D$186,0)),"")</f>
        <v/>
      </c>
      <c r="BF217" s="266">
        <f t="shared" ca="1" si="140"/>
        <v>2240.6155199999998</v>
      </c>
      <c r="BG217" s="264">
        <f t="shared" ca="1" si="141"/>
        <v>0</v>
      </c>
      <c r="BH217" s="262"/>
      <c r="BI217" s="262"/>
      <c r="BJ217" s="265">
        <f ca="1">IFERROR(INDEX(Algorithms!$G:$G,MATCH($C217&amp;"_Therm Saved per Unit",Algorithms!$A:$A,0)),0)</f>
        <v>59.845499999999994</v>
      </c>
      <c r="BK217" s="164"/>
      <c r="BL217" s="266">
        <f t="shared" ca="1" si="142"/>
        <v>2240.6155199999998</v>
      </c>
      <c r="BM217" s="264">
        <f t="shared" ca="1" si="143"/>
        <v>0</v>
      </c>
      <c r="BN217" s="266">
        <f t="shared" si="144"/>
        <v>2240.6155199999998</v>
      </c>
      <c r="BO217" s="266">
        <f t="shared" si="145"/>
        <v>2240.6155199999998</v>
      </c>
      <c r="BP217" s="266">
        <f t="shared" ca="1" si="146"/>
        <v>2240.6155199999998</v>
      </c>
      <c r="BQ217" s="266">
        <f t="shared" ca="1" si="147"/>
        <v>2240.6155199999998</v>
      </c>
      <c r="BR217" s="268">
        <f t="shared" ca="1" si="148"/>
        <v>8962.4620799999993</v>
      </c>
      <c r="BS217" s="262" t="s">
        <v>99</v>
      </c>
      <c r="BT217" s="277"/>
      <c r="BW217" s="266">
        <f t="shared" si="149"/>
        <v>2240.6155199999998</v>
      </c>
      <c r="BX217" s="266">
        <f t="shared" si="150"/>
        <v>2240.6155199999998</v>
      </c>
      <c r="BY217" s="266">
        <f t="shared" si="151"/>
        <v>2240.6155199999998</v>
      </c>
      <c r="BZ217" s="266">
        <f t="shared" si="152"/>
        <v>2240.6155199999998</v>
      </c>
      <c r="CA217" s="266">
        <f ca="1">N217*IFERROR(INDEX(Algorithms!$G:$G,MATCH($C217&amp;"_Therm Saved per Unit- MLA",Algorithms!$A:$A,0)),0)*X217</f>
        <v>627.37234560000002</v>
      </c>
      <c r="CB217" s="266">
        <f ca="1">O217*IFERROR(INDEX(Algorithms!$G:$G,MATCH($C217&amp;"_Therm Saved per Unit- MLA",Algorithms!$A:$A,0)),0)*Y217</f>
        <v>627.37234560000002</v>
      </c>
      <c r="CC217" s="266">
        <f ca="1">P217*IFERROR(INDEX(Algorithms!$G:$G,MATCH($C217&amp;"_Therm Saved per Unit- MLA",Algorithms!$A:$A,0)),0)*Z217</f>
        <v>627.37234560000002</v>
      </c>
      <c r="CD217" s="266">
        <f ca="1">Q217*IFERROR(INDEX(Algorithms!$G:$G,MATCH($C217&amp;"_Therm Saved per Unit- MLA",Algorithms!$A:$A,0)),0)*AA217</f>
        <v>627.37234560000002</v>
      </c>
      <c r="CE217" s="266">
        <f ca="1">IFERROR(INDEX(Algorithms!$G:$G,MATCH($C217&amp;"_Lifetime (years)",Algorithms!$A:$A,0)),0)</f>
        <v>16</v>
      </c>
      <c r="CF217" s="266">
        <f ca="1">IFERROR(INDEX(Algorithms!$G:$G,MATCH($C217&amp;"_Lifetime (years) - Remaining Years",Algorithms!$A:$A,0)),0)</f>
        <v>5</v>
      </c>
      <c r="CG217" s="266">
        <f t="shared" ca="1" si="153"/>
        <v>18104.173401599997</v>
      </c>
      <c r="CH217" s="266">
        <f t="shared" ca="1" si="154"/>
        <v>18104.173401599997</v>
      </c>
      <c r="CI217" s="266">
        <f t="shared" ca="1" si="155"/>
        <v>18104.173401599997</v>
      </c>
      <c r="CJ217" s="266">
        <f t="shared" ca="1" si="156"/>
        <v>18104.173401599997</v>
      </c>
      <c r="CK217" s="266">
        <f t="shared" si="157"/>
        <v>2240.6155199999998</v>
      </c>
      <c r="CL217" s="266">
        <f t="shared" si="158"/>
        <v>2240.6155199999998</v>
      </c>
      <c r="CM217" s="266">
        <f t="shared" ca="1" si="159"/>
        <v>2240.6155199999998</v>
      </c>
      <c r="CN217" s="266">
        <f t="shared" ca="1" si="160"/>
        <v>2240.6155199999998</v>
      </c>
      <c r="CO217" s="266">
        <f ca="1">N217*IFERROR(INDEX(Algorithms!$G:$G,MATCH($C217&amp;"_Therm Saved per Unit- MLA",Algorithms!$A:$A,0)),0)*X217</f>
        <v>627.37234560000002</v>
      </c>
      <c r="CP217" s="266">
        <f ca="1">O217*IFERROR(INDEX(Algorithms!$G:$G,MATCH($C217&amp;"_Therm Saved per Unit- MLA",Algorithms!$A:$A,0)),0)*Y217</f>
        <v>627.37234560000002</v>
      </c>
      <c r="CQ217" s="266">
        <f ca="1">P217*IFERROR(INDEX(Algorithms!$G:$G,MATCH($C217&amp;"_Therm Saved per Unit- MLA",Algorithms!$A:$A,0)),0)*Z217</f>
        <v>627.37234560000002</v>
      </c>
      <c r="CR217" s="266">
        <f ca="1">Q217*IFERROR(INDEX(Algorithms!$G:$G,MATCH($C217&amp;"_Therm Saved per Unit- MLA",Algorithms!$A:$A,0)),0)*AA217</f>
        <v>627.37234560000002</v>
      </c>
      <c r="CS217" s="266">
        <f ca="1">IFERROR(INDEX(Algorithms!$G:$G,MATCH($C217&amp;"_Lifetime (years)",Algorithms!$A:$A,0)),0)</f>
        <v>16</v>
      </c>
      <c r="CT217" s="266">
        <f ca="1">IFERROR(INDEX(Algorithms!$G:$G,MATCH($C217&amp;"_Lifetime (years) - Remaining Years",Algorithms!$A:$A,0)),0)</f>
        <v>5</v>
      </c>
      <c r="CU217" s="266">
        <f t="shared" ca="1" si="161"/>
        <v>18104.173401599997</v>
      </c>
      <c r="CV217" s="266">
        <f t="shared" ca="1" si="162"/>
        <v>18104.173401599997</v>
      </c>
      <c r="CW217" s="266">
        <f t="shared" ca="1" si="163"/>
        <v>18104.173401599997</v>
      </c>
      <c r="CX217" s="266">
        <f t="shared" ca="1" si="164"/>
        <v>18104.173401599997</v>
      </c>
    </row>
    <row r="218" spans="2:102" s="47" customFormat="1" ht="18" customHeight="1" x14ac:dyDescent="0.25">
      <c r="B218" t="str">
        <f t="shared" si="165"/>
        <v>NSG_Income Eligible_Single Family_IHWAP_Furnace_&gt;95% AFUE_SF</v>
      </c>
      <c r="C218" s="47" t="str">
        <f t="shared" si="126"/>
        <v>Furnace_&gt;95% AFUE_SF</v>
      </c>
      <c r="D218" s="270" t="s">
        <v>1787</v>
      </c>
      <c r="E218" s="270" t="s">
        <v>325</v>
      </c>
      <c r="F218" s="270" t="s">
        <v>375</v>
      </c>
      <c r="G218" s="270" t="s">
        <v>1439</v>
      </c>
      <c r="H218" s="270" t="s">
        <v>490</v>
      </c>
      <c r="I218" s="270" t="s">
        <v>982</v>
      </c>
      <c r="J218" s="270" t="s">
        <v>409</v>
      </c>
      <c r="K218" s="263">
        <v>1</v>
      </c>
      <c r="L218" s="263" t="str">
        <f ca="1">IFERROR(INDEX(Algorithms!J:J,MATCH($C218&amp;"_Therm Saved per Unit",Algorithms!$A:$A,0)),"n/a")</f>
        <v>5.3.7</v>
      </c>
      <c r="M218" s="263" t="str">
        <f>IFERROR(INDEX('Measure Level Detail'!$N:$N,MATCH($B218,'Measure Level Detail'!$B:$B,0)),0)</f>
        <v>Each</v>
      </c>
      <c r="N218" s="271">
        <f>IFERROR(INDEX('Measure Level Detail'!$P:$P,MATCH($B218&amp;"_"&amp;N$3,'Measure Level Detail'!$C:$C,0)),0)</f>
        <v>39</v>
      </c>
      <c r="O218" s="271">
        <f>IFERROR(INDEX('Measure Level Detail'!$P:$P,MATCH($B218&amp;"_"&amp;O$3,'Measure Level Detail'!$C:$C,0)),0)</f>
        <v>43</v>
      </c>
      <c r="P218" s="271">
        <f>IFERROR(INDEX('Measure Level Detail'!$P:$P,MATCH($B218&amp;"_"&amp;P$3,'Measure Level Detail'!$C:$C,0)),0)</f>
        <v>55</v>
      </c>
      <c r="Q218" s="271">
        <f>IFERROR(INDEX('Measure Level Detail'!$P:$P,MATCH($B218&amp;"_"&amp;Q$3,'Measure Level Detail'!$C:$C,0)),0)</f>
        <v>59</v>
      </c>
      <c r="R218" s="263" t="str">
        <f ca="1">IFERROR(INDEX(Algorithms!K:K,MATCH($C218&amp;"_Therm Saved per Unit",Algorithms!$A:$A,0)),"n/a")</f>
        <v>RS-HVC-GHEF-V13-240101</v>
      </c>
      <c r="S218" s="262"/>
      <c r="T218" s="272">
        <v>185.63073361823353</v>
      </c>
      <c r="U218" s="272">
        <v>185.63073361823353</v>
      </c>
      <c r="V218" s="272">
        <v>185.63073361823353</v>
      </c>
      <c r="W218" s="272">
        <v>185.63073361823353</v>
      </c>
      <c r="X218" s="273">
        <f>IFERROR(INDEX('Measure Level Detail'!$R:$R,MATCH($B218&amp;"_"&amp;X$3,'Measure Level Detail'!$C:$C,0)),0)</f>
        <v>1</v>
      </c>
      <c r="Y218" s="273">
        <f>IFERROR(INDEX('Measure Level Detail'!$R:$R,MATCH($B218&amp;"_"&amp;Y$3,'Measure Level Detail'!$C:$C,0)),0)</f>
        <v>1</v>
      </c>
      <c r="Z218" s="273">
        <f>IFERROR(INDEX('Measure Level Detail'!$R:$R,MATCH($B218&amp;"_"&amp;Z$3,'Measure Level Detail'!$C:$C,0)),0)</f>
        <v>1</v>
      </c>
      <c r="AA218" s="273">
        <f>IFERROR(INDEX('Measure Level Detail'!$R:$R,MATCH($B218&amp;"_"&amp;AA$3,'Measure Level Detail'!$C:$C,0)),0)</f>
        <v>1</v>
      </c>
      <c r="AB218" s="266">
        <f t="shared" si="127"/>
        <v>7239.5986111111079</v>
      </c>
      <c r="AC218" s="266">
        <f t="shared" si="128"/>
        <v>7982.121545584042</v>
      </c>
      <c r="AD218" s="266">
        <f t="shared" si="129"/>
        <v>10209.690349002845</v>
      </c>
      <c r="AE218" s="266">
        <f t="shared" si="130"/>
        <v>10952.213283475779</v>
      </c>
      <c r="AF218" s="266">
        <f t="shared" si="131"/>
        <v>36383.623789173776</v>
      </c>
      <c r="AG218" s="274">
        <v>1</v>
      </c>
      <c r="AH218" s="274">
        <v>1</v>
      </c>
      <c r="AI218" s="274">
        <v>1</v>
      </c>
      <c r="AJ218" s="274">
        <v>1</v>
      </c>
      <c r="AK218" s="274">
        <f t="shared" si="132"/>
        <v>1</v>
      </c>
      <c r="AL218" s="274">
        <f t="shared" si="133"/>
        <v>1</v>
      </c>
      <c r="AM218" s="274">
        <f t="shared" si="134"/>
        <v>1</v>
      </c>
      <c r="AN218" s="274">
        <f t="shared" si="135"/>
        <v>1</v>
      </c>
      <c r="AO218" s="262"/>
      <c r="AP218" s="262"/>
      <c r="AQ218" s="267">
        <v>185.63073361823353</v>
      </c>
      <c r="AR218" s="262"/>
      <c r="AS218" s="266">
        <f t="shared" si="136"/>
        <v>7239.5986111111079</v>
      </c>
      <c r="AT218" s="264">
        <f t="shared" si="137"/>
        <v>0</v>
      </c>
      <c r="AU218" s="262"/>
      <c r="AV218" s="262"/>
      <c r="AW218" s="265">
        <v>185.63073361823353</v>
      </c>
      <c r="AX218" s="164" t="s">
        <v>1469</v>
      </c>
      <c r="AY218" s="266">
        <v>7982.121545584042</v>
      </c>
      <c r="AZ218" s="266">
        <f t="shared" si="138"/>
        <v>7982.121545584042</v>
      </c>
      <c r="BA218" s="264">
        <f t="shared" si="139"/>
        <v>0</v>
      </c>
      <c r="BB218" s="262"/>
      <c r="BC218" s="262"/>
      <c r="BD218" s="265">
        <f ca="1">IFERROR(INDEX(Algorithms!$G:$G,MATCH($C218&amp;"_Therm Saved per Unit",Algorithms!$A:$A,0)),0)</f>
        <v>185.63073361823353</v>
      </c>
      <c r="BE218" s="164" t="str">
        <f ca="1">IFERROR(INDEX('v12 Revisions'!$P$29:$P$186, MATCH('Measure-Level Adj Gas'!$L218, 'v12 Revisions'!$D$29:$D$186,0)),"")</f>
        <v>n/a - AFUE ≥ 95 eligibility tier, efficient AFUE value already 96.0% in plan.</v>
      </c>
      <c r="BF218" s="266">
        <f t="shared" ca="1" si="140"/>
        <v>10209.690349002845</v>
      </c>
      <c r="BG218" s="264">
        <f t="shared" ca="1" si="141"/>
        <v>0</v>
      </c>
      <c r="BH218" s="262"/>
      <c r="BI218" s="262"/>
      <c r="BJ218" s="265">
        <f ca="1">IFERROR(INDEX(Algorithms!$G:$G,MATCH($C218&amp;"_Therm Saved per Unit",Algorithms!$A:$A,0)),0)</f>
        <v>185.63073361823353</v>
      </c>
      <c r="BK218" s="164"/>
      <c r="BL218" s="266">
        <f t="shared" ca="1" si="142"/>
        <v>10952.213283475779</v>
      </c>
      <c r="BM218" s="264">
        <f t="shared" ca="1" si="143"/>
        <v>0</v>
      </c>
      <c r="BN218" s="266">
        <f t="shared" si="144"/>
        <v>7239.5986111111079</v>
      </c>
      <c r="BO218" s="266">
        <f t="shared" si="145"/>
        <v>7982.121545584042</v>
      </c>
      <c r="BP218" s="266">
        <f t="shared" ca="1" si="146"/>
        <v>10209.690349002845</v>
      </c>
      <c r="BQ218" s="266">
        <f t="shared" ca="1" si="147"/>
        <v>10952.213283475779</v>
      </c>
      <c r="BR218" s="268">
        <f t="shared" ca="1" si="148"/>
        <v>36383.623789173776</v>
      </c>
      <c r="BS218" s="262" t="s">
        <v>99</v>
      </c>
      <c r="BT218" s="277"/>
      <c r="BW218" s="266">
        <f t="shared" si="149"/>
        <v>7239.5986111111079</v>
      </c>
      <c r="BX218" s="266">
        <f t="shared" si="150"/>
        <v>7982.121545584042</v>
      </c>
      <c r="BY218" s="266">
        <f t="shared" si="151"/>
        <v>10209.690349002845</v>
      </c>
      <c r="BZ218" s="266">
        <f t="shared" si="152"/>
        <v>10952.213283475779</v>
      </c>
      <c r="CA218" s="266">
        <f ca="1">N218*IFERROR(INDEX(Algorithms!$G:$G,MATCH($C218&amp;"_Therm Saved per Unit- MLA",Algorithms!$A:$A,0)),0)*X218</f>
        <v>0</v>
      </c>
      <c r="CB218" s="266">
        <f ca="1">O218*IFERROR(INDEX(Algorithms!$G:$G,MATCH($C218&amp;"_Therm Saved per Unit- MLA",Algorithms!$A:$A,0)),0)*Y218</f>
        <v>0</v>
      </c>
      <c r="CC218" s="266">
        <f ca="1">P218*IFERROR(INDEX(Algorithms!$G:$G,MATCH($C218&amp;"_Therm Saved per Unit- MLA",Algorithms!$A:$A,0)),0)*Z218</f>
        <v>0</v>
      </c>
      <c r="CD218" s="266">
        <f ca="1">Q218*IFERROR(INDEX(Algorithms!$G:$G,MATCH($C218&amp;"_Therm Saved per Unit- MLA",Algorithms!$A:$A,0)),0)*AA218</f>
        <v>0</v>
      </c>
      <c r="CE218" s="266">
        <f ca="1">IFERROR(INDEX(Algorithms!$G:$G,MATCH($C218&amp;"_Lifetime (years)",Algorithms!$A:$A,0)),0)</f>
        <v>20</v>
      </c>
      <c r="CF218" s="266">
        <f ca="1">IFERROR(INDEX(Algorithms!$G:$G,MATCH($C218&amp;"_Lifetime (years) - Remaining Years",Algorithms!$A:$A,0)),0)</f>
        <v>0</v>
      </c>
      <c r="CG218" s="266">
        <f t="shared" ca="1" si="153"/>
        <v>144791.97222222216</v>
      </c>
      <c r="CH218" s="266">
        <f t="shared" ca="1" si="154"/>
        <v>159642.43091168083</v>
      </c>
      <c r="CI218" s="266">
        <f t="shared" ca="1" si="155"/>
        <v>204193.80698005692</v>
      </c>
      <c r="CJ218" s="266">
        <f t="shared" ca="1" si="156"/>
        <v>219044.26566951559</v>
      </c>
      <c r="CK218" s="266">
        <f t="shared" si="157"/>
        <v>7239.5986111111079</v>
      </c>
      <c r="CL218" s="266">
        <f t="shared" si="158"/>
        <v>7982.121545584042</v>
      </c>
      <c r="CM218" s="266">
        <f t="shared" ca="1" si="159"/>
        <v>10209.690349002845</v>
      </c>
      <c r="CN218" s="266">
        <f t="shared" ca="1" si="160"/>
        <v>10952.213283475779</v>
      </c>
      <c r="CO218" s="266">
        <f ca="1">N218*IFERROR(INDEX(Algorithms!$G:$G,MATCH($C218&amp;"_Therm Saved per Unit- MLA",Algorithms!$A:$A,0)),0)*X218</f>
        <v>0</v>
      </c>
      <c r="CP218" s="266">
        <f ca="1">O218*IFERROR(INDEX(Algorithms!$G:$G,MATCH($C218&amp;"_Therm Saved per Unit- MLA",Algorithms!$A:$A,0)),0)*Y218</f>
        <v>0</v>
      </c>
      <c r="CQ218" s="266">
        <f ca="1">P218*IFERROR(INDEX(Algorithms!$G:$G,MATCH($C218&amp;"_Therm Saved per Unit- MLA",Algorithms!$A:$A,0)),0)*Z218</f>
        <v>0</v>
      </c>
      <c r="CR218" s="266">
        <f ca="1">Q218*IFERROR(INDEX(Algorithms!$G:$G,MATCH($C218&amp;"_Therm Saved per Unit- MLA",Algorithms!$A:$A,0)),0)*AA218</f>
        <v>0</v>
      </c>
      <c r="CS218" s="266">
        <f ca="1">IFERROR(INDEX(Algorithms!$G:$G,MATCH($C218&amp;"_Lifetime (years)",Algorithms!$A:$A,0)),0)</f>
        <v>20</v>
      </c>
      <c r="CT218" s="266">
        <f ca="1">IFERROR(INDEX(Algorithms!$G:$G,MATCH($C218&amp;"_Lifetime (years) - Remaining Years",Algorithms!$A:$A,0)),0)</f>
        <v>0</v>
      </c>
      <c r="CU218" s="266">
        <f t="shared" ca="1" si="161"/>
        <v>144791.97222222216</v>
      </c>
      <c r="CV218" s="266">
        <f t="shared" ca="1" si="162"/>
        <v>159642.43091168083</v>
      </c>
      <c r="CW218" s="266">
        <f t="shared" ca="1" si="163"/>
        <v>204193.80698005692</v>
      </c>
      <c r="CX218" s="266">
        <f t="shared" ca="1" si="164"/>
        <v>219044.26566951559</v>
      </c>
    </row>
    <row r="219" spans="2:102" s="47" customFormat="1" ht="18" customHeight="1" x14ac:dyDescent="0.25">
      <c r="B219" t="str">
        <f t="shared" si="165"/>
        <v>NSG_Business_Small/Mid-Size Business_Partner Trade Ally Rebate_Steam Traps_HVAC Repair/Rep - Audit_CI</v>
      </c>
      <c r="C219" s="47" t="str">
        <f t="shared" si="126"/>
        <v>Steam Traps_HVAC Repair/Rep - Audit_CI</v>
      </c>
      <c r="D219" s="270" t="s">
        <v>1787</v>
      </c>
      <c r="E219" s="270" t="s">
        <v>3</v>
      </c>
      <c r="F219" s="270" t="s">
        <v>1432</v>
      </c>
      <c r="G219" s="270" t="s">
        <v>1799</v>
      </c>
      <c r="H219" s="270" t="s">
        <v>644</v>
      </c>
      <c r="I219" s="270" t="s">
        <v>645</v>
      </c>
      <c r="J219" s="270" t="s">
        <v>1159</v>
      </c>
      <c r="K219" s="263">
        <v>1</v>
      </c>
      <c r="L219" s="263" t="str">
        <f ca="1">IFERROR(INDEX(Algorithms!J:J,MATCH($C219&amp;"_Therm Saved per Unit",Algorithms!$A:$A,0)),"n/a")</f>
        <v>4.4.16</v>
      </c>
      <c r="M219" s="263" t="str">
        <f>IFERROR(INDEX('Measure Level Detail'!$N:$N,MATCH($B219,'Measure Level Detail'!$B:$B,0)),0)</f>
        <v>each</v>
      </c>
      <c r="N219" s="271">
        <f>IFERROR(INDEX('Measure Level Detail'!$P:$P,MATCH($B219&amp;"_"&amp;N$3,'Measure Level Detail'!$C:$C,0)),0)</f>
        <v>36</v>
      </c>
      <c r="O219" s="271">
        <f>IFERROR(INDEX('Measure Level Detail'!$P:$P,MATCH($B219&amp;"_"&amp;O$3,'Measure Level Detail'!$C:$C,0)),0)</f>
        <v>33</v>
      </c>
      <c r="P219" s="271">
        <f>IFERROR(INDEX('Measure Level Detail'!$P:$P,MATCH($B219&amp;"_"&amp;P$3,'Measure Level Detail'!$C:$C,0)),0)</f>
        <v>32</v>
      </c>
      <c r="Q219" s="271">
        <f>IFERROR(INDEX('Measure Level Detail'!$P:$P,MATCH($B219&amp;"_"&amp;Q$3,'Measure Level Detail'!$C:$C,0)),0)</f>
        <v>30</v>
      </c>
      <c r="R219" s="263" t="str">
        <f ca="1">IFERROR(INDEX(Algorithms!K:K,MATCH($C219&amp;"_Therm Saved per Unit",Algorithms!$A:$A,0)),"n/a")</f>
        <v>CI-HVC-STRE-V10-240101</v>
      </c>
      <c r="S219" s="262"/>
      <c r="T219" s="272">
        <v>383.76733095846322</v>
      </c>
      <c r="U219" s="272">
        <v>383.76733095846322</v>
      </c>
      <c r="V219" s="272">
        <v>383.76733095846322</v>
      </c>
      <c r="W219" s="272">
        <v>383.76733095846322</v>
      </c>
      <c r="X219" s="276">
        <v>0.93</v>
      </c>
      <c r="Y219" s="276">
        <v>0.93</v>
      </c>
      <c r="Z219" s="276">
        <v>0.93</v>
      </c>
      <c r="AA219" s="276">
        <v>0.93</v>
      </c>
      <c r="AB219" s="266">
        <f t="shared" si="127"/>
        <v>12848.53024048935</v>
      </c>
      <c r="AC219" s="266">
        <f t="shared" si="128"/>
        <v>11777.819387115236</v>
      </c>
      <c r="AD219" s="266">
        <f t="shared" si="129"/>
        <v>11420.915769323867</v>
      </c>
      <c r="AE219" s="266">
        <f t="shared" si="130"/>
        <v>10707.108533741124</v>
      </c>
      <c r="AF219" s="266">
        <f t="shared" si="131"/>
        <v>46754.373930669579</v>
      </c>
      <c r="AG219" s="274">
        <v>0.93</v>
      </c>
      <c r="AH219" s="274">
        <v>0.93</v>
      </c>
      <c r="AI219" s="274">
        <v>0.93</v>
      </c>
      <c r="AJ219" s="274">
        <v>0.93</v>
      </c>
      <c r="AK219" s="274">
        <f t="shared" si="132"/>
        <v>0.93</v>
      </c>
      <c r="AL219" s="274">
        <f t="shared" si="133"/>
        <v>0.93</v>
      </c>
      <c r="AM219" s="274">
        <f t="shared" si="134"/>
        <v>0.93</v>
      </c>
      <c r="AN219" s="274">
        <f t="shared" si="135"/>
        <v>0.93</v>
      </c>
      <c r="AO219" s="262"/>
      <c r="AP219" s="262"/>
      <c r="AQ219" s="267">
        <v>383.76733095846322</v>
      </c>
      <c r="AR219" s="262"/>
      <c r="AS219" s="266">
        <f t="shared" si="136"/>
        <v>12848.53024048935</v>
      </c>
      <c r="AT219" s="264">
        <f t="shared" si="137"/>
        <v>0</v>
      </c>
      <c r="AU219" s="262"/>
      <c r="AV219" s="262"/>
      <c r="AW219" s="265">
        <v>779.98158821323193</v>
      </c>
      <c r="AX219" s="164" t="s">
        <v>2397</v>
      </c>
      <c r="AY219" s="266">
        <v>11777.819387115236</v>
      </c>
      <c r="AZ219" s="266">
        <f t="shared" si="138"/>
        <v>23937.634942264089</v>
      </c>
      <c r="BA219" s="264">
        <f t="shared" si="139"/>
        <v>12159.815555148853</v>
      </c>
      <c r="BB219" s="262"/>
      <c r="BC219" s="262"/>
      <c r="BD219" s="265">
        <f ca="1">IFERROR(INDEX(Algorithms!$G:$G,MATCH($C219&amp;"_Therm Saved per Unit",Algorithms!$A:$A,0)),0)</f>
        <v>779.98158821323193</v>
      </c>
      <c r="BE219" s="164" t="str">
        <f ca="1">IFERROR(INDEX('v12 Revisions'!$P$29:$P$186, MATCH('Measure-Level Adj Gas'!$L219, 'v12 Revisions'!$D$29:$D$186,0)),"")</f>
        <v>n/a - costs only.</v>
      </c>
      <c r="BF219" s="266">
        <f t="shared" ca="1" si="140"/>
        <v>23212.252065225784</v>
      </c>
      <c r="BG219" s="264">
        <f t="shared" ca="1" si="141"/>
        <v>11791.336295901918</v>
      </c>
      <c r="BH219" s="262"/>
      <c r="BI219" s="262"/>
      <c r="BJ219" s="265">
        <f ca="1">IFERROR(INDEX(Algorithms!$G:$G,MATCH($C219&amp;"_Therm Saved per Unit",Algorithms!$A:$A,0)),0)</f>
        <v>779.98158821323193</v>
      </c>
      <c r="BK219" s="164"/>
      <c r="BL219" s="266">
        <f t="shared" ca="1" si="142"/>
        <v>21761.486311149172</v>
      </c>
      <c r="BM219" s="264">
        <f t="shared" ca="1" si="143"/>
        <v>11054.377777408048</v>
      </c>
      <c r="BN219" s="266">
        <f t="shared" si="144"/>
        <v>12848.53024048935</v>
      </c>
      <c r="BO219" s="266">
        <f t="shared" si="145"/>
        <v>23937.634942264089</v>
      </c>
      <c r="BP219" s="266">
        <f t="shared" ca="1" si="146"/>
        <v>23212.252065225784</v>
      </c>
      <c r="BQ219" s="266">
        <f t="shared" ca="1" si="147"/>
        <v>21761.486311149172</v>
      </c>
      <c r="BR219" s="268">
        <f t="shared" ca="1" si="148"/>
        <v>81759.90355912839</v>
      </c>
      <c r="BS219" s="262" t="s">
        <v>99</v>
      </c>
      <c r="BT219" s="277"/>
      <c r="BW219" s="266">
        <f t="shared" si="149"/>
        <v>12848.53024048935</v>
      </c>
      <c r="BX219" s="266">
        <f t="shared" si="150"/>
        <v>11777.819387115236</v>
      </c>
      <c r="BY219" s="266">
        <f t="shared" si="151"/>
        <v>11420.915769323867</v>
      </c>
      <c r="BZ219" s="266">
        <f t="shared" si="152"/>
        <v>10707.108533741124</v>
      </c>
      <c r="CA219" s="266">
        <f ca="1">N219*IFERROR(INDEX(Algorithms!$G:$G,MATCH($C219&amp;"_Therm Saved per Unit- MLA",Algorithms!$A:$A,0)),0)*X219</f>
        <v>0</v>
      </c>
      <c r="CB219" s="266">
        <f ca="1">O219*IFERROR(INDEX(Algorithms!$G:$G,MATCH($C219&amp;"_Therm Saved per Unit- MLA",Algorithms!$A:$A,0)),0)*Y219</f>
        <v>0</v>
      </c>
      <c r="CC219" s="266">
        <f ca="1">P219*IFERROR(INDEX(Algorithms!$G:$G,MATCH($C219&amp;"_Therm Saved per Unit- MLA",Algorithms!$A:$A,0)),0)*Z219</f>
        <v>0</v>
      </c>
      <c r="CD219" s="266">
        <f ca="1">Q219*IFERROR(INDEX(Algorithms!$G:$G,MATCH($C219&amp;"_Therm Saved per Unit- MLA",Algorithms!$A:$A,0)),0)*AA219</f>
        <v>0</v>
      </c>
      <c r="CE219" s="266">
        <f ca="1">IFERROR(INDEX(Algorithms!$G:$G,MATCH($C219&amp;"_Lifetime (years)",Algorithms!$A:$A,0)),0)</f>
        <v>6</v>
      </c>
      <c r="CF219" s="266">
        <f ca="1">IFERROR(INDEX(Algorithms!$G:$G,MATCH($C219&amp;"_Lifetime (years) - Remaining Years",Algorithms!$A:$A,0)),0)</f>
        <v>0</v>
      </c>
      <c r="CG219" s="266">
        <f t="shared" ca="1" si="153"/>
        <v>77091.181442936097</v>
      </c>
      <c r="CH219" s="266">
        <f t="shared" ca="1" si="154"/>
        <v>70666.916322691424</v>
      </c>
      <c r="CI219" s="266">
        <f t="shared" ca="1" si="155"/>
        <v>68525.4946159432</v>
      </c>
      <c r="CJ219" s="266">
        <f t="shared" ca="1" si="156"/>
        <v>64242.651202446745</v>
      </c>
      <c r="CK219" s="266">
        <f t="shared" si="157"/>
        <v>12848.53024048935</v>
      </c>
      <c r="CL219" s="266">
        <f t="shared" si="158"/>
        <v>23937.634942264089</v>
      </c>
      <c r="CM219" s="266">
        <f t="shared" ca="1" si="159"/>
        <v>23212.252065225784</v>
      </c>
      <c r="CN219" s="266">
        <f t="shared" ca="1" si="160"/>
        <v>21761.486311149172</v>
      </c>
      <c r="CO219" s="266">
        <f ca="1">N219*IFERROR(INDEX(Algorithms!$G:$G,MATCH($C219&amp;"_Therm Saved per Unit- MLA",Algorithms!$A:$A,0)),0)*X219</f>
        <v>0</v>
      </c>
      <c r="CP219" s="266">
        <f ca="1">O219*IFERROR(INDEX(Algorithms!$G:$G,MATCH($C219&amp;"_Therm Saved per Unit- MLA",Algorithms!$A:$A,0)),0)*Y219</f>
        <v>0</v>
      </c>
      <c r="CQ219" s="266">
        <f ca="1">P219*IFERROR(INDEX(Algorithms!$G:$G,MATCH($C219&amp;"_Therm Saved per Unit- MLA",Algorithms!$A:$A,0)),0)*Z219</f>
        <v>0</v>
      </c>
      <c r="CR219" s="266">
        <f ca="1">Q219*IFERROR(INDEX(Algorithms!$G:$G,MATCH($C219&amp;"_Therm Saved per Unit- MLA",Algorithms!$A:$A,0)),0)*AA219</f>
        <v>0</v>
      </c>
      <c r="CS219" s="266">
        <f ca="1">IFERROR(INDEX(Algorithms!$G:$G,MATCH($C219&amp;"_Lifetime (years)",Algorithms!$A:$A,0)),0)</f>
        <v>6</v>
      </c>
      <c r="CT219" s="266">
        <f ca="1">IFERROR(INDEX(Algorithms!$G:$G,MATCH($C219&amp;"_Lifetime (years) - Remaining Years",Algorithms!$A:$A,0)),0)</f>
        <v>0</v>
      </c>
      <c r="CU219" s="266">
        <f t="shared" ca="1" si="161"/>
        <v>77091.181442936097</v>
      </c>
      <c r="CV219" s="266">
        <f t="shared" ca="1" si="162"/>
        <v>143625.80965358453</v>
      </c>
      <c r="CW219" s="266">
        <f t="shared" ca="1" si="163"/>
        <v>139273.51239135471</v>
      </c>
      <c r="CX219" s="266">
        <f t="shared" ca="1" si="164"/>
        <v>130568.91786689503</v>
      </c>
    </row>
    <row r="220" spans="2:102" s="47" customFormat="1" ht="18" customHeight="1" x14ac:dyDescent="0.25">
      <c r="B220" t="str">
        <f t="shared" si="165"/>
        <v>NSG_Business_C&amp;I_Rebates_Steam Traps_Industrial/Process Audit - 30 ≤ psig &lt; 75_CI/SMB</v>
      </c>
      <c r="C220" s="47" t="str">
        <f t="shared" si="126"/>
        <v>Steam Traps_Industrial/Process Audit - 30 ≤ psig &lt; 75_CI/SMB</v>
      </c>
      <c r="D220" s="270" t="s">
        <v>1787</v>
      </c>
      <c r="E220" s="270" t="s">
        <v>3</v>
      </c>
      <c r="F220" s="270" t="s">
        <v>1427</v>
      </c>
      <c r="G220" s="270" t="s">
        <v>1429</v>
      </c>
      <c r="H220" s="270" t="s">
        <v>644</v>
      </c>
      <c r="I220" s="270" t="s">
        <v>1385</v>
      </c>
      <c r="J220" s="270" t="s">
        <v>970</v>
      </c>
      <c r="K220" s="263">
        <v>1</v>
      </c>
      <c r="L220" s="263" t="str">
        <f ca="1">IFERROR(INDEX(Algorithms!J:J,MATCH($C220&amp;"_Therm Saved per Unit",Algorithms!$A:$A,0)),"n/a")</f>
        <v>4.4.16</v>
      </c>
      <c r="M220" s="263" t="str">
        <f>IFERROR(INDEX('Measure Level Detail'!$N:$N,MATCH($B220,'Measure Level Detail'!$B:$B,0)),0)</f>
        <v>each</v>
      </c>
      <c r="N220" s="271">
        <f>IFERROR(INDEX('Measure Level Detail'!$P:$P,MATCH($B220&amp;"_"&amp;N$3,'Measure Level Detail'!$C:$C,0)),0)</f>
        <v>34</v>
      </c>
      <c r="O220" s="271">
        <f>IFERROR(INDEX('Measure Level Detail'!$P:$P,MATCH($B220&amp;"_"&amp;O$3,'Measure Level Detail'!$C:$C,0)),0)</f>
        <v>32</v>
      </c>
      <c r="P220" s="271">
        <f>IFERROR(INDEX('Measure Level Detail'!$P:$P,MATCH($B220&amp;"_"&amp;P$3,'Measure Level Detail'!$C:$C,0)),0)</f>
        <v>28</v>
      </c>
      <c r="Q220" s="271">
        <f>IFERROR(INDEX('Measure Level Detail'!$P:$P,MATCH($B220&amp;"_"&amp;Q$3,'Measure Level Detail'!$C:$C,0)),0)</f>
        <v>27.200000000000003</v>
      </c>
      <c r="R220" s="263" t="str">
        <f ca="1">IFERROR(INDEX(Algorithms!K:K,MATCH($C220&amp;"_Therm Saved per Unit",Algorithms!$A:$A,0)),"n/a")</f>
        <v>CI-HVC-STRE-V10-240101</v>
      </c>
      <c r="S220" s="262"/>
      <c r="T220" s="272">
        <v>2777.6636840634392</v>
      </c>
      <c r="U220" s="272">
        <v>2777.6636840634392</v>
      </c>
      <c r="V220" s="272">
        <v>2777.6636840634392</v>
      </c>
      <c r="W220" s="272">
        <v>2777.6636840634392</v>
      </c>
      <c r="X220" s="273">
        <f>IFERROR(INDEX('Measure Level Detail'!$R:$R,MATCH($B220&amp;"_"&amp;X$3,'Measure Level Detail'!$C:$C,0)),0)</f>
        <v>0.91</v>
      </c>
      <c r="Y220" s="273">
        <f>IFERROR(INDEX('Measure Level Detail'!$R:$R,MATCH($B220&amp;"_"&amp;Y$3,'Measure Level Detail'!$C:$C,0)),0)</f>
        <v>0.91</v>
      </c>
      <c r="Z220" s="273">
        <f>IFERROR(INDEX('Measure Level Detail'!$R:$R,MATCH($B220&amp;"_"&amp;Z$3,'Measure Level Detail'!$C:$C,0)),0)</f>
        <v>0.91</v>
      </c>
      <c r="AA220" s="273">
        <f>IFERROR(INDEX('Measure Level Detail'!$R:$R,MATCH($B220&amp;"_"&amp;AA$3,'Measure Level Detail'!$C:$C,0)),0)</f>
        <v>0.91</v>
      </c>
      <c r="AB220" s="266">
        <f t="shared" si="127"/>
        <v>85940.914384922813</v>
      </c>
      <c r="AC220" s="266">
        <f t="shared" si="128"/>
        <v>80885.566479927351</v>
      </c>
      <c r="AD220" s="266">
        <f t="shared" si="129"/>
        <v>70774.870669936441</v>
      </c>
      <c r="AE220" s="266">
        <f t="shared" si="130"/>
        <v>68752.731507938268</v>
      </c>
      <c r="AF220" s="266">
        <f t="shared" si="131"/>
        <v>306354.08304272487</v>
      </c>
      <c r="AG220" s="274">
        <v>0.91</v>
      </c>
      <c r="AH220" s="274">
        <v>0.91</v>
      </c>
      <c r="AI220" s="274">
        <v>0.91</v>
      </c>
      <c r="AJ220" s="274">
        <v>0.91</v>
      </c>
      <c r="AK220" s="274">
        <f t="shared" si="132"/>
        <v>0.91</v>
      </c>
      <c r="AL220" s="274">
        <f t="shared" si="133"/>
        <v>0.91</v>
      </c>
      <c r="AM220" s="274">
        <f t="shared" si="134"/>
        <v>0.91</v>
      </c>
      <c r="AN220" s="274">
        <f t="shared" si="135"/>
        <v>0.91</v>
      </c>
      <c r="AO220" s="262"/>
      <c r="AP220" s="262"/>
      <c r="AQ220" s="267">
        <v>2777.6636840634392</v>
      </c>
      <c r="AR220" s="262"/>
      <c r="AS220" s="266">
        <f t="shared" si="136"/>
        <v>85940.914384922813</v>
      </c>
      <c r="AT220" s="264">
        <f t="shared" si="137"/>
        <v>0</v>
      </c>
      <c r="AU220" s="262"/>
      <c r="AV220" s="262"/>
      <c r="AW220" s="265">
        <v>2777.6636840634392</v>
      </c>
      <c r="AX220" s="164" t="s">
        <v>2397</v>
      </c>
      <c r="AY220" s="266">
        <v>80885.566479927351</v>
      </c>
      <c r="AZ220" s="266">
        <f t="shared" si="138"/>
        <v>80885.566479927351</v>
      </c>
      <c r="BA220" s="264">
        <f t="shared" si="139"/>
        <v>0</v>
      </c>
      <c r="BB220" s="262"/>
      <c r="BC220" s="262"/>
      <c r="BD220" s="265">
        <f ca="1">IFERROR(INDEX(Algorithms!$G:$G,MATCH($C220&amp;"_Therm Saved per Unit",Algorithms!$A:$A,0)),0)</f>
        <v>2777.6636840634392</v>
      </c>
      <c r="BE220" s="164" t="str">
        <f ca="1">IFERROR(INDEX('v12 Revisions'!$P$29:$P$186, MATCH('Measure-Level Adj Gas'!$L220, 'v12 Revisions'!$D$29:$D$186,0)),"")</f>
        <v>n/a - costs only.</v>
      </c>
      <c r="BF220" s="266">
        <f t="shared" ca="1" si="140"/>
        <v>70774.870669936441</v>
      </c>
      <c r="BG220" s="264">
        <f t="shared" ca="1" si="141"/>
        <v>0</v>
      </c>
      <c r="BH220" s="262"/>
      <c r="BI220" s="262"/>
      <c r="BJ220" s="265">
        <f ca="1">IFERROR(INDEX(Algorithms!$G:$G,MATCH($C220&amp;"_Therm Saved per Unit",Algorithms!$A:$A,0)),0)</f>
        <v>2777.6636840634392</v>
      </c>
      <c r="BK220" s="164"/>
      <c r="BL220" s="266">
        <f t="shared" ca="1" si="142"/>
        <v>68752.731507938268</v>
      </c>
      <c r="BM220" s="264">
        <f t="shared" ca="1" si="143"/>
        <v>0</v>
      </c>
      <c r="BN220" s="266">
        <f t="shared" si="144"/>
        <v>85940.914384922813</v>
      </c>
      <c r="BO220" s="266">
        <f t="shared" si="145"/>
        <v>80885.566479927351</v>
      </c>
      <c r="BP220" s="266">
        <f t="shared" ca="1" si="146"/>
        <v>70774.870669936441</v>
      </c>
      <c r="BQ220" s="266">
        <f t="shared" ca="1" si="147"/>
        <v>68752.731507938268</v>
      </c>
      <c r="BR220" s="268">
        <f t="shared" ca="1" si="148"/>
        <v>306354.08304272487</v>
      </c>
      <c r="BS220" s="262" t="s">
        <v>99</v>
      </c>
      <c r="BT220" s="277"/>
      <c r="BW220" s="266">
        <f t="shared" si="149"/>
        <v>85940.914384922813</v>
      </c>
      <c r="BX220" s="266">
        <f t="shared" si="150"/>
        <v>80885.566479927351</v>
      </c>
      <c r="BY220" s="266">
        <f t="shared" si="151"/>
        <v>70774.870669936441</v>
      </c>
      <c r="BZ220" s="266">
        <f t="shared" si="152"/>
        <v>68752.731507938268</v>
      </c>
      <c r="CA220" s="266">
        <f ca="1">N220*IFERROR(INDEX(Algorithms!$G:$G,MATCH($C220&amp;"_Therm Saved per Unit- MLA",Algorithms!$A:$A,0)),0)*X220</f>
        <v>0</v>
      </c>
      <c r="CB220" s="266">
        <f ca="1">O220*IFERROR(INDEX(Algorithms!$G:$G,MATCH($C220&amp;"_Therm Saved per Unit- MLA",Algorithms!$A:$A,0)),0)*Y220</f>
        <v>0</v>
      </c>
      <c r="CC220" s="266">
        <f ca="1">P220*IFERROR(INDEX(Algorithms!$G:$G,MATCH($C220&amp;"_Therm Saved per Unit- MLA",Algorithms!$A:$A,0)),0)*Z220</f>
        <v>0</v>
      </c>
      <c r="CD220" s="266">
        <f ca="1">Q220*IFERROR(INDEX(Algorithms!$G:$G,MATCH($C220&amp;"_Therm Saved per Unit- MLA",Algorithms!$A:$A,0)),0)*AA220</f>
        <v>0</v>
      </c>
      <c r="CE220" s="266">
        <f ca="1">IFERROR(INDEX(Algorithms!$G:$G,MATCH($C220&amp;"_Lifetime (years)",Algorithms!$A:$A,0)),0)</f>
        <v>6</v>
      </c>
      <c r="CF220" s="266">
        <f ca="1">IFERROR(INDEX(Algorithms!$G:$G,MATCH($C220&amp;"_Lifetime (years) - Remaining Years",Algorithms!$A:$A,0)),0)</f>
        <v>0</v>
      </c>
      <c r="CG220" s="266">
        <f t="shared" ca="1" si="153"/>
        <v>515645.48630953685</v>
      </c>
      <c r="CH220" s="266">
        <f t="shared" ca="1" si="154"/>
        <v>485313.39887956413</v>
      </c>
      <c r="CI220" s="266">
        <f t="shared" ca="1" si="155"/>
        <v>424649.22401961865</v>
      </c>
      <c r="CJ220" s="266">
        <f t="shared" ca="1" si="156"/>
        <v>412516.38904762961</v>
      </c>
      <c r="CK220" s="266">
        <f t="shared" si="157"/>
        <v>85940.914384922813</v>
      </c>
      <c r="CL220" s="266">
        <f t="shared" si="158"/>
        <v>80885.566479927351</v>
      </c>
      <c r="CM220" s="266">
        <f t="shared" ca="1" si="159"/>
        <v>70774.870669936441</v>
      </c>
      <c r="CN220" s="266">
        <f t="shared" ca="1" si="160"/>
        <v>68752.731507938268</v>
      </c>
      <c r="CO220" s="266">
        <f ca="1">N220*IFERROR(INDEX(Algorithms!$G:$G,MATCH($C220&amp;"_Therm Saved per Unit- MLA",Algorithms!$A:$A,0)),0)*X220</f>
        <v>0</v>
      </c>
      <c r="CP220" s="266">
        <f ca="1">O220*IFERROR(INDEX(Algorithms!$G:$G,MATCH($C220&amp;"_Therm Saved per Unit- MLA",Algorithms!$A:$A,0)),0)*Y220</f>
        <v>0</v>
      </c>
      <c r="CQ220" s="266">
        <f ca="1">P220*IFERROR(INDEX(Algorithms!$G:$G,MATCH($C220&amp;"_Therm Saved per Unit- MLA",Algorithms!$A:$A,0)),0)*Z220</f>
        <v>0</v>
      </c>
      <c r="CR220" s="266">
        <f ca="1">Q220*IFERROR(INDEX(Algorithms!$G:$G,MATCH($C220&amp;"_Therm Saved per Unit- MLA",Algorithms!$A:$A,0)),0)*AA220</f>
        <v>0</v>
      </c>
      <c r="CS220" s="266">
        <f ca="1">IFERROR(INDEX(Algorithms!$G:$G,MATCH($C220&amp;"_Lifetime (years)",Algorithms!$A:$A,0)),0)</f>
        <v>6</v>
      </c>
      <c r="CT220" s="266">
        <f ca="1">IFERROR(INDEX(Algorithms!$G:$G,MATCH($C220&amp;"_Lifetime (years) - Remaining Years",Algorithms!$A:$A,0)),0)</f>
        <v>0</v>
      </c>
      <c r="CU220" s="266">
        <f t="shared" ca="1" si="161"/>
        <v>515645.48630953685</v>
      </c>
      <c r="CV220" s="266">
        <f t="shared" ca="1" si="162"/>
        <v>485313.39887956413</v>
      </c>
      <c r="CW220" s="266">
        <f t="shared" ca="1" si="163"/>
        <v>424649.22401961865</v>
      </c>
      <c r="CX220" s="266">
        <f t="shared" ca="1" si="164"/>
        <v>412516.38904762961</v>
      </c>
    </row>
    <row r="221" spans="2:102" s="47" customFormat="1" ht="18" customHeight="1" x14ac:dyDescent="0.25">
      <c r="B221" t="str">
        <f t="shared" si="165"/>
        <v>NSG_Income Eligible_Multi-Family_Whole Building - Public Housing_Weatherstripping_0_IE MF</v>
      </c>
      <c r="C221" s="47" t="str">
        <f t="shared" si="126"/>
        <v>Weatherstripping_0_IE MF</v>
      </c>
      <c r="D221" s="270" t="s">
        <v>1787</v>
      </c>
      <c r="E221" s="270" t="s">
        <v>325</v>
      </c>
      <c r="F221" s="270" t="s">
        <v>1422</v>
      </c>
      <c r="G221" s="270" t="s">
        <v>1817</v>
      </c>
      <c r="H221" s="270" t="s">
        <v>576</v>
      </c>
      <c r="I221" s="270">
        <v>0</v>
      </c>
      <c r="J221" s="270" t="s">
        <v>1398</v>
      </c>
      <c r="K221" s="263">
        <v>1</v>
      </c>
      <c r="L221" s="263" t="str">
        <f ca="1">IFERROR(INDEX(Algorithms!J:J,MATCH($C221&amp;"_Therm Saved per Unit",Algorithms!$A:$A,0)),"n/a")</f>
        <v>5.6.1</v>
      </c>
      <c r="M221" s="263" t="str">
        <f>IFERROR(INDEX('Measure Level Detail'!$N:$N,MATCH($B221,'Measure Level Detail'!$B:$B,0)),0)</f>
        <v>linear ft</v>
      </c>
      <c r="N221" s="271">
        <f>IFERROR(INDEX('Measure Level Detail'!$P:$P,MATCH($B221&amp;"_"&amp;N$3,'Measure Level Detail'!$C:$C,0)),0)</f>
        <v>34</v>
      </c>
      <c r="O221" s="271">
        <f>IFERROR(INDEX('Measure Level Detail'!$P:$P,MATCH($B221&amp;"_"&amp;O$3,'Measure Level Detail'!$C:$C,0)),0)</f>
        <v>34</v>
      </c>
      <c r="P221" s="271">
        <f>IFERROR(INDEX('Measure Level Detail'!$P:$P,MATCH($B221&amp;"_"&amp;P$3,'Measure Level Detail'!$C:$C,0)),0)</f>
        <v>34</v>
      </c>
      <c r="Q221" s="271">
        <f>IFERROR(INDEX('Measure Level Detail'!$P:$P,MATCH($B221&amp;"_"&amp;Q$3,'Measure Level Detail'!$C:$C,0)),0)</f>
        <v>34</v>
      </c>
      <c r="R221" s="263" t="str">
        <f ca="1">IFERROR(INDEX(Algorithms!K:K,MATCH($C221&amp;"_Therm Saved per Unit",Algorithms!$A:$A,0)),"n/a")</f>
        <v>RS-SHL-AIRS-V13-240101</v>
      </c>
      <c r="S221" s="262"/>
      <c r="T221" s="272">
        <v>0.48799999999999999</v>
      </c>
      <c r="U221" s="272">
        <v>0.48799999999999999</v>
      </c>
      <c r="V221" s="272">
        <v>0.48799999999999999</v>
      </c>
      <c r="W221" s="272">
        <v>0.48799999999999999</v>
      </c>
      <c r="X221" s="273">
        <f>IFERROR(INDEX('Measure Level Detail'!$R:$R,MATCH($B221&amp;"_"&amp;X$3,'Measure Level Detail'!$C:$C,0)),0)</f>
        <v>1</v>
      </c>
      <c r="Y221" s="273">
        <f>IFERROR(INDEX('Measure Level Detail'!$R:$R,MATCH($B221&amp;"_"&amp;Y$3,'Measure Level Detail'!$C:$C,0)),0)</f>
        <v>1</v>
      </c>
      <c r="Z221" s="273">
        <f>IFERROR(INDEX('Measure Level Detail'!$R:$R,MATCH($B221&amp;"_"&amp;Z$3,'Measure Level Detail'!$C:$C,0)),0)</f>
        <v>1</v>
      </c>
      <c r="AA221" s="273">
        <f>IFERROR(INDEX('Measure Level Detail'!$R:$R,MATCH($B221&amp;"_"&amp;AA$3,'Measure Level Detail'!$C:$C,0)),0)</f>
        <v>1</v>
      </c>
      <c r="AB221" s="266">
        <f t="shared" si="127"/>
        <v>16.591999999999999</v>
      </c>
      <c r="AC221" s="266">
        <f t="shared" si="128"/>
        <v>16.591999999999999</v>
      </c>
      <c r="AD221" s="266">
        <f t="shared" si="129"/>
        <v>16.591999999999999</v>
      </c>
      <c r="AE221" s="266">
        <f t="shared" si="130"/>
        <v>16.591999999999999</v>
      </c>
      <c r="AF221" s="266">
        <f t="shared" si="131"/>
        <v>66.367999999999995</v>
      </c>
      <c r="AG221" s="274">
        <v>1</v>
      </c>
      <c r="AH221" s="274">
        <v>1</v>
      </c>
      <c r="AI221" s="274">
        <v>1</v>
      </c>
      <c r="AJ221" s="274">
        <v>1</v>
      </c>
      <c r="AK221" s="274">
        <f t="shared" si="132"/>
        <v>1</v>
      </c>
      <c r="AL221" s="274">
        <f t="shared" si="133"/>
        <v>1</v>
      </c>
      <c r="AM221" s="274">
        <f t="shared" si="134"/>
        <v>1</v>
      </c>
      <c r="AN221" s="274">
        <f t="shared" si="135"/>
        <v>1</v>
      </c>
      <c r="AO221" s="262"/>
      <c r="AP221" s="262"/>
      <c r="AQ221" s="267">
        <v>0.48799999999999999</v>
      </c>
      <c r="AR221" s="262"/>
      <c r="AS221" s="266">
        <f t="shared" si="136"/>
        <v>16.591999999999999</v>
      </c>
      <c r="AT221" s="264">
        <f t="shared" si="137"/>
        <v>0</v>
      </c>
      <c r="AU221" s="262"/>
      <c r="AV221" s="262"/>
      <c r="AW221" s="265">
        <v>0.48799999999999999</v>
      </c>
      <c r="AX221" s="164" t="s">
        <v>2395</v>
      </c>
      <c r="AY221" s="266">
        <v>16.591999999999999</v>
      </c>
      <c r="AZ221" s="266">
        <f t="shared" si="138"/>
        <v>16.591999999999999</v>
      </c>
      <c r="BA221" s="264">
        <f t="shared" si="139"/>
        <v>0</v>
      </c>
      <c r="BB221" s="262"/>
      <c r="BC221" s="262"/>
      <c r="BD221" s="265">
        <f ca="1">IFERROR(INDEX(Algorithms!$G:$G,MATCH($C221&amp;"_Therm Saved per Unit",Algorithms!$A:$A,0)),0)</f>
        <v>0.48799999999999999</v>
      </c>
      <c r="BE221" s="164" t="str">
        <f ca="1">IFERROR(INDEX('v12 Revisions'!$P$29:$P$186, MATCH('Measure-Level Adj Gas'!$L221, 'v12 Revisions'!$D$29:$D$186,0)),"")</f>
        <v>Updated HDD from 5113 to 4798 and shell adjustment factor from 0.72 to 0.76.</v>
      </c>
      <c r="BF221" s="266">
        <f t="shared" ca="1" si="140"/>
        <v>16.591999999999999</v>
      </c>
      <c r="BG221" s="264">
        <f t="shared" ca="1" si="141"/>
        <v>0</v>
      </c>
      <c r="BH221" s="262"/>
      <c r="BI221" s="262"/>
      <c r="BJ221" s="265">
        <f ca="1">IFERROR(INDEX(Algorithms!$G:$G,MATCH($C221&amp;"_Therm Saved per Unit",Algorithms!$A:$A,0)),0)</f>
        <v>0.48799999999999999</v>
      </c>
      <c r="BK221" s="164"/>
      <c r="BL221" s="266">
        <f t="shared" ca="1" si="142"/>
        <v>16.591999999999999</v>
      </c>
      <c r="BM221" s="264">
        <f t="shared" ca="1" si="143"/>
        <v>0</v>
      </c>
      <c r="BN221" s="266">
        <f t="shared" si="144"/>
        <v>16.591999999999999</v>
      </c>
      <c r="BO221" s="266">
        <f t="shared" si="145"/>
        <v>16.591999999999999</v>
      </c>
      <c r="BP221" s="266">
        <f t="shared" ca="1" si="146"/>
        <v>16.591999999999999</v>
      </c>
      <c r="BQ221" s="266">
        <f t="shared" ca="1" si="147"/>
        <v>16.591999999999999</v>
      </c>
      <c r="BR221" s="268">
        <f t="shared" ca="1" si="148"/>
        <v>66.367999999999995</v>
      </c>
      <c r="BS221" s="262" t="s">
        <v>99</v>
      </c>
      <c r="BT221" s="277"/>
      <c r="BW221" s="266">
        <f t="shared" si="149"/>
        <v>16.591999999999999</v>
      </c>
      <c r="BX221" s="266">
        <f t="shared" si="150"/>
        <v>16.591999999999999</v>
      </c>
      <c r="BY221" s="266">
        <f t="shared" si="151"/>
        <v>16.591999999999999</v>
      </c>
      <c r="BZ221" s="266">
        <f t="shared" si="152"/>
        <v>16.591999999999999</v>
      </c>
      <c r="CA221" s="266">
        <f ca="1">N221*IFERROR(INDEX(Algorithms!$G:$G,MATCH($C221&amp;"_Therm Saved per Unit- MLA",Algorithms!$A:$A,0)),0)*X221</f>
        <v>0</v>
      </c>
      <c r="CB221" s="266">
        <f ca="1">O221*IFERROR(INDEX(Algorithms!$G:$G,MATCH($C221&amp;"_Therm Saved per Unit- MLA",Algorithms!$A:$A,0)),0)*Y221</f>
        <v>0</v>
      </c>
      <c r="CC221" s="266">
        <f ca="1">P221*IFERROR(INDEX(Algorithms!$G:$G,MATCH($C221&amp;"_Therm Saved per Unit- MLA",Algorithms!$A:$A,0)),0)*Z221</f>
        <v>0</v>
      </c>
      <c r="CD221" s="266">
        <f ca="1">Q221*IFERROR(INDEX(Algorithms!$G:$G,MATCH($C221&amp;"_Therm Saved per Unit- MLA",Algorithms!$A:$A,0)),0)*AA221</f>
        <v>0</v>
      </c>
      <c r="CE221" s="266">
        <f ca="1">IFERROR(INDEX(Algorithms!$G:$G,MATCH($C221&amp;"_Lifetime (years)",Algorithms!$A:$A,0)),0)</f>
        <v>10</v>
      </c>
      <c r="CF221" s="266">
        <f ca="1">IFERROR(INDEX(Algorithms!$G:$G,MATCH($C221&amp;"_Lifetime (years) - Remaining Years",Algorithms!$A:$A,0)),0)</f>
        <v>0</v>
      </c>
      <c r="CG221" s="266">
        <f t="shared" ca="1" si="153"/>
        <v>165.92</v>
      </c>
      <c r="CH221" s="266">
        <f t="shared" ca="1" si="154"/>
        <v>165.92</v>
      </c>
      <c r="CI221" s="266">
        <f t="shared" ca="1" si="155"/>
        <v>165.92</v>
      </c>
      <c r="CJ221" s="266">
        <f t="shared" ca="1" si="156"/>
        <v>165.92</v>
      </c>
      <c r="CK221" s="266">
        <f t="shared" si="157"/>
        <v>16.591999999999999</v>
      </c>
      <c r="CL221" s="266">
        <f t="shared" si="158"/>
        <v>16.591999999999999</v>
      </c>
      <c r="CM221" s="266">
        <f t="shared" ca="1" si="159"/>
        <v>16.591999999999999</v>
      </c>
      <c r="CN221" s="266">
        <f t="shared" ca="1" si="160"/>
        <v>16.591999999999999</v>
      </c>
      <c r="CO221" s="266">
        <f ca="1">N221*IFERROR(INDEX(Algorithms!$G:$G,MATCH($C221&amp;"_Therm Saved per Unit- MLA",Algorithms!$A:$A,0)),0)*X221</f>
        <v>0</v>
      </c>
      <c r="CP221" s="266">
        <f ca="1">O221*IFERROR(INDEX(Algorithms!$G:$G,MATCH($C221&amp;"_Therm Saved per Unit- MLA",Algorithms!$A:$A,0)),0)*Y221</f>
        <v>0</v>
      </c>
      <c r="CQ221" s="266">
        <f ca="1">P221*IFERROR(INDEX(Algorithms!$G:$G,MATCH($C221&amp;"_Therm Saved per Unit- MLA",Algorithms!$A:$A,0)),0)*Z221</f>
        <v>0</v>
      </c>
      <c r="CR221" s="266">
        <f ca="1">Q221*IFERROR(INDEX(Algorithms!$G:$G,MATCH($C221&amp;"_Therm Saved per Unit- MLA",Algorithms!$A:$A,0)),0)*AA221</f>
        <v>0</v>
      </c>
      <c r="CS221" s="266">
        <f ca="1">IFERROR(INDEX(Algorithms!$G:$G,MATCH($C221&amp;"_Lifetime (years)",Algorithms!$A:$A,0)),0)</f>
        <v>10</v>
      </c>
      <c r="CT221" s="266">
        <f ca="1">IFERROR(INDEX(Algorithms!$G:$G,MATCH($C221&amp;"_Lifetime (years) - Remaining Years",Algorithms!$A:$A,0)),0)</f>
        <v>0</v>
      </c>
      <c r="CU221" s="266">
        <f t="shared" ca="1" si="161"/>
        <v>165.92</v>
      </c>
      <c r="CV221" s="266">
        <f t="shared" ca="1" si="162"/>
        <v>165.92</v>
      </c>
      <c r="CW221" s="266">
        <f t="shared" ca="1" si="163"/>
        <v>165.92</v>
      </c>
      <c r="CX221" s="266">
        <f t="shared" ca="1" si="164"/>
        <v>165.92</v>
      </c>
    </row>
    <row r="222" spans="2:102" s="47" customFormat="1" ht="18" customHeight="1" x14ac:dyDescent="0.25">
      <c r="B222" t="str">
        <f t="shared" si="165"/>
        <v>NSG_Income Eligible_Multi-Family_Whole Building - DI_Unit Visit_0_MF</v>
      </c>
      <c r="C222" s="47" t="str">
        <f t="shared" si="126"/>
        <v>Unit Visit_0_MF</v>
      </c>
      <c r="D222" s="270" t="s">
        <v>1787</v>
      </c>
      <c r="E222" s="270" t="s">
        <v>325</v>
      </c>
      <c r="F222" s="270" t="s">
        <v>1422</v>
      </c>
      <c r="G222" s="270" t="s">
        <v>1812</v>
      </c>
      <c r="H222" s="270" t="s">
        <v>1090</v>
      </c>
      <c r="I222" s="270">
        <v>0</v>
      </c>
      <c r="J222" s="270" t="s">
        <v>553</v>
      </c>
      <c r="K222" s="263">
        <v>1</v>
      </c>
      <c r="L222" s="263">
        <f ca="1">IFERROR(INDEX(Algorithms!J:J,MATCH($C222&amp;"_Therm Saved per Unit",Algorithms!$A:$A,0)),"n/a")</f>
        <v>0</v>
      </c>
      <c r="M222" s="263" t="str">
        <f>IFERROR(INDEX('Measure Level Detail'!$N:$N,MATCH($B222,'Measure Level Detail'!$B:$B,0)),0)</f>
        <v>each</v>
      </c>
      <c r="N222" s="271">
        <f>IFERROR(INDEX('Measure Level Detail'!$P:$P,MATCH($B222&amp;"_"&amp;N$3,'Measure Level Detail'!$C:$C,0)),0)</f>
        <v>30</v>
      </c>
      <c r="O222" s="271">
        <f>IFERROR(INDEX('Measure Level Detail'!$P:$P,MATCH($B222&amp;"_"&amp;O$3,'Measure Level Detail'!$C:$C,0)),0)</f>
        <v>30</v>
      </c>
      <c r="P222" s="271">
        <f>IFERROR(INDEX('Measure Level Detail'!$P:$P,MATCH($B222&amp;"_"&amp;P$3,'Measure Level Detail'!$C:$C,0)),0)</f>
        <v>30</v>
      </c>
      <c r="Q222" s="271">
        <f>IFERROR(INDEX('Measure Level Detail'!$P:$P,MATCH($B222&amp;"_"&amp;Q$3,'Measure Level Detail'!$C:$C,0)),0)</f>
        <v>30</v>
      </c>
      <c r="R222" s="263">
        <f ca="1">IFERROR(INDEX(Algorithms!K:K,MATCH($C222&amp;"_Therm Saved per Unit",Algorithms!$A:$A,0)),"n/a")</f>
        <v>0</v>
      </c>
      <c r="S222" s="262"/>
      <c r="T222" s="272">
        <v>0</v>
      </c>
      <c r="U222" s="272">
        <v>0</v>
      </c>
      <c r="V222" s="272">
        <v>0</v>
      </c>
      <c r="W222" s="272">
        <v>0</v>
      </c>
      <c r="X222" s="273">
        <f>IFERROR(INDEX('Measure Level Detail'!$R:$R,MATCH($B222&amp;"_"&amp;X$3,'Measure Level Detail'!$C:$C,0)),0)</f>
        <v>1</v>
      </c>
      <c r="Y222" s="273">
        <f>IFERROR(INDEX('Measure Level Detail'!$R:$R,MATCH($B222&amp;"_"&amp;Y$3,'Measure Level Detail'!$C:$C,0)),0)</f>
        <v>1</v>
      </c>
      <c r="Z222" s="273">
        <f>IFERROR(INDEX('Measure Level Detail'!$R:$R,MATCH($B222&amp;"_"&amp;Z$3,'Measure Level Detail'!$C:$C,0)),0)</f>
        <v>1</v>
      </c>
      <c r="AA222" s="273">
        <f>IFERROR(INDEX('Measure Level Detail'!$R:$R,MATCH($B222&amp;"_"&amp;AA$3,'Measure Level Detail'!$C:$C,0)),0)</f>
        <v>1</v>
      </c>
      <c r="AB222" s="266">
        <f t="shared" si="127"/>
        <v>0</v>
      </c>
      <c r="AC222" s="266">
        <f t="shared" si="128"/>
        <v>0</v>
      </c>
      <c r="AD222" s="266">
        <f t="shared" si="129"/>
        <v>0</v>
      </c>
      <c r="AE222" s="266">
        <f t="shared" si="130"/>
        <v>0</v>
      </c>
      <c r="AF222" s="266">
        <f t="shared" si="131"/>
        <v>0</v>
      </c>
      <c r="AG222" s="274">
        <v>1</v>
      </c>
      <c r="AH222" s="274">
        <v>1</v>
      </c>
      <c r="AI222" s="274">
        <v>1</v>
      </c>
      <c r="AJ222" s="274">
        <v>1</v>
      </c>
      <c r="AK222" s="274">
        <f t="shared" si="132"/>
        <v>1</v>
      </c>
      <c r="AL222" s="274">
        <f t="shared" si="133"/>
        <v>1</v>
      </c>
      <c r="AM222" s="274">
        <f t="shared" si="134"/>
        <v>1</v>
      </c>
      <c r="AN222" s="274">
        <f t="shared" si="135"/>
        <v>1</v>
      </c>
      <c r="AO222" s="262"/>
      <c r="AP222" s="262"/>
      <c r="AQ222" s="267">
        <v>0</v>
      </c>
      <c r="AR222" s="262"/>
      <c r="AS222" s="266">
        <f t="shared" si="136"/>
        <v>0</v>
      </c>
      <c r="AT222" s="264">
        <f t="shared" si="137"/>
        <v>0</v>
      </c>
      <c r="AU222" s="262"/>
      <c r="AV222" s="262"/>
      <c r="AW222" s="265">
        <v>0</v>
      </c>
      <c r="AX222" s="164" t="s">
        <v>1469</v>
      </c>
      <c r="AY222" s="266">
        <v>0</v>
      </c>
      <c r="AZ222" s="266">
        <f t="shared" si="138"/>
        <v>0</v>
      </c>
      <c r="BA222" s="264">
        <f t="shared" si="139"/>
        <v>0</v>
      </c>
      <c r="BB222" s="262"/>
      <c r="BC222" s="262"/>
      <c r="BD222" s="265">
        <f ca="1">IFERROR(INDEX(Algorithms!$G:$G,MATCH($C222&amp;"_Therm Saved per Unit",Algorithms!$A:$A,0)),0)</f>
        <v>0</v>
      </c>
      <c r="BE222" s="164" t="str">
        <f ca="1">IFERROR(INDEX('v12 Revisions'!$P$29:$P$186, MATCH('Measure-Level Adj Gas'!$L222, 'v12 Revisions'!$D$29:$D$186,0)),"")</f>
        <v/>
      </c>
      <c r="BF222" s="266">
        <f t="shared" ca="1" si="140"/>
        <v>0</v>
      </c>
      <c r="BG222" s="264">
        <f t="shared" ca="1" si="141"/>
        <v>0</v>
      </c>
      <c r="BH222" s="262"/>
      <c r="BI222" s="262"/>
      <c r="BJ222" s="265">
        <f ca="1">IFERROR(INDEX(Algorithms!$G:$G,MATCH($C222&amp;"_Therm Saved per Unit",Algorithms!$A:$A,0)),0)</f>
        <v>0</v>
      </c>
      <c r="BK222" s="164"/>
      <c r="BL222" s="266">
        <f t="shared" ca="1" si="142"/>
        <v>0</v>
      </c>
      <c r="BM222" s="264">
        <f t="shared" ca="1" si="143"/>
        <v>0</v>
      </c>
      <c r="BN222" s="266">
        <f t="shared" si="144"/>
        <v>0</v>
      </c>
      <c r="BO222" s="266">
        <f t="shared" si="145"/>
        <v>0</v>
      </c>
      <c r="BP222" s="266">
        <f t="shared" ca="1" si="146"/>
        <v>0</v>
      </c>
      <c r="BQ222" s="266">
        <f t="shared" ca="1" si="147"/>
        <v>0</v>
      </c>
      <c r="BR222" s="268">
        <f t="shared" ca="1" si="148"/>
        <v>0</v>
      </c>
      <c r="BS222" s="262" t="s">
        <v>99</v>
      </c>
      <c r="BT222" s="277"/>
      <c r="BW222" s="266">
        <f t="shared" si="149"/>
        <v>0</v>
      </c>
      <c r="BX222" s="266">
        <f t="shared" si="150"/>
        <v>0</v>
      </c>
      <c r="BY222" s="266">
        <f t="shared" si="151"/>
        <v>0</v>
      </c>
      <c r="BZ222" s="266">
        <f t="shared" si="152"/>
        <v>0</v>
      </c>
      <c r="CA222" s="266">
        <f ca="1">N222*IFERROR(INDEX(Algorithms!$G:$G,MATCH($C222&amp;"_Therm Saved per Unit- MLA",Algorithms!$A:$A,0)),0)*X222</f>
        <v>0</v>
      </c>
      <c r="CB222" s="266">
        <f ca="1">O222*IFERROR(INDEX(Algorithms!$G:$G,MATCH($C222&amp;"_Therm Saved per Unit- MLA",Algorithms!$A:$A,0)),0)*Y222</f>
        <v>0</v>
      </c>
      <c r="CC222" s="266">
        <f ca="1">P222*IFERROR(INDEX(Algorithms!$G:$G,MATCH($C222&amp;"_Therm Saved per Unit- MLA",Algorithms!$A:$A,0)),0)*Z222</f>
        <v>0</v>
      </c>
      <c r="CD222" s="266">
        <f ca="1">Q222*IFERROR(INDEX(Algorithms!$G:$G,MATCH($C222&amp;"_Therm Saved per Unit- MLA",Algorithms!$A:$A,0)),0)*AA222</f>
        <v>0</v>
      </c>
      <c r="CE222" s="266">
        <f ca="1">IFERROR(INDEX(Algorithms!$G:$G,MATCH($C222&amp;"_Lifetime (years)",Algorithms!$A:$A,0)),0)</f>
        <v>1</v>
      </c>
      <c r="CF222" s="266">
        <f ca="1">IFERROR(INDEX(Algorithms!$G:$G,MATCH($C222&amp;"_Lifetime (years) - Remaining Years",Algorithms!$A:$A,0)),0)</f>
        <v>0</v>
      </c>
      <c r="CG222" s="266">
        <f t="shared" ca="1" si="153"/>
        <v>0</v>
      </c>
      <c r="CH222" s="266">
        <f t="shared" ca="1" si="154"/>
        <v>0</v>
      </c>
      <c r="CI222" s="266">
        <f t="shared" ca="1" si="155"/>
        <v>0</v>
      </c>
      <c r="CJ222" s="266">
        <f t="shared" ca="1" si="156"/>
        <v>0</v>
      </c>
      <c r="CK222" s="266">
        <f t="shared" si="157"/>
        <v>0</v>
      </c>
      <c r="CL222" s="266">
        <f t="shared" si="158"/>
        <v>0</v>
      </c>
      <c r="CM222" s="266">
        <f t="shared" ca="1" si="159"/>
        <v>0</v>
      </c>
      <c r="CN222" s="266">
        <f t="shared" ca="1" si="160"/>
        <v>0</v>
      </c>
      <c r="CO222" s="266">
        <f ca="1">N222*IFERROR(INDEX(Algorithms!$G:$G,MATCH($C222&amp;"_Therm Saved per Unit- MLA",Algorithms!$A:$A,0)),0)*X222</f>
        <v>0</v>
      </c>
      <c r="CP222" s="266">
        <f ca="1">O222*IFERROR(INDEX(Algorithms!$G:$G,MATCH($C222&amp;"_Therm Saved per Unit- MLA",Algorithms!$A:$A,0)),0)*Y222</f>
        <v>0</v>
      </c>
      <c r="CQ222" s="266">
        <f ca="1">P222*IFERROR(INDEX(Algorithms!$G:$G,MATCH($C222&amp;"_Therm Saved per Unit- MLA",Algorithms!$A:$A,0)),0)*Z222</f>
        <v>0</v>
      </c>
      <c r="CR222" s="266">
        <f ca="1">Q222*IFERROR(INDEX(Algorithms!$G:$G,MATCH($C222&amp;"_Therm Saved per Unit- MLA",Algorithms!$A:$A,0)),0)*AA222</f>
        <v>0</v>
      </c>
      <c r="CS222" s="266">
        <f ca="1">IFERROR(INDEX(Algorithms!$G:$G,MATCH($C222&amp;"_Lifetime (years)",Algorithms!$A:$A,0)),0)</f>
        <v>1</v>
      </c>
      <c r="CT222" s="266">
        <f ca="1">IFERROR(INDEX(Algorithms!$G:$G,MATCH($C222&amp;"_Lifetime (years) - Remaining Years",Algorithms!$A:$A,0)),0)</f>
        <v>0</v>
      </c>
      <c r="CU222" s="266">
        <f t="shared" ca="1" si="161"/>
        <v>0</v>
      </c>
      <c r="CV222" s="266">
        <f t="shared" ca="1" si="162"/>
        <v>0</v>
      </c>
      <c r="CW222" s="266">
        <f t="shared" ca="1" si="163"/>
        <v>0</v>
      </c>
      <c r="CX222" s="266">
        <f t="shared" ca="1" si="164"/>
        <v>0</v>
      </c>
    </row>
    <row r="223" spans="2:102" s="47" customFormat="1" ht="18" customHeight="1" x14ac:dyDescent="0.25">
      <c r="B223" t="str">
        <f t="shared" si="165"/>
        <v>NSG_Income Eligible_Multi-Family_Whole Building - Public Housing_Unit Visit_0_MF</v>
      </c>
      <c r="C223" s="47" t="str">
        <f t="shared" si="126"/>
        <v>Unit Visit_0_MF</v>
      </c>
      <c r="D223" s="270" t="s">
        <v>1787</v>
      </c>
      <c r="E223" s="270" t="s">
        <v>325</v>
      </c>
      <c r="F223" s="270" t="s">
        <v>1422</v>
      </c>
      <c r="G223" s="270" t="s">
        <v>1817</v>
      </c>
      <c r="H223" s="270" t="s">
        <v>1090</v>
      </c>
      <c r="I223" s="270">
        <v>0</v>
      </c>
      <c r="J223" s="270" t="s">
        <v>553</v>
      </c>
      <c r="K223" s="263">
        <v>1</v>
      </c>
      <c r="L223" s="263">
        <f ca="1">IFERROR(INDEX(Algorithms!J:J,MATCH($C223&amp;"_Therm Saved per Unit",Algorithms!$A:$A,0)),"n/a")</f>
        <v>0</v>
      </c>
      <c r="M223" s="263" t="str">
        <f>IFERROR(INDEX('Measure Level Detail'!$N:$N,MATCH($B223,'Measure Level Detail'!$B:$B,0)),0)</f>
        <v>units</v>
      </c>
      <c r="N223" s="271">
        <f>IFERROR(INDEX('Measure Level Detail'!$P:$P,MATCH($B223&amp;"_"&amp;N$3,'Measure Level Detail'!$C:$C,0)),0)</f>
        <v>30</v>
      </c>
      <c r="O223" s="271">
        <f>IFERROR(INDEX('Measure Level Detail'!$P:$P,MATCH($B223&amp;"_"&amp;O$3,'Measure Level Detail'!$C:$C,0)),0)</f>
        <v>30</v>
      </c>
      <c r="P223" s="271">
        <f>IFERROR(INDEX('Measure Level Detail'!$P:$P,MATCH($B223&amp;"_"&amp;P$3,'Measure Level Detail'!$C:$C,0)),0)</f>
        <v>30</v>
      </c>
      <c r="Q223" s="271">
        <f>IFERROR(INDEX('Measure Level Detail'!$P:$P,MATCH($B223&amp;"_"&amp;Q$3,'Measure Level Detail'!$C:$C,0)),0)</f>
        <v>30</v>
      </c>
      <c r="R223" s="263">
        <f ca="1">IFERROR(INDEX(Algorithms!K:K,MATCH($C223&amp;"_Therm Saved per Unit",Algorithms!$A:$A,0)),"n/a")</f>
        <v>0</v>
      </c>
      <c r="S223" s="262"/>
      <c r="T223" s="272">
        <v>0</v>
      </c>
      <c r="U223" s="272">
        <v>0</v>
      </c>
      <c r="V223" s="272">
        <v>0</v>
      </c>
      <c r="W223" s="272">
        <v>0</v>
      </c>
      <c r="X223" s="273">
        <f>IFERROR(INDEX('Measure Level Detail'!$R:$R,MATCH($B223&amp;"_"&amp;X$3,'Measure Level Detail'!$C:$C,0)),0)</f>
        <v>1</v>
      </c>
      <c r="Y223" s="273">
        <f>IFERROR(INDEX('Measure Level Detail'!$R:$R,MATCH($B223&amp;"_"&amp;Y$3,'Measure Level Detail'!$C:$C,0)),0)</f>
        <v>1</v>
      </c>
      <c r="Z223" s="273">
        <f>IFERROR(INDEX('Measure Level Detail'!$R:$R,MATCH($B223&amp;"_"&amp;Z$3,'Measure Level Detail'!$C:$C,0)),0)</f>
        <v>1</v>
      </c>
      <c r="AA223" s="273">
        <f>IFERROR(INDEX('Measure Level Detail'!$R:$R,MATCH($B223&amp;"_"&amp;AA$3,'Measure Level Detail'!$C:$C,0)),0)</f>
        <v>1</v>
      </c>
      <c r="AB223" s="266">
        <f t="shared" si="127"/>
        <v>0</v>
      </c>
      <c r="AC223" s="266">
        <f t="shared" si="128"/>
        <v>0</v>
      </c>
      <c r="AD223" s="266">
        <f t="shared" si="129"/>
        <v>0</v>
      </c>
      <c r="AE223" s="266">
        <f t="shared" si="130"/>
        <v>0</v>
      </c>
      <c r="AF223" s="266">
        <f t="shared" si="131"/>
        <v>0</v>
      </c>
      <c r="AG223" s="274">
        <v>1</v>
      </c>
      <c r="AH223" s="274">
        <v>1</v>
      </c>
      <c r="AI223" s="274">
        <v>1</v>
      </c>
      <c r="AJ223" s="274">
        <v>1</v>
      </c>
      <c r="AK223" s="274">
        <f t="shared" si="132"/>
        <v>1</v>
      </c>
      <c r="AL223" s="274">
        <f t="shared" si="133"/>
        <v>1</v>
      </c>
      <c r="AM223" s="274">
        <f t="shared" si="134"/>
        <v>1</v>
      </c>
      <c r="AN223" s="274">
        <f t="shared" si="135"/>
        <v>1</v>
      </c>
      <c r="AO223" s="262"/>
      <c r="AP223" s="262"/>
      <c r="AQ223" s="267">
        <v>0</v>
      </c>
      <c r="AR223" s="262"/>
      <c r="AS223" s="266">
        <f t="shared" si="136"/>
        <v>0</v>
      </c>
      <c r="AT223" s="264">
        <f t="shared" si="137"/>
        <v>0</v>
      </c>
      <c r="AU223" s="262"/>
      <c r="AV223" s="262"/>
      <c r="AW223" s="265">
        <v>0</v>
      </c>
      <c r="AX223" s="164" t="s">
        <v>1469</v>
      </c>
      <c r="AY223" s="266">
        <v>0</v>
      </c>
      <c r="AZ223" s="266">
        <f t="shared" si="138"/>
        <v>0</v>
      </c>
      <c r="BA223" s="264">
        <f t="shared" si="139"/>
        <v>0</v>
      </c>
      <c r="BB223" s="262"/>
      <c r="BC223" s="262"/>
      <c r="BD223" s="265">
        <f ca="1">IFERROR(INDEX(Algorithms!$G:$G,MATCH($C223&amp;"_Therm Saved per Unit",Algorithms!$A:$A,0)),0)</f>
        <v>0</v>
      </c>
      <c r="BE223" s="164" t="str">
        <f ca="1">IFERROR(INDEX('v12 Revisions'!$P$29:$P$186, MATCH('Measure-Level Adj Gas'!$L223, 'v12 Revisions'!$D$29:$D$186,0)),"")</f>
        <v/>
      </c>
      <c r="BF223" s="266">
        <f t="shared" ca="1" si="140"/>
        <v>0</v>
      </c>
      <c r="BG223" s="264">
        <f t="shared" ca="1" si="141"/>
        <v>0</v>
      </c>
      <c r="BH223" s="262"/>
      <c r="BI223" s="262"/>
      <c r="BJ223" s="265">
        <f ca="1">IFERROR(INDEX(Algorithms!$G:$G,MATCH($C223&amp;"_Therm Saved per Unit",Algorithms!$A:$A,0)),0)</f>
        <v>0</v>
      </c>
      <c r="BK223" s="164"/>
      <c r="BL223" s="266">
        <f t="shared" ca="1" si="142"/>
        <v>0</v>
      </c>
      <c r="BM223" s="264">
        <f t="shared" ca="1" si="143"/>
        <v>0</v>
      </c>
      <c r="BN223" s="266">
        <f t="shared" si="144"/>
        <v>0</v>
      </c>
      <c r="BO223" s="266">
        <f t="shared" si="145"/>
        <v>0</v>
      </c>
      <c r="BP223" s="266">
        <f t="shared" ca="1" si="146"/>
        <v>0</v>
      </c>
      <c r="BQ223" s="266">
        <f t="shared" ca="1" si="147"/>
        <v>0</v>
      </c>
      <c r="BR223" s="268">
        <f t="shared" ca="1" si="148"/>
        <v>0</v>
      </c>
      <c r="BS223" s="262" t="s">
        <v>99</v>
      </c>
      <c r="BT223" s="277"/>
      <c r="BW223" s="266">
        <f t="shared" si="149"/>
        <v>0</v>
      </c>
      <c r="BX223" s="266">
        <f t="shared" si="150"/>
        <v>0</v>
      </c>
      <c r="BY223" s="266">
        <f t="shared" si="151"/>
        <v>0</v>
      </c>
      <c r="BZ223" s="266">
        <f t="shared" si="152"/>
        <v>0</v>
      </c>
      <c r="CA223" s="266">
        <f ca="1">N223*IFERROR(INDEX(Algorithms!$G:$G,MATCH($C223&amp;"_Therm Saved per Unit- MLA",Algorithms!$A:$A,0)),0)*X223</f>
        <v>0</v>
      </c>
      <c r="CB223" s="266">
        <f ca="1">O223*IFERROR(INDEX(Algorithms!$G:$G,MATCH($C223&amp;"_Therm Saved per Unit- MLA",Algorithms!$A:$A,0)),0)*Y223</f>
        <v>0</v>
      </c>
      <c r="CC223" s="266">
        <f ca="1">P223*IFERROR(INDEX(Algorithms!$G:$G,MATCH($C223&amp;"_Therm Saved per Unit- MLA",Algorithms!$A:$A,0)),0)*Z223</f>
        <v>0</v>
      </c>
      <c r="CD223" s="266">
        <f ca="1">Q223*IFERROR(INDEX(Algorithms!$G:$G,MATCH($C223&amp;"_Therm Saved per Unit- MLA",Algorithms!$A:$A,0)),0)*AA223</f>
        <v>0</v>
      </c>
      <c r="CE223" s="266">
        <f ca="1">IFERROR(INDEX(Algorithms!$G:$G,MATCH($C223&amp;"_Lifetime (years)",Algorithms!$A:$A,0)),0)</f>
        <v>1</v>
      </c>
      <c r="CF223" s="266">
        <f ca="1">IFERROR(INDEX(Algorithms!$G:$G,MATCH($C223&amp;"_Lifetime (years) - Remaining Years",Algorithms!$A:$A,0)),0)</f>
        <v>0</v>
      </c>
      <c r="CG223" s="266">
        <f t="shared" ca="1" si="153"/>
        <v>0</v>
      </c>
      <c r="CH223" s="266">
        <f t="shared" ca="1" si="154"/>
        <v>0</v>
      </c>
      <c r="CI223" s="266">
        <f t="shared" ca="1" si="155"/>
        <v>0</v>
      </c>
      <c r="CJ223" s="266">
        <f t="shared" ca="1" si="156"/>
        <v>0</v>
      </c>
      <c r="CK223" s="266">
        <f t="shared" si="157"/>
        <v>0</v>
      </c>
      <c r="CL223" s="266">
        <f t="shared" si="158"/>
        <v>0</v>
      </c>
      <c r="CM223" s="266">
        <f t="shared" ca="1" si="159"/>
        <v>0</v>
      </c>
      <c r="CN223" s="266">
        <f t="shared" ca="1" si="160"/>
        <v>0</v>
      </c>
      <c r="CO223" s="266">
        <f ca="1">N223*IFERROR(INDEX(Algorithms!$G:$G,MATCH($C223&amp;"_Therm Saved per Unit- MLA",Algorithms!$A:$A,0)),0)*X223</f>
        <v>0</v>
      </c>
      <c r="CP223" s="266">
        <f ca="1">O223*IFERROR(INDEX(Algorithms!$G:$G,MATCH($C223&amp;"_Therm Saved per Unit- MLA",Algorithms!$A:$A,0)),0)*Y223</f>
        <v>0</v>
      </c>
      <c r="CQ223" s="266">
        <f ca="1">P223*IFERROR(INDEX(Algorithms!$G:$G,MATCH($C223&amp;"_Therm Saved per Unit- MLA",Algorithms!$A:$A,0)),0)*Z223</f>
        <v>0</v>
      </c>
      <c r="CR223" s="266">
        <f ca="1">Q223*IFERROR(INDEX(Algorithms!$G:$G,MATCH($C223&amp;"_Therm Saved per Unit- MLA",Algorithms!$A:$A,0)),0)*AA223</f>
        <v>0</v>
      </c>
      <c r="CS223" s="266">
        <f ca="1">IFERROR(INDEX(Algorithms!$G:$G,MATCH($C223&amp;"_Lifetime (years)",Algorithms!$A:$A,0)),0)</f>
        <v>1</v>
      </c>
      <c r="CT223" s="266">
        <f ca="1">IFERROR(INDEX(Algorithms!$G:$G,MATCH($C223&amp;"_Lifetime (years) - Remaining Years",Algorithms!$A:$A,0)),0)</f>
        <v>0</v>
      </c>
      <c r="CU223" s="266">
        <f t="shared" ca="1" si="161"/>
        <v>0</v>
      </c>
      <c r="CV223" s="266">
        <f t="shared" ca="1" si="162"/>
        <v>0</v>
      </c>
      <c r="CW223" s="266">
        <f t="shared" ca="1" si="163"/>
        <v>0</v>
      </c>
      <c r="CX223" s="266">
        <f t="shared" ca="1" si="164"/>
        <v>0</v>
      </c>
    </row>
    <row r="224" spans="2:102" s="47" customFormat="1" ht="18" customHeight="1" x14ac:dyDescent="0.25">
      <c r="B224" t="str">
        <f t="shared" si="165"/>
        <v>NSG_Business_C&amp;I_Rebates_Steam Traps_Industrial/Process Audit - psig ≤ 15_CI/SMB</v>
      </c>
      <c r="C224" s="47" t="str">
        <f t="shared" si="126"/>
        <v>Steam Traps_Industrial/Process Audit - psig ≤ 15_CI/SMB</v>
      </c>
      <c r="D224" s="270" t="s">
        <v>1787</v>
      </c>
      <c r="E224" s="270" t="s">
        <v>3</v>
      </c>
      <c r="F224" s="270" t="s">
        <v>1427</v>
      </c>
      <c r="G224" s="270" t="s">
        <v>1429</v>
      </c>
      <c r="H224" s="270" t="s">
        <v>644</v>
      </c>
      <c r="I224" s="270" t="s">
        <v>1383</v>
      </c>
      <c r="J224" s="270" t="s">
        <v>970</v>
      </c>
      <c r="K224" s="263">
        <v>1</v>
      </c>
      <c r="L224" s="263" t="str">
        <f ca="1">IFERROR(INDEX(Algorithms!J:J,MATCH($C224&amp;"_Therm Saved per Unit",Algorithms!$A:$A,0)),"n/a")</f>
        <v>4.4.16</v>
      </c>
      <c r="M224" s="263" t="str">
        <f>IFERROR(INDEX('Measure Level Detail'!$N:$N,MATCH($B224,'Measure Level Detail'!$B:$B,0)),0)</f>
        <v>each</v>
      </c>
      <c r="N224" s="271">
        <f>IFERROR(INDEX('Measure Level Detail'!$P:$P,MATCH($B224&amp;"_"&amp;N$3,'Measure Level Detail'!$C:$C,0)),0)</f>
        <v>25.5</v>
      </c>
      <c r="O224" s="271">
        <f>IFERROR(INDEX('Measure Level Detail'!$P:$P,MATCH($B224&amp;"_"&amp;O$3,'Measure Level Detail'!$C:$C,0)),0)</f>
        <v>24</v>
      </c>
      <c r="P224" s="271">
        <f>IFERROR(INDEX('Measure Level Detail'!$P:$P,MATCH($B224&amp;"_"&amp;P$3,'Measure Level Detail'!$C:$C,0)),0)</f>
        <v>21</v>
      </c>
      <c r="Q224" s="271">
        <f>IFERROR(INDEX('Measure Level Detail'!$P:$P,MATCH($B224&amp;"_"&amp;Q$3,'Measure Level Detail'!$C:$C,0)),0)</f>
        <v>20.400000000000002</v>
      </c>
      <c r="R224" s="263" t="str">
        <f ca="1">IFERROR(INDEX(Algorithms!K:K,MATCH($C224&amp;"_Therm Saved per Unit",Algorithms!$A:$A,0)),"n/a")</f>
        <v>CI-HVC-STRE-V10-240101</v>
      </c>
      <c r="S224" s="262"/>
      <c r="T224" s="272">
        <v>788.87094440257943</v>
      </c>
      <c r="U224" s="272">
        <v>788.87094440257943</v>
      </c>
      <c r="V224" s="272">
        <v>788.87094440257943</v>
      </c>
      <c r="W224" s="272">
        <v>788.87094440257943</v>
      </c>
      <c r="X224" s="273">
        <f>IFERROR(INDEX('Measure Level Detail'!$R:$R,MATCH($B224&amp;"_"&amp;X$3,'Measure Level Detail'!$C:$C,0)),0)</f>
        <v>0.91</v>
      </c>
      <c r="Y224" s="273">
        <f>IFERROR(INDEX('Measure Level Detail'!$R:$R,MATCH($B224&amp;"_"&amp;Y$3,'Measure Level Detail'!$C:$C,0)),0)</f>
        <v>0.91</v>
      </c>
      <c r="Z224" s="273">
        <f>IFERROR(INDEX('Measure Level Detail'!$R:$R,MATCH($B224&amp;"_"&amp;Z$3,'Measure Level Detail'!$C:$C,0)),0)</f>
        <v>0.91</v>
      </c>
      <c r="AA224" s="273">
        <f>IFERROR(INDEX('Measure Level Detail'!$R:$R,MATCH($B224&amp;"_"&amp;AA$3,'Measure Level Detail'!$C:$C,0)),0)</f>
        <v>0.91</v>
      </c>
      <c r="AB224" s="266">
        <f t="shared" si="127"/>
        <v>18305.750264861854</v>
      </c>
      <c r="AC224" s="266">
        <f t="shared" si="128"/>
        <v>17228.941425752335</v>
      </c>
      <c r="AD224" s="266">
        <f t="shared" si="129"/>
        <v>15075.323747533293</v>
      </c>
      <c r="AE224" s="266">
        <f t="shared" si="130"/>
        <v>14644.600211889487</v>
      </c>
      <c r="AF224" s="266">
        <f t="shared" si="131"/>
        <v>65254.615650036969</v>
      </c>
      <c r="AG224" s="274">
        <v>0.91</v>
      </c>
      <c r="AH224" s="274">
        <v>0.91</v>
      </c>
      <c r="AI224" s="274">
        <v>0.91</v>
      </c>
      <c r="AJ224" s="274">
        <v>0.91</v>
      </c>
      <c r="AK224" s="274">
        <f t="shared" si="132"/>
        <v>0.91</v>
      </c>
      <c r="AL224" s="274">
        <f t="shared" si="133"/>
        <v>0.91</v>
      </c>
      <c r="AM224" s="274">
        <f t="shared" si="134"/>
        <v>0.91</v>
      </c>
      <c r="AN224" s="274">
        <f t="shared" si="135"/>
        <v>0.91</v>
      </c>
      <c r="AO224" s="262"/>
      <c r="AP224" s="262"/>
      <c r="AQ224" s="267">
        <v>788.87094440257943</v>
      </c>
      <c r="AR224" s="262"/>
      <c r="AS224" s="266">
        <f t="shared" si="136"/>
        <v>18305.750264861854</v>
      </c>
      <c r="AT224" s="264">
        <f t="shared" si="137"/>
        <v>0</v>
      </c>
      <c r="AU224" s="262"/>
      <c r="AV224" s="262"/>
      <c r="AW224" s="265">
        <v>1603.3277521921041</v>
      </c>
      <c r="AX224" s="164" t="s">
        <v>2397</v>
      </c>
      <c r="AY224" s="266">
        <v>17228.941425752335</v>
      </c>
      <c r="AZ224" s="266">
        <f t="shared" si="138"/>
        <v>35016.678107875552</v>
      </c>
      <c r="BA224" s="264">
        <f t="shared" si="139"/>
        <v>17787.736682123217</v>
      </c>
      <c r="BB224" s="262"/>
      <c r="BC224" s="262"/>
      <c r="BD224" s="265">
        <f ca="1">IFERROR(INDEX(Algorithms!$G:$G,MATCH($C224&amp;"_Therm Saved per Unit",Algorithms!$A:$A,0)),0)</f>
        <v>1603.3277521921041</v>
      </c>
      <c r="BE224" s="164" t="str">
        <f ca="1">IFERROR(INDEX('v12 Revisions'!$P$29:$P$186, MATCH('Measure-Level Adj Gas'!$L224, 'v12 Revisions'!$D$29:$D$186,0)),"")</f>
        <v>n/a - costs only.</v>
      </c>
      <c r="BF224" s="266">
        <f t="shared" ca="1" si="140"/>
        <v>30639.593344391113</v>
      </c>
      <c r="BG224" s="264">
        <f t="shared" ca="1" si="141"/>
        <v>15564.269596857819</v>
      </c>
      <c r="BH224" s="262"/>
      <c r="BI224" s="262"/>
      <c r="BJ224" s="265">
        <f ca="1">IFERROR(INDEX(Algorithms!$G:$G,MATCH($C224&amp;"_Therm Saved per Unit",Algorithms!$A:$A,0)),0)</f>
        <v>1603.3277521921041</v>
      </c>
      <c r="BK224" s="164"/>
      <c r="BL224" s="266">
        <f t="shared" ca="1" si="142"/>
        <v>29764.176391694225</v>
      </c>
      <c r="BM224" s="264">
        <f t="shared" ca="1" si="143"/>
        <v>15119.576179804739</v>
      </c>
      <c r="BN224" s="266">
        <f t="shared" si="144"/>
        <v>18305.750264861854</v>
      </c>
      <c r="BO224" s="266">
        <f t="shared" si="145"/>
        <v>35016.678107875552</v>
      </c>
      <c r="BP224" s="266">
        <f t="shared" ca="1" si="146"/>
        <v>30639.593344391113</v>
      </c>
      <c r="BQ224" s="266">
        <f t="shared" ca="1" si="147"/>
        <v>29764.176391694225</v>
      </c>
      <c r="BR224" s="268">
        <f t="shared" ca="1" si="148"/>
        <v>113726.19810882275</v>
      </c>
      <c r="BS224" s="262" t="s">
        <v>99</v>
      </c>
      <c r="BT224" s="277"/>
      <c r="BW224" s="266">
        <f t="shared" si="149"/>
        <v>18305.750264861854</v>
      </c>
      <c r="BX224" s="266">
        <f t="shared" si="150"/>
        <v>17228.941425752335</v>
      </c>
      <c r="BY224" s="266">
        <f t="shared" si="151"/>
        <v>15075.323747533293</v>
      </c>
      <c r="BZ224" s="266">
        <f t="shared" si="152"/>
        <v>14644.600211889487</v>
      </c>
      <c r="CA224" s="266">
        <f ca="1">N224*IFERROR(INDEX(Algorithms!$G:$G,MATCH($C224&amp;"_Therm Saved per Unit- MLA",Algorithms!$A:$A,0)),0)*X224</f>
        <v>0</v>
      </c>
      <c r="CB224" s="266">
        <f ca="1">O224*IFERROR(INDEX(Algorithms!$G:$G,MATCH($C224&amp;"_Therm Saved per Unit- MLA",Algorithms!$A:$A,0)),0)*Y224</f>
        <v>0</v>
      </c>
      <c r="CC224" s="266">
        <f ca="1">P224*IFERROR(INDEX(Algorithms!$G:$G,MATCH($C224&amp;"_Therm Saved per Unit- MLA",Algorithms!$A:$A,0)),0)*Z224</f>
        <v>0</v>
      </c>
      <c r="CD224" s="266">
        <f ca="1">Q224*IFERROR(INDEX(Algorithms!$G:$G,MATCH($C224&amp;"_Therm Saved per Unit- MLA",Algorithms!$A:$A,0)),0)*AA224</f>
        <v>0</v>
      </c>
      <c r="CE224" s="266">
        <f ca="1">IFERROR(INDEX(Algorithms!$G:$G,MATCH($C224&amp;"_Lifetime (years)",Algorithms!$A:$A,0)),0)</f>
        <v>6</v>
      </c>
      <c r="CF224" s="266">
        <f ca="1">IFERROR(INDEX(Algorithms!$G:$G,MATCH($C224&amp;"_Lifetime (years) - Remaining Years",Algorithms!$A:$A,0)),0)</f>
        <v>0</v>
      </c>
      <c r="CG224" s="266">
        <f t="shared" ca="1" si="153"/>
        <v>109834.50158917112</v>
      </c>
      <c r="CH224" s="266">
        <f t="shared" ca="1" si="154"/>
        <v>103373.64855451402</v>
      </c>
      <c r="CI224" s="266">
        <f t="shared" ca="1" si="155"/>
        <v>90451.942485199761</v>
      </c>
      <c r="CJ224" s="266">
        <f t="shared" ca="1" si="156"/>
        <v>87867.601271336927</v>
      </c>
      <c r="CK224" s="266">
        <f t="shared" si="157"/>
        <v>18305.750264861854</v>
      </c>
      <c r="CL224" s="266">
        <f t="shared" si="158"/>
        <v>35016.678107875552</v>
      </c>
      <c r="CM224" s="266">
        <f t="shared" ca="1" si="159"/>
        <v>30639.593344391113</v>
      </c>
      <c r="CN224" s="266">
        <f t="shared" ca="1" si="160"/>
        <v>29764.176391694225</v>
      </c>
      <c r="CO224" s="266">
        <f ca="1">N224*IFERROR(INDEX(Algorithms!$G:$G,MATCH($C224&amp;"_Therm Saved per Unit- MLA",Algorithms!$A:$A,0)),0)*X224</f>
        <v>0</v>
      </c>
      <c r="CP224" s="266">
        <f ca="1">O224*IFERROR(INDEX(Algorithms!$G:$G,MATCH($C224&amp;"_Therm Saved per Unit- MLA",Algorithms!$A:$A,0)),0)*Y224</f>
        <v>0</v>
      </c>
      <c r="CQ224" s="266">
        <f ca="1">P224*IFERROR(INDEX(Algorithms!$G:$G,MATCH($C224&amp;"_Therm Saved per Unit- MLA",Algorithms!$A:$A,0)),0)*Z224</f>
        <v>0</v>
      </c>
      <c r="CR224" s="266">
        <f ca="1">Q224*IFERROR(INDEX(Algorithms!$G:$G,MATCH($C224&amp;"_Therm Saved per Unit- MLA",Algorithms!$A:$A,0)),0)*AA224</f>
        <v>0</v>
      </c>
      <c r="CS224" s="266">
        <f ca="1">IFERROR(INDEX(Algorithms!$G:$G,MATCH($C224&amp;"_Lifetime (years)",Algorithms!$A:$A,0)),0)</f>
        <v>6</v>
      </c>
      <c r="CT224" s="266">
        <f ca="1">IFERROR(INDEX(Algorithms!$G:$G,MATCH($C224&amp;"_Lifetime (years) - Remaining Years",Algorithms!$A:$A,0)),0)</f>
        <v>0</v>
      </c>
      <c r="CU224" s="266">
        <f t="shared" ca="1" si="161"/>
        <v>109834.50158917112</v>
      </c>
      <c r="CV224" s="266">
        <f t="shared" ca="1" si="162"/>
        <v>210100.06864725333</v>
      </c>
      <c r="CW224" s="266">
        <f t="shared" ca="1" si="163"/>
        <v>183837.56006634666</v>
      </c>
      <c r="CX224" s="266">
        <f t="shared" ca="1" si="164"/>
        <v>178585.05835016535</v>
      </c>
    </row>
    <row r="225" spans="2:102" s="47" customFormat="1" ht="18" customHeight="1" x14ac:dyDescent="0.25">
      <c r="B225" t="str">
        <f t="shared" si="165"/>
        <v>NSG_Income Eligible_Home Energy Jumpstart_Core_Unit Visit_0_SF</v>
      </c>
      <c r="C225" s="47" t="str">
        <f t="shared" si="126"/>
        <v>Unit Visit_0_SF</v>
      </c>
      <c r="D225" s="270" t="s">
        <v>1787</v>
      </c>
      <c r="E225" s="270" t="s">
        <v>325</v>
      </c>
      <c r="F225" s="270" t="s">
        <v>1414</v>
      </c>
      <c r="G225" s="270" t="s">
        <v>1415</v>
      </c>
      <c r="H225" s="270" t="s">
        <v>1090</v>
      </c>
      <c r="I225" s="270">
        <v>0</v>
      </c>
      <c r="J225" s="270" t="s">
        <v>409</v>
      </c>
      <c r="K225" s="263">
        <v>1</v>
      </c>
      <c r="L225" s="263" t="str">
        <f ca="1">IFERROR(INDEX(Algorithms!J:J,MATCH($C225&amp;"_Therm Saved per Unit",Algorithms!$A:$A,0)),"n/a")</f>
        <v>n/a</v>
      </c>
      <c r="M225" s="263" t="str">
        <f>IFERROR(INDEX('Measure Level Detail'!$N:$N,MATCH($B225,'Measure Level Detail'!$B:$B,0)),0)</f>
        <v>Household</v>
      </c>
      <c r="N225" s="271">
        <f>IFERROR(INDEX('Measure Level Detail'!$P:$P,MATCH($B225&amp;"_"&amp;N$3,'Measure Level Detail'!$C:$C,0)),0)</f>
        <v>25.22</v>
      </c>
      <c r="O225" s="271">
        <f>IFERROR(INDEX('Measure Level Detail'!$P:$P,MATCH($B225&amp;"_"&amp;O$3,'Measure Level Detail'!$C:$C,0)),0)</f>
        <v>63.050000000000004</v>
      </c>
      <c r="P225" s="271">
        <f>IFERROR(INDEX('Measure Level Detail'!$P:$P,MATCH($B225&amp;"_"&amp;P$3,'Measure Level Detail'!$C:$C,0)),0)</f>
        <v>126.10000000000001</v>
      </c>
      <c r="Q225" s="271">
        <f>IFERROR(INDEX('Measure Level Detail'!$P:$P,MATCH($B225&amp;"_"&amp;Q$3,'Measure Level Detail'!$C:$C,0)),0)</f>
        <v>151.32</v>
      </c>
      <c r="R225" s="263" t="str">
        <f ca="1">IFERROR(INDEX(Algorithms!K:K,MATCH($C225&amp;"_Therm Saved per Unit",Algorithms!$A:$A,0)),"n/a")</f>
        <v>n/a</v>
      </c>
      <c r="S225" s="262"/>
      <c r="T225" s="272">
        <v>0</v>
      </c>
      <c r="U225" s="272">
        <v>0</v>
      </c>
      <c r="V225" s="272">
        <v>0</v>
      </c>
      <c r="W225" s="272">
        <v>0</v>
      </c>
      <c r="X225" s="273">
        <f>IFERROR(INDEX('Measure Level Detail'!$R:$R,MATCH($B225&amp;"_"&amp;X$3,'Measure Level Detail'!$C:$C,0)),0)</f>
        <v>1</v>
      </c>
      <c r="Y225" s="273">
        <f>IFERROR(INDEX('Measure Level Detail'!$R:$R,MATCH($B225&amp;"_"&amp;Y$3,'Measure Level Detail'!$C:$C,0)),0)</f>
        <v>1</v>
      </c>
      <c r="Z225" s="273">
        <f>IFERROR(INDEX('Measure Level Detail'!$R:$R,MATCH($B225&amp;"_"&amp;Z$3,'Measure Level Detail'!$C:$C,0)),0)</f>
        <v>1</v>
      </c>
      <c r="AA225" s="273">
        <f>IFERROR(INDEX('Measure Level Detail'!$R:$R,MATCH($B225&amp;"_"&amp;AA$3,'Measure Level Detail'!$C:$C,0)),0)</f>
        <v>1</v>
      </c>
      <c r="AB225" s="266">
        <f t="shared" si="127"/>
        <v>0</v>
      </c>
      <c r="AC225" s="266">
        <f t="shared" si="128"/>
        <v>0</v>
      </c>
      <c r="AD225" s="266">
        <f t="shared" si="129"/>
        <v>0</v>
      </c>
      <c r="AE225" s="266">
        <f t="shared" si="130"/>
        <v>0</v>
      </c>
      <c r="AF225" s="266">
        <f t="shared" si="131"/>
        <v>0</v>
      </c>
      <c r="AG225" s="274">
        <v>1</v>
      </c>
      <c r="AH225" s="274">
        <v>1</v>
      </c>
      <c r="AI225" s="274">
        <v>1</v>
      </c>
      <c r="AJ225" s="274">
        <v>1</v>
      </c>
      <c r="AK225" s="274">
        <f t="shared" si="132"/>
        <v>1</v>
      </c>
      <c r="AL225" s="274">
        <f t="shared" si="133"/>
        <v>1</v>
      </c>
      <c r="AM225" s="274">
        <f t="shared" si="134"/>
        <v>1</v>
      </c>
      <c r="AN225" s="274">
        <f t="shared" si="135"/>
        <v>1</v>
      </c>
      <c r="AO225" s="262"/>
      <c r="AP225" s="262"/>
      <c r="AQ225" s="267">
        <v>0</v>
      </c>
      <c r="AR225" s="262"/>
      <c r="AS225" s="266">
        <f t="shared" si="136"/>
        <v>0</v>
      </c>
      <c r="AT225" s="264">
        <f t="shared" si="137"/>
        <v>0</v>
      </c>
      <c r="AU225" s="262"/>
      <c r="AV225" s="262"/>
      <c r="AW225" s="265">
        <v>0</v>
      </c>
      <c r="AX225" s="164" t="s">
        <v>1469</v>
      </c>
      <c r="AY225" s="266">
        <v>0</v>
      </c>
      <c r="AZ225" s="266">
        <f t="shared" si="138"/>
        <v>0</v>
      </c>
      <c r="BA225" s="264">
        <f t="shared" si="139"/>
        <v>0</v>
      </c>
      <c r="BB225" s="262"/>
      <c r="BC225" s="262"/>
      <c r="BD225" s="265">
        <f ca="1">IFERROR(INDEX(Algorithms!$G:$G,MATCH($C225&amp;"_Therm Saved per Unit",Algorithms!$A:$A,0)),0)</f>
        <v>0</v>
      </c>
      <c r="BE225" s="164" t="str">
        <f ca="1">IFERROR(INDEX('v12 Revisions'!$P$29:$P$186, MATCH('Measure-Level Adj Gas'!$L225, 'v12 Revisions'!$D$29:$D$186,0)),"")</f>
        <v/>
      </c>
      <c r="BF225" s="266">
        <f t="shared" ca="1" si="140"/>
        <v>0</v>
      </c>
      <c r="BG225" s="264">
        <f t="shared" ca="1" si="141"/>
        <v>0</v>
      </c>
      <c r="BH225" s="262"/>
      <c r="BI225" s="262"/>
      <c r="BJ225" s="265">
        <f ca="1">IFERROR(INDEX(Algorithms!$G:$G,MATCH($C225&amp;"_Therm Saved per Unit",Algorithms!$A:$A,0)),0)</f>
        <v>0</v>
      </c>
      <c r="BK225" s="164"/>
      <c r="BL225" s="266">
        <f t="shared" ca="1" si="142"/>
        <v>0</v>
      </c>
      <c r="BM225" s="264">
        <f t="shared" ca="1" si="143"/>
        <v>0</v>
      </c>
      <c r="BN225" s="266">
        <f t="shared" si="144"/>
        <v>0</v>
      </c>
      <c r="BO225" s="266">
        <f t="shared" si="145"/>
        <v>0</v>
      </c>
      <c r="BP225" s="266">
        <f t="shared" ca="1" si="146"/>
        <v>0</v>
      </c>
      <c r="BQ225" s="266">
        <f t="shared" ca="1" si="147"/>
        <v>0</v>
      </c>
      <c r="BR225" s="268">
        <f t="shared" ca="1" si="148"/>
        <v>0</v>
      </c>
      <c r="BS225" s="262" t="s">
        <v>99</v>
      </c>
      <c r="BT225" s="277"/>
      <c r="BW225" s="266">
        <f t="shared" si="149"/>
        <v>0</v>
      </c>
      <c r="BX225" s="266">
        <f t="shared" si="150"/>
        <v>0</v>
      </c>
      <c r="BY225" s="266">
        <f t="shared" si="151"/>
        <v>0</v>
      </c>
      <c r="BZ225" s="266">
        <f t="shared" si="152"/>
        <v>0</v>
      </c>
      <c r="CA225" s="266">
        <f ca="1">N225*IFERROR(INDEX(Algorithms!$G:$G,MATCH($C225&amp;"_Therm Saved per Unit- MLA",Algorithms!$A:$A,0)),0)*X225</f>
        <v>0</v>
      </c>
      <c r="CB225" s="266">
        <f ca="1">O225*IFERROR(INDEX(Algorithms!$G:$G,MATCH($C225&amp;"_Therm Saved per Unit- MLA",Algorithms!$A:$A,0)),0)*Y225</f>
        <v>0</v>
      </c>
      <c r="CC225" s="266">
        <f ca="1">P225*IFERROR(INDEX(Algorithms!$G:$G,MATCH($C225&amp;"_Therm Saved per Unit- MLA",Algorithms!$A:$A,0)),0)*Z225</f>
        <v>0</v>
      </c>
      <c r="CD225" s="266">
        <f ca="1">Q225*IFERROR(INDEX(Algorithms!$G:$G,MATCH($C225&amp;"_Therm Saved per Unit- MLA",Algorithms!$A:$A,0)),0)*AA225</f>
        <v>0</v>
      </c>
      <c r="CE225" s="266">
        <f ca="1">IFERROR(INDEX(Algorithms!$G:$G,MATCH($C225&amp;"_Lifetime (years)",Algorithms!$A:$A,0)),0)</f>
        <v>1</v>
      </c>
      <c r="CF225" s="266">
        <f ca="1">IFERROR(INDEX(Algorithms!$G:$G,MATCH($C225&amp;"_Lifetime (years) - Remaining Years",Algorithms!$A:$A,0)),0)</f>
        <v>0</v>
      </c>
      <c r="CG225" s="266">
        <f t="shared" ca="1" si="153"/>
        <v>0</v>
      </c>
      <c r="CH225" s="266">
        <f t="shared" ca="1" si="154"/>
        <v>0</v>
      </c>
      <c r="CI225" s="266">
        <f t="shared" ca="1" si="155"/>
        <v>0</v>
      </c>
      <c r="CJ225" s="266">
        <f t="shared" ca="1" si="156"/>
        <v>0</v>
      </c>
      <c r="CK225" s="266">
        <f t="shared" si="157"/>
        <v>0</v>
      </c>
      <c r="CL225" s="266">
        <f t="shared" si="158"/>
        <v>0</v>
      </c>
      <c r="CM225" s="266">
        <f t="shared" ca="1" si="159"/>
        <v>0</v>
      </c>
      <c r="CN225" s="266">
        <f t="shared" ca="1" si="160"/>
        <v>0</v>
      </c>
      <c r="CO225" s="266">
        <f ca="1">N225*IFERROR(INDEX(Algorithms!$G:$G,MATCH($C225&amp;"_Therm Saved per Unit- MLA",Algorithms!$A:$A,0)),0)*X225</f>
        <v>0</v>
      </c>
      <c r="CP225" s="266">
        <f ca="1">O225*IFERROR(INDEX(Algorithms!$G:$G,MATCH($C225&amp;"_Therm Saved per Unit- MLA",Algorithms!$A:$A,0)),0)*Y225</f>
        <v>0</v>
      </c>
      <c r="CQ225" s="266">
        <f ca="1">P225*IFERROR(INDEX(Algorithms!$G:$G,MATCH($C225&amp;"_Therm Saved per Unit- MLA",Algorithms!$A:$A,0)),0)*Z225</f>
        <v>0</v>
      </c>
      <c r="CR225" s="266">
        <f ca="1">Q225*IFERROR(INDEX(Algorithms!$G:$G,MATCH($C225&amp;"_Therm Saved per Unit- MLA",Algorithms!$A:$A,0)),0)*AA225</f>
        <v>0</v>
      </c>
      <c r="CS225" s="266">
        <f ca="1">IFERROR(INDEX(Algorithms!$G:$G,MATCH($C225&amp;"_Lifetime (years)",Algorithms!$A:$A,0)),0)</f>
        <v>1</v>
      </c>
      <c r="CT225" s="266">
        <f ca="1">IFERROR(INDEX(Algorithms!$G:$G,MATCH($C225&amp;"_Lifetime (years) - Remaining Years",Algorithms!$A:$A,0)),0)</f>
        <v>0</v>
      </c>
      <c r="CU225" s="266">
        <f t="shared" ca="1" si="161"/>
        <v>0</v>
      </c>
      <c r="CV225" s="266">
        <f t="shared" ca="1" si="162"/>
        <v>0</v>
      </c>
      <c r="CW225" s="266">
        <f t="shared" ca="1" si="163"/>
        <v>0</v>
      </c>
      <c r="CX225" s="266">
        <f t="shared" ca="1" si="164"/>
        <v>0</v>
      </c>
    </row>
    <row r="226" spans="2:102" s="47" customFormat="1" ht="18" customHeight="1" x14ac:dyDescent="0.25">
      <c r="B226" t="str">
        <f t="shared" si="165"/>
        <v>NSG_Income Eligible_Home Energy Jumpstart_Leave Behind Kit_Door Sweep_0_SF</v>
      </c>
      <c r="C226" s="47" t="str">
        <f t="shared" si="126"/>
        <v>Door Sweep_0_SF</v>
      </c>
      <c r="D226" s="270" t="s">
        <v>1787</v>
      </c>
      <c r="E226" s="270" t="s">
        <v>325</v>
      </c>
      <c r="F226" s="270" t="s">
        <v>1414</v>
      </c>
      <c r="G226" s="270" t="s">
        <v>1416</v>
      </c>
      <c r="H226" s="270" t="s">
        <v>6</v>
      </c>
      <c r="I226" s="270">
        <v>0</v>
      </c>
      <c r="J226" s="270" t="s">
        <v>409</v>
      </c>
      <c r="K226" s="263">
        <v>1</v>
      </c>
      <c r="L226" s="263" t="str">
        <f ca="1">IFERROR(INDEX(Algorithms!J:J,MATCH($C226&amp;"_Therm Saved per Unit",Algorithms!$A:$A,0)),"n/a")</f>
        <v>5.6.1</v>
      </c>
      <c r="M226" s="263" t="str">
        <f>IFERROR(INDEX('Measure Level Detail'!$N:$N,MATCH($B226,'Measure Level Detail'!$B:$B,0)),0)</f>
        <v>each</v>
      </c>
      <c r="N226" s="271">
        <f>IFERROR(INDEX('Measure Level Detail'!$P:$P,MATCH($B226&amp;"_"&amp;N$3,'Measure Level Detail'!$C:$C,0)),0)</f>
        <v>25</v>
      </c>
      <c r="O226" s="271">
        <f>IFERROR(INDEX('Measure Level Detail'!$P:$P,MATCH($B226&amp;"_"&amp;O$3,'Measure Level Detail'!$C:$C,0)),0)</f>
        <v>63</v>
      </c>
      <c r="P226" s="271">
        <f>IFERROR(INDEX('Measure Level Detail'!$P:$P,MATCH($B226&amp;"_"&amp;P$3,'Measure Level Detail'!$C:$C,0)),0)</f>
        <v>126</v>
      </c>
      <c r="Q226" s="271">
        <f>IFERROR(INDEX('Measure Level Detail'!$P:$P,MATCH($B226&amp;"_"&amp;Q$3,'Measure Level Detail'!$C:$C,0)),0)</f>
        <v>151</v>
      </c>
      <c r="R226" s="263" t="str">
        <f ca="1">IFERROR(INDEX(Algorithms!K:K,MATCH($C226&amp;"_Therm Saved per Unit",Algorithms!$A:$A,0)),"n/a")</f>
        <v>RS-SHL-AIRS-V13-240101</v>
      </c>
      <c r="S226" s="262"/>
      <c r="T226" s="272">
        <v>6.3544800000000006</v>
      </c>
      <c r="U226" s="272">
        <v>6.3544800000000006</v>
      </c>
      <c r="V226" s="272">
        <v>6.3544800000000006</v>
      </c>
      <c r="W226" s="272">
        <v>6.3544800000000006</v>
      </c>
      <c r="X226" s="273">
        <f>IFERROR(INDEX('Measure Level Detail'!$R:$R,MATCH($B226&amp;"_"&amp;X$3,'Measure Level Detail'!$C:$C,0)),0)</f>
        <v>1</v>
      </c>
      <c r="Y226" s="273">
        <f>IFERROR(INDEX('Measure Level Detail'!$R:$R,MATCH($B226&amp;"_"&amp;Y$3,'Measure Level Detail'!$C:$C,0)),0)</f>
        <v>1</v>
      </c>
      <c r="Z226" s="273">
        <f>IFERROR(INDEX('Measure Level Detail'!$R:$R,MATCH($B226&amp;"_"&amp;Z$3,'Measure Level Detail'!$C:$C,0)),0)</f>
        <v>1</v>
      </c>
      <c r="AA226" s="273">
        <f>IFERROR(INDEX('Measure Level Detail'!$R:$R,MATCH($B226&amp;"_"&amp;AA$3,'Measure Level Detail'!$C:$C,0)),0)</f>
        <v>1</v>
      </c>
      <c r="AB226" s="266">
        <f t="shared" si="127"/>
        <v>158.86200000000002</v>
      </c>
      <c r="AC226" s="266">
        <f t="shared" si="128"/>
        <v>400.33224000000001</v>
      </c>
      <c r="AD226" s="266">
        <f t="shared" si="129"/>
        <v>800.66448000000003</v>
      </c>
      <c r="AE226" s="266">
        <f t="shared" si="130"/>
        <v>959.52648000000011</v>
      </c>
      <c r="AF226" s="266">
        <f t="shared" si="131"/>
        <v>2319.3852000000002</v>
      </c>
      <c r="AG226" s="274">
        <v>1</v>
      </c>
      <c r="AH226" s="274">
        <v>1</v>
      </c>
      <c r="AI226" s="274">
        <v>1</v>
      </c>
      <c r="AJ226" s="274">
        <v>1</v>
      </c>
      <c r="AK226" s="274">
        <f t="shared" si="132"/>
        <v>1</v>
      </c>
      <c r="AL226" s="274">
        <f t="shared" si="133"/>
        <v>1</v>
      </c>
      <c r="AM226" s="274">
        <f t="shared" si="134"/>
        <v>1</v>
      </c>
      <c r="AN226" s="274">
        <f t="shared" si="135"/>
        <v>1</v>
      </c>
      <c r="AO226" s="262"/>
      <c r="AP226" s="262"/>
      <c r="AQ226" s="267">
        <v>6.3544800000000006</v>
      </c>
      <c r="AR226" s="262"/>
      <c r="AS226" s="266">
        <f t="shared" si="136"/>
        <v>158.86200000000002</v>
      </c>
      <c r="AT226" s="264">
        <f t="shared" si="137"/>
        <v>0</v>
      </c>
      <c r="AU226" s="262"/>
      <c r="AV226" s="262"/>
      <c r="AW226" s="265">
        <v>6.3544800000000006</v>
      </c>
      <c r="AX226" s="164" t="s">
        <v>2395</v>
      </c>
      <c r="AY226" s="266">
        <v>352.29237119999999</v>
      </c>
      <c r="AZ226" s="266">
        <f t="shared" si="138"/>
        <v>400.33224000000001</v>
      </c>
      <c r="BA226" s="264">
        <f t="shared" si="139"/>
        <v>0</v>
      </c>
      <c r="BB226" s="262"/>
      <c r="BC226" s="262"/>
      <c r="BD226" s="265">
        <f ca="1">IFERROR(INDEX(Algorithms!$G:$G,MATCH($C226&amp;"_Therm Saved per Unit",Algorithms!$A:$A,0)),0)</f>
        <v>6.3544800000000006</v>
      </c>
      <c r="BE226" s="164" t="str">
        <f ca="1">IFERROR(INDEX('v12 Revisions'!$P$29:$P$186, MATCH('Measure-Level Adj Gas'!$L226, 'v12 Revisions'!$D$29:$D$186,0)),"")</f>
        <v>Updated HDD from 5113 to 4798 and shell adjustment factor from 0.72 to 0.76.</v>
      </c>
      <c r="BF226" s="266">
        <f t="shared" ca="1" si="140"/>
        <v>800.66448000000003</v>
      </c>
      <c r="BG226" s="264">
        <f t="shared" ca="1" si="141"/>
        <v>0</v>
      </c>
      <c r="BH226" s="262"/>
      <c r="BI226" s="262"/>
      <c r="BJ226" s="265">
        <f ca="1">IFERROR(INDEX(Algorithms!$G:$G,MATCH($C226&amp;"_Therm Saved per Unit",Algorithms!$A:$A,0)),0)</f>
        <v>6.3544800000000006</v>
      </c>
      <c r="BK226" s="164"/>
      <c r="BL226" s="266">
        <f t="shared" ca="1" si="142"/>
        <v>959.52648000000011</v>
      </c>
      <c r="BM226" s="264">
        <f t="shared" ca="1" si="143"/>
        <v>0</v>
      </c>
      <c r="BN226" s="266">
        <f t="shared" si="144"/>
        <v>158.86200000000002</v>
      </c>
      <c r="BO226" s="266">
        <f t="shared" si="145"/>
        <v>400.33224000000001</v>
      </c>
      <c r="BP226" s="266">
        <f t="shared" ca="1" si="146"/>
        <v>800.66448000000003</v>
      </c>
      <c r="BQ226" s="266">
        <f t="shared" ca="1" si="147"/>
        <v>959.52648000000011</v>
      </c>
      <c r="BR226" s="268">
        <f t="shared" ca="1" si="148"/>
        <v>2319.3852000000002</v>
      </c>
      <c r="BS226" s="262" t="s">
        <v>99</v>
      </c>
      <c r="BT226" s="277"/>
      <c r="BW226" s="266">
        <f t="shared" si="149"/>
        <v>158.86200000000002</v>
      </c>
      <c r="BX226" s="266">
        <f t="shared" si="150"/>
        <v>400.33224000000001</v>
      </c>
      <c r="BY226" s="266">
        <f t="shared" si="151"/>
        <v>800.66448000000003</v>
      </c>
      <c r="BZ226" s="266">
        <f t="shared" si="152"/>
        <v>959.52648000000011</v>
      </c>
      <c r="CA226" s="266">
        <f ca="1">N226*IFERROR(INDEX(Algorithms!$G:$G,MATCH($C226&amp;"_Therm Saved per Unit- MLA",Algorithms!$A:$A,0)),0)*X226</f>
        <v>0</v>
      </c>
      <c r="CB226" s="266">
        <f ca="1">O226*IFERROR(INDEX(Algorithms!$G:$G,MATCH($C226&amp;"_Therm Saved per Unit- MLA",Algorithms!$A:$A,0)),0)*Y226</f>
        <v>0</v>
      </c>
      <c r="CC226" s="266">
        <f ca="1">P226*IFERROR(INDEX(Algorithms!$G:$G,MATCH($C226&amp;"_Therm Saved per Unit- MLA",Algorithms!$A:$A,0)),0)*Z226</f>
        <v>0</v>
      </c>
      <c r="CD226" s="266">
        <f ca="1">Q226*IFERROR(INDEX(Algorithms!$G:$G,MATCH($C226&amp;"_Therm Saved per Unit- MLA",Algorithms!$A:$A,0)),0)*AA226</f>
        <v>0</v>
      </c>
      <c r="CE226" s="266">
        <f ca="1">IFERROR(INDEX(Algorithms!$G:$G,MATCH($C226&amp;"_Lifetime (years)",Algorithms!$A:$A,0)),0)</f>
        <v>20</v>
      </c>
      <c r="CF226" s="266">
        <f ca="1">IFERROR(INDEX(Algorithms!$G:$G,MATCH($C226&amp;"_Lifetime (years) - Remaining Years",Algorithms!$A:$A,0)),0)</f>
        <v>0</v>
      </c>
      <c r="CG226" s="266">
        <f t="shared" ca="1" si="153"/>
        <v>3177.2400000000007</v>
      </c>
      <c r="CH226" s="266">
        <f t="shared" ca="1" si="154"/>
        <v>8006.6448</v>
      </c>
      <c r="CI226" s="266">
        <f t="shared" ca="1" si="155"/>
        <v>16013.2896</v>
      </c>
      <c r="CJ226" s="266">
        <f t="shared" ca="1" si="156"/>
        <v>19190.529600000002</v>
      </c>
      <c r="CK226" s="266">
        <f t="shared" si="157"/>
        <v>158.86200000000002</v>
      </c>
      <c r="CL226" s="266">
        <f t="shared" si="158"/>
        <v>400.33224000000001</v>
      </c>
      <c r="CM226" s="266">
        <f t="shared" ca="1" si="159"/>
        <v>800.66448000000003</v>
      </c>
      <c r="CN226" s="266">
        <f t="shared" ca="1" si="160"/>
        <v>959.52648000000011</v>
      </c>
      <c r="CO226" s="266">
        <f ca="1">N226*IFERROR(INDEX(Algorithms!$G:$G,MATCH($C226&amp;"_Therm Saved per Unit- MLA",Algorithms!$A:$A,0)),0)*X226</f>
        <v>0</v>
      </c>
      <c r="CP226" s="266">
        <f ca="1">O226*IFERROR(INDEX(Algorithms!$G:$G,MATCH($C226&amp;"_Therm Saved per Unit- MLA",Algorithms!$A:$A,0)),0)*Y226</f>
        <v>0</v>
      </c>
      <c r="CQ226" s="266">
        <f ca="1">P226*IFERROR(INDEX(Algorithms!$G:$G,MATCH($C226&amp;"_Therm Saved per Unit- MLA",Algorithms!$A:$A,0)),0)*Z226</f>
        <v>0</v>
      </c>
      <c r="CR226" s="266">
        <f ca="1">Q226*IFERROR(INDEX(Algorithms!$G:$G,MATCH($C226&amp;"_Therm Saved per Unit- MLA",Algorithms!$A:$A,0)),0)*AA226</f>
        <v>0</v>
      </c>
      <c r="CS226" s="266">
        <f ca="1">IFERROR(INDEX(Algorithms!$G:$G,MATCH($C226&amp;"_Lifetime (years)",Algorithms!$A:$A,0)),0)</f>
        <v>20</v>
      </c>
      <c r="CT226" s="266">
        <f ca="1">IFERROR(INDEX(Algorithms!$G:$G,MATCH($C226&amp;"_Lifetime (years) - Remaining Years",Algorithms!$A:$A,0)),0)</f>
        <v>0</v>
      </c>
      <c r="CU226" s="266">
        <f t="shared" ca="1" si="161"/>
        <v>3177.2400000000007</v>
      </c>
      <c r="CV226" s="266">
        <f t="shared" ca="1" si="162"/>
        <v>8006.6448</v>
      </c>
      <c r="CW226" s="266">
        <f t="shared" ca="1" si="163"/>
        <v>16013.2896</v>
      </c>
      <c r="CX226" s="266">
        <f t="shared" ca="1" si="164"/>
        <v>19190.529600000002</v>
      </c>
    </row>
    <row r="227" spans="2:102" s="47" customFormat="1" ht="18" customHeight="1" x14ac:dyDescent="0.25">
      <c r="B227" t="str">
        <f t="shared" si="165"/>
        <v>NSG_Residential_Home Energy Rebate_Standard Rebate_Boiler_≥88% AFUE, &lt;300MBh_SF</v>
      </c>
      <c r="C227" s="47" t="str">
        <f t="shared" si="126"/>
        <v>Boiler_≥88% AFUE, &lt;300MBh_SF</v>
      </c>
      <c r="D227" s="270" t="s">
        <v>1787</v>
      </c>
      <c r="E227" s="270" t="s">
        <v>2</v>
      </c>
      <c r="F227" s="270" t="s">
        <v>1417</v>
      </c>
      <c r="G227" s="270" t="s">
        <v>1418</v>
      </c>
      <c r="H227" s="270" t="s">
        <v>944</v>
      </c>
      <c r="I227" s="270" t="s">
        <v>945</v>
      </c>
      <c r="J227" s="270" t="s">
        <v>409</v>
      </c>
      <c r="K227" s="263">
        <v>1</v>
      </c>
      <c r="L227" s="263" t="str">
        <f ca="1">IFERROR(INDEX(Algorithms!J:J,MATCH($C227&amp;"_Therm Saved per Unit",Algorithms!$A:$A,0)),"n/a")</f>
        <v>5.3.6</v>
      </c>
      <c r="M227" s="263" t="str">
        <f>IFERROR(INDEX('Measure Level Detail'!$N:$N,MATCH($B227,'Measure Level Detail'!$B:$B,0)),0)</f>
        <v>each</v>
      </c>
      <c r="N227" s="271">
        <f>IFERROR(INDEX('Measure Level Detail'!$P:$P,MATCH($B227&amp;"_"&amp;N$3,'Measure Level Detail'!$C:$C,0)),0)</f>
        <v>25</v>
      </c>
      <c r="O227" s="271">
        <f>IFERROR(INDEX('Measure Level Detail'!$P:$P,MATCH($B227&amp;"_"&amp;O$3,'Measure Level Detail'!$C:$C,0)),0)</f>
        <v>25</v>
      </c>
      <c r="P227" s="271">
        <f>IFERROR(INDEX('Measure Level Detail'!$P:$P,MATCH($B227&amp;"_"&amp;P$3,'Measure Level Detail'!$C:$C,0)),0)</f>
        <v>25</v>
      </c>
      <c r="Q227" s="271">
        <f>IFERROR(INDEX('Measure Level Detail'!$P:$P,MATCH($B227&amp;"_"&amp;Q$3,'Measure Level Detail'!$C:$C,0)),0)</f>
        <v>25</v>
      </c>
      <c r="R227" s="263" t="str">
        <f ca="1">IFERROR(INDEX(Algorithms!K:K,MATCH($C227&amp;"_Therm Saved per Unit",Algorithms!$A:$A,0)),"n/a")</f>
        <v>RS-HVC-GHEB-V11-240101</v>
      </c>
      <c r="S227" s="262"/>
      <c r="T227" s="272">
        <v>147.38374603174603</v>
      </c>
      <c r="U227" s="272">
        <v>147.38374603174603</v>
      </c>
      <c r="V227" s="272">
        <v>147.38374603174603</v>
      </c>
      <c r="W227" s="272">
        <v>147.38374603174603</v>
      </c>
      <c r="X227" s="275">
        <v>0.74</v>
      </c>
      <c r="Y227" s="275">
        <v>0.74</v>
      </c>
      <c r="Z227" s="275">
        <v>0.74</v>
      </c>
      <c r="AA227" s="275">
        <v>0.74</v>
      </c>
      <c r="AB227" s="266">
        <f t="shared" si="127"/>
        <v>2726.5993015873014</v>
      </c>
      <c r="AC227" s="266">
        <f t="shared" si="128"/>
        <v>2726.5993015873014</v>
      </c>
      <c r="AD227" s="266">
        <f t="shared" si="129"/>
        <v>2726.5993015873014</v>
      </c>
      <c r="AE227" s="266">
        <f t="shared" si="130"/>
        <v>2726.5993015873014</v>
      </c>
      <c r="AF227" s="266">
        <f t="shared" si="131"/>
        <v>10906.397206349206</v>
      </c>
      <c r="AG227" s="274">
        <v>0.74</v>
      </c>
      <c r="AH227" s="274">
        <v>0.74</v>
      </c>
      <c r="AI227" s="274">
        <v>0.74</v>
      </c>
      <c r="AJ227" s="274">
        <v>0.74</v>
      </c>
      <c r="AK227" s="274">
        <f t="shared" si="132"/>
        <v>0.74</v>
      </c>
      <c r="AL227" s="274">
        <f t="shared" si="133"/>
        <v>0.74</v>
      </c>
      <c r="AM227" s="274">
        <f t="shared" si="134"/>
        <v>0.74</v>
      </c>
      <c r="AN227" s="274">
        <f t="shared" si="135"/>
        <v>0.74</v>
      </c>
      <c r="AO227" s="262"/>
      <c r="AP227" s="262"/>
      <c r="AQ227" s="267">
        <v>147.38374603174603</v>
      </c>
      <c r="AR227" s="262"/>
      <c r="AS227" s="266">
        <f t="shared" si="136"/>
        <v>2726.5993015873014</v>
      </c>
      <c r="AT227" s="264">
        <f t="shared" si="137"/>
        <v>0</v>
      </c>
      <c r="AU227" s="262"/>
      <c r="AV227" s="262"/>
      <c r="AW227" s="265">
        <v>147.38374603174603</v>
      </c>
      <c r="AX227" s="164" t="s">
        <v>1469</v>
      </c>
      <c r="AY227" s="266">
        <v>2726.5993015873014</v>
      </c>
      <c r="AZ227" s="266">
        <f t="shared" si="138"/>
        <v>2726.5993015873014</v>
      </c>
      <c r="BA227" s="264">
        <f t="shared" si="139"/>
        <v>0</v>
      </c>
      <c r="BB227" s="262"/>
      <c r="BC227" s="262"/>
      <c r="BD227" s="265">
        <f ca="1">IFERROR(INDEX(Algorithms!$G:$G,MATCH($C227&amp;"_Therm Saved per Unit",Algorithms!$A:$A,0)),0)</f>
        <v>147.38374603174603</v>
      </c>
      <c r="BE227" s="164" t="str">
        <f ca="1">IFERROR(INDEX('v12 Revisions'!$P$29:$P$186, MATCH('Measure-Level Adj Gas'!$L227, 'v12 Revisions'!$D$29:$D$186,0)),"")</f>
        <v>n/a - update to language, efficient criteria to be determined by program.</v>
      </c>
      <c r="BF227" s="266">
        <f t="shared" ca="1" si="140"/>
        <v>2726.5993015873014</v>
      </c>
      <c r="BG227" s="264">
        <f t="shared" ca="1" si="141"/>
        <v>0</v>
      </c>
      <c r="BH227" s="262"/>
      <c r="BI227" s="262"/>
      <c r="BJ227" s="265">
        <f ca="1">IFERROR(INDEX(Algorithms!$G:$G,MATCH($C227&amp;"_Therm Saved per Unit",Algorithms!$A:$A,0)),0)</f>
        <v>147.38374603174603</v>
      </c>
      <c r="BK227" s="164"/>
      <c r="BL227" s="266">
        <f t="shared" ca="1" si="142"/>
        <v>2726.5993015873014</v>
      </c>
      <c r="BM227" s="264">
        <f t="shared" ca="1" si="143"/>
        <v>0</v>
      </c>
      <c r="BN227" s="266">
        <f t="shared" si="144"/>
        <v>2726.5993015873014</v>
      </c>
      <c r="BO227" s="266">
        <f t="shared" si="145"/>
        <v>2726.5993015873014</v>
      </c>
      <c r="BP227" s="266">
        <f t="shared" ca="1" si="146"/>
        <v>2726.5993015873014</v>
      </c>
      <c r="BQ227" s="266">
        <f t="shared" ca="1" si="147"/>
        <v>2726.5993015873014</v>
      </c>
      <c r="BR227" s="268">
        <f t="shared" ca="1" si="148"/>
        <v>10906.397206349206</v>
      </c>
      <c r="BS227" s="262" t="s">
        <v>99</v>
      </c>
      <c r="BT227" s="277"/>
      <c r="BW227" s="266">
        <f t="shared" si="149"/>
        <v>2726.5993015873014</v>
      </c>
      <c r="BX227" s="266">
        <f t="shared" si="150"/>
        <v>2726.5993015873014</v>
      </c>
      <c r="BY227" s="266">
        <f t="shared" si="151"/>
        <v>2726.5993015873014</v>
      </c>
      <c r="BZ227" s="266">
        <f t="shared" si="152"/>
        <v>2726.5993015873014</v>
      </c>
      <c r="CA227" s="266">
        <f ca="1">N227*IFERROR(INDEX(Algorithms!$G:$G,MATCH($C227&amp;"_Therm Saved per Unit- MLA",Algorithms!$A:$A,0)),0)*X227</f>
        <v>0</v>
      </c>
      <c r="CB227" s="266">
        <f ca="1">O227*IFERROR(INDEX(Algorithms!$G:$G,MATCH($C227&amp;"_Therm Saved per Unit- MLA",Algorithms!$A:$A,0)),0)*Y227</f>
        <v>0</v>
      </c>
      <c r="CC227" s="266">
        <f ca="1">P227*IFERROR(INDEX(Algorithms!$G:$G,MATCH($C227&amp;"_Therm Saved per Unit- MLA",Algorithms!$A:$A,0)),0)*Z227</f>
        <v>0</v>
      </c>
      <c r="CD227" s="266">
        <f ca="1">Q227*IFERROR(INDEX(Algorithms!$G:$G,MATCH($C227&amp;"_Therm Saved per Unit- MLA",Algorithms!$A:$A,0)),0)*AA227</f>
        <v>0</v>
      </c>
      <c r="CE227" s="266">
        <f ca="1">IFERROR(INDEX(Algorithms!$G:$G,MATCH($C227&amp;"_Lifetime (years)",Algorithms!$A:$A,0)),0)</f>
        <v>25</v>
      </c>
      <c r="CF227" s="266">
        <f ca="1">IFERROR(INDEX(Algorithms!$G:$G,MATCH($C227&amp;"_Lifetime (years) - Remaining Years",Algorithms!$A:$A,0)),0)</f>
        <v>0</v>
      </c>
      <c r="CG227" s="266">
        <f t="shared" ca="1" si="153"/>
        <v>68164.982539682533</v>
      </c>
      <c r="CH227" s="266">
        <f t="shared" ca="1" si="154"/>
        <v>68164.982539682533</v>
      </c>
      <c r="CI227" s="266">
        <f t="shared" ca="1" si="155"/>
        <v>68164.982539682533</v>
      </c>
      <c r="CJ227" s="266">
        <f t="shared" ca="1" si="156"/>
        <v>68164.982539682533</v>
      </c>
      <c r="CK227" s="266">
        <f t="shared" si="157"/>
        <v>2726.5993015873014</v>
      </c>
      <c r="CL227" s="266">
        <f t="shared" si="158"/>
        <v>2726.5993015873014</v>
      </c>
      <c r="CM227" s="266">
        <f t="shared" ca="1" si="159"/>
        <v>2726.5993015873014</v>
      </c>
      <c r="CN227" s="266">
        <f t="shared" ca="1" si="160"/>
        <v>2726.5993015873014</v>
      </c>
      <c r="CO227" s="266">
        <f ca="1">N227*IFERROR(INDEX(Algorithms!$G:$G,MATCH($C227&amp;"_Therm Saved per Unit- MLA",Algorithms!$A:$A,0)),0)*X227</f>
        <v>0</v>
      </c>
      <c r="CP227" s="266">
        <f ca="1">O227*IFERROR(INDEX(Algorithms!$G:$G,MATCH($C227&amp;"_Therm Saved per Unit- MLA",Algorithms!$A:$A,0)),0)*Y227</f>
        <v>0</v>
      </c>
      <c r="CQ227" s="266">
        <f ca="1">P227*IFERROR(INDEX(Algorithms!$G:$G,MATCH($C227&amp;"_Therm Saved per Unit- MLA",Algorithms!$A:$A,0)),0)*Z227</f>
        <v>0</v>
      </c>
      <c r="CR227" s="266">
        <f ca="1">Q227*IFERROR(INDEX(Algorithms!$G:$G,MATCH($C227&amp;"_Therm Saved per Unit- MLA",Algorithms!$A:$A,0)),0)*AA227</f>
        <v>0</v>
      </c>
      <c r="CS227" s="266">
        <f ca="1">IFERROR(INDEX(Algorithms!$G:$G,MATCH($C227&amp;"_Lifetime (years)",Algorithms!$A:$A,0)),0)</f>
        <v>25</v>
      </c>
      <c r="CT227" s="266">
        <f ca="1">IFERROR(INDEX(Algorithms!$G:$G,MATCH($C227&amp;"_Lifetime (years) - Remaining Years",Algorithms!$A:$A,0)),0)</f>
        <v>0</v>
      </c>
      <c r="CU227" s="266">
        <f t="shared" ca="1" si="161"/>
        <v>68164.982539682533</v>
      </c>
      <c r="CV227" s="266">
        <f t="shared" ca="1" si="162"/>
        <v>68164.982539682533</v>
      </c>
      <c r="CW227" s="266">
        <f t="shared" ca="1" si="163"/>
        <v>68164.982539682533</v>
      </c>
      <c r="CX227" s="266">
        <f t="shared" ca="1" si="164"/>
        <v>68164.982539682533</v>
      </c>
    </row>
    <row r="228" spans="2:102" s="47" customFormat="1" ht="18" customHeight="1" x14ac:dyDescent="0.25">
      <c r="B228" t="str">
        <f t="shared" si="165"/>
        <v>NSG_Residential_Multi-Family_Direct Install_Unit Visit_CA_MF</v>
      </c>
      <c r="C228" s="47" t="str">
        <f t="shared" si="126"/>
        <v>Unit Visit_CA_MF</v>
      </c>
      <c r="D228" s="270" t="s">
        <v>1787</v>
      </c>
      <c r="E228" s="270" t="s">
        <v>2</v>
      </c>
      <c r="F228" s="270" t="s">
        <v>1422</v>
      </c>
      <c r="G228" s="270" t="s">
        <v>4</v>
      </c>
      <c r="H228" s="270" t="s">
        <v>1090</v>
      </c>
      <c r="I228" s="270" t="s">
        <v>1423</v>
      </c>
      <c r="J228" s="270" t="s">
        <v>553</v>
      </c>
      <c r="K228" s="263">
        <v>1</v>
      </c>
      <c r="L228" s="263" t="str">
        <f ca="1">IFERROR(INDEX(Algorithms!J:J,MATCH($C228&amp;"_Therm Saved per Unit",Algorithms!$A:$A,0)),"n/a")</f>
        <v>n/a</v>
      </c>
      <c r="M228" s="263" t="str">
        <f>IFERROR(INDEX('Measure Level Detail'!$N:$N,MATCH($B228,'Measure Level Detail'!$B:$B,0)),0)</f>
        <v>each</v>
      </c>
      <c r="N228" s="271">
        <f>IFERROR(INDEX('Measure Level Detail'!$P:$P,MATCH($B228&amp;"_"&amp;N$3,'Measure Level Detail'!$C:$C,0)),0)</f>
        <v>20</v>
      </c>
      <c r="O228" s="271">
        <f>IFERROR(INDEX('Measure Level Detail'!$P:$P,MATCH($B228&amp;"_"&amp;O$3,'Measure Level Detail'!$C:$C,0)),0)</f>
        <v>20</v>
      </c>
      <c r="P228" s="271">
        <f>IFERROR(INDEX('Measure Level Detail'!$P:$P,MATCH($B228&amp;"_"&amp;P$3,'Measure Level Detail'!$C:$C,0)),0)</f>
        <v>20</v>
      </c>
      <c r="Q228" s="271">
        <f>IFERROR(INDEX('Measure Level Detail'!$P:$P,MATCH($B228&amp;"_"&amp;Q$3,'Measure Level Detail'!$C:$C,0)),0)</f>
        <v>20</v>
      </c>
      <c r="R228" s="263" t="str">
        <f ca="1">IFERROR(INDEX(Algorithms!K:K,MATCH($C228&amp;"_Therm Saved per Unit",Algorithms!$A:$A,0)),"n/a")</f>
        <v>n/a</v>
      </c>
      <c r="S228" s="262"/>
      <c r="T228" s="272">
        <v>0</v>
      </c>
      <c r="U228" s="272">
        <v>0</v>
      </c>
      <c r="V228" s="272">
        <v>0</v>
      </c>
      <c r="W228" s="272">
        <v>0</v>
      </c>
      <c r="X228" s="273">
        <f>IFERROR(INDEX('Measure Level Detail'!$R:$R,MATCH($B228&amp;"_"&amp;X$3,'Measure Level Detail'!$C:$C,0)),0)</f>
        <v>0.96</v>
      </c>
      <c r="Y228" s="273">
        <f>IFERROR(INDEX('Measure Level Detail'!$R:$R,MATCH($B228&amp;"_"&amp;Y$3,'Measure Level Detail'!$C:$C,0)),0)</f>
        <v>0.96</v>
      </c>
      <c r="Z228" s="273">
        <f>IFERROR(INDEX('Measure Level Detail'!$R:$R,MATCH($B228&amp;"_"&amp;Z$3,'Measure Level Detail'!$C:$C,0)),0)</f>
        <v>0.96</v>
      </c>
      <c r="AA228" s="273">
        <f>IFERROR(INDEX('Measure Level Detail'!$R:$R,MATCH($B228&amp;"_"&amp;AA$3,'Measure Level Detail'!$C:$C,0)),0)</f>
        <v>0.96</v>
      </c>
      <c r="AB228" s="266">
        <f t="shared" si="127"/>
        <v>0</v>
      </c>
      <c r="AC228" s="266">
        <f t="shared" si="128"/>
        <v>0</v>
      </c>
      <c r="AD228" s="266">
        <f t="shared" si="129"/>
        <v>0</v>
      </c>
      <c r="AE228" s="266">
        <f t="shared" si="130"/>
        <v>0</v>
      </c>
      <c r="AF228" s="266">
        <f t="shared" si="131"/>
        <v>0</v>
      </c>
      <c r="AG228" s="274">
        <v>0.96</v>
      </c>
      <c r="AH228" s="274">
        <v>0.96</v>
      </c>
      <c r="AI228" s="274">
        <v>0.96</v>
      </c>
      <c r="AJ228" s="274">
        <v>0.96</v>
      </c>
      <c r="AK228" s="274">
        <f t="shared" si="132"/>
        <v>0.96</v>
      </c>
      <c r="AL228" s="274">
        <f t="shared" si="133"/>
        <v>0.96</v>
      </c>
      <c r="AM228" s="274">
        <f t="shared" si="134"/>
        <v>0.96</v>
      </c>
      <c r="AN228" s="274">
        <f t="shared" si="135"/>
        <v>0.96</v>
      </c>
      <c r="AO228" s="262"/>
      <c r="AP228" s="262"/>
      <c r="AQ228" s="267">
        <v>0</v>
      </c>
      <c r="AR228" s="262"/>
      <c r="AS228" s="266">
        <f t="shared" si="136"/>
        <v>0</v>
      </c>
      <c r="AT228" s="264">
        <f t="shared" si="137"/>
        <v>0</v>
      </c>
      <c r="AU228" s="262"/>
      <c r="AV228" s="262"/>
      <c r="AW228" s="265">
        <v>0</v>
      </c>
      <c r="AX228" s="164" t="s">
        <v>1469</v>
      </c>
      <c r="AY228" s="266">
        <v>0</v>
      </c>
      <c r="AZ228" s="266">
        <f t="shared" si="138"/>
        <v>0</v>
      </c>
      <c r="BA228" s="264">
        <f t="shared" si="139"/>
        <v>0</v>
      </c>
      <c r="BB228" s="262"/>
      <c r="BC228" s="262"/>
      <c r="BD228" s="265">
        <f ca="1">IFERROR(INDEX(Algorithms!$G:$G,MATCH($C228&amp;"_Therm Saved per Unit",Algorithms!$A:$A,0)),0)</f>
        <v>0</v>
      </c>
      <c r="BE228" s="164" t="str">
        <f ca="1">IFERROR(INDEX('v12 Revisions'!$P$29:$P$186, MATCH('Measure-Level Adj Gas'!$L228, 'v12 Revisions'!$D$29:$D$186,0)),"")</f>
        <v/>
      </c>
      <c r="BF228" s="266">
        <f t="shared" ca="1" si="140"/>
        <v>0</v>
      </c>
      <c r="BG228" s="264">
        <f t="shared" ca="1" si="141"/>
        <v>0</v>
      </c>
      <c r="BH228" s="262"/>
      <c r="BI228" s="262"/>
      <c r="BJ228" s="265">
        <f ca="1">IFERROR(INDEX(Algorithms!$G:$G,MATCH($C228&amp;"_Therm Saved per Unit",Algorithms!$A:$A,0)),0)</f>
        <v>0</v>
      </c>
      <c r="BK228" s="164"/>
      <c r="BL228" s="266">
        <f t="shared" ca="1" si="142"/>
        <v>0</v>
      </c>
      <c r="BM228" s="264">
        <f t="shared" ca="1" si="143"/>
        <v>0</v>
      </c>
      <c r="BN228" s="266">
        <f t="shared" si="144"/>
        <v>0</v>
      </c>
      <c r="BO228" s="266">
        <f t="shared" si="145"/>
        <v>0</v>
      </c>
      <c r="BP228" s="266">
        <f t="shared" ca="1" si="146"/>
        <v>0</v>
      </c>
      <c r="BQ228" s="266">
        <f t="shared" ca="1" si="147"/>
        <v>0</v>
      </c>
      <c r="BR228" s="268">
        <f t="shared" ca="1" si="148"/>
        <v>0</v>
      </c>
      <c r="BS228" s="262" t="s">
        <v>99</v>
      </c>
      <c r="BT228" s="277"/>
      <c r="BW228" s="266">
        <f t="shared" si="149"/>
        <v>0</v>
      </c>
      <c r="BX228" s="266">
        <f t="shared" si="150"/>
        <v>0</v>
      </c>
      <c r="BY228" s="266">
        <f t="shared" si="151"/>
        <v>0</v>
      </c>
      <c r="BZ228" s="266">
        <f t="shared" si="152"/>
        <v>0</v>
      </c>
      <c r="CA228" s="266">
        <f ca="1">N228*IFERROR(INDEX(Algorithms!$G:$G,MATCH($C228&amp;"_Therm Saved per Unit- MLA",Algorithms!$A:$A,0)),0)*X228</f>
        <v>0</v>
      </c>
      <c r="CB228" s="266">
        <f ca="1">O228*IFERROR(INDEX(Algorithms!$G:$G,MATCH($C228&amp;"_Therm Saved per Unit- MLA",Algorithms!$A:$A,0)),0)*Y228</f>
        <v>0</v>
      </c>
      <c r="CC228" s="266">
        <f ca="1">P228*IFERROR(INDEX(Algorithms!$G:$G,MATCH($C228&amp;"_Therm Saved per Unit- MLA",Algorithms!$A:$A,0)),0)*Z228</f>
        <v>0</v>
      </c>
      <c r="CD228" s="266">
        <f ca="1">Q228*IFERROR(INDEX(Algorithms!$G:$G,MATCH($C228&amp;"_Therm Saved per Unit- MLA",Algorithms!$A:$A,0)),0)*AA228</f>
        <v>0</v>
      </c>
      <c r="CE228" s="266">
        <f ca="1">IFERROR(INDEX(Algorithms!$G:$G,MATCH($C228&amp;"_Lifetime (years)",Algorithms!$A:$A,0)),0)</f>
        <v>0</v>
      </c>
      <c r="CF228" s="266">
        <f ca="1">IFERROR(INDEX(Algorithms!$G:$G,MATCH($C228&amp;"_Lifetime (years) - Remaining Years",Algorithms!$A:$A,0)),0)</f>
        <v>0</v>
      </c>
      <c r="CG228" s="266">
        <f t="shared" ca="1" si="153"/>
        <v>0</v>
      </c>
      <c r="CH228" s="266">
        <f t="shared" ca="1" si="154"/>
        <v>0</v>
      </c>
      <c r="CI228" s="266">
        <f t="shared" ca="1" si="155"/>
        <v>0</v>
      </c>
      <c r="CJ228" s="266">
        <f t="shared" ca="1" si="156"/>
        <v>0</v>
      </c>
      <c r="CK228" s="266">
        <f t="shared" si="157"/>
        <v>0</v>
      </c>
      <c r="CL228" s="266">
        <f t="shared" si="158"/>
        <v>0</v>
      </c>
      <c r="CM228" s="266">
        <f t="shared" ca="1" si="159"/>
        <v>0</v>
      </c>
      <c r="CN228" s="266">
        <f t="shared" ca="1" si="160"/>
        <v>0</v>
      </c>
      <c r="CO228" s="266">
        <f ca="1">N228*IFERROR(INDEX(Algorithms!$G:$G,MATCH($C228&amp;"_Therm Saved per Unit- MLA",Algorithms!$A:$A,0)),0)*X228</f>
        <v>0</v>
      </c>
      <c r="CP228" s="266">
        <f ca="1">O228*IFERROR(INDEX(Algorithms!$G:$G,MATCH($C228&amp;"_Therm Saved per Unit- MLA",Algorithms!$A:$A,0)),0)*Y228</f>
        <v>0</v>
      </c>
      <c r="CQ228" s="266">
        <f ca="1">P228*IFERROR(INDEX(Algorithms!$G:$G,MATCH($C228&amp;"_Therm Saved per Unit- MLA",Algorithms!$A:$A,0)),0)*Z228</f>
        <v>0</v>
      </c>
      <c r="CR228" s="266">
        <f ca="1">Q228*IFERROR(INDEX(Algorithms!$G:$G,MATCH($C228&amp;"_Therm Saved per Unit- MLA",Algorithms!$A:$A,0)),0)*AA228</f>
        <v>0</v>
      </c>
      <c r="CS228" s="266">
        <f ca="1">IFERROR(INDEX(Algorithms!$G:$G,MATCH($C228&amp;"_Lifetime (years)",Algorithms!$A:$A,0)),0)</f>
        <v>0</v>
      </c>
      <c r="CT228" s="266">
        <f ca="1">IFERROR(INDEX(Algorithms!$G:$G,MATCH($C228&amp;"_Lifetime (years) - Remaining Years",Algorithms!$A:$A,0)),0)</f>
        <v>0</v>
      </c>
      <c r="CU228" s="266">
        <f t="shared" ca="1" si="161"/>
        <v>0</v>
      </c>
      <c r="CV228" s="266">
        <f t="shared" ca="1" si="162"/>
        <v>0</v>
      </c>
      <c r="CW228" s="266">
        <f t="shared" ca="1" si="163"/>
        <v>0</v>
      </c>
      <c r="CX228" s="266">
        <f t="shared" ca="1" si="164"/>
        <v>0</v>
      </c>
    </row>
    <row r="229" spans="2:102" s="47" customFormat="1" ht="18" customHeight="1" x14ac:dyDescent="0.25">
      <c r="B229" t="str">
        <f t="shared" si="165"/>
        <v>NSG_Business_Small/Mid-Size Business_Partner Trade Ally Rebate_Pipe Insulation_Dry Cleaners_CI/SMB</v>
      </c>
      <c r="C229" s="47" t="str">
        <f t="shared" si="126"/>
        <v>Pipe Insulation_Dry Cleaners_CI/SMB</v>
      </c>
      <c r="D229" s="270" t="s">
        <v>1787</v>
      </c>
      <c r="E229" s="270" t="s">
        <v>3</v>
      </c>
      <c r="F229" s="270" t="s">
        <v>1432</v>
      </c>
      <c r="G229" s="270" t="s">
        <v>1799</v>
      </c>
      <c r="H229" s="270" t="s">
        <v>404</v>
      </c>
      <c r="I229" s="270" t="s">
        <v>969</v>
      </c>
      <c r="J229" s="270" t="s">
        <v>970</v>
      </c>
      <c r="K229" s="263">
        <v>1</v>
      </c>
      <c r="L229" s="263" t="str">
        <f ca="1">IFERROR(INDEX(Algorithms!J:J,MATCH($C229&amp;"_Therm Saved per Unit",Algorithms!$A:$A,0)),"n/a")</f>
        <v>"3 - Res Pipe Insulation" worksheet</v>
      </c>
      <c r="M229" s="263" t="str">
        <f>IFERROR(INDEX('Measure Level Detail'!$N:$N,MATCH($B229,'Measure Level Detail'!$B:$B,0)),0)</f>
        <v>linear feet</v>
      </c>
      <c r="N229" s="271">
        <f>IFERROR(INDEX('Measure Level Detail'!$P:$P,MATCH($B229&amp;"_"&amp;N$3,'Measure Level Detail'!$C:$C,0)),0)</f>
        <v>20</v>
      </c>
      <c r="O229" s="271">
        <f>IFERROR(INDEX('Measure Level Detail'!$P:$P,MATCH($B229&amp;"_"&amp;O$3,'Measure Level Detail'!$C:$C,0)),0)</f>
        <v>15</v>
      </c>
      <c r="P229" s="271">
        <f>IFERROR(INDEX('Measure Level Detail'!$P:$P,MATCH($B229&amp;"_"&amp;P$3,'Measure Level Detail'!$C:$C,0)),0)</f>
        <v>15</v>
      </c>
      <c r="Q229" s="271">
        <f>IFERROR(INDEX('Measure Level Detail'!$P:$P,MATCH($B229&amp;"_"&amp;Q$3,'Measure Level Detail'!$C:$C,0)),0)</f>
        <v>15</v>
      </c>
      <c r="R229" s="263">
        <f ca="1">IFERROR(INDEX(Algorithms!K:K,MATCH($C229&amp;"_Therm Saved per Unit",Algorithms!$A:$A,0)),"n/a")</f>
        <v>0</v>
      </c>
      <c r="S229" s="262"/>
      <c r="T229" s="272">
        <v>2.6562680100025178</v>
      </c>
      <c r="U229" s="272">
        <v>2.6562680100025178</v>
      </c>
      <c r="V229" s="272">
        <v>2.6562680100025178</v>
      </c>
      <c r="W229" s="272">
        <v>2.6562680100025178</v>
      </c>
      <c r="X229" s="276">
        <v>0.93</v>
      </c>
      <c r="Y229" s="276">
        <v>0.93</v>
      </c>
      <c r="Z229" s="276">
        <v>0.93</v>
      </c>
      <c r="AA229" s="276">
        <v>0.93</v>
      </c>
      <c r="AB229" s="266">
        <f t="shared" si="127"/>
        <v>49.40658498604683</v>
      </c>
      <c r="AC229" s="266">
        <f t="shared" si="128"/>
        <v>37.054938739535125</v>
      </c>
      <c r="AD229" s="266">
        <f t="shared" si="129"/>
        <v>37.054938739535125</v>
      </c>
      <c r="AE229" s="266">
        <f t="shared" si="130"/>
        <v>37.054938739535125</v>
      </c>
      <c r="AF229" s="266">
        <f t="shared" si="131"/>
        <v>160.5714012046522</v>
      </c>
      <c r="AG229" s="274">
        <v>0.93</v>
      </c>
      <c r="AH229" s="274">
        <v>0.93</v>
      </c>
      <c r="AI229" s="274">
        <v>0.93</v>
      </c>
      <c r="AJ229" s="274">
        <v>0.93</v>
      </c>
      <c r="AK229" s="274">
        <f t="shared" si="132"/>
        <v>0.93</v>
      </c>
      <c r="AL229" s="274">
        <f t="shared" si="133"/>
        <v>0.93</v>
      </c>
      <c r="AM229" s="274">
        <f t="shared" si="134"/>
        <v>0.93</v>
      </c>
      <c r="AN229" s="274">
        <f t="shared" si="135"/>
        <v>0.93</v>
      </c>
      <c r="AO229" s="262"/>
      <c r="AP229" s="262"/>
      <c r="AQ229" s="267">
        <v>2.6562680100025178</v>
      </c>
      <c r="AR229" s="262"/>
      <c r="AS229" s="266">
        <f t="shared" si="136"/>
        <v>49.40658498604683</v>
      </c>
      <c r="AT229" s="264">
        <f t="shared" si="137"/>
        <v>0</v>
      </c>
      <c r="AU229" s="262"/>
      <c r="AV229" s="262"/>
      <c r="AW229" s="265">
        <v>2.6562680100025178</v>
      </c>
      <c r="AX229" s="164" t="s">
        <v>1469</v>
      </c>
      <c r="AY229" s="266">
        <v>37.054938739535125</v>
      </c>
      <c r="AZ229" s="266">
        <f t="shared" si="138"/>
        <v>37.054938739535125</v>
      </c>
      <c r="BA229" s="264">
        <f t="shared" si="139"/>
        <v>0</v>
      </c>
      <c r="BB229" s="262"/>
      <c r="BC229" s="262"/>
      <c r="BD229" s="265">
        <f ca="1">IFERROR(INDEX(Algorithms!$G:$G,MATCH($C229&amp;"_Therm Saved per Unit",Algorithms!$A:$A,0)),0)</f>
        <v>2.6562680100025178</v>
      </c>
      <c r="BE229" s="164" t="str">
        <f ca="1">IFERROR(INDEX('v12 Revisions'!$P$29:$P$186, MATCH('Measure-Level Adj Gas'!$L229, 'v12 Revisions'!$D$29:$D$186,0)),"")</f>
        <v/>
      </c>
      <c r="BF229" s="266">
        <f t="shared" ca="1" si="140"/>
        <v>37.054938739535125</v>
      </c>
      <c r="BG229" s="264">
        <f t="shared" ca="1" si="141"/>
        <v>0</v>
      </c>
      <c r="BH229" s="262"/>
      <c r="BI229" s="262"/>
      <c r="BJ229" s="265">
        <f ca="1">IFERROR(INDEX(Algorithms!$G:$G,MATCH($C229&amp;"_Therm Saved per Unit",Algorithms!$A:$A,0)),0)</f>
        <v>2.6562680100025178</v>
      </c>
      <c r="BK229" s="164"/>
      <c r="BL229" s="266">
        <f t="shared" ca="1" si="142"/>
        <v>37.054938739535125</v>
      </c>
      <c r="BM229" s="264">
        <f t="shared" ca="1" si="143"/>
        <v>0</v>
      </c>
      <c r="BN229" s="266">
        <f t="shared" si="144"/>
        <v>49.40658498604683</v>
      </c>
      <c r="BO229" s="266">
        <f t="shared" si="145"/>
        <v>37.054938739535125</v>
      </c>
      <c r="BP229" s="266">
        <f t="shared" ca="1" si="146"/>
        <v>37.054938739535125</v>
      </c>
      <c r="BQ229" s="266">
        <f t="shared" ca="1" si="147"/>
        <v>37.054938739535125</v>
      </c>
      <c r="BR229" s="268">
        <f t="shared" ca="1" si="148"/>
        <v>160.5714012046522</v>
      </c>
      <c r="BS229" s="262" t="s">
        <v>99</v>
      </c>
      <c r="BT229" s="277"/>
      <c r="BW229" s="266">
        <f t="shared" si="149"/>
        <v>49.40658498604683</v>
      </c>
      <c r="BX229" s="266">
        <f t="shared" si="150"/>
        <v>37.054938739535125</v>
      </c>
      <c r="BY229" s="266">
        <f t="shared" si="151"/>
        <v>37.054938739535125</v>
      </c>
      <c r="BZ229" s="266">
        <f t="shared" si="152"/>
        <v>37.054938739535125</v>
      </c>
      <c r="CA229" s="266">
        <f ca="1">N229*IFERROR(INDEX(Algorithms!$G:$G,MATCH($C229&amp;"_Therm Saved per Unit- MLA",Algorithms!$A:$A,0)),0)*X229</f>
        <v>0</v>
      </c>
      <c r="CB229" s="266">
        <f ca="1">O229*IFERROR(INDEX(Algorithms!$G:$G,MATCH($C229&amp;"_Therm Saved per Unit- MLA",Algorithms!$A:$A,0)),0)*Y229</f>
        <v>0</v>
      </c>
      <c r="CC229" s="266">
        <f ca="1">P229*IFERROR(INDEX(Algorithms!$G:$G,MATCH($C229&amp;"_Therm Saved per Unit- MLA",Algorithms!$A:$A,0)),0)*Z229</f>
        <v>0</v>
      </c>
      <c r="CD229" s="266">
        <f ca="1">Q229*IFERROR(INDEX(Algorithms!$G:$G,MATCH($C229&amp;"_Therm Saved per Unit- MLA",Algorithms!$A:$A,0)),0)*AA229</f>
        <v>0</v>
      </c>
      <c r="CE229" s="266">
        <f ca="1">IFERROR(INDEX(Algorithms!$G:$G,MATCH($C229&amp;"_Lifetime (years)",Algorithms!$A:$A,0)),0)</f>
        <v>15</v>
      </c>
      <c r="CF229" s="266">
        <f ca="1">IFERROR(INDEX(Algorithms!$G:$G,MATCH($C229&amp;"_Lifetime (years) - Remaining Years",Algorithms!$A:$A,0)),0)</f>
        <v>0</v>
      </c>
      <c r="CG229" s="266">
        <f t="shared" ca="1" si="153"/>
        <v>741.09877479070246</v>
      </c>
      <c r="CH229" s="266">
        <f t="shared" ca="1" si="154"/>
        <v>555.82408109302685</v>
      </c>
      <c r="CI229" s="266">
        <f t="shared" ca="1" si="155"/>
        <v>555.82408109302685</v>
      </c>
      <c r="CJ229" s="266">
        <f t="shared" ca="1" si="156"/>
        <v>555.82408109302685</v>
      </c>
      <c r="CK229" s="266">
        <f t="shared" si="157"/>
        <v>49.40658498604683</v>
      </c>
      <c r="CL229" s="266">
        <f t="shared" si="158"/>
        <v>37.054938739535125</v>
      </c>
      <c r="CM229" s="266">
        <f t="shared" ca="1" si="159"/>
        <v>37.054938739535125</v>
      </c>
      <c r="CN229" s="266">
        <f t="shared" ca="1" si="160"/>
        <v>37.054938739535125</v>
      </c>
      <c r="CO229" s="266">
        <f ca="1">N229*IFERROR(INDEX(Algorithms!$G:$G,MATCH($C229&amp;"_Therm Saved per Unit- MLA",Algorithms!$A:$A,0)),0)*X229</f>
        <v>0</v>
      </c>
      <c r="CP229" s="266">
        <f ca="1">O229*IFERROR(INDEX(Algorithms!$G:$G,MATCH($C229&amp;"_Therm Saved per Unit- MLA",Algorithms!$A:$A,0)),0)*Y229</f>
        <v>0</v>
      </c>
      <c r="CQ229" s="266">
        <f ca="1">P229*IFERROR(INDEX(Algorithms!$G:$G,MATCH($C229&amp;"_Therm Saved per Unit- MLA",Algorithms!$A:$A,0)),0)*Z229</f>
        <v>0</v>
      </c>
      <c r="CR229" s="266">
        <f ca="1">Q229*IFERROR(INDEX(Algorithms!$G:$G,MATCH($C229&amp;"_Therm Saved per Unit- MLA",Algorithms!$A:$A,0)),0)*AA229</f>
        <v>0</v>
      </c>
      <c r="CS229" s="266">
        <f ca="1">IFERROR(INDEX(Algorithms!$G:$G,MATCH($C229&amp;"_Lifetime (years)",Algorithms!$A:$A,0)),0)</f>
        <v>15</v>
      </c>
      <c r="CT229" s="266">
        <f ca="1">IFERROR(INDEX(Algorithms!$G:$G,MATCH($C229&amp;"_Lifetime (years) - Remaining Years",Algorithms!$A:$A,0)),0)</f>
        <v>0</v>
      </c>
      <c r="CU229" s="266">
        <f t="shared" ca="1" si="161"/>
        <v>741.09877479070246</v>
      </c>
      <c r="CV229" s="266">
        <f t="shared" ca="1" si="162"/>
        <v>555.82408109302685</v>
      </c>
      <c r="CW229" s="266">
        <f t="shared" ca="1" si="163"/>
        <v>555.82408109302685</v>
      </c>
      <c r="CX229" s="266">
        <f t="shared" ca="1" si="164"/>
        <v>555.82408109302685</v>
      </c>
    </row>
    <row r="230" spans="2:102" s="47" customFormat="1" ht="18" customHeight="1" x14ac:dyDescent="0.25">
      <c r="B230" t="str">
        <f t="shared" si="165"/>
        <v>NSG_Income Eligible_Multi-Family_Whole Building - Prescriptive_Door Sweep_0_IE MF</v>
      </c>
      <c r="C230" s="47" t="str">
        <f t="shared" si="126"/>
        <v>Door Sweep_0_IE MF</v>
      </c>
      <c r="D230" s="270" t="s">
        <v>1787</v>
      </c>
      <c r="E230" s="270" t="s">
        <v>325</v>
      </c>
      <c r="F230" s="270" t="s">
        <v>1422</v>
      </c>
      <c r="G230" s="270" t="s">
        <v>1813</v>
      </c>
      <c r="H230" s="270" t="s">
        <v>6</v>
      </c>
      <c r="I230" s="270">
        <v>0</v>
      </c>
      <c r="J230" s="270" t="s">
        <v>1398</v>
      </c>
      <c r="K230" s="263">
        <v>1</v>
      </c>
      <c r="L230" s="263" t="str">
        <f ca="1">IFERROR(INDEX(Algorithms!J:J,MATCH($C230&amp;"_Therm Saved per Unit",Algorithms!$A:$A,0)),"n/a")</f>
        <v>5.6.1</v>
      </c>
      <c r="M230" s="263" t="str">
        <f>IFERROR(INDEX('Measure Level Detail'!$N:$N,MATCH($B230,'Measure Level Detail'!$B:$B,0)),0)</f>
        <v>per door</v>
      </c>
      <c r="N230" s="271">
        <f>IFERROR(INDEX('Measure Level Detail'!$P:$P,MATCH($B230&amp;"_"&amp;N$3,'Measure Level Detail'!$C:$C,0)),0)</f>
        <v>18</v>
      </c>
      <c r="O230" s="271">
        <f>IFERROR(INDEX('Measure Level Detail'!$P:$P,MATCH($B230&amp;"_"&amp;O$3,'Measure Level Detail'!$C:$C,0)),0)</f>
        <v>18</v>
      </c>
      <c r="P230" s="271">
        <f>IFERROR(INDEX('Measure Level Detail'!$P:$P,MATCH($B230&amp;"_"&amp;P$3,'Measure Level Detail'!$C:$C,0)),0)</f>
        <v>18</v>
      </c>
      <c r="Q230" s="271">
        <f>IFERROR(INDEX('Measure Level Detail'!$P:$P,MATCH($B230&amp;"_"&amp;Q$3,'Measure Level Detail'!$C:$C,0)),0)</f>
        <v>18</v>
      </c>
      <c r="R230" s="263" t="str">
        <f ca="1">IFERROR(INDEX(Algorithms!K:K,MATCH($C230&amp;"_Therm Saved per Unit",Algorithms!$A:$A,0)),"n/a")</f>
        <v>RS-SHL-AIRS-V13-240101</v>
      </c>
      <c r="S230" s="262"/>
      <c r="T230" s="272">
        <v>7.3040000000000012</v>
      </c>
      <c r="U230" s="272">
        <v>7.3040000000000012</v>
      </c>
      <c r="V230" s="272">
        <v>7.3040000000000012</v>
      </c>
      <c r="W230" s="272">
        <v>7.3040000000000012</v>
      </c>
      <c r="X230" s="273">
        <f>IFERROR(INDEX('Measure Level Detail'!$R:$R,MATCH($B230&amp;"_"&amp;X$3,'Measure Level Detail'!$C:$C,0)),0)</f>
        <v>1</v>
      </c>
      <c r="Y230" s="273">
        <f>IFERROR(INDEX('Measure Level Detail'!$R:$R,MATCH($B230&amp;"_"&amp;Y$3,'Measure Level Detail'!$C:$C,0)),0)</f>
        <v>1</v>
      </c>
      <c r="Z230" s="273">
        <f>IFERROR(INDEX('Measure Level Detail'!$R:$R,MATCH($B230&amp;"_"&amp;Z$3,'Measure Level Detail'!$C:$C,0)),0)</f>
        <v>1</v>
      </c>
      <c r="AA230" s="273">
        <f>IFERROR(INDEX('Measure Level Detail'!$R:$R,MATCH($B230&amp;"_"&amp;AA$3,'Measure Level Detail'!$C:$C,0)),0)</f>
        <v>1</v>
      </c>
      <c r="AB230" s="266">
        <f t="shared" si="127"/>
        <v>131.47200000000001</v>
      </c>
      <c r="AC230" s="266">
        <f t="shared" si="128"/>
        <v>131.47200000000001</v>
      </c>
      <c r="AD230" s="266">
        <f t="shared" si="129"/>
        <v>131.47200000000001</v>
      </c>
      <c r="AE230" s="266">
        <f t="shared" si="130"/>
        <v>131.47200000000001</v>
      </c>
      <c r="AF230" s="266">
        <f t="shared" si="131"/>
        <v>525.88800000000003</v>
      </c>
      <c r="AG230" s="274">
        <v>1</v>
      </c>
      <c r="AH230" s="274">
        <v>1</v>
      </c>
      <c r="AI230" s="274">
        <v>1</v>
      </c>
      <c r="AJ230" s="274">
        <v>1</v>
      </c>
      <c r="AK230" s="274">
        <f t="shared" si="132"/>
        <v>1</v>
      </c>
      <c r="AL230" s="274">
        <f t="shared" si="133"/>
        <v>1</v>
      </c>
      <c r="AM230" s="274">
        <f t="shared" si="134"/>
        <v>1</v>
      </c>
      <c r="AN230" s="274">
        <f t="shared" si="135"/>
        <v>1</v>
      </c>
      <c r="AO230" s="262"/>
      <c r="AP230" s="262"/>
      <c r="AQ230" s="267">
        <v>7.3040000000000012</v>
      </c>
      <c r="AR230" s="262"/>
      <c r="AS230" s="266">
        <f t="shared" si="136"/>
        <v>131.47200000000001</v>
      </c>
      <c r="AT230" s="264">
        <f t="shared" si="137"/>
        <v>0</v>
      </c>
      <c r="AU230" s="262"/>
      <c r="AV230" s="262"/>
      <c r="AW230" s="265">
        <v>7.3040000000000012</v>
      </c>
      <c r="AX230" s="164" t="s">
        <v>2395</v>
      </c>
      <c r="AY230" s="266">
        <v>131.47200000000001</v>
      </c>
      <c r="AZ230" s="266">
        <f t="shared" si="138"/>
        <v>131.47200000000001</v>
      </c>
      <c r="BA230" s="264">
        <f t="shared" si="139"/>
        <v>0</v>
      </c>
      <c r="BB230" s="262"/>
      <c r="BC230" s="262"/>
      <c r="BD230" s="265">
        <f ca="1">IFERROR(INDEX(Algorithms!$G:$G,MATCH($C230&amp;"_Therm Saved per Unit",Algorithms!$A:$A,0)),0)</f>
        <v>7.3040000000000012</v>
      </c>
      <c r="BE230" s="164" t="str">
        <f ca="1">IFERROR(INDEX('v12 Revisions'!$P$29:$P$186, MATCH('Measure-Level Adj Gas'!$L230, 'v12 Revisions'!$D$29:$D$186,0)),"")</f>
        <v>Updated HDD from 5113 to 4798 and shell adjustment factor from 0.72 to 0.76.</v>
      </c>
      <c r="BF230" s="266">
        <f t="shared" ca="1" si="140"/>
        <v>131.47200000000001</v>
      </c>
      <c r="BG230" s="264">
        <f t="shared" ca="1" si="141"/>
        <v>0</v>
      </c>
      <c r="BH230" s="262"/>
      <c r="BI230" s="262"/>
      <c r="BJ230" s="265">
        <f ca="1">IFERROR(INDEX(Algorithms!$G:$G,MATCH($C230&amp;"_Therm Saved per Unit",Algorithms!$A:$A,0)),0)</f>
        <v>7.3040000000000012</v>
      </c>
      <c r="BK230" s="164"/>
      <c r="BL230" s="266">
        <f t="shared" ca="1" si="142"/>
        <v>131.47200000000001</v>
      </c>
      <c r="BM230" s="264">
        <f t="shared" ca="1" si="143"/>
        <v>0</v>
      </c>
      <c r="BN230" s="266">
        <f t="shared" si="144"/>
        <v>131.47200000000001</v>
      </c>
      <c r="BO230" s="266">
        <f t="shared" si="145"/>
        <v>131.47200000000001</v>
      </c>
      <c r="BP230" s="266">
        <f t="shared" ca="1" si="146"/>
        <v>131.47200000000001</v>
      </c>
      <c r="BQ230" s="266">
        <f t="shared" ca="1" si="147"/>
        <v>131.47200000000001</v>
      </c>
      <c r="BR230" s="268">
        <f t="shared" ca="1" si="148"/>
        <v>525.88800000000003</v>
      </c>
      <c r="BS230" s="262" t="s">
        <v>99</v>
      </c>
      <c r="BT230" s="277"/>
      <c r="BW230" s="266">
        <f t="shared" si="149"/>
        <v>131.47200000000001</v>
      </c>
      <c r="BX230" s="266">
        <f t="shared" si="150"/>
        <v>131.47200000000001</v>
      </c>
      <c r="BY230" s="266">
        <f t="shared" si="151"/>
        <v>131.47200000000001</v>
      </c>
      <c r="BZ230" s="266">
        <f t="shared" si="152"/>
        <v>131.47200000000001</v>
      </c>
      <c r="CA230" s="266">
        <f ca="1">N230*IFERROR(INDEX(Algorithms!$G:$G,MATCH($C230&amp;"_Therm Saved per Unit- MLA",Algorithms!$A:$A,0)),0)*X230</f>
        <v>0</v>
      </c>
      <c r="CB230" s="266">
        <f ca="1">O230*IFERROR(INDEX(Algorithms!$G:$G,MATCH($C230&amp;"_Therm Saved per Unit- MLA",Algorithms!$A:$A,0)),0)*Y230</f>
        <v>0</v>
      </c>
      <c r="CC230" s="266">
        <f ca="1">P230*IFERROR(INDEX(Algorithms!$G:$G,MATCH($C230&amp;"_Therm Saved per Unit- MLA",Algorithms!$A:$A,0)),0)*Z230</f>
        <v>0</v>
      </c>
      <c r="CD230" s="266">
        <f ca="1">Q230*IFERROR(INDEX(Algorithms!$G:$G,MATCH($C230&amp;"_Therm Saved per Unit- MLA",Algorithms!$A:$A,0)),0)*AA230</f>
        <v>0</v>
      </c>
      <c r="CE230" s="266">
        <f ca="1">IFERROR(INDEX(Algorithms!$G:$G,MATCH($C230&amp;"_Lifetime (years)",Algorithms!$A:$A,0)),0)</f>
        <v>20</v>
      </c>
      <c r="CF230" s="266">
        <f ca="1">IFERROR(INDEX(Algorithms!$G:$G,MATCH($C230&amp;"_Lifetime (years) - Remaining Years",Algorithms!$A:$A,0)),0)</f>
        <v>0</v>
      </c>
      <c r="CG230" s="266">
        <f t="shared" ca="1" si="153"/>
        <v>2629.44</v>
      </c>
      <c r="CH230" s="266">
        <f t="shared" ca="1" si="154"/>
        <v>2629.44</v>
      </c>
      <c r="CI230" s="266">
        <f t="shared" ca="1" si="155"/>
        <v>2629.44</v>
      </c>
      <c r="CJ230" s="266">
        <f t="shared" ca="1" si="156"/>
        <v>2629.44</v>
      </c>
      <c r="CK230" s="266">
        <f t="shared" si="157"/>
        <v>131.47200000000001</v>
      </c>
      <c r="CL230" s="266">
        <f t="shared" si="158"/>
        <v>131.47200000000001</v>
      </c>
      <c r="CM230" s="266">
        <f t="shared" ca="1" si="159"/>
        <v>131.47200000000001</v>
      </c>
      <c r="CN230" s="266">
        <f t="shared" ca="1" si="160"/>
        <v>131.47200000000001</v>
      </c>
      <c r="CO230" s="266">
        <f ca="1">N230*IFERROR(INDEX(Algorithms!$G:$G,MATCH($C230&amp;"_Therm Saved per Unit- MLA",Algorithms!$A:$A,0)),0)*X230</f>
        <v>0</v>
      </c>
      <c r="CP230" s="266">
        <f ca="1">O230*IFERROR(INDEX(Algorithms!$G:$G,MATCH($C230&amp;"_Therm Saved per Unit- MLA",Algorithms!$A:$A,0)),0)*Y230</f>
        <v>0</v>
      </c>
      <c r="CQ230" s="266">
        <f ca="1">P230*IFERROR(INDEX(Algorithms!$G:$G,MATCH($C230&amp;"_Therm Saved per Unit- MLA",Algorithms!$A:$A,0)),0)*Z230</f>
        <v>0</v>
      </c>
      <c r="CR230" s="266">
        <f ca="1">Q230*IFERROR(INDEX(Algorithms!$G:$G,MATCH($C230&amp;"_Therm Saved per Unit- MLA",Algorithms!$A:$A,0)),0)*AA230</f>
        <v>0</v>
      </c>
      <c r="CS230" s="266">
        <f ca="1">IFERROR(INDEX(Algorithms!$G:$G,MATCH($C230&amp;"_Lifetime (years)",Algorithms!$A:$A,0)),0)</f>
        <v>20</v>
      </c>
      <c r="CT230" s="266">
        <f ca="1">IFERROR(INDEX(Algorithms!$G:$G,MATCH($C230&amp;"_Lifetime (years) - Remaining Years",Algorithms!$A:$A,0)),0)</f>
        <v>0</v>
      </c>
      <c r="CU230" s="266">
        <f t="shared" ca="1" si="161"/>
        <v>2629.44</v>
      </c>
      <c r="CV230" s="266">
        <f t="shared" ca="1" si="162"/>
        <v>2629.44</v>
      </c>
      <c r="CW230" s="266">
        <f t="shared" ca="1" si="163"/>
        <v>2629.44</v>
      </c>
      <c r="CX230" s="266">
        <f t="shared" ca="1" si="164"/>
        <v>2629.44</v>
      </c>
    </row>
    <row r="231" spans="2:102" s="47" customFormat="1" ht="18" customHeight="1" x14ac:dyDescent="0.25">
      <c r="B231" t="str">
        <f t="shared" si="165"/>
        <v>NSG_Business_Small/Mid-Size Business_Assessments_Unit Visit_0_CI</v>
      </c>
      <c r="C231" s="47" t="str">
        <f t="shared" si="126"/>
        <v>Unit Visit_0_CI</v>
      </c>
      <c r="D231" s="270" t="s">
        <v>1787</v>
      </c>
      <c r="E231" s="270" t="s">
        <v>3</v>
      </c>
      <c r="F231" s="270" t="s">
        <v>1432</v>
      </c>
      <c r="G231" s="270" t="s">
        <v>1431</v>
      </c>
      <c r="H231" s="270" t="s">
        <v>1090</v>
      </c>
      <c r="I231" s="270">
        <v>0</v>
      </c>
      <c r="J231" s="270" t="s">
        <v>1159</v>
      </c>
      <c r="K231" s="263">
        <v>1</v>
      </c>
      <c r="L231" s="263">
        <f ca="1">IFERROR(INDEX(Algorithms!J:J,MATCH($C231&amp;"_Therm Saved per Unit",Algorithms!$A:$A,0)),"n/a")</f>
        <v>0</v>
      </c>
      <c r="M231" s="263" t="str">
        <f>IFERROR(INDEX('Measure Level Detail'!$N:$N,MATCH($B231,'Measure Level Detail'!$B:$B,0)),0)</f>
        <v>each</v>
      </c>
      <c r="N231" s="271">
        <f>IFERROR(INDEX('Measure Level Detail'!$P:$P,MATCH($B231&amp;"_"&amp;N$3,'Measure Level Detail'!$C:$C,0)),0)</f>
        <v>18</v>
      </c>
      <c r="O231" s="271">
        <f>IFERROR(INDEX('Measure Level Detail'!$P:$P,MATCH($B231&amp;"_"&amp;O$3,'Measure Level Detail'!$C:$C,0)),0)</f>
        <v>16</v>
      </c>
      <c r="P231" s="271">
        <f>IFERROR(INDEX('Measure Level Detail'!$P:$P,MATCH($B231&amp;"_"&amp;P$3,'Measure Level Detail'!$C:$C,0)),0)</f>
        <v>16</v>
      </c>
      <c r="Q231" s="271">
        <f>IFERROR(INDEX('Measure Level Detail'!$P:$P,MATCH($B231&amp;"_"&amp;Q$3,'Measure Level Detail'!$C:$C,0)),0)</f>
        <v>15</v>
      </c>
      <c r="R231" s="263">
        <f ca="1">IFERROR(INDEX(Algorithms!K:K,MATCH($C231&amp;"_Therm Saved per Unit",Algorithms!$A:$A,0)),"n/a")</f>
        <v>0</v>
      </c>
      <c r="S231" s="262"/>
      <c r="T231" s="272">
        <v>0</v>
      </c>
      <c r="U231" s="272">
        <v>0</v>
      </c>
      <c r="V231" s="272">
        <v>0</v>
      </c>
      <c r="W231" s="272">
        <v>0</v>
      </c>
      <c r="X231" s="276">
        <v>0.93</v>
      </c>
      <c r="Y231" s="276">
        <v>0.93</v>
      </c>
      <c r="Z231" s="276">
        <v>0.93</v>
      </c>
      <c r="AA231" s="276">
        <v>0.93</v>
      </c>
      <c r="AB231" s="266">
        <f t="shared" si="127"/>
        <v>0</v>
      </c>
      <c r="AC231" s="266">
        <f t="shared" si="128"/>
        <v>0</v>
      </c>
      <c r="AD231" s="266">
        <f t="shared" si="129"/>
        <v>0</v>
      </c>
      <c r="AE231" s="266">
        <f t="shared" si="130"/>
        <v>0</v>
      </c>
      <c r="AF231" s="266">
        <f t="shared" si="131"/>
        <v>0</v>
      </c>
      <c r="AG231" s="274">
        <v>0.93</v>
      </c>
      <c r="AH231" s="274">
        <v>0.93</v>
      </c>
      <c r="AI231" s="274">
        <v>0.93</v>
      </c>
      <c r="AJ231" s="274">
        <v>0.93</v>
      </c>
      <c r="AK231" s="274">
        <f t="shared" si="132"/>
        <v>0.93</v>
      </c>
      <c r="AL231" s="274">
        <f t="shared" si="133"/>
        <v>0.93</v>
      </c>
      <c r="AM231" s="274">
        <f t="shared" si="134"/>
        <v>0.93</v>
      </c>
      <c r="AN231" s="274">
        <f t="shared" si="135"/>
        <v>0.93</v>
      </c>
      <c r="AO231" s="262"/>
      <c r="AP231" s="262"/>
      <c r="AQ231" s="267">
        <v>0</v>
      </c>
      <c r="AR231" s="262"/>
      <c r="AS231" s="266">
        <f t="shared" si="136"/>
        <v>0</v>
      </c>
      <c r="AT231" s="264">
        <f t="shared" si="137"/>
        <v>0</v>
      </c>
      <c r="AU231" s="262"/>
      <c r="AV231" s="262"/>
      <c r="AW231" s="265">
        <v>0</v>
      </c>
      <c r="AX231" s="164" t="s">
        <v>1469</v>
      </c>
      <c r="AY231" s="266">
        <v>0</v>
      </c>
      <c r="AZ231" s="266">
        <f t="shared" si="138"/>
        <v>0</v>
      </c>
      <c r="BA231" s="264">
        <f t="shared" si="139"/>
        <v>0</v>
      </c>
      <c r="BB231" s="262"/>
      <c r="BC231" s="262"/>
      <c r="BD231" s="265">
        <f ca="1">IFERROR(INDEX(Algorithms!$G:$G,MATCH($C231&amp;"_Therm Saved per Unit",Algorithms!$A:$A,0)),0)</f>
        <v>0</v>
      </c>
      <c r="BE231" s="164" t="str">
        <f ca="1">IFERROR(INDEX('v12 Revisions'!$P$29:$P$186, MATCH('Measure-Level Adj Gas'!$L231, 'v12 Revisions'!$D$29:$D$186,0)),"")</f>
        <v/>
      </c>
      <c r="BF231" s="266">
        <f t="shared" ca="1" si="140"/>
        <v>0</v>
      </c>
      <c r="BG231" s="264">
        <f t="shared" ca="1" si="141"/>
        <v>0</v>
      </c>
      <c r="BH231" s="262"/>
      <c r="BI231" s="262"/>
      <c r="BJ231" s="265">
        <f ca="1">IFERROR(INDEX(Algorithms!$G:$G,MATCH($C231&amp;"_Therm Saved per Unit",Algorithms!$A:$A,0)),0)</f>
        <v>0</v>
      </c>
      <c r="BK231" s="164"/>
      <c r="BL231" s="266">
        <f t="shared" ca="1" si="142"/>
        <v>0</v>
      </c>
      <c r="BM231" s="264">
        <f t="shared" ca="1" si="143"/>
        <v>0</v>
      </c>
      <c r="BN231" s="266">
        <f t="shared" si="144"/>
        <v>0</v>
      </c>
      <c r="BO231" s="266">
        <f t="shared" si="145"/>
        <v>0</v>
      </c>
      <c r="BP231" s="266">
        <f t="shared" ca="1" si="146"/>
        <v>0</v>
      </c>
      <c r="BQ231" s="266">
        <f t="shared" ca="1" si="147"/>
        <v>0</v>
      </c>
      <c r="BR231" s="268">
        <f t="shared" ca="1" si="148"/>
        <v>0</v>
      </c>
      <c r="BS231" s="262" t="s">
        <v>99</v>
      </c>
      <c r="BT231" s="277"/>
      <c r="BW231" s="266">
        <f t="shared" si="149"/>
        <v>0</v>
      </c>
      <c r="BX231" s="266">
        <f t="shared" si="150"/>
        <v>0</v>
      </c>
      <c r="BY231" s="266">
        <f t="shared" si="151"/>
        <v>0</v>
      </c>
      <c r="BZ231" s="266">
        <f t="shared" si="152"/>
        <v>0</v>
      </c>
      <c r="CA231" s="266">
        <f ca="1">N231*IFERROR(INDEX(Algorithms!$G:$G,MATCH($C231&amp;"_Therm Saved per Unit- MLA",Algorithms!$A:$A,0)),0)*X231</f>
        <v>0</v>
      </c>
      <c r="CB231" s="266">
        <f ca="1">O231*IFERROR(INDEX(Algorithms!$G:$G,MATCH($C231&amp;"_Therm Saved per Unit- MLA",Algorithms!$A:$A,0)),0)*Y231</f>
        <v>0</v>
      </c>
      <c r="CC231" s="266">
        <f ca="1">P231*IFERROR(INDEX(Algorithms!$G:$G,MATCH($C231&amp;"_Therm Saved per Unit- MLA",Algorithms!$A:$A,0)),0)*Z231</f>
        <v>0</v>
      </c>
      <c r="CD231" s="266">
        <f ca="1">Q231*IFERROR(INDEX(Algorithms!$G:$G,MATCH($C231&amp;"_Therm Saved per Unit- MLA",Algorithms!$A:$A,0)),0)*AA231</f>
        <v>0</v>
      </c>
      <c r="CE231" s="266">
        <f ca="1">IFERROR(INDEX(Algorithms!$G:$G,MATCH($C231&amp;"_Lifetime (years)",Algorithms!$A:$A,0)),0)</f>
        <v>1</v>
      </c>
      <c r="CF231" s="266">
        <f ca="1">IFERROR(INDEX(Algorithms!$G:$G,MATCH($C231&amp;"_Lifetime (years) - Remaining Years",Algorithms!$A:$A,0)),0)</f>
        <v>0</v>
      </c>
      <c r="CG231" s="266">
        <f t="shared" ca="1" si="153"/>
        <v>0</v>
      </c>
      <c r="CH231" s="266">
        <f t="shared" ca="1" si="154"/>
        <v>0</v>
      </c>
      <c r="CI231" s="266">
        <f t="shared" ca="1" si="155"/>
        <v>0</v>
      </c>
      <c r="CJ231" s="266">
        <f t="shared" ca="1" si="156"/>
        <v>0</v>
      </c>
      <c r="CK231" s="266">
        <f t="shared" si="157"/>
        <v>0</v>
      </c>
      <c r="CL231" s="266">
        <f t="shared" si="158"/>
        <v>0</v>
      </c>
      <c r="CM231" s="266">
        <f t="shared" ca="1" si="159"/>
        <v>0</v>
      </c>
      <c r="CN231" s="266">
        <f t="shared" ca="1" si="160"/>
        <v>0</v>
      </c>
      <c r="CO231" s="266">
        <f ca="1">N231*IFERROR(INDEX(Algorithms!$G:$G,MATCH($C231&amp;"_Therm Saved per Unit- MLA",Algorithms!$A:$A,0)),0)*X231</f>
        <v>0</v>
      </c>
      <c r="CP231" s="266">
        <f ca="1">O231*IFERROR(INDEX(Algorithms!$G:$G,MATCH($C231&amp;"_Therm Saved per Unit- MLA",Algorithms!$A:$A,0)),0)*Y231</f>
        <v>0</v>
      </c>
      <c r="CQ231" s="266">
        <f ca="1">P231*IFERROR(INDEX(Algorithms!$G:$G,MATCH($C231&amp;"_Therm Saved per Unit- MLA",Algorithms!$A:$A,0)),0)*Z231</f>
        <v>0</v>
      </c>
      <c r="CR231" s="266">
        <f ca="1">Q231*IFERROR(INDEX(Algorithms!$G:$G,MATCH($C231&amp;"_Therm Saved per Unit- MLA",Algorithms!$A:$A,0)),0)*AA231</f>
        <v>0</v>
      </c>
      <c r="CS231" s="266">
        <f ca="1">IFERROR(INDEX(Algorithms!$G:$G,MATCH($C231&amp;"_Lifetime (years)",Algorithms!$A:$A,0)),0)</f>
        <v>1</v>
      </c>
      <c r="CT231" s="266">
        <f ca="1">IFERROR(INDEX(Algorithms!$G:$G,MATCH($C231&amp;"_Lifetime (years) - Remaining Years",Algorithms!$A:$A,0)),0)</f>
        <v>0</v>
      </c>
      <c r="CU231" s="266">
        <f t="shared" ca="1" si="161"/>
        <v>0</v>
      </c>
      <c r="CV231" s="266">
        <f t="shared" ca="1" si="162"/>
        <v>0</v>
      </c>
      <c r="CW231" s="266">
        <f t="shared" ca="1" si="163"/>
        <v>0</v>
      </c>
      <c r="CX231" s="266">
        <f t="shared" ca="1" si="164"/>
        <v>0</v>
      </c>
    </row>
    <row r="232" spans="2:102" s="47" customFormat="1" ht="18" customHeight="1" x14ac:dyDescent="0.25">
      <c r="B232" t="str">
        <f t="shared" si="165"/>
        <v>NSG_Business_Small/Mid-Size Business_Kits_SMB Kit_Motel Kit_SMB</v>
      </c>
      <c r="C232" s="47" t="str">
        <f t="shared" si="126"/>
        <v>SMB Kit_Motel Kit_SMB</v>
      </c>
      <c r="D232" s="270" t="s">
        <v>1787</v>
      </c>
      <c r="E232" s="270" t="s">
        <v>3</v>
      </c>
      <c r="F232" s="270" t="s">
        <v>1432</v>
      </c>
      <c r="G232" s="270" t="s">
        <v>1434</v>
      </c>
      <c r="H232" s="270" t="s">
        <v>1364</v>
      </c>
      <c r="I232" s="270" t="s">
        <v>1393</v>
      </c>
      <c r="J232" s="270" t="s">
        <v>1220</v>
      </c>
      <c r="K232" s="263">
        <v>0</v>
      </c>
      <c r="L232" s="263" t="str">
        <f ca="1">IFERROR(INDEX(Algorithms!J:J,MATCH($C232&amp;"_Therm Saved per Unit",Algorithms!$A:$A,0)),"n/a")</f>
        <v>n/a</v>
      </c>
      <c r="M232" s="263" t="str">
        <f>IFERROR(INDEX('Measure Level Detail'!$N:$N,MATCH($B232,'Measure Level Detail'!$B:$B,0)),0)</f>
        <v>kit</v>
      </c>
      <c r="N232" s="271">
        <f>IFERROR(INDEX('Measure Level Detail'!$P:$P,MATCH($B232&amp;"_"&amp;N$3,'Measure Level Detail'!$C:$C,0)),0)</f>
        <v>18</v>
      </c>
      <c r="O232" s="271">
        <f>IFERROR(INDEX('Measure Level Detail'!$P:$P,MATCH($B232&amp;"_"&amp;O$3,'Measure Level Detail'!$C:$C,0)),0)</f>
        <v>16</v>
      </c>
      <c r="P232" s="271">
        <f>IFERROR(INDEX('Measure Level Detail'!$P:$P,MATCH($B232&amp;"_"&amp;P$3,'Measure Level Detail'!$C:$C,0)),0)</f>
        <v>16</v>
      </c>
      <c r="Q232" s="271">
        <f>IFERROR(INDEX('Measure Level Detail'!$P:$P,MATCH($B232&amp;"_"&amp;Q$3,'Measure Level Detail'!$C:$C,0)),0)</f>
        <v>15</v>
      </c>
      <c r="R232" s="263" t="str">
        <f ca="1">IFERROR(INDEX(Algorithms!K:K,MATCH($C232&amp;"_Therm Saved per Unit",Algorithms!$A:$A,0)),"n/a")</f>
        <v>n/a</v>
      </c>
      <c r="S232" s="262"/>
      <c r="T232" s="272">
        <v>134.51339999999999</v>
      </c>
      <c r="U232" s="272">
        <v>134.51339999999999</v>
      </c>
      <c r="V232" s="272">
        <v>134.51339999999999</v>
      </c>
      <c r="W232" s="272">
        <v>134.51339999999999</v>
      </c>
      <c r="X232" s="276">
        <v>0.93</v>
      </c>
      <c r="Y232" s="276">
        <v>0.93</v>
      </c>
      <c r="Z232" s="276">
        <v>0.93</v>
      </c>
      <c r="AA232" s="276">
        <v>0.93</v>
      </c>
      <c r="AB232" s="266">
        <f t="shared" si="127"/>
        <v>2251.754316</v>
      </c>
      <c r="AC232" s="266">
        <f t="shared" si="128"/>
        <v>2001.5593919999999</v>
      </c>
      <c r="AD232" s="266">
        <f t="shared" si="129"/>
        <v>2001.5593919999999</v>
      </c>
      <c r="AE232" s="266">
        <f t="shared" si="130"/>
        <v>1876.4619299999999</v>
      </c>
      <c r="AF232" s="266">
        <f t="shared" si="131"/>
        <v>8131.3350300000002</v>
      </c>
      <c r="AG232" s="274">
        <v>0.93</v>
      </c>
      <c r="AH232" s="274">
        <v>0.93</v>
      </c>
      <c r="AI232" s="274">
        <v>0.93</v>
      </c>
      <c r="AJ232" s="274">
        <v>0.93</v>
      </c>
      <c r="AK232" s="274">
        <f t="shared" si="132"/>
        <v>0.93</v>
      </c>
      <c r="AL232" s="274">
        <f t="shared" si="133"/>
        <v>0.93</v>
      </c>
      <c r="AM232" s="274">
        <f t="shared" si="134"/>
        <v>0.93</v>
      </c>
      <c r="AN232" s="274">
        <f t="shared" si="135"/>
        <v>0.93</v>
      </c>
      <c r="AO232" s="262"/>
      <c r="AP232" s="262"/>
      <c r="AQ232" s="267">
        <v>134.51339999999999</v>
      </c>
      <c r="AR232" s="262"/>
      <c r="AS232" s="266">
        <f t="shared" si="136"/>
        <v>2251.754316</v>
      </c>
      <c r="AT232" s="264">
        <f t="shared" si="137"/>
        <v>0</v>
      </c>
      <c r="AU232" s="262"/>
      <c r="AV232" s="262"/>
      <c r="AW232" s="265">
        <v>134.51339999999999</v>
      </c>
      <c r="AX232" s="164" t="s">
        <v>1469</v>
      </c>
      <c r="AY232" s="266">
        <v>2001.5593919999999</v>
      </c>
      <c r="AZ232" s="266">
        <f t="shared" si="138"/>
        <v>2001.5593919999999</v>
      </c>
      <c r="BA232" s="264">
        <f t="shared" si="139"/>
        <v>0</v>
      </c>
      <c r="BB232" s="262"/>
      <c r="BC232" s="262"/>
      <c r="BD232" s="265">
        <f ca="1">IFERROR(INDEX(Algorithms!$G:$G,MATCH($C232&amp;"_Therm Saved per Unit",Algorithms!$A:$A,0)),0)</f>
        <v>134.51339999999999</v>
      </c>
      <c r="BE232" s="164" t="str">
        <f ca="1">IFERROR(INDEX('v12 Revisions'!$P$29:$P$186, MATCH('Measure-Level Adj Gas'!$L232, 'v12 Revisions'!$D$29:$D$186,0)),"")</f>
        <v/>
      </c>
      <c r="BF232" s="266">
        <f t="shared" ca="1" si="140"/>
        <v>2001.5593919999999</v>
      </c>
      <c r="BG232" s="264">
        <f t="shared" ca="1" si="141"/>
        <v>0</v>
      </c>
      <c r="BH232" s="262"/>
      <c r="BI232" s="262"/>
      <c r="BJ232" s="265">
        <f ca="1">IFERROR(INDEX(Algorithms!$G:$G,MATCH($C232&amp;"_Therm Saved per Unit",Algorithms!$A:$A,0)),0)</f>
        <v>134.51339999999999</v>
      </c>
      <c r="BK232" s="164"/>
      <c r="BL232" s="266">
        <f t="shared" ca="1" si="142"/>
        <v>1876.4619299999999</v>
      </c>
      <c r="BM232" s="264">
        <f t="shared" ca="1" si="143"/>
        <v>0</v>
      </c>
      <c r="BN232" s="266">
        <f t="shared" si="144"/>
        <v>2251.754316</v>
      </c>
      <c r="BO232" s="266">
        <f t="shared" si="145"/>
        <v>2001.5593919999999</v>
      </c>
      <c r="BP232" s="266">
        <f t="shared" si="146"/>
        <v>2001.5593919999999</v>
      </c>
      <c r="BQ232" s="266">
        <f t="shared" si="147"/>
        <v>1876.4619299999999</v>
      </c>
      <c r="BR232" s="268">
        <f t="shared" si="148"/>
        <v>8131.3350300000002</v>
      </c>
      <c r="BS232" s="262" t="s">
        <v>99</v>
      </c>
      <c r="BT232" s="277"/>
      <c r="BW232" s="266">
        <f t="shared" si="149"/>
        <v>2251.754316</v>
      </c>
      <c r="BX232" s="266">
        <f t="shared" si="150"/>
        <v>2001.5593919999999</v>
      </c>
      <c r="BY232" s="266">
        <f t="shared" si="151"/>
        <v>2001.5593919999999</v>
      </c>
      <c r="BZ232" s="266">
        <f t="shared" si="152"/>
        <v>1876.4619299999999</v>
      </c>
      <c r="CA232" s="266">
        <f ca="1">N232*IFERROR(INDEX(Algorithms!$G:$G,MATCH($C232&amp;"_Therm Saved per Unit- MLA",Algorithms!$A:$A,0)),0)*X232</f>
        <v>0</v>
      </c>
      <c r="CB232" s="266">
        <f ca="1">O232*IFERROR(INDEX(Algorithms!$G:$G,MATCH($C232&amp;"_Therm Saved per Unit- MLA",Algorithms!$A:$A,0)),0)*Y232</f>
        <v>0</v>
      </c>
      <c r="CC232" s="266">
        <f ca="1">P232*IFERROR(INDEX(Algorithms!$G:$G,MATCH($C232&amp;"_Therm Saved per Unit- MLA",Algorithms!$A:$A,0)),0)*Z232</f>
        <v>0</v>
      </c>
      <c r="CD232" s="266">
        <f ca="1">Q232*IFERROR(INDEX(Algorithms!$G:$G,MATCH($C232&amp;"_Therm Saved per Unit- MLA",Algorithms!$A:$A,0)),0)*AA232</f>
        <v>0</v>
      </c>
      <c r="CE232" s="266">
        <f ca="1">IFERROR(INDEX(Algorithms!$G:$G,MATCH($C232&amp;"_Lifetime (years)",Algorithms!$A:$A,0)),0)</f>
        <v>10</v>
      </c>
      <c r="CF232" s="266">
        <f ca="1">IFERROR(INDEX(Algorithms!$G:$G,MATCH($C232&amp;"_Lifetime (years) - Remaining Years",Algorithms!$A:$A,0)),0)</f>
        <v>0</v>
      </c>
      <c r="CG232" s="266">
        <f t="shared" ca="1" si="153"/>
        <v>22517.543160000001</v>
      </c>
      <c r="CH232" s="266">
        <f t="shared" ca="1" si="154"/>
        <v>20015.593919999999</v>
      </c>
      <c r="CI232" s="266">
        <f t="shared" ca="1" si="155"/>
        <v>20015.593919999999</v>
      </c>
      <c r="CJ232" s="266">
        <f t="shared" ca="1" si="156"/>
        <v>18764.619299999998</v>
      </c>
      <c r="CK232" s="266">
        <f t="shared" si="157"/>
        <v>2251.754316</v>
      </c>
      <c r="CL232" s="266">
        <f t="shared" si="158"/>
        <v>2001.5593919999999</v>
      </c>
      <c r="CM232" s="266">
        <f t="shared" ca="1" si="159"/>
        <v>2001.5593919999999</v>
      </c>
      <c r="CN232" s="266">
        <f t="shared" ca="1" si="160"/>
        <v>1876.4619299999999</v>
      </c>
      <c r="CO232" s="266">
        <f ca="1">N232*IFERROR(INDEX(Algorithms!$G:$G,MATCH($C232&amp;"_Therm Saved per Unit- MLA",Algorithms!$A:$A,0)),0)*X232</f>
        <v>0</v>
      </c>
      <c r="CP232" s="266">
        <f ca="1">O232*IFERROR(INDEX(Algorithms!$G:$G,MATCH($C232&amp;"_Therm Saved per Unit- MLA",Algorithms!$A:$A,0)),0)*Y232</f>
        <v>0</v>
      </c>
      <c r="CQ232" s="266">
        <f ca="1">P232*IFERROR(INDEX(Algorithms!$G:$G,MATCH($C232&amp;"_Therm Saved per Unit- MLA",Algorithms!$A:$A,0)),0)*Z232</f>
        <v>0</v>
      </c>
      <c r="CR232" s="266">
        <f ca="1">Q232*IFERROR(INDEX(Algorithms!$G:$G,MATCH($C232&amp;"_Therm Saved per Unit- MLA",Algorithms!$A:$A,0)),0)*AA232</f>
        <v>0</v>
      </c>
      <c r="CS232" s="266">
        <f ca="1">IFERROR(INDEX(Algorithms!$G:$G,MATCH($C232&amp;"_Lifetime (years)",Algorithms!$A:$A,0)),0)</f>
        <v>10</v>
      </c>
      <c r="CT232" s="266">
        <f ca="1">IFERROR(INDEX(Algorithms!$G:$G,MATCH($C232&amp;"_Lifetime (years) - Remaining Years",Algorithms!$A:$A,0)),0)</f>
        <v>0</v>
      </c>
      <c r="CU232" s="266">
        <f t="shared" ca="1" si="161"/>
        <v>22517.543160000001</v>
      </c>
      <c r="CV232" s="266">
        <f t="shared" ca="1" si="162"/>
        <v>20015.593919999999</v>
      </c>
      <c r="CW232" s="266">
        <f t="shared" ca="1" si="163"/>
        <v>20015.593919999999</v>
      </c>
      <c r="CX232" s="266">
        <f t="shared" ca="1" si="164"/>
        <v>18764.619299999998</v>
      </c>
    </row>
    <row r="233" spans="2:102" s="47" customFormat="1" ht="18" customHeight="1" x14ac:dyDescent="0.25">
      <c r="B233" t="str">
        <f t="shared" si="165"/>
        <v>NSG_Business_Small/Mid-Size Business_Kits_SMB Kit_School - Grocery_SMB</v>
      </c>
      <c r="C233" s="47" t="str">
        <f t="shared" si="126"/>
        <v>SMB Kit_School - Grocery_SMB</v>
      </c>
      <c r="D233" s="270" t="s">
        <v>1787</v>
      </c>
      <c r="E233" s="270" t="s">
        <v>3</v>
      </c>
      <c r="F233" s="270" t="s">
        <v>1432</v>
      </c>
      <c r="G233" s="270" t="s">
        <v>1434</v>
      </c>
      <c r="H233" s="270" t="s">
        <v>1364</v>
      </c>
      <c r="I233" s="270" t="s">
        <v>1395</v>
      </c>
      <c r="J233" s="270" t="s">
        <v>1220</v>
      </c>
      <c r="K233" s="263">
        <v>0</v>
      </c>
      <c r="L233" s="263" t="str">
        <f ca="1">IFERROR(INDEX(Algorithms!J:J,MATCH($C233&amp;"_Therm Saved per Unit",Algorithms!$A:$A,0)),"n/a")</f>
        <v>n/a</v>
      </c>
      <c r="M233" s="263" t="str">
        <f>IFERROR(INDEX('Measure Level Detail'!$N:$N,MATCH($B233,'Measure Level Detail'!$B:$B,0)),0)</f>
        <v>kit</v>
      </c>
      <c r="N233" s="271">
        <f>IFERROR(INDEX('Measure Level Detail'!$P:$P,MATCH($B233&amp;"_"&amp;N$3,'Measure Level Detail'!$C:$C,0)),0)</f>
        <v>18</v>
      </c>
      <c r="O233" s="271">
        <f>IFERROR(INDEX('Measure Level Detail'!$P:$P,MATCH($B233&amp;"_"&amp;O$3,'Measure Level Detail'!$C:$C,0)),0)</f>
        <v>16</v>
      </c>
      <c r="P233" s="271">
        <f>IFERROR(INDEX('Measure Level Detail'!$P:$P,MATCH($B233&amp;"_"&amp;P$3,'Measure Level Detail'!$C:$C,0)),0)</f>
        <v>16</v>
      </c>
      <c r="Q233" s="271">
        <f>IFERROR(INDEX('Measure Level Detail'!$P:$P,MATCH($B233&amp;"_"&amp;Q$3,'Measure Level Detail'!$C:$C,0)),0)</f>
        <v>15</v>
      </c>
      <c r="R233" s="263" t="str">
        <f ca="1">IFERROR(INDEX(Algorithms!K:K,MATCH($C233&amp;"_Therm Saved per Unit",Algorithms!$A:$A,0)),"n/a")</f>
        <v>n/a</v>
      </c>
      <c r="S233" s="262"/>
      <c r="T233" s="272">
        <v>108.2208</v>
      </c>
      <c r="U233" s="272">
        <v>108.2208</v>
      </c>
      <c r="V233" s="272">
        <v>108.2208</v>
      </c>
      <c r="W233" s="272">
        <v>108.2208</v>
      </c>
      <c r="X233" s="276">
        <v>0.93</v>
      </c>
      <c r="Y233" s="276">
        <v>0.93</v>
      </c>
      <c r="Z233" s="276">
        <v>0.93</v>
      </c>
      <c r="AA233" s="276">
        <v>0.93</v>
      </c>
      <c r="AB233" s="266">
        <f t="shared" si="127"/>
        <v>1811.6161920000002</v>
      </c>
      <c r="AC233" s="266">
        <f t="shared" si="128"/>
        <v>1610.3255040000001</v>
      </c>
      <c r="AD233" s="266">
        <f t="shared" si="129"/>
        <v>1610.3255040000001</v>
      </c>
      <c r="AE233" s="266">
        <f t="shared" si="130"/>
        <v>1509.6801599999999</v>
      </c>
      <c r="AF233" s="266">
        <f t="shared" si="131"/>
        <v>6541.9473600000001</v>
      </c>
      <c r="AG233" s="274">
        <v>0.93</v>
      </c>
      <c r="AH233" s="274">
        <v>0.93</v>
      </c>
      <c r="AI233" s="274">
        <v>0.93</v>
      </c>
      <c r="AJ233" s="274">
        <v>0.93</v>
      </c>
      <c r="AK233" s="274">
        <f t="shared" si="132"/>
        <v>0.93</v>
      </c>
      <c r="AL233" s="274">
        <f t="shared" si="133"/>
        <v>0.93</v>
      </c>
      <c r="AM233" s="274">
        <f t="shared" si="134"/>
        <v>0.93</v>
      </c>
      <c r="AN233" s="274">
        <f t="shared" si="135"/>
        <v>0.93</v>
      </c>
      <c r="AO233" s="262"/>
      <c r="AP233" s="262"/>
      <c r="AQ233" s="267">
        <v>108.2208</v>
      </c>
      <c r="AR233" s="262"/>
      <c r="AS233" s="266">
        <f t="shared" si="136"/>
        <v>1811.6161920000002</v>
      </c>
      <c r="AT233" s="264">
        <f t="shared" si="137"/>
        <v>0</v>
      </c>
      <c r="AU233" s="262"/>
      <c r="AV233" s="262"/>
      <c r="AW233" s="265">
        <v>108.2208</v>
      </c>
      <c r="AX233" s="164" t="s">
        <v>1469</v>
      </c>
      <c r="AY233" s="266">
        <v>1610.3255040000001</v>
      </c>
      <c r="AZ233" s="266">
        <f t="shared" si="138"/>
        <v>1610.3255040000001</v>
      </c>
      <c r="BA233" s="264">
        <f t="shared" si="139"/>
        <v>0</v>
      </c>
      <c r="BB233" s="262"/>
      <c r="BC233" s="262"/>
      <c r="BD233" s="265">
        <f ca="1">IFERROR(INDEX(Algorithms!$G:$G,MATCH($C233&amp;"_Therm Saved per Unit",Algorithms!$A:$A,0)),0)</f>
        <v>108.2208</v>
      </c>
      <c r="BE233" s="164" t="str">
        <f ca="1">IFERROR(INDEX('v12 Revisions'!$P$29:$P$186, MATCH('Measure-Level Adj Gas'!$L233, 'v12 Revisions'!$D$29:$D$186,0)),"")</f>
        <v/>
      </c>
      <c r="BF233" s="266">
        <f t="shared" ca="1" si="140"/>
        <v>1610.3255040000001</v>
      </c>
      <c r="BG233" s="264">
        <f t="shared" ca="1" si="141"/>
        <v>0</v>
      </c>
      <c r="BH233" s="262"/>
      <c r="BI233" s="262"/>
      <c r="BJ233" s="265">
        <f ca="1">IFERROR(INDEX(Algorithms!$G:$G,MATCH($C233&amp;"_Therm Saved per Unit",Algorithms!$A:$A,0)),0)</f>
        <v>108.2208</v>
      </c>
      <c r="BK233" s="164"/>
      <c r="BL233" s="266">
        <f t="shared" ca="1" si="142"/>
        <v>1509.6801599999999</v>
      </c>
      <c r="BM233" s="264">
        <f t="shared" ca="1" si="143"/>
        <v>0</v>
      </c>
      <c r="BN233" s="266">
        <f t="shared" si="144"/>
        <v>1811.6161920000002</v>
      </c>
      <c r="BO233" s="266">
        <f t="shared" si="145"/>
        <v>1610.3255040000001</v>
      </c>
      <c r="BP233" s="266">
        <f t="shared" si="146"/>
        <v>1610.3255040000001</v>
      </c>
      <c r="BQ233" s="266">
        <f t="shared" si="147"/>
        <v>1509.6801599999999</v>
      </c>
      <c r="BR233" s="268">
        <f t="shared" si="148"/>
        <v>6541.9473600000001</v>
      </c>
      <c r="BS233" s="262" t="s">
        <v>99</v>
      </c>
      <c r="BT233" s="277"/>
      <c r="BW233" s="266">
        <f t="shared" si="149"/>
        <v>1811.6161920000002</v>
      </c>
      <c r="BX233" s="266">
        <f t="shared" si="150"/>
        <v>1610.3255040000001</v>
      </c>
      <c r="BY233" s="266">
        <f t="shared" si="151"/>
        <v>1610.3255040000001</v>
      </c>
      <c r="BZ233" s="266">
        <f t="shared" si="152"/>
        <v>1509.6801599999999</v>
      </c>
      <c r="CA233" s="266">
        <f ca="1">N233*IFERROR(INDEX(Algorithms!$G:$G,MATCH($C233&amp;"_Therm Saved per Unit- MLA",Algorithms!$A:$A,0)),0)*X233</f>
        <v>0</v>
      </c>
      <c r="CB233" s="266">
        <f ca="1">O233*IFERROR(INDEX(Algorithms!$G:$G,MATCH($C233&amp;"_Therm Saved per Unit- MLA",Algorithms!$A:$A,0)),0)*Y233</f>
        <v>0</v>
      </c>
      <c r="CC233" s="266">
        <f ca="1">P233*IFERROR(INDEX(Algorithms!$G:$G,MATCH($C233&amp;"_Therm Saved per Unit- MLA",Algorithms!$A:$A,0)),0)*Z233</f>
        <v>0</v>
      </c>
      <c r="CD233" s="266">
        <f ca="1">Q233*IFERROR(INDEX(Algorithms!$G:$G,MATCH($C233&amp;"_Therm Saved per Unit- MLA",Algorithms!$A:$A,0)),0)*AA233</f>
        <v>0</v>
      </c>
      <c r="CE233" s="266">
        <f ca="1">IFERROR(INDEX(Algorithms!$G:$G,MATCH($C233&amp;"_Lifetime (years)",Algorithms!$A:$A,0)),0)</f>
        <v>10</v>
      </c>
      <c r="CF233" s="266">
        <f ca="1">IFERROR(INDEX(Algorithms!$G:$G,MATCH($C233&amp;"_Lifetime (years) - Remaining Years",Algorithms!$A:$A,0)),0)</f>
        <v>0</v>
      </c>
      <c r="CG233" s="266">
        <f t="shared" ca="1" si="153"/>
        <v>18116.161920000002</v>
      </c>
      <c r="CH233" s="266">
        <f t="shared" ca="1" si="154"/>
        <v>16103.255040000002</v>
      </c>
      <c r="CI233" s="266">
        <f t="shared" ca="1" si="155"/>
        <v>16103.255040000002</v>
      </c>
      <c r="CJ233" s="266">
        <f t="shared" ca="1" si="156"/>
        <v>15096.801599999999</v>
      </c>
      <c r="CK233" s="266">
        <f t="shared" si="157"/>
        <v>1811.6161920000002</v>
      </c>
      <c r="CL233" s="266">
        <f t="shared" si="158"/>
        <v>1610.3255040000001</v>
      </c>
      <c r="CM233" s="266">
        <f t="shared" ca="1" si="159"/>
        <v>1610.3255040000001</v>
      </c>
      <c r="CN233" s="266">
        <f t="shared" ca="1" si="160"/>
        <v>1509.6801599999999</v>
      </c>
      <c r="CO233" s="266">
        <f ca="1">N233*IFERROR(INDEX(Algorithms!$G:$G,MATCH($C233&amp;"_Therm Saved per Unit- MLA",Algorithms!$A:$A,0)),0)*X233</f>
        <v>0</v>
      </c>
      <c r="CP233" s="266">
        <f ca="1">O233*IFERROR(INDEX(Algorithms!$G:$G,MATCH($C233&amp;"_Therm Saved per Unit- MLA",Algorithms!$A:$A,0)),0)*Y233</f>
        <v>0</v>
      </c>
      <c r="CQ233" s="266">
        <f ca="1">P233*IFERROR(INDEX(Algorithms!$G:$G,MATCH($C233&amp;"_Therm Saved per Unit- MLA",Algorithms!$A:$A,0)),0)*Z233</f>
        <v>0</v>
      </c>
      <c r="CR233" s="266">
        <f ca="1">Q233*IFERROR(INDEX(Algorithms!$G:$G,MATCH($C233&amp;"_Therm Saved per Unit- MLA",Algorithms!$A:$A,0)),0)*AA233</f>
        <v>0</v>
      </c>
      <c r="CS233" s="266">
        <f ca="1">IFERROR(INDEX(Algorithms!$G:$G,MATCH($C233&amp;"_Lifetime (years)",Algorithms!$A:$A,0)),0)</f>
        <v>10</v>
      </c>
      <c r="CT233" s="266">
        <f ca="1">IFERROR(INDEX(Algorithms!$G:$G,MATCH($C233&amp;"_Lifetime (years) - Remaining Years",Algorithms!$A:$A,0)),0)</f>
        <v>0</v>
      </c>
      <c r="CU233" s="266">
        <f t="shared" ca="1" si="161"/>
        <v>18116.161920000002</v>
      </c>
      <c r="CV233" s="266">
        <f t="shared" ca="1" si="162"/>
        <v>16103.255040000002</v>
      </c>
      <c r="CW233" s="266">
        <f t="shared" ca="1" si="163"/>
        <v>16103.255040000002</v>
      </c>
      <c r="CX233" s="266">
        <f t="shared" ca="1" si="164"/>
        <v>15096.801599999999</v>
      </c>
    </row>
    <row r="234" spans="2:102" s="47" customFormat="1" ht="18" customHeight="1" x14ac:dyDescent="0.25">
      <c r="B234" t="str">
        <f t="shared" si="165"/>
        <v>NSG_Business_Small/Mid-Size Business_Partner Trade Ally Rebate_Steam Traps_Dry Cleaner/Industrial - Audit_MF/CI/SMB</v>
      </c>
      <c r="C234" s="47" t="str">
        <f t="shared" si="126"/>
        <v>Steam Traps_Dry Cleaner/Industrial - Audit_MF/CI/SMB</v>
      </c>
      <c r="D234" s="270" t="s">
        <v>1787</v>
      </c>
      <c r="E234" s="270" t="s">
        <v>3</v>
      </c>
      <c r="F234" s="270" t="s">
        <v>1432</v>
      </c>
      <c r="G234" s="270" t="s">
        <v>1799</v>
      </c>
      <c r="H234" s="270" t="s">
        <v>644</v>
      </c>
      <c r="I234" s="270" t="s">
        <v>1275</v>
      </c>
      <c r="J234" s="270" t="s">
        <v>662</v>
      </c>
      <c r="K234" s="263">
        <v>1</v>
      </c>
      <c r="L234" s="263" t="str">
        <f ca="1">IFERROR(INDEX(Algorithms!J:J,MATCH($C234&amp;"_Therm Saved per Unit",Algorithms!$A:$A,0)),"n/a")</f>
        <v>4.4.16</v>
      </c>
      <c r="M234" s="263" t="str">
        <f>IFERROR(INDEX('Measure Level Detail'!$N:$N,MATCH($B234,'Measure Level Detail'!$B:$B,0)),0)</f>
        <v>each</v>
      </c>
      <c r="N234" s="271">
        <f>IFERROR(INDEX('Measure Level Detail'!$P:$P,MATCH($B234&amp;"_"&amp;N$3,'Measure Level Detail'!$C:$C,0)),0)</f>
        <v>18</v>
      </c>
      <c r="O234" s="271">
        <f>IFERROR(INDEX('Measure Level Detail'!$P:$P,MATCH($B234&amp;"_"&amp;O$3,'Measure Level Detail'!$C:$C,0)),0)</f>
        <v>16</v>
      </c>
      <c r="P234" s="271">
        <f>IFERROR(INDEX('Measure Level Detail'!$P:$P,MATCH($B234&amp;"_"&amp;P$3,'Measure Level Detail'!$C:$C,0)),0)</f>
        <v>16</v>
      </c>
      <c r="Q234" s="271">
        <f>IFERROR(INDEX('Measure Level Detail'!$P:$P,MATCH($B234&amp;"_"&amp;Q$3,'Measure Level Detail'!$C:$C,0)),0)</f>
        <v>15</v>
      </c>
      <c r="R234" s="263" t="str">
        <f ca="1">IFERROR(INDEX(Algorithms!K:K,MATCH($C234&amp;"_Therm Saved per Unit",Algorithms!$A:$A,0)),"n/a")</f>
        <v>CI-HVC-STRE-V10-240101</v>
      </c>
      <c r="S234" s="262"/>
      <c r="T234" s="272">
        <v>648.01334476360694</v>
      </c>
      <c r="U234" s="272">
        <v>648.01334476360694</v>
      </c>
      <c r="V234" s="272">
        <v>648.01334476360694</v>
      </c>
      <c r="W234" s="272">
        <v>648.01334476360694</v>
      </c>
      <c r="X234" s="276">
        <v>0.93</v>
      </c>
      <c r="Y234" s="276">
        <v>0.93</v>
      </c>
      <c r="Z234" s="276">
        <v>0.93</v>
      </c>
      <c r="AA234" s="276">
        <v>0.93</v>
      </c>
      <c r="AB234" s="266">
        <f t="shared" si="127"/>
        <v>10847.743391342781</v>
      </c>
      <c r="AC234" s="266">
        <f t="shared" si="128"/>
        <v>9642.4385700824714</v>
      </c>
      <c r="AD234" s="266">
        <f t="shared" si="129"/>
        <v>9642.4385700824714</v>
      </c>
      <c r="AE234" s="266">
        <f t="shared" si="130"/>
        <v>9039.7861594523165</v>
      </c>
      <c r="AF234" s="266">
        <f t="shared" si="131"/>
        <v>39172.406690960037</v>
      </c>
      <c r="AG234" s="274">
        <v>0.93</v>
      </c>
      <c r="AH234" s="274">
        <v>0.93</v>
      </c>
      <c r="AI234" s="274">
        <v>0.93</v>
      </c>
      <c r="AJ234" s="274">
        <v>0.93</v>
      </c>
      <c r="AK234" s="274">
        <f t="shared" si="132"/>
        <v>0.93</v>
      </c>
      <c r="AL234" s="274">
        <f t="shared" si="133"/>
        <v>0.93</v>
      </c>
      <c r="AM234" s="274">
        <f t="shared" si="134"/>
        <v>0.93</v>
      </c>
      <c r="AN234" s="274">
        <f t="shared" si="135"/>
        <v>0.93</v>
      </c>
      <c r="AO234" s="262"/>
      <c r="AP234" s="262"/>
      <c r="AQ234" s="267">
        <v>648.01334476360694</v>
      </c>
      <c r="AR234" s="262"/>
      <c r="AS234" s="266">
        <f t="shared" si="136"/>
        <v>10847.743391342781</v>
      </c>
      <c r="AT234" s="264">
        <f t="shared" si="137"/>
        <v>0</v>
      </c>
      <c r="AU234" s="262"/>
      <c r="AV234" s="262"/>
      <c r="AW234" s="265">
        <v>648.01334476360694</v>
      </c>
      <c r="AX234" s="164" t="s">
        <v>2397</v>
      </c>
      <c r="AY234" s="266">
        <v>9642.4385700824714</v>
      </c>
      <c r="AZ234" s="266">
        <f t="shared" si="138"/>
        <v>9642.4385700824714</v>
      </c>
      <c r="BA234" s="264">
        <f t="shared" si="139"/>
        <v>0</v>
      </c>
      <c r="BB234" s="262"/>
      <c r="BC234" s="262"/>
      <c r="BD234" s="265">
        <f ca="1">IFERROR(INDEX(Algorithms!$G:$G,MATCH($C234&amp;"_Therm Saved per Unit",Algorithms!$A:$A,0)),0)</f>
        <v>648.01334476360694</v>
      </c>
      <c r="BE234" s="164" t="str">
        <f ca="1">IFERROR(INDEX('v12 Revisions'!$P$29:$P$186, MATCH('Measure-Level Adj Gas'!$L234, 'v12 Revisions'!$D$29:$D$186,0)),"")</f>
        <v>n/a - costs only.</v>
      </c>
      <c r="BF234" s="266">
        <f t="shared" ca="1" si="140"/>
        <v>9642.4385700824714</v>
      </c>
      <c r="BG234" s="264">
        <f t="shared" ca="1" si="141"/>
        <v>0</v>
      </c>
      <c r="BH234" s="262"/>
      <c r="BI234" s="262"/>
      <c r="BJ234" s="265">
        <f ca="1">IFERROR(INDEX(Algorithms!$G:$G,MATCH($C234&amp;"_Therm Saved per Unit",Algorithms!$A:$A,0)),0)</f>
        <v>648.01334476360694</v>
      </c>
      <c r="BK234" s="164"/>
      <c r="BL234" s="266">
        <f t="shared" ca="1" si="142"/>
        <v>9039.7861594523165</v>
      </c>
      <c r="BM234" s="264">
        <f t="shared" ca="1" si="143"/>
        <v>0</v>
      </c>
      <c r="BN234" s="266">
        <f t="shared" si="144"/>
        <v>10847.743391342781</v>
      </c>
      <c r="BO234" s="266">
        <f t="shared" si="145"/>
        <v>9642.4385700824714</v>
      </c>
      <c r="BP234" s="266">
        <f t="shared" ca="1" si="146"/>
        <v>9642.4385700824714</v>
      </c>
      <c r="BQ234" s="266">
        <f t="shared" ca="1" si="147"/>
        <v>9039.7861594523165</v>
      </c>
      <c r="BR234" s="268">
        <f t="shared" ca="1" si="148"/>
        <v>39172.406690960037</v>
      </c>
      <c r="BS234" s="262" t="s">
        <v>99</v>
      </c>
      <c r="BT234" s="277"/>
      <c r="BW234" s="266">
        <f t="shared" si="149"/>
        <v>10847.743391342781</v>
      </c>
      <c r="BX234" s="266">
        <f t="shared" si="150"/>
        <v>9642.4385700824714</v>
      </c>
      <c r="BY234" s="266">
        <f t="shared" si="151"/>
        <v>9642.4385700824714</v>
      </c>
      <c r="BZ234" s="266">
        <f t="shared" si="152"/>
        <v>9039.7861594523165</v>
      </c>
      <c r="CA234" s="266">
        <f ca="1">N234*IFERROR(INDEX(Algorithms!$G:$G,MATCH($C234&amp;"_Therm Saved per Unit- MLA",Algorithms!$A:$A,0)),0)*X234</f>
        <v>0</v>
      </c>
      <c r="CB234" s="266">
        <f ca="1">O234*IFERROR(INDEX(Algorithms!$G:$G,MATCH($C234&amp;"_Therm Saved per Unit- MLA",Algorithms!$A:$A,0)),0)*Y234</f>
        <v>0</v>
      </c>
      <c r="CC234" s="266">
        <f ca="1">P234*IFERROR(INDEX(Algorithms!$G:$G,MATCH($C234&amp;"_Therm Saved per Unit- MLA",Algorithms!$A:$A,0)),0)*Z234</f>
        <v>0</v>
      </c>
      <c r="CD234" s="266">
        <f ca="1">Q234*IFERROR(INDEX(Algorithms!$G:$G,MATCH($C234&amp;"_Therm Saved per Unit- MLA",Algorithms!$A:$A,0)),0)*AA234</f>
        <v>0</v>
      </c>
      <c r="CE234" s="266">
        <f ca="1">IFERROR(INDEX(Algorithms!$G:$G,MATCH($C234&amp;"_Lifetime (years)",Algorithms!$A:$A,0)),0)</f>
        <v>6</v>
      </c>
      <c r="CF234" s="266">
        <f ca="1">IFERROR(INDEX(Algorithms!$G:$G,MATCH($C234&amp;"_Lifetime (years) - Remaining Years",Algorithms!$A:$A,0)),0)</f>
        <v>0</v>
      </c>
      <c r="CG234" s="266">
        <f t="shared" ca="1" si="153"/>
        <v>65086.460348056688</v>
      </c>
      <c r="CH234" s="266">
        <f t="shared" ca="1" si="154"/>
        <v>57854.631420494828</v>
      </c>
      <c r="CI234" s="266">
        <f t="shared" ca="1" si="155"/>
        <v>57854.631420494828</v>
      </c>
      <c r="CJ234" s="266">
        <f t="shared" ca="1" si="156"/>
        <v>54238.716956713899</v>
      </c>
      <c r="CK234" s="266">
        <f t="shared" si="157"/>
        <v>10847.743391342781</v>
      </c>
      <c r="CL234" s="266">
        <f t="shared" si="158"/>
        <v>9642.4385700824714</v>
      </c>
      <c r="CM234" s="266">
        <f t="shared" ca="1" si="159"/>
        <v>9642.4385700824714</v>
      </c>
      <c r="CN234" s="266">
        <f t="shared" ca="1" si="160"/>
        <v>9039.7861594523165</v>
      </c>
      <c r="CO234" s="266">
        <f ca="1">N234*IFERROR(INDEX(Algorithms!$G:$G,MATCH($C234&amp;"_Therm Saved per Unit- MLA",Algorithms!$A:$A,0)),0)*X234</f>
        <v>0</v>
      </c>
      <c r="CP234" s="266">
        <f ca="1">O234*IFERROR(INDEX(Algorithms!$G:$G,MATCH($C234&amp;"_Therm Saved per Unit- MLA",Algorithms!$A:$A,0)),0)*Y234</f>
        <v>0</v>
      </c>
      <c r="CQ234" s="266">
        <f ca="1">P234*IFERROR(INDEX(Algorithms!$G:$G,MATCH($C234&amp;"_Therm Saved per Unit- MLA",Algorithms!$A:$A,0)),0)*Z234</f>
        <v>0</v>
      </c>
      <c r="CR234" s="266">
        <f ca="1">Q234*IFERROR(INDEX(Algorithms!$G:$G,MATCH($C234&amp;"_Therm Saved per Unit- MLA",Algorithms!$A:$A,0)),0)*AA234</f>
        <v>0</v>
      </c>
      <c r="CS234" s="266">
        <f ca="1">IFERROR(INDEX(Algorithms!$G:$G,MATCH($C234&amp;"_Lifetime (years)",Algorithms!$A:$A,0)),0)</f>
        <v>6</v>
      </c>
      <c r="CT234" s="266">
        <f ca="1">IFERROR(INDEX(Algorithms!$G:$G,MATCH($C234&amp;"_Lifetime (years) - Remaining Years",Algorithms!$A:$A,0)),0)</f>
        <v>0</v>
      </c>
      <c r="CU234" s="266">
        <f t="shared" ca="1" si="161"/>
        <v>65086.460348056688</v>
      </c>
      <c r="CV234" s="266">
        <f t="shared" ca="1" si="162"/>
        <v>57854.631420494828</v>
      </c>
      <c r="CW234" s="266">
        <f t="shared" ca="1" si="163"/>
        <v>57854.631420494828</v>
      </c>
      <c r="CX234" s="266">
        <f t="shared" ca="1" si="164"/>
        <v>54238.716956713899</v>
      </c>
    </row>
    <row r="235" spans="2:102" s="47" customFormat="1" ht="18" customHeight="1" x14ac:dyDescent="0.25">
      <c r="B235" t="str">
        <f t="shared" si="165"/>
        <v>NSG_Business_Commercial Food Service Program_Upstream Rebate_DCV - Kitchen_0_MF/CI</v>
      </c>
      <c r="C235" s="47" t="str">
        <f t="shared" si="126"/>
        <v>DCV - Kitchen_0_MF/CI</v>
      </c>
      <c r="D235" s="270" t="s">
        <v>1787</v>
      </c>
      <c r="E235" s="270" t="s">
        <v>3</v>
      </c>
      <c r="F235" s="270" t="s">
        <v>1444</v>
      </c>
      <c r="G235" s="270" t="s">
        <v>1445</v>
      </c>
      <c r="H235" s="270" t="s">
        <v>1077</v>
      </c>
      <c r="I235" s="270">
        <v>0</v>
      </c>
      <c r="J235" s="270" t="s">
        <v>587</v>
      </c>
      <c r="K235" s="263">
        <v>1</v>
      </c>
      <c r="L235" s="263" t="str">
        <f ca="1">IFERROR(INDEX(Algorithms!J:J,MATCH($C235&amp;"_Therm Saved per Unit",Algorithms!$A:$A,0)),"n/a")</f>
        <v>4.2.16</v>
      </c>
      <c r="M235" s="263" t="str">
        <f>IFERROR(INDEX('Measure Level Detail'!$N:$N,MATCH($B235,'Measure Level Detail'!$B:$B,0)),0)</f>
        <v>HP</v>
      </c>
      <c r="N235" s="271">
        <f>IFERROR(INDEX('Measure Level Detail'!$P:$P,MATCH($B235&amp;"_"&amp;N$3,'Measure Level Detail'!$C:$C,0)),0)</f>
        <v>15.5</v>
      </c>
      <c r="O235" s="271">
        <f>IFERROR(INDEX('Measure Level Detail'!$P:$P,MATCH($B235&amp;"_"&amp;O$3,'Measure Level Detail'!$C:$C,0)),0)</f>
        <v>15.5</v>
      </c>
      <c r="P235" s="271">
        <f>IFERROR(INDEX('Measure Level Detail'!$P:$P,MATCH($B235&amp;"_"&amp;P$3,'Measure Level Detail'!$C:$C,0)),0)</f>
        <v>15.5</v>
      </c>
      <c r="Q235" s="271">
        <f>IFERROR(INDEX('Measure Level Detail'!$P:$P,MATCH($B235&amp;"_"&amp;Q$3,'Measure Level Detail'!$C:$C,0)),0)</f>
        <v>23.25</v>
      </c>
      <c r="R235" s="263" t="str">
        <f ca="1">IFERROR(INDEX(Algorithms!K:K,MATCH($C235&amp;"_Therm Saved per Unit",Algorithms!$A:$A,0)),"n/a")</f>
        <v>CI-FSE-VENT-V06-240101</v>
      </c>
      <c r="S235" s="262"/>
      <c r="T235" s="272">
        <v>774</v>
      </c>
      <c r="U235" s="272">
        <v>774</v>
      </c>
      <c r="V235" s="272">
        <v>774</v>
      </c>
      <c r="W235" s="272">
        <v>774</v>
      </c>
      <c r="X235" s="276">
        <v>0.8</v>
      </c>
      <c r="Y235" s="276">
        <v>0.8</v>
      </c>
      <c r="Z235" s="276">
        <v>0.8</v>
      </c>
      <c r="AA235" s="276">
        <v>0.8</v>
      </c>
      <c r="AB235" s="266">
        <f t="shared" si="127"/>
        <v>9597.6</v>
      </c>
      <c r="AC235" s="266">
        <f t="shared" si="128"/>
        <v>9597.6</v>
      </c>
      <c r="AD235" s="266">
        <f t="shared" si="129"/>
        <v>9597.6</v>
      </c>
      <c r="AE235" s="266">
        <f t="shared" si="130"/>
        <v>14396.400000000001</v>
      </c>
      <c r="AF235" s="266">
        <f t="shared" si="131"/>
        <v>43189.200000000004</v>
      </c>
      <c r="AG235" s="274">
        <v>0.8</v>
      </c>
      <c r="AH235" s="274">
        <v>0.8</v>
      </c>
      <c r="AI235" s="274">
        <v>0.8</v>
      </c>
      <c r="AJ235" s="274">
        <v>0.8</v>
      </c>
      <c r="AK235" s="274">
        <f t="shared" si="132"/>
        <v>0.8</v>
      </c>
      <c r="AL235" s="274">
        <f t="shared" si="133"/>
        <v>0.8</v>
      </c>
      <c r="AM235" s="274">
        <f t="shared" si="134"/>
        <v>0.8</v>
      </c>
      <c r="AN235" s="274">
        <f t="shared" si="135"/>
        <v>0.8</v>
      </c>
      <c r="AO235" s="262"/>
      <c r="AP235" s="262"/>
      <c r="AQ235" s="267">
        <v>774</v>
      </c>
      <c r="AR235" s="262"/>
      <c r="AS235" s="266">
        <f t="shared" si="136"/>
        <v>9597.6</v>
      </c>
      <c r="AT235" s="264">
        <f t="shared" si="137"/>
        <v>0</v>
      </c>
      <c r="AU235" s="262"/>
      <c r="AV235" s="262"/>
      <c r="AW235" s="265">
        <v>774</v>
      </c>
      <c r="AX235" s="164" t="s">
        <v>1469</v>
      </c>
      <c r="AY235" s="266">
        <v>9597.6</v>
      </c>
      <c r="AZ235" s="266">
        <f t="shared" si="138"/>
        <v>9597.6</v>
      </c>
      <c r="BA235" s="264">
        <f t="shared" si="139"/>
        <v>0</v>
      </c>
      <c r="BB235" s="262"/>
      <c r="BC235" s="262"/>
      <c r="BD235" s="265">
        <f ca="1">IFERROR(INDEX(Algorithms!$G:$G,MATCH($C235&amp;"_Therm Saved per Unit",Algorithms!$A:$A,0)),0)</f>
        <v>774</v>
      </c>
      <c r="BE235" s="164" t="str">
        <f ca="1">IFERROR(INDEX('v12 Revisions'!$P$29:$P$186, MATCH('Measure-Level Adj Gas'!$L235, 'v12 Revisions'!$D$29:$D$186,0)),"")</f>
        <v>n/a - HP assumed in units of participation.</v>
      </c>
      <c r="BF235" s="266">
        <f t="shared" ca="1" si="140"/>
        <v>9597.6</v>
      </c>
      <c r="BG235" s="264">
        <f t="shared" ca="1" si="141"/>
        <v>0</v>
      </c>
      <c r="BH235" s="262"/>
      <c r="BI235" s="262"/>
      <c r="BJ235" s="265">
        <f ca="1">IFERROR(INDEX(Algorithms!$G:$G,MATCH($C235&amp;"_Therm Saved per Unit",Algorithms!$A:$A,0)),0)</f>
        <v>774</v>
      </c>
      <c r="BK235" s="164"/>
      <c r="BL235" s="266">
        <f t="shared" ca="1" si="142"/>
        <v>14396.400000000001</v>
      </c>
      <c r="BM235" s="264">
        <f t="shared" ca="1" si="143"/>
        <v>0</v>
      </c>
      <c r="BN235" s="266">
        <f t="shared" si="144"/>
        <v>9597.6</v>
      </c>
      <c r="BO235" s="266">
        <f t="shared" si="145"/>
        <v>9597.6</v>
      </c>
      <c r="BP235" s="266">
        <f t="shared" ca="1" si="146"/>
        <v>9597.6</v>
      </c>
      <c r="BQ235" s="266">
        <f t="shared" ca="1" si="147"/>
        <v>14396.400000000001</v>
      </c>
      <c r="BR235" s="268">
        <f t="shared" ca="1" si="148"/>
        <v>43189.200000000004</v>
      </c>
      <c r="BS235" s="262" t="s">
        <v>99</v>
      </c>
      <c r="BT235" s="277"/>
      <c r="BW235" s="266">
        <f t="shared" si="149"/>
        <v>9597.6</v>
      </c>
      <c r="BX235" s="266">
        <f t="shared" si="150"/>
        <v>9597.6</v>
      </c>
      <c r="BY235" s="266">
        <f t="shared" si="151"/>
        <v>9597.6</v>
      </c>
      <c r="BZ235" s="266">
        <f t="shared" si="152"/>
        <v>14396.400000000001</v>
      </c>
      <c r="CA235" s="266">
        <f ca="1">N235*IFERROR(INDEX(Algorithms!$G:$G,MATCH($C235&amp;"_Therm Saved per Unit- MLA",Algorithms!$A:$A,0)),0)*X235</f>
        <v>0</v>
      </c>
      <c r="CB235" s="266">
        <f ca="1">O235*IFERROR(INDEX(Algorithms!$G:$G,MATCH($C235&amp;"_Therm Saved per Unit- MLA",Algorithms!$A:$A,0)),0)*Y235</f>
        <v>0</v>
      </c>
      <c r="CC235" s="266">
        <f ca="1">P235*IFERROR(INDEX(Algorithms!$G:$G,MATCH($C235&amp;"_Therm Saved per Unit- MLA",Algorithms!$A:$A,0)),0)*Z235</f>
        <v>0</v>
      </c>
      <c r="CD235" s="266">
        <f ca="1">Q235*IFERROR(INDEX(Algorithms!$G:$G,MATCH($C235&amp;"_Therm Saved per Unit- MLA",Algorithms!$A:$A,0)),0)*AA235</f>
        <v>0</v>
      </c>
      <c r="CE235" s="266">
        <f ca="1">IFERROR(INDEX(Algorithms!$G:$G,MATCH($C235&amp;"_Lifetime (years)",Algorithms!$A:$A,0)),0)</f>
        <v>20</v>
      </c>
      <c r="CF235" s="266">
        <f ca="1">IFERROR(INDEX(Algorithms!$G:$G,MATCH($C235&amp;"_Lifetime (years) - Remaining Years",Algorithms!$A:$A,0)),0)</f>
        <v>0</v>
      </c>
      <c r="CG235" s="266">
        <f t="shared" ca="1" si="153"/>
        <v>191952</v>
      </c>
      <c r="CH235" s="266">
        <f t="shared" ca="1" si="154"/>
        <v>191952</v>
      </c>
      <c r="CI235" s="266">
        <f t="shared" ca="1" si="155"/>
        <v>191952</v>
      </c>
      <c r="CJ235" s="266">
        <f t="shared" ca="1" si="156"/>
        <v>287928</v>
      </c>
      <c r="CK235" s="266">
        <f t="shared" si="157"/>
        <v>9597.6</v>
      </c>
      <c r="CL235" s="266">
        <f t="shared" si="158"/>
        <v>9597.6</v>
      </c>
      <c r="CM235" s="266">
        <f t="shared" ca="1" si="159"/>
        <v>9597.6</v>
      </c>
      <c r="CN235" s="266">
        <f t="shared" ca="1" si="160"/>
        <v>14396.400000000001</v>
      </c>
      <c r="CO235" s="266">
        <f ca="1">N235*IFERROR(INDEX(Algorithms!$G:$G,MATCH($C235&amp;"_Therm Saved per Unit- MLA",Algorithms!$A:$A,0)),0)*X235</f>
        <v>0</v>
      </c>
      <c r="CP235" s="266">
        <f ca="1">O235*IFERROR(INDEX(Algorithms!$G:$G,MATCH($C235&amp;"_Therm Saved per Unit- MLA",Algorithms!$A:$A,0)),0)*Y235</f>
        <v>0</v>
      </c>
      <c r="CQ235" s="266">
        <f ca="1">P235*IFERROR(INDEX(Algorithms!$G:$G,MATCH($C235&amp;"_Therm Saved per Unit- MLA",Algorithms!$A:$A,0)),0)*Z235</f>
        <v>0</v>
      </c>
      <c r="CR235" s="266">
        <f ca="1">Q235*IFERROR(INDEX(Algorithms!$G:$G,MATCH($C235&amp;"_Therm Saved per Unit- MLA",Algorithms!$A:$A,0)),0)*AA235</f>
        <v>0</v>
      </c>
      <c r="CS235" s="266">
        <f ca="1">IFERROR(INDEX(Algorithms!$G:$G,MATCH($C235&amp;"_Lifetime (years)",Algorithms!$A:$A,0)),0)</f>
        <v>20</v>
      </c>
      <c r="CT235" s="266">
        <f ca="1">IFERROR(INDEX(Algorithms!$G:$G,MATCH($C235&amp;"_Lifetime (years) - Remaining Years",Algorithms!$A:$A,0)),0)</f>
        <v>0</v>
      </c>
      <c r="CU235" s="266">
        <f t="shared" ca="1" si="161"/>
        <v>191952</v>
      </c>
      <c r="CV235" s="266">
        <f t="shared" ca="1" si="162"/>
        <v>191952</v>
      </c>
      <c r="CW235" s="266">
        <f t="shared" ca="1" si="163"/>
        <v>191952</v>
      </c>
      <c r="CX235" s="266">
        <f t="shared" ca="1" si="164"/>
        <v>287928</v>
      </c>
    </row>
    <row r="236" spans="2:102" s="47" customFormat="1" ht="18" customHeight="1" x14ac:dyDescent="0.25">
      <c r="B236" t="str">
        <f t="shared" si="165"/>
        <v>NSG_Residential_Home Energy Rebate_Standard Rebate_Boiler - DHW Two-in-One_0_SF</v>
      </c>
      <c r="C236" s="47" t="str">
        <f t="shared" si="126"/>
        <v>Boiler - DHW Two-in-One_0_SF</v>
      </c>
      <c r="D236" s="270" t="s">
        <v>1787</v>
      </c>
      <c r="E236" s="270" t="s">
        <v>2</v>
      </c>
      <c r="F236" s="270" t="s">
        <v>1417</v>
      </c>
      <c r="G236" s="270" t="s">
        <v>1418</v>
      </c>
      <c r="H236" s="270" t="s">
        <v>897</v>
      </c>
      <c r="I236" s="270">
        <v>0</v>
      </c>
      <c r="J236" s="270" t="s">
        <v>409</v>
      </c>
      <c r="K236" s="263">
        <v>1</v>
      </c>
      <c r="L236" s="263" t="str">
        <f ca="1">IFERROR(INDEX(Algorithms!J:J,MATCH($C236&amp;"_Therm Saved per Unit",Algorithms!$A:$A,0)),"n/a")</f>
        <v>5.4.2</v>
      </c>
      <c r="M236" s="263" t="str">
        <f>IFERROR(INDEX('Measure Level Detail'!$N:$N,MATCH($B236,'Measure Level Detail'!$B:$B,0)),0)</f>
        <v>each</v>
      </c>
      <c r="N236" s="271">
        <f>IFERROR(INDEX('Measure Level Detail'!$P:$P,MATCH($B236&amp;"_"&amp;N$3,'Measure Level Detail'!$C:$C,0)),0)</f>
        <v>15</v>
      </c>
      <c r="O236" s="271">
        <f>IFERROR(INDEX('Measure Level Detail'!$P:$P,MATCH($B236&amp;"_"&amp;O$3,'Measure Level Detail'!$C:$C,0)),0)</f>
        <v>15</v>
      </c>
      <c r="P236" s="271">
        <f>IFERROR(INDEX('Measure Level Detail'!$P:$P,MATCH($B236&amp;"_"&amp;P$3,'Measure Level Detail'!$C:$C,0)),0)</f>
        <v>15</v>
      </c>
      <c r="Q236" s="271">
        <f>IFERROR(INDEX('Measure Level Detail'!$P:$P,MATCH($B236&amp;"_"&amp;Q$3,'Measure Level Detail'!$C:$C,0)),0)</f>
        <v>15</v>
      </c>
      <c r="R236" s="263" t="str">
        <f ca="1">IFERROR(INDEX(Algorithms!K:K,MATCH($C236&amp;"_Therm Saved per Unit",Algorithms!$A:$A,0)),"n/a")</f>
        <v>RS-HWE-GWHT-V11-240101</v>
      </c>
      <c r="S236" s="262"/>
      <c r="T236" s="272">
        <v>63.49086967683337</v>
      </c>
      <c r="U236" s="272">
        <v>63.49086967683337</v>
      </c>
      <c r="V236" s="272">
        <v>63.49086967683337</v>
      </c>
      <c r="W236" s="272">
        <v>63.49086967683337</v>
      </c>
      <c r="X236" s="275">
        <v>0.74</v>
      </c>
      <c r="Y236" s="275">
        <v>0.74</v>
      </c>
      <c r="Z236" s="275">
        <v>0.74</v>
      </c>
      <c r="AA236" s="275">
        <v>0.74</v>
      </c>
      <c r="AB236" s="266">
        <f t="shared" si="127"/>
        <v>704.74865341285033</v>
      </c>
      <c r="AC236" s="266">
        <f t="shared" si="128"/>
        <v>704.74865341285033</v>
      </c>
      <c r="AD236" s="266">
        <f t="shared" si="129"/>
        <v>704.74865341285033</v>
      </c>
      <c r="AE236" s="266">
        <f t="shared" si="130"/>
        <v>704.74865341285033</v>
      </c>
      <c r="AF236" s="266">
        <f t="shared" si="131"/>
        <v>2818.9946136514013</v>
      </c>
      <c r="AG236" s="274">
        <v>0.74</v>
      </c>
      <c r="AH236" s="274">
        <v>0.74</v>
      </c>
      <c r="AI236" s="274">
        <v>0.74</v>
      </c>
      <c r="AJ236" s="274">
        <v>0.74</v>
      </c>
      <c r="AK236" s="274">
        <f t="shared" si="132"/>
        <v>0.74</v>
      </c>
      <c r="AL236" s="274">
        <f t="shared" si="133"/>
        <v>0.74</v>
      </c>
      <c r="AM236" s="274">
        <f t="shared" si="134"/>
        <v>0.74</v>
      </c>
      <c r="AN236" s="274">
        <f t="shared" si="135"/>
        <v>0.74</v>
      </c>
      <c r="AO236" s="262"/>
      <c r="AP236" s="262"/>
      <c r="AQ236" s="267">
        <v>63.49086967683337</v>
      </c>
      <c r="AR236" s="262"/>
      <c r="AS236" s="266">
        <f t="shared" si="136"/>
        <v>704.74865341285033</v>
      </c>
      <c r="AT236" s="264">
        <f t="shared" si="137"/>
        <v>0</v>
      </c>
      <c r="AU236" s="262"/>
      <c r="AV236" s="262"/>
      <c r="AW236" s="265">
        <v>63.49086967683337</v>
      </c>
      <c r="AX236" s="164" t="s">
        <v>1469</v>
      </c>
      <c r="AY236" s="266">
        <v>704.74865341285033</v>
      </c>
      <c r="AZ236" s="266">
        <f t="shared" si="138"/>
        <v>704.74865341285033</v>
      </c>
      <c r="BA236" s="264">
        <f t="shared" si="139"/>
        <v>0</v>
      </c>
      <c r="BB236" s="262"/>
      <c r="BC236" s="262"/>
      <c r="BD236" s="265">
        <f ca="1">IFERROR(INDEX(Algorithms!$G:$G,MATCH($C236&amp;"_Therm Saved per Unit",Algorithms!$A:$A,0)),0)</f>
        <v>62.477878775328861</v>
      </c>
      <c r="BE236" s="164" t="str">
        <f ca="1">IFERROR(INDEX('v12 Revisions'!$P$29:$P$186, MATCH('Measure-Level Adj Gas'!$L236, 'v12 Revisions'!$D$29:$D$186,0)),"")</f>
        <v>Baseline and efficient water heater criteria updated ; Updated measure life to 13.3 years for gas storage water heaters and 18.3 for gas instantaneous water heaters ; Updated incremental cost based on water heater type.</v>
      </c>
      <c r="BF236" s="266">
        <f t="shared" ca="1" si="140"/>
        <v>693.50445440615033</v>
      </c>
      <c r="BG236" s="264">
        <f t="shared" ca="1" si="141"/>
        <v>-11.244199006700001</v>
      </c>
      <c r="BH236" s="262"/>
      <c r="BI236" s="262"/>
      <c r="BJ236" s="265">
        <f ca="1">IFERROR(INDEX(Algorithms!$G:$G,MATCH($C236&amp;"_Therm Saved per Unit",Algorithms!$A:$A,0)),0)</f>
        <v>62.477878775328861</v>
      </c>
      <c r="BK236" s="164"/>
      <c r="BL236" s="266">
        <f t="shared" ca="1" si="142"/>
        <v>693.50445440615033</v>
      </c>
      <c r="BM236" s="264">
        <f t="shared" ca="1" si="143"/>
        <v>-11.244199006700001</v>
      </c>
      <c r="BN236" s="266">
        <f t="shared" si="144"/>
        <v>704.74865341285033</v>
      </c>
      <c r="BO236" s="266">
        <f t="shared" si="145"/>
        <v>704.74865341285033</v>
      </c>
      <c r="BP236" s="266">
        <f t="shared" ca="1" si="146"/>
        <v>693.50445440615033</v>
      </c>
      <c r="BQ236" s="266">
        <f t="shared" ca="1" si="147"/>
        <v>693.50445440615033</v>
      </c>
      <c r="BR236" s="268">
        <f t="shared" ca="1" si="148"/>
        <v>2796.5062156380013</v>
      </c>
      <c r="BS236" s="262" t="s">
        <v>99</v>
      </c>
      <c r="BT236" s="277"/>
      <c r="BW236" s="266">
        <f t="shared" si="149"/>
        <v>704.74865341285033</v>
      </c>
      <c r="BX236" s="266">
        <f t="shared" si="150"/>
        <v>704.74865341285033</v>
      </c>
      <c r="BY236" s="266">
        <f t="shared" si="151"/>
        <v>704.74865341285033</v>
      </c>
      <c r="BZ236" s="266">
        <f t="shared" si="152"/>
        <v>704.74865341285033</v>
      </c>
      <c r="CA236" s="266">
        <f ca="1">N236*IFERROR(INDEX(Algorithms!$G:$G,MATCH($C236&amp;"_Therm Saved per Unit- MLA",Algorithms!$A:$A,0)),0)*X236</f>
        <v>0</v>
      </c>
      <c r="CB236" s="266">
        <f ca="1">O236*IFERROR(INDEX(Algorithms!$G:$G,MATCH($C236&amp;"_Therm Saved per Unit- MLA",Algorithms!$A:$A,0)),0)*Y236</f>
        <v>0</v>
      </c>
      <c r="CC236" s="266">
        <f ca="1">P236*IFERROR(INDEX(Algorithms!$G:$G,MATCH($C236&amp;"_Therm Saved per Unit- MLA",Algorithms!$A:$A,0)),0)*Z236</f>
        <v>0</v>
      </c>
      <c r="CD236" s="266">
        <f ca="1">Q236*IFERROR(INDEX(Algorithms!$G:$G,MATCH($C236&amp;"_Therm Saved per Unit- MLA",Algorithms!$A:$A,0)),0)*AA236</f>
        <v>0</v>
      </c>
      <c r="CE236" s="266">
        <f ca="1">IFERROR(INDEX(Algorithms!$G:$G,MATCH($C236&amp;"_Lifetime (years)",Algorithms!$A:$A,0)),0)</f>
        <v>13.3</v>
      </c>
      <c r="CF236" s="266">
        <f ca="1">IFERROR(INDEX(Algorithms!$G:$G,MATCH($C236&amp;"_Lifetime (years) - Remaining Years",Algorithms!$A:$A,0)),0)</f>
        <v>0</v>
      </c>
      <c r="CG236" s="266">
        <f t="shared" ca="1" si="153"/>
        <v>9373.1570903909105</v>
      </c>
      <c r="CH236" s="266">
        <f t="shared" ca="1" si="154"/>
        <v>9373.1570903909105</v>
      </c>
      <c r="CI236" s="266">
        <f t="shared" ca="1" si="155"/>
        <v>9373.1570903909105</v>
      </c>
      <c r="CJ236" s="266">
        <f t="shared" ca="1" si="156"/>
        <v>9373.1570903909105</v>
      </c>
      <c r="CK236" s="266">
        <f t="shared" si="157"/>
        <v>704.74865341285033</v>
      </c>
      <c r="CL236" s="266">
        <f t="shared" si="158"/>
        <v>704.74865341285033</v>
      </c>
      <c r="CM236" s="266">
        <f t="shared" ca="1" si="159"/>
        <v>693.50445440615033</v>
      </c>
      <c r="CN236" s="266">
        <f t="shared" ca="1" si="160"/>
        <v>693.50445440615033</v>
      </c>
      <c r="CO236" s="266">
        <f ca="1">N236*IFERROR(INDEX(Algorithms!$G:$G,MATCH($C236&amp;"_Therm Saved per Unit- MLA",Algorithms!$A:$A,0)),0)*X236</f>
        <v>0</v>
      </c>
      <c r="CP236" s="266">
        <f ca="1">O236*IFERROR(INDEX(Algorithms!$G:$G,MATCH($C236&amp;"_Therm Saved per Unit- MLA",Algorithms!$A:$A,0)),0)*Y236</f>
        <v>0</v>
      </c>
      <c r="CQ236" s="266">
        <f ca="1">P236*IFERROR(INDEX(Algorithms!$G:$G,MATCH($C236&amp;"_Therm Saved per Unit- MLA",Algorithms!$A:$A,0)),0)*Z236</f>
        <v>0</v>
      </c>
      <c r="CR236" s="266">
        <f ca="1">Q236*IFERROR(INDEX(Algorithms!$G:$G,MATCH($C236&amp;"_Therm Saved per Unit- MLA",Algorithms!$A:$A,0)),0)*AA236</f>
        <v>0</v>
      </c>
      <c r="CS236" s="266">
        <f ca="1">IFERROR(INDEX(Algorithms!$G:$G,MATCH($C236&amp;"_Lifetime (years)",Algorithms!$A:$A,0)),0)</f>
        <v>13.3</v>
      </c>
      <c r="CT236" s="266">
        <f ca="1">IFERROR(INDEX(Algorithms!$G:$G,MATCH($C236&amp;"_Lifetime (years) - Remaining Years",Algorithms!$A:$A,0)),0)</f>
        <v>0</v>
      </c>
      <c r="CU236" s="266">
        <f t="shared" ca="1" si="161"/>
        <v>9373.1570903909105</v>
      </c>
      <c r="CV236" s="266">
        <f t="shared" ca="1" si="162"/>
        <v>9373.1570903909105</v>
      </c>
      <c r="CW236" s="266">
        <f t="shared" ca="1" si="163"/>
        <v>9223.6092436018007</v>
      </c>
      <c r="CX236" s="266">
        <f t="shared" ca="1" si="164"/>
        <v>9223.6092436018007</v>
      </c>
    </row>
    <row r="237" spans="2:102" s="47" customFormat="1" ht="18" customHeight="1" x14ac:dyDescent="0.25">
      <c r="B237" t="str">
        <f t="shared" si="165"/>
        <v>NSG_Business_C&amp;I_Rebates_Steam Traps_Industrial/Process Audit - 75 ≤ psig &lt; 125_CI/SMB</v>
      </c>
      <c r="C237" s="47" t="str">
        <f t="shared" si="126"/>
        <v>Steam Traps_Industrial/Process Audit - 75 ≤ psig &lt; 125_CI/SMB</v>
      </c>
      <c r="D237" s="270" t="s">
        <v>1787</v>
      </c>
      <c r="E237" s="270" t="s">
        <v>3</v>
      </c>
      <c r="F237" s="270" t="s">
        <v>1427</v>
      </c>
      <c r="G237" s="270" t="s">
        <v>1429</v>
      </c>
      <c r="H237" s="270" t="s">
        <v>644</v>
      </c>
      <c r="I237" s="270" t="s">
        <v>1386</v>
      </c>
      <c r="J237" s="270" t="s">
        <v>970</v>
      </c>
      <c r="K237" s="263">
        <v>1</v>
      </c>
      <c r="L237" s="263" t="str">
        <f ca="1">IFERROR(INDEX(Algorithms!J:J,MATCH($C237&amp;"_Therm Saved per Unit",Algorithms!$A:$A,0)),"n/a")</f>
        <v>4.4.16</v>
      </c>
      <c r="M237" s="263" t="str">
        <f>IFERROR(INDEX('Measure Level Detail'!$N:$N,MATCH($B237,'Measure Level Detail'!$B:$B,0)),0)</f>
        <v>each</v>
      </c>
      <c r="N237" s="271">
        <f>IFERROR(INDEX('Measure Level Detail'!$P:$P,MATCH($B237&amp;"_"&amp;N$3,'Measure Level Detail'!$C:$C,0)),0)</f>
        <v>12.75</v>
      </c>
      <c r="O237" s="271">
        <f>IFERROR(INDEX('Measure Level Detail'!$P:$P,MATCH($B237&amp;"_"&amp;O$3,'Measure Level Detail'!$C:$C,0)),0)</f>
        <v>12</v>
      </c>
      <c r="P237" s="271">
        <f>IFERROR(INDEX('Measure Level Detail'!$P:$P,MATCH($B237&amp;"_"&amp;P$3,'Measure Level Detail'!$C:$C,0)),0)</f>
        <v>10.5</v>
      </c>
      <c r="Q237" s="271">
        <f>IFERROR(INDEX('Measure Level Detail'!$P:$P,MATCH($B237&amp;"_"&amp;Q$3,'Measure Level Detail'!$C:$C,0)),0)</f>
        <v>10.200000000000001</v>
      </c>
      <c r="R237" s="263" t="str">
        <f ca="1">IFERROR(INDEX(Algorithms!K:K,MATCH($C237&amp;"_Therm Saved per Unit",Algorithms!$A:$A,0)),"n/a")</f>
        <v>CI-HVC-STRE-V10-240101</v>
      </c>
      <c r="S237" s="262"/>
      <c r="T237" s="272">
        <v>5253.732217921608</v>
      </c>
      <c r="U237" s="272">
        <v>5253.732217921608</v>
      </c>
      <c r="V237" s="272">
        <v>5253.732217921608</v>
      </c>
      <c r="W237" s="272">
        <v>5253.732217921608</v>
      </c>
      <c r="X237" s="273">
        <f>IFERROR(INDEX('Measure Level Detail'!$R:$R,MATCH($B237&amp;"_"&amp;X$3,'Measure Level Detail'!$C:$C,0)),0)</f>
        <v>0.91</v>
      </c>
      <c r="Y237" s="273">
        <f>IFERROR(INDEX('Measure Level Detail'!$R:$R,MATCH($B237&amp;"_"&amp;Y$3,'Measure Level Detail'!$C:$C,0)),0)</f>
        <v>0.91</v>
      </c>
      <c r="Z237" s="273">
        <f>IFERROR(INDEX('Measure Level Detail'!$R:$R,MATCH($B237&amp;"_"&amp;Z$3,'Measure Level Detail'!$C:$C,0)),0)</f>
        <v>0.91</v>
      </c>
      <c r="AA237" s="273">
        <f>IFERROR(INDEX('Measure Level Detail'!$R:$R,MATCH($B237&amp;"_"&amp;AA$3,'Measure Level Detail'!$C:$C,0)),0)</f>
        <v>0.91</v>
      </c>
      <c r="AB237" s="266">
        <f t="shared" si="127"/>
        <v>60956.428058435464</v>
      </c>
      <c r="AC237" s="266">
        <f t="shared" si="128"/>
        <v>57370.755819703962</v>
      </c>
      <c r="AD237" s="266">
        <f t="shared" si="129"/>
        <v>50199.411342240965</v>
      </c>
      <c r="AE237" s="266">
        <f t="shared" si="130"/>
        <v>48765.142446748374</v>
      </c>
      <c r="AF237" s="266">
        <f t="shared" si="131"/>
        <v>217291.73766712873</v>
      </c>
      <c r="AG237" s="274">
        <v>0.91</v>
      </c>
      <c r="AH237" s="274">
        <v>0.91</v>
      </c>
      <c r="AI237" s="274">
        <v>0.91</v>
      </c>
      <c r="AJ237" s="274">
        <v>0.91</v>
      </c>
      <c r="AK237" s="274">
        <f t="shared" si="132"/>
        <v>0.91</v>
      </c>
      <c r="AL237" s="274">
        <f t="shared" si="133"/>
        <v>0.91</v>
      </c>
      <c r="AM237" s="274">
        <f t="shared" si="134"/>
        <v>0.91</v>
      </c>
      <c r="AN237" s="274">
        <f t="shared" si="135"/>
        <v>0.91</v>
      </c>
      <c r="AO237" s="262"/>
      <c r="AP237" s="262"/>
      <c r="AQ237" s="267">
        <v>5253.732217921608</v>
      </c>
      <c r="AR237" s="262"/>
      <c r="AS237" s="266">
        <f t="shared" si="136"/>
        <v>60956.428058435464</v>
      </c>
      <c r="AT237" s="264">
        <f t="shared" si="137"/>
        <v>0</v>
      </c>
      <c r="AU237" s="262"/>
      <c r="AV237" s="262"/>
      <c r="AW237" s="265">
        <v>5253.732217921608</v>
      </c>
      <c r="AX237" s="164" t="s">
        <v>2397</v>
      </c>
      <c r="AY237" s="266">
        <v>57370.755819703962</v>
      </c>
      <c r="AZ237" s="266">
        <f t="shared" si="138"/>
        <v>57370.755819703962</v>
      </c>
      <c r="BA237" s="264">
        <f t="shared" si="139"/>
        <v>0</v>
      </c>
      <c r="BB237" s="262"/>
      <c r="BC237" s="262"/>
      <c r="BD237" s="265">
        <f ca="1">IFERROR(INDEX(Algorithms!$G:$G,MATCH($C237&amp;"_Therm Saved per Unit",Algorithms!$A:$A,0)),0)</f>
        <v>5253.732217921608</v>
      </c>
      <c r="BE237" s="164" t="str">
        <f ca="1">IFERROR(INDEX('v12 Revisions'!$P$29:$P$186, MATCH('Measure-Level Adj Gas'!$L237, 'v12 Revisions'!$D$29:$D$186,0)),"")</f>
        <v>n/a - costs only.</v>
      </c>
      <c r="BF237" s="266">
        <f t="shared" ca="1" si="140"/>
        <v>50199.411342240965</v>
      </c>
      <c r="BG237" s="264">
        <f t="shared" ca="1" si="141"/>
        <v>0</v>
      </c>
      <c r="BH237" s="262"/>
      <c r="BI237" s="262"/>
      <c r="BJ237" s="265">
        <f ca="1">IFERROR(INDEX(Algorithms!$G:$G,MATCH($C237&amp;"_Therm Saved per Unit",Algorithms!$A:$A,0)),0)</f>
        <v>5253.732217921608</v>
      </c>
      <c r="BK237" s="164"/>
      <c r="BL237" s="266">
        <f t="shared" ca="1" si="142"/>
        <v>48765.142446748374</v>
      </c>
      <c r="BM237" s="264">
        <f t="shared" ca="1" si="143"/>
        <v>0</v>
      </c>
      <c r="BN237" s="266">
        <f t="shared" si="144"/>
        <v>60956.428058435464</v>
      </c>
      <c r="BO237" s="266">
        <f t="shared" si="145"/>
        <v>57370.755819703962</v>
      </c>
      <c r="BP237" s="266">
        <f t="shared" ca="1" si="146"/>
        <v>50199.411342240965</v>
      </c>
      <c r="BQ237" s="266">
        <f t="shared" ca="1" si="147"/>
        <v>48765.142446748374</v>
      </c>
      <c r="BR237" s="268">
        <f t="shared" ca="1" si="148"/>
        <v>217291.73766712873</v>
      </c>
      <c r="BS237" s="262" t="s">
        <v>99</v>
      </c>
      <c r="BT237" s="277"/>
      <c r="BW237" s="266">
        <f t="shared" si="149"/>
        <v>60956.428058435464</v>
      </c>
      <c r="BX237" s="266">
        <f t="shared" si="150"/>
        <v>57370.755819703962</v>
      </c>
      <c r="BY237" s="266">
        <f t="shared" si="151"/>
        <v>50199.411342240965</v>
      </c>
      <c r="BZ237" s="266">
        <f t="shared" si="152"/>
        <v>48765.142446748374</v>
      </c>
      <c r="CA237" s="266">
        <f ca="1">N237*IFERROR(INDEX(Algorithms!$G:$G,MATCH($C237&amp;"_Therm Saved per Unit- MLA",Algorithms!$A:$A,0)),0)*X237</f>
        <v>0</v>
      </c>
      <c r="CB237" s="266">
        <f ca="1">O237*IFERROR(INDEX(Algorithms!$G:$G,MATCH($C237&amp;"_Therm Saved per Unit- MLA",Algorithms!$A:$A,0)),0)*Y237</f>
        <v>0</v>
      </c>
      <c r="CC237" s="266">
        <f ca="1">P237*IFERROR(INDEX(Algorithms!$G:$G,MATCH($C237&amp;"_Therm Saved per Unit- MLA",Algorithms!$A:$A,0)),0)*Z237</f>
        <v>0</v>
      </c>
      <c r="CD237" s="266">
        <f ca="1">Q237*IFERROR(INDEX(Algorithms!$G:$G,MATCH($C237&amp;"_Therm Saved per Unit- MLA",Algorithms!$A:$A,0)),0)*AA237</f>
        <v>0</v>
      </c>
      <c r="CE237" s="266">
        <f ca="1">IFERROR(INDEX(Algorithms!$G:$G,MATCH($C237&amp;"_Lifetime (years)",Algorithms!$A:$A,0)),0)</f>
        <v>6</v>
      </c>
      <c r="CF237" s="266">
        <f ca="1">IFERROR(INDEX(Algorithms!$G:$G,MATCH($C237&amp;"_Lifetime (years) - Remaining Years",Algorithms!$A:$A,0)),0)</f>
        <v>0</v>
      </c>
      <c r="CG237" s="266">
        <f t="shared" ca="1" si="153"/>
        <v>365738.56835061277</v>
      </c>
      <c r="CH237" s="266">
        <f t="shared" ca="1" si="154"/>
        <v>344224.53491822374</v>
      </c>
      <c r="CI237" s="266">
        <f t="shared" ca="1" si="155"/>
        <v>301196.4680534458</v>
      </c>
      <c r="CJ237" s="266">
        <f t="shared" ca="1" si="156"/>
        <v>292590.85468049021</v>
      </c>
      <c r="CK237" s="266">
        <f t="shared" si="157"/>
        <v>60956.428058435464</v>
      </c>
      <c r="CL237" s="266">
        <f t="shared" si="158"/>
        <v>57370.755819703962</v>
      </c>
      <c r="CM237" s="266">
        <f t="shared" ca="1" si="159"/>
        <v>50199.411342240965</v>
      </c>
      <c r="CN237" s="266">
        <f t="shared" ca="1" si="160"/>
        <v>48765.142446748374</v>
      </c>
      <c r="CO237" s="266">
        <f ca="1">N237*IFERROR(INDEX(Algorithms!$G:$G,MATCH($C237&amp;"_Therm Saved per Unit- MLA",Algorithms!$A:$A,0)),0)*X237</f>
        <v>0</v>
      </c>
      <c r="CP237" s="266">
        <f ca="1">O237*IFERROR(INDEX(Algorithms!$G:$G,MATCH($C237&amp;"_Therm Saved per Unit- MLA",Algorithms!$A:$A,0)),0)*Y237</f>
        <v>0</v>
      </c>
      <c r="CQ237" s="266">
        <f ca="1">P237*IFERROR(INDEX(Algorithms!$G:$G,MATCH($C237&amp;"_Therm Saved per Unit- MLA",Algorithms!$A:$A,0)),0)*Z237</f>
        <v>0</v>
      </c>
      <c r="CR237" s="266">
        <f ca="1">Q237*IFERROR(INDEX(Algorithms!$G:$G,MATCH($C237&amp;"_Therm Saved per Unit- MLA",Algorithms!$A:$A,0)),0)*AA237</f>
        <v>0</v>
      </c>
      <c r="CS237" s="266">
        <f ca="1">IFERROR(INDEX(Algorithms!$G:$G,MATCH($C237&amp;"_Lifetime (years)",Algorithms!$A:$A,0)),0)</f>
        <v>6</v>
      </c>
      <c r="CT237" s="266">
        <f ca="1">IFERROR(INDEX(Algorithms!$G:$G,MATCH($C237&amp;"_Lifetime (years) - Remaining Years",Algorithms!$A:$A,0)),0)</f>
        <v>0</v>
      </c>
      <c r="CU237" s="266">
        <f t="shared" ca="1" si="161"/>
        <v>365738.56835061277</v>
      </c>
      <c r="CV237" s="266">
        <f t="shared" ca="1" si="162"/>
        <v>344224.53491822374</v>
      </c>
      <c r="CW237" s="266">
        <f t="shared" ca="1" si="163"/>
        <v>301196.4680534458</v>
      </c>
      <c r="CX237" s="266">
        <f t="shared" ca="1" si="164"/>
        <v>292590.85468049021</v>
      </c>
    </row>
    <row r="238" spans="2:102" s="47" customFormat="1" ht="18" customHeight="1" x14ac:dyDescent="0.25">
      <c r="B238" t="str">
        <f t="shared" si="165"/>
        <v>NSG_Income Eligible_Multi-Family_Whole Building - Prescriptive_A/C Cover and Gap Sealer_0_MF</v>
      </c>
      <c r="C238" s="47" t="str">
        <f t="shared" si="126"/>
        <v>A/C Cover and Gap Sealer_0_MF</v>
      </c>
      <c r="D238" s="270" t="s">
        <v>1787</v>
      </c>
      <c r="E238" s="270" t="s">
        <v>325</v>
      </c>
      <c r="F238" s="270" t="s">
        <v>1422</v>
      </c>
      <c r="G238" s="270" t="s">
        <v>1813</v>
      </c>
      <c r="H238" s="270" t="s">
        <v>1400</v>
      </c>
      <c r="I238" s="270">
        <v>0</v>
      </c>
      <c r="J238" s="270" t="s">
        <v>553</v>
      </c>
      <c r="K238" s="263">
        <v>1</v>
      </c>
      <c r="L238" s="263" t="str">
        <f ca="1">IFERROR(INDEX(Algorithms!J:J,MATCH($C238&amp;"_Therm Saved per Unit",Algorithms!$A:$A,0)),"n/a")</f>
        <v>4.4.38</v>
      </c>
      <c r="M238" s="263" t="str">
        <f>IFERROR(INDEX('Measure Level Detail'!$N:$N,MATCH($B238,'Measure Level Detail'!$B:$B,0)),0)</f>
        <v>each</v>
      </c>
      <c r="N238" s="271">
        <f>IFERROR(INDEX('Measure Level Detail'!$P:$P,MATCH($B238&amp;"_"&amp;N$3,'Measure Level Detail'!$C:$C,0)),0)</f>
        <v>12</v>
      </c>
      <c r="O238" s="271">
        <f>IFERROR(INDEX('Measure Level Detail'!$P:$P,MATCH($B238&amp;"_"&amp;O$3,'Measure Level Detail'!$C:$C,0)),0)</f>
        <v>12</v>
      </c>
      <c r="P238" s="271">
        <f>IFERROR(INDEX('Measure Level Detail'!$P:$P,MATCH($B238&amp;"_"&amp;P$3,'Measure Level Detail'!$C:$C,0)),0)</f>
        <v>12</v>
      </c>
      <c r="Q238" s="271">
        <f>IFERROR(INDEX('Measure Level Detail'!$P:$P,MATCH($B238&amp;"_"&amp;Q$3,'Measure Level Detail'!$C:$C,0)),0)</f>
        <v>12</v>
      </c>
      <c r="R238" s="263" t="str">
        <f ca="1">IFERROR(INDEX(Algorithms!K:K,MATCH($C238&amp;"_Therm Saved per Unit",Algorithms!$A:$A,0)),"n/a")</f>
        <v>CI-HVC-CRAC-V03-230101</v>
      </c>
      <c r="S238" s="262"/>
      <c r="T238" s="272">
        <v>12.64</v>
      </c>
      <c r="U238" s="272">
        <v>12.64</v>
      </c>
      <c r="V238" s="272">
        <v>12.64</v>
      </c>
      <c r="W238" s="272">
        <v>12.64</v>
      </c>
      <c r="X238" s="273">
        <f>IFERROR(INDEX('Measure Level Detail'!$R:$R,MATCH($B238&amp;"_"&amp;X$3,'Measure Level Detail'!$C:$C,0)),0)</f>
        <v>1</v>
      </c>
      <c r="Y238" s="273">
        <f>IFERROR(INDEX('Measure Level Detail'!$R:$R,MATCH($B238&amp;"_"&amp;Y$3,'Measure Level Detail'!$C:$C,0)),0)</f>
        <v>1</v>
      </c>
      <c r="Z238" s="273">
        <f>IFERROR(INDEX('Measure Level Detail'!$R:$R,MATCH($B238&amp;"_"&amp;Z$3,'Measure Level Detail'!$C:$C,0)),0)</f>
        <v>1</v>
      </c>
      <c r="AA238" s="273">
        <f>IFERROR(INDEX('Measure Level Detail'!$R:$R,MATCH($B238&amp;"_"&amp;AA$3,'Measure Level Detail'!$C:$C,0)),0)</f>
        <v>1</v>
      </c>
      <c r="AB238" s="266">
        <f t="shared" si="127"/>
        <v>151.68</v>
      </c>
      <c r="AC238" s="266">
        <f t="shared" si="128"/>
        <v>151.68</v>
      </c>
      <c r="AD238" s="266">
        <f t="shared" si="129"/>
        <v>151.68</v>
      </c>
      <c r="AE238" s="266">
        <f t="shared" si="130"/>
        <v>151.68</v>
      </c>
      <c r="AF238" s="266">
        <f t="shared" si="131"/>
        <v>606.72</v>
      </c>
      <c r="AG238" s="274">
        <v>1</v>
      </c>
      <c r="AH238" s="274">
        <v>1</v>
      </c>
      <c r="AI238" s="274">
        <v>1</v>
      </c>
      <c r="AJ238" s="274">
        <v>1</v>
      </c>
      <c r="AK238" s="274">
        <f t="shared" si="132"/>
        <v>1</v>
      </c>
      <c r="AL238" s="274">
        <f t="shared" si="133"/>
        <v>1</v>
      </c>
      <c r="AM238" s="274">
        <f t="shared" si="134"/>
        <v>1</v>
      </c>
      <c r="AN238" s="274">
        <f t="shared" si="135"/>
        <v>1</v>
      </c>
      <c r="AO238" s="262"/>
      <c r="AP238" s="262"/>
      <c r="AQ238" s="267">
        <v>12.64</v>
      </c>
      <c r="AR238" s="262"/>
      <c r="AS238" s="266">
        <f t="shared" si="136"/>
        <v>151.68</v>
      </c>
      <c r="AT238" s="264">
        <f t="shared" si="137"/>
        <v>0</v>
      </c>
      <c r="AU238" s="262"/>
      <c r="AV238" s="262"/>
      <c r="AW238" s="265">
        <v>12.64</v>
      </c>
      <c r="AX238" s="164" t="s">
        <v>1469</v>
      </c>
      <c r="AY238" s="266">
        <v>151.68</v>
      </c>
      <c r="AZ238" s="266">
        <f t="shared" si="138"/>
        <v>151.68</v>
      </c>
      <c r="BA238" s="264">
        <f t="shared" si="139"/>
        <v>0</v>
      </c>
      <c r="BB238" s="262"/>
      <c r="BC238" s="262"/>
      <c r="BD238" s="265">
        <f ca="1">IFERROR(INDEX(Algorithms!$G:$G,MATCH($C238&amp;"_Therm Saved per Unit",Algorithms!$A:$A,0)),0)</f>
        <v>12.64</v>
      </c>
      <c r="BE238" s="164" t="str">
        <f ca="1">IFERROR(INDEX('v12 Revisions'!$P$29:$P$186, MATCH('Measure-Level Adj Gas'!$L238, 'v12 Revisions'!$D$29:$D$186,0)),"")</f>
        <v/>
      </c>
      <c r="BF238" s="266">
        <f t="shared" ca="1" si="140"/>
        <v>151.68</v>
      </c>
      <c r="BG238" s="264">
        <f t="shared" ca="1" si="141"/>
        <v>0</v>
      </c>
      <c r="BH238" s="262"/>
      <c r="BI238" s="262"/>
      <c r="BJ238" s="265">
        <f ca="1">IFERROR(INDEX(Algorithms!$G:$G,MATCH($C238&amp;"_Therm Saved per Unit",Algorithms!$A:$A,0)),0)</f>
        <v>12.64</v>
      </c>
      <c r="BK238" s="164"/>
      <c r="BL238" s="266">
        <f t="shared" ca="1" si="142"/>
        <v>151.68</v>
      </c>
      <c r="BM238" s="264">
        <f t="shared" ca="1" si="143"/>
        <v>0</v>
      </c>
      <c r="BN238" s="266">
        <f t="shared" si="144"/>
        <v>151.68</v>
      </c>
      <c r="BO238" s="266">
        <f t="shared" si="145"/>
        <v>151.68</v>
      </c>
      <c r="BP238" s="266">
        <f t="shared" ca="1" si="146"/>
        <v>151.68</v>
      </c>
      <c r="BQ238" s="266">
        <f t="shared" ca="1" si="147"/>
        <v>151.68</v>
      </c>
      <c r="BR238" s="268">
        <f t="shared" ca="1" si="148"/>
        <v>606.72</v>
      </c>
      <c r="BS238" s="262" t="s">
        <v>99</v>
      </c>
      <c r="BT238" s="277"/>
      <c r="BW238" s="266">
        <f t="shared" si="149"/>
        <v>151.68</v>
      </c>
      <c r="BX238" s="266">
        <f t="shared" si="150"/>
        <v>151.68</v>
      </c>
      <c r="BY238" s="266">
        <f t="shared" si="151"/>
        <v>151.68</v>
      </c>
      <c r="BZ238" s="266">
        <f t="shared" si="152"/>
        <v>151.68</v>
      </c>
      <c r="CA238" s="266">
        <f ca="1">N238*IFERROR(INDEX(Algorithms!$G:$G,MATCH($C238&amp;"_Therm Saved per Unit- MLA",Algorithms!$A:$A,0)),0)*X238</f>
        <v>0</v>
      </c>
      <c r="CB238" s="266">
        <f ca="1">O238*IFERROR(INDEX(Algorithms!$G:$G,MATCH($C238&amp;"_Therm Saved per Unit- MLA",Algorithms!$A:$A,0)),0)*Y238</f>
        <v>0</v>
      </c>
      <c r="CC238" s="266">
        <f ca="1">P238*IFERROR(INDEX(Algorithms!$G:$G,MATCH($C238&amp;"_Therm Saved per Unit- MLA",Algorithms!$A:$A,0)),0)*Z238</f>
        <v>0</v>
      </c>
      <c r="CD238" s="266">
        <f ca="1">Q238*IFERROR(INDEX(Algorithms!$G:$G,MATCH($C238&amp;"_Therm Saved per Unit- MLA",Algorithms!$A:$A,0)),0)*AA238</f>
        <v>0</v>
      </c>
      <c r="CE238" s="266">
        <f ca="1">IFERROR(INDEX(Algorithms!$G:$G,MATCH($C238&amp;"_Lifetime (years)",Algorithms!$A:$A,0)),0)</f>
        <v>5</v>
      </c>
      <c r="CF238" s="266">
        <f ca="1">IFERROR(INDEX(Algorithms!$G:$G,MATCH($C238&amp;"_Lifetime (years) - Remaining Years",Algorithms!$A:$A,0)),0)</f>
        <v>0</v>
      </c>
      <c r="CG238" s="266">
        <f t="shared" ca="1" si="153"/>
        <v>758.40000000000009</v>
      </c>
      <c r="CH238" s="266">
        <f t="shared" ca="1" si="154"/>
        <v>758.40000000000009</v>
      </c>
      <c r="CI238" s="266">
        <f t="shared" ca="1" si="155"/>
        <v>758.40000000000009</v>
      </c>
      <c r="CJ238" s="266">
        <f t="shared" ca="1" si="156"/>
        <v>758.40000000000009</v>
      </c>
      <c r="CK238" s="266">
        <f t="shared" si="157"/>
        <v>151.68</v>
      </c>
      <c r="CL238" s="266">
        <f t="shared" si="158"/>
        <v>151.68</v>
      </c>
      <c r="CM238" s="266">
        <f t="shared" ca="1" si="159"/>
        <v>151.68</v>
      </c>
      <c r="CN238" s="266">
        <f t="shared" ca="1" si="160"/>
        <v>151.68</v>
      </c>
      <c r="CO238" s="266">
        <f ca="1">N238*IFERROR(INDEX(Algorithms!$G:$G,MATCH($C238&amp;"_Therm Saved per Unit- MLA",Algorithms!$A:$A,0)),0)*X238</f>
        <v>0</v>
      </c>
      <c r="CP238" s="266">
        <f ca="1">O238*IFERROR(INDEX(Algorithms!$G:$G,MATCH($C238&amp;"_Therm Saved per Unit- MLA",Algorithms!$A:$A,0)),0)*Y238</f>
        <v>0</v>
      </c>
      <c r="CQ238" s="266">
        <f ca="1">P238*IFERROR(INDEX(Algorithms!$G:$G,MATCH($C238&amp;"_Therm Saved per Unit- MLA",Algorithms!$A:$A,0)),0)*Z238</f>
        <v>0</v>
      </c>
      <c r="CR238" s="266">
        <f ca="1">Q238*IFERROR(INDEX(Algorithms!$G:$G,MATCH($C238&amp;"_Therm Saved per Unit- MLA",Algorithms!$A:$A,0)),0)*AA238</f>
        <v>0</v>
      </c>
      <c r="CS238" s="266">
        <f ca="1">IFERROR(INDEX(Algorithms!$G:$G,MATCH($C238&amp;"_Lifetime (years)",Algorithms!$A:$A,0)),0)</f>
        <v>5</v>
      </c>
      <c r="CT238" s="266">
        <f ca="1">IFERROR(INDEX(Algorithms!$G:$G,MATCH($C238&amp;"_Lifetime (years) - Remaining Years",Algorithms!$A:$A,0)),0)</f>
        <v>0</v>
      </c>
      <c r="CU238" s="266">
        <f t="shared" ca="1" si="161"/>
        <v>758.40000000000009</v>
      </c>
      <c r="CV238" s="266">
        <f t="shared" ca="1" si="162"/>
        <v>758.40000000000009</v>
      </c>
      <c r="CW238" s="266">
        <f t="shared" ca="1" si="163"/>
        <v>758.40000000000009</v>
      </c>
      <c r="CX238" s="266">
        <f t="shared" ca="1" si="164"/>
        <v>758.40000000000009</v>
      </c>
    </row>
    <row r="239" spans="2:102" s="47" customFormat="1" ht="18" customHeight="1" x14ac:dyDescent="0.25">
      <c r="B239" t="str">
        <f t="shared" si="165"/>
        <v>NSG_Business_Small/Mid-Size Business_Partner Trade Ally Rebate_Steam Traps_HVAC Repair/Rep - No Audit_CI</v>
      </c>
      <c r="C239" s="47" t="str">
        <f t="shared" si="126"/>
        <v>Steam Traps_HVAC Repair/Rep - No Audit_CI</v>
      </c>
      <c r="D239" s="270" t="s">
        <v>1787</v>
      </c>
      <c r="E239" s="270" t="s">
        <v>3</v>
      </c>
      <c r="F239" s="270" t="s">
        <v>1432</v>
      </c>
      <c r="G239" s="270" t="s">
        <v>1799</v>
      </c>
      <c r="H239" s="270" t="s">
        <v>644</v>
      </c>
      <c r="I239" s="270" t="s">
        <v>660</v>
      </c>
      <c r="J239" s="270" t="s">
        <v>1159</v>
      </c>
      <c r="K239" s="263">
        <v>1</v>
      </c>
      <c r="L239" s="263" t="str">
        <f ca="1">IFERROR(INDEX(Algorithms!J:J,MATCH($C239&amp;"_Therm Saved per Unit",Algorithms!$A:$A,0)),"n/a")</f>
        <v>4.4.16</v>
      </c>
      <c r="M239" s="263" t="str">
        <f>IFERROR(INDEX('Measure Level Detail'!$N:$N,MATCH($B239,'Measure Level Detail'!$B:$B,0)),0)</f>
        <v>each</v>
      </c>
      <c r="N239" s="271">
        <f>IFERROR(INDEX('Measure Level Detail'!$P:$P,MATCH($B239&amp;"_"&amp;N$3,'Measure Level Detail'!$C:$C,0)),0)</f>
        <v>9</v>
      </c>
      <c r="O239" s="271">
        <f>IFERROR(INDEX('Measure Level Detail'!$P:$P,MATCH($B239&amp;"_"&amp;O$3,'Measure Level Detail'!$C:$C,0)),0)</f>
        <v>8</v>
      </c>
      <c r="P239" s="271">
        <f>IFERROR(INDEX('Measure Level Detail'!$P:$P,MATCH($B239&amp;"_"&amp;P$3,'Measure Level Detail'!$C:$C,0)),0)</f>
        <v>8</v>
      </c>
      <c r="Q239" s="271">
        <f>IFERROR(INDEX('Measure Level Detail'!$P:$P,MATCH($B239&amp;"_"&amp;Q$3,'Measure Level Detail'!$C:$C,0)),0)</f>
        <v>8</v>
      </c>
      <c r="R239" s="263" t="str">
        <f ca="1">IFERROR(INDEX(Algorithms!K:K,MATCH($C239&amp;"_Therm Saved per Unit",Algorithms!$A:$A,0)),"n/a")</f>
        <v>CI-HVC-STRE-V10-240101</v>
      </c>
      <c r="S239" s="262"/>
      <c r="T239" s="272">
        <v>103.61717935878508</v>
      </c>
      <c r="U239" s="272">
        <v>103.61717935878508</v>
      </c>
      <c r="V239" s="272">
        <v>103.61717935878508</v>
      </c>
      <c r="W239" s="272">
        <v>103.61717935878508</v>
      </c>
      <c r="X239" s="276">
        <v>0.93</v>
      </c>
      <c r="Y239" s="276">
        <v>0.93</v>
      </c>
      <c r="Z239" s="276">
        <v>0.93</v>
      </c>
      <c r="AA239" s="276">
        <v>0.93</v>
      </c>
      <c r="AB239" s="266">
        <f t="shared" si="127"/>
        <v>867.2757912330311</v>
      </c>
      <c r="AC239" s="266">
        <f t="shared" si="128"/>
        <v>770.91181442936102</v>
      </c>
      <c r="AD239" s="266">
        <f t="shared" si="129"/>
        <v>770.91181442936102</v>
      </c>
      <c r="AE239" s="266">
        <f t="shared" si="130"/>
        <v>770.91181442936102</v>
      </c>
      <c r="AF239" s="266">
        <f t="shared" si="131"/>
        <v>3180.0112345211141</v>
      </c>
      <c r="AG239" s="274">
        <v>0.93</v>
      </c>
      <c r="AH239" s="274">
        <v>0.93</v>
      </c>
      <c r="AI239" s="274">
        <v>0.93</v>
      </c>
      <c r="AJ239" s="274">
        <v>0.93</v>
      </c>
      <c r="AK239" s="274">
        <f t="shared" si="132"/>
        <v>0.93</v>
      </c>
      <c r="AL239" s="274">
        <f t="shared" si="133"/>
        <v>0.93</v>
      </c>
      <c r="AM239" s="274">
        <f t="shared" si="134"/>
        <v>0.93</v>
      </c>
      <c r="AN239" s="274">
        <f t="shared" si="135"/>
        <v>0.93</v>
      </c>
      <c r="AO239" s="262"/>
      <c r="AP239" s="262"/>
      <c r="AQ239" s="267">
        <v>103.61717935878508</v>
      </c>
      <c r="AR239" s="262"/>
      <c r="AS239" s="266">
        <f t="shared" si="136"/>
        <v>867.2757912330311</v>
      </c>
      <c r="AT239" s="264">
        <f t="shared" si="137"/>
        <v>0</v>
      </c>
      <c r="AU239" s="262"/>
      <c r="AV239" s="262"/>
      <c r="AW239" s="265">
        <v>210.59502881757265</v>
      </c>
      <c r="AX239" s="164" t="s">
        <v>2397</v>
      </c>
      <c r="AY239" s="266">
        <v>770.91181442936102</v>
      </c>
      <c r="AZ239" s="266">
        <f t="shared" si="138"/>
        <v>1566.8270144027406</v>
      </c>
      <c r="BA239" s="264">
        <f t="shared" si="139"/>
        <v>795.91519997337957</v>
      </c>
      <c r="BB239" s="262"/>
      <c r="BC239" s="262"/>
      <c r="BD239" s="265">
        <f ca="1">IFERROR(INDEX(Algorithms!$G:$G,MATCH($C239&amp;"_Therm Saved per Unit",Algorithms!$A:$A,0)),0)</f>
        <v>210.59502881757265</v>
      </c>
      <c r="BE239" s="164" t="str">
        <f ca="1">IFERROR(INDEX('v12 Revisions'!$P$29:$P$186, MATCH('Measure-Level Adj Gas'!$L239, 'v12 Revisions'!$D$29:$D$186,0)),"")</f>
        <v>n/a - costs only.</v>
      </c>
      <c r="BF239" s="266">
        <f t="shared" ca="1" si="140"/>
        <v>1566.8270144027406</v>
      </c>
      <c r="BG239" s="264">
        <f t="shared" ca="1" si="141"/>
        <v>795.91519997337957</v>
      </c>
      <c r="BH239" s="262"/>
      <c r="BI239" s="262"/>
      <c r="BJ239" s="265">
        <f ca="1">IFERROR(INDEX(Algorithms!$G:$G,MATCH($C239&amp;"_Therm Saved per Unit",Algorithms!$A:$A,0)),0)</f>
        <v>210.59502881757265</v>
      </c>
      <c r="BK239" s="164"/>
      <c r="BL239" s="266">
        <f t="shared" ca="1" si="142"/>
        <v>1566.8270144027406</v>
      </c>
      <c r="BM239" s="264">
        <f t="shared" ca="1" si="143"/>
        <v>795.91519997337957</v>
      </c>
      <c r="BN239" s="266">
        <f t="shared" si="144"/>
        <v>867.2757912330311</v>
      </c>
      <c r="BO239" s="266">
        <f t="shared" si="145"/>
        <v>1566.8270144027406</v>
      </c>
      <c r="BP239" s="266">
        <f t="shared" ca="1" si="146"/>
        <v>1566.8270144027406</v>
      </c>
      <c r="BQ239" s="266">
        <f t="shared" ca="1" si="147"/>
        <v>1566.8270144027406</v>
      </c>
      <c r="BR239" s="268">
        <f t="shared" ca="1" si="148"/>
        <v>5567.756834441253</v>
      </c>
      <c r="BS239" s="262" t="s">
        <v>99</v>
      </c>
      <c r="BT239" s="277"/>
      <c r="BW239" s="266">
        <f t="shared" si="149"/>
        <v>867.2757912330311</v>
      </c>
      <c r="BX239" s="266">
        <f t="shared" si="150"/>
        <v>770.91181442936102</v>
      </c>
      <c r="BY239" s="266">
        <f t="shared" si="151"/>
        <v>770.91181442936102</v>
      </c>
      <c r="BZ239" s="266">
        <f t="shared" si="152"/>
        <v>770.91181442936102</v>
      </c>
      <c r="CA239" s="266">
        <f ca="1">N239*IFERROR(INDEX(Algorithms!$G:$G,MATCH($C239&amp;"_Therm Saved per Unit- MLA",Algorithms!$A:$A,0)),0)*X239</f>
        <v>0</v>
      </c>
      <c r="CB239" s="266">
        <f ca="1">O239*IFERROR(INDEX(Algorithms!$G:$G,MATCH($C239&amp;"_Therm Saved per Unit- MLA",Algorithms!$A:$A,0)),0)*Y239</f>
        <v>0</v>
      </c>
      <c r="CC239" s="266">
        <f ca="1">P239*IFERROR(INDEX(Algorithms!$G:$G,MATCH($C239&amp;"_Therm Saved per Unit- MLA",Algorithms!$A:$A,0)),0)*Z239</f>
        <v>0</v>
      </c>
      <c r="CD239" s="266">
        <f ca="1">Q239*IFERROR(INDEX(Algorithms!$G:$G,MATCH($C239&amp;"_Therm Saved per Unit- MLA",Algorithms!$A:$A,0)),0)*AA239</f>
        <v>0</v>
      </c>
      <c r="CE239" s="266">
        <f ca="1">IFERROR(INDEX(Algorithms!$G:$G,MATCH($C239&amp;"_Lifetime (years)",Algorithms!$A:$A,0)),0)</f>
        <v>6</v>
      </c>
      <c r="CF239" s="266">
        <f ca="1">IFERROR(INDEX(Algorithms!$G:$G,MATCH($C239&amp;"_Lifetime (years) - Remaining Years",Algorithms!$A:$A,0)),0)</f>
        <v>0</v>
      </c>
      <c r="CG239" s="266">
        <f t="shared" ca="1" si="153"/>
        <v>5203.6547473981864</v>
      </c>
      <c r="CH239" s="266">
        <f t="shared" ca="1" si="154"/>
        <v>4625.4708865761659</v>
      </c>
      <c r="CI239" s="266">
        <f t="shared" ca="1" si="155"/>
        <v>4625.4708865761659</v>
      </c>
      <c r="CJ239" s="266">
        <f t="shared" ca="1" si="156"/>
        <v>4625.4708865761659</v>
      </c>
      <c r="CK239" s="266">
        <f t="shared" si="157"/>
        <v>867.2757912330311</v>
      </c>
      <c r="CL239" s="266">
        <f t="shared" si="158"/>
        <v>1566.8270144027406</v>
      </c>
      <c r="CM239" s="266">
        <f t="shared" ca="1" si="159"/>
        <v>1566.8270144027406</v>
      </c>
      <c r="CN239" s="266">
        <f t="shared" ca="1" si="160"/>
        <v>1566.8270144027406</v>
      </c>
      <c r="CO239" s="266">
        <f ca="1">N239*IFERROR(INDEX(Algorithms!$G:$G,MATCH($C239&amp;"_Therm Saved per Unit- MLA",Algorithms!$A:$A,0)),0)*X239</f>
        <v>0</v>
      </c>
      <c r="CP239" s="266">
        <f ca="1">O239*IFERROR(INDEX(Algorithms!$G:$G,MATCH($C239&amp;"_Therm Saved per Unit- MLA",Algorithms!$A:$A,0)),0)*Y239</f>
        <v>0</v>
      </c>
      <c r="CQ239" s="266">
        <f ca="1">P239*IFERROR(INDEX(Algorithms!$G:$G,MATCH($C239&amp;"_Therm Saved per Unit- MLA",Algorithms!$A:$A,0)),0)*Z239</f>
        <v>0</v>
      </c>
      <c r="CR239" s="266">
        <f ca="1">Q239*IFERROR(INDEX(Algorithms!$G:$G,MATCH($C239&amp;"_Therm Saved per Unit- MLA",Algorithms!$A:$A,0)),0)*AA239</f>
        <v>0</v>
      </c>
      <c r="CS239" s="266">
        <f ca="1">IFERROR(INDEX(Algorithms!$G:$G,MATCH($C239&amp;"_Lifetime (years)",Algorithms!$A:$A,0)),0)</f>
        <v>6</v>
      </c>
      <c r="CT239" s="266">
        <f ca="1">IFERROR(INDEX(Algorithms!$G:$G,MATCH($C239&amp;"_Lifetime (years) - Remaining Years",Algorithms!$A:$A,0)),0)</f>
        <v>0</v>
      </c>
      <c r="CU239" s="266">
        <f t="shared" ca="1" si="161"/>
        <v>5203.6547473981864</v>
      </c>
      <c r="CV239" s="266">
        <f t="shared" ca="1" si="162"/>
        <v>9400.9620864164426</v>
      </c>
      <c r="CW239" s="266">
        <f t="shared" ca="1" si="163"/>
        <v>9400.9620864164426</v>
      </c>
      <c r="CX239" s="266">
        <f t="shared" ca="1" si="164"/>
        <v>9400.9620864164426</v>
      </c>
    </row>
    <row r="240" spans="2:102" s="47" customFormat="1" ht="18" customHeight="1" x14ac:dyDescent="0.25">
      <c r="B240" t="str">
        <f t="shared" si="165"/>
        <v>NSG_Business_C&amp;I_Rebates_Steam Traps_Industrial/Process Audit - 125 ≤ psig &lt; 175_CI/SMB</v>
      </c>
      <c r="C240" s="47" t="str">
        <f t="shared" si="126"/>
        <v>Steam Traps_Industrial/Process Audit - 125 ≤ psig &lt; 175_CI/SMB</v>
      </c>
      <c r="D240" s="270" t="s">
        <v>1787</v>
      </c>
      <c r="E240" s="270" t="s">
        <v>3</v>
      </c>
      <c r="F240" s="270" t="s">
        <v>1427</v>
      </c>
      <c r="G240" s="270" t="s">
        <v>1429</v>
      </c>
      <c r="H240" s="270" t="s">
        <v>644</v>
      </c>
      <c r="I240" s="270" t="s">
        <v>1374</v>
      </c>
      <c r="J240" s="270" t="s">
        <v>970</v>
      </c>
      <c r="K240" s="263">
        <v>1</v>
      </c>
      <c r="L240" s="263" t="str">
        <f ca="1">IFERROR(INDEX(Algorithms!J:J,MATCH($C240&amp;"_Therm Saved per Unit",Algorithms!$A:$A,0)),"n/a")</f>
        <v>4.4.16</v>
      </c>
      <c r="M240" s="263" t="str">
        <f>IFERROR(INDEX('Measure Level Detail'!$N:$N,MATCH($B240,'Measure Level Detail'!$B:$B,0)),0)</f>
        <v>each</v>
      </c>
      <c r="N240" s="271">
        <f>IFERROR(INDEX('Measure Level Detail'!$P:$P,MATCH($B240&amp;"_"&amp;N$3,'Measure Level Detail'!$C:$C,0)),0)</f>
        <v>8.5</v>
      </c>
      <c r="O240" s="271">
        <f>IFERROR(INDEX('Measure Level Detail'!$P:$P,MATCH($B240&amp;"_"&amp;O$3,'Measure Level Detail'!$C:$C,0)),0)</f>
        <v>8</v>
      </c>
      <c r="P240" s="271">
        <f>IFERROR(INDEX('Measure Level Detail'!$P:$P,MATCH($B240&amp;"_"&amp;P$3,'Measure Level Detail'!$C:$C,0)),0)</f>
        <v>7</v>
      </c>
      <c r="Q240" s="271">
        <f>IFERROR(INDEX('Measure Level Detail'!$P:$P,MATCH($B240&amp;"_"&amp;Q$3,'Measure Level Detail'!$C:$C,0)),0)</f>
        <v>6.8000000000000007</v>
      </c>
      <c r="R240" s="263" t="str">
        <f ca="1">IFERROR(INDEX(Algorithms!K:K,MATCH($C240&amp;"_Therm Saved per Unit",Algorithms!$A:$A,0)),"n/a")</f>
        <v>CI-HVC-STRE-V10-240101</v>
      </c>
      <c r="S240" s="262"/>
      <c r="T240" s="272">
        <v>7334.7468920022948</v>
      </c>
      <c r="U240" s="272">
        <v>7334.7468920022948</v>
      </c>
      <c r="V240" s="272">
        <v>7334.7468920022948</v>
      </c>
      <c r="W240" s="272">
        <v>7334.7468920022948</v>
      </c>
      <c r="X240" s="273">
        <f>IFERROR(INDEX('Measure Level Detail'!$R:$R,MATCH($B240&amp;"_"&amp;X$3,'Measure Level Detail'!$C:$C,0)),0)</f>
        <v>0.91</v>
      </c>
      <c r="Y240" s="273">
        <f>IFERROR(INDEX('Measure Level Detail'!$R:$R,MATCH($B240&amp;"_"&amp;Y$3,'Measure Level Detail'!$C:$C,0)),0)</f>
        <v>0.91</v>
      </c>
      <c r="Z240" s="273">
        <f>IFERROR(INDEX('Measure Level Detail'!$R:$R,MATCH($B240&amp;"_"&amp;Z$3,'Measure Level Detail'!$C:$C,0)),0)</f>
        <v>0.91</v>
      </c>
      <c r="AA240" s="273">
        <f>IFERROR(INDEX('Measure Level Detail'!$R:$R,MATCH($B240&amp;"_"&amp;AA$3,'Measure Level Detail'!$C:$C,0)),0)</f>
        <v>0.91</v>
      </c>
      <c r="AB240" s="266">
        <f t="shared" si="127"/>
        <v>56734.26720963775</v>
      </c>
      <c r="AC240" s="266">
        <f t="shared" si="128"/>
        <v>53396.957373776706</v>
      </c>
      <c r="AD240" s="266">
        <f t="shared" si="129"/>
        <v>46722.337702054618</v>
      </c>
      <c r="AE240" s="266">
        <f t="shared" si="130"/>
        <v>45387.413767710212</v>
      </c>
      <c r="AF240" s="266">
        <f t="shared" si="131"/>
        <v>202240.9760531793</v>
      </c>
      <c r="AG240" s="274">
        <v>0.91</v>
      </c>
      <c r="AH240" s="274">
        <v>0.91</v>
      </c>
      <c r="AI240" s="274">
        <v>0.91</v>
      </c>
      <c r="AJ240" s="274">
        <v>0.91</v>
      </c>
      <c r="AK240" s="274">
        <f t="shared" si="132"/>
        <v>0.91</v>
      </c>
      <c r="AL240" s="274">
        <f t="shared" si="133"/>
        <v>0.91</v>
      </c>
      <c r="AM240" s="274">
        <f t="shared" si="134"/>
        <v>0.91</v>
      </c>
      <c r="AN240" s="274">
        <f t="shared" si="135"/>
        <v>0.91</v>
      </c>
      <c r="AO240" s="262"/>
      <c r="AP240" s="262"/>
      <c r="AQ240" s="267">
        <v>7334.7468920022948</v>
      </c>
      <c r="AR240" s="262"/>
      <c r="AS240" s="266">
        <f t="shared" si="136"/>
        <v>56734.26720963775</v>
      </c>
      <c r="AT240" s="264">
        <f t="shared" si="137"/>
        <v>0</v>
      </c>
      <c r="AU240" s="262"/>
      <c r="AV240" s="262"/>
      <c r="AW240" s="265">
        <v>7334.7468920022948</v>
      </c>
      <c r="AX240" s="164" t="s">
        <v>2397</v>
      </c>
      <c r="AY240" s="266">
        <v>53396.957373776706</v>
      </c>
      <c r="AZ240" s="266">
        <f t="shared" si="138"/>
        <v>53396.957373776706</v>
      </c>
      <c r="BA240" s="264">
        <f t="shared" si="139"/>
        <v>0</v>
      </c>
      <c r="BB240" s="262"/>
      <c r="BC240" s="262"/>
      <c r="BD240" s="265">
        <f ca="1">IFERROR(INDEX(Algorithms!$G:$G,MATCH($C240&amp;"_Therm Saved per Unit",Algorithms!$A:$A,0)),0)</f>
        <v>7334.7468920022948</v>
      </c>
      <c r="BE240" s="164" t="str">
        <f ca="1">IFERROR(INDEX('v12 Revisions'!$P$29:$P$186, MATCH('Measure-Level Adj Gas'!$L240, 'v12 Revisions'!$D$29:$D$186,0)),"")</f>
        <v>n/a - costs only.</v>
      </c>
      <c r="BF240" s="266">
        <f t="shared" ca="1" si="140"/>
        <v>46722.337702054618</v>
      </c>
      <c r="BG240" s="264">
        <f t="shared" ca="1" si="141"/>
        <v>0</v>
      </c>
      <c r="BH240" s="262"/>
      <c r="BI240" s="262"/>
      <c r="BJ240" s="265">
        <f ca="1">IFERROR(INDEX(Algorithms!$G:$G,MATCH($C240&amp;"_Therm Saved per Unit",Algorithms!$A:$A,0)),0)</f>
        <v>7334.7468920022948</v>
      </c>
      <c r="BK240" s="164"/>
      <c r="BL240" s="266">
        <f t="shared" ca="1" si="142"/>
        <v>45387.413767710212</v>
      </c>
      <c r="BM240" s="264">
        <f t="shared" ca="1" si="143"/>
        <v>0</v>
      </c>
      <c r="BN240" s="266">
        <f t="shared" si="144"/>
        <v>56734.26720963775</v>
      </c>
      <c r="BO240" s="266">
        <f t="shared" si="145"/>
        <v>53396.957373776706</v>
      </c>
      <c r="BP240" s="266">
        <f t="shared" ca="1" si="146"/>
        <v>46722.337702054618</v>
      </c>
      <c r="BQ240" s="266">
        <f t="shared" ca="1" si="147"/>
        <v>45387.413767710212</v>
      </c>
      <c r="BR240" s="268">
        <f t="shared" ca="1" si="148"/>
        <v>202240.9760531793</v>
      </c>
      <c r="BS240" s="262" t="s">
        <v>99</v>
      </c>
      <c r="BT240" s="277"/>
      <c r="BW240" s="266">
        <f t="shared" si="149"/>
        <v>56734.26720963775</v>
      </c>
      <c r="BX240" s="266">
        <f t="shared" si="150"/>
        <v>53396.957373776706</v>
      </c>
      <c r="BY240" s="266">
        <f t="shared" si="151"/>
        <v>46722.337702054618</v>
      </c>
      <c r="BZ240" s="266">
        <f t="shared" si="152"/>
        <v>45387.413767710212</v>
      </c>
      <c r="CA240" s="266">
        <f ca="1">N240*IFERROR(INDEX(Algorithms!$G:$G,MATCH($C240&amp;"_Therm Saved per Unit- MLA",Algorithms!$A:$A,0)),0)*X240</f>
        <v>0</v>
      </c>
      <c r="CB240" s="266">
        <f ca="1">O240*IFERROR(INDEX(Algorithms!$G:$G,MATCH($C240&amp;"_Therm Saved per Unit- MLA",Algorithms!$A:$A,0)),0)*Y240</f>
        <v>0</v>
      </c>
      <c r="CC240" s="266">
        <f ca="1">P240*IFERROR(INDEX(Algorithms!$G:$G,MATCH($C240&amp;"_Therm Saved per Unit- MLA",Algorithms!$A:$A,0)),0)*Z240</f>
        <v>0</v>
      </c>
      <c r="CD240" s="266">
        <f ca="1">Q240*IFERROR(INDEX(Algorithms!$G:$G,MATCH($C240&amp;"_Therm Saved per Unit- MLA",Algorithms!$A:$A,0)),0)*AA240</f>
        <v>0</v>
      </c>
      <c r="CE240" s="266">
        <f ca="1">IFERROR(INDEX(Algorithms!$G:$G,MATCH($C240&amp;"_Lifetime (years)",Algorithms!$A:$A,0)),0)</f>
        <v>6</v>
      </c>
      <c r="CF240" s="266">
        <f ca="1">IFERROR(INDEX(Algorithms!$G:$G,MATCH($C240&amp;"_Lifetime (years) - Remaining Years",Algorithms!$A:$A,0)),0)</f>
        <v>0</v>
      </c>
      <c r="CG240" s="266">
        <f t="shared" ca="1" si="153"/>
        <v>340405.60325782653</v>
      </c>
      <c r="CH240" s="266">
        <f t="shared" ca="1" si="154"/>
        <v>320381.74424266024</v>
      </c>
      <c r="CI240" s="266">
        <f t="shared" ca="1" si="155"/>
        <v>280334.02621232771</v>
      </c>
      <c r="CJ240" s="266">
        <f t="shared" ca="1" si="156"/>
        <v>272324.48260626127</v>
      </c>
      <c r="CK240" s="266">
        <f t="shared" si="157"/>
        <v>56734.26720963775</v>
      </c>
      <c r="CL240" s="266">
        <f t="shared" si="158"/>
        <v>53396.957373776706</v>
      </c>
      <c r="CM240" s="266">
        <f t="shared" ca="1" si="159"/>
        <v>46722.337702054618</v>
      </c>
      <c r="CN240" s="266">
        <f t="shared" ca="1" si="160"/>
        <v>45387.413767710212</v>
      </c>
      <c r="CO240" s="266">
        <f ca="1">N240*IFERROR(INDEX(Algorithms!$G:$G,MATCH($C240&amp;"_Therm Saved per Unit- MLA",Algorithms!$A:$A,0)),0)*X240</f>
        <v>0</v>
      </c>
      <c r="CP240" s="266">
        <f ca="1">O240*IFERROR(INDEX(Algorithms!$G:$G,MATCH($C240&amp;"_Therm Saved per Unit- MLA",Algorithms!$A:$A,0)),0)*Y240</f>
        <v>0</v>
      </c>
      <c r="CQ240" s="266">
        <f ca="1">P240*IFERROR(INDEX(Algorithms!$G:$G,MATCH($C240&amp;"_Therm Saved per Unit- MLA",Algorithms!$A:$A,0)),0)*Z240</f>
        <v>0</v>
      </c>
      <c r="CR240" s="266">
        <f ca="1">Q240*IFERROR(INDEX(Algorithms!$G:$G,MATCH($C240&amp;"_Therm Saved per Unit- MLA",Algorithms!$A:$A,0)),0)*AA240</f>
        <v>0</v>
      </c>
      <c r="CS240" s="266">
        <f ca="1">IFERROR(INDEX(Algorithms!$G:$G,MATCH($C240&amp;"_Lifetime (years)",Algorithms!$A:$A,0)),0)</f>
        <v>6</v>
      </c>
      <c r="CT240" s="266">
        <f ca="1">IFERROR(INDEX(Algorithms!$G:$G,MATCH($C240&amp;"_Lifetime (years) - Remaining Years",Algorithms!$A:$A,0)),0)</f>
        <v>0</v>
      </c>
      <c r="CU240" s="266">
        <f t="shared" ca="1" si="161"/>
        <v>340405.60325782653</v>
      </c>
      <c r="CV240" s="266">
        <f t="shared" ca="1" si="162"/>
        <v>320381.74424266024</v>
      </c>
      <c r="CW240" s="266">
        <f t="shared" ca="1" si="163"/>
        <v>280334.02621232771</v>
      </c>
      <c r="CX240" s="266">
        <f t="shared" ca="1" si="164"/>
        <v>272324.48260626127</v>
      </c>
    </row>
    <row r="241" spans="2:102" s="47" customFormat="1" ht="18" customHeight="1" x14ac:dyDescent="0.25">
      <c r="B241" t="str">
        <f t="shared" si="165"/>
        <v>NSG_Residential_Multi-Family_Partner Trade Ally Rebate_Steam Traps_HVAC Repair/Rep - No Audit_MF</v>
      </c>
      <c r="C241" s="47" t="str">
        <f t="shared" si="126"/>
        <v>Steam Traps_HVAC Repair/Rep - No Audit_MF</v>
      </c>
      <c r="D241" s="270" t="s">
        <v>1787</v>
      </c>
      <c r="E241" s="270" t="s">
        <v>2</v>
      </c>
      <c r="F241" s="270" t="s">
        <v>1422</v>
      </c>
      <c r="G241" s="270" t="s">
        <v>1799</v>
      </c>
      <c r="H241" s="270" t="s">
        <v>644</v>
      </c>
      <c r="I241" s="270" t="s">
        <v>660</v>
      </c>
      <c r="J241" s="270" t="s">
        <v>553</v>
      </c>
      <c r="K241" s="263">
        <v>1</v>
      </c>
      <c r="L241" s="263" t="str">
        <f ca="1">IFERROR(INDEX(Algorithms!J:J,MATCH($C241&amp;"_Therm Saved per Unit",Algorithms!$A:$A,0)),"n/a")</f>
        <v>4.4.16</v>
      </c>
      <c r="M241" s="263" t="str">
        <f>IFERROR(INDEX('Measure Level Detail'!$N:$N,MATCH($B241,'Measure Level Detail'!$B:$B,0)),0)</f>
        <v>each</v>
      </c>
      <c r="N241" s="271">
        <f>IFERROR(INDEX('Measure Level Detail'!$P:$P,MATCH($B241&amp;"_"&amp;N$3,'Measure Level Detail'!$C:$C,0)),0)</f>
        <v>8</v>
      </c>
      <c r="O241" s="271">
        <f>IFERROR(INDEX('Measure Level Detail'!$P:$P,MATCH($B241&amp;"_"&amp;O$3,'Measure Level Detail'!$C:$C,0)),0)</f>
        <v>8</v>
      </c>
      <c r="P241" s="271">
        <f>IFERROR(INDEX('Measure Level Detail'!$P:$P,MATCH($B241&amp;"_"&amp;P$3,'Measure Level Detail'!$C:$C,0)),0)</f>
        <v>8</v>
      </c>
      <c r="Q241" s="271">
        <f>IFERROR(INDEX('Measure Level Detail'!$P:$P,MATCH($B241&amp;"_"&amp;Q$3,'Measure Level Detail'!$C:$C,0)),0)</f>
        <v>8</v>
      </c>
      <c r="R241" s="263" t="str">
        <f ca="1">IFERROR(INDEX(Algorithms!K:K,MATCH($C241&amp;"_Therm Saved per Unit",Algorithms!$A:$A,0)),"n/a")</f>
        <v>CI-HVC-STRE-V10-240101</v>
      </c>
      <c r="S241" s="262"/>
      <c r="T241" s="272">
        <v>53.198900899174738</v>
      </c>
      <c r="U241" s="272">
        <v>53.198900899174738</v>
      </c>
      <c r="V241" s="272">
        <v>53.198900899174738</v>
      </c>
      <c r="W241" s="272">
        <v>53.198900899174738</v>
      </c>
      <c r="X241" s="273">
        <f>IFERROR(INDEX('Measure Level Detail'!$R:$R,MATCH($B241&amp;"_"&amp;X$3,'Measure Level Detail'!$C:$C,0)),0)</f>
        <v>0.87</v>
      </c>
      <c r="Y241" s="273">
        <f>IFERROR(INDEX('Measure Level Detail'!$R:$R,MATCH($B241&amp;"_"&amp;Y$3,'Measure Level Detail'!$C:$C,0)),0)</f>
        <v>0.87</v>
      </c>
      <c r="Z241" s="273">
        <f>IFERROR(INDEX('Measure Level Detail'!$R:$R,MATCH($B241&amp;"_"&amp;Z$3,'Measure Level Detail'!$C:$C,0)),0)</f>
        <v>0.87</v>
      </c>
      <c r="AA241" s="273">
        <f>IFERROR(INDEX('Measure Level Detail'!$R:$R,MATCH($B241&amp;"_"&amp;AA$3,'Measure Level Detail'!$C:$C,0)),0)</f>
        <v>0.87</v>
      </c>
      <c r="AB241" s="266">
        <f t="shared" si="127"/>
        <v>370.26435025825617</v>
      </c>
      <c r="AC241" s="266">
        <f t="shared" si="128"/>
        <v>370.26435025825617</v>
      </c>
      <c r="AD241" s="266">
        <f t="shared" si="129"/>
        <v>370.26435025825617</v>
      </c>
      <c r="AE241" s="266">
        <f t="shared" si="130"/>
        <v>370.26435025825617</v>
      </c>
      <c r="AF241" s="266">
        <f t="shared" si="131"/>
        <v>1481.0574010330247</v>
      </c>
      <c r="AG241" s="274">
        <v>0.87</v>
      </c>
      <c r="AH241" s="274">
        <v>0.87</v>
      </c>
      <c r="AI241" s="710">
        <v>0.88</v>
      </c>
      <c r="AJ241" s="710">
        <v>0.88</v>
      </c>
      <c r="AK241" s="274">
        <f t="shared" si="132"/>
        <v>0.87</v>
      </c>
      <c r="AL241" s="274">
        <f t="shared" si="133"/>
        <v>0.87</v>
      </c>
      <c r="AM241" s="274">
        <f t="shared" si="134"/>
        <v>0.87</v>
      </c>
      <c r="AN241" s="274">
        <f t="shared" si="135"/>
        <v>0.87</v>
      </c>
      <c r="AO241" s="262"/>
      <c r="AP241" s="262"/>
      <c r="AQ241" s="267">
        <v>53.198900899174738</v>
      </c>
      <c r="AR241" s="262"/>
      <c r="AS241" s="266">
        <f t="shared" si="136"/>
        <v>370.26435025825617</v>
      </c>
      <c r="AT241" s="264">
        <f t="shared" si="137"/>
        <v>0</v>
      </c>
      <c r="AU241" s="262"/>
      <c r="AV241" s="262"/>
      <c r="AW241" s="265">
        <v>53.198900899174738</v>
      </c>
      <c r="AX241" s="164" t="s">
        <v>2397</v>
      </c>
      <c r="AY241" s="266">
        <v>370.26435025825617</v>
      </c>
      <c r="AZ241" s="266">
        <f t="shared" si="138"/>
        <v>370.26435025825617</v>
      </c>
      <c r="BA241" s="264">
        <f t="shared" si="139"/>
        <v>0</v>
      </c>
      <c r="BB241" s="262"/>
      <c r="BC241" s="262"/>
      <c r="BD241" s="265">
        <f ca="1">IFERROR(INDEX(Algorithms!$G:$G,MATCH($C241&amp;"_Therm Saved per Unit",Algorithms!$A:$A,0)),0)</f>
        <v>53.198900899174738</v>
      </c>
      <c r="BE241" s="164" t="str">
        <f ca="1">IFERROR(INDEX('v12 Revisions'!$P$29:$P$186, MATCH('Measure-Level Adj Gas'!$L241, 'v12 Revisions'!$D$29:$D$186,0)),"")</f>
        <v>n/a - costs only.</v>
      </c>
      <c r="BF241" s="266">
        <f t="shared" ca="1" si="140"/>
        <v>370.26435025825617</v>
      </c>
      <c r="BG241" s="264">
        <f t="shared" ca="1" si="141"/>
        <v>0</v>
      </c>
      <c r="BH241" s="262"/>
      <c r="BI241" s="262"/>
      <c r="BJ241" s="265">
        <f ca="1">IFERROR(INDEX(Algorithms!$G:$G,MATCH($C241&amp;"_Therm Saved per Unit",Algorithms!$A:$A,0)),0)</f>
        <v>53.198900899174738</v>
      </c>
      <c r="BK241" s="164"/>
      <c r="BL241" s="266">
        <f t="shared" ca="1" si="142"/>
        <v>370.26435025825617</v>
      </c>
      <c r="BM241" s="264">
        <f t="shared" ca="1" si="143"/>
        <v>0</v>
      </c>
      <c r="BN241" s="266">
        <f t="shared" si="144"/>
        <v>370.26435025825617</v>
      </c>
      <c r="BO241" s="266">
        <f t="shared" si="145"/>
        <v>370.26435025825617</v>
      </c>
      <c r="BP241" s="266">
        <f t="shared" ca="1" si="146"/>
        <v>370.26435025825617</v>
      </c>
      <c r="BQ241" s="266">
        <f t="shared" ca="1" si="147"/>
        <v>370.26435025825617</v>
      </c>
      <c r="BR241" s="268">
        <f t="shared" ca="1" si="148"/>
        <v>1481.0574010330247</v>
      </c>
      <c r="BS241" s="262" t="s">
        <v>99</v>
      </c>
      <c r="BT241" s="277"/>
      <c r="BW241" s="266">
        <f t="shared" si="149"/>
        <v>370.26435025825617</v>
      </c>
      <c r="BX241" s="266">
        <f t="shared" si="150"/>
        <v>370.26435025825617</v>
      </c>
      <c r="BY241" s="266">
        <f t="shared" si="151"/>
        <v>370.26435025825617</v>
      </c>
      <c r="BZ241" s="266">
        <f t="shared" si="152"/>
        <v>370.26435025825617</v>
      </c>
      <c r="CA241" s="266">
        <f ca="1">N241*IFERROR(INDEX(Algorithms!$G:$G,MATCH($C241&amp;"_Therm Saved per Unit- MLA",Algorithms!$A:$A,0)),0)*X241</f>
        <v>0</v>
      </c>
      <c r="CB241" s="266">
        <f ca="1">O241*IFERROR(INDEX(Algorithms!$G:$G,MATCH($C241&amp;"_Therm Saved per Unit- MLA",Algorithms!$A:$A,0)),0)*Y241</f>
        <v>0</v>
      </c>
      <c r="CC241" s="266">
        <f ca="1">P241*IFERROR(INDEX(Algorithms!$G:$G,MATCH($C241&amp;"_Therm Saved per Unit- MLA",Algorithms!$A:$A,0)),0)*Z241</f>
        <v>0</v>
      </c>
      <c r="CD241" s="266">
        <f ca="1">Q241*IFERROR(INDEX(Algorithms!$G:$G,MATCH($C241&amp;"_Therm Saved per Unit- MLA",Algorithms!$A:$A,0)),0)*AA241</f>
        <v>0</v>
      </c>
      <c r="CE241" s="266">
        <f ca="1">IFERROR(INDEX(Algorithms!$G:$G,MATCH($C241&amp;"_Lifetime (years)",Algorithms!$A:$A,0)),0)</f>
        <v>6</v>
      </c>
      <c r="CF241" s="266">
        <f ca="1">IFERROR(INDEX(Algorithms!$G:$G,MATCH($C241&amp;"_Lifetime (years) - Remaining Years",Algorithms!$A:$A,0)),0)</f>
        <v>0</v>
      </c>
      <c r="CG241" s="266">
        <f t="shared" ca="1" si="153"/>
        <v>2221.586101549537</v>
      </c>
      <c r="CH241" s="266">
        <f t="shared" ca="1" si="154"/>
        <v>2221.586101549537</v>
      </c>
      <c r="CI241" s="266">
        <f t="shared" ca="1" si="155"/>
        <v>2221.586101549537</v>
      </c>
      <c r="CJ241" s="266">
        <f t="shared" ca="1" si="156"/>
        <v>2221.586101549537</v>
      </c>
      <c r="CK241" s="266">
        <f t="shared" si="157"/>
        <v>370.26435025825617</v>
      </c>
      <c r="CL241" s="266">
        <f t="shared" si="158"/>
        <v>370.26435025825617</v>
      </c>
      <c r="CM241" s="266">
        <f t="shared" ca="1" si="159"/>
        <v>370.26435025825617</v>
      </c>
      <c r="CN241" s="266">
        <f t="shared" ca="1" si="160"/>
        <v>370.26435025825617</v>
      </c>
      <c r="CO241" s="266">
        <f ca="1">N241*IFERROR(INDEX(Algorithms!$G:$G,MATCH($C241&amp;"_Therm Saved per Unit- MLA",Algorithms!$A:$A,0)),0)*X241</f>
        <v>0</v>
      </c>
      <c r="CP241" s="266">
        <f ca="1">O241*IFERROR(INDEX(Algorithms!$G:$G,MATCH($C241&amp;"_Therm Saved per Unit- MLA",Algorithms!$A:$A,0)),0)*Y241</f>
        <v>0</v>
      </c>
      <c r="CQ241" s="266">
        <f ca="1">P241*IFERROR(INDEX(Algorithms!$G:$G,MATCH($C241&amp;"_Therm Saved per Unit- MLA",Algorithms!$A:$A,0)),0)*Z241</f>
        <v>0</v>
      </c>
      <c r="CR241" s="266">
        <f ca="1">Q241*IFERROR(INDEX(Algorithms!$G:$G,MATCH($C241&amp;"_Therm Saved per Unit- MLA",Algorithms!$A:$A,0)),0)*AA241</f>
        <v>0</v>
      </c>
      <c r="CS241" s="266">
        <f ca="1">IFERROR(INDEX(Algorithms!$G:$G,MATCH($C241&amp;"_Lifetime (years)",Algorithms!$A:$A,0)),0)</f>
        <v>6</v>
      </c>
      <c r="CT241" s="266">
        <f ca="1">IFERROR(INDEX(Algorithms!$G:$G,MATCH($C241&amp;"_Lifetime (years) - Remaining Years",Algorithms!$A:$A,0)),0)</f>
        <v>0</v>
      </c>
      <c r="CU241" s="266">
        <f t="shared" ca="1" si="161"/>
        <v>2221.586101549537</v>
      </c>
      <c r="CV241" s="266">
        <f t="shared" ca="1" si="162"/>
        <v>2221.586101549537</v>
      </c>
      <c r="CW241" s="266">
        <f t="shared" ca="1" si="163"/>
        <v>2221.586101549537</v>
      </c>
      <c r="CX241" s="266">
        <f t="shared" ca="1" si="164"/>
        <v>2221.586101549537</v>
      </c>
    </row>
    <row r="242" spans="2:102" s="47" customFormat="1" ht="18" customHeight="1" x14ac:dyDescent="0.25">
      <c r="B242" t="str">
        <f t="shared" si="165"/>
        <v>NSG_Residential_Multi-Family_Standard Rebate_DCV - Kitchen_0_MF/CI</v>
      </c>
      <c r="C242" s="47" t="str">
        <f t="shared" si="126"/>
        <v>DCV - Kitchen_0_MF/CI</v>
      </c>
      <c r="D242" s="270" t="s">
        <v>1787</v>
      </c>
      <c r="E242" s="270" t="s">
        <v>2</v>
      </c>
      <c r="F242" s="270" t="s">
        <v>1422</v>
      </c>
      <c r="G242" s="270" t="s">
        <v>1418</v>
      </c>
      <c r="H242" s="270" t="s">
        <v>1077</v>
      </c>
      <c r="I242" s="270">
        <v>0</v>
      </c>
      <c r="J242" s="270" t="s">
        <v>587</v>
      </c>
      <c r="K242" s="263">
        <v>1</v>
      </c>
      <c r="L242" s="263" t="str">
        <f ca="1">IFERROR(INDEX(Algorithms!J:J,MATCH($C242&amp;"_Therm Saved per Unit",Algorithms!$A:$A,0)),"n/a")</f>
        <v>4.2.16</v>
      </c>
      <c r="M242" s="263" t="str">
        <f>IFERROR(INDEX('Measure Level Detail'!$N:$N,MATCH($B242,'Measure Level Detail'!$B:$B,0)),0)</f>
        <v>HP</v>
      </c>
      <c r="N242" s="271">
        <f>IFERROR(INDEX('Measure Level Detail'!$P:$P,MATCH($B242&amp;"_"&amp;N$3,'Measure Level Detail'!$C:$C,0)),0)</f>
        <v>7.75</v>
      </c>
      <c r="O242" s="271">
        <f>IFERROR(INDEX('Measure Level Detail'!$P:$P,MATCH($B242&amp;"_"&amp;O$3,'Measure Level Detail'!$C:$C,0)),0)</f>
        <v>7.75</v>
      </c>
      <c r="P242" s="271">
        <f>IFERROR(INDEX('Measure Level Detail'!$P:$P,MATCH($B242&amp;"_"&amp;P$3,'Measure Level Detail'!$C:$C,0)),0)</f>
        <v>7.75</v>
      </c>
      <c r="Q242" s="271">
        <f>IFERROR(INDEX('Measure Level Detail'!$P:$P,MATCH($B242&amp;"_"&amp;Q$3,'Measure Level Detail'!$C:$C,0)),0)</f>
        <v>7.75</v>
      </c>
      <c r="R242" s="263" t="str">
        <f ca="1">IFERROR(INDEX(Algorithms!K:K,MATCH($C242&amp;"_Therm Saved per Unit",Algorithms!$A:$A,0)),"n/a")</f>
        <v>CI-FSE-VENT-V06-240101</v>
      </c>
      <c r="S242" s="262"/>
      <c r="T242" s="272">
        <v>774</v>
      </c>
      <c r="U242" s="272">
        <v>774</v>
      </c>
      <c r="V242" s="272">
        <v>774</v>
      </c>
      <c r="W242" s="272">
        <v>774</v>
      </c>
      <c r="X242" s="273">
        <f>IFERROR(INDEX('Measure Level Detail'!$R:$R,MATCH($B242&amp;"_"&amp;X$3,'Measure Level Detail'!$C:$C,0)),0)</f>
        <v>0.87</v>
      </c>
      <c r="Y242" s="273">
        <f>IFERROR(INDEX('Measure Level Detail'!$R:$R,MATCH($B242&amp;"_"&amp;Y$3,'Measure Level Detail'!$C:$C,0)),0)</f>
        <v>0.87</v>
      </c>
      <c r="Z242" s="273">
        <f>IFERROR(INDEX('Measure Level Detail'!$R:$R,MATCH($B242&amp;"_"&amp;Z$3,'Measure Level Detail'!$C:$C,0)),0)</f>
        <v>0.87</v>
      </c>
      <c r="AA242" s="273">
        <f>IFERROR(INDEX('Measure Level Detail'!$R:$R,MATCH($B242&amp;"_"&amp;AA$3,'Measure Level Detail'!$C:$C,0)),0)</f>
        <v>0.87</v>
      </c>
      <c r="AB242" s="266">
        <f t="shared" si="127"/>
        <v>5218.6949999999997</v>
      </c>
      <c r="AC242" s="266">
        <f t="shared" si="128"/>
        <v>5218.6949999999997</v>
      </c>
      <c r="AD242" s="266">
        <f t="shared" si="129"/>
        <v>5218.6949999999997</v>
      </c>
      <c r="AE242" s="266">
        <f t="shared" si="130"/>
        <v>5218.6949999999997</v>
      </c>
      <c r="AF242" s="266">
        <f t="shared" si="131"/>
        <v>20874.78</v>
      </c>
      <c r="AG242" s="274">
        <v>0.87</v>
      </c>
      <c r="AH242" s="274">
        <v>0.87</v>
      </c>
      <c r="AI242" s="274">
        <v>0.87</v>
      </c>
      <c r="AJ242" s="274">
        <v>0.87</v>
      </c>
      <c r="AK242" s="274">
        <f t="shared" si="132"/>
        <v>0.87</v>
      </c>
      <c r="AL242" s="274">
        <f t="shared" si="133"/>
        <v>0.87</v>
      </c>
      <c r="AM242" s="274">
        <f t="shared" si="134"/>
        <v>0.87</v>
      </c>
      <c r="AN242" s="274">
        <f t="shared" si="135"/>
        <v>0.87</v>
      </c>
      <c r="AO242" s="262"/>
      <c r="AP242" s="262"/>
      <c r="AQ242" s="267">
        <v>774</v>
      </c>
      <c r="AR242" s="262"/>
      <c r="AS242" s="266">
        <f t="shared" si="136"/>
        <v>5218.6949999999997</v>
      </c>
      <c r="AT242" s="264">
        <f t="shared" si="137"/>
        <v>0</v>
      </c>
      <c r="AU242" s="262"/>
      <c r="AV242" s="262"/>
      <c r="AW242" s="265">
        <v>774</v>
      </c>
      <c r="AX242" s="164" t="s">
        <v>1469</v>
      </c>
      <c r="AY242" s="266">
        <v>5218.6949999999997</v>
      </c>
      <c r="AZ242" s="266">
        <f t="shared" si="138"/>
        <v>5218.6949999999997</v>
      </c>
      <c r="BA242" s="264">
        <f t="shared" si="139"/>
        <v>0</v>
      </c>
      <c r="BB242" s="262"/>
      <c r="BC242" s="262"/>
      <c r="BD242" s="265">
        <f ca="1">IFERROR(INDEX(Algorithms!$G:$G,MATCH($C242&amp;"_Therm Saved per Unit",Algorithms!$A:$A,0)),0)</f>
        <v>774</v>
      </c>
      <c r="BE242" s="164" t="str">
        <f ca="1">IFERROR(INDEX('v12 Revisions'!$P$29:$P$186, MATCH('Measure-Level Adj Gas'!$L242, 'v12 Revisions'!$D$29:$D$186,0)),"")</f>
        <v>n/a - HP assumed in units of participation.</v>
      </c>
      <c r="BF242" s="266">
        <f t="shared" ca="1" si="140"/>
        <v>5218.6949999999997</v>
      </c>
      <c r="BG242" s="264">
        <f t="shared" ca="1" si="141"/>
        <v>0</v>
      </c>
      <c r="BH242" s="262"/>
      <c r="BI242" s="262"/>
      <c r="BJ242" s="265">
        <f ca="1">IFERROR(INDEX(Algorithms!$G:$G,MATCH($C242&amp;"_Therm Saved per Unit",Algorithms!$A:$A,0)),0)</f>
        <v>774</v>
      </c>
      <c r="BK242" s="164"/>
      <c r="BL242" s="266">
        <f t="shared" ca="1" si="142"/>
        <v>5218.6949999999997</v>
      </c>
      <c r="BM242" s="264">
        <f t="shared" ca="1" si="143"/>
        <v>0</v>
      </c>
      <c r="BN242" s="266">
        <f t="shared" si="144"/>
        <v>5218.6949999999997</v>
      </c>
      <c r="BO242" s="266">
        <f t="shared" si="145"/>
        <v>5218.6949999999997</v>
      </c>
      <c r="BP242" s="266">
        <f t="shared" ca="1" si="146"/>
        <v>5218.6949999999997</v>
      </c>
      <c r="BQ242" s="266">
        <f t="shared" ca="1" si="147"/>
        <v>5218.6949999999997</v>
      </c>
      <c r="BR242" s="268">
        <f t="shared" ca="1" si="148"/>
        <v>20874.78</v>
      </c>
      <c r="BS242" s="262" t="s">
        <v>99</v>
      </c>
      <c r="BT242" s="277"/>
      <c r="BW242" s="266">
        <f t="shared" si="149"/>
        <v>5218.6949999999997</v>
      </c>
      <c r="BX242" s="266">
        <f t="shared" si="150"/>
        <v>5218.6949999999997</v>
      </c>
      <c r="BY242" s="266">
        <f t="shared" si="151"/>
        <v>5218.6949999999997</v>
      </c>
      <c r="BZ242" s="266">
        <f t="shared" si="152"/>
        <v>5218.6949999999997</v>
      </c>
      <c r="CA242" s="266">
        <f ca="1">N242*IFERROR(INDEX(Algorithms!$G:$G,MATCH($C242&amp;"_Therm Saved per Unit- MLA",Algorithms!$A:$A,0)),0)*X242</f>
        <v>0</v>
      </c>
      <c r="CB242" s="266">
        <f ca="1">O242*IFERROR(INDEX(Algorithms!$G:$G,MATCH($C242&amp;"_Therm Saved per Unit- MLA",Algorithms!$A:$A,0)),0)*Y242</f>
        <v>0</v>
      </c>
      <c r="CC242" s="266">
        <f ca="1">P242*IFERROR(INDEX(Algorithms!$G:$G,MATCH($C242&amp;"_Therm Saved per Unit- MLA",Algorithms!$A:$A,0)),0)*Z242</f>
        <v>0</v>
      </c>
      <c r="CD242" s="266">
        <f ca="1">Q242*IFERROR(INDEX(Algorithms!$G:$G,MATCH($C242&amp;"_Therm Saved per Unit- MLA",Algorithms!$A:$A,0)),0)*AA242</f>
        <v>0</v>
      </c>
      <c r="CE242" s="266">
        <f ca="1">IFERROR(INDEX(Algorithms!$G:$G,MATCH($C242&amp;"_Lifetime (years)",Algorithms!$A:$A,0)),0)</f>
        <v>20</v>
      </c>
      <c r="CF242" s="266">
        <f ca="1">IFERROR(INDEX(Algorithms!$G:$G,MATCH($C242&amp;"_Lifetime (years) - Remaining Years",Algorithms!$A:$A,0)),0)</f>
        <v>0</v>
      </c>
      <c r="CG242" s="266">
        <f t="shared" ca="1" si="153"/>
        <v>104373.9</v>
      </c>
      <c r="CH242" s="266">
        <f t="shared" ca="1" si="154"/>
        <v>104373.9</v>
      </c>
      <c r="CI242" s="266">
        <f t="shared" ca="1" si="155"/>
        <v>104373.9</v>
      </c>
      <c r="CJ242" s="266">
        <f t="shared" ca="1" si="156"/>
        <v>104373.9</v>
      </c>
      <c r="CK242" s="266">
        <f t="shared" si="157"/>
        <v>5218.6949999999997</v>
      </c>
      <c r="CL242" s="266">
        <f t="shared" si="158"/>
        <v>5218.6949999999997</v>
      </c>
      <c r="CM242" s="266">
        <f t="shared" ca="1" si="159"/>
        <v>5218.6949999999997</v>
      </c>
      <c r="CN242" s="266">
        <f t="shared" ca="1" si="160"/>
        <v>5218.6949999999997</v>
      </c>
      <c r="CO242" s="266">
        <f ca="1">N242*IFERROR(INDEX(Algorithms!$G:$G,MATCH($C242&amp;"_Therm Saved per Unit- MLA",Algorithms!$A:$A,0)),0)*X242</f>
        <v>0</v>
      </c>
      <c r="CP242" s="266">
        <f ca="1">O242*IFERROR(INDEX(Algorithms!$G:$G,MATCH($C242&amp;"_Therm Saved per Unit- MLA",Algorithms!$A:$A,0)),0)*Y242</f>
        <v>0</v>
      </c>
      <c r="CQ242" s="266">
        <f ca="1">P242*IFERROR(INDEX(Algorithms!$G:$G,MATCH($C242&amp;"_Therm Saved per Unit- MLA",Algorithms!$A:$A,0)),0)*Z242</f>
        <v>0</v>
      </c>
      <c r="CR242" s="266">
        <f ca="1">Q242*IFERROR(INDEX(Algorithms!$G:$G,MATCH($C242&amp;"_Therm Saved per Unit- MLA",Algorithms!$A:$A,0)),0)*AA242</f>
        <v>0</v>
      </c>
      <c r="CS242" s="266">
        <f ca="1">IFERROR(INDEX(Algorithms!$G:$G,MATCH($C242&amp;"_Lifetime (years)",Algorithms!$A:$A,0)),0)</f>
        <v>20</v>
      </c>
      <c r="CT242" s="266">
        <f ca="1">IFERROR(INDEX(Algorithms!$G:$G,MATCH($C242&amp;"_Lifetime (years) - Remaining Years",Algorithms!$A:$A,0)),0)</f>
        <v>0</v>
      </c>
      <c r="CU242" s="266">
        <f t="shared" ca="1" si="161"/>
        <v>104373.9</v>
      </c>
      <c r="CV242" s="266">
        <f t="shared" ca="1" si="162"/>
        <v>104373.9</v>
      </c>
      <c r="CW242" s="266">
        <f t="shared" ca="1" si="163"/>
        <v>104373.9</v>
      </c>
      <c r="CX242" s="266">
        <f t="shared" ca="1" si="164"/>
        <v>104373.9</v>
      </c>
    </row>
    <row r="243" spans="2:102" s="47" customFormat="1" ht="18" customHeight="1" x14ac:dyDescent="0.25">
      <c r="B243" t="str">
        <f t="shared" si="165"/>
        <v>NSG_Business_Small/Mid-Size Business_Partner Trade Ally Rebate_DCV - Kitchen_0_MF/CI</v>
      </c>
      <c r="C243" s="47" t="str">
        <f t="shared" si="126"/>
        <v>DCV - Kitchen_0_MF/CI</v>
      </c>
      <c r="D243" s="270" t="s">
        <v>1787</v>
      </c>
      <c r="E243" s="270" t="s">
        <v>3</v>
      </c>
      <c r="F243" s="270" t="s">
        <v>1432</v>
      </c>
      <c r="G243" s="270" t="s">
        <v>1799</v>
      </c>
      <c r="H243" s="270" t="s">
        <v>1077</v>
      </c>
      <c r="I243" s="270">
        <v>0</v>
      </c>
      <c r="J243" s="270" t="s">
        <v>587</v>
      </c>
      <c r="K243" s="263">
        <v>1</v>
      </c>
      <c r="L243" s="263" t="str">
        <f ca="1">IFERROR(INDEX(Algorithms!J:J,MATCH($C243&amp;"_Therm Saved per Unit",Algorithms!$A:$A,0)),"n/a")</f>
        <v>4.2.16</v>
      </c>
      <c r="M243" s="263" t="str">
        <f>IFERROR(INDEX('Measure Level Detail'!$N:$N,MATCH($B243,'Measure Level Detail'!$B:$B,0)),0)</f>
        <v>HP</v>
      </c>
      <c r="N243" s="271">
        <f>IFERROR(INDEX('Measure Level Detail'!$P:$P,MATCH($B243&amp;"_"&amp;N$3,'Measure Level Detail'!$C:$C,0)),0)</f>
        <v>7.75</v>
      </c>
      <c r="O243" s="271">
        <f>IFERROR(INDEX('Measure Level Detail'!$P:$P,MATCH($B243&amp;"_"&amp;O$3,'Measure Level Detail'!$C:$C,0)),0)</f>
        <v>7.75</v>
      </c>
      <c r="P243" s="271">
        <f>IFERROR(INDEX('Measure Level Detail'!$P:$P,MATCH($B243&amp;"_"&amp;P$3,'Measure Level Detail'!$C:$C,0)),0)</f>
        <v>7.75</v>
      </c>
      <c r="Q243" s="271">
        <f>IFERROR(INDEX('Measure Level Detail'!$P:$P,MATCH($B243&amp;"_"&amp;Q$3,'Measure Level Detail'!$C:$C,0)),0)</f>
        <v>7.75</v>
      </c>
      <c r="R243" s="263" t="str">
        <f ca="1">IFERROR(INDEX(Algorithms!K:K,MATCH($C243&amp;"_Therm Saved per Unit",Algorithms!$A:$A,0)),"n/a")</f>
        <v>CI-FSE-VENT-V06-240101</v>
      </c>
      <c r="S243" s="262"/>
      <c r="T243" s="272">
        <v>774</v>
      </c>
      <c r="U243" s="272">
        <v>774</v>
      </c>
      <c r="V243" s="272">
        <v>774</v>
      </c>
      <c r="W243" s="272">
        <v>774</v>
      </c>
      <c r="X243" s="276">
        <v>0.93</v>
      </c>
      <c r="Y243" s="276">
        <v>0.93</v>
      </c>
      <c r="Z243" s="276">
        <v>0.93</v>
      </c>
      <c r="AA243" s="276">
        <v>0.93</v>
      </c>
      <c r="AB243" s="266">
        <f t="shared" si="127"/>
        <v>5578.6050000000005</v>
      </c>
      <c r="AC243" s="266">
        <f t="shared" si="128"/>
        <v>5578.6050000000005</v>
      </c>
      <c r="AD243" s="266">
        <f t="shared" si="129"/>
        <v>5578.6050000000005</v>
      </c>
      <c r="AE243" s="266">
        <f t="shared" si="130"/>
        <v>5578.6050000000005</v>
      </c>
      <c r="AF243" s="266">
        <f t="shared" si="131"/>
        <v>22314.420000000002</v>
      </c>
      <c r="AG243" s="274">
        <v>0.93</v>
      </c>
      <c r="AH243" s="274">
        <v>0.93</v>
      </c>
      <c r="AI243" s="274">
        <v>0.93</v>
      </c>
      <c r="AJ243" s="274">
        <v>0.93</v>
      </c>
      <c r="AK243" s="274">
        <f t="shared" si="132"/>
        <v>0.93</v>
      </c>
      <c r="AL243" s="274">
        <f t="shared" si="133"/>
        <v>0.93</v>
      </c>
      <c r="AM243" s="274">
        <f t="shared" si="134"/>
        <v>0.93</v>
      </c>
      <c r="AN243" s="274">
        <f t="shared" si="135"/>
        <v>0.93</v>
      </c>
      <c r="AO243" s="262"/>
      <c r="AP243" s="262"/>
      <c r="AQ243" s="267">
        <v>774</v>
      </c>
      <c r="AR243" s="262"/>
      <c r="AS243" s="266">
        <f t="shared" si="136"/>
        <v>5578.6050000000005</v>
      </c>
      <c r="AT243" s="264">
        <f t="shared" si="137"/>
        <v>0</v>
      </c>
      <c r="AU243" s="262"/>
      <c r="AV243" s="262"/>
      <c r="AW243" s="265">
        <v>774</v>
      </c>
      <c r="AX243" s="164" t="s">
        <v>1469</v>
      </c>
      <c r="AY243" s="266">
        <v>5578.6050000000005</v>
      </c>
      <c r="AZ243" s="266">
        <f t="shared" si="138"/>
        <v>5578.6050000000005</v>
      </c>
      <c r="BA243" s="264">
        <f t="shared" si="139"/>
        <v>0</v>
      </c>
      <c r="BB243" s="262"/>
      <c r="BC243" s="262"/>
      <c r="BD243" s="265">
        <f ca="1">IFERROR(INDEX(Algorithms!$G:$G,MATCH($C243&amp;"_Therm Saved per Unit",Algorithms!$A:$A,0)),0)</f>
        <v>774</v>
      </c>
      <c r="BE243" s="164" t="str">
        <f ca="1">IFERROR(INDEX('v12 Revisions'!$P$29:$P$186, MATCH('Measure-Level Adj Gas'!$L243, 'v12 Revisions'!$D$29:$D$186,0)),"")</f>
        <v>n/a - HP assumed in units of participation.</v>
      </c>
      <c r="BF243" s="266">
        <f t="shared" ca="1" si="140"/>
        <v>5578.6050000000005</v>
      </c>
      <c r="BG243" s="264">
        <f t="shared" ca="1" si="141"/>
        <v>0</v>
      </c>
      <c r="BH243" s="262"/>
      <c r="BI243" s="262"/>
      <c r="BJ243" s="265">
        <f ca="1">IFERROR(INDEX(Algorithms!$G:$G,MATCH($C243&amp;"_Therm Saved per Unit",Algorithms!$A:$A,0)),0)</f>
        <v>774</v>
      </c>
      <c r="BK243" s="164"/>
      <c r="BL243" s="266">
        <f t="shared" ca="1" si="142"/>
        <v>5578.6050000000005</v>
      </c>
      <c r="BM243" s="264">
        <f t="shared" ca="1" si="143"/>
        <v>0</v>
      </c>
      <c r="BN243" s="266">
        <f t="shared" si="144"/>
        <v>5578.6050000000005</v>
      </c>
      <c r="BO243" s="266">
        <f t="shared" si="145"/>
        <v>5578.6050000000005</v>
      </c>
      <c r="BP243" s="266">
        <f t="shared" ca="1" si="146"/>
        <v>5578.6050000000005</v>
      </c>
      <c r="BQ243" s="266">
        <f t="shared" ca="1" si="147"/>
        <v>5578.6050000000005</v>
      </c>
      <c r="BR243" s="268">
        <f t="shared" ca="1" si="148"/>
        <v>22314.420000000002</v>
      </c>
      <c r="BS243" s="262" t="s">
        <v>99</v>
      </c>
      <c r="BT243" s="277"/>
      <c r="BW243" s="266">
        <f t="shared" si="149"/>
        <v>5578.6050000000005</v>
      </c>
      <c r="BX243" s="266">
        <f t="shared" si="150"/>
        <v>5578.6050000000005</v>
      </c>
      <c r="BY243" s="266">
        <f t="shared" si="151"/>
        <v>5578.6050000000005</v>
      </c>
      <c r="BZ243" s="266">
        <f t="shared" si="152"/>
        <v>5578.6050000000005</v>
      </c>
      <c r="CA243" s="266">
        <f ca="1">N243*IFERROR(INDEX(Algorithms!$G:$G,MATCH($C243&amp;"_Therm Saved per Unit- MLA",Algorithms!$A:$A,0)),0)*X243</f>
        <v>0</v>
      </c>
      <c r="CB243" s="266">
        <f ca="1">O243*IFERROR(INDEX(Algorithms!$G:$G,MATCH($C243&amp;"_Therm Saved per Unit- MLA",Algorithms!$A:$A,0)),0)*Y243</f>
        <v>0</v>
      </c>
      <c r="CC243" s="266">
        <f ca="1">P243*IFERROR(INDEX(Algorithms!$G:$G,MATCH($C243&amp;"_Therm Saved per Unit- MLA",Algorithms!$A:$A,0)),0)*Z243</f>
        <v>0</v>
      </c>
      <c r="CD243" s="266">
        <f ca="1">Q243*IFERROR(INDEX(Algorithms!$G:$G,MATCH($C243&amp;"_Therm Saved per Unit- MLA",Algorithms!$A:$A,0)),0)*AA243</f>
        <v>0</v>
      </c>
      <c r="CE243" s="266">
        <f ca="1">IFERROR(INDEX(Algorithms!$G:$G,MATCH($C243&amp;"_Lifetime (years)",Algorithms!$A:$A,0)),0)</f>
        <v>20</v>
      </c>
      <c r="CF243" s="266">
        <f ca="1">IFERROR(INDEX(Algorithms!$G:$G,MATCH($C243&amp;"_Lifetime (years) - Remaining Years",Algorithms!$A:$A,0)),0)</f>
        <v>0</v>
      </c>
      <c r="CG243" s="266">
        <f t="shared" ca="1" si="153"/>
        <v>111572.1</v>
      </c>
      <c r="CH243" s="266">
        <f t="shared" ca="1" si="154"/>
        <v>111572.1</v>
      </c>
      <c r="CI243" s="266">
        <f t="shared" ca="1" si="155"/>
        <v>111572.1</v>
      </c>
      <c r="CJ243" s="266">
        <f t="shared" ca="1" si="156"/>
        <v>111572.1</v>
      </c>
      <c r="CK243" s="266">
        <f t="shared" si="157"/>
        <v>5578.6050000000005</v>
      </c>
      <c r="CL243" s="266">
        <f t="shared" si="158"/>
        <v>5578.6050000000005</v>
      </c>
      <c r="CM243" s="266">
        <f t="shared" ca="1" si="159"/>
        <v>5578.6050000000005</v>
      </c>
      <c r="CN243" s="266">
        <f t="shared" ca="1" si="160"/>
        <v>5578.6050000000005</v>
      </c>
      <c r="CO243" s="266">
        <f ca="1">N243*IFERROR(INDEX(Algorithms!$G:$G,MATCH($C243&amp;"_Therm Saved per Unit- MLA",Algorithms!$A:$A,0)),0)*X243</f>
        <v>0</v>
      </c>
      <c r="CP243" s="266">
        <f ca="1">O243*IFERROR(INDEX(Algorithms!$G:$G,MATCH($C243&amp;"_Therm Saved per Unit- MLA",Algorithms!$A:$A,0)),0)*Y243</f>
        <v>0</v>
      </c>
      <c r="CQ243" s="266">
        <f ca="1">P243*IFERROR(INDEX(Algorithms!$G:$G,MATCH($C243&amp;"_Therm Saved per Unit- MLA",Algorithms!$A:$A,0)),0)*Z243</f>
        <v>0</v>
      </c>
      <c r="CR243" s="266">
        <f ca="1">Q243*IFERROR(INDEX(Algorithms!$G:$G,MATCH($C243&amp;"_Therm Saved per Unit- MLA",Algorithms!$A:$A,0)),0)*AA243</f>
        <v>0</v>
      </c>
      <c r="CS243" s="266">
        <f ca="1">IFERROR(INDEX(Algorithms!$G:$G,MATCH($C243&amp;"_Lifetime (years)",Algorithms!$A:$A,0)),0)</f>
        <v>20</v>
      </c>
      <c r="CT243" s="266">
        <f ca="1">IFERROR(INDEX(Algorithms!$G:$G,MATCH($C243&amp;"_Lifetime (years) - Remaining Years",Algorithms!$A:$A,0)),0)</f>
        <v>0</v>
      </c>
      <c r="CU243" s="266">
        <f t="shared" ca="1" si="161"/>
        <v>111572.1</v>
      </c>
      <c r="CV243" s="266">
        <f t="shared" ca="1" si="162"/>
        <v>111572.1</v>
      </c>
      <c r="CW243" s="266">
        <f t="shared" ca="1" si="163"/>
        <v>111572.1</v>
      </c>
      <c r="CX243" s="266">
        <f t="shared" ca="1" si="164"/>
        <v>111572.1</v>
      </c>
    </row>
    <row r="244" spans="2:102" s="47" customFormat="1" ht="18" customHeight="1" x14ac:dyDescent="0.25">
      <c r="B244" t="str">
        <f t="shared" si="165"/>
        <v>NSG_Business_C&amp;I_Rebates_Steam Traps_Industrial/Process Audit - 15 &lt; psig &lt; 30_CI/SMB</v>
      </c>
      <c r="C244" s="47" t="str">
        <f t="shared" si="126"/>
        <v>Steam Traps_Industrial/Process Audit - 15 &lt; psig &lt; 30_CI/SMB</v>
      </c>
      <c r="D244" s="270" t="s">
        <v>1787</v>
      </c>
      <c r="E244" s="270" t="s">
        <v>3</v>
      </c>
      <c r="F244" s="270" t="s">
        <v>1427</v>
      </c>
      <c r="G244" s="270" t="s">
        <v>1429</v>
      </c>
      <c r="H244" s="270" t="s">
        <v>644</v>
      </c>
      <c r="I244" s="270" t="s">
        <v>1384</v>
      </c>
      <c r="J244" s="270" t="s">
        <v>970</v>
      </c>
      <c r="K244" s="263">
        <v>1</v>
      </c>
      <c r="L244" s="263" t="str">
        <f ca="1">IFERROR(INDEX(Algorithms!J:J,MATCH($C244&amp;"_Therm Saved per Unit",Algorithms!$A:$A,0)),"n/a")</f>
        <v>4.4.16</v>
      </c>
      <c r="M244" s="263" t="str">
        <f>IFERROR(INDEX('Measure Level Detail'!$N:$N,MATCH($B244,'Measure Level Detail'!$B:$B,0)),0)</f>
        <v>each</v>
      </c>
      <c r="N244" s="271">
        <f>IFERROR(INDEX('Measure Level Detail'!$P:$P,MATCH($B244&amp;"_"&amp;N$3,'Measure Level Detail'!$C:$C,0)),0)</f>
        <v>6.8</v>
      </c>
      <c r="O244" s="271">
        <f>IFERROR(INDEX('Measure Level Detail'!$P:$P,MATCH($B244&amp;"_"&amp;O$3,'Measure Level Detail'!$C:$C,0)),0)</f>
        <v>6.4</v>
      </c>
      <c r="P244" s="271">
        <f>IFERROR(INDEX('Measure Level Detail'!$P:$P,MATCH($B244&amp;"_"&amp;P$3,'Measure Level Detail'!$C:$C,0)),0)</f>
        <v>5.6</v>
      </c>
      <c r="Q244" s="271">
        <f>IFERROR(INDEX('Measure Level Detail'!$P:$P,MATCH($B244&amp;"_"&amp;Q$3,'Measure Level Detail'!$C:$C,0)),0)</f>
        <v>5.44</v>
      </c>
      <c r="R244" s="263" t="str">
        <f ca="1">IFERROR(INDEX(Algorithms!K:K,MATCH($C244&amp;"_Therm Saved per Unit",Algorithms!$A:$A,0)),"n/a")</f>
        <v>CI-HVC-STRE-V10-240101</v>
      </c>
      <c r="S244" s="262"/>
      <c r="T244" s="272">
        <v>758.17043213559668</v>
      </c>
      <c r="U244" s="272">
        <v>758.17043213559668</v>
      </c>
      <c r="V244" s="272">
        <v>758.17043213559668</v>
      </c>
      <c r="W244" s="272">
        <v>758.17043213559668</v>
      </c>
      <c r="X244" s="273">
        <f>IFERROR(INDEX('Measure Level Detail'!$R:$R,MATCH($B244&amp;"_"&amp;X$3,'Measure Level Detail'!$C:$C,0)),0)</f>
        <v>0.91</v>
      </c>
      <c r="Y244" s="273">
        <f>IFERROR(INDEX('Measure Level Detail'!$R:$R,MATCH($B244&amp;"_"&amp;Y$3,'Measure Level Detail'!$C:$C,0)),0)</f>
        <v>0.91</v>
      </c>
      <c r="Z244" s="273">
        <f>IFERROR(INDEX('Measure Level Detail'!$R:$R,MATCH($B244&amp;"_"&amp;Z$3,'Measure Level Detail'!$C:$C,0)),0)</f>
        <v>0.91</v>
      </c>
      <c r="AA244" s="273">
        <f>IFERROR(INDEX('Measure Level Detail'!$R:$R,MATCH($B244&amp;"_"&amp;AA$3,'Measure Level Detail'!$C:$C,0)),0)</f>
        <v>0.91</v>
      </c>
      <c r="AB244" s="266">
        <f t="shared" si="127"/>
        <v>4691.5586340550726</v>
      </c>
      <c r="AC244" s="266">
        <f t="shared" si="128"/>
        <v>4415.5845967577152</v>
      </c>
      <c r="AD244" s="266">
        <f t="shared" si="129"/>
        <v>3863.6365221630008</v>
      </c>
      <c r="AE244" s="266">
        <f t="shared" si="130"/>
        <v>3753.2469072440585</v>
      </c>
      <c r="AF244" s="266">
        <f t="shared" si="131"/>
        <v>16724.026660219846</v>
      </c>
      <c r="AG244" s="274">
        <v>0.91</v>
      </c>
      <c r="AH244" s="274">
        <v>0.91</v>
      </c>
      <c r="AI244" s="274">
        <v>0.91</v>
      </c>
      <c r="AJ244" s="274">
        <v>0.91</v>
      </c>
      <c r="AK244" s="274">
        <f t="shared" si="132"/>
        <v>0.91</v>
      </c>
      <c r="AL244" s="274">
        <f t="shared" si="133"/>
        <v>0.91</v>
      </c>
      <c r="AM244" s="274">
        <f t="shared" si="134"/>
        <v>0.91</v>
      </c>
      <c r="AN244" s="274">
        <f t="shared" si="135"/>
        <v>0.91</v>
      </c>
      <c r="AO244" s="262"/>
      <c r="AP244" s="262"/>
      <c r="AQ244" s="267">
        <v>758.17043213559668</v>
      </c>
      <c r="AR244" s="262"/>
      <c r="AS244" s="266">
        <f t="shared" si="136"/>
        <v>4691.5586340550726</v>
      </c>
      <c r="AT244" s="264">
        <f t="shared" si="137"/>
        <v>0</v>
      </c>
      <c r="AU244" s="262"/>
      <c r="AV244" s="262"/>
      <c r="AW244" s="265">
        <v>758.17043213559668</v>
      </c>
      <c r="AX244" s="164" t="s">
        <v>2397</v>
      </c>
      <c r="AY244" s="266">
        <v>4415.5845967577152</v>
      </c>
      <c r="AZ244" s="266">
        <f t="shared" si="138"/>
        <v>4415.5845967577152</v>
      </c>
      <c r="BA244" s="264">
        <f t="shared" si="139"/>
        <v>0</v>
      </c>
      <c r="BB244" s="262"/>
      <c r="BC244" s="262"/>
      <c r="BD244" s="265">
        <f ca="1">IFERROR(INDEX(Algorithms!$G:$G,MATCH($C244&amp;"_Therm Saved per Unit",Algorithms!$A:$A,0)),0)</f>
        <v>758.17043213559668</v>
      </c>
      <c r="BE244" s="164" t="str">
        <f ca="1">IFERROR(INDEX('v12 Revisions'!$P$29:$P$186, MATCH('Measure-Level Adj Gas'!$L244, 'v12 Revisions'!$D$29:$D$186,0)),"")</f>
        <v>n/a - costs only.</v>
      </c>
      <c r="BF244" s="266">
        <f t="shared" ca="1" si="140"/>
        <v>3863.6365221630008</v>
      </c>
      <c r="BG244" s="264">
        <f t="shared" ca="1" si="141"/>
        <v>0</v>
      </c>
      <c r="BH244" s="262"/>
      <c r="BI244" s="262"/>
      <c r="BJ244" s="265">
        <f ca="1">IFERROR(INDEX(Algorithms!$G:$G,MATCH($C244&amp;"_Therm Saved per Unit",Algorithms!$A:$A,0)),0)</f>
        <v>758.17043213559668</v>
      </c>
      <c r="BK244" s="164"/>
      <c r="BL244" s="266">
        <f t="shared" ca="1" si="142"/>
        <v>3753.2469072440585</v>
      </c>
      <c r="BM244" s="264">
        <f t="shared" ca="1" si="143"/>
        <v>0</v>
      </c>
      <c r="BN244" s="266">
        <f t="shared" si="144"/>
        <v>4691.5586340550726</v>
      </c>
      <c r="BO244" s="266">
        <f t="shared" si="145"/>
        <v>4415.5845967577152</v>
      </c>
      <c r="BP244" s="266">
        <f t="shared" ca="1" si="146"/>
        <v>3863.6365221630008</v>
      </c>
      <c r="BQ244" s="266">
        <f t="shared" ca="1" si="147"/>
        <v>3753.2469072440585</v>
      </c>
      <c r="BR244" s="268">
        <f t="shared" ca="1" si="148"/>
        <v>16724.026660219846</v>
      </c>
      <c r="BS244" s="262" t="s">
        <v>99</v>
      </c>
      <c r="BT244" s="277"/>
      <c r="BW244" s="266">
        <f t="shared" si="149"/>
        <v>4691.5586340550726</v>
      </c>
      <c r="BX244" s="266">
        <f t="shared" si="150"/>
        <v>4415.5845967577152</v>
      </c>
      <c r="BY244" s="266">
        <f t="shared" si="151"/>
        <v>3863.6365221630008</v>
      </c>
      <c r="BZ244" s="266">
        <f t="shared" si="152"/>
        <v>3753.2469072440585</v>
      </c>
      <c r="CA244" s="266">
        <f ca="1">N244*IFERROR(INDEX(Algorithms!$G:$G,MATCH($C244&amp;"_Therm Saved per Unit- MLA",Algorithms!$A:$A,0)),0)*X244</f>
        <v>0</v>
      </c>
      <c r="CB244" s="266">
        <f ca="1">O244*IFERROR(INDEX(Algorithms!$G:$G,MATCH($C244&amp;"_Therm Saved per Unit- MLA",Algorithms!$A:$A,0)),0)*Y244</f>
        <v>0</v>
      </c>
      <c r="CC244" s="266">
        <f ca="1">P244*IFERROR(INDEX(Algorithms!$G:$G,MATCH($C244&amp;"_Therm Saved per Unit- MLA",Algorithms!$A:$A,0)),0)*Z244</f>
        <v>0</v>
      </c>
      <c r="CD244" s="266">
        <f ca="1">Q244*IFERROR(INDEX(Algorithms!$G:$G,MATCH($C244&amp;"_Therm Saved per Unit- MLA",Algorithms!$A:$A,0)),0)*AA244</f>
        <v>0</v>
      </c>
      <c r="CE244" s="266">
        <f ca="1">IFERROR(INDEX(Algorithms!$G:$G,MATCH($C244&amp;"_Lifetime (years)",Algorithms!$A:$A,0)),0)</f>
        <v>6</v>
      </c>
      <c r="CF244" s="266">
        <f ca="1">IFERROR(INDEX(Algorithms!$G:$G,MATCH($C244&amp;"_Lifetime (years) - Remaining Years",Algorithms!$A:$A,0)),0)</f>
        <v>0</v>
      </c>
      <c r="CG244" s="266">
        <f t="shared" ca="1" si="153"/>
        <v>28149.351804330436</v>
      </c>
      <c r="CH244" s="266">
        <f t="shared" ca="1" si="154"/>
        <v>26493.507580546291</v>
      </c>
      <c r="CI244" s="266">
        <f t="shared" ca="1" si="155"/>
        <v>23181.819132978006</v>
      </c>
      <c r="CJ244" s="266">
        <f t="shared" ca="1" si="156"/>
        <v>22519.481443464352</v>
      </c>
      <c r="CK244" s="266">
        <f t="shared" si="157"/>
        <v>4691.5586340550726</v>
      </c>
      <c r="CL244" s="266">
        <f t="shared" si="158"/>
        <v>4415.5845967577152</v>
      </c>
      <c r="CM244" s="266">
        <f t="shared" ca="1" si="159"/>
        <v>3863.6365221630008</v>
      </c>
      <c r="CN244" s="266">
        <f t="shared" ca="1" si="160"/>
        <v>3753.2469072440585</v>
      </c>
      <c r="CO244" s="266">
        <f ca="1">N244*IFERROR(INDEX(Algorithms!$G:$G,MATCH($C244&amp;"_Therm Saved per Unit- MLA",Algorithms!$A:$A,0)),0)*X244</f>
        <v>0</v>
      </c>
      <c r="CP244" s="266">
        <f ca="1">O244*IFERROR(INDEX(Algorithms!$G:$G,MATCH($C244&amp;"_Therm Saved per Unit- MLA",Algorithms!$A:$A,0)),0)*Y244</f>
        <v>0</v>
      </c>
      <c r="CQ244" s="266">
        <f ca="1">P244*IFERROR(INDEX(Algorithms!$G:$G,MATCH($C244&amp;"_Therm Saved per Unit- MLA",Algorithms!$A:$A,0)),0)*Z244</f>
        <v>0</v>
      </c>
      <c r="CR244" s="266">
        <f ca="1">Q244*IFERROR(INDEX(Algorithms!$G:$G,MATCH($C244&amp;"_Therm Saved per Unit- MLA",Algorithms!$A:$A,0)),0)*AA244</f>
        <v>0</v>
      </c>
      <c r="CS244" s="266">
        <f ca="1">IFERROR(INDEX(Algorithms!$G:$G,MATCH($C244&amp;"_Lifetime (years)",Algorithms!$A:$A,0)),0)</f>
        <v>6</v>
      </c>
      <c r="CT244" s="266">
        <f ca="1">IFERROR(INDEX(Algorithms!$G:$G,MATCH($C244&amp;"_Lifetime (years) - Remaining Years",Algorithms!$A:$A,0)),0)</f>
        <v>0</v>
      </c>
      <c r="CU244" s="266">
        <f t="shared" ca="1" si="161"/>
        <v>28149.351804330436</v>
      </c>
      <c r="CV244" s="266">
        <f t="shared" ca="1" si="162"/>
        <v>26493.507580546291</v>
      </c>
      <c r="CW244" s="266">
        <f t="shared" ca="1" si="163"/>
        <v>23181.819132978006</v>
      </c>
      <c r="CX244" s="266">
        <f t="shared" ca="1" si="164"/>
        <v>22519.481443464352</v>
      </c>
    </row>
    <row r="245" spans="2:102" s="47" customFormat="1" ht="18" customHeight="1" x14ac:dyDescent="0.25">
      <c r="B245" t="str">
        <f t="shared" si="165"/>
        <v>NSG_Business_C&amp;I_Rebates_DCV - Kitchen_0_MF/CI</v>
      </c>
      <c r="C245" s="47" t="str">
        <f t="shared" si="126"/>
        <v>DCV - Kitchen_0_MF/CI</v>
      </c>
      <c r="D245" s="270" t="s">
        <v>1787</v>
      </c>
      <c r="E245" s="270" t="s">
        <v>3</v>
      </c>
      <c r="F245" s="270" t="s">
        <v>1427</v>
      </c>
      <c r="G245" s="270" t="s">
        <v>1429</v>
      </c>
      <c r="H245" s="270" t="s">
        <v>1077</v>
      </c>
      <c r="I245" s="270">
        <v>0</v>
      </c>
      <c r="J245" s="270" t="s">
        <v>587</v>
      </c>
      <c r="K245" s="263">
        <v>1</v>
      </c>
      <c r="L245" s="263" t="str">
        <f ca="1">IFERROR(INDEX(Algorithms!J:J,MATCH($C245&amp;"_Therm Saved per Unit",Algorithms!$A:$A,0)),"n/a")</f>
        <v>4.2.16</v>
      </c>
      <c r="M245" s="263" t="str">
        <f>IFERROR(INDEX('Measure Level Detail'!$N:$N,MATCH($B245,'Measure Level Detail'!$B:$B,0)),0)</f>
        <v>HP</v>
      </c>
      <c r="N245" s="271">
        <f>IFERROR(INDEX('Measure Level Detail'!$P:$P,MATCH($B245&amp;"_"&amp;N$3,'Measure Level Detail'!$C:$C,0)),0)</f>
        <v>6.5874999999999995</v>
      </c>
      <c r="O245" s="271">
        <f>IFERROR(INDEX('Measure Level Detail'!$P:$P,MATCH($B245&amp;"_"&amp;O$3,'Measure Level Detail'!$C:$C,0)),0)</f>
        <v>6.2</v>
      </c>
      <c r="P245" s="271">
        <f>IFERROR(INDEX('Measure Level Detail'!$P:$P,MATCH($B245&amp;"_"&amp;P$3,'Measure Level Detail'!$C:$C,0)),0)</f>
        <v>5.4249999999999998</v>
      </c>
      <c r="Q245" s="271">
        <f>IFERROR(INDEX('Measure Level Detail'!$P:$P,MATCH($B245&amp;"_"&amp;Q$3,'Measure Level Detail'!$C:$C,0)),0)</f>
        <v>5.2700000000000005</v>
      </c>
      <c r="R245" s="263" t="str">
        <f ca="1">IFERROR(INDEX(Algorithms!K:K,MATCH($C245&amp;"_Therm Saved per Unit",Algorithms!$A:$A,0)),"n/a")</f>
        <v>CI-FSE-VENT-V06-240101</v>
      </c>
      <c r="S245" s="262"/>
      <c r="T245" s="272">
        <v>774</v>
      </c>
      <c r="U245" s="272">
        <v>774</v>
      </c>
      <c r="V245" s="272">
        <v>774</v>
      </c>
      <c r="W245" s="272">
        <v>774</v>
      </c>
      <c r="X245" s="273">
        <f>IFERROR(INDEX('Measure Level Detail'!$R:$R,MATCH($B245&amp;"_"&amp;X$3,'Measure Level Detail'!$C:$C,0)),0)</f>
        <v>0.91</v>
      </c>
      <c r="Y245" s="273">
        <f>IFERROR(INDEX('Measure Level Detail'!$R:$R,MATCH($B245&amp;"_"&amp;Y$3,'Measure Level Detail'!$C:$C,0)),0)</f>
        <v>0.91</v>
      </c>
      <c r="Z245" s="273">
        <f>IFERROR(INDEX('Measure Level Detail'!$R:$R,MATCH($B245&amp;"_"&amp;Z$3,'Measure Level Detail'!$C:$C,0)),0)</f>
        <v>0.91</v>
      </c>
      <c r="AA245" s="273">
        <f>IFERROR(INDEX('Measure Level Detail'!$R:$R,MATCH($B245&amp;"_"&amp;AA$3,'Measure Level Detail'!$C:$C,0)),0)</f>
        <v>0.91</v>
      </c>
      <c r="AB245" s="266">
        <f t="shared" si="127"/>
        <v>4639.8397500000001</v>
      </c>
      <c r="AC245" s="266">
        <f t="shared" si="128"/>
        <v>4366.9080000000004</v>
      </c>
      <c r="AD245" s="266">
        <f t="shared" si="129"/>
        <v>3821.0445</v>
      </c>
      <c r="AE245" s="266">
        <f t="shared" si="130"/>
        <v>3711.8718000000003</v>
      </c>
      <c r="AF245" s="266">
        <f t="shared" si="131"/>
        <v>16539.664049999999</v>
      </c>
      <c r="AG245" s="274">
        <v>0.91</v>
      </c>
      <c r="AH245" s="274">
        <v>0.91</v>
      </c>
      <c r="AI245" s="274">
        <v>0.91</v>
      </c>
      <c r="AJ245" s="274">
        <v>0.91</v>
      </c>
      <c r="AK245" s="274">
        <f t="shared" si="132"/>
        <v>0.91</v>
      </c>
      <c r="AL245" s="274">
        <f t="shared" si="133"/>
        <v>0.91</v>
      </c>
      <c r="AM245" s="274">
        <f t="shared" si="134"/>
        <v>0.91</v>
      </c>
      <c r="AN245" s="274">
        <f t="shared" si="135"/>
        <v>0.91</v>
      </c>
      <c r="AO245" s="262"/>
      <c r="AP245" s="262"/>
      <c r="AQ245" s="267">
        <v>774</v>
      </c>
      <c r="AR245" s="262"/>
      <c r="AS245" s="266">
        <f t="shared" si="136"/>
        <v>4639.8397500000001</v>
      </c>
      <c r="AT245" s="264">
        <f t="shared" si="137"/>
        <v>0</v>
      </c>
      <c r="AU245" s="262"/>
      <c r="AV245" s="262"/>
      <c r="AW245" s="265">
        <v>774</v>
      </c>
      <c r="AX245" s="164" t="s">
        <v>1469</v>
      </c>
      <c r="AY245" s="266">
        <v>4366.9080000000004</v>
      </c>
      <c r="AZ245" s="266">
        <f t="shared" si="138"/>
        <v>4366.9080000000004</v>
      </c>
      <c r="BA245" s="264">
        <f t="shared" si="139"/>
        <v>0</v>
      </c>
      <c r="BB245" s="262"/>
      <c r="BC245" s="262"/>
      <c r="BD245" s="265">
        <f ca="1">IFERROR(INDEX(Algorithms!$G:$G,MATCH($C245&amp;"_Therm Saved per Unit",Algorithms!$A:$A,0)),0)</f>
        <v>774</v>
      </c>
      <c r="BE245" s="164" t="str">
        <f ca="1">IFERROR(INDEX('v12 Revisions'!$P$29:$P$186, MATCH('Measure-Level Adj Gas'!$L245, 'v12 Revisions'!$D$29:$D$186,0)),"")</f>
        <v>n/a - HP assumed in units of participation.</v>
      </c>
      <c r="BF245" s="266">
        <f t="shared" ca="1" si="140"/>
        <v>3821.0445</v>
      </c>
      <c r="BG245" s="264">
        <f t="shared" ca="1" si="141"/>
        <v>0</v>
      </c>
      <c r="BH245" s="262"/>
      <c r="BI245" s="262"/>
      <c r="BJ245" s="265">
        <f ca="1">IFERROR(INDEX(Algorithms!$G:$G,MATCH($C245&amp;"_Therm Saved per Unit",Algorithms!$A:$A,0)),0)</f>
        <v>774</v>
      </c>
      <c r="BK245" s="164"/>
      <c r="BL245" s="266">
        <f t="shared" ca="1" si="142"/>
        <v>3711.8718000000003</v>
      </c>
      <c r="BM245" s="264">
        <f t="shared" ca="1" si="143"/>
        <v>0</v>
      </c>
      <c r="BN245" s="266">
        <f t="shared" si="144"/>
        <v>4639.8397500000001</v>
      </c>
      <c r="BO245" s="266">
        <f t="shared" si="145"/>
        <v>4366.9080000000004</v>
      </c>
      <c r="BP245" s="266">
        <f t="shared" ca="1" si="146"/>
        <v>3821.0445</v>
      </c>
      <c r="BQ245" s="266">
        <f t="shared" ca="1" si="147"/>
        <v>3711.8718000000003</v>
      </c>
      <c r="BR245" s="268">
        <f t="shared" ca="1" si="148"/>
        <v>16539.664049999999</v>
      </c>
      <c r="BS245" s="262" t="s">
        <v>99</v>
      </c>
      <c r="BT245" s="277"/>
      <c r="BW245" s="266">
        <f t="shared" si="149"/>
        <v>4639.8397500000001</v>
      </c>
      <c r="BX245" s="266">
        <f t="shared" si="150"/>
        <v>4366.9080000000004</v>
      </c>
      <c r="BY245" s="266">
        <f t="shared" si="151"/>
        <v>3821.0445</v>
      </c>
      <c r="BZ245" s="266">
        <f t="shared" si="152"/>
        <v>3711.8718000000003</v>
      </c>
      <c r="CA245" s="266">
        <f ca="1">N245*IFERROR(INDEX(Algorithms!$G:$G,MATCH($C245&amp;"_Therm Saved per Unit- MLA",Algorithms!$A:$A,0)),0)*X245</f>
        <v>0</v>
      </c>
      <c r="CB245" s="266">
        <f ca="1">O245*IFERROR(INDEX(Algorithms!$G:$G,MATCH($C245&amp;"_Therm Saved per Unit- MLA",Algorithms!$A:$A,0)),0)*Y245</f>
        <v>0</v>
      </c>
      <c r="CC245" s="266">
        <f ca="1">P245*IFERROR(INDEX(Algorithms!$G:$G,MATCH($C245&amp;"_Therm Saved per Unit- MLA",Algorithms!$A:$A,0)),0)*Z245</f>
        <v>0</v>
      </c>
      <c r="CD245" s="266">
        <f ca="1">Q245*IFERROR(INDEX(Algorithms!$G:$G,MATCH($C245&amp;"_Therm Saved per Unit- MLA",Algorithms!$A:$A,0)),0)*AA245</f>
        <v>0</v>
      </c>
      <c r="CE245" s="266">
        <f ca="1">IFERROR(INDEX(Algorithms!$G:$G,MATCH($C245&amp;"_Lifetime (years)",Algorithms!$A:$A,0)),0)</f>
        <v>20</v>
      </c>
      <c r="CF245" s="266">
        <f ca="1">IFERROR(INDEX(Algorithms!$G:$G,MATCH($C245&amp;"_Lifetime (years) - Remaining Years",Algorithms!$A:$A,0)),0)</f>
        <v>0</v>
      </c>
      <c r="CG245" s="266">
        <f t="shared" ca="1" si="153"/>
        <v>92796.794999999998</v>
      </c>
      <c r="CH245" s="266">
        <f t="shared" ca="1" si="154"/>
        <v>87338.16</v>
      </c>
      <c r="CI245" s="266">
        <f t="shared" ca="1" si="155"/>
        <v>76420.89</v>
      </c>
      <c r="CJ245" s="266">
        <f t="shared" ca="1" si="156"/>
        <v>74237.436000000002</v>
      </c>
      <c r="CK245" s="266">
        <f t="shared" si="157"/>
        <v>4639.8397500000001</v>
      </c>
      <c r="CL245" s="266">
        <f t="shared" si="158"/>
        <v>4366.9080000000004</v>
      </c>
      <c r="CM245" s="266">
        <f t="shared" ca="1" si="159"/>
        <v>3821.0445</v>
      </c>
      <c r="CN245" s="266">
        <f t="shared" ca="1" si="160"/>
        <v>3711.8718000000003</v>
      </c>
      <c r="CO245" s="266">
        <f ca="1">N245*IFERROR(INDEX(Algorithms!$G:$G,MATCH($C245&amp;"_Therm Saved per Unit- MLA",Algorithms!$A:$A,0)),0)*X245</f>
        <v>0</v>
      </c>
      <c r="CP245" s="266">
        <f ca="1">O245*IFERROR(INDEX(Algorithms!$G:$G,MATCH($C245&amp;"_Therm Saved per Unit- MLA",Algorithms!$A:$A,0)),0)*Y245</f>
        <v>0</v>
      </c>
      <c r="CQ245" s="266">
        <f ca="1">P245*IFERROR(INDEX(Algorithms!$G:$G,MATCH($C245&amp;"_Therm Saved per Unit- MLA",Algorithms!$A:$A,0)),0)*Z245</f>
        <v>0</v>
      </c>
      <c r="CR245" s="266">
        <f ca="1">Q245*IFERROR(INDEX(Algorithms!$G:$G,MATCH($C245&amp;"_Therm Saved per Unit- MLA",Algorithms!$A:$A,0)),0)*AA245</f>
        <v>0</v>
      </c>
      <c r="CS245" s="266">
        <f ca="1">IFERROR(INDEX(Algorithms!$G:$G,MATCH($C245&amp;"_Lifetime (years)",Algorithms!$A:$A,0)),0)</f>
        <v>20</v>
      </c>
      <c r="CT245" s="266">
        <f ca="1">IFERROR(INDEX(Algorithms!$G:$G,MATCH($C245&amp;"_Lifetime (years) - Remaining Years",Algorithms!$A:$A,0)),0)</f>
        <v>0</v>
      </c>
      <c r="CU245" s="266">
        <f t="shared" ca="1" si="161"/>
        <v>92796.794999999998</v>
      </c>
      <c r="CV245" s="266">
        <f t="shared" ca="1" si="162"/>
        <v>87338.16</v>
      </c>
      <c r="CW245" s="266">
        <f t="shared" ca="1" si="163"/>
        <v>76420.89</v>
      </c>
      <c r="CX245" s="266">
        <f t="shared" ca="1" si="164"/>
        <v>74237.436000000002</v>
      </c>
    </row>
    <row r="246" spans="2:102" s="47" customFormat="1" ht="18" customHeight="1" x14ac:dyDescent="0.25">
      <c r="B246" t="str">
        <f t="shared" si="165"/>
        <v>NSG_Residential_Home Energy Rebate_Standard Rebate_Programmable Thermostat_Furnace (P)_SF</v>
      </c>
      <c r="C246" s="47" t="str">
        <f t="shared" si="126"/>
        <v>Programmable Thermostat_Furnace (P)_SF</v>
      </c>
      <c r="D246" s="270" t="s">
        <v>1787</v>
      </c>
      <c r="E246" s="270" t="s">
        <v>2</v>
      </c>
      <c r="F246" s="270" t="s">
        <v>1417</v>
      </c>
      <c r="G246" s="270" t="s">
        <v>1418</v>
      </c>
      <c r="H246" s="270" t="s">
        <v>224</v>
      </c>
      <c r="I246" s="270" t="s">
        <v>1042</v>
      </c>
      <c r="J246" s="270" t="s">
        <v>409</v>
      </c>
      <c r="K246" s="263">
        <v>1</v>
      </c>
      <c r="L246" s="263" t="str">
        <f ca="1">IFERROR(INDEX(Algorithms!J:J,MATCH($C246&amp;"_Therm Saved per Unit",Algorithms!$A:$A,0)),"n/a")</f>
        <v>5.3.11</v>
      </c>
      <c r="M246" s="263" t="str">
        <f>IFERROR(INDEX('Measure Level Detail'!$N:$N,MATCH($B246,'Measure Level Detail'!$B:$B,0)),0)</f>
        <v>each</v>
      </c>
      <c r="N246" s="271">
        <f>IFERROR(INDEX('Measure Level Detail'!$P:$P,MATCH($B246&amp;"_"&amp;N$3,'Measure Level Detail'!$C:$C,0)),0)</f>
        <v>6</v>
      </c>
      <c r="O246" s="271">
        <f>IFERROR(INDEX('Measure Level Detail'!$P:$P,MATCH($B246&amp;"_"&amp;O$3,'Measure Level Detail'!$C:$C,0)),0)</f>
        <v>6</v>
      </c>
      <c r="P246" s="271">
        <f>IFERROR(INDEX('Measure Level Detail'!$P:$P,MATCH($B246&amp;"_"&amp;P$3,'Measure Level Detail'!$C:$C,0)),0)</f>
        <v>6</v>
      </c>
      <c r="Q246" s="271">
        <f>IFERROR(INDEX('Measure Level Detail'!$P:$P,MATCH($B246&amp;"_"&amp;Q$3,'Measure Level Detail'!$C:$C,0)),0)</f>
        <v>6</v>
      </c>
      <c r="R246" s="263" t="str">
        <f ca="1">IFERROR(INDEX(Algorithms!K:K,MATCH($C246&amp;"_Therm Saved per Unit",Algorithms!$A:$A,0)),"n/a")</f>
        <v>RS-HVC-PROG-V08-220101</v>
      </c>
      <c r="S246" s="262"/>
      <c r="T246" s="272">
        <v>34.893600000000006</v>
      </c>
      <c r="U246" s="272">
        <v>34.893600000000006</v>
      </c>
      <c r="V246" s="272">
        <v>34.893600000000006</v>
      </c>
      <c r="W246" s="272">
        <v>34.893600000000006</v>
      </c>
      <c r="X246" s="275">
        <v>0.74</v>
      </c>
      <c r="Y246" s="275">
        <v>0.74</v>
      </c>
      <c r="Z246" s="275">
        <v>0.74</v>
      </c>
      <c r="AA246" s="275">
        <v>0.74</v>
      </c>
      <c r="AB246" s="266">
        <f t="shared" si="127"/>
        <v>154.92758400000002</v>
      </c>
      <c r="AC246" s="266">
        <f t="shared" si="128"/>
        <v>154.92758400000002</v>
      </c>
      <c r="AD246" s="266">
        <f t="shared" si="129"/>
        <v>154.92758400000002</v>
      </c>
      <c r="AE246" s="266">
        <f t="shared" si="130"/>
        <v>154.92758400000002</v>
      </c>
      <c r="AF246" s="266">
        <f t="shared" si="131"/>
        <v>619.7103360000001</v>
      </c>
      <c r="AG246" s="274">
        <v>0.74</v>
      </c>
      <c r="AH246" s="274">
        <v>0.74</v>
      </c>
      <c r="AI246" s="274">
        <v>0.74</v>
      </c>
      <c r="AJ246" s="274">
        <v>0.74</v>
      </c>
      <c r="AK246" s="274">
        <f t="shared" si="132"/>
        <v>0.74</v>
      </c>
      <c r="AL246" s="274">
        <f t="shared" si="133"/>
        <v>0.74</v>
      </c>
      <c r="AM246" s="274">
        <f t="shared" si="134"/>
        <v>0.74</v>
      </c>
      <c r="AN246" s="274">
        <f t="shared" si="135"/>
        <v>0.74</v>
      </c>
      <c r="AO246" s="262"/>
      <c r="AP246" s="262"/>
      <c r="AQ246" s="267">
        <v>34.893600000000006</v>
      </c>
      <c r="AR246" s="262"/>
      <c r="AS246" s="266">
        <f t="shared" si="136"/>
        <v>154.92758400000002</v>
      </c>
      <c r="AT246" s="264">
        <f t="shared" si="137"/>
        <v>0</v>
      </c>
      <c r="AU246" s="262"/>
      <c r="AV246" s="262"/>
      <c r="AW246" s="265">
        <v>34.893600000000006</v>
      </c>
      <c r="AX246" s="164" t="s">
        <v>1469</v>
      </c>
      <c r="AY246" s="266">
        <v>154.92758400000002</v>
      </c>
      <c r="AZ246" s="266">
        <f t="shared" si="138"/>
        <v>154.92758400000002</v>
      </c>
      <c r="BA246" s="264">
        <f t="shared" si="139"/>
        <v>0</v>
      </c>
      <c r="BB246" s="262"/>
      <c r="BC246" s="262"/>
      <c r="BD246" s="265">
        <f ca="1">IFERROR(INDEX(Algorithms!$G:$G,MATCH($C246&amp;"_Therm Saved per Unit",Algorithms!$A:$A,0)),0)</f>
        <v>34.893600000000006</v>
      </c>
      <c r="BE246" s="164" t="str">
        <f ca="1">IFERROR(INDEX('v12 Revisions'!$P$29:$P$186, MATCH('Measure-Level Adj Gas'!$L246, 'v12 Revisions'!$D$29:$D$186,0)),"")</f>
        <v/>
      </c>
      <c r="BF246" s="266">
        <f t="shared" ca="1" si="140"/>
        <v>154.92758400000002</v>
      </c>
      <c r="BG246" s="264">
        <f t="shared" ca="1" si="141"/>
        <v>0</v>
      </c>
      <c r="BH246" s="262"/>
      <c r="BI246" s="262"/>
      <c r="BJ246" s="265">
        <f ca="1">IFERROR(INDEX(Algorithms!$G:$G,MATCH($C246&amp;"_Therm Saved per Unit",Algorithms!$A:$A,0)),0)</f>
        <v>34.893600000000006</v>
      </c>
      <c r="BK246" s="164"/>
      <c r="BL246" s="266">
        <f t="shared" ca="1" si="142"/>
        <v>154.92758400000002</v>
      </c>
      <c r="BM246" s="264">
        <f t="shared" ca="1" si="143"/>
        <v>0</v>
      </c>
      <c r="BN246" s="266">
        <f t="shared" si="144"/>
        <v>154.92758400000002</v>
      </c>
      <c r="BO246" s="266">
        <f t="shared" si="145"/>
        <v>154.92758400000002</v>
      </c>
      <c r="BP246" s="266">
        <f t="shared" ca="1" si="146"/>
        <v>154.92758400000002</v>
      </c>
      <c r="BQ246" s="266">
        <f t="shared" ca="1" si="147"/>
        <v>154.92758400000002</v>
      </c>
      <c r="BR246" s="268">
        <f t="shared" ca="1" si="148"/>
        <v>619.7103360000001</v>
      </c>
      <c r="BS246" s="262" t="s">
        <v>99</v>
      </c>
      <c r="BT246" s="277"/>
      <c r="BW246" s="266">
        <f t="shared" si="149"/>
        <v>154.92758400000002</v>
      </c>
      <c r="BX246" s="266">
        <f t="shared" si="150"/>
        <v>154.92758400000002</v>
      </c>
      <c r="BY246" s="266">
        <f t="shared" si="151"/>
        <v>154.92758400000002</v>
      </c>
      <c r="BZ246" s="266">
        <f t="shared" si="152"/>
        <v>154.92758400000002</v>
      </c>
      <c r="CA246" s="266">
        <f ca="1">N246*IFERROR(INDEX(Algorithms!$G:$G,MATCH($C246&amp;"_Therm Saved per Unit- MLA",Algorithms!$A:$A,0)),0)*X246</f>
        <v>43.379723520000006</v>
      </c>
      <c r="CB246" s="266">
        <f ca="1">O246*IFERROR(INDEX(Algorithms!$G:$G,MATCH($C246&amp;"_Therm Saved per Unit- MLA",Algorithms!$A:$A,0)),0)*Y246</f>
        <v>43.379723520000006</v>
      </c>
      <c r="CC246" s="266">
        <f ca="1">P246*IFERROR(INDEX(Algorithms!$G:$G,MATCH($C246&amp;"_Therm Saved per Unit- MLA",Algorithms!$A:$A,0)),0)*Z246</f>
        <v>43.379723520000006</v>
      </c>
      <c r="CD246" s="266">
        <f ca="1">Q246*IFERROR(INDEX(Algorithms!$G:$G,MATCH($C246&amp;"_Therm Saved per Unit- MLA",Algorithms!$A:$A,0)),0)*AA246</f>
        <v>43.379723520000006</v>
      </c>
      <c r="CE246" s="266">
        <f ca="1">IFERROR(INDEX(Algorithms!$G:$G,MATCH($C246&amp;"_Lifetime (years)",Algorithms!$A:$A,0)),0)</f>
        <v>16</v>
      </c>
      <c r="CF246" s="266">
        <f ca="1">IFERROR(INDEX(Algorithms!$G:$G,MATCH($C246&amp;"_Lifetime (years) - Remaining Years",Algorithms!$A:$A,0)),0)</f>
        <v>5</v>
      </c>
      <c r="CG246" s="266">
        <f t="shared" ca="1" si="153"/>
        <v>1251.8148787200003</v>
      </c>
      <c r="CH246" s="266">
        <f t="shared" ca="1" si="154"/>
        <v>1251.8148787200003</v>
      </c>
      <c r="CI246" s="266">
        <f t="shared" ca="1" si="155"/>
        <v>1251.8148787200003</v>
      </c>
      <c r="CJ246" s="266">
        <f t="shared" ca="1" si="156"/>
        <v>1251.8148787200003</v>
      </c>
      <c r="CK246" s="266">
        <f t="shared" si="157"/>
        <v>154.92758400000002</v>
      </c>
      <c r="CL246" s="266">
        <f t="shared" si="158"/>
        <v>154.92758400000002</v>
      </c>
      <c r="CM246" s="266">
        <f t="shared" ca="1" si="159"/>
        <v>154.92758400000002</v>
      </c>
      <c r="CN246" s="266">
        <f t="shared" ca="1" si="160"/>
        <v>154.92758400000002</v>
      </c>
      <c r="CO246" s="266">
        <f ca="1">N246*IFERROR(INDEX(Algorithms!$G:$G,MATCH($C246&amp;"_Therm Saved per Unit- MLA",Algorithms!$A:$A,0)),0)*X246</f>
        <v>43.379723520000006</v>
      </c>
      <c r="CP246" s="266">
        <f ca="1">O246*IFERROR(INDEX(Algorithms!$G:$G,MATCH($C246&amp;"_Therm Saved per Unit- MLA",Algorithms!$A:$A,0)),0)*Y246</f>
        <v>43.379723520000006</v>
      </c>
      <c r="CQ246" s="266">
        <f ca="1">P246*IFERROR(INDEX(Algorithms!$G:$G,MATCH($C246&amp;"_Therm Saved per Unit- MLA",Algorithms!$A:$A,0)),0)*Z246</f>
        <v>43.379723520000006</v>
      </c>
      <c r="CR246" s="266">
        <f ca="1">Q246*IFERROR(INDEX(Algorithms!$G:$G,MATCH($C246&amp;"_Therm Saved per Unit- MLA",Algorithms!$A:$A,0)),0)*AA246</f>
        <v>43.379723520000006</v>
      </c>
      <c r="CS246" s="266">
        <f ca="1">IFERROR(INDEX(Algorithms!$G:$G,MATCH($C246&amp;"_Lifetime (years)",Algorithms!$A:$A,0)),0)</f>
        <v>16</v>
      </c>
      <c r="CT246" s="266">
        <f ca="1">IFERROR(INDEX(Algorithms!$G:$G,MATCH($C246&amp;"_Lifetime (years) - Remaining Years",Algorithms!$A:$A,0)),0)</f>
        <v>5</v>
      </c>
      <c r="CU246" s="266">
        <f t="shared" ca="1" si="161"/>
        <v>1251.8148787200003</v>
      </c>
      <c r="CV246" s="266">
        <f t="shared" ca="1" si="162"/>
        <v>1251.8148787200003</v>
      </c>
      <c r="CW246" s="266">
        <f t="shared" ca="1" si="163"/>
        <v>1251.8148787200003</v>
      </c>
      <c r="CX246" s="266">
        <f t="shared" ca="1" si="164"/>
        <v>1251.8148787200003</v>
      </c>
    </row>
    <row r="247" spans="2:102" s="47" customFormat="1" ht="18" customHeight="1" x14ac:dyDescent="0.25">
      <c r="B247" t="str">
        <f t="shared" si="165"/>
        <v>NSG_Income Eligible_Multi-Family_Whole Building - Prescriptive_Air Sealing w/ Attic Insulation_0_IE MF</v>
      </c>
      <c r="C247" s="47" t="str">
        <f t="shared" si="126"/>
        <v>Air Sealing w/ Attic Insulation_0_IE MF</v>
      </c>
      <c r="D247" s="270" t="s">
        <v>1787</v>
      </c>
      <c r="E247" s="270" t="s">
        <v>325</v>
      </c>
      <c r="F247" s="270" t="s">
        <v>1422</v>
      </c>
      <c r="G247" s="270" t="s">
        <v>1813</v>
      </c>
      <c r="H247" s="270" t="s">
        <v>890</v>
      </c>
      <c r="I247" s="270">
        <v>0</v>
      </c>
      <c r="J247" s="270" t="s">
        <v>1398</v>
      </c>
      <c r="K247" s="263">
        <v>1</v>
      </c>
      <c r="L247" s="263" t="str">
        <f ca="1">IFERROR(INDEX(Algorithms!J:J,MATCH($C247&amp;"_Therm Saved per Unit",Algorithms!$A:$A,0)),"n/a")</f>
        <v>5.6.1</v>
      </c>
      <c r="M247" s="263" t="str">
        <f>IFERROR(INDEX('Measure Level Detail'!$N:$N,MATCH($B247,'Measure Level Detail'!$B:$B,0)),0)</f>
        <v>project</v>
      </c>
      <c r="N247" s="271">
        <f>IFERROR(INDEX('Measure Level Detail'!$P:$P,MATCH($B247&amp;"_"&amp;N$3,'Measure Level Detail'!$C:$C,0)),0)</f>
        <v>6</v>
      </c>
      <c r="O247" s="271">
        <f>IFERROR(INDEX('Measure Level Detail'!$P:$P,MATCH($B247&amp;"_"&amp;O$3,'Measure Level Detail'!$C:$C,0)),0)</f>
        <v>6</v>
      </c>
      <c r="P247" s="271">
        <f>IFERROR(INDEX('Measure Level Detail'!$P:$P,MATCH($B247&amp;"_"&amp;P$3,'Measure Level Detail'!$C:$C,0)),0)</f>
        <v>6</v>
      </c>
      <c r="Q247" s="271">
        <f>IFERROR(INDEX('Measure Level Detail'!$P:$P,MATCH($B247&amp;"_"&amp;Q$3,'Measure Level Detail'!$C:$C,0)),0)</f>
        <v>6</v>
      </c>
      <c r="R247" s="263" t="str">
        <f ca="1">IFERROR(INDEX(Algorithms!K:K,MATCH($C247&amp;"_Therm Saved per Unit",Algorithms!$A:$A,0)),"n/a")</f>
        <v>RS-SHL-AIRS-V13-240101</v>
      </c>
      <c r="S247" s="262"/>
      <c r="T247" s="272">
        <v>34.545463507109005</v>
      </c>
      <c r="U247" s="272">
        <v>34.545463507109005</v>
      </c>
      <c r="V247" s="272">
        <v>34.545463507109005</v>
      </c>
      <c r="W247" s="272">
        <v>34.545463507109005</v>
      </c>
      <c r="X247" s="273">
        <f>IFERROR(INDEX('Measure Level Detail'!$R:$R,MATCH($B247&amp;"_"&amp;X$3,'Measure Level Detail'!$C:$C,0)),0)</f>
        <v>1</v>
      </c>
      <c r="Y247" s="273">
        <f>IFERROR(INDEX('Measure Level Detail'!$R:$R,MATCH($B247&amp;"_"&amp;Y$3,'Measure Level Detail'!$C:$C,0)),0)</f>
        <v>1</v>
      </c>
      <c r="Z247" s="273">
        <f>IFERROR(INDEX('Measure Level Detail'!$R:$R,MATCH($B247&amp;"_"&amp;Z$3,'Measure Level Detail'!$C:$C,0)),0)</f>
        <v>1</v>
      </c>
      <c r="AA247" s="273">
        <f>IFERROR(INDEX('Measure Level Detail'!$R:$R,MATCH($B247&amp;"_"&amp;AA$3,'Measure Level Detail'!$C:$C,0)),0)</f>
        <v>1</v>
      </c>
      <c r="AB247" s="266">
        <f t="shared" si="127"/>
        <v>207.27278104265403</v>
      </c>
      <c r="AC247" s="266">
        <f t="shared" si="128"/>
        <v>207.27278104265403</v>
      </c>
      <c r="AD247" s="266">
        <f t="shared" si="129"/>
        <v>207.27278104265403</v>
      </c>
      <c r="AE247" s="266">
        <f t="shared" si="130"/>
        <v>207.27278104265403</v>
      </c>
      <c r="AF247" s="266">
        <f t="shared" si="131"/>
        <v>829.09112417061613</v>
      </c>
      <c r="AG247" s="274">
        <v>1</v>
      </c>
      <c r="AH247" s="274">
        <v>1</v>
      </c>
      <c r="AI247" s="274">
        <v>1</v>
      </c>
      <c r="AJ247" s="274">
        <v>1</v>
      </c>
      <c r="AK247" s="274">
        <f t="shared" si="132"/>
        <v>1</v>
      </c>
      <c r="AL247" s="274">
        <f t="shared" si="133"/>
        <v>1</v>
      </c>
      <c r="AM247" s="274">
        <f t="shared" si="134"/>
        <v>1</v>
      </c>
      <c r="AN247" s="274">
        <f t="shared" si="135"/>
        <v>1</v>
      </c>
      <c r="AO247" s="262"/>
      <c r="AP247" s="262"/>
      <c r="AQ247" s="267">
        <v>34.545463507109005</v>
      </c>
      <c r="AR247" s="262"/>
      <c r="AS247" s="266">
        <f t="shared" si="136"/>
        <v>207.27278104265403</v>
      </c>
      <c r="AT247" s="264">
        <f t="shared" si="137"/>
        <v>0</v>
      </c>
      <c r="AU247" s="262"/>
      <c r="AV247" s="262"/>
      <c r="AW247" s="265">
        <v>34.545463507109005</v>
      </c>
      <c r="AX247" s="164" t="s">
        <v>2395</v>
      </c>
      <c r="AY247" s="266">
        <v>207.27278104265403</v>
      </c>
      <c r="AZ247" s="266">
        <f t="shared" si="138"/>
        <v>207.27278104265403</v>
      </c>
      <c r="BA247" s="264">
        <f t="shared" si="139"/>
        <v>0</v>
      </c>
      <c r="BB247" s="262"/>
      <c r="BC247" s="262"/>
      <c r="BD247" s="265">
        <f ca="1">IFERROR(INDEX(Algorithms!$G:$G,MATCH($C247&amp;"_Therm Saved per Unit",Algorithms!$A:$A,0)),0)</f>
        <v>34.218153554502372</v>
      </c>
      <c r="BE247" s="164" t="str">
        <f ca="1">IFERROR(INDEX('v12 Revisions'!$P$29:$P$186, MATCH('Measure-Level Adj Gas'!$L247, 'v12 Revisions'!$D$29:$D$186,0)),"")</f>
        <v>Updated HDD from 5113 to 4798 and shell adjustment factor from 0.72 to 0.76.</v>
      </c>
      <c r="BF247" s="266">
        <f t="shared" ca="1" si="140"/>
        <v>205.30892132701422</v>
      </c>
      <c r="BG247" s="264">
        <f t="shared" ca="1" si="141"/>
        <v>-1.9638597156398134</v>
      </c>
      <c r="BH247" s="262"/>
      <c r="BI247" s="262"/>
      <c r="BJ247" s="265">
        <f ca="1">IFERROR(INDEX(Algorithms!$G:$G,MATCH($C247&amp;"_Therm Saved per Unit",Algorithms!$A:$A,0)),0)</f>
        <v>34.218153554502372</v>
      </c>
      <c r="BK247" s="164"/>
      <c r="BL247" s="266">
        <f t="shared" ca="1" si="142"/>
        <v>205.30892132701422</v>
      </c>
      <c r="BM247" s="264">
        <f t="shared" ca="1" si="143"/>
        <v>-1.9638597156398134</v>
      </c>
      <c r="BN247" s="266">
        <f t="shared" si="144"/>
        <v>207.27278104265403</v>
      </c>
      <c r="BO247" s="266">
        <f t="shared" si="145"/>
        <v>207.27278104265403</v>
      </c>
      <c r="BP247" s="266">
        <f t="shared" ca="1" si="146"/>
        <v>205.30892132701422</v>
      </c>
      <c r="BQ247" s="266">
        <f t="shared" ca="1" si="147"/>
        <v>205.30892132701422</v>
      </c>
      <c r="BR247" s="268">
        <f t="shared" ca="1" si="148"/>
        <v>825.16340473933644</v>
      </c>
      <c r="BS247" s="262" t="s">
        <v>99</v>
      </c>
      <c r="BT247" s="277"/>
      <c r="BW247" s="266">
        <f t="shared" si="149"/>
        <v>207.27278104265403</v>
      </c>
      <c r="BX247" s="266">
        <f t="shared" si="150"/>
        <v>207.27278104265403</v>
      </c>
      <c r="BY247" s="266">
        <f t="shared" si="151"/>
        <v>207.27278104265403</v>
      </c>
      <c r="BZ247" s="266">
        <f t="shared" si="152"/>
        <v>207.27278104265403</v>
      </c>
      <c r="CA247" s="266">
        <f ca="1">N247*IFERROR(INDEX(Algorithms!$G:$G,MATCH($C247&amp;"_Therm Saved per Unit- MLA",Algorithms!$A:$A,0)),0)*X247</f>
        <v>217.38591669919151</v>
      </c>
      <c r="CB247" s="266">
        <f ca="1">O247*IFERROR(INDEX(Algorithms!$G:$G,MATCH($C247&amp;"_Therm Saved per Unit- MLA",Algorithms!$A:$A,0)),0)*Y247</f>
        <v>217.38591669919151</v>
      </c>
      <c r="CC247" s="266">
        <f ca="1">P247*IFERROR(INDEX(Algorithms!$G:$G,MATCH($C247&amp;"_Therm Saved per Unit- MLA",Algorithms!$A:$A,0)),0)*Z247</f>
        <v>217.38591669919151</v>
      </c>
      <c r="CD247" s="266">
        <f ca="1">Q247*IFERROR(INDEX(Algorithms!$G:$G,MATCH($C247&amp;"_Therm Saved per Unit- MLA",Algorithms!$A:$A,0)),0)*AA247</f>
        <v>217.38591669919151</v>
      </c>
      <c r="CE247" s="266">
        <f ca="1">IFERROR(INDEX(Algorithms!$G:$G,MATCH($C247&amp;"_Lifetime (years)",Algorithms!$A:$A,0)),0)</f>
        <v>20</v>
      </c>
      <c r="CF247" s="266">
        <f ca="1">IFERROR(INDEX(Algorithms!$G:$G,MATCH($C247&amp;"_Lifetime (years) - Remaining Years",Algorithms!$A:$A,0)),0)</f>
        <v>10</v>
      </c>
      <c r="CG247" s="266">
        <f t="shared" ca="1" si="153"/>
        <v>4246.5869774184557</v>
      </c>
      <c r="CH247" s="266">
        <f t="shared" ca="1" si="154"/>
        <v>4246.5869774184557</v>
      </c>
      <c r="CI247" s="266">
        <f t="shared" ca="1" si="155"/>
        <v>4246.5869774184557</v>
      </c>
      <c r="CJ247" s="266">
        <f t="shared" ca="1" si="156"/>
        <v>4246.5869774184557</v>
      </c>
      <c r="CK247" s="266">
        <f t="shared" si="157"/>
        <v>207.27278104265403</v>
      </c>
      <c r="CL247" s="266">
        <f t="shared" si="158"/>
        <v>207.27278104265403</v>
      </c>
      <c r="CM247" s="266">
        <f t="shared" ca="1" si="159"/>
        <v>205.30892132701422</v>
      </c>
      <c r="CN247" s="266">
        <f t="shared" ca="1" si="160"/>
        <v>205.30892132701422</v>
      </c>
      <c r="CO247" s="266">
        <f ca="1">N247*IFERROR(INDEX(Algorithms!$G:$G,MATCH($C247&amp;"_Therm Saved per Unit- MLA",Algorithms!$A:$A,0)),0)*X247</f>
        <v>217.38591669919151</v>
      </c>
      <c r="CP247" s="266">
        <f ca="1">O247*IFERROR(INDEX(Algorithms!$G:$G,MATCH($C247&amp;"_Therm Saved per Unit- MLA",Algorithms!$A:$A,0)),0)*Y247</f>
        <v>217.38591669919151</v>
      </c>
      <c r="CQ247" s="266">
        <f ca="1">P247*IFERROR(INDEX(Algorithms!$G:$G,MATCH($C247&amp;"_Therm Saved per Unit- MLA",Algorithms!$A:$A,0)),0)*Z247</f>
        <v>217.38591669919151</v>
      </c>
      <c r="CR247" s="266">
        <f ca="1">Q247*IFERROR(INDEX(Algorithms!$G:$G,MATCH($C247&amp;"_Therm Saved per Unit- MLA",Algorithms!$A:$A,0)),0)*AA247</f>
        <v>217.38591669919151</v>
      </c>
      <c r="CS247" s="266">
        <f ca="1">IFERROR(INDEX(Algorithms!$G:$G,MATCH($C247&amp;"_Lifetime (years)",Algorithms!$A:$A,0)),0)</f>
        <v>20</v>
      </c>
      <c r="CT247" s="266">
        <f ca="1">IFERROR(INDEX(Algorithms!$G:$G,MATCH($C247&amp;"_Lifetime (years) - Remaining Years",Algorithms!$A:$A,0)),0)</f>
        <v>10</v>
      </c>
      <c r="CU247" s="266">
        <f t="shared" ca="1" si="161"/>
        <v>4246.5869774184557</v>
      </c>
      <c r="CV247" s="266">
        <f t="shared" ca="1" si="162"/>
        <v>4246.5869774184557</v>
      </c>
      <c r="CW247" s="266">
        <f t="shared" ca="1" si="163"/>
        <v>4226.9483802620571</v>
      </c>
      <c r="CX247" s="266">
        <f t="shared" ca="1" si="164"/>
        <v>4226.9483802620571</v>
      </c>
    </row>
    <row r="248" spans="2:102" s="47" customFormat="1" ht="18" customHeight="1" x14ac:dyDescent="0.25">
      <c r="B248" t="str">
        <f t="shared" si="165"/>
        <v>NSG_Income Eligible_Multi-Family_MF IHWAP_Furnace_&gt;95% AFUE_MF</v>
      </c>
      <c r="C248" s="47" t="str">
        <f t="shared" si="126"/>
        <v>Furnace_&gt;95% AFUE_MF</v>
      </c>
      <c r="D248" s="270" t="s">
        <v>1787</v>
      </c>
      <c r="E248" s="270" t="s">
        <v>325</v>
      </c>
      <c r="F248" s="270" t="s">
        <v>1422</v>
      </c>
      <c r="G248" s="270" t="s">
        <v>1441</v>
      </c>
      <c r="H248" s="270" t="s">
        <v>490</v>
      </c>
      <c r="I248" s="270" t="s">
        <v>982</v>
      </c>
      <c r="J248" s="270" t="s">
        <v>553</v>
      </c>
      <c r="K248" s="263">
        <v>1</v>
      </c>
      <c r="L248" s="263" t="str">
        <f ca="1">IFERROR(INDEX(Algorithms!J:J,MATCH($C248&amp;"_Therm Saved per Unit",Algorithms!$A:$A,0)),"n/a")</f>
        <v>4.4.11</v>
      </c>
      <c r="M248" s="263" t="str">
        <f>IFERROR(INDEX('Measure Level Detail'!$N:$N,MATCH($B248,'Measure Level Detail'!$B:$B,0)),0)</f>
        <v>each</v>
      </c>
      <c r="N248" s="271">
        <f>IFERROR(INDEX('Measure Level Detail'!$P:$P,MATCH($B248&amp;"_"&amp;N$3,'Measure Level Detail'!$C:$C,0)),0)</f>
        <v>6</v>
      </c>
      <c r="O248" s="271">
        <f>IFERROR(INDEX('Measure Level Detail'!$P:$P,MATCH($B248&amp;"_"&amp;O$3,'Measure Level Detail'!$C:$C,0)),0)</f>
        <v>8</v>
      </c>
      <c r="P248" s="271">
        <f>IFERROR(INDEX('Measure Level Detail'!$P:$P,MATCH($B248&amp;"_"&amp;P$3,'Measure Level Detail'!$C:$C,0)),0)</f>
        <v>14</v>
      </c>
      <c r="Q248" s="271">
        <f>IFERROR(INDEX('Measure Level Detail'!$P:$P,MATCH($B248&amp;"_"&amp;Q$3,'Measure Level Detail'!$C:$C,0)),0)</f>
        <v>15</v>
      </c>
      <c r="R248" s="263" t="str">
        <f ca="1">IFERROR(INDEX(Algorithms!K:K,MATCH($C248&amp;"_Therm Saved per Unit",Algorithms!$A:$A,0)),"n/a")</f>
        <v>CI-HVC-FRNC-V13-240101</v>
      </c>
      <c r="S248" s="262"/>
      <c r="T248" s="272">
        <v>236.69249999999985</v>
      </c>
      <c r="U248" s="272">
        <v>236.69249999999985</v>
      </c>
      <c r="V248" s="272">
        <v>236.69249999999985</v>
      </c>
      <c r="W248" s="272">
        <v>236.69249999999985</v>
      </c>
      <c r="X248" s="273">
        <f>IFERROR(INDEX('Measure Level Detail'!$R:$R,MATCH($B248&amp;"_"&amp;X$3,'Measure Level Detail'!$C:$C,0)),0)</f>
        <v>1</v>
      </c>
      <c r="Y248" s="273">
        <f>IFERROR(INDEX('Measure Level Detail'!$R:$R,MATCH($B248&amp;"_"&amp;Y$3,'Measure Level Detail'!$C:$C,0)),0)</f>
        <v>1</v>
      </c>
      <c r="Z248" s="273">
        <f>IFERROR(INDEX('Measure Level Detail'!$R:$R,MATCH($B248&amp;"_"&amp;Z$3,'Measure Level Detail'!$C:$C,0)),0)</f>
        <v>1</v>
      </c>
      <c r="AA248" s="273">
        <f>IFERROR(INDEX('Measure Level Detail'!$R:$R,MATCH($B248&amp;"_"&amp;AA$3,'Measure Level Detail'!$C:$C,0)),0)</f>
        <v>1</v>
      </c>
      <c r="AB248" s="266">
        <f t="shared" si="127"/>
        <v>1420.1549999999991</v>
      </c>
      <c r="AC248" s="266">
        <f t="shared" si="128"/>
        <v>1893.5399999999988</v>
      </c>
      <c r="AD248" s="266">
        <f t="shared" si="129"/>
        <v>3313.6949999999979</v>
      </c>
      <c r="AE248" s="266">
        <f t="shared" si="130"/>
        <v>3550.387499999998</v>
      </c>
      <c r="AF248" s="266">
        <f t="shared" si="131"/>
        <v>10177.777499999993</v>
      </c>
      <c r="AG248" s="274">
        <v>1</v>
      </c>
      <c r="AH248" s="274">
        <v>1</v>
      </c>
      <c r="AI248" s="274">
        <v>1</v>
      </c>
      <c r="AJ248" s="274">
        <v>1</v>
      </c>
      <c r="AK248" s="274">
        <f t="shared" si="132"/>
        <v>1</v>
      </c>
      <c r="AL248" s="274">
        <f t="shared" si="133"/>
        <v>1</v>
      </c>
      <c r="AM248" s="274">
        <f t="shared" si="134"/>
        <v>1</v>
      </c>
      <c r="AN248" s="274">
        <f t="shared" si="135"/>
        <v>1</v>
      </c>
      <c r="AO248" s="262"/>
      <c r="AP248" s="262"/>
      <c r="AQ248" s="267">
        <v>236.69249999999985</v>
      </c>
      <c r="AR248" s="262"/>
      <c r="AS248" s="266">
        <f t="shared" si="136"/>
        <v>1420.1549999999991</v>
      </c>
      <c r="AT248" s="264">
        <f t="shared" si="137"/>
        <v>0</v>
      </c>
      <c r="AU248" s="262"/>
      <c r="AV248" s="262"/>
      <c r="AW248" s="265">
        <v>236.69249999999985</v>
      </c>
      <c r="AX248" s="164" t="s">
        <v>1469</v>
      </c>
      <c r="AY248" s="266">
        <v>1893.5399999999988</v>
      </c>
      <c r="AZ248" s="266">
        <f t="shared" si="138"/>
        <v>1893.5399999999988</v>
      </c>
      <c r="BA248" s="264">
        <f t="shared" si="139"/>
        <v>0</v>
      </c>
      <c r="BB248" s="262"/>
      <c r="BC248" s="262"/>
      <c r="BD248" s="265">
        <f ca="1">IFERROR(INDEX(Algorithms!$G:$G,MATCH($C248&amp;"_Therm Saved per Unit",Algorithms!$A:$A,0)),0)</f>
        <v>218.18567901234553</v>
      </c>
      <c r="BE248" s="164" t="str">
        <f ca="1">IFERROR(INDEX('v12 Revisions'!$P$29:$P$186, MATCH('Measure-Level Adj Gas'!$L248, 'v12 Revisions'!$D$29:$D$186,0)),"")</f>
        <v>Updated baseline Furnace Annual Fuel Utilization Efficiency (AFUE) rating from 80% to 81%.</v>
      </c>
      <c r="BF248" s="266">
        <f t="shared" ca="1" si="140"/>
        <v>3054.5995061728372</v>
      </c>
      <c r="BG248" s="264">
        <f t="shared" ca="1" si="141"/>
        <v>-259.09549382716068</v>
      </c>
      <c r="BH248" s="262"/>
      <c r="BI248" s="262"/>
      <c r="BJ248" s="265">
        <f ca="1">IFERROR(INDEX(Algorithms!$G:$G,MATCH($C248&amp;"_Therm Saved per Unit",Algorithms!$A:$A,0)),0)</f>
        <v>218.18567901234553</v>
      </c>
      <c r="BK248" s="164"/>
      <c r="BL248" s="266">
        <f t="shared" ca="1" si="142"/>
        <v>3272.7851851851829</v>
      </c>
      <c r="BM248" s="264">
        <f t="shared" ca="1" si="143"/>
        <v>-277.60231481481514</v>
      </c>
      <c r="BN248" s="266">
        <f t="shared" si="144"/>
        <v>1420.1549999999991</v>
      </c>
      <c r="BO248" s="266">
        <f t="shared" si="145"/>
        <v>1893.5399999999988</v>
      </c>
      <c r="BP248" s="266">
        <f t="shared" ca="1" si="146"/>
        <v>3054.5995061728372</v>
      </c>
      <c r="BQ248" s="266">
        <f t="shared" ca="1" si="147"/>
        <v>3272.7851851851829</v>
      </c>
      <c r="BR248" s="268">
        <f t="shared" ca="1" si="148"/>
        <v>9641.079691358018</v>
      </c>
      <c r="BS248" s="262" t="s">
        <v>99</v>
      </c>
      <c r="BT248" s="277"/>
      <c r="BW248" s="266">
        <f t="shared" si="149"/>
        <v>1420.1549999999991</v>
      </c>
      <c r="BX248" s="266">
        <f t="shared" si="150"/>
        <v>1893.5399999999988</v>
      </c>
      <c r="BY248" s="266">
        <f t="shared" si="151"/>
        <v>3313.6949999999979</v>
      </c>
      <c r="BZ248" s="266">
        <f t="shared" si="152"/>
        <v>3550.387499999998</v>
      </c>
      <c r="CA248" s="266">
        <f ca="1">N248*IFERROR(INDEX(Algorithms!$G:$G,MATCH($C248&amp;"_Therm Saved per Unit- MLA",Algorithms!$A:$A,0)),0)*X248</f>
        <v>0</v>
      </c>
      <c r="CB248" s="266">
        <f ca="1">O248*IFERROR(INDEX(Algorithms!$G:$G,MATCH($C248&amp;"_Therm Saved per Unit- MLA",Algorithms!$A:$A,0)),0)*Y248</f>
        <v>0</v>
      </c>
      <c r="CC248" s="266">
        <f ca="1">P248*IFERROR(INDEX(Algorithms!$G:$G,MATCH($C248&amp;"_Therm Saved per Unit- MLA",Algorithms!$A:$A,0)),0)*Z248</f>
        <v>0</v>
      </c>
      <c r="CD248" s="266">
        <f ca="1">Q248*IFERROR(INDEX(Algorithms!$G:$G,MATCH($C248&amp;"_Therm Saved per Unit- MLA",Algorithms!$A:$A,0)),0)*AA248</f>
        <v>0</v>
      </c>
      <c r="CE248" s="266">
        <f ca="1">IFERROR(INDEX(Algorithms!$G:$G,MATCH($C248&amp;"_Lifetime (years)",Algorithms!$A:$A,0)),0)</f>
        <v>16.5</v>
      </c>
      <c r="CF248" s="266">
        <f ca="1">IFERROR(INDEX(Algorithms!$G:$G,MATCH($C248&amp;"_Lifetime (years) - Remaining Years",Algorithms!$A:$A,0)),0)</f>
        <v>0</v>
      </c>
      <c r="CG248" s="266">
        <f t="shared" ca="1" si="153"/>
        <v>23432.557499999984</v>
      </c>
      <c r="CH248" s="266">
        <f t="shared" ca="1" si="154"/>
        <v>31243.409999999982</v>
      </c>
      <c r="CI248" s="266">
        <f t="shared" ca="1" si="155"/>
        <v>54675.967499999962</v>
      </c>
      <c r="CJ248" s="266">
        <f t="shared" ca="1" si="156"/>
        <v>58581.393749999967</v>
      </c>
      <c r="CK248" s="266">
        <f t="shared" si="157"/>
        <v>1420.1549999999991</v>
      </c>
      <c r="CL248" s="266">
        <f t="shared" si="158"/>
        <v>1893.5399999999988</v>
      </c>
      <c r="CM248" s="266">
        <f t="shared" ca="1" si="159"/>
        <v>3054.5995061728372</v>
      </c>
      <c r="CN248" s="266">
        <f t="shared" ca="1" si="160"/>
        <v>3272.7851851851829</v>
      </c>
      <c r="CO248" s="266">
        <f ca="1">N248*IFERROR(INDEX(Algorithms!$G:$G,MATCH($C248&amp;"_Therm Saved per Unit- MLA",Algorithms!$A:$A,0)),0)*X248</f>
        <v>0</v>
      </c>
      <c r="CP248" s="266">
        <f ca="1">O248*IFERROR(INDEX(Algorithms!$G:$G,MATCH($C248&amp;"_Therm Saved per Unit- MLA",Algorithms!$A:$A,0)),0)*Y248</f>
        <v>0</v>
      </c>
      <c r="CQ248" s="266">
        <f ca="1">P248*IFERROR(INDEX(Algorithms!$G:$G,MATCH($C248&amp;"_Therm Saved per Unit- MLA",Algorithms!$A:$A,0)),0)*Z248</f>
        <v>0</v>
      </c>
      <c r="CR248" s="266">
        <f ca="1">Q248*IFERROR(INDEX(Algorithms!$G:$G,MATCH($C248&amp;"_Therm Saved per Unit- MLA",Algorithms!$A:$A,0)),0)*AA248</f>
        <v>0</v>
      </c>
      <c r="CS248" s="266">
        <f ca="1">IFERROR(INDEX(Algorithms!$G:$G,MATCH($C248&amp;"_Lifetime (years)",Algorithms!$A:$A,0)),0)</f>
        <v>16.5</v>
      </c>
      <c r="CT248" s="266">
        <f ca="1">IFERROR(INDEX(Algorithms!$G:$G,MATCH($C248&amp;"_Lifetime (years) - Remaining Years",Algorithms!$A:$A,0)),0)</f>
        <v>0</v>
      </c>
      <c r="CU248" s="266">
        <f t="shared" ca="1" si="161"/>
        <v>23432.557499999984</v>
      </c>
      <c r="CV248" s="266">
        <f t="shared" ca="1" si="162"/>
        <v>31243.409999999982</v>
      </c>
      <c r="CW248" s="266">
        <f t="shared" ca="1" si="163"/>
        <v>50400.891851851811</v>
      </c>
      <c r="CX248" s="266">
        <f t="shared" ca="1" si="164"/>
        <v>54000.95555555552</v>
      </c>
    </row>
    <row r="249" spans="2:102" s="47" customFormat="1" ht="18" customHeight="1" x14ac:dyDescent="0.25">
      <c r="B249" t="str">
        <f t="shared" si="165"/>
        <v>NSG_Residential_Multi-Family_Partner Trade Ally Rebate_Programmable Thermostat_Boiler (P)_MF</v>
      </c>
      <c r="C249" s="47" t="str">
        <f t="shared" si="126"/>
        <v>Programmable Thermostat_Boiler (P)_MF</v>
      </c>
      <c r="D249" s="270" t="s">
        <v>1787</v>
      </c>
      <c r="E249" s="270" t="s">
        <v>2</v>
      </c>
      <c r="F249" s="270" t="s">
        <v>1422</v>
      </c>
      <c r="G249" s="270" t="s">
        <v>1799</v>
      </c>
      <c r="H249" s="270" t="s">
        <v>224</v>
      </c>
      <c r="I249" s="270" t="s">
        <v>1046</v>
      </c>
      <c r="J249" s="270" t="s">
        <v>553</v>
      </c>
      <c r="K249" s="263">
        <v>1</v>
      </c>
      <c r="L249" s="263" t="str">
        <f ca="1">IFERROR(INDEX(Algorithms!J:J,MATCH($C249&amp;"_Therm Saved per Unit",Algorithms!$A:$A,0)),"n/a")</f>
        <v>5.3.11</v>
      </c>
      <c r="M249" s="263" t="str">
        <f>IFERROR(INDEX('Measure Level Detail'!$N:$N,MATCH($B249,'Measure Level Detail'!$B:$B,0)),0)</f>
        <v>each</v>
      </c>
      <c r="N249" s="271">
        <f>IFERROR(INDEX('Measure Level Detail'!$P:$P,MATCH($B249&amp;"_"&amp;N$3,'Measure Level Detail'!$C:$C,0)),0)</f>
        <v>5</v>
      </c>
      <c r="O249" s="271">
        <f>IFERROR(INDEX('Measure Level Detail'!$P:$P,MATCH($B249&amp;"_"&amp;O$3,'Measure Level Detail'!$C:$C,0)),0)</f>
        <v>5</v>
      </c>
      <c r="P249" s="271">
        <f>IFERROR(INDEX('Measure Level Detail'!$P:$P,MATCH($B249&amp;"_"&amp;P$3,'Measure Level Detail'!$C:$C,0)),0)</f>
        <v>5</v>
      </c>
      <c r="Q249" s="271">
        <f>IFERROR(INDEX('Measure Level Detail'!$P:$P,MATCH($B249&amp;"_"&amp;Q$3,'Measure Level Detail'!$C:$C,0)),0)</f>
        <v>5</v>
      </c>
      <c r="R249" s="263" t="str">
        <f ca="1">IFERROR(INDEX(Algorithms!K:K,MATCH($C249&amp;"_Therm Saved per Unit",Algorithms!$A:$A,0)),"n/a")</f>
        <v>RS-HVC-PROG-V08-220101</v>
      </c>
      <c r="S249" s="262"/>
      <c r="T249" s="272">
        <v>33.513480000000001</v>
      </c>
      <c r="U249" s="272">
        <v>33.513480000000001</v>
      </c>
      <c r="V249" s="272">
        <v>33.513480000000001</v>
      </c>
      <c r="W249" s="272">
        <v>33.513480000000001</v>
      </c>
      <c r="X249" s="273">
        <f>IFERROR(INDEX('Measure Level Detail'!$R:$R,MATCH($B249&amp;"_"&amp;X$3,'Measure Level Detail'!$C:$C,0)),0)</f>
        <v>0.87</v>
      </c>
      <c r="Y249" s="273">
        <f>IFERROR(INDEX('Measure Level Detail'!$R:$R,MATCH($B249&amp;"_"&amp;Y$3,'Measure Level Detail'!$C:$C,0)),0)</f>
        <v>0.87</v>
      </c>
      <c r="Z249" s="273">
        <f>IFERROR(INDEX('Measure Level Detail'!$R:$R,MATCH($B249&amp;"_"&amp;Z$3,'Measure Level Detail'!$C:$C,0)),0)</f>
        <v>0.87</v>
      </c>
      <c r="AA249" s="273">
        <f>IFERROR(INDEX('Measure Level Detail'!$R:$R,MATCH($B249&amp;"_"&amp;AA$3,'Measure Level Detail'!$C:$C,0)),0)</f>
        <v>0.87</v>
      </c>
      <c r="AB249" s="266">
        <f t="shared" si="127"/>
        <v>145.78363800000002</v>
      </c>
      <c r="AC249" s="266">
        <f t="shared" si="128"/>
        <v>145.78363800000002</v>
      </c>
      <c r="AD249" s="266">
        <f t="shared" si="129"/>
        <v>145.78363800000002</v>
      </c>
      <c r="AE249" s="266">
        <f t="shared" si="130"/>
        <v>145.78363800000002</v>
      </c>
      <c r="AF249" s="266">
        <f t="shared" si="131"/>
        <v>583.1345520000001</v>
      </c>
      <c r="AG249" s="274">
        <v>0.87</v>
      </c>
      <c r="AH249" s="274">
        <v>0.87</v>
      </c>
      <c r="AI249" s="710">
        <v>0.88</v>
      </c>
      <c r="AJ249" s="710">
        <v>0.88</v>
      </c>
      <c r="AK249" s="274">
        <f t="shared" si="132"/>
        <v>0.87</v>
      </c>
      <c r="AL249" s="274">
        <f t="shared" si="133"/>
        <v>0.87</v>
      </c>
      <c r="AM249" s="274">
        <f t="shared" si="134"/>
        <v>0.87</v>
      </c>
      <c r="AN249" s="274">
        <f t="shared" si="135"/>
        <v>0.87</v>
      </c>
      <c r="AO249" s="262"/>
      <c r="AP249" s="262"/>
      <c r="AQ249" s="267">
        <v>33.513480000000001</v>
      </c>
      <c r="AR249" s="262"/>
      <c r="AS249" s="266">
        <f t="shared" si="136"/>
        <v>145.78363800000002</v>
      </c>
      <c r="AT249" s="264">
        <f t="shared" si="137"/>
        <v>0</v>
      </c>
      <c r="AU249" s="262"/>
      <c r="AV249" s="262"/>
      <c r="AW249" s="265">
        <v>33.513480000000001</v>
      </c>
      <c r="AX249" s="164" t="s">
        <v>1469</v>
      </c>
      <c r="AY249" s="266">
        <v>145.78363800000002</v>
      </c>
      <c r="AZ249" s="266">
        <f t="shared" si="138"/>
        <v>145.78363800000002</v>
      </c>
      <c r="BA249" s="264">
        <f t="shared" si="139"/>
        <v>0</v>
      </c>
      <c r="BB249" s="262"/>
      <c r="BC249" s="262"/>
      <c r="BD249" s="265">
        <f ca="1">IFERROR(INDEX(Algorithms!$G:$G,MATCH($C249&amp;"_Therm Saved per Unit",Algorithms!$A:$A,0)),0)</f>
        <v>33.513480000000001</v>
      </c>
      <c r="BE249" s="164" t="str">
        <f ca="1">IFERROR(INDEX('v12 Revisions'!$P$29:$P$186, MATCH('Measure-Level Adj Gas'!$L249, 'v12 Revisions'!$D$29:$D$186,0)),"")</f>
        <v/>
      </c>
      <c r="BF249" s="266">
        <f t="shared" ca="1" si="140"/>
        <v>145.78363800000002</v>
      </c>
      <c r="BG249" s="264">
        <f t="shared" ca="1" si="141"/>
        <v>0</v>
      </c>
      <c r="BH249" s="262"/>
      <c r="BI249" s="262"/>
      <c r="BJ249" s="265">
        <f ca="1">IFERROR(INDEX(Algorithms!$G:$G,MATCH($C249&amp;"_Therm Saved per Unit",Algorithms!$A:$A,0)),0)</f>
        <v>33.513480000000001</v>
      </c>
      <c r="BK249" s="164"/>
      <c r="BL249" s="266">
        <f t="shared" ca="1" si="142"/>
        <v>145.78363800000002</v>
      </c>
      <c r="BM249" s="264">
        <f t="shared" ca="1" si="143"/>
        <v>0</v>
      </c>
      <c r="BN249" s="266">
        <f t="shared" si="144"/>
        <v>145.78363800000002</v>
      </c>
      <c r="BO249" s="266">
        <f t="shared" si="145"/>
        <v>145.78363800000002</v>
      </c>
      <c r="BP249" s="266">
        <f t="shared" ca="1" si="146"/>
        <v>145.78363800000002</v>
      </c>
      <c r="BQ249" s="266">
        <f t="shared" ca="1" si="147"/>
        <v>145.78363800000002</v>
      </c>
      <c r="BR249" s="268">
        <f t="shared" ca="1" si="148"/>
        <v>583.1345520000001</v>
      </c>
      <c r="BS249" s="262" t="s">
        <v>99</v>
      </c>
      <c r="BT249" s="277"/>
      <c r="BW249" s="266">
        <f t="shared" si="149"/>
        <v>145.78363800000002</v>
      </c>
      <c r="BX249" s="266">
        <f t="shared" si="150"/>
        <v>145.78363800000002</v>
      </c>
      <c r="BY249" s="266">
        <f t="shared" si="151"/>
        <v>145.78363800000002</v>
      </c>
      <c r="BZ249" s="266">
        <f t="shared" si="152"/>
        <v>145.78363800000002</v>
      </c>
      <c r="CA249" s="266">
        <f ca="1">N249*IFERROR(INDEX(Algorithms!$G:$G,MATCH($C249&amp;"_Therm Saved per Unit- MLA",Algorithms!$A:$A,0)),0)*X249</f>
        <v>40.819418640000009</v>
      </c>
      <c r="CB249" s="266">
        <f ca="1">O249*IFERROR(INDEX(Algorithms!$G:$G,MATCH($C249&amp;"_Therm Saved per Unit- MLA",Algorithms!$A:$A,0)),0)*Y249</f>
        <v>40.819418640000009</v>
      </c>
      <c r="CC249" s="266">
        <f ca="1">P249*IFERROR(INDEX(Algorithms!$G:$G,MATCH($C249&amp;"_Therm Saved per Unit- MLA",Algorithms!$A:$A,0)),0)*Z249</f>
        <v>40.819418640000009</v>
      </c>
      <c r="CD249" s="266">
        <f ca="1">Q249*IFERROR(INDEX(Algorithms!$G:$G,MATCH($C249&amp;"_Therm Saved per Unit- MLA",Algorithms!$A:$A,0)),0)*AA249</f>
        <v>40.819418640000009</v>
      </c>
      <c r="CE249" s="266">
        <f ca="1">IFERROR(INDEX(Algorithms!$G:$G,MATCH($C249&amp;"_Lifetime (years)",Algorithms!$A:$A,0)),0)</f>
        <v>16</v>
      </c>
      <c r="CF249" s="266">
        <f ca="1">IFERROR(INDEX(Algorithms!$G:$G,MATCH($C249&amp;"_Lifetime (years) - Remaining Years",Algorithms!$A:$A,0)),0)</f>
        <v>5</v>
      </c>
      <c r="CG249" s="266">
        <f t="shared" ca="1" si="153"/>
        <v>1177.9317950400002</v>
      </c>
      <c r="CH249" s="266">
        <f t="shared" ca="1" si="154"/>
        <v>1177.9317950400002</v>
      </c>
      <c r="CI249" s="266">
        <f t="shared" ca="1" si="155"/>
        <v>1177.9317950400002</v>
      </c>
      <c r="CJ249" s="266">
        <f t="shared" ca="1" si="156"/>
        <v>1177.9317950400002</v>
      </c>
      <c r="CK249" s="266">
        <f t="shared" si="157"/>
        <v>145.78363800000002</v>
      </c>
      <c r="CL249" s="266">
        <f t="shared" si="158"/>
        <v>145.78363800000002</v>
      </c>
      <c r="CM249" s="266">
        <f t="shared" ca="1" si="159"/>
        <v>145.78363800000002</v>
      </c>
      <c r="CN249" s="266">
        <f t="shared" ca="1" si="160"/>
        <v>145.78363800000002</v>
      </c>
      <c r="CO249" s="266">
        <f ca="1">N249*IFERROR(INDEX(Algorithms!$G:$G,MATCH($C249&amp;"_Therm Saved per Unit- MLA",Algorithms!$A:$A,0)),0)*X249</f>
        <v>40.819418640000009</v>
      </c>
      <c r="CP249" s="266">
        <f ca="1">O249*IFERROR(INDEX(Algorithms!$G:$G,MATCH($C249&amp;"_Therm Saved per Unit- MLA",Algorithms!$A:$A,0)),0)*Y249</f>
        <v>40.819418640000009</v>
      </c>
      <c r="CQ249" s="266">
        <f ca="1">P249*IFERROR(INDEX(Algorithms!$G:$G,MATCH($C249&amp;"_Therm Saved per Unit- MLA",Algorithms!$A:$A,0)),0)*Z249</f>
        <v>40.819418640000009</v>
      </c>
      <c r="CR249" s="266">
        <f ca="1">Q249*IFERROR(INDEX(Algorithms!$G:$G,MATCH($C249&amp;"_Therm Saved per Unit- MLA",Algorithms!$A:$A,0)),0)*AA249</f>
        <v>40.819418640000009</v>
      </c>
      <c r="CS249" s="266">
        <f ca="1">IFERROR(INDEX(Algorithms!$G:$G,MATCH($C249&amp;"_Lifetime (years)",Algorithms!$A:$A,0)),0)</f>
        <v>16</v>
      </c>
      <c r="CT249" s="266">
        <f ca="1">IFERROR(INDEX(Algorithms!$G:$G,MATCH($C249&amp;"_Lifetime (years) - Remaining Years",Algorithms!$A:$A,0)),0)</f>
        <v>5</v>
      </c>
      <c r="CU249" s="266">
        <f t="shared" ca="1" si="161"/>
        <v>1177.9317950400002</v>
      </c>
      <c r="CV249" s="266">
        <f t="shared" ca="1" si="162"/>
        <v>1177.9317950400002</v>
      </c>
      <c r="CW249" s="266">
        <f t="shared" ca="1" si="163"/>
        <v>1177.9317950400002</v>
      </c>
      <c r="CX249" s="266">
        <f t="shared" ca="1" si="164"/>
        <v>1177.9317950400002</v>
      </c>
    </row>
    <row r="250" spans="2:102" s="47" customFormat="1" ht="18" customHeight="1" x14ac:dyDescent="0.25">
      <c r="B250" t="str">
        <f t="shared" si="165"/>
        <v>NSG_Income Eligible_Multi-Family_Whole Building - Prescriptive_Steam Traps_HVAC Repair/Rep - No Audit_MF</v>
      </c>
      <c r="C250" s="47" t="str">
        <f t="shared" si="126"/>
        <v>Steam Traps_HVAC Repair/Rep - No Audit_MF</v>
      </c>
      <c r="D250" s="270" t="s">
        <v>1787</v>
      </c>
      <c r="E250" s="270" t="s">
        <v>325</v>
      </c>
      <c r="F250" s="270" t="s">
        <v>1422</v>
      </c>
      <c r="G250" s="270" t="s">
        <v>1813</v>
      </c>
      <c r="H250" s="270" t="s">
        <v>644</v>
      </c>
      <c r="I250" s="270" t="s">
        <v>660</v>
      </c>
      <c r="J250" s="270" t="s">
        <v>553</v>
      </c>
      <c r="K250" s="263">
        <v>1</v>
      </c>
      <c r="L250" s="263" t="str">
        <f ca="1">IFERROR(INDEX(Algorithms!J:J,MATCH($C250&amp;"_Therm Saved per Unit",Algorithms!$A:$A,0)),"n/a")</f>
        <v>4.4.16</v>
      </c>
      <c r="M250" s="263" t="str">
        <f>IFERROR(INDEX('Measure Level Detail'!$N:$N,MATCH($B250,'Measure Level Detail'!$B:$B,0)),0)</f>
        <v>each</v>
      </c>
      <c r="N250" s="271">
        <f>IFERROR(INDEX('Measure Level Detail'!$P:$P,MATCH($B250&amp;"_"&amp;N$3,'Measure Level Detail'!$C:$C,0)),0)</f>
        <v>5</v>
      </c>
      <c r="O250" s="271">
        <f>IFERROR(INDEX('Measure Level Detail'!$P:$P,MATCH($B250&amp;"_"&amp;O$3,'Measure Level Detail'!$C:$C,0)),0)</f>
        <v>5</v>
      </c>
      <c r="P250" s="271">
        <f>IFERROR(INDEX('Measure Level Detail'!$P:$P,MATCH($B250&amp;"_"&amp;P$3,'Measure Level Detail'!$C:$C,0)),0)</f>
        <v>5</v>
      </c>
      <c r="Q250" s="271">
        <f>IFERROR(INDEX('Measure Level Detail'!$P:$P,MATCH($B250&amp;"_"&amp;Q$3,'Measure Level Detail'!$C:$C,0)),0)</f>
        <v>5</v>
      </c>
      <c r="R250" s="263" t="str">
        <f ca="1">IFERROR(INDEX(Algorithms!K:K,MATCH($C250&amp;"_Therm Saved per Unit",Algorithms!$A:$A,0)),"n/a")</f>
        <v>CI-HVC-STRE-V10-240101</v>
      </c>
      <c r="S250" s="262"/>
      <c r="T250" s="272">
        <v>53.198900899174738</v>
      </c>
      <c r="U250" s="272">
        <v>53.198900899174738</v>
      </c>
      <c r="V250" s="272">
        <v>53.198900899174738</v>
      </c>
      <c r="W250" s="272">
        <v>53.198900899174738</v>
      </c>
      <c r="X250" s="273">
        <f>IFERROR(INDEX('Measure Level Detail'!$R:$R,MATCH($B250&amp;"_"&amp;X$3,'Measure Level Detail'!$C:$C,0)),0)</f>
        <v>1</v>
      </c>
      <c r="Y250" s="273">
        <f>IFERROR(INDEX('Measure Level Detail'!$R:$R,MATCH($B250&amp;"_"&amp;Y$3,'Measure Level Detail'!$C:$C,0)),0)</f>
        <v>1</v>
      </c>
      <c r="Z250" s="273">
        <f>IFERROR(INDEX('Measure Level Detail'!$R:$R,MATCH($B250&amp;"_"&amp;Z$3,'Measure Level Detail'!$C:$C,0)),0)</f>
        <v>1</v>
      </c>
      <c r="AA250" s="273">
        <f>IFERROR(INDEX('Measure Level Detail'!$R:$R,MATCH($B250&amp;"_"&amp;AA$3,'Measure Level Detail'!$C:$C,0)),0)</f>
        <v>1</v>
      </c>
      <c r="AB250" s="266">
        <f t="shared" si="127"/>
        <v>265.99450449587368</v>
      </c>
      <c r="AC250" s="266">
        <f t="shared" si="128"/>
        <v>265.99450449587368</v>
      </c>
      <c r="AD250" s="266">
        <f t="shared" si="129"/>
        <v>265.99450449587368</v>
      </c>
      <c r="AE250" s="266">
        <f t="shared" si="130"/>
        <v>265.99450449587368</v>
      </c>
      <c r="AF250" s="266">
        <f t="shared" si="131"/>
        <v>1063.9780179834947</v>
      </c>
      <c r="AG250" s="274">
        <v>1</v>
      </c>
      <c r="AH250" s="274">
        <v>1</v>
      </c>
      <c r="AI250" s="274">
        <v>1</v>
      </c>
      <c r="AJ250" s="274">
        <v>1</v>
      </c>
      <c r="AK250" s="274">
        <f t="shared" si="132"/>
        <v>1</v>
      </c>
      <c r="AL250" s="274">
        <f t="shared" si="133"/>
        <v>1</v>
      </c>
      <c r="AM250" s="274">
        <f t="shared" si="134"/>
        <v>1</v>
      </c>
      <c r="AN250" s="274">
        <f t="shared" si="135"/>
        <v>1</v>
      </c>
      <c r="AO250" s="262"/>
      <c r="AP250" s="262"/>
      <c r="AQ250" s="267">
        <v>53.198900899174738</v>
      </c>
      <c r="AR250" s="262"/>
      <c r="AS250" s="266">
        <f t="shared" si="136"/>
        <v>265.99450449587368</v>
      </c>
      <c r="AT250" s="264">
        <f t="shared" si="137"/>
        <v>0</v>
      </c>
      <c r="AU250" s="262"/>
      <c r="AV250" s="262"/>
      <c r="AW250" s="265">
        <v>53.198900899174738</v>
      </c>
      <c r="AX250" s="164" t="s">
        <v>2397</v>
      </c>
      <c r="AY250" s="266">
        <v>265.99450449587368</v>
      </c>
      <c r="AZ250" s="266">
        <f t="shared" si="138"/>
        <v>265.99450449587368</v>
      </c>
      <c r="BA250" s="264">
        <f t="shared" si="139"/>
        <v>0</v>
      </c>
      <c r="BB250" s="262"/>
      <c r="BC250" s="262"/>
      <c r="BD250" s="265">
        <f ca="1">IFERROR(INDEX(Algorithms!$G:$G,MATCH($C250&amp;"_Therm Saved per Unit",Algorithms!$A:$A,0)),0)</f>
        <v>53.198900899174738</v>
      </c>
      <c r="BE250" s="164" t="str">
        <f ca="1">IFERROR(INDEX('v12 Revisions'!$P$29:$P$186, MATCH('Measure-Level Adj Gas'!$L250, 'v12 Revisions'!$D$29:$D$186,0)),"")</f>
        <v>n/a - costs only.</v>
      </c>
      <c r="BF250" s="266">
        <f t="shared" ca="1" si="140"/>
        <v>265.99450449587368</v>
      </c>
      <c r="BG250" s="264">
        <f t="shared" ca="1" si="141"/>
        <v>0</v>
      </c>
      <c r="BH250" s="262"/>
      <c r="BI250" s="262"/>
      <c r="BJ250" s="265">
        <f ca="1">IFERROR(INDEX(Algorithms!$G:$G,MATCH($C250&amp;"_Therm Saved per Unit",Algorithms!$A:$A,0)),0)</f>
        <v>53.198900899174738</v>
      </c>
      <c r="BK250" s="164"/>
      <c r="BL250" s="266">
        <f t="shared" ca="1" si="142"/>
        <v>265.99450449587368</v>
      </c>
      <c r="BM250" s="264">
        <f t="shared" ca="1" si="143"/>
        <v>0</v>
      </c>
      <c r="BN250" s="266">
        <f t="shared" si="144"/>
        <v>265.99450449587368</v>
      </c>
      <c r="BO250" s="266">
        <f t="shared" si="145"/>
        <v>265.99450449587368</v>
      </c>
      <c r="BP250" s="266">
        <f t="shared" ca="1" si="146"/>
        <v>265.99450449587368</v>
      </c>
      <c r="BQ250" s="266">
        <f t="shared" ca="1" si="147"/>
        <v>265.99450449587368</v>
      </c>
      <c r="BR250" s="268">
        <f t="shared" ca="1" si="148"/>
        <v>1063.9780179834947</v>
      </c>
      <c r="BS250" s="262" t="s">
        <v>99</v>
      </c>
      <c r="BT250" s="277"/>
      <c r="BW250" s="266">
        <f t="shared" si="149"/>
        <v>265.99450449587368</v>
      </c>
      <c r="BX250" s="266">
        <f t="shared" si="150"/>
        <v>265.99450449587368</v>
      </c>
      <c r="BY250" s="266">
        <f t="shared" si="151"/>
        <v>265.99450449587368</v>
      </c>
      <c r="BZ250" s="266">
        <f t="shared" si="152"/>
        <v>265.99450449587368</v>
      </c>
      <c r="CA250" s="266">
        <f ca="1">N250*IFERROR(INDEX(Algorithms!$G:$G,MATCH($C250&amp;"_Therm Saved per Unit- MLA",Algorithms!$A:$A,0)),0)*X250</f>
        <v>0</v>
      </c>
      <c r="CB250" s="266">
        <f ca="1">O250*IFERROR(INDEX(Algorithms!$G:$G,MATCH($C250&amp;"_Therm Saved per Unit- MLA",Algorithms!$A:$A,0)),0)*Y250</f>
        <v>0</v>
      </c>
      <c r="CC250" s="266">
        <f ca="1">P250*IFERROR(INDEX(Algorithms!$G:$G,MATCH($C250&amp;"_Therm Saved per Unit- MLA",Algorithms!$A:$A,0)),0)*Z250</f>
        <v>0</v>
      </c>
      <c r="CD250" s="266">
        <f ca="1">Q250*IFERROR(INDEX(Algorithms!$G:$G,MATCH($C250&amp;"_Therm Saved per Unit- MLA",Algorithms!$A:$A,0)),0)*AA250</f>
        <v>0</v>
      </c>
      <c r="CE250" s="266">
        <f ca="1">IFERROR(INDEX(Algorithms!$G:$G,MATCH($C250&amp;"_Lifetime (years)",Algorithms!$A:$A,0)),0)</f>
        <v>6</v>
      </c>
      <c r="CF250" s="266">
        <f ca="1">IFERROR(INDEX(Algorithms!$G:$G,MATCH($C250&amp;"_Lifetime (years) - Remaining Years",Algorithms!$A:$A,0)),0)</f>
        <v>0</v>
      </c>
      <c r="CG250" s="266">
        <f t="shared" ca="1" si="153"/>
        <v>1595.9670269752421</v>
      </c>
      <c r="CH250" s="266">
        <f t="shared" ca="1" si="154"/>
        <v>1595.9670269752421</v>
      </c>
      <c r="CI250" s="266">
        <f t="shared" ca="1" si="155"/>
        <v>1595.9670269752421</v>
      </c>
      <c r="CJ250" s="266">
        <f t="shared" ca="1" si="156"/>
        <v>1595.9670269752421</v>
      </c>
      <c r="CK250" s="266">
        <f t="shared" si="157"/>
        <v>265.99450449587368</v>
      </c>
      <c r="CL250" s="266">
        <f t="shared" si="158"/>
        <v>265.99450449587368</v>
      </c>
      <c r="CM250" s="266">
        <f t="shared" ca="1" si="159"/>
        <v>265.99450449587368</v>
      </c>
      <c r="CN250" s="266">
        <f t="shared" ca="1" si="160"/>
        <v>265.99450449587368</v>
      </c>
      <c r="CO250" s="266">
        <f ca="1">N250*IFERROR(INDEX(Algorithms!$G:$G,MATCH($C250&amp;"_Therm Saved per Unit- MLA",Algorithms!$A:$A,0)),0)*X250</f>
        <v>0</v>
      </c>
      <c r="CP250" s="266">
        <f ca="1">O250*IFERROR(INDEX(Algorithms!$G:$G,MATCH($C250&amp;"_Therm Saved per Unit- MLA",Algorithms!$A:$A,0)),0)*Y250</f>
        <v>0</v>
      </c>
      <c r="CQ250" s="266">
        <f ca="1">P250*IFERROR(INDEX(Algorithms!$G:$G,MATCH($C250&amp;"_Therm Saved per Unit- MLA",Algorithms!$A:$A,0)),0)*Z250</f>
        <v>0</v>
      </c>
      <c r="CR250" s="266">
        <f ca="1">Q250*IFERROR(INDEX(Algorithms!$G:$G,MATCH($C250&amp;"_Therm Saved per Unit- MLA",Algorithms!$A:$A,0)),0)*AA250</f>
        <v>0</v>
      </c>
      <c r="CS250" s="266">
        <f ca="1">IFERROR(INDEX(Algorithms!$G:$G,MATCH($C250&amp;"_Lifetime (years)",Algorithms!$A:$A,0)),0)</f>
        <v>6</v>
      </c>
      <c r="CT250" s="266">
        <f ca="1">IFERROR(INDEX(Algorithms!$G:$G,MATCH($C250&amp;"_Lifetime (years) - Remaining Years",Algorithms!$A:$A,0)),0)</f>
        <v>0</v>
      </c>
      <c r="CU250" s="266">
        <f t="shared" ca="1" si="161"/>
        <v>1595.9670269752421</v>
      </c>
      <c r="CV250" s="266">
        <f t="shared" ca="1" si="162"/>
        <v>1595.9670269752421</v>
      </c>
      <c r="CW250" s="266">
        <f t="shared" ca="1" si="163"/>
        <v>1595.9670269752421</v>
      </c>
      <c r="CX250" s="266">
        <f t="shared" ca="1" si="164"/>
        <v>1595.9670269752421</v>
      </c>
    </row>
    <row r="251" spans="2:102" s="47" customFormat="1" ht="18" customHeight="1" x14ac:dyDescent="0.25">
      <c r="B251" t="str">
        <f t="shared" si="165"/>
        <v>NSG_Business_Public Sector_Rebates_Steam Traps_HVAC Repair/Rep - Audit_CI</v>
      </c>
      <c r="C251" s="47" t="str">
        <f t="shared" si="126"/>
        <v>Steam Traps_HVAC Repair/Rep - Audit_CI</v>
      </c>
      <c r="D251" s="270" t="s">
        <v>1787</v>
      </c>
      <c r="E251" s="270" t="s">
        <v>3</v>
      </c>
      <c r="F251" s="270" t="s">
        <v>1430</v>
      </c>
      <c r="G251" s="270" t="s">
        <v>1429</v>
      </c>
      <c r="H251" s="270" t="s">
        <v>644</v>
      </c>
      <c r="I251" s="270" t="s">
        <v>645</v>
      </c>
      <c r="J251" s="270" t="s">
        <v>1159</v>
      </c>
      <c r="K251" s="263">
        <v>1</v>
      </c>
      <c r="L251" s="263" t="str">
        <f ca="1">IFERROR(INDEX(Algorithms!J:J,MATCH($C251&amp;"_Therm Saved per Unit",Algorithms!$A:$A,0)),"n/a")</f>
        <v>4.4.16</v>
      </c>
      <c r="M251" s="263" t="str">
        <f>IFERROR(INDEX('Measure Level Detail'!$N:$N,MATCH($B251,'Measure Level Detail'!$B:$B,0)),0)</f>
        <v>each</v>
      </c>
      <c r="N251" s="271">
        <f>IFERROR(INDEX('Measure Level Detail'!$P:$P,MATCH($B251&amp;"_"&amp;N$3,'Measure Level Detail'!$C:$C,0)),0)</f>
        <v>5</v>
      </c>
      <c r="O251" s="271">
        <f>IFERROR(INDEX('Measure Level Detail'!$P:$P,MATCH($B251&amp;"_"&amp;O$3,'Measure Level Detail'!$C:$C,0)),0)</f>
        <v>5</v>
      </c>
      <c r="P251" s="271">
        <f>IFERROR(INDEX('Measure Level Detail'!$P:$P,MATCH($B251&amp;"_"&amp;P$3,'Measure Level Detail'!$C:$C,0)),0)</f>
        <v>5</v>
      </c>
      <c r="Q251" s="271">
        <f>IFERROR(INDEX('Measure Level Detail'!$P:$P,MATCH($B251&amp;"_"&amp;Q$3,'Measure Level Detail'!$C:$C,0)),0)</f>
        <v>5</v>
      </c>
      <c r="R251" s="263" t="str">
        <f ca="1">IFERROR(INDEX(Algorithms!K:K,MATCH($C251&amp;"_Therm Saved per Unit",Algorithms!$A:$A,0)),"n/a")</f>
        <v>CI-HVC-STRE-V10-240101</v>
      </c>
      <c r="S251" s="262"/>
      <c r="T251" s="272">
        <v>383.76733095846322</v>
      </c>
      <c r="U251" s="272">
        <v>383.76733095846322</v>
      </c>
      <c r="V251" s="272">
        <v>383.76733095846322</v>
      </c>
      <c r="W251" s="272">
        <v>383.76733095846322</v>
      </c>
      <c r="X251" s="276">
        <v>0.92</v>
      </c>
      <c r="Y251" s="276">
        <v>0.92</v>
      </c>
      <c r="Z251" s="276">
        <v>0.92</v>
      </c>
      <c r="AA251" s="276">
        <v>0.92</v>
      </c>
      <c r="AB251" s="266">
        <f t="shared" si="127"/>
        <v>1765.3297224089308</v>
      </c>
      <c r="AC251" s="266">
        <f t="shared" si="128"/>
        <v>1765.3297224089308</v>
      </c>
      <c r="AD251" s="266">
        <f t="shared" si="129"/>
        <v>1765.3297224089308</v>
      </c>
      <c r="AE251" s="266">
        <f t="shared" si="130"/>
        <v>1765.3297224089308</v>
      </c>
      <c r="AF251" s="266">
        <f t="shared" si="131"/>
        <v>7061.3188896357233</v>
      </c>
      <c r="AG251" s="274">
        <v>0.92</v>
      </c>
      <c r="AH251" s="274">
        <v>0.92</v>
      </c>
      <c r="AI251" s="274">
        <v>0.92</v>
      </c>
      <c r="AJ251" s="274">
        <v>0.92</v>
      </c>
      <c r="AK251" s="274">
        <f t="shared" si="132"/>
        <v>0.92</v>
      </c>
      <c r="AL251" s="274">
        <f t="shared" si="133"/>
        <v>0.92</v>
      </c>
      <c r="AM251" s="274">
        <f t="shared" si="134"/>
        <v>0.92</v>
      </c>
      <c r="AN251" s="274">
        <f t="shared" si="135"/>
        <v>0.92</v>
      </c>
      <c r="AO251" s="262"/>
      <c r="AP251" s="262"/>
      <c r="AQ251" s="267">
        <v>383.76733095846322</v>
      </c>
      <c r="AR251" s="262"/>
      <c r="AS251" s="266">
        <f t="shared" si="136"/>
        <v>1765.3297224089308</v>
      </c>
      <c r="AT251" s="264">
        <f t="shared" si="137"/>
        <v>0</v>
      </c>
      <c r="AU251" s="262"/>
      <c r="AV251" s="262"/>
      <c r="AW251" s="265">
        <v>779.98158821323193</v>
      </c>
      <c r="AX251" s="164" t="s">
        <v>2397</v>
      </c>
      <c r="AY251" s="266">
        <v>1765.3297224089308</v>
      </c>
      <c r="AZ251" s="266">
        <f t="shared" si="138"/>
        <v>3587.9153057808671</v>
      </c>
      <c r="BA251" s="264">
        <f t="shared" si="139"/>
        <v>1822.5855833719363</v>
      </c>
      <c r="BB251" s="262"/>
      <c r="BC251" s="262"/>
      <c r="BD251" s="265">
        <f ca="1">IFERROR(INDEX(Algorithms!$G:$G,MATCH($C251&amp;"_Therm Saved per Unit",Algorithms!$A:$A,0)),0)</f>
        <v>779.98158821323193</v>
      </c>
      <c r="BE251" s="164" t="str">
        <f ca="1">IFERROR(INDEX('v12 Revisions'!$P$29:$P$186, MATCH('Measure-Level Adj Gas'!$L251, 'v12 Revisions'!$D$29:$D$186,0)),"")</f>
        <v>n/a - costs only.</v>
      </c>
      <c r="BF251" s="266">
        <f t="shared" ca="1" si="140"/>
        <v>3587.9153057808671</v>
      </c>
      <c r="BG251" s="264">
        <f t="shared" ca="1" si="141"/>
        <v>1822.5855833719363</v>
      </c>
      <c r="BH251" s="262"/>
      <c r="BI251" s="262"/>
      <c r="BJ251" s="265">
        <f ca="1">IFERROR(INDEX(Algorithms!$G:$G,MATCH($C251&amp;"_Therm Saved per Unit",Algorithms!$A:$A,0)),0)</f>
        <v>779.98158821323193</v>
      </c>
      <c r="BK251" s="164"/>
      <c r="BL251" s="266">
        <f t="shared" ca="1" si="142"/>
        <v>3587.9153057808671</v>
      </c>
      <c r="BM251" s="264">
        <f t="shared" ca="1" si="143"/>
        <v>1822.5855833719363</v>
      </c>
      <c r="BN251" s="266">
        <f t="shared" si="144"/>
        <v>1765.3297224089308</v>
      </c>
      <c r="BO251" s="266">
        <f t="shared" si="145"/>
        <v>3587.9153057808671</v>
      </c>
      <c r="BP251" s="266">
        <f t="shared" ca="1" si="146"/>
        <v>3587.9153057808671</v>
      </c>
      <c r="BQ251" s="266">
        <f t="shared" ca="1" si="147"/>
        <v>3587.9153057808671</v>
      </c>
      <c r="BR251" s="268">
        <f t="shared" ca="1" si="148"/>
        <v>12529.075639751532</v>
      </c>
      <c r="BS251" s="262" t="s">
        <v>99</v>
      </c>
      <c r="BT251" s="277"/>
      <c r="BW251" s="266">
        <f t="shared" si="149"/>
        <v>1765.3297224089308</v>
      </c>
      <c r="BX251" s="266">
        <f t="shared" si="150"/>
        <v>1765.3297224089308</v>
      </c>
      <c r="BY251" s="266">
        <f t="shared" si="151"/>
        <v>1765.3297224089308</v>
      </c>
      <c r="BZ251" s="266">
        <f t="shared" si="152"/>
        <v>1765.3297224089308</v>
      </c>
      <c r="CA251" s="266">
        <f ca="1">N251*IFERROR(INDEX(Algorithms!$G:$G,MATCH($C251&amp;"_Therm Saved per Unit- MLA",Algorithms!$A:$A,0)),0)*X251</f>
        <v>0</v>
      </c>
      <c r="CB251" s="266">
        <f ca="1">O251*IFERROR(INDEX(Algorithms!$G:$G,MATCH($C251&amp;"_Therm Saved per Unit- MLA",Algorithms!$A:$A,0)),0)*Y251</f>
        <v>0</v>
      </c>
      <c r="CC251" s="266">
        <f ca="1">P251*IFERROR(INDEX(Algorithms!$G:$G,MATCH($C251&amp;"_Therm Saved per Unit- MLA",Algorithms!$A:$A,0)),0)*Z251</f>
        <v>0</v>
      </c>
      <c r="CD251" s="266">
        <f ca="1">Q251*IFERROR(INDEX(Algorithms!$G:$G,MATCH($C251&amp;"_Therm Saved per Unit- MLA",Algorithms!$A:$A,0)),0)*AA251</f>
        <v>0</v>
      </c>
      <c r="CE251" s="266">
        <f ca="1">IFERROR(INDEX(Algorithms!$G:$G,MATCH($C251&amp;"_Lifetime (years)",Algorithms!$A:$A,0)),0)</f>
        <v>6</v>
      </c>
      <c r="CF251" s="266">
        <f ca="1">IFERROR(INDEX(Algorithms!$G:$G,MATCH($C251&amp;"_Lifetime (years) - Remaining Years",Algorithms!$A:$A,0)),0)</f>
        <v>0</v>
      </c>
      <c r="CG251" s="266">
        <f t="shared" ca="1" si="153"/>
        <v>10591.978334453584</v>
      </c>
      <c r="CH251" s="266">
        <f t="shared" ca="1" si="154"/>
        <v>10591.978334453584</v>
      </c>
      <c r="CI251" s="266">
        <f t="shared" ca="1" si="155"/>
        <v>10591.978334453584</v>
      </c>
      <c r="CJ251" s="266">
        <f t="shared" ca="1" si="156"/>
        <v>10591.978334453584</v>
      </c>
      <c r="CK251" s="266">
        <f t="shared" si="157"/>
        <v>1765.3297224089308</v>
      </c>
      <c r="CL251" s="266">
        <f t="shared" si="158"/>
        <v>3587.9153057808671</v>
      </c>
      <c r="CM251" s="266">
        <f t="shared" ca="1" si="159"/>
        <v>3587.9153057808671</v>
      </c>
      <c r="CN251" s="266">
        <f t="shared" ca="1" si="160"/>
        <v>3587.9153057808671</v>
      </c>
      <c r="CO251" s="266">
        <f ca="1">N251*IFERROR(INDEX(Algorithms!$G:$G,MATCH($C251&amp;"_Therm Saved per Unit- MLA",Algorithms!$A:$A,0)),0)*X251</f>
        <v>0</v>
      </c>
      <c r="CP251" s="266">
        <f ca="1">O251*IFERROR(INDEX(Algorithms!$G:$G,MATCH($C251&amp;"_Therm Saved per Unit- MLA",Algorithms!$A:$A,0)),0)*Y251</f>
        <v>0</v>
      </c>
      <c r="CQ251" s="266">
        <f ca="1">P251*IFERROR(INDEX(Algorithms!$G:$G,MATCH($C251&amp;"_Therm Saved per Unit- MLA",Algorithms!$A:$A,0)),0)*Z251</f>
        <v>0</v>
      </c>
      <c r="CR251" s="266">
        <f ca="1">Q251*IFERROR(INDEX(Algorithms!$G:$G,MATCH($C251&amp;"_Therm Saved per Unit- MLA",Algorithms!$A:$A,0)),0)*AA251</f>
        <v>0</v>
      </c>
      <c r="CS251" s="266">
        <f ca="1">IFERROR(INDEX(Algorithms!$G:$G,MATCH($C251&amp;"_Lifetime (years)",Algorithms!$A:$A,0)),0)</f>
        <v>6</v>
      </c>
      <c r="CT251" s="266">
        <f ca="1">IFERROR(INDEX(Algorithms!$G:$G,MATCH($C251&amp;"_Lifetime (years) - Remaining Years",Algorithms!$A:$A,0)),0)</f>
        <v>0</v>
      </c>
      <c r="CU251" s="266">
        <f t="shared" ca="1" si="161"/>
        <v>10591.978334453584</v>
      </c>
      <c r="CV251" s="266">
        <f t="shared" ca="1" si="162"/>
        <v>21527.491834685203</v>
      </c>
      <c r="CW251" s="266">
        <f t="shared" ca="1" si="163"/>
        <v>21527.491834685203</v>
      </c>
      <c r="CX251" s="266">
        <f t="shared" ca="1" si="164"/>
        <v>21527.491834685203</v>
      </c>
    </row>
    <row r="252" spans="2:102" s="47" customFormat="1" ht="18" customHeight="1" x14ac:dyDescent="0.25">
      <c r="B252" t="str">
        <f t="shared" si="165"/>
        <v>NSG_Business_Small/Mid-Size Business_Partner Trade Ally Rebate_Steam Traps_Dry Cleaner/Industrial - No Audit_MF/CI/SMB</v>
      </c>
      <c r="C252" s="47" t="str">
        <f t="shared" si="126"/>
        <v>Steam Traps_Dry Cleaner/Industrial - No Audit_MF/CI/SMB</v>
      </c>
      <c r="D252" s="270" t="s">
        <v>1787</v>
      </c>
      <c r="E252" s="270" t="s">
        <v>3</v>
      </c>
      <c r="F252" s="270" t="s">
        <v>1432</v>
      </c>
      <c r="G252" s="270" t="s">
        <v>1799</v>
      </c>
      <c r="H252" s="270" t="s">
        <v>644</v>
      </c>
      <c r="I252" s="270" t="s">
        <v>1274</v>
      </c>
      <c r="J252" s="270" t="s">
        <v>662</v>
      </c>
      <c r="K252" s="263">
        <v>1</v>
      </c>
      <c r="L252" s="263" t="str">
        <f ca="1">IFERROR(INDEX(Algorithms!J:J,MATCH($C252&amp;"_Therm Saved per Unit",Algorithms!$A:$A,0)),"n/a")</f>
        <v>4.4.16</v>
      </c>
      <c r="M252" s="263" t="str">
        <f>IFERROR(INDEX('Measure Level Detail'!$N:$N,MATCH($B252,'Measure Level Detail'!$B:$B,0)),0)</f>
        <v>each</v>
      </c>
      <c r="N252" s="271">
        <f>IFERROR(INDEX('Measure Level Detail'!$P:$P,MATCH($B252&amp;"_"&amp;N$3,'Measure Level Detail'!$C:$C,0)),0)</f>
        <v>5</v>
      </c>
      <c r="O252" s="271">
        <f>IFERROR(INDEX('Measure Level Detail'!$P:$P,MATCH($B252&amp;"_"&amp;O$3,'Measure Level Detail'!$C:$C,0)),0)</f>
        <v>4</v>
      </c>
      <c r="P252" s="271">
        <f>IFERROR(INDEX('Measure Level Detail'!$P:$P,MATCH($B252&amp;"_"&amp;P$3,'Measure Level Detail'!$C:$C,0)),0)</f>
        <v>4</v>
      </c>
      <c r="Q252" s="271">
        <f>IFERROR(INDEX('Measure Level Detail'!$P:$P,MATCH($B252&amp;"_"&amp;Q$3,'Measure Level Detail'!$C:$C,0)),0)</f>
        <v>4</v>
      </c>
      <c r="R252" s="263" t="str">
        <f ca="1">IFERROR(INDEX(Algorithms!K:K,MATCH($C252&amp;"_Therm Saved per Unit",Algorithms!$A:$A,0)),"n/a")</f>
        <v>CI-HVC-STRE-V10-240101</v>
      </c>
      <c r="S252" s="262"/>
      <c r="T252" s="272">
        <v>174.96360308617389</v>
      </c>
      <c r="U252" s="272">
        <v>174.96360308617389</v>
      </c>
      <c r="V252" s="272">
        <v>174.96360308617389</v>
      </c>
      <c r="W252" s="272">
        <v>174.96360308617389</v>
      </c>
      <c r="X252" s="276">
        <v>0.93</v>
      </c>
      <c r="Y252" s="276">
        <v>0.93</v>
      </c>
      <c r="Z252" s="276">
        <v>0.93</v>
      </c>
      <c r="AA252" s="276">
        <v>0.93</v>
      </c>
      <c r="AB252" s="266">
        <f t="shared" si="127"/>
        <v>813.58075435070862</v>
      </c>
      <c r="AC252" s="266">
        <f t="shared" si="128"/>
        <v>650.86460348056687</v>
      </c>
      <c r="AD252" s="266">
        <f t="shared" si="129"/>
        <v>650.86460348056687</v>
      </c>
      <c r="AE252" s="266">
        <f t="shared" si="130"/>
        <v>650.86460348056687</v>
      </c>
      <c r="AF252" s="266">
        <f t="shared" si="131"/>
        <v>2766.1745647924095</v>
      </c>
      <c r="AG252" s="274">
        <v>0.93</v>
      </c>
      <c r="AH252" s="274">
        <v>0.93</v>
      </c>
      <c r="AI252" s="274">
        <v>0.93</v>
      </c>
      <c r="AJ252" s="274">
        <v>0.93</v>
      </c>
      <c r="AK252" s="274">
        <f t="shared" si="132"/>
        <v>0.93</v>
      </c>
      <c r="AL252" s="274">
        <f t="shared" si="133"/>
        <v>0.93</v>
      </c>
      <c r="AM252" s="274">
        <f t="shared" si="134"/>
        <v>0.93</v>
      </c>
      <c r="AN252" s="274">
        <f t="shared" si="135"/>
        <v>0.93</v>
      </c>
      <c r="AO252" s="262"/>
      <c r="AP252" s="262"/>
      <c r="AQ252" s="267">
        <v>174.96360308617389</v>
      </c>
      <c r="AR252" s="262"/>
      <c r="AS252" s="266">
        <f t="shared" si="136"/>
        <v>813.58075435070862</v>
      </c>
      <c r="AT252" s="264">
        <f t="shared" si="137"/>
        <v>0</v>
      </c>
      <c r="AU252" s="262"/>
      <c r="AV252" s="262"/>
      <c r="AW252" s="265">
        <v>174.96360308617389</v>
      </c>
      <c r="AX252" s="164" t="s">
        <v>2397</v>
      </c>
      <c r="AY252" s="266">
        <v>650.86460348056687</v>
      </c>
      <c r="AZ252" s="266">
        <f t="shared" si="138"/>
        <v>650.86460348056687</v>
      </c>
      <c r="BA252" s="264">
        <f t="shared" si="139"/>
        <v>0</v>
      </c>
      <c r="BB252" s="262"/>
      <c r="BC252" s="262"/>
      <c r="BD252" s="265">
        <f ca="1">IFERROR(INDEX(Algorithms!$G:$G,MATCH($C252&amp;"_Therm Saved per Unit",Algorithms!$A:$A,0)),0)</f>
        <v>174.96360308617389</v>
      </c>
      <c r="BE252" s="164" t="str">
        <f ca="1">IFERROR(INDEX('v12 Revisions'!$P$29:$P$186, MATCH('Measure-Level Adj Gas'!$L252, 'v12 Revisions'!$D$29:$D$186,0)),"")</f>
        <v>n/a - costs only.</v>
      </c>
      <c r="BF252" s="266">
        <f t="shared" ca="1" si="140"/>
        <v>650.86460348056687</v>
      </c>
      <c r="BG252" s="264">
        <f t="shared" ca="1" si="141"/>
        <v>0</v>
      </c>
      <c r="BH252" s="262"/>
      <c r="BI252" s="262"/>
      <c r="BJ252" s="265">
        <f ca="1">IFERROR(INDEX(Algorithms!$G:$G,MATCH($C252&amp;"_Therm Saved per Unit",Algorithms!$A:$A,0)),0)</f>
        <v>174.96360308617389</v>
      </c>
      <c r="BK252" s="164"/>
      <c r="BL252" s="266">
        <f t="shared" ca="1" si="142"/>
        <v>650.86460348056687</v>
      </c>
      <c r="BM252" s="264">
        <f t="shared" ca="1" si="143"/>
        <v>0</v>
      </c>
      <c r="BN252" s="266">
        <f t="shared" si="144"/>
        <v>813.58075435070862</v>
      </c>
      <c r="BO252" s="266">
        <f t="shared" si="145"/>
        <v>650.86460348056687</v>
      </c>
      <c r="BP252" s="266">
        <f t="shared" ca="1" si="146"/>
        <v>650.86460348056687</v>
      </c>
      <c r="BQ252" s="266">
        <f t="shared" ca="1" si="147"/>
        <v>650.86460348056687</v>
      </c>
      <c r="BR252" s="268">
        <f t="shared" ca="1" si="148"/>
        <v>2766.1745647924095</v>
      </c>
      <c r="BS252" s="262" t="s">
        <v>99</v>
      </c>
      <c r="BT252" s="277"/>
      <c r="BW252" s="266">
        <f t="shared" si="149"/>
        <v>813.58075435070862</v>
      </c>
      <c r="BX252" s="266">
        <f t="shared" si="150"/>
        <v>650.86460348056687</v>
      </c>
      <c r="BY252" s="266">
        <f t="shared" si="151"/>
        <v>650.86460348056687</v>
      </c>
      <c r="BZ252" s="266">
        <f t="shared" si="152"/>
        <v>650.86460348056687</v>
      </c>
      <c r="CA252" s="266">
        <f ca="1">N252*IFERROR(INDEX(Algorithms!$G:$G,MATCH($C252&amp;"_Therm Saved per Unit- MLA",Algorithms!$A:$A,0)),0)*X252</f>
        <v>0</v>
      </c>
      <c r="CB252" s="266">
        <f ca="1">O252*IFERROR(INDEX(Algorithms!$G:$G,MATCH($C252&amp;"_Therm Saved per Unit- MLA",Algorithms!$A:$A,0)),0)*Y252</f>
        <v>0</v>
      </c>
      <c r="CC252" s="266">
        <f ca="1">P252*IFERROR(INDEX(Algorithms!$G:$G,MATCH($C252&amp;"_Therm Saved per Unit- MLA",Algorithms!$A:$A,0)),0)*Z252</f>
        <v>0</v>
      </c>
      <c r="CD252" s="266">
        <f ca="1">Q252*IFERROR(INDEX(Algorithms!$G:$G,MATCH($C252&amp;"_Therm Saved per Unit- MLA",Algorithms!$A:$A,0)),0)*AA252</f>
        <v>0</v>
      </c>
      <c r="CE252" s="266">
        <f ca="1">IFERROR(INDEX(Algorithms!$G:$G,MATCH($C252&amp;"_Lifetime (years)",Algorithms!$A:$A,0)),0)</f>
        <v>6</v>
      </c>
      <c r="CF252" s="266">
        <f ca="1">IFERROR(INDEX(Algorithms!$G:$G,MATCH($C252&amp;"_Lifetime (years) - Remaining Years",Algorithms!$A:$A,0)),0)</f>
        <v>0</v>
      </c>
      <c r="CG252" s="266">
        <f t="shared" ca="1" si="153"/>
        <v>4881.4845261042519</v>
      </c>
      <c r="CH252" s="266">
        <f t="shared" ca="1" si="154"/>
        <v>3905.187620883401</v>
      </c>
      <c r="CI252" s="266">
        <f t="shared" ca="1" si="155"/>
        <v>3905.187620883401</v>
      </c>
      <c r="CJ252" s="266">
        <f t="shared" ca="1" si="156"/>
        <v>3905.187620883401</v>
      </c>
      <c r="CK252" s="266">
        <f t="shared" si="157"/>
        <v>813.58075435070862</v>
      </c>
      <c r="CL252" s="266">
        <f t="shared" si="158"/>
        <v>650.86460348056687</v>
      </c>
      <c r="CM252" s="266">
        <f t="shared" ca="1" si="159"/>
        <v>650.86460348056687</v>
      </c>
      <c r="CN252" s="266">
        <f t="shared" ca="1" si="160"/>
        <v>650.86460348056687</v>
      </c>
      <c r="CO252" s="266">
        <f ca="1">N252*IFERROR(INDEX(Algorithms!$G:$G,MATCH($C252&amp;"_Therm Saved per Unit- MLA",Algorithms!$A:$A,0)),0)*X252</f>
        <v>0</v>
      </c>
      <c r="CP252" s="266">
        <f ca="1">O252*IFERROR(INDEX(Algorithms!$G:$G,MATCH($C252&amp;"_Therm Saved per Unit- MLA",Algorithms!$A:$A,0)),0)*Y252</f>
        <v>0</v>
      </c>
      <c r="CQ252" s="266">
        <f ca="1">P252*IFERROR(INDEX(Algorithms!$G:$G,MATCH($C252&amp;"_Therm Saved per Unit- MLA",Algorithms!$A:$A,0)),0)*Z252</f>
        <v>0</v>
      </c>
      <c r="CR252" s="266">
        <f ca="1">Q252*IFERROR(INDEX(Algorithms!$G:$G,MATCH($C252&amp;"_Therm Saved per Unit- MLA",Algorithms!$A:$A,0)),0)*AA252</f>
        <v>0</v>
      </c>
      <c r="CS252" s="266">
        <f ca="1">IFERROR(INDEX(Algorithms!$G:$G,MATCH($C252&amp;"_Lifetime (years)",Algorithms!$A:$A,0)),0)</f>
        <v>6</v>
      </c>
      <c r="CT252" s="266">
        <f ca="1">IFERROR(INDEX(Algorithms!$G:$G,MATCH($C252&amp;"_Lifetime (years) - Remaining Years",Algorithms!$A:$A,0)),0)</f>
        <v>0</v>
      </c>
      <c r="CU252" s="266">
        <f t="shared" ca="1" si="161"/>
        <v>4881.4845261042519</v>
      </c>
      <c r="CV252" s="266">
        <f t="shared" ca="1" si="162"/>
        <v>3905.187620883401</v>
      </c>
      <c r="CW252" s="266">
        <f t="shared" ca="1" si="163"/>
        <v>3905.187620883401</v>
      </c>
      <c r="CX252" s="266">
        <f t="shared" ca="1" si="164"/>
        <v>3905.187620883401</v>
      </c>
    </row>
    <row r="253" spans="2:102" s="47" customFormat="1" ht="18" customHeight="1" x14ac:dyDescent="0.25">
      <c r="B253" t="str">
        <f t="shared" si="165"/>
        <v>NSG_Income Eligible_Home Energy Jumpstart_Core_Thermostat - Reprogram_Furnace (DI)_SF</v>
      </c>
      <c r="C253" s="47" t="str">
        <f t="shared" si="126"/>
        <v>Thermostat - Reprogram_Furnace (DI)_SF</v>
      </c>
      <c r="D253" s="270" t="s">
        <v>1787</v>
      </c>
      <c r="E253" s="270" t="s">
        <v>325</v>
      </c>
      <c r="F253" s="270" t="s">
        <v>1414</v>
      </c>
      <c r="G253" s="270" t="s">
        <v>1415</v>
      </c>
      <c r="H253" s="270" t="s">
        <v>1055</v>
      </c>
      <c r="I253" s="270" t="s">
        <v>1038</v>
      </c>
      <c r="J253" s="270" t="s">
        <v>409</v>
      </c>
      <c r="K253" s="263">
        <v>1</v>
      </c>
      <c r="L253" s="263" t="str">
        <f ca="1">IFERROR(INDEX(Algorithms!J:J,MATCH($C253&amp;"_Therm Saved per Unit",Algorithms!$A:$A,0)),"n/a")</f>
        <v>5.3.11</v>
      </c>
      <c r="M253" s="263" t="str">
        <f>IFERROR(INDEX('Measure Level Detail'!$N:$N,MATCH($B253,'Measure Level Detail'!$B:$B,0)),0)</f>
        <v>Each</v>
      </c>
      <c r="N253" s="271">
        <f>IFERROR(INDEX('Measure Level Detail'!$P:$P,MATCH($B253&amp;"_"&amp;N$3,'Measure Level Detail'!$C:$C,0)),0)</f>
        <v>4</v>
      </c>
      <c r="O253" s="271">
        <f>IFERROR(INDEX('Measure Level Detail'!$P:$P,MATCH($B253&amp;"_"&amp;O$3,'Measure Level Detail'!$C:$C,0)),0)</f>
        <v>11</v>
      </c>
      <c r="P253" s="271">
        <f>IFERROR(INDEX('Measure Level Detail'!$P:$P,MATCH($B253&amp;"_"&amp;P$3,'Measure Level Detail'!$C:$C,0)),0)</f>
        <v>22</v>
      </c>
      <c r="Q253" s="271">
        <f>IFERROR(INDEX('Measure Level Detail'!$P:$P,MATCH($B253&amp;"_"&amp;Q$3,'Measure Level Detail'!$C:$C,0)),0)</f>
        <v>27</v>
      </c>
      <c r="R253" s="263" t="str">
        <f ca="1">IFERROR(INDEX(Algorithms!K:K,MATCH($C253&amp;"_Therm Saved per Unit",Algorithms!$A:$A,0)),"n/a")</f>
        <v>RS-HVC-PROG-V08-220101</v>
      </c>
      <c r="S253" s="262"/>
      <c r="T253" s="272">
        <v>62.31</v>
      </c>
      <c r="U253" s="272">
        <v>62.31</v>
      </c>
      <c r="V253" s="272">
        <v>62.31</v>
      </c>
      <c r="W253" s="272">
        <v>62.31</v>
      </c>
      <c r="X253" s="273">
        <f>IFERROR(INDEX('Measure Level Detail'!$R:$R,MATCH($B253&amp;"_"&amp;X$3,'Measure Level Detail'!$C:$C,0)),0)</f>
        <v>1</v>
      </c>
      <c r="Y253" s="273">
        <f>IFERROR(INDEX('Measure Level Detail'!$R:$R,MATCH($B253&amp;"_"&amp;Y$3,'Measure Level Detail'!$C:$C,0)),0)</f>
        <v>1</v>
      </c>
      <c r="Z253" s="273">
        <f>IFERROR(INDEX('Measure Level Detail'!$R:$R,MATCH($B253&amp;"_"&amp;Z$3,'Measure Level Detail'!$C:$C,0)),0)</f>
        <v>1</v>
      </c>
      <c r="AA253" s="273">
        <f>IFERROR(INDEX('Measure Level Detail'!$R:$R,MATCH($B253&amp;"_"&amp;AA$3,'Measure Level Detail'!$C:$C,0)),0)</f>
        <v>1</v>
      </c>
      <c r="AB253" s="266">
        <f t="shared" si="127"/>
        <v>249.24</v>
      </c>
      <c r="AC253" s="266">
        <f t="shared" si="128"/>
        <v>685.41000000000008</v>
      </c>
      <c r="AD253" s="266">
        <f t="shared" si="129"/>
        <v>1370.8200000000002</v>
      </c>
      <c r="AE253" s="266">
        <f t="shared" si="130"/>
        <v>1682.3700000000001</v>
      </c>
      <c r="AF253" s="266">
        <f t="shared" si="131"/>
        <v>3987.84</v>
      </c>
      <c r="AG253" s="274">
        <v>1</v>
      </c>
      <c r="AH253" s="274">
        <v>1</v>
      </c>
      <c r="AI253" s="274">
        <v>1</v>
      </c>
      <c r="AJ253" s="274">
        <v>1</v>
      </c>
      <c r="AK253" s="274">
        <f t="shared" si="132"/>
        <v>1</v>
      </c>
      <c r="AL253" s="274">
        <f t="shared" si="133"/>
        <v>1</v>
      </c>
      <c r="AM253" s="274">
        <f t="shared" si="134"/>
        <v>1</v>
      </c>
      <c r="AN253" s="274">
        <f t="shared" si="135"/>
        <v>1</v>
      </c>
      <c r="AO253" s="262"/>
      <c r="AP253" s="262"/>
      <c r="AQ253" s="267">
        <v>62.31</v>
      </c>
      <c r="AR253" s="262"/>
      <c r="AS253" s="266">
        <f t="shared" si="136"/>
        <v>249.24</v>
      </c>
      <c r="AT253" s="264">
        <f t="shared" si="137"/>
        <v>0</v>
      </c>
      <c r="AU253" s="262"/>
      <c r="AV253" s="262"/>
      <c r="AW253" s="265">
        <v>62.31</v>
      </c>
      <c r="AX253" s="164" t="s">
        <v>1469</v>
      </c>
      <c r="AY253" s="266">
        <v>685.41000000000008</v>
      </c>
      <c r="AZ253" s="266">
        <f t="shared" si="138"/>
        <v>685.41000000000008</v>
      </c>
      <c r="BA253" s="264">
        <f t="shared" si="139"/>
        <v>0</v>
      </c>
      <c r="BB253" s="262"/>
      <c r="BC253" s="262"/>
      <c r="BD253" s="265">
        <f ca="1">IFERROR(INDEX(Algorithms!$G:$G,MATCH($C253&amp;"_Therm Saved per Unit",Algorithms!$A:$A,0)),0)</f>
        <v>62.31</v>
      </c>
      <c r="BE253" s="164" t="str">
        <f ca="1">IFERROR(INDEX('v12 Revisions'!$P$29:$P$186, MATCH('Measure-Level Adj Gas'!$L253, 'v12 Revisions'!$D$29:$D$186,0)),"")</f>
        <v/>
      </c>
      <c r="BF253" s="266">
        <f t="shared" ca="1" si="140"/>
        <v>1370.8200000000002</v>
      </c>
      <c r="BG253" s="264">
        <f t="shared" ca="1" si="141"/>
        <v>0</v>
      </c>
      <c r="BH253" s="262"/>
      <c r="BI253" s="262"/>
      <c r="BJ253" s="265">
        <f ca="1">IFERROR(INDEX(Algorithms!$G:$G,MATCH($C253&amp;"_Therm Saved per Unit",Algorithms!$A:$A,0)),0)</f>
        <v>62.31</v>
      </c>
      <c r="BK253" s="164"/>
      <c r="BL253" s="266">
        <f t="shared" ca="1" si="142"/>
        <v>1682.3700000000001</v>
      </c>
      <c r="BM253" s="264">
        <f t="shared" ca="1" si="143"/>
        <v>0</v>
      </c>
      <c r="BN253" s="266">
        <f t="shared" si="144"/>
        <v>249.24</v>
      </c>
      <c r="BO253" s="266">
        <f t="shared" si="145"/>
        <v>685.41000000000008</v>
      </c>
      <c r="BP253" s="266">
        <f t="shared" ca="1" si="146"/>
        <v>1370.8200000000002</v>
      </c>
      <c r="BQ253" s="266">
        <f t="shared" ca="1" si="147"/>
        <v>1682.3700000000001</v>
      </c>
      <c r="BR253" s="268">
        <f t="shared" ca="1" si="148"/>
        <v>3987.84</v>
      </c>
      <c r="BS253" s="262" t="s">
        <v>99</v>
      </c>
      <c r="BT253" s="277"/>
      <c r="BW253" s="266">
        <f t="shared" si="149"/>
        <v>249.24</v>
      </c>
      <c r="BX253" s="266">
        <f t="shared" si="150"/>
        <v>685.41000000000008</v>
      </c>
      <c r="BY253" s="266">
        <f t="shared" si="151"/>
        <v>1370.8200000000002</v>
      </c>
      <c r="BZ253" s="266">
        <f t="shared" si="152"/>
        <v>1682.3700000000001</v>
      </c>
      <c r="CA253" s="266">
        <f ca="1">N253*IFERROR(INDEX(Algorithms!$G:$G,MATCH($C253&amp;"_Therm Saved per Unit- MLA",Algorithms!$A:$A,0)),0)*X253</f>
        <v>0</v>
      </c>
      <c r="CB253" s="266">
        <f ca="1">O253*IFERROR(INDEX(Algorithms!$G:$G,MATCH($C253&amp;"_Therm Saved per Unit- MLA",Algorithms!$A:$A,0)),0)*Y253</f>
        <v>0</v>
      </c>
      <c r="CC253" s="266">
        <f ca="1">P253*IFERROR(INDEX(Algorithms!$G:$G,MATCH($C253&amp;"_Therm Saved per Unit- MLA",Algorithms!$A:$A,0)),0)*Z253</f>
        <v>0</v>
      </c>
      <c r="CD253" s="266">
        <f ca="1">Q253*IFERROR(INDEX(Algorithms!$G:$G,MATCH($C253&amp;"_Therm Saved per Unit- MLA",Algorithms!$A:$A,0)),0)*AA253</f>
        <v>0</v>
      </c>
      <c r="CE253" s="266">
        <f ca="1">IFERROR(INDEX(Algorithms!$G:$G,MATCH($C253&amp;"_Lifetime (years)",Algorithms!$A:$A,0)),0)</f>
        <v>2</v>
      </c>
      <c r="CF253" s="266">
        <f ca="1">IFERROR(INDEX(Algorithms!$G:$G,MATCH($C253&amp;"_Lifetime (years) - Remaining Years",Algorithms!$A:$A,0)),0)</f>
        <v>0</v>
      </c>
      <c r="CG253" s="266">
        <f t="shared" ca="1" si="153"/>
        <v>498.48</v>
      </c>
      <c r="CH253" s="266">
        <f t="shared" ca="1" si="154"/>
        <v>1370.8200000000002</v>
      </c>
      <c r="CI253" s="266">
        <f t="shared" ca="1" si="155"/>
        <v>2741.6400000000003</v>
      </c>
      <c r="CJ253" s="266">
        <f t="shared" ca="1" si="156"/>
        <v>3364.7400000000002</v>
      </c>
      <c r="CK253" s="266">
        <f t="shared" si="157"/>
        <v>249.24</v>
      </c>
      <c r="CL253" s="266">
        <f t="shared" si="158"/>
        <v>685.41000000000008</v>
      </c>
      <c r="CM253" s="266">
        <f t="shared" ca="1" si="159"/>
        <v>1370.8200000000002</v>
      </c>
      <c r="CN253" s="266">
        <f t="shared" ca="1" si="160"/>
        <v>1682.3700000000001</v>
      </c>
      <c r="CO253" s="266">
        <f ca="1">N253*IFERROR(INDEX(Algorithms!$G:$G,MATCH($C253&amp;"_Therm Saved per Unit- MLA",Algorithms!$A:$A,0)),0)*X253</f>
        <v>0</v>
      </c>
      <c r="CP253" s="266">
        <f ca="1">O253*IFERROR(INDEX(Algorithms!$G:$G,MATCH($C253&amp;"_Therm Saved per Unit- MLA",Algorithms!$A:$A,0)),0)*Y253</f>
        <v>0</v>
      </c>
      <c r="CQ253" s="266">
        <f ca="1">P253*IFERROR(INDEX(Algorithms!$G:$G,MATCH($C253&amp;"_Therm Saved per Unit- MLA",Algorithms!$A:$A,0)),0)*Z253</f>
        <v>0</v>
      </c>
      <c r="CR253" s="266">
        <f ca="1">Q253*IFERROR(INDEX(Algorithms!$G:$G,MATCH($C253&amp;"_Therm Saved per Unit- MLA",Algorithms!$A:$A,0)),0)*AA253</f>
        <v>0</v>
      </c>
      <c r="CS253" s="266">
        <f ca="1">IFERROR(INDEX(Algorithms!$G:$G,MATCH($C253&amp;"_Lifetime (years)",Algorithms!$A:$A,0)),0)</f>
        <v>2</v>
      </c>
      <c r="CT253" s="266">
        <f ca="1">IFERROR(INDEX(Algorithms!$G:$G,MATCH($C253&amp;"_Lifetime (years) - Remaining Years",Algorithms!$A:$A,0)),0)</f>
        <v>0</v>
      </c>
      <c r="CU253" s="266">
        <f t="shared" ca="1" si="161"/>
        <v>498.48</v>
      </c>
      <c r="CV253" s="266">
        <f t="shared" ca="1" si="162"/>
        <v>1370.8200000000002</v>
      </c>
      <c r="CW253" s="266">
        <f t="shared" ca="1" si="163"/>
        <v>2741.6400000000003</v>
      </c>
      <c r="CX253" s="266">
        <f t="shared" ca="1" si="164"/>
        <v>3364.7400000000002</v>
      </c>
    </row>
    <row r="254" spans="2:102" s="47" customFormat="1" ht="18" customHeight="1" x14ac:dyDescent="0.25">
      <c r="B254" t="str">
        <f t="shared" si="165"/>
        <v>NSG_Residential_Home Energy Rebate_Standard Rebate_Steam Boiler_≥82% AFUE, &lt;300MBh_SF</v>
      </c>
      <c r="C254" s="47" t="str">
        <f t="shared" si="126"/>
        <v>Steam Boiler_≥82% AFUE, &lt;300MBh_SF</v>
      </c>
      <c r="D254" s="270" t="s">
        <v>1787</v>
      </c>
      <c r="E254" s="270" t="s">
        <v>2</v>
      </c>
      <c r="F254" s="270" t="s">
        <v>1417</v>
      </c>
      <c r="G254" s="270" t="s">
        <v>1418</v>
      </c>
      <c r="H254" s="270" t="s">
        <v>938</v>
      </c>
      <c r="I254" s="270" t="s">
        <v>1061</v>
      </c>
      <c r="J254" s="270" t="s">
        <v>409</v>
      </c>
      <c r="K254" s="263">
        <v>1</v>
      </c>
      <c r="L254" s="263" t="str">
        <f ca="1">IFERROR(INDEX(Algorithms!J:J,MATCH($C254&amp;"_Therm Saved per Unit",Algorithms!$A:$A,0)),"n/a")</f>
        <v>5.3.6</v>
      </c>
      <c r="M254" s="263" t="str">
        <f>IFERROR(INDEX('Measure Level Detail'!$N:$N,MATCH($B254,'Measure Level Detail'!$B:$B,0)),0)</f>
        <v>each</v>
      </c>
      <c r="N254" s="271">
        <f>IFERROR(INDEX('Measure Level Detail'!$P:$P,MATCH($B254&amp;"_"&amp;N$3,'Measure Level Detail'!$C:$C,0)),0)</f>
        <v>4</v>
      </c>
      <c r="O254" s="271">
        <f>IFERROR(INDEX('Measure Level Detail'!$P:$P,MATCH($B254&amp;"_"&amp;O$3,'Measure Level Detail'!$C:$C,0)),0)</f>
        <v>4</v>
      </c>
      <c r="P254" s="271">
        <f>IFERROR(INDEX('Measure Level Detail'!$P:$P,MATCH($B254&amp;"_"&amp;P$3,'Measure Level Detail'!$C:$C,0)),0)</f>
        <v>4</v>
      </c>
      <c r="Q254" s="271">
        <f>IFERROR(INDEX('Measure Level Detail'!$P:$P,MATCH($B254&amp;"_"&amp;Q$3,'Measure Level Detail'!$C:$C,0)),0)</f>
        <v>4</v>
      </c>
      <c r="R254" s="263" t="str">
        <f ca="1">IFERROR(INDEX(Algorithms!K:K,MATCH($C254&amp;"_Therm Saved per Unit",Algorithms!$A:$A,0)),"n/a")</f>
        <v>RS-HVC-GHEB-V11-240101</v>
      </c>
      <c r="S254" s="262"/>
      <c r="T254" s="272">
        <v>7.1216260162601692</v>
      </c>
      <c r="U254" s="272">
        <v>7.1216260162601692</v>
      </c>
      <c r="V254" s="272">
        <v>7.1216260162601692</v>
      </c>
      <c r="W254" s="272">
        <v>7.1216260162601692</v>
      </c>
      <c r="X254" s="275">
        <v>0.74</v>
      </c>
      <c r="Y254" s="275">
        <v>0.74</v>
      </c>
      <c r="Z254" s="275">
        <v>0.74</v>
      </c>
      <c r="AA254" s="275">
        <v>0.74</v>
      </c>
      <c r="AB254" s="266">
        <f t="shared" si="127"/>
        <v>21.080013008130102</v>
      </c>
      <c r="AC254" s="266">
        <f t="shared" si="128"/>
        <v>21.080013008130102</v>
      </c>
      <c r="AD254" s="266">
        <f t="shared" si="129"/>
        <v>21.080013008130102</v>
      </c>
      <c r="AE254" s="266">
        <f t="shared" si="130"/>
        <v>21.080013008130102</v>
      </c>
      <c r="AF254" s="266">
        <f t="shared" si="131"/>
        <v>84.320052032520408</v>
      </c>
      <c r="AG254" s="274">
        <v>0.74</v>
      </c>
      <c r="AH254" s="274">
        <v>0.74</v>
      </c>
      <c r="AI254" s="274">
        <v>0.74</v>
      </c>
      <c r="AJ254" s="274">
        <v>0.74</v>
      </c>
      <c r="AK254" s="274">
        <f t="shared" si="132"/>
        <v>0.74</v>
      </c>
      <c r="AL254" s="274">
        <f t="shared" si="133"/>
        <v>0.74</v>
      </c>
      <c r="AM254" s="274">
        <f t="shared" si="134"/>
        <v>0.74</v>
      </c>
      <c r="AN254" s="274">
        <f t="shared" si="135"/>
        <v>0.74</v>
      </c>
      <c r="AO254" s="262"/>
      <c r="AP254" s="262"/>
      <c r="AQ254" s="267">
        <v>7.1216260162601692</v>
      </c>
      <c r="AR254" s="262"/>
      <c r="AS254" s="266">
        <f t="shared" si="136"/>
        <v>21.080013008130102</v>
      </c>
      <c r="AT254" s="264">
        <f t="shared" si="137"/>
        <v>0</v>
      </c>
      <c r="AU254" s="262"/>
      <c r="AV254" s="262"/>
      <c r="AW254" s="265">
        <v>7.1216260162601692</v>
      </c>
      <c r="AX254" s="164" t="s">
        <v>1469</v>
      </c>
      <c r="AY254" s="266">
        <v>21.080013008130102</v>
      </c>
      <c r="AZ254" s="266">
        <f t="shared" si="138"/>
        <v>21.080013008130102</v>
      </c>
      <c r="BA254" s="264">
        <f t="shared" si="139"/>
        <v>0</v>
      </c>
      <c r="BB254" s="262"/>
      <c r="BC254" s="262"/>
      <c r="BD254" s="265">
        <f ca="1">IFERROR(INDEX(Algorithms!$G:$G,MATCH($C254&amp;"_Therm Saved per Unit",Algorithms!$A:$A,0)),0)</f>
        <v>7.1216260162601692</v>
      </c>
      <c r="BE254" s="164" t="str">
        <f ca="1">IFERROR(INDEX('v12 Revisions'!$P$29:$P$186, MATCH('Measure-Level Adj Gas'!$L254, 'v12 Revisions'!$D$29:$D$186,0)),"")</f>
        <v>n/a - update to language, efficient criteria to be determined by program.</v>
      </c>
      <c r="BF254" s="266">
        <f t="shared" ca="1" si="140"/>
        <v>21.080013008130102</v>
      </c>
      <c r="BG254" s="264">
        <f t="shared" ca="1" si="141"/>
        <v>0</v>
      </c>
      <c r="BH254" s="262"/>
      <c r="BI254" s="262"/>
      <c r="BJ254" s="265">
        <f ca="1">IFERROR(INDEX(Algorithms!$G:$G,MATCH($C254&amp;"_Therm Saved per Unit",Algorithms!$A:$A,0)),0)</f>
        <v>7.1216260162601692</v>
      </c>
      <c r="BK254" s="164"/>
      <c r="BL254" s="266">
        <f t="shared" ca="1" si="142"/>
        <v>21.080013008130102</v>
      </c>
      <c r="BM254" s="264">
        <f t="shared" ca="1" si="143"/>
        <v>0</v>
      </c>
      <c r="BN254" s="266">
        <f t="shared" si="144"/>
        <v>21.080013008130102</v>
      </c>
      <c r="BO254" s="266">
        <f t="shared" si="145"/>
        <v>21.080013008130102</v>
      </c>
      <c r="BP254" s="266">
        <f t="shared" ca="1" si="146"/>
        <v>21.080013008130102</v>
      </c>
      <c r="BQ254" s="266">
        <f t="shared" ca="1" si="147"/>
        <v>21.080013008130102</v>
      </c>
      <c r="BR254" s="268">
        <f t="shared" ca="1" si="148"/>
        <v>84.320052032520408</v>
      </c>
      <c r="BS254" s="262" t="s">
        <v>99</v>
      </c>
      <c r="BT254" s="277"/>
      <c r="BW254" s="266">
        <f t="shared" si="149"/>
        <v>21.080013008130102</v>
      </c>
      <c r="BX254" s="266">
        <f t="shared" si="150"/>
        <v>21.080013008130102</v>
      </c>
      <c r="BY254" s="266">
        <f t="shared" si="151"/>
        <v>21.080013008130102</v>
      </c>
      <c r="BZ254" s="266">
        <f t="shared" si="152"/>
        <v>21.080013008130102</v>
      </c>
      <c r="CA254" s="266">
        <f ca="1">N254*IFERROR(INDEX(Algorithms!$G:$G,MATCH($C254&amp;"_Therm Saved per Unit- MLA",Algorithms!$A:$A,0)),0)*X254</f>
        <v>0</v>
      </c>
      <c r="CB254" s="266">
        <f ca="1">O254*IFERROR(INDEX(Algorithms!$G:$G,MATCH($C254&amp;"_Therm Saved per Unit- MLA",Algorithms!$A:$A,0)),0)*Y254</f>
        <v>0</v>
      </c>
      <c r="CC254" s="266">
        <f ca="1">P254*IFERROR(INDEX(Algorithms!$G:$G,MATCH($C254&amp;"_Therm Saved per Unit- MLA",Algorithms!$A:$A,0)),0)*Z254</f>
        <v>0</v>
      </c>
      <c r="CD254" s="266">
        <f ca="1">Q254*IFERROR(INDEX(Algorithms!$G:$G,MATCH($C254&amp;"_Therm Saved per Unit- MLA",Algorithms!$A:$A,0)),0)*AA254</f>
        <v>0</v>
      </c>
      <c r="CE254" s="266">
        <f ca="1">IFERROR(INDEX(Algorithms!$G:$G,MATCH($C254&amp;"_Lifetime (years)",Algorithms!$A:$A,0)),0)</f>
        <v>25</v>
      </c>
      <c r="CF254" s="266">
        <f ca="1">IFERROR(INDEX(Algorithms!$G:$G,MATCH($C254&amp;"_Lifetime (years) - Remaining Years",Algorithms!$A:$A,0)),0)</f>
        <v>0</v>
      </c>
      <c r="CG254" s="266">
        <f t="shared" ca="1" si="153"/>
        <v>527.0003252032526</v>
      </c>
      <c r="CH254" s="266">
        <f t="shared" ca="1" si="154"/>
        <v>527.0003252032526</v>
      </c>
      <c r="CI254" s="266">
        <f t="shared" ca="1" si="155"/>
        <v>527.0003252032526</v>
      </c>
      <c r="CJ254" s="266">
        <f t="shared" ca="1" si="156"/>
        <v>527.0003252032526</v>
      </c>
      <c r="CK254" s="266">
        <f t="shared" si="157"/>
        <v>21.080013008130102</v>
      </c>
      <c r="CL254" s="266">
        <f t="shared" si="158"/>
        <v>21.080013008130102</v>
      </c>
      <c r="CM254" s="266">
        <f t="shared" ca="1" si="159"/>
        <v>21.080013008130102</v>
      </c>
      <c r="CN254" s="266">
        <f t="shared" ca="1" si="160"/>
        <v>21.080013008130102</v>
      </c>
      <c r="CO254" s="266">
        <f ca="1">N254*IFERROR(INDEX(Algorithms!$G:$G,MATCH($C254&amp;"_Therm Saved per Unit- MLA",Algorithms!$A:$A,0)),0)*X254</f>
        <v>0</v>
      </c>
      <c r="CP254" s="266">
        <f ca="1">O254*IFERROR(INDEX(Algorithms!$G:$G,MATCH($C254&amp;"_Therm Saved per Unit- MLA",Algorithms!$A:$A,0)),0)*Y254</f>
        <v>0</v>
      </c>
      <c r="CQ254" s="266">
        <f ca="1">P254*IFERROR(INDEX(Algorithms!$G:$G,MATCH($C254&amp;"_Therm Saved per Unit- MLA",Algorithms!$A:$A,0)),0)*Z254</f>
        <v>0</v>
      </c>
      <c r="CR254" s="266">
        <f ca="1">Q254*IFERROR(INDEX(Algorithms!$G:$G,MATCH($C254&amp;"_Therm Saved per Unit- MLA",Algorithms!$A:$A,0)),0)*AA254</f>
        <v>0</v>
      </c>
      <c r="CS254" s="266">
        <f ca="1">IFERROR(INDEX(Algorithms!$G:$G,MATCH($C254&amp;"_Lifetime (years)",Algorithms!$A:$A,0)),0)</f>
        <v>25</v>
      </c>
      <c r="CT254" s="266">
        <f ca="1">IFERROR(INDEX(Algorithms!$G:$G,MATCH($C254&amp;"_Lifetime (years) - Remaining Years",Algorithms!$A:$A,0)),0)</f>
        <v>0</v>
      </c>
      <c r="CU254" s="266">
        <f t="shared" ca="1" si="161"/>
        <v>527.0003252032526</v>
      </c>
      <c r="CV254" s="266">
        <f t="shared" ca="1" si="162"/>
        <v>527.0003252032526</v>
      </c>
      <c r="CW254" s="266">
        <f t="shared" ca="1" si="163"/>
        <v>527.0003252032526</v>
      </c>
      <c r="CX254" s="266">
        <f t="shared" ca="1" si="164"/>
        <v>527.0003252032526</v>
      </c>
    </row>
    <row r="255" spans="2:102" s="47" customFormat="1" ht="18" customHeight="1" x14ac:dyDescent="0.25">
      <c r="B255" t="str">
        <f t="shared" si="165"/>
        <v>NSG_Residential_Home Energy Rebate_Standard Rebate_Programmable Thermostat_Boiler (P)_SF</v>
      </c>
      <c r="C255" s="47" t="str">
        <f t="shared" si="126"/>
        <v>Programmable Thermostat_Boiler (P)_SF</v>
      </c>
      <c r="D255" s="270" t="s">
        <v>1787</v>
      </c>
      <c r="E255" s="270" t="s">
        <v>2</v>
      </c>
      <c r="F255" s="270" t="s">
        <v>1417</v>
      </c>
      <c r="G255" s="270" t="s">
        <v>1418</v>
      </c>
      <c r="H255" s="270" t="s">
        <v>224</v>
      </c>
      <c r="I255" s="270" t="s">
        <v>1046</v>
      </c>
      <c r="J255" s="270" t="s">
        <v>409</v>
      </c>
      <c r="K255" s="263">
        <v>1</v>
      </c>
      <c r="L255" s="263" t="str">
        <f ca="1">IFERROR(INDEX(Algorithms!J:J,MATCH($C255&amp;"_Therm Saved per Unit",Algorithms!$A:$A,0)),"n/a")</f>
        <v>5.3.11</v>
      </c>
      <c r="M255" s="263" t="str">
        <f>IFERROR(INDEX('Measure Level Detail'!$N:$N,MATCH($B255,'Measure Level Detail'!$B:$B,0)),0)</f>
        <v>each</v>
      </c>
      <c r="N255" s="271">
        <f>IFERROR(INDEX('Measure Level Detail'!$P:$P,MATCH($B255&amp;"_"&amp;N$3,'Measure Level Detail'!$C:$C,0)),0)</f>
        <v>4</v>
      </c>
      <c r="O255" s="271">
        <f>IFERROR(INDEX('Measure Level Detail'!$P:$P,MATCH($B255&amp;"_"&amp;O$3,'Measure Level Detail'!$C:$C,0)),0)</f>
        <v>4</v>
      </c>
      <c r="P255" s="271">
        <f>IFERROR(INDEX('Measure Level Detail'!$P:$P,MATCH($B255&amp;"_"&amp;P$3,'Measure Level Detail'!$C:$C,0)),0)</f>
        <v>4</v>
      </c>
      <c r="Q255" s="271">
        <f>IFERROR(INDEX('Measure Level Detail'!$P:$P,MATCH($B255&amp;"_"&amp;Q$3,'Measure Level Detail'!$C:$C,0)),0)</f>
        <v>4</v>
      </c>
      <c r="R255" s="263" t="str">
        <f ca="1">IFERROR(INDEX(Algorithms!K:K,MATCH($C255&amp;"_Therm Saved per Unit",Algorithms!$A:$A,0)),"n/a")</f>
        <v>RS-HVC-PROG-V08-220101</v>
      </c>
      <c r="S255" s="262"/>
      <c r="T255" s="272">
        <v>51.628640000000004</v>
      </c>
      <c r="U255" s="272">
        <v>51.628640000000004</v>
      </c>
      <c r="V255" s="272">
        <v>51.628640000000004</v>
      </c>
      <c r="W255" s="272">
        <v>51.628640000000004</v>
      </c>
      <c r="X255" s="275">
        <v>0.74</v>
      </c>
      <c r="Y255" s="275">
        <v>0.74</v>
      </c>
      <c r="Z255" s="275">
        <v>0.74</v>
      </c>
      <c r="AA255" s="275">
        <v>0.74</v>
      </c>
      <c r="AB255" s="266">
        <f t="shared" si="127"/>
        <v>152.8207744</v>
      </c>
      <c r="AC255" s="266">
        <f t="shared" si="128"/>
        <v>152.8207744</v>
      </c>
      <c r="AD255" s="266">
        <f t="shared" si="129"/>
        <v>152.8207744</v>
      </c>
      <c r="AE255" s="266">
        <f t="shared" si="130"/>
        <v>152.8207744</v>
      </c>
      <c r="AF255" s="266">
        <f t="shared" si="131"/>
        <v>611.28309760000002</v>
      </c>
      <c r="AG255" s="274">
        <v>0.74</v>
      </c>
      <c r="AH255" s="274">
        <v>0.74</v>
      </c>
      <c r="AI255" s="274">
        <v>0.74</v>
      </c>
      <c r="AJ255" s="274">
        <v>0.74</v>
      </c>
      <c r="AK255" s="274">
        <f t="shared" si="132"/>
        <v>0.74</v>
      </c>
      <c r="AL255" s="274">
        <f t="shared" si="133"/>
        <v>0.74</v>
      </c>
      <c r="AM255" s="274">
        <f t="shared" si="134"/>
        <v>0.74</v>
      </c>
      <c r="AN255" s="274">
        <f t="shared" si="135"/>
        <v>0.74</v>
      </c>
      <c r="AO255" s="262"/>
      <c r="AP255" s="262"/>
      <c r="AQ255" s="267">
        <v>51.628640000000004</v>
      </c>
      <c r="AR255" s="262"/>
      <c r="AS255" s="266">
        <f t="shared" si="136"/>
        <v>152.8207744</v>
      </c>
      <c r="AT255" s="264">
        <f t="shared" si="137"/>
        <v>0</v>
      </c>
      <c r="AU255" s="262"/>
      <c r="AV255" s="262"/>
      <c r="AW255" s="265">
        <v>51.628640000000004</v>
      </c>
      <c r="AX255" s="164" t="s">
        <v>1469</v>
      </c>
      <c r="AY255" s="266">
        <v>152.8207744</v>
      </c>
      <c r="AZ255" s="266">
        <f t="shared" si="138"/>
        <v>152.8207744</v>
      </c>
      <c r="BA255" s="264">
        <f t="shared" si="139"/>
        <v>0</v>
      </c>
      <c r="BB255" s="262"/>
      <c r="BC255" s="262"/>
      <c r="BD255" s="265">
        <f ca="1">IFERROR(INDEX(Algorithms!$G:$G,MATCH($C255&amp;"_Therm Saved per Unit",Algorithms!$A:$A,0)),0)</f>
        <v>51.628640000000004</v>
      </c>
      <c r="BE255" s="164" t="str">
        <f ca="1">IFERROR(INDEX('v12 Revisions'!$P$29:$P$186, MATCH('Measure-Level Adj Gas'!$L255, 'v12 Revisions'!$D$29:$D$186,0)),"")</f>
        <v/>
      </c>
      <c r="BF255" s="266">
        <f t="shared" ca="1" si="140"/>
        <v>152.8207744</v>
      </c>
      <c r="BG255" s="264">
        <f t="shared" ca="1" si="141"/>
        <v>0</v>
      </c>
      <c r="BH255" s="262"/>
      <c r="BI255" s="262"/>
      <c r="BJ255" s="265">
        <f ca="1">IFERROR(INDEX(Algorithms!$G:$G,MATCH($C255&amp;"_Therm Saved per Unit",Algorithms!$A:$A,0)),0)</f>
        <v>51.628640000000004</v>
      </c>
      <c r="BK255" s="164"/>
      <c r="BL255" s="266">
        <f t="shared" ca="1" si="142"/>
        <v>152.8207744</v>
      </c>
      <c r="BM255" s="264">
        <f t="shared" ca="1" si="143"/>
        <v>0</v>
      </c>
      <c r="BN255" s="266">
        <f t="shared" si="144"/>
        <v>152.8207744</v>
      </c>
      <c r="BO255" s="266">
        <f t="shared" si="145"/>
        <v>152.8207744</v>
      </c>
      <c r="BP255" s="266">
        <f t="shared" ca="1" si="146"/>
        <v>152.8207744</v>
      </c>
      <c r="BQ255" s="266">
        <f t="shared" ca="1" si="147"/>
        <v>152.8207744</v>
      </c>
      <c r="BR255" s="268">
        <f t="shared" ca="1" si="148"/>
        <v>611.28309760000002</v>
      </c>
      <c r="BS255" s="262" t="s">
        <v>99</v>
      </c>
      <c r="BT255" s="277"/>
      <c r="BW255" s="266">
        <f t="shared" si="149"/>
        <v>152.8207744</v>
      </c>
      <c r="BX255" s="266">
        <f t="shared" si="150"/>
        <v>152.8207744</v>
      </c>
      <c r="BY255" s="266">
        <f t="shared" si="151"/>
        <v>152.8207744</v>
      </c>
      <c r="BZ255" s="266">
        <f t="shared" si="152"/>
        <v>152.8207744</v>
      </c>
      <c r="CA255" s="266">
        <f ca="1">N255*IFERROR(INDEX(Algorithms!$G:$G,MATCH($C255&amp;"_Therm Saved per Unit- MLA",Algorithms!$A:$A,0)),0)*X255</f>
        <v>42.789816832000007</v>
      </c>
      <c r="CB255" s="266">
        <f ca="1">O255*IFERROR(INDEX(Algorithms!$G:$G,MATCH($C255&amp;"_Therm Saved per Unit- MLA",Algorithms!$A:$A,0)),0)*Y255</f>
        <v>42.789816832000007</v>
      </c>
      <c r="CC255" s="266">
        <f ca="1">P255*IFERROR(INDEX(Algorithms!$G:$G,MATCH($C255&amp;"_Therm Saved per Unit- MLA",Algorithms!$A:$A,0)),0)*Z255</f>
        <v>42.789816832000007</v>
      </c>
      <c r="CD255" s="266">
        <f ca="1">Q255*IFERROR(INDEX(Algorithms!$G:$G,MATCH($C255&amp;"_Therm Saved per Unit- MLA",Algorithms!$A:$A,0)),0)*AA255</f>
        <v>42.789816832000007</v>
      </c>
      <c r="CE255" s="266">
        <f ca="1">IFERROR(INDEX(Algorithms!$G:$G,MATCH($C255&amp;"_Lifetime (years)",Algorithms!$A:$A,0)),0)</f>
        <v>16</v>
      </c>
      <c r="CF255" s="266">
        <f ca="1">IFERROR(INDEX(Algorithms!$G:$G,MATCH($C255&amp;"_Lifetime (years) - Remaining Years",Algorithms!$A:$A,0)),0)</f>
        <v>5</v>
      </c>
      <c r="CG255" s="266">
        <f t="shared" ca="1" si="153"/>
        <v>1234.7918571520001</v>
      </c>
      <c r="CH255" s="266">
        <f t="shared" ca="1" si="154"/>
        <v>1234.7918571520001</v>
      </c>
      <c r="CI255" s="266">
        <f t="shared" ca="1" si="155"/>
        <v>1234.7918571520001</v>
      </c>
      <c r="CJ255" s="266">
        <f t="shared" ca="1" si="156"/>
        <v>1234.7918571520001</v>
      </c>
      <c r="CK255" s="266">
        <f t="shared" si="157"/>
        <v>152.8207744</v>
      </c>
      <c r="CL255" s="266">
        <f t="shared" si="158"/>
        <v>152.8207744</v>
      </c>
      <c r="CM255" s="266">
        <f t="shared" ca="1" si="159"/>
        <v>152.8207744</v>
      </c>
      <c r="CN255" s="266">
        <f t="shared" ca="1" si="160"/>
        <v>152.8207744</v>
      </c>
      <c r="CO255" s="266">
        <f ca="1">N255*IFERROR(INDEX(Algorithms!$G:$G,MATCH($C255&amp;"_Therm Saved per Unit- MLA",Algorithms!$A:$A,0)),0)*X255</f>
        <v>42.789816832000007</v>
      </c>
      <c r="CP255" s="266">
        <f ca="1">O255*IFERROR(INDEX(Algorithms!$G:$G,MATCH($C255&amp;"_Therm Saved per Unit- MLA",Algorithms!$A:$A,0)),0)*Y255</f>
        <v>42.789816832000007</v>
      </c>
      <c r="CQ255" s="266">
        <f ca="1">P255*IFERROR(INDEX(Algorithms!$G:$G,MATCH($C255&amp;"_Therm Saved per Unit- MLA",Algorithms!$A:$A,0)),0)*Z255</f>
        <v>42.789816832000007</v>
      </c>
      <c r="CR255" s="266">
        <f ca="1">Q255*IFERROR(INDEX(Algorithms!$G:$G,MATCH($C255&amp;"_Therm Saved per Unit- MLA",Algorithms!$A:$A,0)),0)*AA255</f>
        <v>42.789816832000007</v>
      </c>
      <c r="CS255" s="266">
        <f ca="1">IFERROR(INDEX(Algorithms!$G:$G,MATCH($C255&amp;"_Lifetime (years)",Algorithms!$A:$A,0)),0)</f>
        <v>16</v>
      </c>
      <c r="CT255" s="266">
        <f ca="1">IFERROR(INDEX(Algorithms!$G:$G,MATCH($C255&amp;"_Lifetime (years) - Remaining Years",Algorithms!$A:$A,0)),0)</f>
        <v>5</v>
      </c>
      <c r="CU255" s="266">
        <f t="shared" ca="1" si="161"/>
        <v>1234.7918571520001</v>
      </c>
      <c r="CV255" s="266">
        <f t="shared" ca="1" si="162"/>
        <v>1234.7918571520001</v>
      </c>
      <c r="CW255" s="266">
        <f t="shared" ca="1" si="163"/>
        <v>1234.7918571520001</v>
      </c>
      <c r="CX255" s="266">
        <f t="shared" ca="1" si="164"/>
        <v>1234.7918571520001</v>
      </c>
    </row>
    <row r="256" spans="2:102" s="47" customFormat="1" ht="18" customHeight="1" x14ac:dyDescent="0.25">
      <c r="B256" t="str">
        <f t="shared" si="165"/>
        <v>NSG_Business_Small/Mid-Size Business_Partner Trade Ally Rebate_Furnace_&gt;95% AFUE_CI</v>
      </c>
      <c r="C256" s="47" t="str">
        <f t="shared" si="126"/>
        <v>Furnace_&gt;95% AFUE_CI</v>
      </c>
      <c r="D256" s="270" t="s">
        <v>1787</v>
      </c>
      <c r="E256" s="270" t="s">
        <v>3</v>
      </c>
      <c r="F256" s="270" t="s">
        <v>1432</v>
      </c>
      <c r="G256" s="270" t="s">
        <v>1799</v>
      </c>
      <c r="H256" s="270" t="s">
        <v>490</v>
      </c>
      <c r="I256" s="270" t="s">
        <v>982</v>
      </c>
      <c r="J256" s="270" t="s">
        <v>1159</v>
      </c>
      <c r="K256" s="263">
        <v>1</v>
      </c>
      <c r="L256" s="263" t="str">
        <f ca="1">IFERROR(INDEX(Algorithms!J:J,MATCH($C256&amp;"_Therm Saved per Unit",Algorithms!$A:$A,0)),"n/a")</f>
        <v>4.4.11</v>
      </c>
      <c r="M256" s="263" t="str">
        <f>IFERROR(INDEX('Measure Level Detail'!$N:$N,MATCH($B256,'Measure Level Detail'!$B:$B,0)),0)</f>
        <v>each</v>
      </c>
      <c r="N256" s="271">
        <f>IFERROR(INDEX('Measure Level Detail'!$P:$P,MATCH($B256&amp;"_"&amp;N$3,'Measure Level Detail'!$C:$C,0)),0)</f>
        <v>4</v>
      </c>
      <c r="O256" s="271">
        <f>IFERROR(INDEX('Measure Level Detail'!$P:$P,MATCH($B256&amp;"_"&amp;O$3,'Measure Level Detail'!$C:$C,0)),0)</f>
        <v>3</v>
      </c>
      <c r="P256" s="271">
        <f>IFERROR(INDEX('Measure Level Detail'!$P:$P,MATCH($B256&amp;"_"&amp;P$3,'Measure Level Detail'!$C:$C,0)),0)</f>
        <v>3</v>
      </c>
      <c r="Q256" s="271">
        <f>IFERROR(INDEX('Measure Level Detail'!$P:$P,MATCH($B256&amp;"_"&amp;Q$3,'Measure Level Detail'!$C:$C,0)),0)</f>
        <v>3</v>
      </c>
      <c r="R256" s="263" t="str">
        <f ca="1">IFERROR(INDEX(Algorithms!K:K,MATCH($C256&amp;"_Therm Saved per Unit",Algorithms!$A:$A,0)),"n/a")</f>
        <v>CI-HVC-FRNC-V13-240101</v>
      </c>
      <c r="S256" s="262"/>
      <c r="T256" s="272">
        <v>247.08549999999985</v>
      </c>
      <c r="U256" s="272">
        <v>247.08549999999985</v>
      </c>
      <c r="V256" s="272">
        <v>247.08549999999985</v>
      </c>
      <c r="W256" s="272">
        <v>247.08549999999985</v>
      </c>
      <c r="X256" s="276">
        <v>0.93</v>
      </c>
      <c r="Y256" s="276">
        <v>0.93</v>
      </c>
      <c r="Z256" s="276">
        <v>0.93</v>
      </c>
      <c r="AA256" s="276">
        <v>0.93</v>
      </c>
      <c r="AB256" s="266">
        <f t="shared" si="127"/>
        <v>919.15805999999952</v>
      </c>
      <c r="AC256" s="266">
        <f t="shared" si="128"/>
        <v>689.36854499999959</v>
      </c>
      <c r="AD256" s="266">
        <f t="shared" si="129"/>
        <v>689.36854499999959</v>
      </c>
      <c r="AE256" s="266">
        <f t="shared" si="130"/>
        <v>689.36854499999959</v>
      </c>
      <c r="AF256" s="266">
        <f t="shared" si="131"/>
        <v>2987.2636949999978</v>
      </c>
      <c r="AG256" s="274">
        <v>0.93</v>
      </c>
      <c r="AH256" s="274">
        <v>0.93</v>
      </c>
      <c r="AI256" s="274">
        <v>0.93</v>
      </c>
      <c r="AJ256" s="274">
        <v>0.93</v>
      </c>
      <c r="AK256" s="274">
        <f t="shared" si="132"/>
        <v>0.93</v>
      </c>
      <c r="AL256" s="274">
        <f t="shared" si="133"/>
        <v>0.93</v>
      </c>
      <c r="AM256" s="274">
        <f t="shared" si="134"/>
        <v>0.93</v>
      </c>
      <c r="AN256" s="274">
        <f t="shared" si="135"/>
        <v>0.93</v>
      </c>
      <c r="AO256" s="262"/>
      <c r="AP256" s="262"/>
      <c r="AQ256" s="267">
        <v>247.08549999999985</v>
      </c>
      <c r="AR256" s="262"/>
      <c r="AS256" s="266">
        <f t="shared" si="136"/>
        <v>919.15805999999952</v>
      </c>
      <c r="AT256" s="264">
        <f t="shared" si="137"/>
        <v>0</v>
      </c>
      <c r="AU256" s="262"/>
      <c r="AV256" s="262"/>
      <c r="AW256" s="265">
        <v>247.08549999999985</v>
      </c>
      <c r="AX256" s="164" t="s">
        <v>1469</v>
      </c>
      <c r="AY256" s="266">
        <v>689.36854499999959</v>
      </c>
      <c r="AZ256" s="266">
        <f t="shared" si="138"/>
        <v>689.36854499999959</v>
      </c>
      <c r="BA256" s="264">
        <f t="shared" si="139"/>
        <v>0</v>
      </c>
      <c r="BB256" s="262"/>
      <c r="BC256" s="262"/>
      <c r="BD256" s="265">
        <f ca="1">IFERROR(INDEX(Algorithms!$G:$G,MATCH($C256&amp;"_Therm Saved per Unit",Algorithms!$A:$A,0)),0)</f>
        <v>228.29086419753071</v>
      </c>
      <c r="BE256" s="164" t="str">
        <f ca="1">IFERROR(INDEX('v12 Revisions'!$P$29:$P$186, MATCH('Measure-Level Adj Gas'!$L256, 'v12 Revisions'!$D$29:$D$186,0)),"")</f>
        <v>Updated baseline Furnace Annual Fuel Utilization Efficiency (AFUE) rating from 80% to 81%.</v>
      </c>
      <c r="BF256" s="266">
        <f t="shared" ca="1" si="140"/>
        <v>636.93151111111069</v>
      </c>
      <c r="BG256" s="264">
        <f t="shared" ca="1" si="141"/>
        <v>-52.437033888888891</v>
      </c>
      <c r="BH256" s="262"/>
      <c r="BI256" s="262"/>
      <c r="BJ256" s="265">
        <f ca="1">IFERROR(INDEX(Algorithms!$G:$G,MATCH($C256&amp;"_Therm Saved per Unit",Algorithms!$A:$A,0)),0)</f>
        <v>228.29086419753071</v>
      </c>
      <c r="BK256" s="164"/>
      <c r="BL256" s="266">
        <f t="shared" ca="1" si="142"/>
        <v>636.93151111111069</v>
      </c>
      <c r="BM256" s="264">
        <f t="shared" ca="1" si="143"/>
        <v>-52.437033888888891</v>
      </c>
      <c r="BN256" s="266">
        <f t="shared" si="144"/>
        <v>919.15805999999952</v>
      </c>
      <c r="BO256" s="266">
        <f t="shared" si="145"/>
        <v>689.36854499999959</v>
      </c>
      <c r="BP256" s="266">
        <f t="shared" ca="1" si="146"/>
        <v>636.93151111111069</v>
      </c>
      <c r="BQ256" s="266">
        <f t="shared" ca="1" si="147"/>
        <v>636.93151111111069</v>
      </c>
      <c r="BR256" s="268">
        <f t="shared" ca="1" si="148"/>
        <v>2882.389627222221</v>
      </c>
      <c r="BS256" s="262" t="s">
        <v>99</v>
      </c>
      <c r="BT256" s="277"/>
      <c r="BW256" s="266">
        <f t="shared" si="149"/>
        <v>919.15805999999952</v>
      </c>
      <c r="BX256" s="266">
        <f t="shared" si="150"/>
        <v>689.36854499999959</v>
      </c>
      <c r="BY256" s="266">
        <f t="shared" si="151"/>
        <v>689.36854499999959</v>
      </c>
      <c r="BZ256" s="266">
        <f t="shared" si="152"/>
        <v>689.36854499999959</v>
      </c>
      <c r="CA256" s="266">
        <f ca="1">N256*IFERROR(INDEX(Algorithms!$G:$G,MATCH($C256&amp;"_Therm Saved per Unit- MLA",Algorithms!$A:$A,0)),0)*X256</f>
        <v>0</v>
      </c>
      <c r="CB256" s="266">
        <f ca="1">O256*IFERROR(INDEX(Algorithms!$G:$G,MATCH($C256&amp;"_Therm Saved per Unit- MLA",Algorithms!$A:$A,0)),0)*Y256</f>
        <v>0</v>
      </c>
      <c r="CC256" s="266">
        <f ca="1">P256*IFERROR(INDEX(Algorithms!$G:$G,MATCH($C256&amp;"_Therm Saved per Unit- MLA",Algorithms!$A:$A,0)),0)*Z256</f>
        <v>0</v>
      </c>
      <c r="CD256" s="266">
        <f ca="1">Q256*IFERROR(INDEX(Algorithms!$G:$G,MATCH($C256&amp;"_Therm Saved per Unit- MLA",Algorithms!$A:$A,0)),0)*AA256</f>
        <v>0</v>
      </c>
      <c r="CE256" s="266">
        <f ca="1">IFERROR(INDEX(Algorithms!$G:$G,MATCH($C256&amp;"_Lifetime (years)",Algorithms!$A:$A,0)),0)</f>
        <v>16.5</v>
      </c>
      <c r="CF256" s="266">
        <f ca="1">IFERROR(INDEX(Algorithms!$G:$G,MATCH($C256&amp;"_Lifetime (years) - Remaining Years",Algorithms!$A:$A,0)),0)</f>
        <v>0</v>
      </c>
      <c r="CG256" s="266">
        <f t="shared" ca="1" si="153"/>
        <v>15166.107989999991</v>
      </c>
      <c r="CH256" s="266">
        <f t="shared" ca="1" si="154"/>
        <v>11374.580992499994</v>
      </c>
      <c r="CI256" s="266">
        <f t="shared" ca="1" si="155"/>
        <v>11374.580992499994</v>
      </c>
      <c r="CJ256" s="266">
        <f t="shared" ca="1" si="156"/>
        <v>11374.580992499994</v>
      </c>
      <c r="CK256" s="266">
        <f t="shared" si="157"/>
        <v>919.15805999999952</v>
      </c>
      <c r="CL256" s="266">
        <f t="shared" si="158"/>
        <v>689.36854499999959</v>
      </c>
      <c r="CM256" s="266">
        <f t="shared" ca="1" si="159"/>
        <v>636.93151111111069</v>
      </c>
      <c r="CN256" s="266">
        <f t="shared" ca="1" si="160"/>
        <v>636.93151111111069</v>
      </c>
      <c r="CO256" s="266">
        <f ca="1">N256*IFERROR(INDEX(Algorithms!$G:$G,MATCH($C256&amp;"_Therm Saved per Unit- MLA",Algorithms!$A:$A,0)),0)*X256</f>
        <v>0</v>
      </c>
      <c r="CP256" s="266">
        <f ca="1">O256*IFERROR(INDEX(Algorithms!$G:$G,MATCH($C256&amp;"_Therm Saved per Unit- MLA",Algorithms!$A:$A,0)),0)*Y256</f>
        <v>0</v>
      </c>
      <c r="CQ256" s="266">
        <f ca="1">P256*IFERROR(INDEX(Algorithms!$G:$G,MATCH($C256&amp;"_Therm Saved per Unit- MLA",Algorithms!$A:$A,0)),0)*Z256</f>
        <v>0</v>
      </c>
      <c r="CR256" s="266">
        <f ca="1">Q256*IFERROR(INDEX(Algorithms!$G:$G,MATCH($C256&amp;"_Therm Saved per Unit- MLA",Algorithms!$A:$A,0)),0)*AA256</f>
        <v>0</v>
      </c>
      <c r="CS256" s="266">
        <f ca="1">IFERROR(INDEX(Algorithms!$G:$G,MATCH($C256&amp;"_Lifetime (years)",Algorithms!$A:$A,0)),0)</f>
        <v>16.5</v>
      </c>
      <c r="CT256" s="266">
        <f ca="1">IFERROR(INDEX(Algorithms!$G:$G,MATCH($C256&amp;"_Lifetime (years) - Remaining Years",Algorithms!$A:$A,0)),0)</f>
        <v>0</v>
      </c>
      <c r="CU256" s="266">
        <f t="shared" ca="1" si="161"/>
        <v>15166.107989999991</v>
      </c>
      <c r="CV256" s="266">
        <f t="shared" ca="1" si="162"/>
        <v>11374.580992499994</v>
      </c>
      <c r="CW256" s="266">
        <f t="shared" ca="1" si="163"/>
        <v>10509.369933333326</v>
      </c>
      <c r="CX256" s="266">
        <f t="shared" ca="1" si="164"/>
        <v>10509.369933333326</v>
      </c>
    </row>
    <row r="257" spans="2:102" s="47" customFormat="1" ht="18" customHeight="1" x14ac:dyDescent="0.25">
      <c r="B257" t="str">
        <f t="shared" si="165"/>
        <v>NSG_Business_Commercial Food Service Program_Upstream Rebate_Double Rack Oven_0_CI</v>
      </c>
      <c r="C257" s="47" t="str">
        <f t="shared" si="126"/>
        <v>Double Rack Oven_0_CI</v>
      </c>
      <c r="D257" s="270" t="s">
        <v>1787</v>
      </c>
      <c r="E257" s="270" t="s">
        <v>3</v>
      </c>
      <c r="F257" s="270" t="s">
        <v>1444</v>
      </c>
      <c r="G257" s="270" t="s">
        <v>1445</v>
      </c>
      <c r="H257" s="270" t="s">
        <v>1210</v>
      </c>
      <c r="I257" s="270">
        <v>0</v>
      </c>
      <c r="J257" s="270" t="s">
        <v>1159</v>
      </c>
      <c r="K257" s="263">
        <v>1</v>
      </c>
      <c r="L257" s="263" t="str">
        <f ca="1">IFERROR(INDEX(Algorithms!J:J,MATCH($C257&amp;"_Therm Saved per Unit",Algorithms!$A:$A,0)),"n/a")</f>
        <v>4.2.18</v>
      </c>
      <c r="M257" s="263" t="str">
        <f>IFERROR(INDEX('Measure Level Detail'!$N:$N,MATCH($B257,'Measure Level Detail'!$B:$B,0)),0)</f>
        <v>each</v>
      </c>
      <c r="N257" s="271">
        <f>IFERROR(INDEX('Measure Level Detail'!$P:$P,MATCH($B257&amp;"_"&amp;N$3,'Measure Level Detail'!$C:$C,0)),0)</f>
        <v>3</v>
      </c>
      <c r="O257" s="271">
        <f>IFERROR(INDEX('Measure Level Detail'!$P:$P,MATCH($B257&amp;"_"&amp;O$3,'Measure Level Detail'!$C:$C,0)),0)</f>
        <v>4</v>
      </c>
      <c r="P257" s="271">
        <f>IFERROR(INDEX('Measure Level Detail'!$P:$P,MATCH($B257&amp;"_"&amp;P$3,'Measure Level Detail'!$C:$C,0)),0)</f>
        <v>5</v>
      </c>
      <c r="Q257" s="271">
        <f>IFERROR(INDEX('Measure Level Detail'!$P:$P,MATCH($B257&amp;"_"&amp;Q$3,'Measure Level Detail'!$C:$C,0)),0)</f>
        <v>7</v>
      </c>
      <c r="R257" s="263" t="str">
        <f ca="1">IFERROR(INDEX(Algorithms!K:K,MATCH($C257&amp;"_Therm Saved per Unit",Algorithms!$A:$A,0)),"n/a")</f>
        <v>CI-FSE-RKOV-V03-240101</v>
      </c>
      <c r="S257" s="262"/>
      <c r="T257" s="272">
        <v>1930.5000000000007</v>
      </c>
      <c r="U257" s="272">
        <v>1930.5000000000007</v>
      </c>
      <c r="V257" s="272">
        <v>1930.5000000000007</v>
      </c>
      <c r="W257" s="272">
        <v>1930.5000000000007</v>
      </c>
      <c r="X257" s="276">
        <v>0.8</v>
      </c>
      <c r="Y257" s="276">
        <v>0.8</v>
      </c>
      <c r="Z257" s="276">
        <v>0.8</v>
      </c>
      <c r="AA257" s="276">
        <v>0.8</v>
      </c>
      <c r="AB257" s="266">
        <f t="shared" si="127"/>
        <v>4633.2000000000016</v>
      </c>
      <c r="AC257" s="266">
        <f t="shared" si="128"/>
        <v>6177.6000000000022</v>
      </c>
      <c r="AD257" s="266">
        <f t="shared" si="129"/>
        <v>7722.0000000000036</v>
      </c>
      <c r="AE257" s="266">
        <f t="shared" si="130"/>
        <v>10810.800000000005</v>
      </c>
      <c r="AF257" s="266">
        <f t="shared" si="131"/>
        <v>29343.600000000013</v>
      </c>
      <c r="AG257" s="274">
        <v>0.8</v>
      </c>
      <c r="AH257" s="274">
        <v>0.8</v>
      </c>
      <c r="AI257" s="274">
        <v>0.8</v>
      </c>
      <c r="AJ257" s="274">
        <v>0.8</v>
      </c>
      <c r="AK257" s="274">
        <f t="shared" si="132"/>
        <v>0.8</v>
      </c>
      <c r="AL257" s="274">
        <f t="shared" si="133"/>
        <v>0.8</v>
      </c>
      <c r="AM257" s="274">
        <f t="shared" si="134"/>
        <v>0.8</v>
      </c>
      <c r="AN257" s="274">
        <f t="shared" si="135"/>
        <v>0.8</v>
      </c>
      <c r="AO257" s="262"/>
      <c r="AP257" s="262"/>
      <c r="AQ257" s="267">
        <v>1930.5000000000007</v>
      </c>
      <c r="AR257" s="262"/>
      <c r="AS257" s="266">
        <f t="shared" si="136"/>
        <v>4633.2000000000016</v>
      </c>
      <c r="AT257" s="264">
        <f t="shared" si="137"/>
        <v>0</v>
      </c>
      <c r="AU257" s="262"/>
      <c r="AV257" s="262"/>
      <c r="AW257" s="265">
        <v>1930.5000000000007</v>
      </c>
      <c r="AX257" s="164" t="s">
        <v>1469</v>
      </c>
      <c r="AY257" s="266">
        <v>6177.6000000000022</v>
      </c>
      <c r="AZ257" s="266">
        <f t="shared" si="138"/>
        <v>6177.6000000000022</v>
      </c>
      <c r="BA257" s="264">
        <f t="shared" si="139"/>
        <v>0</v>
      </c>
      <c r="BB257" s="262"/>
      <c r="BC257" s="262"/>
      <c r="BD257" s="265">
        <f ca="1">IFERROR(INDEX(Algorithms!$G:$G,MATCH($C257&amp;"_Therm Saved per Unit",Algorithms!$A:$A,0)),0)</f>
        <v>499.81893306587153</v>
      </c>
      <c r="BE257" s="164" t="str">
        <f ca="1">IFERROR(INDEX('v12 Revisions'!$P$29:$P$186, MATCH('Measure-Level Adj Gas'!$L257, 'v12 Revisions'!$D$29:$D$186,0)),"")</f>
        <v>Revised algorithm to accomodate additional inputs.</v>
      </c>
      <c r="BF257" s="266">
        <f t="shared" ca="1" si="140"/>
        <v>1999.2757322634861</v>
      </c>
      <c r="BG257" s="264">
        <f t="shared" ca="1" si="141"/>
        <v>-5722.7242677365175</v>
      </c>
      <c r="BH257" s="262"/>
      <c r="BI257" s="262"/>
      <c r="BJ257" s="265">
        <f ca="1">IFERROR(INDEX(Algorithms!$G:$G,MATCH($C257&amp;"_Therm Saved per Unit",Algorithms!$A:$A,0)),0)</f>
        <v>499.81893306587153</v>
      </c>
      <c r="BK257" s="164"/>
      <c r="BL257" s="266">
        <f t="shared" ca="1" si="142"/>
        <v>2798.9860251688806</v>
      </c>
      <c r="BM257" s="264">
        <f t="shared" ca="1" si="143"/>
        <v>-8011.8139748311241</v>
      </c>
      <c r="BN257" s="266">
        <f t="shared" si="144"/>
        <v>4633.2000000000016</v>
      </c>
      <c r="BO257" s="266">
        <f t="shared" si="145"/>
        <v>6177.6000000000022</v>
      </c>
      <c r="BP257" s="266">
        <f t="shared" ca="1" si="146"/>
        <v>1999.2757322634861</v>
      </c>
      <c r="BQ257" s="266">
        <f t="shared" ca="1" si="147"/>
        <v>2798.9860251688806</v>
      </c>
      <c r="BR257" s="268">
        <f t="shared" ca="1" si="148"/>
        <v>15609.06175743237</v>
      </c>
      <c r="BS257" s="262" t="s">
        <v>99</v>
      </c>
      <c r="BT257" s="277"/>
      <c r="BW257" s="266">
        <f t="shared" si="149"/>
        <v>4633.2000000000016</v>
      </c>
      <c r="BX257" s="266">
        <f t="shared" si="150"/>
        <v>6177.6000000000022</v>
      </c>
      <c r="BY257" s="266">
        <f t="shared" si="151"/>
        <v>7722.0000000000036</v>
      </c>
      <c r="BZ257" s="266">
        <f t="shared" si="152"/>
        <v>10810.800000000005</v>
      </c>
      <c r="CA257" s="266">
        <f ca="1">N257*IFERROR(INDEX(Algorithms!$G:$G,MATCH($C257&amp;"_Therm Saved per Unit- MLA",Algorithms!$A:$A,0)),0)*X257</f>
        <v>0</v>
      </c>
      <c r="CB257" s="266">
        <f ca="1">O257*IFERROR(INDEX(Algorithms!$G:$G,MATCH($C257&amp;"_Therm Saved per Unit- MLA",Algorithms!$A:$A,0)),0)*Y257</f>
        <v>0</v>
      </c>
      <c r="CC257" s="266">
        <f ca="1">P257*IFERROR(INDEX(Algorithms!$G:$G,MATCH($C257&amp;"_Therm Saved per Unit- MLA",Algorithms!$A:$A,0)),0)*Z257</f>
        <v>0</v>
      </c>
      <c r="CD257" s="266">
        <f ca="1">Q257*IFERROR(INDEX(Algorithms!$G:$G,MATCH($C257&amp;"_Therm Saved per Unit- MLA",Algorithms!$A:$A,0)),0)*AA257</f>
        <v>0</v>
      </c>
      <c r="CE257" s="266">
        <f ca="1">IFERROR(INDEX(Algorithms!$G:$G,MATCH($C257&amp;"_Lifetime (years)",Algorithms!$A:$A,0)),0)</f>
        <v>12</v>
      </c>
      <c r="CF257" s="266">
        <f ca="1">IFERROR(INDEX(Algorithms!$G:$G,MATCH($C257&amp;"_Lifetime (years) - Remaining Years",Algorithms!$A:$A,0)),0)</f>
        <v>0</v>
      </c>
      <c r="CG257" s="266">
        <f t="shared" ca="1" si="153"/>
        <v>55598.400000000023</v>
      </c>
      <c r="CH257" s="266">
        <f t="shared" ca="1" si="154"/>
        <v>74131.200000000026</v>
      </c>
      <c r="CI257" s="266">
        <f t="shared" ca="1" si="155"/>
        <v>92664.000000000044</v>
      </c>
      <c r="CJ257" s="266">
        <f t="shared" ca="1" si="156"/>
        <v>129729.60000000006</v>
      </c>
      <c r="CK257" s="266">
        <f t="shared" si="157"/>
        <v>4633.2000000000016</v>
      </c>
      <c r="CL257" s="266">
        <f t="shared" si="158"/>
        <v>6177.6000000000022</v>
      </c>
      <c r="CM257" s="266">
        <f t="shared" ca="1" si="159"/>
        <v>1999.2757322634861</v>
      </c>
      <c r="CN257" s="266">
        <f t="shared" ca="1" si="160"/>
        <v>2798.9860251688806</v>
      </c>
      <c r="CO257" s="266">
        <f ca="1">N257*IFERROR(INDEX(Algorithms!$G:$G,MATCH($C257&amp;"_Therm Saved per Unit- MLA",Algorithms!$A:$A,0)),0)*X257</f>
        <v>0</v>
      </c>
      <c r="CP257" s="266">
        <f ca="1">O257*IFERROR(INDEX(Algorithms!$G:$G,MATCH($C257&amp;"_Therm Saved per Unit- MLA",Algorithms!$A:$A,0)),0)*Y257</f>
        <v>0</v>
      </c>
      <c r="CQ257" s="266">
        <f ca="1">P257*IFERROR(INDEX(Algorithms!$G:$G,MATCH($C257&amp;"_Therm Saved per Unit- MLA",Algorithms!$A:$A,0)),0)*Z257</f>
        <v>0</v>
      </c>
      <c r="CR257" s="266">
        <f ca="1">Q257*IFERROR(INDEX(Algorithms!$G:$G,MATCH($C257&amp;"_Therm Saved per Unit- MLA",Algorithms!$A:$A,0)),0)*AA257</f>
        <v>0</v>
      </c>
      <c r="CS257" s="266">
        <f ca="1">IFERROR(INDEX(Algorithms!$G:$G,MATCH($C257&amp;"_Lifetime (years)",Algorithms!$A:$A,0)),0)</f>
        <v>12</v>
      </c>
      <c r="CT257" s="266">
        <f ca="1">IFERROR(INDEX(Algorithms!$G:$G,MATCH($C257&amp;"_Lifetime (years) - Remaining Years",Algorithms!$A:$A,0)),0)</f>
        <v>0</v>
      </c>
      <c r="CU257" s="266">
        <f t="shared" ca="1" si="161"/>
        <v>55598.400000000023</v>
      </c>
      <c r="CV257" s="266">
        <f t="shared" ca="1" si="162"/>
        <v>74131.200000000026</v>
      </c>
      <c r="CW257" s="266">
        <f t="shared" ca="1" si="163"/>
        <v>23991.308787161834</v>
      </c>
      <c r="CX257" s="266">
        <f t="shared" ca="1" si="164"/>
        <v>33587.832302026567</v>
      </c>
    </row>
    <row r="258" spans="2:102" s="47" customFormat="1" ht="18" customHeight="1" x14ac:dyDescent="0.25">
      <c r="B258" t="str">
        <f t="shared" si="165"/>
        <v>NSG_Business_Commercial Food Service Program_Upstream Rebate_Energy Star Convection Oven_0_MF/CI/SMB</v>
      </c>
      <c r="C258" s="47" t="str">
        <f t="shared" si="126"/>
        <v>Energy Star Convection Oven_0_MF/CI/SMB</v>
      </c>
      <c r="D258" s="270" t="s">
        <v>1787</v>
      </c>
      <c r="E258" s="270" t="s">
        <v>3</v>
      </c>
      <c r="F258" s="270" t="s">
        <v>1444</v>
      </c>
      <c r="G258" s="270" t="s">
        <v>1445</v>
      </c>
      <c r="H258" s="270" t="s">
        <v>1168</v>
      </c>
      <c r="I258" s="270">
        <v>0</v>
      </c>
      <c r="J258" s="270" t="s">
        <v>662</v>
      </c>
      <c r="K258" s="263">
        <v>1</v>
      </c>
      <c r="L258" s="263" t="str">
        <f ca="1">IFERROR(INDEX(Algorithms!J:J,MATCH($C258&amp;"_Therm Saved per Unit",Algorithms!$A:$A,0)),"n/a")</f>
        <v>4.2.5</v>
      </c>
      <c r="M258" s="263" t="str">
        <f>IFERROR(INDEX('Measure Level Detail'!$N:$N,MATCH($B258,'Measure Level Detail'!$B:$B,0)),0)</f>
        <v>each</v>
      </c>
      <c r="N258" s="271">
        <f>IFERROR(INDEX('Measure Level Detail'!$P:$P,MATCH($B258&amp;"_"&amp;N$3,'Measure Level Detail'!$C:$C,0)),0)</f>
        <v>3</v>
      </c>
      <c r="O258" s="271">
        <f>IFERROR(INDEX('Measure Level Detail'!$P:$P,MATCH($B258&amp;"_"&amp;O$3,'Measure Level Detail'!$C:$C,0)),0)</f>
        <v>4</v>
      </c>
      <c r="P258" s="271">
        <f>IFERROR(INDEX('Measure Level Detail'!$P:$P,MATCH($B258&amp;"_"&amp;P$3,'Measure Level Detail'!$C:$C,0)),0)</f>
        <v>5</v>
      </c>
      <c r="Q258" s="271">
        <f>IFERROR(INDEX('Measure Level Detail'!$P:$P,MATCH($B258&amp;"_"&amp;Q$3,'Measure Level Detail'!$C:$C,0)),0)</f>
        <v>7</v>
      </c>
      <c r="R258" s="263" t="str">
        <f ca="1">IFERROR(INDEX(Algorithms!K:K,MATCH($C258&amp;"_Therm Saved per Unit",Algorithms!$A:$A,0)),"n/a")</f>
        <v>CI-FSE-ESCV-V05-240101</v>
      </c>
      <c r="S258" s="262"/>
      <c r="T258" s="272">
        <v>352.04806521739141</v>
      </c>
      <c r="U258" s="272">
        <v>352.04806521739141</v>
      </c>
      <c r="V258" s="272">
        <v>352.04806521739141</v>
      </c>
      <c r="W258" s="272">
        <v>352.04806521739141</v>
      </c>
      <c r="X258" s="276">
        <v>0.8</v>
      </c>
      <c r="Y258" s="276">
        <v>0.8</v>
      </c>
      <c r="Z258" s="276">
        <v>0.8</v>
      </c>
      <c r="AA258" s="276">
        <v>0.8</v>
      </c>
      <c r="AB258" s="266">
        <f t="shared" si="127"/>
        <v>844.91535652173934</v>
      </c>
      <c r="AC258" s="266">
        <f t="shared" si="128"/>
        <v>1126.5538086956526</v>
      </c>
      <c r="AD258" s="266">
        <f t="shared" si="129"/>
        <v>1408.1922608695659</v>
      </c>
      <c r="AE258" s="266">
        <f t="shared" si="130"/>
        <v>1971.4691652173919</v>
      </c>
      <c r="AF258" s="266">
        <f t="shared" si="131"/>
        <v>5351.1305913043498</v>
      </c>
      <c r="AG258" s="274">
        <v>0.8</v>
      </c>
      <c r="AH258" s="274">
        <v>0.8</v>
      </c>
      <c r="AI258" s="274">
        <v>0.8</v>
      </c>
      <c r="AJ258" s="274">
        <v>0.8</v>
      </c>
      <c r="AK258" s="274">
        <f t="shared" si="132"/>
        <v>0.8</v>
      </c>
      <c r="AL258" s="274">
        <f t="shared" si="133"/>
        <v>0.8</v>
      </c>
      <c r="AM258" s="274">
        <f t="shared" si="134"/>
        <v>0.8</v>
      </c>
      <c r="AN258" s="274">
        <f t="shared" si="135"/>
        <v>0.8</v>
      </c>
      <c r="AO258" s="262"/>
      <c r="AP258" s="262"/>
      <c r="AQ258" s="267">
        <v>352.04806521739141</v>
      </c>
      <c r="AR258" s="262"/>
      <c r="AS258" s="266">
        <f t="shared" si="136"/>
        <v>844.91535652173934</v>
      </c>
      <c r="AT258" s="264">
        <f t="shared" si="137"/>
        <v>0</v>
      </c>
      <c r="AU258" s="262"/>
      <c r="AV258" s="262"/>
      <c r="AW258" s="265">
        <v>209.34778435515548</v>
      </c>
      <c r="AX258" s="164" t="s">
        <v>2399</v>
      </c>
      <c r="AY258" s="266">
        <v>1126.5538086956526</v>
      </c>
      <c r="AZ258" s="266">
        <f t="shared" si="138"/>
        <v>669.91290993649761</v>
      </c>
      <c r="BA258" s="264">
        <f t="shared" si="139"/>
        <v>-456.64089875915499</v>
      </c>
      <c r="BB258" s="262"/>
      <c r="BC258" s="262"/>
      <c r="BD258" s="265">
        <f ca="1">IFERROR(INDEX(Algorithms!$G:$G,MATCH($C258&amp;"_Therm Saved per Unit",Algorithms!$A:$A,0)),0)</f>
        <v>209.34778435515548</v>
      </c>
      <c r="BE258" s="164" t="str">
        <f ca="1">IFERROR(INDEX('v12 Revisions'!$P$29:$P$186, MATCH('Measure-Level Adj Gas'!$L258, 'v12 Revisions'!$D$29:$D$186,0)),"")</f>
        <v>Addition of preheat energy savings in algorithm.</v>
      </c>
      <c r="BF258" s="266">
        <f t="shared" ca="1" si="140"/>
        <v>837.39113742062204</v>
      </c>
      <c r="BG258" s="264">
        <f t="shared" ca="1" si="141"/>
        <v>-570.80112344894383</v>
      </c>
      <c r="BH258" s="262"/>
      <c r="BI258" s="262"/>
      <c r="BJ258" s="265">
        <f ca="1">IFERROR(INDEX(Algorithms!$G:$G,MATCH($C258&amp;"_Therm Saved per Unit",Algorithms!$A:$A,0)),0)</f>
        <v>209.34778435515548</v>
      </c>
      <c r="BK258" s="164"/>
      <c r="BL258" s="266">
        <f t="shared" ca="1" si="142"/>
        <v>1172.3475923888707</v>
      </c>
      <c r="BM258" s="264">
        <f t="shared" ca="1" si="143"/>
        <v>-799.12157282852127</v>
      </c>
      <c r="BN258" s="266">
        <f t="shared" si="144"/>
        <v>844.91535652173934</v>
      </c>
      <c r="BO258" s="266">
        <f t="shared" si="145"/>
        <v>669.91290993649761</v>
      </c>
      <c r="BP258" s="266">
        <f t="shared" ca="1" si="146"/>
        <v>837.39113742062204</v>
      </c>
      <c r="BQ258" s="266">
        <f t="shared" ca="1" si="147"/>
        <v>1172.3475923888707</v>
      </c>
      <c r="BR258" s="268">
        <f t="shared" ca="1" si="148"/>
        <v>3524.5669962677302</v>
      </c>
      <c r="BS258" s="262" t="s">
        <v>99</v>
      </c>
      <c r="BT258" s="277"/>
      <c r="BW258" s="266">
        <f t="shared" si="149"/>
        <v>844.91535652173934</v>
      </c>
      <c r="BX258" s="266">
        <f t="shared" si="150"/>
        <v>1126.5538086956526</v>
      </c>
      <c r="BY258" s="266">
        <f t="shared" si="151"/>
        <v>1408.1922608695659</v>
      </c>
      <c r="BZ258" s="266">
        <f t="shared" si="152"/>
        <v>1971.4691652173919</v>
      </c>
      <c r="CA258" s="266">
        <f ca="1">N258*IFERROR(INDEX(Algorithms!$G:$G,MATCH($C258&amp;"_Therm Saved per Unit- MLA",Algorithms!$A:$A,0)),0)*X258</f>
        <v>0</v>
      </c>
      <c r="CB258" s="266">
        <f ca="1">O258*IFERROR(INDEX(Algorithms!$G:$G,MATCH($C258&amp;"_Therm Saved per Unit- MLA",Algorithms!$A:$A,0)),0)*Y258</f>
        <v>0</v>
      </c>
      <c r="CC258" s="266">
        <f ca="1">P258*IFERROR(INDEX(Algorithms!$G:$G,MATCH($C258&amp;"_Therm Saved per Unit- MLA",Algorithms!$A:$A,0)),0)*Z258</f>
        <v>0</v>
      </c>
      <c r="CD258" s="266">
        <f ca="1">Q258*IFERROR(INDEX(Algorithms!$G:$G,MATCH($C258&amp;"_Therm Saved per Unit- MLA",Algorithms!$A:$A,0)),0)*AA258</f>
        <v>0</v>
      </c>
      <c r="CE258" s="266">
        <f ca="1">IFERROR(INDEX(Algorithms!$G:$G,MATCH($C258&amp;"_Lifetime (years)",Algorithms!$A:$A,0)),0)</f>
        <v>12</v>
      </c>
      <c r="CF258" s="266">
        <f ca="1">IFERROR(INDEX(Algorithms!$G:$G,MATCH($C258&amp;"_Lifetime (years) - Remaining Years",Algorithms!$A:$A,0)),0)</f>
        <v>0</v>
      </c>
      <c r="CG258" s="266">
        <f t="shared" ca="1" si="153"/>
        <v>10138.984278260872</v>
      </c>
      <c r="CH258" s="266">
        <f t="shared" ca="1" si="154"/>
        <v>13518.645704347831</v>
      </c>
      <c r="CI258" s="266">
        <f t="shared" ca="1" si="155"/>
        <v>16898.30713043479</v>
      </c>
      <c r="CJ258" s="266">
        <f t="shared" ca="1" si="156"/>
        <v>23657.629982608705</v>
      </c>
      <c r="CK258" s="266">
        <f t="shared" si="157"/>
        <v>844.91535652173934</v>
      </c>
      <c r="CL258" s="266">
        <f t="shared" si="158"/>
        <v>669.91290993649761</v>
      </c>
      <c r="CM258" s="266">
        <f t="shared" ca="1" si="159"/>
        <v>837.39113742062204</v>
      </c>
      <c r="CN258" s="266">
        <f t="shared" ca="1" si="160"/>
        <v>1172.3475923888707</v>
      </c>
      <c r="CO258" s="266">
        <f ca="1">N258*IFERROR(INDEX(Algorithms!$G:$G,MATCH($C258&amp;"_Therm Saved per Unit- MLA",Algorithms!$A:$A,0)),0)*X258</f>
        <v>0</v>
      </c>
      <c r="CP258" s="266">
        <f ca="1">O258*IFERROR(INDEX(Algorithms!$G:$G,MATCH($C258&amp;"_Therm Saved per Unit- MLA",Algorithms!$A:$A,0)),0)*Y258</f>
        <v>0</v>
      </c>
      <c r="CQ258" s="266">
        <f ca="1">P258*IFERROR(INDEX(Algorithms!$G:$G,MATCH($C258&amp;"_Therm Saved per Unit- MLA",Algorithms!$A:$A,0)),0)*Z258</f>
        <v>0</v>
      </c>
      <c r="CR258" s="266">
        <f ca="1">Q258*IFERROR(INDEX(Algorithms!$G:$G,MATCH($C258&amp;"_Therm Saved per Unit- MLA",Algorithms!$A:$A,0)),0)*AA258</f>
        <v>0</v>
      </c>
      <c r="CS258" s="266">
        <f ca="1">IFERROR(INDEX(Algorithms!$G:$G,MATCH($C258&amp;"_Lifetime (years)",Algorithms!$A:$A,0)),0)</f>
        <v>12</v>
      </c>
      <c r="CT258" s="266">
        <f ca="1">IFERROR(INDEX(Algorithms!$G:$G,MATCH($C258&amp;"_Lifetime (years) - Remaining Years",Algorithms!$A:$A,0)),0)</f>
        <v>0</v>
      </c>
      <c r="CU258" s="266">
        <f t="shared" ca="1" si="161"/>
        <v>10138.984278260872</v>
      </c>
      <c r="CV258" s="266">
        <f t="shared" ca="1" si="162"/>
        <v>8038.9549192379709</v>
      </c>
      <c r="CW258" s="266">
        <f t="shared" ca="1" si="163"/>
        <v>10048.693649047465</v>
      </c>
      <c r="CX258" s="266">
        <f t="shared" ca="1" si="164"/>
        <v>14068.171108666447</v>
      </c>
    </row>
    <row r="259" spans="2:102" s="47" customFormat="1" ht="18" customHeight="1" x14ac:dyDescent="0.25">
      <c r="B259" t="str">
        <f t="shared" si="165"/>
        <v>NSG_Income Eligible_Home Energy Jumpstart_Core_Thermostat - Reprogram_Boiler (DI)_SF</v>
      </c>
      <c r="C259" s="47" t="str">
        <f t="shared" si="126"/>
        <v>Thermostat - Reprogram_Boiler (DI)_SF</v>
      </c>
      <c r="D259" s="270" t="s">
        <v>1787</v>
      </c>
      <c r="E259" s="270" t="s">
        <v>325</v>
      </c>
      <c r="F259" s="270" t="s">
        <v>1414</v>
      </c>
      <c r="G259" s="270" t="s">
        <v>1415</v>
      </c>
      <c r="H259" s="270" t="s">
        <v>1055</v>
      </c>
      <c r="I259" s="270" t="s">
        <v>1045</v>
      </c>
      <c r="J259" s="270" t="s">
        <v>409</v>
      </c>
      <c r="K259" s="263">
        <v>1</v>
      </c>
      <c r="L259" s="263" t="str">
        <f ca="1">IFERROR(INDEX(Algorithms!J:J,MATCH($C259&amp;"_Therm Saved per Unit",Algorithms!$A:$A,0)),"n/a")</f>
        <v>5.3.11</v>
      </c>
      <c r="M259" s="263" t="str">
        <f>IFERROR(INDEX('Measure Level Detail'!$N:$N,MATCH($B259,'Measure Level Detail'!$B:$B,0)),0)</f>
        <v>Each</v>
      </c>
      <c r="N259" s="271">
        <f>IFERROR(INDEX('Measure Level Detail'!$P:$P,MATCH($B259&amp;"_"&amp;N$3,'Measure Level Detail'!$C:$C,0)),0)</f>
        <v>3</v>
      </c>
      <c r="O259" s="271">
        <f>IFERROR(INDEX('Measure Level Detail'!$P:$P,MATCH($B259&amp;"_"&amp;O$3,'Measure Level Detail'!$C:$C,0)),0)</f>
        <v>7</v>
      </c>
      <c r="P259" s="271">
        <f>IFERROR(INDEX('Measure Level Detail'!$P:$P,MATCH($B259&amp;"_"&amp;P$3,'Measure Level Detail'!$C:$C,0)),0)</f>
        <v>15</v>
      </c>
      <c r="Q259" s="271">
        <f>IFERROR(INDEX('Measure Level Detail'!$P:$P,MATCH($B259&amp;"_"&amp;Q$3,'Measure Level Detail'!$C:$C,0)),0)</f>
        <v>18</v>
      </c>
      <c r="R259" s="263" t="str">
        <f ca="1">IFERROR(INDEX(Algorithms!K:K,MATCH($C259&amp;"_Therm Saved per Unit",Algorithms!$A:$A,0)),"n/a")</f>
        <v>RS-HVC-PROG-V08-220101</v>
      </c>
      <c r="S259" s="262"/>
      <c r="T259" s="272">
        <v>92.194000000000003</v>
      </c>
      <c r="U259" s="272">
        <v>92.194000000000003</v>
      </c>
      <c r="V259" s="272">
        <v>92.194000000000003</v>
      </c>
      <c r="W259" s="272">
        <v>92.194000000000003</v>
      </c>
      <c r="X259" s="273">
        <f>IFERROR(INDEX('Measure Level Detail'!$R:$R,MATCH($B259&amp;"_"&amp;X$3,'Measure Level Detail'!$C:$C,0)),0)</f>
        <v>1</v>
      </c>
      <c r="Y259" s="273">
        <f>IFERROR(INDEX('Measure Level Detail'!$R:$R,MATCH($B259&amp;"_"&amp;Y$3,'Measure Level Detail'!$C:$C,0)),0)</f>
        <v>1</v>
      </c>
      <c r="Z259" s="273">
        <f>IFERROR(INDEX('Measure Level Detail'!$R:$R,MATCH($B259&amp;"_"&amp;Z$3,'Measure Level Detail'!$C:$C,0)),0)</f>
        <v>1</v>
      </c>
      <c r="AA259" s="273">
        <f>IFERROR(INDEX('Measure Level Detail'!$R:$R,MATCH($B259&amp;"_"&amp;AA$3,'Measure Level Detail'!$C:$C,0)),0)</f>
        <v>1</v>
      </c>
      <c r="AB259" s="266">
        <f t="shared" si="127"/>
        <v>276.58199999999999</v>
      </c>
      <c r="AC259" s="266">
        <f t="shared" si="128"/>
        <v>645.35800000000006</v>
      </c>
      <c r="AD259" s="266">
        <f t="shared" si="129"/>
        <v>1382.91</v>
      </c>
      <c r="AE259" s="266">
        <f t="shared" si="130"/>
        <v>1659.492</v>
      </c>
      <c r="AF259" s="266">
        <f t="shared" si="131"/>
        <v>3964.3420000000006</v>
      </c>
      <c r="AG259" s="274">
        <v>1</v>
      </c>
      <c r="AH259" s="274">
        <v>1</v>
      </c>
      <c r="AI259" s="274">
        <v>1</v>
      </c>
      <c r="AJ259" s="274">
        <v>1</v>
      </c>
      <c r="AK259" s="274">
        <f t="shared" si="132"/>
        <v>1</v>
      </c>
      <c r="AL259" s="274">
        <f t="shared" si="133"/>
        <v>1</v>
      </c>
      <c r="AM259" s="274">
        <f t="shared" si="134"/>
        <v>1</v>
      </c>
      <c r="AN259" s="274">
        <f t="shared" si="135"/>
        <v>1</v>
      </c>
      <c r="AO259" s="262"/>
      <c r="AP259" s="262"/>
      <c r="AQ259" s="267">
        <v>92.194000000000003</v>
      </c>
      <c r="AR259" s="262"/>
      <c r="AS259" s="266">
        <f t="shared" si="136"/>
        <v>276.58199999999999</v>
      </c>
      <c r="AT259" s="264">
        <f t="shared" si="137"/>
        <v>0</v>
      </c>
      <c r="AU259" s="262"/>
      <c r="AV259" s="262"/>
      <c r="AW259" s="265">
        <v>92.194000000000003</v>
      </c>
      <c r="AX259" s="164" t="s">
        <v>1469</v>
      </c>
      <c r="AY259" s="266">
        <v>645.35800000000006</v>
      </c>
      <c r="AZ259" s="266">
        <f t="shared" si="138"/>
        <v>645.35800000000006</v>
      </c>
      <c r="BA259" s="264">
        <f t="shared" si="139"/>
        <v>0</v>
      </c>
      <c r="BB259" s="262"/>
      <c r="BC259" s="262"/>
      <c r="BD259" s="265">
        <f ca="1">IFERROR(INDEX(Algorithms!$G:$G,MATCH($C259&amp;"_Therm Saved per Unit",Algorithms!$A:$A,0)),0)</f>
        <v>92.194000000000003</v>
      </c>
      <c r="BE259" s="164" t="str">
        <f ca="1">IFERROR(INDEX('v12 Revisions'!$P$29:$P$186, MATCH('Measure-Level Adj Gas'!$L259, 'v12 Revisions'!$D$29:$D$186,0)),"")</f>
        <v/>
      </c>
      <c r="BF259" s="266">
        <f t="shared" ca="1" si="140"/>
        <v>1382.91</v>
      </c>
      <c r="BG259" s="264">
        <f t="shared" ca="1" si="141"/>
        <v>0</v>
      </c>
      <c r="BH259" s="262"/>
      <c r="BI259" s="262"/>
      <c r="BJ259" s="265">
        <f ca="1">IFERROR(INDEX(Algorithms!$G:$G,MATCH($C259&amp;"_Therm Saved per Unit",Algorithms!$A:$A,0)),0)</f>
        <v>92.194000000000003</v>
      </c>
      <c r="BK259" s="164"/>
      <c r="BL259" s="266">
        <f t="shared" ca="1" si="142"/>
        <v>1659.492</v>
      </c>
      <c r="BM259" s="264">
        <f t="shared" ca="1" si="143"/>
        <v>0</v>
      </c>
      <c r="BN259" s="266">
        <f t="shared" si="144"/>
        <v>276.58199999999999</v>
      </c>
      <c r="BO259" s="266">
        <f t="shared" si="145"/>
        <v>645.35800000000006</v>
      </c>
      <c r="BP259" s="266">
        <f t="shared" ca="1" si="146"/>
        <v>1382.91</v>
      </c>
      <c r="BQ259" s="266">
        <f t="shared" ca="1" si="147"/>
        <v>1659.492</v>
      </c>
      <c r="BR259" s="268">
        <f t="shared" ca="1" si="148"/>
        <v>3964.3420000000006</v>
      </c>
      <c r="BS259" s="262" t="s">
        <v>99</v>
      </c>
      <c r="BT259" s="277"/>
      <c r="BW259" s="266">
        <f t="shared" si="149"/>
        <v>276.58199999999999</v>
      </c>
      <c r="BX259" s="266">
        <f t="shared" si="150"/>
        <v>645.35800000000006</v>
      </c>
      <c r="BY259" s="266">
        <f t="shared" si="151"/>
        <v>1382.91</v>
      </c>
      <c r="BZ259" s="266">
        <f t="shared" si="152"/>
        <v>1659.492</v>
      </c>
      <c r="CA259" s="266">
        <f ca="1">N259*IFERROR(INDEX(Algorithms!$G:$G,MATCH($C259&amp;"_Therm Saved per Unit- MLA",Algorithms!$A:$A,0)),0)*X259</f>
        <v>0</v>
      </c>
      <c r="CB259" s="266">
        <f ca="1">O259*IFERROR(INDEX(Algorithms!$G:$G,MATCH($C259&amp;"_Therm Saved per Unit- MLA",Algorithms!$A:$A,0)),0)*Y259</f>
        <v>0</v>
      </c>
      <c r="CC259" s="266">
        <f ca="1">P259*IFERROR(INDEX(Algorithms!$G:$G,MATCH($C259&amp;"_Therm Saved per Unit- MLA",Algorithms!$A:$A,0)),0)*Z259</f>
        <v>0</v>
      </c>
      <c r="CD259" s="266">
        <f ca="1">Q259*IFERROR(INDEX(Algorithms!$G:$G,MATCH($C259&amp;"_Therm Saved per Unit- MLA",Algorithms!$A:$A,0)),0)*AA259</f>
        <v>0</v>
      </c>
      <c r="CE259" s="266">
        <f ca="1">IFERROR(INDEX(Algorithms!$G:$G,MATCH($C259&amp;"_Lifetime (years)",Algorithms!$A:$A,0)),0)</f>
        <v>2</v>
      </c>
      <c r="CF259" s="266">
        <f ca="1">IFERROR(INDEX(Algorithms!$G:$G,MATCH($C259&amp;"_Lifetime (years) - Remaining Years",Algorithms!$A:$A,0)),0)</f>
        <v>0</v>
      </c>
      <c r="CG259" s="266">
        <f t="shared" ca="1" si="153"/>
        <v>553.16399999999999</v>
      </c>
      <c r="CH259" s="266">
        <f t="shared" ca="1" si="154"/>
        <v>1290.7160000000001</v>
      </c>
      <c r="CI259" s="266">
        <f t="shared" ca="1" si="155"/>
        <v>2765.82</v>
      </c>
      <c r="CJ259" s="266">
        <f t="shared" ca="1" si="156"/>
        <v>3318.9839999999999</v>
      </c>
      <c r="CK259" s="266">
        <f t="shared" si="157"/>
        <v>276.58199999999999</v>
      </c>
      <c r="CL259" s="266">
        <f t="shared" si="158"/>
        <v>645.35800000000006</v>
      </c>
      <c r="CM259" s="266">
        <f t="shared" ca="1" si="159"/>
        <v>1382.91</v>
      </c>
      <c r="CN259" s="266">
        <f t="shared" ca="1" si="160"/>
        <v>1659.492</v>
      </c>
      <c r="CO259" s="266">
        <f ca="1">N259*IFERROR(INDEX(Algorithms!$G:$G,MATCH($C259&amp;"_Therm Saved per Unit- MLA",Algorithms!$A:$A,0)),0)*X259</f>
        <v>0</v>
      </c>
      <c r="CP259" s="266">
        <f ca="1">O259*IFERROR(INDEX(Algorithms!$G:$G,MATCH($C259&amp;"_Therm Saved per Unit- MLA",Algorithms!$A:$A,0)),0)*Y259</f>
        <v>0</v>
      </c>
      <c r="CQ259" s="266">
        <f ca="1">P259*IFERROR(INDEX(Algorithms!$G:$G,MATCH($C259&amp;"_Therm Saved per Unit- MLA",Algorithms!$A:$A,0)),0)*Z259</f>
        <v>0</v>
      </c>
      <c r="CR259" s="266">
        <f ca="1">Q259*IFERROR(INDEX(Algorithms!$G:$G,MATCH($C259&amp;"_Therm Saved per Unit- MLA",Algorithms!$A:$A,0)),0)*AA259</f>
        <v>0</v>
      </c>
      <c r="CS259" s="266">
        <f ca="1">IFERROR(INDEX(Algorithms!$G:$G,MATCH($C259&amp;"_Lifetime (years)",Algorithms!$A:$A,0)),0)</f>
        <v>2</v>
      </c>
      <c r="CT259" s="266">
        <f ca="1">IFERROR(INDEX(Algorithms!$G:$G,MATCH($C259&amp;"_Lifetime (years) - Remaining Years",Algorithms!$A:$A,0)),0)</f>
        <v>0</v>
      </c>
      <c r="CU259" s="266">
        <f t="shared" ca="1" si="161"/>
        <v>553.16399999999999</v>
      </c>
      <c r="CV259" s="266">
        <f t="shared" ca="1" si="162"/>
        <v>1290.7160000000001</v>
      </c>
      <c r="CW259" s="266">
        <f t="shared" ca="1" si="163"/>
        <v>2765.82</v>
      </c>
      <c r="CX259" s="266">
        <f t="shared" ca="1" si="164"/>
        <v>3318.9839999999999</v>
      </c>
    </row>
    <row r="260" spans="2:102" s="47" customFormat="1" ht="18" customHeight="1" x14ac:dyDescent="0.25">
      <c r="B260" t="str">
        <f t="shared" si="165"/>
        <v>NSG_Residential_Multi-Family_Standard Rebate_Steam Traps_HVAC Repair/Rep - Audit_MF</v>
      </c>
      <c r="C260" s="47" t="str">
        <f t="shared" si="126"/>
        <v>Steam Traps_HVAC Repair/Rep - Audit_MF</v>
      </c>
      <c r="D260" s="270" t="s">
        <v>1787</v>
      </c>
      <c r="E260" s="270" t="s">
        <v>2</v>
      </c>
      <c r="F260" s="270" t="s">
        <v>1422</v>
      </c>
      <c r="G260" s="270" t="s">
        <v>1418</v>
      </c>
      <c r="H260" s="270" t="s">
        <v>644</v>
      </c>
      <c r="I260" s="270" t="s">
        <v>645</v>
      </c>
      <c r="J260" s="270" t="s">
        <v>553</v>
      </c>
      <c r="K260" s="263">
        <v>1</v>
      </c>
      <c r="L260" s="263" t="str">
        <f ca="1">IFERROR(INDEX(Algorithms!J:J,MATCH($C260&amp;"_Therm Saved per Unit",Algorithms!$A:$A,0)),"n/a")</f>
        <v>4.4.16</v>
      </c>
      <c r="M260" s="263" t="str">
        <f>IFERROR(INDEX('Measure Level Detail'!$N:$N,MATCH($B260,'Measure Level Detail'!$B:$B,0)),0)</f>
        <v>each</v>
      </c>
      <c r="N260" s="271">
        <f>IFERROR(INDEX('Measure Level Detail'!$P:$P,MATCH($B260&amp;"_"&amp;N$3,'Measure Level Detail'!$C:$C,0)),0)</f>
        <v>3</v>
      </c>
      <c r="O260" s="271">
        <f>IFERROR(INDEX('Measure Level Detail'!$P:$P,MATCH($B260&amp;"_"&amp;O$3,'Measure Level Detail'!$C:$C,0)),0)</f>
        <v>3</v>
      </c>
      <c r="P260" s="271">
        <f>IFERROR(INDEX('Measure Level Detail'!$P:$P,MATCH($B260&amp;"_"&amp;P$3,'Measure Level Detail'!$C:$C,0)),0)</f>
        <v>3</v>
      </c>
      <c r="Q260" s="271">
        <f>IFERROR(INDEX('Measure Level Detail'!$P:$P,MATCH($B260&amp;"_"&amp;Q$3,'Measure Level Detail'!$C:$C,0)),0)</f>
        <v>3</v>
      </c>
      <c r="R260" s="263" t="str">
        <f ca="1">IFERROR(INDEX(Algorithms!K:K,MATCH($C260&amp;"_Therm Saved per Unit",Algorithms!$A:$A,0)),"n/a")</f>
        <v>CI-HVC-STRE-V10-240101</v>
      </c>
      <c r="S260" s="262"/>
      <c r="T260" s="272">
        <v>197.03296629323975</v>
      </c>
      <c r="U260" s="272">
        <v>197.03296629323975</v>
      </c>
      <c r="V260" s="272">
        <v>197.03296629323975</v>
      </c>
      <c r="W260" s="272">
        <v>197.03296629323975</v>
      </c>
      <c r="X260" s="273">
        <f>IFERROR(INDEX('Measure Level Detail'!$R:$R,MATCH($B260&amp;"_"&amp;X$3,'Measure Level Detail'!$C:$C,0)),0)</f>
        <v>0.87</v>
      </c>
      <c r="Y260" s="273">
        <f>IFERROR(INDEX('Measure Level Detail'!$R:$R,MATCH($B260&amp;"_"&amp;Y$3,'Measure Level Detail'!$C:$C,0)),0)</f>
        <v>0.87</v>
      </c>
      <c r="Z260" s="273">
        <f>IFERROR(INDEX('Measure Level Detail'!$R:$R,MATCH($B260&amp;"_"&amp;Z$3,'Measure Level Detail'!$C:$C,0)),0)</f>
        <v>0.87</v>
      </c>
      <c r="AA260" s="273">
        <f>IFERROR(INDEX('Measure Level Detail'!$R:$R,MATCH($B260&amp;"_"&amp;AA$3,'Measure Level Detail'!$C:$C,0)),0)</f>
        <v>0.87</v>
      </c>
      <c r="AB260" s="266">
        <f t="shared" si="127"/>
        <v>514.25604202535578</v>
      </c>
      <c r="AC260" s="266">
        <f t="shared" si="128"/>
        <v>514.25604202535578</v>
      </c>
      <c r="AD260" s="266">
        <f t="shared" si="129"/>
        <v>514.25604202535578</v>
      </c>
      <c r="AE260" s="266">
        <f t="shared" si="130"/>
        <v>514.25604202535578</v>
      </c>
      <c r="AF260" s="266">
        <f t="shared" si="131"/>
        <v>2057.0241681014231</v>
      </c>
      <c r="AG260" s="274">
        <v>0.87</v>
      </c>
      <c r="AH260" s="274">
        <v>0.87</v>
      </c>
      <c r="AI260" s="274">
        <v>0.87</v>
      </c>
      <c r="AJ260" s="274">
        <v>0.87</v>
      </c>
      <c r="AK260" s="274">
        <f t="shared" si="132"/>
        <v>0.87</v>
      </c>
      <c r="AL260" s="274">
        <f t="shared" si="133"/>
        <v>0.87</v>
      </c>
      <c r="AM260" s="274">
        <f t="shared" si="134"/>
        <v>0.87</v>
      </c>
      <c r="AN260" s="274">
        <f t="shared" si="135"/>
        <v>0.87</v>
      </c>
      <c r="AO260" s="262"/>
      <c r="AP260" s="262"/>
      <c r="AQ260" s="267">
        <v>197.03296629323975</v>
      </c>
      <c r="AR260" s="262"/>
      <c r="AS260" s="266">
        <f t="shared" si="136"/>
        <v>514.25604202535578</v>
      </c>
      <c r="AT260" s="264">
        <f t="shared" si="137"/>
        <v>0</v>
      </c>
      <c r="AU260" s="262"/>
      <c r="AV260" s="262"/>
      <c r="AW260" s="265">
        <v>197.03296629323975</v>
      </c>
      <c r="AX260" s="164" t="s">
        <v>2397</v>
      </c>
      <c r="AY260" s="266">
        <v>514.25604202535578</v>
      </c>
      <c r="AZ260" s="266">
        <f t="shared" si="138"/>
        <v>514.25604202535578</v>
      </c>
      <c r="BA260" s="264">
        <f t="shared" si="139"/>
        <v>0</v>
      </c>
      <c r="BB260" s="262"/>
      <c r="BC260" s="262"/>
      <c r="BD260" s="265">
        <f ca="1">IFERROR(INDEX(Algorithms!$G:$G,MATCH($C260&amp;"_Therm Saved per Unit",Algorithms!$A:$A,0)),0)</f>
        <v>197.03296629323975</v>
      </c>
      <c r="BE260" s="164" t="str">
        <f ca="1">IFERROR(INDEX('v12 Revisions'!$P$29:$P$186, MATCH('Measure-Level Adj Gas'!$L260, 'v12 Revisions'!$D$29:$D$186,0)),"")</f>
        <v>n/a - costs only.</v>
      </c>
      <c r="BF260" s="266">
        <f t="shared" ca="1" si="140"/>
        <v>514.25604202535578</v>
      </c>
      <c r="BG260" s="264">
        <f t="shared" ca="1" si="141"/>
        <v>0</v>
      </c>
      <c r="BH260" s="262"/>
      <c r="BI260" s="262"/>
      <c r="BJ260" s="265">
        <f ca="1">IFERROR(INDEX(Algorithms!$G:$G,MATCH($C260&amp;"_Therm Saved per Unit",Algorithms!$A:$A,0)),0)</f>
        <v>197.03296629323975</v>
      </c>
      <c r="BK260" s="164"/>
      <c r="BL260" s="266">
        <f t="shared" ca="1" si="142"/>
        <v>514.25604202535578</v>
      </c>
      <c r="BM260" s="264">
        <f t="shared" ca="1" si="143"/>
        <v>0</v>
      </c>
      <c r="BN260" s="266">
        <f t="shared" si="144"/>
        <v>514.25604202535578</v>
      </c>
      <c r="BO260" s="266">
        <f t="shared" si="145"/>
        <v>514.25604202535578</v>
      </c>
      <c r="BP260" s="266">
        <f t="shared" ca="1" si="146"/>
        <v>514.25604202535578</v>
      </c>
      <c r="BQ260" s="266">
        <f t="shared" ca="1" si="147"/>
        <v>514.25604202535578</v>
      </c>
      <c r="BR260" s="268">
        <f t="shared" ca="1" si="148"/>
        <v>2057.0241681014231</v>
      </c>
      <c r="BS260" s="262" t="s">
        <v>99</v>
      </c>
      <c r="BT260" s="277"/>
      <c r="BW260" s="266">
        <f t="shared" si="149"/>
        <v>514.25604202535578</v>
      </c>
      <c r="BX260" s="266">
        <f t="shared" si="150"/>
        <v>514.25604202535578</v>
      </c>
      <c r="BY260" s="266">
        <f t="shared" si="151"/>
        <v>514.25604202535578</v>
      </c>
      <c r="BZ260" s="266">
        <f t="shared" si="152"/>
        <v>514.25604202535578</v>
      </c>
      <c r="CA260" s="266">
        <f ca="1">N260*IFERROR(INDEX(Algorithms!$G:$G,MATCH($C260&amp;"_Therm Saved per Unit- MLA",Algorithms!$A:$A,0)),0)*X260</f>
        <v>0</v>
      </c>
      <c r="CB260" s="266">
        <f ca="1">O260*IFERROR(INDEX(Algorithms!$G:$G,MATCH($C260&amp;"_Therm Saved per Unit- MLA",Algorithms!$A:$A,0)),0)*Y260</f>
        <v>0</v>
      </c>
      <c r="CC260" s="266">
        <f ca="1">P260*IFERROR(INDEX(Algorithms!$G:$G,MATCH($C260&amp;"_Therm Saved per Unit- MLA",Algorithms!$A:$A,0)),0)*Z260</f>
        <v>0</v>
      </c>
      <c r="CD260" s="266">
        <f ca="1">Q260*IFERROR(INDEX(Algorithms!$G:$G,MATCH($C260&amp;"_Therm Saved per Unit- MLA",Algorithms!$A:$A,0)),0)*AA260</f>
        <v>0</v>
      </c>
      <c r="CE260" s="266">
        <f ca="1">IFERROR(INDEX(Algorithms!$G:$G,MATCH($C260&amp;"_Lifetime (years)",Algorithms!$A:$A,0)),0)</f>
        <v>6</v>
      </c>
      <c r="CF260" s="266">
        <f ca="1">IFERROR(INDEX(Algorithms!$G:$G,MATCH($C260&amp;"_Lifetime (years) - Remaining Years",Algorithms!$A:$A,0)),0)</f>
        <v>0</v>
      </c>
      <c r="CG260" s="266">
        <f t="shared" ca="1" si="153"/>
        <v>3085.5362521521347</v>
      </c>
      <c r="CH260" s="266">
        <f t="shared" ca="1" si="154"/>
        <v>3085.5362521521347</v>
      </c>
      <c r="CI260" s="266">
        <f t="shared" ca="1" si="155"/>
        <v>3085.5362521521347</v>
      </c>
      <c r="CJ260" s="266">
        <f t="shared" ca="1" si="156"/>
        <v>3085.5362521521347</v>
      </c>
      <c r="CK260" s="266">
        <f t="shared" si="157"/>
        <v>514.25604202535578</v>
      </c>
      <c r="CL260" s="266">
        <f t="shared" si="158"/>
        <v>514.25604202535578</v>
      </c>
      <c r="CM260" s="266">
        <f t="shared" ca="1" si="159"/>
        <v>514.25604202535578</v>
      </c>
      <c r="CN260" s="266">
        <f t="shared" ca="1" si="160"/>
        <v>514.25604202535578</v>
      </c>
      <c r="CO260" s="266">
        <f ca="1">N260*IFERROR(INDEX(Algorithms!$G:$G,MATCH($C260&amp;"_Therm Saved per Unit- MLA",Algorithms!$A:$A,0)),0)*X260</f>
        <v>0</v>
      </c>
      <c r="CP260" s="266">
        <f ca="1">O260*IFERROR(INDEX(Algorithms!$G:$G,MATCH($C260&amp;"_Therm Saved per Unit- MLA",Algorithms!$A:$A,0)),0)*Y260</f>
        <v>0</v>
      </c>
      <c r="CQ260" s="266">
        <f ca="1">P260*IFERROR(INDEX(Algorithms!$G:$G,MATCH($C260&amp;"_Therm Saved per Unit- MLA",Algorithms!$A:$A,0)),0)*Z260</f>
        <v>0</v>
      </c>
      <c r="CR260" s="266">
        <f ca="1">Q260*IFERROR(INDEX(Algorithms!$G:$G,MATCH($C260&amp;"_Therm Saved per Unit- MLA",Algorithms!$A:$A,0)),0)*AA260</f>
        <v>0</v>
      </c>
      <c r="CS260" s="266">
        <f ca="1">IFERROR(INDEX(Algorithms!$G:$G,MATCH($C260&amp;"_Lifetime (years)",Algorithms!$A:$A,0)),0)</f>
        <v>6</v>
      </c>
      <c r="CT260" s="266">
        <f ca="1">IFERROR(INDEX(Algorithms!$G:$G,MATCH($C260&amp;"_Lifetime (years) - Remaining Years",Algorithms!$A:$A,0)),0)</f>
        <v>0</v>
      </c>
      <c r="CU260" s="266">
        <f t="shared" ca="1" si="161"/>
        <v>3085.5362521521347</v>
      </c>
      <c r="CV260" s="266">
        <f t="shared" ca="1" si="162"/>
        <v>3085.5362521521347</v>
      </c>
      <c r="CW260" s="266">
        <f t="shared" ca="1" si="163"/>
        <v>3085.5362521521347</v>
      </c>
      <c r="CX260" s="266">
        <f t="shared" ca="1" si="164"/>
        <v>3085.5362521521347</v>
      </c>
    </row>
    <row r="261" spans="2:102" s="47" customFormat="1" ht="18" customHeight="1" x14ac:dyDescent="0.25">
      <c r="B261" t="str">
        <f t="shared" si="165"/>
        <v>NSG_Residential_Multi-Family_Partner Trade Ally Rebate_Programmable Thermostat_Furnace (P)_MF</v>
      </c>
      <c r="C261" s="47" t="str">
        <f t="shared" si="126"/>
        <v>Programmable Thermostat_Furnace (P)_MF</v>
      </c>
      <c r="D261" s="270" t="s">
        <v>1787</v>
      </c>
      <c r="E261" s="270" t="s">
        <v>2</v>
      </c>
      <c r="F261" s="270" t="s">
        <v>1422</v>
      </c>
      <c r="G261" s="270" t="s">
        <v>1799</v>
      </c>
      <c r="H261" s="270" t="s">
        <v>224</v>
      </c>
      <c r="I261" s="270" t="s">
        <v>1042</v>
      </c>
      <c r="J261" s="270" t="s">
        <v>553</v>
      </c>
      <c r="K261" s="263">
        <v>1</v>
      </c>
      <c r="L261" s="263" t="str">
        <f ca="1">IFERROR(INDEX(Algorithms!J:J,MATCH($C261&amp;"_Therm Saved per Unit",Algorithms!$A:$A,0)),"n/a")</f>
        <v>5.3.11</v>
      </c>
      <c r="M261" s="263" t="str">
        <f>IFERROR(INDEX('Measure Level Detail'!$N:$N,MATCH($B261,'Measure Level Detail'!$B:$B,0)),0)</f>
        <v>each</v>
      </c>
      <c r="N261" s="271">
        <f>IFERROR(INDEX('Measure Level Detail'!$P:$P,MATCH($B261&amp;"_"&amp;N$3,'Measure Level Detail'!$C:$C,0)),0)</f>
        <v>3</v>
      </c>
      <c r="O261" s="271">
        <f>IFERROR(INDEX('Measure Level Detail'!$P:$P,MATCH($B261&amp;"_"&amp;O$3,'Measure Level Detail'!$C:$C,0)),0)</f>
        <v>3</v>
      </c>
      <c r="P261" s="271">
        <f>IFERROR(INDEX('Measure Level Detail'!$P:$P,MATCH($B261&amp;"_"&amp;P$3,'Measure Level Detail'!$C:$C,0)),0)</f>
        <v>3</v>
      </c>
      <c r="Q261" s="271">
        <f>IFERROR(INDEX('Measure Level Detail'!$P:$P,MATCH($B261&amp;"_"&amp;Q$3,'Measure Level Detail'!$C:$C,0)),0)</f>
        <v>3</v>
      </c>
      <c r="R261" s="263" t="str">
        <f ca="1">IFERROR(INDEX(Algorithms!K:K,MATCH($C261&amp;"_Therm Saved per Unit",Algorithms!$A:$A,0)),"n/a")</f>
        <v>RS-HVC-PROG-V08-220101</v>
      </c>
      <c r="S261" s="262"/>
      <c r="T261" s="272">
        <v>22.680840000000003</v>
      </c>
      <c r="U261" s="272">
        <v>22.680840000000003</v>
      </c>
      <c r="V261" s="272">
        <v>22.680840000000003</v>
      </c>
      <c r="W261" s="272">
        <v>22.680840000000003</v>
      </c>
      <c r="X261" s="273">
        <f>IFERROR(INDEX('Measure Level Detail'!$R:$R,MATCH($B261&amp;"_"&amp;X$3,'Measure Level Detail'!$C:$C,0)),0)</f>
        <v>0.87</v>
      </c>
      <c r="Y261" s="273">
        <f>IFERROR(INDEX('Measure Level Detail'!$R:$R,MATCH($B261&amp;"_"&amp;Y$3,'Measure Level Detail'!$C:$C,0)),0)</f>
        <v>0.87</v>
      </c>
      <c r="Z261" s="273">
        <f>IFERROR(INDEX('Measure Level Detail'!$R:$R,MATCH($B261&amp;"_"&amp;Z$3,'Measure Level Detail'!$C:$C,0)),0)</f>
        <v>0.87</v>
      </c>
      <c r="AA261" s="273">
        <f>IFERROR(INDEX('Measure Level Detail'!$R:$R,MATCH($B261&amp;"_"&amp;AA$3,'Measure Level Detail'!$C:$C,0)),0)</f>
        <v>0.87</v>
      </c>
      <c r="AB261" s="266">
        <f t="shared" si="127"/>
        <v>59.196992400000006</v>
      </c>
      <c r="AC261" s="266">
        <f t="shared" si="128"/>
        <v>59.196992400000006</v>
      </c>
      <c r="AD261" s="266">
        <f t="shared" si="129"/>
        <v>59.196992400000006</v>
      </c>
      <c r="AE261" s="266">
        <f t="shared" si="130"/>
        <v>59.196992400000006</v>
      </c>
      <c r="AF261" s="266">
        <f t="shared" si="131"/>
        <v>236.78796960000003</v>
      </c>
      <c r="AG261" s="274">
        <v>0.87</v>
      </c>
      <c r="AH261" s="274">
        <v>0.87</v>
      </c>
      <c r="AI261" s="710">
        <v>0.88</v>
      </c>
      <c r="AJ261" s="710">
        <v>0.88</v>
      </c>
      <c r="AK261" s="274">
        <f t="shared" si="132"/>
        <v>0.87</v>
      </c>
      <c r="AL261" s="274">
        <f t="shared" si="133"/>
        <v>0.87</v>
      </c>
      <c r="AM261" s="274">
        <f t="shared" si="134"/>
        <v>0.87</v>
      </c>
      <c r="AN261" s="274">
        <f t="shared" si="135"/>
        <v>0.87</v>
      </c>
      <c r="AO261" s="262"/>
      <c r="AP261" s="262"/>
      <c r="AQ261" s="267">
        <v>22.680840000000003</v>
      </c>
      <c r="AR261" s="262"/>
      <c r="AS261" s="266">
        <f t="shared" si="136"/>
        <v>59.196992400000006</v>
      </c>
      <c r="AT261" s="264">
        <f t="shared" si="137"/>
        <v>0</v>
      </c>
      <c r="AU261" s="262"/>
      <c r="AV261" s="262"/>
      <c r="AW261" s="265">
        <v>22.680840000000003</v>
      </c>
      <c r="AX261" s="164" t="s">
        <v>1469</v>
      </c>
      <c r="AY261" s="266">
        <v>59.196992400000006</v>
      </c>
      <c r="AZ261" s="266">
        <f t="shared" si="138"/>
        <v>59.196992400000006</v>
      </c>
      <c r="BA261" s="264">
        <f t="shared" si="139"/>
        <v>0</v>
      </c>
      <c r="BB261" s="262"/>
      <c r="BC261" s="262"/>
      <c r="BD261" s="265">
        <f ca="1">IFERROR(INDEX(Algorithms!$G:$G,MATCH($C261&amp;"_Therm Saved per Unit",Algorithms!$A:$A,0)),0)</f>
        <v>22.680840000000003</v>
      </c>
      <c r="BE261" s="164" t="str">
        <f ca="1">IFERROR(INDEX('v12 Revisions'!$P$29:$P$186, MATCH('Measure-Level Adj Gas'!$L261, 'v12 Revisions'!$D$29:$D$186,0)),"")</f>
        <v/>
      </c>
      <c r="BF261" s="266">
        <f t="shared" ca="1" si="140"/>
        <v>59.196992400000006</v>
      </c>
      <c r="BG261" s="264">
        <f t="shared" ca="1" si="141"/>
        <v>0</v>
      </c>
      <c r="BH261" s="262"/>
      <c r="BI261" s="262"/>
      <c r="BJ261" s="265">
        <f ca="1">IFERROR(INDEX(Algorithms!$G:$G,MATCH($C261&amp;"_Therm Saved per Unit",Algorithms!$A:$A,0)),0)</f>
        <v>22.680840000000003</v>
      </c>
      <c r="BK261" s="164"/>
      <c r="BL261" s="266">
        <f t="shared" ca="1" si="142"/>
        <v>59.196992400000006</v>
      </c>
      <c r="BM261" s="264">
        <f t="shared" ca="1" si="143"/>
        <v>0</v>
      </c>
      <c r="BN261" s="266">
        <f t="shared" si="144"/>
        <v>59.196992400000006</v>
      </c>
      <c r="BO261" s="266">
        <f t="shared" si="145"/>
        <v>59.196992400000006</v>
      </c>
      <c r="BP261" s="266">
        <f t="shared" ca="1" si="146"/>
        <v>59.196992400000006</v>
      </c>
      <c r="BQ261" s="266">
        <f t="shared" ca="1" si="147"/>
        <v>59.196992400000006</v>
      </c>
      <c r="BR261" s="268">
        <f t="shared" ca="1" si="148"/>
        <v>236.78796960000003</v>
      </c>
      <c r="BS261" s="262" t="s">
        <v>99</v>
      </c>
      <c r="BT261" s="277"/>
      <c r="BW261" s="266">
        <f t="shared" si="149"/>
        <v>59.196992400000006</v>
      </c>
      <c r="BX261" s="266">
        <f t="shared" si="150"/>
        <v>59.196992400000006</v>
      </c>
      <c r="BY261" s="266">
        <f t="shared" si="151"/>
        <v>59.196992400000006</v>
      </c>
      <c r="BZ261" s="266">
        <f t="shared" si="152"/>
        <v>59.196992400000006</v>
      </c>
      <c r="CA261" s="266">
        <f ca="1">N261*IFERROR(INDEX(Algorithms!$G:$G,MATCH($C261&amp;"_Therm Saved per Unit- MLA",Algorithms!$A:$A,0)),0)*X261</f>
        <v>16.575157872000005</v>
      </c>
      <c r="CB261" s="266">
        <f ca="1">O261*IFERROR(INDEX(Algorithms!$G:$G,MATCH($C261&amp;"_Therm Saved per Unit- MLA",Algorithms!$A:$A,0)),0)*Y261</f>
        <v>16.575157872000005</v>
      </c>
      <c r="CC261" s="266">
        <f ca="1">P261*IFERROR(INDEX(Algorithms!$G:$G,MATCH($C261&amp;"_Therm Saved per Unit- MLA",Algorithms!$A:$A,0)),0)*Z261</f>
        <v>16.575157872000005</v>
      </c>
      <c r="CD261" s="266">
        <f ca="1">Q261*IFERROR(INDEX(Algorithms!$G:$G,MATCH($C261&amp;"_Therm Saved per Unit- MLA",Algorithms!$A:$A,0)),0)*AA261</f>
        <v>16.575157872000005</v>
      </c>
      <c r="CE261" s="266">
        <f ca="1">IFERROR(INDEX(Algorithms!$G:$G,MATCH($C261&amp;"_Lifetime (years)",Algorithms!$A:$A,0)),0)</f>
        <v>16</v>
      </c>
      <c r="CF261" s="266">
        <f ca="1">IFERROR(INDEX(Algorithms!$G:$G,MATCH($C261&amp;"_Lifetime (years) - Remaining Years",Algorithms!$A:$A,0)),0)</f>
        <v>5</v>
      </c>
      <c r="CG261" s="266">
        <f t="shared" ca="1" si="153"/>
        <v>478.31169859200008</v>
      </c>
      <c r="CH261" s="266">
        <f t="shared" ca="1" si="154"/>
        <v>478.31169859200008</v>
      </c>
      <c r="CI261" s="266">
        <f t="shared" ca="1" si="155"/>
        <v>478.31169859200008</v>
      </c>
      <c r="CJ261" s="266">
        <f t="shared" ca="1" si="156"/>
        <v>478.31169859200008</v>
      </c>
      <c r="CK261" s="266">
        <f t="shared" si="157"/>
        <v>59.196992400000006</v>
      </c>
      <c r="CL261" s="266">
        <f t="shared" si="158"/>
        <v>59.196992400000006</v>
      </c>
      <c r="CM261" s="266">
        <f t="shared" ca="1" si="159"/>
        <v>59.196992400000006</v>
      </c>
      <c r="CN261" s="266">
        <f t="shared" ca="1" si="160"/>
        <v>59.196992400000006</v>
      </c>
      <c r="CO261" s="266">
        <f ca="1">N261*IFERROR(INDEX(Algorithms!$G:$G,MATCH($C261&amp;"_Therm Saved per Unit- MLA",Algorithms!$A:$A,0)),0)*X261</f>
        <v>16.575157872000005</v>
      </c>
      <c r="CP261" s="266">
        <f ca="1">O261*IFERROR(INDEX(Algorithms!$G:$G,MATCH($C261&amp;"_Therm Saved per Unit- MLA",Algorithms!$A:$A,0)),0)*Y261</f>
        <v>16.575157872000005</v>
      </c>
      <c r="CQ261" s="266">
        <f ca="1">P261*IFERROR(INDEX(Algorithms!$G:$G,MATCH($C261&amp;"_Therm Saved per Unit- MLA",Algorithms!$A:$A,0)),0)*Z261</f>
        <v>16.575157872000005</v>
      </c>
      <c r="CR261" s="266">
        <f ca="1">Q261*IFERROR(INDEX(Algorithms!$G:$G,MATCH($C261&amp;"_Therm Saved per Unit- MLA",Algorithms!$A:$A,0)),0)*AA261</f>
        <v>16.575157872000005</v>
      </c>
      <c r="CS261" s="266">
        <f ca="1">IFERROR(INDEX(Algorithms!$G:$G,MATCH($C261&amp;"_Lifetime (years)",Algorithms!$A:$A,0)),0)</f>
        <v>16</v>
      </c>
      <c r="CT261" s="266">
        <f ca="1">IFERROR(INDEX(Algorithms!$G:$G,MATCH($C261&amp;"_Lifetime (years) - Remaining Years",Algorithms!$A:$A,0)),0)</f>
        <v>5</v>
      </c>
      <c r="CU261" s="266">
        <f t="shared" ca="1" si="161"/>
        <v>478.31169859200008</v>
      </c>
      <c r="CV261" s="266">
        <f t="shared" ca="1" si="162"/>
        <v>478.31169859200008</v>
      </c>
      <c r="CW261" s="266">
        <f t="shared" ca="1" si="163"/>
        <v>478.31169859200008</v>
      </c>
      <c r="CX261" s="266">
        <f t="shared" ca="1" si="164"/>
        <v>478.31169859200008</v>
      </c>
    </row>
    <row r="262" spans="2:102" s="47" customFormat="1" ht="18" customHeight="1" x14ac:dyDescent="0.25">
      <c r="B262" t="str">
        <f t="shared" si="165"/>
        <v>NSG_Residential_Multi-Family_Partner Trade Ally Rebate_Steam Traps_HVAC Repair/Rep - Audit_MF</v>
      </c>
      <c r="C262" s="47" t="str">
        <f t="shared" si="126"/>
        <v>Steam Traps_HVAC Repair/Rep - Audit_MF</v>
      </c>
      <c r="D262" s="270" t="s">
        <v>1787</v>
      </c>
      <c r="E262" s="270" t="s">
        <v>2</v>
      </c>
      <c r="F262" s="270" t="s">
        <v>1422</v>
      </c>
      <c r="G262" s="270" t="s">
        <v>1799</v>
      </c>
      <c r="H262" s="270" t="s">
        <v>644</v>
      </c>
      <c r="I262" s="270" t="s">
        <v>645</v>
      </c>
      <c r="J262" s="270" t="s">
        <v>553</v>
      </c>
      <c r="K262" s="263">
        <v>1</v>
      </c>
      <c r="L262" s="263" t="str">
        <f ca="1">IFERROR(INDEX(Algorithms!J:J,MATCH($C262&amp;"_Therm Saved per Unit",Algorithms!$A:$A,0)),"n/a")</f>
        <v>4.4.16</v>
      </c>
      <c r="M262" s="263" t="str">
        <f>IFERROR(INDEX('Measure Level Detail'!$N:$N,MATCH($B262,'Measure Level Detail'!$B:$B,0)),0)</f>
        <v>each</v>
      </c>
      <c r="N262" s="271">
        <f>IFERROR(INDEX('Measure Level Detail'!$P:$P,MATCH($B262&amp;"_"&amp;N$3,'Measure Level Detail'!$C:$C,0)),0)</f>
        <v>3</v>
      </c>
      <c r="O262" s="271">
        <f>IFERROR(INDEX('Measure Level Detail'!$P:$P,MATCH($B262&amp;"_"&amp;O$3,'Measure Level Detail'!$C:$C,0)),0)</f>
        <v>3</v>
      </c>
      <c r="P262" s="271">
        <f>IFERROR(INDEX('Measure Level Detail'!$P:$P,MATCH($B262&amp;"_"&amp;P$3,'Measure Level Detail'!$C:$C,0)),0)</f>
        <v>3</v>
      </c>
      <c r="Q262" s="271">
        <f>IFERROR(INDEX('Measure Level Detail'!$P:$P,MATCH($B262&amp;"_"&amp;Q$3,'Measure Level Detail'!$C:$C,0)),0)</f>
        <v>3</v>
      </c>
      <c r="R262" s="263" t="str">
        <f ca="1">IFERROR(INDEX(Algorithms!K:K,MATCH($C262&amp;"_Therm Saved per Unit",Algorithms!$A:$A,0)),"n/a")</f>
        <v>CI-HVC-STRE-V10-240101</v>
      </c>
      <c r="S262" s="262"/>
      <c r="T262" s="272">
        <v>197.03296629323975</v>
      </c>
      <c r="U262" s="272">
        <v>197.03296629323975</v>
      </c>
      <c r="V262" s="272">
        <v>197.03296629323975</v>
      </c>
      <c r="W262" s="272">
        <v>197.03296629323975</v>
      </c>
      <c r="X262" s="273">
        <f>IFERROR(INDEX('Measure Level Detail'!$R:$R,MATCH($B262&amp;"_"&amp;X$3,'Measure Level Detail'!$C:$C,0)),0)</f>
        <v>0.87</v>
      </c>
      <c r="Y262" s="273">
        <f>IFERROR(INDEX('Measure Level Detail'!$R:$R,MATCH($B262&amp;"_"&amp;Y$3,'Measure Level Detail'!$C:$C,0)),0)</f>
        <v>0.87</v>
      </c>
      <c r="Z262" s="273">
        <f>IFERROR(INDEX('Measure Level Detail'!$R:$R,MATCH($B262&amp;"_"&amp;Z$3,'Measure Level Detail'!$C:$C,0)),0)</f>
        <v>0.87</v>
      </c>
      <c r="AA262" s="273">
        <f>IFERROR(INDEX('Measure Level Detail'!$R:$R,MATCH($B262&amp;"_"&amp;AA$3,'Measure Level Detail'!$C:$C,0)),0)</f>
        <v>0.87</v>
      </c>
      <c r="AB262" s="266">
        <f t="shared" si="127"/>
        <v>514.25604202535578</v>
      </c>
      <c r="AC262" s="266">
        <f t="shared" si="128"/>
        <v>514.25604202535578</v>
      </c>
      <c r="AD262" s="266">
        <f t="shared" si="129"/>
        <v>514.25604202535578</v>
      </c>
      <c r="AE262" s="266">
        <f t="shared" si="130"/>
        <v>514.25604202535578</v>
      </c>
      <c r="AF262" s="266">
        <f t="shared" si="131"/>
        <v>2057.0241681014231</v>
      </c>
      <c r="AG262" s="274">
        <v>0.87</v>
      </c>
      <c r="AH262" s="274">
        <v>0.87</v>
      </c>
      <c r="AI262" s="710">
        <v>0.88</v>
      </c>
      <c r="AJ262" s="710">
        <v>0.88</v>
      </c>
      <c r="AK262" s="274">
        <f t="shared" si="132"/>
        <v>0.87</v>
      </c>
      <c r="AL262" s="274">
        <f t="shared" si="133"/>
        <v>0.87</v>
      </c>
      <c r="AM262" s="274">
        <f t="shared" si="134"/>
        <v>0.87</v>
      </c>
      <c r="AN262" s="274">
        <f t="shared" si="135"/>
        <v>0.87</v>
      </c>
      <c r="AO262" s="262"/>
      <c r="AP262" s="262"/>
      <c r="AQ262" s="267">
        <v>197.03296629323975</v>
      </c>
      <c r="AR262" s="262"/>
      <c r="AS262" s="266">
        <f t="shared" si="136"/>
        <v>514.25604202535578</v>
      </c>
      <c r="AT262" s="264">
        <f t="shared" si="137"/>
        <v>0</v>
      </c>
      <c r="AU262" s="262"/>
      <c r="AV262" s="262"/>
      <c r="AW262" s="265">
        <v>197.03296629323975</v>
      </c>
      <c r="AX262" s="164" t="s">
        <v>2397</v>
      </c>
      <c r="AY262" s="266">
        <v>514.25604202535578</v>
      </c>
      <c r="AZ262" s="266">
        <f t="shared" si="138"/>
        <v>514.25604202535578</v>
      </c>
      <c r="BA262" s="264">
        <f t="shared" si="139"/>
        <v>0</v>
      </c>
      <c r="BB262" s="262"/>
      <c r="BC262" s="262"/>
      <c r="BD262" s="265">
        <f ca="1">IFERROR(INDEX(Algorithms!$G:$G,MATCH($C262&amp;"_Therm Saved per Unit",Algorithms!$A:$A,0)),0)</f>
        <v>197.03296629323975</v>
      </c>
      <c r="BE262" s="164" t="str">
        <f ca="1">IFERROR(INDEX('v12 Revisions'!$P$29:$P$186, MATCH('Measure-Level Adj Gas'!$L262, 'v12 Revisions'!$D$29:$D$186,0)),"")</f>
        <v>n/a - costs only.</v>
      </c>
      <c r="BF262" s="266">
        <f t="shared" ca="1" si="140"/>
        <v>514.25604202535578</v>
      </c>
      <c r="BG262" s="264">
        <f t="shared" ca="1" si="141"/>
        <v>0</v>
      </c>
      <c r="BH262" s="262"/>
      <c r="BI262" s="262"/>
      <c r="BJ262" s="265">
        <f ca="1">IFERROR(INDEX(Algorithms!$G:$G,MATCH($C262&amp;"_Therm Saved per Unit",Algorithms!$A:$A,0)),0)</f>
        <v>197.03296629323975</v>
      </c>
      <c r="BK262" s="164"/>
      <c r="BL262" s="266">
        <f t="shared" ca="1" si="142"/>
        <v>514.25604202535578</v>
      </c>
      <c r="BM262" s="264">
        <f t="shared" ca="1" si="143"/>
        <v>0</v>
      </c>
      <c r="BN262" s="266">
        <f t="shared" si="144"/>
        <v>514.25604202535578</v>
      </c>
      <c r="BO262" s="266">
        <f t="shared" si="145"/>
        <v>514.25604202535578</v>
      </c>
      <c r="BP262" s="266">
        <f t="shared" ca="1" si="146"/>
        <v>514.25604202535578</v>
      </c>
      <c r="BQ262" s="266">
        <f t="shared" ca="1" si="147"/>
        <v>514.25604202535578</v>
      </c>
      <c r="BR262" s="268">
        <f t="shared" ca="1" si="148"/>
        <v>2057.0241681014231</v>
      </c>
      <c r="BS262" s="262" t="s">
        <v>99</v>
      </c>
      <c r="BT262" s="277"/>
      <c r="BW262" s="266">
        <f t="shared" si="149"/>
        <v>514.25604202535578</v>
      </c>
      <c r="BX262" s="266">
        <f t="shared" si="150"/>
        <v>514.25604202535578</v>
      </c>
      <c r="BY262" s="266">
        <f t="shared" si="151"/>
        <v>514.25604202535578</v>
      </c>
      <c r="BZ262" s="266">
        <f t="shared" si="152"/>
        <v>514.25604202535578</v>
      </c>
      <c r="CA262" s="266">
        <f ca="1">N262*IFERROR(INDEX(Algorithms!$G:$G,MATCH($C262&amp;"_Therm Saved per Unit- MLA",Algorithms!$A:$A,0)),0)*X262</f>
        <v>0</v>
      </c>
      <c r="CB262" s="266">
        <f ca="1">O262*IFERROR(INDEX(Algorithms!$G:$G,MATCH($C262&amp;"_Therm Saved per Unit- MLA",Algorithms!$A:$A,0)),0)*Y262</f>
        <v>0</v>
      </c>
      <c r="CC262" s="266">
        <f ca="1">P262*IFERROR(INDEX(Algorithms!$G:$G,MATCH($C262&amp;"_Therm Saved per Unit- MLA",Algorithms!$A:$A,0)),0)*Z262</f>
        <v>0</v>
      </c>
      <c r="CD262" s="266">
        <f ca="1">Q262*IFERROR(INDEX(Algorithms!$G:$G,MATCH($C262&amp;"_Therm Saved per Unit- MLA",Algorithms!$A:$A,0)),0)*AA262</f>
        <v>0</v>
      </c>
      <c r="CE262" s="266">
        <f ca="1">IFERROR(INDEX(Algorithms!$G:$G,MATCH($C262&amp;"_Lifetime (years)",Algorithms!$A:$A,0)),0)</f>
        <v>6</v>
      </c>
      <c r="CF262" s="266">
        <f ca="1">IFERROR(INDEX(Algorithms!$G:$G,MATCH($C262&amp;"_Lifetime (years) - Remaining Years",Algorithms!$A:$A,0)),0)</f>
        <v>0</v>
      </c>
      <c r="CG262" s="266">
        <f t="shared" ca="1" si="153"/>
        <v>3085.5362521521347</v>
      </c>
      <c r="CH262" s="266">
        <f t="shared" ca="1" si="154"/>
        <v>3085.5362521521347</v>
      </c>
      <c r="CI262" s="266">
        <f t="shared" ca="1" si="155"/>
        <v>3085.5362521521347</v>
      </c>
      <c r="CJ262" s="266">
        <f t="shared" ca="1" si="156"/>
        <v>3085.5362521521347</v>
      </c>
      <c r="CK262" s="266">
        <f t="shared" si="157"/>
        <v>514.25604202535578</v>
      </c>
      <c r="CL262" s="266">
        <f t="shared" si="158"/>
        <v>514.25604202535578</v>
      </c>
      <c r="CM262" s="266">
        <f t="shared" ca="1" si="159"/>
        <v>514.25604202535578</v>
      </c>
      <c r="CN262" s="266">
        <f t="shared" ca="1" si="160"/>
        <v>514.25604202535578</v>
      </c>
      <c r="CO262" s="266">
        <f ca="1">N262*IFERROR(INDEX(Algorithms!$G:$G,MATCH($C262&amp;"_Therm Saved per Unit- MLA",Algorithms!$A:$A,0)),0)*X262</f>
        <v>0</v>
      </c>
      <c r="CP262" s="266">
        <f ca="1">O262*IFERROR(INDEX(Algorithms!$G:$G,MATCH($C262&amp;"_Therm Saved per Unit- MLA",Algorithms!$A:$A,0)),0)*Y262</f>
        <v>0</v>
      </c>
      <c r="CQ262" s="266">
        <f ca="1">P262*IFERROR(INDEX(Algorithms!$G:$G,MATCH($C262&amp;"_Therm Saved per Unit- MLA",Algorithms!$A:$A,0)),0)*Z262</f>
        <v>0</v>
      </c>
      <c r="CR262" s="266">
        <f ca="1">Q262*IFERROR(INDEX(Algorithms!$G:$G,MATCH($C262&amp;"_Therm Saved per Unit- MLA",Algorithms!$A:$A,0)),0)*AA262</f>
        <v>0</v>
      </c>
      <c r="CS262" s="266">
        <f ca="1">IFERROR(INDEX(Algorithms!$G:$G,MATCH($C262&amp;"_Lifetime (years)",Algorithms!$A:$A,0)),0)</f>
        <v>6</v>
      </c>
      <c r="CT262" s="266">
        <f ca="1">IFERROR(INDEX(Algorithms!$G:$G,MATCH($C262&amp;"_Lifetime (years) - Remaining Years",Algorithms!$A:$A,0)),0)</f>
        <v>0</v>
      </c>
      <c r="CU262" s="266">
        <f t="shared" ca="1" si="161"/>
        <v>3085.5362521521347</v>
      </c>
      <c r="CV262" s="266">
        <f t="shared" ca="1" si="162"/>
        <v>3085.5362521521347</v>
      </c>
      <c r="CW262" s="266">
        <f t="shared" ca="1" si="163"/>
        <v>3085.5362521521347</v>
      </c>
      <c r="CX262" s="266">
        <f t="shared" ca="1" si="164"/>
        <v>3085.5362521521347</v>
      </c>
    </row>
    <row r="263" spans="2:102" s="47" customFormat="1" ht="18" customHeight="1" x14ac:dyDescent="0.25">
      <c r="B263" t="str">
        <f t="shared" si="165"/>
        <v>NSG_Income Eligible_Multi-Family_Whole Building - Prescriptive_Air Sealing_0_MF</v>
      </c>
      <c r="C263" s="47" t="str">
        <f t="shared" si="126"/>
        <v>Air Sealing_0_MF</v>
      </c>
      <c r="D263" s="270" t="s">
        <v>1787</v>
      </c>
      <c r="E263" s="270" t="s">
        <v>325</v>
      </c>
      <c r="F263" s="270" t="s">
        <v>1422</v>
      </c>
      <c r="G263" s="270" t="s">
        <v>1813</v>
      </c>
      <c r="H263" s="270" t="s">
        <v>221</v>
      </c>
      <c r="I263" s="270">
        <v>0</v>
      </c>
      <c r="J263" s="270" t="s">
        <v>553</v>
      </c>
      <c r="K263" s="263">
        <v>1</v>
      </c>
      <c r="L263" s="263" t="str">
        <f ca="1">IFERROR(INDEX(Algorithms!J:J,MATCH($C263&amp;"_Therm Saved per Unit",Algorithms!$A:$A,0)),"n/a")</f>
        <v>5.6.1</v>
      </c>
      <c r="M263" s="263" t="str">
        <f>IFERROR(INDEX('Measure Level Detail'!$N:$N,MATCH($B263,'Measure Level Detail'!$B:$B,0)),0)</f>
        <v>project</v>
      </c>
      <c r="N263" s="271">
        <f>IFERROR(INDEX('Measure Level Detail'!$P:$P,MATCH($B263&amp;"_"&amp;N$3,'Measure Level Detail'!$C:$C,0)),0)</f>
        <v>3</v>
      </c>
      <c r="O263" s="271">
        <f>IFERROR(INDEX('Measure Level Detail'!$P:$P,MATCH($B263&amp;"_"&amp;O$3,'Measure Level Detail'!$C:$C,0)),0)</f>
        <v>3</v>
      </c>
      <c r="P263" s="271">
        <f>IFERROR(INDEX('Measure Level Detail'!$P:$P,MATCH($B263&amp;"_"&amp;P$3,'Measure Level Detail'!$C:$C,0)),0)</f>
        <v>3</v>
      </c>
      <c r="Q263" s="271">
        <f>IFERROR(INDEX('Measure Level Detail'!$P:$P,MATCH($B263&amp;"_"&amp;Q$3,'Measure Level Detail'!$C:$C,0)),0)</f>
        <v>3</v>
      </c>
      <c r="R263" s="263" t="str">
        <f ca="1">IFERROR(INDEX(Algorithms!K:K,MATCH($C263&amp;"_Therm Saved per Unit",Algorithms!$A:$A,0)),"n/a")</f>
        <v>RS-SHL-AIRS-V13-240101</v>
      </c>
      <c r="S263" s="262"/>
      <c r="T263" s="272">
        <v>43.618009478672981</v>
      </c>
      <c r="U263" s="272">
        <v>43.618009478672981</v>
      </c>
      <c r="V263" s="272">
        <v>43.618009478672981</v>
      </c>
      <c r="W263" s="272">
        <v>43.618009478672981</v>
      </c>
      <c r="X263" s="273">
        <f>IFERROR(INDEX('Measure Level Detail'!$R:$R,MATCH($B263&amp;"_"&amp;X$3,'Measure Level Detail'!$C:$C,0)),0)</f>
        <v>1</v>
      </c>
      <c r="Y263" s="273">
        <f>IFERROR(INDEX('Measure Level Detail'!$R:$R,MATCH($B263&amp;"_"&amp;Y$3,'Measure Level Detail'!$C:$C,0)),0)</f>
        <v>1</v>
      </c>
      <c r="Z263" s="273">
        <f>IFERROR(INDEX('Measure Level Detail'!$R:$R,MATCH($B263&amp;"_"&amp;Z$3,'Measure Level Detail'!$C:$C,0)),0)</f>
        <v>1</v>
      </c>
      <c r="AA263" s="273">
        <f>IFERROR(INDEX('Measure Level Detail'!$R:$R,MATCH($B263&amp;"_"&amp;AA$3,'Measure Level Detail'!$C:$C,0)),0)</f>
        <v>1</v>
      </c>
      <c r="AB263" s="266">
        <f t="shared" si="127"/>
        <v>130.85402843601895</v>
      </c>
      <c r="AC263" s="266">
        <f t="shared" si="128"/>
        <v>130.85402843601895</v>
      </c>
      <c r="AD263" s="266">
        <f t="shared" si="129"/>
        <v>130.85402843601895</v>
      </c>
      <c r="AE263" s="266">
        <f t="shared" si="130"/>
        <v>130.85402843601895</v>
      </c>
      <c r="AF263" s="266">
        <f t="shared" si="131"/>
        <v>523.4161137440758</v>
      </c>
      <c r="AG263" s="274">
        <v>1</v>
      </c>
      <c r="AH263" s="274">
        <v>1</v>
      </c>
      <c r="AI263" s="274">
        <v>1</v>
      </c>
      <c r="AJ263" s="274">
        <v>1</v>
      </c>
      <c r="AK263" s="274">
        <f t="shared" si="132"/>
        <v>1</v>
      </c>
      <c r="AL263" s="274">
        <f t="shared" si="133"/>
        <v>1</v>
      </c>
      <c r="AM263" s="274">
        <f t="shared" si="134"/>
        <v>1</v>
      </c>
      <c r="AN263" s="274">
        <f t="shared" si="135"/>
        <v>1</v>
      </c>
      <c r="AO263" s="262"/>
      <c r="AP263" s="262"/>
      <c r="AQ263" s="267">
        <v>43.618009478672981</v>
      </c>
      <c r="AR263" s="262"/>
      <c r="AS263" s="266">
        <f t="shared" si="136"/>
        <v>130.85402843601895</v>
      </c>
      <c r="AT263" s="264">
        <f t="shared" si="137"/>
        <v>0</v>
      </c>
      <c r="AU263" s="262"/>
      <c r="AV263" s="262"/>
      <c r="AW263" s="265">
        <v>43.618009478672981</v>
      </c>
      <c r="AX263" s="164" t="s">
        <v>2395</v>
      </c>
      <c r="AY263" s="266">
        <v>130.85402843601895</v>
      </c>
      <c r="AZ263" s="266">
        <f t="shared" si="138"/>
        <v>130.85402843601895</v>
      </c>
      <c r="BA263" s="264">
        <f t="shared" si="139"/>
        <v>0</v>
      </c>
      <c r="BB263" s="262"/>
      <c r="BC263" s="262"/>
      <c r="BD263" s="265">
        <f ca="1">IFERROR(INDEX(Algorithms!$G:$G,MATCH($C263&amp;"_Therm Saved per Unit",Algorithms!$A:$A,0)),0)</f>
        <v>40.930805687203787</v>
      </c>
      <c r="BE263" s="164" t="str">
        <f ca="1">IFERROR(INDEX('v12 Revisions'!$P$29:$P$186, MATCH('Measure-Level Adj Gas'!$L263, 'v12 Revisions'!$D$29:$D$186,0)),"")</f>
        <v>Updated HDD from 5113 to 4798 and shell adjustment factor from 0.72 to 0.76.</v>
      </c>
      <c r="BF263" s="266">
        <f t="shared" ca="1" si="140"/>
        <v>122.79241706161136</v>
      </c>
      <c r="BG263" s="264">
        <f t="shared" ca="1" si="141"/>
        <v>-8.0616113744075903</v>
      </c>
      <c r="BH263" s="262"/>
      <c r="BI263" s="262"/>
      <c r="BJ263" s="265">
        <f ca="1">IFERROR(INDEX(Algorithms!$G:$G,MATCH($C263&amp;"_Therm Saved per Unit",Algorithms!$A:$A,0)),0)</f>
        <v>40.930805687203787</v>
      </c>
      <c r="BK263" s="164"/>
      <c r="BL263" s="266">
        <f t="shared" ca="1" si="142"/>
        <v>122.79241706161136</v>
      </c>
      <c r="BM263" s="264">
        <f t="shared" ca="1" si="143"/>
        <v>-8.0616113744075903</v>
      </c>
      <c r="BN263" s="266">
        <f t="shared" si="144"/>
        <v>130.85402843601895</v>
      </c>
      <c r="BO263" s="266">
        <f t="shared" si="145"/>
        <v>130.85402843601895</v>
      </c>
      <c r="BP263" s="266">
        <f t="shared" ca="1" si="146"/>
        <v>122.79241706161136</v>
      </c>
      <c r="BQ263" s="266">
        <f t="shared" ca="1" si="147"/>
        <v>122.79241706161136</v>
      </c>
      <c r="BR263" s="268">
        <f t="shared" ca="1" si="148"/>
        <v>507.29289099526056</v>
      </c>
      <c r="BS263" s="262" t="s">
        <v>99</v>
      </c>
      <c r="BT263" s="277"/>
      <c r="BW263" s="266">
        <f t="shared" si="149"/>
        <v>130.85402843601895</v>
      </c>
      <c r="BX263" s="266">
        <f t="shared" si="150"/>
        <v>130.85402843601895</v>
      </c>
      <c r="BY263" s="266">
        <f t="shared" si="151"/>
        <v>130.85402843601895</v>
      </c>
      <c r="BZ263" s="266">
        <f t="shared" si="152"/>
        <v>130.85402843601895</v>
      </c>
      <c r="CA263" s="266">
        <f ca="1">N263*IFERROR(INDEX(Algorithms!$G:$G,MATCH($C263&amp;"_Therm Saved per Unit- MLA",Algorithms!$A:$A,0)),0)*X263</f>
        <v>130.01550041817674</v>
      </c>
      <c r="CB263" s="266">
        <f ca="1">O263*IFERROR(INDEX(Algorithms!$G:$G,MATCH($C263&amp;"_Therm Saved per Unit- MLA",Algorithms!$A:$A,0)),0)*Y263</f>
        <v>130.01550041817674</v>
      </c>
      <c r="CC263" s="266">
        <f ca="1">P263*IFERROR(INDEX(Algorithms!$G:$G,MATCH($C263&amp;"_Therm Saved per Unit- MLA",Algorithms!$A:$A,0)),0)*Z263</f>
        <v>130.01550041817674</v>
      </c>
      <c r="CD263" s="266">
        <f ca="1">Q263*IFERROR(INDEX(Algorithms!$G:$G,MATCH($C263&amp;"_Therm Saved per Unit- MLA",Algorithms!$A:$A,0)),0)*AA263</f>
        <v>130.01550041817674</v>
      </c>
      <c r="CE263" s="266">
        <f ca="1">IFERROR(INDEX(Algorithms!$G:$G,MATCH($C263&amp;"_Lifetime (years)",Algorithms!$A:$A,0)),0)</f>
        <v>20</v>
      </c>
      <c r="CF263" s="266">
        <f ca="1">IFERROR(INDEX(Algorithms!$G:$G,MATCH($C263&amp;"_Lifetime (years) - Remaining Years",Algorithms!$A:$A,0)),0)</f>
        <v>10</v>
      </c>
      <c r="CG263" s="266">
        <f t="shared" ca="1" si="153"/>
        <v>2608.6952885419569</v>
      </c>
      <c r="CH263" s="266">
        <f t="shared" ca="1" si="154"/>
        <v>2608.6952885419569</v>
      </c>
      <c r="CI263" s="266">
        <f t="shared" ca="1" si="155"/>
        <v>2608.6952885419569</v>
      </c>
      <c r="CJ263" s="266">
        <f t="shared" ca="1" si="156"/>
        <v>2608.6952885419569</v>
      </c>
      <c r="CK263" s="266">
        <f t="shared" si="157"/>
        <v>130.85402843601895</v>
      </c>
      <c r="CL263" s="266">
        <f t="shared" si="158"/>
        <v>130.85402843601895</v>
      </c>
      <c r="CM263" s="266">
        <f t="shared" ca="1" si="159"/>
        <v>122.79241706161136</v>
      </c>
      <c r="CN263" s="266">
        <f t="shared" ca="1" si="160"/>
        <v>122.79241706161136</v>
      </c>
      <c r="CO263" s="266">
        <f ca="1">N263*IFERROR(INDEX(Algorithms!$G:$G,MATCH($C263&amp;"_Therm Saved per Unit- MLA",Algorithms!$A:$A,0)),0)*X263</f>
        <v>130.01550041817674</v>
      </c>
      <c r="CP263" s="266">
        <f ca="1">O263*IFERROR(INDEX(Algorithms!$G:$G,MATCH($C263&amp;"_Therm Saved per Unit- MLA",Algorithms!$A:$A,0)),0)*Y263</f>
        <v>130.01550041817674</v>
      </c>
      <c r="CQ263" s="266">
        <f ca="1">P263*IFERROR(INDEX(Algorithms!$G:$G,MATCH($C263&amp;"_Therm Saved per Unit- MLA",Algorithms!$A:$A,0)),0)*Z263</f>
        <v>130.01550041817674</v>
      </c>
      <c r="CR263" s="266">
        <f ca="1">Q263*IFERROR(INDEX(Algorithms!$G:$G,MATCH($C263&amp;"_Therm Saved per Unit- MLA",Algorithms!$A:$A,0)),0)*AA263</f>
        <v>130.01550041817674</v>
      </c>
      <c r="CS263" s="266">
        <f ca="1">IFERROR(INDEX(Algorithms!$G:$G,MATCH($C263&amp;"_Lifetime (years)",Algorithms!$A:$A,0)),0)</f>
        <v>20</v>
      </c>
      <c r="CT263" s="266">
        <f ca="1">IFERROR(INDEX(Algorithms!$G:$G,MATCH($C263&amp;"_Lifetime (years) - Remaining Years",Algorithms!$A:$A,0)),0)</f>
        <v>10</v>
      </c>
      <c r="CU263" s="266">
        <f t="shared" ca="1" si="161"/>
        <v>2608.6952885419569</v>
      </c>
      <c r="CV263" s="266">
        <f t="shared" ca="1" si="162"/>
        <v>2608.6952885419569</v>
      </c>
      <c r="CW263" s="266">
        <f t="shared" ca="1" si="163"/>
        <v>2528.079174797881</v>
      </c>
      <c r="CX263" s="266">
        <f t="shared" ca="1" si="164"/>
        <v>2528.079174797881</v>
      </c>
    </row>
    <row r="264" spans="2:102" s="47" customFormat="1" ht="18" customHeight="1" x14ac:dyDescent="0.25">
      <c r="B264" t="str">
        <f t="shared" si="165"/>
        <v>NSG_Income Eligible_Multi-Family_Whole Building - Prescriptive_Steam Boiler Averaging Controls_0_MF</v>
      </c>
      <c r="C264" s="47" t="str">
        <f t="shared" si="126"/>
        <v>Steam Boiler Averaging Controls_0_MF</v>
      </c>
      <c r="D264" s="270" t="s">
        <v>1787</v>
      </c>
      <c r="E264" s="270" t="s">
        <v>325</v>
      </c>
      <c r="F264" s="270" t="s">
        <v>1422</v>
      </c>
      <c r="G264" s="270" t="s">
        <v>1813</v>
      </c>
      <c r="H264" s="270" t="s">
        <v>934</v>
      </c>
      <c r="I264" s="270">
        <v>0</v>
      </c>
      <c r="J264" s="270" t="s">
        <v>553</v>
      </c>
      <c r="K264" s="263">
        <v>1</v>
      </c>
      <c r="L264" s="263" t="str">
        <f ca="1">IFERROR(INDEX(Algorithms!J:J,MATCH($C264&amp;"_Therm Saved per Unit",Algorithms!$A:$A,0)),"n/a")</f>
        <v>4.4.36</v>
      </c>
      <c r="M264" s="263" t="str">
        <f>IFERROR(INDEX('Measure Level Detail'!$N:$N,MATCH($B264,'Measure Level Detail'!$B:$B,0)),0)</f>
        <v>living unit</v>
      </c>
      <c r="N264" s="271">
        <f>IFERROR(INDEX('Measure Level Detail'!$P:$P,MATCH($B264&amp;"_"&amp;N$3,'Measure Level Detail'!$C:$C,0)),0)</f>
        <v>3</v>
      </c>
      <c r="O264" s="271">
        <f>IFERROR(INDEX('Measure Level Detail'!$P:$P,MATCH($B264&amp;"_"&amp;O$3,'Measure Level Detail'!$C:$C,0)),0)</f>
        <v>3</v>
      </c>
      <c r="P264" s="271">
        <f>IFERROR(INDEX('Measure Level Detail'!$P:$P,MATCH($B264&amp;"_"&amp;P$3,'Measure Level Detail'!$C:$C,0)),0)</f>
        <v>3</v>
      </c>
      <c r="Q264" s="271">
        <f>IFERROR(INDEX('Measure Level Detail'!$P:$P,MATCH($B264&amp;"_"&amp;Q$3,'Measure Level Detail'!$C:$C,0)),0)</f>
        <v>3</v>
      </c>
      <c r="R264" s="263" t="str">
        <f ca="1">IFERROR(INDEX(Algorithms!K:K,MATCH($C264&amp;"_Therm Saved per Unit",Algorithms!$A:$A,0)),"n/a")</f>
        <v>CI-HVC-SBAC-V03-230101</v>
      </c>
      <c r="S264" s="262"/>
      <c r="T264" s="272">
        <v>83.05</v>
      </c>
      <c r="U264" s="272">
        <v>83.05</v>
      </c>
      <c r="V264" s="272">
        <v>83.05</v>
      </c>
      <c r="W264" s="272">
        <v>83.05</v>
      </c>
      <c r="X264" s="273">
        <f>IFERROR(INDEX('Measure Level Detail'!$R:$R,MATCH($B264&amp;"_"&amp;X$3,'Measure Level Detail'!$C:$C,0)),0)</f>
        <v>1</v>
      </c>
      <c r="Y264" s="273">
        <f>IFERROR(INDEX('Measure Level Detail'!$R:$R,MATCH($B264&amp;"_"&amp;Y$3,'Measure Level Detail'!$C:$C,0)),0)</f>
        <v>1</v>
      </c>
      <c r="Z264" s="273">
        <f>IFERROR(INDEX('Measure Level Detail'!$R:$R,MATCH($B264&amp;"_"&amp;Z$3,'Measure Level Detail'!$C:$C,0)),0)</f>
        <v>1</v>
      </c>
      <c r="AA264" s="273">
        <f>IFERROR(INDEX('Measure Level Detail'!$R:$R,MATCH($B264&amp;"_"&amp;AA$3,'Measure Level Detail'!$C:$C,0)),0)</f>
        <v>1</v>
      </c>
      <c r="AB264" s="266">
        <f t="shared" si="127"/>
        <v>249.14999999999998</v>
      </c>
      <c r="AC264" s="266">
        <f t="shared" si="128"/>
        <v>249.14999999999998</v>
      </c>
      <c r="AD264" s="266">
        <f t="shared" si="129"/>
        <v>249.14999999999998</v>
      </c>
      <c r="AE264" s="266">
        <f t="shared" si="130"/>
        <v>249.14999999999998</v>
      </c>
      <c r="AF264" s="266">
        <f t="shared" si="131"/>
        <v>996.59999999999991</v>
      </c>
      <c r="AG264" s="274">
        <v>1</v>
      </c>
      <c r="AH264" s="274">
        <v>1</v>
      </c>
      <c r="AI264" s="274">
        <v>1</v>
      </c>
      <c r="AJ264" s="274">
        <v>1</v>
      </c>
      <c r="AK264" s="274">
        <f t="shared" si="132"/>
        <v>1</v>
      </c>
      <c r="AL264" s="274">
        <f t="shared" si="133"/>
        <v>1</v>
      </c>
      <c r="AM264" s="274">
        <f t="shared" si="134"/>
        <v>1</v>
      </c>
      <c r="AN264" s="274">
        <f t="shared" si="135"/>
        <v>1</v>
      </c>
      <c r="AO264" s="262"/>
      <c r="AP264" s="262"/>
      <c r="AQ264" s="267">
        <v>83.05</v>
      </c>
      <c r="AR264" s="262"/>
      <c r="AS264" s="266">
        <f t="shared" si="136"/>
        <v>249.14999999999998</v>
      </c>
      <c r="AT264" s="264">
        <f t="shared" si="137"/>
        <v>0</v>
      </c>
      <c r="AU264" s="262"/>
      <c r="AV264" s="262"/>
      <c r="AW264" s="265">
        <v>83.05</v>
      </c>
      <c r="AX264" s="164" t="s">
        <v>1469</v>
      </c>
      <c r="AY264" s="266">
        <v>249.14999999999998</v>
      </c>
      <c r="AZ264" s="266">
        <f t="shared" si="138"/>
        <v>249.14999999999998</v>
      </c>
      <c r="BA264" s="264">
        <f t="shared" si="139"/>
        <v>0</v>
      </c>
      <c r="BB264" s="262"/>
      <c r="BC264" s="262"/>
      <c r="BD264" s="265">
        <f ca="1">IFERROR(INDEX(Algorithms!$G:$G,MATCH($C264&amp;"_Therm Saved per Unit",Algorithms!$A:$A,0)),0)</f>
        <v>83.05</v>
      </c>
      <c r="BE264" s="164" t="str">
        <f ca="1">IFERROR(INDEX('v12 Revisions'!$P$29:$P$186, MATCH('Measure-Level Adj Gas'!$L264, 'v12 Revisions'!$D$29:$D$186,0)),"")</f>
        <v/>
      </c>
      <c r="BF264" s="266">
        <f t="shared" ca="1" si="140"/>
        <v>249.14999999999998</v>
      </c>
      <c r="BG264" s="264">
        <f t="shared" ca="1" si="141"/>
        <v>0</v>
      </c>
      <c r="BH264" s="262"/>
      <c r="BI264" s="262"/>
      <c r="BJ264" s="265">
        <f ca="1">IFERROR(INDEX(Algorithms!$G:$G,MATCH($C264&amp;"_Therm Saved per Unit",Algorithms!$A:$A,0)),0)</f>
        <v>83.05</v>
      </c>
      <c r="BK264" s="164"/>
      <c r="BL264" s="266">
        <f t="shared" ca="1" si="142"/>
        <v>249.14999999999998</v>
      </c>
      <c r="BM264" s="264">
        <f t="shared" ca="1" si="143"/>
        <v>0</v>
      </c>
      <c r="BN264" s="266">
        <f t="shared" si="144"/>
        <v>249.14999999999998</v>
      </c>
      <c r="BO264" s="266">
        <f t="shared" si="145"/>
        <v>249.14999999999998</v>
      </c>
      <c r="BP264" s="266">
        <f t="shared" ca="1" si="146"/>
        <v>249.14999999999998</v>
      </c>
      <c r="BQ264" s="266">
        <f t="shared" ca="1" si="147"/>
        <v>249.14999999999998</v>
      </c>
      <c r="BR264" s="268">
        <f t="shared" ca="1" si="148"/>
        <v>996.59999999999991</v>
      </c>
      <c r="BS264" s="262" t="s">
        <v>99</v>
      </c>
      <c r="BT264" s="277"/>
      <c r="BW264" s="266">
        <f t="shared" si="149"/>
        <v>249.14999999999998</v>
      </c>
      <c r="BX264" s="266">
        <f t="shared" si="150"/>
        <v>249.14999999999998</v>
      </c>
      <c r="BY264" s="266">
        <f t="shared" si="151"/>
        <v>249.14999999999998</v>
      </c>
      <c r="BZ264" s="266">
        <f t="shared" si="152"/>
        <v>249.14999999999998</v>
      </c>
      <c r="CA264" s="266">
        <f ca="1">N264*IFERROR(INDEX(Algorithms!$G:$G,MATCH($C264&amp;"_Therm Saved per Unit- MLA",Algorithms!$A:$A,0)),0)*X264</f>
        <v>0</v>
      </c>
      <c r="CB264" s="266">
        <f ca="1">O264*IFERROR(INDEX(Algorithms!$G:$G,MATCH($C264&amp;"_Therm Saved per Unit- MLA",Algorithms!$A:$A,0)),0)*Y264</f>
        <v>0</v>
      </c>
      <c r="CC264" s="266">
        <f ca="1">P264*IFERROR(INDEX(Algorithms!$G:$G,MATCH($C264&amp;"_Therm Saved per Unit- MLA",Algorithms!$A:$A,0)),0)*Z264</f>
        <v>0</v>
      </c>
      <c r="CD264" s="266">
        <f ca="1">Q264*IFERROR(INDEX(Algorithms!$G:$G,MATCH($C264&amp;"_Therm Saved per Unit- MLA",Algorithms!$A:$A,0)),0)*AA264</f>
        <v>0</v>
      </c>
      <c r="CE264" s="266">
        <f ca="1">IFERROR(INDEX(Algorithms!$G:$G,MATCH($C264&amp;"_Lifetime (years)",Algorithms!$A:$A,0)),0)</f>
        <v>20</v>
      </c>
      <c r="CF264" s="266">
        <f ca="1">IFERROR(INDEX(Algorithms!$G:$G,MATCH($C264&amp;"_Lifetime (years) - Remaining Years",Algorithms!$A:$A,0)),0)</f>
        <v>0</v>
      </c>
      <c r="CG264" s="266">
        <f t="shared" ca="1" si="153"/>
        <v>4983</v>
      </c>
      <c r="CH264" s="266">
        <f t="shared" ca="1" si="154"/>
        <v>4983</v>
      </c>
      <c r="CI264" s="266">
        <f t="shared" ca="1" si="155"/>
        <v>4983</v>
      </c>
      <c r="CJ264" s="266">
        <f t="shared" ca="1" si="156"/>
        <v>4983</v>
      </c>
      <c r="CK264" s="266">
        <f t="shared" si="157"/>
        <v>249.14999999999998</v>
      </c>
      <c r="CL264" s="266">
        <f t="shared" si="158"/>
        <v>249.14999999999998</v>
      </c>
      <c r="CM264" s="266">
        <f t="shared" ca="1" si="159"/>
        <v>249.14999999999998</v>
      </c>
      <c r="CN264" s="266">
        <f t="shared" ca="1" si="160"/>
        <v>249.14999999999998</v>
      </c>
      <c r="CO264" s="266">
        <f ca="1">N264*IFERROR(INDEX(Algorithms!$G:$G,MATCH($C264&amp;"_Therm Saved per Unit- MLA",Algorithms!$A:$A,0)),0)*X264</f>
        <v>0</v>
      </c>
      <c r="CP264" s="266">
        <f ca="1">O264*IFERROR(INDEX(Algorithms!$G:$G,MATCH($C264&amp;"_Therm Saved per Unit- MLA",Algorithms!$A:$A,0)),0)*Y264</f>
        <v>0</v>
      </c>
      <c r="CQ264" s="266">
        <f ca="1">P264*IFERROR(INDEX(Algorithms!$G:$G,MATCH($C264&amp;"_Therm Saved per Unit- MLA",Algorithms!$A:$A,0)),0)*Z264</f>
        <v>0</v>
      </c>
      <c r="CR264" s="266">
        <f ca="1">Q264*IFERROR(INDEX(Algorithms!$G:$G,MATCH($C264&amp;"_Therm Saved per Unit- MLA",Algorithms!$A:$A,0)),0)*AA264</f>
        <v>0</v>
      </c>
      <c r="CS264" s="266">
        <f ca="1">IFERROR(INDEX(Algorithms!$G:$G,MATCH($C264&amp;"_Lifetime (years)",Algorithms!$A:$A,0)),0)</f>
        <v>20</v>
      </c>
      <c r="CT264" s="266">
        <f ca="1">IFERROR(INDEX(Algorithms!$G:$G,MATCH($C264&amp;"_Lifetime (years) - Remaining Years",Algorithms!$A:$A,0)),0)</f>
        <v>0</v>
      </c>
      <c r="CU264" s="266">
        <f t="shared" ca="1" si="161"/>
        <v>4983</v>
      </c>
      <c r="CV264" s="266">
        <f t="shared" ca="1" si="162"/>
        <v>4983</v>
      </c>
      <c r="CW264" s="266">
        <f t="shared" ca="1" si="163"/>
        <v>4983</v>
      </c>
      <c r="CX264" s="266">
        <f t="shared" ca="1" si="164"/>
        <v>4983</v>
      </c>
    </row>
    <row r="265" spans="2:102" s="47" customFormat="1" ht="18" customHeight="1" x14ac:dyDescent="0.25">
      <c r="B265" t="str">
        <f t="shared" si="165"/>
        <v>NSG_Income Eligible_Multi-Family_Whole Building - Prescriptive_Steam Traps_HVAC Repair/Rep - Audit_MF</v>
      </c>
      <c r="C265" s="47" t="str">
        <f t="shared" si="126"/>
        <v>Steam Traps_HVAC Repair/Rep - Audit_MF</v>
      </c>
      <c r="D265" s="270" t="s">
        <v>1787</v>
      </c>
      <c r="E265" s="270" t="s">
        <v>325</v>
      </c>
      <c r="F265" s="270" t="s">
        <v>1422</v>
      </c>
      <c r="G265" s="270" t="s">
        <v>1813</v>
      </c>
      <c r="H265" s="270" t="s">
        <v>644</v>
      </c>
      <c r="I265" s="270" t="s">
        <v>645</v>
      </c>
      <c r="J265" s="270" t="s">
        <v>553</v>
      </c>
      <c r="K265" s="263">
        <v>1</v>
      </c>
      <c r="L265" s="263" t="str">
        <f ca="1">IFERROR(INDEX(Algorithms!J:J,MATCH($C265&amp;"_Therm Saved per Unit",Algorithms!$A:$A,0)),"n/a")</f>
        <v>4.4.16</v>
      </c>
      <c r="M265" s="263" t="str">
        <f>IFERROR(INDEX('Measure Level Detail'!$N:$N,MATCH($B265,'Measure Level Detail'!$B:$B,0)),0)</f>
        <v>each</v>
      </c>
      <c r="N265" s="271">
        <f>IFERROR(INDEX('Measure Level Detail'!$P:$P,MATCH($B265&amp;"_"&amp;N$3,'Measure Level Detail'!$C:$C,0)),0)</f>
        <v>3</v>
      </c>
      <c r="O265" s="271">
        <f>IFERROR(INDEX('Measure Level Detail'!$P:$P,MATCH($B265&amp;"_"&amp;O$3,'Measure Level Detail'!$C:$C,0)),0)</f>
        <v>3</v>
      </c>
      <c r="P265" s="271">
        <f>IFERROR(INDEX('Measure Level Detail'!$P:$P,MATCH($B265&amp;"_"&amp;P$3,'Measure Level Detail'!$C:$C,0)),0)</f>
        <v>3</v>
      </c>
      <c r="Q265" s="271">
        <f>IFERROR(INDEX('Measure Level Detail'!$P:$P,MATCH($B265&amp;"_"&amp;Q$3,'Measure Level Detail'!$C:$C,0)),0)</f>
        <v>3</v>
      </c>
      <c r="R265" s="263" t="str">
        <f ca="1">IFERROR(INDEX(Algorithms!K:K,MATCH($C265&amp;"_Therm Saved per Unit",Algorithms!$A:$A,0)),"n/a")</f>
        <v>CI-HVC-STRE-V10-240101</v>
      </c>
      <c r="S265" s="262"/>
      <c r="T265" s="272">
        <v>197.03296629323975</v>
      </c>
      <c r="U265" s="272">
        <v>197.03296629323975</v>
      </c>
      <c r="V265" s="272">
        <v>197.03296629323975</v>
      </c>
      <c r="W265" s="272">
        <v>197.03296629323975</v>
      </c>
      <c r="X265" s="273">
        <f>IFERROR(INDEX('Measure Level Detail'!$R:$R,MATCH($B265&amp;"_"&amp;X$3,'Measure Level Detail'!$C:$C,0)),0)</f>
        <v>1</v>
      </c>
      <c r="Y265" s="273">
        <f>IFERROR(INDEX('Measure Level Detail'!$R:$R,MATCH($B265&amp;"_"&amp;Y$3,'Measure Level Detail'!$C:$C,0)),0)</f>
        <v>1</v>
      </c>
      <c r="Z265" s="273">
        <f>IFERROR(INDEX('Measure Level Detail'!$R:$R,MATCH($B265&amp;"_"&amp;Z$3,'Measure Level Detail'!$C:$C,0)),0)</f>
        <v>1</v>
      </c>
      <c r="AA265" s="273">
        <f>IFERROR(INDEX('Measure Level Detail'!$R:$R,MATCH($B265&amp;"_"&amp;AA$3,'Measure Level Detail'!$C:$C,0)),0)</f>
        <v>1</v>
      </c>
      <c r="AB265" s="266">
        <f t="shared" si="127"/>
        <v>591.09889887971929</v>
      </c>
      <c r="AC265" s="266">
        <f t="shared" si="128"/>
        <v>591.09889887971929</v>
      </c>
      <c r="AD265" s="266">
        <f t="shared" si="129"/>
        <v>591.09889887971929</v>
      </c>
      <c r="AE265" s="266">
        <f t="shared" si="130"/>
        <v>591.09889887971929</v>
      </c>
      <c r="AF265" s="266">
        <f t="shared" si="131"/>
        <v>2364.3955955188771</v>
      </c>
      <c r="AG265" s="274">
        <v>1</v>
      </c>
      <c r="AH265" s="274">
        <v>1</v>
      </c>
      <c r="AI265" s="274">
        <v>1</v>
      </c>
      <c r="AJ265" s="274">
        <v>1</v>
      </c>
      <c r="AK265" s="274">
        <f t="shared" si="132"/>
        <v>1</v>
      </c>
      <c r="AL265" s="274">
        <f t="shared" si="133"/>
        <v>1</v>
      </c>
      <c r="AM265" s="274">
        <f t="shared" si="134"/>
        <v>1</v>
      </c>
      <c r="AN265" s="274">
        <f t="shared" si="135"/>
        <v>1</v>
      </c>
      <c r="AO265" s="262"/>
      <c r="AP265" s="262"/>
      <c r="AQ265" s="267">
        <v>197.03296629323975</v>
      </c>
      <c r="AR265" s="262"/>
      <c r="AS265" s="266">
        <f t="shared" si="136"/>
        <v>591.09889887971929</v>
      </c>
      <c r="AT265" s="264">
        <f t="shared" si="137"/>
        <v>0</v>
      </c>
      <c r="AU265" s="262"/>
      <c r="AV265" s="262"/>
      <c r="AW265" s="265">
        <v>197.03296629323975</v>
      </c>
      <c r="AX265" s="164" t="s">
        <v>2397</v>
      </c>
      <c r="AY265" s="266">
        <v>591.09889887971929</v>
      </c>
      <c r="AZ265" s="266">
        <f t="shared" si="138"/>
        <v>591.09889887971929</v>
      </c>
      <c r="BA265" s="264">
        <f t="shared" si="139"/>
        <v>0</v>
      </c>
      <c r="BB265" s="262"/>
      <c r="BC265" s="262"/>
      <c r="BD265" s="265">
        <f ca="1">IFERROR(INDEX(Algorithms!$G:$G,MATCH($C265&amp;"_Therm Saved per Unit",Algorithms!$A:$A,0)),0)</f>
        <v>197.03296629323975</v>
      </c>
      <c r="BE265" s="164" t="str">
        <f ca="1">IFERROR(INDEX('v12 Revisions'!$P$29:$P$186, MATCH('Measure-Level Adj Gas'!$L265, 'v12 Revisions'!$D$29:$D$186,0)),"")</f>
        <v>n/a - costs only.</v>
      </c>
      <c r="BF265" s="266">
        <f t="shared" ca="1" si="140"/>
        <v>591.09889887971929</v>
      </c>
      <c r="BG265" s="264">
        <f t="shared" ca="1" si="141"/>
        <v>0</v>
      </c>
      <c r="BH265" s="262"/>
      <c r="BI265" s="262"/>
      <c r="BJ265" s="265">
        <f ca="1">IFERROR(INDEX(Algorithms!$G:$G,MATCH($C265&amp;"_Therm Saved per Unit",Algorithms!$A:$A,0)),0)</f>
        <v>197.03296629323975</v>
      </c>
      <c r="BK265" s="164"/>
      <c r="BL265" s="266">
        <f t="shared" ca="1" si="142"/>
        <v>591.09889887971929</v>
      </c>
      <c r="BM265" s="264">
        <f t="shared" ca="1" si="143"/>
        <v>0</v>
      </c>
      <c r="BN265" s="266">
        <f t="shared" si="144"/>
        <v>591.09889887971929</v>
      </c>
      <c r="BO265" s="266">
        <f t="shared" si="145"/>
        <v>591.09889887971929</v>
      </c>
      <c r="BP265" s="266">
        <f t="shared" ca="1" si="146"/>
        <v>591.09889887971929</v>
      </c>
      <c r="BQ265" s="266">
        <f t="shared" ca="1" si="147"/>
        <v>591.09889887971929</v>
      </c>
      <c r="BR265" s="268">
        <f t="shared" ca="1" si="148"/>
        <v>2364.3955955188771</v>
      </c>
      <c r="BS265" s="262" t="s">
        <v>99</v>
      </c>
      <c r="BT265" s="277"/>
      <c r="BW265" s="266">
        <f t="shared" si="149"/>
        <v>591.09889887971929</v>
      </c>
      <c r="BX265" s="266">
        <f t="shared" si="150"/>
        <v>591.09889887971929</v>
      </c>
      <c r="BY265" s="266">
        <f t="shared" si="151"/>
        <v>591.09889887971929</v>
      </c>
      <c r="BZ265" s="266">
        <f t="shared" si="152"/>
        <v>591.09889887971929</v>
      </c>
      <c r="CA265" s="266">
        <f ca="1">N265*IFERROR(INDEX(Algorithms!$G:$G,MATCH($C265&amp;"_Therm Saved per Unit- MLA",Algorithms!$A:$A,0)),0)*X265</f>
        <v>0</v>
      </c>
      <c r="CB265" s="266">
        <f ca="1">O265*IFERROR(INDEX(Algorithms!$G:$G,MATCH($C265&amp;"_Therm Saved per Unit- MLA",Algorithms!$A:$A,0)),0)*Y265</f>
        <v>0</v>
      </c>
      <c r="CC265" s="266">
        <f ca="1">P265*IFERROR(INDEX(Algorithms!$G:$G,MATCH($C265&amp;"_Therm Saved per Unit- MLA",Algorithms!$A:$A,0)),0)*Z265</f>
        <v>0</v>
      </c>
      <c r="CD265" s="266">
        <f ca="1">Q265*IFERROR(INDEX(Algorithms!$G:$G,MATCH($C265&amp;"_Therm Saved per Unit- MLA",Algorithms!$A:$A,0)),0)*AA265</f>
        <v>0</v>
      </c>
      <c r="CE265" s="266">
        <f ca="1">IFERROR(INDEX(Algorithms!$G:$G,MATCH($C265&amp;"_Lifetime (years)",Algorithms!$A:$A,0)),0)</f>
        <v>6</v>
      </c>
      <c r="CF265" s="266">
        <f ca="1">IFERROR(INDEX(Algorithms!$G:$G,MATCH($C265&amp;"_Lifetime (years) - Remaining Years",Algorithms!$A:$A,0)),0)</f>
        <v>0</v>
      </c>
      <c r="CG265" s="266">
        <f t="shared" ca="1" si="153"/>
        <v>3546.5933932783155</v>
      </c>
      <c r="CH265" s="266">
        <f t="shared" ca="1" si="154"/>
        <v>3546.5933932783155</v>
      </c>
      <c r="CI265" s="266">
        <f t="shared" ca="1" si="155"/>
        <v>3546.5933932783155</v>
      </c>
      <c r="CJ265" s="266">
        <f t="shared" ca="1" si="156"/>
        <v>3546.5933932783155</v>
      </c>
      <c r="CK265" s="266">
        <f t="shared" si="157"/>
        <v>591.09889887971929</v>
      </c>
      <c r="CL265" s="266">
        <f t="shared" si="158"/>
        <v>591.09889887971929</v>
      </c>
      <c r="CM265" s="266">
        <f t="shared" ca="1" si="159"/>
        <v>591.09889887971929</v>
      </c>
      <c r="CN265" s="266">
        <f t="shared" ca="1" si="160"/>
        <v>591.09889887971929</v>
      </c>
      <c r="CO265" s="266">
        <f ca="1">N265*IFERROR(INDEX(Algorithms!$G:$G,MATCH($C265&amp;"_Therm Saved per Unit- MLA",Algorithms!$A:$A,0)),0)*X265</f>
        <v>0</v>
      </c>
      <c r="CP265" s="266">
        <f ca="1">O265*IFERROR(INDEX(Algorithms!$G:$G,MATCH($C265&amp;"_Therm Saved per Unit- MLA",Algorithms!$A:$A,0)),0)*Y265</f>
        <v>0</v>
      </c>
      <c r="CQ265" s="266">
        <f ca="1">P265*IFERROR(INDEX(Algorithms!$G:$G,MATCH($C265&amp;"_Therm Saved per Unit- MLA",Algorithms!$A:$A,0)),0)*Z265</f>
        <v>0</v>
      </c>
      <c r="CR265" s="266">
        <f ca="1">Q265*IFERROR(INDEX(Algorithms!$G:$G,MATCH($C265&amp;"_Therm Saved per Unit- MLA",Algorithms!$A:$A,0)),0)*AA265</f>
        <v>0</v>
      </c>
      <c r="CS265" s="266">
        <f ca="1">IFERROR(INDEX(Algorithms!$G:$G,MATCH($C265&amp;"_Lifetime (years)",Algorithms!$A:$A,0)),0)</f>
        <v>6</v>
      </c>
      <c r="CT265" s="266">
        <f ca="1">IFERROR(INDEX(Algorithms!$G:$G,MATCH($C265&amp;"_Lifetime (years) - Remaining Years",Algorithms!$A:$A,0)),0)</f>
        <v>0</v>
      </c>
      <c r="CU265" s="266">
        <f t="shared" ca="1" si="161"/>
        <v>3546.5933932783155</v>
      </c>
      <c r="CV265" s="266">
        <f t="shared" ca="1" si="162"/>
        <v>3546.5933932783155</v>
      </c>
      <c r="CW265" s="266">
        <f t="shared" ca="1" si="163"/>
        <v>3546.5933932783155</v>
      </c>
      <c r="CX265" s="266">
        <f t="shared" ca="1" si="164"/>
        <v>3546.5933932783155</v>
      </c>
    </row>
    <row r="266" spans="2:102" s="47" customFormat="1" ht="18" customHeight="1" x14ac:dyDescent="0.25">
      <c r="B266" t="str">
        <f t="shared" si="165"/>
        <v>NSG_Income Eligible_Multi-Family_Whole Building - Public Housing_A/C Cover and Gap Sealer_0_MF</v>
      </c>
      <c r="C266" s="47" t="str">
        <f t="shared" ref="C266:C329" si="166">H266&amp;"_"&amp;I266&amp;"_"&amp;J266</f>
        <v>A/C Cover and Gap Sealer_0_MF</v>
      </c>
      <c r="D266" s="270" t="s">
        <v>1787</v>
      </c>
      <c r="E266" s="270" t="s">
        <v>325</v>
      </c>
      <c r="F266" s="270" t="s">
        <v>1422</v>
      </c>
      <c r="G266" s="270" t="s">
        <v>1817</v>
      </c>
      <c r="H266" s="270" t="s">
        <v>1400</v>
      </c>
      <c r="I266" s="270">
        <v>0</v>
      </c>
      <c r="J266" s="270" t="s">
        <v>553</v>
      </c>
      <c r="K266" s="263">
        <v>1</v>
      </c>
      <c r="L266" s="263" t="str">
        <f ca="1">IFERROR(INDEX(Algorithms!J:J,MATCH($C266&amp;"_Therm Saved per Unit",Algorithms!$A:$A,0)),"n/a")</f>
        <v>4.4.38</v>
      </c>
      <c r="M266" s="263" t="str">
        <f>IFERROR(INDEX('Measure Level Detail'!$N:$N,MATCH($B266,'Measure Level Detail'!$B:$B,0)),0)</f>
        <v>each</v>
      </c>
      <c r="N266" s="271">
        <f>IFERROR(INDEX('Measure Level Detail'!$P:$P,MATCH($B266&amp;"_"&amp;N$3,'Measure Level Detail'!$C:$C,0)),0)</f>
        <v>3</v>
      </c>
      <c r="O266" s="271">
        <f>IFERROR(INDEX('Measure Level Detail'!$P:$P,MATCH($B266&amp;"_"&amp;O$3,'Measure Level Detail'!$C:$C,0)),0)</f>
        <v>3</v>
      </c>
      <c r="P266" s="271">
        <f>IFERROR(INDEX('Measure Level Detail'!$P:$P,MATCH($B266&amp;"_"&amp;P$3,'Measure Level Detail'!$C:$C,0)),0)</f>
        <v>3</v>
      </c>
      <c r="Q266" s="271">
        <f>IFERROR(INDEX('Measure Level Detail'!$P:$P,MATCH($B266&amp;"_"&amp;Q$3,'Measure Level Detail'!$C:$C,0)),0)</f>
        <v>3</v>
      </c>
      <c r="R266" s="263" t="str">
        <f ca="1">IFERROR(INDEX(Algorithms!K:K,MATCH($C266&amp;"_Therm Saved per Unit",Algorithms!$A:$A,0)),"n/a")</f>
        <v>CI-HVC-CRAC-V03-230101</v>
      </c>
      <c r="S266" s="262"/>
      <c r="T266" s="272">
        <v>12.64</v>
      </c>
      <c r="U266" s="272">
        <v>12.64</v>
      </c>
      <c r="V266" s="272">
        <v>12.64</v>
      </c>
      <c r="W266" s="272">
        <v>12.64</v>
      </c>
      <c r="X266" s="273">
        <f>IFERROR(INDEX('Measure Level Detail'!$R:$R,MATCH($B266&amp;"_"&amp;X$3,'Measure Level Detail'!$C:$C,0)),0)</f>
        <v>1</v>
      </c>
      <c r="Y266" s="273">
        <f>IFERROR(INDEX('Measure Level Detail'!$R:$R,MATCH($B266&amp;"_"&amp;Y$3,'Measure Level Detail'!$C:$C,0)),0)</f>
        <v>1</v>
      </c>
      <c r="Z266" s="273">
        <f>IFERROR(INDEX('Measure Level Detail'!$R:$R,MATCH($B266&amp;"_"&amp;Z$3,'Measure Level Detail'!$C:$C,0)),0)</f>
        <v>1</v>
      </c>
      <c r="AA266" s="273">
        <f>IFERROR(INDEX('Measure Level Detail'!$R:$R,MATCH($B266&amp;"_"&amp;AA$3,'Measure Level Detail'!$C:$C,0)),0)</f>
        <v>1</v>
      </c>
      <c r="AB266" s="266">
        <f t="shared" ref="AB266:AB329" si="167">N266*T266*X266</f>
        <v>37.92</v>
      </c>
      <c r="AC266" s="266">
        <f t="shared" ref="AC266:AC329" si="168">O266*U266*Y266</f>
        <v>37.92</v>
      </c>
      <c r="AD266" s="266">
        <f t="shared" ref="AD266:AD329" si="169">P266*V266*Z266</f>
        <v>37.92</v>
      </c>
      <c r="AE266" s="266">
        <f t="shared" ref="AE266:AE329" si="170">Q266*W266*AA266</f>
        <v>37.92</v>
      </c>
      <c r="AF266" s="266">
        <f t="shared" ref="AF266:AF329" si="171">AB266+AC266+AD266+AE266</f>
        <v>151.68</v>
      </c>
      <c r="AG266" s="274">
        <v>1</v>
      </c>
      <c r="AH266" s="274">
        <v>1</v>
      </c>
      <c r="AI266" s="274">
        <v>1</v>
      </c>
      <c r="AJ266" s="274">
        <v>1</v>
      </c>
      <c r="AK266" s="274">
        <f t="shared" ref="AK266:AK329" si="172">IF(AG266=X266,X266,
IF(AG266&gt;X266, IF(AG266-X266&gt;IF($E266="Income Eligible",0,10%),X266+(AG266-(X266+IF($E266="Income Eligible",0,10%))),X266),
IF(X266-AG266&gt;IF($E266="Income Eligible",0,10%),X266-((X266-IF($E266="Income Eligible",0,10%))-AG266),X266)))</f>
        <v>1</v>
      </c>
      <c r="AL266" s="274">
        <f t="shared" ref="AL266:AL329" si="173">IF(AH266=Y266,Y266,
IF(AH266&gt;Y266, IF(AH266-Y266&gt;IF($E266="Income Eligible",0,10%),Y266+(AH266-(Y266+IF($E266="Income Eligible",0,10%))),Y266),
IF(Y266-AH266&gt;IF($E266="Income Eligible",0,10%),Y266-((Y266-IF($E266="Income Eligible",0,10%))-AH266),Y266)))</f>
        <v>1</v>
      </c>
      <c r="AM266" s="274">
        <f t="shared" ref="AM266:AM329" si="174">IF(AI266=Z266,Z266,
IF(AI266&gt;Z266, IF(AI266-Z266&gt;IF($E266="Income Eligible",0,10%),Z266+(AI266-(Z266+IF($E266="Income Eligible",0,10%))),Z266),
IF(Z266-AI266&gt;IF($E266="Income Eligible",0,10%),Z266-((Z266-IF($E266="Income Eligible",0,10%))-AI266),Z266)))</f>
        <v>1</v>
      </c>
      <c r="AN266" s="274">
        <f t="shared" ref="AN266:AN329" si="175">IF(AJ266=AA266,AA266,
IF(AJ266&gt;AA266, IF(AJ266-AA266&gt;IF($E266="Income Eligible",0,10%),AA266+(AJ266-(AA266+IF($E266="Income Eligible",0,10%))),AA266),
IF(AA266-AJ266&gt;IF($E266="Income Eligible",0,10%),AA266-((AA266-IF($E266="Income Eligible",0,10%))-AJ266),AA266)))</f>
        <v>1</v>
      </c>
      <c r="AO266" s="262"/>
      <c r="AP266" s="262"/>
      <c r="AQ266" s="267">
        <v>12.64</v>
      </c>
      <c r="AR266" s="262"/>
      <c r="AS266" s="266">
        <f t="shared" ref="AS266:AS329" si="176">N266*AQ266*AK266</f>
        <v>37.92</v>
      </c>
      <c r="AT266" s="264">
        <f t="shared" ref="AT266:AT329" si="177">IF(AS266=0,0,AS266-AB266)</f>
        <v>0</v>
      </c>
      <c r="AU266" s="262"/>
      <c r="AV266" s="262"/>
      <c r="AW266" s="265">
        <v>12.64</v>
      </c>
      <c r="AX266" s="164" t="s">
        <v>1469</v>
      </c>
      <c r="AY266" s="266">
        <v>37.92</v>
      </c>
      <c r="AZ266" s="266">
        <f t="shared" ref="AZ266:AZ329" si="178">O266*AW266*AL266</f>
        <v>37.92</v>
      </c>
      <c r="BA266" s="264">
        <f t="shared" ref="BA266:BA329" si="179">IF(AZ266=0,0,AZ266-AC266)</f>
        <v>0</v>
      </c>
      <c r="BB266" s="262"/>
      <c r="BC266" s="262"/>
      <c r="BD266" s="265">
        <f ca="1">IFERROR(INDEX(Algorithms!$G:$G,MATCH($C266&amp;"_Therm Saved per Unit",Algorithms!$A:$A,0)),0)</f>
        <v>12.64</v>
      </c>
      <c r="BE266" s="164" t="str">
        <f ca="1">IFERROR(INDEX('v12 Revisions'!$P$29:$P$186, MATCH('Measure-Level Adj Gas'!$L266, 'v12 Revisions'!$D$29:$D$186,0)),"")</f>
        <v/>
      </c>
      <c r="BF266" s="266">
        <f t="shared" ref="BF266:BF329" ca="1" si="180">P266*BD266*AM266</f>
        <v>37.92</v>
      </c>
      <c r="BG266" s="264">
        <f t="shared" ref="BG266:BG329" ca="1" si="181">IF(BF266=0,0,BF266-AD266)</f>
        <v>0</v>
      </c>
      <c r="BH266" s="262"/>
      <c r="BI266" s="262"/>
      <c r="BJ266" s="265">
        <f ca="1">IFERROR(INDEX(Algorithms!$G:$G,MATCH($C266&amp;"_Therm Saved per Unit",Algorithms!$A:$A,0)),0)</f>
        <v>12.64</v>
      </c>
      <c r="BK266" s="164"/>
      <c r="BL266" s="266">
        <f t="shared" ref="BL266:BL329" ca="1" si="182">Q266*BJ266*AN266</f>
        <v>37.92</v>
      </c>
      <c r="BM266" s="264">
        <f t="shared" ref="BM266:BM329" ca="1" si="183">IF(BL266=0,0,BL266-AE266)</f>
        <v>0</v>
      </c>
      <c r="BN266" s="266">
        <f t="shared" ref="BN266:BN329" si="184">IF(K266=1,AS266,AB266)</f>
        <v>37.92</v>
      </c>
      <c r="BO266" s="266">
        <f t="shared" ref="BO266:BO329" si="185">IF(K266=1,AZ266,AC266)</f>
        <v>37.92</v>
      </c>
      <c r="BP266" s="266">
        <f t="shared" ref="BP266:BP329" ca="1" si="186">IF(K266=1,BF266,AD266)</f>
        <v>37.92</v>
      </c>
      <c r="BQ266" s="266">
        <f t="shared" ref="BQ266:BQ329" ca="1" si="187">IF(K266=1,BL266,AE266)</f>
        <v>37.92</v>
      </c>
      <c r="BR266" s="268">
        <f t="shared" ref="BR266:BR329" ca="1" si="188">BN266+BO266+BP266+BQ266</f>
        <v>151.68</v>
      </c>
      <c r="BS266" s="262" t="s">
        <v>99</v>
      </c>
      <c r="BT266" s="277"/>
      <c r="BW266" s="266">
        <f t="shared" ref="BW266:BW329" si="189">N266*T266*X266</f>
        <v>37.92</v>
      </c>
      <c r="BX266" s="266">
        <f t="shared" ref="BX266:BX329" si="190">O266*U266*Y266</f>
        <v>37.92</v>
      </c>
      <c r="BY266" s="266">
        <f t="shared" ref="BY266:BY329" si="191">P266*V266*Z266</f>
        <v>37.92</v>
      </c>
      <c r="BZ266" s="266">
        <f t="shared" ref="BZ266:BZ329" si="192">Q266*W266*AA266</f>
        <v>37.92</v>
      </c>
      <c r="CA266" s="266">
        <f ca="1">N266*IFERROR(INDEX(Algorithms!$G:$G,MATCH($C266&amp;"_Therm Saved per Unit- MLA",Algorithms!$A:$A,0)),0)*X266</f>
        <v>0</v>
      </c>
      <c r="CB266" s="266">
        <f ca="1">O266*IFERROR(INDEX(Algorithms!$G:$G,MATCH($C266&amp;"_Therm Saved per Unit- MLA",Algorithms!$A:$A,0)),0)*Y266</f>
        <v>0</v>
      </c>
      <c r="CC266" s="266">
        <f ca="1">P266*IFERROR(INDEX(Algorithms!$G:$G,MATCH($C266&amp;"_Therm Saved per Unit- MLA",Algorithms!$A:$A,0)),0)*Z266</f>
        <v>0</v>
      </c>
      <c r="CD266" s="266">
        <f ca="1">Q266*IFERROR(INDEX(Algorithms!$G:$G,MATCH($C266&amp;"_Therm Saved per Unit- MLA",Algorithms!$A:$A,0)),0)*AA266</f>
        <v>0</v>
      </c>
      <c r="CE266" s="266">
        <f ca="1">IFERROR(INDEX(Algorithms!$G:$G,MATCH($C266&amp;"_Lifetime (years)",Algorithms!$A:$A,0)),0)</f>
        <v>5</v>
      </c>
      <c r="CF266" s="266">
        <f ca="1">IFERROR(INDEX(Algorithms!$G:$G,MATCH($C266&amp;"_Lifetime (years) - Remaining Years",Algorithms!$A:$A,0)),0)</f>
        <v>0</v>
      </c>
      <c r="CG266" s="266">
        <f t="shared" ref="CG266:CG329" ca="1" si="193">IF($CF266=0,(BW266*$CE266),((BW266*$CF266)+(CA266*($CE266-$CF266))))</f>
        <v>189.60000000000002</v>
      </c>
      <c r="CH266" s="266">
        <f t="shared" ref="CH266:CH329" ca="1" si="194">IF($CF266=0,(BX266*$CE266),((BX266*$CF266)+(CB266*($CE266-$CF266))))</f>
        <v>189.60000000000002</v>
      </c>
      <c r="CI266" s="266">
        <f t="shared" ref="CI266:CI329" ca="1" si="195">IF($CF266=0,(BY266*$CE266),((BY266*$CF266)+(CC266*($CE266-$CF266))))</f>
        <v>189.60000000000002</v>
      </c>
      <c r="CJ266" s="266">
        <f t="shared" ref="CJ266:CJ329" ca="1" si="196">IF($CF266=0,(BZ266*$CE266),((BZ266*$CF266)+(CD266*($CE266-$CF266))))</f>
        <v>189.60000000000002</v>
      </c>
      <c r="CK266" s="266">
        <f t="shared" ref="CK266:CK329" si="197">N266*AQ266*X266</f>
        <v>37.92</v>
      </c>
      <c r="CL266" s="266">
        <f t="shared" ref="CL266:CL329" si="198">O266*AW266*Y266</f>
        <v>37.92</v>
      </c>
      <c r="CM266" s="266">
        <f t="shared" ref="CM266:CM329" ca="1" si="199">P266*BD266*Z266</f>
        <v>37.92</v>
      </c>
      <c r="CN266" s="266">
        <f t="shared" ref="CN266:CN329" ca="1" si="200">Q266*BJ266*AA266</f>
        <v>37.92</v>
      </c>
      <c r="CO266" s="266">
        <f ca="1">N266*IFERROR(INDEX(Algorithms!$G:$G,MATCH($C266&amp;"_Therm Saved per Unit- MLA",Algorithms!$A:$A,0)),0)*X266</f>
        <v>0</v>
      </c>
      <c r="CP266" s="266">
        <f ca="1">O266*IFERROR(INDEX(Algorithms!$G:$G,MATCH($C266&amp;"_Therm Saved per Unit- MLA",Algorithms!$A:$A,0)),0)*Y266</f>
        <v>0</v>
      </c>
      <c r="CQ266" s="266">
        <f ca="1">P266*IFERROR(INDEX(Algorithms!$G:$G,MATCH($C266&amp;"_Therm Saved per Unit- MLA",Algorithms!$A:$A,0)),0)*Z266</f>
        <v>0</v>
      </c>
      <c r="CR266" s="266">
        <f ca="1">Q266*IFERROR(INDEX(Algorithms!$G:$G,MATCH($C266&amp;"_Therm Saved per Unit- MLA",Algorithms!$A:$A,0)),0)*AA266</f>
        <v>0</v>
      </c>
      <c r="CS266" s="266">
        <f ca="1">IFERROR(INDEX(Algorithms!$G:$G,MATCH($C266&amp;"_Lifetime (years)",Algorithms!$A:$A,0)),0)</f>
        <v>5</v>
      </c>
      <c r="CT266" s="266">
        <f ca="1">IFERROR(INDEX(Algorithms!$G:$G,MATCH($C266&amp;"_Lifetime (years) - Remaining Years",Algorithms!$A:$A,0)),0)</f>
        <v>0</v>
      </c>
      <c r="CU266" s="266">
        <f t="shared" ref="CU266:CU329" ca="1" si="201">IF($CT266=0,(CK266*$CS266),((CK266*$CT266)+(CO266*($CS266-$CT266))))</f>
        <v>189.60000000000002</v>
      </c>
      <c r="CV266" s="266">
        <f t="shared" ref="CV266:CV329" ca="1" si="202">IF($CT266=0,(CL266*$CS266),((CL266*$CT266)+(CP266*($CS266-$CT266))))</f>
        <v>189.60000000000002</v>
      </c>
      <c r="CW266" s="266">
        <f t="shared" ref="CW266:CW329" ca="1" si="203">IF($CT266=0,(CM266*$CS266),((CM266*$CT266)+(CQ266*($CS266-$CT266))))</f>
        <v>189.60000000000002</v>
      </c>
      <c r="CX266" s="266">
        <f t="shared" ref="CX266:CX329" ca="1" si="204">IF($CT266=0,(CN266*$CS266),((CN266*$CT266)+(CR266*($CS266-$CT266))))</f>
        <v>189.60000000000002</v>
      </c>
    </row>
    <row r="267" spans="2:102" s="47" customFormat="1" ht="18" customHeight="1" x14ac:dyDescent="0.25">
      <c r="B267" t="str">
        <f t="shared" ref="B267:B330" si="205">D267&amp;"_"&amp;E267&amp;"_"&amp;F267&amp;"_"&amp;G267&amp;"_"&amp;H267&amp;"_"&amp;I267&amp;"_"&amp;J267</f>
        <v>NSG_Business_C&amp;I_Rebates_Steam Traps_Industrial/Process Audit - 175 ≤ psig &lt; 250_CI/SMB</v>
      </c>
      <c r="C267" s="47" t="str">
        <f t="shared" si="166"/>
        <v>Steam Traps_Industrial/Process Audit - 175 ≤ psig &lt; 250_CI/SMB</v>
      </c>
      <c r="D267" s="270" t="s">
        <v>1787</v>
      </c>
      <c r="E267" s="270" t="s">
        <v>3</v>
      </c>
      <c r="F267" s="270" t="s">
        <v>1427</v>
      </c>
      <c r="G267" s="270" t="s">
        <v>1429</v>
      </c>
      <c r="H267" s="270" t="s">
        <v>644</v>
      </c>
      <c r="I267" s="270" t="s">
        <v>1375</v>
      </c>
      <c r="J267" s="270" t="s">
        <v>970</v>
      </c>
      <c r="K267" s="263">
        <v>1</v>
      </c>
      <c r="L267" s="263" t="str">
        <f ca="1">IFERROR(INDEX(Algorithms!J:J,MATCH($C267&amp;"_Therm Saved per Unit",Algorithms!$A:$A,0)),"n/a")</f>
        <v>4.4.16</v>
      </c>
      <c r="M267" s="263" t="str">
        <f>IFERROR(INDEX('Measure Level Detail'!$N:$N,MATCH($B267,'Measure Level Detail'!$B:$B,0)),0)</f>
        <v>each</v>
      </c>
      <c r="N267" s="271">
        <f>IFERROR(INDEX('Measure Level Detail'!$P:$P,MATCH($B267&amp;"_"&amp;N$3,'Measure Level Detail'!$C:$C,0)),0)</f>
        <v>2.5499999999999998</v>
      </c>
      <c r="O267" s="271">
        <f>IFERROR(INDEX('Measure Level Detail'!$P:$P,MATCH($B267&amp;"_"&amp;O$3,'Measure Level Detail'!$C:$C,0)),0)</f>
        <v>2.4000000000000004</v>
      </c>
      <c r="P267" s="271">
        <f>IFERROR(INDEX('Measure Level Detail'!$P:$P,MATCH($B267&amp;"_"&amp;P$3,'Measure Level Detail'!$C:$C,0)),0)</f>
        <v>2.0999999999999996</v>
      </c>
      <c r="Q267" s="271">
        <f>IFERROR(INDEX('Measure Level Detail'!$P:$P,MATCH($B267&amp;"_"&amp;Q$3,'Measure Level Detail'!$C:$C,0)),0)</f>
        <v>2.04</v>
      </c>
      <c r="R267" s="263" t="str">
        <f ca="1">IFERROR(INDEX(Algorithms!K:K,MATCH($C267&amp;"_Therm Saved per Unit",Algorithms!$A:$A,0)),"n/a")</f>
        <v>CI-HVC-STRE-V10-240101</v>
      </c>
      <c r="S267" s="262"/>
      <c r="T267" s="272">
        <v>9906.4466256306805</v>
      </c>
      <c r="U267" s="272">
        <v>9906.4466256306805</v>
      </c>
      <c r="V267" s="272">
        <v>9906.4466256306805</v>
      </c>
      <c r="W267" s="272">
        <v>9906.4466256306805</v>
      </c>
      <c r="X267" s="273">
        <f>IFERROR(INDEX('Measure Level Detail'!$R:$R,MATCH($B267&amp;"_"&amp;X$3,'Measure Level Detail'!$C:$C,0)),0)</f>
        <v>0.91</v>
      </c>
      <c r="Y267" s="273">
        <f>IFERROR(INDEX('Measure Level Detail'!$R:$R,MATCH($B267&amp;"_"&amp;Y$3,'Measure Level Detail'!$C:$C,0)),0)</f>
        <v>0.91</v>
      </c>
      <c r="Z267" s="273">
        <f>IFERROR(INDEX('Measure Level Detail'!$R:$R,MATCH($B267&amp;"_"&amp;Z$3,'Measure Level Detail'!$C:$C,0)),0)</f>
        <v>0.91</v>
      </c>
      <c r="AA267" s="273">
        <f>IFERROR(INDEX('Measure Level Detail'!$R:$R,MATCH($B267&amp;"_"&amp;AA$3,'Measure Level Detail'!$C:$C,0)),0)</f>
        <v>0.91</v>
      </c>
      <c r="AB267" s="266">
        <f t="shared" si="167"/>
        <v>22987.909394775994</v>
      </c>
      <c r="AC267" s="266">
        <f t="shared" si="168"/>
        <v>21635.679430377411</v>
      </c>
      <c r="AD267" s="266">
        <f t="shared" si="169"/>
        <v>18931.219501580228</v>
      </c>
      <c r="AE267" s="266">
        <f t="shared" si="170"/>
        <v>18390.327515820798</v>
      </c>
      <c r="AF267" s="266">
        <f t="shared" si="171"/>
        <v>81945.135842554431</v>
      </c>
      <c r="AG267" s="274">
        <v>0.91</v>
      </c>
      <c r="AH267" s="274">
        <v>0.91</v>
      </c>
      <c r="AI267" s="274">
        <v>0.91</v>
      </c>
      <c r="AJ267" s="274">
        <v>0.91</v>
      </c>
      <c r="AK267" s="274">
        <f t="shared" si="172"/>
        <v>0.91</v>
      </c>
      <c r="AL267" s="274">
        <f t="shared" si="173"/>
        <v>0.91</v>
      </c>
      <c r="AM267" s="274">
        <f t="shared" si="174"/>
        <v>0.91</v>
      </c>
      <c r="AN267" s="274">
        <f t="shared" si="175"/>
        <v>0.91</v>
      </c>
      <c r="AO267" s="262"/>
      <c r="AP267" s="262"/>
      <c r="AQ267" s="267">
        <v>9906.4466256306805</v>
      </c>
      <c r="AR267" s="262"/>
      <c r="AS267" s="266">
        <f t="shared" si="176"/>
        <v>22987.909394775994</v>
      </c>
      <c r="AT267" s="264">
        <f t="shared" si="177"/>
        <v>0</v>
      </c>
      <c r="AU267" s="262"/>
      <c r="AV267" s="262"/>
      <c r="AW267" s="265">
        <v>9906.4466256306805</v>
      </c>
      <c r="AX267" s="164" t="s">
        <v>2397</v>
      </c>
      <c r="AY267" s="266">
        <v>21635.679430377411</v>
      </c>
      <c r="AZ267" s="266">
        <f t="shared" si="178"/>
        <v>21635.679430377411</v>
      </c>
      <c r="BA267" s="264">
        <f t="shared" si="179"/>
        <v>0</v>
      </c>
      <c r="BB267" s="262"/>
      <c r="BC267" s="262"/>
      <c r="BD267" s="265">
        <f ca="1">IFERROR(INDEX(Algorithms!$G:$G,MATCH($C267&amp;"_Therm Saved per Unit",Algorithms!$A:$A,0)),0)</f>
        <v>9906.4466256306805</v>
      </c>
      <c r="BE267" s="164" t="str">
        <f ca="1">IFERROR(INDEX('v12 Revisions'!$P$29:$P$186, MATCH('Measure-Level Adj Gas'!$L267, 'v12 Revisions'!$D$29:$D$186,0)),"")</f>
        <v>n/a - costs only.</v>
      </c>
      <c r="BF267" s="266">
        <f t="shared" ca="1" si="180"/>
        <v>18931.219501580228</v>
      </c>
      <c r="BG267" s="264">
        <f t="shared" ca="1" si="181"/>
        <v>0</v>
      </c>
      <c r="BH267" s="262"/>
      <c r="BI267" s="262"/>
      <c r="BJ267" s="265">
        <f ca="1">IFERROR(INDEX(Algorithms!$G:$G,MATCH($C267&amp;"_Therm Saved per Unit",Algorithms!$A:$A,0)),0)</f>
        <v>9906.4466256306805</v>
      </c>
      <c r="BK267" s="164"/>
      <c r="BL267" s="266">
        <f t="shared" ca="1" si="182"/>
        <v>18390.327515820798</v>
      </c>
      <c r="BM267" s="264">
        <f t="shared" ca="1" si="183"/>
        <v>0</v>
      </c>
      <c r="BN267" s="266">
        <f t="shared" si="184"/>
        <v>22987.909394775994</v>
      </c>
      <c r="BO267" s="266">
        <f t="shared" si="185"/>
        <v>21635.679430377411</v>
      </c>
      <c r="BP267" s="266">
        <f t="shared" ca="1" si="186"/>
        <v>18931.219501580228</v>
      </c>
      <c r="BQ267" s="266">
        <f t="shared" ca="1" si="187"/>
        <v>18390.327515820798</v>
      </c>
      <c r="BR267" s="268">
        <f t="shared" ca="1" si="188"/>
        <v>81945.135842554431</v>
      </c>
      <c r="BS267" s="262" t="s">
        <v>99</v>
      </c>
      <c r="BT267" s="277"/>
      <c r="BW267" s="266">
        <f t="shared" si="189"/>
        <v>22987.909394775994</v>
      </c>
      <c r="BX267" s="266">
        <f t="shared" si="190"/>
        <v>21635.679430377411</v>
      </c>
      <c r="BY267" s="266">
        <f t="shared" si="191"/>
        <v>18931.219501580228</v>
      </c>
      <c r="BZ267" s="266">
        <f t="shared" si="192"/>
        <v>18390.327515820798</v>
      </c>
      <c r="CA267" s="266">
        <f ca="1">N267*IFERROR(INDEX(Algorithms!$G:$G,MATCH($C267&amp;"_Therm Saved per Unit- MLA",Algorithms!$A:$A,0)),0)*X267</f>
        <v>0</v>
      </c>
      <c r="CB267" s="266">
        <f ca="1">O267*IFERROR(INDEX(Algorithms!$G:$G,MATCH($C267&amp;"_Therm Saved per Unit- MLA",Algorithms!$A:$A,0)),0)*Y267</f>
        <v>0</v>
      </c>
      <c r="CC267" s="266">
        <f ca="1">P267*IFERROR(INDEX(Algorithms!$G:$G,MATCH($C267&amp;"_Therm Saved per Unit- MLA",Algorithms!$A:$A,0)),0)*Z267</f>
        <v>0</v>
      </c>
      <c r="CD267" s="266">
        <f ca="1">Q267*IFERROR(INDEX(Algorithms!$G:$G,MATCH($C267&amp;"_Therm Saved per Unit- MLA",Algorithms!$A:$A,0)),0)*AA267</f>
        <v>0</v>
      </c>
      <c r="CE267" s="266">
        <f ca="1">IFERROR(INDEX(Algorithms!$G:$G,MATCH($C267&amp;"_Lifetime (years)",Algorithms!$A:$A,0)),0)</f>
        <v>6</v>
      </c>
      <c r="CF267" s="266">
        <f ca="1">IFERROR(INDEX(Algorithms!$G:$G,MATCH($C267&amp;"_Lifetime (years) - Remaining Years",Algorithms!$A:$A,0)),0)</f>
        <v>0</v>
      </c>
      <c r="CG267" s="266">
        <f t="shared" ca="1" si="193"/>
        <v>137927.45636865596</v>
      </c>
      <c r="CH267" s="266">
        <f t="shared" ca="1" si="194"/>
        <v>129814.07658226448</v>
      </c>
      <c r="CI267" s="266">
        <f t="shared" ca="1" si="195"/>
        <v>113587.31700948137</v>
      </c>
      <c r="CJ267" s="266">
        <f t="shared" ca="1" si="196"/>
        <v>110341.96509492479</v>
      </c>
      <c r="CK267" s="266">
        <f t="shared" si="197"/>
        <v>22987.909394775994</v>
      </c>
      <c r="CL267" s="266">
        <f t="shared" si="198"/>
        <v>21635.679430377411</v>
      </c>
      <c r="CM267" s="266">
        <f t="shared" ca="1" si="199"/>
        <v>18931.219501580228</v>
      </c>
      <c r="CN267" s="266">
        <f t="shared" ca="1" si="200"/>
        <v>18390.327515820798</v>
      </c>
      <c r="CO267" s="266">
        <f ca="1">N267*IFERROR(INDEX(Algorithms!$G:$G,MATCH($C267&amp;"_Therm Saved per Unit- MLA",Algorithms!$A:$A,0)),0)*X267</f>
        <v>0</v>
      </c>
      <c r="CP267" s="266">
        <f ca="1">O267*IFERROR(INDEX(Algorithms!$G:$G,MATCH($C267&amp;"_Therm Saved per Unit- MLA",Algorithms!$A:$A,0)),0)*Y267</f>
        <v>0</v>
      </c>
      <c r="CQ267" s="266">
        <f ca="1">P267*IFERROR(INDEX(Algorithms!$G:$G,MATCH($C267&amp;"_Therm Saved per Unit- MLA",Algorithms!$A:$A,0)),0)*Z267</f>
        <v>0</v>
      </c>
      <c r="CR267" s="266">
        <f ca="1">Q267*IFERROR(INDEX(Algorithms!$G:$G,MATCH($C267&amp;"_Therm Saved per Unit- MLA",Algorithms!$A:$A,0)),0)*AA267</f>
        <v>0</v>
      </c>
      <c r="CS267" s="266">
        <f ca="1">IFERROR(INDEX(Algorithms!$G:$G,MATCH($C267&amp;"_Lifetime (years)",Algorithms!$A:$A,0)),0)</f>
        <v>6</v>
      </c>
      <c r="CT267" s="266">
        <f ca="1">IFERROR(INDEX(Algorithms!$G:$G,MATCH($C267&amp;"_Lifetime (years) - Remaining Years",Algorithms!$A:$A,0)),0)</f>
        <v>0</v>
      </c>
      <c r="CU267" s="266">
        <f t="shared" ca="1" si="201"/>
        <v>137927.45636865596</v>
      </c>
      <c r="CV267" s="266">
        <f t="shared" ca="1" si="202"/>
        <v>129814.07658226448</v>
      </c>
      <c r="CW267" s="266">
        <f t="shared" ca="1" si="203"/>
        <v>113587.31700948137</v>
      </c>
      <c r="CX267" s="266">
        <f t="shared" ca="1" si="204"/>
        <v>110341.96509492479</v>
      </c>
    </row>
    <row r="268" spans="2:102" s="47" customFormat="1" ht="18" customHeight="1" x14ac:dyDescent="0.25">
      <c r="B268" t="str">
        <f t="shared" si="205"/>
        <v>NSG_Income Eligible_Home Energy Jumpstart_Core_Programmable Thermostat_Furnace (DI)_SF</v>
      </c>
      <c r="C268" s="47" t="str">
        <f t="shared" si="166"/>
        <v>Programmable Thermostat_Furnace (DI)_SF</v>
      </c>
      <c r="D268" s="270" t="s">
        <v>1787</v>
      </c>
      <c r="E268" s="270" t="s">
        <v>325</v>
      </c>
      <c r="F268" s="270" t="s">
        <v>1414</v>
      </c>
      <c r="G268" s="270" t="s">
        <v>1415</v>
      </c>
      <c r="H268" s="270" t="s">
        <v>224</v>
      </c>
      <c r="I268" s="270" t="s">
        <v>1038</v>
      </c>
      <c r="J268" s="270" t="s">
        <v>409</v>
      </c>
      <c r="K268" s="263">
        <v>1</v>
      </c>
      <c r="L268" s="263" t="str">
        <f ca="1">IFERROR(INDEX(Algorithms!J:J,MATCH($C268&amp;"_Therm Saved per Unit",Algorithms!$A:$A,0)),"n/a")</f>
        <v>5.3.11</v>
      </c>
      <c r="M268" s="263" t="str">
        <f>IFERROR(INDEX('Measure Level Detail'!$N:$N,MATCH($B268,'Measure Level Detail'!$B:$B,0)),0)</f>
        <v>Each</v>
      </c>
      <c r="N268" s="271">
        <f>IFERROR(INDEX('Measure Level Detail'!$P:$P,MATCH($B268&amp;"_"&amp;N$3,'Measure Level Detail'!$C:$C,0)),0)</f>
        <v>2</v>
      </c>
      <c r="O268" s="271">
        <f>IFERROR(INDEX('Measure Level Detail'!$P:$P,MATCH($B268&amp;"_"&amp;O$3,'Measure Level Detail'!$C:$C,0)),0)</f>
        <v>6</v>
      </c>
      <c r="P268" s="271">
        <f>IFERROR(INDEX('Measure Level Detail'!$P:$P,MATCH($B268&amp;"_"&amp;P$3,'Measure Level Detail'!$C:$C,0)),0)</f>
        <v>12</v>
      </c>
      <c r="Q268" s="271">
        <f>IFERROR(INDEX('Measure Level Detail'!$P:$P,MATCH($B268&amp;"_"&amp;Q$3,'Measure Level Detail'!$C:$C,0)),0)</f>
        <v>14</v>
      </c>
      <c r="R268" s="263" t="str">
        <f ca="1">IFERROR(INDEX(Algorithms!K:K,MATCH($C268&amp;"_Therm Saved per Unit",Algorithms!$A:$A,0)),"n/a")</f>
        <v>RS-HVC-PROG-V08-220101</v>
      </c>
      <c r="S268" s="262"/>
      <c r="T268" s="272">
        <v>62.31</v>
      </c>
      <c r="U268" s="272">
        <v>62.31</v>
      </c>
      <c r="V268" s="272">
        <v>62.31</v>
      </c>
      <c r="W268" s="272">
        <v>62.31</v>
      </c>
      <c r="X268" s="273">
        <f>IFERROR(INDEX('Measure Level Detail'!$R:$R,MATCH($B268&amp;"_"&amp;X$3,'Measure Level Detail'!$C:$C,0)),0)</f>
        <v>1</v>
      </c>
      <c r="Y268" s="273">
        <f>IFERROR(INDEX('Measure Level Detail'!$R:$R,MATCH($B268&amp;"_"&amp;Y$3,'Measure Level Detail'!$C:$C,0)),0)</f>
        <v>1</v>
      </c>
      <c r="Z268" s="273">
        <f>IFERROR(INDEX('Measure Level Detail'!$R:$R,MATCH($B268&amp;"_"&amp;Z$3,'Measure Level Detail'!$C:$C,0)),0)</f>
        <v>1</v>
      </c>
      <c r="AA268" s="273">
        <f>IFERROR(INDEX('Measure Level Detail'!$R:$R,MATCH($B268&amp;"_"&amp;AA$3,'Measure Level Detail'!$C:$C,0)),0)</f>
        <v>1</v>
      </c>
      <c r="AB268" s="266">
        <f t="shared" si="167"/>
        <v>124.62</v>
      </c>
      <c r="AC268" s="266">
        <f t="shared" si="168"/>
        <v>373.86</v>
      </c>
      <c r="AD268" s="266">
        <f t="shared" si="169"/>
        <v>747.72</v>
      </c>
      <c r="AE268" s="266">
        <f t="shared" si="170"/>
        <v>872.34</v>
      </c>
      <c r="AF268" s="266">
        <f t="shared" si="171"/>
        <v>2118.54</v>
      </c>
      <c r="AG268" s="274">
        <v>1</v>
      </c>
      <c r="AH268" s="274">
        <v>1</v>
      </c>
      <c r="AI268" s="274">
        <v>1</v>
      </c>
      <c r="AJ268" s="274">
        <v>1</v>
      </c>
      <c r="AK268" s="274">
        <f t="shared" si="172"/>
        <v>1</v>
      </c>
      <c r="AL268" s="274">
        <f t="shared" si="173"/>
        <v>1</v>
      </c>
      <c r="AM268" s="274">
        <f t="shared" si="174"/>
        <v>1</v>
      </c>
      <c r="AN268" s="274">
        <f t="shared" si="175"/>
        <v>1</v>
      </c>
      <c r="AO268" s="262"/>
      <c r="AP268" s="262"/>
      <c r="AQ268" s="267">
        <v>62.31</v>
      </c>
      <c r="AR268" s="262"/>
      <c r="AS268" s="266">
        <f t="shared" si="176"/>
        <v>124.62</v>
      </c>
      <c r="AT268" s="264">
        <f t="shared" si="177"/>
        <v>0</v>
      </c>
      <c r="AU268" s="262"/>
      <c r="AV268" s="262"/>
      <c r="AW268" s="265">
        <v>62.31</v>
      </c>
      <c r="AX268" s="164" t="s">
        <v>1469</v>
      </c>
      <c r="AY268" s="266">
        <v>373.86</v>
      </c>
      <c r="AZ268" s="266">
        <f t="shared" si="178"/>
        <v>373.86</v>
      </c>
      <c r="BA268" s="264">
        <f t="shared" si="179"/>
        <v>0</v>
      </c>
      <c r="BB268" s="262"/>
      <c r="BC268" s="262"/>
      <c r="BD268" s="265">
        <f ca="1">IFERROR(INDEX(Algorithms!$G:$G,MATCH($C268&amp;"_Therm Saved per Unit",Algorithms!$A:$A,0)),0)</f>
        <v>62.31</v>
      </c>
      <c r="BE268" s="164" t="str">
        <f ca="1">IFERROR(INDEX('v12 Revisions'!$P$29:$P$186, MATCH('Measure-Level Adj Gas'!$L268, 'v12 Revisions'!$D$29:$D$186,0)),"")</f>
        <v/>
      </c>
      <c r="BF268" s="266">
        <f t="shared" ca="1" si="180"/>
        <v>747.72</v>
      </c>
      <c r="BG268" s="264">
        <f t="shared" ca="1" si="181"/>
        <v>0</v>
      </c>
      <c r="BH268" s="262"/>
      <c r="BI268" s="262"/>
      <c r="BJ268" s="265">
        <f ca="1">IFERROR(INDEX(Algorithms!$G:$G,MATCH($C268&amp;"_Therm Saved per Unit",Algorithms!$A:$A,0)),0)</f>
        <v>62.31</v>
      </c>
      <c r="BK268" s="164"/>
      <c r="BL268" s="266">
        <f t="shared" ca="1" si="182"/>
        <v>872.34</v>
      </c>
      <c r="BM268" s="264">
        <f t="shared" ca="1" si="183"/>
        <v>0</v>
      </c>
      <c r="BN268" s="266">
        <f t="shared" si="184"/>
        <v>124.62</v>
      </c>
      <c r="BO268" s="266">
        <f t="shared" si="185"/>
        <v>373.86</v>
      </c>
      <c r="BP268" s="266">
        <f t="shared" ca="1" si="186"/>
        <v>747.72</v>
      </c>
      <c r="BQ268" s="266">
        <f t="shared" ca="1" si="187"/>
        <v>872.34</v>
      </c>
      <c r="BR268" s="268">
        <f t="shared" ca="1" si="188"/>
        <v>2118.54</v>
      </c>
      <c r="BS268" s="262" t="s">
        <v>99</v>
      </c>
      <c r="BT268" s="277"/>
      <c r="BW268" s="266">
        <f t="shared" si="189"/>
        <v>124.62</v>
      </c>
      <c r="BX268" s="266">
        <f t="shared" si="190"/>
        <v>373.86</v>
      </c>
      <c r="BY268" s="266">
        <f t="shared" si="191"/>
        <v>747.72</v>
      </c>
      <c r="BZ268" s="266">
        <f t="shared" si="192"/>
        <v>872.34</v>
      </c>
      <c r="CA268" s="266">
        <f ca="1">N268*IFERROR(INDEX(Algorithms!$G:$G,MATCH($C268&amp;"_Therm Saved per Unit- MLA",Algorithms!$A:$A,0)),0)*X268</f>
        <v>34.893600000000006</v>
      </c>
      <c r="CB268" s="266">
        <f ca="1">O268*IFERROR(INDEX(Algorithms!$G:$G,MATCH($C268&amp;"_Therm Saved per Unit- MLA",Algorithms!$A:$A,0)),0)*Y268</f>
        <v>104.68080000000002</v>
      </c>
      <c r="CC268" s="266">
        <f ca="1">P268*IFERROR(INDEX(Algorithms!$G:$G,MATCH($C268&amp;"_Therm Saved per Unit- MLA",Algorithms!$A:$A,0)),0)*Z268</f>
        <v>209.36160000000004</v>
      </c>
      <c r="CD268" s="266">
        <f ca="1">Q268*IFERROR(INDEX(Algorithms!$G:$G,MATCH($C268&amp;"_Therm Saved per Unit- MLA",Algorithms!$A:$A,0)),0)*AA268</f>
        <v>244.25520000000006</v>
      </c>
      <c r="CE268" s="266">
        <f ca="1">IFERROR(INDEX(Algorithms!$G:$G,MATCH($C268&amp;"_Lifetime (years)",Algorithms!$A:$A,0)),0)</f>
        <v>16</v>
      </c>
      <c r="CF268" s="266">
        <f ca="1">IFERROR(INDEX(Algorithms!$G:$G,MATCH($C268&amp;"_Lifetime (years) - Remaining Years",Algorithms!$A:$A,0)),0)</f>
        <v>5</v>
      </c>
      <c r="CG268" s="266">
        <f t="shared" ca="1" si="193"/>
        <v>1006.9296000000002</v>
      </c>
      <c r="CH268" s="266">
        <f t="shared" ca="1" si="194"/>
        <v>3020.7888000000003</v>
      </c>
      <c r="CI268" s="266">
        <f t="shared" ca="1" si="195"/>
        <v>6041.5776000000005</v>
      </c>
      <c r="CJ268" s="266">
        <f t="shared" ca="1" si="196"/>
        <v>7048.5072</v>
      </c>
      <c r="CK268" s="266">
        <f t="shared" si="197"/>
        <v>124.62</v>
      </c>
      <c r="CL268" s="266">
        <f t="shared" si="198"/>
        <v>373.86</v>
      </c>
      <c r="CM268" s="266">
        <f t="shared" ca="1" si="199"/>
        <v>747.72</v>
      </c>
      <c r="CN268" s="266">
        <f t="shared" ca="1" si="200"/>
        <v>872.34</v>
      </c>
      <c r="CO268" s="266">
        <f ca="1">N268*IFERROR(INDEX(Algorithms!$G:$G,MATCH($C268&amp;"_Therm Saved per Unit- MLA",Algorithms!$A:$A,0)),0)*X268</f>
        <v>34.893600000000006</v>
      </c>
      <c r="CP268" s="266">
        <f ca="1">O268*IFERROR(INDEX(Algorithms!$G:$G,MATCH($C268&amp;"_Therm Saved per Unit- MLA",Algorithms!$A:$A,0)),0)*Y268</f>
        <v>104.68080000000002</v>
      </c>
      <c r="CQ268" s="266">
        <f ca="1">P268*IFERROR(INDEX(Algorithms!$G:$G,MATCH($C268&amp;"_Therm Saved per Unit- MLA",Algorithms!$A:$A,0)),0)*Z268</f>
        <v>209.36160000000004</v>
      </c>
      <c r="CR268" s="266">
        <f ca="1">Q268*IFERROR(INDEX(Algorithms!$G:$G,MATCH($C268&amp;"_Therm Saved per Unit- MLA",Algorithms!$A:$A,0)),0)*AA268</f>
        <v>244.25520000000006</v>
      </c>
      <c r="CS268" s="266">
        <f ca="1">IFERROR(INDEX(Algorithms!$G:$G,MATCH($C268&amp;"_Lifetime (years)",Algorithms!$A:$A,0)),0)</f>
        <v>16</v>
      </c>
      <c r="CT268" s="266">
        <f ca="1">IFERROR(INDEX(Algorithms!$G:$G,MATCH($C268&amp;"_Lifetime (years) - Remaining Years",Algorithms!$A:$A,0)),0)</f>
        <v>5</v>
      </c>
      <c r="CU268" s="266">
        <f t="shared" ca="1" si="201"/>
        <v>1006.9296000000002</v>
      </c>
      <c r="CV268" s="266">
        <f t="shared" ca="1" si="202"/>
        <v>3020.7888000000003</v>
      </c>
      <c r="CW268" s="266">
        <f t="shared" ca="1" si="203"/>
        <v>6041.5776000000005</v>
      </c>
      <c r="CX268" s="266">
        <f t="shared" ca="1" si="204"/>
        <v>7048.5072</v>
      </c>
    </row>
    <row r="269" spans="2:102" s="47" customFormat="1" ht="18" customHeight="1" x14ac:dyDescent="0.25">
      <c r="B269" t="str">
        <f t="shared" si="205"/>
        <v>NSG_Residential_Multi-Family_Standard Rebate_Steam Boiler Averaging Controls_0_MF</v>
      </c>
      <c r="C269" s="47" t="str">
        <f t="shared" si="166"/>
        <v>Steam Boiler Averaging Controls_0_MF</v>
      </c>
      <c r="D269" s="270" t="s">
        <v>1787</v>
      </c>
      <c r="E269" s="270" t="s">
        <v>2</v>
      </c>
      <c r="F269" s="270" t="s">
        <v>1422</v>
      </c>
      <c r="G269" s="270" t="s">
        <v>1418</v>
      </c>
      <c r="H269" s="270" t="s">
        <v>934</v>
      </c>
      <c r="I269" s="270">
        <v>0</v>
      </c>
      <c r="J269" s="270" t="s">
        <v>553</v>
      </c>
      <c r="K269" s="263">
        <v>1</v>
      </c>
      <c r="L269" s="263" t="str">
        <f ca="1">IFERROR(INDEX(Algorithms!J:J,MATCH($C269&amp;"_Therm Saved per Unit",Algorithms!$A:$A,0)),"n/a")</f>
        <v>4.4.36</v>
      </c>
      <c r="M269" s="263" t="str">
        <f>IFERROR(INDEX('Measure Level Detail'!$N:$N,MATCH($B269,'Measure Level Detail'!$B:$B,0)),0)</f>
        <v>each</v>
      </c>
      <c r="N269" s="271">
        <f>IFERROR(INDEX('Measure Level Detail'!$P:$P,MATCH($B269&amp;"_"&amp;N$3,'Measure Level Detail'!$C:$C,0)),0)</f>
        <v>2</v>
      </c>
      <c r="O269" s="271">
        <f>IFERROR(INDEX('Measure Level Detail'!$P:$P,MATCH($B269&amp;"_"&amp;O$3,'Measure Level Detail'!$C:$C,0)),0)</f>
        <v>2</v>
      </c>
      <c r="P269" s="271">
        <f>IFERROR(INDEX('Measure Level Detail'!$P:$P,MATCH($B269&amp;"_"&amp;P$3,'Measure Level Detail'!$C:$C,0)),0)</f>
        <v>2</v>
      </c>
      <c r="Q269" s="271">
        <f>IFERROR(INDEX('Measure Level Detail'!$P:$P,MATCH($B269&amp;"_"&amp;Q$3,'Measure Level Detail'!$C:$C,0)),0)</f>
        <v>2</v>
      </c>
      <c r="R269" s="263" t="str">
        <f ca="1">IFERROR(INDEX(Algorithms!K:K,MATCH($C269&amp;"_Therm Saved per Unit",Algorithms!$A:$A,0)),"n/a")</f>
        <v>CI-HVC-SBAC-V03-230101</v>
      </c>
      <c r="S269" s="262"/>
      <c r="T269" s="272">
        <v>83.05</v>
      </c>
      <c r="U269" s="272">
        <v>83.05</v>
      </c>
      <c r="V269" s="272">
        <v>83.05</v>
      </c>
      <c r="W269" s="272">
        <v>83.05</v>
      </c>
      <c r="X269" s="273">
        <f>IFERROR(INDEX('Measure Level Detail'!$R:$R,MATCH($B269&amp;"_"&amp;X$3,'Measure Level Detail'!$C:$C,0)),0)</f>
        <v>0.87</v>
      </c>
      <c r="Y269" s="273">
        <f>IFERROR(INDEX('Measure Level Detail'!$R:$R,MATCH($B269&amp;"_"&amp;Y$3,'Measure Level Detail'!$C:$C,0)),0)</f>
        <v>0.87</v>
      </c>
      <c r="Z269" s="273">
        <f>IFERROR(INDEX('Measure Level Detail'!$R:$R,MATCH($B269&amp;"_"&amp;Z$3,'Measure Level Detail'!$C:$C,0)),0)</f>
        <v>0.87</v>
      </c>
      <c r="AA269" s="273">
        <f>IFERROR(INDEX('Measure Level Detail'!$R:$R,MATCH($B269&amp;"_"&amp;AA$3,'Measure Level Detail'!$C:$C,0)),0)</f>
        <v>0.87</v>
      </c>
      <c r="AB269" s="266">
        <f t="shared" si="167"/>
        <v>144.50700000000001</v>
      </c>
      <c r="AC269" s="266">
        <f t="shared" si="168"/>
        <v>144.50700000000001</v>
      </c>
      <c r="AD269" s="266">
        <f t="shared" si="169"/>
        <v>144.50700000000001</v>
      </c>
      <c r="AE269" s="266">
        <f t="shared" si="170"/>
        <v>144.50700000000001</v>
      </c>
      <c r="AF269" s="266">
        <f t="shared" si="171"/>
        <v>578.02800000000002</v>
      </c>
      <c r="AG269" s="274">
        <v>0.87</v>
      </c>
      <c r="AH269" s="274">
        <v>0.87</v>
      </c>
      <c r="AI269" s="274">
        <v>0.87</v>
      </c>
      <c r="AJ269" s="274">
        <v>0.87</v>
      </c>
      <c r="AK269" s="274">
        <f t="shared" si="172"/>
        <v>0.87</v>
      </c>
      <c r="AL269" s="274">
        <f t="shared" si="173"/>
        <v>0.87</v>
      </c>
      <c r="AM269" s="274">
        <f t="shared" si="174"/>
        <v>0.87</v>
      </c>
      <c r="AN269" s="274">
        <f t="shared" si="175"/>
        <v>0.87</v>
      </c>
      <c r="AO269" s="262"/>
      <c r="AP269" s="262"/>
      <c r="AQ269" s="267">
        <v>83.05</v>
      </c>
      <c r="AR269" s="262"/>
      <c r="AS269" s="266">
        <f t="shared" si="176"/>
        <v>144.50700000000001</v>
      </c>
      <c r="AT269" s="264">
        <f t="shared" si="177"/>
        <v>0</v>
      </c>
      <c r="AU269" s="262"/>
      <c r="AV269" s="262"/>
      <c r="AW269" s="265">
        <v>83.05</v>
      </c>
      <c r="AX269" s="164" t="s">
        <v>1469</v>
      </c>
      <c r="AY269" s="266">
        <v>144.50700000000001</v>
      </c>
      <c r="AZ269" s="266">
        <f t="shared" si="178"/>
        <v>144.50700000000001</v>
      </c>
      <c r="BA269" s="264">
        <f t="shared" si="179"/>
        <v>0</v>
      </c>
      <c r="BB269" s="262"/>
      <c r="BC269" s="262"/>
      <c r="BD269" s="265">
        <f ca="1">IFERROR(INDEX(Algorithms!$G:$G,MATCH($C269&amp;"_Therm Saved per Unit",Algorithms!$A:$A,0)),0)</f>
        <v>83.05</v>
      </c>
      <c r="BE269" s="164" t="str">
        <f ca="1">IFERROR(INDEX('v12 Revisions'!$P$29:$P$186, MATCH('Measure-Level Adj Gas'!$L269, 'v12 Revisions'!$D$29:$D$186,0)),"")</f>
        <v/>
      </c>
      <c r="BF269" s="266">
        <f t="shared" ca="1" si="180"/>
        <v>144.50700000000001</v>
      </c>
      <c r="BG269" s="264">
        <f t="shared" ca="1" si="181"/>
        <v>0</v>
      </c>
      <c r="BH269" s="262"/>
      <c r="BI269" s="262"/>
      <c r="BJ269" s="265">
        <f ca="1">IFERROR(INDEX(Algorithms!$G:$G,MATCH($C269&amp;"_Therm Saved per Unit",Algorithms!$A:$A,0)),0)</f>
        <v>83.05</v>
      </c>
      <c r="BK269" s="164"/>
      <c r="BL269" s="266">
        <f t="shared" ca="1" si="182"/>
        <v>144.50700000000001</v>
      </c>
      <c r="BM269" s="264">
        <f t="shared" ca="1" si="183"/>
        <v>0</v>
      </c>
      <c r="BN269" s="266">
        <f t="shared" si="184"/>
        <v>144.50700000000001</v>
      </c>
      <c r="BO269" s="266">
        <f t="shared" si="185"/>
        <v>144.50700000000001</v>
      </c>
      <c r="BP269" s="266">
        <f t="shared" ca="1" si="186"/>
        <v>144.50700000000001</v>
      </c>
      <c r="BQ269" s="266">
        <f t="shared" ca="1" si="187"/>
        <v>144.50700000000001</v>
      </c>
      <c r="BR269" s="268">
        <f t="shared" ca="1" si="188"/>
        <v>578.02800000000002</v>
      </c>
      <c r="BS269" s="262" t="s">
        <v>99</v>
      </c>
      <c r="BT269" s="277"/>
      <c r="BW269" s="266">
        <f t="shared" si="189"/>
        <v>144.50700000000001</v>
      </c>
      <c r="BX269" s="266">
        <f t="shared" si="190"/>
        <v>144.50700000000001</v>
      </c>
      <c r="BY269" s="266">
        <f t="shared" si="191"/>
        <v>144.50700000000001</v>
      </c>
      <c r="BZ269" s="266">
        <f t="shared" si="192"/>
        <v>144.50700000000001</v>
      </c>
      <c r="CA269" s="266">
        <f ca="1">N269*IFERROR(INDEX(Algorithms!$G:$G,MATCH($C269&amp;"_Therm Saved per Unit- MLA",Algorithms!$A:$A,0)),0)*X269</f>
        <v>0</v>
      </c>
      <c r="CB269" s="266">
        <f ca="1">O269*IFERROR(INDEX(Algorithms!$G:$G,MATCH($C269&amp;"_Therm Saved per Unit- MLA",Algorithms!$A:$A,0)),0)*Y269</f>
        <v>0</v>
      </c>
      <c r="CC269" s="266">
        <f ca="1">P269*IFERROR(INDEX(Algorithms!$G:$G,MATCH($C269&amp;"_Therm Saved per Unit- MLA",Algorithms!$A:$A,0)),0)*Z269</f>
        <v>0</v>
      </c>
      <c r="CD269" s="266">
        <f ca="1">Q269*IFERROR(INDEX(Algorithms!$G:$G,MATCH($C269&amp;"_Therm Saved per Unit- MLA",Algorithms!$A:$A,0)),0)*AA269</f>
        <v>0</v>
      </c>
      <c r="CE269" s="266">
        <f ca="1">IFERROR(INDEX(Algorithms!$G:$G,MATCH($C269&amp;"_Lifetime (years)",Algorithms!$A:$A,0)),0)</f>
        <v>20</v>
      </c>
      <c r="CF269" s="266">
        <f ca="1">IFERROR(INDEX(Algorithms!$G:$G,MATCH($C269&amp;"_Lifetime (years) - Remaining Years",Algorithms!$A:$A,0)),0)</f>
        <v>0</v>
      </c>
      <c r="CG269" s="266">
        <f t="shared" ca="1" si="193"/>
        <v>2890.1400000000003</v>
      </c>
      <c r="CH269" s="266">
        <f t="shared" ca="1" si="194"/>
        <v>2890.1400000000003</v>
      </c>
      <c r="CI269" s="266">
        <f t="shared" ca="1" si="195"/>
        <v>2890.1400000000003</v>
      </c>
      <c r="CJ269" s="266">
        <f t="shared" ca="1" si="196"/>
        <v>2890.1400000000003</v>
      </c>
      <c r="CK269" s="266">
        <f t="shared" si="197"/>
        <v>144.50700000000001</v>
      </c>
      <c r="CL269" s="266">
        <f t="shared" si="198"/>
        <v>144.50700000000001</v>
      </c>
      <c r="CM269" s="266">
        <f t="shared" ca="1" si="199"/>
        <v>144.50700000000001</v>
      </c>
      <c r="CN269" s="266">
        <f t="shared" ca="1" si="200"/>
        <v>144.50700000000001</v>
      </c>
      <c r="CO269" s="266">
        <f ca="1">N269*IFERROR(INDEX(Algorithms!$G:$G,MATCH($C269&amp;"_Therm Saved per Unit- MLA",Algorithms!$A:$A,0)),0)*X269</f>
        <v>0</v>
      </c>
      <c r="CP269" s="266">
        <f ca="1">O269*IFERROR(INDEX(Algorithms!$G:$G,MATCH($C269&amp;"_Therm Saved per Unit- MLA",Algorithms!$A:$A,0)),0)*Y269</f>
        <v>0</v>
      </c>
      <c r="CQ269" s="266">
        <f ca="1">P269*IFERROR(INDEX(Algorithms!$G:$G,MATCH($C269&amp;"_Therm Saved per Unit- MLA",Algorithms!$A:$A,0)),0)*Z269</f>
        <v>0</v>
      </c>
      <c r="CR269" s="266">
        <f ca="1">Q269*IFERROR(INDEX(Algorithms!$G:$G,MATCH($C269&amp;"_Therm Saved per Unit- MLA",Algorithms!$A:$A,0)),0)*AA269</f>
        <v>0</v>
      </c>
      <c r="CS269" s="266">
        <f ca="1">IFERROR(INDEX(Algorithms!$G:$G,MATCH($C269&amp;"_Lifetime (years)",Algorithms!$A:$A,0)),0)</f>
        <v>20</v>
      </c>
      <c r="CT269" s="266">
        <f ca="1">IFERROR(INDEX(Algorithms!$G:$G,MATCH($C269&amp;"_Lifetime (years) - Remaining Years",Algorithms!$A:$A,0)),0)</f>
        <v>0</v>
      </c>
      <c r="CU269" s="266">
        <f t="shared" ca="1" si="201"/>
        <v>2890.1400000000003</v>
      </c>
      <c r="CV269" s="266">
        <f t="shared" ca="1" si="202"/>
        <v>2890.1400000000003</v>
      </c>
      <c r="CW269" s="266">
        <f t="shared" ca="1" si="203"/>
        <v>2890.1400000000003</v>
      </c>
      <c r="CX269" s="266">
        <f t="shared" ca="1" si="204"/>
        <v>2890.1400000000003</v>
      </c>
    </row>
    <row r="270" spans="2:102" s="47" customFormat="1" ht="18" customHeight="1" x14ac:dyDescent="0.25">
      <c r="B270" t="str">
        <f t="shared" si="205"/>
        <v>NSG_Residential_Multi-Family_Standard Rebate_Steam Traps_HVAC Repair/Rep - No Audit_MF</v>
      </c>
      <c r="C270" s="47" t="str">
        <f t="shared" si="166"/>
        <v>Steam Traps_HVAC Repair/Rep - No Audit_MF</v>
      </c>
      <c r="D270" s="270" t="s">
        <v>1787</v>
      </c>
      <c r="E270" s="270" t="s">
        <v>2</v>
      </c>
      <c r="F270" s="270" t="s">
        <v>1422</v>
      </c>
      <c r="G270" s="270" t="s">
        <v>1418</v>
      </c>
      <c r="H270" s="270" t="s">
        <v>644</v>
      </c>
      <c r="I270" s="270" t="s">
        <v>660</v>
      </c>
      <c r="J270" s="270" t="s">
        <v>553</v>
      </c>
      <c r="K270" s="263">
        <v>1</v>
      </c>
      <c r="L270" s="263" t="str">
        <f ca="1">IFERROR(INDEX(Algorithms!J:J,MATCH($C270&amp;"_Therm Saved per Unit",Algorithms!$A:$A,0)),"n/a")</f>
        <v>4.4.16</v>
      </c>
      <c r="M270" s="263" t="str">
        <f>IFERROR(INDEX('Measure Level Detail'!$N:$N,MATCH($B270,'Measure Level Detail'!$B:$B,0)),0)</f>
        <v>each</v>
      </c>
      <c r="N270" s="271">
        <f>IFERROR(INDEX('Measure Level Detail'!$P:$P,MATCH($B270&amp;"_"&amp;N$3,'Measure Level Detail'!$C:$C,0)),0)</f>
        <v>2</v>
      </c>
      <c r="O270" s="271">
        <f>IFERROR(INDEX('Measure Level Detail'!$P:$P,MATCH($B270&amp;"_"&amp;O$3,'Measure Level Detail'!$C:$C,0)),0)</f>
        <v>2</v>
      </c>
      <c r="P270" s="271">
        <f>IFERROR(INDEX('Measure Level Detail'!$P:$P,MATCH($B270&amp;"_"&amp;P$3,'Measure Level Detail'!$C:$C,0)),0)</f>
        <v>2</v>
      </c>
      <c r="Q270" s="271">
        <f>IFERROR(INDEX('Measure Level Detail'!$P:$P,MATCH($B270&amp;"_"&amp;Q$3,'Measure Level Detail'!$C:$C,0)),0)</f>
        <v>2</v>
      </c>
      <c r="R270" s="263" t="str">
        <f ca="1">IFERROR(INDEX(Algorithms!K:K,MATCH($C270&amp;"_Therm Saved per Unit",Algorithms!$A:$A,0)),"n/a")</f>
        <v>CI-HVC-STRE-V10-240101</v>
      </c>
      <c r="S270" s="262"/>
      <c r="T270" s="272">
        <v>53.198900899174738</v>
      </c>
      <c r="U270" s="272">
        <v>53.198900899174738</v>
      </c>
      <c r="V270" s="272">
        <v>53.198900899174738</v>
      </c>
      <c r="W270" s="272">
        <v>53.198900899174738</v>
      </c>
      <c r="X270" s="273">
        <f>IFERROR(INDEX('Measure Level Detail'!$R:$R,MATCH($B270&amp;"_"&amp;X$3,'Measure Level Detail'!$C:$C,0)),0)</f>
        <v>0.87</v>
      </c>
      <c r="Y270" s="273">
        <f>IFERROR(INDEX('Measure Level Detail'!$R:$R,MATCH($B270&amp;"_"&amp;Y$3,'Measure Level Detail'!$C:$C,0)),0)</f>
        <v>0.87</v>
      </c>
      <c r="Z270" s="273">
        <f>IFERROR(INDEX('Measure Level Detail'!$R:$R,MATCH($B270&amp;"_"&amp;Z$3,'Measure Level Detail'!$C:$C,0)),0)</f>
        <v>0.87</v>
      </c>
      <c r="AA270" s="273">
        <f>IFERROR(INDEX('Measure Level Detail'!$R:$R,MATCH($B270&amp;"_"&amp;AA$3,'Measure Level Detail'!$C:$C,0)),0)</f>
        <v>0.87</v>
      </c>
      <c r="AB270" s="266">
        <f t="shared" si="167"/>
        <v>92.566087564564043</v>
      </c>
      <c r="AC270" s="266">
        <f t="shared" si="168"/>
        <v>92.566087564564043</v>
      </c>
      <c r="AD270" s="266">
        <f t="shared" si="169"/>
        <v>92.566087564564043</v>
      </c>
      <c r="AE270" s="266">
        <f t="shared" si="170"/>
        <v>92.566087564564043</v>
      </c>
      <c r="AF270" s="266">
        <f t="shared" si="171"/>
        <v>370.26435025825617</v>
      </c>
      <c r="AG270" s="274">
        <v>0.87</v>
      </c>
      <c r="AH270" s="274">
        <v>0.87</v>
      </c>
      <c r="AI270" s="274">
        <v>0.87</v>
      </c>
      <c r="AJ270" s="274">
        <v>0.87</v>
      </c>
      <c r="AK270" s="274">
        <f t="shared" si="172"/>
        <v>0.87</v>
      </c>
      <c r="AL270" s="274">
        <f t="shared" si="173"/>
        <v>0.87</v>
      </c>
      <c r="AM270" s="274">
        <f t="shared" si="174"/>
        <v>0.87</v>
      </c>
      <c r="AN270" s="274">
        <f t="shared" si="175"/>
        <v>0.87</v>
      </c>
      <c r="AO270" s="262"/>
      <c r="AP270" s="262"/>
      <c r="AQ270" s="267">
        <v>53.198900899174738</v>
      </c>
      <c r="AR270" s="262"/>
      <c r="AS270" s="266">
        <f t="shared" si="176"/>
        <v>92.566087564564043</v>
      </c>
      <c r="AT270" s="264">
        <f t="shared" si="177"/>
        <v>0</v>
      </c>
      <c r="AU270" s="262"/>
      <c r="AV270" s="262"/>
      <c r="AW270" s="265">
        <v>53.198900899174738</v>
      </c>
      <c r="AX270" s="164" t="s">
        <v>2397</v>
      </c>
      <c r="AY270" s="266">
        <v>92.566087564564043</v>
      </c>
      <c r="AZ270" s="266">
        <f t="shared" si="178"/>
        <v>92.566087564564043</v>
      </c>
      <c r="BA270" s="264">
        <f t="shared" si="179"/>
        <v>0</v>
      </c>
      <c r="BB270" s="262"/>
      <c r="BC270" s="262"/>
      <c r="BD270" s="265">
        <f ca="1">IFERROR(INDEX(Algorithms!$G:$G,MATCH($C270&amp;"_Therm Saved per Unit",Algorithms!$A:$A,0)),0)</f>
        <v>53.198900899174738</v>
      </c>
      <c r="BE270" s="164" t="str">
        <f ca="1">IFERROR(INDEX('v12 Revisions'!$P$29:$P$186, MATCH('Measure-Level Adj Gas'!$L270, 'v12 Revisions'!$D$29:$D$186,0)),"")</f>
        <v>n/a - costs only.</v>
      </c>
      <c r="BF270" s="266">
        <f t="shared" ca="1" si="180"/>
        <v>92.566087564564043</v>
      </c>
      <c r="BG270" s="264">
        <f t="shared" ca="1" si="181"/>
        <v>0</v>
      </c>
      <c r="BH270" s="262"/>
      <c r="BI270" s="262"/>
      <c r="BJ270" s="265">
        <f ca="1">IFERROR(INDEX(Algorithms!$G:$G,MATCH($C270&amp;"_Therm Saved per Unit",Algorithms!$A:$A,0)),0)</f>
        <v>53.198900899174738</v>
      </c>
      <c r="BK270" s="164"/>
      <c r="BL270" s="266">
        <f t="shared" ca="1" si="182"/>
        <v>92.566087564564043</v>
      </c>
      <c r="BM270" s="264">
        <f t="shared" ca="1" si="183"/>
        <v>0</v>
      </c>
      <c r="BN270" s="266">
        <f t="shared" si="184"/>
        <v>92.566087564564043</v>
      </c>
      <c r="BO270" s="266">
        <f t="shared" si="185"/>
        <v>92.566087564564043</v>
      </c>
      <c r="BP270" s="266">
        <f t="shared" ca="1" si="186"/>
        <v>92.566087564564043</v>
      </c>
      <c r="BQ270" s="266">
        <f t="shared" ca="1" si="187"/>
        <v>92.566087564564043</v>
      </c>
      <c r="BR270" s="268">
        <f t="shared" ca="1" si="188"/>
        <v>370.26435025825617</v>
      </c>
      <c r="BS270" s="262" t="s">
        <v>99</v>
      </c>
      <c r="BT270" s="277"/>
      <c r="BW270" s="266">
        <f t="shared" si="189"/>
        <v>92.566087564564043</v>
      </c>
      <c r="BX270" s="266">
        <f t="shared" si="190"/>
        <v>92.566087564564043</v>
      </c>
      <c r="BY270" s="266">
        <f t="shared" si="191"/>
        <v>92.566087564564043</v>
      </c>
      <c r="BZ270" s="266">
        <f t="shared" si="192"/>
        <v>92.566087564564043</v>
      </c>
      <c r="CA270" s="266">
        <f ca="1">N270*IFERROR(INDEX(Algorithms!$G:$G,MATCH($C270&amp;"_Therm Saved per Unit- MLA",Algorithms!$A:$A,0)),0)*X270</f>
        <v>0</v>
      </c>
      <c r="CB270" s="266">
        <f ca="1">O270*IFERROR(INDEX(Algorithms!$G:$G,MATCH($C270&amp;"_Therm Saved per Unit- MLA",Algorithms!$A:$A,0)),0)*Y270</f>
        <v>0</v>
      </c>
      <c r="CC270" s="266">
        <f ca="1">P270*IFERROR(INDEX(Algorithms!$G:$G,MATCH($C270&amp;"_Therm Saved per Unit- MLA",Algorithms!$A:$A,0)),0)*Z270</f>
        <v>0</v>
      </c>
      <c r="CD270" s="266">
        <f ca="1">Q270*IFERROR(INDEX(Algorithms!$G:$G,MATCH($C270&amp;"_Therm Saved per Unit- MLA",Algorithms!$A:$A,0)),0)*AA270</f>
        <v>0</v>
      </c>
      <c r="CE270" s="266">
        <f ca="1">IFERROR(INDEX(Algorithms!$G:$G,MATCH($C270&amp;"_Lifetime (years)",Algorithms!$A:$A,0)),0)</f>
        <v>6</v>
      </c>
      <c r="CF270" s="266">
        <f ca="1">IFERROR(INDEX(Algorithms!$G:$G,MATCH($C270&amp;"_Lifetime (years) - Remaining Years",Algorithms!$A:$A,0)),0)</f>
        <v>0</v>
      </c>
      <c r="CG270" s="266">
        <f t="shared" ca="1" si="193"/>
        <v>555.39652538738426</v>
      </c>
      <c r="CH270" s="266">
        <f t="shared" ca="1" si="194"/>
        <v>555.39652538738426</v>
      </c>
      <c r="CI270" s="266">
        <f t="shared" ca="1" si="195"/>
        <v>555.39652538738426</v>
      </c>
      <c r="CJ270" s="266">
        <f t="shared" ca="1" si="196"/>
        <v>555.39652538738426</v>
      </c>
      <c r="CK270" s="266">
        <f t="shared" si="197"/>
        <v>92.566087564564043</v>
      </c>
      <c r="CL270" s="266">
        <f t="shared" si="198"/>
        <v>92.566087564564043</v>
      </c>
      <c r="CM270" s="266">
        <f t="shared" ca="1" si="199"/>
        <v>92.566087564564043</v>
      </c>
      <c r="CN270" s="266">
        <f t="shared" ca="1" si="200"/>
        <v>92.566087564564043</v>
      </c>
      <c r="CO270" s="266">
        <f ca="1">N270*IFERROR(INDEX(Algorithms!$G:$G,MATCH($C270&amp;"_Therm Saved per Unit- MLA",Algorithms!$A:$A,0)),0)*X270</f>
        <v>0</v>
      </c>
      <c r="CP270" s="266">
        <f ca="1">O270*IFERROR(INDEX(Algorithms!$G:$G,MATCH($C270&amp;"_Therm Saved per Unit- MLA",Algorithms!$A:$A,0)),0)*Y270</f>
        <v>0</v>
      </c>
      <c r="CQ270" s="266">
        <f ca="1">P270*IFERROR(INDEX(Algorithms!$G:$G,MATCH($C270&amp;"_Therm Saved per Unit- MLA",Algorithms!$A:$A,0)),0)*Z270</f>
        <v>0</v>
      </c>
      <c r="CR270" s="266">
        <f ca="1">Q270*IFERROR(INDEX(Algorithms!$G:$G,MATCH($C270&amp;"_Therm Saved per Unit- MLA",Algorithms!$A:$A,0)),0)*AA270</f>
        <v>0</v>
      </c>
      <c r="CS270" s="266">
        <f ca="1">IFERROR(INDEX(Algorithms!$G:$G,MATCH($C270&amp;"_Lifetime (years)",Algorithms!$A:$A,0)),0)</f>
        <v>6</v>
      </c>
      <c r="CT270" s="266">
        <f ca="1">IFERROR(INDEX(Algorithms!$G:$G,MATCH($C270&amp;"_Lifetime (years) - Remaining Years",Algorithms!$A:$A,0)),0)</f>
        <v>0</v>
      </c>
      <c r="CU270" s="266">
        <f t="shared" ca="1" si="201"/>
        <v>555.39652538738426</v>
      </c>
      <c r="CV270" s="266">
        <f t="shared" ca="1" si="202"/>
        <v>555.39652538738426</v>
      </c>
      <c r="CW270" s="266">
        <f t="shared" ca="1" si="203"/>
        <v>555.39652538738426</v>
      </c>
      <c r="CX270" s="266">
        <f t="shared" ca="1" si="204"/>
        <v>555.39652538738426</v>
      </c>
    </row>
    <row r="271" spans="2:102" s="47" customFormat="1" ht="18" customHeight="1" x14ac:dyDescent="0.25">
      <c r="B271" t="str">
        <f t="shared" si="205"/>
        <v>NSG_Residential_Multi-Family_Partner Trade Ally Rebate_Furnace_&gt;95% AFUE_MF</v>
      </c>
      <c r="C271" s="47" t="str">
        <f t="shared" si="166"/>
        <v>Furnace_&gt;95% AFUE_MF</v>
      </c>
      <c r="D271" s="270" t="s">
        <v>1787</v>
      </c>
      <c r="E271" s="270" t="s">
        <v>2</v>
      </c>
      <c r="F271" s="270" t="s">
        <v>1422</v>
      </c>
      <c r="G271" s="270" t="s">
        <v>1799</v>
      </c>
      <c r="H271" s="270" t="s">
        <v>490</v>
      </c>
      <c r="I271" s="270" t="s">
        <v>982</v>
      </c>
      <c r="J271" s="270" t="s">
        <v>553</v>
      </c>
      <c r="K271" s="263">
        <v>1</v>
      </c>
      <c r="L271" s="263" t="str">
        <f ca="1">IFERROR(INDEX(Algorithms!J:J,MATCH($C271&amp;"_Therm Saved per Unit",Algorithms!$A:$A,0)),"n/a")</f>
        <v>4.4.11</v>
      </c>
      <c r="M271" s="263" t="str">
        <f>IFERROR(INDEX('Measure Level Detail'!$N:$N,MATCH($B271,'Measure Level Detail'!$B:$B,0)),0)</f>
        <v>each</v>
      </c>
      <c r="N271" s="271">
        <f>IFERROR(INDEX('Measure Level Detail'!$P:$P,MATCH($B271&amp;"_"&amp;N$3,'Measure Level Detail'!$C:$C,0)),0)</f>
        <v>2</v>
      </c>
      <c r="O271" s="271">
        <f>IFERROR(INDEX('Measure Level Detail'!$P:$P,MATCH($B271&amp;"_"&amp;O$3,'Measure Level Detail'!$C:$C,0)),0)</f>
        <v>2</v>
      </c>
      <c r="P271" s="271">
        <f>IFERROR(INDEX('Measure Level Detail'!$P:$P,MATCH($B271&amp;"_"&amp;P$3,'Measure Level Detail'!$C:$C,0)),0)</f>
        <v>2</v>
      </c>
      <c r="Q271" s="271">
        <f>IFERROR(INDEX('Measure Level Detail'!$P:$P,MATCH($B271&amp;"_"&amp;Q$3,'Measure Level Detail'!$C:$C,0)),0)</f>
        <v>2</v>
      </c>
      <c r="R271" s="263" t="str">
        <f ca="1">IFERROR(INDEX(Algorithms!K:K,MATCH($C271&amp;"_Therm Saved per Unit",Algorithms!$A:$A,0)),"n/a")</f>
        <v>CI-HVC-FRNC-V13-240101</v>
      </c>
      <c r="S271" s="262"/>
      <c r="T271" s="272">
        <v>236.69249999999985</v>
      </c>
      <c r="U271" s="272">
        <v>236.69249999999985</v>
      </c>
      <c r="V271" s="272">
        <v>236.69249999999985</v>
      </c>
      <c r="W271" s="272">
        <v>236.69249999999985</v>
      </c>
      <c r="X271" s="273">
        <f>IFERROR(INDEX('Measure Level Detail'!$R:$R,MATCH($B271&amp;"_"&amp;X$3,'Measure Level Detail'!$C:$C,0)),0)</f>
        <v>0.87</v>
      </c>
      <c r="Y271" s="273">
        <f>IFERROR(INDEX('Measure Level Detail'!$R:$R,MATCH($B271&amp;"_"&amp;Y$3,'Measure Level Detail'!$C:$C,0)),0)</f>
        <v>0.87</v>
      </c>
      <c r="Z271" s="273">
        <f>IFERROR(INDEX('Measure Level Detail'!$R:$R,MATCH($B271&amp;"_"&amp;Z$3,'Measure Level Detail'!$C:$C,0)),0)</f>
        <v>0.87</v>
      </c>
      <c r="AA271" s="273">
        <f>IFERROR(INDEX('Measure Level Detail'!$R:$R,MATCH($B271&amp;"_"&amp;AA$3,'Measure Level Detail'!$C:$C,0)),0)</f>
        <v>0.87</v>
      </c>
      <c r="AB271" s="266">
        <f t="shared" si="167"/>
        <v>411.84494999999976</v>
      </c>
      <c r="AC271" s="266">
        <f t="shared" si="168"/>
        <v>411.84494999999976</v>
      </c>
      <c r="AD271" s="266">
        <f t="shared" si="169"/>
        <v>411.84494999999976</v>
      </c>
      <c r="AE271" s="266">
        <f t="shared" si="170"/>
        <v>411.84494999999976</v>
      </c>
      <c r="AF271" s="266">
        <f t="shared" si="171"/>
        <v>1647.379799999999</v>
      </c>
      <c r="AG271" s="274">
        <v>0.87</v>
      </c>
      <c r="AH271" s="274">
        <v>0.87</v>
      </c>
      <c r="AI271" s="710">
        <v>0.88</v>
      </c>
      <c r="AJ271" s="710">
        <v>0.88</v>
      </c>
      <c r="AK271" s="274">
        <f t="shared" si="172"/>
        <v>0.87</v>
      </c>
      <c r="AL271" s="274">
        <f t="shared" si="173"/>
        <v>0.87</v>
      </c>
      <c r="AM271" s="274">
        <f t="shared" si="174"/>
        <v>0.87</v>
      </c>
      <c r="AN271" s="274">
        <f t="shared" si="175"/>
        <v>0.87</v>
      </c>
      <c r="AO271" s="262"/>
      <c r="AP271" s="262"/>
      <c r="AQ271" s="267">
        <v>236.69249999999985</v>
      </c>
      <c r="AR271" s="262"/>
      <c r="AS271" s="266">
        <f t="shared" si="176"/>
        <v>411.84494999999976</v>
      </c>
      <c r="AT271" s="264">
        <f t="shared" si="177"/>
        <v>0</v>
      </c>
      <c r="AU271" s="262"/>
      <c r="AV271" s="262"/>
      <c r="AW271" s="265">
        <v>236.69249999999985</v>
      </c>
      <c r="AX271" s="164" t="s">
        <v>1469</v>
      </c>
      <c r="AY271" s="266">
        <v>411.84494999999976</v>
      </c>
      <c r="AZ271" s="266">
        <f t="shared" si="178"/>
        <v>411.84494999999976</v>
      </c>
      <c r="BA271" s="264">
        <f t="shared" si="179"/>
        <v>0</v>
      </c>
      <c r="BB271" s="262"/>
      <c r="BC271" s="262"/>
      <c r="BD271" s="265">
        <f ca="1">IFERROR(INDEX(Algorithms!$G:$G,MATCH($C271&amp;"_Therm Saved per Unit",Algorithms!$A:$A,0)),0)</f>
        <v>218.18567901234553</v>
      </c>
      <c r="BE271" s="164" t="str">
        <f ca="1">IFERROR(INDEX('v12 Revisions'!$P$29:$P$186, MATCH('Measure-Level Adj Gas'!$L271, 'v12 Revisions'!$D$29:$D$186,0)),"")</f>
        <v>Updated baseline Furnace Annual Fuel Utilization Efficiency (AFUE) rating from 80% to 81%.</v>
      </c>
      <c r="BF271" s="266">
        <f t="shared" ca="1" si="180"/>
        <v>379.6430814814812</v>
      </c>
      <c r="BG271" s="264">
        <f t="shared" ca="1" si="181"/>
        <v>-32.201868518518552</v>
      </c>
      <c r="BH271" s="262"/>
      <c r="BI271" s="262"/>
      <c r="BJ271" s="265">
        <f ca="1">IFERROR(INDEX(Algorithms!$G:$G,MATCH($C271&amp;"_Therm Saved per Unit",Algorithms!$A:$A,0)),0)</f>
        <v>218.18567901234553</v>
      </c>
      <c r="BK271" s="164"/>
      <c r="BL271" s="266">
        <f t="shared" ca="1" si="182"/>
        <v>379.6430814814812</v>
      </c>
      <c r="BM271" s="264">
        <f t="shared" ca="1" si="183"/>
        <v>-32.201868518518552</v>
      </c>
      <c r="BN271" s="266">
        <f t="shared" si="184"/>
        <v>411.84494999999976</v>
      </c>
      <c r="BO271" s="266">
        <f t="shared" si="185"/>
        <v>411.84494999999976</v>
      </c>
      <c r="BP271" s="266">
        <f t="shared" ca="1" si="186"/>
        <v>379.6430814814812</v>
      </c>
      <c r="BQ271" s="266">
        <f t="shared" ca="1" si="187"/>
        <v>379.6430814814812</v>
      </c>
      <c r="BR271" s="268">
        <f t="shared" ca="1" si="188"/>
        <v>1582.9760629629618</v>
      </c>
      <c r="BS271" s="262" t="s">
        <v>99</v>
      </c>
      <c r="BT271" s="277"/>
      <c r="BW271" s="266">
        <f t="shared" si="189"/>
        <v>411.84494999999976</v>
      </c>
      <c r="BX271" s="266">
        <f t="shared" si="190"/>
        <v>411.84494999999976</v>
      </c>
      <c r="BY271" s="266">
        <f t="shared" si="191"/>
        <v>411.84494999999976</v>
      </c>
      <c r="BZ271" s="266">
        <f t="shared" si="192"/>
        <v>411.84494999999976</v>
      </c>
      <c r="CA271" s="266">
        <f ca="1">N271*IFERROR(INDEX(Algorithms!$G:$G,MATCH($C271&amp;"_Therm Saved per Unit- MLA",Algorithms!$A:$A,0)),0)*X271</f>
        <v>0</v>
      </c>
      <c r="CB271" s="266">
        <f ca="1">O271*IFERROR(INDEX(Algorithms!$G:$G,MATCH($C271&amp;"_Therm Saved per Unit- MLA",Algorithms!$A:$A,0)),0)*Y271</f>
        <v>0</v>
      </c>
      <c r="CC271" s="266">
        <f ca="1">P271*IFERROR(INDEX(Algorithms!$G:$G,MATCH($C271&amp;"_Therm Saved per Unit- MLA",Algorithms!$A:$A,0)),0)*Z271</f>
        <v>0</v>
      </c>
      <c r="CD271" s="266">
        <f ca="1">Q271*IFERROR(INDEX(Algorithms!$G:$G,MATCH($C271&amp;"_Therm Saved per Unit- MLA",Algorithms!$A:$A,0)),0)*AA271</f>
        <v>0</v>
      </c>
      <c r="CE271" s="266">
        <f ca="1">IFERROR(INDEX(Algorithms!$G:$G,MATCH($C271&amp;"_Lifetime (years)",Algorithms!$A:$A,0)),0)</f>
        <v>16.5</v>
      </c>
      <c r="CF271" s="266">
        <f ca="1">IFERROR(INDEX(Algorithms!$G:$G,MATCH($C271&amp;"_Lifetime (years) - Remaining Years",Algorithms!$A:$A,0)),0)</f>
        <v>0</v>
      </c>
      <c r="CG271" s="266">
        <f t="shared" ca="1" si="193"/>
        <v>6795.4416749999964</v>
      </c>
      <c r="CH271" s="266">
        <f t="shared" ca="1" si="194"/>
        <v>6795.4416749999964</v>
      </c>
      <c r="CI271" s="266">
        <f t="shared" ca="1" si="195"/>
        <v>6795.4416749999964</v>
      </c>
      <c r="CJ271" s="266">
        <f t="shared" ca="1" si="196"/>
        <v>6795.4416749999964</v>
      </c>
      <c r="CK271" s="266">
        <f t="shared" si="197"/>
        <v>411.84494999999976</v>
      </c>
      <c r="CL271" s="266">
        <f t="shared" si="198"/>
        <v>411.84494999999976</v>
      </c>
      <c r="CM271" s="266">
        <f t="shared" ca="1" si="199"/>
        <v>379.6430814814812</v>
      </c>
      <c r="CN271" s="266">
        <f t="shared" ca="1" si="200"/>
        <v>379.6430814814812</v>
      </c>
      <c r="CO271" s="266">
        <f ca="1">N271*IFERROR(INDEX(Algorithms!$G:$G,MATCH($C271&amp;"_Therm Saved per Unit- MLA",Algorithms!$A:$A,0)),0)*X271</f>
        <v>0</v>
      </c>
      <c r="CP271" s="266">
        <f ca="1">O271*IFERROR(INDEX(Algorithms!$G:$G,MATCH($C271&amp;"_Therm Saved per Unit- MLA",Algorithms!$A:$A,0)),0)*Y271</f>
        <v>0</v>
      </c>
      <c r="CQ271" s="266">
        <f ca="1">P271*IFERROR(INDEX(Algorithms!$G:$G,MATCH($C271&amp;"_Therm Saved per Unit- MLA",Algorithms!$A:$A,0)),0)*Z271</f>
        <v>0</v>
      </c>
      <c r="CR271" s="266">
        <f ca="1">Q271*IFERROR(INDEX(Algorithms!$G:$G,MATCH($C271&amp;"_Therm Saved per Unit- MLA",Algorithms!$A:$A,0)),0)*AA271</f>
        <v>0</v>
      </c>
      <c r="CS271" s="266">
        <f ca="1">IFERROR(INDEX(Algorithms!$G:$G,MATCH($C271&amp;"_Lifetime (years)",Algorithms!$A:$A,0)),0)</f>
        <v>16.5</v>
      </c>
      <c r="CT271" s="266">
        <f ca="1">IFERROR(INDEX(Algorithms!$G:$G,MATCH($C271&amp;"_Lifetime (years) - Remaining Years",Algorithms!$A:$A,0)),0)</f>
        <v>0</v>
      </c>
      <c r="CU271" s="266">
        <f t="shared" ca="1" si="201"/>
        <v>6795.4416749999964</v>
      </c>
      <c r="CV271" s="266">
        <f t="shared" ca="1" si="202"/>
        <v>6795.4416749999964</v>
      </c>
      <c r="CW271" s="266">
        <f t="shared" ca="1" si="203"/>
        <v>6264.1108444444399</v>
      </c>
      <c r="CX271" s="266">
        <f t="shared" ca="1" si="204"/>
        <v>6264.1108444444399</v>
      </c>
    </row>
    <row r="272" spans="2:102" s="47" customFormat="1" ht="18" customHeight="1" x14ac:dyDescent="0.25">
      <c r="B272" t="str">
        <f t="shared" si="205"/>
        <v>NSG_Income Eligible_Multi-Family_Whole Building - DI_Programmable Thermostat_Furnace (DI)_MF</v>
      </c>
      <c r="C272" s="47" t="str">
        <f t="shared" si="166"/>
        <v>Programmable Thermostat_Furnace (DI)_MF</v>
      </c>
      <c r="D272" s="270" t="s">
        <v>1787</v>
      </c>
      <c r="E272" s="270" t="s">
        <v>325</v>
      </c>
      <c r="F272" s="270" t="s">
        <v>1422</v>
      </c>
      <c r="G272" s="270" t="s">
        <v>1812</v>
      </c>
      <c r="H272" s="270" t="s">
        <v>224</v>
      </c>
      <c r="I272" s="270" t="s">
        <v>1038</v>
      </c>
      <c r="J272" s="270" t="s">
        <v>553</v>
      </c>
      <c r="K272" s="263">
        <v>1</v>
      </c>
      <c r="L272" s="263" t="str">
        <f ca="1">IFERROR(INDEX(Algorithms!J:J,MATCH($C272&amp;"_Therm Saved per Unit",Algorithms!$A:$A,0)),"n/a")</f>
        <v>5.3.11</v>
      </c>
      <c r="M272" s="263" t="str">
        <f>IFERROR(INDEX('Measure Level Detail'!$N:$N,MATCH($B272,'Measure Level Detail'!$B:$B,0)),0)</f>
        <v>each</v>
      </c>
      <c r="N272" s="271">
        <f>IFERROR(INDEX('Measure Level Detail'!$P:$P,MATCH($B272&amp;"_"&amp;N$3,'Measure Level Detail'!$C:$C,0)),0)</f>
        <v>2</v>
      </c>
      <c r="O272" s="271">
        <f>IFERROR(INDEX('Measure Level Detail'!$P:$P,MATCH($B272&amp;"_"&amp;O$3,'Measure Level Detail'!$C:$C,0)),0)</f>
        <v>2</v>
      </c>
      <c r="P272" s="271">
        <f>IFERROR(INDEX('Measure Level Detail'!$P:$P,MATCH($B272&amp;"_"&amp;P$3,'Measure Level Detail'!$C:$C,0)),0)</f>
        <v>2</v>
      </c>
      <c r="Q272" s="271">
        <f>IFERROR(INDEX('Measure Level Detail'!$P:$P,MATCH($B272&amp;"_"&amp;Q$3,'Measure Level Detail'!$C:$C,0)),0)</f>
        <v>2</v>
      </c>
      <c r="R272" s="263" t="str">
        <f ca="1">IFERROR(INDEX(Algorithms!K:K,MATCH($C272&amp;"_Therm Saved per Unit",Algorithms!$A:$A,0)),"n/a")</f>
        <v>RS-HVC-PROG-V08-220101</v>
      </c>
      <c r="S272" s="262"/>
      <c r="T272" s="272">
        <v>40.5015</v>
      </c>
      <c r="U272" s="272">
        <v>40.5015</v>
      </c>
      <c r="V272" s="272">
        <v>40.5015</v>
      </c>
      <c r="W272" s="272">
        <v>40.5015</v>
      </c>
      <c r="X272" s="273">
        <f>IFERROR(INDEX('Measure Level Detail'!$R:$R,MATCH($B272&amp;"_"&amp;X$3,'Measure Level Detail'!$C:$C,0)),0)</f>
        <v>1</v>
      </c>
      <c r="Y272" s="273">
        <f>IFERROR(INDEX('Measure Level Detail'!$R:$R,MATCH($B272&amp;"_"&amp;Y$3,'Measure Level Detail'!$C:$C,0)),0)</f>
        <v>1</v>
      </c>
      <c r="Z272" s="273">
        <f>IFERROR(INDEX('Measure Level Detail'!$R:$R,MATCH($B272&amp;"_"&amp;Z$3,'Measure Level Detail'!$C:$C,0)),0)</f>
        <v>1</v>
      </c>
      <c r="AA272" s="273">
        <f>IFERROR(INDEX('Measure Level Detail'!$R:$R,MATCH($B272&amp;"_"&amp;AA$3,'Measure Level Detail'!$C:$C,0)),0)</f>
        <v>1</v>
      </c>
      <c r="AB272" s="266">
        <f t="shared" si="167"/>
        <v>81.003</v>
      </c>
      <c r="AC272" s="266">
        <f t="shared" si="168"/>
        <v>81.003</v>
      </c>
      <c r="AD272" s="266">
        <f t="shared" si="169"/>
        <v>81.003</v>
      </c>
      <c r="AE272" s="266">
        <f t="shared" si="170"/>
        <v>81.003</v>
      </c>
      <c r="AF272" s="266">
        <f t="shared" si="171"/>
        <v>324.012</v>
      </c>
      <c r="AG272" s="274">
        <v>1</v>
      </c>
      <c r="AH272" s="274">
        <v>1</v>
      </c>
      <c r="AI272" s="274">
        <v>1</v>
      </c>
      <c r="AJ272" s="274">
        <v>1</v>
      </c>
      <c r="AK272" s="274">
        <f t="shared" si="172"/>
        <v>1</v>
      </c>
      <c r="AL272" s="274">
        <f t="shared" si="173"/>
        <v>1</v>
      </c>
      <c r="AM272" s="274">
        <f t="shared" si="174"/>
        <v>1</v>
      </c>
      <c r="AN272" s="274">
        <f t="shared" si="175"/>
        <v>1</v>
      </c>
      <c r="AO272" s="262"/>
      <c r="AP272" s="262"/>
      <c r="AQ272" s="267">
        <v>40.5015</v>
      </c>
      <c r="AR272" s="262"/>
      <c r="AS272" s="266">
        <f t="shared" si="176"/>
        <v>81.003</v>
      </c>
      <c r="AT272" s="264">
        <f t="shared" si="177"/>
        <v>0</v>
      </c>
      <c r="AU272" s="262"/>
      <c r="AV272" s="262"/>
      <c r="AW272" s="265">
        <v>40.5015</v>
      </c>
      <c r="AX272" s="164" t="s">
        <v>1469</v>
      </c>
      <c r="AY272" s="266">
        <v>81.003</v>
      </c>
      <c r="AZ272" s="266">
        <f t="shared" si="178"/>
        <v>81.003</v>
      </c>
      <c r="BA272" s="264">
        <f t="shared" si="179"/>
        <v>0</v>
      </c>
      <c r="BB272" s="262"/>
      <c r="BC272" s="262"/>
      <c r="BD272" s="265">
        <f ca="1">IFERROR(INDEX(Algorithms!$G:$G,MATCH($C272&amp;"_Therm Saved per Unit",Algorithms!$A:$A,0)),0)</f>
        <v>40.5015</v>
      </c>
      <c r="BE272" s="164" t="str">
        <f ca="1">IFERROR(INDEX('v12 Revisions'!$P$29:$P$186, MATCH('Measure-Level Adj Gas'!$L272, 'v12 Revisions'!$D$29:$D$186,0)),"")</f>
        <v/>
      </c>
      <c r="BF272" s="266">
        <f t="shared" ca="1" si="180"/>
        <v>81.003</v>
      </c>
      <c r="BG272" s="264">
        <f t="shared" ca="1" si="181"/>
        <v>0</v>
      </c>
      <c r="BH272" s="262"/>
      <c r="BI272" s="262"/>
      <c r="BJ272" s="265">
        <f ca="1">IFERROR(INDEX(Algorithms!$G:$G,MATCH($C272&amp;"_Therm Saved per Unit",Algorithms!$A:$A,0)),0)</f>
        <v>40.5015</v>
      </c>
      <c r="BK272" s="164"/>
      <c r="BL272" s="266">
        <f t="shared" ca="1" si="182"/>
        <v>81.003</v>
      </c>
      <c r="BM272" s="264">
        <f t="shared" ca="1" si="183"/>
        <v>0</v>
      </c>
      <c r="BN272" s="266">
        <f t="shared" si="184"/>
        <v>81.003</v>
      </c>
      <c r="BO272" s="266">
        <f t="shared" si="185"/>
        <v>81.003</v>
      </c>
      <c r="BP272" s="266">
        <f t="shared" ca="1" si="186"/>
        <v>81.003</v>
      </c>
      <c r="BQ272" s="266">
        <f t="shared" ca="1" si="187"/>
        <v>81.003</v>
      </c>
      <c r="BR272" s="268">
        <f t="shared" ca="1" si="188"/>
        <v>324.012</v>
      </c>
      <c r="BS272" s="262" t="s">
        <v>99</v>
      </c>
      <c r="BT272" s="277"/>
      <c r="BW272" s="266">
        <f t="shared" si="189"/>
        <v>81.003</v>
      </c>
      <c r="BX272" s="266">
        <f t="shared" si="190"/>
        <v>81.003</v>
      </c>
      <c r="BY272" s="266">
        <f t="shared" si="191"/>
        <v>81.003</v>
      </c>
      <c r="BZ272" s="266">
        <f t="shared" si="192"/>
        <v>81.003</v>
      </c>
      <c r="CA272" s="266">
        <f ca="1">N272*IFERROR(INDEX(Algorithms!$G:$G,MATCH($C272&amp;"_Therm Saved per Unit- MLA",Algorithms!$A:$A,0)),0)*X272</f>
        <v>22.680840000000003</v>
      </c>
      <c r="CB272" s="266">
        <f ca="1">O272*IFERROR(INDEX(Algorithms!$G:$G,MATCH($C272&amp;"_Therm Saved per Unit- MLA",Algorithms!$A:$A,0)),0)*Y272</f>
        <v>22.680840000000003</v>
      </c>
      <c r="CC272" s="266">
        <f ca="1">P272*IFERROR(INDEX(Algorithms!$G:$G,MATCH($C272&amp;"_Therm Saved per Unit- MLA",Algorithms!$A:$A,0)),0)*Z272</f>
        <v>22.680840000000003</v>
      </c>
      <c r="CD272" s="266">
        <f ca="1">Q272*IFERROR(INDEX(Algorithms!$G:$G,MATCH($C272&amp;"_Therm Saved per Unit- MLA",Algorithms!$A:$A,0)),0)*AA272</f>
        <v>22.680840000000003</v>
      </c>
      <c r="CE272" s="266">
        <f ca="1">IFERROR(INDEX(Algorithms!$G:$G,MATCH($C272&amp;"_Lifetime (years)",Algorithms!$A:$A,0)),0)</f>
        <v>16</v>
      </c>
      <c r="CF272" s="266">
        <f ca="1">IFERROR(INDEX(Algorithms!$G:$G,MATCH($C272&amp;"_Lifetime (years) - Remaining Years",Algorithms!$A:$A,0)),0)</f>
        <v>5</v>
      </c>
      <c r="CG272" s="266">
        <f t="shared" ca="1" si="193"/>
        <v>654.50423999999998</v>
      </c>
      <c r="CH272" s="266">
        <f t="shared" ca="1" si="194"/>
        <v>654.50423999999998</v>
      </c>
      <c r="CI272" s="266">
        <f t="shared" ca="1" si="195"/>
        <v>654.50423999999998</v>
      </c>
      <c r="CJ272" s="266">
        <f t="shared" ca="1" si="196"/>
        <v>654.50423999999998</v>
      </c>
      <c r="CK272" s="266">
        <f t="shared" si="197"/>
        <v>81.003</v>
      </c>
      <c r="CL272" s="266">
        <f t="shared" si="198"/>
        <v>81.003</v>
      </c>
      <c r="CM272" s="266">
        <f t="shared" ca="1" si="199"/>
        <v>81.003</v>
      </c>
      <c r="CN272" s="266">
        <f t="shared" ca="1" si="200"/>
        <v>81.003</v>
      </c>
      <c r="CO272" s="266">
        <f ca="1">N272*IFERROR(INDEX(Algorithms!$G:$G,MATCH($C272&amp;"_Therm Saved per Unit- MLA",Algorithms!$A:$A,0)),0)*X272</f>
        <v>22.680840000000003</v>
      </c>
      <c r="CP272" s="266">
        <f ca="1">O272*IFERROR(INDEX(Algorithms!$G:$G,MATCH($C272&amp;"_Therm Saved per Unit- MLA",Algorithms!$A:$A,0)),0)*Y272</f>
        <v>22.680840000000003</v>
      </c>
      <c r="CQ272" s="266">
        <f ca="1">P272*IFERROR(INDEX(Algorithms!$G:$G,MATCH($C272&amp;"_Therm Saved per Unit- MLA",Algorithms!$A:$A,0)),0)*Z272</f>
        <v>22.680840000000003</v>
      </c>
      <c r="CR272" s="266">
        <f ca="1">Q272*IFERROR(INDEX(Algorithms!$G:$G,MATCH($C272&amp;"_Therm Saved per Unit- MLA",Algorithms!$A:$A,0)),0)*AA272</f>
        <v>22.680840000000003</v>
      </c>
      <c r="CS272" s="266">
        <f ca="1">IFERROR(INDEX(Algorithms!$G:$G,MATCH($C272&amp;"_Lifetime (years)",Algorithms!$A:$A,0)),0)</f>
        <v>16</v>
      </c>
      <c r="CT272" s="266">
        <f ca="1">IFERROR(INDEX(Algorithms!$G:$G,MATCH($C272&amp;"_Lifetime (years) - Remaining Years",Algorithms!$A:$A,0)),0)</f>
        <v>5</v>
      </c>
      <c r="CU272" s="266">
        <f t="shared" ca="1" si="201"/>
        <v>654.50423999999998</v>
      </c>
      <c r="CV272" s="266">
        <f t="shared" ca="1" si="202"/>
        <v>654.50423999999998</v>
      </c>
      <c r="CW272" s="266">
        <f t="shared" ca="1" si="203"/>
        <v>654.50423999999998</v>
      </c>
      <c r="CX272" s="266">
        <f t="shared" ca="1" si="204"/>
        <v>654.50423999999998</v>
      </c>
    </row>
    <row r="273" spans="2:102" s="47" customFormat="1" ht="18" customHeight="1" x14ac:dyDescent="0.25">
      <c r="B273" t="str">
        <f t="shared" si="205"/>
        <v>NSG_Income Eligible_Multi-Family_Whole Building - Prescriptive_Pipe Insulation_Steam Med Fitting_MF</v>
      </c>
      <c r="C273" s="47" t="str">
        <f t="shared" si="166"/>
        <v>Pipe Insulation_Steam Med Fitting_MF</v>
      </c>
      <c r="D273" s="270" t="s">
        <v>1787</v>
      </c>
      <c r="E273" s="270" t="s">
        <v>325</v>
      </c>
      <c r="F273" s="270" t="s">
        <v>1422</v>
      </c>
      <c r="G273" s="270" t="s">
        <v>1813</v>
      </c>
      <c r="H273" s="270" t="s">
        <v>404</v>
      </c>
      <c r="I273" s="270" t="s">
        <v>962</v>
      </c>
      <c r="J273" s="270" t="s">
        <v>553</v>
      </c>
      <c r="K273" s="263">
        <v>1</v>
      </c>
      <c r="L273" s="263" t="str">
        <f ca="1">IFERROR(INDEX(Algorithms!J:J,MATCH($C273&amp;"_Therm Saved per Unit",Algorithms!$A:$A,0)),"n/a")</f>
        <v>"3 - Res Pipe Insulation" worksheet</v>
      </c>
      <c r="M273" s="263" t="str">
        <f>IFERROR(INDEX('Measure Level Detail'!$N:$N,MATCH($B273,'Measure Level Detail'!$B:$B,0)),0)</f>
        <v>each</v>
      </c>
      <c r="N273" s="271">
        <f>IFERROR(INDEX('Measure Level Detail'!$P:$P,MATCH($B273&amp;"_"&amp;N$3,'Measure Level Detail'!$C:$C,0)),0)</f>
        <v>2</v>
      </c>
      <c r="O273" s="271">
        <f>IFERROR(INDEX('Measure Level Detail'!$P:$P,MATCH($B273&amp;"_"&amp;O$3,'Measure Level Detail'!$C:$C,0)),0)</f>
        <v>2</v>
      </c>
      <c r="P273" s="271">
        <f>IFERROR(INDEX('Measure Level Detail'!$P:$P,MATCH($B273&amp;"_"&amp;P$3,'Measure Level Detail'!$C:$C,0)),0)</f>
        <v>2</v>
      </c>
      <c r="Q273" s="271">
        <f>IFERROR(INDEX('Measure Level Detail'!$P:$P,MATCH($B273&amp;"_"&amp;Q$3,'Measure Level Detail'!$C:$C,0)),0)</f>
        <v>2</v>
      </c>
      <c r="R273" s="263">
        <f ca="1">IFERROR(INDEX(Algorithms!K:K,MATCH($C273&amp;"_Therm Saved per Unit",Algorithms!$A:$A,0)),"n/a")</f>
        <v>0</v>
      </c>
      <c r="S273" s="262"/>
      <c r="T273" s="272">
        <v>20.134575475260416</v>
      </c>
      <c r="U273" s="272">
        <v>20.134575475260416</v>
      </c>
      <c r="V273" s="272">
        <v>20.134575475260416</v>
      </c>
      <c r="W273" s="272">
        <v>20.134575475260416</v>
      </c>
      <c r="X273" s="273">
        <f>IFERROR(INDEX('Measure Level Detail'!$R:$R,MATCH($B273&amp;"_"&amp;X$3,'Measure Level Detail'!$C:$C,0)),0)</f>
        <v>1</v>
      </c>
      <c r="Y273" s="273">
        <f>IFERROR(INDEX('Measure Level Detail'!$R:$R,MATCH($B273&amp;"_"&amp;Y$3,'Measure Level Detail'!$C:$C,0)),0)</f>
        <v>1</v>
      </c>
      <c r="Z273" s="273">
        <f>IFERROR(INDEX('Measure Level Detail'!$R:$R,MATCH($B273&amp;"_"&amp;Z$3,'Measure Level Detail'!$C:$C,0)),0)</f>
        <v>1</v>
      </c>
      <c r="AA273" s="273">
        <f>IFERROR(INDEX('Measure Level Detail'!$R:$R,MATCH($B273&amp;"_"&amp;AA$3,'Measure Level Detail'!$C:$C,0)),0)</f>
        <v>1</v>
      </c>
      <c r="AB273" s="266">
        <f t="shared" si="167"/>
        <v>40.269150950520832</v>
      </c>
      <c r="AC273" s="266">
        <f t="shared" si="168"/>
        <v>40.269150950520832</v>
      </c>
      <c r="AD273" s="266">
        <f t="shared" si="169"/>
        <v>40.269150950520832</v>
      </c>
      <c r="AE273" s="266">
        <f t="shared" si="170"/>
        <v>40.269150950520832</v>
      </c>
      <c r="AF273" s="266">
        <f t="shared" si="171"/>
        <v>161.07660380208333</v>
      </c>
      <c r="AG273" s="274">
        <v>1</v>
      </c>
      <c r="AH273" s="274">
        <v>1</v>
      </c>
      <c r="AI273" s="274">
        <v>1</v>
      </c>
      <c r="AJ273" s="274">
        <v>1</v>
      </c>
      <c r="AK273" s="274">
        <f t="shared" si="172"/>
        <v>1</v>
      </c>
      <c r="AL273" s="274">
        <f t="shared" si="173"/>
        <v>1</v>
      </c>
      <c r="AM273" s="274">
        <f t="shared" si="174"/>
        <v>1</v>
      </c>
      <c r="AN273" s="274">
        <f t="shared" si="175"/>
        <v>1</v>
      </c>
      <c r="AO273" s="262"/>
      <c r="AP273" s="262"/>
      <c r="AQ273" s="267">
        <v>20.134575475260416</v>
      </c>
      <c r="AR273" s="262"/>
      <c r="AS273" s="266">
        <f t="shared" si="176"/>
        <v>40.269150950520832</v>
      </c>
      <c r="AT273" s="264">
        <f t="shared" si="177"/>
        <v>0</v>
      </c>
      <c r="AU273" s="262"/>
      <c r="AV273" s="262"/>
      <c r="AW273" s="265">
        <v>20.134575475260416</v>
      </c>
      <c r="AX273" s="164" t="s">
        <v>1469</v>
      </c>
      <c r="AY273" s="266">
        <v>40.269150950520832</v>
      </c>
      <c r="AZ273" s="266">
        <f t="shared" si="178"/>
        <v>40.269150950520832</v>
      </c>
      <c r="BA273" s="264">
        <f t="shared" si="179"/>
        <v>0</v>
      </c>
      <c r="BB273" s="262"/>
      <c r="BC273" s="262"/>
      <c r="BD273" s="265">
        <f ca="1">IFERROR(INDEX(Algorithms!$G:$G,MATCH($C273&amp;"_Therm Saved per Unit",Algorithms!$A:$A,0)),0)</f>
        <v>20.134575475260416</v>
      </c>
      <c r="BE273" s="164" t="str">
        <f ca="1">IFERROR(INDEX('v12 Revisions'!$P$29:$P$186, MATCH('Measure-Level Adj Gas'!$L273, 'v12 Revisions'!$D$29:$D$186,0)),"")</f>
        <v/>
      </c>
      <c r="BF273" s="266">
        <f t="shared" ca="1" si="180"/>
        <v>40.269150950520832</v>
      </c>
      <c r="BG273" s="264">
        <f t="shared" ca="1" si="181"/>
        <v>0</v>
      </c>
      <c r="BH273" s="262"/>
      <c r="BI273" s="262"/>
      <c r="BJ273" s="265">
        <f ca="1">IFERROR(INDEX(Algorithms!$G:$G,MATCH($C273&amp;"_Therm Saved per Unit",Algorithms!$A:$A,0)),0)</f>
        <v>20.134575475260416</v>
      </c>
      <c r="BK273" s="164"/>
      <c r="BL273" s="266">
        <f t="shared" ca="1" si="182"/>
        <v>40.269150950520832</v>
      </c>
      <c r="BM273" s="264">
        <f t="shared" ca="1" si="183"/>
        <v>0</v>
      </c>
      <c r="BN273" s="266">
        <f t="shared" si="184"/>
        <v>40.269150950520832</v>
      </c>
      <c r="BO273" s="266">
        <f t="shared" si="185"/>
        <v>40.269150950520832</v>
      </c>
      <c r="BP273" s="266">
        <f t="shared" ca="1" si="186"/>
        <v>40.269150950520832</v>
      </c>
      <c r="BQ273" s="266">
        <f t="shared" ca="1" si="187"/>
        <v>40.269150950520832</v>
      </c>
      <c r="BR273" s="268">
        <f t="shared" ca="1" si="188"/>
        <v>161.07660380208333</v>
      </c>
      <c r="BS273" s="262" t="s">
        <v>99</v>
      </c>
      <c r="BT273" s="277"/>
      <c r="BW273" s="266">
        <f t="shared" si="189"/>
        <v>40.269150950520832</v>
      </c>
      <c r="BX273" s="266">
        <f t="shared" si="190"/>
        <v>40.269150950520832</v>
      </c>
      <c r="BY273" s="266">
        <f t="shared" si="191"/>
        <v>40.269150950520832</v>
      </c>
      <c r="BZ273" s="266">
        <f t="shared" si="192"/>
        <v>40.269150950520832</v>
      </c>
      <c r="CA273" s="266">
        <f ca="1">N273*IFERROR(INDEX(Algorithms!$G:$G,MATCH($C273&amp;"_Therm Saved per Unit- MLA",Algorithms!$A:$A,0)),0)*X273</f>
        <v>0</v>
      </c>
      <c r="CB273" s="266">
        <f ca="1">O273*IFERROR(INDEX(Algorithms!$G:$G,MATCH($C273&amp;"_Therm Saved per Unit- MLA",Algorithms!$A:$A,0)),0)*Y273</f>
        <v>0</v>
      </c>
      <c r="CC273" s="266">
        <f ca="1">P273*IFERROR(INDEX(Algorithms!$G:$G,MATCH($C273&amp;"_Therm Saved per Unit- MLA",Algorithms!$A:$A,0)),0)*Z273</f>
        <v>0</v>
      </c>
      <c r="CD273" s="266">
        <f ca="1">Q273*IFERROR(INDEX(Algorithms!$G:$G,MATCH($C273&amp;"_Therm Saved per Unit- MLA",Algorithms!$A:$A,0)),0)*AA273</f>
        <v>0</v>
      </c>
      <c r="CE273" s="266">
        <f ca="1">IFERROR(INDEX(Algorithms!$G:$G,MATCH($C273&amp;"_Lifetime (years)",Algorithms!$A:$A,0)),0)</f>
        <v>15</v>
      </c>
      <c r="CF273" s="266">
        <f ca="1">IFERROR(INDEX(Algorithms!$G:$G,MATCH($C273&amp;"_Lifetime (years) - Remaining Years",Algorithms!$A:$A,0)),0)</f>
        <v>0</v>
      </c>
      <c r="CG273" s="266">
        <f t="shared" ca="1" si="193"/>
        <v>604.03726425781247</v>
      </c>
      <c r="CH273" s="266">
        <f t="shared" ca="1" si="194"/>
        <v>604.03726425781247</v>
      </c>
      <c r="CI273" s="266">
        <f t="shared" ca="1" si="195"/>
        <v>604.03726425781247</v>
      </c>
      <c r="CJ273" s="266">
        <f t="shared" ca="1" si="196"/>
        <v>604.03726425781247</v>
      </c>
      <c r="CK273" s="266">
        <f t="shared" si="197"/>
        <v>40.269150950520832</v>
      </c>
      <c r="CL273" s="266">
        <f t="shared" si="198"/>
        <v>40.269150950520832</v>
      </c>
      <c r="CM273" s="266">
        <f t="shared" ca="1" si="199"/>
        <v>40.269150950520832</v>
      </c>
      <c r="CN273" s="266">
        <f t="shared" ca="1" si="200"/>
        <v>40.269150950520832</v>
      </c>
      <c r="CO273" s="266">
        <f ca="1">N273*IFERROR(INDEX(Algorithms!$G:$G,MATCH($C273&amp;"_Therm Saved per Unit- MLA",Algorithms!$A:$A,0)),0)*X273</f>
        <v>0</v>
      </c>
      <c r="CP273" s="266">
        <f ca="1">O273*IFERROR(INDEX(Algorithms!$G:$G,MATCH($C273&amp;"_Therm Saved per Unit- MLA",Algorithms!$A:$A,0)),0)*Y273</f>
        <v>0</v>
      </c>
      <c r="CQ273" s="266">
        <f ca="1">P273*IFERROR(INDEX(Algorithms!$G:$G,MATCH($C273&amp;"_Therm Saved per Unit- MLA",Algorithms!$A:$A,0)),0)*Z273</f>
        <v>0</v>
      </c>
      <c r="CR273" s="266">
        <f ca="1">Q273*IFERROR(INDEX(Algorithms!$G:$G,MATCH($C273&amp;"_Therm Saved per Unit- MLA",Algorithms!$A:$A,0)),0)*AA273</f>
        <v>0</v>
      </c>
      <c r="CS273" s="266">
        <f ca="1">IFERROR(INDEX(Algorithms!$G:$G,MATCH($C273&amp;"_Lifetime (years)",Algorithms!$A:$A,0)),0)</f>
        <v>15</v>
      </c>
      <c r="CT273" s="266">
        <f ca="1">IFERROR(INDEX(Algorithms!$G:$G,MATCH($C273&amp;"_Lifetime (years) - Remaining Years",Algorithms!$A:$A,0)),0)</f>
        <v>0</v>
      </c>
      <c r="CU273" s="266">
        <f t="shared" ca="1" si="201"/>
        <v>604.03726425781247</v>
      </c>
      <c r="CV273" s="266">
        <f t="shared" ca="1" si="202"/>
        <v>604.03726425781247</v>
      </c>
      <c r="CW273" s="266">
        <f t="shared" ca="1" si="203"/>
        <v>604.03726425781247</v>
      </c>
      <c r="CX273" s="266">
        <f t="shared" ca="1" si="204"/>
        <v>604.03726425781247</v>
      </c>
    </row>
    <row r="274" spans="2:102" s="47" customFormat="1" ht="18" customHeight="1" x14ac:dyDescent="0.25">
      <c r="B274" t="str">
        <f t="shared" si="205"/>
        <v>NSG_Income Eligible_Multi-Family_Whole Building - Prescriptive_Pipe Insulation_Steam Large Fitting_MF</v>
      </c>
      <c r="C274" s="47" t="str">
        <f t="shared" si="166"/>
        <v>Pipe Insulation_Steam Large Fitting_MF</v>
      </c>
      <c r="D274" s="270" t="s">
        <v>1787</v>
      </c>
      <c r="E274" s="270" t="s">
        <v>325</v>
      </c>
      <c r="F274" s="270" t="s">
        <v>1422</v>
      </c>
      <c r="G274" s="270" t="s">
        <v>1813</v>
      </c>
      <c r="H274" s="270" t="s">
        <v>404</v>
      </c>
      <c r="I274" s="270" t="s">
        <v>963</v>
      </c>
      <c r="J274" s="270" t="s">
        <v>553</v>
      </c>
      <c r="K274" s="263">
        <v>1</v>
      </c>
      <c r="L274" s="263" t="str">
        <f ca="1">IFERROR(INDEX(Algorithms!J:J,MATCH($C274&amp;"_Therm Saved per Unit",Algorithms!$A:$A,0)),"n/a")</f>
        <v>"3 - Res Pipe Insulation" worksheet</v>
      </c>
      <c r="M274" s="263" t="str">
        <f>IFERROR(INDEX('Measure Level Detail'!$N:$N,MATCH($B274,'Measure Level Detail'!$B:$B,0)),0)</f>
        <v>each</v>
      </c>
      <c r="N274" s="271">
        <f>IFERROR(INDEX('Measure Level Detail'!$P:$P,MATCH($B274&amp;"_"&amp;N$3,'Measure Level Detail'!$C:$C,0)),0)</f>
        <v>2</v>
      </c>
      <c r="O274" s="271">
        <f>IFERROR(INDEX('Measure Level Detail'!$P:$P,MATCH($B274&amp;"_"&amp;O$3,'Measure Level Detail'!$C:$C,0)),0)</f>
        <v>2</v>
      </c>
      <c r="P274" s="271">
        <f>IFERROR(INDEX('Measure Level Detail'!$P:$P,MATCH($B274&amp;"_"&amp;P$3,'Measure Level Detail'!$C:$C,0)),0)</f>
        <v>2</v>
      </c>
      <c r="Q274" s="271">
        <f>IFERROR(INDEX('Measure Level Detail'!$P:$P,MATCH($B274&amp;"_"&amp;Q$3,'Measure Level Detail'!$C:$C,0)),0)</f>
        <v>2</v>
      </c>
      <c r="R274" s="263">
        <f ca="1">IFERROR(INDEX(Algorithms!K:K,MATCH($C274&amp;"_Therm Saved per Unit",Algorithms!$A:$A,0)),"n/a")</f>
        <v>0</v>
      </c>
      <c r="S274" s="262"/>
      <c r="T274" s="272">
        <v>66.284273233024678</v>
      </c>
      <c r="U274" s="272">
        <v>66.284273233024678</v>
      </c>
      <c r="V274" s="272">
        <v>66.284273233024678</v>
      </c>
      <c r="W274" s="272">
        <v>66.284273233024678</v>
      </c>
      <c r="X274" s="273">
        <f>IFERROR(INDEX('Measure Level Detail'!$R:$R,MATCH($B274&amp;"_"&amp;X$3,'Measure Level Detail'!$C:$C,0)),0)</f>
        <v>1</v>
      </c>
      <c r="Y274" s="273">
        <f>IFERROR(INDEX('Measure Level Detail'!$R:$R,MATCH($B274&amp;"_"&amp;Y$3,'Measure Level Detail'!$C:$C,0)),0)</f>
        <v>1</v>
      </c>
      <c r="Z274" s="273">
        <f>IFERROR(INDEX('Measure Level Detail'!$R:$R,MATCH($B274&amp;"_"&amp;Z$3,'Measure Level Detail'!$C:$C,0)),0)</f>
        <v>1</v>
      </c>
      <c r="AA274" s="273">
        <f>IFERROR(INDEX('Measure Level Detail'!$R:$R,MATCH($B274&amp;"_"&amp;AA$3,'Measure Level Detail'!$C:$C,0)),0)</f>
        <v>1</v>
      </c>
      <c r="AB274" s="266">
        <f t="shared" si="167"/>
        <v>132.56854646604936</v>
      </c>
      <c r="AC274" s="266">
        <f t="shared" si="168"/>
        <v>132.56854646604936</v>
      </c>
      <c r="AD274" s="266">
        <f t="shared" si="169"/>
        <v>132.56854646604936</v>
      </c>
      <c r="AE274" s="266">
        <f t="shared" si="170"/>
        <v>132.56854646604936</v>
      </c>
      <c r="AF274" s="266">
        <f t="shared" si="171"/>
        <v>530.27418586419742</v>
      </c>
      <c r="AG274" s="274">
        <v>1</v>
      </c>
      <c r="AH274" s="274">
        <v>1</v>
      </c>
      <c r="AI274" s="274">
        <v>1</v>
      </c>
      <c r="AJ274" s="274">
        <v>1</v>
      </c>
      <c r="AK274" s="274">
        <f t="shared" si="172"/>
        <v>1</v>
      </c>
      <c r="AL274" s="274">
        <f t="shared" si="173"/>
        <v>1</v>
      </c>
      <c r="AM274" s="274">
        <f t="shared" si="174"/>
        <v>1</v>
      </c>
      <c r="AN274" s="274">
        <f t="shared" si="175"/>
        <v>1</v>
      </c>
      <c r="AO274" s="262"/>
      <c r="AP274" s="262"/>
      <c r="AQ274" s="267">
        <v>66.284273233024678</v>
      </c>
      <c r="AR274" s="262"/>
      <c r="AS274" s="266">
        <f t="shared" si="176"/>
        <v>132.56854646604936</v>
      </c>
      <c r="AT274" s="264">
        <f t="shared" si="177"/>
        <v>0</v>
      </c>
      <c r="AU274" s="262"/>
      <c r="AV274" s="262"/>
      <c r="AW274" s="265">
        <v>66.284273233024678</v>
      </c>
      <c r="AX274" s="164" t="s">
        <v>1469</v>
      </c>
      <c r="AY274" s="266">
        <v>132.56854646604936</v>
      </c>
      <c r="AZ274" s="266">
        <f t="shared" si="178"/>
        <v>132.56854646604936</v>
      </c>
      <c r="BA274" s="264">
        <f t="shared" si="179"/>
        <v>0</v>
      </c>
      <c r="BB274" s="262"/>
      <c r="BC274" s="262"/>
      <c r="BD274" s="265">
        <f ca="1">IFERROR(INDEX(Algorithms!$G:$G,MATCH($C274&amp;"_Therm Saved per Unit",Algorithms!$A:$A,0)),0)</f>
        <v>66.284273233024678</v>
      </c>
      <c r="BE274" s="164" t="str">
        <f ca="1">IFERROR(INDEX('v12 Revisions'!$P$29:$P$186, MATCH('Measure-Level Adj Gas'!$L274, 'v12 Revisions'!$D$29:$D$186,0)),"")</f>
        <v/>
      </c>
      <c r="BF274" s="266">
        <f t="shared" ca="1" si="180"/>
        <v>132.56854646604936</v>
      </c>
      <c r="BG274" s="264">
        <f t="shared" ca="1" si="181"/>
        <v>0</v>
      </c>
      <c r="BH274" s="262"/>
      <c r="BI274" s="262"/>
      <c r="BJ274" s="265">
        <f ca="1">IFERROR(INDEX(Algorithms!$G:$G,MATCH($C274&amp;"_Therm Saved per Unit",Algorithms!$A:$A,0)),0)</f>
        <v>66.284273233024678</v>
      </c>
      <c r="BK274" s="164"/>
      <c r="BL274" s="266">
        <f t="shared" ca="1" si="182"/>
        <v>132.56854646604936</v>
      </c>
      <c r="BM274" s="264">
        <f t="shared" ca="1" si="183"/>
        <v>0</v>
      </c>
      <c r="BN274" s="266">
        <f t="shared" si="184"/>
        <v>132.56854646604936</v>
      </c>
      <c r="BO274" s="266">
        <f t="shared" si="185"/>
        <v>132.56854646604936</v>
      </c>
      <c r="BP274" s="266">
        <f t="shared" ca="1" si="186"/>
        <v>132.56854646604936</v>
      </c>
      <c r="BQ274" s="266">
        <f t="shared" ca="1" si="187"/>
        <v>132.56854646604936</v>
      </c>
      <c r="BR274" s="268">
        <f t="shared" ca="1" si="188"/>
        <v>530.27418586419742</v>
      </c>
      <c r="BS274" s="262" t="s">
        <v>99</v>
      </c>
      <c r="BT274" s="277"/>
      <c r="BW274" s="266">
        <f t="shared" si="189"/>
        <v>132.56854646604936</v>
      </c>
      <c r="BX274" s="266">
        <f t="shared" si="190"/>
        <v>132.56854646604936</v>
      </c>
      <c r="BY274" s="266">
        <f t="shared" si="191"/>
        <v>132.56854646604936</v>
      </c>
      <c r="BZ274" s="266">
        <f t="shared" si="192"/>
        <v>132.56854646604936</v>
      </c>
      <c r="CA274" s="266">
        <f ca="1">N274*IFERROR(INDEX(Algorithms!$G:$G,MATCH($C274&amp;"_Therm Saved per Unit- MLA",Algorithms!$A:$A,0)),0)*X274</f>
        <v>0</v>
      </c>
      <c r="CB274" s="266">
        <f ca="1">O274*IFERROR(INDEX(Algorithms!$G:$G,MATCH($C274&amp;"_Therm Saved per Unit- MLA",Algorithms!$A:$A,0)),0)*Y274</f>
        <v>0</v>
      </c>
      <c r="CC274" s="266">
        <f ca="1">P274*IFERROR(INDEX(Algorithms!$G:$G,MATCH($C274&amp;"_Therm Saved per Unit- MLA",Algorithms!$A:$A,0)),0)*Z274</f>
        <v>0</v>
      </c>
      <c r="CD274" s="266">
        <f ca="1">Q274*IFERROR(INDEX(Algorithms!$G:$G,MATCH($C274&amp;"_Therm Saved per Unit- MLA",Algorithms!$A:$A,0)),0)*AA274</f>
        <v>0</v>
      </c>
      <c r="CE274" s="266">
        <f ca="1">IFERROR(INDEX(Algorithms!$G:$G,MATCH($C274&amp;"_Lifetime (years)",Algorithms!$A:$A,0)),0)</f>
        <v>15</v>
      </c>
      <c r="CF274" s="266">
        <f ca="1">IFERROR(INDEX(Algorithms!$G:$G,MATCH($C274&amp;"_Lifetime (years) - Remaining Years",Algorithms!$A:$A,0)),0)</f>
        <v>0</v>
      </c>
      <c r="CG274" s="266">
        <f t="shared" ca="1" si="193"/>
        <v>1988.5281969907403</v>
      </c>
      <c r="CH274" s="266">
        <f t="shared" ca="1" si="194"/>
        <v>1988.5281969907403</v>
      </c>
      <c r="CI274" s="266">
        <f t="shared" ca="1" si="195"/>
        <v>1988.5281969907403</v>
      </c>
      <c r="CJ274" s="266">
        <f t="shared" ca="1" si="196"/>
        <v>1988.5281969907403</v>
      </c>
      <c r="CK274" s="266">
        <f t="shared" si="197"/>
        <v>132.56854646604936</v>
      </c>
      <c r="CL274" s="266">
        <f t="shared" si="198"/>
        <v>132.56854646604936</v>
      </c>
      <c r="CM274" s="266">
        <f t="shared" ca="1" si="199"/>
        <v>132.56854646604936</v>
      </c>
      <c r="CN274" s="266">
        <f t="shared" ca="1" si="200"/>
        <v>132.56854646604936</v>
      </c>
      <c r="CO274" s="266">
        <f ca="1">N274*IFERROR(INDEX(Algorithms!$G:$G,MATCH($C274&amp;"_Therm Saved per Unit- MLA",Algorithms!$A:$A,0)),0)*X274</f>
        <v>0</v>
      </c>
      <c r="CP274" s="266">
        <f ca="1">O274*IFERROR(INDEX(Algorithms!$G:$G,MATCH($C274&amp;"_Therm Saved per Unit- MLA",Algorithms!$A:$A,0)),0)*Y274</f>
        <v>0</v>
      </c>
      <c r="CQ274" s="266">
        <f ca="1">P274*IFERROR(INDEX(Algorithms!$G:$G,MATCH($C274&amp;"_Therm Saved per Unit- MLA",Algorithms!$A:$A,0)),0)*Z274</f>
        <v>0</v>
      </c>
      <c r="CR274" s="266">
        <f ca="1">Q274*IFERROR(INDEX(Algorithms!$G:$G,MATCH($C274&amp;"_Therm Saved per Unit- MLA",Algorithms!$A:$A,0)),0)*AA274</f>
        <v>0</v>
      </c>
      <c r="CS274" s="266">
        <f ca="1">IFERROR(INDEX(Algorithms!$G:$G,MATCH($C274&amp;"_Lifetime (years)",Algorithms!$A:$A,0)),0)</f>
        <v>15</v>
      </c>
      <c r="CT274" s="266">
        <f ca="1">IFERROR(INDEX(Algorithms!$G:$G,MATCH($C274&amp;"_Lifetime (years) - Remaining Years",Algorithms!$A:$A,0)),0)</f>
        <v>0</v>
      </c>
      <c r="CU274" s="266">
        <f t="shared" ca="1" si="201"/>
        <v>1988.5281969907403</v>
      </c>
      <c r="CV274" s="266">
        <f t="shared" ca="1" si="202"/>
        <v>1988.5281969907403</v>
      </c>
      <c r="CW274" s="266">
        <f t="shared" ca="1" si="203"/>
        <v>1988.5281969907403</v>
      </c>
      <c r="CX274" s="266">
        <f t="shared" ca="1" si="204"/>
        <v>1988.5281969907403</v>
      </c>
    </row>
    <row r="275" spans="2:102" s="47" customFormat="1" ht="18" customHeight="1" x14ac:dyDescent="0.25">
      <c r="B275" t="str">
        <f t="shared" si="205"/>
        <v>NSG_Income Eligible_Multi-Family_Whole Building - Public Housing_Programmable Thermostat_Furnace (DI)_MF</v>
      </c>
      <c r="C275" s="47" t="str">
        <f t="shared" si="166"/>
        <v>Programmable Thermostat_Furnace (DI)_MF</v>
      </c>
      <c r="D275" s="270" t="s">
        <v>1787</v>
      </c>
      <c r="E275" s="270" t="s">
        <v>325</v>
      </c>
      <c r="F275" s="270" t="s">
        <v>1422</v>
      </c>
      <c r="G275" s="270" t="s">
        <v>1817</v>
      </c>
      <c r="H275" s="270" t="s">
        <v>224</v>
      </c>
      <c r="I275" s="270" t="s">
        <v>1038</v>
      </c>
      <c r="J275" s="270" t="s">
        <v>553</v>
      </c>
      <c r="K275" s="263">
        <v>1</v>
      </c>
      <c r="L275" s="263" t="str">
        <f ca="1">IFERROR(INDEX(Algorithms!J:J,MATCH($C275&amp;"_Therm Saved per Unit",Algorithms!$A:$A,0)),"n/a")</f>
        <v>5.3.11</v>
      </c>
      <c r="M275" s="263" t="str">
        <f>IFERROR(INDEX('Measure Level Detail'!$N:$N,MATCH($B275,'Measure Level Detail'!$B:$B,0)),0)</f>
        <v>each</v>
      </c>
      <c r="N275" s="271">
        <f>IFERROR(INDEX('Measure Level Detail'!$P:$P,MATCH($B275&amp;"_"&amp;N$3,'Measure Level Detail'!$C:$C,0)),0)</f>
        <v>2</v>
      </c>
      <c r="O275" s="271">
        <f>IFERROR(INDEX('Measure Level Detail'!$P:$P,MATCH($B275&amp;"_"&amp;O$3,'Measure Level Detail'!$C:$C,0)),0)</f>
        <v>2</v>
      </c>
      <c r="P275" s="271">
        <f>IFERROR(INDEX('Measure Level Detail'!$P:$P,MATCH($B275&amp;"_"&amp;P$3,'Measure Level Detail'!$C:$C,0)),0)</f>
        <v>2</v>
      </c>
      <c r="Q275" s="271">
        <f>IFERROR(INDEX('Measure Level Detail'!$P:$P,MATCH($B275&amp;"_"&amp;Q$3,'Measure Level Detail'!$C:$C,0)),0)</f>
        <v>2</v>
      </c>
      <c r="R275" s="263" t="str">
        <f ca="1">IFERROR(INDEX(Algorithms!K:K,MATCH($C275&amp;"_Therm Saved per Unit",Algorithms!$A:$A,0)),"n/a")</f>
        <v>RS-HVC-PROG-V08-220101</v>
      </c>
      <c r="S275" s="262"/>
      <c r="T275" s="272">
        <v>40.5015</v>
      </c>
      <c r="U275" s="272">
        <v>40.5015</v>
      </c>
      <c r="V275" s="272">
        <v>40.5015</v>
      </c>
      <c r="W275" s="272">
        <v>40.5015</v>
      </c>
      <c r="X275" s="273">
        <f>IFERROR(INDEX('Measure Level Detail'!$R:$R,MATCH($B275&amp;"_"&amp;X$3,'Measure Level Detail'!$C:$C,0)),0)</f>
        <v>1</v>
      </c>
      <c r="Y275" s="273">
        <f>IFERROR(INDEX('Measure Level Detail'!$R:$R,MATCH($B275&amp;"_"&amp;Y$3,'Measure Level Detail'!$C:$C,0)),0)</f>
        <v>1</v>
      </c>
      <c r="Z275" s="273">
        <f>IFERROR(INDEX('Measure Level Detail'!$R:$R,MATCH($B275&amp;"_"&amp;Z$3,'Measure Level Detail'!$C:$C,0)),0)</f>
        <v>1</v>
      </c>
      <c r="AA275" s="273">
        <f>IFERROR(INDEX('Measure Level Detail'!$R:$R,MATCH($B275&amp;"_"&amp;AA$3,'Measure Level Detail'!$C:$C,0)),0)</f>
        <v>1</v>
      </c>
      <c r="AB275" s="266">
        <f t="shared" si="167"/>
        <v>81.003</v>
      </c>
      <c r="AC275" s="266">
        <f t="shared" si="168"/>
        <v>81.003</v>
      </c>
      <c r="AD275" s="266">
        <f t="shared" si="169"/>
        <v>81.003</v>
      </c>
      <c r="AE275" s="266">
        <f t="shared" si="170"/>
        <v>81.003</v>
      </c>
      <c r="AF275" s="266">
        <f t="shared" si="171"/>
        <v>324.012</v>
      </c>
      <c r="AG275" s="274">
        <v>1</v>
      </c>
      <c r="AH275" s="274">
        <v>1</v>
      </c>
      <c r="AI275" s="274">
        <v>1</v>
      </c>
      <c r="AJ275" s="274">
        <v>1</v>
      </c>
      <c r="AK275" s="274">
        <f t="shared" si="172"/>
        <v>1</v>
      </c>
      <c r="AL275" s="274">
        <f t="shared" si="173"/>
        <v>1</v>
      </c>
      <c r="AM275" s="274">
        <f t="shared" si="174"/>
        <v>1</v>
      </c>
      <c r="AN275" s="274">
        <f t="shared" si="175"/>
        <v>1</v>
      </c>
      <c r="AO275" s="262"/>
      <c r="AP275" s="262"/>
      <c r="AQ275" s="267">
        <v>40.5015</v>
      </c>
      <c r="AR275" s="262"/>
      <c r="AS275" s="266">
        <f t="shared" si="176"/>
        <v>81.003</v>
      </c>
      <c r="AT275" s="264">
        <f t="shared" si="177"/>
        <v>0</v>
      </c>
      <c r="AU275" s="262"/>
      <c r="AV275" s="262"/>
      <c r="AW275" s="265">
        <v>40.5015</v>
      </c>
      <c r="AX275" s="164" t="s">
        <v>1469</v>
      </c>
      <c r="AY275" s="266">
        <v>81.003</v>
      </c>
      <c r="AZ275" s="266">
        <f t="shared" si="178"/>
        <v>81.003</v>
      </c>
      <c r="BA275" s="264">
        <f t="shared" si="179"/>
        <v>0</v>
      </c>
      <c r="BB275" s="262"/>
      <c r="BC275" s="262"/>
      <c r="BD275" s="265">
        <f ca="1">IFERROR(INDEX(Algorithms!$G:$G,MATCH($C275&amp;"_Therm Saved per Unit",Algorithms!$A:$A,0)),0)</f>
        <v>40.5015</v>
      </c>
      <c r="BE275" s="164" t="str">
        <f ca="1">IFERROR(INDEX('v12 Revisions'!$P$29:$P$186, MATCH('Measure-Level Adj Gas'!$L275, 'v12 Revisions'!$D$29:$D$186,0)),"")</f>
        <v/>
      </c>
      <c r="BF275" s="266">
        <f t="shared" ca="1" si="180"/>
        <v>81.003</v>
      </c>
      <c r="BG275" s="264">
        <f t="shared" ca="1" si="181"/>
        <v>0</v>
      </c>
      <c r="BH275" s="262"/>
      <c r="BI275" s="262"/>
      <c r="BJ275" s="265">
        <f ca="1">IFERROR(INDEX(Algorithms!$G:$G,MATCH($C275&amp;"_Therm Saved per Unit",Algorithms!$A:$A,0)),0)</f>
        <v>40.5015</v>
      </c>
      <c r="BK275" s="164"/>
      <c r="BL275" s="266">
        <f t="shared" ca="1" si="182"/>
        <v>81.003</v>
      </c>
      <c r="BM275" s="264">
        <f t="shared" ca="1" si="183"/>
        <v>0</v>
      </c>
      <c r="BN275" s="266">
        <f t="shared" si="184"/>
        <v>81.003</v>
      </c>
      <c r="BO275" s="266">
        <f t="shared" si="185"/>
        <v>81.003</v>
      </c>
      <c r="BP275" s="266">
        <f t="shared" ca="1" si="186"/>
        <v>81.003</v>
      </c>
      <c r="BQ275" s="266">
        <f t="shared" ca="1" si="187"/>
        <v>81.003</v>
      </c>
      <c r="BR275" s="268">
        <f t="shared" ca="1" si="188"/>
        <v>324.012</v>
      </c>
      <c r="BS275" s="262" t="s">
        <v>99</v>
      </c>
      <c r="BT275" s="277"/>
      <c r="BW275" s="266">
        <f t="shared" si="189"/>
        <v>81.003</v>
      </c>
      <c r="BX275" s="266">
        <f t="shared" si="190"/>
        <v>81.003</v>
      </c>
      <c r="BY275" s="266">
        <f t="shared" si="191"/>
        <v>81.003</v>
      </c>
      <c r="BZ275" s="266">
        <f t="shared" si="192"/>
        <v>81.003</v>
      </c>
      <c r="CA275" s="266">
        <f ca="1">N275*IFERROR(INDEX(Algorithms!$G:$G,MATCH($C275&amp;"_Therm Saved per Unit- MLA",Algorithms!$A:$A,0)),0)*X275</f>
        <v>22.680840000000003</v>
      </c>
      <c r="CB275" s="266">
        <f ca="1">O275*IFERROR(INDEX(Algorithms!$G:$G,MATCH($C275&amp;"_Therm Saved per Unit- MLA",Algorithms!$A:$A,0)),0)*Y275</f>
        <v>22.680840000000003</v>
      </c>
      <c r="CC275" s="266">
        <f ca="1">P275*IFERROR(INDEX(Algorithms!$G:$G,MATCH($C275&amp;"_Therm Saved per Unit- MLA",Algorithms!$A:$A,0)),0)*Z275</f>
        <v>22.680840000000003</v>
      </c>
      <c r="CD275" s="266">
        <f ca="1">Q275*IFERROR(INDEX(Algorithms!$G:$G,MATCH($C275&amp;"_Therm Saved per Unit- MLA",Algorithms!$A:$A,0)),0)*AA275</f>
        <v>22.680840000000003</v>
      </c>
      <c r="CE275" s="266">
        <f ca="1">IFERROR(INDEX(Algorithms!$G:$G,MATCH($C275&amp;"_Lifetime (years)",Algorithms!$A:$A,0)),0)</f>
        <v>16</v>
      </c>
      <c r="CF275" s="266">
        <f ca="1">IFERROR(INDEX(Algorithms!$G:$G,MATCH($C275&amp;"_Lifetime (years) - Remaining Years",Algorithms!$A:$A,0)),0)</f>
        <v>5</v>
      </c>
      <c r="CG275" s="266">
        <f t="shared" ca="1" si="193"/>
        <v>654.50423999999998</v>
      </c>
      <c r="CH275" s="266">
        <f t="shared" ca="1" si="194"/>
        <v>654.50423999999998</v>
      </c>
      <c r="CI275" s="266">
        <f t="shared" ca="1" si="195"/>
        <v>654.50423999999998</v>
      </c>
      <c r="CJ275" s="266">
        <f t="shared" ca="1" si="196"/>
        <v>654.50423999999998</v>
      </c>
      <c r="CK275" s="266">
        <f t="shared" si="197"/>
        <v>81.003</v>
      </c>
      <c r="CL275" s="266">
        <f t="shared" si="198"/>
        <v>81.003</v>
      </c>
      <c r="CM275" s="266">
        <f t="shared" ca="1" si="199"/>
        <v>81.003</v>
      </c>
      <c r="CN275" s="266">
        <f t="shared" ca="1" si="200"/>
        <v>81.003</v>
      </c>
      <c r="CO275" s="266">
        <f ca="1">N275*IFERROR(INDEX(Algorithms!$G:$G,MATCH($C275&amp;"_Therm Saved per Unit- MLA",Algorithms!$A:$A,0)),0)*X275</f>
        <v>22.680840000000003</v>
      </c>
      <c r="CP275" s="266">
        <f ca="1">O275*IFERROR(INDEX(Algorithms!$G:$G,MATCH($C275&amp;"_Therm Saved per Unit- MLA",Algorithms!$A:$A,0)),0)*Y275</f>
        <v>22.680840000000003</v>
      </c>
      <c r="CQ275" s="266">
        <f ca="1">P275*IFERROR(INDEX(Algorithms!$G:$G,MATCH($C275&amp;"_Therm Saved per Unit- MLA",Algorithms!$A:$A,0)),0)*Z275</f>
        <v>22.680840000000003</v>
      </c>
      <c r="CR275" s="266">
        <f ca="1">Q275*IFERROR(INDEX(Algorithms!$G:$G,MATCH($C275&amp;"_Therm Saved per Unit- MLA",Algorithms!$A:$A,0)),0)*AA275</f>
        <v>22.680840000000003</v>
      </c>
      <c r="CS275" s="266">
        <f ca="1">IFERROR(INDEX(Algorithms!$G:$G,MATCH($C275&amp;"_Lifetime (years)",Algorithms!$A:$A,0)),0)</f>
        <v>16</v>
      </c>
      <c r="CT275" s="266">
        <f ca="1">IFERROR(INDEX(Algorithms!$G:$G,MATCH($C275&amp;"_Lifetime (years) - Remaining Years",Algorithms!$A:$A,0)),0)</f>
        <v>5</v>
      </c>
      <c r="CU275" s="266">
        <f t="shared" ca="1" si="201"/>
        <v>654.50423999999998</v>
      </c>
      <c r="CV275" s="266">
        <f t="shared" ca="1" si="202"/>
        <v>654.50423999999998</v>
      </c>
      <c r="CW275" s="266">
        <f t="shared" ca="1" si="203"/>
        <v>654.50423999999998</v>
      </c>
      <c r="CX275" s="266">
        <f t="shared" ca="1" si="204"/>
        <v>654.50423999999998</v>
      </c>
    </row>
    <row r="276" spans="2:102" s="47" customFormat="1" ht="18" customHeight="1" x14ac:dyDescent="0.25">
      <c r="B276" t="str">
        <f t="shared" si="205"/>
        <v>NSG_Income Eligible_Multi-Family_Whole Building - Public Housing_Door Sweep_0_IE MF</v>
      </c>
      <c r="C276" s="47" t="str">
        <f t="shared" si="166"/>
        <v>Door Sweep_0_IE MF</v>
      </c>
      <c r="D276" s="270" t="s">
        <v>1787</v>
      </c>
      <c r="E276" s="270" t="s">
        <v>325</v>
      </c>
      <c r="F276" s="270" t="s">
        <v>1422</v>
      </c>
      <c r="G276" s="270" t="s">
        <v>1817</v>
      </c>
      <c r="H276" s="270" t="s">
        <v>6</v>
      </c>
      <c r="I276" s="270">
        <v>0</v>
      </c>
      <c r="J276" s="270" t="s">
        <v>1398</v>
      </c>
      <c r="K276" s="263">
        <v>1</v>
      </c>
      <c r="L276" s="263" t="str">
        <f ca="1">IFERROR(INDEX(Algorithms!J:J,MATCH($C276&amp;"_Therm Saved per Unit",Algorithms!$A:$A,0)),"n/a")</f>
        <v>5.6.1</v>
      </c>
      <c r="M276" s="263" t="str">
        <f>IFERROR(INDEX('Measure Level Detail'!$N:$N,MATCH($B276,'Measure Level Detail'!$B:$B,0)),0)</f>
        <v>per door</v>
      </c>
      <c r="N276" s="271">
        <f>IFERROR(INDEX('Measure Level Detail'!$P:$P,MATCH($B276&amp;"_"&amp;N$3,'Measure Level Detail'!$C:$C,0)),0)</f>
        <v>2</v>
      </c>
      <c r="O276" s="271">
        <f>IFERROR(INDEX('Measure Level Detail'!$P:$P,MATCH($B276&amp;"_"&amp;O$3,'Measure Level Detail'!$C:$C,0)),0)</f>
        <v>2</v>
      </c>
      <c r="P276" s="271">
        <f>IFERROR(INDEX('Measure Level Detail'!$P:$P,MATCH($B276&amp;"_"&amp;P$3,'Measure Level Detail'!$C:$C,0)),0)</f>
        <v>2</v>
      </c>
      <c r="Q276" s="271">
        <f>IFERROR(INDEX('Measure Level Detail'!$P:$P,MATCH($B276&amp;"_"&amp;Q$3,'Measure Level Detail'!$C:$C,0)),0)</f>
        <v>2</v>
      </c>
      <c r="R276" s="263" t="str">
        <f ca="1">IFERROR(INDEX(Algorithms!K:K,MATCH($C276&amp;"_Therm Saved per Unit",Algorithms!$A:$A,0)),"n/a")</f>
        <v>RS-SHL-AIRS-V13-240101</v>
      </c>
      <c r="S276" s="262"/>
      <c r="T276" s="272">
        <v>7.3040000000000012</v>
      </c>
      <c r="U276" s="272">
        <v>7.3040000000000012</v>
      </c>
      <c r="V276" s="272">
        <v>7.3040000000000012</v>
      </c>
      <c r="W276" s="272">
        <v>7.3040000000000012</v>
      </c>
      <c r="X276" s="273">
        <f>IFERROR(INDEX('Measure Level Detail'!$R:$R,MATCH($B276&amp;"_"&amp;X$3,'Measure Level Detail'!$C:$C,0)),0)</f>
        <v>1</v>
      </c>
      <c r="Y276" s="273">
        <f>IFERROR(INDEX('Measure Level Detail'!$R:$R,MATCH($B276&amp;"_"&amp;Y$3,'Measure Level Detail'!$C:$C,0)),0)</f>
        <v>1</v>
      </c>
      <c r="Z276" s="273">
        <f>IFERROR(INDEX('Measure Level Detail'!$R:$R,MATCH($B276&amp;"_"&amp;Z$3,'Measure Level Detail'!$C:$C,0)),0)</f>
        <v>1</v>
      </c>
      <c r="AA276" s="273">
        <f>IFERROR(INDEX('Measure Level Detail'!$R:$R,MATCH($B276&amp;"_"&amp;AA$3,'Measure Level Detail'!$C:$C,0)),0)</f>
        <v>1</v>
      </c>
      <c r="AB276" s="266">
        <f t="shared" si="167"/>
        <v>14.608000000000002</v>
      </c>
      <c r="AC276" s="266">
        <f t="shared" si="168"/>
        <v>14.608000000000002</v>
      </c>
      <c r="AD276" s="266">
        <f t="shared" si="169"/>
        <v>14.608000000000002</v>
      </c>
      <c r="AE276" s="266">
        <f t="shared" si="170"/>
        <v>14.608000000000002</v>
      </c>
      <c r="AF276" s="266">
        <f t="shared" si="171"/>
        <v>58.432000000000009</v>
      </c>
      <c r="AG276" s="274">
        <v>1</v>
      </c>
      <c r="AH276" s="274">
        <v>1</v>
      </c>
      <c r="AI276" s="274">
        <v>1</v>
      </c>
      <c r="AJ276" s="274">
        <v>1</v>
      </c>
      <c r="AK276" s="274">
        <f t="shared" si="172"/>
        <v>1</v>
      </c>
      <c r="AL276" s="274">
        <f t="shared" si="173"/>
        <v>1</v>
      </c>
      <c r="AM276" s="274">
        <f t="shared" si="174"/>
        <v>1</v>
      </c>
      <c r="AN276" s="274">
        <f t="shared" si="175"/>
        <v>1</v>
      </c>
      <c r="AO276" s="262"/>
      <c r="AP276" s="262"/>
      <c r="AQ276" s="267">
        <v>7.3040000000000012</v>
      </c>
      <c r="AR276" s="262"/>
      <c r="AS276" s="266">
        <f t="shared" si="176"/>
        <v>14.608000000000002</v>
      </c>
      <c r="AT276" s="264">
        <f t="shared" si="177"/>
        <v>0</v>
      </c>
      <c r="AU276" s="262"/>
      <c r="AV276" s="262"/>
      <c r="AW276" s="265">
        <v>7.3040000000000012</v>
      </c>
      <c r="AX276" s="164" t="s">
        <v>2395</v>
      </c>
      <c r="AY276" s="266">
        <v>14.608000000000002</v>
      </c>
      <c r="AZ276" s="266">
        <f t="shared" si="178"/>
        <v>14.608000000000002</v>
      </c>
      <c r="BA276" s="264">
        <f t="shared" si="179"/>
        <v>0</v>
      </c>
      <c r="BB276" s="262"/>
      <c r="BC276" s="262"/>
      <c r="BD276" s="265">
        <f ca="1">IFERROR(INDEX(Algorithms!$G:$G,MATCH($C276&amp;"_Therm Saved per Unit",Algorithms!$A:$A,0)),0)</f>
        <v>7.3040000000000012</v>
      </c>
      <c r="BE276" s="164" t="str">
        <f ca="1">IFERROR(INDEX('v12 Revisions'!$P$29:$P$186, MATCH('Measure-Level Adj Gas'!$L276, 'v12 Revisions'!$D$29:$D$186,0)),"")</f>
        <v>Updated HDD from 5113 to 4798 and shell adjustment factor from 0.72 to 0.76.</v>
      </c>
      <c r="BF276" s="266">
        <f t="shared" ca="1" si="180"/>
        <v>14.608000000000002</v>
      </c>
      <c r="BG276" s="264">
        <f t="shared" ca="1" si="181"/>
        <v>0</v>
      </c>
      <c r="BH276" s="262"/>
      <c r="BI276" s="262"/>
      <c r="BJ276" s="265">
        <f ca="1">IFERROR(INDEX(Algorithms!$G:$G,MATCH($C276&amp;"_Therm Saved per Unit",Algorithms!$A:$A,0)),0)</f>
        <v>7.3040000000000012</v>
      </c>
      <c r="BK276" s="164"/>
      <c r="BL276" s="266">
        <f t="shared" ca="1" si="182"/>
        <v>14.608000000000002</v>
      </c>
      <c r="BM276" s="264">
        <f t="shared" ca="1" si="183"/>
        <v>0</v>
      </c>
      <c r="BN276" s="266">
        <f t="shared" si="184"/>
        <v>14.608000000000002</v>
      </c>
      <c r="BO276" s="266">
        <f t="shared" si="185"/>
        <v>14.608000000000002</v>
      </c>
      <c r="BP276" s="266">
        <f t="shared" ca="1" si="186"/>
        <v>14.608000000000002</v>
      </c>
      <c r="BQ276" s="266">
        <f t="shared" ca="1" si="187"/>
        <v>14.608000000000002</v>
      </c>
      <c r="BR276" s="268">
        <f t="shared" ca="1" si="188"/>
        <v>58.432000000000009</v>
      </c>
      <c r="BS276" s="262" t="s">
        <v>99</v>
      </c>
      <c r="BT276" s="277"/>
      <c r="BW276" s="266">
        <f t="shared" si="189"/>
        <v>14.608000000000002</v>
      </c>
      <c r="BX276" s="266">
        <f t="shared" si="190"/>
        <v>14.608000000000002</v>
      </c>
      <c r="BY276" s="266">
        <f t="shared" si="191"/>
        <v>14.608000000000002</v>
      </c>
      <c r="BZ276" s="266">
        <f t="shared" si="192"/>
        <v>14.608000000000002</v>
      </c>
      <c r="CA276" s="266">
        <f ca="1">N276*IFERROR(INDEX(Algorithms!$G:$G,MATCH($C276&amp;"_Therm Saved per Unit- MLA",Algorithms!$A:$A,0)),0)*X276</f>
        <v>0</v>
      </c>
      <c r="CB276" s="266">
        <f ca="1">O276*IFERROR(INDEX(Algorithms!$G:$G,MATCH($C276&amp;"_Therm Saved per Unit- MLA",Algorithms!$A:$A,0)),0)*Y276</f>
        <v>0</v>
      </c>
      <c r="CC276" s="266">
        <f ca="1">P276*IFERROR(INDEX(Algorithms!$G:$G,MATCH($C276&amp;"_Therm Saved per Unit- MLA",Algorithms!$A:$A,0)),0)*Z276</f>
        <v>0</v>
      </c>
      <c r="CD276" s="266">
        <f ca="1">Q276*IFERROR(INDEX(Algorithms!$G:$G,MATCH($C276&amp;"_Therm Saved per Unit- MLA",Algorithms!$A:$A,0)),0)*AA276</f>
        <v>0</v>
      </c>
      <c r="CE276" s="266">
        <f ca="1">IFERROR(INDEX(Algorithms!$G:$G,MATCH($C276&amp;"_Lifetime (years)",Algorithms!$A:$A,0)),0)</f>
        <v>20</v>
      </c>
      <c r="CF276" s="266">
        <f ca="1">IFERROR(INDEX(Algorithms!$G:$G,MATCH($C276&amp;"_Lifetime (years) - Remaining Years",Algorithms!$A:$A,0)),0)</f>
        <v>0</v>
      </c>
      <c r="CG276" s="266">
        <f t="shared" ca="1" si="193"/>
        <v>292.16000000000003</v>
      </c>
      <c r="CH276" s="266">
        <f t="shared" ca="1" si="194"/>
        <v>292.16000000000003</v>
      </c>
      <c r="CI276" s="266">
        <f t="shared" ca="1" si="195"/>
        <v>292.16000000000003</v>
      </c>
      <c r="CJ276" s="266">
        <f t="shared" ca="1" si="196"/>
        <v>292.16000000000003</v>
      </c>
      <c r="CK276" s="266">
        <f t="shared" si="197"/>
        <v>14.608000000000002</v>
      </c>
      <c r="CL276" s="266">
        <f t="shared" si="198"/>
        <v>14.608000000000002</v>
      </c>
      <c r="CM276" s="266">
        <f t="shared" ca="1" si="199"/>
        <v>14.608000000000002</v>
      </c>
      <c r="CN276" s="266">
        <f t="shared" ca="1" si="200"/>
        <v>14.608000000000002</v>
      </c>
      <c r="CO276" s="266">
        <f ca="1">N276*IFERROR(INDEX(Algorithms!$G:$G,MATCH($C276&amp;"_Therm Saved per Unit- MLA",Algorithms!$A:$A,0)),0)*X276</f>
        <v>0</v>
      </c>
      <c r="CP276" s="266">
        <f ca="1">O276*IFERROR(INDEX(Algorithms!$G:$G,MATCH($C276&amp;"_Therm Saved per Unit- MLA",Algorithms!$A:$A,0)),0)*Y276</f>
        <v>0</v>
      </c>
      <c r="CQ276" s="266">
        <f ca="1">P276*IFERROR(INDEX(Algorithms!$G:$G,MATCH($C276&amp;"_Therm Saved per Unit- MLA",Algorithms!$A:$A,0)),0)*Z276</f>
        <v>0</v>
      </c>
      <c r="CR276" s="266">
        <f ca="1">Q276*IFERROR(INDEX(Algorithms!$G:$G,MATCH($C276&amp;"_Therm Saved per Unit- MLA",Algorithms!$A:$A,0)),0)*AA276</f>
        <v>0</v>
      </c>
      <c r="CS276" s="266">
        <f ca="1">IFERROR(INDEX(Algorithms!$G:$G,MATCH($C276&amp;"_Lifetime (years)",Algorithms!$A:$A,0)),0)</f>
        <v>20</v>
      </c>
      <c r="CT276" s="266">
        <f ca="1">IFERROR(INDEX(Algorithms!$G:$G,MATCH($C276&amp;"_Lifetime (years) - Remaining Years",Algorithms!$A:$A,0)),0)</f>
        <v>0</v>
      </c>
      <c r="CU276" s="266">
        <f t="shared" ca="1" si="201"/>
        <v>292.16000000000003</v>
      </c>
      <c r="CV276" s="266">
        <f t="shared" ca="1" si="202"/>
        <v>292.16000000000003</v>
      </c>
      <c r="CW276" s="266">
        <f t="shared" ca="1" si="203"/>
        <v>292.16000000000003</v>
      </c>
      <c r="CX276" s="266">
        <f t="shared" ca="1" si="204"/>
        <v>292.16000000000003</v>
      </c>
    </row>
    <row r="277" spans="2:102" s="47" customFormat="1" ht="18" customHeight="1" x14ac:dyDescent="0.25">
      <c r="B277" t="str">
        <f t="shared" si="205"/>
        <v>NSG_Business_Small/Mid-Size Business_Rebates_Furnace_&gt;95% AFUE_CI</v>
      </c>
      <c r="C277" s="47" t="str">
        <f t="shared" si="166"/>
        <v>Furnace_&gt;95% AFUE_CI</v>
      </c>
      <c r="D277" s="270" t="s">
        <v>1787</v>
      </c>
      <c r="E277" s="270" t="s">
        <v>3</v>
      </c>
      <c r="F277" s="270" t="s">
        <v>1432</v>
      </c>
      <c r="G277" s="270" t="s">
        <v>1429</v>
      </c>
      <c r="H277" s="270" t="s">
        <v>490</v>
      </c>
      <c r="I277" s="270" t="s">
        <v>982</v>
      </c>
      <c r="J277" s="270" t="s">
        <v>1159</v>
      </c>
      <c r="K277" s="263">
        <v>1</v>
      </c>
      <c r="L277" s="263" t="str">
        <f ca="1">IFERROR(INDEX(Algorithms!J:J,MATCH($C277&amp;"_Therm Saved per Unit",Algorithms!$A:$A,0)),"n/a")</f>
        <v>4.4.11</v>
      </c>
      <c r="M277" s="263" t="str">
        <f>IFERROR(INDEX('Measure Level Detail'!$N:$N,MATCH($B277,'Measure Level Detail'!$B:$B,0)),0)</f>
        <v>each</v>
      </c>
      <c r="N277" s="271">
        <f>IFERROR(INDEX('Measure Level Detail'!$P:$P,MATCH($B277&amp;"_"&amp;N$3,'Measure Level Detail'!$C:$C,0)),0)</f>
        <v>2</v>
      </c>
      <c r="O277" s="271">
        <f>IFERROR(INDEX('Measure Level Detail'!$P:$P,MATCH($B277&amp;"_"&amp;O$3,'Measure Level Detail'!$C:$C,0)),0)</f>
        <v>2</v>
      </c>
      <c r="P277" s="271">
        <f>IFERROR(INDEX('Measure Level Detail'!$P:$P,MATCH($B277&amp;"_"&amp;P$3,'Measure Level Detail'!$C:$C,0)),0)</f>
        <v>2</v>
      </c>
      <c r="Q277" s="271">
        <f>IFERROR(INDEX('Measure Level Detail'!$P:$P,MATCH($B277&amp;"_"&amp;Q$3,'Measure Level Detail'!$C:$C,0)),0)</f>
        <v>2</v>
      </c>
      <c r="R277" s="263" t="str">
        <f ca="1">IFERROR(INDEX(Algorithms!K:K,MATCH($C277&amp;"_Therm Saved per Unit",Algorithms!$A:$A,0)),"n/a")</f>
        <v>CI-HVC-FRNC-V13-240101</v>
      </c>
      <c r="S277" s="262"/>
      <c r="T277" s="272">
        <v>247.08549999999985</v>
      </c>
      <c r="U277" s="272">
        <v>247.08549999999985</v>
      </c>
      <c r="V277" s="272">
        <v>247.08549999999985</v>
      </c>
      <c r="W277" s="272">
        <v>247.08549999999985</v>
      </c>
      <c r="X277" s="276">
        <v>0.93</v>
      </c>
      <c r="Y277" s="276">
        <v>0.93</v>
      </c>
      <c r="Z277" s="276">
        <v>0.93</v>
      </c>
      <c r="AA277" s="276">
        <v>0.93</v>
      </c>
      <c r="AB277" s="266">
        <f t="shared" si="167"/>
        <v>459.57902999999976</v>
      </c>
      <c r="AC277" s="266">
        <f t="shared" si="168"/>
        <v>459.57902999999976</v>
      </c>
      <c r="AD277" s="266">
        <f t="shared" si="169"/>
        <v>459.57902999999976</v>
      </c>
      <c r="AE277" s="266">
        <f t="shared" si="170"/>
        <v>459.57902999999976</v>
      </c>
      <c r="AF277" s="266">
        <f t="shared" si="171"/>
        <v>1838.316119999999</v>
      </c>
      <c r="AG277" s="274">
        <v>0.93</v>
      </c>
      <c r="AH277" s="274">
        <v>0.93</v>
      </c>
      <c r="AI277" s="274">
        <v>0.93</v>
      </c>
      <c r="AJ277" s="274">
        <v>0.93</v>
      </c>
      <c r="AK277" s="274">
        <f t="shared" si="172"/>
        <v>0.93</v>
      </c>
      <c r="AL277" s="274">
        <f t="shared" si="173"/>
        <v>0.93</v>
      </c>
      <c r="AM277" s="274">
        <f t="shared" si="174"/>
        <v>0.93</v>
      </c>
      <c r="AN277" s="274">
        <f t="shared" si="175"/>
        <v>0.93</v>
      </c>
      <c r="AO277" s="262"/>
      <c r="AP277" s="262"/>
      <c r="AQ277" s="267">
        <v>247.08549999999985</v>
      </c>
      <c r="AR277" s="262"/>
      <c r="AS277" s="266">
        <f t="shared" si="176"/>
        <v>459.57902999999976</v>
      </c>
      <c r="AT277" s="264">
        <f t="shared" si="177"/>
        <v>0</v>
      </c>
      <c r="AU277" s="262"/>
      <c r="AV277" s="262"/>
      <c r="AW277" s="265">
        <v>247.08549999999985</v>
      </c>
      <c r="AX277" s="164" t="s">
        <v>1469</v>
      </c>
      <c r="AY277" s="266">
        <v>459.57902999999976</v>
      </c>
      <c r="AZ277" s="266">
        <f t="shared" si="178"/>
        <v>459.57902999999976</v>
      </c>
      <c r="BA277" s="264">
        <f t="shared" si="179"/>
        <v>0</v>
      </c>
      <c r="BB277" s="262"/>
      <c r="BC277" s="262"/>
      <c r="BD277" s="265">
        <f ca="1">IFERROR(INDEX(Algorithms!$G:$G,MATCH($C277&amp;"_Therm Saved per Unit",Algorithms!$A:$A,0)),0)</f>
        <v>228.29086419753071</v>
      </c>
      <c r="BE277" s="164" t="str">
        <f ca="1">IFERROR(INDEX('v12 Revisions'!$P$29:$P$186, MATCH('Measure-Level Adj Gas'!$L277, 'v12 Revisions'!$D$29:$D$186,0)),"")</f>
        <v>Updated baseline Furnace Annual Fuel Utilization Efficiency (AFUE) rating from 80% to 81%.</v>
      </c>
      <c r="BF277" s="266">
        <f t="shared" ca="1" si="180"/>
        <v>424.62100740740715</v>
      </c>
      <c r="BG277" s="264">
        <f t="shared" ca="1" si="181"/>
        <v>-34.958022592592613</v>
      </c>
      <c r="BH277" s="262"/>
      <c r="BI277" s="262"/>
      <c r="BJ277" s="265">
        <f ca="1">IFERROR(INDEX(Algorithms!$G:$G,MATCH($C277&amp;"_Therm Saved per Unit",Algorithms!$A:$A,0)),0)</f>
        <v>228.29086419753071</v>
      </c>
      <c r="BK277" s="164"/>
      <c r="BL277" s="266">
        <f t="shared" ca="1" si="182"/>
        <v>424.62100740740715</v>
      </c>
      <c r="BM277" s="264">
        <f t="shared" ca="1" si="183"/>
        <v>-34.958022592592613</v>
      </c>
      <c r="BN277" s="266">
        <f t="shared" si="184"/>
        <v>459.57902999999976</v>
      </c>
      <c r="BO277" s="266">
        <f t="shared" si="185"/>
        <v>459.57902999999976</v>
      </c>
      <c r="BP277" s="266">
        <f t="shared" ca="1" si="186"/>
        <v>424.62100740740715</v>
      </c>
      <c r="BQ277" s="266">
        <f t="shared" ca="1" si="187"/>
        <v>424.62100740740715</v>
      </c>
      <c r="BR277" s="268">
        <f t="shared" ca="1" si="188"/>
        <v>1768.4000748148139</v>
      </c>
      <c r="BS277" s="262" t="s">
        <v>99</v>
      </c>
      <c r="BT277" s="277"/>
      <c r="BW277" s="266">
        <f t="shared" si="189"/>
        <v>459.57902999999976</v>
      </c>
      <c r="BX277" s="266">
        <f t="shared" si="190"/>
        <v>459.57902999999976</v>
      </c>
      <c r="BY277" s="266">
        <f t="shared" si="191"/>
        <v>459.57902999999976</v>
      </c>
      <c r="BZ277" s="266">
        <f t="shared" si="192"/>
        <v>459.57902999999976</v>
      </c>
      <c r="CA277" s="266">
        <f ca="1">N277*IFERROR(INDEX(Algorithms!$G:$G,MATCH($C277&amp;"_Therm Saved per Unit- MLA",Algorithms!$A:$A,0)),0)*X277</f>
        <v>0</v>
      </c>
      <c r="CB277" s="266">
        <f ca="1">O277*IFERROR(INDEX(Algorithms!$G:$G,MATCH($C277&amp;"_Therm Saved per Unit- MLA",Algorithms!$A:$A,0)),0)*Y277</f>
        <v>0</v>
      </c>
      <c r="CC277" s="266">
        <f ca="1">P277*IFERROR(INDEX(Algorithms!$G:$G,MATCH($C277&amp;"_Therm Saved per Unit- MLA",Algorithms!$A:$A,0)),0)*Z277</f>
        <v>0</v>
      </c>
      <c r="CD277" s="266">
        <f ca="1">Q277*IFERROR(INDEX(Algorithms!$G:$G,MATCH($C277&amp;"_Therm Saved per Unit- MLA",Algorithms!$A:$A,0)),0)*AA277</f>
        <v>0</v>
      </c>
      <c r="CE277" s="266">
        <f ca="1">IFERROR(INDEX(Algorithms!$G:$G,MATCH($C277&amp;"_Lifetime (years)",Algorithms!$A:$A,0)),0)</f>
        <v>16.5</v>
      </c>
      <c r="CF277" s="266">
        <f ca="1">IFERROR(INDEX(Algorithms!$G:$G,MATCH($C277&amp;"_Lifetime (years) - Remaining Years",Algorithms!$A:$A,0)),0)</f>
        <v>0</v>
      </c>
      <c r="CG277" s="266">
        <f t="shared" ca="1" si="193"/>
        <v>7583.0539949999957</v>
      </c>
      <c r="CH277" s="266">
        <f t="shared" ca="1" si="194"/>
        <v>7583.0539949999957</v>
      </c>
      <c r="CI277" s="266">
        <f t="shared" ca="1" si="195"/>
        <v>7583.0539949999957</v>
      </c>
      <c r="CJ277" s="266">
        <f t="shared" ca="1" si="196"/>
        <v>7583.0539949999957</v>
      </c>
      <c r="CK277" s="266">
        <f t="shared" si="197"/>
        <v>459.57902999999976</v>
      </c>
      <c r="CL277" s="266">
        <f t="shared" si="198"/>
        <v>459.57902999999976</v>
      </c>
      <c r="CM277" s="266">
        <f t="shared" ca="1" si="199"/>
        <v>424.62100740740715</v>
      </c>
      <c r="CN277" s="266">
        <f t="shared" ca="1" si="200"/>
        <v>424.62100740740715</v>
      </c>
      <c r="CO277" s="266">
        <f ca="1">N277*IFERROR(INDEX(Algorithms!$G:$G,MATCH($C277&amp;"_Therm Saved per Unit- MLA",Algorithms!$A:$A,0)),0)*X277</f>
        <v>0</v>
      </c>
      <c r="CP277" s="266">
        <f ca="1">O277*IFERROR(INDEX(Algorithms!$G:$G,MATCH($C277&amp;"_Therm Saved per Unit- MLA",Algorithms!$A:$A,0)),0)*Y277</f>
        <v>0</v>
      </c>
      <c r="CQ277" s="266">
        <f ca="1">P277*IFERROR(INDEX(Algorithms!$G:$G,MATCH($C277&amp;"_Therm Saved per Unit- MLA",Algorithms!$A:$A,0)),0)*Z277</f>
        <v>0</v>
      </c>
      <c r="CR277" s="266">
        <f ca="1">Q277*IFERROR(INDEX(Algorithms!$G:$G,MATCH($C277&amp;"_Therm Saved per Unit- MLA",Algorithms!$A:$A,0)),0)*AA277</f>
        <v>0</v>
      </c>
      <c r="CS277" s="266">
        <f ca="1">IFERROR(INDEX(Algorithms!$G:$G,MATCH($C277&amp;"_Lifetime (years)",Algorithms!$A:$A,0)),0)</f>
        <v>16.5</v>
      </c>
      <c r="CT277" s="266">
        <f ca="1">IFERROR(INDEX(Algorithms!$G:$G,MATCH($C277&amp;"_Lifetime (years) - Remaining Years",Algorithms!$A:$A,0)),0)</f>
        <v>0</v>
      </c>
      <c r="CU277" s="266">
        <f t="shared" ca="1" si="201"/>
        <v>7583.0539949999957</v>
      </c>
      <c r="CV277" s="266">
        <f t="shared" ca="1" si="202"/>
        <v>7583.0539949999957</v>
      </c>
      <c r="CW277" s="266">
        <f t="shared" ca="1" si="203"/>
        <v>7006.2466222222183</v>
      </c>
      <c r="CX277" s="266">
        <f t="shared" ca="1" si="204"/>
        <v>7006.2466222222183</v>
      </c>
    </row>
    <row r="278" spans="2:102" s="47" customFormat="1" ht="18" customHeight="1" x14ac:dyDescent="0.25">
      <c r="B278" t="str">
        <f t="shared" si="205"/>
        <v>NSG_Business_Small/Mid-Size Business_Rebates_Modulating Commercial Gas Clothes Dryer_Laundromat &amp; MF Dorms_MF/SMB</v>
      </c>
      <c r="C278" s="47" t="str">
        <f t="shared" si="166"/>
        <v>Modulating Commercial Gas Clothes Dryer_Laundromat &amp; MF Dorms_MF/SMB</v>
      </c>
      <c r="D278" s="270" t="s">
        <v>1787</v>
      </c>
      <c r="E278" s="270" t="s">
        <v>3</v>
      </c>
      <c r="F278" s="270" t="s">
        <v>1432</v>
      </c>
      <c r="G278" s="270" t="s">
        <v>1429</v>
      </c>
      <c r="H278" s="270" t="s">
        <v>12</v>
      </c>
      <c r="I278" s="270" t="s">
        <v>1255</v>
      </c>
      <c r="J278" s="270" t="s">
        <v>1256</v>
      </c>
      <c r="K278" s="263">
        <v>1</v>
      </c>
      <c r="L278" s="263" t="str">
        <f ca="1">IFERROR(INDEX(Algorithms!J:J,MATCH($C278&amp;"_Therm Saved per Unit",Algorithms!$A:$A,0)),"n/a")</f>
        <v>4.8.4</v>
      </c>
      <c r="M278" s="263" t="str">
        <f>IFERROR(INDEX('Measure Level Detail'!$N:$N,MATCH($B278,'Measure Level Detail'!$B:$B,0)),0)</f>
        <v>each</v>
      </c>
      <c r="N278" s="271">
        <f>IFERROR(INDEX('Measure Level Detail'!$P:$P,MATCH($B278&amp;"_"&amp;N$3,'Measure Level Detail'!$C:$C,0)),0)</f>
        <v>2</v>
      </c>
      <c r="O278" s="271">
        <f>IFERROR(INDEX('Measure Level Detail'!$P:$P,MATCH($B278&amp;"_"&amp;O$3,'Measure Level Detail'!$C:$C,0)),0)</f>
        <v>2</v>
      </c>
      <c r="P278" s="271">
        <f>IFERROR(INDEX('Measure Level Detail'!$P:$P,MATCH($B278&amp;"_"&amp;P$3,'Measure Level Detail'!$C:$C,0)),0)</f>
        <v>2</v>
      </c>
      <c r="Q278" s="271">
        <f>IFERROR(INDEX('Measure Level Detail'!$P:$P,MATCH($B278&amp;"_"&amp;Q$3,'Measure Level Detail'!$C:$C,0)),0)</f>
        <v>2</v>
      </c>
      <c r="R278" s="263" t="str">
        <f ca="1">IFERROR(INDEX(Algorithms!K:K,MATCH($C278&amp;"_Therm Saved per Unit",Algorithms!$A:$A,0)),"n/a")</f>
        <v>CI-MSC-MODD-V02-230101</v>
      </c>
      <c r="S278" s="262"/>
      <c r="T278" s="272">
        <v>230.13</v>
      </c>
      <c r="U278" s="272">
        <v>230.13</v>
      </c>
      <c r="V278" s="272">
        <v>230.13</v>
      </c>
      <c r="W278" s="272">
        <v>230.13</v>
      </c>
      <c r="X278" s="276">
        <v>0.93</v>
      </c>
      <c r="Y278" s="276">
        <v>0.93</v>
      </c>
      <c r="Z278" s="276">
        <v>0.93</v>
      </c>
      <c r="AA278" s="276">
        <v>0.93</v>
      </c>
      <c r="AB278" s="266">
        <f t="shared" si="167"/>
        <v>428.04180000000002</v>
      </c>
      <c r="AC278" s="266">
        <f t="shared" si="168"/>
        <v>428.04180000000002</v>
      </c>
      <c r="AD278" s="266">
        <f t="shared" si="169"/>
        <v>428.04180000000002</v>
      </c>
      <c r="AE278" s="266">
        <f t="shared" si="170"/>
        <v>428.04180000000002</v>
      </c>
      <c r="AF278" s="266">
        <f t="shared" si="171"/>
        <v>1712.1672000000001</v>
      </c>
      <c r="AG278" s="274">
        <v>0.93</v>
      </c>
      <c r="AH278" s="274">
        <v>0.93</v>
      </c>
      <c r="AI278" s="274">
        <v>0.93</v>
      </c>
      <c r="AJ278" s="274">
        <v>0.93</v>
      </c>
      <c r="AK278" s="274">
        <f t="shared" si="172"/>
        <v>0.93</v>
      </c>
      <c r="AL278" s="274">
        <f t="shared" si="173"/>
        <v>0.93</v>
      </c>
      <c r="AM278" s="274">
        <f t="shared" si="174"/>
        <v>0.93</v>
      </c>
      <c r="AN278" s="274">
        <f t="shared" si="175"/>
        <v>0.93</v>
      </c>
      <c r="AO278" s="262"/>
      <c r="AP278" s="262"/>
      <c r="AQ278" s="267">
        <v>230.13</v>
      </c>
      <c r="AR278" s="262"/>
      <c r="AS278" s="266">
        <f t="shared" si="176"/>
        <v>428.04180000000002</v>
      </c>
      <c r="AT278" s="264">
        <f t="shared" si="177"/>
        <v>0</v>
      </c>
      <c r="AU278" s="262"/>
      <c r="AV278" s="262"/>
      <c r="AW278" s="265">
        <v>230.13</v>
      </c>
      <c r="AX278" s="164" t="s">
        <v>2396</v>
      </c>
      <c r="AY278" s="266">
        <v>428.04180000000002</v>
      </c>
      <c r="AZ278" s="266">
        <f t="shared" si="178"/>
        <v>428.04180000000002</v>
      </c>
      <c r="BA278" s="264">
        <f t="shared" si="179"/>
        <v>0</v>
      </c>
      <c r="BB278" s="262"/>
      <c r="BC278" s="262"/>
      <c r="BD278" s="265">
        <f ca="1">IFERROR(INDEX(Algorithms!$G:$G,MATCH($C278&amp;"_Therm Saved per Unit",Algorithms!$A:$A,0)),0)</f>
        <v>230.13</v>
      </c>
      <c r="BE278" s="164" t="str">
        <f ca="1">IFERROR(INDEX('v12 Revisions'!$P$29:$P$186, MATCH('Measure-Level Adj Gas'!$L278, 'v12 Revisions'!$D$29:$D$186,0)),"")</f>
        <v/>
      </c>
      <c r="BF278" s="266">
        <f t="shared" ca="1" si="180"/>
        <v>428.04180000000002</v>
      </c>
      <c r="BG278" s="264">
        <f t="shared" ca="1" si="181"/>
        <v>0</v>
      </c>
      <c r="BH278" s="262"/>
      <c r="BI278" s="262"/>
      <c r="BJ278" s="265">
        <f ca="1">IFERROR(INDEX(Algorithms!$G:$G,MATCH($C278&amp;"_Therm Saved per Unit",Algorithms!$A:$A,0)),0)</f>
        <v>230.13</v>
      </c>
      <c r="BK278" s="164"/>
      <c r="BL278" s="266">
        <f t="shared" ca="1" si="182"/>
        <v>428.04180000000002</v>
      </c>
      <c r="BM278" s="264">
        <f t="shared" ca="1" si="183"/>
        <v>0</v>
      </c>
      <c r="BN278" s="266">
        <f t="shared" si="184"/>
        <v>428.04180000000002</v>
      </c>
      <c r="BO278" s="266">
        <f t="shared" si="185"/>
        <v>428.04180000000002</v>
      </c>
      <c r="BP278" s="266">
        <f t="shared" ca="1" si="186"/>
        <v>428.04180000000002</v>
      </c>
      <c r="BQ278" s="266">
        <f t="shared" ca="1" si="187"/>
        <v>428.04180000000002</v>
      </c>
      <c r="BR278" s="268">
        <f t="shared" ca="1" si="188"/>
        <v>1712.1672000000001</v>
      </c>
      <c r="BS278" s="262" t="s">
        <v>99</v>
      </c>
      <c r="BT278" s="277"/>
      <c r="BW278" s="266">
        <f t="shared" si="189"/>
        <v>428.04180000000002</v>
      </c>
      <c r="BX278" s="266">
        <f t="shared" si="190"/>
        <v>428.04180000000002</v>
      </c>
      <c r="BY278" s="266">
        <f t="shared" si="191"/>
        <v>428.04180000000002</v>
      </c>
      <c r="BZ278" s="266">
        <f t="shared" si="192"/>
        <v>428.04180000000002</v>
      </c>
      <c r="CA278" s="266">
        <f ca="1">N278*IFERROR(INDEX(Algorithms!$G:$G,MATCH($C278&amp;"_Therm Saved per Unit- MLA",Algorithms!$A:$A,0)),0)*X278</f>
        <v>0</v>
      </c>
      <c r="CB278" s="266">
        <f ca="1">O278*IFERROR(INDEX(Algorithms!$G:$G,MATCH($C278&amp;"_Therm Saved per Unit- MLA",Algorithms!$A:$A,0)),0)*Y278</f>
        <v>0</v>
      </c>
      <c r="CC278" s="266">
        <f ca="1">P278*IFERROR(INDEX(Algorithms!$G:$G,MATCH($C278&amp;"_Therm Saved per Unit- MLA",Algorithms!$A:$A,0)),0)*Z278</f>
        <v>0</v>
      </c>
      <c r="CD278" s="266">
        <f ca="1">Q278*IFERROR(INDEX(Algorithms!$G:$G,MATCH($C278&amp;"_Therm Saved per Unit- MLA",Algorithms!$A:$A,0)),0)*AA278</f>
        <v>0</v>
      </c>
      <c r="CE278" s="266">
        <f ca="1">IFERROR(INDEX(Algorithms!$G:$G,MATCH($C278&amp;"_Lifetime (years)",Algorithms!$A:$A,0)),0)</f>
        <v>10</v>
      </c>
      <c r="CF278" s="266">
        <f ca="1">IFERROR(INDEX(Algorithms!$G:$G,MATCH($C278&amp;"_Lifetime (years) - Remaining Years",Algorithms!$A:$A,0)),0)</f>
        <v>0</v>
      </c>
      <c r="CG278" s="266">
        <f t="shared" ca="1" si="193"/>
        <v>4280.4180000000006</v>
      </c>
      <c r="CH278" s="266">
        <f t="shared" ca="1" si="194"/>
        <v>4280.4180000000006</v>
      </c>
      <c r="CI278" s="266">
        <f t="shared" ca="1" si="195"/>
        <v>4280.4180000000006</v>
      </c>
      <c r="CJ278" s="266">
        <f t="shared" ca="1" si="196"/>
        <v>4280.4180000000006</v>
      </c>
      <c r="CK278" s="266">
        <f t="shared" si="197"/>
        <v>428.04180000000002</v>
      </c>
      <c r="CL278" s="266">
        <f t="shared" si="198"/>
        <v>428.04180000000002</v>
      </c>
      <c r="CM278" s="266">
        <f t="shared" ca="1" si="199"/>
        <v>428.04180000000002</v>
      </c>
      <c r="CN278" s="266">
        <f t="shared" ca="1" si="200"/>
        <v>428.04180000000002</v>
      </c>
      <c r="CO278" s="266">
        <f ca="1">N278*IFERROR(INDEX(Algorithms!$G:$G,MATCH($C278&amp;"_Therm Saved per Unit- MLA",Algorithms!$A:$A,0)),0)*X278</f>
        <v>0</v>
      </c>
      <c r="CP278" s="266">
        <f ca="1">O278*IFERROR(INDEX(Algorithms!$G:$G,MATCH($C278&amp;"_Therm Saved per Unit- MLA",Algorithms!$A:$A,0)),0)*Y278</f>
        <v>0</v>
      </c>
      <c r="CQ278" s="266">
        <f ca="1">P278*IFERROR(INDEX(Algorithms!$G:$G,MATCH($C278&amp;"_Therm Saved per Unit- MLA",Algorithms!$A:$A,0)),0)*Z278</f>
        <v>0</v>
      </c>
      <c r="CR278" s="266">
        <f ca="1">Q278*IFERROR(INDEX(Algorithms!$G:$G,MATCH($C278&amp;"_Therm Saved per Unit- MLA",Algorithms!$A:$A,0)),0)*AA278</f>
        <v>0</v>
      </c>
      <c r="CS278" s="266">
        <f ca="1">IFERROR(INDEX(Algorithms!$G:$G,MATCH($C278&amp;"_Lifetime (years)",Algorithms!$A:$A,0)),0)</f>
        <v>10</v>
      </c>
      <c r="CT278" s="266">
        <f ca="1">IFERROR(INDEX(Algorithms!$G:$G,MATCH($C278&amp;"_Lifetime (years) - Remaining Years",Algorithms!$A:$A,0)),0)</f>
        <v>0</v>
      </c>
      <c r="CU278" s="266">
        <f t="shared" ca="1" si="201"/>
        <v>4280.4180000000006</v>
      </c>
      <c r="CV278" s="266">
        <f t="shared" ca="1" si="202"/>
        <v>4280.4180000000006</v>
      </c>
      <c r="CW278" s="266">
        <f t="shared" ca="1" si="203"/>
        <v>4280.4180000000006</v>
      </c>
      <c r="CX278" s="266">
        <f t="shared" ca="1" si="204"/>
        <v>4280.4180000000006</v>
      </c>
    </row>
    <row r="279" spans="2:102" s="47" customFormat="1" ht="18" customHeight="1" x14ac:dyDescent="0.25">
      <c r="B279" t="str">
        <f t="shared" si="205"/>
        <v>NSG_Business_Small/Mid-Size Business_Partner Trade Ally Rebate_Modulating Commercial Gas Clothes Dryer_Laundromat &amp; MF Dorms_MF/SMB</v>
      </c>
      <c r="C279" s="47" t="str">
        <f t="shared" si="166"/>
        <v>Modulating Commercial Gas Clothes Dryer_Laundromat &amp; MF Dorms_MF/SMB</v>
      </c>
      <c r="D279" s="270" t="s">
        <v>1787</v>
      </c>
      <c r="E279" s="270" t="s">
        <v>3</v>
      </c>
      <c r="F279" s="270" t="s">
        <v>1432</v>
      </c>
      <c r="G279" s="270" t="s">
        <v>1799</v>
      </c>
      <c r="H279" s="270" t="s">
        <v>12</v>
      </c>
      <c r="I279" s="270" t="s">
        <v>1255</v>
      </c>
      <c r="J279" s="270" t="s">
        <v>1256</v>
      </c>
      <c r="K279" s="263">
        <v>1</v>
      </c>
      <c r="L279" s="263" t="str">
        <f ca="1">IFERROR(INDEX(Algorithms!J:J,MATCH($C279&amp;"_Therm Saved per Unit",Algorithms!$A:$A,0)),"n/a")</f>
        <v>4.8.4</v>
      </c>
      <c r="M279" s="263" t="str">
        <f>IFERROR(INDEX('Measure Level Detail'!$N:$N,MATCH($B279,'Measure Level Detail'!$B:$B,0)),0)</f>
        <v>each</v>
      </c>
      <c r="N279" s="271">
        <f>IFERROR(INDEX('Measure Level Detail'!$P:$P,MATCH($B279&amp;"_"&amp;N$3,'Measure Level Detail'!$C:$C,0)),0)</f>
        <v>2</v>
      </c>
      <c r="O279" s="271">
        <f>IFERROR(INDEX('Measure Level Detail'!$P:$P,MATCH($B279&amp;"_"&amp;O$3,'Measure Level Detail'!$C:$C,0)),0)</f>
        <v>2</v>
      </c>
      <c r="P279" s="271">
        <f>IFERROR(INDEX('Measure Level Detail'!$P:$P,MATCH($B279&amp;"_"&amp;P$3,'Measure Level Detail'!$C:$C,0)),0)</f>
        <v>2</v>
      </c>
      <c r="Q279" s="271">
        <f>IFERROR(INDEX('Measure Level Detail'!$P:$P,MATCH($B279&amp;"_"&amp;Q$3,'Measure Level Detail'!$C:$C,0)),0)</f>
        <v>2</v>
      </c>
      <c r="R279" s="263" t="str">
        <f ca="1">IFERROR(INDEX(Algorithms!K:K,MATCH($C279&amp;"_Therm Saved per Unit",Algorithms!$A:$A,0)),"n/a")</f>
        <v>CI-MSC-MODD-V02-230101</v>
      </c>
      <c r="S279" s="262"/>
      <c r="T279" s="272">
        <v>230.13</v>
      </c>
      <c r="U279" s="272">
        <v>230.13</v>
      </c>
      <c r="V279" s="272">
        <v>230.13</v>
      </c>
      <c r="W279" s="272">
        <v>230.13</v>
      </c>
      <c r="X279" s="276">
        <v>0.93</v>
      </c>
      <c r="Y279" s="276">
        <v>0.93</v>
      </c>
      <c r="Z279" s="276">
        <v>0.93</v>
      </c>
      <c r="AA279" s="276">
        <v>0.93</v>
      </c>
      <c r="AB279" s="266">
        <f t="shared" si="167"/>
        <v>428.04180000000002</v>
      </c>
      <c r="AC279" s="266">
        <f t="shared" si="168"/>
        <v>428.04180000000002</v>
      </c>
      <c r="AD279" s="266">
        <f t="shared" si="169"/>
        <v>428.04180000000002</v>
      </c>
      <c r="AE279" s="266">
        <f t="shared" si="170"/>
        <v>428.04180000000002</v>
      </c>
      <c r="AF279" s="266">
        <f t="shared" si="171"/>
        <v>1712.1672000000001</v>
      </c>
      <c r="AG279" s="274">
        <v>0.93</v>
      </c>
      <c r="AH279" s="274">
        <v>0.93</v>
      </c>
      <c r="AI279" s="274">
        <v>0.93</v>
      </c>
      <c r="AJ279" s="274">
        <v>0.93</v>
      </c>
      <c r="AK279" s="274">
        <f t="shared" si="172"/>
        <v>0.93</v>
      </c>
      <c r="AL279" s="274">
        <f t="shared" si="173"/>
        <v>0.93</v>
      </c>
      <c r="AM279" s="274">
        <f t="shared" si="174"/>
        <v>0.93</v>
      </c>
      <c r="AN279" s="274">
        <f t="shared" si="175"/>
        <v>0.93</v>
      </c>
      <c r="AO279" s="262"/>
      <c r="AP279" s="262"/>
      <c r="AQ279" s="267">
        <v>230.13</v>
      </c>
      <c r="AR279" s="262"/>
      <c r="AS279" s="266">
        <f t="shared" si="176"/>
        <v>428.04180000000002</v>
      </c>
      <c r="AT279" s="264">
        <f t="shared" si="177"/>
        <v>0</v>
      </c>
      <c r="AU279" s="262"/>
      <c r="AV279" s="262"/>
      <c r="AW279" s="265">
        <v>230.13</v>
      </c>
      <c r="AX279" s="164" t="s">
        <v>2396</v>
      </c>
      <c r="AY279" s="266">
        <v>428.04180000000002</v>
      </c>
      <c r="AZ279" s="266">
        <f t="shared" si="178"/>
        <v>428.04180000000002</v>
      </c>
      <c r="BA279" s="264">
        <f t="shared" si="179"/>
        <v>0</v>
      </c>
      <c r="BB279" s="262"/>
      <c r="BC279" s="262"/>
      <c r="BD279" s="265">
        <f ca="1">IFERROR(INDEX(Algorithms!$G:$G,MATCH($C279&amp;"_Therm Saved per Unit",Algorithms!$A:$A,0)),0)</f>
        <v>230.13</v>
      </c>
      <c r="BE279" s="164" t="str">
        <f ca="1">IFERROR(INDEX('v12 Revisions'!$P$29:$P$186, MATCH('Measure-Level Adj Gas'!$L279, 'v12 Revisions'!$D$29:$D$186,0)),"")</f>
        <v/>
      </c>
      <c r="BF279" s="266">
        <f t="shared" ca="1" si="180"/>
        <v>428.04180000000002</v>
      </c>
      <c r="BG279" s="264">
        <f t="shared" ca="1" si="181"/>
        <v>0</v>
      </c>
      <c r="BH279" s="262"/>
      <c r="BI279" s="262"/>
      <c r="BJ279" s="265">
        <f ca="1">IFERROR(INDEX(Algorithms!$G:$G,MATCH($C279&amp;"_Therm Saved per Unit",Algorithms!$A:$A,0)),0)</f>
        <v>230.13</v>
      </c>
      <c r="BK279" s="164"/>
      <c r="BL279" s="266">
        <f t="shared" ca="1" si="182"/>
        <v>428.04180000000002</v>
      </c>
      <c r="BM279" s="264">
        <f t="shared" ca="1" si="183"/>
        <v>0</v>
      </c>
      <c r="BN279" s="266">
        <f t="shared" si="184"/>
        <v>428.04180000000002</v>
      </c>
      <c r="BO279" s="266">
        <f t="shared" si="185"/>
        <v>428.04180000000002</v>
      </c>
      <c r="BP279" s="266">
        <f t="shared" ca="1" si="186"/>
        <v>428.04180000000002</v>
      </c>
      <c r="BQ279" s="266">
        <f t="shared" ca="1" si="187"/>
        <v>428.04180000000002</v>
      </c>
      <c r="BR279" s="268">
        <f t="shared" ca="1" si="188"/>
        <v>1712.1672000000001</v>
      </c>
      <c r="BS279" s="262" t="s">
        <v>99</v>
      </c>
      <c r="BT279" s="277"/>
      <c r="BW279" s="266">
        <f t="shared" si="189"/>
        <v>428.04180000000002</v>
      </c>
      <c r="BX279" s="266">
        <f t="shared" si="190"/>
        <v>428.04180000000002</v>
      </c>
      <c r="BY279" s="266">
        <f t="shared" si="191"/>
        <v>428.04180000000002</v>
      </c>
      <c r="BZ279" s="266">
        <f t="shared" si="192"/>
        <v>428.04180000000002</v>
      </c>
      <c r="CA279" s="266">
        <f ca="1">N279*IFERROR(INDEX(Algorithms!$G:$G,MATCH($C279&amp;"_Therm Saved per Unit- MLA",Algorithms!$A:$A,0)),0)*X279</f>
        <v>0</v>
      </c>
      <c r="CB279" s="266">
        <f ca="1">O279*IFERROR(INDEX(Algorithms!$G:$G,MATCH($C279&amp;"_Therm Saved per Unit- MLA",Algorithms!$A:$A,0)),0)*Y279</f>
        <v>0</v>
      </c>
      <c r="CC279" s="266">
        <f ca="1">P279*IFERROR(INDEX(Algorithms!$G:$G,MATCH($C279&amp;"_Therm Saved per Unit- MLA",Algorithms!$A:$A,0)),0)*Z279</f>
        <v>0</v>
      </c>
      <c r="CD279" s="266">
        <f ca="1">Q279*IFERROR(INDEX(Algorithms!$G:$G,MATCH($C279&amp;"_Therm Saved per Unit- MLA",Algorithms!$A:$A,0)),0)*AA279</f>
        <v>0</v>
      </c>
      <c r="CE279" s="266">
        <f ca="1">IFERROR(INDEX(Algorithms!$G:$G,MATCH($C279&amp;"_Lifetime (years)",Algorithms!$A:$A,0)),0)</f>
        <v>10</v>
      </c>
      <c r="CF279" s="266">
        <f ca="1">IFERROR(INDEX(Algorithms!$G:$G,MATCH($C279&amp;"_Lifetime (years) - Remaining Years",Algorithms!$A:$A,0)),0)</f>
        <v>0</v>
      </c>
      <c r="CG279" s="266">
        <f t="shared" ca="1" si="193"/>
        <v>4280.4180000000006</v>
      </c>
      <c r="CH279" s="266">
        <f t="shared" ca="1" si="194"/>
        <v>4280.4180000000006</v>
      </c>
      <c r="CI279" s="266">
        <f t="shared" ca="1" si="195"/>
        <v>4280.4180000000006</v>
      </c>
      <c r="CJ279" s="266">
        <f t="shared" ca="1" si="196"/>
        <v>4280.4180000000006</v>
      </c>
      <c r="CK279" s="266">
        <f t="shared" si="197"/>
        <v>428.04180000000002</v>
      </c>
      <c r="CL279" s="266">
        <f t="shared" si="198"/>
        <v>428.04180000000002</v>
      </c>
      <c r="CM279" s="266">
        <f t="shared" ca="1" si="199"/>
        <v>428.04180000000002</v>
      </c>
      <c r="CN279" s="266">
        <f t="shared" ca="1" si="200"/>
        <v>428.04180000000002</v>
      </c>
      <c r="CO279" s="266">
        <f ca="1">N279*IFERROR(INDEX(Algorithms!$G:$G,MATCH($C279&amp;"_Therm Saved per Unit- MLA",Algorithms!$A:$A,0)),0)*X279</f>
        <v>0</v>
      </c>
      <c r="CP279" s="266">
        <f ca="1">O279*IFERROR(INDEX(Algorithms!$G:$G,MATCH($C279&amp;"_Therm Saved per Unit- MLA",Algorithms!$A:$A,0)),0)*Y279</f>
        <v>0</v>
      </c>
      <c r="CQ279" s="266">
        <f ca="1">P279*IFERROR(INDEX(Algorithms!$G:$G,MATCH($C279&amp;"_Therm Saved per Unit- MLA",Algorithms!$A:$A,0)),0)*Z279</f>
        <v>0</v>
      </c>
      <c r="CR279" s="266">
        <f ca="1">Q279*IFERROR(INDEX(Algorithms!$G:$G,MATCH($C279&amp;"_Therm Saved per Unit- MLA",Algorithms!$A:$A,0)),0)*AA279</f>
        <v>0</v>
      </c>
      <c r="CS279" s="266">
        <f ca="1">IFERROR(INDEX(Algorithms!$G:$G,MATCH($C279&amp;"_Lifetime (years)",Algorithms!$A:$A,0)),0)</f>
        <v>10</v>
      </c>
      <c r="CT279" s="266">
        <f ca="1">IFERROR(INDEX(Algorithms!$G:$G,MATCH($C279&amp;"_Lifetime (years) - Remaining Years",Algorithms!$A:$A,0)),0)</f>
        <v>0</v>
      </c>
      <c r="CU279" s="266">
        <f t="shared" ca="1" si="201"/>
        <v>4280.4180000000006</v>
      </c>
      <c r="CV279" s="266">
        <f t="shared" ca="1" si="202"/>
        <v>4280.4180000000006</v>
      </c>
      <c r="CW279" s="266">
        <f t="shared" ca="1" si="203"/>
        <v>4280.4180000000006</v>
      </c>
      <c r="CX279" s="266">
        <f t="shared" ca="1" si="204"/>
        <v>4280.4180000000006</v>
      </c>
    </row>
    <row r="280" spans="2:102" s="47" customFormat="1" ht="18" customHeight="1" x14ac:dyDescent="0.25">
      <c r="B280" t="str">
        <f t="shared" si="205"/>
        <v>NSG_Business_Commercial Food Service Program_Upstream Rebate_ENERGY STAR Griddle_0_CI</v>
      </c>
      <c r="C280" s="47" t="str">
        <f t="shared" si="166"/>
        <v>ENERGY STAR Griddle_0_CI</v>
      </c>
      <c r="D280" s="270" t="s">
        <v>1787</v>
      </c>
      <c r="E280" s="270" t="s">
        <v>3</v>
      </c>
      <c r="F280" s="270" t="s">
        <v>1444</v>
      </c>
      <c r="G280" s="270" t="s">
        <v>1445</v>
      </c>
      <c r="H280" s="270" t="s">
        <v>231</v>
      </c>
      <c r="I280" s="270">
        <v>0</v>
      </c>
      <c r="J280" s="270" t="s">
        <v>1159</v>
      </c>
      <c r="K280" s="263">
        <v>1</v>
      </c>
      <c r="L280" s="263" t="str">
        <f ca="1">IFERROR(INDEX(Algorithms!J:J,MATCH($C280&amp;"_Therm Saved per Unit",Algorithms!$A:$A,0)),"n/a")</f>
        <v>4.2.8</v>
      </c>
      <c r="M280" s="263" t="str">
        <f>IFERROR(INDEX('Measure Level Detail'!$N:$N,MATCH($B280,'Measure Level Detail'!$B:$B,0)),0)</f>
        <v>each</v>
      </c>
      <c r="N280" s="271">
        <f>IFERROR(INDEX('Measure Level Detail'!$P:$P,MATCH($B280&amp;"_"&amp;N$3,'Measure Level Detail'!$C:$C,0)),0)</f>
        <v>1</v>
      </c>
      <c r="O280" s="271">
        <f>IFERROR(INDEX('Measure Level Detail'!$P:$P,MATCH($B280&amp;"_"&amp;O$3,'Measure Level Detail'!$C:$C,0)),0)</f>
        <v>2</v>
      </c>
      <c r="P280" s="271">
        <f>IFERROR(INDEX('Measure Level Detail'!$P:$P,MATCH($B280&amp;"_"&amp;P$3,'Measure Level Detail'!$C:$C,0)),0)</f>
        <v>2</v>
      </c>
      <c r="Q280" s="271">
        <f>IFERROR(INDEX('Measure Level Detail'!$P:$P,MATCH($B280&amp;"_"&amp;Q$3,'Measure Level Detail'!$C:$C,0)),0)</f>
        <v>3</v>
      </c>
      <c r="R280" s="263" t="str">
        <f ca="1">IFERROR(INDEX(Algorithms!K:K,MATCH($C280&amp;"_Therm Saved per Unit",Algorithms!$A:$A,0)),"n/a")</f>
        <v>CI-FSE-ESGR-V06-240101</v>
      </c>
      <c r="S280" s="262"/>
      <c r="T280" s="272">
        <v>153.29846874999993</v>
      </c>
      <c r="U280" s="272">
        <v>153.29846874999993</v>
      </c>
      <c r="V280" s="272">
        <v>153.29846874999993</v>
      </c>
      <c r="W280" s="272">
        <v>153.29846874999993</v>
      </c>
      <c r="X280" s="276">
        <v>0.8</v>
      </c>
      <c r="Y280" s="276">
        <v>0.8</v>
      </c>
      <c r="Z280" s="276">
        <v>0.8</v>
      </c>
      <c r="AA280" s="276">
        <v>0.8</v>
      </c>
      <c r="AB280" s="266">
        <f t="shared" si="167"/>
        <v>122.63877499999995</v>
      </c>
      <c r="AC280" s="266">
        <f t="shared" si="168"/>
        <v>245.27754999999991</v>
      </c>
      <c r="AD280" s="266">
        <f t="shared" si="169"/>
        <v>245.27754999999991</v>
      </c>
      <c r="AE280" s="266">
        <f t="shared" si="170"/>
        <v>367.91632499999986</v>
      </c>
      <c r="AF280" s="266">
        <f t="shared" si="171"/>
        <v>981.11019999999962</v>
      </c>
      <c r="AG280" s="274">
        <v>0.8</v>
      </c>
      <c r="AH280" s="274">
        <v>0.8</v>
      </c>
      <c r="AI280" s="274">
        <v>0.8</v>
      </c>
      <c r="AJ280" s="274">
        <v>0.8</v>
      </c>
      <c r="AK280" s="274">
        <f t="shared" si="172"/>
        <v>0.8</v>
      </c>
      <c r="AL280" s="274">
        <f t="shared" si="173"/>
        <v>0.8</v>
      </c>
      <c r="AM280" s="274">
        <f t="shared" si="174"/>
        <v>0.8</v>
      </c>
      <c r="AN280" s="274">
        <f t="shared" si="175"/>
        <v>0.8</v>
      </c>
      <c r="AO280" s="262"/>
      <c r="AP280" s="262"/>
      <c r="AQ280" s="267">
        <v>153.29846874999993</v>
      </c>
      <c r="AR280" s="262"/>
      <c r="AS280" s="266">
        <f t="shared" si="176"/>
        <v>122.63877499999995</v>
      </c>
      <c r="AT280" s="264">
        <f t="shared" si="177"/>
        <v>0</v>
      </c>
      <c r="AU280" s="262"/>
      <c r="AV280" s="262"/>
      <c r="AW280" s="265">
        <v>153.29846874999993</v>
      </c>
      <c r="AX280" s="164" t="s">
        <v>2394</v>
      </c>
      <c r="AY280" s="266">
        <v>245.27754999999991</v>
      </c>
      <c r="AZ280" s="266">
        <f t="shared" si="178"/>
        <v>245.27754999999991</v>
      </c>
      <c r="BA280" s="264">
        <f t="shared" si="179"/>
        <v>0</v>
      </c>
      <c r="BB280" s="262"/>
      <c r="BC280" s="262"/>
      <c r="BD280" s="265">
        <f ca="1">IFERROR(INDEX(Algorithms!$G:$G,MATCH($C280&amp;"_Therm Saved per Unit",Algorithms!$A:$A,0)),0)</f>
        <v>153.29846874999993</v>
      </c>
      <c r="BE280" s="164" t="str">
        <f ca="1">IFERROR(INDEX('v12 Revisions'!$P$29:$P$186, MATCH('Measure-Level Adj Gas'!$L280, 'v12 Revisions'!$D$29:$D$186,0)),"")</f>
        <v>n/a - kW peak demand savings.</v>
      </c>
      <c r="BF280" s="266">
        <f t="shared" ca="1" si="180"/>
        <v>245.27754999999991</v>
      </c>
      <c r="BG280" s="264">
        <f t="shared" ca="1" si="181"/>
        <v>0</v>
      </c>
      <c r="BH280" s="262"/>
      <c r="BI280" s="262"/>
      <c r="BJ280" s="265">
        <f ca="1">IFERROR(INDEX(Algorithms!$G:$G,MATCH($C280&amp;"_Therm Saved per Unit",Algorithms!$A:$A,0)),0)</f>
        <v>153.29846874999993</v>
      </c>
      <c r="BK280" s="164"/>
      <c r="BL280" s="266">
        <f t="shared" ca="1" si="182"/>
        <v>367.91632499999986</v>
      </c>
      <c r="BM280" s="264">
        <f t="shared" ca="1" si="183"/>
        <v>0</v>
      </c>
      <c r="BN280" s="266">
        <f t="shared" si="184"/>
        <v>122.63877499999995</v>
      </c>
      <c r="BO280" s="266">
        <f t="shared" si="185"/>
        <v>245.27754999999991</v>
      </c>
      <c r="BP280" s="266">
        <f t="shared" ca="1" si="186"/>
        <v>245.27754999999991</v>
      </c>
      <c r="BQ280" s="266">
        <f t="shared" ca="1" si="187"/>
        <v>367.91632499999986</v>
      </c>
      <c r="BR280" s="268">
        <f t="shared" ca="1" si="188"/>
        <v>981.11019999999962</v>
      </c>
      <c r="BS280" s="262" t="s">
        <v>99</v>
      </c>
      <c r="BT280" s="277"/>
      <c r="BW280" s="266">
        <f t="shared" si="189"/>
        <v>122.63877499999995</v>
      </c>
      <c r="BX280" s="266">
        <f t="shared" si="190"/>
        <v>245.27754999999991</v>
      </c>
      <c r="BY280" s="266">
        <f t="shared" si="191"/>
        <v>245.27754999999991</v>
      </c>
      <c r="BZ280" s="266">
        <f t="shared" si="192"/>
        <v>367.91632499999986</v>
      </c>
      <c r="CA280" s="266">
        <f ca="1">N280*IFERROR(INDEX(Algorithms!$G:$G,MATCH($C280&amp;"_Therm Saved per Unit- MLA",Algorithms!$A:$A,0)),0)*X280</f>
        <v>0</v>
      </c>
      <c r="CB280" s="266">
        <f ca="1">O280*IFERROR(INDEX(Algorithms!$G:$G,MATCH($C280&amp;"_Therm Saved per Unit- MLA",Algorithms!$A:$A,0)),0)*Y280</f>
        <v>0</v>
      </c>
      <c r="CC280" s="266">
        <f ca="1">P280*IFERROR(INDEX(Algorithms!$G:$G,MATCH($C280&amp;"_Therm Saved per Unit- MLA",Algorithms!$A:$A,0)),0)*Z280</f>
        <v>0</v>
      </c>
      <c r="CD280" s="266">
        <f ca="1">Q280*IFERROR(INDEX(Algorithms!$G:$G,MATCH($C280&amp;"_Therm Saved per Unit- MLA",Algorithms!$A:$A,0)),0)*AA280</f>
        <v>0</v>
      </c>
      <c r="CE280" s="266">
        <f ca="1">IFERROR(INDEX(Algorithms!$G:$G,MATCH($C280&amp;"_Lifetime (years)",Algorithms!$A:$A,0)),0)</f>
        <v>12</v>
      </c>
      <c r="CF280" s="266">
        <f ca="1">IFERROR(INDEX(Algorithms!$G:$G,MATCH($C280&amp;"_Lifetime (years) - Remaining Years",Algorithms!$A:$A,0)),0)</f>
        <v>0</v>
      </c>
      <c r="CG280" s="266">
        <f t="shared" ca="1" si="193"/>
        <v>1471.6652999999994</v>
      </c>
      <c r="CH280" s="266">
        <f t="shared" ca="1" si="194"/>
        <v>2943.3305999999989</v>
      </c>
      <c r="CI280" s="266">
        <f t="shared" ca="1" si="195"/>
        <v>2943.3305999999989</v>
      </c>
      <c r="CJ280" s="266">
        <f t="shared" ca="1" si="196"/>
        <v>4414.9958999999981</v>
      </c>
      <c r="CK280" s="266">
        <f t="shared" si="197"/>
        <v>122.63877499999995</v>
      </c>
      <c r="CL280" s="266">
        <f t="shared" si="198"/>
        <v>245.27754999999991</v>
      </c>
      <c r="CM280" s="266">
        <f t="shared" ca="1" si="199"/>
        <v>245.27754999999991</v>
      </c>
      <c r="CN280" s="266">
        <f t="shared" ca="1" si="200"/>
        <v>367.91632499999986</v>
      </c>
      <c r="CO280" s="266">
        <f ca="1">N280*IFERROR(INDEX(Algorithms!$G:$G,MATCH($C280&amp;"_Therm Saved per Unit- MLA",Algorithms!$A:$A,0)),0)*X280</f>
        <v>0</v>
      </c>
      <c r="CP280" s="266">
        <f ca="1">O280*IFERROR(INDEX(Algorithms!$G:$G,MATCH($C280&amp;"_Therm Saved per Unit- MLA",Algorithms!$A:$A,0)),0)*Y280</f>
        <v>0</v>
      </c>
      <c r="CQ280" s="266">
        <f ca="1">P280*IFERROR(INDEX(Algorithms!$G:$G,MATCH($C280&amp;"_Therm Saved per Unit- MLA",Algorithms!$A:$A,0)),0)*Z280</f>
        <v>0</v>
      </c>
      <c r="CR280" s="266">
        <f ca="1">Q280*IFERROR(INDEX(Algorithms!$G:$G,MATCH($C280&amp;"_Therm Saved per Unit- MLA",Algorithms!$A:$A,0)),0)*AA280</f>
        <v>0</v>
      </c>
      <c r="CS280" s="266">
        <f ca="1">IFERROR(INDEX(Algorithms!$G:$G,MATCH($C280&amp;"_Lifetime (years)",Algorithms!$A:$A,0)),0)</f>
        <v>12</v>
      </c>
      <c r="CT280" s="266">
        <f ca="1">IFERROR(INDEX(Algorithms!$G:$G,MATCH($C280&amp;"_Lifetime (years) - Remaining Years",Algorithms!$A:$A,0)),0)</f>
        <v>0</v>
      </c>
      <c r="CU280" s="266">
        <f t="shared" ca="1" si="201"/>
        <v>1471.6652999999994</v>
      </c>
      <c r="CV280" s="266">
        <f t="shared" ca="1" si="202"/>
        <v>2943.3305999999989</v>
      </c>
      <c r="CW280" s="266">
        <f t="shared" ca="1" si="203"/>
        <v>2943.3305999999989</v>
      </c>
      <c r="CX280" s="266">
        <f t="shared" ca="1" si="204"/>
        <v>4414.9958999999981</v>
      </c>
    </row>
    <row r="281" spans="2:102" s="47" customFormat="1" ht="18" customHeight="1" x14ac:dyDescent="0.25">
      <c r="B281" t="str">
        <f t="shared" si="205"/>
        <v>NSG_Business_Commercial Food Service Program_Upstream Rebate_Pasta Cooker_0_CI</v>
      </c>
      <c r="C281" s="47" t="str">
        <f t="shared" si="166"/>
        <v>Pasta Cooker_0_CI</v>
      </c>
      <c r="D281" s="270" t="s">
        <v>1787</v>
      </c>
      <c r="E281" s="270" t="s">
        <v>3</v>
      </c>
      <c r="F281" s="270" t="s">
        <v>1444</v>
      </c>
      <c r="G281" s="270" t="s">
        <v>1445</v>
      </c>
      <c r="H281" s="270" t="s">
        <v>22</v>
      </c>
      <c r="I281" s="270">
        <v>0</v>
      </c>
      <c r="J281" s="270" t="s">
        <v>1159</v>
      </c>
      <c r="K281" s="263">
        <v>1</v>
      </c>
      <c r="L281" s="263" t="str">
        <f ca="1">IFERROR(INDEX(Algorithms!J:J,MATCH($C281&amp;"_Therm Saved per Unit",Algorithms!$A:$A,0)),"n/a")</f>
        <v>4.2.17</v>
      </c>
      <c r="M281" s="263" t="str">
        <f>IFERROR(INDEX('Measure Level Detail'!$N:$N,MATCH($B281,'Measure Level Detail'!$B:$B,0)),0)</f>
        <v>each</v>
      </c>
      <c r="N281" s="271">
        <f>IFERROR(INDEX('Measure Level Detail'!$P:$P,MATCH($B281&amp;"_"&amp;N$3,'Measure Level Detail'!$C:$C,0)),0)</f>
        <v>1</v>
      </c>
      <c r="O281" s="271">
        <f>IFERROR(INDEX('Measure Level Detail'!$P:$P,MATCH($B281&amp;"_"&amp;O$3,'Measure Level Detail'!$C:$C,0)),0)</f>
        <v>1</v>
      </c>
      <c r="P281" s="271">
        <f>IFERROR(INDEX('Measure Level Detail'!$P:$P,MATCH($B281&amp;"_"&amp;P$3,'Measure Level Detail'!$C:$C,0)),0)</f>
        <v>2</v>
      </c>
      <c r="Q281" s="271">
        <f>IFERROR(INDEX('Measure Level Detail'!$P:$P,MATCH($B281&amp;"_"&amp;Q$3,'Measure Level Detail'!$C:$C,0)),0)</f>
        <v>2</v>
      </c>
      <c r="R281" s="263" t="str">
        <f ca="1">IFERROR(INDEX(Algorithms!K:K,MATCH($C281&amp;"_Therm Saved per Unit",Algorithms!$A:$A,0)),"n/a")</f>
        <v>CI-FSE-PCOK-V03-240101</v>
      </c>
      <c r="S281" s="262"/>
      <c r="T281" s="272">
        <v>1380</v>
      </c>
      <c r="U281" s="272">
        <v>1380</v>
      </c>
      <c r="V281" s="272">
        <v>1380</v>
      </c>
      <c r="W281" s="272">
        <v>1380</v>
      </c>
      <c r="X281" s="276">
        <v>0.8</v>
      </c>
      <c r="Y281" s="276">
        <v>0.8</v>
      </c>
      <c r="Z281" s="276">
        <v>0.8</v>
      </c>
      <c r="AA281" s="276">
        <v>0.8</v>
      </c>
      <c r="AB281" s="266">
        <f t="shared" si="167"/>
        <v>1104</v>
      </c>
      <c r="AC281" s="266">
        <f t="shared" si="168"/>
        <v>1104</v>
      </c>
      <c r="AD281" s="266">
        <f t="shared" si="169"/>
        <v>2208</v>
      </c>
      <c r="AE281" s="266">
        <f t="shared" si="170"/>
        <v>2208</v>
      </c>
      <c r="AF281" s="266">
        <f t="shared" si="171"/>
        <v>6624</v>
      </c>
      <c r="AG281" s="274">
        <v>0.8</v>
      </c>
      <c r="AH281" s="274">
        <v>0.8</v>
      </c>
      <c r="AI281" s="274">
        <v>0.8</v>
      </c>
      <c r="AJ281" s="274">
        <v>0.8</v>
      </c>
      <c r="AK281" s="274">
        <f t="shared" si="172"/>
        <v>0.8</v>
      </c>
      <c r="AL281" s="274">
        <f t="shared" si="173"/>
        <v>0.8</v>
      </c>
      <c r="AM281" s="274">
        <f t="shared" si="174"/>
        <v>0.8</v>
      </c>
      <c r="AN281" s="274">
        <f t="shared" si="175"/>
        <v>0.8</v>
      </c>
      <c r="AO281" s="262"/>
      <c r="AP281" s="262"/>
      <c r="AQ281" s="267">
        <v>1380</v>
      </c>
      <c r="AR281" s="262"/>
      <c r="AS281" s="266">
        <f t="shared" si="176"/>
        <v>1104</v>
      </c>
      <c r="AT281" s="264">
        <f t="shared" si="177"/>
        <v>0</v>
      </c>
      <c r="AU281" s="262"/>
      <c r="AV281" s="262"/>
      <c r="AW281" s="265">
        <v>1380</v>
      </c>
      <c r="AX281" s="164" t="s">
        <v>1469</v>
      </c>
      <c r="AY281" s="266">
        <v>1104</v>
      </c>
      <c r="AZ281" s="266">
        <f t="shared" si="178"/>
        <v>1104</v>
      </c>
      <c r="BA281" s="264">
        <f t="shared" si="179"/>
        <v>0</v>
      </c>
      <c r="BB281" s="262"/>
      <c r="BC281" s="262"/>
      <c r="BD281" s="265">
        <f ca="1">IFERROR(INDEX(Algorithms!$G:$G,MATCH($C281&amp;"_Therm Saved per Unit",Algorithms!$A:$A,0)),0)</f>
        <v>1380</v>
      </c>
      <c r="BE281" s="164" t="str">
        <f ca="1">IFERROR(INDEX('v12 Revisions'!$P$29:$P$186, MATCH('Measure-Level Adj Gas'!$L281, 'v12 Revisions'!$D$29:$D$186,0)),"")</f>
        <v/>
      </c>
      <c r="BF281" s="266">
        <f t="shared" ca="1" si="180"/>
        <v>2208</v>
      </c>
      <c r="BG281" s="264">
        <f t="shared" ca="1" si="181"/>
        <v>0</v>
      </c>
      <c r="BH281" s="262"/>
      <c r="BI281" s="262"/>
      <c r="BJ281" s="265">
        <f ca="1">IFERROR(INDEX(Algorithms!$G:$G,MATCH($C281&amp;"_Therm Saved per Unit",Algorithms!$A:$A,0)),0)</f>
        <v>1380</v>
      </c>
      <c r="BK281" s="164"/>
      <c r="BL281" s="266">
        <f t="shared" ca="1" si="182"/>
        <v>2208</v>
      </c>
      <c r="BM281" s="264">
        <f t="shared" ca="1" si="183"/>
        <v>0</v>
      </c>
      <c r="BN281" s="266">
        <f t="shared" si="184"/>
        <v>1104</v>
      </c>
      <c r="BO281" s="266">
        <f t="shared" si="185"/>
        <v>1104</v>
      </c>
      <c r="BP281" s="266">
        <f t="shared" ca="1" si="186"/>
        <v>2208</v>
      </c>
      <c r="BQ281" s="266">
        <f t="shared" ca="1" si="187"/>
        <v>2208</v>
      </c>
      <c r="BR281" s="268">
        <f t="shared" ca="1" si="188"/>
        <v>6624</v>
      </c>
      <c r="BS281" s="262" t="s">
        <v>99</v>
      </c>
      <c r="BT281" s="277"/>
      <c r="BW281" s="266">
        <f t="shared" si="189"/>
        <v>1104</v>
      </c>
      <c r="BX281" s="266">
        <f t="shared" si="190"/>
        <v>1104</v>
      </c>
      <c r="BY281" s="266">
        <f t="shared" si="191"/>
        <v>2208</v>
      </c>
      <c r="BZ281" s="266">
        <f t="shared" si="192"/>
        <v>2208</v>
      </c>
      <c r="CA281" s="266">
        <f ca="1">N281*IFERROR(INDEX(Algorithms!$G:$G,MATCH($C281&amp;"_Therm Saved per Unit- MLA",Algorithms!$A:$A,0)),0)*X281</f>
        <v>0</v>
      </c>
      <c r="CB281" s="266">
        <f ca="1">O281*IFERROR(INDEX(Algorithms!$G:$G,MATCH($C281&amp;"_Therm Saved per Unit- MLA",Algorithms!$A:$A,0)),0)*Y281</f>
        <v>0</v>
      </c>
      <c r="CC281" s="266">
        <f ca="1">P281*IFERROR(INDEX(Algorithms!$G:$G,MATCH($C281&amp;"_Therm Saved per Unit- MLA",Algorithms!$A:$A,0)),0)*Z281</f>
        <v>0</v>
      </c>
      <c r="CD281" s="266">
        <f ca="1">Q281*IFERROR(INDEX(Algorithms!$G:$G,MATCH($C281&amp;"_Therm Saved per Unit- MLA",Algorithms!$A:$A,0)),0)*AA281</f>
        <v>0</v>
      </c>
      <c r="CE281" s="266">
        <f ca="1">IFERROR(INDEX(Algorithms!$G:$G,MATCH($C281&amp;"_Lifetime (years)",Algorithms!$A:$A,0)),0)</f>
        <v>12</v>
      </c>
      <c r="CF281" s="266">
        <f ca="1">IFERROR(INDEX(Algorithms!$G:$G,MATCH($C281&amp;"_Lifetime (years) - Remaining Years",Algorithms!$A:$A,0)),0)</f>
        <v>0</v>
      </c>
      <c r="CG281" s="266">
        <f t="shared" ca="1" si="193"/>
        <v>13248</v>
      </c>
      <c r="CH281" s="266">
        <f t="shared" ca="1" si="194"/>
        <v>13248</v>
      </c>
      <c r="CI281" s="266">
        <f t="shared" ca="1" si="195"/>
        <v>26496</v>
      </c>
      <c r="CJ281" s="266">
        <f t="shared" ca="1" si="196"/>
        <v>26496</v>
      </c>
      <c r="CK281" s="266">
        <f t="shared" si="197"/>
        <v>1104</v>
      </c>
      <c r="CL281" s="266">
        <f t="shared" si="198"/>
        <v>1104</v>
      </c>
      <c r="CM281" s="266">
        <f t="shared" ca="1" si="199"/>
        <v>2208</v>
      </c>
      <c r="CN281" s="266">
        <f t="shared" ca="1" si="200"/>
        <v>2208</v>
      </c>
      <c r="CO281" s="266">
        <f ca="1">N281*IFERROR(INDEX(Algorithms!$G:$G,MATCH($C281&amp;"_Therm Saved per Unit- MLA",Algorithms!$A:$A,0)),0)*X281</f>
        <v>0</v>
      </c>
      <c r="CP281" s="266">
        <f ca="1">O281*IFERROR(INDEX(Algorithms!$G:$G,MATCH($C281&amp;"_Therm Saved per Unit- MLA",Algorithms!$A:$A,0)),0)*Y281</f>
        <v>0</v>
      </c>
      <c r="CQ281" s="266">
        <f ca="1">P281*IFERROR(INDEX(Algorithms!$G:$G,MATCH($C281&amp;"_Therm Saved per Unit- MLA",Algorithms!$A:$A,0)),0)*Z281</f>
        <v>0</v>
      </c>
      <c r="CR281" s="266">
        <f ca="1">Q281*IFERROR(INDEX(Algorithms!$G:$G,MATCH($C281&amp;"_Therm Saved per Unit- MLA",Algorithms!$A:$A,0)),0)*AA281</f>
        <v>0</v>
      </c>
      <c r="CS281" s="266">
        <f ca="1">IFERROR(INDEX(Algorithms!$G:$G,MATCH($C281&amp;"_Lifetime (years)",Algorithms!$A:$A,0)),0)</f>
        <v>12</v>
      </c>
      <c r="CT281" s="266">
        <f ca="1">IFERROR(INDEX(Algorithms!$G:$G,MATCH($C281&amp;"_Lifetime (years) - Remaining Years",Algorithms!$A:$A,0)),0)</f>
        <v>0</v>
      </c>
      <c r="CU281" s="266">
        <f t="shared" ca="1" si="201"/>
        <v>13248</v>
      </c>
      <c r="CV281" s="266">
        <f t="shared" ca="1" si="202"/>
        <v>13248</v>
      </c>
      <c r="CW281" s="266">
        <f t="shared" ca="1" si="203"/>
        <v>26496</v>
      </c>
      <c r="CX281" s="266">
        <f t="shared" ca="1" si="204"/>
        <v>26496</v>
      </c>
    </row>
    <row r="282" spans="2:102" s="47" customFormat="1" ht="18" customHeight="1" x14ac:dyDescent="0.25">
      <c r="B282" t="str">
        <f t="shared" si="205"/>
        <v>NSG_Business_Commercial Food Service Program_Upstream Rebate_Combination Oven_0_MF/CI/SMB</v>
      </c>
      <c r="C282" s="47" t="str">
        <f t="shared" si="166"/>
        <v>Combination Oven_0_MF/CI/SMB</v>
      </c>
      <c r="D282" s="270" t="s">
        <v>1787</v>
      </c>
      <c r="E282" s="270" t="s">
        <v>3</v>
      </c>
      <c r="F282" s="270" t="s">
        <v>1444</v>
      </c>
      <c r="G282" s="270" t="s">
        <v>1445</v>
      </c>
      <c r="H282" s="270" t="s">
        <v>242</v>
      </c>
      <c r="I282" s="270">
        <v>0</v>
      </c>
      <c r="J282" s="270" t="s">
        <v>662</v>
      </c>
      <c r="K282" s="263">
        <v>1</v>
      </c>
      <c r="L282" s="263" t="str">
        <f ca="1">IFERROR(INDEX(Algorithms!J:J,MATCH($C282&amp;"_Therm Saved per Unit",Algorithms!$A:$A,0)),"n/a")</f>
        <v>4.2.1</v>
      </c>
      <c r="M282" s="263" t="str">
        <f>IFERROR(INDEX('Measure Level Detail'!$N:$N,MATCH($B282,'Measure Level Detail'!$B:$B,0)),0)</f>
        <v>each</v>
      </c>
      <c r="N282" s="271">
        <f>IFERROR(INDEX('Measure Level Detail'!$P:$P,MATCH($B282&amp;"_"&amp;N$3,'Measure Level Detail'!$C:$C,0)),0)</f>
        <v>1</v>
      </c>
      <c r="O282" s="271">
        <f>IFERROR(INDEX('Measure Level Detail'!$P:$P,MATCH($B282&amp;"_"&amp;O$3,'Measure Level Detail'!$C:$C,0)),0)</f>
        <v>2</v>
      </c>
      <c r="P282" s="271">
        <f>IFERROR(INDEX('Measure Level Detail'!$P:$P,MATCH($B282&amp;"_"&amp;P$3,'Measure Level Detail'!$C:$C,0)),0)</f>
        <v>2</v>
      </c>
      <c r="Q282" s="271">
        <f>IFERROR(INDEX('Measure Level Detail'!$P:$P,MATCH($B282&amp;"_"&amp;Q$3,'Measure Level Detail'!$C:$C,0)),0)</f>
        <v>3</v>
      </c>
      <c r="R282" s="263" t="str">
        <f ca="1">IFERROR(INDEX(Algorithms!K:K,MATCH($C282&amp;"_Therm Saved per Unit",Algorithms!$A:$A,0)),"n/a")</f>
        <v>CI-FSE-CBOV-V05-240101</v>
      </c>
      <c r="S282" s="262"/>
      <c r="T282" s="272">
        <v>321.64728051570762</v>
      </c>
      <c r="U282" s="272">
        <v>321.64728051570762</v>
      </c>
      <c r="V282" s="272">
        <v>321.64728051570762</v>
      </c>
      <c r="W282" s="272">
        <v>321.64728051570762</v>
      </c>
      <c r="X282" s="276">
        <v>0.8</v>
      </c>
      <c r="Y282" s="276">
        <v>0.8</v>
      </c>
      <c r="Z282" s="276">
        <v>0.8</v>
      </c>
      <c r="AA282" s="276">
        <v>0.8</v>
      </c>
      <c r="AB282" s="266">
        <f t="shared" si="167"/>
        <v>257.3178244125661</v>
      </c>
      <c r="AC282" s="266">
        <f t="shared" si="168"/>
        <v>514.63564882513219</v>
      </c>
      <c r="AD282" s="266">
        <f t="shared" si="169"/>
        <v>514.63564882513219</v>
      </c>
      <c r="AE282" s="266">
        <f t="shared" si="170"/>
        <v>771.95347323769829</v>
      </c>
      <c r="AF282" s="266">
        <f t="shared" si="171"/>
        <v>2058.5425953005288</v>
      </c>
      <c r="AG282" s="274">
        <v>0.8</v>
      </c>
      <c r="AH282" s="274">
        <v>0.8</v>
      </c>
      <c r="AI282" s="274">
        <v>0.8</v>
      </c>
      <c r="AJ282" s="274">
        <v>0.8</v>
      </c>
      <c r="AK282" s="274">
        <f t="shared" si="172"/>
        <v>0.8</v>
      </c>
      <c r="AL282" s="274">
        <f t="shared" si="173"/>
        <v>0.8</v>
      </c>
      <c r="AM282" s="274">
        <f t="shared" si="174"/>
        <v>0.8</v>
      </c>
      <c r="AN282" s="274">
        <f t="shared" si="175"/>
        <v>0.8</v>
      </c>
      <c r="AO282" s="262"/>
      <c r="AP282" s="262"/>
      <c r="AQ282" s="267">
        <v>321.64728051570762</v>
      </c>
      <c r="AR282" s="262"/>
      <c r="AS282" s="266">
        <f t="shared" si="176"/>
        <v>257.3178244125661</v>
      </c>
      <c r="AT282" s="264">
        <f t="shared" si="177"/>
        <v>0</v>
      </c>
      <c r="AU282" s="262"/>
      <c r="AV282" s="262"/>
      <c r="AW282" s="265">
        <v>5669.7641168958853</v>
      </c>
      <c r="AX282" s="164" t="s">
        <v>2398</v>
      </c>
      <c r="AY282" s="266">
        <v>514.63564882513219</v>
      </c>
      <c r="AZ282" s="266">
        <f t="shared" si="178"/>
        <v>9071.6225870334165</v>
      </c>
      <c r="BA282" s="264">
        <f t="shared" si="179"/>
        <v>8556.9869382082834</v>
      </c>
      <c r="BB282" s="262"/>
      <c r="BC282" s="262"/>
      <c r="BD282" s="265">
        <f ca="1">IFERROR(INDEX(Algorithms!$G:$G,MATCH($C282&amp;"_Therm Saved per Unit",Algorithms!$A:$A,0)),0)</f>
        <v>5669.7641168958853</v>
      </c>
      <c r="BE282" s="164" t="str">
        <f ca="1">IFERROR(INDEX('v12 Revisions'!$P$29:$P$186, MATCH('Measure-Level Adj Gas'!$L282, 'v12 Revisions'!$D$29:$D$186,0)),"")</f>
        <v>n/a - only affects algorithms for electric combination ovens, not natural gas.</v>
      </c>
      <c r="BF282" s="266">
        <f t="shared" ca="1" si="180"/>
        <v>9071.6225870334165</v>
      </c>
      <c r="BG282" s="264">
        <f t="shared" ca="1" si="181"/>
        <v>8556.9869382082834</v>
      </c>
      <c r="BH282" s="262"/>
      <c r="BI282" s="262"/>
      <c r="BJ282" s="265">
        <f ca="1">IFERROR(INDEX(Algorithms!$G:$G,MATCH($C282&amp;"_Therm Saved per Unit",Algorithms!$A:$A,0)),0)</f>
        <v>5669.7641168958853</v>
      </c>
      <c r="BK282" s="164"/>
      <c r="BL282" s="266">
        <f t="shared" ca="1" si="182"/>
        <v>13607.433880550125</v>
      </c>
      <c r="BM282" s="264">
        <f t="shared" ca="1" si="183"/>
        <v>12835.480407312427</v>
      </c>
      <c r="BN282" s="266">
        <f t="shared" si="184"/>
        <v>257.3178244125661</v>
      </c>
      <c r="BO282" s="266">
        <f t="shared" si="185"/>
        <v>9071.6225870334165</v>
      </c>
      <c r="BP282" s="266">
        <f t="shared" ca="1" si="186"/>
        <v>9071.6225870334165</v>
      </c>
      <c r="BQ282" s="266">
        <f t="shared" ca="1" si="187"/>
        <v>13607.433880550125</v>
      </c>
      <c r="BR282" s="268">
        <f t="shared" ca="1" si="188"/>
        <v>32007.996879029524</v>
      </c>
      <c r="BS282" s="262" t="s">
        <v>99</v>
      </c>
      <c r="BT282" s="277"/>
      <c r="BW282" s="266">
        <f t="shared" si="189"/>
        <v>257.3178244125661</v>
      </c>
      <c r="BX282" s="266">
        <f t="shared" si="190"/>
        <v>514.63564882513219</v>
      </c>
      <c r="BY282" s="266">
        <f t="shared" si="191"/>
        <v>514.63564882513219</v>
      </c>
      <c r="BZ282" s="266">
        <f t="shared" si="192"/>
        <v>771.95347323769829</v>
      </c>
      <c r="CA282" s="266">
        <f ca="1">N282*IFERROR(INDEX(Algorithms!$G:$G,MATCH($C282&amp;"_Therm Saved per Unit- MLA",Algorithms!$A:$A,0)),0)*X282</f>
        <v>0</v>
      </c>
      <c r="CB282" s="266">
        <f ca="1">O282*IFERROR(INDEX(Algorithms!$G:$G,MATCH($C282&amp;"_Therm Saved per Unit- MLA",Algorithms!$A:$A,0)),0)*Y282</f>
        <v>0</v>
      </c>
      <c r="CC282" s="266">
        <f ca="1">P282*IFERROR(INDEX(Algorithms!$G:$G,MATCH($C282&amp;"_Therm Saved per Unit- MLA",Algorithms!$A:$A,0)),0)*Z282</f>
        <v>0</v>
      </c>
      <c r="CD282" s="266">
        <f ca="1">Q282*IFERROR(INDEX(Algorithms!$G:$G,MATCH($C282&amp;"_Therm Saved per Unit- MLA",Algorithms!$A:$A,0)),0)*AA282</f>
        <v>0</v>
      </c>
      <c r="CE282" s="266">
        <f ca="1">IFERROR(INDEX(Algorithms!$G:$G,MATCH($C282&amp;"_Lifetime (years)",Algorithms!$A:$A,0)),0)</f>
        <v>12</v>
      </c>
      <c r="CF282" s="266">
        <f ca="1">IFERROR(INDEX(Algorithms!$G:$G,MATCH($C282&amp;"_Lifetime (years) - Remaining Years",Algorithms!$A:$A,0)),0)</f>
        <v>0</v>
      </c>
      <c r="CG282" s="266">
        <f t="shared" ca="1" si="193"/>
        <v>3087.8138929507932</v>
      </c>
      <c r="CH282" s="266">
        <f t="shared" ca="1" si="194"/>
        <v>6175.6277859015863</v>
      </c>
      <c r="CI282" s="266">
        <f t="shared" ca="1" si="195"/>
        <v>6175.6277859015863</v>
      </c>
      <c r="CJ282" s="266">
        <f t="shared" ca="1" si="196"/>
        <v>9263.4416788523795</v>
      </c>
      <c r="CK282" s="266">
        <f t="shared" si="197"/>
        <v>257.3178244125661</v>
      </c>
      <c r="CL282" s="266">
        <f t="shared" si="198"/>
        <v>9071.6225870334165</v>
      </c>
      <c r="CM282" s="266">
        <f t="shared" ca="1" si="199"/>
        <v>9071.6225870334165</v>
      </c>
      <c r="CN282" s="266">
        <f t="shared" ca="1" si="200"/>
        <v>13607.433880550125</v>
      </c>
      <c r="CO282" s="266">
        <f ca="1">N282*IFERROR(INDEX(Algorithms!$G:$G,MATCH($C282&amp;"_Therm Saved per Unit- MLA",Algorithms!$A:$A,0)),0)*X282</f>
        <v>0</v>
      </c>
      <c r="CP282" s="266">
        <f ca="1">O282*IFERROR(INDEX(Algorithms!$G:$G,MATCH($C282&amp;"_Therm Saved per Unit- MLA",Algorithms!$A:$A,0)),0)*Y282</f>
        <v>0</v>
      </c>
      <c r="CQ282" s="266">
        <f ca="1">P282*IFERROR(INDEX(Algorithms!$G:$G,MATCH($C282&amp;"_Therm Saved per Unit- MLA",Algorithms!$A:$A,0)),0)*Z282</f>
        <v>0</v>
      </c>
      <c r="CR282" s="266">
        <f ca="1">Q282*IFERROR(INDEX(Algorithms!$G:$G,MATCH($C282&amp;"_Therm Saved per Unit- MLA",Algorithms!$A:$A,0)),0)*AA282</f>
        <v>0</v>
      </c>
      <c r="CS282" s="266">
        <f ca="1">IFERROR(INDEX(Algorithms!$G:$G,MATCH($C282&amp;"_Lifetime (years)",Algorithms!$A:$A,0)),0)</f>
        <v>12</v>
      </c>
      <c r="CT282" s="266">
        <f ca="1">IFERROR(INDEX(Algorithms!$G:$G,MATCH($C282&amp;"_Lifetime (years) - Remaining Years",Algorithms!$A:$A,0)),0)</f>
        <v>0</v>
      </c>
      <c r="CU282" s="266">
        <f t="shared" ca="1" si="201"/>
        <v>3087.8138929507932</v>
      </c>
      <c r="CV282" s="266">
        <f t="shared" ca="1" si="202"/>
        <v>108859.471044401</v>
      </c>
      <c r="CW282" s="266">
        <f t="shared" ca="1" si="203"/>
        <v>108859.471044401</v>
      </c>
      <c r="CX282" s="266">
        <f t="shared" ca="1" si="204"/>
        <v>163289.2065666015</v>
      </c>
    </row>
    <row r="283" spans="2:102" s="47" customFormat="1" ht="18" customHeight="1" x14ac:dyDescent="0.25">
      <c r="B283" t="str">
        <f t="shared" si="205"/>
        <v>NSG_Business_Commercial Food Service Program_Upstream Rebate_Energy Star Conveyer Oven_0_CI</v>
      </c>
      <c r="C283" s="47" t="str">
        <f t="shared" si="166"/>
        <v>Energy Star Conveyer Oven_0_CI</v>
      </c>
      <c r="D283" s="270" t="s">
        <v>1787</v>
      </c>
      <c r="E283" s="270" t="s">
        <v>3</v>
      </c>
      <c r="F283" s="270" t="s">
        <v>1444</v>
      </c>
      <c r="G283" s="270" t="s">
        <v>1445</v>
      </c>
      <c r="H283" s="270" t="s">
        <v>1164</v>
      </c>
      <c r="I283" s="270">
        <v>0</v>
      </c>
      <c r="J283" s="270" t="s">
        <v>1159</v>
      </c>
      <c r="K283" s="263">
        <v>1</v>
      </c>
      <c r="L283" s="263" t="str">
        <f ca="1">IFERROR(INDEX(Algorithms!J:J,MATCH($C283&amp;"_Therm Saved per Unit",Algorithms!$A:$A,0)),"n/a")</f>
        <v>4.2.4</v>
      </c>
      <c r="M283" s="263" t="str">
        <f>IFERROR(INDEX('Measure Level Detail'!$N:$N,MATCH($B283,'Measure Level Detail'!$B:$B,0)),0)</f>
        <v>each</v>
      </c>
      <c r="N283" s="271">
        <f>IFERROR(INDEX('Measure Level Detail'!$P:$P,MATCH($B283&amp;"_"&amp;N$3,'Measure Level Detail'!$C:$C,0)),0)</f>
        <v>1</v>
      </c>
      <c r="O283" s="271">
        <f>IFERROR(INDEX('Measure Level Detail'!$P:$P,MATCH($B283&amp;"_"&amp;O$3,'Measure Level Detail'!$C:$C,0)),0)</f>
        <v>1</v>
      </c>
      <c r="P283" s="271">
        <f>IFERROR(INDEX('Measure Level Detail'!$P:$P,MATCH($B283&amp;"_"&amp;P$3,'Measure Level Detail'!$C:$C,0)),0)</f>
        <v>1</v>
      </c>
      <c r="Q283" s="271">
        <f>IFERROR(INDEX('Measure Level Detail'!$P:$P,MATCH($B283&amp;"_"&amp;Q$3,'Measure Level Detail'!$C:$C,0)),0)</f>
        <v>2</v>
      </c>
      <c r="R283" s="263" t="str">
        <f ca="1">IFERROR(INDEX(Algorithms!K:K,MATCH($C283&amp;"_Therm Saved per Unit",Algorithms!$A:$A,0)),"n/a")</f>
        <v>CI-FSE-CVOV-V03-240101</v>
      </c>
      <c r="S283" s="262"/>
      <c r="T283" s="272">
        <v>884</v>
      </c>
      <c r="U283" s="272">
        <v>884</v>
      </c>
      <c r="V283" s="272">
        <v>884</v>
      </c>
      <c r="W283" s="272">
        <v>884</v>
      </c>
      <c r="X283" s="276">
        <v>0.8</v>
      </c>
      <c r="Y283" s="276">
        <v>0.8</v>
      </c>
      <c r="Z283" s="276">
        <v>0.8</v>
      </c>
      <c r="AA283" s="276">
        <v>0.8</v>
      </c>
      <c r="AB283" s="266">
        <f t="shared" si="167"/>
        <v>707.2</v>
      </c>
      <c r="AC283" s="266">
        <f t="shared" si="168"/>
        <v>707.2</v>
      </c>
      <c r="AD283" s="266">
        <f t="shared" si="169"/>
        <v>707.2</v>
      </c>
      <c r="AE283" s="266">
        <f t="shared" si="170"/>
        <v>1414.4</v>
      </c>
      <c r="AF283" s="266">
        <f t="shared" si="171"/>
        <v>3536.0000000000005</v>
      </c>
      <c r="AG283" s="274">
        <v>0.8</v>
      </c>
      <c r="AH283" s="274">
        <v>0.8</v>
      </c>
      <c r="AI283" s="274">
        <v>0.8</v>
      </c>
      <c r="AJ283" s="274">
        <v>0.8</v>
      </c>
      <c r="AK283" s="274">
        <f t="shared" si="172"/>
        <v>0.8</v>
      </c>
      <c r="AL283" s="274">
        <f t="shared" si="173"/>
        <v>0.8</v>
      </c>
      <c r="AM283" s="274">
        <f t="shared" si="174"/>
        <v>0.8</v>
      </c>
      <c r="AN283" s="274">
        <f t="shared" si="175"/>
        <v>0.8</v>
      </c>
      <c r="AO283" s="262"/>
      <c r="AP283" s="262"/>
      <c r="AQ283" s="267">
        <v>884</v>
      </c>
      <c r="AR283" s="262"/>
      <c r="AS283" s="266">
        <f t="shared" si="176"/>
        <v>707.2</v>
      </c>
      <c r="AT283" s="264">
        <f t="shared" si="177"/>
        <v>0</v>
      </c>
      <c r="AU283" s="262"/>
      <c r="AV283" s="262"/>
      <c r="AW283" s="265">
        <v>884</v>
      </c>
      <c r="AX283" s="164" t="s">
        <v>1469</v>
      </c>
      <c r="AY283" s="266">
        <v>707.2</v>
      </c>
      <c r="AZ283" s="266">
        <f t="shared" si="178"/>
        <v>707.2</v>
      </c>
      <c r="BA283" s="264">
        <f t="shared" si="179"/>
        <v>0</v>
      </c>
      <c r="BB283" s="262"/>
      <c r="BC283" s="262"/>
      <c r="BD283" s="265">
        <f ca="1">IFERROR(INDEX(Algorithms!$G:$G,MATCH($C283&amp;"_Therm Saved per Unit",Algorithms!$A:$A,0)),0)</f>
        <v>884.85765422077941</v>
      </c>
      <c r="BE283" s="164" t="str">
        <f ca="1">IFERROR(INDEX('v12 Revisions'!$P$29:$P$186, MATCH('Measure-Level Adj Gas'!$L283, 'v12 Revisions'!$D$29:$D$186,0)),"")</f>
        <v>Measure updated from entirely deemed savings to algorithmic approach ; Measure life updated to 12 years and incremental cost updated to $2,230.</v>
      </c>
      <c r="BF283" s="266">
        <f t="shared" ca="1" si="180"/>
        <v>707.88612337662357</v>
      </c>
      <c r="BG283" s="264">
        <f t="shared" ca="1" si="181"/>
        <v>0.68612337662352729</v>
      </c>
      <c r="BH283" s="262"/>
      <c r="BI283" s="262"/>
      <c r="BJ283" s="265">
        <f ca="1">IFERROR(INDEX(Algorithms!$G:$G,MATCH($C283&amp;"_Therm Saved per Unit",Algorithms!$A:$A,0)),0)</f>
        <v>884.85765422077941</v>
      </c>
      <c r="BK283" s="164"/>
      <c r="BL283" s="266">
        <f t="shared" ca="1" si="182"/>
        <v>1415.7722467532471</v>
      </c>
      <c r="BM283" s="264">
        <f t="shared" ca="1" si="183"/>
        <v>1.3722467532470546</v>
      </c>
      <c r="BN283" s="266">
        <f t="shared" si="184"/>
        <v>707.2</v>
      </c>
      <c r="BO283" s="266">
        <f t="shared" si="185"/>
        <v>707.2</v>
      </c>
      <c r="BP283" s="266">
        <f t="shared" ca="1" si="186"/>
        <v>707.88612337662357</v>
      </c>
      <c r="BQ283" s="266">
        <f t="shared" ca="1" si="187"/>
        <v>1415.7722467532471</v>
      </c>
      <c r="BR283" s="268">
        <f t="shared" ca="1" si="188"/>
        <v>3538.0583701298706</v>
      </c>
      <c r="BS283" s="262" t="s">
        <v>99</v>
      </c>
      <c r="BT283" s="277"/>
      <c r="BW283" s="266">
        <f t="shared" si="189"/>
        <v>707.2</v>
      </c>
      <c r="BX283" s="266">
        <f t="shared" si="190"/>
        <v>707.2</v>
      </c>
      <c r="BY283" s="266">
        <f t="shared" si="191"/>
        <v>707.2</v>
      </c>
      <c r="BZ283" s="266">
        <f t="shared" si="192"/>
        <v>1414.4</v>
      </c>
      <c r="CA283" s="266">
        <f ca="1">N283*IFERROR(INDEX(Algorithms!$G:$G,MATCH($C283&amp;"_Therm Saved per Unit- MLA",Algorithms!$A:$A,0)),0)*X283</f>
        <v>0</v>
      </c>
      <c r="CB283" s="266">
        <f ca="1">O283*IFERROR(INDEX(Algorithms!$G:$G,MATCH($C283&amp;"_Therm Saved per Unit- MLA",Algorithms!$A:$A,0)),0)*Y283</f>
        <v>0</v>
      </c>
      <c r="CC283" s="266">
        <f ca="1">P283*IFERROR(INDEX(Algorithms!$G:$G,MATCH($C283&amp;"_Therm Saved per Unit- MLA",Algorithms!$A:$A,0)),0)*Z283</f>
        <v>0</v>
      </c>
      <c r="CD283" s="266">
        <f ca="1">Q283*IFERROR(INDEX(Algorithms!$G:$G,MATCH($C283&amp;"_Therm Saved per Unit- MLA",Algorithms!$A:$A,0)),0)*AA283</f>
        <v>0</v>
      </c>
      <c r="CE283" s="278">
        <f ca="1">IFERROR(INDEX(Algorithms!$G:$G,MATCH($C283&amp;"_Lifetime (years)",Algorithms!$A:$A,0)),0)</f>
        <v>12</v>
      </c>
      <c r="CF283" s="266">
        <f ca="1">IFERROR(INDEX(Algorithms!$G:$G,MATCH($C283&amp;"_Lifetime (years) - Remaining Years",Algorithms!$A:$A,0)),0)</f>
        <v>0</v>
      </c>
      <c r="CG283" s="266">
        <f t="shared" ca="1" si="193"/>
        <v>8486.4000000000015</v>
      </c>
      <c r="CH283" s="266">
        <f t="shared" ca="1" si="194"/>
        <v>8486.4000000000015</v>
      </c>
      <c r="CI283" s="266">
        <f t="shared" ca="1" si="195"/>
        <v>8486.4000000000015</v>
      </c>
      <c r="CJ283" s="266">
        <f t="shared" ca="1" si="196"/>
        <v>16972.800000000003</v>
      </c>
      <c r="CK283" s="266">
        <f t="shared" si="197"/>
        <v>707.2</v>
      </c>
      <c r="CL283" s="266">
        <f t="shared" si="198"/>
        <v>707.2</v>
      </c>
      <c r="CM283" s="266">
        <f t="shared" ca="1" si="199"/>
        <v>707.88612337662357</v>
      </c>
      <c r="CN283" s="266">
        <f t="shared" ca="1" si="200"/>
        <v>1415.7722467532471</v>
      </c>
      <c r="CO283" s="266">
        <f ca="1">N283*IFERROR(INDEX(Algorithms!$G:$G,MATCH($C283&amp;"_Therm Saved per Unit- MLA",Algorithms!$A:$A,0)),0)*X283</f>
        <v>0</v>
      </c>
      <c r="CP283" s="266">
        <f ca="1">O283*IFERROR(INDEX(Algorithms!$G:$G,MATCH($C283&amp;"_Therm Saved per Unit- MLA",Algorithms!$A:$A,0)),0)*Y283</f>
        <v>0</v>
      </c>
      <c r="CQ283" s="266">
        <f ca="1">P283*IFERROR(INDEX(Algorithms!$G:$G,MATCH($C283&amp;"_Therm Saved per Unit- MLA",Algorithms!$A:$A,0)),0)*Z283</f>
        <v>0</v>
      </c>
      <c r="CR283" s="266">
        <f ca="1">Q283*IFERROR(INDEX(Algorithms!$G:$G,MATCH($C283&amp;"_Therm Saved per Unit- MLA",Algorithms!$A:$A,0)),0)*AA283</f>
        <v>0</v>
      </c>
      <c r="CS283" s="266">
        <f ca="1">IFERROR(INDEX(Algorithms!$G:$G,MATCH($C283&amp;"_Lifetime (years)",Algorithms!$A:$A,0)),0)</f>
        <v>12</v>
      </c>
      <c r="CT283" s="266">
        <f ca="1">IFERROR(INDEX(Algorithms!$G:$G,MATCH($C283&amp;"_Lifetime (years) - Remaining Years",Algorithms!$A:$A,0)),0)</f>
        <v>0</v>
      </c>
      <c r="CU283" s="266">
        <f t="shared" ca="1" si="201"/>
        <v>8486.4000000000015</v>
      </c>
      <c r="CV283" s="266">
        <f t="shared" ca="1" si="202"/>
        <v>8486.4000000000015</v>
      </c>
      <c r="CW283" s="266">
        <f t="shared" ca="1" si="203"/>
        <v>8494.633480519482</v>
      </c>
      <c r="CX283" s="266">
        <f t="shared" ca="1" si="204"/>
        <v>16989.266961038964</v>
      </c>
    </row>
    <row r="284" spans="2:102" s="47" customFormat="1" ht="18" customHeight="1" x14ac:dyDescent="0.25">
      <c r="B284" t="str">
        <f t="shared" si="205"/>
        <v>NSG_Business_Commercial Food Service Program_Upstream Rebate_ENERGY STAR Dishwasher_Single Tank Conveyor_CI</v>
      </c>
      <c r="C284" s="47" t="str">
        <f t="shared" si="166"/>
        <v>ENERGY STAR Dishwasher_Single Tank Conveyor_CI</v>
      </c>
      <c r="D284" s="270" t="s">
        <v>1787</v>
      </c>
      <c r="E284" s="270" t="s">
        <v>3</v>
      </c>
      <c r="F284" s="270" t="s">
        <v>1444</v>
      </c>
      <c r="G284" s="270" t="s">
        <v>1445</v>
      </c>
      <c r="H284" s="270" t="s">
        <v>9</v>
      </c>
      <c r="I284" s="270" t="s">
        <v>1337</v>
      </c>
      <c r="J284" s="270" t="s">
        <v>1159</v>
      </c>
      <c r="K284" s="263">
        <v>1</v>
      </c>
      <c r="L284" s="263" t="str">
        <f ca="1">IFERROR(INDEX(Algorithms!J:J,MATCH($C284&amp;"_Therm Saved per Unit",Algorithms!$A:$A,0)),"n/a")</f>
        <v>4.2.6</v>
      </c>
      <c r="M284" s="263" t="str">
        <f>IFERROR(INDEX('Measure Level Detail'!$N:$N,MATCH($B284,'Measure Level Detail'!$B:$B,0)),0)</f>
        <v>each</v>
      </c>
      <c r="N284" s="271">
        <f>IFERROR(INDEX('Measure Level Detail'!$P:$P,MATCH($B284&amp;"_"&amp;N$3,'Measure Level Detail'!$C:$C,0)),0)</f>
        <v>1</v>
      </c>
      <c r="O284" s="271">
        <f>IFERROR(INDEX('Measure Level Detail'!$P:$P,MATCH($B284&amp;"_"&amp;O$3,'Measure Level Detail'!$C:$C,0)),0)</f>
        <v>1</v>
      </c>
      <c r="P284" s="271">
        <f>IFERROR(INDEX('Measure Level Detail'!$P:$P,MATCH($B284&amp;"_"&amp;P$3,'Measure Level Detail'!$C:$C,0)),0)</f>
        <v>2</v>
      </c>
      <c r="Q284" s="271">
        <f>IFERROR(INDEX('Measure Level Detail'!$P:$P,MATCH($B284&amp;"_"&amp;Q$3,'Measure Level Detail'!$C:$C,0)),0)</f>
        <v>2</v>
      </c>
      <c r="R284" s="263" t="str">
        <f ca="1">IFERROR(INDEX(Algorithms!K:K,MATCH($C284&amp;"_Therm Saved per Unit",Algorithms!$A:$A,0)),"n/a")</f>
        <v>CI-FSE-ESDW-V07-240101</v>
      </c>
      <c r="S284" s="262"/>
      <c r="T284" s="272">
        <v>280</v>
      </c>
      <c r="U284" s="272">
        <v>280</v>
      </c>
      <c r="V284" s="272">
        <v>280</v>
      </c>
      <c r="W284" s="272">
        <v>280</v>
      </c>
      <c r="X284" s="276">
        <v>0.8</v>
      </c>
      <c r="Y284" s="276">
        <v>0.8</v>
      </c>
      <c r="Z284" s="276">
        <v>0.8</v>
      </c>
      <c r="AA284" s="276">
        <v>0.8</v>
      </c>
      <c r="AB284" s="266">
        <f t="shared" si="167"/>
        <v>224</v>
      </c>
      <c r="AC284" s="266">
        <f t="shared" si="168"/>
        <v>224</v>
      </c>
      <c r="AD284" s="266">
        <f t="shared" si="169"/>
        <v>448</v>
      </c>
      <c r="AE284" s="266">
        <f t="shared" si="170"/>
        <v>448</v>
      </c>
      <c r="AF284" s="266">
        <f t="shared" si="171"/>
        <v>1344</v>
      </c>
      <c r="AG284" s="274">
        <v>0.8</v>
      </c>
      <c r="AH284" s="274">
        <v>0.8</v>
      </c>
      <c r="AI284" s="274">
        <v>0.8</v>
      </c>
      <c r="AJ284" s="274">
        <v>0.8</v>
      </c>
      <c r="AK284" s="274">
        <f t="shared" si="172"/>
        <v>0.8</v>
      </c>
      <c r="AL284" s="274">
        <f t="shared" si="173"/>
        <v>0.8</v>
      </c>
      <c r="AM284" s="274">
        <f t="shared" si="174"/>
        <v>0.8</v>
      </c>
      <c r="AN284" s="274">
        <f t="shared" si="175"/>
        <v>0.8</v>
      </c>
      <c r="AO284" s="262"/>
      <c r="AP284" s="262"/>
      <c r="AQ284" s="267">
        <v>280</v>
      </c>
      <c r="AR284" s="262"/>
      <c r="AS284" s="266">
        <f t="shared" si="176"/>
        <v>224</v>
      </c>
      <c r="AT284" s="264">
        <f t="shared" si="177"/>
        <v>0</v>
      </c>
      <c r="AU284" s="262"/>
      <c r="AV284" s="262"/>
      <c r="AW284" s="265">
        <v>280</v>
      </c>
      <c r="AX284" s="164" t="s">
        <v>1469</v>
      </c>
      <c r="AY284" s="266">
        <v>224</v>
      </c>
      <c r="AZ284" s="266">
        <f t="shared" si="178"/>
        <v>224</v>
      </c>
      <c r="BA284" s="264">
        <f t="shared" si="179"/>
        <v>0</v>
      </c>
      <c r="BB284" s="262"/>
      <c r="BC284" s="262"/>
      <c r="BD284" s="265">
        <f ca="1">IFERROR(INDEX(Algorithms!$G:$G,MATCH($C284&amp;"_Therm Saved per Unit",Algorithms!$A:$A,0)),0)</f>
        <v>280</v>
      </c>
      <c r="BE284" s="164" t="str">
        <f ca="1">IFERROR(INDEX('v12 Revisions'!$P$29:$P$186, MATCH('Measure-Level Adj Gas'!$L284, 'v12 Revisions'!$D$29:$D$186,0)),"")</f>
        <v>n/a - fuel-switching.</v>
      </c>
      <c r="BF284" s="266">
        <f t="shared" ca="1" si="180"/>
        <v>448</v>
      </c>
      <c r="BG284" s="264">
        <f t="shared" ca="1" si="181"/>
        <v>0</v>
      </c>
      <c r="BH284" s="262"/>
      <c r="BI284" s="262"/>
      <c r="BJ284" s="265">
        <f ca="1">IFERROR(INDEX(Algorithms!$G:$G,MATCH($C284&amp;"_Therm Saved per Unit",Algorithms!$A:$A,0)),0)</f>
        <v>280</v>
      </c>
      <c r="BK284" s="164"/>
      <c r="BL284" s="266">
        <f t="shared" ca="1" si="182"/>
        <v>448</v>
      </c>
      <c r="BM284" s="264">
        <f t="shared" ca="1" si="183"/>
        <v>0</v>
      </c>
      <c r="BN284" s="266">
        <f t="shared" si="184"/>
        <v>224</v>
      </c>
      <c r="BO284" s="266">
        <f t="shared" si="185"/>
        <v>224</v>
      </c>
      <c r="BP284" s="266">
        <f t="shared" ca="1" si="186"/>
        <v>448</v>
      </c>
      <c r="BQ284" s="266">
        <f t="shared" ca="1" si="187"/>
        <v>448</v>
      </c>
      <c r="BR284" s="268">
        <f t="shared" ca="1" si="188"/>
        <v>1344</v>
      </c>
      <c r="BS284" s="262" t="s">
        <v>99</v>
      </c>
      <c r="BT284" s="277"/>
      <c r="BW284" s="266">
        <f t="shared" si="189"/>
        <v>224</v>
      </c>
      <c r="BX284" s="266">
        <f t="shared" si="190"/>
        <v>224</v>
      </c>
      <c r="BY284" s="266">
        <f t="shared" si="191"/>
        <v>448</v>
      </c>
      <c r="BZ284" s="266">
        <f t="shared" si="192"/>
        <v>448</v>
      </c>
      <c r="CA284" s="266">
        <f ca="1">N284*IFERROR(INDEX(Algorithms!$G:$G,MATCH($C284&amp;"_Therm Saved per Unit- MLA",Algorithms!$A:$A,0)),0)*X284</f>
        <v>0</v>
      </c>
      <c r="CB284" s="266">
        <f ca="1">O284*IFERROR(INDEX(Algorithms!$G:$G,MATCH($C284&amp;"_Therm Saved per Unit- MLA",Algorithms!$A:$A,0)),0)*Y284</f>
        <v>0</v>
      </c>
      <c r="CC284" s="266">
        <f ca="1">P284*IFERROR(INDEX(Algorithms!$G:$G,MATCH($C284&amp;"_Therm Saved per Unit- MLA",Algorithms!$A:$A,0)),0)*Z284</f>
        <v>0</v>
      </c>
      <c r="CD284" s="266">
        <f ca="1">Q284*IFERROR(INDEX(Algorithms!$G:$G,MATCH($C284&amp;"_Therm Saved per Unit- MLA",Algorithms!$A:$A,0)),0)*AA284</f>
        <v>0</v>
      </c>
      <c r="CE284" s="266">
        <f ca="1">IFERROR(INDEX(Algorithms!$G:$G,MATCH($C284&amp;"_Lifetime (years)",Algorithms!$A:$A,0)),0)</f>
        <v>20</v>
      </c>
      <c r="CF284" s="266">
        <f ca="1">IFERROR(INDEX(Algorithms!$G:$G,MATCH($C284&amp;"_Lifetime (years) - Remaining Years",Algorithms!$A:$A,0)),0)</f>
        <v>0</v>
      </c>
      <c r="CG284" s="266">
        <f t="shared" ca="1" si="193"/>
        <v>4480</v>
      </c>
      <c r="CH284" s="266">
        <f t="shared" ca="1" si="194"/>
        <v>4480</v>
      </c>
      <c r="CI284" s="266">
        <f t="shared" ca="1" si="195"/>
        <v>8960</v>
      </c>
      <c r="CJ284" s="266">
        <f t="shared" ca="1" si="196"/>
        <v>8960</v>
      </c>
      <c r="CK284" s="266">
        <f t="shared" si="197"/>
        <v>224</v>
      </c>
      <c r="CL284" s="266">
        <f t="shared" si="198"/>
        <v>224</v>
      </c>
      <c r="CM284" s="266">
        <f t="shared" ca="1" si="199"/>
        <v>448</v>
      </c>
      <c r="CN284" s="266">
        <f t="shared" ca="1" si="200"/>
        <v>448</v>
      </c>
      <c r="CO284" s="266">
        <f ca="1">N284*IFERROR(INDEX(Algorithms!$G:$G,MATCH($C284&amp;"_Therm Saved per Unit- MLA",Algorithms!$A:$A,0)),0)*X284</f>
        <v>0</v>
      </c>
      <c r="CP284" s="266">
        <f ca="1">O284*IFERROR(INDEX(Algorithms!$G:$G,MATCH($C284&amp;"_Therm Saved per Unit- MLA",Algorithms!$A:$A,0)),0)*Y284</f>
        <v>0</v>
      </c>
      <c r="CQ284" s="266">
        <f ca="1">P284*IFERROR(INDEX(Algorithms!$G:$G,MATCH($C284&amp;"_Therm Saved per Unit- MLA",Algorithms!$A:$A,0)),0)*Z284</f>
        <v>0</v>
      </c>
      <c r="CR284" s="266">
        <f ca="1">Q284*IFERROR(INDEX(Algorithms!$G:$G,MATCH($C284&amp;"_Therm Saved per Unit- MLA",Algorithms!$A:$A,0)),0)*AA284</f>
        <v>0</v>
      </c>
      <c r="CS284" s="266">
        <f ca="1">IFERROR(INDEX(Algorithms!$G:$G,MATCH($C284&amp;"_Lifetime (years)",Algorithms!$A:$A,0)),0)</f>
        <v>20</v>
      </c>
      <c r="CT284" s="266">
        <f ca="1">IFERROR(INDEX(Algorithms!$G:$G,MATCH($C284&amp;"_Lifetime (years) - Remaining Years",Algorithms!$A:$A,0)),0)</f>
        <v>0</v>
      </c>
      <c r="CU284" s="266">
        <f t="shared" ca="1" si="201"/>
        <v>4480</v>
      </c>
      <c r="CV284" s="266">
        <f t="shared" ca="1" si="202"/>
        <v>4480</v>
      </c>
      <c r="CW284" s="266">
        <f t="shared" ca="1" si="203"/>
        <v>8960</v>
      </c>
      <c r="CX284" s="266">
        <f t="shared" ca="1" si="204"/>
        <v>8960</v>
      </c>
    </row>
    <row r="285" spans="2:102" s="47" customFormat="1" ht="18" customHeight="1" x14ac:dyDescent="0.25">
      <c r="B285" t="str">
        <f t="shared" si="205"/>
        <v>NSG_Business_Commercial Food Service Program_Upstream Rebate_ENERGY STAR Dishwasher_Multi Tank Conveyor_CI</v>
      </c>
      <c r="C285" s="47" t="str">
        <f t="shared" si="166"/>
        <v>ENERGY STAR Dishwasher_Multi Tank Conveyor_CI</v>
      </c>
      <c r="D285" s="270" t="s">
        <v>1787</v>
      </c>
      <c r="E285" s="270" t="s">
        <v>3</v>
      </c>
      <c r="F285" s="270" t="s">
        <v>1444</v>
      </c>
      <c r="G285" s="270" t="s">
        <v>1445</v>
      </c>
      <c r="H285" s="270" t="s">
        <v>9</v>
      </c>
      <c r="I285" s="270" t="s">
        <v>1343</v>
      </c>
      <c r="J285" s="270" t="s">
        <v>1159</v>
      </c>
      <c r="K285" s="263">
        <v>1</v>
      </c>
      <c r="L285" s="263" t="str">
        <f ca="1">IFERROR(INDEX(Algorithms!J:J,MATCH($C285&amp;"_Therm Saved per Unit",Algorithms!$A:$A,0)),"n/a")</f>
        <v>4.2.6</v>
      </c>
      <c r="M285" s="263" t="str">
        <f>IFERROR(INDEX('Measure Level Detail'!$N:$N,MATCH($B285,'Measure Level Detail'!$B:$B,0)),0)</f>
        <v>each</v>
      </c>
      <c r="N285" s="271">
        <f>IFERROR(INDEX('Measure Level Detail'!$P:$P,MATCH($B285&amp;"_"&amp;N$3,'Measure Level Detail'!$C:$C,0)),0)</f>
        <v>1</v>
      </c>
      <c r="O285" s="271">
        <f>IFERROR(INDEX('Measure Level Detail'!$P:$P,MATCH($B285&amp;"_"&amp;O$3,'Measure Level Detail'!$C:$C,0)),0)</f>
        <v>1</v>
      </c>
      <c r="P285" s="271">
        <f>IFERROR(INDEX('Measure Level Detail'!$P:$P,MATCH($B285&amp;"_"&amp;P$3,'Measure Level Detail'!$C:$C,0)),0)</f>
        <v>2</v>
      </c>
      <c r="Q285" s="271">
        <f>IFERROR(INDEX('Measure Level Detail'!$P:$P,MATCH($B285&amp;"_"&amp;Q$3,'Measure Level Detail'!$C:$C,0)),0)</f>
        <v>2</v>
      </c>
      <c r="R285" s="263" t="str">
        <f ca="1">IFERROR(INDEX(Algorithms!K:K,MATCH($C285&amp;"_Therm Saved per Unit",Algorithms!$A:$A,0)),"n/a")</f>
        <v>CI-FSE-ESDW-V07-240101</v>
      </c>
      <c r="S285" s="262"/>
      <c r="T285" s="272">
        <v>1064</v>
      </c>
      <c r="U285" s="272">
        <v>1064</v>
      </c>
      <c r="V285" s="272">
        <v>1064</v>
      </c>
      <c r="W285" s="272">
        <v>1064</v>
      </c>
      <c r="X285" s="276">
        <v>0.8</v>
      </c>
      <c r="Y285" s="276">
        <v>0.8</v>
      </c>
      <c r="Z285" s="276">
        <v>0.8</v>
      </c>
      <c r="AA285" s="276">
        <v>0.8</v>
      </c>
      <c r="AB285" s="266">
        <f t="shared" si="167"/>
        <v>851.2</v>
      </c>
      <c r="AC285" s="266">
        <f t="shared" si="168"/>
        <v>851.2</v>
      </c>
      <c r="AD285" s="266">
        <f t="shared" si="169"/>
        <v>1702.4</v>
      </c>
      <c r="AE285" s="266">
        <f t="shared" si="170"/>
        <v>1702.4</v>
      </c>
      <c r="AF285" s="266">
        <f t="shared" si="171"/>
        <v>5107.2000000000007</v>
      </c>
      <c r="AG285" s="274">
        <v>0.8</v>
      </c>
      <c r="AH285" s="274">
        <v>0.8</v>
      </c>
      <c r="AI285" s="274">
        <v>0.8</v>
      </c>
      <c r="AJ285" s="274">
        <v>0.8</v>
      </c>
      <c r="AK285" s="274">
        <f t="shared" si="172"/>
        <v>0.8</v>
      </c>
      <c r="AL285" s="274">
        <f t="shared" si="173"/>
        <v>0.8</v>
      </c>
      <c r="AM285" s="274">
        <f t="shared" si="174"/>
        <v>0.8</v>
      </c>
      <c r="AN285" s="274">
        <f t="shared" si="175"/>
        <v>0.8</v>
      </c>
      <c r="AO285" s="262"/>
      <c r="AP285" s="262"/>
      <c r="AQ285" s="267">
        <v>1064</v>
      </c>
      <c r="AR285" s="262"/>
      <c r="AS285" s="266">
        <f t="shared" si="176"/>
        <v>851.2</v>
      </c>
      <c r="AT285" s="264">
        <f t="shared" si="177"/>
        <v>0</v>
      </c>
      <c r="AU285" s="262"/>
      <c r="AV285" s="262"/>
      <c r="AW285" s="265">
        <v>1064</v>
      </c>
      <c r="AX285" s="164" t="s">
        <v>1469</v>
      </c>
      <c r="AY285" s="266">
        <v>851.2</v>
      </c>
      <c r="AZ285" s="266">
        <f t="shared" si="178"/>
        <v>851.2</v>
      </c>
      <c r="BA285" s="264">
        <f t="shared" si="179"/>
        <v>0</v>
      </c>
      <c r="BB285" s="262"/>
      <c r="BC285" s="262"/>
      <c r="BD285" s="265">
        <f ca="1">IFERROR(INDEX(Algorithms!$G:$G,MATCH($C285&amp;"_Therm Saved per Unit",Algorithms!$A:$A,0)),0)</f>
        <v>1064</v>
      </c>
      <c r="BE285" s="164" t="str">
        <f ca="1">IFERROR(INDEX('v12 Revisions'!$P$29:$P$186, MATCH('Measure-Level Adj Gas'!$L285, 'v12 Revisions'!$D$29:$D$186,0)),"")</f>
        <v>n/a - fuel-switching.</v>
      </c>
      <c r="BF285" s="266">
        <f t="shared" ca="1" si="180"/>
        <v>1702.4</v>
      </c>
      <c r="BG285" s="264">
        <f t="shared" ca="1" si="181"/>
        <v>0</v>
      </c>
      <c r="BH285" s="262"/>
      <c r="BI285" s="262"/>
      <c r="BJ285" s="265">
        <f ca="1">IFERROR(INDEX(Algorithms!$G:$G,MATCH($C285&amp;"_Therm Saved per Unit",Algorithms!$A:$A,0)),0)</f>
        <v>1064</v>
      </c>
      <c r="BK285" s="164"/>
      <c r="BL285" s="266">
        <f t="shared" ca="1" si="182"/>
        <v>1702.4</v>
      </c>
      <c r="BM285" s="264">
        <f t="shared" ca="1" si="183"/>
        <v>0</v>
      </c>
      <c r="BN285" s="266">
        <f t="shared" si="184"/>
        <v>851.2</v>
      </c>
      <c r="BO285" s="266">
        <f t="shared" si="185"/>
        <v>851.2</v>
      </c>
      <c r="BP285" s="266">
        <f t="shared" ca="1" si="186"/>
        <v>1702.4</v>
      </c>
      <c r="BQ285" s="266">
        <f t="shared" ca="1" si="187"/>
        <v>1702.4</v>
      </c>
      <c r="BR285" s="268">
        <f t="shared" ca="1" si="188"/>
        <v>5107.2000000000007</v>
      </c>
      <c r="BS285" s="262" t="s">
        <v>99</v>
      </c>
      <c r="BT285" s="277"/>
      <c r="BW285" s="266">
        <f t="shared" si="189"/>
        <v>851.2</v>
      </c>
      <c r="BX285" s="266">
        <f t="shared" si="190"/>
        <v>851.2</v>
      </c>
      <c r="BY285" s="266">
        <f t="shared" si="191"/>
        <v>1702.4</v>
      </c>
      <c r="BZ285" s="266">
        <f t="shared" si="192"/>
        <v>1702.4</v>
      </c>
      <c r="CA285" s="266">
        <f ca="1">N285*IFERROR(INDEX(Algorithms!$G:$G,MATCH($C285&amp;"_Therm Saved per Unit- MLA",Algorithms!$A:$A,0)),0)*X285</f>
        <v>0</v>
      </c>
      <c r="CB285" s="266">
        <f ca="1">O285*IFERROR(INDEX(Algorithms!$G:$G,MATCH($C285&amp;"_Therm Saved per Unit- MLA",Algorithms!$A:$A,0)),0)*Y285</f>
        <v>0</v>
      </c>
      <c r="CC285" s="266">
        <f ca="1">P285*IFERROR(INDEX(Algorithms!$G:$G,MATCH($C285&amp;"_Therm Saved per Unit- MLA",Algorithms!$A:$A,0)),0)*Z285</f>
        <v>0</v>
      </c>
      <c r="CD285" s="266">
        <f ca="1">Q285*IFERROR(INDEX(Algorithms!$G:$G,MATCH($C285&amp;"_Therm Saved per Unit- MLA",Algorithms!$A:$A,0)),0)*AA285</f>
        <v>0</v>
      </c>
      <c r="CE285" s="266">
        <f ca="1">IFERROR(INDEX(Algorithms!$G:$G,MATCH($C285&amp;"_Lifetime (years)",Algorithms!$A:$A,0)),0)</f>
        <v>20</v>
      </c>
      <c r="CF285" s="266">
        <f ca="1">IFERROR(INDEX(Algorithms!$G:$G,MATCH($C285&amp;"_Lifetime (years) - Remaining Years",Algorithms!$A:$A,0)),0)</f>
        <v>0</v>
      </c>
      <c r="CG285" s="266">
        <f t="shared" ca="1" si="193"/>
        <v>17024</v>
      </c>
      <c r="CH285" s="266">
        <f t="shared" ca="1" si="194"/>
        <v>17024</v>
      </c>
      <c r="CI285" s="266">
        <f t="shared" ca="1" si="195"/>
        <v>34048</v>
      </c>
      <c r="CJ285" s="266">
        <f t="shared" ca="1" si="196"/>
        <v>34048</v>
      </c>
      <c r="CK285" s="266">
        <f t="shared" si="197"/>
        <v>851.2</v>
      </c>
      <c r="CL285" s="266">
        <f t="shared" si="198"/>
        <v>851.2</v>
      </c>
      <c r="CM285" s="266">
        <f t="shared" ca="1" si="199"/>
        <v>1702.4</v>
      </c>
      <c r="CN285" s="266">
        <f t="shared" ca="1" si="200"/>
        <v>1702.4</v>
      </c>
      <c r="CO285" s="266">
        <f ca="1">N285*IFERROR(INDEX(Algorithms!$G:$G,MATCH($C285&amp;"_Therm Saved per Unit- MLA",Algorithms!$A:$A,0)),0)*X285</f>
        <v>0</v>
      </c>
      <c r="CP285" s="266">
        <f ca="1">O285*IFERROR(INDEX(Algorithms!$G:$G,MATCH($C285&amp;"_Therm Saved per Unit- MLA",Algorithms!$A:$A,0)),0)*Y285</f>
        <v>0</v>
      </c>
      <c r="CQ285" s="266">
        <f ca="1">P285*IFERROR(INDEX(Algorithms!$G:$G,MATCH($C285&amp;"_Therm Saved per Unit- MLA",Algorithms!$A:$A,0)),0)*Z285</f>
        <v>0</v>
      </c>
      <c r="CR285" s="266">
        <f ca="1">Q285*IFERROR(INDEX(Algorithms!$G:$G,MATCH($C285&amp;"_Therm Saved per Unit- MLA",Algorithms!$A:$A,0)),0)*AA285</f>
        <v>0</v>
      </c>
      <c r="CS285" s="266">
        <f ca="1">IFERROR(INDEX(Algorithms!$G:$G,MATCH($C285&amp;"_Lifetime (years)",Algorithms!$A:$A,0)),0)</f>
        <v>20</v>
      </c>
      <c r="CT285" s="266">
        <f ca="1">IFERROR(INDEX(Algorithms!$G:$G,MATCH($C285&amp;"_Lifetime (years) - Remaining Years",Algorithms!$A:$A,0)),0)</f>
        <v>0</v>
      </c>
      <c r="CU285" s="266">
        <f t="shared" ca="1" si="201"/>
        <v>17024</v>
      </c>
      <c r="CV285" s="266">
        <f t="shared" ca="1" si="202"/>
        <v>17024</v>
      </c>
      <c r="CW285" s="266">
        <f t="shared" ca="1" si="203"/>
        <v>34048</v>
      </c>
      <c r="CX285" s="266">
        <f t="shared" ca="1" si="204"/>
        <v>34048</v>
      </c>
    </row>
    <row r="286" spans="2:102" s="47" customFormat="1" ht="18" customHeight="1" x14ac:dyDescent="0.25">
      <c r="B286" t="str">
        <f t="shared" si="205"/>
        <v>NSG_Business_Commercial Food Service Program_Upstream Rebate_ENERGY STAR Dishwasher_Stationary Single Tank_CI</v>
      </c>
      <c r="C286" s="47" t="str">
        <f t="shared" si="166"/>
        <v>ENERGY STAR Dishwasher_Stationary Single Tank_CI</v>
      </c>
      <c r="D286" s="270" t="s">
        <v>1787</v>
      </c>
      <c r="E286" s="270" t="s">
        <v>3</v>
      </c>
      <c r="F286" s="270" t="s">
        <v>1444</v>
      </c>
      <c r="G286" s="270" t="s">
        <v>1445</v>
      </c>
      <c r="H286" s="270" t="s">
        <v>9</v>
      </c>
      <c r="I286" s="270" t="s">
        <v>1340</v>
      </c>
      <c r="J286" s="270" t="s">
        <v>1159</v>
      </c>
      <c r="K286" s="263">
        <v>1</v>
      </c>
      <c r="L286" s="263" t="str">
        <f ca="1">IFERROR(INDEX(Algorithms!J:J,MATCH($C286&amp;"_Therm Saved per Unit",Algorithms!$A:$A,0)),"n/a")</f>
        <v>4.2.6</v>
      </c>
      <c r="M286" s="263" t="str">
        <f>IFERROR(INDEX('Measure Level Detail'!$N:$N,MATCH($B286,'Measure Level Detail'!$B:$B,0)),0)</f>
        <v>each</v>
      </c>
      <c r="N286" s="271">
        <f>IFERROR(INDEX('Measure Level Detail'!$P:$P,MATCH($B286&amp;"_"&amp;N$3,'Measure Level Detail'!$C:$C,0)),0)</f>
        <v>1</v>
      </c>
      <c r="O286" s="271">
        <f>IFERROR(INDEX('Measure Level Detail'!$P:$P,MATCH($B286&amp;"_"&amp;O$3,'Measure Level Detail'!$C:$C,0)),0)</f>
        <v>1</v>
      </c>
      <c r="P286" s="271">
        <f>IFERROR(INDEX('Measure Level Detail'!$P:$P,MATCH($B286&amp;"_"&amp;P$3,'Measure Level Detail'!$C:$C,0)),0)</f>
        <v>2</v>
      </c>
      <c r="Q286" s="271">
        <f>IFERROR(INDEX('Measure Level Detail'!$P:$P,MATCH($B286&amp;"_"&amp;Q$3,'Measure Level Detail'!$C:$C,0)),0)</f>
        <v>2</v>
      </c>
      <c r="R286" s="263" t="str">
        <f ca="1">IFERROR(INDEX(Algorithms!K:K,MATCH($C286&amp;"_Therm Saved per Unit",Algorithms!$A:$A,0)),"n/a")</f>
        <v>CI-FSE-ESDW-V07-240101</v>
      </c>
      <c r="S286" s="262"/>
      <c r="T286" s="272">
        <v>462</v>
      </c>
      <c r="U286" s="272">
        <v>462</v>
      </c>
      <c r="V286" s="272">
        <v>462</v>
      </c>
      <c r="W286" s="272">
        <v>462</v>
      </c>
      <c r="X286" s="276">
        <v>0.8</v>
      </c>
      <c r="Y286" s="276">
        <v>0.8</v>
      </c>
      <c r="Z286" s="276">
        <v>0.8</v>
      </c>
      <c r="AA286" s="276">
        <v>0.8</v>
      </c>
      <c r="AB286" s="266">
        <f t="shared" si="167"/>
        <v>369.6</v>
      </c>
      <c r="AC286" s="266">
        <f t="shared" si="168"/>
        <v>369.6</v>
      </c>
      <c r="AD286" s="266">
        <f t="shared" si="169"/>
        <v>739.2</v>
      </c>
      <c r="AE286" s="266">
        <f t="shared" si="170"/>
        <v>739.2</v>
      </c>
      <c r="AF286" s="266">
        <f t="shared" si="171"/>
        <v>2217.6000000000004</v>
      </c>
      <c r="AG286" s="274">
        <v>0.8</v>
      </c>
      <c r="AH286" s="274">
        <v>0.8</v>
      </c>
      <c r="AI286" s="274">
        <v>0.8</v>
      </c>
      <c r="AJ286" s="274">
        <v>0.8</v>
      </c>
      <c r="AK286" s="274">
        <f t="shared" si="172"/>
        <v>0.8</v>
      </c>
      <c r="AL286" s="274">
        <f t="shared" si="173"/>
        <v>0.8</v>
      </c>
      <c r="AM286" s="274">
        <f t="shared" si="174"/>
        <v>0.8</v>
      </c>
      <c r="AN286" s="274">
        <f t="shared" si="175"/>
        <v>0.8</v>
      </c>
      <c r="AO286" s="262"/>
      <c r="AP286" s="262"/>
      <c r="AQ286" s="267">
        <v>462</v>
      </c>
      <c r="AR286" s="262"/>
      <c r="AS286" s="266">
        <f t="shared" si="176"/>
        <v>369.6</v>
      </c>
      <c r="AT286" s="264">
        <f t="shared" si="177"/>
        <v>0</v>
      </c>
      <c r="AU286" s="262"/>
      <c r="AV286" s="262"/>
      <c r="AW286" s="265">
        <v>462</v>
      </c>
      <c r="AX286" s="164" t="s">
        <v>1469</v>
      </c>
      <c r="AY286" s="266">
        <v>369.6</v>
      </c>
      <c r="AZ286" s="266">
        <f t="shared" si="178"/>
        <v>369.6</v>
      </c>
      <c r="BA286" s="264">
        <f t="shared" si="179"/>
        <v>0</v>
      </c>
      <c r="BB286" s="262"/>
      <c r="BC286" s="262"/>
      <c r="BD286" s="265">
        <f ca="1">IFERROR(INDEX(Algorithms!$G:$G,MATCH($C286&amp;"_Therm Saved per Unit",Algorithms!$A:$A,0)),0)</f>
        <v>462</v>
      </c>
      <c r="BE286" s="164" t="str">
        <f ca="1">IFERROR(INDEX('v12 Revisions'!$P$29:$P$186, MATCH('Measure-Level Adj Gas'!$L286, 'v12 Revisions'!$D$29:$D$186,0)),"")</f>
        <v>n/a - fuel-switching.</v>
      </c>
      <c r="BF286" s="266">
        <f t="shared" ca="1" si="180"/>
        <v>739.2</v>
      </c>
      <c r="BG286" s="264">
        <f t="shared" ca="1" si="181"/>
        <v>0</v>
      </c>
      <c r="BH286" s="262"/>
      <c r="BI286" s="262"/>
      <c r="BJ286" s="265">
        <f ca="1">IFERROR(INDEX(Algorithms!$G:$G,MATCH($C286&amp;"_Therm Saved per Unit",Algorithms!$A:$A,0)),0)</f>
        <v>462</v>
      </c>
      <c r="BK286" s="164"/>
      <c r="BL286" s="266">
        <f t="shared" ca="1" si="182"/>
        <v>739.2</v>
      </c>
      <c r="BM286" s="264">
        <f t="shared" ca="1" si="183"/>
        <v>0</v>
      </c>
      <c r="BN286" s="266">
        <f t="shared" si="184"/>
        <v>369.6</v>
      </c>
      <c r="BO286" s="266">
        <f t="shared" si="185"/>
        <v>369.6</v>
      </c>
      <c r="BP286" s="266">
        <f t="shared" ca="1" si="186"/>
        <v>739.2</v>
      </c>
      <c r="BQ286" s="266">
        <f t="shared" ca="1" si="187"/>
        <v>739.2</v>
      </c>
      <c r="BR286" s="268">
        <f t="shared" ca="1" si="188"/>
        <v>2217.6000000000004</v>
      </c>
      <c r="BS286" s="262" t="s">
        <v>99</v>
      </c>
      <c r="BT286" s="277"/>
      <c r="BW286" s="266">
        <f t="shared" si="189"/>
        <v>369.6</v>
      </c>
      <c r="BX286" s="266">
        <f t="shared" si="190"/>
        <v>369.6</v>
      </c>
      <c r="BY286" s="266">
        <f t="shared" si="191"/>
        <v>739.2</v>
      </c>
      <c r="BZ286" s="266">
        <f t="shared" si="192"/>
        <v>739.2</v>
      </c>
      <c r="CA286" s="266">
        <f ca="1">N286*IFERROR(INDEX(Algorithms!$G:$G,MATCH($C286&amp;"_Therm Saved per Unit- MLA",Algorithms!$A:$A,0)),0)*X286</f>
        <v>0</v>
      </c>
      <c r="CB286" s="266">
        <f ca="1">O286*IFERROR(INDEX(Algorithms!$G:$G,MATCH($C286&amp;"_Therm Saved per Unit- MLA",Algorithms!$A:$A,0)),0)*Y286</f>
        <v>0</v>
      </c>
      <c r="CC286" s="266">
        <f ca="1">P286*IFERROR(INDEX(Algorithms!$G:$G,MATCH($C286&amp;"_Therm Saved per Unit- MLA",Algorithms!$A:$A,0)),0)*Z286</f>
        <v>0</v>
      </c>
      <c r="CD286" s="266">
        <f ca="1">Q286*IFERROR(INDEX(Algorithms!$G:$G,MATCH($C286&amp;"_Therm Saved per Unit- MLA",Algorithms!$A:$A,0)),0)*AA286</f>
        <v>0</v>
      </c>
      <c r="CE286" s="266">
        <f ca="1">IFERROR(INDEX(Algorithms!$G:$G,MATCH($C286&amp;"_Lifetime (years)",Algorithms!$A:$A,0)),0)</f>
        <v>15</v>
      </c>
      <c r="CF286" s="266">
        <f ca="1">IFERROR(INDEX(Algorithms!$G:$G,MATCH($C286&amp;"_Lifetime (years) - Remaining Years",Algorithms!$A:$A,0)),0)</f>
        <v>0</v>
      </c>
      <c r="CG286" s="266">
        <f t="shared" ca="1" si="193"/>
        <v>5544</v>
      </c>
      <c r="CH286" s="266">
        <f t="shared" ca="1" si="194"/>
        <v>5544</v>
      </c>
      <c r="CI286" s="266">
        <f t="shared" ca="1" si="195"/>
        <v>11088</v>
      </c>
      <c r="CJ286" s="266">
        <f t="shared" ca="1" si="196"/>
        <v>11088</v>
      </c>
      <c r="CK286" s="266">
        <f t="shared" si="197"/>
        <v>369.6</v>
      </c>
      <c r="CL286" s="266">
        <f t="shared" si="198"/>
        <v>369.6</v>
      </c>
      <c r="CM286" s="266">
        <f t="shared" ca="1" si="199"/>
        <v>739.2</v>
      </c>
      <c r="CN286" s="266">
        <f t="shared" ca="1" si="200"/>
        <v>739.2</v>
      </c>
      <c r="CO286" s="266">
        <f ca="1">N286*IFERROR(INDEX(Algorithms!$G:$G,MATCH($C286&amp;"_Therm Saved per Unit- MLA",Algorithms!$A:$A,0)),0)*X286</f>
        <v>0</v>
      </c>
      <c r="CP286" s="266">
        <f ca="1">O286*IFERROR(INDEX(Algorithms!$G:$G,MATCH($C286&amp;"_Therm Saved per Unit- MLA",Algorithms!$A:$A,0)),0)*Y286</f>
        <v>0</v>
      </c>
      <c r="CQ286" s="266">
        <f ca="1">P286*IFERROR(INDEX(Algorithms!$G:$G,MATCH($C286&amp;"_Therm Saved per Unit- MLA",Algorithms!$A:$A,0)),0)*Z286</f>
        <v>0</v>
      </c>
      <c r="CR286" s="266">
        <f ca="1">Q286*IFERROR(INDEX(Algorithms!$G:$G,MATCH($C286&amp;"_Therm Saved per Unit- MLA",Algorithms!$A:$A,0)),0)*AA286</f>
        <v>0</v>
      </c>
      <c r="CS286" s="266">
        <f ca="1">IFERROR(INDEX(Algorithms!$G:$G,MATCH($C286&amp;"_Lifetime (years)",Algorithms!$A:$A,0)),0)</f>
        <v>15</v>
      </c>
      <c r="CT286" s="266">
        <f ca="1">IFERROR(INDEX(Algorithms!$G:$G,MATCH($C286&amp;"_Lifetime (years) - Remaining Years",Algorithms!$A:$A,0)),0)</f>
        <v>0</v>
      </c>
      <c r="CU286" s="266">
        <f t="shared" ca="1" si="201"/>
        <v>5544</v>
      </c>
      <c r="CV286" s="266">
        <f t="shared" ca="1" si="202"/>
        <v>5544</v>
      </c>
      <c r="CW286" s="266">
        <f t="shared" ca="1" si="203"/>
        <v>11088</v>
      </c>
      <c r="CX286" s="266">
        <f t="shared" ca="1" si="204"/>
        <v>11088</v>
      </c>
    </row>
    <row r="287" spans="2:102" s="47" customFormat="1" ht="18" customHeight="1" x14ac:dyDescent="0.25">
      <c r="B287" t="str">
        <f t="shared" si="205"/>
        <v>NSG_Business_Commercial Food Service Program_Upstream Rebate_ENERGY STAR Dishwasher_0_MF/CI/SMB</v>
      </c>
      <c r="C287" s="47" t="str">
        <f t="shared" si="166"/>
        <v>ENERGY STAR Dishwasher_0_MF/CI/SMB</v>
      </c>
      <c r="D287" s="270" t="s">
        <v>1787</v>
      </c>
      <c r="E287" s="270" t="s">
        <v>3</v>
      </c>
      <c r="F287" s="270" t="s">
        <v>1444</v>
      </c>
      <c r="G287" s="270" t="s">
        <v>1445</v>
      </c>
      <c r="H287" s="270" t="s">
        <v>9</v>
      </c>
      <c r="I287" s="270">
        <v>0</v>
      </c>
      <c r="J287" s="270" t="s">
        <v>662</v>
      </c>
      <c r="K287" s="263">
        <v>1</v>
      </c>
      <c r="L287" s="263" t="str">
        <f ca="1">IFERROR(INDEX(Algorithms!J:J,MATCH($C287&amp;"_Therm Saved per Unit",Algorithms!$A:$A,0)),"n/a")</f>
        <v>4.2.6</v>
      </c>
      <c r="M287" s="263" t="str">
        <f>IFERROR(INDEX('Measure Level Detail'!$N:$N,MATCH($B287,'Measure Level Detail'!$B:$B,0)),0)</f>
        <v>each</v>
      </c>
      <c r="N287" s="271">
        <f>IFERROR(INDEX('Measure Level Detail'!$P:$P,MATCH($B287&amp;"_"&amp;N$3,'Measure Level Detail'!$C:$C,0)),0)</f>
        <v>1</v>
      </c>
      <c r="O287" s="271">
        <f>IFERROR(INDEX('Measure Level Detail'!$P:$P,MATCH($B287&amp;"_"&amp;O$3,'Measure Level Detail'!$C:$C,0)),0)</f>
        <v>1</v>
      </c>
      <c r="P287" s="271">
        <f>IFERROR(INDEX('Measure Level Detail'!$P:$P,MATCH($B287&amp;"_"&amp;P$3,'Measure Level Detail'!$C:$C,0)),0)</f>
        <v>2</v>
      </c>
      <c r="Q287" s="271">
        <f>IFERROR(INDEX('Measure Level Detail'!$P:$P,MATCH($B287&amp;"_"&amp;Q$3,'Measure Level Detail'!$C:$C,0)),0)</f>
        <v>2</v>
      </c>
      <c r="R287" s="263" t="str">
        <f ca="1">IFERROR(INDEX(Algorithms!K:K,MATCH($C287&amp;"_Therm Saved per Unit",Algorithms!$A:$A,0)),"n/a")</f>
        <v>CI-FSE-ESDW-V07-240101</v>
      </c>
      <c r="S287" s="262"/>
      <c r="T287" s="272">
        <v>106</v>
      </c>
      <c r="U287" s="272">
        <v>106</v>
      </c>
      <c r="V287" s="272">
        <v>106</v>
      </c>
      <c r="W287" s="272">
        <v>106</v>
      </c>
      <c r="X287" s="276">
        <v>0.8</v>
      </c>
      <c r="Y287" s="276">
        <v>0.8</v>
      </c>
      <c r="Z287" s="276">
        <v>0.8</v>
      </c>
      <c r="AA287" s="276">
        <v>0.8</v>
      </c>
      <c r="AB287" s="266">
        <f t="shared" si="167"/>
        <v>84.800000000000011</v>
      </c>
      <c r="AC287" s="266">
        <f t="shared" si="168"/>
        <v>84.800000000000011</v>
      </c>
      <c r="AD287" s="266">
        <f t="shared" si="169"/>
        <v>169.60000000000002</v>
      </c>
      <c r="AE287" s="266">
        <f t="shared" si="170"/>
        <v>169.60000000000002</v>
      </c>
      <c r="AF287" s="266">
        <f t="shared" si="171"/>
        <v>508.80000000000007</v>
      </c>
      <c r="AG287" s="274">
        <v>0.8</v>
      </c>
      <c r="AH287" s="274">
        <v>0.8</v>
      </c>
      <c r="AI287" s="274">
        <v>0.8</v>
      </c>
      <c r="AJ287" s="274">
        <v>0.8</v>
      </c>
      <c r="AK287" s="274">
        <f t="shared" si="172"/>
        <v>0.8</v>
      </c>
      <c r="AL287" s="274">
        <f t="shared" si="173"/>
        <v>0.8</v>
      </c>
      <c r="AM287" s="274">
        <f t="shared" si="174"/>
        <v>0.8</v>
      </c>
      <c r="AN287" s="274">
        <f t="shared" si="175"/>
        <v>0.8</v>
      </c>
      <c r="AO287" s="262"/>
      <c r="AP287" s="262"/>
      <c r="AQ287" s="267">
        <v>106</v>
      </c>
      <c r="AR287" s="262"/>
      <c r="AS287" s="266">
        <f t="shared" si="176"/>
        <v>84.800000000000011</v>
      </c>
      <c r="AT287" s="264">
        <f t="shared" si="177"/>
        <v>0</v>
      </c>
      <c r="AU287" s="262"/>
      <c r="AV287" s="262"/>
      <c r="AW287" s="265">
        <v>106</v>
      </c>
      <c r="AX287" s="164" t="s">
        <v>1469</v>
      </c>
      <c r="AY287" s="266">
        <v>84.800000000000011</v>
      </c>
      <c r="AZ287" s="266">
        <f t="shared" si="178"/>
        <v>84.800000000000011</v>
      </c>
      <c r="BA287" s="264">
        <f t="shared" si="179"/>
        <v>0</v>
      </c>
      <c r="BB287" s="262"/>
      <c r="BC287" s="262"/>
      <c r="BD287" s="265">
        <f ca="1">IFERROR(INDEX(Algorithms!$G:$G,MATCH($C287&amp;"_Therm Saved per Unit",Algorithms!$A:$A,0)),0)</f>
        <v>106</v>
      </c>
      <c r="BE287" s="164" t="str">
        <f ca="1">IFERROR(INDEX('v12 Revisions'!$P$29:$P$186, MATCH('Measure-Level Adj Gas'!$L287, 'v12 Revisions'!$D$29:$D$186,0)),"")</f>
        <v>n/a - fuel-switching.</v>
      </c>
      <c r="BF287" s="266">
        <f t="shared" ca="1" si="180"/>
        <v>169.60000000000002</v>
      </c>
      <c r="BG287" s="264">
        <f t="shared" ca="1" si="181"/>
        <v>0</v>
      </c>
      <c r="BH287" s="262"/>
      <c r="BI287" s="262"/>
      <c r="BJ287" s="265">
        <f ca="1">IFERROR(INDEX(Algorithms!$G:$G,MATCH($C287&amp;"_Therm Saved per Unit",Algorithms!$A:$A,0)),0)</f>
        <v>106</v>
      </c>
      <c r="BK287" s="164"/>
      <c r="BL287" s="266">
        <f t="shared" ca="1" si="182"/>
        <v>169.60000000000002</v>
      </c>
      <c r="BM287" s="264">
        <f t="shared" ca="1" si="183"/>
        <v>0</v>
      </c>
      <c r="BN287" s="266">
        <f t="shared" si="184"/>
        <v>84.800000000000011</v>
      </c>
      <c r="BO287" s="266">
        <f t="shared" si="185"/>
        <v>84.800000000000011</v>
      </c>
      <c r="BP287" s="266">
        <f t="shared" ca="1" si="186"/>
        <v>169.60000000000002</v>
      </c>
      <c r="BQ287" s="266">
        <f t="shared" ca="1" si="187"/>
        <v>169.60000000000002</v>
      </c>
      <c r="BR287" s="268">
        <f t="shared" ca="1" si="188"/>
        <v>508.80000000000007</v>
      </c>
      <c r="BS287" s="262" t="s">
        <v>99</v>
      </c>
      <c r="BT287" s="277"/>
      <c r="BW287" s="266">
        <f t="shared" si="189"/>
        <v>84.800000000000011</v>
      </c>
      <c r="BX287" s="266">
        <f t="shared" si="190"/>
        <v>84.800000000000011</v>
      </c>
      <c r="BY287" s="266">
        <f t="shared" si="191"/>
        <v>169.60000000000002</v>
      </c>
      <c r="BZ287" s="266">
        <f t="shared" si="192"/>
        <v>169.60000000000002</v>
      </c>
      <c r="CA287" s="266">
        <f ca="1">N287*IFERROR(INDEX(Algorithms!$G:$G,MATCH($C287&amp;"_Therm Saved per Unit- MLA",Algorithms!$A:$A,0)),0)*X287</f>
        <v>0</v>
      </c>
      <c r="CB287" s="266">
        <f ca="1">O287*IFERROR(INDEX(Algorithms!$G:$G,MATCH($C287&amp;"_Therm Saved per Unit- MLA",Algorithms!$A:$A,0)),0)*Y287</f>
        <v>0</v>
      </c>
      <c r="CC287" s="266">
        <f ca="1">P287*IFERROR(INDEX(Algorithms!$G:$G,MATCH($C287&amp;"_Therm Saved per Unit- MLA",Algorithms!$A:$A,0)),0)*Z287</f>
        <v>0</v>
      </c>
      <c r="CD287" s="266">
        <f ca="1">Q287*IFERROR(INDEX(Algorithms!$G:$G,MATCH($C287&amp;"_Therm Saved per Unit- MLA",Algorithms!$A:$A,0)),0)*AA287</f>
        <v>0</v>
      </c>
      <c r="CE287" s="266">
        <f ca="1">IFERROR(INDEX(Algorithms!$G:$G,MATCH($C287&amp;"_Lifetime (years)",Algorithms!$A:$A,0)),0)</f>
        <v>10</v>
      </c>
      <c r="CF287" s="266">
        <f ca="1">IFERROR(INDEX(Algorithms!$G:$G,MATCH($C287&amp;"_Lifetime (years) - Remaining Years",Algorithms!$A:$A,0)),0)</f>
        <v>0</v>
      </c>
      <c r="CG287" s="266">
        <f t="shared" ca="1" si="193"/>
        <v>848.00000000000011</v>
      </c>
      <c r="CH287" s="266">
        <f t="shared" ca="1" si="194"/>
        <v>848.00000000000011</v>
      </c>
      <c r="CI287" s="266">
        <f t="shared" ca="1" si="195"/>
        <v>1696.0000000000002</v>
      </c>
      <c r="CJ287" s="266">
        <f t="shared" ca="1" si="196"/>
        <v>1696.0000000000002</v>
      </c>
      <c r="CK287" s="266">
        <f t="shared" si="197"/>
        <v>84.800000000000011</v>
      </c>
      <c r="CL287" s="266">
        <f t="shared" si="198"/>
        <v>84.800000000000011</v>
      </c>
      <c r="CM287" s="266">
        <f t="shared" ca="1" si="199"/>
        <v>169.60000000000002</v>
      </c>
      <c r="CN287" s="266">
        <f t="shared" ca="1" si="200"/>
        <v>169.60000000000002</v>
      </c>
      <c r="CO287" s="266">
        <f ca="1">N287*IFERROR(INDEX(Algorithms!$G:$G,MATCH($C287&amp;"_Therm Saved per Unit- MLA",Algorithms!$A:$A,0)),0)*X287</f>
        <v>0</v>
      </c>
      <c r="CP287" s="266">
        <f ca="1">O287*IFERROR(INDEX(Algorithms!$G:$G,MATCH($C287&amp;"_Therm Saved per Unit- MLA",Algorithms!$A:$A,0)),0)*Y287</f>
        <v>0</v>
      </c>
      <c r="CQ287" s="266">
        <f ca="1">P287*IFERROR(INDEX(Algorithms!$G:$G,MATCH($C287&amp;"_Therm Saved per Unit- MLA",Algorithms!$A:$A,0)),0)*Z287</f>
        <v>0</v>
      </c>
      <c r="CR287" s="266">
        <f ca="1">Q287*IFERROR(INDEX(Algorithms!$G:$G,MATCH($C287&amp;"_Therm Saved per Unit- MLA",Algorithms!$A:$A,0)),0)*AA287</f>
        <v>0</v>
      </c>
      <c r="CS287" s="266">
        <f ca="1">IFERROR(INDEX(Algorithms!$G:$G,MATCH($C287&amp;"_Lifetime (years)",Algorithms!$A:$A,0)),0)</f>
        <v>10</v>
      </c>
      <c r="CT287" s="266">
        <f ca="1">IFERROR(INDEX(Algorithms!$G:$G,MATCH($C287&amp;"_Lifetime (years) - Remaining Years",Algorithms!$A:$A,0)),0)</f>
        <v>0</v>
      </c>
      <c r="CU287" s="266">
        <f t="shared" ca="1" si="201"/>
        <v>848.00000000000011</v>
      </c>
      <c r="CV287" s="266">
        <f t="shared" ca="1" si="202"/>
        <v>848.00000000000011</v>
      </c>
      <c r="CW287" s="266">
        <f t="shared" ca="1" si="203"/>
        <v>1696.0000000000002</v>
      </c>
      <c r="CX287" s="266">
        <f t="shared" ca="1" si="204"/>
        <v>1696.0000000000002</v>
      </c>
    </row>
    <row r="288" spans="2:102" s="47" customFormat="1" ht="18" customHeight="1" x14ac:dyDescent="0.25">
      <c r="B288" t="str">
        <f t="shared" si="205"/>
        <v>NSG_Business_Commercial Food Service Program_Upstream Rebate_Infrared Charbroiler_0_CI</v>
      </c>
      <c r="C288" s="47" t="str">
        <f t="shared" si="166"/>
        <v>Infrared Charbroiler_0_CI</v>
      </c>
      <c r="D288" s="270" t="s">
        <v>1787</v>
      </c>
      <c r="E288" s="270" t="s">
        <v>3</v>
      </c>
      <c r="F288" s="270" t="s">
        <v>1444</v>
      </c>
      <c r="G288" s="270" t="s">
        <v>1445</v>
      </c>
      <c r="H288" s="270" t="s">
        <v>18</v>
      </c>
      <c r="I288" s="270">
        <v>0</v>
      </c>
      <c r="J288" s="270" t="s">
        <v>1159</v>
      </c>
      <c r="K288" s="263">
        <v>1</v>
      </c>
      <c r="L288" s="263" t="str">
        <f ca="1">IFERROR(INDEX(Algorithms!J:J,MATCH($C288&amp;"_Therm Saved per Unit",Algorithms!$A:$A,0)),"n/a")</f>
        <v>4.2.12</v>
      </c>
      <c r="M288" s="263" t="str">
        <f>IFERROR(INDEX('Measure Level Detail'!$N:$N,MATCH($B288,'Measure Level Detail'!$B:$B,0)),0)</f>
        <v>each</v>
      </c>
      <c r="N288" s="271">
        <f>IFERROR(INDEX('Measure Level Detail'!$P:$P,MATCH($B288&amp;"_"&amp;N$3,'Measure Level Detail'!$C:$C,0)),0)</f>
        <v>1</v>
      </c>
      <c r="O288" s="271">
        <f>IFERROR(INDEX('Measure Level Detail'!$P:$P,MATCH($B288&amp;"_"&amp;O$3,'Measure Level Detail'!$C:$C,0)),0)</f>
        <v>1</v>
      </c>
      <c r="P288" s="271">
        <f>IFERROR(INDEX('Measure Level Detail'!$P:$P,MATCH($B288&amp;"_"&amp;P$3,'Measure Level Detail'!$C:$C,0)),0)</f>
        <v>1</v>
      </c>
      <c r="Q288" s="271">
        <f>IFERROR(INDEX('Measure Level Detail'!$P:$P,MATCH($B288&amp;"_"&amp;Q$3,'Measure Level Detail'!$C:$C,0)),0)</f>
        <v>2</v>
      </c>
      <c r="R288" s="263" t="str">
        <f ca="1">IFERROR(INDEX(Algorithms!K:K,MATCH($C288&amp;"_Therm Saved per Unit",Algorithms!$A:$A,0)),"n/a")</f>
        <v>CI-FSE-IRCB-V03-240101</v>
      </c>
      <c r="S288" s="262"/>
      <c r="T288" s="272">
        <v>706.68</v>
      </c>
      <c r="U288" s="272">
        <v>706.68</v>
      </c>
      <c r="V288" s="272">
        <v>706.68</v>
      </c>
      <c r="W288" s="272">
        <v>706.68</v>
      </c>
      <c r="X288" s="276">
        <v>0.8</v>
      </c>
      <c r="Y288" s="276">
        <v>0.8</v>
      </c>
      <c r="Z288" s="276">
        <v>0.8</v>
      </c>
      <c r="AA288" s="276">
        <v>0.8</v>
      </c>
      <c r="AB288" s="266">
        <f t="shared" si="167"/>
        <v>565.34399999999994</v>
      </c>
      <c r="AC288" s="266">
        <f t="shared" si="168"/>
        <v>565.34399999999994</v>
      </c>
      <c r="AD288" s="266">
        <f t="shared" si="169"/>
        <v>565.34399999999994</v>
      </c>
      <c r="AE288" s="266">
        <f t="shared" si="170"/>
        <v>1130.6879999999999</v>
      </c>
      <c r="AF288" s="266">
        <f t="shared" si="171"/>
        <v>2826.7199999999993</v>
      </c>
      <c r="AG288" s="274">
        <v>0.8</v>
      </c>
      <c r="AH288" s="274">
        <v>0.8</v>
      </c>
      <c r="AI288" s="274">
        <v>0.8</v>
      </c>
      <c r="AJ288" s="274">
        <v>0.8</v>
      </c>
      <c r="AK288" s="274">
        <f t="shared" si="172"/>
        <v>0.8</v>
      </c>
      <c r="AL288" s="274">
        <f t="shared" si="173"/>
        <v>0.8</v>
      </c>
      <c r="AM288" s="274">
        <f t="shared" si="174"/>
        <v>0.8</v>
      </c>
      <c r="AN288" s="274">
        <f t="shared" si="175"/>
        <v>0.8</v>
      </c>
      <c r="AO288" s="262"/>
      <c r="AP288" s="262"/>
      <c r="AQ288" s="267">
        <v>706.68</v>
      </c>
      <c r="AR288" s="262"/>
      <c r="AS288" s="266">
        <f t="shared" si="176"/>
        <v>565.34399999999994</v>
      </c>
      <c r="AT288" s="264">
        <f t="shared" si="177"/>
        <v>0</v>
      </c>
      <c r="AU288" s="262"/>
      <c r="AV288" s="262"/>
      <c r="AW288" s="265">
        <v>706.68</v>
      </c>
      <c r="AX288" s="164" t="s">
        <v>1469</v>
      </c>
      <c r="AY288" s="266">
        <v>565.34399999999994</v>
      </c>
      <c r="AZ288" s="266">
        <f t="shared" si="178"/>
        <v>565.34399999999994</v>
      </c>
      <c r="BA288" s="264">
        <f t="shared" si="179"/>
        <v>0</v>
      </c>
      <c r="BB288" s="262"/>
      <c r="BC288" s="262"/>
      <c r="BD288" s="265">
        <f ca="1">IFERROR(INDEX(Algorithms!$G:$G,MATCH($C288&amp;"_Therm Saved per Unit",Algorithms!$A:$A,0)),0)</f>
        <v>706.68</v>
      </c>
      <c r="BE288" s="164" t="str">
        <f ca="1">IFERROR(INDEX('v12 Revisions'!$P$29:$P$186, MATCH('Measure-Level Adj Gas'!$L288, 'v12 Revisions'!$D$29:$D$186,0)),"")</f>
        <v/>
      </c>
      <c r="BF288" s="266">
        <f t="shared" ca="1" si="180"/>
        <v>565.34399999999994</v>
      </c>
      <c r="BG288" s="264">
        <f t="shared" ca="1" si="181"/>
        <v>0</v>
      </c>
      <c r="BH288" s="262"/>
      <c r="BI288" s="262"/>
      <c r="BJ288" s="265">
        <f ca="1">IFERROR(INDEX(Algorithms!$G:$G,MATCH($C288&amp;"_Therm Saved per Unit",Algorithms!$A:$A,0)),0)</f>
        <v>706.68</v>
      </c>
      <c r="BK288" s="164"/>
      <c r="BL288" s="266">
        <f t="shared" ca="1" si="182"/>
        <v>1130.6879999999999</v>
      </c>
      <c r="BM288" s="264">
        <f t="shared" ca="1" si="183"/>
        <v>0</v>
      </c>
      <c r="BN288" s="266">
        <f t="shared" si="184"/>
        <v>565.34399999999994</v>
      </c>
      <c r="BO288" s="266">
        <f t="shared" si="185"/>
        <v>565.34399999999994</v>
      </c>
      <c r="BP288" s="266">
        <f t="shared" ca="1" si="186"/>
        <v>565.34399999999994</v>
      </c>
      <c r="BQ288" s="266">
        <f t="shared" ca="1" si="187"/>
        <v>1130.6879999999999</v>
      </c>
      <c r="BR288" s="268">
        <f t="shared" ca="1" si="188"/>
        <v>2826.7199999999993</v>
      </c>
      <c r="BS288" s="262" t="s">
        <v>99</v>
      </c>
      <c r="BT288" s="277"/>
      <c r="BW288" s="266">
        <f t="shared" si="189"/>
        <v>565.34399999999994</v>
      </c>
      <c r="BX288" s="266">
        <f t="shared" si="190"/>
        <v>565.34399999999994</v>
      </c>
      <c r="BY288" s="266">
        <f t="shared" si="191"/>
        <v>565.34399999999994</v>
      </c>
      <c r="BZ288" s="266">
        <f t="shared" si="192"/>
        <v>1130.6879999999999</v>
      </c>
      <c r="CA288" s="266">
        <f ca="1">N288*IFERROR(INDEX(Algorithms!$G:$G,MATCH($C288&amp;"_Therm Saved per Unit- MLA",Algorithms!$A:$A,0)),0)*X288</f>
        <v>0</v>
      </c>
      <c r="CB288" s="266">
        <f ca="1">O288*IFERROR(INDEX(Algorithms!$G:$G,MATCH($C288&amp;"_Therm Saved per Unit- MLA",Algorithms!$A:$A,0)),0)*Y288</f>
        <v>0</v>
      </c>
      <c r="CC288" s="266">
        <f ca="1">P288*IFERROR(INDEX(Algorithms!$G:$G,MATCH($C288&amp;"_Therm Saved per Unit- MLA",Algorithms!$A:$A,0)),0)*Z288</f>
        <v>0</v>
      </c>
      <c r="CD288" s="266">
        <f ca="1">Q288*IFERROR(INDEX(Algorithms!$G:$G,MATCH($C288&amp;"_Therm Saved per Unit- MLA",Algorithms!$A:$A,0)),0)*AA288</f>
        <v>0</v>
      </c>
      <c r="CE288" s="266">
        <f ca="1">IFERROR(INDEX(Algorithms!$G:$G,MATCH($C288&amp;"_Lifetime (years)",Algorithms!$A:$A,0)),0)</f>
        <v>12</v>
      </c>
      <c r="CF288" s="266">
        <f ca="1">IFERROR(INDEX(Algorithms!$G:$G,MATCH($C288&amp;"_Lifetime (years) - Remaining Years",Algorithms!$A:$A,0)),0)</f>
        <v>0</v>
      </c>
      <c r="CG288" s="266">
        <f t="shared" ca="1" si="193"/>
        <v>6784.1279999999988</v>
      </c>
      <c r="CH288" s="266">
        <f t="shared" ca="1" si="194"/>
        <v>6784.1279999999988</v>
      </c>
      <c r="CI288" s="266">
        <f t="shared" ca="1" si="195"/>
        <v>6784.1279999999988</v>
      </c>
      <c r="CJ288" s="266">
        <f t="shared" ca="1" si="196"/>
        <v>13568.255999999998</v>
      </c>
      <c r="CK288" s="266">
        <f t="shared" si="197"/>
        <v>565.34399999999994</v>
      </c>
      <c r="CL288" s="266">
        <f t="shared" si="198"/>
        <v>565.34399999999994</v>
      </c>
      <c r="CM288" s="266">
        <f t="shared" ca="1" si="199"/>
        <v>565.34399999999994</v>
      </c>
      <c r="CN288" s="266">
        <f t="shared" ca="1" si="200"/>
        <v>1130.6879999999999</v>
      </c>
      <c r="CO288" s="266">
        <f ca="1">N288*IFERROR(INDEX(Algorithms!$G:$G,MATCH($C288&amp;"_Therm Saved per Unit- MLA",Algorithms!$A:$A,0)),0)*X288</f>
        <v>0</v>
      </c>
      <c r="CP288" s="266">
        <f ca="1">O288*IFERROR(INDEX(Algorithms!$G:$G,MATCH($C288&amp;"_Therm Saved per Unit- MLA",Algorithms!$A:$A,0)),0)*Y288</f>
        <v>0</v>
      </c>
      <c r="CQ288" s="266">
        <f ca="1">P288*IFERROR(INDEX(Algorithms!$G:$G,MATCH($C288&amp;"_Therm Saved per Unit- MLA",Algorithms!$A:$A,0)),0)*Z288</f>
        <v>0</v>
      </c>
      <c r="CR288" s="266">
        <f ca="1">Q288*IFERROR(INDEX(Algorithms!$G:$G,MATCH($C288&amp;"_Therm Saved per Unit- MLA",Algorithms!$A:$A,0)),0)*AA288</f>
        <v>0</v>
      </c>
      <c r="CS288" s="266">
        <f ca="1">IFERROR(INDEX(Algorithms!$G:$G,MATCH($C288&amp;"_Lifetime (years)",Algorithms!$A:$A,0)),0)</f>
        <v>12</v>
      </c>
      <c r="CT288" s="266">
        <f ca="1">IFERROR(INDEX(Algorithms!$G:$G,MATCH($C288&amp;"_Lifetime (years) - Remaining Years",Algorithms!$A:$A,0)),0)</f>
        <v>0</v>
      </c>
      <c r="CU288" s="266">
        <f t="shared" ca="1" si="201"/>
        <v>6784.1279999999988</v>
      </c>
      <c r="CV288" s="266">
        <f t="shared" ca="1" si="202"/>
        <v>6784.1279999999988</v>
      </c>
      <c r="CW288" s="266">
        <f t="shared" ca="1" si="203"/>
        <v>6784.1279999999988</v>
      </c>
      <c r="CX288" s="266">
        <f t="shared" ca="1" si="204"/>
        <v>13568.255999999998</v>
      </c>
    </row>
    <row r="289" spans="2:102" s="47" customFormat="1" ht="18" customHeight="1" x14ac:dyDescent="0.25">
      <c r="B289" t="str">
        <f t="shared" si="205"/>
        <v>NSG_Business_Commercial Food Service Program_Upstream Rebate_Infrared Rotisserie Oven_0_CI</v>
      </c>
      <c r="C289" s="47" t="str">
        <f t="shared" si="166"/>
        <v>Infrared Rotisserie Oven_0_CI</v>
      </c>
      <c r="D289" s="270" t="s">
        <v>1787</v>
      </c>
      <c r="E289" s="270" t="s">
        <v>3</v>
      </c>
      <c r="F289" s="270" t="s">
        <v>1444</v>
      </c>
      <c r="G289" s="270" t="s">
        <v>1445</v>
      </c>
      <c r="H289" s="270" t="s">
        <v>19</v>
      </c>
      <c r="I289" s="270">
        <v>0</v>
      </c>
      <c r="J289" s="270" t="s">
        <v>1159</v>
      </c>
      <c r="K289" s="263">
        <v>1</v>
      </c>
      <c r="L289" s="263" t="str">
        <f ca="1">IFERROR(INDEX(Algorithms!J:J,MATCH($C289&amp;"_Therm Saved per Unit",Algorithms!$A:$A,0)),"n/a")</f>
        <v>4.2.13</v>
      </c>
      <c r="M289" s="263" t="str">
        <f>IFERROR(INDEX('Measure Level Detail'!$N:$N,MATCH($B289,'Measure Level Detail'!$B:$B,0)),0)</f>
        <v>each</v>
      </c>
      <c r="N289" s="271">
        <f>IFERROR(INDEX('Measure Level Detail'!$P:$P,MATCH($B289&amp;"_"&amp;N$3,'Measure Level Detail'!$C:$C,0)),0)</f>
        <v>1</v>
      </c>
      <c r="O289" s="271">
        <f>IFERROR(INDEX('Measure Level Detail'!$P:$P,MATCH($B289&amp;"_"&amp;O$3,'Measure Level Detail'!$C:$C,0)),0)</f>
        <v>1</v>
      </c>
      <c r="P289" s="271">
        <f>IFERROR(INDEX('Measure Level Detail'!$P:$P,MATCH($B289&amp;"_"&amp;P$3,'Measure Level Detail'!$C:$C,0)),0)</f>
        <v>1</v>
      </c>
      <c r="Q289" s="271">
        <f>IFERROR(INDEX('Measure Level Detail'!$P:$P,MATCH($B289&amp;"_"&amp;Q$3,'Measure Level Detail'!$C:$C,0)),0)</f>
        <v>2</v>
      </c>
      <c r="R289" s="263" t="str">
        <f ca="1">IFERROR(INDEX(Algorithms!K:K,MATCH($C289&amp;"_Therm Saved per Unit",Algorithms!$A:$A,0)),"n/a")</f>
        <v>CI-FSE-IROV-V04-240101</v>
      </c>
      <c r="S289" s="262"/>
      <c r="T289" s="272">
        <v>599.04</v>
      </c>
      <c r="U289" s="272">
        <v>599.04</v>
      </c>
      <c r="V289" s="272">
        <v>599.04</v>
      </c>
      <c r="W289" s="272">
        <v>599.04</v>
      </c>
      <c r="X289" s="276">
        <v>0.8</v>
      </c>
      <c r="Y289" s="276">
        <v>0.8</v>
      </c>
      <c r="Z289" s="276">
        <v>0.8</v>
      </c>
      <c r="AA289" s="276">
        <v>0.8</v>
      </c>
      <c r="AB289" s="266">
        <f t="shared" si="167"/>
        <v>479.23199999999997</v>
      </c>
      <c r="AC289" s="266">
        <f t="shared" si="168"/>
        <v>479.23199999999997</v>
      </c>
      <c r="AD289" s="266">
        <f t="shared" si="169"/>
        <v>479.23199999999997</v>
      </c>
      <c r="AE289" s="266">
        <f t="shared" si="170"/>
        <v>958.46399999999994</v>
      </c>
      <c r="AF289" s="266">
        <f t="shared" si="171"/>
        <v>2396.16</v>
      </c>
      <c r="AG289" s="274">
        <v>0.8</v>
      </c>
      <c r="AH289" s="274">
        <v>0.8</v>
      </c>
      <c r="AI289" s="274">
        <v>0.8</v>
      </c>
      <c r="AJ289" s="274">
        <v>0.8</v>
      </c>
      <c r="AK289" s="274">
        <f t="shared" si="172"/>
        <v>0.8</v>
      </c>
      <c r="AL289" s="274">
        <f t="shared" si="173"/>
        <v>0.8</v>
      </c>
      <c r="AM289" s="274">
        <f t="shared" si="174"/>
        <v>0.8</v>
      </c>
      <c r="AN289" s="274">
        <f t="shared" si="175"/>
        <v>0.8</v>
      </c>
      <c r="AO289" s="262"/>
      <c r="AP289" s="262"/>
      <c r="AQ289" s="267">
        <v>599.04</v>
      </c>
      <c r="AR289" s="262"/>
      <c r="AS289" s="266">
        <f t="shared" si="176"/>
        <v>479.23199999999997</v>
      </c>
      <c r="AT289" s="264">
        <f t="shared" si="177"/>
        <v>0</v>
      </c>
      <c r="AU289" s="262"/>
      <c r="AV289" s="262"/>
      <c r="AW289" s="265">
        <v>599.04</v>
      </c>
      <c r="AX289" s="164" t="s">
        <v>1469</v>
      </c>
      <c r="AY289" s="266">
        <v>479.23199999999997</v>
      </c>
      <c r="AZ289" s="266">
        <f t="shared" si="178"/>
        <v>479.23199999999997</v>
      </c>
      <c r="BA289" s="264">
        <f t="shared" si="179"/>
        <v>0</v>
      </c>
      <c r="BB289" s="262"/>
      <c r="BC289" s="262"/>
      <c r="BD289" s="265">
        <f ca="1">IFERROR(INDEX(Algorithms!$G:$G,MATCH($C289&amp;"_Therm Saved per Unit",Algorithms!$A:$A,0)),0)</f>
        <v>599.04</v>
      </c>
      <c r="BE289" s="164" t="str">
        <f ca="1">IFERROR(INDEX('v12 Revisions'!$P$29:$P$186, MATCH('Measure-Level Adj Gas'!$L289, 'v12 Revisions'!$D$29:$D$186,0)),"")</f>
        <v>Split annual hours in to days * hours/day ; savings remain the same</v>
      </c>
      <c r="BF289" s="266">
        <f t="shared" ca="1" si="180"/>
        <v>479.23199999999997</v>
      </c>
      <c r="BG289" s="264">
        <f t="shared" ca="1" si="181"/>
        <v>0</v>
      </c>
      <c r="BH289" s="262"/>
      <c r="BI289" s="262"/>
      <c r="BJ289" s="265">
        <f ca="1">IFERROR(INDEX(Algorithms!$G:$G,MATCH($C289&amp;"_Therm Saved per Unit",Algorithms!$A:$A,0)),0)</f>
        <v>599.04</v>
      </c>
      <c r="BK289" s="164"/>
      <c r="BL289" s="266">
        <f t="shared" ca="1" si="182"/>
        <v>958.46399999999994</v>
      </c>
      <c r="BM289" s="264">
        <f t="shared" ca="1" si="183"/>
        <v>0</v>
      </c>
      <c r="BN289" s="266">
        <f t="shared" si="184"/>
        <v>479.23199999999997</v>
      </c>
      <c r="BO289" s="266">
        <f t="shared" si="185"/>
        <v>479.23199999999997</v>
      </c>
      <c r="BP289" s="266">
        <f t="shared" ca="1" si="186"/>
        <v>479.23199999999997</v>
      </c>
      <c r="BQ289" s="266">
        <f t="shared" ca="1" si="187"/>
        <v>958.46399999999994</v>
      </c>
      <c r="BR289" s="268">
        <f t="shared" ca="1" si="188"/>
        <v>2396.16</v>
      </c>
      <c r="BS289" s="262" t="s">
        <v>99</v>
      </c>
      <c r="BT289" s="277"/>
      <c r="BW289" s="266">
        <f t="shared" si="189"/>
        <v>479.23199999999997</v>
      </c>
      <c r="BX289" s="266">
        <f t="shared" si="190"/>
        <v>479.23199999999997</v>
      </c>
      <c r="BY289" s="266">
        <f t="shared" si="191"/>
        <v>479.23199999999997</v>
      </c>
      <c r="BZ289" s="266">
        <f t="shared" si="192"/>
        <v>958.46399999999994</v>
      </c>
      <c r="CA289" s="266">
        <f ca="1">N289*IFERROR(INDEX(Algorithms!$G:$G,MATCH($C289&amp;"_Therm Saved per Unit- MLA",Algorithms!$A:$A,0)),0)*X289</f>
        <v>0</v>
      </c>
      <c r="CB289" s="266">
        <f ca="1">O289*IFERROR(INDEX(Algorithms!$G:$G,MATCH($C289&amp;"_Therm Saved per Unit- MLA",Algorithms!$A:$A,0)),0)*Y289</f>
        <v>0</v>
      </c>
      <c r="CC289" s="266">
        <f ca="1">P289*IFERROR(INDEX(Algorithms!$G:$G,MATCH($C289&amp;"_Therm Saved per Unit- MLA",Algorithms!$A:$A,0)),0)*Z289</f>
        <v>0</v>
      </c>
      <c r="CD289" s="266">
        <f ca="1">Q289*IFERROR(INDEX(Algorithms!$G:$G,MATCH($C289&amp;"_Therm Saved per Unit- MLA",Algorithms!$A:$A,0)),0)*AA289</f>
        <v>0</v>
      </c>
      <c r="CE289" s="266">
        <f ca="1">IFERROR(INDEX(Algorithms!$G:$G,MATCH($C289&amp;"_Lifetime (years)",Algorithms!$A:$A,0)),0)</f>
        <v>12</v>
      </c>
      <c r="CF289" s="266">
        <f ca="1">IFERROR(INDEX(Algorithms!$G:$G,MATCH($C289&amp;"_Lifetime (years) - Remaining Years",Algorithms!$A:$A,0)),0)</f>
        <v>0</v>
      </c>
      <c r="CG289" s="266">
        <f t="shared" ca="1" si="193"/>
        <v>5750.7839999999997</v>
      </c>
      <c r="CH289" s="266">
        <f t="shared" ca="1" si="194"/>
        <v>5750.7839999999997</v>
      </c>
      <c r="CI289" s="266">
        <f t="shared" ca="1" si="195"/>
        <v>5750.7839999999997</v>
      </c>
      <c r="CJ289" s="266">
        <f t="shared" ca="1" si="196"/>
        <v>11501.567999999999</v>
      </c>
      <c r="CK289" s="266">
        <f t="shared" si="197"/>
        <v>479.23199999999997</v>
      </c>
      <c r="CL289" s="266">
        <f t="shared" si="198"/>
        <v>479.23199999999997</v>
      </c>
      <c r="CM289" s="266">
        <f t="shared" ca="1" si="199"/>
        <v>479.23199999999997</v>
      </c>
      <c r="CN289" s="266">
        <f t="shared" ca="1" si="200"/>
        <v>958.46399999999994</v>
      </c>
      <c r="CO289" s="266">
        <f ca="1">N289*IFERROR(INDEX(Algorithms!$G:$G,MATCH($C289&amp;"_Therm Saved per Unit- MLA",Algorithms!$A:$A,0)),0)*X289</f>
        <v>0</v>
      </c>
      <c r="CP289" s="266">
        <f ca="1">O289*IFERROR(INDEX(Algorithms!$G:$G,MATCH($C289&amp;"_Therm Saved per Unit- MLA",Algorithms!$A:$A,0)),0)*Y289</f>
        <v>0</v>
      </c>
      <c r="CQ289" s="266">
        <f ca="1">P289*IFERROR(INDEX(Algorithms!$G:$G,MATCH($C289&amp;"_Therm Saved per Unit- MLA",Algorithms!$A:$A,0)),0)*Z289</f>
        <v>0</v>
      </c>
      <c r="CR289" s="266">
        <f ca="1">Q289*IFERROR(INDEX(Algorithms!$G:$G,MATCH($C289&amp;"_Therm Saved per Unit- MLA",Algorithms!$A:$A,0)),0)*AA289</f>
        <v>0</v>
      </c>
      <c r="CS289" s="266">
        <f ca="1">IFERROR(INDEX(Algorithms!$G:$G,MATCH($C289&amp;"_Lifetime (years)",Algorithms!$A:$A,0)),0)</f>
        <v>12</v>
      </c>
      <c r="CT289" s="266">
        <f ca="1">IFERROR(INDEX(Algorithms!$G:$G,MATCH($C289&amp;"_Lifetime (years) - Remaining Years",Algorithms!$A:$A,0)),0)</f>
        <v>0</v>
      </c>
      <c r="CU289" s="266">
        <f t="shared" ca="1" si="201"/>
        <v>5750.7839999999997</v>
      </c>
      <c r="CV289" s="266">
        <f t="shared" ca="1" si="202"/>
        <v>5750.7839999999997</v>
      </c>
      <c r="CW289" s="266">
        <f t="shared" ca="1" si="203"/>
        <v>5750.7839999999997</v>
      </c>
      <c r="CX289" s="266">
        <f t="shared" ca="1" si="204"/>
        <v>11501.567999999999</v>
      </c>
    </row>
    <row r="290" spans="2:102" s="47" customFormat="1" ht="18" customHeight="1" x14ac:dyDescent="0.25">
      <c r="B290" t="str">
        <f t="shared" si="205"/>
        <v>NSG_Business_Commercial Food Service Program_Upstream Rebate_Infrared Salamander Broiler_0_CI</v>
      </c>
      <c r="C290" s="47" t="str">
        <f t="shared" si="166"/>
        <v>Infrared Salamander Broiler_0_CI</v>
      </c>
      <c r="D290" s="270" t="s">
        <v>1787</v>
      </c>
      <c r="E290" s="270" t="s">
        <v>3</v>
      </c>
      <c r="F290" s="270" t="s">
        <v>1444</v>
      </c>
      <c r="G290" s="270" t="s">
        <v>1445</v>
      </c>
      <c r="H290" s="270" t="s">
        <v>20</v>
      </c>
      <c r="I290" s="270">
        <v>0</v>
      </c>
      <c r="J290" s="270" t="s">
        <v>1159</v>
      </c>
      <c r="K290" s="263">
        <v>1</v>
      </c>
      <c r="L290" s="263" t="str">
        <f ca="1">IFERROR(INDEX(Algorithms!J:J,MATCH($C290&amp;"_Therm Saved per Unit",Algorithms!$A:$A,0)),"n/a")</f>
        <v>4.2.14</v>
      </c>
      <c r="M290" s="263" t="str">
        <f>IFERROR(INDEX('Measure Level Detail'!$N:$N,MATCH($B290,'Measure Level Detail'!$B:$B,0)),0)</f>
        <v>each</v>
      </c>
      <c r="N290" s="271">
        <f>IFERROR(INDEX('Measure Level Detail'!$P:$P,MATCH($B290&amp;"_"&amp;N$3,'Measure Level Detail'!$C:$C,0)),0)</f>
        <v>1</v>
      </c>
      <c r="O290" s="271">
        <f>IFERROR(INDEX('Measure Level Detail'!$P:$P,MATCH($B290&amp;"_"&amp;O$3,'Measure Level Detail'!$C:$C,0)),0)</f>
        <v>2</v>
      </c>
      <c r="P290" s="271">
        <f>IFERROR(INDEX('Measure Level Detail'!$P:$P,MATCH($B290&amp;"_"&amp;P$3,'Measure Level Detail'!$C:$C,0)),0)</f>
        <v>2</v>
      </c>
      <c r="Q290" s="271">
        <f>IFERROR(INDEX('Measure Level Detail'!$P:$P,MATCH($B290&amp;"_"&amp;Q$3,'Measure Level Detail'!$C:$C,0)),0)</f>
        <v>3</v>
      </c>
      <c r="R290" s="263" t="str">
        <f ca="1">IFERROR(INDEX(Algorithms!K:K,MATCH($C290&amp;"_Therm Saved per Unit",Algorithms!$A:$A,0)),"n/a")</f>
        <v>CI-FSE-IRBL-V03-240101</v>
      </c>
      <c r="S290" s="262"/>
      <c r="T290" s="272">
        <v>240.24</v>
      </c>
      <c r="U290" s="272">
        <v>240.24</v>
      </c>
      <c r="V290" s="272">
        <v>240.24</v>
      </c>
      <c r="W290" s="272">
        <v>240.24</v>
      </c>
      <c r="X290" s="276">
        <v>0.8</v>
      </c>
      <c r="Y290" s="276">
        <v>0.8</v>
      </c>
      <c r="Z290" s="276">
        <v>0.8</v>
      </c>
      <c r="AA290" s="276">
        <v>0.8</v>
      </c>
      <c r="AB290" s="266">
        <f t="shared" si="167"/>
        <v>192.19200000000001</v>
      </c>
      <c r="AC290" s="266">
        <f t="shared" si="168"/>
        <v>384.38400000000001</v>
      </c>
      <c r="AD290" s="266">
        <f t="shared" si="169"/>
        <v>384.38400000000001</v>
      </c>
      <c r="AE290" s="266">
        <f t="shared" si="170"/>
        <v>576.57600000000002</v>
      </c>
      <c r="AF290" s="266">
        <f t="shared" si="171"/>
        <v>1537.5360000000001</v>
      </c>
      <c r="AG290" s="274">
        <v>0.8</v>
      </c>
      <c r="AH290" s="274">
        <v>0.8</v>
      </c>
      <c r="AI290" s="274">
        <v>0.8</v>
      </c>
      <c r="AJ290" s="274">
        <v>0.8</v>
      </c>
      <c r="AK290" s="274">
        <f t="shared" si="172"/>
        <v>0.8</v>
      </c>
      <c r="AL290" s="274">
        <f t="shared" si="173"/>
        <v>0.8</v>
      </c>
      <c r="AM290" s="274">
        <f t="shared" si="174"/>
        <v>0.8</v>
      </c>
      <c r="AN290" s="274">
        <f t="shared" si="175"/>
        <v>0.8</v>
      </c>
      <c r="AO290" s="262"/>
      <c r="AP290" s="262"/>
      <c r="AQ290" s="267">
        <v>240.24</v>
      </c>
      <c r="AR290" s="262"/>
      <c r="AS290" s="266">
        <f t="shared" si="176"/>
        <v>192.19200000000001</v>
      </c>
      <c r="AT290" s="264">
        <f t="shared" si="177"/>
        <v>0</v>
      </c>
      <c r="AU290" s="262"/>
      <c r="AV290" s="262"/>
      <c r="AW290" s="265">
        <v>240.24</v>
      </c>
      <c r="AX290" s="164" t="s">
        <v>1469</v>
      </c>
      <c r="AY290" s="266">
        <v>384.38400000000001</v>
      </c>
      <c r="AZ290" s="266">
        <f t="shared" si="178"/>
        <v>384.38400000000001</v>
      </c>
      <c r="BA290" s="264">
        <f t="shared" si="179"/>
        <v>0</v>
      </c>
      <c r="BB290" s="262"/>
      <c r="BC290" s="262"/>
      <c r="BD290" s="265">
        <f ca="1">IFERROR(INDEX(Algorithms!$G:$G,MATCH($C290&amp;"_Therm Saved per Unit",Algorithms!$A:$A,0)),0)</f>
        <v>240.24</v>
      </c>
      <c r="BE290" s="164" t="str">
        <f ca="1">IFERROR(INDEX('v12 Revisions'!$P$29:$P$186, MATCH('Measure-Level Adj Gas'!$L290, 'v12 Revisions'!$D$29:$D$186,0)),"")</f>
        <v>Split annual hours in to days * hours/day ; savings remain the same</v>
      </c>
      <c r="BF290" s="266">
        <f t="shared" ca="1" si="180"/>
        <v>384.38400000000001</v>
      </c>
      <c r="BG290" s="264">
        <f t="shared" ca="1" si="181"/>
        <v>0</v>
      </c>
      <c r="BH290" s="262"/>
      <c r="BI290" s="262"/>
      <c r="BJ290" s="265">
        <f ca="1">IFERROR(INDEX(Algorithms!$G:$G,MATCH($C290&amp;"_Therm Saved per Unit",Algorithms!$A:$A,0)),0)</f>
        <v>240.24</v>
      </c>
      <c r="BK290" s="164"/>
      <c r="BL290" s="266">
        <f t="shared" ca="1" si="182"/>
        <v>576.57600000000002</v>
      </c>
      <c r="BM290" s="264">
        <f t="shared" ca="1" si="183"/>
        <v>0</v>
      </c>
      <c r="BN290" s="266">
        <f t="shared" si="184"/>
        <v>192.19200000000001</v>
      </c>
      <c r="BO290" s="266">
        <f t="shared" si="185"/>
        <v>384.38400000000001</v>
      </c>
      <c r="BP290" s="266">
        <f t="shared" ca="1" si="186"/>
        <v>384.38400000000001</v>
      </c>
      <c r="BQ290" s="266">
        <f t="shared" ca="1" si="187"/>
        <v>576.57600000000002</v>
      </c>
      <c r="BR290" s="268">
        <f t="shared" ca="1" si="188"/>
        <v>1537.5360000000001</v>
      </c>
      <c r="BS290" s="262" t="s">
        <v>99</v>
      </c>
      <c r="BT290" s="277"/>
      <c r="BW290" s="266">
        <f t="shared" si="189"/>
        <v>192.19200000000001</v>
      </c>
      <c r="BX290" s="266">
        <f t="shared" si="190"/>
        <v>384.38400000000001</v>
      </c>
      <c r="BY290" s="266">
        <f t="shared" si="191"/>
        <v>384.38400000000001</v>
      </c>
      <c r="BZ290" s="266">
        <f t="shared" si="192"/>
        <v>576.57600000000002</v>
      </c>
      <c r="CA290" s="266">
        <f ca="1">N290*IFERROR(INDEX(Algorithms!$G:$G,MATCH($C290&amp;"_Therm Saved per Unit- MLA",Algorithms!$A:$A,0)),0)*X290</f>
        <v>0</v>
      </c>
      <c r="CB290" s="266">
        <f ca="1">O290*IFERROR(INDEX(Algorithms!$G:$G,MATCH($C290&amp;"_Therm Saved per Unit- MLA",Algorithms!$A:$A,0)),0)*Y290</f>
        <v>0</v>
      </c>
      <c r="CC290" s="266">
        <f ca="1">P290*IFERROR(INDEX(Algorithms!$G:$G,MATCH($C290&amp;"_Therm Saved per Unit- MLA",Algorithms!$A:$A,0)),0)*Z290</f>
        <v>0</v>
      </c>
      <c r="CD290" s="266">
        <f ca="1">Q290*IFERROR(INDEX(Algorithms!$G:$G,MATCH($C290&amp;"_Therm Saved per Unit- MLA",Algorithms!$A:$A,0)),0)*AA290</f>
        <v>0</v>
      </c>
      <c r="CE290" s="266">
        <f ca="1">IFERROR(INDEX(Algorithms!$G:$G,MATCH($C290&amp;"_Lifetime (years)",Algorithms!$A:$A,0)),0)</f>
        <v>12</v>
      </c>
      <c r="CF290" s="266">
        <f ca="1">IFERROR(INDEX(Algorithms!$G:$G,MATCH($C290&amp;"_Lifetime (years) - Remaining Years",Algorithms!$A:$A,0)),0)</f>
        <v>0</v>
      </c>
      <c r="CG290" s="266">
        <f t="shared" ca="1" si="193"/>
        <v>2306.3040000000001</v>
      </c>
      <c r="CH290" s="266">
        <f t="shared" ca="1" si="194"/>
        <v>4612.6080000000002</v>
      </c>
      <c r="CI290" s="266">
        <f t="shared" ca="1" si="195"/>
        <v>4612.6080000000002</v>
      </c>
      <c r="CJ290" s="266">
        <f t="shared" ca="1" si="196"/>
        <v>6918.9120000000003</v>
      </c>
      <c r="CK290" s="266">
        <f t="shared" si="197"/>
        <v>192.19200000000001</v>
      </c>
      <c r="CL290" s="266">
        <f t="shared" si="198"/>
        <v>384.38400000000001</v>
      </c>
      <c r="CM290" s="266">
        <f t="shared" ca="1" si="199"/>
        <v>384.38400000000001</v>
      </c>
      <c r="CN290" s="266">
        <f t="shared" ca="1" si="200"/>
        <v>576.57600000000002</v>
      </c>
      <c r="CO290" s="266">
        <f ca="1">N290*IFERROR(INDEX(Algorithms!$G:$G,MATCH($C290&amp;"_Therm Saved per Unit- MLA",Algorithms!$A:$A,0)),0)*X290</f>
        <v>0</v>
      </c>
      <c r="CP290" s="266">
        <f ca="1">O290*IFERROR(INDEX(Algorithms!$G:$G,MATCH($C290&amp;"_Therm Saved per Unit- MLA",Algorithms!$A:$A,0)),0)*Y290</f>
        <v>0</v>
      </c>
      <c r="CQ290" s="266">
        <f ca="1">P290*IFERROR(INDEX(Algorithms!$G:$G,MATCH($C290&amp;"_Therm Saved per Unit- MLA",Algorithms!$A:$A,0)),0)*Z290</f>
        <v>0</v>
      </c>
      <c r="CR290" s="266">
        <f ca="1">Q290*IFERROR(INDEX(Algorithms!$G:$G,MATCH($C290&amp;"_Therm Saved per Unit- MLA",Algorithms!$A:$A,0)),0)*AA290</f>
        <v>0</v>
      </c>
      <c r="CS290" s="266">
        <f ca="1">IFERROR(INDEX(Algorithms!$G:$G,MATCH($C290&amp;"_Lifetime (years)",Algorithms!$A:$A,0)),0)</f>
        <v>12</v>
      </c>
      <c r="CT290" s="266">
        <f ca="1">IFERROR(INDEX(Algorithms!$G:$G,MATCH($C290&amp;"_Lifetime (years) - Remaining Years",Algorithms!$A:$A,0)),0)</f>
        <v>0</v>
      </c>
      <c r="CU290" s="266">
        <f t="shared" ca="1" si="201"/>
        <v>2306.3040000000001</v>
      </c>
      <c r="CV290" s="266">
        <f t="shared" ca="1" si="202"/>
        <v>4612.6080000000002</v>
      </c>
      <c r="CW290" s="266">
        <f t="shared" ca="1" si="203"/>
        <v>4612.6080000000002</v>
      </c>
      <c r="CX290" s="266">
        <f t="shared" ca="1" si="204"/>
        <v>6918.9120000000003</v>
      </c>
    </row>
    <row r="291" spans="2:102" s="47" customFormat="1" ht="18" customHeight="1" x14ac:dyDescent="0.25">
      <c r="B291" t="str">
        <f t="shared" si="205"/>
        <v>NSG_Residential_Multi-Family_Standard Rebate_Furnace_&gt;95% AFUE_MF</v>
      </c>
      <c r="C291" s="47" t="str">
        <f t="shared" si="166"/>
        <v>Furnace_&gt;95% AFUE_MF</v>
      </c>
      <c r="D291" s="270" t="s">
        <v>1787</v>
      </c>
      <c r="E291" s="270" t="s">
        <v>2</v>
      </c>
      <c r="F291" s="270" t="s">
        <v>1422</v>
      </c>
      <c r="G291" s="270" t="s">
        <v>1418</v>
      </c>
      <c r="H291" s="270" t="s">
        <v>490</v>
      </c>
      <c r="I291" s="270" t="s">
        <v>982</v>
      </c>
      <c r="J291" s="270" t="s">
        <v>553</v>
      </c>
      <c r="K291" s="263">
        <v>1</v>
      </c>
      <c r="L291" s="263" t="str">
        <f ca="1">IFERROR(INDEX(Algorithms!J:J,MATCH($C291&amp;"_Therm Saved per Unit",Algorithms!$A:$A,0)),"n/a")</f>
        <v>4.4.11</v>
      </c>
      <c r="M291" s="263" t="str">
        <f>IFERROR(INDEX('Measure Level Detail'!$N:$N,MATCH($B291,'Measure Level Detail'!$B:$B,0)),0)</f>
        <v>each</v>
      </c>
      <c r="N291" s="271">
        <f>IFERROR(INDEX('Measure Level Detail'!$P:$P,MATCH($B291&amp;"_"&amp;N$3,'Measure Level Detail'!$C:$C,0)),0)</f>
        <v>1</v>
      </c>
      <c r="O291" s="271">
        <f>IFERROR(INDEX('Measure Level Detail'!$P:$P,MATCH($B291&amp;"_"&amp;O$3,'Measure Level Detail'!$C:$C,0)),0)</f>
        <v>1</v>
      </c>
      <c r="P291" s="271">
        <f>IFERROR(INDEX('Measure Level Detail'!$P:$P,MATCH($B291&amp;"_"&amp;P$3,'Measure Level Detail'!$C:$C,0)),0)</f>
        <v>1</v>
      </c>
      <c r="Q291" s="271">
        <f>IFERROR(INDEX('Measure Level Detail'!$P:$P,MATCH($B291&amp;"_"&amp;Q$3,'Measure Level Detail'!$C:$C,0)),0)</f>
        <v>1</v>
      </c>
      <c r="R291" s="263" t="str">
        <f ca="1">IFERROR(INDEX(Algorithms!K:K,MATCH($C291&amp;"_Therm Saved per Unit",Algorithms!$A:$A,0)),"n/a")</f>
        <v>CI-HVC-FRNC-V13-240101</v>
      </c>
      <c r="S291" s="262"/>
      <c r="T291" s="272">
        <v>236.69249999999985</v>
      </c>
      <c r="U291" s="272">
        <v>236.69249999999985</v>
      </c>
      <c r="V291" s="272">
        <v>236.69249999999985</v>
      </c>
      <c r="W291" s="272">
        <v>236.69249999999985</v>
      </c>
      <c r="X291" s="273">
        <f>IFERROR(INDEX('Measure Level Detail'!$R:$R,MATCH($B291&amp;"_"&amp;X$3,'Measure Level Detail'!$C:$C,0)),0)</f>
        <v>0.87</v>
      </c>
      <c r="Y291" s="273">
        <f>IFERROR(INDEX('Measure Level Detail'!$R:$R,MATCH($B291&amp;"_"&amp;Y$3,'Measure Level Detail'!$C:$C,0)),0)</f>
        <v>0.87</v>
      </c>
      <c r="Z291" s="273">
        <f>IFERROR(INDEX('Measure Level Detail'!$R:$R,MATCH($B291&amp;"_"&amp;Z$3,'Measure Level Detail'!$C:$C,0)),0)</f>
        <v>0.87</v>
      </c>
      <c r="AA291" s="273">
        <f>IFERROR(INDEX('Measure Level Detail'!$R:$R,MATCH($B291&amp;"_"&amp;AA$3,'Measure Level Detail'!$C:$C,0)),0)</f>
        <v>0.87</v>
      </c>
      <c r="AB291" s="266">
        <f t="shared" si="167"/>
        <v>205.92247499999988</v>
      </c>
      <c r="AC291" s="266">
        <f t="shared" si="168"/>
        <v>205.92247499999988</v>
      </c>
      <c r="AD291" s="266">
        <f t="shared" si="169"/>
        <v>205.92247499999988</v>
      </c>
      <c r="AE291" s="266">
        <f t="shared" si="170"/>
        <v>205.92247499999988</v>
      </c>
      <c r="AF291" s="266">
        <f t="shared" si="171"/>
        <v>823.68989999999951</v>
      </c>
      <c r="AG291" s="274">
        <v>0.87</v>
      </c>
      <c r="AH291" s="274">
        <v>0.87</v>
      </c>
      <c r="AI291" s="274">
        <v>0.87</v>
      </c>
      <c r="AJ291" s="274">
        <v>0.87</v>
      </c>
      <c r="AK291" s="274">
        <f t="shared" si="172"/>
        <v>0.87</v>
      </c>
      <c r="AL291" s="274">
        <f t="shared" si="173"/>
        <v>0.87</v>
      </c>
      <c r="AM291" s="274">
        <f t="shared" si="174"/>
        <v>0.87</v>
      </c>
      <c r="AN291" s="274">
        <f t="shared" si="175"/>
        <v>0.87</v>
      </c>
      <c r="AO291" s="262"/>
      <c r="AP291" s="262"/>
      <c r="AQ291" s="267">
        <v>236.69249999999985</v>
      </c>
      <c r="AR291" s="262"/>
      <c r="AS291" s="266">
        <f t="shared" si="176"/>
        <v>205.92247499999988</v>
      </c>
      <c r="AT291" s="264">
        <f t="shared" si="177"/>
        <v>0</v>
      </c>
      <c r="AU291" s="262"/>
      <c r="AV291" s="262"/>
      <c r="AW291" s="265">
        <v>236.69249999999985</v>
      </c>
      <c r="AX291" s="164" t="s">
        <v>1469</v>
      </c>
      <c r="AY291" s="266">
        <v>205.92247499999988</v>
      </c>
      <c r="AZ291" s="266">
        <f t="shared" si="178"/>
        <v>205.92247499999988</v>
      </c>
      <c r="BA291" s="264">
        <f t="shared" si="179"/>
        <v>0</v>
      </c>
      <c r="BB291" s="262"/>
      <c r="BC291" s="262"/>
      <c r="BD291" s="265">
        <f ca="1">IFERROR(INDEX(Algorithms!$G:$G,MATCH($C291&amp;"_Therm Saved per Unit",Algorithms!$A:$A,0)),0)</f>
        <v>218.18567901234553</v>
      </c>
      <c r="BE291" s="164" t="str">
        <f ca="1">IFERROR(INDEX('v12 Revisions'!$P$29:$P$186, MATCH('Measure-Level Adj Gas'!$L291, 'v12 Revisions'!$D$29:$D$186,0)),"")</f>
        <v>Updated baseline Furnace Annual Fuel Utilization Efficiency (AFUE) rating from 80% to 81%.</v>
      </c>
      <c r="BF291" s="266">
        <f t="shared" ca="1" si="180"/>
        <v>189.8215407407406</v>
      </c>
      <c r="BG291" s="264">
        <f t="shared" ca="1" si="181"/>
        <v>-16.100934259259276</v>
      </c>
      <c r="BH291" s="262"/>
      <c r="BI291" s="262"/>
      <c r="BJ291" s="265">
        <f ca="1">IFERROR(INDEX(Algorithms!$G:$G,MATCH($C291&amp;"_Therm Saved per Unit",Algorithms!$A:$A,0)),0)</f>
        <v>218.18567901234553</v>
      </c>
      <c r="BK291" s="164"/>
      <c r="BL291" s="266">
        <f t="shared" ca="1" si="182"/>
        <v>189.8215407407406</v>
      </c>
      <c r="BM291" s="264">
        <f t="shared" ca="1" si="183"/>
        <v>-16.100934259259276</v>
      </c>
      <c r="BN291" s="266">
        <f t="shared" si="184"/>
        <v>205.92247499999988</v>
      </c>
      <c r="BO291" s="266">
        <f t="shared" si="185"/>
        <v>205.92247499999988</v>
      </c>
      <c r="BP291" s="266">
        <f t="shared" ca="1" si="186"/>
        <v>189.8215407407406</v>
      </c>
      <c r="BQ291" s="266">
        <f t="shared" ca="1" si="187"/>
        <v>189.8215407407406</v>
      </c>
      <c r="BR291" s="268">
        <f t="shared" ca="1" si="188"/>
        <v>791.4880314814809</v>
      </c>
      <c r="BS291" s="262" t="s">
        <v>99</v>
      </c>
      <c r="BT291" s="277"/>
      <c r="BW291" s="266">
        <f t="shared" si="189"/>
        <v>205.92247499999988</v>
      </c>
      <c r="BX291" s="266">
        <f t="shared" si="190"/>
        <v>205.92247499999988</v>
      </c>
      <c r="BY291" s="266">
        <f t="shared" si="191"/>
        <v>205.92247499999988</v>
      </c>
      <c r="BZ291" s="266">
        <f t="shared" si="192"/>
        <v>205.92247499999988</v>
      </c>
      <c r="CA291" s="266">
        <f ca="1">N291*IFERROR(INDEX(Algorithms!$G:$G,MATCH($C291&amp;"_Therm Saved per Unit- MLA",Algorithms!$A:$A,0)),0)*X291</f>
        <v>0</v>
      </c>
      <c r="CB291" s="266">
        <f ca="1">O291*IFERROR(INDEX(Algorithms!$G:$G,MATCH($C291&amp;"_Therm Saved per Unit- MLA",Algorithms!$A:$A,0)),0)*Y291</f>
        <v>0</v>
      </c>
      <c r="CC291" s="266">
        <f ca="1">P291*IFERROR(INDEX(Algorithms!$G:$G,MATCH($C291&amp;"_Therm Saved per Unit- MLA",Algorithms!$A:$A,0)),0)*Z291</f>
        <v>0</v>
      </c>
      <c r="CD291" s="266">
        <f ca="1">Q291*IFERROR(INDEX(Algorithms!$G:$G,MATCH($C291&amp;"_Therm Saved per Unit- MLA",Algorithms!$A:$A,0)),0)*AA291</f>
        <v>0</v>
      </c>
      <c r="CE291" s="266">
        <f ca="1">IFERROR(INDEX(Algorithms!$G:$G,MATCH($C291&amp;"_Lifetime (years)",Algorithms!$A:$A,0)),0)</f>
        <v>16.5</v>
      </c>
      <c r="CF291" s="266">
        <f ca="1">IFERROR(INDEX(Algorithms!$G:$G,MATCH($C291&amp;"_Lifetime (years) - Remaining Years",Algorithms!$A:$A,0)),0)</f>
        <v>0</v>
      </c>
      <c r="CG291" s="266">
        <f t="shared" ca="1" si="193"/>
        <v>3397.7208374999982</v>
      </c>
      <c r="CH291" s="266">
        <f t="shared" ca="1" si="194"/>
        <v>3397.7208374999982</v>
      </c>
      <c r="CI291" s="266">
        <f t="shared" ca="1" si="195"/>
        <v>3397.7208374999982</v>
      </c>
      <c r="CJ291" s="266">
        <f t="shared" ca="1" si="196"/>
        <v>3397.7208374999982</v>
      </c>
      <c r="CK291" s="266">
        <f t="shared" si="197"/>
        <v>205.92247499999988</v>
      </c>
      <c r="CL291" s="266">
        <f t="shared" si="198"/>
        <v>205.92247499999988</v>
      </c>
      <c r="CM291" s="266">
        <f t="shared" ca="1" si="199"/>
        <v>189.8215407407406</v>
      </c>
      <c r="CN291" s="266">
        <f t="shared" ca="1" si="200"/>
        <v>189.8215407407406</v>
      </c>
      <c r="CO291" s="266">
        <f ca="1">N291*IFERROR(INDEX(Algorithms!$G:$G,MATCH($C291&amp;"_Therm Saved per Unit- MLA",Algorithms!$A:$A,0)),0)*X291</f>
        <v>0</v>
      </c>
      <c r="CP291" s="266">
        <f ca="1">O291*IFERROR(INDEX(Algorithms!$G:$G,MATCH($C291&amp;"_Therm Saved per Unit- MLA",Algorithms!$A:$A,0)),0)*Y291</f>
        <v>0</v>
      </c>
      <c r="CQ291" s="266">
        <f ca="1">P291*IFERROR(INDEX(Algorithms!$G:$G,MATCH($C291&amp;"_Therm Saved per Unit- MLA",Algorithms!$A:$A,0)),0)*Z291</f>
        <v>0</v>
      </c>
      <c r="CR291" s="266">
        <f ca="1">Q291*IFERROR(INDEX(Algorithms!$G:$G,MATCH($C291&amp;"_Therm Saved per Unit- MLA",Algorithms!$A:$A,0)),0)*AA291</f>
        <v>0</v>
      </c>
      <c r="CS291" s="266">
        <f ca="1">IFERROR(INDEX(Algorithms!$G:$G,MATCH($C291&amp;"_Lifetime (years)",Algorithms!$A:$A,0)),0)</f>
        <v>16.5</v>
      </c>
      <c r="CT291" s="266">
        <f ca="1">IFERROR(INDEX(Algorithms!$G:$G,MATCH($C291&amp;"_Lifetime (years) - Remaining Years",Algorithms!$A:$A,0)),0)</f>
        <v>0</v>
      </c>
      <c r="CU291" s="266">
        <f t="shared" ca="1" si="201"/>
        <v>3397.7208374999982</v>
      </c>
      <c r="CV291" s="266">
        <f t="shared" ca="1" si="202"/>
        <v>3397.7208374999982</v>
      </c>
      <c r="CW291" s="266">
        <f t="shared" ca="1" si="203"/>
        <v>3132.0554222222199</v>
      </c>
      <c r="CX291" s="266">
        <f t="shared" ca="1" si="204"/>
        <v>3132.0554222222199</v>
      </c>
    </row>
    <row r="292" spans="2:102" s="47" customFormat="1" ht="18" customHeight="1" x14ac:dyDescent="0.25">
      <c r="B292" t="str">
        <f t="shared" si="205"/>
        <v>NSG_Residential_Multi-Family_Partner Trade Ally Rebate_Furnace (In Unit)_&gt;95% AFUE_MF</v>
      </c>
      <c r="C292" s="47" t="str">
        <f t="shared" si="166"/>
        <v>Furnace (In Unit)_&gt;95% AFUE_MF</v>
      </c>
      <c r="D292" s="270" t="s">
        <v>1787</v>
      </c>
      <c r="E292" s="270" t="s">
        <v>2</v>
      </c>
      <c r="F292" s="270" t="s">
        <v>1422</v>
      </c>
      <c r="G292" s="270" t="s">
        <v>1799</v>
      </c>
      <c r="H292" s="270" t="s">
        <v>988</v>
      </c>
      <c r="I292" s="270" t="s">
        <v>982</v>
      </c>
      <c r="J292" s="270" t="s">
        <v>553</v>
      </c>
      <c r="K292" s="263">
        <v>1</v>
      </c>
      <c r="L292" s="263" t="str">
        <f ca="1">IFERROR(INDEX(Algorithms!J:J,MATCH($C292&amp;"_Therm Saved per Unit",Algorithms!$A:$A,0)),"n/a")</f>
        <v>5.3.7</v>
      </c>
      <c r="M292" s="263" t="str">
        <f>IFERROR(INDEX('Measure Level Detail'!$N:$N,MATCH($B292,'Measure Level Detail'!$B:$B,0)),0)</f>
        <v>each</v>
      </c>
      <c r="N292" s="271">
        <f>IFERROR(INDEX('Measure Level Detail'!$P:$P,MATCH($B292&amp;"_"&amp;N$3,'Measure Level Detail'!$C:$C,0)),0)</f>
        <v>1</v>
      </c>
      <c r="O292" s="271">
        <f>IFERROR(INDEX('Measure Level Detail'!$P:$P,MATCH($B292&amp;"_"&amp;O$3,'Measure Level Detail'!$C:$C,0)),0)</f>
        <v>1</v>
      </c>
      <c r="P292" s="271">
        <f>IFERROR(INDEX('Measure Level Detail'!$P:$P,MATCH($B292&amp;"_"&amp;P$3,'Measure Level Detail'!$C:$C,0)),0)</f>
        <v>1</v>
      </c>
      <c r="Q292" s="271">
        <f>IFERROR(INDEX('Measure Level Detail'!$P:$P,MATCH($B292&amp;"_"&amp;Q$3,'Measure Level Detail'!$C:$C,0)),0)</f>
        <v>1</v>
      </c>
      <c r="R292" s="263" t="str">
        <f ca="1">IFERROR(INDEX(Algorithms!K:K,MATCH($C292&amp;"_Therm Saved per Unit",Algorithms!$A:$A,0)),"n/a")</f>
        <v>RS-HVC-GHEF-V13-240101</v>
      </c>
      <c r="S292" s="262"/>
      <c r="T292" s="272">
        <v>185.63073361823353</v>
      </c>
      <c r="U292" s="272">
        <v>185.63073361823353</v>
      </c>
      <c r="V292" s="272">
        <v>185.63073361823353</v>
      </c>
      <c r="W292" s="272">
        <v>185.63073361823353</v>
      </c>
      <c r="X292" s="273">
        <f>IFERROR(INDEX('Measure Level Detail'!$R:$R,MATCH($B292&amp;"_"&amp;X$3,'Measure Level Detail'!$C:$C,0)),0)</f>
        <v>0.87</v>
      </c>
      <c r="Y292" s="273">
        <f>IFERROR(INDEX('Measure Level Detail'!$R:$R,MATCH($B292&amp;"_"&amp;Y$3,'Measure Level Detail'!$C:$C,0)),0)</f>
        <v>0.87</v>
      </c>
      <c r="Z292" s="273">
        <f>IFERROR(INDEX('Measure Level Detail'!$R:$R,MATCH($B292&amp;"_"&amp;Z$3,'Measure Level Detail'!$C:$C,0)),0)</f>
        <v>0.87</v>
      </c>
      <c r="AA292" s="273">
        <f>IFERROR(INDEX('Measure Level Detail'!$R:$R,MATCH($B292&amp;"_"&amp;AA$3,'Measure Level Detail'!$C:$C,0)),0)</f>
        <v>0.87</v>
      </c>
      <c r="AB292" s="266">
        <f t="shared" si="167"/>
        <v>161.49873824786317</v>
      </c>
      <c r="AC292" s="266">
        <f t="shared" si="168"/>
        <v>161.49873824786317</v>
      </c>
      <c r="AD292" s="266">
        <f t="shared" si="169"/>
        <v>161.49873824786317</v>
      </c>
      <c r="AE292" s="266">
        <f t="shared" si="170"/>
        <v>161.49873824786317</v>
      </c>
      <c r="AF292" s="266">
        <f t="shared" si="171"/>
        <v>645.99495299145269</v>
      </c>
      <c r="AG292" s="274">
        <v>0.87</v>
      </c>
      <c r="AH292" s="274">
        <v>0.87</v>
      </c>
      <c r="AI292" s="710">
        <v>0.88</v>
      </c>
      <c r="AJ292" s="710">
        <v>0.88</v>
      </c>
      <c r="AK292" s="274">
        <f t="shared" si="172"/>
        <v>0.87</v>
      </c>
      <c r="AL292" s="274">
        <f t="shared" si="173"/>
        <v>0.87</v>
      </c>
      <c r="AM292" s="274">
        <f t="shared" si="174"/>
        <v>0.87</v>
      </c>
      <c r="AN292" s="274">
        <f t="shared" si="175"/>
        <v>0.87</v>
      </c>
      <c r="AO292" s="262"/>
      <c r="AP292" s="262"/>
      <c r="AQ292" s="267">
        <v>185.63073361823353</v>
      </c>
      <c r="AR292" s="262"/>
      <c r="AS292" s="266">
        <f t="shared" si="176"/>
        <v>161.49873824786317</v>
      </c>
      <c r="AT292" s="264">
        <f t="shared" si="177"/>
        <v>0</v>
      </c>
      <c r="AU292" s="262"/>
      <c r="AV292" s="262"/>
      <c r="AW292" s="265">
        <v>185.63073361823353</v>
      </c>
      <c r="AX292" s="164" t="s">
        <v>1469</v>
      </c>
      <c r="AY292" s="266">
        <v>161.49873824786317</v>
      </c>
      <c r="AZ292" s="266">
        <f t="shared" si="178"/>
        <v>161.49873824786317</v>
      </c>
      <c r="BA292" s="264">
        <f t="shared" si="179"/>
        <v>0</v>
      </c>
      <c r="BB292" s="262"/>
      <c r="BC292" s="262"/>
      <c r="BD292" s="265">
        <f ca="1">IFERROR(INDEX(Algorithms!$G:$G,MATCH($C292&amp;"_Therm Saved per Unit",Algorithms!$A:$A,0)),0)</f>
        <v>185.63073361823353</v>
      </c>
      <c r="BE292" s="164" t="str">
        <f ca="1">IFERROR(INDEX('v12 Revisions'!$P$29:$P$186, MATCH('Measure-Level Adj Gas'!$L292, 'v12 Revisions'!$D$29:$D$186,0)),"")</f>
        <v>n/a - AFUE ≥ 95 eligibility tier, efficient AFUE value already 96.0% in plan.</v>
      </c>
      <c r="BF292" s="266">
        <f t="shared" ca="1" si="180"/>
        <v>161.49873824786317</v>
      </c>
      <c r="BG292" s="264">
        <f t="shared" ca="1" si="181"/>
        <v>0</v>
      </c>
      <c r="BH292" s="262"/>
      <c r="BI292" s="262"/>
      <c r="BJ292" s="265">
        <f ca="1">IFERROR(INDEX(Algorithms!$G:$G,MATCH($C292&amp;"_Therm Saved per Unit",Algorithms!$A:$A,0)),0)</f>
        <v>185.63073361823353</v>
      </c>
      <c r="BK292" s="164"/>
      <c r="BL292" s="266">
        <f t="shared" ca="1" si="182"/>
        <v>161.49873824786317</v>
      </c>
      <c r="BM292" s="264">
        <f t="shared" ca="1" si="183"/>
        <v>0</v>
      </c>
      <c r="BN292" s="266">
        <f t="shared" si="184"/>
        <v>161.49873824786317</v>
      </c>
      <c r="BO292" s="266">
        <f t="shared" si="185"/>
        <v>161.49873824786317</v>
      </c>
      <c r="BP292" s="266">
        <f t="shared" ca="1" si="186"/>
        <v>161.49873824786317</v>
      </c>
      <c r="BQ292" s="266">
        <f t="shared" ca="1" si="187"/>
        <v>161.49873824786317</v>
      </c>
      <c r="BR292" s="268">
        <f t="shared" ca="1" si="188"/>
        <v>645.99495299145269</v>
      </c>
      <c r="BS292" s="262" t="s">
        <v>99</v>
      </c>
      <c r="BT292" s="277"/>
      <c r="BW292" s="266">
        <f t="shared" si="189"/>
        <v>161.49873824786317</v>
      </c>
      <c r="BX292" s="266">
        <f t="shared" si="190"/>
        <v>161.49873824786317</v>
      </c>
      <c r="BY292" s="266">
        <f t="shared" si="191"/>
        <v>161.49873824786317</v>
      </c>
      <c r="BZ292" s="266">
        <f t="shared" si="192"/>
        <v>161.49873824786317</v>
      </c>
      <c r="CA292" s="266">
        <f ca="1">N292*IFERROR(INDEX(Algorithms!$G:$G,MATCH($C292&amp;"_Therm Saved per Unit- MLA",Algorithms!$A:$A,0)),0)*X292</f>
        <v>0</v>
      </c>
      <c r="CB292" s="266">
        <f ca="1">O292*IFERROR(INDEX(Algorithms!$G:$G,MATCH($C292&amp;"_Therm Saved per Unit- MLA",Algorithms!$A:$A,0)),0)*Y292</f>
        <v>0</v>
      </c>
      <c r="CC292" s="266">
        <f ca="1">P292*IFERROR(INDEX(Algorithms!$G:$G,MATCH($C292&amp;"_Therm Saved per Unit- MLA",Algorithms!$A:$A,0)),0)*Z292</f>
        <v>0</v>
      </c>
      <c r="CD292" s="266">
        <f ca="1">Q292*IFERROR(INDEX(Algorithms!$G:$G,MATCH($C292&amp;"_Therm Saved per Unit- MLA",Algorithms!$A:$A,0)),0)*AA292</f>
        <v>0</v>
      </c>
      <c r="CE292" s="266">
        <f ca="1">IFERROR(INDEX(Algorithms!$G:$G,MATCH($C292&amp;"_Lifetime (years)",Algorithms!$A:$A,0)),0)</f>
        <v>20</v>
      </c>
      <c r="CF292" s="266">
        <f ca="1">IFERROR(INDEX(Algorithms!$G:$G,MATCH($C292&amp;"_Lifetime (years) - Remaining Years",Algorithms!$A:$A,0)),0)</f>
        <v>0</v>
      </c>
      <c r="CG292" s="266">
        <f t="shared" ca="1" si="193"/>
        <v>3229.9747649572637</v>
      </c>
      <c r="CH292" s="266">
        <f t="shared" ca="1" si="194"/>
        <v>3229.9747649572637</v>
      </c>
      <c r="CI292" s="266">
        <f t="shared" ca="1" si="195"/>
        <v>3229.9747649572637</v>
      </c>
      <c r="CJ292" s="266">
        <f t="shared" ca="1" si="196"/>
        <v>3229.9747649572637</v>
      </c>
      <c r="CK292" s="266">
        <f t="shared" si="197"/>
        <v>161.49873824786317</v>
      </c>
      <c r="CL292" s="266">
        <f t="shared" si="198"/>
        <v>161.49873824786317</v>
      </c>
      <c r="CM292" s="266">
        <f t="shared" ca="1" si="199"/>
        <v>161.49873824786317</v>
      </c>
      <c r="CN292" s="266">
        <f t="shared" ca="1" si="200"/>
        <v>161.49873824786317</v>
      </c>
      <c r="CO292" s="266">
        <f ca="1">N292*IFERROR(INDEX(Algorithms!$G:$G,MATCH($C292&amp;"_Therm Saved per Unit- MLA",Algorithms!$A:$A,0)),0)*X292</f>
        <v>0</v>
      </c>
      <c r="CP292" s="266">
        <f ca="1">O292*IFERROR(INDEX(Algorithms!$G:$G,MATCH($C292&amp;"_Therm Saved per Unit- MLA",Algorithms!$A:$A,0)),0)*Y292</f>
        <v>0</v>
      </c>
      <c r="CQ292" s="266">
        <f ca="1">P292*IFERROR(INDEX(Algorithms!$G:$G,MATCH($C292&amp;"_Therm Saved per Unit- MLA",Algorithms!$A:$A,0)),0)*Z292</f>
        <v>0</v>
      </c>
      <c r="CR292" s="266">
        <f ca="1">Q292*IFERROR(INDEX(Algorithms!$G:$G,MATCH($C292&amp;"_Therm Saved per Unit- MLA",Algorithms!$A:$A,0)),0)*AA292</f>
        <v>0</v>
      </c>
      <c r="CS292" s="266">
        <f ca="1">IFERROR(INDEX(Algorithms!$G:$G,MATCH($C292&amp;"_Lifetime (years)",Algorithms!$A:$A,0)),0)</f>
        <v>20</v>
      </c>
      <c r="CT292" s="266">
        <f ca="1">IFERROR(INDEX(Algorithms!$G:$G,MATCH($C292&amp;"_Lifetime (years) - Remaining Years",Algorithms!$A:$A,0)),0)</f>
        <v>0</v>
      </c>
      <c r="CU292" s="266">
        <f t="shared" ca="1" si="201"/>
        <v>3229.9747649572637</v>
      </c>
      <c r="CV292" s="266">
        <f t="shared" ca="1" si="202"/>
        <v>3229.9747649572637</v>
      </c>
      <c r="CW292" s="266">
        <f t="shared" ca="1" si="203"/>
        <v>3229.9747649572637</v>
      </c>
      <c r="CX292" s="266">
        <f t="shared" ca="1" si="204"/>
        <v>3229.9747649572637</v>
      </c>
    </row>
    <row r="293" spans="2:102" s="47" customFormat="1" ht="18" customHeight="1" x14ac:dyDescent="0.25">
      <c r="B293" t="str">
        <f t="shared" si="205"/>
        <v>NSG_Income Eligible_Multi-Family_Whole Building - Public Housing_Steam Traps_HVAC Repair/Rep - Audit_MF</v>
      </c>
      <c r="C293" s="47" t="str">
        <f t="shared" si="166"/>
        <v>Steam Traps_HVAC Repair/Rep - Audit_MF</v>
      </c>
      <c r="D293" s="270" t="s">
        <v>1787</v>
      </c>
      <c r="E293" s="270" t="s">
        <v>325</v>
      </c>
      <c r="F293" s="270" t="s">
        <v>1422</v>
      </c>
      <c r="G293" s="270" t="s">
        <v>1817</v>
      </c>
      <c r="H293" s="270" t="s">
        <v>644</v>
      </c>
      <c r="I293" s="270" t="s">
        <v>645</v>
      </c>
      <c r="J293" s="270" t="s">
        <v>553</v>
      </c>
      <c r="K293" s="263">
        <v>1</v>
      </c>
      <c r="L293" s="263" t="str">
        <f ca="1">IFERROR(INDEX(Algorithms!J:J,MATCH($C293&amp;"_Therm Saved per Unit",Algorithms!$A:$A,0)),"n/a")</f>
        <v>4.4.16</v>
      </c>
      <c r="M293" s="263" t="str">
        <f>IFERROR(INDEX('Measure Level Detail'!$N:$N,MATCH($B293,'Measure Level Detail'!$B:$B,0)),0)</f>
        <v>each</v>
      </c>
      <c r="N293" s="271">
        <f>IFERROR(INDEX('Measure Level Detail'!$P:$P,MATCH($B293&amp;"_"&amp;N$3,'Measure Level Detail'!$C:$C,0)),0)</f>
        <v>1</v>
      </c>
      <c r="O293" s="271">
        <f>IFERROR(INDEX('Measure Level Detail'!$P:$P,MATCH($B293&amp;"_"&amp;O$3,'Measure Level Detail'!$C:$C,0)),0)</f>
        <v>1</v>
      </c>
      <c r="P293" s="271">
        <f>IFERROR(INDEX('Measure Level Detail'!$P:$P,MATCH($B293&amp;"_"&amp;P$3,'Measure Level Detail'!$C:$C,0)),0)</f>
        <v>1</v>
      </c>
      <c r="Q293" s="271">
        <f>IFERROR(INDEX('Measure Level Detail'!$P:$P,MATCH($B293&amp;"_"&amp;Q$3,'Measure Level Detail'!$C:$C,0)),0)</f>
        <v>1</v>
      </c>
      <c r="R293" s="263" t="str">
        <f ca="1">IFERROR(INDEX(Algorithms!K:K,MATCH($C293&amp;"_Therm Saved per Unit",Algorithms!$A:$A,0)),"n/a")</f>
        <v>CI-HVC-STRE-V10-240101</v>
      </c>
      <c r="S293" s="262"/>
      <c r="T293" s="272">
        <v>197.03296629323975</v>
      </c>
      <c r="U293" s="272">
        <v>197.03296629323975</v>
      </c>
      <c r="V293" s="272">
        <v>197.03296629323975</v>
      </c>
      <c r="W293" s="272">
        <v>197.03296629323975</v>
      </c>
      <c r="X293" s="273">
        <f>IFERROR(INDEX('Measure Level Detail'!$R:$R,MATCH($B293&amp;"_"&amp;X$3,'Measure Level Detail'!$C:$C,0)),0)</f>
        <v>1</v>
      </c>
      <c r="Y293" s="273">
        <f>IFERROR(INDEX('Measure Level Detail'!$R:$R,MATCH($B293&amp;"_"&amp;Y$3,'Measure Level Detail'!$C:$C,0)),0)</f>
        <v>1</v>
      </c>
      <c r="Z293" s="273">
        <f>IFERROR(INDEX('Measure Level Detail'!$R:$R,MATCH($B293&amp;"_"&amp;Z$3,'Measure Level Detail'!$C:$C,0)),0)</f>
        <v>1</v>
      </c>
      <c r="AA293" s="273">
        <f>IFERROR(INDEX('Measure Level Detail'!$R:$R,MATCH($B293&amp;"_"&amp;AA$3,'Measure Level Detail'!$C:$C,0)),0)</f>
        <v>1</v>
      </c>
      <c r="AB293" s="266">
        <f t="shared" si="167"/>
        <v>197.03296629323975</v>
      </c>
      <c r="AC293" s="266">
        <f t="shared" si="168"/>
        <v>197.03296629323975</v>
      </c>
      <c r="AD293" s="266">
        <f t="shared" si="169"/>
        <v>197.03296629323975</v>
      </c>
      <c r="AE293" s="266">
        <f t="shared" si="170"/>
        <v>197.03296629323975</v>
      </c>
      <c r="AF293" s="266">
        <f t="shared" si="171"/>
        <v>788.13186517295901</v>
      </c>
      <c r="AG293" s="274">
        <v>1</v>
      </c>
      <c r="AH293" s="274">
        <v>1</v>
      </c>
      <c r="AI293" s="274">
        <v>1</v>
      </c>
      <c r="AJ293" s="274">
        <v>1</v>
      </c>
      <c r="AK293" s="274">
        <f t="shared" si="172"/>
        <v>1</v>
      </c>
      <c r="AL293" s="274">
        <f t="shared" si="173"/>
        <v>1</v>
      </c>
      <c r="AM293" s="274">
        <f t="shared" si="174"/>
        <v>1</v>
      </c>
      <c r="AN293" s="274">
        <f t="shared" si="175"/>
        <v>1</v>
      </c>
      <c r="AO293" s="262"/>
      <c r="AP293" s="262"/>
      <c r="AQ293" s="267">
        <v>197.03296629323975</v>
      </c>
      <c r="AR293" s="262"/>
      <c r="AS293" s="266">
        <f t="shared" si="176"/>
        <v>197.03296629323975</v>
      </c>
      <c r="AT293" s="264">
        <f t="shared" si="177"/>
        <v>0</v>
      </c>
      <c r="AU293" s="262"/>
      <c r="AV293" s="262"/>
      <c r="AW293" s="265">
        <v>197.03296629323975</v>
      </c>
      <c r="AX293" s="164" t="s">
        <v>2397</v>
      </c>
      <c r="AY293" s="266">
        <v>197.03296629323975</v>
      </c>
      <c r="AZ293" s="266">
        <f t="shared" si="178"/>
        <v>197.03296629323975</v>
      </c>
      <c r="BA293" s="264">
        <f t="shared" si="179"/>
        <v>0</v>
      </c>
      <c r="BB293" s="262"/>
      <c r="BC293" s="262"/>
      <c r="BD293" s="265">
        <f ca="1">IFERROR(INDEX(Algorithms!$G:$G,MATCH($C293&amp;"_Therm Saved per Unit",Algorithms!$A:$A,0)),0)</f>
        <v>197.03296629323975</v>
      </c>
      <c r="BE293" s="164" t="str">
        <f ca="1">IFERROR(INDEX('v12 Revisions'!$P$29:$P$186, MATCH('Measure-Level Adj Gas'!$L293, 'v12 Revisions'!$D$29:$D$186,0)),"")</f>
        <v>n/a - costs only.</v>
      </c>
      <c r="BF293" s="266">
        <f t="shared" ca="1" si="180"/>
        <v>197.03296629323975</v>
      </c>
      <c r="BG293" s="264">
        <f t="shared" ca="1" si="181"/>
        <v>0</v>
      </c>
      <c r="BH293" s="262"/>
      <c r="BI293" s="262"/>
      <c r="BJ293" s="265">
        <f ca="1">IFERROR(INDEX(Algorithms!$G:$G,MATCH($C293&amp;"_Therm Saved per Unit",Algorithms!$A:$A,0)),0)</f>
        <v>197.03296629323975</v>
      </c>
      <c r="BK293" s="164"/>
      <c r="BL293" s="266">
        <f t="shared" ca="1" si="182"/>
        <v>197.03296629323975</v>
      </c>
      <c r="BM293" s="264">
        <f t="shared" ca="1" si="183"/>
        <v>0</v>
      </c>
      <c r="BN293" s="266">
        <f t="shared" si="184"/>
        <v>197.03296629323975</v>
      </c>
      <c r="BO293" s="266">
        <f t="shared" si="185"/>
        <v>197.03296629323975</v>
      </c>
      <c r="BP293" s="266">
        <f t="shared" ca="1" si="186"/>
        <v>197.03296629323975</v>
      </c>
      <c r="BQ293" s="266">
        <f t="shared" ca="1" si="187"/>
        <v>197.03296629323975</v>
      </c>
      <c r="BR293" s="268">
        <f t="shared" ca="1" si="188"/>
        <v>788.13186517295901</v>
      </c>
      <c r="BS293" s="262" t="s">
        <v>99</v>
      </c>
      <c r="BT293" s="277"/>
      <c r="BW293" s="266">
        <f t="shared" si="189"/>
        <v>197.03296629323975</v>
      </c>
      <c r="BX293" s="266">
        <f t="shared" si="190"/>
        <v>197.03296629323975</v>
      </c>
      <c r="BY293" s="266">
        <f t="shared" si="191"/>
        <v>197.03296629323975</v>
      </c>
      <c r="BZ293" s="266">
        <f t="shared" si="192"/>
        <v>197.03296629323975</v>
      </c>
      <c r="CA293" s="266">
        <f ca="1">N293*IFERROR(INDEX(Algorithms!$G:$G,MATCH($C293&amp;"_Therm Saved per Unit- MLA",Algorithms!$A:$A,0)),0)*X293</f>
        <v>0</v>
      </c>
      <c r="CB293" s="266">
        <f ca="1">O293*IFERROR(INDEX(Algorithms!$G:$G,MATCH($C293&amp;"_Therm Saved per Unit- MLA",Algorithms!$A:$A,0)),0)*Y293</f>
        <v>0</v>
      </c>
      <c r="CC293" s="266">
        <f ca="1">P293*IFERROR(INDEX(Algorithms!$G:$G,MATCH($C293&amp;"_Therm Saved per Unit- MLA",Algorithms!$A:$A,0)),0)*Z293</f>
        <v>0</v>
      </c>
      <c r="CD293" s="266">
        <f ca="1">Q293*IFERROR(INDEX(Algorithms!$G:$G,MATCH($C293&amp;"_Therm Saved per Unit- MLA",Algorithms!$A:$A,0)),0)*AA293</f>
        <v>0</v>
      </c>
      <c r="CE293" s="266">
        <f ca="1">IFERROR(INDEX(Algorithms!$G:$G,MATCH($C293&amp;"_Lifetime (years)",Algorithms!$A:$A,0)),0)</f>
        <v>6</v>
      </c>
      <c r="CF293" s="266">
        <f ca="1">IFERROR(INDEX(Algorithms!$G:$G,MATCH($C293&amp;"_Lifetime (years) - Remaining Years",Algorithms!$A:$A,0)),0)</f>
        <v>0</v>
      </c>
      <c r="CG293" s="266">
        <f t="shared" ca="1" si="193"/>
        <v>1182.1977977594386</v>
      </c>
      <c r="CH293" s="266">
        <f t="shared" ca="1" si="194"/>
        <v>1182.1977977594386</v>
      </c>
      <c r="CI293" s="266">
        <f t="shared" ca="1" si="195"/>
        <v>1182.1977977594386</v>
      </c>
      <c r="CJ293" s="266">
        <f t="shared" ca="1" si="196"/>
        <v>1182.1977977594386</v>
      </c>
      <c r="CK293" s="266">
        <f t="shared" si="197"/>
        <v>197.03296629323975</v>
      </c>
      <c r="CL293" s="266">
        <f t="shared" si="198"/>
        <v>197.03296629323975</v>
      </c>
      <c r="CM293" s="266">
        <f t="shared" ca="1" si="199"/>
        <v>197.03296629323975</v>
      </c>
      <c r="CN293" s="266">
        <f t="shared" ca="1" si="200"/>
        <v>197.03296629323975</v>
      </c>
      <c r="CO293" s="266">
        <f ca="1">N293*IFERROR(INDEX(Algorithms!$G:$G,MATCH($C293&amp;"_Therm Saved per Unit- MLA",Algorithms!$A:$A,0)),0)*X293</f>
        <v>0</v>
      </c>
      <c r="CP293" s="266">
        <f ca="1">O293*IFERROR(INDEX(Algorithms!$G:$G,MATCH($C293&amp;"_Therm Saved per Unit- MLA",Algorithms!$A:$A,0)),0)*Y293</f>
        <v>0</v>
      </c>
      <c r="CQ293" s="266">
        <f ca="1">P293*IFERROR(INDEX(Algorithms!$G:$G,MATCH($C293&amp;"_Therm Saved per Unit- MLA",Algorithms!$A:$A,0)),0)*Z293</f>
        <v>0</v>
      </c>
      <c r="CR293" s="266">
        <f ca="1">Q293*IFERROR(INDEX(Algorithms!$G:$G,MATCH($C293&amp;"_Therm Saved per Unit- MLA",Algorithms!$A:$A,0)),0)*AA293</f>
        <v>0</v>
      </c>
      <c r="CS293" s="266">
        <f ca="1">IFERROR(INDEX(Algorithms!$G:$G,MATCH($C293&amp;"_Lifetime (years)",Algorithms!$A:$A,0)),0)</f>
        <v>6</v>
      </c>
      <c r="CT293" s="266">
        <f ca="1">IFERROR(INDEX(Algorithms!$G:$G,MATCH($C293&amp;"_Lifetime (years) - Remaining Years",Algorithms!$A:$A,0)),0)</f>
        <v>0</v>
      </c>
      <c r="CU293" s="266">
        <f t="shared" ca="1" si="201"/>
        <v>1182.1977977594386</v>
      </c>
      <c r="CV293" s="266">
        <f t="shared" ca="1" si="202"/>
        <v>1182.1977977594386</v>
      </c>
      <c r="CW293" s="266">
        <f t="shared" ca="1" si="203"/>
        <v>1182.1977977594386</v>
      </c>
      <c r="CX293" s="266">
        <f t="shared" ca="1" si="204"/>
        <v>1182.1977977594386</v>
      </c>
    </row>
    <row r="294" spans="2:102" s="47" customFormat="1" ht="18" customHeight="1" x14ac:dyDescent="0.25">
      <c r="B294" t="str">
        <f t="shared" si="205"/>
        <v>NSG_Income Eligible_Multi-Family_Whole Building - Public Housing_Steam Traps_HVAC Repair/Rep - No Audit_MF</v>
      </c>
      <c r="C294" s="47" t="str">
        <f t="shared" si="166"/>
        <v>Steam Traps_HVAC Repair/Rep - No Audit_MF</v>
      </c>
      <c r="D294" s="270" t="s">
        <v>1787</v>
      </c>
      <c r="E294" s="270" t="s">
        <v>325</v>
      </c>
      <c r="F294" s="270" t="s">
        <v>1422</v>
      </c>
      <c r="G294" s="270" t="s">
        <v>1817</v>
      </c>
      <c r="H294" s="270" t="s">
        <v>644</v>
      </c>
      <c r="I294" s="270" t="s">
        <v>660</v>
      </c>
      <c r="J294" s="270" t="s">
        <v>553</v>
      </c>
      <c r="K294" s="263">
        <v>1</v>
      </c>
      <c r="L294" s="263" t="str">
        <f ca="1">IFERROR(INDEX(Algorithms!J:J,MATCH($C294&amp;"_Therm Saved per Unit",Algorithms!$A:$A,0)),"n/a")</f>
        <v>4.4.16</v>
      </c>
      <c r="M294" s="263" t="str">
        <f>IFERROR(INDEX('Measure Level Detail'!$N:$N,MATCH($B294,'Measure Level Detail'!$B:$B,0)),0)</f>
        <v>each</v>
      </c>
      <c r="N294" s="271">
        <f>IFERROR(INDEX('Measure Level Detail'!$P:$P,MATCH($B294&amp;"_"&amp;N$3,'Measure Level Detail'!$C:$C,0)),0)</f>
        <v>1</v>
      </c>
      <c r="O294" s="271">
        <f>IFERROR(INDEX('Measure Level Detail'!$P:$P,MATCH($B294&amp;"_"&amp;O$3,'Measure Level Detail'!$C:$C,0)),0)</f>
        <v>1</v>
      </c>
      <c r="P294" s="271">
        <f>IFERROR(INDEX('Measure Level Detail'!$P:$P,MATCH($B294&amp;"_"&amp;P$3,'Measure Level Detail'!$C:$C,0)),0)</f>
        <v>1</v>
      </c>
      <c r="Q294" s="271">
        <f>IFERROR(INDEX('Measure Level Detail'!$P:$P,MATCH($B294&amp;"_"&amp;Q$3,'Measure Level Detail'!$C:$C,0)),0)</f>
        <v>1</v>
      </c>
      <c r="R294" s="263" t="str">
        <f ca="1">IFERROR(INDEX(Algorithms!K:K,MATCH($C294&amp;"_Therm Saved per Unit",Algorithms!$A:$A,0)),"n/a")</f>
        <v>CI-HVC-STRE-V10-240101</v>
      </c>
      <c r="S294" s="262"/>
      <c r="T294" s="272">
        <v>53.198900899174738</v>
      </c>
      <c r="U294" s="272">
        <v>53.198900899174738</v>
      </c>
      <c r="V294" s="272">
        <v>53.198900899174738</v>
      </c>
      <c r="W294" s="272">
        <v>53.198900899174738</v>
      </c>
      <c r="X294" s="273">
        <f>IFERROR(INDEX('Measure Level Detail'!$R:$R,MATCH($B294&amp;"_"&amp;X$3,'Measure Level Detail'!$C:$C,0)),0)</f>
        <v>1</v>
      </c>
      <c r="Y294" s="273">
        <f>IFERROR(INDEX('Measure Level Detail'!$R:$R,MATCH($B294&amp;"_"&amp;Y$3,'Measure Level Detail'!$C:$C,0)),0)</f>
        <v>1</v>
      </c>
      <c r="Z294" s="273">
        <f>IFERROR(INDEX('Measure Level Detail'!$R:$R,MATCH($B294&amp;"_"&amp;Z$3,'Measure Level Detail'!$C:$C,0)),0)</f>
        <v>1</v>
      </c>
      <c r="AA294" s="273">
        <f>IFERROR(INDEX('Measure Level Detail'!$R:$R,MATCH($B294&amp;"_"&amp;AA$3,'Measure Level Detail'!$C:$C,0)),0)</f>
        <v>1</v>
      </c>
      <c r="AB294" s="266">
        <f t="shared" si="167"/>
        <v>53.198900899174738</v>
      </c>
      <c r="AC294" s="266">
        <f t="shared" si="168"/>
        <v>53.198900899174738</v>
      </c>
      <c r="AD294" s="266">
        <f t="shared" si="169"/>
        <v>53.198900899174738</v>
      </c>
      <c r="AE294" s="266">
        <f t="shared" si="170"/>
        <v>53.198900899174738</v>
      </c>
      <c r="AF294" s="266">
        <f t="shared" si="171"/>
        <v>212.79560359669895</v>
      </c>
      <c r="AG294" s="274">
        <v>1</v>
      </c>
      <c r="AH294" s="274">
        <v>1</v>
      </c>
      <c r="AI294" s="274">
        <v>1</v>
      </c>
      <c r="AJ294" s="274">
        <v>1</v>
      </c>
      <c r="AK294" s="274">
        <f t="shared" si="172"/>
        <v>1</v>
      </c>
      <c r="AL294" s="274">
        <f t="shared" si="173"/>
        <v>1</v>
      </c>
      <c r="AM294" s="274">
        <f t="shared" si="174"/>
        <v>1</v>
      </c>
      <c r="AN294" s="274">
        <f t="shared" si="175"/>
        <v>1</v>
      </c>
      <c r="AO294" s="262"/>
      <c r="AP294" s="262"/>
      <c r="AQ294" s="267">
        <v>53.198900899174738</v>
      </c>
      <c r="AR294" s="262"/>
      <c r="AS294" s="266">
        <f t="shared" si="176"/>
        <v>53.198900899174738</v>
      </c>
      <c r="AT294" s="264">
        <f t="shared" si="177"/>
        <v>0</v>
      </c>
      <c r="AU294" s="262"/>
      <c r="AV294" s="262"/>
      <c r="AW294" s="265">
        <v>53.198900899174738</v>
      </c>
      <c r="AX294" s="164" t="s">
        <v>2397</v>
      </c>
      <c r="AY294" s="266">
        <v>53.198900899174738</v>
      </c>
      <c r="AZ294" s="266">
        <f t="shared" si="178"/>
        <v>53.198900899174738</v>
      </c>
      <c r="BA294" s="264">
        <f t="shared" si="179"/>
        <v>0</v>
      </c>
      <c r="BB294" s="262"/>
      <c r="BC294" s="262"/>
      <c r="BD294" s="265">
        <f ca="1">IFERROR(INDEX(Algorithms!$G:$G,MATCH($C294&amp;"_Therm Saved per Unit",Algorithms!$A:$A,0)),0)</f>
        <v>53.198900899174738</v>
      </c>
      <c r="BE294" s="164" t="str">
        <f ca="1">IFERROR(INDEX('v12 Revisions'!$P$29:$P$186, MATCH('Measure-Level Adj Gas'!$L294, 'v12 Revisions'!$D$29:$D$186,0)),"")</f>
        <v>n/a - costs only.</v>
      </c>
      <c r="BF294" s="266">
        <f t="shared" ca="1" si="180"/>
        <v>53.198900899174738</v>
      </c>
      <c r="BG294" s="264">
        <f t="shared" ca="1" si="181"/>
        <v>0</v>
      </c>
      <c r="BH294" s="262"/>
      <c r="BI294" s="262"/>
      <c r="BJ294" s="265">
        <f ca="1">IFERROR(INDEX(Algorithms!$G:$G,MATCH($C294&amp;"_Therm Saved per Unit",Algorithms!$A:$A,0)),0)</f>
        <v>53.198900899174738</v>
      </c>
      <c r="BK294" s="164"/>
      <c r="BL294" s="266">
        <f t="shared" ca="1" si="182"/>
        <v>53.198900899174738</v>
      </c>
      <c r="BM294" s="264">
        <f t="shared" ca="1" si="183"/>
        <v>0</v>
      </c>
      <c r="BN294" s="266">
        <f t="shared" si="184"/>
        <v>53.198900899174738</v>
      </c>
      <c r="BO294" s="266">
        <f t="shared" si="185"/>
        <v>53.198900899174738</v>
      </c>
      <c r="BP294" s="266">
        <f t="shared" ca="1" si="186"/>
        <v>53.198900899174738</v>
      </c>
      <c r="BQ294" s="266">
        <f t="shared" ca="1" si="187"/>
        <v>53.198900899174738</v>
      </c>
      <c r="BR294" s="268">
        <f t="shared" ca="1" si="188"/>
        <v>212.79560359669895</v>
      </c>
      <c r="BS294" s="262" t="s">
        <v>99</v>
      </c>
      <c r="BT294" s="277"/>
      <c r="BW294" s="266">
        <f t="shared" si="189"/>
        <v>53.198900899174738</v>
      </c>
      <c r="BX294" s="266">
        <f t="shared" si="190"/>
        <v>53.198900899174738</v>
      </c>
      <c r="BY294" s="266">
        <f t="shared" si="191"/>
        <v>53.198900899174738</v>
      </c>
      <c r="BZ294" s="266">
        <f t="shared" si="192"/>
        <v>53.198900899174738</v>
      </c>
      <c r="CA294" s="266">
        <f ca="1">N294*IFERROR(INDEX(Algorithms!$G:$G,MATCH($C294&amp;"_Therm Saved per Unit- MLA",Algorithms!$A:$A,0)),0)*X294</f>
        <v>0</v>
      </c>
      <c r="CB294" s="266">
        <f ca="1">O294*IFERROR(INDEX(Algorithms!$G:$G,MATCH($C294&amp;"_Therm Saved per Unit- MLA",Algorithms!$A:$A,0)),0)*Y294</f>
        <v>0</v>
      </c>
      <c r="CC294" s="266">
        <f ca="1">P294*IFERROR(INDEX(Algorithms!$G:$G,MATCH($C294&amp;"_Therm Saved per Unit- MLA",Algorithms!$A:$A,0)),0)*Z294</f>
        <v>0</v>
      </c>
      <c r="CD294" s="266">
        <f ca="1">Q294*IFERROR(INDEX(Algorithms!$G:$G,MATCH($C294&amp;"_Therm Saved per Unit- MLA",Algorithms!$A:$A,0)),0)*AA294</f>
        <v>0</v>
      </c>
      <c r="CE294" s="266">
        <f ca="1">IFERROR(INDEX(Algorithms!$G:$G,MATCH($C294&amp;"_Lifetime (years)",Algorithms!$A:$A,0)),0)</f>
        <v>6</v>
      </c>
      <c r="CF294" s="266">
        <f ca="1">IFERROR(INDEX(Algorithms!$G:$G,MATCH($C294&amp;"_Lifetime (years) - Remaining Years",Algorithms!$A:$A,0)),0)</f>
        <v>0</v>
      </c>
      <c r="CG294" s="266">
        <f t="shared" ca="1" si="193"/>
        <v>319.19340539504844</v>
      </c>
      <c r="CH294" s="266">
        <f t="shared" ca="1" si="194"/>
        <v>319.19340539504844</v>
      </c>
      <c r="CI294" s="266">
        <f t="shared" ca="1" si="195"/>
        <v>319.19340539504844</v>
      </c>
      <c r="CJ294" s="266">
        <f t="shared" ca="1" si="196"/>
        <v>319.19340539504844</v>
      </c>
      <c r="CK294" s="266">
        <f t="shared" si="197"/>
        <v>53.198900899174738</v>
      </c>
      <c r="CL294" s="266">
        <f t="shared" si="198"/>
        <v>53.198900899174738</v>
      </c>
      <c r="CM294" s="266">
        <f t="shared" ca="1" si="199"/>
        <v>53.198900899174738</v>
      </c>
      <c r="CN294" s="266">
        <f t="shared" ca="1" si="200"/>
        <v>53.198900899174738</v>
      </c>
      <c r="CO294" s="266">
        <f ca="1">N294*IFERROR(INDEX(Algorithms!$G:$G,MATCH($C294&amp;"_Therm Saved per Unit- MLA",Algorithms!$A:$A,0)),0)*X294</f>
        <v>0</v>
      </c>
      <c r="CP294" s="266">
        <f ca="1">O294*IFERROR(INDEX(Algorithms!$G:$G,MATCH($C294&amp;"_Therm Saved per Unit- MLA",Algorithms!$A:$A,0)),0)*Y294</f>
        <v>0</v>
      </c>
      <c r="CQ294" s="266">
        <f ca="1">P294*IFERROR(INDEX(Algorithms!$G:$G,MATCH($C294&amp;"_Therm Saved per Unit- MLA",Algorithms!$A:$A,0)),0)*Z294</f>
        <v>0</v>
      </c>
      <c r="CR294" s="266">
        <f ca="1">Q294*IFERROR(INDEX(Algorithms!$G:$G,MATCH($C294&amp;"_Therm Saved per Unit- MLA",Algorithms!$A:$A,0)),0)*AA294</f>
        <v>0</v>
      </c>
      <c r="CS294" s="266">
        <f ca="1">IFERROR(INDEX(Algorithms!$G:$G,MATCH($C294&amp;"_Lifetime (years)",Algorithms!$A:$A,0)),0)</f>
        <v>6</v>
      </c>
      <c r="CT294" s="266">
        <f ca="1">IFERROR(INDEX(Algorithms!$G:$G,MATCH($C294&amp;"_Lifetime (years) - Remaining Years",Algorithms!$A:$A,0)),0)</f>
        <v>0</v>
      </c>
      <c r="CU294" s="266">
        <f t="shared" ca="1" si="201"/>
        <v>319.19340539504844</v>
      </c>
      <c r="CV294" s="266">
        <f t="shared" ca="1" si="202"/>
        <v>319.19340539504844</v>
      </c>
      <c r="CW294" s="266">
        <f t="shared" ca="1" si="203"/>
        <v>319.19340539504844</v>
      </c>
      <c r="CX294" s="266">
        <f t="shared" ca="1" si="204"/>
        <v>319.19340539504844</v>
      </c>
    </row>
    <row r="295" spans="2:102" s="47" customFormat="1" ht="18" customHeight="1" x14ac:dyDescent="0.25">
      <c r="B295" t="str">
        <f t="shared" si="205"/>
        <v>NSG_Income Eligible_Multi-Family_Whole Building - Public Housing_Steam Traps_Test_MF</v>
      </c>
      <c r="C295" s="47" t="str">
        <f t="shared" si="166"/>
        <v>Steam Traps_Test_MF</v>
      </c>
      <c r="D295" s="270" t="s">
        <v>1787</v>
      </c>
      <c r="E295" s="270" t="s">
        <v>325</v>
      </c>
      <c r="F295" s="270" t="s">
        <v>1422</v>
      </c>
      <c r="G295" s="270" t="s">
        <v>1817</v>
      </c>
      <c r="H295" s="270" t="s">
        <v>644</v>
      </c>
      <c r="I295" s="270" t="s">
        <v>1097</v>
      </c>
      <c r="J295" s="270" t="s">
        <v>553</v>
      </c>
      <c r="K295" s="263">
        <v>1</v>
      </c>
      <c r="L295" s="263">
        <f ca="1">IFERROR(INDEX(Algorithms!J:J,MATCH($C295&amp;"_Therm Saved per Unit",Algorithms!$A:$A,0)),"n/a")</f>
        <v>0</v>
      </c>
      <c r="M295" s="263" t="str">
        <f>IFERROR(INDEX('Measure Level Detail'!$N:$N,MATCH($B295,'Measure Level Detail'!$B:$B,0)),0)</f>
        <v>each</v>
      </c>
      <c r="N295" s="271">
        <f>IFERROR(INDEX('Measure Level Detail'!$P:$P,MATCH($B295&amp;"_"&amp;N$3,'Measure Level Detail'!$C:$C,0)),0)</f>
        <v>1</v>
      </c>
      <c r="O295" s="271">
        <f>IFERROR(INDEX('Measure Level Detail'!$P:$P,MATCH($B295&amp;"_"&amp;O$3,'Measure Level Detail'!$C:$C,0)),0)</f>
        <v>1</v>
      </c>
      <c r="P295" s="271">
        <f>IFERROR(INDEX('Measure Level Detail'!$P:$P,MATCH($B295&amp;"_"&amp;P$3,'Measure Level Detail'!$C:$C,0)),0)</f>
        <v>1</v>
      </c>
      <c r="Q295" s="271">
        <f>IFERROR(INDEX('Measure Level Detail'!$P:$P,MATCH($B295&amp;"_"&amp;Q$3,'Measure Level Detail'!$C:$C,0)),0)</f>
        <v>1</v>
      </c>
      <c r="R295" s="263">
        <f ca="1">IFERROR(INDEX(Algorithms!K:K,MATCH($C295&amp;"_Therm Saved per Unit",Algorithms!$A:$A,0)),"n/a")</f>
        <v>0</v>
      </c>
      <c r="S295" s="262"/>
      <c r="T295" s="272">
        <v>0</v>
      </c>
      <c r="U295" s="272">
        <v>0</v>
      </c>
      <c r="V295" s="272">
        <v>0</v>
      </c>
      <c r="W295" s="272">
        <v>0</v>
      </c>
      <c r="X295" s="273">
        <f>IFERROR(INDEX('Measure Level Detail'!$R:$R,MATCH($B295&amp;"_"&amp;X$3,'Measure Level Detail'!$C:$C,0)),0)</f>
        <v>1</v>
      </c>
      <c r="Y295" s="273">
        <f>IFERROR(INDEX('Measure Level Detail'!$R:$R,MATCH($B295&amp;"_"&amp;Y$3,'Measure Level Detail'!$C:$C,0)),0)</f>
        <v>1</v>
      </c>
      <c r="Z295" s="273">
        <f>IFERROR(INDEX('Measure Level Detail'!$R:$R,MATCH($B295&amp;"_"&amp;Z$3,'Measure Level Detail'!$C:$C,0)),0)</f>
        <v>1</v>
      </c>
      <c r="AA295" s="273">
        <f>IFERROR(INDEX('Measure Level Detail'!$R:$R,MATCH($B295&amp;"_"&amp;AA$3,'Measure Level Detail'!$C:$C,0)),0)</f>
        <v>1</v>
      </c>
      <c r="AB295" s="266">
        <f t="shared" si="167"/>
        <v>0</v>
      </c>
      <c r="AC295" s="266">
        <f t="shared" si="168"/>
        <v>0</v>
      </c>
      <c r="AD295" s="266">
        <f t="shared" si="169"/>
        <v>0</v>
      </c>
      <c r="AE295" s="266">
        <f t="shared" si="170"/>
        <v>0</v>
      </c>
      <c r="AF295" s="266">
        <f t="shared" si="171"/>
        <v>0</v>
      </c>
      <c r="AG295" s="274">
        <v>1</v>
      </c>
      <c r="AH295" s="274">
        <v>1</v>
      </c>
      <c r="AI295" s="274">
        <v>1</v>
      </c>
      <c r="AJ295" s="274">
        <v>1</v>
      </c>
      <c r="AK295" s="274">
        <f t="shared" si="172"/>
        <v>1</v>
      </c>
      <c r="AL295" s="274">
        <f t="shared" si="173"/>
        <v>1</v>
      </c>
      <c r="AM295" s="274">
        <f t="shared" si="174"/>
        <v>1</v>
      </c>
      <c r="AN295" s="274">
        <f t="shared" si="175"/>
        <v>1</v>
      </c>
      <c r="AO295" s="262"/>
      <c r="AP295" s="262"/>
      <c r="AQ295" s="267">
        <v>0</v>
      </c>
      <c r="AR295" s="262"/>
      <c r="AS295" s="266">
        <f t="shared" si="176"/>
        <v>0</v>
      </c>
      <c r="AT295" s="264">
        <f t="shared" si="177"/>
        <v>0</v>
      </c>
      <c r="AU295" s="262"/>
      <c r="AV295" s="262"/>
      <c r="AW295" s="265">
        <v>0</v>
      </c>
      <c r="AX295" s="164" t="s">
        <v>1469</v>
      </c>
      <c r="AY295" s="266">
        <v>0</v>
      </c>
      <c r="AZ295" s="266">
        <f t="shared" si="178"/>
        <v>0</v>
      </c>
      <c r="BA295" s="264">
        <f t="shared" si="179"/>
        <v>0</v>
      </c>
      <c r="BB295" s="262"/>
      <c r="BC295" s="262"/>
      <c r="BD295" s="265">
        <f ca="1">IFERROR(INDEX(Algorithms!$G:$G,MATCH($C295&amp;"_Therm Saved per Unit",Algorithms!$A:$A,0)),0)</f>
        <v>0</v>
      </c>
      <c r="BE295" s="164" t="str">
        <f ca="1">IFERROR(INDEX('v12 Revisions'!$P$29:$P$186, MATCH('Measure-Level Adj Gas'!$L295, 'v12 Revisions'!$D$29:$D$186,0)),"")</f>
        <v/>
      </c>
      <c r="BF295" s="266">
        <f t="shared" ca="1" si="180"/>
        <v>0</v>
      </c>
      <c r="BG295" s="264">
        <f t="shared" ca="1" si="181"/>
        <v>0</v>
      </c>
      <c r="BH295" s="262"/>
      <c r="BI295" s="262"/>
      <c r="BJ295" s="265">
        <f ca="1">IFERROR(INDEX(Algorithms!$G:$G,MATCH($C295&amp;"_Therm Saved per Unit",Algorithms!$A:$A,0)),0)</f>
        <v>0</v>
      </c>
      <c r="BK295" s="164"/>
      <c r="BL295" s="266">
        <f t="shared" ca="1" si="182"/>
        <v>0</v>
      </c>
      <c r="BM295" s="264">
        <f t="shared" ca="1" si="183"/>
        <v>0</v>
      </c>
      <c r="BN295" s="266">
        <f t="shared" si="184"/>
        <v>0</v>
      </c>
      <c r="BO295" s="266">
        <f t="shared" si="185"/>
        <v>0</v>
      </c>
      <c r="BP295" s="266">
        <f t="shared" ca="1" si="186"/>
        <v>0</v>
      </c>
      <c r="BQ295" s="266">
        <f t="shared" ca="1" si="187"/>
        <v>0</v>
      </c>
      <c r="BR295" s="268">
        <f t="shared" ca="1" si="188"/>
        <v>0</v>
      </c>
      <c r="BS295" s="262" t="s">
        <v>99</v>
      </c>
      <c r="BT295" s="277"/>
      <c r="BW295" s="266">
        <f t="shared" si="189"/>
        <v>0</v>
      </c>
      <c r="BX295" s="266">
        <f t="shared" si="190"/>
        <v>0</v>
      </c>
      <c r="BY295" s="266">
        <f t="shared" si="191"/>
        <v>0</v>
      </c>
      <c r="BZ295" s="266">
        <f t="shared" si="192"/>
        <v>0</v>
      </c>
      <c r="CA295" s="266">
        <f ca="1">N295*IFERROR(INDEX(Algorithms!$G:$G,MATCH($C295&amp;"_Therm Saved per Unit- MLA",Algorithms!$A:$A,0)),0)*X295</f>
        <v>0</v>
      </c>
      <c r="CB295" s="266">
        <f ca="1">O295*IFERROR(INDEX(Algorithms!$G:$G,MATCH($C295&amp;"_Therm Saved per Unit- MLA",Algorithms!$A:$A,0)),0)*Y295</f>
        <v>0</v>
      </c>
      <c r="CC295" s="266">
        <f ca="1">P295*IFERROR(INDEX(Algorithms!$G:$G,MATCH($C295&amp;"_Therm Saved per Unit- MLA",Algorithms!$A:$A,0)),0)*Z295</f>
        <v>0</v>
      </c>
      <c r="CD295" s="266">
        <f ca="1">Q295*IFERROR(INDEX(Algorithms!$G:$G,MATCH($C295&amp;"_Therm Saved per Unit- MLA",Algorithms!$A:$A,0)),0)*AA295</f>
        <v>0</v>
      </c>
      <c r="CE295" s="266">
        <f ca="1">IFERROR(INDEX(Algorithms!$G:$G,MATCH($C295&amp;"_Lifetime (years)",Algorithms!$A:$A,0)),0)</f>
        <v>3</v>
      </c>
      <c r="CF295" s="266">
        <f ca="1">IFERROR(INDEX(Algorithms!$G:$G,MATCH($C295&amp;"_Lifetime (years) - Remaining Years",Algorithms!$A:$A,0)),0)</f>
        <v>0</v>
      </c>
      <c r="CG295" s="266">
        <f t="shared" ca="1" si="193"/>
        <v>0</v>
      </c>
      <c r="CH295" s="266">
        <f t="shared" ca="1" si="194"/>
        <v>0</v>
      </c>
      <c r="CI295" s="266">
        <f t="shared" ca="1" si="195"/>
        <v>0</v>
      </c>
      <c r="CJ295" s="266">
        <f t="shared" ca="1" si="196"/>
        <v>0</v>
      </c>
      <c r="CK295" s="266">
        <f t="shared" si="197"/>
        <v>0</v>
      </c>
      <c r="CL295" s="266">
        <f t="shared" si="198"/>
        <v>0</v>
      </c>
      <c r="CM295" s="266">
        <f t="shared" ca="1" si="199"/>
        <v>0</v>
      </c>
      <c r="CN295" s="266">
        <f t="shared" ca="1" si="200"/>
        <v>0</v>
      </c>
      <c r="CO295" s="266">
        <f ca="1">N295*IFERROR(INDEX(Algorithms!$G:$G,MATCH($C295&amp;"_Therm Saved per Unit- MLA",Algorithms!$A:$A,0)),0)*X295</f>
        <v>0</v>
      </c>
      <c r="CP295" s="266">
        <f ca="1">O295*IFERROR(INDEX(Algorithms!$G:$G,MATCH($C295&amp;"_Therm Saved per Unit- MLA",Algorithms!$A:$A,0)),0)*Y295</f>
        <v>0</v>
      </c>
      <c r="CQ295" s="266">
        <f ca="1">P295*IFERROR(INDEX(Algorithms!$G:$G,MATCH($C295&amp;"_Therm Saved per Unit- MLA",Algorithms!$A:$A,0)),0)*Z295</f>
        <v>0</v>
      </c>
      <c r="CR295" s="266">
        <f ca="1">Q295*IFERROR(INDEX(Algorithms!$G:$G,MATCH($C295&amp;"_Therm Saved per Unit- MLA",Algorithms!$A:$A,0)),0)*AA295</f>
        <v>0</v>
      </c>
      <c r="CS295" s="266">
        <f ca="1">IFERROR(INDEX(Algorithms!$G:$G,MATCH($C295&amp;"_Lifetime (years)",Algorithms!$A:$A,0)),0)</f>
        <v>3</v>
      </c>
      <c r="CT295" s="266">
        <f ca="1">IFERROR(INDEX(Algorithms!$G:$G,MATCH($C295&amp;"_Lifetime (years) - Remaining Years",Algorithms!$A:$A,0)),0)</f>
        <v>0</v>
      </c>
      <c r="CU295" s="266">
        <f t="shared" ca="1" si="201"/>
        <v>0</v>
      </c>
      <c r="CV295" s="266">
        <f t="shared" ca="1" si="202"/>
        <v>0</v>
      </c>
      <c r="CW295" s="266">
        <f t="shared" ca="1" si="203"/>
        <v>0</v>
      </c>
      <c r="CX295" s="266">
        <f t="shared" ca="1" si="204"/>
        <v>0</v>
      </c>
    </row>
    <row r="296" spans="2:102" s="47" customFormat="1" ht="18" customHeight="1" x14ac:dyDescent="0.25">
      <c r="B296" t="str">
        <f t="shared" si="205"/>
        <v>NSG_Business_Public Sector_Rebates_Dock Door Seals_0_CI</v>
      </c>
      <c r="C296" s="47" t="str">
        <f t="shared" si="166"/>
        <v>Dock Door Seals_0_CI</v>
      </c>
      <c r="D296" s="270" t="s">
        <v>1787</v>
      </c>
      <c r="E296" s="270" t="s">
        <v>3</v>
      </c>
      <c r="F296" s="270" t="s">
        <v>1430</v>
      </c>
      <c r="G296" s="270" t="s">
        <v>1429</v>
      </c>
      <c r="H296" s="270" t="s">
        <v>1291</v>
      </c>
      <c r="I296" s="270">
        <v>0</v>
      </c>
      <c r="J296" s="270" t="s">
        <v>1159</v>
      </c>
      <c r="K296" s="263">
        <v>1</v>
      </c>
      <c r="L296" s="263">
        <f ca="1">IFERROR(INDEX(Algorithms!J:J,MATCH($C296&amp;"_Therm Saved per Unit",Algorithms!$A:$A,0)),"n/a")</f>
        <v>0</v>
      </c>
      <c r="M296" s="263" t="str">
        <f>IFERROR(INDEX('Measure Level Detail'!$N:$N,MATCH($B296,'Measure Level Detail'!$B:$B,0)),0)</f>
        <v>each</v>
      </c>
      <c r="N296" s="271">
        <f>IFERROR(INDEX('Measure Level Detail'!$P:$P,MATCH($B296&amp;"_"&amp;N$3,'Measure Level Detail'!$C:$C,0)),0)</f>
        <v>1</v>
      </c>
      <c r="O296" s="271">
        <f>IFERROR(INDEX('Measure Level Detail'!$P:$P,MATCH($B296&amp;"_"&amp;O$3,'Measure Level Detail'!$C:$C,0)),0)</f>
        <v>1</v>
      </c>
      <c r="P296" s="271">
        <f>IFERROR(INDEX('Measure Level Detail'!$P:$P,MATCH($B296&amp;"_"&amp;P$3,'Measure Level Detail'!$C:$C,0)),0)</f>
        <v>1</v>
      </c>
      <c r="Q296" s="271">
        <f>IFERROR(INDEX('Measure Level Detail'!$P:$P,MATCH($B296&amp;"_"&amp;Q$3,'Measure Level Detail'!$C:$C,0)),0)</f>
        <v>1</v>
      </c>
      <c r="R296" s="263">
        <f ca="1">IFERROR(INDEX(Algorithms!K:K,MATCH($C296&amp;"_Therm Saved per Unit",Algorithms!$A:$A,0)),"n/a")</f>
        <v>0</v>
      </c>
      <c r="S296" s="262"/>
      <c r="T296" s="272">
        <v>234.94825714285713</v>
      </c>
      <c r="U296" s="272">
        <v>234.94825714285713</v>
      </c>
      <c r="V296" s="272">
        <v>234.94825714285713</v>
      </c>
      <c r="W296" s="272">
        <v>234.94825714285713</v>
      </c>
      <c r="X296" s="276">
        <v>0.92</v>
      </c>
      <c r="Y296" s="276">
        <v>0.92</v>
      </c>
      <c r="Z296" s="276">
        <v>0.92</v>
      </c>
      <c r="AA296" s="276">
        <v>0.92</v>
      </c>
      <c r="AB296" s="266">
        <f t="shared" si="167"/>
        <v>216.15239657142857</v>
      </c>
      <c r="AC296" s="266">
        <f t="shared" si="168"/>
        <v>216.15239657142857</v>
      </c>
      <c r="AD296" s="266">
        <f t="shared" si="169"/>
        <v>216.15239657142857</v>
      </c>
      <c r="AE296" s="266">
        <f t="shared" si="170"/>
        <v>216.15239657142857</v>
      </c>
      <c r="AF296" s="266">
        <f t="shared" si="171"/>
        <v>864.60958628571427</v>
      </c>
      <c r="AG296" s="274">
        <v>0.92</v>
      </c>
      <c r="AH296" s="274">
        <v>0.92</v>
      </c>
      <c r="AI296" s="274">
        <v>0.92</v>
      </c>
      <c r="AJ296" s="274">
        <v>0.92</v>
      </c>
      <c r="AK296" s="274">
        <f t="shared" si="172"/>
        <v>0.92</v>
      </c>
      <c r="AL296" s="274">
        <f t="shared" si="173"/>
        <v>0.92</v>
      </c>
      <c r="AM296" s="274">
        <f t="shared" si="174"/>
        <v>0.92</v>
      </c>
      <c r="AN296" s="274">
        <f t="shared" si="175"/>
        <v>0.92</v>
      </c>
      <c r="AO296" s="262"/>
      <c r="AP296" s="262"/>
      <c r="AQ296" s="267">
        <v>234.94825714285713</v>
      </c>
      <c r="AR296" s="262"/>
      <c r="AS296" s="266">
        <f t="shared" si="176"/>
        <v>216.15239657142857</v>
      </c>
      <c r="AT296" s="264">
        <f t="shared" si="177"/>
        <v>0</v>
      </c>
      <c r="AU296" s="262"/>
      <c r="AV296" s="262"/>
      <c r="AW296" s="265">
        <v>234.94825714285713</v>
      </c>
      <c r="AX296" s="164" t="s">
        <v>1469</v>
      </c>
      <c r="AY296" s="266">
        <v>216.15239657142857</v>
      </c>
      <c r="AZ296" s="266">
        <f t="shared" si="178"/>
        <v>216.15239657142857</v>
      </c>
      <c r="BA296" s="264">
        <f t="shared" si="179"/>
        <v>0</v>
      </c>
      <c r="BB296" s="262"/>
      <c r="BC296" s="262"/>
      <c r="BD296" s="265">
        <f ca="1">IFERROR(INDEX(Algorithms!$G:$G,MATCH($C296&amp;"_Therm Saved per Unit",Algorithms!$A:$A,0)),0)</f>
        <v>234.94825714285713</v>
      </c>
      <c r="BE296" s="164" t="str">
        <f ca="1">IFERROR(INDEX('v12 Revisions'!$P$29:$P$186, MATCH('Measure-Level Adj Gas'!$L296, 'v12 Revisions'!$D$29:$D$186,0)),"")</f>
        <v/>
      </c>
      <c r="BF296" s="266">
        <f t="shared" ca="1" si="180"/>
        <v>216.15239657142857</v>
      </c>
      <c r="BG296" s="264">
        <f t="shared" ca="1" si="181"/>
        <v>0</v>
      </c>
      <c r="BH296" s="262"/>
      <c r="BI296" s="262"/>
      <c r="BJ296" s="265">
        <f ca="1">IFERROR(INDEX(Algorithms!$G:$G,MATCH($C296&amp;"_Therm Saved per Unit",Algorithms!$A:$A,0)),0)</f>
        <v>234.94825714285713</v>
      </c>
      <c r="BK296" s="164"/>
      <c r="BL296" s="266">
        <f t="shared" ca="1" si="182"/>
        <v>216.15239657142857</v>
      </c>
      <c r="BM296" s="264">
        <f t="shared" ca="1" si="183"/>
        <v>0</v>
      </c>
      <c r="BN296" s="266">
        <f t="shared" si="184"/>
        <v>216.15239657142857</v>
      </c>
      <c r="BO296" s="266">
        <f t="shared" si="185"/>
        <v>216.15239657142857</v>
      </c>
      <c r="BP296" s="266">
        <f t="shared" ca="1" si="186"/>
        <v>216.15239657142857</v>
      </c>
      <c r="BQ296" s="266">
        <f t="shared" ca="1" si="187"/>
        <v>216.15239657142857</v>
      </c>
      <c r="BR296" s="268">
        <f t="shared" ca="1" si="188"/>
        <v>864.60958628571427</v>
      </c>
      <c r="BS296" s="262" t="s">
        <v>99</v>
      </c>
      <c r="BT296" s="277"/>
      <c r="BW296" s="266">
        <f t="shared" si="189"/>
        <v>216.15239657142857</v>
      </c>
      <c r="BX296" s="266">
        <f t="shared" si="190"/>
        <v>216.15239657142857</v>
      </c>
      <c r="BY296" s="266">
        <f t="shared" si="191"/>
        <v>216.15239657142857</v>
      </c>
      <c r="BZ296" s="266">
        <f t="shared" si="192"/>
        <v>216.15239657142857</v>
      </c>
      <c r="CA296" s="266">
        <f ca="1">N296*IFERROR(INDEX(Algorithms!$G:$G,MATCH($C296&amp;"_Therm Saved per Unit- MLA",Algorithms!$A:$A,0)),0)*X296</f>
        <v>0</v>
      </c>
      <c r="CB296" s="266">
        <f ca="1">O296*IFERROR(INDEX(Algorithms!$G:$G,MATCH($C296&amp;"_Therm Saved per Unit- MLA",Algorithms!$A:$A,0)),0)*Y296</f>
        <v>0</v>
      </c>
      <c r="CC296" s="266">
        <f ca="1">P296*IFERROR(INDEX(Algorithms!$G:$G,MATCH($C296&amp;"_Therm Saved per Unit- MLA",Algorithms!$A:$A,0)),0)*Z296</f>
        <v>0</v>
      </c>
      <c r="CD296" s="266">
        <f ca="1">Q296*IFERROR(INDEX(Algorithms!$G:$G,MATCH($C296&amp;"_Therm Saved per Unit- MLA",Algorithms!$A:$A,0)),0)*AA296</f>
        <v>0</v>
      </c>
      <c r="CE296" s="266">
        <f ca="1">IFERROR(INDEX(Algorithms!$G:$G,MATCH($C296&amp;"_Lifetime (years)",Algorithms!$A:$A,0)),0)</f>
        <v>20</v>
      </c>
      <c r="CF296" s="266">
        <f ca="1">IFERROR(INDEX(Algorithms!$G:$G,MATCH($C296&amp;"_Lifetime (years) - Remaining Years",Algorithms!$A:$A,0)),0)</f>
        <v>0</v>
      </c>
      <c r="CG296" s="266">
        <f t="shared" ca="1" si="193"/>
        <v>4323.0479314285712</v>
      </c>
      <c r="CH296" s="266">
        <f t="shared" ca="1" si="194"/>
        <v>4323.0479314285712</v>
      </c>
      <c r="CI296" s="266">
        <f t="shared" ca="1" si="195"/>
        <v>4323.0479314285712</v>
      </c>
      <c r="CJ296" s="266">
        <f t="shared" ca="1" si="196"/>
        <v>4323.0479314285712</v>
      </c>
      <c r="CK296" s="266">
        <f t="shared" si="197"/>
        <v>216.15239657142857</v>
      </c>
      <c r="CL296" s="266">
        <f t="shared" si="198"/>
        <v>216.15239657142857</v>
      </c>
      <c r="CM296" s="266">
        <f t="shared" ca="1" si="199"/>
        <v>216.15239657142857</v>
      </c>
      <c r="CN296" s="266">
        <f t="shared" ca="1" si="200"/>
        <v>216.15239657142857</v>
      </c>
      <c r="CO296" s="266">
        <f ca="1">N296*IFERROR(INDEX(Algorithms!$G:$G,MATCH($C296&amp;"_Therm Saved per Unit- MLA",Algorithms!$A:$A,0)),0)*X296</f>
        <v>0</v>
      </c>
      <c r="CP296" s="266">
        <f ca="1">O296*IFERROR(INDEX(Algorithms!$G:$G,MATCH($C296&amp;"_Therm Saved per Unit- MLA",Algorithms!$A:$A,0)),0)*Y296</f>
        <v>0</v>
      </c>
      <c r="CQ296" s="266">
        <f ca="1">P296*IFERROR(INDEX(Algorithms!$G:$G,MATCH($C296&amp;"_Therm Saved per Unit- MLA",Algorithms!$A:$A,0)),0)*Z296</f>
        <v>0</v>
      </c>
      <c r="CR296" s="266">
        <f ca="1">Q296*IFERROR(INDEX(Algorithms!$G:$G,MATCH($C296&amp;"_Therm Saved per Unit- MLA",Algorithms!$A:$A,0)),0)*AA296</f>
        <v>0</v>
      </c>
      <c r="CS296" s="266">
        <f ca="1">IFERROR(INDEX(Algorithms!$G:$G,MATCH($C296&amp;"_Lifetime (years)",Algorithms!$A:$A,0)),0)</f>
        <v>20</v>
      </c>
      <c r="CT296" s="266">
        <f ca="1">IFERROR(INDEX(Algorithms!$G:$G,MATCH($C296&amp;"_Lifetime (years) - Remaining Years",Algorithms!$A:$A,0)),0)</f>
        <v>0</v>
      </c>
      <c r="CU296" s="266">
        <f t="shared" ca="1" si="201"/>
        <v>4323.0479314285712</v>
      </c>
      <c r="CV296" s="266">
        <f t="shared" ca="1" si="202"/>
        <v>4323.0479314285712</v>
      </c>
      <c r="CW296" s="266">
        <f t="shared" ca="1" si="203"/>
        <v>4323.0479314285712</v>
      </c>
      <c r="CX296" s="266">
        <f t="shared" ca="1" si="204"/>
        <v>4323.0479314285712</v>
      </c>
    </row>
    <row r="297" spans="2:102" s="47" customFormat="1" ht="18" customHeight="1" x14ac:dyDescent="0.25">
      <c r="B297" t="str">
        <f t="shared" si="205"/>
        <v>NSG_Business_Small/Mid-Size Business_Staffing Grant_Staffing Grant_0_CI</v>
      </c>
      <c r="C297" s="47" t="str">
        <f t="shared" si="166"/>
        <v>Staffing Grant_0_CI</v>
      </c>
      <c r="D297" s="270" t="s">
        <v>1787</v>
      </c>
      <c r="E297" s="270" t="s">
        <v>3</v>
      </c>
      <c r="F297" s="270" t="s">
        <v>1432</v>
      </c>
      <c r="G297" s="270" t="s">
        <v>1435</v>
      </c>
      <c r="H297" s="270" t="s">
        <v>1435</v>
      </c>
      <c r="I297" s="270">
        <v>0</v>
      </c>
      <c r="J297" s="270" t="s">
        <v>1159</v>
      </c>
      <c r="K297" s="263">
        <v>1</v>
      </c>
      <c r="L297" s="263" t="str">
        <f ca="1">IFERROR(INDEX(Algorithms!J:J,MATCH($C297&amp;"_Therm Saved per Unit",Algorithms!$A:$A,0)),"n/a")</f>
        <v>n/a</v>
      </c>
      <c r="M297" s="263" t="str">
        <f>IFERROR(INDEX('Measure Level Detail'!$N:$N,MATCH($B297,'Measure Level Detail'!$B:$B,0)),0)</f>
        <v>each</v>
      </c>
      <c r="N297" s="271">
        <f>IFERROR(INDEX('Measure Level Detail'!$P:$P,MATCH($B297&amp;"_"&amp;N$3,'Measure Level Detail'!$C:$C,0)),0)</f>
        <v>1</v>
      </c>
      <c r="O297" s="271">
        <f>IFERROR(INDEX('Measure Level Detail'!$P:$P,MATCH($B297&amp;"_"&amp;O$3,'Measure Level Detail'!$C:$C,0)),0)</f>
        <v>1</v>
      </c>
      <c r="P297" s="271">
        <f>IFERROR(INDEX('Measure Level Detail'!$P:$P,MATCH($B297&amp;"_"&amp;P$3,'Measure Level Detail'!$C:$C,0)),0)</f>
        <v>1</v>
      </c>
      <c r="Q297" s="271">
        <f>IFERROR(INDEX('Measure Level Detail'!$P:$P,MATCH($B297&amp;"_"&amp;Q$3,'Measure Level Detail'!$C:$C,0)),0)</f>
        <v>1</v>
      </c>
      <c r="R297" s="263" t="str">
        <f ca="1">IFERROR(INDEX(Algorithms!K:K,MATCH($C297&amp;"_Therm Saved per Unit",Algorithms!$A:$A,0)),"n/a")</f>
        <v>n/a</v>
      </c>
      <c r="S297" s="262"/>
      <c r="T297" s="272">
        <v>0</v>
      </c>
      <c r="U297" s="272">
        <v>0</v>
      </c>
      <c r="V297" s="272">
        <v>0</v>
      </c>
      <c r="W297" s="272">
        <v>0</v>
      </c>
      <c r="X297" s="276">
        <v>0.93</v>
      </c>
      <c r="Y297" s="276">
        <v>0.93</v>
      </c>
      <c r="Z297" s="276">
        <v>0.93</v>
      </c>
      <c r="AA297" s="276">
        <v>0.93</v>
      </c>
      <c r="AB297" s="266">
        <f t="shared" si="167"/>
        <v>0</v>
      </c>
      <c r="AC297" s="266">
        <f t="shared" si="168"/>
        <v>0</v>
      </c>
      <c r="AD297" s="266">
        <f t="shared" si="169"/>
        <v>0</v>
      </c>
      <c r="AE297" s="266">
        <f t="shared" si="170"/>
        <v>0</v>
      </c>
      <c r="AF297" s="266">
        <f t="shared" si="171"/>
        <v>0</v>
      </c>
      <c r="AG297" s="274">
        <v>0.93</v>
      </c>
      <c r="AH297" s="274">
        <v>0.93</v>
      </c>
      <c r="AI297" s="274">
        <v>0.93</v>
      </c>
      <c r="AJ297" s="274">
        <v>0.93</v>
      </c>
      <c r="AK297" s="274">
        <f t="shared" si="172"/>
        <v>0.93</v>
      </c>
      <c r="AL297" s="274">
        <f t="shared" si="173"/>
        <v>0.93</v>
      </c>
      <c r="AM297" s="274">
        <f t="shared" si="174"/>
        <v>0.93</v>
      </c>
      <c r="AN297" s="274">
        <f t="shared" si="175"/>
        <v>0.93</v>
      </c>
      <c r="AO297" s="262"/>
      <c r="AP297" s="262"/>
      <c r="AQ297" s="267">
        <v>0</v>
      </c>
      <c r="AR297" s="262"/>
      <c r="AS297" s="266">
        <f t="shared" si="176"/>
        <v>0</v>
      </c>
      <c r="AT297" s="264">
        <f t="shared" si="177"/>
        <v>0</v>
      </c>
      <c r="AU297" s="262"/>
      <c r="AV297" s="262"/>
      <c r="AW297" s="265">
        <v>0</v>
      </c>
      <c r="AX297" s="164" t="s">
        <v>1469</v>
      </c>
      <c r="AY297" s="266">
        <v>0</v>
      </c>
      <c r="AZ297" s="266">
        <f t="shared" si="178"/>
        <v>0</v>
      </c>
      <c r="BA297" s="264">
        <f t="shared" si="179"/>
        <v>0</v>
      </c>
      <c r="BB297" s="262"/>
      <c r="BC297" s="262"/>
      <c r="BD297" s="265">
        <f ca="1">IFERROR(INDEX(Algorithms!$G:$G,MATCH($C297&amp;"_Therm Saved per Unit",Algorithms!$A:$A,0)),0)</f>
        <v>0</v>
      </c>
      <c r="BE297" s="164" t="str">
        <f ca="1">IFERROR(INDEX('v12 Revisions'!$P$29:$P$186, MATCH('Measure-Level Adj Gas'!$L297, 'v12 Revisions'!$D$29:$D$186,0)),"")</f>
        <v/>
      </c>
      <c r="BF297" s="266">
        <f t="shared" ca="1" si="180"/>
        <v>0</v>
      </c>
      <c r="BG297" s="264">
        <f t="shared" ca="1" si="181"/>
        <v>0</v>
      </c>
      <c r="BH297" s="262"/>
      <c r="BI297" s="262"/>
      <c r="BJ297" s="265">
        <f ca="1">IFERROR(INDEX(Algorithms!$G:$G,MATCH($C297&amp;"_Therm Saved per Unit",Algorithms!$A:$A,0)),0)</f>
        <v>0</v>
      </c>
      <c r="BK297" s="164"/>
      <c r="BL297" s="266">
        <f t="shared" ca="1" si="182"/>
        <v>0</v>
      </c>
      <c r="BM297" s="264">
        <f t="shared" ca="1" si="183"/>
        <v>0</v>
      </c>
      <c r="BN297" s="266">
        <f t="shared" si="184"/>
        <v>0</v>
      </c>
      <c r="BO297" s="266">
        <f t="shared" si="185"/>
        <v>0</v>
      </c>
      <c r="BP297" s="266">
        <f t="shared" ca="1" si="186"/>
        <v>0</v>
      </c>
      <c r="BQ297" s="266">
        <f t="shared" ca="1" si="187"/>
        <v>0</v>
      </c>
      <c r="BR297" s="268">
        <f t="shared" ca="1" si="188"/>
        <v>0</v>
      </c>
      <c r="BS297" s="262" t="s">
        <v>99</v>
      </c>
      <c r="BT297" s="277"/>
      <c r="BW297" s="266">
        <f t="shared" si="189"/>
        <v>0</v>
      </c>
      <c r="BX297" s="266">
        <f t="shared" si="190"/>
        <v>0</v>
      </c>
      <c r="BY297" s="266">
        <f t="shared" si="191"/>
        <v>0</v>
      </c>
      <c r="BZ297" s="266">
        <f t="shared" si="192"/>
        <v>0</v>
      </c>
      <c r="CA297" s="266">
        <f ca="1">N297*IFERROR(INDEX(Algorithms!$G:$G,MATCH($C297&amp;"_Therm Saved per Unit- MLA",Algorithms!$A:$A,0)),0)*X297</f>
        <v>0</v>
      </c>
      <c r="CB297" s="266">
        <f ca="1">O297*IFERROR(INDEX(Algorithms!$G:$G,MATCH($C297&amp;"_Therm Saved per Unit- MLA",Algorithms!$A:$A,0)),0)*Y297</f>
        <v>0</v>
      </c>
      <c r="CC297" s="266">
        <f ca="1">P297*IFERROR(INDEX(Algorithms!$G:$G,MATCH($C297&amp;"_Therm Saved per Unit- MLA",Algorithms!$A:$A,0)),0)*Z297</f>
        <v>0</v>
      </c>
      <c r="CD297" s="266">
        <f ca="1">Q297*IFERROR(INDEX(Algorithms!$G:$G,MATCH($C297&amp;"_Therm Saved per Unit- MLA",Algorithms!$A:$A,0)),0)*AA297</f>
        <v>0</v>
      </c>
      <c r="CE297" s="266">
        <f ca="1">IFERROR(INDEX(Algorithms!$G:$G,MATCH($C297&amp;"_Lifetime (years)",Algorithms!$A:$A,0)),0)</f>
        <v>0</v>
      </c>
      <c r="CF297" s="266">
        <f ca="1">IFERROR(INDEX(Algorithms!$G:$G,MATCH($C297&amp;"_Lifetime (years) - Remaining Years",Algorithms!$A:$A,0)),0)</f>
        <v>0</v>
      </c>
      <c r="CG297" s="266">
        <f t="shared" ca="1" si="193"/>
        <v>0</v>
      </c>
      <c r="CH297" s="266">
        <f t="shared" ca="1" si="194"/>
        <v>0</v>
      </c>
      <c r="CI297" s="266">
        <f t="shared" ca="1" si="195"/>
        <v>0</v>
      </c>
      <c r="CJ297" s="266">
        <f t="shared" ca="1" si="196"/>
        <v>0</v>
      </c>
      <c r="CK297" s="266">
        <f t="shared" si="197"/>
        <v>0</v>
      </c>
      <c r="CL297" s="266">
        <f t="shared" si="198"/>
        <v>0</v>
      </c>
      <c r="CM297" s="266">
        <f t="shared" ca="1" si="199"/>
        <v>0</v>
      </c>
      <c r="CN297" s="266">
        <f t="shared" ca="1" si="200"/>
        <v>0</v>
      </c>
      <c r="CO297" s="266">
        <f ca="1">N297*IFERROR(INDEX(Algorithms!$G:$G,MATCH($C297&amp;"_Therm Saved per Unit- MLA",Algorithms!$A:$A,0)),0)*X297</f>
        <v>0</v>
      </c>
      <c r="CP297" s="266">
        <f ca="1">O297*IFERROR(INDEX(Algorithms!$G:$G,MATCH($C297&amp;"_Therm Saved per Unit- MLA",Algorithms!$A:$A,0)),0)*Y297</f>
        <v>0</v>
      </c>
      <c r="CQ297" s="266">
        <f ca="1">P297*IFERROR(INDEX(Algorithms!$G:$G,MATCH($C297&amp;"_Therm Saved per Unit- MLA",Algorithms!$A:$A,0)),0)*Z297</f>
        <v>0</v>
      </c>
      <c r="CR297" s="266">
        <f ca="1">Q297*IFERROR(INDEX(Algorithms!$G:$G,MATCH($C297&amp;"_Therm Saved per Unit- MLA",Algorithms!$A:$A,0)),0)*AA297</f>
        <v>0</v>
      </c>
      <c r="CS297" s="266">
        <f ca="1">IFERROR(INDEX(Algorithms!$G:$G,MATCH($C297&amp;"_Lifetime (years)",Algorithms!$A:$A,0)),0)</f>
        <v>0</v>
      </c>
      <c r="CT297" s="266">
        <f ca="1">IFERROR(INDEX(Algorithms!$G:$G,MATCH($C297&amp;"_Lifetime (years) - Remaining Years",Algorithms!$A:$A,0)),0)</f>
        <v>0</v>
      </c>
      <c r="CU297" s="266">
        <f t="shared" ca="1" si="201"/>
        <v>0</v>
      </c>
      <c r="CV297" s="266">
        <f t="shared" ca="1" si="202"/>
        <v>0</v>
      </c>
      <c r="CW297" s="266">
        <f t="shared" ca="1" si="203"/>
        <v>0</v>
      </c>
      <c r="CX297" s="266">
        <f t="shared" ca="1" si="204"/>
        <v>0</v>
      </c>
    </row>
    <row r="298" spans="2:102" s="47" customFormat="1" ht="18" customHeight="1" x14ac:dyDescent="0.25">
      <c r="B298" t="str">
        <f t="shared" si="205"/>
        <v>NSG_Business_C&amp;I_Staffing_Staffing_0_CI</v>
      </c>
      <c r="C298" s="47" t="str">
        <f t="shared" si="166"/>
        <v>Staffing_0_CI</v>
      </c>
      <c r="D298" s="270" t="s">
        <v>1787</v>
      </c>
      <c r="E298" s="270" t="s">
        <v>3</v>
      </c>
      <c r="F298" s="270" t="s">
        <v>1427</v>
      </c>
      <c r="G298" s="270" t="s">
        <v>1282</v>
      </c>
      <c r="H298" s="270" t="s">
        <v>1282</v>
      </c>
      <c r="I298" s="270">
        <v>0</v>
      </c>
      <c r="J298" s="270" t="s">
        <v>1159</v>
      </c>
      <c r="K298" s="263">
        <v>1</v>
      </c>
      <c r="L298" s="263">
        <f ca="1">IFERROR(INDEX(Algorithms!J:J,MATCH($C298&amp;"_Therm Saved per Unit",Algorithms!$A:$A,0)),"n/a")</f>
        <v>0</v>
      </c>
      <c r="M298" s="263" t="str">
        <f>IFERROR(INDEX('Measure Level Detail'!$N:$N,MATCH($B298,'Measure Level Detail'!$B:$B,0)),0)</f>
        <v>each</v>
      </c>
      <c r="N298" s="271">
        <f>IFERROR(INDEX('Measure Level Detail'!$P:$P,MATCH($B298&amp;"_"&amp;N$3,'Measure Level Detail'!$C:$C,0)),0)</f>
        <v>0.85</v>
      </c>
      <c r="O298" s="271">
        <f>IFERROR(INDEX('Measure Level Detail'!$P:$P,MATCH($B298&amp;"_"&amp;O$3,'Measure Level Detail'!$C:$C,0)),0)</f>
        <v>0.8</v>
      </c>
      <c r="P298" s="271">
        <f>IFERROR(INDEX('Measure Level Detail'!$P:$P,MATCH($B298&amp;"_"&amp;P$3,'Measure Level Detail'!$C:$C,0)),0)</f>
        <v>0.7</v>
      </c>
      <c r="Q298" s="271">
        <f>IFERROR(INDEX('Measure Level Detail'!$P:$P,MATCH($B298&amp;"_"&amp;Q$3,'Measure Level Detail'!$C:$C,0)),0)</f>
        <v>0.68</v>
      </c>
      <c r="R298" s="263">
        <f ca="1">IFERROR(INDEX(Algorithms!K:K,MATCH($C298&amp;"_Therm Saved per Unit",Algorithms!$A:$A,0)),"n/a")</f>
        <v>0</v>
      </c>
      <c r="S298" s="262"/>
      <c r="T298" s="272">
        <v>0</v>
      </c>
      <c r="U298" s="272">
        <v>0</v>
      </c>
      <c r="V298" s="272">
        <v>0</v>
      </c>
      <c r="W298" s="272">
        <v>0</v>
      </c>
      <c r="X298" s="273">
        <f>IFERROR(INDEX('Measure Level Detail'!$R:$R,MATCH($B298&amp;"_"&amp;X$3,'Measure Level Detail'!$C:$C,0)),0)</f>
        <v>1.02</v>
      </c>
      <c r="Y298" s="273">
        <f>IFERROR(INDEX('Measure Level Detail'!$R:$R,MATCH($B298&amp;"_"&amp;Y$3,'Measure Level Detail'!$C:$C,0)),0)</f>
        <v>1.02</v>
      </c>
      <c r="Z298" s="273">
        <f>IFERROR(INDEX('Measure Level Detail'!$R:$R,MATCH($B298&amp;"_"&amp;Z$3,'Measure Level Detail'!$C:$C,0)),0)</f>
        <v>1.02</v>
      </c>
      <c r="AA298" s="273">
        <f>IFERROR(INDEX('Measure Level Detail'!$R:$R,MATCH($B298&amp;"_"&amp;AA$3,'Measure Level Detail'!$C:$C,0)),0)</f>
        <v>1.02</v>
      </c>
      <c r="AB298" s="266">
        <f t="shared" si="167"/>
        <v>0</v>
      </c>
      <c r="AC298" s="266">
        <f t="shared" si="168"/>
        <v>0</v>
      </c>
      <c r="AD298" s="266">
        <f t="shared" si="169"/>
        <v>0</v>
      </c>
      <c r="AE298" s="266">
        <f t="shared" si="170"/>
        <v>0</v>
      </c>
      <c r="AF298" s="266">
        <f t="shared" si="171"/>
        <v>0</v>
      </c>
      <c r="AG298" s="274">
        <v>1.02</v>
      </c>
      <c r="AH298" s="274">
        <v>1.02</v>
      </c>
      <c r="AI298" s="274">
        <v>1.02</v>
      </c>
      <c r="AJ298" s="274">
        <v>1.02</v>
      </c>
      <c r="AK298" s="274">
        <f t="shared" si="172"/>
        <v>1.02</v>
      </c>
      <c r="AL298" s="274">
        <f t="shared" si="173"/>
        <v>1.02</v>
      </c>
      <c r="AM298" s="274">
        <f t="shared" si="174"/>
        <v>1.02</v>
      </c>
      <c r="AN298" s="274">
        <f t="shared" si="175"/>
        <v>1.02</v>
      </c>
      <c r="AO298" s="262"/>
      <c r="AP298" s="262"/>
      <c r="AQ298" s="267">
        <v>0</v>
      </c>
      <c r="AR298" s="262"/>
      <c r="AS298" s="266">
        <f t="shared" si="176"/>
        <v>0</v>
      </c>
      <c r="AT298" s="264">
        <f t="shared" si="177"/>
        <v>0</v>
      </c>
      <c r="AU298" s="262"/>
      <c r="AV298" s="262"/>
      <c r="AW298" s="265">
        <v>0</v>
      </c>
      <c r="AX298" s="164" t="s">
        <v>1469</v>
      </c>
      <c r="AY298" s="266">
        <v>0</v>
      </c>
      <c r="AZ298" s="266">
        <f t="shared" si="178"/>
        <v>0</v>
      </c>
      <c r="BA298" s="264">
        <f t="shared" si="179"/>
        <v>0</v>
      </c>
      <c r="BB298" s="262"/>
      <c r="BC298" s="262"/>
      <c r="BD298" s="265">
        <f ca="1">IFERROR(INDEX(Algorithms!$G:$G,MATCH($C298&amp;"_Therm Saved per Unit",Algorithms!$A:$A,0)),0)</f>
        <v>0</v>
      </c>
      <c r="BE298" s="164" t="str">
        <f ca="1">IFERROR(INDEX('v12 Revisions'!$P$29:$P$186, MATCH('Measure-Level Adj Gas'!$L298, 'v12 Revisions'!$D$29:$D$186,0)),"")</f>
        <v/>
      </c>
      <c r="BF298" s="266">
        <f t="shared" ca="1" si="180"/>
        <v>0</v>
      </c>
      <c r="BG298" s="264">
        <f t="shared" ca="1" si="181"/>
        <v>0</v>
      </c>
      <c r="BH298" s="262"/>
      <c r="BI298" s="262"/>
      <c r="BJ298" s="265">
        <f ca="1">IFERROR(INDEX(Algorithms!$G:$G,MATCH($C298&amp;"_Therm Saved per Unit",Algorithms!$A:$A,0)),0)</f>
        <v>0</v>
      </c>
      <c r="BK298" s="164"/>
      <c r="BL298" s="266">
        <f t="shared" ca="1" si="182"/>
        <v>0</v>
      </c>
      <c r="BM298" s="264">
        <f t="shared" ca="1" si="183"/>
        <v>0</v>
      </c>
      <c r="BN298" s="266">
        <f t="shared" si="184"/>
        <v>0</v>
      </c>
      <c r="BO298" s="266">
        <f t="shared" si="185"/>
        <v>0</v>
      </c>
      <c r="BP298" s="266">
        <f t="shared" ca="1" si="186"/>
        <v>0</v>
      </c>
      <c r="BQ298" s="266">
        <f t="shared" ca="1" si="187"/>
        <v>0</v>
      </c>
      <c r="BR298" s="268">
        <f t="shared" ca="1" si="188"/>
        <v>0</v>
      </c>
      <c r="BS298" s="262" t="s">
        <v>99</v>
      </c>
      <c r="BT298" s="277"/>
      <c r="BW298" s="266">
        <f t="shared" si="189"/>
        <v>0</v>
      </c>
      <c r="BX298" s="266">
        <f t="shared" si="190"/>
        <v>0</v>
      </c>
      <c r="BY298" s="266">
        <f t="shared" si="191"/>
        <v>0</v>
      </c>
      <c r="BZ298" s="266">
        <f t="shared" si="192"/>
        <v>0</v>
      </c>
      <c r="CA298" s="266">
        <f ca="1">N298*IFERROR(INDEX(Algorithms!$G:$G,MATCH($C298&amp;"_Therm Saved per Unit- MLA",Algorithms!$A:$A,0)),0)*X298</f>
        <v>0</v>
      </c>
      <c r="CB298" s="266">
        <f ca="1">O298*IFERROR(INDEX(Algorithms!$G:$G,MATCH($C298&amp;"_Therm Saved per Unit- MLA",Algorithms!$A:$A,0)),0)*Y298</f>
        <v>0</v>
      </c>
      <c r="CC298" s="266">
        <f ca="1">P298*IFERROR(INDEX(Algorithms!$G:$G,MATCH($C298&amp;"_Therm Saved per Unit- MLA",Algorithms!$A:$A,0)),0)*Z298</f>
        <v>0</v>
      </c>
      <c r="CD298" s="266">
        <f ca="1">Q298*IFERROR(INDEX(Algorithms!$G:$G,MATCH($C298&amp;"_Therm Saved per Unit- MLA",Algorithms!$A:$A,0)),0)*AA298</f>
        <v>0</v>
      </c>
      <c r="CE298" s="266">
        <f ca="1">IFERROR(INDEX(Algorithms!$G:$G,MATCH($C298&amp;"_Lifetime (years)",Algorithms!$A:$A,0)),0)</f>
        <v>0</v>
      </c>
      <c r="CF298" s="266">
        <f ca="1">IFERROR(INDEX(Algorithms!$G:$G,MATCH($C298&amp;"_Lifetime (years) - Remaining Years",Algorithms!$A:$A,0)),0)</f>
        <v>0</v>
      </c>
      <c r="CG298" s="266">
        <f t="shared" ca="1" si="193"/>
        <v>0</v>
      </c>
      <c r="CH298" s="266">
        <f t="shared" ca="1" si="194"/>
        <v>0</v>
      </c>
      <c r="CI298" s="266">
        <f t="shared" ca="1" si="195"/>
        <v>0</v>
      </c>
      <c r="CJ298" s="266">
        <f t="shared" ca="1" si="196"/>
        <v>0</v>
      </c>
      <c r="CK298" s="266">
        <f t="shared" si="197"/>
        <v>0</v>
      </c>
      <c r="CL298" s="266">
        <f t="shared" si="198"/>
        <v>0</v>
      </c>
      <c r="CM298" s="266">
        <f t="shared" ca="1" si="199"/>
        <v>0</v>
      </c>
      <c r="CN298" s="266">
        <f t="shared" ca="1" si="200"/>
        <v>0</v>
      </c>
      <c r="CO298" s="266">
        <f ca="1">N298*IFERROR(INDEX(Algorithms!$G:$G,MATCH($C298&amp;"_Therm Saved per Unit- MLA",Algorithms!$A:$A,0)),0)*X298</f>
        <v>0</v>
      </c>
      <c r="CP298" s="266">
        <f ca="1">O298*IFERROR(INDEX(Algorithms!$G:$G,MATCH($C298&amp;"_Therm Saved per Unit- MLA",Algorithms!$A:$A,0)),0)*Y298</f>
        <v>0</v>
      </c>
      <c r="CQ298" s="266">
        <f ca="1">P298*IFERROR(INDEX(Algorithms!$G:$G,MATCH($C298&amp;"_Therm Saved per Unit- MLA",Algorithms!$A:$A,0)),0)*Z298</f>
        <v>0</v>
      </c>
      <c r="CR298" s="266">
        <f ca="1">Q298*IFERROR(INDEX(Algorithms!$G:$G,MATCH($C298&amp;"_Therm Saved per Unit- MLA",Algorithms!$A:$A,0)),0)*AA298</f>
        <v>0</v>
      </c>
      <c r="CS298" s="266">
        <f ca="1">IFERROR(INDEX(Algorithms!$G:$G,MATCH($C298&amp;"_Lifetime (years)",Algorithms!$A:$A,0)),0)</f>
        <v>0</v>
      </c>
      <c r="CT298" s="266">
        <f ca="1">IFERROR(INDEX(Algorithms!$G:$G,MATCH($C298&amp;"_Lifetime (years) - Remaining Years",Algorithms!$A:$A,0)),0)</f>
        <v>0</v>
      </c>
      <c r="CU298" s="266">
        <f t="shared" ca="1" si="201"/>
        <v>0</v>
      </c>
      <c r="CV298" s="266">
        <f t="shared" ca="1" si="202"/>
        <v>0</v>
      </c>
      <c r="CW298" s="266">
        <f t="shared" ca="1" si="203"/>
        <v>0</v>
      </c>
      <c r="CX298" s="266">
        <f t="shared" ca="1" si="204"/>
        <v>0</v>
      </c>
    </row>
    <row r="299" spans="2:102" s="47" customFormat="1" ht="18" customHeight="1" x14ac:dyDescent="0.25">
      <c r="B299" t="str">
        <f t="shared" si="205"/>
        <v>NSG_Business_C&amp;I_Rebates_Dock Door Seals_0_CI</v>
      </c>
      <c r="C299" s="47" t="str">
        <f t="shared" si="166"/>
        <v>Dock Door Seals_0_CI</v>
      </c>
      <c r="D299" s="270" t="s">
        <v>1787</v>
      </c>
      <c r="E299" s="270" t="s">
        <v>3</v>
      </c>
      <c r="F299" s="270" t="s">
        <v>1427</v>
      </c>
      <c r="G299" s="270" t="s">
        <v>1429</v>
      </c>
      <c r="H299" s="270" t="s">
        <v>1291</v>
      </c>
      <c r="I299" s="270">
        <v>0</v>
      </c>
      <c r="J299" s="270" t="s">
        <v>1159</v>
      </c>
      <c r="K299" s="263">
        <v>1</v>
      </c>
      <c r="L299" s="263">
        <f ca="1">IFERROR(INDEX(Algorithms!J:J,MATCH($C299&amp;"_Therm Saved per Unit",Algorithms!$A:$A,0)),"n/a")</f>
        <v>0</v>
      </c>
      <c r="M299" s="263" t="str">
        <f>IFERROR(INDEX('Measure Level Detail'!$N:$N,MATCH($B299,'Measure Level Detail'!$B:$B,0)),0)</f>
        <v>each</v>
      </c>
      <c r="N299" s="271">
        <f>IFERROR(INDEX('Measure Level Detail'!$P:$P,MATCH($B299&amp;"_"&amp;N$3,'Measure Level Detail'!$C:$C,0)),0)</f>
        <v>0.85</v>
      </c>
      <c r="O299" s="271">
        <f>IFERROR(INDEX('Measure Level Detail'!$P:$P,MATCH($B299&amp;"_"&amp;O$3,'Measure Level Detail'!$C:$C,0)),0)</f>
        <v>0.8</v>
      </c>
      <c r="P299" s="271">
        <f>IFERROR(INDEX('Measure Level Detail'!$P:$P,MATCH($B299&amp;"_"&amp;P$3,'Measure Level Detail'!$C:$C,0)),0)</f>
        <v>0.7</v>
      </c>
      <c r="Q299" s="271">
        <f>IFERROR(INDEX('Measure Level Detail'!$P:$P,MATCH($B299&amp;"_"&amp;Q$3,'Measure Level Detail'!$C:$C,0)),0)</f>
        <v>0.68</v>
      </c>
      <c r="R299" s="263">
        <f ca="1">IFERROR(INDEX(Algorithms!K:K,MATCH($C299&amp;"_Therm Saved per Unit",Algorithms!$A:$A,0)),"n/a")</f>
        <v>0</v>
      </c>
      <c r="S299" s="262"/>
      <c r="T299" s="272">
        <v>234.94825714285713</v>
      </c>
      <c r="U299" s="272">
        <v>234.94825714285713</v>
      </c>
      <c r="V299" s="272">
        <v>234.94825714285713</v>
      </c>
      <c r="W299" s="272">
        <v>234.94825714285713</v>
      </c>
      <c r="X299" s="273">
        <f>IFERROR(INDEX('Measure Level Detail'!$R:$R,MATCH($B299&amp;"_"&amp;X$3,'Measure Level Detail'!$C:$C,0)),0)</f>
        <v>0.91</v>
      </c>
      <c r="Y299" s="273">
        <f>IFERROR(INDEX('Measure Level Detail'!$R:$R,MATCH($B299&amp;"_"&amp;Y$3,'Measure Level Detail'!$C:$C,0)),0)</f>
        <v>0.91</v>
      </c>
      <c r="Z299" s="273">
        <f>IFERROR(INDEX('Measure Level Detail'!$R:$R,MATCH($B299&amp;"_"&amp;Z$3,'Measure Level Detail'!$C:$C,0)),0)</f>
        <v>0.91</v>
      </c>
      <c r="AA299" s="273">
        <f>IFERROR(INDEX('Measure Level Detail'!$R:$R,MATCH($B299&amp;"_"&amp;AA$3,'Measure Level Detail'!$C:$C,0)),0)</f>
        <v>0.91</v>
      </c>
      <c r="AB299" s="266">
        <f t="shared" si="167"/>
        <v>181.73247689999999</v>
      </c>
      <c r="AC299" s="266">
        <f t="shared" si="168"/>
        <v>171.04233120000001</v>
      </c>
      <c r="AD299" s="266">
        <f t="shared" si="169"/>
        <v>149.6620398</v>
      </c>
      <c r="AE299" s="266">
        <f t="shared" si="170"/>
        <v>145.38598152</v>
      </c>
      <c r="AF299" s="266">
        <f t="shared" si="171"/>
        <v>647.82282941999995</v>
      </c>
      <c r="AG299" s="274">
        <v>0.91</v>
      </c>
      <c r="AH299" s="274">
        <v>0.91</v>
      </c>
      <c r="AI299" s="274">
        <v>0.91</v>
      </c>
      <c r="AJ299" s="274">
        <v>0.91</v>
      </c>
      <c r="AK299" s="274">
        <f t="shared" si="172"/>
        <v>0.91</v>
      </c>
      <c r="AL299" s="274">
        <f t="shared" si="173"/>
        <v>0.91</v>
      </c>
      <c r="AM299" s="274">
        <f t="shared" si="174"/>
        <v>0.91</v>
      </c>
      <c r="AN299" s="274">
        <f t="shared" si="175"/>
        <v>0.91</v>
      </c>
      <c r="AO299" s="262"/>
      <c r="AP299" s="262"/>
      <c r="AQ299" s="267">
        <v>234.94825714285713</v>
      </c>
      <c r="AR299" s="262"/>
      <c r="AS299" s="266">
        <f t="shared" si="176"/>
        <v>181.73247689999999</v>
      </c>
      <c r="AT299" s="264">
        <f t="shared" si="177"/>
        <v>0</v>
      </c>
      <c r="AU299" s="262"/>
      <c r="AV299" s="262"/>
      <c r="AW299" s="265">
        <v>234.94825714285713</v>
      </c>
      <c r="AX299" s="164" t="s">
        <v>1469</v>
      </c>
      <c r="AY299" s="266">
        <v>171.04233120000001</v>
      </c>
      <c r="AZ299" s="266">
        <f t="shared" si="178"/>
        <v>171.04233120000001</v>
      </c>
      <c r="BA299" s="264">
        <f t="shared" si="179"/>
        <v>0</v>
      </c>
      <c r="BB299" s="262"/>
      <c r="BC299" s="262"/>
      <c r="BD299" s="265">
        <f ca="1">IFERROR(INDEX(Algorithms!$G:$G,MATCH($C299&amp;"_Therm Saved per Unit",Algorithms!$A:$A,0)),0)</f>
        <v>234.94825714285713</v>
      </c>
      <c r="BE299" s="164" t="str">
        <f ca="1">IFERROR(INDEX('v12 Revisions'!$P$29:$P$186, MATCH('Measure-Level Adj Gas'!$L299, 'v12 Revisions'!$D$29:$D$186,0)),"")</f>
        <v/>
      </c>
      <c r="BF299" s="266">
        <f t="shared" ca="1" si="180"/>
        <v>149.6620398</v>
      </c>
      <c r="BG299" s="264">
        <f t="shared" ca="1" si="181"/>
        <v>0</v>
      </c>
      <c r="BH299" s="262"/>
      <c r="BI299" s="262"/>
      <c r="BJ299" s="265">
        <f ca="1">IFERROR(INDEX(Algorithms!$G:$G,MATCH($C299&amp;"_Therm Saved per Unit",Algorithms!$A:$A,0)),0)</f>
        <v>234.94825714285713</v>
      </c>
      <c r="BK299" s="164"/>
      <c r="BL299" s="266">
        <f t="shared" ca="1" si="182"/>
        <v>145.38598152</v>
      </c>
      <c r="BM299" s="264">
        <f t="shared" ca="1" si="183"/>
        <v>0</v>
      </c>
      <c r="BN299" s="266">
        <f t="shared" si="184"/>
        <v>181.73247689999999</v>
      </c>
      <c r="BO299" s="266">
        <f t="shared" si="185"/>
        <v>171.04233120000001</v>
      </c>
      <c r="BP299" s="266">
        <f t="shared" ca="1" si="186"/>
        <v>149.6620398</v>
      </c>
      <c r="BQ299" s="266">
        <f t="shared" ca="1" si="187"/>
        <v>145.38598152</v>
      </c>
      <c r="BR299" s="268">
        <f t="shared" ca="1" si="188"/>
        <v>647.82282941999995</v>
      </c>
      <c r="BS299" s="262" t="s">
        <v>99</v>
      </c>
      <c r="BT299" s="277"/>
      <c r="BW299" s="266">
        <f t="shared" si="189"/>
        <v>181.73247689999999</v>
      </c>
      <c r="BX299" s="266">
        <f t="shared" si="190"/>
        <v>171.04233120000001</v>
      </c>
      <c r="BY299" s="266">
        <f t="shared" si="191"/>
        <v>149.6620398</v>
      </c>
      <c r="BZ299" s="266">
        <f t="shared" si="192"/>
        <v>145.38598152</v>
      </c>
      <c r="CA299" s="266">
        <f ca="1">N299*IFERROR(INDEX(Algorithms!$G:$G,MATCH($C299&amp;"_Therm Saved per Unit- MLA",Algorithms!$A:$A,0)),0)*X299</f>
        <v>0</v>
      </c>
      <c r="CB299" s="266">
        <f ca="1">O299*IFERROR(INDEX(Algorithms!$G:$G,MATCH($C299&amp;"_Therm Saved per Unit- MLA",Algorithms!$A:$A,0)),0)*Y299</f>
        <v>0</v>
      </c>
      <c r="CC299" s="266">
        <f ca="1">P299*IFERROR(INDEX(Algorithms!$G:$G,MATCH($C299&amp;"_Therm Saved per Unit- MLA",Algorithms!$A:$A,0)),0)*Z299</f>
        <v>0</v>
      </c>
      <c r="CD299" s="266">
        <f ca="1">Q299*IFERROR(INDEX(Algorithms!$G:$G,MATCH($C299&amp;"_Therm Saved per Unit- MLA",Algorithms!$A:$A,0)),0)*AA299</f>
        <v>0</v>
      </c>
      <c r="CE299" s="266">
        <f ca="1">IFERROR(INDEX(Algorithms!$G:$G,MATCH($C299&amp;"_Lifetime (years)",Algorithms!$A:$A,0)),0)</f>
        <v>20</v>
      </c>
      <c r="CF299" s="266">
        <f ca="1">IFERROR(INDEX(Algorithms!$G:$G,MATCH($C299&amp;"_Lifetime (years) - Remaining Years",Algorithms!$A:$A,0)),0)</f>
        <v>0</v>
      </c>
      <c r="CG299" s="266">
        <f t="shared" ca="1" si="193"/>
        <v>3634.6495379999997</v>
      </c>
      <c r="CH299" s="266">
        <f t="shared" ca="1" si="194"/>
        <v>3420.8466240000002</v>
      </c>
      <c r="CI299" s="266">
        <f t="shared" ca="1" si="195"/>
        <v>2993.240796</v>
      </c>
      <c r="CJ299" s="266">
        <f t="shared" ca="1" si="196"/>
        <v>2907.7196303999999</v>
      </c>
      <c r="CK299" s="266">
        <f t="shared" si="197"/>
        <v>181.73247689999999</v>
      </c>
      <c r="CL299" s="266">
        <f t="shared" si="198"/>
        <v>171.04233120000001</v>
      </c>
      <c r="CM299" s="266">
        <f t="shared" ca="1" si="199"/>
        <v>149.6620398</v>
      </c>
      <c r="CN299" s="266">
        <f t="shared" ca="1" si="200"/>
        <v>145.38598152</v>
      </c>
      <c r="CO299" s="266">
        <f ca="1">N299*IFERROR(INDEX(Algorithms!$G:$G,MATCH($C299&amp;"_Therm Saved per Unit- MLA",Algorithms!$A:$A,0)),0)*X299</f>
        <v>0</v>
      </c>
      <c r="CP299" s="266">
        <f ca="1">O299*IFERROR(INDEX(Algorithms!$G:$G,MATCH($C299&amp;"_Therm Saved per Unit- MLA",Algorithms!$A:$A,0)),0)*Y299</f>
        <v>0</v>
      </c>
      <c r="CQ299" s="266">
        <f ca="1">P299*IFERROR(INDEX(Algorithms!$G:$G,MATCH($C299&amp;"_Therm Saved per Unit- MLA",Algorithms!$A:$A,0)),0)*Z299</f>
        <v>0</v>
      </c>
      <c r="CR299" s="266">
        <f ca="1">Q299*IFERROR(INDEX(Algorithms!$G:$G,MATCH($C299&amp;"_Therm Saved per Unit- MLA",Algorithms!$A:$A,0)),0)*AA299</f>
        <v>0</v>
      </c>
      <c r="CS299" s="266">
        <f ca="1">IFERROR(INDEX(Algorithms!$G:$G,MATCH($C299&amp;"_Lifetime (years)",Algorithms!$A:$A,0)),0)</f>
        <v>20</v>
      </c>
      <c r="CT299" s="266">
        <f ca="1">IFERROR(INDEX(Algorithms!$G:$G,MATCH($C299&amp;"_Lifetime (years) - Remaining Years",Algorithms!$A:$A,0)),0)</f>
        <v>0</v>
      </c>
      <c r="CU299" s="266">
        <f t="shared" ca="1" si="201"/>
        <v>3634.6495379999997</v>
      </c>
      <c r="CV299" s="266">
        <f t="shared" ca="1" si="202"/>
        <v>3420.8466240000002</v>
      </c>
      <c r="CW299" s="266">
        <f t="shared" ca="1" si="203"/>
        <v>2993.240796</v>
      </c>
      <c r="CX299" s="266">
        <f t="shared" ca="1" si="204"/>
        <v>2907.7196303999999</v>
      </c>
    </row>
    <row r="300" spans="2:102" s="47" customFormat="1" ht="18" customHeight="1" x14ac:dyDescent="0.25">
      <c r="B300" t="str">
        <f t="shared" si="205"/>
        <v>NSG_Business_C&amp;I_Rebates_Pipe Insulation_Steam Med Fitting_CI</v>
      </c>
      <c r="C300" s="47" t="str">
        <f t="shared" si="166"/>
        <v>Pipe Insulation_Steam Med Fitting_CI</v>
      </c>
      <c r="D300" s="270" t="s">
        <v>1787</v>
      </c>
      <c r="E300" s="270" t="s">
        <v>3</v>
      </c>
      <c r="F300" s="270" t="s">
        <v>1427</v>
      </c>
      <c r="G300" s="270" t="s">
        <v>1429</v>
      </c>
      <c r="H300" s="270" t="s">
        <v>404</v>
      </c>
      <c r="I300" s="270" t="s">
        <v>962</v>
      </c>
      <c r="J300" s="270" t="s">
        <v>1159</v>
      </c>
      <c r="K300" s="263">
        <v>1</v>
      </c>
      <c r="L300" s="263" t="str">
        <f ca="1">IFERROR(INDEX(Algorithms!J:J,MATCH($C300&amp;"_Therm Saved per Unit",Algorithms!$A:$A,0)),"n/a")</f>
        <v>"3 - Pipe Insulation" worksheet</v>
      </c>
      <c r="M300" s="263" t="str">
        <f>IFERROR(INDEX('Measure Level Detail'!$N:$N,MATCH($B300,'Measure Level Detail'!$B:$B,0)),0)</f>
        <v>each</v>
      </c>
      <c r="N300" s="271">
        <f>IFERROR(INDEX('Measure Level Detail'!$P:$P,MATCH($B300&amp;"_"&amp;N$3,'Measure Level Detail'!$C:$C,0)),0)</f>
        <v>0.85</v>
      </c>
      <c r="O300" s="271">
        <f>IFERROR(INDEX('Measure Level Detail'!$P:$P,MATCH($B300&amp;"_"&amp;O$3,'Measure Level Detail'!$C:$C,0)),0)</f>
        <v>0.8</v>
      </c>
      <c r="P300" s="271">
        <f>IFERROR(INDEX('Measure Level Detail'!$P:$P,MATCH($B300&amp;"_"&amp;P$3,'Measure Level Detail'!$C:$C,0)),0)</f>
        <v>0.7</v>
      </c>
      <c r="Q300" s="271">
        <f>IFERROR(INDEX('Measure Level Detail'!$P:$P,MATCH($B300&amp;"_"&amp;Q$3,'Measure Level Detail'!$C:$C,0)),0)</f>
        <v>0.68</v>
      </c>
      <c r="R300" s="263">
        <f ca="1">IFERROR(INDEX(Algorithms!K:K,MATCH($C300&amp;"_Therm Saved per Unit",Algorithms!$A:$A,0)),"n/a")</f>
        <v>0</v>
      </c>
      <c r="S300" s="262"/>
      <c r="T300" s="272">
        <v>16.16754015857342</v>
      </c>
      <c r="U300" s="272">
        <v>16.16754015857342</v>
      </c>
      <c r="V300" s="272">
        <v>16.16754015857342</v>
      </c>
      <c r="W300" s="272">
        <v>16.16754015857342</v>
      </c>
      <c r="X300" s="273">
        <f>IFERROR(INDEX('Measure Level Detail'!$R:$R,MATCH($B300&amp;"_"&amp;X$3,'Measure Level Detail'!$C:$C,0)),0)</f>
        <v>0.91</v>
      </c>
      <c r="Y300" s="273">
        <f>IFERROR(INDEX('Measure Level Detail'!$R:$R,MATCH($B300&amp;"_"&amp;Y$3,'Measure Level Detail'!$C:$C,0)),0)</f>
        <v>0.91</v>
      </c>
      <c r="Z300" s="273">
        <f>IFERROR(INDEX('Measure Level Detail'!$R:$R,MATCH($B300&amp;"_"&amp;Z$3,'Measure Level Detail'!$C:$C,0)),0)</f>
        <v>0.91</v>
      </c>
      <c r="AA300" s="273">
        <f>IFERROR(INDEX('Measure Level Detail'!$R:$R,MATCH($B300&amp;"_"&amp;AA$3,'Measure Level Detail'!$C:$C,0)),0)</f>
        <v>0.91</v>
      </c>
      <c r="AB300" s="266">
        <f t="shared" si="167"/>
        <v>12.505592312656541</v>
      </c>
      <c r="AC300" s="266">
        <f t="shared" si="168"/>
        <v>11.769969235441451</v>
      </c>
      <c r="AD300" s="266">
        <f t="shared" si="169"/>
        <v>10.298723081011268</v>
      </c>
      <c r="AE300" s="266">
        <f t="shared" si="170"/>
        <v>10.004473850125233</v>
      </c>
      <c r="AF300" s="266">
        <f t="shared" si="171"/>
        <v>44.578758479234494</v>
      </c>
      <c r="AG300" s="274">
        <v>0.91</v>
      </c>
      <c r="AH300" s="274">
        <v>0.91</v>
      </c>
      <c r="AI300" s="274">
        <v>0.91</v>
      </c>
      <c r="AJ300" s="274">
        <v>0.91</v>
      </c>
      <c r="AK300" s="274">
        <f t="shared" si="172"/>
        <v>0.91</v>
      </c>
      <c r="AL300" s="274">
        <f t="shared" si="173"/>
        <v>0.91</v>
      </c>
      <c r="AM300" s="274">
        <f t="shared" si="174"/>
        <v>0.91</v>
      </c>
      <c r="AN300" s="274">
        <f t="shared" si="175"/>
        <v>0.91</v>
      </c>
      <c r="AO300" s="262"/>
      <c r="AP300" s="262"/>
      <c r="AQ300" s="267">
        <v>16.16754015857342</v>
      </c>
      <c r="AR300" s="262"/>
      <c r="AS300" s="266">
        <f t="shared" si="176"/>
        <v>12.505592312656541</v>
      </c>
      <c r="AT300" s="264">
        <f t="shared" si="177"/>
        <v>0</v>
      </c>
      <c r="AU300" s="262"/>
      <c r="AV300" s="262"/>
      <c r="AW300" s="265">
        <v>16.16754015857342</v>
      </c>
      <c r="AX300" s="164" t="s">
        <v>1469</v>
      </c>
      <c r="AY300" s="266">
        <v>11.769969235441451</v>
      </c>
      <c r="AZ300" s="266">
        <f t="shared" si="178"/>
        <v>11.769969235441451</v>
      </c>
      <c r="BA300" s="264">
        <f t="shared" si="179"/>
        <v>0</v>
      </c>
      <c r="BB300" s="262"/>
      <c r="BC300" s="262"/>
      <c r="BD300" s="265">
        <f ca="1">IFERROR(INDEX(Algorithms!$G:$G,MATCH($C300&amp;"_Therm Saved per Unit",Algorithms!$A:$A,0)),0)</f>
        <v>16.16754015857342</v>
      </c>
      <c r="BE300" s="164" t="str">
        <f ca="1">IFERROR(INDEX('v12 Revisions'!$P$29:$P$186, MATCH('Measure-Level Adj Gas'!$L300, 'v12 Revisions'!$D$29:$D$186,0)),"")</f>
        <v/>
      </c>
      <c r="BF300" s="266">
        <f t="shared" ca="1" si="180"/>
        <v>10.298723081011268</v>
      </c>
      <c r="BG300" s="264">
        <f t="shared" ca="1" si="181"/>
        <v>0</v>
      </c>
      <c r="BH300" s="262"/>
      <c r="BI300" s="262"/>
      <c r="BJ300" s="265">
        <f ca="1">IFERROR(INDEX(Algorithms!$G:$G,MATCH($C300&amp;"_Therm Saved per Unit",Algorithms!$A:$A,0)),0)</f>
        <v>16.16754015857342</v>
      </c>
      <c r="BK300" s="164"/>
      <c r="BL300" s="266">
        <f t="shared" ca="1" si="182"/>
        <v>10.004473850125233</v>
      </c>
      <c r="BM300" s="264">
        <f t="shared" ca="1" si="183"/>
        <v>0</v>
      </c>
      <c r="BN300" s="266">
        <f t="shared" si="184"/>
        <v>12.505592312656541</v>
      </c>
      <c r="BO300" s="266">
        <f t="shared" si="185"/>
        <v>11.769969235441451</v>
      </c>
      <c r="BP300" s="266">
        <f t="shared" ca="1" si="186"/>
        <v>10.298723081011268</v>
      </c>
      <c r="BQ300" s="266">
        <f t="shared" ca="1" si="187"/>
        <v>10.004473850125233</v>
      </c>
      <c r="BR300" s="268">
        <f t="shared" ca="1" si="188"/>
        <v>44.578758479234494</v>
      </c>
      <c r="BS300" s="262" t="s">
        <v>99</v>
      </c>
      <c r="BT300" s="277"/>
      <c r="BW300" s="266">
        <f t="shared" si="189"/>
        <v>12.505592312656541</v>
      </c>
      <c r="BX300" s="266">
        <f t="shared" si="190"/>
        <v>11.769969235441451</v>
      </c>
      <c r="BY300" s="266">
        <f t="shared" si="191"/>
        <v>10.298723081011268</v>
      </c>
      <c r="BZ300" s="266">
        <f t="shared" si="192"/>
        <v>10.004473850125233</v>
      </c>
      <c r="CA300" s="266">
        <f ca="1">N300*IFERROR(INDEX(Algorithms!$G:$G,MATCH($C300&amp;"_Therm Saved per Unit- MLA",Algorithms!$A:$A,0)),0)*X300</f>
        <v>0</v>
      </c>
      <c r="CB300" s="266">
        <f ca="1">O300*IFERROR(INDEX(Algorithms!$G:$G,MATCH($C300&amp;"_Therm Saved per Unit- MLA",Algorithms!$A:$A,0)),0)*Y300</f>
        <v>0</v>
      </c>
      <c r="CC300" s="266">
        <f ca="1">P300*IFERROR(INDEX(Algorithms!$G:$G,MATCH($C300&amp;"_Therm Saved per Unit- MLA",Algorithms!$A:$A,0)),0)*Z300</f>
        <v>0</v>
      </c>
      <c r="CD300" s="266">
        <f ca="1">Q300*IFERROR(INDEX(Algorithms!$G:$G,MATCH($C300&amp;"_Therm Saved per Unit- MLA",Algorithms!$A:$A,0)),0)*AA300</f>
        <v>0</v>
      </c>
      <c r="CE300" s="266">
        <f ca="1">IFERROR(INDEX(Algorithms!$G:$G,MATCH($C300&amp;"_Lifetime (years)",Algorithms!$A:$A,0)),0)</f>
        <v>15</v>
      </c>
      <c r="CF300" s="266">
        <f ca="1">IFERROR(INDEX(Algorithms!$G:$G,MATCH($C300&amp;"_Lifetime (years) - Remaining Years",Algorithms!$A:$A,0)),0)</f>
        <v>0</v>
      </c>
      <c r="CG300" s="266">
        <f t="shared" ca="1" si="193"/>
        <v>187.58388468984811</v>
      </c>
      <c r="CH300" s="266">
        <f t="shared" ca="1" si="194"/>
        <v>176.54953853162175</v>
      </c>
      <c r="CI300" s="266">
        <f t="shared" ca="1" si="195"/>
        <v>154.48084621516901</v>
      </c>
      <c r="CJ300" s="266">
        <f t="shared" ca="1" si="196"/>
        <v>150.0671077518785</v>
      </c>
      <c r="CK300" s="266">
        <f t="shared" si="197"/>
        <v>12.505592312656541</v>
      </c>
      <c r="CL300" s="266">
        <f t="shared" si="198"/>
        <v>11.769969235441451</v>
      </c>
      <c r="CM300" s="266">
        <f t="shared" ca="1" si="199"/>
        <v>10.298723081011268</v>
      </c>
      <c r="CN300" s="266">
        <f t="shared" ca="1" si="200"/>
        <v>10.004473850125233</v>
      </c>
      <c r="CO300" s="266">
        <f ca="1">N300*IFERROR(INDEX(Algorithms!$G:$G,MATCH($C300&amp;"_Therm Saved per Unit- MLA",Algorithms!$A:$A,0)),0)*X300</f>
        <v>0</v>
      </c>
      <c r="CP300" s="266">
        <f ca="1">O300*IFERROR(INDEX(Algorithms!$G:$G,MATCH($C300&amp;"_Therm Saved per Unit- MLA",Algorithms!$A:$A,0)),0)*Y300</f>
        <v>0</v>
      </c>
      <c r="CQ300" s="266">
        <f ca="1">P300*IFERROR(INDEX(Algorithms!$G:$G,MATCH($C300&amp;"_Therm Saved per Unit- MLA",Algorithms!$A:$A,0)),0)*Z300</f>
        <v>0</v>
      </c>
      <c r="CR300" s="266">
        <f ca="1">Q300*IFERROR(INDEX(Algorithms!$G:$G,MATCH($C300&amp;"_Therm Saved per Unit- MLA",Algorithms!$A:$A,0)),0)*AA300</f>
        <v>0</v>
      </c>
      <c r="CS300" s="266">
        <f ca="1">IFERROR(INDEX(Algorithms!$G:$G,MATCH($C300&amp;"_Lifetime (years)",Algorithms!$A:$A,0)),0)</f>
        <v>15</v>
      </c>
      <c r="CT300" s="266">
        <f ca="1">IFERROR(INDEX(Algorithms!$G:$G,MATCH($C300&amp;"_Lifetime (years) - Remaining Years",Algorithms!$A:$A,0)),0)</f>
        <v>0</v>
      </c>
      <c r="CU300" s="266">
        <f t="shared" ca="1" si="201"/>
        <v>187.58388468984811</v>
      </c>
      <c r="CV300" s="266">
        <f t="shared" ca="1" si="202"/>
        <v>176.54953853162175</v>
      </c>
      <c r="CW300" s="266">
        <f t="shared" ca="1" si="203"/>
        <v>154.48084621516901</v>
      </c>
      <c r="CX300" s="266">
        <f t="shared" ca="1" si="204"/>
        <v>150.0671077518785</v>
      </c>
    </row>
    <row r="301" spans="2:102" s="47" customFormat="1" ht="18" customHeight="1" x14ac:dyDescent="0.25">
      <c r="B301" t="str">
        <f t="shared" si="205"/>
        <v>NSG_Business_C&amp;I_Gas Optimization_C&amp;I Gas Optimization_0_CI</v>
      </c>
      <c r="C301" s="47" t="str">
        <f t="shared" si="166"/>
        <v>C&amp;I Gas Optimization_0_CI</v>
      </c>
      <c r="D301" s="270" t="s">
        <v>1787</v>
      </c>
      <c r="E301" s="270" t="s">
        <v>3</v>
      </c>
      <c r="F301" s="270" t="s">
        <v>1427</v>
      </c>
      <c r="G301" s="270" t="s">
        <v>1098</v>
      </c>
      <c r="H301" s="270" t="s">
        <v>1283</v>
      </c>
      <c r="I301" s="270">
        <v>0</v>
      </c>
      <c r="J301" s="270" t="s">
        <v>1159</v>
      </c>
      <c r="K301" s="263">
        <v>1</v>
      </c>
      <c r="L301" s="263">
        <f ca="1">IFERROR(INDEX(Algorithms!J:J,MATCH($C301&amp;"_Therm Saved per Unit",Algorithms!$A:$A,0)),"n/a")</f>
        <v>0</v>
      </c>
      <c r="M301" s="263" t="str">
        <f>IFERROR(INDEX('Measure Level Detail'!$N:$N,MATCH($B301,'Measure Level Detail'!$B:$B,0)),0)</f>
        <v>therm</v>
      </c>
      <c r="N301" s="271">
        <f>IFERROR(INDEX('Measure Level Detail'!$P:$P,MATCH($B301&amp;"_"&amp;N$3,'Measure Level Detail'!$C:$C,0)),0)</f>
        <v>72858</v>
      </c>
      <c r="O301" s="271">
        <f>IFERROR(INDEX('Measure Level Detail'!$P:$P,MATCH($B301&amp;"_"&amp;O$3,'Measure Level Detail'!$C:$C,0)),0)</f>
        <v>77715.199999999997</v>
      </c>
      <c r="P301" s="271">
        <f>IFERROR(INDEX('Measure Level Detail'!$P:$P,MATCH($B301&amp;"_"&amp;P$3,'Measure Level Detail'!$C:$C,0)),0)</f>
        <v>68000.800000000003</v>
      </c>
      <c r="Q301" s="271">
        <f>IFERROR(INDEX('Measure Level Detail'!$P:$P,MATCH($B301&amp;"_"&amp;Q$3,'Measure Level Detail'!$C:$C,0)),0)</f>
        <v>66057.919999999998</v>
      </c>
      <c r="R301" s="263">
        <f ca="1">IFERROR(INDEX(Algorithms!K:K,MATCH($C301&amp;"_Therm Saved per Unit",Algorithms!$A:$A,0)),"n/a")</f>
        <v>0</v>
      </c>
      <c r="S301" s="262"/>
      <c r="T301" s="272">
        <v>1</v>
      </c>
      <c r="U301" s="272">
        <v>1</v>
      </c>
      <c r="V301" s="272">
        <v>1</v>
      </c>
      <c r="W301" s="272">
        <v>1</v>
      </c>
      <c r="X301" s="276">
        <v>0.94</v>
      </c>
      <c r="Y301" s="276">
        <v>0.94</v>
      </c>
      <c r="Z301" s="276">
        <v>0.94</v>
      </c>
      <c r="AA301" s="276">
        <v>0.94</v>
      </c>
      <c r="AB301" s="266">
        <f t="shared" si="167"/>
        <v>68486.51999999999</v>
      </c>
      <c r="AC301" s="266">
        <f t="shared" si="168"/>
        <v>73052.287999999986</v>
      </c>
      <c r="AD301" s="266">
        <f t="shared" si="169"/>
        <v>63920.752</v>
      </c>
      <c r="AE301" s="266">
        <f t="shared" si="170"/>
        <v>62094.444799999997</v>
      </c>
      <c r="AF301" s="266">
        <f t="shared" si="171"/>
        <v>267554.0048</v>
      </c>
      <c r="AG301" s="274">
        <v>0.94</v>
      </c>
      <c r="AH301" s="274">
        <v>0.94</v>
      </c>
      <c r="AI301" s="274">
        <v>0.94</v>
      </c>
      <c r="AJ301" s="274">
        <v>0.94</v>
      </c>
      <c r="AK301" s="274">
        <f t="shared" si="172"/>
        <v>0.94</v>
      </c>
      <c r="AL301" s="274">
        <f t="shared" si="173"/>
        <v>0.94</v>
      </c>
      <c r="AM301" s="274">
        <f t="shared" si="174"/>
        <v>0.94</v>
      </c>
      <c r="AN301" s="274">
        <f t="shared" si="175"/>
        <v>0.94</v>
      </c>
      <c r="AO301" s="262"/>
      <c r="AP301" s="262"/>
      <c r="AQ301" s="267">
        <v>1</v>
      </c>
      <c r="AR301" s="262"/>
      <c r="AS301" s="266">
        <f t="shared" si="176"/>
        <v>68486.51999999999</v>
      </c>
      <c r="AT301" s="264">
        <f t="shared" si="177"/>
        <v>0</v>
      </c>
      <c r="AU301" s="262"/>
      <c r="AV301" s="262"/>
      <c r="AW301" s="265">
        <v>1</v>
      </c>
      <c r="AX301" s="164" t="s">
        <v>1469</v>
      </c>
      <c r="AY301" s="266">
        <v>73052.287999999986</v>
      </c>
      <c r="AZ301" s="266">
        <f t="shared" si="178"/>
        <v>73052.287999999986</v>
      </c>
      <c r="BA301" s="264">
        <f t="shared" si="179"/>
        <v>0</v>
      </c>
      <c r="BB301" s="262"/>
      <c r="BC301" s="262"/>
      <c r="BD301" s="265">
        <f ca="1">IFERROR(INDEX(Algorithms!$G:$G,MATCH($C301&amp;"_Therm Saved per Unit",Algorithms!$A:$A,0)),0)</f>
        <v>1</v>
      </c>
      <c r="BE301" s="164" t="str">
        <f ca="1">IFERROR(INDEX('v12 Revisions'!$P$29:$P$186, MATCH('Measure-Level Adj Gas'!$L301, 'v12 Revisions'!$D$29:$D$186,0)),"")</f>
        <v/>
      </c>
      <c r="BF301" s="266">
        <f t="shared" ca="1" si="180"/>
        <v>63920.752</v>
      </c>
      <c r="BG301" s="264">
        <f t="shared" ca="1" si="181"/>
        <v>0</v>
      </c>
      <c r="BH301" s="262"/>
      <c r="BI301" s="262"/>
      <c r="BJ301" s="265">
        <f ca="1">IFERROR(INDEX(Algorithms!$G:$G,MATCH($C301&amp;"_Therm Saved per Unit",Algorithms!$A:$A,0)),0)</f>
        <v>1</v>
      </c>
      <c r="BK301" s="164"/>
      <c r="BL301" s="266">
        <f t="shared" ca="1" si="182"/>
        <v>62094.444799999997</v>
      </c>
      <c r="BM301" s="264">
        <f t="shared" ca="1" si="183"/>
        <v>0</v>
      </c>
      <c r="BN301" s="266">
        <f t="shared" si="184"/>
        <v>68486.51999999999</v>
      </c>
      <c r="BO301" s="266">
        <f t="shared" si="185"/>
        <v>73052.287999999986</v>
      </c>
      <c r="BP301" s="266">
        <f t="shared" ca="1" si="186"/>
        <v>63920.752</v>
      </c>
      <c r="BQ301" s="266">
        <f t="shared" ca="1" si="187"/>
        <v>62094.444799999997</v>
      </c>
      <c r="BR301" s="268">
        <f t="shared" ca="1" si="188"/>
        <v>267554.0048</v>
      </c>
      <c r="BS301" s="262" t="s">
        <v>99</v>
      </c>
      <c r="BT301" s="277"/>
      <c r="BW301" s="266">
        <f t="shared" si="189"/>
        <v>68486.51999999999</v>
      </c>
      <c r="BX301" s="266">
        <f t="shared" si="190"/>
        <v>73052.287999999986</v>
      </c>
      <c r="BY301" s="266">
        <f t="shared" si="191"/>
        <v>63920.752</v>
      </c>
      <c r="BZ301" s="266">
        <f t="shared" si="192"/>
        <v>62094.444799999997</v>
      </c>
      <c r="CA301" s="266">
        <f ca="1">N301*IFERROR(INDEX(Algorithms!$G:$G,MATCH($C301&amp;"_Therm Saved per Unit- MLA",Algorithms!$A:$A,0)),0)*X301</f>
        <v>0</v>
      </c>
      <c r="CB301" s="266">
        <f ca="1">O301*IFERROR(INDEX(Algorithms!$G:$G,MATCH($C301&amp;"_Therm Saved per Unit- MLA",Algorithms!$A:$A,0)),0)*Y301</f>
        <v>0</v>
      </c>
      <c r="CC301" s="266">
        <f ca="1">P301*IFERROR(INDEX(Algorithms!$G:$G,MATCH($C301&amp;"_Therm Saved per Unit- MLA",Algorithms!$A:$A,0)),0)*Z301</f>
        <v>0</v>
      </c>
      <c r="CD301" s="266">
        <f ca="1">Q301*IFERROR(INDEX(Algorithms!$G:$G,MATCH($C301&amp;"_Therm Saved per Unit- MLA",Algorithms!$A:$A,0)),0)*AA301</f>
        <v>0</v>
      </c>
      <c r="CE301" s="266">
        <f ca="1">IFERROR(INDEX(Algorithms!$G:$G,MATCH($C301&amp;"_Lifetime (years)",Algorithms!$A:$A,0)),0)</f>
        <v>15</v>
      </c>
      <c r="CF301" s="266">
        <f ca="1">IFERROR(INDEX(Algorithms!$G:$G,MATCH($C301&amp;"_Lifetime (years) - Remaining Years",Algorithms!$A:$A,0)),0)</f>
        <v>0</v>
      </c>
      <c r="CG301" s="266">
        <f t="shared" ca="1" si="193"/>
        <v>1027297.7999999998</v>
      </c>
      <c r="CH301" s="266">
        <f t="shared" ca="1" si="194"/>
        <v>1095784.3199999998</v>
      </c>
      <c r="CI301" s="266">
        <f t="shared" ca="1" si="195"/>
        <v>958811.28</v>
      </c>
      <c r="CJ301" s="266">
        <f t="shared" ca="1" si="196"/>
        <v>931416.67200000002</v>
      </c>
      <c r="CK301" s="266">
        <f t="shared" si="197"/>
        <v>68486.51999999999</v>
      </c>
      <c r="CL301" s="266">
        <f t="shared" si="198"/>
        <v>73052.287999999986</v>
      </c>
      <c r="CM301" s="266">
        <f t="shared" ca="1" si="199"/>
        <v>63920.752</v>
      </c>
      <c r="CN301" s="266">
        <f t="shared" ca="1" si="200"/>
        <v>62094.444799999997</v>
      </c>
      <c r="CO301" s="266">
        <f ca="1">N301*IFERROR(INDEX(Algorithms!$G:$G,MATCH($C301&amp;"_Therm Saved per Unit- MLA",Algorithms!$A:$A,0)),0)*X301</f>
        <v>0</v>
      </c>
      <c r="CP301" s="266">
        <f ca="1">O301*IFERROR(INDEX(Algorithms!$G:$G,MATCH($C301&amp;"_Therm Saved per Unit- MLA",Algorithms!$A:$A,0)),0)*Y301</f>
        <v>0</v>
      </c>
      <c r="CQ301" s="266">
        <f ca="1">P301*IFERROR(INDEX(Algorithms!$G:$G,MATCH($C301&amp;"_Therm Saved per Unit- MLA",Algorithms!$A:$A,0)),0)*Z301</f>
        <v>0</v>
      </c>
      <c r="CR301" s="266">
        <f ca="1">Q301*IFERROR(INDEX(Algorithms!$G:$G,MATCH($C301&amp;"_Therm Saved per Unit- MLA",Algorithms!$A:$A,0)),0)*AA301</f>
        <v>0</v>
      </c>
      <c r="CS301" s="266">
        <f ca="1">IFERROR(INDEX(Algorithms!$G:$G,MATCH($C301&amp;"_Lifetime (years)",Algorithms!$A:$A,0)),0)</f>
        <v>15</v>
      </c>
      <c r="CT301" s="266">
        <f ca="1">IFERROR(INDEX(Algorithms!$G:$G,MATCH($C301&amp;"_Lifetime (years) - Remaining Years",Algorithms!$A:$A,0)),0)</f>
        <v>0</v>
      </c>
      <c r="CU301" s="266">
        <f t="shared" ca="1" si="201"/>
        <v>1027297.7999999998</v>
      </c>
      <c r="CV301" s="266">
        <f t="shared" ca="1" si="202"/>
        <v>1095784.3199999998</v>
      </c>
      <c r="CW301" s="266">
        <f t="shared" ca="1" si="203"/>
        <v>958811.28</v>
      </c>
      <c r="CX301" s="266">
        <f t="shared" ca="1" si="204"/>
        <v>931416.67200000002</v>
      </c>
    </row>
    <row r="302" spans="2:102" s="47" customFormat="1" ht="18" customHeight="1" x14ac:dyDescent="0.25">
      <c r="B302" t="str">
        <f t="shared" si="205"/>
        <v>NSG_Business_C&amp;I_Engineering Study_Engineering Study_0_CI</v>
      </c>
      <c r="C302" s="47" t="str">
        <f t="shared" si="166"/>
        <v>Engineering Study_0_CI</v>
      </c>
      <c r="D302" s="270" t="s">
        <v>1787</v>
      </c>
      <c r="E302" s="270" t="s">
        <v>3</v>
      </c>
      <c r="F302" s="270" t="s">
        <v>1427</v>
      </c>
      <c r="G302" s="270" t="s">
        <v>1281</v>
      </c>
      <c r="H302" s="270" t="s">
        <v>1281</v>
      </c>
      <c r="I302" s="270">
        <v>0</v>
      </c>
      <c r="J302" s="270" t="s">
        <v>1159</v>
      </c>
      <c r="K302" s="263">
        <v>1</v>
      </c>
      <c r="L302" s="263">
        <f ca="1">IFERROR(INDEX(Algorithms!J:J,MATCH($C302&amp;"_Therm Saved per Unit",Algorithms!$A:$A,0)),"n/a")</f>
        <v>0</v>
      </c>
      <c r="M302" s="263" t="str">
        <f>IFERROR(INDEX('Measure Level Detail'!$N:$N,MATCH($B302,'Measure Level Detail'!$B:$B,0)),0)</f>
        <v>each</v>
      </c>
      <c r="N302" s="271">
        <f>IFERROR(INDEX('Measure Level Detail'!$P:$P,MATCH($B302&amp;"_"&amp;N$3,'Measure Level Detail'!$C:$C,0)),0)</f>
        <v>0</v>
      </c>
      <c r="O302" s="271">
        <f>IFERROR(INDEX('Measure Level Detail'!$P:$P,MATCH($B302&amp;"_"&amp;O$3,'Measure Level Detail'!$C:$C,0)),0)</f>
        <v>0</v>
      </c>
      <c r="P302" s="271">
        <f>IFERROR(INDEX('Measure Level Detail'!$P:$P,MATCH($B302&amp;"_"&amp;P$3,'Measure Level Detail'!$C:$C,0)),0)</f>
        <v>0</v>
      </c>
      <c r="Q302" s="271">
        <f>IFERROR(INDEX('Measure Level Detail'!$P:$P,MATCH($B302&amp;"_"&amp;Q$3,'Measure Level Detail'!$C:$C,0)),0)</f>
        <v>0</v>
      </c>
      <c r="R302" s="263">
        <f ca="1">IFERROR(INDEX(Algorithms!K:K,MATCH($C302&amp;"_Therm Saved per Unit",Algorithms!$A:$A,0)),"n/a")</f>
        <v>0</v>
      </c>
      <c r="S302" s="262"/>
      <c r="T302" s="272">
        <v>0</v>
      </c>
      <c r="U302" s="272">
        <v>0</v>
      </c>
      <c r="V302" s="272">
        <v>0</v>
      </c>
      <c r="W302" s="272">
        <v>0</v>
      </c>
      <c r="X302" s="273">
        <f>IFERROR(INDEX('Measure Level Detail'!$R:$R,MATCH($B302&amp;"_"&amp;X$3,'Measure Level Detail'!$C:$C,0)),0)</f>
        <v>1.02</v>
      </c>
      <c r="Y302" s="273">
        <f>IFERROR(INDEX('Measure Level Detail'!$R:$R,MATCH($B302&amp;"_"&amp;Y$3,'Measure Level Detail'!$C:$C,0)),0)</f>
        <v>1.02</v>
      </c>
      <c r="Z302" s="273">
        <f>IFERROR(INDEX('Measure Level Detail'!$R:$R,MATCH($B302&amp;"_"&amp;Z$3,'Measure Level Detail'!$C:$C,0)),0)</f>
        <v>1.02</v>
      </c>
      <c r="AA302" s="273">
        <f>IFERROR(INDEX('Measure Level Detail'!$R:$R,MATCH($B302&amp;"_"&amp;AA$3,'Measure Level Detail'!$C:$C,0)),0)</f>
        <v>1.02</v>
      </c>
      <c r="AB302" s="266">
        <f t="shared" si="167"/>
        <v>0</v>
      </c>
      <c r="AC302" s="266">
        <f t="shared" si="168"/>
        <v>0</v>
      </c>
      <c r="AD302" s="266">
        <f t="shared" si="169"/>
        <v>0</v>
      </c>
      <c r="AE302" s="266">
        <f t="shared" si="170"/>
        <v>0</v>
      </c>
      <c r="AF302" s="266">
        <f t="shared" si="171"/>
        <v>0</v>
      </c>
      <c r="AG302" s="274">
        <v>1.02</v>
      </c>
      <c r="AH302" s="274">
        <v>1.02</v>
      </c>
      <c r="AI302" s="274">
        <v>1.02</v>
      </c>
      <c r="AJ302" s="274">
        <v>1.02</v>
      </c>
      <c r="AK302" s="274">
        <f t="shared" si="172"/>
        <v>1.02</v>
      </c>
      <c r="AL302" s="274">
        <f t="shared" si="173"/>
        <v>1.02</v>
      </c>
      <c r="AM302" s="274">
        <f t="shared" si="174"/>
        <v>1.02</v>
      </c>
      <c r="AN302" s="274">
        <f t="shared" si="175"/>
        <v>1.02</v>
      </c>
      <c r="AO302" s="262"/>
      <c r="AP302" s="262"/>
      <c r="AQ302" s="267">
        <v>0</v>
      </c>
      <c r="AR302" s="262"/>
      <c r="AS302" s="266">
        <f t="shared" si="176"/>
        <v>0</v>
      </c>
      <c r="AT302" s="264">
        <f t="shared" si="177"/>
        <v>0</v>
      </c>
      <c r="AU302" s="262"/>
      <c r="AV302" s="262"/>
      <c r="AW302" s="265">
        <v>0</v>
      </c>
      <c r="AX302" s="164" t="s">
        <v>1469</v>
      </c>
      <c r="AY302" s="266">
        <v>0</v>
      </c>
      <c r="AZ302" s="266">
        <f t="shared" si="178"/>
        <v>0</v>
      </c>
      <c r="BA302" s="264">
        <f t="shared" si="179"/>
        <v>0</v>
      </c>
      <c r="BB302" s="262"/>
      <c r="BC302" s="262"/>
      <c r="BD302" s="265">
        <f ca="1">IFERROR(INDEX(Algorithms!$G:$G,MATCH($C302&amp;"_Therm Saved per Unit",Algorithms!$A:$A,0)),0)</f>
        <v>0</v>
      </c>
      <c r="BE302" s="164" t="str">
        <f ca="1">IFERROR(INDEX('v12 Revisions'!$P$29:$P$186, MATCH('Measure-Level Adj Gas'!$L302, 'v12 Revisions'!$D$29:$D$186,0)),"")</f>
        <v/>
      </c>
      <c r="BF302" s="266">
        <f t="shared" ca="1" si="180"/>
        <v>0</v>
      </c>
      <c r="BG302" s="264">
        <f t="shared" ca="1" si="181"/>
        <v>0</v>
      </c>
      <c r="BH302" s="262"/>
      <c r="BI302" s="262"/>
      <c r="BJ302" s="265">
        <f ca="1">IFERROR(INDEX(Algorithms!$G:$G,MATCH($C302&amp;"_Therm Saved per Unit",Algorithms!$A:$A,0)),0)</f>
        <v>0</v>
      </c>
      <c r="BK302" s="164"/>
      <c r="BL302" s="266">
        <f t="shared" ca="1" si="182"/>
        <v>0</v>
      </c>
      <c r="BM302" s="264">
        <f t="shared" ca="1" si="183"/>
        <v>0</v>
      </c>
      <c r="BN302" s="266">
        <f t="shared" si="184"/>
        <v>0</v>
      </c>
      <c r="BO302" s="266">
        <f t="shared" si="185"/>
        <v>0</v>
      </c>
      <c r="BP302" s="266">
        <f t="shared" ca="1" si="186"/>
        <v>0</v>
      </c>
      <c r="BQ302" s="266">
        <f t="shared" ca="1" si="187"/>
        <v>0</v>
      </c>
      <c r="BR302" s="268">
        <f t="shared" ca="1" si="188"/>
        <v>0</v>
      </c>
      <c r="BS302" s="262" t="s">
        <v>99</v>
      </c>
      <c r="BT302" s="277"/>
      <c r="BW302" s="266">
        <f t="shared" si="189"/>
        <v>0</v>
      </c>
      <c r="BX302" s="266">
        <f t="shared" si="190"/>
        <v>0</v>
      </c>
      <c r="BY302" s="266">
        <f t="shared" si="191"/>
        <v>0</v>
      </c>
      <c r="BZ302" s="266">
        <f t="shared" si="192"/>
        <v>0</v>
      </c>
      <c r="CA302" s="266">
        <f ca="1">N302*IFERROR(INDEX(Algorithms!$G:$G,MATCH($C302&amp;"_Therm Saved per Unit- MLA",Algorithms!$A:$A,0)),0)*X302</f>
        <v>0</v>
      </c>
      <c r="CB302" s="266">
        <f ca="1">O302*IFERROR(INDEX(Algorithms!$G:$G,MATCH($C302&amp;"_Therm Saved per Unit- MLA",Algorithms!$A:$A,0)),0)*Y302</f>
        <v>0</v>
      </c>
      <c r="CC302" s="266">
        <f ca="1">P302*IFERROR(INDEX(Algorithms!$G:$G,MATCH($C302&amp;"_Therm Saved per Unit- MLA",Algorithms!$A:$A,0)),0)*Z302</f>
        <v>0</v>
      </c>
      <c r="CD302" s="266">
        <f ca="1">Q302*IFERROR(INDEX(Algorithms!$G:$G,MATCH($C302&amp;"_Therm Saved per Unit- MLA",Algorithms!$A:$A,0)),0)*AA302</f>
        <v>0</v>
      </c>
      <c r="CE302" s="266">
        <f ca="1">IFERROR(INDEX(Algorithms!$G:$G,MATCH($C302&amp;"_Lifetime (years)",Algorithms!$A:$A,0)),0)</f>
        <v>0</v>
      </c>
      <c r="CF302" s="266">
        <f ca="1">IFERROR(INDEX(Algorithms!$G:$G,MATCH($C302&amp;"_Lifetime (years) - Remaining Years",Algorithms!$A:$A,0)),0)</f>
        <v>0</v>
      </c>
      <c r="CG302" s="266">
        <f t="shared" ca="1" si="193"/>
        <v>0</v>
      </c>
      <c r="CH302" s="266">
        <f t="shared" ca="1" si="194"/>
        <v>0</v>
      </c>
      <c r="CI302" s="266">
        <f t="shared" ca="1" si="195"/>
        <v>0</v>
      </c>
      <c r="CJ302" s="266">
        <f t="shared" ca="1" si="196"/>
        <v>0</v>
      </c>
      <c r="CK302" s="266">
        <f t="shared" si="197"/>
        <v>0</v>
      </c>
      <c r="CL302" s="266">
        <f t="shared" si="198"/>
        <v>0</v>
      </c>
      <c r="CM302" s="266">
        <f t="shared" ca="1" si="199"/>
        <v>0</v>
      </c>
      <c r="CN302" s="266">
        <f t="shared" ca="1" si="200"/>
        <v>0</v>
      </c>
      <c r="CO302" s="266">
        <f ca="1">N302*IFERROR(INDEX(Algorithms!$G:$G,MATCH($C302&amp;"_Therm Saved per Unit- MLA",Algorithms!$A:$A,0)),0)*X302</f>
        <v>0</v>
      </c>
      <c r="CP302" s="266">
        <f ca="1">O302*IFERROR(INDEX(Algorithms!$G:$G,MATCH($C302&amp;"_Therm Saved per Unit- MLA",Algorithms!$A:$A,0)),0)*Y302</f>
        <v>0</v>
      </c>
      <c r="CQ302" s="266">
        <f ca="1">P302*IFERROR(INDEX(Algorithms!$G:$G,MATCH($C302&amp;"_Therm Saved per Unit- MLA",Algorithms!$A:$A,0)),0)*Z302</f>
        <v>0</v>
      </c>
      <c r="CR302" s="266">
        <f ca="1">Q302*IFERROR(INDEX(Algorithms!$G:$G,MATCH($C302&amp;"_Therm Saved per Unit- MLA",Algorithms!$A:$A,0)),0)*AA302</f>
        <v>0</v>
      </c>
      <c r="CS302" s="266">
        <f ca="1">IFERROR(INDEX(Algorithms!$G:$G,MATCH($C302&amp;"_Lifetime (years)",Algorithms!$A:$A,0)),0)</f>
        <v>0</v>
      </c>
      <c r="CT302" s="266">
        <f ca="1">IFERROR(INDEX(Algorithms!$G:$G,MATCH($C302&amp;"_Lifetime (years) - Remaining Years",Algorithms!$A:$A,0)),0)</f>
        <v>0</v>
      </c>
      <c r="CU302" s="266">
        <f t="shared" ca="1" si="201"/>
        <v>0</v>
      </c>
      <c r="CV302" s="266">
        <f t="shared" ca="1" si="202"/>
        <v>0</v>
      </c>
      <c r="CW302" s="266">
        <f t="shared" ca="1" si="203"/>
        <v>0</v>
      </c>
      <c r="CX302" s="266">
        <f t="shared" ca="1" si="204"/>
        <v>0</v>
      </c>
    </row>
    <row r="303" spans="2:102" s="47" customFormat="1" ht="18" customHeight="1" x14ac:dyDescent="0.25">
      <c r="B303" t="str">
        <f t="shared" si="205"/>
        <v>NSG_Business_C&amp;I_Rebates_Boiler Reset Controls_0_CI</v>
      </c>
      <c r="C303" s="47" t="str">
        <f t="shared" si="166"/>
        <v>Boiler Reset Controls_0_CI</v>
      </c>
      <c r="D303" s="270" t="s">
        <v>1787</v>
      </c>
      <c r="E303" s="270" t="s">
        <v>3</v>
      </c>
      <c r="F303" s="270" t="s">
        <v>1427</v>
      </c>
      <c r="G303" s="270" t="s">
        <v>1429</v>
      </c>
      <c r="H303" s="270" t="s">
        <v>978</v>
      </c>
      <c r="I303" s="270">
        <v>0</v>
      </c>
      <c r="J303" s="270" t="s">
        <v>1159</v>
      </c>
      <c r="K303" s="263">
        <v>1</v>
      </c>
      <c r="L303" s="263" t="str">
        <f ca="1">IFERROR(INDEX(Algorithms!J:J,MATCH($C303&amp;"_Therm Saved per Unit",Algorithms!$A:$A,0)),"n/a")</f>
        <v>4.4.4</v>
      </c>
      <c r="M303" s="263" t="str">
        <f>IFERROR(INDEX('Measure Level Detail'!$N:$N,MATCH($B303,'Measure Level Detail'!$B:$B,0)),0)</f>
        <v>MBH</v>
      </c>
      <c r="N303" s="271">
        <f>IFERROR(INDEX('Measure Level Detail'!$P:$P,MATCH($B303&amp;"_"&amp;N$3,'Measure Level Detail'!$C:$C,0)),0)</f>
        <v>0</v>
      </c>
      <c r="O303" s="271">
        <f>IFERROR(INDEX('Measure Level Detail'!$P:$P,MATCH($B303&amp;"_"&amp;O$3,'Measure Level Detail'!$C:$C,0)),0)</f>
        <v>0</v>
      </c>
      <c r="P303" s="271">
        <f>IFERROR(INDEX('Measure Level Detail'!$P:$P,MATCH($B303&amp;"_"&amp;P$3,'Measure Level Detail'!$C:$C,0)),0)</f>
        <v>0</v>
      </c>
      <c r="Q303" s="271">
        <f>IFERROR(INDEX('Measure Level Detail'!$P:$P,MATCH($B303&amp;"_"&amp;Q$3,'Measure Level Detail'!$C:$C,0)),0)</f>
        <v>0</v>
      </c>
      <c r="R303" s="263" t="str">
        <f ca="1">IFERROR(INDEX(Algorithms!K:K,MATCH($C303&amp;"_Therm Saved per Unit",Algorithms!$A:$A,0)),"n/a")</f>
        <v>CI-HVC-BLRC-V05-240101</v>
      </c>
      <c r="S303" s="262"/>
      <c r="T303" s="272">
        <v>1.3424</v>
      </c>
      <c r="U303" s="272">
        <v>1.3424</v>
      </c>
      <c r="V303" s="272">
        <v>1.3424</v>
      </c>
      <c r="W303" s="272">
        <v>1.3424</v>
      </c>
      <c r="X303" s="273">
        <f>IFERROR(INDEX('Measure Level Detail'!$R:$R,MATCH($B303&amp;"_"&amp;X$3,'Measure Level Detail'!$C:$C,0)),0)</f>
        <v>0.91</v>
      </c>
      <c r="Y303" s="273">
        <f>IFERROR(INDEX('Measure Level Detail'!$R:$R,MATCH($B303&amp;"_"&amp;Y$3,'Measure Level Detail'!$C:$C,0)),0)</f>
        <v>0.91</v>
      </c>
      <c r="Z303" s="273">
        <f>IFERROR(INDEX('Measure Level Detail'!$R:$R,MATCH($B303&amp;"_"&amp;Z$3,'Measure Level Detail'!$C:$C,0)),0)</f>
        <v>0.91</v>
      </c>
      <c r="AA303" s="273">
        <f>IFERROR(INDEX('Measure Level Detail'!$R:$R,MATCH($B303&amp;"_"&amp;AA$3,'Measure Level Detail'!$C:$C,0)),0)</f>
        <v>0.91</v>
      </c>
      <c r="AB303" s="266">
        <f t="shared" si="167"/>
        <v>0</v>
      </c>
      <c r="AC303" s="266">
        <f t="shared" si="168"/>
        <v>0</v>
      </c>
      <c r="AD303" s="266">
        <f t="shared" si="169"/>
        <v>0</v>
      </c>
      <c r="AE303" s="266">
        <f t="shared" si="170"/>
        <v>0</v>
      </c>
      <c r="AF303" s="266">
        <f t="shared" si="171"/>
        <v>0</v>
      </c>
      <c r="AG303" s="274">
        <v>0.91</v>
      </c>
      <c r="AH303" s="274">
        <v>0.91</v>
      </c>
      <c r="AI303" s="274">
        <v>0.91</v>
      </c>
      <c r="AJ303" s="274">
        <v>0.91</v>
      </c>
      <c r="AK303" s="274">
        <f t="shared" si="172"/>
        <v>0.91</v>
      </c>
      <c r="AL303" s="274">
        <f t="shared" si="173"/>
        <v>0.91</v>
      </c>
      <c r="AM303" s="274">
        <f t="shared" si="174"/>
        <v>0.91</v>
      </c>
      <c r="AN303" s="274">
        <f t="shared" si="175"/>
        <v>0.91</v>
      </c>
      <c r="AO303" s="262"/>
      <c r="AP303" s="262"/>
      <c r="AQ303" s="267">
        <v>1.3424</v>
      </c>
      <c r="AR303" s="262"/>
      <c r="AS303" s="266">
        <f t="shared" si="176"/>
        <v>0</v>
      </c>
      <c r="AT303" s="264">
        <f t="shared" si="177"/>
        <v>0</v>
      </c>
      <c r="AU303" s="262"/>
      <c r="AV303" s="262"/>
      <c r="AW303" s="265">
        <v>1.3424</v>
      </c>
      <c r="AX303" s="164" t="s">
        <v>1469</v>
      </c>
      <c r="AY303" s="266">
        <v>0</v>
      </c>
      <c r="AZ303" s="266">
        <f t="shared" si="178"/>
        <v>0</v>
      </c>
      <c r="BA303" s="264">
        <f t="shared" si="179"/>
        <v>0</v>
      </c>
      <c r="BB303" s="262"/>
      <c r="BC303" s="262"/>
      <c r="BD303" s="265">
        <f ca="1">IFERROR(INDEX(Algorithms!$G:$G,MATCH($C303&amp;"_Therm Saved per Unit",Algorithms!$A:$A,0)),0)</f>
        <v>1.3424</v>
      </c>
      <c r="BE303" s="164" t="str">
        <f ca="1">IFERROR(INDEX('v12 Revisions'!$P$29:$P$186, MATCH('Measure-Level Adj Gas'!$L303, 'v12 Revisions'!$D$29:$D$186,0)),"")</f>
        <v/>
      </c>
      <c r="BF303" s="266">
        <f t="shared" ca="1" si="180"/>
        <v>0</v>
      </c>
      <c r="BG303" s="264">
        <f t="shared" ca="1" si="181"/>
        <v>0</v>
      </c>
      <c r="BH303" s="262"/>
      <c r="BI303" s="262"/>
      <c r="BJ303" s="265">
        <f ca="1">IFERROR(INDEX(Algorithms!$G:$G,MATCH($C303&amp;"_Therm Saved per Unit",Algorithms!$A:$A,0)),0)</f>
        <v>1.3424</v>
      </c>
      <c r="BK303" s="164"/>
      <c r="BL303" s="266">
        <f t="shared" ca="1" si="182"/>
        <v>0</v>
      </c>
      <c r="BM303" s="264">
        <f t="shared" ca="1" si="183"/>
        <v>0</v>
      </c>
      <c r="BN303" s="266">
        <f t="shared" si="184"/>
        <v>0</v>
      </c>
      <c r="BO303" s="266">
        <f t="shared" si="185"/>
        <v>0</v>
      </c>
      <c r="BP303" s="266">
        <f t="shared" ca="1" si="186"/>
        <v>0</v>
      </c>
      <c r="BQ303" s="266">
        <f t="shared" ca="1" si="187"/>
        <v>0</v>
      </c>
      <c r="BR303" s="268">
        <f t="shared" ca="1" si="188"/>
        <v>0</v>
      </c>
      <c r="BS303" s="262" t="s">
        <v>99</v>
      </c>
      <c r="BT303" s="277"/>
      <c r="BW303" s="266">
        <f t="shared" si="189"/>
        <v>0</v>
      </c>
      <c r="BX303" s="266">
        <f t="shared" si="190"/>
        <v>0</v>
      </c>
      <c r="BY303" s="266">
        <f t="shared" si="191"/>
        <v>0</v>
      </c>
      <c r="BZ303" s="266">
        <f t="shared" si="192"/>
        <v>0</v>
      </c>
      <c r="CA303" s="266">
        <f ca="1">N303*IFERROR(INDEX(Algorithms!$G:$G,MATCH($C303&amp;"_Therm Saved per Unit- MLA",Algorithms!$A:$A,0)),0)*X303</f>
        <v>0</v>
      </c>
      <c r="CB303" s="266">
        <f ca="1">O303*IFERROR(INDEX(Algorithms!$G:$G,MATCH($C303&amp;"_Therm Saved per Unit- MLA",Algorithms!$A:$A,0)),0)*Y303</f>
        <v>0</v>
      </c>
      <c r="CC303" s="266">
        <f ca="1">P303*IFERROR(INDEX(Algorithms!$G:$G,MATCH($C303&amp;"_Therm Saved per Unit- MLA",Algorithms!$A:$A,0)),0)*Z303</f>
        <v>0</v>
      </c>
      <c r="CD303" s="266">
        <f ca="1">Q303*IFERROR(INDEX(Algorithms!$G:$G,MATCH($C303&amp;"_Therm Saved per Unit- MLA",Algorithms!$A:$A,0)),0)*AA303</f>
        <v>0</v>
      </c>
      <c r="CE303" s="266">
        <f ca="1">IFERROR(INDEX(Algorithms!$G:$G,MATCH($C303&amp;"_Lifetime (years)",Algorithms!$A:$A,0)),0)</f>
        <v>16</v>
      </c>
      <c r="CF303" s="266">
        <f ca="1">IFERROR(INDEX(Algorithms!$G:$G,MATCH($C303&amp;"_Lifetime (years) - Remaining Years",Algorithms!$A:$A,0)),0)</f>
        <v>0</v>
      </c>
      <c r="CG303" s="266">
        <f t="shared" ca="1" si="193"/>
        <v>0</v>
      </c>
      <c r="CH303" s="266">
        <f t="shared" ca="1" si="194"/>
        <v>0</v>
      </c>
      <c r="CI303" s="266">
        <f t="shared" ca="1" si="195"/>
        <v>0</v>
      </c>
      <c r="CJ303" s="266">
        <f t="shared" ca="1" si="196"/>
        <v>0</v>
      </c>
      <c r="CK303" s="266">
        <f t="shared" si="197"/>
        <v>0</v>
      </c>
      <c r="CL303" s="266">
        <f t="shared" si="198"/>
        <v>0</v>
      </c>
      <c r="CM303" s="266">
        <f t="shared" ca="1" si="199"/>
        <v>0</v>
      </c>
      <c r="CN303" s="266">
        <f t="shared" ca="1" si="200"/>
        <v>0</v>
      </c>
      <c r="CO303" s="266">
        <f ca="1">N303*IFERROR(INDEX(Algorithms!$G:$G,MATCH($C303&amp;"_Therm Saved per Unit- MLA",Algorithms!$A:$A,0)),0)*X303</f>
        <v>0</v>
      </c>
      <c r="CP303" s="266">
        <f ca="1">O303*IFERROR(INDEX(Algorithms!$G:$G,MATCH($C303&amp;"_Therm Saved per Unit- MLA",Algorithms!$A:$A,0)),0)*Y303</f>
        <v>0</v>
      </c>
      <c r="CQ303" s="266">
        <f ca="1">P303*IFERROR(INDEX(Algorithms!$G:$G,MATCH($C303&amp;"_Therm Saved per Unit- MLA",Algorithms!$A:$A,0)),0)*Z303</f>
        <v>0</v>
      </c>
      <c r="CR303" s="266">
        <f ca="1">Q303*IFERROR(INDEX(Algorithms!$G:$G,MATCH($C303&amp;"_Therm Saved per Unit- MLA",Algorithms!$A:$A,0)),0)*AA303</f>
        <v>0</v>
      </c>
      <c r="CS303" s="266">
        <f ca="1">IFERROR(INDEX(Algorithms!$G:$G,MATCH($C303&amp;"_Lifetime (years)",Algorithms!$A:$A,0)),0)</f>
        <v>16</v>
      </c>
      <c r="CT303" s="266">
        <f ca="1">IFERROR(INDEX(Algorithms!$G:$G,MATCH($C303&amp;"_Lifetime (years) - Remaining Years",Algorithms!$A:$A,0)),0)</f>
        <v>0</v>
      </c>
      <c r="CU303" s="266">
        <f t="shared" ca="1" si="201"/>
        <v>0</v>
      </c>
      <c r="CV303" s="266">
        <f t="shared" ca="1" si="202"/>
        <v>0</v>
      </c>
      <c r="CW303" s="266">
        <f t="shared" ca="1" si="203"/>
        <v>0</v>
      </c>
      <c r="CX303" s="266">
        <f t="shared" ca="1" si="204"/>
        <v>0</v>
      </c>
    </row>
    <row r="304" spans="2:102" s="47" customFormat="1" ht="18" customHeight="1" x14ac:dyDescent="0.25">
      <c r="B304" t="str">
        <f t="shared" si="205"/>
        <v>NSG_Business_C&amp;I_Rebates_Furnace_&gt;95% AFUE_CI</v>
      </c>
      <c r="C304" s="47" t="str">
        <f t="shared" si="166"/>
        <v>Furnace_&gt;95% AFUE_CI</v>
      </c>
      <c r="D304" s="270" t="s">
        <v>1787</v>
      </c>
      <c r="E304" s="270" t="s">
        <v>3</v>
      </c>
      <c r="F304" s="270" t="s">
        <v>1427</v>
      </c>
      <c r="G304" s="270" t="s">
        <v>1429</v>
      </c>
      <c r="H304" s="270" t="s">
        <v>490</v>
      </c>
      <c r="I304" s="270" t="s">
        <v>982</v>
      </c>
      <c r="J304" s="270" t="s">
        <v>1159</v>
      </c>
      <c r="K304" s="263">
        <v>1</v>
      </c>
      <c r="L304" s="263" t="str">
        <f ca="1">IFERROR(INDEX(Algorithms!J:J,MATCH($C304&amp;"_Therm Saved per Unit",Algorithms!$A:$A,0)),"n/a")</f>
        <v>4.4.11</v>
      </c>
      <c r="M304" s="263" t="str">
        <f>IFERROR(INDEX('Measure Level Detail'!$N:$N,MATCH($B304,'Measure Level Detail'!$B:$B,0)),0)</f>
        <v>each</v>
      </c>
      <c r="N304" s="271">
        <f>IFERROR(INDEX('Measure Level Detail'!$P:$P,MATCH($B304&amp;"_"&amp;N$3,'Measure Level Detail'!$C:$C,0)),0)</f>
        <v>0</v>
      </c>
      <c r="O304" s="271">
        <f>IFERROR(INDEX('Measure Level Detail'!$P:$P,MATCH($B304&amp;"_"&amp;O$3,'Measure Level Detail'!$C:$C,0)),0)</f>
        <v>0</v>
      </c>
      <c r="P304" s="271">
        <f>IFERROR(INDEX('Measure Level Detail'!$P:$P,MATCH($B304&amp;"_"&amp;P$3,'Measure Level Detail'!$C:$C,0)),0)</f>
        <v>0</v>
      </c>
      <c r="Q304" s="271">
        <f>IFERROR(INDEX('Measure Level Detail'!$P:$P,MATCH($B304&amp;"_"&amp;Q$3,'Measure Level Detail'!$C:$C,0)),0)</f>
        <v>0</v>
      </c>
      <c r="R304" s="263" t="str">
        <f ca="1">IFERROR(INDEX(Algorithms!K:K,MATCH($C304&amp;"_Therm Saved per Unit",Algorithms!$A:$A,0)),"n/a")</f>
        <v>CI-HVC-FRNC-V13-240101</v>
      </c>
      <c r="S304" s="262"/>
      <c r="T304" s="272">
        <v>247.08549999999985</v>
      </c>
      <c r="U304" s="272">
        <v>247.08549999999985</v>
      </c>
      <c r="V304" s="272">
        <v>247.08549999999985</v>
      </c>
      <c r="W304" s="272">
        <v>247.08549999999985</v>
      </c>
      <c r="X304" s="273">
        <f>IFERROR(INDEX('Measure Level Detail'!$R:$R,MATCH($B304&amp;"_"&amp;X$3,'Measure Level Detail'!$C:$C,0)),0)</f>
        <v>0.91</v>
      </c>
      <c r="Y304" s="273">
        <f>IFERROR(INDEX('Measure Level Detail'!$R:$R,MATCH($B304&amp;"_"&amp;Y$3,'Measure Level Detail'!$C:$C,0)),0)</f>
        <v>0.91</v>
      </c>
      <c r="Z304" s="273">
        <f>IFERROR(INDEX('Measure Level Detail'!$R:$R,MATCH($B304&amp;"_"&amp;Z$3,'Measure Level Detail'!$C:$C,0)),0)</f>
        <v>0.91</v>
      </c>
      <c r="AA304" s="273">
        <f>IFERROR(INDEX('Measure Level Detail'!$R:$R,MATCH($B304&amp;"_"&amp;AA$3,'Measure Level Detail'!$C:$C,0)),0)</f>
        <v>0.91</v>
      </c>
      <c r="AB304" s="266">
        <f t="shared" si="167"/>
        <v>0</v>
      </c>
      <c r="AC304" s="266">
        <f t="shared" si="168"/>
        <v>0</v>
      </c>
      <c r="AD304" s="266">
        <f t="shared" si="169"/>
        <v>0</v>
      </c>
      <c r="AE304" s="266">
        <f t="shared" si="170"/>
        <v>0</v>
      </c>
      <c r="AF304" s="266">
        <f t="shared" si="171"/>
        <v>0</v>
      </c>
      <c r="AG304" s="274">
        <v>0.91</v>
      </c>
      <c r="AH304" s="274">
        <v>0.91</v>
      </c>
      <c r="AI304" s="274">
        <v>0.91</v>
      </c>
      <c r="AJ304" s="274">
        <v>0.91</v>
      </c>
      <c r="AK304" s="274">
        <f t="shared" si="172"/>
        <v>0.91</v>
      </c>
      <c r="AL304" s="274">
        <f t="shared" si="173"/>
        <v>0.91</v>
      </c>
      <c r="AM304" s="274">
        <f t="shared" si="174"/>
        <v>0.91</v>
      </c>
      <c r="AN304" s="274">
        <f t="shared" si="175"/>
        <v>0.91</v>
      </c>
      <c r="AO304" s="262"/>
      <c r="AP304" s="262"/>
      <c r="AQ304" s="267">
        <v>247.08549999999985</v>
      </c>
      <c r="AR304" s="262"/>
      <c r="AS304" s="266">
        <f t="shared" si="176"/>
        <v>0</v>
      </c>
      <c r="AT304" s="264">
        <f t="shared" si="177"/>
        <v>0</v>
      </c>
      <c r="AU304" s="262"/>
      <c r="AV304" s="262"/>
      <c r="AW304" s="265">
        <v>247.08549999999985</v>
      </c>
      <c r="AX304" s="164" t="s">
        <v>1469</v>
      </c>
      <c r="AY304" s="266">
        <v>0</v>
      </c>
      <c r="AZ304" s="266">
        <f t="shared" si="178"/>
        <v>0</v>
      </c>
      <c r="BA304" s="264">
        <f t="shared" si="179"/>
        <v>0</v>
      </c>
      <c r="BB304" s="262"/>
      <c r="BC304" s="262"/>
      <c r="BD304" s="265">
        <f ca="1">IFERROR(INDEX(Algorithms!$G:$G,MATCH($C304&amp;"_Therm Saved per Unit",Algorithms!$A:$A,0)),0)</f>
        <v>228.29086419753071</v>
      </c>
      <c r="BE304" s="164" t="str">
        <f ca="1">IFERROR(INDEX('v12 Revisions'!$P$29:$P$186, MATCH('Measure-Level Adj Gas'!$L304, 'v12 Revisions'!$D$29:$D$186,0)),"")</f>
        <v>Updated baseline Furnace Annual Fuel Utilization Efficiency (AFUE) rating from 80% to 81%.</v>
      </c>
      <c r="BF304" s="266">
        <f t="shared" ca="1" si="180"/>
        <v>0</v>
      </c>
      <c r="BG304" s="264">
        <f t="shared" ca="1" si="181"/>
        <v>0</v>
      </c>
      <c r="BH304" s="262"/>
      <c r="BI304" s="262"/>
      <c r="BJ304" s="265">
        <f ca="1">IFERROR(INDEX(Algorithms!$G:$G,MATCH($C304&amp;"_Therm Saved per Unit",Algorithms!$A:$A,0)),0)</f>
        <v>228.29086419753071</v>
      </c>
      <c r="BK304" s="164"/>
      <c r="BL304" s="266">
        <f t="shared" ca="1" si="182"/>
        <v>0</v>
      </c>
      <c r="BM304" s="264">
        <f t="shared" ca="1" si="183"/>
        <v>0</v>
      </c>
      <c r="BN304" s="266">
        <f t="shared" si="184"/>
        <v>0</v>
      </c>
      <c r="BO304" s="266">
        <f t="shared" si="185"/>
        <v>0</v>
      </c>
      <c r="BP304" s="266">
        <f t="shared" ca="1" si="186"/>
        <v>0</v>
      </c>
      <c r="BQ304" s="266">
        <f t="shared" ca="1" si="187"/>
        <v>0</v>
      </c>
      <c r="BR304" s="268">
        <f t="shared" ca="1" si="188"/>
        <v>0</v>
      </c>
      <c r="BS304" s="262" t="s">
        <v>99</v>
      </c>
      <c r="BT304" s="277"/>
      <c r="BW304" s="266">
        <f t="shared" si="189"/>
        <v>0</v>
      </c>
      <c r="BX304" s="266">
        <f t="shared" si="190"/>
        <v>0</v>
      </c>
      <c r="BY304" s="266">
        <f t="shared" si="191"/>
        <v>0</v>
      </c>
      <c r="BZ304" s="266">
        <f t="shared" si="192"/>
        <v>0</v>
      </c>
      <c r="CA304" s="266">
        <f ca="1">N304*IFERROR(INDEX(Algorithms!$G:$G,MATCH($C304&amp;"_Therm Saved per Unit- MLA",Algorithms!$A:$A,0)),0)*X304</f>
        <v>0</v>
      </c>
      <c r="CB304" s="266">
        <f ca="1">O304*IFERROR(INDEX(Algorithms!$G:$G,MATCH($C304&amp;"_Therm Saved per Unit- MLA",Algorithms!$A:$A,0)),0)*Y304</f>
        <v>0</v>
      </c>
      <c r="CC304" s="266">
        <f ca="1">P304*IFERROR(INDEX(Algorithms!$G:$G,MATCH($C304&amp;"_Therm Saved per Unit- MLA",Algorithms!$A:$A,0)),0)*Z304</f>
        <v>0</v>
      </c>
      <c r="CD304" s="266">
        <f ca="1">Q304*IFERROR(INDEX(Algorithms!$G:$G,MATCH($C304&amp;"_Therm Saved per Unit- MLA",Algorithms!$A:$A,0)),0)*AA304</f>
        <v>0</v>
      </c>
      <c r="CE304" s="266">
        <f ca="1">IFERROR(INDEX(Algorithms!$G:$G,MATCH($C304&amp;"_Lifetime (years)",Algorithms!$A:$A,0)),0)</f>
        <v>16.5</v>
      </c>
      <c r="CF304" s="266">
        <f ca="1">IFERROR(INDEX(Algorithms!$G:$G,MATCH($C304&amp;"_Lifetime (years) - Remaining Years",Algorithms!$A:$A,0)),0)</f>
        <v>0</v>
      </c>
      <c r="CG304" s="266">
        <f t="shared" ca="1" si="193"/>
        <v>0</v>
      </c>
      <c r="CH304" s="266">
        <f t="shared" ca="1" si="194"/>
        <v>0</v>
      </c>
      <c r="CI304" s="266">
        <f t="shared" ca="1" si="195"/>
        <v>0</v>
      </c>
      <c r="CJ304" s="266">
        <f t="shared" ca="1" si="196"/>
        <v>0</v>
      </c>
      <c r="CK304" s="266">
        <f t="shared" si="197"/>
        <v>0</v>
      </c>
      <c r="CL304" s="266">
        <f t="shared" si="198"/>
        <v>0</v>
      </c>
      <c r="CM304" s="266">
        <f t="shared" ca="1" si="199"/>
        <v>0</v>
      </c>
      <c r="CN304" s="266">
        <f t="shared" ca="1" si="200"/>
        <v>0</v>
      </c>
      <c r="CO304" s="266">
        <f ca="1">N304*IFERROR(INDEX(Algorithms!$G:$G,MATCH($C304&amp;"_Therm Saved per Unit- MLA",Algorithms!$A:$A,0)),0)*X304</f>
        <v>0</v>
      </c>
      <c r="CP304" s="266">
        <f ca="1">O304*IFERROR(INDEX(Algorithms!$G:$G,MATCH($C304&amp;"_Therm Saved per Unit- MLA",Algorithms!$A:$A,0)),0)*Y304</f>
        <v>0</v>
      </c>
      <c r="CQ304" s="266">
        <f ca="1">P304*IFERROR(INDEX(Algorithms!$G:$G,MATCH($C304&amp;"_Therm Saved per Unit- MLA",Algorithms!$A:$A,0)),0)*Z304</f>
        <v>0</v>
      </c>
      <c r="CR304" s="266">
        <f ca="1">Q304*IFERROR(INDEX(Algorithms!$G:$G,MATCH($C304&amp;"_Therm Saved per Unit- MLA",Algorithms!$A:$A,0)),0)*AA304</f>
        <v>0</v>
      </c>
      <c r="CS304" s="266">
        <f ca="1">IFERROR(INDEX(Algorithms!$G:$G,MATCH($C304&amp;"_Lifetime (years)",Algorithms!$A:$A,0)),0)</f>
        <v>16.5</v>
      </c>
      <c r="CT304" s="266">
        <f ca="1">IFERROR(INDEX(Algorithms!$G:$G,MATCH($C304&amp;"_Lifetime (years) - Remaining Years",Algorithms!$A:$A,0)),0)</f>
        <v>0</v>
      </c>
      <c r="CU304" s="266">
        <f t="shared" ca="1" si="201"/>
        <v>0</v>
      </c>
      <c r="CV304" s="266">
        <f t="shared" ca="1" si="202"/>
        <v>0</v>
      </c>
      <c r="CW304" s="266">
        <f t="shared" ca="1" si="203"/>
        <v>0</v>
      </c>
      <c r="CX304" s="266">
        <f t="shared" ca="1" si="204"/>
        <v>0</v>
      </c>
    </row>
    <row r="305" spans="2:102" s="47" customFormat="1" ht="18" customHeight="1" x14ac:dyDescent="0.25">
      <c r="B305" t="str">
        <f t="shared" si="205"/>
        <v>NSG_Business_C&amp;I_Rebates_Condensing Unit Heater_0_MF/CI</v>
      </c>
      <c r="C305" s="47" t="str">
        <f t="shared" si="166"/>
        <v>Condensing Unit Heater_0_MF/CI</v>
      </c>
      <c r="D305" s="270" t="s">
        <v>1787</v>
      </c>
      <c r="E305" s="270" t="s">
        <v>3</v>
      </c>
      <c r="F305" s="270" t="s">
        <v>1427</v>
      </c>
      <c r="G305" s="270" t="s">
        <v>1429</v>
      </c>
      <c r="H305" s="270" t="s">
        <v>13</v>
      </c>
      <c r="I305" s="270">
        <v>0</v>
      </c>
      <c r="J305" s="270" t="s">
        <v>587</v>
      </c>
      <c r="K305" s="263">
        <v>1</v>
      </c>
      <c r="L305" s="263" t="str">
        <f ca="1">IFERROR(INDEX(Algorithms!J:J,MATCH($C305&amp;"_Therm Saved per Unit",Algorithms!$A:$A,0)),"n/a")</f>
        <v>4.4.5</v>
      </c>
      <c r="M305" s="263" t="str">
        <f>IFERROR(INDEX('Measure Level Detail'!$N:$N,MATCH($B305,'Measure Level Detail'!$B:$B,0)),0)</f>
        <v>MBH</v>
      </c>
      <c r="N305" s="271">
        <f>IFERROR(INDEX('Measure Level Detail'!$P:$P,MATCH($B305&amp;"_"&amp;N$3,'Measure Level Detail'!$C:$C,0)),0)</f>
        <v>0</v>
      </c>
      <c r="O305" s="271">
        <f>IFERROR(INDEX('Measure Level Detail'!$P:$P,MATCH($B305&amp;"_"&amp;O$3,'Measure Level Detail'!$C:$C,0)),0)</f>
        <v>0</v>
      </c>
      <c r="P305" s="271">
        <f>IFERROR(INDEX('Measure Level Detail'!$P:$P,MATCH($B305&amp;"_"&amp;P$3,'Measure Level Detail'!$C:$C,0)),0)</f>
        <v>0</v>
      </c>
      <c r="Q305" s="271">
        <f>IFERROR(INDEX('Measure Level Detail'!$P:$P,MATCH($B305&amp;"_"&amp;Q$3,'Measure Level Detail'!$C:$C,0)),0)</f>
        <v>0</v>
      </c>
      <c r="R305" s="263" t="str">
        <f ca="1">IFERROR(INDEX(Algorithms!K:K,MATCH($C305&amp;"_Therm Saved per Unit",Algorithms!$A:$A,0)),"n/a")</f>
        <v>CI-HVC-CUHT-V03-230101</v>
      </c>
      <c r="S305" s="262"/>
      <c r="T305" s="272">
        <v>1.7733333333333334</v>
      </c>
      <c r="U305" s="272">
        <v>1.7733333333333334</v>
      </c>
      <c r="V305" s="272">
        <v>1.7733333333333334</v>
      </c>
      <c r="W305" s="272">
        <v>1.7733333333333334</v>
      </c>
      <c r="X305" s="273">
        <f>IFERROR(INDEX('Measure Level Detail'!$R:$R,MATCH($B305&amp;"_"&amp;X$3,'Measure Level Detail'!$C:$C,0)),0)</f>
        <v>0.91</v>
      </c>
      <c r="Y305" s="273">
        <f>IFERROR(INDEX('Measure Level Detail'!$R:$R,MATCH($B305&amp;"_"&amp;Y$3,'Measure Level Detail'!$C:$C,0)),0)</f>
        <v>0.91</v>
      </c>
      <c r="Z305" s="273">
        <f>IFERROR(INDEX('Measure Level Detail'!$R:$R,MATCH($B305&amp;"_"&amp;Z$3,'Measure Level Detail'!$C:$C,0)),0)</f>
        <v>0.91</v>
      </c>
      <c r="AA305" s="273">
        <f>IFERROR(INDEX('Measure Level Detail'!$R:$R,MATCH($B305&amp;"_"&amp;AA$3,'Measure Level Detail'!$C:$C,0)),0)</f>
        <v>0.91</v>
      </c>
      <c r="AB305" s="266">
        <f t="shared" si="167"/>
        <v>0</v>
      </c>
      <c r="AC305" s="266">
        <f t="shared" si="168"/>
        <v>0</v>
      </c>
      <c r="AD305" s="266">
        <f t="shared" si="169"/>
        <v>0</v>
      </c>
      <c r="AE305" s="266">
        <f t="shared" si="170"/>
        <v>0</v>
      </c>
      <c r="AF305" s="266">
        <f t="shared" si="171"/>
        <v>0</v>
      </c>
      <c r="AG305" s="274">
        <v>0.91</v>
      </c>
      <c r="AH305" s="274">
        <v>0.91</v>
      </c>
      <c r="AI305" s="274">
        <v>0.91</v>
      </c>
      <c r="AJ305" s="274">
        <v>0.91</v>
      </c>
      <c r="AK305" s="274">
        <f t="shared" si="172"/>
        <v>0.91</v>
      </c>
      <c r="AL305" s="274">
        <f t="shared" si="173"/>
        <v>0.91</v>
      </c>
      <c r="AM305" s="274">
        <f t="shared" si="174"/>
        <v>0.91</v>
      </c>
      <c r="AN305" s="274">
        <f t="shared" si="175"/>
        <v>0.91</v>
      </c>
      <c r="AO305" s="262"/>
      <c r="AP305" s="262"/>
      <c r="AQ305" s="267">
        <v>1.6896527777777772</v>
      </c>
      <c r="AR305" s="262"/>
      <c r="AS305" s="266">
        <f t="shared" si="176"/>
        <v>0</v>
      </c>
      <c r="AT305" s="264">
        <f t="shared" si="177"/>
        <v>0</v>
      </c>
      <c r="AU305" s="262"/>
      <c r="AV305" s="262"/>
      <c r="AW305" s="265">
        <v>1.6896527777777772</v>
      </c>
      <c r="AX305" s="164" t="s">
        <v>1469</v>
      </c>
      <c r="AY305" s="266">
        <v>0</v>
      </c>
      <c r="AZ305" s="266">
        <f t="shared" si="178"/>
        <v>0</v>
      </c>
      <c r="BA305" s="264">
        <f t="shared" si="179"/>
        <v>0</v>
      </c>
      <c r="BB305" s="262"/>
      <c r="BC305" s="262"/>
      <c r="BD305" s="265">
        <f ca="1">IFERROR(INDEX(Algorithms!$G:$G,MATCH($C305&amp;"_Therm Saved per Unit",Algorithms!$A:$A,0)),0)</f>
        <v>1.6896527777777772</v>
      </c>
      <c r="BE305" s="164" t="str">
        <f ca="1">IFERROR(INDEX('v12 Revisions'!$P$29:$P$186, MATCH('Measure-Level Adj Gas'!$L305, 'v12 Revisions'!$D$29:$D$186,0)),"")</f>
        <v/>
      </c>
      <c r="BF305" s="266">
        <f t="shared" ca="1" si="180"/>
        <v>0</v>
      </c>
      <c r="BG305" s="264">
        <f t="shared" ca="1" si="181"/>
        <v>0</v>
      </c>
      <c r="BH305" s="262"/>
      <c r="BI305" s="262"/>
      <c r="BJ305" s="265">
        <f ca="1">IFERROR(INDEX(Algorithms!$G:$G,MATCH($C305&amp;"_Therm Saved per Unit",Algorithms!$A:$A,0)),0)</f>
        <v>1.6896527777777772</v>
      </c>
      <c r="BK305" s="164"/>
      <c r="BL305" s="266">
        <f t="shared" ca="1" si="182"/>
        <v>0</v>
      </c>
      <c r="BM305" s="264">
        <f t="shared" ca="1" si="183"/>
        <v>0</v>
      </c>
      <c r="BN305" s="266">
        <f t="shared" si="184"/>
        <v>0</v>
      </c>
      <c r="BO305" s="266">
        <f t="shared" si="185"/>
        <v>0</v>
      </c>
      <c r="BP305" s="266">
        <f t="shared" ca="1" si="186"/>
        <v>0</v>
      </c>
      <c r="BQ305" s="266">
        <f t="shared" ca="1" si="187"/>
        <v>0</v>
      </c>
      <c r="BR305" s="268">
        <f t="shared" ca="1" si="188"/>
        <v>0</v>
      </c>
      <c r="BS305" s="262" t="s">
        <v>99</v>
      </c>
      <c r="BT305" s="277"/>
      <c r="BW305" s="266">
        <f t="shared" si="189"/>
        <v>0</v>
      </c>
      <c r="BX305" s="266">
        <f t="shared" si="190"/>
        <v>0</v>
      </c>
      <c r="BY305" s="266">
        <f t="shared" si="191"/>
        <v>0</v>
      </c>
      <c r="BZ305" s="266">
        <f t="shared" si="192"/>
        <v>0</v>
      </c>
      <c r="CA305" s="266">
        <f ca="1">N305*IFERROR(INDEX(Algorithms!$G:$G,MATCH($C305&amp;"_Therm Saved per Unit- MLA",Algorithms!$A:$A,0)),0)*X305</f>
        <v>0</v>
      </c>
      <c r="CB305" s="266">
        <f ca="1">O305*IFERROR(INDEX(Algorithms!$G:$G,MATCH($C305&amp;"_Therm Saved per Unit- MLA",Algorithms!$A:$A,0)),0)*Y305</f>
        <v>0</v>
      </c>
      <c r="CC305" s="266">
        <f ca="1">P305*IFERROR(INDEX(Algorithms!$G:$G,MATCH($C305&amp;"_Therm Saved per Unit- MLA",Algorithms!$A:$A,0)),0)*Z305</f>
        <v>0</v>
      </c>
      <c r="CD305" s="266">
        <f ca="1">Q305*IFERROR(INDEX(Algorithms!$G:$G,MATCH($C305&amp;"_Therm Saved per Unit- MLA",Algorithms!$A:$A,0)),0)*AA305</f>
        <v>0</v>
      </c>
      <c r="CE305" s="266">
        <f ca="1">IFERROR(INDEX(Algorithms!$G:$G,MATCH($C305&amp;"_Lifetime (years)",Algorithms!$A:$A,0)),0)</f>
        <v>12</v>
      </c>
      <c r="CF305" s="266">
        <f ca="1">IFERROR(INDEX(Algorithms!$G:$G,MATCH($C305&amp;"_Lifetime (years) - Remaining Years",Algorithms!$A:$A,0)),0)</f>
        <v>0</v>
      </c>
      <c r="CG305" s="266">
        <f t="shared" ca="1" si="193"/>
        <v>0</v>
      </c>
      <c r="CH305" s="266">
        <f t="shared" ca="1" si="194"/>
        <v>0</v>
      </c>
      <c r="CI305" s="266">
        <f t="shared" ca="1" si="195"/>
        <v>0</v>
      </c>
      <c r="CJ305" s="266">
        <f t="shared" ca="1" si="196"/>
        <v>0</v>
      </c>
      <c r="CK305" s="266">
        <f t="shared" si="197"/>
        <v>0</v>
      </c>
      <c r="CL305" s="266">
        <f t="shared" si="198"/>
        <v>0</v>
      </c>
      <c r="CM305" s="266">
        <f t="shared" ca="1" si="199"/>
        <v>0</v>
      </c>
      <c r="CN305" s="266">
        <f t="shared" ca="1" si="200"/>
        <v>0</v>
      </c>
      <c r="CO305" s="266">
        <f ca="1">N305*IFERROR(INDEX(Algorithms!$G:$G,MATCH($C305&amp;"_Therm Saved per Unit- MLA",Algorithms!$A:$A,0)),0)*X305</f>
        <v>0</v>
      </c>
      <c r="CP305" s="266">
        <f ca="1">O305*IFERROR(INDEX(Algorithms!$G:$G,MATCH($C305&amp;"_Therm Saved per Unit- MLA",Algorithms!$A:$A,0)),0)*Y305</f>
        <v>0</v>
      </c>
      <c r="CQ305" s="266">
        <f ca="1">P305*IFERROR(INDEX(Algorithms!$G:$G,MATCH($C305&amp;"_Therm Saved per Unit- MLA",Algorithms!$A:$A,0)),0)*Z305</f>
        <v>0</v>
      </c>
      <c r="CR305" s="266">
        <f ca="1">Q305*IFERROR(INDEX(Algorithms!$G:$G,MATCH($C305&amp;"_Therm Saved per Unit- MLA",Algorithms!$A:$A,0)),0)*AA305</f>
        <v>0</v>
      </c>
      <c r="CS305" s="266">
        <f ca="1">IFERROR(INDEX(Algorithms!$G:$G,MATCH($C305&amp;"_Lifetime (years)",Algorithms!$A:$A,0)),0)</f>
        <v>12</v>
      </c>
      <c r="CT305" s="266">
        <f ca="1">IFERROR(INDEX(Algorithms!$G:$G,MATCH($C305&amp;"_Lifetime (years) - Remaining Years",Algorithms!$A:$A,0)),0)</f>
        <v>0</v>
      </c>
      <c r="CU305" s="266">
        <f t="shared" ca="1" si="201"/>
        <v>0</v>
      </c>
      <c r="CV305" s="266">
        <f t="shared" ca="1" si="202"/>
        <v>0</v>
      </c>
      <c r="CW305" s="266">
        <f t="shared" ca="1" si="203"/>
        <v>0</v>
      </c>
      <c r="CX305" s="266">
        <f t="shared" ca="1" si="204"/>
        <v>0</v>
      </c>
    </row>
    <row r="306" spans="2:102" s="47" customFormat="1" ht="18" customHeight="1" x14ac:dyDescent="0.25">
      <c r="B306" t="str">
        <f t="shared" si="205"/>
        <v>NSG_Business_C&amp;I_Rebates_Direct Fired Heaters_0_MF/CI</v>
      </c>
      <c r="C306" s="47" t="str">
        <f t="shared" si="166"/>
        <v>Direct Fired Heaters_0_MF/CI</v>
      </c>
      <c r="D306" s="270" t="s">
        <v>1787</v>
      </c>
      <c r="E306" s="270" t="s">
        <v>3</v>
      </c>
      <c r="F306" s="270" t="s">
        <v>1427</v>
      </c>
      <c r="G306" s="270" t="s">
        <v>1429</v>
      </c>
      <c r="H306" s="270" t="s">
        <v>666</v>
      </c>
      <c r="I306" s="270">
        <v>0</v>
      </c>
      <c r="J306" s="270" t="s">
        <v>587</v>
      </c>
      <c r="K306" s="263">
        <v>1</v>
      </c>
      <c r="L306" s="263" t="str">
        <f ca="1">IFERROR(INDEX(Algorithms!J:J,MATCH($C306&amp;"_Therm Saved per Unit",Algorithms!$A:$A,0)),"n/a")</f>
        <v>4.4.39</v>
      </c>
      <c r="M306" s="263" t="str">
        <f>IFERROR(INDEX('Measure Level Detail'!$N:$N,MATCH($B306,'Measure Level Detail'!$B:$B,0)),0)</f>
        <v>MBH</v>
      </c>
      <c r="N306" s="271">
        <f>IFERROR(INDEX('Measure Level Detail'!$P:$P,MATCH($B306&amp;"_"&amp;N$3,'Measure Level Detail'!$C:$C,0)),0)</f>
        <v>0</v>
      </c>
      <c r="O306" s="271">
        <f>IFERROR(INDEX('Measure Level Detail'!$P:$P,MATCH($B306&amp;"_"&amp;O$3,'Measure Level Detail'!$C:$C,0)),0)</f>
        <v>0</v>
      </c>
      <c r="P306" s="271">
        <f>IFERROR(INDEX('Measure Level Detail'!$P:$P,MATCH($B306&amp;"_"&amp;P$3,'Measure Level Detail'!$C:$C,0)),0)</f>
        <v>0</v>
      </c>
      <c r="Q306" s="271">
        <f>IFERROR(INDEX('Measure Level Detail'!$P:$P,MATCH($B306&amp;"_"&amp;Q$3,'Measure Level Detail'!$C:$C,0)),0)</f>
        <v>0</v>
      </c>
      <c r="R306" s="263" t="str">
        <f ca="1">IFERROR(INDEX(Algorithms!K:K,MATCH($C306&amp;"_Therm Saved per Unit",Algorithms!$A:$A,0)),"n/a")</f>
        <v>CI-HVC-HTHV-V02-230101</v>
      </c>
      <c r="S306" s="262"/>
      <c r="T306" s="272">
        <v>3.72</v>
      </c>
      <c r="U306" s="272">
        <v>3.72</v>
      </c>
      <c r="V306" s="272">
        <v>3.72</v>
      </c>
      <c r="W306" s="272">
        <v>3.72</v>
      </c>
      <c r="X306" s="273">
        <f>IFERROR(INDEX('Measure Level Detail'!$R:$R,MATCH($B306&amp;"_"&amp;X$3,'Measure Level Detail'!$C:$C,0)),0)</f>
        <v>0.91</v>
      </c>
      <c r="Y306" s="273">
        <f>IFERROR(INDEX('Measure Level Detail'!$R:$R,MATCH($B306&amp;"_"&amp;Y$3,'Measure Level Detail'!$C:$C,0)),0)</f>
        <v>0.91</v>
      </c>
      <c r="Z306" s="273">
        <f>IFERROR(INDEX('Measure Level Detail'!$R:$R,MATCH($B306&amp;"_"&amp;Z$3,'Measure Level Detail'!$C:$C,0)),0)</f>
        <v>0.91</v>
      </c>
      <c r="AA306" s="273">
        <f>IFERROR(INDEX('Measure Level Detail'!$R:$R,MATCH($B306&amp;"_"&amp;AA$3,'Measure Level Detail'!$C:$C,0)),0)</f>
        <v>0.91</v>
      </c>
      <c r="AB306" s="266">
        <f t="shared" si="167"/>
        <v>0</v>
      </c>
      <c r="AC306" s="266">
        <f t="shared" si="168"/>
        <v>0</v>
      </c>
      <c r="AD306" s="266">
        <f t="shared" si="169"/>
        <v>0</v>
      </c>
      <c r="AE306" s="266">
        <f t="shared" si="170"/>
        <v>0</v>
      </c>
      <c r="AF306" s="266">
        <f t="shared" si="171"/>
        <v>0</v>
      </c>
      <c r="AG306" s="274">
        <v>0.91</v>
      </c>
      <c r="AH306" s="274">
        <v>0.91</v>
      </c>
      <c r="AI306" s="274">
        <v>0.91</v>
      </c>
      <c r="AJ306" s="274">
        <v>0.91</v>
      </c>
      <c r="AK306" s="274">
        <f t="shared" si="172"/>
        <v>0.91</v>
      </c>
      <c r="AL306" s="274">
        <f t="shared" si="173"/>
        <v>0.91</v>
      </c>
      <c r="AM306" s="274">
        <f t="shared" si="174"/>
        <v>0.91</v>
      </c>
      <c r="AN306" s="274">
        <f t="shared" si="175"/>
        <v>0.91</v>
      </c>
      <c r="AO306" s="262"/>
      <c r="AP306" s="262"/>
      <c r="AQ306" s="267">
        <v>3.72</v>
      </c>
      <c r="AR306" s="262"/>
      <c r="AS306" s="266">
        <f t="shared" si="176"/>
        <v>0</v>
      </c>
      <c r="AT306" s="264">
        <f t="shared" si="177"/>
        <v>0</v>
      </c>
      <c r="AU306" s="262"/>
      <c r="AV306" s="262"/>
      <c r="AW306" s="265">
        <v>3.72</v>
      </c>
      <c r="AX306" s="164" t="s">
        <v>1469</v>
      </c>
      <c r="AY306" s="266">
        <v>0</v>
      </c>
      <c r="AZ306" s="266">
        <f t="shared" si="178"/>
        <v>0</v>
      </c>
      <c r="BA306" s="264">
        <f t="shared" si="179"/>
        <v>0</v>
      </c>
      <c r="BB306" s="262"/>
      <c r="BC306" s="262"/>
      <c r="BD306" s="265">
        <f ca="1">IFERROR(INDEX(Algorithms!$G:$G,MATCH($C306&amp;"_Therm Saved per Unit",Algorithms!$A:$A,0)),0)</f>
        <v>3.72</v>
      </c>
      <c r="BE306" s="164" t="str">
        <f ca="1">IFERROR(INDEX('v12 Revisions'!$P$29:$P$186, MATCH('Measure-Level Adj Gas'!$L306, 'v12 Revisions'!$D$29:$D$186,0)),"")</f>
        <v/>
      </c>
      <c r="BF306" s="266">
        <f t="shared" ca="1" si="180"/>
        <v>0</v>
      </c>
      <c r="BG306" s="264">
        <f t="shared" ca="1" si="181"/>
        <v>0</v>
      </c>
      <c r="BH306" s="262"/>
      <c r="BI306" s="262"/>
      <c r="BJ306" s="265">
        <f ca="1">IFERROR(INDEX(Algorithms!$G:$G,MATCH($C306&amp;"_Therm Saved per Unit",Algorithms!$A:$A,0)),0)</f>
        <v>3.72</v>
      </c>
      <c r="BK306" s="164"/>
      <c r="BL306" s="266">
        <f t="shared" ca="1" si="182"/>
        <v>0</v>
      </c>
      <c r="BM306" s="264">
        <f t="shared" ca="1" si="183"/>
        <v>0</v>
      </c>
      <c r="BN306" s="266">
        <f t="shared" si="184"/>
        <v>0</v>
      </c>
      <c r="BO306" s="266">
        <f t="shared" si="185"/>
        <v>0</v>
      </c>
      <c r="BP306" s="266">
        <f t="shared" ca="1" si="186"/>
        <v>0</v>
      </c>
      <c r="BQ306" s="266">
        <f t="shared" ca="1" si="187"/>
        <v>0</v>
      </c>
      <c r="BR306" s="268">
        <f t="shared" ca="1" si="188"/>
        <v>0</v>
      </c>
      <c r="BS306" s="262" t="s">
        <v>99</v>
      </c>
      <c r="BT306" s="277"/>
      <c r="BW306" s="266">
        <f t="shared" si="189"/>
        <v>0</v>
      </c>
      <c r="BX306" s="266">
        <f t="shared" si="190"/>
        <v>0</v>
      </c>
      <c r="BY306" s="266">
        <f t="shared" si="191"/>
        <v>0</v>
      </c>
      <c r="BZ306" s="266">
        <f t="shared" si="192"/>
        <v>0</v>
      </c>
      <c r="CA306" s="266">
        <f ca="1">N306*IFERROR(INDEX(Algorithms!$G:$G,MATCH($C306&amp;"_Therm Saved per Unit- MLA",Algorithms!$A:$A,0)),0)*X306</f>
        <v>0</v>
      </c>
      <c r="CB306" s="266">
        <f ca="1">O306*IFERROR(INDEX(Algorithms!$G:$G,MATCH($C306&amp;"_Therm Saved per Unit- MLA",Algorithms!$A:$A,0)),0)*Y306</f>
        <v>0</v>
      </c>
      <c r="CC306" s="266">
        <f ca="1">P306*IFERROR(INDEX(Algorithms!$G:$G,MATCH($C306&amp;"_Therm Saved per Unit- MLA",Algorithms!$A:$A,0)),0)*Z306</f>
        <v>0</v>
      </c>
      <c r="CD306" s="266">
        <f ca="1">Q306*IFERROR(INDEX(Algorithms!$G:$G,MATCH($C306&amp;"_Therm Saved per Unit- MLA",Algorithms!$A:$A,0)),0)*AA306</f>
        <v>0</v>
      </c>
      <c r="CE306" s="266">
        <f ca="1">IFERROR(INDEX(Algorithms!$G:$G,MATCH($C306&amp;"_Lifetime (years)",Algorithms!$A:$A,0)),0)</f>
        <v>15</v>
      </c>
      <c r="CF306" s="266">
        <f ca="1">IFERROR(INDEX(Algorithms!$G:$G,MATCH($C306&amp;"_Lifetime (years) - Remaining Years",Algorithms!$A:$A,0)),0)</f>
        <v>0</v>
      </c>
      <c r="CG306" s="266">
        <f t="shared" ca="1" si="193"/>
        <v>0</v>
      </c>
      <c r="CH306" s="266">
        <f t="shared" ca="1" si="194"/>
        <v>0</v>
      </c>
      <c r="CI306" s="266">
        <f t="shared" ca="1" si="195"/>
        <v>0</v>
      </c>
      <c r="CJ306" s="266">
        <f t="shared" ca="1" si="196"/>
        <v>0</v>
      </c>
      <c r="CK306" s="266">
        <f t="shared" si="197"/>
        <v>0</v>
      </c>
      <c r="CL306" s="266">
        <f t="shared" si="198"/>
        <v>0</v>
      </c>
      <c r="CM306" s="266">
        <f t="shared" ca="1" si="199"/>
        <v>0</v>
      </c>
      <c r="CN306" s="266">
        <f t="shared" ca="1" si="200"/>
        <v>0</v>
      </c>
      <c r="CO306" s="266">
        <f ca="1">N306*IFERROR(INDEX(Algorithms!$G:$G,MATCH($C306&amp;"_Therm Saved per Unit- MLA",Algorithms!$A:$A,0)),0)*X306</f>
        <v>0</v>
      </c>
      <c r="CP306" s="266">
        <f ca="1">O306*IFERROR(INDEX(Algorithms!$G:$G,MATCH($C306&amp;"_Therm Saved per Unit- MLA",Algorithms!$A:$A,0)),0)*Y306</f>
        <v>0</v>
      </c>
      <c r="CQ306" s="266">
        <f ca="1">P306*IFERROR(INDEX(Algorithms!$G:$G,MATCH($C306&amp;"_Therm Saved per Unit- MLA",Algorithms!$A:$A,0)),0)*Z306</f>
        <v>0</v>
      </c>
      <c r="CR306" s="266">
        <f ca="1">Q306*IFERROR(INDEX(Algorithms!$G:$G,MATCH($C306&amp;"_Therm Saved per Unit- MLA",Algorithms!$A:$A,0)),0)*AA306</f>
        <v>0</v>
      </c>
      <c r="CS306" s="266">
        <f ca="1">IFERROR(INDEX(Algorithms!$G:$G,MATCH($C306&amp;"_Lifetime (years)",Algorithms!$A:$A,0)),0)</f>
        <v>15</v>
      </c>
      <c r="CT306" s="266">
        <f ca="1">IFERROR(INDEX(Algorithms!$G:$G,MATCH($C306&amp;"_Lifetime (years) - Remaining Years",Algorithms!$A:$A,0)),0)</f>
        <v>0</v>
      </c>
      <c r="CU306" s="266">
        <f t="shared" ca="1" si="201"/>
        <v>0</v>
      </c>
      <c r="CV306" s="266">
        <f t="shared" ca="1" si="202"/>
        <v>0</v>
      </c>
      <c r="CW306" s="266">
        <f t="shared" ca="1" si="203"/>
        <v>0</v>
      </c>
      <c r="CX306" s="266">
        <f t="shared" ca="1" si="204"/>
        <v>0</v>
      </c>
    </row>
    <row r="307" spans="2:102" s="47" customFormat="1" ht="18" customHeight="1" x14ac:dyDescent="0.25">
      <c r="B307" t="str">
        <f t="shared" si="205"/>
        <v>NSG_Business_C&amp;I_Rebates_Small Commercial Advanced Thermostat_0_CI</v>
      </c>
      <c r="C307" s="47" t="str">
        <f t="shared" si="166"/>
        <v>Small Commercial Advanced Thermostat_0_CI</v>
      </c>
      <c r="D307" s="270" t="s">
        <v>1787</v>
      </c>
      <c r="E307" s="270" t="s">
        <v>3</v>
      </c>
      <c r="F307" s="270" t="s">
        <v>1427</v>
      </c>
      <c r="G307" s="270" t="s">
        <v>1429</v>
      </c>
      <c r="H307" s="270" t="s">
        <v>1302</v>
      </c>
      <c r="I307" s="270">
        <v>0</v>
      </c>
      <c r="J307" s="270" t="s">
        <v>1159</v>
      </c>
      <c r="K307" s="263">
        <v>1</v>
      </c>
      <c r="L307" s="263" t="str">
        <f ca="1">IFERROR(INDEX(Algorithms!J:J,MATCH($C307&amp;"_Therm Saved per Unit",Algorithms!$A:$A,0)),"n/a")</f>
        <v>4.4.48</v>
      </c>
      <c r="M307" s="263" t="str">
        <f>IFERROR(INDEX('Measure Level Detail'!$N:$N,MATCH($B307,'Measure Level Detail'!$B:$B,0)),0)</f>
        <v>each</v>
      </c>
      <c r="N307" s="271">
        <f>IFERROR(INDEX('Measure Level Detail'!$P:$P,MATCH($B307&amp;"_"&amp;N$3,'Measure Level Detail'!$C:$C,0)),0)</f>
        <v>0</v>
      </c>
      <c r="O307" s="271">
        <f>IFERROR(INDEX('Measure Level Detail'!$P:$P,MATCH($B307&amp;"_"&amp;O$3,'Measure Level Detail'!$C:$C,0)),0)</f>
        <v>0</v>
      </c>
      <c r="P307" s="271">
        <f>IFERROR(INDEX('Measure Level Detail'!$P:$P,MATCH($B307&amp;"_"&amp;P$3,'Measure Level Detail'!$C:$C,0)),0)</f>
        <v>0</v>
      </c>
      <c r="Q307" s="271">
        <f>IFERROR(INDEX('Measure Level Detail'!$P:$P,MATCH($B307&amp;"_"&amp;Q$3,'Measure Level Detail'!$C:$C,0)),0)</f>
        <v>0</v>
      </c>
      <c r="R307" s="263" t="str">
        <f ca="1">IFERROR(INDEX(Algorithms!K:K,MATCH($C307&amp;"_Therm Saved per Unit",Algorithms!$A:$A,0)),"n/a")</f>
        <v>CI-HVC-THST-V06-240101</v>
      </c>
      <c r="S307" s="262"/>
      <c r="T307" s="272">
        <v>196.26391399999997</v>
      </c>
      <c r="U307" s="272">
        <v>196.26391399999997</v>
      </c>
      <c r="V307" s="272">
        <v>196.26391399999997</v>
      </c>
      <c r="W307" s="272">
        <v>196.26391399999997</v>
      </c>
      <c r="X307" s="273">
        <f>IFERROR(INDEX('Measure Level Detail'!$R:$R,MATCH($B307&amp;"_"&amp;X$3,'Measure Level Detail'!$C:$C,0)),0)</f>
        <v>0.91</v>
      </c>
      <c r="Y307" s="273">
        <f>IFERROR(INDEX('Measure Level Detail'!$R:$R,MATCH($B307&amp;"_"&amp;Y$3,'Measure Level Detail'!$C:$C,0)),0)</f>
        <v>0.91</v>
      </c>
      <c r="Z307" s="273">
        <f>IFERROR(INDEX('Measure Level Detail'!$R:$R,MATCH($B307&amp;"_"&amp;Z$3,'Measure Level Detail'!$C:$C,0)),0)</f>
        <v>0.91</v>
      </c>
      <c r="AA307" s="273">
        <f>IFERROR(INDEX('Measure Level Detail'!$R:$R,MATCH($B307&amp;"_"&amp;AA$3,'Measure Level Detail'!$C:$C,0)),0)</f>
        <v>0.91</v>
      </c>
      <c r="AB307" s="266">
        <f t="shared" si="167"/>
        <v>0</v>
      </c>
      <c r="AC307" s="266">
        <f t="shared" si="168"/>
        <v>0</v>
      </c>
      <c r="AD307" s="266">
        <f t="shared" si="169"/>
        <v>0</v>
      </c>
      <c r="AE307" s="266">
        <f t="shared" si="170"/>
        <v>0</v>
      </c>
      <c r="AF307" s="266">
        <f t="shared" si="171"/>
        <v>0</v>
      </c>
      <c r="AG307" s="274">
        <v>0.91</v>
      </c>
      <c r="AH307" s="274">
        <v>0.91</v>
      </c>
      <c r="AI307" s="274">
        <v>0.91</v>
      </c>
      <c r="AJ307" s="274">
        <v>0.91</v>
      </c>
      <c r="AK307" s="274">
        <f t="shared" si="172"/>
        <v>0.91</v>
      </c>
      <c r="AL307" s="274">
        <f t="shared" si="173"/>
        <v>0.91</v>
      </c>
      <c r="AM307" s="274">
        <f t="shared" si="174"/>
        <v>0.91</v>
      </c>
      <c r="AN307" s="274">
        <f t="shared" si="175"/>
        <v>0.91</v>
      </c>
      <c r="AO307" s="262"/>
      <c r="AP307" s="262"/>
      <c r="AQ307" s="267">
        <v>157.01113119999999</v>
      </c>
      <c r="AR307" s="262"/>
      <c r="AS307" s="266">
        <f t="shared" si="176"/>
        <v>0</v>
      </c>
      <c r="AT307" s="264">
        <f t="shared" si="177"/>
        <v>0</v>
      </c>
      <c r="AU307" s="262"/>
      <c r="AV307" s="262"/>
      <c r="AW307" s="265">
        <v>157.01113119999999</v>
      </c>
      <c r="AX307" s="164" t="s">
        <v>1469</v>
      </c>
      <c r="AY307" s="266">
        <v>0</v>
      </c>
      <c r="AZ307" s="266">
        <f t="shared" si="178"/>
        <v>0</v>
      </c>
      <c r="BA307" s="264">
        <f t="shared" si="179"/>
        <v>0</v>
      </c>
      <c r="BB307" s="262"/>
      <c r="BC307" s="262"/>
      <c r="BD307" s="265">
        <f ca="1">IFERROR(INDEX(Algorithms!$G:$G,MATCH($C307&amp;"_Therm Saved per Unit",Algorithms!$A:$A,0)),0)</f>
        <v>157.01113119999999</v>
      </c>
      <c r="BE307" s="164" t="str">
        <f ca="1">IFERROR(INDEX('v12 Revisions'!$P$29:$P$186, MATCH('Measure-Level Adj Gas'!$L307, 'v12 Revisions'!$D$29:$D$186,0)),"")</f>
        <v>n/a - only affects electric energy savings algorithm.</v>
      </c>
      <c r="BF307" s="266">
        <f t="shared" ca="1" si="180"/>
        <v>0</v>
      </c>
      <c r="BG307" s="264">
        <f t="shared" ca="1" si="181"/>
        <v>0</v>
      </c>
      <c r="BH307" s="262"/>
      <c r="BI307" s="262"/>
      <c r="BJ307" s="265">
        <f ca="1">IFERROR(INDEX(Algorithms!$G:$G,MATCH($C307&amp;"_Therm Saved per Unit",Algorithms!$A:$A,0)),0)</f>
        <v>157.01113119999999</v>
      </c>
      <c r="BK307" s="164"/>
      <c r="BL307" s="266">
        <f t="shared" ca="1" si="182"/>
        <v>0</v>
      </c>
      <c r="BM307" s="264">
        <f t="shared" ca="1" si="183"/>
        <v>0</v>
      </c>
      <c r="BN307" s="266">
        <f t="shared" si="184"/>
        <v>0</v>
      </c>
      <c r="BO307" s="266">
        <f t="shared" si="185"/>
        <v>0</v>
      </c>
      <c r="BP307" s="266">
        <f t="shared" ca="1" si="186"/>
        <v>0</v>
      </c>
      <c r="BQ307" s="266">
        <f t="shared" ca="1" si="187"/>
        <v>0</v>
      </c>
      <c r="BR307" s="268">
        <f t="shared" ca="1" si="188"/>
        <v>0</v>
      </c>
      <c r="BS307" s="262" t="s">
        <v>99</v>
      </c>
      <c r="BT307" s="277"/>
      <c r="BW307" s="266">
        <f t="shared" si="189"/>
        <v>0</v>
      </c>
      <c r="BX307" s="266">
        <f t="shared" si="190"/>
        <v>0</v>
      </c>
      <c r="BY307" s="266">
        <f t="shared" si="191"/>
        <v>0</v>
      </c>
      <c r="BZ307" s="266">
        <f t="shared" si="192"/>
        <v>0</v>
      </c>
      <c r="CA307" s="266">
        <f ca="1">N307*IFERROR(INDEX(Algorithms!$G:$G,MATCH($C307&amp;"_Therm Saved per Unit- MLA",Algorithms!$A:$A,0)),0)*X307</f>
        <v>0</v>
      </c>
      <c r="CB307" s="266">
        <f ca="1">O307*IFERROR(INDEX(Algorithms!$G:$G,MATCH($C307&amp;"_Therm Saved per Unit- MLA",Algorithms!$A:$A,0)),0)*Y307</f>
        <v>0</v>
      </c>
      <c r="CC307" s="266">
        <f ca="1">P307*IFERROR(INDEX(Algorithms!$G:$G,MATCH($C307&amp;"_Therm Saved per Unit- MLA",Algorithms!$A:$A,0)),0)*Z307</f>
        <v>0</v>
      </c>
      <c r="CD307" s="266">
        <f ca="1">Q307*IFERROR(INDEX(Algorithms!$G:$G,MATCH($C307&amp;"_Therm Saved per Unit- MLA",Algorithms!$A:$A,0)),0)*AA307</f>
        <v>0</v>
      </c>
      <c r="CE307" s="266">
        <f ca="1">IFERROR(INDEX(Algorithms!$G:$G,MATCH($C307&amp;"_Lifetime (years)",Algorithms!$A:$A,0)),0)</f>
        <v>11</v>
      </c>
      <c r="CF307" s="266">
        <f ca="1">IFERROR(INDEX(Algorithms!$G:$G,MATCH($C307&amp;"_Lifetime (years) - Remaining Years",Algorithms!$A:$A,0)),0)</f>
        <v>0</v>
      </c>
      <c r="CG307" s="266">
        <f t="shared" ca="1" si="193"/>
        <v>0</v>
      </c>
      <c r="CH307" s="266">
        <f t="shared" ca="1" si="194"/>
        <v>0</v>
      </c>
      <c r="CI307" s="266">
        <f t="shared" ca="1" si="195"/>
        <v>0</v>
      </c>
      <c r="CJ307" s="266">
        <f t="shared" ca="1" si="196"/>
        <v>0</v>
      </c>
      <c r="CK307" s="266">
        <f t="shared" si="197"/>
        <v>0</v>
      </c>
      <c r="CL307" s="266">
        <f t="shared" si="198"/>
        <v>0</v>
      </c>
      <c r="CM307" s="266">
        <f t="shared" ca="1" si="199"/>
        <v>0</v>
      </c>
      <c r="CN307" s="266">
        <f t="shared" ca="1" si="200"/>
        <v>0</v>
      </c>
      <c r="CO307" s="266">
        <f ca="1">N307*IFERROR(INDEX(Algorithms!$G:$G,MATCH($C307&amp;"_Therm Saved per Unit- MLA",Algorithms!$A:$A,0)),0)*X307</f>
        <v>0</v>
      </c>
      <c r="CP307" s="266">
        <f ca="1">O307*IFERROR(INDEX(Algorithms!$G:$G,MATCH($C307&amp;"_Therm Saved per Unit- MLA",Algorithms!$A:$A,0)),0)*Y307</f>
        <v>0</v>
      </c>
      <c r="CQ307" s="266">
        <f ca="1">P307*IFERROR(INDEX(Algorithms!$G:$G,MATCH($C307&amp;"_Therm Saved per Unit- MLA",Algorithms!$A:$A,0)),0)*Z307</f>
        <v>0</v>
      </c>
      <c r="CR307" s="266">
        <f ca="1">Q307*IFERROR(INDEX(Algorithms!$G:$G,MATCH($C307&amp;"_Therm Saved per Unit- MLA",Algorithms!$A:$A,0)),0)*AA307</f>
        <v>0</v>
      </c>
      <c r="CS307" s="266">
        <f ca="1">IFERROR(INDEX(Algorithms!$G:$G,MATCH($C307&amp;"_Lifetime (years)",Algorithms!$A:$A,0)),0)</f>
        <v>11</v>
      </c>
      <c r="CT307" s="266">
        <f ca="1">IFERROR(INDEX(Algorithms!$G:$G,MATCH($C307&amp;"_Lifetime (years) - Remaining Years",Algorithms!$A:$A,0)),0)</f>
        <v>0</v>
      </c>
      <c r="CU307" s="266">
        <f t="shared" ca="1" si="201"/>
        <v>0</v>
      </c>
      <c r="CV307" s="266">
        <f t="shared" ca="1" si="202"/>
        <v>0</v>
      </c>
      <c r="CW307" s="266">
        <f t="shared" ca="1" si="203"/>
        <v>0</v>
      </c>
      <c r="CX307" s="266">
        <f t="shared" ca="1" si="204"/>
        <v>0</v>
      </c>
    </row>
    <row r="308" spans="2:102" s="47" customFormat="1" ht="18" customHeight="1" x14ac:dyDescent="0.25">
      <c r="B308" t="str">
        <f t="shared" si="205"/>
        <v>NSG_Business_C&amp;I_Rebates_Water Heater_Storage 0.67 EF_CI</v>
      </c>
      <c r="C308" s="47" t="str">
        <f t="shared" si="166"/>
        <v>Water Heater_Storage 0.67 EF_CI</v>
      </c>
      <c r="D308" s="270" t="s">
        <v>1787</v>
      </c>
      <c r="E308" s="270" t="s">
        <v>3</v>
      </c>
      <c r="F308" s="270" t="s">
        <v>1427</v>
      </c>
      <c r="G308" s="270" t="s">
        <v>1429</v>
      </c>
      <c r="H308" s="270" t="s">
        <v>8</v>
      </c>
      <c r="I308" s="270" t="s">
        <v>879</v>
      </c>
      <c r="J308" s="270" t="s">
        <v>1159</v>
      </c>
      <c r="K308" s="263">
        <v>1</v>
      </c>
      <c r="L308" s="263" t="str">
        <f ca="1">IFERROR(INDEX(Algorithms!J:J,MATCH($C308&amp;"_Therm Saved per Unit",Algorithms!$A:$A,0)),"n/a")</f>
        <v>4.3.1</v>
      </c>
      <c r="M308" s="263" t="str">
        <f>IFERROR(INDEX('Measure Level Detail'!$N:$N,MATCH($B308,'Measure Level Detail'!$B:$B,0)),0)</f>
        <v>each</v>
      </c>
      <c r="N308" s="271">
        <f>IFERROR(INDEX('Measure Level Detail'!$P:$P,MATCH($B308&amp;"_"&amp;N$3,'Measure Level Detail'!$C:$C,0)),0)</f>
        <v>0</v>
      </c>
      <c r="O308" s="271">
        <f>IFERROR(INDEX('Measure Level Detail'!$P:$P,MATCH($B308&amp;"_"&amp;O$3,'Measure Level Detail'!$C:$C,0)),0)</f>
        <v>0</v>
      </c>
      <c r="P308" s="271">
        <f>IFERROR(INDEX('Measure Level Detail'!$P:$P,MATCH($B308&amp;"_"&amp;P$3,'Measure Level Detail'!$C:$C,0)),0)</f>
        <v>0</v>
      </c>
      <c r="Q308" s="271">
        <f>IFERROR(INDEX('Measure Level Detail'!$P:$P,MATCH($B308&amp;"_"&amp;Q$3,'Measure Level Detail'!$C:$C,0)),0)</f>
        <v>0</v>
      </c>
      <c r="R308" s="263" t="str">
        <f ca="1">IFERROR(INDEX(Algorithms!K:K,MATCH($C308&amp;"_Therm Saved per Unit",Algorithms!$A:$A,0)),"n/a")</f>
        <v>CI-HWE-STWH-V10-240101</v>
      </c>
      <c r="S308" s="262"/>
      <c r="T308" s="272">
        <v>56.252452620818083</v>
      </c>
      <c r="U308" s="272">
        <v>56.252452620818083</v>
      </c>
      <c r="V308" s="272">
        <v>56.252452620818083</v>
      </c>
      <c r="W308" s="272">
        <v>56.252452620818083</v>
      </c>
      <c r="X308" s="273">
        <f>IFERROR(INDEX('Measure Level Detail'!$R:$R,MATCH($B308&amp;"_"&amp;X$3,'Measure Level Detail'!$C:$C,0)),0)</f>
        <v>0.91</v>
      </c>
      <c r="Y308" s="273">
        <f>IFERROR(INDEX('Measure Level Detail'!$R:$R,MATCH($B308&amp;"_"&amp;Y$3,'Measure Level Detail'!$C:$C,0)),0)</f>
        <v>0.91</v>
      </c>
      <c r="Z308" s="273">
        <f>IFERROR(INDEX('Measure Level Detail'!$R:$R,MATCH($B308&amp;"_"&amp;Z$3,'Measure Level Detail'!$C:$C,0)),0)</f>
        <v>0.91</v>
      </c>
      <c r="AA308" s="273">
        <f>IFERROR(INDEX('Measure Level Detail'!$R:$R,MATCH($B308&amp;"_"&amp;AA$3,'Measure Level Detail'!$C:$C,0)),0)</f>
        <v>0.91</v>
      </c>
      <c r="AB308" s="266">
        <f t="shared" si="167"/>
        <v>0</v>
      </c>
      <c r="AC308" s="266">
        <f t="shared" si="168"/>
        <v>0</v>
      </c>
      <c r="AD308" s="266">
        <f t="shared" si="169"/>
        <v>0</v>
      </c>
      <c r="AE308" s="266">
        <f t="shared" si="170"/>
        <v>0</v>
      </c>
      <c r="AF308" s="266">
        <f t="shared" si="171"/>
        <v>0</v>
      </c>
      <c r="AG308" s="274">
        <v>0.91</v>
      </c>
      <c r="AH308" s="274">
        <v>0.91</v>
      </c>
      <c r="AI308" s="274">
        <v>0.91</v>
      </c>
      <c r="AJ308" s="274">
        <v>0.91</v>
      </c>
      <c r="AK308" s="274">
        <f t="shared" si="172"/>
        <v>0.91</v>
      </c>
      <c r="AL308" s="274">
        <f t="shared" si="173"/>
        <v>0.91</v>
      </c>
      <c r="AM308" s="274">
        <f t="shared" si="174"/>
        <v>0.91</v>
      </c>
      <c r="AN308" s="274">
        <f t="shared" si="175"/>
        <v>0.91</v>
      </c>
      <c r="AO308" s="262"/>
      <c r="AP308" s="262"/>
      <c r="AQ308" s="267">
        <v>58.867003235588506</v>
      </c>
      <c r="AR308" s="262"/>
      <c r="AS308" s="266">
        <f t="shared" si="176"/>
        <v>0</v>
      </c>
      <c r="AT308" s="264">
        <f t="shared" si="177"/>
        <v>0</v>
      </c>
      <c r="AU308" s="262"/>
      <c r="AV308" s="262"/>
      <c r="AW308" s="265">
        <v>58.550513970881049</v>
      </c>
      <c r="AX308" s="164" t="s">
        <v>1469</v>
      </c>
      <c r="AY308" s="266">
        <v>0</v>
      </c>
      <c r="AZ308" s="266">
        <f t="shared" si="178"/>
        <v>0</v>
      </c>
      <c r="BA308" s="264">
        <f t="shared" si="179"/>
        <v>0</v>
      </c>
      <c r="BB308" s="262"/>
      <c r="BC308" s="262"/>
      <c r="BD308" s="265">
        <f ca="1">IFERROR(INDEX(Algorithms!$G:$G,MATCH($C308&amp;"_Therm Saved per Unit",Algorithms!$A:$A,0)),0)</f>
        <v>58.550513970881049</v>
      </c>
      <c r="BE308" s="164" t="str">
        <f ca="1">IFERROR(INDEX('v12 Revisions'!$P$29:$P$186, MATCH('Measure-Level Adj Gas'!$L308, 'v12 Revisions'!$D$29:$D$186,0)),"")</f>
        <v>n/a - language only.</v>
      </c>
      <c r="BF308" s="266">
        <f t="shared" ca="1" si="180"/>
        <v>0</v>
      </c>
      <c r="BG308" s="264">
        <f t="shared" ca="1" si="181"/>
        <v>0</v>
      </c>
      <c r="BH308" s="262"/>
      <c r="BI308" s="262"/>
      <c r="BJ308" s="265">
        <f ca="1">IFERROR(INDEX(Algorithms!$G:$G,MATCH($C308&amp;"_Therm Saved per Unit",Algorithms!$A:$A,0)),0)</f>
        <v>58.550513970881049</v>
      </c>
      <c r="BK308" s="164"/>
      <c r="BL308" s="266">
        <f t="shared" ca="1" si="182"/>
        <v>0</v>
      </c>
      <c r="BM308" s="264">
        <f t="shared" ca="1" si="183"/>
        <v>0</v>
      </c>
      <c r="BN308" s="266">
        <f t="shared" si="184"/>
        <v>0</v>
      </c>
      <c r="BO308" s="266">
        <f t="shared" si="185"/>
        <v>0</v>
      </c>
      <c r="BP308" s="266">
        <f t="shared" ca="1" si="186"/>
        <v>0</v>
      </c>
      <c r="BQ308" s="266">
        <f t="shared" ca="1" si="187"/>
        <v>0</v>
      </c>
      <c r="BR308" s="268">
        <f t="shared" ca="1" si="188"/>
        <v>0</v>
      </c>
      <c r="BS308" s="262" t="s">
        <v>99</v>
      </c>
      <c r="BT308" s="277"/>
      <c r="BW308" s="266">
        <f t="shared" si="189"/>
        <v>0</v>
      </c>
      <c r="BX308" s="266">
        <f t="shared" si="190"/>
        <v>0</v>
      </c>
      <c r="BY308" s="266">
        <f t="shared" si="191"/>
        <v>0</v>
      </c>
      <c r="BZ308" s="266">
        <f t="shared" si="192"/>
        <v>0</v>
      </c>
      <c r="CA308" s="266">
        <f ca="1">N308*IFERROR(INDEX(Algorithms!$G:$G,MATCH($C308&amp;"_Therm Saved per Unit- MLA",Algorithms!$A:$A,0)),0)*X308</f>
        <v>0</v>
      </c>
      <c r="CB308" s="266">
        <f ca="1">O308*IFERROR(INDEX(Algorithms!$G:$G,MATCH($C308&amp;"_Therm Saved per Unit- MLA",Algorithms!$A:$A,0)),0)*Y308</f>
        <v>0</v>
      </c>
      <c r="CC308" s="266">
        <f ca="1">P308*IFERROR(INDEX(Algorithms!$G:$G,MATCH($C308&amp;"_Therm Saved per Unit- MLA",Algorithms!$A:$A,0)),0)*Z308</f>
        <v>0</v>
      </c>
      <c r="CD308" s="266">
        <f ca="1">Q308*IFERROR(INDEX(Algorithms!$G:$G,MATCH($C308&amp;"_Therm Saved per Unit- MLA",Algorithms!$A:$A,0)),0)*AA308</f>
        <v>0</v>
      </c>
      <c r="CE308" s="266">
        <f ca="1">IFERROR(INDEX(Algorithms!$G:$G,MATCH($C308&amp;"_Lifetime (years)",Algorithms!$A:$A,0)),0)</f>
        <v>15</v>
      </c>
      <c r="CF308" s="266">
        <f ca="1">IFERROR(INDEX(Algorithms!$G:$G,MATCH($C308&amp;"_Lifetime (years) - Remaining Years",Algorithms!$A:$A,0)),0)</f>
        <v>0</v>
      </c>
      <c r="CG308" s="266">
        <f t="shared" ca="1" si="193"/>
        <v>0</v>
      </c>
      <c r="CH308" s="266">
        <f t="shared" ca="1" si="194"/>
        <v>0</v>
      </c>
      <c r="CI308" s="266">
        <f t="shared" ca="1" si="195"/>
        <v>0</v>
      </c>
      <c r="CJ308" s="266">
        <f t="shared" ca="1" si="196"/>
        <v>0</v>
      </c>
      <c r="CK308" s="266">
        <f t="shared" si="197"/>
        <v>0</v>
      </c>
      <c r="CL308" s="266">
        <f t="shared" si="198"/>
        <v>0</v>
      </c>
      <c r="CM308" s="266">
        <f t="shared" ca="1" si="199"/>
        <v>0</v>
      </c>
      <c r="CN308" s="266">
        <f t="shared" ca="1" si="200"/>
        <v>0</v>
      </c>
      <c r="CO308" s="266">
        <f ca="1">N308*IFERROR(INDEX(Algorithms!$G:$G,MATCH($C308&amp;"_Therm Saved per Unit- MLA",Algorithms!$A:$A,0)),0)*X308</f>
        <v>0</v>
      </c>
      <c r="CP308" s="266">
        <f ca="1">O308*IFERROR(INDEX(Algorithms!$G:$G,MATCH($C308&amp;"_Therm Saved per Unit- MLA",Algorithms!$A:$A,0)),0)*Y308</f>
        <v>0</v>
      </c>
      <c r="CQ308" s="266">
        <f ca="1">P308*IFERROR(INDEX(Algorithms!$G:$G,MATCH($C308&amp;"_Therm Saved per Unit- MLA",Algorithms!$A:$A,0)),0)*Z308</f>
        <v>0</v>
      </c>
      <c r="CR308" s="266">
        <f ca="1">Q308*IFERROR(INDEX(Algorithms!$G:$G,MATCH($C308&amp;"_Therm Saved per Unit- MLA",Algorithms!$A:$A,0)),0)*AA308</f>
        <v>0</v>
      </c>
      <c r="CS308" s="266">
        <f ca="1">IFERROR(INDEX(Algorithms!$G:$G,MATCH($C308&amp;"_Lifetime (years)",Algorithms!$A:$A,0)),0)</f>
        <v>15</v>
      </c>
      <c r="CT308" s="266">
        <f ca="1">IFERROR(INDEX(Algorithms!$G:$G,MATCH($C308&amp;"_Lifetime (years) - Remaining Years",Algorithms!$A:$A,0)),0)</f>
        <v>0</v>
      </c>
      <c r="CU308" s="266">
        <f t="shared" ca="1" si="201"/>
        <v>0</v>
      </c>
      <c r="CV308" s="266">
        <f t="shared" ca="1" si="202"/>
        <v>0</v>
      </c>
      <c r="CW308" s="266">
        <f t="shared" ca="1" si="203"/>
        <v>0</v>
      </c>
      <c r="CX308" s="266">
        <f t="shared" ca="1" si="204"/>
        <v>0</v>
      </c>
    </row>
    <row r="309" spans="2:102" s="47" customFormat="1" ht="18" customHeight="1" x14ac:dyDescent="0.25">
      <c r="B309" t="str">
        <f t="shared" si="205"/>
        <v>NSG_Business_C&amp;I_Rebates_Infrared Heater_0_MF/CI</v>
      </c>
      <c r="C309" s="47" t="str">
        <f t="shared" si="166"/>
        <v>Infrared Heater_0_MF/CI</v>
      </c>
      <c r="D309" s="270" t="s">
        <v>1787</v>
      </c>
      <c r="E309" s="270" t="s">
        <v>3</v>
      </c>
      <c r="F309" s="270" t="s">
        <v>1427</v>
      </c>
      <c r="G309" s="270" t="s">
        <v>1429</v>
      </c>
      <c r="H309" s="270" t="s">
        <v>742</v>
      </c>
      <c r="I309" s="270">
        <v>0</v>
      </c>
      <c r="J309" s="270" t="s">
        <v>587</v>
      </c>
      <c r="K309" s="263">
        <v>1</v>
      </c>
      <c r="L309" s="263" t="str">
        <f ca="1">IFERROR(INDEX(Algorithms!J:J,MATCH($C309&amp;"_Therm Saved per Unit",Algorithms!$A:$A,0)),"n/a")</f>
        <v>4.4.12</v>
      </c>
      <c r="M309" s="263" t="str">
        <f>IFERROR(INDEX('Measure Level Detail'!$N:$N,MATCH($B309,'Measure Level Detail'!$B:$B,0)),0)</f>
        <v>MBH</v>
      </c>
      <c r="N309" s="271">
        <f>IFERROR(INDEX('Measure Level Detail'!$P:$P,MATCH($B309&amp;"_"&amp;N$3,'Measure Level Detail'!$C:$C,0)),0)</f>
        <v>0</v>
      </c>
      <c r="O309" s="271">
        <f>IFERROR(INDEX('Measure Level Detail'!$P:$P,MATCH($B309&amp;"_"&amp;O$3,'Measure Level Detail'!$C:$C,0)),0)</f>
        <v>0</v>
      </c>
      <c r="P309" s="271">
        <f>IFERROR(INDEX('Measure Level Detail'!$P:$P,MATCH($B309&amp;"_"&amp;P$3,'Measure Level Detail'!$C:$C,0)),0)</f>
        <v>0</v>
      </c>
      <c r="Q309" s="271">
        <f>IFERROR(INDEX('Measure Level Detail'!$P:$P,MATCH($B309&amp;"_"&amp;Q$3,'Measure Level Detail'!$C:$C,0)),0)</f>
        <v>0</v>
      </c>
      <c r="R309" s="263" t="str">
        <f ca="1">IFERROR(INDEX(Algorithms!K:K,MATCH($C309&amp;"_Therm Saved per Unit",Algorithms!$A:$A,0)),"n/a")</f>
        <v>CI-HVC-IRHT-V03-230101</v>
      </c>
      <c r="S309" s="262"/>
      <c r="T309" s="272">
        <v>2.9611764705882351</v>
      </c>
      <c r="U309" s="272">
        <v>2.9611764705882351</v>
      </c>
      <c r="V309" s="272">
        <v>2.9611764705882351</v>
      </c>
      <c r="W309" s="272">
        <v>2.9611764705882351</v>
      </c>
      <c r="X309" s="273">
        <f>IFERROR(INDEX('Measure Level Detail'!$R:$R,MATCH($B309&amp;"_"&amp;X$3,'Measure Level Detail'!$C:$C,0)),0)</f>
        <v>0.91</v>
      </c>
      <c r="Y309" s="273">
        <f>IFERROR(INDEX('Measure Level Detail'!$R:$R,MATCH($B309&amp;"_"&amp;Y$3,'Measure Level Detail'!$C:$C,0)),0)</f>
        <v>0.91</v>
      </c>
      <c r="Z309" s="273">
        <f>IFERROR(INDEX('Measure Level Detail'!$R:$R,MATCH($B309&amp;"_"&amp;Z$3,'Measure Level Detail'!$C:$C,0)),0)</f>
        <v>0.91</v>
      </c>
      <c r="AA309" s="273">
        <f>IFERROR(INDEX('Measure Level Detail'!$R:$R,MATCH($B309&amp;"_"&amp;AA$3,'Measure Level Detail'!$C:$C,0)),0)</f>
        <v>0.91</v>
      </c>
      <c r="AB309" s="266">
        <f t="shared" si="167"/>
        <v>0</v>
      </c>
      <c r="AC309" s="266">
        <f t="shared" si="168"/>
        <v>0</v>
      </c>
      <c r="AD309" s="266">
        <f t="shared" si="169"/>
        <v>0</v>
      </c>
      <c r="AE309" s="266">
        <f t="shared" si="170"/>
        <v>0</v>
      </c>
      <c r="AF309" s="266">
        <f t="shared" si="171"/>
        <v>0</v>
      </c>
      <c r="AG309" s="274">
        <v>0.91</v>
      </c>
      <c r="AH309" s="274">
        <v>0.91</v>
      </c>
      <c r="AI309" s="274">
        <v>0.91</v>
      </c>
      <c r="AJ309" s="274">
        <v>0.91</v>
      </c>
      <c r="AK309" s="274">
        <f t="shared" si="172"/>
        <v>0.91</v>
      </c>
      <c r="AL309" s="274">
        <f t="shared" si="173"/>
        <v>0.91</v>
      </c>
      <c r="AM309" s="274">
        <f t="shared" si="174"/>
        <v>0.91</v>
      </c>
      <c r="AN309" s="274">
        <f t="shared" si="175"/>
        <v>0.91</v>
      </c>
      <c r="AO309" s="262"/>
      <c r="AP309" s="262"/>
      <c r="AQ309" s="267">
        <v>2.9611764705882351</v>
      </c>
      <c r="AR309" s="262"/>
      <c r="AS309" s="266">
        <f t="shared" si="176"/>
        <v>0</v>
      </c>
      <c r="AT309" s="264">
        <f t="shared" si="177"/>
        <v>0</v>
      </c>
      <c r="AU309" s="262"/>
      <c r="AV309" s="262"/>
      <c r="AW309" s="265">
        <v>2.9611764705882351</v>
      </c>
      <c r="AX309" s="164" t="s">
        <v>1469</v>
      </c>
      <c r="AY309" s="266">
        <v>0</v>
      </c>
      <c r="AZ309" s="266">
        <f t="shared" si="178"/>
        <v>0</v>
      </c>
      <c r="BA309" s="264">
        <f t="shared" si="179"/>
        <v>0</v>
      </c>
      <c r="BB309" s="262"/>
      <c r="BC309" s="262"/>
      <c r="BD309" s="265">
        <f ca="1">IFERROR(INDEX(Algorithms!$G:$G,MATCH($C309&amp;"_Therm Saved per Unit",Algorithms!$A:$A,0)),0)</f>
        <v>2.9611764705882351</v>
      </c>
      <c r="BE309" s="164" t="str">
        <f ca="1">IFERROR(INDEX('v12 Revisions'!$P$29:$P$186, MATCH('Measure-Level Adj Gas'!$L309, 'v12 Revisions'!$D$29:$D$186,0)),"")</f>
        <v/>
      </c>
      <c r="BF309" s="266">
        <f t="shared" ca="1" si="180"/>
        <v>0</v>
      </c>
      <c r="BG309" s="264">
        <f t="shared" ca="1" si="181"/>
        <v>0</v>
      </c>
      <c r="BH309" s="262"/>
      <c r="BI309" s="262"/>
      <c r="BJ309" s="265">
        <f ca="1">IFERROR(INDEX(Algorithms!$G:$G,MATCH($C309&amp;"_Therm Saved per Unit",Algorithms!$A:$A,0)),0)</f>
        <v>2.9611764705882351</v>
      </c>
      <c r="BK309" s="164"/>
      <c r="BL309" s="266">
        <f t="shared" ca="1" si="182"/>
        <v>0</v>
      </c>
      <c r="BM309" s="264">
        <f t="shared" ca="1" si="183"/>
        <v>0</v>
      </c>
      <c r="BN309" s="266">
        <f t="shared" si="184"/>
        <v>0</v>
      </c>
      <c r="BO309" s="266">
        <f t="shared" si="185"/>
        <v>0</v>
      </c>
      <c r="BP309" s="266">
        <f t="shared" ca="1" si="186"/>
        <v>0</v>
      </c>
      <c r="BQ309" s="266">
        <f t="shared" ca="1" si="187"/>
        <v>0</v>
      </c>
      <c r="BR309" s="268">
        <f t="shared" ca="1" si="188"/>
        <v>0</v>
      </c>
      <c r="BS309" s="262" t="s">
        <v>99</v>
      </c>
      <c r="BT309" s="277"/>
      <c r="BW309" s="266">
        <f t="shared" si="189"/>
        <v>0</v>
      </c>
      <c r="BX309" s="266">
        <f t="shared" si="190"/>
        <v>0</v>
      </c>
      <c r="BY309" s="266">
        <f t="shared" si="191"/>
        <v>0</v>
      </c>
      <c r="BZ309" s="266">
        <f t="shared" si="192"/>
        <v>0</v>
      </c>
      <c r="CA309" s="266">
        <f ca="1">N309*IFERROR(INDEX(Algorithms!$G:$G,MATCH($C309&amp;"_Therm Saved per Unit- MLA",Algorithms!$A:$A,0)),0)*X309</f>
        <v>0</v>
      </c>
      <c r="CB309" s="266">
        <f ca="1">O309*IFERROR(INDEX(Algorithms!$G:$G,MATCH($C309&amp;"_Therm Saved per Unit- MLA",Algorithms!$A:$A,0)),0)*Y309</f>
        <v>0</v>
      </c>
      <c r="CC309" s="266">
        <f ca="1">P309*IFERROR(INDEX(Algorithms!$G:$G,MATCH($C309&amp;"_Therm Saved per Unit- MLA",Algorithms!$A:$A,0)),0)*Z309</f>
        <v>0</v>
      </c>
      <c r="CD309" s="266">
        <f ca="1">Q309*IFERROR(INDEX(Algorithms!$G:$G,MATCH($C309&amp;"_Therm Saved per Unit- MLA",Algorithms!$A:$A,0)),0)*AA309</f>
        <v>0</v>
      </c>
      <c r="CE309" s="266">
        <f ca="1">IFERROR(INDEX(Algorithms!$G:$G,MATCH($C309&amp;"_Lifetime (years)",Algorithms!$A:$A,0)),0)</f>
        <v>15</v>
      </c>
      <c r="CF309" s="266">
        <f ca="1">IFERROR(INDEX(Algorithms!$G:$G,MATCH($C309&amp;"_Lifetime (years) - Remaining Years",Algorithms!$A:$A,0)),0)</f>
        <v>0</v>
      </c>
      <c r="CG309" s="266">
        <f t="shared" ca="1" si="193"/>
        <v>0</v>
      </c>
      <c r="CH309" s="266">
        <f t="shared" ca="1" si="194"/>
        <v>0</v>
      </c>
      <c r="CI309" s="266">
        <f t="shared" ca="1" si="195"/>
        <v>0</v>
      </c>
      <c r="CJ309" s="266">
        <f t="shared" ca="1" si="196"/>
        <v>0</v>
      </c>
      <c r="CK309" s="266">
        <f t="shared" si="197"/>
        <v>0</v>
      </c>
      <c r="CL309" s="266">
        <f t="shared" si="198"/>
        <v>0</v>
      </c>
      <c r="CM309" s="266">
        <f t="shared" ca="1" si="199"/>
        <v>0</v>
      </c>
      <c r="CN309" s="266">
        <f t="shared" ca="1" si="200"/>
        <v>0</v>
      </c>
      <c r="CO309" s="266">
        <f ca="1">N309*IFERROR(INDEX(Algorithms!$G:$G,MATCH($C309&amp;"_Therm Saved per Unit- MLA",Algorithms!$A:$A,0)),0)*X309</f>
        <v>0</v>
      </c>
      <c r="CP309" s="266">
        <f ca="1">O309*IFERROR(INDEX(Algorithms!$G:$G,MATCH($C309&amp;"_Therm Saved per Unit- MLA",Algorithms!$A:$A,0)),0)*Y309</f>
        <v>0</v>
      </c>
      <c r="CQ309" s="266">
        <f ca="1">P309*IFERROR(INDEX(Algorithms!$G:$G,MATCH($C309&amp;"_Therm Saved per Unit- MLA",Algorithms!$A:$A,0)),0)*Z309</f>
        <v>0</v>
      </c>
      <c r="CR309" s="266">
        <f ca="1">Q309*IFERROR(INDEX(Algorithms!$G:$G,MATCH($C309&amp;"_Therm Saved per Unit- MLA",Algorithms!$A:$A,0)),0)*AA309</f>
        <v>0</v>
      </c>
      <c r="CS309" s="266">
        <f ca="1">IFERROR(INDEX(Algorithms!$G:$G,MATCH($C309&amp;"_Lifetime (years)",Algorithms!$A:$A,0)),0)</f>
        <v>15</v>
      </c>
      <c r="CT309" s="266">
        <f ca="1">IFERROR(INDEX(Algorithms!$G:$G,MATCH($C309&amp;"_Lifetime (years) - Remaining Years",Algorithms!$A:$A,0)),0)</f>
        <v>0</v>
      </c>
      <c r="CU309" s="266">
        <f t="shared" ca="1" si="201"/>
        <v>0</v>
      </c>
      <c r="CV309" s="266">
        <f t="shared" ca="1" si="202"/>
        <v>0</v>
      </c>
      <c r="CW309" s="266">
        <f t="shared" ca="1" si="203"/>
        <v>0</v>
      </c>
      <c r="CX309" s="266">
        <f t="shared" ca="1" si="204"/>
        <v>0</v>
      </c>
    </row>
    <row r="310" spans="2:102" s="47" customFormat="1" ht="18" customHeight="1" x14ac:dyDescent="0.25">
      <c r="B310" t="str">
        <f t="shared" si="205"/>
        <v>NSG_Business_C&amp;I_Rebates_Modulating Commercial Gas Clothes Dryer_Hotels &amp; Hospitals_CI</v>
      </c>
      <c r="C310" s="47" t="str">
        <f t="shared" si="166"/>
        <v>Modulating Commercial Gas Clothes Dryer_Hotels &amp; Hospitals_CI</v>
      </c>
      <c r="D310" s="270" t="s">
        <v>1787</v>
      </c>
      <c r="E310" s="270" t="s">
        <v>3</v>
      </c>
      <c r="F310" s="270" t="s">
        <v>1427</v>
      </c>
      <c r="G310" s="270" t="s">
        <v>1429</v>
      </c>
      <c r="H310" s="270" t="s">
        <v>12</v>
      </c>
      <c r="I310" s="270" t="s">
        <v>1253</v>
      </c>
      <c r="J310" s="270" t="s">
        <v>1159</v>
      </c>
      <c r="K310" s="263">
        <v>1</v>
      </c>
      <c r="L310" s="263" t="str">
        <f ca="1">IFERROR(INDEX(Algorithms!J:J,MATCH($C310&amp;"_Therm Saved per Unit",Algorithms!$A:$A,0)),"n/a")</f>
        <v>4.8.4</v>
      </c>
      <c r="M310" s="263" t="str">
        <f>IFERROR(INDEX('Measure Level Detail'!$N:$N,MATCH($B310,'Measure Level Detail'!$B:$B,0)),0)</f>
        <v>each</v>
      </c>
      <c r="N310" s="271">
        <f>IFERROR(INDEX('Measure Level Detail'!$P:$P,MATCH($B310&amp;"_"&amp;N$3,'Measure Level Detail'!$C:$C,0)),0)</f>
        <v>0</v>
      </c>
      <c r="O310" s="271">
        <f>IFERROR(INDEX('Measure Level Detail'!$P:$P,MATCH($B310&amp;"_"&amp;O$3,'Measure Level Detail'!$C:$C,0)),0)</f>
        <v>0</v>
      </c>
      <c r="P310" s="271">
        <f>IFERROR(INDEX('Measure Level Detail'!$P:$P,MATCH($B310&amp;"_"&amp;P$3,'Measure Level Detail'!$C:$C,0)),0)</f>
        <v>0</v>
      </c>
      <c r="Q310" s="271">
        <f>IFERROR(INDEX('Measure Level Detail'!$P:$P,MATCH($B310&amp;"_"&amp;Q$3,'Measure Level Detail'!$C:$C,0)),0)</f>
        <v>0</v>
      </c>
      <c r="R310" s="263" t="str">
        <f ca="1">IFERROR(INDEX(Algorithms!K:K,MATCH($C310&amp;"_Therm Saved per Unit",Algorithms!$A:$A,0)),"n/a")</f>
        <v>CI-MSC-MODD-V02-230101</v>
      </c>
      <c r="S310" s="262"/>
      <c r="T310" s="272">
        <v>649.26</v>
      </c>
      <c r="U310" s="272">
        <v>649.26</v>
      </c>
      <c r="V310" s="272">
        <v>649.26</v>
      </c>
      <c r="W310" s="272">
        <v>649.26</v>
      </c>
      <c r="X310" s="273">
        <f>IFERROR(INDEX('Measure Level Detail'!$R:$R,MATCH($B310&amp;"_"&amp;X$3,'Measure Level Detail'!$C:$C,0)),0)</f>
        <v>0.91</v>
      </c>
      <c r="Y310" s="273">
        <f>IFERROR(INDEX('Measure Level Detail'!$R:$R,MATCH($B310&amp;"_"&amp;Y$3,'Measure Level Detail'!$C:$C,0)),0)</f>
        <v>0.91</v>
      </c>
      <c r="Z310" s="273">
        <f>IFERROR(INDEX('Measure Level Detail'!$R:$R,MATCH($B310&amp;"_"&amp;Z$3,'Measure Level Detail'!$C:$C,0)),0)</f>
        <v>0.91</v>
      </c>
      <c r="AA310" s="273">
        <f>IFERROR(INDEX('Measure Level Detail'!$R:$R,MATCH($B310&amp;"_"&amp;AA$3,'Measure Level Detail'!$C:$C,0)),0)</f>
        <v>0.91</v>
      </c>
      <c r="AB310" s="266">
        <f t="shared" si="167"/>
        <v>0</v>
      </c>
      <c r="AC310" s="266">
        <f t="shared" si="168"/>
        <v>0</v>
      </c>
      <c r="AD310" s="266">
        <f t="shared" si="169"/>
        <v>0</v>
      </c>
      <c r="AE310" s="266">
        <f t="shared" si="170"/>
        <v>0</v>
      </c>
      <c r="AF310" s="266">
        <f t="shared" si="171"/>
        <v>0</v>
      </c>
      <c r="AG310" s="274">
        <v>0.91</v>
      </c>
      <c r="AH310" s="274">
        <v>0.91</v>
      </c>
      <c r="AI310" s="274">
        <v>0.91</v>
      </c>
      <c r="AJ310" s="274">
        <v>0.91</v>
      </c>
      <c r="AK310" s="274">
        <f t="shared" si="172"/>
        <v>0.91</v>
      </c>
      <c r="AL310" s="274">
        <f t="shared" si="173"/>
        <v>0.91</v>
      </c>
      <c r="AM310" s="274">
        <f t="shared" si="174"/>
        <v>0.91</v>
      </c>
      <c r="AN310" s="274">
        <f t="shared" si="175"/>
        <v>0.91</v>
      </c>
      <c r="AO310" s="262"/>
      <c r="AP310" s="262"/>
      <c r="AQ310" s="267">
        <v>649.26</v>
      </c>
      <c r="AR310" s="262"/>
      <c r="AS310" s="266">
        <f t="shared" si="176"/>
        <v>0</v>
      </c>
      <c r="AT310" s="264">
        <f t="shared" si="177"/>
        <v>0</v>
      </c>
      <c r="AU310" s="262"/>
      <c r="AV310" s="262"/>
      <c r="AW310" s="265">
        <v>649.26</v>
      </c>
      <c r="AX310" s="164" t="s">
        <v>2396</v>
      </c>
      <c r="AY310" s="266">
        <v>0</v>
      </c>
      <c r="AZ310" s="266">
        <f t="shared" si="178"/>
        <v>0</v>
      </c>
      <c r="BA310" s="264">
        <f t="shared" si="179"/>
        <v>0</v>
      </c>
      <c r="BB310" s="262"/>
      <c r="BC310" s="262"/>
      <c r="BD310" s="265">
        <f ca="1">IFERROR(INDEX(Algorithms!$G:$G,MATCH($C310&amp;"_Therm Saved per Unit",Algorithms!$A:$A,0)),0)</f>
        <v>649.26</v>
      </c>
      <c r="BE310" s="164" t="str">
        <f ca="1">IFERROR(INDEX('v12 Revisions'!$P$29:$P$186, MATCH('Measure-Level Adj Gas'!$L310, 'v12 Revisions'!$D$29:$D$186,0)),"")</f>
        <v/>
      </c>
      <c r="BF310" s="266">
        <f t="shared" ca="1" si="180"/>
        <v>0</v>
      </c>
      <c r="BG310" s="264">
        <f t="shared" ca="1" si="181"/>
        <v>0</v>
      </c>
      <c r="BH310" s="262"/>
      <c r="BI310" s="262"/>
      <c r="BJ310" s="265">
        <f ca="1">IFERROR(INDEX(Algorithms!$G:$G,MATCH($C310&amp;"_Therm Saved per Unit",Algorithms!$A:$A,0)),0)</f>
        <v>649.26</v>
      </c>
      <c r="BK310" s="164"/>
      <c r="BL310" s="266">
        <f t="shared" ca="1" si="182"/>
        <v>0</v>
      </c>
      <c r="BM310" s="264">
        <f t="shared" ca="1" si="183"/>
        <v>0</v>
      </c>
      <c r="BN310" s="266">
        <f t="shared" si="184"/>
        <v>0</v>
      </c>
      <c r="BO310" s="266">
        <f t="shared" si="185"/>
        <v>0</v>
      </c>
      <c r="BP310" s="266">
        <f t="shared" ca="1" si="186"/>
        <v>0</v>
      </c>
      <c r="BQ310" s="266">
        <f t="shared" ca="1" si="187"/>
        <v>0</v>
      </c>
      <c r="BR310" s="268">
        <f t="shared" ca="1" si="188"/>
        <v>0</v>
      </c>
      <c r="BS310" s="262" t="s">
        <v>99</v>
      </c>
      <c r="BT310" s="277"/>
      <c r="BW310" s="266">
        <f t="shared" si="189"/>
        <v>0</v>
      </c>
      <c r="BX310" s="266">
        <f t="shared" si="190"/>
        <v>0</v>
      </c>
      <c r="BY310" s="266">
        <f t="shared" si="191"/>
        <v>0</v>
      </c>
      <c r="BZ310" s="266">
        <f t="shared" si="192"/>
        <v>0</v>
      </c>
      <c r="CA310" s="266">
        <f ca="1">N310*IFERROR(INDEX(Algorithms!$G:$G,MATCH($C310&amp;"_Therm Saved per Unit- MLA",Algorithms!$A:$A,0)),0)*X310</f>
        <v>0</v>
      </c>
      <c r="CB310" s="266">
        <f ca="1">O310*IFERROR(INDEX(Algorithms!$G:$G,MATCH($C310&amp;"_Therm Saved per Unit- MLA",Algorithms!$A:$A,0)),0)*Y310</f>
        <v>0</v>
      </c>
      <c r="CC310" s="266">
        <f ca="1">P310*IFERROR(INDEX(Algorithms!$G:$G,MATCH($C310&amp;"_Therm Saved per Unit- MLA",Algorithms!$A:$A,0)),0)*Z310</f>
        <v>0</v>
      </c>
      <c r="CD310" s="266">
        <f ca="1">Q310*IFERROR(INDEX(Algorithms!$G:$G,MATCH($C310&amp;"_Therm Saved per Unit- MLA",Algorithms!$A:$A,0)),0)*AA310</f>
        <v>0</v>
      </c>
      <c r="CE310" s="266">
        <f ca="1">IFERROR(INDEX(Algorithms!$G:$G,MATCH($C310&amp;"_Lifetime (years)",Algorithms!$A:$A,0)),0)</f>
        <v>10</v>
      </c>
      <c r="CF310" s="266">
        <f ca="1">IFERROR(INDEX(Algorithms!$G:$G,MATCH($C310&amp;"_Lifetime (years) - Remaining Years",Algorithms!$A:$A,0)),0)</f>
        <v>0</v>
      </c>
      <c r="CG310" s="266">
        <f t="shared" ca="1" si="193"/>
        <v>0</v>
      </c>
      <c r="CH310" s="266">
        <f t="shared" ca="1" si="194"/>
        <v>0</v>
      </c>
      <c r="CI310" s="266">
        <f t="shared" ca="1" si="195"/>
        <v>0</v>
      </c>
      <c r="CJ310" s="266">
        <f t="shared" ca="1" si="196"/>
        <v>0</v>
      </c>
      <c r="CK310" s="266">
        <f t="shared" si="197"/>
        <v>0</v>
      </c>
      <c r="CL310" s="266">
        <f t="shared" si="198"/>
        <v>0</v>
      </c>
      <c r="CM310" s="266">
        <f t="shared" ca="1" si="199"/>
        <v>0</v>
      </c>
      <c r="CN310" s="266">
        <f t="shared" ca="1" si="200"/>
        <v>0</v>
      </c>
      <c r="CO310" s="266">
        <f ca="1">N310*IFERROR(INDEX(Algorithms!$G:$G,MATCH($C310&amp;"_Therm Saved per Unit- MLA",Algorithms!$A:$A,0)),0)*X310</f>
        <v>0</v>
      </c>
      <c r="CP310" s="266">
        <f ca="1">O310*IFERROR(INDEX(Algorithms!$G:$G,MATCH($C310&amp;"_Therm Saved per Unit- MLA",Algorithms!$A:$A,0)),0)*Y310</f>
        <v>0</v>
      </c>
      <c r="CQ310" s="266">
        <f ca="1">P310*IFERROR(INDEX(Algorithms!$G:$G,MATCH($C310&amp;"_Therm Saved per Unit- MLA",Algorithms!$A:$A,0)),0)*Z310</f>
        <v>0</v>
      </c>
      <c r="CR310" s="266">
        <f ca="1">Q310*IFERROR(INDEX(Algorithms!$G:$G,MATCH($C310&amp;"_Therm Saved per Unit- MLA",Algorithms!$A:$A,0)),0)*AA310</f>
        <v>0</v>
      </c>
      <c r="CS310" s="266">
        <f ca="1">IFERROR(INDEX(Algorithms!$G:$G,MATCH($C310&amp;"_Lifetime (years)",Algorithms!$A:$A,0)),0)</f>
        <v>10</v>
      </c>
      <c r="CT310" s="266">
        <f ca="1">IFERROR(INDEX(Algorithms!$G:$G,MATCH($C310&amp;"_Lifetime (years) - Remaining Years",Algorithms!$A:$A,0)),0)</f>
        <v>0</v>
      </c>
      <c r="CU310" s="266">
        <f t="shared" ca="1" si="201"/>
        <v>0</v>
      </c>
      <c r="CV310" s="266">
        <f t="shared" ca="1" si="202"/>
        <v>0</v>
      </c>
      <c r="CW310" s="266">
        <f t="shared" ca="1" si="203"/>
        <v>0</v>
      </c>
      <c r="CX310" s="266">
        <f t="shared" ca="1" si="204"/>
        <v>0</v>
      </c>
    </row>
    <row r="311" spans="2:102" s="47" customFormat="1" ht="18" customHeight="1" x14ac:dyDescent="0.25">
      <c r="B311" t="str">
        <f t="shared" si="205"/>
        <v>NSG_Business_C&amp;I_Rebates_Modulating Commercial Gas Clothes Dryer_Laundromat &amp; MF Dorms_MF/SMB</v>
      </c>
      <c r="C311" s="47" t="str">
        <f t="shared" si="166"/>
        <v>Modulating Commercial Gas Clothes Dryer_Laundromat &amp; MF Dorms_MF/SMB</v>
      </c>
      <c r="D311" s="270" t="s">
        <v>1787</v>
      </c>
      <c r="E311" s="270" t="s">
        <v>3</v>
      </c>
      <c r="F311" s="270" t="s">
        <v>1427</v>
      </c>
      <c r="G311" s="270" t="s">
        <v>1429</v>
      </c>
      <c r="H311" s="270" t="s">
        <v>12</v>
      </c>
      <c r="I311" s="270" t="s">
        <v>1255</v>
      </c>
      <c r="J311" s="270" t="s">
        <v>1256</v>
      </c>
      <c r="K311" s="263">
        <v>1</v>
      </c>
      <c r="L311" s="263" t="str">
        <f ca="1">IFERROR(INDEX(Algorithms!J:J,MATCH($C311&amp;"_Therm Saved per Unit",Algorithms!$A:$A,0)),"n/a")</f>
        <v>4.8.4</v>
      </c>
      <c r="M311" s="263" t="str">
        <f>IFERROR(INDEX('Measure Level Detail'!$N:$N,MATCH($B311,'Measure Level Detail'!$B:$B,0)),0)</f>
        <v>each</v>
      </c>
      <c r="N311" s="271">
        <f>IFERROR(INDEX('Measure Level Detail'!$P:$P,MATCH($B311&amp;"_"&amp;N$3,'Measure Level Detail'!$C:$C,0)),0)</f>
        <v>0</v>
      </c>
      <c r="O311" s="271">
        <f>IFERROR(INDEX('Measure Level Detail'!$P:$P,MATCH($B311&amp;"_"&amp;O$3,'Measure Level Detail'!$C:$C,0)),0)</f>
        <v>0</v>
      </c>
      <c r="P311" s="271">
        <f>IFERROR(INDEX('Measure Level Detail'!$P:$P,MATCH($B311&amp;"_"&amp;P$3,'Measure Level Detail'!$C:$C,0)),0)</f>
        <v>0</v>
      </c>
      <c r="Q311" s="271">
        <f>IFERROR(INDEX('Measure Level Detail'!$P:$P,MATCH($B311&amp;"_"&amp;Q$3,'Measure Level Detail'!$C:$C,0)),0)</f>
        <v>0</v>
      </c>
      <c r="R311" s="263" t="str">
        <f ca="1">IFERROR(INDEX(Algorithms!K:K,MATCH($C311&amp;"_Therm Saved per Unit",Algorithms!$A:$A,0)),"n/a")</f>
        <v>CI-MSC-MODD-V02-230101</v>
      </c>
      <c r="S311" s="262"/>
      <c r="T311" s="272">
        <v>230.13</v>
      </c>
      <c r="U311" s="272">
        <v>230.13</v>
      </c>
      <c r="V311" s="272">
        <v>230.13</v>
      </c>
      <c r="W311" s="272">
        <v>230.13</v>
      </c>
      <c r="X311" s="273">
        <f>IFERROR(INDEX('Measure Level Detail'!$R:$R,MATCH($B311&amp;"_"&amp;X$3,'Measure Level Detail'!$C:$C,0)),0)</f>
        <v>0.91</v>
      </c>
      <c r="Y311" s="273">
        <f>IFERROR(INDEX('Measure Level Detail'!$R:$R,MATCH($B311&amp;"_"&amp;Y$3,'Measure Level Detail'!$C:$C,0)),0)</f>
        <v>0.91</v>
      </c>
      <c r="Z311" s="273">
        <f>IFERROR(INDEX('Measure Level Detail'!$R:$R,MATCH($B311&amp;"_"&amp;Z$3,'Measure Level Detail'!$C:$C,0)),0)</f>
        <v>0.91</v>
      </c>
      <c r="AA311" s="273">
        <f>IFERROR(INDEX('Measure Level Detail'!$R:$R,MATCH($B311&amp;"_"&amp;AA$3,'Measure Level Detail'!$C:$C,0)),0)</f>
        <v>0.91</v>
      </c>
      <c r="AB311" s="266">
        <f t="shared" si="167"/>
        <v>0</v>
      </c>
      <c r="AC311" s="266">
        <f t="shared" si="168"/>
        <v>0</v>
      </c>
      <c r="AD311" s="266">
        <f t="shared" si="169"/>
        <v>0</v>
      </c>
      <c r="AE311" s="266">
        <f t="shared" si="170"/>
        <v>0</v>
      </c>
      <c r="AF311" s="266">
        <f t="shared" si="171"/>
        <v>0</v>
      </c>
      <c r="AG311" s="274">
        <v>0.91</v>
      </c>
      <c r="AH311" s="274">
        <v>0.91</v>
      </c>
      <c r="AI311" s="274">
        <v>0.91</v>
      </c>
      <c r="AJ311" s="274">
        <v>0.91</v>
      </c>
      <c r="AK311" s="274">
        <f t="shared" si="172"/>
        <v>0.91</v>
      </c>
      <c r="AL311" s="274">
        <f t="shared" si="173"/>
        <v>0.91</v>
      </c>
      <c r="AM311" s="274">
        <f t="shared" si="174"/>
        <v>0.91</v>
      </c>
      <c r="AN311" s="274">
        <f t="shared" si="175"/>
        <v>0.91</v>
      </c>
      <c r="AO311" s="262"/>
      <c r="AP311" s="262"/>
      <c r="AQ311" s="267">
        <v>230.13</v>
      </c>
      <c r="AR311" s="262"/>
      <c r="AS311" s="266">
        <f t="shared" si="176"/>
        <v>0</v>
      </c>
      <c r="AT311" s="264">
        <f t="shared" si="177"/>
        <v>0</v>
      </c>
      <c r="AU311" s="262"/>
      <c r="AV311" s="262"/>
      <c r="AW311" s="265">
        <v>230.13</v>
      </c>
      <c r="AX311" s="164" t="s">
        <v>2396</v>
      </c>
      <c r="AY311" s="266">
        <v>0</v>
      </c>
      <c r="AZ311" s="266">
        <f t="shared" si="178"/>
        <v>0</v>
      </c>
      <c r="BA311" s="264">
        <f t="shared" si="179"/>
        <v>0</v>
      </c>
      <c r="BB311" s="262"/>
      <c r="BC311" s="262"/>
      <c r="BD311" s="265">
        <f ca="1">IFERROR(INDEX(Algorithms!$G:$G,MATCH($C311&amp;"_Therm Saved per Unit",Algorithms!$A:$A,0)),0)</f>
        <v>230.13</v>
      </c>
      <c r="BE311" s="164" t="str">
        <f ca="1">IFERROR(INDEX('v12 Revisions'!$P$29:$P$186, MATCH('Measure-Level Adj Gas'!$L311, 'v12 Revisions'!$D$29:$D$186,0)),"")</f>
        <v/>
      </c>
      <c r="BF311" s="266">
        <f t="shared" ca="1" si="180"/>
        <v>0</v>
      </c>
      <c r="BG311" s="264">
        <f t="shared" ca="1" si="181"/>
        <v>0</v>
      </c>
      <c r="BH311" s="262"/>
      <c r="BI311" s="262"/>
      <c r="BJ311" s="265">
        <f ca="1">IFERROR(INDEX(Algorithms!$G:$G,MATCH($C311&amp;"_Therm Saved per Unit",Algorithms!$A:$A,0)),0)</f>
        <v>230.13</v>
      </c>
      <c r="BK311" s="164"/>
      <c r="BL311" s="266">
        <f t="shared" ca="1" si="182"/>
        <v>0</v>
      </c>
      <c r="BM311" s="264">
        <f t="shared" ca="1" si="183"/>
        <v>0</v>
      </c>
      <c r="BN311" s="266">
        <f t="shared" si="184"/>
        <v>0</v>
      </c>
      <c r="BO311" s="266">
        <f t="shared" si="185"/>
        <v>0</v>
      </c>
      <c r="BP311" s="266">
        <f t="shared" ca="1" si="186"/>
        <v>0</v>
      </c>
      <c r="BQ311" s="266">
        <f t="shared" ca="1" si="187"/>
        <v>0</v>
      </c>
      <c r="BR311" s="268">
        <f t="shared" ca="1" si="188"/>
        <v>0</v>
      </c>
      <c r="BS311" s="262" t="s">
        <v>99</v>
      </c>
      <c r="BT311" s="277"/>
      <c r="BW311" s="266">
        <f t="shared" si="189"/>
        <v>0</v>
      </c>
      <c r="BX311" s="266">
        <f t="shared" si="190"/>
        <v>0</v>
      </c>
      <c r="BY311" s="266">
        <f t="shared" si="191"/>
        <v>0</v>
      </c>
      <c r="BZ311" s="266">
        <f t="shared" si="192"/>
        <v>0</v>
      </c>
      <c r="CA311" s="266">
        <f ca="1">N311*IFERROR(INDEX(Algorithms!$G:$G,MATCH($C311&amp;"_Therm Saved per Unit- MLA",Algorithms!$A:$A,0)),0)*X311</f>
        <v>0</v>
      </c>
      <c r="CB311" s="266">
        <f ca="1">O311*IFERROR(INDEX(Algorithms!$G:$G,MATCH($C311&amp;"_Therm Saved per Unit- MLA",Algorithms!$A:$A,0)),0)*Y311</f>
        <v>0</v>
      </c>
      <c r="CC311" s="266">
        <f ca="1">P311*IFERROR(INDEX(Algorithms!$G:$G,MATCH($C311&amp;"_Therm Saved per Unit- MLA",Algorithms!$A:$A,0)),0)*Z311</f>
        <v>0</v>
      </c>
      <c r="CD311" s="266">
        <f ca="1">Q311*IFERROR(INDEX(Algorithms!$G:$G,MATCH($C311&amp;"_Therm Saved per Unit- MLA",Algorithms!$A:$A,0)),0)*AA311</f>
        <v>0</v>
      </c>
      <c r="CE311" s="266">
        <f ca="1">IFERROR(INDEX(Algorithms!$G:$G,MATCH($C311&amp;"_Lifetime (years)",Algorithms!$A:$A,0)),0)</f>
        <v>10</v>
      </c>
      <c r="CF311" s="266">
        <f ca="1">IFERROR(INDEX(Algorithms!$G:$G,MATCH($C311&amp;"_Lifetime (years) - Remaining Years",Algorithms!$A:$A,0)),0)</f>
        <v>0</v>
      </c>
      <c r="CG311" s="266">
        <f t="shared" ca="1" si="193"/>
        <v>0</v>
      </c>
      <c r="CH311" s="266">
        <f t="shared" ca="1" si="194"/>
        <v>0</v>
      </c>
      <c r="CI311" s="266">
        <f t="shared" ca="1" si="195"/>
        <v>0</v>
      </c>
      <c r="CJ311" s="266">
        <f t="shared" ca="1" si="196"/>
        <v>0</v>
      </c>
      <c r="CK311" s="266">
        <f t="shared" si="197"/>
        <v>0</v>
      </c>
      <c r="CL311" s="266">
        <f t="shared" si="198"/>
        <v>0</v>
      </c>
      <c r="CM311" s="266">
        <f t="shared" ca="1" si="199"/>
        <v>0</v>
      </c>
      <c r="CN311" s="266">
        <f t="shared" ca="1" si="200"/>
        <v>0</v>
      </c>
      <c r="CO311" s="266">
        <f ca="1">N311*IFERROR(INDEX(Algorithms!$G:$G,MATCH($C311&amp;"_Therm Saved per Unit- MLA",Algorithms!$A:$A,0)),0)*X311</f>
        <v>0</v>
      </c>
      <c r="CP311" s="266">
        <f ca="1">O311*IFERROR(INDEX(Algorithms!$G:$G,MATCH($C311&amp;"_Therm Saved per Unit- MLA",Algorithms!$A:$A,0)),0)*Y311</f>
        <v>0</v>
      </c>
      <c r="CQ311" s="266">
        <f ca="1">P311*IFERROR(INDEX(Algorithms!$G:$G,MATCH($C311&amp;"_Therm Saved per Unit- MLA",Algorithms!$A:$A,0)),0)*Z311</f>
        <v>0</v>
      </c>
      <c r="CR311" s="266">
        <f ca="1">Q311*IFERROR(INDEX(Algorithms!$G:$G,MATCH($C311&amp;"_Therm Saved per Unit- MLA",Algorithms!$A:$A,0)),0)*AA311</f>
        <v>0</v>
      </c>
      <c r="CS311" s="266">
        <f ca="1">IFERROR(INDEX(Algorithms!$G:$G,MATCH($C311&amp;"_Lifetime (years)",Algorithms!$A:$A,0)),0)</f>
        <v>10</v>
      </c>
      <c r="CT311" s="266">
        <f ca="1">IFERROR(INDEX(Algorithms!$G:$G,MATCH($C311&amp;"_Lifetime (years) - Remaining Years",Algorithms!$A:$A,0)),0)</f>
        <v>0</v>
      </c>
      <c r="CU311" s="266">
        <f t="shared" ca="1" si="201"/>
        <v>0</v>
      </c>
      <c r="CV311" s="266">
        <f t="shared" ca="1" si="202"/>
        <v>0</v>
      </c>
      <c r="CW311" s="266">
        <f t="shared" ca="1" si="203"/>
        <v>0</v>
      </c>
      <c r="CX311" s="266">
        <f t="shared" ca="1" si="204"/>
        <v>0</v>
      </c>
    </row>
    <row r="312" spans="2:102" s="47" customFormat="1" ht="18" customHeight="1" x14ac:dyDescent="0.25">
      <c r="B312" t="str">
        <f t="shared" si="205"/>
        <v>NSG_Business_C&amp;I_Rebates_Ozone Laundry_0_MF/CI</v>
      </c>
      <c r="C312" s="47" t="str">
        <f t="shared" si="166"/>
        <v>Ozone Laundry_0_MF/CI</v>
      </c>
      <c r="D312" s="270" t="s">
        <v>1787</v>
      </c>
      <c r="E312" s="270" t="s">
        <v>3</v>
      </c>
      <c r="F312" s="270" t="s">
        <v>1427</v>
      </c>
      <c r="G312" s="270" t="s">
        <v>1429</v>
      </c>
      <c r="H312" s="270" t="s">
        <v>16</v>
      </c>
      <c r="I312" s="270">
        <v>0</v>
      </c>
      <c r="J312" s="270" t="s">
        <v>587</v>
      </c>
      <c r="K312" s="263">
        <v>1</v>
      </c>
      <c r="L312" s="263" t="str">
        <f ca="1">IFERROR(INDEX(Algorithms!J:J,MATCH($C312&amp;"_Therm Saved per Unit",Algorithms!$A:$A,0)),"n/a")</f>
        <v>4.3.6</v>
      </c>
      <c r="M312" s="263" t="str">
        <f>IFERROR(INDEX('Measure Level Detail'!$N:$N,MATCH($B312,'Measure Level Detail'!$B:$B,0)),0)</f>
        <v>lb-capacity</v>
      </c>
      <c r="N312" s="271">
        <f>IFERROR(INDEX('Measure Level Detail'!$P:$P,MATCH($B312&amp;"_"&amp;N$3,'Measure Level Detail'!$C:$C,0)),0)</f>
        <v>0</v>
      </c>
      <c r="O312" s="271">
        <f>IFERROR(INDEX('Measure Level Detail'!$P:$P,MATCH($B312&amp;"_"&amp;O$3,'Measure Level Detail'!$C:$C,0)),0)</f>
        <v>0</v>
      </c>
      <c r="P312" s="271">
        <f>IFERROR(INDEX('Measure Level Detail'!$P:$P,MATCH($B312&amp;"_"&amp;P$3,'Measure Level Detail'!$C:$C,0)),0)</f>
        <v>0</v>
      </c>
      <c r="Q312" s="271">
        <f>IFERROR(INDEX('Measure Level Detail'!$P:$P,MATCH($B312&amp;"_"&amp;Q$3,'Measure Level Detail'!$C:$C,0)),0)</f>
        <v>0</v>
      </c>
      <c r="R312" s="263" t="str">
        <f ca="1">IFERROR(INDEX(Algorithms!K:K,MATCH($C312&amp;"_Therm Saved per Unit",Algorithms!$A:$A,0)),"n/a")</f>
        <v>CI-HWE-OZLD-V07-230101</v>
      </c>
      <c r="S312" s="262"/>
      <c r="T312" s="272">
        <v>30.722664192350027</v>
      </c>
      <c r="U312" s="272">
        <v>30.722664192350027</v>
      </c>
      <c r="V312" s="272">
        <v>30.722664192350027</v>
      </c>
      <c r="W312" s="272">
        <v>30.722664192350027</v>
      </c>
      <c r="X312" s="273">
        <f>IFERROR(INDEX('Measure Level Detail'!$R:$R,MATCH($B312&amp;"_"&amp;X$3,'Measure Level Detail'!$C:$C,0)),0)</f>
        <v>0.91</v>
      </c>
      <c r="Y312" s="273">
        <f>IFERROR(INDEX('Measure Level Detail'!$R:$R,MATCH($B312&amp;"_"&amp;Y$3,'Measure Level Detail'!$C:$C,0)),0)</f>
        <v>0.91</v>
      </c>
      <c r="Z312" s="273">
        <f>IFERROR(INDEX('Measure Level Detail'!$R:$R,MATCH($B312&amp;"_"&amp;Z$3,'Measure Level Detail'!$C:$C,0)),0)</f>
        <v>0.91</v>
      </c>
      <c r="AA312" s="273">
        <f>IFERROR(INDEX('Measure Level Detail'!$R:$R,MATCH($B312&amp;"_"&amp;AA$3,'Measure Level Detail'!$C:$C,0)),0)</f>
        <v>0.91</v>
      </c>
      <c r="AB312" s="266">
        <f t="shared" si="167"/>
        <v>0</v>
      </c>
      <c r="AC312" s="266">
        <f t="shared" si="168"/>
        <v>0</v>
      </c>
      <c r="AD312" s="266">
        <f t="shared" si="169"/>
        <v>0</v>
      </c>
      <c r="AE312" s="266">
        <f t="shared" si="170"/>
        <v>0</v>
      </c>
      <c r="AF312" s="266">
        <f t="shared" si="171"/>
        <v>0</v>
      </c>
      <c r="AG312" s="274">
        <v>0.91</v>
      </c>
      <c r="AH312" s="274">
        <v>0.91</v>
      </c>
      <c r="AI312" s="274">
        <v>0.91</v>
      </c>
      <c r="AJ312" s="274">
        <v>0.91</v>
      </c>
      <c r="AK312" s="274">
        <f t="shared" si="172"/>
        <v>0.91</v>
      </c>
      <c r="AL312" s="274">
        <f t="shared" si="173"/>
        <v>0.91</v>
      </c>
      <c r="AM312" s="274">
        <f t="shared" si="174"/>
        <v>0.91</v>
      </c>
      <c r="AN312" s="274">
        <f t="shared" si="175"/>
        <v>0.91</v>
      </c>
      <c r="AO312" s="262"/>
      <c r="AP312" s="262"/>
      <c r="AQ312" s="267">
        <v>30.722664192350027</v>
      </c>
      <c r="AR312" s="262"/>
      <c r="AS312" s="266">
        <f t="shared" si="176"/>
        <v>0</v>
      </c>
      <c r="AT312" s="264">
        <f t="shared" si="177"/>
        <v>0</v>
      </c>
      <c r="AU312" s="262"/>
      <c r="AV312" s="262"/>
      <c r="AW312" s="265">
        <v>30.722664192350027</v>
      </c>
      <c r="AX312" s="164" t="s">
        <v>1469</v>
      </c>
      <c r="AY312" s="266">
        <v>0</v>
      </c>
      <c r="AZ312" s="266">
        <f t="shared" si="178"/>
        <v>0</v>
      </c>
      <c r="BA312" s="264">
        <f t="shared" si="179"/>
        <v>0</v>
      </c>
      <c r="BB312" s="262"/>
      <c r="BC312" s="262"/>
      <c r="BD312" s="265">
        <f ca="1">IFERROR(INDEX(Algorithms!$G:$G,MATCH($C312&amp;"_Therm Saved per Unit",Algorithms!$A:$A,0)),0)</f>
        <v>30.722664192350027</v>
      </c>
      <c r="BE312" s="164" t="str">
        <f ca="1">IFERROR(INDEX('v12 Revisions'!$P$29:$P$186, MATCH('Measure-Level Adj Gas'!$L312, 'v12 Revisions'!$D$29:$D$186,0)),"")</f>
        <v/>
      </c>
      <c r="BF312" s="266">
        <f t="shared" ca="1" si="180"/>
        <v>0</v>
      </c>
      <c r="BG312" s="264">
        <f t="shared" ca="1" si="181"/>
        <v>0</v>
      </c>
      <c r="BH312" s="262"/>
      <c r="BI312" s="262"/>
      <c r="BJ312" s="265">
        <f ca="1">IFERROR(INDEX(Algorithms!$G:$G,MATCH($C312&amp;"_Therm Saved per Unit",Algorithms!$A:$A,0)),0)</f>
        <v>30.722664192350027</v>
      </c>
      <c r="BK312" s="164"/>
      <c r="BL312" s="266">
        <f t="shared" ca="1" si="182"/>
        <v>0</v>
      </c>
      <c r="BM312" s="264">
        <f t="shared" ca="1" si="183"/>
        <v>0</v>
      </c>
      <c r="BN312" s="266">
        <f t="shared" si="184"/>
        <v>0</v>
      </c>
      <c r="BO312" s="266">
        <f t="shared" si="185"/>
        <v>0</v>
      </c>
      <c r="BP312" s="266">
        <f t="shared" ca="1" si="186"/>
        <v>0</v>
      </c>
      <c r="BQ312" s="266">
        <f t="shared" ca="1" si="187"/>
        <v>0</v>
      </c>
      <c r="BR312" s="268">
        <f t="shared" ca="1" si="188"/>
        <v>0</v>
      </c>
      <c r="BS312" s="262" t="s">
        <v>99</v>
      </c>
      <c r="BT312" s="277"/>
      <c r="BW312" s="266">
        <f t="shared" si="189"/>
        <v>0</v>
      </c>
      <c r="BX312" s="266">
        <f t="shared" si="190"/>
        <v>0</v>
      </c>
      <c r="BY312" s="266">
        <f t="shared" si="191"/>
        <v>0</v>
      </c>
      <c r="BZ312" s="266">
        <f t="shared" si="192"/>
        <v>0</v>
      </c>
      <c r="CA312" s="266">
        <f ca="1">N312*IFERROR(INDEX(Algorithms!$G:$G,MATCH($C312&amp;"_Therm Saved per Unit- MLA",Algorithms!$A:$A,0)),0)*X312</f>
        <v>0</v>
      </c>
      <c r="CB312" s="266">
        <f ca="1">O312*IFERROR(INDEX(Algorithms!$G:$G,MATCH($C312&amp;"_Therm Saved per Unit- MLA",Algorithms!$A:$A,0)),0)*Y312</f>
        <v>0</v>
      </c>
      <c r="CC312" s="266">
        <f ca="1">P312*IFERROR(INDEX(Algorithms!$G:$G,MATCH($C312&amp;"_Therm Saved per Unit- MLA",Algorithms!$A:$A,0)),0)*Z312</f>
        <v>0</v>
      </c>
      <c r="CD312" s="266">
        <f ca="1">Q312*IFERROR(INDEX(Algorithms!$G:$G,MATCH($C312&amp;"_Therm Saved per Unit- MLA",Algorithms!$A:$A,0)),0)*AA312</f>
        <v>0</v>
      </c>
      <c r="CE312" s="266">
        <f ca="1">IFERROR(INDEX(Algorithms!$G:$G,MATCH($C312&amp;"_Lifetime (years)",Algorithms!$A:$A,0)),0)</f>
        <v>10</v>
      </c>
      <c r="CF312" s="266">
        <f ca="1">IFERROR(INDEX(Algorithms!$G:$G,MATCH($C312&amp;"_Lifetime (years) - Remaining Years",Algorithms!$A:$A,0)),0)</f>
        <v>0</v>
      </c>
      <c r="CG312" s="266">
        <f t="shared" ca="1" si="193"/>
        <v>0</v>
      </c>
      <c r="CH312" s="266">
        <f t="shared" ca="1" si="194"/>
        <v>0</v>
      </c>
      <c r="CI312" s="266">
        <f t="shared" ca="1" si="195"/>
        <v>0</v>
      </c>
      <c r="CJ312" s="266">
        <f t="shared" ca="1" si="196"/>
        <v>0</v>
      </c>
      <c r="CK312" s="266">
        <f t="shared" si="197"/>
        <v>0</v>
      </c>
      <c r="CL312" s="266">
        <f t="shared" si="198"/>
        <v>0</v>
      </c>
      <c r="CM312" s="266">
        <f t="shared" ca="1" si="199"/>
        <v>0</v>
      </c>
      <c r="CN312" s="266">
        <f t="shared" ca="1" si="200"/>
        <v>0</v>
      </c>
      <c r="CO312" s="266">
        <f ca="1">N312*IFERROR(INDEX(Algorithms!$G:$G,MATCH($C312&amp;"_Therm Saved per Unit- MLA",Algorithms!$A:$A,0)),0)*X312</f>
        <v>0</v>
      </c>
      <c r="CP312" s="266">
        <f ca="1">O312*IFERROR(INDEX(Algorithms!$G:$G,MATCH($C312&amp;"_Therm Saved per Unit- MLA",Algorithms!$A:$A,0)),0)*Y312</f>
        <v>0</v>
      </c>
      <c r="CQ312" s="266">
        <f ca="1">P312*IFERROR(INDEX(Algorithms!$G:$G,MATCH($C312&amp;"_Therm Saved per Unit- MLA",Algorithms!$A:$A,0)),0)*Z312</f>
        <v>0</v>
      </c>
      <c r="CR312" s="266">
        <f ca="1">Q312*IFERROR(INDEX(Algorithms!$G:$G,MATCH($C312&amp;"_Therm Saved per Unit- MLA",Algorithms!$A:$A,0)),0)*AA312</f>
        <v>0</v>
      </c>
      <c r="CS312" s="266">
        <f ca="1">IFERROR(INDEX(Algorithms!$G:$G,MATCH($C312&amp;"_Lifetime (years)",Algorithms!$A:$A,0)),0)</f>
        <v>10</v>
      </c>
      <c r="CT312" s="266">
        <f ca="1">IFERROR(INDEX(Algorithms!$G:$G,MATCH($C312&amp;"_Lifetime (years) - Remaining Years",Algorithms!$A:$A,0)),0)</f>
        <v>0</v>
      </c>
      <c r="CU312" s="266">
        <f t="shared" ca="1" si="201"/>
        <v>0</v>
      </c>
      <c r="CV312" s="266">
        <f t="shared" ca="1" si="202"/>
        <v>0</v>
      </c>
      <c r="CW312" s="266">
        <f t="shared" ca="1" si="203"/>
        <v>0</v>
      </c>
      <c r="CX312" s="266">
        <f t="shared" ca="1" si="204"/>
        <v>0</v>
      </c>
    </row>
    <row r="313" spans="2:102" s="47" customFormat="1" ht="18" customHeight="1" x14ac:dyDescent="0.25">
      <c r="B313" t="str">
        <f t="shared" si="205"/>
        <v>NSG_Business_C&amp;I_Rebates_Pipe Insulation_Steam Large Fitting_CI</v>
      </c>
      <c r="C313" s="47" t="str">
        <f t="shared" si="166"/>
        <v>Pipe Insulation_Steam Large Fitting_CI</v>
      </c>
      <c r="D313" s="270" t="s">
        <v>1787</v>
      </c>
      <c r="E313" s="270" t="s">
        <v>3</v>
      </c>
      <c r="F313" s="270" t="s">
        <v>1427</v>
      </c>
      <c r="G313" s="270" t="s">
        <v>1429</v>
      </c>
      <c r="H313" s="270" t="s">
        <v>404</v>
      </c>
      <c r="I313" s="270" t="s">
        <v>963</v>
      </c>
      <c r="J313" s="270" t="s">
        <v>1159</v>
      </c>
      <c r="K313" s="263">
        <v>1</v>
      </c>
      <c r="L313" s="263" t="str">
        <f ca="1">IFERROR(INDEX(Algorithms!J:J,MATCH($C313&amp;"_Therm Saved per Unit",Algorithms!$A:$A,0)),"n/a")</f>
        <v>"3 - Pipe Insulation" worksheet</v>
      </c>
      <c r="M313" s="263" t="str">
        <f>IFERROR(INDEX('Measure Level Detail'!$N:$N,MATCH($B313,'Measure Level Detail'!$B:$B,0)),0)</f>
        <v>each</v>
      </c>
      <c r="N313" s="271">
        <f>IFERROR(INDEX('Measure Level Detail'!$P:$P,MATCH($B313&amp;"_"&amp;N$3,'Measure Level Detail'!$C:$C,0)),0)</f>
        <v>0</v>
      </c>
      <c r="O313" s="271">
        <f>IFERROR(INDEX('Measure Level Detail'!$P:$P,MATCH($B313&amp;"_"&amp;O$3,'Measure Level Detail'!$C:$C,0)),0)</f>
        <v>0</v>
      </c>
      <c r="P313" s="271">
        <f>IFERROR(INDEX('Measure Level Detail'!$P:$P,MATCH($B313&amp;"_"&amp;P$3,'Measure Level Detail'!$C:$C,0)),0)</f>
        <v>0</v>
      </c>
      <c r="Q313" s="271">
        <f>IFERROR(INDEX('Measure Level Detail'!$P:$P,MATCH($B313&amp;"_"&amp;Q$3,'Measure Level Detail'!$C:$C,0)),0)</f>
        <v>0</v>
      </c>
      <c r="R313" s="263">
        <f ca="1">IFERROR(INDEX(Algorithms!K:K,MATCH($C313&amp;"_Therm Saved per Unit",Algorithms!$A:$A,0)),"n/a")</f>
        <v>0</v>
      </c>
      <c r="S313" s="262"/>
      <c r="T313" s="272">
        <v>44.895855334511324</v>
      </c>
      <c r="U313" s="272">
        <v>44.895855334511324</v>
      </c>
      <c r="V313" s="272">
        <v>44.895855334511324</v>
      </c>
      <c r="W313" s="272">
        <v>44.895855334511324</v>
      </c>
      <c r="X313" s="273">
        <f>IFERROR(INDEX('Measure Level Detail'!$R:$R,MATCH($B313&amp;"_"&amp;X$3,'Measure Level Detail'!$C:$C,0)),0)</f>
        <v>0.91</v>
      </c>
      <c r="Y313" s="273">
        <f>IFERROR(INDEX('Measure Level Detail'!$R:$R,MATCH($B313&amp;"_"&amp;Y$3,'Measure Level Detail'!$C:$C,0)),0)</f>
        <v>0.91</v>
      </c>
      <c r="Z313" s="273">
        <f>IFERROR(INDEX('Measure Level Detail'!$R:$R,MATCH($B313&amp;"_"&amp;Z$3,'Measure Level Detail'!$C:$C,0)),0)</f>
        <v>0.91</v>
      </c>
      <c r="AA313" s="273">
        <f>IFERROR(INDEX('Measure Level Detail'!$R:$R,MATCH($B313&amp;"_"&amp;AA$3,'Measure Level Detail'!$C:$C,0)),0)</f>
        <v>0.91</v>
      </c>
      <c r="AB313" s="266">
        <f t="shared" si="167"/>
        <v>0</v>
      </c>
      <c r="AC313" s="266">
        <f t="shared" si="168"/>
        <v>0</v>
      </c>
      <c r="AD313" s="266">
        <f t="shared" si="169"/>
        <v>0</v>
      </c>
      <c r="AE313" s="266">
        <f t="shared" si="170"/>
        <v>0</v>
      </c>
      <c r="AF313" s="266">
        <f t="shared" si="171"/>
        <v>0</v>
      </c>
      <c r="AG313" s="274">
        <v>0.91</v>
      </c>
      <c r="AH313" s="274">
        <v>0.91</v>
      </c>
      <c r="AI313" s="274">
        <v>0.91</v>
      </c>
      <c r="AJ313" s="274">
        <v>0.91</v>
      </c>
      <c r="AK313" s="274">
        <f t="shared" si="172"/>
        <v>0.91</v>
      </c>
      <c r="AL313" s="274">
        <f t="shared" si="173"/>
        <v>0.91</v>
      </c>
      <c r="AM313" s="274">
        <f t="shared" si="174"/>
        <v>0.91</v>
      </c>
      <c r="AN313" s="274">
        <f t="shared" si="175"/>
        <v>0.91</v>
      </c>
      <c r="AO313" s="262"/>
      <c r="AP313" s="262"/>
      <c r="AQ313" s="267">
        <v>44.895855334511324</v>
      </c>
      <c r="AR313" s="262"/>
      <c r="AS313" s="266">
        <f t="shared" si="176"/>
        <v>0</v>
      </c>
      <c r="AT313" s="264">
        <f t="shared" si="177"/>
        <v>0</v>
      </c>
      <c r="AU313" s="262"/>
      <c r="AV313" s="262"/>
      <c r="AW313" s="265">
        <v>44.895855334511324</v>
      </c>
      <c r="AX313" s="164" t="s">
        <v>1469</v>
      </c>
      <c r="AY313" s="266">
        <v>0</v>
      </c>
      <c r="AZ313" s="266">
        <f t="shared" si="178"/>
        <v>0</v>
      </c>
      <c r="BA313" s="264">
        <f t="shared" si="179"/>
        <v>0</v>
      </c>
      <c r="BB313" s="262"/>
      <c r="BC313" s="262"/>
      <c r="BD313" s="265">
        <f ca="1">IFERROR(INDEX(Algorithms!$G:$G,MATCH($C313&amp;"_Therm Saved per Unit",Algorithms!$A:$A,0)),0)</f>
        <v>44.895855334511324</v>
      </c>
      <c r="BE313" s="164" t="str">
        <f ca="1">IFERROR(INDEX('v12 Revisions'!$P$29:$P$186, MATCH('Measure-Level Adj Gas'!$L313, 'v12 Revisions'!$D$29:$D$186,0)),"")</f>
        <v/>
      </c>
      <c r="BF313" s="266">
        <f t="shared" ca="1" si="180"/>
        <v>0</v>
      </c>
      <c r="BG313" s="264">
        <f t="shared" ca="1" si="181"/>
        <v>0</v>
      </c>
      <c r="BH313" s="262"/>
      <c r="BI313" s="262"/>
      <c r="BJ313" s="265">
        <f ca="1">IFERROR(INDEX(Algorithms!$G:$G,MATCH($C313&amp;"_Therm Saved per Unit",Algorithms!$A:$A,0)),0)</f>
        <v>44.895855334511324</v>
      </c>
      <c r="BK313" s="164"/>
      <c r="BL313" s="266">
        <f t="shared" ca="1" si="182"/>
        <v>0</v>
      </c>
      <c r="BM313" s="264">
        <f t="shared" ca="1" si="183"/>
        <v>0</v>
      </c>
      <c r="BN313" s="266">
        <f t="shared" si="184"/>
        <v>0</v>
      </c>
      <c r="BO313" s="266">
        <f t="shared" si="185"/>
        <v>0</v>
      </c>
      <c r="BP313" s="266">
        <f t="shared" ca="1" si="186"/>
        <v>0</v>
      </c>
      <c r="BQ313" s="266">
        <f t="shared" ca="1" si="187"/>
        <v>0</v>
      </c>
      <c r="BR313" s="268">
        <f t="shared" ca="1" si="188"/>
        <v>0</v>
      </c>
      <c r="BS313" s="262" t="s">
        <v>99</v>
      </c>
      <c r="BT313" s="277"/>
      <c r="BW313" s="266">
        <f t="shared" si="189"/>
        <v>0</v>
      </c>
      <c r="BX313" s="266">
        <f t="shared" si="190"/>
        <v>0</v>
      </c>
      <c r="BY313" s="266">
        <f t="shared" si="191"/>
        <v>0</v>
      </c>
      <c r="BZ313" s="266">
        <f t="shared" si="192"/>
        <v>0</v>
      </c>
      <c r="CA313" s="266">
        <f ca="1">N313*IFERROR(INDEX(Algorithms!$G:$G,MATCH($C313&amp;"_Therm Saved per Unit- MLA",Algorithms!$A:$A,0)),0)*X313</f>
        <v>0</v>
      </c>
      <c r="CB313" s="266">
        <f ca="1">O313*IFERROR(INDEX(Algorithms!$G:$G,MATCH($C313&amp;"_Therm Saved per Unit- MLA",Algorithms!$A:$A,0)),0)*Y313</f>
        <v>0</v>
      </c>
      <c r="CC313" s="266">
        <f ca="1">P313*IFERROR(INDEX(Algorithms!$G:$G,MATCH($C313&amp;"_Therm Saved per Unit- MLA",Algorithms!$A:$A,0)),0)*Z313</f>
        <v>0</v>
      </c>
      <c r="CD313" s="266">
        <f ca="1">Q313*IFERROR(INDEX(Algorithms!$G:$G,MATCH($C313&amp;"_Therm Saved per Unit- MLA",Algorithms!$A:$A,0)),0)*AA313</f>
        <v>0</v>
      </c>
      <c r="CE313" s="266">
        <f ca="1">IFERROR(INDEX(Algorithms!$G:$G,MATCH($C313&amp;"_Lifetime (years)",Algorithms!$A:$A,0)),0)</f>
        <v>15</v>
      </c>
      <c r="CF313" s="266">
        <f ca="1">IFERROR(INDEX(Algorithms!$G:$G,MATCH($C313&amp;"_Lifetime (years) - Remaining Years",Algorithms!$A:$A,0)),0)</f>
        <v>0</v>
      </c>
      <c r="CG313" s="266">
        <f t="shared" ca="1" si="193"/>
        <v>0</v>
      </c>
      <c r="CH313" s="266">
        <f t="shared" ca="1" si="194"/>
        <v>0</v>
      </c>
      <c r="CI313" s="266">
        <f t="shared" ca="1" si="195"/>
        <v>0</v>
      </c>
      <c r="CJ313" s="266">
        <f t="shared" ca="1" si="196"/>
        <v>0</v>
      </c>
      <c r="CK313" s="266">
        <f t="shared" si="197"/>
        <v>0</v>
      </c>
      <c r="CL313" s="266">
        <f t="shared" si="198"/>
        <v>0</v>
      </c>
      <c r="CM313" s="266">
        <f t="shared" ca="1" si="199"/>
        <v>0</v>
      </c>
      <c r="CN313" s="266">
        <f t="shared" ca="1" si="200"/>
        <v>0</v>
      </c>
      <c r="CO313" s="266">
        <f ca="1">N313*IFERROR(INDEX(Algorithms!$G:$G,MATCH($C313&amp;"_Therm Saved per Unit- MLA",Algorithms!$A:$A,0)),0)*X313</f>
        <v>0</v>
      </c>
      <c r="CP313" s="266">
        <f ca="1">O313*IFERROR(INDEX(Algorithms!$G:$G,MATCH($C313&amp;"_Therm Saved per Unit- MLA",Algorithms!$A:$A,0)),0)*Y313</f>
        <v>0</v>
      </c>
      <c r="CQ313" s="266">
        <f ca="1">P313*IFERROR(INDEX(Algorithms!$G:$G,MATCH($C313&amp;"_Therm Saved per Unit- MLA",Algorithms!$A:$A,0)),0)*Z313</f>
        <v>0</v>
      </c>
      <c r="CR313" s="266">
        <f ca="1">Q313*IFERROR(INDEX(Algorithms!$G:$G,MATCH($C313&amp;"_Therm Saved per Unit- MLA",Algorithms!$A:$A,0)),0)*AA313</f>
        <v>0</v>
      </c>
      <c r="CS313" s="266">
        <f ca="1">IFERROR(INDEX(Algorithms!$G:$G,MATCH($C313&amp;"_Lifetime (years)",Algorithms!$A:$A,0)),0)</f>
        <v>15</v>
      </c>
      <c r="CT313" s="266">
        <f ca="1">IFERROR(INDEX(Algorithms!$G:$G,MATCH($C313&amp;"_Lifetime (years) - Remaining Years",Algorithms!$A:$A,0)),0)</f>
        <v>0</v>
      </c>
      <c r="CU313" s="266">
        <f t="shared" ca="1" si="201"/>
        <v>0</v>
      </c>
      <c r="CV313" s="266">
        <f t="shared" ca="1" si="202"/>
        <v>0</v>
      </c>
      <c r="CW313" s="266">
        <f t="shared" ca="1" si="203"/>
        <v>0</v>
      </c>
      <c r="CX313" s="266">
        <f t="shared" ca="1" si="204"/>
        <v>0</v>
      </c>
    </row>
    <row r="314" spans="2:102" s="47" customFormat="1" ht="18" customHeight="1" x14ac:dyDescent="0.25">
      <c r="B314" t="str">
        <f t="shared" si="205"/>
        <v>NSG_Business_C&amp;I_Rebates_Pipe Insulation_Steam X-Large Fitting_CI</v>
      </c>
      <c r="C314" s="47" t="str">
        <f t="shared" si="166"/>
        <v>Pipe Insulation_Steam X-Large Fitting_CI</v>
      </c>
      <c r="D314" s="270" t="s">
        <v>1787</v>
      </c>
      <c r="E314" s="270" t="s">
        <v>3</v>
      </c>
      <c r="F314" s="270" t="s">
        <v>1427</v>
      </c>
      <c r="G314" s="270" t="s">
        <v>1429</v>
      </c>
      <c r="H314" s="270" t="s">
        <v>404</v>
      </c>
      <c r="I314" s="270" t="s">
        <v>964</v>
      </c>
      <c r="J314" s="270" t="s">
        <v>1159</v>
      </c>
      <c r="K314" s="263">
        <v>1</v>
      </c>
      <c r="L314" s="263" t="str">
        <f ca="1">IFERROR(INDEX(Algorithms!J:J,MATCH($C314&amp;"_Therm Saved per Unit",Algorithms!$A:$A,0)),"n/a")</f>
        <v>"3 - Pipe Insulation" worksheet</v>
      </c>
      <c r="M314" s="263" t="str">
        <f>IFERROR(INDEX('Measure Level Detail'!$N:$N,MATCH($B314,'Measure Level Detail'!$B:$B,0)),0)</f>
        <v>each</v>
      </c>
      <c r="N314" s="271">
        <f>IFERROR(INDEX('Measure Level Detail'!$P:$P,MATCH($B314&amp;"_"&amp;N$3,'Measure Level Detail'!$C:$C,0)),0)</f>
        <v>0</v>
      </c>
      <c r="O314" s="271">
        <f>IFERROR(INDEX('Measure Level Detail'!$P:$P,MATCH($B314&amp;"_"&amp;O$3,'Measure Level Detail'!$C:$C,0)),0)</f>
        <v>0</v>
      </c>
      <c r="P314" s="271">
        <f>IFERROR(INDEX('Measure Level Detail'!$P:$P,MATCH($B314&amp;"_"&amp;P$3,'Measure Level Detail'!$C:$C,0)),0)</f>
        <v>0</v>
      </c>
      <c r="Q314" s="271">
        <f>IFERROR(INDEX('Measure Level Detail'!$P:$P,MATCH($B314&amp;"_"&amp;Q$3,'Measure Level Detail'!$C:$C,0)),0)</f>
        <v>0</v>
      </c>
      <c r="R314" s="263">
        <f ca="1">IFERROR(INDEX(Algorithms!K:K,MATCH($C314&amp;"_Therm Saved per Unit",Algorithms!$A:$A,0)),"n/a")</f>
        <v>0</v>
      </c>
      <c r="S314" s="262"/>
      <c r="T314" s="272">
        <v>80.577400496643122</v>
      </c>
      <c r="U314" s="272">
        <v>80.577400496643122</v>
      </c>
      <c r="V314" s="272">
        <v>80.577400496643122</v>
      </c>
      <c r="W314" s="272">
        <v>80.577400496643122</v>
      </c>
      <c r="X314" s="273">
        <f>IFERROR(INDEX('Measure Level Detail'!$R:$R,MATCH($B314&amp;"_"&amp;X$3,'Measure Level Detail'!$C:$C,0)),0)</f>
        <v>0.91</v>
      </c>
      <c r="Y314" s="273">
        <f>IFERROR(INDEX('Measure Level Detail'!$R:$R,MATCH($B314&amp;"_"&amp;Y$3,'Measure Level Detail'!$C:$C,0)),0)</f>
        <v>0.91</v>
      </c>
      <c r="Z314" s="273">
        <f>IFERROR(INDEX('Measure Level Detail'!$R:$R,MATCH($B314&amp;"_"&amp;Z$3,'Measure Level Detail'!$C:$C,0)),0)</f>
        <v>0.91</v>
      </c>
      <c r="AA314" s="273">
        <f>IFERROR(INDEX('Measure Level Detail'!$R:$R,MATCH($B314&amp;"_"&amp;AA$3,'Measure Level Detail'!$C:$C,0)),0)</f>
        <v>0.91</v>
      </c>
      <c r="AB314" s="266">
        <f t="shared" si="167"/>
        <v>0</v>
      </c>
      <c r="AC314" s="266">
        <f t="shared" si="168"/>
        <v>0</v>
      </c>
      <c r="AD314" s="266">
        <f t="shared" si="169"/>
        <v>0</v>
      </c>
      <c r="AE314" s="266">
        <f t="shared" si="170"/>
        <v>0</v>
      </c>
      <c r="AF314" s="266">
        <f t="shared" si="171"/>
        <v>0</v>
      </c>
      <c r="AG314" s="274">
        <v>0.91</v>
      </c>
      <c r="AH314" s="274">
        <v>0.91</v>
      </c>
      <c r="AI314" s="274">
        <v>0.91</v>
      </c>
      <c r="AJ314" s="274">
        <v>0.91</v>
      </c>
      <c r="AK314" s="274">
        <f t="shared" si="172"/>
        <v>0.91</v>
      </c>
      <c r="AL314" s="274">
        <f t="shared" si="173"/>
        <v>0.91</v>
      </c>
      <c r="AM314" s="274">
        <f t="shared" si="174"/>
        <v>0.91</v>
      </c>
      <c r="AN314" s="274">
        <f t="shared" si="175"/>
        <v>0.91</v>
      </c>
      <c r="AO314" s="262"/>
      <c r="AP314" s="262"/>
      <c r="AQ314" s="267">
        <v>80.577400496643122</v>
      </c>
      <c r="AR314" s="262"/>
      <c r="AS314" s="266">
        <f t="shared" si="176"/>
        <v>0</v>
      </c>
      <c r="AT314" s="264">
        <f t="shared" si="177"/>
        <v>0</v>
      </c>
      <c r="AU314" s="262"/>
      <c r="AV314" s="262"/>
      <c r="AW314" s="265">
        <v>80.577400496643122</v>
      </c>
      <c r="AX314" s="164" t="s">
        <v>1469</v>
      </c>
      <c r="AY314" s="266">
        <v>0</v>
      </c>
      <c r="AZ314" s="266">
        <f t="shared" si="178"/>
        <v>0</v>
      </c>
      <c r="BA314" s="264">
        <f t="shared" si="179"/>
        <v>0</v>
      </c>
      <c r="BB314" s="262"/>
      <c r="BC314" s="262"/>
      <c r="BD314" s="265">
        <f ca="1">IFERROR(INDEX(Algorithms!$G:$G,MATCH($C314&amp;"_Therm Saved per Unit",Algorithms!$A:$A,0)),0)</f>
        <v>80.577400496643122</v>
      </c>
      <c r="BE314" s="164" t="str">
        <f ca="1">IFERROR(INDEX('v12 Revisions'!$P$29:$P$186, MATCH('Measure-Level Adj Gas'!$L314, 'v12 Revisions'!$D$29:$D$186,0)),"")</f>
        <v/>
      </c>
      <c r="BF314" s="266">
        <f t="shared" ca="1" si="180"/>
        <v>0</v>
      </c>
      <c r="BG314" s="264">
        <f t="shared" ca="1" si="181"/>
        <v>0</v>
      </c>
      <c r="BH314" s="262"/>
      <c r="BI314" s="262"/>
      <c r="BJ314" s="265">
        <f ca="1">IFERROR(INDEX(Algorithms!$G:$G,MATCH($C314&amp;"_Therm Saved per Unit",Algorithms!$A:$A,0)),0)</f>
        <v>80.577400496643122</v>
      </c>
      <c r="BK314" s="164"/>
      <c r="BL314" s="266">
        <f t="shared" ca="1" si="182"/>
        <v>0</v>
      </c>
      <c r="BM314" s="264">
        <f t="shared" ca="1" si="183"/>
        <v>0</v>
      </c>
      <c r="BN314" s="266">
        <f t="shared" si="184"/>
        <v>0</v>
      </c>
      <c r="BO314" s="266">
        <f t="shared" si="185"/>
        <v>0</v>
      </c>
      <c r="BP314" s="266">
        <f t="shared" ca="1" si="186"/>
        <v>0</v>
      </c>
      <c r="BQ314" s="266">
        <f t="shared" ca="1" si="187"/>
        <v>0</v>
      </c>
      <c r="BR314" s="268">
        <f t="shared" ca="1" si="188"/>
        <v>0</v>
      </c>
      <c r="BS314" s="262" t="s">
        <v>99</v>
      </c>
      <c r="BT314" s="277"/>
      <c r="BW314" s="266">
        <f t="shared" si="189"/>
        <v>0</v>
      </c>
      <c r="BX314" s="266">
        <f t="shared" si="190"/>
        <v>0</v>
      </c>
      <c r="BY314" s="266">
        <f t="shared" si="191"/>
        <v>0</v>
      </c>
      <c r="BZ314" s="266">
        <f t="shared" si="192"/>
        <v>0</v>
      </c>
      <c r="CA314" s="266">
        <f ca="1">N314*IFERROR(INDEX(Algorithms!$G:$G,MATCH($C314&amp;"_Therm Saved per Unit- MLA",Algorithms!$A:$A,0)),0)*X314</f>
        <v>0</v>
      </c>
      <c r="CB314" s="266">
        <f ca="1">O314*IFERROR(INDEX(Algorithms!$G:$G,MATCH($C314&amp;"_Therm Saved per Unit- MLA",Algorithms!$A:$A,0)),0)*Y314</f>
        <v>0</v>
      </c>
      <c r="CC314" s="266">
        <f ca="1">P314*IFERROR(INDEX(Algorithms!$G:$G,MATCH($C314&amp;"_Therm Saved per Unit- MLA",Algorithms!$A:$A,0)),0)*Z314</f>
        <v>0</v>
      </c>
      <c r="CD314" s="266">
        <f ca="1">Q314*IFERROR(INDEX(Algorithms!$G:$G,MATCH($C314&amp;"_Therm Saved per Unit- MLA",Algorithms!$A:$A,0)),0)*AA314</f>
        <v>0</v>
      </c>
      <c r="CE314" s="266">
        <f ca="1">IFERROR(INDEX(Algorithms!$G:$G,MATCH($C314&amp;"_Lifetime (years)",Algorithms!$A:$A,0)),0)</f>
        <v>15</v>
      </c>
      <c r="CF314" s="266">
        <f ca="1">IFERROR(INDEX(Algorithms!$G:$G,MATCH($C314&amp;"_Lifetime (years) - Remaining Years",Algorithms!$A:$A,0)),0)</f>
        <v>0</v>
      </c>
      <c r="CG314" s="266">
        <f t="shared" ca="1" si="193"/>
        <v>0</v>
      </c>
      <c r="CH314" s="266">
        <f t="shared" ca="1" si="194"/>
        <v>0</v>
      </c>
      <c r="CI314" s="266">
        <f t="shared" ca="1" si="195"/>
        <v>0</v>
      </c>
      <c r="CJ314" s="266">
        <f t="shared" ca="1" si="196"/>
        <v>0</v>
      </c>
      <c r="CK314" s="266">
        <f t="shared" si="197"/>
        <v>0</v>
      </c>
      <c r="CL314" s="266">
        <f t="shared" si="198"/>
        <v>0</v>
      </c>
      <c r="CM314" s="266">
        <f t="shared" ca="1" si="199"/>
        <v>0</v>
      </c>
      <c r="CN314" s="266">
        <f t="shared" ca="1" si="200"/>
        <v>0</v>
      </c>
      <c r="CO314" s="266">
        <f ca="1">N314*IFERROR(INDEX(Algorithms!$G:$G,MATCH($C314&amp;"_Therm Saved per Unit- MLA",Algorithms!$A:$A,0)),0)*X314</f>
        <v>0</v>
      </c>
      <c r="CP314" s="266">
        <f ca="1">O314*IFERROR(INDEX(Algorithms!$G:$G,MATCH($C314&amp;"_Therm Saved per Unit- MLA",Algorithms!$A:$A,0)),0)*Y314</f>
        <v>0</v>
      </c>
      <c r="CQ314" s="266">
        <f ca="1">P314*IFERROR(INDEX(Algorithms!$G:$G,MATCH($C314&amp;"_Therm Saved per Unit- MLA",Algorithms!$A:$A,0)),0)*Z314</f>
        <v>0</v>
      </c>
      <c r="CR314" s="266">
        <f ca="1">Q314*IFERROR(INDEX(Algorithms!$G:$G,MATCH($C314&amp;"_Therm Saved per Unit- MLA",Algorithms!$A:$A,0)),0)*AA314</f>
        <v>0</v>
      </c>
      <c r="CS314" s="266">
        <f ca="1">IFERROR(INDEX(Algorithms!$G:$G,MATCH($C314&amp;"_Lifetime (years)",Algorithms!$A:$A,0)),0)</f>
        <v>15</v>
      </c>
      <c r="CT314" s="266">
        <f ca="1">IFERROR(INDEX(Algorithms!$G:$G,MATCH($C314&amp;"_Lifetime (years) - Remaining Years",Algorithms!$A:$A,0)),0)</f>
        <v>0</v>
      </c>
      <c r="CU314" s="266">
        <f t="shared" ca="1" si="201"/>
        <v>0</v>
      </c>
      <c r="CV314" s="266">
        <f t="shared" ca="1" si="202"/>
        <v>0</v>
      </c>
      <c r="CW314" s="266">
        <f t="shared" ca="1" si="203"/>
        <v>0</v>
      </c>
      <c r="CX314" s="266">
        <f t="shared" ca="1" si="204"/>
        <v>0</v>
      </c>
    </row>
    <row r="315" spans="2:102" s="47" customFormat="1" ht="18" customHeight="1" x14ac:dyDescent="0.25">
      <c r="B315" t="str">
        <f t="shared" si="205"/>
        <v>NSG_Business_C&amp;I_Rebates_Pipe Insulation_Steam Med Valve_CI</v>
      </c>
      <c r="C315" s="47" t="str">
        <f t="shared" si="166"/>
        <v>Pipe Insulation_Steam Med Valve_CI</v>
      </c>
      <c r="D315" s="270" t="s">
        <v>1787</v>
      </c>
      <c r="E315" s="270" t="s">
        <v>3</v>
      </c>
      <c r="F315" s="270" t="s">
        <v>1427</v>
      </c>
      <c r="G315" s="270" t="s">
        <v>1429</v>
      </c>
      <c r="H315" s="270" t="s">
        <v>404</v>
      </c>
      <c r="I315" s="270" t="s">
        <v>966</v>
      </c>
      <c r="J315" s="270" t="s">
        <v>1159</v>
      </c>
      <c r="K315" s="263">
        <v>1</v>
      </c>
      <c r="L315" s="263" t="str">
        <f ca="1">IFERROR(INDEX(Algorithms!J:J,MATCH($C315&amp;"_Therm Saved per Unit",Algorithms!$A:$A,0)),"n/a")</f>
        <v>"3 - Pipe Insulation" worksheet</v>
      </c>
      <c r="M315" s="263" t="str">
        <f>IFERROR(INDEX('Measure Level Detail'!$N:$N,MATCH($B315,'Measure Level Detail'!$B:$B,0)),0)</f>
        <v>each</v>
      </c>
      <c r="N315" s="271">
        <f>IFERROR(INDEX('Measure Level Detail'!$P:$P,MATCH($B315&amp;"_"&amp;N$3,'Measure Level Detail'!$C:$C,0)),0)</f>
        <v>0</v>
      </c>
      <c r="O315" s="271">
        <f>IFERROR(INDEX('Measure Level Detail'!$P:$P,MATCH($B315&amp;"_"&amp;O$3,'Measure Level Detail'!$C:$C,0)),0)</f>
        <v>0</v>
      </c>
      <c r="P315" s="271">
        <f>IFERROR(INDEX('Measure Level Detail'!$P:$P,MATCH($B315&amp;"_"&amp;P$3,'Measure Level Detail'!$C:$C,0)),0)</f>
        <v>0</v>
      </c>
      <c r="Q315" s="271">
        <f>IFERROR(INDEX('Measure Level Detail'!$P:$P,MATCH($B315&amp;"_"&amp;Q$3,'Measure Level Detail'!$C:$C,0)),0)</f>
        <v>0</v>
      </c>
      <c r="R315" s="263">
        <f ca="1">IFERROR(INDEX(Algorithms!K:K,MATCH($C315&amp;"_Therm Saved per Unit",Algorithms!$A:$A,0)),"n/a")</f>
        <v>0</v>
      </c>
      <c r="S315" s="262"/>
      <c r="T315" s="272">
        <v>49.002251273013741</v>
      </c>
      <c r="U315" s="272">
        <v>49.002251273013741</v>
      </c>
      <c r="V315" s="272">
        <v>49.002251273013741</v>
      </c>
      <c r="W315" s="272">
        <v>49.002251273013741</v>
      </c>
      <c r="X315" s="273">
        <f>IFERROR(INDEX('Measure Level Detail'!$R:$R,MATCH($B315&amp;"_"&amp;X$3,'Measure Level Detail'!$C:$C,0)),0)</f>
        <v>0.91</v>
      </c>
      <c r="Y315" s="273">
        <f>IFERROR(INDEX('Measure Level Detail'!$R:$R,MATCH($B315&amp;"_"&amp;Y$3,'Measure Level Detail'!$C:$C,0)),0)</f>
        <v>0.91</v>
      </c>
      <c r="Z315" s="273">
        <f>IFERROR(INDEX('Measure Level Detail'!$R:$R,MATCH($B315&amp;"_"&amp;Z$3,'Measure Level Detail'!$C:$C,0)),0)</f>
        <v>0.91</v>
      </c>
      <c r="AA315" s="273">
        <f>IFERROR(INDEX('Measure Level Detail'!$R:$R,MATCH($B315&amp;"_"&amp;AA$3,'Measure Level Detail'!$C:$C,0)),0)</f>
        <v>0.91</v>
      </c>
      <c r="AB315" s="266">
        <f t="shared" si="167"/>
        <v>0</v>
      </c>
      <c r="AC315" s="266">
        <f t="shared" si="168"/>
        <v>0</v>
      </c>
      <c r="AD315" s="266">
        <f t="shared" si="169"/>
        <v>0</v>
      </c>
      <c r="AE315" s="266">
        <f t="shared" si="170"/>
        <v>0</v>
      </c>
      <c r="AF315" s="266">
        <f t="shared" si="171"/>
        <v>0</v>
      </c>
      <c r="AG315" s="274">
        <v>0.91</v>
      </c>
      <c r="AH315" s="274">
        <v>0.91</v>
      </c>
      <c r="AI315" s="274">
        <v>0.91</v>
      </c>
      <c r="AJ315" s="274">
        <v>0.91</v>
      </c>
      <c r="AK315" s="274">
        <f t="shared" si="172"/>
        <v>0.91</v>
      </c>
      <c r="AL315" s="274">
        <f t="shared" si="173"/>
        <v>0.91</v>
      </c>
      <c r="AM315" s="274">
        <f t="shared" si="174"/>
        <v>0.91</v>
      </c>
      <c r="AN315" s="274">
        <f t="shared" si="175"/>
        <v>0.91</v>
      </c>
      <c r="AO315" s="262"/>
      <c r="AP315" s="262"/>
      <c r="AQ315" s="267">
        <v>49.002251273013741</v>
      </c>
      <c r="AR315" s="262"/>
      <c r="AS315" s="266">
        <f t="shared" si="176"/>
        <v>0</v>
      </c>
      <c r="AT315" s="264">
        <f t="shared" si="177"/>
        <v>0</v>
      </c>
      <c r="AU315" s="262"/>
      <c r="AV315" s="262"/>
      <c r="AW315" s="265">
        <v>49.002251273013741</v>
      </c>
      <c r="AX315" s="164" t="s">
        <v>1469</v>
      </c>
      <c r="AY315" s="266">
        <v>0</v>
      </c>
      <c r="AZ315" s="266">
        <f t="shared" si="178"/>
        <v>0</v>
      </c>
      <c r="BA315" s="264">
        <f t="shared" si="179"/>
        <v>0</v>
      </c>
      <c r="BB315" s="262"/>
      <c r="BC315" s="262"/>
      <c r="BD315" s="265">
        <f ca="1">IFERROR(INDEX(Algorithms!$G:$G,MATCH($C315&amp;"_Therm Saved per Unit",Algorithms!$A:$A,0)),0)</f>
        <v>49.002251273013741</v>
      </c>
      <c r="BE315" s="164" t="str">
        <f ca="1">IFERROR(INDEX('v12 Revisions'!$P$29:$P$186, MATCH('Measure-Level Adj Gas'!$L315, 'v12 Revisions'!$D$29:$D$186,0)),"")</f>
        <v/>
      </c>
      <c r="BF315" s="266">
        <f t="shared" ca="1" si="180"/>
        <v>0</v>
      </c>
      <c r="BG315" s="264">
        <f t="shared" ca="1" si="181"/>
        <v>0</v>
      </c>
      <c r="BH315" s="262"/>
      <c r="BI315" s="262"/>
      <c r="BJ315" s="265">
        <f ca="1">IFERROR(INDEX(Algorithms!$G:$G,MATCH($C315&amp;"_Therm Saved per Unit",Algorithms!$A:$A,0)),0)</f>
        <v>49.002251273013741</v>
      </c>
      <c r="BK315" s="164"/>
      <c r="BL315" s="266">
        <f t="shared" ca="1" si="182"/>
        <v>0</v>
      </c>
      <c r="BM315" s="264">
        <f t="shared" ca="1" si="183"/>
        <v>0</v>
      </c>
      <c r="BN315" s="266">
        <f t="shared" si="184"/>
        <v>0</v>
      </c>
      <c r="BO315" s="266">
        <f t="shared" si="185"/>
        <v>0</v>
      </c>
      <c r="BP315" s="266">
        <f t="shared" ca="1" si="186"/>
        <v>0</v>
      </c>
      <c r="BQ315" s="266">
        <f t="shared" ca="1" si="187"/>
        <v>0</v>
      </c>
      <c r="BR315" s="268">
        <f t="shared" ca="1" si="188"/>
        <v>0</v>
      </c>
      <c r="BS315" s="262" t="s">
        <v>99</v>
      </c>
      <c r="BT315" s="277"/>
      <c r="BW315" s="266">
        <f t="shared" si="189"/>
        <v>0</v>
      </c>
      <c r="BX315" s="266">
        <f t="shared" si="190"/>
        <v>0</v>
      </c>
      <c r="BY315" s="266">
        <f t="shared" si="191"/>
        <v>0</v>
      </c>
      <c r="BZ315" s="266">
        <f t="shared" si="192"/>
        <v>0</v>
      </c>
      <c r="CA315" s="266">
        <f ca="1">N315*IFERROR(INDEX(Algorithms!$G:$G,MATCH($C315&amp;"_Therm Saved per Unit- MLA",Algorithms!$A:$A,0)),0)*X315</f>
        <v>0</v>
      </c>
      <c r="CB315" s="266">
        <f ca="1">O315*IFERROR(INDEX(Algorithms!$G:$G,MATCH($C315&amp;"_Therm Saved per Unit- MLA",Algorithms!$A:$A,0)),0)*Y315</f>
        <v>0</v>
      </c>
      <c r="CC315" s="266">
        <f ca="1">P315*IFERROR(INDEX(Algorithms!$G:$G,MATCH($C315&amp;"_Therm Saved per Unit- MLA",Algorithms!$A:$A,0)),0)*Z315</f>
        <v>0</v>
      </c>
      <c r="CD315" s="266">
        <f ca="1">Q315*IFERROR(INDEX(Algorithms!$G:$G,MATCH($C315&amp;"_Therm Saved per Unit- MLA",Algorithms!$A:$A,0)),0)*AA315</f>
        <v>0</v>
      </c>
      <c r="CE315" s="266">
        <f ca="1">IFERROR(INDEX(Algorithms!$G:$G,MATCH($C315&amp;"_Lifetime (years)",Algorithms!$A:$A,0)),0)</f>
        <v>15</v>
      </c>
      <c r="CF315" s="266">
        <f ca="1">IFERROR(INDEX(Algorithms!$G:$G,MATCH($C315&amp;"_Lifetime (years) - Remaining Years",Algorithms!$A:$A,0)),0)</f>
        <v>0</v>
      </c>
      <c r="CG315" s="266">
        <f t="shared" ca="1" si="193"/>
        <v>0</v>
      </c>
      <c r="CH315" s="266">
        <f t="shared" ca="1" si="194"/>
        <v>0</v>
      </c>
      <c r="CI315" s="266">
        <f t="shared" ca="1" si="195"/>
        <v>0</v>
      </c>
      <c r="CJ315" s="266">
        <f t="shared" ca="1" si="196"/>
        <v>0</v>
      </c>
      <c r="CK315" s="266">
        <f t="shared" si="197"/>
        <v>0</v>
      </c>
      <c r="CL315" s="266">
        <f t="shared" si="198"/>
        <v>0</v>
      </c>
      <c r="CM315" s="266">
        <f t="shared" ca="1" si="199"/>
        <v>0</v>
      </c>
      <c r="CN315" s="266">
        <f t="shared" ca="1" si="200"/>
        <v>0</v>
      </c>
      <c r="CO315" s="266">
        <f ca="1">N315*IFERROR(INDEX(Algorithms!$G:$G,MATCH($C315&amp;"_Therm Saved per Unit- MLA",Algorithms!$A:$A,0)),0)*X315</f>
        <v>0</v>
      </c>
      <c r="CP315" s="266">
        <f ca="1">O315*IFERROR(INDEX(Algorithms!$G:$G,MATCH($C315&amp;"_Therm Saved per Unit- MLA",Algorithms!$A:$A,0)),0)*Y315</f>
        <v>0</v>
      </c>
      <c r="CQ315" s="266">
        <f ca="1">P315*IFERROR(INDEX(Algorithms!$G:$G,MATCH($C315&amp;"_Therm Saved per Unit- MLA",Algorithms!$A:$A,0)),0)*Z315</f>
        <v>0</v>
      </c>
      <c r="CR315" s="266">
        <f ca="1">Q315*IFERROR(INDEX(Algorithms!$G:$G,MATCH($C315&amp;"_Therm Saved per Unit- MLA",Algorithms!$A:$A,0)),0)*AA315</f>
        <v>0</v>
      </c>
      <c r="CS315" s="266">
        <f ca="1">IFERROR(INDEX(Algorithms!$G:$G,MATCH($C315&amp;"_Lifetime (years)",Algorithms!$A:$A,0)),0)</f>
        <v>15</v>
      </c>
      <c r="CT315" s="266">
        <f ca="1">IFERROR(INDEX(Algorithms!$G:$G,MATCH($C315&amp;"_Lifetime (years) - Remaining Years",Algorithms!$A:$A,0)),0)</f>
        <v>0</v>
      </c>
      <c r="CU315" s="266">
        <f t="shared" ca="1" si="201"/>
        <v>0</v>
      </c>
      <c r="CV315" s="266">
        <f t="shared" ca="1" si="202"/>
        <v>0</v>
      </c>
      <c r="CW315" s="266">
        <f t="shared" ca="1" si="203"/>
        <v>0</v>
      </c>
      <c r="CX315" s="266">
        <f t="shared" ca="1" si="204"/>
        <v>0</v>
      </c>
    </row>
    <row r="316" spans="2:102" s="47" customFormat="1" ht="18" customHeight="1" x14ac:dyDescent="0.25">
      <c r="B316" t="str">
        <f t="shared" si="205"/>
        <v>NSG_Business_C&amp;I_Rebates_Pipe Insulation_Steam Large Valve_CI</v>
      </c>
      <c r="C316" s="47" t="str">
        <f t="shared" si="166"/>
        <v>Pipe Insulation_Steam Large Valve_CI</v>
      </c>
      <c r="D316" s="270" t="s">
        <v>1787</v>
      </c>
      <c r="E316" s="270" t="s">
        <v>3</v>
      </c>
      <c r="F316" s="270" t="s">
        <v>1427</v>
      </c>
      <c r="G316" s="270" t="s">
        <v>1429</v>
      </c>
      <c r="H316" s="270" t="s">
        <v>404</v>
      </c>
      <c r="I316" s="270" t="s">
        <v>967</v>
      </c>
      <c r="J316" s="270" t="s">
        <v>1159</v>
      </c>
      <c r="K316" s="263">
        <v>1</v>
      </c>
      <c r="L316" s="263" t="str">
        <f ca="1">IFERROR(INDEX(Algorithms!J:J,MATCH($C316&amp;"_Therm Saved per Unit",Algorithms!$A:$A,0)),"n/a")</f>
        <v>"3 - Pipe Insulation" worksheet</v>
      </c>
      <c r="M316" s="263" t="str">
        <f>IFERROR(INDEX('Measure Level Detail'!$N:$N,MATCH($B316,'Measure Level Detail'!$B:$B,0)),0)</f>
        <v>each</v>
      </c>
      <c r="N316" s="271">
        <f>IFERROR(INDEX('Measure Level Detail'!$P:$P,MATCH($B316&amp;"_"&amp;N$3,'Measure Level Detail'!$C:$C,0)),0)</f>
        <v>0</v>
      </c>
      <c r="O316" s="271">
        <f>IFERROR(INDEX('Measure Level Detail'!$P:$P,MATCH($B316&amp;"_"&amp;O$3,'Measure Level Detail'!$C:$C,0)),0)</f>
        <v>0</v>
      </c>
      <c r="P316" s="271">
        <f>IFERROR(INDEX('Measure Level Detail'!$P:$P,MATCH($B316&amp;"_"&amp;P$3,'Measure Level Detail'!$C:$C,0)),0)</f>
        <v>0</v>
      </c>
      <c r="Q316" s="271">
        <f>IFERROR(INDEX('Measure Level Detail'!$P:$P,MATCH($B316&amp;"_"&amp;Q$3,'Measure Level Detail'!$C:$C,0)),0)</f>
        <v>0</v>
      </c>
      <c r="R316" s="263">
        <f ca="1">IFERROR(INDEX(Algorithms!K:K,MATCH($C316&amp;"_Therm Saved per Unit",Algorithms!$A:$A,0)),"n/a")</f>
        <v>0</v>
      </c>
      <c r="S316" s="262"/>
      <c r="T316" s="272">
        <v>107.52607289087437</v>
      </c>
      <c r="U316" s="272">
        <v>107.52607289087437</v>
      </c>
      <c r="V316" s="272">
        <v>107.52607289087437</v>
      </c>
      <c r="W316" s="272">
        <v>107.52607289087437</v>
      </c>
      <c r="X316" s="273">
        <f>IFERROR(INDEX('Measure Level Detail'!$R:$R,MATCH($B316&amp;"_"&amp;X$3,'Measure Level Detail'!$C:$C,0)),0)</f>
        <v>0.91</v>
      </c>
      <c r="Y316" s="273">
        <f>IFERROR(INDEX('Measure Level Detail'!$R:$R,MATCH($B316&amp;"_"&amp;Y$3,'Measure Level Detail'!$C:$C,0)),0)</f>
        <v>0.91</v>
      </c>
      <c r="Z316" s="273">
        <f>IFERROR(INDEX('Measure Level Detail'!$R:$R,MATCH($B316&amp;"_"&amp;Z$3,'Measure Level Detail'!$C:$C,0)),0)</f>
        <v>0.91</v>
      </c>
      <c r="AA316" s="273">
        <f>IFERROR(INDEX('Measure Level Detail'!$R:$R,MATCH($B316&amp;"_"&amp;AA$3,'Measure Level Detail'!$C:$C,0)),0)</f>
        <v>0.91</v>
      </c>
      <c r="AB316" s="266">
        <f t="shared" si="167"/>
        <v>0</v>
      </c>
      <c r="AC316" s="266">
        <f t="shared" si="168"/>
        <v>0</v>
      </c>
      <c r="AD316" s="266">
        <f t="shared" si="169"/>
        <v>0</v>
      </c>
      <c r="AE316" s="266">
        <f t="shared" si="170"/>
        <v>0</v>
      </c>
      <c r="AF316" s="266">
        <f t="shared" si="171"/>
        <v>0</v>
      </c>
      <c r="AG316" s="274">
        <v>0.91</v>
      </c>
      <c r="AH316" s="274">
        <v>0.91</v>
      </c>
      <c r="AI316" s="274">
        <v>0.91</v>
      </c>
      <c r="AJ316" s="274">
        <v>0.91</v>
      </c>
      <c r="AK316" s="274">
        <f t="shared" si="172"/>
        <v>0.91</v>
      </c>
      <c r="AL316" s="274">
        <f t="shared" si="173"/>
        <v>0.91</v>
      </c>
      <c r="AM316" s="274">
        <f t="shared" si="174"/>
        <v>0.91</v>
      </c>
      <c r="AN316" s="274">
        <f t="shared" si="175"/>
        <v>0.91</v>
      </c>
      <c r="AO316" s="262"/>
      <c r="AP316" s="262"/>
      <c r="AQ316" s="267">
        <v>107.52607289087437</v>
      </c>
      <c r="AR316" s="262"/>
      <c r="AS316" s="266">
        <f t="shared" si="176"/>
        <v>0</v>
      </c>
      <c r="AT316" s="264">
        <f t="shared" si="177"/>
        <v>0</v>
      </c>
      <c r="AU316" s="262"/>
      <c r="AV316" s="262"/>
      <c r="AW316" s="265">
        <v>107.52607289087437</v>
      </c>
      <c r="AX316" s="164" t="s">
        <v>1469</v>
      </c>
      <c r="AY316" s="266">
        <v>0</v>
      </c>
      <c r="AZ316" s="266">
        <f t="shared" si="178"/>
        <v>0</v>
      </c>
      <c r="BA316" s="264">
        <f t="shared" si="179"/>
        <v>0</v>
      </c>
      <c r="BB316" s="262"/>
      <c r="BC316" s="262"/>
      <c r="BD316" s="265">
        <f ca="1">IFERROR(INDEX(Algorithms!$G:$G,MATCH($C316&amp;"_Therm Saved per Unit",Algorithms!$A:$A,0)),0)</f>
        <v>107.52607289087437</v>
      </c>
      <c r="BE316" s="164" t="str">
        <f ca="1">IFERROR(INDEX('v12 Revisions'!$P$29:$P$186, MATCH('Measure-Level Adj Gas'!$L316, 'v12 Revisions'!$D$29:$D$186,0)),"")</f>
        <v/>
      </c>
      <c r="BF316" s="266">
        <f t="shared" ca="1" si="180"/>
        <v>0</v>
      </c>
      <c r="BG316" s="264">
        <f t="shared" ca="1" si="181"/>
        <v>0</v>
      </c>
      <c r="BH316" s="262"/>
      <c r="BI316" s="262"/>
      <c r="BJ316" s="265">
        <f ca="1">IFERROR(INDEX(Algorithms!$G:$G,MATCH($C316&amp;"_Therm Saved per Unit",Algorithms!$A:$A,0)),0)</f>
        <v>107.52607289087437</v>
      </c>
      <c r="BK316" s="164"/>
      <c r="BL316" s="266">
        <f t="shared" ca="1" si="182"/>
        <v>0</v>
      </c>
      <c r="BM316" s="264">
        <f t="shared" ca="1" si="183"/>
        <v>0</v>
      </c>
      <c r="BN316" s="266">
        <f t="shared" si="184"/>
        <v>0</v>
      </c>
      <c r="BO316" s="266">
        <f t="shared" si="185"/>
        <v>0</v>
      </c>
      <c r="BP316" s="266">
        <f t="shared" ca="1" si="186"/>
        <v>0</v>
      </c>
      <c r="BQ316" s="266">
        <f t="shared" ca="1" si="187"/>
        <v>0</v>
      </c>
      <c r="BR316" s="268">
        <f t="shared" ca="1" si="188"/>
        <v>0</v>
      </c>
      <c r="BS316" s="262" t="s">
        <v>99</v>
      </c>
      <c r="BT316" s="277"/>
      <c r="BW316" s="266">
        <f t="shared" si="189"/>
        <v>0</v>
      </c>
      <c r="BX316" s="266">
        <f t="shared" si="190"/>
        <v>0</v>
      </c>
      <c r="BY316" s="266">
        <f t="shared" si="191"/>
        <v>0</v>
      </c>
      <c r="BZ316" s="266">
        <f t="shared" si="192"/>
        <v>0</v>
      </c>
      <c r="CA316" s="266">
        <f ca="1">N316*IFERROR(INDEX(Algorithms!$G:$G,MATCH($C316&amp;"_Therm Saved per Unit- MLA",Algorithms!$A:$A,0)),0)*X316</f>
        <v>0</v>
      </c>
      <c r="CB316" s="266">
        <f ca="1">O316*IFERROR(INDEX(Algorithms!$G:$G,MATCH($C316&amp;"_Therm Saved per Unit- MLA",Algorithms!$A:$A,0)),0)*Y316</f>
        <v>0</v>
      </c>
      <c r="CC316" s="266">
        <f ca="1">P316*IFERROR(INDEX(Algorithms!$G:$G,MATCH($C316&amp;"_Therm Saved per Unit- MLA",Algorithms!$A:$A,0)),0)*Z316</f>
        <v>0</v>
      </c>
      <c r="CD316" s="266">
        <f ca="1">Q316*IFERROR(INDEX(Algorithms!$G:$G,MATCH($C316&amp;"_Therm Saved per Unit- MLA",Algorithms!$A:$A,0)),0)*AA316</f>
        <v>0</v>
      </c>
      <c r="CE316" s="266">
        <f ca="1">IFERROR(INDEX(Algorithms!$G:$G,MATCH($C316&amp;"_Lifetime (years)",Algorithms!$A:$A,0)),0)</f>
        <v>15</v>
      </c>
      <c r="CF316" s="266">
        <f ca="1">IFERROR(INDEX(Algorithms!$G:$G,MATCH($C316&amp;"_Lifetime (years) - Remaining Years",Algorithms!$A:$A,0)),0)</f>
        <v>0</v>
      </c>
      <c r="CG316" s="266">
        <f t="shared" ca="1" si="193"/>
        <v>0</v>
      </c>
      <c r="CH316" s="266">
        <f t="shared" ca="1" si="194"/>
        <v>0</v>
      </c>
      <c r="CI316" s="266">
        <f t="shared" ca="1" si="195"/>
        <v>0</v>
      </c>
      <c r="CJ316" s="266">
        <f t="shared" ca="1" si="196"/>
        <v>0</v>
      </c>
      <c r="CK316" s="266">
        <f t="shared" si="197"/>
        <v>0</v>
      </c>
      <c r="CL316" s="266">
        <f t="shared" si="198"/>
        <v>0</v>
      </c>
      <c r="CM316" s="266">
        <f t="shared" ca="1" si="199"/>
        <v>0</v>
      </c>
      <c r="CN316" s="266">
        <f t="shared" ca="1" si="200"/>
        <v>0</v>
      </c>
      <c r="CO316" s="266">
        <f ca="1">N316*IFERROR(INDEX(Algorithms!$G:$G,MATCH($C316&amp;"_Therm Saved per Unit- MLA",Algorithms!$A:$A,0)),0)*X316</f>
        <v>0</v>
      </c>
      <c r="CP316" s="266">
        <f ca="1">O316*IFERROR(INDEX(Algorithms!$G:$G,MATCH($C316&amp;"_Therm Saved per Unit- MLA",Algorithms!$A:$A,0)),0)*Y316</f>
        <v>0</v>
      </c>
      <c r="CQ316" s="266">
        <f ca="1">P316*IFERROR(INDEX(Algorithms!$G:$G,MATCH($C316&amp;"_Therm Saved per Unit- MLA",Algorithms!$A:$A,0)),0)*Z316</f>
        <v>0</v>
      </c>
      <c r="CR316" s="266">
        <f ca="1">Q316*IFERROR(INDEX(Algorithms!$G:$G,MATCH($C316&amp;"_Therm Saved per Unit- MLA",Algorithms!$A:$A,0)),0)*AA316</f>
        <v>0</v>
      </c>
      <c r="CS316" s="266">
        <f ca="1">IFERROR(INDEX(Algorithms!$G:$G,MATCH($C316&amp;"_Lifetime (years)",Algorithms!$A:$A,0)),0)</f>
        <v>15</v>
      </c>
      <c r="CT316" s="266">
        <f ca="1">IFERROR(INDEX(Algorithms!$G:$G,MATCH($C316&amp;"_Lifetime (years) - Remaining Years",Algorithms!$A:$A,0)),0)</f>
        <v>0</v>
      </c>
      <c r="CU316" s="266">
        <f t="shared" ca="1" si="201"/>
        <v>0</v>
      </c>
      <c r="CV316" s="266">
        <f t="shared" ca="1" si="202"/>
        <v>0</v>
      </c>
      <c r="CW316" s="266">
        <f t="shared" ca="1" si="203"/>
        <v>0</v>
      </c>
      <c r="CX316" s="266">
        <f t="shared" ca="1" si="204"/>
        <v>0</v>
      </c>
    </row>
    <row r="317" spans="2:102" s="47" customFormat="1" ht="18" customHeight="1" x14ac:dyDescent="0.25">
      <c r="B317" t="str">
        <f t="shared" si="205"/>
        <v>NSG_Business_C&amp;I_Rebates_Pipe Insulation_Steam X-Large Valve_CI</v>
      </c>
      <c r="C317" s="47" t="str">
        <f t="shared" si="166"/>
        <v>Pipe Insulation_Steam X-Large Valve_CI</v>
      </c>
      <c r="D317" s="270" t="s">
        <v>1787</v>
      </c>
      <c r="E317" s="270" t="s">
        <v>3</v>
      </c>
      <c r="F317" s="270" t="s">
        <v>1427</v>
      </c>
      <c r="G317" s="270" t="s">
        <v>1429</v>
      </c>
      <c r="H317" s="270" t="s">
        <v>404</v>
      </c>
      <c r="I317" s="270" t="s">
        <v>968</v>
      </c>
      <c r="J317" s="270" t="s">
        <v>1159</v>
      </c>
      <c r="K317" s="263">
        <v>1</v>
      </c>
      <c r="L317" s="263" t="str">
        <f ca="1">IFERROR(INDEX(Algorithms!J:J,MATCH($C317&amp;"_Therm Saved per Unit",Algorithms!$A:$A,0)),"n/a")</f>
        <v>"3 - Pipe Insulation" worksheet</v>
      </c>
      <c r="M317" s="263" t="str">
        <f>IFERROR(INDEX('Measure Level Detail'!$N:$N,MATCH($B317,'Measure Level Detail'!$B:$B,0)),0)</f>
        <v>each</v>
      </c>
      <c r="N317" s="271">
        <f>IFERROR(INDEX('Measure Level Detail'!$P:$P,MATCH($B317&amp;"_"&amp;N$3,'Measure Level Detail'!$C:$C,0)),0)</f>
        <v>0</v>
      </c>
      <c r="O317" s="271">
        <f>IFERROR(INDEX('Measure Level Detail'!$P:$P,MATCH($B317&amp;"_"&amp;O$3,'Measure Level Detail'!$C:$C,0)),0)</f>
        <v>0</v>
      </c>
      <c r="P317" s="271">
        <f>IFERROR(INDEX('Measure Level Detail'!$P:$P,MATCH($B317&amp;"_"&amp;P$3,'Measure Level Detail'!$C:$C,0)),0)</f>
        <v>0</v>
      </c>
      <c r="Q317" s="271">
        <f>IFERROR(INDEX('Measure Level Detail'!$P:$P,MATCH($B317&amp;"_"&amp;Q$3,'Measure Level Detail'!$C:$C,0)),0)</f>
        <v>0</v>
      </c>
      <c r="R317" s="263">
        <f ca="1">IFERROR(INDEX(Algorithms!K:K,MATCH($C317&amp;"_Therm Saved per Unit",Algorithms!$A:$A,0)),"n/a")</f>
        <v>0</v>
      </c>
      <c r="S317" s="262"/>
      <c r="T317" s="272">
        <v>175.06254164158375</v>
      </c>
      <c r="U317" s="272">
        <v>175.06254164158375</v>
      </c>
      <c r="V317" s="272">
        <v>175.06254164158375</v>
      </c>
      <c r="W317" s="272">
        <v>175.06254164158375</v>
      </c>
      <c r="X317" s="273">
        <f>IFERROR(INDEX('Measure Level Detail'!$R:$R,MATCH($B317&amp;"_"&amp;X$3,'Measure Level Detail'!$C:$C,0)),0)</f>
        <v>0.91</v>
      </c>
      <c r="Y317" s="273">
        <f>IFERROR(INDEX('Measure Level Detail'!$R:$R,MATCH($B317&amp;"_"&amp;Y$3,'Measure Level Detail'!$C:$C,0)),0)</f>
        <v>0.91</v>
      </c>
      <c r="Z317" s="273">
        <f>IFERROR(INDEX('Measure Level Detail'!$R:$R,MATCH($B317&amp;"_"&amp;Z$3,'Measure Level Detail'!$C:$C,0)),0)</f>
        <v>0.91</v>
      </c>
      <c r="AA317" s="273">
        <f>IFERROR(INDEX('Measure Level Detail'!$R:$R,MATCH($B317&amp;"_"&amp;AA$3,'Measure Level Detail'!$C:$C,0)),0)</f>
        <v>0.91</v>
      </c>
      <c r="AB317" s="266">
        <f t="shared" si="167"/>
        <v>0</v>
      </c>
      <c r="AC317" s="266">
        <f t="shared" si="168"/>
        <v>0</v>
      </c>
      <c r="AD317" s="266">
        <f t="shared" si="169"/>
        <v>0</v>
      </c>
      <c r="AE317" s="266">
        <f t="shared" si="170"/>
        <v>0</v>
      </c>
      <c r="AF317" s="266">
        <f t="shared" si="171"/>
        <v>0</v>
      </c>
      <c r="AG317" s="274">
        <v>0.91</v>
      </c>
      <c r="AH317" s="274">
        <v>0.91</v>
      </c>
      <c r="AI317" s="274">
        <v>0.91</v>
      </c>
      <c r="AJ317" s="274">
        <v>0.91</v>
      </c>
      <c r="AK317" s="274">
        <f t="shared" si="172"/>
        <v>0.91</v>
      </c>
      <c r="AL317" s="274">
        <f t="shared" si="173"/>
        <v>0.91</v>
      </c>
      <c r="AM317" s="274">
        <f t="shared" si="174"/>
        <v>0.91</v>
      </c>
      <c r="AN317" s="274">
        <f t="shared" si="175"/>
        <v>0.91</v>
      </c>
      <c r="AO317" s="262"/>
      <c r="AP317" s="262"/>
      <c r="AQ317" s="267">
        <v>175.06254164158375</v>
      </c>
      <c r="AR317" s="262"/>
      <c r="AS317" s="266">
        <f t="shared" si="176"/>
        <v>0</v>
      </c>
      <c r="AT317" s="264">
        <f t="shared" si="177"/>
        <v>0</v>
      </c>
      <c r="AU317" s="262"/>
      <c r="AV317" s="262"/>
      <c r="AW317" s="265">
        <v>175.06254164158375</v>
      </c>
      <c r="AX317" s="164" t="s">
        <v>1469</v>
      </c>
      <c r="AY317" s="266">
        <v>0</v>
      </c>
      <c r="AZ317" s="266">
        <f t="shared" si="178"/>
        <v>0</v>
      </c>
      <c r="BA317" s="264">
        <f t="shared" si="179"/>
        <v>0</v>
      </c>
      <c r="BB317" s="262"/>
      <c r="BC317" s="262"/>
      <c r="BD317" s="265">
        <f ca="1">IFERROR(INDEX(Algorithms!$G:$G,MATCH($C317&amp;"_Therm Saved per Unit",Algorithms!$A:$A,0)),0)</f>
        <v>175.06254164158375</v>
      </c>
      <c r="BE317" s="164" t="str">
        <f ca="1">IFERROR(INDEX('v12 Revisions'!$P$29:$P$186, MATCH('Measure-Level Adj Gas'!$L317, 'v12 Revisions'!$D$29:$D$186,0)),"")</f>
        <v/>
      </c>
      <c r="BF317" s="266">
        <f t="shared" ca="1" si="180"/>
        <v>0</v>
      </c>
      <c r="BG317" s="264">
        <f t="shared" ca="1" si="181"/>
        <v>0</v>
      </c>
      <c r="BH317" s="262"/>
      <c r="BI317" s="262"/>
      <c r="BJ317" s="265">
        <f ca="1">IFERROR(INDEX(Algorithms!$G:$G,MATCH($C317&amp;"_Therm Saved per Unit",Algorithms!$A:$A,0)),0)</f>
        <v>175.06254164158375</v>
      </c>
      <c r="BK317" s="164"/>
      <c r="BL317" s="266">
        <f t="shared" ca="1" si="182"/>
        <v>0</v>
      </c>
      <c r="BM317" s="264">
        <f t="shared" ca="1" si="183"/>
        <v>0</v>
      </c>
      <c r="BN317" s="266">
        <f t="shared" si="184"/>
        <v>0</v>
      </c>
      <c r="BO317" s="266">
        <f t="shared" si="185"/>
        <v>0</v>
      </c>
      <c r="BP317" s="266">
        <f t="shared" ca="1" si="186"/>
        <v>0</v>
      </c>
      <c r="BQ317" s="266">
        <f t="shared" ca="1" si="187"/>
        <v>0</v>
      </c>
      <c r="BR317" s="268">
        <f t="shared" ca="1" si="188"/>
        <v>0</v>
      </c>
      <c r="BS317" s="262" t="s">
        <v>99</v>
      </c>
      <c r="BT317" s="277"/>
      <c r="BW317" s="266">
        <f t="shared" si="189"/>
        <v>0</v>
      </c>
      <c r="BX317" s="266">
        <f t="shared" si="190"/>
        <v>0</v>
      </c>
      <c r="BY317" s="266">
        <f t="shared" si="191"/>
        <v>0</v>
      </c>
      <c r="BZ317" s="266">
        <f t="shared" si="192"/>
        <v>0</v>
      </c>
      <c r="CA317" s="266">
        <f ca="1">N317*IFERROR(INDEX(Algorithms!$G:$G,MATCH($C317&amp;"_Therm Saved per Unit- MLA",Algorithms!$A:$A,0)),0)*X317</f>
        <v>0</v>
      </c>
      <c r="CB317" s="266">
        <f ca="1">O317*IFERROR(INDEX(Algorithms!$G:$G,MATCH($C317&amp;"_Therm Saved per Unit- MLA",Algorithms!$A:$A,0)),0)*Y317</f>
        <v>0</v>
      </c>
      <c r="CC317" s="266">
        <f ca="1">P317*IFERROR(INDEX(Algorithms!$G:$G,MATCH($C317&amp;"_Therm Saved per Unit- MLA",Algorithms!$A:$A,0)),0)*Z317</f>
        <v>0</v>
      </c>
      <c r="CD317" s="266">
        <f ca="1">Q317*IFERROR(INDEX(Algorithms!$G:$G,MATCH($C317&amp;"_Therm Saved per Unit- MLA",Algorithms!$A:$A,0)),0)*AA317</f>
        <v>0</v>
      </c>
      <c r="CE317" s="266">
        <f ca="1">IFERROR(INDEX(Algorithms!$G:$G,MATCH($C317&amp;"_Lifetime (years)",Algorithms!$A:$A,0)),0)</f>
        <v>15</v>
      </c>
      <c r="CF317" s="266">
        <f ca="1">IFERROR(INDEX(Algorithms!$G:$G,MATCH($C317&amp;"_Lifetime (years) - Remaining Years",Algorithms!$A:$A,0)),0)</f>
        <v>0</v>
      </c>
      <c r="CG317" s="266">
        <f t="shared" ca="1" si="193"/>
        <v>0</v>
      </c>
      <c r="CH317" s="266">
        <f t="shared" ca="1" si="194"/>
        <v>0</v>
      </c>
      <c r="CI317" s="266">
        <f t="shared" ca="1" si="195"/>
        <v>0</v>
      </c>
      <c r="CJ317" s="266">
        <f t="shared" ca="1" si="196"/>
        <v>0</v>
      </c>
      <c r="CK317" s="266">
        <f t="shared" si="197"/>
        <v>0</v>
      </c>
      <c r="CL317" s="266">
        <f t="shared" si="198"/>
        <v>0</v>
      </c>
      <c r="CM317" s="266">
        <f t="shared" ca="1" si="199"/>
        <v>0</v>
      </c>
      <c r="CN317" s="266">
        <f t="shared" ca="1" si="200"/>
        <v>0</v>
      </c>
      <c r="CO317" s="266">
        <f ca="1">N317*IFERROR(INDEX(Algorithms!$G:$G,MATCH($C317&amp;"_Therm Saved per Unit- MLA",Algorithms!$A:$A,0)),0)*X317</f>
        <v>0</v>
      </c>
      <c r="CP317" s="266">
        <f ca="1">O317*IFERROR(INDEX(Algorithms!$G:$G,MATCH($C317&amp;"_Therm Saved per Unit- MLA",Algorithms!$A:$A,0)),0)*Y317</f>
        <v>0</v>
      </c>
      <c r="CQ317" s="266">
        <f ca="1">P317*IFERROR(INDEX(Algorithms!$G:$G,MATCH($C317&amp;"_Therm Saved per Unit- MLA",Algorithms!$A:$A,0)),0)*Z317</f>
        <v>0</v>
      </c>
      <c r="CR317" s="266">
        <f ca="1">Q317*IFERROR(INDEX(Algorithms!$G:$G,MATCH($C317&amp;"_Therm Saved per Unit- MLA",Algorithms!$A:$A,0)),0)*AA317</f>
        <v>0</v>
      </c>
      <c r="CS317" s="266">
        <f ca="1">IFERROR(INDEX(Algorithms!$G:$G,MATCH($C317&amp;"_Lifetime (years)",Algorithms!$A:$A,0)),0)</f>
        <v>15</v>
      </c>
      <c r="CT317" s="266">
        <f ca="1">IFERROR(INDEX(Algorithms!$G:$G,MATCH($C317&amp;"_Lifetime (years) - Remaining Years",Algorithms!$A:$A,0)),0)</f>
        <v>0</v>
      </c>
      <c r="CU317" s="266">
        <f t="shared" ca="1" si="201"/>
        <v>0</v>
      </c>
      <c r="CV317" s="266">
        <f t="shared" ca="1" si="202"/>
        <v>0</v>
      </c>
      <c r="CW317" s="266">
        <f t="shared" ca="1" si="203"/>
        <v>0</v>
      </c>
      <c r="CX317" s="266">
        <f t="shared" ca="1" si="204"/>
        <v>0</v>
      </c>
    </row>
    <row r="318" spans="2:102" s="47" customFormat="1" ht="18" customHeight="1" x14ac:dyDescent="0.25">
      <c r="B318" t="str">
        <f t="shared" si="205"/>
        <v>NSG_Business_C&amp;I_Rebates_Pre-Rinse Sprayer_0_CI</v>
      </c>
      <c r="C318" s="47" t="str">
        <f t="shared" si="166"/>
        <v>Pre-Rinse Sprayer_0_CI</v>
      </c>
      <c r="D318" s="270" t="s">
        <v>1787</v>
      </c>
      <c r="E318" s="270" t="s">
        <v>3</v>
      </c>
      <c r="F318" s="270" t="s">
        <v>1427</v>
      </c>
      <c r="G318" s="270" t="s">
        <v>1429</v>
      </c>
      <c r="H318" s="270" t="s">
        <v>1219</v>
      </c>
      <c r="I318" s="270">
        <v>0</v>
      </c>
      <c r="J318" s="270" t="s">
        <v>1159</v>
      </c>
      <c r="K318" s="263">
        <v>1</v>
      </c>
      <c r="L318" s="263" t="str">
        <f ca="1">IFERROR(INDEX(Algorithms!J:J,MATCH($C318&amp;"_Therm Saved per Unit",Algorithms!$A:$A,0)),"n/a")</f>
        <v>4.2.11</v>
      </c>
      <c r="M318" s="263" t="str">
        <f>IFERROR(INDEX('Measure Level Detail'!$N:$N,MATCH($B318,'Measure Level Detail'!$B:$B,0)),0)</f>
        <v>each</v>
      </c>
      <c r="N318" s="271">
        <f>IFERROR(INDEX('Measure Level Detail'!$P:$P,MATCH($B318&amp;"_"&amp;N$3,'Measure Level Detail'!$C:$C,0)),0)</f>
        <v>0</v>
      </c>
      <c r="O318" s="271">
        <f>IFERROR(INDEX('Measure Level Detail'!$P:$P,MATCH($B318&amp;"_"&amp;O$3,'Measure Level Detail'!$C:$C,0)),0)</f>
        <v>0</v>
      </c>
      <c r="P318" s="271">
        <f>IFERROR(INDEX('Measure Level Detail'!$P:$P,MATCH($B318&amp;"_"&amp;P$3,'Measure Level Detail'!$C:$C,0)),0)</f>
        <v>0</v>
      </c>
      <c r="Q318" s="271">
        <f>IFERROR(INDEX('Measure Level Detail'!$P:$P,MATCH($B318&amp;"_"&amp;Q$3,'Measure Level Detail'!$C:$C,0)),0)</f>
        <v>0</v>
      </c>
      <c r="R318" s="263" t="str">
        <f ca="1">IFERROR(INDEX(Algorithms!K:K,MATCH($C318&amp;"_Therm Saved per Unit",Algorithms!$A:$A,0)),"n/a")</f>
        <v>CI-FSE-SPRY-V08-220101</v>
      </c>
      <c r="S318" s="262"/>
      <c r="T318" s="272">
        <v>235.77765120000004</v>
      </c>
      <c r="U318" s="272">
        <v>235.77765120000004</v>
      </c>
      <c r="V318" s="272">
        <v>235.77765120000004</v>
      </c>
      <c r="W318" s="272">
        <v>235.77765120000004</v>
      </c>
      <c r="X318" s="273">
        <f>IFERROR(INDEX('Measure Level Detail'!$R:$R,MATCH($B318&amp;"_"&amp;X$3,'Measure Level Detail'!$C:$C,0)),0)</f>
        <v>0.91</v>
      </c>
      <c r="Y318" s="273">
        <f>IFERROR(INDEX('Measure Level Detail'!$R:$R,MATCH($B318&amp;"_"&amp;Y$3,'Measure Level Detail'!$C:$C,0)),0)</f>
        <v>0.91</v>
      </c>
      <c r="Z318" s="273">
        <f>IFERROR(INDEX('Measure Level Detail'!$R:$R,MATCH($B318&amp;"_"&amp;Z$3,'Measure Level Detail'!$C:$C,0)),0)</f>
        <v>0.91</v>
      </c>
      <c r="AA318" s="273">
        <f>IFERROR(INDEX('Measure Level Detail'!$R:$R,MATCH($B318&amp;"_"&amp;AA$3,'Measure Level Detail'!$C:$C,0)),0)</f>
        <v>0.91</v>
      </c>
      <c r="AB318" s="266">
        <f t="shared" si="167"/>
        <v>0</v>
      </c>
      <c r="AC318" s="266">
        <f t="shared" si="168"/>
        <v>0</v>
      </c>
      <c r="AD318" s="266">
        <f t="shared" si="169"/>
        <v>0</v>
      </c>
      <c r="AE318" s="266">
        <f t="shared" si="170"/>
        <v>0</v>
      </c>
      <c r="AF318" s="266">
        <f t="shared" si="171"/>
        <v>0</v>
      </c>
      <c r="AG318" s="274">
        <v>0.91</v>
      </c>
      <c r="AH318" s="274">
        <v>0.91</v>
      </c>
      <c r="AI318" s="274">
        <v>0.91</v>
      </c>
      <c r="AJ318" s="274">
        <v>0.91</v>
      </c>
      <c r="AK318" s="274">
        <f t="shared" si="172"/>
        <v>0.91</v>
      </c>
      <c r="AL318" s="274">
        <f t="shared" si="173"/>
        <v>0.91</v>
      </c>
      <c r="AM318" s="274">
        <f t="shared" si="174"/>
        <v>0.91</v>
      </c>
      <c r="AN318" s="274">
        <f t="shared" si="175"/>
        <v>0.91</v>
      </c>
      <c r="AO318" s="262"/>
      <c r="AP318" s="262"/>
      <c r="AQ318" s="267">
        <v>247.22970854399998</v>
      </c>
      <c r="AR318" s="262"/>
      <c r="AS318" s="266">
        <f t="shared" si="176"/>
        <v>0</v>
      </c>
      <c r="AT318" s="264">
        <f t="shared" si="177"/>
        <v>0</v>
      </c>
      <c r="AU318" s="262"/>
      <c r="AV318" s="262"/>
      <c r="AW318" s="265">
        <v>247.22970854399998</v>
      </c>
      <c r="AX318" s="164" t="s">
        <v>1469</v>
      </c>
      <c r="AY318" s="266">
        <v>0</v>
      </c>
      <c r="AZ318" s="266">
        <f t="shared" si="178"/>
        <v>0</v>
      </c>
      <c r="BA318" s="264">
        <f t="shared" si="179"/>
        <v>0</v>
      </c>
      <c r="BB318" s="262"/>
      <c r="BC318" s="262"/>
      <c r="BD318" s="265">
        <f ca="1">IFERROR(INDEX(Algorithms!$G:$G,MATCH($C318&amp;"_Therm Saved per Unit",Algorithms!$A:$A,0)),0)</f>
        <v>247.22970854399998</v>
      </c>
      <c r="BE318" s="164" t="str">
        <f ca="1">IFERROR(INDEX('v12 Revisions'!$P$29:$P$186, MATCH('Measure-Level Adj Gas'!$L318, 'v12 Revisions'!$D$29:$D$186,0)),"")</f>
        <v/>
      </c>
      <c r="BF318" s="266">
        <f t="shared" ca="1" si="180"/>
        <v>0</v>
      </c>
      <c r="BG318" s="264">
        <f t="shared" ca="1" si="181"/>
        <v>0</v>
      </c>
      <c r="BH318" s="262"/>
      <c r="BI318" s="262"/>
      <c r="BJ318" s="265">
        <f ca="1">IFERROR(INDEX(Algorithms!$G:$G,MATCH($C318&amp;"_Therm Saved per Unit",Algorithms!$A:$A,0)),0)</f>
        <v>247.22970854399998</v>
      </c>
      <c r="BK318" s="164"/>
      <c r="BL318" s="266">
        <f t="shared" ca="1" si="182"/>
        <v>0</v>
      </c>
      <c r="BM318" s="264">
        <f t="shared" ca="1" si="183"/>
        <v>0</v>
      </c>
      <c r="BN318" s="266">
        <f t="shared" si="184"/>
        <v>0</v>
      </c>
      <c r="BO318" s="266">
        <f t="shared" si="185"/>
        <v>0</v>
      </c>
      <c r="BP318" s="266">
        <f t="shared" ca="1" si="186"/>
        <v>0</v>
      </c>
      <c r="BQ318" s="266">
        <f t="shared" ca="1" si="187"/>
        <v>0</v>
      </c>
      <c r="BR318" s="268">
        <f t="shared" ca="1" si="188"/>
        <v>0</v>
      </c>
      <c r="BS318" s="262" t="s">
        <v>99</v>
      </c>
      <c r="BT318" s="277"/>
      <c r="BW318" s="266">
        <f t="shared" si="189"/>
        <v>0</v>
      </c>
      <c r="BX318" s="266">
        <f t="shared" si="190"/>
        <v>0</v>
      </c>
      <c r="BY318" s="266">
        <f t="shared" si="191"/>
        <v>0</v>
      </c>
      <c r="BZ318" s="266">
        <f t="shared" si="192"/>
        <v>0</v>
      </c>
      <c r="CA318" s="266">
        <f ca="1">N318*IFERROR(INDEX(Algorithms!$G:$G,MATCH($C318&amp;"_Therm Saved per Unit- MLA",Algorithms!$A:$A,0)),0)*X318</f>
        <v>0</v>
      </c>
      <c r="CB318" s="266">
        <f ca="1">O318*IFERROR(INDEX(Algorithms!$G:$G,MATCH($C318&amp;"_Therm Saved per Unit- MLA",Algorithms!$A:$A,0)),0)*Y318</f>
        <v>0</v>
      </c>
      <c r="CC318" s="266">
        <f ca="1">P318*IFERROR(INDEX(Algorithms!$G:$G,MATCH($C318&amp;"_Therm Saved per Unit- MLA",Algorithms!$A:$A,0)),0)*Z318</f>
        <v>0</v>
      </c>
      <c r="CD318" s="266">
        <f ca="1">Q318*IFERROR(INDEX(Algorithms!$G:$G,MATCH($C318&amp;"_Therm Saved per Unit- MLA",Algorithms!$A:$A,0)),0)*AA318</f>
        <v>0</v>
      </c>
      <c r="CE318" s="266">
        <f ca="1">IFERROR(INDEX(Algorithms!$G:$G,MATCH($C318&amp;"_Lifetime (years)",Algorithms!$A:$A,0)),0)</f>
        <v>5</v>
      </c>
      <c r="CF318" s="266">
        <f ca="1">IFERROR(INDEX(Algorithms!$G:$G,MATCH($C318&amp;"_Lifetime (years) - Remaining Years",Algorithms!$A:$A,0)),0)</f>
        <v>0</v>
      </c>
      <c r="CG318" s="266">
        <f t="shared" ca="1" si="193"/>
        <v>0</v>
      </c>
      <c r="CH318" s="266">
        <f t="shared" ca="1" si="194"/>
        <v>0</v>
      </c>
      <c r="CI318" s="266">
        <f t="shared" ca="1" si="195"/>
        <v>0</v>
      </c>
      <c r="CJ318" s="266">
        <f t="shared" ca="1" si="196"/>
        <v>0</v>
      </c>
      <c r="CK318" s="266">
        <f t="shared" si="197"/>
        <v>0</v>
      </c>
      <c r="CL318" s="266">
        <f t="shared" si="198"/>
        <v>0</v>
      </c>
      <c r="CM318" s="266">
        <f t="shared" ca="1" si="199"/>
        <v>0</v>
      </c>
      <c r="CN318" s="266">
        <f t="shared" ca="1" si="200"/>
        <v>0</v>
      </c>
      <c r="CO318" s="266">
        <f ca="1">N318*IFERROR(INDEX(Algorithms!$G:$G,MATCH($C318&amp;"_Therm Saved per Unit- MLA",Algorithms!$A:$A,0)),0)*X318</f>
        <v>0</v>
      </c>
      <c r="CP318" s="266">
        <f ca="1">O318*IFERROR(INDEX(Algorithms!$G:$G,MATCH($C318&amp;"_Therm Saved per Unit- MLA",Algorithms!$A:$A,0)),0)*Y318</f>
        <v>0</v>
      </c>
      <c r="CQ318" s="266">
        <f ca="1">P318*IFERROR(INDEX(Algorithms!$G:$G,MATCH($C318&amp;"_Therm Saved per Unit- MLA",Algorithms!$A:$A,0)),0)*Z318</f>
        <v>0</v>
      </c>
      <c r="CR318" s="266">
        <f ca="1">Q318*IFERROR(INDEX(Algorithms!$G:$G,MATCH($C318&amp;"_Therm Saved per Unit- MLA",Algorithms!$A:$A,0)),0)*AA318</f>
        <v>0</v>
      </c>
      <c r="CS318" s="266">
        <f ca="1">IFERROR(INDEX(Algorithms!$G:$G,MATCH($C318&amp;"_Lifetime (years)",Algorithms!$A:$A,0)),0)</f>
        <v>5</v>
      </c>
      <c r="CT318" s="266">
        <f ca="1">IFERROR(INDEX(Algorithms!$G:$G,MATCH($C318&amp;"_Lifetime (years) - Remaining Years",Algorithms!$A:$A,0)),0)</f>
        <v>0</v>
      </c>
      <c r="CU318" s="266">
        <f t="shared" ca="1" si="201"/>
        <v>0</v>
      </c>
      <c r="CV318" s="266">
        <f t="shared" ca="1" si="202"/>
        <v>0</v>
      </c>
      <c r="CW318" s="266">
        <f t="shared" ca="1" si="203"/>
        <v>0</v>
      </c>
      <c r="CX318" s="266">
        <f t="shared" ca="1" si="204"/>
        <v>0</v>
      </c>
    </row>
    <row r="319" spans="2:102" s="47" customFormat="1" ht="18" customHeight="1" x14ac:dyDescent="0.25">
      <c r="B319" t="str">
        <f t="shared" si="205"/>
        <v>NSG_Business_C&amp;I_Rebates_Steam Traps_Dry Cleaner/Industrial - No Audit_MF/CI/SMB</v>
      </c>
      <c r="C319" s="47" t="str">
        <f t="shared" si="166"/>
        <v>Steam Traps_Dry Cleaner/Industrial - No Audit_MF/CI/SMB</v>
      </c>
      <c r="D319" s="270" t="s">
        <v>1787</v>
      </c>
      <c r="E319" s="270" t="s">
        <v>3</v>
      </c>
      <c r="F319" s="270" t="s">
        <v>1427</v>
      </c>
      <c r="G319" s="270" t="s">
        <v>1429</v>
      </c>
      <c r="H319" s="270" t="s">
        <v>644</v>
      </c>
      <c r="I319" s="270" t="s">
        <v>1274</v>
      </c>
      <c r="J319" s="270" t="s">
        <v>662</v>
      </c>
      <c r="K319" s="263">
        <v>1</v>
      </c>
      <c r="L319" s="263" t="str">
        <f ca="1">IFERROR(INDEX(Algorithms!J:J,MATCH($C319&amp;"_Therm Saved per Unit",Algorithms!$A:$A,0)),"n/a")</f>
        <v>4.4.16</v>
      </c>
      <c r="M319" s="263" t="str">
        <f>IFERROR(INDEX('Measure Level Detail'!$N:$N,MATCH($B319,'Measure Level Detail'!$B:$B,0)),0)</f>
        <v>each</v>
      </c>
      <c r="N319" s="271">
        <f>IFERROR(INDEX('Measure Level Detail'!$P:$P,MATCH($B319&amp;"_"&amp;N$3,'Measure Level Detail'!$C:$C,0)),0)</f>
        <v>0</v>
      </c>
      <c r="O319" s="271">
        <f>IFERROR(INDEX('Measure Level Detail'!$P:$P,MATCH($B319&amp;"_"&amp;O$3,'Measure Level Detail'!$C:$C,0)),0)</f>
        <v>0</v>
      </c>
      <c r="P319" s="271">
        <f>IFERROR(INDEX('Measure Level Detail'!$P:$P,MATCH($B319&amp;"_"&amp;P$3,'Measure Level Detail'!$C:$C,0)),0)</f>
        <v>0</v>
      </c>
      <c r="Q319" s="271">
        <f>IFERROR(INDEX('Measure Level Detail'!$P:$P,MATCH($B319&amp;"_"&amp;Q$3,'Measure Level Detail'!$C:$C,0)),0)</f>
        <v>0</v>
      </c>
      <c r="R319" s="263" t="str">
        <f ca="1">IFERROR(INDEX(Algorithms!K:K,MATCH($C319&amp;"_Therm Saved per Unit",Algorithms!$A:$A,0)),"n/a")</f>
        <v>CI-HVC-STRE-V10-240101</v>
      </c>
      <c r="S319" s="262"/>
      <c r="T319" s="272">
        <v>174.96360308617389</v>
      </c>
      <c r="U319" s="272">
        <v>174.96360308617389</v>
      </c>
      <c r="V319" s="272">
        <v>174.96360308617389</v>
      </c>
      <c r="W319" s="272">
        <v>174.96360308617389</v>
      </c>
      <c r="X319" s="273">
        <f>IFERROR(INDEX('Measure Level Detail'!$R:$R,MATCH($B319&amp;"_"&amp;X$3,'Measure Level Detail'!$C:$C,0)),0)</f>
        <v>0.91</v>
      </c>
      <c r="Y319" s="273">
        <f>IFERROR(INDEX('Measure Level Detail'!$R:$R,MATCH($B319&amp;"_"&amp;Y$3,'Measure Level Detail'!$C:$C,0)),0)</f>
        <v>0.91</v>
      </c>
      <c r="Z319" s="273">
        <f>IFERROR(INDEX('Measure Level Detail'!$R:$R,MATCH($B319&amp;"_"&amp;Z$3,'Measure Level Detail'!$C:$C,0)),0)</f>
        <v>0.91</v>
      </c>
      <c r="AA319" s="273">
        <f>IFERROR(INDEX('Measure Level Detail'!$R:$R,MATCH($B319&amp;"_"&amp;AA$3,'Measure Level Detail'!$C:$C,0)),0)</f>
        <v>0.91</v>
      </c>
      <c r="AB319" s="266">
        <f t="shared" si="167"/>
        <v>0</v>
      </c>
      <c r="AC319" s="266">
        <f t="shared" si="168"/>
        <v>0</v>
      </c>
      <c r="AD319" s="266">
        <f t="shared" si="169"/>
        <v>0</v>
      </c>
      <c r="AE319" s="266">
        <f t="shared" si="170"/>
        <v>0</v>
      </c>
      <c r="AF319" s="266">
        <f t="shared" si="171"/>
        <v>0</v>
      </c>
      <c r="AG319" s="274">
        <v>0.91</v>
      </c>
      <c r="AH319" s="274">
        <v>0.91</v>
      </c>
      <c r="AI319" s="274">
        <v>0.91</v>
      </c>
      <c r="AJ319" s="274">
        <v>0.91</v>
      </c>
      <c r="AK319" s="274">
        <f t="shared" si="172"/>
        <v>0.91</v>
      </c>
      <c r="AL319" s="274">
        <f t="shared" si="173"/>
        <v>0.91</v>
      </c>
      <c r="AM319" s="274">
        <f t="shared" si="174"/>
        <v>0.91</v>
      </c>
      <c r="AN319" s="274">
        <f t="shared" si="175"/>
        <v>0.91</v>
      </c>
      <c r="AO319" s="262"/>
      <c r="AP319" s="262"/>
      <c r="AQ319" s="267">
        <v>174.96360308617389</v>
      </c>
      <c r="AR319" s="262"/>
      <c r="AS319" s="266">
        <f t="shared" si="176"/>
        <v>0</v>
      </c>
      <c r="AT319" s="264">
        <f t="shared" si="177"/>
        <v>0</v>
      </c>
      <c r="AU319" s="262"/>
      <c r="AV319" s="262"/>
      <c r="AW319" s="265">
        <v>174.96360308617389</v>
      </c>
      <c r="AX319" s="164" t="s">
        <v>2397</v>
      </c>
      <c r="AY319" s="266">
        <v>0</v>
      </c>
      <c r="AZ319" s="266">
        <f t="shared" si="178"/>
        <v>0</v>
      </c>
      <c r="BA319" s="264">
        <f t="shared" si="179"/>
        <v>0</v>
      </c>
      <c r="BB319" s="262"/>
      <c r="BC319" s="262"/>
      <c r="BD319" s="265">
        <f ca="1">IFERROR(INDEX(Algorithms!$G:$G,MATCH($C319&amp;"_Therm Saved per Unit",Algorithms!$A:$A,0)),0)</f>
        <v>174.96360308617389</v>
      </c>
      <c r="BE319" s="164" t="str">
        <f ca="1">IFERROR(INDEX('v12 Revisions'!$P$29:$P$186, MATCH('Measure-Level Adj Gas'!$L319, 'v12 Revisions'!$D$29:$D$186,0)),"")</f>
        <v>n/a - costs only.</v>
      </c>
      <c r="BF319" s="266">
        <f t="shared" ca="1" si="180"/>
        <v>0</v>
      </c>
      <c r="BG319" s="264">
        <f t="shared" ca="1" si="181"/>
        <v>0</v>
      </c>
      <c r="BH319" s="262"/>
      <c r="BI319" s="262"/>
      <c r="BJ319" s="265">
        <f ca="1">IFERROR(INDEX(Algorithms!$G:$G,MATCH($C319&amp;"_Therm Saved per Unit",Algorithms!$A:$A,0)),0)</f>
        <v>174.96360308617389</v>
      </c>
      <c r="BK319" s="164"/>
      <c r="BL319" s="266">
        <f t="shared" ca="1" si="182"/>
        <v>0</v>
      </c>
      <c r="BM319" s="264">
        <f t="shared" ca="1" si="183"/>
        <v>0</v>
      </c>
      <c r="BN319" s="266">
        <f t="shared" si="184"/>
        <v>0</v>
      </c>
      <c r="BO319" s="266">
        <f t="shared" si="185"/>
        <v>0</v>
      </c>
      <c r="BP319" s="266">
        <f t="shared" ca="1" si="186"/>
        <v>0</v>
      </c>
      <c r="BQ319" s="266">
        <f t="shared" ca="1" si="187"/>
        <v>0</v>
      </c>
      <c r="BR319" s="268">
        <f t="shared" ca="1" si="188"/>
        <v>0</v>
      </c>
      <c r="BS319" s="262" t="s">
        <v>99</v>
      </c>
      <c r="BT319" s="277"/>
      <c r="BW319" s="266">
        <f t="shared" si="189"/>
        <v>0</v>
      </c>
      <c r="BX319" s="266">
        <f t="shared" si="190"/>
        <v>0</v>
      </c>
      <c r="BY319" s="266">
        <f t="shared" si="191"/>
        <v>0</v>
      </c>
      <c r="BZ319" s="266">
        <f t="shared" si="192"/>
        <v>0</v>
      </c>
      <c r="CA319" s="266">
        <f ca="1">N319*IFERROR(INDEX(Algorithms!$G:$G,MATCH($C319&amp;"_Therm Saved per Unit- MLA",Algorithms!$A:$A,0)),0)*X319</f>
        <v>0</v>
      </c>
      <c r="CB319" s="266">
        <f ca="1">O319*IFERROR(INDEX(Algorithms!$G:$G,MATCH($C319&amp;"_Therm Saved per Unit- MLA",Algorithms!$A:$A,0)),0)*Y319</f>
        <v>0</v>
      </c>
      <c r="CC319" s="266">
        <f ca="1">P319*IFERROR(INDEX(Algorithms!$G:$G,MATCH($C319&amp;"_Therm Saved per Unit- MLA",Algorithms!$A:$A,0)),0)*Z319</f>
        <v>0</v>
      </c>
      <c r="CD319" s="266">
        <f ca="1">Q319*IFERROR(INDEX(Algorithms!$G:$G,MATCH($C319&amp;"_Therm Saved per Unit- MLA",Algorithms!$A:$A,0)),0)*AA319</f>
        <v>0</v>
      </c>
      <c r="CE319" s="266">
        <f ca="1">IFERROR(INDEX(Algorithms!$G:$G,MATCH($C319&amp;"_Lifetime (years)",Algorithms!$A:$A,0)),0)</f>
        <v>6</v>
      </c>
      <c r="CF319" s="266">
        <f ca="1">IFERROR(INDEX(Algorithms!$G:$G,MATCH($C319&amp;"_Lifetime (years) - Remaining Years",Algorithms!$A:$A,0)),0)</f>
        <v>0</v>
      </c>
      <c r="CG319" s="266">
        <f t="shared" ca="1" si="193"/>
        <v>0</v>
      </c>
      <c r="CH319" s="266">
        <f t="shared" ca="1" si="194"/>
        <v>0</v>
      </c>
      <c r="CI319" s="266">
        <f t="shared" ca="1" si="195"/>
        <v>0</v>
      </c>
      <c r="CJ319" s="266">
        <f t="shared" ca="1" si="196"/>
        <v>0</v>
      </c>
      <c r="CK319" s="266">
        <f t="shared" si="197"/>
        <v>0</v>
      </c>
      <c r="CL319" s="266">
        <f t="shared" si="198"/>
        <v>0</v>
      </c>
      <c r="CM319" s="266">
        <f t="shared" ca="1" si="199"/>
        <v>0</v>
      </c>
      <c r="CN319" s="266">
        <f t="shared" ca="1" si="200"/>
        <v>0</v>
      </c>
      <c r="CO319" s="266">
        <f ca="1">N319*IFERROR(INDEX(Algorithms!$G:$G,MATCH($C319&amp;"_Therm Saved per Unit- MLA",Algorithms!$A:$A,0)),0)*X319</f>
        <v>0</v>
      </c>
      <c r="CP319" s="266">
        <f ca="1">O319*IFERROR(INDEX(Algorithms!$G:$G,MATCH($C319&amp;"_Therm Saved per Unit- MLA",Algorithms!$A:$A,0)),0)*Y319</f>
        <v>0</v>
      </c>
      <c r="CQ319" s="266">
        <f ca="1">P319*IFERROR(INDEX(Algorithms!$G:$G,MATCH($C319&amp;"_Therm Saved per Unit- MLA",Algorithms!$A:$A,0)),0)*Z319</f>
        <v>0</v>
      </c>
      <c r="CR319" s="266">
        <f ca="1">Q319*IFERROR(INDEX(Algorithms!$G:$G,MATCH($C319&amp;"_Therm Saved per Unit- MLA",Algorithms!$A:$A,0)),0)*AA319</f>
        <v>0</v>
      </c>
      <c r="CS319" s="266">
        <f ca="1">IFERROR(INDEX(Algorithms!$G:$G,MATCH($C319&amp;"_Lifetime (years)",Algorithms!$A:$A,0)),0)</f>
        <v>6</v>
      </c>
      <c r="CT319" s="266">
        <f ca="1">IFERROR(INDEX(Algorithms!$G:$G,MATCH($C319&amp;"_Lifetime (years) - Remaining Years",Algorithms!$A:$A,0)),0)</f>
        <v>0</v>
      </c>
      <c r="CU319" s="266">
        <f t="shared" ca="1" si="201"/>
        <v>0</v>
      </c>
      <c r="CV319" s="266">
        <f t="shared" ca="1" si="202"/>
        <v>0</v>
      </c>
      <c r="CW319" s="266">
        <f t="shared" ca="1" si="203"/>
        <v>0</v>
      </c>
      <c r="CX319" s="266">
        <f t="shared" ca="1" si="204"/>
        <v>0</v>
      </c>
    </row>
    <row r="320" spans="2:102" s="47" customFormat="1" ht="18" customHeight="1" x14ac:dyDescent="0.25">
      <c r="B320" t="str">
        <f t="shared" si="205"/>
        <v>NSG_Business_C&amp;I_Rebates_Steam Traps_Dry Cleaner/Industrial - Audit_MF/CI/SMB</v>
      </c>
      <c r="C320" s="47" t="str">
        <f t="shared" si="166"/>
        <v>Steam Traps_Dry Cleaner/Industrial - Audit_MF/CI/SMB</v>
      </c>
      <c r="D320" s="270" t="s">
        <v>1787</v>
      </c>
      <c r="E320" s="270" t="s">
        <v>3</v>
      </c>
      <c r="F320" s="270" t="s">
        <v>1427</v>
      </c>
      <c r="G320" s="270" t="s">
        <v>1429</v>
      </c>
      <c r="H320" s="270" t="s">
        <v>644</v>
      </c>
      <c r="I320" s="270" t="s">
        <v>1275</v>
      </c>
      <c r="J320" s="270" t="s">
        <v>662</v>
      </c>
      <c r="K320" s="263">
        <v>1</v>
      </c>
      <c r="L320" s="263" t="str">
        <f ca="1">IFERROR(INDEX(Algorithms!J:J,MATCH($C320&amp;"_Therm Saved per Unit",Algorithms!$A:$A,0)),"n/a")</f>
        <v>4.4.16</v>
      </c>
      <c r="M320" s="263" t="str">
        <f>IFERROR(INDEX('Measure Level Detail'!$N:$N,MATCH($B320,'Measure Level Detail'!$B:$B,0)),0)</f>
        <v>each</v>
      </c>
      <c r="N320" s="271">
        <f>IFERROR(INDEX('Measure Level Detail'!$P:$P,MATCH($B320&amp;"_"&amp;N$3,'Measure Level Detail'!$C:$C,0)),0)</f>
        <v>0</v>
      </c>
      <c r="O320" s="271">
        <f>IFERROR(INDEX('Measure Level Detail'!$P:$P,MATCH($B320&amp;"_"&amp;O$3,'Measure Level Detail'!$C:$C,0)),0)</f>
        <v>0</v>
      </c>
      <c r="P320" s="271">
        <f>IFERROR(INDEX('Measure Level Detail'!$P:$P,MATCH($B320&amp;"_"&amp;P$3,'Measure Level Detail'!$C:$C,0)),0)</f>
        <v>0</v>
      </c>
      <c r="Q320" s="271">
        <f>IFERROR(INDEX('Measure Level Detail'!$P:$P,MATCH($B320&amp;"_"&amp;Q$3,'Measure Level Detail'!$C:$C,0)),0)</f>
        <v>0</v>
      </c>
      <c r="R320" s="263" t="str">
        <f ca="1">IFERROR(INDEX(Algorithms!K:K,MATCH($C320&amp;"_Therm Saved per Unit",Algorithms!$A:$A,0)),"n/a")</f>
        <v>CI-HVC-STRE-V10-240101</v>
      </c>
      <c r="S320" s="262"/>
      <c r="T320" s="272">
        <v>648.01334476360694</v>
      </c>
      <c r="U320" s="272">
        <v>648.01334476360694</v>
      </c>
      <c r="V320" s="272">
        <v>648.01334476360694</v>
      </c>
      <c r="W320" s="272">
        <v>648.01334476360694</v>
      </c>
      <c r="X320" s="273">
        <f>IFERROR(INDEX('Measure Level Detail'!$R:$R,MATCH($B320&amp;"_"&amp;X$3,'Measure Level Detail'!$C:$C,0)),0)</f>
        <v>0.91</v>
      </c>
      <c r="Y320" s="273">
        <f>IFERROR(INDEX('Measure Level Detail'!$R:$R,MATCH($B320&amp;"_"&amp;Y$3,'Measure Level Detail'!$C:$C,0)),0)</f>
        <v>0.91</v>
      </c>
      <c r="Z320" s="273">
        <f>IFERROR(INDEX('Measure Level Detail'!$R:$R,MATCH($B320&amp;"_"&amp;Z$3,'Measure Level Detail'!$C:$C,0)),0)</f>
        <v>0.91</v>
      </c>
      <c r="AA320" s="273">
        <f>IFERROR(INDEX('Measure Level Detail'!$R:$R,MATCH($B320&amp;"_"&amp;AA$3,'Measure Level Detail'!$C:$C,0)),0)</f>
        <v>0.91</v>
      </c>
      <c r="AB320" s="266">
        <f t="shared" si="167"/>
        <v>0</v>
      </c>
      <c r="AC320" s="266">
        <f t="shared" si="168"/>
        <v>0</v>
      </c>
      <c r="AD320" s="266">
        <f t="shared" si="169"/>
        <v>0</v>
      </c>
      <c r="AE320" s="266">
        <f t="shared" si="170"/>
        <v>0</v>
      </c>
      <c r="AF320" s="266">
        <f t="shared" si="171"/>
        <v>0</v>
      </c>
      <c r="AG320" s="274">
        <v>0.91</v>
      </c>
      <c r="AH320" s="274">
        <v>0.91</v>
      </c>
      <c r="AI320" s="274">
        <v>0.91</v>
      </c>
      <c r="AJ320" s="274">
        <v>0.91</v>
      </c>
      <c r="AK320" s="274">
        <f t="shared" si="172"/>
        <v>0.91</v>
      </c>
      <c r="AL320" s="274">
        <f t="shared" si="173"/>
        <v>0.91</v>
      </c>
      <c r="AM320" s="274">
        <f t="shared" si="174"/>
        <v>0.91</v>
      </c>
      <c r="AN320" s="274">
        <f t="shared" si="175"/>
        <v>0.91</v>
      </c>
      <c r="AO320" s="262"/>
      <c r="AP320" s="262"/>
      <c r="AQ320" s="267">
        <v>648.01334476360694</v>
      </c>
      <c r="AR320" s="262"/>
      <c r="AS320" s="266">
        <f t="shared" si="176"/>
        <v>0</v>
      </c>
      <c r="AT320" s="264">
        <f t="shared" si="177"/>
        <v>0</v>
      </c>
      <c r="AU320" s="262"/>
      <c r="AV320" s="262"/>
      <c r="AW320" s="265">
        <v>648.01334476360694</v>
      </c>
      <c r="AX320" s="164" t="s">
        <v>2397</v>
      </c>
      <c r="AY320" s="266">
        <v>0</v>
      </c>
      <c r="AZ320" s="266">
        <f t="shared" si="178"/>
        <v>0</v>
      </c>
      <c r="BA320" s="264">
        <f t="shared" si="179"/>
        <v>0</v>
      </c>
      <c r="BB320" s="262"/>
      <c r="BC320" s="262"/>
      <c r="BD320" s="265">
        <f ca="1">IFERROR(INDEX(Algorithms!$G:$G,MATCH($C320&amp;"_Therm Saved per Unit",Algorithms!$A:$A,0)),0)</f>
        <v>648.01334476360694</v>
      </c>
      <c r="BE320" s="164" t="str">
        <f ca="1">IFERROR(INDEX('v12 Revisions'!$P$29:$P$186, MATCH('Measure-Level Adj Gas'!$L320, 'v12 Revisions'!$D$29:$D$186,0)),"")</f>
        <v>n/a - costs only.</v>
      </c>
      <c r="BF320" s="266">
        <f t="shared" ca="1" si="180"/>
        <v>0</v>
      </c>
      <c r="BG320" s="264">
        <f t="shared" ca="1" si="181"/>
        <v>0</v>
      </c>
      <c r="BH320" s="262"/>
      <c r="BI320" s="262"/>
      <c r="BJ320" s="265">
        <f ca="1">IFERROR(INDEX(Algorithms!$G:$G,MATCH($C320&amp;"_Therm Saved per Unit",Algorithms!$A:$A,0)),0)</f>
        <v>648.01334476360694</v>
      </c>
      <c r="BK320" s="164"/>
      <c r="BL320" s="266">
        <f t="shared" ca="1" si="182"/>
        <v>0</v>
      </c>
      <c r="BM320" s="264">
        <f t="shared" ca="1" si="183"/>
        <v>0</v>
      </c>
      <c r="BN320" s="266">
        <f t="shared" si="184"/>
        <v>0</v>
      </c>
      <c r="BO320" s="266">
        <f t="shared" si="185"/>
        <v>0</v>
      </c>
      <c r="BP320" s="266">
        <f t="shared" ca="1" si="186"/>
        <v>0</v>
      </c>
      <c r="BQ320" s="266">
        <f t="shared" ca="1" si="187"/>
        <v>0</v>
      </c>
      <c r="BR320" s="268">
        <f t="shared" ca="1" si="188"/>
        <v>0</v>
      </c>
      <c r="BS320" s="262" t="s">
        <v>99</v>
      </c>
      <c r="BT320" s="277"/>
      <c r="BW320" s="266">
        <f t="shared" si="189"/>
        <v>0</v>
      </c>
      <c r="BX320" s="266">
        <f t="shared" si="190"/>
        <v>0</v>
      </c>
      <c r="BY320" s="266">
        <f t="shared" si="191"/>
        <v>0</v>
      </c>
      <c r="BZ320" s="266">
        <f t="shared" si="192"/>
        <v>0</v>
      </c>
      <c r="CA320" s="266">
        <f ca="1">N320*IFERROR(INDEX(Algorithms!$G:$G,MATCH($C320&amp;"_Therm Saved per Unit- MLA",Algorithms!$A:$A,0)),0)*X320</f>
        <v>0</v>
      </c>
      <c r="CB320" s="266">
        <f ca="1">O320*IFERROR(INDEX(Algorithms!$G:$G,MATCH($C320&amp;"_Therm Saved per Unit- MLA",Algorithms!$A:$A,0)),0)*Y320</f>
        <v>0</v>
      </c>
      <c r="CC320" s="266">
        <f ca="1">P320*IFERROR(INDEX(Algorithms!$G:$G,MATCH($C320&amp;"_Therm Saved per Unit- MLA",Algorithms!$A:$A,0)),0)*Z320</f>
        <v>0</v>
      </c>
      <c r="CD320" s="266">
        <f ca="1">Q320*IFERROR(INDEX(Algorithms!$G:$G,MATCH($C320&amp;"_Therm Saved per Unit- MLA",Algorithms!$A:$A,0)),0)*AA320</f>
        <v>0</v>
      </c>
      <c r="CE320" s="266">
        <f ca="1">IFERROR(INDEX(Algorithms!$G:$G,MATCH($C320&amp;"_Lifetime (years)",Algorithms!$A:$A,0)),0)</f>
        <v>6</v>
      </c>
      <c r="CF320" s="266">
        <f ca="1">IFERROR(INDEX(Algorithms!$G:$G,MATCH($C320&amp;"_Lifetime (years) - Remaining Years",Algorithms!$A:$A,0)),0)</f>
        <v>0</v>
      </c>
      <c r="CG320" s="266">
        <f t="shared" ca="1" si="193"/>
        <v>0</v>
      </c>
      <c r="CH320" s="266">
        <f t="shared" ca="1" si="194"/>
        <v>0</v>
      </c>
      <c r="CI320" s="266">
        <f t="shared" ca="1" si="195"/>
        <v>0</v>
      </c>
      <c r="CJ320" s="266">
        <f t="shared" ca="1" si="196"/>
        <v>0</v>
      </c>
      <c r="CK320" s="266">
        <f t="shared" si="197"/>
        <v>0</v>
      </c>
      <c r="CL320" s="266">
        <f t="shared" si="198"/>
        <v>0</v>
      </c>
      <c r="CM320" s="266">
        <f t="shared" ca="1" si="199"/>
        <v>0</v>
      </c>
      <c r="CN320" s="266">
        <f t="shared" ca="1" si="200"/>
        <v>0</v>
      </c>
      <c r="CO320" s="266">
        <f ca="1">N320*IFERROR(INDEX(Algorithms!$G:$G,MATCH($C320&amp;"_Therm Saved per Unit- MLA",Algorithms!$A:$A,0)),0)*X320</f>
        <v>0</v>
      </c>
      <c r="CP320" s="266">
        <f ca="1">O320*IFERROR(INDEX(Algorithms!$G:$G,MATCH($C320&amp;"_Therm Saved per Unit- MLA",Algorithms!$A:$A,0)),0)*Y320</f>
        <v>0</v>
      </c>
      <c r="CQ320" s="266">
        <f ca="1">P320*IFERROR(INDEX(Algorithms!$G:$G,MATCH($C320&amp;"_Therm Saved per Unit- MLA",Algorithms!$A:$A,0)),0)*Z320</f>
        <v>0</v>
      </c>
      <c r="CR320" s="266">
        <f ca="1">Q320*IFERROR(INDEX(Algorithms!$G:$G,MATCH($C320&amp;"_Therm Saved per Unit- MLA",Algorithms!$A:$A,0)),0)*AA320</f>
        <v>0</v>
      </c>
      <c r="CS320" s="266">
        <f ca="1">IFERROR(INDEX(Algorithms!$G:$G,MATCH($C320&amp;"_Lifetime (years)",Algorithms!$A:$A,0)),0)</f>
        <v>6</v>
      </c>
      <c r="CT320" s="266">
        <f ca="1">IFERROR(INDEX(Algorithms!$G:$G,MATCH($C320&amp;"_Lifetime (years) - Remaining Years",Algorithms!$A:$A,0)),0)</f>
        <v>0</v>
      </c>
      <c r="CU320" s="266">
        <f t="shared" ca="1" si="201"/>
        <v>0</v>
      </c>
      <c r="CV320" s="266">
        <f t="shared" ca="1" si="202"/>
        <v>0</v>
      </c>
      <c r="CW320" s="266">
        <f t="shared" ca="1" si="203"/>
        <v>0</v>
      </c>
      <c r="CX320" s="266">
        <f t="shared" ca="1" si="204"/>
        <v>0</v>
      </c>
    </row>
    <row r="321" spans="2:102" s="47" customFormat="1" ht="18" customHeight="1" x14ac:dyDescent="0.25">
      <c r="B321" t="str">
        <f t="shared" si="205"/>
        <v>NSG_Business_C&amp;I_Rebates_Steam Traps_HVAC Repair/Rep - No Audit_CI</v>
      </c>
      <c r="C321" s="47" t="str">
        <f t="shared" si="166"/>
        <v>Steam Traps_HVAC Repair/Rep - No Audit_CI</v>
      </c>
      <c r="D321" s="270" t="s">
        <v>1787</v>
      </c>
      <c r="E321" s="270" t="s">
        <v>3</v>
      </c>
      <c r="F321" s="270" t="s">
        <v>1427</v>
      </c>
      <c r="G321" s="270" t="s">
        <v>1429</v>
      </c>
      <c r="H321" s="270" t="s">
        <v>644</v>
      </c>
      <c r="I321" s="270" t="s">
        <v>660</v>
      </c>
      <c r="J321" s="270" t="s">
        <v>1159</v>
      </c>
      <c r="K321" s="263">
        <v>1</v>
      </c>
      <c r="L321" s="263" t="str">
        <f ca="1">IFERROR(INDEX(Algorithms!J:J,MATCH($C321&amp;"_Therm Saved per Unit",Algorithms!$A:$A,0)),"n/a")</f>
        <v>4.4.16</v>
      </c>
      <c r="M321" s="263" t="str">
        <f>IFERROR(INDEX('Measure Level Detail'!$N:$N,MATCH($B321,'Measure Level Detail'!$B:$B,0)),0)</f>
        <v>each</v>
      </c>
      <c r="N321" s="271">
        <f>IFERROR(INDEX('Measure Level Detail'!$P:$P,MATCH($B321&amp;"_"&amp;N$3,'Measure Level Detail'!$C:$C,0)),0)</f>
        <v>0</v>
      </c>
      <c r="O321" s="271">
        <f>IFERROR(INDEX('Measure Level Detail'!$P:$P,MATCH($B321&amp;"_"&amp;O$3,'Measure Level Detail'!$C:$C,0)),0)</f>
        <v>0</v>
      </c>
      <c r="P321" s="271">
        <f>IFERROR(INDEX('Measure Level Detail'!$P:$P,MATCH($B321&amp;"_"&amp;P$3,'Measure Level Detail'!$C:$C,0)),0)</f>
        <v>0</v>
      </c>
      <c r="Q321" s="271">
        <f>IFERROR(INDEX('Measure Level Detail'!$P:$P,MATCH($B321&amp;"_"&amp;Q$3,'Measure Level Detail'!$C:$C,0)),0)</f>
        <v>0</v>
      </c>
      <c r="R321" s="263" t="str">
        <f ca="1">IFERROR(INDEX(Algorithms!K:K,MATCH($C321&amp;"_Therm Saved per Unit",Algorithms!$A:$A,0)),"n/a")</f>
        <v>CI-HVC-STRE-V10-240101</v>
      </c>
      <c r="S321" s="262"/>
      <c r="T321" s="272">
        <v>103.61717935878508</v>
      </c>
      <c r="U321" s="272">
        <v>103.61717935878508</v>
      </c>
      <c r="V321" s="272">
        <v>103.61717935878508</v>
      </c>
      <c r="W321" s="272">
        <v>103.61717935878508</v>
      </c>
      <c r="X321" s="273">
        <f>IFERROR(INDEX('Measure Level Detail'!$R:$R,MATCH($B321&amp;"_"&amp;X$3,'Measure Level Detail'!$C:$C,0)),0)</f>
        <v>0.91</v>
      </c>
      <c r="Y321" s="273">
        <f>IFERROR(INDEX('Measure Level Detail'!$R:$R,MATCH($B321&amp;"_"&amp;Y$3,'Measure Level Detail'!$C:$C,0)),0)</f>
        <v>0.91</v>
      </c>
      <c r="Z321" s="273">
        <f>IFERROR(INDEX('Measure Level Detail'!$R:$R,MATCH($B321&amp;"_"&amp;Z$3,'Measure Level Detail'!$C:$C,0)),0)</f>
        <v>0.91</v>
      </c>
      <c r="AA321" s="273">
        <f>IFERROR(INDEX('Measure Level Detail'!$R:$R,MATCH($B321&amp;"_"&amp;AA$3,'Measure Level Detail'!$C:$C,0)),0)</f>
        <v>0.91</v>
      </c>
      <c r="AB321" s="266">
        <f t="shared" si="167"/>
        <v>0</v>
      </c>
      <c r="AC321" s="266">
        <f t="shared" si="168"/>
        <v>0</v>
      </c>
      <c r="AD321" s="266">
        <f t="shared" si="169"/>
        <v>0</v>
      </c>
      <c r="AE321" s="266">
        <f t="shared" si="170"/>
        <v>0</v>
      </c>
      <c r="AF321" s="266">
        <f t="shared" si="171"/>
        <v>0</v>
      </c>
      <c r="AG321" s="274">
        <v>0.91</v>
      </c>
      <c r="AH321" s="274">
        <v>0.91</v>
      </c>
      <c r="AI321" s="274">
        <v>0.91</v>
      </c>
      <c r="AJ321" s="274">
        <v>0.91</v>
      </c>
      <c r="AK321" s="274">
        <f t="shared" si="172"/>
        <v>0.91</v>
      </c>
      <c r="AL321" s="274">
        <f t="shared" si="173"/>
        <v>0.91</v>
      </c>
      <c r="AM321" s="274">
        <f t="shared" si="174"/>
        <v>0.91</v>
      </c>
      <c r="AN321" s="274">
        <f t="shared" si="175"/>
        <v>0.91</v>
      </c>
      <c r="AO321" s="262"/>
      <c r="AP321" s="262"/>
      <c r="AQ321" s="267">
        <v>103.61717935878508</v>
      </c>
      <c r="AR321" s="262"/>
      <c r="AS321" s="266">
        <f t="shared" si="176"/>
        <v>0</v>
      </c>
      <c r="AT321" s="264">
        <f t="shared" si="177"/>
        <v>0</v>
      </c>
      <c r="AU321" s="262"/>
      <c r="AV321" s="262"/>
      <c r="AW321" s="265">
        <v>210.59502881757265</v>
      </c>
      <c r="AX321" s="164" t="s">
        <v>2397</v>
      </c>
      <c r="AY321" s="266">
        <v>0</v>
      </c>
      <c r="AZ321" s="266">
        <f t="shared" si="178"/>
        <v>0</v>
      </c>
      <c r="BA321" s="264">
        <f t="shared" si="179"/>
        <v>0</v>
      </c>
      <c r="BB321" s="262"/>
      <c r="BC321" s="262"/>
      <c r="BD321" s="265">
        <f ca="1">IFERROR(INDEX(Algorithms!$G:$G,MATCH($C321&amp;"_Therm Saved per Unit",Algorithms!$A:$A,0)),0)</f>
        <v>210.59502881757265</v>
      </c>
      <c r="BE321" s="164" t="str">
        <f ca="1">IFERROR(INDEX('v12 Revisions'!$P$29:$P$186, MATCH('Measure-Level Adj Gas'!$L321, 'v12 Revisions'!$D$29:$D$186,0)),"")</f>
        <v>n/a - costs only.</v>
      </c>
      <c r="BF321" s="266">
        <f t="shared" ca="1" si="180"/>
        <v>0</v>
      </c>
      <c r="BG321" s="264">
        <f t="shared" ca="1" si="181"/>
        <v>0</v>
      </c>
      <c r="BH321" s="262"/>
      <c r="BI321" s="262"/>
      <c r="BJ321" s="265">
        <f ca="1">IFERROR(INDEX(Algorithms!$G:$G,MATCH($C321&amp;"_Therm Saved per Unit",Algorithms!$A:$A,0)),0)</f>
        <v>210.59502881757265</v>
      </c>
      <c r="BK321" s="164"/>
      <c r="BL321" s="266">
        <f t="shared" ca="1" si="182"/>
        <v>0</v>
      </c>
      <c r="BM321" s="264">
        <f t="shared" ca="1" si="183"/>
        <v>0</v>
      </c>
      <c r="BN321" s="266">
        <f t="shared" si="184"/>
        <v>0</v>
      </c>
      <c r="BO321" s="266">
        <f t="shared" si="185"/>
        <v>0</v>
      </c>
      <c r="BP321" s="266">
        <f t="shared" ca="1" si="186"/>
        <v>0</v>
      </c>
      <c r="BQ321" s="266">
        <f t="shared" ca="1" si="187"/>
        <v>0</v>
      </c>
      <c r="BR321" s="268">
        <f t="shared" ca="1" si="188"/>
        <v>0</v>
      </c>
      <c r="BS321" s="262" t="s">
        <v>99</v>
      </c>
      <c r="BT321" s="277"/>
      <c r="BW321" s="266">
        <f t="shared" si="189"/>
        <v>0</v>
      </c>
      <c r="BX321" s="266">
        <f t="shared" si="190"/>
        <v>0</v>
      </c>
      <c r="BY321" s="266">
        <f t="shared" si="191"/>
        <v>0</v>
      </c>
      <c r="BZ321" s="266">
        <f t="shared" si="192"/>
        <v>0</v>
      </c>
      <c r="CA321" s="266">
        <f ca="1">N321*IFERROR(INDEX(Algorithms!$G:$G,MATCH($C321&amp;"_Therm Saved per Unit- MLA",Algorithms!$A:$A,0)),0)*X321</f>
        <v>0</v>
      </c>
      <c r="CB321" s="266">
        <f ca="1">O321*IFERROR(INDEX(Algorithms!$G:$G,MATCH($C321&amp;"_Therm Saved per Unit- MLA",Algorithms!$A:$A,0)),0)*Y321</f>
        <v>0</v>
      </c>
      <c r="CC321" s="266">
        <f ca="1">P321*IFERROR(INDEX(Algorithms!$G:$G,MATCH($C321&amp;"_Therm Saved per Unit- MLA",Algorithms!$A:$A,0)),0)*Z321</f>
        <v>0</v>
      </c>
      <c r="CD321" s="266">
        <f ca="1">Q321*IFERROR(INDEX(Algorithms!$G:$G,MATCH($C321&amp;"_Therm Saved per Unit- MLA",Algorithms!$A:$A,0)),0)*AA321</f>
        <v>0</v>
      </c>
      <c r="CE321" s="266">
        <f ca="1">IFERROR(INDEX(Algorithms!$G:$G,MATCH($C321&amp;"_Lifetime (years)",Algorithms!$A:$A,0)),0)</f>
        <v>6</v>
      </c>
      <c r="CF321" s="266">
        <f ca="1">IFERROR(INDEX(Algorithms!$G:$G,MATCH($C321&amp;"_Lifetime (years) - Remaining Years",Algorithms!$A:$A,0)),0)</f>
        <v>0</v>
      </c>
      <c r="CG321" s="266">
        <f t="shared" ca="1" si="193"/>
        <v>0</v>
      </c>
      <c r="CH321" s="266">
        <f t="shared" ca="1" si="194"/>
        <v>0</v>
      </c>
      <c r="CI321" s="266">
        <f t="shared" ca="1" si="195"/>
        <v>0</v>
      </c>
      <c r="CJ321" s="266">
        <f t="shared" ca="1" si="196"/>
        <v>0</v>
      </c>
      <c r="CK321" s="266">
        <f t="shared" si="197"/>
        <v>0</v>
      </c>
      <c r="CL321" s="266">
        <f t="shared" si="198"/>
        <v>0</v>
      </c>
      <c r="CM321" s="266">
        <f t="shared" ca="1" si="199"/>
        <v>0</v>
      </c>
      <c r="CN321" s="266">
        <f t="shared" ca="1" si="200"/>
        <v>0</v>
      </c>
      <c r="CO321" s="266">
        <f ca="1">N321*IFERROR(INDEX(Algorithms!$G:$G,MATCH($C321&amp;"_Therm Saved per Unit- MLA",Algorithms!$A:$A,0)),0)*X321</f>
        <v>0</v>
      </c>
      <c r="CP321" s="266">
        <f ca="1">O321*IFERROR(INDEX(Algorithms!$G:$G,MATCH($C321&amp;"_Therm Saved per Unit- MLA",Algorithms!$A:$A,0)),0)*Y321</f>
        <v>0</v>
      </c>
      <c r="CQ321" s="266">
        <f ca="1">P321*IFERROR(INDEX(Algorithms!$G:$G,MATCH($C321&amp;"_Therm Saved per Unit- MLA",Algorithms!$A:$A,0)),0)*Z321</f>
        <v>0</v>
      </c>
      <c r="CR321" s="266">
        <f ca="1">Q321*IFERROR(INDEX(Algorithms!$G:$G,MATCH($C321&amp;"_Therm Saved per Unit- MLA",Algorithms!$A:$A,0)),0)*AA321</f>
        <v>0</v>
      </c>
      <c r="CS321" s="266">
        <f ca="1">IFERROR(INDEX(Algorithms!$G:$G,MATCH($C321&amp;"_Lifetime (years)",Algorithms!$A:$A,0)),0)</f>
        <v>6</v>
      </c>
      <c r="CT321" s="266">
        <f ca="1">IFERROR(INDEX(Algorithms!$G:$G,MATCH($C321&amp;"_Lifetime (years) - Remaining Years",Algorithms!$A:$A,0)),0)</f>
        <v>0</v>
      </c>
      <c r="CU321" s="266">
        <f t="shared" ca="1" si="201"/>
        <v>0</v>
      </c>
      <c r="CV321" s="266">
        <f t="shared" ca="1" si="202"/>
        <v>0</v>
      </c>
      <c r="CW321" s="266">
        <f t="shared" ca="1" si="203"/>
        <v>0</v>
      </c>
      <c r="CX321" s="266">
        <f t="shared" ca="1" si="204"/>
        <v>0</v>
      </c>
    </row>
    <row r="322" spans="2:102" s="47" customFormat="1" ht="18" customHeight="1" x14ac:dyDescent="0.25">
      <c r="B322" t="str">
        <f t="shared" si="205"/>
        <v>NSG_Business_C&amp;I_Rebates_Steam Traps_Industrial/Process Audit - 250 ≤ psig_CI/SMB</v>
      </c>
      <c r="C322" s="47" t="str">
        <f t="shared" si="166"/>
        <v>Steam Traps_Industrial/Process Audit - 250 ≤ psig_CI/SMB</v>
      </c>
      <c r="D322" s="270" t="s">
        <v>1787</v>
      </c>
      <c r="E322" s="270" t="s">
        <v>3</v>
      </c>
      <c r="F322" s="270" t="s">
        <v>1427</v>
      </c>
      <c r="G322" s="270" t="s">
        <v>1429</v>
      </c>
      <c r="H322" s="270" t="s">
        <v>644</v>
      </c>
      <c r="I322" s="270" t="s">
        <v>1376</v>
      </c>
      <c r="J322" s="270" t="s">
        <v>970</v>
      </c>
      <c r="K322" s="263">
        <v>1</v>
      </c>
      <c r="L322" s="263" t="str">
        <f ca="1">IFERROR(INDEX(Algorithms!J:J,MATCH($C322&amp;"_Therm Saved per Unit",Algorithms!$A:$A,0)),"n/a")</f>
        <v>4.4.16</v>
      </c>
      <c r="M322" s="263" t="str">
        <f>IFERROR(INDEX('Measure Level Detail'!$N:$N,MATCH($B322,'Measure Level Detail'!$B:$B,0)),0)</f>
        <v>each</v>
      </c>
      <c r="N322" s="271">
        <f>IFERROR(INDEX('Measure Level Detail'!$P:$P,MATCH($B322&amp;"_"&amp;N$3,'Measure Level Detail'!$C:$C,0)),0)</f>
        <v>0</v>
      </c>
      <c r="O322" s="271">
        <f>IFERROR(INDEX('Measure Level Detail'!$P:$P,MATCH($B322&amp;"_"&amp;O$3,'Measure Level Detail'!$C:$C,0)),0)</f>
        <v>0</v>
      </c>
      <c r="P322" s="271">
        <f>IFERROR(INDEX('Measure Level Detail'!$P:$P,MATCH($B322&amp;"_"&amp;P$3,'Measure Level Detail'!$C:$C,0)),0)</f>
        <v>0</v>
      </c>
      <c r="Q322" s="271">
        <f>IFERROR(INDEX('Measure Level Detail'!$P:$P,MATCH($B322&amp;"_"&amp;Q$3,'Measure Level Detail'!$C:$C,0)),0)</f>
        <v>0</v>
      </c>
      <c r="R322" s="263" t="str">
        <f ca="1">IFERROR(INDEX(Algorithms!K:K,MATCH($C322&amp;"_Therm Saved per Unit",Algorithms!$A:$A,0)),"n/a")</f>
        <v>CI-HVC-STRE-V10-240101</v>
      </c>
      <c r="S322" s="262"/>
      <c r="T322" s="272">
        <v>12689.405899537758</v>
      </c>
      <c r="U322" s="272">
        <v>12689.405899537758</v>
      </c>
      <c r="V322" s="272">
        <v>12689.405899537758</v>
      </c>
      <c r="W322" s="272">
        <v>12689.405899537758</v>
      </c>
      <c r="X322" s="273">
        <f>IFERROR(INDEX('Measure Level Detail'!$R:$R,MATCH($B322&amp;"_"&amp;X$3,'Measure Level Detail'!$C:$C,0)),0)</f>
        <v>0.91</v>
      </c>
      <c r="Y322" s="273">
        <f>IFERROR(INDEX('Measure Level Detail'!$R:$R,MATCH($B322&amp;"_"&amp;Y$3,'Measure Level Detail'!$C:$C,0)),0)</f>
        <v>0.91</v>
      </c>
      <c r="Z322" s="273">
        <f>IFERROR(INDEX('Measure Level Detail'!$R:$R,MATCH($B322&amp;"_"&amp;Z$3,'Measure Level Detail'!$C:$C,0)),0)</f>
        <v>0.91</v>
      </c>
      <c r="AA322" s="273">
        <f>IFERROR(INDEX('Measure Level Detail'!$R:$R,MATCH($B322&amp;"_"&amp;AA$3,'Measure Level Detail'!$C:$C,0)),0)</f>
        <v>0.91</v>
      </c>
      <c r="AB322" s="266">
        <f t="shared" si="167"/>
        <v>0</v>
      </c>
      <c r="AC322" s="266">
        <f t="shared" si="168"/>
        <v>0</v>
      </c>
      <c r="AD322" s="266">
        <f t="shared" si="169"/>
        <v>0</v>
      </c>
      <c r="AE322" s="266">
        <f t="shared" si="170"/>
        <v>0</v>
      </c>
      <c r="AF322" s="266">
        <f t="shared" si="171"/>
        <v>0</v>
      </c>
      <c r="AG322" s="274">
        <v>0.91</v>
      </c>
      <c r="AH322" s="274">
        <v>0.91</v>
      </c>
      <c r="AI322" s="274">
        <v>0.91</v>
      </c>
      <c r="AJ322" s="274">
        <v>0.91</v>
      </c>
      <c r="AK322" s="274">
        <f t="shared" si="172"/>
        <v>0.91</v>
      </c>
      <c r="AL322" s="274">
        <f t="shared" si="173"/>
        <v>0.91</v>
      </c>
      <c r="AM322" s="274">
        <f t="shared" si="174"/>
        <v>0.91</v>
      </c>
      <c r="AN322" s="274">
        <f t="shared" si="175"/>
        <v>0.91</v>
      </c>
      <c r="AO322" s="262"/>
      <c r="AP322" s="262"/>
      <c r="AQ322" s="267">
        <v>12689.405899537758</v>
      </c>
      <c r="AR322" s="262"/>
      <c r="AS322" s="266">
        <f t="shared" si="176"/>
        <v>0</v>
      </c>
      <c r="AT322" s="264">
        <f t="shared" si="177"/>
        <v>0</v>
      </c>
      <c r="AU322" s="262"/>
      <c r="AV322" s="262"/>
      <c r="AW322" s="265">
        <v>12689.405899537758</v>
      </c>
      <c r="AX322" s="164" t="s">
        <v>2397</v>
      </c>
      <c r="AY322" s="266">
        <v>0</v>
      </c>
      <c r="AZ322" s="266">
        <f t="shared" si="178"/>
        <v>0</v>
      </c>
      <c r="BA322" s="264">
        <f t="shared" si="179"/>
        <v>0</v>
      </c>
      <c r="BB322" s="262"/>
      <c r="BC322" s="262"/>
      <c r="BD322" s="265">
        <f ca="1">IFERROR(INDEX(Algorithms!$G:$G,MATCH($C322&amp;"_Therm Saved per Unit",Algorithms!$A:$A,0)),0)</f>
        <v>12689.405899537758</v>
      </c>
      <c r="BE322" s="164" t="str">
        <f ca="1">IFERROR(INDEX('v12 Revisions'!$P$29:$P$186, MATCH('Measure-Level Adj Gas'!$L322, 'v12 Revisions'!$D$29:$D$186,0)),"")</f>
        <v>n/a - costs only.</v>
      </c>
      <c r="BF322" s="266">
        <f t="shared" ca="1" si="180"/>
        <v>0</v>
      </c>
      <c r="BG322" s="264">
        <f t="shared" ca="1" si="181"/>
        <v>0</v>
      </c>
      <c r="BH322" s="262"/>
      <c r="BI322" s="262"/>
      <c r="BJ322" s="265">
        <f ca="1">IFERROR(INDEX(Algorithms!$G:$G,MATCH($C322&amp;"_Therm Saved per Unit",Algorithms!$A:$A,0)),0)</f>
        <v>12689.405899537758</v>
      </c>
      <c r="BK322" s="164"/>
      <c r="BL322" s="266">
        <f t="shared" ca="1" si="182"/>
        <v>0</v>
      </c>
      <c r="BM322" s="264">
        <f t="shared" ca="1" si="183"/>
        <v>0</v>
      </c>
      <c r="BN322" s="266">
        <f t="shared" si="184"/>
        <v>0</v>
      </c>
      <c r="BO322" s="266">
        <f t="shared" si="185"/>
        <v>0</v>
      </c>
      <c r="BP322" s="266">
        <f t="shared" ca="1" si="186"/>
        <v>0</v>
      </c>
      <c r="BQ322" s="266">
        <f t="shared" ca="1" si="187"/>
        <v>0</v>
      </c>
      <c r="BR322" s="268">
        <f t="shared" ca="1" si="188"/>
        <v>0</v>
      </c>
      <c r="BS322" s="262" t="s">
        <v>99</v>
      </c>
      <c r="BT322" s="277"/>
      <c r="BW322" s="266">
        <f t="shared" si="189"/>
        <v>0</v>
      </c>
      <c r="BX322" s="266">
        <f t="shared" si="190"/>
        <v>0</v>
      </c>
      <c r="BY322" s="266">
        <f t="shared" si="191"/>
        <v>0</v>
      </c>
      <c r="BZ322" s="266">
        <f t="shared" si="192"/>
        <v>0</v>
      </c>
      <c r="CA322" s="266">
        <f ca="1">N322*IFERROR(INDEX(Algorithms!$G:$G,MATCH($C322&amp;"_Therm Saved per Unit- MLA",Algorithms!$A:$A,0)),0)*X322</f>
        <v>0</v>
      </c>
      <c r="CB322" s="266">
        <f ca="1">O322*IFERROR(INDEX(Algorithms!$G:$G,MATCH($C322&amp;"_Therm Saved per Unit- MLA",Algorithms!$A:$A,0)),0)*Y322</f>
        <v>0</v>
      </c>
      <c r="CC322" s="266">
        <f ca="1">P322*IFERROR(INDEX(Algorithms!$G:$G,MATCH($C322&amp;"_Therm Saved per Unit- MLA",Algorithms!$A:$A,0)),0)*Z322</f>
        <v>0</v>
      </c>
      <c r="CD322" s="266">
        <f ca="1">Q322*IFERROR(INDEX(Algorithms!$G:$G,MATCH($C322&amp;"_Therm Saved per Unit- MLA",Algorithms!$A:$A,0)),0)*AA322</f>
        <v>0</v>
      </c>
      <c r="CE322" s="266">
        <f ca="1">IFERROR(INDEX(Algorithms!$G:$G,MATCH($C322&amp;"_Lifetime (years)",Algorithms!$A:$A,0)),0)</f>
        <v>6</v>
      </c>
      <c r="CF322" s="266">
        <f ca="1">IFERROR(INDEX(Algorithms!$G:$G,MATCH($C322&amp;"_Lifetime (years) - Remaining Years",Algorithms!$A:$A,0)),0)</f>
        <v>0</v>
      </c>
      <c r="CG322" s="266">
        <f t="shared" ca="1" si="193"/>
        <v>0</v>
      </c>
      <c r="CH322" s="266">
        <f t="shared" ca="1" si="194"/>
        <v>0</v>
      </c>
      <c r="CI322" s="266">
        <f t="shared" ca="1" si="195"/>
        <v>0</v>
      </c>
      <c r="CJ322" s="266">
        <f t="shared" ca="1" si="196"/>
        <v>0</v>
      </c>
      <c r="CK322" s="266">
        <f t="shared" si="197"/>
        <v>0</v>
      </c>
      <c r="CL322" s="266">
        <f t="shared" si="198"/>
        <v>0</v>
      </c>
      <c r="CM322" s="266">
        <f t="shared" ca="1" si="199"/>
        <v>0</v>
      </c>
      <c r="CN322" s="266">
        <f t="shared" ca="1" si="200"/>
        <v>0</v>
      </c>
      <c r="CO322" s="266">
        <f ca="1">N322*IFERROR(INDEX(Algorithms!$G:$G,MATCH($C322&amp;"_Therm Saved per Unit- MLA",Algorithms!$A:$A,0)),0)*X322</f>
        <v>0</v>
      </c>
      <c r="CP322" s="266">
        <f ca="1">O322*IFERROR(INDEX(Algorithms!$G:$G,MATCH($C322&amp;"_Therm Saved per Unit- MLA",Algorithms!$A:$A,0)),0)*Y322</f>
        <v>0</v>
      </c>
      <c r="CQ322" s="266">
        <f ca="1">P322*IFERROR(INDEX(Algorithms!$G:$G,MATCH($C322&amp;"_Therm Saved per Unit- MLA",Algorithms!$A:$A,0)),0)*Z322</f>
        <v>0</v>
      </c>
      <c r="CR322" s="266">
        <f ca="1">Q322*IFERROR(INDEX(Algorithms!$G:$G,MATCH($C322&amp;"_Therm Saved per Unit- MLA",Algorithms!$A:$A,0)),0)*AA322</f>
        <v>0</v>
      </c>
      <c r="CS322" s="266">
        <f ca="1">IFERROR(INDEX(Algorithms!$G:$G,MATCH($C322&amp;"_Lifetime (years)",Algorithms!$A:$A,0)),0)</f>
        <v>6</v>
      </c>
      <c r="CT322" s="266">
        <f ca="1">IFERROR(INDEX(Algorithms!$G:$G,MATCH($C322&amp;"_Lifetime (years) - Remaining Years",Algorithms!$A:$A,0)),0)</f>
        <v>0</v>
      </c>
      <c r="CU322" s="266">
        <f t="shared" ca="1" si="201"/>
        <v>0</v>
      </c>
      <c r="CV322" s="266">
        <f t="shared" ca="1" si="202"/>
        <v>0</v>
      </c>
      <c r="CW322" s="266">
        <f t="shared" ca="1" si="203"/>
        <v>0</v>
      </c>
      <c r="CX322" s="266">
        <f t="shared" ca="1" si="204"/>
        <v>0</v>
      </c>
    </row>
    <row r="323" spans="2:102" s="47" customFormat="1" ht="18" customHeight="1" x14ac:dyDescent="0.25">
      <c r="B323" t="str">
        <f t="shared" si="205"/>
        <v>NSG_Business_C&amp;I_Rebates_Programmable Thermostat_0_CI</v>
      </c>
      <c r="C323" s="47" t="str">
        <f t="shared" si="166"/>
        <v>Programmable Thermostat_0_CI</v>
      </c>
      <c r="D323" s="270" t="s">
        <v>1787</v>
      </c>
      <c r="E323" s="270" t="s">
        <v>3</v>
      </c>
      <c r="F323" s="270" t="s">
        <v>1427</v>
      </c>
      <c r="G323" s="270" t="s">
        <v>1429</v>
      </c>
      <c r="H323" s="270" t="s">
        <v>224</v>
      </c>
      <c r="I323" s="270">
        <v>0</v>
      </c>
      <c r="J323" s="270" t="s">
        <v>1159</v>
      </c>
      <c r="K323" s="263">
        <v>1</v>
      </c>
      <c r="L323" s="263" t="str">
        <f ca="1">IFERROR(INDEX(Algorithms!J:J,MATCH($C323&amp;"_Therm Saved per Unit",Algorithms!$A:$A,0)),"n/a")</f>
        <v>4.4.48</v>
      </c>
      <c r="M323" s="263" t="str">
        <f>IFERROR(INDEX('Measure Level Detail'!$N:$N,MATCH($B323,'Measure Level Detail'!$B:$B,0)),0)</f>
        <v>each</v>
      </c>
      <c r="N323" s="271">
        <f>IFERROR(INDEX('Measure Level Detail'!$P:$P,MATCH($B323&amp;"_"&amp;N$3,'Measure Level Detail'!$C:$C,0)),0)</f>
        <v>0</v>
      </c>
      <c r="O323" s="271">
        <f>IFERROR(INDEX('Measure Level Detail'!$P:$P,MATCH($B323&amp;"_"&amp;O$3,'Measure Level Detail'!$C:$C,0)),0)</f>
        <v>0</v>
      </c>
      <c r="P323" s="271">
        <f>IFERROR(INDEX('Measure Level Detail'!$P:$P,MATCH($B323&amp;"_"&amp;P$3,'Measure Level Detail'!$C:$C,0)),0)</f>
        <v>0</v>
      </c>
      <c r="Q323" s="271">
        <f>IFERROR(INDEX('Measure Level Detail'!$P:$P,MATCH($B323&amp;"_"&amp;Q$3,'Measure Level Detail'!$C:$C,0)),0)</f>
        <v>0</v>
      </c>
      <c r="R323" s="263" t="str">
        <f ca="1">IFERROR(INDEX(Algorithms!K:K,MATCH($C323&amp;"_Therm Saved per Unit",Algorithms!$A:$A,0)),"n/a")</f>
        <v>CI-HVC-THST-V06-240101</v>
      </c>
      <c r="S323" s="262"/>
      <c r="T323" s="272">
        <v>159.30512500000003</v>
      </c>
      <c r="U323" s="272">
        <v>159.30512500000003</v>
      </c>
      <c r="V323" s="272">
        <v>159.30512500000003</v>
      </c>
      <c r="W323" s="272">
        <v>159.30512500000003</v>
      </c>
      <c r="X323" s="273">
        <f>IFERROR(INDEX('Measure Level Detail'!$R:$R,MATCH($B323&amp;"_"&amp;X$3,'Measure Level Detail'!$C:$C,0)),0)</f>
        <v>0.91</v>
      </c>
      <c r="Y323" s="273">
        <f>IFERROR(INDEX('Measure Level Detail'!$R:$R,MATCH($B323&amp;"_"&amp;Y$3,'Measure Level Detail'!$C:$C,0)),0)</f>
        <v>0.91</v>
      </c>
      <c r="Z323" s="273">
        <f>IFERROR(INDEX('Measure Level Detail'!$R:$R,MATCH($B323&amp;"_"&amp;Z$3,'Measure Level Detail'!$C:$C,0)),0)</f>
        <v>0.91</v>
      </c>
      <c r="AA323" s="273">
        <f>IFERROR(INDEX('Measure Level Detail'!$R:$R,MATCH($B323&amp;"_"&amp;AA$3,'Measure Level Detail'!$C:$C,0)),0)</f>
        <v>0.91</v>
      </c>
      <c r="AB323" s="266">
        <f t="shared" si="167"/>
        <v>0</v>
      </c>
      <c r="AC323" s="266">
        <f t="shared" si="168"/>
        <v>0</v>
      </c>
      <c r="AD323" s="266">
        <f t="shared" si="169"/>
        <v>0</v>
      </c>
      <c r="AE323" s="266">
        <f t="shared" si="170"/>
        <v>0</v>
      </c>
      <c r="AF323" s="266">
        <f t="shared" si="171"/>
        <v>0</v>
      </c>
      <c r="AG323" s="274">
        <v>0.91</v>
      </c>
      <c r="AH323" s="274">
        <v>0.91</v>
      </c>
      <c r="AI323" s="274">
        <v>0.91</v>
      </c>
      <c r="AJ323" s="274">
        <v>0.91</v>
      </c>
      <c r="AK323" s="274">
        <f t="shared" si="172"/>
        <v>0.91</v>
      </c>
      <c r="AL323" s="274">
        <f t="shared" si="173"/>
        <v>0.91</v>
      </c>
      <c r="AM323" s="274">
        <f t="shared" si="174"/>
        <v>0.91</v>
      </c>
      <c r="AN323" s="274">
        <f t="shared" si="175"/>
        <v>0.91</v>
      </c>
      <c r="AO323" s="262"/>
      <c r="AP323" s="262"/>
      <c r="AQ323" s="267">
        <v>200.26929999999999</v>
      </c>
      <c r="AR323" s="262"/>
      <c r="AS323" s="266">
        <f t="shared" si="176"/>
        <v>0</v>
      </c>
      <c r="AT323" s="264">
        <f t="shared" si="177"/>
        <v>0</v>
      </c>
      <c r="AU323" s="262"/>
      <c r="AV323" s="262"/>
      <c r="AW323" s="265">
        <v>200.26929999999999</v>
      </c>
      <c r="AX323" s="164" t="s">
        <v>1469</v>
      </c>
      <c r="AY323" s="266">
        <v>0</v>
      </c>
      <c r="AZ323" s="266">
        <f t="shared" si="178"/>
        <v>0</v>
      </c>
      <c r="BA323" s="264">
        <f t="shared" si="179"/>
        <v>0</v>
      </c>
      <c r="BB323" s="262"/>
      <c r="BC323" s="262"/>
      <c r="BD323" s="265">
        <f ca="1">IFERROR(INDEX(Algorithms!$G:$G,MATCH($C323&amp;"_Therm Saved per Unit",Algorithms!$A:$A,0)),0)</f>
        <v>200.26929999999999</v>
      </c>
      <c r="BE323" s="164" t="str">
        <f ca="1">IFERROR(INDEX('v12 Revisions'!$P$29:$P$186, MATCH('Measure-Level Adj Gas'!$L323, 'v12 Revisions'!$D$29:$D$186,0)),"")</f>
        <v>n/a - only affects electric energy savings algorithm.</v>
      </c>
      <c r="BF323" s="266">
        <f t="shared" ca="1" si="180"/>
        <v>0</v>
      </c>
      <c r="BG323" s="264">
        <f t="shared" ca="1" si="181"/>
        <v>0</v>
      </c>
      <c r="BH323" s="262"/>
      <c r="BI323" s="262"/>
      <c r="BJ323" s="265">
        <f ca="1">IFERROR(INDEX(Algorithms!$G:$G,MATCH($C323&amp;"_Therm Saved per Unit",Algorithms!$A:$A,0)),0)</f>
        <v>200.26929999999999</v>
      </c>
      <c r="BK323" s="164"/>
      <c r="BL323" s="266">
        <f t="shared" ca="1" si="182"/>
        <v>0</v>
      </c>
      <c r="BM323" s="264">
        <f t="shared" ca="1" si="183"/>
        <v>0</v>
      </c>
      <c r="BN323" s="266">
        <f t="shared" si="184"/>
        <v>0</v>
      </c>
      <c r="BO323" s="266">
        <f t="shared" si="185"/>
        <v>0</v>
      </c>
      <c r="BP323" s="266">
        <f t="shared" ca="1" si="186"/>
        <v>0</v>
      </c>
      <c r="BQ323" s="266">
        <f t="shared" ca="1" si="187"/>
        <v>0</v>
      </c>
      <c r="BR323" s="268">
        <f t="shared" ca="1" si="188"/>
        <v>0</v>
      </c>
      <c r="BS323" s="262" t="s">
        <v>99</v>
      </c>
      <c r="BT323" s="277"/>
      <c r="BW323" s="266">
        <f t="shared" si="189"/>
        <v>0</v>
      </c>
      <c r="BX323" s="266">
        <f t="shared" si="190"/>
        <v>0</v>
      </c>
      <c r="BY323" s="266">
        <f t="shared" si="191"/>
        <v>0</v>
      </c>
      <c r="BZ323" s="266">
        <f t="shared" si="192"/>
        <v>0</v>
      </c>
      <c r="CA323" s="266">
        <f ca="1">N323*IFERROR(INDEX(Algorithms!$G:$G,MATCH($C323&amp;"_Therm Saved per Unit- MLA",Algorithms!$A:$A,0)),0)*X323</f>
        <v>0</v>
      </c>
      <c r="CB323" s="266">
        <f ca="1">O323*IFERROR(INDEX(Algorithms!$G:$G,MATCH($C323&amp;"_Therm Saved per Unit- MLA",Algorithms!$A:$A,0)),0)*Y323</f>
        <v>0</v>
      </c>
      <c r="CC323" s="266">
        <f ca="1">P323*IFERROR(INDEX(Algorithms!$G:$G,MATCH($C323&amp;"_Therm Saved per Unit- MLA",Algorithms!$A:$A,0)),0)*Z323</f>
        <v>0</v>
      </c>
      <c r="CD323" s="266">
        <f ca="1">Q323*IFERROR(INDEX(Algorithms!$G:$G,MATCH($C323&amp;"_Therm Saved per Unit- MLA",Algorithms!$A:$A,0)),0)*AA323</f>
        <v>0</v>
      </c>
      <c r="CE323" s="266">
        <f ca="1">IFERROR(INDEX(Algorithms!$G:$G,MATCH($C323&amp;"_Lifetime (years)",Algorithms!$A:$A,0)),0)</f>
        <v>11</v>
      </c>
      <c r="CF323" s="266">
        <f ca="1">IFERROR(INDEX(Algorithms!$G:$G,MATCH($C323&amp;"_Lifetime (years) - Remaining Years",Algorithms!$A:$A,0)),0)</f>
        <v>0</v>
      </c>
      <c r="CG323" s="266">
        <f t="shared" ca="1" si="193"/>
        <v>0</v>
      </c>
      <c r="CH323" s="266">
        <f t="shared" ca="1" si="194"/>
        <v>0</v>
      </c>
      <c r="CI323" s="266">
        <f t="shared" ca="1" si="195"/>
        <v>0</v>
      </c>
      <c r="CJ323" s="266">
        <f t="shared" ca="1" si="196"/>
        <v>0</v>
      </c>
      <c r="CK323" s="266">
        <f t="shared" si="197"/>
        <v>0</v>
      </c>
      <c r="CL323" s="266">
        <f t="shared" si="198"/>
        <v>0</v>
      </c>
      <c r="CM323" s="266">
        <f t="shared" ca="1" si="199"/>
        <v>0</v>
      </c>
      <c r="CN323" s="266">
        <f t="shared" ca="1" si="200"/>
        <v>0</v>
      </c>
      <c r="CO323" s="266">
        <f ca="1">N323*IFERROR(INDEX(Algorithms!$G:$G,MATCH($C323&amp;"_Therm Saved per Unit- MLA",Algorithms!$A:$A,0)),0)*X323</f>
        <v>0</v>
      </c>
      <c r="CP323" s="266">
        <f ca="1">O323*IFERROR(INDEX(Algorithms!$G:$G,MATCH($C323&amp;"_Therm Saved per Unit- MLA",Algorithms!$A:$A,0)),0)*Y323</f>
        <v>0</v>
      </c>
      <c r="CQ323" s="266">
        <f ca="1">P323*IFERROR(INDEX(Algorithms!$G:$G,MATCH($C323&amp;"_Therm Saved per Unit- MLA",Algorithms!$A:$A,0)),0)*Z323</f>
        <v>0</v>
      </c>
      <c r="CR323" s="266">
        <f ca="1">Q323*IFERROR(INDEX(Algorithms!$G:$G,MATCH($C323&amp;"_Therm Saved per Unit- MLA",Algorithms!$A:$A,0)),0)*AA323</f>
        <v>0</v>
      </c>
      <c r="CS323" s="266">
        <f ca="1">IFERROR(INDEX(Algorithms!$G:$G,MATCH($C323&amp;"_Lifetime (years)",Algorithms!$A:$A,0)),0)</f>
        <v>11</v>
      </c>
      <c r="CT323" s="266">
        <f ca="1">IFERROR(INDEX(Algorithms!$G:$G,MATCH($C323&amp;"_Lifetime (years) - Remaining Years",Algorithms!$A:$A,0)),0)</f>
        <v>0</v>
      </c>
      <c r="CU323" s="266">
        <f t="shared" ca="1" si="201"/>
        <v>0</v>
      </c>
      <c r="CV323" s="266">
        <f t="shared" ca="1" si="202"/>
        <v>0</v>
      </c>
      <c r="CW323" s="266">
        <f t="shared" ca="1" si="203"/>
        <v>0</v>
      </c>
      <c r="CX323" s="266">
        <f t="shared" ca="1" si="204"/>
        <v>0</v>
      </c>
    </row>
    <row r="324" spans="2:102" s="47" customFormat="1" ht="18" customHeight="1" x14ac:dyDescent="0.25">
      <c r="B324" t="str">
        <f t="shared" si="205"/>
        <v>NSG_Business_C&amp;I_Rebates_Water Heater_Storage 88% TE ≥75MBh_CI</v>
      </c>
      <c r="C324" s="47" t="str">
        <f t="shared" si="166"/>
        <v>Water Heater_Storage 88% TE ≥75MBh_CI</v>
      </c>
      <c r="D324" s="270" t="s">
        <v>1787</v>
      </c>
      <c r="E324" s="270" t="s">
        <v>3</v>
      </c>
      <c r="F324" s="270" t="s">
        <v>1427</v>
      </c>
      <c r="G324" s="270" t="s">
        <v>1429</v>
      </c>
      <c r="H324" s="270" t="s">
        <v>8</v>
      </c>
      <c r="I324" s="270" t="s">
        <v>1262</v>
      </c>
      <c r="J324" s="270" t="s">
        <v>1159</v>
      </c>
      <c r="K324" s="263">
        <v>1</v>
      </c>
      <c r="L324" s="263" t="str">
        <f ca="1">IFERROR(INDEX(Algorithms!J:J,MATCH($C324&amp;"_Therm Saved per Unit",Algorithms!$A:$A,0)),"n/a")</f>
        <v>4.3.1</v>
      </c>
      <c r="M324" s="263" t="str">
        <f>IFERROR(INDEX('Measure Level Detail'!$N:$N,MATCH($B324,'Measure Level Detail'!$B:$B,0)),0)</f>
        <v>each</v>
      </c>
      <c r="N324" s="271">
        <f>IFERROR(INDEX('Measure Level Detail'!$P:$P,MATCH($B324&amp;"_"&amp;N$3,'Measure Level Detail'!$C:$C,0)),0)</f>
        <v>0</v>
      </c>
      <c r="O324" s="271">
        <f>IFERROR(INDEX('Measure Level Detail'!$P:$P,MATCH($B324&amp;"_"&amp;O$3,'Measure Level Detail'!$C:$C,0)),0)</f>
        <v>0</v>
      </c>
      <c r="P324" s="271">
        <f>IFERROR(INDEX('Measure Level Detail'!$P:$P,MATCH($B324&amp;"_"&amp;P$3,'Measure Level Detail'!$C:$C,0)),0)</f>
        <v>0</v>
      </c>
      <c r="Q324" s="271">
        <f>IFERROR(INDEX('Measure Level Detail'!$P:$P,MATCH($B324&amp;"_"&amp;Q$3,'Measure Level Detail'!$C:$C,0)),0)</f>
        <v>0</v>
      </c>
      <c r="R324" s="263" t="str">
        <f ca="1">IFERROR(INDEX(Algorithms!K:K,MATCH($C324&amp;"_Therm Saved per Unit",Algorithms!$A:$A,0)),"n/a")</f>
        <v>CI-HWE-STWH-V10-240101</v>
      </c>
      <c r="S324" s="262"/>
      <c r="T324" s="272">
        <v>135.66827090062347</v>
      </c>
      <c r="U324" s="272">
        <v>135.66827090062347</v>
      </c>
      <c r="V324" s="272">
        <v>135.66827090062347</v>
      </c>
      <c r="W324" s="272">
        <v>135.66827090062347</v>
      </c>
      <c r="X324" s="273">
        <f>IFERROR(INDEX('Measure Level Detail'!$R:$R,MATCH($B324&amp;"_"&amp;X$3,'Measure Level Detail'!$C:$C,0)),0)</f>
        <v>0.91</v>
      </c>
      <c r="Y324" s="273">
        <f>IFERROR(INDEX('Measure Level Detail'!$R:$R,MATCH($B324&amp;"_"&amp;Y$3,'Measure Level Detail'!$C:$C,0)),0)</f>
        <v>0.91</v>
      </c>
      <c r="Z324" s="273">
        <f>IFERROR(INDEX('Measure Level Detail'!$R:$R,MATCH($B324&amp;"_"&amp;Z$3,'Measure Level Detail'!$C:$C,0)),0)</f>
        <v>0.91</v>
      </c>
      <c r="AA324" s="273">
        <f>IFERROR(INDEX('Measure Level Detail'!$R:$R,MATCH($B324&amp;"_"&amp;AA$3,'Measure Level Detail'!$C:$C,0)),0)</f>
        <v>0.91</v>
      </c>
      <c r="AB324" s="266">
        <f t="shared" si="167"/>
        <v>0</v>
      </c>
      <c r="AC324" s="266">
        <f t="shared" si="168"/>
        <v>0</v>
      </c>
      <c r="AD324" s="266">
        <f t="shared" si="169"/>
        <v>0</v>
      </c>
      <c r="AE324" s="266">
        <f t="shared" si="170"/>
        <v>0</v>
      </c>
      <c r="AF324" s="266">
        <f t="shared" si="171"/>
        <v>0</v>
      </c>
      <c r="AG324" s="274">
        <v>0.91</v>
      </c>
      <c r="AH324" s="274">
        <v>0.91</v>
      </c>
      <c r="AI324" s="274">
        <v>0.91</v>
      </c>
      <c r="AJ324" s="274">
        <v>0.91</v>
      </c>
      <c r="AK324" s="274">
        <f t="shared" si="172"/>
        <v>0.91</v>
      </c>
      <c r="AL324" s="274">
        <f t="shared" si="173"/>
        <v>0.91</v>
      </c>
      <c r="AM324" s="274">
        <f t="shared" si="174"/>
        <v>0.91</v>
      </c>
      <c r="AN324" s="274">
        <f t="shared" si="175"/>
        <v>0.91</v>
      </c>
      <c r="AO324" s="262"/>
      <c r="AP324" s="262"/>
      <c r="AQ324" s="267">
        <v>139.65886152562348</v>
      </c>
      <c r="AR324" s="262"/>
      <c r="AS324" s="266">
        <f t="shared" si="176"/>
        <v>0</v>
      </c>
      <c r="AT324" s="264">
        <f t="shared" si="177"/>
        <v>0</v>
      </c>
      <c r="AU324" s="262"/>
      <c r="AV324" s="262"/>
      <c r="AW324" s="265">
        <v>139.65886152562348</v>
      </c>
      <c r="AX324" s="164" t="s">
        <v>1469</v>
      </c>
      <c r="AY324" s="266">
        <v>0</v>
      </c>
      <c r="AZ324" s="266">
        <f t="shared" si="178"/>
        <v>0</v>
      </c>
      <c r="BA324" s="264">
        <f t="shared" si="179"/>
        <v>0</v>
      </c>
      <c r="BB324" s="262"/>
      <c r="BC324" s="262"/>
      <c r="BD324" s="265">
        <f ca="1">IFERROR(INDEX(Algorithms!$G:$G,MATCH($C324&amp;"_Therm Saved per Unit",Algorithms!$A:$A,0)),0)</f>
        <v>139.65886152562348</v>
      </c>
      <c r="BE324" s="164" t="str">
        <f ca="1">IFERROR(INDEX('v12 Revisions'!$P$29:$P$186, MATCH('Measure-Level Adj Gas'!$L324, 'v12 Revisions'!$D$29:$D$186,0)),"")</f>
        <v>n/a - language only.</v>
      </c>
      <c r="BF324" s="266">
        <f t="shared" ca="1" si="180"/>
        <v>0</v>
      </c>
      <c r="BG324" s="264">
        <f t="shared" ca="1" si="181"/>
        <v>0</v>
      </c>
      <c r="BH324" s="262"/>
      <c r="BI324" s="262"/>
      <c r="BJ324" s="265">
        <f ca="1">IFERROR(INDEX(Algorithms!$G:$G,MATCH($C324&amp;"_Therm Saved per Unit",Algorithms!$A:$A,0)),0)</f>
        <v>139.65886152562348</v>
      </c>
      <c r="BK324" s="164"/>
      <c r="BL324" s="266">
        <f t="shared" ca="1" si="182"/>
        <v>0</v>
      </c>
      <c r="BM324" s="264">
        <f t="shared" ca="1" si="183"/>
        <v>0</v>
      </c>
      <c r="BN324" s="266">
        <f t="shared" si="184"/>
        <v>0</v>
      </c>
      <c r="BO324" s="266">
        <f t="shared" si="185"/>
        <v>0</v>
      </c>
      <c r="BP324" s="266">
        <f t="shared" ca="1" si="186"/>
        <v>0</v>
      </c>
      <c r="BQ324" s="266">
        <f t="shared" ca="1" si="187"/>
        <v>0</v>
      </c>
      <c r="BR324" s="268">
        <f t="shared" ca="1" si="188"/>
        <v>0</v>
      </c>
      <c r="BS324" s="262" t="s">
        <v>99</v>
      </c>
      <c r="BT324" s="277"/>
      <c r="BW324" s="266">
        <f t="shared" si="189"/>
        <v>0</v>
      </c>
      <c r="BX324" s="266">
        <f t="shared" si="190"/>
        <v>0</v>
      </c>
      <c r="BY324" s="266">
        <f t="shared" si="191"/>
        <v>0</v>
      </c>
      <c r="BZ324" s="266">
        <f t="shared" si="192"/>
        <v>0</v>
      </c>
      <c r="CA324" s="266">
        <f ca="1">N324*IFERROR(INDEX(Algorithms!$G:$G,MATCH($C324&amp;"_Therm Saved per Unit- MLA",Algorithms!$A:$A,0)),0)*X324</f>
        <v>0</v>
      </c>
      <c r="CB324" s="266">
        <f ca="1">O324*IFERROR(INDEX(Algorithms!$G:$G,MATCH($C324&amp;"_Therm Saved per Unit- MLA",Algorithms!$A:$A,0)),0)*Y324</f>
        <v>0</v>
      </c>
      <c r="CC324" s="266">
        <f ca="1">P324*IFERROR(INDEX(Algorithms!$G:$G,MATCH($C324&amp;"_Therm Saved per Unit- MLA",Algorithms!$A:$A,0)),0)*Z324</f>
        <v>0</v>
      </c>
      <c r="CD324" s="266">
        <f ca="1">Q324*IFERROR(INDEX(Algorithms!$G:$G,MATCH($C324&amp;"_Therm Saved per Unit- MLA",Algorithms!$A:$A,0)),0)*AA324</f>
        <v>0</v>
      </c>
      <c r="CE324" s="266">
        <f ca="1">IFERROR(INDEX(Algorithms!$G:$G,MATCH($C324&amp;"_Lifetime (years)",Algorithms!$A:$A,0)),0)</f>
        <v>15</v>
      </c>
      <c r="CF324" s="266">
        <f ca="1">IFERROR(INDEX(Algorithms!$G:$G,MATCH($C324&amp;"_Lifetime (years) - Remaining Years",Algorithms!$A:$A,0)),0)</f>
        <v>0</v>
      </c>
      <c r="CG324" s="266">
        <f t="shared" ca="1" si="193"/>
        <v>0</v>
      </c>
      <c r="CH324" s="266">
        <f t="shared" ca="1" si="194"/>
        <v>0</v>
      </c>
      <c r="CI324" s="266">
        <f t="shared" ca="1" si="195"/>
        <v>0</v>
      </c>
      <c r="CJ324" s="266">
        <f t="shared" ca="1" si="196"/>
        <v>0</v>
      </c>
      <c r="CK324" s="266">
        <f t="shared" si="197"/>
        <v>0</v>
      </c>
      <c r="CL324" s="266">
        <f t="shared" si="198"/>
        <v>0</v>
      </c>
      <c r="CM324" s="266">
        <f t="shared" ca="1" si="199"/>
        <v>0</v>
      </c>
      <c r="CN324" s="266">
        <f t="shared" ca="1" si="200"/>
        <v>0</v>
      </c>
      <c r="CO324" s="266">
        <f ca="1">N324*IFERROR(INDEX(Algorithms!$G:$G,MATCH($C324&amp;"_Therm Saved per Unit- MLA",Algorithms!$A:$A,0)),0)*X324</f>
        <v>0</v>
      </c>
      <c r="CP324" s="266">
        <f ca="1">O324*IFERROR(INDEX(Algorithms!$G:$G,MATCH($C324&amp;"_Therm Saved per Unit- MLA",Algorithms!$A:$A,0)),0)*Y324</f>
        <v>0</v>
      </c>
      <c r="CQ324" s="266">
        <f ca="1">P324*IFERROR(INDEX(Algorithms!$G:$G,MATCH($C324&amp;"_Therm Saved per Unit- MLA",Algorithms!$A:$A,0)),0)*Z324</f>
        <v>0</v>
      </c>
      <c r="CR324" s="266">
        <f ca="1">Q324*IFERROR(INDEX(Algorithms!$G:$G,MATCH($C324&amp;"_Therm Saved per Unit- MLA",Algorithms!$A:$A,0)),0)*AA324</f>
        <v>0</v>
      </c>
      <c r="CS324" s="266">
        <f ca="1">IFERROR(INDEX(Algorithms!$G:$G,MATCH($C324&amp;"_Lifetime (years)",Algorithms!$A:$A,0)),0)</f>
        <v>15</v>
      </c>
      <c r="CT324" s="266">
        <f ca="1">IFERROR(INDEX(Algorithms!$G:$G,MATCH($C324&amp;"_Lifetime (years) - Remaining Years",Algorithms!$A:$A,0)),0)</f>
        <v>0</v>
      </c>
      <c r="CU324" s="266">
        <f t="shared" ca="1" si="201"/>
        <v>0</v>
      </c>
      <c r="CV324" s="266">
        <f t="shared" ca="1" si="202"/>
        <v>0</v>
      </c>
      <c r="CW324" s="266">
        <f t="shared" ca="1" si="203"/>
        <v>0</v>
      </c>
      <c r="CX324" s="266">
        <f t="shared" ca="1" si="204"/>
        <v>0</v>
      </c>
    </row>
    <row r="325" spans="2:102" s="47" customFormat="1" ht="18" customHeight="1" x14ac:dyDescent="0.25">
      <c r="B325" t="str">
        <f t="shared" si="205"/>
        <v>NSG_Business_C&amp;I_Rebates_Water Heater_Central Lodging 88% TE_CI</v>
      </c>
      <c r="C325" s="47" t="str">
        <f t="shared" si="166"/>
        <v>Water Heater_Central Lodging 88% TE_CI</v>
      </c>
      <c r="D325" s="270" t="s">
        <v>1787</v>
      </c>
      <c r="E325" s="270" t="s">
        <v>3</v>
      </c>
      <c r="F325" s="270" t="s">
        <v>1427</v>
      </c>
      <c r="G325" s="270" t="s">
        <v>1429</v>
      </c>
      <c r="H325" s="270" t="s">
        <v>8</v>
      </c>
      <c r="I325" s="270" t="s">
        <v>1304</v>
      </c>
      <c r="J325" s="270" t="s">
        <v>1159</v>
      </c>
      <c r="K325" s="263">
        <v>1</v>
      </c>
      <c r="L325" s="263" t="str">
        <f ca="1">IFERROR(INDEX(Algorithms!J:J,MATCH($C325&amp;"_Therm Saved per Unit",Algorithms!$A:$A,0)),"n/a")</f>
        <v>4.3.7</v>
      </c>
      <c r="M325" s="263" t="str">
        <f>IFERROR(INDEX('Measure Level Detail'!$N:$N,MATCH($B325,'Measure Level Detail'!$B:$B,0)),0)</f>
        <v>MBH</v>
      </c>
      <c r="N325" s="271">
        <f>IFERROR(INDEX('Measure Level Detail'!$P:$P,MATCH($B325&amp;"_"&amp;N$3,'Measure Level Detail'!$C:$C,0)),0)</f>
        <v>0</v>
      </c>
      <c r="O325" s="271">
        <f>IFERROR(INDEX('Measure Level Detail'!$P:$P,MATCH($B325&amp;"_"&amp;O$3,'Measure Level Detail'!$C:$C,0)),0)</f>
        <v>0</v>
      </c>
      <c r="P325" s="271">
        <f>IFERROR(INDEX('Measure Level Detail'!$P:$P,MATCH($B325&amp;"_"&amp;P$3,'Measure Level Detail'!$C:$C,0)),0)</f>
        <v>0</v>
      </c>
      <c r="Q325" s="271">
        <f>IFERROR(INDEX('Measure Level Detail'!$P:$P,MATCH($B325&amp;"_"&amp;Q$3,'Measure Level Detail'!$C:$C,0)),0)</f>
        <v>0</v>
      </c>
      <c r="R325" s="263" t="str">
        <f ca="1">IFERROR(INDEX(Algorithms!K:K,MATCH($C325&amp;"_Therm Saved per Unit",Algorithms!$A:$A,0)),"n/a")</f>
        <v>CI-HWE-MDHW-V07-240101</v>
      </c>
      <c r="S325" s="262"/>
      <c r="T325" s="272">
        <v>9.31628800262075</v>
      </c>
      <c r="U325" s="272">
        <v>9.31628800262075</v>
      </c>
      <c r="V325" s="272">
        <v>9.31628800262075</v>
      </c>
      <c r="W325" s="272">
        <v>9.31628800262075</v>
      </c>
      <c r="X325" s="273">
        <f>IFERROR(INDEX('Measure Level Detail'!$R:$R,MATCH($B325&amp;"_"&amp;X$3,'Measure Level Detail'!$C:$C,0)),0)</f>
        <v>0.91</v>
      </c>
      <c r="Y325" s="273">
        <f>IFERROR(INDEX('Measure Level Detail'!$R:$R,MATCH($B325&amp;"_"&amp;Y$3,'Measure Level Detail'!$C:$C,0)),0)</f>
        <v>0.91</v>
      </c>
      <c r="Z325" s="273">
        <f>IFERROR(INDEX('Measure Level Detail'!$R:$R,MATCH($B325&amp;"_"&amp;Z$3,'Measure Level Detail'!$C:$C,0)),0)</f>
        <v>0.91</v>
      </c>
      <c r="AA325" s="273">
        <f>IFERROR(INDEX('Measure Level Detail'!$R:$R,MATCH($B325&amp;"_"&amp;AA$3,'Measure Level Detail'!$C:$C,0)),0)</f>
        <v>0.91</v>
      </c>
      <c r="AB325" s="266">
        <f t="shared" si="167"/>
        <v>0</v>
      </c>
      <c r="AC325" s="266">
        <f t="shared" si="168"/>
        <v>0</v>
      </c>
      <c r="AD325" s="266">
        <f t="shared" si="169"/>
        <v>0</v>
      </c>
      <c r="AE325" s="266">
        <f t="shared" si="170"/>
        <v>0</v>
      </c>
      <c r="AF325" s="266">
        <f t="shared" si="171"/>
        <v>0</v>
      </c>
      <c r="AG325" s="274">
        <v>0.91</v>
      </c>
      <c r="AH325" s="274">
        <v>0.91</v>
      </c>
      <c r="AI325" s="274">
        <v>0.91</v>
      </c>
      <c r="AJ325" s="274">
        <v>0.91</v>
      </c>
      <c r="AK325" s="274">
        <f t="shared" si="172"/>
        <v>0.91</v>
      </c>
      <c r="AL325" s="274">
        <f t="shared" si="173"/>
        <v>0.91</v>
      </c>
      <c r="AM325" s="274">
        <f t="shared" si="174"/>
        <v>0.91</v>
      </c>
      <c r="AN325" s="274">
        <f t="shared" si="175"/>
        <v>0.91</v>
      </c>
      <c r="AO325" s="262"/>
      <c r="AP325" s="262"/>
      <c r="AQ325" s="267">
        <v>9.7379830071207483</v>
      </c>
      <c r="AR325" s="262"/>
      <c r="AS325" s="266">
        <f t="shared" si="176"/>
        <v>0</v>
      </c>
      <c r="AT325" s="264">
        <f t="shared" si="177"/>
        <v>0</v>
      </c>
      <c r="AU325" s="262"/>
      <c r="AV325" s="262"/>
      <c r="AW325" s="265">
        <v>9.7379830071207483</v>
      </c>
      <c r="AX325" s="164" t="s">
        <v>1469</v>
      </c>
      <c r="AY325" s="266">
        <v>0</v>
      </c>
      <c r="AZ325" s="266">
        <f t="shared" si="178"/>
        <v>0</v>
      </c>
      <c r="BA325" s="264">
        <f t="shared" si="179"/>
        <v>0</v>
      </c>
      <c r="BB325" s="262"/>
      <c r="BC325" s="262"/>
      <c r="BD325" s="265">
        <f ca="1">IFERROR(INDEX(Algorithms!$G:$G,MATCH($C325&amp;"_Therm Saved per Unit",Algorithms!$A:$A,0)),0)</f>
        <v>9.7379830071207483</v>
      </c>
      <c r="BE325" s="164" t="str">
        <f ca="1">IFERROR(INDEX('v12 Revisions'!$P$29:$P$186, MATCH('Measure-Level Adj Gas'!$L325, 'v12 Revisions'!$D$29:$D$186,0)),"")</f>
        <v>n/a - language only.</v>
      </c>
      <c r="BF325" s="266">
        <f t="shared" ca="1" si="180"/>
        <v>0</v>
      </c>
      <c r="BG325" s="264">
        <f t="shared" ca="1" si="181"/>
        <v>0</v>
      </c>
      <c r="BH325" s="262"/>
      <c r="BI325" s="262"/>
      <c r="BJ325" s="265">
        <f ca="1">IFERROR(INDEX(Algorithms!$G:$G,MATCH($C325&amp;"_Therm Saved per Unit",Algorithms!$A:$A,0)),0)</f>
        <v>9.7379830071207483</v>
      </c>
      <c r="BK325" s="164"/>
      <c r="BL325" s="266">
        <f t="shared" ca="1" si="182"/>
        <v>0</v>
      </c>
      <c r="BM325" s="264">
        <f t="shared" ca="1" si="183"/>
        <v>0</v>
      </c>
      <c r="BN325" s="266">
        <f t="shared" si="184"/>
        <v>0</v>
      </c>
      <c r="BO325" s="266">
        <f t="shared" si="185"/>
        <v>0</v>
      </c>
      <c r="BP325" s="266">
        <f t="shared" ca="1" si="186"/>
        <v>0</v>
      </c>
      <c r="BQ325" s="266">
        <f t="shared" ca="1" si="187"/>
        <v>0</v>
      </c>
      <c r="BR325" s="268">
        <f t="shared" ca="1" si="188"/>
        <v>0</v>
      </c>
      <c r="BS325" s="262" t="s">
        <v>99</v>
      </c>
      <c r="BT325" s="277"/>
      <c r="BW325" s="266">
        <f t="shared" si="189"/>
        <v>0</v>
      </c>
      <c r="BX325" s="266">
        <f t="shared" si="190"/>
        <v>0</v>
      </c>
      <c r="BY325" s="266">
        <f t="shared" si="191"/>
        <v>0</v>
      </c>
      <c r="BZ325" s="266">
        <f t="shared" si="192"/>
        <v>0</v>
      </c>
      <c r="CA325" s="266">
        <f ca="1">N325*IFERROR(INDEX(Algorithms!$G:$G,MATCH($C325&amp;"_Therm Saved per Unit- MLA",Algorithms!$A:$A,0)),0)*X325</f>
        <v>0</v>
      </c>
      <c r="CB325" s="266">
        <f ca="1">O325*IFERROR(INDEX(Algorithms!$G:$G,MATCH($C325&amp;"_Therm Saved per Unit- MLA",Algorithms!$A:$A,0)),0)*Y325</f>
        <v>0</v>
      </c>
      <c r="CC325" s="266">
        <f ca="1">P325*IFERROR(INDEX(Algorithms!$G:$G,MATCH($C325&amp;"_Therm Saved per Unit- MLA",Algorithms!$A:$A,0)),0)*Z325</f>
        <v>0</v>
      </c>
      <c r="CD325" s="266">
        <f ca="1">Q325*IFERROR(INDEX(Algorithms!$G:$G,MATCH($C325&amp;"_Therm Saved per Unit- MLA",Algorithms!$A:$A,0)),0)*AA325</f>
        <v>0</v>
      </c>
      <c r="CE325" s="266">
        <f ca="1">IFERROR(INDEX(Algorithms!$G:$G,MATCH($C325&amp;"_Lifetime (years)",Algorithms!$A:$A,0)),0)</f>
        <v>15</v>
      </c>
      <c r="CF325" s="266">
        <f ca="1">IFERROR(INDEX(Algorithms!$G:$G,MATCH($C325&amp;"_Lifetime (years) - Remaining Years",Algorithms!$A:$A,0)),0)</f>
        <v>0</v>
      </c>
      <c r="CG325" s="266">
        <f t="shared" ca="1" si="193"/>
        <v>0</v>
      </c>
      <c r="CH325" s="266">
        <f t="shared" ca="1" si="194"/>
        <v>0</v>
      </c>
      <c r="CI325" s="266">
        <f t="shared" ca="1" si="195"/>
        <v>0</v>
      </c>
      <c r="CJ325" s="266">
        <f t="shared" ca="1" si="196"/>
        <v>0</v>
      </c>
      <c r="CK325" s="266">
        <f t="shared" si="197"/>
        <v>0</v>
      </c>
      <c r="CL325" s="266">
        <f t="shared" si="198"/>
        <v>0</v>
      </c>
      <c r="CM325" s="266">
        <f t="shared" ca="1" si="199"/>
        <v>0</v>
      </c>
      <c r="CN325" s="266">
        <f t="shared" ca="1" si="200"/>
        <v>0</v>
      </c>
      <c r="CO325" s="266">
        <f ca="1">N325*IFERROR(INDEX(Algorithms!$G:$G,MATCH($C325&amp;"_Therm Saved per Unit- MLA",Algorithms!$A:$A,0)),0)*X325</f>
        <v>0</v>
      </c>
      <c r="CP325" s="266">
        <f ca="1">O325*IFERROR(INDEX(Algorithms!$G:$G,MATCH($C325&amp;"_Therm Saved per Unit- MLA",Algorithms!$A:$A,0)),0)*Y325</f>
        <v>0</v>
      </c>
      <c r="CQ325" s="266">
        <f ca="1">P325*IFERROR(INDEX(Algorithms!$G:$G,MATCH($C325&amp;"_Therm Saved per Unit- MLA",Algorithms!$A:$A,0)),0)*Z325</f>
        <v>0</v>
      </c>
      <c r="CR325" s="266">
        <f ca="1">Q325*IFERROR(INDEX(Algorithms!$G:$G,MATCH($C325&amp;"_Therm Saved per Unit- MLA",Algorithms!$A:$A,0)),0)*AA325</f>
        <v>0</v>
      </c>
      <c r="CS325" s="266">
        <f ca="1">IFERROR(INDEX(Algorithms!$G:$G,MATCH($C325&amp;"_Lifetime (years)",Algorithms!$A:$A,0)),0)</f>
        <v>15</v>
      </c>
      <c r="CT325" s="266">
        <f ca="1">IFERROR(INDEX(Algorithms!$G:$G,MATCH($C325&amp;"_Lifetime (years) - Remaining Years",Algorithms!$A:$A,0)),0)</f>
        <v>0</v>
      </c>
      <c r="CU325" s="266">
        <f t="shared" ca="1" si="201"/>
        <v>0</v>
      </c>
      <c r="CV325" s="266">
        <f t="shared" ca="1" si="202"/>
        <v>0</v>
      </c>
      <c r="CW325" s="266">
        <f t="shared" ca="1" si="203"/>
        <v>0</v>
      </c>
      <c r="CX325" s="266">
        <f t="shared" ca="1" si="204"/>
        <v>0</v>
      </c>
    </row>
    <row r="326" spans="2:102" s="47" customFormat="1" ht="18" customHeight="1" x14ac:dyDescent="0.25">
      <c r="B326" t="str">
        <f t="shared" si="205"/>
        <v>NSG_Business_C&amp;I_Rebates_Energy Recovery Ventilator_0_CI</v>
      </c>
      <c r="C326" s="47" t="str">
        <f t="shared" si="166"/>
        <v>Energy Recovery Ventilator_0_CI</v>
      </c>
      <c r="D326" s="270" t="s">
        <v>1787</v>
      </c>
      <c r="E326" s="270" t="s">
        <v>3</v>
      </c>
      <c r="F326" s="270" t="s">
        <v>1427</v>
      </c>
      <c r="G326" s="270" t="s">
        <v>1429</v>
      </c>
      <c r="H326" s="270" t="s">
        <v>11</v>
      </c>
      <c r="I326" s="270">
        <v>0</v>
      </c>
      <c r="J326" s="270" t="s">
        <v>1159</v>
      </c>
      <c r="K326" s="263">
        <v>1</v>
      </c>
      <c r="L326" s="263" t="str">
        <f ca="1">IFERROR(INDEX(Algorithms!J:J,MATCH($C326&amp;"_Therm Saved per Unit",Algorithms!$A:$A,0)),"n/a")</f>
        <v>4.4.27</v>
      </c>
      <c r="M326" s="263" t="str">
        <f>IFERROR(INDEX('Measure Level Detail'!$N:$N,MATCH($B326,'Measure Level Detail'!$B:$B,0)),0)</f>
        <v>CFM</v>
      </c>
      <c r="N326" s="271">
        <f>IFERROR(INDEX('Measure Level Detail'!$P:$P,MATCH($B326&amp;"_"&amp;N$3,'Measure Level Detail'!$C:$C,0)),0)</f>
        <v>0</v>
      </c>
      <c r="O326" s="271">
        <f>IFERROR(INDEX('Measure Level Detail'!$P:$P,MATCH($B326&amp;"_"&amp;O$3,'Measure Level Detail'!$C:$C,0)),0)</f>
        <v>0</v>
      </c>
      <c r="P326" s="271">
        <f>IFERROR(INDEX('Measure Level Detail'!$P:$P,MATCH($B326&amp;"_"&amp;P$3,'Measure Level Detail'!$C:$C,0)),0)</f>
        <v>0</v>
      </c>
      <c r="Q326" s="271">
        <f>IFERROR(INDEX('Measure Level Detail'!$P:$P,MATCH($B326&amp;"_"&amp;Q$3,'Measure Level Detail'!$C:$C,0)),0)</f>
        <v>0</v>
      </c>
      <c r="R326" s="263" t="str">
        <f ca="1">IFERROR(INDEX(Algorithms!K:K,MATCH($C326&amp;"_Therm Saved per Unit",Algorithms!$A:$A,0)),"n/a")</f>
        <v>CI-HVC-ERVE-V06-240101</v>
      </c>
      <c r="S326" s="262"/>
      <c r="T326" s="272">
        <v>0.47508182047227931</v>
      </c>
      <c r="U326" s="272">
        <v>0.47508182047227931</v>
      </c>
      <c r="V326" s="272">
        <v>0.47508182047227931</v>
      </c>
      <c r="W326" s="272">
        <v>0.47508182047227931</v>
      </c>
      <c r="X326" s="273">
        <f>IFERROR(INDEX('Measure Level Detail'!$R:$R,MATCH($B326&amp;"_"&amp;X$3,'Measure Level Detail'!$C:$C,0)),0)</f>
        <v>0.91</v>
      </c>
      <c r="Y326" s="273">
        <f>IFERROR(INDEX('Measure Level Detail'!$R:$R,MATCH($B326&amp;"_"&amp;Y$3,'Measure Level Detail'!$C:$C,0)),0)</f>
        <v>0.91</v>
      </c>
      <c r="Z326" s="273">
        <f>IFERROR(INDEX('Measure Level Detail'!$R:$R,MATCH($B326&amp;"_"&amp;Z$3,'Measure Level Detail'!$C:$C,0)),0)</f>
        <v>0.91</v>
      </c>
      <c r="AA326" s="273">
        <f>IFERROR(INDEX('Measure Level Detail'!$R:$R,MATCH($B326&amp;"_"&amp;AA$3,'Measure Level Detail'!$C:$C,0)),0)</f>
        <v>0.91</v>
      </c>
      <c r="AB326" s="266">
        <f t="shared" si="167"/>
        <v>0</v>
      </c>
      <c r="AC326" s="266">
        <f t="shared" si="168"/>
        <v>0</v>
      </c>
      <c r="AD326" s="266">
        <f t="shared" si="169"/>
        <v>0</v>
      </c>
      <c r="AE326" s="266">
        <f t="shared" si="170"/>
        <v>0</v>
      </c>
      <c r="AF326" s="266">
        <f t="shared" si="171"/>
        <v>0</v>
      </c>
      <c r="AG326" s="274">
        <v>0.91</v>
      </c>
      <c r="AH326" s="274">
        <v>0.91</v>
      </c>
      <c r="AI326" s="274">
        <v>0.91</v>
      </c>
      <c r="AJ326" s="274">
        <v>0.91</v>
      </c>
      <c r="AK326" s="274">
        <f t="shared" si="172"/>
        <v>0.91</v>
      </c>
      <c r="AL326" s="274">
        <f t="shared" si="173"/>
        <v>0.91</v>
      </c>
      <c r="AM326" s="274">
        <f t="shared" si="174"/>
        <v>0.91</v>
      </c>
      <c r="AN326" s="274">
        <f t="shared" si="175"/>
        <v>0.91</v>
      </c>
      <c r="AO326" s="262"/>
      <c r="AP326" s="262"/>
      <c r="AQ326" s="267">
        <v>0.47508182047227931</v>
      </c>
      <c r="AR326" s="262"/>
      <c r="AS326" s="266">
        <f t="shared" si="176"/>
        <v>0</v>
      </c>
      <c r="AT326" s="264">
        <f t="shared" si="177"/>
        <v>0</v>
      </c>
      <c r="AU326" s="262"/>
      <c r="AV326" s="262"/>
      <c r="AW326" s="265">
        <v>0.47508182047227931</v>
      </c>
      <c r="AX326" s="164" t="s">
        <v>1469</v>
      </c>
      <c r="AY326" s="266">
        <v>0</v>
      </c>
      <c r="AZ326" s="266">
        <f t="shared" si="178"/>
        <v>0</v>
      </c>
      <c r="BA326" s="264">
        <f t="shared" si="179"/>
        <v>0</v>
      </c>
      <c r="BB326" s="262"/>
      <c r="BC326" s="262"/>
      <c r="BD326" s="265">
        <f ca="1">IFERROR(INDEX(Algorithms!$G:$G,MATCH($C326&amp;"_Therm Saved per Unit",Algorithms!$A:$A,0)),0)</f>
        <v>0.47175956997946616</v>
      </c>
      <c r="BE326" s="164" t="str">
        <f ca="1">IFERROR(INDEX('v12 Revisions'!$P$29:$P$186, MATCH('Measure-Level Adj Gas'!$L326, 'v12 Revisions'!$D$29:$D$186,0)),"")</f>
        <v>Updated temperature on design day of outside air.</v>
      </c>
      <c r="BF326" s="266">
        <f t="shared" ca="1" si="180"/>
        <v>0</v>
      </c>
      <c r="BG326" s="264">
        <f t="shared" ca="1" si="181"/>
        <v>0</v>
      </c>
      <c r="BH326" s="262"/>
      <c r="BI326" s="262"/>
      <c r="BJ326" s="265">
        <f ca="1">IFERROR(INDEX(Algorithms!$G:$G,MATCH($C326&amp;"_Therm Saved per Unit",Algorithms!$A:$A,0)),0)</f>
        <v>0.47175956997946616</v>
      </c>
      <c r="BK326" s="164"/>
      <c r="BL326" s="266">
        <f t="shared" ca="1" si="182"/>
        <v>0</v>
      </c>
      <c r="BM326" s="264">
        <f t="shared" ca="1" si="183"/>
        <v>0</v>
      </c>
      <c r="BN326" s="266">
        <f t="shared" si="184"/>
        <v>0</v>
      </c>
      <c r="BO326" s="266">
        <f t="shared" si="185"/>
        <v>0</v>
      </c>
      <c r="BP326" s="266">
        <f t="shared" ca="1" si="186"/>
        <v>0</v>
      </c>
      <c r="BQ326" s="266">
        <f t="shared" ca="1" si="187"/>
        <v>0</v>
      </c>
      <c r="BR326" s="268">
        <f t="shared" ca="1" si="188"/>
        <v>0</v>
      </c>
      <c r="BS326" s="262" t="s">
        <v>99</v>
      </c>
      <c r="BT326" s="277"/>
      <c r="BW326" s="266">
        <f t="shared" si="189"/>
        <v>0</v>
      </c>
      <c r="BX326" s="266">
        <f t="shared" si="190"/>
        <v>0</v>
      </c>
      <c r="BY326" s="266">
        <f t="shared" si="191"/>
        <v>0</v>
      </c>
      <c r="BZ326" s="266">
        <f t="shared" si="192"/>
        <v>0</v>
      </c>
      <c r="CA326" s="266">
        <f ca="1">N326*IFERROR(INDEX(Algorithms!$G:$G,MATCH($C326&amp;"_Therm Saved per Unit- MLA",Algorithms!$A:$A,0)),0)*X326</f>
        <v>0</v>
      </c>
      <c r="CB326" s="266">
        <f ca="1">O326*IFERROR(INDEX(Algorithms!$G:$G,MATCH($C326&amp;"_Therm Saved per Unit- MLA",Algorithms!$A:$A,0)),0)*Y326</f>
        <v>0</v>
      </c>
      <c r="CC326" s="266">
        <f ca="1">P326*IFERROR(INDEX(Algorithms!$G:$G,MATCH($C326&amp;"_Therm Saved per Unit- MLA",Algorithms!$A:$A,0)),0)*Z326</f>
        <v>0</v>
      </c>
      <c r="CD326" s="266">
        <f ca="1">Q326*IFERROR(INDEX(Algorithms!$G:$G,MATCH($C326&amp;"_Therm Saved per Unit- MLA",Algorithms!$A:$A,0)),0)*AA326</f>
        <v>0</v>
      </c>
      <c r="CE326" s="266">
        <f ca="1">IFERROR(INDEX(Algorithms!$G:$G,MATCH($C326&amp;"_Lifetime (years)",Algorithms!$A:$A,0)),0)</f>
        <v>15</v>
      </c>
      <c r="CF326" s="266">
        <f ca="1">IFERROR(INDEX(Algorithms!$G:$G,MATCH($C326&amp;"_Lifetime (years) - Remaining Years",Algorithms!$A:$A,0)),0)</f>
        <v>0</v>
      </c>
      <c r="CG326" s="266">
        <f t="shared" ca="1" si="193"/>
        <v>0</v>
      </c>
      <c r="CH326" s="266">
        <f t="shared" ca="1" si="194"/>
        <v>0</v>
      </c>
      <c r="CI326" s="266">
        <f t="shared" ca="1" si="195"/>
        <v>0</v>
      </c>
      <c r="CJ326" s="266">
        <f t="shared" ca="1" si="196"/>
        <v>0</v>
      </c>
      <c r="CK326" s="266">
        <f t="shared" si="197"/>
        <v>0</v>
      </c>
      <c r="CL326" s="266">
        <f t="shared" si="198"/>
        <v>0</v>
      </c>
      <c r="CM326" s="266">
        <f t="shared" ca="1" si="199"/>
        <v>0</v>
      </c>
      <c r="CN326" s="266">
        <f t="shared" ca="1" si="200"/>
        <v>0</v>
      </c>
      <c r="CO326" s="266">
        <f ca="1">N326*IFERROR(INDEX(Algorithms!$G:$G,MATCH($C326&amp;"_Therm Saved per Unit- MLA",Algorithms!$A:$A,0)),0)*X326</f>
        <v>0</v>
      </c>
      <c r="CP326" s="266">
        <f ca="1">O326*IFERROR(INDEX(Algorithms!$G:$G,MATCH($C326&amp;"_Therm Saved per Unit- MLA",Algorithms!$A:$A,0)),0)*Y326</f>
        <v>0</v>
      </c>
      <c r="CQ326" s="266">
        <f ca="1">P326*IFERROR(INDEX(Algorithms!$G:$G,MATCH($C326&amp;"_Therm Saved per Unit- MLA",Algorithms!$A:$A,0)),0)*Z326</f>
        <v>0</v>
      </c>
      <c r="CR326" s="266">
        <f ca="1">Q326*IFERROR(INDEX(Algorithms!$G:$G,MATCH($C326&amp;"_Therm Saved per Unit- MLA",Algorithms!$A:$A,0)),0)*AA326</f>
        <v>0</v>
      </c>
      <c r="CS326" s="266">
        <f ca="1">IFERROR(INDEX(Algorithms!$G:$G,MATCH($C326&amp;"_Lifetime (years)",Algorithms!$A:$A,0)),0)</f>
        <v>15</v>
      </c>
      <c r="CT326" s="266">
        <f ca="1">IFERROR(INDEX(Algorithms!$G:$G,MATCH($C326&amp;"_Lifetime (years) - Remaining Years",Algorithms!$A:$A,0)),0)</f>
        <v>0</v>
      </c>
      <c r="CU326" s="266">
        <f t="shared" ca="1" si="201"/>
        <v>0</v>
      </c>
      <c r="CV326" s="266">
        <f t="shared" ca="1" si="202"/>
        <v>0</v>
      </c>
      <c r="CW326" s="266">
        <f t="shared" ca="1" si="203"/>
        <v>0</v>
      </c>
      <c r="CX326" s="266">
        <f t="shared" ca="1" si="204"/>
        <v>0</v>
      </c>
    </row>
    <row r="327" spans="2:102" s="47" customFormat="1" ht="18" customHeight="1" x14ac:dyDescent="0.25">
      <c r="B327" t="str">
        <f t="shared" si="205"/>
        <v>NSG_Business_C&amp;I_New Construction_C&amp;I New Construction_0_CI</v>
      </c>
      <c r="C327" s="47" t="str">
        <f t="shared" si="166"/>
        <v>C&amp;I New Construction_0_CI</v>
      </c>
      <c r="D327" s="270" t="s">
        <v>1787</v>
      </c>
      <c r="E327" s="270" t="s">
        <v>3</v>
      </c>
      <c r="F327" s="270" t="s">
        <v>1427</v>
      </c>
      <c r="G327" s="270" t="s">
        <v>1092</v>
      </c>
      <c r="H327" s="270" t="s">
        <v>1286</v>
      </c>
      <c r="I327" s="270">
        <v>0</v>
      </c>
      <c r="J327" s="270" t="s">
        <v>1159</v>
      </c>
      <c r="K327" s="263">
        <v>1</v>
      </c>
      <c r="L327" s="263">
        <f ca="1">IFERROR(INDEX(Algorithms!J:J,MATCH($C327&amp;"_Therm Saved per Unit",Algorithms!$A:$A,0)),"n/a")</f>
        <v>0</v>
      </c>
      <c r="M327" s="263" t="str">
        <f>IFERROR(INDEX('Measure Level Detail'!$N:$N,MATCH($B327,'Measure Level Detail'!$B:$B,0)),0)</f>
        <v>therm</v>
      </c>
      <c r="N327" s="271">
        <f>IFERROR(INDEX('Measure Level Detail'!$P:$P,MATCH($B327&amp;"_"&amp;N$3,'Measure Level Detail'!$C:$C,0)),0)</f>
        <v>0</v>
      </c>
      <c r="O327" s="271">
        <f>IFERROR(INDEX('Measure Level Detail'!$P:$P,MATCH($B327&amp;"_"&amp;O$3,'Measure Level Detail'!$C:$C,0)),0)</f>
        <v>0</v>
      </c>
      <c r="P327" s="271">
        <f>IFERROR(INDEX('Measure Level Detail'!$P:$P,MATCH($B327&amp;"_"&amp;P$3,'Measure Level Detail'!$C:$C,0)),0)</f>
        <v>0</v>
      </c>
      <c r="Q327" s="271">
        <f>IFERROR(INDEX('Measure Level Detail'!$P:$P,MATCH($B327&amp;"_"&amp;Q$3,'Measure Level Detail'!$C:$C,0)),0)</f>
        <v>0</v>
      </c>
      <c r="R327" s="263">
        <f ca="1">IFERROR(INDEX(Algorithms!K:K,MATCH($C327&amp;"_Therm Saved per Unit",Algorithms!$A:$A,0)),"n/a")</f>
        <v>0</v>
      </c>
      <c r="S327" s="262"/>
      <c r="T327" s="272">
        <v>1</v>
      </c>
      <c r="U327" s="272">
        <v>1</v>
      </c>
      <c r="V327" s="272">
        <v>1</v>
      </c>
      <c r="W327" s="272">
        <v>1</v>
      </c>
      <c r="X327" s="276">
        <v>0.43</v>
      </c>
      <c r="Y327" s="276">
        <v>0.43</v>
      </c>
      <c r="Z327" s="276">
        <v>0.43</v>
      </c>
      <c r="AA327" s="276">
        <v>0.43</v>
      </c>
      <c r="AB327" s="266">
        <f t="shared" si="167"/>
        <v>0</v>
      </c>
      <c r="AC327" s="266">
        <f t="shared" si="168"/>
        <v>0</v>
      </c>
      <c r="AD327" s="266">
        <f t="shared" si="169"/>
        <v>0</v>
      </c>
      <c r="AE327" s="266">
        <f t="shared" si="170"/>
        <v>0</v>
      </c>
      <c r="AF327" s="266">
        <f t="shared" si="171"/>
        <v>0</v>
      </c>
      <c r="AG327" s="274">
        <v>0.43</v>
      </c>
      <c r="AH327" s="274">
        <v>0.43</v>
      </c>
      <c r="AI327" s="710">
        <v>0.43</v>
      </c>
      <c r="AJ327" s="710">
        <v>0.43</v>
      </c>
      <c r="AK327" s="274">
        <f t="shared" si="172"/>
        <v>0.43</v>
      </c>
      <c r="AL327" s="274">
        <f t="shared" si="173"/>
        <v>0.43</v>
      </c>
      <c r="AM327" s="274">
        <f t="shared" si="174"/>
        <v>0.43</v>
      </c>
      <c r="AN327" s="274">
        <f t="shared" si="175"/>
        <v>0.43</v>
      </c>
      <c r="AO327" s="262"/>
      <c r="AP327" s="262"/>
      <c r="AQ327" s="267">
        <v>1</v>
      </c>
      <c r="AR327" s="262"/>
      <c r="AS327" s="266">
        <f t="shared" si="176"/>
        <v>0</v>
      </c>
      <c r="AT327" s="264">
        <f t="shared" si="177"/>
        <v>0</v>
      </c>
      <c r="AU327" s="262"/>
      <c r="AV327" s="262"/>
      <c r="AW327" s="265">
        <v>1</v>
      </c>
      <c r="AX327" s="164" t="s">
        <v>1469</v>
      </c>
      <c r="AY327" s="266">
        <v>0</v>
      </c>
      <c r="AZ327" s="266">
        <f t="shared" si="178"/>
        <v>0</v>
      </c>
      <c r="BA327" s="264">
        <f t="shared" si="179"/>
        <v>0</v>
      </c>
      <c r="BB327" s="262"/>
      <c r="BC327" s="262"/>
      <c r="BD327" s="265">
        <f ca="1">IFERROR(INDEX(Algorithms!$G:$G,MATCH($C327&amp;"_Therm Saved per Unit",Algorithms!$A:$A,0)),0)</f>
        <v>1</v>
      </c>
      <c r="BE327" s="164" t="str">
        <f ca="1">IFERROR(INDEX('v12 Revisions'!$P$29:$P$186, MATCH('Measure-Level Adj Gas'!$L327, 'v12 Revisions'!$D$29:$D$186,0)),"")</f>
        <v/>
      </c>
      <c r="BF327" s="266">
        <f t="shared" ca="1" si="180"/>
        <v>0</v>
      </c>
      <c r="BG327" s="264">
        <f t="shared" ca="1" si="181"/>
        <v>0</v>
      </c>
      <c r="BH327" s="262"/>
      <c r="BI327" s="262"/>
      <c r="BJ327" s="265">
        <f ca="1">IFERROR(INDEX(Algorithms!$G:$G,MATCH($C327&amp;"_Therm Saved per Unit",Algorithms!$A:$A,0)),0)</f>
        <v>1</v>
      </c>
      <c r="BK327" s="164"/>
      <c r="BL327" s="266">
        <f t="shared" ca="1" si="182"/>
        <v>0</v>
      </c>
      <c r="BM327" s="264">
        <f t="shared" ca="1" si="183"/>
        <v>0</v>
      </c>
      <c r="BN327" s="266">
        <f t="shared" si="184"/>
        <v>0</v>
      </c>
      <c r="BO327" s="266">
        <f t="shared" si="185"/>
        <v>0</v>
      </c>
      <c r="BP327" s="266">
        <f t="shared" ca="1" si="186"/>
        <v>0</v>
      </c>
      <c r="BQ327" s="266">
        <f t="shared" ca="1" si="187"/>
        <v>0</v>
      </c>
      <c r="BR327" s="268">
        <f t="shared" ca="1" si="188"/>
        <v>0</v>
      </c>
      <c r="BS327" s="262" t="s">
        <v>99</v>
      </c>
      <c r="BT327" s="277"/>
      <c r="BW327" s="266">
        <f t="shared" si="189"/>
        <v>0</v>
      </c>
      <c r="BX327" s="266">
        <f t="shared" si="190"/>
        <v>0</v>
      </c>
      <c r="BY327" s="266">
        <f t="shared" si="191"/>
        <v>0</v>
      </c>
      <c r="BZ327" s="266">
        <f t="shared" si="192"/>
        <v>0</v>
      </c>
      <c r="CA327" s="266">
        <f ca="1">N327*IFERROR(INDEX(Algorithms!$G:$G,MATCH($C327&amp;"_Therm Saved per Unit- MLA",Algorithms!$A:$A,0)),0)*X327</f>
        <v>0</v>
      </c>
      <c r="CB327" s="266">
        <f ca="1">O327*IFERROR(INDEX(Algorithms!$G:$G,MATCH($C327&amp;"_Therm Saved per Unit- MLA",Algorithms!$A:$A,0)),0)*Y327</f>
        <v>0</v>
      </c>
      <c r="CC327" s="266">
        <f ca="1">P327*IFERROR(INDEX(Algorithms!$G:$G,MATCH($C327&amp;"_Therm Saved per Unit- MLA",Algorithms!$A:$A,0)),0)*Z327</f>
        <v>0</v>
      </c>
      <c r="CD327" s="266">
        <f ca="1">Q327*IFERROR(INDEX(Algorithms!$G:$G,MATCH($C327&amp;"_Therm Saved per Unit- MLA",Algorithms!$A:$A,0)),0)*AA327</f>
        <v>0</v>
      </c>
      <c r="CE327" s="266">
        <f ca="1">IFERROR(INDEX(Algorithms!$G:$G,MATCH($C327&amp;"_Lifetime (years)",Algorithms!$A:$A,0)),0)</f>
        <v>15</v>
      </c>
      <c r="CF327" s="266">
        <f ca="1">IFERROR(INDEX(Algorithms!$G:$G,MATCH($C327&amp;"_Lifetime (years) - Remaining Years",Algorithms!$A:$A,0)),0)</f>
        <v>0</v>
      </c>
      <c r="CG327" s="266">
        <f t="shared" ca="1" si="193"/>
        <v>0</v>
      </c>
      <c r="CH327" s="266">
        <f t="shared" ca="1" si="194"/>
        <v>0</v>
      </c>
      <c r="CI327" s="266">
        <f t="shared" ca="1" si="195"/>
        <v>0</v>
      </c>
      <c r="CJ327" s="266">
        <f t="shared" ca="1" si="196"/>
        <v>0</v>
      </c>
      <c r="CK327" s="266">
        <f t="shared" si="197"/>
        <v>0</v>
      </c>
      <c r="CL327" s="266">
        <f t="shared" si="198"/>
        <v>0</v>
      </c>
      <c r="CM327" s="266">
        <f t="shared" ca="1" si="199"/>
        <v>0</v>
      </c>
      <c r="CN327" s="266">
        <f t="shared" ca="1" si="200"/>
        <v>0</v>
      </c>
      <c r="CO327" s="266">
        <f ca="1">N327*IFERROR(INDEX(Algorithms!$G:$G,MATCH($C327&amp;"_Therm Saved per Unit- MLA",Algorithms!$A:$A,0)),0)*X327</f>
        <v>0</v>
      </c>
      <c r="CP327" s="266">
        <f ca="1">O327*IFERROR(INDEX(Algorithms!$G:$G,MATCH($C327&amp;"_Therm Saved per Unit- MLA",Algorithms!$A:$A,0)),0)*Y327</f>
        <v>0</v>
      </c>
      <c r="CQ327" s="266">
        <f ca="1">P327*IFERROR(INDEX(Algorithms!$G:$G,MATCH($C327&amp;"_Therm Saved per Unit- MLA",Algorithms!$A:$A,0)),0)*Z327</f>
        <v>0</v>
      </c>
      <c r="CR327" s="266">
        <f ca="1">Q327*IFERROR(INDEX(Algorithms!$G:$G,MATCH($C327&amp;"_Therm Saved per Unit- MLA",Algorithms!$A:$A,0)),0)*AA327</f>
        <v>0</v>
      </c>
      <c r="CS327" s="266">
        <f ca="1">IFERROR(INDEX(Algorithms!$G:$G,MATCH($C327&amp;"_Lifetime (years)",Algorithms!$A:$A,0)),0)</f>
        <v>15</v>
      </c>
      <c r="CT327" s="266">
        <f ca="1">IFERROR(INDEX(Algorithms!$G:$G,MATCH($C327&amp;"_Lifetime (years) - Remaining Years",Algorithms!$A:$A,0)),0)</f>
        <v>0</v>
      </c>
      <c r="CU327" s="266">
        <f t="shared" ca="1" si="201"/>
        <v>0</v>
      </c>
      <c r="CV327" s="266">
        <f t="shared" ca="1" si="202"/>
        <v>0</v>
      </c>
      <c r="CW327" s="266">
        <f t="shared" ca="1" si="203"/>
        <v>0</v>
      </c>
      <c r="CX327" s="266">
        <f t="shared" ca="1" si="204"/>
        <v>0</v>
      </c>
    </row>
    <row r="328" spans="2:102" s="47" customFormat="1" ht="18" customHeight="1" x14ac:dyDescent="0.25">
      <c r="B328" t="str">
        <f t="shared" si="205"/>
        <v>NSG_Business_Commercial Food Service Program_Upstream Rebate_Pre-Rinse Sprayer_0_CI</v>
      </c>
      <c r="C328" s="47" t="str">
        <f t="shared" si="166"/>
        <v>Pre-Rinse Sprayer_0_CI</v>
      </c>
      <c r="D328" s="270" t="s">
        <v>1787</v>
      </c>
      <c r="E328" s="270" t="s">
        <v>3</v>
      </c>
      <c r="F328" s="270" t="s">
        <v>1444</v>
      </c>
      <c r="G328" s="270" t="s">
        <v>1445</v>
      </c>
      <c r="H328" s="270" t="s">
        <v>1219</v>
      </c>
      <c r="I328" s="270">
        <v>0</v>
      </c>
      <c r="J328" s="270" t="s">
        <v>1159</v>
      </c>
      <c r="K328" s="263">
        <v>1</v>
      </c>
      <c r="L328" s="263" t="str">
        <f ca="1">IFERROR(INDEX(Algorithms!J:J,MATCH($C328&amp;"_Therm Saved per Unit",Algorithms!$A:$A,0)),"n/a")</f>
        <v>4.2.11</v>
      </c>
      <c r="M328" s="263" t="str">
        <f>IFERROR(INDEX('Measure Level Detail'!$N:$N,MATCH($B328,'Measure Level Detail'!$B:$B,0)),0)</f>
        <v>each</v>
      </c>
      <c r="N328" s="271">
        <f>IFERROR(INDEX('Measure Level Detail'!$P:$P,MATCH($B328&amp;"_"&amp;N$3,'Measure Level Detail'!$C:$C,0)),0)</f>
        <v>0</v>
      </c>
      <c r="O328" s="271">
        <f>IFERROR(INDEX('Measure Level Detail'!$P:$P,MATCH($B328&amp;"_"&amp;O$3,'Measure Level Detail'!$C:$C,0)),0)</f>
        <v>0</v>
      </c>
      <c r="P328" s="271">
        <f>IFERROR(INDEX('Measure Level Detail'!$P:$P,MATCH($B328&amp;"_"&amp;P$3,'Measure Level Detail'!$C:$C,0)),0)</f>
        <v>0</v>
      </c>
      <c r="Q328" s="271">
        <f>IFERROR(INDEX('Measure Level Detail'!$P:$P,MATCH($B328&amp;"_"&amp;Q$3,'Measure Level Detail'!$C:$C,0)),0)</f>
        <v>0</v>
      </c>
      <c r="R328" s="263" t="str">
        <f ca="1">IFERROR(INDEX(Algorithms!K:K,MATCH($C328&amp;"_Therm Saved per Unit",Algorithms!$A:$A,0)),"n/a")</f>
        <v>CI-FSE-SPRY-V08-220101</v>
      </c>
      <c r="S328" s="262"/>
      <c r="T328" s="272">
        <v>235.77765120000004</v>
      </c>
      <c r="U328" s="272">
        <v>235.77765120000004</v>
      </c>
      <c r="V328" s="272">
        <v>235.77765120000004</v>
      </c>
      <c r="W328" s="272">
        <v>235.77765120000004</v>
      </c>
      <c r="X328" s="276">
        <v>0.8</v>
      </c>
      <c r="Y328" s="276">
        <v>0.8</v>
      </c>
      <c r="Z328" s="276">
        <v>0.8</v>
      </c>
      <c r="AA328" s="276">
        <v>0.8</v>
      </c>
      <c r="AB328" s="266">
        <f t="shared" si="167"/>
        <v>0</v>
      </c>
      <c r="AC328" s="266">
        <f t="shared" si="168"/>
        <v>0</v>
      </c>
      <c r="AD328" s="266">
        <f t="shared" si="169"/>
        <v>0</v>
      </c>
      <c r="AE328" s="266">
        <f t="shared" si="170"/>
        <v>0</v>
      </c>
      <c r="AF328" s="266">
        <f t="shared" si="171"/>
        <v>0</v>
      </c>
      <c r="AG328" s="274">
        <v>0.8</v>
      </c>
      <c r="AH328" s="274">
        <v>0.8</v>
      </c>
      <c r="AI328" s="274">
        <v>0.8</v>
      </c>
      <c r="AJ328" s="274">
        <v>0.8</v>
      </c>
      <c r="AK328" s="274">
        <f t="shared" si="172"/>
        <v>0.8</v>
      </c>
      <c r="AL328" s="274">
        <f t="shared" si="173"/>
        <v>0.8</v>
      </c>
      <c r="AM328" s="274">
        <f t="shared" si="174"/>
        <v>0.8</v>
      </c>
      <c r="AN328" s="274">
        <f t="shared" si="175"/>
        <v>0.8</v>
      </c>
      <c r="AO328" s="262"/>
      <c r="AP328" s="262"/>
      <c r="AQ328" s="267">
        <v>247.22970854399998</v>
      </c>
      <c r="AR328" s="262"/>
      <c r="AS328" s="266">
        <f t="shared" si="176"/>
        <v>0</v>
      </c>
      <c r="AT328" s="264">
        <f t="shared" si="177"/>
        <v>0</v>
      </c>
      <c r="AU328" s="262"/>
      <c r="AV328" s="262"/>
      <c r="AW328" s="265">
        <v>247.22970854399998</v>
      </c>
      <c r="AX328" s="164" t="s">
        <v>1469</v>
      </c>
      <c r="AY328" s="266">
        <v>0</v>
      </c>
      <c r="AZ328" s="266">
        <f t="shared" si="178"/>
        <v>0</v>
      </c>
      <c r="BA328" s="264">
        <f t="shared" si="179"/>
        <v>0</v>
      </c>
      <c r="BB328" s="262"/>
      <c r="BC328" s="262"/>
      <c r="BD328" s="265">
        <f ca="1">IFERROR(INDEX(Algorithms!$G:$G,MATCH($C328&amp;"_Therm Saved per Unit",Algorithms!$A:$A,0)),0)</f>
        <v>247.22970854399998</v>
      </c>
      <c r="BE328" s="164" t="str">
        <f ca="1">IFERROR(INDEX('v12 Revisions'!$P$29:$P$186, MATCH('Measure-Level Adj Gas'!$L328, 'v12 Revisions'!$D$29:$D$186,0)),"")</f>
        <v/>
      </c>
      <c r="BF328" s="266">
        <f t="shared" ca="1" si="180"/>
        <v>0</v>
      </c>
      <c r="BG328" s="264">
        <f t="shared" ca="1" si="181"/>
        <v>0</v>
      </c>
      <c r="BH328" s="262"/>
      <c r="BI328" s="262"/>
      <c r="BJ328" s="265">
        <f ca="1">IFERROR(INDEX(Algorithms!$G:$G,MATCH($C328&amp;"_Therm Saved per Unit",Algorithms!$A:$A,0)),0)</f>
        <v>247.22970854399998</v>
      </c>
      <c r="BK328" s="164"/>
      <c r="BL328" s="266">
        <f t="shared" ca="1" si="182"/>
        <v>0</v>
      </c>
      <c r="BM328" s="264">
        <f t="shared" ca="1" si="183"/>
        <v>0</v>
      </c>
      <c r="BN328" s="266">
        <f t="shared" si="184"/>
        <v>0</v>
      </c>
      <c r="BO328" s="266">
        <f t="shared" si="185"/>
        <v>0</v>
      </c>
      <c r="BP328" s="266">
        <f t="shared" ca="1" si="186"/>
        <v>0</v>
      </c>
      <c r="BQ328" s="266">
        <f t="shared" ca="1" si="187"/>
        <v>0</v>
      </c>
      <c r="BR328" s="268">
        <f t="shared" ca="1" si="188"/>
        <v>0</v>
      </c>
      <c r="BS328" s="262" t="s">
        <v>99</v>
      </c>
      <c r="BT328" s="277"/>
      <c r="BW328" s="266">
        <f t="shared" si="189"/>
        <v>0</v>
      </c>
      <c r="BX328" s="266">
        <f t="shared" si="190"/>
        <v>0</v>
      </c>
      <c r="BY328" s="266">
        <f t="shared" si="191"/>
        <v>0</v>
      </c>
      <c r="BZ328" s="266">
        <f t="shared" si="192"/>
        <v>0</v>
      </c>
      <c r="CA328" s="266">
        <f ca="1">N328*IFERROR(INDEX(Algorithms!$G:$G,MATCH($C328&amp;"_Therm Saved per Unit- MLA",Algorithms!$A:$A,0)),0)*X328</f>
        <v>0</v>
      </c>
      <c r="CB328" s="266">
        <f ca="1">O328*IFERROR(INDEX(Algorithms!$G:$G,MATCH($C328&amp;"_Therm Saved per Unit- MLA",Algorithms!$A:$A,0)),0)*Y328</f>
        <v>0</v>
      </c>
      <c r="CC328" s="266">
        <f ca="1">P328*IFERROR(INDEX(Algorithms!$G:$G,MATCH($C328&amp;"_Therm Saved per Unit- MLA",Algorithms!$A:$A,0)),0)*Z328</f>
        <v>0</v>
      </c>
      <c r="CD328" s="266">
        <f ca="1">Q328*IFERROR(INDEX(Algorithms!$G:$G,MATCH($C328&amp;"_Therm Saved per Unit- MLA",Algorithms!$A:$A,0)),0)*AA328</f>
        <v>0</v>
      </c>
      <c r="CE328" s="266">
        <f ca="1">IFERROR(INDEX(Algorithms!$G:$G,MATCH($C328&amp;"_Lifetime (years)",Algorithms!$A:$A,0)),0)</f>
        <v>5</v>
      </c>
      <c r="CF328" s="266">
        <f ca="1">IFERROR(INDEX(Algorithms!$G:$G,MATCH($C328&amp;"_Lifetime (years) - Remaining Years",Algorithms!$A:$A,0)),0)</f>
        <v>0</v>
      </c>
      <c r="CG328" s="266">
        <f t="shared" ca="1" si="193"/>
        <v>0</v>
      </c>
      <c r="CH328" s="266">
        <f t="shared" ca="1" si="194"/>
        <v>0</v>
      </c>
      <c r="CI328" s="266">
        <f t="shared" ca="1" si="195"/>
        <v>0</v>
      </c>
      <c r="CJ328" s="266">
        <f t="shared" ca="1" si="196"/>
        <v>0</v>
      </c>
      <c r="CK328" s="266">
        <f t="shared" si="197"/>
        <v>0</v>
      </c>
      <c r="CL328" s="266">
        <f t="shared" si="198"/>
        <v>0</v>
      </c>
      <c r="CM328" s="266">
        <f t="shared" ca="1" si="199"/>
        <v>0</v>
      </c>
      <c r="CN328" s="266">
        <f t="shared" ca="1" si="200"/>
        <v>0</v>
      </c>
      <c r="CO328" s="266">
        <f ca="1">N328*IFERROR(INDEX(Algorithms!$G:$G,MATCH($C328&amp;"_Therm Saved per Unit- MLA",Algorithms!$A:$A,0)),0)*X328</f>
        <v>0</v>
      </c>
      <c r="CP328" s="266">
        <f ca="1">O328*IFERROR(INDEX(Algorithms!$G:$G,MATCH($C328&amp;"_Therm Saved per Unit- MLA",Algorithms!$A:$A,0)),0)*Y328</f>
        <v>0</v>
      </c>
      <c r="CQ328" s="266">
        <f ca="1">P328*IFERROR(INDEX(Algorithms!$G:$G,MATCH($C328&amp;"_Therm Saved per Unit- MLA",Algorithms!$A:$A,0)),0)*Z328</f>
        <v>0</v>
      </c>
      <c r="CR328" s="266">
        <f ca="1">Q328*IFERROR(INDEX(Algorithms!$G:$G,MATCH($C328&amp;"_Therm Saved per Unit- MLA",Algorithms!$A:$A,0)),0)*AA328</f>
        <v>0</v>
      </c>
      <c r="CS328" s="266">
        <f ca="1">IFERROR(INDEX(Algorithms!$G:$G,MATCH($C328&amp;"_Lifetime (years)",Algorithms!$A:$A,0)),0)</f>
        <v>5</v>
      </c>
      <c r="CT328" s="266">
        <f ca="1">IFERROR(INDEX(Algorithms!$G:$G,MATCH($C328&amp;"_Lifetime (years) - Remaining Years",Algorithms!$A:$A,0)),0)</f>
        <v>0</v>
      </c>
      <c r="CU328" s="266">
        <f t="shared" ca="1" si="201"/>
        <v>0</v>
      </c>
      <c r="CV328" s="266">
        <f t="shared" ca="1" si="202"/>
        <v>0</v>
      </c>
      <c r="CW328" s="266">
        <f t="shared" ca="1" si="203"/>
        <v>0</v>
      </c>
      <c r="CX328" s="266">
        <f t="shared" ca="1" si="204"/>
        <v>0</v>
      </c>
    </row>
    <row r="329" spans="2:102" s="47" customFormat="1" ht="18" customHeight="1" x14ac:dyDescent="0.25">
      <c r="B329" t="str">
        <f t="shared" si="205"/>
        <v>NSG_Business_Commercial Food Service Program_Upstream Rebate_Energy Star Steamer_3 Pans_CI</v>
      </c>
      <c r="C329" s="47" t="str">
        <f t="shared" si="166"/>
        <v>Energy Star Steamer_3 Pans_CI</v>
      </c>
      <c r="D329" s="270" t="s">
        <v>1787</v>
      </c>
      <c r="E329" s="270" t="s">
        <v>3</v>
      </c>
      <c r="F329" s="270" t="s">
        <v>1444</v>
      </c>
      <c r="G329" s="270" t="s">
        <v>1445</v>
      </c>
      <c r="H329" s="270" t="s">
        <v>1186</v>
      </c>
      <c r="I329" s="270" t="s">
        <v>1187</v>
      </c>
      <c r="J329" s="270" t="s">
        <v>1159</v>
      </c>
      <c r="K329" s="263">
        <v>1</v>
      </c>
      <c r="L329" s="263" t="str">
        <f ca="1">IFERROR(INDEX(Algorithms!J:J,MATCH($C329&amp;"_Therm Saved per Unit",Algorithms!$A:$A,0)),"n/a")</f>
        <v>4.2.3</v>
      </c>
      <c r="M329" s="263" t="str">
        <f>IFERROR(INDEX('Measure Level Detail'!$N:$N,MATCH($B329,'Measure Level Detail'!$B:$B,0)),0)</f>
        <v>each</v>
      </c>
      <c r="N329" s="271">
        <f>IFERROR(INDEX('Measure Level Detail'!$P:$P,MATCH($B329&amp;"_"&amp;N$3,'Measure Level Detail'!$C:$C,0)),0)</f>
        <v>0</v>
      </c>
      <c r="O329" s="271">
        <f>IFERROR(INDEX('Measure Level Detail'!$P:$P,MATCH($B329&amp;"_"&amp;O$3,'Measure Level Detail'!$C:$C,0)),0)</f>
        <v>0</v>
      </c>
      <c r="P329" s="271">
        <f>IFERROR(INDEX('Measure Level Detail'!$P:$P,MATCH($B329&amp;"_"&amp;P$3,'Measure Level Detail'!$C:$C,0)),0)</f>
        <v>0</v>
      </c>
      <c r="Q329" s="271">
        <f>IFERROR(INDEX('Measure Level Detail'!$P:$P,MATCH($B329&amp;"_"&amp;Q$3,'Measure Level Detail'!$C:$C,0)),0)</f>
        <v>0</v>
      </c>
      <c r="R329" s="263" t="str">
        <f ca="1">IFERROR(INDEX(Algorithms!K:K,MATCH($C329&amp;"_Therm Saved per Unit",Algorithms!$A:$A,0)),"n/a")</f>
        <v>CI-FSE-STMC-V07-240101</v>
      </c>
      <c r="S329" s="262"/>
      <c r="T329" s="272">
        <v>752.01231086676478</v>
      </c>
      <c r="U329" s="272">
        <v>752.01231086676478</v>
      </c>
      <c r="V329" s="272">
        <v>752.01231086676478</v>
      </c>
      <c r="W329" s="272">
        <v>752.01231086676478</v>
      </c>
      <c r="X329" s="276">
        <v>0.8</v>
      </c>
      <c r="Y329" s="276">
        <v>0.8</v>
      </c>
      <c r="Z329" s="276">
        <v>0.8</v>
      </c>
      <c r="AA329" s="276">
        <v>0.8</v>
      </c>
      <c r="AB329" s="266">
        <f t="shared" si="167"/>
        <v>0</v>
      </c>
      <c r="AC329" s="266">
        <f t="shared" si="168"/>
        <v>0</v>
      </c>
      <c r="AD329" s="266">
        <f t="shared" si="169"/>
        <v>0</v>
      </c>
      <c r="AE329" s="266">
        <f t="shared" si="170"/>
        <v>0</v>
      </c>
      <c r="AF329" s="266">
        <f t="shared" si="171"/>
        <v>0</v>
      </c>
      <c r="AG329" s="274">
        <v>0.8</v>
      </c>
      <c r="AH329" s="274">
        <v>0.8</v>
      </c>
      <c r="AI329" s="274">
        <v>0.8</v>
      </c>
      <c r="AJ329" s="274">
        <v>0.8</v>
      </c>
      <c r="AK329" s="274">
        <f t="shared" si="172"/>
        <v>0.8</v>
      </c>
      <c r="AL329" s="274">
        <f t="shared" si="173"/>
        <v>0.8</v>
      </c>
      <c r="AM329" s="274">
        <f t="shared" si="174"/>
        <v>0.8</v>
      </c>
      <c r="AN329" s="274">
        <f t="shared" si="175"/>
        <v>0.8</v>
      </c>
      <c r="AO329" s="262"/>
      <c r="AP329" s="262"/>
      <c r="AQ329" s="267">
        <v>752.01231086676478</v>
      </c>
      <c r="AR329" s="262"/>
      <c r="AS329" s="266">
        <f t="shared" si="176"/>
        <v>0</v>
      </c>
      <c r="AT329" s="264">
        <f t="shared" si="177"/>
        <v>0</v>
      </c>
      <c r="AU329" s="262"/>
      <c r="AV329" s="262"/>
      <c r="AW329" s="265">
        <v>752.01231086676478</v>
      </c>
      <c r="AX329" s="164" t="s">
        <v>1469</v>
      </c>
      <c r="AY329" s="266">
        <v>0</v>
      </c>
      <c r="AZ329" s="266">
        <f t="shared" si="178"/>
        <v>0</v>
      </c>
      <c r="BA329" s="264">
        <f t="shared" si="179"/>
        <v>0</v>
      </c>
      <c r="BB329" s="262"/>
      <c r="BC329" s="262"/>
      <c r="BD329" s="265">
        <f ca="1">IFERROR(INDEX(Algorithms!$G:$G,MATCH($C329&amp;"_Therm Saved per Unit",Algorithms!$A:$A,0)),0)</f>
        <v>752.90918224176471</v>
      </c>
      <c r="BE329" s="164" t="str">
        <f ca="1">IFERROR(INDEX('v12 Revisions'!$P$29:$P$186, MATCH('Measure-Level Adj Gas'!$L329, 'v12 Revisions'!$D$29:$D$186,0)),"")</f>
        <v>Updated preheat energy savings in algorithm ; Addition of PreTimeBase, PreTimeEE, PREheat_Base, and PREheat_EE inputs.</v>
      </c>
      <c r="BF329" s="266">
        <f t="shared" ca="1" si="180"/>
        <v>0</v>
      </c>
      <c r="BG329" s="264">
        <f t="shared" ca="1" si="181"/>
        <v>0</v>
      </c>
      <c r="BH329" s="262"/>
      <c r="BI329" s="262"/>
      <c r="BJ329" s="265">
        <f ca="1">IFERROR(INDEX(Algorithms!$G:$G,MATCH($C329&amp;"_Therm Saved per Unit",Algorithms!$A:$A,0)),0)</f>
        <v>752.90918224176471</v>
      </c>
      <c r="BK329" s="164"/>
      <c r="BL329" s="266">
        <f t="shared" ca="1" si="182"/>
        <v>0</v>
      </c>
      <c r="BM329" s="264">
        <f t="shared" ca="1" si="183"/>
        <v>0</v>
      </c>
      <c r="BN329" s="266">
        <f t="shared" si="184"/>
        <v>0</v>
      </c>
      <c r="BO329" s="266">
        <f t="shared" si="185"/>
        <v>0</v>
      </c>
      <c r="BP329" s="266">
        <f t="shared" ca="1" si="186"/>
        <v>0</v>
      </c>
      <c r="BQ329" s="266">
        <f t="shared" ca="1" si="187"/>
        <v>0</v>
      </c>
      <c r="BR329" s="268">
        <f t="shared" ca="1" si="188"/>
        <v>0</v>
      </c>
      <c r="BS329" s="262" t="s">
        <v>99</v>
      </c>
      <c r="BT329" s="277"/>
      <c r="BW329" s="266">
        <f t="shared" si="189"/>
        <v>0</v>
      </c>
      <c r="BX329" s="266">
        <f t="shared" si="190"/>
        <v>0</v>
      </c>
      <c r="BY329" s="266">
        <f t="shared" si="191"/>
        <v>0</v>
      </c>
      <c r="BZ329" s="266">
        <f t="shared" si="192"/>
        <v>0</v>
      </c>
      <c r="CA329" s="266">
        <f ca="1">N329*IFERROR(INDEX(Algorithms!$G:$G,MATCH($C329&amp;"_Therm Saved per Unit- MLA",Algorithms!$A:$A,0)),0)*X329</f>
        <v>0</v>
      </c>
      <c r="CB329" s="266">
        <f ca="1">O329*IFERROR(INDEX(Algorithms!$G:$G,MATCH($C329&amp;"_Therm Saved per Unit- MLA",Algorithms!$A:$A,0)),0)*Y329</f>
        <v>0</v>
      </c>
      <c r="CC329" s="266">
        <f ca="1">P329*IFERROR(INDEX(Algorithms!$G:$G,MATCH($C329&amp;"_Therm Saved per Unit- MLA",Algorithms!$A:$A,0)),0)*Z329</f>
        <v>0</v>
      </c>
      <c r="CD329" s="266">
        <f ca="1">Q329*IFERROR(INDEX(Algorithms!$G:$G,MATCH($C329&amp;"_Therm Saved per Unit- MLA",Algorithms!$A:$A,0)),0)*AA329</f>
        <v>0</v>
      </c>
      <c r="CE329" s="266">
        <f ca="1">IFERROR(INDEX(Algorithms!$G:$G,MATCH($C329&amp;"_Lifetime (years)",Algorithms!$A:$A,0)),0)</f>
        <v>12</v>
      </c>
      <c r="CF329" s="266">
        <f ca="1">IFERROR(INDEX(Algorithms!$G:$G,MATCH($C329&amp;"_Lifetime (years) - Remaining Years",Algorithms!$A:$A,0)),0)</f>
        <v>0</v>
      </c>
      <c r="CG329" s="266">
        <f t="shared" ca="1" si="193"/>
        <v>0</v>
      </c>
      <c r="CH329" s="266">
        <f t="shared" ca="1" si="194"/>
        <v>0</v>
      </c>
      <c r="CI329" s="266">
        <f t="shared" ca="1" si="195"/>
        <v>0</v>
      </c>
      <c r="CJ329" s="266">
        <f t="shared" ca="1" si="196"/>
        <v>0</v>
      </c>
      <c r="CK329" s="266">
        <f t="shared" si="197"/>
        <v>0</v>
      </c>
      <c r="CL329" s="266">
        <f t="shared" si="198"/>
        <v>0</v>
      </c>
      <c r="CM329" s="266">
        <f t="shared" ca="1" si="199"/>
        <v>0</v>
      </c>
      <c r="CN329" s="266">
        <f t="shared" ca="1" si="200"/>
        <v>0</v>
      </c>
      <c r="CO329" s="266">
        <f ca="1">N329*IFERROR(INDEX(Algorithms!$G:$G,MATCH($C329&amp;"_Therm Saved per Unit- MLA",Algorithms!$A:$A,0)),0)*X329</f>
        <v>0</v>
      </c>
      <c r="CP329" s="266">
        <f ca="1">O329*IFERROR(INDEX(Algorithms!$G:$G,MATCH($C329&amp;"_Therm Saved per Unit- MLA",Algorithms!$A:$A,0)),0)*Y329</f>
        <v>0</v>
      </c>
      <c r="CQ329" s="266">
        <f ca="1">P329*IFERROR(INDEX(Algorithms!$G:$G,MATCH($C329&amp;"_Therm Saved per Unit- MLA",Algorithms!$A:$A,0)),0)*Z329</f>
        <v>0</v>
      </c>
      <c r="CR329" s="266">
        <f ca="1">Q329*IFERROR(INDEX(Algorithms!$G:$G,MATCH($C329&amp;"_Therm Saved per Unit- MLA",Algorithms!$A:$A,0)),0)*AA329</f>
        <v>0</v>
      </c>
      <c r="CS329" s="266">
        <f ca="1">IFERROR(INDEX(Algorithms!$G:$G,MATCH($C329&amp;"_Lifetime (years)",Algorithms!$A:$A,0)),0)</f>
        <v>12</v>
      </c>
      <c r="CT329" s="266">
        <f ca="1">IFERROR(INDEX(Algorithms!$G:$G,MATCH($C329&amp;"_Lifetime (years) - Remaining Years",Algorithms!$A:$A,0)),0)</f>
        <v>0</v>
      </c>
      <c r="CU329" s="266">
        <f t="shared" ca="1" si="201"/>
        <v>0</v>
      </c>
      <c r="CV329" s="266">
        <f t="shared" ca="1" si="202"/>
        <v>0</v>
      </c>
      <c r="CW329" s="266">
        <f t="shared" ca="1" si="203"/>
        <v>0</v>
      </c>
      <c r="CX329" s="266">
        <f t="shared" ca="1" si="204"/>
        <v>0</v>
      </c>
    </row>
    <row r="330" spans="2:102" s="47" customFormat="1" ht="18" customHeight="1" x14ac:dyDescent="0.25">
      <c r="B330" t="str">
        <f t="shared" si="205"/>
        <v>NSG_Business_Commercial Food Service Program_Upstream Rebate_Energy Star Steamer_4 Pans_CI</v>
      </c>
      <c r="C330" s="47" t="str">
        <f t="shared" ref="C330:C393" si="206">H330&amp;"_"&amp;I330&amp;"_"&amp;J330</f>
        <v>Energy Star Steamer_4 Pans_CI</v>
      </c>
      <c r="D330" s="270" t="s">
        <v>1787</v>
      </c>
      <c r="E330" s="270" t="s">
        <v>3</v>
      </c>
      <c r="F330" s="270" t="s">
        <v>1444</v>
      </c>
      <c r="G330" s="270" t="s">
        <v>1445</v>
      </c>
      <c r="H330" s="270" t="s">
        <v>1186</v>
      </c>
      <c r="I330" s="270" t="s">
        <v>1189</v>
      </c>
      <c r="J330" s="270" t="s">
        <v>1159</v>
      </c>
      <c r="K330" s="263">
        <v>1</v>
      </c>
      <c r="L330" s="263" t="str">
        <f ca="1">IFERROR(INDEX(Algorithms!J:J,MATCH($C330&amp;"_Therm Saved per Unit",Algorithms!$A:$A,0)),"n/a")</f>
        <v>4.2.3</v>
      </c>
      <c r="M330" s="263" t="str">
        <f>IFERROR(INDEX('Measure Level Detail'!$N:$N,MATCH($B330,'Measure Level Detail'!$B:$B,0)),0)</f>
        <v>each</v>
      </c>
      <c r="N330" s="271">
        <f>IFERROR(INDEX('Measure Level Detail'!$P:$P,MATCH($B330&amp;"_"&amp;N$3,'Measure Level Detail'!$C:$C,0)),0)</f>
        <v>0</v>
      </c>
      <c r="O330" s="271">
        <f>IFERROR(INDEX('Measure Level Detail'!$P:$P,MATCH($B330&amp;"_"&amp;O$3,'Measure Level Detail'!$C:$C,0)),0)</f>
        <v>0</v>
      </c>
      <c r="P330" s="271">
        <f>IFERROR(INDEX('Measure Level Detail'!$P:$P,MATCH($B330&amp;"_"&amp;P$3,'Measure Level Detail'!$C:$C,0)),0)</f>
        <v>0</v>
      </c>
      <c r="Q330" s="271">
        <f>IFERROR(INDEX('Measure Level Detail'!$P:$P,MATCH($B330&amp;"_"&amp;Q$3,'Measure Level Detail'!$C:$C,0)),0)</f>
        <v>0</v>
      </c>
      <c r="R330" s="263" t="str">
        <f ca="1">IFERROR(INDEX(Algorithms!K:K,MATCH($C330&amp;"_Therm Saved per Unit",Algorithms!$A:$A,0)),"n/a")</f>
        <v>CI-FSE-STMC-V07-240101</v>
      </c>
      <c r="S330" s="262"/>
      <c r="T330" s="272">
        <v>1007.2641787965731</v>
      </c>
      <c r="U330" s="272">
        <v>1007.2641787965731</v>
      </c>
      <c r="V330" s="272">
        <v>1007.2641787965731</v>
      </c>
      <c r="W330" s="272">
        <v>1007.2641787965731</v>
      </c>
      <c r="X330" s="276">
        <v>0.8</v>
      </c>
      <c r="Y330" s="276">
        <v>0.8</v>
      </c>
      <c r="Z330" s="276">
        <v>0.8</v>
      </c>
      <c r="AA330" s="276">
        <v>0.8</v>
      </c>
      <c r="AB330" s="266">
        <f t="shared" ref="AB330:AB393" si="207">N330*T330*X330</f>
        <v>0</v>
      </c>
      <c r="AC330" s="266">
        <f t="shared" ref="AC330:AC393" si="208">O330*U330*Y330</f>
        <v>0</v>
      </c>
      <c r="AD330" s="266">
        <f t="shared" ref="AD330:AD393" si="209">P330*V330*Z330</f>
        <v>0</v>
      </c>
      <c r="AE330" s="266">
        <f t="shared" ref="AE330:AE393" si="210">Q330*W330*AA330</f>
        <v>0</v>
      </c>
      <c r="AF330" s="266">
        <f t="shared" ref="AF330:AF393" si="211">AB330+AC330+AD330+AE330</f>
        <v>0</v>
      </c>
      <c r="AG330" s="274">
        <v>0.8</v>
      </c>
      <c r="AH330" s="274">
        <v>0.8</v>
      </c>
      <c r="AI330" s="274">
        <v>0.8</v>
      </c>
      <c r="AJ330" s="274">
        <v>0.8</v>
      </c>
      <c r="AK330" s="274">
        <f t="shared" ref="AK330:AK393" si="212">IF(AG330=X330,X330,
IF(AG330&gt;X330, IF(AG330-X330&gt;IF($E330="Income Eligible",0,10%),X330+(AG330-(X330+IF($E330="Income Eligible",0,10%))),X330),
IF(X330-AG330&gt;IF($E330="Income Eligible",0,10%),X330-((X330-IF($E330="Income Eligible",0,10%))-AG330),X330)))</f>
        <v>0.8</v>
      </c>
      <c r="AL330" s="274">
        <f t="shared" ref="AL330:AL393" si="213">IF(AH330=Y330,Y330,
IF(AH330&gt;Y330, IF(AH330-Y330&gt;IF($E330="Income Eligible",0,10%),Y330+(AH330-(Y330+IF($E330="Income Eligible",0,10%))),Y330),
IF(Y330-AH330&gt;IF($E330="Income Eligible",0,10%),Y330-((Y330-IF($E330="Income Eligible",0,10%))-AH330),Y330)))</f>
        <v>0.8</v>
      </c>
      <c r="AM330" s="274">
        <f t="shared" ref="AM330:AM393" si="214">IF(AI330=Z330,Z330,
IF(AI330&gt;Z330, IF(AI330-Z330&gt;IF($E330="Income Eligible",0,10%),Z330+(AI330-(Z330+IF($E330="Income Eligible",0,10%))),Z330),
IF(Z330-AI330&gt;IF($E330="Income Eligible",0,10%),Z330-((Z330-IF($E330="Income Eligible",0,10%))-AI330),Z330)))</f>
        <v>0.8</v>
      </c>
      <c r="AN330" s="274">
        <f t="shared" ref="AN330:AN393" si="215">IF(AJ330=AA330,AA330,
IF(AJ330&gt;AA330, IF(AJ330-AA330&gt;IF($E330="Income Eligible",0,10%),AA330+(AJ330-(AA330+IF($E330="Income Eligible",0,10%))),AA330),
IF(AA330-AJ330&gt;IF($E330="Income Eligible",0,10%),AA330-((AA330-IF($E330="Income Eligible",0,10%))-AJ330),AA330)))</f>
        <v>0.8</v>
      </c>
      <c r="AO330" s="262"/>
      <c r="AP330" s="262"/>
      <c r="AQ330" s="267">
        <v>1007.2641787965731</v>
      </c>
      <c r="AR330" s="262"/>
      <c r="AS330" s="266">
        <f t="shared" ref="AS330:AS393" si="216">N330*AQ330*AK330</f>
        <v>0</v>
      </c>
      <c r="AT330" s="264">
        <f t="shared" ref="AT330:AT393" si="217">IF(AS330=0,0,AS330-AB330)</f>
        <v>0</v>
      </c>
      <c r="AU330" s="262"/>
      <c r="AV330" s="262"/>
      <c r="AW330" s="265">
        <v>1007.2641787965731</v>
      </c>
      <c r="AX330" s="164" t="s">
        <v>1469</v>
      </c>
      <c r="AY330" s="266">
        <v>0</v>
      </c>
      <c r="AZ330" s="266">
        <f t="shared" ref="AZ330:AZ393" si="218">O330*AW330*AL330</f>
        <v>0</v>
      </c>
      <c r="BA330" s="264">
        <f t="shared" ref="BA330:BA393" si="219">IF(AZ330=0,0,AZ330-AC330)</f>
        <v>0</v>
      </c>
      <c r="BB330" s="262"/>
      <c r="BC330" s="262"/>
      <c r="BD330" s="265">
        <f ca="1">IFERROR(INDEX(Algorithms!$G:$G,MATCH($C330&amp;"_Therm Saved per Unit",Algorithms!$A:$A,0)),0)</f>
        <v>1011.508972457823</v>
      </c>
      <c r="BE330" s="164" t="str">
        <f ca="1">IFERROR(INDEX('v12 Revisions'!$P$29:$P$186, MATCH('Measure-Level Adj Gas'!$L330, 'v12 Revisions'!$D$29:$D$186,0)),"")</f>
        <v>Updated preheat energy savings in algorithm ; Addition of PreTimeBase, PreTimeEE, PREheat_Base, and PREheat_EE inputs.</v>
      </c>
      <c r="BF330" s="266">
        <f t="shared" ref="BF330:BF393" ca="1" si="220">P330*BD330*AM330</f>
        <v>0</v>
      </c>
      <c r="BG330" s="264">
        <f t="shared" ref="BG330:BG393" ca="1" si="221">IF(BF330=0,0,BF330-AD330)</f>
        <v>0</v>
      </c>
      <c r="BH330" s="262"/>
      <c r="BI330" s="262"/>
      <c r="BJ330" s="265">
        <f ca="1">IFERROR(INDEX(Algorithms!$G:$G,MATCH($C330&amp;"_Therm Saved per Unit",Algorithms!$A:$A,0)),0)</f>
        <v>1011.508972457823</v>
      </c>
      <c r="BK330" s="164"/>
      <c r="BL330" s="266">
        <f t="shared" ref="BL330:BL393" ca="1" si="222">Q330*BJ330*AN330</f>
        <v>0</v>
      </c>
      <c r="BM330" s="264">
        <f t="shared" ref="BM330:BM393" ca="1" si="223">IF(BL330=0,0,BL330-AE330)</f>
        <v>0</v>
      </c>
      <c r="BN330" s="266">
        <f t="shared" ref="BN330:BN393" si="224">IF(K330=1,AS330,AB330)</f>
        <v>0</v>
      </c>
      <c r="BO330" s="266">
        <f t="shared" ref="BO330:BO393" si="225">IF(K330=1,AZ330,AC330)</f>
        <v>0</v>
      </c>
      <c r="BP330" s="266">
        <f t="shared" ref="BP330:BP393" ca="1" si="226">IF(K330=1,BF330,AD330)</f>
        <v>0</v>
      </c>
      <c r="BQ330" s="266">
        <f t="shared" ref="BQ330:BQ393" ca="1" si="227">IF(K330=1,BL330,AE330)</f>
        <v>0</v>
      </c>
      <c r="BR330" s="268">
        <f t="shared" ref="BR330:BR393" ca="1" si="228">BN330+BO330+BP330+BQ330</f>
        <v>0</v>
      </c>
      <c r="BS330" s="262" t="s">
        <v>99</v>
      </c>
      <c r="BT330" s="277"/>
      <c r="BW330" s="266">
        <f t="shared" ref="BW330:BW393" si="229">N330*T330*X330</f>
        <v>0</v>
      </c>
      <c r="BX330" s="266">
        <f t="shared" ref="BX330:BX393" si="230">O330*U330*Y330</f>
        <v>0</v>
      </c>
      <c r="BY330" s="266">
        <f t="shared" ref="BY330:BY393" si="231">P330*V330*Z330</f>
        <v>0</v>
      </c>
      <c r="BZ330" s="266">
        <f t="shared" ref="BZ330:BZ393" si="232">Q330*W330*AA330</f>
        <v>0</v>
      </c>
      <c r="CA330" s="266">
        <f ca="1">N330*IFERROR(INDEX(Algorithms!$G:$G,MATCH($C330&amp;"_Therm Saved per Unit- MLA",Algorithms!$A:$A,0)),0)*X330</f>
        <v>0</v>
      </c>
      <c r="CB330" s="266">
        <f ca="1">O330*IFERROR(INDEX(Algorithms!$G:$G,MATCH($C330&amp;"_Therm Saved per Unit- MLA",Algorithms!$A:$A,0)),0)*Y330</f>
        <v>0</v>
      </c>
      <c r="CC330" s="266">
        <f ca="1">P330*IFERROR(INDEX(Algorithms!$G:$G,MATCH($C330&amp;"_Therm Saved per Unit- MLA",Algorithms!$A:$A,0)),0)*Z330</f>
        <v>0</v>
      </c>
      <c r="CD330" s="266">
        <f ca="1">Q330*IFERROR(INDEX(Algorithms!$G:$G,MATCH($C330&amp;"_Therm Saved per Unit- MLA",Algorithms!$A:$A,0)),0)*AA330</f>
        <v>0</v>
      </c>
      <c r="CE330" s="266">
        <f ca="1">IFERROR(INDEX(Algorithms!$G:$G,MATCH($C330&amp;"_Lifetime (years)",Algorithms!$A:$A,0)),0)</f>
        <v>12</v>
      </c>
      <c r="CF330" s="266">
        <f ca="1">IFERROR(INDEX(Algorithms!$G:$G,MATCH($C330&amp;"_Lifetime (years) - Remaining Years",Algorithms!$A:$A,0)),0)</f>
        <v>0</v>
      </c>
      <c r="CG330" s="266">
        <f t="shared" ref="CG330:CG393" ca="1" si="233">IF($CF330=0,(BW330*$CE330),((BW330*$CF330)+(CA330*($CE330-$CF330))))</f>
        <v>0</v>
      </c>
      <c r="CH330" s="266">
        <f t="shared" ref="CH330:CH393" ca="1" si="234">IF($CF330=0,(BX330*$CE330),((BX330*$CF330)+(CB330*($CE330-$CF330))))</f>
        <v>0</v>
      </c>
      <c r="CI330" s="266">
        <f t="shared" ref="CI330:CI393" ca="1" si="235">IF($CF330=0,(BY330*$CE330),((BY330*$CF330)+(CC330*($CE330-$CF330))))</f>
        <v>0</v>
      </c>
      <c r="CJ330" s="266">
        <f t="shared" ref="CJ330:CJ393" ca="1" si="236">IF($CF330=0,(BZ330*$CE330),((BZ330*$CF330)+(CD330*($CE330-$CF330))))</f>
        <v>0</v>
      </c>
      <c r="CK330" s="266">
        <f t="shared" ref="CK330:CK393" si="237">N330*AQ330*X330</f>
        <v>0</v>
      </c>
      <c r="CL330" s="266">
        <f t="shared" ref="CL330:CL393" si="238">O330*AW330*Y330</f>
        <v>0</v>
      </c>
      <c r="CM330" s="266">
        <f t="shared" ref="CM330:CM393" ca="1" si="239">P330*BD330*Z330</f>
        <v>0</v>
      </c>
      <c r="CN330" s="266">
        <f t="shared" ref="CN330:CN393" ca="1" si="240">Q330*BJ330*AA330</f>
        <v>0</v>
      </c>
      <c r="CO330" s="266">
        <f ca="1">N330*IFERROR(INDEX(Algorithms!$G:$G,MATCH($C330&amp;"_Therm Saved per Unit- MLA",Algorithms!$A:$A,0)),0)*X330</f>
        <v>0</v>
      </c>
      <c r="CP330" s="266">
        <f ca="1">O330*IFERROR(INDEX(Algorithms!$G:$G,MATCH($C330&amp;"_Therm Saved per Unit- MLA",Algorithms!$A:$A,0)),0)*Y330</f>
        <v>0</v>
      </c>
      <c r="CQ330" s="266">
        <f ca="1">P330*IFERROR(INDEX(Algorithms!$G:$G,MATCH($C330&amp;"_Therm Saved per Unit- MLA",Algorithms!$A:$A,0)),0)*Z330</f>
        <v>0</v>
      </c>
      <c r="CR330" s="266">
        <f ca="1">Q330*IFERROR(INDEX(Algorithms!$G:$G,MATCH($C330&amp;"_Therm Saved per Unit- MLA",Algorithms!$A:$A,0)),0)*AA330</f>
        <v>0</v>
      </c>
      <c r="CS330" s="266">
        <f ca="1">IFERROR(INDEX(Algorithms!$G:$G,MATCH($C330&amp;"_Lifetime (years)",Algorithms!$A:$A,0)),0)</f>
        <v>12</v>
      </c>
      <c r="CT330" s="266">
        <f ca="1">IFERROR(INDEX(Algorithms!$G:$G,MATCH($C330&amp;"_Lifetime (years) - Remaining Years",Algorithms!$A:$A,0)),0)</f>
        <v>0</v>
      </c>
      <c r="CU330" s="266">
        <f t="shared" ref="CU330:CU393" ca="1" si="241">IF($CT330=0,(CK330*$CS330),((CK330*$CT330)+(CO330*($CS330-$CT330))))</f>
        <v>0</v>
      </c>
      <c r="CV330" s="266">
        <f t="shared" ref="CV330:CV393" ca="1" si="242">IF($CT330=0,(CL330*$CS330),((CL330*$CT330)+(CP330*($CS330-$CT330))))</f>
        <v>0</v>
      </c>
      <c r="CW330" s="266">
        <f t="shared" ref="CW330:CW393" ca="1" si="243">IF($CT330=0,(CM330*$CS330),((CM330*$CT330)+(CQ330*($CS330-$CT330))))</f>
        <v>0</v>
      </c>
      <c r="CX330" s="266">
        <f t="shared" ref="CX330:CX393" ca="1" si="244">IF($CT330=0,(CN330*$CS330),((CN330*$CT330)+(CR330*($CS330-$CT330))))</f>
        <v>0</v>
      </c>
    </row>
    <row r="331" spans="2:102" s="47" customFormat="1" ht="18" customHeight="1" x14ac:dyDescent="0.25">
      <c r="B331" t="str">
        <f t="shared" ref="B331:B394" si="245">D331&amp;"_"&amp;E331&amp;"_"&amp;F331&amp;"_"&amp;G331&amp;"_"&amp;H331&amp;"_"&amp;I331&amp;"_"&amp;J331</f>
        <v>NSG_Business_Commercial Food Service Program_Upstream Rebate_Energy Star Steamer_5 Pans_CI</v>
      </c>
      <c r="C331" s="47" t="str">
        <f t="shared" si="206"/>
        <v>Energy Star Steamer_5 Pans_CI</v>
      </c>
      <c r="D331" s="270" t="s">
        <v>1787</v>
      </c>
      <c r="E331" s="270" t="s">
        <v>3</v>
      </c>
      <c r="F331" s="270" t="s">
        <v>1444</v>
      </c>
      <c r="G331" s="270" t="s">
        <v>1445</v>
      </c>
      <c r="H331" s="270" t="s">
        <v>1186</v>
      </c>
      <c r="I331" s="270" t="s">
        <v>1193</v>
      </c>
      <c r="J331" s="270" t="s">
        <v>1159</v>
      </c>
      <c r="K331" s="263">
        <v>1</v>
      </c>
      <c r="L331" s="263" t="str">
        <f ca="1">IFERROR(INDEX(Algorithms!J:J,MATCH($C331&amp;"_Therm Saved per Unit",Algorithms!$A:$A,0)),"n/a")</f>
        <v>4.2.3</v>
      </c>
      <c r="M331" s="263" t="str">
        <f>IFERROR(INDEX('Measure Level Detail'!$N:$N,MATCH($B331,'Measure Level Detail'!$B:$B,0)),0)</f>
        <v>each</v>
      </c>
      <c r="N331" s="271">
        <f>IFERROR(INDEX('Measure Level Detail'!$P:$P,MATCH($B331&amp;"_"&amp;N$3,'Measure Level Detail'!$C:$C,0)),0)</f>
        <v>0</v>
      </c>
      <c r="O331" s="271">
        <f>IFERROR(INDEX('Measure Level Detail'!$P:$P,MATCH($B331&amp;"_"&amp;O$3,'Measure Level Detail'!$C:$C,0)),0)</f>
        <v>0</v>
      </c>
      <c r="P331" s="271">
        <f>IFERROR(INDEX('Measure Level Detail'!$P:$P,MATCH($B331&amp;"_"&amp;P$3,'Measure Level Detail'!$C:$C,0)),0)</f>
        <v>0</v>
      </c>
      <c r="Q331" s="271">
        <f>IFERROR(INDEX('Measure Level Detail'!$P:$P,MATCH($B331&amp;"_"&amp;Q$3,'Measure Level Detail'!$C:$C,0)),0)</f>
        <v>0</v>
      </c>
      <c r="R331" s="263" t="str">
        <f ca="1">IFERROR(INDEX(Algorithms!K:K,MATCH($C331&amp;"_Therm Saved per Unit",Algorithms!$A:$A,0)),"n/a")</f>
        <v>CI-FSE-STMC-V07-240101</v>
      </c>
      <c r="S331" s="262"/>
      <c r="T331" s="272">
        <v>1248.6709419898457</v>
      </c>
      <c r="U331" s="272">
        <v>1248.6709419898457</v>
      </c>
      <c r="V331" s="272">
        <v>1248.6709419898457</v>
      </c>
      <c r="W331" s="272">
        <v>1248.6709419898457</v>
      </c>
      <c r="X331" s="276">
        <v>0.8</v>
      </c>
      <c r="Y331" s="276">
        <v>0.8</v>
      </c>
      <c r="Z331" s="276">
        <v>0.8</v>
      </c>
      <c r="AA331" s="276">
        <v>0.8</v>
      </c>
      <c r="AB331" s="266">
        <f t="shared" si="207"/>
        <v>0</v>
      </c>
      <c r="AC331" s="266">
        <f t="shared" si="208"/>
        <v>0</v>
      </c>
      <c r="AD331" s="266">
        <f t="shared" si="209"/>
        <v>0</v>
      </c>
      <c r="AE331" s="266">
        <f t="shared" si="210"/>
        <v>0</v>
      </c>
      <c r="AF331" s="266">
        <f t="shared" si="211"/>
        <v>0</v>
      </c>
      <c r="AG331" s="274">
        <v>0.8</v>
      </c>
      <c r="AH331" s="274">
        <v>0.8</v>
      </c>
      <c r="AI331" s="274">
        <v>0.8</v>
      </c>
      <c r="AJ331" s="274">
        <v>0.8</v>
      </c>
      <c r="AK331" s="274">
        <f t="shared" si="212"/>
        <v>0.8</v>
      </c>
      <c r="AL331" s="274">
        <f t="shared" si="213"/>
        <v>0.8</v>
      </c>
      <c r="AM331" s="274">
        <f t="shared" si="214"/>
        <v>0.8</v>
      </c>
      <c r="AN331" s="274">
        <f t="shared" si="215"/>
        <v>0.8</v>
      </c>
      <c r="AO331" s="262"/>
      <c r="AP331" s="262"/>
      <c r="AQ331" s="267">
        <v>1248.6709419898457</v>
      </c>
      <c r="AR331" s="262"/>
      <c r="AS331" s="266">
        <f t="shared" si="216"/>
        <v>0</v>
      </c>
      <c r="AT331" s="264">
        <f t="shared" si="217"/>
        <v>0</v>
      </c>
      <c r="AU331" s="262"/>
      <c r="AV331" s="262"/>
      <c r="AW331" s="265">
        <v>1248.6709419898457</v>
      </c>
      <c r="AX331" s="164" t="s">
        <v>1469</v>
      </c>
      <c r="AY331" s="266">
        <v>0</v>
      </c>
      <c r="AZ331" s="266">
        <f t="shared" si="218"/>
        <v>0</v>
      </c>
      <c r="BA331" s="264">
        <f t="shared" si="219"/>
        <v>0</v>
      </c>
      <c r="BB331" s="262"/>
      <c r="BC331" s="262"/>
      <c r="BD331" s="265">
        <f ca="1">IFERROR(INDEX(Algorithms!$G:$G,MATCH($C331&amp;"_Therm Saved per Unit",Algorithms!$A:$A,0)),0)</f>
        <v>1256.1062954535957</v>
      </c>
      <c r="BE331" s="164" t="str">
        <f ca="1">IFERROR(INDEX('v12 Revisions'!$P$29:$P$186, MATCH('Measure-Level Adj Gas'!$L331, 'v12 Revisions'!$D$29:$D$186,0)),"")</f>
        <v>Updated preheat energy savings in algorithm ; Addition of PreTimeBase, PreTimeEE, PREheat_Base, and PREheat_EE inputs.</v>
      </c>
      <c r="BF331" s="266">
        <f t="shared" ca="1" si="220"/>
        <v>0</v>
      </c>
      <c r="BG331" s="264">
        <f t="shared" ca="1" si="221"/>
        <v>0</v>
      </c>
      <c r="BH331" s="262"/>
      <c r="BI331" s="262"/>
      <c r="BJ331" s="265">
        <f ca="1">IFERROR(INDEX(Algorithms!$G:$G,MATCH($C331&amp;"_Therm Saved per Unit",Algorithms!$A:$A,0)),0)</f>
        <v>1256.1062954535957</v>
      </c>
      <c r="BK331" s="164"/>
      <c r="BL331" s="266">
        <f t="shared" ca="1" si="222"/>
        <v>0</v>
      </c>
      <c r="BM331" s="264">
        <f t="shared" ca="1" si="223"/>
        <v>0</v>
      </c>
      <c r="BN331" s="266">
        <f t="shared" si="224"/>
        <v>0</v>
      </c>
      <c r="BO331" s="266">
        <f t="shared" si="225"/>
        <v>0</v>
      </c>
      <c r="BP331" s="266">
        <f t="shared" ca="1" si="226"/>
        <v>0</v>
      </c>
      <c r="BQ331" s="266">
        <f t="shared" ca="1" si="227"/>
        <v>0</v>
      </c>
      <c r="BR331" s="268">
        <f t="shared" ca="1" si="228"/>
        <v>0</v>
      </c>
      <c r="BS331" s="262" t="s">
        <v>99</v>
      </c>
      <c r="BT331" s="277"/>
      <c r="BW331" s="266">
        <f t="shared" si="229"/>
        <v>0</v>
      </c>
      <c r="BX331" s="266">
        <f t="shared" si="230"/>
        <v>0</v>
      </c>
      <c r="BY331" s="266">
        <f t="shared" si="231"/>
        <v>0</v>
      </c>
      <c r="BZ331" s="266">
        <f t="shared" si="232"/>
        <v>0</v>
      </c>
      <c r="CA331" s="266">
        <f ca="1">N331*IFERROR(INDEX(Algorithms!$G:$G,MATCH($C331&amp;"_Therm Saved per Unit- MLA",Algorithms!$A:$A,0)),0)*X331</f>
        <v>0</v>
      </c>
      <c r="CB331" s="266">
        <f ca="1">O331*IFERROR(INDEX(Algorithms!$G:$G,MATCH($C331&amp;"_Therm Saved per Unit- MLA",Algorithms!$A:$A,0)),0)*Y331</f>
        <v>0</v>
      </c>
      <c r="CC331" s="266">
        <f ca="1">P331*IFERROR(INDEX(Algorithms!$G:$G,MATCH($C331&amp;"_Therm Saved per Unit- MLA",Algorithms!$A:$A,0)),0)*Z331</f>
        <v>0</v>
      </c>
      <c r="CD331" s="266">
        <f ca="1">Q331*IFERROR(INDEX(Algorithms!$G:$G,MATCH($C331&amp;"_Therm Saved per Unit- MLA",Algorithms!$A:$A,0)),0)*AA331</f>
        <v>0</v>
      </c>
      <c r="CE331" s="266">
        <f ca="1">IFERROR(INDEX(Algorithms!$G:$G,MATCH($C331&amp;"_Lifetime (years)",Algorithms!$A:$A,0)),0)</f>
        <v>12</v>
      </c>
      <c r="CF331" s="266">
        <f ca="1">IFERROR(INDEX(Algorithms!$G:$G,MATCH($C331&amp;"_Lifetime (years) - Remaining Years",Algorithms!$A:$A,0)),0)</f>
        <v>0</v>
      </c>
      <c r="CG331" s="266">
        <f t="shared" ca="1" si="233"/>
        <v>0</v>
      </c>
      <c r="CH331" s="266">
        <f t="shared" ca="1" si="234"/>
        <v>0</v>
      </c>
      <c r="CI331" s="266">
        <f t="shared" ca="1" si="235"/>
        <v>0</v>
      </c>
      <c r="CJ331" s="266">
        <f t="shared" ca="1" si="236"/>
        <v>0</v>
      </c>
      <c r="CK331" s="266">
        <f t="shared" si="237"/>
        <v>0</v>
      </c>
      <c r="CL331" s="266">
        <f t="shared" si="238"/>
        <v>0</v>
      </c>
      <c r="CM331" s="266">
        <f t="shared" ca="1" si="239"/>
        <v>0</v>
      </c>
      <c r="CN331" s="266">
        <f t="shared" ca="1" si="240"/>
        <v>0</v>
      </c>
      <c r="CO331" s="266">
        <f ca="1">N331*IFERROR(INDEX(Algorithms!$G:$G,MATCH($C331&amp;"_Therm Saved per Unit- MLA",Algorithms!$A:$A,0)),0)*X331</f>
        <v>0</v>
      </c>
      <c r="CP331" s="266">
        <f ca="1">O331*IFERROR(INDEX(Algorithms!$G:$G,MATCH($C331&amp;"_Therm Saved per Unit- MLA",Algorithms!$A:$A,0)),0)*Y331</f>
        <v>0</v>
      </c>
      <c r="CQ331" s="266">
        <f ca="1">P331*IFERROR(INDEX(Algorithms!$G:$G,MATCH($C331&amp;"_Therm Saved per Unit- MLA",Algorithms!$A:$A,0)),0)*Z331</f>
        <v>0</v>
      </c>
      <c r="CR331" s="266">
        <f ca="1">Q331*IFERROR(INDEX(Algorithms!$G:$G,MATCH($C331&amp;"_Therm Saved per Unit- MLA",Algorithms!$A:$A,0)),0)*AA331</f>
        <v>0</v>
      </c>
      <c r="CS331" s="266">
        <f ca="1">IFERROR(INDEX(Algorithms!$G:$G,MATCH($C331&amp;"_Lifetime (years)",Algorithms!$A:$A,0)),0)</f>
        <v>12</v>
      </c>
      <c r="CT331" s="266">
        <f ca="1">IFERROR(INDEX(Algorithms!$G:$G,MATCH($C331&amp;"_Lifetime (years) - Remaining Years",Algorithms!$A:$A,0)),0)</f>
        <v>0</v>
      </c>
      <c r="CU331" s="266">
        <f t="shared" ca="1" si="241"/>
        <v>0</v>
      </c>
      <c r="CV331" s="266">
        <f t="shared" ca="1" si="242"/>
        <v>0</v>
      </c>
      <c r="CW331" s="266">
        <f t="shared" ca="1" si="243"/>
        <v>0</v>
      </c>
      <c r="CX331" s="266">
        <f t="shared" ca="1" si="244"/>
        <v>0</v>
      </c>
    </row>
    <row r="332" spans="2:102" s="47" customFormat="1" ht="18" customHeight="1" x14ac:dyDescent="0.25">
      <c r="B332" t="str">
        <f t="shared" si="245"/>
        <v>NSG_Business_Commercial Food Service Program_Upstream Rebate_Energy Star Steamer_6 Pans_CI</v>
      </c>
      <c r="C332" s="47" t="str">
        <f t="shared" si="206"/>
        <v>Energy Star Steamer_6 Pans_CI</v>
      </c>
      <c r="D332" s="270" t="s">
        <v>1787</v>
      </c>
      <c r="E332" s="270" t="s">
        <v>3</v>
      </c>
      <c r="F332" s="270" t="s">
        <v>1444</v>
      </c>
      <c r="G332" s="270" t="s">
        <v>1445</v>
      </c>
      <c r="H332" s="270" t="s">
        <v>1186</v>
      </c>
      <c r="I332" s="270" t="s">
        <v>1195</v>
      </c>
      <c r="J332" s="270" t="s">
        <v>1159</v>
      </c>
      <c r="K332" s="263">
        <v>1</v>
      </c>
      <c r="L332" s="263" t="str">
        <f ca="1">IFERROR(INDEX(Algorithms!J:J,MATCH($C332&amp;"_Therm Saved per Unit",Algorithms!$A:$A,0)),"n/a")</f>
        <v>4.2.3</v>
      </c>
      <c r="M332" s="263" t="str">
        <f>IFERROR(INDEX('Measure Level Detail'!$N:$N,MATCH($B332,'Measure Level Detail'!$B:$B,0)),0)</f>
        <v>each</v>
      </c>
      <c r="N332" s="271">
        <f>IFERROR(INDEX('Measure Level Detail'!$P:$P,MATCH($B332&amp;"_"&amp;N$3,'Measure Level Detail'!$C:$C,0)),0)</f>
        <v>0</v>
      </c>
      <c r="O332" s="271">
        <f>IFERROR(INDEX('Measure Level Detail'!$P:$P,MATCH($B332&amp;"_"&amp;O$3,'Measure Level Detail'!$C:$C,0)),0)</f>
        <v>0</v>
      </c>
      <c r="P332" s="271">
        <f>IFERROR(INDEX('Measure Level Detail'!$P:$P,MATCH($B332&amp;"_"&amp;P$3,'Measure Level Detail'!$C:$C,0)),0)</f>
        <v>0</v>
      </c>
      <c r="Q332" s="271">
        <f>IFERROR(INDEX('Measure Level Detail'!$P:$P,MATCH($B332&amp;"_"&amp;Q$3,'Measure Level Detail'!$C:$C,0)),0)</f>
        <v>0</v>
      </c>
      <c r="R332" s="263" t="str">
        <f ca="1">IFERROR(INDEX(Algorithms!K:K,MATCH($C332&amp;"_Therm Saved per Unit",Algorithms!$A:$A,0)),"n/a")</f>
        <v>CI-FSE-STMC-V07-240101</v>
      </c>
      <c r="S332" s="262"/>
      <c r="T332" s="272">
        <v>1503.8794358667649</v>
      </c>
      <c r="U332" s="272">
        <v>1503.8794358667649</v>
      </c>
      <c r="V332" s="272">
        <v>1503.8794358667649</v>
      </c>
      <c r="W332" s="272">
        <v>1503.8794358667649</v>
      </c>
      <c r="X332" s="276">
        <v>0.8</v>
      </c>
      <c r="Y332" s="276">
        <v>0.8</v>
      </c>
      <c r="Z332" s="276">
        <v>0.8</v>
      </c>
      <c r="AA332" s="276">
        <v>0.8</v>
      </c>
      <c r="AB332" s="266">
        <f t="shared" si="207"/>
        <v>0</v>
      </c>
      <c r="AC332" s="266">
        <f t="shared" si="208"/>
        <v>0</v>
      </c>
      <c r="AD332" s="266">
        <f t="shared" si="209"/>
        <v>0</v>
      </c>
      <c r="AE332" s="266">
        <f t="shared" si="210"/>
        <v>0</v>
      </c>
      <c r="AF332" s="266">
        <f t="shared" si="211"/>
        <v>0</v>
      </c>
      <c r="AG332" s="274">
        <v>0.8</v>
      </c>
      <c r="AH332" s="274">
        <v>0.8</v>
      </c>
      <c r="AI332" s="274">
        <v>0.8</v>
      </c>
      <c r="AJ332" s="274">
        <v>0.8</v>
      </c>
      <c r="AK332" s="274">
        <f t="shared" si="212"/>
        <v>0.8</v>
      </c>
      <c r="AL332" s="274">
        <f t="shared" si="213"/>
        <v>0.8</v>
      </c>
      <c r="AM332" s="274">
        <f t="shared" si="214"/>
        <v>0.8</v>
      </c>
      <c r="AN332" s="274">
        <f t="shared" si="215"/>
        <v>0.8</v>
      </c>
      <c r="AO332" s="262"/>
      <c r="AP332" s="262"/>
      <c r="AQ332" s="267">
        <v>1503.8794358667649</v>
      </c>
      <c r="AR332" s="262"/>
      <c r="AS332" s="266">
        <f t="shared" si="216"/>
        <v>0</v>
      </c>
      <c r="AT332" s="264">
        <f t="shared" si="217"/>
        <v>0</v>
      </c>
      <c r="AU332" s="262"/>
      <c r="AV332" s="262"/>
      <c r="AW332" s="265">
        <v>1503.8794358667649</v>
      </c>
      <c r="AX332" s="164" t="s">
        <v>1469</v>
      </c>
      <c r="AY332" s="266">
        <v>0</v>
      </c>
      <c r="AZ332" s="266">
        <f t="shared" si="218"/>
        <v>0</v>
      </c>
      <c r="BA332" s="264">
        <f t="shared" si="219"/>
        <v>0</v>
      </c>
      <c r="BB332" s="262"/>
      <c r="BC332" s="262"/>
      <c r="BD332" s="265">
        <f ca="1">IFERROR(INDEX(Algorithms!$G:$G,MATCH($C332&amp;"_Therm Saved per Unit",Algorithms!$A:$A,0)),0)</f>
        <v>1514.6627116167647</v>
      </c>
      <c r="BE332" s="164" t="str">
        <f ca="1">IFERROR(INDEX('v12 Revisions'!$P$29:$P$186, MATCH('Measure-Level Adj Gas'!$L332, 'v12 Revisions'!$D$29:$D$186,0)),"")</f>
        <v>Updated preheat energy savings in algorithm ; Addition of PreTimeBase, PreTimeEE, PREheat_Base, and PREheat_EE inputs.</v>
      </c>
      <c r="BF332" s="266">
        <f t="shared" ca="1" si="220"/>
        <v>0</v>
      </c>
      <c r="BG332" s="264">
        <f t="shared" ca="1" si="221"/>
        <v>0</v>
      </c>
      <c r="BH332" s="262"/>
      <c r="BI332" s="262"/>
      <c r="BJ332" s="265">
        <f ca="1">IFERROR(INDEX(Algorithms!$G:$G,MATCH($C332&amp;"_Therm Saved per Unit",Algorithms!$A:$A,0)),0)</f>
        <v>1514.6627116167647</v>
      </c>
      <c r="BK332" s="164"/>
      <c r="BL332" s="266">
        <f t="shared" ca="1" si="222"/>
        <v>0</v>
      </c>
      <c r="BM332" s="264">
        <f t="shared" ca="1" si="223"/>
        <v>0</v>
      </c>
      <c r="BN332" s="266">
        <f t="shared" si="224"/>
        <v>0</v>
      </c>
      <c r="BO332" s="266">
        <f t="shared" si="225"/>
        <v>0</v>
      </c>
      <c r="BP332" s="266">
        <f t="shared" ca="1" si="226"/>
        <v>0</v>
      </c>
      <c r="BQ332" s="266">
        <f t="shared" ca="1" si="227"/>
        <v>0</v>
      </c>
      <c r="BR332" s="268">
        <f t="shared" ca="1" si="228"/>
        <v>0</v>
      </c>
      <c r="BS332" s="262" t="s">
        <v>99</v>
      </c>
      <c r="BT332" s="277"/>
      <c r="BW332" s="266">
        <f t="shared" si="229"/>
        <v>0</v>
      </c>
      <c r="BX332" s="266">
        <f t="shared" si="230"/>
        <v>0</v>
      </c>
      <c r="BY332" s="266">
        <f t="shared" si="231"/>
        <v>0</v>
      </c>
      <c r="BZ332" s="266">
        <f t="shared" si="232"/>
        <v>0</v>
      </c>
      <c r="CA332" s="266">
        <f ca="1">N332*IFERROR(INDEX(Algorithms!$G:$G,MATCH($C332&amp;"_Therm Saved per Unit- MLA",Algorithms!$A:$A,0)),0)*X332</f>
        <v>0</v>
      </c>
      <c r="CB332" s="266">
        <f ca="1">O332*IFERROR(INDEX(Algorithms!$G:$G,MATCH($C332&amp;"_Therm Saved per Unit- MLA",Algorithms!$A:$A,0)),0)*Y332</f>
        <v>0</v>
      </c>
      <c r="CC332" s="266">
        <f ca="1">P332*IFERROR(INDEX(Algorithms!$G:$G,MATCH($C332&amp;"_Therm Saved per Unit- MLA",Algorithms!$A:$A,0)),0)*Z332</f>
        <v>0</v>
      </c>
      <c r="CD332" s="266">
        <f ca="1">Q332*IFERROR(INDEX(Algorithms!$G:$G,MATCH($C332&amp;"_Therm Saved per Unit- MLA",Algorithms!$A:$A,0)),0)*AA332</f>
        <v>0</v>
      </c>
      <c r="CE332" s="266">
        <f ca="1">IFERROR(INDEX(Algorithms!$G:$G,MATCH($C332&amp;"_Lifetime (years)",Algorithms!$A:$A,0)),0)</f>
        <v>12</v>
      </c>
      <c r="CF332" s="266">
        <f ca="1">IFERROR(INDEX(Algorithms!$G:$G,MATCH($C332&amp;"_Lifetime (years) - Remaining Years",Algorithms!$A:$A,0)),0)</f>
        <v>0</v>
      </c>
      <c r="CG332" s="266">
        <f t="shared" ca="1" si="233"/>
        <v>0</v>
      </c>
      <c r="CH332" s="266">
        <f t="shared" ca="1" si="234"/>
        <v>0</v>
      </c>
      <c r="CI332" s="266">
        <f t="shared" ca="1" si="235"/>
        <v>0</v>
      </c>
      <c r="CJ332" s="266">
        <f t="shared" ca="1" si="236"/>
        <v>0</v>
      </c>
      <c r="CK332" s="266">
        <f t="shared" si="237"/>
        <v>0</v>
      </c>
      <c r="CL332" s="266">
        <f t="shared" si="238"/>
        <v>0</v>
      </c>
      <c r="CM332" s="266">
        <f t="shared" ca="1" si="239"/>
        <v>0</v>
      </c>
      <c r="CN332" s="266">
        <f t="shared" ca="1" si="240"/>
        <v>0</v>
      </c>
      <c r="CO332" s="266">
        <f ca="1">N332*IFERROR(INDEX(Algorithms!$G:$G,MATCH($C332&amp;"_Therm Saved per Unit- MLA",Algorithms!$A:$A,0)),0)*X332</f>
        <v>0</v>
      </c>
      <c r="CP332" s="266">
        <f ca="1">O332*IFERROR(INDEX(Algorithms!$G:$G,MATCH($C332&amp;"_Therm Saved per Unit- MLA",Algorithms!$A:$A,0)),0)*Y332</f>
        <v>0</v>
      </c>
      <c r="CQ332" s="266">
        <f ca="1">P332*IFERROR(INDEX(Algorithms!$G:$G,MATCH($C332&amp;"_Therm Saved per Unit- MLA",Algorithms!$A:$A,0)),0)*Z332</f>
        <v>0</v>
      </c>
      <c r="CR332" s="266">
        <f ca="1">Q332*IFERROR(INDEX(Algorithms!$G:$G,MATCH($C332&amp;"_Therm Saved per Unit- MLA",Algorithms!$A:$A,0)),0)*AA332</f>
        <v>0</v>
      </c>
      <c r="CS332" s="266">
        <f ca="1">IFERROR(INDEX(Algorithms!$G:$G,MATCH($C332&amp;"_Lifetime (years)",Algorithms!$A:$A,0)),0)</f>
        <v>12</v>
      </c>
      <c r="CT332" s="266">
        <f ca="1">IFERROR(INDEX(Algorithms!$G:$G,MATCH($C332&amp;"_Lifetime (years) - Remaining Years",Algorithms!$A:$A,0)),0)</f>
        <v>0</v>
      </c>
      <c r="CU332" s="266">
        <f t="shared" ca="1" si="241"/>
        <v>0</v>
      </c>
      <c r="CV332" s="266">
        <f t="shared" ca="1" si="242"/>
        <v>0</v>
      </c>
      <c r="CW332" s="266">
        <f t="shared" ca="1" si="243"/>
        <v>0</v>
      </c>
      <c r="CX332" s="266">
        <f t="shared" ca="1" si="244"/>
        <v>0</v>
      </c>
    </row>
    <row r="333" spans="2:102" s="47" customFormat="1" ht="18" customHeight="1" x14ac:dyDescent="0.25">
      <c r="B333" t="str">
        <f t="shared" si="245"/>
        <v>NSG_Business_Commercial Food Service Program_Upstream Rebate_Heat Recovery Grease Trap Filter_0_CI</v>
      </c>
      <c r="C333" s="47" t="str">
        <f t="shared" si="206"/>
        <v>Heat Recovery Grease Trap Filter_0_CI</v>
      </c>
      <c r="D333" s="270" t="s">
        <v>1787</v>
      </c>
      <c r="E333" s="270" t="s">
        <v>3</v>
      </c>
      <c r="F333" s="270" t="s">
        <v>1444</v>
      </c>
      <c r="G333" s="270" t="s">
        <v>1445</v>
      </c>
      <c r="H333" s="270" t="s">
        <v>17</v>
      </c>
      <c r="I333" s="270">
        <v>0</v>
      </c>
      <c r="J333" s="270" t="s">
        <v>1159</v>
      </c>
      <c r="K333" s="263">
        <v>1</v>
      </c>
      <c r="L333" s="263" t="str">
        <f ca="1">IFERROR(INDEX(Algorithms!J:J,MATCH($C333&amp;"_Therm Saved per Unit",Algorithms!$A:$A,0)),"n/a")</f>
        <v>4.3.9</v>
      </c>
      <c r="M333" s="263" t="str">
        <f>IFERROR(INDEX('Measure Level Detail'!$N:$N,MATCH($B333,'Measure Level Detail'!$B:$B,0)),0)</f>
        <v>each</v>
      </c>
      <c r="N333" s="271">
        <f>IFERROR(INDEX('Measure Level Detail'!$P:$P,MATCH($B333&amp;"_"&amp;N$3,'Measure Level Detail'!$C:$C,0)),0)</f>
        <v>0</v>
      </c>
      <c r="O333" s="271">
        <f>IFERROR(INDEX('Measure Level Detail'!$P:$P,MATCH($B333&amp;"_"&amp;O$3,'Measure Level Detail'!$C:$C,0)),0)</f>
        <v>0</v>
      </c>
      <c r="P333" s="271">
        <f>IFERROR(INDEX('Measure Level Detail'!$P:$P,MATCH($B333&amp;"_"&amp;P$3,'Measure Level Detail'!$C:$C,0)),0)</f>
        <v>0</v>
      </c>
      <c r="Q333" s="271">
        <f>IFERROR(INDEX('Measure Level Detail'!$P:$P,MATCH($B333&amp;"_"&amp;Q$3,'Measure Level Detail'!$C:$C,0)),0)</f>
        <v>0</v>
      </c>
      <c r="R333" s="263" t="str">
        <f ca="1">IFERROR(INDEX(Algorithms!K:K,MATCH($C333&amp;"_Therm Saved per Unit",Algorithms!$A:$A,0)),"n/a")</f>
        <v>CI-HWE-GRTF-V04-240101</v>
      </c>
      <c r="S333" s="262"/>
      <c r="T333" s="272">
        <v>1757.3025600000001</v>
      </c>
      <c r="U333" s="272">
        <v>1757.3025600000001</v>
      </c>
      <c r="V333" s="272">
        <v>1757.3025600000001</v>
      </c>
      <c r="W333" s="272">
        <v>1757.3025600000001</v>
      </c>
      <c r="X333" s="276">
        <v>0.8</v>
      </c>
      <c r="Y333" s="276">
        <v>0.8</v>
      </c>
      <c r="Z333" s="276">
        <v>0.8</v>
      </c>
      <c r="AA333" s="276">
        <v>0.8</v>
      </c>
      <c r="AB333" s="266">
        <f t="shared" si="207"/>
        <v>0</v>
      </c>
      <c r="AC333" s="266">
        <f t="shared" si="208"/>
        <v>0</v>
      </c>
      <c r="AD333" s="266">
        <f t="shared" si="209"/>
        <v>0</v>
      </c>
      <c r="AE333" s="266">
        <f t="shared" si="210"/>
        <v>0</v>
      </c>
      <c r="AF333" s="266">
        <f t="shared" si="211"/>
        <v>0</v>
      </c>
      <c r="AG333" s="274">
        <v>0.8</v>
      </c>
      <c r="AH333" s="274">
        <v>0.8</v>
      </c>
      <c r="AI333" s="274">
        <v>0.8</v>
      </c>
      <c r="AJ333" s="274">
        <v>0.8</v>
      </c>
      <c r="AK333" s="274">
        <f t="shared" si="212"/>
        <v>0.8</v>
      </c>
      <c r="AL333" s="274">
        <f t="shared" si="213"/>
        <v>0.8</v>
      </c>
      <c r="AM333" s="274">
        <f t="shared" si="214"/>
        <v>0.8</v>
      </c>
      <c r="AN333" s="274">
        <f t="shared" si="215"/>
        <v>0.8</v>
      </c>
      <c r="AO333" s="262"/>
      <c r="AP333" s="262"/>
      <c r="AQ333" s="267">
        <v>1757.3025600000001</v>
      </c>
      <c r="AR333" s="262"/>
      <c r="AS333" s="266">
        <f t="shared" si="216"/>
        <v>0</v>
      </c>
      <c r="AT333" s="264">
        <f t="shared" si="217"/>
        <v>0</v>
      </c>
      <c r="AU333" s="262"/>
      <c r="AV333" s="262"/>
      <c r="AW333" s="265">
        <v>1757.3025600000001</v>
      </c>
      <c r="AX333" s="164" t="s">
        <v>1469</v>
      </c>
      <c r="AY333" s="266">
        <v>0</v>
      </c>
      <c r="AZ333" s="266">
        <f t="shared" si="218"/>
        <v>0</v>
      </c>
      <c r="BA333" s="264">
        <f t="shared" si="219"/>
        <v>0</v>
      </c>
      <c r="BB333" s="262"/>
      <c r="BC333" s="262"/>
      <c r="BD333" s="265">
        <f ca="1">IFERROR(INDEX(Algorithms!$G:$G,MATCH($C333&amp;"_Therm Saved per Unit",Algorithms!$A:$A,0)),0)</f>
        <v>1757.3025600000001</v>
      </c>
      <c r="BE333" s="164" t="str">
        <f ca="1">IFERROR(INDEX('v12 Revisions'!$P$29:$P$186, MATCH('Measure-Level Adj Gas'!$L333, 'v12 Revisions'!$D$29:$D$186,0)),"")</f>
        <v>n/a - only affects electric energy savings algorithm.</v>
      </c>
      <c r="BF333" s="266">
        <f t="shared" ca="1" si="220"/>
        <v>0</v>
      </c>
      <c r="BG333" s="264">
        <f t="shared" ca="1" si="221"/>
        <v>0</v>
      </c>
      <c r="BH333" s="262"/>
      <c r="BI333" s="262"/>
      <c r="BJ333" s="265">
        <f ca="1">IFERROR(INDEX(Algorithms!$G:$G,MATCH($C333&amp;"_Therm Saved per Unit",Algorithms!$A:$A,0)),0)</f>
        <v>1757.3025600000001</v>
      </c>
      <c r="BK333" s="164"/>
      <c r="BL333" s="266">
        <f t="shared" ca="1" si="222"/>
        <v>0</v>
      </c>
      <c r="BM333" s="264">
        <f t="shared" ca="1" si="223"/>
        <v>0</v>
      </c>
      <c r="BN333" s="266">
        <f t="shared" si="224"/>
        <v>0</v>
      </c>
      <c r="BO333" s="266">
        <f t="shared" si="225"/>
        <v>0</v>
      </c>
      <c r="BP333" s="266">
        <f t="shared" ca="1" si="226"/>
        <v>0</v>
      </c>
      <c r="BQ333" s="266">
        <f t="shared" ca="1" si="227"/>
        <v>0</v>
      </c>
      <c r="BR333" s="268">
        <f t="shared" ca="1" si="228"/>
        <v>0</v>
      </c>
      <c r="BS333" s="262" t="s">
        <v>99</v>
      </c>
      <c r="BT333" s="277"/>
      <c r="BW333" s="266">
        <f t="shared" si="229"/>
        <v>0</v>
      </c>
      <c r="BX333" s="266">
        <f t="shared" si="230"/>
        <v>0</v>
      </c>
      <c r="BY333" s="266">
        <f t="shared" si="231"/>
        <v>0</v>
      </c>
      <c r="BZ333" s="266">
        <f t="shared" si="232"/>
        <v>0</v>
      </c>
      <c r="CA333" s="266">
        <f ca="1">N333*IFERROR(INDEX(Algorithms!$G:$G,MATCH($C333&amp;"_Therm Saved per Unit- MLA",Algorithms!$A:$A,0)),0)*X333</f>
        <v>0</v>
      </c>
      <c r="CB333" s="266">
        <f ca="1">O333*IFERROR(INDEX(Algorithms!$G:$G,MATCH($C333&amp;"_Therm Saved per Unit- MLA",Algorithms!$A:$A,0)),0)*Y333</f>
        <v>0</v>
      </c>
      <c r="CC333" s="266">
        <f ca="1">P333*IFERROR(INDEX(Algorithms!$G:$G,MATCH($C333&amp;"_Therm Saved per Unit- MLA",Algorithms!$A:$A,0)),0)*Z333</f>
        <v>0</v>
      </c>
      <c r="CD333" s="266">
        <f ca="1">Q333*IFERROR(INDEX(Algorithms!$G:$G,MATCH($C333&amp;"_Therm Saved per Unit- MLA",Algorithms!$A:$A,0)),0)*AA333</f>
        <v>0</v>
      </c>
      <c r="CE333" s="266">
        <f ca="1">IFERROR(INDEX(Algorithms!$G:$G,MATCH($C333&amp;"_Lifetime (years)",Algorithms!$A:$A,0)),0)</f>
        <v>15</v>
      </c>
      <c r="CF333" s="266">
        <f ca="1">IFERROR(INDEX(Algorithms!$G:$G,MATCH($C333&amp;"_Lifetime (years) - Remaining Years",Algorithms!$A:$A,0)),0)</f>
        <v>0</v>
      </c>
      <c r="CG333" s="266">
        <f t="shared" ca="1" si="233"/>
        <v>0</v>
      </c>
      <c r="CH333" s="266">
        <f t="shared" ca="1" si="234"/>
        <v>0</v>
      </c>
      <c r="CI333" s="266">
        <f t="shared" ca="1" si="235"/>
        <v>0</v>
      </c>
      <c r="CJ333" s="266">
        <f t="shared" ca="1" si="236"/>
        <v>0</v>
      </c>
      <c r="CK333" s="266">
        <f t="shared" si="237"/>
        <v>0</v>
      </c>
      <c r="CL333" s="266">
        <f t="shared" si="238"/>
        <v>0</v>
      </c>
      <c r="CM333" s="266">
        <f t="shared" ca="1" si="239"/>
        <v>0</v>
      </c>
      <c r="CN333" s="266">
        <f t="shared" ca="1" si="240"/>
        <v>0</v>
      </c>
      <c r="CO333" s="266">
        <f ca="1">N333*IFERROR(INDEX(Algorithms!$G:$G,MATCH($C333&amp;"_Therm Saved per Unit- MLA",Algorithms!$A:$A,0)),0)*X333</f>
        <v>0</v>
      </c>
      <c r="CP333" s="266">
        <f ca="1">O333*IFERROR(INDEX(Algorithms!$G:$G,MATCH($C333&amp;"_Therm Saved per Unit- MLA",Algorithms!$A:$A,0)),0)*Y333</f>
        <v>0</v>
      </c>
      <c r="CQ333" s="266">
        <f ca="1">P333*IFERROR(INDEX(Algorithms!$G:$G,MATCH($C333&amp;"_Therm Saved per Unit- MLA",Algorithms!$A:$A,0)),0)*Z333</f>
        <v>0</v>
      </c>
      <c r="CR333" s="266">
        <f ca="1">Q333*IFERROR(INDEX(Algorithms!$G:$G,MATCH($C333&amp;"_Therm Saved per Unit- MLA",Algorithms!$A:$A,0)),0)*AA333</f>
        <v>0</v>
      </c>
      <c r="CS333" s="266">
        <f ca="1">IFERROR(INDEX(Algorithms!$G:$G,MATCH($C333&amp;"_Lifetime (years)",Algorithms!$A:$A,0)),0)</f>
        <v>15</v>
      </c>
      <c r="CT333" s="266">
        <f ca="1">IFERROR(INDEX(Algorithms!$G:$G,MATCH($C333&amp;"_Lifetime (years) - Remaining Years",Algorithms!$A:$A,0)),0)</f>
        <v>0</v>
      </c>
      <c r="CU333" s="266">
        <f t="shared" ca="1" si="241"/>
        <v>0</v>
      </c>
      <c r="CV333" s="266">
        <f t="shared" ca="1" si="242"/>
        <v>0</v>
      </c>
      <c r="CW333" s="266">
        <f t="shared" ca="1" si="243"/>
        <v>0</v>
      </c>
      <c r="CX333" s="266">
        <f t="shared" ca="1" si="244"/>
        <v>0</v>
      </c>
    </row>
    <row r="334" spans="2:102" s="47" customFormat="1" ht="18" customHeight="1" x14ac:dyDescent="0.25">
      <c r="B334" t="str">
        <f t="shared" si="245"/>
        <v>NSG_Business_Commercial Food Service Program_Upstream Rebate_Infrared Upright Broiler_0_CI</v>
      </c>
      <c r="C334" s="47" t="str">
        <f t="shared" si="206"/>
        <v>Infrared Upright Broiler_0_CI</v>
      </c>
      <c r="D334" s="270" t="s">
        <v>1787</v>
      </c>
      <c r="E334" s="270" t="s">
        <v>3</v>
      </c>
      <c r="F334" s="270" t="s">
        <v>1444</v>
      </c>
      <c r="G334" s="270" t="s">
        <v>1445</v>
      </c>
      <c r="H334" s="270" t="s">
        <v>21</v>
      </c>
      <c r="I334" s="270">
        <v>0</v>
      </c>
      <c r="J334" s="270" t="s">
        <v>1159</v>
      </c>
      <c r="K334" s="263">
        <v>1</v>
      </c>
      <c r="L334" s="263" t="str">
        <f ca="1">IFERROR(INDEX(Algorithms!J:J,MATCH($C334&amp;"_Therm Saved per Unit",Algorithms!$A:$A,0)),"n/a")</f>
        <v>4.2.15</v>
      </c>
      <c r="M334" s="263" t="str">
        <f>IFERROR(INDEX('Measure Level Detail'!$N:$N,MATCH($B334,'Measure Level Detail'!$B:$B,0)),0)</f>
        <v>each</v>
      </c>
      <c r="N334" s="271">
        <f>IFERROR(INDEX('Measure Level Detail'!$P:$P,MATCH($B334&amp;"_"&amp;N$3,'Measure Level Detail'!$C:$C,0)),0)</f>
        <v>0</v>
      </c>
      <c r="O334" s="271">
        <f>IFERROR(INDEX('Measure Level Detail'!$P:$P,MATCH($B334&amp;"_"&amp;O$3,'Measure Level Detail'!$C:$C,0)),0)</f>
        <v>0</v>
      </c>
      <c r="P334" s="271">
        <f>IFERROR(INDEX('Measure Level Detail'!$P:$P,MATCH($B334&amp;"_"&amp;P$3,'Measure Level Detail'!$C:$C,0)),0)</f>
        <v>0</v>
      </c>
      <c r="Q334" s="271">
        <f>IFERROR(INDEX('Measure Level Detail'!$P:$P,MATCH($B334&amp;"_"&amp;Q$3,'Measure Level Detail'!$C:$C,0)),0)</f>
        <v>0</v>
      </c>
      <c r="R334" s="263" t="str">
        <f ca="1">IFERROR(INDEX(Algorithms!K:K,MATCH($C334&amp;"_Therm Saved per Unit",Algorithms!$A:$A,0)),"n/a")</f>
        <v>CI-FSE-IRUB-V03-240101</v>
      </c>
      <c r="S334" s="262"/>
      <c r="T334" s="272">
        <v>943.48800000000006</v>
      </c>
      <c r="U334" s="272">
        <v>943.48800000000006</v>
      </c>
      <c r="V334" s="272">
        <v>943.48800000000006</v>
      </c>
      <c r="W334" s="272">
        <v>943.48800000000006</v>
      </c>
      <c r="X334" s="276">
        <v>0.8</v>
      </c>
      <c r="Y334" s="276">
        <v>0.8</v>
      </c>
      <c r="Z334" s="276">
        <v>0.8</v>
      </c>
      <c r="AA334" s="276">
        <v>0.8</v>
      </c>
      <c r="AB334" s="266">
        <f t="shared" si="207"/>
        <v>0</v>
      </c>
      <c r="AC334" s="266">
        <f t="shared" si="208"/>
        <v>0</v>
      </c>
      <c r="AD334" s="266">
        <f t="shared" si="209"/>
        <v>0</v>
      </c>
      <c r="AE334" s="266">
        <f t="shared" si="210"/>
        <v>0</v>
      </c>
      <c r="AF334" s="266">
        <f t="shared" si="211"/>
        <v>0</v>
      </c>
      <c r="AG334" s="274">
        <v>0.8</v>
      </c>
      <c r="AH334" s="274">
        <v>0.8</v>
      </c>
      <c r="AI334" s="274">
        <v>0.8</v>
      </c>
      <c r="AJ334" s="274">
        <v>0.8</v>
      </c>
      <c r="AK334" s="274">
        <f t="shared" si="212"/>
        <v>0.8</v>
      </c>
      <c r="AL334" s="274">
        <f t="shared" si="213"/>
        <v>0.8</v>
      </c>
      <c r="AM334" s="274">
        <f t="shared" si="214"/>
        <v>0.8</v>
      </c>
      <c r="AN334" s="274">
        <f t="shared" si="215"/>
        <v>0.8</v>
      </c>
      <c r="AO334" s="262"/>
      <c r="AP334" s="262"/>
      <c r="AQ334" s="267">
        <v>943.48800000000006</v>
      </c>
      <c r="AR334" s="262"/>
      <c r="AS334" s="266">
        <f t="shared" si="216"/>
        <v>0</v>
      </c>
      <c r="AT334" s="264">
        <f t="shared" si="217"/>
        <v>0</v>
      </c>
      <c r="AU334" s="262"/>
      <c r="AV334" s="262"/>
      <c r="AW334" s="265">
        <v>943.48800000000006</v>
      </c>
      <c r="AX334" s="164" t="s">
        <v>1469</v>
      </c>
      <c r="AY334" s="266">
        <v>0</v>
      </c>
      <c r="AZ334" s="266">
        <f t="shared" si="218"/>
        <v>0</v>
      </c>
      <c r="BA334" s="264">
        <f t="shared" si="219"/>
        <v>0</v>
      </c>
      <c r="BB334" s="262"/>
      <c r="BC334" s="262"/>
      <c r="BD334" s="265">
        <f ca="1">IFERROR(INDEX(Algorithms!$G:$G,MATCH($C334&amp;"_Therm Saved per Unit",Algorithms!$A:$A,0)),0)</f>
        <v>943.48800000000006</v>
      </c>
      <c r="BE334" s="164" t="str">
        <f ca="1">IFERROR(INDEX('v12 Revisions'!$P$29:$P$186, MATCH('Measure-Level Adj Gas'!$L334, 'v12 Revisions'!$D$29:$D$186,0)),"")</f>
        <v>Split annual hours in to days * hours/day ; savings remain the same</v>
      </c>
      <c r="BF334" s="266">
        <f t="shared" ca="1" si="220"/>
        <v>0</v>
      </c>
      <c r="BG334" s="264">
        <f t="shared" ca="1" si="221"/>
        <v>0</v>
      </c>
      <c r="BH334" s="262"/>
      <c r="BI334" s="262"/>
      <c r="BJ334" s="265">
        <f ca="1">IFERROR(INDEX(Algorithms!$G:$G,MATCH($C334&amp;"_Therm Saved per Unit",Algorithms!$A:$A,0)),0)</f>
        <v>943.48800000000006</v>
      </c>
      <c r="BK334" s="164"/>
      <c r="BL334" s="266">
        <f t="shared" ca="1" si="222"/>
        <v>0</v>
      </c>
      <c r="BM334" s="264">
        <f t="shared" ca="1" si="223"/>
        <v>0</v>
      </c>
      <c r="BN334" s="266">
        <f t="shared" si="224"/>
        <v>0</v>
      </c>
      <c r="BO334" s="266">
        <f t="shared" si="225"/>
        <v>0</v>
      </c>
      <c r="BP334" s="266">
        <f t="shared" ca="1" si="226"/>
        <v>0</v>
      </c>
      <c r="BQ334" s="266">
        <f t="shared" ca="1" si="227"/>
        <v>0</v>
      </c>
      <c r="BR334" s="268">
        <f t="shared" ca="1" si="228"/>
        <v>0</v>
      </c>
      <c r="BS334" s="262" t="s">
        <v>99</v>
      </c>
      <c r="BT334" s="277"/>
      <c r="BW334" s="266">
        <f t="shared" si="229"/>
        <v>0</v>
      </c>
      <c r="BX334" s="266">
        <f t="shared" si="230"/>
        <v>0</v>
      </c>
      <c r="BY334" s="266">
        <f t="shared" si="231"/>
        <v>0</v>
      </c>
      <c r="BZ334" s="266">
        <f t="shared" si="232"/>
        <v>0</v>
      </c>
      <c r="CA334" s="266">
        <f ca="1">N334*IFERROR(INDEX(Algorithms!$G:$G,MATCH($C334&amp;"_Therm Saved per Unit- MLA",Algorithms!$A:$A,0)),0)*X334</f>
        <v>0</v>
      </c>
      <c r="CB334" s="266">
        <f ca="1">O334*IFERROR(INDEX(Algorithms!$G:$G,MATCH($C334&amp;"_Therm Saved per Unit- MLA",Algorithms!$A:$A,0)),0)*Y334</f>
        <v>0</v>
      </c>
      <c r="CC334" s="266">
        <f ca="1">P334*IFERROR(INDEX(Algorithms!$G:$G,MATCH($C334&amp;"_Therm Saved per Unit- MLA",Algorithms!$A:$A,0)),0)*Z334</f>
        <v>0</v>
      </c>
      <c r="CD334" s="266">
        <f ca="1">Q334*IFERROR(INDEX(Algorithms!$G:$G,MATCH($C334&amp;"_Therm Saved per Unit- MLA",Algorithms!$A:$A,0)),0)*AA334</f>
        <v>0</v>
      </c>
      <c r="CE334" s="266">
        <f ca="1">IFERROR(INDEX(Algorithms!$G:$G,MATCH($C334&amp;"_Lifetime (years)",Algorithms!$A:$A,0)),0)</f>
        <v>12</v>
      </c>
      <c r="CF334" s="266">
        <f ca="1">IFERROR(INDEX(Algorithms!$G:$G,MATCH($C334&amp;"_Lifetime (years) - Remaining Years",Algorithms!$A:$A,0)),0)</f>
        <v>0</v>
      </c>
      <c r="CG334" s="266">
        <f t="shared" ca="1" si="233"/>
        <v>0</v>
      </c>
      <c r="CH334" s="266">
        <f t="shared" ca="1" si="234"/>
        <v>0</v>
      </c>
      <c r="CI334" s="266">
        <f t="shared" ca="1" si="235"/>
        <v>0</v>
      </c>
      <c r="CJ334" s="266">
        <f t="shared" ca="1" si="236"/>
        <v>0</v>
      </c>
      <c r="CK334" s="266">
        <f t="shared" si="237"/>
        <v>0</v>
      </c>
      <c r="CL334" s="266">
        <f t="shared" si="238"/>
        <v>0</v>
      </c>
      <c r="CM334" s="266">
        <f t="shared" ca="1" si="239"/>
        <v>0</v>
      </c>
      <c r="CN334" s="266">
        <f t="shared" ca="1" si="240"/>
        <v>0</v>
      </c>
      <c r="CO334" s="266">
        <f ca="1">N334*IFERROR(INDEX(Algorithms!$G:$G,MATCH($C334&amp;"_Therm Saved per Unit- MLA",Algorithms!$A:$A,0)),0)*X334</f>
        <v>0</v>
      </c>
      <c r="CP334" s="266">
        <f ca="1">O334*IFERROR(INDEX(Algorithms!$G:$G,MATCH($C334&amp;"_Therm Saved per Unit- MLA",Algorithms!$A:$A,0)),0)*Y334</f>
        <v>0</v>
      </c>
      <c r="CQ334" s="266">
        <f ca="1">P334*IFERROR(INDEX(Algorithms!$G:$G,MATCH($C334&amp;"_Therm Saved per Unit- MLA",Algorithms!$A:$A,0)),0)*Z334</f>
        <v>0</v>
      </c>
      <c r="CR334" s="266">
        <f ca="1">Q334*IFERROR(INDEX(Algorithms!$G:$G,MATCH($C334&amp;"_Therm Saved per Unit- MLA",Algorithms!$A:$A,0)),0)*AA334</f>
        <v>0</v>
      </c>
      <c r="CS334" s="266">
        <f ca="1">IFERROR(INDEX(Algorithms!$G:$G,MATCH($C334&amp;"_Lifetime (years)",Algorithms!$A:$A,0)),0)</f>
        <v>12</v>
      </c>
      <c r="CT334" s="266">
        <f ca="1">IFERROR(INDEX(Algorithms!$G:$G,MATCH($C334&amp;"_Lifetime (years) - Remaining Years",Algorithms!$A:$A,0)),0)</f>
        <v>0</v>
      </c>
      <c r="CU334" s="266">
        <f t="shared" ca="1" si="241"/>
        <v>0</v>
      </c>
      <c r="CV334" s="266">
        <f t="shared" ca="1" si="242"/>
        <v>0</v>
      </c>
      <c r="CW334" s="266">
        <f t="shared" ca="1" si="243"/>
        <v>0</v>
      </c>
      <c r="CX334" s="266">
        <f t="shared" ca="1" si="244"/>
        <v>0</v>
      </c>
    </row>
    <row r="335" spans="2:102" s="47" customFormat="1" ht="18" customHeight="1" x14ac:dyDescent="0.25">
      <c r="B335" t="str">
        <f t="shared" si="245"/>
        <v>NSG_Research &amp; Development (Emerging Technologies)_Gas Heat Pump Pilot_Gas Heat Pump Pilot_Gas Heat Pump Replace Furnace - 140% AFUE_Heat Pump Pilot_SF</v>
      </c>
      <c r="C335" s="47" t="str">
        <f t="shared" si="206"/>
        <v>Gas Heat Pump Replace Furnace - 140% AFUE_Heat Pump Pilot_SF</v>
      </c>
      <c r="D335" s="270" t="s">
        <v>1787</v>
      </c>
      <c r="E335" s="270" t="s">
        <v>1446</v>
      </c>
      <c r="F335" s="270" t="s">
        <v>1447</v>
      </c>
      <c r="G335" s="270" t="s">
        <v>1447</v>
      </c>
      <c r="H335" s="270" t="s">
        <v>1001</v>
      </c>
      <c r="I335" s="270" t="s">
        <v>877</v>
      </c>
      <c r="J335" s="270" t="s">
        <v>409</v>
      </c>
      <c r="K335" s="263">
        <v>1</v>
      </c>
      <c r="L335" s="263">
        <f ca="1">IFERROR(INDEX(Algorithms!J:J,MATCH($C335&amp;"_Therm Saved per Unit",Algorithms!$A:$A,0)),"n/a")</f>
        <v>0</v>
      </c>
      <c r="M335" s="263" t="str">
        <f>IFERROR(INDEX('Measure Level Detail'!$N:$N,MATCH($B335,'Measure Level Detail'!$B:$B,0)),0)</f>
        <v>each</v>
      </c>
      <c r="N335" s="271">
        <f>IFERROR(INDEX('Measure Level Detail'!$P:$P,MATCH($B335&amp;"_"&amp;N$3,'Measure Level Detail'!$C:$C,0)),0)</f>
        <v>0</v>
      </c>
      <c r="O335" s="271">
        <f>IFERROR(INDEX('Measure Level Detail'!$P:$P,MATCH($B335&amp;"_"&amp;O$3,'Measure Level Detail'!$C:$C,0)),0)</f>
        <v>2</v>
      </c>
      <c r="P335" s="271">
        <f>IFERROR(INDEX('Measure Level Detail'!$P:$P,MATCH($B335&amp;"_"&amp;P$3,'Measure Level Detail'!$C:$C,0)),0)</f>
        <v>4</v>
      </c>
      <c r="Q335" s="271">
        <f>IFERROR(INDEX('Measure Level Detail'!$P:$P,MATCH($B335&amp;"_"&amp;Q$3,'Measure Level Detail'!$C:$C,0)),0)</f>
        <v>6</v>
      </c>
      <c r="R335" s="263">
        <f ca="1">IFERROR(INDEX(Algorithms!K:K,MATCH($C335&amp;"_Therm Saved per Unit",Algorithms!$A:$A,0)),"n/a")</f>
        <v>0</v>
      </c>
      <c r="S335" s="262"/>
      <c r="T335" s="272">
        <v>679.02905982905952</v>
      </c>
      <c r="U335" s="272">
        <v>679.02905982905952</v>
      </c>
      <c r="V335" s="272">
        <v>679.02905982905952</v>
      </c>
      <c r="W335" s="272">
        <v>679.02905982905952</v>
      </c>
      <c r="X335" s="273">
        <f>IFERROR(INDEX('Measure Level Detail'!$R:$R,MATCH($B335&amp;"_"&amp;X$3,'Measure Level Detail'!$C:$C,0)),0)</f>
        <v>0.8</v>
      </c>
      <c r="Y335" s="273">
        <f>IFERROR(INDEX('Measure Level Detail'!$R:$R,MATCH($B335&amp;"_"&amp;Y$3,'Measure Level Detail'!$C:$C,0)),0)</f>
        <v>0.8</v>
      </c>
      <c r="Z335" s="273">
        <f>IFERROR(INDEX('Measure Level Detail'!$R:$R,MATCH($B335&amp;"_"&amp;Z$3,'Measure Level Detail'!$C:$C,0)),0)</f>
        <v>0.8</v>
      </c>
      <c r="AA335" s="273">
        <f>IFERROR(INDEX('Measure Level Detail'!$R:$R,MATCH($B335&amp;"_"&amp;AA$3,'Measure Level Detail'!$C:$C,0)),0)</f>
        <v>0.8</v>
      </c>
      <c r="AB335" s="266">
        <f t="shared" si="207"/>
        <v>0</v>
      </c>
      <c r="AC335" s="266">
        <f t="shared" si="208"/>
        <v>1086.4464957264952</v>
      </c>
      <c r="AD335" s="266">
        <f t="shared" si="209"/>
        <v>2172.8929914529904</v>
      </c>
      <c r="AE335" s="266">
        <f t="shared" si="210"/>
        <v>3259.3394871794862</v>
      </c>
      <c r="AF335" s="266">
        <f t="shared" si="211"/>
        <v>6518.6789743589716</v>
      </c>
      <c r="AG335" s="274">
        <v>0.8</v>
      </c>
      <c r="AH335" s="274">
        <v>0.8</v>
      </c>
      <c r="AI335" s="274">
        <v>0.8</v>
      </c>
      <c r="AJ335" s="274">
        <v>0.8</v>
      </c>
      <c r="AK335" s="274">
        <f t="shared" si="212"/>
        <v>0.8</v>
      </c>
      <c r="AL335" s="274">
        <f t="shared" si="213"/>
        <v>0.8</v>
      </c>
      <c r="AM335" s="274">
        <f t="shared" si="214"/>
        <v>0.8</v>
      </c>
      <c r="AN335" s="274">
        <f t="shared" si="215"/>
        <v>0.8</v>
      </c>
      <c r="AO335" s="262"/>
      <c r="AP335" s="262"/>
      <c r="AQ335" s="267">
        <v>679.02905982905952</v>
      </c>
      <c r="AR335" s="262"/>
      <c r="AS335" s="266">
        <f t="shared" si="216"/>
        <v>0</v>
      </c>
      <c r="AT335" s="264">
        <f t="shared" si="217"/>
        <v>0</v>
      </c>
      <c r="AU335" s="262"/>
      <c r="AV335" s="262"/>
      <c r="AW335" s="265">
        <v>679.02905982905952</v>
      </c>
      <c r="AX335" s="164" t="s">
        <v>1469</v>
      </c>
      <c r="AY335" s="266">
        <v>1086.4464957264952</v>
      </c>
      <c r="AZ335" s="266">
        <f t="shared" si="218"/>
        <v>1086.4464957264952</v>
      </c>
      <c r="BA335" s="264">
        <f t="shared" si="219"/>
        <v>0</v>
      </c>
      <c r="BB335" s="262"/>
      <c r="BC335" s="262"/>
      <c r="BD335" s="265">
        <f ca="1">IFERROR(INDEX(Algorithms!$G:$G,MATCH($C335&amp;"_Therm Saved per Unit",Algorithms!$A:$A,0)),0)</f>
        <v>679.02905982905952</v>
      </c>
      <c r="BE335" s="164" t="str">
        <f ca="1">IFERROR(INDEX('v12 Revisions'!$P$29:$P$186, MATCH('Measure-Level Adj Gas'!$L335, 'v12 Revisions'!$D$29:$D$186,0)),"")</f>
        <v/>
      </c>
      <c r="BF335" s="266">
        <f t="shared" ca="1" si="220"/>
        <v>2172.8929914529904</v>
      </c>
      <c r="BG335" s="264">
        <f t="shared" ca="1" si="221"/>
        <v>0</v>
      </c>
      <c r="BH335" s="262"/>
      <c r="BI335" s="262"/>
      <c r="BJ335" s="265">
        <f ca="1">IFERROR(INDEX(Algorithms!$G:$G,MATCH($C335&amp;"_Therm Saved per Unit",Algorithms!$A:$A,0)),0)</f>
        <v>679.02905982905952</v>
      </c>
      <c r="BK335" s="164"/>
      <c r="BL335" s="266">
        <f t="shared" ca="1" si="222"/>
        <v>3259.3394871794862</v>
      </c>
      <c r="BM335" s="264">
        <f t="shared" ca="1" si="223"/>
        <v>0</v>
      </c>
      <c r="BN335" s="266">
        <f t="shared" si="224"/>
        <v>0</v>
      </c>
      <c r="BO335" s="266">
        <f t="shared" si="225"/>
        <v>1086.4464957264952</v>
      </c>
      <c r="BP335" s="266">
        <f t="shared" ca="1" si="226"/>
        <v>2172.8929914529904</v>
      </c>
      <c r="BQ335" s="266">
        <f t="shared" ca="1" si="227"/>
        <v>3259.3394871794862</v>
      </c>
      <c r="BR335" s="268">
        <f t="shared" ca="1" si="228"/>
        <v>6518.6789743589716</v>
      </c>
      <c r="BS335" s="262" t="s">
        <v>99</v>
      </c>
      <c r="BT335" s="277"/>
      <c r="BW335" s="266">
        <f t="shared" si="229"/>
        <v>0</v>
      </c>
      <c r="BX335" s="266">
        <f t="shared" si="230"/>
        <v>1086.4464957264952</v>
      </c>
      <c r="BY335" s="266">
        <f t="shared" si="231"/>
        <v>2172.8929914529904</v>
      </c>
      <c r="BZ335" s="266">
        <f t="shared" si="232"/>
        <v>3259.3394871794862</v>
      </c>
      <c r="CA335" s="266">
        <f ca="1">N335*IFERROR(INDEX(Algorithms!$G:$G,MATCH($C335&amp;"_Therm Saved per Unit- MLA",Algorithms!$A:$A,0)),0)*X335</f>
        <v>0</v>
      </c>
      <c r="CB335" s="266">
        <f ca="1">O335*IFERROR(INDEX(Algorithms!$G:$G,MATCH($C335&amp;"_Therm Saved per Unit- MLA",Algorithms!$A:$A,0)),0)*Y335</f>
        <v>0</v>
      </c>
      <c r="CC335" s="266">
        <f ca="1">P335*IFERROR(INDEX(Algorithms!$G:$G,MATCH($C335&amp;"_Therm Saved per Unit- MLA",Algorithms!$A:$A,0)),0)*Z335</f>
        <v>0</v>
      </c>
      <c r="CD335" s="266">
        <f ca="1">Q335*IFERROR(INDEX(Algorithms!$G:$G,MATCH($C335&amp;"_Therm Saved per Unit- MLA",Algorithms!$A:$A,0)),0)*AA335</f>
        <v>0</v>
      </c>
      <c r="CE335" s="266">
        <f ca="1">IFERROR(INDEX(Algorithms!$G:$G,MATCH($C335&amp;"_Lifetime (years)",Algorithms!$A:$A,0)),0)</f>
        <v>16</v>
      </c>
      <c r="CF335" s="266">
        <f ca="1">IFERROR(INDEX(Algorithms!$G:$G,MATCH($C335&amp;"_Lifetime (years) - Remaining Years",Algorithms!$A:$A,0)),0)</f>
        <v>0</v>
      </c>
      <c r="CG335" s="266">
        <f t="shared" ca="1" si="233"/>
        <v>0</v>
      </c>
      <c r="CH335" s="266">
        <f t="shared" ca="1" si="234"/>
        <v>17383.143931623923</v>
      </c>
      <c r="CI335" s="266">
        <f t="shared" ca="1" si="235"/>
        <v>34766.287863247846</v>
      </c>
      <c r="CJ335" s="266">
        <f t="shared" ca="1" si="236"/>
        <v>52149.43179487178</v>
      </c>
      <c r="CK335" s="266">
        <f t="shared" si="237"/>
        <v>0</v>
      </c>
      <c r="CL335" s="266">
        <f t="shared" si="238"/>
        <v>1086.4464957264952</v>
      </c>
      <c r="CM335" s="266">
        <f t="shared" ca="1" si="239"/>
        <v>2172.8929914529904</v>
      </c>
      <c r="CN335" s="266">
        <f t="shared" ca="1" si="240"/>
        <v>3259.3394871794862</v>
      </c>
      <c r="CO335" s="266">
        <f ca="1">N335*IFERROR(INDEX(Algorithms!$G:$G,MATCH($C335&amp;"_Therm Saved per Unit- MLA",Algorithms!$A:$A,0)),0)*X335</f>
        <v>0</v>
      </c>
      <c r="CP335" s="266">
        <f ca="1">O335*IFERROR(INDEX(Algorithms!$G:$G,MATCH($C335&amp;"_Therm Saved per Unit- MLA",Algorithms!$A:$A,0)),0)*Y335</f>
        <v>0</v>
      </c>
      <c r="CQ335" s="266">
        <f ca="1">P335*IFERROR(INDEX(Algorithms!$G:$G,MATCH($C335&amp;"_Therm Saved per Unit- MLA",Algorithms!$A:$A,0)),0)*Z335</f>
        <v>0</v>
      </c>
      <c r="CR335" s="266">
        <f ca="1">Q335*IFERROR(INDEX(Algorithms!$G:$G,MATCH($C335&amp;"_Therm Saved per Unit- MLA",Algorithms!$A:$A,0)),0)*AA335</f>
        <v>0</v>
      </c>
      <c r="CS335" s="266">
        <f ca="1">IFERROR(INDEX(Algorithms!$G:$G,MATCH($C335&amp;"_Lifetime (years)",Algorithms!$A:$A,0)),0)</f>
        <v>16</v>
      </c>
      <c r="CT335" s="266">
        <f ca="1">IFERROR(INDEX(Algorithms!$G:$G,MATCH($C335&amp;"_Lifetime (years) - Remaining Years",Algorithms!$A:$A,0)),0)</f>
        <v>0</v>
      </c>
      <c r="CU335" s="266">
        <f t="shared" ca="1" si="241"/>
        <v>0</v>
      </c>
      <c r="CV335" s="266">
        <f t="shared" ca="1" si="242"/>
        <v>17383.143931623923</v>
      </c>
      <c r="CW335" s="266">
        <f t="shared" ca="1" si="243"/>
        <v>34766.287863247846</v>
      </c>
      <c r="CX335" s="266">
        <f t="shared" ca="1" si="244"/>
        <v>52149.43179487178</v>
      </c>
    </row>
    <row r="336" spans="2:102" s="47" customFormat="1" ht="18" customHeight="1" x14ac:dyDescent="0.25">
      <c r="B336" t="str">
        <f t="shared" si="245"/>
        <v>NSG_Research &amp; Development (Emerging Technologies)_Gas Heat Pump Pilot_Gas Heat Pump Pilot_GHPWH (≤55 gallons)- Replace Boiler_Heat Pump Pilot_SF</v>
      </c>
      <c r="C336" s="47" t="str">
        <f t="shared" si="206"/>
        <v>GHPWH (≤55 gallons)- Replace Boiler_Heat Pump Pilot_SF</v>
      </c>
      <c r="D336" s="270" t="s">
        <v>1787</v>
      </c>
      <c r="E336" s="270" t="s">
        <v>1446</v>
      </c>
      <c r="F336" s="270" t="s">
        <v>1447</v>
      </c>
      <c r="G336" s="270" t="s">
        <v>1447</v>
      </c>
      <c r="H336" s="270" t="s">
        <v>876</v>
      </c>
      <c r="I336" s="270" t="s">
        <v>877</v>
      </c>
      <c r="J336" s="270" t="s">
        <v>409</v>
      </c>
      <c r="K336" s="263">
        <v>1</v>
      </c>
      <c r="L336" s="263">
        <f ca="1">IFERROR(INDEX(Algorithms!J:J,MATCH($C336&amp;"_Therm Saved per Unit",Algorithms!$A:$A,0)),"n/a")</f>
        <v>0</v>
      </c>
      <c r="M336" s="263" t="str">
        <f>IFERROR(INDEX('Measure Level Detail'!$N:$N,MATCH($B336,'Measure Level Detail'!$B:$B,0)),0)</f>
        <v>each</v>
      </c>
      <c r="N336" s="271">
        <f>IFERROR(INDEX('Measure Level Detail'!$P:$P,MATCH($B336&amp;"_"&amp;N$3,'Measure Level Detail'!$C:$C,0)),0)</f>
        <v>0</v>
      </c>
      <c r="O336" s="271">
        <f>IFERROR(INDEX('Measure Level Detail'!$P:$P,MATCH($B336&amp;"_"&amp;O$3,'Measure Level Detail'!$C:$C,0)),0)</f>
        <v>5</v>
      </c>
      <c r="P336" s="271">
        <f>IFERROR(INDEX('Measure Level Detail'!$P:$P,MATCH($B336&amp;"_"&amp;P$3,'Measure Level Detail'!$C:$C,0)),0)</f>
        <v>6</v>
      </c>
      <c r="Q336" s="271">
        <f>IFERROR(INDEX('Measure Level Detail'!$P:$P,MATCH($B336&amp;"_"&amp;Q$3,'Measure Level Detail'!$C:$C,0)),0)</f>
        <v>8</v>
      </c>
      <c r="R336" s="263">
        <f ca="1">IFERROR(INDEX(Algorithms!K:K,MATCH($C336&amp;"_Therm Saved per Unit",Algorithms!$A:$A,0)),"n/a")</f>
        <v>0</v>
      </c>
      <c r="S336" s="262"/>
      <c r="T336" s="272">
        <v>91.676929759551214</v>
      </c>
      <c r="U336" s="272">
        <v>91.676929759551214</v>
      </c>
      <c r="V336" s="272">
        <v>91.676929759551214</v>
      </c>
      <c r="W336" s="272">
        <v>91.676929759551214</v>
      </c>
      <c r="X336" s="273">
        <f>IFERROR(INDEX('Measure Level Detail'!$R:$R,MATCH($B336&amp;"_"&amp;X$3,'Measure Level Detail'!$C:$C,0)),0)</f>
        <v>0.8</v>
      </c>
      <c r="Y336" s="273">
        <f>IFERROR(INDEX('Measure Level Detail'!$R:$R,MATCH($B336&amp;"_"&amp;Y$3,'Measure Level Detail'!$C:$C,0)),0)</f>
        <v>0.8</v>
      </c>
      <c r="Z336" s="273">
        <f>IFERROR(INDEX('Measure Level Detail'!$R:$R,MATCH($B336&amp;"_"&amp;Z$3,'Measure Level Detail'!$C:$C,0)),0)</f>
        <v>0.8</v>
      </c>
      <c r="AA336" s="273">
        <f>IFERROR(INDEX('Measure Level Detail'!$R:$R,MATCH($B336&amp;"_"&amp;AA$3,'Measure Level Detail'!$C:$C,0)),0)</f>
        <v>0.8</v>
      </c>
      <c r="AB336" s="266">
        <f t="shared" si="207"/>
        <v>0</v>
      </c>
      <c r="AC336" s="266">
        <f t="shared" si="208"/>
        <v>366.70771903820491</v>
      </c>
      <c r="AD336" s="266">
        <f t="shared" si="209"/>
        <v>440.04926284584582</v>
      </c>
      <c r="AE336" s="266">
        <f t="shared" si="210"/>
        <v>586.73235046112779</v>
      </c>
      <c r="AF336" s="266">
        <f t="shared" si="211"/>
        <v>1393.4893323451784</v>
      </c>
      <c r="AG336" s="274">
        <v>0.8</v>
      </c>
      <c r="AH336" s="274">
        <v>0.8</v>
      </c>
      <c r="AI336" s="274">
        <v>0.8</v>
      </c>
      <c r="AJ336" s="274">
        <v>0.8</v>
      </c>
      <c r="AK336" s="274">
        <f t="shared" si="212"/>
        <v>0.8</v>
      </c>
      <c r="AL336" s="274">
        <f t="shared" si="213"/>
        <v>0.8</v>
      </c>
      <c r="AM336" s="274">
        <f t="shared" si="214"/>
        <v>0.8</v>
      </c>
      <c r="AN336" s="274">
        <f t="shared" si="215"/>
        <v>0.8</v>
      </c>
      <c r="AO336" s="262"/>
      <c r="AP336" s="262"/>
      <c r="AQ336" s="267">
        <v>95.937970156826111</v>
      </c>
      <c r="AR336" s="262"/>
      <c r="AS336" s="266">
        <f t="shared" si="216"/>
        <v>0</v>
      </c>
      <c r="AT336" s="264">
        <f t="shared" si="217"/>
        <v>0</v>
      </c>
      <c r="AU336" s="262"/>
      <c r="AV336" s="262"/>
      <c r="AW336" s="265">
        <v>95.937970156826111</v>
      </c>
      <c r="AX336" s="164" t="s">
        <v>1469</v>
      </c>
      <c r="AY336" s="266">
        <v>383.75188062730444</v>
      </c>
      <c r="AZ336" s="266">
        <f t="shared" si="218"/>
        <v>383.75188062730444</v>
      </c>
      <c r="BA336" s="264">
        <f t="shared" si="219"/>
        <v>17.044161589099531</v>
      </c>
      <c r="BB336" s="262"/>
      <c r="BC336" s="262"/>
      <c r="BD336" s="265">
        <f ca="1">IFERROR(INDEX(Algorithms!$G:$G,MATCH($C336&amp;"_Therm Saved per Unit",Algorithms!$A:$A,0)),0)</f>
        <v>95.937970156826111</v>
      </c>
      <c r="BE336" s="164" t="str">
        <f ca="1">IFERROR(INDEX('v12 Revisions'!$P$29:$P$186, MATCH('Measure-Level Adj Gas'!$L336, 'v12 Revisions'!$D$29:$D$186,0)),"")</f>
        <v/>
      </c>
      <c r="BF336" s="266">
        <f t="shared" ca="1" si="220"/>
        <v>460.50225675276533</v>
      </c>
      <c r="BG336" s="264">
        <f t="shared" ca="1" si="221"/>
        <v>20.452993906919517</v>
      </c>
      <c r="BH336" s="262"/>
      <c r="BI336" s="262"/>
      <c r="BJ336" s="265">
        <f ca="1">IFERROR(INDEX(Algorithms!$G:$G,MATCH($C336&amp;"_Therm Saved per Unit",Algorithms!$A:$A,0)),0)</f>
        <v>95.937970156826111</v>
      </c>
      <c r="BK336" s="164"/>
      <c r="BL336" s="266">
        <f t="shared" ca="1" si="222"/>
        <v>614.00300900368711</v>
      </c>
      <c r="BM336" s="264">
        <f t="shared" ca="1" si="223"/>
        <v>27.270658542559318</v>
      </c>
      <c r="BN336" s="266">
        <f t="shared" si="224"/>
        <v>0</v>
      </c>
      <c r="BO336" s="266">
        <f t="shared" si="225"/>
        <v>383.75188062730444</v>
      </c>
      <c r="BP336" s="266">
        <f t="shared" ca="1" si="226"/>
        <v>460.50225675276533</v>
      </c>
      <c r="BQ336" s="266">
        <f t="shared" ca="1" si="227"/>
        <v>614.00300900368711</v>
      </c>
      <c r="BR336" s="268">
        <f t="shared" ca="1" si="228"/>
        <v>1458.2571463837569</v>
      </c>
      <c r="BS336" s="262" t="s">
        <v>99</v>
      </c>
      <c r="BT336" s="277"/>
      <c r="BW336" s="266">
        <f t="shared" si="229"/>
        <v>0</v>
      </c>
      <c r="BX336" s="266">
        <f t="shared" si="230"/>
        <v>366.70771903820491</v>
      </c>
      <c r="BY336" s="266">
        <f t="shared" si="231"/>
        <v>440.04926284584582</v>
      </c>
      <c r="BZ336" s="266">
        <f t="shared" si="232"/>
        <v>586.73235046112779</v>
      </c>
      <c r="CA336" s="266">
        <f ca="1">N336*IFERROR(INDEX(Algorithms!$G:$G,MATCH($C336&amp;"_Therm Saved per Unit- MLA",Algorithms!$A:$A,0)),0)*X336</f>
        <v>0</v>
      </c>
      <c r="CB336" s="266">
        <f ca="1">O336*IFERROR(INDEX(Algorithms!$G:$G,MATCH($C336&amp;"_Therm Saved per Unit- MLA",Algorithms!$A:$A,0)),0)*Y336</f>
        <v>0</v>
      </c>
      <c r="CC336" s="266">
        <f ca="1">P336*IFERROR(INDEX(Algorithms!$G:$G,MATCH($C336&amp;"_Therm Saved per Unit- MLA",Algorithms!$A:$A,0)),0)*Z336</f>
        <v>0</v>
      </c>
      <c r="CD336" s="266">
        <f ca="1">Q336*IFERROR(INDEX(Algorithms!$G:$G,MATCH($C336&amp;"_Therm Saved per Unit- MLA",Algorithms!$A:$A,0)),0)*AA336</f>
        <v>0</v>
      </c>
      <c r="CE336" s="266">
        <f ca="1">IFERROR(INDEX(Algorithms!$G:$G,MATCH($C336&amp;"_Lifetime (years)",Algorithms!$A:$A,0)),0)</f>
        <v>15</v>
      </c>
      <c r="CF336" s="266">
        <f ca="1">IFERROR(INDEX(Algorithms!$G:$G,MATCH($C336&amp;"_Lifetime (years) - Remaining Years",Algorithms!$A:$A,0)),0)</f>
        <v>0</v>
      </c>
      <c r="CG336" s="266">
        <f t="shared" ca="1" si="233"/>
        <v>0</v>
      </c>
      <c r="CH336" s="266">
        <f t="shared" ca="1" si="234"/>
        <v>5500.6157855730735</v>
      </c>
      <c r="CI336" s="266">
        <f t="shared" ca="1" si="235"/>
        <v>6600.7389426876871</v>
      </c>
      <c r="CJ336" s="266">
        <f t="shared" ca="1" si="236"/>
        <v>8800.9852569169161</v>
      </c>
      <c r="CK336" s="266">
        <f t="shared" si="237"/>
        <v>0</v>
      </c>
      <c r="CL336" s="266">
        <f t="shared" si="238"/>
        <v>383.75188062730444</v>
      </c>
      <c r="CM336" s="266">
        <f t="shared" ca="1" si="239"/>
        <v>460.50225675276533</v>
      </c>
      <c r="CN336" s="266">
        <f t="shared" ca="1" si="240"/>
        <v>614.00300900368711</v>
      </c>
      <c r="CO336" s="266">
        <f ca="1">N336*IFERROR(INDEX(Algorithms!$G:$G,MATCH($C336&amp;"_Therm Saved per Unit- MLA",Algorithms!$A:$A,0)),0)*X336</f>
        <v>0</v>
      </c>
      <c r="CP336" s="266">
        <f ca="1">O336*IFERROR(INDEX(Algorithms!$G:$G,MATCH($C336&amp;"_Therm Saved per Unit- MLA",Algorithms!$A:$A,0)),0)*Y336</f>
        <v>0</v>
      </c>
      <c r="CQ336" s="266">
        <f ca="1">P336*IFERROR(INDEX(Algorithms!$G:$G,MATCH($C336&amp;"_Therm Saved per Unit- MLA",Algorithms!$A:$A,0)),0)*Z336</f>
        <v>0</v>
      </c>
      <c r="CR336" s="266">
        <f ca="1">Q336*IFERROR(INDEX(Algorithms!$G:$G,MATCH($C336&amp;"_Therm Saved per Unit- MLA",Algorithms!$A:$A,0)),0)*AA336</f>
        <v>0</v>
      </c>
      <c r="CS336" s="266">
        <f ca="1">IFERROR(INDEX(Algorithms!$G:$G,MATCH($C336&amp;"_Lifetime (years)",Algorithms!$A:$A,0)),0)</f>
        <v>15</v>
      </c>
      <c r="CT336" s="266">
        <f ca="1">IFERROR(INDEX(Algorithms!$G:$G,MATCH($C336&amp;"_Lifetime (years) - Remaining Years",Algorithms!$A:$A,0)),0)</f>
        <v>0</v>
      </c>
      <c r="CU336" s="266">
        <f t="shared" ca="1" si="241"/>
        <v>0</v>
      </c>
      <c r="CV336" s="266">
        <f t="shared" ca="1" si="242"/>
        <v>5756.2782094095664</v>
      </c>
      <c r="CW336" s="266">
        <f t="shared" ca="1" si="243"/>
        <v>6907.5338512914805</v>
      </c>
      <c r="CX336" s="266">
        <f t="shared" ca="1" si="244"/>
        <v>9210.0451350553067</v>
      </c>
    </row>
    <row r="337" spans="2:102" s="47" customFormat="1" ht="18" customHeight="1" x14ac:dyDescent="0.25">
      <c r="B337" t="str">
        <f t="shared" si="245"/>
        <v>NSG_Residential_Home Energy Jumpstart_Core_Programmable Thermostat_Boiler (DI)_SF</v>
      </c>
      <c r="C337" s="47" t="str">
        <f t="shared" si="206"/>
        <v>Programmable Thermostat_Boiler (DI)_SF</v>
      </c>
      <c r="D337" s="270" t="s">
        <v>1787</v>
      </c>
      <c r="E337" s="270" t="s">
        <v>2</v>
      </c>
      <c r="F337" s="270" t="s">
        <v>1414</v>
      </c>
      <c r="G337" s="270" t="s">
        <v>1415</v>
      </c>
      <c r="H337" s="270" t="s">
        <v>224</v>
      </c>
      <c r="I337" s="270" t="s">
        <v>1045</v>
      </c>
      <c r="J337" s="270" t="s">
        <v>409</v>
      </c>
      <c r="K337" s="263">
        <v>1</v>
      </c>
      <c r="L337" s="263" t="str">
        <f ca="1">IFERROR(INDEX(Algorithms!J:J,MATCH($C337&amp;"_Therm Saved per Unit",Algorithms!$A:$A,0)),"n/a")</f>
        <v>5.3.11</v>
      </c>
      <c r="M337" s="263" t="str">
        <f>IFERROR(INDEX('Measure Level Detail'!$N:$N,MATCH($B337,'Measure Level Detail'!$B:$B,0)),0)</f>
        <v>Each</v>
      </c>
      <c r="N337" s="271">
        <f>IFERROR(INDEX('Measure Level Detail'!$P:$P,MATCH($B337&amp;"_"&amp;N$3,'Measure Level Detail'!$C:$C,0)),0)</f>
        <v>0</v>
      </c>
      <c r="O337" s="271">
        <f>IFERROR(INDEX('Measure Level Detail'!$P:$P,MATCH($B337&amp;"_"&amp;O$3,'Measure Level Detail'!$C:$C,0)),0)</f>
        <v>0</v>
      </c>
      <c r="P337" s="271">
        <f>IFERROR(INDEX('Measure Level Detail'!$P:$P,MATCH($B337&amp;"_"&amp;P$3,'Measure Level Detail'!$C:$C,0)),0)</f>
        <v>0</v>
      </c>
      <c r="Q337" s="271">
        <f>IFERROR(INDEX('Measure Level Detail'!$P:$P,MATCH($B337&amp;"_"&amp;Q$3,'Measure Level Detail'!$C:$C,0)),0)</f>
        <v>0</v>
      </c>
      <c r="R337" s="263" t="str">
        <f ca="1">IFERROR(INDEX(Algorithms!K:K,MATCH($C337&amp;"_Therm Saved per Unit",Algorithms!$A:$A,0)),"n/a")</f>
        <v>RS-HVC-PROG-V08-220101</v>
      </c>
      <c r="S337" s="262"/>
      <c r="T337" s="272">
        <v>92.194000000000003</v>
      </c>
      <c r="U337" s="272">
        <v>92.194000000000003</v>
      </c>
      <c r="V337" s="272">
        <v>92.194000000000003</v>
      </c>
      <c r="W337" s="272">
        <v>92.194000000000003</v>
      </c>
      <c r="X337" s="273">
        <f>IFERROR(INDEX('Measure Level Detail'!$R:$R,MATCH($B337&amp;"_"&amp;X$3,'Measure Level Detail'!$C:$C,0)),0)</f>
        <v>0.88</v>
      </c>
      <c r="Y337" s="273">
        <f>IFERROR(INDEX('Measure Level Detail'!$R:$R,MATCH($B337&amp;"_"&amp;Y$3,'Measure Level Detail'!$C:$C,0)),0)</f>
        <v>0.88</v>
      </c>
      <c r="Z337" s="273">
        <f>IFERROR(INDEX('Measure Level Detail'!$R:$R,MATCH($B337&amp;"_"&amp;Z$3,'Measure Level Detail'!$C:$C,0)),0)</f>
        <v>0.88</v>
      </c>
      <c r="AA337" s="273">
        <f>IFERROR(INDEX('Measure Level Detail'!$R:$R,MATCH($B337&amp;"_"&amp;AA$3,'Measure Level Detail'!$C:$C,0)),0)</f>
        <v>0.88</v>
      </c>
      <c r="AB337" s="266">
        <f t="shared" si="207"/>
        <v>0</v>
      </c>
      <c r="AC337" s="266">
        <f t="shared" si="208"/>
        <v>0</v>
      </c>
      <c r="AD337" s="266">
        <f t="shared" si="209"/>
        <v>0</v>
      </c>
      <c r="AE337" s="266">
        <f t="shared" si="210"/>
        <v>0</v>
      </c>
      <c r="AF337" s="266">
        <f t="shared" si="211"/>
        <v>0</v>
      </c>
      <c r="AG337" s="274">
        <v>0.88</v>
      </c>
      <c r="AH337" s="274">
        <v>0.88</v>
      </c>
      <c r="AI337" s="710">
        <v>0.99</v>
      </c>
      <c r="AJ337" s="710">
        <v>0.99</v>
      </c>
      <c r="AK337" s="274">
        <f t="shared" si="212"/>
        <v>0.88</v>
      </c>
      <c r="AL337" s="274">
        <f t="shared" si="213"/>
        <v>0.88</v>
      </c>
      <c r="AM337" s="274">
        <f t="shared" si="214"/>
        <v>0.89</v>
      </c>
      <c r="AN337" s="274">
        <f t="shared" si="215"/>
        <v>0.89</v>
      </c>
      <c r="AO337" s="262"/>
      <c r="AP337" s="262"/>
      <c r="AQ337" s="267">
        <v>92.194000000000003</v>
      </c>
      <c r="AR337" s="262"/>
      <c r="AS337" s="266">
        <f t="shared" si="216"/>
        <v>0</v>
      </c>
      <c r="AT337" s="264">
        <f t="shared" si="217"/>
        <v>0</v>
      </c>
      <c r="AU337" s="262"/>
      <c r="AV337" s="262"/>
      <c r="AW337" s="265">
        <v>92.194000000000003</v>
      </c>
      <c r="AX337" s="164" t="s">
        <v>1469</v>
      </c>
      <c r="AY337" s="266">
        <v>0</v>
      </c>
      <c r="AZ337" s="266">
        <f t="shared" si="218"/>
        <v>0</v>
      </c>
      <c r="BA337" s="264">
        <f t="shared" si="219"/>
        <v>0</v>
      </c>
      <c r="BB337" s="262"/>
      <c r="BC337" s="262"/>
      <c r="BD337" s="265">
        <f ca="1">IFERROR(INDEX(Algorithms!$G:$G,MATCH($C337&amp;"_Therm Saved per Unit",Algorithms!$A:$A,0)),0)</f>
        <v>92.194000000000003</v>
      </c>
      <c r="BE337" s="164" t="str">
        <f ca="1">IFERROR(INDEX('v12 Revisions'!$P$29:$P$186, MATCH('Measure-Level Adj Gas'!$L337, 'v12 Revisions'!$D$29:$D$186,0)),"")</f>
        <v/>
      </c>
      <c r="BF337" s="266">
        <f t="shared" ca="1" si="220"/>
        <v>0</v>
      </c>
      <c r="BG337" s="264">
        <f t="shared" ca="1" si="221"/>
        <v>0</v>
      </c>
      <c r="BH337" s="262"/>
      <c r="BI337" s="262"/>
      <c r="BJ337" s="265">
        <f ca="1">IFERROR(INDEX(Algorithms!$G:$G,MATCH($C337&amp;"_Therm Saved per Unit",Algorithms!$A:$A,0)),0)</f>
        <v>92.194000000000003</v>
      </c>
      <c r="BK337" s="164"/>
      <c r="BL337" s="266">
        <f t="shared" ca="1" si="222"/>
        <v>0</v>
      </c>
      <c r="BM337" s="264">
        <f t="shared" ca="1" si="223"/>
        <v>0</v>
      </c>
      <c r="BN337" s="266">
        <f t="shared" si="224"/>
        <v>0</v>
      </c>
      <c r="BO337" s="266">
        <f t="shared" si="225"/>
        <v>0</v>
      </c>
      <c r="BP337" s="266">
        <f t="shared" ca="1" si="226"/>
        <v>0</v>
      </c>
      <c r="BQ337" s="266">
        <f t="shared" ca="1" si="227"/>
        <v>0</v>
      </c>
      <c r="BR337" s="268">
        <f t="shared" ca="1" si="228"/>
        <v>0</v>
      </c>
      <c r="BS337" s="262" t="s">
        <v>99</v>
      </c>
      <c r="BT337" s="277"/>
      <c r="BW337" s="266">
        <f t="shared" si="229"/>
        <v>0</v>
      </c>
      <c r="BX337" s="266">
        <f t="shared" si="230"/>
        <v>0</v>
      </c>
      <c r="BY337" s="266">
        <f t="shared" si="231"/>
        <v>0</v>
      </c>
      <c r="BZ337" s="266">
        <f t="shared" si="232"/>
        <v>0</v>
      </c>
      <c r="CA337" s="266">
        <f ca="1">N337*IFERROR(INDEX(Algorithms!$G:$G,MATCH($C337&amp;"_Therm Saved per Unit- MLA",Algorithms!$A:$A,0)),0)*X337</f>
        <v>0</v>
      </c>
      <c r="CB337" s="266">
        <f ca="1">O337*IFERROR(INDEX(Algorithms!$G:$G,MATCH($C337&amp;"_Therm Saved per Unit- MLA",Algorithms!$A:$A,0)),0)*Y337</f>
        <v>0</v>
      </c>
      <c r="CC337" s="266">
        <f ca="1">P337*IFERROR(INDEX(Algorithms!$G:$G,MATCH($C337&amp;"_Therm Saved per Unit- MLA",Algorithms!$A:$A,0)),0)*Z337</f>
        <v>0</v>
      </c>
      <c r="CD337" s="266">
        <f ca="1">Q337*IFERROR(INDEX(Algorithms!$G:$G,MATCH($C337&amp;"_Therm Saved per Unit- MLA",Algorithms!$A:$A,0)),0)*AA337</f>
        <v>0</v>
      </c>
      <c r="CE337" s="266">
        <f ca="1">IFERROR(INDEX(Algorithms!$G:$G,MATCH($C337&amp;"_Lifetime (years)",Algorithms!$A:$A,0)),0)</f>
        <v>16</v>
      </c>
      <c r="CF337" s="266">
        <f ca="1">IFERROR(INDEX(Algorithms!$G:$G,MATCH($C337&amp;"_Lifetime (years) - Remaining Years",Algorithms!$A:$A,0)),0)</f>
        <v>5</v>
      </c>
      <c r="CG337" s="266">
        <f t="shared" ca="1" si="233"/>
        <v>0</v>
      </c>
      <c r="CH337" s="266">
        <f t="shared" ca="1" si="234"/>
        <v>0</v>
      </c>
      <c r="CI337" s="266">
        <f t="shared" ca="1" si="235"/>
        <v>0</v>
      </c>
      <c r="CJ337" s="266">
        <f t="shared" ca="1" si="236"/>
        <v>0</v>
      </c>
      <c r="CK337" s="266">
        <f t="shared" si="237"/>
        <v>0</v>
      </c>
      <c r="CL337" s="266">
        <f t="shared" si="238"/>
        <v>0</v>
      </c>
      <c r="CM337" s="266">
        <f t="shared" ca="1" si="239"/>
        <v>0</v>
      </c>
      <c r="CN337" s="266">
        <f t="shared" ca="1" si="240"/>
        <v>0</v>
      </c>
      <c r="CO337" s="266">
        <f ca="1">N337*IFERROR(INDEX(Algorithms!$G:$G,MATCH($C337&amp;"_Therm Saved per Unit- MLA",Algorithms!$A:$A,0)),0)*X337</f>
        <v>0</v>
      </c>
      <c r="CP337" s="266">
        <f ca="1">O337*IFERROR(INDEX(Algorithms!$G:$G,MATCH($C337&amp;"_Therm Saved per Unit- MLA",Algorithms!$A:$A,0)),0)*Y337</f>
        <v>0</v>
      </c>
      <c r="CQ337" s="266">
        <f ca="1">P337*IFERROR(INDEX(Algorithms!$G:$G,MATCH($C337&amp;"_Therm Saved per Unit- MLA",Algorithms!$A:$A,0)),0)*Z337</f>
        <v>0</v>
      </c>
      <c r="CR337" s="266">
        <f ca="1">Q337*IFERROR(INDEX(Algorithms!$G:$G,MATCH($C337&amp;"_Therm Saved per Unit- MLA",Algorithms!$A:$A,0)),0)*AA337</f>
        <v>0</v>
      </c>
      <c r="CS337" s="266">
        <f ca="1">IFERROR(INDEX(Algorithms!$G:$G,MATCH($C337&amp;"_Lifetime (years)",Algorithms!$A:$A,0)),0)</f>
        <v>16</v>
      </c>
      <c r="CT337" s="266">
        <f ca="1">IFERROR(INDEX(Algorithms!$G:$G,MATCH($C337&amp;"_Lifetime (years) - Remaining Years",Algorithms!$A:$A,0)),0)</f>
        <v>5</v>
      </c>
      <c r="CU337" s="266">
        <f t="shared" ca="1" si="241"/>
        <v>0</v>
      </c>
      <c r="CV337" s="266">
        <f t="shared" ca="1" si="242"/>
        <v>0</v>
      </c>
      <c r="CW337" s="266">
        <f t="shared" ca="1" si="243"/>
        <v>0</v>
      </c>
      <c r="CX337" s="266">
        <f t="shared" ca="1" si="244"/>
        <v>0</v>
      </c>
    </row>
    <row r="338" spans="2:102" s="47" customFormat="1" ht="18" customHeight="1" x14ac:dyDescent="0.25">
      <c r="B338" t="str">
        <f t="shared" si="245"/>
        <v>NSG_Residential_Home Energy Jumpstart_Core_Advanced Thermostat_Boiler (Replace Manual)_SF</v>
      </c>
      <c r="C338" s="47" t="str">
        <f t="shared" si="206"/>
        <v>Advanced Thermostat_Boiler (Replace Manual)_SF</v>
      </c>
      <c r="D338" s="270" t="s">
        <v>1787</v>
      </c>
      <c r="E338" s="270" t="s">
        <v>2</v>
      </c>
      <c r="F338" s="270" t="s">
        <v>1414</v>
      </c>
      <c r="G338" s="270" t="s">
        <v>1415</v>
      </c>
      <c r="H338" s="270" t="s">
        <v>7</v>
      </c>
      <c r="I338" s="270" t="s">
        <v>1051</v>
      </c>
      <c r="J338" s="270" t="s">
        <v>409</v>
      </c>
      <c r="K338" s="263">
        <v>1</v>
      </c>
      <c r="L338" s="263" t="str">
        <f ca="1">IFERROR(INDEX(Algorithms!J:J,MATCH($C338&amp;"_Therm Saved per Unit",Algorithms!$A:$A,0)),"n/a")</f>
        <v>5.3.16</v>
      </c>
      <c r="M338" s="263" t="str">
        <f>IFERROR(INDEX('Measure Level Detail'!$N:$N,MATCH($B338,'Measure Level Detail'!$B:$B,0)),0)</f>
        <v>Each</v>
      </c>
      <c r="N338" s="271">
        <f>IFERROR(INDEX('Measure Level Detail'!$P:$P,MATCH($B338&amp;"_"&amp;N$3,'Measure Level Detail'!$C:$C,0)),0)</f>
        <v>0</v>
      </c>
      <c r="O338" s="271">
        <f>IFERROR(INDEX('Measure Level Detail'!$P:$P,MATCH($B338&amp;"_"&amp;O$3,'Measure Level Detail'!$C:$C,0)),0)</f>
        <v>0</v>
      </c>
      <c r="P338" s="271">
        <f>IFERROR(INDEX('Measure Level Detail'!$P:$P,MATCH($B338&amp;"_"&amp;P$3,'Measure Level Detail'!$C:$C,0)),0)</f>
        <v>0</v>
      </c>
      <c r="Q338" s="271">
        <f>IFERROR(INDEX('Measure Level Detail'!$P:$P,MATCH($B338&amp;"_"&amp;Q$3,'Measure Level Detail'!$C:$C,0)),0)</f>
        <v>0</v>
      </c>
      <c r="R338" s="263" t="str">
        <f ca="1">IFERROR(INDEX(Algorithms!K:K,MATCH($C338&amp;"_Therm Saved per Unit",Algorithms!$A:$A,0)),"n/a")</f>
        <v>RS-HVC-ADTH-V09-240101</v>
      </c>
      <c r="S338" s="262"/>
      <c r="T338" s="272">
        <v>154.44</v>
      </c>
      <c r="U338" s="272">
        <v>154.44</v>
      </c>
      <c r="V338" s="272">
        <v>154.44</v>
      </c>
      <c r="W338" s="272">
        <v>154.44</v>
      </c>
      <c r="X338" s="273">
        <f>IFERROR(INDEX('Measure Level Detail'!$R:$R,MATCH($B338&amp;"_"&amp;X$3,'Measure Level Detail'!$C:$C,0)),0)</f>
        <v>0.9</v>
      </c>
      <c r="Y338" s="273">
        <f>IFERROR(INDEX('Measure Level Detail'!$R:$R,MATCH($B338&amp;"_"&amp;Y$3,'Measure Level Detail'!$C:$C,0)),0)</f>
        <v>0.9</v>
      </c>
      <c r="Z338" s="273">
        <f>IFERROR(INDEX('Measure Level Detail'!$R:$R,MATCH($B338&amp;"_"&amp;Z$3,'Measure Level Detail'!$C:$C,0)),0)</f>
        <v>0.9</v>
      </c>
      <c r="AA338" s="273">
        <f>IFERROR(INDEX('Measure Level Detail'!$R:$R,MATCH($B338&amp;"_"&amp;AA$3,'Measure Level Detail'!$C:$C,0)),0)</f>
        <v>0.9</v>
      </c>
      <c r="AB338" s="266">
        <f t="shared" si="207"/>
        <v>0</v>
      </c>
      <c r="AC338" s="266">
        <f t="shared" si="208"/>
        <v>0</v>
      </c>
      <c r="AD338" s="266">
        <f t="shared" si="209"/>
        <v>0</v>
      </c>
      <c r="AE338" s="266">
        <f t="shared" si="210"/>
        <v>0</v>
      </c>
      <c r="AF338" s="266">
        <f t="shared" si="211"/>
        <v>0</v>
      </c>
      <c r="AG338" s="274">
        <v>0.9</v>
      </c>
      <c r="AH338" s="274">
        <v>0.9</v>
      </c>
      <c r="AI338" s="710">
        <v>0.94</v>
      </c>
      <c r="AJ338" s="710">
        <v>0.94</v>
      </c>
      <c r="AK338" s="274">
        <f t="shared" si="212"/>
        <v>0.9</v>
      </c>
      <c r="AL338" s="274">
        <f t="shared" si="213"/>
        <v>0.9</v>
      </c>
      <c r="AM338" s="274">
        <f t="shared" si="214"/>
        <v>0.9</v>
      </c>
      <c r="AN338" s="274">
        <f t="shared" si="215"/>
        <v>0.9</v>
      </c>
      <c r="AO338" s="262"/>
      <c r="AP338" s="262"/>
      <c r="AQ338" s="267">
        <v>151.47</v>
      </c>
      <c r="AR338" s="262"/>
      <c r="AS338" s="266">
        <f t="shared" si="216"/>
        <v>0</v>
      </c>
      <c r="AT338" s="264">
        <f t="shared" si="217"/>
        <v>0</v>
      </c>
      <c r="AU338" s="262"/>
      <c r="AV338" s="262"/>
      <c r="AW338" s="265">
        <v>151.47</v>
      </c>
      <c r="AX338" s="164" t="s">
        <v>1469</v>
      </c>
      <c r="AY338" s="266">
        <v>0</v>
      </c>
      <c r="AZ338" s="266">
        <f t="shared" si="218"/>
        <v>0</v>
      </c>
      <c r="BA338" s="264">
        <f t="shared" si="219"/>
        <v>0</v>
      </c>
      <c r="BB338" s="262"/>
      <c r="BC338" s="262"/>
      <c r="BD338" s="265">
        <f ca="1">IFERROR(INDEX(Algorithms!$G:$G,MATCH($C338&amp;"_Therm Saved per Unit",Algorithms!$A:$A,0)),0)</f>
        <v>151.47</v>
      </c>
      <c r="BE338" s="164" t="str">
        <f ca="1">IFERROR(INDEX('v12 Revisions'!$P$29:$P$186, MATCH('Measure-Level Adj Gas'!$L338, 'v12 Revisions'!$D$29:$D$186,0)),"")</f>
        <v>n/a - FLH not in fossil fuel energy savings algorithm.</v>
      </c>
      <c r="BF338" s="266">
        <f t="shared" ca="1" si="220"/>
        <v>0</v>
      </c>
      <c r="BG338" s="264">
        <f t="shared" ca="1" si="221"/>
        <v>0</v>
      </c>
      <c r="BH338" s="262"/>
      <c r="BI338" s="262"/>
      <c r="BJ338" s="265">
        <f ca="1">IFERROR(INDEX(Algorithms!$G:$G,MATCH($C338&amp;"_Therm Saved per Unit",Algorithms!$A:$A,0)),0)</f>
        <v>151.47</v>
      </c>
      <c r="BK338" s="164"/>
      <c r="BL338" s="266">
        <f t="shared" ca="1" si="222"/>
        <v>0</v>
      </c>
      <c r="BM338" s="264">
        <f t="shared" ca="1" si="223"/>
        <v>0</v>
      </c>
      <c r="BN338" s="266">
        <f t="shared" si="224"/>
        <v>0</v>
      </c>
      <c r="BO338" s="266">
        <f t="shared" si="225"/>
        <v>0</v>
      </c>
      <c r="BP338" s="266">
        <f t="shared" ca="1" si="226"/>
        <v>0</v>
      </c>
      <c r="BQ338" s="266">
        <f t="shared" ca="1" si="227"/>
        <v>0</v>
      </c>
      <c r="BR338" s="268">
        <f t="shared" ca="1" si="228"/>
        <v>0</v>
      </c>
      <c r="BS338" s="262" t="s">
        <v>99</v>
      </c>
      <c r="BT338" s="277"/>
      <c r="BW338" s="266">
        <f t="shared" si="229"/>
        <v>0</v>
      </c>
      <c r="BX338" s="266">
        <f t="shared" si="230"/>
        <v>0</v>
      </c>
      <c r="BY338" s="266">
        <f t="shared" si="231"/>
        <v>0</v>
      </c>
      <c r="BZ338" s="266">
        <f t="shared" si="232"/>
        <v>0</v>
      </c>
      <c r="CA338" s="266">
        <f ca="1">N338*IFERROR(INDEX(Algorithms!$G:$G,MATCH($C338&amp;"_Therm Saved per Unit- MLA",Algorithms!$A:$A,0)),0)*X338</f>
        <v>0</v>
      </c>
      <c r="CB338" s="266">
        <f ca="1">O338*IFERROR(INDEX(Algorithms!$G:$G,MATCH($C338&amp;"_Therm Saved per Unit- MLA",Algorithms!$A:$A,0)),0)*Y338</f>
        <v>0</v>
      </c>
      <c r="CC338" s="266">
        <f ca="1">P338*IFERROR(INDEX(Algorithms!$G:$G,MATCH($C338&amp;"_Therm Saved per Unit- MLA",Algorithms!$A:$A,0)),0)*Z338</f>
        <v>0</v>
      </c>
      <c r="CD338" s="266">
        <f ca="1">Q338*IFERROR(INDEX(Algorithms!$G:$G,MATCH($C338&amp;"_Therm Saved per Unit- MLA",Algorithms!$A:$A,0)),0)*AA338</f>
        <v>0</v>
      </c>
      <c r="CE338" s="266">
        <f ca="1">IFERROR(INDEX(Algorithms!$G:$G,MATCH($C338&amp;"_Lifetime (years)",Algorithms!$A:$A,0)),0)</f>
        <v>11</v>
      </c>
      <c r="CF338" s="266">
        <f ca="1">IFERROR(INDEX(Algorithms!$G:$G,MATCH($C338&amp;"_Lifetime (years) - Remaining Years",Algorithms!$A:$A,0)),0)</f>
        <v>0</v>
      </c>
      <c r="CG338" s="266">
        <f t="shared" ca="1" si="233"/>
        <v>0</v>
      </c>
      <c r="CH338" s="266">
        <f t="shared" ca="1" si="234"/>
        <v>0</v>
      </c>
      <c r="CI338" s="266">
        <f t="shared" ca="1" si="235"/>
        <v>0</v>
      </c>
      <c r="CJ338" s="266">
        <f t="shared" ca="1" si="236"/>
        <v>0</v>
      </c>
      <c r="CK338" s="266">
        <f t="shared" si="237"/>
        <v>0</v>
      </c>
      <c r="CL338" s="266">
        <f t="shared" si="238"/>
        <v>0</v>
      </c>
      <c r="CM338" s="266">
        <f t="shared" ca="1" si="239"/>
        <v>0</v>
      </c>
      <c r="CN338" s="266">
        <f t="shared" ca="1" si="240"/>
        <v>0</v>
      </c>
      <c r="CO338" s="266">
        <f ca="1">N338*IFERROR(INDEX(Algorithms!$G:$G,MATCH($C338&amp;"_Therm Saved per Unit- MLA",Algorithms!$A:$A,0)),0)*X338</f>
        <v>0</v>
      </c>
      <c r="CP338" s="266">
        <f ca="1">O338*IFERROR(INDEX(Algorithms!$G:$G,MATCH($C338&amp;"_Therm Saved per Unit- MLA",Algorithms!$A:$A,0)),0)*Y338</f>
        <v>0</v>
      </c>
      <c r="CQ338" s="266">
        <f ca="1">P338*IFERROR(INDEX(Algorithms!$G:$G,MATCH($C338&amp;"_Therm Saved per Unit- MLA",Algorithms!$A:$A,0)),0)*Z338</f>
        <v>0</v>
      </c>
      <c r="CR338" s="266">
        <f ca="1">Q338*IFERROR(INDEX(Algorithms!$G:$G,MATCH($C338&amp;"_Therm Saved per Unit- MLA",Algorithms!$A:$A,0)),0)*AA338</f>
        <v>0</v>
      </c>
      <c r="CS338" s="266">
        <f ca="1">IFERROR(INDEX(Algorithms!$G:$G,MATCH($C338&amp;"_Lifetime (years)",Algorithms!$A:$A,0)),0)</f>
        <v>11</v>
      </c>
      <c r="CT338" s="266">
        <f ca="1">IFERROR(INDEX(Algorithms!$G:$G,MATCH($C338&amp;"_Lifetime (years) - Remaining Years",Algorithms!$A:$A,0)),0)</f>
        <v>0</v>
      </c>
      <c r="CU338" s="266">
        <f t="shared" ca="1" si="241"/>
        <v>0</v>
      </c>
      <c r="CV338" s="266">
        <f t="shared" ca="1" si="242"/>
        <v>0</v>
      </c>
      <c r="CW338" s="266">
        <f t="shared" ca="1" si="243"/>
        <v>0</v>
      </c>
      <c r="CX338" s="266">
        <f t="shared" ca="1" si="244"/>
        <v>0</v>
      </c>
    </row>
    <row r="339" spans="2:102" s="47" customFormat="1" ht="18" customHeight="1" x14ac:dyDescent="0.25">
      <c r="B339" t="str">
        <f t="shared" si="245"/>
        <v>NSG_Residential_Home Energy Jumpstart_Core_Advanced Thermostat_Boiler (Replace Programmable)_SF</v>
      </c>
      <c r="C339" s="47" t="str">
        <f t="shared" si="206"/>
        <v>Advanced Thermostat_Boiler (Replace Programmable)_SF</v>
      </c>
      <c r="D339" s="270" t="s">
        <v>1787</v>
      </c>
      <c r="E339" s="270" t="s">
        <v>2</v>
      </c>
      <c r="F339" s="270" t="s">
        <v>1414</v>
      </c>
      <c r="G339" s="270" t="s">
        <v>1415</v>
      </c>
      <c r="H339" s="270" t="s">
        <v>7</v>
      </c>
      <c r="I339" s="270" t="s">
        <v>1052</v>
      </c>
      <c r="J339" s="270" t="s">
        <v>409</v>
      </c>
      <c r="K339" s="263">
        <v>1</v>
      </c>
      <c r="L339" s="263" t="str">
        <f ca="1">IFERROR(INDEX(Algorithms!J:J,MATCH($C339&amp;"_Therm Saved per Unit",Algorithms!$A:$A,0)),"n/a")</f>
        <v>5.3.16</v>
      </c>
      <c r="M339" s="263" t="str">
        <f>IFERROR(INDEX('Measure Level Detail'!$N:$N,MATCH($B339,'Measure Level Detail'!$B:$B,0)),0)</f>
        <v>Each</v>
      </c>
      <c r="N339" s="271">
        <f>IFERROR(INDEX('Measure Level Detail'!$P:$P,MATCH($B339&amp;"_"&amp;N$3,'Measure Level Detail'!$C:$C,0)),0)</f>
        <v>0</v>
      </c>
      <c r="O339" s="271">
        <f>IFERROR(INDEX('Measure Level Detail'!$P:$P,MATCH($B339&amp;"_"&amp;O$3,'Measure Level Detail'!$C:$C,0)),0)</f>
        <v>0</v>
      </c>
      <c r="P339" s="271">
        <f>IFERROR(INDEX('Measure Level Detail'!$P:$P,MATCH($B339&amp;"_"&amp;P$3,'Measure Level Detail'!$C:$C,0)),0)</f>
        <v>0</v>
      </c>
      <c r="Q339" s="271">
        <f>IFERROR(INDEX('Measure Level Detail'!$P:$P,MATCH($B339&amp;"_"&amp;Q$3,'Measure Level Detail'!$C:$C,0)),0)</f>
        <v>0</v>
      </c>
      <c r="R339" s="263" t="str">
        <f ca="1">IFERROR(INDEX(Algorithms!K:K,MATCH($C339&amp;"_Therm Saved per Unit",Algorithms!$A:$A,0)),"n/a")</f>
        <v>RS-HVC-ADTH-V09-240101</v>
      </c>
      <c r="S339" s="262"/>
      <c r="T339" s="272">
        <v>108.40499999999999</v>
      </c>
      <c r="U339" s="272">
        <v>108.40499999999999</v>
      </c>
      <c r="V339" s="272">
        <v>108.40499999999999</v>
      </c>
      <c r="W339" s="272">
        <v>108.40499999999999</v>
      </c>
      <c r="X339" s="273">
        <f>IFERROR(INDEX('Measure Level Detail'!$R:$R,MATCH($B339&amp;"_"&amp;X$3,'Measure Level Detail'!$C:$C,0)),0)</f>
        <v>0.9</v>
      </c>
      <c r="Y339" s="273">
        <f>IFERROR(INDEX('Measure Level Detail'!$R:$R,MATCH($B339&amp;"_"&amp;Y$3,'Measure Level Detail'!$C:$C,0)),0)</f>
        <v>0.9</v>
      </c>
      <c r="Z339" s="273">
        <f>IFERROR(INDEX('Measure Level Detail'!$R:$R,MATCH($B339&amp;"_"&amp;Z$3,'Measure Level Detail'!$C:$C,0)),0)</f>
        <v>0.9</v>
      </c>
      <c r="AA339" s="273">
        <f>IFERROR(INDEX('Measure Level Detail'!$R:$R,MATCH($B339&amp;"_"&amp;AA$3,'Measure Level Detail'!$C:$C,0)),0)</f>
        <v>0.9</v>
      </c>
      <c r="AB339" s="266">
        <f t="shared" si="207"/>
        <v>0</v>
      </c>
      <c r="AC339" s="266">
        <f t="shared" si="208"/>
        <v>0</v>
      </c>
      <c r="AD339" s="266">
        <f t="shared" si="209"/>
        <v>0</v>
      </c>
      <c r="AE339" s="266">
        <f t="shared" si="210"/>
        <v>0</v>
      </c>
      <c r="AF339" s="266">
        <f t="shared" si="211"/>
        <v>0</v>
      </c>
      <c r="AG339" s="274">
        <v>0.9</v>
      </c>
      <c r="AH339" s="274">
        <v>0.9</v>
      </c>
      <c r="AI339" s="710">
        <v>0.94</v>
      </c>
      <c r="AJ339" s="710">
        <v>0.94</v>
      </c>
      <c r="AK339" s="274">
        <f t="shared" si="212"/>
        <v>0.9</v>
      </c>
      <c r="AL339" s="274">
        <f t="shared" si="213"/>
        <v>0.9</v>
      </c>
      <c r="AM339" s="274">
        <f t="shared" si="214"/>
        <v>0.9</v>
      </c>
      <c r="AN339" s="274">
        <f t="shared" si="215"/>
        <v>0.9</v>
      </c>
      <c r="AO339" s="262"/>
      <c r="AP339" s="262"/>
      <c r="AQ339" s="267">
        <v>105.43499999999999</v>
      </c>
      <c r="AR339" s="262"/>
      <c r="AS339" s="266">
        <f t="shared" si="216"/>
        <v>0</v>
      </c>
      <c r="AT339" s="264">
        <f t="shared" si="217"/>
        <v>0</v>
      </c>
      <c r="AU339" s="262"/>
      <c r="AV339" s="262"/>
      <c r="AW339" s="265">
        <v>105.43499999999999</v>
      </c>
      <c r="AX339" s="164" t="s">
        <v>1469</v>
      </c>
      <c r="AY339" s="266">
        <v>0</v>
      </c>
      <c r="AZ339" s="266">
        <f t="shared" si="218"/>
        <v>0</v>
      </c>
      <c r="BA339" s="264">
        <f t="shared" si="219"/>
        <v>0</v>
      </c>
      <c r="BB339" s="262"/>
      <c r="BC339" s="262"/>
      <c r="BD339" s="265">
        <f ca="1">IFERROR(INDEX(Algorithms!$G:$G,MATCH($C339&amp;"_Therm Saved per Unit",Algorithms!$A:$A,0)),0)</f>
        <v>105.43499999999999</v>
      </c>
      <c r="BE339" s="164" t="str">
        <f ca="1">IFERROR(INDEX('v12 Revisions'!$P$29:$P$186, MATCH('Measure-Level Adj Gas'!$L339, 'v12 Revisions'!$D$29:$D$186,0)),"")</f>
        <v>n/a - FLH not in fossil fuel energy savings algorithm.</v>
      </c>
      <c r="BF339" s="266">
        <f t="shared" ca="1" si="220"/>
        <v>0</v>
      </c>
      <c r="BG339" s="264">
        <f t="shared" ca="1" si="221"/>
        <v>0</v>
      </c>
      <c r="BH339" s="262"/>
      <c r="BI339" s="262"/>
      <c r="BJ339" s="265">
        <f ca="1">IFERROR(INDEX(Algorithms!$G:$G,MATCH($C339&amp;"_Therm Saved per Unit",Algorithms!$A:$A,0)),0)</f>
        <v>105.43499999999999</v>
      </c>
      <c r="BK339" s="164"/>
      <c r="BL339" s="266">
        <f t="shared" ca="1" si="222"/>
        <v>0</v>
      </c>
      <c r="BM339" s="264">
        <f t="shared" ca="1" si="223"/>
        <v>0</v>
      </c>
      <c r="BN339" s="266">
        <f t="shared" si="224"/>
        <v>0</v>
      </c>
      <c r="BO339" s="266">
        <f t="shared" si="225"/>
        <v>0</v>
      </c>
      <c r="BP339" s="266">
        <f t="shared" ca="1" si="226"/>
        <v>0</v>
      </c>
      <c r="BQ339" s="266">
        <f t="shared" ca="1" si="227"/>
        <v>0</v>
      </c>
      <c r="BR339" s="268">
        <f t="shared" ca="1" si="228"/>
        <v>0</v>
      </c>
      <c r="BS339" s="262" t="s">
        <v>99</v>
      </c>
      <c r="BT339" s="277"/>
      <c r="BW339" s="266">
        <f t="shared" si="229"/>
        <v>0</v>
      </c>
      <c r="BX339" s="266">
        <f t="shared" si="230"/>
        <v>0</v>
      </c>
      <c r="BY339" s="266">
        <f t="shared" si="231"/>
        <v>0</v>
      </c>
      <c r="BZ339" s="266">
        <f t="shared" si="232"/>
        <v>0</v>
      </c>
      <c r="CA339" s="266">
        <f ca="1">N339*IFERROR(INDEX(Algorithms!$G:$G,MATCH($C339&amp;"_Therm Saved per Unit- MLA",Algorithms!$A:$A,0)),0)*X339</f>
        <v>0</v>
      </c>
      <c r="CB339" s="266">
        <f ca="1">O339*IFERROR(INDEX(Algorithms!$G:$G,MATCH($C339&amp;"_Therm Saved per Unit- MLA",Algorithms!$A:$A,0)),0)*Y339</f>
        <v>0</v>
      </c>
      <c r="CC339" s="266">
        <f ca="1">P339*IFERROR(INDEX(Algorithms!$G:$G,MATCH($C339&amp;"_Therm Saved per Unit- MLA",Algorithms!$A:$A,0)),0)*Z339</f>
        <v>0</v>
      </c>
      <c r="CD339" s="266">
        <f ca="1">Q339*IFERROR(INDEX(Algorithms!$G:$G,MATCH($C339&amp;"_Therm Saved per Unit- MLA",Algorithms!$A:$A,0)),0)*AA339</f>
        <v>0</v>
      </c>
      <c r="CE339" s="266">
        <f ca="1">IFERROR(INDEX(Algorithms!$G:$G,MATCH($C339&amp;"_Lifetime (years)",Algorithms!$A:$A,0)),0)</f>
        <v>11</v>
      </c>
      <c r="CF339" s="266">
        <f ca="1">IFERROR(INDEX(Algorithms!$G:$G,MATCH($C339&amp;"_Lifetime (years) - Remaining Years",Algorithms!$A:$A,0)),0)</f>
        <v>0</v>
      </c>
      <c r="CG339" s="266">
        <f t="shared" ca="1" si="233"/>
        <v>0</v>
      </c>
      <c r="CH339" s="266">
        <f t="shared" ca="1" si="234"/>
        <v>0</v>
      </c>
      <c r="CI339" s="266">
        <f t="shared" ca="1" si="235"/>
        <v>0</v>
      </c>
      <c r="CJ339" s="266">
        <f t="shared" ca="1" si="236"/>
        <v>0</v>
      </c>
      <c r="CK339" s="266">
        <f t="shared" si="237"/>
        <v>0</v>
      </c>
      <c r="CL339" s="266">
        <f t="shared" si="238"/>
        <v>0</v>
      </c>
      <c r="CM339" s="266">
        <f t="shared" ca="1" si="239"/>
        <v>0</v>
      </c>
      <c r="CN339" s="266">
        <f t="shared" ca="1" si="240"/>
        <v>0</v>
      </c>
      <c r="CO339" s="266">
        <f ca="1">N339*IFERROR(INDEX(Algorithms!$G:$G,MATCH($C339&amp;"_Therm Saved per Unit- MLA",Algorithms!$A:$A,0)),0)*X339</f>
        <v>0</v>
      </c>
      <c r="CP339" s="266">
        <f ca="1">O339*IFERROR(INDEX(Algorithms!$G:$G,MATCH($C339&amp;"_Therm Saved per Unit- MLA",Algorithms!$A:$A,0)),0)*Y339</f>
        <v>0</v>
      </c>
      <c r="CQ339" s="266">
        <f ca="1">P339*IFERROR(INDEX(Algorithms!$G:$G,MATCH($C339&amp;"_Therm Saved per Unit- MLA",Algorithms!$A:$A,0)),0)*Z339</f>
        <v>0</v>
      </c>
      <c r="CR339" s="266">
        <f ca="1">Q339*IFERROR(INDEX(Algorithms!$G:$G,MATCH($C339&amp;"_Therm Saved per Unit- MLA",Algorithms!$A:$A,0)),0)*AA339</f>
        <v>0</v>
      </c>
      <c r="CS339" s="266">
        <f ca="1">IFERROR(INDEX(Algorithms!$G:$G,MATCH($C339&amp;"_Lifetime (years)",Algorithms!$A:$A,0)),0)</f>
        <v>11</v>
      </c>
      <c r="CT339" s="266">
        <f ca="1">IFERROR(INDEX(Algorithms!$G:$G,MATCH($C339&amp;"_Lifetime (years) - Remaining Years",Algorithms!$A:$A,0)),0)</f>
        <v>0</v>
      </c>
      <c r="CU339" s="266">
        <f t="shared" ca="1" si="241"/>
        <v>0</v>
      </c>
      <c r="CV339" s="266">
        <f t="shared" ca="1" si="242"/>
        <v>0</v>
      </c>
      <c r="CW339" s="266">
        <f t="shared" ca="1" si="243"/>
        <v>0</v>
      </c>
      <c r="CX339" s="266">
        <f t="shared" ca="1" si="244"/>
        <v>0</v>
      </c>
    </row>
    <row r="340" spans="2:102" s="47" customFormat="1" ht="18" customHeight="1" x14ac:dyDescent="0.25">
      <c r="B340" t="str">
        <f t="shared" si="245"/>
        <v>NSG_Income Eligible_Home Energy Jumpstart_Core_Programmable Thermostat_Boiler (DI)_SF</v>
      </c>
      <c r="C340" s="47" t="str">
        <f t="shared" si="206"/>
        <v>Programmable Thermostat_Boiler (DI)_SF</v>
      </c>
      <c r="D340" s="270" t="s">
        <v>1787</v>
      </c>
      <c r="E340" s="270" t="s">
        <v>325</v>
      </c>
      <c r="F340" s="270" t="s">
        <v>1414</v>
      </c>
      <c r="G340" s="270" t="s">
        <v>1415</v>
      </c>
      <c r="H340" s="270" t="s">
        <v>224</v>
      </c>
      <c r="I340" s="270" t="s">
        <v>1045</v>
      </c>
      <c r="J340" s="270" t="s">
        <v>409</v>
      </c>
      <c r="K340" s="263">
        <v>1</v>
      </c>
      <c r="L340" s="263" t="str">
        <f ca="1">IFERROR(INDEX(Algorithms!J:J,MATCH($C340&amp;"_Therm Saved per Unit",Algorithms!$A:$A,0)),"n/a")</f>
        <v>5.3.11</v>
      </c>
      <c r="M340" s="263" t="str">
        <f>IFERROR(INDEX('Measure Level Detail'!$N:$N,MATCH($B340,'Measure Level Detail'!$B:$B,0)),0)</f>
        <v>Each</v>
      </c>
      <c r="N340" s="271">
        <f>IFERROR(INDEX('Measure Level Detail'!$P:$P,MATCH($B340&amp;"_"&amp;N$3,'Measure Level Detail'!$C:$C,0)),0)</f>
        <v>0</v>
      </c>
      <c r="O340" s="271">
        <f>IFERROR(INDEX('Measure Level Detail'!$P:$P,MATCH($B340&amp;"_"&amp;O$3,'Measure Level Detail'!$C:$C,0)),0)</f>
        <v>0</v>
      </c>
      <c r="P340" s="271">
        <f>IFERROR(INDEX('Measure Level Detail'!$P:$P,MATCH($B340&amp;"_"&amp;P$3,'Measure Level Detail'!$C:$C,0)),0)</f>
        <v>0</v>
      </c>
      <c r="Q340" s="271">
        <f>IFERROR(INDEX('Measure Level Detail'!$P:$P,MATCH($B340&amp;"_"&amp;Q$3,'Measure Level Detail'!$C:$C,0)),0)</f>
        <v>0</v>
      </c>
      <c r="R340" s="263" t="str">
        <f ca="1">IFERROR(INDEX(Algorithms!K:K,MATCH($C340&amp;"_Therm Saved per Unit",Algorithms!$A:$A,0)),"n/a")</f>
        <v>RS-HVC-PROG-V08-220101</v>
      </c>
      <c r="S340" s="262"/>
      <c r="T340" s="272">
        <v>92.194000000000003</v>
      </c>
      <c r="U340" s="272">
        <v>92.194000000000003</v>
      </c>
      <c r="V340" s="272">
        <v>92.194000000000003</v>
      </c>
      <c r="W340" s="272">
        <v>92.194000000000003</v>
      </c>
      <c r="X340" s="273">
        <f>IFERROR(INDEX('Measure Level Detail'!$R:$R,MATCH($B340&amp;"_"&amp;X$3,'Measure Level Detail'!$C:$C,0)),0)</f>
        <v>1</v>
      </c>
      <c r="Y340" s="273">
        <f>IFERROR(INDEX('Measure Level Detail'!$R:$R,MATCH($B340&amp;"_"&amp;Y$3,'Measure Level Detail'!$C:$C,0)),0)</f>
        <v>1</v>
      </c>
      <c r="Z340" s="273">
        <f>IFERROR(INDEX('Measure Level Detail'!$R:$R,MATCH($B340&amp;"_"&amp;Z$3,'Measure Level Detail'!$C:$C,0)),0)</f>
        <v>1</v>
      </c>
      <c r="AA340" s="273">
        <f>IFERROR(INDEX('Measure Level Detail'!$R:$R,MATCH($B340&amp;"_"&amp;AA$3,'Measure Level Detail'!$C:$C,0)),0)</f>
        <v>1</v>
      </c>
      <c r="AB340" s="266">
        <f t="shared" si="207"/>
        <v>0</v>
      </c>
      <c r="AC340" s="266">
        <f t="shared" si="208"/>
        <v>0</v>
      </c>
      <c r="AD340" s="266">
        <f t="shared" si="209"/>
        <v>0</v>
      </c>
      <c r="AE340" s="266">
        <f t="shared" si="210"/>
        <v>0</v>
      </c>
      <c r="AF340" s="266">
        <f t="shared" si="211"/>
        <v>0</v>
      </c>
      <c r="AG340" s="274">
        <v>1</v>
      </c>
      <c r="AH340" s="274">
        <v>1</v>
      </c>
      <c r="AI340" s="274">
        <v>1</v>
      </c>
      <c r="AJ340" s="274">
        <v>1</v>
      </c>
      <c r="AK340" s="274">
        <f t="shared" si="212"/>
        <v>1</v>
      </c>
      <c r="AL340" s="274">
        <f t="shared" si="213"/>
        <v>1</v>
      </c>
      <c r="AM340" s="274">
        <f t="shared" si="214"/>
        <v>1</v>
      </c>
      <c r="AN340" s="274">
        <f t="shared" si="215"/>
        <v>1</v>
      </c>
      <c r="AO340" s="262"/>
      <c r="AP340" s="262"/>
      <c r="AQ340" s="267">
        <v>92.194000000000003</v>
      </c>
      <c r="AR340" s="262"/>
      <c r="AS340" s="266">
        <f t="shared" si="216"/>
        <v>0</v>
      </c>
      <c r="AT340" s="264">
        <f t="shared" si="217"/>
        <v>0</v>
      </c>
      <c r="AU340" s="262"/>
      <c r="AV340" s="262"/>
      <c r="AW340" s="265">
        <v>92.194000000000003</v>
      </c>
      <c r="AX340" s="164" t="s">
        <v>1469</v>
      </c>
      <c r="AY340" s="266">
        <v>0</v>
      </c>
      <c r="AZ340" s="266">
        <f t="shared" si="218"/>
        <v>0</v>
      </c>
      <c r="BA340" s="264">
        <f t="shared" si="219"/>
        <v>0</v>
      </c>
      <c r="BB340" s="262"/>
      <c r="BC340" s="262"/>
      <c r="BD340" s="265">
        <f ca="1">IFERROR(INDEX(Algorithms!$G:$G,MATCH($C340&amp;"_Therm Saved per Unit",Algorithms!$A:$A,0)),0)</f>
        <v>92.194000000000003</v>
      </c>
      <c r="BE340" s="164" t="str">
        <f ca="1">IFERROR(INDEX('v12 Revisions'!$P$29:$P$186, MATCH('Measure-Level Adj Gas'!$L340, 'v12 Revisions'!$D$29:$D$186,0)),"")</f>
        <v/>
      </c>
      <c r="BF340" s="266">
        <f t="shared" ca="1" si="220"/>
        <v>0</v>
      </c>
      <c r="BG340" s="264">
        <f t="shared" ca="1" si="221"/>
        <v>0</v>
      </c>
      <c r="BH340" s="262"/>
      <c r="BI340" s="262"/>
      <c r="BJ340" s="265">
        <f ca="1">IFERROR(INDEX(Algorithms!$G:$G,MATCH($C340&amp;"_Therm Saved per Unit",Algorithms!$A:$A,0)),0)</f>
        <v>92.194000000000003</v>
      </c>
      <c r="BK340" s="164"/>
      <c r="BL340" s="266">
        <f t="shared" ca="1" si="222"/>
        <v>0</v>
      </c>
      <c r="BM340" s="264">
        <f t="shared" ca="1" si="223"/>
        <v>0</v>
      </c>
      <c r="BN340" s="266">
        <f t="shared" si="224"/>
        <v>0</v>
      </c>
      <c r="BO340" s="266">
        <f t="shared" si="225"/>
        <v>0</v>
      </c>
      <c r="BP340" s="266">
        <f t="shared" ca="1" si="226"/>
        <v>0</v>
      </c>
      <c r="BQ340" s="266">
        <f t="shared" ca="1" si="227"/>
        <v>0</v>
      </c>
      <c r="BR340" s="268">
        <f t="shared" ca="1" si="228"/>
        <v>0</v>
      </c>
      <c r="BS340" s="262" t="s">
        <v>99</v>
      </c>
      <c r="BT340" s="277"/>
      <c r="BW340" s="266">
        <f t="shared" si="229"/>
        <v>0</v>
      </c>
      <c r="BX340" s="266">
        <f t="shared" si="230"/>
        <v>0</v>
      </c>
      <c r="BY340" s="266">
        <f t="shared" si="231"/>
        <v>0</v>
      </c>
      <c r="BZ340" s="266">
        <f t="shared" si="232"/>
        <v>0</v>
      </c>
      <c r="CA340" s="266">
        <f ca="1">N340*IFERROR(INDEX(Algorithms!$G:$G,MATCH($C340&amp;"_Therm Saved per Unit- MLA",Algorithms!$A:$A,0)),0)*X340</f>
        <v>0</v>
      </c>
      <c r="CB340" s="266">
        <f ca="1">O340*IFERROR(INDEX(Algorithms!$G:$G,MATCH($C340&amp;"_Therm Saved per Unit- MLA",Algorithms!$A:$A,0)),0)*Y340</f>
        <v>0</v>
      </c>
      <c r="CC340" s="266">
        <f ca="1">P340*IFERROR(INDEX(Algorithms!$G:$G,MATCH($C340&amp;"_Therm Saved per Unit- MLA",Algorithms!$A:$A,0)),0)*Z340</f>
        <v>0</v>
      </c>
      <c r="CD340" s="266">
        <f ca="1">Q340*IFERROR(INDEX(Algorithms!$G:$G,MATCH($C340&amp;"_Therm Saved per Unit- MLA",Algorithms!$A:$A,0)),0)*AA340</f>
        <v>0</v>
      </c>
      <c r="CE340" s="266">
        <f ca="1">IFERROR(INDEX(Algorithms!$G:$G,MATCH($C340&amp;"_Lifetime (years)",Algorithms!$A:$A,0)),0)</f>
        <v>16</v>
      </c>
      <c r="CF340" s="266">
        <f ca="1">IFERROR(INDEX(Algorithms!$G:$G,MATCH($C340&amp;"_Lifetime (years) - Remaining Years",Algorithms!$A:$A,0)),0)</f>
        <v>5</v>
      </c>
      <c r="CG340" s="266">
        <f t="shared" ca="1" si="233"/>
        <v>0</v>
      </c>
      <c r="CH340" s="266">
        <f t="shared" ca="1" si="234"/>
        <v>0</v>
      </c>
      <c r="CI340" s="266">
        <f t="shared" ca="1" si="235"/>
        <v>0</v>
      </c>
      <c r="CJ340" s="266">
        <f t="shared" ca="1" si="236"/>
        <v>0</v>
      </c>
      <c r="CK340" s="266">
        <f t="shared" si="237"/>
        <v>0</v>
      </c>
      <c r="CL340" s="266">
        <f t="shared" si="238"/>
        <v>0</v>
      </c>
      <c r="CM340" s="266">
        <f t="shared" ca="1" si="239"/>
        <v>0</v>
      </c>
      <c r="CN340" s="266">
        <f t="shared" ca="1" si="240"/>
        <v>0</v>
      </c>
      <c r="CO340" s="266">
        <f ca="1">N340*IFERROR(INDEX(Algorithms!$G:$G,MATCH($C340&amp;"_Therm Saved per Unit- MLA",Algorithms!$A:$A,0)),0)*X340</f>
        <v>0</v>
      </c>
      <c r="CP340" s="266">
        <f ca="1">O340*IFERROR(INDEX(Algorithms!$G:$G,MATCH($C340&amp;"_Therm Saved per Unit- MLA",Algorithms!$A:$A,0)),0)*Y340</f>
        <v>0</v>
      </c>
      <c r="CQ340" s="266">
        <f ca="1">P340*IFERROR(INDEX(Algorithms!$G:$G,MATCH($C340&amp;"_Therm Saved per Unit- MLA",Algorithms!$A:$A,0)),0)*Z340</f>
        <v>0</v>
      </c>
      <c r="CR340" s="266">
        <f ca="1">Q340*IFERROR(INDEX(Algorithms!$G:$G,MATCH($C340&amp;"_Therm Saved per Unit- MLA",Algorithms!$A:$A,0)),0)*AA340</f>
        <v>0</v>
      </c>
      <c r="CS340" s="266">
        <f ca="1">IFERROR(INDEX(Algorithms!$G:$G,MATCH($C340&amp;"_Lifetime (years)",Algorithms!$A:$A,0)),0)</f>
        <v>16</v>
      </c>
      <c r="CT340" s="266">
        <f ca="1">IFERROR(INDEX(Algorithms!$G:$G,MATCH($C340&amp;"_Lifetime (years) - Remaining Years",Algorithms!$A:$A,0)),0)</f>
        <v>5</v>
      </c>
      <c r="CU340" s="266">
        <f t="shared" ca="1" si="241"/>
        <v>0</v>
      </c>
      <c r="CV340" s="266">
        <f t="shared" ca="1" si="242"/>
        <v>0</v>
      </c>
      <c r="CW340" s="266">
        <f t="shared" ca="1" si="243"/>
        <v>0</v>
      </c>
      <c r="CX340" s="266">
        <f t="shared" ca="1" si="244"/>
        <v>0</v>
      </c>
    </row>
    <row r="341" spans="2:102" s="47" customFormat="1" ht="18" customHeight="1" x14ac:dyDescent="0.25">
      <c r="B341" t="str">
        <f t="shared" si="245"/>
        <v>NSG_Income Eligible_Home Energy Jumpstart_Core_Advanced Thermostat_Boiler (Replace Manual)_SF</v>
      </c>
      <c r="C341" s="47" t="str">
        <f t="shared" si="206"/>
        <v>Advanced Thermostat_Boiler (Replace Manual)_SF</v>
      </c>
      <c r="D341" s="270" t="s">
        <v>1787</v>
      </c>
      <c r="E341" s="270" t="s">
        <v>325</v>
      </c>
      <c r="F341" s="270" t="s">
        <v>1414</v>
      </c>
      <c r="G341" s="270" t="s">
        <v>1415</v>
      </c>
      <c r="H341" s="270" t="s">
        <v>7</v>
      </c>
      <c r="I341" s="270" t="s">
        <v>1051</v>
      </c>
      <c r="J341" s="270" t="s">
        <v>409</v>
      </c>
      <c r="K341" s="263">
        <v>1</v>
      </c>
      <c r="L341" s="263" t="str">
        <f ca="1">IFERROR(INDEX(Algorithms!J:J,MATCH($C341&amp;"_Therm Saved per Unit",Algorithms!$A:$A,0)),"n/a")</f>
        <v>5.3.16</v>
      </c>
      <c r="M341" s="263" t="str">
        <f>IFERROR(INDEX('Measure Level Detail'!$N:$N,MATCH($B341,'Measure Level Detail'!$B:$B,0)),0)</f>
        <v>Each</v>
      </c>
      <c r="N341" s="271">
        <f>IFERROR(INDEX('Measure Level Detail'!$P:$P,MATCH($B341&amp;"_"&amp;N$3,'Measure Level Detail'!$C:$C,0)),0)</f>
        <v>0</v>
      </c>
      <c r="O341" s="271">
        <f>IFERROR(INDEX('Measure Level Detail'!$P:$P,MATCH($B341&amp;"_"&amp;O$3,'Measure Level Detail'!$C:$C,0)),0)</f>
        <v>0</v>
      </c>
      <c r="P341" s="271">
        <f>IFERROR(INDEX('Measure Level Detail'!$P:$P,MATCH($B341&amp;"_"&amp;P$3,'Measure Level Detail'!$C:$C,0)),0)</f>
        <v>0</v>
      </c>
      <c r="Q341" s="271">
        <f>IFERROR(INDEX('Measure Level Detail'!$P:$P,MATCH($B341&amp;"_"&amp;Q$3,'Measure Level Detail'!$C:$C,0)),0)</f>
        <v>0</v>
      </c>
      <c r="R341" s="263" t="str">
        <f ca="1">IFERROR(INDEX(Algorithms!K:K,MATCH($C341&amp;"_Therm Saved per Unit",Algorithms!$A:$A,0)),"n/a")</f>
        <v>RS-HVC-ADTH-V09-240101</v>
      </c>
      <c r="S341" s="262"/>
      <c r="T341" s="272">
        <v>154.44</v>
      </c>
      <c r="U341" s="272">
        <v>154.44</v>
      </c>
      <c r="V341" s="272">
        <v>154.44</v>
      </c>
      <c r="W341" s="272">
        <v>154.44</v>
      </c>
      <c r="X341" s="273">
        <f>IFERROR(INDEX('Measure Level Detail'!$R:$R,MATCH($B341&amp;"_"&amp;X$3,'Measure Level Detail'!$C:$C,0)),0)</f>
        <v>1</v>
      </c>
      <c r="Y341" s="273">
        <f>IFERROR(INDEX('Measure Level Detail'!$R:$R,MATCH($B341&amp;"_"&amp;Y$3,'Measure Level Detail'!$C:$C,0)),0)</f>
        <v>1</v>
      </c>
      <c r="Z341" s="273">
        <f>IFERROR(INDEX('Measure Level Detail'!$R:$R,MATCH($B341&amp;"_"&amp;Z$3,'Measure Level Detail'!$C:$C,0)),0)</f>
        <v>1</v>
      </c>
      <c r="AA341" s="273">
        <f>IFERROR(INDEX('Measure Level Detail'!$R:$R,MATCH($B341&amp;"_"&amp;AA$3,'Measure Level Detail'!$C:$C,0)),0)</f>
        <v>1</v>
      </c>
      <c r="AB341" s="266">
        <f t="shared" si="207"/>
        <v>0</v>
      </c>
      <c r="AC341" s="266">
        <f t="shared" si="208"/>
        <v>0</v>
      </c>
      <c r="AD341" s="266">
        <f t="shared" si="209"/>
        <v>0</v>
      </c>
      <c r="AE341" s="266">
        <f t="shared" si="210"/>
        <v>0</v>
      </c>
      <c r="AF341" s="266">
        <f t="shared" si="211"/>
        <v>0</v>
      </c>
      <c r="AG341" s="274">
        <v>1</v>
      </c>
      <c r="AH341" s="274">
        <v>1</v>
      </c>
      <c r="AI341" s="274">
        <v>1</v>
      </c>
      <c r="AJ341" s="274">
        <v>1</v>
      </c>
      <c r="AK341" s="274">
        <f t="shared" si="212"/>
        <v>1</v>
      </c>
      <c r="AL341" s="274">
        <f t="shared" si="213"/>
        <v>1</v>
      </c>
      <c r="AM341" s="274">
        <f t="shared" si="214"/>
        <v>1</v>
      </c>
      <c r="AN341" s="274">
        <f t="shared" si="215"/>
        <v>1</v>
      </c>
      <c r="AO341" s="262"/>
      <c r="AP341" s="262"/>
      <c r="AQ341" s="267">
        <v>151.47</v>
      </c>
      <c r="AR341" s="262"/>
      <c r="AS341" s="266">
        <f t="shared" si="216"/>
        <v>0</v>
      </c>
      <c r="AT341" s="264">
        <f t="shared" si="217"/>
        <v>0</v>
      </c>
      <c r="AU341" s="262"/>
      <c r="AV341" s="262"/>
      <c r="AW341" s="265">
        <v>151.47</v>
      </c>
      <c r="AX341" s="164" t="s">
        <v>1469</v>
      </c>
      <c r="AY341" s="266">
        <v>0</v>
      </c>
      <c r="AZ341" s="266">
        <f t="shared" si="218"/>
        <v>0</v>
      </c>
      <c r="BA341" s="264">
        <f t="shared" si="219"/>
        <v>0</v>
      </c>
      <c r="BB341" s="262"/>
      <c r="BC341" s="262"/>
      <c r="BD341" s="265">
        <f ca="1">IFERROR(INDEX(Algorithms!$G:$G,MATCH($C341&amp;"_Therm Saved per Unit",Algorithms!$A:$A,0)),0)</f>
        <v>151.47</v>
      </c>
      <c r="BE341" s="164" t="str">
        <f ca="1">IFERROR(INDEX('v12 Revisions'!$P$29:$P$186, MATCH('Measure-Level Adj Gas'!$L341, 'v12 Revisions'!$D$29:$D$186,0)),"")</f>
        <v>n/a - FLH not in fossil fuel energy savings algorithm.</v>
      </c>
      <c r="BF341" s="266">
        <f t="shared" ca="1" si="220"/>
        <v>0</v>
      </c>
      <c r="BG341" s="264">
        <f t="shared" ca="1" si="221"/>
        <v>0</v>
      </c>
      <c r="BH341" s="262"/>
      <c r="BI341" s="262"/>
      <c r="BJ341" s="265">
        <f ca="1">IFERROR(INDEX(Algorithms!$G:$G,MATCH($C341&amp;"_Therm Saved per Unit",Algorithms!$A:$A,0)),0)</f>
        <v>151.47</v>
      </c>
      <c r="BK341" s="164"/>
      <c r="BL341" s="266">
        <f t="shared" ca="1" si="222"/>
        <v>0</v>
      </c>
      <c r="BM341" s="264">
        <f t="shared" ca="1" si="223"/>
        <v>0</v>
      </c>
      <c r="BN341" s="266">
        <f t="shared" si="224"/>
        <v>0</v>
      </c>
      <c r="BO341" s="266">
        <f t="shared" si="225"/>
        <v>0</v>
      </c>
      <c r="BP341" s="266">
        <f t="shared" ca="1" si="226"/>
        <v>0</v>
      </c>
      <c r="BQ341" s="266">
        <f t="shared" ca="1" si="227"/>
        <v>0</v>
      </c>
      <c r="BR341" s="268">
        <f t="shared" ca="1" si="228"/>
        <v>0</v>
      </c>
      <c r="BS341" s="262" t="s">
        <v>99</v>
      </c>
      <c r="BT341" s="277"/>
      <c r="BW341" s="266">
        <f t="shared" si="229"/>
        <v>0</v>
      </c>
      <c r="BX341" s="266">
        <f t="shared" si="230"/>
        <v>0</v>
      </c>
      <c r="BY341" s="266">
        <f t="shared" si="231"/>
        <v>0</v>
      </c>
      <c r="BZ341" s="266">
        <f t="shared" si="232"/>
        <v>0</v>
      </c>
      <c r="CA341" s="266">
        <f ca="1">N341*IFERROR(INDEX(Algorithms!$G:$G,MATCH($C341&amp;"_Therm Saved per Unit- MLA",Algorithms!$A:$A,0)),0)*X341</f>
        <v>0</v>
      </c>
      <c r="CB341" s="266">
        <f ca="1">O341*IFERROR(INDEX(Algorithms!$G:$G,MATCH($C341&amp;"_Therm Saved per Unit- MLA",Algorithms!$A:$A,0)),0)*Y341</f>
        <v>0</v>
      </c>
      <c r="CC341" s="266">
        <f ca="1">P341*IFERROR(INDEX(Algorithms!$G:$G,MATCH($C341&amp;"_Therm Saved per Unit- MLA",Algorithms!$A:$A,0)),0)*Z341</f>
        <v>0</v>
      </c>
      <c r="CD341" s="266">
        <f ca="1">Q341*IFERROR(INDEX(Algorithms!$G:$G,MATCH($C341&amp;"_Therm Saved per Unit- MLA",Algorithms!$A:$A,0)),0)*AA341</f>
        <v>0</v>
      </c>
      <c r="CE341" s="266">
        <f ca="1">IFERROR(INDEX(Algorithms!$G:$G,MATCH($C341&amp;"_Lifetime (years)",Algorithms!$A:$A,0)),0)</f>
        <v>11</v>
      </c>
      <c r="CF341" s="266">
        <f ca="1">IFERROR(INDEX(Algorithms!$G:$G,MATCH($C341&amp;"_Lifetime (years) - Remaining Years",Algorithms!$A:$A,0)),0)</f>
        <v>0</v>
      </c>
      <c r="CG341" s="266">
        <f t="shared" ca="1" si="233"/>
        <v>0</v>
      </c>
      <c r="CH341" s="266">
        <f t="shared" ca="1" si="234"/>
        <v>0</v>
      </c>
      <c r="CI341" s="266">
        <f t="shared" ca="1" si="235"/>
        <v>0</v>
      </c>
      <c r="CJ341" s="266">
        <f t="shared" ca="1" si="236"/>
        <v>0</v>
      </c>
      <c r="CK341" s="266">
        <f t="shared" si="237"/>
        <v>0</v>
      </c>
      <c r="CL341" s="266">
        <f t="shared" si="238"/>
        <v>0</v>
      </c>
      <c r="CM341" s="266">
        <f t="shared" ca="1" si="239"/>
        <v>0</v>
      </c>
      <c r="CN341" s="266">
        <f t="shared" ca="1" si="240"/>
        <v>0</v>
      </c>
      <c r="CO341" s="266">
        <f ca="1">N341*IFERROR(INDEX(Algorithms!$G:$G,MATCH($C341&amp;"_Therm Saved per Unit- MLA",Algorithms!$A:$A,0)),0)*X341</f>
        <v>0</v>
      </c>
      <c r="CP341" s="266">
        <f ca="1">O341*IFERROR(INDEX(Algorithms!$G:$G,MATCH($C341&amp;"_Therm Saved per Unit- MLA",Algorithms!$A:$A,0)),0)*Y341</f>
        <v>0</v>
      </c>
      <c r="CQ341" s="266">
        <f ca="1">P341*IFERROR(INDEX(Algorithms!$G:$G,MATCH($C341&amp;"_Therm Saved per Unit- MLA",Algorithms!$A:$A,0)),0)*Z341</f>
        <v>0</v>
      </c>
      <c r="CR341" s="266">
        <f ca="1">Q341*IFERROR(INDEX(Algorithms!$G:$G,MATCH($C341&amp;"_Therm Saved per Unit- MLA",Algorithms!$A:$A,0)),0)*AA341</f>
        <v>0</v>
      </c>
      <c r="CS341" s="266">
        <f ca="1">IFERROR(INDEX(Algorithms!$G:$G,MATCH($C341&amp;"_Lifetime (years)",Algorithms!$A:$A,0)),0)</f>
        <v>11</v>
      </c>
      <c r="CT341" s="266">
        <f ca="1">IFERROR(INDEX(Algorithms!$G:$G,MATCH($C341&amp;"_Lifetime (years) - Remaining Years",Algorithms!$A:$A,0)),0)</f>
        <v>0</v>
      </c>
      <c r="CU341" s="266">
        <f t="shared" ca="1" si="241"/>
        <v>0</v>
      </c>
      <c r="CV341" s="266">
        <f t="shared" ca="1" si="242"/>
        <v>0</v>
      </c>
      <c r="CW341" s="266">
        <f t="shared" ca="1" si="243"/>
        <v>0</v>
      </c>
      <c r="CX341" s="266">
        <f t="shared" ca="1" si="244"/>
        <v>0</v>
      </c>
    </row>
    <row r="342" spans="2:102" s="47" customFormat="1" ht="18" customHeight="1" x14ac:dyDescent="0.25">
      <c r="B342" t="str">
        <f t="shared" si="245"/>
        <v>NSG_Income Eligible_Home Energy Jumpstart_Core_Advanced Thermostat_Boiler (Replace Programmable)_SF</v>
      </c>
      <c r="C342" s="47" t="str">
        <f t="shared" si="206"/>
        <v>Advanced Thermostat_Boiler (Replace Programmable)_SF</v>
      </c>
      <c r="D342" s="270" t="s">
        <v>1787</v>
      </c>
      <c r="E342" s="270" t="s">
        <v>325</v>
      </c>
      <c r="F342" s="270" t="s">
        <v>1414</v>
      </c>
      <c r="G342" s="270" t="s">
        <v>1415</v>
      </c>
      <c r="H342" s="270" t="s">
        <v>7</v>
      </c>
      <c r="I342" s="270" t="s">
        <v>1052</v>
      </c>
      <c r="J342" s="270" t="s">
        <v>409</v>
      </c>
      <c r="K342" s="263">
        <v>1</v>
      </c>
      <c r="L342" s="263" t="str">
        <f ca="1">IFERROR(INDEX(Algorithms!J:J,MATCH($C342&amp;"_Therm Saved per Unit",Algorithms!$A:$A,0)),"n/a")</f>
        <v>5.3.16</v>
      </c>
      <c r="M342" s="263" t="str">
        <f>IFERROR(INDEX('Measure Level Detail'!$N:$N,MATCH($B342,'Measure Level Detail'!$B:$B,0)),0)</f>
        <v>Each</v>
      </c>
      <c r="N342" s="271">
        <f>IFERROR(INDEX('Measure Level Detail'!$P:$P,MATCH($B342&amp;"_"&amp;N$3,'Measure Level Detail'!$C:$C,0)),0)</f>
        <v>0</v>
      </c>
      <c r="O342" s="271">
        <f>IFERROR(INDEX('Measure Level Detail'!$P:$P,MATCH($B342&amp;"_"&amp;O$3,'Measure Level Detail'!$C:$C,0)),0)</f>
        <v>0</v>
      </c>
      <c r="P342" s="271">
        <f>IFERROR(INDEX('Measure Level Detail'!$P:$P,MATCH($B342&amp;"_"&amp;P$3,'Measure Level Detail'!$C:$C,0)),0)</f>
        <v>0</v>
      </c>
      <c r="Q342" s="271">
        <f>IFERROR(INDEX('Measure Level Detail'!$P:$P,MATCH($B342&amp;"_"&amp;Q$3,'Measure Level Detail'!$C:$C,0)),0)</f>
        <v>0</v>
      </c>
      <c r="R342" s="263" t="str">
        <f ca="1">IFERROR(INDEX(Algorithms!K:K,MATCH($C342&amp;"_Therm Saved per Unit",Algorithms!$A:$A,0)),"n/a")</f>
        <v>RS-HVC-ADTH-V09-240101</v>
      </c>
      <c r="S342" s="262"/>
      <c r="T342" s="272">
        <v>108.40499999999999</v>
      </c>
      <c r="U342" s="272">
        <v>108.40499999999999</v>
      </c>
      <c r="V342" s="272">
        <v>108.40499999999999</v>
      </c>
      <c r="W342" s="272">
        <v>108.40499999999999</v>
      </c>
      <c r="X342" s="273">
        <f>IFERROR(INDEX('Measure Level Detail'!$R:$R,MATCH($B342&amp;"_"&amp;X$3,'Measure Level Detail'!$C:$C,0)),0)</f>
        <v>1</v>
      </c>
      <c r="Y342" s="273">
        <f>IFERROR(INDEX('Measure Level Detail'!$R:$R,MATCH($B342&amp;"_"&amp;Y$3,'Measure Level Detail'!$C:$C,0)),0)</f>
        <v>1</v>
      </c>
      <c r="Z342" s="273">
        <f>IFERROR(INDEX('Measure Level Detail'!$R:$R,MATCH($B342&amp;"_"&amp;Z$3,'Measure Level Detail'!$C:$C,0)),0)</f>
        <v>1</v>
      </c>
      <c r="AA342" s="273">
        <f>IFERROR(INDEX('Measure Level Detail'!$R:$R,MATCH($B342&amp;"_"&amp;AA$3,'Measure Level Detail'!$C:$C,0)),0)</f>
        <v>1</v>
      </c>
      <c r="AB342" s="266">
        <f t="shared" si="207"/>
        <v>0</v>
      </c>
      <c r="AC342" s="266">
        <f t="shared" si="208"/>
        <v>0</v>
      </c>
      <c r="AD342" s="266">
        <f t="shared" si="209"/>
        <v>0</v>
      </c>
      <c r="AE342" s="266">
        <f t="shared" si="210"/>
        <v>0</v>
      </c>
      <c r="AF342" s="266">
        <f t="shared" si="211"/>
        <v>0</v>
      </c>
      <c r="AG342" s="274">
        <v>1</v>
      </c>
      <c r="AH342" s="274">
        <v>1</v>
      </c>
      <c r="AI342" s="274">
        <v>1</v>
      </c>
      <c r="AJ342" s="274">
        <v>1</v>
      </c>
      <c r="AK342" s="274">
        <f t="shared" si="212"/>
        <v>1</v>
      </c>
      <c r="AL342" s="274">
        <f t="shared" si="213"/>
        <v>1</v>
      </c>
      <c r="AM342" s="274">
        <f t="shared" si="214"/>
        <v>1</v>
      </c>
      <c r="AN342" s="274">
        <f t="shared" si="215"/>
        <v>1</v>
      </c>
      <c r="AO342" s="262"/>
      <c r="AP342" s="262"/>
      <c r="AQ342" s="267">
        <v>105.43499999999999</v>
      </c>
      <c r="AR342" s="262"/>
      <c r="AS342" s="266">
        <f t="shared" si="216"/>
        <v>0</v>
      </c>
      <c r="AT342" s="264">
        <f t="shared" si="217"/>
        <v>0</v>
      </c>
      <c r="AU342" s="262"/>
      <c r="AV342" s="262"/>
      <c r="AW342" s="265">
        <v>105.43499999999999</v>
      </c>
      <c r="AX342" s="164" t="s">
        <v>1469</v>
      </c>
      <c r="AY342" s="266">
        <v>0</v>
      </c>
      <c r="AZ342" s="266">
        <f t="shared" si="218"/>
        <v>0</v>
      </c>
      <c r="BA342" s="264">
        <f t="shared" si="219"/>
        <v>0</v>
      </c>
      <c r="BB342" s="262"/>
      <c r="BC342" s="262"/>
      <c r="BD342" s="265">
        <f ca="1">IFERROR(INDEX(Algorithms!$G:$G,MATCH($C342&amp;"_Therm Saved per Unit",Algorithms!$A:$A,0)),0)</f>
        <v>105.43499999999999</v>
      </c>
      <c r="BE342" s="164" t="str">
        <f ca="1">IFERROR(INDEX('v12 Revisions'!$P$29:$P$186, MATCH('Measure-Level Adj Gas'!$L342, 'v12 Revisions'!$D$29:$D$186,0)),"")</f>
        <v>n/a - FLH not in fossil fuel energy savings algorithm.</v>
      </c>
      <c r="BF342" s="266">
        <f t="shared" ca="1" si="220"/>
        <v>0</v>
      </c>
      <c r="BG342" s="264">
        <f t="shared" ca="1" si="221"/>
        <v>0</v>
      </c>
      <c r="BH342" s="262"/>
      <c r="BI342" s="262"/>
      <c r="BJ342" s="265">
        <f ca="1">IFERROR(INDEX(Algorithms!$G:$G,MATCH($C342&amp;"_Therm Saved per Unit",Algorithms!$A:$A,0)),0)</f>
        <v>105.43499999999999</v>
      </c>
      <c r="BK342" s="164"/>
      <c r="BL342" s="266">
        <f t="shared" ca="1" si="222"/>
        <v>0</v>
      </c>
      <c r="BM342" s="264">
        <f t="shared" ca="1" si="223"/>
        <v>0</v>
      </c>
      <c r="BN342" s="266">
        <f t="shared" si="224"/>
        <v>0</v>
      </c>
      <c r="BO342" s="266">
        <f t="shared" si="225"/>
        <v>0</v>
      </c>
      <c r="BP342" s="266">
        <f t="shared" ca="1" si="226"/>
        <v>0</v>
      </c>
      <c r="BQ342" s="266">
        <f t="shared" ca="1" si="227"/>
        <v>0</v>
      </c>
      <c r="BR342" s="268">
        <f t="shared" ca="1" si="228"/>
        <v>0</v>
      </c>
      <c r="BS342" s="262" t="s">
        <v>99</v>
      </c>
      <c r="BT342" s="277"/>
      <c r="BW342" s="266">
        <f t="shared" si="229"/>
        <v>0</v>
      </c>
      <c r="BX342" s="266">
        <f t="shared" si="230"/>
        <v>0</v>
      </c>
      <c r="BY342" s="266">
        <f t="shared" si="231"/>
        <v>0</v>
      </c>
      <c r="BZ342" s="266">
        <f t="shared" si="232"/>
        <v>0</v>
      </c>
      <c r="CA342" s="266">
        <f ca="1">N342*IFERROR(INDEX(Algorithms!$G:$G,MATCH($C342&amp;"_Therm Saved per Unit- MLA",Algorithms!$A:$A,0)),0)*X342</f>
        <v>0</v>
      </c>
      <c r="CB342" s="266">
        <f ca="1">O342*IFERROR(INDEX(Algorithms!$G:$G,MATCH($C342&amp;"_Therm Saved per Unit- MLA",Algorithms!$A:$A,0)),0)*Y342</f>
        <v>0</v>
      </c>
      <c r="CC342" s="266">
        <f ca="1">P342*IFERROR(INDEX(Algorithms!$G:$G,MATCH($C342&amp;"_Therm Saved per Unit- MLA",Algorithms!$A:$A,0)),0)*Z342</f>
        <v>0</v>
      </c>
      <c r="CD342" s="266">
        <f ca="1">Q342*IFERROR(INDEX(Algorithms!$G:$G,MATCH($C342&amp;"_Therm Saved per Unit- MLA",Algorithms!$A:$A,0)),0)*AA342</f>
        <v>0</v>
      </c>
      <c r="CE342" s="266">
        <f ca="1">IFERROR(INDEX(Algorithms!$G:$G,MATCH($C342&amp;"_Lifetime (years)",Algorithms!$A:$A,0)),0)</f>
        <v>11</v>
      </c>
      <c r="CF342" s="266">
        <f ca="1">IFERROR(INDEX(Algorithms!$G:$G,MATCH($C342&amp;"_Lifetime (years) - Remaining Years",Algorithms!$A:$A,0)),0)</f>
        <v>0</v>
      </c>
      <c r="CG342" s="266">
        <f t="shared" ca="1" si="233"/>
        <v>0</v>
      </c>
      <c r="CH342" s="266">
        <f t="shared" ca="1" si="234"/>
        <v>0</v>
      </c>
      <c r="CI342" s="266">
        <f t="shared" ca="1" si="235"/>
        <v>0</v>
      </c>
      <c r="CJ342" s="266">
        <f t="shared" ca="1" si="236"/>
        <v>0</v>
      </c>
      <c r="CK342" s="266">
        <f t="shared" si="237"/>
        <v>0</v>
      </c>
      <c r="CL342" s="266">
        <f t="shared" si="238"/>
        <v>0</v>
      </c>
      <c r="CM342" s="266">
        <f t="shared" ca="1" si="239"/>
        <v>0</v>
      </c>
      <c r="CN342" s="266">
        <f t="shared" ca="1" si="240"/>
        <v>0</v>
      </c>
      <c r="CO342" s="266">
        <f ca="1">N342*IFERROR(INDEX(Algorithms!$G:$G,MATCH($C342&amp;"_Therm Saved per Unit- MLA",Algorithms!$A:$A,0)),0)*X342</f>
        <v>0</v>
      </c>
      <c r="CP342" s="266">
        <f ca="1">O342*IFERROR(INDEX(Algorithms!$G:$G,MATCH($C342&amp;"_Therm Saved per Unit- MLA",Algorithms!$A:$A,0)),0)*Y342</f>
        <v>0</v>
      </c>
      <c r="CQ342" s="266">
        <f ca="1">P342*IFERROR(INDEX(Algorithms!$G:$G,MATCH($C342&amp;"_Therm Saved per Unit- MLA",Algorithms!$A:$A,0)),0)*Z342</f>
        <v>0</v>
      </c>
      <c r="CR342" s="266">
        <f ca="1">Q342*IFERROR(INDEX(Algorithms!$G:$G,MATCH($C342&amp;"_Therm Saved per Unit- MLA",Algorithms!$A:$A,0)),0)*AA342</f>
        <v>0</v>
      </c>
      <c r="CS342" s="266">
        <f ca="1">IFERROR(INDEX(Algorithms!$G:$G,MATCH($C342&amp;"_Lifetime (years)",Algorithms!$A:$A,0)),0)</f>
        <v>11</v>
      </c>
      <c r="CT342" s="266">
        <f ca="1">IFERROR(INDEX(Algorithms!$G:$G,MATCH($C342&amp;"_Lifetime (years) - Remaining Years",Algorithms!$A:$A,0)),0)</f>
        <v>0</v>
      </c>
      <c r="CU342" s="266">
        <f t="shared" ca="1" si="241"/>
        <v>0</v>
      </c>
      <c r="CV342" s="266">
        <f t="shared" ca="1" si="242"/>
        <v>0</v>
      </c>
      <c r="CW342" s="266">
        <f t="shared" ca="1" si="243"/>
        <v>0</v>
      </c>
      <c r="CX342" s="266">
        <f t="shared" ca="1" si="244"/>
        <v>0</v>
      </c>
    </row>
    <row r="343" spans="2:102" s="47" customFormat="1" ht="18" customHeight="1" x14ac:dyDescent="0.25">
      <c r="B343" t="str">
        <f t="shared" si="245"/>
        <v>NSG_Residential_Home Energy Rebate_Standard Rebate_Furnace Tune Up_Space Heating_SF</v>
      </c>
      <c r="C343" s="47" t="str">
        <f t="shared" si="206"/>
        <v>Furnace Tune Up_Space Heating_SF</v>
      </c>
      <c r="D343" s="270" t="s">
        <v>1787</v>
      </c>
      <c r="E343" s="270" t="s">
        <v>2</v>
      </c>
      <c r="F343" s="270" t="s">
        <v>1417</v>
      </c>
      <c r="G343" s="270" t="s">
        <v>1418</v>
      </c>
      <c r="H343" s="270" t="s">
        <v>914</v>
      </c>
      <c r="I343" s="270" t="s">
        <v>907</v>
      </c>
      <c r="J343" s="270" t="s">
        <v>409</v>
      </c>
      <c r="K343" s="263">
        <v>1</v>
      </c>
      <c r="L343" s="263" t="str">
        <f ca="1">IFERROR(INDEX(Algorithms!J:J,MATCH($C343&amp;"_Therm Saved per Unit",Algorithms!$A:$A,0)),"n/a")</f>
        <v>5.3.13</v>
      </c>
      <c r="M343" s="263" t="str">
        <f>IFERROR(INDEX('Measure Level Detail'!$N:$N,MATCH($B343,'Measure Level Detail'!$B:$B,0)),0)</f>
        <v>each</v>
      </c>
      <c r="N343" s="271">
        <f>IFERROR(INDEX('Measure Level Detail'!$P:$P,MATCH($B343&amp;"_"&amp;N$3,'Measure Level Detail'!$C:$C,0)),0)</f>
        <v>0</v>
      </c>
      <c r="O343" s="271">
        <f>IFERROR(INDEX('Measure Level Detail'!$P:$P,MATCH($B343&amp;"_"&amp;O$3,'Measure Level Detail'!$C:$C,0)),0)</f>
        <v>0</v>
      </c>
      <c r="P343" s="271">
        <f>IFERROR(INDEX('Measure Level Detail'!$P:$P,MATCH($B343&amp;"_"&amp;P$3,'Measure Level Detail'!$C:$C,0)),0)</f>
        <v>0</v>
      </c>
      <c r="Q343" s="271">
        <f>IFERROR(INDEX('Measure Level Detail'!$P:$P,MATCH($B343&amp;"_"&amp;Q$3,'Measure Level Detail'!$C:$C,0)),0)</f>
        <v>0</v>
      </c>
      <c r="R343" s="263" t="str">
        <f ca="1">IFERROR(INDEX(Algorithms!K:K,MATCH($C343&amp;"_Therm Saved per Unit",Algorithms!$A:$A,0)),"n/a")</f>
        <v>RS-HVC-FTUN-V07-230101</v>
      </c>
      <c r="S343" s="262"/>
      <c r="T343" s="272">
        <v>15.707858823529454</v>
      </c>
      <c r="U343" s="272">
        <v>15.707858823529454</v>
      </c>
      <c r="V343" s="272">
        <v>15.707858823529454</v>
      </c>
      <c r="W343" s="272">
        <v>15.707858823529454</v>
      </c>
      <c r="X343" s="275">
        <v>0.74</v>
      </c>
      <c r="Y343" s="275">
        <v>0.74</v>
      </c>
      <c r="Z343" s="275">
        <v>0.74</v>
      </c>
      <c r="AA343" s="275">
        <v>0.74</v>
      </c>
      <c r="AB343" s="266">
        <f t="shared" si="207"/>
        <v>0</v>
      </c>
      <c r="AC343" s="266">
        <f t="shared" si="208"/>
        <v>0</v>
      </c>
      <c r="AD343" s="266">
        <f t="shared" si="209"/>
        <v>0</v>
      </c>
      <c r="AE343" s="266">
        <f t="shared" si="210"/>
        <v>0</v>
      </c>
      <c r="AF343" s="266">
        <f t="shared" si="211"/>
        <v>0</v>
      </c>
      <c r="AG343" s="274">
        <v>0.74</v>
      </c>
      <c r="AH343" s="274">
        <v>0.74</v>
      </c>
      <c r="AI343" s="274">
        <v>0.74</v>
      </c>
      <c r="AJ343" s="274">
        <v>0.74</v>
      </c>
      <c r="AK343" s="274">
        <f t="shared" si="212"/>
        <v>0.74</v>
      </c>
      <c r="AL343" s="274">
        <f t="shared" si="213"/>
        <v>0.74</v>
      </c>
      <c r="AM343" s="274">
        <f t="shared" si="214"/>
        <v>0.74</v>
      </c>
      <c r="AN343" s="274">
        <f t="shared" si="215"/>
        <v>0.74</v>
      </c>
      <c r="AO343" s="262"/>
      <c r="AP343" s="262"/>
      <c r="AQ343" s="267">
        <v>15.707858823529454</v>
      </c>
      <c r="AR343" s="262"/>
      <c r="AS343" s="266">
        <f t="shared" si="216"/>
        <v>0</v>
      </c>
      <c r="AT343" s="264">
        <f t="shared" si="217"/>
        <v>0</v>
      </c>
      <c r="AU343" s="262"/>
      <c r="AV343" s="262"/>
      <c r="AW343" s="265">
        <v>15.707858823529454</v>
      </c>
      <c r="AX343" s="164" t="s">
        <v>1469</v>
      </c>
      <c r="AY343" s="266">
        <v>0</v>
      </c>
      <c r="AZ343" s="266">
        <f t="shared" si="218"/>
        <v>0</v>
      </c>
      <c r="BA343" s="264">
        <f t="shared" si="219"/>
        <v>0</v>
      </c>
      <c r="BB343" s="262"/>
      <c r="BC343" s="262"/>
      <c r="BD343" s="265">
        <f ca="1">IFERROR(INDEX(Algorithms!$G:$G,MATCH($C343&amp;"_Therm Saved per Unit",Algorithms!$A:$A,0)),0)</f>
        <v>15.707858823529454</v>
      </c>
      <c r="BE343" s="164" t="str">
        <f ca="1">IFERROR(INDEX('v12 Revisions'!$P$29:$P$186, MATCH('Measure-Level Adj Gas'!$L343, 'v12 Revisions'!$D$29:$D$186,0)),"")</f>
        <v/>
      </c>
      <c r="BF343" s="266">
        <f t="shared" ca="1" si="220"/>
        <v>0</v>
      </c>
      <c r="BG343" s="264">
        <f t="shared" ca="1" si="221"/>
        <v>0</v>
      </c>
      <c r="BH343" s="262"/>
      <c r="BI343" s="262"/>
      <c r="BJ343" s="265">
        <f ca="1">IFERROR(INDEX(Algorithms!$G:$G,MATCH($C343&amp;"_Therm Saved per Unit",Algorithms!$A:$A,0)),0)</f>
        <v>15.707858823529454</v>
      </c>
      <c r="BK343" s="164"/>
      <c r="BL343" s="266">
        <f t="shared" ca="1" si="222"/>
        <v>0</v>
      </c>
      <c r="BM343" s="264">
        <f t="shared" ca="1" si="223"/>
        <v>0</v>
      </c>
      <c r="BN343" s="266">
        <f t="shared" si="224"/>
        <v>0</v>
      </c>
      <c r="BO343" s="266">
        <f t="shared" si="225"/>
        <v>0</v>
      </c>
      <c r="BP343" s="266">
        <f t="shared" ca="1" si="226"/>
        <v>0</v>
      </c>
      <c r="BQ343" s="266">
        <f t="shared" ca="1" si="227"/>
        <v>0</v>
      </c>
      <c r="BR343" s="268">
        <f t="shared" ca="1" si="228"/>
        <v>0</v>
      </c>
      <c r="BS343" s="262" t="s">
        <v>99</v>
      </c>
      <c r="BT343" s="277"/>
      <c r="BW343" s="266">
        <f t="shared" si="229"/>
        <v>0</v>
      </c>
      <c r="BX343" s="266">
        <f t="shared" si="230"/>
        <v>0</v>
      </c>
      <c r="BY343" s="266">
        <f t="shared" si="231"/>
        <v>0</v>
      </c>
      <c r="BZ343" s="266">
        <f t="shared" si="232"/>
        <v>0</v>
      </c>
      <c r="CA343" s="266">
        <f ca="1">N343*IFERROR(INDEX(Algorithms!$G:$G,MATCH($C343&amp;"_Therm Saved per Unit- MLA",Algorithms!$A:$A,0)),0)*X343</f>
        <v>0</v>
      </c>
      <c r="CB343" s="266">
        <f ca="1">O343*IFERROR(INDEX(Algorithms!$G:$G,MATCH($C343&amp;"_Therm Saved per Unit- MLA",Algorithms!$A:$A,0)),0)*Y343</f>
        <v>0</v>
      </c>
      <c r="CC343" s="266">
        <f ca="1">P343*IFERROR(INDEX(Algorithms!$G:$G,MATCH($C343&amp;"_Therm Saved per Unit- MLA",Algorithms!$A:$A,0)),0)*Z343</f>
        <v>0</v>
      </c>
      <c r="CD343" s="266">
        <f ca="1">Q343*IFERROR(INDEX(Algorithms!$G:$G,MATCH($C343&amp;"_Therm Saved per Unit- MLA",Algorithms!$A:$A,0)),0)*AA343</f>
        <v>0</v>
      </c>
      <c r="CE343" s="266">
        <f ca="1">IFERROR(INDEX(Algorithms!$G:$G,MATCH($C343&amp;"_Lifetime (years)",Algorithms!$A:$A,0)),0)</f>
        <v>3</v>
      </c>
      <c r="CF343" s="266">
        <f ca="1">IFERROR(INDEX(Algorithms!$G:$G,MATCH($C343&amp;"_Lifetime (years) - Remaining Years",Algorithms!$A:$A,0)),0)</f>
        <v>0</v>
      </c>
      <c r="CG343" s="266">
        <f t="shared" ca="1" si="233"/>
        <v>0</v>
      </c>
      <c r="CH343" s="266">
        <f t="shared" ca="1" si="234"/>
        <v>0</v>
      </c>
      <c r="CI343" s="266">
        <f t="shared" ca="1" si="235"/>
        <v>0</v>
      </c>
      <c r="CJ343" s="266">
        <f t="shared" ca="1" si="236"/>
        <v>0</v>
      </c>
      <c r="CK343" s="266">
        <f t="shared" si="237"/>
        <v>0</v>
      </c>
      <c r="CL343" s="266">
        <f t="shared" si="238"/>
        <v>0</v>
      </c>
      <c r="CM343" s="266">
        <f t="shared" ca="1" si="239"/>
        <v>0</v>
      </c>
      <c r="CN343" s="266">
        <f t="shared" ca="1" si="240"/>
        <v>0</v>
      </c>
      <c r="CO343" s="266">
        <f ca="1">N343*IFERROR(INDEX(Algorithms!$G:$G,MATCH($C343&amp;"_Therm Saved per Unit- MLA",Algorithms!$A:$A,0)),0)*X343</f>
        <v>0</v>
      </c>
      <c r="CP343" s="266">
        <f ca="1">O343*IFERROR(INDEX(Algorithms!$G:$G,MATCH($C343&amp;"_Therm Saved per Unit- MLA",Algorithms!$A:$A,0)),0)*Y343</f>
        <v>0</v>
      </c>
      <c r="CQ343" s="266">
        <f ca="1">P343*IFERROR(INDEX(Algorithms!$G:$G,MATCH($C343&amp;"_Therm Saved per Unit- MLA",Algorithms!$A:$A,0)),0)*Z343</f>
        <v>0</v>
      </c>
      <c r="CR343" s="266">
        <f ca="1">Q343*IFERROR(INDEX(Algorithms!$G:$G,MATCH($C343&amp;"_Therm Saved per Unit- MLA",Algorithms!$A:$A,0)),0)*AA343</f>
        <v>0</v>
      </c>
      <c r="CS343" s="266">
        <f ca="1">IFERROR(INDEX(Algorithms!$G:$G,MATCH($C343&amp;"_Lifetime (years)",Algorithms!$A:$A,0)),0)</f>
        <v>3</v>
      </c>
      <c r="CT343" s="266">
        <f ca="1">IFERROR(INDEX(Algorithms!$G:$G,MATCH($C343&amp;"_Lifetime (years) - Remaining Years",Algorithms!$A:$A,0)),0)</f>
        <v>0</v>
      </c>
      <c r="CU343" s="266">
        <f t="shared" ca="1" si="241"/>
        <v>0</v>
      </c>
      <c r="CV343" s="266">
        <f t="shared" ca="1" si="242"/>
        <v>0</v>
      </c>
      <c r="CW343" s="266">
        <f t="shared" ca="1" si="243"/>
        <v>0</v>
      </c>
      <c r="CX343" s="266">
        <f t="shared" ca="1" si="244"/>
        <v>0</v>
      </c>
    </row>
    <row r="344" spans="2:102" s="47" customFormat="1" ht="18" customHeight="1" x14ac:dyDescent="0.25">
      <c r="B344" t="str">
        <f t="shared" si="245"/>
        <v>NSG_Residential_Home Energy Rebate_Standard Rebate_Advanced Thermostat_Furnace (Replace Unknown) - Non DI_SF</v>
      </c>
      <c r="C344" s="47" t="str">
        <f t="shared" si="206"/>
        <v>Advanced Thermostat_Furnace (Replace Unknown) - Non DI_SF</v>
      </c>
      <c r="D344" s="270" t="s">
        <v>1787</v>
      </c>
      <c r="E344" s="270" t="s">
        <v>2</v>
      </c>
      <c r="F344" s="270" t="s">
        <v>1417</v>
      </c>
      <c r="G344" s="270" t="s">
        <v>1418</v>
      </c>
      <c r="H344" s="270" t="s">
        <v>7</v>
      </c>
      <c r="I344" s="270" t="s">
        <v>1409</v>
      </c>
      <c r="J344" s="270" t="s">
        <v>409</v>
      </c>
      <c r="K344" s="263">
        <v>1</v>
      </c>
      <c r="L344" s="263" t="str">
        <f ca="1">IFERROR(INDEX(Algorithms!J:J,MATCH($C344&amp;"_Therm Saved per Unit",Algorithms!$A:$A,0)),"n/a")</f>
        <v>5.3.16</v>
      </c>
      <c r="M344" s="263" t="str">
        <f>IFERROR(INDEX('Measure Level Detail'!$N:$N,MATCH($B344,'Measure Level Detail'!$B:$B,0)),0)</f>
        <v>each</v>
      </c>
      <c r="N344" s="271">
        <f>IFERROR(INDEX('Measure Level Detail'!$P:$P,MATCH($B344&amp;"_"&amp;N$3,'Measure Level Detail'!$C:$C,0)),0)</f>
        <v>0</v>
      </c>
      <c r="O344" s="271">
        <f>IFERROR(INDEX('Measure Level Detail'!$P:$P,MATCH($B344&amp;"_"&amp;O$3,'Measure Level Detail'!$C:$C,0)),0)</f>
        <v>0</v>
      </c>
      <c r="P344" s="271">
        <f>IFERROR(INDEX('Measure Level Detail'!$P:$P,MATCH($B344&amp;"_"&amp;P$3,'Measure Level Detail'!$C:$C,0)),0)</f>
        <v>0</v>
      </c>
      <c r="Q344" s="271">
        <f>IFERROR(INDEX('Measure Level Detail'!$P:$P,MATCH($B344&amp;"_"&amp;Q$3,'Measure Level Detail'!$C:$C,0)),0)</f>
        <v>0</v>
      </c>
      <c r="R344" s="263" t="str">
        <f ca="1">IFERROR(INDEX(Algorithms!K:K,MATCH($C344&amp;"_Therm Saved per Unit",Algorithms!$A:$A,0)),"n/a")</f>
        <v>RS-HVC-ADTH-V09-240101</v>
      </c>
      <c r="S344" s="262"/>
      <c r="T344" s="272">
        <v>77.786999999999992</v>
      </c>
      <c r="U344" s="272">
        <v>77.786999999999992</v>
      </c>
      <c r="V344" s="272">
        <v>77.786999999999992</v>
      </c>
      <c r="W344" s="272">
        <v>77.786999999999992</v>
      </c>
      <c r="X344" s="273">
        <f>IFERROR(INDEX('Measure Level Detail'!$R:$R,MATCH($B344&amp;"_"&amp;X$3,'Measure Level Detail'!$C:$C,0)),0)</f>
        <v>0.9</v>
      </c>
      <c r="Y344" s="273">
        <f>IFERROR(INDEX('Measure Level Detail'!$R:$R,MATCH($B344&amp;"_"&amp;Y$3,'Measure Level Detail'!$C:$C,0)),0)</f>
        <v>0.9</v>
      </c>
      <c r="Z344" s="273">
        <f>IFERROR(INDEX('Measure Level Detail'!$R:$R,MATCH($B344&amp;"_"&amp;Z$3,'Measure Level Detail'!$C:$C,0)),0)</f>
        <v>0.9</v>
      </c>
      <c r="AA344" s="273">
        <f>IFERROR(INDEX('Measure Level Detail'!$R:$R,MATCH($B344&amp;"_"&amp;AA$3,'Measure Level Detail'!$C:$C,0)),0)</f>
        <v>0.9</v>
      </c>
      <c r="AB344" s="266">
        <f t="shared" si="207"/>
        <v>0</v>
      </c>
      <c r="AC344" s="266">
        <f t="shared" si="208"/>
        <v>0</v>
      </c>
      <c r="AD344" s="266">
        <f t="shared" si="209"/>
        <v>0</v>
      </c>
      <c r="AE344" s="266">
        <f t="shared" si="210"/>
        <v>0</v>
      </c>
      <c r="AF344" s="266">
        <f t="shared" si="211"/>
        <v>0</v>
      </c>
      <c r="AG344" s="274">
        <v>0.9</v>
      </c>
      <c r="AH344" s="274">
        <v>0.9</v>
      </c>
      <c r="AI344" s="710">
        <v>0.89</v>
      </c>
      <c r="AJ344" s="710">
        <v>0.89</v>
      </c>
      <c r="AK344" s="274">
        <f t="shared" si="212"/>
        <v>0.9</v>
      </c>
      <c r="AL344" s="274">
        <f t="shared" si="213"/>
        <v>0.9</v>
      </c>
      <c r="AM344" s="274">
        <f t="shared" si="214"/>
        <v>0.9</v>
      </c>
      <c r="AN344" s="274">
        <f t="shared" si="215"/>
        <v>0.9</v>
      </c>
      <c r="AO344" s="262"/>
      <c r="AP344" s="262"/>
      <c r="AQ344" s="267">
        <v>85.425000000000011</v>
      </c>
      <c r="AR344" s="262"/>
      <c r="AS344" s="266">
        <f t="shared" si="216"/>
        <v>0</v>
      </c>
      <c r="AT344" s="264">
        <f t="shared" si="217"/>
        <v>0</v>
      </c>
      <c r="AU344" s="262"/>
      <c r="AV344" s="262"/>
      <c r="AW344" s="265">
        <v>85.425000000000011</v>
      </c>
      <c r="AX344" s="164" t="s">
        <v>1469</v>
      </c>
      <c r="AY344" s="266">
        <v>0</v>
      </c>
      <c r="AZ344" s="266">
        <f t="shared" si="218"/>
        <v>0</v>
      </c>
      <c r="BA344" s="264">
        <f t="shared" si="219"/>
        <v>0</v>
      </c>
      <c r="BB344" s="262"/>
      <c r="BC344" s="262"/>
      <c r="BD344" s="265">
        <f ca="1">IFERROR(INDEX(Algorithms!$G:$G,MATCH($C344&amp;"_Therm Saved per Unit",Algorithms!$A:$A,0)),0)</f>
        <v>85.425000000000011</v>
      </c>
      <c r="BE344" s="164" t="str">
        <f ca="1">IFERROR(INDEX('v12 Revisions'!$P$29:$P$186, MATCH('Measure-Level Adj Gas'!$L344, 'v12 Revisions'!$D$29:$D$186,0)),"")</f>
        <v>n/a - FLH not in fossil fuel energy savings algorithm.</v>
      </c>
      <c r="BF344" s="266">
        <f t="shared" ca="1" si="220"/>
        <v>0</v>
      </c>
      <c r="BG344" s="264">
        <f t="shared" ca="1" si="221"/>
        <v>0</v>
      </c>
      <c r="BH344" s="262"/>
      <c r="BI344" s="262"/>
      <c r="BJ344" s="265">
        <f ca="1">IFERROR(INDEX(Algorithms!$G:$G,MATCH($C344&amp;"_Therm Saved per Unit",Algorithms!$A:$A,0)),0)</f>
        <v>85.425000000000011</v>
      </c>
      <c r="BK344" s="164"/>
      <c r="BL344" s="266">
        <f t="shared" ca="1" si="222"/>
        <v>0</v>
      </c>
      <c r="BM344" s="264">
        <f t="shared" ca="1" si="223"/>
        <v>0</v>
      </c>
      <c r="BN344" s="266">
        <f t="shared" si="224"/>
        <v>0</v>
      </c>
      <c r="BO344" s="266">
        <f t="shared" si="225"/>
        <v>0</v>
      </c>
      <c r="BP344" s="266">
        <f t="shared" ca="1" si="226"/>
        <v>0</v>
      </c>
      <c r="BQ344" s="266">
        <f t="shared" ca="1" si="227"/>
        <v>0</v>
      </c>
      <c r="BR344" s="268">
        <f t="shared" ca="1" si="228"/>
        <v>0</v>
      </c>
      <c r="BS344" s="262" t="s">
        <v>99</v>
      </c>
      <c r="BT344" s="277"/>
      <c r="BW344" s="266">
        <f t="shared" si="229"/>
        <v>0</v>
      </c>
      <c r="BX344" s="266">
        <f t="shared" si="230"/>
        <v>0</v>
      </c>
      <c r="BY344" s="266">
        <f t="shared" si="231"/>
        <v>0</v>
      </c>
      <c r="BZ344" s="266">
        <f t="shared" si="232"/>
        <v>0</v>
      </c>
      <c r="CA344" s="266">
        <f ca="1">N344*IFERROR(INDEX(Algorithms!$G:$G,MATCH($C344&amp;"_Therm Saved per Unit- MLA",Algorithms!$A:$A,0)),0)*X344</f>
        <v>0</v>
      </c>
      <c r="CB344" s="266">
        <f ca="1">O344*IFERROR(INDEX(Algorithms!$G:$G,MATCH($C344&amp;"_Therm Saved per Unit- MLA",Algorithms!$A:$A,0)),0)*Y344</f>
        <v>0</v>
      </c>
      <c r="CC344" s="266">
        <f ca="1">P344*IFERROR(INDEX(Algorithms!$G:$G,MATCH($C344&amp;"_Therm Saved per Unit- MLA",Algorithms!$A:$A,0)),0)*Z344</f>
        <v>0</v>
      </c>
      <c r="CD344" s="266">
        <f ca="1">Q344*IFERROR(INDEX(Algorithms!$G:$G,MATCH($C344&amp;"_Therm Saved per Unit- MLA",Algorithms!$A:$A,0)),0)*AA344</f>
        <v>0</v>
      </c>
      <c r="CE344" s="266">
        <f ca="1">IFERROR(INDEX(Algorithms!$G:$G,MATCH($C344&amp;"_Lifetime (years)",Algorithms!$A:$A,0)),0)</f>
        <v>11</v>
      </c>
      <c r="CF344" s="266">
        <f ca="1">IFERROR(INDEX(Algorithms!$G:$G,MATCH($C344&amp;"_Lifetime (years) - Remaining Years",Algorithms!$A:$A,0)),0)</f>
        <v>0</v>
      </c>
      <c r="CG344" s="266">
        <f t="shared" ca="1" si="233"/>
        <v>0</v>
      </c>
      <c r="CH344" s="266">
        <f t="shared" ca="1" si="234"/>
        <v>0</v>
      </c>
      <c r="CI344" s="266">
        <f t="shared" ca="1" si="235"/>
        <v>0</v>
      </c>
      <c r="CJ344" s="266">
        <f t="shared" ca="1" si="236"/>
        <v>0</v>
      </c>
      <c r="CK344" s="266">
        <f t="shared" si="237"/>
        <v>0</v>
      </c>
      <c r="CL344" s="266">
        <f t="shared" si="238"/>
        <v>0</v>
      </c>
      <c r="CM344" s="266">
        <f t="shared" ca="1" si="239"/>
        <v>0</v>
      </c>
      <c r="CN344" s="266">
        <f t="shared" ca="1" si="240"/>
        <v>0</v>
      </c>
      <c r="CO344" s="266">
        <f ca="1">N344*IFERROR(INDEX(Algorithms!$G:$G,MATCH($C344&amp;"_Therm Saved per Unit- MLA",Algorithms!$A:$A,0)),0)*X344</f>
        <v>0</v>
      </c>
      <c r="CP344" s="266">
        <f ca="1">O344*IFERROR(INDEX(Algorithms!$G:$G,MATCH($C344&amp;"_Therm Saved per Unit- MLA",Algorithms!$A:$A,0)),0)*Y344</f>
        <v>0</v>
      </c>
      <c r="CQ344" s="266">
        <f ca="1">P344*IFERROR(INDEX(Algorithms!$G:$G,MATCH($C344&amp;"_Therm Saved per Unit- MLA",Algorithms!$A:$A,0)),0)*Z344</f>
        <v>0</v>
      </c>
      <c r="CR344" s="266">
        <f ca="1">Q344*IFERROR(INDEX(Algorithms!$G:$G,MATCH($C344&amp;"_Therm Saved per Unit- MLA",Algorithms!$A:$A,0)),0)*AA344</f>
        <v>0</v>
      </c>
      <c r="CS344" s="266">
        <f ca="1">IFERROR(INDEX(Algorithms!$G:$G,MATCH($C344&amp;"_Lifetime (years)",Algorithms!$A:$A,0)),0)</f>
        <v>11</v>
      </c>
      <c r="CT344" s="266">
        <f ca="1">IFERROR(INDEX(Algorithms!$G:$G,MATCH($C344&amp;"_Lifetime (years) - Remaining Years",Algorithms!$A:$A,0)),0)</f>
        <v>0</v>
      </c>
      <c r="CU344" s="266">
        <f t="shared" ca="1" si="241"/>
        <v>0</v>
      </c>
      <c r="CV344" s="266">
        <f t="shared" ca="1" si="242"/>
        <v>0</v>
      </c>
      <c r="CW344" s="266">
        <f t="shared" ca="1" si="243"/>
        <v>0</v>
      </c>
      <c r="CX344" s="266">
        <f t="shared" ca="1" si="244"/>
        <v>0</v>
      </c>
    </row>
    <row r="345" spans="2:102" s="47" customFormat="1" ht="18" customHeight="1" x14ac:dyDescent="0.25">
      <c r="B345" t="str">
        <f t="shared" si="245"/>
        <v>NSG_Residential_Home Energy Rebate_Standard Rebate_Advanced Thermostat_Boiler (Replace Unknown) - Non DI_SF</v>
      </c>
      <c r="C345" s="47" t="str">
        <f t="shared" si="206"/>
        <v>Advanced Thermostat_Boiler (Replace Unknown) - Non DI_SF</v>
      </c>
      <c r="D345" s="270" t="s">
        <v>1787</v>
      </c>
      <c r="E345" s="270" t="s">
        <v>2</v>
      </c>
      <c r="F345" s="270" t="s">
        <v>1417</v>
      </c>
      <c r="G345" s="270" t="s">
        <v>1418</v>
      </c>
      <c r="H345" s="270" t="s">
        <v>7</v>
      </c>
      <c r="I345" s="270" t="s">
        <v>1412</v>
      </c>
      <c r="J345" s="270" t="s">
        <v>409</v>
      </c>
      <c r="K345" s="263">
        <v>1</v>
      </c>
      <c r="L345" s="263" t="str">
        <f ca="1">IFERROR(INDEX(Algorithms!J:J,MATCH($C345&amp;"_Therm Saved per Unit",Algorithms!$A:$A,0)),"n/a")</f>
        <v>5.3.16</v>
      </c>
      <c r="M345" s="263" t="str">
        <f>IFERROR(INDEX('Measure Level Detail'!$N:$N,MATCH($B345,'Measure Level Detail'!$B:$B,0)),0)</f>
        <v>each</v>
      </c>
      <c r="N345" s="271">
        <f>IFERROR(INDEX('Measure Level Detail'!$P:$P,MATCH($B345&amp;"_"&amp;N$3,'Measure Level Detail'!$C:$C,0)),0)</f>
        <v>0</v>
      </c>
      <c r="O345" s="271">
        <f>IFERROR(INDEX('Measure Level Detail'!$P:$P,MATCH($B345&amp;"_"&amp;O$3,'Measure Level Detail'!$C:$C,0)),0)</f>
        <v>0</v>
      </c>
      <c r="P345" s="271">
        <f>IFERROR(INDEX('Measure Level Detail'!$P:$P,MATCH($B345&amp;"_"&amp;P$3,'Measure Level Detail'!$C:$C,0)),0)</f>
        <v>0</v>
      </c>
      <c r="Q345" s="271">
        <f>IFERROR(INDEX('Measure Level Detail'!$P:$P,MATCH($B345&amp;"_"&amp;Q$3,'Measure Level Detail'!$C:$C,0)),0)</f>
        <v>0</v>
      </c>
      <c r="R345" s="263" t="str">
        <f ca="1">IFERROR(INDEX(Algorithms!K:K,MATCH($C345&amp;"_Therm Saved per Unit",Algorithms!$A:$A,0)),"n/a")</f>
        <v>RS-HVC-ADTH-V09-240101</v>
      </c>
      <c r="S345" s="262"/>
      <c r="T345" s="272">
        <v>114.93899999999999</v>
      </c>
      <c r="U345" s="272">
        <v>114.93899999999999</v>
      </c>
      <c r="V345" s="272">
        <v>114.93899999999999</v>
      </c>
      <c r="W345" s="272">
        <v>114.93899999999999</v>
      </c>
      <c r="X345" s="273">
        <f>IFERROR(INDEX('Measure Level Detail'!$R:$R,MATCH($B345&amp;"_"&amp;X$3,'Measure Level Detail'!$C:$C,0)),0)</f>
        <v>0.9</v>
      </c>
      <c r="Y345" s="273">
        <f>IFERROR(INDEX('Measure Level Detail'!$R:$R,MATCH($B345&amp;"_"&amp;Y$3,'Measure Level Detail'!$C:$C,0)),0)</f>
        <v>0.9</v>
      </c>
      <c r="Z345" s="273">
        <f>IFERROR(INDEX('Measure Level Detail'!$R:$R,MATCH($B345&amp;"_"&amp;Z$3,'Measure Level Detail'!$C:$C,0)),0)</f>
        <v>0.9</v>
      </c>
      <c r="AA345" s="273">
        <f>IFERROR(INDEX('Measure Level Detail'!$R:$R,MATCH($B345&amp;"_"&amp;AA$3,'Measure Level Detail'!$C:$C,0)),0)</f>
        <v>0.9</v>
      </c>
      <c r="AB345" s="266">
        <f t="shared" si="207"/>
        <v>0</v>
      </c>
      <c r="AC345" s="266">
        <f t="shared" si="208"/>
        <v>0</v>
      </c>
      <c r="AD345" s="266">
        <f t="shared" si="209"/>
        <v>0</v>
      </c>
      <c r="AE345" s="266">
        <f t="shared" si="210"/>
        <v>0</v>
      </c>
      <c r="AF345" s="266">
        <f t="shared" si="211"/>
        <v>0</v>
      </c>
      <c r="AG345" s="274">
        <v>0.9</v>
      </c>
      <c r="AH345" s="274">
        <v>0.9</v>
      </c>
      <c r="AI345" s="710">
        <v>0.89</v>
      </c>
      <c r="AJ345" s="710">
        <v>0.89</v>
      </c>
      <c r="AK345" s="274">
        <f t="shared" si="212"/>
        <v>0.9</v>
      </c>
      <c r="AL345" s="274">
        <f t="shared" si="213"/>
        <v>0.9</v>
      </c>
      <c r="AM345" s="274">
        <f t="shared" si="214"/>
        <v>0.9</v>
      </c>
      <c r="AN345" s="274">
        <f t="shared" si="215"/>
        <v>0.9</v>
      </c>
      <c r="AO345" s="262"/>
      <c r="AP345" s="262"/>
      <c r="AQ345" s="267">
        <v>126.22500000000001</v>
      </c>
      <c r="AR345" s="262"/>
      <c r="AS345" s="266">
        <f t="shared" si="216"/>
        <v>0</v>
      </c>
      <c r="AT345" s="264">
        <f t="shared" si="217"/>
        <v>0</v>
      </c>
      <c r="AU345" s="262"/>
      <c r="AV345" s="262"/>
      <c r="AW345" s="265">
        <v>126.22500000000001</v>
      </c>
      <c r="AX345" s="164" t="s">
        <v>1469</v>
      </c>
      <c r="AY345" s="266">
        <v>0</v>
      </c>
      <c r="AZ345" s="266">
        <f t="shared" si="218"/>
        <v>0</v>
      </c>
      <c r="BA345" s="264">
        <f t="shared" si="219"/>
        <v>0</v>
      </c>
      <c r="BB345" s="262"/>
      <c r="BC345" s="262"/>
      <c r="BD345" s="265">
        <f ca="1">IFERROR(INDEX(Algorithms!$G:$G,MATCH($C345&amp;"_Therm Saved per Unit",Algorithms!$A:$A,0)),0)</f>
        <v>126.22500000000001</v>
      </c>
      <c r="BE345" s="164" t="str">
        <f ca="1">IFERROR(INDEX('v12 Revisions'!$P$29:$P$186, MATCH('Measure-Level Adj Gas'!$L345, 'v12 Revisions'!$D$29:$D$186,0)),"")</f>
        <v>n/a - FLH not in fossil fuel energy savings algorithm.</v>
      </c>
      <c r="BF345" s="266">
        <f t="shared" ca="1" si="220"/>
        <v>0</v>
      </c>
      <c r="BG345" s="264">
        <f t="shared" ca="1" si="221"/>
        <v>0</v>
      </c>
      <c r="BH345" s="262"/>
      <c r="BI345" s="262"/>
      <c r="BJ345" s="265">
        <f ca="1">IFERROR(INDEX(Algorithms!$G:$G,MATCH($C345&amp;"_Therm Saved per Unit",Algorithms!$A:$A,0)),0)</f>
        <v>126.22500000000001</v>
      </c>
      <c r="BK345" s="164"/>
      <c r="BL345" s="266">
        <f t="shared" ca="1" si="222"/>
        <v>0</v>
      </c>
      <c r="BM345" s="264">
        <f t="shared" ca="1" si="223"/>
        <v>0</v>
      </c>
      <c r="BN345" s="266">
        <f t="shared" si="224"/>
        <v>0</v>
      </c>
      <c r="BO345" s="266">
        <f t="shared" si="225"/>
        <v>0</v>
      </c>
      <c r="BP345" s="266">
        <f t="shared" ca="1" si="226"/>
        <v>0</v>
      </c>
      <c r="BQ345" s="266">
        <f t="shared" ca="1" si="227"/>
        <v>0</v>
      </c>
      <c r="BR345" s="268">
        <f t="shared" ca="1" si="228"/>
        <v>0</v>
      </c>
      <c r="BS345" s="262" t="s">
        <v>99</v>
      </c>
      <c r="BT345" s="277"/>
      <c r="BW345" s="266">
        <f t="shared" si="229"/>
        <v>0</v>
      </c>
      <c r="BX345" s="266">
        <f t="shared" si="230"/>
        <v>0</v>
      </c>
      <c r="BY345" s="266">
        <f t="shared" si="231"/>
        <v>0</v>
      </c>
      <c r="BZ345" s="266">
        <f t="shared" si="232"/>
        <v>0</v>
      </c>
      <c r="CA345" s="266">
        <f ca="1">N345*IFERROR(INDEX(Algorithms!$G:$G,MATCH($C345&amp;"_Therm Saved per Unit- MLA",Algorithms!$A:$A,0)),0)*X345</f>
        <v>0</v>
      </c>
      <c r="CB345" s="266">
        <f ca="1">O345*IFERROR(INDEX(Algorithms!$G:$G,MATCH($C345&amp;"_Therm Saved per Unit- MLA",Algorithms!$A:$A,0)),0)*Y345</f>
        <v>0</v>
      </c>
      <c r="CC345" s="266">
        <f ca="1">P345*IFERROR(INDEX(Algorithms!$G:$G,MATCH($C345&amp;"_Therm Saved per Unit- MLA",Algorithms!$A:$A,0)),0)*Z345</f>
        <v>0</v>
      </c>
      <c r="CD345" s="266">
        <f ca="1">Q345*IFERROR(INDEX(Algorithms!$G:$G,MATCH($C345&amp;"_Therm Saved per Unit- MLA",Algorithms!$A:$A,0)),0)*AA345</f>
        <v>0</v>
      </c>
      <c r="CE345" s="266">
        <f ca="1">IFERROR(INDEX(Algorithms!$G:$G,MATCH($C345&amp;"_Lifetime (years)",Algorithms!$A:$A,0)),0)</f>
        <v>11</v>
      </c>
      <c r="CF345" s="266">
        <f ca="1">IFERROR(INDEX(Algorithms!$G:$G,MATCH($C345&amp;"_Lifetime (years) - Remaining Years",Algorithms!$A:$A,0)),0)</f>
        <v>0</v>
      </c>
      <c r="CG345" s="266">
        <f t="shared" ca="1" si="233"/>
        <v>0</v>
      </c>
      <c r="CH345" s="266">
        <f t="shared" ca="1" si="234"/>
        <v>0</v>
      </c>
      <c r="CI345" s="266">
        <f t="shared" ca="1" si="235"/>
        <v>0</v>
      </c>
      <c r="CJ345" s="266">
        <f t="shared" ca="1" si="236"/>
        <v>0</v>
      </c>
      <c r="CK345" s="266">
        <f t="shared" si="237"/>
        <v>0</v>
      </c>
      <c r="CL345" s="266">
        <f t="shared" si="238"/>
        <v>0</v>
      </c>
      <c r="CM345" s="266">
        <f t="shared" ca="1" si="239"/>
        <v>0</v>
      </c>
      <c r="CN345" s="266">
        <f t="shared" ca="1" si="240"/>
        <v>0</v>
      </c>
      <c r="CO345" s="266">
        <f ca="1">N345*IFERROR(INDEX(Algorithms!$G:$G,MATCH($C345&amp;"_Therm Saved per Unit- MLA",Algorithms!$A:$A,0)),0)*X345</f>
        <v>0</v>
      </c>
      <c r="CP345" s="266">
        <f ca="1">O345*IFERROR(INDEX(Algorithms!$G:$G,MATCH($C345&amp;"_Therm Saved per Unit- MLA",Algorithms!$A:$A,0)),0)*Y345</f>
        <v>0</v>
      </c>
      <c r="CQ345" s="266">
        <f ca="1">P345*IFERROR(INDEX(Algorithms!$G:$G,MATCH($C345&amp;"_Therm Saved per Unit- MLA",Algorithms!$A:$A,0)),0)*Z345</f>
        <v>0</v>
      </c>
      <c r="CR345" s="266">
        <f ca="1">Q345*IFERROR(INDEX(Algorithms!$G:$G,MATCH($C345&amp;"_Therm Saved per Unit- MLA",Algorithms!$A:$A,0)),0)*AA345</f>
        <v>0</v>
      </c>
      <c r="CS345" s="266">
        <f ca="1">IFERROR(INDEX(Algorithms!$G:$G,MATCH($C345&amp;"_Lifetime (years)",Algorithms!$A:$A,0)),0)</f>
        <v>11</v>
      </c>
      <c r="CT345" s="266">
        <f ca="1">IFERROR(INDEX(Algorithms!$G:$G,MATCH($C345&amp;"_Lifetime (years) - Remaining Years",Algorithms!$A:$A,0)),0)</f>
        <v>0</v>
      </c>
      <c r="CU345" s="266">
        <f t="shared" ca="1" si="241"/>
        <v>0</v>
      </c>
      <c r="CV345" s="266">
        <f t="shared" ca="1" si="242"/>
        <v>0</v>
      </c>
      <c r="CW345" s="266">
        <f t="shared" ca="1" si="243"/>
        <v>0</v>
      </c>
      <c r="CX345" s="266">
        <f t="shared" ca="1" si="244"/>
        <v>0</v>
      </c>
    </row>
    <row r="346" spans="2:102" s="47" customFormat="1" ht="18" customHeight="1" x14ac:dyDescent="0.25">
      <c r="B346" t="str">
        <f t="shared" si="245"/>
        <v>NSG_Residential_Home Energy Rebate_Standard Rebate_Water Heater_Storage 0.67 EF_SF</v>
      </c>
      <c r="C346" s="47" t="str">
        <f t="shared" si="206"/>
        <v>Water Heater_Storage 0.67 EF_SF</v>
      </c>
      <c r="D346" s="270" t="s">
        <v>1787</v>
      </c>
      <c r="E346" s="270" t="s">
        <v>2</v>
      </c>
      <c r="F346" s="270" t="s">
        <v>1417</v>
      </c>
      <c r="G346" s="270" t="s">
        <v>1418</v>
      </c>
      <c r="H346" s="270" t="s">
        <v>8</v>
      </c>
      <c r="I346" s="270" t="s">
        <v>879</v>
      </c>
      <c r="J346" s="270" t="s">
        <v>409</v>
      </c>
      <c r="K346" s="263">
        <v>1</v>
      </c>
      <c r="L346" s="263" t="str">
        <f ca="1">IFERROR(INDEX(Algorithms!J:J,MATCH($C346&amp;"_Therm Saved per Unit",Algorithms!$A:$A,0)),"n/a")</f>
        <v>5.4.2</v>
      </c>
      <c r="M346" s="263" t="str">
        <f>IFERROR(INDEX('Measure Level Detail'!$N:$N,MATCH($B346,'Measure Level Detail'!$B:$B,0)),0)</f>
        <v>each</v>
      </c>
      <c r="N346" s="271">
        <f>IFERROR(INDEX('Measure Level Detail'!$P:$P,MATCH($B346&amp;"_"&amp;N$3,'Measure Level Detail'!$C:$C,0)),0)</f>
        <v>0</v>
      </c>
      <c r="O346" s="271">
        <f>IFERROR(INDEX('Measure Level Detail'!$P:$P,MATCH($B346&amp;"_"&amp;O$3,'Measure Level Detail'!$C:$C,0)),0)</f>
        <v>0</v>
      </c>
      <c r="P346" s="271">
        <f>IFERROR(INDEX('Measure Level Detail'!$P:$P,MATCH($B346&amp;"_"&amp;P$3,'Measure Level Detail'!$C:$C,0)),0)</f>
        <v>0</v>
      </c>
      <c r="Q346" s="271">
        <f>IFERROR(INDEX('Measure Level Detail'!$P:$P,MATCH($B346&amp;"_"&amp;Q$3,'Measure Level Detail'!$C:$C,0)),0)</f>
        <v>0</v>
      </c>
      <c r="R346" s="263" t="str">
        <f ca="1">IFERROR(INDEX(Algorithms!K:K,MATCH($C346&amp;"_Therm Saved per Unit",Algorithms!$A:$A,0)),"n/a")</f>
        <v>RS-HWE-GWHT-V11-240101</v>
      </c>
      <c r="S346" s="262"/>
      <c r="T346" s="272">
        <v>22.454907874999904</v>
      </c>
      <c r="U346" s="272">
        <v>22.454907874999904</v>
      </c>
      <c r="V346" s="272">
        <v>22.454907874999904</v>
      </c>
      <c r="W346" s="272">
        <v>22.454907874999904</v>
      </c>
      <c r="X346" s="275">
        <v>0.74</v>
      </c>
      <c r="Y346" s="275">
        <v>0.74</v>
      </c>
      <c r="Z346" s="275">
        <v>0.74</v>
      </c>
      <c r="AA346" s="275">
        <v>0.74</v>
      </c>
      <c r="AB346" s="266">
        <f t="shared" si="207"/>
        <v>0</v>
      </c>
      <c r="AC346" s="266">
        <f t="shared" si="208"/>
        <v>0</v>
      </c>
      <c r="AD346" s="266">
        <f t="shared" si="209"/>
        <v>0</v>
      </c>
      <c r="AE346" s="266">
        <f t="shared" si="210"/>
        <v>0</v>
      </c>
      <c r="AF346" s="266">
        <f t="shared" si="211"/>
        <v>0</v>
      </c>
      <c r="AG346" s="274">
        <v>0.74</v>
      </c>
      <c r="AH346" s="274">
        <v>0.74</v>
      </c>
      <c r="AI346" s="274">
        <v>0.74</v>
      </c>
      <c r="AJ346" s="274">
        <v>0.74</v>
      </c>
      <c r="AK346" s="274">
        <f t="shared" si="212"/>
        <v>0.74</v>
      </c>
      <c r="AL346" s="274">
        <f t="shared" si="213"/>
        <v>0.74</v>
      </c>
      <c r="AM346" s="274">
        <f t="shared" si="214"/>
        <v>0.74</v>
      </c>
      <c r="AN346" s="274">
        <f t="shared" si="215"/>
        <v>0.74</v>
      </c>
      <c r="AO346" s="262"/>
      <c r="AP346" s="262"/>
      <c r="AQ346" s="267">
        <v>23.498586691725251</v>
      </c>
      <c r="AR346" s="262"/>
      <c r="AS346" s="266">
        <f t="shared" si="216"/>
        <v>0</v>
      </c>
      <c r="AT346" s="264">
        <f t="shared" si="217"/>
        <v>0</v>
      </c>
      <c r="AU346" s="262"/>
      <c r="AV346" s="262"/>
      <c r="AW346" s="265">
        <v>23.498586691725251</v>
      </c>
      <c r="AX346" s="164" t="s">
        <v>1469</v>
      </c>
      <c r="AY346" s="266">
        <v>0</v>
      </c>
      <c r="AZ346" s="266">
        <f t="shared" si="218"/>
        <v>0</v>
      </c>
      <c r="BA346" s="264">
        <f t="shared" si="219"/>
        <v>0</v>
      </c>
      <c r="BB346" s="262"/>
      <c r="BC346" s="262"/>
      <c r="BD346" s="265">
        <f ca="1">IFERROR(INDEX(Algorithms!$G:$G,MATCH($C346&amp;"_Therm Saved per Unit",Algorithms!$A:$A,0)),0)</f>
        <v>49.773717512006058</v>
      </c>
      <c r="BE346" s="164" t="str">
        <f ca="1">IFERROR(INDEX('v12 Revisions'!$P$29:$P$186, MATCH('Measure-Level Adj Gas'!$L346, 'v12 Revisions'!$D$29:$D$186,0)),"")</f>
        <v>Baseline and efficient water heater criteria updated ; Updated measure life to 13.3 years for gas storage water heaters and 18.3 for gas instantaneous water heaters ; Updated incremental cost based on water heater type.</v>
      </c>
      <c r="BF346" s="266">
        <f t="shared" ca="1" si="220"/>
        <v>0</v>
      </c>
      <c r="BG346" s="264">
        <f t="shared" ca="1" si="221"/>
        <v>0</v>
      </c>
      <c r="BH346" s="262"/>
      <c r="BI346" s="262"/>
      <c r="BJ346" s="265">
        <f ca="1">IFERROR(INDEX(Algorithms!$G:$G,MATCH($C346&amp;"_Therm Saved per Unit",Algorithms!$A:$A,0)),0)</f>
        <v>49.773717512006058</v>
      </c>
      <c r="BK346" s="164"/>
      <c r="BL346" s="266">
        <f t="shared" ca="1" si="222"/>
        <v>0</v>
      </c>
      <c r="BM346" s="264">
        <f t="shared" ca="1" si="223"/>
        <v>0</v>
      </c>
      <c r="BN346" s="266">
        <f t="shared" si="224"/>
        <v>0</v>
      </c>
      <c r="BO346" s="266">
        <f t="shared" si="225"/>
        <v>0</v>
      </c>
      <c r="BP346" s="266">
        <f t="shared" ca="1" si="226"/>
        <v>0</v>
      </c>
      <c r="BQ346" s="266">
        <f t="shared" ca="1" si="227"/>
        <v>0</v>
      </c>
      <c r="BR346" s="268">
        <f t="shared" ca="1" si="228"/>
        <v>0</v>
      </c>
      <c r="BS346" s="262" t="s">
        <v>99</v>
      </c>
      <c r="BT346" s="277"/>
      <c r="BW346" s="266">
        <f t="shared" si="229"/>
        <v>0</v>
      </c>
      <c r="BX346" s="266">
        <f t="shared" si="230"/>
        <v>0</v>
      </c>
      <c r="BY346" s="266">
        <f t="shared" si="231"/>
        <v>0</v>
      </c>
      <c r="BZ346" s="266">
        <f t="shared" si="232"/>
        <v>0</v>
      </c>
      <c r="CA346" s="266">
        <f ca="1">N346*IFERROR(INDEX(Algorithms!$G:$G,MATCH($C346&amp;"_Therm Saved per Unit- MLA",Algorithms!$A:$A,0)),0)*X346</f>
        <v>0</v>
      </c>
      <c r="CB346" s="266">
        <f ca="1">O346*IFERROR(INDEX(Algorithms!$G:$G,MATCH($C346&amp;"_Therm Saved per Unit- MLA",Algorithms!$A:$A,0)),0)*Y346</f>
        <v>0</v>
      </c>
      <c r="CC346" s="266">
        <f ca="1">P346*IFERROR(INDEX(Algorithms!$G:$G,MATCH($C346&amp;"_Therm Saved per Unit- MLA",Algorithms!$A:$A,0)),0)*Z346</f>
        <v>0</v>
      </c>
      <c r="CD346" s="266">
        <f ca="1">Q346*IFERROR(INDEX(Algorithms!$G:$G,MATCH($C346&amp;"_Therm Saved per Unit- MLA",Algorithms!$A:$A,0)),0)*AA346</f>
        <v>0</v>
      </c>
      <c r="CE346" s="266">
        <f ca="1">IFERROR(INDEX(Algorithms!$G:$G,MATCH($C346&amp;"_Lifetime (years)",Algorithms!$A:$A,0)),0)</f>
        <v>13.3</v>
      </c>
      <c r="CF346" s="266">
        <f ca="1">IFERROR(INDEX(Algorithms!$G:$G,MATCH($C346&amp;"_Lifetime (years) - Remaining Years",Algorithms!$A:$A,0)),0)</f>
        <v>0</v>
      </c>
      <c r="CG346" s="266">
        <f t="shared" ca="1" si="233"/>
        <v>0</v>
      </c>
      <c r="CH346" s="266">
        <f t="shared" ca="1" si="234"/>
        <v>0</v>
      </c>
      <c r="CI346" s="266">
        <f t="shared" ca="1" si="235"/>
        <v>0</v>
      </c>
      <c r="CJ346" s="266">
        <f t="shared" ca="1" si="236"/>
        <v>0</v>
      </c>
      <c r="CK346" s="266">
        <f t="shared" si="237"/>
        <v>0</v>
      </c>
      <c r="CL346" s="266">
        <f t="shared" si="238"/>
        <v>0</v>
      </c>
      <c r="CM346" s="266">
        <f t="shared" ca="1" si="239"/>
        <v>0</v>
      </c>
      <c r="CN346" s="266">
        <f t="shared" ca="1" si="240"/>
        <v>0</v>
      </c>
      <c r="CO346" s="266">
        <f ca="1">N346*IFERROR(INDEX(Algorithms!$G:$G,MATCH($C346&amp;"_Therm Saved per Unit- MLA",Algorithms!$A:$A,0)),0)*X346</f>
        <v>0</v>
      </c>
      <c r="CP346" s="266">
        <f ca="1">O346*IFERROR(INDEX(Algorithms!$G:$G,MATCH($C346&amp;"_Therm Saved per Unit- MLA",Algorithms!$A:$A,0)),0)*Y346</f>
        <v>0</v>
      </c>
      <c r="CQ346" s="266">
        <f ca="1">P346*IFERROR(INDEX(Algorithms!$G:$G,MATCH($C346&amp;"_Therm Saved per Unit- MLA",Algorithms!$A:$A,0)),0)*Z346</f>
        <v>0</v>
      </c>
      <c r="CR346" s="266">
        <f ca="1">Q346*IFERROR(INDEX(Algorithms!$G:$G,MATCH($C346&amp;"_Therm Saved per Unit- MLA",Algorithms!$A:$A,0)),0)*AA346</f>
        <v>0</v>
      </c>
      <c r="CS346" s="266">
        <f ca="1">IFERROR(INDEX(Algorithms!$G:$G,MATCH($C346&amp;"_Lifetime (years)",Algorithms!$A:$A,0)),0)</f>
        <v>13.3</v>
      </c>
      <c r="CT346" s="266">
        <f ca="1">IFERROR(INDEX(Algorithms!$G:$G,MATCH($C346&amp;"_Lifetime (years) - Remaining Years",Algorithms!$A:$A,0)),0)</f>
        <v>0</v>
      </c>
      <c r="CU346" s="266">
        <f t="shared" ca="1" si="241"/>
        <v>0</v>
      </c>
      <c r="CV346" s="266">
        <f t="shared" ca="1" si="242"/>
        <v>0</v>
      </c>
      <c r="CW346" s="266">
        <f t="shared" ca="1" si="243"/>
        <v>0</v>
      </c>
      <c r="CX346" s="266">
        <f t="shared" ca="1" si="244"/>
        <v>0</v>
      </c>
    </row>
    <row r="347" spans="2:102" s="47" customFormat="1" ht="18" customHeight="1" x14ac:dyDescent="0.25">
      <c r="B347" t="str">
        <f t="shared" si="245"/>
        <v>NSG_Residential_Home Energy Rebate_Standard Rebate_Thermostat - Reprogram_Furnace (P)_SF</v>
      </c>
      <c r="C347" s="47" t="str">
        <f t="shared" si="206"/>
        <v>Thermostat - Reprogram_Furnace (P)_SF</v>
      </c>
      <c r="D347" s="270" t="s">
        <v>1787</v>
      </c>
      <c r="E347" s="270" t="s">
        <v>2</v>
      </c>
      <c r="F347" s="270" t="s">
        <v>1417</v>
      </c>
      <c r="G347" s="270" t="s">
        <v>1418</v>
      </c>
      <c r="H347" s="270" t="s">
        <v>1055</v>
      </c>
      <c r="I347" s="270" t="s">
        <v>1042</v>
      </c>
      <c r="J347" s="270" t="s">
        <v>409</v>
      </c>
      <c r="K347" s="263">
        <v>1</v>
      </c>
      <c r="L347" s="263" t="str">
        <f ca="1">IFERROR(INDEX(Algorithms!J:J,MATCH($C347&amp;"_Therm Saved per Unit",Algorithms!$A:$A,0)),"n/a")</f>
        <v>5.3.11</v>
      </c>
      <c r="M347" s="263" t="str">
        <f>IFERROR(INDEX('Measure Level Detail'!$N:$N,MATCH($B347,'Measure Level Detail'!$B:$B,0)),0)</f>
        <v>each</v>
      </c>
      <c r="N347" s="271">
        <f>IFERROR(INDEX('Measure Level Detail'!$P:$P,MATCH($B347&amp;"_"&amp;N$3,'Measure Level Detail'!$C:$C,0)),0)</f>
        <v>0</v>
      </c>
      <c r="O347" s="271">
        <f>IFERROR(INDEX('Measure Level Detail'!$P:$P,MATCH($B347&amp;"_"&amp;O$3,'Measure Level Detail'!$C:$C,0)),0)</f>
        <v>0</v>
      </c>
      <c r="P347" s="271">
        <f>IFERROR(INDEX('Measure Level Detail'!$P:$P,MATCH($B347&amp;"_"&amp;P$3,'Measure Level Detail'!$C:$C,0)),0)</f>
        <v>0</v>
      </c>
      <c r="Q347" s="271">
        <f>IFERROR(INDEX('Measure Level Detail'!$P:$P,MATCH($B347&amp;"_"&amp;Q$3,'Measure Level Detail'!$C:$C,0)),0)</f>
        <v>0</v>
      </c>
      <c r="R347" s="263" t="str">
        <f ca="1">IFERROR(INDEX(Algorithms!K:K,MATCH($C347&amp;"_Therm Saved per Unit",Algorithms!$A:$A,0)),"n/a")</f>
        <v>RS-HVC-PROG-V08-220101</v>
      </c>
      <c r="S347" s="262"/>
      <c r="T347" s="272">
        <v>34.893600000000006</v>
      </c>
      <c r="U347" s="272">
        <v>34.893600000000006</v>
      </c>
      <c r="V347" s="272">
        <v>34.893600000000006</v>
      </c>
      <c r="W347" s="272">
        <v>34.893600000000006</v>
      </c>
      <c r="X347" s="275">
        <v>0.74</v>
      </c>
      <c r="Y347" s="275">
        <v>0.74</v>
      </c>
      <c r="Z347" s="275">
        <v>0.74</v>
      </c>
      <c r="AA347" s="275">
        <v>0.74</v>
      </c>
      <c r="AB347" s="266">
        <f t="shared" si="207"/>
        <v>0</v>
      </c>
      <c r="AC347" s="266">
        <f t="shared" si="208"/>
        <v>0</v>
      </c>
      <c r="AD347" s="266">
        <f t="shared" si="209"/>
        <v>0</v>
      </c>
      <c r="AE347" s="266">
        <f t="shared" si="210"/>
        <v>0</v>
      </c>
      <c r="AF347" s="266">
        <f t="shared" si="211"/>
        <v>0</v>
      </c>
      <c r="AG347" s="274">
        <v>0.74</v>
      </c>
      <c r="AH347" s="274">
        <v>0.74</v>
      </c>
      <c r="AI347" s="274">
        <v>0.74</v>
      </c>
      <c r="AJ347" s="274">
        <v>0.74</v>
      </c>
      <c r="AK347" s="274">
        <f t="shared" si="212"/>
        <v>0.74</v>
      </c>
      <c r="AL347" s="274">
        <f t="shared" si="213"/>
        <v>0.74</v>
      </c>
      <c r="AM347" s="274">
        <f t="shared" si="214"/>
        <v>0.74</v>
      </c>
      <c r="AN347" s="274">
        <f t="shared" si="215"/>
        <v>0.74</v>
      </c>
      <c r="AO347" s="262"/>
      <c r="AP347" s="262"/>
      <c r="AQ347" s="267">
        <v>34.893600000000006</v>
      </c>
      <c r="AR347" s="262"/>
      <c r="AS347" s="266">
        <f t="shared" si="216"/>
        <v>0</v>
      </c>
      <c r="AT347" s="264">
        <f t="shared" si="217"/>
        <v>0</v>
      </c>
      <c r="AU347" s="262"/>
      <c r="AV347" s="262"/>
      <c r="AW347" s="265">
        <v>34.893600000000006</v>
      </c>
      <c r="AX347" s="164" t="s">
        <v>1469</v>
      </c>
      <c r="AY347" s="266">
        <v>0</v>
      </c>
      <c r="AZ347" s="266">
        <f t="shared" si="218"/>
        <v>0</v>
      </c>
      <c r="BA347" s="264">
        <f t="shared" si="219"/>
        <v>0</v>
      </c>
      <c r="BB347" s="262"/>
      <c r="BC347" s="262"/>
      <c r="BD347" s="265">
        <f ca="1">IFERROR(INDEX(Algorithms!$G:$G,MATCH($C347&amp;"_Therm Saved per Unit",Algorithms!$A:$A,0)),0)</f>
        <v>34.893600000000006</v>
      </c>
      <c r="BE347" s="164" t="str">
        <f ca="1">IFERROR(INDEX('v12 Revisions'!$P$29:$P$186, MATCH('Measure-Level Adj Gas'!$L347, 'v12 Revisions'!$D$29:$D$186,0)),"")</f>
        <v/>
      </c>
      <c r="BF347" s="266">
        <f t="shared" ca="1" si="220"/>
        <v>0</v>
      </c>
      <c r="BG347" s="264">
        <f t="shared" ca="1" si="221"/>
        <v>0</v>
      </c>
      <c r="BH347" s="262"/>
      <c r="BI347" s="262"/>
      <c r="BJ347" s="265">
        <f ca="1">IFERROR(INDEX(Algorithms!$G:$G,MATCH($C347&amp;"_Therm Saved per Unit",Algorithms!$A:$A,0)),0)</f>
        <v>34.893600000000006</v>
      </c>
      <c r="BK347" s="164"/>
      <c r="BL347" s="266">
        <f t="shared" ca="1" si="222"/>
        <v>0</v>
      </c>
      <c r="BM347" s="264">
        <f t="shared" ca="1" si="223"/>
        <v>0</v>
      </c>
      <c r="BN347" s="266">
        <f t="shared" si="224"/>
        <v>0</v>
      </c>
      <c r="BO347" s="266">
        <f t="shared" si="225"/>
        <v>0</v>
      </c>
      <c r="BP347" s="266">
        <f t="shared" ca="1" si="226"/>
        <v>0</v>
      </c>
      <c r="BQ347" s="266">
        <f t="shared" ca="1" si="227"/>
        <v>0</v>
      </c>
      <c r="BR347" s="268">
        <f t="shared" ca="1" si="228"/>
        <v>0</v>
      </c>
      <c r="BS347" s="262" t="s">
        <v>99</v>
      </c>
      <c r="BT347" s="277"/>
      <c r="BW347" s="266">
        <f t="shared" si="229"/>
        <v>0</v>
      </c>
      <c r="BX347" s="266">
        <f t="shared" si="230"/>
        <v>0</v>
      </c>
      <c r="BY347" s="266">
        <f t="shared" si="231"/>
        <v>0</v>
      </c>
      <c r="BZ347" s="266">
        <f t="shared" si="232"/>
        <v>0</v>
      </c>
      <c r="CA347" s="266">
        <f ca="1">N347*IFERROR(INDEX(Algorithms!$G:$G,MATCH($C347&amp;"_Therm Saved per Unit- MLA",Algorithms!$A:$A,0)),0)*X347</f>
        <v>0</v>
      </c>
      <c r="CB347" s="266">
        <f ca="1">O347*IFERROR(INDEX(Algorithms!$G:$G,MATCH($C347&amp;"_Therm Saved per Unit- MLA",Algorithms!$A:$A,0)),0)*Y347</f>
        <v>0</v>
      </c>
      <c r="CC347" s="266">
        <f ca="1">P347*IFERROR(INDEX(Algorithms!$G:$G,MATCH($C347&amp;"_Therm Saved per Unit- MLA",Algorithms!$A:$A,0)),0)*Z347</f>
        <v>0</v>
      </c>
      <c r="CD347" s="266">
        <f ca="1">Q347*IFERROR(INDEX(Algorithms!$G:$G,MATCH($C347&amp;"_Therm Saved per Unit- MLA",Algorithms!$A:$A,0)),0)*AA347</f>
        <v>0</v>
      </c>
      <c r="CE347" s="266">
        <f ca="1">IFERROR(INDEX(Algorithms!$G:$G,MATCH($C347&amp;"_Lifetime (years)",Algorithms!$A:$A,0)),0)</f>
        <v>2</v>
      </c>
      <c r="CF347" s="266">
        <f ca="1">IFERROR(INDEX(Algorithms!$G:$G,MATCH($C347&amp;"_Lifetime (years) - Remaining Years",Algorithms!$A:$A,0)),0)</f>
        <v>0</v>
      </c>
      <c r="CG347" s="266">
        <f t="shared" ca="1" si="233"/>
        <v>0</v>
      </c>
      <c r="CH347" s="266">
        <f t="shared" ca="1" si="234"/>
        <v>0</v>
      </c>
      <c r="CI347" s="266">
        <f t="shared" ca="1" si="235"/>
        <v>0</v>
      </c>
      <c r="CJ347" s="266">
        <f t="shared" ca="1" si="236"/>
        <v>0</v>
      </c>
      <c r="CK347" s="266">
        <f t="shared" si="237"/>
        <v>0</v>
      </c>
      <c r="CL347" s="266">
        <f t="shared" si="238"/>
        <v>0</v>
      </c>
      <c r="CM347" s="266">
        <f t="shared" ca="1" si="239"/>
        <v>0</v>
      </c>
      <c r="CN347" s="266">
        <f t="shared" ca="1" si="240"/>
        <v>0</v>
      </c>
      <c r="CO347" s="266">
        <f ca="1">N347*IFERROR(INDEX(Algorithms!$G:$G,MATCH($C347&amp;"_Therm Saved per Unit- MLA",Algorithms!$A:$A,0)),0)*X347</f>
        <v>0</v>
      </c>
      <c r="CP347" s="266">
        <f ca="1">O347*IFERROR(INDEX(Algorithms!$G:$G,MATCH($C347&amp;"_Therm Saved per Unit- MLA",Algorithms!$A:$A,0)),0)*Y347</f>
        <v>0</v>
      </c>
      <c r="CQ347" s="266">
        <f ca="1">P347*IFERROR(INDEX(Algorithms!$G:$G,MATCH($C347&amp;"_Therm Saved per Unit- MLA",Algorithms!$A:$A,0)),0)*Z347</f>
        <v>0</v>
      </c>
      <c r="CR347" s="266">
        <f ca="1">Q347*IFERROR(INDEX(Algorithms!$G:$G,MATCH($C347&amp;"_Therm Saved per Unit- MLA",Algorithms!$A:$A,0)),0)*AA347</f>
        <v>0</v>
      </c>
      <c r="CS347" s="266">
        <f ca="1">IFERROR(INDEX(Algorithms!$G:$G,MATCH($C347&amp;"_Lifetime (years)",Algorithms!$A:$A,0)),0)</f>
        <v>2</v>
      </c>
      <c r="CT347" s="266">
        <f ca="1">IFERROR(INDEX(Algorithms!$G:$G,MATCH($C347&amp;"_Lifetime (years) - Remaining Years",Algorithms!$A:$A,0)),0)</f>
        <v>0</v>
      </c>
      <c r="CU347" s="266">
        <f t="shared" ca="1" si="241"/>
        <v>0</v>
      </c>
      <c r="CV347" s="266">
        <f t="shared" ca="1" si="242"/>
        <v>0</v>
      </c>
      <c r="CW347" s="266">
        <f t="shared" ca="1" si="243"/>
        <v>0</v>
      </c>
      <c r="CX347" s="266">
        <f t="shared" ca="1" si="244"/>
        <v>0</v>
      </c>
    </row>
    <row r="348" spans="2:102" s="47" customFormat="1" ht="18" customHeight="1" x14ac:dyDescent="0.25">
      <c r="B348" t="str">
        <f t="shared" si="245"/>
        <v>NSG_Residential_Home Energy Rebate_Standard Rebate_Thermostat - Reprogram_Boiler (P)_SF</v>
      </c>
      <c r="C348" s="47" t="str">
        <f t="shared" si="206"/>
        <v>Thermostat - Reprogram_Boiler (P)_SF</v>
      </c>
      <c r="D348" s="270" t="s">
        <v>1787</v>
      </c>
      <c r="E348" s="270" t="s">
        <v>2</v>
      </c>
      <c r="F348" s="270" t="s">
        <v>1417</v>
      </c>
      <c r="G348" s="270" t="s">
        <v>1418</v>
      </c>
      <c r="H348" s="270" t="s">
        <v>1055</v>
      </c>
      <c r="I348" s="270" t="s">
        <v>1046</v>
      </c>
      <c r="J348" s="270" t="s">
        <v>409</v>
      </c>
      <c r="K348" s="263">
        <v>1</v>
      </c>
      <c r="L348" s="263" t="str">
        <f ca="1">IFERROR(INDEX(Algorithms!J:J,MATCH($C348&amp;"_Therm Saved per Unit",Algorithms!$A:$A,0)),"n/a")</f>
        <v>5.3.11</v>
      </c>
      <c r="M348" s="263" t="str">
        <f>IFERROR(INDEX('Measure Level Detail'!$N:$N,MATCH($B348,'Measure Level Detail'!$B:$B,0)),0)</f>
        <v>each</v>
      </c>
      <c r="N348" s="271">
        <f>IFERROR(INDEX('Measure Level Detail'!$P:$P,MATCH($B348&amp;"_"&amp;N$3,'Measure Level Detail'!$C:$C,0)),0)</f>
        <v>0</v>
      </c>
      <c r="O348" s="271">
        <f>IFERROR(INDEX('Measure Level Detail'!$P:$P,MATCH($B348&amp;"_"&amp;O$3,'Measure Level Detail'!$C:$C,0)),0)</f>
        <v>0</v>
      </c>
      <c r="P348" s="271">
        <f>IFERROR(INDEX('Measure Level Detail'!$P:$P,MATCH($B348&amp;"_"&amp;P$3,'Measure Level Detail'!$C:$C,0)),0)</f>
        <v>0</v>
      </c>
      <c r="Q348" s="271">
        <f>IFERROR(INDEX('Measure Level Detail'!$P:$P,MATCH($B348&amp;"_"&amp;Q$3,'Measure Level Detail'!$C:$C,0)),0)</f>
        <v>0</v>
      </c>
      <c r="R348" s="263" t="str">
        <f ca="1">IFERROR(INDEX(Algorithms!K:K,MATCH($C348&amp;"_Therm Saved per Unit",Algorithms!$A:$A,0)),"n/a")</f>
        <v>RS-HVC-PROG-V08-220101</v>
      </c>
      <c r="S348" s="262"/>
      <c r="T348" s="272">
        <v>51.628640000000004</v>
      </c>
      <c r="U348" s="272">
        <v>51.628640000000004</v>
      </c>
      <c r="V348" s="272">
        <v>51.628640000000004</v>
      </c>
      <c r="W348" s="272">
        <v>51.628640000000004</v>
      </c>
      <c r="X348" s="275">
        <v>0.74</v>
      </c>
      <c r="Y348" s="275">
        <v>0.74</v>
      </c>
      <c r="Z348" s="275">
        <v>0.74</v>
      </c>
      <c r="AA348" s="275">
        <v>0.74</v>
      </c>
      <c r="AB348" s="266">
        <f t="shared" si="207"/>
        <v>0</v>
      </c>
      <c r="AC348" s="266">
        <f t="shared" si="208"/>
        <v>0</v>
      </c>
      <c r="AD348" s="266">
        <f t="shared" si="209"/>
        <v>0</v>
      </c>
      <c r="AE348" s="266">
        <f t="shared" si="210"/>
        <v>0</v>
      </c>
      <c r="AF348" s="266">
        <f t="shared" si="211"/>
        <v>0</v>
      </c>
      <c r="AG348" s="274">
        <v>0.74</v>
      </c>
      <c r="AH348" s="274">
        <v>0.74</v>
      </c>
      <c r="AI348" s="274">
        <v>0.74</v>
      </c>
      <c r="AJ348" s="274">
        <v>0.74</v>
      </c>
      <c r="AK348" s="274">
        <f t="shared" si="212"/>
        <v>0.74</v>
      </c>
      <c r="AL348" s="274">
        <f t="shared" si="213"/>
        <v>0.74</v>
      </c>
      <c r="AM348" s="274">
        <f t="shared" si="214"/>
        <v>0.74</v>
      </c>
      <c r="AN348" s="274">
        <f t="shared" si="215"/>
        <v>0.74</v>
      </c>
      <c r="AO348" s="262"/>
      <c r="AP348" s="262"/>
      <c r="AQ348" s="267">
        <v>51.628640000000004</v>
      </c>
      <c r="AR348" s="262"/>
      <c r="AS348" s="266">
        <f t="shared" si="216"/>
        <v>0</v>
      </c>
      <c r="AT348" s="264">
        <f t="shared" si="217"/>
        <v>0</v>
      </c>
      <c r="AU348" s="262"/>
      <c r="AV348" s="262"/>
      <c r="AW348" s="265">
        <v>51.628640000000004</v>
      </c>
      <c r="AX348" s="164" t="s">
        <v>1469</v>
      </c>
      <c r="AY348" s="266">
        <v>0</v>
      </c>
      <c r="AZ348" s="266">
        <f t="shared" si="218"/>
        <v>0</v>
      </c>
      <c r="BA348" s="264">
        <f t="shared" si="219"/>
        <v>0</v>
      </c>
      <c r="BB348" s="262"/>
      <c r="BC348" s="262"/>
      <c r="BD348" s="265">
        <f ca="1">IFERROR(INDEX(Algorithms!$G:$G,MATCH($C348&amp;"_Therm Saved per Unit",Algorithms!$A:$A,0)),0)</f>
        <v>51.628640000000004</v>
      </c>
      <c r="BE348" s="164" t="str">
        <f ca="1">IFERROR(INDEX('v12 Revisions'!$P$29:$P$186, MATCH('Measure-Level Adj Gas'!$L348, 'v12 Revisions'!$D$29:$D$186,0)),"")</f>
        <v/>
      </c>
      <c r="BF348" s="266">
        <f t="shared" ca="1" si="220"/>
        <v>0</v>
      </c>
      <c r="BG348" s="264">
        <f t="shared" ca="1" si="221"/>
        <v>0</v>
      </c>
      <c r="BH348" s="262"/>
      <c r="BI348" s="262"/>
      <c r="BJ348" s="265">
        <f ca="1">IFERROR(INDEX(Algorithms!$G:$G,MATCH($C348&amp;"_Therm Saved per Unit",Algorithms!$A:$A,0)),0)</f>
        <v>51.628640000000004</v>
      </c>
      <c r="BK348" s="164"/>
      <c r="BL348" s="266">
        <f t="shared" ca="1" si="222"/>
        <v>0</v>
      </c>
      <c r="BM348" s="264">
        <f t="shared" ca="1" si="223"/>
        <v>0</v>
      </c>
      <c r="BN348" s="266">
        <f t="shared" si="224"/>
        <v>0</v>
      </c>
      <c r="BO348" s="266">
        <f t="shared" si="225"/>
        <v>0</v>
      </c>
      <c r="BP348" s="266">
        <f t="shared" ca="1" si="226"/>
        <v>0</v>
      </c>
      <c r="BQ348" s="266">
        <f t="shared" ca="1" si="227"/>
        <v>0</v>
      </c>
      <c r="BR348" s="268">
        <f t="shared" ca="1" si="228"/>
        <v>0</v>
      </c>
      <c r="BS348" s="262" t="s">
        <v>99</v>
      </c>
      <c r="BT348" s="277"/>
      <c r="BW348" s="266">
        <f t="shared" si="229"/>
        <v>0</v>
      </c>
      <c r="BX348" s="266">
        <f t="shared" si="230"/>
        <v>0</v>
      </c>
      <c r="BY348" s="266">
        <f t="shared" si="231"/>
        <v>0</v>
      </c>
      <c r="BZ348" s="266">
        <f t="shared" si="232"/>
        <v>0</v>
      </c>
      <c r="CA348" s="266">
        <f ca="1">N348*IFERROR(INDEX(Algorithms!$G:$G,MATCH($C348&amp;"_Therm Saved per Unit- MLA",Algorithms!$A:$A,0)),0)*X348</f>
        <v>0</v>
      </c>
      <c r="CB348" s="266">
        <f ca="1">O348*IFERROR(INDEX(Algorithms!$G:$G,MATCH($C348&amp;"_Therm Saved per Unit- MLA",Algorithms!$A:$A,0)),0)*Y348</f>
        <v>0</v>
      </c>
      <c r="CC348" s="266">
        <f ca="1">P348*IFERROR(INDEX(Algorithms!$G:$G,MATCH($C348&amp;"_Therm Saved per Unit- MLA",Algorithms!$A:$A,0)),0)*Z348</f>
        <v>0</v>
      </c>
      <c r="CD348" s="266">
        <f ca="1">Q348*IFERROR(INDEX(Algorithms!$G:$G,MATCH($C348&amp;"_Therm Saved per Unit- MLA",Algorithms!$A:$A,0)),0)*AA348</f>
        <v>0</v>
      </c>
      <c r="CE348" s="266">
        <f ca="1">IFERROR(INDEX(Algorithms!$G:$G,MATCH($C348&amp;"_Lifetime (years)",Algorithms!$A:$A,0)),0)</f>
        <v>2</v>
      </c>
      <c r="CF348" s="266">
        <f ca="1">IFERROR(INDEX(Algorithms!$G:$G,MATCH($C348&amp;"_Lifetime (years) - Remaining Years",Algorithms!$A:$A,0)),0)</f>
        <v>0</v>
      </c>
      <c r="CG348" s="266">
        <f t="shared" ca="1" si="233"/>
        <v>0</v>
      </c>
      <c r="CH348" s="266">
        <f t="shared" ca="1" si="234"/>
        <v>0</v>
      </c>
      <c r="CI348" s="266">
        <f t="shared" ca="1" si="235"/>
        <v>0</v>
      </c>
      <c r="CJ348" s="266">
        <f t="shared" ca="1" si="236"/>
        <v>0</v>
      </c>
      <c r="CK348" s="266">
        <f t="shared" si="237"/>
        <v>0</v>
      </c>
      <c r="CL348" s="266">
        <f t="shared" si="238"/>
        <v>0</v>
      </c>
      <c r="CM348" s="266">
        <f t="shared" ca="1" si="239"/>
        <v>0</v>
      </c>
      <c r="CN348" s="266">
        <f t="shared" ca="1" si="240"/>
        <v>0</v>
      </c>
      <c r="CO348" s="266">
        <f ca="1">N348*IFERROR(INDEX(Algorithms!$G:$G,MATCH($C348&amp;"_Therm Saved per Unit- MLA",Algorithms!$A:$A,0)),0)*X348</f>
        <v>0</v>
      </c>
      <c r="CP348" s="266">
        <f ca="1">O348*IFERROR(INDEX(Algorithms!$G:$G,MATCH($C348&amp;"_Therm Saved per Unit- MLA",Algorithms!$A:$A,0)),0)*Y348</f>
        <v>0</v>
      </c>
      <c r="CQ348" s="266">
        <f ca="1">P348*IFERROR(INDEX(Algorithms!$G:$G,MATCH($C348&amp;"_Therm Saved per Unit- MLA",Algorithms!$A:$A,0)),0)*Z348</f>
        <v>0</v>
      </c>
      <c r="CR348" s="266">
        <f ca="1">Q348*IFERROR(INDEX(Algorithms!$G:$G,MATCH($C348&amp;"_Therm Saved per Unit- MLA",Algorithms!$A:$A,0)),0)*AA348</f>
        <v>0</v>
      </c>
      <c r="CS348" s="266">
        <f ca="1">IFERROR(INDEX(Algorithms!$G:$G,MATCH($C348&amp;"_Lifetime (years)",Algorithms!$A:$A,0)),0)</f>
        <v>2</v>
      </c>
      <c r="CT348" s="266">
        <f ca="1">IFERROR(INDEX(Algorithms!$G:$G,MATCH($C348&amp;"_Lifetime (years) - Remaining Years",Algorithms!$A:$A,0)),0)</f>
        <v>0</v>
      </c>
      <c r="CU348" s="266">
        <f t="shared" ca="1" si="241"/>
        <v>0</v>
      </c>
      <c r="CV348" s="266">
        <f t="shared" ca="1" si="242"/>
        <v>0</v>
      </c>
      <c r="CW348" s="266">
        <f t="shared" ca="1" si="243"/>
        <v>0</v>
      </c>
      <c r="CX348" s="266">
        <f t="shared" ca="1" si="244"/>
        <v>0</v>
      </c>
    </row>
    <row r="349" spans="2:102" s="47" customFormat="1" ht="18" customHeight="1" x14ac:dyDescent="0.25">
      <c r="B349" t="str">
        <f t="shared" si="245"/>
        <v>NSG_Residential_Multi-Family_Direct Install_Large Building Assessment Fee (35+ units)_0_MF</v>
      </c>
      <c r="C349" s="47" t="str">
        <f t="shared" si="206"/>
        <v>Large Building Assessment Fee (35+ units)_0_MF</v>
      </c>
      <c r="D349" s="270" t="s">
        <v>1787</v>
      </c>
      <c r="E349" s="270" t="s">
        <v>2</v>
      </c>
      <c r="F349" s="270" t="s">
        <v>1422</v>
      </c>
      <c r="G349" s="270" t="s">
        <v>4</v>
      </c>
      <c r="H349" s="270" t="s">
        <v>1424</v>
      </c>
      <c r="I349" s="270">
        <v>0</v>
      </c>
      <c r="J349" s="270" t="s">
        <v>553</v>
      </c>
      <c r="K349" s="263">
        <v>1</v>
      </c>
      <c r="L349" s="263" t="str">
        <f ca="1">IFERROR(INDEX(Algorithms!J:J,MATCH($C349&amp;"_Therm Saved per Unit",Algorithms!$A:$A,0)),"n/a")</f>
        <v>n/a</v>
      </c>
      <c r="M349" s="263" t="str">
        <f>IFERROR(INDEX('Measure Level Detail'!$N:$N,MATCH($B349,'Measure Level Detail'!$B:$B,0)),0)</f>
        <v>each</v>
      </c>
      <c r="N349" s="271">
        <f>IFERROR(INDEX('Measure Level Detail'!$P:$P,MATCH($B349&amp;"_"&amp;N$3,'Measure Level Detail'!$C:$C,0)),0)</f>
        <v>0</v>
      </c>
      <c r="O349" s="271">
        <f>IFERROR(INDEX('Measure Level Detail'!$P:$P,MATCH($B349&amp;"_"&amp;O$3,'Measure Level Detail'!$C:$C,0)),0)</f>
        <v>0</v>
      </c>
      <c r="P349" s="271">
        <f>IFERROR(INDEX('Measure Level Detail'!$P:$P,MATCH($B349&amp;"_"&amp;P$3,'Measure Level Detail'!$C:$C,0)),0)</f>
        <v>0</v>
      </c>
      <c r="Q349" s="271">
        <f>IFERROR(INDEX('Measure Level Detail'!$P:$P,MATCH($B349&amp;"_"&amp;Q$3,'Measure Level Detail'!$C:$C,0)),0)</f>
        <v>0</v>
      </c>
      <c r="R349" s="263" t="str">
        <f ca="1">IFERROR(INDEX(Algorithms!K:K,MATCH($C349&amp;"_Therm Saved per Unit",Algorithms!$A:$A,0)),"n/a")</f>
        <v>n/a</v>
      </c>
      <c r="S349" s="262"/>
      <c r="T349" s="272">
        <v>0</v>
      </c>
      <c r="U349" s="272">
        <v>0</v>
      </c>
      <c r="V349" s="272">
        <v>0</v>
      </c>
      <c r="W349" s="272">
        <v>0</v>
      </c>
      <c r="X349" s="273">
        <f>IFERROR(INDEX('Measure Level Detail'!$R:$R,MATCH($B349&amp;"_"&amp;X$3,'Measure Level Detail'!$C:$C,0)),0)</f>
        <v>0.96</v>
      </c>
      <c r="Y349" s="273">
        <f>IFERROR(INDEX('Measure Level Detail'!$R:$R,MATCH($B349&amp;"_"&amp;Y$3,'Measure Level Detail'!$C:$C,0)),0)</f>
        <v>0.96</v>
      </c>
      <c r="Z349" s="273">
        <f>IFERROR(INDEX('Measure Level Detail'!$R:$R,MATCH($B349&amp;"_"&amp;Z$3,'Measure Level Detail'!$C:$C,0)),0)</f>
        <v>0.96</v>
      </c>
      <c r="AA349" s="273">
        <f>IFERROR(INDEX('Measure Level Detail'!$R:$R,MATCH($B349&amp;"_"&amp;AA$3,'Measure Level Detail'!$C:$C,0)),0)</f>
        <v>0.96</v>
      </c>
      <c r="AB349" s="266">
        <f t="shared" si="207"/>
        <v>0</v>
      </c>
      <c r="AC349" s="266">
        <f t="shared" si="208"/>
        <v>0</v>
      </c>
      <c r="AD349" s="266">
        <f t="shared" si="209"/>
        <v>0</v>
      </c>
      <c r="AE349" s="266">
        <f t="shared" si="210"/>
        <v>0</v>
      </c>
      <c r="AF349" s="266">
        <f t="shared" si="211"/>
        <v>0</v>
      </c>
      <c r="AG349" s="274">
        <v>0.96</v>
      </c>
      <c r="AH349" s="274">
        <v>0.96</v>
      </c>
      <c r="AI349" s="274">
        <v>0.96</v>
      </c>
      <c r="AJ349" s="274">
        <v>0.96</v>
      </c>
      <c r="AK349" s="274">
        <f t="shared" si="212"/>
        <v>0.96</v>
      </c>
      <c r="AL349" s="274">
        <f t="shared" si="213"/>
        <v>0.96</v>
      </c>
      <c r="AM349" s="274">
        <f t="shared" si="214"/>
        <v>0.96</v>
      </c>
      <c r="AN349" s="274">
        <f t="shared" si="215"/>
        <v>0.96</v>
      </c>
      <c r="AO349" s="262"/>
      <c r="AP349" s="262"/>
      <c r="AQ349" s="267">
        <v>0</v>
      </c>
      <c r="AR349" s="262"/>
      <c r="AS349" s="266">
        <f t="shared" si="216"/>
        <v>0</v>
      </c>
      <c r="AT349" s="264">
        <f t="shared" si="217"/>
        <v>0</v>
      </c>
      <c r="AU349" s="262"/>
      <c r="AV349" s="262"/>
      <c r="AW349" s="265">
        <v>0</v>
      </c>
      <c r="AX349" s="164" t="s">
        <v>1469</v>
      </c>
      <c r="AY349" s="266">
        <v>0</v>
      </c>
      <c r="AZ349" s="266">
        <f t="shared" si="218"/>
        <v>0</v>
      </c>
      <c r="BA349" s="264">
        <f t="shared" si="219"/>
        <v>0</v>
      </c>
      <c r="BB349" s="262"/>
      <c r="BC349" s="262"/>
      <c r="BD349" s="265">
        <f ca="1">IFERROR(INDEX(Algorithms!$G:$G,MATCH($C349&amp;"_Therm Saved per Unit",Algorithms!$A:$A,0)),0)</f>
        <v>0</v>
      </c>
      <c r="BE349" s="164" t="str">
        <f ca="1">IFERROR(INDEX('v12 Revisions'!$P$29:$P$186, MATCH('Measure-Level Adj Gas'!$L349, 'v12 Revisions'!$D$29:$D$186,0)),"")</f>
        <v/>
      </c>
      <c r="BF349" s="266">
        <f t="shared" ca="1" si="220"/>
        <v>0</v>
      </c>
      <c r="BG349" s="264">
        <f t="shared" ca="1" si="221"/>
        <v>0</v>
      </c>
      <c r="BH349" s="262"/>
      <c r="BI349" s="262"/>
      <c r="BJ349" s="265">
        <f ca="1">IFERROR(INDEX(Algorithms!$G:$G,MATCH($C349&amp;"_Therm Saved per Unit",Algorithms!$A:$A,0)),0)</f>
        <v>0</v>
      </c>
      <c r="BK349" s="164"/>
      <c r="BL349" s="266">
        <f t="shared" ca="1" si="222"/>
        <v>0</v>
      </c>
      <c r="BM349" s="264">
        <f t="shared" ca="1" si="223"/>
        <v>0</v>
      </c>
      <c r="BN349" s="266">
        <f t="shared" si="224"/>
        <v>0</v>
      </c>
      <c r="BO349" s="266">
        <f t="shared" si="225"/>
        <v>0</v>
      </c>
      <c r="BP349" s="266">
        <f t="shared" ca="1" si="226"/>
        <v>0</v>
      </c>
      <c r="BQ349" s="266">
        <f t="shared" ca="1" si="227"/>
        <v>0</v>
      </c>
      <c r="BR349" s="268">
        <f t="shared" ca="1" si="228"/>
        <v>0</v>
      </c>
      <c r="BS349" s="262" t="s">
        <v>99</v>
      </c>
      <c r="BT349" s="277"/>
      <c r="BW349" s="266">
        <f t="shared" si="229"/>
        <v>0</v>
      </c>
      <c r="BX349" s="266">
        <f t="shared" si="230"/>
        <v>0</v>
      </c>
      <c r="BY349" s="266">
        <f t="shared" si="231"/>
        <v>0</v>
      </c>
      <c r="BZ349" s="266">
        <f t="shared" si="232"/>
        <v>0</v>
      </c>
      <c r="CA349" s="266">
        <f ca="1">N349*IFERROR(INDEX(Algorithms!$G:$G,MATCH($C349&amp;"_Therm Saved per Unit- MLA",Algorithms!$A:$A,0)),0)*X349</f>
        <v>0</v>
      </c>
      <c r="CB349" s="266">
        <f ca="1">O349*IFERROR(INDEX(Algorithms!$G:$G,MATCH($C349&amp;"_Therm Saved per Unit- MLA",Algorithms!$A:$A,0)),0)*Y349</f>
        <v>0</v>
      </c>
      <c r="CC349" s="266">
        <f ca="1">P349*IFERROR(INDEX(Algorithms!$G:$G,MATCH($C349&amp;"_Therm Saved per Unit- MLA",Algorithms!$A:$A,0)),0)*Z349</f>
        <v>0</v>
      </c>
      <c r="CD349" s="266">
        <f ca="1">Q349*IFERROR(INDEX(Algorithms!$G:$G,MATCH($C349&amp;"_Therm Saved per Unit- MLA",Algorithms!$A:$A,0)),0)*AA349</f>
        <v>0</v>
      </c>
      <c r="CE349" s="266">
        <f ca="1">IFERROR(INDEX(Algorithms!$G:$G,MATCH($C349&amp;"_Lifetime (years)",Algorithms!$A:$A,0)),0)</f>
        <v>0</v>
      </c>
      <c r="CF349" s="266">
        <f ca="1">IFERROR(INDEX(Algorithms!$G:$G,MATCH($C349&amp;"_Lifetime (years) - Remaining Years",Algorithms!$A:$A,0)),0)</f>
        <v>0</v>
      </c>
      <c r="CG349" s="266">
        <f t="shared" ca="1" si="233"/>
        <v>0</v>
      </c>
      <c r="CH349" s="266">
        <f t="shared" ca="1" si="234"/>
        <v>0</v>
      </c>
      <c r="CI349" s="266">
        <f t="shared" ca="1" si="235"/>
        <v>0</v>
      </c>
      <c r="CJ349" s="266">
        <f t="shared" ca="1" si="236"/>
        <v>0</v>
      </c>
      <c r="CK349" s="266">
        <f t="shared" si="237"/>
        <v>0</v>
      </c>
      <c r="CL349" s="266">
        <f t="shared" si="238"/>
        <v>0</v>
      </c>
      <c r="CM349" s="266">
        <f t="shared" ca="1" si="239"/>
        <v>0</v>
      </c>
      <c r="CN349" s="266">
        <f t="shared" ca="1" si="240"/>
        <v>0</v>
      </c>
      <c r="CO349" s="266">
        <f ca="1">N349*IFERROR(INDEX(Algorithms!$G:$G,MATCH($C349&amp;"_Therm Saved per Unit- MLA",Algorithms!$A:$A,0)),0)*X349</f>
        <v>0</v>
      </c>
      <c r="CP349" s="266">
        <f ca="1">O349*IFERROR(INDEX(Algorithms!$G:$G,MATCH($C349&amp;"_Therm Saved per Unit- MLA",Algorithms!$A:$A,0)),0)*Y349</f>
        <v>0</v>
      </c>
      <c r="CQ349" s="266">
        <f ca="1">P349*IFERROR(INDEX(Algorithms!$G:$G,MATCH($C349&amp;"_Therm Saved per Unit- MLA",Algorithms!$A:$A,0)),0)*Z349</f>
        <v>0</v>
      </c>
      <c r="CR349" s="266">
        <f ca="1">Q349*IFERROR(INDEX(Algorithms!$G:$G,MATCH($C349&amp;"_Therm Saved per Unit- MLA",Algorithms!$A:$A,0)),0)*AA349</f>
        <v>0</v>
      </c>
      <c r="CS349" s="266">
        <f ca="1">IFERROR(INDEX(Algorithms!$G:$G,MATCH($C349&amp;"_Lifetime (years)",Algorithms!$A:$A,0)),0)</f>
        <v>0</v>
      </c>
      <c r="CT349" s="266">
        <f ca="1">IFERROR(INDEX(Algorithms!$G:$G,MATCH($C349&amp;"_Lifetime (years) - Remaining Years",Algorithms!$A:$A,0)),0)</f>
        <v>0</v>
      </c>
      <c r="CU349" s="266">
        <f t="shared" ca="1" si="241"/>
        <v>0</v>
      </c>
      <c r="CV349" s="266">
        <f t="shared" ca="1" si="242"/>
        <v>0</v>
      </c>
      <c r="CW349" s="266">
        <f t="shared" ca="1" si="243"/>
        <v>0</v>
      </c>
      <c r="CX349" s="266">
        <f t="shared" ca="1" si="244"/>
        <v>0</v>
      </c>
    </row>
    <row r="350" spans="2:102" s="47" customFormat="1" ht="18" customHeight="1" x14ac:dyDescent="0.25">
      <c r="B350" t="str">
        <f t="shared" si="245"/>
        <v>NSG_Residential_Multi-Family_Direct Install_Small Building Assessment Fee (3-34 units)_0_MF</v>
      </c>
      <c r="C350" s="47" t="str">
        <f t="shared" si="206"/>
        <v>Small Building Assessment Fee (3-34 units)_0_MF</v>
      </c>
      <c r="D350" s="270" t="s">
        <v>1787</v>
      </c>
      <c r="E350" s="270" t="s">
        <v>2</v>
      </c>
      <c r="F350" s="270" t="s">
        <v>1422</v>
      </c>
      <c r="G350" s="270" t="s">
        <v>4</v>
      </c>
      <c r="H350" s="270" t="s">
        <v>1425</v>
      </c>
      <c r="I350" s="270">
        <v>0</v>
      </c>
      <c r="J350" s="270" t="s">
        <v>553</v>
      </c>
      <c r="K350" s="263">
        <v>1</v>
      </c>
      <c r="L350" s="263" t="str">
        <f ca="1">IFERROR(INDEX(Algorithms!J:J,MATCH($C350&amp;"_Therm Saved per Unit",Algorithms!$A:$A,0)),"n/a")</f>
        <v>n/a</v>
      </c>
      <c r="M350" s="263" t="str">
        <f>IFERROR(INDEX('Measure Level Detail'!$N:$N,MATCH($B350,'Measure Level Detail'!$B:$B,0)),0)</f>
        <v>each</v>
      </c>
      <c r="N350" s="271">
        <f>IFERROR(INDEX('Measure Level Detail'!$P:$P,MATCH($B350&amp;"_"&amp;N$3,'Measure Level Detail'!$C:$C,0)),0)</f>
        <v>0</v>
      </c>
      <c r="O350" s="271">
        <f>IFERROR(INDEX('Measure Level Detail'!$P:$P,MATCH($B350&amp;"_"&amp;O$3,'Measure Level Detail'!$C:$C,0)),0)</f>
        <v>0</v>
      </c>
      <c r="P350" s="271">
        <f>IFERROR(INDEX('Measure Level Detail'!$P:$P,MATCH($B350&amp;"_"&amp;P$3,'Measure Level Detail'!$C:$C,0)),0)</f>
        <v>0</v>
      </c>
      <c r="Q350" s="271">
        <f>IFERROR(INDEX('Measure Level Detail'!$P:$P,MATCH($B350&amp;"_"&amp;Q$3,'Measure Level Detail'!$C:$C,0)),0)</f>
        <v>0</v>
      </c>
      <c r="R350" s="263" t="str">
        <f ca="1">IFERROR(INDEX(Algorithms!K:K,MATCH($C350&amp;"_Therm Saved per Unit",Algorithms!$A:$A,0)),"n/a")</f>
        <v>n/a</v>
      </c>
      <c r="S350" s="262"/>
      <c r="T350" s="272">
        <v>0</v>
      </c>
      <c r="U350" s="272">
        <v>0</v>
      </c>
      <c r="V350" s="272">
        <v>0</v>
      </c>
      <c r="W350" s="272">
        <v>0</v>
      </c>
      <c r="X350" s="273">
        <f>IFERROR(INDEX('Measure Level Detail'!$R:$R,MATCH($B350&amp;"_"&amp;X$3,'Measure Level Detail'!$C:$C,0)),0)</f>
        <v>0.96</v>
      </c>
      <c r="Y350" s="273">
        <f>IFERROR(INDEX('Measure Level Detail'!$R:$R,MATCH($B350&amp;"_"&amp;Y$3,'Measure Level Detail'!$C:$C,0)),0)</f>
        <v>0.96</v>
      </c>
      <c r="Z350" s="273">
        <f>IFERROR(INDEX('Measure Level Detail'!$R:$R,MATCH($B350&amp;"_"&amp;Z$3,'Measure Level Detail'!$C:$C,0)),0)</f>
        <v>0.96</v>
      </c>
      <c r="AA350" s="273">
        <f>IFERROR(INDEX('Measure Level Detail'!$R:$R,MATCH($B350&amp;"_"&amp;AA$3,'Measure Level Detail'!$C:$C,0)),0)</f>
        <v>0.96</v>
      </c>
      <c r="AB350" s="266">
        <f t="shared" si="207"/>
        <v>0</v>
      </c>
      <c r="AC350" s="266">
        <f t="shared" si="208"/>
        <v>0</v>
      </c>
      <c r="AD350" s="266">
        <f t="shared" si="209"/>
        <v>0</v>
      </c>
      <c r="AE350" s="266">
        <f t="shared" si="210"/>
        <v>0</v>
      </c>
      <c r="AF350" s="266">
        <f t="shared" si="211"/>
        <v>0</v>
      </c>
      <c r="AG350" s="274">
        <v>0.96</v>
      </c>
      <c r="AH350" s="274">
        <v>0.96</v>
      </c>
      <c r="AI350" s="274">
        <v>0.96</v>
      </c>
      <c r="AJ350" s="274">
        <v>0.96</v>
      </c>
      <c r="AK350" s="274">
        <f t="shared" si="212"/>
        <v>0.96</v>
      </c>
      <c r="AL350" s="274">
        <f t="shared" si="213"/>
        <v>0.96</v>
      </c>
      <c r="AM350" s="274">
        <f t="shared" si="214"/>
        <v>0.96</v>
      </c>
      <c r="AN350" s="274">
        <f t="shared" si="215"/>
        <v>0.96</v>
      </c>
      <c r="AO350" s="262"/>
      <c r="AP350" s="262"/>
      <c r="AQ350" s="267">
        <v>0</v>
      </c>
      <c r="AR350" s="262"/>
      <c r="AS350" s="266">
        <f t="shared" si="216"/>
        <v>0</v>
      </c>
      <c r="AT350" s="264">
        <f t="shared" si="217"/>
        <v>0</v>
      </c>
      <c r="AU350" s="262"/>
      <c r="AV350" s="262"/>
      <c r="AW350" s="265">
        <v>0</v>
      </c>
      <c r="AX350" s="164" t="s">
        <v>1469</v>
      </c>
      <c r="AY350" s="266">
        <v>0</v>
      </c>
      <c r="AZ350" s="266">
        <f t="shared" si="218"/>
        <v>0</v>
      </c>
      <c r="BA350" s="264">
        <f t="shared" si="219"/>
        <v>0</v>
      </c>
      <c r="BB350" s="262"/>
      <c r="BC350" s="262"/>
      <c r="BD350" s="265">
        <f ca="1">IFERROR(INDEX(Algorithms!$G:$G,MATCH($C350&amp;"_Therm Saved per Unit",Algorithms!$A:$A,0)),0)</f>
        <v>0</v>
      </c>
      <c r="BE350" s="164" t="str">
        <f ca="1">IFERROR(INDEX('v12 Revisions'!$P$29:$P$186, MATCH('Measure-Level Adj Gas'!$L350, 'v12 Revisions'!$D$29:$D$186,0)),"")</f>
        <v/>
      </c>
      <c r="BF350" s="266">
        <f t="shared" ca="1" si="220"/>
        <v>0</v>
      </c>
      <c r="BG350" s="264">
        <f t="shared" ca="1" si="221"/>
        <v>0</v>
      </c>
      <c r="BH350" s="262"/>
      <c r="BI350" s="262"/>
      <c r="BJ350" s="265">
        <f ca="1">IFERROR(INDEX(Algorithms!$G:$G,MATCH($C350&amp;"_Therm Saved per Unit",Algorithms!$A:$A,0)),0)</f>
        <v>0</v>
      </c>
      <c r="BK350" s="164"/>
      <c r="BL350" s="266">
        <f t="shared" ca="1" si="222"/>
        <v>0</v>
      </c>
      <c r="BM350" s="264">
        <f t="shared" ca="1" si="223"/>
        <v>0</v>
      </c>
      <c r="BN350" s="266">
        <f t="shared" si="224"/>
        <v>0</v>
      </c>
      <c r="BO350" s="266">
        <f t="shared" si="225"/>
        <v>0</v>
      </c>
      <c r="BP350" s="266">
        <f t="shared" ca="1" si="226"/>
        <v>0</v>
      </c>
      <c r="BQ350" s="266">
        <f t="shared" ca="1" si="227"/>
        <v>0</v>
      </c>
      <c r="BR350" s="268">
        <f t="shared" ca="1" si="228"/>
        <v>0</v>
      </c>
      <c r="BS350" s="262" t="s">
        <v>99</v>
      </c>
      <c r="BT350" s="277"/>
      <c r="BW350" s="266">
        <f t="shared" si="229"/>
        <v>0</v>
      </c>
      <c r="BX350" s="266">
        <f t="shared" si="230"/>
        <v>0</v>
      </c>
      <c r="BY350" s="266">
        <f t="shared" si="231"/>
        <v>0</v>
      </c>
      <c r="BZ350" s="266">
        <f t="shared" si="232"/>
        <v>0</v>
      </c>
      <c r="CA350" s="266">
        <f ca="1">N350*IFERROR(INDEX(Algorithms!$G:$G,MATCH($C350&amp;"_Therm Saved per Unit- MLA",Algorithms!$A:$A,0)),0)*X350</f>
        <v>0</v>
      </c>
      <c r="CB350" s="266">
        <f ca="1">O350*IFERROR(INDEX(Algorithms!$G:$G,MATCH($C350&amp;"_Therm Saved per Unit- MLA",Algorithms!$A:$A,0)),0)*Y350</f>
        <v>0</v>
      </c>
      <c r="CC350" s="266">
        <f ca="1">P350*IFERROR(INDEX(Algorithms!$G:$G,MATCH($C350&amp;"_Therm Saved per Unit- MLA",Algorithms!$A:$A,0)),0)*Z350</f>
        <v>0</v>
      </c>
      <c r="CD350" s="266">
        <f ca="1">Q350*IFERROR(INDEX(Algorithms!$G:$G,MATCH($C350&amp;"_Therm Saved per Unit- MLA",Algorithms!$A:$A,0)),0)*AA350</f>
        <v>0</v>
      </c>
      <c r="CE350" s="266">
        <f ca="1">IFERROR(INDEX(Algorithms!$G:$G,MATCH($C350&amp;"_Lifetime (years)",Algorithms!$A:$A,0)),0)</f>
        <v>0</v>
      </c>
      <c r="CF350" s="266">
        <f ca="1">IFERROR(INDEX(Algorithms!$G:$G,MATCH($C350&amp;"_Lifetime (years) - Remaining Years",Algorithms!$A:$A,0)),0)</f>
        <v>0</v>
      </c>
      <c r="CG350" s="266">
        <f t="shared" ca="1" si="233"/>
        <v>0</v>
      </c>
      <c r="CH350" s="266">
        <f t="shared" ca="1" si="234"/>
        <v>0</v>
      </c>
      <c r="CI350" s="266">
        <f t="shared" ca="1" si="235"/>
        <v>0</v>
      </c>
      <c r="CJ350" s="266">
        <f t="shared" ca="1" si="236"/>
        <v>0</v>
      </c>
      <c r="CK350" s="266">
        <f t="shared" si="237"/>
        <v>0</v>
      </c>
      <c r="CL350" s="266">
        <f t="shared" si="238"/>
        <v>0</v>
      </c>
      <c r="CM350" s="266">
        <f t="shared" ca="1" si="239"/>
        <v>0</v>
      </c>
      <c r="CN350" s="266">
        <f t="shared" ca="1" si="240"/>
        <v>0</v>
      </c>
      <c r="CO350" s="266">
        <f ca="1">N350*IFERROR(INDEX(Algorithms!$G:$G,MATCH($C350&amp;"_Therm Saved per Unit- MLA",Algorithms!$A:$A,0)),0)*X350</f>
        <v>0</v>
      </c>
      <c r="CP350" s="266">
        <f ca="1">O350*IFERROR(INDEX(Algorithms!$G:$G,MATCH($C350&amp;"_Therm Saved per Unit- MLA",Algorithms!$A:$A,0)),0)*Y350</f>
        <v>0</v>
      </c>
      <c r="CQ350" s="266">
        <f ca="1">P350*IFERROR(INDEX(Algorithms!$G:$G,MATCH($C350&amp;"_Therm Saved per Unit- MLA",Algorithms!$A:$A,0)),0)*Z350</f>
        <v>0</v>
      </c>
      <c r="CR350" s="266">
        <f ca="1">Q350*IFERROR(INDEX(Algorithms!$G:$G,MATCH($C350&amp;"_Therm Saved per Unit- MLA",Algorithms!$A:$A,0)),0)*AA350</f>
        <v>0</v>
      </c>
      <c r="CS350" s="266">
        <f ca="1">IFERROR(INDEX(Algorithms!$G:$G,MATCH($C350&amp;"_Lifetime (years)",Algorithms!$A:$A,0)),0)</f>
        <v>0</v>
      </c>
      <c r="CT350" s="266">
        <f ca="1">IFERROR(INDEX(Algorithms!$G:$G,MATCH($C350&amp;"_Lifetime (years) - Remaining Years",Algorithms!$A:$A,0)),0)</f>
        <v>0</v>
      </c>
      <c r="CU350" s="266">
        <f t="shared" ca="1" si="241"/>
        <v>0</v>
      </c>
      <c r="CV350" s="266">
        <f t="shared" ca="1" si="242"/>
        <v>0</v>
      </c>
      <c r="CW350" s="266">
        <f t="shared" ca="1" si="243"/>
        <v>0</v>
      </c>
      <c r="CX350" s="266">
        <f t="shared" ca="1" si="244"/>
        <v>0</v>
      </c>
    </row>
    <row r="351" spans="2:102" s="47" customFormat="1" ht="18" customHeight="1" x14ac:dyDescent="0.25">
      <c r="B351" t="str">
        <f t="shared" si="245"/>
        <v>NSG_Residential_Multi-Family_Direct Install_Thermostat - Reprogram_Boiler (DI)_MF</v>
      </c>
      <c r="C351" s="47" t="str">
        <f t="shared" si="206"/>
        <v>Thermostat - Reprogram_Boiler (DI)_MF</v>
      </c>
      <c r="D351" s="270" t="s">
        <v>1787</v>
      </c>
      <c r="E351" s="270" t="s">
        <v>2</v>
      </c>
      <c r="F351" s="270" t="s">
        <v>1422</v>
      </c>
      <c r="G351" s="270" t="s">
        <v>4</v>
      </c>
      <c r="H351" s="270" t="s">
        <v>1055</v>
      </c>
      <c r="I351" s="270" t="s">
        <v>1045</v>
      </c>
      <c r="J351" s="270" t="s">
        <v>553</v>
      </c>
      <c r="K351" s="263">
        <v>1</v>
      </c>
      <c r="L351" s="263" t="str">
        <f ca="1">IFERROR(INDEX(Algorithms!J:J,MATCH($C351&amp;"_Therm Saved per Unit",Algorithms!$A:$A,0)),"n/a")</f>
        <v>5.3.11</v>
      </c>
      <c r="M351" s="263" t="str">
        <f>IFERROR(INDEX('Measure Level Detail'!$N:$N,MATCH($B351,'Measure Level Detail'!$B:$B,0)),0)</f>
        <v>each</v>
      </c>
      <c r="N351" s="271">
        <f>IFERROR(INDEX('Measure Level Detail'!$P:$P,MATCH($B351&amp;"_"&amp;N$3,'Measure Level Detail'!$C:$C,0)),0)</f>
        <v>0</v>
      </c>
      <c r="O351" s="271">
        <f>IFERROR(INDEX('Measure Level Detail'!$P:$P,MATCH($B351&amp;"_"&amp;O$3,'Measure Level Detail'!$C:$C,0)),0)</f>
        <v>0</v>
      </c>
      <c r="P351" s="271">
        <f>IFERROR(INDEX('Measure Level Detail'!$P:$P,MATCH($B351&amp;"_"&amp;P$3,'Measure Level Detail'!$C:$C,0)),0)</f>
        <v>0</v>
      </c>
      <c r="Q351" s="271">
        <f>IFERROR(INDEX('Measure Level Detail'!$P:$P,MATCH($B351&amp;"_"&amp;Q$3,'Measure Level Detail'!$C:$C,0)),0)</f>
        <v>0</v>
      </c>
      <c r="R351" s="263" t="str">
        <f ca="1">IFERROR(INDEX(Algorithms!K:K,MATCH($C351&amp;"_Therm Saved per Unit",Algorithms!$A:$A,0)),"n/a")</f>
        <v>RS-HVC-PROG-V08-220101</v>
      </c>
      <c r="S351" s="262"/>
      <c r="T351" s="272">
        <v>59.926100000000005</v>
      </c>
      <c r="U351" s="272">
        <v>59.926100000000005</v>
      </c>
      <c r="V351" s="272">
        <v>59.926100000000005</v>
      </c>
      <c r="W351" s="272">
        <v>59.926100000000005</v>
      </c>
      <c r="X351" s="273">
        <f>IFERROR(INDEX('Measure Level Detail'!$R:$R,MATCH($B351&amp;"_"&amp;X$3,'Measure Level Detail'!$C:$C,0)),0)</f>
        <v>0.96</v>
      </c>
      <c r="Y351" s="273">
        <f>IFERROR(INDEX('Measure Level Detail'!$R:$R,MATCH($B351&amp;"_"&amp;Y$3,'Measure Level Detail'!$C:$C,0)),0)</f>
        <v>0.96</v>
      </c>
      <c r="Z351" s="273">
        <f>IFERROR(INDEX('Measure Level Detail'!$R:$R,MATCH($B351&amp;"_"&amp;Z$3,'Measure Level Detail'!$C:$C,0)),0)</f>
        <v>0.96</v>
      </c>
      <c r="AA351" s="273">
        <f>IFERROR(INDEX('Measure Level Detail'!$R:$R,MATCH($B351&amp;"_"&amp;AA$3,'Measure Level Detail'!$C:$C,0)),0)</f>
        <v>0.96</v>
      </c>
      <c r="AB351" s="266">
        <f t="shared" si="207"/>
        <v>0</v>
      </c>
      <c r="AC351" s="266">
        <f t="shared" si="208"/>
        <v>0</v>
      </c>
      <c r="AD351" s="266">
        <f t="shared" si="209"/>
        <v>0</v>
      </c>
      <c r="AE351" s="266">
        <f t="shared" si="210"/>
        <v>0</v>
      </c>
      <c r="AF351" s="266">
        <f t="shared" si="211"/>
        <v>0</v>
      </c>
      <c r="AG351" s="274">
        <v>0.96</v>
      </c>
      <c r="AH351" s="274">
        <v>0.96</v>
      </c>
      <c r="AI351" s="274">
        <v>0.96</v>
      </c>
      <c r="AJ351" s="274">
        <v>0.96</v>
      </c>
      <c r="AK351" s="274">
        <f t="shared" si="212"/>
        <v>0.96</v>
      </c>
      <c r="AL351" s="274">
        <f t="shared" si="213"/>
        <v>0.96</v>
      </c>
      <c r="AM351" s="274">
        <f t="shared" si="214"/>
        <v>0.96</v>
      </c>
      <c r="AN351" s="274">
        <f t="shared" si="215"/>
        <v>0.96</v>
      </c>
      <c r="AO351" s="262"/>
      <c r="AP351" s="262"/>
      <c r="AQ351" s="267">
        <v>59.926100000000005</v>
      </c>
      <c r="AR351" s="262"/>
      <c r="AS351" s="266">
        <f t="shared" si="216"/>
        <v>0</v>
      </c>
      <c r="AT351" s="264">
        <f t="shared" si="217"/>
        <v>0</v>
      </c>
      <c r="AU351" s="262"/>
      <c r="AV351" s="262"/>
      <c r="AW351" s="265">
        <v>59.926100000000005</v>
      </c>
      <c r="AX351" s="164" t="s">
        <v>1469</v>
      </c>
      <c r="AY351" s="266">
        <v>0</v>
      </c>
      <c r="AZ351" s="266">
        <f t="shared" si="218"/>
        <v>0</v>
      </c>
      <c r="BA351" s="264">
        <f t="shared" si="219"/>
        <v>0</v>
      </c>
      <c r="BB351" s="262"/>
      <c r="BC351" s="262"/>
      <c r="BD351" s="265">
        <f ca="1">IFERROR(INDEX(Algorithms!$G:$G,MATCH($C351&amp;"_Therm Saved per Unit",Algorithms!$A:$A,0)),0)</f>
        <v>59.926100000000005</v>
      </c>
      <c r="BE351" s="164" t="str">
        <f ca="1">IFERROR(INDEX('v12 Revisions'!$P$29:$P$186, MATCH('Measure-Level Adj Gas'!$L351, 'v12 Revisions'!$D$29:$D$186,0)),"")</f>
        <v/>
      </c>
      <c r="BF351" s="266">
        <f t="shared" ca="1" si="220"/>
        <v>0</v>
      </c>
      <c r="BG351" s="264">
        <f t="shared" ca="1" si="221"/>
        <v>0</v>
      </c>
      <c r="BH351" s="262"/>
      <c r="BI351" s="262"/>
      <c r="BJ351" s="265">
        <f ca="1">IFERROR(INDEX(Algorithms!$G:$G,MATCH($C351&amp;"_Therm Saved per Unit",Algorithms!$A:$A,0)),0)</f>
        <v>59.926100000000005</v>
      </c>
      <c r="BK351" s="164"/>
      <c r="BL351" s="266">
        <f t="shared" ca="1" si="222"/>
        <v>0</v>
      </c>
      <c r="BM351" s="264">
        <f t="shared" ca="1" si="223"/>
        <v>0</v>
      </c>
      <c r="BN351" s="266">
        <f t="shared" si="224"/>
        <v>0</v>
      </c>
      <c r="BO351" s="266">
        <f t="shared" si="225"/>
        <v>0</v>
      </c>
      <c r="BP351" s="266">
        <f t="shared" ca="1" si="226"/>
        <v>0</v>
      </c>
      <c r="BQ351" s="266">
        <f t="shared" ca="1" si="227"/>
        <v>0</v>
      </c>
      <c r="BR351" s="268">
        <f t="shared" ca="1" si="228"/>
        <v>0</v>
      </c>
      <c r="BS351" s="262" t="s">
        <v>99</v>
      </c>
      <c r="BT351" s="277"/>
      <c r="BW351" s="266">
        <f t="shared" si="229"/>
        <v>0</v>
      </c>
      <c r="BX351" s="266">
        <f t="shared" si="230"/>
        <v>0</v>
      </c>
      <c r="BY351" s="266">
        <f t="shared" si="231"/>
        <v>0</v>
      </c>
      <c r="BZ351" s="266">
        <f t="shared" si="232"/>
        <v>0</v>
      </c>
      <c r="CA351" s="266">
        <f ca="1">N351*IFERROR(INDEX(Algorithms!$G:$G,MATCH($C351&amp;"_Therm Saved per Unit- MLA",Algorithms!$A:$A,0)),0)*X351</f>
        <v>0</v>
      </c>
      <c r="CB351" s="266">
        <f ca="1">O351*IFERROR(INDEX(Algorithms!$G:$G,MATCH($C351&amp;"_Therm Saved per Unit- MLA",Algorithms!$A:$A,0)),0)*Y351</f>
        <v>0</v>
      </c>
      <c r="CC351" s="266">
        <f ca="1">P351*IFERROR(INDEX(Algorithms!$G:$G,MATCH($C351&amp;"_Therm Saved per Unit- MLA",Algorithms!$A:$A,0)),0)*Z351</f>
        <v>0</v>
      </c>
      <c r="CD351" s="266">
        <f ca="1">Q351*IFERROR(INDEX(Algorithms!$G:$G,MATCH($C351&amp;"_Therm Saved per Unit- MLA",Algorithms!$A:$A,0)),0)*AA351</f>
        <v>0</v>
      </c>
      <c r="CE351" s="266">
        <f ca="1">IFERROR(INDEX(Algorithms!$G:$G,MATCH($C351&amp;"_Lifetime (years)",Algorithms!$A:$A,0)),0)</f>
        <v>2</v>
      </c>
      <c r="CF351" s="266">
        <f ca="1">IFERROR(INDEX(Algorithms!$G:$G,MATCH($C351&amp;"_Lifetime (years) - Remaining Years",Algorithms!$A:$A,0)),0)</f>
        <v>0</v>
      </c>
      <c r="CG351" s="266">
        <f t="shared" ca="1" si="233"/>
        <v>0</v>
      </c>
      <c r="CH351" s="266">
        <f t="shared" ca="1" si="234"/>
        <v>0</v>
      </c>
      <c r="CI351" s="266">
        <f t="shared" ca="1" si="235"/>
        <v>0</v>
      </c>
      <c r="CJ351" s="266">
        <f t="shared" ca="1" si="236"/>
        <v>0</v>
      </c>
      <c r="CK351" s="266">
        <f t="shared" si="237"/>
        <v>0</v>
      </c>
      <c r="CL351" s="266">
        <f t="shared" si="238"/>
        <v>0</v>
      </c>
      <c r="CM351" s="266">
        <f t="shared" ca="1" si="239"/>
        <v>0</v>
      </c>
      <c r="CN351" s="266">
        <f t="shared" ca="1" si="240"/>
        <v>0</v>
      </c>
      <c r="CO351" s="266">
        <f ca="1">N351*IFERROR(INDEX(Algorithms!$G:$G,MATCH($C351&amp;"_Therm Saved per Unit- MLA",Algorithms!$A:$A,0)),0)*X351</f>
        <v>0</v>
      </c>
      <c r="CP351" s="266">
        <f ca="1">O351*IFERROR(INDEX(Algorithms!$G:$G,MATCH($C351&amp;"_Therm Saved per Unit- MLA",Algorithms!$A:$A,0)),0)*Y351</f>
        <v>0</v>
      </c>
      <c r="CQ351" s="266">
        <f ca="1">P351*IFERROR(INDEX(Algorithms!$G:$G,MATCH($C351&amp;"_Therm Saved per Unit- MLA",Algorithms!$A:$A,0)),0)*Z351</f>
        <v>0</v>
      </c>
      <c r="CR351" s="266">
        <f ca="1">Q351*IFERROR(INDEX(Algorithms!$G:$G,MATCH($C351&amp;"_Therm Saved per Unit- MLA",Algorithms!$A:$A,0)),0)*AA351</f>
        <v>0</v>
      </c>
      <c r="CS351" s="266">
        <f ca="1">IFERROR(INDEX(Algorithms!$G:$G,MATCH($C351&amp;"_Lifetime (years)",Algorithms!$A:$A,0)),0)</f>
        <v>2</v>
      </c>
      <c r="CT351" s="266">
        <f ca="1">IFERROR(INDEX(Algorithms!$G:$G,MATCH($C351&amp;"_Lifetime (years) - Remaining Years",Algorithms!$A:$A,0)),0)</f>
        <v>0</v>
      </c>
      <c r="CU351" s="266">
        <f t="shared" ca="1" si="241"/>
        <v>0</v>
      </c>
      <c r="CV351" s="266">
        <f t="shared" ca="1" si="242"/>
        <v>0</v>
      </c>
      <c r="CW351" s="266">
        <f t="shared" ca="1" si="243"/>
        <v>0</v>
      </c>
      <c r="CX351" s="266">
        <f t="shared" ca="1" si="244"/>
        <v>0</v>
      </c>
    </row>
    <row r="352" spans="2:102" s="47" customFormat="1" ht="18" customHeight="1" x14ac:dyDescent="0.25">
      <c r="B352" t="str">
        <f t="shared" si="245"/>
        <v>NSG_Residential_Multi-Family_Direct Install_Thermostat - Reprogram_Furnace (DI)_MF</v>
      </c>
      <c r="C352" s="47" t="str">
        <f t="shared" si="206"/>
        <v>Thermostat - Reprogram_Furnace (DI)_MF</v>
      </c>
      <c r="D352" s="270" t="s">
        <v>1787</v>
      </c>
      <c r="E352" s="270" t="s">
        <v>2</v>
      </c>
      <c r="F352" s="270" t="s">
        <v>1422</v>
      </c>
      <c r="G352" s="270" t="s">
        <v>4</v>
      </c>
      <c r="H352" s="270" t="s">
        <v>1055</v>
      </c>
      <c r="I352" s="270" t="s">
        <v>1038</v>
      </c>
      <c r="J352" s="270" t="s">
        <v>553</v>
      </c>
      <c r="K352" s="263">
        <v>1</v>
      </c>
      <c r="L352" s="263" t="str">
        <f ca="1">IFERROR(INDEX(Algorithms!J:J,MATCH($C352&amp;"_Therm Saved per Unit",Algorithms!$A:$A,0)),"n/a")</f>
        <v>5.3.11</v>
      </c>
      <c r="M352" s="263" t="str">
        <f>IFERROR(INDEX('Measure Level Detail'!$N:$N,MATCH($B352,'Measure Level Detail'!$B:$B,0)),0)</f>
        <v>each</v>
      </c>
      <c r="N352" s="271">
        <f>IFERROR(INDEX('Measure Level Detail'!$P:$P,MATCH($B352&amp;"_"&amp;N$3,'Measure Level Detail'!$C:$C,0)),0)</f>
        <v>0</v>
      </c>
      <c r="O352" s="271">
        <f>IFERROR(INDEX('Measure Level Detail'!$P:$P,MATCH($B352&amp;"_"&amp;O$3,'Measure Level Detail'!$C:$C,0)),0)</f>
        <v>0</v>
      </c>
      <c r="P352" s="271">
        <f>IFERROR(INDEX('Measure Level Detail'!$P:$P,MATCH($B352&amp;"_"&amp;P$3,'Measure Level Detail'!$C:$C,0)),0)</f>
        <v>0</v>
      </c>
      <c r="Q352" s="271">
        <f>IFERROR(INDEX('Measure Level Detail'!$P:$P,MATCH($B352&amp;"_"&amp;Q$3,'Measure Level Detail'!$C:$C,0)),0)</f>
        <v>0</v>
      </c>
      <c r="R352" s="263" t="str">
        <f ca="1">IFERROR(INDEX(Algorithms!K:K,MATCH($C352&amp;"_Therm Saved per Unit",Algorithms!$A:$A,0)),"n/a")</f>
        <v>RS-HVC-PROG-V08-220101</v>
      </c>
      <c r="S352" s="262"/>
      <c r="T352" s="272">
        <v>40.5015</v>
      </c>
      <c r="U352" s="272">
        <v>40.5015</v>
      </c>
      <c r="V352" s="272">
        <v>40.5015</v>
      </c>
      <c r="W352" s="272">
        <v>40.5015</v>
      </c>
      <c r="X352" s="273">
        <f>IFERROR(INDEX('Measure Level Detail'!$R:$R,MATCH($B352&amp;"_"&amp;X$3,'Measure Level Detail'!$C:$C,0)),0)</f>
        <v>0.96</v>
      </c>
      <c r="Y352" s="273">
        <f>IFERROR(INDEX('Measure Level Detail'!$R:$R,MATCH($B352&amp;"_"&amp;Y$3,'Measure Level Detail'!$C:$C,0)),0)</f>
        <v>0.96</v>
      </c>
      <c r="Z352" s="273">
        <f>IFERROR(INDEX('Measure Level Detail'!$R:$R,MATCH($B352&amp;"_"&amp;Z$3,'Measure Level Detail'!$C:$C,0)),0)</f>
        <v>0.96</v>
      </c>
      <c r="AA352" s="273">
        <f>IFERROR(INDEX('Measure Level Detail'!$R:$R,MATCH($B352&amp;"_"&amp;AA$3,'Measure Level Detail'!$C:$C,0)),0)</f>
        <v>0.96</v>
      </c>
      <c r="AB352" s="266">
        <f t="shared" si="207"/>
        <v>0</v>
      </c>
      <c r="AC352" s="266">
        <f t="shared" si="208"/>
        <v>0</v>
      </c>
      <c r="AD352" s="266">
        <f t="shared" si="209"/>
        <v>0</v>
      </c>
      <c r="AE352" s="266">
        <f t="shared" si="210"/>
        <v>0</v>
      </c>
      <c r="AF352" s="266">
        <f t="shared" si="211"/>
        <v>0</v>
      </c>
      <c r="AG352" s="274">
        <v>0.96</v>
      </c>
      <c r="AH352" s="274">
        <v>0.96</v>
      </c>
      <c r="AI352" s="274">
        <v>0.96</v>
      </c>
      <c r="AJ352" s="274">
        <v>0.96</v>
      </c>
      <c r="AK352" s="274">
        <f t="shared" si="212"/>
        <v>0.96</v>
      </c>
      <c r="AL352" s="274">
        <f t="shared" si="213"/>
        <v>0.96</v>
      </c>
      <c r="AM352" s="274">
        <f t="shared" si="214"/>
        <v>0.96</v>
      </c>
      <c r="AN352" s="274">
        <f t="shared" si="215"/>
        <v>0.96</v>
      </c>
      <c r="AO352" s="262"/>
      <c r="AP352" s="262"/>
      <c r="AQ352" s="267">
        <v>40.5015</v>
      </c>
      <c r="AR352" s="262"/>
      <c r="AS352" s="266">
        <f t="shared" si="216"/>
        <v>0</v>
      </c>
      <c r="AT352" s="264">
        <f t="shared" si="217"/>
        <v>0</v>
      </c>
      <c r="AU352" s="262"/>
      <c r="AV352" s="262"/>
      <c r="AW352" s="265">
        <v>40.5015</v>
      </c>
      <c r="AX352" s="164" t="s">
        <v>1469</v>
      </c>
      <c r="AY352" s="266">
        <v>0</v>
      </c>
      <c r="AZ352" s="266">
        <f t="shared" si="218"/>
        <v>0</v>
      </c>
      <c r="BA352" s="264">
        <f t="shared" si="219"/>
        <v>0</v>
      </c>
      <c r="BB352" s="262"/>
      <c r="BC352" s="262"/>
      <c r="BD352" s="265">
        <f ca="1">IFERROR(INDEX(Algorithms!$G:$G,MATCH($C352&amp;"_Therm Saved per Unit",Algorithms!$A:$A,0)),0)</f>
        <v>40.5015</v>
      </c>
      <c r="BE352" s="164" t="str">
        <f ca="1">IFERROR(INDEX('v12 Revisions'!$P$29:$P$186, MATCH('Measure-Level Adj Gas'!$L352, 'v12 Revisions'!$D$29:$D$186,0)),"")</f>
        <v/>
      </c>
      <c r="BF352" s="266">
        <f t="shared" ca="1" si="220"/>
        <v>0</v>
      </c>
      <c r="BG352" s="264">
        <f t="shared" ca="1" si="221"/>
        <v>0</v>
      </c>
      <c r="BH352" s="262"/>
      <c r="BI352" s="262"/>
      <c r="BJ352" s="265">
        <f ca="1">IFERROR(INDEX(Algorithms!$G:$G,MATCH($C352&amp;"_Therm Saved per Unit",Algorithms!$A:$A,0)),0)</f>
        <v>40.5015</v>
      </c>
      <c r="BK352" s="164"/>
      <c r="BL352" s="266">
        <f t="shared" ca="1" si="222"/>
        <v>0</v>
      </c>
      <c r="BM352" s="264">
        <f t="shared" ca="1" si="223"/>
        <v>0</v>
      </c>
      <c r="BN352" s="266">
        <f t="shared" si="224"/>
        <v>0</v>
      </c>
      <c r="BO352" s="266">
        <f t="shared" si="225"/>
        <v>0</v>
      </c>
      <c r="BP352" s="266">
        <f t="shared" ca="1" si="226"/>
        <v>0</v>
      </c>
      <c r="BQ352" s="266">
        <f t="shared" ca="1" si="227"/>
        <v>0</v>
      </c>
      <c r="BR352" s="268">
        <f t="shared" ca="1" si="228"/>
        <v>0</v>
      </c>
      <c r="BS352" s="262" t="s">
        <v>99</v>
      </c>
      <c r="BT352" s="277"/>
      <c r="BW352" s="266">
        <f t="shared" si="229"/>
        <v>0</v>
      </c>
      <c r="BX352" s="266">
        <f t="shared" si="230"/>
        <v>0</v>
      </c>
      <c r="BY352" s="266">
        <f t="shared" si="231"/>
        <v>0</v>
      </c>
      <c r="BZ352" s="266">
        <f t="shared" si="232"/>
        <v>0</v>
      </c>
      <c r="CA352" s="266">
        <f ca="1">N352*IFERROR(INDEX(Algorithms!$G:$G,MATCH($C352&amp;"_Therm Saved per Unit- MLA",Algorithms!$A:$A,0)),0)*X352</f>
        <v>0</v>
      </c>
      <c r="CB352" s="266">
        <f ca="1">O352*IFERROR(INDEX(Algorithms!$G:$G,MATCH($C352&amp;"_Therm Saved per Unit- MLA",Algorithms!$A:$A,0)),0)*Y352</f>
        <v>0</v>
      </c>
      <c r="CC352" s="266">
        <f ca="1">P352*IFERROR(INDEX(Algorithms!$G:$G,MATCH($C352&amp;"_Therm Saved per Unit- MLA",Algorithms!$A:$A,0)),0)*Z352</f>
        <v>0</v>
      </c>
      <c r="CD352" s="266">
        <f ca="1">Q352*IFERROR(INDEX(Algorithms!$G:$G,MATCH($C352&amp;"_Therm Saved per Unit- MLA",Algorithms!$A:$A,0)),0)*AA352</f>
        <v>0</v>
      </c>
      <c r="CE352" s="266">
        <f ca="1">IFERROR(INDEX(Algorithms!$G:$G,MATCH($C352&amp;"_Lifetime (years)",Algorithms!$A:$A,0)),0)</f>
        <v>2</v>
      </c>
      <c r="CF352" s="266">
        <f ca="1">IFERROR(INDEX(Algorithms!$G:$G,MATCH($C352&amp;"_Lifetime (years) - Remaining Years",Algorithms!$A:$A,0)),0)</f>
        <v>0</v>
      </c>
      <c r="CG352" s="266">
        <f t="shared" ca="1" si="233"/>
        <v>0</v>
      </c>
      <c r="CH352" s="266">
        <f t="shared" ca="1" si="234"/>
        <v>0</v>
      </c>
      <c r="CI352" s="266">
        <f t="shared" ca="1" si="235"/>
        <v>0</v>
      </c>
      <c r="CJ352" s="266">
        <f t="shared" ca="1" si="236"/>
        <v>0</v>
      </c>
      <c r="CK352" s="266">
        <f t="shared" si="237"/>
        <v>0</v>
      </c>
      <c r="CL352" s="266">
        <f t="shared" si="238"/>
        <v>0</v>
      </c>
      <c r="CM352" s="266">
        <f t="shared" ca="1" si="239"/>
        <v>0</v>
      </c>
      <c r="CN352" s="266">
        <f t="shared" ca="1" si="240"/>
        <v>0</v>
      </c>
      <c r="CO352" s="266">
        <f ca="1">N352*IFERROR(INDEX(Algorithms!$G:$G,MATCH($C352&amp;"_Therm Saved per Unit- MLA",Algorithms!$A:$A,0)),0)*X352</f>
        <v>0</v>
      </c>
      <c r="CP352" s="266">
        <f ca="1">O352*IFERROR(INDEX(Algorithms!$G:$G,MATCH($C352&amp;"_Therm Saved per Unit- MLA",Algorithms!$A:$A,0)),0)*Y352</f>
        <v>0</v>
      </c>
      <c r="CQ352" s="266">
        <f ca="1">P352*IFERROR(INDEX(Algorithms!$G:$G,MATCH($C352&amp;"_Therm Saved per Unit- MLA",Algorithms!$A:$A,0)),0)*Z352</f>
        <v>0</v>
      </c>
      <c r="CR352" s="266">
        <f ca="1">Q352*IFERROR(INDEX(Algorithms!$G:$G,MATCH($C352&amp;"_Therm Saved per Unit- MLA",Algorithms!$A:$A,0)),0)*AA352</f>
        <v>0</v>
      </c>
      <c r="CS352" s="266">
        <f ca="1">IFERROR(INDEX(Algorithms!$G:$G,MATCH($C352&amp;"_Lifetime (years)",Algorithms!$A:$A,0)),0)</f>
        <v>2</v>
      </c>
      <c r="CT352" s="266">
        <f ca="1">IFERROR(INDEX(Algorithms!$G:$G,MATCH($C352&amp;"_Lifetime (years) - Remaining Years",Algorithms!$A:$A,0)),0)</f>
        <v>0</v>
      </c>
      <c r="CU352" s="266">
        <f t="shared" ca="1" si="241"/>
        <v>0</v>
      </c>
      <c r="CV352" s="266">
        <f t="shared" ca="1" si="242"/>
        <v>0</v>
      </c>
      <c r="CW352" s="266">
        <f t="shared" ca="1" si="243"/>
        <v>0</v>
      </c>
      <c r="CX352" s="266">
        <f t="shared" ca="1" si="244"/>
        <v>0</v>
      </c>
    </row>
    <row r="353" spans="2:102" s="47" customFormat="1" ht="18" customHeight="1" x14ac:dyDescent="0.25">
      <c r="B353" t="str">
        <f t="shared" si="245"/>
        <v>NSG_Residential_Multi-Family_Direct Install_Shower Timer_0_MF</v>
      </c>
      <c r="C353" s="47" t="str">
        <f t="shared" si="206"/>
        <v>Shower Timer_0_MF</v>
      </c>
      <c r="D353" s="270" t="s">
        <v>1787</v>
      </c>
      <c r="E353" s="270" t="s">
        <v>2</v>
      </c>
      <c r="F353" s="270" t="s">
        <v>1422</v>
      </c>
      <c r="G353" s="270" t="s">
        <v>4</v>
      </c>
      <c r="H353" s="270" t="s">
        <v>1031</v>
      </c>
      <c r="I353" s="270">
        <v>0</v>
      </c>
      <c r="J353" s="270" t="s">
        <v>553</v>
      </c>
      <c r="K353" s="263">
        <v>1</v>
      </c>
      <c r="L353" s="263" t="str">
        <f ca="1">IFERROR(INDEX(Algorithms!J:J,MATCH($C353&amp;"_Therm Saved per Unit",Algorithms!$A:$A,0)),"n/a")</f>
        <v>5.4.9</v>
      </c>
      <c r="M353" s="263" t="str">
        <f>IFERROR(INDEX('Measure Level Detail'!$N:$N,MATCH($B353,'Measure Level Detail'!$B:$B,0)),0)</f>
        <v>each</v>
      </c>
      <c r="N353" s="271">
        <f>IFERROR(INDEX('Measure Level Detail'!$P:$P,MATCH($B353&amp;"_"&amp;N$3,'Measure Level Detail'!$C:$C,0)),0)</f>
        <v>0</v>
      </c>
      <c r="O353" s="271">
        <f>IFERROR(INDEX('Measure Level Detail'!$P:$P,MATCH($B353&amp;"_"&amp;O$3,'Measure Level Detail'!$C:$C,0)),0)</f>
        <v>0</v>
      </c>
      <c r="P353" s="271">
        <f>IFERROR(INDEX('Measure Level Detail'!$P:$P,MATCH($B353&amp;"_"&amp;P$3,'Measure Level Detail'!$C:$C,0)),0)</f>
        <v>0</v>
      </c>
      <c r="Q353" s="271">
        <f>IFERROR(INDEX('Measure Level Detail'!$P:$P,MATCH($B353&amp;"_"&amp;Q$3,'Measure Level Detail'!$C:$C,0)),0)</f>
        <v>0</v>
      </c>
      <c r="R353" s="263" t="str">
        <f ca="1">IFERROR(INDEX(Algorithms!K:K,MATCH($C353&amp;"_Therm Saved per Unit",Algorithms!$A:$A,0)),"n/a")</f>
        <v>RS-DHW-SHTM-V05-230101</v>
      </c>
      <c r="S353" s="262"/>
      <c r="T353" s="272">
        <v>3.5388455445188995</v>
      </c>
      <c r="U353" s="272">
        <v>3.5388455445188995</v>
      </c>
      <c r="V353" s="272">
        <v>3.5388455445188995</v>
      </c>
      <c r="W353" s="272">
        <v>3.5388455445188995</v>
      </c>
      <c r="X353" s="273">
        <f>IFERROR(INDEX('Measure Level Detail'!$R:$R,MATCH($B353&amp;"_"&amp;X$3,'Measure Level Detail'!$C:$C,0)),0)</f>
        <v>0.96</v>
      </c>
      <c r="Y353" s="273">
        <f>IFERROR(INDEX('Measure Level Detail'!$R:$R,MATCH($B353&amp;"_"&amp;Y$3,'Measure Level Detail'!$C:$C,0)),0)</f>
        <v>0.96</v>
      </c>
      <c r="Z353" s="273">
        <f>IFERROR(INDEX('Measure Level Detail'!$R:$R,MATCH($B353&amp;"_"&amp;Z$3,'Measure Level Detail'!$C:$C,0)),0)</f>
        <v>0.96</v>
      </c>
      <c r="AA353" s="273">
        <f>IFERROR(INDEX('Measure Level Detail'!$R:$R,MATCH($B353&amp;"_"&amp;AA$3,'Measure Level Detail'!$C:$C,0)),0)</f>
        <v>0.96</v>
      </c>
      <c r="AB353" s="266">
        <f t="shared" si="207"/>
        <v>0</v>
      </c>
      <c r="AC353" s="266">
        <f t="shared" si="208"/>
        <v>0</v>
      </c>
      <c r="AD353" s="266">
        <f t="shared" si="209"/>
        <v>0</v>
      </c>
      <c r="AE353" s="266">
        <f t="shared" si="210"/>
        <v>0</v>
      </c>
      <c r="AF353" s="266">
        <f t="shared" si="211"/>
        <v>0</v>
      </c>
      <c r="AG353" s="274">
        <v>0.96</v>
      </c>
      <c r="AH353" s="274">
        <v>0.96</v>
      </c>
      <c r="AI353" s="274">
        <v>0.96</v>
      </c>
      <c r="AJ353" s="274">
        <v>0.96</v>
      </c>
      <c r="AK353" s="274">
        <f t="shared" si="212"/>
        <v>0.96</v>
      </c>
      <c r="AL353" s="274">
        <f t="shared" si="213"/>
        <v>0.96</v>
      </c>
      <c r="AM353" s="274">
        <f t="shared" si="214"/>
        <v>0.96</v>
      </c>
      <c r="AN353" s="274">
        <f t="shared" si="215"/>
        <v>0.96</v>
      </c>
      <c r="AO353" s="262"/>
      <c r="AP353" s="262"/>
      <c r="AQ353" s="267">
        <v>3.7960439935175092</v>
      </c>
      <c r="AR353" s="262"/>
      <c r="AS353" s="266">
        <f t="shared" si="216"/>
        <v>0</v>
      </c>
      <c r="AT353" s="264">
        <f t="shared" si="217"/>
        <v>0</v>
      </c>
      <c r="AU353" s="262"/>
      <c r="AV353" s="262"/>
      <c r="AW353" s="265">
        <v>3.7960439935175092</v>
      </c>
      <c r="AX353" s="164" t="s">
        <v>2393</v>
      </c>
      <c r="AY353" s="266">
        <v>0</v>
      </c>
      <c r="AZ353" s="266">
        <f t="shared" si="218"/>
        <v>0</v>
      </c>
      <c r="BA353" s="264">
        <f t="shared" si="219"/>
        <v>0</v>
      </c>
      <c r="BB353" s="262"/>
      <c r="BC353" s="262"/>
      <c r="BD353" s="265">
        <f ca="1">IFERROR(INDEX(Algorithms!$G:$G,MATCH($C353&amp;"_Therm Saved per Unit",Algorithms!$A:$A,0)),0)</f>
        <v>3.7960439935175092</v>
      </c>
      <c r="BE353" s="164" t="str">
        <f ca="1">IFERROR(INDEX('v12 Revisions'!$P$29:$P$186, MATCH('Measure-Level Adj Gas'!$L353, 'v12 Revisions'!$D$29:$D$186,0)),"")</f>
        <v/>
      </c>
      <c r="BF353" s="266">
        <f t="shared" ca="1" si="220"/>
        <v>0</v>
      </c>
      <c r="BG353" s="264">
        <f t="shared" ca="1" si="221"/>
        <v>0</v>
      </c>
      <c r="BH353" s="262"/>
      <c r="BI353" s="262"/>
      <c r="BJ353" s="265">
        <f ca="1">IFERROR(INDEX(Algorithms!$G:$G,MATCH($C353&amp;"_Therm Saved per Unit",Algorithms!$A:$A,0)),0)</f>
        <v>3.7960439935175092</v>
      </c>
      <c r="BK353" s="164"/>
      <c r="BL353" s="266">
        <f t="shared" ca="1" si="222"/>
        <v>0</v>
      </c>
      <c r="BM353" s="264">
        <f t="shared" ca="1" si="223"/>
        <v>0</v>
      </c>
      <c r="BN353" s="266">
        <f t="shared" si="224"/>
        <v>0</v>
      </c>
      <c r="BO353" s="266">
        <f t="shared" si="225"/>
        <v>0</v>
      </c>
      <c r="BP353" s="266">
        <f t="shared" ca="1" si="226"/>
        <v>0</v>
      </c>
      <c r="BQ353" s="266">
        <f t="shared" ca="1" si="227"/>
        <v>0</v>
      </c>
      <c r="BR353" s="268">
        <f t="shared" ca="1" si="228"/>
        <v>0</v>
      </c>
      <c r="BS353" s="262" t="s">
        <v>99</v>
      </c>
      <c r="BT353" s="277"/>
      <c r="BW353" s="266">
        <f t="shared" si="229"/>
        <v>0</v>
      </c>
      <c r="BX353" s="266">
        <f t="shared" si="230"/>
        <v>0</v>
      </c>
      <c r="BY353" s="266">
        <f t="shared" si="231"/>
        <v>0</v>
      </c>
      <c r="BZ353" s="266">
        <f t="shared" si="232"/>
        <v>0</v>
      </c>
      <c r="CA353" s="266">
        <f ca="1">N353*IFERROR(INDEX(Algorithms!$G:$G,MATCH($C353&amp;"_Therm Saved per Unit- MLA",Algorithms!$A:$A,0)),0)*X353</f>
        <v>0</v>
      </c>
      <c r="CB353" s="266">
        <f ca="1">O353*IFERROR(INDEX(Algorithms!$G:$G,MATCH($C353&amp;"_Therm Saved per Unit- MLA",Algorithms!$A:$A,0)),0)*Y353</f>
        <v>0</v>
      </c>
      <c r="CC353" s="266">
        <f ca="1">P353*IFERROR(INDEX(Algorithms!$G:$G,MATCH($C353&amp;"_Therm Saved per Unit- MLA",Algorithms!$A:$A,0)),0)*Z353</f>
        <v>0</v>
      </c>
      <c r="CD353" s="266">
        <f ca="1">Q353*IFERROR(INDEX(Algorithms!$G:$G,MATCH($C353&amp;"_Therm Saved per Unit- MLA",Algorithms!$A:$A,0)),0)*AA353</f>
        <v>0</v>
      </c>
      <c r="CE353" s="266">
        <f ca="1">IFERROR(INDEX(Algorithms!$G:$G,MATCH($C353&amp;"_Lifetime (years)",Algorithms!$A:$A,0)),0)</f>
        <v>2</v>
      </c>
      <c r="CF353" s="266">
        <f ca="1">IFERROR(INDEX(Algorithms!$G:$G,MATCH($C353&amp;"_Lifetime (years) - Remaining Years",Algorithms!$A:$A,0)),0)</f>
        <v>0</v>
      </c>
      <c r="CG353" s="266">
        <f t="shared" ca="1" si="233"/>
        <v>0</v>
      </c>
      <c r="CH353" s="266">
        <f t="shared" ca="1" si="234"/>
        <v>0</v>
      </c>
      <c r="CI353" s="266">
        <f t="shared" ca="1" si="235"/>
        <v>0</v>
      </c>
      <c r="CJ353" s="266">
        <f t="shared" ca="1" si="236"/>
        <v>0</v>
      </c>
      <c r="CK353" s="266">
        <f t="shared" si="237"/>
        <v>0</v>
      </c>
      <c r="CL353" s="266">
        <f t="shared" si="238"/>
        <v>0</v>
      </c>
      <c r="CM353" s="266">
        <f t="shared" ca="1" si="239"/>
        <v>0</v>
      </c>
      <c r="CN353" s="266">
        <f t="shared" ca="1" si="240"/>
        <v>0</v>
      </c>
      <c r="CO353" s="266">
        <f ca="1">N353*IFERROR(INDEX(Algorithms!$G:$G,MATCH($C353&amp;"_Therm Saved per Unit- MLA",Algorithms!$A:$A,0)),0)*X353</f>
        <v>0</v>
      </c>
      <c r="CP353" s="266">
        <f ca="1">O353*IFERROR(INDEX(Algorithms!$G:$G,MATCH($C353&amp;"_Therm Saved per Unit- MLA",Algorithms!$A:$A,0)),0)*Y353</f>
        <v>0</v>
      </c>
      <c r="CQ353" s="266">
        <f ca="1">P353*IFERROR(INDEX(Algorithms!$G:$G,MATCH($C353&amp;"_Therm Saved per Unit- MLA",Algorithms!$A:$A,0)),0)*Z353</f>
        <v>0</v>
      </c>
      <c r="CR353" s="266">
        <f ca="1">Q353*IFERROR(INDEX(Algorithms!$G:$G,MATCH($C353&amp;"_Therm Saved per Unit- MLA",Algorithms!$A:$A,0)),0)*AA353</f>
        <v>0</v>
      </c>
      <c r="CS353" s="266">
        <f ca="1">IFERROR(INDEX(Algorithms!$G:$G,MATCH($C353&amp;"_Lifetime (years)",Algorithms!$A:$A,0)),0)</f>
        <v>2</v>
      </c>
      <c r="CT353" s="266">
        <f ca="1">IFERROR(INDEX(Algorithms!$G:$G,MATCH($C353&amp;"_Lifetime (years) - Remaining Years",Algorithms!$A:$A,0)),0)</f>
        <v>0</v>
      </c>
      <c r="CU353" s="266">
        <f t="shared" ca="1" si="241"/>
        <v>0</v>
      </c>
      <c r="CV353" s="266">
        <f t="shared" ca="1" si="242"/>
        <v>0</v>
      </c>
      <c r="CW353" s="266">
        <f t="shared" ca="1" si="243"/>
        <v>0</v>
      </c>
      <c r="CX353" s="266">
        <f t="shared" ca="1" si="244"/>
        <v>0</v>
      </c>
    </row>
    <row r="354" spans="2:102" s="47" customFormat="1" ht="18" customHeight="1" x14ac:dyDescent="0.25">
      <c r="B354" t="str">
        <f t="shared" si="245"/>
        <v>NSG_Residential_Multi-Family_Gas Optimization_Gas Optimization_0_MF</v>
      </c>
      <c r="C354" s="47" t="str">
        <f t="shared" si="206"/>
        <v>Gas Optimization_0_MF</v>
      </c>
      <c r="D354" s="270" t="s">
        <v>1787</v>
      </c>
      <c r="E354" s="270" t="s">
        <v>2</v>
      </c>
      <c r="F354" s="270" t="s">
        <v>1422</v>
      </c>
      <c r="G354" s="270" t="s">
        <v>1098</v>
      </c>
      <c r="H354" s="270" t="s">
        <v>1098</v>
      </c>
      <c r="I354" s="270">
        <v>0</v>
      </c>
      <c r="J354" s="270" t="s">
        <v>553</v>
      </c>
      <c r="K354" s="263">
        <v>1</v>
      </c>
      <c r="L354" s="263">
        <f ca="1">IFERROR(INDEX(Algorithms!J:J,MATCH($C354&amp;"_Therm Saved per Unit",Algorithms!$A:$A,0)),"n/a")</f>
        <v>0</v>
      </c>
      <c r="M354" s="263" t="str">
        <f>IFERROR(INDEX('Measure Level Detail'!$N:$N,MATCH($B354,'Measure Level Detail'!$B:$B,0)),0)</f>
        <v>therm</v>
      </c>
      <c r="N354" s="271">
        <f>IFERROR(INDEX('Measure Level Detail'!$P:$P,MATCH($B354&amp;"_"&amp;N$3,'Measure Level Detail'!$C:$C,0)),0)</f>
        <v>0</v>
      </c>
      <c r="O354" s="271">
        <f>IFERROR(INDEX('Measure Level Detail'!$P:$P,MATCH($B354&amp;"_"&amp;O$3,'Measure Level Detail'!$C:$C,0)),0)</f>
        <v>0</v>
      </c>
      <c r="P354" s="271">
        <f>IFERROR(INDEX('Measure Level Detail'!$P:$P,MATCH($B354&amp;"_"&amp;P$3,'Measure Level Detail'!$C:$C,0)),0)</f>
        <v>0</v>
      </c>
      <c r="Q354" s="271">
        <f>IFERROR(INDEX('Measure Level Detail'!$P:$P,MATCH($B354&amp;"_"&amp;Q$3,'Measure Level Detail'!$C:$C,0)),0)</f>
        <v>0</v>
      </c>
      <c r="R354" s="263">
        <f ca="1">IFERROR(INDEX(Algorithms!K:K,MATCH($C354&amp;"_Therm Saved per Unit",Algorithms!$A:$A,0)),"n/a")</f>
        <v>0</v>
      </c>
      <c r="S354" s="262"/>
      <c r="T354" s="272">
        <v>1</v>
      </c>
      <c r="U354" s="272">
        <v>1</v>
      </c>
      <c r="V354" s="272">
        <v>1</v>
      </c>
      <c r="W354" s="272">
        <v>1</v>
      </c>
      <c r="X354" s="276">
        <v>0.94</v>
      </c>
      <c r="Y354" s="276">
        <v>0.94</v>
      </c>
      <c r="Z354" s="276">
        <v>0.94</v>
      </c>
      <c r="AA354" s="276">
        <v>0.94</v>
      </c>
      <c r="AB354" s="266">
        <f t="shared" si="207"/>
        <v>0</v>
      </c>
      <c r="AC354" s="266">
        <f t="shared" si="208"/>
        <v>0</v>
      </c>
      <c r="AD354" s="266">
        <f t="shared" si="209"/>
        <v>0</v>
      </c>
      <c r="AE354" s="266">
        <f t="shared" si="210"/>
        <v>0</v>
      </c>
      <c r="AF354" s="266">
        <f t="shared" si="211"/>
        <v>0</v>
      </c>
      <c r="AG354" s="274">
        <v>0.94</v>
      </c>
      <c r="AH354" s="274">
        <v>0.94</v>
      </c>
      <c r="AI354" s="274">
        <v>0.94</v>
      </c>
      <c r="AJ354" s="274">
        <v>0.94</v>
      </c>
      <c r="AK354" s="274">
        <f t="shared" si="212"/>
        <v>0.94</v>
      </c>
      <c r="AL354" s="274">
        <f t="shared" si="213"/>
        <v>0.94</v>
      </c>
      <c r="AM354" s="274">
        <f t="shared" si="214"/>
        <v>0.94</v>
      </c>
      <c r="AN354" s="274">
        <f t="shared" si="215"/>
        <v>0.94</v>
      </c>
      <c r="AO354" s="262"/>
      <c r="AP354" s="262"/>
      <c r="AQ354" s="267">
        <v>1</v>
      </c>
      <c r="AR354" s="262"/>
      <c r="AS354" s="266">
        <f t="shared" si="216"/>
        <v>0</v>
      </c>
      <c r="AT354" s="264">
        <f t="shared" si="217"/>
        <v>0</v>
      </c>
      <c r="AU354" s="262"/>
      <c r="AV354" s="262"/>
      <c r="AW354" s="265">
        <v>1</v>
      </c>
      <c r="AX354" s="164" t="s">
        <v>1469</v>
      </c>
      <c r="AY354" s="266">
        <v>0</v>
      </c>
      <c r="AZ354" s="266">
        <f t="shared" si="218"/>
        <v>0</v>
      </c>
      <c r="BA354" s="264">
        <f t="shared" si="219"/>
        <v>0</v>
      </c>
      <c r="BB354" s="262"/>
      <c r="BC354" s="262"/>
      <c r="BD354" s="265">
        <f ca="1">IFERROR(INDEX(Algorithms!$G:$G,MATCH($C354&amp;"_Therm Saved per Unit",Algorithms!$A:$A,0)),0)</f>
        <v>1</v>
      </c>
      <c r="BE354" s="164" t="str">
        <f ca="1">IFERROR(INDEX('v12 Revisions'!$P$29:$P$186, MATCH('Measure-Level Adj Gas'!$L354, 'v12 Revisions'!$D$29:$D$186,0)),"")</f>
        <v/>
      </c>
      <c r="BF354" s="266">
        <f t="shared" ca="1" si="220"/>
        <v>0</v>
      </c>
      <c r="BG354" s="264">
        <f t="shared" ca="1" si="221"/>
        <v>0</v>
      </c>
      <c r="BH354" s="262"/>
      <c r="BI354" s="262"/>
      <c r="BJ354" s="265">
        <f ca="1">IFERROR(INDEX(Algorithms!$G:$G,MATCH($C354&amp;"_Therm Saved per Unit",Algorithms!$A:$A,0)),0)</f>
        <v>1</v>
      </c>
      <c r="BK354" s="164"/>
      <c r="BL354" s="266">
        <f t="shared" ca="1" si="222"/>
        <v>0</v>
      </c>
      <c r="BM354" s="264">
        <f t="shared" ca="1" si="223"/>
        <v>0</v>
      </c>
      <c r="BN354" s="266">
        <f t="shared" si="224"/>
        <v>0</v>
      </c>
      <c r="BO354" s="266">
        <f t="shared" si="225"/>
        <v>0</v>
      </c>
      <c r="BP354" s="266">
        <f t="shared" ca="1" si="226"/>
        <v>0</v>
      </c>
      <c r="BQ354" s="266">
        <f t="shared" ca="1" si="227"/>
        <v>0</v>
      </c>
      <c r="BR354" s="268">
        <f t="shared" ca="1" si="228"/>
        <v>0</v>
      </c>
      <c r="BS354" s="262" t="s">
        <v>99</v>
      </c>
      <c r="BT354" s="277"/>
      <c r="BW354" s="266">
        <f t="shared" si="229"/>
        <v>0</v>
      </c>
      <c r="BX354" s="266">
        <f t="shared" si="230"/>
        <v>0</v>
      </c>
      <c r="BY354" s="266">
        <f t="shared" si="231"/>
        <v>0</v>
      </c>
      <c r="BZ354" s="266">
        <f t="shared" si="232"/>
        <v>0</v>
      </c>
      <c r="CA354" s="266">
        <f ca="1">N354*IFERROR(INDEX(Algorithms!$G:$G,MATCH($C354&amp;"_Therm Saved per Unit- MLA",Algorithms!$A:$A,0)),0)*X354</f>
        <v>0</v>
      </c>
      <c r="CB354" s="266">
        <f ca="1">O354*IFERROR(INDEX(Algorithms!$G:$G,MATCH($C354&amp;"_Therm Saved per Unit- MLA",Algorithms!$A:$A,0)),0)*Y354</f>
        <v>0</v>
      </c>
      <c r="CC354" s="266">
        <f ca="1">P354*IFERROR(INDEX(Algorithms!$G:$G,MATCH($C354&amp;"_Therm Saved per Unit- MLA",Algorithms!$A:$A,0)),0)*Z354</f>
        <v>0</v>
      </c>
      <c r="CD354" s="266">
        <f ca="1">Q354*IFERROR(INDEX(Algorithms!$G:$G,MATCH($C354&amp;"_Therm Saved per Unit- MLA",Algorithms!$A:$A,0)),0)*AA354</f>
        <v>0</v>
      </c>
      <c r="CE354" s="266">
        <f ca="1">IFERROR(INDEX(Algorithms!$G:$G,MATCH($C354&amp;"_Lifetime (years)",Algorithms!$A:$A,0)),0)</f>
        <v>5</v>
      </c>
      <c r="CF354" s="266">
        <f ca="1">IFERROR(INDEX(Algorithms!$G:$G,MATCH($C354&amp;"_Lifetime (years) - Remaining Years",Algorithms!$A:$A,0)),0)</f>
        <v>0</v>
      </c>
      <c r="CG354" s="266">
        <f t="shared" ca="1" si="233"/>
        <v>0</v>
      </c>
      <c r="CH354" s="266">
        <f t="shared" ca="1" si="234"/>
        <v>0</v>
      </c>
      <c r="CI354" s="266">
        <f t="shared" ca="1" si="235"/>
        <v>0</v>
      </c>
      <c r="CJ354" s="266">
        <f t="shared" ca="1" si="236"/>
        <v>0</v>
      </c>
      <c r="CK354" s="266">
        <f t="shared" si="237"/>
        <v>0</v>
      </c>
      <c r="CL354" s="266">
        <f t="shared" si="238"/>
        <v>0</v>
      </c>
      <c r="CM354" s="266">
        <f t="shared" ca="1" si="239"/>
        <v>0</v>
      </c>
      <c r="CN354" s="266">
        <f t="shared" ca="1" si="240"/>
        <v>0</v>
      </c>
      <c r="CO354" s="266">
        <f ca="1">N354*IFERROR(INDEX(Algorithms!$G:$G,MATCH($C354&amp;"_Therm Saved per Unit- MLA",Algorithms!$A:$A,0)),0)*X354</f>
        <v>0</v>
      </c>
      <c r="CP354" s="266">
        <f ca="1">O354*IFERROR(INDEX(Algorithms!$G:$G,MATCH($C354&amp;"_Therm Saved per Unit- MLA",Algorithms!$A:$A,0)),0)*Y354</f>
        <v>0</v>
      </c>
      <c r="CQ354" s="266">
        <f ca="1">P354*IFERROR(INDEX(Algorithms!$G:$G,MATCH($C354&amp;"_Therm Saved per Unit- MLA",Algorithms!$A:$A,0)),0)*Z354</f>
        <v>0</v>
      </c>
      <c r="CR354" s="266">
        <f ca="1">Q354*IFERROR(INDEX(Algorithms!$G:$G,MATCH($C354&amp;"_Therm Saved per Unit- MLA",Algorithms!$A:$A,0)),0)*AA354</f>
        <v>0</v>
      </c>
      <c r="CS354" s="266">
        <f ca="1">IFERROR(INDEX(Algorithms!$G:$G,MATCH($C354&amp;"_Lifetime (years)",Algorithms!$A:$A,0)),0)</f>
        <v>5</v>
      </c>
      <c r="CT354" s="266">
        <f ca="1">IFERROR(INDEX(Algorithms!$G:$G,MATCH($C354&amp;"_Lifetime (years) - Remaining Years",Algorithms!$A:$A,0)),0)</f>
        <v>0</v>
      </c>
      <c r="CU354" s="266">
        <f t="shared" ca="1" si="241"/>
        <v>0</v>
      </c>
      <c r="CV354" s="266">
        <f t="shared" ca="1" si="242"/>
        <v>0</v>
      </c>
      <c r="CW354" s="266">
        <f t="shared" ca="1" si="243"/>
        <v>0</v>
      </c>
      <c r="CX354" s="266">
        <f t="shared" ca="1" si="244"/>
        <v>0</v>
      </c>
    </row>
    <row r="355" spans="2:102" s="47" customFormat="1" ht="18" customHeight="1" x14ac:dyDescent="0.25">
      <c r="B355" t="str">
        <f t="shared" si="245"/>
        <v>NSG_Residential_Multi-Family_Standard Rebate_Boiler_≥88% AFUE, ≥300MBh TE_MF</v>
      </c>
      <c r="C355" s="47" t="str">
        <f t="shared" si="206"/>
        <v>Boiler_≥88% AFUE, ≥300MBh TE_MF</v>
      </c>
      <c r="D355" s="270" t="s">
        <v>1787</v>
      </c>
      <c r="E355" s="270" t="s">
        <v>2</v>
      </c>
      <c r="F355" s="270" t="s">
        <v>1422</v>
      </c>
      <c r="G355" s="270" t="s">
        <v>1418</v>
      </c>
      <c r="H355" s="270" t="s">
        <v>944</v>
      </c>
      <c r="I355" s="270" t="s">
        <v>946</v>
      </c>
      <c r="J355" s="270" t="s">
        <v>553</v>
      </c>
      <c r="K355" s="263">
        <v>1</v>
      </c>
      <c r="L355" s="263" t="str">
        <f ca="1">IFERROR(INDEX(Algorithms!J:J,MATCH($C355&amp;"_Therm Saved per Unit",Algorithms!$A:$A,0)),"n/a")</f>
        <v>4.4.10</v>
      </c>
      <c r="M355" s="263" t="str">
        <f>IFERROR(INDEX('Measure Level Detail'!$N:$N,MATCH($B355,'Measure Level Detail'!$B:$B,0)),0)</f>
        <v>MBH</v>
      </c>
      <c r="N355" s="271">
        <f>IFERROR(INDEX('Measure Level Detail'!$P:$P,MATCH($B355&amp;"_"&amp;N$3,'Measure Level Detail'!$C:$C,0)),0)</f>
        <v>0</v>
      </c>
      <c r="O355" s="271">
        <f>IFERROR(INDEX('Measure Level Detail'!$P:$P,MATCH($B355&amp;"_"&amp;O$3,'Measure Level Detail'!$C:$C,0)),0)</f>
        <v>0</v>
      </c>
      <c r="P355" s="271">
        <f>IFERROR(INDEX('Measure Level Detail'!$P:$P,MATCH($B355&amp;"_"&amp;P$3,'Measure Level Detail'!$C:$C,0)),0)</f>
        <v>0</v>
      </c>
      <c r="Q355" s="271">
        <f>IFERROR(INDEX('Measure Level Detail'!$P:$P,MATCH($B355&amp;"_"&amp;Q$3,'Measure Level Detail'!$C:$C,0)),0)</f>
        <v>0</v>
      </c>
      <c r="R355" s="263" t="str">
        <f ca="1">IFERROR(INDEX(Algorithms!K:K,MATCH($C355&amp;"_Therm Saved per Unit",Algorithms!$A:$A,0)),"n/a")</f>
        <v>CI-HVC-BOIL-V11-240101</v>
      </c>
      <c r="S355" s="262"/>
      <c r="T355" s="272">
        <v>1.6609999999999991</v>
      </c>
      <c r="U355" s="272">
        <v>1.6609999999999991</v>
      </c>
      <c r="V355" s="272">
        <v>1.6609999999999991</v>
      </c>
      <c r="W355" s="272">
        <v>1.6609999999999991</v>
      </c>
      <c r="X355" s="273">
        <f>IFERROR(INDEX('Measure Level Detail'!$R:$R,MATCH($B355&amp;"_"&amp;X$3,'Measure Level Detail'!$C:$C,0)),0)</f>
        <v>0.87</v>
      </c>
      <c r="Y355" s="273">
        <f>IFERROR(INDEX('Measure Level Detail'!$R:$R,MATCH($B355&amp;"_"&amp;Y$3,'Measure Level Detail'!$C:$C,0)),0)</f>
        <v>0.87</v>
      </c>
      <c r="Z355" s="273">
        <f>IFERROR(INDEX('Measure Level Detail'!$R:$R,MATCH($B355&amp;"_"&amp;Z$3,'Measure Level Detail'!$C:$C,0)),0)</f>
        <v>0.87</v>
      </c>
      <c r="AA355" s="273">
        <f>IFERROR(INDEX('Measure Level Detail'!$R:$R,MATCH($B355&amp;"_"&amp;AA$3,'Measure Level Detail'!$C:$C,0)),0)</f>
        <v>0.87</v>
      </c>
      <c r="AB355" s="266">
        <f t="shared" si="207"/>
        <v>0</v>
      </c>
      <c r="AC355" s="266">
        <f t="shared" si="208"/>
        <v>0</v>
      </c>
      <c r="AD355" s="266">
        <f t="shared" si="209"/>
        <v>0</v>
      </c>
      <c r="AE355" s="266">
        <f t="shared" si="210"/>
        <v>0</v>
      </c>
      <c r="AF355" s="266">
        <f t="shared" si="211"/>
        <v>0</v>
      </c>
      <c r="AG355" s="274">
        <v>0.87</v>
      </c>
      <c r="AH355" s="274">
        <v>0.87</v>
      </c>
      <c r="AI355" s="274">
        <v>0.87</v>
      </c>
      <c r="AJ355" s="274">
        <v>0.87</v>
      </c>
      <c r="AK355" s="274">
        <f t="shared" si="212"/>
        <v>0.87</v>
      </c>
      <c r="AL355" s="274">
        <f t="shared" si="213"/>
        <v>0.87</v>
      </c>
      <c r="AM355" s="274">
        <f t="shared" si="214"/>
        <v>0.87</v>
      </c>
      <c r="AN355" s="274">
        <f t="shared" si="215"/>
        <v>0.87</v>
      </c>
      <c r="AO355" s="262"/>
      <c r="AP355" s="262"/>
      <c r="AQ355" s="267">
        <v>1.6609999999999991</v>
      </c>
      <c r="AR355" s="262"/>
      <c r="AS355" s="266">
        <f t="shared" si="216"/>
        <v>0</v>
      </c>
      <c r="AT355" s="264">
        <f t="shared" si="217"/>
        <v>0</v>
      </c>
      <c r="AU355" s="262"/>
      <c r="AV355" s="262"/>
      <c r="AW355" s="265">
        <v>1.6609999999999991</v>
      </c>
      <c r="AX355" s="164" t="s">
        <v>1469</v>
      </c>
      <c r="AY355" s="266">
        <v>0</v>
      </c>
      <c r="AZ355" s="266">
        <f t="shared" si="218"/>
        <v>0</v>
      </c>
      <c r="BA355" s="264">
        <f t="shared" si="219"/>
        <v>0</v>
      </c>
      <c r="BB355" s="262"/>
      <c r="BC355" s="262"/>
      <c r="BD355" s="265">
        <f ca="1">IFERROR(INDEX(Algorithms!$G:$G,MATCH($C355&amp;"_Therm Saved per Unit",Algorithms!$A:$A,0)),0)</f>
        <v>0.79095238095238163</v>
      </c>
      <c r="BE355" s="164" t="str">
        <f ca="1">IFERROR(INDEX('v12 Revisions'!$P$29:$P$186, MATCH('Measure-Level Adj Gas'!$L355, 'v12 Revisions'!$D$29:$D$186,0)),"")</f>
        <v>Updated baseline and efficient boiler efficiency ratings.</v>
      </c>
      <c r="BF355" s="266">
        <f t="shared" ca="1" si="220"/>
        <v>0</v>
      </c>
      <c r="BG355" s="264">
        <f t="shared" ca="1" si="221"/>
        <v>0</v>
      </c>
      <c r="BH355" s="262"/>
      <c r="BI355" s="262"/>
      <c r="BJ355" s="265">
        <f ca="1">IFERROR(INDEX(Algorithms!$G:$G,MATCH($C355&amp;"_Therm Saved per Unit",Algorithms!$A:$A,0)),0)</f>
        <v>0.79095238095238163</v>
      </c>
      <c r="BK355" s="164"/>
      <c r="BL355" s="266">
        <f t="shared" ca="1" si="222"/>
        <v>0</v>
      </c>
      <c r="BM355" s="264">
        <f t="shared" ca="1" si="223"/>
        <v>0</v>
      </c>
      <c r="BN355" s="266">
        <f t="shared" si="224"/>
        <v>0</v>
      </c>
      <c r="BO355" s="266">
        <f t="shared" si="225"/>
        <v>0</v>
      </c>
      <c r="BP355" s="266">
        <f t="shared" ca="1" si="226"/>
        <v>0</v>
      </c>
      <c r="BQ355" s="266">
        <f t="shared" ca="1" si="227"/>
        <v>0</v>
      </c>
      <c r="BR355" s="268">
        <f t="shared" ca="1" si="228"/>
        <v>0</v>
      </c>
      <c r="BS355" s="262" t="s">
        <v>99</v>
      </c>
      <c r="BT355" s="277"/>
      <c r="BW355" s="266">
        <f t="shared" si="229"/>
        <v>0</v>
      </c>
      <c r="BX355" s="266">
        <f t="shared" si="230"/>
        <v>0</v>
      </c>
      <c r="BY355" s="266">
        <f t="shared" si="231"/>
        <v>0</v>
      </c>
      <c r="BZ355" s="266">
        <f t="shared" si="232"/>
        <v>0</v>
      </c>
      <c r="CA355" s="266">
        <f ca="1">N355*IFERROR(INDEX(Algorithms!$G:$G,MATCH($C355&amp;"_Therm Saved per Unit- MLA",Algorithms!$A:$A,0)),0)*X355</f>
        <v>0</v>
      </c>
      <c r="CB355" s="266">
        <f ca="1">O355*IFERROR(INDEX(Algorithms!$G:$G,MATCH($C355&amp;"_Therm Saved per Unit- MLA",Algorithms!$A:$A,0)),0)*Y355</f>
        <v>0</v>
      </c>
      <c r="CC355" s="266">
        <f ca="1">P355*IFERROR(INDEX(Algorithms!$G:$G,MATCH($C355&amp;"_Therm Saved per Unit- MLA",Algorithms!$A:$A,0)),0)*Z355</f>
        <v>0</v>
      </c>
      <c r="CD355" s="266">
        <f ca="1">Q355*IFERROR(INDEX(Algorithms!$G:$G,MATCH($C355&amp;"_Therm Saved per Unit- MLA",Algorithms!$A:$A,0)),0)*AA355</f>
        <v>0</v>
      </c>
      <c r="CE355" s="266">
        <f ca="1">IFERROR(INDEX(Algorithms!$G:$G,MATCH($C355&amp;"_Lifetime (years)",Algorithms!$A:$A,0)),0)</f>
        <v>25</v>
      </c>
      <c r="CF355" s="266">
        <f ca="1">IFERROR(INDEX(Algorithms!$G:$G,MATCH($C355&amp;"_Lifetime (years) - Remaining Years",Algorithms!$A:$A,0)),0)</f>
        <v>0</v>
      </c>
      <c r="CG355" s="266">
        <f t="shared" ca="1" si="233"/>
        <v>0</v>
      </c>
      <c r="CH355" s="266">
        <f t="shared" ca="1" si="234"/>
        <v>0</v>
      </c>
      <c r="CI355" s="266">
        <f t="shared" ca="1" si="235"/>
        <v>0</v>
      </c>
      <c r="CJ355" s="266">
        <f t="shared" ca="1" si="236"/>
        <v>0</v>
      </c>
      <c r="CK355" s="266">
        <f t="shared" si="237"/>
        <v>0</v>
      </c>
      <c r="CL355" s="266">
        <f t="shared" si="238"/>
        <v>0</v>
      </c>
      <c r="CM355" s="266">
        <f t="shared" ca="1" si="239"/>
        <v>0</v>
      </c>
      <c r="CN355" s="266">
        <f t="shared" ca="1" si="240"/>
        <v>0</v>
      </c>
      <c r="CO355" s="266">
        <f ca="1">N355*IFERROR(INDEX(Algorithms!$G:$G,MATCH($C355&amp;"_Therm Saved per Unit- MLA",Algorithms!$A:$A,0)),0)*X355</f>
        <v>0</v>
      </c>
      <c r="CP355" s="266">
        <f ca="1">O355*IFERROR(INDEX(Algorithms!$G:$G,MATCH($C355&amp;"_Therm Saved per Unit- MLA",Algorithms!$A:$A,0)),0)*Y355</f>
        <v>0</v>
      </c>
      <c r="CQ355" s="266">
        <f ca="1">P355*IFERROR(INDEX(Algorithms!$G:$G,MATCH($C355&amp;"_Therm Saved per Unit- MLA",Algorithms!$A:$A,0)),0)*Z355</f>
        <v>0</v>
      </c>
      <c r="CR355" s="266">
        <f ca="1">Q355*IFERROR(INDEX(Algorithms!$G:$G,MATCH($C355&amp;"_Therm Saved per Unit- MLA",Algorithms!$A:$A,0)),0)*AA355</f>
        <v>0</v>
      </c>
      <c r="CS355" s="266">
        <f ca="1">IFERROR(INDEX(Algorithms!$G:$G,MATCH($C355&amp;"_Lifetime (years)",Algorithms!$A:$A,0)),0)</f>
        <v>25</v>
      </c>
      <c r="CT355" s="266">
        <f ca="1">IFERROR(INDEX(Algorithms!$G:$G,MATCH($C355&amp;"_Lifetime (years) - Remaining Years",Algorithms!$A:$A,0)),0)</f>
        <v>0</v>
      </c>
      <c r="CU355" s="266">
        <f t="shared" ca="1" si="241"/>
        <v>0</v>
      </c>
      <c r="CV355" s="266">
        <f t="shared" ca="1" si="242"/>
        <v>0</v>
      </c>
      <c r="CW355" s="266">
        <f t="shared" ca="1" si="243"/>
        <v>0</v>
      </c>
      <c r="CX355" s="266">
        <f t="shared" ca="1" si="244"/>
        <v>0</v>
      </c>
    </row>
    <row r="356" spans="2:102" s="47" customFormat="1" ht="18" customHeight="1" x14ac:dyDescent="0.25">
      <c r="B356" t="str">
        <f t="shared" si="245"/>
        <v>NSG_Residential_Multi-Family_Standard Rebate_Condensing Unit Heater_0_MF/CI</v>
      </c>
      <c r="C356" s="47" t="str">
        <f t="shared" si="206"/>
        <v>Condensing Unit Heater_0_MF/CI</v>
      </c>
      <c r="D356" s="270" t="s">
        <v>1787</v>
      </c>
      <c r="E356" s="270" t="s">
        <v>2</v>
      </c>
      <c r="F356" s="270" t="s">
        <v>1422</v>
      </c>
      <c r="G356" s="270" t="s">
        <v>1418</v>
      </c>
      <c r="H356" s="270" t="s">
        <v>13</v>
      </c>
      <c r="I356" s="270">
        <v>0</v>
      </c>
      <c r="J356" s="270" t="s">
        <v>587</v>
      </c>
      <c r="K356" s="263">
        <v>1</v>
      </c>
      <c r="L356" s="263" t="str">
        <f ca="1">IFERROR(INDEX(Algorithms!J:J,MATCH($C356&amp;"_Therm Saved per Unit",Algorithms!$A:$A,0)),"n/a")</f>
        <v>4.4.5</v>
      </c>
      <c r="M356" s="263" t="str">
        <f>IFERROR(INDEX('Measure Level Detail'!$N:$N,MATCH($B356,'Measure Level Detail'!$B:$B,0)),0)</f>
        <v>MBH</v>
      </c>
      <c r="N356" s="271">
        <f>IFERROR(INDEX('Measure Level Detail'!$P:$P,MATCH($B356&amp;"_"&amp;N$3,'Measure Level Detail'!$C:$C,0)),0)</f>
        <v>0</v>
      </c>
      <c r="O356" s="271">
        <f>IFERROR(INDEX('Measure Level Detail'!$P:$P,MATCH($B356&amp;"_"&amp;O$3,'Measure Level Detail'!$C:$C,0)),0)</f>
        <v>0</v>
      </c>
      <c r="P356" s="271">
        <f>IFERROR(INDEX('Measure Level Detail'!$P:$P,MATCH($B356&amp;"_"&amp;P$3,'Measure Level Detail'!$C:$C,0)),0)</f>
        <v>0</v>
      </c>
      <c r="Q356" s="271">
        <f>IFERROR(INDEX('Measure Level Detail'!$P:$P,MATCH($B356&amp;"_"&amp;Q$3,'Measure Level Detail'!$C:$C,0)),0)</f>
        <v>0</v>
      </c>
      <c r="R356" s="263" t="str">
        <f ca="1">IFERROR(INDEX(Algorithms!K:K,MATCH($C356&amp;"_Therm Saved per Unit",Algorithms!$A:$A,0)),"n/a")</f>
        <v>CI-HVC-CUHT-V03-230101</v>
      </c>
      <c r="S356" s="262"/>
      <c r="T356" s="272">
        <v>1.7733333333333334</v>
      </c>
      <c r="U356" s="272">
        <v>1.7733333333333334</v>
      </c>
      <c r="V356" s="272">
        <v>1.7733333333333334</v>
      </c>
      <c r="W356" s="272">
        <v>1.7733333333333334</v>
      </c>
      <c r="X356" s="273">
        <f>IFERROR(INDEX('Measure Level Detail'!$R:$R,MATCH($B356&amp;"_"&amp;X$3,'Measure Level Detail'!$C:$C,0)),0)</f>
        <v>0.87</v>
      </c>
      <c r="Y356" s="273">
        <f>IFERROR(INDEX('Measure Level Detail'!$R:$R,MATCH($B356&amp;"_"&amp;Y$3,'Measure Level Detail'!$C:$C,0)),0)</f>
        <v>0.87</v>
      </c>
      <c r="Z356" s="273">
        <f>IFERROR(INDEX('Measure Level Detail'!$R:$R,MATCH($B356&amp;"_"&amp;Z$3,'Measure Level Detail'!$C:$C,0)),0)</f>
        <v>0.87</v>
      </c>
      <c r="AA356" s="273">
        <f>IFERROR(INDEX('Measure Level Detail'!$R:$R,MATCH($B356&amp;"_"&amp;AA$3,'Measure Level Detail'!$C:$C,0)),0)</f>
        <v>0.87</v>
      </c>
      <c r="AB356" s="266">
        <f t="shared" si="207"/>
        <v>0</v>
      </c>
      <c r="AC356" s="266">
        <f t="shared" si="208"/>
        <v>0</v>
      </c>
      <c r="AD356" s="266">
        <f t="shared" si="209"/>
        <v>0</v>
      </c>
      <c r="AE356" s="266">
        <f t="shared" si="210"/>
        <v>0</v>
      </c>
      <c r="AF356" s="266">
        <f t="shared" si="211"/>
        <v>0</v>
      </c>
      <c r="AG356" s="274">
        <v>0.87</v>
      </c>
      <c r="AH356" s="274">
        <v>0.87</v>
      </c>
      <c r="AI356" s="274">
        <v>0.87</v>
      </c>
      <c r="AJ356" s="274">
        <v>0.87</v>
      </c>
      <c r="AK356" s="274">
        <f t="shared" si="212"/>
        <v>0.87</v>
      </c>
      <c r="AL356" s="274">
        <f t="shared" si="213"/>
        <v>0.87</v>
      </c>
      <c r="AM356" s="274">
        <f t="shared" si="214"/>
        <v>0.87</v>
      </c>
      <c r="AN356" s="274">
        <f t="shared" si="215"/>
        <v>0.87</v>
      </c>
      <c r="AO356" s="262"/>
      <c r="AP356" s="262"/>
      <c r="AQ356" s="267">
        <v>1.6896527777777772</v>
      </c>
      <c r="AR356" s="262"/>
      <c r="AS356" s="266">
        <f t="shared" si="216"/>
        <v>0</v>
      </c>
      <c r="AT356" s="264">
        <f t="shared" si="217"/>
        <v>0</v>
      </c>
      <c r="AU356" s="262"/>
      <c r="AV356" s="262"/>
      <c r="AW356" s="265">
        <v>1.6896527777777772</v>
      </c>
      <c r="AX356" s="164" t="s">
        <v>1469</v>
      </c>
      <c r="AY356" s="266">
        <v>0</v>
      </c>
      <c r="AZ356" s="266">
        <f t="shared" si="218"/>
        <v>0</v>
      </c>
      <c r="BA356" s="264">
        <f t="shared" si="219"/>
        <v>0</v>
      </c>
      <c r="BB356" s="262"/>
      <c r="BC356" s="262"/>
      <c r="BD356" s="265">
        <f ca="1">IFERROR(INDEX(Algorithms!$G:$G,MATCH($C356&amp;"_Therm Saved per Unit",Algorithms!$A:$A,0)),0)</f>
        <v>1.6896527777777772</v>
      </c>
      <c r="BE356" s="164" t="str">
        <f ca="1">IFERROR(INDEX('v12 Revisions'!$P$29:$P$186, MATCH('Measure-Level Adj Gas'!$L356, 'v12 Revisions'!$D$29:$D$186,0)),"")</f>
        <v/>
      </c>
      <c r="BF356" s="266">
        <f t="shared" ca="1" si="220"/>
        <v>0</v>
      </c>
      <c r="BG356" s="264">
        <f t="shared" ca="1" si="221"/>
        <v>0</v>
      </c>
      <c r="BH356" s="262"/>
      <c r="BI356" s="262"/>
      <c r="BJ356" s="265">
        <f ca="1">IFERROR(INDEX(Algorithms!$G:$G,MATCH($C356&amp;"_Therm Saved per Unit",Algorithms!$A:$A,0)),0)</f>
        <v>1.6896527777777772</v>
      </c>
      <c r="BK356" s="164"/>
      <c r="BL356" s="266">
        <f t="shared" ca="1" si="222"/>
        <v>0</v>
      </c>
      <c r="BM356" s="264">
        <f t="shared" ca="1" si="223"/>
        <v>0</v>
      </c>
      <c r="BN356" s="266">
        <f t="shared" si="224"/>
        <v>0</v>
      </c>
      <c r="BO356" s="266">
        <f t="shared" si="225"/>
        <v>0</v>
      </c>
      <c r="BP356" s="266">
        <f t="shared" ca="1" si="226"/>
        <v>0</v>
      </c>
      <c r="BQ356" s="266">
        <f t="shared" ca="1" si="227"/>
        <v>0</v>
      </c>
      <c r="BR356" s="268">
        <f t="shared" ca="1" si="228"/>
        <v>0</v>
      </c>
      <c r="BS356" s="262" t="s">
        <v>99</v>
      </c>
      <c r="BT356" s="277"/>
      <c r="BW356" s="266">
        <f t="shared" si="229"/>
        <v>0</v>
      </c>
      <c r="BX356" s="266">
        <f t="shared" si="230"/>
        <v>0</v>
      </c>
      <c r="BY356" s="266">
        <f t="shared" si="231"/>
        <v>0</v>
      </c>
      <c r="BZ356" s="266">
        <f t="shared" si="232"/>
        <v>0</v>
      </c>
      <c r="CA356" s="266">
        <f ca="1">N356*IFERROR(INDEX(Algorithms!$G:$G,MATCH($C356&amp;"_Therm Saved per Unit- MLA",Algorithms!$A:$A,0)),0)*X356</f>
        <v>0</v>
      </c>
      <c r="CB356" s="266">
        <f ca="1">O356*IFERROR(INDEX(Algorithms!$G:$G,MATCH($C356&amp;"_Therm Saved per Unit- MLA",Algorithms!$A:$A,0)),0)*Y356</f>
        <v>0</v>
      </c>
      <c r="CC356" s="266">
        <f ca="1">P356*IFERROR(INDEX(Algorithms!$G:$G,MATCH($C356&amp;"_Therm Saved per Unit- MLA",Algorithms!$A:$A,0)),0)*Z356</f>
        <v>0</v>
      </c>
      <c r="CD356" s="266">
        <f ca="1">Q356*IFERROR(INDEX(Algorithms!$G:$G,MATCH($C356&amp;"_Therm Saved per Unit- MLA",Algorithms!$A:$A,0)),0)*AA356</f>
        <v>0</v>
      </c>
      <c r="CE356" s="266">
        <f ca="1">IFERROR(INDEX(Algorithms!$G:$G,MATCH($C356&amp;"_Lifetime (years)",Algorithms!$A:$A,0)),0)</f>
        <v>12</v>
      </c>
      <c r="CF356" s="266">
        <f ca="1">IFERROR(INDEX(Algorithms!$G:$G,MATCH($C356&amp;"_Lifetime (years) - Remaining Years",Algorithms!$A:$A,0)),0)</f>
        <v>0</v>
      </c>
      <c r="CG356" s="266">
        <f t="shared" ca="1" si="233"/>
        <v>0</v>
      </c>
      <c r="CH356" s="266">
        <f t="shared" ca="1" si="234"/>
        <v>0</v>
      </c>
      <c r="CI356" s="266">
        <f t="shared" ca="1" si="235"/>
        <v>0</v>
      </c>
      <c r="CJ356" s="266">
        <f t="shared" ca="1" si="236"/>
        <v>0</v>
      </c>
      <c r="CK356" s="266">
        <f t="shared" si="237"/>
        <v>0</v>
      </c>
      <c r="CL356" s="266">
        <f t="shared" si="238"/>
        <v>0</v>
      </c>
      <c r="CM356" s="266">
        <f t="shared" ca="1" si="239"/>
        <v>0</v>
      </c>
      <c r="CN356" s="266">
        <f t="shared" ca="1" si="240"/>
        <v>0</v>
      </c>
      <c r="CO356" s="266">
        <f ca="1">N356*IFERROR(INDEX(Algorithms!$G:$G,MATCH($C356&amp;"_Therm Saved per Unit- MLA",Algorithms!$A:$A,0)),0)*X356</f>
        <v>0</v>
      </c>
      <c r="CP356" s="266">
        <f ca="1">O356*IFERROR(INDEX(Algorithms!$G:$G,MATCH($C356&amp;"_Therm Saved per Unit- MLA",Algorithms!$A:$A,0)),0)*Y356</f>
        <v>0</v>
      </c>
      <c r="CQ356" s="266">
        <f ca="1">P356*IFERROR(INDEX(Algorithms!$G:$G,MATCH($C356&amp;"_Therm Saved per Unit- MLA",Algorithms!$A:$A,0)),0)*Z356</f>
        <v>0</v>
      </c>
      <c r="CR356" s="266">
        <f ca="1">Q356*IFERROR(INDEX(Algorithms!$G:$G,MATCH($C356&amp;"_Therm Saved per Unit- MLA",Algorithms!$A:$A,0)),0)*AA356</f>
        <v>0</v>
      </c>
      <c r="CS356" s="266">
        <f ca="1">IFERROR(INDEX(Algorithms!$G:$G,MATCH($C356&amp;"_Lifetime (years)",Algorithms!$A:$A,0)),0)</f>
        <v>12</v>
      </c>
      <c r="CT356" s="266">
        <f ca="1">IFERROR(INDEX(Algorithms!$G:$G,MATCH($C356&amp;"_Lifetime (years) - Remaining Years",Algorithms!$A:$A,0)),0)</f>
        <v>0</v>
      </c>
      <c r="CU356" s="266">
        <f t="shared" ca="1" si="241"/>
        <v>0</v>
      </c>
      <c r="CV356" s="266">
        <f t="shared" ca="1" si="242"/>
        <v>0</v>
      </c>
      <c r="CW356" s="266">
        <f t="shared" ca="1" si="243"/>
        <v>0</v>
      </c>
      <c r="CX356" s="266">
        <f t="shared" ca="1" si="244"/>
        <v>0</v>
      </c>
    </row>
    <row r="357" spans="2:102" s="47" customFormat="1" ht="18" customHeight="1" x14ac:dyDescent="0.25">
      <c r="B357" t="str">
        <f t="shared" si="245"/>
        <v>NSG_Residential_Multi-Family_Standard Rebate_Direct Fired Heaters_0_MF/CI</v>
      </c>
      <c r="C357" s="47" t="str">
        <f t="shared" si="206"/>
        <v>Direct Fired Heaters_0_MF/CI</v>
      </c>
      <c r="D357" s="270" t="s">
        <v>1787</v>
      </c>
      <c r="E357" s="270" t="s">
        <v>2</v>
      </c>
      <c r="F357" s="270" t="s">
        <v>1422</v>
      </c>
      <c r="G357" s="270" t="s">
        <v>1418</v>
      </c>
      <c r="H357" s="270" t="s">
        <v>666</v>
      </c>
      <c r="I357" s="270">
        <v>0</v>
      </c>
      <c r="J357" s="270" t="s">
        <v>587</v>
      </c>
      <c r="K357" s="263">
        <v>1</v>
      </c>
      <c r="L357" s="263" t="str">
        <f ca="1">IFERROR(INDEX(Algorithms!J:J,MATCH($C357&amp;"_Therm Saved per Unit",Algorithms!$A:$A,0)),"n/a")</f>
        <v>4.4.39</v>
      </c>
      <c r="M357" s="263" t="str">
        <f>IFERROR(INDEX('Measure Level Detail'!$N:$N,MATCH($B357,'Measure Level Detail'!$B:$B,0)),0)</f>
        <v>MBH</v>
      </c>
      <c r="N357" s="271">
        <f>IFERROR(INDEX('Measure Level Detail'!$P:$P,MATCH($B357&amp;"_"&amp;N$3,'Measure Level Detail'!$C:$C,0)),0)</f>
        <v>0</v>
      </c>
      <c r="O357" s="271">
        <f>IFERROR(INDEX('Measure Level Detail'!$P:$P,MATCH($B357&amp;"_"&amp;O$3,'Measure Level Detail'!$C:$C,0)),0)</f>
        <v>0</v>
      </c>
      <c r="P357" s="271">
        <f>IFERROR(INDEX('Measure Level Detail'!$P:$P,MATCH($B357&amp;"_"&amp;P$3,'Measure Level Detail'!$C:$C,0)),0)</f>
        <v>0</v>
      </c>
      <c r="Q357" s="271">
        <f>IFERROR(INDEX('Measure Level Detail'!$P:$P,MATCH($B357&amp;"_"&amp;Q$3,'Measure Level Detail'!$C:$C,0)),0)</f>
        <v>0</v>
      </c>
      <c r="R357" s="263" t="str">
        <f ca="1">IFERROR(INDEX(Algorithms!K:K,MATCH($C357&amp;"_Therm Saved per Unit",Algorithms!$A:$A,0)),"n/a")</f>
        <v>CI-HVC-HTHV-V02-230101</v>
      </c>
      <c r="S357" s="262"/>
      <c r="T357" s="272">
        <v>3.72</v>
      </c>
      <c r="U357" s="272">
        <v>3.72</v>
      </c>
      <c r="V357" s="272">
        <v>3.72</v>
      </c>
      <c r="W357" s="272">
        <v>3.72</v>
      </c>
      <c r="X357" s="273">
        <f>IFERROR(INDEX('Measure Level Detail'!$R:$R,MATCH($B357&amp;"_"&amp;X$3,'Measure Level Detail'!$C:$C,0)),0)</f>
        <v>0.87</v>
      </c>
      <c r="Y357" s="273">
        <f>IFERROR(INDEX('Measure Level Detail'!$R:$R,MATCH($B357&amp;"_"&amp;Y$3,'Measure Level Detail'!$C:$C,0)),0)</f>
        <v>0.87</v>
      </c>
      <c r="Z357" s="273">
        <f>IFERROR(INDEX('Measure Level Detail'!$R:$R,MATCH($B357&amp;"_"&amp;Z$3,'Measure Level Detail'!$C:$C,0)),0)</f>
        <v>0.87</v>
      </c>
      <c r="AA357" s="273">
        <f>IFERROR(INDEX('Measure Level Detail'!$R:$R,MATCH($B357&amp;"_"&amp;AA$3,'Measure Level Detail'!$C:$C,0)),0)</f>
        <v>0.87</v>
      </c>
      <c r="AB357" s="266">
        <f t="shared" si="207"/>
        <v>0</v>
      </c>
      <c r="AC357" s="266">
        <f t="shared" si="208"/>
        <v>0</v>
      </c>
      <c r="AD357" s="266">
        <f t="shared" si="209"/>
        <v>0</v>
      </c>
      <c r="AE357" s="266">
        <f t="shared" si="210"/>
        <v>0</v>
      </c>
      <c r="AF357" s="266">
        <f t="shared" si="211"/>
        <v>0</v>
      </c>
      <c r="AG357" s="274">
        <v>0.87</v>
      </c>
      <c r="AH357" s="274">
        <v>0.87</v>
      </c>
      <c r="AI357" s="274">
        <v>0.87</v>
      </c>
      <c r="AJ357" s="274">
        <v>0.87</v>
      </c>
      <c r="AK357" s="274">
        <f t="shared" si="212"/>
        <v>0.87</v>
      </c>
      <c r="AL357" s="274">
        <f t="shared" si="213"/>
        <v>0.87</v>
      </c>
      <c r="AM357" s="274">
        <f t="shared" si="214"/>
        <v>0.87</v>
      </c>
      <c r="AN357" s="274">
        <f t="shared" si="215"/>
        <v>0.87</v>
      </c>
      <c r="AO357" s="262"/>
      <c r="AP357" s="262"/>
      <c r="AQ357" s="267">
        <v>3.72</v>
      </c>
      <c r="AR357" s="262"/>
      <c r="AS357" s="266">
        <f t="shared" si="216"/>
        <v>0</v>
      </c>
      <c r="AT357" s="264">
        <f t="shared" si="217"/>
        <v>0</v>
      </c>
      <c r="AU357" s="262"/>
      <c r="AV357" s="262"/>
      <c r="AW357" s="265">
        <v>3.72</v>
      </c>
      <c r="AX357" s="164" t="s">
        <v>1469</v>
      </c>
      <c r="AY357" s="266">
        <v>0</v>
      </c>
      <c r="AZ357" s="266">
        <f t="shared" si="218"/>
        <v>0</v>
      </c>
      <c r="BA357" s="264">
        <f t="shared" si="219"/>
        <v>0</v>
      </c>
      <c r="BB357" s="262"/>
      <c r="BC357" s="262"/>
      <c r="BD357" s="265">
        <f ca="1">IFERROR(INDEX(Algorithms!$G:$G,MATCH($C357&amp;"_Therm Saved per Unit",Algorithms!$A:$A,0)),0)</f>
        <v>3.72</v>
      </c>
      <c r="BE357" s="164" t="str">
        <f ca="1">IFERROR(INDEX('v12 Revisions'!$P$29:$P$186, MATCH('Measure-Level Adj Gas'!$L357, 'v12 Revisions'!$D$29:$D$186,0)),"")</f>
        <v/>
      </c>
      <c r="BF357" s="266">
        <f t="shared" ca="1" si="220"/>
        <v>0</v>
      </c>
      <c r="BG357" s="264">
        <f t="shared" ca="1" si="221"/>
        <v>0</v>
      </c>
      <c r="BH357" s="262"/>
      <c r="BI357" s="262"/>
      <c r="BJ357" s="265">
        <f ca="1">IFERROR(INDEX(Algorithms!$G:$G,MATCH($C357&amp;"_Therm Saved per Unit",Algorithms!$A:$A,0)),0)</f>
        <v>3.72</v>
      </c>
      <c r="BK357" s="164"/>
      <c r="BL357" s="266">
        <f t="shared" ca="1" si="222"/>
        <v>0</v>
      </c>
      <c r="BM357" s="264">
        <f t="shared" ca="1" si="223"/>
        <v>0</v>
      </c>
      <c r="BN357" s="266">
        <f t="shared" si="224"/>
        <v>0</v>
      </c>
      <c r="BO357" s="266">
        <f t="shared" si="225"/>
        <v>0</v>
      </c>
      <c r="BP357" s="266">
        <f t="shared" ca="1" si="226"/>
        <v>0</v>
      </c>
      <c r="BQ357" s="266">
        <f t="shared" ca="1" si="227"/>
        <v>0</v>
      </c>
      <c r="BR357" s="268">
        <f t="shared" ca="1" si="228"/>
        <v>0</v>
      </c>
      <c r="BS357" s="262" t="s">
        <v>99</v>
      </c>
      <c r="BT357" s="277"/>
      <c r="BW357" s="266">
        <f t="shared" si="229"/>
        <v>0</v>
      </c>
      <c r="BX357" s="266">
        <f t="shared" si="230"/>
        <v>0</v>
      </c>
      <c r="BY357" s="266">
        <f t="shared" si="231"/>
        <v>0</v>
      </c>
      <c r="BZ357" s="266">
        <f t="shared" si="232"/>
        <v>0</v>
      </c>
      <c r="CA357" s="266">
        <f ca="1">N357*IFERROR(INDEX(Algorithms!$G:$G,MATCH($C357&amp;"_Therm Saved per Unit- MLA",Algorithms!$A:$A,0)),0)*X357</f>
        <v>0</v>
      </c>
      <c r="CB357" s="266">
        <f ca="1">O357*IFERROR(INDEX(Algorithms!$G:$G,MATCH($C357&amp;"_Therm Saved per Unit- MLA",Algorithms!$A:$A,0)),0)*Y357</f>
        <v>0</v>
      </c>
      <c r="CC357" s="266">
        <f ca="1">P357*IFERROR(INDEX(Algorithms!$G:$G,MATCH($C357&amp;"_Therm Saved per Unit- MLA",Algorithms!$A:$A,0)),0)*Z357</f>
        <v>0</v>
      </c>
      <c r="CD357" s="266">
        <f ca="1">Q357*IFERROR(INDEX(Algorithms!$G:$G,MATCH($C357&amp;"_Therm Saved per Unit- MLA",Algorithms!$A:$A,0)),0)*AA357</f>
        <v>0</v>
      </c>
      <c r="CE357" s="266">
        <f ca="1">IFERROR(INDEX(Algorithms!$G:$G,MATCH($C357&amp;"_Lifetime (years)",Algorithms!$A:$A,0)),0)</f>
        <v>15</v>
      </c>
      <c r="CF357" s="266">
        <f ca="1">IFERROR(INDEX(Algorithms!$G:$G,MATCH($C357&amp;"_Lifetime (years) - Remaining Years",Algorithms!$A:$A,0)),0)</f>
        <v>0</v>
      </c>
      <c r="CG357" s="266">
        <f t="shared" ca="1" si="233"/>
        <v>0</v>
      </c>
      <c r="CH357" s="266">
        <f t="shared" ca="1" si="234"/>
        <v>0</v>
      </c>
      <c r="CI357" s="266">
        <f t="shared" ca="1" si="235"/>
        <v>0</v>
      </c>
      <c r="CJ357" s="266">
        <f t="shared" ca="1" si="236"/>
        <v>0</v>
      </c>
      <c r="CK357" s="266">
        <f t="shared" si="237"/>
        <v>0</v>
      </c>
      <c r="CL357" s="266">
        <f t="shared" si="238"/>
        <v>0</v>
      </c>
      <c r="CM357" s="266">
        <f t="shared" ca="1" si="239"/>
        <v>0</v>
      </c>
      <c r="CN357" s="266">
        <f t="shared" ca="1" si="240"/>
        <v>0</v>
      </c>
      <c r="CO357" s="266">
        <f ca="1">N357*IFERROR(INDEX(Algorithms!$G:$G,MATCH($C357&amp;"_Therm Saved per Unit- MLA",Algorithms!$A:$A,0)),0)*X357</f>
        <v>0</v>
      </c>
      <c r="CP357" s="266">
        <f ca="1">O357*IFERROR(INDEX(Algorithms!$G:$G,MATCH($C357&amp;"_Therm Saved per Unit- MLA",Algorithms!$A:$A,0)),0)*Y357</f>
        <v>0</v>
      </c>
      <c r="CQ357" s="266">
        <f ca="1">P357*IFERROR(INDEX(Algorithms!$G:$G,MATCH($C357&amp;"_Therm Saved per Unit- MLA",Algorithms!$A:$A,0)),0)*Z357</f>
        <v>0</v>
      </c>
      <c r="CR357" s="266">
        <f ca="1">Q357*IFERROR(INDEX(Algorithms!$G:$G,MATCH($C357&amp;"_Therm Saved per Unit- MLA",Algorithms!$A:$A,0)),0)*AA357</f>
        <v>0</v>
      </c>
      <c r="CS357" s="266">
        <f ca="1">IFERROR(INDEX(Algorithms!$G:$G,MATCH($C357&amp;"_Lifetime (years)",Algorithms!$A:$A,0)),0)</f>
        <v>15</v>
      </c>
      <c r="CT357" s="266">
        <f ca="1">IFERROR(INDEX(Algorithms!$G:$G,MATCH($C357&amp;"_Lifetime (years) - Remaining Years",Algorithms!$A:$A,0)),0)</f>
        <v>0</v>
      </c>
      <c r="CU357" s="266">
        <f t="shared" ca="1" si="241"/>
        <v>0</v>
      </c>
      <c r="CV357" s="266">
        <f t="shared" ca="1" si="242"/>
        <v>0</v>
      </c>
      <c r="CW357" s="266">
        <f t="shared" ca="1" si="243"/>
        <v>0</v>
      </c>
      <c r="CX357" s="266">
        <f t="shared" ca="1" si="244"/>
        <v>0</v>
      </c>
    </row>
    <row r="358" spans="2:102" s="47" customFormat="1" ht="18" customHeight="1" x14ac:dyDescent="0.25">
      <c r="B358" t="str">
        <f t="shared" si="245"/>
        <v>NSG_Residential_Multi-Family_Standard Rebate_High Speed Washer_0_MF</v>
      </c>
      <c r="C358" s="47" t="str">
        <f t="shared" si="206"/>
        <v>High Speed Washer_0_MF</v>
      </c>
      <c r="D358" s="270" t="s">
        <v>1787</v>
      </c>
      <c r="E358" s="270" t="s">
        <v>2</v>
      </c>
      <c r="F358" s="270" t="s">
        <v>1422</v>
      </c>
      <c r="G358" s="270" t="s">
        <v>1418</v>
      </c>
      <c r="H358" s="270" t="s">
        <v>725</v>
      </c>
      <c r="I358" s="270">
        <v>0</v>
      </c>
      <c r="J358" s="270" t="s">
        <v>553</v>
      </c>
      <c r="K358" s="263">
        <v>1</v>
      </c>
      <c r="L358" s="263" t="str">
        <f ca="1">IFERROR(INDEX(Algorithms!J:J,MATCH($C358&amp;"_Therm Saved per Unit",Algorithms!$A:$A,0)),"n/a")</f>
        <v>4.8.5</v>
      </c>
      <c r="M358" s="263" t="str">
        <f>IFERROR(INDEX('Measure Level Detail'!$N:$N,MATCH($B358,'Measure Level Detail'!$B:$B,0)),0)</f>
        <v>lb-capacity</v>
      </c>
      <c r="N358" s="271">
        <f>IFERROR(INDEX('Measure Level Detail'!$P:$P,MATCH($B358&amp;"_"&amp;N$3,'Measure Level Detail'!$C:$C,0)),0)</f>
        <v>0</v>
      </c>
      <c r="O358" s="271">
        <f>IFERROR(INDEX('Measure Level Detail'!$P:$P,MATCH($B358&amp;"_"&amp;O$3,'Measure Level Detail'!$C:$C,0)),0)</f>
        <v>0</v>
      </c>
      <c r="P358" s="271">
        <f>IFERROR(INDEX('Measure Level Detail'!$P:$P,MATCH($B358&amp;"_"&amp;P$3,'Measure Level Detail'!$C:$C,0)),0)</f>
        <v>0</v>
      </c>
      <c r="Q358" s="271">
        <f>IFERROR(INDEX('Measure Level Detail'!$P:$P,MATCH($B358&amp;"_"&amp;Q$3,'Measure Level Detail'!$C:$C,0)),0)</f>
        <v>0</v>
      </c>
      <c r="R358" s="263" t="str">
        <f ca="1">IFERROR(INDEX(Algorithms!K:K,MATCH($C358&amp;"_Therm Saved per Unit",Algorithms!$A:$A,0)),"n/a")</f>
        <v>CI-MSC-HSCW-V03-240101</v>
      </c>
      <c r="S358" s="262"/>
      <c r="T358" s="272">
        <v>2.2054032000000001</v>
      </c>
      <c r="U358" s="272">
        <v>2.2054032000000001</v>
      </c>
      <c r="V358" s="272">
        <v>2.2054032000000001</v>
      </c>
      <c r="W358" s="272">
        <v>2.2054032000000001</v>
      </c>
      <c r="X358" s="273">
        <f>IFERROR(INDEX('Measure Level Detail'!$R:$R,MATCH($B358&amp;"_"&amp;X$3,'Measure Level Detail'!$C:$C,0)),0)</f>
        <v>0.87</v>
      </c>
      <c r="Y358" s="273">
        <f>IFERROR(INDEX('Measure Level Detail'!$R:$R,MATCH($B358&amp;"_"&amp;Y$3,'Measure Level Detail'!$C:$C,0)),0)</f>
        <v>0.87</v>
      </c>
      <c r="Z358" s="273">
        <f>IFERROR(INDEX('Measure Level Detail'!$R:$R,MATCH($B358&amp;"_"&amp;Z$3,'Measure Level Detail'!$C:$C,0)),0)</f>
        <v>0.87</v>
      </c>
      <c r="AA358" s="273">
        <f>IFERROR(INDEX('Measure Level Detail'!$R:$R,MATCH($B358&amp;"_"&amp;AA$3,'Measure Level Detail'!$C:$C,0)),0)</f>
        <v>0.87</v>
      </c>
      <c r="AB358" s="266">
        <f t="shared" si="207"/>
        <v>0</v>
      </c>
      <c r="AC358" s="266">
        <f t="shared" si="208"/>
        <v>0</v>
      </c>
      <c r="AD358" s="266">
        <f t="shared" si="209"/>
        <v>0</v>
      </c>
      <c r="AE358" s="266">
        <f t="shared" si="210"/>
        <v>0</v>
      </c>
      <c r="AF358" s="266">
        <f t="shared" si="211"/>
        <v>0</v>
      </c>
      <c r="AG358" s="274">
        <v>0.87</v>
      </c>
      <c r="AH358" s="274">
        <v>0.87</v>
      </c>
      <c r="AI358" s="274">
        <v>0.87</v>
      </c>
      <c r="AJ358" s="274">
        <v>0.87</v>
      </c>
      <c r="AK358" s="274">
        <f t="shared" si="212"/>
        <v>0.87</v>
      </c>
      <c r="AL358" s="274">
        <f t="shared" si="213"/>
        <v>0.87</v>
      </c>
      <c r="AM358" s="274">
        <f t="shared" si="214"/>
        <v>0.87</v>
      </c>
      <c r="AN358" s="274">
        <f t="shared" si="215"/>
        <v>0.87</v>
      </c>
      <c r="AO358" s="262"/>
      <c r="AP358" s="262"/>
      <c r="AQ358" s="267">
        <v>2.2054032000000001</v>
      </c>
      <c r="AR358" s="262"/>
      <c r="AS358" s="266">
        <f t="shared" si="216"/>
        <v>0</v>
      </c>
      <c r="AT358" s="264">
        <f t="shared" si="217"/>
        <v>0</v>
      </c>
      <c r="AU358" s="262"/>
      <c r="AV358" s="262"/>
      <c r="AW358" s="265">
        <v>2.2054032000000001</v>
      </c>
      <c r="AX358" s="164" t="s">
        <v>1469</v>
      </c>
      <c r="AY358" s="266">
        <v>0</v>
      </c>
      <c r="AZ358" s="266">
        <f t="shared" si="218"/>
        <v>0</v>
      </c>
      <c r="BA358" s="264">
        <f t="shared" si="219"/>
        <v>0</v>
      </c>
      <c r="BB358" s="262"/>
      <c r="BC358" s="262"/>
      <c r="BD358" s="265">
        <f ca="1">IFERROR(INDEX(Algorithms!$G:$G,MATCH($C358&amp;"_Therm Saved per Unit",Algorithms!$A:$A,0)),0)</f>
        <v>2.2054032000000001</v>
      </c>
      <c r="BE358" s="164" t="str">
        <f ca="1">IFERROR(INDEX('v12 Revisions'!$P$29:$P$186, MATCH('Measure-Level Adj Gas'!$L358, 'v12 Revisions'!$D$29:$D$186,0)),"")</f>
        <v>n/a - costs only.</v>
      </c>
      <c r="BF358" s="266">
        <f t="shared" ca="1" si="220"/>
        <v>0</v>
      </c>
      <c r="BG358" s="264">
        <f t="shared" ca="1" si="221"/>
        <v>0</v>
      </c>
      <c r="BH358" s="262"/>
      <c r="BI358" s="262"/>
      <c r="BJ358" s="265">
        <f ca="1">IFERROR(INDEX(Algorithms!$G:$G,MATCH($C358&amp;"_Therm Saved per Unit",Algorithms!$A:$A,0)),0)</f>
        <v>2.2054032000000001</v>
      </c>
      <c r="BK358" s="164"/>
      <c r="BL358" s="266">
        <f t="shared" ca="1" si="222"/>
        <v>0</v>
      </c>
      <c r="BM358" s="264">
        <f t="shared" ca="1" si="223"/>
        <v>0</v>
      </c>
      <c r="BN358" s="266">
        <f t="shared" si="224"/>
        <v>0</v>
      </c>
      <c r="BO358" s="266">
        <f t="shared" si="225"/>
        <v>0</v>
      </c>
      <c r="BP358" s="266">
        <f t="shared" ca="1" si="226"/>
        <v>0</v>
      </c>
      <c r="BQ358" s="266">
        <f t="shared" ca="1" si="227"/>
        <v>0</v>
      </c>
      <c r="BR358" s="268">
        <f t="shared" ca="1" si="228"/>
        <v>0</v>
      </c>
      <c r="BS358" s="262" t="s">
        <v>99</v>
      </c>
      <c r="BT358" s="277"/>
      <c r="BW358" s="266">
        <f t="shared" si="229"/>
        <v>0</v>
      </c>
      <c r="BX358" s="266">
        <f t="shared" si="230"/>
        <v>0</v>
      </c>
      <c r="BY358" s="266">
        <f t="shared" si="231"/>
        <v>0</v>
      </c>
      <c r="BZ358" s="266">
        <f t="shared" si="232"/>
        <v>0</v>
      </c>
      <c r="CA358" s="266">
        <f ca="1">N358*IFERROR(INDEX(Algorithms!$G:$G,MATCH($C358&amp;"_Therm Saved per Unit- MLA",Algorithms!$A:$A,0)),0)*X358</f>
        <v>0</v>
      </c>
      <c r="CB358" s="266">
        <f ca="1">O358*IFERROR(INDEX(Algorithms!$G:$G,MATCH($C358&amp;"_Therm Saved per Unit- MLA",Algorithms!$A:$A,0)),0)*Y358</f>
        <v>0</v>
      </c>
      <c r="CC358" s="266">
        <f ca="1">P358*IFERROR(INDEX(Algorithms!$G:$G,MATCH($C358&amp;"_Therm Saved per Unit- MLA",Algorithms!$A:$A,0)),0)*Z358</f>
        <v>0</v>
      </c>
      <c r="CD358" s="266">
        <f ca="1">Q358*IFERROR(INDEX(Algorithms!$G:$G,MATCH($C358&amp;"_Therm Saved per Unit- MLA",Algorithms!$A:$A,0)),0)*AA358</f>
        <v>0</v>
      </c>
      <c r="CE358" s="266">
        <f ca="1">IFERROR(INDEX(Algorithms!$G:$G,MATCH($C358&amp;"_Lifetime (years)",Algorithms!$A:$A,0)),0)</f>
        <v>7</v>
      </c>
      <c r="CF358" s="266">
        <f ca="1">IFERROR(INDEX(Algorithms!$G:$G,MATCH($C358&amp;"_Lifetime (years) - Remaining Years",Algorithms!$A:$A,0)),0)</f>
        <v>0</v>
      </c>
      <c r="CG358" s="266">
        <f t="shared" ca="1" si="233"/>
        <v>0</v>
      </c>
      <c r="CH358" s="266">
        <f t="shared" ca="1" si="234"/>
        <v>0</v>
      </c>
      <c r="CI358" s="266">
        <f t="shared" ca="1" si="235"/>
        <v>0</v>
      </c>
      <c r="CJ358" s="266">
        <f t="shared" ca="1" si="236"/>
        <v>0</v>
      </c>
      <c r="CK358" s="266">
        <f t="shared" si="237"/>
        <v>0</v>
      </c>
      <c r="CL358" s="266">
        <f t="shared" si="238"/>
        <v>0</v>
      </c>
      <c r="CM358" s="266">
        <f t="shared" ca="1" si="239"/>
        <v>0</v>
      </c>
      <c r="CN358" s="266">
        <f t="shared" ca="1" si="240"/>
        <v>0</v>
      </c>
      <c r="CO358" s="266">
        <f ca="1">N358*IFERROR(INDEX(Algorithms!$G:$G,MATCH($C358&amp;"_Therm Saved per Unit- MLA",Algorithms!$A:$A,0)),0)*X358</f>
        <v>0</v>
      </c>
      <c r="CP358" s="266">
        <f ca="1">O358*IFERROR(INDEX(Algorithms!$G:$G,MATCH($C358&amp;"_Therm Saved per Unit- MLA",Algorithms!$A:$A,0)),0)*Y358</f>
        <v>0</v>
      </c>
      <c r="CQ358" s="266">
        <f ca="1">P358*IFERROR(INDEX(Algorithms!$G:$G,MATCH($C358&amp;"_Therm Saved per Unit- MLA",Algorithms!$A:$A,0)),0)*Z358</f>
        <v>0</v>
      </c>
      <c r="CR358" s="266">
        <f ca="1">Q358*IFERROR(INDEX(Algorithms!$G:$G,MATCH($C358&amp;"_Therm Saved per Unit- MLA",Algorithms!$A:$A,0)),0)*AA358</f>
        <v>0</v>
      </c>
      <c r="CS358" s="266">
        <f ca="1">IFERROR(INDEX(Algorithms!$G:$G,MATCH($C358&amp;"_Lifetime (years)",Algorithms!$A:$A,0)),0)</f>
        <v>7</v>
      </c>
      <c r="CT358" s="266">
        <f ca="1">IFERROR(INDEX(Algorithms!$G:$G,MATCH($C358&amp;"_Lifetime (years) - Remaining Years",Algorithms!$A:$A,0)),0)</f>
        <v>0</v>
      </c>
      <c r="CU358" s="266">
        <f t="shared" ca="1" si="241"/>
        <v>0</v>
      </c>
      <c r="CV358" s="266">
        <f t="shared" ca="1" si="242"/>
        <v>0</v>
      </c>
      <c r="CW358" s="266">
        <f t="shared" ca="1" si="243"/>
        <v>0</v>
      </c>
      <c r="CX358" s="266">
        <f t="shared" ca="1" si="244"/>
        <v>0</v>
      </c>
    </row>
    <row r="359" spans="2:102" s="47" customFormat="1" ht="18" customHeight="1" x14ac:dyDescent="0.25">
      <c r="B359" t="str">
        <f t="shared" si="245"/>
        <v>NSG_Residential_Multi-Family_Standard Rebate_Infrared Heater_0_MF/CI</v>
      </c>
      <c r="C359" s="47" t="str">
        <f t="shared" si="206"/>
        <v>Infrared Heater_0_MF/CI</v>
      </c>
      <c r="D359" s="270" t="s">
        <v>1787</v>
      </c>
      <c r="E359" s="270" t="s">
        <v>2</v>
      </c>
      <c r="F359" s="270" t="s">
        <v>1422</v>
      </c>
      <c r="G359" s="270" t="s">
        <v>1418</v>
      </c>
      <c r="H359" s="270" t="s">
        <v>742</v>
      </c>
      <c r="I359" s="270">
        <v>0</v>
      </c>
      <c r="J359" s="270" t="s">
        <v>587</v>
      </c>
      <c r="K359" s="263">
        <v>1</v>
      </c>
      <c r="L359" s="263" t="str">
        <f ca="1">IFERROR(INDEX(Algorithms!J:J,MATCH($C359&amp;"_Therm Saved per Unit",Algorithms!$A:$A,0)),"n/a")</f>
        <v>4.4.12</v>
      </c>
      <c r="M359" s="263" t="str">
        <f>IFERROR(INDEX('Measure Level Detail'!$N:$N,MATCH($B359,'Measure Level Detail'!$B:$B,0)),0)</f>
        <v>MBH</v>
      </c>
      <c r="N359" s="271">
        <f>IFERROR(INDEX('Measure Level Detail'!$P:$P,MATCH($B359&amp;"_"&amp;N$3,'Measure Level Detail'!$C:$C,0)),0)</f>
        <v>0</v>
      </c>
      <c r="O359" s="271">
        <f>IFERROR(INDEX('Measure Level Detail'!$P:$P,MATCH($B359&amp;"_"&amp;O$3,'Measure Level Detail'!$C:$C,0)),0)</f>
        <v>0</v>
      </c>
      <c r="P359" s="271">
        <f>IFERROR(INDEX('Measure Level Detail'!$P:$P,MATCH($B359&amp;"_"&amp;P$3,'Measure Level Detail'!$C:$C,0)),0)</f>
        <v>0</v>
      </c>
      <c r="Q359" s="271">
        <f>IFERROR(INDEX('Measure Level Detail'!$P:$P,MATCH($B359&amp;"_"&amp;Q$3,'Measure Level Detail'!$C:$C,0)),0)</f>
        <v>0</v>
      </c>
      <c r="R359" s="263" t="str">
        <f ca="1">IFERROR(INDEX(Algorithms!K:K,MATCH($C359&amp;"_Therm Saved per Unit",Algorithms!$A:$A,0)),"n/a")</f>
        <v>CI-HVC-IRHT-V03-230101</v>
      </c>
      <c r="S359" s="262"/>
      <c r="T359" s="272">
        <v>2.9611764705882351</v>
      </c>
      <c r="U359" s="272">
        <v>2.9611764705882351</v>
      </c>
      <c r="V359" s="272">
        <v>2.9611764705882351</v>
      </c>
      <c r="W359" s="272">
        <v>2.9611764705882351</v>
      </c>
      <c r="X359" s="273">
        <f>IFERROR(INDEX('Measure Level Detail'!$R:$R,MATCH($B359&amp;"_"&amp;X$3,'Measure Level Detail'!$C:$C,0)),0)</f>
        <v>0.87</v>
      </c>
      <c r="Y359" s="273">
        <f>IFERROR(INDEX('Measure Level Detail'!$R:$R,MATCH($B359&amp;"_"&amp;Y$3,'Measure Level Detail'!$C:$C,0)),0)</f>
        <v>0.87</v>
      </c>
      <c r="Z359" s="273">
        <f>IFERROR(INDEX('Measure Level Detail'!$R:$R,MATCH($B359&amp;"_"&amp;Z$3,'Measure Level Detail'!$C:$C,0)),0)</f>
        <v>0.87</v>
      </c>
      <c r="AA359" s="273">
        <f>IFERROR(INDEX('Measure Level Detail'!$R:$R,MATCH($B359&amp;"_"&amp;AA$3,'Measure Level Detail'!$C:$C,0)),0)</f>
        <v>0.87</v>
      </c>
      <c r="AB359" s="266">
        <f t="shared" si="207"/>
        <v>0</v>
      </c>
      <c r="AC359" s="266">
        <f t="shared" si="208"/>
        <v>0</v>
      </c>
      <c r="AD359" s="266">
        <f t="shared" si="209"/>
        <v>0</v>
      </c>
      <c r="AE359" s="266">
        <f t="shared" si="210"/>
        <v>0</v>
      </c>
      <c r="AF359" s="266">
        <f t="shared" si="211"/>
        <v>0</v>
      </c>
      <c r="AG359" s="274">
        <v>0.87</v>
      </c>
      <c r="AH359" s="274">
        <v>0.87</v>
      </c>
      <c r="AI359" s="274">
        <v>0.87</v>
      </c>
      <c r="AJ359" s="274">
        <v>0.87</v>
      </c>
      <c r="AK359" s="274">
        <f t="shared" si="212"/>
        <v>0.87</v>
      </c>
      <c r="AL359" s="274">
        <f t="shared" si="213"/>
        <v>0.87</v>
      </c>
      <c r="AM359" s="274">
        <f t="shared" si="214"/>
        <v>0.87</v>
      </c>
      <c r="AN359" s="274">
        <f t="shared" si="215"/>
        <v>0.87</v>
      </c>
      <c r="AO359" s="262"/>
      <c r="AP359" s="262"/>
      <c r="AQ359" s="267">
        <v>2.9611764705882351</v>
      </c>
      <c r="AR359" s="262"/>
      <c r="AS359" s="266">
        <f t="shared" si="216"/>
        <v>0</v>
      </c>
      <c r="AT359" s="264">
        <f t="shared" si="217"/>
        <v>0</v>
      </c>
      <c r="AU359" s="262"/>
      <c r="AV359" s="262"/>
      <c r="AW359" s="265">
        <v>2.9611764705882351</v>
      </c>
      <c r="AX359" s="164" t="s">
        <v>1469</v>
      </c>
      <c r="AY359" s="266">
        <v>0</v>
      </c>
      <c r="AZ359" s="266">
        <f t="shared" si="218"/>
        <v>0</v>
      </c>
      <c r="BA359" s="264">
        <f t="shared" si="219"/>
        <v>0</v>
      </c>
      <c r="BB359" s="262"/>
      <c r="BC359" s="262"/>
      <c r="BD359" s="265">
        <f ca="1">IFERROR(INDEX(Algorithms!$G:$G,MATCH($C359&amp;"_Therm Saved per Unit",Algorithms!$A:$A,0)),0)</f>
        <v>2.9611764705882351</v>
      </c>
      <c r="BE359" s="164" t="str">
        <f ca="1">IFERROR(INDEX('v12 Revisions'!$P$29:$P$186, MATCH('Measure-Level Adj Gas'!$L359, 'v12 Revisions'!$D$29:$D$186,0)),"")</f>
        <v/>
      </c>
      <c r="BF359" s="266">
        <f t="shared" ca="1" si="220"/>
        <v>0</v>
      </c>
      <c r="BG359" s="264">
        <f t="shared" ca="1" si="221"/>
        <v>0</v>
      </c>
      <c r="BH359" s="262"/>
      <c r="BI359" s="262"/>
      <c r="BJ359" s="265">
        <f ca="1">IFERROR(INDEX(Algorithms!$G:$G,MATCH($C359&amp;"_Therm Saved per Unit",Algorithms!$A:$A,0)),0)</f>
        <v>2.9611764705882351</v>
      </c>
      <c r="BK359" s="164"/>
      <c r="BL359" s="266">
        <f t="shared" ca="1" si="222"/>
        <v>0</v>
      </c>
      <c r="BM359" s="264">
        <f t="shared" ca="1" si="223"/>
        <v>0</v>
      </c>
      <c r="BN359" s="266">
        <f t="shared" si="224"/>
        <v>0</v>
      </c>
      <c r="BO359" s="266">
        <f t="shared" si="225"/>
        <v>0</v>
      </c>
      <c r="BP359" s="266">
        <f t="shared" ca="1" si="226"/>
        <v>0</v>
      </c>
      <c r="BQ359" s="266">
        <f t="shared" ca="1" si="227"/>
        <v>0</v>
      </c>
      <c r="BR359" s="268">
        <f t="shared" ca="1" si="228"/>
        <v>0</v>
      </c>
      <c r="BS359" s="262" t="s">
        <v>99</v>
      </c>
      <c r="BT359" s="277"/>
      <c r="BW359" s="266">
        <f t="shared" si="229"/>
        <v>0</v>
      </c>
      <c r="BX359" s="266">
        <f t="shared" si="230"/>
        <v>0</v>
      </c>
      <c r="BY359" s="266">
        <f t="shared" si="231"/>
        <v>0</v>
      </c>
      <c r="BZ359" s="266">
        <f t="shared" si="232"/>
        <v>0</v>
      </c>
      <c r="CA359" s="266">
        <f ca="1">N359*IFERROR(INDEX(Algorithms!$G:$G,MATCH($C359&amp;"_Therm Saved per Unit- MLA",Algorithms!$A:$A,0)),0)*X359</f>
        <v>0</v>
      </c>
      <c r="CB359" s="266">
        <f ca="1">O359*IFERROR(INDEX(Algorithms!$G:$G,MATCH($C359&amp;"_Therm Saved per Unit- MLA",Algorithms!$A:$A,0)),0)*Y359</f>
        <v>0</v>
      </c>
      <c r="CC359" s="266">
        <f ca="1">P359*IFERROR(INDEX(Algorithms!$G:$G,MATCH($C359&amp;"_Therm Saved per Unit- MLA",Algorithms!$A:$A,0)),0)*Z359</f>
        <v>0</v>
      </c>
      <c r="CD359" s="266">
        <f ca="1">Q359*IFERROR(INDEX(Algorithms!$G:$G,MATCH($C359&amp;"_Therm Saved per Unit- MLA",Algorithms!$A:$A,0)),0)*AA359</f>
        <v>0</v>
      </c>
      <c r="CE359" s="266">
        <f ca="1">IFERROR(INDEX(Algorithms!$G:$G,MATCH($C359&amp;"_Lifetime (years)",Algorithms!$A:$A,0)),0)</f>
        <v>15</v>
      </c>
      <c r="CF359" s="266">
        <f ca="1">IFERROR(INDEX(Algorithms!$G:$G,MATCH($C359&amp;"_Lifetime (years) - Remaining Years",Algorithms!$A:$A,0)),0)</f>
        <v>0</v>
      </c>
      <c r="CG359" s="266">
        <f t="shared" ca="1" si="233"/>
        <v>0</v>
      </c>
      <c r="CH359" s="266">
        <f t="shared" ca="1" si="234"/>
        <v>0</v>
      </c>
      <c r="CI359" s="266">
        <f t="shared" ca="1" si="235"/>
        <v>0</v>
      </c>
      <c r="CJ359" s="266">
        <f t="shared" ca="1" si="236"/>
        <v>0</v>
      </c>
      <c r="CK359" s="266">
        <f t="shared" si="237"/>
        <v>0</v>
      </c>
      <c r="CL359" s="266">
        <f t="shared" si="238"/>
        <v>0</v>
      </c>
      <c r="CM359" s="266">
        <f t="shared" ca="1" si="239"/>
        <v>0</v>
      </c>
      <c r="CN359" s="266">
        <f t="shared" ca="1" si="240"/>
        <v>0</v>
      </c>
      <c r="CO359" s="266">
        <f ca="1">N359*IFERROR(INDEX(Algorithms!$G:$G,MATCH($C359&amp;"_Therm Saved per Unit- MLA",Algorithms!$A:$A,0)),0)*X359</f>
        <v>0</v>
      </c>
      <c r="CP359" s="266">
        <f ca="1">O359*IFERROR(INDEX(Algorithms!$G:$G,MATCH($C359&amp;"_Therm Saved per Unit- MLA",Algorithms!$A:$A,0)),0)*Y359</f>
        <v>0</v>
      </c>
      <c r="CQ359" s="266">
        <f ca="1">P359*IFERROR(INDEX(Algorithms!$G:$G,MATCH($C359&amp;"_Therm Saved per Unit- MLA",Algorithms!$A:$A,0)),0)*Z359</f>
        <v>0</v>
      </c>
      <c r="CR359" s="266">
        <f ca="1">Q359*IFERROR(INDEX(Algorithms!$G:$G,MATCH($C359&amp;"_Therm Saved per Unit- MLA",Algorithms!$A:$A,0)),0)*AA359</f>
        <v>0</v>
      </c>
      <c r="CS359" s="266">
        <f ca="1">IFERROR(INDEX(Algorithms!$G:$G,MATCH($C359&amp;"_Lifetime (years)",Algorithms!$A:$A,0)),0)</f>
        <v>15</v>
      </c>
      <c r="CT359" s="266">
        <f ca="1">IFERROR(INDEX(Algorithms!$G:$G,MATCH($C359&amp;"_Lifetime (years) - Remaining Years",Algorithms!$A:$A,0)),0)</f>
        <v>0</v>
      </c>
      <c r="CU359" s="266">
        <f t="shared" ca="1" si="241"/>
        <v>0</v>
      </c>
      <c r="CV359" s="266">
        <f t="shared" ca="1" si="242"/>
        <v>0</v>
      </c>
      <c r="CW359" s="266">
        <f t="shared" ca="1" si="243"/>
        <v>0</v>
      </c>
      <c r="CX359" s="266">
        <f t="shared" ca="1" si="244"/>
        <v>0</v>
      </c>
    </row>
    <row r="360" spans="2:102" s="47" customFormat="1" ht="18" customHeight="1" x14ac:dyDescent="0.25">
      <c r="B360" t="str">
        <f t="shared" si="245"/>
        <v>NSG_Residential_Multi-Family_Standard Rebate_Ozone Laundry_0_MF/CI</v>
      </c>
      <c r="C360" s="47" t="str">
        <f t="shared" si="206"/>
        <v>Ozone Laundry_0_MF/CI</v>
      </c>
      <c r="D360" s="270" t="s">
        <v>1787</v>
      </c>
      <c r="E360" s="270" t="s">
        <v>2</v>
      </c>
      <c r="F360" s="270" t="s">
        <v>1422</v>
      </c>
      <c r="G360" s="270" t="s">
        <v>1418</v>
      </c>
      <c r="H360" s="270" t="s">
        <v>16</v>
      </c>
      <c r="I360" s="270">
        <v>0</v>
      </c>
      <c r="J360" s="270" t="s">
        <v>587</v>
      </c>
      <c r="K360" s="263">
        <v>1</v>
      </c>
      <c r="L360" s="263" t="str">
        <f ca="1">IFERROR(INDEX(Algorithms!J:J,MATCH($C360&amp;"_Therm Saved per Unit",Algorithms!$A:$A,0)),"n/a")</f>
        <v>4.3.6</v>
      </c>
      <c r="M360" s="263" t="str">
        <f>IFERROR(INDEX('Measure Level Detail'!$N:$N,MATCH($B360,'Measure Level Detail'!$B:$B,0)),0)</f>
        <v>lb-capacity</v>
      </c>
      <c r="N360" s="271">
        <f>IFERROR(INDEX('Measure Level Detail'!$P:$P,MATCH($B360&amp;"_"&amp;N$3,'Measure Level Detail'!$C:$C,0)),0)</f>
        <v>0</v>
      </c>
      <c r="O360" s="271">
        <f>IFERROR(INDEX('Measure Level Detail'!$P:$P,MATCH($B360&amp;"_"&amp;O$3,'Measure Level Detail'!$C:$C,0)),0)</f>
        <v>0</v>
      </c>
      <c r="P360" s="271">
        <f>IFERROR(INDEX('Measure Level Detail'!$P:$P,MATCH($B360&amp;"_"&amp;P$3,'Measure Level Detail'!$C:$C,0)),0)</f>
        <v>0</v>
      </c>
      <c r="Q360" s="271">
        <f>IFERROR(INDEX('Measure Level Detail'!$P:$P,MATCH($B360&amp;"_"&amp;Q$3,'Measure Level Detail'!$C:$C,0)),0)</f>
        <v>0</v>
      </c>
      <c r="R360" s="263" t="str">
        <f ca="1">IFERROR(INDEX(Algorithms!K:K,MATCH($C360&amp;"_Therm Saved per Unit",Algorithms!$A:$A,0)),"n/a")</f>
        <v>CI-HWE-OZLD-V07-230101</v>
      </c>
      <c r="S360" s="262"/>
      <c r="T360" s="272">
        <v>30.722664192350027</v>
      </c>
      <c r="U360" s="272">
        <v>30.722664192350027</v>
      </c>
      <c r="V360" s="272">
        <v>30.722664192350027</v>
      </c>
      <c r="W360" s="272">
        <v>30.722664192350027</v>
      </c>
      <c r="X360" s="273">
        <f>IFERROR(INDEX('Measure Level Detail'!$R:$R,MATCH($B360&amp;"_"&amp;X$3,'Measure Level Detail'!$C:$C,0)),0)</f>
        <v>0.87</v>
      </c>
      <c r="Y360" s="273">
        <f>IFERROR(INDEX('Measure Level Detail'!$R:$R,MATCH($B360&amp;"_"&amp;Y$3,'Measure Level Detail'!$C:$C,0)),0)</f>
        <v>0.87</v>
      </c>
      <c r="Z360" s="273">
        <f>IFERROR(INDEX('Measure Level Detail'!$R:$R,MATCH($B360&amp;"_"&amp;Z$3,'Measure Level Detail'!$C:$C,0)),0)</f>
        <v>0.87</v>
      </c>
      <c r="AA360" s="273">
        <f>IFERROR(INDEX('Measure Level Detail'!$R:$R,MATCH($B360&amp;"_"&amp;AA$3,'Measure Level Detail'!$C:$C,0)),0)</f>
        <v>0.87</v>
      </c>
      <c r="AB360" s="266">
        <f t="shared" si="207"/>
        <v>0</v>
      </c>
      <c r="AC360" s="266">
        <f t="shared" si="208"/>
        <v>0</v>
      </c>
      <c r="AD360" s="266">
        <f t="shared" si="209"/>
        <v>0</v>
      </c>
      <c r="AE360" s="266">
        <f t="shared" si="210"/>
        <v>0</v>
      </c>
      <c r="AF360" s="266">
        <f t="shared" si="211"/>
        <v>0</v>
      </c>
      <c r="AG360" s="274">
        <v>0.87</v>
      </c>
      <c r="AH360" s="274">
        <v>0.87</v>
      </c>
      <c r="AI360" s="274">
        <v>0.87</v>
      </c>
      <c r="AJ360" s="274">
        <v>0.87</v>
      </c>
      <c r="AK360" s="274">
        <f t="shared" si="212"/>
        <v>0.87</v>
      </c>
      <c r="AL360" s="274">
        <f t="shared" si="213"/>
        <v>0.87</v>
      </c>
      <c r="AM360" s="274">
        <f t="shared" si="214"/>
        <v>0.87</v>
      </c>
      <c r="AN360" s="274">
        <f t="shared" si="215"/>
        <v>0.87</v>
      </c>
      <c r="AO360" s="262"/>
      <c r="AP360" s="262"/>
      <c r="AQ360" s="267">
        <v>30.722664192350027</v>
      </c>
      <c r="AR360" s="262"/>
      <c r="AS360" s="266">
        <f t="shared" si="216"/>
        <v>0</v>
      </c>
      <c r="AT360" s="264">
        <f t="shared" si="217"/>
        <v>0</v>
      </c>
      <c r="AU360" s="262"/>
      <c r="AV360" s="262"/>
      <c r="AW360" s="265">
        <v>30.722664192350027</v>
      </c>
      <c r="AX360" s="164" t="s">
        <v>1469</v>
      </c>
      <c r="AY360" s="266">
        <v>0</v>
      </c>
      <c r="AZ360" s="266">
        <f t="shared" si="218"/>
        <v>0</v>
      </c>
      <c r="BA360" s="264">
        <f t="shared" si="219"/>
        <v>0</v>
      </c>
      <c r="BB360" s="262"/>
      <c r="BC360" s="262"/>
      <c r="BD360" s="265">
        <f ca="1">IFERROR(INDEX(Algorithms!$G:$G,MATCH($C360&amp;"_Therm Saved per Unit",Algorithms!$A:$A,0)),0)</f>
        <v>30.722664192350027</v>
      </c>
      <c r="BE360" s="164" t="str">
        <f ca="1">IFERROR(INDEX('v12 Revisions'!$P$29:$P$186, MATCH('Measure-Level Adj Gas'!$L360, 'v12 Revisions'!$D$29:$D$186,0)),"")</f>
        <v/>
      </c>
      <c r="BF360" s="266">
        <f t="shared" ca="1" si="220"/>
        <v>0</v>
      </c>
      <c r="BG360" s="264">
        <f t="shared" ca="1" si="221"/>
        <v>0</v>
      </c>
      <c r="BH360" s="262"/>
      <c r="BI360" s="262"/>
      <c r="BJ360" s="265">
        <f ca="1">IFERROR(INDEX(Algorithms!$G:$G,MATCH($C360&amp;"_Therm Saved per Unit",Algorithms!$A:$A,0)),0)</f>
        <v>30.722664192350027</v>
      </c>
      <c r="BK360" s="164"/>
      <c r="BL360" s="266">
        <f t="shared" ca="1" si="222"/>
        <v>0</v>
      </c>
      <c r="BM360" s="264">
        <f t="shared" ca="1" si="223"/>
        <v>0</v>
      </c>
      <c r="BN360" s="266">
        <f t="shared" si="224"/>
        <v>0</v>
      </c>
      <c r="BO360" s="266">
        <f t="shared" si="225"/>
        <v>0</v>
      </c>
      <c r="BP360" s="266">
        <f t="shared" ca="1" si="226"/>
        <v>0</v>
      </c>
      <c r="BQ360" s="266">
        <f t="shared" ca="1" si="227"/>
        <v>0</v>
      </c>
      <c r="BR360" s="268">
        <f t="shared" ca="1" si="228"/>
        <v>0</v>
      </c>
      <c r="BS360" s="262" t="s">
        <v>99</v>
      </c>
      <c r="BT360" s="277"/>
      <c r="BW360" s="266">
        <f t="shared" si="229"/>
        <v>0</v>
      </c>
      <c r="BX360" s="266">
        <f t="shared" si="230"/>
        <v>0</v>
      </c>
      <c r="BY360" s="266">
        <f t="shared" si="231"/>
        <v>0</v>
      </c>
      <c r="BZ360" s="266">
        <f t="shared" si="232"/>
        <v>0</v>
      </c>
      <c r="CA360" s="266">
        <f ca="1">N360*IFERROR(INDEX(Algorithms!$G:$G,MATCH($C360&amp;"_Therm Saved per Unit- MLA",Algorithms!$A:$A,0)),0)*X360</f>
        <v>0</v>
      </c>
      <c r="CB360" s="266">
        <f ca="1">O360*IFERROR(INDEX(Algorithms!$G:$G,MATCH($C360&amp;"_Therm Saved per Unit- MLA",Algorithms!$A:$A,0)),0)*Y360</f>
        <v>0</v>
      </c>
      <c r="CC360" s="266">
        <f ca="1">P360*IFERROR(INDEX(Algorithms!$G:$G,MATCH($C360&amp;"_Therm Saved per Unit- MLA",Algorithms!$A:$A,0)),0)*Z360</f>
        <v>0</v>
      </c>
      <c r="CD360" s="266">
        <f ca="1">Q360*IFERROR(INDEX(Algorithms!$G:$G,MATCH($C360&amp;"_Therm Saved per Unit- MLA",Algorithms!$A:$A,0)),0)*AA360</f>
        <v>0</v>
      </c>
      <c r="CE360" s="266">
        <f ca="1">IFERROR(INDEX(Algorithms!$G:$G,MATCH($C360&amp;"_Lifetime (years)",Algorithms!$A:$A,0)),0)</f>
        <v>10</v>
      </c>
      <c r="CF360" s="266">
        <f ca="1">IFERROR(INDEX(Algorithms!$G:$G,MATCH($C360&amp;"_Lifetime (years) - Remaining Years",Algorithms!$A:$A,0)),0)</f>
        <v>0</v>
      </c>
      <c r="CG360" s="266">
        <f t="shared" ca="1" si="233"/>
        <v>0</v>
      </c>
      <c r="CH360" s="266">
        <f t="shared" ca="1" si="234"/>
        <v>0</v>
      </c>
      <c r="CI360" s="266">
        <f t="shared" ca="1" si="235"/>
        <v>0</v>
      </c>
      <c r="CJ360" s="266">
        <f t="shared" ca="1" si="236"/>
        <v>0</v>
      </c>
      <c r="CK360" s="266">
        <f t="shared" si="237"/>
        <v>0</v>
      </c>
      <c r="CL360" s="266">
        <f t="shared" si="238"/>
        <v>0</v>
      </c>
      <c r="CM360" s="266">
        <f t="shared" ca="1" si="239"/>
        <v>0</v>
      </c>
      <c r="CN360" s="266">
        <f t="shared" ca="1" si="240"/>
        <v>0</v>
      </c>
      <c r="CO360" s="266">
        <f ca="1">N360*IFERROR(INDEX(Algorithms!$G:$G,MATCH($C360&amp;"_Therm Saved per Unit- MLA",Algorithms!$A:$A,0)),0)*X360</f>
        <v>0</v>
      </c>
      <c r="CP360" s="266">
        <f ca="1">O360*IFERROR(INDEX(Algorithms!$G:$G,MATCH($C360&amp;"_Therm Saved per Unit- MLA",Algorithms!$A:$A,0)),0)*Y360</f>
        <v>0</v>
      </c>
      <c r="CQ360" s="266">
        <f ca="1">P360*IFERROR(INDEX(Algorithms!$G:$G,MATCH($C360&amp;"_Therm Saved per Unit- MLA",Algorithms!$A:$A,0)),0)*Z360</f>
        <v>0</v>
      </c>
      <c r="CR360" s="266">
        <f ca="1">Q360*IFERROR(INDEX(Algorithms!$G:$G,MATCH($C360&amp;"_Therm Saved per Unit- MLA",Algorithms!$A:$A,0)),0)*AA360</f>
        <v>0</v>
      </c>
      <c r="CS360" s="266">
        <f ca="1">IFERROR(INDEX(Algorithms!$G:$G,MATCH($C360&amp;"_Lifetime (years)",Algorithms!$A:$A,0)),0)</f>
        <v>10</v>
      </c>
      <c r="CT360" s="266">
        <f ca="1">IFERROR(INDEX(Algorithms!$G:$G,MATCH($C360&amp;"_Lifetime (years) - Remaining Years",Algorithms!$A:$A,0)),0)</f>
        <v>0</v>
      </c>
      <c r="CU360" s="266">
        <f t="shared" ca="1" si="241"/>
        <v>0</v>
      </c>
      <c r="CV360" s="266">
        <f t="shared" ca="1" si="242"/>
        <v>0</v>
      </c>
      <c r="CW360" s="266">
        <f t="shared" ca="1" si="243"/>
        <v>0</v>
      </c>
      <c r="CX360" s="266">
        <f t="shared" ca="1" si="244"/>
        <v>0</v>
      </c>
    </row>
    <row r="361" spans="2:102" s="47" customFormat="1" ht="18" customHeight="1" x14ac:dyDescent="0.25">
      <c r="B361" t="str">
        <f t="shared" si="245"/>
        <v>NSG_Residential_Multi-Family_Standard Rebate_Pipe Insulation_Hyd. Boiler Sm ≤1.25"_MF</v>
      </c>
      <c r="C361" s="47" t="str">
        <f t="shared" si="206"/>
        <v>Pipe Insulation_Hyd. Boiler Sm ≤1.25"_MF</v>
      </c>
      <c r="D361" s="270" t="s">
        <v>1787</v>
      </c>
      <c r="E361" s="270" t="s">
        <v>2</v>
      </c>
      <c r="F361" s="270" t="s">
        <v>1422</v>
      </c>
      <c r="G361" s="270" t="s">
        <v>1418</v>
      </c>
      <c r="H361" s="270" t="s">
        <v>404</v>
      </c>
      <c r="I361" s="270" t="s">
        <v>947</v>
      </c>
      <c r="J361" s="270" t="s">
        <v>553</v>
      </c>
      <c r="K361" s="263">
        <v>1</v>
      </c>
      <c r="L361" s="263" t="str">
        <f ca="1">IFERROR(INDEX(Algorithms!J:J,MATCH($C361&amp;"_Therm Saved per Unit",Algorithms!$A:$A,0)),"n/a")</f>
        <v>"3 - Res Pipe Insulation" worksheet</v>
      </c>
      <c r="M361" s="263" t="str">
        <f>IFERROR(INDEX('Measure Level Detail'!$N:$N,MATCH($B361,'Measure Level Detail'!$B:$B,0)),0)</f>
        <v>ft</v>
      </c>
      <c r="N361" s="271">
        <f>IFERROR(INDEX('Measure Level Detail'!$P:$P,MATCH($B361&amp;"_"&amp;N$3,'Measure Level Detail'!$C:$C,0)),0)</f>
        <v>0</v>
      </c>
      <c r="O361" s="271">
        <f>IFERROR(INDEX('Measure Level Detail'!$P:$P,MATCH($B361&amp;"_"&amp;O$3,'Measure Level Detail'!$C:$C,0)),0)</f>
        <v>0</v>
      </c>
      <c r="P361" s="271">
        <f>IFERROR(INDEX('Measure Level Detail'!$P:$P,MATCH($B361&amp;"_"&amp;P$3,'Measure Level Detail'!$C:$C,0)),0)</f>
        <v>0</v>
      </c>
      <c r="Q361" s="271">
        <f>IFERROR(INDEX('Measure Level Detail'!$P:$P,MATCH($B361&amp;"_"&amp;Q$3,'Measure Level Detail'!$C:$C,0)),0)</f>
        <v>0</v>
      </c>
      <c r="R361" s="263">
        <f ca="1">IFERROR(INDEX(Algorithms!K:K,MATCH($C361&amp;"_Therm Saved per Unit",Algorithms!$A:$A,0)),"n/a")</f>
        <v>0</v>
      </c>
      <c r="S361" s="262"/>
      <c r="T361" s="272">
        <v>2.0682348076923076</v>
      </c>
      <c r="U361" s="272">
        <v>2.0682348076923076</v>
      </c>
      <c r="V361" s="272">
        <v>2.0682348076923076</v>
      </c>
      <c r="W361" s="272">
        <v>2.0682348076923076</v>
      </c>
      <c r="X361" s="273">
        <f>IFERROR(INDEX('Measure Level Detail'!$R:$R,MATCH($B361&amp;"_"&amp;X$3,'Measure Level Detail'!$C:$C,0)),0)</f>
        <v>0.87</v>
      </c>
      <c r="Y361" s="273">
        <f>IFERROR(INDEX('Measure Level Detail'!$R:$R,MATCH($B361&amp;"_"&amp;Y$3,'Measure Level Detail'!$C:$C,0)),0)</f>
        <v>0.87</v>
      </c>
      <c r="Z361" s="273">
        <f>IFERROR(INDEX('Measure Level Detail'!$R:$R,MATCH($B361&amp;"_"&amp;Z$3,'Measure Level Detail'!$C:$C,0)),0)</f>
        <v>0.87</v>
      </c>
      <c r="AA361" s="273">
        <f>IFERROR(INDEX('Measure Level Detail'!$R:$R,MATCH($B361&amp;"_"&amp;AA$3,'Measure Level Detail'!$C:$C,0)),0)</f>
        <v>0.87</v>
      </c>
      <c r="AB361" s="266">
        <f t="shared" si="207"/>
        <v>0</v>
      </c>
      <c r="AC361" s="266">
        <f t="shared" si="208"/>
        <v>0</v>
      </c>
      <c r="AD361" s="266">
        <f t="shared" si="209"/>
        <v>0</v>
      </c>
      <c r="AE361" s="266">
        <f t="shared" si="210"/>
        <v>0</v>
      </c>
      <c r="AF361" s="266">
        <f t="shared" si="211"/>
        <v>0</v>
      </c>
      <c r="AG361" s="274">
        <v>0.87</v>
      </c>
      <c r="AH361" s="274">
        <v>0.87</v>
      </c>
      <c r="AI361" s="274">
        <v>0.87</v>
      </c>
      <c r="AJ361" s="274">
        <v>0.87</v>
      </c>
      <c r="AK361" s="274">
        <f t="shared" si="212"/>
        <v>0.87</v>
      </c>
      <c r="AL361" s="274">
        <f t="shared" si="213"/>
        <v>0.87</v>
      </c>
      <c r="AM361" s="274">
        <f t="shared" si="214"/>
        <v>0.87</v>
      </c>
      <c r="AN361" s="274">
        <f t="shared" si="215"/>
        <v>0.87</v>
      </c>
      <c r="AO361" s="262"/>
      <c r="AP361" s="262"/>
      <c r="AQ361" s="267">
        <v>2.0682348076923076</v>
      </c>
      <c r="AR361" s="262"/>
      <c r="AS361" s="266">
        <f t="shared" si="216"/>
        <v>0</v>
      </c>
      <c r="AT361" s="264">
        <f t="shared" si="217"/>
        <v>0</v>
      </c>
      <c r="AU361" s="262"/>
      <c r="AV361" s="262"/>
      <c r="AW361" s="265">
        <v>2.0682348076923076</v>
      </c>
      <c r="AX361" s="164" t="s">
        <v>1469</v>
      </c>
      <c r="AY361" s="266">
        <v>0</v>
      </c>
      <c r="AZ361" s="266">
        <f t="shared" si="218"/>
        <v>0</v>
      </c>
      <c r="BA361" s="264">
        <f t="shared" si="219"/>
        <v>0</v>
      </c>
      <c r="BB361" s="262"/>
      <c r="BC361" s="262"/>
      <c r="BD361" s="265">
        <f ca="1">IFERROR(INDEX(Algorithms!$G:$G,MATCH($C361&amp;"_Therm Saved per Unit",Algorithms!$A:$A,0)),0)</f>
        <v>2.0682348076923076</v>
      </c>
      <c r="BE361" s="164" t="str">
        <f ca="1">IFERROR(INDEX('v12 Revisions'!$P$29:$P$186, MATCH('Measure-Level Adj Gas'!$L361, 'v12 Revisions'!$D$29:$D$186,0)),"")</f>
        <v/>
      </c>
      <c r="BF361" s="266">
        <f t="shared" ca="1" si="220"/>
        <v>0</v>
      </c>
      <c r="BG361" s="264">
        <f t="shared" ca="1" si="221"/>
        <v>0</v>
      </c>
      <c r="BH361" s="262"/>
      <c r="BI361" s="262"/>
      <c r="BJ361" s="265">
        <f ca="1">IFERROR(INDEX(Algorithms!$G:$G,MATCH($C361&amp;"_Therm Saved per Unit",Algorithms!$A:$A,0)),0)</f>
        <v>2.0682348076923076</v>
      </c>
      <c r="BK361" s="164"/>
      <c r="BL361" s="266">
        <f t="shared" ca="1" si="222"/>
        <v>0</v>
      </c>
      <c r="BM361" s="264">
        <f t="shared" ca="1" si="223"/>
        <v>0</v>
      </c>
      <c r="BN361" s="266">
        <f t="shared" si="224"/>
        <v>0</v>
      </c>
      <c r="BO361" s="266">
        <f t="shared" si="225"/>
        <v>0</v>
      </c>
      <c r="BP361" s="266">
        <f t="shared" ca="1" si="226"/>
        <v>0</v>
      </c>
      <c r="BQ361" s="266">
        <f t="shared" ca="1" si="227"/>
        <v>0</v>
      </c>
      <c r="BR361" s="268">
        <f t="shared" ca="1" si="228"/>
        <v>0</v>
      </c>
      <c r="BS361" s="262" t="s">
        <v>99</v>
      </c>
      <c r="BT361" s="277"/>
      <c r="BW361" s="266">
        <f t="shared" si="229"/>
        <v>0</v>
      </c>
      <c r="BX361" s="266">
        <f t="shared" si="230"/>
        <v>0</v>
      </c>
      <c r="BY361" s="266">
        <f t="shared" si="231"/>
        <v>0</v>
      </c>
      <c r="BZ361" s="266">
        <f t="shared" si="232"/>
        <v>0</v>
      </c>
      <c r="CA361" s="266">
        <f ca="1">N361*IFERROR(INDEX(Algorithms!$G:$G,MATCH($C361&amp;"_Therm Saved per Unit- MLA",Algorithms!$A:$A,0)),0)*X361</f>
        <v>0</v>
      </c>
      <c r="CB361" s="266">
        <f ca="1">O361*IFERROR(INDEX(Algorithms!$G:$G,MATCH($C361&amp;"_Therm Saved per Unit- MLA",Algorithms!$A:$A,0)),0)*Y361</f>
        <v>0</v>
      </c>
      <c r="CC361" s="266">
        <f ca="1">P361*IFERROR(INDEX(Algorithms!$G:$G,MATCH($C361&amp;"_Therm Saved per Unit- MLA",Algorithms!$A:$A,0)),0)*Z361</f>
        <v>0</v>
      </c>
      <c r="CD361" s="266">
        <f ca="1">Q361*IFERROR(INDEX(Algorithms!$G:$G,MATCH($C361&amp;"_Therm Saved per Unit- MLA",Algorithms!$A:$A,0)),0)*AA361</f>
        <v>0</v>
      </c>
      <c r="CE361" s="266">
        <f ca="1">IFERROR(INDEX(Algorithms!$G:$G,MATCH($C361&amp;"_Lifetime (years)",Algorithms!$A:$A,0)),0)</f>
        <v>15</v>
      </c>
      <c r="CF361" s="266">
        <f ca="1">IFERROR(INDEX(Algorithms!$G:$G,MATCH($C361&amp;"_Lifetime (years) - Remaining Years",Algorithms!$A:$A,0)),0)</f>
        <v>0</v>
      </c>
      <c r="CG361" s="266">
        <f t="shared" ca="1" si="233"/>
        <v>0</v>
      </c>
      <c r="CH361" s="266">
        <f t="shared" ca="1" si="234"/>
        <v>0</v>
      </c>
      <c r="CI361" s="266">
        <f t="shared" ca="1" si="235"/>
        <v>0</v>
      </c>
      <c r="CJ361" s="266">
        <f t="shared" ca="1" si="236"/>
        <v>0</v>
      </c>
      <c r="CK361" s="266">
        <f t="shared" si="237"/>
        <v>0</v>
      </c>
      <c r="CL361" s="266">
        <f t="shared" si="238"/>
        <v>0</v>
      </c>
      <c r="CM361" s="266">
        <f t="shared" ca="1" si="239"/>
        <v>0</v>
      </c>
      <c r="CN361" s="266">
        <f t="shared" ca="1" si="240"/>
        <v>0</v>
      </c>
      <c r="CO361" s="266">
        <f ca="1">N361*IFERROR(INDEX(Algorithms!$G:$G,MATCH($C361&amp;"_Therm Saved per Unit- MLA",Algorithms!$A:$A,0)),0)*X361</f>
        <v>0</v>
      </c>
      <c r="CP361" s="266">
        <f ca="1">O361*IFERROR(INDEX(Algorithms!$G:$G,MATCH($C361&amp;"_Therm Saved per Unit- MLA",Algorithms!$A:$A,0)),0)*Y361</f>
        <v>0</v>
      </c>
      <c r="CQ361" s="266">
        <f ca="1">P361*IFERROR(INDEX(Algorithms!$G:$G,MATCH($C361&amp;"_Therm Saved per Unit- MLA",Algorithms!$A:$A,0)),0)*Z361</f>
        <v>0</v>
      </c>
      <c r="CR361" s="266">
        <f ca="1">Q361*IFERROR(INDEX(Algorithms!$G:$G,MATCH($C361&amp;"_Therm Saved per Unit- MLA",Algorithms!$A:$A,0)),0)*AA361</f>
        <v>0</v>
      </c>
      <c r="CS361" s="266">
        <f ca="1">IFERROR(INDEX(Algorithms!$G:$G,MATCH($C361&amp;"_Lifetime (years)",Algorithms!$A:$A,0)),0)</f>
        <v>15</v>
      </c>
      <c r="CT361" s="266">
        <f ca="1">IFERROR(INDEX(Algorithms!$G:$G,MATCH($C361&amp;"_Lifetime (years) - Remaining Years",Algorithms!$A:$A,0)),0)</f>
        <v>0</v>
      </c>
      <c r="CU361" s="266">
        <f t="shared" ca="1" si="241"/>
        <v>0</v>
      </c>
      <c r="CV361" s="266">
        <f t="shared" ca="1" si="242"/>
        <v>0</v>
      </c>
      <c r="CW361" s="266">
        <f t="shared" ca="1" si="243"/>
        <v>0</v>
      </c>
      <c r="CX361" s="266">
        <f t="shared" ca="1" si="244"/>
        <v>0</v>
      </c>
    </row>
    <row r="362" spans="2:102" s="47" customFormat="1" ht="18" customHeight="1" x14ac:dyDescent="0.25">
      <c r="B362" t="str">
        <f t="shared" si="245"/>
        <v>NSG_Residential_Multi-Family_Standard Rebate_Pipe Insulation_Hyd. Boiler Med 1.25-2"_MF</v>
      </c>
      <c r="C362" s="47" t="str">
        <f t="shared" si="206"/>
        <v>Pipe Insulation_Hyd. Boiler Med 1.25-2"_MF</v>
      </c>
      <c r="D362" s="270" t="s">
        <v>1787</v>
      </c>
      <c r="E362" s="270" t="s">
        <v>2</v>
      </c>
      <c r="F362" s="270" t="s">
        <v>1422</v>
      </c>
      <c r="G362" s="270" t="s">
        <v>1418</v>
      </c>
      <c r="H362" s="270" t="s">
        <v>404</v>
      </c>
      <c r="I362" s="270" t="s">
        <v>951</v>
      </c>
      <c r="J362" s="270" t="s">
        <v>553</v>
      </c>
      <c r="K362" s="263">
        <v>1</v>
      </c>
      <c r="L362" s="263" t="str">
        <f ca="1">IFERROR(INDEX(Algorithms!J:J,MATCH($C362&amp;"_Therm Saved per Unit",Algorithms!$A:$A,0)),"n/a")</f>
        <v>"3 - Res Pipe Insulation" worksheet</v>
      </c>
      <c r="M362" s="263" t="str">
        <f>IFERROR(INDEX('Measure Level Detail'!$N:$N,MATCH($B362,'Measure Level Detail'!$B:$B,0)),0)</f>
        <v>ft</v>
      </c>
      <c r="N362" s="271">
        <f>IFERROR(INDEX('Measure Level Detail'!$P:$P,MATCH($B362&amp;"_"&amp;N$3,'Measure Level Detail'!$C:$C,0)),0)</f>
        <v>0</v>
      </c>
      <c r="O362" s="271">
        <f>IFERROR(INDEX('Measure Level Detail'!$P:$P,MATCH($B362&amp;"_"&amp;O$3,'Measure Level Detail'!$C:$C,0)),0)</f>
        <v>0</v>
      </c>
      <c r="P362" s="271">
        <f>IFERROR(INDEX('Measure Level Detail'!$P:$P,MATCH($B362&amp;"_"&amp;P$3,'Measure Level Detail'!$C:$C,0)),0)</f>
        <v>0</v>
      </c>
      <c r="Q362" s="271">
        <f>IFERROR(INDEX('Measure Level Detail'!$P:$P,MATCH($B362&amp;"_"&amp;Q$3,'Measure Level Detail'!$C:$C,0)),0)</f>
        <v>0</v>
      </c>
      <c r="R362" s="263">
        <f ca="1">IFERROR(INDEX(Algorithms!K:K,MATCH($C362&amp;"_Therm Saved per Unit",Algorithms!$A:$A,0)),"n/a")</f>
        <v>0</v>
      </c>
      <c r="S362" s="262"/>
      <c r="T362" s="272">
        <v>3.6034773504273505</v>
      </c>
      <c r="U362" s="272">
        <v>3.6034773504273505</v>
      </c>
      <c r="V362" s="272">
        <v>3.6034773504273505</v>
      </c>
      <c r="W362" s="272">
        <v>3.6034773504273505</v>
      </c>
      <c r="X362" s="273">
        <f>IFERROR(INDEX('Measure Level Detail'!$R:$R,MATCH($B362&amp;"_"&amp;X$3,'Measure Level Detail'!$C:$C,0)),0)</f>
        <v>0.87</v>
      </c>
      <c r="Y362" s="273">
        <f>IFERROR(INDEX('Measure Level Detail'!$R:$R,MATCH($B362&amp;"_"&amp;Y$3,'Measure Level Detail'!$C:$C,0)),0)</f>
        <v>0.87</v>
      </c>
      <c r="Z362" s="273">
        <f>IFERROR(INDEX('Measure Level Detail'!$R:$R,MATCH($B362&amp;"_"&amp;Z$3,'Measure Level Detail'!$C:$C,0)),0)</f>
        <v>0.87</v>
      </c>
      <c r="AA362" s="273">
        <f>IFERROR(INDEX('Measure Level Detail'!$R:$R,MATCH($B362&amp;"_"&amp;AA$3,'Measure Level Detail'!$C:$C,0)),0)</f>
        <v>0.87</v>
      </c>
      <c r="AB362" s="266">
        <f t="shared" si="207"/>
        <v>0</v>
      </c>
      <c r="AC362" s="266">
        <f t="shared" si="208"/>
        <v>0</v>
      </c>
      <c r="AD362" s="266">
        <f t="shared" si="209"/>
        <v>0</v>
      </c>
      <c r="AE362" s="266">
        <f t="shared" si="210"/>
        <v>0</v>
      </c>
      <c r="AF362" s="266">
        <f t="shared" si="211"/>
        <v>0</v>
      </c>
      <c r="AG362" s="274">
        <v>0.87</v>
      </c>
      <c r="AH362" s="274">
        <v>0.87</v>
      </c>
      <c r="AI362" s="274">
        <v>0.87</v>
      </c>
      <c r="AJ362" s="274">
        <v>0.87</v>
      </c>
      <c r="AK362" s="274">
        <f t="shared" si="212"/>
        <v>0.87</v>
      </c>
      <c r="AL362" s="274">
        <f t="shared" si="213"/>
        <v>0.87</v>
      </c>
      <c r="AM362" s="274">
        <f t="shared" si="214"/>
        <v>0.87</v>
      </c>
      <c r="AN362" s="274">
        <f t="shared" si="215"/>
        <v>0.87</v>
      </c>
      <c r="AO362" s="262"/>
      <c r="AP362" s="262"/>
      <c r="AQ362" s="267">
        <v>3.6034773504273505</v>
      </c>
      <c r="AR362" s="262"/>
      <c r="AS362" s="266">
        <f t="shared" si="216"/>
        <v>0</v>
      </c>
      <c r="AT362" s="264">
        <f t="shared" si="217"/>
        <v>0</v>
      </c>
      <c r="AU362" s="262"/>
      <c r="AV362" s="262"/>
      <c r="AW362" s="265">
        <v>3.6034773504273505</v>
      </c>
      <c r="AX362" s="164" t="s">
        <v>1469</v>
      </c>
      <c r="AY362" s="266">
        <v>0</v>
      </c>
      <c r="AZ362" s="266">
        <f t="shared" si="218"/>
        <v>0</v>
      </c>
      <c r="BA362" s="264">
        <f t="shared" si="219"/>
        <v>0</v>
      </c>
      <c r="BB362" s="262"/>
      <c r="BC362" s="262"/>
      <c r="BD362" s="265">
        <f ca="1">IFERROR(INDEX(Algorithms!$G:$G,MATCH($C362&amp;"_Therm Saved per Unit",Algorithms!$A:$A,0)),0)</f>
        <v>3.6034773504273505</v>
      </c>
      <c r="BE362" s="164" t="str">
        <f ca="1">IFERROR(INDEX('v12 Revisions'!$P$29:$P$186, MATCH('Measure-Level Adj Gas'!$L362, 'v12 Revisions'!$D$29:$D$186,0)),"")</f>
        <v/>
      </c>
      <c r="BF362" s="266">
        <f t="shared" ca="1" si="220"/>
        <v>0</v>
      </c>
      <c r="BG362" s="264">
        <f t="shared" ca="1" si="221"/>
        <v>0</v>
      </c>
      <c r="BH362" s="262"/>
      <c r="BI362" s="262"/>
      <c r="BJ362" s="265">
        <f ca="1">IFERROR(INDEX(Algorithms!$G:$G,MATCH($C362&amp;"_Therm Saved per Unit",Algorithms!$A:$A,0)),0)</f>
        <v>3.6034773504273505</v>
      </c>
      <c r="BK362" s="164"/>
      <c r="BL362" s="266">
        <f t="shared" ca="1" si="222"/>
        <v>0</v>
      </c>
      <c r="BM362" s="264">
        <f t="shared" ca="1" si="223"/>
        <v>0</v>
      </c>
      <c r="BN362" s="266">
        <f t="shared" si="224"/>
        <v>0</v>
      </c>
      <c r="BO362" s="266">
        <f t="shared" si="225"/>
        <v>0</v>
      </c>
      <c r="BP362" s="266">
        <f t="shared" ca="1" si="226"/>
        <v>0</v>
      </c>
      <c r="BQ362" s="266">
        <f t="shared" ca="1" si="227"/>
        <v>0</v>
      </c>
      <c r="BR362" s="268">
        <f t="shared" ca="1" si="228"/>
        <v>0</v>
      </c>
      <c r="BS362" s="262" t="s">
        <v>99</v>
      </c>
      <c r="BT362" s="277"/>
      <c r="BW362" s="266">
        <f t="shared" si="229"/>
        <v>0</v>
      </c>
      <c r="BX362" s="266">
        <f t="shared" si="230"/>
        <v>0</v>
      </c>
      <c r="BY362" s="266">
        <f t="shared" si="231"/>
        <v>0</v>
      </c>
      <c r="BZ362" s="266">
        <f t="shared" si="232"/>
        <v>0</v>
      </c>
      <c r="CA362" s="266">
        <f ca="1">N362*IFERROR(INDEX(Algorithms!$G:$G,MATCH($C362&amp;"_Therm Saved per Unit- MLA",Algorithms!$A:$A,0)),0)*X362</f>
        <v>0</v>
      </c>
      <c r="CB362" s="266">
        <f ca="1">O362*IFERROR(INDEX(Algorithms!$G:$G,MATCH($C362&amp;"_Therm Saved per Unit- MLA",Algorithms!$A:$A,0)),0)*Y362</f>
        <v>0</v>
      </c>
      <c r="CC362" s="266">
        <f ca="1">P362*IFERROR(INDEX(Algorithms!$G:$G,MATCH($C362&amp;"_Therm Saved per Unit- MLA",Algorithms!$A:$A,0)),0)*Z362</f>
        <v>0</v>
      </c>
      <c r="CD362" s="266">
        <f ca="1">Q362*IFERROR(INDEX(Algorithms!$G:$G,MATCH($C362&amp;"_Therm Saved per Unit- MLA",Algorithms!$A:$A,0)),0)*AA362</f>
        <v>0</v>
      </c>
      <c r="CE362" s="266">
        <f ca="1">IFERROR(INDEX(Algorithms!$G:$G,MATCH($C362&amp;"_Lifetime (years)",Algorithms!$A:$A,0)),0)</f>
        <v>15</v>
      </c>
      <c r="CF362" s="266">
        <f ca="1">IFERROR(INDEX(Algorithms!$G:$G,MATCH($C362&amp;"_Lifetime (years) - Remaining Years",Algorithms!$A:$A,0)),0)</f>
        <v>0</v>
      </c>
      <c r="CG362" s="266">
        <f t="shared" ca="1" si="233"/>
        <v>0</v>
      </c>
      <c r="CH362" s="266">
        <f t="shared" ca="1" si="234"/>
        <v>0</v>
      </c>
      <c r="CI362" s="266">
        <f t="shared" ca="1" si="235"/>
        <v>0</v>
      </c>
      <c r="CJ362" s="266">
        <f t="shared" ca="1" si="236"/>
        <v>0</v>
      </c>
      <c r="CK362" s="266">
        <f t="shared" si="237"/>
        <v>0</v>
      </c>
      <c r="CL362" s="266">
        <f t="shared" si="238"/>
        <v>0</v>
      </c>
      <c r="CM362" s="266">
        <f t="shared" ca="1" si="239"/>
        <v>0</v>
      </c>
      <c r="CN362" s="266">
        <f t="shared" ca="1" si="240"/>
        <v>0</v>
      </c>
      <c r="CO362" s="266">
        <f ca="1">N362*IFERROR(INDEX(Algorithms!$G:$G,MATCH($C362&amp;"_Therm Saved per Unit- MLA",Algorithms!$A:$A,0)),0)*X362</f>
        <v>0</v>
      </c>
      <c r="CP362" s="266">
        <f ca="1">O362*IFERROR(INDEX(Algorithms!$G:$G,MATCH($C362&amp;"_Therm Saved per Unit- MLA",Algorithms!$A:$A,0)),0)*Y362</f>
        <v>0</v>
      </c>
      <c r="CQ362" s="266">
        <f ca="1">P362*IFERROR(INDEX(Algorithms!$G:$G,MATCH($C362&amp;"_Therm Saved per Unit- MLA",Algorithms!$A:$A,0)),0)*Z362</f>
        <v>0</v>
      </c>
      <c r="CR362" s="266">
        <f ca="1">Q362*IFERROR(INDEX(Algorithms!$G:$G,MATCH($C362&amp;"_Therm Saved per Unit- MLA",Algorithms!$A:$A,0)),0)*AA362</f>
        <v>0</v>
      </c>
      <c r="CS362" s="266">
        <f ca="1">IFERROR(INDEX(Algorithms!$G:$G,MATCH($C362&amp;"_Lifetime (years)",Algorithms!$A:$A,0)),0)</f>
        <v>15</v>
      </c>
      <c r="CT362" s="266">
        <f ca="1">IFERROR(INDEX(Algorithms!$G:$G,MATCH($C362&amp;"_Lifetime (years) - Remaining Years",Algorithms!$A:$A,0)),0)</f>
        <v>0</v>
      </c>
      <c r="CU362" s="266">
        <f t="shared" ca="1" si="241"/>
        <v>0</v>
      </c>
      <c r="CV362" s="266">
        <f t="shared" ca="1" si="242"/>
        <v>0</v>
      </c>
      <c r="CW362" s="266">
        <f t="shared" ca="1" si="243"/>
        <v>0</v>
      </c>
      <c r="CX362" s="266">
        <f t="shared" ca="1" si="244"/>
        <v>0</v>
      </c>
    </row>
    <row r="363" spans="2:102" s="47" customFormat="1" ht="18" customHeight="1" x14ac:dyDescent="0.25">
      <c r="B363" t="str">
        <f t="shared" si="245"/>
        <v>NSG_Residential_Multi-Family_Standard Rebate_Pipe Insulation_Steam - Small 1" to 2"_MF</v>
      </c>
      <c r="C363" s="47" t="str">
        <f t="shared" si="206"/>
        <v>Pipe Insulation_Steam - Small 1" to 2"_MF</v>
      </c>
      <c r="D363" s="270" t="s">
        <v>1787</v>
      </c>
      <c r="E363" s="270" t="s">
        <v>2</v>
      </c>
      <c r="F363" s="270" t="s">
        <v>1422</v>
      </c>
      <c r="G363" s="270" t="s">
        <v>1418</v>
      </c>
      <c r="H363" s="270" t="s">
        <v>404</v>
      </c>
      <c r="I363" s="270" t="s">
        <v>956</v>
      </c>
      <c r="J363" s="270" t="s">
        <v>553</v>
      </c>
      <c r="K363" s="263">
        <v>1</v>
      </c>
      <c r="L363" s="263" t="str">
        <f ca="1">IFERROR(INDEX(Algorithms!J:J,MATCH($C363&amp;"_Therm Saved per Unit",Algorithms!$A:$A,0)),"n/a")</f>
        <v>"3 - Res Pipe Insulation" worksheet</v>
      </c>
      <c r="M363" s="263" t="str">
        <f>IFERROR(INDEX('Measure Level Detail'!$N:$N,MATCH($B363,'Measure Level Detail'!$B:$B,0)),0)</f>
        <v>ft</v>
      </c>
      <c r="N363" s="271">
        <f>IFERROR(INDEX('Measure Level Detail'!$P:$P,MATCH($B363&amp;"_"&amp;N$3,'Measure Level Detail'!$C:$C,0)),0)</f>
        <v>0</v>
      </c>
      <c r="O363" s="271">
        <f>IFERROR(INDEX('Measure Level Detail'!$P:$P,MATCH($B363&amp;"_"&amp;O$3,'Measure Level Detail'!$C:$C,0)),0)</f>
        <v>0</v>
      </c>
      <c r="P363" s="271">
        <f>IFERROR(INDEX('Measure Level Detail'!$P:$P,MATCH($B363&amp;"_"&amp;P$3,'Measure Level Detail'!$C:$C,0)),0)</f>
        <v>0</v>
      </c>
      <c r="Q363" s="271">
        <f>IFERROR(INDEX('Measure Level Detail'!$P:$P,MATCH($B363&amp;"_"&amp;Q$3,'Measure Level Detail'!$C:$C,0)),0)</f>
        <v>0</v>
      </c>
      <c r="R363" s="263">
        <f ca="1">IFERROR(INDEX(Algorithms!K:K,MATCH($C363&amp;"_Therm Saved per Unit",Algorithms!$A:$A,0)),"n/a")</f>
        <v>0</v>
      </c>
      <c r="S363" s="262"/>
      <c r="T363" s="272">
        <v>3.967097058288509</v>
      </c>
      <c r="U363" s="272">
        <v>3.967097058288509</v>
      </c>
      <c r="V363" s="272">
        <v>3.967097058288509</v>
      </c>
      <c r="W363" s="272">
        <v>3.967097058288509</v>
      </c>
      <c r="X363" s="273">
        <f>IFERROR(INDEX('Measure Level Detail'!$R:$R,MATCH($B363&amp;"_"&amp;X$3,'Measure Level Detail'!$C:$C,0)),0)</f>
        <v>0.87</v>
      </c>
      <c r="Y363" s="273">
        <f>IFERROR(INDEX('Measure Level Detail'!$R:$R,MATCH($B363&amp;"_"&amp;Y$3,'Measure Level Detail'!$C:$C,0)),0)</f>
        <v>0.87</v>
      </c>
      <c r="Z363" s="273">
        <f>IFERROR(INDEX('Measure Level Detail'!$R:$R,MATCH($B363&amp;"_"&amp;Z$3,'Measure Level Detail'!$C:$C,0)),0)</f>
        <v>0.87</v>
      </c>
      <c r="AA363" s="273">
        <f>IFERROR(INDEX('Measure Level Detail'!$R:$R,MATCH($B363&amp;"_"&amp;AA$3,'Measure Level Detail'!$C:$C,0)),0)</f>
        <v>0.87</v>
      </c>
      <c r="AB363" s="266">
        <f t="shared" si="207"/>
        <v>0</v>
      </c>
      <c r="AC363" s="266">
        <f t="shared" si="208"/>
        <v>0</v>
      </c>
      <c r="AD363" s="266">
        <f t="shared" si="209"/>
        <v>0</v>
      </c>
      <c r="AE363" s="266">
        <f t="shared" si="210"/>
        <v>0</v>
      </c>
      <c r="AF363" s="266">
        <f t="shared" si="211"/>
        <v>0</v>
      </c>
      <c r="AG363" s="274">
        <v>0.87</v>
      </c>
      <c r="AH363" s="274">
        <v>0.87</v>
      </c>
      <c r="AI363" s="274">
        <v>0.87</v>
      </c>
      <c r="AJ363" s="274">
        <v>0.87</v>
      </c>
      <c r="AK363" s="274">
        <f t="shared" si="212"/>
        <v>0.87</v>
      </c>
      <c r="AL363" s="274">
        <f t="shared" si="213"/>
        <v>0.87</v>
      </c>
      <c r="AM363" s="274">
        <f t="shared" si="214"/>
        <v>0.87</v>
      </c>
      <c r="AN363" s="274">
        <f t="shared" si="215"/>
        <v>0.87</v>
      </c>
      <c r="AO363" s="262"/>
      <c r="AP363" s="262"/>
      <c r="AQ363" s="267">
        <v>3.967097058288509</v>
      </c>
      <c r="AR363" s="262"/>
      <c r="AS363" s="266">
        <f t="shared" si="216"/>
        <v>0</v>
      </c>
      <c r="AT363" s="264">
        <f t="shared" si="217"/>
        <v>0</v>
      </c>
      <c r="AU363" s="262"/>
      <c r="AV363" s="262"/>
      <c r="AW363" s="265">
        <v>3.967097058288509</v>
      </c>
      <c r="AX363" s="164" t="s">
        <v>1469</v>
      </c>
      <c r="AY363" s="266">
        <v>0</v>
      </c>
      <c r="AZ363" s="266">
        <f t="shared" si="218"/>
        <v>0</v>
      </c>
      <c r="BA363" s="264">
        <f t="shared" si="219"/>
        <v>0</v>
      </c>
      <c r="BB363" s="262"/>
      <c r="BC363" s="262"/>
      <c r="BD363" s="265">
        <f ca="1">IFERROR(INDEX(Algorithms!$G:$G,MATCH($C363&amp;"_Therm Saved per Unit",Algorithms!$A:$A,0)),0)</f>
        <v>3.967097058288509</v>
      </c>
      <c r="BE363" s="164" t="str">
        <f ca="1">IFERROR(INDEX('v12 Revisions'!$P$29:$P$186, MATCH('Measure-Level Adj Gas'!$L363, 'v12 Revisions'!$D$29:$D$186,0)),"")</f>
        <v/>
      </c>
      <c r="BF363" s="266">
        <f t="shared" ca="1" si="220"/>
        <v>0</v>
      </c>
      <c r="BG363" s="264">
        <f t="shared" ca="1" si="221"/>
        <v>0</v>
      </c>
      <c r="BH363" s="262"/>
      <c r="BI363" s="262"/>
      <c r="BJ363" s="265">
        <f ca="1">IFERROR(INDEX(Algorithms!$G:$G,MATCH($C363&amp;"_Therm Saved per Unit",Algorithms!$A:$A,0)),0)</f>
        <v>3.967097058288509</v>
      </c>
      <c r="BK363" s="164"/>
      <c r="BL363" s="266">
        <f t="shared" ca="1" si="222"/>
        <v>0</v>
      </c>
      <c r="BM363" s="264">
        <f t="shared" ca="1" si="223"/>
        <v>0</v>
      </c>
      <c r="BN363" s="266">
        <f t="shared" si="224"/>
        <v>0</v>
      </c>
      <c r="BO363" s="266">
        <f t="shared" si="225"/>
        <v>0</v>
      </c>
      <c r="BP363" s="266">
        <f t="shared" ca="1" si="226"/>
        <v>0</v>
      </c>
      <c r="BQ363" s="266">
        <f t="shared" ca="1" si="227"/>
        <v>0</v>
      </c>
      <c r="BR363" s="268">
        <f t="shared" ca="1" si="228"/>
        <v>0</v>
      </c>
      <c r="BS363" s="262" t="s">
        <v>99</v>
      </c>
      <c r="BT363" s="277"/>
      <c r="BW363" s="266">
        <f t="shared" si="229"/>
        <v>0</v>
      </c>
      <c r="BX363" s="266">
        <f t="shared" si="230"/>
        <v>0</v>
      </c>
      <c r="BY363" s="266">
        <f t="shared" si="231"/>
        <v>0</v>
      </c>
      <c r="BZ363" s="266">
        <f t="shared" si="232"/>
        <v>0</v>
      </c>
      <c r="CA363" s="266">
        <f ca="1">N363*IFERROR(INDEX(Algorithms!$G:$G,MATCH($C363&amp;"_Therm Saved per Unit- MLA",Algorithms!$A:$A,0)),0)*X363</f>
        <v>0</v>
      </c>
      <c r="CB363" s="266">
        <f ca="1">O363*IFERROR(INDEX(Algorithms!$G:$G,MATCH($C363&amp;"_Therm Saved per Unit- MLA",Algorithms!$A:$A,0)),0)*Y363</f>
        <v>0</v>
      </c>
      <c r="CC363" s="266">
        <f ca="1">P363*IFERROR(INDEX(Algorithms!$G:$G,MATCH($C363&amp;"_Therm Saved per Unit- MLA",Algorithms!$A:$A,0)),0)*Z363</f>
        <v>0</v>
      </c>
      <c r="CD363" s="266">
        <f ca="1">Q363*IFERROR(INDEX(Algorithms!$G:$G,MATCH($C363&amp;"_Therm Saved per Unit- MLA",Algorithms!$A:$A,0)),0)*AA363</f>
        <v>0</v>
      </c>
      <c r="CE363" s="266">
        <f ca="1">IFERROR(INDEX(Algorithms!$G:$G,MATCH($C363&amp;"_Lifetime (years)",Algorithms!$A:$A,0)),0)</f>
        <v>15</v>
      </c>
      <c r="CF363" s="266">
        <f ca="1">IFERROR(INDEX(Algorithms!$G:$G,MATCH($C363&amp;"_Lifetime (years) - Remaining Years",Algorithms!$A:$A,0)),0)</f>
        <v>0</v>
      </c>
      <c r="CG363" s="266">
        <f t="shared" ca="1" si="233"/>
        <v>0</v>
      </c>
      <c r="CH363" s="266">
        <f t="shared" ca="1" si="234"/>
        <v>0</v>
      </c>
      <c r="CI363" s="266">
        <f t="shared" ca="1" si="235"/>
        <v>0</v>
      </c>
      <c r="CJ363" s="266">
        <f t="shared" ca="1" si="236"/>
        <v>0</v>
      </c>
      <c r="CK363" s="266">
        <f t="shared" si="237"/>
        <v>0</v>
      </c>
      <c r="CL363" s="266">
        <f t="shared" si="238"/>
        <v>0</v>
      </c>
      <c r="CM363" s="266">
        <f t="shared" ca="1" si="239"/>
        <v>0</v>
      </c>
      <c r="CN363" s="266">
        <f t="shared" ca="1" si="240"/>
        <v>0</v>
      </c>
      <c r="CO363" s="266">
        <f ca="1">N363*IFERROR(INDEX(Algorithms!$G:$G,MATCH($C363&amp;"_Therm Saved per Unit- MLA",Algorithms!$A:$A,0)),0)*X363</f>
        <v>0</v>
      </c>
      <c r="CP363" s="266">
        <f ca="1">O363*IFERROR(INDEX(Algorithms!$G:$G,MATCH($C363&amp;"_Therm Saved per Unit- MLA",Algorithms!$A:$A,0)),0)*Y363</f>
        <v>0</v>
      </c>
      <c r="CQ363" s="266">
        <f ca="1">P363*IFERROR(INDEX(Algorithms!$G:$G,MATCH($C363&amp;"_Therm Saved per Unit- MLA",Algorithms!$A:$A,0)),0)*Z363</f>
        <v>0</v>
      </c>
      <c r="CR363" s="266">
        <f ca="1">Q363*IFERROR(INDEX(Algorithms!$G:$G,MATCH($C363&amp;"_Therm Saved per Unit- MLA",Algorithms!$A:$A,0)),0)*AA363</f>
        <v>0</v>
      </c>
      <c r="CS363" s="266">
        <f ca="1">IFERROR(INDEX(Algorithms!$G:$G,MATCH($C363&amp;"_Lifetime (years)",Algorithms!$A:$A,0)),0)</f>
        <v>15</v>
      </c>
      <c r="CT363" s="266">
        <f ca="1">IFERROR(INDEX(Algorithms!$G:$G,MATCH($C363&amp;"_Lifetime (years) - Remaining Years",Algorithms!$A:$A,0)),0)</f>
        <v>0</v>
      </c>
      <c r="CU363" s="266">
        <f t="shared" ca="1" si="241"/>
        <v>0</v>
      </c>
      <c r="CV363" s="266">
        <f t="shared" ca="1" si="242"/>
        <v>0</v>
      </c>
      <c r="CW363" s="266">
        <f t="shared" ca="1" si="243"/>
        <v>0</v>
      </c>
      <c r="CX363" s="266">
        <f t="shared" ca="1" si="244"/>
        <v>0</v>
      </c>
    </row>
    <row r="364" spans="2:102" s="47" customFormat="1" ht="18" customHeight="1" x14ac:dyDescent="0.25">
      <c r="B364" t="str">
        <f t="shared" si="245"/>
        <v>NSG_Residential_Multi-Family_Standard Rebate_Pipe Insulation_Steam - Med 2.1" to 5"_MF</v>
      </c>
      <c r="C364" s="47" t="str">
        <f t="shared" si="206"/>
        <v>Pipe Insulation_Steam - Med 2.1" to 5"_MF</v>
      </c>
      <c r="D364" s="270" t="s">
        <v>1787</v>
      </c>
      <c r="E364" s="270" t="s">
        <v>2</v>
      </c>
      <c r="F364" s="270" t="s">
        <v>1422</v>
      </c>
      <c r="G364" s="270" t="s">
        <v>1418</v>
      </c>
      <c r="H364" s="270" t="s">
        <v>404</v>
      </c>
      <c r="I364" s="270" t="s">
        <v>957</v>
      </c>
      <c r="J364" s="270" t="s">
        <v>553</v>
      </c>
      <c r="K364" s="263">
        <v>1</v>
      </c>
      <c r="L364" s="263" t="str">
        <f ca="1">IFERROR(INDEX(Algorithms!J:J,MATCH($C364&amp;"_Therm Saved per Unit",Algorithms!$A:$A,0)),"n/a")</f>
        <v>"3 - Res Pipe Insulation" worksheet</v>
      </c>
      <c r="M364" s="263" t="str">
        <f>IFERROR(INDEX('Measure Level Detail'!$N:$N,MATCH($B364,'Measure Level Detail'!$B:$B,0)),0)</f>
        <v>ft</v>
      </c>
      <c r="N364" s="271">
        <f>IFERROR(INDEX('Measure Level Detail'!$P:$P,MATCH($B364&amp;"_"&amp;N$3,'Measure Level Detail'!$C:$C,0)),0)</f>
        <v>0</v>
      </c>
      <c r="O364" s="271">
        <f>IFERROR(INDEX('Measure Level Detail'!$P:$P,MATCH($B364&amp;"_"&amp;O$3,'Measure Level Detail'!$C:$C,0)),0)</f>
        <v>0</v>
      </c>
      <c r="P364" s="271">
        <f>IFERROR(INDEX('Measure Level Detail'!$P:$P,MATCH($B364&amp;"_"&amp;P$3,'Measure Level Detail'!$C:$C,0)),0)</f>
        <v>0</v>
      </c>
      <c r="Q364" s="271">
        <f>IFERROR(INDEX('Measure Level Detail'!$P:$P,MATCH($B364&amp;"_"&amp;Q$3,'Measure Level Detail'!$C:$C,0)),0)</f>
        <v>0</v>
      </c>
      <c r="R364" s="263">
        <f ca="1">IFERROR(INDEX(Algorithms!K:K,MATCH($C364&amp;"_Therm Saved per Unit",Algorithms!$A:$A,0)),"n/a")</f>
        <v>0</v>
      </c>
      <c r="S364" s="262"/>
      <c r="T364" s="272">
        <v>15.954497207020932</v>
      </c>
      <c r="U364" s="272">
        <v>15.954497207020932</v>
      </c>
      <c r="V364" s="272">
        <v>15.954497207020932</v>
      </c>
      <c r="W364" s="272">
        <v>15.954497207020932</v>
      </c>
      <c r="X364" s="273">
        <f>IFERROR(INDEX('Measure Level Detail'!$R:$R,MATCH($B364&amp;"_"&amp;X$3,'Measure Level Detail'!$C:$C,0)),0)</f>
        <v>0.87</v>
      </c>
      <c r="Y364" s="273">
        <f>IFERROR(INDEX('Measure Level Detail'!$R:$R,MATCH($B364&amp;"_"&amp;Y$3,'Measure Level Detail'!$C:$C,0)),0)</f>
        <v>0.87</v>
      </c>
      <c r="Z364" s="273">
        <f>IFERROR(INDEX('Measure Level Detail'!$R:$R,MATCH($B364&amp;"_"&amp;Z$3,'Measure Level Detail'!$C:$C,0)),0)</f>
        <v>0.87</v>
      </c>
      <c r="AA364" s="273">
        <f>IFERROR(INDEX('Measure Level Detail'!$R:$R,MATCH($B364&amp;"_"&amp;AA$3,'Measure Level Detail'!$C:$C,0)),0)</f>
        <v>0.87</v>
      </c>
      <c r="AB364" s="266">
        <f t="shared" si="207"/>
        <v>0</v>
      </c>
      <c r="AC364" s="266">
        <f t="shared" si="208"/>
        <v>0</v>
      </c>
      <c r="AD364" s="266">
        <f t="shared" si="209"/>
        <v>0</v>
      </c>
      <c r="AE364" s="266">
        <f t="shared" si="210"/>
        <v>0</v>
      </c>
      <c r="AF364" s="266">
        <f t="shared" si="211"/>
        <v>0</v>
      </c>
      <c r="AG364" s="274">
        <v>0.87</v>
      </c>
      <c r="AH364" s="274">
        <v>0.87</v>
      </c>
      <c r="AI364" s="274">
        <v>0.87</v>
      </c>
      <c r="AJ364" s="274">
        <v>0.87</v>
      </c>
      <c r="AK364" s="274">
        <f t="shared" si="212"/>
        <v>0.87</v>
      </c>
      <c r="AL364" s="274">
        <f t="shared" si="213"/>
        <v>0.87</v>
      </c>
      <c r="AM364" s="274">
        <f t="shared" si="214"/>
        <v>0.87</v>
      </c>
      <c r="AN364" s="274">
        <f t="shared" si="215"/>
        <v>0.87</v>
      </c>
      <c r="AO364" s="262"/>
      <c r="AP364" s="262"/>
      <c r="AQ364" s="267">
        <v>15.954497207020932</v>
      </c>
      <c r="AR364" s="262"/>
      <c r="AS364" s="266">
        <f t="shared" si="216"/>
        <v>0</v>
      </c>
      <c r="AT364" s="264">
        <f t="shared" si="217"/>
        <v>0</v>
      </c>
      <c r="AU364" s="262"/>
      <c r="AV364" s="262"/>
      <c r="AW364" s="265">
        <v>15.954497207020932</v>
      </c>
      <c r="AX364" s="164" t="s">
        <v>1469</v>
      </c>
      <c r="AY364" s="266">
        <v>0</v>
      </c>
      <c r="AZ364" s="266">
        <f t="shared" si="218"/>
        <v>0</v>
      </c>
      <c r="BA364" s="264">
        <f t="shared" si="219"/>
        <v>0</v>
      </c>
      <c r="BB364" s="262"/>
      <c r="BC364" s="262"/>
      <c r="BD364" s="265">
        <f ca="1">IFERROR(INDEX(Algorithms!$G:$G,MATCH($C364&amp;"_Therm Saved per Unit",Algorithms!$A:$A,0)),0)</f>
        <v>15.954497207020932</v>
      </c>
      <c r="BE364" s="164" t="str">
        <f ca="1">IFERROR(INDEX('v12 Revisions'!$P$29:$P$186, MATCH('Measure-Level Adj Gas'!$L364, 'v12 Revisions'!$D$29:$D$186,0)),"")</f>
        <v/>
      </c>
      <c r="BF364" s="266">
        <f t="shared" ca="1" si="220"/>
        <v>0</v>
      </c>
      <c r="BG364" s="264">
        <f t="shared" ca="1" si="221"/>
        <v>0</v>
      </c>
      <c r="BH364" s="262"/>
      <c r="BI364" s="262"/>
      <c r="BJ364" s="265">
        <f ca="1">IFERROR(INDEX(Algorithms!$G:$G,MATCH($C364&amp;"_Therm Saved per Unit",Algorithms!$A:$A,0)),0)</f>
        <v>15.954497207020932</v>
      </c>
      <c r="BK364" s="164"/>
      <c r="BL364" s="266">
        <f t="shared" ca="1" si="222"/>
        <v>0</v>
      </c>
      <c r="BM364" s="264">
        <f t="shared" ca="1" si="223"/>
        <v>0</v>
      </c>
      <c r="BN364" s="266">
        <f t="shared" si="224"/>
        <v>0</v>
      </c>
      <c r="BO364" s="266">
        <f t="shared" si="225"/>
        <v>0</v>
      </c>
      <c r="BP364" s="266">
        <f t="shared" ca="1" si="226"/>
        <v>0</v>
      </c>
      <c r="BQ364" s="266">
        <f t="shared" ca="1" si="227"/>
        <v>0</v>
      </c>
      <c r="BR364" s="268">
        <f t="shared" ca="1" si="228"/>
        <v>0</v>
      </c>
      <c r="BS364" s="262" t="s">
        <v>99</v>
      </c>
      <c r="BT364" s="277"/>
      <c r="BW364" s="266">
        <f t="shared" si="229"/>
        <v>0</v>
      </c>
      <c r="BX364" s="266">
        <f t="shared" si="230"/>
        <v>0</v>
      </c>
      <c r="BY364" s="266">
        <f t="shared" si="231"/>
        <v>0</v>
      </c>
      <c r="BZ364" s="266">
        <f t="shared" si="232"/>
        <v>0</v>
      </c>
      <c r="CA364" s="266">
        <f ca="1">N364*IFERROR(INDEX(Algorithms!$G:$G,MATCH($C364&amp;"_Therm Saved per Unit- MLA",Algorithms!$A:$A,0)),0)*X364</f>
        <v>0</v>
      </c>
      <c r="CB364" s="266">
        <f ca="1">O364*IFERROR(INDEX(Algorithms!$G:$G,MATCH($C364&amp;"_Therm Saved per Unit- MLA",Algorithms!$A:$A,0)),0)*Y364</f>
        <v>0</v>
      </c>
      <c r="CC364" s="266">
        <f ca="1">P364*IFERROR(INDEX(Algorithms!$G:$G,MATCH($C364&amp;"_Therm Saved per Unit- MLA",Algorithms!$A:$A,0)),0)*Z364</f>
        <v>0</v>
      </c>
      <c r="CD364" s="266">
        <f ca="1">Q364*IFERROR(INDEX(Algorithms!$G:$G,MATCH($C364&amp;"_Therm Saved per Unit- MLA",Algorithms!$A:$A,0)),0)*AA364</f>
        <v>0</v>
      </c>
      <c r="CE364" s="266">
        <f ca="1">IFERROR(INDEX(Algorithms!$G:$G,MATCH($C364&amp;"_Lifetime (years)",Algorithms!$A:$A,0)),0)</f>
        <v>15</v>
      </c>
      <c r="CF364" s="266">
        <f ca="1">IFERROR(INDEX(Algorithms!$G:$G,MATCH($C364&amp;"_Lifetime (years) - Remaining Years",Algorithms!$A:$A,0)),0)</f>
        <v>0</v>
      </c>
      <c r="CG364" s="266">
        <f t="shared" ca="1" si="233"/>
        <v>0</v>
      </c>
      <c r="CH364" s="266">
        <f t="shared" ca="1" si="234"/>
        <v>0</v>
      </c>
      <c r="CI364" s="266">
        <f t="shared" ca="1" si="235"/>
        <v>0</v>
      </c>
      <c r="CJ364" s="266">
        <f t="shared" ca="1" si="236"/>
        <v>0</v>
      </c>
      <c r="CK364" s="266">
        <f t="shared" si="237"/>
        <v>0</v>
      </c>
      <c r="CL364" s="266">
        <f t="shared" si="238"/>
        <v>0</v>
      </c>
      <c r="CM364" s="266">
        <f t="shared" ca="1" si="239"/>
        <v>0</v>
      </c>
      <c r="CN364" s="266">
        <f t="shared" ca="1" si="240"/>
        <v>0</v>
      </c>
      <c r="CO364" s="266">
        <f ca="1">N364*IFERROR(INDEX(Algorithms!$G:$G,MATCH($C364&amp;"_Therm Saved per Unit- MLA",Algorithms!$A:$A,0)),0)*X364</f>
        <v>0</v>
      </c>
      <c r="CP364" s="266">
        <f ca="1">O364*IFERROR(INDEX(Algorithms!$G:$G,MATCH($C364&amp;"_Therm Saved per Unit- MLA",Algorithms!$A:$A,0)),0)*Y364</f>
        <v>0</v>
      </c>
      <c r="CQ364" s="266">
        <f ca="1">P364*IFERROR(INDEX(Algorithms!$G:$G,MATCH($C364&amp;"_Therm Saved per Unit- MLA",Algorithms!$A:$A,0)),0)*Z364</f>
        <v>0</v>
      </c>
      <c r="CR364" s="266">
        <f ca="1">Q364*IFERROR(INDEX(Algorithms!$G:$G,MATCH($C364&amp;"_Therm Saved per Unit- MLA",Algorithms!$A:$A,0)),0)*AA364</f>
        <v>0</v>
      </c>
      <c r="CS364" s="266">
        <f ca="1">IFERROR(INDEX(Algorithms!$G:$G,MATCH($C364&amp;"_Lifetime (years)",Algorithms!$A:$A,0)),0)</f>
        <v>15</v>
      </c>
      <c r="CT364" s="266">
        <f ca="1">IFERROR(INDEX(Algorithms!$G:$G,MATCH($C364&amp;"_Lifetime (years) - Remaining Years",Algorithms!$A:$A,0)),0)</f>
        <v>0</v>
      </c>
      <c r="CU364" s="266">
        <f t="shared" ca="1" si="241"/>
        <v>0</v>
      </c>
      <c r="CV364" s="266">
        <f t="shared" ca="1" si="242"/>
        <v>0</v>
      </c>
      <c r="CW364" s="266">
        <f t="shared" ca="1" si="243"/>
        <v>0</v>
      </c>
      <c r="CX364" s="266">
        <f t="shared" ca="1" si="244"/>
        <v>0</v>
      </c>
    </row>
    <row r="365" spans="2:102" s="47" customFormat="1" ht="18" customHeight="1" x14ac:dyDescent="0.25">
      <c r="B365" t="str">
        <f t="shared" si="245"/>
        <v>NSG_Residential_Multi-Family_Standard Rebate_Pipe Insulation_Steam - Large 5.1" to 8"_MF</v>
      </c>
      <c r="C365" s="47" t="str">
        <f t="shared" si="206"/>
        <v>Pipe Insulation_Steam - Large 5.1" to 8"_MF</v>
      </c>
      <c r="D365" s="270" t="s">
        <v>1787</v>
      </c>
      <c r="E365" s="270" t="s">
        <v>2</v>
      </c>
      <c r="F365" s="270" t="s">
        <v>1422</v>
      </c>
      <c r="G365" s="270" t="s">
        <v>1418</v>
      </c>
      <c r="H365" s="270" t="s">
        <v>404</v>
      </c>
      <c r="I365" s="270" t="s">
        <v>958</v>
      </c>
      <c r="J365" s="270" t="s">
        <v>553</v>
      </c>
      <c r="K365" s="263">
        <v>1</v>
      </c>
      <c r="L365" s="263" t="str">
        <f ca="1">IFERROR(INDEX(Algorithms!J:J,MATCH($C365&amp;"_Therm Saved per Unit",Algorithms!$A:$A,0)),"n/a")</f>
        <v>"3 - Res Pipe Insulation" worksheet</v>
      </c>
      <c r="M365" s="263" t="str">
        <f>IFERROR(INDEX('Measure Level Detail'!$N:$N,MATCH($B365,'Measure Level Detail'!$B:$B,0)),0)</f>
        <v>ft</v>
      </c>
      <c r="N365" s="271">
        <f>IFERROR(INDEX('Measure Level Detail'!$P:$P,MATCH($B365&amp;"_"&amp;N$3,'Measure Level Detail'!$C:$C,0)),0)</f>
        <v>0</v>
      </c>
      <c r="O365" s="271">
        <f>IFERROR(INDEX('Measure Level Detail'!$P:$P,MATCH($B365&amp;"_"&amp;O$3,'Measure Level Detail'!$C:$C,0)),0)</f>
        <v>0</v>
      </c>
      <c r="P365" s="271">
        <f>IFERROR(INDEX('Measure Level Detail'!$P:$P,MATCH($B365&amp;"_"&amp;P$3,'Measure Level Detail'!$C:$C,0)),0)</f>
        <v>0</v>
      </c>
      <c r="Q365" s="271">
        <f>IFERROR(INDEX('Measure Level Detail'!$P:$P,MATCH($B365&amp;"_"&amp;Q$3,'Measure Level Detail'!$C:$C,0)),0)</f>
        <v>0</v>
      </c>
      <c r="R365" s="263">
        <f ca="1">IFERROR(INDEX(Algorithms!K:K,MATCH($C365&amp;"_Therm Saved per Unit",Algorithms!$A:$A,0)),"n/a")</f>
        <v>0</v>
      </c>
      <c r="S365" s="262"/>
      <c r="T365" s="272">
        <v>31.133964854103496</v>
      </c>
      <c r="U365" s="272">
        <v>31.133964854103496</v>
      </c>
      <c r="V365" s="272">
        <v>31.133964854103496</v>
      </c>
      <c r="W365" s="272">
        <v>31.133964854103496</v>
      </c>
      <c r="X365" s="273">
        <f>IFERROR(INDEX('Measure Level Detail'!$R:$R,MATCH($B365&amp;"_"&amp;X$3,'Measure Level Detail'!$C:$C,0)),0)</f>
        <v>0.87</v>
      </c>
      <c r="Y365" s="273">
        <f>IFERROR(INDEX('Measure Level Detail'!$R:$R,MATCH($B365&amp;"_"&amp;Y$3,'Measure Level Detail'!$C:$C,0)),0)</f>
        <v>0.87</v>
      </c>
      <c r="Z365" s="273">
        <f>IFERROR(INDEX('Measure Level Detail'!$R:$R,MATCH($B365&amp;"_"&amp;Z$3,'Measure Level Detail'!$C:$C,0)),0)</f>
        <v>0.87</v>
      </c>
      <c r="AA365" s="273">
        <f>IFERROR(INDEX('Measure Level Detail'!$R:$R,MATCH($B365&amp;"_"&amp;AA$3,'Measure Level Detail'!$C:$C,0)),0)</f>
        <v>0.87</v>
      </c>
      <c r="AB365" s="266">
        <f t="shared" si="207"/>
        <v>0</v>
      </c>
      <c r="AC365" s="266">
        <f t="shared" si="208"/>
        <v>0</v>
      </c>
      <c r="AD365" s="266">
        <f t="shared" si="209"/>
        <v>0</v>
      </c>
      <c r="AE365" s="266">
        <f t="shared" si="210"/>
        <v>0</v>
      </c>
      <c r="AF365" s="266">
        <f t="shared" si="211"/>
        <v>0</v>
      </c>
      <c r="AG365" s="274">
        <v>0.87</v>
      </c>
      <c r="AH365" s="274">
        <v>0.87</v>
      </c>
      <c r="AI365" s="274">
        <v>0.87</v>
      </c>
      <c r="AJ365" s="274">
        <v>0.87</v>
      </c>
      <c r="AK365" s="274">
        <f t="shared" si="212"/>
        <v>0.87</v>
      </c>
      <c r="AL365" s="274">
        <f t="shared" si="213"/>
        <v>0.87</v>
      </c>
      <c r="AM365" s="274">
        <f t="shared" si="214"/>
        <v>0.87</v>
      </c>
      <c r="AN365" s="274">
        <f t="shared" si="215"/>
        <v>0.87</v>
      </c>
      <c r="AO365" s="262"/>
      <c r="AP365" s="262"/>
      <c r="AQ365" s="267">
        <v>31.133964854103496</v>
      </c>
      <c r="AR365" s="262"/>
      <c r="AS365" s="266">
        <f t="shared" si="216"/>
        <v>0</v>
      </c>
      <c r="AT365" s="264">
        <f t="shared" si="217"/>
        <v>0</v>
      </c>
      <c r="AU365" s="262"/>
      <c r="AV365" s="262"/>
      <c r="AW365" s="265">
        <v>31.133964854103496</v>
      </c>
      <c r="AX365" s="164" t="s">
        <v>1469</v>
      </c>
      <c r="AY365" s="266">
        <v>0</v>
      </c>
      <c r="AZ365" s="266">
        <f t="shared" si="218"/>
        <v>0</v>
      </c>
      <c r="BA365" s="264">
        <f t="shared" si="219"/>
        <v>0</v>
      </c>
      <c r="BB365" s="262"/>
      <c r="BC365" s="262"/>
      <c r="BD365" s="265">
        <f ca="1">IFERROR(INDEX(Algorithms!$G:$G,MATCH($C365&amp;"_Therm Saved per Unit",Algorithms!$A:$A,0)),0)</f>
        <v>31.133964854103496</v>
      </c>
      <c r="BE365" s="164" t="str">
        <f ca="1">IFERROR(INDEX('v12 Revisions'!$P$29:$P$186, MATCH('Measure-Level Adj Gas'!$L365, 'v12 Revisions'!$D$29:$D$186,0)),"")</f>
        <v/>
      </c>
      <c r="BF365" s="266">
        <f t="shared" ca="1" si="220"/>
        <v>0</v>
      </c>
      <c r="BG365" s="264">
        <f t="shared" ca="1" si="221"/>
        <v>0</v>
      </c>
      <c r="BH365" s="262"/>
      <c r="BI365" s="262"/>
      <c r="BJ365" s="265">
        <f ca="1">IFERROR(INDEX(Algorithms!$G:$G,MATCH($C365&amp;"_Therm Saved per Unit",Algorithms!$A:$A,0)),0)</f>
        <v>31.133964854103496</v>
      </c>
      <c r="BK365" s="164"/>
      <c r="BL365" s="266">
        <f t="shared" ca="1" si="222"/>
        <v>0</v>
      </c>
      <c r="BM365" s="264">
        <f t="shared" ca="1" si="223"/>
        <v>0</v>
      </c>
      <c r="BN365" s="266">
        <f t="shared" si="224"/>
        <v>0</v>
      </c>
      <c r="BO365" s="266">
        <f t="shared" si="225"/>
        <v>0</v>
      </c>
      <c r="BP365" s="266">
        <f t="shared" ca="1" si="226"/>
        <v>0</v>
      </c>
      <c r="BQ365" s="266">
        <f t="shared" ca="1" si="227"/>
        <v>0</v>
      </c>
      <c r="BR365" s="268">
        <f t="shared" ca="1" si="228"/>
        <v>0</v>
      </c>
      <c r="BS365" s="262" t="s">
        <v>99</v>
      </c>
      <c r="BT365" s="277"/>
      <c r="BW365" s="266">
        <f t="shared" si="229"/>
        <v>0</v>
      </c>
      <c r="BX365" s="266">
        <f t="shared" si="230"/>
        <v>0</v>
      </c>
      <c r="BY365" s="266">
        <f t="shared" si="231"/>
        <v>0</v>
      </c>
      <c r="BZ365" s="266">
        <f t="shared" si="232"/>
        <v>0</v>
      </c>
      <c r="CA365" s="266">
        <f ca="1">N365*IFERROR(INDEX(Algorithms!$G:$G,MATCH($C365&amp;"_Therm Saved per Unit- MLA",Algorithms!$A:$A,0)),0)*X365</f>
        <v>0</v>
      </c>
      <c r="CB365" s="266">
        <f ca="1">O365*IFERROR(INDEX(Algorithms!$G:$G,MATCH($C365&amp;"_Therm Saved per Unit- MLA",Algorithms!$A:$A,0)),0)*Y365</f>
        <v>0</v>
      </c>
      <c r="CC365" s="266">
        <f ca="1">P365*IFERROR(INDEX(Algorithms!$G:$G,MATCH($C365&amp;"_Therm Saved per Unit- MLA",Algorithms!$A:$A,0)),0)*Z365</f>
        <v>0</v>
      </c>
      <c r="CD365" s="266">
        <f ca="1">Q365*IFERROR(INDEX(Algorithms!$G:$G,MATCH($C365&amp;"_Therm Saved per Unit- MLA",Algorithms!$A:$A,0)),0)*AA365</f>
        <v>0</v>
      </c>
      <c r="CE365" s="266">
        <f ca="1">IFERROR(INDEX(Algorithms!$G:$G,MATCH($C365&amp;"_Lifetime (years)",Algorithms!$A:$A,0)),0)</f>
        <v>15</v>
      </c>
      <c r="CF365" s="266">
        <f ca="1">IFERROR(INDEX(Algorithms!$G:$G,MATCH($C365&amp;"_Lifetime (years) - Remaining Years",Algorithms!$A:$A,0)),0)</f>
        <v>0</v>
      </c>
      <c r="CG365" s="266">
        <f t="shared" ca="1" si="233"/>
        <v>0</v>
      </c>
      <c r="CH365" s="266">
        <f t="shared" ca="1" si="234"/>
        <v>0</v>
      </c>
      <c r="CI365" s="266">
        <f t="shared" ca="1" si="235"/>
        <v>0</v>
      </c>
      <c r="CJ365" s="266">
        <f t="shared" ca="1" si="236"/>
        <v>0</v>
      </c>
      <c r="CK365" s="266">
        <f t="shared" si="237"/>
        <v>0</v>
      </c>
      <c r="CL365" s="266">
        <f t="shared" si="238"/>
        <v>0</v>
      </c>
      <c r="CM365" s="266">
        <f t="shared" ca="1" si="239"/>
        <v>0</v>
      </c>
      <c r="CN365" s="266">
        <f t="shared" ca="1" si="240"/>
        <v>0</v>
      </c>
      <c r="CO365" s="266">
        <f ca="1">N365*IFERROR(INDEX(Algorithms!$G:$G,MATCH($C365&amp;"_Therm Saved per Unit- MLA",Algorithms!$A:$A,0)),0)*X365</f>
        <v>0</v>
      </c>
      <c r="CP365" s="266">
        <f ca="1">O365*IFERROR(INDEX(Algorithms!$G:$G,MATCH($C365&amp;"_Therm Saved per Unit- MLA",Algorithms!$A:$A,0)),0)*Y365</f>
        <v>0</v>
      </c>
      <c r="CQ365" s="266">
        <f ca="1">P365*IFERROR(INDEX(Algorithms!$G:$G,MATCH($C365&amp;"_Therm Saved per Unit- MLA",Algorithms!$A:$A,0)),0)*Z365</f>
        <v>0</v>
      </c>
      <c r="CR365" s="266">
        <f ca="1">Q365*IFERROR(INDEX(Algorithms!$G:$G,MATCH($C365&amp;"_Therm Saved per Unit- MLA",Algorithms!$A:$A,0)),0)*AA365</f>
        <v>0</v>
      </c>
      <c r="CS365" s="266">
        <f ca="1">IFERROR(INDEX(Algorithms!$G:$G,MATCH($C365&amp;"_Lifetime (years)",Algorithms!$A:$A,0)),0)</f>
        <v>15</v>
      </c>
      <c r="CT365" s="266">
        <f ca="1">IFERROR(INDEX(Algorithms!$G:$G,MATCH($C365&amp;"_Lifetime (years) - Remaining Years",Algorithms!$A:$A,0)),0)</f>
        <v>0</v>
      </c>
      <c r="CU365" s="266">
        <f t="shared" ca="1" si="241"/>
        <v>0</v>
      </c>
      <c r="CV365" s="266">
        <f t="shared" ca="1" si="242"/>
        <v>0</v>
      </c>
      <c r="CW365" s="266">
        <f t="shared" ca="1" si="243"/>
        <v>0</v>
      </c>
      <c r="CX365" s="266">
        <f t="shared" ca="1" si="244"/>
        <v>0</v>
      </c>
    </row>
    <row r="366" spans="2:102" s="47" customFormat="1" ht="18" customHeight="1" x14ac:dyDescent="0.25">
      <c r="B366" t="str">
        <f t="shared" si="245"/>
        <v>NSG_Residential_Multi-Family_Standard Rebate_Pipe Insulation_Steam - X-Large &gt;8"_MF</v>
      </c>
      <c r="C366" s="47" t="str">
        <f t="shared" si="206"/>
        <v>Pipe Insulation_Steam - X-Large &gt;8"_MF</v>
      </c>
      <c r="D366" s="270" t="s">
        <v>1787</v>
      </c>
      <c r="E366" s="270" t="s">
        <v>2</v>
      </c>
      <c r="F366" s="270" t="s">
        <v>1422</v>
      </c>
      <c r="G366" s="270" t="s">
        <v>1418</v>
      </c>
      <c r="H366" s="270" t="s">
        <v>404</v>
      </c>
      <c r="I366" s="270" t="s">
        <v>960</v>
      </c>
      <c r="J366" s="270" t="s">
        <v>553</v>
      </c>
      <c r="K366" s="263">
        <v>1</v>
      </c>
      <c r="L366" s="263" t="str">
        <f ca="1">IFERROR(INDEX(Algorithms!J:J,MATCH($C366&amp;"_Therm Saved per Unit",Algorithms!$A:$A,0)),"n/a")</f>
        <v>"3 - Res Pipe Insulation" worksheet</v>
      </c>
      <c r="M366" s="263" t="str">
        <f>IFERROR(INDEX('Measure Level Detail'!$N:$N,MATCH($B366,'Measure Level Detail'!$B:$B,0)),0)</f>
        <v>ft</v>
      </c>
      <c r="N366" s="271">
        <f>IFERROR(INDEX('Measure Level Detail'!$P:$P,MATCH($B366&amp;"_"&amp;N$3,'Measure Level Detail'!$C:$C,0)),0)</f>
        <v>0</v>
      </c>
      <c r="O366" s="271">
        <f>IFERROR(INDEX('Measure Level Detail'!$P:$P,MATCH($B366&amp;"_"&amp;O$3,'Measure Level Detail'!$C:$C,0)),0)</f>
        <v>0</v>
      </c>
      <c r="P366" s="271">
        <f>IFERROR(INDEX('Measure Level Detail'!$P:$P,MATCH($B366&amp;"_"&amp;P$3,'Measure Level Detail'!$C:$C,0)),0)</f>
        <v>0</v>
      </c>
      <c r="Q366" s="271">
        <f>IFERROR(INDEX('Measure Level Detail'!$P:$P,MATCH($B366&amp;"_"&amp;Q$3,'Measure Level Detail'!$C:$C,0)),0)</f>
        <v>0</v>
      </c>
      <c r="R366" s="263">
        <f ca="1">IFERROR(INDEX(Algorithms!K:K,MATCH($C366&amp;"_Therm Saved per Unit",Algorithms!$A:$A,0)),"n/a")</f>
        <v>0</v>
      </c>
      <c r="S366" s="262"/>
      <c r="T366" s="272">
        <v>44.814401171573145</v>
      </c>
      <c r="U366" s="272">
        <v>44.814401171573145</v>
      </c>
      <c r="V366" s="272">
        <v>44.814401171573145</v>
      </c>
      <c r="W366" s="272">
        <v>44.814401171573145</v>
      </c>
      <c r="X366" s="273">
        <f>IFERROR(INDEX('Measure Level Detail'!$R:$R,MATCH($B366&amp;"_"&amp;X$3,'Measure Level Detail'!$C:$C,0)),0)</f>
        <v>0.87</v>
      </c>
      <c r="Y366" s="273">
        <f>IFERROR(INDEX('Measure Level Detail'!$R:$R,MATCH($B366&amp;"_"&amp;Y$3,'Measure Level Detail'!$C:$C,0)),0)</f>
        <v>0.87</v>
      </c>
      <c r="Z366" s="273">
        <f>IFERROR(INDEX('Measure Level Detail'!$R:$R,MATCH($B366&amp;"_"&amp;Z$3,'Measure Level Detail'!$C:$C,0)),0)</f>
        <v>0.87</v>
      </c>
      <c r="AA366" s="273">
        <f>IFERROR(INDEX('Measure Level Detail'!$R:$R,MATCH($B366&amp;"_"&amp;AA$3,'Measure Level Detail'!$C:$C,0)),0)</f>
        <v>0.87</v>
      </c>
      <c r="AB366" s="266">
        <f t="shared" si="207"/>
        <v>0</v>
      </c>
      <c r="AC366" s="266">
        <f t="shared" si="208"/>
        <v>0</v>
      </c>
      <c r="AD366" s="266">
        <f t="shared" si="209"/>
        <v>0</v>
      </c>
      <c r="AE366" s="266">
        <f t="shared" si="210"/>
        <v>0</v>
      </c>
      <c r="AF366" s="266">
        <f t="shared" si="211"/>
        <v>0</v>
      </c>
      <c r="AG366" s="274">
        <v>0.87</v>
      </c>
      <c r="AH366" s="274">
        <v>0.87</v>
      </c>
      <c r="AI366" s="274">
        <v>0.87</v>
      </c>
      <c r="AJ366" s="274">
        <v>0.87</v>
      </c>
      <c r="AK366" s="274">
        <f t="shared" si="212"/>
        <v>0.87</v>
      </c>
      <c r="AL366" s="274">
        <f t="shared" si="213"/>
        <v>0.87</v>
      </c>
      <c r="AM366" s="274">
        <f t="shared" si="214"/>
        <v>0.87</v>
      </c>
      <c r="AN366" s="274">
        <f t="shared" si="215"/>
        <v>0.87</v>
      </c>
      <c r="AO366" s="262"/>
      <c r="AP366" s="262"/>
      <c r="AQ366" s="267">
        <v>44.814401171573145</v>
      </c>
      <c r="AR366" s="262"/>
      <c r="AS366" s="266">
        <f t="shared" si="216"/>
        <v>0</v>
      </c>
      <c r="AT366" s="264">
        <f t="shared" si="217"/>
        <v>0</v>
      </c>
      <c r="AU366" s="262"/>
      <c r="AV366" s="262"/>
      <c r="AW366" s="265">
        <v>44.814401171573145</v>
      </c>
      <c r="AX366" s="164" t="s">
        <v>1469</v>
      </c>
      <c r="AY366" s="266">
        <v>0</v>
      </c>
      <c r="AZ366" s="266">
        <f t="shared" si="218"/>
        <v>0</v>
      </c>
      <c r="BA366" s="264">
        <f t="shared" si="219"/>
        <v>0</v>
      </c>
      <c r="BB366" s="262"/>
      <c r="BC366" s="262"/>
      <c r="BD366" s="265">
        <f ca="1">IFERROR(INDEX(Algorithms!$G:$G,MATCH($C366&amp;"_Therm Saved per Unit",Algorithms!$A:$A,0)),0)</f>
        <v>44.814401171573145</v>
      </c>
      <c r="BE366" s="164" t="str">
        <f ca="1">IFERROR(INDEX('v12 Revisions'!$P$29:$P$186, MATCH('Measure-Level Adj Gas'!$L366, 'v12 Revisions'!$D$29:$D$186,0)),"")</f>
        <v/>
      </c>
      <c r="BF366" s="266">
        <f t="shared" ca="1" si="220"/>
        <v>0</v>
      </c>
      <c r="BG366" s="264">
        <f t="shared" ca="1" si="221"/>
        <v>0</v>
      </c>
      <c r="BH366" s="262"/>
      <c r="BI366" s="262"/>
      <c r="BJ366" s="265">
        <f ca="1">IFERROR(INDEX(Algorithms!$G:$G,MATCH($C366&amp;"_Therm Saved per Unit",Algorithms!$A:$A,0)),0)</f>
        <v>44.814401171573145</v>
      </c>
      <c r="BK366" s="164"/>
      <c r="BL366" s="266">
        <f t="shared" ca="1" si="222"/>
        <v>0</v>
      </c>
      <c r="BM366" s="264">
        <f t="shared" ca="1" si="223"/>
        <v>0</v>
      </c>
      <c r="BN366" s="266">
        <f t="shared" si="224"/>
        <v>0</v>
      </c>
      <c r="BO366" s="266">
        <f t="shared" si="225"/>
        <v>0</v>
      </c>
      <c r="BP366" s="266">
        <f t="shared" ca="1" si="226"/>
        <v>0</v>
      </c>
      <c r="BQ366" s="266">
        <f t="shared" ca="1" si="227"/>
        <v>0</v>
      </c>
      <c r="BR366" s="268">
        <f t="shared" ca="1" si="228"/>
        <v>0</v>
      </c>
      <c r="BS366" s="262" t="s">
        <v>99</v>
      </c>
      <c r="BT366" s="277"/>
      <c r="BW366" s="266">
        <f t="shared" si="229"/>
        <v>0</v>
      </c>
      <c r="BX366" s="266">
        <f t="shared" si="230"/>
        <v>0</v>
      </c>
      <c r="BY366" s="266">
        <f t="shared" si="231"/>
        <v>0</v>
      </c>
      <c r="BZ366" s="266">
        <f t="shared" si="232"/>
        <v>0</v>
      </c>
      <c r="CA366" s="266">
        <f ca="1">N366*IFERROR(INDEX(Algorithms!$G:$G,MATCH($C366&amp;"_Therm Saved per Unit- MLA",Algorithms!$A:$A,0)),0)*X366</f>
        <v>0</v>
      </c>
      <c r="CB366" s="266">
        <f ca="1">O366*IFERROR(INDEX(Algorithms!$G:$G,MATCH($C366&amp;"_Therm Saved per Unit- MLA",Algorithms!$A:$A,0)),0)*Y366</f>
        <v>0</v>
      </c>
      <c r="CC366" s="266">
        <f ca="1">P366*IFERROR(INDEX(Algorithms!$G:$G,MATCH($C366&amp;"_Therm Saved per Unit- MLA",Algorithms!$A:$A,0)),0)*Z366</f>
        <v>0</v>
      </c>
      <c r="CD366" s="266">
        <f ca="1">Q366*IFERROR(INDEX(Algorithms!$G:$G,MATCH($C366&amp;"_Therm Saved per Unit- MLA",Algorithms!$A:$A,0)),0)*AA366</f>
        <v>0</v>
      </c>
      <c r="CE366" s="266">
        <f ca="1">IFERROR(INDEX(Algorithms!$G:$G,MATCH($C366&amp;"_Lifetime (years)",Algorithms!$A:$A,0)),0)</f>
        <v>15</v>
      </c>
      <c r="CF366" s="266">
        <f ca="1">IFERROR(INDEX(Algorithms!$G:$G,MATCH($C366&amp;"_Lifetime (years) - Remaining Years",Algorithms!$A:$A,0)),0)</f>
        <v>0</v>
      </c>
      <c r="CG366" s="266">
        <f t="shared" ca="1" si="233"/>
        <v>0</v>
      </c>
      <c r="CH366" s="266">
        <f t="shared" ca="1" si="234"/>
        <v>0</v>
      </c>
      <c r="CI366" s="266">
        <f t="shared" ca="1" si="235"/>
        <v>0</v>
      </c>
      <c r="CJ366" s="266">
        <f t="shared" ca="1" si="236"/>
        <v>0</v>
      </c>
      <c r="CK366" s="266">
        <f t="shared" si="237"/>
        <v>0</v>
      </c>
      <c r="CL366" s="266">
        <f t="shared" si="238"/>
        <v>0</v>
      </c>
      <c r="CM366" s="266">
        <f t="shared" ca="1" si="239"/>
        <v>0</v>
      </c>
      <c r="CN366" s="266">
        <f t="shared" ca="1" si="240"/>
        <v>0</v>
      </c>
      <c r="CO366" s="266">
        <f ca="1">N366*IFERROR(INDEX(Algorithms!$G:$G,MATCH($C366&amp;"_Therm Saved per Unit- MLA",Algorithms!$A:$A,0)),0)*X366</f>
        <v>0</v>
      </c>
      <c r="CP366" s="266">
        <f ca="1">O366*IFERROR(INDEX(Algorithms!$G:$G,MATCH($C366&amp;"_Therm Saved per Unit- MLA",Algorithms!$A:$A,0)),0)*Y366</f>
        <v>0</v>
      </c>
      <c r="CQ366" s="266">
        <f ca="1">P366*IFERROR(INDEX(Algorithms!$G:$G,MATCH($C366&amp;"_Therm Saved per Unit- MLA",Algorithms!$A:$A,0)),0)*Z366</f>
        <v>0</v>
      </c>
      <c r="CR366" s="266">
        <f ca="1">Q366*IFERROR(INDEX(Algorithms!$G:$G,MATCH($C366&amp;"_Therm Saved per Unit- MLA",Algorithms!$A:$A,0)),0)*AA366</f>
        <v>0</v>
      </c>
      <c r="CS366" s="266">
        <f ca="1">IFERROR(INDEX(Algorithms!$G:$G,MATCH($C366&amp;"_Lifetime (years)",Algorithms!$A:$A,0)),0)</f>
        <v>15</v>
      </c>
      <c r="CT366" s="266">
        <f ca="1">IFERROR(INDEX(Algorithms!$G:$G,MATCH($C366&amp;"_Lifetime (years) - Remaining Years",Algorithms!$A:$A,0)),0)</f>
        <v>0</v>
      </c>
      <c r="CU366" s="266">
        <f t="shared" ca="1" si="241"/>
        <v>0</v>
      </c>
      <c r="CV366" s="266">
        <f t="shared" ca="1" si="242"/>
        <v>0</v>
      </c>
      <c r="CW366" s="266">
        <f t="shared" ca="1" si="243"/>
        <v>0</v>
      </c>
      <c r="CX366" s="266">
        <f t="shared" ca="1" si="244"/>
        <v>0</v>
      </c>
    </row>
    <row r="367" spans="2:102" s="47" customFormat="1" ht="18" customHeight="1" x14ac:dyDescent="0.25">
      <c r="B367" t="str">
        <f t="shared" si="245"/>
        <v>NSG_Residential_Multi-Family_Standard Rebate_Pipe Insulation_Steam Med Fitting_MF</v>
      </c>
      <c r="C367" s="47" t="str">
        <f t="shared" si="206"/>
        <v>Pipe Insulation_Steam Med Fitting_MF</v>
      </c>
      <c r="D367" s="270" t="s">
        <v>1787</v>
      </c>
      <c r="E367" s="270" t="s">
        <v>2</v>
      </c>
      <c r="F367" s="270" t="s">
        <v>1422</v>
      </c>
      <c r="G367" s="270" t="s">
        <v>1418</v>
      </c>
      <c r="H367" s="270" t="s">
        <v>404</v>
      </c>
      <c r="I367" s="270" t="s">
        <v>962</v>
      </c>
      <c r="J367" s="270" t="s">
        <v>553</v>
      </c>
      <c r="K367" s="263">
        <v>1</v>
      </c>
      <c r="L367" s="263" t="str">
        <f ca="1">IFERROR(INDEX(Algorithms!J:J,MATCH($C367&amp;"_Therm Saved per Unit",Algorithms!$A:$A,0)),"n/a")</f>
        <v>"3 - Res Pipe Insulation" worksheet</v>
      </c>
      <c r="M367" s="263" t="str">
        <f>IFERROR(INDEX('Measure Level Detail'!$N:$N,MATCH($B367,'Measure Level Detail'!$B:$B,0)),0)</f>
        <v>each</v>
      </c>
      <c r="N367" s="271">
        <f>IFERROR(INDEX('Measure Level Detail'!$P:$P,MATCH($B367&amp;"_"&amp;N$3,'Measure Level Detail'!$C:$C,0)),0)</f>
        <v>0</v>
      </c>
      <c r="O367" s="271">
        <f>IFERROR(INDEX('Measure Level Detail'!$P:$P,MATCH($B367&amp;"_"&amp;O$3,'Measure Level Detail'!$C:$C,0)),0)</f>
        <v>0</v>
      </c>
      <c r="P367" s="271">
        <f>IFERROR(INDEX('Measure Level Detail'!$P:$P,MATCH($B367&amp;"_"&amp;P$3,'Measure Level Detail'!$C:$C,0)),0)</f>
        <v>0</v>
      </c>
      <c r="Q367" s="271">
        <f>IFERROR(INDEX('Measure Level Detail'!$P:$P,MATCH($B367&amp;"_"&amp;Q$3,'Measure Level Detail'!$C:$C,0)),0)</f>
        <v>0</v>
      </c>
      <c r="R367" s="263">
        <f ca="1">IFERROR(INDEX(Algorithms!K:K,MATCH($C367&amp;"_Therm Saved per Unit",Algorithms!$A:$A,0)),"n/a")</f>
        <v>0</v>
      </c>
      <c r="S367" s="262"/>
      <c r="T367" s="272">
        <v>20.134575475260416</v>
      </c>
      <c r="U367" s="272">
        <v>20.134575475260416</v>
      </c>
      <c r="V367" s="272">
        <v>20.134575475260416</v>
      </c>
      <c r="W367" s="272">
        <v>20.134575475260416</v>
      </c>
      <c r="X367" s="273">
        <f>IFERROR(INDEX('Measure Level Detail'!$R:$R,MATCH($B367&amp;"_"&amp;X$3,'Measure Level Detail'!$C:$C,0)),0)</f>
        <v>0.87</v>
      </c>
      <c r="Y367" s="273">
        <f>IFERROR(INDEX('Measure Level Detail'!$R:$R,MATCH($B367&amp;"_"&amp;Y$3,'Measure Level Detail'!$C:$C,0)),0)</f>
        <v>0.87</v>
      </c>
      <c r="Z367" s="273">
        <f>IFERROR(INDEX('Measure Level Detail'!$R:$R,MATCH($B367&amp;"_"&amp;Z$3,'Measure Level Detail'!$C:$C,0)),0)</f>
        <v>0.87</v>
      </c>
      <c r="AA367" s="273">
        <f>IFERROR(INDEX('Measure Level Detail'!$R:$R,MATCH($B367&amp;"_"&amp;AA$3,'Measure Level Detail'!$C:$C,0)),0)</f>
        <v>0.87</v>
      </c>
      <c r="AB367" s="266">
        <f t="shared" si="207"/>
        <v>0</v>
      </c>
      <c r="AC367" s="266">
        <f t="shared" si="208"/>
        <v>0</v>
      </c>
      <c r="AD367" s="266">
        <f t="shared" si="209"/>
        <v>0</v>
      </c>
      <c r="AE367" s="266">
        <f t="shared" si="210"/>
        <v>0</v>
      </c>
      <c r="AF367" s="266">
        <f t="shared" si="211"/>
        <v>0</v>
      </c>
      <c r="AG367" s="274">
        <v>0.87</v>
      </c>
      <c r="AH367" s="274">
        <v>0.87</v>
      </c>
      <c r="AI367" s="274">
        <v>0.87</v>
      </c>
      <c r="AJ367" s="274">
        <v>0.87</v>
      </c>
      <c r="AK367" s="274">
        <f t="shared" si="212"/>
        <v>0.87</v>
      </c>
      <c r="AL367" s="274">
        <f t="shared" si="213"/>
        <v>0.87</v>
      </c>
      <c r="AM367" s="274">
        <f t="shared" si="214"/>
        <v>0.87</v>
      </c>
      <c r="AN367" s="274">
        <f t="shared" si="215"/>
        <v>0.87</v>
      </c>
      <c r="AO367" s="262"/>
      <c r="AP367" s="262"/>
      <c r="AQ367" s="267">
        <v>20.134575475260416</v>
      </c>
      <c r="AR367" s="262"/>
      <c r="AS367" s="266">
        <f t="shared" si="216"/>
        <v>0</v>
      </c>
      <c r="AT367" s="264">
        <f t="shared" si="217"/>
        <v>0</v>
      </c>
      <c r="AU367" s="262"/>
      <c r="AV367" s="262"/>
      <c r="AW367" s="265">
        <v>20.134575475260416</v>
      </c>
      <c r="AX367" s="164" t="s">
        <v>1469</v>
      </c>
      <c r="AY367" s="266">
        <v>0</v>
      </c>
      <c r="AZ367" s="266">
        <f t="shared" si="218"/>
        <v>0</v>
      </c>
      <c r="BA367" s="264">
        <f t="shared" si="219"/>
        <v>0</v>
      </c>
      <c r="BB367" s="262"/>
      <c r="BC367" s="262"/>
      <c r="BD367" s="265">
        <f ca="1">IFERROR(INDEX(Algorithms!$G:$G,MATCH($C367&amp;"_Therm Saved per Unit",Algorithms!$A:$A,0)),0)</f>
        <v>20.134575475260416</v>
      </c>
      <c r="BE367" s="164" t="str">
        <f ca="1">IFERROR(INDEX('v12 Revisions'!$P$29:$P$186, MATCH('Measure-Level Adj Gas'!$L367, 'v12 Revisions'!$D$29:$D$186,0)),"")</f>
        <v/>
      </c>
      <c r="BF367" s="266">
        <f t="shared" ca="1" si="220"/>
        <v>0</v>
      </c>
      <c r="BG367" s="264">
        <f t="shared" ca="1" si="221"/>
        <v>0</v>
      </c>
      <c r="BH367" s="262"/>
      <c r="BI367" s="262"/>
      <c r="BJ367" s="265">
        <f ca="1">IFERROR(INDEX(Algorithms!$G:$G,MATCH($C367&amp;"_Therm Saved per Unit",Algorithms!$A:$A,0)),0)</f>
        <v>20.134575475260416</v>
      </c>
      <c r="BK367" s="164"/>
      <c r="BL367" s="266">
        <f t="shared" ca="1" si="222"/>
        <v>0</v>
      </c>
      <c r="BM367" s="264">
        <f t="shared" ca="1" si="223"/>
        <v>0</v>
      </c>
      <c r="BN367" s="266">
        <f t="shared" si="224"/>
        <v>0</v>
      </c>
      <c r="BO367" s="266">
        <f t="shared" si="225"/>
        <v>0</v>
      </c>
      <c r="BP367" s="266">
        <f t="shared" ca="1" si="226"/>
        <v>0</v>
      </c>
      <c r="BQ367" s="266">
        <f t="shared" ca="1" si="227"/>
        <v>0</v>
      </c>
      <c r="BR367" s="268">
        <f t="shared" ca="1" si="228"/>
        <v>0</v>
      </c>
      <c r="BS367" s="262" t="s">
        <v>99</v>
      </c>
      <c r="BT367" s="277"/>
      <c r="BW367" s="266">
        <f t="shared" si="229"/>
        <v>0</v>
      </c>
      <c r="BX367" s="266">
        <f t="shared" si="230"/>
        <v>0</v>
      </c>
      <c r="BY367" s="266">
        <f t="shared" si="231"/>
        <v>0</v>
      </c>
      <c r="BZ367" s="266">
        <f t="shared" si="232"/>
        <v>0</v>
      </c>
      <c r="CA367" s="266">
        <f ca="1">N367*IFERROR(INDEX(Algorithms!$G:$G,MATCH($C367&amp;"_Therm Saved per Unit- MLA",Algorithms!$A:$A,0)),0)*X367</f>
        <v>0</v>
      </c>
      <c r="CB367" s="266">
        <f ca="1">O367*IFERROR(INDEX(Algorithms!$G:$G,MATCH($C367&amp;"_Therm Saved per Unit- MLA",Algorithms!$A:$A,0)),0)*Y367</f>
        <v>0</v>
      </c>
      <c r="CC367" s="266">
        <f ca="1">P367*IFERROR(INDEX(Algorithms!$G:$G,MATCH($C367&amp;"_Therm Saved per Unit- MLA",Algorithms!$A:$A,0)),0)*Z367</f>
        <v>0</v>
      </c>
      <c r="CD367" s="266">
        <f ca="1">Q367*IFERROR(INDEX(Algorithms!$G:$G,MATCH($C367&amp;"_Therm Saved per Unit- MLA",Algorithms!$A:$A,0)),0)*AA367</f>
        <v>0</v>
      </c>
      <c r="CE367" s="266">
        <f ca="1">IFERROR(INDEX(Algorithms!$G:$G,MATCH($C367&amp;"_Lifetime (years)",Algorithms!$A:$A,0)),0)</f>
        <v>15</v>
      </c>
      <c r="CF367" s="266">
        <f ca="1">IFERROR(INDEX(Algorithms!$G:$G,MATCH($C367&amp;"_Lifetime (years) - Remaining Years",Algorithms!$A:$A,0)),0)</f>
        <v>0</v>
      </c>
      <c r="CG367" s="266">
        <f t="shared" ca="1" si="233"/>
        <v>0</v>
      </c>
      <c r="CH367" s="266">
        <f t="shared" ca="1" si="234"/>
        <v>0</v>
      </c>
      <c r="CI367" s="266">
        <f t="shared" ca="1" si="235"/>
        <v>0</v>
      </c>
      <c r="CJ367" s="266">
        <f t="shared" ca="1" si="236"/>
        <v>0</v>
      </c>
      <c r="CK367" s="266">
        <f t="shared" si="237"/>
        <v>0</v>
      </c>
      <c r="CL367" s="266">
        <f t="shared" si="238"/>
        <v>0</v>
      </c>
      <c r="CM367" s="266">
        <f t="shared" ca="1" si="239"/>
        <v>0</v>
      </c>
      <c r="CN367" s="266">
        <f t="shared" ca="1" si="240"/>
        <v>0</v>
      </c>
      <c r="CO367" s="266">
        <f ca="1">N367*IFERROR(INDEX(Algorithms!$G:$G,MATCH($C367&amp;"_Therm Saved per Unit- MLA",Algorithms!$A:$A,0)),0)*X367</f>
        <v>0</v>
      </c>
      <c r="CP367" s="266">
        <f ca="1">O367*IFERROR(INDEX(Algorithms!$G:$G,MATCH($C367&amp;"_Therm Saved per Unit- MLA",Algorithms!$A:$A,0)),0)*Y367</f>
        <v>0</v>
      </c>
      <c r="CQ367" s="266">
        <f ca="1">P367*IFERROR(INDEX(Algorithms!$G:$G,MATCH($C367&amp;"_Therm Saved per Unit- MLA",Algorithms!$A:$A,0)),0)*Z367</f>
        <v>0</v>
      </c>
      <c r="CR367" s="266">
        <f ca="1">Q367*IFERROR(INDEX(Algorithms!$G:$G,MATCH($C367&amp;"_Therm Saved per Unit- MLA",Algorithms!$A:$A,0)),0)*AA367</f>
        <v>0</v>
      </c>
      <c r="CS367" s="266">
        <f ca="1">IFERROR(INDEX(Algorithms!$G:$G,MATCH($C367&amp;"_Lifetime (years)",Algorithms!$A:$A,0)),0)</f>
        <v>15</v>
      </c>
      <c r="CT367" s="266">
        <f ca="1">IFERROR(INDEX(Algorithms!$G:$G,MATCH($C367&amp;"_Lifetime (years) - Remaining Years",Algorithms!$A:$A,0)),0)</f>
        <v>0</v>
      </c>
      <c r="CU367" s="266">
        <f t="shared" ca="1" si="241"/>
        <v>0</v>
      </c>
      <c r="CV367" s="266">
        <f t="shared" ca="1" si="242"/>
        <v>0</v>
      </c>
      <c r="CW367" s="266">
        <f t="shared" ca="1" si="243"/>
        <v>0</v>
      </c>
      <c r="CX367" s="266">
        <f t="shared" ca="1" si="244"/>
        <v>0</v>
      </c>
    </row>
    <row r="368" spans="2:102" s="47" customFormat="1" ht="18" customHeight="1" x14ac:dyDescent="0.25">
      <c r="B368" t="str">
        <f t="shared" si="245"/>
        <v>NSG_Residential_Multi-Family_Standard Rebate_Pipe Insulation_Steam Large Fitting_MF</v>
      </c>
      <c r="C368" s="47" t="str">
        <f t="shared" si="206"/>
        <v>Pipe Insulation_Steam Large Fitting_MF</v>
      </c>
      <c r="D368" s="270" t="s">
        <v>1787</v>
      </c>
      <c r="E368" s="270" t="s">
        <v>2</v>
      </c>
      <c r="F368" s="270" t="s">
        <v>1422</v>
      </c>
      <c r="G368" s="270" t="s">
        <v>1418</v>
      </c>
      <c r="H368" s="270" t="s">
        <v>404</v>
      </c>
      <c r="I368" s="270" t="s">
        <v>963</v>
      </c>
      <c r="J368" s="270" t="s">
        <v>553</v>
      </c>
      <c r="K368" s="263">
        <v>1</v>
      </c>
      <c r="L368" s="263" t="str">
        <f ca="1">IFERROR(INDEX(Algorithms!J:J,MATCH($C368&amp;"_Therm Saved per Unit",Algorithms!$A:$A,0)),"n/a")</f>
        <v>"3 - Res Pipe Insulation" worksheet</v>
      </c>
      <c r="M368" s="263" t="str">
        <f>IFERROR(INDEX('Measure Level Detail'!$N:$N,MATCH($B368,'Measure Level Detail'!$B:$B,0)),0)</f>
        <v>each</v>
      </c>
      <c r="N368" s="271">
        <f>IFERROR(INDEX('Measure Level Detail'!$P:$P,MATCH($B368&amp;"_"&amp;N$3,'Measure Level Detail'!$C:$C,0)),0)</f>
        <v>0</v>
      </c>
      <c r="O368" s="271">
        <f>IFERROR(INDEX('Measure Level Detail'!$P:$P,MATCH($B368&amp;"_"&amp;O$3,'Measure Level Detail'!$C:$C,0)),0)</f>
        <v>0</v>
      </c>
      <c r="P368" s="271">
        <f>IFERROR(INDEX('Measure Level Detail'!$P:$P,MATCH($B368&amp;"_"&amp;P$3,'Measure Level Detail'!$C:$C,0)),0)</f>
        <v>0</v>
      </c>
      <c r="Q368" s="271">
        <f>IFERROR(INDEX('Measure Level Detail'!$P:$P,MATCH($B368&amp;"_"&amp;Q$3,'Measure Level Detail'!$C:$C,0)),0)</f>
        <v>0</v>
      </c>
      <c r="R368" s="263">
        <f ca="1">IFERROR(INDEX(Algorithms!K:K,MATCH($C368&amp;"_Therm Saved per Unit",Algorithms!$A:$A,0)),"n/a")</f>
        <v>0</v>
      </c>
      <c r="S368" s="262"/>
      <c r="T368" s="272">
        <v>66.284273233024678</v>
      </c>
      <c r="U368" s="272">
        <v>66.284273233024678</v>
      </c>
      <c r="V368" s="272">
        <v>66.284273233024678</v>
      </c>
      <c r="W368" s="272">
        <v>66.284273233024678</v>
      </c>
      <c r="X368" s="273">
        <f>IFERROR(INDEX('Measure Level Detail'!$R:$R,MATCH($B368&amp;"_"&amp;X$3,'Measure Level Detail'!$C:$C,0)),0)</f>
        <v>0.87</v>
      </c>
      <c r="Y368" s="273">
        <f>IFERROR(INDEX('Measure Level Detail'!$R:$R,MATCH($B368&amp;"_"&amp;Y$3,'Measure Level Detail'!$C:$C,0)),0)</f>
        <v>0.87</v>
      </c>
      <c r="Z368" s="273">
        <f>IFERROR(INDEX('Measure Level Detail'!$R:$R,MATCH($B368&amp;"_"&amp;Z$3,'Measure Level Detail'!$C:$C,0)),0)</f>
        <v>0.87</v>
      </c>
      <c r="AA368" s="273">
        <f>IFERROR(INDEX('Measure Level Detail'!$R:$R,MATCH($B368&amp;"_"&amp;AA$3,'Measure Level Detail'!$C:$C,0)),0)</f>
        <v>0.87</v>
      </c>
      <c r="AB368" s="266">
        <f t="shared" si="207"/>
        <v>0</v>
      </c>
      <c r="AC368" s="266">
        <f t="shared" si="208"/>
        <v>0</v>
      </c>
      <c r="AD368" s="266">
        <f t="shared" si="209"/>
        <v>0</v>
      </c>
      <c r="AE368" s="266">
        <f t="shared" si="210"/>
        <v>0</v>
      </c>
      <c r="AF368" s="266">
        <f t="shared" si="211"/>
        <v>0</v>
      </c>
      <c r="AG368" s="274">
        <v>0.87</v>
      </c>
      <c r="AH368" s="274">
        <v>0.87</v>
      </c>
      <c r="AI368" s="274">
        <v>0.87</v>
      </c>
      <c r="AJ368" s="274">
        <v>0.87</v>
      </c>
      <c r="AK368" s="274">
        <f t="shared" si="212"/>
        <v>0.87</v>
      </c>
      <c r="AL368" s="274">
        <f t="shared" si="213"/>
        <v>0.87</v>
      </c>
      <c r="AM368" s="274">
        <f t="shared" si="214"/>
        <v>0.87</v>
      </c>
      <c r="AN368" s="274">
        <f t="shared" si="215"/>
        <v>0.87</v>
      </c>
      <c r="AO368" s="262"/>
      <c r="AP368" s="262"/>
      <c r="AQ368" s="267">
        <v>66.284273233024678</v>
      </c>
      <c r="AR368" s="262"/>
      <c r="AS368" s="266">
        <f t="shared" si="216"/>
        <v>0</v>
      </c>
      <c r="AT368" s="264">
        <f t="shared" si="217"/>
        <v>0</v>
      </c>
      <c r="AU368" s="262"/>
      <c r="AV368" s="262"/>
      <c r="AW368" s="265">
        <v>66.284273233024678</v>
      </c>
      <c r="AX368" s="164" t="s">
        <v>1469</v>
      </c>
      <c r="AY368" s="266">
        <v>0</v>
      </c>
      <c r="AZ368" s="266">
        <f t="shared" si="218"/>
        <v>0</v>
      </c>
      <c r="BA368" s="264">
        <f t="shared" si="219"/>
        <v>0</v>
      </c>
      <c r="BB368" s="262"/>
      <c r="BC368" s="262"/>
      <c r="BD368" s="265">
        <f ca="1">IFERROR(INDEX(Algorithms!$G:$G,MATCH($C368&amp;"_Therm Saved per Unit",Algorithms!$A:$A,0)),0)</f>
        <v>66.284273233024678</v>
      </c>
      <c r="BE368" s="164" t="str">
        <f ca="1">IFERROR(INDEX('v12 Revisions'!$P$29:$P$186, MATCH('Measure-Level Adj Gas'!$L368, 'v12 Revisions'!$D$29:$D$186,0)),"")</f>
        <v/>
      </c>
      <c r="BF368" s="266">
        <f t="shared" ca="1" si="220"/>
        <v>0</v>
      </c>
      <c r="BG368" s="264">
        <f t="shared" ca="1" si="221"/>
        <v>0</v>
      </c>
      <c r="BH368" s="262"/>
      <c r="BI368" s="262"/>
      <c r="BJ368" s="265">
        <f ca="1">IFERROR(INDEX(Algorithms!$G:$G,MATCH($C368&amp;"_Therm Saved per Unit",Algorithms!$A:$A,0)),0)</f>
        <v>66.284273233024678</v>
      </c>
      <c r="BK368" s="164"/>
      <c r="BL368" s="266">
        <f t="shared" ca="1" si="222"/>
        <v>0</v>
      </c>
      <c r="BM368" s="264">
        <f t="shared" ca="1" si="223"/>
        <v>0</v>
      </c>
      <c r="BN368" s="266">
        <f t="shared" si="224"/>
        <v>0</v>
      </c>
      <c r="BO368" s="266">
        <f t="shared" si="225"/>
        <v>0</v>
      </c>
      <c r="BP368" s="266">
        <f t="shared" ca="1" si="226"/>
        <v>0</v>
      </c>
      <c r="BQ368" s="266">
        <f t="shared" ca="1" si="227"/>
        <v>0</v>
      </c>
      <c r="BR368" s="268">
        <f t="shared" ca="1" si="228"/>
        <v>0</v>
      </c>
      <c r="BS368" s="262" t="s">
        <v>99</v>
      </c>
      <c r="BT368" s="277"/>
      <c r="BW368" s="266">
        <f t="shared" si="229"/>
        <v>0</v>
      </c>
      <c r="BX368" s="266">
        <f t="shared" si="230"/>
        <v>0</v>
      </c>
      <c r="BY368" s="266">
        <f t="shared" si="231"/>
        <v>0</v>
      </c>
      <c r="BZ368" s="266">
        <f t="shared" si="232"/>
        <v>0</v>
      </c>
      <c r="CA368" s="266">
        <f ca="1">N368*IFERROR(INDEX(Algorithms!$G:$G,MATCH($C368&amp;"_Therm Saved per Unit- MLA",Algorithms!$A:$A,0)),0)*X368</f>
        <v>0</v>
      </c>
      <c r="CB368" s="266">
        <f ca="1">O368*IFERROR(INDEX(Algorithms!$G:$G,MATCH($C368&amp;"_Therm Saved per Unit- MLA",Algorithms!$A:$A,0)),0)*Y368</f>
        <v>0</v>
      </c>
      <c r="CC368" s="266">
        <f ca="1">P368*IFERROR(INDEX(Algorithms!$G:$G,MATCH($C368&amp;"_Therm Saved per Unit- MLA",Algorithms!$A:$A,0)),0)*Z368</f>
        <v>0</v>
      </c>
      <c r="CD368" s="266">
        <f ca="1">Q368*IFERROR(INDEX(Algorithms!$G:$G,MATCH($C368&amp;"_Therm Saved per Unit- MLA",Algorithms!$A:$A,0)),0)*AA368</f>
        <v>0</v>
      </c>
      <c r="CE368" s="266">
        <f ca="1">IFERROR(INDEX(Algorithms!$G:$G,MATCH($C368&amp;"_Lifetime (years)",Algorithms!$A:$A,0)),0)</f>
        <v>15</v>
      </c>
      <c r="CF368" s="266">
        <f ca="1">IFERROR(INDEX(Algorithms!$G:$G,MATCH($C368&amp;"_Lifetime (years) - Remaining Years",Algorithms!$A:$A,0)),0)</f>
        <v>0</v>
      </c>
      <c r="CG368" s="266">
        <f t="shared" ca="1" si="233"/>
        <v>0</v>
      </c>
      <c r="CH368" s="266">
        <f t="shared" ca="1" si="234"/>
        <v>0</v>
      </c>
      <c r="CI368" s="266">
        <f t="shared" ca="1" si="235"/>
        <v>0</v>
      </c>
      <c r="CJ368" s="266">
        <f t="shared" ca="1" si="236"/>
        <v>0</v>
      </c>
      <c r="CK368" s="266">
        <f t="shared" si="237"/>
        <v>0</v>
      </c>
      <c r="CL368" s="266">
        <f t="shared" si="238"/>
        <v>0</v>
      </c>
      <c r="CM368" s="266">
        <f t="shared" ca="1" si="239"/>
        <v>0</v>
      </c>
      <c r="CN368" s="266">
        <f t="shared" ca="1" si="240"/>
        <v>0</v>
      </c>
      <c r="CO368" s="266">
        <f ca="1">N368*IFERROR(INDEX(Algorithms!$G:$G,MATCH($C368&amp;"_Therm Saved per Unit- MLA",Algorithms!$A:$A,0)),0)*X368</f>
        <v>0</v>
      </c>
      <c r="CP368" s="266">
        <f ca="1">O368*IFERROR(INDEX(Algorithms!$G:$G,MATCH($C368&amp;"_Therm Saved per Unit- MLA",Algorithms!$A:$A,0)),0)*Y368</f>
        <v>0</v>
      </c>
      <c r="CQ368" s="266">
        <f ca="1">P368*IFERROR(INDEX(Algorithms!$G:$G,MATCH($C368&amp;"_Therm Saved per Unit- MLA",Algorithms!$A:$A,0)),0)*Z368</f>
        <v>0</v>
      </c>
      <c r="CR368" s="266">
        <f ca="1">Q368*IFERROR(INDEX(Algorithms!$G:$G,MATCH($C368&amp;"_Therm Saved per Unit- MLA",Algorithms!$A:$A,0)),0)*AA368</f>
        <v>0</v>
      </c>
      <c r="CS368" s="266">
        <f ca="1">IFERROR(INDEX(Algorithms!$G:$G,MATCH($C368&amp;"_Lifetime (years)",Algorithms!$A:$A,0)),0)</f>
        <v>15</v>
      </c>
      <c r="CT368" s="266">
        <f ca="1">IFERROR(INDEX(Algorithms!$G:$G,MATCH($C368&amp;"_Lifetime (years) - Remaining Years",Algorithms!$A:$A,0)),0)</f>
        <v>0</v>
      </c>
      <c r="CU368" s="266">
        <f t="shared" ca="1" si="241"/>
        <v>0</v>
      </c>
      <c r="CV368" s="266">
        <f t="shared" ca="1" si="242"/>
        <v>0</v>
      </c>
      <c r="CW368" s="266">
        <f t="shared" ca="1" si="243"/>
        <v>0</v>
      </c>
      <c r="CX368" s="266">
        <f t="shared" ca="1" si="244"/>
        <v>0</v>
      </c>
    </row>
    <row r="369" spans="2:102" s="47" customFormat="1" ht="18" customHeight="1" x14ac:dyDescent="0.25">
      <c r="B369" t="str">
        <f t="shared" si="245"/>
        <v>NSG_Residential_Multi-Family_Standard Rebate_Pipe Insulation_Steam X-Large Fitting_MF</v>
      </c>
      <c r="C369" s="47" t="str">
        <f t="shared" si="206"/>
        <v>Pipe Insulation_Steam X-Large Fitting_MF</v>
      </c>
      <c r="D369" s="270" t="s">
        <v>1787</v>
      </c>
      <c r="E369" s="270" t="s">
        <v>2</v>
      </c>
      <c r="F369" s="270" t="s">
        <v>1422</v>
      </c>
      <c r="G369" s="270" t="s">
        <v>1418</v>
      </c>
      <c r="H369" s="270" t="s">
        <v>404</v>
      </c>
      <c r="I369" s="270" t="s">
        <v>964</v>
      </c>
      <c r="J369" s="270" t="s">
        <v>553</v>
      </c>
      <c r="K369" s="263">
        <v>1</v>
      </c>
      <c r="L369" s="263" t="str">
        <f ca="1">IFERROR(INDEX(Algorithms!J:J,MATCH($C369&amp;"_Therm Saved per Unit",Algorithms!$A:$A,0)),"n/a")</f>
        <v>"3 - Res Pipe Insulation" worksheet</v>
      </c>
      <c r="M369" s="263" t="str">
        <f>IFERROR(INDEX('Measure Level Detail'!$N:$N,MATCH($B369,'Measure Level Detail'!$B:$B,0)),0)</f>
        <v>each</v>
      </c>
      <c r="N369" s="271">
        <f>IFERROR(INDEX('Measure Level Detail'!$P:$P,MATCH($B369&amp;"_"&amp;N$3,'Measure Level Detail'!$C:$C,0)),0)</f>
        <v>0</v>
      </c>
      <c r="O369" s="271">
        <f>IFERROR(INDEX('Measure Level Detail'!$P:$P,MATCH($B369&amp;"_"&amp;O$3,'Measure Level Detail'!$C:$C,0)),0)</f>
        <v>0</v>
      </c>
      <c r="P369" s="271">
        <f>IFERROR(INDEX('Measure Level Detail'!$P:$P,MATCH($B369&amp;"_"&amp;P$3,'Measure Level Detail'!$C:$C,0)),0)</f>
        <v>0</v>
      </c>
      <c r="Q369" s="271">
        <f>IFERROR(INDEX('Measure Level Detail'!$P:$P,MATCH($B369&amp;"_"&amp;Q$3,'Measure Level Detail'!$C:$C,0)),0)</f>
        <v>0</v>
      </c>
      <c r="R369" s="263">
        <f ca="1">IFERROR(INDEX(Algorithms!K:K,MATCH($C369&amp;"_Therm Saved per Unit",Algorithms!$A:$A,0)),"n/a")</f>
        <v>0</v>
      </c>
      <c r="S369" s="262"/>
      <c r="T369" s="272">
        <v>113.8883886472908</v>
      </c>
      <c r="U369" s="272">
        <v>113.8883886472908</v>
      </c>
      <c r="V369" s="272">
        <v>113.8883886472908</v>
      </c>
      <c r="W369" s="272">
        <v>113.8883886472908</v>
      </c>
      <c r="X369" s="273">
        <f>IFERROR(INDEX('Measure Level Detail'!$R:$R,MATCH($B369&amp;"_"&amp;X$3,'Measure Level Detail'!$C:$C,0)),0)</f>
        <v>0.87</v>
      </c>
      <c r="Y369" s="273">
        <f>IFERROR(INDEX('Measure Level Detail'!$R:$R,MATCH($B369&amp;"_"&amp;Y$3,'Measure Level Detail'!$C:$C,0)),0)</f>
        <v>0.87</v>
      </c>
      <c r="Z369" s="273">
        <f>IFERROR(INDEX('Measure Level Detail'!$R:$R,MATCH($B369&amp;"_"&amp;Z$3,'Measure Level Detail'!$C:$C,0)),0)</f>
        <v>0.87</v>
      </c>
      <c r="AA369" s="273">
        <f>IFERROR(INDEX('Measure Level Detail'!$R:$R,MATCH($B369&amp;"_"&amp;AA$3,'Measure Level Detail'!$C:$C,0)),0)</f>
        <v>0.87</v>
      </c>
      <c r="AB369" s="266">
        <f t="shared" si="207"/>
        <v>0</v>
      </c>
      <c r="AC369" s="266">
        <f t="shared" si="208"/>
        <v>0</v>
      </c>
      <c r="AD369" s="266">
        <f t="shared" si="209"/>
        <v>0</v>
      </c>
      <c r="AE369" s="266">
        <f t="shared" si="210"/>
        <v>0</v>
      </c>
      <c r="AF369" s="266">
        <f t="shared" si="211"/>
        <v>0</v>
      </c>
      <c r="AG369" s="274">
        <v>0.87</v>
      </c>
      <c r="AH369" s="274">
        <v>0.87</v>
      </c>
      <c r="AI369" s="274">
        <v>0.87</v>
      </c>
      <c r="AJ369" s="274">
        <v>0.87</v>
      </c>
      <c r="AK369" s="274">
        <f t="shared" si="212"/>
        <v>0.87</v>
      </c>
      <c r="AL369" s="274">
        <f t="shared" si="213"/>
        <v>0.87</v>
      </c>
      <c r="AM369" s="274">
        <f t="shared" si="214"/>
        <v>0.87</v>
      </c>
      <c r="AN369" s="274">
        <f t="shared" si="215"/>
        <v>0.87</v>
      </c>
      <c r="AO369" s="262"/>
      <c r="AP369" s="262"/>
      <c r="AQ369" s="267">
        <v>113.8883886472908</v>
      </c>
      <c r="AR369" s="262"/>
      <c r="AS369" s="266">
        <f t="shared" si="216"/>
        <v>0</v>
      </c>
      <c r="AT369" s="264">
        <f t="shared" si="217"/>
        <v>0</v>
      </c>
      <c r="AU369" s="262"/>
      <c r="AV369" s="262"/>
      <c r="AW369" s="265">
        <v>113.8883886472908</v>
      </c>
      <c r="AX369" s="164" t="s">
        <v>1469</v>
      </c>
      <c r="AY369" s="266">
        <v>0</v>
      </c>
      <c r="AZ369" s="266">
        <f t="shared" si="218"/>
        <v>0</v>
      </c>
      <c r="BA369" s="264">
        <f t="shared" si="219"/>
        <v>0</v>
      </c>
      <c r="BB369" s="262"/>
      <c r="BC369" s="262"/>
      <c r="BD369" s="265">
        <f ca="1">IFERROR(INDEX(Algorithms!$G:$G,MATCH($C369&amp;"_Therm Saved per Unit",Algorithms!$A:$A,0)),0)</f>
        <v>113.8883886472908</v>
      </c>
      <c r="BE369" s="164" t="str">
        <f ca="1">IFERROR(INDEX('v12 Revisions'!$P$29:$P$186, MATCH('Measure-Level Adj Gas'!$L369, 'v12 Revisions'!$D$29:$D$186,0)),"")</f>
        <v/>
      </c>
      <c r="BF369" s="266">
        <f t="shared" ca="1" si="220"/>
        <v>0</v>
      </c>
      <c r="BG369" s="264">
        <f t="shared" ca="1" si="221"/>
        <v>0</v>
      </c>
      <c r="BH369" s="262"/>
      <c r="BI369" s="262"/>
      <c r="BJ369" s="265">
        <f ca="1">IFERROR(INDEX(Algorithms!$G:$G,MATCH($C369&amp;"_Therm Saved per Unit",Algorithms!$A:$A,0)),0)</f>
        <v>113.8883886472908</v>
      </c>
      <c r="BK369" s="164"/>
      <c r="BL369" s="266">
        <f t="shared" ca="1" si="222"/>
        <v>0</v>
      </c>
      <c r="BM369" s="264">
        <f t="shared" ca="1" si="223"/>
        <v>0</v>
      </c>
      <c r="BN369" s="266">
        <f t="shared" si="224"/>
        <v>0</v>
      </c>
      <c r="BO369" s="266">
        <f t="shared" si="225"/>
        <v>0</v>
      </c>
      <c r="BP369" s="266">
        <f t="shared" ca="1" si="226"/>
        <v>0</v>
      </c>
      <c r="BQ369" s="266">
        <f t="shared" ca="1" si="227"/>
        <v>0</v>
      </c>
      <c r="BR369" s="268">
        <f t="shared" ca="1" si="228"/>
        <v>0</v>
      </c>
      <c r="BS369" s="262" t="s">
        <v>99</v>
      </c>
      <c r="BT369" s="277"/>
      <c r="BW369" s="266">
        <f t="shared" si="229"/>
        <v>0</v>
      </c>
      <c r="BX369" s="266">
        <f t="shared" si="230"/>
        <v>0</v>
      </c>
      <c r="BY369" s="266">
        <f t="shared" si="231"/>
        <v>0</v>
      </c>
      <c r="BZ369" s="266">
        <f t="shared" si="232"/>
        <v>0</v>
      </c>
      <c r="CA369" s="266">
        <f ca="1">N369*IFERROR(INDEX(Algorithms!$G:$G,MATCH($C369&amp;"_Therm Saved per Unit- MLA",Algorithms!$A:$A,0)),0)*X369</f>
        <v>0</v>
      </c>
      <c r="CB369" s="266">
        <f ca="1">O369*IFERROR(INDEX(Algorithms!$G:$G,MATCH($C369&amp;"_Therm Saved per Unit- MLA",Algorithms!$A:$A,0)),0)*Y369</f>
        <v>0</v>
      </c>
      <c r="CC369" s="266">
        <f ca="1">P369*IFERROR(INDEX(Algorithms!$G:$G,MATCH($C369&amp;"_Therm Saved per Unit- MLA",Algorithms!$A:$A,0)),0)*Z369</f>
        <v>0</v>
      </c>
      <c r="CD369" s="266">
        <f ca="1">Q369*IFERROR(INDEX(Algorithms!$G:$G,MATCH($C369&amp;"_Therm Saved per Unit- MLA",Algorithms!$A:$A,0)),0)*AA369</f>
        <v>0</v>
      </c>
      <c r="CE369" s="266">
        <f ca="1">IFERROR(INDEX(Algorithms!$G:$G,MATCH($C369&amp;"_Lifetime (years)",Algorithms!$A:$A,0)),0)</f>
        <v>15</v>
      </c>
      <c r="CF369" s="266">
        <f ca="1">IFERROR(INDEX(Algorithms!$G:$G,MATCH($C369&amp;"_Lifetime (years) - Remaining Years",Algorithms!$A:$A,0)),0)</f>
        <v>0</v>
      </c>
      <c r="CG369" s="266">
        <f t="shared" ca="1" si="233"/>
        <v>0</v>
      </c>
      <c r="CH369" s="266">
        <f t="shared" ca="1" si="234"/>
        <v>0</v>
      </c>
      <c r="CI369" s="266">
        <f t="shared" ca="1" si="235"/>
        <v>0</v>
      </c>
      <c r="CJ369" s="266">
        <f t="shared" ca="1" si="236"/>
        <v>0</v>
      </c>
      <c r="CK369" s="266">
        <f t="shared" si="237"/>
        <v>0</v>
      </c>
      <c r="CL369" s="266">
        <f t="shared" si="238"/>
        <v>0</v>
      </c>
      <c r="CM369" s="266">
        <f t="shared" ca="1" si="239"/>
        <v>0</v>
      </c>
      <c r="CN369" s="266">
        <f t="shared" ca="1" si="240"/>
        <v>0</v>
      </c>
      <c r="CO369" s="266">
        <f ca="1">N369*IFERROR(INDEX(Algorithms!$G:$G,MATCH($C369&amp;"_Therm Saved per Unit- MLA",Algorithms!$A:$A,0)),0)*X369</f>
        <v>0</v>
      </c>
      <c r="CP369" s="266">
        <f ca="1">O369*IFERROR(INDEX(Algorithms!$G:$G,MATCH($C369&amp;"_Therm Saved per Unit- MLA",Algorithms!$A:$A,0)),0)*Y369</f>
        <v>0</v>
      </c>
      <c r="CQ369" s="266">
        <f ca="1">P369*IFERROR(INDEX(Algorithms!$G:$G,MATCH($C369&amp;"_Therm Saved per Unit- MLA",Algorithms!$A:$A,0)),0)*Z369</f>
        <v>0</v>
      </c>
      <c r="CR369" s="266">
        <f ca="1">Q369*IFERROR(INDEX(Algorithms!$G:$G,MATCH($C369&amp;"_Therm Saved per Unit- MLA",Algorithms!$A:$A,0)),0)*AA369</f>
        <v>0</v>
      </c>
      <c r="CS369" s="266">
        <f ca="1">IFERROR(INDEX(Algorithms!$G:$G,MATCH($C369&amp;"_Lifetime (years)",Algorithms!$A:$A,0)),0)</f>
        <v>15</v>
      </c>
      <c r="CT369" s="266">
        <f ca="1">IFERROR(INDEX(Algorithms!$G:$G,MATCH($C369&amp;"_Lifetime (years) - Remaining Years",Algorithms!$A:$A,0)),0)</f>
        <v>0</v>
      </c>
      <c r="CU369" s="266">
        <f t="shared" ca="1" si="241"/>
        <v>0</v>
      </c>
      <c r="CV369" s="266">
        <f t="shared" ca="1" si="242"/>
        <v>0</v>
      </c>
      <c r="CW369" s="266">
        <f t="shared" ca="1" si="243"/>
        <v>0</v>
      </c>
      <c r="CX369" s="266">
        <f t="shared" ca="1" si="244"/>
        <v>0</v>
      </c>
    </row>
    <row r="370" spans="2:102" s="47" customFormat="1" ht="18" customHeight="1" x14ac:dyDescent="0.25">
      <c r="B370" t="str">
        <f t="shared" si="245"/>
        <v>NSG_Residential_Multi-Family_Standard Rebate_Pipe Insulation_Steam Med Valve_MF</v>
      </c>
      <c r="C370" s="47" t="str">
        <f t="shared" si="206"/>
        <v>Pipe Insulation_Steam Med Valve_MF</v>
      </c>
      <c r="D370" s="270" t="s">
        <v>1787</v>
      </c>
      <c r="E370" s="270" t="s">
        <v>2</v>
      </c>
      <c r="F370" s="270" t="s">
        <v>1422</v>
      </c>
      <c r="G370" s="270" t="s">
        <v>1418</v>
      </c>
      <c r="H370" s="270" t="s">
        <v>404</v>
      </c>
      <c r="I370" s="270" t="s">
        <v>966</v>
      </c>
      <c r="J370" s="270" t="s">
        <v>553</v>
      </c>
      <c r="K370" s="263">
        <v>1</v>
      </c>
      <c r="L370" s="263" t="str">
        <f ca="1">IFERROR(INDEX(Algorithms!J:J,MATCH($C370&amp;"_Therm Saved per Unit",Algorithms!$A:$A,0)),"n/a")</f>
        <v>"3 - Res Pipe Insulation" worksheet</v>
      </c>
      <c r="M370" s="263" t="str">
        <f>IFERROR(INDEX('Measure Level Detail'!$N:$N,MATCH($B370,'Measure Level Detail'!$B:$B,0)),0)</f>
        <v>each</v>
      </c>
      <c r="N370" s="271">
        <f>IFERROR(INDEX('Measure Level Detail'!$P:$P,MATCH($B370&amp;"_"&amp;N$3,'Measure Level Detail'!$C:$C,0)),0)</f>
        <v>0</v>
      </c>
      <c r="O370" s="271">
        <f>IFERROR(INDEX('Measure Level Detail'!$P:$P,MATCH($B370&amp;"_"&amp;O$3,'Measure Level Detail'!$C:$C,0)),0)</f>
        <v>0</v>
      </c>
      <c r="P370" s="271">
        <f>IFERROR(INDEX('Measure Level Detail'!$P:$P,MATCH($B370&amp;"_"&amp;P$3,'Measure Level Detail'!$C:$C,0)),0)</f>
        <v>0</v>
      </c>
      <c r="Q370" s="271">
        <f>IFERROR(INDEX('Measure Level Detail'!$P:$P,MATCH($B370&amp;"_"&amp;Q$3,'Measure Level Detail'!$C:$C,0)),0)</f>
        <v>0</v>
      </c>
      <c r="R370" s="263">
        <f ca="1">IFERROR(INDEX(Algorithms!K:K,MATCH($C370&amp;"_Therm Saved per Unit",Algorithms!$A:$A,0)),"n/a")</f>
        <v>0</v>
      </c>
      <c r="S370" s="262"/>
      <c r="T370" s="272">
        <v>67.962640249087912</v>
      </c>
      <c r="U370" s="272">
        <v>67.962640249087912</v>
      </c>
      <c r="V370" s="272">
        <v>67.962640249087912</v>
      </c>
      <c r="W370" s="272">
        <v>67.962640249087912</v>
      </c>
      <c r="X370" s="273">
        <f>IFERROR(INDEX('Measure Level Detail'!$R:$R,MATCH($B370&amp;"_"&amp;X$3,'Measure Level Detail'!$C:$C,0)),0)</f>
        <v>0.87</v>
      </c>
      <c r="Y370" s="273">
        <f>IFERROR(INDEX('Measure Level Detail'!$R:$R,MATCH($B370&amp;"_"&amp;Y$3,'Measure Level Detail'!$C:$C,0)),0)</f>
        <v>0.87</v>
      </c>
      <c r="Z370" s="273">
        <f>IFERROR(INDEX('Measure Level Detail'!$R:$R,MATCH($B370&amp;"_"&amp;Z$3,'Measure Level Detail'!$C:$C,0)),0)</f>
        <v>0.87</v>
      </c>
      <c r="AA370" s="273">
        <f>IFERROR(INDEX('Measure Level Detail'!$R:$R,MATCH($B370&amp;"_"&amp;AA$3,'Measure Level Detail'!$C:$C,0)),0)</f>
        <v>0.87</v>
      </c>
      <c r="AB370" s="266">
        <f t="shared" si="207"/>
        <v>0</v>
      </c>
      <c r="AC370" s="266">
        <f t="shared" si="208"/>
        <v>0</v>
      </c>
      <c r="AD370" s="266">
        <f t="shared" si="209"/>
        <v>0</v>
      </c>
      <c r="AE370" s="266">
        <f t="shared" si="210"/>
        <v>0</v>
      </c>
      <c r="AF370" s="266">
        <f t="shared" si="211"/>
        <v>0</v>
      </c>
      <c r="AG370" s="274">
        <v>0.87</v>
      </c>
      <c r="AH370" s="274">
        <v>0.87</v>
      </c>
      <c r="AI370" s="274">
        <v>0.87</v>
      </c>
      <c r="AJ370" s="274">
        <v>0.87</v>
      </c>
      <c r="AK370" s="274">
        <f t="shared" si="212"/>
        <v>0.87</v>
      </c>
      <c r="AL370" s="274">
        <f t="shared" si="213"/>
        <v>0.87</v>
      </c>
      <c r="AM370" s="274">
        <f t="shared" si="214"/>
        <v>0.87</v>
      </c>
      <c r="AN370" s="274">
        <f t="shared" si="215"/>
        <v>0.87</v>
      </c>
      <c r="AO370" s="262"/>
      <c r="AP370" s="262"/>
      <c r="AQ370" s="267">
        <v>67.962640249087912</v>
      </c>
      <c r="AR370" s="262"/>
      <c r="AS370" s="266">
        <f t="shared" si="216"/>
        <v>0</v>
      </c>
      <c r="AT370" s="264">
        <f t="shared" si="217"/>
        <v>0</v>
      </c>
      <c r="AU370" s="262"/>
      <c r="AV370" s="262"/>
      <c r="AW370" s="265">
        <v>67.962640249087912</v>
      </c>
      <c r="AX370" s="164" t="s">
        <v>1469</v>
      </c>
      <c r="AY370" s="266">
        <v>0</v>
      </c>
      <c r="AZ370" s="266">
        <f t="shared" si="218"/>
        <v>0</v>
      </c>
      <c r="BA370" s="264">
        <f t="shared" si="219"/>
        <v>0</v>
      </c>
      <c r="BB370" s="262"/>
      <c r="BC370" s="262"/>
      <c r="BD370" s="265">
        <f ca="1">IFERROR(INDEX(Algorithms!$G:$G,MATCH($C370&amp;"_Therm Saved per Unit",Algorithms!$A:$A,0)),0)</f>
        <v>67.962640249087912</v>
      </c>
      <c r="BE370" s="164" t="str">
        <f ca="1">IFERROR(INDEX('v12 Revisions'!$P$29:$P$186, MATCH('Measure-Level Adj Gas'!$L370, 'v12 Revisions'!$D$29:$D$186,0)),"")</f>
        <v/>
      </c>
      <c r="BF370" s="266">
        <f t="shared" ca="1" si="220"/>
        <v>0</v>
      </c>
      <c r="BG370" s="264">
        <f t="shared" ca="1" si="221"/>
        <v>0</v>
      </c>
      <c r="BH370" s="262"/>
      <c r="BI370" s="262"/>
      <c r="BJ370" s="265">
        <f ca="1">IFERROR(INDEX(Algorithms!$G:$G,MATCH($C370&amp;"_Therm Saved per Unit",Algorithms!$A:$A,0)),0)</f>
        <v>67.962640249087912</v>
      </c>
      <c r="BK370" s="164"/>
      <c r="BL370" s="266">
        <f t="shared" ca="1" si="222"/>
        <v>0</v>
      </c>
      <c r="BM370" s="264">
        <f t="shared" ca="1" si="223"/>
        <v>0</v>
      </c>
      <c r="BN370" s="266">
        <f t="shared" si="224"/>
        <v>0</v>
      </c>
      <c r="BO370" s="266">
        <f t="shared" si="225"/>
        <v>0</v>
      </c>
      <c r="BP370" s="266">
        <f t="shared" ca="1" si="226"/>
        <v>0</v>
      </c>
      <c r="BQ370" s="266">
        <f t="shared" ca="1" si="227"/>
        <v>0</v>
      </c>
      <c r="BR370" s="268">
        <f t="shared" ca="1" si="228"/>
        <v>0</v>
      </c>
      <c r="BS370" s="262" t="s">
        <v>99</v>
      </c>
      <c r="BT370" s="277"/>
      <c r="BW370" s="266">
        <f t="shared" si="229"/>
        <v>0</v>
      </c>
      <c r="BX370" s="266">
        <f t="shared" si="230"/>
        <v>0</v>
      </c>
      <c r="BY370" s="266">
        <f t="shared" si="231"/>
        <v>0</v>
      </c>
      <c r="BZ370" s="266">
        <f t="shared" si="232"/>
        <v>0</v>
      </c>
      <c r="CA370" s="266">
        <f ca="1">N370*IFERROR(INDEX(Algorithms!$G:$G,MATCH($C370&amp;"_Therm Saved per Unit- MLA",Algorithms!$A:$A,0)),0)*X370</f>
        <v>0</v>
      </c>
      <c r="CB370" s="266">
        <f ca="1">O370*IFERROR(INDEX(Algorithms!$G:$G,MATCH($C370&amp;"_Therm Saved per Unit- MLA",Algorithms!$A:$A,0)),0)*Y370</f>
        <v>0</v>
      </c>
      <c r="CC370" s="266">
        <f ca="1">P370*IFERROR(INDEX(Algorithms!$G:$G,MATCH($C370&amp;"_Therm Saved per Unit- MLA",Algorithms!$A:$A,0)),0)*Z370</f>
        <v>0</v>
      </c>
      <c r="CD370" s="266">
        <f ca="1">Q370*IFERROR(INDEX(Algorithms!$G:$G,MATCH($C370&amp;"_Therm Saved per Unit- MLA",Algorithms!$A:$A,0)),0)*AA370</f>
        <v>0</v>
      </c>
      <c r="CE370" s="266">
        <f ca="1">IFERROR(INDEX(Algorithms!$G:$G,MATCH($C370&amp;"_Lifetime (years)",Algorithms!$A:$A,0)),0)</f>
        <v>15</v>
      </c>
      <c r="CF370" s="266">
        <f ca="1">IFERROR(INDEX(Algorithms!$G:$G,MATCH($C370&amp;"_Lifetime (years) - Remaining Years",Algorithms!$A:$A,0)),0)</f>
        <v>0</v>
      </c>
      <c r="CG370" s="266">
        <f t="shared" ca="1" si="233"/>
        <v>0</v>
      </c>
      <c r="CH370" s="266">
        <f t="shared" ca="1" si="234"/>
        <v>0</v>
      </c>
      <c r="CI370" s="266">
        <f t="shared" ca="1" si="235"/>
        <v>0</v>
      </c>
      <c r="CJ370" s="266">
        <f t="shared" ca="1" si="236"/>
        <v>0</v>
      </c>
      <c r="CK370" s="266">
        <f t="shared" si="237"/>
        <v>0</v>
      </c>
      <c r="CL370" s="266">
        <f t="shared" si="238"/>
        <v>0</v>
      </c>
      <c r="CM370" s="266">
        <f t="shared" ca="1" si="239"/>
        <v>0</v>
      </c>
      <c r="CN370" s="266">
        <f t="shared" ca="1" si="240"/>
        <v>0</v>
      </c>
      <c r="CO370" s="266">
        <f ca="1">N370*IFERROR(INDEX(Algorithms!$G:$G,MATCH($C370&amp;"_Therm Saved per Unit- MLA",Algorithms!$A:$A,0)),0)*X370</f>
        <v>0</v>
      </c>
      <c r="CP370" s="266">
        <f ca="1">O370*IFERROR(INDEX(Algorithms!$G:$G,MATCH($C370&amp;"_Therm Saved per Unit- MLA",Algorithms!$A:$A,0)),0)*Y370</f>
        <v>0</v>
      </c>
      <c r="CQ370" s="266">
        <f ca="1">P370*IFERROR(INDEX(Algorithms!$G:$G,MATCH($C370&amp;"_Therm Saved per Unit- MLA",Algorithms!$A:$A,0)),0)*Z370</f>
        <v>0</v>
      </c>
      <c r="CR370" s="266">
        <f ca="1">Q370*IFERROR(INDEX(Algorithms!$G:$G,MATCH($C370&amp;"_Therm Saved per Unit- MLA",Algorithms!$A:$A,0)),0)*AA370</f>
        <v>0</v>
      </c>
      <c r="CS370" s="266">
        <f ca="1">IFERROR(INDEX(Algorithms!$G:$G,MATCH($C370&amp;"_Lifetime (years)",Algorithms!$A:$A,0)),0)</f>
        <v>15</v>
      </c>
      <c r="CT370" s="266">
        <f ca="1">IFERROR(INDEX(Algorithms!$G:$G,MATCH($C370&amp;"_Lifetime (years) - Remaining Years",Algorithms!$A:$A,0)),0)</f>
        <v>0</v>
      </c>
      <c r="CU370" s="266">
        <f t="shared" ca="1" si="241"/>
        <v>0</v>
      </c>
      <c r="CV370" s="266">
        <f t="shared" ca="1" si="242"/>
        <v>0</v>
      </c>
      <c r="CW370" s="266">
        <f t="shared" ca="1" si="243"/>
        <v>0</v>
      </c>
      <c r="CX370" s="266">
        <f t="shared" ca="1" si="244"/>
        <v>0</v>
      </c>
    </row>
    <row r="371" spans="2:102" s="47" customFormat="1" ht="18" customHeight="1" x14ac:dyDescent="0.25">
      <c r="B371" t="str">
        <f t="shared" si="245"/>
        <v>NSG_Residential_Multi-Family_Standard Rebate_Pipe Insulation_Steam Large Valve_MF</v>
      </c>
      <c r="C371" s="47" t="str">
        <f t="shared" si="206"/>
        <v>Pipe Insulation_Steam Large Valve_MF</v>
      </c>
      <c r="D371" s="270" t="s">
        <v>1787</v>
      </c>
      <c r="E371" s="270" t="s">
        <v>2</v>
      </c>
      <c r="F371" s="270" t="s">
        <v>1422</v>
      </c>
      <c r="G371" s="270" t="s">
        <v>1418</v>
      </c>
      <c r="H371" s="270" t="s">
        <v>404</v>
      </c>
      <c r="I371" s="270" t="s">
        <v>967</v>
      </c>
      <c r="J371" s="270" t="s">
        <v>553</v>
      </c>
      <c r="K371" s="263">
        <v>1</v>
      </c>
      <c r="L371" s="263" t="str">
        <f ca="1">IFERROR(INDEX(Algorithms!J:J,MATCH($C371&amp;"_Therm Saved per Unit",Algorithms!$A:$A,0)),"n/a")</f>
        <v>"3 - Res Pipe Insulation" worksheet</v>
      </c>
      <c r="M371" s="263" t="str">
        <f>IFERROR(INDEX('Measure Level Detail'!$N:$N,MATCH($B371,'Measure Level Detail'!$B:$B,0)),0)</f>
        <v>each</v>
      </c>
      <c r="N371" s="271">
        <f>IFERROR(INDEX('Measure Level Detail'!$P:$P,MATCH($B371&amp;"_"&amp;N$3,'Measure Level Detail'!$C:$C,0)),0)</f>
        <v>0</v>
      </c>
      <c r="O371" s="271">
        <f>IFERROR(INDEX('Measure Level Detail'!$P:$P,MATCH($B371&amp;"_"&amp;O$3,'Measure Level Detail'!$C:$C,0)),0)</f>
        <v>0</v>
      </c>
      <c r="P371" s="271">
        <f>IFERROR(INDEX('Measure Level Detail'!$P:$P,MATCH($B371&amp;"_"&amp;P$3,'Measure Level Detail'!$C:$C,0)),0)</f>
        <v>0</v>
      </c>
      <c r="Q371" s="271">
        <f>IFERROR(INDEX('Measure Level Detail'!$P:$P,MATCH($B371&amp;"_"&amp;Q$3,'Measure Level Detail'!$C:$C,0)),0)</f>
        <v>0</v>
      </c>
      <c r="R371" s="263">
        <f ca="1">IFERROR(INDEX(Algorithms!K:K,MATCH($C371&amp;"_Therm Saved per Unit",Algorithms!$A:$A,0)),"n/a")</f>
        <v>0</v>
      </c>
      <c r="S371" s="262"/>
      <c r="T371" s="272">
        <v>133.90978522057964</v>
      </c>
      <c r="U371" s="272">
        <v>133.90978522057964</v>
      </c>
      <c r="V371" s="272">
        <v>133.90978522057964</v>
      </c>
      <c r="W371" s="272">
        <v>133.90978522057964</v>
      </c>
      <c r="X371" s="273">
        <f>IFERROR(INDEX('Measure Level Detail'!$R:$R,MATCH($B371&amp;"_"&amp;X$3,'Measure Level Detail'!$C:$C,0)),0)</f>
        <v>0.87</v>
      </c>
      <c r="Y371" s="273">
        <f>IFERROR(INDEX('Measure Level Detail'!$R:$R,MATCH($B371&amp;"_"&amp;Y$3,'Measure Level Detail'!$C:$C,0)),0)</f>
        <v>0.87</v>
      </c>
      <c r="Z371" s="273">
        <f>IFERROR(INDEX('Measure Level Detail'!$R:$R,MATCH($B371&amp;"_"&amp;Z$3,'Measure Level Detail'!$C:$C,0)),0)</f>
        <v>0.87</v>
      </c>
      <c r="AA371" s="273">
        <f>IFERROR(INDEX('Measure Level Detail'!$R:$R,MATCH($B371&amp;"_"&amp;AA$3,'Measure Level Detail'!$C:$C,0)),0)</f>
        <v>0.87</v>
      </c>
      <c r="AB371" s="266">
        <f t="shared" si="207"/>
        <v>0</v>
      </c>
      <c r="AC371" s="266">
        <f t="shared" si="208"/>
        <v>0</v>
      </c>
      <c r="AD371" s="266">
        <f t="shared" si="209"/>
        <v>0</v>
      </c>
      <c r="AE371" s="266">
        <f t="shared" si="210"/>
        <v>0</v>
      </c>
      <c r="AF371" s="266">
        <f t="shared" si="211"/>
        <v>0</v>
      </c>
      <c r="AG371" s="274">
        <v>0.87</v>
      </c>
      <c r="AH371" s="274">
        <v>0.87</v>
      </c>
      <c r="AI371" s="274">
        <v>0.87</v>
      </c>
      <c r="AJ371" s="274">
        <v>0.87</v>
      </c>
      <c r="AK371" s="274">
        <f t="shared" si="212"/>
        <v>0.87</v>
      </c>
      <c r="AL371" s="274">
        <f t="shared" si="213"/>
        <v>0.87</v>
      </c>
      <c r="AM371" s="274">
        <f t="shared" si="214"/>
        <v>0.87</v>
      </c>
      <c r="AN371" s="274">
        <f t="shared" si="215"/>
        <v>0.87</v>
      </c>
      <c r="AO371" s="262"/>
      <c r="AP371" s="262"/>
      <c r="AQ371" s="267">
        <v>133.90978522057964</v>
      </c>
      <c r="AR371" s="262"/>
      <c r="AS371" s="266">
        <f t="shared" si="216"/>
        <v>0</v>
      </c>
      <c r="AT371" s="264">
        <f t="shared" si="217"/>
        <v>0</v>
      </c>
      <c r="AU371" s="262"/>
      <c r="AV371" s="262"/>
      <c r="AW371" s="265">
        <v>133.90978522057964</v>
      </c>
      <c r="AX371" s="164" t="s">
        <v>1469</v>
      </c>
      <c r="AY371" s="266">
        <v>0</v>
      </c>
      <c r="AZ371" s="266">
        <f t="shared" si="218"/>
        <v>0</v>
      </c>
      <c r="BA371" s="264">
        <f t="shared" si="219"/>
        <v>0</v>
      </c>
      <c r="BB371" s="262"/>
      <c r="BC371" s="262"/>
      <c r="BD371" s="265">
        <f ca="1">IFERROR(INDEX(Algorithms!$G:$G,MATCH($C371&amp;"_Therm Saved per Unit",Algorithms!$A:$A,0)),0)</f>
        <v>133.90978522057964</v>
      </c>
      <c r="BE371" s="164" t="str">
        <f ca="1">IFERROR(INDEX('v12 Revisions'!$P$29:$P$186, MATCH('Measure-Level Adj Gas'!$L371, 'v12 Revisions'!$D$29:$D$186,0)),"")</f>
        <v/>
      </c>
      <c r="BF371" s="266">
        <f t="shared" ca="1" si="220"/>
        <v>0</v>
      </c>
      <c r="BG371" s="264">
        <f t="shared" ca="1" si="221"/>
        <v>0</v>
      </c>
      <c r="BH371" s="262"/>
      <c r="BI371" s="262"/>
      <c r="BJ371" s="265">
        <f ca="1">IFERROR(INDEX(Algorithms!$G:$G,MATCH($C371&amp;"_Therm Saved per Unit",Algorithms!$A:$A,0)),0)</f>
        <v>133.90978522057964</v>
      </c>
      <c r="BK371" s="164"/>
      <c r="BL371" s="266">
        <f t="shared" ca="1" si="222"/>
        <v>0</v>
      </c>
      <c r="BM371" s="264">
        <f t="shared" ca="1" si="223"/>
        <v>0</v>
      </c>
      <c r="BN371" s="266">
        <f t="shared" si="224"/>
        <v>0</v>
      </c>
      <c r="BO371" s="266">
        <f t="shared" si="225"/>
        <v>0</v>
      </c>
      <c r="BP371" s="266">
        <f t="shared" ca="1" si="226"/>
        <v>0</v>
      </c>
      <c r="BQ371" s="266">
        <f t="shared" ca="1" si="227"/>
        <v>0</v>
      </c>
      <c r="BR371" s="268">
        <f t="shared" ca="1" si="228"/>
        <v>0</v>
      </c>
      <c r="BS371" s="262" t="s">
        <v>99</v>
      </c>
      <c r="BT371" s="277"/>
      <c r="BW371" s="266">
        <f t="shared" si="229"/>
        <v>0</v>
      </c>
      <c r="BX371" s="266">
        <f t="shared" si="230"/>
        <v>0</v>
      </c>
      <c r="BY371" s="266">
        <f t="shared" si="231"/>
        <v>0</v>
      </c>
      <c r="BZ371" s="266">
        <f t="shared" si="232"/>
        <v>0</v>
      </c>
      <c r="CA371" s="266">
        <f ca="1">N371*IFERROR(INDEX(Algorithms!$G:$G,MATCH($C371&amp;"_Therm Saved per Unit- MLA",Algorithms!$A:$A,0)),0)*X371</f>
        <v>0</v>
      </c>
      <c r="CB371" s="266">
        <f ca="1">O371*IFERROR(INDEX(Algorithms!$G:$G,MATCH($C371&amp;"_Therm Saved per Unit- MLA",Algorithms!$A:$A,0)),0)*Y371</f>
        <v>0</v>
      </c>
      <c r="CC371" s="266">
        <f ca="1">P371*IFERROR(INDEX(Algorithms!$G:$G,MATCH($C371&amp;"_Therm Saved per Unit- MLA",Algorithms!$A:$A,0)),0)*Z371</f>
        <v>0</v>
      </c>
      <c r="CD371" s="266">
        <f ca="1">Q371*IFERROR(INDEX(Algorithms!$G:$G,MATCH($C371&amp;"_Therm Saved per Unit- MLA",Algorithms!$A:$A,0)),0)*AA371</f>
        <v>0</v>
      </c>
      <c r="CE371" s="266">
        <f ca="1">IFERROR(INDEX(Algorithms!$G:$G,MATCH($C371&amp;"_Lifetime (years)",Algorithms!$A:$A,0)),0)</f>
        <v>15</v>
      </c>
      <c r="CF371" s="266">
        <f ca="1">IFERROR(INDEX(Algorithms!$G:$G,MATCH($C371&amp;"_Lifetime (years) - Remaining Years",Algorithms!$A:$A,0)),0)</f>
        <v>0</v>
      </c>
      <c r="CG371" s="266">
        <f t="shared" ca="1" si="233"/>
        <v>0</v>
      </c>
      <c r="CH371" s="266">
        <f t="shared" ca="1" si="234"/>
        <v>0</v>
      </c>
      <c r="CI371" s="266">
        <f t="shared" ca="1" si="235"/>
        <v>0</v>
      </c>
      <c r="CJ371" s="266">
        <f t="shared" ca="1" si="236"/>
        <v>0</v>
      </c>
      <c r="CK371" s="266">
        <f t="shared" si="237"/>
        <v>0</v>
      </c>
      <c r="CL371" s="266">
        <f t="shared" si="238"/>
        <v>0</v>
      </c>
      <c r="CM371" s="266">
        <f t="shared" ca="1" si="239"/>
        <v>0</v>
      </c>
      <c r="CN371" s="266">
        <f t="shared" ca="1" si="240"/>
        <v>0</v>
      </c>
      <c r="CO371" s="266">
        <f ca="1">N371*IFERROR(INDEX(Algorithms!$G:$G,MATCH($C371&amp;"_Therm Saved per Unit- MLA",Algorithms!$A:$A,0)),0)*X371</f>
        <v>0</v>
      </c>
      <c r="CP371" s="266">
        <f ca="1">O371*IFERROR(INDEX(Algorithms!$G:$G,MATCH($C371&amp;"_Therm Saved per Unit- MLA",Algorithms!$A:$A,0)),0)*Y371</f>
        <v>0</v>
      </c>
      <c r="CQ371" s="266">
        <f ca="1">P371*IFERROR(INDEX(Algorithms!$G:$G,MATCH($C371&amp;"_Therm Saved per Unit- MLA",Algorithms!$A:$A,0)),0)*Z371</f>
        <v>0</v>
      </c>
      <c r="CR371" s="266">
        <f ca="1">Q371*IFERROR(INDEX(Algorithms!$G:$G,MATCH($C371&amp;"_Therm Saved per Unit- MLA",Algorithms!$A:$A,0)),0)*AA371</f>
        <v>0</v>
      </c>
      <c r="CS371" s="266">
        <f ca="1">IFERROR(INDEX(Algorithms!$G:$G,MATCH($C371&amp;"_Lifetime (years)",Algorithms!$A:$A,0)),0)</f>
        <v>15</v>
      </c>
      <c r="CT371" s="266">
        <f ca="1">IFERROR(INDEX(Algorithms!$G:$G,MATCH($C371&amp;"_Lifetime (years) - Remaining Years",Algorithms!$A:$A,0)),0)</f>
        <v>0</v>
      </c>
      <c r="CU371" s="266">
        <f t="shared" ca="1" si="241"/>
        <v>0</v>
      </c>
      <c r="CV371" s="266">
        <f t="shared" ca="1" si="242"/>
        <v>0</v>
      </c>
      <c r="CW371" s="266">
        <f t="shared" ca="1" si="243"/>
        <v>0</v>
      </c>
      <c r="CX371" s="266">
        <f t="shared" ca="1" si="244"/>
        <v>0</v>
      </c>
    </row>
    <row r="372" spans="2:102" s="47" customFormat="1" ht="18" customHeight="1" x14ac:dyDescent="0.25">
      <c r="B372" t="str">
        <f t="shared" si="245"/>
        <v>NSG_Residential_Multi-Family_Standard Rebate_Pipe Insulation_Steam X-Large Valve_MF</v>
      </c>
      <c r="C372" s="47" t="str">
        <f t="shared" si="206"/>
        <v>Pipe Insulation_Steam X-Large Valve_MF</v>
      </c>
      <c r="D372" s="270" t="s">
        <v>1787</v>
      </c>
      <c r="E372" s="270" t="s">
        <v>2</v>
      </c>
      <c r="F372" s="270" t="s">
        <v>1422</v>
      </c>
      <c r="G372" s="270" t="s">
        <v>1418</v>
      </c>
      <c r="H372" s="270" t="s">
        <v>404</v>
      </c>
      <c r="I372" s="270" t="s">
        <v>968</v>
      </c>
      <c r="J372" s="270" t="s">
        <v>553</v>
      </c>
      <c r="K372" s="263">
        <v>1</v>
      </c>
      <c r="L372" s="263" t="str">
        <f ca="1">IFERROR(INDEX(Algorithms!J:J,MATCH($C372&amp;"_Therm Saved per Unit",Algorithms!$A:$A,0)),"n/a")</f>
        <v>"3 - Res Pipe Insulation" worksheet</v>
      </c>
      <c r="M372" s="263" t="str">
        <f>IFERROR(INDEX('Measure Level Detail'!$N:$N,MATCH($B372,'Measure Level Detail'!$B:$B,0)),0)</f>
        <v>each</v>
      </c>
      <c r="N372" s="271">
        <f>IFERROR(INDEX('Measure Level Detail'!$P:$P,MATCH($B372&amp;"_"&amp;N$3,'Measure Level Detail'!$C:$C,0)),0)</f>
        <v>0</v>
      </c>
      <c r="O372" s="271">
        <f>IFERROR(INDEX('Measure Level Detail'!$P:$P,MATCH($B372&amp;"_"&amp;O$3,'Measure Level Detail'!$C:$C,0)),0)</f>
        <v>0</v>
      </c>
      <c r="P372" s="271">
        <f>IFERROR(INDEX('Measure Level Detail'!$P:$P,MATCH($B372&amp;"_"&amp;P$3,'Measure Level Detail'!$C:$C,0)),0)</f>
        <v>0</v>
      </c>
      <c r="Q372" s="271">
        <f>IFERROR(INDEX('Measure Level Detail'!$P:$P,MATCH($B372&amp;"_"&amp;Q$3,'Measure Level Detail'!$C:$C,0)),0)</f>
        <v>0</v>
      </c>
      <c r="R372" s="263">
        <f ca="1">IFERROR(INDEX(Algorithms!K:K,MATCH($C372&amp;"_Therm Saved per Unit",Algorithms!$A:$A,0)),"n/a")</f>
        <v>0</v>
      </c>
      <c r="S372" s="262"/>
      <c r="T372" s="272">
        <v>67.962640249087912</v>
      </c>
      <c r="U372" s="272">
        <v>67.962640249087912</v>
      </c>
      <c r="V372" s="272">
        <v>67.962640249087912</v>
      </c>
      <c r="W372" s="272">
        <v>67.962640249087912</v>
      </c>
      <c r="X372" s="273">
        <f>IFERROR(INDEX('Measure Level Detail'!$R:$R,MATCH($B372&amp;"_"&amp;X$3,'Measure Level Detail'!$C:$C,0)),0)</f>
        <v>0.87</v>
      </c>
      <c r="Y372" s="273">
        <f>IFERROR(INDEX('Measure Level Detail'!$R:$R,MATCH($B372&amp;"_"&amp;Y$3,'Measure Level Detail'!$C:$C,0)),0)</f>
        <v>0.87</v>
      </c>
      <c r="Z372" s="273">
        <f>IFERROR(INDEX('Measure Level Detail'!$R:$R,MATCH($B372&amp;"_"&amp;Z$3,'Measure Level Detail'!$C:$C,0)),0)</f>
        <v>0.87</v>
      </c>
      <c r="AA372" s="273">
        <f>IFERROR(INDEX('Measure Level Detail'!$R:$R,MATCH($B372&amp;"_"&amp;AA$3,'Measure Level Detail'!$C:$C,0)),0)</f>
        <v>0.87</v>
      </c>
      <c r="AB372" s="266">
        <f t="shared" si="207"/>
        <v>0</v>
      </c>
      <c r="AC372" s="266">
        <f t="shared" si="208"/>
        <v>0</v>
      </c>
      <c r="AD372" s="266">
        <f t="shared" si="209"/>
        <v>0</v>
      </c>
      <c r="AE372" s="266">
        <f t="shared" si="210"/>
        <v>0</v>
      </c>
      <c r="AF372" s="266">
        <f t="shared" si="211"/>
        <v>0</v>
      </c>
      <c r="AG372" s="274">
        <v>0.87</v>
      </c>
      <c r="AH372" s="274">
        <v>0.87</v>
      </c>
      <c r="AI372" s="274">
        <v>0.87</v>
      </c>
      <c r="AJ372" s="274">
        <v>0.87</v>
      </c>
      <c r="AK372" s="274">
        <f t="shared" si="212"/>
        <v>0.87</v>
      </c>
      <c r="AL372" s="274">
        <f t="shared" si="213"/>
        <v>0.87</v>
      </c>
      <c r="AM372" s="274">
        <f t="shared" si="214"/>
        <v>0.87</v>
      </c>
      <c r="AN372" s="274">
        <f t="shared" si="215"/>
        <v>0.87</v>
      </c>
      <c r="AO372" s="262"/>
      <c r="AP372" s="262"/>
      <c r="AQ372" s="267">
        <v>67.962640249087912</v>
      </c>
      <c r="AR372" s="262"/>
      <c r="AS372" s="266">
        <f t="shared" si="216"/>
        <v>0</v>
      </c>
      <c r="AT372" s="264">
        <f t="shared" si="217"/>
        <v>0</v>
      </c>
      <c r="AU372" s="262"/>
      <c r="AV372" s="262"/>
      <c r="AW372" s="265">
        <v>67.962640249087912</v>
      </c>
      <c r="AX372" s="164" t="s">
        <v>1469</v>
      </c>
      <c r="AY372" s="266">
        <v>0</v>
      </c>
      <c r="AZ372" s="266">
        <f t="shared" si="218"/>
        <v>0</v>
      </c>
      <c r="BA372" s="264">
        <f t="shared" si="219"/>
        <v>0</v>
      </c>
      <c r="BB372" s="262"/>
      <c r="BC372" s="262"/>
      <c r="BD372" s="265">
        <f ca="1">IFERROR(INDEX(Algorithms!$G:$G,MATCH($C372&amp;"_Therm Saved per Unit",Algorithms!$A:$A,0)),0)</f>
        <v>67.962640249087912</v>
      </c>
      <c r="BE372" s="164" t="str">
        <f ca="1">IFERROR(INDEX('v12 Revisions'!$P$29:$P$186, MATCH('Measure-Level Adj Gas'!$L372, 'v12 Revisions'!$D$29:$D$186,0)),"")</f>
        <v/>
      </c>
      <c r="BF372" s="266">
        <f t="shared" ca="1" si="220"/>
        <v>0</v>
      </c>
      <c r="BG372" s="264">
        <f t="shared" ca="1" si="221"/>
        <v>0</v>
      </c>
      <c r="BH372" s="262"/>
      <c r="BI372" s="262"/>
      <c r="BJ372" s="265">
        <f ca="1">IFERROR(INDEX(Algorithms!$G:$G,MATCH($C372&amp;"_Therm Saved per Unit",Algorithms!$A:$A,0)),0)</f>
        <v>67.962640249087912</v>
      </c>
      <c r="BK372" s="164"/>
      <c r="BL372" s="266">
        <f t="shared" ca="1" si="222"/>
        <v>0</v>
      </c>
      <c r="BM372" s="264">
        <f t="shared" ca="1" si="223"/>
        <v>0</v>
      </c>
      <c r="BN372" s="266">
        <f t="shared" si="224"/>
        <v>0</v>
      </c>
      <c r="BO372" s="266">
        <f t="shared" si="225"/>
        <v>0</v>
      </c>
      <c r="BP372" s="266">
        <f t="shared" ca="1" si="226"/>
        <v>0</v>
      </c>
      <c r="BQ372" s="266">
        <f t="shared" ca="1" si="227"/>
        <v>0</v>
      </c>
      <c r="BR372" s="268">
        <f t="shared" ca="1" si="228"/>
        <v>0</v>
      </c>
      <c r="BS372" s="262" t="s">
        <v>99</v>
      </c>
      <c r="BT372" s="277"/>
      <c r="BW372" s="266">
        <f t="shared" si="229"/>
        <v>0</v>
      </c>
      <c r="BX372" s="266">
        <f t="shared" si="230"/>
        <v>0</v>
      </c>
      <c r="BY372" s="266">
        <f t="shared" si="231"/>
        <v>0</v>
      </c>
      <c r="BZ372" s="266">
        <f t="shared" si="232"/>
        <v>0</v>
      </c>
      <c r="CA372" s="266">
        <f ca="1">N372*IFERROR(INDEX(Algorithms!$G:$G,MATCH($C372&amp;"_Therm Saved per Unit- MLA",Algorithms!$A:$A,0)),0)*X372</f>
        <v>0</v>
      </c>
      <c r="CB372" s="266">
        <f ca="1">O372*IFERROR(INDEX(Algorithms!$G:$G,MATCH($C372&amp;"_Therm Saved per Unit- MLA",Algorithms!$A:$A,0)),0)*Y372</f>
        <v>0</v>
      </c>
      <c r="CC372" s="266">
        <f ca="1">P372*IFERROR(INDEX(Algorithms!$G:$G,MATCH($C372&amp;"_Therm Saved per Unit- MLA",Algorithms!$A:$A,0)),0)*Z372</f>
        <v>0</v>
      </c>
      <c r="CD372" s="266">
        <f ca="1">Q372*IFERROR(INDEX(Algorithms!$G:$G,MATCH($C372&amp;"_Therm Saved per Unit- MLA",Algorithms!$A:$A,0)),0)*AA372</f>
        <v>0</v>
      </c>
      <c r="CE372" s="266">
        <f ca="1">IFERROR(INDEX(Algorithms!$G:$G,MATCH($C372&amp;"_Lifetime (years)",Algorithms!$A:$A,0)),0)</f>
        <v>15</v>
      </c>
      <c r="CF372" s="266">
        <f ca="1">IFERROR(INDEX(Algorithms!$G:$G,MATCH($C372&amp;"_Lifetime (years) - Remaining Years",Algorithms!$A:$A,0)),0)</f>
        <v>0</v>
      </c>
      <c r="CG372" s="266">
        <f t="shared" ca="1" si="233"/>
        <v>0</v>
      </c>
      <c r="CH372" s="266">
        <f t="shared" ca="1" si="234"/>
        <v>0</v>
      </c>
      <c r="CI372" s="266">
        <f t="shared" ca="1" si="235"/>
        <v>0</v>
      </c>
      <c r="CJ372" s="266">
        <f t="shared" ca="1" si="236"/>
        <v>0</v>
      </c>
      <c r="CK372" s="266">
        <f t="shared" si="237"/>
        <v>0</v>
      </c>
      <c r="CL372" s="266">
        <f t="shared" si="238"/>
        <v>0</v>
      </c>
      <c r="CM372" s="266">
        <f t="shared" ca="1" si="239"/>
        <v>0</v>
      </c>
      <c r="CN372" s="266">
        <f t="shared" ca="1" si="240"/>
        <v>0</v>
      </c>
      <c r="CO372" s="266">
        <f ca="1">N372*IFERROR(INDEX(Algorithms!$G:$G,MATCH($C372&amp;"_Therm Saved per Unit- MLA",Algorithms!$A:$A,0)),0)*X372</f>
        <v>0</v>
      </c>
      <c r="CP372" s="266">
        <f ca="1">O372*IFERROR(INDEX(Algorithms!$G:$G,MATCH($C372&amp;"_Therm Saved per Unit- MLA",Algorithms!$A:$A,0)),0)*Y372</f>
        <v>0</v>
      </c>
      <c r="CQ372" s="266">
        <f ca="1">P372*IFERROR(INDEX(Algorithms!$G:$G,MATCH($C372&amp;"_Therm Saved per Unit- MLA",Algorithms!$A:$A,0)),0)*Z372</f>
        <v>0</v>
      </c>
      <c r="CR372" s="266">
        <f ca="1">Q372*IFERROR(INDEX(Algorithms!$G:$G,MATCH($C372&amp;"_Therm Saved per Unit- MLA",Algorithms!$A:$A,0)),0)*AA372</f>
        <v>0</v>
      </c>
      <c r="CS372" s="266">
        <f ca="1">IFERROR(INDEX(Algorithms!$G:$G,MATCH($C372&amp;"_Lifetime (years)",Algorithms!$A:$A,0)),0)</f>
        <v>15</v>
      </c>
      <c r="CT372" s="266">
        <f ca="1">IFERROR(INDEX(Algorithms!$G:$G,MATCH($C372&amp;"_Lifetime (years) - Remaining Years",Algorithms!$A:$A,0)),0)</f>
        <v>0</v>
      </c>
      <c r="CU372" s="266">
        <f t="shared" ca="1" si="241"/>
        <v>0</v>
      </c>
      <c r="CV372" s="266">
        <f t="shared" ca="1" si="242"/>
        <v>0</v>
      </c>
      <c r="CW372" s="266">
        <f t="shared" ca="1" si="243"/>
        <v>0</v>
      </c>
      <c r="CX372" s="266">
        <f t="shared" ca="1" si="244"/>
        <v>0</v>
      </c>
    </row>
    <row r="373" spans="2:102" s="47" customFormat="1" ht="18" customHeight="1" x14ac:dyDescent="0.25">
      <c r="B373" t="str">
        <f t="shared" si="245"/>
        <v>NSG_Residential_Multi-Family_Standard Rebate_Steam Boiler_ &gt;=1500MBH, &gt;=82% TE_MF</v>
      </c>
      <c r="C373" s="47" t="str">
        <f t="shared" si="206"/>
        <v>Steam Boiler_ &gt;=1500MBH, &gt;=82% TE_MF</v>
      </c>
      <c r="D373" s="270" t="s">
        <v>1787</v>
      </c>
      <c r="E373" s="270" t="s">
        <v>2</v>
      </c>
      <c r="F373" s="270" t="s">
        <v>1422</v>
      </c>
      <c r="G373" s="270" t="s">
        <v>1418</v>
      </c>
      <c r="H373" s="270" t="s">
        <v>938</v>
      </c>
      <c r="I373" s="270" t="s">
        <v>939</v>
      </c>
      <c r="J373" s="270" t="s">
        <v>553</v>
      </c>
      <c r="K373" s="263">
        <v>1</v>
      </c>
      <c r="L373" s="263" t="str">
        <f ca="1">IFERROR(INDEX(Algorithms!J:J,MATCH($C373&amp;"_Therm Saved per Unit",Algorithms!$A:$A,0)),"n/a")</f>
        <v>4.4.10</v>
      </c>
      <c r="M373" s="263" t="str">
        <f>IFERROR(INDEX('Measure Level Detail'!$N:$N,MATCH($B373,'Measure Level Detail'!$B:$B,0)),0)</f>
        <v>MBH</v>
      </c>
      <c r="N373" s="271">
        <f>IFERROR(INDEX('Measure Level Detail'!$P:$P,MATCH($B373&amp;"_"&amp;N$3,'Measure Level Detail'!$C:$C,0)),0)</f>
        <v>0</v>
      </c>
      <c r="O373" s="271">
        <f>IFERROR(INDEX('Measure Level Detail'!$P:$P,MATCH($B373&amp;"_"&amp;O$3,'Measure Level Detail'!$C:$C,0)),0)</f>
        <v>0</v>
      </c>
      <c r="P373" s="271">
        <f>IFERROR(INDEX('Measure Level Detail'!$P:$P,MATCH($B373&amp;"_"&amp;P$3,'Measure Level Detail'!$C:$C,0)),0)</f>
        <v>0</v>
      </c>
      <c r="Q373" s="271">
        <f>IFERROR(INDEX('Measure Level Detail'!$P:$P,MATCH($B373&amp;"_"&amp;Q$3,'Measure Level Detail'!$C:$C,0)),0)</f>
        <v>0</v>
      </c>
      <c r="R373" s="263" t="str">
        <f ca="1">IFERROR(INDEX(Algorithms!K:K,MATCH($C373&amp;"_Therm Saved per Unit",Algorithms!$A:$A,0)),"n/a")</f>
        <v>CI-HVC-BOIL-V11-240101</v>
      </c>
      <c r="S373" s="262"/>
      <c r="T373" s="272">
        <v>0.85179487179487012</v>
      </c>
      <c r="U373" s="272">
        <v>0.85179487179487012</v>
      </c>
      <c r="V373" s="272">
        <v>0.85179487179487012</v>
      </c>
      <c r="W373" s="272">
        <v>0.85179487179487012</v>
      </c>
      <c r="X373" s="273">
        <f>IFERROR(INDEX('Measure Level Detail'!$R:$R,MATCH($B373&amp;"_"&amp;X$3,'Measure Level Detail'!$C:$C,0)),0)</f>
        <v>0.87</v>
      </c>
      <c r="Y373" s="273">
        <f>IFERROR(INDEX('Measure Level Detail'!$R:$R,MATCH($B373&amp;"_"&amp;Y$3,'Measure Level Detail'!$C:$C,0)),0)</f>
        <v>0.87</v>
      </c>
      <c r="Z373" s="273">
        <f>IFERROR(INDEX('Measure Level Detail'!$R:$R,MATCH($B373&amp;"_"&amp;Z$3,'Measure Level Detail'!$C:$C,0)),0)</f>
        <v>0.87</v>
      </c>
      <c r="AA373" s="273">
        <f>IFERROR(INDEX('Measure Level Detail'!$R:$R,MATCH($B373&amp;"_"&amp;AA$3,'Measure Level Detail'!$C:$C,0)),0)</f>
        <v>0.87</v>
      </c>
      <c r="AB373" s="266">
        <f t="shared" si="207"/>
        <v>0</v>
      </c>
      <c r="AC373" s="266">
        <f t="shared" si="208"/>
        <v>0</v>
      </c>
      <c r="AD373" s="266">
        <f t="shared" si="209"/>
        <v>0</v>
      </c>
      <c r="AE373" s="266">
        <f t="shared" si="210"/>
        <v>0</v>
      </c>
      <c r="AF373" s="266">
        <f t="shared" si="211"/>
        <v>0</v>
      </c>
      <c r="AG373" s="274">
        <v>0.87</v>
      </c>
      <c r="AH373" s="274">
        <v>0.87</v>
      </c>
      <c r="AI373" s="274">
        <v>0.87</v>
      </c>
      <c r="AJ373" s="274">
        <v>0.87</v>
      </c>
      <c r="AK373" s="274">
        <f t="shared" si="212"/>
        <v>0.87</v>
      </c>
      <c r="AL373" s="274">
        <f t="shared" si="213"/>
        <v>0.87</v>
      </c>
      <c r="AM373" s="274">
        <f t="shared" si="214"/>
        <v>0.87</v>
      </c>
      <c r="AN373" s="274">
        <f t="shared" si="215"/>
        <v>0.87</v>
      </c>
      <c r="AO373" s="262"/>
      <c r="AP373" s="262"/>
      <c r="AQ373" s="267">
        <v>0.85179487179487012</v>
      </c>
      <c r="AR373" s="262"/>
      <c r="AS373" s="266">
        <f t="shared" si="216"/>
        <v>0</v>
      </c>
      <c r="AT373" s="264">
        <f t="shared" si="217"/>
        <v>0</v>
      </c>
      <c r="AU373" s="262"/>
      <c r="AV373" s="262"/>
      <c r="AW373" s="265">
        <v>0.63075949367088424</v>
      </c>
      <c r="AX373" s="164" t="s">
        <v>1469</v>
      </c>
      <c r="AY373" s="266">
        <v>0</v>
      </c>
      <c r="AZ373" s="266">
        <f t="shared" si="218"/>
        <v>0</v>
      </c>
      <c r="BA373" s="264">
        <f t="shared" si="219"/>
        <v>0</v>
      </c>
      <c r="BB373" s="262"/>
      <c r="BC373" s="262"/>
      <c r="BD373" s="265">
        <f ca="1">IFERROR(INDEX(Algorithms!$G:$G,MATCH($C373&amp;"_Therm Saved per Unit",Algorithms!$A:$A,0)),0)</f>
        <v>0.41012345679012158</v>
      </c>
      <c r="BE373" s="164" t="str">
        <f ca="1">IFERROR(INDEX('v12 Revisions'!$P$29:$P$186, MATCH('Measure-Level Adj Gas'!$L373, 'v12 Revisions'!$D$29:$D$186,0)),"")</f>
        <v>Updated baseline and efficient boiler efficiency ratings.</v>
      </c>
      <c r="BF373" s="266">
        <f t="shared" ca="1" si="220"/>
        <v>0</v>
      </c>
      <c r="BG373" s="264">
        <f t="shared" ca="1" si="221"/>
        <v>0</v>
      </c>
      <c r="BH373" s="262"/>
      <c r="BI373" s="262"/>
      <c r="BJ373" s="265">
        <f ca="1">IFERROR(INDEX(Algorithms!$G:$G,MATCH($C373&amp;"_Therm Saved per Unit",Algorithms!$A:$A,0)),0)</f>
        <v>0.41012345679012158</v>
      </c>
      <c r="BK373" s="164"/>
      <c r="BL373" s="266">
        <f t="shared" ca="1" si="222"/>
        <v>0</v>
      </c>
      <c r="BM373" s="264">
        <f t="shared" ca="1" si="223"/>
        <v>0</v>
      </c>
      <c r="BN373" s="266">
        <f t="shared" si="224"/>
        <v>0</v>
      </c>
      <c r="BO373" s="266">
        <f t="shared" si="225"/>
        <v>0</v>
      </c>
      <c r="BP373" s="266">
        <f t="shared" ca="1" si="226"/>
        <v>0</v>
      </c>
      <c r="BQ373" s="266">
        <f t="shared" ca="1" si="227"/>
        <v>0</v>
      </c>
      <c r="BR373" s="268">
        <f t="shared" ca="1" si="228"/>
        <v>0</v>
      </c>
      <c r="BS373" s="262" t="s">
        <v>99</v>
      </c>
      <c r="BT373" s="277"/>
      <c r="BW373" s="266">
        <f t="shared" si="229"/>
        <v>0</v>
      </c>
      <c r="BX373" s="266">
        <f t="shared" si="230"/>
        <v>0</v>
      </c>
      <c r="BY373" s="266">
        <f t="shared" si="231"/>
        <v>0</v>
      </c>
      <c r="BZ373" s="266">
        <f t="shared" si="232"/>
        <v>0</v>
      </c>
      <c r="CA373" s="266">
        <f ca="1">N373*IFERROR(INDEX(Algorithms!$G:$G,MATCH($C373&amp;"_Therm Saved per Unit- MLA",Algorithms!$A:$A,0)),0)*X373</f>
        <v>0</v>
      </c>
      <c r="CB373" s="266">
        <f ca="1">O373*IFERROR(INDEX(Algorithms!$G:$G,MATCH($C373&amp;"_Therm Saved per Unit- MLA",Algorithms!$A:$A,0)),0)*Y373</f>
        <v>0</v>
      </c>
      <c r="CC373" s="266">
        <f ca="1">P373*IFERROR(INDEX(Algorithms!$G:$G,MATCH($C373&amp;"_Therm Saved per Unit- MLA",Algorithms!$A:$A,0)),0)*Z373</f>
        <v>0</v>
      </c>
      <c r="CD373" s="266">
        <f ca="1">Q373*IFERROR(INDEX(Algorithms!$G:$G,MATCH($C373&amp;"_Therm Saved per Unit- MLA",Algorithms!$A:$A,0)),0)*AA373</f>
        <v>0</v>
      </c>
      <c r="CE373" s="266">
        <f ca="1">IFERROR(INDEX(Algorithms!$G:$G,MATCH($C373&amp;"_Lifetime (years)",Algorithms!$A:$A,0)),0)</f>
        <v>25</v>
      </c>
      <c r="CF373" s="266">
        <f ca="1">IFERROR(INDEX(Algorithms!$G:$G,MATCH($C373&amp;"_Lifetime (years) - Remaining Years",Algorithms!$A:$A,0)),0)</f>
        <v>0</v>
      </c>
      <c r="CG373" s="266">
        <f t="shared" ca="1" si="233"/>
        <v>0</v>
      </c>
      <c r="CH373" s="266">
        <f t="shared" ca="1" si="234"/>
        <v>0</v>
      </c>
      <c r="CI373" s="266">
        <f t="shared" ca="1" si="235"/>
        <v>0</v>
      </c>
      <c r="CJ373" s="266">
        <f t="shared" ca="1" si="236"/>
        <v>0</v>
      </c>
      <c r="CK373" s="266">
        <f t="shared" si="237"/>
        <v>0</v>
      </c>
      <c r="CL373" s="266">
        <f t="shared" si="238"/>
        <v>0</v>
      </c>
      <c r="CM373" s="266">
        <f t="shared" ca="1" si="239"/>
        <v>0</v>
      </c>
      <c r="CN373" s="266">
        <f t="shared" ca="1" si="240"/>
        <v>0</v>
      </c>
      <c r="CO373" s="266">
        <f ca="1">N373*IFERROR(INDEX(Algorithms!$G:$G,MATCH($C373&amp;"_Therm Saved per Unit- MLA",Algorithms!$A:$A,0)),0)*X373</f>
        <v>0</v>
      </c>
      <c r="CP373" s="266">
        <f ca="1">O373*IFERROR(INDEX(Algorithms!$G:$G,MATCH($C373&amp;"_Therm Saved per Unit- MLA",Algorithms!$A:$A,0)),0)*Y373</f>
        <v>0</v>
      </c>
      <c r="CQ373" s="266">
        <f ca="1">P373*IFERROR(INDEX(Algorithms!$G:$G,MATCH($C373&amp;"_Therm Saved per Unit- MLA",Algorithms!$A:$A,0)),0)*Z373</f>
        <v>0</v>
      </c>
      <c r="CR373" s="266">
        <f ca="1">Q373*IFERROR(INDEX(Algorithms!$G:$G,MATCH($C373&amp;"_Therm Saved per Unit- MLA",Algorithms!$A:$A,0)),0)*AA373</f>
        <v>0</v>
      </c>
      <c r="CS373" s="266">
        <f ca="1">IFERROR(INDEX(Algorithms!$G:$G,MATCH($C373&amp;"_Lifetime (years)",Algorithms!$A:$A,0)),0)</f>
        <v>25</v>
      </c>
      <c r="CT373" s="266">
        <f ca="1">IFERROR(INDEX(Algorithms!$G:$G,MATCH($C373&amp;"_Lifetime (years) - Remaining Years",Algorithms!$A:$A,0)),0)</f>
        <v>0</v>
      </c>
      <c r="CU373" s="266">
        <f t="shared" ca="1" si="241"/>
        <v>0</v>
      </c>
      <c r="CV373" s="266">
        <f t="shared" ca="1" si="242"/>
        <v>0</v>
      </c>
      <c r="CW373" s="266">
        <f t="shared" ca="1" si="243"/>
        <v>0</v>
      </c>
      <c r="CX373" s="266">
        <f t="shared" ca="1" si="244"/>
        <v>0</v>
      </c>
    </row>
    <row r="374" spans="2:102" s="47" customFormat="1" ht="18" customHeight="1" x14ac:dyDescent="0.25">
      <c r="B374" t="str">
        <f t="shared" si="245"/>
        <v>NSG_Residential_Multi-Family_Standard Rebate_Steam Boiler_&gt;=300MBH, &lt;1,500, &gt;=81% AFUE_MF</v>
      </c>
      <c r="C374" s="47" t="str">
        <f t="shared" si="206"/>
        <v>Steam Boiler_&gt;=300MBH, &lt;1,500, &gt;=81% AFUE_MF</v>
      </c>
      <c r="D374" s="270" t="s">
        <v>1787</v>
      </c>
      <c r="E374" s="270" t="s">
        <v>2</v>
      </c>
      <c r="F374" s="270" t="s">
        <v>1422</v>
      </c>
      <c r="G374" s="270" t="s">
        <v>1418</v>
      </c>
      <c r="H374" s="270" t="s">
        <v>938</v>
      </c>
      <c r="I374" s="270" t="s">
        <v>1300</v>
      </c>
      <c r="J374" s="270" t="s">
        <v>553</v>
      </c>
      <c r="K374" s="263">
        <v>1</v>
      </c>
      <c r="L374" s="263" t="str">
        <f ca="1">IFERROR(INDEX(Algorithms!J:J,MATCH($C374&amp;"_Therm Saved per Unit",Algorithms!$A:$A,0)),"n/a")</f>
        <v>4.4.10</v>
      </c>
      <c r="M374" s="263" t="str">
        <f>IFERROR(INDEX('Measure Level Detail'!$N:$N,MATCH($B374,'Measure Level Detail'!$B:$B,0)),0)</f>
        <v>MBH</v>
      </c>
      <c r="N374" s="271">
        <f>IFERROR(INDEX('Measure Level Detail'!$P:$P,MATCH($B374&amp;"_"&amp;N$3,'Measure Level Detail'!$C:$C,0)),0)</f>
        <v>0</v>
      </c>
      <c r="O374" s="271">
        <f>IFERROR(INDEX('Measure Level Detail'!$P:$P,MATCH($B374&amp;"_"&amp;O$3,'Measure Level Detail'!$C:$C,0)),0)</f>
        <v>0</v>
      </c>
      <c r="P374" s="271">
        <f>IFERROR(INDEX('Measure Level Detail'!$P:$P,MATCH($B374&amp;"_"&amp;P$3,'Measure Level Detail'!$C:$C,0)),0)</f>
        <v>0</v>
      </c>
      <c r="Q374" s="271">
        <f>IFERROR(INDEX('Measure Level Detail'!$P:$P,MATCH($B374&amp;"_"&amp;Q$3,'Measure Level Detail'!$C:$C,0)),0)</f>
        <v>0</v>
      </c>
      <c r="R374" s="263" t="str">
        <f ca="1">IFERROR(INDEX(Algorithms!K:K,MATCH($C374&amp;"_Therm Saved per Unit",Algorithms!$A:$A,0)),"n/a")</f>
        <v>CI-HVC-BOIL-V11-240101</v>
      </c>
      <c r="S374" s="262"/>
      <c r="T374" s="272">
        <v>0.63884615384615429</v>
      </c>
      <c r="U374" s="272">
        <v>0.63884615384615429</v>
      </c>
      <c r="V374" s="272">
        <v>0.63884615384615429</v>
      </c>
      <c r="W374" s="272">
        <v>0.63884615384615429</v>
      </c>
      <c r="X374" s="273">
        <f>IFERROR(INDEX('Measure Level Detail'!$R:$R,MATCH($B374&amp;"_"&amp;X$3,'Measure Level Detail'!$C:$C,0)),0)</f>
        <v>0.87</v>
      </c>
      <c r="Y374" s="273">
        <f>IFERROR(INDEX('Measure Level Detail'!$R:$R,MATCH($B374&amp;"_"&amp;Y$3,'Measure Level Detail'!$C:$C,0)),0)</f>
        <v>0.87</v>
      </c>
      <c r="Z374" s="273">
        <f>IFERROR(INDEX('Measure Level Detail'!$R:$R,MATCH($B374&amp;"_"&amp;Z$3,'Measure Level Detail'!$C:$C,0)),0)</f>
        <v>0.87</v>
      </c>
      <c r="AA374" s="273">
        <f>IFERROR(INDEX('Measure Level Detail'!$R:$R,MATCH($B374&amp;"_"&amp;AA$3,'Measure Level Detail'!$C:$C,0)),0)</f>
        <v>0.87</v>
      </c>
      <c r="AB374" s="266">
        <f t="shared" si="207"/>
        <v>0</v>
      </c>
      <c r="AC374" s="266">
        <f t="shared" si="208"/>
        <v>0</v>
      </c>
      <c r="AD374" s="266">
        <f t="shared" si="209"/>
        <v>0</v>
      </c>
      <c r="AE374" s="266">
        <f t="shared" si="210"/>
        <v>0</v>
      </c>
      <c r="AF374" s="266">
        <f t="shared" si="211"/>
        <v>0</v>
      </c>
      <c r="AG374" s="274">
        <v>0.87</v>
      </c>
      <c r="AH374" s="274">
        <v>0.87</v>
      </c>
      <c r="AI374" s="274">
        <v>0.87</v>
      </c>
      <c r="AJ374" s="274">
        <v>0.87</v>
      </c>
      <c r="AK374" s="274">
        <f t="shared" si="212"/>
        <v>0.87</v>
      </c>
      <c r="AL374" s="274">
        <f t="shared" si="213"/>
        <v>0.87</v>
      </c>
      <c r="AM374" s="274">
        <f t="shared" si="214"/>
        <v>0.87</v>
      </c>
      <c r="AN374" s="274">
        <f t="shared" si="215"/>
        <v>0.87</v>
      </c>
      <c r="AO374" s="262"/>
      <c r="AP374" s="262"/>
      <c r="AQ374" s="267">
        <v>0.63884615384615429</v>
      </c>
      <c r="AR374" s="262"/>
      <c r="AS374" s="266">
        <f t="shared" si="216"/>
        <v>0</v>
      </c>
      <c r="AT374" s="264">
        <f t="shared" si="217"/>
        <v>0</v>
      </c>
      <c r="AU374" s="262"/>
      <c r="AV374" s="262"/>
      <c r="AW374" s="265">
        <v>0.42050632911392438</v>
      </c>
      <c r="AX374" s="164" t="s">
        <v>1469</v>
      </c>
      <c r="AY374" s="266">
        <v>0</v>
      </c>
      <c r="AZ374" s="266">
        <f t="shared" si="218"/>
        <v>0</v>
      </c>
      <c r="BA374" s="264">
        <f t="shared" si="219"/>
        <v>0</v>
      </c>
      <c r="BB374" s="262"/>
      <c r="BC374" s="262"/>
      <c r="BD374" s="265">
        <f ca="1">IFERROR(INDEX(Algorithms!$G:$G,MATCH($C374&amp;"_Therm Saved per Unit",Algorithms!$A:$A,0)),0)</f>
        <v>0.41012345679012158</v>
      </c>
      <c r="BE374" s="164" t="str">
        <f ca="1">IFERROR(INDEX('v12 Revisions'!$P$29:$P$186, MATCH('Measure-Level Adj Gas'!$L374, 'v12 Revisions'!$D$29:$D$186,0)),"")</f>
        <v>Updated baseline and efficient boiler efficiency ratings.</v>
      </c>
      <c r="BF374" s="266">
        <f t="shared" ca="1" si="220"/>
        <v>0</v>
      </c>
      <c r="BG374" s="264">
        <f t="shared" ca="1" si="221"/>
        <v>0</v>
      </c>
      <c r="BH374" s="262"/>
      <c r="BI374" s="262"/>
      <c r="BJ374" s="265">
        <f ca="1">IFERROR(INDEX(Algorithms!$G:$G,MATCH($C374&amp;"_Therm Saved per Unit",Algorithms!$A:$A,0)),0)</f>
        <v>0.41012345679012158</v>
      </c>
      <c r="BK374" s="164"/>
      <c r="BL374" s="266">
        <f t="shared" ca="1" si="222"/>
        <v>0</v>
      </c>
      <c r="BM374" s="264">
        <f t="shared" ca="1" si="223"/>
        <v>0</v>
      </c>
      <c r="BN374" s="266">
        <f t="shared" si="224"/>
        <v>0</v>
      </c>
      <c r="BO374" s="266">
        <f t="shared" si="225"/>
        <v>0</v>
      </c>
      <c r="BP374" s="266">
        <f t="shared" ca="1" si="226"/>
        <v>0</v>
      </c>
      <c r="BQ374" s="266">
        <f t="shared" ca="1" si="227"/>
        <v>0</v>
      </c>
      <c r="BR374" s="268">
        <f t="shared" ca="1" si="228"/>
        <v>0</v>
      </c>
      <c r="BS374" s="262" t="s">
        <v>99</v>
      </c>
      <c r="BT374" s="277"/>
      <c r="BW374" s="266">
        <f t="shared" si="229"/>
        <v>0</v>
      </c>
      <c r="BX374" s="266">
        <f t="shared" si="230"/>
        <v>0</v>
      </c>
      <c r="BY374" s="266">
        <f t="shared" si="231"/>
        <v>0</v>
      </c>
      <c r="BZ374" s="266">
        <f t="shared" si="232"/>
        <v>0</v>
      </c>
      <c r="CA374" s="266">
        <f ca="1">N374*IFERROR(INDEX(Algorithms!$G:$G,MATCH($C374&amp;"_Therm Saved per Unit- MLA",Algorithms!$A:$A,0)),0)*X374</f>
        <v>0</v>
      </c>
      <c r="CB374" s="266">
        <f ca="1">O374*IFERROR(INDEX(Algorithms!$G:$G,MATCH($C374&amp;"_Therm Saved per Unit- MLA",Algorithms!$A:$A,0)),0)*Y374</f>
        <v>0</v>
      </c>
      <c r="CC374" s="266">
        <f ca="1">P374*IFERROR(INDEX(Algorithms!$G:$G,MATCH($C374&amp;"_Therm Saved per Unit- MLA",Algorithms!$A:$A,0)),0)*Z374</f>
        <v>0</v>
      </c>
      <c r="CD374" s="266">
        <f ca="1">Q374*IFERROR(INDEX(Algorithms!$G:$G,MATCH($C374&amp;"_Therm Saved per Unit- MLA",Algorithms!$A:$A,0)),0)*AA374</f>
        <v>0</v>
      </c>
      <c r="CE374" s="266">
        <f ca="1">IFERROR(INDEX(Algorithms!$G:$G,MATCH($C374&amp;"_Lifetime (years)",Algorithms!$A:$A,0)),0)</f>
        <v>25</v>
      </c>
      <c r="CF374" s="266">
        <f ca="1">IFERROR(INDEX(Algorithms!$G:$G,MATCH($C374&amp;"_Lifetime (years) - Remaining Years",Algorithms!$A:$A,0)),0)</f>
        <v>0</v>
      </c>
      <c r="CG374" s="266">
        <f t="shared" ca="1" si="233"/>
        <v>0</v>
      </c>
      <c r="CH374" s="266">
        <f t="shared" ca="1" si="234"/>
        <v>0</v>
      </c>
      <c r="CI374" s="266">
        <f t="shared" ca="1" si="235"/>
        <v>0</v>
      </c>
      <c r="CJ374" s="266">
        <f t="shared" ca="1" si="236"/>
        <v>0</v>
      </c>
      <c r="CK374" s="266">
        <f t="shared" si="237"/>
        <v>0</v>
      </c>
      <c r="CL374" s="266">
        <f t="shared" si="238"/>
        <v>0</v>
      </c>
      <c r="CM374" s="266">
        <f t="shared" ca="1" si="239"/>
        <v>0</v>
      </c>
      <c r="CN374" s="266">
        <f t="shared" ca="1" si="240"/>
        <v>0</v>
      </c>
      <c r="CO374" s="266">
        <f ca="1">N374*IFERROR(INDEX(Algorithms!$G:$G,MATCH($C374&amp;"_Therm Saved per Unit- MLA",Algorithms!$A:$A,0)),0)*X374</f>
        <v>0</v>
      </c>
      <c r="CP374" s="266">
        <f ca="1">O374*IFERROR(INDEX(Algorithms!$G:$G,MATCH($C374&amp;"_Therm Saved per Unit- MLA",Algorithms!$A:$A,0)),0)*Y374</f>
        <v>0</v>
      </c>
      <c r="CQ374" s="266">
        <f ca="1">P374*IFERROR(INDEX(Algorithms!$G:$G,MATCH($C374&amp;"_Therm Saved per Unit- MLA",Algorithms!$A:$A,0)),0)*Z374</f>
        <v>0</v>
      </c>
      <c r="CR374" s="266">
        <f ca="1">Q374*IFERROR(INDEX(Algorithms!$G:$G,MATCH($C374&amp;"_Therm Saved per Unit- MLA",Algorithms!$A:$A,0)),0)*AA374</f>
        <v>0</v>
      </c>
      <c r="CS374" s="266">
        <f ca="1">IFERROR(INDEX(Algorithms!$G:$G,MATCH($C374&amp;"_Lifetime (years)",Algorithms!$A:$A,0)),0)</f>
        <v>25</v>
      </c>
      <c r="CT374" s="266">
        <f ca="1">IFERROR(INDEX(Algorithms!$G:$G,MATCH($C374&amp;"_Lifetime (years) - Remaining Years",Algorithms!$A:$A,0)),0)</f>
        <v>0</v>
      </c>
      <c r="CU374" s="266">
        <f t="shared" ca="1" si="241"/>
        <v>0</v>
      </c>
      <c r="CV374" s="266">
        <f t="shared" ca="1" si="242"/>
        <v>0</v>
      </c>
      <c r="CW374" s="266">
        <f t="shared" ca="1" si="243"/>
        <v>0</v>
      </c>
      <c r="CX374" s="266">
        <f t="shared" ca="1" si="244"/>
        <v>0</v>
      </c>
    </row>
    <row r="375" spans="2:102" s="47" customFormat="1" ht="18" customHeight="1" x14ac:dyDescent="0.25">
      <c r="B375" t="str">
        <f t="shared" si="245"/>
        <v>NSG_Residential_Multi-Family_Standard Rebate_Steam Traps_Industrial/Process Audit - psig ≤ 15_MF</v>
      </c>
      <c r="C375" s="47" t="str">
        <f t="shared" si="206"/>
        <v>Steam Traps_Industrial/Process Audit - psig ≤ 15_MF</v>
      </c>
      <c r="D375" s="270" t="s">
        <v>1787</v>
      </c>
      <c r="E375" s="270" t="s">
        <v>2</v>
      </c>
      <c r="F375" s="270" t="s">
        <v>1422</v>
      </c>
      <c r="G375" s="270" t="s">
        <v>1418</v>
      </c>
      <c r="H375" s="270" t="s">
        <v>644</v>
      </c>
      <c r="I375" s="270" t="s">
        <v>1383</v>
      </c>
      <c r="J375" s="270" t="s">
        <v>553</v>
      </c>
      <c r="K375" s="263">
        <v>1</v>
      </c>
      <c r="L375" s="263" t="str">
        <f ca="1">IFERROR(INDEX(Algorithms!J:J,MATCH($C375&amp;"_Therm Saved per Unit",Algorithms!$A:$A,0)),"n/a")</f>
        <v>4.4.16</v>
      </c>
      <c r="M375" s="263" t="str">
        <f>IFERROR(INDEX('Measure Level Detail'!$N:$N,MATCH($B375,'Measure Level Detail'!$B:$B,0)),0)</f>
        <v>each</v>
      </c>
      <c r="N375" s="271">
        <f>IFERROR(INDEX('Measure Level Detail'!$P:$P,MATCH($B375&amp;"_"&amp;N$3,'Measure Level Detail'!$C:$C,0)),0)</f>
        <v>0</v>
      </c>
      <c r="O375" s="271">
        <f>IFERROR(INDEX('Measure Level Detail'!$P:$P,MATCH($B375&amp;"_"&amp;O$3,'Measure Level Detail'!$C:$C,0)),0)</f>
        <v>0</v>
      </c>
      <c r="P375" s="271">
        <f>IFERROR(INDEX('Measure Level Detail'!$P:$P,MATCH($B375&amp;"_"&amp;P$3,'Measure Level Detail'!$C:$C,0)),0)</f>
        <v>0</v>
      </c>
      <c r="Q375" s="271">
        <f>IFERROR(INDEX('Measure Level Detail'!$P:$P,MATCH($B375&amp;"_"&amp;Q$3,'Measure Level Detail'!$C:$C,0)),0)</f>
        <v>0</v>
      </c>
      <c r="R375" s="263" t="str">
        <f ca="1">IFERROR(INDEX(Algorithms!K:K,MATCH($C375&amp;"_Therm Saved per Unit",Algorithms!$A:$A,0)),"n/a")</f>
        <v>CI-HVC-STRE-V10-240101</v>
      </c>
      <c r="S375" s="262"/>
      <c r="T375" s="272">
        <v>158.21234468156055</v>
      </c>
      <c r="U375" s="272">
        <v>158.21234468156055</v>
      </c>
      <c r="V375" s="272">
        <v>158.21234468156055</v>
      </c>
      <c r="W375" s="272">
        <v>158.21234468156055</v>
      </c>
      <c r="X375" s="273">
        <f>IFERROR(INDEX('Measure Level Detail'!$R:$R,MATCH($B375&amp;"_"&amp;X$3,'Measure Level Detail'!$C:$C,0)),0)</f>
        <v>0.87</v>
      </c>
      <c r="Y375" s="273">
        <f>IFERROR(INDEX('Measure Level Detail'!$R:$R,MATCH($B375&amp;"_"&amp;Y$3,'Measure Level Detail'!$C:$C,0)),0)</f>
        <v>0.87</v>
      </c>
      <c r="Z375" s="273">
        <f>IFERROR(INDEX('Measure Level Detail'!$R:$R,MATCH($B375&amp;"_"&amp;Z$3,'Measure Level Detail'!$C:$C,0)),0)</f>
        <v>0.87</v>
      </c>
      <c r="AA375" s="273">
        <f>IFERROR(INDEX('Measure Level Detail'!$R:$R,MATCH($B375&amp;"_"&amp;AA$3,'Measure Level Detail'!$C:$C,0)),0)</f>
        <v>0.87</v>
      </c>
      <c r="AB375" s="266">
        <f t="shared" si="207"/>
        <v>0</v>
      </c>
      <c r="AC375" s="266">
        <f t="shared" si="208"/>
        <v>0</v>
      </c>
      <c r="AD375" s="266">
        <f t="shared" si="209"/>
        <v>0</v>
      </c>
      <c r="AE375" s="266">
        <f t="shared" si="210"/>
        <v>0</v>
      </c>
      <c r="AF375" s="266">
        <f t="shared" si="211"/>
        <v>0</v>
      </c>
      <c r="AG375" s="274">
        <v>0.87</v>
      </c>
      <c r="AH375" s="274">
        <v>0.87</v>
      </c>
      <c r="AI375" s="274">
        <v>0.87</v>
      </c>
      <c r="AJ375" s="274">
        <v>0.87</v>
      </c>
      <c r="AK375" s="274">
        <f t="shared" si="212"/>
        <v>0.87</v>
      </c>
      <c r="AL375" s="274">
        <f t="shared" si="213"/>
        <v>0.87</v>
      </c>
      <c r="AM375" s="274">
        <f t="shared" si="214"/>
        <v>0.87</v>
      </c>
      <c r="AN375" s="274">
        <f t="shared" si="215"/>
        <v>0.87</v>
      </c>
      <c r="AO375" s="262"/>
      <c r="AP375" s="262"/>
      <c r="AQ375" s="267">
        <v>158.21234468156055</v>
      </c>
      <c r="AR375" s="262"/>
      <c r="AS375" s="266">
        <f t="shared" si="216"/>
        <v>0</v>
      </c>
      <c r="AT375" s="264">
        <f t="shared" si="217"/>
        <v>0</v>
      </c>
      <c r="AU375" s="262"/>
      <c r="AV375" s="262"/>
      <c r="AW375" s="265">
        <v>321.5560729764652</v>
      </c>
      <c r="AX375" s="164" t="s">
        <v>2397</v>
      </c>
      <c r="AY375" s="266">
        <v>0</v>
      </c>
      <c r="AZ375" s="266">
        <f t="shared" si="218"/>
        <v>0</v>
      </c>
      <c r="BA375" s="264">
        <f t="shared" si="219"/>
        <v>0</v>
      </c>
      <c r="BB375" s="262"/>
      <c r="BC375" s="262"/>
      <c r="BD375" s="265">
        <f ca="1">IFERROR(INDEX(Algorithms!$G:$G,MATCH($C375&amp;"_Therm Saved per Unit",Algorithms!$A:$A,0)),0)</f>
        <v>321.5560729764652</v>
      </c>
      <c r="BE375" s="164" t="str">
        <f ca="1">IFERROR(INDEX('v12 Revisions'!$P$29:$P$186, MATCH('Measure-Level Adj Gas'!$L375, 'v12 Revisions'!$D$29:$D$186,0)),"")</f>
        <v>n/a - costs only.</v>
      </c>
      <c r="BF375" s="266">
        <f t="shared" ca="1" si="220"/>
        <v>0</v>
      </c>
      <c r="BG375" s="264">
        <f t="shared" ca="1" si="221"/>
        <v>0</v>
      </c>
      <c r="BH375" s="262"/>
      <c r="BI375" s="262"/>
      <c r="BJ375" s="265">
        <f ca="1">IFERROR(INDEX(Algorithms!$G:$G,MATCH($C375&amp;"_Therm Saved per Unit",Algorithms!$A:$A,0)),0)</f>
        <v>321.5560729764652</v>
      </c>
      <c r="BK375" s="164"/>
      <c r="BL375" s="266">
        <f t="shared" ca="1" si="222"/>
        <v>0</v>
      </c>
      <c r="BM375" s="264">
        <f t="shared" ca="1" si="223"/>
        <v>0</v>
      </c>
      <c r="BN375" s="266">
        <f t="shared" si="224"/>
        <v>0</v>
      </c>
      <c r="BO375" s="266">
        <f t="shared" si="225"/>
        <v>0</v>
      </c>
      <c r="BP375" s="266">
        <f t="shared" ca="1" si="226"/>
        <v>0</v>
      </c>
      <c r="BQ375" s="266">
        <f t="shared" ca="1" si="227"/>
        <v>0</v>
      </c>
      <c r="BR375" s="268">
        <f t="shared" ca="1" si="228"/>
        <v>0</v>
      </c>
      <c r="BS375" s="262" t="s">
        <v>99</v>
      </c>
      <c r="BT375" s="277"/>
      <c r="BW375" s="266">
        <f t="shared" si="229"/>
        <v>0</v>
      </c>
      <c r="BX375" s="266">
        <f t="shared" si="230"/>
        <v>0</v>
      </c>
      <c r="BY375" s="266">
        <f t="shared" si="231"/>
        <v>0</v>
      </c>
      <c r="BZ375" s="266">
        <f t="shared" si="232"/>
        <v>0</v>
      </c>
      <c r="CA375" s="266">
        <f ca="1">N375*IFERROR(INDEX(Algorithms!$G:$G,MATCH($C375&amp;"_Therm Saved per Unit- MLA",Algorithms!$A:$A,0)),0)*X375</f>
        <v>0</v>
      </c>
      <c r="CB375" s="266">
        <f ca="1">O375*IFERROR(INDEX(Algorithms!$G:$G,MATCH($C375&amp;"_Therm Saved per Unit- MLA",Algorithms!$A:$A,0)),0)*Y375</f>
        <v>0</v>
      </c>
      <c r="CC375" s="266">
        <f ca="1">P375*IFERROR(INDEX(Algorithms!$G:$G,MATCH($C375&amp;"_Therm Saved per Unit- MLA",Algorithms!$A:$A,0)),0)*Z375</f>
        <v>0</v>
      </c>
      <c r="CD375" s="266">
        <f ca="1">Q375*IFERROR(INDEX(Algorithms!$G:$G,MATCH($C375&amp;"_Therm Saved per Unit- MLA",Algorithms!$A:$A,0)),0)*AA375</f>
        <v>0</v>
      </c>
      <c r="CE375" s="266">
        <f ca="1">IFERROR(INDEX(Algorithms!$G:$G,MATCH($C375&amp;"_Lifetime (years)",Algorithms!$A:$A,0)),0)</f>
        <v>6</v>
      </c>
      <c r="CF375" s="266">
        <f ca="1">IFERROR(INDEX(Algorithms!$G:$G,MATCH($C375&amp;"_Lifetime (years) - Remaining Years",Algorithms!$A:$A,0)),0)</f>
        <v>0</v>
      </c>
      <c r="CG375" s="266">
        <f t="shared" ca="1" si="233"/>
        <v>0</v>
      </c>
      <c r="CH375" s="266">
        <f t="shared" ca="1" si="234"/>
        <v>0</v>
      </c>
      <c r="CI375" s="266">
        <f t="shared" ca="1" si="235"/>
        <v>0</v>
      </c>
      <c r="CJ375" s="266">
        <f t="shared" ca="1" si="236"/>
        <v>0</v>
      </c>
      <c r="CK375" s="266">
        <f t="shared" si="237"/>
        <v>0</v>
      </c>
      <c r="CL375" s="266">
        <f t="shared" si="238"/>
        <v>0</v>
      </c>
      <c r="CM375" s="266">
        <f t="shared" ca="1" si="239"/>
        <v>0</v>
      </c>
      <c r="CN375" s="266">
        <f t="shared" ca="1" si="240"/>
        <v>0</v>
      </c>
      <c r="CO375" s="266">
        <f ca="1">N375*IFERROR(INDEX(Algorithms!$G:$G,MATCH($C375&amp;"_Therm Saved per Unit- MLA",Algorithms!$A:$A,0)),0)*X375</f>
        <v>0</v>
      </c>
      <c r="CP375" s="266">
        <f ca="1">O375*IFERROR(INDEX(Algorithms!$G:$G,MATCH($C375&amp;"_Therm Saved per Unit- MLA",Algorithms!$A:$A,0)),0)*Y375</f>
        <v>0</v>
      </c>
      <c r="CQ375" s="266">
        <f ca="1">P375*IFERROR(INDEX(Algorithms!$G:$G,MATCH($C375&amp;"_Therm Saved per Unit- MLA",Algorithms!$A:$A,0)),0)*Z375</f>
        <v>0</v>
      </c>
      <c r="CR375" s="266">
        <f ca="1">Q375*IFERROR(INDEX(Algorithms!$G:$G,MATCH($C375&amp;"_Therm Saved per Unit- MLA",Algorithms!$A:$A,0)),0)*AA375</f>
        <v>0</v>
      </c>
      <c r="CS375" s="266">
        <f ca="1">IFERROR(INDEX(Algorithms!$G:$G,MATCH($C375&amp;"_Lifetime (years)",Algorithms!$A:$A,0)),0)</f>
        <v>6</v>
      </c>
      <c r="CT375" s="266">
        <f ca="1">IFERROR(INDEX(Algorithms!$G:$G,MATCH($C375&amp;"_Lifetime (years) - Remaining Years",Algorithms!$A:$A,0)),0)</f>
        <v>0</v>
      </c>
      <c r="CU375" s="266">
        <f t="shared" ca="1" si="241"/>
        <v>0</v>
      </c>
      <c r="CV375" s="266">
        <f t="shared" ca="1" si="242"/>
        <v>0</v>
      </c>
      <c r="CW375" s="266">
        <f t="shared" ca="1" si="243"/>
        <v>0</v>
      </c>
      <c r="CX375" s="266">
        <f t="shared" ca="1" si="244"/>
        <v>0</v>
      </c>
    </row>
    <row r="376" spans="2:102" s="47" customFormat="1" ht="18" customHeight="1" x14ac:dyDescent="0.25">
      <c r="B376" t="str">
        <f t="shared" si="245"/>
        <v>NSG_Residential_Multi-Family_Standard Rebate_Steam Traps_Industrial/Process Audit - 15 &lt; psig &lt; 30_MF</v>
      </c>
      <c r="C376" s="47" t="str">
        <f t="shared" si="206"/>
        <v>Steam Traps_Industrial/Process Audit - 15 &lt; psig &lt; 30_MF</v>
      </c>
      <c r="D376" s="270" t="s">
        <v>1787</v>
      </c>
      <c r="E376" s="270" t="s">
        <v>2</v>
      </c>
      <c r="F376" s="270" t="s">
        <v>1422</v>
      </c>
      <c r="G376" s="270" t="s">
        <v>1418</v>
      </c>
      <c r="H376" s="270" t="s">
        <v>644</v>
      </c>
      <c r="I376" s="270" t="s">
        <v>1384</v>
      </c>
      <c r="J376" s="270" t="s">
        <v>553</v>
      </c>
      <c r="K376" s="263">
        <v>1</v>
      </c>
      <c r="L376" s="263" t="str">
        <f ca="1">IFERROR(INDEX(Algorithms!J:J,MATCH($C376&amp;"_Therm Saved per Unit",Algorithms!$A:$A,0)),"n/a")</f>
        <v>4.4.16</v>
      </c>
      <c r="M376" s="263" t="str">
        <f>IFERROR(INDEX('Measure Level Detail'!$N:$N,MATCH($B376,'Measure Level Detail'!$B:$B,0)),0)</f>
        <v>each</v>
      </c>
      <c r="N376" s="271">
        <f>IFERROR(INDEX('Measure Level Detail'!$P:$P,MATCH($B376&amp;"_"&amp;N$3,'Measure Level Detail'!$C:$C,0)),0)</f>
        <v>0</v>
      </c>
      <c r="O376" s="271">
        <f>IFERROR(INDEX('Measure Level Detail'!$P:$P,MATCH($B376&amp;"_"&amp;O$3,'Measure Level Detail'!$C:$C,0)),0)</f>
        <v>0</v>
      </c>
      <c r="P376" s="271">
        <f>IFERROR(INDEX('Measure Level Detail'!$P:$P,MATCH($B376&amp;"_"&amp;P$3,'Measure Level Detail'!$C:$C,0)),0)</f>
        <v>0</v>
      </c>
      <c r="Q376" s="271">
        <f>IFERROR(INDEX('Measure Level Detail'!$P:$P,MATCH($B376&amp;"_"&amp;Q$3,'Measure Level Detail'!$C:$C,0)),0)</f>
        <v>0</v>
      </c>
      <c r="R376" s="263" t="str">
        <f ca="1">IFERROR(INDEX(Algorithms!K:K,MATCH($C376&amp;"_Therm Saved per Unit",Algorithms!$A:$A,0)),"n/a")</f>
        <v>CI-HVC-STRE-V10-240101</v>
      </c>
      <c r="S376" s="262"/>
      <c r="T376" s="272">
        <v>152.05519050678893</v>
      </c>
      <c r="U376" s="272">
        <v>152.05519050678893</v>
      </c>
      <c r="V376" s="272">
        <v>152.05519050678893</v>
      </c>
      <c r="W376" s="272">
        <v>152.05519050678893</v>
      </c>
      <c r="X376" s="273">
        <f>IFERROR(INDEX('Measure Level Detail'!$R:$R,MATCH($B376&amp;"_"&amp;X$3,'Measure Level Detail'!$C:$C,0)),0)</f>
        <v>0.87</v>
      </c>
      <c r="Y376" s="273">
        <f>IFERROR(INDEX('Measure Level Detail'!$R:$R,MATCH($B376&amp;"_"&amp;Y$3,'Measure Level Detail'!$C:$C,0)),0)</f>
        <v>0.87</v>
      </c>
      <c r="Z376" s="273">
        <f>IFERROR(INDEX('Measure Level Detail'!$R:$R,MATCH($B376&amp;"_"&amp;Z$3,'Measure Level Detail'!$C:$C,0)),0)</f>
        <v>0.87</v>
      </c>
      <c r="AA376" s="273">
        <f>IFERROR(INDEX('Measure Level Detail'!$R:$R,MATCH($B376&amp;"_"&amp;AA$3,'Measure Level Detail'!$C:$C,0)),0)</f>
        <v>0.87</v>
      </c>
      <c r="AB376" s="266">
        <f t="shared" si="207"/>
        <v>0</v>
      </c>
      <c r="AC376" s="266">
        <f t="shared" si="208"/>
        <v>0</v>
      </c>
      <c r="AD376" s="266">
        <f t="shared" si="209"/>
        <v>0</v>
      </c>
      <c r="AE376" s="266">
        <f t="shared" si="210"/>
        <v>0</v>
      </c>
      <c r="AF376" s="266">
        <f t="shared" si="211"/>
        <v>0</v>
      </c>
      <c r="AG376" s="274">
        <v>0.87</v>
      </c>
      <c r="AH376" s="274">
        <v>0.87</v>
      </c>
      <c r="AI376" s="274">
        <v>0.87</v>
      </c>
      <c r="AJ376" s="274">
        <v>0.87</v>
      </c>
      <c r="AK376" s="274">
        <f t="shared" si="212"/>
        <v>0.87</v>
      </c>
      <c r="AL376" s="274">
        <f t="shared" si="213"/>
        <v>0.87</v>
      </c>
      <c r="AM376" s="274">
        <f t="shared" si="214"/>
        <v>0.87</v>
      </c>
      <c r="AN376" s="274">
        <f t="shared" si="215"/>
        <v>0.87</v>
      </c>
      <c r="AO376" s="262"/>
      <c r="AP376" s="262"/>
      <c r="AQ376" s="267">
        <v>152.05519050678893</v>
      </c>
      <c r="AR376" s="262"/>
      <c r="AS376" s="266">
        <f t="shared" si="216"/>
        <v>0</v>
      </c>
      <c r="AT376" s="264">
        <f t="shared" si="217"/>
        <v>0</v>
      </c>
      <c r="AU376" s="262"/>
      <c r="AV376" s="262"/>
      <c r="AW376" s="265">
        <v>152.05519050678893</v>
      </c>
      <c r="AX376" s="164" t="s">
        <v>2397</v>
      </c>
      <c r="AY376" s="266">
        <v>0</v>
      </c>
      <c r="AZ376" s="266">
        <f t="shared" si="218"/>
        <v>0</v>
      </c>
      <c r="BA376" s="264">
        <f t="shared" si="219"/>
        <v>0</v>
      </c>
      <c r="BB376" s="262"/>
      <c r="BC376" s="262"/>
      <c r="BD376" s="265">
        <f ca="1">IFERROR(INDEX(Algorithms!$G:$G,MATCH($C376&amp;"_Therm Saved per Unit",Algorithms!$A:$A,0)),0)</f>
        <v>152.05519050678893</v>
      </c>
      <c r="BE376" s="164" t="str">
        <f ca="1">IFERROR(INDEX('v12 Revisions'!$P$29:$P$186, MATCH('Measure-Level Adj Gas'!$L376, 'v12 Revisions'!$D$29:$D$186,0)),"")</f>
        <v>n/a - costs only.</v>
      </c>
      <c r="BF376" s="266">
        <f t="shared" ca="1" si="220"/>
        <v>0</v>
      </c>
      <c r="BG376" s="264">
        <f t="shared" ca="1" si="221"/>
        <v>0</v>
      </c>
      <c r="BH376" s="262"/>
      <c r="BI376" s="262"/>
      <c r="BJ376" s="265">
        <f ca="1">IFERROR(INDEX(Algorithms!$G:$G,MATCH($C376&amp;"_Therm Saved per Unit",Algorithms!$A:$A,0)),0)</f>
        <v>152.05519050678893</v>
      </c>
      <c r="BK376" s="164"/>
      <c r="BL376" s="266">
        <f t="shared" ca="1" si="222"/>
        <v>0</v>
      </c>
      <c r="BM376" s="264">
        <f t="shared" ca="1" si="223"/>
        <v>0</v>
      </c>
      <c r="BN376" s="266">
        <f t="shared" si="224"/>
        <v>0</v>
      </c>
      <c r="BO376" s="266">
        <f t="shared" si="225"/>
        <v>0</v>
      </c>
      <c r="BP376" s="266">
        <f t="shared" ca="1" si="226"/>
        <v>0</v>
      </c>
      <c r="BQ376" s="266">
        <f t="shared" ca="1" si="227"/>
        <v>0</v>
      </c>
      <c r="BR376" s="268">
        <f t="shared" ca="1" si="228"/>
        <v>0</v>
      </c>
      <c r="BS376" s="262" t="s">
        <v>99</v>
      </c>
      <c r="BT376" s="277"/>
      <c r="BW376" s="266">
        <f t="shared" si="229"/>
        <v>0</v>
      </c>
      <c r="BX376" s="266">
        <f t="shared" si="230"/>
        <v>0</v>
      </c>
      <c r="BY376" s="266">
        <f t="shared" si="231"/>
        <v>0</v>
      </c>
      <c r="BZ376" s="266">
        <f t="shared" si="232"/>
        <v>0</v>
      </c>
      <c r="CA376" s="266">
        <f ca="1">N376*IFERROR(INDEX(Algorithms!$G:$G,MATCH($C376&amp;"_Therm Saved per Unit- MLA",Algorithms!$A:$A,0)),0)*X376</f>
        <v>0</v>
      </c>
      <c r="CB376" s="266">
        <f ca="1">O376*IFERROR(INDEX(Algorithms!$G:$G,MATCH($C376&amp;"_Therm Saved per Unit- MLA",Algorithms!$A:$A,0)),0)*Y376</f>
        <v>0</v>
      </c>
      <c r="CC376" s="266">
        <f ca="1">P376*IFERROR(INDEX(Algorithms!$G:$G,MATCH($C376&amp;"_Therm Saved per Unit- MLA",Algorithms!$A:$A,0)),0)*Z376</f>
        <v>0</v>
      </c>
      <c r="CD376" s="266">
        <f ca="1">Q376*IFERROR(INDEX(Algorithms!$G:$G,MATCH($C376&amp;"_Therm Saved per Unit- MLA",Algorithms!$A:$A,0)),0)*AA376</f>
        <v>0</v>
      </c>
      <c r="CE376" s="266">
        <f ca="1">IFERROR(INDEX(Algorithms!$G:$G,MATCH($C376&amp;"_Lifetime (years)",Algorithms!$A:$A,0)),0)</f>
        <v>6</v>
      </c>
      <c r="CF376" s="266">
        <f ca="1">IFERROR(INDEX(Algorithms!$G:$G,MATCH($C376&amp;"_Lifetime (years) - Remaining Years",Algorithms!$A:$A,0)),0)</f>
        <v>0</v>
      </c>
      <c r="CG376" s="266">
        <f t="shared" ca="1" si="233"/>
        <v>0</v>
      </c>
      <c r="CH376" s="266">
        <f t="shared" ca="1" si="234"/>
        <v>0</v>
      </c>
      <c r="CI376" s="266">
        <f t="shared" ca="1" si="235"/>
        <v>0</v>
      </c>
      <c r="CJ376" s="266">
        <f t="shared" ca="1" si="236"/>
        <v>0</v>
      </c>
      <c r="CK376" s="266">
        <f t="shared" si="237"/>
        <v>0</v>
      </c>
      <c r="CL376" s="266">
        <f t="shared" si="238"/>
        <v>0</v>
      </c>
      <c r="CM376" s="266">
        <f t="shared" ca="1" si="239"/>
        <v>0</v>
      </c>
      <c r="CN376" s="266">
        <f t="shared" ca="1" si="240"/>
        <v>0</v>
      </c>
      <c r="CO376" s="266">
        <f ca="1">N376*IFERROR(INDEX(Algorithms!$G:$G,MATCH($C376&amp;"_Therm Saved per Unit- MLA",Algorithms!$A:$A,0)),0)*X376</f>
        <v>0</v>
      </c>
      <c r="CP376" s="266">
        <f ca="1">O376*IFERROR(INDEX(Algorithms!$G:$G,MATCH($C376&amp;"_Therm Saved per Unit- MLA",Algorithms!$A:$A,0)),0)*Y376</f>
        <v>0</v>
      </c>
      <c r="CQ376" s="266">
        <f ca="1">P376*IFERROR(INDEX(Algorithms!$G:$G,MATCH($C376&amp;"_Therm Saved per Unit- MLA",Algorithms!$A:$A,0)),0)*Z376</f>
        <v>0</v>
      </c>
      <c r="CR376" s="266">
        <f ca="1">Q376*IFERROR(INDEX(Algorithms!$G:$G,MATCH($C376&amp;"_Therm Saved per Unit- MLA",Algorithms!$A:$A,0)),0)*AA376</f>
        <v>0</v>
      </c>
      <c r="CS376" s="266">
        <f ca="1">IFERROR(INDEX(Algorithms!$G:$G,MATCH($C376&amp;"_Lifetime (years)",Algorithms!$A:$A,0)),0)</f>
        <v>6</v>
      </c>
      <c r="CT376" s="266">
        <f ca="1">IFERROR(INDEX(Algorithms!$G:$G,MATCH($C376&amp;"_Lifetime (years) - Remaining Years",Algorithms!$A:$A,0)),0)</f>
        <v>0</v>
      </c>
      <c r="CU376" s="266">
        <f t="shared" ca="1" si="241"/>
        <v>0</v>
      </c>
      <c r="CV376" s="266">
        <f t="shared" ca="1" si="242"/>
        <v>0</v>
      </c>
      <c r="CW376" s="266">
        <f t="shared" ca="1" si="243"/>
        <v>0</v>
      </c>
      <c r="CX376" s="266">
        <f t="shared" ca="1" si="244"/>
        <v>0</v>
      </c>
    </row>
    <row r="377" spans="2:102" s="47" customFormat="1" ht="18" customHeight="1" x14ac:dyDescent="0.25">
      <c r="B377" t="str">
        <f t="shared" si="245"/>
        <v>NSG_Residential_Multi-Family_Standard Rebate_Steam Traps_Industrial/Process Audit - 30 ≤ psig &lt; 75_MF</v>
      </c>
      <c r="C377" s="47" t="str">
        <f t="shared" si="206"/>
        <v>Steam Traps_Industrial/Process Audit - 30 ≤ psig &lt; 75_MF</v>
      </c>
      <c r="D377" s="270" t="s">
        <v>1787</v>
      </c>
      <c r="E377" s="270" t="s">
        <v>2</v>
      </c>
      <c r="F377" s="270" t="s">
        <v>1422</v>
      </c>
      <c r="G377" s="270" t="s">
        <v>1418</v>
      </c>
      <c r="H377" s="270" t="s">
        <v>644</v>
      </c>
      <c r="I377" s="270" t="s">
        <v>1385</v>
      </c>
      <c r="J377" s="270" t="s">
        <v>553</v>
      </c>
      <c r="K377" s="263">
        <v>1</v>
      </c>
      <c r="L377" s="263" t="str">
        <f ca="1">IFERROR(INDEX(Algorithms!J:J,MATCH($C377&amp;"_Therm Saved per Unit",Algorithms!$A:$A,0)),"n/a")</f>
        <v>4.4.16</v>
      </c>
      <c r="M377" s="263" t="str">
        <f>IFERROR(INDEX('Measure Level Detail'!$N:$N,MATCH($B377,'Measure Level Detail'!$B:$B,0)),0)</f>
        <v>each</v>
      </c>
      <c r="N377" s="271">
        <f>IFERROR(INDEX('Measure Level Detail'!$P:$P,MATCH($B377&amp;"_"&amp;N$3,'Measure Level Detail'!$C:$C,0)),0)</f>
        <v>0</v>
      </c>
      <c r="O377" s="271">
        <f>IFERROR(INDEX('Measure Level Detail'!$P:$P,MATCH($B377&amp;"_"&amp;O$3,'Measure Level Detail'!$C:$C,0)),0)</f>
        <v>0</v>
      </c>
      <c r="P377" s="271">
        <f>IFERROR(INDEX('Measure Level Detail'!$P:$P,MATCH($B377&amp;"_"&amp;P$3,'Measure Level Detail'!$C:$C,0)),0)</f>
        <v>0</v>
      </c>
      <c r="Q377" s="271">
        <f>IFERROR(INDEX('Measure Level Detail'!$P:$P,MATCH($B377&amp;"_"&amp;Q$3,'Measure Level Detail'!$C:$C,0)),0)</f>
        <v>0</v>
      </c>
      <c r="R377" s="263" t="str">
        <f ca="1">IFERROR(INDEX(Algorithms!K:K,MATCH($C377&amp;"_Therm Saved per Unit",Algorithms!$A:$A,0)),"n/a")</f>
        <v>CI-HVC-STRE-V10-240101</v>
      </c>
      <c r="S377" s="262"/>
      <c r="T377" s="272">
        <v>557.07551065314806</v>
      </c>
      <c r="U377" s="272">
        <v>557.07551065314806</v>
      </c>
      <c r="V377" s="272">
        <v>557.07551065314806</v>
      </c>
      <c r="W377" s="272">
        <v>557.07551065314806</v>
      </c>
      <c r="X377" s="273">
        <f>IFERROR(INDEX('Measure Level Detail'!$R:$R,MATCH($B377&amp;"_"&amp;X$3,'Measure Level Detail'!$C:$C,0)),0)</f>
        <v>0.87</v>
      </c>
      <c r="Y377" s="273">
        <f>IFERROR(INDEX('Measure Level Detail'!$R:$R,MATCH($B377&amp;"_"&amp;Y$3,'Measure Level Detail'!$C:$C,0)),0)</f>
        <v>0.87</v>
      </c>
      <c r="Z377" s="273">
        <f>IFERROR(INDEX('Measure Level Detail'!$R:$R,MATCH($B377&amp;"_"&amp;Z$3,'Measure Level Detail'!$C:$C,0)),0)</f>
        <v>0.87</v>
      </c>
      <c r="AA377" s="273">
        <f>IFERROR(INDEX('Measure Level Detail'!$R:$R,MATCH($B377&amp;"_"&amp;AA$3,'Measure Level Detail'!$C:$C,0)),0)</f>
        <v>0.87</v>
      </c>
      <c r="AB377" s="266">
        <f t="shared" si="207"/>
        <v>0</v>
      </c>
      <c r="AC377" s="266">
        <f t="shared" si="208"/>
        <v>0</v>
      </c>
      <c r="AD377" s="266">
        <f t="shared" si="209"/>
        <v>0</v>
      </c>
      <c r="AE377" s="266">
        <f t="shared" si="210"/>
        <v>0</v>
      </c>
      <c r="AF377" s="266">
        <f t="shared" si="211"/>
        <v>0</v>
      </c>
      <c r="AG377" s="274">
        <v>0.87</v>
      </c>
      <c r="AH377" s="274">
        <v>0.87</v>
      </c>
      <c r="AI377" s="274">
        <v>0.87</v>
      </c>
      <c r="AJ377" s="274">
        <v>0.87</v>
      </c>
      <c r="AK377" s="274">
        <f t="shared" si="212"/>
        <v>0.87</v>
      </c>
      <c r="AL377" s="274">
        <f t="shared" si="213"/>
        <v>0.87</v>
      </c>
      <c r="AM377" s="274">
        <f t="shared" si="214"/>
        <v>0.87</v>
      </c>
      <c r="AN377" s="274">
        <f t="shared" si="215"/>
        <v>0.87</v>
      </c>
      <c r="AO377" s="262"/>
      <c r="AP377" s="262"/>
      <c r="AQ377" s="267">
        <v>557.07551065314806</v>
      </c>
      <c r="AR377" s="262"/>
      <c r="AS377" s="266">
        <f t="shared" si="216"/>
        <v>0</v>
      </c>
      <c r="AT377" s="264">
        <f t="shared" si="217"/>
        <v>0</v>
      </c>
      <c r="AU377" s="262"/>
      <c r="AV377" s="262"/>
      <c r="AW377" s="265">
        <v>557.07551065314806</v>
      </c>
      <c r="AX377" s="164" t="s">
        <v>2397</v>
      </c>
      <c r="AY377" s="266">
        <v>0</v>
      </c>
      <c r="AZ377" s="266">
        <f t="shared" si="218"/>
        <v>0</v>
      </c>
      <c r="BA377" s="264">
        <f t="shared" si="219"/>
        <v>0</v>
      </c>
      <c r="BB377" s="262"/>
      <c r="BC377" s="262"/>
      <c r="BD377" s="265">
        <f ca="1">IFERROR(INDEX(Algorithms!$G:$G,MATCH($C377&amp;"_Therm Saved per Unit",Algorithms!$A:$A,0)),0)</f>
        <v>557.07551065314806</v>
      </c>
      <c r="BE377" s="164" t="str">
        <f ca="1">IFERROR(INDEX('v12 Revisions'!$P$29:$P$186, MATCH('Measure-Level Adj Gas'!$L377, 'v12 Revisions'!$D$29:$D$186,0)),"")</f>
        <v>n/a - costs only.</v>
      </c>
      <c r="BF377" s="266">
        <f t="shared" ca="1" si="220"/>
        <v>0</v>
      </c>
      <c r="BG377" s="264">
        <f t="shared" ca="1" si="221"/>
        <v>0</v>
      </c>
      <c r="BH377" s="262"/>
      <c r="BI377" s="262"/>
      <c r="BJ377" s="265">
        <f ca="1">IFERROR(INDEX(Algorithms!$G:$G,MATCH($C377&amp;"_Therm Saved per Unit",Algorithms!$A:$A,0)),0)</f>
        <v>557.07551065314806</v>
      </c>
      <c r="BK377" s="164"/>
      <c r="BL377" s="266">
        <f t="shared" ca="1" si="222"/>
        <v>0</v>
      </c>
      <c r="BM377" s="264">
        <f t="shared" ca="1" si="223"/>
        <v>0</v>
      </c>
      <c r="BN377" s="266">
        <f t="shared" si="224"/>
        <v>0</v>
      </c>
      <c r="BO377" s="266">
        <f t="shared" si="225"/>
        <v>0</v>
      </c>
      <c r="BP377" s="266">
        <f t="shared" ca="1" si="226"/>
        <v>0</v>
      </c>
      <c r="BQ377" s="266">
        <f t="shared" ca="1" si="227"/>
        <v>0</v>
      </c>
      <c r="BR377" s="268">
        <f t="shared" ca="1" si="228"/>
        <v>0</v>
      </c>
      <c r="BS377" s="262" t="s">
        <v>99</v>
      </c>
      <c r="BT377" s="277"/>
      <c r="BW377" s="266">
        <f t="shared" si="229"/>
        <v>0</v>
      </c>
      <c r="BX377" s="266">
        <f t="shared" si="230"/>
        <v>0</v>
      </c>
      <c r="BY377" s="266">
        <f t="shared" si="231"/>
        <v>0</v>
      </c>
      <c r="BZ377" s="266">
        <f t="shared" si="232"/>
        <v>0</v>
      </c>
      <c r="CA377" s="266">
        <f ca="1">N377*IFERROR(INDEX(Algorithms!$G:$G,MATCH($C377&amp;"_Therm Saved per Unit- MLA",Algorithms!$A:$A,0)),0)*X377</f>
        <v>0</v>
      </c>
      <c r="CB377" s="266">
        <f ca="1">O377*IFERROR(INDEX(Algorithms!$G:$G,MATCH($C377&amp;"_Therm Saved per Unit- MLA",Algorithms!$A:$A,0)),0)*Y377</f>
        <v>0</v>
      </c>
      <c r="CC377" s="266">
        <f ca="1">P377*IFERROR(INDEX(Algorithms!$G:$G,MATCH($C377&amp;"_Therm Saved per Unit- MLA",Algorithms!$A:$A,0)),0)*Z377</f>
        <v>0</v>
      </c>
      <c r="CD377" s="266">
        <f ca="1">Q377*IFERROR(INDEX(Algorithms!$G:$G,MATCH($C377&amp;"_Therm Saved per Unit- MLA",Algorithms!$A:$A,0)),0)*AA377</f>
        <v>0</v>
      </c>
      <c r="CE377" s="266">
        <f ca="1">IFERROR(INDEX(Algorithms!$G:$G,MATCH($C377&amp;"_Lifetime (years)",Algorithms!$A:$A,0)),0)</f>
        <v>6</v>
      </c>
      <c r="CF377" s="266">
        <f ca="1">IFERROR(INDEX(Algorithms!$G:$G,MATCH($C377&amp;"_Lifetime (years) - Remaining Years",Algorithms!$A:$A,0)),0)</f>
        <v>0</v>
      </c>
      <c r="CG377" s="266">
        <f t="shared" ca="1" si="233"/>
        <v>0</v>
      </c>
      <c r="CH377" s="266">
        <f t="shared" ca="1" si="234"/>
        <v>0</v>
      </c>
      <c r="CI377" s="266">
        <f t="shared" ca="1" si="235"/>
        <v>0</v>
      </c>
      <c r="CJ377" s="266">
        <f t="shared" ca="1" si="236"/>
        <v>0</v>
      </c>
      <c r="CK377" s="266">
        <f t="shared" si="237"/>
        <v>0</v>
      </c>
      <c r="CL377" s="266">
        <f t="shared" si="238"/>
        <v>0</v>
      </c>
      <c r="CM377" s="266">
        <f t="shared" ca="1" si="239"/>
        <v>0</v>
      </c>
      <c r="CN377" s="266">
        <f t="shared" ca="1" si="240"/>
        <v>0</v>
      </c>
      <c r="CO377" s="266">
        <f ca="1">N377*IFERROR(INDEX(Algorithms!$G:$G,MATCH($C377&amp;"_Therm Saved per Unit- MLA",Algorithms!$A:$A,0)),0)*X377</f>
        <v>0</v>
      </c>
      <c r="CP377" s="266">
        <f ca="1">O377*IFERROR(INDEX(Algorithms!$G:$G,MATCH($C377&amp;"_Therm Saved per Unit- MLA",Algorithms!$A:$A,0)),0)*Y377</f>
        <v>0</v>
      </c>
      <c r="CQ377" s="266">
        <f ca="1">P377*IFERROR(INDEX(Algorithms!$G:$G,MATCH($C377&amp;"_Therm Saved per Unit- MLA",Algorithms!$A:$A,0)),0)*Z377</f>
        <v>0</v>
      </c>
      <c r="CR377" s="266">
        <f ca="1">Q377*IFERROR(INDEX(Algorithms!$G:$G,MATCH($C377&amp;"_Therm Saved per Unit- MLA",Algorithms!$A:$A,0)),0)*AA377</f>
        <v>0</v>
      </c>
      <c r="CS377" s="266">
        <f ca="1">IFERROR(INDEX(Algorithms!$G:$G,MATCH($C377&amp;"_Lifetime (years)",Algorithms!$A:$A,0)),0)</f>
        <v>6</v>
      </c>
      <c r="CT377" s="266">
        <f ca="1">IFERROR(INDEX(Algorithms!$G:$G,MATCH($C377&amp;"_Lifetime (years) - Remaining Years",Algorithms!$A:$A,0)),0)</f>
        <v>0</v>
      </c>
      <c r="CU377" s="266">
        <f t="shared" ca="1" si="241"/>
        <v>0</v>
      </c>
      <c r="CV377" s="266">
        <f t="shared" ca="1" si="242"/>
        <v>0</v>
      </c>
      <c r="CW377" s="266">
        <f t="shared" ca="1" si="243"/>
        <v>0</v>
      </c>
      <c r="CX377" s="266">
        <f t="shared" ca="1" si="244"/>
        <v>0</v>
      </c>
    </row>
    <row r="378" spans="2:102" s="47" customFormat="1" ht="18" customHeight="1" x14ac:dyDescent="0.25">
      <c r="B378" t="str">
        <f t="shared" si="245"/>
        <v>NSG_Residential_Multi-Family_Standard Rebate_Steam Traps_Industrial/Process Audit - 75 ≤ psig &lt; 125_MF</v>
      </c>
      <c r="C378" s="47" t="str">
        <f t="shared" si="206"/>
        <v>Steam Traps_Industrial/Process Audit - 75 ≤ psig &lt; 125_MF</v>
      </c>
      <c r="D378" s="270" t="s">
        <v>1787</v>
      </c>
      <c r="E378" s="270" t="s">
        <v>2</v>
      </c>
      <c r="F378" s="270" t="s">
        <v>1422</v>
      </c>
      <c r="G378" s="270" t="s">
        <v>1418</v>
      </c>
      <c r="H378" s="270" t="s">
        <v>644</v>
      </c>
      <c r="I378" s="270" t="s">
        <v>1386</v>
      </c>
      <c r="J378" s="270" t="s">
        <v>553</v>
      </c>
      <c r="K378" s="263">
        <v>1</v>
      </c>
      <c r="L378" s="263" t="str">
        <f ca="1">IFERROR(INDEX(Algorithms!J:J,MATCH($C378&amp;"_Therm Saved per Unit",Algorithms!$A:$A,0)),"n/a")</f>
        <v>4.4.16</v>
      </c>
      <c r="M378" s="263" t="str">
        <f>IFERROR(INDEX('Measure Level Detail'!$N:$N,MATCH($B378,'Measure Level Detail'!$B:$B,0)),0)</f>
        <v>each</v>
      </c>
      <c r="N378" s="271">
        <f>IFERROR(INDEX('Measure Level Detail'!$P:$P,MATCH($B378&amp;"_"&amp;N$3,'Measure Level Detail'!$C:$C,0)),0)</f>
        <v>0</v>
      </c>
      <c r="O378" s="271">
        <f>IFERROR(INDEX('Measure Level Detail'!$P:$P,MATCH($B378&amp;"_"&amp;O$3,'Measure Level Detail'!$C:$C,0)),0)</f>
        <v>0</v>
      </c>
      <c r="P378" s="271">
        <f>IFERROR(INDEX('Measure Level Detail'!$P:$P,MATCH($B378&amp;"_"&amp;P$3,'Measure Level Detail'!$C:$C,0)),0)</f>
        <v>0</v>
      </c>
      <c r="Q378" s="271">
        <f>IFERROR(INDEX('Measure Level Detail'!$P:$P,MATCH($B378&amp;"_"&amp;Q$3,'Measure Level Detail'!$C:$C,0)),0)</f>
        <v>0</v>
      </c>
      <c r="R378" s="263" t="str">
        <f ca="1">IFERROR(INDEX(Algorithms!K:K,MATCH($C378&amp;"_Therm Saved per Unit",Algorithms!$A:$A,0)),"n/a")</f>
        <v>CI-HVC-STRE-V10-240101</v>
      </c>
      <c r="S378" s="262"/>
      <c r="T378" s="272">
        <v>1053.6644788659491</v>
      </c>
      <c r="U378" s="272">
        <v>1053.6644788659491</v>
      </c>
      <c r="V378" s="272">
        <v>1053.6644788659491</v>
      </c>
      <c r="W378" s="272">
        <v>1053.6644788659491</v>
      </c>
      <c r="X378" s="273">
        <f>IFERROR(INDEX('Measure Level Detail'!$R:$R,MATCH($B378&amp;"_"&amp;X$3,'Measure Level Detail'!$C:$C,0)),0)</f>
        <v>0.87</v>
      </c>
      <c r="Y378" s="273">
        <f>IFERROR(INDEX('Measure Level Detail'!$R:$R,MATCH($B378&amp;"_"&amp;Y$3,'Measure Level Detail'!$C:$C,0)),0)</f>
        <v>0.87</v>
      </c>
      <c r="Z378" s="273">
        <f>IFERROR(INDEX('Measure Level Detail'!$R:$R,MATCH($B378&amp;"_"&amp;Z$3,'Measure Level Detail'!$C:$C,0)),0)</f>
        <v>0.87</v>
      </c>
      <c r="AA378" s="273">
        <f>IFERROR(INDEX('Measure Level Detail'!$R:$R,MATCH($B378&amp;"_"&amp;AA$3,'Measure Level Detail'!$C:$C,0)),0)</f>
        <v>0.87</v>
      </c>
      <c r="AB378" s="266">
        <f t="shared" si="207"/>
        <v>0</v>
      </c>
      <c r="AC378" s="266">
        <f t="shared" si="208"/>
        <v>0</v>
      </c>
      <c r="AD378" s="266">
        <f t="shared" si="209"/>
        <v>0</v>
      </c>
      <c r="AE378" s="266">
        <f t="shared" si="210"/>
        <v>0</v>
      </c>
      <c r="AF378" s="266">
        <f t="shared" si="211"/>
        <v>0</v>
      </c>
      <c r="AG378" s="274">
        <v>0.87</v>
      </c>
      <c r="AH378" s="274">
        <v>0.87</v>
      </c>
      <c r="AI378" s="274">
        <v>0.87</v>
      </c>
      <c r="AJ378" s="274">
        <v>0.87</v>
      </c>
      <c r="AK378" s="274">
        <f t="shared" si="212"/>
        <v>0.87</v>
      </c>
      <c r="AL378" s="274">
        <f t="shared" si="213"/>
        <v>0.87</v>
      </c>
      <c r="AM378" s="274">
        <f t="shared" si="214"/>
        <v>0.87</v>
      </c>
      <c r="AN378" s="274">
        <f t="shared" si="215"/>
        <v>0.87</v>
      </c>
      <c r="AO378" s="262"/>
      <c r="AP378" s="262"/>
      <c r="AQ378" s="267">
        <v>1053.6644788659491</v>
      </c>
      <c r="AR378" s="262"/>
      <c r="AS378" s="266">
        <f t="shared" si="216"/>
        <v>0</v>
      </c>
      <c r="AT378" s="264">
        <f t="shared" si="217"/>
        <v>0</v>
      </c>
      <c r="AU378" s="262"/>
      <c r="AV378" s="262"/>
      <c r="AW378" s="265">
        <v>1053.6644788659491</v>
      </c>
      <c r="AX378" s="164" t="s">
        <v>2397</v>
      </c>
      <c r="AY378" s="266">
        <v>0</v>
      </c>
      <c r="AZ378" s="266">
        <f t="shared" si="218"/>
        <v>0</v>
      </c>
      <c r="BA378" s="264">
        <f t="shared" si="219"/>
        <v>0</v>
      </c>
      <c r="BB378" s="262"/>
      <c r="BC378" s="262"/>
      <c r="BD378" s="265">
        <f ca="1">IFERROR(INDEX(Algorithms!$G:$G,MATCH($C378&amp;"_Therm Saved per Unit",Algorithms!$A:$A,0)),0)</f>
        <v>1053.6644788659491</v>
      </c>
      <c r="BE378" s="164" t="str">
        <f ca="1">IFERROR(INDEX('v12 Revisions'!$P$29:$P$186, MATCH('Measure-Level Adj Gas'!$L378, 'v12 Revisions'!$D$29:$D$186,0)),"")</f>
        <v>n/a - costs only.</v>
      </c>
      <c r="BF378" s="266">
        <f t="shared" ca="1" si="220"/>
        <v>0</v>
      </c>
      <c r="BG378" s="264">
        <f t="shared" ca="1" si="221"/>
        <v>0</v>
      </c>
      <c r="BH378" s="262"/>
      <c r="BI378" s="262"/>
      <c r="BJ378" s="265">
        <f ca="1">IFERROR(INDEX(Algorithms!$G:$G,MATCH($C378&amp;"_Therm Saved per Unit",Algorithms!$A:$A,0)),0)</f>
        <v>1053.6644788659491</v>
      </c>
      <c r="BK378" s="164"/>
      <c r="BL378" s="266">
        <f t="shared" ca="1" si="222"/>
        <v>0</v>
      </c>
      <c r="BM378" s="264">
        <f t="shared" ca="1" si="223"/>
        <v>0</v>
      </c>
      <c r="BN378" s="266">
        <f t="shared" si="224"/>
        <v>0</v>
      </c>
      <c r="BO378" s="266">
        <f t="shared" si="225"/>
        <v>0</v>
      </c>
      <c r="BP378" s="266">
        <f t="shared" ca="1" si="226"/>
        <v>0</v>
      </c>
      <c r="BQ378" s="266">
        <f t="shared" ca="1" si="227"/>
        <v>0</v>
      </c>
      <c r="BR378" s="268">
        <f t="shared" ca="1" si="228"/>
        <v>0</v>
      </c>
      <c r="BS378" s="262" t="s">
        <v>99</v>
      </c>
      <c r="BT378" s="277"/>
      <c r="BW378" s="266">
        <f t="shared" si="229"/>
        <v>0</v>
      </c>
      <c r="BX378" s="266">
        <f t="shared" si="230"/>
        <v>0</v>
      </c>
      <c r="BY378" s="266">
        <f t="shared" si="231"/>
        <v>0</v>
      </c>
      <c r="BZ378" s="266">
        <f t="shared" si="232"/>
        <v>0</v>
      </c>
      <c r="CA378" s="266">
        <f ca="1">N378*IFERROR(INDEX(Algorithms!$G:$G,MATCH($C378&amp;"_Therm Saved per Unit- MLA",Algorithms!$A:$A,0)),0)*X378</f>
        <v>0</v>
      </c>
      <c r="CB378" s="266">
        <f ca="1">O378*IFERROR(INDEX(Algorithms!$G:$G,MATCH($C378&amp;"_Therm Saved per Unit- MLA",Algorithms!$A:$A,0)),0)*Y378</f>
        <v>0</v>
      </c>
      <c r="CC378" s="266">
        <f ca="1">P378*IFERROR(INDEX(Algorithms!$G:$G,MATCH($C378&amp;"_Therm Saved per Unit- MLA",Algorithms!$A:$A,0)),0)*Z378</f>
        <v>0</v>
      </c>
      <c r="CD378" s="266">
        <f ca="1">Q378*IFERROR(INDEX(Algorithms!$G:$G,MATCH($C378&amp;"_Therm Saved per Unit- MLA",Algorithms!$A:$A,0)),0)*AA378</f>
        <v>0</v>
      </c>
      <c r="CE378" s="266">
        <f ca="1">IFERROR(INDEX(Algorithms!$G:$G,MATCH($C378&amp;"_Lifetime (years)",Algorithms!$A:$A,0)),0)</f>
        <v>6</v>
      </c>
      <c r="CF378" s="266">
        <f ca="1">IFERROR(INDEX(Algorithms!$G:$G,MATCH($C378&amp;"_Lifetime (years) - Remaining Years",Algorithms!$A:$A,0)),0)</f>
        <v>0</v>
      </c>
      <c r="CG378" s="266">
        <f t="shared" ca="1" si="233"/>
        <v>0</v>
      </c>
      <c r="CH378" s="266">
        <f t="shared" ca="1" si="234"/>
        <v>0</v>
      </c>
      <c r="CI378" s="266">
        <f t="shared" ca="1" si="235"/>
        <v>0</v>
      </c>
      <c r="CJ378" s="266">
        <f t="shared" ca="1" si="236"/>
        <v>0</v>
      </c>
      <c r="CK378" s="266">
        <f t="shared" si="237"/>
        <v>0</v>
      </c>
      <c r="CL378" s="266">
        <f t="shared" si="238"/>
        <v>0</v>
      </c>
      <c r="CM378" s="266">
        <f t="shared" ca="1" si="239"/>
        <v>0</v>
      </c>
      <c r="CN378" s="266">
        <f t="shared" ca="1" si="240"/>
        <v>0</v>
      </c>
      <c r="CO378" s="266">
        <f ca="1">N378*IFERROR(INDEX(Algorithms!$G:$G,MATCH($C378&amp;"_Therm Saved per Unit- MLA",Algorithms!$A:$A,0)),0)*X378</f>
        <v>0</v>
      </c>
      <c r="CP378" s="266">
        <f ca="1">O378*IFERROR(INDEX(Algorithms!$G:$G,MATCH($C378&amp;"_Therm Saved per Unit- MLA",Algorithms!$A:$A,0)),0)*Y378</f>
        <v>0</v>
      </c>
      <c r="CQ378" s="266">
        <f ca="1">P378*IFERROR(INDEX(Algorithms!$G:$G,MATCH($C378&amp;"_Therm Saved per Unit- MLA",Algorithms!$A:$A,0)),0)*Z378</f>
        <v>0</v>
      </c>
      <c r="CR378" s="266">
        <f ca="1">Q378*IFERROR(INDEX(Algorithms!$G:$G,MATCH($C378&amp;"_Therm Saved per Unit- MLA",Algorithms!$A:$A,0)),0)*AA378</f>
        <v>0</v>
      </c>
      <c r="CS378" s="266">
        <f ca="1">IFERROR(INDEX(Algorithms!$G:$G,MATCH($C378&amp;"_Lifetime (years)",Algorithms!$A:$A,0)),0)</f>
        <v>6</v>
      </c>
      <c r="CT378" s="266">
        <f ca="1">IFERROR(INDEX(Algorithms!$G:$G,MATCH($C378&amp;"_Lifetime (years) - Remaining Years",Algorithms!$A:$A,0)),0)</f>
        <v>0</v>
      </c>
      <c r="CU378" s="266">
        <f t="shared" ca="1" si="241"/>
        <v>0</v>
      </c>
      <c r="CV378" s="266">
        <f t="shared" ca="1" si="242"/>
        <v>0</v>
      </c>
      <c r="CW378" s="266">
        <f t="shared" ca="1" si="243"/>
        <v>0</v>
      </c>
      <c r="CX378" s="266">
        <f t="shared" ca="1" si="244"/>
        <v>0</v>
      </c>
    </row>
    <row r="379" spans="2:102" s="47" customFormat="1" ht="18" customHeight="1" x14ac:dyDescent="0.25">
      <c r="B379" t="str">
        <f t="shared" si="245"/>
        <v>NSG_Residential_Multi-Family_Standard Rebate_Steam Traps_Industrial/Process Audit - 125 ≤ psig &lt; 175_MF</v>
      </c>
      <c r="C379" s="47" t="str">
        <f t="shared" si="206"/>
        <v>Steam Traps_Industrial/Process Audit - 125 ≤ psig &lt; 175_MF</v>
      </c>
      <c r="D379" s="270" t="s">
        <v>1787</v>
      </c>
      <c r="E379" s="270" t="s">
        <v>2</v>
      </c>
      <c r="F379" s="270" t="s">
        <v>1422</v>
      </c>
      <c r="G379" s="270" t="s">
        <v>1418</v>
      </c>
      <c r="H379" s="270" t="s">
        <v>644</v>
      </c>
      <c r="I379" s="270" t="s">
        <v>1374</v>
      </c>
      <c r="J379" s="270" t="s">
        <v>553</v>
      </c>
      <c r="K379" s="263">
        <v>1</v>
      </c>
      <c r="L379" s="263" t="str">
        <f ca="1">IFERROR(INDEX(Algorithms!J:J,MATCH($C379&amp;"_Therm Saved per Unit",Algorithms!$A:$A,0)),"n/a")</f>
        <v>4.4.16</v>
      </c>
      <c r="M379" s="263" t="str">
        <f>IFERROR(INDEX('Measure Level Detail'!$N:$N,MATCH($B379,'Measure Level Detail'!$B:$B,0)),0)</f>
        <v>each</v>
      </c>
      <c r="N379" s="271">
        <f>IFERROR(INDEX('Measure Level Detail'!$P:$P,MATCH($B379&amp;"_"&amp;N$3,'Measure Level Detail'!$C:$C,0)),0)</f>
        <v>0</v>
      </c>
      <c r="O379" s="271">
        <f>IFERROR(INDEX('Measure Level Detail'!$P:$P,MATCH($B379&amp;"_"&amp;O$3,'Measure Level Detail'!$C:$C,0)),0)</f>
        <v>0</v>
      </c>
      <c r="P379" s="271">
        <f>IFERROR(INDEX('Measure Level Detail'!$P:$P,MATCH($B379&amp;"_"&amp;P$3,'Measure Level Detail'!$C:$C,0)),0)</f>
        <v>0</v>
      </c>
      <c r="Q379" s="271">
        <f>IFERROR(INDEX('Measure Level Detail'!$P:$P,MATCH($B379&amp;"_"&amp;Q$3,'Measure Level Detail'!$C:$C,0)),0)</f>
        <v>0</v>
      </c>
      <c r="R379" s="263" t="str">
        <f ca="1">IFERROR(INDEX(Algorithms!K:K,MATCH($C379&amp;"_Therm Saved per Unit",Algorithms!$A:$A,0)),"n/a")</f>
        <v>CI-HVC-STRE-V10-240101</v>
      </c>
      <c r="S379" s="262"/>
      <c r="T379" s="272">
        <v>1471.0232537570409</v>
      </c>
      <c r="U379" s="272">
        <v>1471.0232537570409</v>
      </c>
      <c r="V379" s="272">
        <v>1471.0232537570409</v>
      </c>
      <c r="W379" s="272">
        <v>1471.0232537570409</v>
      </c>
      <c r="X379" s="273">
        <f>IFERROR(INDEX('Measure Level Detail'!$R:$R,MATCH($B379&amp;"_"&amp;X$3,'Measure Level Detail'!$C:$C,0)),0)</f>
        <v>0.87</v>
      </c>
      <c r="Y379" s="273">
        <f>IFERROR(INDEX('Measure Level Detail'!$R:$R,MATCH($B379&amp;"_"&amp;Y$3,'Measure Level Detail'!$C:$C,0)),0)</f>
        <v>0.87</v>
      </c>
      <c r="Z379" s="273">
        <f>IFERROR(INDEX('Measure Level Detail'!$R:$R,MATCH($B379&amp;"_"&amp;Z$3,'Measure Level Detail'!$C:$C,0)),0)</f>
        <v>0.87</v>
      </c>
      <c r="AA379" s="273">
        <f>IFERROR(INDEX('Measure Level Detail'!$R:$R,MATCH($B379&amp;"_"&amp;AA$3,'Measure Level Detail'!$C:$C,0)),0)</f>
        <v>0.87</v>
      </c>
      <c r="AB379" s="266">
        <f t="shared" si="207"/>
        <v>0</v>
      </c>
      <c r="AC379" s="266">
        <f t="shared" si="208"/>
        <v>0</v>
      </c>
      <c r="AD379" s="266">
        <f t="shared" si="209"/>
        <v>0</v>
      </c>
      <c r="AE379" s="266">
        <f t="shared" si="210"/>
        <v>0</v>
      </c>
      <c r="AF379" s="266">
        <f t="shared" si="211"/>
        <v>0</v>
      </c>
      <c r="AG379" s="274">
        <v>0.87</v>
      </c>
      <c r="AH379" s="274">
        <v>0.87</v>
      </c>
      <c r="AI379" s="274">
        <v>0.87</v>
      </c>
      <c r="AJ379" s="274">
        <v>0.87</v>
      </c>
      <c r="AK379" s="274">
        <f t="shared" si="212"/>
        <v>0.87</v>
      </c>
      <c r="AL379" s="274">
        <f t="shared" si="213"/>
        <v>0.87</v>
      </c>
      <c r="AM379" s="274">
        <f t="shared" si="214"/>
        <v>0.87</v>
      </c>
      <c r="AN379" s="274">
        <f t="shared" si="215"/>
        <v>0.87</v>
      </c>
      <c r="AO379" s="262"/>
      <c r="AP379" s="262"/>
      <c r="AQ379" s="267">
        <v>1471.0232537570409</v>
      </c>
      <c r="AR379" s="262"/>
      <c r="AS379" s="266">
        <f t="shared" si="216"/>
        <v>0</v>
      </c>
      <c r="AT379" s="264">
        <f t="shared" si="217"/>
        <v>0</v>
      </c>
      <c r="AU379" s="262"/>
      <c r="AV379" s="262"/>
      <c r="AW379" s="265">
        <v>1471.0232537570409</v>
      </c>
      <c r="AX379" s="164" t="s">
        <v>2397</v>
      </c>
      <c r="AY379" s="266">
        <v>0</v>
      </c>
      <c r="AZ379" s="266">
        <f t="shared" si="218"/>
        <v>0</v>
      </c>
      <c r="BA379" s="264">
        <f t="shared" si="219"/>
        <v>0</v>
      </c>
      <c r="BB379" s="262"/>
      <c r="BC379" s="262"/>
      <c r="BD379" s="265">
        <f ca="1">IFERROR(INDEX(Algorithms!$G:$G,MATCH($C379&amp;"_Therm Saved per Unit",Algorithms!$A:$A,0)),0)</f>
        <v>1471.0232537570409</v>
      </c>
      <c r="BE379" s="164" t="str">
        <f ca="1">IFERROR(INDEX('v12 Revisions'!$P$29:$P$186, MATCH('Measure-Level Adj Gas'!$L379, 'v12 Revisions'!$D$29:$D$186,0)),"")</f>
        <v>n/a - costs only.</v>
      </c>
      <c r="BF379" s="266">
        <f t="shared" ca="1" si="220"/>
        <v>0</v>
      </c>
      <c r="BG379" s="264">
        <f t="shared" ca="1" si="221"/>
        <v>0</v>
      </c>
      <c r="BH379" s="262"/>
      <c r="BI379" s="262"/>
      <c r="BJ379" s="265">
        <f ca="1">IFERROR(INDEX(Algorithms!$G:$G,MATCH($C379&amp;"_Therm Saved per Unit",Algorithms!$A:$A,0)),0)</f>
        <v>1471.0232537570409</v>
      </c>
      <c r="BK379" s="164"/>
      <c r="BL379" s="266">
        <f t="shared" ca="1" si="222"/>
        <v>0</v>
      </c>
      <c r="BM379" s="264">
        <f t="shared" ca="1" si="223"/>
        <v>0</v>
      </c>
      <c r="BN379" s="266">
        <f t="shared" si="224"/>
        <v>0</v>
      </c>
      <c r="BO379" s="266">
        <f t="shared" si="225"/>
        <v>0</v>
      </c>
      <c r="BP379" s="266">
        <f t="shared" ca="1" si="226"/>
        <v>0</v>
      </c>
      <c r="BQ379" s="266">
        <f t="shared" ca="1" si="227"/>
        <v>0</v>
      </c>
      <c r="BR379" s="268">
        <f t="shared" ca="1" si="228"/>
        <v>0</v>
      </c>
      <c r="BS379" s="262" t="s">
        <v>99</v>
      </c>
      <c r="BT379" s="277"/>
      <c r="BW379" s="266">
        <f t="shared" si="229"/>
        <v>0</v>
      </c>
      <c r="BX379" s="266">
        <f t="shared" si="230"/>
        <v>0</v>
      </c>
      <c r="BY379" s="266">
        <f t="shared" si="231"/>
        <v>0</v>
      </c>
      <c r="BZ379" s="266">
        <f t="shared" si="232"/>
        <v>0</v>
      </c>
      <c r="CA379" s="266">
        <f ca="1">N379*IFERROR(INDEX(Algorithms!$G:$G,MATCH($C379&amp;"_Therm Saved per Unit- MLA",Algorithms!$A:$A,0)),0)*X379</f>
        <v>0</v>
      </c>
      <c r="CB379" s="266">
        <f ca="1">O379*IFERROR(INDEX(Algorithms!$G:$G,MATCH($C379&amp;"_Therm Saved per Unit- MLA",Algorithms!$A:$A,0)),0)*Y379</f>
        <v>0</v>
      </c>
      <c r="CC379" s="266">
        <f ca="1">P379*IFERROR(INDEX(Algorithms!$G:$G,MATCH($C379&amp;"_Therm Saved per Unit- MLA",Algorithms!$A:$A,0)),0)*Z379</f>
        <v>0</v>
      </c>
      <c r="CD379" s="266">
        <f ca="1">Q379*IFERROR(INDEX(Algorithms!$G:$G,MATCH($C379&amp;"_Therm Saved per Unit- MLA",Algorithms!$A:$A,0)),0)*AA379</f>
        <v>0</v>
      </c>
      <c r="CE379" s="266">
        <f ca="1">IFERROR(INDEX(Algorithms!$G:$G,MATCH($C379&amp;"_Lifetime (years)",Algorithms!$A:$A,0)),0)</f>
        <v>6</v>
      </c>
      <c r="CF379" s="266">
        <f ca="1">IFERROR(INDEX(Algorithms!$G:$G,MATCH($C379&amp;"_Lifetime (years) - Remaining Years",Algorithms!$A:$A,0)),0)</f>
        <v>0</v>
      </c>
      <c r="CG379" s="266">
        <f t="shared" ca="1" si="233"/>
        <v>0</v>
      </c>
      <c r="CH379" s="266">
        <f t="shared" ca="1" si="234"/>
        <v>0</v>
      </c>
      <c r="CI379" s="266">
        <f t="shared" ca="1" si="235"/>
        <v>0</v>
      </c>
      <c r="CJ379" s="266">
        <f t="shared" ca="1" si="236"/>
        <v>0</v>
      </c>
      <c r="CK379" s="266">
        <f t="shared" si="237"/>
        <v>0</v>
      </c>
      <c r="CL379" s="266">
        <f t="shared" si="238"/>
        <v>0</v>
      </c>
      <c r="CM379" s="266">
        <f t="shared" ca="1" si="239"/>
        <v>0</v>
      </c>
      <c r="CN379" s="266">
        <f t="shared" ca="1" si="240"/>
        <v>0</v>
      </c>
      <c r="CO379" s="266">
        <f ca="1">N379*IFERROR(INDEX(Algorithms!$G:$G,MATCH($C379&amp;"_Therm Saved per Unit- MLA",Algorithms!$A:$A,0)),0)*X379</f>
        <v>0</v>
      </c>
      <c r="CP379" s="266">
        <f ca="1">O379*IFERROR(INDEX(Algorithms!$G:$G,MATCH($C379&amp;"_Therm Saved per Unit- MLA",Algorithms!$A:$A,0)),0)*Y379</f>
        <v>0</v>
      </c>
      <c r="CQ379" s="266">
        <f ca="1">P379*IFERROR(INDEX(Algorithms!$G:$G,MATCH($C379&amp;"_Therm Saved per Unit- MLA",Algorithms!$A:$A,0)),0)*Z379</f>
        <v>0</v>
      </c>
      <c r="CR379" s="266">
        <f ca="1">Q379*IFERROR(INDEX(Algorithms!$G:$G,MATCH($C379&amp;"_Therm Saved per Unit- MLA",Algorithms!$A:$A,0)),0)*AA379</f>
        <v>0</v>
      </c>
      <c r="CS379" s="266">
        <f ca="1">IFERROR(INDEX(Algorithms!$G:$G,MATCH($C379&amp;"_Lifetime (years)",Algorithms!$A:$A,0)),0)</f>
        <v>6</v>
      </c>
      <c r="CT379" s="266">
        <f ca="1">IFERROR(INDEX(Algorithms!$G:$G,MATCH($C379&amp;"_Lifetime (years) - Remaining Years",Algorithms!$A:$A,0)),0)</f>
        <v>0</v>
      </c>
      <c r="CU379" s="266">
        <f t="shared" ca="1" si="241"/>
        <v>0</v>
      </c>
      <c r="CV379" s="266">
        <f t="shared" ca="1" si="242"/>
        <v>0</v>
      </c>
      <c r="CW379" s="266">
        <f t="shared" ca="1" si="243"/>
        <v>0</v>
      </c>
      <c r="CX379" s="266">
        <f t="shared" ca="1" si="244"/>
        <v>0</v>
      </c>
    </row>
    <row r="380" spans="2:102" s="47" customFormat="1" ht="18" customHeight="1" x14ac:dyDescent="0.25">
      <c r="B380" t="str">
        <f t="shared" si="245"/>
        <v>NSG_Residential_Multi-Family_Standard Rebate_Steam Traps_Industrial/Process Audit - 175 ≤ psig &lt; 250_MF</v>
      </c>
      <c r="C380" s="47" t="str">
        <f t="shared" si="206"/>
        <v>Steam Traps_Industrial/Process Audit - 175 ≤ psig &lt; 250_MF</v>
      </c>
      <c r="D380" s="270" t="s">
        <v>1787</v>
      </c>
      <c r="E380" s="270" t="s">
        <v>2</v>
      </c>
      <c r="F380" s="270" t="s">
        <v>1422</v>
      </c>
      <c r="G380" s="270" t="s">
        <v>1418</v>
      </c>
      <c r="H380" s="270" t="s">
        <v>644</v>
      </c>
      <c r="I380" s="270" t="s">
        <v>1375</v>
      </c>
      <c r="J380" s="270" t="s">
        <v>553</v>
      </c>
      <c r="K380" s="263">
        <v>1</v>
      </c>
      <c r="L380" s="263" t="str">
        <f ca="1">IFERROR(INDEX(Algorithms!J:J,MATCH($C380&amp;"_Therm Saved per Unit",Algorithms!$A:$A,0)),"n/a")</f>
        <v>4.4.16</v>
      </c>
      <c r="M380" s="263" t="str">
        <f>IFERROR(INDEX('Measure Level Detail'!$N:$N,MATCH($B380,'Measure Level Detail'!$B:$B,0)),0)</f>
        <v>each</v>
      </c>
      <c r="N380" s="271">
        <f>IFERROR(INDEX('Measure Level Detail'!$P:$P,MATCH($B380&amp;"_"&amp;N$3,'Measure Level Detail'!$C:$C,0)),0)</f>
        <v>0</v>
      </c>
      <c r="O380" s="271">
        <f>IFERROR(INDEX('Measure Level Detail'!$P:$P,MATCH($B380&amp;"_"&amp;O$3,'Measure Level Detail'!$C:$C,0)),0)</f>
        <v>0</v>
      </c>
      <c r="P380" s="271">
        <f>IFERROR(INDEX('Measure Level Detail'!$P:$P,MATCH($B380&amp;"_"&amp;P$3,'Measure Level Detail'!$C:$C,0)),0)</f>
        <v>0</v>
      </c>
      <c r="Q380" s="271">
        <f>IFERROR(INDEX('Measure Level Detail'!$P:$P,MATCH($B380&amp;"_"&amp;Q$3,'Measure Level Detail'!$C:$C,0)),0)</f>
        <v>0</v>
      </c>
      <c r="R380" s="263" t="str">
        <f ca="1">IFERROR(INDEX(Algorithms!K:K,MATCH($C380&amp;"_Therm Saved per Unit",Algorithms!$A:$A,0)),"n/a")</f>
        <v>CI-HVC-STRE-V10-240101</v>
      </c>
      <c r="S380" s="262"/>
      <c r="T380" s="272">
        <v>1986.7915775383435</v>
      </c>
      <c r="U380" s="272">
        <v>1986.7915775383435</v>
      </c>
      <c r="V380" s="272">
        <v>1986.7915775383435</v>
      </c>
      <c r="W380" s="272">
        <v>1986.7915775383435</v>
      </c>
      <c r="X380" s="273">
        <f>IFERROR(INDEX('Measure Level Detail'!$R:$R,MATCH($B380&amp;"_"&amp;X$3,'Measure Level Detail'!$C:$C,0)),0)</f>
        <v>0.87</v>
      </c>
      <c r="Y380" s="273">
        <f>IFERROR(INDEX('Measure Level Detail'!$R:$R,MATCH($B380&amp;"_"&amp;Y$3,'Measure Level Detail'!$C:$C,0)),0)</f>
        <v>0.87</v>
      </c>
      <c r="Z380" s="273">
        <f>IFERROR(INDEX('Measure Level Detail'!$R:$R,MATCH($B380&amp;"_"&amp;Z$3,'Measure Level Detail'!$C:$C,0)),0)</f>
        <v>0.87</v>
      </c>
      <c r="AA380" s="273">
        <f>IFERROR(INDEX('Measure Level Detail'!$R:$R,MATCH($B380&amp;"_"&amp;AA$3,'Measure Level Detail'!$C:$C,0)),0)</f>
        <v>0.87</v>
      </c>
      <c r="AB380" s="266">
        <f t="shared" si="207"/>
        <v>0</v>
      </c>
      <c r="AC380" s="266">
        <f t="shared" si="208"/>
        <v>0</v>
      </c>
      <c r="AD380" s="266">
        <f t="shared" si="209"/>
        <v>0</v>
      </c>
      <c r="AE380" s="266">
        <f t="shared" si="210"/>
        <v>0</v>
      </c>
      <c r="AF380" s="266">
        <f t="shared" si="211"/>
        <v>0</v>
      </c>
      <c r="AG380" s="274">
        <v>0.87</v>
      </c>
      <c r="AH380" s="274">
        <v>0.87</v>
      </c>
      <c r="AI380" s="274">
        <v>0.87</v>
      </c>
      <c r="AJ380" s="274">
        <v>0.87</v>
      </c>
      <c r="AK380" s="274">
        <f t="shared" si="212"/>
        <v>0.87</v>
      </c>
      <c r="AL380" s="274">
        <f t="shared" si="213"/>
        <v>0.87</v>
      </c>
      <c r="AM380" s="274">
        <f t="shared" si="214"/>
        <v>0.87</v>
      </c>
      <c r="AN380" s="274">
        <f t="shared" si="215"/>
        <v>0.87</v>
      </c>
      <c r="AO380" s="262"/>
      <c r="AP380" s="262"/>
      <c r="AQ380" s="267">
        <v>1986.7915775383435</v>
      </c>
      <c r="AR380" s="262"/>
      <c r="AS380" s="266">
        <f t="shared" si="216"/>
        <v>0</v>
      </c>
      <c r="AT380" s="264">
        <f t="shared" si="217"/>
        <v>0</v>
      </c>
      <c r="AU380" s="262"/>
      <c r="AV380" s="262"/>
      <c r="AW380" s="265">
        <v>1986.7915775383435</v>
      </c>
      <c r="AX380" s="164" t="s">
        <v>2397</v>
      </c>
      <c r="AY380" s="266">
        <v>0</v>
      </c>
      <c r="AZ380" s="266">
        <f t="shared" si="218"/>
        <v>0</v>
      </c>
      <c r="BA380" s="264">
        <f t="shared" si="219"/>
        <v>0</v>
      </c>
      <c r="BB380" s="262"/>
      <c r="BC380" s="262"/>
      <c r="BD380" s="265">
        <f ca="1">IFERROR(INDEX(Algorithms!$G:$G,MATCH($C380&amp;"_Therm Saved per Unit",Algorithms!$A:$A,0)),0)</f>
        <v>1986.7915775383435</v>
      </c>
      <c r="BE380" s="164" t="str">
        <f ca="1">IFERROR(INDEX('v12 Revisions'!$P$29:$P$186, MATCH('Measure-Level Adj Gas'!$L380, 'v12 Revisions'!$D$29:$D$186,0)),"")</f>
        <v>n/a - costs only.</v>
      </c>
      <c r="BF380" s="266">
        <f t="shared" ca="1" si="220"/>
        <v>0</v>
      </c>
      <c r="BG380" s="264">
        <f t="shared" ca="1" si="221"/>
        <v>0</v>
      </c>
      <c r="BH380" s="262"/>
      <c r="BI380" s="262"/>
      <c r="BJ380" s="265">
        <f ca="1">IFERROR(INDEX(Algorithms!$G:$G,MATCH($C380&amp;"_Therm Saved per Unit",Algorithms!$A:$A,0)),0)</f>
        <v>1986.7915775383435</v>
      </c>
      <c r="BK380" s="164"/>
      <c r="BL380" s="266">
        <f t="shared" ca="1" si="222"/>
        <v>0</v>
      </c>
      <c r="BM380" s="264">
        <f t="shared" ca="1" si="223"/>
        <v>0</v>
      </c>
      <c r="BN380" s="266">
        <f t="shared" si="224"/>
        <v>0</v>
      </c>
      <c r="BO380" s="266">
        <f t="shared" si="225"/>
        <v>0</v>
      </c>
      <c r="BP380" s="266">
        <f t="shared" ca="1" si="226"/>
        <v>0</v>
      </c>
      <c r="BQ380" s="266">
        <f t="shared" ca="1" si="227"/>
        <v>0</v>
      </c>
      <c r="BR380" s="268">
        <f t="shared" ca="1" si="228"/>
        <v>0</v>
      </c>
      <c r="BS380" s="262" t="s">
        <v>99</v>
      </c>
      <c r="BT380" s="277"/>
      <c r="BW380" s="266">
        <f t="shared" si="229"/>
        <v>0</v>
      </c>
      <c r="BX380" s="266">
        <f t="shared" si="230"/>
        <v>0</v>
      </c>
      <c r="BY380" s="266">
        <f t="shared" si="231"/>
        <v>0</v>
      </c>
      <c r="BZ380" s="266">
        <f t="shared" si="232"/>
        <v>0</v>
      </c>
      <c r="CA380" s="266">
        <f ca="1">N380*IFERROR(INDEX(Algorithms!$G:$G,MATCH($C380&amp;"_Therm Saved per Unit- MLA",Algorithms!$A:$A,0)),0)*X380</f>
        <v>0</v>
      </c>
      <c r="CB380" s="266">
        <f ca="1">O380*IFERROR(INDEX(Algorithms!$G:$G,MATCH($C380&amp;"_Therm Saved per Unit- MLA",Algorithms!$A:$A,0)),0)*Y380</f>
        <v>0</v>
      </c>
      <c r="CC380" s="266">
        <f ca="1">P380*IFERROR(INDEX(Algorithms!$G:$G,MATCH($C380&amp;"_Therm Saved per Unit- MLA",Algorithms!$A:$A,0)),0)*Z380</f>
        <v>0</v>
      </c>
      <c r="CD380" s="266">
        <f ca="1">Q380*IFERROR(INDEX(Algorithms!$G:$G,MATCH($C380&amp;"_Therm Saved per Unit- MLA",Algorithms!$A:$A,0)),0)*AA380</f>
        <v>0</v>
      </c>
      <c r="CE380" s="266">
        <f ca="1">IFERROR(INDEX(Algorithms!$G:$G,MATCH($C380&amp;"_Lifetime (years)",Algorithms!$A:$A,0)),0)</f>
        <v>6</v>
      </c>
      <c r="CF380" s="266">
        <f ca="1">IFERROR(INDEX(Algorithms!$G:$G,MATCH($C380&amp;"_Lifetime (years) - Remaining Years",Algorithms!$A:$A,0)),0)</f>
        <v>0</v>
      </c>
      <c r="CG380" s="266">
        <f t="shared" ca="1" si="233"/>
        <v>0</v>
      </c>
      <c r="CH380" s="266">
        <f t="shared" ca="1" si="234"/>
        <v>0</v>
      </c>
      <c r="CI380" s="266">
        <f t="shared" ca="1" si="235"/>
        <v>0</v>
      </c>
      <c r="CJ380" s="266">
        <f t="shared" ca="1" si="236"/>
        <v>0</v>
      </c>
      <c r="CK380" s="266">
        <f t="shared" si="237"/>
        <v>0</v>
      </c>
      <c r="CL380" s="266">
        <f t="shared" si="238"/>
        <v>0</v>
      </c>
      <c r="CM380" s="266">
        <f t="shared" ca="1" si="239"/>
        <v>0</v>
      </c>
      <c r="CN380" s="266">
        <f t="shared" ca="1" si="240"/>
        <v>0</v>
      </c>
      <c r="CO380" s="266">
        <f ca="1">N380*IFERROR(INDEX(Algorithms!$G:$G,MATCH($C380&amp;"_Therm Saved per Unit- MLA",Algorithms!$A:$A,0)),0)*X380</f>
        <v>0</v>
      </c>
      <c r="CP380" s="266">
        <f ca="1">O380*IFERROR(INDEX(Algorithms!$G:$G,MATCH($C380&amp;"_Therm Saved per Unit- MLA",Algorithms!$A:$A,0)),0)*Y380</f>
        <v>0</v>
      </c>
      <c r="CQ380" s="266">
        <f ca="1">P380*IFERROR(INDEX(Algorithms!$G:$G,MATCH($C380&amp;"_Therm Saved per Unit- MLA",Algorithms!$A:$A,0)),0)*Z380</f>
        <v>0</v>
      </c>
      <c r="CR380" s="266">
        <f ca="1">Q380*IFERROR(INDEX(Algorithms!$G:$G,MATCH($C380&amp;"_Therm Saved per Unit- MLA",Algorithms!$A:$A,0)),0)*AA380</f>
        <v>0</v>
      </c>
      <c r="CS380" s="266">
        <f ca="1">IFERROR(INDEX(Algorithms!$G:$G,MATCH($C380&amp;"_Lifetime (years)",Algorithms!$A:$A,0)),0)</f>
        <v>6</v>
      </c>
      <c r="CT380" s="266">
        <f ca="1">IFERROR(INDEX(Algorithms!$G:$G,MATCH($C380&amp;"_Lifetime (years) - Remaining Years",Algorithms!$A:$A,0)),0)</f>
        <v>0</v>
      </c>
      <c r="CU380" s="266">
        <f t="shared" ca="1" si="241"/>
        <v>0</v>
      </c>
      <c r="CV380" s="266">
        <f t="shared" ca="1" si="242"/>
        <v>0</v>
      </c>
      <c r="CW380" s="266">
        <f t="shared" ca="1" si="243"/>
        <v>0</v>
      </c>
      <c r="CX380" s="266">
        <f t="shared" ca="1" si="244"/>
        <v>0</v>
      </c>
    </row>
    <row r="381" spans="2:102" s="47" customFormat="1" ht="18" customHeight="1" x14ac:dyDescent="0.25">
      <c r="B381" t="str">
        <f t="shared" si="245"/>
        <v>NSG_Residential_Multi-Family_Standard Rebate_Steam Traps_Industrial/Process Audit - 250 ≤ psig_MF</v>
      </c>
      <c r="C381" s="47" t="str">
        <f t="shared" si="206"/>
        <v>Steam Traps_Industrial/Process Audit - 250 ≤ psig_MF</v>
      </c>
      <c r="D381" s="270" t="s">
        <v>1787</v>
      </c>
      <c r="E381" s="270" t="s">
        <v>2</v>
      </c>
      <c r="F381" s="270" t="s">
        <v>1422</v>
      </c>
      <c r="G381" s="270" t="s">
        <v>1418</v>
      </c>
      <c r="H381" s="270" t="s">
        <v>644</v>
      </c>
      <c r="I381" s="270" t="s">
        <v>1376</v>
      </c>
      <c r="J381" s="270" t="s">
        <v>553</v>
      </c>
      <c r="K381" s="263">
        <v>1</v>
      </c>
      <c r="L381" s="263" t="str">
        <f ca="1">IFERROR(INDEX(Algorithms!J:J,MATCH($C381&amp;"_Therm Saved per Unit",Algorithms!$A:$A,0)),"n/a")</f>
        <v>4.4.16</v>
      </c>
      <c r="M381" s="263" t="str">
        <f>IFERROR(INDEX('Measure Level Detail'!$N:$N,MATCH($B381,'Measure Level Detail'!$B:$B,0)),0)</f>
        <v>each</v>
      </c>
      <c r="N381" s="271">
        <f>IFERROR(INDEX('Measure Level Detail'!$P:$P,MATCH($B381&amp;"_"&amp;N$3,'Measure Level Detail'!$C:$C,0)),0)</f>
        <v>0</v>
      </c>
      <c r="O381" s="271">
        <f>IFERROR(INDEX('Measure Level Detail'!$P:$P,MATCH($B381&amp;"_"&amp;O$3,'Measure Level Detail'!$C:$C,0)),0)</f>
        <v>0</v>
      </c>
      <c r="P381" s="271">
        <f>IFERROR(INDEX('Measure Level Detail'!$P:$P,MATCH($B381&amp;"_"&amp;P$3,'Measure Level Detail'!$C:$C,0)),0)</f>
        <v>0</v>
      </c>
      <c r="Q381" s="271">
        <f>IFERROR(INDEX('Measure Level Detail'!$P:$P,MATCH($B381&amp;"_"&amp;Q$3,'Measure Level Detail'!$C:$C,0)),0)</f>
        <v>0</v>
      </c>
      <c r="R381" s="263" t="str">
        <f ca="1">IFERROR(INDEX(Algorithms!K:K,MATCH($C381&amp;"_Therm Saved per Unit",Algorithms!$A:$A,0)),"n/a")</f>
        <v>CI-HVC-STRE-V10-240101</v>
      </c>
      <c r="S381" s="262"/>
      <c r="T381" s="272">
        <v>2544.9291474441216</v>
      </c>
      <c r="U381" s="272">
        <v>2544.9291474441216</v>
      </c>
      <c r="V381" s="272">
        <v>2544.9291474441216</v>
      </c>
      <c r="W381" s="272">
        <v>2544.9291474441216</v>
      </c>
      <c r="X381" s="273">
        <f>IFERROR(INDEX('Measure Level Detail'!$R:$R,MATCH($B381&amp;"_"&amp;X$3,'Measure Level Detail'!$C:$C,0)),0)</f>
        <v>0.87</v>
      </c>
      <c r="Y381" s="273">
        <f>IFERROR(INDEX('Measure Level Detail'!$R:$R,MATCH($B381&amp;"_"&amp;Y$3,'Measure Level Detail'!$C:$C,0)),0)</f>
        <v>0.87</v>
      </c>
      <c r="Z381" s="273">
        <f>IFERROR(INDEX('Measure Level Detail'!$R:$R,MATCH($B381&amp;"_"&amp;Z$3,'Measure Level Detail'!$C:$C,0)),0)</f>
        <v>0.87</v>
      </c>
      <c r="AA381" s="273">
        <f>IFERROR(INDEX('Measure Level Detail'!$R:$R,MATCH($B381&amp;"_"&amp;AA$3,'Measure Level Detail'!$C:$C,0)),0)</f>
        <v>0.87</v>
      </c>
      <c r="AB381" s="266">
        <f t="shared" si="207"/>
        <v>0</v>
      </c>
      <c r="AC381" s="266">
        <f t="shared" si="208"/>
        <v>0</v>
      </c>
      <c r="AD381" s="266">
        <f t="shared" si="209"/>
        <v>0</v>
      </c>
      <c r="AE381" s="266">
        <f t="shared" si="210"/>
        <v>0</v>
      </c>
      <c r="AF381" s="266">
        <f t="shared" si="211"/>
        <v>0</v>
      </c>
      <c r="AG381" s="274">
        <v>0.87</v>
      </c>
      <c r="AH381" s="274">
        <v>0.87</v>
      </c>
      <c r="AI381" s="274">
        <v>0.87</v>
      </c>
      <c r="AJ381" s="274">
        <v>0.87</v>
      </c>
      <c r="AK381" s="274">
        <f t="shared" si="212"/>
        <v>0.87</v>
      </c>
      <c r="AL381" s="274">
        <f t="shared" si="213"/>
        <v>0.87</v>
      </c>
      <c r="AM381" s="274">
        <f t="shared" si="214"/>
        <v>0.87</v>
      </c>
      <c r="AN381" s="274">
        <f t="shared" si="215"/>
        <v>0.87</v>
      </c>
      <c r="AO381" s="262"/>
      <c r="AP381" s="262"/>
      <c r="AQ381" s="267">
        <v>2544.9291474441216</v>
      </c>
      <c r="AR381" s="262"/>
      <c r="AS381" s="266">
        <f t="shared" si="216"/>
        <v>0</v>
      </c>
      <c r="AT381" s="264">
        <f t="shared" si="217"/>
        <v>0</v>
      </c>
      <c r="AU381" s="262"/>
      <c r="AV381" s="262"/>
      <c r="AW381" s="265">
        <v>2544.9291474441216</v>
      </c>
      <c r="AX381" s="164" t="s">
        <v>2397</v>
      </c>
      <c r="AY381" s="266">
        <v>0</v>
      </c>
      <c r="AZ381" s="266">
        <f t="shared" si="218"/>
        <v>0</v>
      </c>
      <c r="BA381" s="264">
        <f t="shared" si="219"/>
        <v>0</v>
      </c>
      <c r="BB381" s="262"/>
      <c r="BC381" s="262"/>
      <c r="BD381" s="265">
        <f ca="1">IFERROR(INDEX(Algorithms!$G:$G,MATCH($C381&amp;"_Therm Saved per Unit",Algorithms!$A:$A,0)),0)</f>
        <v>2544.9291474441216</v>
      </c>
      <c r="BE381" s="164" t="str">
        <f ca="1">IFERROR(INDEX('v12 Revisions'!$P$29:$P$186, MATCH('Measure-Level Adj Gas'!$L381, 'v12 Revisions'!$D$29:$D$186,0)),"")</f>
        <v>n/a - costs only.</v>
      </c>
      <c r="BF381" s="266">
        <f t="shared" ca="1" si="220"/>
        <v>0</v>
      </c>
      <c r="BG381" s="264">
        <f t="shared" ca="1" si="221"/>
        <v>0</v>
      </c>
      <c r="BH381" s="262"/>
      <c r="BI381" s="262"/>
      <c r="BJ381" s="265">
        <f ca="1">IFERROR(INDEX(Algorithms!$G:$G,MATCH($C381&amp;"_Therm Saved per Unit",Algorithms!$A:$A,0)),0)</f>
        <v>2544.9291474441216</v>
      </c>
      <c r="BK381" s="164"/>
      <c r="BL381" s="266">
        <f t="shared" ca="1" si="222"/>
        <v>0</v>
      </c>
      <c r="BM381" s="264">
        <f t="shared" ca="1" si="223"/>
        <v>0</v>
      </c>
      <c r="BN381" s="266">
        <f t="shared" si="224"/>
        <v>0</v>
      </c>
      <c r="BO381" s="266">
        <f t="shared" si="225"/>
        <v>0</v>
      </c>
      <c r="BP381" s="266">
        <f t="shared" ca="1" si="226"/>
        <v>0</v>
      </c>
      <c r="BQ381" s="266">
        <f t="shared" ca="1" si="227"/>
        <v>0</v>
      </c>
      <c r="BR381" s="268">
        <f t="shared" ca="1" si="228"/>
        <v>0</v>
      </c>
      <c r="BS381" s="262" t="s">
        <v>99</v>
      </c>
      <c r="BT381" s="277"/>
      <c r="BW381" s="266">
        <f t="shared" si="229"/>
        <v>0</v>
      </c>
      <c r="BX381" s="266">
        <f t="shared" si="230"/>
        <v>0</v>
      </c>
      <c r="BY381" s="266">
        <f t="shared" si="231"/>
        <v>0</v>
      </c>
      <c r="BZ381" s="266">
        <f t="shared" si="232"/>
        <v>0</v>
      </c>
      <c r="CA381" s="266">
        <f ca="1">N381*IFERROR(INDEX(Algorithms!$G:$G,MATCH($C381&amp;"_Therm Saved per Unit- MLA",Algorithms!$A:$A,0)),0)*X381</f>
        <v>0</v>
      </c>
      <c r="CB381" s="266">
        <f ca="1">O381*IFERROR(INDEX(Algorithms!$G:$G,MATCH($C381&amp;"_Therm Saved per Unit- MLA",Algorithms!$A:$A,0)),0)*Y381</f>
        <v>0</v>
      </c>
      <c r="CC381" s="266">
        <f ca="1">P381*IFERROR(INDEX(Algorithms!$G:$G,MATCH($C381&amp;"_Therm Saved per Unit- MLA",Algorithms!$A:$A,0)),0)*Z381</f>
        <v>0</v>
      </c>
      <c r="CD381" s="266">
        <f ca="1">Q381*IFERROR(INDEX(Algorithms!$G:$G,MATCH($C381&amp;"_Therm Saved per Unit- MLA",Algorithms!$A:$A,0)),0)*AA381</f>
        <v>0</v>
      </c>
      <c r="CE381" s="266">
        <f ca="1">IFERROR(INDEX(Algorithms!$G:$G,MATCH($C381&amp;"_Lifetime (years)",Algorithms!$A:$A,0)),0)</f>
        <v>6</v>
      </c>
      <c r="CF381" s="266">
        <f ca="1">IFERROR(INDEX(Algorithms!$G:$G,MATCH($C381&amp;"_Lifetime (years) - Remaining Years",Algorithms!$A:$A,0)),0)</f>
        <v>0</v>
      </c>
      <c r="CG381" s="266">
        <f t="shared" ca="1" si="233"/>
        <v>0</v>
      </c>
      <c r="CH381" s="266">
        <f t="shared" ca="1" si="234"/>
        <v>0</v>
      </c>
      <c r="CI381" s="266">
        <f t="shared" ca="1" si="235"/>
        <v>0</v>
      </c>
      <c r="CJ381" s="266">
        <f t="shared" ca="1" si="236"/>
        <v>0</v>
      </c>
      <c r="CK381" s="266">
        <f t="shared" si="237"/>
        <v>0</v>
      </c>
      <c r="CL381" s="266">
        <f t="shared" si="238"/>
        <v>0</v>
      </c>
      <c r="CM381" s="266">
        <f t="shared" ca="1" si="239"/>
        <v>0</v>
      </c>
      <c r="CN381" s="266">
        <f t="shared" ca="1" si="240"/>
        <v>0</v>
      </c>
      <c r="CO381" s="266">
        <f ca="1">N381*IFERROR(INDEX(Algorithms!$G:$G,MATCH($C381&amp;"_Therm Saved per Unit- MLA",Algorithms!$A:$A,0)),0)*X381</f>
        <v>0</v>
      </c>
      <c r="CP381" s="266">
        <f ca="1">O381*IFERROR(INDEX(Algorithms!$G:$G,MATCH($C381&amp;"_Therm Saved per Unit- MLA",Algorithms!$A:$A,0)),0)*Y381</f>
        <v>0</v>
      </c>
      <c r="CQ381" s="266">
        <f ca="1">P381*IFERROR(INDEX(Algorithms!$G:$G,MATCH($C381&amp;"_Therm Saved per Unit- MLA",Algorithms!$A:$A,0)),0)*Z381</f>
        <v>0</v>
      </c>
      <c r="CR381" s="266">
        <f ca="1">Q381*IFERROR(INDEX(Algorithms!$G:$G,MATCH($C381&amp;"_Therm Saved per Unit- MLA",Algorithms!$A:$A,0)),0)*AA381</f>
        <v>0</v>
      </c>
      <c r="CS381" s="266">
        <f ca="1">IFERROR(INDEX(Algorithms!$G:$G,MATCH($C381&amp;"_Lifetime (years)",Algorithms!$A:$A,0)),0)</f>
        <v>6</v>
      </c>
      <c r="CT381" s="266">
        <f ca="1">IFERROR(INDEX(Algorithms!$G:$G,MATCH($C381&amp;"_Lifetime (years) - Remaining Years",Algorithms!$A:$A,0)),0)</f>
        <v>0</v>
      </c>
      <c r="CU381" s="266">
        <f t="shared" ca="1" si="241"/>
        <v>0</v>
      </c>
      <c r="CV381" s="266">
        <f t="shared" ca="1" si="242"/>
        <v>0</v>
      </c>
      <c r="CW381" s="266">
        <f t="shared" ca="1" si="243"/>
        <v>0</v>
      </c>
      <c r="CX381" s="266">
        <f t="shared" ca="1" si="244"/>
        <v>0</v>
      </c>
    </row>
    <row r="382" spans="2:102" s="47" customFormat="1" ht="18" customHeight="1" x14ac:dyDescent="0.25">
      <c r="B382" t="str">
        <f t="shared" si="245"/>
        <v>NSG_Residential_Multi-Family_Standard Rebate_Steam Traps_Test_MF</v>
      </c>
      <c r="C382" s="47" t="str">
        <f t="shared" si="206"/>
        <v>Steam Traps_Test_MF</v>
      </c>
      <c r="D382" s="270" t="s">
        <v>1787</v>
      </c>
      <c r="E382" s="270" t="s">
        <v>2</v>
      </c>
      <c r="F382" s="270" t="s">
        <v>1422</v>
      </c>
      <c r="G382" s="270" t="s">
        <v>1418</v>
      </c>
      <c r="H382" s="270" t="s">
        <v>644</v>
      </c>
      <c r="I382" s="270" t="s">
        <v>1097</v>
      </c>
      <c r="J382" s="270" t="s">
        <v>553</v>
      </c>
      <c r="K382" s="263">
        <v>1</v>
      </c>
      <c r="L382" s="263">
        <f ca="1">IFERROR(INDEX(Algorithms!J:J,MATCH($C382&amp;"_Therm Saved per Unit",Algorithms!$A:$A,0)),"n/a")</f>
        <v>0</v>
      </c>
      <c r="M382" s="263" t="str">
        <f>IFERROR(INDEX('Measure Level Detail'!$N:$N,MATCH($B382,'Measure Level Detail'!$B:$B,0)),0)</f>
        <v>each</v>
      </c>
      <c r="N382" s="271">
        <f>IFERROR(INDEX('Measure Level Detail'!$P:$P,MATCH($B382&amp;"_"&amp;N$3,'Measure Level Detail'!$C:$C,0)),0)</f>
        <v>0</v>
      </c>
      <c r="O382" s="271">
        <f>IFERROR(INDEX('Measure Level Detail'!$P:$P,MATCH($B382&amp;"_"&amp;O$3,'Measure Level Detail'!$C:$C,0)),0)</f>
        <v>0</v>
      </c>
      <c r="P382" s="271">
        <f>IFERROR(INDEX('Measure Level Detail'!$P:$P,MATCH($B382&amp;"_"&amp;P$3,'Measure Level Detail'!$C:$C,0)),0)</f>
        <v>0</v>
      </c>
      <c r="Q382" s="271">
        <f>IFERROR(INDEX('Measure Level Detail'!$P:$P,MATCH($B382&amp;"_"&amp;Q$3,'Measure Level Detail'!$C:$C,0)),0)</f>
        <v>0</v>
      </c>
      <c r="R382" s="263">
        <f ca="1">IFERROR(INDEX(Algorithms!K:K,MATCH($C382&amp;"_Therm Saved per Unit",Algorithms!$A:$A,0)),"n/a")</f>
        <v>0</v>
      </c>
      <c r="S382" s="262"/>
      <c r="T382" s="272">
        <v>0</v>
      </c>
      <c r="U382" s="272">
        <v>0</v>
      </c>
      <c r="V382" s="272">
        <v>0</v>
      </c>
      <c r="W382" s="272">
        <v>0</v>
      </c>
      <c r="X382" s="273">
        <f>IFERROR(INDEX('Measure Level Detail'!$R:$R,MATCH($B382&amp;"_"&amp;X$3,'Measure Level Detail'!$C:$C,0)),0)</f>
        <v>0.87</v>
      </c>
      <c r="Y382" s="273">
        <f>IFERROR(INDEX('Measure Level Detail'!$R:$R,MATCH($B382&amp;"_"&amp;Y$3,'Measure Level Detail'!$C:$C,0)),0)</f>
        <v>0.87</v>
      </c>
      <c r="Z382" s="273">
        <f>IFERROR(INDEX('Measure Level Detail'!$R:$R,MATCH($B382&amp;"_"&amp;Z$3,'Measure Level Detail'!$C:$C,0)),0)</f>
        <v>0.87</v>
      </c>
      <c r="AA382" s="273">
        <f>IFERROR(INDEX('Measure Level Detail'!$R:$R,MATCH($B382&amp;"_"&amp;AA$3,'Measure Level Detail'!$C:$C,0)),0)</f>
        <v>0.87</v>
      </c>
      <c r="AB382" s="266">
        <f t="shared" si="207"/>
        <v>0</v>
      </c>
      <c r="AC382" s="266">
        <f t="shared" si="208"/>
        <v>0</v>
      </c>
      <c r="AD382" s="266">
        <f t="shared" si="209"/>
        <v>0</v>
      </c>
      <c r="AE382" s="266">
        <f t="shared" si="210"/>
        <v>0</v>
      </c>
      <c r="AF382" s="266">
        <f t="shared" si="211"/>
        <v>0</v>
      </c>
      <c r="AG382" s="274">
        <v>0.87</v>
      </c>
      <c r="AH382" s="274">
        <v>0.87</v>
      </c>
      <c r="AI382" s="274">
        <v>0.87</v>
      </c>
      <c r="AJ382" s="274">
        <v>0.87</v>
      </c>
      <c r="AK382" s="274">
        <f t="shared" si="212"/>
        <v>0.87</v>
      </c>
      <c r="AL382" s="274">
        <f t="shared" si="213"/>
        <v>0.87</v>
      </c>
      <c r="AM382" s="274">
        <f t="shared" si="214"/>
        <v>0.87</v>
      </c>
      <c r="AN382" s="274">
        <f t="shared" si="215"/>
        <v>0.87</v>
      </c>
      <c r="AO382" s="262"/>
      <c r="AP382" s="262"/>
      <c r="AQ382" s="267">
        <v>0</v>
      </c>
      <c r="AR382" s="262"/>
      <c r="AS382" s="266">
        <f t="shared" si="216"/>
        <v>0</v>
      </c>
      <c r="AT382" s="264">
        <f t="shared" si="217"/>
        <v>0</v>
      </c>
      <c r="AU382" s="262"/>
      <c r="AV382" s="262"/>
      <c r="AW382" s="265">
        <v>0</v>
      </c>
      <c r="AX382" s="164" t="s">
        <v>1469</v>
      </c>
      <c r="AY382" s="266">
        <v>0</v>
      </c>
      <c r="AZ382" s="266">
        <f t="shared" si="218"/>
        <v>0</v>
      </c>
      <c r="BA382" s="264">
        <f t="shared" si="219"/>
        <v>0</v>
      </c>
      <c r="BB382" s="262"/>
      <c r="BC382" s="262"/>
      <c r="BD382" s="265">
        <f ca="1">IFERROR(INDEX(Algorithms!$G:$G,MATCH($C382&amp;"_Therm Saved per Unit",Algorithms!$A:$A,0)),0)</f>
        <v>0</v>
      </c>
      <c r="BE382" s="164" t="str">
        <f ca="1">IFERROR(INDEX('v12 Revisions'!$P$29:$P$186, MATCH('Measure-Level Adj Gas'!$L382, 'v12 Revisions'!$D$29:$D$186,0)),"")</f>
        <v/>
      </c>
      <c r="BF382" s="266">
        <f t="shared" ca="1" si="220"/>
        <v>0</v>
      </c>
      <c r="BG382" s="264">
        <f t="shared" ca="1" si="221"/>
        <v>0</v>
      </c>
      <c r="BH382" s="262"/>
      <c r="BI382" s="262"/>
      <c r="BJ382" s="265">
        <f ca="1">IFERROR(INDEX(Algorithms!$G:$G,MATCH($C382&amp;"_Therm Saved per Unit",Algorithms!$A:$A,0)),0)</f>
        <v>0</v>
      </c>
      <c r="BK382" s="164"/>
      <c r="BL382" s="266">
        <f t="shared" ca="1" si="222"/>
        <v>0</v>
      </c>
      <c r="BM382" s="264">
        <f t="shared" ca="1" si="223"/>
        <v>0</v>
      </c>
      <c r="BN382" s="266">
        <f t="shared" si="224"/>
        <v>0</v>
      </c>
      <c r="BO382" s="266">
        <f t="shared" si="225"/>
        <v>0</v>
      </c>
      <c r="BP382" s="266">
        <f t="shared" ca="1" si="226"/>
        <v>0</v>
      </c>
      <c r="BQ382" s="266">
        <f t="shared" ca="1" si="227"/>
        <v>0</v>
      </c>
      <c r="BR382" s="268">
        <f t="shared" ca="1" si="228"/>
        <v>0</v>
      </c>
      <c r="BS382" s="262" t="s">
        <v>99</v>
      </c>
      <c r="BT382" s="277"/>
      <c r="BW382" s="266">
        <f t="shared" si="229"/>
        <v>0</v>
      </c>
      <c r="BX382" s="266">
        <f t="shared" si="230"/>
        <v>0</v>
      </c>
      <c r="BY382" s="266">
        <f t="shared" si="231"/>
        <v>0</v>
      </c>
      <c r="BZ382" s="266">
        <f t="shared" si="232"/>
        <v>0</v>
      </c>
      <c r="CA382" s="266">
        <f ca="1">N382*IFERROR(INDEX(Algorithms!$G:$G,MATCH($C382&amp;"_Therm Saved per Unit- MLA",Algorithms!$A:$A,0)),0)*X382</f>
        <v>0</v>
      </c>
      <c r="CB382" s="266">
        <f ca="1">O382*IFERROR(INDEX(Algorithms!$G:$G,MATCH($C382&amp;"_Therm Saved per Unit- MLA",Algorithms!$A:$A,0)),0)*Y382</f>
        <v>0</v>
      </c>
      <c r="CC382" s="266">
        <f ca="1">P382*IFERROR(INDEX(Algorithms!$G:$G,MATCH($C382&amp;"_Therm Saved per Unit- MLA",Algorithms!$A:$A,0)),0)*Z382</f>
        <v>0</v>
      </c>
      <c r="CD382" s="266">
        <f ca="1">Q382*IFERROR(INDEX(Algorithms!$G:$G,MATCH($C382&amp;"_Therm Saved per Unit- MLA",Algorithms!$A:$A,0)),0)*AA382</f>
        <v>0</v>
      </c>
      <c r="CE382" s="266">
        <f ca="1">IFERROR(INDEX(Algorithms!$G:$G,MATCH($C382&amp;"_Lifetime (years)",Algorithms!$A:$A,0)),0)</f>
        <v>3</v>
      </c>
      <c r="CF382" s="266">
        <f ca="1">IFERROR(INDEX(Algorithms!$G:$G,MATCH($C382&amp;"_Lifetime (years) - Remaining Years",Algorithms!$A:$A,0)),0)</f>
        <v>0</v>
      </c>
      <c r="CG382" s="266">
        <f t="shared" ca="1" si="233"/>
        <v>0</v>
      </c>
      <c r="CH382" s="266">
        <f t="shared" ca="1" si="234"/>
        <v>0</v>
      </c>
      <c r="CI382" s="266">
        <f t="shared" ca="1" si="235"/>
        <v>0</v>
      </c>
      <c r="CJ382" s="266">
        <f t="shared" ca="1" si="236"/>
        <v>0</v>
      </c>
      <c r="CK382" s="266">
        <f t="shared" si="237"/>
        <v>0</v>
      </c>
      <c r="CL382" s="266">
        <f t="shared" si="238"/>
        <v>0</v>
      </c>
      <c r="CM382" s="266">
        <f t="shared" ca="1" si="239"/>
        <v>0</v>
      </c>
      <c r="CN382" s="266">
        <f t="shared" ca="1" si="240"/>
        <v>0</v>
      </c>
      <c r="CO382" s="266">
        <f ca="1">N382*IFERROR(INDEX(Algorithms!$G:$G,MATCH($C382&amp;"_Therm Saved per Unit- MLA",Algorithms!$A:$A,0)),0)*X382</f>
        <v>0</v>
      </c>
      <c r="CP382" s="266">
        <f ca="1">O382*IFERROR(INDEX(Algorithms!$G:$G,MATCH($C382&amp;"_Therm Saved per Unit- MLA",Algorithms!$A:$A,0)),0)*Y382</f>
        <v>0</v>
      </c>
      <c r="CQ382" s="266">
        <f ca="1">P382*IFERROR(INDEX(Algorithms!$G:$G,MATCH($C382&amp;"_Therm Saved per Unit- MLA",Algorithms!$A:$A,0)),0)*Z382</f>
        <v>0</v>
      </c>
      <c r="CR382" s="266">
        <f ca="1">Q382*IFERROR(INDEX(Algorithms!$G:$G,MATCH($C382&amp;"_Therm Saved per Unit- MLA",Algorithms!$A:$A,0)),0)*AA382</f>
        <v>0</v>
      </c>
      <c r="CS382" s="266">
        <f ca="1">IFERROR(INDEX(Algorithms!$G:$G,MATCH($C382&amp;"_Lifetime (years)",Algorithms!$A:$A,0)),0)</f>
        <v>3</v>
      </c>
      <c r="CT382" s="266">
        <f ca="1">IFERROR(INDEX(Algorithms!$G:$G,MATCH($C382&amp;"_Lifetime (years) - Remaining Years",Algorithms!$A:$A,0)),0)</f>
        <v>0</v>
      </c>
      <c r="CU382" s="266">
        <f t="shared" ca="1" si="241"/>
        <v>0</v>
      </c>
      <c r="CV382" s="266">
        <f t="shared" ca="1" si="242"/>
        <v>0</v>
      </c>
      <c r="CW382" s="266">
        <f t="shared" ca="1" si="243"/>
        <v>0</v>
      </c>
      <c r="CX382" s="266">
        <f t="shared" ca="1" si="244"/>
        <v>0</v>
      </c>
    </row>
    <row r="383" spans="2:102" s="47" customFormat="1" ht="18" customHeight="1" x14ac:dyDescent="0.25">
      <c r="B383" t="str">
        <f t="shared" si="245"/>
        <v>NSG_Residential_Multi-Family_Standard Rebate_Condensate Tank Insulation_0_MF/CI/SMB</v>
      </c>
      <c r="C383" s="47" t="str">
        <f t="shared" si="206"/>
        <v>Condensate Tank Insulation_0_MF/CI/SMB</v>
      </c>
      <c r="D383" s="270" t="s">
        <v>1787</v>
      </c>
      <c r="E383" s="270" t="s">
        <v>2</v>
      </c>
      <c r="F383" s="270" t="s">
        <v>1422</v>
      </c>
      <c r="G383" s="270" t="s">
        <v>1418</v>
      </c>
      <c r="H383" s="270" t="s">
        <v>806</v>
      </c>
      <c r="I383" s="270">
        <v>0</v>
      </c>
      <c r="J383" s="270" t="s">
        <v>662</v>
      </c>
      <c r="K383" s="263">
        <v>1</v>
      </c>
      <c r="L383" s="263" t="str">
        <f ca="1">IFERROR(INDEX(Algorithms!J:J,MATCH($C383&amp;"_Therm Saved per Unit",Algorithms!$A:$A,0)),"n/a")</f>
        <v>4.3.12</v>
      </c>
      <c r="M383" s="263" t="str">
        <f>IFERROR(INDEX('Measure Level Detail'!$N:$N,MATCH($B383,'Measure Level Detail'!$B:$B,0)),0)</f>
        <v>sqft</v>
      </c>
      <c r="N383" s="271">
        <f>IFERROR(INDEX('Measure Level Detail'!$P:$P,MATCH($B383&amp;"_"&amp;N$3,'Measure Level Detail'!$C:$C,0)),0)</f>
        <v>0</v>
      </c>
      <c r="O383" s="271">
        <f>IFERROR(INDEX('Measure Level Detail'!$P:$P,MATCH($B383&amp;"_"&amp;O$3,'Measure Level Detail'!$C:$C,0)),0)</f>
        <v>0</v>
      </c>
      <c r="P383" s="271">
        <f>IFERROR(INDEX('Measure Level Detail'!$P:$P,MATCH($B383&amp;"_"&amp;P$3,'Measure Level Detail'!$C:$C,0)),0)</f>
        <v>0</v>
      </c>
      <c r="Q383" s="271">
        <f>IFERROR(INDEX('Measure Level Detail'!$P:$P,MATCH($B383&amp;"_"&amp;Q$3,'Measure Level Detail'!$C:$C,0)),0)</f>
        <v>0</v>
      </c>
      <c r="R383" s="263" t="str">
        <f ca="1">IFERROR(INDEX(Algorithms!K:K,MATCH($C383&amp;"_Therm Saved per Unit",Algorithms!$A:$A,0)),"n/a")</f>
        <v>CI-HWE-TKIN-V03-240101</v>
      </c>
      <c r="S383" s="262"/>
      <c r="T383" s="272">
        <v>16.746197539658972</v>
      </c>
      <c r="U383" s="272">
        <v>16.746197539658972</v>
      </c>
      <c r="V383" s="272">
        <v>16.746197539658972</v>
      </c>
      <c r="W383" s="272">
        <v>16.746197539658972</v>
      </c>
      <c r="X383" s="273">
        <f>IFERROR(INDEX('Measure Level Detail'!$R:$R,MATCH($B383&amp;"_"&amp;X$3,'Measure Level Detail'!$C:$C,0)),0)</f>
        <v>0.87</v>
      </c>
      <c r="Y383" s="273">
        <f>IFERROR(INDEX('Measure Level Detail'!$R:$R,MATCH($B383&amp;"_"&amp;Y$3,'Measure Level Detail'!$C:$C,0)),0)</f>
        <v>0.87</v>
      </c>
      <c r="Z383" s="273">
        <f>IFERROR(INDEX('Measure Level Detail'!$R:$R,MATCH($B383&amp;"_"&amp;Z$3,'Measure Level Detail'!$C:$C,0)),0)</f>
        <v>0.87</v>
      </c>
      <c r="AA383" s="273">
        <f>IFERROR(INDEX('Measure Level Detail'!$R:$R,MATCH($B383&amp;"_"&amp;AA$3,'Measure Level Detail'!$C:$C,0)),0)</f>
        <v>0.87</v>
      </c>
      <c r="AB383" s="266">
        <f t="shared" si="207"/>
        <v>0</v>
      </c>
      <c r="AC383" s="266">
        <f t="shared" si="208"/>
        <v>0</v>
      </c>
      <c r="AD383" s="266">
        <f t="shared" si="209"/>
        <v>0</v>
      </c>
      <c r="AE383" s="266">
        <f t="shared" si="210"/>
        <v>0</v>
      </c>
      <c r="AF383" s="266">
        <f t="shared" si="211"/>
        <v>0</v>
      </c>
      <c r="AG383" s="274">
        <v>0.87</v>
      </c>
      <c r="AH383" s="274">
        <v>0.87</v>
      </c>
      <c r="AI383" s="274">
        <v>0.87</v>
      </c>
      <c r="AJ383" s="274">
        <v>0.87</v>
      </c>
      <c r="AK383" s="274">
        <f t="shared" si="212"/>
        <v>0.87</v>
      </c>
      <c r="AL383" s="274">
        <f t="shared" si="213"/>
        <v>0.87</v>
      </c>
      <c r="AM383" s="274">
        <f t="shared" si="214"/>
        <v>0.87</v>
      </c>
      <c r="AN383" s="274">
        <f t="shared" si="215"/>
        <v>0.87</v>
      </c>
      <c r="AO383" s="262"/>
      <c r="AP383" s="262"/>
      <c r="AQ383" s="267">
        <v>16.746197539658972</v>
      </c>
      <c r="AR383" s="262"/>
      <c r="AS383" s="266">
        <f t="shared" si="216"/>
        <v>0</v>
      </c>
      <c r="AT383" s="264">
        <f t="shared" si="217"/>
        <v>0</v>
      </c>
      <c r="AU383" s="262"/>
      <c r="AV383" s="262"/>
      <c r="AW383" s="265">
        <v>16.746197539658972</v>
      </c>
      <c r="AX383" s="164" t="s">
        <v>1469</v>
      </c>
      <c r="AY383" s="266">
        <v>0</v>
      </c>
      <c r="AZ383" s="266">
        <f t="shared" si="218"/>
        <v>0</v>
      </c>
      <c r="BA383" s="264">
        <f t="shared" si="219"/>
        <v>0</v>
      </c>
      <c r="BB383" s="262"/>
      <c r="BC383" s="262"/>
      <c r="BD383" s="265">
        <f ca="1">IFERROR(INDEX(Algorithms!$G:$G,MATCH($C383&amp;"_Therm Saved per Unit",Algorithms!$A:$A,0)),0)</f>
        <v>16.746197539658972</v>
      </c>
      <c r="BE383" s="164" t="str">
        <f ca="1">IFERROR(INDEX('v12 Revisions'!$P$29:$P$186, MATCH('Measure-Level Adj Gas'!$L383, 'v12 Revisions'!$D$29:$D$186,0)),"")</f>
        <v/>
      </c>
      <c r="BF383" s="266">
        <f t="shared" ca="1" si="220"/>
        <v>0</v>
      </c>
      <c r="BG383" s="264">
        <f t="shared" ca="1" si="221"/>
        <v>0</v>
      </c>
      <c r="BH383" s="262"/>
      <c r="BI383" s="262"/>
      <c r="BJ383" s="265">
        <f ca="1">IFERROR(INDEX(Algorithms!$G:$G,MATCH($C383&amp;"_Therm Saved per Unit",Algorithms!$A:$A,0)),0)</f>
        <v>16.746197539658972</v>
      </c>
      <c r="BK383" s="164"/>
      <c r="BL383" s="266">
        <f t="shared" ca="1" si="222"/>
        <v>0</v>
      </c>
      <c r="BM383" s="264">
        <f t="shared" ca="1" si="223"/>
        <v>0</v>
      </c>
      <c r="BN383" s="266">
        <f t="shared" si="224"/>
        <v>0</v>
      </c>
      <c r="BO383" s="266">
        <f t="shared" si="225"/>
        <v>0</v>
      </c>
      <c r="BP383" s="266">
        <f t="shared" ca="1" si="226"/>
        <v>0</v>
      </c>
      <c r="BQ383" s="266">
        <f t="shared" ca="1" si="227"/>
        <v>0</v>
      </c>
      <c r="BR383" s="268">
        <f t="shared" ca="1" si="228"/>
        <v>0</v>
      </c>
      <c r="BS383" s="262" t="s">
        <v>99</v>
      </c>
      <c r="BT383" s="277"/>
      <c r="BW383" s="266">
        <f t="shared" si="229"/>
        <v>0</v>
      </c>
      <c r="BX383" s="266">
        <f t="shared" si="230"/>
        <v>0</v>
      </c>
      <c r="BY383" s="266">
        <f t="shared" si="231"/>
        <v>0</v>
      </c>
      <c r="BZ383" s="266">
        <f t="shared" si="232"/>
        <v>0</v>
      </c>
      <c r="CA383" s="266">
        <f ca="1">N383*IFERROR(INDEX(Algorithms!$G:$G,MATCH($C383&amp;"_Therm Saved per Unit- MLA",Algorithms!$A:$A,0)),0)*X383</f>
        <v>0</v>
      </c>
      <c r="CB383" s="266">
        <f ca="1">O383*IFERROR(INDEX(Algorithms!$G:$G,MATCH($C383&amp;"_Therm Saved per Unit- MLA",Algorithms!$A:$A,0)),0)*Y383</f>
        <v>0</v>
      </c>
      <c r="CC383" s="266">
        <f ca="1">P383*IFERROR(INDEX(Algorithms!$G:$G,MATCH($C383&amp;"_Therm Saved per Unit- MLA",Algorithms!$A:$A,0)),0)*Z383</f>
        <v>0</v>
      </c>
      <c r="CD383" s="266">
        <f ca="1">Q383*IFERROR(INDEX(Algorithms!$G:$G,MATCH($C383&amp;"_Therm Saved per Unit- MLA",Algorithms!$A:$A,0)),0)*AA383</f>
        <v>0</v>
      </c>
      <c r="CE383" s="266">
        <f ca="1">IFERROR(INDEX(Algorithms!$G:$G,MATCH($C383&amp;"_Lifetime (years)",Algorithms!$A:$A,0)),0)</f>
        <v>15</v>
      </c>
      <c r="CF383" s="266">
        <f ca="1">IFERROR(INDEX(Algorithms!$G:$G,MATCH($C383&amp;"_Lifetime (years) - Remaining Years",Algorithms!$A:$A,0)),0)</f>
        <v>0</v>
      </c>
      <c r="CG383" s="266">
        <f t="shared" ca="1" si="233"/>
        <v>0</v>
      </c>
      <c r="CH383" s="266">
        <f t="shared" ca="1" si="234"/>
        <v>0</v>
      </c>
      <c r="CI383" s="266">
        <f t="shared" ca="1" si="235"/>
        <v>0</v>
      </c>
      <c r="CJ383" s="266">
        <f t="shared" ca="1" si="236"/>
        <v>0</v>
      </c>
      <c r="CK383" s="266">
        <f t="shared" si="237"/>
        <v>0</v>
      </c>
      <c r="CL383" s="266">
        <f t="shared" si="238"/>
        <v>0</v>
      </c>
      <c r="CM383" s="266">
        <f t="shared" ca="1" si="239"/>
        <v>0</v>
      </c>
      <c r="CN383" s="266">
        <f t="shared" ca="1" si="240"/>
        <v>0</v>
      </c>
      <c r="CO383" s="266">
        <f ca="1">N383*IFERROR(INDEX(Algorithms!$G:$G,MATCH($C383&amp;"_Therm Saved per Unit- MLA",Algorithms!$A:$A,0)),0)*X383</f>
        <v>0</v>
      </c>
      <c r="CP383" s="266">
        <f ca="1">O383*IFERROR(INDEX(Algorithms!$G:$G,MATCH($C383&amp;"_Therm Saved per Unit- MLA",Algorithms!$A:$A,0)),0)*Y383</f>
        <v>0</v>
      </c>
      <c r="CQ383" s="266">
        <f ca="1">P383*IFERROR(INDEX(Algorithms!$G:$G,MATCH($C383&amp;"_Therm Saved per Unit- MLA",Algorithms!$A:$A,0)),0)*Z383</f>
        <v>0</v>
      </c>
      <c r="CR383" s="266">
        <f ca="1">Q383*IFERROR(INDEX(Algorithms!$G:$G,MATCH($C383&amp;"_Therm Saved per Unit- MLA",Algorithms!$A:$A,0)),0)*AA383</f>
        <v>0</v>
      </c>
      <c r="CS383" s="266">
        <f ca="1">IFERROR(INDEX(Algorithms!$G:$G,MATCH($C383&amp;"_Lifetime (years)",Algorithms!$A:$A,0)),0)</f>
        <v>15</v>
      </c>
      <c r="CT383" s="266">
        <f ca="1">IFERROR(INDEX(Algorithms!$G:$G,MATCH($C383&amp;"_Lifetime (years) - Remaining Years",Algorithms!$A:$A,0)),0)</f>
        <v>0</v>
      </c>
      <c r="CU383" s="266">
        <f t="shared" ca="1" si="241"/>
        <v>0</v>
      </c>
      <c r="CV383" s="266">
        <f t="shared" ca="1" si="242"/>
        <v>0</v>
      </c>
      <c r="CW383" s="266">
        <f t="shared" ca="1" si="243"/>
        <v>0</v>
      </c>
      <c r="CX383" s="266">
        <f t="shared" ca="1" si="244"/>
        <v>0</v>
      </c>
    </row>
    <row r="384" spans="2:102" s="47" customFormat="1" ht="18" customHeight="1" x14ac:dyDescent="0.25">
      <c r="B384" t="str">
        <f t="shared" si="245"/>
        <v>NSG_Residential_Multi-Family_Standard Rebate_DHW Storage Tank Insulation_0_MF/CI/SMB</v>
      </c>
      <c r="C384" s="47" t="str">
        <f t="shared" si="206"/>
        <v>DHW Storage Tank Insulation_0_MF/CI/SMB</v>
      </c>
      <c r="D384" s="270" t="s">
        <v>1787</v>
      </c>
      <c r="E384" s="270" t="s">
        <v>2</v>
      </c>
      <c r="F384" s="270" t="s">
        <v>1422</v>
      </c>
      <c r="G384" s="270" t="s">
        <v>1418</v>
      </c>
      <c r="H384" s="270" t="s">
        <v>832</v>
      </c>
      <c r="I384" s="270">
        <v>0</v>
      </c>
      <c r="J384" s="270" t="s">
        <v>662</v>
      </c>
      <c r="K384" s="263">
        <v>1</v>
      </c>
      <c r="L384" s="263" t="str">
        <f ca="1">IFERROR(INDEX(Algorithms!J:J,MATCH($C384&amp;"_Therm Saved per Unit",Algorithms!$A:$A,0)),"n/a")</f>
        <v>4.3.12</v>
      </c>
      <c r="M384" s="263" t="str">
        <f>IFERROR(INDEX('Measure Level Detail'!$N:$N,MATCH($B384,'Measure Level Detail'!$B:$B,0)),0)</f>
        <v>sqft</v>
      </c>
      <c r="N384" s="271">
        <f>IFERROR(INDEX('Measure Level Detail'!$P:$P,MATCH($B384&amp;"_"&amp;N$3,'Measure Level Detail'!$C:$C,0)),0)</f>
        <v>0</v>
      </c>
      <c r="O384" s="271">
        <f>IFERROR(INDEX('Measure Level Detail'!$P:$P,MATCH($B384&amp;"_"&amp;O$3,'Measure Level Detail'!$C:$C,0)),0)</f>
        <v>0</v>
      </c>
      <c r="P384" s="271">
        <f>IFERROR(INDEX('Measure Level Detail'!$P:$P,MATCH($B384&amp;"_"&amp;P$3,'Measure Level Detail'!$C:$C,0)),0)</f>
        <v>0</v>
      </c>
      <c r="Q384" s="271">
        <f>IFERROR(INDEX('Measure Level Detail'!$P:$P,MATCH($B384&amp;"_"&amp;Q$3,'Measure Level Detail'!$C:$C,0)),0)</f>
        <v>0</v>
      </c>
      <c r="R384" s="263" t="str">
        <f ca="1">IFERROR(INDEX(Algorithms!K:K,MATCH($C384&amp;"_Therm Saved per Unit",Algorithms!$A:$A,0)),"n/a")</f>
        <v>CI-HWE-TKIN-V03-240101</v>
      </c>
      <c r="S384" s="262"/>
      <c r="T384" s="272">
        <v>6.9553729140568805</v>
      </c>
      <c r="U384" s="272">
        <v>6.9553729140568805</v>
      </c>
      <c r="V384" s="272">
        <v>6.9553729140568805</v>
      </c>
      <c r="W384" s="272">
        <v>6.9553729140568805</v>
      </c>
      <c r="X384" s="273">
        <f>IFERROR(INDEX('Measure Level Detail'!$R:$R,MATCH($B384&amp;"_"&amp;X$3,'Measure Level Detail'!$C:$C,0)),0)</f>
        <v>0.87</v>
      </c>
      <c r="Y384" s="273">
        <f>IFERROR(INDEX('Measure Level Detail'!$R:$R,MATCH($B384&amp;"_"&amp;Y$3,'Measure Level Detail'!$C:$C,0)),0)</f>
        <v>0.87</v>
      </c>
      <c r="Z384" s="273">
        <f>IFERROR(INDEX('Measure Level Detail'!$R:$R,MATCH($B384&amp;"_"&amp;Z$3,'Measure Level Detail'!$C:$C,0)),0)</f>
        <v>0.87</v>
      </c>
      <c r="AA384" s="273">
        <f>IFERROR(INDEX('Measure Level Detail'!$R:$R,MATCH($B384&amp;"_"&amp;AA$3,'Measure Level Detail'!$C:$C,0)),0)</f>
        <v>0.87</v>
      </c>
      <c r="AB384" s="266">
        <f t="shared" si="207"/>
        <v>0</v>
      </c>
      <c r="AC384" s="266">
        <f t="shared" si="208"/>
        <v>0</v>
      </c>
      <c r="AD384" s="266">
        <f t="shared" si="209"/>
        <v>0</v>
      </c>
      <c r="AE384" s="266">
        <f t="shared" si="210"/>
        <v>0</v>
      </c>
      <c r="AF384" s="266">
        <f t="shared" si="211"/>
        <v>0</v>
      </c>
      <c r="AG384" s="274">
        <v>0.87</v>
      </c>
      <c r="AH384" s="274">
        <v>0.87</v>
      </c>
      <c r="AI384" s="274">
        <v>0.87</v>
      </c>
      <c r="AJ384" s="274">
        <v>0.87</v>
      </c>
      <c r="AK384" s="274">
        <f t="shared" si="212"/>
        <v>0.87</v>
      </c>
      <c r="AL384" s="274">
        <f t="shared" si="213"/>
        <v>0.87</v>
      </c>
      <c r="AM384" s="274">
        <f t="shared" si="214"/>
        <v>0.87</v>
      </c>
      <c r="AN384" s="274">
        <f t="shared" si="215"/>
        <v>0.87</v>
      </c>
      <c r="AO384" s="262"/>
      <c r="AP384" s="262"/>
      <c r="AQ384" s="267">
        <v>9.7375220796796338</v>
      </c>
      <c r="AR384" s="262"/>
      <c r="AS384" s="266">
        <f t="shared" si="216"/>
        <v>0</v>
      </c>
      <c r="AT384" s="264">
        <f t="shared" si="217"/>
        <v>0</v>
      </c>
      <c r="AU384" s="262"/>
      <c r="AV384" s="262"/>
      <c r="AW384" s="265">
        <v>9.7375220796796338</v>
      </c>
      <c r="AX384" s="164" t="s">
        <v>1469</v>
      </c>
      <c r="AY384" s="266">
        <v>0</v>
      </c>
      <c r="AZ384" s="266">
        <f t="shared" si="218"/>
        <v>0</v>
      </c>
      <c r="BA384" s="264">
        <f t="shared" si="219"/>
        <v>0</v>
      </c>
      <c r="BB384" s="262"/>
      <c r="BC384" s="262"/>
      <c r="BD384" s="265">
        <f ca="1">IFERROR(INDEX(Algorithms!$G:$G,MATCH($C384&amp;"_Therm Saved per Unit",Algorithms!$A:$A,0)),0)</f>
        <v>9.7375220796796338</v>
      </c>
      <c r="BE384" s="164" t="str">
        <f ca="1">IFERROR(INDEX('v12 Revisions'!$P$29:$P$186, MATCH('Measure-Level Adj Gas'!$L384, 'v12 Revisions'!$D$29:$D$186,0)),"")</f>
        <v/>
      </c>
      <c r="BF384" s="266">
        <f t="shared" ca="1" si="220"/>
        <v>0</v>
      </c>
      <c r="BG384" s="264">
        <f t="shared" ca="1" si="221"/>
        <v>0</v>
      </c>
      <c r="BH384" s="262"/>
      <c r="BI384" s="262"/>
      <c r="BJ384" s="265">
        <f ca="1">IFERROR(INDEX(Algorithms!$G:$G,MATCH($C384&amp;"_Therm Saved per Unit",Algorithms!$A:$A,0)),0)</f>
        <v>9.7375220796796338</v>
      </c>
      <c r="BK384" s="164"/>
      <c r="BL384" s="266">
        <f t="shared" ca="1" si="222"/>
        <v>0</v>
      </c>
      <c r="BM384" s="264">
        <f t="shared" ca="1" si="223"/>
        <v>0</v>
      </c>
      <c r="BN384" s="266">
        <f t="shared" si="224"/>
        <v>0</v>
      </c>
      <c r="BO384" s="266">
        <f t="shared" si="225"/>
        <v>0</v>
      </c>
      <c r="BP384" s="266">
        <f t="shared" ca="1" si="226"/>
        <v>0</v>
      </c>
      <c r="BQ384" s="266">
        <f t="shared" ca="1" si="227"/>
        <v>0</v>
      </c>
      <c r="BR384" s="268">
        <f t="shared" ca="1" si="228"/>
        <v>0</v>
      </c>
      <c r="BS384" s="262" t="s">
        <v>99</v>
      </c>
      <c r="BT384" s="277"/>
      <c r="BW384" s="266">
        <f t="shared" si="229"/>
        <v>0</v>
      </c>
      <c r="BX384" s="266">
        <f t="shared" si="230"/>
        <v>0</v>
      </c>
      <c r="BY384" s="266">
        <f t="shared" si="231"/>
        <v>0</v>
      </c>
      <c r="BZ384" s="266">
        <f t="shared" si="232"/>
        <v>0</v>
      </c>
      <c r="CA384" s="266">
        <f ca="1">N384*IFERROR(INDEX(Algorithms!$G:$G,MATCH($C384&amp;"_Therm Saved per Unit- MLA",Algorithms!$A:$A,0)),0)*X384</f>
        <v>0</v>
      </c>
      <c r="CB384" s="266">
        <f ca="1">O384*IFERROR(INDEX(Algorithms!$G:$G,MATCH($C384&amp;"_Therm Saved per Unit- MLA",Algorithms!$A:$A,0)),0)*Y384</f>
        <v>0</v>
      </c>
      <c r="CC384" s="266">
        <f ca="1">P384*IFERROR(INDEX(Algorithms!$G:$G,MATCH($C384&amp;"_Therm Saved per Unit- MLA",Algorithms!$A:$A,0)),0)*Z384</f>
        <v>0</v>
      </c>
      <c r="CD384" s="266">
        <f ca="1">Q384*IFERROR(INDEX(Algorithms!$G:$G,MATCH($C384&amp;"_Therm Saved per Unit- MLA",Algorithms!$A:$A,0)),0)*AA384</f>
        <v>0</v>
      </c>
      <c r="CE384" s="266">
        <f ca="1">IFERROR(INDEX(Algorithms!$G:$G,MATCH($C384&amp;"_Lifetime (years)",Algorithms!$A:$A,0)),0)</f>
        <v>15</v>
      </c>
      <c r="CF384" s="266">
        <f ca="1">IFERROR(INDEX(Algorithms!$G:$G,MATCH($C384&amp;"_Lifetime (years) - Remaining Years",Algorithms!$A:$A,0)),0)</f>
        <v>0</v>
      </c>
      <c r="CG384" s="266">
        <f t="shared" ca="1" si="233"/>
        <v>0</v>
      </c>
      <c r="CH384" s="266">
        <f t="shared" ca="1" si="234"/>
        <v>0</v>
      </c>
      <c r="CI384" s="266">
        <f t="shared" ca="1" si="235"/>
        <v>0</v>
      </c>
      <c r="CJ384" s="266">
        <f t="shared" ca="1" si="236"/>
        <v>0</v>
      </c>
      <c r="CK384" s="266">
        <f t="shared" si="237"/>
        <v>0</v>
      </c>
      <c r="CL384" s="266">
        <f t="shared" si="238"/>
        <v>0</v>
      </c>
      <c r="CM384" s="266">
        <f t="shared" ca="1" si="239"/>
        <v>0</v>
      </c>
      <c r="CN384" s="266">
        <f t="shared" ca="1" si="240"/>
        <v>0</v>
      </c>
      <c r="CO384" s="266">
        <f ca="1">N384*IFERROR(INDEX(Algorithms!$G:$G,MATCH($C384&amp;"_Therm Saved per Unit- MLA",Algorithms!$A:$A,0)),0)*X384</f>
        <v>0</v>
      </c>
      <c r="CP384" s="266">
        <f ca="1">O384*IFERROR(INDEX(Algorithms!$G:$G,MATCH($C384&amp;"_Therm Saved per Unit- MLA",Algorithms!$A:$A,0)),0)*Y384</f>
        <v>0</v>
      </c>
      <c r="CQ384" s="266">
        <f ca="1">P384*IFERROR(INDEX(Algorithms!$G:$G,MATCH($C384&amp;"_Therm Saved per Unit- MLA",Algorithms!$A:$A,0)),0)*Z384</f>
        <v>0</v>
      </c>
      <c r="CR384" s="266">
        <f ca="1">Q384*IFERROR(INDEX(Algorithms!$G:$G,MATCH($C384&amp;"_Therm Saved per Unit- MLA",Algorithms!$A:$A,0)),0)*AA384</f>
        <v>0</v>
      </c>
      <c r="CS384" s="266">
        <f ca="1">IFERROR(INDEX(Algorithms!$G:$G,MATCH($C384&amp;"_Lifetime (years)",Algorithms!$A:$A,0)),0)</f>
        <v>15</v>
      </c>
      <c r="CT384" s="266">
        <f ca="1">IFERROR(INDEX(Algorithms!$G:$G,MATCH($C384&amp;"_Lifetime (years) - Remaining Years",Algorithms!$A:$A,0)),0)</f>
        <v>0</v>
      </c>
      <c r="CU384" s="266">
        <f t="shared" ca="1" si="241"/>
        <v>0</v>
      </c>
      <c r="CV384" s="266">
        <f t="shared" ca="1" si="242"/>
        <v>0</v>
      </c>
      <c r="CW384" s="266">
        <f t="shared" ca="1" si="243"/>
        <v>0</v>
      </c>
      <c r="CX384" s="266">
        <f t="shared" ca="1" si="244"/>
        <v>0</v>
      </c>
    </row>
    <row r="385" spans="2:102" s="47" customFormat="1" ht="18" customHeight="1" x14ac:dyDescent="0.25">
      <c r="B385" t="str">
        <f t="shared" si="245"/>
        <v>NSG_Residential_Multi-Family_Standard Rebate_Linkageless Controls_0_MF</v>
      </c>
      <c r="C385" s="47" t="str">
        <f t="shared" si="206"/>
        <v>Linkageless Controls_0_MF</v>
      </c>
      <c r="D385" s="270" t="s">
        <v>1787</v>
      </c>
      <c r="E385" s="270" t="s">
        <v>2</v>
      </c>
      <c r="F385" s="270" t="s">
        <v>1422</v>
      </c>
      <c r="G385" s="270" t="s">
        <v>1418</v>
      </c>
      <c r="H385" s="270" t="s">
        <v>1287</v>
      </c>
      <c r="I385" s="270">
        <v>0</v>
      </c>
      <c r="J385" s="270" t="s">
        <v>553</v>
      </c>
      <c r="K385" s="263">
        <v>1</v>
      </c>
      <c r="L385" s="263" t="str">
        <f ca="1">IFERROR(INDEX(Algorithms!J:J,MATCH($C385&amp;"_Therm Saved per Unit",Algorithms!$A:$A,0)),"n/a")</f>
        <v>4.4.21</v>
      </c>
      <c r="M385" s="263" t="str">
        <f>IFERROR(INDEX('Measure Level Detail'!$N:$N,MATCH($B385,'Measure Level Detail'!$B:$B,0)),0)</f>
        <v>MBH</v>
      </c>
      <c r="N385" s="271">
        <f>IFERROR(INDEX('Measure Level Detail'!$P:$P,MATCH($B385&amp;"_"&amp;N$3,'Measure Level Detail'!$C:$C,0)),0)</f>
        <v>0</v>
      </c>
      <c r="O385" s="271">
        <f>IFERROR(INDEX('Measure Level Detail'!$P:$P,MATCH($B385&amp;"_"&amp;O$3,'Measure Level Detail'!$C:$C,0)),0)</f>
        <v>0</v>
      </c>
      <c r="P385" s="271">
        <f>IFERROR(INDEX('Measure Level Detail'!$P:$P,MATCH($B385&amp;"_"&amp;P$3,'Measure Level Detail'!$C:$C,0)),0)</f>
        <v>0</v>
      </c>
      <c r="Q385" s="271">
        <f>IFERROR(INDEX('Measure Level Detail'!$P:$P,MATCH($B385&amp;"_"&amp;Q$3,'Measure Level Detail'!$C:$C,0)),0)</f>
        <v>0</v>
      </c>
      <c r="R385" s="263" t="str">
        <f ca="1">IFERROR(INDEX(Algorithms!K:K,MATCH($C385&amp;"_Therm Saved per Unit",Algorithms!$A:$A,0)),"n/a")</f>
        <v>CI-HVC-LBC-V06-220101</v>
      </c>
      <c r="S385" s="262"/>
      <c r="T385" s="272">
        <v>0.63181333333333334</v>
      </c>
      <c r="U385" s="272">
        <v>0.63181333333333334</v>
      </c>
      <c r="V385" s="272">
        <v>0.63181333333333334</v>
      </c>
      <c r="W385" s="272">
        <v>0.63181333333333334</v>
      </c>
      <c r="X385" s="273">
        <f>IFERROR(INDEX('Measure Level Detail'!$R:$R,MATCH($B385&amp;"_"&amp;X$3,'Measure Level Detail'!$C:$C,0)),0)</f>
        <v>0.87</v>
      </c>
      <c r="Y385" s="273">
        <f>IFERROR(INDEX('Measure Level Detail'!$R:$R,MATCH($B385&amp;"_"&amp;Y$3,'Measure Level Detail'!$C:$C,0)),0)</f>
        <v>0.87</v>
      </c>
      <c r="Z385" s="273">
        <f>IFERROR(INDEX('Measure Level Detail'!$R:$R,MATCH($B385&amp;"_"&amp;Z$3,'Measure Level Detail'!$C:$C,0)),0)</f>
        <v>0.87</v>
      </c>
      <c r="AA385" s="273">
        <f>IFERROR(INDEX('Measure Level Detail'!$R:$R,MATCH($B385&amp;"_"&amp;AA$3,'Measure Level Detail'!$C:$C,0)),0)</f>
        <v>0.87</v>
      </c>
      <c r="AB385" s="266">
        <f t="shared" si="207"/>
        <v>0</v>
      </c>
      <c r="AC385" s="266">
        <f t="shared" si="208"/>
        <v>0</v>
      </c>
      <c r="AD385" s="266">
        <f t="shared" si="209"/>
        <v>0</v>
      </c>
      <c r="AE385" s="266">
        <f t="shared" si="210"/>
        <v>0</v>
      </c>
      <c r="AF385" s="266">
        <f t="shared" si="211"/>
        <v>0</v>
      </c>
      <c r="AG385" s="274">
        <v>0.87</v>
      </c>
      <c r="AH385" s="274">
        <v>0.87</v>
      </c>
      <c r="AI385" s="274">
        <v>0.87</v>
      </c>
      <c r="AJ385" s="274">
        <v>0.87</v>
      </c>
      <c r="AK385" s="274">
        <f t="shared" si="212"/>
        <v>0.87</v>
      </c>
      <c r="AL385" s="274">
        <f t="shared" si="213"/>
        <v>0.87</v>
      </c>
      <c r="AM385" s="274">
        <f t="shared" si="214"/>
        <v>0.87</v>
      </c>
      <c r="AN385" s="274">
        <f t="shared" si="215"/>
        <v>0.87</v>
      </c>
      <c r="AO385" s="262"/>
      <c r="AP385" s="262"/>
      <c r="AQ385" s="267">
        <v>0.63181333333333334</v>
      </c>
      <c r="AR385" s="262"/>
      <c r="AS385" s="266">
        <f t="shared" si="216"/>
        <v>0</v>
      </c>
      <c r="AT385" s="264">
        <f t="shared" si="217"/>
        <v>0</v>
      </c>
      <c r="AU385" s="262"/>
      <c r="AV385" s="262"/>
      <c r="AW385" s="265">
        <v>0.63181333333333334</v>
      </c>
      <c r="AX385" s="164" t="s">
        <v>1469</v>
      </c>
      <c r="AY385" s="266">
        <v>0</v>
      </c>
      <c r="AZ385" s="266">
        <f t="shared" si="218"/>
        <v>0</v>
      </c>
      <c r="BA385" s="264">
        <f t="shared" si="219"/>
        <v>0</v>
      </c>
      <c r="BB385" s="262"/>
      <c r="BC385" s="262"/>
      <c r="BD385" s="265">
        <f ca="1">IFERROR(INDEX(Algorithms!$G:$G,MATCH($C385&amp;"_Therm Saved per Unit",Algorithms!$A:$A,0)),0)</f>
        <v>0.63181333333333334</v>
      </c>
      <c r="BE385" s="164" t="str">
        <f ca="1">IFERROR(INDEX('v12 Revisions'!$P$29:$P$186, MATCH('Measure-Level Adj Gas'!$L385, 'v12 Revisions'!$D$29:$D$186,0)),"")</f>
        <v/>
      </c>
      <c r="BF385" s="266">
        <f t="shared" ca="1" si="220"/>
        <v>0</v>
      </c>
      <c r="BG385" s="264">
        <f t="shared" ca="1" si="221"/>
        <v>0</v>
      </c>
      <c r="BH385" s="262"/>
      <c r="BI385" s="262"/>
      <c r="BJ385" s="265">
        <f ca="1">IFERROR(INDEX(Algorithms!$G:$G,MATCH($C385&amp;"_Therm Saved per Unit",Algorithms!$A:$A,0)),0)</f>
        <v>0.63181333333333334</v>
      </c>
      <c r="BK385" s="164"/>
      <c r="BL385" s="266">
        <f t="shared" ca="1" si="222"/>
        <v>0</v>
      </c>
      <c r="BM385" s="264">
        <f t="shared" ca="1" si="223"/>
        <v>0</v>
      </c>
      <c r="BN385" s="266">
        <f t="shared" si="224"/>
        <v>0</v>
      </c>
      <c r="BO385" s="266">
        <f t="shared" si="225"/>
        <v>0</v>
      </c>
      <c r="BP385" s="266">
        <f t="shared" ca="1" si="226"/>
        <v>0</v>
      </c>
      <c r="BQ385" s="266">
        <f t="shared" ca="1" si="227"/>
        <v>0</v>
      </c>
      <c r="BR385" s="268">
        <f t="shared" ca="1" si="228"/>
        <v>0</v>
      </c>
      <c r="BS385" s="262" t="s">
        <v>99</v>
      </c>
      <c r="BT385" s="277"/>
      <c r="BW385" s="266">
        <f t="shared" si="229"/>
        <v>0</v>
      </c>
      <c r="BX385" s="266">
        <f t="shared" si="230"/>
        <v>0</v>
      </c>
      <c r="BY385" s="266">
        <f t="shared" si="231"/>
        <v>0</v>
      </c>
      <c r="BZ385" s="266">
        <f t="shared" si="232"/>
        <v>0</v>
      </c>
      <c r="CA385" s="266">
        <f ca="1">N385*IFERROR(INDEX(Algorithms!$G:$G,MATCH($C385&amp;"_Therm Saved per Unit- MLA",Algorithms!$A:$A,0)),0)*X385</f>
        <v>0</v>
      </c>
      <c r="CB385" s="266">
        <f ca="1">O385*IFERROR(INDEX(Algorithms!$G:$G,MATCH($C385&amp;"_Therm Saved per Unit- MLA",Algorithms!$A:$A,0)),0)*Y385</f>
        <v>0</v>
      </c>
      <c r="CC385" s="266">
        <f ca="1">P385*IFERROR(INDEX(Algorithms!$G:$G,MATCH($C385&amp;"_Therm Saved per Unit- MLA",Algorithms!$A:$A,0)),0)*Z385</f>
        <v>0</v>
      </c>
      <c r="CD385" s="266">
        <f ca="1">Q385*IFERROR(INDEX(Algorithms!$G:$G,MATCH($C385&amp;"_Therm Saved per Unit- MLA",Algorithms!$A:$A,0)),0)*AA385</f>
        <v>0</v>
      </c>
      <c r="CE385" s="266">
        <f ca="1">IFERROR(INDEX(Algorithms!$G:$G,MATCH($C385&amp;"_Lifetime (years)",Algorithms!$A:$A,0)),0)</f>
        <v>20</v>
      </c>
      <c r="CF385" s="266">
        <f ca="1">IFERROR(INDEX(Algorithms!$G:$G,MATCH($C385&amp;"_Lifetime (years) - Remaining Years",Algorithms!$A:$A,0)),0)</f>
        <v>0</v>
      </c>
      <c r="CG385" s="266">
        <f t="shared" ca="1" si="233"/>
        <v>0</v>
      </c>
      <c r="CH385" s="266">
        <f t="shared" ca="1" si="234"/>
        <v>0</v>
      </c>
      <c r="CI385" s="266">
        <f t="shared" ca="1" si="235"/>
        <v>0</v>
      </c>
      <c r="CJ385" s="266">
        <f t="shared" ca="1" si="236"/>
        <v>0</v>
      </c>
      <c r="CK385" s="266">
        <f t="shared" si="237"/>
        <v>0</v>
      </c>
      <c r="CL385" s="266">
        <f t="shared" si="238"/>
        <v>0</v>
      </c>
      <c r="CM385" s="266">
        <f t="shared" ca="1" si="239"/>
        <v>0</v>
      </c>
      <c r="CN385" s="266">
        <f t="shared" ca="1" si="240"/>
        <v>0</v>
      </c>
      <c r="CO385" s="266">
        <f ca="1">N385*IFERROR(INDEX(Algorithms!$G:$G,MATCH($C385&amp;"_Therm Saved per Unit- MLA",Algorithms!$A:$A,0)),0)*X385</f>
        <v>0</v>
      </c>
      <c r="CP385" s="266">
        <f ca="1">O385*IFERROR(INDEX(Algorithms!$G:$G,MATCH($C385&amp;"_Therm Saved per Unit- MLA",Algorithms!$A:$A,0)),0)*Y385</f>
        <v>0</v>
      </c>
      <c r="CQ385" s="266">
        <f ca="1">P385*IFERROR(INDEX(Algorithms!$G:$G,MATCH($C385&amp;"_Therm Saved per Unit- MLA",Algorithms!$A:$A,0)),0)*Z385</f>
        <v>0</v>
      </c>
      <c r="CR385" s="266">
        <f ca="1">Q385*IFERROR(INDEX(Algorithms!$G:$G,MATCH($C385&amp;"_Therm Saved per Unit- MLA",Algorithms!$A:$A,0)),0)*AA385</f>
        <v>0</v>
      </c>
      <c r="CS385" s="266">
        <f ca="1">IFERROR(INDEX(Algorithms!$G:$G,MATCH($C385&amp;"_Lifetime (years)",Algorithms!$A:$A,0)),0)</f>
        <v>20</v>
      </c>
      <c r="CT385" s="266">
        <f ca="1">IFERROR(INDEX(Algorithms!$G:$G,MATCH($C385&amp;"_Lifetime (years) - Remaining Years",Algorithms!$A:$A,0)),0)</f>
        <v>0</v>
      </c>
      <c r="CU385" s="266">
        <f t="shared" ca="1" si="241"/>
        <v>0</v>
      </c>
      <c r="CV385" s="266">
        <f t="shared" ca="1" si="242"/>
        <v>0</v>
      </c>
      <c r="CW385" s="266">
        <f t="shared" ca="1" si="243"/>
        <v>0</v>
      </c>
      <c r="CX385" s="266">
        <f t="shared" ca="1" si="244"/>
        <v>0</v>
      </c>
    </row>
    <row r="386" spans="2:102" s="47" customFormat="1" ht="18" customHeight="1" x14ac:dyDescent="0.25">
      <c r="B386" t="str">
        <f t="shared" si="245"/>
        <v>NSG_Residential_Multi-Family_Standard Rebate_On Demand DHW Circulation System_0_MF</v>
      </c>
      <c r="C386" s="47" t="str">
        <f t="shared" si="206"/>
        <v>On Demand DHW Circulation System_0_MF</v>
      </c>
      <c r="D386" s="270" t="s">
        <v>1787</v>
      </c>
      <c r="E386" s="270" t="s">
        <v>2</v>
      </c>
      <c r="F386" s="270" t="s">
        <v>1422</v>
      </c>
      <c r="G386" s="270" t="s">
        <v>1418</v>
      </c>
      <c r="H386" s="270" t="s">
        <v>1075</v>
      </c>
      <c r="I386" s="270">
        <v>0</v>
      </c>
      <c r="J386" s="270" t="s">
        <v>553</v>
      </c>
      <c r="K386" s="263">
        <v>1</v>
      </c>
      <c r="L386" s="263" t="str">
        <f ca="1">IFERROR(INDEX(Algorithms!J:J,MATCH($C386&amp;"_Therm Saved per Unit",Algorithms!$A:$A,0)),"n/a")</f>
        <v>4.3.8</v>
      </c>
      <c r="M386" s="263" t="str">
        <f>IFERROR(INDEX('Measure Level Detail'!$N:$N,MATCH($B386,'Measure Level Detail'!$B:$B,0)),0)</f>
        <v>living unit</v>
      </c>
      <c r="N386" s="271">
        <f>IFERROR(INDEX('Measure Level Detail'!$P:$P,MATCH($B386&amp;"_"&amp;N$3,'Measure Level Detail'!$C:$C,0)),0)</f>
        <v>0</v>
      </c>
      <c r="O386" s="271">
        <f>IFERROR(INDEX('Measure Level Detail'!$P:$P,MATCH($B386&amp;"_"&amp;O$3,'Measure Level Detail'!$C:$C,0)),0)</f>
        <v>0</v>
      </c>
      <c r="P386" s="271">
        <f>IFERROR(INDEX('Measure Level Detail'!$P:$P,MATCH($B386&amp;"_"&amp;P$3,'Measure Level Detail'!$C:$C,0)),0)</f>
        <v>0</v>
      </c>
      <c r="Q386" s="271">
        <f>IFERROR(INDEX('Measure Level Detail'!$P:$P,MATCH($B386&amp;"_"&amp;Q$3,'Measure Level Detail'!$C:$C,0)),0)</f>
        <v>0</v>
      </c>
      <c r="R386" s="263" t="str">
        <f ca="1">IFERROR(INDEX(Algorithms!K:K,MATCH($C386&amp;"_Therm Saved per Unit",Algorithms!$A:$A,0)),"n/a")</f>
        <v>CI-HWE-CDHW-V06-240101</v>
      </c>
      <c r="S386" s="262"/>
      <c r="T386" s="272">
        <v>62.687100553999997</v>
      </c>
      <c r="U386" s="272">
        <v>62.687100553999997</v>
      </c>
      <c r="V386" s="272">
        <v>62.687100553999997</v>
      </c>
      <c r="W386" s="272">
        <v>62.687100553999997</v>
      </c>
      <c r="X386" s="273">
        <f>IFERROR(INDEX('Measure Level Detail'!$R:$R,MATCH($B386&amp;"_"&amp;X$3,'Measure Level Detail'!$C:$C,0)),0)</f>
        <v>0.87</v>
      </c>
      <c r="Y386" s="273">
        <f>IFERROR(INDEX('Measure Level Detail'!$R:$R,MATCH($B386&amp;"_"&amp;Y$3,'Measure Level Detail'!$C:$C,0)),0)</f>
        <v>0.87</v>
      </c>
      <c r="Z386" s="273">
        <f>IFERROR(INDEX('Measure Level Detail'!$R:$R,MATCH($B386&amp;"_"&amp;Z$3,'Measure Level Detail'!$C:$C,0)),0)</f>
        <v>0.87</v>
      </c>
      <c r="AA386" s="273">
        <f>IFERROR(INDEX('Measure Level Detail'!$R:$R,MATCH($B386&amp;"_"&amp;AA$3,'Measure Level Detail'!$C:$C,0)),0)</f>
        <v>0.87</v>
      </c>
      <c r="AB386" s="266">
        <f t="shared" si="207"/>
        <v>0</v>
      </c>
      <c r="AC386" s="266">
        <f t="shared" si="208"/>
        <v>0</v>
      </c>
      <c r="AD386" s="266">
        <f t="shared" si="209"/>
        <v>0</v>
      </c>
      <c r="AE386" s="266">
        <f t="shared" si="210"/>
        <v>0</v>
      </c>
      <c r="AF386" s="266">
        <f t="shared" si="211"/>
        <v>0</v>
      </c>
      <c r="AG386" s="274">
        <v>0.87</v>
      </c>
      <c r="AH386" s="274">
        <v>0.87</v>
      </c>
      <c r="AI386" s="274">
        <v>0.87</v>
      </c>
      <c r="AJ386" s="274">
        <v>0.87</v>
      </c>
      <c r="AK386" s="274">
        <f t="shared" si="212"/>
        <v>0.87</v>
      </c>
      <c r="AL386" s="274">
        <f t="shared" si="213"/>
        <v>0.87</v>
      </c>
      <c r="AM386" s="274">
        <f t="shared" si="214"/>
        <v>0.87</v>
      </c>
      <c r="AN386" s="274">
        <f t="shared" si="215"/>
        <v>0.87</v>
      </c>
      <c r="AO386" s="262"/>
      <c r="AP386" s="262"/>
      <c r="AQ386" s="267">
        <v>62.687100553999997</v>
      </c>
      <c r="AR386" s="262"/>
      <c r="AS386" s="266">
        <f t="shared" si="216"/>
        <v>0</v>
      </c>
      <c r="AT386" s="264">
        <f t="shared" si="217"/>
        <v>0</v>
      </c>
      <c r="AU386" s="262"/>
      <c r="AV386" s="262"/>
      <c r="AW386" s="265">
        <v>62.687100553999997</v>
      </c>
      <c r="AX386" s="164" t="s">
        <v>2400</v>
      </c>
      <c r="AY386" s="266">
        <v>0</v>
      </c>
      <c r="AZ386" s="266">
        <f t="shared" si="218"/>
        <v>0</v>
      </c>
      <c r="BA386" s="264">
        <f t="shared" si="219"/>
        <v>0</v>
      </c>
      <c r="BB386" s="262"/>
      <c r="BC386" s="262"/>
      <c r="BD386" s="265">
        <f ca="1">IFERROR(INDEX(Algorithms!$G:$G,MATCH($C386&amp;"_Therm Saved per Unit",Algorithms!$A:$A,0)),0)</f>
        <v>62.687100553999997</v>
      </c>
      <c r="BE386" s="164" t="str">
        <f ca="1">IFERROR(INDEX('v12 Revisions'!$P$29:$P$186, MATCH('Measure-Level Adj Gas'!$L386, 'v12 Revisions'!$D$29:$D$186,0)),"")</f>
        <v>Updated reduction(%) in total operating hours for normal and low occupancy period.</v>
      </c>
      <c r="BF386" s="266">
        <f t="shared" ca="1" si="220"/>
        <v>0</v>
      </c>
      <c r="BG386" s="264">
        <f t="shared" ca="1" si="221"/>
        <v>0</v>
      </c>
      <c r="BH386" s="262"/>
      <c r="BI386" s="262"/>
      <c r="BJ386" s="265">
        <f ca="1">IFERROR(INDEX(Algorithms!$G:$G,MATCH($C386&amp;"_Therm Saved per Unit",Algorithms!$A:$A,0)),0)</f>
        <v>62.687100553999997</v>
      </c>
      <c r="BK386" s="164"/>
      <c r="BL386" s="266">
        <f t="shared" ca="1" si="222"/>
        <v>0</v>
      </c>
      <c r="BM386" s="264">
        <f t="shared" ca="1" si="223"/>
        <v>0</v>
      </c>
      <c r="BN386" s="266">
        <f t="shared" si="224"/>
        <v>0</v>
      </c>
      <c r="BO386" s="266">
        <f t="shared" si="225"/>
        <v>0</v>
      </c>
      <c r="BP386" s="266">
        <f t="shared" ca="1" si="226"/>
        <v>0</v>
      </c>
      <c r="BQ386" s="266">
        <f t="shared" ca="1" si="227"/>
        <v>0</v>
      </c>
      <c r="BR386" s="268">
        <f t="shared" ca="1" si="228"/>
        <v>0</v>
      </c>
      <c r="BS386" s="262" t="s">
        <v>99</v>
      </c>
      <c r="BT386" s="277"/>
      <c r="BW386" s="266">
        <f t="shared" si="229"/>
        <v>0</v>
      </c>
      <c r="BX386" s="266">
        <f t="shared" si="230"/>
        <v>0</v>
      </c>
      <c r="BY386" s="266">
        <f t="shared" si="231"/>
        <v>0</v>
      </c>
      <c r="BZ386" s="266">
        <f t="shared" si="232"/>
        <v>0</v>
      </c>
      <c r="CA386" s="266">
        <f ca="1">N386*IFERROR(INDEX(Algorithms!$G:$G,MATCH($C386&amp;"_Therm Saved per Unit- MLA",Algorithms!$A:$A,0)),0)*X386</f>
        <v>0</v>
      </c>
      <c r="CB386" s="266">
        <f ca="1">O386*IFERROR(INDEX(Algorithms!$G:$G,MATCH($C386&amp;"_Therm Saved per Unit- MLA",Algorithms!$A:$A,0)),0)*Y386</f>
        <v>0</v>
      </c>
      <c r="CC386" s="266">
        <f ca="1">P386*IFERROR(INDEX(Algorithms!$G:$G,MATCH($C386&amp;"_Therm Saved per Unit- MLA",Algorithms!$A:$A,0)),0)*Z386</f>
        <v>0</v>
      </c>
      <c r="CD386" s="266">
        <f ca="1">Q386*IFERROR(INDEX(Algorithms!$G:$G,MATCH($C386&amp;"_Therm Saved per Unit- MLA",Algorithms!$A:$A,0)),0)*AA386</f>
        <v>0</v>
      </c>
      <c r="CE386" s="266">
        <f ca="1">IFERROR(INDEX(Algorithms!$G:$G,MATCH($C386&amp;"_Lifetime (years)",Algorithms!$A:$A,0)),0)</f>
        <v>15</v>
      </c>
      <c r="CF386" s="266">
        <f ca="1">IFERROR(INDEX(Algorithms!$G:$G,MATCH($C386&amp;"_Lifetime (years) - Remaining Years",Algorithms!$A:$A,0)),0)</f>
        <v>0</v>
      </c>
      <c r="CG386" s="266">
        <f t="shared" ca="1" si="233"/>
        <v>0</v>
      </c>
      <c r="CH386" s="266">
        <f t="shared" ca="1" si="234"/>
        <v>0</v>
      </c>
      <c r="CI386" s="266">
        <f t="shared" ca="1" si="235"/>
        <v>0</v>
      </c>
      <c r="CJ386" s="266">
        <f t="shared" ca="1" si="236"/>
        <v>0</v>
      </c>
      <c r="CK386" s="266">
        <f t="shared" si="237"/>
        <v>0</v>
      </c>
      <c r="CL386" s="266">
        <f t="shared" si="238"/>
        <v>0</v>
      </c>
      <c r="CM386" s="266">
        <f t="shared" ca="1" si="239"/>
        <v>0</v>
      </c>
      <c r="CN386" s="266">
        <f t="shared" ca="1" si="240"/>
        <v>0</v>
      </c>
      <c r="CO386" s="266">
        <f ca="1">N386*IFERROR(INDEX(Algorithms!$G:$G,MATCH($C386&amp;"_Therm Saved per Unit- MLA",Algorithms!$A:$A,0)),0)*X386</f>
        <v>0</v>
      </c>
      <c r="CP386" s="266">
        <f ca="1">O386*IFERROR(INDEX(Algorithms!$G:$G,MATCH($C386&amp;"_Therm Saved per Unit- MLA",Algorithms!$A:$A,0)),0)*Y386</f>
        <v>0</v>
      </c>
      <c r="CQ386" s="266">
        <f ca="1">P386*IFERROR(INDEX(Algorithms!$G:$G,MATCH($C386&amp;"_Therm Saved per Unit- MLA",Algorithms!$A:$A,0)),0)*Z386</f>
        <v>0</v>
      </c>
      <c r="CR386" s="266">
        <f ca="1">Q386*IFERROR(INDEX(Algorithms!$G:$G,MATCH($C386&amp;"_Therm Saved per Unit- MLA",Algorithms!$A:$A,0)),0)*AA386</f>
        <v>0</v>
      </c>
      <c r="CS386" s="266">
        <f ca="1">IFERROR(INDEX(Algorithms!$G:$G,MATCH($C386&amp;"_Lifetime (years)",Algorithms!$A:$A,0)),0)</f>
        <v>15</v>
      </c>
      <c r="CT386" s="266">
        <f ca="1">IFERROR(INDEX(Algorithms!$G:$G,MATCH($C386&amp;"_Lifetime (years) - Remaining Years",Algorithms!$A:$A,0)),0)</f>
        <v>0</v>
      </c>
      <c r="CU386" s="266">
        <f t="shared" ca="1" si="241"/>
        <v>0</v>
      </c>
      <c r="CV386" s="266">
        <f t="shared" ca="1" si="242"/>
        <v>0</v>
      </c>
      <c r="CW386" s="266">
        <f t="shared" ca="1" si="243"/>
        <v>0</v>
      </c>
      <c r="CX386" s="266">
        <f t="shared" ca="1" si="244"/>
        <v>0</v>
      </c>
    </row>
    <row r="387" spans="2:102" s="47" customFormat="1" ht="18" customHeight="1" x14ac:dyDescent="0.25">
      <c r="B387" t="str">
        <f t="shared" si="245"/>
        <v>NSG_Residential_Multi-Family_Standard Rebate_Demand Controlled Ventilation_0_MF/CI/SMB</v>
      </c>
      <c r="C387" s="47" t="str">
        <f t="shared" si="206"/>
        <v>Demand Controlled Ventilation_0_MF/CI/SMB</v>
      </c>
      <c r="D387" s="270" t="s">
        <v>1787</v>
      </c>
      <c r="E387" s="270" t="s">
        <v>2</v>
      </c>
      <c r="F387" s="270" t="s">
        <v>1422</v>
      </c>
      <c r="G387" s="270" t="s">
        <v>1418</v>
      </c>
      <c r="H387" s="270" t="s">
        <v>14</v>
      </c>
      <c r="I387" s="270">
        <v>0</v>
      </c>
      <c r="J387" s="270" t="s">
        <v>662</v>
      </c>
      <c r="K387" s="263">
        <v>1</v>
      </c>
      <c r="L387" s="263" t="str">
        <f ca="1">IFERROR(INDEX(Algorithms!J:J,MATCH($C387&amp;"_Therm Saved per Unit",Algorithms!$A:$A,0)),"n/a")</f>
        <v>4.4.19</v>
      </c>
      <c r="M387" s="263" t="str">
        <f>IFERROR(INDEX('Measure Level Detail'!$N:$N,MATCH($B387,'Measure Level Detail'!$B:$B,0)),0)</f>
        <v>sqft</v>
      </c>
      <c r="N387" s="271">
        <f>IFERROR(INDEX('Measure Level Detail'!$P:$P,MATCH($B387&amp;"_"&amp;N$3,'Measure Level Detail'!$C:$C,0)),0)</f>
        <v>0</v>
      </c>
      <c r="O387" s="271">
        <f>IFERROR(INDEX('Measure Level Detail'!$P:$P,MATCH($B387&amp;"_"&amp;O$3,'Measure Level Detail'!$C:$C,0)),0)</f>
        <v>0</v>
      </c>
      <c r="P387" s="271">
        <f>IFERROR(INDEX('Measure Level Detail'!$P:$P,MATCH($B387&amp;"_"&amp;P$3,'Measure Level Detail'!$C:$C,0)),0)</f>
        <v>0</v>
      </c>
      <c r="Q387" s="271">
        <f>IFERROR(INDEX('Measure Level Detail'!$P:$P,MATCH($B387&amp;"_"&amp;Q$3,'Measure Level Detail'!$C:$C,0)),0)</f>
        <v>0</v>
      </c>
      <c r="R387" s="263" t="str">
        <f ca="1">IFERROR(INDEX(Algorithms!K:K,MATCH($C387&amp;"_Therm Saved per Unit",Algorithms!$A:$A,0)),"n/a")</f>
        <v>CI-HVC-DCV-V07-240101</v>
      </c>
      <c r="S387" s="262"/>
      <c r="T387" s="272">
        <v>6.8000000000000005E-2</v>
      </c>
      <c r="U387" s="272">
        <v>6.8000000000000005E-2</v>
      </c>
      <c r="V387" s="272">
        <v>6.8000000000000005E-2</v>
      </c>
      <c r="W387" s="272">
        <v>6.8000000000000005E-2</v>
      </c>
      <c r="X387" s="273">
        <f>IFERROR(INDEX('Measure Level Detail'!$R:$R,MATCH($B387&amp;"_"&amp;X$3,'Measure Level Detail'!$C:$C,0)),0)</f>
        <v>0.87</v>
      </c>
      <c r="Y387" s="273">
        <f>IFERROR(INDEX('Measure Level Detail'!$R:$R,MATCH($B387&amp;"_"&amp;Y$3,'Measure Level Detail'!$C:$C,0)),0)</f>
        <v>0.87</v>
      </c>
      <c r="Z387" s="273">
        <f>IFERROR(INDEX('Measure Level Detail'!$R:$R,MATCH($B387&amp;"_"&amp;Z$3,'Measure Level Detail'!$C:$C,0)),0)</f>
        <v>0.87</v>
      </c>
      <c r="AA387" s="273">
        <f>IFERROR(INDEX('Measure Level Detail'!$R:$R,MATCH($B387&amp;"_"&amp;AA$3,'Measure Level Detail'!$C:$C,0)),0)</f>
        <v>0.87</v>
      </c>
      <c r="AB387" s="266">
        <f t="shared" si="207"/>
        <v>0</v>
      </c>
      <c r="AC387" s="266">
        <f t="shared" si="208"/>
        <v>0</v>
      </c>
      <c r="AD387" s="266">
        <f t="shared" si="209"/>
        <v>0</v>
      </c>
      <c r="AE387" s="266">
        <f t="shared" si="210"/>
        <v>0</v>
      </c>
      <c r="AF387" s="266">
        <f t="shared" si="211"/>
        <v>0</v>
      </c>
      <c r="AG387" s="274">
        <v>0.87</v>
      </c>
      <c r="AH387" s="274">
        <v>0.87</v>
      </c>
      <c r="AI387" s="274">
        <v>0.87</v>
      </c>
      <c r="AJ387" s="274">
        <v>0.87</v>
      </c>
      <c r="AK387" s="274">
        <f t="shared" si="212"/>
        <v>0.87</v>
      </c>
      <c r="AL387" s="274">
        <f t="shared" si="213"/>
        <v>0.87</v>
      </c>
      <c r="AM387" s="274">
        <f t="shared" si="214"/>
        <v>0.87</v>
      </c>
      <c r="AN387" s="274">
        <f t="shared" si="215"/>
        <v>0.87</v>
      </c>
      <c r="AO387" s="262"/>
      <c r="AP387" s="262"/>
      <c r="AQ387" s="267">
        <v>6.8000000000000005E-2</v>
      </c>
      <c r="AR387" s="262"/>
      <c r="AS387" s="266">
        <f t="shared" si="216"/>
        <v>0</v>
      </c>
      <c r="AT387" s="264">
        <f t="shared" si="217"/>
        <v>0</v>
      </c>
      <c r="AU387" s="262"/>
      <c r="AV387" s="262"/>
      <c r="AW387" s="265">
        <v>6.8000000000000005E-2</v>
      </c>
      <c r="AX387" s="164" t="s">
        <v>1469</v>
      </c>
      <c r="AY387" s="266">
        <v>0</v>
      </c>
      <c r="AZ387" s="266">
        <f t="shared" si="218"/>
        <v>0</v>
      </c>
      <c r="BA387" s="264">
        <f t="shared" si="219"/>
        <v>0</v>
      </c>
      <c r="BB387" s="262"/>
      <c r="BC387" s="262"/>
      <c r="BD387" s="265">
        <f ca="1">IFERROR(INDEX(Algorithms!$G:$G,MATCH($C387&amp;"_Therm Saved per Unit",Algorithms!$A:$A,0)),0)</f>
        <v>6.8000000000000005E-2</v>
      </c>
      <c r="BE387" s="164" t="str">
        <f ca="1">IFERROR(INDEX('v12 Revisions'!$P$29:$P$186, MATCH('Measure-Level Adj Gas'!$L387, 'v12 Revisions'!$D$29:$D$186,0)),"")</f>
        <v>n/a - language and costs.</v>
      </c>
      <c r="BF387" s="266">
        <f t="shared" ca="1" si="220"/>
        <v>0</v>
      </c>
      <c r="BG387" s="264">
        <f t="shared" ca="1" si="221"/>
        <v>0</v>
      </c>
      <c r="BH387" s="262"/>
      <c r="BI387" s="262"/>
      <c r="BJ387" s="265">
        <f ca="1">IFERROR(INDEX(Algorithms!$G:$G,MATCH($C387&amp;"_Therm Saved per Unit",Algorithms!$A:$A,0)),0)</f>
        <v>6.8000000000000005E-2</v>
      </c>
      <c r="BK387" s="164"/>
      <c r="BL387" s="266">
        <f t="shared" ca="1" si="222"/>
        <v>0</v>
      </c>
      <c r="BM387" s="264">
        <f t="shared" ca="1" si="223"/>
        <v>0</v>
      </c>
      <c r="BN387" s="266">
        <f t="shared" si="224"/>
        <v>0</v>
      </c>
      <c r="BO387" s="266">
        <f t="shared" si="225"/>
        <v>0</v>
      </c>
      <c r="BP387" s="266">
        <f t="shared" ca="1" si="226"/>
        <v>0</v>
      </c>
      <c r="BQ387" s="266">
        <f t="shared" ca="1" si="227"/>
        <v>0</v>
      </c>
      <c r="BR387" s="268">
        <f t="shared" ca="1" si="228"/>
        <v>0</v>
      </c>
      <c r="BS387" s="262" t="s">
        <v>99</v>
      </c>
      <c r="BT387" s="277"/>
      <c r="BW387" s="266">
        <f t="shared" si="229"/>
        <v>0</v>
      </c>
      <c r="BX387" s="266">
        <f t="shared" si="230"/>
        <v>0</v>
      </c>
      <c r="BY387" s="266">
        <f t="shared" si="231"/>
        <v>0</v>
      </c>
      <c r="BZ387" s="266">
        <f t="shared" si="232"/>
        <v>0</v>
      </c>
      <c r="CA387" s="266">
        <f ca="1">N387*IFERROR(INDEX(Algorithms!$G:$G,MATCH($C387&amp;"_Therm Saved per Unit- MLA",Algorithms!$A:$A,0)),0)*X387</f>
        <v>0</v>
      </c>
      <c r="CB387" s="266">
        <f ca="1">O387*IFERROR(INDEX(Algorithms!$G:$G,MATCH($C387&amp;"_Therm Saved per Unit- MLA",Algorithms!$A:$A,0)),0)*Y387</f>
        <v>0</v>
      </c>
      <c r="CC387" s="266">
        <f ca="1">P387*IFERROR(INDEX(Algorithms!$G:$G,MATCH($C387&amp;"_Therm Saved per Unit- MLA",Algorithms!$A:$A,0)),0)*Z387</f>
        <v>0</v>
      </c>
      <c r="CD387" s="266">
        <f ca="1">Q387*IFERROR(INDEX(Algorithms!$G:$G,MATCH($C387&amp;"_Therm Saved per Unit- MLA",Algorithms!$A:$A,0)),0)*AA387</f>
        <v>0</v>
      </c>
      <c r="CE387" s="266">
        <f ca="1">IFERROR(INDEX(Algorithms!$G:$G,MATCH($C387&amp;"_Lifetime (years)",Algorithms!$A:$A,0)),0)</f>
        <v>10</v>
      </c>
      <c r="CF387" s="266">
        <f ca="1">IFERROR(INDEX(Algorithms!$G:$G,MATCH($C387&amp;"_Lifetime (years) - Remaining Years",Algorithms!$A:$A,0)),0)</f>
        <v>0</v>
      </c>
      <c r="CG387" s="266">
        <f t="shared" ca="1" si="233"/>
        <v>0</v>
      </c>
      <c r="CH387" s="266">
        <f t="shared" ca="1" si="234"/>
        <v>0</v>
      </c>
      <c r="CI387" s="266">
        <f t="shared" ca="1" si="235"/>
        <v>0</v>
      </c>
      <c r="CJ387" s="266">
        <f t="shared" ca="1" si="236"/>
        <v>0</v>
      </c>
      <c r="CK387" s="266">
        <f t="shared" si="237"/>
        <v>0</v>
      </c>
      <c r="CL387" s="266">
        <f t="shared" si="238"/>
        <v>0</v>
      </c>
      <c r="CM387" s="266">
        <f t="shared" ca="1" si="239"/>
        <v>0</v>
      </c>
      <c r="CN387" s="266">
        <f t="shared" ca="1" si="240"/>
        <v>0</v>
      </c>
      <c r="CO387" s="266">
        <f ca="1">N387*IFERROR(INDEX(Algorithms!$G:$G,MATCH($C387&amp;"_Therm Saved per Unit- MLA",Algorithms!$A:$A,0)),0)*X387</f>
        <v>0</v>
      </c>
      <c r="CP387" s="266">
        <f ca="1">O387*IFERROR(INDEX(Algorithms!$G:$G,MATCH($C387&amp;"_Therm Saved per Unit- MLA",Algorithms!$A:$A,0)),0)*Y387</f>
        <v>0</v>
      </c>
      <c r="CQ387" s="266">
        <f ca="1">P387*IFERROR(INDEX(Algorithms!$G:$G,MATCH($C387&amp;"_Therm Saved per Unit- MLA",Algorithms!$A:$A,0)),0)*Z387</f>
        <v>0</v>
      </c>
      <c r="CR387" s="266">
        <f ca="1">Q387*IFERROR(INDEX(Algorithms!$G:$G,MATCH($C387&amp;"_Therm Saved per Unit- MLA",Algorithms!$A:$A,0)),0)*AA387</f>
        <v>0</v>
      </c>
      <c r="CS387" s="266">
        <f ca="1">IFERROR(INDEX(Algorithms!$G:$G,MATCH($C387&amp;"_Lifetime (years)",Algorithms!$A:$A,0)),0)</f>
        <v>10</v>
      </c>
      <c r="CT387" s="266">
        <f ca="1">IFERROR(INDEX(Algorithms!$G:$G,MATCH($C387&amp;"_Lifetime (years) - Remaining Years",Algorithms!$A:$A,0)),0)</f>
        <v>0</v>
      </c>
      <c r="CU387" s="266">
        <f t="shared" ca="1" si="241"/>
        <v>0</v>
      </c>
      <c r="CV387" s="266">
        <f t="shared" ca="1" si="242"/>
        <v>0</v>
      </c>
      <c r="CW387" s="266">
        <f t="shared" ca="1" si="243"/>
        <v>0</v>
      </c>
      <c r="CX387" s="266">
        <f t="shared" ca="1" si="244"/>
        <v>0</v>
      </c>
    </row>
    <row r="388" spans="2:102" s="47" customFormat="1" ht="18" customHeight="1" x14ac:dyDescent="0.25">
      <c r="B388" t="str">
        <f t="shared" si="245"/>
        <v>NSG_Residential_Multi-Family_Standard Rebate_Modulating Commercial Gas Clothes Dryer_Hotels &amp; Hospitals_CI</v>
      </c>
      <c r="C388" s="47" t="str">
        <f t="shared" si="206"/>
        <v>Modulating Commercial Gas Clothes Dryer_Hotels &amp; Hospitals_CI</v>
      </c>
      <c r="D388" s="270" t="s">
        <v>1787</v>
      </c>
      <c r="E388" s="270" t="s">
        <v>2</v>
      </c>
      <c r="F388" s="270" t="s">
        <v>1422</v>
      </c>
      <c r="G388" s="270" t="s">
        <v>1418</v>
      </c>
      <c r="H388" s="270" t="s">
        <v>12</v>
      </c>
      <c r="I388" s="270" t="s">
        <v>1253</v>
      </c>
      <c r="J388" s="270" t="s">
        <v>1159</v>
      </c>
      <c r="K388" s="263">
        <v>1</v>
      </c>
      <c r="L388" s="263" t="str">
        <f ca="1">IFERROR(INDEX(Algorithms!J:J,MATCH($C388&amp;"_Therm Saved per Unit",Algorithms!$A:$A,0)),"n/a")</f>
        <v>4.8.4</v>
      </c>
      <c r="M388" s="263" t="str">
        <f>IFERROR(INDEX('Measure Level Detail'!$N:$N,MATCH($B388,'Measure Level Detail'!$B:$B,0)),0)</f>
        <v>each</v>
      </c>
      <c r="N388" s="271">
        <f>IFERROR(INDEX('Measure Level Detail'!$P:$P,MATCH($B388&amp;"_"&amp;N$3,'Measure Level Detail'!$C:$C,0)),0)</f>
        <v>0</v>
      </c>
      <c r="O388" s="271">
        <f>IFERROR(INDEX('Measure Level Detail'!$P:$P,MATCH($B388&amp;"_"&amp;O$3,'Measure Level Detail'!$C:$C,0)),0)</f>
        <v>0</v>
      </c>
      <c r="P388" s="271">
        <f>IFERROR(INDEX('Measure Level Detail'!$P:$P,MATCH($B388&amp;"_"&amp;P$3,'Measure Level Detail'!$C:$C,0)),0)</f>
        <v>0</v>
      </c>
      <c r="Q388" s="271">
        <f>IFERROR(INDEX('Measure Level Detail'!$P:$P,MATCH($B388&amp;"_"&amp;Q$3,'Measure Level Detail'!$C:$C,0)),0)</f>
        <v>0</v>
      </c>
      <c r="R388" s="263" t="str">
        <f ca="1">IFERROR(INDEX(Algorithms!K:K,MATCH($C388&amp;"_Therm Saved per Unit",Algorithms!$A:$A,0)),"n/a")</f>
        <v>CI-MSC-MODD-V02-230101</v>
      </c>
      <c r="S388" s="262"/>
      <c r="T388" s="272">
        <v>649.26</v>
      </c>
      <c r="U388" s="272">
        <v>649.26</v>
      </c>
      <c r="V388" s="272">
        <v>649.26</v>
      </c>
      <c r="W388" s="272">
        <v>649.26</v>
      </c>
      <c r="X388" s="273">
        <f>IFERROR(INDEX('Measure Level Detail'!$R:$R,MATCH($B388&amp;"_"&amp;X$3,'Measure Level Detail'!$C:$C,0)),0)</f>
        <v>0.87</v>
      </c>
      <c r="Y388" s="273">
        <f>IFERROR(INDEX('Measure Level Detail'!$R:$R,MATCH($B388&amp;"_"&amp;Y$3,'Measure Level Detail'!$C:$C,0)),0)</f>
        <v>0.87</v>
      </c>
      <c r="Z388" s="273">
        <f>IFERROR(INDEX('Measure Level Detail'!$R:$R,MATCH($B388&amp;"_"&amp;Z$3,'Measure Level Detail'!$C:$C,0)),0)</f>
        <v>0.87</v>
      </c>
      <c r="AA388" s="273">
        <f>IFERROR(INDEX('Measure Level Detail'!$R:$R,MATCH($B388&amp;"_"&amp;AA$3,'Measure Level Detail'!$C:$C,0)),0)</f>
        <v>0.87</v>
      </c>
      <c r="AB388" s="266">
        <f t="shared" si="207"/>
        <v>0</v>
      </c>
      <c r="AC388" s="266">
        <f t="shared" si="208"/>
        <v>0</v>
      </c>
      <c r="AD388" s="266">
        <f t="shared" si="209"/>
        <v>0</v>
      </c>
      <c r="AE388" s="266">
        <f t="shared" si="210"/>
        <v>0</v>
      </c>
      <c r="AF388" s="266">
        <f t="shared" si="211"/>
        <v>0</v>
      </c>
      <c r="AG388" s="274">
        <v>0.87</v>
      </c>
      <c r="AH388" s="274">
        <v>0.87</v>
      </c>
      <c r="AI388" s="274">
        <v>0.87</v>
      </c>
      <c r="AJ388" s="274">
        <v>0.87</v>
      </c>
      <c r="AK388" s="274">
        <f t="shared" si="212"/>
        <v>0.87</v>
      </c>
      <c r="AL388" s="274">
        <f t="shared" si="213"/>
        <v>0.87</v>
      </c>
      <c r="AM388" s="274">
        <f t="shared" si="214"/>
        <v>0.87</v>
      </c>
      <c r="AN388" s="274">
        <f t="shared" si="215"/>
        <v>0.87</v>
      </c>
      <c r="AO388" s="262"/>
      <c r="AP388" s="262"/>
      <c r="AQ388" s="267">
        <v>649.26</v>
      </c>
      <c r="AR388" s="262"/>
      <c r="AS388" s="266">
        <f t="shared" si="216"/>
        <v>0</v>
      </c>
      <c r="AT388" s="264">
        <f t="shared" si="217"/>
        <v>0</v>
      </c>
      <c r="AU388" s="262"/>
      <c r="AV388" s="262"/>
      <c r="AW388" s="265">
        <v>649.26</v>
      </c>
      <c r="AX388" s="164" t="s">
        <v>2396</v>
      </c>
      <c r="AY388" s="266">
        <v>0</v>
      </c>
      <c r="AZ388" s="266">
        <f t="shared" si="218"/>
        <v>0</v>
      </c>
      <c r="BA388" s="264">
        <f t="shared" si="219"/>
        <v>0</v>
      </c>
      <c r="BB388" s="262"/>
      <c r="BC388" s="262"/>
      <c r="BD388" s="265">
        <f ca="1">IFERROR(INDEX(Algorithms!$G:$G,MATCH($C388&amp;"_Therm Saved per Unit",Algorithms!$A:$A,0)),0)</f>
        <v>649.26</v>
      </c>
      <c r="BE388" s="164" t="str">
        <f ca="1">IFERROR(INDEX('v12 Revisions'!$P$29:$P$186, MATCH('Measure-Level Adj Gas'!$L388, 'v12 Revisions'!$D$29:$D$186,0)),"")</f>
        <v/>
      </c>
      <c r="BF388" s="266">
        <f t="shared" ca="1" si="220"/>
        <v>0</v>
      </c>
      <c r="BG388" s="264">
        <f t="shared" ca="1" si="221"/>
        <v>0</v>
      </c>
      <c r="BH388" s="262"/>
      <c r="BI388" s="262"/>
      <c r="BJ388" s="265">
        <f ca="1">IFERROR(INDEX(Algorithms!$G:$G,MATCH($C388&amp;"_Therm Saved per Unit",Algorithms!$A:$A,0)),0)</f>
        <v>649.26</v>
      </c>
      <c r="BK388" s="164"/>
      <c r="BL388" s="266">
        <f t="shared" ca="1" si="222"/>
        <v>0</v>
      </c>
      <c r="BM388" s="264">
        <f t="shared" ca="1" si="223"/>
        <v>0</v>
      </c>
      <c r="BN388" s="266">
        <f t="shared" si="224"/>
        <v>0</v>
      </c>
      <c r="BO388" s="266">
        <f t="shared" si="225"/>
        <v>0</v>
      </c>
      <c r="BP388" s="266">
        <f t="shared" ca="1" si="226"/>
        <v>0</v>
      </c>
      <c r="BQ388" s="266">
        <f t="shared" ca="1" si="227"/>
        <v>0</v>
      </c>
      <c r="BR388" s="268">
        <f t="shared" ca="1" si="228"/>
        <v>0</v>
      </c>
      <c r="BS388" s="262" t="s">
        <v>99</v>
      </c>
      <c r="BT388" s="277"/>
      <c r="BW388" s="266">
        <f t="shared" si="229"/>
        <v>0</v>
      </c>
      <c r="BX388" s="266">
        <f t="shared" si="230"/>
        <v>0</v>
      </c>
      <c r="BY388" s="266">
        <f t="shared" si="231"/>
        <v>0</v>
      </c>
      <c r="BZ388" s="266">
        <f t="shared" si="232"/>
        <v>0</v>
      </c>
      <c r="CA388" s="266">
        <f ca="1">N388*IFERROR(INDEX(Algorithms!$G:$G,MATCH($C388&amp;"_Therm Saved per Unit- MLA",Algorithms!$A:$A,0)),0)*X388</f>
        <v>0</v>
      </c>
      <c r="CB388" s="266">
        <f ca="1">O388*IFERROR(INDEX(Algorithms!$G:$G,MATCH($C388&amp;"_Therm Saved per Unit- MLA",Algorithms!$A:$A,0)),0)*Y388</f>
        <v>0</v>
      </c>
      <c r="CC388" s="266">
        <f ca="1">P388*IFERROR(INDEX(Algorithms!$G:$G,MATCH($C388&amp;"_Therm Saved per Unit- MLA",Algorithms!$A:$A,0)),0)*Z388</f>
        <v>0</v>
      </c>
      <c r="CD388" s="266">
        <f ca="1">Q388*IFERROR(INDEX(Algorithms!$G:$G,MATCH($C388&amp;"_Therm Saved per Unit- MLA",Algorithms!$A:$A,0)),0)*AA388</f>
        <v>0</v>
      </c>
      <c r="CE388" s="266">
        <f ca="1">IFERROR(INDEX(Algorithms!$G:$G,MATCH($C388&amp;"_Lifetime (years)",Algorithms!$A:$A,0)),0)</f>
        <v>10</v>
      </c>
      <c r="CF388" s="266">
        <f ca="1">IFERROR(INDEX(Algorithms!$G:$G,MATCH($C388&amp;"_Lifetime (years) - Remaining Years",Algorithms!$A:$A,0)),0)</f>
        <v>0</v>
      </c>
      <c r="CG388" s="266">
        <f t="shared" ca="1" si="233"/>
        <v>0</v>
      </c>
      <c r="CH388" s="266">
        <f t="shared" ca="1" si="234"/>
        <v>0</v>
      </c>
      <c r="CI388" s="266">
        <f t="shared" ca="1" si="235"/>
        <v>0</v>
      </c>
      <c r="CJ388" s="266">
        <f t="shared" ca="1" si="236"/>
        <v>0</v>
      </c>
      <c r="CK388" s="266">
        <f t="shared" si="237"/>
        <v>0</v>
      </c>
      <c r="CL388" s="266">
        <f t="shared" si="238"/>
        <v>0</v>
      </c>
      <c r="CM388" s="266">
        <f t="shared" ca="1" si="239"/>
        <v>0</v>
      </c>
      <c r="CN388" s="266">
        <f t="shared" ca="1" si="240"/>
        <v>0</v>
      </c>
      <c r="CO388" s="266">
        <f ca="1">N388*IFERROR(INDEX(Algorithms!$G:$G,MATCH($C388&amp;"_Therm Saved per Unit- MLA",Algorithms!$A:$A,0)),0)*X388</f>
        <v>0</v>
      </c>
      <c r="CP388" s="266">
        <f ca="1">O388*IFERROR(INDEX(Algorithms!$G:$G,MATCH($C388&amp;"_Therm Saved per Unit- MLA",Algorithms!$A:$A,0)),0)*Y388</f>
        <v>0</v>
      </c>
      <c r="CQ388" s="266">
        <f ca="1">P388*IFERROR(INDEX(Algorithms!$G:$G,MATCH($C388&amp;"_Therm Saved per Unit- MLA",Algorithms!$A:$A,0)),0)*Z388</f>
        <v>0</v>
      </c>
      <c r="CR388" s="266">
        <f ca="1">Q388*IFERROR(INDEX(Algorithms!$G:$G,MATCH($C388&amp;"_Therm Saved per Unit- MLA",Algorithms!$A:$A,0)),0)*AA388</f>
        <v>0</v>
      </c>
      <c r="CS388" s="266">
        <f ca="1">IFERROR(INDEX(Algorithms!$G:$G,MATCH($C388&amp;"_Lifetime (years)",Algorithms!$A:$A,0)),0)</f>
        <v>10</v>
      </c>
      <c r="CT388" s="266">
        <f ca="1">IFERROR(INDEX(Algorithms!$G:$G,MATCH($C388&amp;"_Lifetime (years) - Remaining Years",Algorithms!$A:$A,0)),0)</f>
        <v>0</v>
      </c>
      <c r="CU388" s="266">
        <f t="shared" ca="1" si="241"/>
        <v>0</v>
      </c>
      <c r="CV388" s="266">
        <f t="shared" ca="1" si="242"/>
        <v>0</v>
      </c>
      <c r="CW388" s="266">
        <f t="shared" ca="1" si="243"/>
        <v>0</v>
      </c>
      <c r="CX388" s="266">
        <f t="shared" ca="1" si="244"/>
        <v>0</v>
      </c>
    </row>
    <row r="389" spans="2:102" s="47" customFormat="1" ht="18" customHeight="1" x14ac:dyDescent="0.25">
      <c r="B389" t="str">
        <f t="shared" si="245"/>
        <v>NSG_Residential_Multi-Family_Standard Rebate_Modulating Commercial Gas Clothes Dryer_Laundromat &amp; MF Dorms_MF/SMB</v>
      </c>
      <c r="C389" s="47" t="str">
        <f t="shared" si="206"/>
        <v>Modulating Commercial Gas Clothes Dryer_Laundromat &amp; MF Dorms_MF/SMB</v>
      </c>
      <c r="D389" s="270" t="s">
        <v>1787</v>
      </c>
      <c r="E389" s="270" t="s">
        <v>2</v>
      </c>
      <c r="F389" s="270" t="s">
        <v>1422</v>
      </c>
      <c r="G389" s="270" t="s">
        <v>1418</v>
      </c>
      <c r="H389" s="270" t="s">
        <v>12</v>
      </c>
      <c r="I389" s="270" t="s">
        <v>1255</v>
      </c>
      <c r="J389" s="270" t="s">
        <v>1256</v>
      </c>
      <c r="K389" s="263">
        <v>1</v>
      </c>
      <c r="L389" s="263" t="str">
        <f ca="1">IFERROR(INDEX(Algorithms!J:J,MATCH($C389&amp;"_Therm Saved per Unit",Algorithms!$A:$A,0)),"n/a")</f>
        <v>4.8.4</v>
      </c>
      <c r="M389" s="263" t="str">
        <f>IFERROR(INDEX('Measure Level Detail'!$N:$N,MATCH($B389,'Measure Level Detail'!$B:$B,0)),0)</f>
        <v>each</v>
      </c>
      <c r="N389" s="271">
        <f>IFERROR(INDEX('Measure Level Detail'!$P:$P,MATCH($B389&amp;"_"&amp;N$3,'Measure Level Detail'!$C:$C,0)),0)</f>
        <v>0</v>
      </c>
      <c r="O389" s="271">
        <f>IFERROR(INDEX('Measure Level Detail'!$P:$P,MATCH($B389&amp;"_"&amp;O$3,'Measure Level Detail'!$C:$C,0)),0)</f>
        <v>0</v>
      </c>
      <c r="P389" s="271">
        <f>IFERROR(INDEX('Measure Level Detail'!$P:$P,MATCH($B389&amp;"_"&amp;P$3,'Measure Level Detail'!$C:$C,0)),0)</f>
        <v>0</v>
      </c>
      <c r="Q389" s="271">
        <f>IFERROR(INDEX('Measure Level Detail'!$P:$P,MATCH($B389&amp;"_"&amp;Q$3,'Measure Level Detail'!$C:$C,0)),0)</f>
        <v>0</v>
      </c>
      <c r="R389" s="263" t="str">
        <f ca="1">IFERROR(INDEX(Algorithms!K:K,MATCH($C389&amp;"_Therm Saved per Unit",Algorithms!$A:$A,0)),"n/a")</f>
        <v>CI-MSC-MODD-V02-230101</v>
      </c>
      <c r="S389" s="262"/>
      <c r="T389" s="272">
        <v>230.13</v>
      </c>
      <c r="U389" s="272">
        <v>230.13</v>
      </c>
      <c r="V389" s="272">
        <v>230.13</v>
      </c>
      <c r="W389" s="272">
        <v>230.13</v>
      </c>
      <c r="X389" s="273">
        <f>IFERROR(INDEX('Measure Level Detail'!$R:$R,MATCH($B389&amp;"_"&amp;X$3,'Measure Level Detail'!$C:$C,0)),0)</f>
        <v>0.87</v>
      </c>
      <c r="Y389" s="273">
        <f>IFERROR(INDEX('Measure Level Detail'!$R:$R,MATCH($B389&amp;"_"&amp;Y$3,'Measure Level Detail'!$C:$C,0)),0)</f>
        <v>0.87</v>
      </c>
      <c r="Z389" s="273">
        <f>IFERROR(INDEX('Measure Level Detail'!$R:$R,MATCH($B389&amp;"_"&amp;Z$3,'Measure Level Detail'!$C:$C,0)),0)</f>
        <v>0.87</v>
      </c>
      <c r="AA389" s="273">
        <f>IFERROR(INDEX('Measure Level Detail'!$R:$R,MATCH($B389&amp;"_"&amp;AA$3,'Measure Level Detail'!$C:$C,0)),0)</f>
        <v>0.87</v>
      </c>
      <c r="AB389" s="266">
        <f t="shared" si="207"/>
        <v>0</v>
      </c>
      <c r="AC389" s="266">
        <f t="shared" si="208"/>
        <v>0</v>
      </c>
      <c r="AD389" s="266">
        <f t="shared" si="209"/>
        <v>0</v>
      </c>
      <c r="AE389" s="266">
        <f t="shared" si="210"/>
        <v>0</v>
      </c>
      <c r="AF389" s="266">
        <f t="shared" si="211"/>
        <v>0</v>
      </c>
      <c r="AG389" s="274">
        <v>0.87</v>
      </c>
      <c r="AH389" s="274">
        <v>0.87</v>
      </c>
      <c r="AI389" s="274">
        <v>0.87</v>
      </c>
      <c r="AJ389" s="274">
        <v>0.87</v>
      </c>
      <c r="AK389" s="274">
        <f t="shared" si="212"/>
        <v>0.87</v>
      </c>
      <c r="AL389" s="274">
        <f t="shared" si="213"/>
        <v>0.87</v>
      </c>
      <c r="AM389" s="274">
        <f t="shared" si="214"/>
        <v>0.87</v>
      </c>
      <c r="AN389" s="274">
        <f t="shared" si="215"/>
        <v>0.87</v>
      </c>
      <c r="AO389" s="262"/>
      <c r="AP389" s="262"/>
      <c r="AQ389" s="267">
        <v>230.13</v>
      </c>
      <c r="AR389" s="262"/>
      <c r="AS389" s="266">
        <f t="shared" si="216"/>
        <v>0</v>
      </c>
      <c r="AT389" s="264">
        <f t="shared" si="217"/>
        <v>0</v>
      </c>
      <c r="AU389" s="262"/>
      <c r="AV389" s="262"/>
      <c r="AW389" s="265">
        <v>230.13</v>
      </c>
      <c r="AX389" s="164" t="s">
        <v>2396</v>
      </c>
      <c r="AY389" s="266">
        <v>0</v>
      </c>
      <c r="AZ389" s="266">
        <f t="shared" si="218"/>
        <v>0</v>
      </c>
      <c r="BA389" s="264">
        <f t="shared" si="219"/>
        <v>0</v>
      </c>
      <c r="BB389" s="262"/>
      <c r="BC389" s="262"/>
      <c r="BD389" s="265">
        <f ca="1">IFERROR(INDEX(Algorithms!$G:$G,MATCH($C389&amp;"_Therm Saved per Unit",Algorithms!$A:$A,0)),0)</f>
        <v>230.13</v>
      </c>
      <c r="BE389" s="164" t="str">
        <f ca="1">IFERROR(INDEX('v12 Revisions'!$P$29:$P$186, MATCH('Measure-Level Adj Gas'!$L389, 'v12 Revisions'!$D$29:$D$186,0)),"")</f>
        <v/>
      </c>
      <c r="BF389" s="266">
        <f t="shared" ca="1" si="220"/>
        <v>0</v>
      </c>
      <c r="BG389" s="264">
        <f t="shared" ca="1" si="221"/>
        <v>0</v>
      </c>
      <c r="BH389" s="262"/>
      <c r="BI389" s="262"/>
      <c r="BJ389" s="265">
        <f ca="1">IFERROR(INDEX(Algorithms!$G:$G,MATCH($C389&amp;"_Therm Saved per Unit",Algorithms!$A:$A,0)),0)</f>
        <v>230.13</v>
      </c>
      <c r="BK389" s="164"/>
      <c r="BL389" s="266">
        <f t="shared" ca="1" si="222"/>
        <v>0</v>
      </c>
      <c r="BM389" s="264">
        <f t="shared" ca="1" si="223"/>
        <v>0</v>
      </c>
      <c r="BN389" s="266">
        <f t="shared" si="224"/>
        <v>0</v>
      </c>
      <c r="BO389" s="266">
        <f t="shared" si="225"/>
        <v>0</v>
      </c>
      <c r="BP389" s="266">
        <f t="shared" ca="1" si="226"/>
        <v>0</v>
      </c>
      <c r="BQ389" s="266">
        <f t="shared" ca="1" si="227"/>
        <v>0</v>
      </c>
      <c r="BR389" s="268">
        <f t="shared" ca="1" si="228"/>
        <v>0</v>
      </c>
      <c r="BS389" s="262" t="s">
        <v>99</v>
      </c>
      <c r="BT389" s="277"/>
      <c r="BW389" s="266">
        <f t="shared" si="229"/>
        <v>0</v>
      </c>
      <c r="BX389" s="266">
        <f t="shared" si="230"/>
        <v>0</v>
      </c>
      <c r="BY389" s="266">
        <f t="shared" si="231"/>
        <v>0</v>
      </c>
      <c r="BZ389" s="266">
        <f t="shared" si="232"/>
        <v>0</v>
      </c>
      <c r="CA389" s="266">
        <f ca="1">N389*IFERROR(INDEX(Algorithms!$G:$G,MATCH($C389&amp;"_Therm Saved per Unit- MLA",Algorithms!$A:$A,0)),0)*X389</f>
        <v>0</v>
      </c>
      <c r="CB389" s="266">
        <f ca="1">O389*IFERROR(INDEX(Algorithms!$G:$G,MATCH($C389&amp;"_Therm Saved per Unit- MLA",Algorithms!$A:$A,0)),0)*Y389</f>
        <v>0</v>
      </c>
      <c r="CC389" s="266">
        <f ca="1">P389*IFERROR(INDEX(Algorithms!$G:$G,MATCH($C389&amp;"_Therm Saved per Unit- MLA",Algorithms!$A:$A,0)),0)*Z389</f>
        <v>0</v>
      </c>
      <c r="CD389" s="266">
        <f ca="1">Q389*IFERROR(INDEX(Algorithms!$G:$G,MATCH($C389&amp;"_Therm Saved per Unit- MLA",Algorithms!$A:$A,0)),0)*AA389</f>
        <v>0</v>
      </c>
      <c r="CE389" s="266">
        <f ca="1">IFERROR(INDEX(Algorithms!$G:$G,MATCH($C389&amp;"_Lifetime (years)",Algorithms!$A:$A,0)),0)</f>
        <v>10</v>
      </c>
      <c r="CF389" s="266">
        <f ca="1">IFERROR(INDEX(Algorithms!$G:$G,MATCH($C389&amp;"_Lifetime (years) - Remaining Years",Algorithms!$A:$A,0)),0)</f>
        <v>0</v>
      </c>
      <c r="CG389" s="266">
        <f t="shared" ca="1" si="233"/>
        <v>0</v>
      </c>
      <c r="CH389" s="266">
        <f t="shared" ca="1" si="234"/>
        <v>0</v>
      </c>
      <c r="CI389" s="266">
        <f t="shared" ca="1" si="235"/>
        <v>0</v>
      </c>
      <c r="CJ389" s="266">
        <f t="shared" ca="1" si="236"/>
        <v>0</v>
      </c>
      <c r="CK389" s="266">
        <f t="shared" si="237"/>
        <v>0</v>
      </c>
      <c r="CL389" s="266">
        <f t="shared" si="238"/>
        <v>0</v>
      </c>
      <c r="CM389" s="266">
        <f t="shared" ca="1" si="239"/>
        <v>0</v>
      </c>
      <c r="CN389" s="266">
        <f t="shared" ca="1" si="240"/>
        <v>0</v>
      </c>
      <c r="CO389" s="266">
        <f ca="1">N389*IFERROR(INDEX(Algorithms!$G:$G,MATCH($C389&amp;"_Therm Saved per Unit- MLA",Algorithms!$A:$A,0)),0)*X389</f>
        <v>0</v>
      </c>
      <c r="CP389" s="266">
        <f ca="1">O389*IFERROR(INDEX(Algorithms!$G:$G,MATCH($C389&amp;"_Therm Saved per Unit- MLA",Algorithms!$A:$A,0)),0)*Y389</f>
        <v>0</v>
      </c>
      <c r="CQ389" s="266">
        <f ca="1">P389*IFERROR(INDEX(Algorithms!$G:$G,MATCH($C389&amp;"_Therm Saved per Unit- MLA",Algorithms!$A:$A,0)),0)*Z389</f>
        <v>0</v>
      </c>
      <c r="CR389" s="266">
        <f ca="1">Q389*IFERROR(INDEX(Algorithms!$G:$G,MATCH($C389&amp;"_Therm Saved per Unit- MLA",Algorithms!$A:$A,0)),0)*AA389</f>
        <v>0</v>
      </c>
      <c r="CS389" s="266">
        <f ca="1">IFERROR(INDEX(Algorithms!$G:$G,MATCH($C389&amp;"_Lifetime (years)",Algorithms!$A:$A,0)),0)</f>
        <v>10</v>
      </c>
      <c r="CT389" s="266">
        <f ca="1">IFERROR(INDEX(Algorithms!$G:$G,MATCH($C389&amp;"_Lifetime (years) - Remaining Years",Algorithms!$A:$A,0)),0)</f>
        <v>0</v>
      </c>
      <c r="CU389" s="266">
        <f t="shared" ca="1" si="241"/>
        <v>0</v>
      </c>
      <c r="CV389" s="266">
        <f t="shared" ca="1" si="242"/>
        <v>0</v>
      </c>
      <c r="CW389" s="266">
        <f t="shared" ca="1" si="243"/>
        <v>0</v>
      </c>
      <c r="CX389" s="266">
        <f t="shared" ca="1" si="244"/>
        <v>0</v>
      </c>
    </row>
    <row r="390" spans="2:102" s="47" customFormat="1" ht="18" customHeight="1" x14ac:dyDescent="0.25">
      <c r="B390" t="str">
        <f t="shared" si="245"/>
        <v>NSG_Residential_Multi-Family_Standard Rebate_Water Heater_Central/Indirect MF ≥88% TE_MF</v>
      </c>
      <c r="C390" s="47" t="str">
        <f t="shared" si="206"/>
        <v>Water Heater_Central/Indirect MF ≥88% TE_MF</v>
      </c>
      <c r="D390" s="270" t="s">
        <v>1787</v>
      </c>
      <c r="E390" s="270" t="s">
        <v>2</v>
      </c>
      <c r="F390" s="270" t="s">
        <v>1422</v>
      </c>
      <c r="G390" s="270" t="s">
        <v>1418</v>
      </c>
      <c r="H390" s="270" t="s">
        <v>8</v>
      </c>
      <c r="I390" s="270" t="s">
        <v>1066</v>
      </c>
      <c r="J390" s="270" t="s">
        <v>553</v>
      </c>
      <c r="K390" s="263">
        <v>1</v>
      </c>
      <c r="L390" s="263" t="str">
        <f ca="1">IFERROR(INDEX(Algorithms!J:J,MATCH($C390&amp;"_Therm Saved per Unit",Algorithms!$A:$A,0)),"n/a")</f>
        <v>4.3.7</v>
      </c>
      <c r="M390" s="263" t="str">
        <f>IFERROR(INDEX('Measure Level Detail'!$N:$N,MATCH($B390,'Measure Level Detail'!$B:$B,0)),0)</f>
        <v>each</v>
      </c>
      <c r="N390" s="271">
        <f>IFERROR(INDEX('Measure Level Detail'!$P:$P,MATCH($B390&amp;"_"&amp;N$3,'Measure Level Detail'!$C:$C,0)),0)</f>
        <v>0</v>
      </c>
      <c r="O390" s="271">
        <f>IFERROR(INDEX('Measure Level Detail'!$P:$P,MATCH($B390&amp;"_"&amp;O$3,'Measure Level Detail'!$C:$C,0)),0)</f>
        <v>0</v>
      </c>
      <c r="P390" s="271">
        <f>IFERROR(INDEX('Measure Level Detail'!$P:$P,MATCH($B390&amp;"_"&amp;P$3,'Measure Level Detail'!$C:$C,0)),0)</f>
        <v>0</v>
      </c>
      <c r="Q390" s="271">
        <f>IFERROR(INDEX('Measure Level Detail'!$P:$P,MATCH($B390&amp;"_"&amp;Q$3,'Measure Level Detail'!$C:$C,0)),0)</f>
        <v>0</v>
      </c>
      <c r="R390" s="263" t="str">
        <f ca="1">IFERROR(INDEX(Algorithms!K:K,MATCH($C390&amp;"_Therm Saved per Unit",Algorithms!$A:$A,0)),"n/a")</f>
        <v>CI-HWE-MDHW-V07-240101</v>
      </c>
      <c r="S390" s="262"/>
      <c r="T390" s="272">
        <v>453.64159574999974</v>
      </c>
      <c r="U390" s="272">
        <v>453.64159574999974</v>
      </c>
      <c r="V390" s="272">
        <v>453.64159574999974</v>
      </c>
      <c r="W390" s="272">
        <v>453.64159574999974</v>
      </c>
      <c r="X390" s="273">
        <f>IFERROR(INDEX('Measure Level Detail'!$R:$R,MATCH($B390&amp;"_"&amp;X$3,'Measure Level Detail'!$C:$C,0)),0)</f>
        <v>0.87</v>
      </c>
      <c r="Y390" s="273">
        <f>IFERROR(INDEX('Measure Level Detail'!$R:$R,MATCH($B390&amp;"_"&amp;Y$3,'Measure Level Detail'!$C:$C,0)),0)</f>
        <v>0.87</v>
      </c>
      <c r="Z390" s="273">
        <f>IFERROR(INDEX('Measure Level Detail'!$R:$R,MATCH($B390&amp;"_"&amp;Z$3,'Measure Level Detail'!$C:$C,0)),0)</f>
        <v>0.87</v>
      </c>
      <c r="AA390" s="273">
        <f>IFERROR(INDEX('Measure Level Detail'!$R:$R,MATCH($B390&amp;"_"&amp;AA$3,'Measure Level Detail'!$C:$C,0)),0)</f>
        <v>0.87</v>
      </c>
      <c r="AB390" s="266">
        <f t="shared" si="207"/>
        <v>0</v>
      </c>
      <c r="AC390" s="266">
        <f t="shared" si="208"/>
        <v>0</v>
      </c>
      <c r="AD390" s="266">
        <f t="shared" si="209"/>
        <v>0</v>
      </c>
      <c r="AE390" s="266">
        <f t="shared" si="210"/>
        <v>0</v>
      </c>
      <c r="AF390" s="266">
        <f t="shared" si="211"/>
        <v>0</v>
      </c>
      <c r="AG390" s="274">
        <v>0.87</v>
      </c>
      <c r="AH390" s="274">
        <v>0.87</v>
      </c>
      <c r="AI390" s="274">
        <v>0.87</v>
      </c>
      <c r="AJ390" s="274">
        <v>0.87</v>
      </c>
      <c r="AK390" s="274">
        <f t="shared" si="212"/>
        <v>0.87</v>
      </c>
      <c r="AL390" s="274">
        <f t="shared" si="213"/>
        <v>0.87</v>
      </c>
      <c r="AM390" s="274">
        <f t="shared" si="214"/>
        <v>0.87</v>
      </c>
      <c r="AN390" s="274">
        <f t="shared" si="215"/>
        <v>0.87</v>
      </c>
      <c r="AO390" s="262"/>
      <c r="AP390" s="262"/>
      <c r="AQ390" s="267">
        <v>474.72634597499967</v>
      </c>
      <c r="AR390" s="262"/>
      <c r="AS390" s="266">
        <f t="shared" si="216"/>
        <v>0</v>
      </c>
      <c r="AT390" s="264">
        <f t="shared" si="217"/>
        <v>0</v>
      </c>
      <c r="AU390" s="262"/>
      <c r="AV390" s="262"/>
      <c r="AW390" s="265">
        <v>474.72634597499967</v>
      </c>
      <c r="AX390" s="164" t="s">
        <v>1469</v>
      </c>
      <c r="AY390" s="266">
        <v>0</v>
      </c>
      <c r="AZ390" s="266">
        <f t="shared" si="218"/>
        <v>0</v>
      </c>
      <c r="BA390" s="264">
        <f t="shared" si="219"/>
        <v>0</v>
      </c>
      <c r="BB390" s="262"/>
      <c r="BC390" s="262"/>
      <c r="BD390" s="265">
        <f ca="1">IFERROR(INDEX(Algorithms!$G:$G,MATCH($C390&amp;"_Therm Saved per Unit",Algorithms!$A:$A,0)),0)</f>
        <v>474.72634597499967</v>
      </c>
      <c r="BE390" s="164" t="str">
        <f ca="1">IFERROR(INDEX('v12 Revisions'!$P$29:$P$186, MATCH('Measure-Level Adj Gas'!$L390, 'v12 Revisions'!$D$29:$D$186,0)),"")</f>
        <v>n/a - language only.</v>
      </c>
      <c r="BF390" s="266">
        <f t="shared" ca="1" si="220"/>
        <v>0</v>
      </c>
      <c r="BG390" s="264">
        <f t="shared" ca="1" si="221"/>
        <v>0</v>
      </c>
      <c r="BH390" s="262"/>
      <c r="BI390" s="262"/>
      <c r="BJ390" s="265">
        <f ca="1">IFERROR(INDEX(Algorithms!$G:$G,MATCH($C390&amp;"_Therm Saved per Unit",Algorithms!$A:$A,0)),0)</f>
        <v>474.72634597499967</v>
      </c>
      <c r="BK390" s="164"/>
      <c r="BL390" s="266">
        <f t="shared" ca="1" si="222"/>
        <v>0</v>
      </c>
      <c r="BM390" s="264">
        <f t="shared" ca="1" si="223"/>
        <v>0</v>
      </c>
      <c r="BN390" s="266">
        <f t="shared" si="224"/>
        <v>0</v>
      </c>
      <c r="BO390" s="266">
        <f t="shared" si="225"/>
        <v>0</v>
      </c>
      <c r="BP390" s="266">
        <f t="shared" ca="1" si="226"/>
        <v>0</v>
      </c>
      <c r="BQ390" s="266">
        <f t="shared" ca="1" si="227"/>
        <v>0</v>
      </c>
      <c r="BR390" s="268">
        <f t="shared" ca="1" si="228"/>
        <v>0</v>
      </c>
      <c r="BS390" s="262" t="s">
        <v>99</v>
      </c>
      <c r="BT390" s="277"/>
      <c r="BW390" s="266">
        <f t="shared" si="229"/>
        <v>0</v>
      </c>
      <c r="BX390" s="266">
        <f t="shared" si="230"/>
        <v>0</v>
      </c>
      <c r="BY390" s="266">
        <f t="shared" si="231"/>
        <v>0</v>
      </c>
      <c r="BZ390" s="266">
        <f t="shared" si="232"/>
        <v>0</v>
      </c>
      <c r="CA390" s="266">
        <f ca="1">N390*IFERROR(INDEX(Algorithms!$G:$G,MATCH($C390&amp;"_Therm Saved per Unit- MLA",Algorithms!$A:$A,0)),0)*X390</f>
        <v>0</v>
      </c>
      <c r="CB390" s="266">
        <f ca="1">O390*IFERROR(INDEX(Algorithms!$G:$G,MATCH($C390&amp;"_Therm Saved per Unit- MLA",Algorithms!$A:$A,0)),0)*Y390</f>
        <v>0</v>
      </c>
      <c r="CC390" s="266">
        <f ca="1">P390*IFERROR(INDEX(Algorithms!$G:$G,MATCH($C390&amp;"_Therm Saved per Unit- MLA",Algorithms!$A:$A,0)),0)*Z390</f>
        <v>0</v>
      </c>
      <c r="CD390" s="266">
        <f ca="1">Q390*IFERROR(INDEX(Algorithms!$G:$G,MATCH($C390&amp;"_Therm Saved per Unit- MLA",Algorithms!$A:$A,0)),0)*AA390</f>
        <v>0</v>
      </c>
      <c r="CE390" s="266">
        <f ca="1">IFERROR(INDEX(Algorithms!$G:$G,MATCH($C390&amp;"_Lifetime (years)",Algorithms!$A:$A,0)),0)</f>
        <v>15</v>
      </c>
      <c r="CF390" s="266">
        <f ca="1">IFERROR(INDEX(Algorithms!$G:$G,MATCH($C390&amp;"_Lifetime (years) - Remaining Years",Algorithms!$A:$A,0)),0)</f>
        <v>0</v>
      </c>
      <c r="CG390" s="266">
        <f t="shared" ca="1" si="233"/>
        <v>0</v>
      </c>
      <c r="CH390" s="266">
        <f t="shared" ca="1" si="234"/>
        <v>0</v>
      </c>
      <c r="CI390" s="266">
        <f t="shared" ca="1" si="235"/>
        <v>0</v>
      </c>
      <c r="CJ390" s="266">
        <f t="shared" ca="1" si="236"/>
        <v>0</v>
      </c>
      <c r="CK390" s="266">
        <f t="shared" si="237"/>
        <v>0</v>
      </c>
      <c r="CL390" s="266">
        <f t="shared" si="238"/>
        <v>0</v>
      </c>
      <c r="CM390" s="266">
        <f t="shared" ca="1" si="239"/>
        <v>0</v>
      </c>
      <c r="CN390" s="266">
        <f t="shared" ca="1" si="240"/>
        <v>0</v>
      </c>
      <c r="CO390" s="266">
        <f ca="1">N390*IFERROR(INDEX(Algorithms!$G:$G,MATCH($C390&amp;"_Therm Saved per Unit- MLA",Algorithms!$A:$A,0)),0)*X390</f>
        <v>0</v>
      </c>
      <c r="CP390" s="266">
        <f ca="1">O390*IFERROR(INDEX(Algorithms!$G:$G,MATCH($C390&amp;"_Therm Saved per Unit- MLA",Algorithms!$A:$A,0)),0)*Y390</f>
        <v>0</v>
      </c>
      <c r="CQ390" s="266">
        <f ca="1">P390*IFERROR(INDEX(Algorithms!$G:$G,MATCH($C390&amp;"_Therm Saved per Unit- MLA",Algorithms!$A:$A,0)),0)*Z390</f>
        <v>0</v>
      </c>
      <c r="CR390" s="266">
        <f ca="1">Q390*IFERROR(INDEX(Algorithms!$G:$G,MATCH($C390&amp;"_Therm Saved per Unit- MLA",Algorithms!$A:$A,0)),0)*AA390</f>
        <v>0</v>
      </c>
      <c r="CS390" s="266">
        <f ca="1">IFERROR(INDEX(Algorithms!$G:$G,MATCH($C390&amp;"_Lifetime (years)",Algorithms!$A:$A,0)),0)</f>
        <v>15</v>
      </c>
      <c r="CT390" s="266">
        <f ca="1">IFERROR(INDEX(Algorithms!$G:$G,MATCH($C390&amp;"_Lifetime (years) - Remaining Years",Algorithms!$A:$A,0)),0)</f>
        <v>0</v>
      </c>
      <c r="CU390" s="266">
        <f t="shared" ca="1" si="241"/>
        <v>0</v>
      </c>
      <c r="CV390" s="266">
        <f t="shared" ca="1" si="242"/>
        <v>0</v>
      </c>
      <c r="CW390" s="266">
        <f t="shared" ca="1" si="243"/>
        <v>0</v>
      </c>
      <c r="CX390" s="266">
        <f t="shared" ca="1" si="244"/>
        <v>0</v>
      </c>
    </row>
    <row r="391" spans="2:102" s="47" customFormat="1" ht="18" customHeight="1" x14ac:dyDescent="0.25">
      <c r="B391" t="str">
        <f t="shared" si="245"/>
        <v>NSG_Residential_Multi-Family_Standard Rebate_Water Heater_Storage 0.67 EF_MF</v>
      </c>
      <c r="C391" s="47" t="str">
        <f t="shared" si="206"/>
        <v>Water Heater_Storage 0.67 EF_MF</v>
      </c>
      <c r="D391" s="270" t="s">
        <v>1787</v>
      </c>
      <c r="E391" s="270" t="s">
        <v>2</v>
      </c>
      <c r="F391" s="270" t="s">
        <v>1422</v>
      </c>
      <c r="G391" s="270" t="s">
        <v>1418</v>
      </c>
      <c r="H391" s="270" t="s">
        <v>8</v>
      </c>
      <c r="I391" s="270" t="s">
        <v>879</v>
      </c>
      <c r="J391" s="270" t="s">
        <v>553</v>
      </c>
      <c r="K391" s="263">
        <v>1</v>
      </c>
      <c r="L391" s="263" t="str">
        <f ca="1">IFERROR(INDEX(Algorithms!J:J,MATCH($C391&amp;"_Therm Saved per Unit",Algorithms!$A:$A,0)),"n/a")</f>
        <v>4.3.1</v>
      </c>
      <c r="M391" s="263" t="str">
        <f>IFERROR(INDEX('Measure Level Detail'!$N:$N,MATCH($B391,'Measure Level Detail'!$B:$B,0)),0)</f>
        <v>each</v>
      </c>
      <c r="N391" s="271">
        <f>IFERROR(INDEX('Measure Level Detail'!$P:$P,MATCH($B391&amp;"_"&amp;N$3,'Measure Level Detail'!$C:$C,0)),0)</f>
        <v>0</v>
      </c>
      <c r="O391" s="271">
        <f>IFERROR(INDEX('Measure Level Detail'!$P:$P,MATCH($B391&amp;"_"&amp;O$3,'Measure Level Detail'!$C:$C,0)),0)</f>
        <v>0</v>
      </c>
      <c r="P391" s="271">
        <f>IFERROR(INDEX('Measure Level Detail'!$P:$P,MATCH($B391&amp;"_"&amp;P$3,'Measure Level Detail'!$C:$C,0)),0)</f>
        <v>0</v>
      </c>
      <c r="Q391" s="271">
        <f>IFERROR(INDEX('Measure Level Detail'!$P:$P,MATCH($B391&amp;"_"&amp;Q$3,'Measure Level Detail'!$C:$C,0)),0)</f>
        <v>0</v>
      </c>
      <c r="R391" s="263" t="str">
        <f ca="1">IFERROR(INDEX(Algorithms!K:K,MATCH($C391&amp;"_Therm Saved per Unit",Algorithms!$A:$A,0)),"n/a")</f>
        <v>CI-HWE-STWH-V10-240101</v>
      </c>
      <c r="S391" s="262"/>
      <c r="T391" s="272">
        <v>35.435517834876244</v>
      </c>
      <c r="U391" s="272">
        <v>35.435517834876244</v>
      </c>
      <c r="V391" s="272">
        <v>35.435517834876244</v>
      </c>
      <c r="W391" s="272">
        <v>35.435517834876244</v>
      </c>
      <c r="X391" s="273">
        <f>IFERROR(INDEX('Measure Level Detail'!$R:$R,MATCH($B391&amp;"_"&amp;X$3,'Measure Level Detail'!$C:$C,0)),0)</f>
        <v>0.87</v>
      </c>
      <c r="Y391" s="273">
        <f>IFERROR(INDEX('Measure Level Detail'!$R:$R,MATCH($B391&amp;"_"&amp;Y$3,'Measure Level Detail'!$C:$C,0)),0)</f>
        <v>0.87</v>
      </c>
      <c r="Z391" s="273">
        <f>IFERROR(INDEX('Measure Level Detail'!$R:$R,MATCH($B391&amp;"_"&amp;Z$3,'Measure Level Detail'!$C:$C,0)),0)</f>
        <v>0.87</v>
      </c>
      <c r="AA391" s="273">
        <f>IFERROR(INDEX('Measure Level Detail'!$R:$R,MATCH($B391&amp;"_"&amp;AA$3,'Measure Level Detail'!$C:$C,0)),0)</f>
        <v>0.87</v>
      </c>
      <c r="AB391" s="266">
        <f t="shared" si="207"/>
        <v>0</v>
      </c>
      <c r="AC391" s="266">
        <f t="shared" si="208"/>
        <v>0</v>
      </c>
      <c r="AD391" s="266">
        <f t="shared" si="209"/>
        <v>0</v>
      </c>
      <c r="AE391" s="266">
        <f t="shared" si="210"/>
        <v>0</v>
      </c>
      <c r="AF391" s="266">
        <f t="shared" si="211"/>
        <v>0</v>
      </c>
      <c r="AG391" s="274">
        <v>0.87</v>
      </c>
      <c r="AH391" s="274">
        <v>0.87</v>
      </c>
      <c r="AI391" s="274">
        <v>0.87</v>
      </c>
      <c r="AJ391" s="274">
        <v>0.87</v>
      </c>
      <c r="AK391" s="274">
        <f t="shared" si="212"/>
        <v>0.87</v>
      </c>
      <c r="AL391" s="274">
        <f t="shared" si="213"/>
        <v>0.87</v>
      </c>
      <c r="AM391" s="274">
        <f t="shared" si="214"/>
        <v>0.87</v>
      </c>
      <c r="AN391" s="274">
        <f t="shared" si="215"/>
        <v>0.87</v>
      </c>
      <c r="AO391" s="262"/>
      <c r="AP391" s="262"/>
      <c r="AQ391" s="267">
        <v>37.082520776497255</v>
      </c>
      <c r="AR391" s="262"/>
      <c r="AS391" s="266">
        <f t="shared" si="216"/>
        <v>0</v>
      </c>
      <c r="AT391" s="264">
        <f t="shared" si="217"/>
        <v>0</v>
      </c>
      <c r="AU391" s="262"/>
      <c r="AV391" s="262"/>
      <c r="AW391" s="265">
        <v>36.883152385225763</v>
      </c>
      <c r="AX391" s="164" t="s">
        <v>1469</v>
      </c>
      <c r="AY391" s="266">
        <v>0</v>
      </c>
      <c r="AZ391" s="266">
        <f t="shared" si="218"/>
        <v>0</v>
      </c>
      <c r="BA391" s="264">
        <f t="shared" si="219"/>
        <v>0</v>
      </c>
      <c r="BB391" s="262"/>
      <c r="BC391" s="262"/>
      <c r="BD391" s="265">
        <f ca="1">IFERROR(INDEX(Algorithms!$G:$G,MATCH($C391&amp;"_Therm Saved per Unit",Algorithms!$A:$A,0)),0)</f>
        <v>36.883152385225763</v>
      </c>
      <c r="BE391" s="164" t="str">
        <f ca="1">IFERROR(INDEX('v12 Revisions'!$P$29:$P$186, MATCH('Measure-Level Adj Gas'!$L391, 'v12 Revisions'!$D$29:$D$186,0)),"")</f>
        <v>n/a - language only.</v>
      </c>
      <c r="BF391" s="266">
        <f t="shared" ca="1" si="220"/>
        <v>0</v>
      </c>
      <c r="BG391" s="264">
        <f t="shared" ca="1" si="221"/>
        <v>0</v>
      </c>
      <c r="BH391" s="262"/>
      <c r="BI391" s="262"/>
      <c r="BJ391" s="265">
        <f ca="1">IFERROR(INDEX(Algorithms!$G:$G,MATCH($C391&amp;"_Therm Saved per Unit",Algorithms!$A:$A,0)),0)</f>
        <v>36.883152385225763</v>
      </c>
      <c r="BK391" s="164"/>
      <c r="BL391" s="266">
        <f t="shared" ca="1" si="222"/>
        <v>0</v>
      </c>
      <c r="BM391" s="264">
        <f t="shared" ca="1" si="223"/>
        <v>0</v>
      </c>
      <c r="BN391" s="266">
        <f t="shared" si="224"/>
        <v>0</v>
      </c>
      <c r="BO391" s="266">
        <f t="shared" si="225"/>
        <v>0</v>
      </c>
      <c r="BP391" s="266">
        <f t="shared" ca="1" si="226"/>
        <v>0</v>
      </c>
      <c r="BQ391" s="266">
        <f t="shared" ca="1" si="227"/>
        <v>0</v>
      </c>
      <c r="BR391" s="268">
        <f t="shared" ca="1" si="228"/>
        <v>0</v>
      </c>
      <c r="BS391" s="262" t="s">
        <v>99</v>
      </c>
      <c r="BT391" s="277"/>
      <c r="BW391" s="266">
        <f t="shared" si="229"/>
        <v>0</v>
      </c>
      <c r="BX391" s="266">
        <f t="shared" si="230"/>
        <v>0</v>
      </c>
      <c r="BY391" s="266">
        <f t="shared" si="231"/>
        <v>0</v>
      </c>
      <c r="BZ391" s="266">
        <f t="shared" si="232"/>
        <v>0</v>
      </c>
      <c r="CA391" s="266">
        <f ca="1">N391*IFERROR(INDEX(Algorithms!$G:$G,MATCH($C391&amp;"_Therm Saved per Unit- MLA",Algorithms!$A:$A,0)),0)*X391</f>
        <v>0</v>
      </c>
      <c r="CB391" s="266">
        <f ca="1">O391*IFERROR(INDEX(Algorithms!$G:$G,MATCH($C391&amp;"_Therm Saved per Unit- MLA",Algorithms!$A:$A,0)),0)*Y391</f>
        <v>0</v>
      </c>
      <c r="CC391" s="266">
        <f ca="1">P391*IFERROR(INDEX(Algorithms!$G:$G,MATCH($C391&amp;"_Therm Saved per Unit- MLA",Algorithms!$A:$A,0)),0)*Z391</f>
        <v>0</v>
      </c>
      <c r="CD391" s="266">
        <f ca="1">Q391*IFERROR(INDEX(Algorithms!$G:$G,MATCH($C391&amp;"_Therm Saved per Unit- MLA",Algorithms!$A:$A,0)),0)*AA391</f>
        <v>0</v>
      </c>
      <c r="CE391" s="266">
        <f ca="1">IFERROR(INDEX(Algorithms!$G:$G,MATCH($C391&amp;"_Lifetime (years)",Algorithms!$A:$A,0)),0)</f>
        <v>15</v>
      </c>
      <c r="CF391" s="266">
        <f ca="1">IFERROR(INDEX(Algorithms!$G:$G,MATCH($C391&amp;"_Lifetime (years) - Remaining Years",Algorithms!$A:$A,0)),0)</f>
        <v>0</v>
      </c>
      <c r="CG391" s="266">
        <f t="shared" ca="1" si="233"/>
        <v>0</v>
      </c>
      <c r="CH391" s="266">
        <f t="shared" ca="1" si="234"/>
        <v>0</v>
      </c>
      <c r="CI391" s="266">
        <f t="shared" ca="1" si="235"/>
        <v>0</v>
      </c>
      <c r="CJ391" s="266">
        <f t="shared" ca="1" si="236"/>
        <v>0</v>
      </c>
      <c r="CK391" s="266">
        <f t="shared" si="237"/>
        <v>0</v>
      </c>
      <c r="CL391" s="266">
        <f t="shared" si="238"/>
        <v>0</v>
      </c>
      <c r="CM391" s="266">
        <f t="shared" ca="1" si="239"/>
        <v>0</v>
      </c>
      <c r="CN391" s="266">
        <f t="shared" ca="1" si="240"/>
        <v>0</v>
      </c>
      <c r="CO391" s="266">
        <f ca="1">N391*IFERROR(INDEX(Algorithms!$G:$G,MATCH($C391&amp;"_Therm Saved per Unit- MLA",Algorithms!$A:$A,0)),0)*X391</f>
        <v>0</v>
      </c>
      <c r="CP391" s="266">
        <f ca="1">O391*IFERROR(INDEX(Algorithms!$G:$G,MATCH($C391&amp;"_Therm Saved per Unit- MLA",Algorithms!$A:$A,0)),0)*Y391</f>
        <v>0</v>
      </c>
      <c r="CQ391" s="266">
        <f ca="1">P391*IFERROR(INDEX(Algorithms!$G:$G,MATCH($C391&amp;"_Therm Saved per Unit- MLA",Algorithms!$A:$A,0)),0)*Z391</f>
        <v>0</v>
      </c>
      <c r="CR391" s="266">
        <f ca="1">Q391*IFERROR(INDEX(Algorithms!$G:$G,MATCH($C391&amp;"_Therm Saved per Unit- MLA",Algorithms!$A:$A,0)),0)*AA391</f>
        <v>0</v>
      </c>
      <c r="CS391" s="266">
        <f ca="1">IFERROR(INDEX(Algorithms!$G:$G,MATCH($C391&amp;"_Lifetime (years)",Algorithms!$A:$A,0)),0)</f>
        <v>15</v>
      </c>
      <c r="CT391" s="266">
        <f ca="1">IFERROR(INDEX(Algorithms!$G:$G,MATCH($C391&amp;"_Lifetime (years) - Remaining Years",Algorithms!$A:$A,0)),0)</f>
        <v>0</v>
      </c>
      <c r="CU391" s="266">
        <f t="shared" ca="1" si="241"/>
        <v>0</v>
      </c>
      <c r="CV391" s="266">
        <f t="shared" ca="1" si="242"/>
        <v>0</v>
      </c>
      <c r="CW391" s="266">
        <f t="shared" ca="1" si="243"/>
        <v>0</v>
      </c>
      <c r="CX391" s="266">
        <f t="shared" ca="1" si="244"/>
        <v>0</v>
      </c>
    </row>
    <row r="392" spans="2:102" s="47" customFormat="1" ht="18" customHeight="1" x14ac:dyDescent="0.25">
      <c r="B392" t="str">
        <f t="shared" si="245"/>
        <v>NSG_Residential_Multi-Family_Standard Rebate_Dock Door Seals_0_CI</v>
      </c>
      <c r="C392" s="47" t="str">
        <f t="shared" si="206"/>
        <v>Dock Door Seals_0_CI</v>
      </c>
      <c r="D392" s="270" t="s">
        <v>1787</v>
      </c>
      <c r="E392" s="270" t="s">
        <v>2</v>
      </c>
      <c r="F392" s="270" t="s">
        <v>1422</v>
      </c>
      <c r="G392" s="270" t="s">
        <v>1418</v>
      </c>
      <c r="H392" s="270" t="s">
        <v>1291</v>
      </c>
      <c r="I392" s="270">
        <v>0</v>
      </c>
      <c r="J392" s="270" t="s">
        <v>1159</v>
      </c>
      <c r="K392" s="263">
        <v>1</v>
      </c>
      <c r="L392" s="263">
        <f ca="1">IFERROR(INDEX(Algorithms!J:J,MATCH($C392&amp;"_Therm Saved per Unit",Algorithms!$A:$A,0)),"n/a")</f>
        <v>0</v>
      </c>
      <c r="M392" s="263" t="str">
        <f>IFERROR(INDEX('Measure Level Detail'!$N:$N,MATCH($B392,'Measure Level Detail'!$B:$B,0)),0)</f>
        <v>each</v>
      </c>
      <c r="N392" s="271">
        <f>IFERROR(INDEX('Measure Level Detail'!$P:$P,MATCH($B392&amp;"_"&amp;N$3,'Measure Level Detail'!$C:$C,0)),0)</f>
        <v>0</v>
      </c>
      <c r="O392" s="271">
        <f>IFERROR(INDEX('Measure Level Detail'!$P:$P,MATCH($B392&amp;"_"&amp;O$3,'Measure Level Detail'!$C:$C,0)),0)</f>
        <v>0</v>
      </c>
      <c r="P392" s="271">
        <f>IFERROR(INDEX('Measure Level Detail'!$P:$P,MATCH($B392&amp;"_"&amp;P$3,'Measure Level Detail'!$C:$C,0)),0)</f>
        <v>0</v>
      </c>
      <c r="Q392" s="271">
        <f>IFERROR(INDEX('Measure Level Detail'!$P:$P,MATCH($B392&amp;"_"&amp;Q$3,'Measure Level Detail'!$C:$C,0)),0)</f>
        <v>0</v>
      </c>
      <c r="R392" s="263">
        <f ca="1">IFERROR(INDEX(Algorithms!K:K,MATCH($C392&amp;"_Therm Saved per Unit",Algorithms!$A:$A,0)),"n/a")</f>
        <v>0</v>
      </c>
      <c r="S392" s="262"/>
      <c r="T392" s="272">
        <v>234.94825714285713</v>
      </c>
      <c r="U392" s="272">
        <v>234.94825714285713</v>
      </c>
      <c r="V392" s="272">
        <v>234.94825714285713</v>
      </c>
      <c r="W392" s="272">
        <v>234.94825714285713</v>
      </c>
      <c r="X392" s="273">
        <f>IFERROR(INDEX('Measure Level Detail'!$R:$R,MATCH($B392&amp;"_"&amp;X$3,'Measure Level Detail'!$C:$C,0)),0)</f>
        <v>0.87</v>
      </c>
      <c r="Y392" s="273">
        <f>IFERROR(INDEX('Measure Level Detail'!$R:$R,MATCH($B392&amp;"_"&amp;Y$3,'Measure Level Detail'!$C:$C,0)),0)</f>
        <v>0.87</v>
      </c>
      <c r="Z392" s="273">
        <f>IFERROR(INDEX('Measure Level Detail'!$R:$R,MATCH($B392&amp;"_"&amp;Z$3,'Measure Level Detail'!$C:$C,0)),0)</f>
        <v>0.87</v>
      </c>
      <c r="AA392" s="273">
        <f>IFERROR(INDEX('Measure Level Detail'!$R:$R,MATCH($B392&amp;"_"&amp;AA$3,'Measure Level Detail'!$C:$C,0)),0)</f>
        <v>0.87</v>
      </c>
      <c r="AB392" s="266">
        <f t="shared" si="207"/>
        <v>0</v>
      </c>
      <c r="AC392" s="266">
        <f t="shared" si="208"/>
        <v>0</v>
      </c>
      <c r="AD392" s="266">
        <f t="shared" si="209"/>
        <v>0</v>
      </c>
      <c r="AE392" s="266">
        <f t="shared" si="210"/>
        <v>0</v>
      </c>
      <c r="AF392" s="266">
        <f t="shared" si="211"/>
        <v>0</v>
      </c>
      <c r="AG392" s="274">
        <v>0.87</v>
      </c>
      <c r="AH392" s="274">
        <v>0.87</v>
      </c>
      <c r="AI392" s="274">
        <v>0.87</v>
      </c>
      <c r="AJ392" s="274">
        <v>0.87</v>
      </c>
      <c r="AK392" s="274">
        <f t="shared" si="212"/>
        <v>0.87</v>
      </c>
      <c r="AL392" s="274">
        <f t="shared" si="213"/>
        <v>0.87</v>
      </c>
      <c r="AM392" s="274">
        <f t="shared" si="214"/>
        <v>0.87</v>
      </c>
      <c r="AN392" s="274">
        <f t="shared" si="215"/>
        <v>0.87</v>
      </c>
      <c r="AO392" s="262"/>
      <c r="AP392" s="262"/>
      <c r="AQ392" s="267">
        <v>234.94825714285713</v>
      </c>
      <c r="AR392" s="262"/>
      <c r="AS392" s="266">
        <f t="shared" si="216"/>
        <v>0</v>
      </c>
      <c r="AT392" s="264">
        <f t="shared" si="217"/>
        <v>0</v>
      </c>
      <c r="AU392" s="262"/>
      <c r="AV392" s="262"/>
      <c r="AW392" s="265">
        <v>234.94825714285713</v>
      </c>
      <c r="AX392" s="164" t="s">
        <v>1469</v>
      </c>
      <c r="AY392" s="266">
        <v>0</v>
      </c>
      <c r="AZ392" s="266">
        <f t="shared" si="218"/>
        <v>0</v>
      </c>
      <c r="BA392" s="264">
        <f t="shared" si="219"/>
        <v>0</v>
      </c>
      <c r="BB392" s="262"/>
      <c r="BC392" s="262"/>
      <c r="BD392" s="265">
        <f ca="1">IFERROR(INDEX(Algorithms!$G:$G,MATCH($C392&amp;"_Therm Saved per Unit",Algorithms!$A:$A,0)),0)</f>
        <v>234.94825714285713</v>
      </c>
      <c r="BE392" s="164" t="str">
        <f ca="1">IFERROR(INDEX('v12 Revisions'!$P$29:$P$186, MATCH('Measure-Level Adj Gas'!$L392, 'v12 Revisions'!$D$29:$D$186,0)),"")</f>
        <v/>
      </c>
      <c r="BF392" s="266">
        <f t="shared" ca="1" si="220"/>
        <v>0</v>
      </c>
      <c r="BG392" s="264">
        <f t="shared" ca="1" si="221"/>
        <v>0</v>
      </c>
      <c r="BH392" s="262"/>
      <c r="BI392" s="262"/>
      <c r="BJ392" s="265">
        <f ca="1">IFERROR(INDEX(Algorithms!$G:$G,MATCH($C392&amp;"_Therm Saved per Unit",Algorithms!$A:$A,0)),0)</f>
        <v>234.94825714285713</v>
      </c>
      <c r="BK392" s="164"/>
      <c r="BL392" s="266">
        <f t="shared" ca="1" si="222"/>
        <v>0</v>
      </c>
      <c r="BM392" s="264">
        <f t="shared" ca="1" si="223"/>
        <v>0</v>
      </c>
      <c r="BN392" s="266">
        <f t="shared" si="224"/>
        <v>0</v>
      </c>
      <c r="BO392" s="266">
        <f t="shared" si="225"/>
        <v>0</v>
      </c>
      <c r="BP392" s="266">
        <f t="shared" ca="1" si="226"/>
        <v>0</v>
      </c>
      <c r="BQ392" s="266">
        <f t="shared" ca="1" si="227"/>
        <v>0</v>
      </c>
      <c r="BR392" s="268">
        <f t="shared" ca="1" si="228"/>
        <v>0</v>
      </c>
      <c r="BS392" s="262" t="s">
        <v>99</v>
      </c>
      <c r="BT392" s="277"/>
      <c r="BW392" s="266">
        <f t="shared" si="229"/>
        <v>0</v>
      </c>
      <c r="BX392" s="266">
        <f t="shared" si="230"/>
        <v>0</v>
      </c>
      <c r="BY392" s="266">
        <f t="shared" si="231"/>
        <v>0</v>
      </c>
      <c r="BZ392" s="266">
        <f t="shared" si="232"/>
        <v>0</v>
      </c>
      <c r="CA392" s="266">
        <f ca="1">N392*IFERROR(INDEX(Algorithms!$G:$G,MATCH($C392&amp;"_Therm Saved per Unit- MLA",Algorithms!$A:$A,0)),0)*X392</f>
        <v>0</v>
      </c>
      <c r="CB392" s="266">
        <f ca="1">O392*IFERROR(INDEX(Algorithms!$G:$G,MATCH($C392&amp;"_Therm Saved per Unit- MLA",Algorithms!$A:$A,0)),0)*Y392</f>
        <v>0</v>
      </c>
      <c r="CC392" s="266">
        <f ca="1">P392*IFERROR(INDEX(Algorithms!$G:$G,MATCH($C392&amp;"_Therm Saved per Unit- MLA",Algorithms!$A:$A,0)),0)*Z392</f>
        <v>0</v>
      </c>
      <c r="CD392" s="266">
        <f ca="1">Q392*IFERROR(INDEX(Algorithms!$G:$G,MATCH($C392&amp;"_Therm Saved per Unit- MLA",Algorithms!$A:$A,0)),0)*AA392</f>
        <v>0</v>
      </c>
      <c r="CE392" s="266">
        <f ca="1">IFERROR(INDEX(Algorithms!$G:$G,MATCH($C392&amp;"_Lifetime (years)",Algorithms!$A:$A,0)),0)</f>
        <v>20</v>
      </c>
      <c r="CF392" s="266">
        <f ca="1">IFERROR(INDEX(Algorithms!$G:$G,MATCH($C392&amp;"_Lifetime (years) - Remaining Years",Algorithms!$A:$A,0)),0)</f>
        <v>0</v>
      </c>
      <c r="CG392" s="266">
        <f t="shared" ca="1" si="233"/>
        <v>0</v>
      </c>
      <c r="CH392" s="266">
        <f t="shared" ca="1" si="234"/>
        <v>0</v>
      </c>
      <c r="CI392" s="266">
        <f t="shared" ca="1" si="235"/>
        <v>0</v>
      </c>
      <c r="CJ392" s="266">
        <f t="shared" ca="1" si="236"/>
        <v>0</v>
      </c>
      <c r="CK392" s="266">
        <f t="shared" si="237"/>
        <v>0</v>
      </c>
      <c r="CL392" s="266">
        <f t="shared" si="238"/>
        <v>0</v>
      </c>
      <c r="CM392" s="266">
        <f t="shared" ca="1" si="239"/>
        <v>0</v>
      </c>
      <c r="CN392" s="266">
        <f t="shared" ca="1" si="240"/>
        <v>0</v>
      </c>
      <c r="CO392" s="266">
        <f ca="1">N392*IFERROR(INDEX(Algorithms!$G:$G,MATCH($C392&amp;"_Therm Saved per Unit- MLA",Algorithms!$A:$A,0)),0)*X392</f>
        <v>0</v>
      </c>
      <c r="CP392" s="266">
        <f ca="1">O392*IFERROR(INDEX(Algorithms!$G:$G,MATCH($C392&amp;"_Therm Saved per Unit- MLA",Algorithms!$A:$A,0)),0)*Y392</f>
        <v>0</v>
      </c>
      <c r="CQ392" s="266">
        <f ca="1">P392*IFERROR(INDEX(Algorithms!$G:$G,MATCH($C392&amp;"_Therm Saved per Unit- MLA",Algorithms!$A:$A,0)),0)*Z392</f>
        <v>0</v>
      </c>
      <c r="CR392" s="266">
        <f ca="1">Q392*IFERROR(INDEX(Algorithms!$G:$G,MATCH($C392&amp;"_Therm Saved per Unit- MLA",Algorithms!$A:$A,0)),0)*AA392</f>
        <v>0</v>
      </c>
      <c r="CS392" s="266">
        <f ca="1">IFERROR(INDEX(Algorithms!$G:$G,MATCH($C392&amp;"_Lifetime (years)",Algorithms!$A:$A,0)),0)</f>
        <v>20</v>
      </c>
      <c r="CT392" s="266">
        <f ca="1">IFERROR(INDEX(Algorithms!$G:$G,MATCH($C392&amp;"_Lifetime (years) - Remaining Years",Algorithms!$A:$A,0)),0)</f>
        <v>0</v>
      </c>
      <c r="CU392" s="266">
        <f t="shared" ca="1" si="241"/>
        <v>0</v>
      </c>
      <c r="CV392" s="266">
        <f t="shared" ca="1" si="242"/>
        <v>0</v>
      </c>
      <c r="CW392" s="266">
        <f t="shared" ca="1" si="243"/>
        <v>0</v>
      </c>
      <c r="CX392" s="266">
        <f t="shared" ca="1" si="244"/>
        <v>0</v>
      </c>
    </row>
    <row r="393" spans="2:102" s="47" customFormat="1" ht="18" customHeight="1" x14ac:dyDescent="0.25">
      <c r="B393" t="str">
        <f t="shared" si="245"/>
        <v>NSG_Residential_Multi-Family_Partner Trade Ally Rebate_Air Sealing_0_MF</v>
      </c>
      <c r="C393" s="47" t="str">
        <f t="shared" si="206"/>
        <v>Air Sealing_0_MF</v>
      </c>
      <c r="D393" s="270" t="s">
        <v>1787</v>
      </c>
      <c r="E393" s="270" t="s">
        <v>2</v>
      </c>
      <c r="F393" s="270" t="s">
        <v>1422</v>
      </c>
      <c r="G393" s="270" t="s">
        <v>1799</v>
      </c>
      <c r="H393" s="270" t="s">
        <v>221</v>
      </c>
      <c r="I393" s="270">
        <v>0</v>
      </c>
      <c r="J393" s="270" t="s">
        <v>553</v>
      </c>
      <c r="K393" s="263">
        <v>1</v>
      </c>
      <c r="L393" s="263" t="str">
        <f ca="1">IFERROR(INDEX(Algorithms!J:J,MATCH($C393&amp;"_Therm Saved per Unit",Algorithms!$A:$A,0)),"n/a")</f>
        <v>5.6.1</v>
      </c>
      <c r="M393" s="263" t="str">
        <f>IFERROR(INDEX('Measure Level Detail'!$N:$N,MATCH($B393,'Measure Level Detail'!$B:$B,0)),0)</f>
        <v>CFM_50</v>
      </c>
      <c r="N393" s="271">
        <f>IFERROR(INDEX('Measure Level Detail'!$P:$P,MATCH($B393&amp;"_"&amp;N$3,'Measure Level Detail'!$C:$C,0)),0)</f>
        <v>0</v>
      </c>
      <c r="O393" s="271">
        <f>IFERROR(INDEX('Measure Level Detail'!$P:$P,MATCH($B393&amp;"_"&amp;O$3,'Measure Level Detail'!$C:$C,0)),0)</f>
        <v>0</v>
      </c>
      <c r="P393" s="271">
        <f>IFERROR(INDEX('Measure Level Detail'!$P:$P,MATCH($B393&amp;"_"&amp;P$3,'Measure Level Detail'!$C:$C,0)),0)</f>
        <v>0</v>
      </c>
      <c r="Q393" s="271">
        <f>IFERROR(INDEX('Measure Level Detail'!$P:$P,MATCH($B393&amp;"_"&amp;Q$3,'Measure Level Detail'!$C:$C,0)),0)</f>
        <v>0</v>
      </c>
      <c r="R393" s="263" t="str">
        <f ca="1">IFERROR(INDEX(Algorithms!K:K,MATCH($C393&amp;"_Therm Saved per Unit",Algorithms!$A:$A,0)),"n/a")</f>
        <v>RS-SHL-AIRS-V13-240101</v>
      </c>
      <c r="S393" s="262"/>
      <c r="T393" s="272">
        <v>43.618009478672981</v>
      </c>
      <c r="U393" s="272">
        <v>43.618009478672981</v>
      </c>
      <c r="V393" s="272">
        <v>43.618009478672981</v>
      </c>
      <c r="W393" s="272">
        <v>43.618009478672981</v>
      </c>
      <c r="X393" s="275">
        <v>0.93</v>
      </c>
      <c r="Y393" s="275">
        <v>0.93</v>
      </c>
      <c r="Z393" s="275">
        <v>0.93</v>
      </c>
      <c r="AA393" s="275">
        <v>0.93</v>
      </c>
      <c r="AB393" s="266">
        <f t="shared" si="207"/>
        <v>0</v>
      </c>
      <c r="AC393" s="266">
        <f t="shared" si="208"/>
        <v>0</v>
      </c>
      <c r="AD393" s="266">
        <f t="shared" si="209"/>
        <v>0</v>
      </c>
      <c r="AE393" s="266">
        <f t="shared" si="210"/>
        <v>0</v>
      </c>
      <c r="AF393" s="266">
        <f t="shared" si="211"/>
        <v>0</v>
      </c>
      <c r="AG393" s="274">
        <v>0.93</v>
      </c>
      <c r="AH393" s="274">
        <v>0.87</v>
      </c>
      <c r="AI393" s="710">
        <v>0.88</v>
      </c>
      <c r="AJ393" s="710">
        <v>0.88</v>
      </c>
      <c r="AK393" s="274">
        <f t="shared" si="212"/>
        <v>0.93</v>
      </c>
      <c r="AL393" s="274">
        <f t="shared" si="213"/>
        <v>0.93</v>
      </c>
      <c r="AM393" s="274">
        <f t="shared" si="214"/>
        <v>0.93</v>
      </c>
      <c r="AN393" s="274">
        <f t="shared" si="215"/>
        <v>0.93</v>
      </c>
      <c r="AO393" s="262"/>
      <c r="AP393" s="262"/>
      <c r="AQ393" s="267">
        <v>43.618009478672981</v>
      </c>
      <c r="AR393" s="262"/>
      <c r="AS393" s="266">
        <f t="shared" si="216"/>
        <v>0</v>
      </c>
      <c r="AT393" s="264">
        <f t="shared" si="217"/>
        <v>0</v>
      </c>
      <c r="AU393" s="262"/>
      <c r="AV393" s="262"/>
      <c r="AW393" s="265">
        <v>43.618009478672981</v>
      </c>
      <c r="AX393" s="164" t="s">
        <v>2395</v>
      </c>
      <c r="AY393" s="266">
        <v>0</v>
      </c>
      <c r="AZ393" s="266">
        <f t="shared" si="218"/>
        <v>0</v>
      </c>
      <c r="BA393" s="264">
        <f t="shared" si="219"/>
        <v>0</v>
      </c>
      <c r="BB393" s="262"/>
      <c r="BC393" s="262"/>
      <c r="BD393" s="265">
        <f ca="1">IFERROR(INDEX(Algorithms!$G:$G,MATCH($C393&amp;"_Therm Saved per Unit",Algorithms!$A:$A,0)),0)</f>
        <v>40.930805687203787</v>
      </c>
      <c r="BE393" s="164" t="str">
        <f ca="1">IFERROR(INDEX('v12 Revisions'!$P$29:$P$186, MATCH('Measure-Level Adj Gas'!$L393, 'v12 Revisions'!$D$29:$D$186,0)),"")</f>
        <v>Updated HDD from 5113 to 4798 and shell adjustment factor from 0.72 to 0.76.</v>
      </c>
      <c r="BF393" s="266">
        <f t="shared" ca="1" si="220"/>
        <v>0</v>
      </c>
      <c r="BG393" s="264">
        <f t="shared" ca="1" si="221"/>
        <v>0</v>
      </c>
      <c r="BH393" s="262"/>
      <c r="BI393" s="262"/>
      <c r="BJ393" s="265">
        <f ca="1">IFERROR(INDEX(Algorithms!$G:$G,MATCH($C393&amp;"_Therm Saved per Unit",Algorithms!$A:$A,0)),0)</f>
        <v>40.930805687203787</v>
      </c>
      <c r="BK393" s="164"/>
      <c r="BL393" s="266">
        <f t="shared" ca="1" si="222"/>
        <v>0</v>
      </c>
      <c r="BM393" s="264">
        <f t="shared" ca="1" si="223"/>
        <v>0</v>
      </c>
      <c r="BN393" s="266">
        <f t="shared" si="224"/>
        <v>0</v>
      </c>
      <c r="BO393" s="266">
        <f t="shared" si="225"/>
        <v>0</v>
      </c>
      <c r="BP393" s="266">
        <f t="shared" ca="1" si="226"/>
        <v>0</v>
      </c>
      <c r="BQ393" s="266">
        <f t="shared" ca="1" si="227"/>
        <v>0</v>
      </c>
      <c r="BR393" s="268">
        <f t="shared" ca="1" si="228"/>
        <v>0</v>
      </c>
      <c r="BS393" s="262" t="s">
        <v>99</v>
      </c>
      <c r="BT393" s="277"/>
      <c r="BW393" s="266">
        <f t="shared" si="229"/>
        <v>0</v>
      </c>
      <c r="BX393" s="266">
        <f t="shared" si="230"/>
        <v>0</v>
      </c>
      <c r="BY393" s="266">
        <f t="shared" si="231"/>
        <v>0</v>
      </c>
      <c r="BZ393" s="266">
        <f t="shared" si="232"/>
        <v>0</v>
      </c>
      <c r="CA393" s="266">
        <f ca="1">N393*IFERROR(INDEX(Algorithms!$G:$G,MATCH($C393&amp;"_Therm Saved per Unit- MLA",Algorithms!$A:$A,0)),0)*X393</f>
        <v>0</v>
      </c>
      <c r="CB393" s="266">
        <f ca="1">O393*IFERROR(INDEX(Algorithms!$G:$G,MATCH($C393&amp;"_Therm Saved per Unit- MLA",Algorithms!$A:$A,0)),0)*Y393</f>
        <v>0</v>
      </c>
      <c r="CC393" s="266">
        <f ca="1">P393*IFERROR(INDEX(Algorithms!$G:$G,MATCH($C393&amp;"_Therm Saved per Unit- MLA",Algorithms!$A:$A,0)),0)*Z393</f>
        <v>0</v>
      </c>
      <c r="CD393" s="266">
        <f ca="1">Q393*IFERROR(INDEX(Algorithms!$G:$G,MATCH($C393&amp;"_Therm Saved per Unit- MLA",Algorithms!$A:$A,0)),0)*AA393</f>
        <v>0</v>
      </c>
      <c r="CE393" s="266">
        <f ca="1">IFERROR(INDEX(Algorithms!$G:$G,MATCH($C393&amp;"_Lifetime (years)",Algorithms!$A:$A,0)),0)</f>
        <v>20</v>
      </c>
      <c r="CF393" s="266">
        <f ca="1">IFERROR(INDEX(Algorithms!$G:$G,MATCH($C393&amp;"_Lifetime (years) - Remaining Years",Algorithms!$A:$A,0)),0)</f>
        <v>10</v>
      </c>
      <c r="CG393" s="266">
        <f t="shared" ca="1" si="233"/>
        <v>0</v>
      </c>
      <c r="CH393" s="266">
        <f t="shared" ca="1" si="234"/>
        <v>0</v>
      </c>
      <c r="CI393" s="266">
        <f t="shared" ca="1" si="235"/>
        <v>0</v>
      </c>
      <c r="CJ393" s="266">
        <f t="shared" ca="1" si="236"/>
        <v>0</v>
      </c>
      <c r="CK393" s="266">
        <f t="shared" si="237"/>
        <v>0</v>
      </c>
      <c r="CL393" s="266">
        <f t="shared" si="238"/>
        <v>0</v>
      </c>
      <c r="CM393" s="266">
        <f t="shared" ca="1" si="239"/>
        <v>0</v>
      </c>
      <c r="CN393" s="266">
        <f t="shared" ca="1" si="240"/>
        <v>0</v>
      </c>
      <c r="CO393" s="266">
        <f ca="1">N393*IFERROR(INDEX(Algorithms!$G:$G,MATCH($C393&amp;"_Therm Saved per Unit- MLA",Algorithms!$A:$A,0)),0)*X393</f>
        <v>0</v>
      </c>
      <c r="CP393" s="266">
        <f ca="1">O393*IFERROR(INDEX(Algorithms!$G:$G,MATCH($C393&amp;"_Therm Saved per Unit- MLA",Algorithms!$A:$A,0)),0)*Y393</f>
        <v>0</v>
      </c>
      <c r="CQ393" s="266">
        <f ca="1">P393*IFERROR(INDEX(Algorithms!$G:$G,MATCH($C393&amp;"_Therm Saved per Unit- MLA",Algorithms!$A:$A,0)),0)*Z393</f>
        <v>0</v>
      </c>
      <c r="CR393" s="266">
        <f ca="1">Q393*IFERROR(INDEX(Algorithms!$G:$G,MATCH($C393&amp;"_Therm Saved per Unit- MLA",Algorithms!$A:$A,0)),0)*AA393</f>
        <v>0</v>
      </c>
      <c r="CS393" s="266">
        <f ca="1">IFERROR(INDEX(Algorithms!$G:$G,MATCH($C393&amp;"_Lifetime (years)",Algorithms!$A:$A,0)),0)</f>
        <v>20</v>
      </c>
      <c r="CT393" s="266">
        <f ca="1">IFERROR(INDEX(Algorithms!$G:$G,MATCH($C393&amp;"_Lifetime (years) - Remaining Years",Algorithms!$A:$A,0)),0)</f>
        <v>10</v>
      </c>
      <c r="CU393" s="266">
        <f t="shared" ca="1" si="241"/>
        <v>0</v>
      </c>
      <c r="CV393" s="266">
        <f t="shared" ca="1" si="242"/>
        <v>0</v>
      </c>
      <c r="CW393" s="266">
        <f t="shared" ca="1" si="243"/>
        <v>0</v>
      </c>
      <c r="CX393" s="266">
        <f t="shared" ca="1" si="244"/>
        <v>0</v>
      </c>
    </row>
    <row r="394" spans="2:102" s="47" customFormat="1" ht="18" customHeight="1" x14ac:dyDescent="0.25">
      <c r="B394" t="str">
        <f t="shared" si="245"/>
        <v>NSG_Residential_Multi-Family_Partner Trade Ally Rebate_Duct Sealing_0_MF</v>
      </c>
      <c r="C394" s="47" t="str">
        <f t="shared" ref="C394:C457" si="246">H394&amp;"_"&amp;I394&amp;"_"&amp;J394</f>
        <v>Duct Sealing_0_MF</v>
      </c>
      <c r="D394" s="270" t="s">
        <v>1787</v>
      </c>
      <c r="E394" s="270" t="s">
        <v>2</v>
      </c>
      <c r="F394" s="270" t="s">
        <v>1422</v>
      </c>
      <c r="G394" s="270" t="s">
        <v>1799</v>
      </c>
      <c r="H394" s="270" t="s">
        <v>680</v>
      </c>
      <c r="I394" s="270">
        <v>0</v>
      </c>
      <c r="J394" s="270" t="s">
        <v>553</v>
      </c>
      <c r="K394" s="263">
        <v>1</v>
      </c>
      <c r="L394" s="263" t="str">
        <f ca="1">IFERROR(INDEX(Algorithms!J:J,MATCH($C394&amp;"_Therm Saved per Unit",Algorithms!$A:$A,0)),"n/a")</f>
        <v>5.3.4</v>
      </c>
      <c r="M394" s="263" t="str">
        <f>IFERROR(INDEX('Measure Level Detail'!$N:$N,MATCH($B394,'Measure Level Detail'!$B:$B,0)),0)</f>
        <v>CFM_25</v>
      </c>
      <c r="N394" s="271">
        <f>IFERROR(INDEX('Measure Level Detail'!$P:$P,MATCH($B394&amp;"_"&amp;N$3,'Measure Level Detail'!$C:$C,0)),0)</f>
        <v>0</v>
      </c>
      <c r="O394" s="271">
        <f>IFERROR(INDEX('Measure Level Detail'!$P:$P,MATCH($B394&amp;"_"&amp;O$3,'Measure Level Detail'!$C:$C,0)),0)</f>
        <v>0</v>
      </c>
      <c r="P394" s="271">
        <f>IFERROR(INDEX('Measure Level Detail'!$P:$P,MATCH($B394&amp;"_"&amp;P$3,'Measure Level Detail'!$C:$C,0)),0)</f>
        <v>0</v>
      </c>
      <c r="Q394" s="271">
        <f>IFERROR(INDEX('Measure Level Detail'!$P:$P,MATCH($B394&amp;"_"&amp;Q$3,'Measure Level Detail'!$C:$C,0)),0)</f>
        <v>0</v>
      </c>
      <c r="R394" s="263" t="str">
        <f ca="1">IFERROR(INDEX(Algorithms!K:K,MATCH($C394&amp;"_Therm Saved per Unit",Algorithms!$A:$A,0)),"n/a")</f>
        <v>RS-HVC-DINS-V12-240101</v>
      </c>
      <c r="S394" s="262"/>
      <c r="T394" s="272">
        <v>0.70396939263510283</v>
      </c>
      <c r="U394" s="272">
        <v>0.70396939263510283</v>
      </c>
      <c r="V394" s="272">
        <v>0.70396939263510283</v>
      </c>
      <c r="W394" s="272">
        <v>0.70396939263510283</v>
      </c>
      <c r="X394" s="273">
        <f>IFERROR(INDEX('Measure Level Detail'!$R:$R,MATCH($B394&amp;"_"&amp;X$3,'Measure Level Detail'!$C:$C,0)),0)</f>
        <v>0.87</v>
      </c>
      <c r="Y394" s="273">
        <f>IFERROR(INDEX('Measure Level Detail'!$R:$R,MATCH($B394&amp;"_"&amp;Y$3,'Measure Level Detail'!$C:$C,0)),0)</f>
        <v>0.87</v>
      </c>
      <c r="Z394" s="273">
        <f>IFERROR(INDEX('Measure Level Detail'!$R:$R,MATCH($B394&amp;"_"&amp;Z$3,'Measure Level Detail'!$C:$C,0)),0)</f>
        <v>0.87</v>
      </c>
      <c r="AA394" s="273">
        <f>IFERROR(INDEX('Measure Level Detail'!$R:$R,MATCH($B394&amp;"_"&amp;AA$3,'Measure Level Detail'!$C:$C,0)),0)</f>
        <v>0.87</v>
      </c>
      <c r="AB394" s="266">
        <f t="shared" ref="AB394:AB457" si="247">N394*T394*X394</f>
        <v>0</v>
      </c>
      <c r="AC394" s="266">
        <f t="shared" ref="AC394:AC457" si="248">O394*U394*Y394</f>
        <v>0</v>
      </c>
      <c r="AD394" s="266">
        <f t="shared" ref="AD394:AD457" si="249">P394*V394*Z394</f>
        <v>0</v>
      </c>
      <c r="AE394" s="266">
        <f t="shared" ref="AE394:AE457" si="250">Q394*W394*AA394</f>
        <v>0</v>
      </c>
      <c r="AF394" s="266">
        <f t="shared" ref="AF394:AF457" si="251">AB394+AC394+AD394+AE394</f>
        <v>0</v>
      </c>
      <c r="AG394" s="274">
        <v>0.87</v>
      </c>
      <c r="AH394" s="274">
        <v>0.87</v>
      </c>
      <c r="AI394" s="710">
        <v>0.88</v>
      </c>
      <c r="AJ394" s="710">
        <v>0.88</v>
      </c>
      <c r="AK394" s="274">
        <f t="shared" ref="AK394:AK457" si="252">IF(AG394=X394,X394,
IF(AG394&gt;X394, IF(AG394-X394&gt;IF($E394="Income Eligible",0,10%),X394+(AG394-(X394+IF($E394="Income Eligible",0,10%))),X394),
IF(X394-AG394&gt;IF($E394="Income Eligible",0,10%),X394-((X394-IF($E394="Income Eligible",0,10%))-AG394),X394)))</f>
        <v>0.87</v>
      </c>
      <c r="AL394" s="274">
        <f t="shared" ref="AL394:AL457" si="253">IF(AH394=Y394,Y394,
IF(AH394&gt;Y394, IF(AH394-Y394&gt;IF($E394="Income Eligible",0,10%),Y394+(AH394-(Y394+IF($E394="Income Eligible",0,10%))),Y394),
IF(Y394-AH394&gt;IF($E394="Income Eligible",0,10%),Y394-((Y394-IF($E394="Income Eligible",0,10%))-AH394),Y394)))</f>
        <v>0.87</v>
      </c>
      <c r="AM394" s="274">
        <f t="shared" ref="AM394:AM457" si="254">IF(AI394=Z394,Z394,
IF(AI394&gt;Z394, IF(AI394-Z394&gt;IF($E394="Income Eligible",0,10%),Z394+(AI394-(Z394+IF($E394="Income Eligible",0,10%))),Z394),
IF(Z394-AI394&gt;IF($E394="Income Eligible",0,10%),Z394-((Z394-IF($E394="Income Eligible",0,10%))-AI394),Z394)))</f>
        <v>0.87</v>
      </c>
      <c r="AN394" s="274">
        <f t="shared" ref="AN394:AN457" si="255">IF(AJ394=AA394,AA394,
IF(AJ394&gt;AA394, IF(AJ394-AA394&gt;IF($E394="Income Eligible",0,10%),AA394+(AJ394-(AA394+IF($E394="Income Eligible",0,10%))),AA394),
IF(AA394-AJ394&gt;IF($E394="Income Eligible",0,10%),AA394-((AA394-IF($E394="Income Eligible",0,10%))-AJ394),AA394)))</f>
        <v>0.87</v>
      </c>
      <c r="AO394" s="262"/>
      <c r="AP394" s="262"/>
      <c r="AQ394" s="267">
        <v>0.70396939263510283</v>
      </c>
      <c r="AR394" s="262"/>
      <c r="AS394" s="266">
        <f t="shared" ref="AS394:AS457" si="256">N394*AQ394*AK394</f>
        <v>0</v>
      </c>
      <c r="AT394" s="264">
        <f t="shared" ref="AT394:AT457" si="257">IF(AS394=0,0,AS394-AB394)</f>
        <v>0</v>
      </c>
      <c r="AU394" s="262"/>
      <c r="AV394" s="262"/>
      <c r="AW394" s="265">
        <v>0.70396939263510283</v>
      </c>
      <c r="AX394" s="164" t="s">
        <v>1469</v>
      </c>
      <c r="AY394" s="266">
        <v>0</v>
      </c>
      <c r="AZ394" s="266">
        <f t="shared" ref="AZ394:AZ457" si="258">O394*AW394*AL394</f>
        <v>0</v>
      </c>
      <c r="BA394" s="264">
        <f t="shared" ref="BA394:BA457" si="259">IF(AZ394=0,0,AZ394-AC394)</f>
        <v>0</v>
      </c>
      <c r="BB394" s="262"/>
      <c r="BC394" s="262"/>
      <c r="BD394" s="265">
        <f ca="1">IFERROR(INDEX(Algorithms!$G:$G,MATCH($C394&amp;"_Therm Saved per Unit",Algorithms!$A:$A,0)),0)</f>
        <v>0.66035389765662356</v>
      </c>
      <c r="BE394" s="164" t="str">
        <f ca="1">IFERROR(INDEX('v12 Revisions'!$P$29:$P$186, MATCH('Measure-Level Adj Gas'!$L394, 'v12 Revisions'!$D$29:$D$186,0)),"")</f>
        <v>Updated full load hours of heating from 1840 to 1726 ; Revision of mid-life adjustment algorithm.</v>
      </c>
      <c r="BF394" s="266">
        <f t="shared" ref="BF394:BF457" ca="1" si="260">P394*BD394*AM394</f>
        <v>0</v>
      </c>
      <c r="BG394" s="264">
        <f t="shared" ref="BG394:BG457" ca="1" si="261">IF(BF394=0,0,BF394-AD394)</f>
        <v>0</v>
      </c>
      <c r="BH394" s="262"/>
      <c r="BI394" s="262"/>
      <c r="BJ394" s="265">
        <f ca="1">IFERROR(INDEX(Algorithms!$G:$G,MATCH($C394&amp;"_Therm Saved per Unit",Algorithms!$A:$A,0)),0)</f>
        <v>0.66035389765662356</v>
      </c>
      <c r="BK394" s="164"/>
      <c r="BL394" s="266">
        <f t="shared" ref="BL394:BL457" ca="1" si="262">Q394*BJ394*AN394</f>
        <v>0</v>
      </c>
      <c r="BM394" s="264">
        <f t="shared" ref="BM394:BM457" ca="1" si="263">IF(BL394=0,0,BL394-AE394)</f>
        <v>0</v>
      </c>
      <c r="BN394" s="266">
        <f t="shared" ref="BN394:BN457" si="264">IF(K394=1,AS394,AB394)</f>
        <v>0</v>
      </c>
      <c r="BO394" s="266">
        <f t="shared" ref="BO394:BO457" si="265">IF(K394=1,AZ394,AC394)</f>
        <v>0</v>
      </c>
      <c r="BP394" s="266">
        <f t="shared" ref="BP394:BP457" ca="1" si="266">IF(K394=1,BF394,AD394)</f>
        <v>0</v>
      </c>
      <c r="BQ394" s="266">
        <f t="shared" ref="BQ394:BQ457" ca="1" si="267">IF(K394=1,BL394,AE394)</f>
        <v>0</v>
      </c>
      <c r="BR394" s="268">
        <f t="shared" ref="BR394:BR457" ca="1" si="268">BN394+BO394+BP394+BQ394</f>
        <v>0</v>
      </c>
      <c r="BS394" s="262" t="s">
        <v>99</v>
      </c>
      <c r="BT394" s="277"/>
      <c r="BW394" s="266">
        <f t="shared" ref="BW394:BW457" si="269">N394*T394*X394</f>
        <v>0</v>
      </c>
      <c r="BX394" s="266">
        <f t="shared" ref="BX394:BX457" si="270">O394*U394*Y394</f>
        <v>0</v>
      </c>
      <c r="BY394" s="266">
        <f t="shared" ref="BY394:BY457" si="271">P394*V394*Z394</f>
        <v>0</v>
      </c>
      <c r="BZ394" s="266">
        <f t="shared" ref="BZ394:BZ457" si="272">Q394*W394*AA394</f>
        <v>0</v>
      </c>
      <c r="CA394" s="266">
        <f ca="1">N394*IFERROR(INDEX(Algorithms!$G:$G,MATCH($C394&amp;"_Therm Saved per Unit- MLA",Algorithms!$A:$A,0)),0)*X394</f>
        <v>0</v>
      </c>
      <c r="CB394" s="266">
        <f ca="1">O394*IFERROR(INDEX(Algorithms!$G:$G,MATCH($C394&amp;"_Therm Saved per Unit- MLA",Algorithms!$A:$A,0)),0)*Y394</f>
        <v>0</v>
      </c>
      <c r="CC394" s="266">
        <f ca="1">P394*IFERROR(INDEX(Algorithms!$G:$G,MATCH($C394&amp;"_Therm Saved per Unit- MLA",Algorithms!$A:$A,0)),0)*Z394</f>
        <v>0</v>
      </c>
      <c r="CD394" s="266">
        <f ca="1">Q394*IFERROR(INDEX(Algorithms!$G:$G,MATCH($C394&amp;"_Therm Saved per Unit- MLA",Algorithms!$A:$A,0)),0)*AA394</f>
        <v>0</v>
      </c>
      <c r="CE394" s="266">
        <f ca="1">IFERROR(INDEX(Algorithms!$G:$G,MATCH($C394&amp;"_Lifetime (years)",Algorithms!$A:$A,0)),0)</f>
        <v>20</v>
      </c>
      <c r="CF394" s="266">
        <f ca="1">IFERROR(INDEX(Algorithms!$G:$G,MATCH($C394&amp;"_Lifetime (years) - Remaining Years",Algorithms!$A:$A,0)),0)</f>
        <v>10</v>
      </c>
      <c r="CG394" s="266">
        <f t="shared" ref="CG394:CG457" ca="1" si="273">IF($CF394=0,(BW394*$CE394),((BW394*$CF394)+(CA394*($CE394-$CF394))))</f>
        <v>0</v>
      </c>
      <c r="CH394" s="266">
        <f t="shared" ref="CH394:CH457" ca="1" si="274">IF($CF394=0,(BX394*$CE394),((BX394*$CF394)+(CB394*($CE394-$CF394))))</f>
        <v>0</v>
      </c>
      <c r="CI394" s="266">
        <f t="shared" ref="CI394:CI457" ca="1" si="275">IF($CF394=0,(BY394*$CE394),((BY394*$CF394)+(CC394*($CE394-$CF394))))</f>
        <v>0</v>
      </c>
      <c r="CJ394" s="266">
        <f t="shared" ref="CJ394:CJ457" ca="1" si="276">IF($CF394=0,(BZ394*$CE394),((BZ394*$CF394)+(CD394*($CE394-$CF394))))</f>
        <v>0</v>
      </c>
      <c r="CK394" s="266">
        <f t="shared" ref="CK394:CK457" si="277">N394*AQ394*X394</f>
        <v>0</v>
      </c>
      <c r="CL394" s="266">
        <f t="shared" ref="CL394:CL457" si="278">O394*AW394*Y394</f>
        <v>0</v>
      </c>
      <c r="CM394" s="266">
        <f t="shared" ref="CM394:CM457" ca="1" si="279">P394*BD394*Z394</f>
        <v>0</v>
      </c>
      <c r="CN394" s="266">
        <f t="shared" ref="CN394:CN457" ca="1" si="280">Q394*BJ394*AA394</f>
        <v>0</v>
      </c>
      <c r="CO394" s="266">
        <f ca="1">N394*IFERROR(INDEX(Algorithms!$G:$G,MATCH($C394&amp;"_Therm Saved per Unit- MLA",Algorithms!$A:$A,0)),0)*X394</f>
        <v>0</v>
      </c>
      <c r="CP394" s="266">
        <f ca="1">O394*IFERROR(INDEX(Algorithms!$G:$G,MATCH($C394&amp;"_Therm Saved per Unit- MLA",Algorithms!$A:$A,0)),0)*Y394</f>
        <v>0</v>
      </c>
      <c r="CQ394" s="266">
        <f ca="1">P394*IFERROR(INDEX(Algorithms!$G:$G,MATCH($C394&amp;"_Therm Saved per Unit- MLA",Algorithms!$A:$A,0)),0)*Z394</f>
        <v>0</v>
      </c>
      <c r="CR394" s="266">
        <f ca="1">Q394*IFERROR(INDEX(Algorithms!$G:$G,MATCH($C394&amp;"_Therm Saved per Unit- MLA",Algorithms!$A:$A,0)),0)*AA394</f>
        <v>0</v>
      </c>
      <c r="CS394" s="266">
        <f ca="1">IFERROR(INDEX(Algorithms!$G:$G,MATCH($C394&amp;"_Lifetime (years)",Algorithms!$A:$A,0)),0)</f>
        <v>20</v>
      </c>
      <c r="CT394" s="266">
        <f ca="1">IFERROR(INDEX(Algorithms!$G:$G,MATCH($C394&amp;"_Lifetime (years) - Remaining Years",Algorithms!$A:$A,0)),0)</f>
        <v>10</v>
      </c>
      <c r="CU394" s="266">
        <f t="shared" ref="CU394:CU457" ca="1" si="281">IF($CT394=0,(CK394*$CS394),((CK394*$CT394)+(CO394*($CS394-$CT394))))</f>
        <v>0</v>
      </c>
      <c r="CV394" s="266">
        <f t="shared" ref="CV394:CV457" ca="1" si="282">IF($CT394=0,(CL394*$CS394),((CL394*$CT394)+(CP394*($CS394-$CT394))))</f>
        <v>0</v>
      </c>
      <c r="CW394" s="266">
        <f t="shared" ref="CW394:CW457" ca="1" si="283">IF($CT394=0,(CM394*$CS394),((CM394*$CT394)+(CQ394*($CS394-$CT394))))</f>
        <v>0</v>
      </c>
      <c r="CX394" s="266">
        <f t="shared" ref="CX394:CX457" ca="1" si="284">IF($CT394=0,(CN394*$CS394),((CN394*$CT394)+(CR394*($CS394-$CT394))))</f>
        <v>0</v>
      </c>
    </row>
    <row r="395" spans="2:102" s="47" customFormat="1" ht="18" customHeight="1" x14ac:dyDescent="0.25">
      <c r="B395" t="str">
        <f t="shared" ref="B395:B458" si="285">D395&amp;"_"&amp;E395&amp;"_"&amp;F395&amp;"_"&amp;G395&amp;"_"&amp;H395&amp;"_"&amp;I395&amp;"_"&amp;J395</f>
        <v>NSG_Residential_Multi-Family_Partner Trade Ally Rebate_Boiler_≥88% AFUE, ≥300MBh TE_MF</v>
      </c>
      <c r="C395" s="47" t="str">
        <f t="shared" si="246"/>
        <v>Boiler_≥88% AFUE, ≥300MBh TE_MF</v>
      </c>
      <c r="D395" s="270" t="s">
        <v>1787</v>
      </c>
      <c r="E395" s="270" t="s">
        <v>2</v>
      </c>
      <c r="F395" s="270" t="s">
        <v>1422</v>
      </c>
      <c r="G395" s="270" t="s">
        <v>1799</v>
      </c>
      <c r="H395" s="270" t="s">
        <v>944</v>
      </c>
      <c r="I395" s="270" t="s">
        <v>946</v>
      </c>
      <c r="J395" s="270" t="s">
        <v>553</v>
      </c>
      <c r="K395" s="263">
        <v>1</v>
      </c>
      <c r="L395" s="263" t="str">
        <f ca="1">IFERROR(INDEX(Algorithms!J:J,MATCH($C395&amp;"_Therm Saved per Unit",Algorithms!$A:$A,0)),"n/a")</f>
        <v>4.4.10</v>
      </c>
      <c r="M395" s="263" t="str">
        <f>IFERROR(INDEX('Measure Level Detail'!$N:$N,MATCH($B395,'Measure Level Detail'!$B:$B,0)),0)</f>
        <v>MBH</v>
      </c>
      <c r="N395" s="271">
        <f>IFERROR(INDEX('Measure Level Detail'!$P:$P,MATCH($B395&amp;"_"&amp;N$3,'Measure Level Detail'!$C:$C,0)),0)</f>
        <v>0</v>
      </c>
      <c r="O395" s="271">
        <f>IFERROR(INDEX('Measure Level Detail'!$P:$P,MATCH($B395&amp;"_"&amp;O$3,'Measure Level Detail'!$C:$C,0)),0)</f>
        <v>0</v>
      </c>
      <c r="P395" s="271">
        <f>IFERROR(INDEX('Measure Level Detail'!$P:$P,MATCH($B395&amp;"_"&amp;P$3,'Measure Level Detail'!$C:$C,0)),0)</f>
        <v>0</v>
      </c>
      <c r="Q395" s="271">
        <f>IFERROR(INDEX('Measure Level Detail'!$P:$P,MATCH($B395&amp;"_"&amp;Q$3,'Measure Level Detail'!$C:$C,0)),0)</f>
        <v>0</v>
      </c>
      <c r="R395" s="263" t="str">
        <f ca="1">IFERROR(INDEX(Algorithms!K:K,MATCH($C395&amp;"_Therm Saved per Unit",Algorithms!$A:$A,0)),"n/a")</f>
        <v>CI-HVC-BOIL-V11-240101</v>
      </c>
      <c r="S395" s="262"/>
      <c r="T395" s="272">
        <v>1.6609999999999991</v>
      </c>
      <c r="U395" s="272">
        <v>1.6609999999999991</v>
      </c>
      <c r="V395" s="272">
        <v>1.6609999999999991</v>
      </c>
      <c r="W395" s="272">
        <v>1.6609999999999991</v>
      </c>
      <c r="X395" s="273">
        <f>IFERROR(INDEX('Measure Level Detail'!$R:$R,MATCH($B395&amp;"_"&amp;X$3,'Measure Level Detail'!$C:$C,0)),0)</f>
        <v>0.87</v>
      </c>
      <c r="Y395" s="273">
        <f>IFERROR(INDEX('Measure Level Detail'!$R:$R,MATCH($B395&amp;"_"&amp;Y$3,'Measure Level Detail'!$C:$C,0)),0)</f>
        <v>0.87</v>
      </c>
      <c r="Z395" s="273">
        <f>IFERROR(INDEX('Measure Level Detail'!$R:$R,MATCH($B395&amp;"_"&amp;Z$3,'Measure Level Detail'!$C:$C,0)),0)</f>
        <v>0.87</v>
      </c>
      <c r="AA395" s="273">
        <f>IFERROR(INDEX('Measure Level Detail'!$R:$R,MATCH($B395&amp;"_"&amp;AA$3,'Measure Level Detail'!$C:$C,0)),0)</f>
        <v>0.87</v>
      </c>
      <c r="AB395" s="266">
        <f t="shared" si="247"/>
        <v>0</v>
      </c>
      <c r="AC395" s="266">
        <f t="shared" si="248"/>
        <v>0</v>
      </c>
      <c r="AD395" s="266">
        <f t="shared" si="249"/>
        <v>0</v>
      </c>
      <c r="AE395" s="266">
        <f t="shared" si="250"/>
        <v>0</v>
      </c>
      <c r="AF395" s="266">
        <f t="shared" si="251"/>
        <v>0</v>
      </c>
      <c r="AG395" s="274">
        <v>0.87</v>
      </c>
      <c r="AH395" s="274">
        <v>0.87</v>
      </c>
      <c r="AI395" s="710">
        <v>0.88</v>
      </c>
      <c r="AJ395" s="710">
        <v>0.88</v>
      </c>
      <c r="AK395" s="274">
        <f t="shared" si="252"/>
        <v>0.87</v>
      </c>
      <c r="AL395" s="274">
        <f t="shared" si="253"/>
        <v>0.87</v>
      </c>
      <c r="AM395" s="274">
        <f t="shared" si="254"/>
        <v>0.87</v>
      </c>
      <c r="AN395" s="274">
        <f t="shared" si="255"/>
        <v>0.87</v>
      </c>
      <c r="AO395" s="262"/>
      <c r="AP395" s="262"/>
      <c r="AQ395" s="267">
        <v>1.6609999999999991</v>
      </c>
      <c r="AR395" s="262"/>
      <c r="AS395" s="266">
        <f t="shared" si="256"/>
        <v>0</v>
      </c>
      <c r="AT395" s="264">
        <f t="shared" si="257"/>
        <v>0</v>
      </c>
      <c r="AU395" s="262"/>
      <c r="AV395" s="262"/>
      <c r="AW395" s="265">
        <v>1.6609999999999991</v>
      </c>
      <c r="AX395" s="164" t="s">
        <v>1469</v>
      </c>
      <c r="AY395" s="266">
        <v>0</v>
      </c>
      <c r="AZ395" s="266">
        <f t="shared" si="258"/>
        <v>0</v>
      </c>
      <c r="BA395" s="264">
        <f t="shared" si="259"/>
        <v>0</v>
      </c>
      <c r="BB395" s="262"/>
      <c r="BC395" s="262"/>
      <c r="BD395" s="265">
        <f ca="1">IFERROR(INDEX(Algorithms!$G:$G,MATCH($C395&amp;"_Therm Saved per Unit",Algorithms!$A:$A,0)),0)</f>
        <v>0.79095238095238163</v>
      </c>
      <c r="BE395" s="164" t="str">
        <f ca="1">IFERROR(INDEX('v12 Revisions'!$P$29:$P$186, MATCH('Measure-Level Adj Gas'!$L395, 'v12 Revisions'!$D$29:$D$186,0)),"")</f>
        <v>Updated baseline and efficient boiler efficiency ratings.</v>
      </c>
      <c r="BF395" s="266">
        <f t="shared" ca="1" si="260"/>
        <v>0</v>
      </c>
      <c r="BG395" s="264">
        <f t="shared" ca="1" si="261"/>
        <v>0</v>
      </c>
      <c r="BH395" s="262"/>
      <c r="BI395" s="262"/>
      <c r="BJ395" s="265">
        <f ca="1">IFERROR(INDEX(Algorithms!$G:$G,MATCH($C395&amp;"_Therm Saved per Unit",Algorithms!$A:$A,0)),0)</f>
        <v>0.79095238095238163</v>
      </c>
      <c r="BK395" s="164"/>
      <c r="BL395" s="266">
        <f t="shared" ca="1" si="262"/>
        <v>0</v>
      </c>
      <c r="BM395" s="264">
        <f t="shared" ca="1" si="263"/>
        <v>0</v>
      </c>
      <c r="BN395" s="266">
        <f t="shared" si="264"/>
        <v>0</v>
      </c>
      <c r="BO395" s="266">
        <f t="shared" si="265"/>
        <v>0</v>
      </c>
      <c r="BP395" s="266">
        <f t="shared" ca="1" si="266"/>
        <v>0</v>
      </c>
      <c r="BQ395" s="266">
        <f t="shared" ca="1" si="267"/>
        <v>0</v>
      </c>
      <c r="BR395" s="268">
        <f t="shared" ca="1" si="268"/>
        <v>0</v>
      </c>
      <c r="BS395" s="262" t="s">
        <v>99</v>
      </c>
      <c r="BT395" s="277"/>
      <c r="BW395" s="266">
        <f t="shared" si="269"/>
        <v>0</v>
      </c>
      <c r="BX395" s="266">
        <f t="shared" si="270"/>
        <v>0</v>
      </c>
      <c r="BY395" s="266">
        <f t="shared" si="271"/>
        <v>0</v>
      </c>
      <c r="BZ395" s="266">
        <f t="shared" si="272"/>
        <v>0</v>
      </c>
      <c r="CA395" s="266">
        <f ca="1">N395*IFERROR(INDEX(Algorithms!$G:$G,MATCH($C395&amp;"_Therm Saved per Unit- MLA",Algorithms!$A:$A,0)),0)*X395</f>
        <v>0</v>
      </c>
      <c r="CB395" s="266">
        <f ca="1">O395*IFERROR(INDEX(Algorithms!$G:$G,MATCH($C395&amp;"_Therm Saved per Unit- MLA",Algorithms!$A:$A,0)),0)*Y395</f>
        <v>0</v>
      </c>
      <c r="CC395" s="266">
        <f ca="1">P395*IFERROR(INDEX(Algorithms!$G:$G,MATCH($C395&amp;"_Therm Saved per Unit- MLA",Algorithms!$A:$A,0)),0)*Z395</f>
        <v>0</v>
      </c>
      <c r="CD395" s="266">
        <f ca="1">Q395*IFERROR(INDEX(Algorithms!$G:$G,MATCH($C395&amp;"_Therm Saved per Unit- MLA",Algorithms!$A:$A,0)),0)*AA395</f>
        <v>0</v>
      </c>
      <c r="CE395" s="266">
        <f ca="1">IFERROR(INDEX(Algorithms!$G:$G,MATCH($C395&amp;"_Lifetime (years)",Algorithms!$A:$A,0)),0)</f>
        <v>25</v>
      </c>
      <c r="CF395" s="266">
        <f ca="1">IFERROR(INDEX(Algorithms!$G:$G,MATCH($C395&amp;"_Lifetime (years) - Remaining Years",Algorithms!$A:$A,0)),0)</f>
        <v>0</v>
      </c>
      <c r="CG395" s="266">
        <f t="shared" ca="1" si="273"/>
        <v>0</v>
      </c>
      <c r="CH395" s="266">
        <f t="shared" ca="1" si="274"/>
        <v>0</v>
      </c>
      <c r="CI395" s="266">
        <f t="shared" ca="1" si="275"/>
        <v>0</v>
      </c>
      <c r="CJ395" s="266">
        <f t="shared" ca="1" si="276"/>
        <v>0</v>
      </c>
      <c r="CK395" s="266">
        <f t="shared" si="277"/>
        <v>0</v>
      </c>
      <c r="CL395" s="266">
        <f t="shared" si="278"/>
        <v>0</v>
      </c>
      <c r="CM395" s="266">
        <f t="shared" ca="1" si="279"/>
        <v>0</v>
      </c>
      <c r="CN395" s="266">
        <f t="shared" ca="1" si="280"/>
        <v>0</v>
      </c>
      <c r="CO395" s="266">
        <f ca="1">N395*IFERROR(INDEX(Algorithms!$G:$G,MATCH($C395&amp;"_Therm Saved per Unit- MLA",Algorithms!$A:$A,0)),0)*X395</f>
        <v>0</v>
      </c>
      <c r="CP395" s="266">
        <f ca="1">O395*IFERROR(INDEX(Algorithms!$G:$G,MATCH($C395&amp;"_Therm Saved per Unit- MLA",Algorithms!$A:$A,0)),0)*Y395</f>
        <v>0</v>
      </c>
      <c r="CQ395" s="266">
        <f ca="1">P395*IFERROR(INDEX(Algorithms!$G:$G,MATCH($C395&amp;"_Therm Saved per Unit- MLA",Algorithms!$A:$A,0)),0)*Z395</f>
        <v>0</v>
      </c>
      <c r="CR395" s="266">
        <f ca="1">Q395*IFERROR(INDEX(Algorithms!$G:$G,MATCH($C395&amp;"_Therm Saved per Unit- MLA",Algorithms!$A:$A,0)),0)*AA395</f>
        <v>0</v>
      </c>
      <c r="CS395" s="266">
        <f ca="1">IFERROR(INDEX(Algorithms!$G:$G,MATCH($C395&amp;"_Lifetime (years)",Algorithms!$A:$A,0)),0)</f>
        <v>25</v>
      </c>
      <c r="CT395" s="266">
        <f ca="1">IFERROR(INDEX(Algorithms!$G:$G,MATCH($C395&amp;"_Lifetime (years) - Remaining Years",Algorithms!$A:$A,0)),0)</f>
        <v>0</v>
      </c>
      <c r="CU395" s="266">
        <f t="shared" ca="1" si="281"/>
        <v>0</v>
      </c>
      <c r="CV395" s="266">
        <f t="shared" ca="1" si="282"/>
        <v>0</v>
      </c>
      <c r="CW395" s="266">
        <f t="shared" ca="1" si="283"/>
        <v>0</v>
      </c>
      <c r="CX395" s="266">
        <f t="shared" ca="1" si="284"/>
        <v>0</v>
      </c>
    </row>
    <row r="396" spans="2:102" s="47" customFormat="1" ht="18" customHeight="1" x14ac:dyDescent="0.25">
      <c r="B396" t="str">
        <f t="shared" si="285"/>
        <v>NSG_Residential_Multi-Family_Partner Trade Ally Rebate_Condensing Unit Heater_0_MF/CI</v>
      </c>
      <c r="C396" s="47" t="str">
        <f t="shared" si="246"/>
        <v>Condensing Unit Heater_0_MF/CI</v>
      </c>
      <c r="D396" s="270" t="s">
        <v>1787</v>
      </c>
      <c r="E396" s="270" t="s">
        <v>2</v>
      </c>
      <c r="F396" s="270" t="s">
        <v>1422</v>
      </c>
      <c r="G396" s="270" t="s">
        <v>1799</v>
      </c>
      <c r="H396" s="270" t="s">
        <v>13</v>
      </c>
      <c r="I396" s="270">
        <v>0</v>
      </c>
      <c r="J396" s="270" t="s">
        <v>587</v>
      </c>
      <c r="K396" s="263">
        <v>1</v>
      </c>
      <c r="L396" s="263" t="str">
        <f ca="1">IFERROR(INDEX(Algorithms!J:J,MATCH($C396&amp;"_Therm Saved per Unit",Algorithms!$A:$A,0)),"n/a")</f>
        <v>4.4.5</v>
      </c>
      <c r="M396" s="263" t="str">
        <f>IFERROR(INDEX('Measure Level Detail'!$N:$N,MATCH($B396,'Measure Level Detail'!$B:$B,0)),0)</f>
        <v>MBH</v>
      </c>
      <c r="N396" s="271">
        <f>IFERROR(INDEX('Measure Level Detail'!$P:$P,MATCH($B396&amp;"_"&amp;N$3,'Measure Level Detail'!$C:$C,0)),0)</f>
        <v>0</v>
      </c>
      <c r="O396" s="271">
        <f>IFERROR(INDEX('Measure Level Detail'!$P:$P,MATCH($B396&amp;"_"&amp;O$3,'Measure Level Detail'!$C:$C,0)),0)</f>
        <v>0</v>
      </c>
      <c r="P396" s="271">
        <f>IFERROR(INDEX('Measure Level Detail'!$P:$P,MATCH($B396&amp;"_"&amp;P$3,'Measure Level Detail'!$C:$C,0)),0)</f>
        <v>0</v>
      </c>
      <c r="Q396" s="271">
        <f>IFERROR(INDEX('Measure Level Detail'!$P:$P,MATCH($B396&amp;"_"&amp;Q$3,'Measure Level Detail'!$C:$C,0)),0)</f>
        <v>0</v>
      </c>
      <c r="R396" s="263" t="str">
        <f ca="1">IFERROR(INDEX(Algorithms!K:K,MATCH($C396&amp;"_Therm Saved per Unit",Algorithms!$A:$A,0)),"n/a")</f>
        <v>CI-HVC-CUHT-V03-230101</v>
      </c>
      <c r="S396" s="262"/>
      <c r="T396" s="272">
        <v>1.7733333333333334</v>
      </c>
      <c r="U396" s="272">
        <v>1.7733333333333334</v>
      </c>
      <c r="V396" s="272">
        <v>1.7733333333333334</v>
      </c>
      <c r="W396" s="272">
        <v>1.7733333333333334</v>
      </c>
      <c r="X396" s="273">
        <f>IFERROR(INDEX('Measure Level Detail'!$R:$R,MATCH($B396&amp;"_"&amp;X$3,'Measure Level Detail'!$C:$C,0)),0)</f>
        <v>0.87</v>
      </c>
      <c r="Y396" s="273">
        <f>IFERROR(INDEX('Measure Level Detail'!$R:$R,MATCH($B396&amp;"_"&amp;Y$3,'Measure Level Detail'!$C:$C,0)),0)</f>
        <v>0.87</v>
      </c>
      <c r="Z396" s="273">
        <f>IFERROR(INDEX('Measure Level Detail'!$R:$R,MATCH($B396&amp;"_"&amp;Z$3,'Measure Level Detail'!$C:$C,0)),0)</f>
        <v>0.87</v>
      </c>
      <c r="AA396" s="273">
        <f>IFERROR(INDEX('Measure Level Detail'!$R:$R,MATCH($B396&amp;"_"&amp;AA$3,'Measure Level Detail'!$C:$C,0)),0)</f>
        <v>0.87</v>
      </c>
      <c r="AB396" s="266">
        <f t="shared" si="247"/>
        <v>0</v>
      </c>
      <c r="AC396" s="266">
        <f t="shared" si="248"/>
        <v>0</v>
      </c>
      <c r="AD396" s="266">
        <f t="shared" si="249"/>
        <v>0</v>
      </c>
      <c r="AE396" s="266">
        <f t="shared" si="250"/>
        <v>0</v>
      </c>
      <c r="AF396" s="266">
        <f t="shared" si="251"/>
        <v>0</v>
      </c>
      <c r="AG396" s="274">
        <v>0.87</v>
      </c>
      <c r="AH396" s="274">
        <v>0.87</v>
      </c>
      <c r="AI396" s="710">
        <v>0.88</v>
      </c>
      <c r="AJ396" s="710">
        <v>0.88</v>
      </c>
      <c r="AK396" s="274">
        <f t="shared" si="252"/>
        <v>0.87</v>
      </c>
      <c r="AL396" s="274">
        <f t="shared" si="253"/>
        <v>0.87</v>
      </c>
      <c r="AM396" s="274">
        <f t="shared" si="254"/>
        <v>0.87</v>
      </c>
      <c r="AN396" s="274">
        <f t="shared" si="255"/>
        <v>0.87</v>
      </c>
      <c r="AO396" s="262"/>
      <c r="AP396" s="262"/>
      <c r="AQ396" s="267">
        <v>1.6896527777777772</v>
      </c>
      <c r="AR396" s="262"/>
      <c r="AS396" s="266">
        <f t="shared" si="256"/>
        <v>0</v>
      </c>
      <c r="AT396" s="264">
        <f t="shared" si="257"/>
        <v>0</v>
      </c>
      <c r="AU396" s="262"/>
      <c r="AV396" s="262"/>
      <c r="AW396" s="265">
        <v>1.6896527777777772</v>
      </c>
      <c r="AX396" s="164" t="s">
        <v>1469</v>
      </c>
      <c r="AY396" s="266">
        <v>0</v>
      </c>
      <c r="AZ396" s="266">
        <f t="shared" si="258"/>
        <v>0</v>
      </c>
      <c r="BA396" s="264">
        <f t="shared" si="259"/>
        <v>0</v>
      </c>
      <c r="BB396" s="262"/>
      <c r="BC396" s="262"/>
      <c r="BD396" s="265">
        <f ca="1">IFERROR(INDEX(Algorithms!$G:$G,MATCH($C396&amp;"_Therm Saved per Unit",Algorithms!$A:$A,0)),0)</f>
        <v>1.6896527777777772</v>
      </c>
      <c r="BE396" s="164" t="str">
        <f ca="1">IFERROR(INDEX('v12 Revisions'!$P$29:$P$186, MATCH('Measure-Level Adj Gas'!$L396, 'v12 Revisions'!$D$29:$D$186,0)),"")</f>
        <v/>
      </c>
      <c r="BF396" s="266">
        <f t="shared" ca="1" si="260"/>
        <v>0</v>
      </c>
      <c r="BG396" s="264">
        <f t="shared" ca="1" si="261"/>
        <v>0</v>
      </c>
      <c r="BH396" s="262"/>
      <c r="BI396" s="262"/>
      <c r="BJ396" s="265">
        <f ca="1">IFERROR(INDEX(Algorithms!$G:$G,MATCH($C396&amp;"_Therm Saved per Unit",Algorithms!$A:$A,0)),0)</f>
        <v>1.6896527777777772</v>
      </c>
      <c r="BK396" s="164"/>
      <c r="BL396" s="266">
        <f t="shared" ca="1" si="262"/>
        <v>0</v>
      </c>
      <c r="BM396" s="264">
        <f t="shared" ca="1" si="263"/>
        <v>0</v>
      </c>
      <c r="BN396" s="266">
        <f t="shared" si="264"/>
        <v>0</v>
      </c>
      <c r="BO396" s="266">
        <f t="shared" si="265"/>
        <v>0</v>
      </c>
      <c r="BP396" s="266">
        <f t="shared" ca="1" si="266"/>
        <v>0</v>
      </c>
      <c r="BQ396" s="266">
        <f t="shared" ca="1" si="267"/>
        <v>0</v>
      </c>
      <c r="BR396" s="268">
        <f t="shared" ca="1" si="268"/>
        <v>0</v>
      </c>
      <c r="BS396" s="262" t="s">
        <v>99</v>
      </c>
      <c r="BT396" s="277"/>
      <c r="BW396" s="266">
        <f t="shared" si="269"/>
        <v>0</v>
      </c>
      <c r="BX396" s="266">
        <f t="shared" si="270"/>
        <v>0</v>
      </c>
      <c r="BY396" s="266">
        <f t="shared" si="271"/>
        <v>0</v>
      </c>
      <c r="BZ396" s="266">
        <f t="shared" si="272"/>
        <v>0</v>
      </c>
      <c r="CA396" s="266">
        <f ca="1">N396*IFERROR(INDEX(Algorithms!$G:$G,MATCH($C396&amp;"_Therm Saved per Unit- MLA",Algorithms!$A:$A,0)),0)*X396</f>
        <v>0</v>
      </c>
      <c r="CB396" s="266">
        <f ca="1">O396*IFERROR(INDEX(Algorithms!$G:$G,MATCH($C396&amp;"_Therm Saved per Unit- MLA",Algorithms!$A:$A,0)),0)*Y396</f>
        <v>0</v>
      </c>
      <c r="CC396" s="266">
        <f ca="1">P396*IFERROR(INDEX(Algorithms!$G:$G,MATCH($C396&amp;"_Therm Saved per Unit- MLA",Algorithms!$A:$A,0)),0)*Z396</f>
        <v>0</v>
      </c>
      <c r="CD396" s="266">
        <f ca="1">Q396*IFERROR(INDEX(Algorithms!$G:$G,MATCH($C396&amp;"_Therm Saved per Unit- MLA",Algorithms!$A:$A,0)),0)*AA396</f>
        <v>0</v>
      </c>
      <c r="CE396" s="266">
        <f ca="1">IFERROR(INDEX(Algorithms!$G:$G,MATCH($C396&amp;"_Lifetime (years)",Algorithms!$A:$A,0)),0)</f>
        <v>12</v>
      </c>
      <c r="CF396" s="266">
        <f ca="1">IFERROR(INDEX(Algorithms!$G:$G,MATCH($C396&amp;"_Lifetime (years) - Remaining Years",Algorithms!$A:$A,0)),0)</f>
        <v>0</v>
      </c>
      <c r="CG396" s="266">
        <f t="shared" ca="1" si="273"/>
        <v>0</v>
      </c>
      <c r="CH396" s="266">
        <f t="shared" ca="1" si="274"/>
        <v>0</v>
      </c>
      <c r="CI396" s="266">
        <f t="shared" ca="1" si="275"/>
        <v>0</v>
      </c>
      <c r="CJ396" s="266">
        <f t="shared" ca="1" si="276"/>
        <v>0</v>
      </c>
      <c r="CK396" s="266">
        <f t="shared" si="277"/>
        <v>0</v>
      </c>
      <c r="CL396" s="266">
        <f t="shared" si="278"/>
        <v>0</v>
      </c>
      <c r="CM396" s="266">
        <f t="shared" ca="1" si="279"/>
        <v>0</v>
      </c>
      <c r="CN396" s="266">
        <f t="shared" ca="1" si="280"/>
        <v>0</v>
      </c>
      <c r="CO396" s="266">
        <f ca="1">N396*IFERROR(INDEX(Algorithms!$G:$G,MATCH($C396&amp;"_Therm Saved per Unit- MLA",Algorithms!$A:$A,0)),0)*X396</f>
        <v>0</v>
      </c>
      <c r="CP396" s="266">
        <f ca="1">O396*IFERROR(INDEX(Algorithms!$G:$G,MATCH($C396&amp;"_Therm Saved per Unit- MLA",Algorithms!$A:$A,0)),0)*Y396</f>
        <v>0</v>
      </c>
      <c r="CQ396" s="266">
        <f ca="1">P396*IFERROR(INDEX(Algorithms!$G:$G,MATCH($C396&amp;"_Therm Saved per Unit- MLA",Algorithms!$A:$A,0)),0)*Z396</f>
        <v>0</v>
      </c>
      <c r="CR396" s="266">
        <f ca="1">Q396*IFERROR(INDEX(Algorithms!$G:$G,MATCH($C396&amp;"_Therm Saved per Unit- MLA",Algorithms!$A:$A,0)),0)*AA396</f>
        <v>0</v>
      </c>
      <c r="CS396" s="266">
        <f ca="1">IFERROR(INDEX(Algorithms!$G:$G,MATCH($C396&amp;"_Lifetime (years)",Algorithms!$A:$A,0)),0)</f>
        <v>12</v>
      </c>
      <c r="CT396" s="266">
        <f ca="1">IFERROR(INDEX(Algorithms!$G:$G,MATCH($C396&amp;"_Lifetime (years) - Remaining Years",Algorithms!$A:$A,0)),0)</f>
        <v>0</v>
      </c>
      <c r="CU396" s="266">
        <f t="shared" ca="1" si="281"/>
        <v>0</v>
      </c>
      <c r="CV396" s="266">
        <f t="shared" ca="1" si="282"/>
        <v>0</v>
      </c>
      <c r="CW396" s="266">
        <f t="shared" ca="1" si="283"/>
        <v>0</v>
      </c>
      <c r="CX396" s="266">
        <f t="shared" ca="1" si="284"/>
        <v>0</v>
      </c>
    </row>
    <row r="397" spans="2:102" s="47" customFormat="1" ht="18" customHeight="1" x14ac:dyDescent="0.25">
      <c r="B397" t="str">
        <f t="shared" si="285"/>
        <v>NSG_Residential_Multi-Family_Partner Trade Ally Rebate_Direct Fired Heaters_0_MF/CI</v>
      </c>
      <c r="C397" s="47" t="str">
        <f t="shared" si="246"/>
        <v>Direct Fired Heaters_0_MF/CI</v>
      </c>
      <c r="D397" s="270" t="s">
        <v>1787</v>
      </c>
      <c r="E397" s="270" t="s">
        <v>2</v>
      </c>
      <c r="F397" s="270" t="s">
        <v>1422</v>
      </c>
      <c r="G397" s="270" t="s">
        <v>1799</v>
      </c>
      <c r="H397" s="270" t="s">
        <v>666</v>
      </c>
      <c r="I397" s="270">
        <v>0</v>
      </c>
      <c r="J397" s="270" t="s">
        <v>587</v>
      </c>
      <c r="K397" s="263">
        <v>1</v>
      </c>
      <c r="L397" s="263" t="str">
        <f ca="1">IFERROR(INDEX(Algorithms!J:J,MATCH($C397&amp;"_Therm Saved per Unit",Algorithms!$A:$A,0)),"n/a")</f>
        <v>4.4.39</v>
      </c>
      <c r="M397" s="263" t="str">
        <f>IFERROR(INDEX('Measure Level Detail'!$N:$N,MATCH($B397,'Measure Level Detail'!$B:$B,0)),0)</f>
        <v>MBH</v>
      </c>
      <c r="N397" s="271">
        <f>IFERROR(INDEX('Measure Level Detail'!$P:$P,MATCH($B397&amp;"_"&amp;N$3,'Measure Level Detail'!$C:$C,0)),0)</f>
        <v>0</v>
      </c>
      <c r="O397" s="271">
        <f>IFERROR(INDEX('Measure Level Detail'!$P:$P,MATCH($B397&amp;"_"&amp;O$3,'Measure Level Detail'!$C:$C,0)),0)</f>
        <v>0</v>
      </c>
      <c r="P397" s="271">
        <f>IFERROR(INDEX('Measure Level Detail'!$P:$P,MATCH($B397&amp;"_"&amp;P$3,'Measure Level Detail'!$C:$C,0)),0)</f>
        <v>0</v>
      </c>
      <c r="Q397" s="271">
        <f>IFERROR(INDEX('Measure Level Detail'!$P:$P,MATCH($B397&amp;"_"&amp;Q$3,'Measure Level Detail'!$C:$C,0)),0)</f>
        <v>0</v>
      </c>
      <c r="R397" s="263" t="str">
        <f ca="1">IFERROR(INDEX(Algorithms!K:K,MATCH($C397&amp;"_Therm Saved per Unit",Algorithms!$A:$A,0)),"n/a")</f>
        <v>CI-HVC-HTHV-V02-230101</v>
      </c>
      <c r="S397" s="262"/>
      <c r="T397" s="272">
        <v>3.72</v>
      </c>
      <c r="U397" s="272">
        <v>3.72</v>
      </c>
      <c r="V397" s="272">
        <v>3.72</v>
      </c>
      <c r="W397" s="272">
        <v>3.72</v>
      </c>
      <c r="X397" s="273">
        <f>IFERROR(INDEX('Measure Level Detail'!$R:$R,MATCH($B397&amp;"_"&amp;X$3,'Measure Level Detail'!$C:$C,0)),0)</f>
        <v>0.87</v>
      </c>
      <c r="Y397" s="273">
        <f>IFERROR(INDEX('Measure Level Detail'!$R:$R,MATCH($B397&amp;"_"&amp;Y$3,'Measure Level Detail'!$C:$C,0)),0)</f>
        <v>0.87</v>
      </c>
      <c r="Z397" s="273">
        <f>IFERROR(INDEX('Measure Level Detail'!$R:$R,MATCH($B397&amp;"_"&amp;Z$3,'Measure Level Detail'!$C:$C,0)),0)</f>
        <v>0.87</v>
      </c>
      <c r="AA397" s="273">
        <f>IFERROR(INDEX('Measure Level Detail'!$R:$R,MATCH($B397&amp;"_"&amp;AA$3,'Measure Level Detail'!$C:$C,0)),0)</f>
        <v>0.87</v>
      </c>
      <c r="AB397" s="266">
        <f t="shared" si="247"/>
        <v>0</v>
      </c>
      <c r="AC397" s="266">
        <f t="shared" si="248"/>
        <v>0</v>
      </c>
      <c r="AD397" s="266">
        <f t="shared" si="249"/>
        <v>0</v>
      </c>
      <c r="AE397" s="266">
        <f t="shared" si="250"/>
        <v>0</v>
      </c>
      <c r="AF397" s="266">
        <f t="shared" si="251"/>
        <v>0</v>
      </c>
      <c r="AG397" s="274">
        <v>0.87</v>
      </c>
      <c r="AH397" s="274">
        <v>0.87</v>
      </c>
      <c r="AI397" s="710">
        <v>0.88</v>
      </c>
      <c r="AJ397" s="710">
        <v>0.88</v>
      </c>
      <c r="AK397" s="274">
        <f t="shared" si="252"/>
        <v>0.87</v>
      </c>
      <c r="AL397" s="274">
        <f t="shared" si="253"/>
        <v>0.87</v>
      </c>
      <c r="AM397" s="274">
        <f t="shared" si="254"/>
        <v>0.87</v>
      </c>
      <c r="AN397" s="274">
        <f t="shared" si="255"/>
        <v>0.87</v>
      </c>
      <c r="AO397" s="262"/>
      <c r="AP397" s="262"/>
      <c r="AQ397" s="267">
        <v>3.72</v>
      </c>
      <c r="AR397" s="262"/>
      <c r="AS397" s="266">
        <f t="shared" si="256"/>
        <v>0</v>
      </c>
      <c r="AT397" s="264">
        <f t="shared" si="257"/>
        <v>0</v>
      </c>
      <c r="AU397" s="262"/>
      <c r="AV397" s="262"/>
      <c r="AW397" s="265">
        <v>3.72</v>
      </c>
      <c r="AX397" s="164" t="s">
        <v>1469</v>
      </c>
      <c r="AY397" s="266">
        <v>0</v>
      </c>
      <c r="AZ397" s="266">
        <f t="shared" si="258"/>
        <v>0</v>
      </c>
      <c r="BA397" s="264">
        <f t="shared" si="259"/>
        <v>0</v>
      </c>
      <c r="BB397" s="262"/>
      <c r="BC397" s="262"/>
      <c r="BD397" s="265">
        <f ca="1">IFERROR(INDEX(Algorithms!$G:$G,MATCH($C397&amp;"_Therm Saved per Unit",Algorithms!$A:$A,0)),0)</f>
        <v>3.72</v>
      </c>
      <c r="BE397" s="164" t="str">
        <f ca="1">IFERROR(INDEX('v12 Revisions'!$P$29:$P$186, MATCH('Measure-Level Adj Gas'!$L397, 'v12 Revisions'!$D$29:$D$186,0)),"")</f>
        <v/>
      </c>
      <c r="BF397" s="266">
        <f t="shared" ca="1" si="260"/>
        <v>0</v>
      </c>
      <c r="BG397" s="264">
        <f t="shared" ca="1" si="261"/>
        <v>0</v>
      </c>
      <c r="BH397" s="262"/>
      <c r="BI397" s="262"/>
      <c r="BJ397" s="265">
        <f ca="1">IFERROR(INDEX(Algorithms!$G:$G,MATCH($C397&amp;"_Therm Saved per Unit",Algorithms!$A:$A,0)),0)</f>
        <v>3.72</v>
      </c>
      <c r="BK397" s="164"/>
      <c r="BL397" s="266">
        <f t="shared" ca="1" si="262"/>
        <v>0</v>
      </c>
      <c r="BM397" s="264">
        <f t="shared" ca="1" si="263"/>
        <v>0</v>
      </c>
      <c r="BN397" s="266">
        <f t="shared" si="264"/>
        <v>0</v>
      </c>
      <c r="BO397" s="266">
        <f t="shared" si="265"/>
        <v>0</v>
      </c>
      <c r="BP397" s="266">
        <f t="shared" ca="1" si="266"/>
        <v>0</v>
      </c>
      <c r="BQ397" s="266">
        <f t="shared" ca="1" si="267"/>
        <v>0</v>
      </c>
      <c r="BR397" s="268">
        <f t="shared" ca="1" si="268"/>
        <v>0</v>
      </c>
      <c r="BS397" s="262" t="s">
        <v>99</v>
      </c>
      <c r="BT397" s="277"/>
      <c r="BW397" s="266">
        <f t="shared" si="269"/>
        <v>0</v>
      </c>
      <c r="BX397" s="266">
        <f t="shared" si="270"/>
        <v>0</v>
      </c>
      <c r="BY397" s="266">
        <f t="shared" si="271"/>
        <v>0</v>
      </c>
      <c r="BZ397" s="266">
        <f t="shared" si="272"/>
        <v>0</v>
      </c>
      <c r="CA397" s="266">
        <f ca="1">N397*IFERROR(INDEX(Algorithms!$G:$G,MATCH($C397&amp;"_Therm Saved per Unit- MLA",Algorithms!$A:$A,0)),0)*X397</f>
        <v>0</v>
      </c>
      <c r="CB397" s="266">
        <f ca="1">O397*IFERROR(INDEX(Algorithms!$G:$G,MATCH($C397&amp;"_Therm Saved per Unit- MLA",Algorithms!$A:$A,0)),0)*Y397</f>
        <v>0</v>
      </c>
      <c r="CC397" s="266">
        <f ca="1">P397*IFERROR(INDEX(Algorithms!$G:$G,MATCH($C397&amp;"_Therm Saved per Unit- MLA",Algorithms!$A:$A,0)),0)*Z397</f>
        <v>0</v>
      </c>
      <c r="CD397" s="266">
        <f ca="1">Q397*IFERROR(INDEX(Algorithms!$G:$G,MATCH($C397&amp;"_Therm Saved per Unit- MLA",Algorithms!$A:$A,0)),0)*AA397</f>
        <v>0</v>
      </c>
      <c r="CE397" s="266">
        <f ca="1">IFERROR(INDEX(Algorithms!$G:$G,MATCH($C397&amp;"_Lifetime (years)",Algorithms!$A:$A,0)),0)</f>
        <v>15</v>
      </c>
      <c r="CF397" s="266">
        <f ca="1">IFERROR(INDEX(Algorithms!$G:$G,MATCH($C397&amp;"_Lifetime (years) - Remaining Years",Algorithms!$A:$A,0)),0)</f>
        <v>0</v>
      </c>
      <c r="CG397" s="266">
        <f t="shared" ca="1" si="273"/>
        <v>0</v>
      </c>
      <c r="CH397" s="266">
        <f t="shared" ca="1" si="274"/>
        <v>0</v>
      </c>
      <c r="CI397" s="266">
        <f t="shared" ca="1" si="275"/>
        <v>0</v>
      </c>
      <c r="CJ397" s="266">
        <f t="shared" ca="1" si="276"/>
        <v>0</v>
      </c>
      <c r="CK397" s="266">
        <f t="shared" si="277"/>
        <v>0</v>
      </c>
      <c r="CL397" s="266">
        <f t="shared" si="278"/>
        <v>0</v>
      </c>
      <c r="CM397" s="266">
        <f t="shared" ca="1" si="279"/>
        <v>0</v>
      </c>
      <c r="CN397" s="266">
        <f t="shared" ca="1" si="280"/>
        <v>0</v>
      </c>
      <c r="CO397" s="266">
        <f ca="1">N397*IFERROR(INDEX(Algorithms!$G:$G,MATCH($C397&amp;"_Therm Saved per Unit- MLA",Algorithms!$A:$A,0)),0)*X397</f>
        <v>0</v>
      </c>
      <c r="CP397" s="266">
        <f ca="1">O397*IFERROR(INDEX(Algorithms!$G:$G,MATCH($C397&amp;"_Therm Saved per Unit- MLA",Algorithms!$A:$A,0)),0)*Y397</f>
        <v>0</v>
      </c>
      <c r="CQ397" s="266">
        <f ca="1">P397*IFERROR(INDEX(Algorithms!$G:$G,MATCH($C397&amp;"_Therm Saved per Unit- MLA",Algorithms!$A:$A,0)),0)*Z397</f>
        <v>0</v>
      </c>
      <c r="CR397" s="266">
        <f ca="1">Q397*IFERROR(INDEX(Algorithms!$G:$G,MATCH($C397&amp;"_Therm Saved per Unit- MLA",Algorithms!$A:$A,0)),0)*AA397</f>
        <v>0</v>
      </c>
      <c r="CS397" s="266">
        <f ca="1">IFERROR(INDEX(Algorithms!$G:$G,MATCH($C397&amp;"_Lifetime (years)",Algorithms!$A:$A,0)),0)</f>
        <v>15</v>
      </c>
      <c r="CT397" s="266">
        <f ca="1">IFERROR(INDEX(Algorithms!$G:$G,MATCH($C397&amp;"_Lifetime (years) - Remaining Years",Algorithms!$A:$A,0)),0)</f>
        <v>0</v>
      </c>
      <c r="CU397" s="266">
        <f t="shared" ca="1" si="281"/>
        <v>0</v>
      </c>
      <c r="CV397" s="266">
        <f t="shared" ca="1" si="282"/>
        <v>0</v>
      </c>
      <c r="CW397" s="266">
        <f t="shared" ca="1" si="283"/>
        <v>0</v>
      </c>
      <c r="CX397" s="266">
        <f t="shared" ca="1" si="284"/>
        <v>0</v>
      </c>
    </row>
    <row r="398" spans="2:102" s="47" customFormat="1" ht="18" customHeight="1" x14ac:dyDescent="0.25">
      <c r="B398" t="str">
        <f t="shared" si="285"/>
        <v>NSG_Residential_Multi-Family_Partner Trade Ally Rebate_High Speed Washer_0_MF</v>
      </c>
      <c r="C398" s="47" t="str">
        <f t="shared" si="246"/>
        <v>High Speed Washer_0_MF</v>
      </c>
      <c r="D398" s="270" t="s">
        <v>1787</v>
      </c>
      <c r="E398" s="270" t="s">
        <v>2</v>
      </c>
      <c r="F398" s="270" t="s">
        <v>1422</v>
      </c>
      <c r="G398" s="270" t="s">
        <v>1799</v>
      </c>
      <c r="H398" s="270" t="s">
        <v>725</v>
      </c>
      <c r="I398" s="270">
        <v>0</v>
      </c>
      <c r="J398" s="270" t="s">
        <v>553</v>
      </c>
      <c r="K398" s="263">
        <v>1</v>
      </c>
      <c r="L398" s="263" t="str">
        <f ca="1">IFERROR(INDEX(Algorithms!J:J,MATCH($C398&amp;"_Therm Saved per Unit",Algorithms!$A:$A,0)),"n/a")</f>
        <v>4.8.5</v>
      </c>
      <c r="M398" s="263" t="str">
        <f>IFERROR(INDEX('Measure Level Detail'!$N:$N,MATCH($B398,'Measure Level Detail'!$B:$B,0)),0)</f>
        <v>lb-capacity</v>
      </c>
      <c r="N398" s="271">
        <f>IFERROR(INDEX('Measure Level Detail'!$P:$P,MATCH($B398&amp;"_"&amp;N$3,'Measure Level Detail'!$C:$C,0)),0)</f>
        <v>0</v>
      </c>
      <c r="O398" s="271">
        <f>IFERROR(INDEX('Measure Level Detail'!$P:$P,MATCH($B398&amp;"_"&amp;O$3,'Measure Level Detail'!$C:$C,0)),0)</f>
        <v>0</v>
      </c>
      <c r="P398" s="271">
        <f>IFERROR(INDEX('Measure Level Detail'!$P:$P,MATCH($B398&amp;"_"&amp;P$3,'Measure Level Detail'!$C:$C,0)),0)</f>
        <v>0</v>
      </c>
      <c r="Q398" s="271">
        <f>IFERROR(INDEX('Measure Level Detail'!$P:$P,MATCH($B398&amp;"_"&amp;Q$3,'Measure Level Detail'!$C:$C,0)),0)</f>
        <v>0</v>
      </c>
      <c r="R398" s="263" t="str">
        <f ca="1">IFERROR(INDEX(Algorithms!K:K,MATCH($C398&amp;"_Therm Saved per Unit",Algorithms!$A:$A,0)),"n/a")</f>
        <v>CI-MSC-HSCW-V03-240101</v>
      </c>
      <c r="S398" s="262"/>
      <c r="T398" s="272">
        <v>2.2054032000000001</v>
      </c>
      <c r="U398" s="272">
        <v>2.2054032000000001</v>
      </c>
      <c r="V398" s="272">
        <v>2.2054032000000001</v>
      </c>
      <c r="W398" s="272">
        <v>2.2054032000000001</v>
      </c>
      <c r="X398" s="273">
        <f>IFERROR(INDEX('Measure Level Detail'!$R:$R,MATCH($B398&amp;"_"&amp;X$3,'Measure Level Detail'!$C:$C,0)),0)</f>
        <v>0.87</v>
      </c>
      <c r="Y398" s="273">
        <f>IFERROR(INDEX('Measure Level Detail'!$R:$R,MATCH($B398&amp;"_"&amp;Y$3,'Measure Level Detail'!$C:$C,0)),0)</f>
        <v>0.87</v>
      </c>
      <c r="Z398" s="273">
        <f>IFERROR(INDEX('Measure Level Detail'!$R:$R,MATCH($B398&amp;"_"&amp;Z$3,'Measure Level Detail'!$C:$C,0)),0)</f>
        <v>0.87</v>
      </c>
      <c r="AA398" s="273">
        <f>IFERROR(INDEX('Measure Level Detail'!$R:$R,MATCH($B398&amp;"_"&amp;AA$3,'Measure Level Detail'!$C:$C,0)),0)</f>
        <v>0.87</v>
      </c>
      <c r="AB398" s="266">
        <f t="shared" si="247"/>
        <v>0</v>
      </c>
      <c r="AC398" s="266">
        <f t="shared" si="248"/>
        <v>0</v>
      </c>
      <c r="AD398" s="266">
        <f t="shared" si="249"/>
        <v>0</v>
      </c>
      <c r="AE398" s="266">
        <f t="shared" si="250"/>
        <v>0</v>
      </c>
      <c r="AF398" s="266">
        <f t="shared" si="251"/>
        <v>0</v>
      </c>
      <c r="AG398" s="274">
        <v>0.87</v>
      </c>
      <c r="AH398" s="274">
        <v>0.87</v>
      </c>
      <c r="AI398" s="710">
        <v>0.88</v>
      </c>
      <c r="AJ398" s="710">
        <v>0.88</v>
      </c>
      <c r="AK398" s="274">
        <f t="shared" si="252"/>
        <v>0.87</v>
      </c>
      <c r="AL398" s="274">
        <f t="shared" si="253"/>
        <v>0.87</v>
      </c>
      <c r="AM398" s="274">
        <f t="shared" si="254"/>
        <v>0.87</v>
      </c>
      <c r="AN398" s="274">
        <f t="shared" si="255"/>
        <v>0.87</v>
      </c>
      <c r="AO398" s="262"/>
      <c r="AP398" s="262"/>
      <c r="AQ398" s="267">
        <v>2.2054032000000001</v>
      </c>
      <c r="AR398" s="262"/>
      <c r="AS398" s="266">
        <f t="shared" si="256"/>
        <v>0</v>
      </c>
      <c r="AT398" s="264">
        <f t="shared" si="257"/>
        <v>0</v>
      </c>
      <c r="AU398" s="262"/>
      <c r="AV398" s="262"/>
      <c r="AW398" s="265">
        <v>2.2054032000000001</v>
      </c>
      <c r="AX398" s="164" t="s">
        <v>1469</v>
      </c>
      <c r="AY398" s="266">
        <v>0</v>
      </c>
      <c r="AZ398" s="266">
        <f t="shared" si="258"/>
        <v>0</v>
      </c>
      <c r="BA398" s="264">
        <f t="shared" si="259"/>
        <v>0</v>
      </c>
      <c r="BB398" s="262"/>
      <c r="BC398" s="262"/>
      <c r="BD398" s="265">
        <f ca="1">IFERROR(INDEX(Algorithms!$G:$G,MATCH($C398&amp;"_Therm Saved per Unit",Algorithms!$A:$A,0)),0)</f>
        <v>2.2054032000000001</v>
      </c>
      <c r="BE398" s="164" t="str">
        <f ca="1">IFERROR(INDEX('v12 Revisions'!$P$29:$P$186, MATCH('Measure-Level Adj Gas'!$L398, 'v12 Revisions'!$D$29:$D$186,0)),"")</f>
        <v>n/a - costs only.</v>
      </c>
      <c r="BF398" s="266">
        <f t="shared" ca="1" si="260"/>
        <v>0</v>
      </c>
      <c r="BG398" s="264">
        <f t="shared" ca="1" si="261"/>
        <v>0</v>
      </c>
      <c r="BH398" s="262"/>
      <c r="BI398" s="262"/>
      <c r="BJ398" s="265">
        <f ca="1">IFERROR(INDEX(Algorithms!$G:$G,MATCH($C398&amp;"_Therm Saved per Unit",Algorithms!$A:$A,0)),0)</f>
        <v>2.2054032000000001</v>
      </c>
      <c r="BK398" s="164"/>
      <c r="BL398" s="266">
        <f t="shared" ca="1" si="262"/>
        <v>0</v>
      </c>
      <c r="BM398" s="264">
        <f t="shared" ca="1" si="263"/>
        <v>0</v>
      </c>
      <c r="BN398" s="266">
        <f t="shared" si="264"/>
        <v>0</v>
      </c>
      <c r="BO398" s="266">
        <f t="shared" si="265"/>
        <v>0</v>
      </c>
      <c r="BP398" s="266">
        <f t="shared" ca="1" si="266"/>
        <v>0</v>
      </c>
      <c r="BQ398" s="266">
        <f t="shared" ca="1" si="267"/>
        <v>0</v>
      </c>
      <c r="BR398" s="268">
        <f t="shared" ca="1" si="268"/>
        <v>0</v>
      </c>
      <c r="BS398" s="262" t="s">
        <v>99</v>
      </c>
      <c r="BT398" s="277"/>
      <c r="BW398" s="266">
        <f t="shared" si="269"/>
        <v>0</v>
      </c>
      <c r="BX398" s="266">
        <f t="shared" si="270"/>
        <v>0</v>
      </c>
      <c r="BY398" s="266">
        <f t="shared" si="271"/>
        <v>0</v>
      </c>
      <c r="BZ398" s="266">
        <f t="shared" si="272"/>
        <v>0</v>
      </c>
      <c r="CA398" s="266">
        <f ca="1">N398*IFERROR(INDEX(Algorithms!$G:$G,MATCH($C398&amp;"_Therm Saved per Unit- MLA",Algorithms!$A:$A,0)),0)*X398</f>
        <v>0</v>
      </c>
      <c r="CB398" s="266">
        <f ca="1">O398*IFERROR(INDEX(Algorithms!$G:$G,MATCH($C398&amp;"_Therm Saved per Unit- MLA",Algorithms!$A:$A,0)),0)*Y398</f>
        <v>0</v>
      </c>
      <c r="CC398" s="266">
        <f ca="1">P398*IFERROR(INDEX(Algorithms!$G:$G,MATCH($C398&amp;"_Therm Saved per Unit- MLA",Algorithms!$A:$A,0)),0)*Z398</f>
        <v>0</v>
      </c>
      <c r="CD398" s="266">
        <f ca="1">Q398*IFERROR(INDEX(Algorithms!$G:$G,MATCH($C398&amp;"_Therm Saved per Unit- MLA",Algorithms!$A:$A,0)),0)*AA398</f>
        <v>0</v>
      </c>
      <c r="CE398" s="266">
        <f ca="1">IFERROR(INDEX(Algorithms!$G:$G,MATCH($C398&amp;"_Lifetime (years)",Algorithms!$A:$A,0)),0)</f>
        <v>7</v>
      </c>
      <c r="CF398" s="266">
        <f ca="1">IFERROR(INDEX(Algorithms!$G:$G,MATCH($C398&amp;"_Lifetime (years) - Remaining Years",Algorithms!$A:$A,0)),0)</f>
        <v>0</v>
      </c>
      <c r="CG398" s="266">
        <f t="shared" ca="1" si="273"/>
        <v>0</v>
      </c>
      <c r="CH398" s="266">
        <f t="shared" ca="1" si="274"/>
        <v>0</v>
      </c>
      <c r="CI398" s="266">
        <f t="shared" ca="1" si="275"/>
        <v>0</v>
      </c>
      <c r="CJ398" s="266">
        <f t="shared" ca="1" si="276"/>
        <v>0</v>
      </c>
      <c r="CK398" s="266">
        <f t="shared" si="277"/>
        <v>0</v>
      </c>
      <c r="CL398" s="266">
        <f t="shared" si="278"/>
        <v>0</v>
      </c>
      <c r="CM398" s="266">
        <f t="shared" ca="1" si="279"/>
        <v>0</v>
      </c>
      <c r="CN398" s="266">
        <f t="shared" ca="1" si="280"/>
        <v>0</v>
      </c>
      <c r="CO398" s="266">
        <f ca="1">N398*IFERROR(INDEX(Algorithms!$G:$G,MATCH($C398&amp;"_Therm Saved per Unit- MLA",Algorithms!$A:$A,0)),0)*X398</f>
        <v>0</v>
      </c>
      <c r="CP398" s="266">
        <f ca="1">O398*IFERROR(INDEX(Algorithms!$G:$G,MATCH($C398&amp;"_Therm Saved per Unit- MLA",Algorithms!$A:$A,0)),0)*Y398</f>
        <v>0</v>
      </c>
      <c r="CQ398" s="266">
        <f ca="1">P398*IFERROR(INDEX(Algorithms!$G:$G,MATCH($C398&amp;"_Therm Saved per Unit- MLA",Algorithms!$A:$A,0)),0)*Z398</f>
        <v>0</v>
      </c>
      <c r="CR398" s="266">
        <f ca="1">Q398*IFERROR(INDEX(Algorithms!$G:$G,MATCH($C398&amp;"_Therm Saved per Unit- MLA",Algorithms!$A:$A,0)),0)*AA398</f>
        <v>0</v>
      </c>
      <c r="CS398" s="266">
        <f ca="1">IFERROR(INDEX(Algorithms!$G:$G,MATCH($C398&amp;"_Lifetime (years)",Algorithms!$A:$A,0)),0)</f>
        <v>7</v>
      </c>
      <c r="CT398" s="266">
        <f ca="1">IFERROR(INDEX(Algorithms!$G:$G,MATCH($C398&amp;"_Lifetime (years) - Remaining Years",Algorithms!$A:$A,0)),0)</f>
        <v>0</v>
      </c>
      <c r="CU398" s="266">
        <f t="shared" ca="1" si="281"/>
        <v>0</v>
      </c>
      <c r="CV398" s="266">
        <f t="shared" ca="1" si="282"/>
        <v>0</v>
      </c>
      <c r="CW398" s="266">
        <f t="shared" ca="1" si="283"/>
        <v>0</v>
      </c>
      <c r="CX398" s="266">
        <f t="shared" ca="1" si="284"/>
        <v>0</v>
      </c>
    </row>
    <row r="399" spans="2:102" s="47" customFormat="1" ht="18" customHeight="1" x14ac:dyDescent="0.25">
      <c r="B399" t="str">
        <f t="shared" si="285"/>
        <v>NSG_Residential_Multi-Family_Partner Trade Ally Rebate_Infrared Heater_0_MF/CI</v>
      </c>
      <c r="C399" s="47" t="str">
        <f t="shared" si="246"/>
        <v>Infrared Heater_0_MF/CI</v>
      </c>
      <c r="D399" s="270" t="s">
        <v>1787</v>
      </c>
      <c r="E399" s="270" t="s">
        <v>2</v>
      </c>
      <c r="F399" s="270" t="s">
        <v>1422</v>
      </c>
      <c r="G399" s="270" t="s">
        <v>1799</v>
      </c>
      <c r="H399" s="270" t="s">
        <v>742</v>
      </c>
      <c r="I399" s="270">
        <v>0</v>
      </c>
      <c r="J399" s="270" t="s">
        <v>587</v>
      </c>
      <c r="K399" s="263">
        <v>1</v>
      </c>
      <c r="L399" s="263" t="str">
        <f ca="1">IFERROR(INDEX(Algorithms!J:J,MATCH($C399&amp;"_Therm Saved per Unit",Algorithms!$A:$A,0)),"n/a")</f>
        <v>4.4.12</v>
      </c>
      <c r="M399" s="263" t="str">
        <f>IFERROR(INDEX('Measure Level Detail'!$N:$N,MATCH($B399,'Measure Level Detail'!$B:$B,0)),0)</f>
        <v>MBH</v>
      </c>
      <c r="N399" s="271">
        <f>IFERROR(INDEX('Measure Level Detail'!$P:$P,MATCH($B399&amp;"_"&amp;N$3,'Measure Level Detail'!$C:$C,0)),0)</f>
        <v>0</v>
      </c>
      <c r="O399" s="271">
        <f>IFERROR(INDEX('Measure Level Detail'!$P:$P,MATCH($B399&amp;"_"&amp;O$3,'Measure Level Detail'!$C:$C,0)),0)</f>
        <v>0</v>
      </c>
      <c r="P399" s="271">
        <f>IFERROR(INDEX('Measure Level Detail'!$P:$P,MATCH($B399&amp;"_"&amp;P$3,'Measure Level Detail'!$C:$C,0)),0)</f>
        <v>0</v>
      </c>
      <c r="Q399" s="271">
        <f>IFERROR(INDEX('Measure Level Detail'!$P:$P,MATCH($B399&amp;"_"&amp;Q$3,'Measure Level Detail'!$C:$C,0)),0)</f>
        <v>0</v>
      </c>
      <c r="R399" s="263" t="str">
        <f ca="1">IFERROR(INDEX(Algorithms!K:K,MATCH($C399&amp;"_Therm Saved per Unit",Algorithms!$A:$A,0)),"n/a")</f>
        <v>CI-HVC-IRHT-V03-230101</v>
      </c>
      <c r="S399" s="262"/>
      <c r="T399" s="272">
        <v>2.9611764705882351</v>
      </c>
      <c r="U399" s="272">
        <v>2.9611764705882351</v>
      </c>
      <c r="V399" s="272">
        <v>2.9611764705882351</v>
      </c>
      <c r="W399" s="272">
        <v>2.9611764705882351</v>
      </c>
      <c r="X399" s="273">
        <f>IFERROR(INDEX('Measure Level Detail'!$R:$R,MATCH($B399&amp;"_"&amp;X$3,'Measure Level Detail'!$C:$C,0)),0)</f>
        <v>0.87</v>
      </c>
      <c r="Y399" s="273">
        <f>IFERROR(INDEX('Measure Level Detail'!$R:$R,MATCH($B399&amp;"_"&amp;Y$3,'Measure Level Detail'!$C:$C,0)),0)</f>
        <v>0.87</v>
      </c>
      <c r="Z399" s="273">
        <f>IFERROR(INDEX('Measure Level Detail'!$R:$R,MATCH($B399&amp;"_"&amp;Z$3,'Measure Level Detail'!$C:$C,0)),0)</f>
        <v>0.87</v>
      </c>
      <c r="AA399" s="273">
        <f>IFERROR(INDEX('Measure Level Detail'!$R:$R,MATCH($B399&amp;"_"&amp;AA$3,'Measure Level Detail'!$C:$C,0)),0)</f>
        <v>0.87</v>
      </c>
      <c r="AB399" s="266">
        <f t="shared" si="247"/>
        <v>0</v>
      </c>
      <c r="AC399" s="266">
        <f t="shared" si="248"/>
        <v>0</v>
      </c>
      <c r="AD399" s="266">
        <f t="shared" si="249"/>
        <v>0</v>
      </c>
      <c r="AE399" s="266">
        <f t="shared" si="250"/>
        <v>0</v>
      </c>
      <c r="AF399" s="266">
        <f t="shared" si="251"/>
        <v>0</v>
      </c>
      <c r="AG399" s="274">
        <v>0.87</v>
      </c>
      <c r="AH399" s="274">
        <v>0.87</v>
      </c>
      <c r="AI399" s="710">
        <v>0.88</v>
      </c>
      <c r="AJ399" s="710">
        <v>0.88</v>
      </c>
      <c r="AK399" s="274">
        <f t="shared" si="252"/>
        <v>0.87</v>
      </c>
      <c r="AL399" s="274">
        <f t="shared" si="253"/>
        <v>0.87</v>
      </c>
      <c r="AM399" s="274">
        <f t="shared" si="254"/>
        <v>0.87</v>
      </c>
      <c r="AN399" s="274">
        <f t="shared" si="255"/>
        <v>0.87</v>
      </c>
      <c r="AO399" s="262"/>
      <c r="AP399" s="262"/>
      <c r="AQ399" s="267">
        <v>2.9611764705882351</v>
      </c>
      <c r="AR399" s="262"/>
      <c r="AS399" s="266">
        <f t="shared" si="256"/>
        <v>0</v>
      </c>
      <c r="AT399" s="264">
        <f t="shared" si="257"/>
        <v>0</v>
      </c>
      <c r="AU399" s="262"/>
      <c r="AV399" s="262"/>
      <c r="AW399" s="265">
        <v>2.9611764705882351</v>
      </c>
      <c r="AX399" s="164" t="s">
        <v>1469</v>
      </c>
      <c r="AY399" s="266">
        <v>0</v>
      </c>
      <c r="AZ399" s="266">
        <f t="shared" si="258"/>
        <v>0</v>
      </c>
      <c r="BA399" s="264">
        <f t="shared" si="259"/>
        <v>0</v>
      </c>
      <c r="BB399" s="262"/>
      <c r="BC399" s="262"/>
      <c r="BD399" s="265">
        <f ca="1">IFERROR(INDEX(Algorithms!$G:$G,MATCH($C399&amp;"_Therm Saved per Unit",Algorithms!$A:$A,0)),0)</f>
        <v>2.9611764705882351</v>
      </c>
      <c r="BE399" s="164" t="str">
        <f ca="1">IFERROR(INDEX('v12 Revisions'!$P$29:$P$186, MATCH('Measure-Level Adj Gas'!$L399, 'v12 Revisions'!$D$29:$D$186,0)),"")</f>
        <v/>
      </c>
      <c r="BF399" s="266">
        <f t="shared" ca="1" si="260"/>
        <v>0</v>
      </c>
      <c r="BG399" s="264">
        <f t="shared" ca="1" si="261"/>
        <v>0</v>
      </c>
      <c r="BH399" s="262"/>
      <c r="BI399" s="262"/>
      <c r="BJ399" s="265">
        <f ca="1">IFERROR(INDEX(Algorithms!$G:$G,MATCH($C399&amp;"_Therm Saved per Unit",Algorithms!$A:$A,0)),0)</f>
        <v>2.9611764705882351</v>
      </c>
      <c r="BK399" s="164"/>
      <c r="BL399" s="266">
        <f t="shared" ca="1" si="262"/>
        <v>0</v>
      </c>
      <c r="BM399" s="264">
        <f t="shared" ca="1" si="263"/>
        <v>0</v>
      </c>
      <c r="BN399" s="266">
        <f t="shared" si="264"/>
        <v>0</v>
      </c>
      <c r="BO399" s="266">
        <f t="shared" si="265"/>
        <v>0</v>
      </c>
      <c r="BP399" s="266">
        <f t="shared" ca="1" si="266"/>
        <v>0</v>
      </c>
      <c r="BQ399" s="266">
        <f t="shared" ca="1" si="267"/>
        <v>0</v>
      </c>
      <c r="BR399" s="268">
        <f t="shared" ca="1" si="268"/>
        <v>0</v>
      </c>
      <c r="BS399" s="262" t="s">
        <v>99</v>
      </c>
      <c r="BT399" s="277"/>
      <c r="BW399" s="266">
        <f t="shared" si="269"/>
        <v>0</v>
      </c>
      <c r="BX399" s="266">
        <f t="shared" si="270"/>
        <v>0</v>
      </c>
      <c r="BY399" s="266">
        <f t="shared" si="271"/>
        <v>0</v>
      </c>
      <c r="BZ399" s="266">
        <f t="shared" si="272"/>
        <v>0</v>
      </c>
      <c r="CA399" s="266">
        <f ca="1">N399*IFERROR(INDEX(Algorithms!$G:$G,MATCH($C399&amp;"_Therm Saved per Unit- MLA",Algorithms!$A:$A,0)),0)*X399</f>
        <v>0</v>
      </c>
      <c r="CB399" s="266">
        <f ca="1">O399*IFERROR(INDEX(Algorithms!$G:$G,MATCH($C399&amp;"_Therm Saved per Unit- MLA",Algorithms!$A:$A,0)),0)*Y399</f>
        <v>0</v>
      </c>
      <c r="CC399" s="266">
        <f ca="1">P399*IFERROR(INDEX(Algorithms!$G:$G,MATCH($C399&amp;"_Therm Saved per Unit- MLA",Algorithms!$A:$A,0)),0)*Z399</f>
        <v>0</v>
      </c>
      <c r="CD399" s="266">
        <f ca="1">Q399*IFERROR(INDEX(Algorithms!$G:$G,MATCH($C399&amp;"_Therm Saved per Unit- MLA",Algorithms!$A:$A,0)),0)*AA399</f>
        <v>0</v>
      </c>
      <c r="CE399" s="266">
        <f ca="1">IFERROR(INDEX(Algorithms!$G:$G,MATCH($C399&amp;"_Lifetime (years)",Algorithms!$A:$A,0)),0)</f>
        <v>15</v>
      </c>
      <c r="CF399" s="266">
        <f ca="1">IFERROR(INDEX(Algorithms!$G:$G,MATCH($C399&amp;"_Lifetime (years) - Remaining Years",Algorithms!$A:$A,0)),0)</f>
        <v>0</v>
      </c>
      <c r="CG399" s="266">
        <f t="shared" ca="1" si="273"/>
        <v>0</v>
      </c>
      <c r="CH399" s="266">
        <f t="shared" ca="1" si="274"/>
        <v>0</v>
      </c>
      <c r="CI399" s="266">
        <f t="shared" ca="1" si="275"/>
        <v>0</v>
      </c>
      <c r="CJ399" s="266">
        <f t="shared" ca="1" si="276"/>
        <v>0</v>
      </c>
      <c r="CK399" s="266">
        <f t="shared" si="277"/>
        <v>0</v>
      </c>
      <c r="CL399" s="266">
        <f t="shared" si="278"/>
        <v>0</v>
      </c>
      <c r="CM399" s="266">
        <f t="shared" ca="1" si="279"/>
        <v>0</v>
      </c>
      <c r="CN399" s="266">
        <f t="shared" ca="1" si="280"/>
        <v>0</v>
      </c>
      <c r="CO399" s="266">
        <f ca="1">N399*IFERROR(INDEX(Algorithms!$G:$G,MATCH($C399&amp;"_Therm Saved per Unit- MLA",Algorithms!$A:$A,0)),0)*X399</f>
        <v>0</v>
      </c>
      <c r="CP399" s="266">
        <f ca="1">O399*IFERROR(INDEX(Algorithms!$G:$G,MATCH($C399&amp;"_Therm Saved per Unit- MLA",Algorithms!$A:$A,0)),0)*Y399</f>
        <v>0</v>
      </c>
      <c r="CQ399" s="266">
        <f ca="1">P399*IFERROR(INDEX(Algorithms!$G:$G,MATCH($C399&amp;"_Therm Saved per Unit- MLA",Algorithms!$A:$A,0)),0)*Z399</f>
        <v>0</v>
      </c>
      <c r="CR399" s="266">
        <f ca="1">Q399*IFERROR(INDEX(Algorithms!$G:$G,MATCH($C399&amp;"_Therm Saved per Unit- MLA",Algorithms!$A:$A,0)),0)*AA399</f>
        <v>0</v>
      </c>
      <c r="CS399" s="266">
        <f ca="1">IFERROR(INDEX(Algorithms!$G:$G,MATCH($C399&amp;"_Lifetime (years)",Algorithms!$A:$A,0)),0)</f>
        <v>15</v>
      </c>
      <c r="CT399" s="266">
        <f ca="1">IFERROR(INDEX(Algorithms!$G:$G,MATCH($C399&amp;"_Lifetime (years) - Remaining Years",Algorithms!$A:$A,0)),0)</f>
        <v>0</v>
      </c>
      <c r="CU399" s="266">
        <f t="shared" ca="1" si="281"/>
        <v>0</v>
      </c>
      <c r="CV399" s="266">
        <f t="shared" ca="1" si="282"/>
        <v>0</v>
      </c>
      <c r="CW399" s="266">
        <f t="shared" ca="1" si="283"/>
        <v>0</v>
      </c>
      <c r="CX399" s="266">
        <f t="shared" ca="1" si="284"/>
        <v>0</v>
      </c>
    </row>
    <row r="400" spans="2:102" s="47" customFormat="1" ht="18" customHeight="1" x14ac:dyDescent="0.25">
      <c r="B400" t="str">
        <f t="shared" si="285"/>
        <v>NSG_Residential_Multi-Family_Partner Trade Ally Rebate_Ozone Laundry_0_MF/CI</v>
      </c>
      <c r="C400" s="47" t="str">
        <f t="shared" si="246"/>
        <v>Ozone Laundry_0_MF/CI</v>
      </c>
      <c r="D400" s="270" t="s">
        <v>1787</v>
      </c>
      <c r="E400" s="270" t="s">
        <v>2</v>
      </c>
      <c r="F400" s="270" t="s">
        <v>1422</v>
      </c>
      <c r="G400" s="270" t="s">
        <v>1799</v>
      </c>
      <c r="H400" s="270" t="s">
        <v>16</v>
      </c>
      <c r="I400" s="270">
        <v>0</v>
      </c>
      <c r="J400" s="270" t="s">
        <v>587</v>
      </c>
      <c r="K400" s="263">
        <v>1</v>
      </c>
      <c r="L400" s="263" t="str">
        <f ca="1">IFERROR(INDEX(Algorithms!J:J,MATCH($C400&amp;"_Therm Saved per Unit",Algorithms!$A:$A,0)),"n/a")</f>
        <v>4.3.6</v>
      </c>
      <c r="M400" s="263" t="str">
        <f>IFERROR(INDEX('Measure Level Detail'!$N:$N,MATCH($B400,'Measure Level Detail'!$B:$B,0)),0)</f>
        <v>lb-capacity</v>
      </c>
      <c r="N400" s="271">
        <f>IFERROR(INDEX('Measure Level Detail'!$P:$P,MATCH($B400&amp;"_"&amp;N$3,'Measure Level Detail'!$C:$C,0)),0)</f>
        <v>0</v>
      </c>
      <c r="O400" s="271">
        <f>IFERROR(INDEX('Measure Level Detail'!$P:$P,MATCH($B400&amp;"_"&amp;O$3,'Measure Level Detail'!$C:$C,0)),0)</f>
        <v>0</v>
      </c>
      <c r="P400" s="271">
        <f>IFERROR(INDEX('Measure Level Detail'!$P:$P,MATCH($B400&amp;"_"&amp;P$3,'Measure Level Detail'!$C:$C,0)),0)</f>
        <v>0</v>
      </c>
      <c r="Q400" s="271">
        <f>IFERROR(INDEX('Measure Level Detail'!$P:$P,MATCH($B400&amp;"_"&amp;Q$3,'Measure Level Detail'!$C:$C,0)),0)</f>
        <v>0</v>
      </c>
      <c r="R400" s="263" t="str">
        <f ca="1">IFERROR(INDEX(Algorithms!K:K,MATCH($C400&amp;"_Therm Saved per Unit",Algorithms!$A:$A,0)),"n/a")</f>
        <v>CI-HWE-OZLD-V07-230101</v>
      </c>
      <c r="S400" s="262"/>
      <c r="T400" s="272">
        <v>30.722664192350027</v>
      </c>
      <c r="U400" s="272">
        <v>30.722664192350027</v>
      </c>
      <c r="V400" s="272">
        <v>30.722664192350027</v>
      </c>
      <c r="W400" s="272">
        <v>30.722664192350027</v>
      </c>
      <c r="X400" s="273">
        <f>IFERROR(INDEX('Measure Level Detail'!$R:$R,MATCH($B400&amp;"_"&amp;X$3,'Measure Level Detail'!$C:$C,0)),0)</f>
        <v>0.87</v>
      </c>
      <c r="Y400" s="273">
        <f>IFERROR(INDEX('Measure Level Detail'!$R:$R,MATCH($B400&amp;"_"&amp;Y$3,'Measure Level Detail'!$C:$C,0)),0)</f>
        <v>0.87</v>
      </c>
      <c r="Z400" s="273">
        <f>IFERROR(INDEX('Measure Level Detail'!$R:$R,MATCH($B400&amp;"_"&amp;Z$3,'Measure Level Detail'!$C:$C,0)),0)</f>
        <v>0.87</v>
      </c>
      <c r="AA400" s="273">
        <f>IFERROR(INDEX('Measure Level Detail'!$R:$R,MATCH($B400&amp;"_"&amp;AA$3,'Measure Level Detail'!$C:$C,0)),0)</f>
        <v>0.87</v>
      </c>
      <c r="AB400" s="266">
        <f t="shared" si="247"/>
        <v>0</v>
      </c>
      <c r="AC400" s="266">
        <f t="shared" si="248"/>
        <v>0</v>
      </c>
      <c r="AD400" s="266">
        <f t="shared" si="249"/>
        <v>0</v>
      </c>
      <c r="AE400" s="266">
        <f t="shared" si="250"/>
        <v>0</v>
      </c>
      <c r="AF400" s="266">
        <f t="shared" si="251"/>
        <v>0</v>
      </c>
      <c r="AG400" s="274">
        <v>0.87</v>
      </c>
      <c r="AH400" s="274">
        <v>0.87</v>
      </c>
      <c r="AI400" s="710">
        <v>0.88</v>
      </c>
      <c r="AJ400" s="710">
        <v>0.88</v>
      </c>
      <c r="AK400" s="274">
        <f t="shared" si="252"/>
        <v>0.87</v>
      </c>
      <c r="AL400" s="274">
        <f t="shared" si="253"/>
        <v>0.87</v>
      </c>
      <c r="AM400" s="274">
        <f t="shared" si="254"/>
        <v>0.87</v>
      </c>
      <c r="AN400" s="274">
        <f t="shared" si="255"/>
        <v>0.87</v>
      </c>
      <c r="AO400" s="262"/>
      <c r="AP400" s="262"/>
      <c r="AQ400" s="267">
        <v>30.722664192350027</v>
      </c>
      <c r="AR400" s="262"/>
      <c r="AS400" s="266">
        <f t="shared" si="256"/>
        <v>0</v>
      </c>
      <c r="AT400" s="264">
        <f t="shared" si="257"/>
        <v>0</v>
      </c>
      <c r="AU400" s="262"/>
      <c r="AV400" s="262"/>
      <c r="AW400" s="265">
        <v>30.722664192350027</v>
      </c>
      <c r="AX400" s="164" t="s">
        <v>1469</v>
      </c>
      <c r="AY400" s="266">
        <v>0</v>
      </c>
      <c r="AZ400" s="266">
        <f t="shared" si="258"/>
        <v>0</v>
      </c>
      <c r="BA400" s="264">
        <f t="shared" si="259"/>
        <v>0</v>
      </c>
      <c r="BB400" s="262"/>
      <c r="BC400" s="262"/>
      <c r="BD400" s="265">
        <f ca="1">IFERROR(INDEX(Algorithms!$G:$G,MATCH($C400&amp;"_Therm Saved per Unit",Algorithms!$A:$A,0)),0)</f>
        <v>30.722664192350027</v>
      </c>
      <c r="BE400" s="164" t="str">
        <f ca="1">IFERROR(INDEX('v12 Revisions'!$P$29:$P$186, MATCH('Measure-Level Adj Gas'!$L400, 'v12 Revisions'!$D$29:$D$186,0)),"")</f>
        <v/>
      </c>
      <c r="BF400" s="266">
        <f t="shared" ca="1" si="260"/>
        <v>0</v>
      </c>
      <c r="BG400" s="264">
        <f t="shared" ca="1" si="261"/>
        <v>0</v>
      </c>
      <c r="BH400" s="262"/>
      <c r="BI400" s="262"/>
      <c r="BJ400" s="265">
        <f ca="1">IFERROR(INDEX(Algorithms!$G:$G,MATCH($C400&amp;"_Therm Saved per Unit",Algorithms!$A:$A,0)),0)</f>
        <v>30.722664192350027</v>
      </c>
      <c r="BK400" s="164"/>
      <c r="BL400" s="266">
        <f t="shared" ca="1" si="262"/>
        <v>0</v>
      </c>
      <c r="BM400" s="264">
        <f t="shared" ca="1" si="263"/>
        <v>0</v>
      </c>
      <c r="BN400" s="266">
        <f t="shared" si="264"/>
        <v>0</v>
      </c>
      <c r="BO400" s="266">
        <f t="shared" si="265"/>
        <v>0</v>
      </c>
      <c r="BP400" s="266">
        <f t="shared" ca="1" si="266"/>
        <v>0</v>
      </c>
      <c r="BQ400" s="266">
        <f t="shared" ca="1" si="267"/>
        <v>0</v>
      </c>
      <c r="BR400" s="268">
        <f t="shared" ca="1" si="268"/>
        <v>0</v>
      </c>
      <c r="BS400" s="262" t="s">
        <v>99</v>
      </c>
      <c r="BT400" s="277"/>
      <c r="BW400" s="266">
        <f t="shared" si="269"/>
        <v>0</v>
      </c>
      <c r="BX400" s="266">
        <f t="shared" si="270"/>
        <v>0</v>
      </c>
      <c r="BY400" s="266">
        <f t="shared" si="271"/>
        <v>0</v>
      </c>
      <c r="BZ400" s="266">
        <f t="shared" si="272"/>
        <v>0</v>
      </c>
      <c r="CA400" s="266">
        <f ca="1">N400*IFERROR(INDEX(Algorithms!$G:$G,MATCH($C400&amp;"_Therm Saved per Unit- MLA",Algorithms!$A:$A,0)),0)*X400</f>
        <v>0</v>
      </c>
      <c r="CB400" s="266">
        <f ca="1">O400*IFERROR(INDEX(Algorithms!$G:$G,MATCH($C400&amp;"_Therm Saved per Unit- MLA",Algorithms!$A:$A,0)),0)*Y400</f>
        <v>0</v>
      </c>
      <c r="CC400" s="266">
        <f ca="1">P400*IFERROR(INDEX(Algorithms!$G:$G,MATCH($C400&amp;"_Therm Saved per Unit- MLA",Algorithms!$A:$A,0)),0)*Z400</f>
        <v>0</v>
      </c>
      <c r="CD400" s="266">
        <f ca="1">Q400*IFERROR(INDEX(Algorithms!$G:$G,MATCH($C400&amp;"_Therm Saved per Unit- MLA",Algorithms!$A:$A,0)),0)*AA400</f>
        <v>0</v>
      </c>
      <c r="CE400" s="266">
        <f ca="1">IFERROR(INDEX(Algorithms!$G:$G,MATCH($C400&amp;"_Lifetime (years)",Algorithms!$A:$A,0)),0)</f>
        <v>10</v>
      </c>
      <c r="CF400" s="266">
        <f ca="1">IFERROR(INDEX(Algorithms!$G:$G,MATCH($C400&amp;"_Lifetime (years) - Remaining Years",Algorithms!$A:$A,0)),0)</f>
        <v>0</v>
      </c>
      <c r="CG400" s="266">
        <f t="shared" ca="1" si="273"/>
        <v>0</v>
      </c>
      <c r="CH400" s="266">
        <f t="shared" ca="1" si="274"/>
        <v>0</v>
      </c>
      <c r="CI400" s="266">
        <f t="shared" ca="1" si="275"/>
        <v>0</v>
      </c>
      <c r="CJ400" s="266">
        <f t="shared" ca="1" si="276"/>
        <v>0</v>
      </c>
      <c r="CK400" s="266">
        <f t="shared" si="277"/>
        <v>0</v>
      </c>
      <c r="CL400" s="266">
        <f t="shared" si="278"/>
        <v>0</v>
      </c>
      <c r="CM400" s="266">
        <f t="shared" ca="1" si="279"/>
        <v>0</v>
      </c>
      <c r="CN400" s="266">
        <f t="shared" ca="1" si="280"/>
        <v>0</v>
      </c>
      <c r="CO400" s="266">
        <f ca="1">N400*IFERROR(INDEX(Algorithms!$G:$G,MATCH($C400&amp;"_Therm Saved per Unit- MLA",Algorithms!$A:$A,0)),0)*X400</f>
        <v>0</v>
      </c>
      <c r="CP400" s="266">
        <f ca="1">O400*IFERROR(INDEX(Algorithms!$G:$G,MATCH($C400&amp;"_Therm Saved per Unit- MLA",Algorithms!$A:$A,0)),0)*Y400</f>
        <v>0</v>
      </c>
      <c r="CQ400" s="266">
        <f ca="1">P400*IFERROR(INDEX(Algorithms!$G:$G,MATCH($C400&amp;"_Therm Saved per Unit- MLA",Algorithms!$A:$A,0)),0)*Z400</f>
        <v>0</v>
      </c>
      <c r="CR400" s="266">
        <f ca="1">Q400*IFERROR(INDEX(Algorithms!$G:$G,MATCH($C400&amp;"_Therm Saved per Unit- MLA",Algorithms!$A:$A,0)),0)*AA400</f>
        <v>0</v>
      </c>
      <c r="CS400" s="266">
        <f ca="1">IFERROR(INDEX(Algorithms!$G:$G,MATCH($C400&amp;"_Lifetime (years)",Algorithms!$A:$A,0)),0)</f>
        <v>10</v>
      </c>
      <c r="CT400" s="266">
        <f ca="1">IFERROR(INDEX(Algorithms!$G:$G,MATCH($C400&amp;"_Lifetime (years) - Remaining Years",Algorithms!$A:$A,0)),0)</f>
        <v>0</v>
      </c>
      <c r="CU400" s="266">
        <f t="shared" ca="1" si="281"/>
        <v>0</v>
      </c>
      <c r="CV400" s="266">
        <f t="shared" ca="1" si="282"/>
        <v>0</v>
      </c>
      <c r="CW400" s="266">
        <f t="shared" ca="1" si="283"/>
        <v>0</v>
      </c>
      <c r="CX400" s="266">
        <f t="shared" ca="1" si="284"/>
        <v>0</v>
      </c>
    </row>
    <row r="401" spans="2:102" s="47" customFormat="1" ht="18" customHeight="1" x14ac:dyDescent="0.25">
      <c r="B401" t="str">
        <f t="shared" si="285"/>
        <v>NSG_Residential_Multi-Family_Partner Trade Ally Rebate_Pipe Insulation_Steam - X-Large &gt;8"_MF</v>
      </c>
      <c r="C401" s="47" t="str">
        <f t="shared" si="246"/>
        <v>Pipe Insulation_Steam - X-Large &gt;8"_MF</v>
      </c>
      <c r="D401" s="270" t="s">
        <v>1787</v>
      </c>
      <c r="E401" s="270" t="s">
        <v>2</v>
      </c>
      <c r="F401" s="270" t="s">
        <v>1422</v>
      </c>
      <c r="G401" s="270" t="s">
        <v>1799</v>
      </c>
      <c r="H401" s="270" t="s">
        <v>404</v>
      </c>
      <c r="I401" s="270" t="s">
        <v>960</v>
      </c>
      <c r="J401" s="270" t="s">
        <v>553</v>
      </c>
      <c r="K401" s="263">
        <v>1</v>
      </c>
      <c r="L401" s="263" t="str">
        <f ca="1">IFERROR(INDEX(Algorithms!J:J,MATCH($C401&amp;"_Therm Saved per Unit",Algorithms!$A:$A,0)),"n/a")</f>
        <v>"3 - Res Pipe Insulation" worksheet</v>
      </c>
      <c r="M401" s="263" t="str">
        <f>IFERROR(INDEX('Measure Level Detail'!$N:$N,MATCH($B401,'Measure Level Detail'!$B:$B,0)),0)</f>
        <v>ft</v>
      </c>
      <c r="N401" s="271">
        <f>IFERROR(INDEX('Measure Level Detail'!$P:$P,MATCH($B401&amp;"_"&amp;N$3,'Measure Level Detail'!$C:$C,0)),0)</f>
        <v>0</v>
      </c>
      <c r="O401" s="271">
        <f>IFERROR(INDEX('Measure Level Detail'!$P:$P,MATCH($B401&amp;"_"&amp;O$3,'Measure Level Detail'!$C:$C,0)),0)</f>
        <v>0</v>
      </c>
      <c r="P401" s="271">
        <f>IFERROR(INDEX('Measure Level Detail'!$P:$P,MATCH($B401&amp;"_"&amp;P$3,'Measure Level Detail'!$C:$C,0)),0)</f>
        <v>0</v>
      </c>
      <c r="Q401" s="271">
        <f>IFERROR(INDEX('Measure Level Detail'!$P:$P,MATCH($B401&amp;"_"&amp;Q$3,'Measure Level Detail'!$C:$C,0)),0)</f>
        <v>0</v>
      </c>
      <c r="R401" s="263">
        <f ca="1">IFERROR(INDEX(Algorithms!K:K,MATCH($C401&amp;"_Therm Saved per Unit",Algorithms!$A:$A,0)),"n/a")</f>
        <v>0</v>
      </c>
      <c r="S401" s="262"/>
      <c r="T401" s="272">
        <v>44.814401171573145</v>
      </c>
      <c r="U401" s="272">
        <v>44.814401171573145</v>
      </c>
      <c r="V401" s="272">
        <v>44.814401171573145</v>
      </c>
      <c r="W401" s="272">
        <v>44.814401171573145</v>
      </c>
      <c r="X401" s="273">
        <f>IFERROR(INDEX('Measure Level Detail'!$R:$R,MATCH($B401&amp;"_"&amp;X$3,'Measure Level Detail'!$C:$C,0)),0)</f>
        <v>0.87</v>
      </c>
      <c r="Y401" s="273">
        <f>IFERROR(INDEX('Measure Level Detail'!$R:$R,MATCH($B401&amp;"_"&amp;Y$3,'Measure Level Detail'!$C:$C,0)),0)</f>
        <v>0.87</v>
      </c>
      <c r="Z401" s="273">
        <f>IFERROR(INDEX('Measure Level Detail'!$R:$R,MATCH($B401&amp;"_"&amp;Z$3,'Measure Level Detail'!$C:$C,0)),0)</f>
        <v>0.87</v>
      </c>
      <c r="AA401" s="273">
        <f>IFERROR(INDEX('Measure Level Detail'!$R:$R,MATCH($B401&amp;"_"&amp;AA$3,'Measure Level Detail'!$C:$C,0)),0)</f>
        <v>0.87</v>
      </c>
      <c r="AB401" s="266">
        <f t="shared" si="247"/>
        <v>0</v>
      </c>
      <c r="AC401" s="266">
        <f t="shared" si="248"/>
        <v>0</v>
      </c>
      <c r="AD401" s="266">
        <f t="shared" si="249"/>
        <v>0</v>
      </c>
      <c r="AE401" s="266">
        <f t="shared" si="250"/>
        <v>0</v>
      </c>
      <c r="AF401" s="266">
        <f t="shared" si="251"/>
        <v>0</v>
      </c>
      <c r="AG401" s="274">
        <v>0.87</v>
      </c>
      <c r="AH401" s="274">
        <v>0.87</v>
      </c>
      <c r="AI401" s="710">
        <v>0.88</v>
      </c>
      <c r="AJ401" s="710">
        <v>0.88</v>
      </c>
      <c r="AK401" s="274">
        <f t="shared" si="252"/>
        <v>0.87</v>
      </c>
      <c r="AL401" s="274">
        <f t="shared" si="253"/>
        <v>0.87</v>
      </c>
      <c r="AM401" s="274">
        <f t="shared" si="254"/>
        <v>0.87</v>
      </c>
      <c r="AN401" s="274">
        <f t="shared" si="255"/>
        <v>0.87</v>
      </c>
      <c r="AO401" s="262"/>
      <c r="AP401" s="262"/>
      <c r="AQ401" s="267">
        <v>44.814401171573145</v>
      </c>
      <c r="AR401" s="262"/>
      <c r="AS401" s="266">
        <f t="shared" si="256"/>
        <v>0</v>
      </c>
      <c r="AT401" s="264">
        <f t="shared" si="257"/>
        <v>0</v>
      </c>
      <c r="AU401" s="262"/>
      <c r="AV401" s="262"/>
      <c r="AW401" s="265">
        <v>44.814401171573145</v>
      </c>
      <c r="AX401" s="164" t="s">
        <v>1469</v>
      </c>
      <c r="AY401" s="266">
        <v>0</v>
      </c>
      <c r="AZ401" s="266">
        <f t="shared" si="258"/>
        <v>0</v>
      </c>
      <c r="BA401" s="264">
        <f t="shared" si="259"/>
        <v>0</v>
      </c>
      <c r="BB401" s="262"/>
      <c r="BC401" s="262"/>
      <c r="BD401" s="265">
        <f ca="1">IFERROR(INDEX(Algorithms!$G:$G,MATCH($C401&amp;"_Therm Saved per Unit",Algorithms!$A:$A,0)),0)</f>
        <v>44.814401171573145</v>
      </c>
      <c r="BE401" s="164" t="str">
        <f ca="1">IFERROR(INDEX('v12 Revisions'!$P$29:$P$186, MATCH('Measure-Level Adj Gas'!$L401, 'v12 Revisions'!$D$29:$D$186,0)),"")</f>
        <v/>
      </c>
      <c r="BF401" s="266">
        <f t="shared" ca="1" si="260"/>
        <v>0</v>
      </c>
      <c r="BG401" s="264">
        <f t="shared" ca="1" si="261"/>
        <v>0</v>
      </c>
      <c r="BH401" s="262"/>
      <c r="BI401" s="262"/>
      <c r="BJ401" s="265">
        <f ca="1">IFERROR(INDEX(Algorithms!$G:$G,MATCH($C401&amp;"_Therm Saved per Unit",Algorithms!$A:$A,0)),0)</f>
        <v>44.814401171573145</v>
      </c>
      <c r="BK401" s="164"/>
      <c r="BL401" s="266">
        <f t="shared" ca="1" si="262"/>
        <v>0</v>
      </c>
      <c r="BM401" s="264">
        <f t="shared" ca="1" si="263"/>
        <v>0</v>
      </c>
      <c r="BN401" s="266">
        <f t="shared" si="264"/>
        <v>0</v>
      </c>
      <c r="BO401" s="266">
        <f t="shared" si="265"/>
        <v>0</v>
      </c>
      <c r="BP401" s="266">
        <f t="shared" ca="1" si="266"/>
        <v>0</v>
      </c>
      <c r="BQ401" s="266">
        <f t="shared" ca="1" si="267"/>
        <v>0</v>
      </c>
      <c r="BR401" s="268">
        <f t="shared" ca="1" si="268"/>
        <v>0</v>
      </c>
      <c r="BS401" s="262" t="s">
        <v>99</v>
      </c>
      <c r="BT401" s="277"/>
      <c r="BW401" s="266">
        <f t="shared" si="269"/>
        <v>0</v>
      </c>
      <c r="BX401" s="266">
        <f t="shared" si="270"/>
        <v>0</v>
      </c>
      <c r="BY401" s="266">
        <f t="shared" si="271"/>
        <v>0</v>
      </c>
      <c r="BZ401" s="266">
        <f t="shared" si="272"/>
        <v>0</v>
      </c>
      <c r="CA401" s="266">
        <f ca="1">N401*IFERROR(INDEX(Algorithms!$G:$G,MATCH($C401&amp;"_Therm Saved per Unit- MLA",Algorithms!$A:$A,0)),0)*X401</f>
        <v>0</v>
      </c>
      <c r="CB401" s="266">
        <f ca="1">O401*IFERROR(INDEX(Algorithms!$G:$G,MATCH($C401&amp;"_Therm Saved per Unit- MLA",Algorithms!$A:$A,0)),0)*Y401</f>
        <v>0</v>
      </c>
      <c r="CC401" s="266">
        <f ca="1">P401*IFERROR(INDEX(Algorithms!$G:$G,MATCH($C401&amp;"_Therm Saved per Unit- MLA",Algorithms!$A:$A,0)),0)*Z401</f>
        <v>0</v>
      </c>
      <c r="CD401" s="266">
        <f ca="1">Q401*IFERROR(INDEX(Algorithms!$G:$G,MATCH($C401&amp;"_Therm Saved per Unit- MLA",Algorithms!$A:$A,0)),0)*AA401</f>
        <v>0</v>
      </c>
      <c r="CE401" s="266">
        <f ca="1">IFERROR(INDEX(Algorithms!$G:$G,MATCH($C401&amp;"_Lifetime (years)",Algorithms!$A:$A,0)),0)</f>
        <v>15</v>
      </c>
      <c r="CF401" s="266">
        <f ca="1">IFERROR(INDEX(Algorithms!$G:$G,MATCH($C401&amp;"_Lifetime (years) - Remaining Years",Algorithms!$A:$A,0)),0)</f>
        <v>0</v>
      </c>
      <c r="CG401" s="266">
        <f t="shared" ca="1" si="273"/>
        <v>0</v>
      </c>
      <c r="CH401" s="266">
        <f t="shared" ca="1" si="274"/>
        <v>0</v>
      </c>
      <c r="CI401" s="266">
        <f t="shared" ca="1" si="275"/>
        <v>0</v>
      </c>
      <c r="CJ401" s="266">
        <f t="shared" ca="1" si="276"/>
        <v>0</v>
      </c>
      <c r="CK401" s="266">
        <f t="shared" si="277"/>
        <v>0</v>
      </c>
      <c r="CL401" s="266">
        <f t="shared" si="278"/>
        <v>0</v>
      </c>
      <c r="CM401" s="266">
        <f t="shared" ca="1" si="279"/>
        <v>0</v>
      </c>
      <c r="CN401" s="266">
        <f t="shared" ca="1" si="280"/>
        <v>0</v>
      </c>
      <c r="CO401" s="266">
        <f ca="1">N401*IFERROR(INDEX(Algorithms!$G:$G,MATCH($C401&amp;"_Therm Saved per Unit- MLA",Algorithms!$A:$A,0)),0)*X401</f>
        <v>0</v>
      </c>
      <c r="CP401" s="266">
        <f ca="1">O401*IFERROR(INDEX(Algorithms!$G:$G,MATCH($C401&amp;"_Therm Saved per Unit- MLA",Algorithms!$A:$A,0)),0)*Y401</f>
        <v>0</v>
      </c>
      <c r="CQ401" s="266">
        <f ca="1">P401*IFERROR(INDEX(Algorithms!$G:$G,MATCH($C401&amp;"_Therm Saved per Unit- MLA",Algorithms!$A:$A,0)),0)*Z401</f>
        <v>0</v>
      </c>
      <c r="CR401" s="266">
        <f ca="1">Q401*IFERROR(INDEX(Algorithms!$G:$G,MATCH($C401&amp;"_Therm Saved per Unit- MLA",Algorithms!$A:$A,0)),0)*AA401</f>
        <v>0</v>
      </c>
      <c r="CS401" s="266">
        <f ca="1">IFERROR(INDEX(Algorithms!$G:$G,MATCH($C401&amp;"_Lifetime (years)",Algorithms!$A:$A,0)),0)</f>
        <v>15</v>
      </c>
      <c r="CT401" s="266">
        <f ca="1">IFERROR(INDEX(Algorithms!$G:$G,MATCH($C401&amp;"_Lifetime (years) - Remaining Years",Algorithms!$A:$A,0)),0)</f>
        <v>0</v>
      </c>
      <c r="CU401" s="266">
        <f t="shared" ca="1" si="281"/>
        <v>0</v>
      </c>
      <c r="CV401" s="266">
        <f t="shared" ca="1" si="282"/>
        <v>0</v>
      </c>
      <c r="CW401" s="266">
        <f t="shared" ca="1" si="283"/>
        <v>0</v>
      </c>
      <c r="CX401" s="266">
        <f t="shared" ca="1" si="284"/>
        <v>0</v>
      </c>
    </row>
    <row r="402" spans="2:102" s="47" customFormat="1" ht="18" customHeight="1" x14ac:dyDescent="0.25">
      <c r="B402" t="str">
        <f t="shared" si="285"/>
        <v>NSG_Residential_Multi-Family_Partner Trade Ally Rebate_Pipe Insulation_Steam Med Fitting_MF</v>
      </c>
      <c r="C402" s="47" t="str">
        <f t="shared" si="246"/>
        <v>Pipe Insulation_Steam Med Fitting_MF</v>
      </c>
      <c r="D402" s="270" t="s">
        <v>1787</v>
      </c>
      <c r="E402" s="270" t="s">
        <v>2</v>
      </c>
      <c r="F402" s="270" t="s">
        <v>1422</v>
      </c>
      <c r="G402" s="270" t="s">
        <v>1799</v>
      </c>
      <c r="H402" s="270" t="s">
        <v>404</v>
      </c>
      <c r="I402" s="270" t="s">
        <v>962</v>
      </c>
      <c r="J402" s="270" t="s">
        <v>553</v>
      </c>
      <c r="K402" s="263">
        <v>1</v>
      </c>
      <c r="L402" s="263" t="str">
        <f ca="1">IFERROR(INDEX(Algorithms!J:J,MATCH($C402&amp;"_Therm Saved per Unit",Algorithms!$A:$A,0)),"n/a")</f>
        <v>"3 - Res Pipe Insulation" worksheet</v>
      </c>
      <c r="M402" s="263" t="str">
        <f>IFERROR(INDEX('Measure Level Detail'!$N:$N,MATCH($B402,'Measure Level Detail'!$B:$B,0)),0)</f>
        <v>each</v>
      </c>
      <c r="N402" s="271">
        <f>IFERROR(INDEX('Measure Level Detail'!$P:$P,MATCH($B402&amp;"_"&amp;N$3,'Measure Level Detail'!$C:$C,0)),0)</f>
        <v>0</v>
      </c>
      <c r="O402" s="271">
        <f>IFERROR(INDEX('Measure Level Detail'!$P:$P,MATCH($B402&amp;"_"&amp;O$3,'Measure Level Detail'!$C:$C,0)),0)</f>
        <v>0</v>
      </c>
      <c r="P402" s="271">
        <f>IFERROR(INDEX('Measure Level Detail'!$P:$P,MATCH($B402&amp;"_"&amp;P$3,'Measure Level Detail'!$C:$C,0)),0)</f>
        <v>0</v>
      </c>
      <c r="Q402" s="271">
        <f>IFERROR(INDEX('Measure Level Detail'!$P:$P,MATCH($B402&amp;"_"&amp;Q$3,'Measure Level Detail'!$C:$C,0)),0)</f>
        <v>0</v>
      </c>
      <c r="R402" s="263">
        <f ca="1">IFERROR(INDEX(Algorithms!K:K,MATCH($C402&amp;"_Therm Saved per Unit",Algorithms!$A:$A,0)),"n/a")</f>
        <v>0</v>
      </c>
      <c r="S402" s="262"/>
      <c r="T402" s="272">
        <v>20.134575475260416</v>
      </c>
      <c r="U402" s="272">
        <v>20.134575475260416</v>
      </c>
      <c r="V402" s="272">
        <v>20.134575475260416</v>
      </c>
      <c r="W402" s="272">
        <v>20.134575475260416</v>
      </c>
      <c r="X402" s="273">
        <f>IFERROR(INDEX('Measure Level Detail'!$R:$R,MATCH($B402&amp;"_"&amp;X$3,'Measure Level Detail'!$C:$C,0)),0)</f>
        <v>0.87</v>
      </c>
      <c r="Y402" s="273">
        <f>IFERROR(INDEX('Measure Level Detail'!$R:$R,MATCH($B402&amp;"_"&amp;Y$3,'Measure Level Detail'!$C:$C,0)),0)</f>
        <v>0.87</v>
      </c>
      <c r="Z402" s="273">
        <f>IFERROR(INDEX('Measure Level Detail'!$R:$R,MATCH($B402&amp;"_"&amp;Z$3,'Measure Level Detail'!$C:$C,0)),0)</f>
        <v>0.87</v>
      </c>
      <c r="AA402" s="273">
        <f>IFERROR(INDEX('Measure Level Detail'!$R:$R,MATCH($B402&amp;"_"&amp;AA$3,'Measure Level Detail'!$C:$C,0)),0)</f>
        <v>0.87</v>
      </c>
      <c r="AB402" s="266">
        <f t="shared" si="247"/>
        <v>0</v>
      </c>
      <c r="AC402" s="266">
        <f t="shared" si="248"/>
        <v>0</v>
      </c>
      <c r="AD402" s="266">
        <f t="shared" si="249"/>
        <v>0</v>
      </c>
      <c r="AE402" s="266">
        <f t="shared" si="250"/>
        <v>0</v>
      </c>
      <c r="AF402" s="266">
        <f t="shared" si="251"/>
        <v>0</v>
      </c>
      <c r="AG402" s="274">
        <v>0.87</v>
      </c>
      <c r="AH402" s="274">
        <v>0.87</v>
      </c>
      <c r="AI402" s="710">
        <v>0.88</v>
      </c>
      <c r="AJ402" s="710">
        <v>0.88</v>
      </c>
      <c r="AK402" s="274">
        <f t="shared" si="252"/>
        <v>0.87</v>
      </c>
      <c r="AL402" s="274">
        <f t="shared" si="253"/>
        <v>0.87</v>
      </c>
      <c r="AM402" s="274">
        <f t="shared" si="254"/>
        <v>0.87</v>
      </c>
      <c r="AN402" s="274">
        <f t="shared" si="255"/>
        <v>0.87</v>
      </c>
      <c r="AO402" s="262"/>
      <c r="AP402" s="262"/>
      <c r="AQ402" s="267">
        <v>20.134575475260416</v>
      </c>
      <c r="AR402" s="262"/>
      <c r="AS402" s="266">
        <f t="shared" si="256"/>
        <v>0</v>
      </c>
      <c r="AT402" s="264">
        <f t="shared" si="257"/>
        <v>0</v>
      </c>
      <c r="AU402" s="262"/>
      <c r="AV402" s="262"/>
      <c r="AW402" s="265">
        <v>20.134575475260416</v>
      </c>
      <c r="AX402" s="164" t="s">
        <v>1469</v>
      </c>
      <c r="AY402" s="266">
        <v>0</v>
      </c>
      <c r="AZ402" s="266">
        <f t="shared" si="258"/>
        <v>0</v>
      </c>
      <c r="BA402" s="264">
        <f t="shared" si="259"/>
        <v>0</v>
      </c>
      <c r="BB402" s="262"/>
      <c r="BC402" s="262"/>
      <c r="BD402" s="265">
        <f ca="1">IFERROR(INDEX(Algorithms!$G:$G,MATCH($C402&amp;"_Therm Saved per Unit",Algorithms!$A:$A,0)),0)</f>
        <v>20.134575475260416</v>
      </c>
      <c r="BE402" s="164" t="str">
        <f ca="1">IFERROR(INDEX('v12 Revisions'!$P$29:$P$186, MATCH('Measure-Level Adj Gas'!$L402, 'v12 Revisions'!$D$29:$D$186,0)),"")</f>
        <v/>
      </c>
      <c r="BF402" s="266">
        <f t="shared" ca="1" si="260"/>
        <v>0</v>
      </c>
      <c r="BG402" s="264">
        <f t="shared" ca="1" si="261"/>
        <v>0</v>
      </c>
      <c r="BH402" s="262"/>
      <c r="BI402" s="262"/>
      <c r="BJ402" s="265">
        <f ca="1">IFERROR(INDEX(Algorithms!$G:$G,MATCH($C402&amp;"_Therm Saved per Unit",Algorithms!$A:$A,0)),0)</f>
        <v>20.134575475260416</v>
      </c>
      <c r="BK402" s="164"/>
      <c r="BL402" s="266">
        <f t="shared" ca="1" si="262"/>
        <v>0</v>
      </c>
      <c r="BM402" s="264">
        <f t="shared" ca="1" si="263"/>
        <v>0</v>
      </c>
      <c r="BN402" s="266">
        <f t="shared" si="264"/>
        <v>0</v>
      </c>
      <c r="BO402" s="266">
        <f t="shared" si="265"/>
        <v>0</v>
      </c>
      <c r="BP402" s="266">
        <f t="shared" ca="1" si="266"/>
        <v>0</v>
      </c>
      <c r="BQ402" s="266">
        <f t="shared" ca="1" si="267"/>
        <v>0</v>
      </c>
      <c r="BR402" s="268">
        <f t="shared" ca="1" si="268"/>
        <v>0</v>
      </c>
      <c r="BS402" s="262" t="s">
        <v>99</v>
      </c>
      <c r="BT402" s="277"/>
      <c r="BW402" s="266">
        <f t="shared" si="269"/>
        <v>0</v>
      </c>
      <c r="BX402" s="266">
        <f t="shared" si="270"/>
        <v>0</v>
      </c>
      <c r="BY402" s="266">
        <f t="shared" si="271"/>
        <v>0</v>
      </c>
      <c r="BZ402" s="266">
        <f t="shared" si="272"/>
        <v>0</v>
      </c>
      <c r="CA402" s="266">
        <f ca="1">N402*IFERROR(INDEX(Algorithms!$G:$G,MATCH($C402&amp;"_Therm Saved per Unit- MLA",Algorithms!$A:$A,0)),0)*X402</f>
        <v>0</v>
      </c>
      <c r="CB402" s="266">
        <f ca="1">O402*IFERROR(INDEX(Algorithms!$G:$G,MATCH($C402&amp;"_Therm Saved per Unit- MLA",Algorithms!$A:$A,0)),0)*Y402</f>
        <v>0</v>
      </c>
      <c r="CC402" s="266">
        <f ca="1">P402*IFERROR(INDEX(Algorithms!$G:$G,MATCH($C402&amp;"_Therm Saved per Unit- MLA",Algorithms!$A:$A,0)),0)*Z402</f>
        <v>0</v>
      </c>
      <c r="CD402" s="266">
        <f ca="1">Q402*IFERROR(INDEX(Algorithms!$G:$G,MATCH($C402&amp;"_Therm Saved per Unit- MLA",Algorithms!$A:$A,0)),0)*AA402</f>
        <v>0</v>
      </c>
      <c r="CE402" s="266">
        <f ca="1">IFERROR(INDEX(Algorithms!$G:$G,MATCH($C402&amp;"_Lifetime (years)",Algorithms!$A:$A,0)),0)</f>
        <v>15</v>
      </c>
      <c r="CF402" s="266">
        <f ca="1">IFERROR(INDEX(Algorithms!$G:$G,MATCH($C402&amp;"_Lifetime (years) - Remaining Years",Algorithms!$A:$A,0)),0)</f>
        <v>0</v>
      </c>
      <c r="CG402" s="266">
        <f t="shared" ca="1" si="273"/>
        <v>0</v>
      </c>
      <c r="CH402" s="266">
        <f t="shared" ca="1" si="274"/>
        <v>0</v>
      </c>
      <c r="CI402" s="266">
        <f t="shared" ca="1" si="275"/>
        <v>0</v>
      </c>
      <c r="CJ402" s="266">
        <f t="shared" ca="1" si="276"/>
        <v>0</v>
      </c>
      <c r="CK402" s="266">
        <f t="shared" si="277"/>
        <v>0</v>
      </c>
      <c r="CL402" s="266">
        <f t="shared" si="278"/>
        <v>0</v>
      </c>
      <c r="CM402" s="266">
        <f t="shared" ca="1" si="279"/>
        <v>0</v>
      </c>
      <c r="CN402" s="266">
        <f t="shared" ca="1" si="280"/>
        <v>0</v>
      </c>
      <c r="CO402" s="266">
        <f ca="1">N402*IFERROR(INDEX(Algorithms!$G:$G,MATCH($C402&amp;"_Therm Saved per Unit- MLA",Algorithms!$A:$A,0)),0)*X402</f>
        <v>0</v>
      </c>
      <c r="CP402" s="266">
        <f ca="1">O402*IFERROR(INDEX(Algorithms!$G:$G,MATCH($C402&amp;"_Therm Saved per Unit- MLA",Algorithms!$A:$A,0)),0)*Y402</f>
        <v>0</v>
      </c>
      <c r="CQ402" s="266">
        <f ca="1">P402*IFERROR(INDEX(Algorithms!$G:$G,MATCH($C402&amp;"_Therm Saved per Unit- MLA",Algorithms!$A:$A,0)),0)*Z402</f>
        <v>0</v>
      </c>
      <c r="CR402" s="266">
        <f ca="1">Q402*IFERROR(INDEX(Algorithms!$G:$G,MATCH($C402&amp;"_Therm Saved per Unit- MLA",Algorithms!$A:$A,0)),0)*AA402</f>
        <v>0</v>
      </c>
      <c r="CS402" s="266">
        <f ca="1">IFERROR(INDEX(Algorithms!$G:$G,MATCH($C402&amp;"_Lifetime (years)",Algorithms!$A:$A,0)),0)</f>
        <v>15</v>
      </c>
      <c r="CT402" s="266">
        <f ca="1">IFERROR(INDEX(Algorithms!$G:$G,MATCH($C402&amp;"_Lifetime (years) - Remaining Years",Algorithms!$A:$A,0)),0)</f>
        <v>0</v>
      </c>
      <c r="CU402" s="266">
        <f t="shared" ca="1" si="281"/>
        <v>0</v>
      </c>
      <c r="CV402" s="266">
        <f t="shared" ca="1" si="282"/>
        <v>0</v>
      </c>
      <c r="CW402" s="266">
        <f t="shared" ca="1" si="283"/>
        <v>0</v>
      </c>
      <c r="CX402" s="266">
        <f t="shared" ca="1" si="284"/>
        <v>0</v>
      </c>
    </row>
    <row r="403" spans="2:102" s="47" customFormat="1" ht="18" customHeight="1" x14ac:dyDescent="0.25">
      <c r="B403" t="str">
        <f t="shared" si="285"/>
        <v>NSG_Residential_Multi-Family_Partner Trade Ally Rebate_Pipe Insulation_Steam Large Fitting_MF</v>
      </c>
      <c r="C403" s="47" t="str">
        <f t="shared" si="246"/>
        <v>Pipe Insulation_Steam Large Fitting_MF</v>
      </c>
      <c r="D403" s="270" t="s">
        <v>1787</v>
      </c>
      <c r="E403" s="270" t="s">
        <v>2</v>
      </c>
      <c r="F403" s="270" t="s">
        <v>1422</v>
      </c>
      <c r="G403" s="270" t="s">
        <v>1799</v>
      </c>
      <c r="H403" s="270" t="s">
        <v>404</v>
      </c>
      <c r="I403" s="270" t="s">
        <v>963</v>
      </c>
      <c r="J403" s="270" t="s">
        <v>553</v>
      </c>
      <c r="K403" s="263">
        <v>1</v>
      </c>
      <c r="L403" s="263" t="str">
        <f ca="1">IFERROR(INDEX(Algorithms!J:J,MATCH($C403&amp;"_Therm Saved per Unit",Algorithms!$A:$A,0)),"n/a")</f>
        <v>"3 - Res Pipe Insulation" worksheet</v>
      </c>
      <c r="M403" s="263" t="str">
        <f>IFERROR(INDEX('Measure Level Detail'!$N:$N,MATCH($B403,'Measure Level Detail'!$B:$B,0)),0)</f>
        <v>each</v>
      </c>
      <c r="N403" s="271">
        <f>IFERROR(INDEX('Measure Level Detail'!$P:$P,MATCH($B403&amp;"_"&amp;N$3,'Measure Level Detail'!$C:$C,0)),0)</f>
        <v>0</v>
      </c>
      <c r="O403" s="271">
        <f>IFERROR(INDEX('Measure Level Detail'!$P:$P,MATCH($B403&amp;"_"&amp;O$3,'Measure Level Detail'!$C:$C,0)),0)</f>
        <v>0</v>
      </c>
      <c r="P403" s="271">
        <f>IFERROR(INDEX('Measure Level Detail'!$P:$P,MATCH($B403&amp;"_"&amp;P$3,'Measure Level Detail'!$C:$C,0)),0)</f>
        <v>0</v>
      </c>
      <c r="Q403" s="271">
        <f>IFERROR(INDEX('Measure Level Detail'!$P:$P,MATCH($B403&amp;"_"&amp;Q$3,'Measure Level Detail'!$C:$C,0)),0)</f>
        <v>0</v>
      </c>
      <c r="R403" s="263">
        <f ca="1">IFERROR(INDEX(Algorithms!K:K,MATCH($C403&amp;"_Therm Saved per Unit",Algorithms!$A:$A,0)),"n/a")</f>
        <v>0</v>
      </c>
      <c r="S403" s="262"/>
      <c r="T403" s="272">
        <v>66.284273233024678</v>
      </c>
      <c r="U403" s="272">
        <v>66.284273233024678</v>
      </c>
      <c r="V403" s="272">
        <v>66.284273233024678</v>
      </c>
      <c r="W403" s="272">
        <v>66.284273233024678</v>
      </c>
      <c r="X403" s="273">
        <f>IFERROR(INDEX('Measure Level Detail'!$R:$R,MATCH($B403&amp;"_"&amp;X$3,'Measure Level Detail'!$C:$C,0)),0)</f>
        <v>0.87</v>
      </c>
      <c r="Y403" s="273">
        <f>IFERROR(INDEX('Measure Level Detail'!$R:$R,MATCH($B403&amp;"_"&amp;Y$3,'Measure Level Detail'!$C:$C,0)),0)</f>
        <v>0.87</v>
      </c>
      <c r="Z403" s="273">
        <f>IFERROR(INDEX('Measure Level Detail'!$R:$R,MATCH($B403&amp;"_"&amp;Z$3,'Measure Level Detail'!$C:$C,0)),0)</f>
        <v>0.87</v>
      </c>
      <c r="AA403" s="273">
        <f>IFERROR(INDEX('Measure Level Detail'!$R:$R,MATCH($B403&amp;"_"&amp;AA$3,'Measure Level Detail'!$C:$C,0)),0)</f>
        <v>0.87</v>
      </c>
      <c r="AB403" s="266">
        <f t="shared" si="247"/>
        <v>0</v>
      </c>
      <c r="AC403" s="266">
        <f t="shared" si="248"/>
        <v>0</v>
      </c>
      <c r="AD403" s="266">
        <f t="shared" si="249"/>
        <v>0</v>
      </c>
      <c r="AE403" s="266">
        <f t="shared" si="250"/>
        <v>0</v>
      </c>
      <c r="AF403" s="266">
        <f t="shared" si="251"/>
        <v>0</v>
      </c>
      <c r="AG403" s="274">
        <v>0.87</v>
      </c>
      <c r="AH403" s="274">
        <v>0.87</v>
      </c>
      <c r="AI403" s="710">
        <v>0.88</v>
      </c>
      <c r="AJ403" s="710">
        <v>0.88</v>
      </c>
      <c r="AK403" s="274">
        <f t="shared" si="252"/>
        <v>0.87</v>
      </c>
      <c r="AL403" s="274">
        <f t="shared" si="253"/>
        <v>0.87</v>
      </c>
      <c r="AM403" s="274">
        <f t="shared" si="254"/>
        <v>0.87</v>
      </c>
      <c r="AN403" s="274">
        <f t="shared" si="255"/>
        <v>0.87</v>
      </c>
      <c r="AO403" s="262"/>
      <c r="AP403" s="262"/>
      <c r="AQ403" s="267">
        <v>66.284273233024678</v>
      </c>
      <c r="AR403" s="262"/>
      <c r="AS403" s="266">
        <f t="shared" si="256"/>
        <v>0</v>
      </c>
      <c r="AT403" s="264">
        <f t="shared" si="257"/>
        <v>0</v>
      </c>
      <c r="AU403" s="262"/>
      <c r="AV403" s="262"/>
      <c r="AW403" s="265">
        <v>66.284273233024678</v>
      </c>
      <c r="AX403" s="164" t="s">
        <v>1469</v>
      </c>
      <c r="AY403" s="266">
        <v>0</v>
      </c>
      <c r="AZ403" s="266">
        <f t="shared" si="258"/>
        <v>0</v>
      </c>
      <c r="BA403" s="264">
        <f t="shared" si="259"/>
        <v>0</v>
      </c>
      <c r="BB403" s="262"/>
      <c r="BC403" s="262"/>
      <c r="BD403" s="265">
        <f ca="1">IFERROR(INDEX(Algorithms!$G:$G,MATCH($C403&amp;"_Therm Saved per Unit",Algorithms!$A:$A,0)),0)</f>
        <v>66.284273233024678</v>
      </c>
      <c r="BE403" s="164" t="str">
        <f ca="1">IFERROR(INDEX('v12 Revisions'!$P$29:$P$186, MATCH('Measure-Level Adj Gas'!$L403, 'v12 Revisions'!$D$29:$D$186,0)),"")</f>
        <v/>
      </c>
      <c r="BF403" s="266">
        <f t="shared" ca="1" si="260"/>
        <v>0</v>
      </c>
      <c r="BG403" s="264">
        <f t="shared" ca="1" si="261"/>
        <v>0</v>
      </c>
      <c r="BH403" s="262"/>
      <c r="BI403" s="262"/>
      <c r="BJ403" s="265">
        <f ca="1">IFERROR(INDEX(Algorithms!$G:$G,MATCH($C403&amp;"_Therm Saved per Unit",Algorithms!$A:$A,0)),0)</f>
        <v>66.284273233024678</v>
      </c>
      <c r="BK403" s="164"/>
      <c r="BL403" s="266">
        <f t="shared" ca="1" si="262"/>
        <v>0</v>
      </c>
      <c r="BM403" s="264">
        <f t="shared" ca="1" si="263"/>
        <v>0</v>
      </c>
      <c r="BN403" s="266">
        <f t="shared" si="264"/>
        <v>0</v>
      </c>
      <c r="BO403" s="266">
        <f t="shared" si="265"/>
        <v>0</v>
      </c>
      <c r="BP403" s="266">
        <f t="shared" ca="1" si="266"/>
        <v>0</v>
      </c>
      <c r="BQ403" s="266">
        <f t="shared" ca="1" si="267"/>
        <v>0</v>
      </c>
      <c r="BR403" s="268">
        <f t="shared" ca="1" si="268"/>
        <v>0</v>
      </c>
      <c r="BS403" s="262" t="s">
        <v>99</v>
      </c>
      <c r="BT403" s="277"/>
      <c r="BW403" s="266">
        <f t="shared" si="269"/>
        <v>0</v>
      </c>
      <c r="BX403" s="266">
        <f t="shared" si="270"/>
        <v>0</v>
      </c>
      <c r="BY403" s="266">
        <f t="shared" si="271"/>
        <v>0</v>
      </c>
      <c r="BZ403" s="266">
        <f t="shared" si="272"/>
        <v>0</v>
      </c>
      <c r="CA403" s="266">
        <f ca="1">N403*IFERROR(INDEX(Algorithms!$G:$G,MATCH($C403&amp;"_Therm Saved per Unit- MLA",Algorithms!$A:$A,0)),0)*X403</f>
        <v>0</v>
      </c>
      <c r="CB403" s="266">
        <f ca="1">O403*IFERROR(INDEX(Algorithms!$G:$G,MATCH($C403&amp;"_Therm Saved per Unit- MLA",Algorithms!$A:$A,0)),0)*Y403</f>
        <v>0</v>
      </c>
      <c r="CC403" s="266">
        <f ca="1">P403*IFERROR(INDEX(Algorithms!$G:$G,MATCH($C403&amp;"_Therm Saved per Unit- MLA",Algorithms!$A:$A,0)),0)*Z403</f>
        <v>0</v>
      </c>
      <c r="CD403" s="266">
        <f ca="1">Q403*IFERROR(INDEX(Algorithms!$G:$G,MATCH($C403&amp;"_Therm Saved per Unit- MLA",Algorithms!$A:$A,0)),0)*AA403</f>
        <v>0</v>
      </c>
      <c r="CE403" s="266">
        <f ca="1">IFERROR(INDEX(Algorithms!$G:$G,MATCH($C403&amp;"_Lifetime (years)",Algorithms!$A:$A,0)),0)</f>
        <v>15</v>
      </c>
      <c r="CF403" s="266">
        <f ca="1">IFERROR(INDEX(Algorithms!$G:$G,MATCH($C403&amp;"_Lifetime (years) - Remaining Years",Algorithms!$A:$A,0)),0)</f>
        <v>0</v>
      </c>
      <c r="CG403" s="266">
        <f t="shared" ca="1" si="273"/>
        <v>0</v>
      </c>
      <c r="CH403" s="266">
        <f t="shared" ca="1" si="274"/>
        <v>0</v>
      </c>
      <c r="CI403" s="266">
        <f t="shared" ca="1" si="275"/>
        <v>0</v>
      </c>
      <c r="CJ403" s="266">
        <f t="shared" ca="1" si="276"/>
        <v>0</v>
      </c>
      <c r="CK403" s="266">
        <f t="shared" si="277"/>
        <v>0</v>
      </c>
      <c r="CL403" s="266">
        <f t="shared" si="278"/>
        <v>0</v>
      </c>
      <c r="CM403" s="266">
        <f t="shared" ca="1" si="279"/>
        <v>0</v>
      </c>
      <c r="CN403" s="266">
        <f t="shared" ca="1" si="280"/>
        <v>0</v>
      </c>
      <c r="CO403" s="266">
        <f ca="1">N403*IFERROR(INDEX(Algorithms!$G:$G,MATCH($C403&amp;"_Therm Saved per Unit- MLA",Algorithms!$A:$A,0)),0)*X403</f>
        <v>0</v>
      </c>
      <c r="CP403" s="266">
        <f ca="1">O403*IFERROR(INDEX(Algorithms!$G:$G,MATCH($C403&amp;"_Therm Saved per Unit- MLA",Algorithms!$A:$A,0)),0)*Y403</f>
        <v>0</v>
      </c>
      <c r="CQ403" s="266">
        <f ca="1">P403*IFERROR(INDEX(Algorithms!$G:$G,MATCH($C403&amp;"_Therm Saved per Unit- MLA",Algorithms!$A:$A,0)),0)*Z403</f>
        <v>0</v>
      </c>
      <c r="CR403" s="266">
        <f ca="1">Q403*IFERROR(INDEX(Algorithms!$G:$G,MATCH($C403&amp;"_Therm Saved per Unit- MLA",Algorithms!$A:$A,0)),0)*AA403</f>
        <v>0</v>
      </c>
      <c r="CS403" s="266">
        <f ca="1">IFERROR(INDEX(Algorithms!$G:$G,MATCH($C403&amp;"_Lifetime (years)",Algorithms!$A:$A,0)),0)</f>
        <v>15</v>
      </c>
      <c r="CT403" s="266">
        <f ca="1">IFERROR(INDEX(Algorithms!$G:$G,MATCH($C403&amp;"_Lifetime (years) - Remaining Years",Algorithms!$A:$A,0)),0)</f>
        <v>0</v>
      </c>
      <c r="CU403" s="266">
        <f t="shared" ca="1" si="281"/>
        <v>0</v>
      </c>
      <c r="CV403" s="266">
        <f t="shared" ca="1" si="282"/>
        <v>0</v>
      </c>
      <c r="CW403" s="266">
        <f t="shared" ca="1" si="283"/>
        <v>0</v>
      </c>
      <c r="CX403" s="266">
        <f t="shared" ca="1" si="284"/>
        <v>0</v>
      </c>
    </row>
    <row r="404" spans="2:102" s="47" customFormat="1" ht="18" customHeight="1" x14ac:dyDescent="0.25">
      <c r="B404" t="str">
        <f t="shared" si="285"/>
        <v>NSG_Residential_Multi-Family_Partner Trade Ally Rebate_Pipe Insulation_Steam X-Large Fitting_MF</v>
      </c>
      <c r="C404" s="47" t="str">
        <f t="shared" si="246"/>
        <v>Pipe Insulation_Steam X-Large Fitting_MF</v>
      </c>
      <c r="D404" s="270" t="s">
        <v>1787</v>
      </c>
      <c r="E404" s="270" t="s">
        <v>2</v>
      </c>
      <c r="F404" s="270" t="s">
        <v>1422</v>
      </c>
      <c r="G404" s="270" t="s">
        <v>1799</v>
      </c>
      <c r="H404" s="270" t="s">
        <v>404</v>
      </c>
      <c r="I404" s="270" t="s">
        <v>964</v>
      </c>
      <c r="J404" s="270" t="s">
        <v>553</v>
      </c>
      <c r="K404" s="263">
        <v>1</v>
      </c>
      <c r="L404" s="263" t="str">
        <f ca="1">IFERROR(INDEX(Algorithms!J:J,MATCH($C404&amp;"_Therm Saved per Unit",Algorithms!$A:$A,0)),"n/a")</f>
        <v>"3 - Res Pipe Insulation" worksheet</v>
      </c>
      <c r="M404" s="263" t="str">
        <f>IFERROR(INDEX('Measure Level Detail'!$N:$N,MATCH($B404,'Measure Level Detail'!$B:$B,0)),0)</f>
        <v>each</v>
      </c>
      <c r="N404" s="271">
        <f>IFERROR(INDEX('Measure Level Detail'!$P:$P,MATCH($B404&amp;"_"&amp;N$3,'Measure Level Detail'!$C:$C,0)),0)</f>
        <v>0</v>
      </c>
      <c r="O404" s="271">
        <f>IFERROR(INDEX('Measure Level Detail'!$P:$P,MATCH($B404&amp;"_"&amp;O$3,'Measure Level Detail'!$C:$C,0)),0)</f>
        <v>0</v>
      </c>
      <c r="P404" s="271">
        <f>IFERROR(INDEX('Measure Level Detail'!$P:$P,MATCH($B404&amp;"_"&amp;P$3,'Measure Level Detail'!$C:$C,0)),0)</f>
        <v>0</v>
      </c>
      <c r="Q404" s="271">
        <f>IFERROR(INDEX('Measure Level Detail'!$P:$P,MATCH($B404&amp;"_"&amp;Q$3,'Measure Level Detail'!$C:$C,0)),0)</f>
        <v>0</v>
      </c>
      <c r="R404" s="263">
        <f ca="1">IFERROR(INDEX(Algorithms!K:K,MATCH($C404&amp;"_Therm Saved per Unit",Algorithms!$A:$A,0)),"n/a")</f>
        <v>0</v>
      </c>
      <c r="S404" s="262"/>
      <c r="T404" s="272">
        <v>113.8883886472908</v>
      </c>
      <c r="U404" s="272">
        <v>113.8883886472908</v>
      </c>
      <c r="V404" s="272">
        <v>113.8883886472908</v>
      </c>
      <c r="W404" s="272">
        <v>113.8883886472908</v>
      </c>
      <c r="X404" s="273">
        <f>IFERROR(INDEX('Measure Level Detail'!$R:$R,MATCH($B404&amp;"_"&amp;X$3,'Measure Level Detail'!$C:$C,0)),0)</f>
        <v>0.87</v>
      </c>
      <c r="Y404" s="273">
        <f>IFERROR(INDEX('Measure Level Detail'!$R:$R,MATCH($B404&amp;"_"&amp;Y$3,'Measure Level Detail'!$C:$C,0)),0)</f>
        <v>0.87</v>
      </c>
      <c r="Z404" s="273">
        <f>IFERROR(INDEX('Measure Level Detail'!$R:$R,MATCH($B404&amp;"_"&amp;Z$3,'Measure Level Detail'!$C:$C,0)),0)</f>
        <v>0.87</v>
      </c>
      <c r="AA404" s="273">
        <f>IFERROR(INDEX('Measure Level Detail'!$R:$R,MATCH($B404&amp;"_"&amp;AA$3,'Measure Level Detail'!$C:$C,0)),0)</f>
        <v>0.87</v>
      </c>
      <c r="AB404" s="266">
        <f t="shared" si="247"/>
        <v>0</v>
      </c>
      <c r="AC404" s="266">
        <f t="shared" si="248"/>
        <v>0</v>
      </c>
      <c r="AD404" s="266">
        <f t="shared" si="249"/>
        <v>0</v>
      </c>
      <c r="AE404" s="266">
        <f t="shared" si="250"/>
        <v>0</v>
      </c>
      <c r="AF404" s="266">
        <f t="shared" si="251"/>
        <v>0</v>
      </c>
      <c r="AG404" s="274">
        <v>0.87</v>
      </c>
      <c r="AH404" s="274">
        <v>0.87</v>
      </c>
      <c r="AI404" s="710">
        <v>0.88</v>
      </c>
      <c r="AJ404" s="710">
        <v>0.88</v>
      </c>
      <c r="AK404" s="274">
        <f t="shared" si="252"/>
        <v>0.87</v>
      </c>
      <c r="AL404" s="274">
        <f t="shared" si="253"/>
        <v>0.87</v>
      </c>
      <c r="AM404" s="274">
        <f t="shared" si="254"/>
        <v>0.87</v>
      </c>
      <c r="AN404" s="274">
        <f t="shared" si="255"/>
        <v>0.87</v>
      </c>
      <c r="AO404" s="262"/>
      <c r="AP404" s="262"/>
      <c r="AQ404" s="267">
        <v>113.8883886472908</v>
      </c>
      <c r="AR404" s="262"/>
      <c r="AS404" s="266">
        <f t="shared" si="256"/>
        <v>0</v>
      </c>
      <c r="AT404" s="264">
        <f t="shared" si="257"/>
        <v>0</v>
      </c>
      <c r="AU404" s="262"/>
      <c r="AV404" s="262"/>
      <c r="AW404" s="265">
        <v>113.8883886472908</v>
      </c>
      <c r="AX404" s="164" t="s">
        <v>1469</v>
      </c>
      <c r="AY404" s="266">
        <v>0</v>
      </c>
      <c r="AZ404" s="266">
        <f t="shared" si="258"/>
        <v>0</v>
      </c>
      <c r="BA404" s="264">
        <f t="shared" si="259"/>
        <v>0</v>
      </c>
      <c r="BB404" s="262"/>
      <c r="BC404" s="262"/>
      <c r="BD404" s="265">
        <f ca="1">IFERROR(INDEX(Algorithms!$G:$G,MATCH($C404&amp;"_Therm Saved per Unit",Algorithms!$A:$A,0)),0)</f>
        <v>113.8883886472908</v>
      </c>
      <c r="BE404" s="164" t="str">
        <f ca="1">IFERROR(INDEX('v12 Revisions'!$P$29:$P$186, MATCH('Measure-Level Adj Gas'!$L404, 'v12 Revisions'!$D$29:$D$186,0)),"")</f>
        <v/>
      </c>
      <c r="BF404" s="266">
        <f t="shared" ca="1" si="260"/>
        <v>0</v>
      </c>
      <c r="BG404" s="264">
        <f t="shared" ca="1" si="261"/>
        <v>0</v>
      </c>
      <c r="BH404" s="262"/>
      <c r="BI404" s="262"/>
      <c r="BJ404" s="265">
        <f ca="1">IFERROR(INDEX(Algorithms!$G:$G,MATCH($C404&amp;"_Therm Saved per Unit",Algorithms!$A:$A,0)),0)</f>
        <v>113.8883886472908</v>
      </c>
      <c r="BK404" s="164"/>
      <c r="BL404" s="266">
        <f t="shared" ca="1" si="262"/>
        <v>0</v>
      </c>
      <c r="BM404" s="264">
        <f t="shared" ca="1" si="263"/>
        <v>0</v>
      </c>
      <c r="BN404" s="266">
        <f t="shared" si="264"/>
        <v>0</v>
      </c>
      <c r="BO404" s="266">
        <f t="shared" si="265"/>
        <v>0</v>
      </c>
      <c r="BP404" s="266">
        <f t="shared" ca="1" si="266"/>
        <v>0</v>
      </c>
      <c r="BQ404" s="266">
        <f t="shared" ca="1" si="267"/>
        <v>0</v>
      </c>
      <c r="BR404" s="268">
        <f t="shared" ca="1" si="268"/>
        <v>0</v>
      </c>
      <c r="BS404" s="262" t="s">
        <v>99</v>
      </c>
      <c r="BT404" s="277"/>
      <c r="BW404" s="266">
        <f t="shared" si="269"/>
        <v>0</v>
      </c>
      <c r="BX404" s="266">
        <f t="shared" si="270"/>
        <v>0</v>
      </c>
      <c r="BY404" s="266">
        <f t="shared" si="271"/>
        <v>0</v>
      </c>
      <c r="BZ404" s="266">
        <f t="shared" si="272"/>
        <v>0</v>
      </c>
      <c r="CA404" s="266">
        <f ca="1">N404*IFERROR(INDEX(Algorithms!$G:$G,MATCH($C404&amp;"_Therm Saved per Unit- MLA",Algorithms!$A:$A,0)),0)*X404</f>
        <v>0</v>
      </c>
      <c r="CB404" s="266">
        <f ca="1">O404*IFERROR(INDEX(Algorithms!$G:$G,MATCH($C404&amp;"_Therm Saved per Unit- MLA",Algorithms!$A:$A,0)),0)*Y404</f>
        <v>0</v>
      </c>
      <c r="CC404" s="266">
        <f ca="1">P404*IFERROR(INDEX(Algorithms!$G:$G,MATCH($C404&amp;"_Therm Saved per Unit- MLA",Algorithms!$A:$A,0)),0)*Z404</f>
        <v>0</v>
      </c>
      <c r="CD404" s="266">
        <f ca="1">Q404*IFERROR(INDEX(Algorithms!$G:$G,MATCH($C404&amp;"_Therm Saved per Unit- MLA",Algorithms!$A:$A,0)),0)*AA404</f>
        <v>0</v>
      </c>
      <c r="CE404" s="266">
        <f ca="1">IFERROR(INDEX(Algorithms!$G:$G,MATCH($C404&amp;"_Lifetime (years)",Algorithms!$A:$A,0)),0)</f>
        <v>15</v>
      </c>
      <c r="CF404" s="266">
        <f ca="1">IFERROR(INDEX(Algorithms!$G:$G,MATCH($C404&amp;"_Lifetime (years) - Remaining Years",Algorithms!$A:$A,0)),0)</f>
        <v>0</v>
      </c>
      <c r="CG404" s="266">
        <f t="shared" ca="1" si="273"/>
        <v>0</v>
      </c>
      <c r="CH404" s="266">
        <f t="shared" ca="1" si="274"/>
        <v>0</v>
      </c>
      <c r="CI404" s="266">
        <f t="shared" ca="1" si="275"/>
        <v>0</v>
      </c>
      <c r="CJ404" s="266">
        <f t="shared" ca="1" si="276"/>
        <v>0</v>
      </c>
      <c r="CK404" s="266">
        <f t="shared" si="277"/>
        <v>0</v>
      </c>
      <c r="CL404" s="266">
        <f t="shared" si="278"/>
        <v>0</v>
      </c>
      <c r="CM404" s="266">
        <f t="shared" ca="1" si="279"/>
        <v>0</v>
      </c>
      <c r="CN404" s="266">
        <f t="shared" ca="1" si="280"/>
        <v>0</v>
      </c>
      <c r="CO404" s="266">
        <f ca="1">N404*IFERROR(INDEX(Algorithms!$G:$G,MATCH($C404&amp;"_Therm Saved per Unit- MLA",Algorithms!$A:$A,0)),0)*X404</f>
        <v>0</v>
      </c>
      <c r="CP404" s="266">
        <f ca="1">O404*IFERROR(INDEX(Algorithms!$G:$G,MATCH($C404&amp;"_Therm Saved per Unit- MLA",Algorithms!$A:$A,0)),0)*Y404</f>
        <v>0</v>
      </c>
      <c r="CQ404" s="266">
        <f ca="1">P404*IFERROR(INDEX(Algorithms!$G:$G,MATCH($C404&amp;"_Therm Saved per Unit- MLA",Algorithms!$A:$A,0)),0)*Z404</f>
        <v>0</v>
      </c>
      <c r="CR404" s="266">
        <f ca="1">Q404*IFERROR(INDEX(Algorithms!$G:$G,MATCH($C404&amp;"_Therm Saved per Unit- MLA",Algorithms!$A:$A,0)),0)*AA404</f>
        <v>0</v>
      </c>
      <c r="CS404" s="266">
        <f ca="1">IFERROR(INDEX(Algorithms!$G:$G,MATCH($C404&amp;"_Lifetime (years)",Algorithms!$A:$A,0)),0)</f>
        <v>15</v>
      </c>
      <c r="CT404" s="266">
        <f ca="1">IFERROR(INDEX(Algorithms!$G:$G,MATCH($C404&amp;"_Lifetime (years) - Remaining Years",Algorithms!$A:$A,0)),0)</f>
        <v>0</v>
      </c>
      <c r="CU404" s="266">
        <f t="shared" ca="1" si="281"/>
        <v>0</v>
      </c>
      <c r="CV404" s="266">
        <f t="shared" ca="1" si="282"/>
        <v>0</v>
      </c>
      <c r="CW404" s="266">
        <f t="shared" ca="1" si="283"/>
        <v>0</v>
      </c>
      <c r="CX404" s="266">
        <f t="shared" ca="1" si="284"/>
        <v>0</v>
      </c>
    </row>
    <row r="405" spans="2:102" s="47" customFormat="1" ht="18" customHeight="1" x14ac:dyDescent="0.25">
      <c r="B405" t="str">
        <f t="shared" si="285"/>
        <v>NSG_Residential_Multi-Family_Partner Trade Ally Rebate_Pipe Insulation_Steam Med Valve_MF</v>
      </c>
      <c r="C405" s="47" t="str">
        <f t="shared" si="246"/>
        <v>Pipe Insulation_Steam Med Valve_MF</v>
      </c>
      <c r="D405" s="270" t="s">
        <v>1787</v>
      </c>
      <c r="E405" s="270" t="s">
        <v>2</v>
      </c>
      <c r="F405" s="270" t="s">
        <v>1422</v>
      </c>
      <c r="G405" s="270" t="s">
        <v>1799</v>
      </c>
      <c r="H405" s="270" t="s">
        <v>404</v>
      </c>
      <c r="I405" s="270" t="s">
        <v>966</v>
      </c>
      <c r="J405" s="270" t="s">
        <v>553</v>
      </c>
      <c r="K405" s="263">
        <v>1</v>
      </c>
      <c r="L405" s="263" t="str">
        <f ca="1">IFERROR(INDEX(Algorithms!J:J,MATCH($C405&amp;"_Therm Saved per Unit",Algorithms!$A:$A,0)),"n/a")</f>
        <v>"3 - Res Pipe Insulation" worksheet</v>
      </c>
      <c r="M405" s="263" t="str">
        <f>IFERROR(INDEX('Measure Level Detail'!$N:$N,MATCH($B405,'Measure Level Detail'!$B:$B,0)),0)</f>
        <v>each</v>
      </c>
      <c r="N405" s="271">
        <f>IFERROR(INDEX('Measure Level Detail'!$P:$P,MATCH($B405&amp;"_"&amp;N$3,'Measure Level Detail'!$C:$C,0)),0)</f>
        <v>0</v>
      </c>
      <c r="O405" s="271">
        <f>IFERROR(INDEX('Measure Level Detail'!$P:$P,MATCH($B405&amp;"_"&amp;O$3,'Measure Level Detail'!$C:$C,0)),0)</f>
        <v>0</v>
      </c>
      <c r="P405" s="271">
        <f>IFERROR(INDEX('Measure Level Detail'!$P:$P,MATCH($B405&amp;"_"&amp;P$3,'Measure Level Detail'!$C:$C,0)),0)</f>
        <v>0</v>
      </c>
      <c r="Q405" s="271">
        <f>IFERROR(INDEX('Measure Level Detail'!$P:$P,MATCH($B405&amp;"_"&amp;Q$3,'Measure Level Detail'!$C:$C,0)),0)</f>
        <v>0</v>
      </c>
      <c r="R405" s="263">
        <f ca="1">IFERROR(INDEX(Algorithms!K:K,MATCH($C405&amp;"_Therm Saved per Unit",Algorithms!$A:$A,0)),"n/a")</f>
        <v>0</v>
      </c>
      <c r="S405" s="262"/>
      <c r="T405" s="272">
        <v>67.962640249087912</v>
      </c>
      <c r="U405" s="272">
        <v>67.962640249087912</v>
      </c>
      <c r="V405" s="272">
        <v>67.962640249087912</v>
      </c>
      <c r="W405" s="272">
        <v>67.962640249087912</v>
      </c>
      <c r="X405" s="273">
        <f>IFERROR(INDEX('Measure Level Detail'!$R:$R,MATCH($B405&amp;"_"&amp;X$3,'Measure Level Detail'!$C:$C,0)),0)</f>
        <v>0.87</v>
      </c>
      <c r="Y405" s="273">
        <f>IFERROR(INDEX('Measure Level Detail'!$R:$R,MATCH($B405&amp;"_"&amp;Y$3,'Measure Level Detail'!$C:$C,0)),0)</f>
        <v>0.87</v>
      </c>
      <c r="Z405" s="273">
        <f>IFERROR(INDEX('Measure Level Detail'!$R:$R,MATCH($B405&amp;"_"&amp;Z$3,'Measure Level Detail'!$C:$C,0)),0)</f>
        <v>0.87</v>
      </c>
      <c r="AA405" s="273">
        <f>IFERROR(INDEX('Measure Level Detail'!$R:$R,MATCH($B405&amp;"_"&amp;AA$3,'Measure Level Detail'!$C:$C,0)),0)</f>
        <v>0.87</v>
      </c>
      <c r="AB405" s="266">
        <f t="shared" si="247"/>
        <v>0</v>
      </c>
      <c r="AC405" s="266">
        <f t="shared" si="248"/>
        <v>0</v>
      </c>
      <c r="AD405" s="266">
        <f t="shared" si="249"/>
        <v>0</v>
      </c>
      <c r="AE405" s="266">
        <f t="shared" si="250"/>
        <v>0</v>
      </c>
      <c r="AF405" s="266">
        <f t="shared" si="251"/>
        <v>0</v>
      </c>
      <c r="AG405" s="274">
        <v>0.87</v>
      </c>
      <c r="AH405" s="274">
        <v>0.87</v>
      </c>
      <c r="AI405" s="710">
        <v>0.88</v>
      </c>
      <c r="AJ405" s="710">
        <v>0.88</v>
      </c>
      <c r="AK405" s="274">
        <f t="shared" si="252"/>
        <v>0.87</v>
      </c>
      <c r="AL405" s="274">
        <f t="shared" si="253"/>
        <v>0.87</v>
      </c>
      <c r="AM405" s="274">
        <f t="shared" si="254"/>
        <v>0.87</v>
      </c>
      <c r="AN405" s="274">
        <f t="shared" si="255"/>
        <v>0.87</v>
      </c>
      <c r="AO405" s="262"/>
      <c r="AP405" s="262"/>
      <c r="AQ405" s="267">
        <v>67.962640249087912</v>
      </c>
      <c r="AR405" s="262"/>
      <c r="AS405" s="266">
        <f t="shared" si="256"/>
        <v>0</v>
      </c>
      <c r="AT405" s="264">
        <f t="shared" si="257"/>
        <v>0</v>
      </c>
      <c r="AU405" s="262"/>
      <c r="AV405" s="262"/>
      <c r="AW405" s="265">
        <v>67.962640249087912</v>
      </c>
      <c r="AX405" s="164" t="s">
        <v>1469</v>
      </c>
      <c r="AY405" s="266">
        <v>0</v>
      </c>
      <c r="AZ405" s="266">
        <f t="shared" si="258"/>
        <v>0</v>
      </c>
      <c r="BA405" s="264">
        <f t="shared" si="259"/>
        <v>0</v>
      </c>
      <c r="BB405" s="262"/>
      <c r="BC405" s="262"/>
      <c r="BD405" s="265">
        <f ca="1">IFERROR(INDEX(Algorithms!$G:$G,MATCH($C405&amp;"_Therm Saved per Unit",Algorithms!$A:$A,0)),0)</f>
        <v>67.962640249087912</v>
      </c>
      <c r="BE405" s="164" t="str">
        <f ca="1">IFERROR(INDEX('v12 Revisions'!$P$29:$P$186, MATCH('Measure-Level Adj Gas'!$L405, 'v12 Revisions'!$D$29:$D$186,0)),"")</f>
        <v/>
      </c>
      <c r="BF405" s="266">
        <f t="shared" ca="1" si="260"/>
        <v>0</v>
      </c>
      <c r="BG405" s="264">
        <f t="shared" ca="1" si="261"/>
        <v>0</v>
      </c>
      <c r="BH405" s="262"/>
      <c r="BI405" s="262"/>
      <c r="BJ405" s="265">
        <f ca="1">IFERROR(INDEX(Algorithms!$G:$G,MATCH($C405&amp;"_Therm Saved per Unit",Algorithms!$A:$A,0)),0)</f>
        <v>67.962640249087912</v>
      </c>
      <c r="BK405" s="164"/>
      <c r="BL405" s="266">
        <f t="shared" ca="1" si="262"/>
        <v>0</v>
      </c>
      <c r="BM405" s="264">
        <f t="shared" ca="1" si="263"/>
        <v>0</v>
      </c>
      <c r="BN405" s="266">
        <f t="shared" si="264"/>
        <v>0</v>
      </c>
      <c r="BO405" s="266">
        <f t="shared" si="265"/>
        <v>0</v>
      </c>
      <c r="BP405" s="266">
        <f t="shared" ca="1" si="266"/>
        <v>0</v>
      </c>
      <c r="BQ405" s="266">
        <f t="shared" ca="1" si="267"/>
        <v>0</v>
      </c>
      <c r="BR405" s="268">
        <f t="shared" ca="1" si="268"/>
        <v>0</v>
      </c>
      <c r="BS405" s="262" t="s">
        <v>99</v>
      </c>
      <c r="BT405" s="277"/>
      <c r="BW405" s="266">
        <f t="shared" si="269"/>
        <v>0</v>
      </c>
      <c r="BX405" s="266">
        <f t="shared" si="270"/>
        <v>0</v>
      </c>
      <c r="BY405" s="266">
        <f t="shared" si="271"/>
        <v>0</v>
      </c>
      <c r="BZ405" s="266">
        <f t="shared" si="272"/>
        <v>0</v>
      </c>
      <c r="CA405" s="266">
        <f ca="1">N405*IFERROR(INDEX(Algorithms!$G:$G,MATCH($C405&amp;"_Therm Saved per Unit- MLA",Algorithms!$A:$A,0)),0)*X405</f>
        <v>0</v>
      </c>
      <c r="CB405" s="266">
        <f ca="1">O405*IFERROR(INDEX(Algorithms!$G:$G,MATCH($C405&amp;"_Therm Saved per Unit- MLA",Algorithms!$A:$A,0)),0)*Y405</f>
        <v>0</v>
      </c>
      <c r="CC405" s="266">
        <f ca="1">P405*IFERROR(INDEX(Algorithms!$G:$G,MATCH($C405&amp;"_Therm Saved per Unit- MLA",Algorithms!$A:$A,0)),0)*Z405</f>
        <v>0</v>
      </c>
      <c r="CD405" s="266">
        <f ca="1">Q405*IFERROR(INDEX(Algorithms!$G:$G,MATCH($C405&amp;"_Therm Saved per Unit- MLA",Algorithms!$A:$A,0)),0)*AA405</f>
        <v>0</v>
      </c>
      <c r="CE405" s="266">
        <f ca="1">IFERROR(INDEX(Algorithms!$G:$G,MATCH($C405&amp;"_Lifetime (years)",Algorithms!$A:$A,0)),0)</f>
        <v>15</v>
      </c>
      <c r="CF405" s="266">
        <f ca="1">IFERROR(INDEX(Algorithms!$G:$G,MATCH($C405&amp;"_Lifetime (years) - Remaining Years",Algorithms!$A:$A,0)),0)</f>
        <v>0</v>
      </c>
      <c r="CG405" s="266">
        <f t="shared" ca="1" si="273"/>
        <v>0</v>
      </c>
      <c r="CH405" s="266">
        <f t="shared" ca="1" si="274"/>
        <v>0</v>
      </c>
      <c r="CI405" s="266">
        <f t="shared" ca="1" si="275"/>
        <v>0</v>
      </c>
      <c r="CJ405" s="266">
        <f t="shared" ca="1" si="276"/>
        <v>0</v>
      </c>
      <c r="CK405" s="266">
        <f t="shared" si="277"/>
        <v>0</v>
      </c>
      <c r="CL405" s="266">
        <f t="shared" si="278"/>
        <v>0</v>
      </c>
      <c r="CM405" s="266">
        <f t="shared" ca="1" si="279"/>
        <v>0</v>
      </c>
      <c r="CN405" s="266">
        <f t="shared" ca="1" si="280"/>
        <v>0</v>
      </c>
      <c r="CO405" s="266">
        <f ca="1">N405*IFERROR(INDEX(Algorithms!$G:$G,MATCH($C405&amp;"_Therm Saved per Unit- MLA",Algorithms!$A:$A,0)),0)*X405</f>
        <v>0</v>
      </c>
      <c r="CP405" s="266">
        <f ca="1">O405*IFERROR(INDEX(Algorithms!$G:$G,MATCH($C405&amp;"_Therm Saved per Unit- MLA",Algorithms!$A:$A,0)),0)*Y405</f>
        <v>0</v>
      </c>
      <c r="CQ405" s="266">
        <f ca="1">P405*IFERROR(INDEX(Algorithms!$G:$G,MATCH($C405&amp;"_Therm Saved per Unit- MLA",Algorithms!$A:$A,0)),0)*Z405</f>
        <v>0</v>
      </c>
      <c r="CR405" s="266">
        <f ca="1">Q405*IFERROR(INDEX(Algorithms!$G:$G,MATCH($C405&amp;"_Therm Saved per Unit- MLA",Algorithms!$A:$A,0)),0)*AA405</f>
        <v>0</v>
      </c>
      <c r="CS405" s="266">
        <f ca="1">IFERROR(INDEX(Algorithms!$G:$G,MATCH($C405&amp;"_Lifetime (years)",Algorithms!$A:$A,0)),0)</f>
        <v>15</v>
      </c>
      <c r="CT405" s="266">
        <f ca="1">IFERROR(INDEX(Algorithms!$G:$G,MATCH($C405&amp;"_Lifetime (years) - Remaining Years",Algorithms!$A:$A,0)),0)</f>
        <v>0</v>
      </c>
      <c r="CU405" s="266">
        <f t="shared" ca="1" si="281"/>
        <v>0</v>
      </c>
      <c r="CV405" s="266">
        <f t="shared" ca="1" si="282"/>
        <v>0</v>
      </c>
      <c r="CW405" s="266">
        <f t="shared" ca="1" si="283"/>
        <v>0</v>
      </c>
      <c r="CX405" s="266">
        <f t="shared" ca="1" si="284"/>
        <v>0</v>
      </c>
    </row>
    <row r="406" spans="2:102" s="47" customFormat="1" ht="18" customHeight="1" x14ac:dyDescent="0.25">
      <c r="B406" t="str">
        <f t="shared" si="285"/>
        <v>NSG_Residential_Multi-Family_Partner Trade Ally Rebate_Pipe Insulation_Steam Large Valve_MF</v>
      </c>
      <c r="C406" s="47" t="str">
        <f t="shared" si="246"/>
        <v>Pipe Insulation_Steam Large Valve_MF</v>
      </c>
      <c r="D406" s="270" t="s">
        <v>1787</v>
      </c>
      <c r="E406" s="270" t="s">
        <v>2</v>
      </c>
      <c r="F406" s="270" t="s">
        <v>1422</v>
      </c>
      <c r="G406" s="270" t="s">
        <v>1799</v>
      </c>
      <c r="H406" s="270" t="s">
        <v>404</v>
      </c>
      <c r="I406" s="270" t="s">
        <v>967</v>
      </c>
      <c r="J406" s="270" t="s">
        <v>553</v>
      </c>
      <c r="K406" s="263">
        <v>1</v>
      </c>
      <c r="L406" s="263" t="str">
        <f ca="1">IFERROR(INDEX(Algorithms!J:J,MATCH($C406&amp;"_Therm Saved per Unit",Algorithms!$A:$A,0)),"n/a")</f>
        <v>"3 - Res Pipe Insulation" worksheet</v>
      </c>
      <c r="M406" s="263" t="str">
        <f>IFERROR(INDEX('Measure Level Detail'!$N:$N,MATCH($B406,'Measure Level Detail'!$B:$B,0)),0)</f>
        <v>each</v>
      </c>
      <c r="N406" s="271">
        <f>IFERROR(INDEX('Measure Level Detail'!$P:$P,MATCH($B406&amp;"_"&amp;N$3,'Measure Level Detail'!$C:$C,0)),0)</f>
        <v>0</v>
      </c>
      <c r="O406" s="271">
        <f>IFERROR(INDEX('Measure Level Detail'!$P:$P,MATCH($B406&amp;"_"&amp;O$3,'Measure Level Detail'!$C:$C,0)),0)</f>
        <v>0</v>
      </c>
      <c r="P406" s="271">
        <f>IFERROR(INDEX('Measure Level Detail'!$P:$P,MATCH($B406&amp;"_"&amp;P$3,'Measure Level Detail'!$C:$C,0)),0)</f>
        <v>0</v>
      </c>
      <c r="Q406" s="271">
        <f>IFERROR(INDEX('Measure Level Detail'!$P:$P,MATCH($B406&amp;"_"&amp;Q$3,'Measure Level Detail'!$C:$C,0)),0)</f>
        <v>0</v>
      </c>
      <c r="R406" s="263">
        <f ca="1">IFERROR(INDEX(Algorithms!K:K,MATCH($C406&amp;"_Therm Saved per Unit",Algorithms!$A:$A,0)),"n/a")</f>
        <v>0</v>
      </c>
      <c r="S406" s="262"/>
      <c r="T406" s="272">
        <v>133.90978522057964</v>
      </c>
      <c r="U406" s="272">
        <v>133.90978522057964</v>
      </c>
      <c r="V406" s="272">
        <v>133.90978522057964</v>
      </c>
      <c r="W406" s="272">
        <v>133.90978522057964</v>
      </c>
      <c r="X406" s="273">
        <f>IFERROR(INDEX('Measure Level Detail'!$R:$R,MATCH($B406&amp;"_"&amp;X$3,'Measure Level Detail'!$C:$C,0)),0)</f>
        <v>0.87</v>
      </c>
      <c r="Y406" s="273">
        <f>IFERROR(INDEX('Measure Level Detail'!$R:$R,MATCH($B406&amp;"_"&amp;Y$3,'Measure Level Detail'!$C:$C,0)),0)</f>
        <v>0.87</v>
      </c>
      <c r="Z406" s="273">
        <f>IFERROR(INDEX('Measure Level Detail'!$R:$R,MATCH($B406&amp;"_"&amp;Z$3,'Measure Level Detail'!$C:$C,0)),0)</f>
        <v>0.87</v>
      </c>
      <c r="AA406" s="273">
        <f>IFERROR(INDEX('Measure Level Detail'!$R:$R,MATCH($B406&amp;"_"&amp;AA$3,'Measure Level Detail'!$C:$C,0)),0)</f>
        <v>0.87</v>
      </c>
      <c r="AB406" s="266">
        <f t="shared" si="247"/>
        <v>0</v>
      </c>
      <c r="AC406" s="266">
        <f t="shared" si="248"/>
        <v>0</v>
      </c>
      <c r="AD406" s="266">
        <f t="shared" si="249"/>
        <v>0</v>
      </c>
      <c r="AE406" s="266">
        <f t="shared" si="250"/>
        <v>0</v>
      </c>
      <c r="AF406" s="266">
        <f t="shared" si="251"/>
        <v>0</v>
      </c>
      <c r="AG406" s="274">
        <v>0.87</v>
      </c>
      <c r="AH406" s="274">
        <v>0.87</v>
      </c>
      <c r="AI406" s="710">
        <v>0.88</v>
      </c>
      <c r="AJ406" s="710">
        <v>0.88</v>
      </c>
      <c r="AK406" s="274">
        <f t="shared" si="252"/>
        <v>0.87</v>
      </c>
      <c r="AL406" s="274">
        <f t="shared" si="253"/>
        <v>0.87</v>
      </c>
      <c r="AM406" s="274">
        <f t="shared" si="254"/>
        <v>0.87</v>
      </c>
      <c r="AN406" s="274">
        <f t="shared" si="255"/>
        <v>0.87</v>
      </c>
      <c r="AO406" s="262"/>
      <c r="AP406" s="262"/>
      <c r="AQ406" s="267">
        <v>133.90978522057964</v>
      </c>
      <c r="AR406" s="262"/>
      <c r="AS406" s="266">
        <f t="shared" si="256"/>
        <v>0</v>
      </c>
      <c r="AT406" s="264">
        <f t="shared" si="257"/>
        <v>0</v>
      </c>
      <c r="AU406" s="262"/>
      <c r="AV406" s="262"/>
      <c r="AW406" s="265">
        <v>133.90978522057964</v>
      </c>
      <c r="AX406" s="164" t="s">
        <v>1469</v>
      </c>
      <c r="AY406" s="266">
        <v>0</v>
      </c>
      <c r="AZ406" s="266">
        <f t="shared" si="258"/>
        <v>0</v>
      </c>
      <c r="BA406" s="264">
        <f t="shared" si="259"/>
        <v>0</v>
      </c>
      <c r="BB406" s="262"/>
      <c r="BC406" s="262"/>
      <c r="BD406" s="265">
        <f ca="1">IFERROR(INDEX(Algorithms!$G:$G,MATCH($C406&amp;"_Therm Saved per Unit",Algorithms!$A:$A,0)),0)</f>
        <v>133.90978522057964</v>
      </c>
      <c r="BE406" s="164" t="str">
        <f ca="1">IFERROR(INDEX('v12 Revisions'!$P$29:$P$186, MATCH('Measure-Level Adj Gas'!$L406, 'v12 Revisions'!$D$29:$D$186,0)),"")</f>
        <v/>
      </c>
      <c r="BF406" s="266">
        <f t="shared" ca="1" si="260"/>
        <v>0</v>
      </c>
      <c r="BG406" s="264">
        <f t="shared" ca="1" si="261"/>
        <v>0</v>
      </c>
      <c r="BH406" s="262"/>
      <c r="BI406" s="262"/>
      <c r="BJ406" s="265">
        <f ca="1">IFERROR(INDEX(Algorithms!$G:$G,MATCH($C406&amp;"_Therm Saved per Unit",Algorithms!$A:$A,0)),0)</f>
        <v>133.90978522057964</v>
      </c>
      <c r="BK406" s="164"/>
      <c r="BL406" s="266">
        <f t="shared" ca="1" si="262"/>
        <v>0</v>
      </c>
      <c r="BM406" s="264">
        <f t="shared" ca="1" si="263"/>
        <v>0</v>
      </c>
      <c r="BN406" s="266">
        <f t="shared" si="264"/>
        <v>0</v>
      </c>
      <c r="BO406" s="266">
        <f t="shared" si="265"/>
        <v>0</v>
      </c>
      <c r="BP406" s="266">
        <f t="shared" ca="1" si="266"/>
        <v>0</v>
      </c>
      <c r="BQ406" s="266">
        <f t="shared" ca="1" si="267"/>
        <v>0</v>
      </c>
      <c r="BR406" s="268">
        <f t="shared" ca="1" si="268"/>
        <v>0</v>
      </c>
      <c r="BS406" s="262" t="s">
        <v>99</v>
      </c>
      <c r="BT406" s="277"/>
      <c r="BW406" s="266">
        <f t="shared" si="269"/>
        <v>0</v>
      </c>
      <c r="BX406" s="266">
        <f t="shared" si="270"/>
        <v>0</v>
      </c>
      <c r="BY406" s="266">
        <f t="shared" si="271"/>
        <v>0</v>
      </c>
      <c r="BZ406" s="266">
        <f t="shared" si="272"/>
        <v>0</v>
      </c>
      <c r="CA406" s="266">
        <f ca="1">N406*IFERROR(INDEX(Algorithms!$G:$G,MATCH($C406&amp;"_Therm Saved per Unit- MLA",Algorithms!$A:$A,0)),0)*X406</f>
        <v>0</v>
      </c>
      <c r="CB406" s="266">
        <f ca="1">O406*IFERROR(INDEX(Algorithms!$G:$G,MATCH($C406&amp;"_Therm Saved per Unit- MLA",Algorithms!$A:$A,0)),0)*Y406</f>
        <v>0</v>
      </c>
      <c r="CC406" s="266">
        <f ca="1">P406*IFERROR(INDEX(Algorithms!$G:$G,MATCH($C406&amp;"_Therm Saved per Unit- MLA",Algorithms!$A:$A,0)),0)*Z406</f>
        <v>0</v>
      </c>
      <c r="CD406" s="266">
        <f ca="1">Q406*IFERROR(INDEX(Algorithms!$G:$G,MATCH($C406&amp;"_Therm Saved per Unit- MLA",Algorithms!$A:$A,0)),0)*AA406</f>
        <v>0</v>
      </c>
      <c r="CE406" s="266">
        <f ca="1">IFERROR(INDEX(Algorithms!$G:$G,MATCH($C406&amp;"_Lifetime (years)",Algorithms!$A:$A,0)),0)</f>
        <v>15</v>
      </c>
      <c r="CF406" s="266">
        <f ca="1">IFERROR(INDEX(Algorithms!$G:$G,MATCH($C406&amp;"_Lifetime (years) - Remaining Years",Algorithms!$A:$A,0)),0)</f>
        <v>0</v>
      </c>
      <c r="CG406" s="266">
        <f t="shared" ca="1" si="273"/>
        <v>0</v>
      </c>
      <c r="CH406" s="266">
        <f t="shared" ca="1" si="274"/>
        <v>0</v>
      </c>
      <c r="CI406" s="266">
        <f t="shared" ca="1" si="275"/>
        <v>0</v>
      </c>
      <c r="CJ406" s="266">
        <f t="shared" ca="1" si="276"/>
        <v>0</v>
      </c>
      <c r="CK406" s="266">
        <f t="shared" si="277"/>
        <v>0</v>
      </c>
      <c r="CL406" s="266">
        <f t="shared" si="278"/>
        <v>0</v>
      </c>
      <c r="CM406" s="266">
        <f t="shared" ca="1" si="279"/>
        <v>0</v>
      </c>
      <c r="CN406" s="266">
        <f t="shared" ca="1" si="280"/>
        <v>0</v>
      </c>
      <c r="CO406" s="266">
        <f ca="1">N406*IFERROR(INDEX(Algorithms!$G:$G,MATCH($C406&amp;"_Therm Saved per Unit- MLA",Algorithms!$A:$A,0)),0)*X406</f>
        <v>0</v>
      </c>
      <c r="CP406" s="266">
        <f ca="1">O406*IFERROR(INDEX(Algorithms!$G:$G,MATCH($C406&amp;"_Therm Saved per Unit- MLA",Algorithms!$A:$A,0)),0)*Y406</f>
        <v>0</v>
      </c>
      <c r="CQ406" s="266">
        <f ca="1">P406*IFERROR(INDEX(Algorithms!$G:$G,MATCH($C406&amp;"_Therm Saved per Unit- MLA",Algorithms!$A:$A,0)),0)*Z406</f>
        <v>0</v>
      </c>
      <c r="CR406" s="266">
        <f ca="1">Q406*IFERROR(INDEX(Algorithms!$G:$G,MATCH($C406&amp;"_Therm Saved per Unit- MLA",Algorithms!$A:$A,0)),0)*AA406</f>
        <v>0</v>
      </c>
      <c r="CS406" s="266">
        <f ca="1">IFERROR(INDEX(Algorithms!$G:$G,MATCH($C406&amp;"_Lifetime (years)",Algorithms!$A:$A,0)),0)</f>
        <v>15</v>
      </c>
      <c r="CT406" s="266">
        <f ca="1">IFERROR(INDEX(Algorithms!$G:$G,MATCH($C406&amp;"_Lifetime (years) - Remaining Years",Algorithms!$A:$A,0)),0)</f>
        <v>0</v>
      </c>
      <c r="CU406" s="266">
        <f t="shared" ca="1" si="281"/>
        <v>0</v>
      </c>
      <c r="CV406" s="266">
        <f t="shared" ca="1" si="282"/>
        <v>0</v>
      </c>
      <c r="CW406" s="266">
        <f t="shared" ca="1" si="283"/>
        <v>0</v>
      </c>
      <c r="CX406" s="266">
        <f t="shared" ca="1" si="284"/>
        <v>0</v>
      </c>
    </row>
    <row r="407" spans="2:102" s="47" customFormat="1" ht="18" customHeight="1" x14ac:dyDescent="0.25">
      <c r="B407" t="str">
        <f t="shared" si="285"/>
        <v>NSG_Residential_Multi-Family_Partner Trade Ally Rebate_Pipe Insulation_Steam X-Large Valve_MF</v>
      </c>
      <c r="C407" s="47" t="str">
        <f t="shared" si="246"/>
        <v>Pipe Insulation_Steam X-Large Valve_MF</v>
      </c>
      <c r="D407" s="270" t="s">
        <v>1787</v>
      </c>
      <c r="E407" s="270" t="s">
        <v>2</v>
      </c>
      <c r="F407" s="270" t="s">
        <v>1422</v>
      </c>
      <c r="G407" s="270" t="s">
        <v>1799</v>
      </c>
      <c r="H407" s="270" t="s">
        <v>404</v>
      </c>
      <c r="I407" s="270" t="s">
        <v>968</v>
      </c>
      <c r="J407" s="270" t="s">
        <v>553</v>
      </c>
      <c r="K407" s="263">
        <v>1</v>
      </c>
      <c r="L407" s="263" t="str">
        <f ca="1">IFERROR(INDEX(Algorithms!J:J,MATCH($C407&amp;"_Therm Saved per Unit",Algorithms!$A:$A,0)),"n/a")</f>
        <v>"3 - Res Pipe Insulation" worksheet</v>
      </c>
      <c r="M407" s="263" t="str">
        <f>IFERROR(INDEX('Measure Level Detail'!$N:$N,MATCH($B407,'Measure Level Detail'!$B:$B,0)),0)</f>
        <v>each</v>
      </c>
      <c r="N407" s="271">
        <f>IFERROR(INDEX('Measure Level Detail'!$P:$P,MATCH($B407&amp;"_"&amp;N$3,'Measure Level Detail'!$C:$C,0)),0)</f>
        <v>0</v>
      </c>
      <c r="O407" s="271">
        <f>IFERROR(INDEX('Measure Level Detail'!$P:$P,MATCH($B407&amp;"_"&amp;O$3,'Measure Level Detail'!$C:$C,0)),0)</f>
        <v>0</v>
      </c>
      <c r="P407" s="271">
        <f>IFERROR(INDEX('Measure Level Detail'!$P:$P,MATCH($B407&amp;"_"&amp;P$3,'Measure Level Detail'!$C:$C,0)),0)</f>
        <v>0</v>
      </c>
      <c r="Q407" s="271">
        <f>IFERROR(INDEX('Measure Level Detail'!$P:$P,MATCH($B407&amp;"_"&amp;Q$3,'Measure Level Detail'!$C:$C,0)),0)</f>
        <v>0</v>
      </c>
      <c r="R407" s="263">
        <f ca="1">IFERROR(INDEX(Algorithms!K:K,MATCH($C407&amp;"_Therm Saved per Unit",Algorithms!$A:$A,0)),"n/a")</f>
        <v>0</v>
      </c>
      <c r="S407" s="262"/>
      <c r="T407" s="272">
        <v>67.962640249087912</v>
      </c>
      <c r="U407" s="272">
        <v>67.962640249087912</v>
      </c>
      <c r="V407" s="272">
        <v>67.962640249087912</v>
      </c>
      <c r="W407" s="272">
        <v>67.962640249087912</v>
      </c>
      <c r="X407" s="273">
        <f>IFERROR(INDEX('Measure Level Detail'!$R:$R,MATCH($B407&amp;"_"&amp;X$3,'Measure Level Detail'!$C:$C,0)),0)</f>
        <v>0.87</v>
      </c>
      <c r="Y407" s="273">
        <f>IFERROR(INDEX('Measure Level Detail'!$R:$R,MATCH($B407&amp;"_"&amp;Y$3,'Measure Level Detail'!$C:$C,0)),0)</f>
        <v>0.87</v>
      </c>
      <c r="Z407" s="273">
        <f>IFERROR(INDEX('Measure Level Detail'!$R:$R,MATCH($B407&amp;"_"&amp;Z$3,'Measure Level Detail'!$C:$C,0)),0)</f>
        <v>0.87</v>
      </c>
      <c r="AA407" s="273">
        <f>IFERROR(INDEX('Measure Level Detail'!$R:$R,MATCH($B407&amp;"_"&amp;AA$3,'Measure Level Detail'!$C:$C,0)),0)</f>
        <v>0.87</v>
      </c>
      <c r="AB407" s="266">
        <f t="shared" si="247"/>
        <v>0</v>
      </c>
      <c r="AC407" s="266">
        <f t="shared" si="248"/>
        <v>0</v>
      </c>
      <c r="AD407" s="266">
        <f t="shared" si="249"/>
        <v>0</v>
      </c>
      <c r="AE407" s="266">
        <f t="shared" si="250"/>
        <v>0</v>
      </c>
      <c r="AF407" s="266">
        <f t="shared" si="251"/>
        <v>0</v>
      </c>
      <c r="AG407" s="274">
        <v>0.87</v>
      </c>
      <c r="AH407" s="274">
        <v>0.87</v>
      </c>
      <c r="AI407" s="710">
        <v>0.88</v>
      </c>
      <c r="AJ407" s="710">
        <v>0.88</v>
      </c>
      <c r="AK407" s="274">
        <f t="shared" si="252"/>
        <v>0.87</v>
      </c>
      <c r="AL407" s="274">
        <f t="shared" si="253"/>
        <v>0.87</v>
      </c>
      <c r="AM407" s="274">
        <f t="shared" si="254"/>
        <v>0.87</v>
      </c>
      <c r="AN407" s="274">
        <f t="shared" si="255"/>
        <v>0.87</v>
      </c>
      <c r="AO407" s="262"/>
      <c r="AP407" s="262"/>
      <c r="AQ407" s="267">
        <v>67.962640249087912</v>
      </c>
      <c r="AR407" s="262"/>
      <c r="AS407" s="266">
        <f t="shared" si="256"/>
        <v>0</v>
      </c>
      <c r="AT407" s="264">
        <f t="shared" si="257"/>
        <v>0</v>
      </c>
      <c r="AU407" s="262"/>
      <c r="AV407" s="262"/>
      <c r="AW407" s="265">
        <v>67.962640249087912</v>
      </c>
      <c r="AX407" s="164" t="s">
        <v>1469</v>
      </c>
      <c r="AY407" s="266">
        <v>0</v>
      </c>
      <c r="AZ407" s="266">
        <f t="shared" si="258"/>
        <v>0</v>
      </c>
      <c r="BA407" s="264">
        <f t="shared" si="259"/>
        <v>0</v>
      </c>
      <c r="BB407" s="262"/>
      <c r="BC407" s="262"/>
      <c r="BD407" s="265">
        <f ca="1">IFERROR(INDEX(Algorithms!$G:$G,MATCH($C407&amp;"_Therm Saved per Unit",Algorithms!$A:$A,0)),0)</f>
        <v>67.962640249087912</v>
      </c>
      <c r="BE407" s="164" t="str">
        <f ca="1">IFERROR(INDEX('v12 Revisions'!$P$29:$P$186, MATCH('Measure-Level Adj Gas'!$L407, 'v12 Revisions'!$D$29:$D$186,0)),"")</f>
        <v/>
      </c>
      <c r="BF407" s="266">
        <f t="shared" ca="1" si="260"/>
        <v>0</v>
      </c>
      <c r="BG407" s="264">
        <f t="shared" ca="1" si="261"/>
        <v>0</v>
      </c>
      <c r="BH407" s="262"/>
      <c r="BI407" s="262"/>
      <c r="BJ407" s="265">
        <f ca="1">IFERROR(INDEX(Algorithms!$G:$G,MATCH($C407&amp;"_Therm Saved per Unit",Algorithms!$A:$A,0)),0)</f>
        <v>67.962640249087912</v>
      </c>
      <c r="BK407" s="164"/>
      <c r="BL407" s="266">
        <f t="shared" ca="1" si="262"/>
        <v>0</v>
      </c>
      <c r="BM407" s="264">
        <f t="shared" ca="1" si="263"/>
        <v>0</v>
      </c>
      <c r="BN407" s="266">
        <f t="shared" si="264"/>
        <v>0</v>
      </c>
      <c r="BO407" s="266">
        <f t="shared" si="265"/>
        <v>0</v>
      </c>
      <c r="BP407" s="266">
        <f t="shared" ca="1" si="266"/>
        <v>0</v>
      </c>
      <c r="BQ407" s="266">
        <f t="shared" ca="1" si="267"/>
        <v>0</v>
      </c>
      <c r="BR407" s="268">
        <f t="shared" ca="1" si="268"/>
        <v>0</v>
      </c>
      <c r="BS407" s="262" t="s">
        <v>99</v>
      </c>
      <c r="BT407" s="277"/>
      <c r="BW407" s="266">
        <f t="shared" si="269"/>
        <v>0</v>
      </c>
      <c r="BX407" s="266">
        <f t="shared" si="270"/>
        <v>0</v>
      </c>
      <c r="BY407" s="266">
        <f t="shared" si="271"/>
        <v>0</v>
      </c>
      <c r="BZ407" s="266">
        <f t="shared" si="272"/>
        <v>0</v>
      </c>
      <c r="CA407" s="266">
        <f ca="1">N407*IFERROR(INDEX(Algorithms!$G:$G,MATCH($C407&amp;"_Therm Saved per Unit- MLA",Algorithms!$A:$A,0)),0)*X407</f>
        <v>0</v>
      </c>
      <c r="CB407" s="266">
        <f ca="1">O407*IFERROR(INDEX(Algorithms!$G:$G,MATCH($C407&amp;"_Therm Saved per Unit- MLA",Algorithms!$A:$A,0)),0)*Y407</f>
        <v>0</v>
      </c>
      <c r="CC407" s="266">
        <f ca="1">P407*IFERROR(INDEX(Algorithms!$G:$G,MATCH($C407&amp;"_Therm Saved per Unit- MLA",Algorithms!$A:$A,0)),0)*Z407</f>
        <v>0</v>
      </c>
      <c r="CD407" s="266">
        <f ca="1">Q407*IFERROR(INDEX(Algorithms!$G:$G,MATCH($C407&amp;"_Therm Saved per Unit- MLA",Algorithms!$A:$A,0)),0)*AA407</f>
        <v>0</v>
      </c>
      <c r="CE407" s="266">
        <f ca="1">IFERROR(INDEX(Algorithms!$G:$G,MATCH($C407&amp;"_Lifetime (years)",Algorithms!$A:$A,0)),0)</f>
        <v>15</v>
      </c>
      <c r="CF407" s="266">
        <f ca="1">IFERROR(INDEX(Algorithms!$G:$G,MATCH($C407&amp;"_Lifetime (years) - Remaining Years",Algorithms!$A:$A,0)),0)</f>
        <v>0</v>
      </c>
      <c r="CG407" s="266">
        <f t="shared" ca="1" si="273"/>
        <v>0</v>
      </c>
      <c r="CH407" s="266">
        <f t="shared" ca="1" si="274"/>
        <v>0</v>
      </c>
      <c r="CI407" s="266">
        <f t="shared" ca="1" si="275"/>
        <v>0</v>
      </c>
      <c r="CJ407" s="266">
        <f t="shared" ca="1" si="276"/>
        <v>0</v>
      </c>
      <c r="CK407" s="266">
        <f t="shared" si="277"/>
        <v>0</v>
      </c>
      <c r="CL407" s="266">
        <f t="shared" si="278"/>
        <v>0</v>
      </c>
      <c r="CM407" s="266">
        <f t="shared" ca="1" si="279"/>
        <v>0</v>
      </c>
      <c r="CN407" s="266">
        <f t="shared" ca="1" si="280"/>
        <v>0</v>
      </c>
      <c r="CO407" s="266">
        <f ca="1">N407*IFERROR(INDEX(Algorithms!$G:$G,MATCH($C407&amp;"_Therm Saved per Unit- MLA",Algorithms!$A:$A,0)),0)*X407</f>
        <v>0</v>
      </c>
      <c r="CP407" s="266">
        <f ca="1">O407*IFERROR(INDEX(Algorithms!$G:$G,MATCH($C407&amp;"_Therm Saved per Unit- MLA",Algorithms!$A:$A,0)),0)*Y407</f>
        <v>0</v>
      </c>
      <c r="CQ407" s="266">
        <f ca="1">P407*IFERROR(INDEX(Algorithms!$G:$G,MATCH($C407&amp;"_Therm Saved per Unit- MLA",Algorithms!$A:$A,0)),0)*Z407</f>
        <v>0</v>
      </c>
      <c r="CR407" s="266">
        <f ca="1">Q407*IFERROR(INDEX(Algorithms!$G:$G,MATCH($C407&amp;"_Therm Saved per Unit- MLA",Algorithms!$A:$A,0)),0)*AA407</f>
        <v>0</v>
      </c>
      <c r="CS407" s="266">
        <f ca="1">IFERROR(INDEX(Algorithms!$G:$G,MATCH($C407&amp;"_Lifetime (years)",Algorithms!$A:$A,0)),0)</f>
        <v>15</v>
      </c>
      <c r="CT407" s="266">
        <f ca="1">IFERROR(INDEX(Algorithms!$G:$G,MATCH($C407&amp;"_Lifetime (years) - Remaining Years",Algorithms!$A:$A,0)),0)</f>
        <v>0</v>
      </c>
      <c r="CU407" s="266">
        <f t="shared" ca="1" si="281"/>
        <v>0</v>
      </c>
      <c r="CV407" s="266">
        <f t="shared" ca="1" si="282"/>
        <v>0</v>
      </c>
      <c r="CW407" s="266">
        <f t="shared" ca="1" si="283"/>
        <v>0</v>
      </c>
      <c r="CX407" s="266">
        <f t="shared" ca="1" si="284"/>
        <v>0</v>
      </c>
    </row>
    <row r="408" spans="2:102" s="47" customFormat="1" ht="18" customHeight="1" x14ac:dyDescent="0.25">
      <c r="B408" t="str">
        <f t="shared" si="285"/>
        <v>NSG_Residential_Multi-Family_Partner Trade Ally Rebate_Steam Boiler Averaging Controls_0_MF</v>
      </c>
      <c r="C408" s="47" t="str">
        <f t="shared" si="246"/>
        <v>Steam Boiler Averaging Controls_0_MF</v>
      </c>
      <c r="D408" s="270" t="s">
        <v>1787</v>
      </c>
      <c r="E408" s="270" t="s">
        <v>2</v>
      </c>
      <c r="F408" s="270" t="s">
        <v>1422</v>
      </c>
      <c r="G408" s="270" t="s">
        <v>1799</v>
      </c>
      <c r="H408" s="270" t="s">
        <v>934</v>
      </c>
      <c r="I408" s="270">
        <v>0</v>
      </c>
      <c r="J408" s="270" t="s">
        <v>553</v>
      </c>
      <c r="K408" s="263">
        <v>1</v>
      </c>
      <c r="L408" s="263" t="str">
        <f ca="1">IFERROR(INDEX(Algorithms!J:J,MATCH($C408&amp;"_Therm Saved per Unit",Algorithms!$A:$A,0)),"n/a")</f>
        <v>4.4.36</v>
      </c>
      <c r="M408" s="263" t="str">
        <f>IFERROR(INDEX('Measure Level Detail'!$N:$N,MATCH($B408,'Measure Level Detail'!$B:$B,0)),0)</f>
        <v>each</v>
      </c>
      <c r="N408" s="271">
        <f>IFERROR(INDEX('Measure Level Detail'!$P:$P,MATCH($B408&amp;"_"&amp;N$3,'Measure Level Detail'!$C:$C,0)),0)</f>
        <v>0</v>
      </c>
      <c r="O408" s="271">
        <f>IFERROR(INDEX('Measure Level Detail'!$P:$P,MATCH($B408&amp;"_"&amp;O$3,'Measure Level Detail'!$C:$C,0)),0)</f>
        <v>0</v>
      </c>
      <c r="P408" s="271">
        <f>IFERROR(INDEX('Measure Level Detail'!$P:$P,MATCH($B408&amp;"_"&amp;P$3,'Measure Level Detail'!$C:$C,0)),0)</f>
        <v>0</v>
      </c>
      <c r="Q408" s="271">
        <f>IFERROR(INDEX('Measure Level Detail'!$P:$P,MATCH($B408&amp;"_"&amp;Q$3,'Measure Level Detail'!$C:$C,0)),0)</f>
        <v>0</v>
      </c>
      <c r="R408" s="263" t="str">
        <f ca="1">IFERROR(INDEX(Algorithms!K:K,MATCH($C408&amp;"_Therm Saved per Unit",Algorithms!$A:$A,0)),"n/a")</f>
        <v>CI-HVC-SBAC-V03-230101</v>
      </c>
      <c r="S408" s="262"/>
      <c r="T408" s="272">
        <v>83.05</v>
      </c>
      <c r="U408" s="272">
        <v>83.05</v>
      </c>
      <c r="V408" s="272">
        <v>83.05</v>
      </c>
      <c r="W408" s="272">
        <v>83.05</v>
      </c>
      <c r="X408" s="273">
        <f>IFERROR(INDEX('Measure Level Detail'!$R:$R,MATCH($B408&amp;"_"&amp;X$3,'Measure Level Detail'!$C:$C,0)),0)</f>
        <v>0.87</v>
      </c>
      <c r="Y408" s="273">
        <f>IFERROR(INDEX('Measure Level Detail'!$R:$R,MATCH($B408&amp;"_"&amp;Y$3,'Measure Level Detail'!$C:$C,0)),0)</f>
        <v>0.87</v>
      </c>
      <c r="Z408" s="273">
        <f>IFERROR(INDEX('Measure Level Detail'!$R:$R,MATCH($B408&amp;"_"&amp;Z$3,'Measure Level Detail'!$C:$C,0)),0)</f>
        <v>0.87</v>
      </c>
      <c r="AA408" s="273">
        <f>IFERROR(INDEX('Measure Level Detail'!$R:$R,MATCH($B408&amp;"_"&amp;AA$3,'Measure Level Detail'!$C:$C,0)),0)</f>
        <v>0.87</v>
      </c>
      <c r="AB408" s="266">
        <f t="shared" si="247"/>
        <v>0</v>
      </c>
      <c r="AC408" s="266">
        <f t="shared" si="248"/>
        <v>0</v>
      </c>
      <c r="AD408" s="266">
        <f t="shared" si="249"/>
        <v>0</v>
      </c>
      <c r="AE408" s="266">
        <f t="shared" si="250"/>
        <v>0</v>
      </c>
      <c r="AF408" s="266">
        <f t="shared" si="251"/>
        <v>0</v>
      </c>
      <c r="AG408" s="274">
        <v>0.87</v>
      </c>
      <c r="AH408" s="274">
        <v>0.87</v>
      </c>
      <c r="AI408" s="710">
        <v>0.88</v>
      </c>
      <c r="AJ408" s="710">
        <v>0.88</v>
      </c>
      <c r="AK408" s="274">
        <f t="shared" si="252"/>
        <v>0.87</v>
      </c>
      <c r="AL408" s="274">
        <f t="shared" si="253"/>
        <v>0.87</v>
      </c>
      <c r="AM408" s="274">
        <f t="shared" si="254"/>
        <v>0.87</v>
      </c>
      <c r="AN408" s="274">
        <f t="shared" si="255"/>
        <v>0.87</v>
      </c>
      <c r="AO408" s="262"/>
      <c r="AP408" s="262"/>
      <c r="AQ408" s="267">
        <v>83.05</v>
      </c>
      <c r="AR408" s="262"/>
      <c r="AS408" s="266">
        <f t="shared" si="256"/>
        <v>0</v>
      </c>
      <c r="AT408" s="264">
        <f t="shared" si="257"/>
        <v>0</v>
      </c>
      <c r="AU408" s="262"/>
      <c r="AV408" s="262"/>
      <c r="AW408" s="265">
        <v>83.05</v>
      </c>
      <c r="AX408" s="164" t="s">
        <v>1469</v>
      </c>
      <c r="AY408" s="266">
        <v>0</v>
      </c>
      <c r="AZ408" s="266">
        <f t="shared" si="258"/>
        <v>0</v>
      </c>
      <c r="BA408" s="264">
        <f t="shared" si="259"/>
        <v>0</v>
      </c>
      <c r="BB408" s="262"/>
      <c r="BC408" s="262"/>
      <c r="BD408" s="265">
        <f ca="1">IFERROR(INDEX(Algorithms!$G:$G,MATCH($C408&amp;"_Therm Saved per Unit",Algorithms!$A:$A,0)),0)</f>
        <v>83.05</v>
      </c>
      <c r="BE408" s="164" t="str">
        <f ca="1">IFERROR(INDEX('v12 Revisions'!$P$29:$P$186, MATCH('Measure-Level Adj Gas'!$L408, 'v12 Revisions'!$D$29:$D$186,0)),"")</f>
        <v/>
      </c>
      <c r="BF408" s="266">
        <f t="shared" ca="1" si="260"/>
        <v>0</v>
      </c>
      <c r="BG408" s="264">
        <f t="shared" ca="1" si="261"/>
        <v>0</v>
      </c>
      <c r="BH408" s="262"/>
      <c r="BI408" s="262"/>
      <c r="BJ408" s="265">
        <f ca="1">IFERROR(INDEX(Algorithms!$G:$G,MATCH($C408&amp;"_Therm Saved per Unit",Algorithms!$A:$A,0)),0)</f>
        <v>83.05</v>
      </c>
      <c r="BK408" s="164"/>
      <c r="BL408" s="266">
        <f t="shared" ca="1" si="262"/>
        <v>0</v>
      </c>
      <c r="BM408" s="264">
        <f t="shared" ca="1" si="263"/>
        <v>0</v>
      </c>
      <c r="BN408" s="266">
        <f t="shared" si="264"/>
        <v>0</v>
      </c>
      <c r="BO408" s="266">
        <f t="shared" si="265"/>
        <v>0</v>
      </c>
      <c r="BP408" s="266">
        <f t="shared" ca="1" si="266"/>
        <v>0</v>
      </c>
      <c r="BQ408" s="266">
        <f t="shared" ca="1" si="267"/>
        <v>0</v>
      </c>
      <c r="BR408" s="268">
        <f t="shared" ca="1" si="268"/>
        <v>0</v>
      </c>
      <c r="BS408" s="262" t="s">
        <v>99</v>
      </c>
      <c r="BT408" s="277"/>
      <c r="BW408" s="266">
        <f t="shared" si="269"/>
        <v>0</v>
      </c>
      <c r="BX408" s="266">
        <f t="shared" si="270"/>
        <v>0</v>
      </c>
      <c r="BY408" s="266">
        <f t="shared" si="271"/>
        <v>0</v>
      </c>
      <c r="BZ408" s="266">
        <f t="shared" si="272"/>
        <v>0</v>
      </c>
      <c r="CA408" s="266">
        <f ca="1">N408*IFERROR(INDEX(Algorithms!$G:$G,MATCH($C408&amp;"_Therm Saved per Unit- MLA",Algorithms!$A:$A,0)),0)*X408</f>
        <v>0</v>
      </c>
      <c r="CB408" s="266">
        <f ca="1">O408*IFERROR(INDEX(Algorithms!$G:$G,MATCH($C408&amp;"_Therm Saved per Unit- MLA",Algorithms!$A:$A,0)),0)*Y408</f>
        <v>0</v>
      </c>
      <c r="CC408" s="266">
        <f ca="1">P408*IFERROR(INDEX(Algorithms!$G:$G,MATCH($C408&amp;"_Therm Saved per Unit- MLA",Algorithms!$A:$A,0)),0)*Z408</f>
        <v>0</v>
      </c>
      <c r="CD408" s="266">
        <f ca="1">Q408*IFERROR(INDEX(Algorithms!$G:$G,MATCH($C408&amp;"_Therm Saved per Unit- MLA",Algorithms!$A:$A,0)),0)*AA408</f>
        <v>0</v>
      </c>
      <c r="CE408" s="266">
        <f ca="1">IFERROR(INDEX(Algorithms!$G:$G,MATCH($C408&amp;"_Lifetime (years)",Algorithms!$A:$A,0)),0)</f>
        <v>20</v>
      </c>
      <c r="CF408" s="266">
        <f ca="1">IFERROR(INDEX(Algorithms!$G:$G,MATCH($C408&amp;"_Lifetime (years) - Remaining Years",Algorithms!$A:$A,0)),0)</f>
        <v>0</v>
      </c>
      <c r="CG408" s="266">
        <f t="shared" ca="1" si="273"/>
        <v>0</v>
      </c>
      <c r="CH408" s="266">
        <f t="shared" ca="1" si="274"/>
        <v>0</v>
      </c>
      <c r="CI408" s="266">
        <f t="shared" ca="1" si="275"/>
        <v>0</v>
      </c>
      <c r="CJ408" s="266">
        <f t="shared" ca="1" si="276"/>
        <v>0</v>
      </c>
      <c r="CK408" s="266">
        <f t="shared" si="277"/>
        <v>0</v>
      </c>
      <c r="CL408" s="266">
        <f t="shared" si="278"/>
        <v>0</v>
      </c>
      <c r="CM408" s="266">
        <f t="shared" ca="1" si="279"/>
        <v>0</v>
      </c>
      <c r="CN408" s="266">
        <f t="shared" ca="1" si="280"/>
        <v>0</v>
      </c>
      <c r="CO408" s="266">
        <f ca="1">N408*IFERROR(INDEX(Algorithms!$G:$G,MATCH($C408&amp;"_Therm Saved per Unit- MLA",Algorithms!$A:$A,0)),0)*X408</f>
        <v>0</v>
      </c>
      <c r="CP408" s="266">
        <f ca="1">O408*IFERROR(INDEX(Algorithms!$G:$G,MATCH($C408&amp;"_Therm Saved per Unit- MLA",Algorithms!$A:$A,0)),0)*Y408</f>
        <v>0</v>
      </c>
      <c r="CQ408" s="266">
        <f ca="1">P408*IFERROR(INDEX(Algorithms!$G:$G,MATCH($C408&amp;"_Therm Saved per Unit- MLA",Algorithms!$A:$A,0)),0)*Z408</f>
        <v>0</v>
      </c>
      <c r="CR408" s="266">
        <f ca="1">Q408*IFERROR(INDEX(Algorithms!$G:$G,MATCH($C408&amp;"_Therm Saved per Unit- MLA",Algorithms!$A:$A,0)),0)*AA408</f>
        <v>0</v>
      </c>
      <c r="CS408" s="266">
        <f ca="1">IFERROR(INDEX(Algorithms!$G:$G,MATCH($C408&amp;"_Lifetime (years)",Algorithms!$A:$A,0)),0)</f>
        <v>20</v>
      </c>
      <c r="CT408" s="266">
        <f ca="1">IFERROR(INDEX(Algorithms!$G:$G,MATCH($C408&amp;"_Lifetime (years) - Remaining Years",Algorithms!$A:$A,0)),0)</f>
        <v>0</v>
      </c>
      <c r="CU408" s="266">
        <f t="shared" ca="1" si="281"/>
        <v>0</v>
      </c>
      <c r="CV408" s="266">
        <f t="shared" ca="1" si="282"/>
        <v>0</v>
      </c>
      <c r="CW408" s="266">
        <f t="shared" ca="1" si="283"/>
        <v>0</v>
      </c>
      <c r="CX408" s="266">
        <f t="shared" ca="1" si="284"/>
        <v>0</v>
      </c>
    </row>
    <row r="409" spans="2:102" s="47" customFormat="1" ht="18" customHeight="1" x14ac:dyDescent="0.25">
      <c r="B409" t="str">
        <f t="shared" si="285"/>
        <v>NSG_Residential_Multi-Family_Partner Trade Ally Rebate_Steam Traps_Industrial/Process Audit - psig ≤ 15_MF</v>
      </c>
      <c r="C409" s="47" t="str">
        <f t="shared" si="246"/>
        <v>Steam Traps_Industrial/Process Audit - psig ≤ 15_MF</v>
      </c>
      <c r="D409" s="270" t="s">
        <v>1787</v>
      </c>
      <c r="E409" s="270" t="s">
        <v>2</v>
      </c>
      <c r="F409" s="270" t="s">
        <v>1422</v>
      </c>
      <c r="G409" s="270" t="s">
        <v>1799</v>
      </c>
      <c r="H409" s="270" t="s">
        <v>644</v>
      </c>
      <c r="I409" s="270" t="s">
        <v>1383</v>
      </c>
      <c r="J409" s="270" t="s">
        <v>553</v>
      </c>
      <c r="K409" s="263">
        <v>1</v>
      </c>
      <c r="L409" s="263" t="str">
        <f ca="1">IFERROR(INDEX(Algorithms!J:J,MATCH($C409&amp;"_Therm Saved per Unit",Algorithms!$A:$A,0)),"n/a")</f>
        <v>4.4.16</v>
      </c>
      <c r="M409" s="263" t="str">
        <f>IFERROR(INDEX('Measure Level Detail'!$N:$N,MATCH($B409,'Measure Level Detail'!$B:$B,0)),0)</f>
        <v>each</v>
      </c>
      <c r="N409" s="271">
        <f>IFERROR(INDEX('Measure Level Detail'!$P:$P,MATCH($B409&amp;"_"&amp;N$3,'Measure Level Detail'!$C:$C,0)),0)</f>
        <v>0</v>
      </c>
      <c r="O409" s="271">
        <f>IFERROR(INDEX('Measure Level Detail'!$P:$P,MATCH($B409&amp;"_"&amp;O$3,'Measure Level Detail'!$C:$C,0)),0)</f>
        <v>0</v>
      </c>
      <c r="P409" s="271">
        <f>IFERROR(INDEX('Measure Level Detail'!$P:$P,MATCH($B409&amp;"_"&amp;P$3,'Measure Level Detail'!$C:$C,0)),0)</f>
        <v>0</v>
      </c>
      <c r="Q409" s="271">
        <f>IFERROR(INDEX('Measure Level Detail'!$P:$P,MATCH($B409&amp;"_"&amp;Q$3,'Measure Level Detail'!$C:$C,0)),0)</f>
        <v>0</v>
      </c>
      <c r="R409" s="263" t="str">
        <f ca="1">IFERROR(INDEX(Algorithms!K:K,MATCH($C409&amp;"_Therm Saved per Unit",Algorithms!$A:$A,0)),"n/a")</f>
        <v>CI-HVC-STRE-V10-240101</v>
      </c>
      <c r="S409" s="262"/>
      <c r="T409" s="272">
        <v>158.21234468156055</v>
      </c>
      <c r="U409" s="272">
        <v>158.21234468156055</v>
      </c>
      <c r="V409" s="272">
        <v>158.21234468156055</v>
      </c>
      <c r="W409" s="272">
        <v>158.21234468156055</v>
      </c>
      <c r="X409" s="273">
        <f>IFERROR(INDEX('Measure Level Detail'!$R:$R,MATCH($B409&amp;"_"&amp;X$3,'Measure Level Detail'!$C:$C,0)),0)</f>
        <v>0.87</v>
      </c>
      <c r="Y409" s="273">
        <f>IFERROR(INDEX('Measure Level Detail'!$R:$R,MATCH($B409&amp;"_"&amp;Y$3,'Measure Level Detail'!$C:$C,0)),0)</f>
        <v>0.87</v>
      </c>
      <c r="Z409" s="273">
        <f>IFERROR(INDEX('Measure Level Detail'!$R:$R,MATCH($B409&amp;"_"&amp;Z$3,'Measure Level Detail'!$C:$C,0)),0)</f>
        <v>0.87</v>
      </c>
      <c r="AA409" s="273">
        <f>IFERROR(INDEX('Measure Level Detail'!$R:$R,MATCH($B409&amp;"_"&amp;AA$3,'Measure Level Detail'!$C:$C,0)),0)</f>
        <v>0.87</v>
      </c>
      <c r="AB409" s="266">
        <f t="shared" si="247"/>
        <v>0</v>
      </c>
      <c r="AC409" s="266">
        <f t="shared" si="248"/>
        <v>0</v>
      </c>
      <c r="AD409" s="266">
        <f t="shared" si="249"/>
        <v>0</v>
      </c>
      <c r="AE409" s="266">
        <f t="shared" si="250"/>
        <v>0</v>
      </c>
      <c r="AF409" s="266">
        <f t="shared" si="251"/>
        <v>0</v>
      </c>
      <c r="AG409" s="274">
        <v>0.87</v>
      </c>
      <c r="AH409" s="274">
        <v>0.87</v>
      </c>
      <c r="AI409" s="710">
        <v>0.88</v>
      </c>
      <c r="AJ409" s="710">
        <v>0.88</v>
      </c>
      <c r="AK409" s="274">
        <f t="shared" si="252"/>
        <v>0.87</v>
      </c>
      <c r="AL409" s="274">
        <f t="shared" si="253"/>
        <v>0.87</v>
      </c>
      <c r="AM409" s="274">
        <f t="shared" si="254"/>
        <v>0.87</v>
      </c>
      <c r="AN409" s="274">
        <f t="shared" si="255"/>
        <v>0.87</v>
      </c>
      <c r="AO409" s="262"/>
      <c r="AP409" s="262"/>
      <c r="AQ409" s="267">
        <v>158.21234468156055</v>
      </c>
      <c r="AR409" s="262"/>
      <c r="AS409" s="266">
        <f t="shared" si="256"/>
        <v>0</v>
      </c>
      <c r="AT409" s="264">
        <f t="shared" si="257"/>
        <v>0</v>
      </c>
      <c r="AU409" s="262"/>
      <c r="AV409" s="262"/>
      <c r="AW409" s="265">
        <v>321.5560729764652</v>
      </c>
      <c r="AX409" s="164" t="s">
        <v>2397</v>
      </c>
      <c r="AY409" s="266">
        <v>0</v>
      </c>
      <c r="AZ409" s="266">
        <f t="shared" si="258"/>
        <v>0</v>
      </c>
      <c r="BA409" s="264">
        <f t="shared" si="259"/>
        <v>0</v>
      </c>
      <c r="BB409" s="262"/>
      <c r="BC409" s="262"/>
      <c r="BD409" s="265">
        <f ca="1">IFERROR(INDEX(Algorithms!$G:$G,MATCH($C409&amp;"_Therm Saved per Unit",Algorithms!$A:$A,0)),0)</f>
        <v>321.5560729764652</v>
      </c>
      <c r="BE409" s="164" t="str">
        <f ca="1">IFERROR(INDEX('v12 Revisions'!$P$29:$P$186, MATCH('Measure-Level Adj Gas'!$L409, 'v12 Revisions'!$D$29:$D$186,0)),"")</f>
        <v>n/a - costs only.</v>
      </c>
      <c r="BF409" s="266">
        <f t="shared" ca="1" si="260"/>
        <v>0</v>
      </c>
      <c r="BG409" s="264">
        <f t="shared" ca="1" si="261"/>
        <v>0</v>
      </c>
      <c r="BH409" s="262"/>
      <c r="BI409" s="262"/>
      <c r="BJ409" s="265">
        <f ca="1">IFERROR(INDEX(Algorithms!$G:$G,MATCH($C409&amp;"_Therm Saved per Unit",Algorithms!$A:$A,0)),0)</f>
        <v>321.5560729764652</v>
      </c>
      <c r="BK409" s="164"/>
      <c r="BL409" s="266">
        <f t="shared" ca="1" si="262"/>
        <v>0</v>
      </c>
      <c r="BM409" s="264">
        <f t="shared" ca="1" si="263"/>
        <v>0</v>
      </c>
      <c r="BN409" s="266">
        <f t="shared" si="264"/>
        <v>0</v>
      </c>
      <c r="BO409" s="266">
        <f t="shared" si="265"/>
        <v>0</v>
      </c>
      <c r="BP409" s="266">
        <f t="shared" ca="1" si="266"/>
        <v>0</v>
      </c>
      <c r="BQ409" s="266">
        <f t="shared" ca="1" si="267"/>
        <v>0</v>
      </c>
      <c r="BR409" s="268">
        <f t="shared" ca="1" si="268"/>
        <v>0</v>
      </c>
      <c r="BS409" s="262" t="s">
        <v>99</v>
      </c>
      <c r="BT409" s="277"/>
      <c r="BW409" s="266">
        <f t="shared" si="269"/>
        <v>0</v>
      </c>
      <c r="BX409" s="266">
        <f t="shared" si="270"/>
        <v>0</v>
      </c>
      <c r="BY409" s="266">
        <f t="shared" si="271"/>
        <v>0</v>
      </c>
      <c r="BZ409" s="266">
        <f t="shared" si="272"/>
        <v>0</v>
      </c>
      <c r="CA409" s="266">
        <f ca="1">N409*IFERROR(INDEX(Algorithms!$G:$G,MATCH($C409&amp;"_Therm Saved per Unit- MLA",Algorithms!$A:$A,0)),0)*X409</f>
        <v>0</v>
      </c>
      <c r="CB409" s="266">
        <f ca="1">O409*IFERROR(INDEX(Algorithms!$G:$G,MATCH($C409&amp;"_Therm Saved per Unit- MLA",Algorithms!$A:$A,0)),0)*Y409</f>
        <v>0</v>
      </c>
      <c r="CC409" s="266">
        <f ca="1">P409*IFERROR(INDEX(Algorithms!$G:$G,MATCH($C409&amp;"_Therm Saved per Unit- MLA",Algorithms!$A:$A,0)),0)*Z409</f>
        <v>0</v>
      </c>
      <c r="CD409" s="266">
        <f ca="1">Q409*IFERROR(INDEX(Algorithms!$G:$G,MATCH($C409&amp;"_Therm Saved per Unit- MLA",Algorithms!$A:$A,0)),0)*AA409</f>
        <v>0</v>
      </c>
      <c r="CE409" s="266">
        <f ca="1">IFERROR(INDEX(Algorithms!$G:$G,MATCH($C409&amp;"_Lifetime (years)",Algorithms!$A:$A,0)),0)</f>
        <v>6</v>
      </c>
      <c r="CF409" s="266">
        <f ca="1">IFERROR(INDEX(Algorithms!$G:$G,MATCH($C409&amp;"_Lifetime (years) - Remaining Years",Algorithms!$A:$A,0)),0)</f>
        <v>0</v>
      </c>
      <c r="CG409" s="266">
        <f t="shared" ca="1" si="273"/>
        <v>0</v>
      </c>
      <c r="CH409" s="266">
        <f t="shared" ca="1" si="274"/>
        <v>0</v>
      </c>
      <c r="CI409" s="266">
        <f t="shared" ca="1" si="275"/>
        <v>0</v>
      </c>
      <c r="CJ409" s="266">
        <f t="shared" ca="1" si="276"/>
        <v>0</v>
      </c>
      <c r="CK409" s="266">
        <f t="shared" si="277"/>
        <v>0</v>
      </c>
      <c r="CL409" s="266">
        <f t="shared" si="278"/>
        <v>0</v>
      </c>
      <c r="CM409" s="266">
        <f t="shared" ca="1" si="279"/>
        <v>0</v>
      </c>
      <c r="CN409" s="266">
        <f t="shared" ca="1" si="280"/>
        <v>0</v>
      </c>
      <c r="CO409" s="266">
        <f ca="1">N409*IFERROR(INDEX(Algorithms!$G:$G,MATCH($C409&amp;"_Therm Saved per Unit- MLA",Algorithms!$A:$A,0)),0)*X409</f>
        <v>0</v>
      </c>
      <c r="CP409" s="266">
        <f ca="1">O409*IFERROR(INDEX(Algorithms!$G:$G,MATCH($C409&amp;"_Therm Saved per Unit- MLA",Algorithms!$A:$A,0)),0)*Y409</f>
        <v>0</v>
      </c>
      <c r="CQ409" s="266">
        <f ca="1">P409*IFERROR(INDEX(Algorithms!$G:$G,MATCH($C409&amp;"_Therm Saved per Unit- MLA",Algorithms!$A:$A,0)),0)*Z409</f>
        <v>0</v>
      </c>
      <c r="CR409" s="266">
        <f ca="1">Q409*IFERROR(INDEX(Algorithms!$G:$G,MATCH($C409&amp;"_Therm Saved per Unit- MLA",Algorithms!$A:$A,0)),0)*AA409</f>
        <v>0</v>
      </c>
      <c r="CS409" s="266">
        <f ca="1">IFERROR(INDEX(Algorithms!$G:$G,MATCH($C409&amp;"_Lifetime (years)",Algorithms!$A:$A,0)),0)</f>
        <v>6</v>
      </c>
      <c r="CT409" s="266">
        <f ca="1">IFERROR(INDEX(Algorithms!$G:$G,MATCH($C409&amp;"_Lifetime (years) - Remaining Years",Algorithms!$A:$A,0)),0)</f>
        <v>0</v>
      </c>
      <c r="CU409" s="266">
        <f t="shared" ca="1" si="281"/>
        <v>0</v>
      </c>
      <c r="CV409" s="266">
        <f t="shared" ca="1" si="282"/>
        <v>0</v>
      </c>
      <c r="CW409" s="266">
        <f t="shared" ca="1" si="283"/>
        <v>0</v>
      </c>
      <c r="CX409" s="266">
        <f t="shared" ca="1" si="284"/>
        <v>0</v>
      </c>
    </row>
    <row r="410" spans="2:102" s="47" customFormat="1" ht="18" customHeight="1" x14ac:dyDescent="0.25">
      <c r="B410" t="str">
        <f t="shared" si="285"/>
        <v>NSG_Residential_Multi-Family_Partner Trade Ally Rebate_Steam Traps_Industrial/Process Audit - 15 &lt; psig &lt; 30_MF</v>
      </c>
      <c r="C410" s="47" t="str">
        <f t="shared" si="246"/>
        <v>Steam Traps_Industrial/Process Audit - 15 &lt; psig &lt; 30_MF</v>
      </c>
      <c r="D410" s="270" t="s">
        <v>1787</v>
      </c>
      <c r="E410" s="270" t="s">
        <v>2</v>
      </c>
      <c r="F410" s="270" t="s">
        <v>1422</v>
      </c>
      <c r="G410" s="270" t="s">
        <v>1799</v>
      </c>
      <c r="H410" s="270" t="s">
        <v>644</v>
      </c>
      <c r="I410" s="270" t="s">
        <v>1384</v>
      </c>
      <c r="J410" s="270" t="s">
        <v>553</v>
      </c>
      <c r="K410" s="263">
        <v>1</v>
      </c>
      <c r="L410" s="263" t="str">
        <f ca="1">IFERROR(INDEX(Algorithms!J:J,MATCH($C410&amp;"_Therm Saved per Unit",Algorithms!$A:$A,0)),"n/a")</f>
        <v>4.4.16</v>
      </c>
      <c r="M410" s="263" t="str">
        <f>IFERROR(INDEX('Measure Level Detail'!$N:$N,MATCH($B410,'Measure Level Detail'!$B:$B,0)),0)</f>
        <v>each</v>
      </c>
      <c r="N410" s="271">
        <f>IFERROR(INDEX('Measure Level Detail'!$P:$P,MATCH($B410&amp;"_"&amp;N$3,'Measure Level Detail'!$C:$C,0)),0)</f>
        <v>0</v>
      </c>
      <c r="O410" s="271">
        <f>IFERROR(INDEX('Measure Level Detail'!$P:$P,MATCH($B410&amp;"_"&amp;O$3,'Measure Level Detail'!$C:$C,0)),0)</f>
        <v>0</v>
      </c>
      <c r="P410" s="271">
        <f>IFERROR(INDEX('Measure Level Detail'!$P:$P,MATCH($B410&amp;"_"&amp;P$3,'Measure Level Detail'!$C:$C,0)),0)</f>
        <v>0</v>
      </c>
      <c r="Q410" s="271">
        <f>IFERROR(INDEX('Measure Level Detail'!$P:$P,MATCH($B410&amp;"_"&amp;Q$3,'Measure Level Detail'!$C:$C,0)),0)</f>
        <v>0</v>
      </c>
      <c r="R410" s="263" t="str">
        <f ca="1">IFERROR(INDEX(Algorithms!K:K,MATCH($C410&amp;"_Therm Saved per Unit",Algorithms!$A:$A,0)),"n/a")</f>
        <v>CI-HVC-STRE-V10-240101</v>
      </c>
      <c r="S410" s="262"/>
      <c r="T410" s="272">
        <v>152.05519050678893</v>
      </c>
      <c r="U410" s="272">
        <v>152.05519050678893</v>
      </c>
      <c r="V410" s="272">
        <v>152.05519050678893</v>
      </c>
      <c r="W410" s="272">
        <v>152.05519050678893</v>
      </c>
      <c r="X410" s="273">
        <f>IFERROR(INDEX('Measure Level Detail'!$R:$R,MATCH($B410&amp;"_"&amp;X$3,'Measure Level Detail'!$C:$C,0)),0)</f>
        <v>0.87</v>
      </c>
      <c r="Y410" s="273">
        <f>IFERROR(INDEX('Measure Level Detail'!$R:$R,MATCH($B410&amp;"_"&amp;Y$3,'Measure Level Detail'!$C:$C,0)),0)</f>
        <v>0.87</v>
      </c>
      <c r="Z410" s="273">
        <f>IFERROR(INDEX('Measure Level Detail'!$R:$R,MATCH($B410&amp;"_"&amp;Z$3,'Measure Level Detail'!$C:$C,0)),0)</f>
        <v>0.87</v>
      </c>
      <c r="AA410" s="273">
        <f>IFERROR(INDEX('Measure Level Detail'!$R:$R,MATCH($B410&amp;"_"&amp;AA$3,'Measure Level Detail'!$C:$C,0)),0)</f>
        <v>0.87</v>
      </c>
      <c r="AB410" s="266">
        <f t="shared" si="247"/>
        <v>0</v>
      </c>
      <c r="AC410" s="266">
        <f t="shared" si="248"/>
        <v>0</v>
      </c>
      <c r="AD410" s="266">
        <f t="shared" si="249"/>
        <v>0</v>
      </c>
      <c r="AE410" s="266">
        <f t="shared" si="250"/>
        <v>0</v>
      </c>
      <c r="AF410" s="266">
        <f t="shared" si="251"/>
        <v>0</v>
      </c>
      <c r="AG410" s="274">
        <v>0.87</v>
      </c>
      <c r="AH410" s="274">
        <v>0.87</v>
      </c>
      <c r="AI410" s="710">
        <v>0.88</v>
      </c>
      <c r="AJ410" s="710">
        <v>0.88</v>
      </c>
      <c r="AK410" s="274">
        <f t="shared" si="252"/>
        <v>0.87</v>
      </c>
      <c r="AL410" s="274">
        <f t="shared" si="253"/>
        <v>0.87</v>
      </c>
      <c r="AM410" s="274">
        <f t="shared" si="254"/>
        <v>0.87</v>
      </c>
      <c r="AN410" s="274">
        <f t="shared" si="255"/>
        <v>0.87</v>
      </c>
      <c r="AO410" s="262"/>
      <c r="AP410" s="262"/>
      <c r="AQ410" s="267">
        <v>152.05519050678893</v>
      </c>
      <c r="AR410" s="262"/>
      <c r="AS410" s="266">
        <f t="shared" si="256"/>
        <v>0</v>
      </c>
      <c r="AT410" s="264">
        <f t="shared" si="257"/>
        <v>0</v>
      </c>
      <c r="AU410" s="262"/>
      <c r="AV410" s="262"/>
      <c r="AW410" s="265">
        <v>152.05519050678893</v>
      </c>
      <c r="AX410" s="164" t="s">
        <v>2397</v>
      </c>
      <c r="AY410" s="266">
        <v>0</v>
      </c>
      <c r="AZ410" s="266">
        <f t="shared" si="258"/>
        <v>0</v>
      </c>
      <c r="BA410" s="264">
        <f t="shared" si="259"/>
        <v>0</v>
      </c>
      <c r="BB410" s="262"/>
      <c r="BC410" s="262"/>
      <c r="BD410" s="265">
        <f ca="1">IFERROR(INDEX(Algorithms!$G:$G,MATCH($C410&amp;"_Therm Saved per Unit",Algorithms!$A:$A,0)),0)</f>
        <v>152.05519050678893</v>
      </c>
      <c r="BE410" s="164" t="str">
        <f ca="1">IFERROR(INDEX('v12 Revisions'!$P$29:$P$186, MATCH('Measure-Level Adj Gas'!$L410, 'v12 Revisions'!$D$29:$D$186,0)),"")</f>
        <v>n/a - costs only.</v>
      </c>
      <c r="BF410" s="266">
        <f t="shared" ca="1" si="260"/>
        <v>0</v>
      </c>
      <c r="BG410" s="264">
        <f t="shared" ca="1" si="261"/>
        <v>0</v>
      </c>
      <c r="BH410" s="262"/>
      <c r="BI410" s="262"/>
      <c r="BJ410" s="265">
        <f ca="1">IFERROR(INDEX(Algorithms!$G:$G,MATCH($C410&amp;"_Therm Saved per Unit",Algorithms!$A:$A,0)),0)</f>
        <v>152.05519050678893</v>
      </c>
      <c r="BK410" s="164"/>
      <c r="BL410" s="266">
        <f t="shared" ca="1" si="262"/>
        <v>0</v>
      </c>
      <c r="BM410" s="264">
        <f t="shared" ca="1" si="263"/>
        <v>0</v>
      </c>
      <c r="BN410" s="266">
        <f t="shared" si="264"/>
        <v>0</v>
      </c>
      <c r="BO410" s="266">
        <f t="shared" si="265"/>
        <v>0</v>
      </c>
      <c r="BP410" s="266">
        <f t="shared" ca="1" si="266"/>
        <v>0</v>
      </c>
      <c r="BQ410" s="266">
        <f t="shared" ca="1" si="267"/>
        <v>0</v>
      </c>
      <c r="BR410" s="268">
        <f t="shared" ca="1" si="268"/>
        <v>0</v>
      </c>
      <c r="BS410" s="262" t="s">
        <v>99</v>
      </c>
      <c r="BT410" s="277"/>
      <c r="BW410" s="266">
        <f t="shared" si="269"/>
        <v>0</v>
      </c>
      <c r="BX410" s="266">
        <f t="shared" si="270"/>
        <v>0</v>
      </c>
      <c r="BY410" s="266">
        <f t="shared" si="271"/>
        <v>0</v>
      </c>
      <c r="BZ410" s="266">
        <f t="shared" si="272"/>
        <v>0</v>
      </c>
      <c r="CA410" s="266">
        <f ca="1">N410*IFERROR(INDEX(Algorithms!$G:$G,MATCH($C410&amp;"_Therm Saved per Unit- MLA",Algorithms!$A:$A,0)),0)*X410</f>
        <v>0</v>
      </c>
      <c r="CB410" s="266">
        <f ca="1">O410*IFERROR(INDEX(Algorithms!$G:$G,MATCH($C410&amp;"_Therm Saved per Unit- MLA",Algorithms!$A:$A,0)),0)*Y410</f>
        <v>0</v>
      </c>
      <c r="CC410" s="266">
        <f ca="1">P410*IFERROR(INDEX(Algorithms!$G:$G,MATCH($C410&amp;"_Therm Saved per Unit- MLA",Algorithms!$A:$A,0)),0)*Z410</f>
        <v>0</v>
      </c>
      <c r="CD410" s="266">
        <f ca="1">Q410*IFERROR(INDEX(Algorithms!$G:$G,MATCH($C410&amp;"_Therm Saved per Unit- MLA",Algorithms!$A:$A,0)),0)*AA410</f>
        <v>0</v>
      </c>
      <c r="CE410" s="266">
        <f ca="1">IFERROR(INDEX(Algorithms!$G:$G,MATCH($C410&amp;"_Lifetime (years)",Algorithms!$A:$A,0)),0)</f>
        <v>6</v>
      </c>
      <c r="CF410" s="266">
        <f ca="1">IFERROR(INDEX(Algorithms!$G:$G,MATCH($C410&amp;"_Lifetime (years) - Remaining Years",Algorithms!$A:$A,0)),0)</f>
        <v>0</v>
      </c>
      <c r="CG410" s="266">
        <f t="shared" ca="1" si="273"/>
        <v>0</v>
      </c>
      <c r="CH410" s="266">
        <f t="shared" ca="1" si="274"/>
        <v>0</v>
      </c>
      <c r="CI410" s="266">
        <f t="shared" ca="1" si="275"/>
        <v>0</v>
      </c>
      <c r="CJ410" s="266">
        <f t="shared" ca="1" si="276"/>
        <v>0</v>
      </c>
      <c r="CK410" s="266">
        <f t="shared" si="277"/>
        <v>0</v>
      </c>
      <c r="CL410" s="266">
        <f t="shared" si="278"/>
        <v>0</v>
      </c>
      <c r="CM410" s="266">
        <f t="shared" ca="1" si="279"/>
        <v>0</v>
      </c>
      <c r="CN410" s="266">
        <f t="shared" ca="1" si="280"/>
        <v>0</v>
      </c>
      <c r="CO410" s="266">
        <f ca="1">N410*IFERROR(INDEX(Algorithms!$G:$G,MATCH($C410&amp;"_Therm Saved per Unit- MLA",Algorithms!$A:$A,0)),0)*X410</f>
        <v>0</v>
      </c>
      <c r="CP410" s="266">
        <f ca="1">O410*IFERROR(INDEX(Algorithms!$G:$G,MATCH($C410&amp;"_Therm Saved per Unit- MLA",Algorithms!$A:$A,0)),0)*Y410</f>
        <v>0</v>
      </c>
      <c r="CQ410" s="266">
        <f ca="1">P410*IFERROR(INDEX(Algorithms!$G:$G,MATCH($C410&amp;"_Therm Saved per Unit- MLA",Algorithms!$A:$A,0)),0)*Z410</f>
        <v>0</v>
      </c>
      <c r="CR410" s="266">
        <f ca="1">Q410*IFERROR(INDEX(Algorithms!$G:$G,MATCH($C410&amp;"_Therm Saved per Unit- MLA",Algorithms!$A:$A,0)),0)*AA410</f>
        <v>0</v>
      </c>
      <c r="CS410" s="266">
        <f ca="1">IFERROR(INDEX(Algorithms!$G:$G,MATCH($C410&amp;"_Lifetime (years)",Algorithms!$A:$A,0)),0)</f>
        <v>6</v>
      </c>
      <c r="CT410" s="266">
        <f ca="1">IFERROR(INDEX(Algorithms!$G:$G,MATCH($C410&amp;"_Lifetime (years) - Remaining Years",Algorithms!$A:$A,0)),0)</f>
        <v>0</v>
      </c>
      <c r="CU410" s="266">
        <f t="shared" ca="1" si="281"/>
        <v>0</v>
      </c>
      <c r="CV410" s="266">
        <f t="shared" ca="1" si="282"/>
        <v>0</v>
      </c>
      <c r="CW410" s="266">
        <f t="shared" ca="1" si="283"/>
        <v>0</v>
      </c>
      <c r="CX410" s="266">
        <f t="shared" ca="1" si="284"/>
        <v>0</v>
      </c>
    </row>
    <row r="411" spans="2:102" s="47" customFormat="1" ht="18" customHeight="1" x14ac:dyDescent="0.25">
      <c r="B411" t="str">
        <f t="shared" si="285"/>
        <v>NSG_Residential_Multi-Family_Partner Trade Ally Rebate_Steam Traps_Industrial/Process Audit - 30 ≤ psig &lt; 75_MF</v>
      </c>
      <c r="C411" s="47" t="str">
        <f t="shared" si="246"/>
        <v>Steam Traps_Industrial/Process Audit - 30 ≤ psig &lt; 75_MF</v>
      </c>
      <c r="D411" s="270" t="s">
        <v>1787</v>
      </c>
      <c r="E411" s="270" t="s">
        <v>2</v>
      </c>
      <c r="F411" s="270" t="s">
        <v>1422</v>
      </c>
      <c r="G411" s="270" t="s">
        <v>1799</v>
      </c>
      <c r="H411" s="270" t="s">
        <v>644</v>
      </c>
      <c r="I411" s="270" t="s">
        <v>1385</v>
      </c>
      <c r="J411" s="270" t="s">
        <v>553</v>
      </c>
      <c r="K411" s="263">
        <v>1</v>
      </c>
      <c r="L411" s="263" t="str">
        <f ca="1">IFERROR(INDEX(Algorithms!J:J,MATCH($C411&amp;"_Therm Saved per Unit",Algorithms!$A:$A,0)),"n/a")</f>
        <v>4.4.16</v>
      </c>
      <c r="M411" s="263" t="str">
        <f>IFERROR(INDEX('Measure Level Detail'!$N:$N,MATCH($B411,'Measure Level Detail'!$B:$B,0)),0)</f>
        <v>each</v>
      </c>
      <c r="N411" s="271">
        <f>IFERROR(INDEX('Measure Level Detail'!$P:$P,MATCH($B411&amp;"_"&amp;N$3,'Measure Level Detail'!$C:$C,0)),0)</f>
        <v>0</v>
      </c>
      <c r="O411" s="271">
        <f>IFERROR(INDEX('Measure Level Detail'!$P:$P,MATCH($B411&amp;"_"&amp;O$3,'Measure Level Detail'!$C:$C,0)),0)</f>
        <v>0</v>
      </c>
      <c r="P411" s="271">
        <f>IFERROR(INDEX('Measure Level Detail'!$P:$P,MATCH($B411&amp;"_"&amp;P$3,'Measure Level Detail'!$C:$C,0)),0)</f>
        <v>0</v>
      </c>
      <c r="Q411" s="271">
        <f>IFERROR(INDEX('Measure Level Detail'!$P:$P,MATCH($B411&amp;"_"&amp;Q$3,'Measure Level Detail'!$C:$C,0)),0)</f>
        <v>0</v>
      </c>
      <c r="R411" s="263" t="str">
        <f ca="1">IFERROR(INDEX(Algorithms!K:K,MATCH($C411&amp;"_Therm Saved per Unit",Algorithms!$A:$A,0)),"n/a")</f>
        <v>CI-HVC-STRE-V10-240101</v>
      </c>
      <c r="S411" s="262"/>
      <c r="T411" s="272">
        <v>557.07551065314806</v>
      </c>
      <c r="U411" s="272">
        <v>557.07551065314806</v>
      </c>
      <c r="V411" s="272">
        <v>557.07551065314806</v>
      </c>
      <c r="W411" s="272">
        <v>557.07551065314806</v>
      </c>
      <c r="X411" s="273">
        <f>IFERROR(INDEX('Measure Level Detail'!$R:$R,MATCH($B411&amp;"_"&amp;X$3,'Measure Level Detail'!$C:$C,0)),0)</f>
        <v>0.87</v>
      </c>
      <c r="Y411" s="273">
        <f>IFERROR(INDEX('Measure Level Detail'!$R:$R,MATCH($B411&amp;"_"&amp;Y$3,'Measure Level Detail'!$C:$C,0)),0)</f>
        <v>0.87</v>
      </c>
      <c r="Z411" s="273">
        <f>IFERROR(INDEX('Measure Level Detail'!$R:$R,MATCH($B411&amp;"_"&amp;Z$3,'Measure Level Detail'!$C:$C,0)),0)</f>
        <v>0.87</v>
      </c>
      <c r="AA411" s="273">
        <f>IFERROR(INDEX('Measure Level Detail'!$R:$R,MATCH($B411&amp;"_"&amp;AA$3,'Measure Level Detail'!$C:$C,0)),0)</f>
        <v>0.87</v>
      </c>
      <c r="AB411" s="266">
        <f t="shared" si="247"/>
        <v>0</v>
      </c>
      <c r="AC411" s="266">
        <f t="shared" si="248"/>
        <v>0</v>
      </c>
      <c r="AD411" s="266">
        <f t="shared" si="249"/>
        <v>0</v>
      </c>
      <c r="AE411" s="266">
        <f t="shared" si="250"/>
        <v>0</v>
      </c>
      <c r="AF411" s="266">
        <f t="shared" si="251"/>
        <v>0</v>
      </c>
      <c r="AG411" s="274">
        <v>0.87</v>
      </c>
      <c r="AH411" s="274">
        <v>0.87</v>
      </c>
      <c r="AI411" s="710">
        <v>0.88</v>
      </c>
      <c r="AJ411" s="710">
        <v>0.88</v>
      </c>
      <c r="AK411" s="274">
        <f t="shared" si="252"/>
        <v>0.87</v>
      </c>
      <c r="AL411" s="274">
        <f t="shared" si="253"/>
        <v>0.87</v>
      </c>
      <c r="AM411" s="274">
        <f t="shared" si="254"/>
        <v>0.87</v>
      </c>
      <c r="AN411" s="274">
        <f t="shared" si="255"/>
        <v>0.87</v>
      </c>
      <c r="AO411" s="262"/>
      <c r="AP411" s="262"/>
      <c r="AQ411" s="267">
        <v>557.07551065314806</v>
      </c>
      <c r="AR411" s="262"/>
      <c r="AS411" s="266">
        <f t="shared" si="256"/>
        <v>0</v>
      </c>
      <c r="AT411" s="264">
        <f t="shared" si="257"/>
        <v>0</v>
      </c>
      <c r="AU411" s="262"/>
      <c r="AV411" s="262"/>
      <c r="AW411" s="265">
        <v>557.07551065314806</v>
      </c>
      <c r="AX411" s="164" t="s">
        <v>2397</v>
      </c>
      <c r="AY411" s="266">
        <v>0</v>
      </c>
      <c r="AZ411" s="266">
        <f t="shared" si="258"/>
        <v>0</v>
      </c>
      <c r="BA411" s="264">
        <f t="shared" si="259"/>
        <v>0</v>
      </c>
      <c r="BB411" s="262"/>
      <c r="BC411" s="262"/>
      <c r="BD411" s="265">
        <f ca="1">IFERROR(INDEX(Algorithms!$G:$G,MATCH($C411&amp;"_Therm Saved per Unit",Algorithms!$A:$A,0)),0)</f>
        <v>557.07551065314806</v>
      </c>
      <c r="BE411" s="164" t="str">
        <f ca="1">IFERROR(INDEX('v12 Revisions'!$P$29:$P$186, MATCH('Measure-Level Adj Gas'!$L411, 'v12 Revisions'!$D$29:$D$186,0)),"")</f>
        <v>n/a - costs only.</v>
      </c>
      <c r="BF411" s="266">
        <f t="shared" ca="1" si="260"/>
        <v>0</v>
      </c>
      <c r="BG411" s="264">
        <f t="shared" ca="1" si="261"/>
        <v>0</v>
      </c>
      <c r="BH411" s="262"/>
      <c r="BI411" s="262"/>
      <c r="BJ411" s="265">
        <f ca="1">IFERROR(INDEX(Algorithms!$G:$G,MATCH($C411&amp;"_Therm Saved per Unit",Algorithms!$A:$A,0)),0)</f>
        <v>557.07551065314806</v>
      </c>
      <c r="BK411" s="164"/>
      <c r="BL411" s="266">
        <f t="shared" ca="1" si="262"/>
        <v>0</v>
      </c>
      <c r="BM411" s="264">
        <f t="shared" ca="1" si="263"/>
        <v>0</v>
      </c>
      <c r="BN411" s="266">
        <f t="shared" si="264"/>
        <v>0</v>
      </c>
      <c r="BO411" s="266">
        <f t="shared" si="265"/>
        <v>0</v>
      </c>
      <c r="BP411" s="266">
        <f t="shared" ca="1" si="266"/>
        <v>0</v>
      </c>
      <c r="BQ411" s="266">
        <f t="shared" ca="1" si="267"/>
        <v>0</v>
      </c>
      <c r="BR411" s="268">
        <f t="shared" ca="1" si="268"/>
        <v>0</v>
      </c>
      <c r="BS411" s="262" t="s">
        <v>99</v>
      </c>
      <c r="BT411" s="277"/>
      <c r="BW411" s="266">
        <f t="shared" si="269"/>
        <v>0</v>
      </c>
      <c r="BX411" s="266">
        <f t="shared" si="270"/>
        <v>0</v>
      </c>
      <c r="BY411" s="266">
        <f t="shared" si="271"/>
        <v>0</v>
      </c>
      <c r="BZ411" s="266">
        <f t="shared" si="272"/>
        <v>0</v>
      </c>
      <c r="CA411" s="266">
        <f ca="1">N411*IFERROR(INDEX(Algorithms!$G:$G,MATCH($C411&amp;"_Therm Saved per Unit- MLA",Algorithms!$A:$A,0)),0)*X411</f>
        <v>0</v>
      </c>
      <c r="CB411" s="266">
        <f ca="1">O411*IFERROR(INDEX(Algorithms!$G:$G,MATCH($C411&amp;"_Therm Saved per Unit- MLA",Algorithms!$A:$A,0)),0)*Y411</f>
        <v>0</v>
      </c>
      <c r="CC411" s="266">
        <f ca="1">P411*IFERROR(INDEX(Algorithms!$G:$G,MATCH($C411&amp;"_Therm Saved per Unit- MLA",Algorithms!$A:$A,0)),0)*Z411</f>
        <v>0</v>
      </c>
      <c r="CD411" s="266">
        <f ca="1">Q411*IFERROR(INDEX(Algorithms!$G:$G,MATCH($C411&amp;"_Therm Saved per Unit- MLA",Algorithms!$A:$A,0)),0)*AA411</f>
        <v>0</v>
      </c>
      <c r="CE411" s="266">
        <f ca="1">IFERROR(INDEX(Algorithms!$G:$G,MATCH($C411&amp;"_Lifetime (years)",Algorithms!$A:$A,0)),0)</f>
        <v>6</v>
      </c>
      <c r="CF411" s="266">
        <f ca="1">IFERROR(INDEX(Algorithms!$G:$G,MATCH($C411&amp;"_Lifetime (years) - Remaining Years",Algorithms!$A:$A,0)),0)</f>
        <v>0</v>
      </c>
      <c r="CG411" s="266">
        <f t="shared" ca="1" si="273"/>
        <v>0</v>
      </c>
      <c r="CH411" s="266">
        <f t="shared" ca="1" si="274"/>
        <v>0</v>
      </c>
      <c r="CI411" s="266">
        <f t="shared" ca="1" si="275"/>
        <v>0</v>
      </c>
      <c r="CJ411" s="266">
        <f t="shared" ca="1" si="276"/>
        <v>0</v>
      </c>
      <c r="CK411" s="266">
        <f t="shared" si="277"/>
        <v>0</v>
      </c>
      <c r="CL411" s="266">
        <f t="shared" si="278"/>
        <v>0</v>
      </c>
      <c r="CM411" s="266">
        <f t="shared" ca="1" si="279"/>
        <v>0</v>
      </c>
      <c r="CN411" s="266">
        <f t="shared" ca="1" si="280"/>
        <v>0</v>
      </c>
      <c r="CO411" s="266">
        <f ca="1">N411*IFERROR(INDEX(Algorithms!$G:$G,MATCH($C411&amp;"_Therm Saved per Unit- MLA",Algorithms!$A:$A,0)),0)*X411</f>
        <v>0</v>
      </c>
      <c r="CP411" s="266">
        <f ca="1">O411*IFERROR(INDEX(Algorithms!$G:$G,MATCH($C411&amp;"_Therm Saved per Unit- MLA",Algorithms!$A:$A,0)),0)*Y411</f>
        <v>0</v>
      </c>
      <c r="CQ411" s="266">
        <f ca="1">P411*IFERROR(INDEX(Algorithms!$G:$G,MATCH($C411&amp;"_Therm Saved per Unit- MLA",Algorithms!$A:$A,0)),0)*Z411</f>
        <v>0</v>
      </c>
      <c r="CR411" s="266">
        <f ca="1">Q411*IFERROR(INDEX(Algorithms!$G:$G,MATCH($C411&amp;"_Therm Saved per Unit- MLA",Algorithms!$A:$A,0)),0)*AA411</f>
        <v>0</v>
      </c>
      <c r="CS411" s="266">
        <f ca="1">IFERROR(INDEX(Algorithms!$G:$G,MATCH($C411&amp;"_Lifetime (years)",Algorithms!$A:$A,0)),0)</f>
        <v>6</v>
      </c>
      <c r="CT411" s="266">
        <f ca="1">IFERROR(INDEX(Algorithms!$G:$G,MATCH($C411&amp;"_Lifetime (years) - Remaining Years",Algorithms!$A:$A,0)),0)</f>
        <v>0</v>
      </c>
      <c r="CU411" s="266">
        <f t="shared" ca="1" si="281"/>
        <v>0</v>
      </c>
      <c r="CV411" s="266">
        <f t="shared" ca="1" si="282"/>
        <v>0</v>
      </c>
      <c r="CW411" s="266">
        <f t="shared" ca="1" si="283"/>
        <v>0</v>
      </c>
      <c r="CX411" s="266">
        <f t="shared" ca="1" si="284"/>
        <v>0</v>
      </c>
    </row>
    <row r="412" spans="2:102" s="47" customFormat="1" ht="18" customHeight="1" x14ac:dyDescent="0.25">
      <c r="B412" t="str">
        <f t="shared" si="285"/>
        <v>NSG_Residential_Multi-Family_Partner Trade Ally Rebate_Steam Traps_Industrial/Process Audit - 75 ≤ psig &lt; 125_MF</v>
      </c>
      <c r="C412" s="47" t="str">
        <f t="shared" si="246"/>
        <v>Steam Traps_Industrial/Process Audit - 75 ≤ psig &lt; 125_MF</v>
      </c>
      <c r="D412" s="270" t="s">
        <v>1787</v>
      </c>
      <c r="E412" s="270" t="s">
        <v>2</v>
      </c>
      <c r="F412" s="270" t="s">
        <v>1422</v>
      </c>
      <c r="G412" s="270" t="s">
        <v>1799</v>
      </c>
      <c r="H412" s="270" t="s">
        <v>644</v>
      </c>
      <c r="I412" s="270" t="s">
        <v>1386</v>
      </c>
      <c r="J412" s="270" t="s">
        <v>553</v>
      </c>
      <c r="K412" s="263">
        <v>1</v>
      </c>
      <c r="L412" s="263" t="str">
        <f ca="1">IFERROR(INDEX(Algorithms!J:J,MATCH($C412&amp;"_Therm Saved per Unit",Algorithms!$A:$A,0)),"n/a")</f>
        <v>4.4.16</v>
      </c>
      <c r="M412" s="263" t="str">
        <f>IFERROR(INDEX('Measure Level Detail'!$N:$N,MATCH($B412,'Measure Level Detail'!$B:$B,0)),0)</f>
        <v>each</v>
      </c>
      <c r="N412" s="271">
        <f>IFERROR(INDEX('Measure Level Detail'!$P:$P,MATCH($B412&amp;"_"&amp;N$3,'Measure Level Detail'!$C:$C,0)),0)</f>
        <v>0</v>
      </c>
      <c r="O412" s="271">
        <f>IFERROR(INDEX('Measure Level Detail'!$P:$P,MATCH($B412&amp;"_"&amp;O$3,'Measure Level Detail'!$C:$C,0)),0)</f>
        <v>0</v>
      </c>
      <c r="P412" s="271">
        <f>IFERROR(INDEX('Measure Level Detail'!$P:$P,MATCH($B412&amp;"_"&amp;P$3,'Measure Level Detail'!$C:$C,0)),0)</f>
        <v>0</v>
      </c>
      <c r="Q412" s="271">
        <f>IFERROR(INDEX('Measure Level Detail'!$P:$P,MATCH($B412&amp;"_"&amp;Q$3,'Measure Level Detail'!$C:$C,0)),0)</f>
        <v>0</v>
      </c>
      <c r="R412" s="263" t="str">
        <f ca="1">IFERROR(INDEX(Algorithms!K:K,MATCH($C412&amp;"_Therm Saved per Unit",Algorithms!$A:$A,0)),"n/a")</f>
        <v>CI-HVC-STRE-V10-240101</v>
      </c>
      <c r="S412" s="262"/>
      <c r="T412" s="272">
        <v>1053.6644788659491</v>
      </c>
      <c r="U412" s="272">
        <v>1053.6644788659491</v>
      </c>
      <c r="V412" s="272">
        <v>1053.6644788659491</v>
      </c>
      <c r="W412" s="272">
        <v>1053.6644788659491</v>
      </c>
      <c r="X412" s="273">
        <f>IFERROR(INDEX('Measure Level Detail'!$R:$R,MATCH($B412&amp;"_"&amp;X$3,'Measure Level Detail'!$C:$C,0)),0)</f>
        <v>0.87</v>
      </c>
      <c r="Y412" s="273">
        <f>IFERROR(INDEX('Measure Level Detail'!$R:$R,MATCH($B412&amp;"_"&amp;Y$3,'Measure Level Detail'!$C:$C,0)),0)</f>
        <v>0.87</v>
      </c>
      <c r="Z412" s="273">
        <f>IFERROR(INDEX('Measure Level Detail'!$R:$R,MATCH($B412&amp;"_"&amp;Z$3,'Measure Level Detail'!$C:$C,0)),0)</f>
        <v>0.87</v>
      </c>
      <c r="AA412" s="273">
        <f>IFERROR(INDEX('Measure Level Detail'!$R:$R,MATCH($B412&amp;"_"&amp;AA$3,'Measure Level Detail'!$C:$C,0)),0)</f>
        <v>0.87</v>
      </c>
      <c r="AB412" s="266">
        <f t="shared" si="247"/>
        <v>0</v>
      </c>
      <c r="AC412" s="266">
        <f t="shared" si="248"/>
        <v>0</v>
      </c>
      <c r="AD412" s="266">
        <f t="shared" si="249"/>
        <v>0</v>
      </c>
      <c r="AE412" s="266">
        <f t="shared" si="250"/>
        <v>0</v>
      </c>
      <c r="AF412" s="266">
        <f t="shared" si="251"/>
        <v>0</v>
      </c>
      <c r="AG412" s="274">
        <v>0.87</v>
      </c>
      <c r="AH412" s="274">
        <v>0.87</v>
      </c>
      <c r="AI412" s="710">
        <v>0.88</v>
      </c>
      <c r="AJ412" s="710">
        <v>0.88</v>
      </c>
      <c r="AK412" s="274">
        <f t="shared" si="252"/>
        <v>0.87</v>
      </c>
      <c r="AL412" s="274">
        <f t="shared" si="253"/>
        <v>0.87</v>
      </c>
      <c r="AM412" s="274">
        <f t="shared" si="254"/>
        <v>0.87</v>
      </c>
      <c r="AN412" s="274">
        <f t="shared" si="255"/>
        <v>0.87</v>
      </c>
      <c r="AO412" s="262"/>
      <c r="AP412" s="262"/>
      <c r="AQ412" s="267">
        <v>1053.6644788659491</v>
      </c>
      <c r="AR412" s="262"/>
      <c r="AS412" s="266">
        <f t="shared" si="256"/>
        <v>0</v>
      </c>
      <c r="AT412" s="264">
        <f t="shared" si="257"/>
        <v>0</v>
      </c>
      <c r="AU412" s="262"/>
      <c r="AV412" s="262"/>
      <c r="AW412" s="265">
        <v>1053.6644788659491</v>
      </c>
      <c r="AX412" s="164" t="s">
        <v>2397</v>
      </c>
      <c r="AY412" s="266">
        <v>0</v>
      </c>
      <c r="AZ412" s="266">
        <f t="shared" si="258"/>
        <v>0</v>
      </c>
      <c r="BA412" s="264">
        <f t="shared" si="259"/>
        <v>0</v>
      </c>
      <c r="BB412" s="262"/>
      <c r="BC412" s="262"/>
      <c r="BD412" s="265">
        <f ca="1">IFERROR(INDEX(Algorithms!$G:$G,MATCH($C412&amp;"_Therm Saved per Unit",Algorithms!$A:$A,0)),0)</f>
        <v>1053.6644788659491</v>
      </c>
      <c r="BE412" s="164" t="str">
        <f ca="1">IFERROR(INDEX('v12 Revisions'!$P$29:$P$186, MATCH('Measure-Level Adj Gas'!$L412, 'v12 Revisions'!$D$29:$D$186,0)),"")</f>
        <v>n/a - costs only.</v>
      </c>
      <c r="BF412" s="266">
        <f t="shared" ca="1" si="260"/>
        <v>0</v>
      </c>
      <c r="BG412" s="264">
        <f t="shared" ca="1" si="261"/>
        <v>0</v>
      </c>
      <c r="BH412" s="262"/>
      <c r="BI412" s="262"/>
      <c r="BJ412" s="265">
        <f ca="1">IFERROR(INDEX(Algorithms!$G:$G,MATCH($C412&amp;"_Therm Saved per Unit",Algorithms!$A:$A,0)),0)</f>
        <v>1053.6644788659491</v>
      </c>
      <c r="BK412" s="164"/>
      <c r="BL412" s="266">
        <f t="shared" ca="1" si="262"/>
        <v>0</v>
      </c>
      <c r="BM412" s="264">
        <f t="shared" ca="1" si="263"/>
        <v>0</v>
      </c>
      <c r="BN412" s="266">
        <f t="shared" si="264"/>
        <v>0</v>
      </c>
      <c r="BO412" s="266">
        <f t="shared" si="265"/>
        <v>0</v>
      </c>
      <c r="BP412" s="266">
        <f t="shared" ca="1" si="266"/>
        <v>0</v>
      </c>
      <c r="BQ412" s="266">
        <f t="shared" ca="1" si="267"/>
        <v>0</v>
      </c>
      <c r="BR412" s="268">
        <f t="shared" ca="1" si="268"/>
        <v>0</v>
      </c>
      <c r="BS412" s="262" t="s">
        <v>99</v>
      </c>
      <c r="BT412" s="277"/>
      <c r="BW412" s="266">
        <f t="shared" si="269"/>
        <v>0</v>
      </c>
      <c r="BX412" s="266">
        <f t="shared" si="270"/>
        <v>0</v>
      </c>
      <c r="BY412" s="266">
        <f t="shared" si="271"/>
        <v>0</v>
      </c>
      <c r="BZ412" s="266">
        <f t="shared" si="272"/>
        <v>0</v>
      </c>
      <c r="CA412" s="266">
        <f ca="1">N412*IFERROR(INDEX(Algorithms!$G:$G,MATCH($C412&amp;"_Therm Saved per Unit- MLA",Algorithms!$A:$A,0)),0)*X412</f>
        <v>0</v>
      </c>
      <c r="CB412" s="266">
        <f ca="1">O412*IFERROR(INDEX(Algorithms!$G:$G,MATCH($C412&amp;"_Therm Saved per Unit- MLA",Algorithms!$A:$A,0)),0)*Y412</f>
        <v>0</v>
      </c>
      <c r="CC412" s="266">
        <f ca="1">P412*IFERROR(INDEX(Algorithms!$G:$G,MATCH($C412&amp;"_Therm Saved per Unit- MLA",Algorithms!$A:$A,0)),0)*Z412</f>
        <v>0</v>
      </c>
      <c r="CD412" s="266">
        <f ca="1">Q412*IFERROR(INDEX(Algorithms!$G:$G,MATCH($C412&amp;"_Therm Saved per Unit- MLA",Algorithms!$A:$A,0)),0)*AA412</f>
        <v>0</v>
      </c>
      <c r="CE412" s="266">
        <f ca="1">IFERROR(INDEX(Algorithms!$G:$G,MATCH($C412&amp;"_Lifetime (years)",Algorithms!$A:$A,0)),0)</f>
        <v>6</v>
      </c>
      <c r="CF412" s="266">
        <f ca="1">IFERROR(INDEX(Algorithms!$G:$G,MATCH($C412&amp;"_Lifetime (years) - Remaining Years",Algorithms!$A:$A,0)),0)</f>
        <v>0</v>
      </c>
      <c r="CG412" s="266">
        <f t="shared" ca="1" si="273"/>
        <v>0</v>
      </c>
      <c r="CH412" s="266">
        <f t="shared" ca="1" si="274"/>
        <v>0</v>
      </c>
      <c r="CI412" s="266">
        <f t="shared" ca="1" si="275"/>
        <v>0</v>
      </c>
      <c r="CJ412" s="266">
        <f t="shared" ca="1" si="276"/>
        <v>0</v>
      </c>
      <c r="CK412" s="266">
        <f t="shared" si="277"/>
        <v>0</v>
      </c>
      <c r="CL412" s="266">
        <f t="shared" si="278"/>
        <v>0</v>
      </c>
      <c r="CM412" s="266">
        <f t="shared" ca="1" si="279"/>
        <v>0</v>
      </c>
      <c r="CN412" s="266">
        <f t="shared" ca="1" si="280"/>
        <v>0</v>
      </c>
      <c r="CO412" s="266">
        <f ca="1">N412*IFERROR(INDEX(Algorithms!$G:$G,MATCH($C412&amp;"_Therm Saved per Unit- MLA",Algorithms!$A:$A,0)),0)*X412</f>
        <v>0</v>
      </c>
      <c r="CP412" s="266">
        <f ca="1">O412*IFERROR(INDEX(Algorithms!$G:$G,MATCH($C412&amp;"_Therm Saved per Unit- MLA",Algorithms!$A:$A,0)),0)*Y412</f>
        <v>0</v>
      </c>
      <c r="CQ412" s="266">
        <f ca="1">P412*IFERROR(INDEX(Algorithms!$G:$G,MATCH($C412&amp;"_Therm Saved per Unit- MLA",Algorithms!$A:$A,0)),0)*Z412</f>
        <v>0</v>
      </c>
      <c r="CR412" s="266">
        <f ca="1">Q412*IFERROR(INDEX(Algorithms!$G:$G,MATCH($C412&amp;"_Therm Saved per Unit- MLA",Algorithms!$A:$A,0)),0)*AA412</f>
        <v>0</v>
      </c>
      <c r="CS412" s="266">
        <f ca="1">IFERROR(INDEX(Algorithms!$G:$G,MATCH($C412&amp;"_Lifetime (years)",Algorithms!$A:$A,0)),0)</f>
        <v>6</v>
      </c>
      <c r="CT412" s="266">
        <f ca="1">IFERROR(INDEX(Algorithms!$G:$G,MATCH($C412&amp;"_Lifetime (years) - Remaining Years",Algorithms!$A:$A,0)),0)</f>
        <v>0</v>
      </c>
      <c r="CU412" s="266">
        <f t="shared" ca="1" si="281"/>
        <v>0</v>
      </c>
      <c r="CV412" s="266">
        <f t="shared" ca="1" si="282"/>
        <v>0</v>
      </c>
      <c r="CW412" s="266">
        <f t="shared" ca="1" si="283"/>
        <v>0</v>
      </c>
      <c r="CX412" s="266">
        <f t="shared" ca="1" si="284"/>
        <v>0</v>
      </c>
    </row>
    <row r="413" spans="2:102" s="47" customFormat="1" ht="18" customHeight="1" x14ac:dyDescent="0.25">
      <c r="B413" t="str">
        <f t="shared" si="285"/>
        <v>NSG_Residential_Multi-Family_Partner Trade Ally Rebate_Steam Traps_Industrial/Process Audit - 125 ≤ psig &lt; 175_MF</v>
      </c>
      <c r="C413" s="47" t="str">
        <f t="shared" si="246"/>
        <v>Steam Traps_Industrial/Process Audit - 125 ≤ psig &lt; 175_MF</v>
      </c>
      <c r="D413" s="270" t="s">
        <v>1787</v>
      </c>
      <c r="E413" s="270" t="s">
        <v>2</v>
      </c>
      <c r="F413" s="270" t="s">
        <v>1422</v>
      </c>
      <c r="G413" s="270" t="s">
        <v>1799</v>
      </c>
      <c r="H413" s="270" t="s">
        <v>644</v>
      </c>
      <c r="I413" s="270" t="s">
        <v>1374</v>
      </c>
      <c r="J413" s="270" t="s">
        <v>553</v>
      </c>
      <c r="K413" s="263">
        <v>1</v>
      </c>
      <c r="L413" s="263" t="str">
        <f ca="1">IFERROR(INDEX(Algorithms!J:J,MATCH($C413&amp;"_Therm Saved per Unit",Algorithms!$A:$A,0)),"n/a")</f>
        <v>4.4.16</v>
      </c>
      <c r="M413" s="263" t="str">
        <f>IFERROR(INDEX('Measure Level Detail'!$N:$N,MATCH($B413,'Measure Level Detail'!$B:$B,0)),0)</f>
        <v>each</v>
      </c>
      <c r="N413" s="271">
        <f>IFERROR(INDEX('Measure Level Detail'!$P:$P,MATCH($B413&amp;"_"&amp;N$3,'Measure Level Detail'!$C:$C,0)),0)</f>
        <v>0</v>
      </c>
      <c r="O413" s="271">
        <f>IFERROR(INDEX('Measure Level Detail'!$P:$P,MATCH($B413&amp;"_"&amp;O$3,'Measure Level Detail'!$C:$C,0)),0)</f>
        <v>0</v>
      </c>
      <c r="P413" s="271">
        <f>IFERROR(INDEX('Measure Level Detail'!$P:$P,MATCH($B413&amp;"_"&amp;P$3,'Measure Level Detail'!$C:$C,0)),0)</f>
        <v>0</v>
      </c>
      <c r="Q413" s="271">
        <f>IFERROR(INDEX('Measure Level Detail'!$P:$P,MATCH($B413&amp;"_"&amp;Q$3,'Measure Level Detail'!$C:$C,0)),0)</f>
        <v>0</v>
      </c>
      <c r="R413" s="263" t="str">
        <f ca="1">IFERROR(INDEX(Algorithms!K:K,MATCH($C413&amp;"_Therm Saved per Unit",Algorithms!$A:$A,0)),"n/a")</f>
        <v>CI-HVC-STRE-V10-240101</v>
      </c>
      <c r="S413" s="262"/>
      <c r="T413" s="272">
        <v>1471.0232537570409</v>
      </c>
      <c r="U413" s="272">
        <v>1471.0232537570409</v>
      </c>
      <c r="V413" s="272">
        <v>1471.0232537570409</v>
      </c>
      <c r="W413" s="272">
        <v>1471.0232537570409</v>
      </c>
      <c r="X413" s="273">
        <f>IFERROR(INDEX('Measure Level Detail'!$R:$R,MATCH($B413&amp;"_"&amp;X$3,'Measure Level Detail'!$C:$C,0)),0)</f>
        <v>0.87</v>
      </c>
      <c r="Y413" s="273">
        <f>IFERROR(INDEX('Measure Level Detail'!$R:$R,MATCH($B413&amp;"_"&amp;Y$3,'Measure Level Detail'!$C:$C,0)),0)</f>
        <v>0.87</v>
      </c>
      <c r="Z413" s="273">
        <f>IFERROR(INDEX('Measure Level Detail'!$R:$R,MATCH($B413&amp;"_"&amp;Z$3,'Measure Level Detail'!$C:$C,0)),0)</f>
        <v>0.87</v>
      </c>
      <c r="AA413" s="273">
        <f>IFERROR(INDEX('Measure Level Detail'!$R:$R,MATCH($B413&amp;"_"&amp;AA$3,'Measure Level Detail'!$C:$C,0)),0)</f>
        <v>0.87</v>
      </c>
      <c r="AB413" s="266">
        <f t="shared" si="247"/>
        <v>0</v>
      </c>
      <c r="AC413" s="266">
        <f t="shared" si="248"/>
        <v>0</v>
      </c>
      <c r="AD413" s="266">
        <f t="shared" si="249"/>
        <v>0</v>
      </c>
      <c r="AE413" s="266">
        <f t="shared" si="250"/>
        <v>0</v>
      </c>
      <c r="AF413" s="266">
        <f t="shared" si="251"/>
        <v>0</v>
      </c>
      <c r="AG413" s="274">
        <v>0.87</v>
      </c>
      <c r="AH413" s="274">
        <v>0.87</v>
      </c>
      <c r="AI413" s="710">
        <v>0.88</v>
      </c>
      <c r="AJ413" s="710">
        <v>0.88</v>
      </c>
      <c r="AK413" s="274">
        <f t="shared" si="252"/>
        <v>0.87</v>
      </c>
      <c r="AL413" s="274">
        <f t="shared" si="253"/>
        <v>0.87</v>
      </c>
      <c r="AM413" s="274">
        <f t="shared" si="254"/>
        <v>0.87</v>
      </c>
      <c r="AN413" s="274">
        <f t="shared" si="255"/>
        <v>0.87</v>
      </c>
      <c r="AO413" s="262"/>
      <c r="AP413" s="262"/>
      <c r="AQ413" s="267">
        <v>1471.0232537570409</v>
      </c>
      <c r="AR413" s="262"/>
      <c r="AS413" s="266">
        <f t="shared" si="256"/>
        <v>0</v>
      </c>
      <c r="AT413" s="264">
        <f t="shared" si="257"/>
        <v>0</v>
      </c>
      <c r="AU413" s="262"/>
      <c r="AV413" s="262"/>
      <c r="AW413" s="265">
        <v>1471.0232537570409</v>
      </c>
      <c r="AX413" s="164" t="s">
        <v>2397</v>
      </c>
      <c r="AY413" s="266">
        <v>0</v>
      </c>
      <c r="AZ413" s="266">
        <f t="shared" si="258"/>
        <v>0</v>
      </c>
      <c r="BA413" s="264">
        <f t="shared" si="259"/>
        <v>0</v>
      </c>
      <c r="BB413" s="262"/>
      <c r="BC413" s="262"/>
      <c r="BD413" s="265">
        <f ca="1">IFERROR(INDEX(Algorithms!$G:$G,MATCH($C413&amp;"_Therm Saved per Unit",Algorithms!$A:$A,0)),0)</f>
        <v>1471.0232537570409</v>
      </c>
      <c r="BE413" s="164" t="str">
        <f ca="1">IFERROR(INDEX('v12 Revisions'!$P$29:$P$186, MATCH('Measure-Level Adj Gas'!$L413, 'v12 Revisions'!$D$29:$D$186,0)),"")</f>
        <v>n/a - costs only.</v>
      </c>
      <c r="BF413" s="266">
        <f t="shared" ca="1" si="260"/>
        <v>0</v>
      </c>
      <c r="BG413" s="264">
        <f t="shared" ca="1" si="261"/>
        <v>0</v>
      </c>
      <c r="BH413" s="262"/>
      <c r="BI413" s="262"/>
      <c r="BJ413" s="265">
        <f ca="1">IFERROR(INDEX(Algorithms!$G:$G,MATCH($C413&amp;"_Therm Saved per Unit",Algorithms!$A:$A,0)),0)</f>
        <v>1471.0232537570409</v>
      </c>
      <c r="BK413" s="164"/>
      <c r="BL413" s="266">
        <f t="shared" ca="1" si="262"/>
        <v>0</v>
      </c>
      <c r="BM413" s="264">
        <f t="shared" ca="1" si="263"/>
        <v>0</v>
      </c>
      <c r="BN413" s="266">
        <f t="shared" si="264"/>
        <v>0</v>
      </c>
      <c r="BO413" s="266">
        <f t="shared" si="265"/>
        <v>0</v>
      </c>
      <c r="BP413" s="266">
        <f t="shared" ca="1" si="266"/>
        <v>0</v>
      </c>
      <c r="BQ413" s="266">
        <f t="shared" ca="1" si="267"/>
        <v>0</v>
      </c>
      <c r="BR413" s="268">
        <f t="shared" ca="1" si="268"/>
        <v>0</v>
      </c>
      <c r="BS413" s="262" t="s">
        <v>99</v>
      </c>
      <c r="BT413" s="277"/>
      <c r="BW413" s="266">
        <f t="shared" si="269"/>
        <v>0</v>
      </c>
      <c r="BX413" s="266">
        <f t="shared" si="270"/>
        <v>0</v>
      </c>
      <c r="BY413" s="266">
        <f t="shared" si="271"/>
        <v>0</v>
      </c>
      <c r="BZ413" s="266">
        <f t="shared" si="272"/>
        <v>0</v>
      </c>
      <c r="CA413" s="266">
        <f ca="1">N413*IFERROR(INDEX(Algorithms!$G:$G,MATCH($C413&amp;"_Therm Saved per Unit- MLA",Algorithms!$A:$A,0)),0)*X413</f>
        <v>0</v>
      </c>
      <c r="CB413" s="266">
        <f ca="1">O413*IFERROR(INDEX(Algorithms!$G:$G,MATCH($C413&amp;"_Therm Saved per Unit- MLA",Algorithms!$A:$A,0)),0)*Y413</f>
        <v>0</v>
      </c>
      <c r="CC413" s="266">
        <f ca="1">P413*IFERROR(INDEX(Algorithms!$G:$G,MATCH($C413&amp;"_Therm Saved per Unit- MLA",Algorithms!$A:$A,0)),0)*Z413</f>
        <v>0</v>
      </c>
      <c r="CD413" s="266">
        <f ca="1">Q413*IFERROR(INDEX(Algorithms!$G:$G,MATCH($C413&amp;"_Therm Saved per Unit- MLA",Algorithms!$A:$A,0)),0)*AA413</f>
        <v>0</v>
      </c>
      <c r="CE413" s="266">
        <f ca="1">IFERROR(INDEX(Algorithms!$G:$G,MATCH($C413&amp;"_Lifetime (years)",Algorithms!$A:$A,0)),0)</f>
        <v>6</v>
      </c>
      <c r="CF413" s="266">
        <f ca="1">IFERROR(INDEX(Algorithms!$G:$G,MATCH($C413&amp;"_Lifetime (years) - Remaining Years",Algorithms!$A:$A,0)),0)</f>
        <v>0</v>
      </c>
      <c r="CG413" s="266">
        <f t="shared" ca="1" si="273"/>
        <v>0</v>
      </c>
      <c r="CH413" s="266">
        <f t="shared" ca="1" si="274"/>
        <v>0</v>
      </c>
      <c r="CI413" s="266">
        <f t="shared" ca="1" si="275"/>
        <v>0</v>
      </c>
      <c r="CJ413" s="266">
        <f t="shared" ca="1" si="276"/>
        <v>0</v>
      </c>
      <c r="CK413" s="266">
        <f t="shared" si="277"/>
        <v>0</v>
      </c>
      <c r="CL413" s="266">
        <f t="shared" si="278"/>
        <v>0</v>
      </c>
      <c r="CM413" s="266">
        <f t="shared" ca="1" si="279"/>
        <v>0</v>
      </c>
      <c r="CN413" s="266">
        <f t="shared" ca="1" si="280"/>
        <v>0</v>
      </c>
      <c r="CO413" s="266">
        <f ca="1">N413*IFERROR(INDEX(Algorithms!$G:$G,MATCH($C413&amp;"_Therm Saved per Unit- MLA",Algorithms!$A:$A,0)),0)*X413</f>
        <v>0</v>
      </c>
      <c r="CP413" s="266">
        <f ca="1">O413*IFERROR(INDEX(Algorithms!$G:$G,MATCH($C413&amp;"_Therm Saved per Unit- MLA",Algorithms!$A:$A,0)),0)*Y413</f>
        <v>0</v>
      </c>
      <c r="CQ413" s="266">
        <f ca="1">P413*IFERROR(INDEX(Algorithms!$G:$G,MATCH($C413&amp;"_Therm Saved per Unit- MLA",Algorithms!$A:$A,0)),0)*Z413</f>
        <v>0</v>
      </c>
      <c r="CR413" s="266">
        <f ca="1">Q413*IFERROR(INDEX(Algorithms!$G:$G,MATCH($C413&amp;"_Therm Saved per Unit- MLA",Algorithms!$A:$A,0)),0)*AA413</f>
        <v>0</v>
      </c>
      <c r="CS413" s="266">
        <f ca="1">IFERROR(INDEX(Algorithms!$G:$G,MATCH($C413&amp;"_Lifetime (years)",Algorithms!$A:$A,0)),0)</f>
        <v>6</v>
      </c>
      <c r="CT413" s="266">
        <f ca="1">IFERROR(INDEX(Algorithms!$G:$G,MATCH($C413&amp;"_Lifetime (years) - Remaining Years",Algorithms!$A:$A,0)),0)</f>
        <v>0</v>
      </c>
      <c r="CU413" s="266">
        <f t="shared" ca="1" si="281"/>
        <v>0</v>
      </c>
      <c r="CV413" s="266">
        <f t="shared" ca="1" si="282"/>
        <v>0</v>
      </c>
      <c r="CW413" s="266">
        <f t="shared" ca="1" si="283"/>
        <v>0</v>
      </c>
      <c r="CX413" s="266">
        <f t="shared" ca="1" si="284"/>
        <v>0</v>
      </c>
    </row>
    <row r="414" spans="2:102" s="47" customFormat="1" ht="18" customHeight="1" x14ac:dyDescent="0.25">
      <c r="B414" t="str">
        <f t="shared" si="285"/>
        <v>NSG_Residential_Multi-Family_Partner Trade Ally Rebate_Steam Traps_Industrial/Process Audit - 175 ≤ psig &lt; 250_MF</v>
      </c>
      <c r="C414" s="47" t="str">
        <f t="shared" si="246"/>
        <v>Steam Traps_Industrial/Process Audit - 175 ≤ psig &lt; 250_MF</v>
      </c>
      <c r="D414" s="270" t="s">
        <v>1787</v>
      </c>
      <c r="E414" s="270" t="s">
        <v>2</v>
      </c>
      <c r="F414" s="270" t="s">
        <v>1422</v>
      </c>
      <c r="G414" s="270" t="s">
        <v>1799</v>
      </c>
      <c r="H414" s="270" t="s">
        <v>644</v>
      </c>
      <c r="I414" s="270" t="s">
        <v>1375</v>
      </c>
      <c r="J414" s="270" t="s">
        <v>553</v>
      </c>
      <c r="K414" s="263">
        <v>1</v>
      </c>
      <c r="L414" s="263" t="str">
        <f ca="1">IFERROR(INDEX(Algorithms!J:J,MATCH($C414&amp;"_Therm Saved per Unit",Algorithms!$A:$A,0)),"n/a")</f>
        <v>4.4.16</v>
      </c>
      <c r="M414" s="263" t="str">
        <f>IFERROR(INDEX('Measure Level Detail'!$N:$N,MATCH($B414,'Measure Level Detail'!$B:$B,0)),0)</f>
        <v>each</v>
      </c>
      <c r="N414" s="271">
        <f>IFERROR(INDEX('Measure Level Detail'!$P:$P,MATCH($B414&amp;"_"&amp;N$3,'Measure Level Detail'!$C:$C,0)),0)</f>
        <v>0</v>
      </c>
      <c r="O414" s="271">
        <f>IFERROR(INDEX('Measure Level Detail'!$P:$P,MATCH($B414&amp;"_"&amp;O$3,'Measure Level Detail'!$C:$C,0)),0)</f>
        <v>0</v>
      </c>
      <c r="P414" s="271">
        <f>IFERROR(INDEX('Measure Level Detail'!$P:$P,MATCH($B414&amp;"_"&amp;P$3,'Measure Level Detail'!$C:$C,0)),0)</f>
        <v>0</v>
      </c>
      <c r="Q414" s="271">
        <f>IFERROR(INDEX('Measure Level Detail'!$P:$P,MATCH($B414&amp;"_"&amp;Q$3,'Measure Level Detail'!$C:$C,0)),0)</f>
        <v>0</v>
      </c>
      <c r="R414" s="263" t="str">
        <f ca="1">IFERROR(INDEX(Algorithms!K:K,MATCH($C414&amp;"_Therm Saved per Unit",Algorithms!$A:$A,0)),"n/a")</f>
        <v>CI-HVC-STRE-V10-240101</v>
      </c>
      <c r="S414" s="262"/>
      <c r="T414" s="272">
        <v>1986.7915775383435</v>
      </c>
      <c r="U414" s="272">
        <v>1986.7915775383435</v>
      </c>
      <c r="V414" s="272">
        <v>1986.7915775383435</v>
      </c>
      <c r="W414" s="272">
        <v>1986.7915775383435</v>
      </c>
      <c r="X414" s="273">
        <f>IFERROR(INDEX('Measure Level Detail'!$R:$R,MATCH($B414&amp;"_"&amp;X$3,'Measure Level Detail'!$C:$C,0)),0)</f>
        <v>0.87</v>
      </c>
      <c r="Y414" s="273">
        <f>IFERROR(INDEX('Measure Level Detail'!$R:$R,MATCH($B414&amp;"_"&amp;Y$3,'Measure Level Detail'!$C:$C,0)),0)</f>
        <v>0.87</v>
      </c>
      <c r="Z414" s="273">
        <f>IFERROR(INDEX('Measure Level Detail'!$R:$R,MATCH($B414&amp;"_"&amp;Z$3,'Measure Level Detail'!$C:$C,0)),0)</f>
        <v>0.87</v>
      </c>
      <c r="AA414" s="273">
        <f>IFERROR(INDEX('Measure Level Detail'!$R:$R,MATCH($B414&amp;"_"&amp;AA$3,'Measure Level Detail'!$C:$C,0)),0)</f>
        <v>0.87</v>
      </c>
      <c r="AB414" s="266">
        <f t="shared" si="247"/>
        <v>0</v>
      </c>
      <c r="AC414" s="266">
        <f t="shared" si="248"/>
        <v>0</v>
      </c>
      <c r="AD414" s="266">
        <f t="shared" si="249"/>
        <v>0</v>
      </c>
      <c r="AE414" s="266">
        <f t="shared" si="250"/>
        <v>0</v>
      </c>
      <c r="AF414" s="266">
        <f t="shared" si="251"/>
        <v>0</v>
      </c>
      <c r="AG414" s="274">
        <v>0.87</v>
      </c>
      <c r="AH414" s="274">
        <v>0.87</v>
      </c>
      <c r="AI414" s="710">
        <v>0.88</v>
      </c>
      <c r="AJ414" s="710">
        <v>0.88</v>
      </c>
      <c r="AK414" s="274">
        <f t="shared" si="252"/>
        <v>0.87</v>
      </c>
      <c r="AL414" s="274">
        <f t="shared" si="253"/>
        <v>0.87</v>
      </c>
      <c r="AM414" s="274">
        <f t="shared" si="254"/>
        <v>0.87</v>
      </c>
      <c r="AN414" s="274">
        <f t="shared" si="255"/>
        <v>0.87</v>
      </c>
      <c r="AO414" s="262"/>
      <c r="AP414" s="262"/>
      <c r="AQ414" s="267">
        <v>1986.7915775383435</v>
      </c>
      <c r="AR414" s="262"/>
      <c r="AS414" s="266">
        <f t="shared" si="256"/>
        <v>0</v>
      </c>
      <c r="AT414" s="264">
        <f t="shared" si="257"/>
        <v>0</v>
      </c>
      <c r="AU414" s="262"/>
      <c r="AV414" s="262"/>
      <c r="AW414" s="265">
        <v>1986.7915775383435</v>
      </c>
      <c r="AX414" s="164" t="s">
        <v>2397</v>
      </c>
      <c r="AY414" s="266">
        <v>0</v>
      </c>
      <c r="AZ414" s="266">
        <f t="shared" si="258"/>
        <v>0</v>
      </c>
      <c r="BA414" s="264">
        <f t="shared" si="259"/>
        <v>0</v>
      </c>
      <c r="BB414" s="262"/>
      <c r="BC414" s="262"/>
      <c r="BD414" s="265">
        <f ca="1">IFERROR(INDEX(Algorithms!$G:$G,MATCH($C414&amp;"_Therm Saved per Unit",Algorithms!$A:$A,0)),0)</f>
        <v>1986.7915775383435</v>
      </c>
      <c r="BE414" s="164" t="str">
        <f ca="1">IFERROR(INDEX('v12 Revisions'!$P$29:$P$186, MATCH('Measure-Level Adj Gas'!$L414, 'v12 Revisions'!$D$29:$D$186,0)),"")</f>
        <v>n/a - costs only.</v>
      </c>
      <c r="BF414" s="266">
        <f t="shared" ca="1" si="260"/>
        <v>0</v>
      </c>
      <c r="BG414" s="264">
        <f t="shared" ca="1" si="261"/>
        <v>0</v>
      </c>
      <c r="BH414" s="262"/>
      <c r="BI414" s="262"/>
      <c r="BJ414" s="265">
        <f ca="1">IFERROR(INDEX(Algorithms!$G:$G,MATCH($C414&amp;"_Therm Saved per Unit",Algorithms!$A:$A,0)),0)</f>
        <v>1986.7915775383435</v>
      </c>
      <c r="BK414" s="164"/>
      <c r="BL414" s="266">
        <f t="shared" ca="1" si="262"/>
        <v>0</v>
      </c>
      <c r="BM414" s="264">
        <f t="shared" ca="1" si="263"/>
        <v>0</v>
      </c>
      <c r="BN414" s="266">
        <f t="shared" si="264"/>
        <v>0</v>
      </c>
      <c r="BO414" s="266">
        <f t="shared" si="265"/>
        <v>0</v>
      </c>
      <c r="BP414" s="266">
        <f t="shared" ca="1" si="266"/>
        <v>0</v>
      </c>
      <c r="BQ414" s="266">
        <f t="shared" ca="1" si="267"/>
        <v>0</v>
      </c>
      <c r="BR414" s="268">
        <f t="shared" ca="1" si="268"/>
        <v>0</v>
      </c>
      <c r="BS414" s="262" t="s">
        <v>99</v>
      </c>
      <c r="BT414" s="277"/>
      <c r="BW414" s="266">
        <f t="shared" si="269"/>
        <v>0</v>
      </c>
      <c r="BX414" s="266">
        <f t="shared" si="270"/>
        <v>0</v>
      </c>
      <c r="BY414" s="266">
        <f t="shared" si="271"/>
        <v>0</v>
      </c>
      <c r="BZ414" s="266">
        <f t="shared" si="272"/>
        <v>0</v>
      </c>
      <c r="CA414" s="266">
        <f ca="1">N414*IFERROR(INDEX(Algorithms!$G:$G,MATCH($C414&amp;"_Therm Saved per Unit- MLA",Algorithms!$A:$A,0)),0)*X414</f>
        <v>0</v>
      </c>
      <c r="CB414" s="266">
        <f ca="1">O414*IFERROR(INDEX(Algorithms!$G:$G,MATCH($C414&amp;"_Therm Saved per Unit- MLA",Algorithms!$A:$A,0)),0)*Y414</f>
        <v>0</v>
      </c>
      <c r="CC414" s="266">
        <f ca="1">P414*IFERROR(INDEX(Algorithms!$G:$G,MATCH($C414&amp;"_Therm Saved per Unit- MLA",Algorithms!$A:$A,0)),0)*Z414</f>
        <v>0</v>
      </c>
      <c r="CD414" s="266">
        <f ca="1">Q414*IFERROR(INDEX(Algorithms!$G:$G,MATCH($C414&amp;"_Therm Saved per Unit- MLA",Algorithms!$A:$A,0)),0)*AA414</f>
        <v>0</v>
      </c>
      <c r="CE414" s="266">
        <f ca="1">IFERROR(INDEX(Algorithms!$G:$G,MATCH($C414&amp;"_Lifetime (years)",Algorithms!$A:$A,0)),0)</f>
        <v>6</v>
      </c>
      <c r="CF414" s="266">
        <f ca="1">IFERROR(INDEX(Algorithms!$G:$G,MATCH($C414&amp;"_Lifetime (years) - Remaining Years",Algorithms!$A:$A,0)),0)</f>
        <v>0</v>
      </c>
      <c r="CG414" s="266">
        <f t="shared" ca="1" si="273"/>
        <v>0</v>
      </c>
      <c r="CH414" s="266">
        <f t="shared" ca="1" si="274"/>
        <v>0</v>
      </c>
      <c r="CI414" s="266">
        <f t="shared" ca="1" si="275"/>
        <v>0</v>
      </c>
      <c r="CJ414" s="266">
        <f t="shared" ca="1" si="276"/>
        <v>0</v>
      </c>
      <c r="CK414" s="266">
        <f t="shared" si="277"/>
        <v>0</v>
      </c>
      <c r="CL414" s="266">
        <f t="shared" si="278"/>
        <v>0</v>
      </c>
      <c r="CM414" s="266">
        <f t="shared" ca="1" si="279"/>
        <v>0</v>
      </c>
      <c r="CN414" s="266">
        <f t="shared" ca="1" si="280"/>
        <v>0</v>
      </c>
      <c r="CO414" s="266">
        <f ca="1">N414*IFERROR(INDEX(Algorithms!$G:$G,MATCH($C414&amp;"_Therm Saved per Unit- MLA",Algorithms!$A:$A,0)),0)*X414</f>
        <v>0</v>
      </c>
      <c r="CP414" s="266">
        <f ca="1">O414*IFERROR(INDEX(Algorithms!$G:$G,MATCH($C414&amp;"_Therm Saved per Unit- MLA",Algorithms!$A:$A,0)),0)*Y414</f>
        <v>0</v>
      </c>
      <c r="CQ414" s="266">
        <f ca="1">P414*IFERROR(INDEX(Algorithms!$G:$G,MATCH($C414&amp;"_Therm Saved per Unit- MLA",Algorithms!$A:$A,0)),0)*Z414</f>
        <v>0</v>
      </c>
      <c r="CR414" s="266">
        <f ca="1">Q414*IFERROR(INDEX(Algorithms!$G:$G,MATCH($C414&amp;"_Therm Saved per Unit- MLA",Algorithms!$A:$A,0)),0)*AA414</f>
        <v>0</v>
      </c>
      <c r="CS414" s="266">
        <f ca="1">IFERROR(INDEX(Algorithms!$G:$G,MATCH($C414&amp;"_Lifetime (years)",Algorithms!$A:$A,0)),0)</f>
        <v>6</v>
      </c>
      <c r="CT414" s="266">
        <f ca="1">IFERROR(INDEX(Algorithms!$G:$G,MATCH($C414&amp;"_Lifetime (years) - Remaining Years",Algorithms!$A:$A,0)),0)</f>
        <v>0</v>
      </c>
      <c r="CU414" s="266">
        <f t="shared" ca="1" si="281"/>
        <v>0</v>
      </c>
      <c r="CV414" s="266">
        <f t="shared" ca="1" si="282"/>
        <v>0</v>
      </c>
      <c r="CW414" s="266">
        <f t="shared" ca="1" si="283"/>
        <v>0</v>
      </c>
      <c r="CX414" s="266">
        <f t="shared" ca="1" si="284"/>
        <v>0</v>
      </c>
    </row>
    <row r="415" spans="2:102" s="47" customFormat="1" ht="18" customHeight="1" x14ac:dyDescent="0.25">
      <c r="B415" t="str">
        <f t="shared" si="285"/>
        <v>NSG_Residential_Multi-Family_Partner Trade Ally Rebate_Steam Traps_Industrial/Process Audit - 250 ≤ psig_MF</v>
      </c>
      <c r="C415" s="47" t="str">
        <f t="shared" si="246"/>
        <v>Steam Traps_Industrial/Process Audit - 250 ≤ psig_MF</v>
      </c>
      <c r="D415" s="270" t="s">
        <v>1787</v>
      </c>
      <c r="E415" s="270" t="s">
        <v>2</v>
      </c>
      <c r="F415" s="270" t="s">
        <v>1422</v>
      </c>
      <c r="G415" s="270" t="s">
        <v>1799</v>
      </c>
      <c r="H415" s="270" t="s">
        <v>644</v>
      </c>
      <c r="I415" s="270" t="s">
        <v>1376</v>
      </c>
      <c r="J415" s="270" t="s">
        <v>553</v>
      </c>
      <c r="K415" s="263">
        <v>1</v>
      </c>
      <c r="L415" s="263" t="str">
        <f ca="1">IFERROR(INDEX(Algorithms!J:J,MATCH($C415&amp;"_Therm Saved per Unit",Algorithms!$A:$A,0)),"n/a")</f>
        <v>4.4.16</v>
      </c>
      <c r="M415" s="263" t="str">
        <f>IFERROR(INDEX('Measure Level Detail'!$N:$N,MATCH($B415,'Measure Level Detail'!$B:$B,0)),0)</f>
        <v>each</v>
      </c>
      <c r="N415" s="271">
        <f>IFERROR(INDEX('Measure Level Detail'!$P:$P,MATCH($B415&amp;"_"&amp;N$3,'Measure Level Detail'!$C:$C,0)),0)</f>
        <v>0</v>
      </c>
      <c r="O415" s="271">
        <f>IFERROR(INDEX('Measure Level Detail'!$P:$P,MATCH($B415&amp;"_"&amp;O$3,'Measure Level Detail'!$C:$C,0)),0)</f>
        <v>0</v>
      </c>
      <c r="P415" s="271">
        <f>IFERROR(INDEX('Measure Level Detail'!$P:$P,MATCH($B415&amp;"_"&amp;P$3,'Measure Level Detail'!$C:$C,0)),0)</f>
        <v>0</v>
      </c>
      <c r="Q415" s="271">
        <f>IFERROR(INDEX('Measure Level Detail'!$P:$P,MATCH($B415&amp;"_"&amp;Q$3,'Measure Level Detail'!$C:$C,0)),0)</f>
        <v>0</v>
      </c>
      <c r="R415" s="263" t="str">
        <f ca="1">IFERROR(INDEX(Algorithms!K:K,MATCH($C415&amp;"_Therm Saved per Unit",Algorithms!$A:$A,0)),"n/a")</f>
        <v>CI-HVC-STRE-V10-240101</v>
      </c>
      <c r="S415" s="262"/>
      <c r="T415" s="272">
        <v>2544.9291474441216</v>
      </c>
      <c r="U415" s="272">
        <v>2544.9291474441216</v>
      </c>
      <c r="V415" s="272">
        <v>2544.9291474441216</v>
      </c>
      <c r="W415" s="272">
        <v>2544.9291474441216</v>
      </c>
      <c r="X415" s="273">
        <f>IFERROR(INDEX('Measure Level Detail'!$R:$R,MATCH($B415&amp;"_"&amp;X$3,'Measure Level Detail'!$C:$C,0)),0)</f>
        <v>0.87</v>
      </c>
      <c r="Y415" s="273">
        <f>IFERROR(INDEX('Measure Level Detail'!$R:$R,MATCH($B415&amp;"_"&amp;Y$3,'Measure Level Detail'!$C:$C,0)),0)</f>
        <v>0.87</v>
      </c>
      <c r="Z415" s="273">
        <f>IFERROR(INDEX('Measure Level Detail'!$R:$R,MATCH($B415&amp;"_"&amp;Z$3,'Measure Level Detail'!$C:$C,0)),0)</f>
        <v>0.87</v>
      </c>
      <c r="AA415" s="273">
        <f>IFERROR(INDEX('Measure Level Detail'!$R:$R,MATCH($B415&amp;"_"&amp;AA$3,'Measure Level Detail'!$C:$C,0)),0)</f>
        <v>0.87</v>
      </c>
      <c r="AB415" s="266">
        <f t="shared" si="247"/>
        <v>0</v>
      </c>
      <c r="AC415" s="266">
        <f t="shared" si="248"/>
        <v>0</v>
      </c>
      <c r="AD415" s="266">
        <f t="shared" si="249"/>
        <v>0</v>
      </c>
      <c r="AE415" s="266">
        <f t="shared" si="250"/>
        <v>0</v>
      </c>
      <c r="AF415" s="266">
        <f t="shared" si="251"/>
        <v>0</v>
      </c>
      <c r="AG415" s="274">
        <v>0.87</v>
      </c>
      <c r="AH415" s="274">
        <v>0.87</v>
      </c>
      <c r="AI415" s="710">
        <v>0.88</v>
      </c>
      <c r="AJ415" s="710">
        <v>0.88</v>
      </c>
      <c r="AK415" s="274">
        <f t="shared" si="252"/>
        <v>0.87</v>
      </c>
      <c r="AL415" s="274">
        <f t="shared" si="253"/>
        <v>0.87</v>
      </c>
      <c r="AM415" s="274">
        <f t="shared" si="254"/>
        <v>0.87</v>
      </c>
      <c r="AN415" s="274">
        <f t="shared" si="255"/>
        <v>0.87</v>
      </c>
      <c r="AO415" s="262"/>
      <c r="AP415" s="262"/>
      <c r="AQ415" s="267">
        <v>2544.9291474441216</v>
      </c>
      <c r="AR415" s="262"/>
      <c r="AS415" s="266">
        <f t="shared" si="256"/>
        <v>0</v>
      </c>
      <c r="AT415" s="264">
        <f t="shared" si="257"/>
        <v>0</v>
      </c>
      <c r="AU415" s="262"/>
      <c r="AV415" s="262"/>
      <c r="AW415" s="265">
        <v>2544.9291474441216</v>
      </c>
      <c r="AX415" s="164" t="s">
        <v>2397</v>
      </c>
      <c r="AY415" s="266">
        <v>0</v>
      </c>
      <c r="AZ415" s="266">
        <f t="shared" si="258"/>
        <v>0</v>
      </c>
      <c r="BA415" s="264">
        <f t="shared" si="259"/>
        <v>0</v>
      </c>
      <c r="BB415" s="262"/>
      <c r="BC415" s="262"/>
      <c r="BD415" s="265">
        <f ca="1">IFERROR(INDEX(Algorithms!$G:$G,MATCH($C415&amp;"_Therm Saved per Unit",Algorithms!$A:$A,0)),0)</f>
        <v>2544.9291474441216</v>
      </c>
      <c r="BE415" s="164" t="str">
        <f ca="1">IFERROR(INDEX('v12 Revisions'!$P$29:$P$186, MATCH('Measure-Level Adj Gas'!$L415, 'v12 Revisions'!$D$29:$D$186,0)),"")</f>
        <v>n/a - costs only.</v>
      </c>
      <c r="BF415" s="266">
        <f t="shared" ca="1" si="260"/>
        <v>0</v>
      </c>
      <c r="BG415" s="264">
        <f t="shared" ca="1" si="261"/>
        <v>0</v>
      </c>
      <c r="BH415" s="262"/>
      <c r="BI415" s="262"/>
      <c r="BJ415" s="265">
        <f ca="1">IFERROR(INDEX(Algorithms!$G:$G,MATCH($C415&amp;"_Therm Saved per Unit",Algorithms!$A:$A,0)),0)</f>
        <v>2544.9291474441216</v>
      </c>
      <c r="BK415" s="164"/>
      <c r="BL415" s="266">
        <f t="shared" ca="1" si="262"/>
        <v>0</v>
      </c>
      <c r="BM415" s="264">
        <f t="shared" ca="1" si="263"/>
        <v>0</v>
      </c>
      <c r="BN415" s="266">
        <f t="shared" si="264"/>
        <v>0</v>
      </c>
      <c r="BO415" s="266">
        <f t="shared" si="265"/>
        <v>0</v>
      </c>
      <c r="BP415" s="266">
        <f t="shared" ca="1" si="266"/>
        <v>0</v>
      </c>
      <c r="BQ415" s="266">
        <f t="shared" ca="1" si="267"/>
        <v>0</v>
      </c>
      <c r="BR415" s="268">
        <f t="shared" ca="1" si="268"/>
        <v>0</v>
      </c>
      <c r="BS415" s="262" t="s">
        <v>99</v>
      </c>
      <c r="BT415" s="277"/>
      <c r="BW415" s="266">
        <f t="shared" si="269"/>
        <v>0</v>
      </c>
      <c r="BX415" s="266">
        <f t="shared" si="270"/>
        <v>0</v>
      </c>
      <c r="BY415" s="266">
        <f t="shared" si="271"/>
        <v>0</v>
      </c>
      <c r="BZ415" s="266">
        <f t="shared" si="272"/>
        <v>0</v>
      </c>
      <c r="CA415" s="266">
        <f ca="1">N415*IFERROR(INDEX(Algorithms!$G:$G,MATCH($C415&amp;"_Therm Saved per Unit- MLA",Algorithms!$A:$A,0)),0)*X415</f>
        <v>0</v>
      </c>
      <c r="CB415" s="266">
        <f ca="1">O415*IFERROR(INDEX(Algorithms!$G:$G,MATCH($C415&amp;"_Therm Saved per Unit- MLA",Algorithms!$A:$A,0)),0)*Y415</f>
        <v>0</v>
      </c>
      <c r="CC415" s="266">
        <f ca="1">P415*IFERROR(INDEX(Algorithms!$G:$G,MATCH($C415&amp;"_Therm Saved per Unit- MLA",Algorithms!$A:$A,0)),0)*Z415</f>
        <v>0</v>
      </c>
      <c r="CD415" s="266">
        <f ca="1">Q415*IFERROR(INDEX(Algorithms!$G:$G,MATCH($C415&amp;"_Therm Saved per Unit- MLA",Algorithms!$A:$A,0)),0)*AA415</f>
        <v>0</v>
      </c>
      <c r="CE415" s="266">
        <f ca="1">IFERROR(INDEX(Algorithms!$G:$G,MATCH($C415&amp;"_Lifetime (years)",Algorithms!$A:$A,0)),0)</f>
        <v>6</v>
      </c>
      <c r="CF415" s="266">
        <f ca="1">IFERROR(INDEX(Algorithms!$G:$G,MATCH($C415&amp;"_Lifetime (years) - Remaining Years",Algorithms!$A:$A,0)),0)</f>
        <v>0</v>
      </c>
      <c r="CG415" s="266">
        <f t="shared" ca="1" si="273"/>
        <v>0</v>
      </c>
      <c r="CH415" s="266">
        <f t="shared" ca="1" si="274"/>
        <v>0</v>
      </c>
      <c r="CI415" s="266">
        <f t="shared" ca="1" si="275"/>
        <v>0</v>
      </c>
      <c r="CJ415" s="266">
        <f t="shared" ca="1" si="276"/>
        <v>0</v>
      </c>
      <c r="CK415" s="266">
        <f t="shared" si="277"/>
        <v>0</v>
      </c>
      <c r="CL415" s="266">
        <f t="shared" si="278"/>
        <v>0</v>
      </c>
      <c r="CM415" s="266">
        <f t="shared" ca="1" si="279"/>
        <v>0</v>
      </c>
      <c r="CN415" s="266">
        <f t="shared" ca="1" si="280"/>
        <v>0</v>
      </c>
      <c r="CO415" s="266">
        <f ca="1">N415*IFERROR(INDEX(Algorithms!$G:$G,MATCH($C415&amp;"_Therm Saved per Unit- MLA",Algorithms!$A:$A,0)),0)*X415</f>
        <v>0</v>
      </c>
      <c r="CP415" s="266">
        <f ca="1">O415*IFERROR(INDEX(Algorithms!$G:$G,MATCH($C415&amp;"_Therm Saved per Unit- MLA",Algorithms!$A:$A,0)),0)*Y415</f>
        <v>0</v>
      </c>
      <c r="CQ415" s="266">
        <f ca="1">P415*IFERROR(INDEX(Algorithms!$G:$G,MATCH($C415&amp;"_Therm Saved per Unit- MLA",Algorithms!$A:$A,0)),0)*Z415</f>
        <v>0</v>
      </c>
      <c r="CR415" s="266">
        <f ca="1">Q415*IFERROR(INDEX(Algorithms!$G:$G,MATCH($C415&amp;"_Therm Saved per Unit- MLA",Algorithms!$A:$A,0)),0)*AA415</f>
        <v>0</v>
      </c>
      <c r="CS415" s="266">
        <f ca="1">IFERROR(INDEX(Algorithms!$G:$G,MATCH($C415&amp;"_Lifetime (years)",Algorithms!$A:$A,0)),0)</f>
        <v>6</v>
      </c>
      <c r="CT415" s="266">
        <f ca="1">IFERROR(INDEX(Algorithms!$G:$G,MATCH($C415&amp;"_Lifetime (years) - Remaining Years",Algorithms!$A:$A,0)),0)</f>
        <v>0</v>
      </c>
      <c r="CU415" s="266">
        <f t="shared" ca="1" si="281"/>
        <v>0</v>
      </c>
      <c r="CV415" s="266">
        <f t="shared" ca="1" si="282"/>
        <v>0</v>
      </c>
      <c r="CW415" s="266">
        <f t="shared" ca="1" si="283"/>
        <v>0</v>
      </c>
      <c r="CX415" s="266">
        <f t="shared" ca="1" si="284"/>
        <v>0</v>
      </c>
    </row>
    <row r="416" spans="2:102" s="47" customFormat="1" ht="18" customHeight="1" x14ac:dyDescent="0.25">
      <c r="B416" t="str">
        <f t="shared" si="285"/>
        <v>NSG_Residential_Multi-Family_Partner Trade Ally Rebate_Steam Traps_Test_MF</v>
      </c>
      <c r="C416" s="47" t="str">
        <f t="shared" si="246"/>
        <v>Steam Traps_Test_MF</v>
      </c>
      <c r="D416" s="270" t="s">
        <v>1787</v>
      </c>
      <c r="E416" s="270" t="s">
        <v>2</v>
      </c>
      <c r="F416" s="270" t="s">
        <v>1422</v>
      </c>
      <c r="G416" s="270" t="s">
        <v>1799</v>
      </c>
      <c r="H416" s="270" t="s">
        <v>644</v>
      </c>
      <c r="I416" s="270" t="s">
        <v>1097</v>
      </c>
      <c r="J416" s="270" t="s">
        <v>553</v>
      </c>
      <c r="K416" s="263">
        <v>1</v>
      </c>
      <c r="L416" s="263">
        <f ca="1">IFERROR(INDEX(Algorithms!J:J,MATCH($C416&amp;"_Therm Saved per Unit",Algorithms!$A:$A,0)),"n/a")</f>
        <v>0</v>
      </c>
      <c r="M416" s="263" t="str">
        <f>IFERROR(INDEX('Measure Level Detail'!$N:$N,MATCH($B416,'Measure Level Detail'!$B:$B,0)),0)</f>
        <v>each</v>
      </c>
      <c r="N416" s="271">
        <f>IFERROR(INDEX('Measure Level Detail'!$P:$P,MATCH($B416&amp;"_"&amp;N$3,'Measure Level Detail'!$C:$C,0)),0)</f>
        <v>0</v>
      </c>
      <c r="O416" s="271">
        <f>IFERROR(INDEX('Measure Level Detail'!$P:$P,MATCH($B416&amp;"_"&amp;O$3,'Measure Level Detail'!$C:$C,0)),0)</f>
        <v>0</v>
      </c>
      <c r="P416" s="271">
        <f>IFERROR(INDEX('Measure Level Detail'!$P:$P,MATCH($B416&amp;"_"&amp;P$3,'Measure Level Detail'!$C:$C,0)),0)</f>
        <v>0</v>
      </c>
      <c r="Q416" s="271">
        <f>IFERROR(INDEX('Measure Level Detail'!$P:$P,MATCH($B416&amp;"_"&amp;Q$3,'Measure Level Detail'!$C:$C,0)),0)</f>
        <v>0</v>
      </c>
      <c r="R416" s="263">
        <f ca="1">IFERROR(INDEX(Algorithms!K:K,MATCH($C416&amp;"_Therm Saved per Unit",Algorithms!$A:$A,0)),"n/a")</f>
        <v>0</v>
      </c>
      <c r="S416" s="262"/>
      <c r="T416" s="272">
        <v>0</v>
      </c>
      <c r="U416" s="272">
        <v>0</v>
      </c>
      <c r="V416" s="272">
        <v>0</v>
      </c>
      <c r="W416" s="272">
        <v>0</v>
      </c>
      <c r="X416" s="273">
        <f>IFERROR(INDEX('Measure Level Detail'!$R:$R,MATCH($B416&amp;"_"&amp;X$3,'Measure Level Detail'!$C:$C,0)),0)</f>
        <v>0.87</v>
      </c>
      <c r="Y416" s="273">
        <f>IFERROR(INDEX('Measure Level Detail'!$R:$R,MATCH($B416&amp;"_"&amp;Y$3,'Measure Level Detail'!$C:$C,0)),0)</f>
        <v>0.87</v>
      </c>
      <c r="Z416" s="273">
        <f>IFERROR(INDEX('Measure Level Detail'!$R:$R,MATCH($B416&amp;"_"&amp;Z$3,'Measure Level Detail'!$C:$C,0)),0)</f>
        <v>0.87</v>
      </c>
      <c r="AA416" s="273">
        <f>IFERROR(INDEX('Measure Level Detail'!$R:$R,MATCH($B416&amp;"_"&amp;AA$3,'Measure Level Detail'!$C:$C,0)),0)</f>
        <v>0.87</v>
      </c>
      <c r="AB416" s="266">
        <f t="shared" si="247"/>
        <v>0</v>
      </c>
      <c r="AC416" s="266">
        <f t="shared" si="248"/>
        <v>0</v>
      </c>
      <c r="AD416" s="266">
        <f t="shared" si="249"/>
        <v>0</v>
      </c>
      <c r="AE416" s="266">
        <f t="shared" si="250"/>
        <v>0</v>
      </c>
      <c r="AF416" s="266">
        <f t="shared" si="251"/>
        <v>0</v>
      </c>
      <c r="AG416" s="274">
        <v>0.87</v>
      </c>
      <c r="AH416" s="274">
        <v>0.87</v>
      </c>
      <c r="AI416" s="710">
        <v>0.88</v>
      </c>
      <c r="AJ416" s="710">
        <v>0.88</v>
      </c>
      <c r="AK416" s="274">
        <f t="shared" si="252"/>
        <v>0.87</v>
      </c>
      <c r="AL416" s="274">
        <f t="shared" si="253"/>
        <v>0.87</v>
      </c>
      <c r="AM416" s="274">
        <f t="shared" si="254"/>
        <v>0.87</v>
      </c>
      <c r="AN416" s="274">
        <f t="shared" si="255"/>
        <v>0.87</v>
      </c>
      <c r="AO416" s="262"/>
      <c r="AP416" s="262"/>
      <c r="AQ416" s="267">
        <v>0</v>
      </c>
      <c r="AR416" s="262"/>
      <c r="AS416" s="266">
        <f t="shared" si="256"/>
        <v>0</v>
      </c>
      <c r="AT416" s="264">
        <f t="shared" si="257"/>
        <v>0</v>
      </c>
      <c r="AU416" s="262"/>
      <c r="AV416" s="262"/>
      <c r="AW416" s="265">
        <v>0</v>
      </c>
      <c r="AX416" s="164" t="s">
        <v>1469</v>
      </c>
      <c r="AY416" s="266">
        <v>0</v>
      </c>
      <c r="AZ416" s="266">
        <f t="shared" si="258"/>
        <v>0</v>
      </c>
      <c r="BA416" s="264">
        <f t="shared" si="259"/>
        <v>0</v>
      </c>
      <c r="BB416" s="262"/>
      <c r="BC416" s="262"/>
      <c r="BD416" s="265">
        <f ca="1">IFERROR(INDEX(Algorithms!$G:$G,MATCH($C416&amp;"_Therm Saved per Unit",Algorithms!$A:$A,0)),0)</f>
        <v>0</v>
      </c>
      <c r="BE416" s="164" t="str">
        <f ca="1">IFERROR(INDEX('v12 Revisions'!$P$29:$P$186, MATCH('Measure-Level Adj Gas'!$L416, 'v12 Revisions'!$D$29:$D$186,0)),"")</f>
        <v/>
      </c>
      <c r="BF416" s="266">
        <f t="shared" ca="1" si="260"/>
        <v>0</v>
      </c>
      <c r="BG416" s="264">
        <f t="shared" ca="1" si="261"/>
        <v>0</v>
      </c>
      <c r="BH416" s="262"/>
      <c r="BI416" s="262"/>
      <c r="BJ416" s="265">
        <f ca="1">IFERROR(INDEX(Algorithms!$G:$G,MATCH($C416&amp;"_Therm Saved per Unit",Algorithms!$A:$A,0)),0)</f>
        <v>0</v>
      </c>
      <c r="BK416" s="164"/>
      <c r="BL416" s="266">
        <f t="shared" ca="1" si="262"/>
        <v>0</v>
      </c>
      <c r="BM416" s="264">
        <f t="shared" ca="1" si="263"/>
        <v>0</v>
      </c>
      <c r="BN416" s="266">
        <f t="shared" si="264"/>
        <v>0</v>
      </c>
      <c r="BO416" s="266">
        <f t="shared" si="265"/>
        <v>0</v>
      </c>
      <c r="BP416" s="266">
        <f t="shared" ca="1" si="266"/>
        <v>0</v>
      </c>
      <c r="BQ416" s="266">
        <f t="shared" ca="1" si="267"/>
        <v>0</v>
      </c>
      <c r="BR416" s="268">
        <f t="shared" ca="1" si="268"/>
        <v>0</v>
      </c>
      <c r="BS416" s="262" t="s">
        <v>99</v>
      </c>
      <c r="BT416" s="277"/>
      <c r="BW416" s="266">
        <f t="shared" si="269"/>
        <v>0</v>
      </c>
      <c r="BX416" s="266">
        <f t="shared" si="270"/>
        <v>0</v>
      </c>
      <c r="BY416" s="266">
        <f t="shared" si="271"/>
        <v>0</v>
      </c>
      <c r="BZ416" s="266">
        <f t="shared" si="272"/>
        <v>0</v>
      </c>
      <c r="CA416" s="266">
        <f ca="1">N416*IFERROR(INDEX(Algorithms!$G:$G,MATCH($C416&amp;"_Therm Saved per Unit- MLA",Algorithms!$A:$A,0)),0)*X416</f>
        <v>0</v>
      </c>
      <c r="CB416" s="266">
        <f ca="1">O416*IFERROR(INDEX(Algorithms!$G:$G,MATCH($C416&amp;"_Therm Saved per Unit- MLA",Algorithms!$A:$A,0)),0)*Y416</f>
        <v>0</v>
      </c>
      <c r="CC416" s="266">
        <f ca="1">P416*IFERROR(INDEX(Algorithms!$G:$G,MATCH($C416&amp;"_Therm Saved per Unit- MLA",Algorithms!$A:$A,0)),0)*Z416</f>
        <v>0</v>
      </c>
      <c r="CD416" s="266">
        <f ca="1">Q416*IFERROR(INDEX(Algorithms!$G:$G,MATCH($C416&amp;"_Therm Saved per Unit- MLA",Algorithms!$A:$A,0)),0)*AA416</f>
        <v>0</v>
      </c>
      <c r="CE416" s="266">
        <f ca="1">IFERROR(INDEX(Algorithms!$G:$G,MATCH($C416&amp;"_Lifetime (years)",Algorithms!$A:$A,0)),0)</f>
        <v>3</v>
      </c>
      <c r="CF416" s="266">
        <f ca="1">IFERROR(INDEX(Algorithms!$G:$G,MATCH($C416&amp;"_Lifetime (years) - Remaining Years",Algorithms!$A:$A,0)),0)</f>
        <v>0</v>
      </c>
      <c r="CG416" s="266">
        <f t="shared" ca="1" si="273"/>
        <v>0</v>
      </c>
      <c r="CH416" s="266">
        <f t="shared" ca="1" si="274"/>
        <v>0</v>
      </c>
      <c r="CI416" s="266">
        <f t="shared" ca="1" si="275"/>
        <v>0</v>
      </c>
      <c r="CJ416" s="266">
        <f t="shared" ca="1" si="276"/>
        <v>0</v>
      </c>
      <c r="CK416" s="266">
        <f t="shared" si="277"/>
        <v>0</v>
      </c>
      <c r="CL416" s="266">
        <f t="shared" si="278"/>
        <v>0</v>
      </c>
      <c r="CM416" s="266">
        <f t="shared" ca="1" si="279"/>
        <v>0</v>
      </c>
      <c r="CN416" s="266">
        <f t="shared" ca="1" si="280"/>
        <v>0</v>
      </c>
      <c r="CO416" s="266">
        <f ca="1">N416*IFERROR(INDEX(Algorithms!$G:$G,MATCH($C416&amp;"_Therm Saved per Unit- MLA",Algorithms!$A:$A,0)),0)*X416</f>
        <v>0</v>
      </c>
      <c r="CP416" s="266">
        <f ca="1">O416*IFERROR(INDEX(Algorithms!$G:$G,MATCH($C416&amp;"_Therm Saved per Unit- MLA",Algorithms!$A:$A,0)),0)*Y416</f>
        <v>0</v>
      </c>
      <c r="CQ416" s="266">
        <f ca="1">P416*IFERROR(INDEX(Algorithms!$G:$G,MATCH($C416&amp;"_Therm Saved per Unit- MLA",Algorithms!$A:$A,0)),0)*Z416</f>
        <v>0</v>
      </c>
      <c r="CR416" s="266">
        <f ca="1">Q416*IFERROR(INDEX(Algorithms!$G:$G,MATCH($C416&amp;"_Therm Saved per Unit- MLA",Algorithms!$A:$A,0)),0)*AA416</f>
        <v>0</v>
      </c>
      <c r="CS416" s="266">
        <f ca="1">IFERROR(INDEX(Algorithms!$G:$G,MATCH($C416&amp;"_Lifetime (years)",Algorithms!$A:$A,0)),0)</f>
        <v>3</v>
      </c>
      <c r="CT416" s="266">
        <f ca="1">IFERROR(INDEX(Algorithms!$G:$G,MATCH($C416&amp;"_Lifetime (years) - Remaining Years",Algorithms!$A:$A,0)),0)</f>
        <v>0</v>
      </c>
      <c r="CU416" s="266">
        <f t="shared" ca="1" si="281"/>
        <v>0</v>
      </c>
      <c r="CV416" s="266">
        <f t="shared" ca="1" si="282"/>
        <v>0</v>
      </c>
      <c r="CW416" s="266">
        <f t="shared" ca="1" si="283"/>
        <v>0</v>
      </c>
      <c r="CX416" s="266">
        <f t="shared" ca="1" si="284"/>
        <v>0</v>
      </c>
    </row>
    <row r="417" spans="2:102" s="47" customFormat="1" ht="18" customHeight="1" x14ac:dyDescent="0.25">
      <c r="B417" t="str">
        <f t="shared" si="285"/>
        <v>NSG_Residential_Multi-Family_Partner Trade Ally Rebate_Linkageless Controls_0_MF</v>
      </c>
      <c r="C417" s="47" t="str">
        <f t="shared" si="246"/>
        <v>Linkageless Controls_0_MF</v>
      </c>
      <c r="D417" s="270" t="s">
        <v>1787</v>
      </c>
      <c r="E417" s="270" t="s">
        <v>2</v>
      </c>
      <c r="F417" s="270" t="s">
        <v>1422</v>
      </c>
      <c r="G417" s="270" t="s">
        <v>1799</v>
      </c>
      <c r="H417" s="270" t="s">
        <v>1287</v>
      </c>
      <c r="I417" s="270">
        <v>0</v>
      </c>
      <c r="J417" s="270" t="s">
        <v>553</v>
      </c>
      <c r="K417" s="263">
        <v>1</v>
      </c>
      <c r="L417" s="263" t="str">
        <f ca="1">IFERROR(INDEX(Algorithms!J:J,MATCH($C417&amp;"_Therm Saved per Unit",Algorithms!$A:$A,0)),"n/a")</f>
        <v>4.4.21</v>
      </c>
      <c r="M417" s="263" t="str">
        <f>IFERROR(INDEX('Measure Level Detail'!$N:$N,MATCH($B417,'Measure Level Detail'!$B:$B,0)),0)</f>
        <v>MBH</v>
      </c>
      <c r="N417" s="271">
        <f>IFERROR(INDEX('Measure Level Detail'!$P:$P,MATCH($B417&amp;"_"&amp;N$3,'Measure Level Detail'!$C:$C,0)),0)</f>
        <v>0</v>
      </c>
      <c r="O417" s="271">
        <f>IFERROR(INDEX('Measure Level Detail'!$P:$P,MATCH($B417&amp;"_"&amp;O$3,'Measure Level Detail'!$C:$C,0)),0)</f>
        <v>0</v>
      </c>
      <c r="P417" s="271">
        <f>IFERROR(INDEX('Measure Level Detail'!$P:$P,MATCH($B417&amp;"_"&amp;P$3,'Measure Level Detail'!$C:$C,0)),0)</f>
        <v>0</v>
      </c>
      <c r="Q417" s="271">
        <f>IFERROR(INDEX('Measure Level Detail'!$P:$P,MATCH($B417&amp;"_"&amp;Q$3,'Measure Level Detail'!$C:$C,0)),0)</f>
        <v>0</v>
      </c>
      <c r="R417" s="263" t="str">
        <f ca="1">IFERROR(INDEX(Algorithms!K:K,MATCH($C417&amp;"_Therm Saved per Unit",Algorithms!$A:$A,0)),"n/a")</f>
        <v>CI-HVC-LBC-V06-220101</v>
      </c>
      <c r="S417" s="262"/>
      <c r="T417" s="272">
        <v>0.63181333333333334</v>
      </c>
      <c r="U417" s="272">
        <v>0.63181333333333334</v>
      </c>
      <c r="V417" s="272">
        <v>0.63181333333333334</v>
      </c>
      <c r="W417" s="272">
        <v>0.63181333333333334</v>
      </c>
      <c r="X417" s="273">
        <f>IFERROR(INDEX('Measure Level Detail'!$R:$R,MATCH($B417&amp;"_"&amp;X$3,'Measure Level Detail'!$C:$C,0)),0)</f>
        <v>0.87</v>
      </c>
      <c r="Y417" s="273">
        <f>IFERROR(INDEX('Measure Level Detail'!$R:$R,MATCH($B417&amp;"_"&amp;Y$3,'Measure Level Detail'!$C:$C,0)),0)</f>
        <v>0.87</v>
      </c>
      <c r="Z417" s="273">
        <f>IFERROR(INDEX('Measure Level Detail'!$R:$R,MATCH($B417&amp;"_"&amp;Z$3,'Measure Level Detail'!$C:$C,0)),0)</f>
        <v>0.87</v>
      </c>
      <c r="AA417" s="273">
        <f>IFERROR(INDEX('Measure Level Detail'!$R:$R,MATCH($B417&amp;"_"&amp;AA$3,'Measure Level Detail'!$C:$C,0)),0)</f>
        <v>0.87</v>
      </c>
      <c r="AB417" s="266">
        <f t="shared" si="247"/>
        <v>0</v>
      </c>
      <c r="AC417" s="266">
        <f t="shared" si="248"/>
        <v>0</v>
      </c>
      <c r="AD417" s="266">
        <f t="shared" si="249"/>
        <v>0</v>
      </c>
      <c r="AE417" s="266">
        <f t="shared" si="250"/>
        <v>0</v>
      </c>
      <c r="AF417" s="266">
        <f t="shared" si="251"/>
        <v>0</v>
      </c>
      <c r="AG417" s="274">
        <v>0.87</v>
      </c>
      <c r="AH417" s="274">
        <v>0.87</v>
      </c>
      <c r="AI417" s="710">
        <v>0.88</v>
      </c>
      <c r="AJ417" s="710">
        <v>0.88</v>
      </c>
      <c r="AK417" s="274">
        <f t="shared" si="252"/>
        <v>0.87</v>
      </c>
      <c r="AL417" s="274">
        <f t="shared" si="253"/>
        <v>0.87</v>
      </c>
      <c r="AM417" s="274">
        <f t="shared" si="254"/>
        <v>0.87</v>
      </c>
      <c r="AN417" s="274">
        <f t="shared" si="255"/>
        <v>0.87</v>
      </c>
      <c r="AO417" s="262"/>
      <c r="AP417" s="262"/>
      <c r="AQ417" s="267">
        <v>0.63181333333333334</v>
      </c>
      <c r="AR417" s="262"/>
      <c r="AS417" s="266">
        <f t="shared" si="256"/>
        <v>0</v>
      </c>
      <c r="AT417" s="264">
        <f t="shared" si="257"/>
        <v>0</v>
      </c>
      <c r="AU417" s="262"/>
      <c r="AV417" s="262"/>
      <c r="AW417" s="265">
        <v>0.63181333333333334</v>
      </c>
      <c r="AX417" s="164" t="s">
        <v>1469</v>
      </c>
      <c r="AY417" s="266">
        <v>0</v>
      </c>
      <c r="AZ417" s="266">
        <f t="shared" si="258"/>
        <v>0</v>
      </c>
      <c r="BA417" s="264">
        <f t="shared" si="259"/>
        <v>0</v>
      </c>
      <c r="BB417" s="262"/>
      <c r="BC417" s="262"/>
      <c r="BD417" s="265">
        <f ca="1">IFERROR(INDEX(Algorithms!$G:$G,MATCH($C417&amp;"_Therm Saved per Unit",Algorithms!$A:$A,0)),0)</f>
        <v>0.63181333333333334</v>
      </c>
      <c r="BE417" s="164" t="str">
        <f ca="1">IFERROR(INDEX('v12 Revisions'!$P$29:$P$186, MATCH('Measure-Level Adj Gas'!$L417, 'v12 Revisions'!$D$29:$D$186,0)),"")</f>
        <v/>
      </c>
      <c r="BF417" s="266">
        <f t="shared" ca="1" si="260"/>
        <v>0</v>
      </c>
      <c r="BG417" s="264">
        <f t="shared" ca="1" si="261"/>
        <v>0</v>
      </c>
      <c r="BH417" s="262"/>
      <c r="BI417" s="262"/>
      <c r="BJ417" s="265">
        <f ca="1">IFERROR(INDEX(Algorithms!$G:$G,MATCH($C417&amp;"_Therm Saved per Unit",Algorithms!$A:$A,0)),0)</f>
        <v>0.63181333333333334</v>
      </c>
      <c r="BK417" s="164"/>
      <c r="BL417" s="266">
        <f t="shared" ca="1" si="262"/>
        <v>0</v>
      </c>
      <c r="BM417" s="264">
        <f t="shared" ca="1" si="263"/>
        <v>0</v>
      </c>
      <c r="BN417" s="266">
        <f t="shared" si="264"/>
        <v>0</v>
      </c>
      <c r="BO417" s="266">
        <f t="shared" si="265"/>
        <v>0</v>
      </c>
      <c r="BP417" s="266">
        <f t="shared" ca="1" si="266"/>
        <v>0</v>
      </c>
      <c r="BQ417" s="266">
        <f t="shared" ca="1" si="267"/>
        <v>0</v>
      </c>
      <c r="BR417" s="268">
        <f t="shared" ca="1" si="268"/>
        <v>0</v>
      </c>
      <c r="BS417" s="262" t="s">
        <v>99</v>
      </c>
      <c r="BT417" s="277"/>
      <c r="BW417" s="266">
        <f t="shared" si="269"/>
        <v>0</v>
      </c>
      <c r="BX417" s="266">
        <f t="shared" si="270"/>
        <v>0</v>
      </c>
      <c r="BY417" s="266">
        <f t="shared" si="271"/>
        <v>0</v>
      </c>
      <c r="BZ417" s="266">
        <f t="shared" si="272"/>
        <v>0</v>
      </c>
      <c r="CA417" s="266">
        <f ca="1">N417*IFERROR(INDEX(Algorithms!$G:$G,MATCH($C417&amp;"_Therm Saved per Unit- MLA",Algorithms!$A:$A,0)),0)*X417</f>
        <v>0</v>
      </c>
      <c r="CB417" s="266">
        <f ca="1">O417*IFERROR(INDEX(Algorithms!$G:$G,MATCH($C417&amp;"_Therm Saved per Unit- MLA",Algorithms!$A:$A,0)),0)*Y417</f>
        <v>0</v>
      </c>
      <c r="CC417" s="266">
        <f ca="1">P417*IFERROR(INDEX(Algorithms!$G:$G,MATCH($C417&amp;"_Therm Saved per Unit- MLA",Algorithms!$A:$A,0)),0)*Z417</f>
        <v>0</v>
      </c>
      <c r="CD417" s="266">
        <f ca="1">Q417*IFERROR(INDEX(Algorithms!$G:$G,MATCH($C417&amp;"_Therm Saved per Unit- MLA",Algorithms!$A:$A,0)),0)*AA417</f>
        <v>0</v>
      </c>
      <c r="CE417" s="266">
        <f ca="1">IFERROR(INDEX(Algorithms!$G:$G,MATCH($C417&amp;"_Lifetime (years)",Algorithms!$A:$A,0)),0)</f>
        <v>20</v>
      </c>
      <c r="CF417" s="266">
        <f ca="1">IFERROR(INDEX(Algorithms!$G:$G,MATCH($C417&amp;"_Lifetime (years) - Remaining Years",Algorithms!$A:$A,0)),0)</f>
        <v>0</v>
      </c>
      <c r="CG417" s="266">
        <f t="shared" ca="1" si="273"/>
        <v>0</v>
      </c>
      <c r="CH417" s="266">
        <f t="shared" ca="1" si="274"/>
        <v>0</v>
      </c>
      <c r="CI417" s="266">
        <f t="shared" ca="1" si="275"/>
        <v>0</v>
      </c>
      <c r="CJ417" s="266">
        <f t="shared" ca="1" si="276"/>
        <v>0</v>
      </c>
      <c r="CK417" s="266">
        <f t="shared" si="277"/>
        <v>0</v>
      </c>
      <c r="CL417" s="266">
        <f t="shared" si="278"/>
        <v>0</v>
      </c>
      <c r="CM417" s="266">
        <f t="shared" ca="1" si="279"/>
        <v>0</v>
      </c>
      <c r="CN417" s="266">
        <f t="shared" ca="1" si="280"/>
        <v>0</v>
      </c>
      <c r="CO417" s="266">
        <f ca="1">N417*IFERROR(INDEX(Algorithms!$G:$G,MATCH($C417&amp;"_Therm Saved per Unit- MLA",Algorithms!$A:$A,0)),0)*X417</f>
        <v>0</v>
      </c>
      <c r="CP417" s="266">
        <f ca="1">O417*IFERROR(INDEX(Algorithms!$G:$G,MATCH($C417&amp;"_Therm Saved per Unit- MLA",Algorithms!$A:$A,0)),0)*Y417</f>
        <v>0</v>
      </c>
      <c r="CQ417" s="266">
        <f ca="1">P417*IFERROR(INDEX(Algorithms!$G:$G,MATCH($C417&amp;"_Therm Saved per Unit- MLA",Algorithms!$A:$A,0)),0)*Z417</f>
        <v>0</v>
      </c>
      <c r="CR417" s="266">
        <f ca="1">Q417*IFERROR(INDEX(Algorithms!$G:$G,MATCH($C417&amp;"_Therm Saved per Unit- MLA",Algorithms!$A:$A,0)),0)*AA417</f>
        <v>0</v>
      </c>
      <c r="CS417" s="266">
        <f ca="1">IFERROR(INDEX(Algorithms!$G:$G,MATCH($C417&amp;"_Lifetime (years)",Algorithms!$A:$A,0)),0)</f>
        <v>20</v>
      </c>
      <c r="CT417" s="266">
        <f ca="1">IFERROR(INDEX(Algorithms!$G:$G,MATCH($C417&amp;"_Lifetime (years) - Remaining Years",Algorithms!$A:$A,0)),0)</f>
        <v>0</v>
      </c>
      <c r="CU417" s="266">
        <f t="shared" ca="1" si="281"/>
        <v>0</v>
      </c>
      <c r="CV417" s="266">
        <f t="shared" ca="1" si="282"/>
        <v>0</v>
      </c>
      <c r="CW417" s="266">
        <f t="shared" ca="1" si="283"/>
        <v>0</v>
      </c>
      <c r="CX417" s="266">
        <f t="shared" ca="1" si="284"/>
        <v>0</v>
      </c>
    </row>
    <row r="418" spans="2:102" s="47" customFormat="1" ht="18" customHeight="1" x14ac:dyDescent="0.25">
      <c r="B418" t="str">
        <f t="shared" si="285"/>
        <v>NSG_Residential_Multi-Family_Partner Trade Ally Rebate_Modulating Commercial Gas Clothes Dryer_Hotels &amp; Hospitals_CI</v>
      </c>
      <c r="C418" s="47" t="str">
        <f t="shared" si="246"/>
        <v>Modulating Commercial Gas Clothes Dryer_Hotels &amp; Hospitals_CI</v>
      </c>
      <c r="D418" s="270" t="s">
        <v>1787</v>
      </c>
      <c r="E418" s="270" t="s">
        <v>2</v>
      </c>
      <c r="F418" s="270" t="s">
        <v>1422</v>
      </c>
      <c r="G418" s="270" t="s">
        <v>1799</v>
      </c>
      <c r="H418" s="270" t="s">
        <v>12</v>
      </c>
      <c r="I418" s="270" t="s">
        <v>1253</v>
      </c>
      <c r="J418" s="270" t="s">
        <v>1159</v>
      </c>
      <c r="K418" s="263">
        <v>1</v>
      </c>
      <c r="L418" s="263" t="str">
        <f ca="1">IFERROR(INDEX(Algorithms!J:J,MATCH($C418&amp;"_Therm Saved per Unit",Algorithms!$A:$A,0)),"n/a")</f>
        <v>4.8.4</v>
      </c>
      <c r="M418" s="263" t="str">
        <f>IFERROR(INDEX('Measure Level Detail'!$N:$N,MATCH($B418,'Measure Level Detail'!$B:$B,0)),0)</f>
        <v>each</v>
      </c>
      <c r="N418" s="271">
        <f>IFERROR(INDEX('Measure Level Detail'!$P:$P,MATCH($B418&amp;"_"&amp;N$3,'Measure Level Detail'!$C:$C,0)),0)</f>
        <v>0</v>
      </c>
      <c r="O418" s="271">
        <f>IFERROR(INDEX('Measure Level Detail'!$P:$P,MATCH($B418&amp;"_"&amp;O$3,'Measure Level Detail'!$C:$C,0)),0)</f>
        <v>0</v>
      </c>
      <c r="P418" s="271">
        <f>IFERROR(INDEX('Measure Level Detail'!$P:$P,MATCH($B418&amp;"_"&amp;P$3,'Measure Level Detail'!$C:$C,0)),0)</f>
        <v>0</v>
      </c>
      <c r="Q418" s="271">
        <f>IFERROR(INDEX('Measure Level Detail'!$P:$P,MATCH($B418&amp;"_"&amp;Q$3,'Measure Level Detail'!$C:$C,0)),0)</f>
        <v>0</v>
      </c>
      <c r="R418" s="263" t="str">
        <f ca="1">IFERROR(INDEX(Algorithms!K:K,MATCH($C418&amp;"_Therm Saved per Unit",Algorithms!$A:$A,0)),"n/a")</f>
        <v>CI-MSC-MODD-V02-230101</v>
      </c>
      <c r="S418" s="262"/>
      <c r="T418" s="272">
        <v>649.26</v>
      </c>
      <c r="U418" s="272">
        <v>649.26</v>
      </c>
      <c r="V418" s="272">
        <v>649.26</v>
      </c>
      <c r="W418" s="272">
        <v>649.26</v>
      </c>
      <c r="X418" s="273">
        <f>IFERROR(INDEX('Measure Level Detail'!$R:$R,MATCH($B418&amp;"_"&amp;X$3,'Measure Level Detail'!$C:$C,0)),0)</f>
        <v>0.87</v>
      </c>
      <c r="Y418" s="273">
        <f>IFERROR(INDEX('Measure Level Detail'!$R:$R,MATCH($B418&amp;"_"&amp;Y$3,'Measure Level Detail'!$C:$C,0)),0)</f>
        <v>0.87</v>
      </c>
      <c r="Z418" s="273">
        <f>IFERROR(INDEX('Measure Level Detail'!$R:$R,MATCH($B418&amp;"_"&amp;Z$3,'Measure Level Detail'!$C:$C,0)),0)</f>
        <v>0.87</v>
      </c>
      <c r="AA418" s="273">
        <f>IFERROR(INDEX('Measure Level Detail'!$R:$R,MATCH($B418&amp;"_"&amp;AA$3,'Measure Level Detail'!$C:$C,0)),0)</f>
        <v>0.87</v>
      </c>
      <c r="AB418" s="266">
        <f t="shared" si="247"/>
        <v>0</v>
      </c>
      <c r="AC418" s="266">
        <f t="shared" si="248"/>
        <v>0</v>
      </c>
      <c r="AD418" s="266">
        <f t="shared" si="249"/>
        <v>0</v>
      </c>
      <c r="AE418" s="266">
        <f t="shared" si="250"/>
        <v>0</v>
      </c>
      <c r="AF418" s="266">
        <f t="shared" si="251"/>
        <v>0</v>
      </c>
      <c r="AG418" s="274">
        <v>0.87</v>
      </c>
      <c r="AH418" s="274">
        <v>0.87</v>
      </c>
      <c r="AI418" s="710">
        <v>0.88</v>
      </c>
      <c r="AJ418" s="710">
        <v>0.88</v>
      </c>
      <c r="AK418" s="274">
        <f t="shared" si="252"/>
        <v>0.87</v>
      </c>
      <c r="AL418" s="274">
        <f t="shared" si="253"/>
        <v>0.87</v>
      </c>
      <c r="AM418" s="274">
        <f t="shared" si="254"/>
        <v>0.87</v>
      </c>
      <c r="AN418" s="274">
        <f t="shared" si="255"/>
        <v>0.87</v>
      </c>
      <c r="AO418" s="262"/>
      <c r="AP418" s="262"/>
      <c r="AQ418" s="267">
        <v>649.26</v>
      </c>
      <c r="AR418" s="262"/>
      <c r="AS418" s="266">
        <f t="shared" si="256"/>
        <v>0</v>
      </c>
      <c r="AT418" s="264">
        <f t="shared" si="257"/>
        <v>0</v>
      </c>
      <c r="AU418" s="262"/>
      <c r="AV418" s="262"/>
      <c r="AW418" s="265">
        <v>649.26</v>
      </c>
      <c r="AX418" s="164" t="s">
        <v>2396</v>
      </c>
      <c r="AY418" s="266">
        <v>0</v>
      </c>
      <c r="AZ418" s="266">
        <f t="shared" si="258"/>
        <v>0</v>
      </c>
      <c r="BA418" s="264">
        <f t="shared" si="259"/>
        <v>0</v>
      </c>
      <c r="BB418" s="262"/>
      <c r="BC418" s="262"/>
      <c r="BD418" s="265">
        <f ca="1">IFERROR(INDEX(Algorithms!$G:$G,MATCH($C418&amp;"_Therm Saved per Unit",Algorithms!$A:$A,0)),0)</f>
        <v>649.26</v>
      </c>
      <c r="BE418" s="164" t="str">
        <f ca="1">IFERROR(INDEX('v12 Revisions'!$P$29:$P$186, MATCH('Measure-Level Adj Gas'!$L418, 'v12 Revisions'!$D$29:$D$186,0)),"")</f>
        <v/>
      </c>
      <c r="BF418" s="266">
        <f t="shared" ca="1" si="260"/>
        <v>0</v>
      </c>
      <c r="BG418" s="264">
        <f t="shared" ca="1" si="261"/>
        <v>0</v>
      </c>
      <c r="BH418" s="262"/>
      <c r="BI418" s="262"/>
      <c r="BJ418" s="265">
        <f ca="1">IFERROR(INDEX(Algorithms!$G:$G,MATCH($C418&amp;"_Therm Saved per Unit",Algorithms!$A:$A,0)),0)</f>
        <v>649.26</v>
      </c>
      <c r="BK418" s="164"/>
      <c r="BL418" s="266">
        <f t="shared" ca="1" si="262"/>
        <v>0</v>
      </c>
      <c r="BM418" s="264">
        <f t="shared" ca="1" si="263"/>
        <v>0</v>
      </c>
      <c r="BN418" s="266">
        <f t="shared" si="264"/>
        <v>0</v>
      </c>
      <c r="BO418" s="266">
        <f t="shared" si="265"/>
        <v>0</v>
      </c>
      <c r="BP418" s="266">
        <f t="shared" ca="1" si="266"/>
        <v>0</v>
      </c>
      <c r="BQ418" s="266">
        <f t="shared" ca="1" si="267"/>
        <v>0</v>
      </c>
      <c r="BR418" s="268">
        <f t="shared" ca="1" si="268"/>
        <v>0</v>
      </c>
      <c r="BS418" s="262" t="s">
        <v>99</v>
      </c>
      <c r="BT418" s="277"/>
      <c r="BW418" s="266">
        <f t="shared" si="269"/>
        <v>0</v>
      </c>
      <c r="BX418" s="266">
        <f t="shared" si="270"/>
        <v>0</v>
      </c>
      <c r="BY418" s="266">
        <f t="shared" si="271"/>
        <v>0</v>
      </c>
      <c r="BZ418" s="266">
        <f t="shared" si="272"/>
        <v>0</v>
      </c>
      <c r="CA418" s="266">
        <f ca="1">N418*IFERROR(INDEX(Algorithms!$G:$G,MATCH($C418&amp;"_Therm Saved per Unit- MLA",Algorithms!$A:$A,0)),0)*X418</f>
        <v>0</v>
      </c>
      <c r="CB418" s="266">
        <f ca="1">O418*IFERROR(INDEX(Algorithms!$G:$G,MATCH($C418&amp;"_Therm Saved per Unit- MLA",Algorithms!$A:$A,0)),0)*Y418</f>
        <v>0</v>
      </c>
      <c r="CC418" s="266">
        <f ca="1">P418*IFERROR(INDEX(Algorithms!$G:$G,MATCH($C418&amp;"_Therm Saved per Unit- MLA",Algorithms!$A:$A,0)),0)*Z418</f>
        <v>0</v>
      </c>
      <c r="CD418" s="266">
        <f ca="1">Q418*IFERROR(INDEX(Algorithms!$G:$G,MATCH($C418&amp;"_Therm Saved per Unit- MLA",Algorithms!$A:$A,0)),0)*AA418</f>
        <v>0</v>
      </c>
      <c r="CE418" s="266">
        <f ca="1">IFERROR(INDEX(Algorithms!$G:$G,MATCH($C418&amp;"_Lifetime (years)",Algorithms!$A:$A,0)),0)</f>
        <v>10</v>
      </c>
      <c r="CF418" s="266">
        <f ca="1">IFERROR(INDEX(Algorithms!$G:$G,MATCH($C418&amp;"_Lifetime (years) - Remaining Years",Algorithms!$A:$A,0)),0)</f>
        <v>0</v>
      </c>
      <c r="CG418" s="266">
        <f t="shared" ca="1" si="273"/>
        <v>0</v>
      </c>
      <c r="CH418" s="266">
        <f t="shared" ca="1" si="274"/>
        <v>0</v>
      </c>
      <c r="CI418" s="266">
        <f t="shared" ca="1" si="275"/>
        <v>0</v>
      </c>
      <c r="CJ418" s="266">
        <f t="shared" ca="1" si="276"/>
        <v>0</v>
      </c>
      <c r="CK418" s="266">
        <f t="shared" si="277"/>
        <v>0</v>
      </c>
      <c r="CL418" s="266">
        <f t="shared" si="278"/>
        <v>0</v>
      </c>
      <c r="CM418" s="266">
        <f t="shared" ca="1" si="279"/>
        <v>0</v>
      </c>
      <c r="CN418" s="266">
        <f t="shared" ca="1" si="280"/>
        <v>0</v>
      </c>
      <c r="CO418" s="266">
        <f ca="1">N418*IFERROR(INDEX(Algorithms!$G:$G,MATCH($C418&amp;"_Therm Saved per Unit- MLA",Algorithms!$A:$A,0)),0)*X418</f>
        <v>0</v>
      </c>
      <c r="CP418" s="266">
        <f ca="1">O418*IFERROR(INDEX(Algorithms!$G:$G,MATCH($C418&amp;"_Therm Saved per Unit- MLA",Algorithms!$A:$A,0)),0)*Y418</f>
        <v>0</v>
      </c>
      <c r="CQ418" s="266">
        <f ca="1">P418*IFERROR(INDEX(Algorithms!$G:$G,MATCH($C418&amp;"_Therm Saved per Unit- MLA",Algorithms!$A:$A,0)),0)*Z418</f>
        <v>0</v>
      </c>
      <c r="CR418" s="266">
        <f ca="1">Q418*IFERROR(INDEX(Algorithms!$G:$G,MATCH($C418&amp;"_Therm Saved per Unit- MLA",Algorithms!$A:$A,0)),0)*AA418</f>
        <v>0</v>
      </c>
      <c r="CS418" s="266">
        <f ca="1">IFERROR(INDEX(Algorithms!$G:$G,MATCH($C418&amp;"_Lifetime (years)",Algorithms!$A:$A,0)),0)</f>
        <v>10</v>
      </c>
      <c r="CT418" s="266">
        <f ca="1">IFERROR(INDEX(Algorithms!$G:$G,MATCH($C418&amp;"_Lifetime (years) - Remaining Years",Algorithms!$A:$A,0)),0)</f>
        <v>0</v>
      </c>
      <c r="CU418" s="266">
        <f t="shared" ca="1" si="281"/>
        <v>0</v>
      </c>
      <c r="CV418" s="266">
        <f t="shared" ca="1" si="282"/>
        <v>0</v>
      </c>
      <c r="CW418" s="266">
        <f t="shared" ca="1" si="283"/>
        <v>0</v>
      </c>
      <c r="CX418" s="266">
        <f t="shared" ca="1" si="284"/>
        <v>0</v>
      </c>
    </row>
    <row r="419" spans="2:102" s="47" customFormat="1" ht="18" customHeight="1" x14ac:dyDescent="0.25">
      <c r="B419" t="str">
        <f t="shared" si="285"/>
        <v>NSG_Residential_Multi-Family_Partner Trade Ally Rebate_Modulating Commercial Gas Clothes Dryer_Laundromat &amp; MF Dorms_MF/SMB</v>
      </c>
      <c r="C419" s="47" t="str">
        <f t="shared" si="246"/>
        <v>Modulating Commercial Gas Clothes Dryer_Laundromat &amp; MF Dorms_MF/SMB</v>
      </c>
      <c r="D419" s="270" t="s">
        <v>1787</v>
      </c>
      <c r="E419" s="270" t="s">
        <v>2</v>
      </c>
      <c r="F419" s="270" t="s">
        <v>1422</v>
      </c>
      <c r="G419" s="270" t="s">
        <v>1799</v>
      </c>
      <c r="H419" s="270" t="s">
        <v>12</v>
      </c>
      <c r="I419" s="270" t="s">
        <v>1255</v>
      </c>
      <c r="J419" s="270" t="s">
        <v>1256</v>
      </c>
      <c r="K419" s="263">
        <v>1</v>
      </c>
      <c r="L419" s="263" t="str">
        <f ca="1">IFERROR(INDEX(Algorithms!J:J,MATCH($C419&amp;"_Therm Saved per Unit",Algorithms!$A:$A,0)),"n/a")</f>
        <v>4.8.4</v>
      </c>
      <c r="M419" s="263" t="str">
        <f>IFERROR(INDEX('Measure Level Detail'!$N:$N,MATCH($B419,'Measure Level Detail'!$B:$B,0)),0)</f>
        <v>each</v>
      </c>
      <c r="N419" s="271">
        <f>IFERROR(INDEX('Measure Level Detail'!$P:$P,MATCH($B419&amp;"_"&amp;N$3,'Measure Level Detail'!$C:$C,0)),0)</f>
        <v>0</v>
      </c>
      <c r="O419" s="271">
        <f>IFERROR(INDEX('Measure Level Detail'!$P:$P,MATCH($B419&amp;"_"&amp;O$3,'Measure Level Detail'!$C:$C,0)),0)</f>
        <v>0</v>
      </c>
      <c r="P419" s="271">
        <f>IFERROR(INDEX('Measure Level Detail'!$P:$P,MATCH($B419&amp;"_"&amp;P$3,'Measure Level Detail'!$C:$C,0)),0)</f>
        <v>0</v>
      </c>
      <c r="Q419" s="271">
        <f>IFERROR(INDEX('Measure Level Detail'!$P:$P,MATCH($B419&amp;"_"&amp;Q$3,'Measure Level Detail'!$C:$C,0)),0)</f>
        <v>0</v>
      </c>
      <c r="R419" s="263" t="str">
        <f ca="1">IFERROR(INDEX(Algorithms!K:K,MATCH($C419&amp;"_Therm Saved per Unit",Algorithms!$A:$A,0)),"n/a")</f>
        <v>CI-MSC-MODD-V02-230101</v>
      </c>
      <c r="S419" s="262"/>
      <c r="T419" s="272">
        <v>230.13</v>
      </c>
      <c r="U419" s="272">
        <v>230.13</v>
      </c>
      <c r="V419" s="272">
        <v>230.13</v>
      </c>
      <c r="W419" s="272">
        <v>230.13</v>
      </c>
      <c r="X419" s="273">
        <f>IFERROR(INDEX('Measure Level Detail'!$R:$R,MATCH($B419&amp;"_"&amp;X$3,'Measure Level Detail'!$C:$C,0)),0)</f>
        <v>0.87</v>
      </c>
      <c r="Y419" s="273">
        <f>IFERROR(INDEX('Measure Level Detail'!$R:$R,MATCH($B419&amp;"_"&amp;Y$3,'Measure Level Detail'!$C:$C,0)),0)</f>
        <v>0.87</v>
      </c>
      <c r="Z419" s="273">
        <f>IFERROR(INDEX('Measure Level Detail'!$R:$R,MATCH($B419&amp;"_"&amp;Z$3,'Measure Level Detail'!$C:$C,0)),0)</f>
        <v>0.87</v>
      </c>
      <c r="AA419" s="273">
        <f>IFERROR(INDEX('Measure Level Detail'!$R:$R,MATCH($B419&amp;"_"&amp;AA$3,'Measure Level Detail'!$C:$C,0)),0)</f>
        <v>0.87</v>
      </c>
      <c r="AB419" s="266">
        <f t="shared" si="247"/>
        <v>0</v>
      </c>
      <c r="AC419" s="266">
        <f t="shared" si="248"/>
        <v>0</v>
      </c>
      <c r="AD419" s="266">
        <f t="shared" si="249"/>
        <v>0</v>
      </c>
      <c r="AE419" s="266">
        <f t="shared" si="250"/>
        <v>0</v>
      </c>
      <c r="AF419" s="266">
        <f t="shared" si="251"/>
        <v>0</v>
      </c>
      <c r="AG419" s="274">
        <v>0.87</v>
      </c>
      <c r="AH419" s="274">
        <v>0.87</v>
      </c>
      <c r="AI419" s="710">
        <v>0.88</v>
      </c>
      <c r="AJ419" s="710">
        <v>0.88</v>
      </c>
      <c r="AK419" s="274">
        <f t="shared" si="252"/>
        <v>0.87</v>
      </c>
      <c r="AL419" s="274">
        <f t="shared" si="253"/>
        <v>0.87</v>
      </c>
      <c r="AM419" s="274">
        <f t="shared" si="254"/>
        <v>0.87</v>
      </c>
      <c r="AN419" s="274">
        <f t="shared" si="255"/>
        <v>0.87</v>
      </c>
      <c r="AO419" s="262"/>
      <c r="AP419" s="262"/>
      <c r="AQ419" s="267">
        <v>230.13</v>
      </c>
      <c r="AR419" s="262"/>
      <c r="AS419" s="266">
        <f t="shared" si="256"/>
        <v>0</v>
      </c>
      <c r="AT419" s="264">
        <f t="shared" si="257"/>
        <v>0</v>
      </c>
      <c r="AU419" s="262"/>
      <c r="AV419" s="262"/>
      <c r="AW419" s="265">
        <v>230.13</v>
      </c>
      <c r="AX419" s="164" t="s">
        <v>2396</v>
      </c>
      <c r="AY419" s="266">
        <v>0</v>
      </c>
      <c r="AZ419" s="266">
        <f t="shared" si="258"/>
        <v>0</v>
      </c>
      <c r="BA419" s="264">
        <f t="shared" si="259"/>
        <v>0</v>
      </c>
      <c r="BB419" s="262"/>
      <c r="BC419" s="262"/>
      <c r="BD419" s="265">
        <f ca="1">IFERROR(INDEX(Algorithms!$G:$G,MATCH($C419&amp;"_Therm Saved per Unit",Algorithms!$A:$A,0)),0)</f>
        <v>230.13</v>
      </c>
      <c r="BE419" s="164" t="str">
        <f ca="1">IFERROR(INDEX('v12 Revisions'!$P$29:$P$186, MATCH('Measure-Level Adj Gas'!$L419, 'v12 Revisions'!$D$29:$D$186,0)),"")</f>
        <v/>
      </c>
      <c r="BF419" s="266">
        <f t="shared" ca="1" si="260"/>
        <v>0</v>
      </c>
      <c r="BG419" s="264">
        <f t="shared" ca="1" si="261"/>
        <v>0</v>
      </c>
      <c r="BH419" s="262"/>
      <c r="BI419" s="262"/>
      <c r="BJ419" s="265">
        <f ca="1">IFERROR(INDEX(Algorithms!$G:$G,MATCH($C419&amp;"_Therm Saved per Unit",Algorithms!$A:$A,0)),0)</f>
        <v>230.13</v>
      </c>
      <c r="BK419" s="164"/>
      <c r="BL419" s="266">
        <f t="shared" ca="1" si="262"/>
        <v>0</v>
      </c>
      <c r="BM419" s="264">
        <f t="shared" ca="1" si="263"/>
        <v>0</v>
      </c>
      <c r="BN419" s="266">
        <f t="shared" si="264"/>
        <v>0</v>
      </c>
      <c r="BO419" s="266">
        <f t="shared" si="265"/>
        <v>0</v>
      </c>
      <c r="BP419" s="266">
        <f t="shared" ca="1" si="266"/>
        <v>0</v>
      </c>
      <c r="BQ419" s="266">
        <f t="shared" ca="1" si="267"/>
        <v>0</v>
      </c>
      <c r="BR419" s="268">
        <f t="shared" ca="1" si="268"/>
        <v>0</v>
      </c>
      <c r="BS419" s="262" t="s">
        <v>99</v>
      </c>
      <c r="BT419" s="277"/>
      <c r="BW419" s="266">
        <f t="shared" si="269"/>
        <v>0</v>
      </c>
      <c r="BX419" s="266">
        <f t="shared" si="270"/>
        <v>0</v>
      </c>
      <c r="BY419" s="266">
        <f t="shared" si="271"/>
        <v>0</v>
      </c>
      <c r="BZ419" s="266">
        <f t="shared" si="272"/>
        <v>0</v>
      </c>
      <c r="CA419" s="266">
        <f ca="1">N419*IFERROR(INDEX(Algorithms!$G:$G,MATCH($C419&amp;"_Therm Saved per Unit- MLA",Algorithms!$A:$A,0)),0)*X419</f>
        <v>0</v>
      </c>
      <c r="CB419" s="266">
        <f ca="1">O419*IFERROR(INDEX(Algorithms!$G:$G,MATCH($C419&amp;"_Therm Saved per Unit- MLA",Algorithms!$A:$A,0)),0)*Y419</f>
        <v>0</v>
      </c>
      <c r="CC419" s="266">
        <f ca="1">P419*IFERROR(INDEX(Algorithms!$G:$G,MATCH($C419&amp;"_Therm Saved per Unit- MLA",Algorithms!$A:$A,0)),0)*Z419</f>
        <v>0</v>
      </c>
      <c r="CD419" s="266">
        <f ca="1">Q419*IFERROR(INDEX(Algorithms!$G:$G,MATCH($C419&amp;"_Therm Saved per Unit- MLA",Algorithms!$A:$A,0)),0)*AA419</f>
        <v>0</v>
      </c>
      <c r="CE419" s="266">
        <f ca="1">IFERROR(INDEX(Algorithms!$G:$G,MATCH($C419&amp;"_Lifetime (years)",Algorithms!$A:$A,0)),0)</f>
        <v>10</v>
      </c>
      <c r="CF419" s="266">
        <f ca="1">IFERROR(INDEX(Algorithms!$G:$G,MATCH($C419&amp;"_Lifetime (years) - Remaining Years",Algorithms!$A:$A,0)),0)</f>
        <v>0</v>
      </c>
      <c r="CG419" s="266">
        <f t="shared" ca="1" si="273"/>
        <v>0</v>
      </c>
      <c r="CH419" s="266">
        <f t="shared" ca="1" si="274"/>
        <v>0</v>
      </c>
      <c r="CI419" s="266">
        <f t="shared" ca="1" si="275"/>
        <v>0</v>
      </c>
      <c r="CJ419" s="266">
        <f t="shared" ca="1" si="276"/>
        <v>0</v>
      </c>
      <c r="CK419" s="266">
        <f t="shared" si="277"/>
        <v>0</v>
      </c>
      <c r="CL419" s="266">
        <f t="shared" si="278"/>
        <v>0</v>
      </c>
      <c r="CM419" s="266">
        <f t="shared" ca="1" si="279"/>
        <v>0</v>
      </c>
      <c r="CN419" s="266">
        <f t="shared" ca="1" si="280"/>
        <v>0</v>
      </c>
      <c r="CO419" s="266">
        <f ca="1">N419*IFERROR(INDEX(Algorithms!$G:$G,MATCH($C419&amp;"_Therm Saved per Unit- MLA",Algorithms!$A:$A,0)),0)*X419</f>
        <v>0</v>
      </c>
      <c r="CP419" s="266">
        <f ca="1">O419*IFERROR(INDEX(Algorithms!$G:$G,MATCH($C419&amp;"_Therm Saved per Unit- MLA",Algorithms!$A:$A,0)),0)*Y419</f>
        <v>0</v>
      </c>
      <c r="CQ419" s="266">
        <f ca="1">P419*IFERROR(INDEX(Algorithms!$G:$G,MATCH($C419&amp;"_Therm Saved per Unit- MLA",Algorithms!$A:$A,0)),0)*Z419</f>
        <v>0</v>
      </c>
      <c r="CR419" s="266">
        <f ca="1">Q419*IFERROR(INDEX(Algorithms!$G:$G,MATCH($C419&amp;"_Therm Saved per Unit- MLA",Algorithms!$A:$A,0)),0)*AA419</f>
        <v>0</v>
      </c>
      <c r="CS419" s="266">
        <f ca="1">IFERROR(INDEX(Algorithms!$G:$G,MATCH($C419&amp;"_Lifetime (years)",Algorithms!$A:$A,0)),0)</f>
        <v>10</v>
      </c>
      <c r="CT419" s="266">
        <f ca="1">IFERROR(INDEX(Algorithms!$G:$G,MATCH($C419&amp;"_Lifetime (years) - Remaining Years",Algorithms!$A:$A,0)),0)</f>
        <v>0</v>
      </c>
      <c r="CU419" s="266">
        <f t="shared" ca="1" si="281"/>
        <v>0</v>
      </c>
      <c r="CV419" s="266">
        <f t="shared" ca="1" si="282"/>
        <v>0</v>
      </c>
      <c r="CW419" s="266">
        <f t="shared" ca="1" si="283"/>
        <v>0</v>
      </c>
      <c r="CX419" s="266">
        <f t="shared" ca="1" si="284"/>
        <v>0</v>
      </c>
    </row>
    <row r="420" spans="2:102" s="47" customFormat="1" ht="18" customHeight="1" x14ac:dyDescent="0.25">
      <c r="B420" t="str">
        <f t="shared" si="285"/>
        <v>NSG_Residential_Multi-Family_Partner Trade Ally Rebate_Water Heater_Central/Indirect MF ≥88% TE_MF</v>
      </c>
      <c r="C420" s="47" t="str">
        <f t="shared" si="246"/>
        <v>Water Heater_Central/Indirect MF ≥88% TE_MF</v>
      </c>
      <c r="D420" s="270" t="s">
        <v>1787</v>
      </c>
      <c r="E420" s="270" t="s">
        <v>2</v>
      </c>
      <c r="F420" s="270" t="s">
        <v>1422</v>
      </c>
      <c r="G420" s="270" t="s">
        <v>1799</v>
      </c>
      <c r="H420" s="270" t="s">
        <v>8</v>
      </c>
      <c r="I420" s="270" t="s">
        <v>1066</v>
      </c>
      <c r="J420" s="270" t="s">
        <v>553</v>
      </c>
      <c r="K420" s="263">
        <v>1</v>
      </c>
      <c r="L420" s="263" t="str">
        <f ca="1">IFERROR(INDEX(Algorithms!J:J,MATCH($C420&amp;"_Therm Saved per Unit",Algorithms!$A:$A,0)),"n/a")</f>
        <v>4.3.7</v>
      </c>
      <c r="M420" s="263" t="str">
        <f>IFERROR(INDEX('Measure Level Detail'!$N:$N,MATCH($B420,'Measure Level Detail'!$B:$B,0)),0)</f>
        <v>each</v>
      </c>
      <c r="N420" s="271">
        <f>IFERROR(INDEX('Measure Level Detail'!$P:$P,MATCH($B420&amp;"_"&amp;N$3,'Measure Level Detail'!$C:$C,0)),0)</f>
        <v>0</v>
      </c>
      <c r="O420" s="271">
        <f>IFERROR(INDEX('Measure Level Detail'!$P:$P,MATCH($B420&amp;"_"&amp;O$3,'Measure Level Detail'!$C:$C,0)),0)</f>
        <v>0</v>
      </c>
      <c r="P420" s="271">
        <f>IFERROR(INDEX('Measure Level Detail'!$P:$P,MATCH($B420&amp;"_"&amp;P$3,'Measure Level Detail'!$C:$C,0)),0)</f>
        <v>0</v>
      </c>
      <c r="Q420" s="271">
        <f>IFERROR(INDEX('Measure Level Detail'!$P:$P,MATCH($B420&amp;"_"&amp;Q$3,'Measure Level Detail'!$C:$C,0)),0)</f>
        <v>0</v>
      </c>
      <c r="R420" s="263" t="str">
        <f ca="1">IFERROR(INDEX(Algorithms!K:K,MATCH($C420&amp;"_Therm Saved per Unit",Algorithms!$A:$A,0)),"n/a")</f>
        <v>CI-HWE-MDHW-V07-240101</v>
      </c>
      <c r="S420" s="262"/>
      <c r="T420" s="272">
        <v>453.64159574999974</v>
      </c>
      <c r="U420" s="272">
        <v>453.64159574999974</v>
      </c>
      <c r="V420" s="272">
        <v>453.64159574999974</v>
      </c>
      <c r="W420" s="272">
        <v>453.64159574999974</v>
      </c>
      <c r="X420" s="273">
        <f>IFERROR(INDEX('Measure Level Detail'!$R:$R,MATCH($B420&amp;"_"&amp;X$3,'Measure Level Detail'!$C:$C,0)),0)</f>
        <v>0.87</v>
      </c>
      <c r="Y420" s="273">
        <f>IFERROR(INDEX('Measure Level Detail'!$R:$R,MATCH($B420&amp;"_"&amp;Y$3,'Measure Level Detail'!$C:$C,0)),0)</f>
        <v>0.87</v>
      </c>
      <c r="Z420" s="273">
        <f>IFERROR(INDEX('Measure Level Detail'!$R:$R,MATCH($B420&amp;"_"&amp;Z$3,'Measure Level Detail'!$C:$C,0)),0)</f>
        <v>0.87</v>
      </c>
      <c r="AA420" s="273">
        <f>IFERROR(INDEX('Measure Level Detail'!$R:$R,MATCH($B420&amp;"_"&amp;AA$3,'Measure Level Detail'!$C:$C,0)),0)</f>
        <v>0.87</v>
      </c>
      <c r="AB420" s="266">
        <f t="shared" si="247"/>
        <v>0</v>
      </c>
      <c r="AC420" s="266">
        <f t="shared" si="248"/>
        <v>0</v>
      </c>
      <c r="AD420" s="266">
        <f t="shared" si="249"/>
        <v>0</v>
      </c>
      <c r="AE420" s="266">
        <f t="shared" si="250"/>
        <v>0</v>
      </c>
      <c r="AF420" s="266">
        <f t="shared" si="251"/>
        <v>0</v>
      </c>
      <c r="AG420" s="274">
        <v>0.87</v>
      </c>
      <c r="AH420" s="274">
        <v>0.87</v>
      </c>
      <c r="AI420" s="710">
        <v>0.88</v>
      </c>
      <c r="AJ420" s="710">
        <v>0.88</v>
      </c>
      <c r="AK420" s="274">
        <f t="shared" si="252"/>
        <v>0.87</v>
      </c>
      <c r="AL420" s="274">
        <f t="shared" si="253"/>
        <v>0.87</v>
      </c>
      <c r="AM420" s="274">
        <f t="shared" si="254"/>
        <v>0.87</v>
      </c>
      <c r="AN420" s="274">
        <f t="shared" si="255"/>
        <v>0.87</v>
      </c>
      <c r="AO420" s="262"/>
      <c r="AP420" s="262"/>
      <c r="AQ420" s="267">
        <v>474.72634597499967</v>
      </c>
      <c r="AR420" s="262"/>
      <c r="AS420" s="266">
        <f t="shared" si="256"/>
        <v>0</v>
      </c>
      <c r="AT420" s="264">
        <f t="shared" si="257"/>
        <v>0</v>
      </c>
      <c r="AU420" s="262"/>
      <c r="AV420" s="262"/>
      <c r="AW420" s="265">
        <v>474.72634597499967</v>
      </c>
      <c r="AX420" s="164" t="s">
        <v>1469</v>
      </c>
      <c r="AY420" s="266">
        <v>0</v>
      </c>
      <c r="AZ420" s="266">
        <f t="shared" si="258"/>
        <v>0</v>
      </c>
      <c r="BA420" s="264">
        <f t="shared" si="259"/>
        <v>0</v>
      </c>
      <c r="BB420" s="262"/>
      <c r="BC420" s="262"/>
      <c r="BD420" s="265">
        <f ca="1">IFERROR(INDEX(Algorithms!$G:$G,MATCH($C420&amp;"_Therm Saved per Unit",Algorithms!$A:$A,0)),0)</f>
        <v>474.72634597499967</v>
      </c>
      <c r="BE420" s="164" t="str">
        <f ca="1">IFERROR(INDEX('v12 Revisions'!$P$29:$P$186, MATCH('Measure-Level Adj Gas'!$L420, 'v12 Revisions'!$D$29:$D$186,0)),"")</f>
        <v>n/a - language only.</v>
      </c>
      <c r="BF420" s="266">
        <f t="shared" ca="1" si="260"/>
        <v>0</v>
      </c>
      <c r="BG420" s="264">
        <f t="shared" ca="1" si="261"/>
        <v>0</v>
      </c>
      <c r="BH420" s="262"/>
      <c r="BI420" s="262"/>
      <c r="BJ420" s="265">
        <f ca="1">IFERROR(INDEX(Algorithms!$G:$G,MATCH($C420&amp;"_Therm Saved per Unit",Algorithms!$A:$A,0)),0)</f>
        <v>474.72634597499967</v>
      </c>
      <c r="BK420" s="164"/>
      <c r="BL420" s="266">
        <f t="shared" ca="1" si="262"/>
        <v>0</v>
      </c>
      <c r="BM420" s="264">
        <f t="shared" ca="1" si="263"/>
        <v>0</v>
      </c>
      <c r="BN420" s="266">
        <f t="shared" si="264"/>
        <v>0</v>
      </c>
      <c r="BO420" s="266">
        <f t="shared" si="265"/>
        <v>0</v>
      </c>
      <c r="BP420" s="266">
        <f t="shared" ca="1" si="266"/>
        <v>0</v>
      </c>
      <c r="BQ420" s="266">
        <f t="shared" ca="1" si="267"/>
        <v>0</v>
      </c>
      <c r="BR420" s="268">
        <f t="shared" ca="1" si="268"/>
        <v>0</v>
      </c>
      <c r="BS420" s="262" t="s">
        <v>99</v>
      </c>
      <c r="BT420" s="277"/>
      <c r="BW420" s="266">
        <f t="shared" si="269"/>
        <v>0</v>
      </c>
      <c r="BX420" s="266">
        <f t="shared" si="270"/>
        <v>0</v>
      </c>
      <c r="BY420" s="266">
        <f t="shared" si="271"/>
        <v>0</v>
      </c>
      <c r="BZ420" s="266">
        <f t="shared" si="272"/>
        <v>0</v>
      </c>
      <c r="CA420" s="266">
        <f ca="1">N420*IFERROR(INDEX(Algorithms!$G:$G,MATCH($C420&amp;"_Therm Saved per Unit- MLA",Algorithms!$A:$A,0)),0)*X420</f>
        <v>0</v>
      </c>
      <c r="CB420" s="266">
        <f ca="1">O420*IFERROR(INDEX(Algorithms!$G:$G,MATCH($C420&amp;"_Therm Saved per Unit- MLA",Algorithms!$A:$A,0)),0)*Y420</f>
        <v>0</v>
      </c>
      <c r="CC420" s="266">
        <f ca="1">P420*IFERROR(INDEX(Algorithms!$G:$G,MATCH($C420&amp;"_Therm Saved per Unit- MLA",Algorithms!$A:$A,0)),0)*Z420</f>
        <v>0</v>
      </c>
      <c r="CD420" s="266">
        <f ca="1">Q420*IFERROR(INDEX(Algorithms!$G:$G,MATCH($C420&amp;"_Therm Saved per Unit- MLA",Algorithms!$A:$A,0)),0)*AA420</f>
        <v>0</v>
      </c>
      <c r="CE420" s="266">
        <f ca="1">IFERROR(INDEX(Algorithms!$G:$G,MATCH($C420&amp;"_Lifetime (years)",Algorithms!$A:$A,0)),0)</f>
        <v>15</v>
      </c>
      <c r="CF420" s="266">
        <f ca="1">IFERROR(INDEX(Algorithms!$G:$G,MATCH($C420&amp;"_Lifetime (years) - Remaining Years",Algorithms!$A:$A,0)),0)</f>
        <v>0</v>
      </c>
      <c r="CG420" s="266">
        <f t="shared" ca="1" si="273"/>
        <v>0</v>
      </c>
      <c r="CH420" s="266">
        <f t="shared" ca="1" si="274"/>
        <v>0</v>
      </c>
      <c r="CI420" s="266">
        <f t="shared" ca="1" si="275"/>
        <v>0</v>
      </c>
      <c r="CJ420" s="266">
        <f t="shared" ca="1" si="276"/>
        <v>0</v>
      </c>
      <c r="CK420" s="266">
        <f t="shared" si="277"/>
        <v>0</v>
      </c>
      <c r="CL420" s="266">
        <f t="shared" si="278"/>
        <v>0</v>
      </c>
      <c r="CM420" s="266">
        <f t="shared" ca="1" si="279"/>
        <v>0</v>
      </c>
      <c r="CN420" s="266">
        <f t="shared" ca="1" si="280"/>
        <v>0</v>
      </c>
      <c r="CO420" s="266">
        <f ca="1">N420*IFERROR(INDEX(Algorithms!$G:$G,MATCH($C420&amp;"_Therm Saved per Unit- MLA",Algorithms!$A:$A,0)),0)*X420</f>
        <v>0</v>
      </c>
      <c r="CP420" s="266">
        <f ca="1">O420*IFERROR(INDEX(Algorithms!$G:$G,MATCH($C420&amp;"_Therm Saved per Unit- MLA",Algorithms!$A:$A,0)),0)*Y420</f>
        <v>0</v>
      </c>
      <c r="CQ420" s="266">
        <f ca="1">P420*IFERROR(INDEX(Algorithms!$G:$G,MATCH($C420&amp;"_Therm Saved per Unit- MLA",Algorithms!$A:$A,0)),0)*Z420</f>
        <v>0</v>
      </c>
      <c r="CR420" s="266">
        <f ca="1">Q420*IFERROR(INDEX(Algorithms!$G:$G,MATCH($C420&amp;"_Therm Saved per Unit- MLA",Algorithms!$A:$A,0)),0)*AA420</f>
        <v>0</v>
      </c>
      <c r="CS420" s="266">
        <f ca="1">IFERROR(INDEX(Algorithms!$G:$G,MATCH($C420&amp;"_Lifetime (years)",Algorithms!$A:$A,0)),0)</f>
        <v>15</v>
      </c>
      <c r="CT420" s="266">
        <f ca="1">IFERROR(INDEX(Algorithms!$G:$G,MATCH($C420&amp;"_Lifetime (years) - Remaining Years",Algorithms!$A:$A,0)),0)</f>
        <v>0</v>
      </c>
      <c r="CU420" s="266">
        <f t="shared" ca="1" si="281"/>
        <v>0</v>
      </c>
      <c r="CV420" s="266">
        <f t="shared" ca="1" si="282"/>
        <v>0</v>
      </c>
      <c r="CW420" s="266">
        <f t="shared" ca="1" si="283"/>
        <v>0</v>
      </c>
      <c r="CX420" s="266">
        <f t="shared" ca="1" si="284"/>
        <v>0</v>
      </c>
    </row>
    <row r="421" spans="2:102" s="47" customFormat="1" ht="18" customHeight="1" x14ac:dyDescent="0.25">
      <c r="B421" t="str">
        <f t="shared" si="285"/>
        <v>NSG_Residential_Multi-Family_Partner Trade Ally Rebate_Dock Door Seals_0_CI</v>
      </c>
      <c r="C421" s="47" t="str">
        <f t="shared" si="246"/>
        <v>Dock Door Seals_0_CI</v>
      </c>
      <c r="D421" s="270" t="s">
        <v>1787</v>
      </c>
      <c r="E421" s="270" t="s">
        <v>2</v>
      </c>
      <c r="F421" s="270" t="s">
        <v>1422</v>
      </c>
      <c r="G421" s="270" t="s">
        <v>1799</v>
      </c>
      <c r="H421" s="270" t="s">
        <v>1291</v>
      </c>
      <c r="I421" s="270">
        <v>0</v>
      </c>
      <c r="J421" s="270" t="s">
        <v>1159</v>
      </c>
      <c r="K421" s="263">
        <v>1</v>
      </c>
      <c r="L421" s="263">
        <f ca="1">IFERROR(INDEX(Algorithms!J:J,MATCH($C421&amp;"_Therm Saved per Unit",Algorithms!$A:$A,0)),"n/a")</f>
        <v>0</v>
      </c>
      <c r="M421" s="263" t="str">
        <f>IFERROR(INDEX('Measure Level Detail'!$N:$N,MATCH($B421,'Measure Level Detail'!$B:$B,0)),0)</f>
        <v>each</v>
      </c>
      <c r="N421" s="271">
        <f>IFERROR(INDEX('Measure Level Detail'!$P:$P,MATCH($B421&amp;"_"&amp;N$3,'Measure Level Detail'!$C:$C,0)),0)</f>
        <v>0</v>
      </c>
      <c r="O421" s="271">
        <f>IFERROR(INDEX('Measure Level Detail'!$P:$P,MATCH($B421&amp;"_"&amp;O$3,'Measure Level Detail'!$C:$C,0)),0)</f>
        <v>0</v>
      </c>
      <c r="P421" s="271">
        <f>IFERROR(INDEX('Measure Level Detail'!$P:$P,MATCH($B421&amp;"_"&amp;P$3,'Measure Level Detail'!$C:$C,0)),0)</f>
        <v>0</v>
      </c>
      <c r="Q421" s="271">
        <f>IFERROR(INDEX('Measure Level Detail'!$P:$P,MATCH($B421&amp;"_"&amp;Q$3,'Measure Level Detail'!$C:$C,0)),0)</f>
        <v>0</v>
      </c>
      <c r="R421" s="263">
        <f ca="1">IFERROR(INDEX(Algorithms!K:K,MATCH($C421&amp;"_Therm Saved per Unit",Algorithms!$A:$A,0)),"n/a")</f>
        <v>0</v>
      </c>
      <c r="S421" s="262"/>
      <c r="T421" s="272">
        <v>234.94825714285713</v>
      </c>
      <c r="U421" s="272">
        <v>234.94825714285713</v>
      </c>
      <c r="V421" s="272">
        <v>234.94825714285713</v>
      </c>
      <c r="W421" s="272">
        <v>234.94825714285713</v>
      </c>
      <c r="X421" s="273">
        <f>IFERROR(INDEX('Measure Level Detail'!$R:$R,MATCH($B421&amp;"_"&amp;X$3,'Measure Level Detail'!$C:$C,0)),0)</f>
        <v>0.87</v>
      </c>
      <c r="Y421" s="273">
        <f>IFERROR(INDEX('Measure Level Detail'!$R:$R,MATCH($B421&amp;"_"&amp;Y$3,'Measure Level Detail'!$C:$C,0)),0)</f>
        <v>0.87</v>
      </c>
      <c r="Z421" s="273">
        <f>IFERROR(INDEX('Measure Level Detail'!$R:$R,MATCH($B421&amp;"_"&amp;Z$3,'Measure Level Detail'!$C:$C,0)),0)</f>
        <v>0.87</v>
      </c>
      <c r="AA421" s="273">
        <f>IFERROR(INDEX('Measure Level Detail'!$R:$R,MATCH($B421&amp;"_"&amp;AA$3,'Measure Level Detail'!$C:$C,0)),0)</f>
        <v>0.87</v>
      </c>
      <c r="AB421" s="266">
        <f t="shared" si="247"/>
        <v>0</v>
      </c>
      <c r="AC421" s="266">
        <f t="shared" si="248"/>
        <v>0</v>
      </c>
      <c r="AD421" s="266">
        <f t="shared" si="249"/>
        <v>0</v>
      </c>
      <c r="AE421" s="266">
        <f t="shared" si="250"/>
        <v>0</v>
      </c>
      <c r="AF421" s="266">
        <f t="shared" si="251"/>
        <v>0</v>
      </c>
      <c r="AG421" s="274">
        <v>0.87</v>
      </c>
      <c r="AH421" s="274">
        <v>0.87</v>
      </c>
      <c r="AI421" s="710">
        <v>0.88</v>
      </c>
      <c r="AJ421" s="710">
        <v>0.88</v>
      </c>
      <c r="AK421" s="274">
        <f t="shared" si="252"/>
        <v>0.87</v>
      </c>
      <c r="AL421" s="274">
        <f t="shared" si="253"/>
        <v>0.87</v>
      </c>
      <c r="AM421" s="274">
        <f t="shared" si="254"/>
        <v>0.87</v>
      </c>
      <c r="AN421" s="274">
        <f t="shared" si="255"/>
        <v>0.87</v>
      </c>
      <c r="AO421" s="262"/>
      <c r="AP421" s="262"/>
      <c r="AQ421" s="267">
        <v>234.94825714285713</v>
      </c>
      <c r="AR421" s="262"/>
      <c r="AS421" s="266">
        <f t="shared" si="256"/>
        <v>0</v>
      </c>
      <c r="AT421" s="264">
        <f t="shared" si="257"/>
        <v>0</v>
      </c>
      <c r="AU421" s="262"/>
      <c r="AV421" s="262"/>
      <c r="AW421" s="265">
        <v>234.94825714285713</v>
      </c>
      <c r="AX421" s="164" t="s">
        <v>1469</v>
      </c>
      <c r="AY421" s="266">
        <v>0</v>
      </c>
      <c r="AZ421" s="266">
        <f t="shared" si="258"/>
        <v>0</v>
      </c>
      <c r="BA421" s="264">
        <f t="shared" si="259"/>
        <v>0</v>
      </c>
      <c r="BB421" s="262"/>
      <c r="BC421" s="262"/>
      <c r="BD421" s="265">
        <f ca="1">IFERROR(INDEX(Algorithms!$G:$G,MATCH($C421&amp;"_Therm Saved per Unit",Algorithms!$A:$A,0)),0)</f>
        <v>234.94825714285713</v>
      </c>
      <c r="BE421" s="164" t="str">
        <f ca="1">IFERROR(INDEX('v12 Revisions'!$P$29:$P$186, MATCH('Measure-Level Adj Gas'!$L421, 'v12 Revisions'!$D$29:$D$186,0)),"")</f>
        <v/>
      </c>
      <c r="BF421" s="266">
        <f t="shared" ca="1" si="260"/>
        <v>0</v>
      </c>
      <c r="BG421" s="264">
        <f t="shared" ca="1" si="261"/>
        <v>0</v>
      </c>
      <c r="BH421" s="262"/>
      <c r="BI421" s="262"/>
      <c r="BJ421" s="265">
        <f ca="1">IFERROR(INDEX(Algorithms!$G:$G,MATCH($C421&amp;"_Therm Saved per Unit",Algorithms!$A:$A,0)),0)</f>
        <v>234.94825714285713</v>
      </c>
      <c r="BK421" s="164"/>
      <c r="BL421" s="266">
        <f t="shared" ca="1" si="262"/>
        <v>0</v>
      </c>
      <c r="BM421" s="264">
        <f t="shared" ca="1" si="263"/>
        <v>0</v>
      </c>
      <c r="BN421" s="266">
        <f t="shared" si="264"/>
        <v>0</v>
      </c>
      <c r="BO421" s="266">
        <f t="shared" si="265"/>
        <v>0</v>
      </c>
      <c r="BP421" s="266">
        <f t="shared" ca="1" si="266"/>
        <v>0</v>
      </c>
      <c r="BQ421" s="266">
        <f t="shared" ca="1" si="267"/>
        <v>0</v>
      </c>
      <c r="BR421" s="268">
        <f t="shared" ca="1" si="268"/>
        <v>0</v>
      </c>
      <c r="BS421" s="262" t="s">
        <v>99</v>
      </c>
      <c r="BT421" s="277"/>
      <c r="BW421" s="266">
        <f t="shared" si="269"/>
        <v>0</v>
      </c>
      <c r="BX421" s="266">
        <f t="shared" si="270"/>
        <v>0</v>
      </c>
      <c r="BY421" s="266">
        <f t="shared" si="271"/>
        <v>0</v>
      </c>
      <c r="BZ421" s="266">
        <f t="shared" si="272"/>
        <v>0</v>
      </c>
      <c r="CA421" s="266">
        <f ca="1">N421*IFERROR(INDEX(Algorithms!$G:$G,MATCH($C421&amp;"_Therm Saved per Unit- MLA",Algorithms!$A:$A,0)),0)*X421</f>
        <v>0</v>
      </c>
      <c r="CB421" s="266">
        <f ca="1">O421*IFERROR(INDEX(Algorithms!$G:$G,MATCH($C421&amp;"_Therm Saved per Unit- MLA",Algorithms!$A:$A,0)),0)*Y421</f>
        <v>0</v>
      </c>
      <c r="CC421" s="266">
        <f ca="1">P421*IFERROR(INDEX(Algorithms!$G:$G,MATCH($C421&amp;"_Therm Saved per Unit- MLA",Algorithms!$A:$A,0)),0)*Z421</f>
        <v>0</v>
      </c>
      <c r="CD421" s="266">
        <f ca="1">Q421*IFERROR(INDEX(Algorithms!$G:$G,MATCH($C421&amp;"_Therm Saved per Unit- MLA",Algorithms!$A:$A,0)),0)*AA421</f>
        <v>0</v>
      </c>
      <c r="CE421" s="266">
        <f ca="1">IFERROR(INDEX(Algorithms!$G:$G,MATCH($C421&amp;"_Lifetime (years)",Algorithms!$A:$A,0)),0)</f>
        <v>20</v>
      </c>
      <c r="CF421" s="266">
        <f ca="1">IFERROR(INDEX(Algorithms!$G:$G,MATCH($C421&amp;"_Lifetime (years) - Remaining Years",Algorithms!$A:$A,0)),0)</f>
        <v>0</v>
      </c>
      <c r="CG421" s="266">
        <f t="shared" ca="1" si="273"/>
        <v>0</v>
      </c>
      <c r="CH421" s="266">
        <f t="shared" ca="1" si="274"/>
        <v>0</v>
      </c>
      <c r="CI421" s="266">
        <f t="shared" ca="1" si="275"/>
        <v>0</v>
      </c>
      <c r="CJ421" s="266">
        <f t="shared" ca="1" si="276"/>
        <v>0</v>
      </c>
      <c r="CK421" s="266">
        <f t="shared" si="277"/>
        <v>0</v>
      </c>
      <c r="CL421" s="266">
        <f t="shared" si="278"/>
        <v>0</v>
      </c>
      <c r="CM421" s="266">
        <f t="shared" ca="1" si="279"/>
        <v>0</v>
      </c>
      <c r="CN421" s="266">
        <f t="shared" ca="1" si="280"/>
        <v>0</v>
      </c>
      <c r="CO421" s="266">
        <f ca="1">N421*IFERROR(INDEX(Algorithms!$G:$G,MATCH($C421&amp;"_Therm Saved per Unit- MLA",Algorithms!$A:$A,0)),0)*X421</f>
        <v>0</v>
      </c>
      <c r="CP421" s="266">
        <f ca="1">O421*IFERROR(INDEX(Algorithms!$G:$G,MATCH($C421&amp;"_Therm Saved per Unit- MLA",Algorithms!$A:$A,0)),0)*Y421</f>
        <v>0</v>
      </c>
      <c r="CQ421" s="266">
        <f ca="1">P421*IFERROR(INDEX(Algorithms!$G:$G,MATCH($C421&amp;"_Therm Saved per Unit- MLA",Algorithms!$A:$A,0)),0)*Z421</f>
        <v>0</v>
      </c>
      <c r="CR421" s="266">
        <f ca="1">Q421*IFERROR(INDEX(Algorithms!$G:$G,MATCH($C421&amp;"_Therm Saved per Unit- MLA",Algorithms!$A:$A,0)),0)*AA421</f>
        <v>0</v>
      </c>
      <c r="CS421" s="266">
        <f ca="1">IFERROR(INDEX(Algorithms!$G:$G,MATCH($C421&amp;"_Lifetime (years)",Algorithms!$A:$A,0)),0)</f>
        <v>20</v>
      </c>
      <c r="CT421" s="266">
        <f ca="1">IFERROR(INDEX(Algorithms!$G:$G,MATCH($C421&amp;"_Lifetime (years) - Remaining Years",Algorithms!$A:$A,0)),0)</f>
        <v>0</v>
      </c>
      <c r="CU421" s="266">
        <f t="shared" ca="1" si="281"/>
        <v>0</v>
      </c>
      <c r="CV421" s="266">
        <f t="shared" ca="1" si="282"/>
        <v>0</v>
      </c>
      <c r="CW421" s="266">
        <f t="shared" ca="1" si="283"/>
        <v>0</v>
      </c>
      <c r="CX421" s="266">
        <f t="shared" ca="1" si="284"/>
        <v>0</v>
      </c>
    </row>
    <row r="422" spans="2:102" s="47" customFormat="1" ht="18" customHeight="1" x14ac:dyDescent="0.25">
      <c r="B422" t="str">
        <f t="shared" si="285"/>
        <v>NSG_Residential_Multi-Family_Partner Trade Ally Rebate_DCV - Kitchen_0_MF/CI</v>
      </c>
      <c r="C422" s="47" t="str">
        <f t="shared" si="246"/>
        <v>DCV - Kitchen_0_MF/CI</v>
      </c>
      <c r="D422" s="270" t="s">
        <v>1787</v>
      </c>
      <c r="E422" s="270" t="s">
        <v>2</v>
      </c>
      <c r="F422" s="270" t="s">
        <v>1422</v>
      </c>
      <c r="G422" s="270" t="s">
        <v>1799</v>
      </c>
      <c r="H422" s="270" t="s">
        <v>1077</v>
      </c>
      <c r="I422" s="270">
        <v>0</v>
      </c>
      <c r="J422" s="270" t="s">
        <v>587</v>
      </c>
      <c r="K422" s="263">
        <v>1</v>
      </c>
      <c r="L422" s="263" t="str">
        <f ca="1">IFERROR(INDEX(Algorithms!J:J,MATCH($C422&amp;"_Therm Saved per Unit",Algorithms!$A:$A,0)),"n/a")</f>
        <v>4.2.16</v>
      </c>
      <c r="M422" s="263" t="str">
        <f>IFERROR(INDEX('Measure Level Detail'!$N:$N,MATCH($B422,'Measure Level Detail'!$B:$B,0)),0)</f>
        <v>HP</v>
      </c>
      <c r="N422" s="271">
        <f>IFERROR(INDEX('Measure Level Detail'!$P:$P,MATCH($B422&amp;"_"&amp;N$3,'Measure Level Detail'!$C:$C,0)),0)</f>
        <v>0</v>
      </c>
      <c r="O422" s="271">
        <f>IFERROR(INDEX('Measure Level Detail'!$P:$P,MATCH($B422&amp;"_"&amp;O$3,'Measure Level Detail'!$C:$C,0)),0)</f>
        <v>0</v>
      </c>
      <c r="P422" s="271">
        <f>IFERROR(INDEX('Measure Level Detail'!$P:$P,MATCH($B422&amp;"_"&amp;P$3,'Measure Level Detail'!$C:$C,0)),0)</f>
        <v>0</v>
      </c>
      <c r="Q422" s="271">
        <f>IFERROR(INDEX('Measure Level Detail'!$P:$P,MATCH($B422&amp;"_"&amp;Q$3,'Measure Level Detail'!$C:$C,0)),0)</f>
        <v>0</v>
      </c>
      <c r="R422" s="263" t="str">
        <f ca="1">IFERROR(INDEX(Algorithms!K:K,MATCH($C422&amp;"_Therm Saved per Unit",Algorithms!$A:$A,0)),"n/a")</f>
        <v>CI-FSE-VENT-V06-240101</v>
      </c>
      <c r="S422" s="262"/>
      <c r="T422" s="272">
        <v>774</v>
      </c>
      <c r="U422" s="272">
        <v>774</v>
      </c>
      <c r="V422" s="272">
        <v>774</v>
      </c>
      <c r="W422" s="272">
        <v>774</v>
      </c>
      <c r="X422" s="273">
        <f>IFERROR(INDEX('Measure Level Detail'!$R:$R,MATCH($B422&amp;"_"&amp;X$3,'Measure Level Detail'!$C:$C,0)),0)</f>
        <v>0.87</v>
      </c>
      <c r="Y422" s="273">
        <f>IFERROR(INDEX('Measure Level Detail'!$R:$R,MATCH($B422&amp;"_"&amp;Y$3,'Measure Level Detail'!$C:$C,0)),0)</f>
        <v>0.87</v>
      </c>
      <c r="Z422" s="273">
        <f>IFERROR(INDEX('Measure Level Detail'!$R:$R,MATCH($B422&amp;"_"&amp;Z$3,'Measure Level Detail'!$C:$C,0)),0)</f>
        <v>0.87</v>
      </c>
      <c r="AA422" s="273">
        <f>IFERROR(INDEX('Measure Level Detail'!$R:$R,MATCH($B422&amp;"_"&amp;AA$3,'Measure Level Detail'!$C:$C,0)),0)</f>
        <v>0.87</v>
      </c>
      <c r="AB422" s="266">
        <f t="shared" si="247"/>
        <v>0</v>
      </c>
      <c r="AC422" s="266">
        <f t="shared" si="248"/>
        <v>0</v>
      </c>
      <c r="AD422" s="266">
        <f t="shared" si="249"/>
        <v>0</v>
      </c>
      <c r="AE422" s="266">
        <f t="shared" si="250"/>
        <v>0</v>
      </c>
      <c r="AF422" s="266">
        <f t="shared" si="251"/>
        <v>0</v>
      </c>
      <c r="AG422" s="274">
        <v>0.87</v>
      </c>
      <c r="AH422" s="274">
        <v>0.87</v>
      </c>
      <c r="AI422" s="710">
        <v>0.88</v>
      </c>
      <c r="AJ422" s="710">
        <v>0.88</v>
      </c>
      <c r="AK422" s="274">
        <f t="shared" si="252"/>
        <v>0.87</v>
      </c>
      <c r="AL422" s="274">
        <f t="shared" si="253"/>
        <v>0.87</v>
      </c>
      <c r="AM422" s="274">
        <f t="shared" si="254"/>
        <v>0.87</v>
      </c>
      <c r="AN422" s="274">
        <f t="shared" si="255"/>
        <v>0.87</v>
      </c>
      <c r="AO422" s="262"/>
      <c r="AP422" s="262"/>
      <c r="AQ422" s="267">
        <v>774</v>
      </c>
      <c r="AR422" s="262"/>
      <c r="AS422" s="266">
        <f t="shared" si="256"/>
        <v>0</v>
      </c>
      <c r="AT422" s="264">
        <f t="shared" si="257"/>
        <v>0</v>
      </c>
      <c r="AU422" s="262"/>
      <c r="AV422" s="262"/>
      <c r="AW422" s="265">
        <v>774</v>
      </c>
      <c r="AX422" s="164" t="s">
        <v>1469</v>
      </c>
      <c r="AY422" s="266">
        <v>0</v>
      </c>
      <c r="AZ422" s="266">
        <f t="shared" si="258"/>
        <v>0</v>
      </c>
      <c r="BA422" s="264">
        <f t="shared" si="259"/>
        <v>0</v>
      </c>
      <c r="BB422" s="262"/>
      <c r="BC422" s="262"/>
      <c r="BD422" s="265">
        <f ca="1">IFERROR(INDEX(Algorithms!$G:$G,MATCH($C422&amp;"_Therm Saved per Unit",Algorithms!$A:$A,0)),0)</f>
        <v>774</v>
      </c>
      <c r="BE422" s="164" t="str">
        <f ca="1">IFERROR(INDEX('v12 Revisions'!$P$29:$P$186, MATCH('Measure-Level Adj Gas'!$L422, 'v12 Revisions'!$D$29:$D$186,0)),"")</f>
        <v>n/a - HP assumed in units of participation.</v>
      </c>
      <c r="BF422" s="266">
        <f t="shared" ca="1" si="260"/>
        <v>0</v>
      </c>
      <c r="BG422" s="264">
        <f t="shared" ca="1" si="261"/>
        <v>0</v>
      </c>
      <c r="BH422" s="262"/>
      <c r="BI422" s="262"/>
      <c r="BJ422" s="265">
        <f ca="1">IFERROR(INDEX(Algorithms!$G:$G,MATCH($C422&amp;"_Therm Saved per Unit",Algorithms!$A:$A,0)),0)</f>
        <v>774</v>
      </c>
      <c r="BK422" s="164"/>
      <c r="BL422" s="266">
        <f t="shared" ca="1" si="262"/>
        <v>0</v>
      </c>
      <c r="BM422" s="264">
        <f t="shared" ca="1" si="263"/>
        <v>0</v>
      </c>
      <c r="BN422" s="266">
        <f t="shared" si="264"/>
        <v>0</v>
      </c>
      <c r="BO422" s="266">
        <f t="shared" si="265"/>
        <v>0</v>
      </c>
      <c r="BP422" s="266">
        <f t="shared" ca="1" si="266"/>
        <v>0</v>
      </c>
      <c r="BQ422" s="266">
        <f t="shared" ca="1" si="267"/>
        <v>0</v>
      </c>
      <c r="BR422" s="268">
        <f t="shared" ca="1" si="268"/>
        <v>0</v>
      </c>
      <c r="BS422" s="262" t="s">
        <v>99</v>
      </c>
      <c r="BT422" s="277"/>
      <c r="BW422" s="266">
        <f t="shared" si="269"/>
        <v>0</v>
      </c>
      <c r="BX422" s="266">
        <f t="shared" si="270"/>
        <v>0</v>
      </c>
      <c r="BY422" s="266">
        <f t="shared" si="271"/>
        <v>0</v>
      </c>
      <c r="BZ422" s="266">
        <f t="shared" si="272"/>
        <v>0</v>
      </c>
      <c r="CA422" s="266">
        <f ca="1">N422*IFERROR(INDEX(Algorithms!$G:$G,MATCH($C422&amp;"_Therm Saved per Unit- MLA",Algorithms!$A:$A,0)),0)*X422</f>
        <v>0</v>
      </c>
      <c r="CB422" s="266">
        <f ca="1">O422*IFERROR(INDEX(Algorithms!$G:$G,MATCH($C422&amp;"_Therm Saved per Unit- MLA",Algorithms!$A:$A,0)),0)*Y422</f>
        <v>0</v>
      </c>
      <c r="CC422" s="266">
        <f ca="1">P422*IFERROR(INDEX(Algorithms!$G:$G,MATCH($C422&amp;"_Therm Saved per Unit- MLA",Algorithms!$A:$A,0)),0)*Z422</f>
        <v>0</v>
      </c>
      <c r="CD422" s="266">
        <f ca="1">Q422*IFERROR(INDEX(Algorithms!$G:$G,MATCH($C422&amp;"_Therm Saved per Unit- MLA",Algorithms!$A:$A,0)),0)*AA422</f>
        <v>0</v>
      </c>
      <c r="CE422" s="266">
        <f ca="1">IFERROR(INDEX(Algorithms!$G:$G,MATCH($C422&amp;"_Lifetime (years)",Algorithms!$A:$A,0)),0)</f>
        <v>20</v>
      </c>
      <c r="CF422" s="266">
        <f ca="1">IFERROR(INDEX(Algorithms!$G:$G,MATCH($C422&amp;"_Lifetime (years) - Remaining Years",Algorithms!$A:$A,0)),0)</f>
        <v>0</v>
      </c>
      <c r="CG422" s="266">
        <f t="shared" ca="1" si="273"/>
        <v>0</v>
      </c>
      <c r="CH422" s="266">
        <f t="shared" ca="1" si="274"/>
        <v>0</v>
      </c>
      <c r="CI422" s="266">
        <f t="shared" ca="1" si="275"/>
        <v>0</v>
      </c>
      <c r="CJ422" s="266">
        <f t="shared" ca="1" si="276"/>
        <v>0</v>
      </c>
      <c r="CK422" s="266">
        <f t="shared" si="277"/>
        <v>0</v>
      </c>
      <c r="CL422" s="266">
        <f t="shared" si="278"/>
        <v>0</v>
      </c>
      <c r="CM422" s="266">
        <f t="shared" ca="1" si="279"/>
        <v>0</v>
      </c>
      <c r="CN422" s="266">
        <f t="shared" ca="1" si="280"/>
        <v>0</v>
      </c>
      <c r="CO422" s="266">
        <f ca="1">N422*IFERROR(INDEX(Algorithms!$G:$G,MATCH($C422&amp;"_Therm Saved per Unit- MLA",Algorithms!$A:$A,0)),0)*X422</f>
        <v>0</v>
      </c>
      <c r="CP422" s="266">
        <f ca="1">O422*IFERROR(INDEX(Algorithms!$G:$G,MATCH($C422&amp;"_Therm Saved per Unit- MLA",Algorithms!$A:$A,0)),0)*Y422</f>
        <v>0</v>
      </c>
      <c r="CQ422" s="266">
        <f ca="1">P422*IFERROR(INDEX(Algorithms!$G:$G,MATCH($C422&amp;"_Therm Saved per Unit- MLA",Algorithms!$A:$A,0)),0)*Z422</f>
        <v>0</v>
      </c>
      <c r="CR422" s="266">
        <f ca="1">Q422*IFERROR(INDEX(Algorithms!$G:$G,MATCH($C422&amp;"_Therm Saved per Unit- MLA",Algorithms!$A:$A,0)),0)*AA422</f>
        <v>0</v>
      </c>
      <c r="CS422" s="266">
        <f ca="1">IFERROR(INDEX(Algorithms!$G:$G,MATCH($C422&amp;"_Lifetime (years)",Algorithms!$A:$A,0)),0)</f>
        <v>20</v>
      </c>
      <c r="CT422" s="266">
        <f ca="1">IFERROR(INDEX(Algorithms!$G:$G,MATCH($C422&amp;"_Lifetime (years) - Remaining Years",Algorithms!$A:$A,0)),0)</f>
        <v>0</v>
      </c>
      <c r="CU422" s="266">
        <f t="shared" ca="1" si="281"/>
        <v>0</v>
      </c>
      <c r="CV422" s="266">
        <f t="shared" ca="1" si="282"/>
        <v>0</v>
      </c>
      <c r="CW422" s="266">
        <f t="shared" ca="1" si="283"/>
        <v>0</v>
      </c>
      <c r="CX422" s="266">
        <f t="shared" ca="1" si="284"/>
        <v>0</v>
      </c>
    </row>
    <row r="423" spans="2:102" s="47" customFormat="1" ht="18" customHeight="1" x14ac:dyDescent="0.25">
      <c r="B423" t="str">
        <f t="shared" si="285"/>
        <v>NSG_Income Eligible_Multi-Family_Whole Building - DI_Pipe Insulation_Boiler_MF</v>
      </c>
      <c r="C423" s="47" t="str">
        <f t="shared" si="246"/>
        <v>Pipe Insulation_Boiler_MF</v>
      </c>
      <c r="D423" s="270" t="s">
        <v>1787</v>
      </c>
      <c r="E423" s="270" t="s">
        <v>325</v>
      </c>
      <c r="F423" s="270" t="s">
        <v>1422</v>
      </c>
      <c r="G423" s="270" t="s">
        <v>1812</v>
      </c>
      <c r="H423" s="270" t="s">
        <v>404</v>
      </c>
      <c r="I423" s="270" t="s">
        <v>944</v>
      </c>
      <c r="J423" s="270" t="s">
        <v>553</v>
      </c>
      <c r="K423" s="263">
        <v>1</v>
      </c>
      <c r="L423" s="263" t="str">
        <f ca="1">IFERROR(INDEX(Algorithms!J:J,MATCH($C423&amp;"_Therm Saved per Unit",Algorithms!$A:$A,0)),"n/a")</f>
        <v>5.3.2</v>
      </c>
      <c r="M423" s="263" t="str">
        <f>IFERROR(INDEX('Measure Level Detail'!$N:$N,MATCH($B423,'Measure Level Detail'!$B:$B,0)),0)</f>
        <v>ft</v>
      </c>
      <c r="N423" s="271">
        <f>IFERROR(INDEX('Measure Level Detail'!$P:$P,MATCH($B423&amp;"_"&amp;N$3,'Measure Level Detail'!$C:$C,0)),0)</f>
        <v>0</v>
      </c>
      <c r="O423" s="271">
        <f>IFERROR(INDEX('Measure Level Detail'!$P:$P,MATCH($B423&amp;"_"&amp;O$3,'Measure Level Detail'!$C:$C,0)),0)</f>
        <v>0</v>
      </c>
      <c r="P423" s="271">
        <f>IFERROR(INDEX('Measure Level Detail'!$P:$P,MATCH($B423&amp;"_"&amp;P$3,'Measure Level Detail'!$C:$C,0)),0)</f>
        <v>0</v>
      </c>
      <c r="Q423" s="271">
        <f>IFERROR(INDEX('Measure Level Detail'!$P:$P,MATCH($B423&amp;"_"&amp;Q$3,'Measure Level Detail'!$C:$C,0)),0)</f>
        <v>0</v>
      </c>
      <c r="R423" s="263" t="str">
        <f ca="1">IFERROR(INDEX(Algorithms!K:K,MATCH($C423&amp;"_Therm Saved per Unit",Algorithms!$A:$A,0)),"n/a")</f>
        <v>RS-HVC-PINS-V07-240101</v>
      </c>
      <c r="S423" s="262"/>
      <c r="T423" s="272">
        <v>0.63522312995661756</v>
      </c>
      <c r="U423" s="272">
        <v>0.63522312995661756</v>
      </c>
      <c r="V423" s="272">
        <v>0.63522312995661756</v>
      </c>
      <c r="W423" s="272">
        <v>0.63522312995661756</v>
      </c>
      <c r="X423" s="273">
        <f>IFERROR(INDEX('Measure Level Detail'!$R:$R,MATCH($B423&amp;"_"&amp;X$3,'Measure Level Detail'!$C:$C,0)),0)</f>
        <v>1</v>
      </c>
      <c r="Y423" s="273">
        <f>IFERROR(INDEX('Measure Level Detail'!$R:$R,MATCH($B423&amp;"_"&amp;Y$3,'Measure Level Detail'!$C:$C,0)),0)</f>
        <v>1</v>
      </c>
      <c r="Z423" s="273">
        <f>IFERROR(INDEX('Measure Level Detail'!$R:$R,MATCH($B423&amp;"_"&amp;Z$3,'Measure Level Detail'!$C:$C,0)),0)</f>
        <v>1</v>
      </c>
      <c r="AA423" s="273">
        <f>IFERROR(INDEX('Measure Level Detail'!$R:$R,MATCH($B423&amp;"_"&amp;AA$3,'Measure Level Detail'!$C:$C,0)),0)</f>
        <v>1</v>
      </c>
      <c r="AB423" s="266">
        <f t="shared" si="247"/>
        <v>0</v>
      </c>
      <c r="AC423" s="266">
        <f t="shared" si="248"/>
        <v>0</v>
      </c>
      <c r="AD423" s="266">
        <f t="shared" si="249"/>
        <v>0</v>
      </c>
      <c r="AE423" s="266">
        <f t="shared" si="250"/>
        <v>0</v>
      </c>
      <c r="AF423" s="266">
        <f t="shared" si="251"/>
        <v>0</v>
      </c>
      <c r="AG423" s="274">
        <v>1</v>
      </c>
      <c r="AH423" s="274">
        <v>1</v>
      </c>
      <c r="AI423" s="274">
        <v>1</v>
      </c>
      <c r="AJ423" s="274">
        <v>1</v>
      </c>
      <c r="AK423" s="274">
        <f t="shared" si="252"/>
        <v>1</v>
      </c>
      <c r="AL423" s="274">
        <f t="shared" si="253"/>
        <v>1</v>
      </c>
      <c r="AM423" s="274">
        <f t="shared" si="254"/>
        <v>1</v>
      </c>
      <c r="AN423" s="274">
        <f t="shared" si="255"/>
        <v>1</v>
      </c>
      <c r="AO423" s="262"/>
      <c r="AP423" s="262"/>
      <c r="AQ423" s="267">
        <v>1.0111854839419214</v>
      </c>
      <c r="AR423" s="262"/>
      <c r="AS423" s="266">
        <f t="shared" si="256"/>
        <v>0</v>
      </c>
      <c r="AT423" s="264">
        <f t="shared" si="257"/>
        <v>0</v>
      </c>
      <c r="AU423" s="262"/>
      <c r="AV423" s="262"/>
      <c r="AW423" s="265">
        <v>1.0111854839419214</v>
      </c>
      <c r="AX423" s="164" t="s">
        <v>1469</v>
      </c>
      <c r="AY423" s="266">
        <v>0</v>
      </c>
      <c r="AZ423" s="266">
        <f t="shared" si="258"/>
        <v>0</v>
      </c>
      <c r="BA423" s="264">
        <f t="shared" si="259"/>
        <v>0</v>
      </c>
      <c r="BB423" s="262"/>
      <c r="BC423" s="262"/>
      <c r="BD423" s="265">
        <f ca="1">IFERROR(INDEX(Algorithms!$G:$G,MATCH($C423&amp;"_Therm Saved per Unit",Algorithms!$A:$A,0)),0)</f>
        <v>0.94853594852378065</v>
      </c>
      <c r="BE423" s="164" t="str">
        <f ca="1">IFERROR(INDEX('v12 Revisions'!$P$29:$P$186, MATCH('Measure-Level Adj Gas'!$L423, 'v12 Revisions'!$D$29:$D$186,0)),"")</f>
        <v>Updated full load hours of heating from 1840 to 1726.</v>
      </c>
      <c r="BF423" s="266">
        <f t="shared" ca="1" si="260"/>
        <v>0</v>
      </c>
      <c r="BG423" s="264">
        <f t="shared" ca="1" si="261"/>
        <v>0</v>
      </c>
      <c r="BH423" s="262"/>
      <c r="BI423" s="262"/>
      <c r="BJ423" s="265">
        <f ca="1">IFERROR(INDEX(Algorithms!$G:$G,MATCH($C423&amp;"_Therm Saved per Unit",Algorithms!$A:$A,0)),0)</f>
        <v>0.94853594852378065</v>
      </c>
      <c r="BK423" s="164"/>
      <c r="BL423" s="266">
        <f t="shared" ca="1" si="262"/>
        <v>0</v>
      </c>
      <c r="BM423" s="264">
        <f t="shared" ca="1" si="263"/>
        <v>0</v>
      </c>
      <c r="BN423" s="266">
        <f t="shared" si="264"/>
        <v>0</v>
      </c>
      <c r="BO423" s="266">
        <f t="shared" si="265"/>
        <v>0</v>
      </c>
      <c r="BP423" s="266">
        <f t="shared" ca="1" si="266"/>
        <v>0</v>
      </c>
      <c r="BQ423" s="266">
        <f t="shared" ca="1" si="267"/>
        <v>0</v>
      </c>
      <c r="BR423" s="268">
        <f t="shared" ca="1" si="268"/>
        <v>0</v>
      </c>
      <c r="BS423" s="262" t="s">
        <v>99</v>
      </c>
      <c r="BT423" s="277"/>
      <c r="BW423" s="266">
        <f t="shared" si="269"/>
        <v>0</v>
      </c>
      <c r="BX423" s="266">
        <f t="shared" si="270"/>
        <v>0</v>
      </c>
      <c r="BY423" s="266">
        <f t="shared" si="271"/>
        <v>0</v>
      </c>
      <c r="BZ423" s="266">
        <f t="shared" si="272"/>
        <v>0</v>
      </c>
      <c r="CA423" s="266">
        <f ca="1">N423*IFERROR(INDEX(Algorithms!$G:$G,MATCH($C423&amp;"_Therm Saved per Unit- MLA",Algorithms!$A:$A,0)),0)*X423</f>
        <v>0</v>
      </c>
      <c r="CB423" s="266">
        <f ca="1">O423*IFERROR(INDEX(Algorithms!$G:$G,MATCH($C423&amp;"_Therm Saved per Unit- MLA",Algorithms!$A:$A,0)),0)*Y423</f>
        <v>0</v>
      </c>
      <c r="CC423" s="266">
        <f ca="1">P423*IFERROR(INDEX(Algorithms!$G:$G,MATCH($C423&amp;"_Therm Saved per Unit- MLA",Algorithms!$A:$A,0)),0)*Z423</f>
        <v>0</v>
      </c>
      <c r="CD423" s="266">
        <f ca="1">Q423*IFERROR(INDEX(Algorithms!$G:$G,MATCH($C423&amp;"_Therm Saved per Unit- MLA",Algorithms!$A:$A,0)),0)*AA423</f>
        <v>0</v>
      </c>
      <c r="CE423" s="266">
        <f ca="1">IFERROR(INDEX(Algorithms!$G:$G,MATCH($C423&amp;"_Lifetime (years)",Algorithms!$A:$A,0)),0)</f>
        <v>15</v>
      </c>
      <c r="CF423" s="266">
        <f ca="1">IFERROR(INDEX(Algorithms!$G:$G,MATCH($C423&amp;"_Lifetime (years) - Remaining Years",Algorithms!$A:$A,0)),0)</f>
        <v>13</v>
      </c>
      <c r="CG423" s="266">
        <f t="shared" ca="1" si="273"/>
        <v>0</v>
      </c>
      <c r="CH423" s="266">
        <f t="shared" ca="1" si="274"/>
        <v>0</v>
      </c>
      <c r="CI423" s="266">
        <f t="shared" ca="1" si="275"/>
        <v>0</v>
      </c>
      <c r="CJ423" s="266">
        <f t="shared" ca="1" si="276"/>
        <v>0</v>
      </c>
      <c r="CK423" s="266">
        <f t="shared" si="277"/>
        <v>0</v>
      </c>
      <c r="CL423" s="266">
        <f t="shared" si="278"/>
        <v>0</v>
      </c>
      <c r="CM423" s="266">
        <f t="shared" ca="1" si="279"/>
        <v>0</v>
      </c>
      <c r="CN423" s="266">
        <f t="shared" ca="1" si="280"/>
        <v>0</v>
      </c>
      <c r="CO423" s="266">
        <f ca="1">N423*IFERROR(INDEX(Algorithms!$G:$G,MATCH($C423&amp;"_Therm Saved per Unit- MLA",Algorithms!$A:$A,0)),0)*X423</f>
        <v>0</v>
      </c>
      <c r="CP423" s="266">
        <f ca="1">O423*IFERROR(INDEX(Algorithms!$G:$G,MATCH($C423&amp;"_Therm Saved per Unit- MLA",Algorithms!$A:$A,0)),0)*Y423</f>
        <v>0</v>
      </c>
      <c r="CQ423" s="266">
        <f ca="1">P423*IFERROR(INDEX(Algorithms!$G:$G,MATCH($C423&amp;"_Therm Saved per Unit- MLA",Algorithms!$A:$A,0)),0)*Z423</f>
        <v>0</v>
      </c>
      <c r="CR423" s="266">
        <f ca="1">Q423*IFERROR(INDEX(Algorithms!$G:$G,MATCH($C423&amp;"_Therm Saved per Unit- MLA",Algorithms!$A:$A,0)),0)*AA423</f>
        <v>0</v>
      </c>
      <c r="CS423" s="266">
        <f ca="1">IFERROR(INDEX(Algorithms!$G:$G,MATCH($C423&amp;"_Lifetime (years)",Algorithms!$A:$A,0)),0)</f>
        <v>15</v>
      </c>
      <c r="CT423" s="266">
        <f ca="1">IFERROR(INDEX(Algorithms!$G:$G,MATCH($C423&amp;"_Lifetime (years) - Remaining Years",Algorithms!$A:$A,0)),0)</f>
        <v>13</v>
      </c>
      <c r="CU423" s="266">
        <f t="shared" ca="1" si="281"/>
        <v>0</v>
      </c>
      <c r="CV423" s="266">
        <f t="shared" ca="1" si="282"/>
        <v>0</v>
      </c>
      <c r="CW423" s="266">
        <f t="shared" ca="1" si="283"/>
        <v>0</v>
      </c>
      <c r="CX423" s="266">
        <f t="shared" ca="1" si="284"/>
        <v>0</v>
      </c>
    </row>
    <row r="424" spans="2:102" s="47" customFormat="1" ht="18" customHeight="1" x14ac:dyDescent="0.25">
      <c r="B424" t="str">
        <f t="shared" si="285"/>
        <v>NSG_Income Eligible_Multi-Family_Whole Building - DI_Programmable Thermostat_Boiler (DI)_MF</v>
      </c>
      <c r="C424" s="47" t="str">
        <f t="shared" si="246"/>
        <v>Programmable Thermostat_Boiler (DI)_MF</v>
      </c>
      <c r="D424" s="270" t="s">
        <v>1787</v>
      </c>
      <c r="E424" s="270" t="s">
        <v>325</v>
      </c>
      <c r="F424" s="270" t="s">
        <v>1422</v>
      </c>
      <c r="G424" s="270" t="s">
        <v>1812</v>
      </c>
      <c r="H424" s="270" t="s">
        <v>224</v>
      </c>
      <c r="I424" s="270" t="s">
        <v>1045</v>
      </c>
      <c r="J424" s="270" t="s">
        <v>553</v>
      </c>
      <c r="K424" s="263">
        <v>1</v>
      </c>
      <c r="L424" s="263" t="str">
        <f ca="1">IFERROR(INDEX(Algorithms!J:J,MATCH($C424&amp;"_Therm Saved per Unit",Algorithms!$A:$A,0)),"n/a")</f>
        <v>5.3.11</v>
      </c>
      <c r="M424" s="263" t="str">
        <f>IFERROR(INDEX('Measure Level Detail'!$N:$N,MATCH($B424,'Measure Level Detail'!$B:$B,0)),0)</f>
        <v>each</v>
      </c>
      <c r="N424" s="271">
        <f>IFERROR(INDEX('Measure Level Detail'!$P:$P,MATCH($B424&amp;"_"&amp;N$3,'Measure Level Detail'!$C:$C,0)),0)</f>
        <v>0</v>
      </c>
      <c r="O424" s="271">
        <f>IFERROR(INDEX('Measure Level Detail'!$P:$P,MATCH($B424&amp;"_"&amp;O$3,'Measure Level Detail'!$C:$C,0)),0)</f>
        <v>0</v>
      </c>
      <c r="P424" s="271">
        <f>IFERROR(INDEX('Measure Level Detail'!$P:$P,MATCH($B424&amp;"_"&amp;P$3,'Measure Level Detail'!$C:$C,0)),0)</f>
        <v>0</v>
      </c>
      <c r="Q424" s="271">
        <f>IFERROR(INDEX('Measure Level Detail'!$P:$P,MATCH($B424&amp;"_"&amp;Q$3,'Measure Level Detail'!$C:$C,0)),0)</f>
        <v>0</v>
      </c>
      <c r="R424" s="263" t="str">
        <f ca="1">IFERROR(INDEX(Algorithms!K:K,MATCH($C424&amp;"_Therm Saved per Unit",Algorithms!$A:$A,0)),"n/a")</f>
        <v>RS-HVC-PROG-V08-220101</v>
      </c>
      <c r="S424" s="262"/>
      <c r="T424" s="272">
        <v>59.845499999999994</v>
      </c>
      <c r="U424" s="272">
        <v>59.845499999999994</v>
      </c>
      <c r="V424" s="272">
        <v>59.845499999999994</v>
      </c>
      <c r="W424" s="272">
        <v>59.845499999999994</v>
      </c>
      <c r="X424" s="273">
        <f>IFERROR(INDEX('Measure Level Detail'!$R:$R,MATCH($B424&amp;"_"&amp;X$3,'Measure Level Detail'!$C:$C,0)),0)</f>
        <v>1</v>
      </c>
      <c r="Y424" s="273">
        <f>IFERROR(INDEX('Measure Level Detail'!$R:$R,MATCH($B424&amp;"_"&amp;Y$3,'Measure Level Detail'!$C:$C,0)),0)</f>
        <v>1</v>
      </c>
      <c r="Z424" s="273">
        <f>IFERROR(INDEX('Measure Level Detail'!$R:$R,MATCH($B424&amp;"_"&amp;Z$3,'Measure Level Detail'!$C:$C,0)),0)</f>
        <v>1</v>
      </c>
      <c r="AA424" s="273">
        <f>IFERROR(INDEX('Measure Level Detail'!$R:$R,MATCH($B424&amp;"_"&amp;AA$3,'Measure Level Detail'!$C:$C,0)),0)</f>
        <v>1</v>
      </c>
      <c r="AB424" s="266">
        <f t="shared" si="247"/>
        <v>0</v>
      </c>
      <c r="AC424" s="266">
        <f t="shared" si="248"/>
        <v>0</v>
      </c>
      <c r="AD424" s="266">
        <f t="shared" si="249"/>
        <v>0</v>
      </c>
      <c r="AE424" s="266">
        <f t="shared" si="250"/>
        <v>0</v>
      </c>
      <c r="AF424" s="266">
        <f t="shared" si="251"/>
        <v>0</v>
      </c>
      <c r="AG424" s="274">
        <v>1</v>
      </c>
      <c r="AH424" s="274">
        <v>1</v>
      </c>
      <c r="AI424" s="274">
        <v>1</v>
      </c>
      <c r="AJ424" s="274">
        <v>1</v>
      </c>
      <c r="AK424" s="274">
        <f t="shared" si="252"/>
        <v>1</v>
      </c>
      <c r="AL424" s="274">
        <f t="shared" si="253"/>
        <v>1</v>
      </c>
      <c r="AM424" s="274">
        <f t="shared" si="254"/>
        <v>1</v>
      </c>
      <c r="AN424" s="274">
        <f t="shared" si="255"/>
        <v>1</v>
      </c>
      <c r="AO424" s="262"/>
      <c r="AP424" s="262"/>
      <c r="AQ424" s="267">
        <v>59.845499999999994</v>
      </c>
      <c r="AR424" s="262"/>
      <c r="AS424" s="266">
        <f t="shared" si="256"/>
        <v>0</v>
      </c>
      <c r="AT424" s="264">
        <f t="shared" si="257"/>
        <v>0</v>
      </c>
      <c r="AU424" s="262"/>
      <c r="AV424" s="262"/>
      <c r="AW424" s="265">
        <v>59.845499999999994</v>
      </c>
      <c r="AX424" s="164" t="s">
        <v>1469</v>
      </c>
      <c r="AY424" s="266">
        <v>0</v>
      </c>
      <c r="AZ424" s="266">
        <f t="shared" si="258"/>
        <v>0</v>
      </c>
      <c r="BA424" s="264">
        <f t="shared" si="259"/>
        <v>0</v>
      </c>
      <c r="BB424" s="262"/>
      <c r="BC424" s="262"/>
      <c r="BD424" s="265">
        <f ca="1">IFERROR(INDEX(Algorithms!$G:$G,MATCH($C424&amp;"_Therm Saved per Unit",Algorithms!$A:$A,0)),0)</f>
        <v>59.845499999999994</v>
      </c>
      <c r="BE424" s="164" t="str">
        <f ca="1">IFERROR(INDEX('v12 Revisions'!$P$29:$P$186, MATCH('Measure-Level Adj Gas'!$L424, 'v12 Revisions'!$D$29:$D$186,0)),"")</f>
        <v/>
      </c>
      <c r="BF424" s="266">
        <f t="shared" ca="1" si="260"/>
        <v>0</v>
      </c>
      <c r="BG424" s="264">
        <f t="shared" ca="1" si="261"/>
        <v>0</v>
      </c>
      <c r="BH424" s="262"/>
      <c r="BI424" s="262"/>
      <c r="BJ424" s="265">
        <f ca="1">IFERROR(INDEX(Algorithms!$G:$G,MATCH($C424&amp;"_Therm Saved per Unit",Algorithms!$A:$A,0)),0)</f>
        <v>59.845499999999994</v>
      </c>
      <c r="BK424" s="164"/>
      <c r="BL424" s="266">
        <f t="shared" ca="1" si="262"/>
        <v>0</v>
      </c>
      <c r="BM424" s="264">
        <f t="shared" ca="1" si="263"/>
        <v>0</v>
      </c>
      <c r="BN424" s="266">
        <f t="shared" si="264"/>
        <v>0</v>
      </c>
      <c r="BO424" s="266">
        <f t="shared" si="265"/>
        <v>0</v>
      </c>
      <c r="BP424" s="266">
        <f t="shared" ca="1" si="266"/>
        <v>0</v>
      </c>
      <c r="BQ424" s="266">
        <f t="shared" ca="1" si="267"/>
        <v>0</v>
      </c>
      <c r="BR424" s="268">
        <f t="shared" ca="1" si="268"/>
        <v>0</v>
      </c>
      <c r="BS424" s="262" t="s">
        <v>99</v>
      </c>
      <c r="BT424" s="277"/>
      <c r="BW424" s="266">
        <f t="shared" si="269"/>
        <v>0</v>
      </c>
      <c r="BX424" s="266">
        <f t="shared" si="270"/>
        <v>0</v>
      </c>
      <c r="BY424" s="266">
        <f t="shared" si="271"/>
        <v>0</v>
      </c>
      <c r="BZ424" s="266">
        <f t="shared" si="272"/>
        <v>0</v>
      </c>
      <c r="CA424" s="266">
        <f ca="1">N424*IFERROR(INDEX(Algorithms!$G:$G,MATCH($C424&amp;"_Therm Saved per Unit- MLA",Algorithms!$A:$A,0)),0)*X424</f>
        <v>0</v>
      </c>
      <c r="CB424" s="266">
        <f ca="1">O424*IFERROR(INDEX(Algorithms!$G:$G,MATCH($C424&amp;"_Therm Saved per Unit- MLA",Algorithms!$A:$A,0)),0)*Y424</f>
        <v>0</v>
      </c>
      <c r="CC424" s="266">
        <f ca="1">P424*IFERROR(INDEX(Algorithms!$G:$G,MATCH($C424&amp;"_Therm Saved per Unit- MLA",Algorithms!$A:$A,0)),0)*Z424</f>
        <v>0</v>
      </c>
      <c r="CD424" s="266">
        <f ca="1">Q424*IFERROR(INDEX(Algorithms!$G:$G,MATCH($C424&amp;"_Therm Saved per Unit- MLA",Algorithms!$A:$A,0)),0)*AA424</f>
        <v>0</v>
      </c>
      <c r="CE424" s="266">
        <f ca="1">IFERROR(INDEX(Algorithms!$G:$G,MATCH($C424&amp;"_Lifetime (years)",Algorithms!$A:$A,0)),0)</f>
        <v>16</v>
      </c>
      <c r="CF424" s="266">
        <f ca="1">IFERROR(INDEX(Algorithms!$G:$G,MATCH($C424&amp;"_Lifetime (years) - Remaining Years",Algorithms!$A:$A,0)),0)</f>
        <v>5</v>
      </c>
      <c r="CG424" s="266">
        <f t="shared" ca="1" si="273"/>
        <v>0</v>
      </c>
      <c r="CH424" s="266">
        <f t="shared" ca="1" si="274"/>
        <v>0</v>
      </c>
      <c r="CI424" s="266">
        <f t="shared" ca="1" si="275"/>
        <v>0</v>
      </c>
      <c r="CJ424" s="266">
        <f t="shared" ca="1" si="276"/>
        <v>0</v>
      </c>
      <c r="CK424" s="266">
        <f t="shared" si="277"/>
        <v>0</v>
      </c>
      <c r="CL424" s="266">
        <f t="shared" si="278"/>
        <v>0</v>
      </c>
      <c r="CM424" s="266">
        <f t="shared" ca="1" si="279"/>
        <v>0</v>
      </c>
      <c r="CN424" s="266">
        <f t="shared" ca="1" si="280"/>
        <v>0</v>
      </c>
      <c r="CO424" s="266">
        <f ca="1">N424*IFERROR(INDEX(Algorithms!$G:$G,MATCH($C424&amp;"_Therm Saved per Unit- MLA",Algorithms!$A:$A,0)),0)*X424</f>
        <v>0</v>
      </c>
      <c r="CP424" s="266">
        <f ca="1">O424*IFERROR(INDEX(Algorithms!$G:$G,MATCH($C424&amp;"_Therm Saved per Unit- MLA",Algorithms!$A:$A,0)),0)*Y424</f>
        <v>0</v>
      </c>
      <c r="CQ424" s="266">
        <f ca="1">P424*IFERROR(INDEX(Algorithms!$G:$G,MATCH($C424&amp;"_Therm Saved per Unit- MLA",Algorithms!$A:$A,0)),0)*Z424</f>
        <v>0</v>
      </c>
      <c r="CR424" s="266">
        <f ca="1">Q424*IFERROR(INDEX(Algorithms!$G:$G,MATCH($C424&amp;"_Therm Saved per Unit- MLA",Algorithms!$A:$A,0)),0)*AA424</f>
        <v>0</v>
      </c>
      <c r="CS424" s="266">
        <f ca="1">IFERROR(INDEX(Algorithms!$G:$G,MATCH($C424&amp;"_Lifetime (years)",Algorithms!$A:$A,0)),0)</f>
        <v>16</v>
      </c>
      <c r="CT424" s="266">
        <f ca="1">IFERROR(INDEX(Algorithms!$G:$G,MATCH($C424&amp;"_Lifetime (years) - Remaining Years",Algorithms!$A:$A,0)),0)</f>
        <v>5</v>
      </c>
      <c r="CU424" s="266">
        <f t="shared" ca="1" si="281"/>
        <v>0</v>
      </c>
      <c r="CV424" s="266">
        <f t="shared" ca="1" si="282"/>
        <v>0</v>
      </c>
      <c r="CW424" s="266">
        <f t="shared" ca="1" si="283"/>
        <v>0</v>
      </c>
      <c r="CX424" s="266">
        <f t="shared" ca="1" si="284"/>
        <v>0</v>
      </c>
    </row>
    <row r="425" spans="2:102" s="47" customFormat="1" ht="18" customHeight="1" x14ac:dyDescent="0.25">
      <c r="B425" t="str">
        <f t="shared" si="285"/>
        <v>NSG_Income Eligible_Multi-Family_Whole Building - DI_Advanced Thermostat_Boiler (Replace Manual)_MF</v>
      </c>
      <c r="C425" s="47" t="str">
        <f t="shared" si="246"/>
        <v>Advanced Thermostat_Boiler (Replace Manual)_MF</v>
      </c>
      <c r="D425" s="270" t="s">
        <v>1787</v>
      </c>
      <c r="E425" s="270" t="s">
        <v>325</v>
      </c>
      <c r="F425" s="270" t="s">
        <v>1422</v>
      </c>
      <c r="G425" s="270" t="s">
        <v>1812</v>
      </c>
      <c r="H425" s="270" t="s">
        <v>7</v>
      </c>
      <c r="I425" s="270" t="s">
        <v>1051</v>
      </c>
      <c r="J425" s="270" t="s">
        <v>553</v>
      </c>
      <c r="K425" s="263">
        <v>1</v>
      </c>
      <c r="L425" s="263" t="str">
        <f ca="1">IFERROR(INDEX(Algorithms!J:J,MATCH($C425&amp;"_Therm Saved per Unit",Algorithms!$A:$A,0)),"n/a")</f>
        <v>5.3.16</v>
      </c>
      <c r="M425" s="263" t="str">
        <f>IFERROR(INDEX('Measure Level Detail'!$N:$N,MATCH($B425,'Measure Level Detail'!$B:$B,0)),0)</f>
        <v>each</v>
      </c>
      <c r="N425" s="271">
        <f>IFERROR(INDEX('Measure Level Detail'!$P:$P,MATCH($B425&amp;"_"&amp;N$3,'Measure Level Detail'!$C:$C,0)),0)</f>
        <v>0</v>
      </c>
      <c r="O425" s="271">
        <f>IFERROR(INDEX('Measure Level Detail'!$P:$P,MATCH($B425&amp;"_"&amp;O$3,'Measure Level Detail'!$C:$C,0)),0)</f>
        <v>0</v>
      </c>
      <c r="P425" s="271">
        <f>IFERROR(INDEX('Measure Level Detail'!$P:$P,MATCH($B425&amp;"_"&amp;P$3,'Measure Level Detail'!$C:$C,0)),0)</f>
        <v>0</v>
      </c>
      <c r="Q425" s="271">
        <f>IFERROR(INDEX('Measure Level Detail'!$P:$P,MATCH($B425&amp;"_"&amp;Q$3,'Measure Level Detail'!$C:$C,0)),0)</f>
        <v>0</v>
      </c>
      <c r="R425" s="263" t="str">
        <f ca="1">IFERROR(INDEX(Algorithms!K:K,MATCH($C425&amp;"_Therm Saved per Unit",Algorithms!$A:$A,0)),"n/a")</f>
        <v>RS-HVC-ADTH-V09-240101</v>
      </c>
      <c r="S425" s="262"/>
      <c r="T425" s="272">
        <v>100.386</v>
      </c>
      <c r="U425" s="272">
        <v>100.386</v>
      </c>
      <c r="V425" s="272">
        <v>100.386</v>
      </c>
      <c r="W425" s="272">
        <v>100.386</v>
      </c>
      <c r="X425" s="273">
        <f>IFERROR(INDEX('Measure Level Detail'!$R:$R,MATCH($B425&amp;"_"&amp;X$3,'Measure Level Detail'!$C:$C,0)),0)</f>
        <v>1</v>
      </c>
      <c r="Y425" s="273">
        <f>IFERROR(INDEX('Measure Level Detail'!$R:$R,MATCH($B425&amp;"_"&amp;Y$3,'Measure Level Detail'!$C:$C,0)),0)</f>
        <v>1</v>
      </c>
      <c r="Z425" s="273">
        <f>IFERROR(INDEX('Measure Level Detail'!$R:$R,MATCH($B425&amp;"_"&amp;Z$3,'Measure Level Detail'!$C:$C,0)),0)</f>
        <v>1</v>
      </c>
      <c r="AA425" s="273">
        <f>IFERROR(INDEX('Measure Level Detail'!$R:$R,MATCH($B425&amp;"_"&amp;AA$3,'Measure Level Detail'!$C:$C,0)),0)</f>
        <v>1</v>
      </c>
      <c r="AB425" s="266">
        <f t="shared" si="247"/>
        <v>0</v>
      </c>
      <c r="AC425" s="266">
        <f t="shared" si="248"/>
        <v>0</v>
      </c>
      <c r="AD425" s="266">
        <f t="shared" si="249"/>
        <v>0</v>
      </c>
      <c r="AE425" s="266">
        <f t="shared" si="250"/>
        <v>0</v>
      </c>
      <c r="AF425" s="266">
        <f t="shared" si="251"/>
        <v>0</v>
      </c>
      <c r="AG425" s="274">
        <v>1</v>
      </c>
      <c r="AH425" s="274">
        <v>1</v>
      </c>
      <c r="AI425" s="274">
        <v>1</v>
      </c>
      <c r="AJ425" s="274">
        <v>1</v>
      </c>
      <c r="AK425" s="274">
        <f t="shared" si="252"/>
        <v>1</v>
      </c>
      <c r="AL425" s="274">
        <f t="shared" si="253"/>
        <v>1</v>
      </c>
      <c r="AM425" s="274">
        <f t="shared" si="254"/>
        <v>1</v>
      </c>
      <c r="AN425" s="274">
        <f t="shared" si="255"/>
        <v>1</v>
      </c>
      <c r="AO425" s="262"/>
      <c r="AP425" s="262"/>
      <c r="AQ425" s="267">
        <v>98.455500000000001</v>
      </c>
      <c r="AR425" s="262"/>
      <c r="AS425" s="266">
        <f t="shared" si="256"/>
        <v>0</v>
      </c>
      <c r="AT425" s="264">
        <f t="shared" si="257"/>
        <v>0</v>
      </c>
      <c r="AU425" s="262"/>
      <c r="AV425" s="262"/>
      <c r="AW425" s="265">
        <v>98.455500000000001</v>
      </c>
      <c r="AX425" s="164" t="s">
        <v>1469</v>
      </c>
      <c r="AY425" s="266">
        <v>0</v>
      </c>
      <c r="AZ425" s="266">
        <f t="shared" si="258"/>
        <v>0</v>
      </c>
      <c r="BA425" s="264">
        <f t="shared" si="259"/>
        <v>0</v>
      </c>
      <c r="BB425" s="262"/>
      <c r="BC425" s="262"/>
      <c r="BD425" s="265">
        <f ca="1">IFERROR(INDEX(Algorithms!$G:$G,MATCH($C425&amp;"_Therm Saved per Unit",Algorithms!$A:$A,0)),0)</f>
        <v>98.455500000000001</v>
      </c>
      <c r="BE425" s="164" t="str">
        <f ca="1">IFERROR(INDEX('v12 Revisions'!$P$29:$P$186, MATCH('Measure-Level Adj Gas'!$L425, 'v12 Revisions'!$D$29:$D$186,0)),"")</f>
        <v>n/a - FLH not in fossil fuel energy savings algorithm.</v>
      </c>
      <c r="BF425" s="266">
        <f t="shared" ca="1" si="260"/>
        <v>0</v>
      </c>
      <c r="BG425" s="264">
        <f t="shared" ca="1" si="261"/>
        <v>0</v>
      </c>
      <c r="BH425" s="262"/>
      <c r="BI425" s="262"/>
      <c r="BJ425" s="265">
        <f ca="1">IFERROR(INDEX(Algorithms!$G:$G,MATCH($C425&amp;"_Therm Saved per Unit",Algorithms!$A:$A,0)),0)</f>
        <v>98.455500000000001</v>
      </c>
      <c r="BK425" s="164"/>
      <c r="BL425" s="266">
        <f t="shared" ca="1" si="262"/>
        <v>0</v>
      </c>
      <c r="BM425" s="264">
        <f t="shared" ca="1" si="263"/>
        <v>0</v>
      </c>
      <c r="BN425" s="266">
        <f t="shared" si="264"/>
        <v>0</v>
      </c>
      <c r="BO425" s="266">
        <f t="shared" si="265"/>
        <v>0</v>
      </c>
      <c r="BP425" s="266">
        <f t="shared" ca="1" si="266"/>
        <v>0</v>
      </c>
      <c r="BQ425" s="266">
        <f t="shared" ca="1" si="267"/>
        <v>0</v>
      </c>
      <c r="BR425" s="268">
        <f t="shared" ca="1" si="268"/>
        <v>0</v>
      </c>
      <c r="BS425" s="262" t="s">
        <v>99</v>
      </c>
      <c r="BT425" s="277"/>
      <c r="BW425" s="266">
        <f t="shared" si="269"/>
        <v>0</v>
      </c>
      <c r="BX425" s="266">
        <f t="shared" si="270"/>
        <v>0</v>
      </c>
      <c r="BY425" s="266">
        <f t="shared" si="271"/>
        <v>0</v>
      </c>
      <c r="BZ425" s="266">
        <f t="shared" si="272"/>
        <v>0</v>
      </c>
      <c r="CA425" s="266">
        <f ca="1">N425*IFERROR(INDEX(Algorithms!$G:$G,MATCH($C425&amp;"_Therm Saved per Unit- MLA",Algorithms!$A:$A,0)),0)*X425</f>
        <v>0</v>
      </c>
      <c r="CB425" s="266">
        <f ca="1">O425*IFERROR(INDEX(Algorithms!$G:$G,MATCH($C425&amp;"_Therm Saved per Unit- MLA",Algorithms!$A:$A,0)),0)*Y425</f>
        <v>0</v>
      </c>
      <c r="CC425" s="266">
        <f ca="1">P425*IFERROR(INDEX(Algorithms!$G:$G,MATCH($C425&amp;"_Therm Saved per Unit- MLA",Algorithms!$A:$A,0)),0)*Z425</f>
        <v>0</v>
      </c>
      <c r="CD425" s="266">
        <f ca="1">Q425*IFERROR(INDEX(Algorithms!$G:$G,MATCH($C425&amp;"_Therm Saved per Unit- MLA",Algorithms!$A:$A,0)),0)*AA425</f>
        <v>0</v>
      </c>
      <c r="CE425" s="266">
        <f ca="1">IFERROR(INDEX(Algorithms!$G:$G,MATCH($C425&amp;"_Lifetime (years)",Algorithms!$A:$A,0)),0)</f>
        <v>11</v>
      </c>
      <c r="CF425" s="266">
        <f ca="1">IFERROR(INDEX(Algorithms!$G:$G,MATCH($C425&amp;"_Lifetime (years) - Remaining Years",Algorithms!$A:$A,0)),0)</f>
        <v>0</v>
      </c>
      <c r="CG425" s="266">
        <f t="shared" ca="1" si="273"/>
        <v>0</v>
      </c>
      <c r="CH425" s="266">
        <f t="shared" ca="1" si="274"/>
        <v>0</v>
      </c>
      <c r="CI425" s="266">
        <f t="shared" ca="1" si="275"/>
        <v>0</v>
      </c>
      <c r="CJ425" s="266">
        <f t="shared" ca="1" si="276"/>
        <v>0</v>
      </c>
      <c r="CK425" s="266">
        <f t="shared" si="277"/>
        <v>0</v>
      </c>
      <c r="CL425" s="266">
        <f t="shared" si="278"/>
        <v>0</v>
      </c>
      <c r="CM425" s="266">
        <f t="shared" ca="1" si="279"/>
        <v>0</v>
      </c>
      <c r="CN425" s="266">
        <f t="shared" ca="1" si="280"/>
        <v>0</v>
      </c>
      <c r="CO425" s="266">
        <f ca="1">N425*IFERROR(INDEX(Algorithms!$G:$G,MATCH($C425&amp;"_Therm Saved per Unit- MLA",Algorithms!$A:$A,0)),0)*X425</f>
        <v>0</v>
      </c>
      <c r="CP425" s="266">
        <f ca="1">O425*IFERROR(INDEX(Algorithms!$G:$G,MATCH($C425&amp;"_Therm Saved per Unit- MLA",Algorithms!$A:$A,0)),0)*Y425</f>
        <v>0</v>
      </c>
      <c r="CQ425" s="266">
        <f ca="1">P425*IFERROR(INDEX(Algorithms!$G:$G,MATCH($C425&amp;"_Therm Saved per Unit- MLA",Algorithms!$A:$A,0)),0)*Z425</f>
        <v>0</v>
      </c>
      <c r="CR425" s="266">
        <f ca="1">Q425*IFERROR(INDEX(Algorithms!$G:$G,MATCH($C425&amp;"_Therm Saved per Unit- MLA",Algorithms!$A:$A,0)),0)*AA425</f>
        <v>0</v>
      </c>
      <c r="CS425" s="266">
        <f ca="1">IFERROR(INDEX(Algorithms!$G:$G,MATCH($C425&amp;"_Lifetime (years)",Algorithms!$A:$A,0)),0)</f>
        <v>11</v>
      </c>
      <c r="CT425" s="266">
        <f ca="1">IFERROR(INDEX(Algorithms!$G:$G,MATCH($C425&amp;"_Lifetime (years) - Remaining Years",Algorithms!$A:$A,0)),0)</f>
        <v>0</v>
      </c>
      <c r="CU425" s="266">
        <f t="shared" ca="1" si="281"/>
        <v>0</v>
      </c>
      <c r="CV425" s="266">
        <f t="shared" ca="1" si="282"/>
        <v>0</v>
      </c>
      <c r="CW425" s="266">
        <f t="shared" ca="1" si="283"/>
        <v>0</v>
      </c>
      <c r="CX425" s="266">
        <f t="shared" ca="1" si="284"/>
        <v>0</v>
      </c>
    </row>
    <row r="426" spans="2:102" s="47" customFormat="1" ht="18" customHeight="1" x14ac:dyDescent="0.25">
      <c r="B426" t="str">
        <f t="shared" si="285"/>
        <v>NSG_Income Eligible_Multi-Family_Whole Building - DI_Advanced Thermostat_Furnace (Replace Programmable)_MF</v>
      </c>
      <c r="C426" s="47" t="str">
        <f t="shared" si="246"/>
        <v>Advanced Thermostat_Furnace (Replace Programmable)_MF</v>
      </c>
      <c r="D426" s="270" t="s">
        <v>1787</v>
      </c>
      <c r="E426" s="270" t="s">
        <v>325</v>
      </c>
      <c r="F426" s="270" t="s">
        <v>1422</v>
      </c>
      <c r="G426" s="270" t="s">
        <v>1812</v>
      </c>
      <c r="H426" s="270" t="s">
        <v>7</v>
      </c>
      <c r="I426" s="270" t="s">
        <v>1049</v>
      </c>
      <c r="J426" s="270" t="s">
        <v>553</v>
      </c>
      <c r="K426" s="263">
        <v>1</v>
      </c>
      <c r="L426" s="263" t="str">
        <f ca="1">IFERROR(INDEX(Algorithms!J:J,MATCH($C426&amp;"_Therm Saved per Unit",Algorithms!$A:$A,0)),"n/a")</f>
        <v>5.3.16</v>
      </c>
      <c r="M426" s="263" t="str">
        <f>IFERROR(INDEX('Measure Level Detail'!$N:$N,MATCH($B426,'Measure Level Detail'!$B:$B,0)),0)</f>
        <v>each</v>
      </c>
      <c r="N426" s="271">
        <f>IFERROR(INDEX('Measure Level Detail'!$P:$P,MATCH($B426&amp;"_"&amp;N$3,'Measure Level Detail'!$C:$C,0)),0)</f>
        <v>0</v>
      </c>
      <c r="O426" s="271">
        <f>IFERROR(INDEX('Measure Level Detail'!$P:$P,MATCH($B426&amp;"_"&amp;O$3,'Measure Level Detail'!$C:$C,0)),0)</f>
        <v>0</v>
      </c>
      <c r="P426" s="271">
        <f>IFERROR(INDEX('Measure Level Detail'!$P:$P,MATCH($B426&amp;"_"&amp;P$3,'Measure Level Detail'!$C:$C,0)),0)</f>
        <v>0</v>
      </c>
      <c r="Q426" s="271">
        <f>IFERROR(INDEX('Measure Level Detail'!$P:$P,MATCH($B426&amp;"_"&amp;Q$3,'Measure Level Detail'!$C:$C,0)),0)</f>
        <v>0</v>
      </c>
      <c r="R426" s="263" t="str">
        <f ca="1">IFERROR(INDEX(Algorithms!K:K,MATCH($C426&amp;"_Therm Saved per Unit",Algorithms!$A:$A,0)),"n/a")</f>
        <v>RS-HVC-ADTH-V09-240101</v>
      </c>
      <c r="S426" s="262"/>
      <c r="T426" s="272">
        <v>47.687249999999999</v>
      </c>
      <c r="U426" s="272">
        <v>47.687249999999999</v>
      </c>
      <c r="V426" s="272">
        <v>47.687249999999999</v>
      </c>
      <c r="W426" s="272">
        <v>47.687249999999999</v>
      </c>
      <c r="X426" s="273">
        <f>IFERROR(INDEX('Measure Level Detail'!$R:$R,MATCH($B426&amp;"_"&amp;X$3,'Measure Level Detail'!$C:$C,0)),0)</f>
        <v>1</v>
      </c>
      <c r="Y426" s="273">
        <f>IFERROR(INDEX('Measure Level Detail'!$R:$R,MATCH($B426&amp;"_"&amp;Y$3,'Measure Level Detail'!$C:$C,0)),0)</f>
        <v>1</v>
      </c>
      <c r="Z426" s="273">
        <f>IFERROR(INDEX('Measure Level Detail'!$R:$R,MATCH($B426&amp;"_"&amp;Z$3,'Measure Level Detail'!$C:$C,0)),0)</f>
        <v>1</v>
      </c>
      <c r="AA426" s="273">
        <f>IFERROR(INDEX('Measure Level Detail'!$R:$R,MATCH($B426&amp;"_"&amp;AA$3,'Measure Level Detail'!$C:$C,0)),0)</f>
        <v>1</v>
      </c>
      <c r="AB426" s="266">
        <f t="shared" si="247"/>
        <v>0</v>
      </c>
      <c r="AC426" s="266">
        <f t="shared" si="248"/>
        <v>0</v>
      </c>
      <c r="AD426" s="266">
        <f t="shared" si="249"/>
        <v>0</v>
      </c>
      <c r="AE426" s="266">
        <f t="shared" si="250"/>
        <v>0</v>
      </c>
      <c r="AF426" s="266">
        <f t="shared" si="251"/>
        <v>0</v>
      </c>
      <c r="AG426" s="274">
        <v>1</v>
      </c>
      <c r="AH426" s="274">
        <v>1</v>
      </c>
      <c r="AI426" s="274">
        <v>1</v>
      </c>
      <c r="AJ426" s="274">
        <v>1</v>
      </c>
      <c r="AK426" s="274">
        <f t="shared" si="252"/>
        <v>1</v>
      </c>
      <c r="AL426" s="274">
        <f t="shared" si="253"/>
        <v>1</v>
      </c>
      <c r="AM426" s="274">
        <f t="shared" si="254"/>
        <v>1</v>
      </c>
      <c r="AN426" s="274">
        <f t="shared" si="255"/>
        <v>1</v>
      </c>
      <c r="AO426" s="262"/>
      <c r="AP426" s="262"/>
      <c r="AQ426" s="267">
        <v>46.380749999999992</v>
      </c>
      <c r="AR426" s="262"/>
      <c r="AS426" s="266">
        <f t="shared" si="256"/>
        <v>0</v>
      </c>
      <c r="AT426" s="264">
        <f t="shared" si="257"/>
        <v>0</v>
      </c>
      <c r="AU426" s="262"/>
      <c r="AV426" s="262"/>
      <c r="AW426" s="265">
        <v>46.380749999999992</v>
      </c>
      <c r="AX426" s="164" t="s">
        <v>1469</v>
      </c>
      <c r="AY426" s="266">
        <v>0</v>
      </c>
      <c r="AZ426" s="266">
        <f t="shared" si="258"/>
        <v>0</v>
      </c>
      <c r="BA426" s="264">
        <f t="shared" si="259"/>
        <v>0</v>
      </c>
      <c r="BB426" s="262"/>
      <c r="BC426" s="262"/>
      <c r="BD426" s="265">
        <f ca="1">IFERROR(INDEX(Algorithms!$G:$G,MATCH($C426&amp;"_Therm Saved per Unit",Algorithms!$A:$A,0)),0)</f>
        <v>46.380749999999992</v>
      </c>
      <c r="BE426" s="164" t="str">
        <f ca="1">IFERROR(INDEX('v12 Revisions'!$P$29:$P$186, MATCH('Measure-Level Adj Gas'!$L426, 'v12 Revisions'!$D$29:$D$186,0)),"")</f>
        <v>n/a - FLH not in fossil fuel energy savings algorithm.</v>
      </c>
      <c r="BF426" s="266">
        <f t="shared" ca="1" si="260"/>
        <v>0</v>
      </c>
      <c r="BG426" s="264">
        <f t="shared" ca="1" si="261"/>
        <v>0</v>
      </c>
      <c r="BH426" s="262"/>
      <c r="BI426" s="262"/>
      <c r="BJ426" s="265">
        <f ca="1">IFERROR(INDEX(Algorithms!$G:$G,MATCH($C426&amp;"_Therm Saved per Unit",Algorithms!$A:$A,0)),0)</f>
        <v>46.380749999999992</v>
      </c>
      <c r="BK426" s="164"/>
      <c r="BL426" s="266">
        <f t="shared" ca="1" si="262"/>
        <v>0</v>
      </c>
      <c r="BM426" s="264">
        <f t="shared" ca="1" si="263"/>
        <v>0</v>
      </c>
      <c r="BN426" s="266">
        <f t="shared" si="264"/>
        <v>0</v>
      </c>
      <c r="BO426" s="266">
        <f t="shared" si="265"/>
        <v>0</v>
      </c>
      <c r="BP426" s="266">
        <f t="shared" ca="1" si="266"/>
        <v>0</v>
      </c>
      <c r="BQ426" s="266">
        <f t="shared" ca="1" si="267"/>
        <v>0</v>
      </c>
      <c r="BR426" s="268">
        <f t="shared" ca="1" si="268"/>
        <v>0</v>
      </c>
      <c r="BS426" s="262" t="s">
        <v>99</v>
      </c>
      <c r="BT426" s="277"/>
      <c r="BW426" s="266">
        <f t="shared" si="269"/>
        <v>0</v>
      </c>
      <c r="BX426" s="266">
        <f t="shared" si="270"/>
        <v>0</v>
      </c>
      <c r="BY426" s="266">
        <f t="shared" si="271"/>
        <v>0</v>
      </c>
      <c r="BZ426" s="266">
        <f t="shared" si="272"/>
        <v>0</v>
      </c>
      <c r="CA426" s="266">
        <f ca="1">N426*IFERROR(INDEX(Algorithms!$G:$G,MATCH($C426&amp;"_Therm Saved per Unit- MLA",Algorithms!$A:$A,0)),0)*X426</f>
        <v>0</v>
      </c>
      <c r="CB426" s="266">
        <f ca="1">O426*IFERROR(INDEX(Algorithms!$G:$G,MATCH($C426&amp;"_Therm Saved per Unit- MLA",Algorithms!$A:$A,0)),0)*Y426</f>
        <v>0</v>
      </c>
      <c r="CC426" s="266">
        <f ca="1">P426*IFERROR(INDEX(Algorithms!$G:$G,MATCH($C426&amp;"_Therm Saved per Unit- MLA",Algorithms!$A:$A,0)),0)*Z426</f>
        <v>0</v>
      </c>
      <c r="CD426" s="266">
        <f ca="1">Q426*IFERROR(INDEX(Algorithms!$G:$G,MATCH($C426&amp;"_Therm Saved per Unit- MLA",Algorithms!$A:$A,0)),0)*AA426</f>
        <v>0</v>
      </c>
      <c r="CE426" s="266">
        <f ca="1">IFERROR(INDEX(Algorithms!$G:$G,MATCH($C426&amp;"_Lifetime (years)",Algorithms!$A:$A,0)),0)</f>
        <v>11</v>
      </c>
      <c r="CF426" s="266">
        <f ca="1">IFERROR(INDEX(Algorithms!$G:$G,MATCH($C426&amp;"_Lifetime (years) - Remaining Years",Algorithms!$A:$A,0)),0)</f>
        <v>0</v>
      </c>
      <c r="CG426" s="266">
        <f t="shared" ca="1" si="273"/>
        <v>0</v>
      </c>
      <c r="CH426" s="266">
        <f t="shared" ca="1" si="274"/>
        <v>0</v>
      </c>
      <c r="CI426" s="266">
        <f t="shared" ca="1" si="275"/>
        <v>0</v>
      </c>
      <c r="CJ426" s="266">
        <f t="shared" ca="1" si="276"/>
        <v>0</v>
      </c>
      <c r="CK426" s="266">
        <f t="shared" si="277"/>
        <v>0</v>
      </c>
      <c r="CL426" s="266">
        <f t="shared" si="278"/>
        <v>0</v>
      </c>
      <c r="CM426" s="266">
        <f t="shared" ca="1" si="279"/>
        <v>0</v>
      </c>
      <c r="CN426" s="266">
        <f t="shared" ca="1" si="280"/>
        <v>0</v>
      </c>
      <c r="CO426" s="266">
        <f ca="1">N426*IFERROR(INDEX(Algorithms!$G:$G,MATCH($C426&amp;"_Therm Saved per Unit- MLA",Algorithms!$A:$A,0)),0)*X426</f>
        <v>0</v>
      </c>
      <c r="CP426" s="266">
        <f ca="1">O426*IFERROR(INDEX(Algorithms!$G:$G,MATCH($C426&amp;"_Therm Saved per Unit- MLA",Algorithms!$A:$A,0)),0)*Y426</f>
        <v>0</v>
      </c>
      <c r="CQ426" s="266">
        <f ca="1">P426*IFERROR(INDEX(Algorithms!$G:$G,MATCH($C426&amp;"_Therm Saved per Unit- MLA",Algorithms!$A:$A,0)),0)*Z426</f>
        <v>0</v>
      </c>
      <c r="CR426" s="266">
        <f ca="1">Q426*IFERROR(INDEX(Algorithms!$G:$G,MATCH($C426&amp;"_Therm Saved per Unit- MLA",Algorithms!$A:$A,0)),0)*AA426</f>
        <v>0</v>
      </c>
      <c r="CS426" s="266">
        <f ca="1">IFERROR(INDEX(Algorithms!$G:$G,MATCH($C426&amp;"_Lifetime (years)",Algorithms!$A:$A,0)),0)</f>
        <v>11</v>
      </c>
      <c r="CT426" s="266">
        <f ca="1">IFERROR(INDEX(Algorithms!$G:$G,MATCH($C426&amp;"_Lifetime (years) - Remaining Years",Algorithms!$A:$A,0)),0)</f>
        <v>0</v>
      </c>
      <c r="CU426" s="266">
        <f t="shared" ca="1" si="281"/>
        <v>0</v>
      </c>
      <c r="CV426" s="266">
        <f t="shared" ca="1" si="282"/>
        <v>0</v>
      </c>
      <c r="CW426" s="266">
        <f t="shared" ca="1" si="283"/>
        <v>0</v>
      </c>
      <c r="CX426" s="266">
        <f t="shared" ca="1" si="284"/>
        <v>0</v>
      </c>
    </row>
    <row r="427" spans="2:102" s="47" customFormat="1" ht="18" customHeight="1" x14ac:dyDescent="0.25">
      <c r="B427" t="str">
        <f t="shared" si="285"/>
        <v>NSG_Income Eligible_Multi-Family_Whole Building - DI_Advanced Thermostat_Boiler (Replace Programmable)_MF</v>
      </c>
      <c r="C427" s="47" t="str">
        <f t="shared" si="246"/>
        <v>Advanced Thermostat_Boiler (Replace Programmable)_MF</v>
      </c>
      <c r="D427" s="270" t="s">
        <v>1787</v>
      </c>
      <c r="E427" s="270" t="s">
        <v>325</v>
      </c>
      <c r="F427" s="270" t="s">
        <v>1422</v>
      </c>
      <c r="G427" s="270" t="s">
        <v>1812</v>
      </c>
      <c r="H427" s="270" t="s">
        <v>7</v>
      </c>
      <c r="I427" s="270" t="s">
        <v>1052</v>
      </c>
      <c r="J427" s="270" t="s">
        <v>553</v>
      </c>
      <c r="K427" s="263">
        <v>1</v>
      </c>
      <c r="L427" s="263" t="str">
        <f ca="1">IFERROR(INDEX(Algorithms!J:J,MATCH($C427&amp;"_Therm Saved per Unit",Algorithms!$A:$A,0)),"n/a")</f>
        <v>5.3.16</v>
      </c>
      <c r="M427" s="263" t="str">
        <f>IFERROR(INDEX('Measure Level Detail'!$N:$N,MATCH($B427,'Measure Level Detail'!$B:$B,0)),0)</f>
        <v>each</v>
      </c>
      <c r="N427" s="271">
        <f>IFERROR(INDEX('Measure Level Detail'!$P:$P,MATCH($B427&amp;"_"&amp;N$3,'Measure Level Detail'!$C:$C,0)),0)</f>
        <v>0</v>
      </c>
      <c r="O427" s="271">
        <f>IFERROR(INDEX('Measure Level Detail'!$P:$P,MATCH($B427&amp;"_"&amp;O$3,'Measure Level Detail'!$C:$C,0)),0)</f>
        <v>0</v>
      </c>
      <c r="P427" s="271">
        <f>IFERROR(INDEX('Measure Level Detail'!$P:$P,MATCH($B427&amp;"_"&amp;P$3,'Measure Level Detail'!$C:$C,0)),0)</f>
        <v>0</v>
      </c>
      <c r="Q427" s="271">
        <f>IFERROR(INDEX('Measure Level Detail'!$P:$P,MATCH($B427&amp;"_"&amp;Q$3,'Measure Level Detail'!$C:$C,0)),0)</f>
        <v>0</v>
      </c>
      <c r="R427" s="263" t="str">
        <f ca="1">IFERROR(INDEX(Algorithms!K:K,MATCH($C427&amp;"_Therm Saved per Unit",Algorithms!$A:$A,0)),"n/a")</f>
        <v>RS-HVC-ADTH-V09-240101</v>
      </c>
      <c r="S427" s="262"/>
      <c r="T427" s="272">
        <v>70.463249999999988</v>
      </c>
      <c r="U427" s="272">
        <v>70.463249999999988</v>
      </c>
      <c r="V427" s="272">
        <v>70.463249999999988</v>
      </c>
      <c r="W427" s="272">
        <v>70.463249999999988</v>
      </c>
      <c r="X427" s="273">
        <f>IFERROR(INDEX('Measure Level Detail'!$R:$R,MATCH($B427&amp;"_"&amp;X$3,'Measure Level Detail'!$C:$C,0)),0)</f>
        <v>1</v>
      </c>
      <c r="Y427" s="273">
        <f>IFERROR(INDEX('Measure Level Detail'!$R:$R,MATCH($B427&amp;"_"&amp;Y$3,'Measure Level Detail'!$C:$C,0)),0)</f>
        <v>1</v>
      </c>
      <c r="Z427" s="273">
        <f>IFERROR(INDEX('Measure Level Detail'!$R:$R,MATCH($B427&amp;"_"&amp;Z$3,'Measure Level Detail'!$C:$C,0)),0)</f>
        <v>1</v>
      </c>
      <c r="AA427" s="273">
        <f>IFERROR(INDEX('Measure Level Detail'!$R:$R,MATCH($B427&amp;"_"&amp;AA$3,'Measure Level Detail'!$C:$C,0)),0)</f>
        <v>1</v>
      </c>
      <c r="AB427" s="266">
        <f t="shared" si="247"/>
        <v>0</v>
      </c>
      <c r="AC427" s="266">
        <f t="shared" si="248"/>
        <v>0</v>
      </c>
      <c r="AD427" s="266">
        <f t="shared" si="249"/>
        <v>0</v>
      </c>
      <c r="AE427" s="266">
        <f t="shared" si="250"/>
        <v>0</v>
      </c>
      <c r="AF427" s="266">
        <f t="shared" si="251"/>
        <v>0</v>
      </c>
      <c r="AG427" s="274">
        <v>1</v>
      </c>
      <c r="AH427" s="274">
        <v>1</v>
      </c>
      <c r="AI427" s="274">
        <v>1</v>
      </c>
      <c r="AJ427" s="274">
        <v>1</v>
      </c>
      <c r="AK427" s="274">
        <f t="shared" si="252"/>
        <v>1</v>
      </c>
      <c r="AL427" s="274">
        <f t="shared" si="253"/>
        <v>1</v>
      </c>
      <c r="AM427" s="274">
        <f t="shared" si="254"/>
        <v>1</v>
      </c>
      <c r="AN427" s="274">
        <f t="shared" si="255"/>
        <v>1</v>
      </c>
      <c r="AO427" s="262"/>
      <c r="AP427" s="262"/>
      <c r="AQ427" s="267">
        <v>68.532749999999993</v>
      </c>
      <c r="AR427" s="262"/>
      <c r="AS427" s="266">
        <f t="shared" si="256"/>
        <v>0</v>
      </c>
      <c r="AT427" s="264">
        <f t="shared" si="257"/>
        <v>0</v>
      </c>
      <c r="AU427" s="262"/>
      <c r="AV427" s="262"/>
      <c r="AW427" s="265">
        <v>68.532749999999993</v>
      </c>
      <c r="AX427" s="164" t="s">
        <v>1469</v>
      </c>
      <c r="AY427" s="266">
        <v>0</v>
      </c>
      <c r="AZ427" s="266">
        <f t="shared" si="258"/>
        <v>0</v>
      </c>
      <c r="BA427" s="264">
        <f t="shared" si="259"/>
        <v>0</v>
      </c>
      <c r="BB427" s="262"/>
      <c r="BC427" s="262"/>
      <c r="BD427" s="265">
        <f ca="1">IFERROR(INDEX(Algorithms!$G:$G,MATCH($C427&amp;"_Therm Saved per Unit",Algorithms!$A:$A,0)),0)</f>
        <v>68.532749999999993</v>
      </c>
      <c r="BE427" s="164" t="str">
        <f ca="1">IFERROR(INDEX('v12 Revisions'!$P$29:$P$186, MATCH('Measure-Level Adj Gas'!$L427, 'v12 Revisions'!$D$29:$D$186,0)),"")</f>
        <v>n/a - FLH not in fossil fuel energy savings algorithm.</v>
      </c>
      <c r="BF427" s="266">
        <f t="shared" ca="1" si="260"/>
        <v>0</v>
      </c>
      <c r="BG427" s="264">
        <f t="shared" ca="1" si="261"/>
        <v>0</v>
      </c>
      <c r="BH427" s="262"/>
      <c r="BI427" s="262"/>
      <c r="BJ427" s="265">
        <f ca="1">IFERROR(INDEX(Algorithms!$G:$G,MATCH($C427&amp;"_Therm Saved per Unit",Algorithms!$A:$A,0)),0)</f>
        <v>68.532749999999993</v>
      </c>
      <c r="BK427" s="164"/>
      <c r="BL427" s="266">
        <f t="shared" ca="1" si="262"/>
        <v>0</v>
      </c>
      <c r="BM427" s="264">
        <f t="shared" ca="1" si="263"/>
        <v>0</v>
      </c>
      <c r="BN427" s="266">
        <f t="shared" si="264"/>
        <v>0</v>
      </c>
      <c r="BO427" s="266">
        <f t="shared" si="265"/>
        <v>0</v>
      </c>
      <c r="BP427" s="266">
        <f t="shared" ca="1" si="266"/>
        <v>0</v>
      </c>
      <c r="BQ427" s="266">
        <f t="shared" ca="1" si="267"/>
        <v>0</v>
      </c>
      <c r="BR427" s="268">
        <f t="shared" ca="1" si="268"/>
        <v>0</v>
      </c>
      <c r="BS427" s="262" t="s">
        <v>99</v>
      </c>
      <c r="BT427" s="277"/>
      <c r="BW427" s="266">
        <f t="shared" si="269"/>
        <v>0</v>
      </c>
      <c r="BX427" s="266">
        <f t="shared" si="270"/>
        <v>0</v>
      </c>
      <c r="BY427" s="266">
        <f t="shared" si="271"/>
        <v>0</v>
      </c>
      <c r="BZ427" s="266">
        <f t="shared" si="272"/>
        <v>0</v>
      </c>
      <c r="CA427" s="266">
        <f ca="1">N427*IFERROR(INDEX(Algorithms!$G:$G,MATCH($C427&amp;"_Therm Saved per Unit- MLA",Algorithms!$A:$A,0)),0)*X427</f>
        <v>0</v>
      </c>
      <c r="CB427" s="266">
        <f ca="1">O427*IFERROR(INDEX(Algorithms!$G:$G,MATCH($C427&amp;"_Therm Saved per Unit- MLA",Algorithms!$A:$A,0)),0)*Y427</f>
        <v>0</v>
      </c>
      <c r="CC427" s="266">
        <f ca="1">P427*IFERROR(INDEX(Algorithms!$G:$G,MATCH($C427&amp;"_Therm Saved per Unit- MLA",Algorithms!$A:$A,0)),0)*Z427</f>
        <v>0</v>
      </c>
      <c r="CD427" s="266">
        <f ca="1">Q427*IFERROR(INDEX(Algorithms!$G:$G,MATCH($C427&amp;"_Therm Saved per Unit- MLA",Algorithms!$A:$A,0)),0)*AA427</f>
        <v>0</v>
      </c>
      <c r="CE427" s="266">
        <f ca="1">IFERROR(INDEX(Algorithms!$G:$G,MATCH($C427&amp;"_Lifetime (years)",Algorithms!$A:$A,0)),0)</f>
        <v>11</v>
      </c>
      <c r="CF427" s="266">
        <f ca="1">IFERROR(INDEX(Algorithms!$G:$G,MATCH($C427&amp;"_Lifetime (years) - Remaining Years",Algorithms!$A:$A,0)),0)</f>
        <v>0</v>
      </c>
      <c r="CG427" s="266">
        <f t="shared" ca="1" si="273"/>
        <v>0</v>
      </c>
      <c r="CH427" s="266">
        <f t="shared" ca="1" si="274"/>
        <v>0</v>
      </c>
      <c r="CI427" s="266">
        <f t="shared" ca="1" si="275"/>
        <v>0</v>
      </c>
      <c r="CJ427" s="266">
        <f t="shared" ca="1" si="276"/>
        <v>0</v>
      </c>
      <c r="CK427" s="266">
        <f t="shared" si="277"/>
        <v>0</v>
      </c>
      <c r="CL427" s="266">
        <f t="shared" si="278"/>
        <v>0</v>
      </c>
      <c r="CM427" s="266">
        <f t="shared" ca="1" si="279"/>
        <v>0</v>
      </c>
      <c r="CN427" s="266">
        <f t="shared" ca="1" si="280"/>
        <v>0</v>
      </c>
      <c r="CO427" s="266">
        <f ca="1">N427*IFERROR(INDEX(Algorithms!$G:$G,MATCH($C427&amp;"_Therm Saved per Unit- MLA",Algorithms!$A:$A,0)),0)*X427</f>
        <v>0</v>
      </c>
      <c r="CP427" s="266">
        <f ca="1">O427*IFERROR(INDEX(Algorithms!$G:$G,MATCH($C427&amp;"_Therm Saved per Unit- MLA",Algorithms!$A:$A,0)),0)*Y427</f>
        <v>0</v>
      </c>
      <c r="CQ427" s="266">
        <f ca="1">P427*IFERROR(INDEX(Algorithms!$G:$G,MATCH($C427&amp;"_Therm Saved per Unit- MLA",Algorithms!$A:$A,0)),0)*Z427</f>
        <v>0</v>
      </c>
      <c r="CR427" s="266">
        <f ca="1">Q427*IFERROR(INDEX(Algorithms!$G:$G,MATCH($C427&amp;"_Therm Saved per Unit- MLA",Algorithms!$A:$A,0)),0)*AA427</f>
        <v>0</v>
      </c>
      <c r="CS427" s="266">
        <f ca="1">IFERROR(INDEX(Algorithms!$G:$G,MATCH($C427&amp;"_Lifetime (years)",Algorithms!$A:$A,0)),0)</f>
        <v>11</v>
      </c>
      <c r="CT427" s="266">
        <f ca="1">IFERROR(INDEX(Algorithms!$G:$G,MATCH($C427&amp;"_Lifetime (years) - Remaining Years",Algorithms!$A:$A,0)),0)</f>
        <v>0</v>
      </c>
      <c r="CU427" s="266">
        <f t="shared" ca="1" si="281"/>
        <v>0</v>
      </c>
      <c r="CV427" s="266">
        <f t="shared" ca="1" si="282"/>
        <v>0</v>
      </c>
      <c r="CW427" s="266">
        <f t="shared" ca="1" si="283"/>
        <v>0</v>
      </c>
      <c r="CX427" s="266">
        <f t="shared" ca="1" si="284"/>
        <v>0</v>
      </c>
    </row>
    <row r="428" spans="2:102" s="47" customFormat="1" ht="18" customHeight="1" x14ac:dyDescent="0.25">
      <c r="B428" t="str">
        <f t="shared" si="285"/>
        <v>NSG_Income Eligible_Multi-Family_Whole Building - DI_Thermostat - Reprogram_Furnace (DI)_MF</v>
      </c>
      <c r="C428" s="47" t="str">
        <f t="shared" si="246"/>
        <v>Thermostat - Reprogram_Furnace (DI)_MF</v>
      </c>
      <c r="D428" s="270" t="s">
        <v>1787</v>
      </c>
      <c r="E428" s="270" t="s">
        <v>325</v>
      </c>
      <c r="F428" s="270" t="s">
        <v>1422</v>
      </c>
      <c r="G428" s="270" t="s">
        <v>1812</v>
      </c>
      <c r="H428" s="270" t="s">
        <v>1055</v>
      </c>
      <c r="I428" s="270" t="s">
        <v>1038</v>
      </c>
      <c r="J428" s="270" t="s">
        <v>553</v>
      </c>
      <c r="K428" s="263">
        <v>1</v>
      </c>
      <c r="L428" s="263" t="str">
        <f ca="1">IFERROR(INDEX(Algorithms!J:J,MATCH($C428&amp;"_Therm Saved per Unit",Algorithms!$A:$A,0)),"n/a")</f>
        <v>5.3.11</v>
      </c>
      <c r="M428" s="263" t="str">
        <f>IFERROR(INDEX('Measure Level Detail'!$N:$N,MATCH($B428,'Measure Level Detail'!$B:$B,0)),0)</f>
        <v>each</v>
      </c>
      <c r="N428" s="271">
        <f>IFERROR(INDEX('Measure Level Detail'!$P:$P,MATCH($B428&amp;"_"&amp;N$3,'Measure Level Detail'!$C:$C,0)),0)</f>
        <v>0</v>
      </c>
      <c r="O428" s="271">
        <f>IFERROR(INDEX('Measure Level Detail'!$P:$P,MATCH($B428&amp;"_"&amp;O$3,'Measure Level Detail'!$C:$C,0)),0)</f>
        <v>0</v>
      </c>
      <c r="P428" s="271">
        <f>IFERROR(INDEX('Measure Level Detail'!$P:$P,MATCH($B428&amp;"_"&amp;P$3,'Measure Level Detail'!$C:$C,0)),0)</f>
        <v>0</v>
      </c>
      <c r="Q428" s="271">
        <f>IFERROR(INDEX('Measure Level Detail'!$P:$P,MATCH($B428&amp;"_"&amp;Q$3,'Measure Level Detail'!$C:$C,0)),0)</f>
        <v>0</v>
      </c>
      <c r="R428" s="263" t="str">
        <f ca="1">IFERROR(INDEX(Algorithms!K:K,MATCH($C428&amp;"_Therm Saved per Unit",Algorithms!$A:$A,0)),"n/a")</f>
        <v>RS-HVC-PROG-V08-220101</v>
      </c>
      <c r="S428" s="262"/>
      <c r="T428" s="272">
        <v>40.5015</v>
      </c>
      <c r="U428" s="272">
        <v>40.5015</v>
      </c>
      <c r="V428" s="272">
        <v>40.5015</v>
      </c>
      <c r="W428" s="272">
        <v>40.5015</v>
      </c>
      <c r="X428" s="273">
        <f>IFERROR(INDEX('Measure Level Detail'!$R:$R,MATCH($B428&amp;"_"&amp;X$3,'Measure Level Detail'!$C:$C,0)),0)</f>
        <v>1</v>
      </c>
      <c r="Y428" s="273">
        <f>IFERROR(INDEX('Measure Level Detail'!$R:$R,MATCH($B428&amp;"_"&amp;Y$3,'Measure Level Detail'!$C:$C,0)),0)</f>
        <v>1</v>
      </c>
      <c r="Z428" s="273">
        <f>IFERROR(INDEX('Measure Level Detail'!$R:$R,MATCH($B428&amp;"_"&amp;Z$3,'Measure Level Detail'!$C:$C,0)),0)</f>
        <v>1</v>
      </c>
      <c r="AA428" s="273">
        <f>IFERROR(INDEX('Measure Level Detail'!$R:$R,MATCH($B428&amp;"_"&amp;AA$3,'Measure Level Detail'!$C:$C,0)),0)</f>
        <v>1</v>
      </c>
      <c r="AB428" s="266">
        <f t="shared" si="247"/>
        <v>0</v>
      </c>
      <c r="AC428" s="266">
        <f t="shared" si="248"/>
        <v>0</v>
      </c>
      <c r="AD428" s="266">
        <f t="shared" si="249"/>
        <v>0</v>
      </c>
      <c r="AE428" s="266">
        <f t="shared" si="250"/>
        <v>0</v>
      </c>
      <c r="AF428" s="266">
        <f t="shared" si="251"/>
        <v>0</v>
      </c>
      <c r="AG428" s="274">
        <v>1</v>
      </c>
      <c r="AH428" s="274">
        <v>1</v>
      </c>
      <c r="AI428" s="274">
        <v>1</v>
      </c>
      <c r="AJ428" s="274">
        <v>1</v>
      </c>
      <c r="AK428" s="274">
        <f t="shared" si="252"/>
        <v>1</v>
      </c>
      <c r="AL428" s="274">
        <f t="shared" si="253"/>
        <v>1</v>
      </c>
      <c r="AM428" s="274">
        <f t="shared" si="254"/>
        <v>1</v>
      </c>
      <c r="AN428" s="274">
        <f t="shared" si="255"/>
        <v>1</v>
      </c>
      <c r="AO428" s="262"/>
      <c r="AP428" s="262"/>
      <c r="AQ428" s="267">
        <v>40.5015</v>
      </c>
      <c r="AR428" s="262"/>
      <c r="AS428" s="266">
        <f t="shared" si="256"/>
        <v>0</v>
      </c>
      <c r="AT428" s="264">
        <f t="shared" si="257"/>
        <v>0</v>
      </c>
      <c r="AU428" s="262"/>
      <c r="AV428" s="262"/>
      <c r="AW428" s="265">
        <v>40.5015</v>
      </c>
      <c r="AX428" s="164" t="s">
        <v>1469</v>
      </c>
      <c r="AY428" s="266">
        <v>0</v>
      </c>
      <c r="AZ428" s="266">
        <f t="shared" si="258"/>
        <v>0</v>
      </c>
      <c r="BA428" s="264">
        <f t="shared" si="259"/>
        <v>0</v>
      </c>
      <c r="BB428" s="262"/>
      <c r="BC428" s="262"/>
      <c r="BD428" s="265">
        <f ca="1">IFERROR(INDEX(Algorithms!$G:$G,MATCH($C428&amp;"_Therm Saved per Unit",Algorithms!$A:$A,0)),0)</f>
        <v>40.5015</v>
      </c>
      <c r="BE428" s="164" t="str">
        <f ca="1">IFERROR(INDEX('v12 Revisions'!$P$29:$P$186, MATCH('Measure-Level Adj Gas'!$L428, 'v12 Revisions'!$D$29:$D$186,0)),"")</f>
        <v/>
      </c>
      <c r="BF428" s="266">
        <f t="shared" ca="1" si="260"/>
        <v>0</v>
      </c>
      <c r="BG428" s="264">
        <f t="shared" ca="1" si="261"/>
        <v>0</v>
      </c>
      <c r="BH428" s="262"/>
      <c r="BI428" s="262"/>
      <c r="BJ428" s="265">
        <f ca="1">IFERROR(INDEX(Algorithms!$G:$G,MATCH($C428&amp;"_Therm Saved per Unit",Algorithms!$A:$A,0)),0)</f>
        <v>40.5015</v>
      </c>
      <c r="BK428" s="164"/>
      <c r="BL428" s="266">
        <f t="shared" ca="1" si="262"/>
        <v>0</v>
      </c>
      <c r="BM428" s="264">
        <f t="shared" ca="1" si="263"/>
        <v>0</v>
      </c>
      <c r="BN428" s="266">
        <f t="shared" si="264"/>
        <v>0</v>
      </c>
      <c r="BO428" s="266">
        <f t="shared" si="265"/>
        <v>0</v>
      </c>
      <c r="BP428" s="266">
        <f t="shared" ca="1" si="266"/>
        <v>0</v>
      </c>
      <c r="BQ428" s="266">
        <f t="shared" ca="1" si="267"/>
        <v>0</v>
      </c>
      <c r="BR428" s="268">
        <f t="shared" ca="1" si="268"/>
        <v>0</v>
      </c>
      <c r="BS428" s="262" t="s">
        <v>99</v>
      </c>
      <c r="BT428" s="277"/>
      <c r="BW428" s="266">
        <f t="shared" si="269"/>
        <v>0</v>
      </c>
      <c r="BX428" s="266">
        <f t="shared" si="270"/>
        <v>0</v>
      </c>
      <c r="BY428" s="266">
        <f t="shared" si="271"/>
        <v>0</v>
      </c>
      <c r="BZ428" s="266">
        <f t="shared" si="272"/>
        <v>0</v>
      </c>
      <c r="CA428" s="266">
        <f ca="1">N428*IFERROR(INDEX(Algorithms!$G:$G,MATCH($C428&amp;"_Therm Saved per Unit- MLA",Algorithms!$A:$A,0)),0)*X428</f>
        <v>0</v>
      </c>
      <c r="CB428" s="266">
        <f ca="1">O428*IFERROR(INDEX(Algorithms!$G:$G,MATCH($C428&amp;"_Therm Saved per Unit- MLA",Algorithms!$A:$A,0)),0)*Y428</f>
        <v>0</v>
      </c>
      <c r="CC428" s="266">
        <f ca="1">P428*IFERROR(INDEX(Algorithms!$G:$G,MATCH($C428&amp;"_Therm Saved per Unit- MLA",Algorithms!$A:$A,0)),0)*Z428</f>
        <v>0</v>
      </c>
      <c r="CD428" s="266">
        <f ca="1">Q428*IFERROR(INDEX(Algorithms!$G:$G,MATCH($C428&amp;"_Therm Saved per Unit- MLA",Algorithms!$A:$A,0)),0)*AA428</f>
        <v>0</v>
      </c>
      <c r="CE428" s="266">
        <f ca="1">IFERROR(INDEX(Algorithms!$G:$G,MATCH($C428&amp;"_Lifetime (years)",Algorithms!$A:$A,0)),0)</f>
        <v>2</v>
      </c>
      <c r="CF428" s="266">
        <f ca="1">IFERROR(INDEX(Algorithms!$G:$G,MATCH($C428&amp;"_Lifetime (years) - Remaining Years",Algorithms!$A:$A,0)),0)</f>
        <v>0</v>
      </c>
      <c r="CG428" s="266">
        <f t="shared" ca="1" si="273"/>
        <v>0</v>
      </c>
      <c r="CH428" s="266">
        <f t="shared" ca="1" si="274"/>
        <v>0</v>
      </c>
      <c r="CI428" s="266">
        <f t="shared" ca="1" si="275"/>
        <v>0</v>
      </c>
      <c r="CJ428" s="266">
        <f t="shared" ca="1" si="276"/>
        <v>0</v>
      </c>
      <c r="CK428" s="266">
        <f t="shared" si="277"/>
        <v>0</v>
      </c>
      <c r="CL428" s="266">
        <f t="shared" si="278"/>
        <v>0</v>
      </c>
      <c r="CM428" s="266">
        <f t="shared" ca="1" si="279"/>
        <v>0</v>
      </c>
      <c r="CN428" s="266">
        <f t="shared" ca="1" si="280"/>
        <v>0</v>
      </c>
      <c r="CO428" s="266">
        <f ca="1">N428*IFERROR(INDEX(Algorithms!$G:$G,MATCH($C428&amp;"_Therm Saved per Unit- MLA",Algorithms!$A:$A,0)),0)*X428</f>
        <v>0</v>
      </c>
      <c r="CP428" s="266">
        <f ca="1">O428*IFERROR(INDEX(Algorithms!$G:$G,MATCH($C428&amp;"_Therm Saved per Unit- MLA",Algorithms!$A:$A,0)),0)*Y428</f>
        <v>0</v>
      </c>
      <c r="CQ428" s="266">
        <f ca="1">P428*IFERROR(INDEX(Algorithms!$G:$G,MATCH($C428&amp;"_Therm Saved per Unit- MLA",Algorithms!$A:$A,0)),0)*Z428</f>
        <v>0</v>
      </c>
      <c r="CR428" s="266">
        <f ca="1">Q428*IFERROR(INDEX(Algorithms!$G:$G,MATCH($C428&amp;"_Therm Saved per Unit- MLA",Algorithms!$A:$A,0)),0)*AA428</f>
        <v>0</v>
      </c>
      <c r="CS428" s="266">
        <f ca="1">IFERROR(INDEX(Algorithms!$G:$G,MATCH($C428&amp;"_Lifetime (years)",Algorithms!$A:$A,0)),0)</f>
        <v>2</v>
      </c>
      <c r="CT428" s="266">
        <f ca="1">IFERROR(INDEX(Algorithms!$G:$G,MATCH($C428&amp;"_Lifetime (years) - Remaining Years",Algorithms!$A:$A,0)),0)</f>
        <v>0</v>
      </c>
      <c r="CU428" s="266">
        <f t="shared" ca="1" si="281"/>
        <v>0</v>
      </c>
      <c r="CV428" s="266">
        <f t="shared" ca="1" si="282"/>
        <v>0</v>
      </c>
      <c r="CW428" s="266">
        <f t="shared" ca="1" si="283"/>
        <v>0</v>
      </c>
      <c r="CX428" s="266">
        <f t="shared" ca="1" si="284"/>
        <v>0</v>
      </c>
    </row>
    <row r="429" spans="2:102" s="47" customFormat="1" ht="18" customHeight="1" x14ac:dyDescent="0.25">
      <c r="B429" t="str">
        <f t="shared" si="285"/>
        <v>NSG_Income Eligible_Multi-Family_Whole Building - DI_Thermostat - Reprogram_Boiler (DI)_MF</v>
      </c>
      <c r="C429" s="47" t="str">
        <f t="shared" si="246"/>
        <v>Thermostat - Reprogram_Boiler (DI)_MF</v>
      </c>
      <c r="D429" s="270" t="s">
        <v>1787</v>
      </c>
      <c r="E429" s="270" t="s">
        <v>325</v>
      </c>
      <c r="F429" s="270" t="s">
        <v>1422</v>
      </c>
      <c r="G429" s="270" t="s">
        <v>1812</v>
      </c>
      <c r="H429" s="270" t="s">
        <v>1055</v>
      </c>
      <c r="I429" s="270" t="s">
        <v>1045</v>
      </c>
      <c r="J429" s="270" t="s">
        <v>553</v>
      </c>
      <c r="K429" s="263">
        <v>1</v>
      </c>
      <c r="L429" s="263" t="str">
        <f ca="1">IFERROR(INDEX(Algorithms!J:J,MATCH($C429&amp;"_Therm Saved per Unit",Algorithms!$A:$A,0)),"n/a")</f>
        <v>5.3.11</v>
      </c>
      <c r="M429" s="263" t="str">
        <f>IFERROR(INDEX('Measure Level Detail'!$N:$N,MATCH($B429,'Measure Level Detail'!$B:$B,0)),0)</f>
        <v>each</v>
      </c>
      <c r="N429" s="271">
        <f>IFERROR(INDEX('Measure Level Detail'!$P:$P,MATCH($B429&amp;"_"&amp;N$3,'Measure Level Detail'!$C:$C,0)),0)</f>
        <v>0</v>
      </c>
      <c r="O429" s="271">
        <f>IFERROR(INDEX('Measure Level Detail'!$P:$P,MATCH($B429&amp;"_"&amp;O$3,'Measure Level Detail'!$C:$C,0)),0)</f>
        <v>0</v>
      </c>
      <c r="P429" s="271">
        <f>IFERROR(INDEX('Measure Level Detail'!$P:$P,MATCH($B429&amp;"_"&amp;P$3,'Measure Level Detail'!$C:$C,0)),0)</f>
        <v>0</v>
      </c>
      <c r="Q429" s="271">
        <f>IFERROR(INDEX('Measure Level Detail'!$P:$P,MATCH($B429&amp;"_"&amp;Q$3,'Measure Level Detail'!$C:$C,0)),0)</f>
        <v>0</v>
      </c>
      <c r="R429" s="263" t="str">
        <f ca="1">IFERROR(INDEX(Algorithms!K:K,MATCH($C429&amp;"_Therm Saved per Unit",Algorithms!$A:$A,0)),"n/a")</f>
        <v>RS-HVC-PROG-V08-220101</v>
      </c>
      <c r="S429" s="262"/>
      <c r="T429" s="272">
        <v>59.926100000000005</v>
      </c>
      <c r="U429" s="272">
        <v>59.926100000000005</v>
      </c>
      <c r="V429" s="272">
        <v>59.926100000000005</v>
      </c>
      <c r="W429" s="272">
        <v>59.926100000000005</v>
      </c>
      <c r="X429" s="273">
        <f>IFERROR(INDEX('Measure Level Detail'!$R:$R,MATCH($B429&amp;"_"&amp;X$3,'Measure Level Detail'!$C:$C,0)),0)</f>
        <v>1</v>
      </c>
      <c r="Y429" s="273">
        <f>IFERROR(INDEX('Measure Level Detail'!$R:$R,MATCH($B429&amp;"_"&amp;Y$3,'Measure Level Detail'!$C:$C,0)),0)</f>
        <v>1</v>
      </c>
      <c r="Z429" s="273">
        <f>IFERROR(INDEX('Measure Level Detail'!$R:$R,MATCH($B429&amp;"_"&amp;Z$3,'Measure Level Detail'!$C:$C,0)),0)</f>
        <v>1</v>
      </c>
      <c r="AA429" s="273">
        <f>IFERROR(INDEX('Measure Level Detail'!$R:$R,MATCH($B429&amp;"_"&amp;AA$3,'Measure Level Detail'!$C:$C,0)),0)</f>
        <v>1</v>
      </c>
      <c r="AB429" s="266">
        <f t="shared" si="247"/>
        <v>0</v>
      </c>
      <c r="AC429" s="266">
        <f t="shared" si="248"/>
        <v>0</v>
      </c>
      <c r="AD429" s="266">
        <f t="shared" si="249"/>
        <v>0</v>
      </c>
      <c r="AE429" s="266">
        <f t="shared" si="250"/>
        <v>0</v>
      </c>
      <c r="AF429" s="266">
        <f t="shared" si="251"/>
        <v>0</v>
      </c>
      <c r="AG429" s="274">
        <v>1</v>
      </c>
      <c r="AH429" s="274">
        <v>1</v>
      </c>
      <c r="AI429" s="274">
        <v>1</v>
      </c>
      <c r="AJ429" s="274">
        <v>1</v>
      </c>
      <c r="AK429" s="274">
        <f t="shared" si="252"/>
        <v>1</v>
      </c>
      <c r="AL429" s="274">
        <f t="shared" si="253"/>
        <v>1</v>
      </c>
      <c r="AM429" s="274">
        <f t="shared" si="254"/>
        <v>1</v>
      </c>
      <c r="AN429" s="274">
        <f t="shared" si="255"/>
        <v>1</v>
      </c>
      <c r="AO429" s="262"/>
      <c r="AP429" s="262"/>
      <c r="AQ429" s="267">
        <v>59.926100000000005</v>
      </c>
      <c r="AR429" s="262"/>
      <c r="AS429" s="266">
        <f t="shared" si="256"/>
        <v>0</v>
      </c>
      <c r="AT429" s="264">
        <f t="shared" si="257"/>
        <v>0</v>
      </c>
      <c r="AU429" s="262"/>
      <c r="AV429" s="262"/>
      <c r="AW429" s="265">
        <v>59.926100000000005</v>
      </c>
      <c r="AX429" s="164" t="s">
        <v>1469</v>
      </c>
      <c r="AY429" s="266">
        <v>0</v>
      </c>
      <c r="AZ429" s="266">
        <f t="shared" si="258"/>
        <v>0</v>
      </c>
      <c r="BA429" s="264">
        <f t="shared" si="259"/>
        <v>0</v>
      </c>
      <c r="BB429" s="262"/>
      <c r="BC429" s="262"/>
      <c r="BD429" s="265">
        <f ca="1">IFERROR(INDEX(Algorithms!$G:$G,MATCH($C429&amp;"_Therm Saved per Unit",Algorithms!$A:$A,0)),0)</f>
        <v>59.926100000000005</v>
      </c>
      <c r="BE429" s="164" t="str">
        <f ca="1">IFERROR(INDEX('v12 Revisions'!$P$29:$P$186, MATCH('Measure-Level Adj Gas'!$L429, 'v12 Revisions'!$D$29:$D$186,0)),"")</f>
        <v/>
      </c>
      <c r="BF429" s="266">
        <f t="shared" ca="1" si="260"/>
        <v>0</v>
      </c>
      <c r="BG429" s="264">
        <f t="shared" ca="1" si="261"/>
        <v>0</v>
      </c>
      <c r="BH429" s="262"/>
      <c r="BI429" s="262"/>
      <c r="BJ429" s="265">
        <f ca="1">IFERROR(INDEX(Algorithms!$G:$G,MATCH($C429&amp;"_Therm Saved per Unit",Algorithms!$A:$A,0)),0)</f>
        <v>59.926100000000005</v>
      </c>
      <c r="BK429" s="164"/>
      <c r="BL429" s="266">
        <f t="shared" ca="1" si="262"/>
        <v>0</v>
      </c>
      <c r="BM429" s="264">
        <f t="shared" ca="1" si="263"/>
        <v>0</v>
      </c>
      <c r="BN429" s="266">
        <f t="shared" si="264"/>
        <v>0</v>
      </c>
      <c r="BO429" s="266">
        <f t="shared" si="265"/>
        <v>0</v>
      </c>
      <c r="BP429" s="266">
        <f t="shared" ca="1" si="266"/>
        <v>0</v>
      </c>
      <c r="BQ429" s="266">
        <f t="shared" ca="1" si="267"/>
        <v>0</v>
      </c>
      <c r="BR429" s="268">
        <f t="shared" ca="1" si="268"/>
        <v>0</v>
      </c>
      <c r="BS429" s="262" t="s">
        <v>99</v>
      </c>
      <c r="BT429" s="277"/>
      <c r="BW429" s="266">
        <f t="shared" si="269"/>
        <v>0</v>
      </c>
      <c r="BX429" s="266">
        <f t="shared" si="270"/>
        <v>0</v>
      </c>
      <c r="BY429" s="266">
        <f t="shared" si="271"/>
        <v>0</v>
      </c>
      <c r="BZ429" s="266">
        <f t="shared" si="272"/>
        <v>0</v>
      </c>
      <c r="CA429" s="266">
        <f ca="1">N429*IFERROR(INDEX(Algorithms!$G:$G,MATCH($C429&amp;"_Therm Saved per Unit- MLA",Algorithms!$A:$A,0)),0)*X429</f>
        <v>0</v>
      </c>
      <c r="CB429" s="266">
        <f ca="1">O429*IFERROR(INDEX(Algorithms!$G:$G,MATCH($C429&amp;"_Therm Saved per Unit- MLA",Algorithms!$A:$A,0)),0)*Y429</f>
        <v>0</v>
      </c>
      <c r="CC429" s="266">
        <f ca="1">P429*IFERROR(INDEX(Algorithms!$G:$G,MATCH($C429&amp;"_Therm Saved per Unit- MLA",Algorithms!$A:$A,0)),0)*Z429</f>
        <v>0</v>
      </c>
      <c r="CD429" s="266">
        <f ca="1">Q429*IFERROR(INDEX(Algorithms!$G:$G,MATCH($C429&amp;"_Therm Saved per Unit- MLA",Algorithms!$A:$A,0)),0)*AA429</f>
        <v>0</v>
      </c>
      <c r="CE429" s="266">
        <f ca="1">IFERROR(INDEX(Algorithms!$G:$G,MATCH($C429&amp;"_Lifetime (years)",Algorithms!$A:$A,0)),0)</f>
        <v>2</v>
      </c>
      <c r="CF429" s="266">
        <f ca="1">IFERROR(INDEX(Algorithms!$G:$G,MATCH($C429&amp;"_Lifetime (years) - Remaining Years",Algorithms!$A:$A,0)),0)</f>
        <v>0</v>
      </c>
      <c r="CG429" s="266">
        <f t="shared" ca="1" si="273"/>
        <v>0</v>
      </c>
      <c r="CH429" s="266">
        <f t="shared" ca="1" si="274"/>
        <v>0</v>
      </c>
      <c r="CI429" s="266">
        <f t="shared" ca="1" si="275"/>
        <v>0</v>
      </c>
      <c r="CJ429" s="266">
        <f t="shared" ca="1" si="276"/>
        <v>0</v>
      </c>
      <c r="CK429" s="266">
        <f t="shared" si="277"/>
        <v>0</v>
      </c>
      <c r="CL429" s="266">
        <f t="shared" si="278"/>
        <v>0</v>
      </c>
      <c r="CM429" s="266">
        <f t="shared" ca="1" si="279"/>
        <v>0</v>
      </c>
      <c r="CN429" s="266">
        <f t="shared" ca="1" si="280"/>
        <v>0</v>
      </c>
      <c r="CO429" s="266">
        <f ca="1">N429*IFERROR(INDEX(Algorithms!$G:$G,MATCH($C429&amp;"_Therm Saved per Unit- MLA",Algorithms!$A:$A,0)),0)*X429</f>
        <v>0</v>
      </c>
      <c r="CP429" s="266">
        <f ca="1">O429*IFERROR(INDEX(Algorithms!$G:$G,MATCH($C429&amp;"_Therm Saved per Unit- MLA",Algorithms!$A:$A,0)),0)*Y429</f>
        <v>0</v>
      </c>
      <c r="CQ429" s="266">
        <f ca="1">P429*IFERROR(INDEX(Algorithms!$G:$G,MATCH($C429&amp;"_Therm Saved per Unit- MLA",Algorithms!$A:$A,0)),0)*Z429</f>
        <v>0</v>
      </c>
      <c r="CR429" s="266">
        <f ca="1">Q429*IFERROR(INDEX(Algorithms!$G:$G,MATCH($C429&amp;"_Therm Saved per Unit- MLA",Algorithms!$A:$A,0)),0)*AA429</f>
        <v>0</v>
      </c>
      <c r="CS429" s="266">
        <f ca="1">IFERROR(INDEX(Algorithms!$G:$G,MATCH($C429&amp;"_Lifetime (years)",Algorithms!$A:$A,0)),0)</f>
        <v>2</v>
      </c>
      <c r="CT429" s="266">
        <f ca="1">IFERROR(INDEX(Algorithms!$G:$G,MATCH($C429&amp;"_Lifetime (years) - Remaining Years",Algorithms!$A:$A,0)),0)</f>
        <v>0</v>
      </c>
      <c r="CU429" s="266">
        <f t="shared" ca="1" si="281"/>
        <v>0</v>
      </c>
      <c r="CV429" s="266">
        <f t="shared" ca="1" si="282"/>
        <v>0</v>
      </c>
      <c r="CW429" s="266">
        <f t="shared" ca="1" si="283"/>
        <v>0</v>
      </c>
      <c r="CX429" s="266">
        <f t="shared" ca="1" si="284"/>
        <v>0</v>
      </c>
    </row>
    <row r="430" spans="2:102" s="47" customFormat="1" ht="18" customHeight="1" x14ac:dyDescent="0.25">
      <c r="B430" t="str">
        <f t="shared" si="285"/>
        <v>NSG_Income Eligible_Multi-Family_Whole Building - Prescriptive_Wall Insulation_0_SF</v>
      </c>
      <c r="C430" s="47" t="str">
        <f t="shared" si="246"/>
        <v>Wall Insulation_0_SF</v>
      </c>
      <c r="D430" s="270" t="s">
        <v>1787</v>
      </c>
      <c r="E430" s="270" t="s">
        <v>325</v>
      </c>
      <c r="F430" s="270" t="s">
        <v>1422</v>
      </c>
      <c r="G430" s="270" t="s">
        <v>1813</v>
      </c>
      <c r="H430" s="270" t="s">
        <v>222</v>
      </c>
      <c r="I430" s="270">
        <v>0</v>
      </c>
      <c r="J430" s="270" t="s">
        <v>409</v>
      </c>
      <c r="K430" s="263">
        <v>1</v>
      </c>
      <c r="L430" s="263" t="str">
        <f ca="1">IFERROR(INDEX(Algorithms!J:J,MATCH($C430&amp;"_Therm Saved per Unit",Algorithms!$A:$A,0)),"n/a")</f>
        <v>5.6.4</v>
      </c>
      <c r="M430" s="263" t="str">
        <f>IFERROR(INDEX('Measure Level Detail'!$N:$N,MATCH($B430,'Measure Level Detail'!$B:$B,0)),0)</f>
        <v>sq ft</v>
      </c>
      <c r="N430" s="271">
        <f>IFERROR(INDEX('Measure Level Detail'!$P:$P,MATCH($B430&amp;"_"&amp;N$3,'Measure Level Detail'!$C:$C,0)),0)</f>
        <v>0</v>
      </c>
      <c r="O430" s="271">
        <f>IFERROR(INDEX('Measure Level Detail'!$P:$P,MATCH($B430&amp;"_"&amp;O$3,'Measure Level Detail'!$C:$C,0)),0)</f>
        <v>0</v>
      </c>
      <c r="P430" s="271">
        <f>IFERROR(INDEX('Measure Level Detail'!$P:$P,MATCH($B430&amp;"_"&amp;P$3,'Measure Level Detail'!$C:$C,0)),0)</f>
        <v>0</v>
      </c>
      <c r="Q430" s="271">
        <f>IFERROR(INDEX('Measure Level Detail'!$P:$P,MATCH($B430&amp;"_"&amp;Q$3,'Measure Level Detail'!$C:$C,0)),0)</f>
        <v>0</v>
      </c>
      <c r="R430" s="263" t="str">
        <f ca="1">IFERROR(INDEX(Algorithms!K:K,MATCH($C430&amp;"_Therm Saved per Unit",Algorithms!$A:$A,0)),"n/a")</f>
        <v>RS-SHL-WINS-V13-240101</v>
      </c>
      <c r="S430" s="262"/>
      <c r="T430" s="272">
        <v>0.10827529411764705</v>
      </c>
      <c r="U430" s="272">
        <v>0.10827529411764705</v>
      </c>
      <c r="V430" s="272">
        <v>0.10827529411764705</v>
      </c>
      <c r="W430" s="272">
        <v>0.10827529411764705</v>
      </c>
      <c r="X430" s="273">
        <f>IFERROR(INDEX('Measure Level Detail'!$R:$R,MATCH($B430&amp;"_"&amp;X$3,'Measure Level Detail'!$C:$C,0)),0)</f>
        <v>1</v>
      </c>
      <c r="Y430" s="273">
        <f>IFERROR(INDEX('Measure Level Detail'!$R:$R,MATCH($B430&amp;"_"&amp;Y$3,'Measure Level Detail'!$C:$C,0)),0)</f>
        <v>1</v>
      </c>
      <c r="Z430" s="273">
        <f>IFERROR(INDEX('Measure Level Detail'!$R:$R,MATCH($B430&amp;"_"&amp;Z$3,'Measure Level Detail'!$C:$C,0)),0)</f>
        <v>1</v>
      </c>
      <c r="AA430" s="273">
        <f>IFERROR(INDEX('Measure Level Detail'!$R:$R,MATCH($B430&amp;"_"&amp;AA$3,'Measure Level Detail'!$C:$C,0)),0)</f>
        <v>1</v>
      </c>
      <c r="AB430" s="266">
        <f t="shared" si="247"/>
        <v>0</v>
      </c>
      <c r="AC430" s="266">
        <f t="shared" si="248"/>
        <v>0</v>
      </c>
      <c r="AD430" s="266">
        <f t="shared" si="249"/>
        <v>0</v>
      </c>
      <c r="AE430" s="266">
        <f t="shared" si="250"/>
        <v>0</v>
      </c>
      <c r="AF430" s="266">
        <f t="shared" si="251"/>
        <v>0</v>
      </c>
      <c r="AG430" s="274">
        <v>1</v>
      </c>
      <c r="AH430" s="274">
        <v>1</v>
      </c>
      <c r="AI430" s="274">
        <v>1</v>
      </c>
      <c r="AJ430" s="274">
        <v>1</v>
      </c>
      <c r="AK430" s="274">
        <f t="shared" si="252"/>
        <v>1</v>
      </c>
      <c r="AL430" s="274">
        <f t="shared" si="253"/>
        <v>1</v>
      </c>
      <c r="AM430" s="274">
        <f t="shared" si="254"/>
        <v>1</v>
      </c>
      <c r="AN430" s="274">
        <f t="shared" si="255"/>
        <v>1</v>
      </c>
      <c r="AO430" s="262"/>
      <c r="AP430" s="262"/>
      <c r="AQ430" s="267">
        <v>0.10827529411764705</v>
      </c>
      <c r="AR430" s="262"/>
      <c r="AS430" s="266">
        <f t="shared" si="256"/>
        <v>0</v>
      </c>
      <c r="AT430" s="264">
        <f t="shared" si="257"/>
        <v>0</v>
      </c>
      <c r="AU430" s="262"/>
      <c r="AV430" s="262"/>
      <c r="AW430" s="265">
        <v>0.10827529411764705</v>
      </c>
      <c r="AX430" s="164" t="s">
        <v>2393</v>
      </c>
      <c r="AY430" s="266">
        <v>0</v>
      </c>
      <c r="AZ430" s="266">
        <f t="shared" si="258"/>
        <v>0</v>
      </c>
      <c r="BA430" s="264">
        <f t="shared" si="259"/>
        <v>0</v>
      </c>
      <c r="BB430" s="262"/>
      <c r="BC430" s="262"/>
      <c r="BD430" s="265">
        <f ca="1">IFERROR(INDEX(Algorithms!$G:$G,MATCH($C430&amp;"_Therm Saved per Unit",Algorithms!$A:$A,0)),0)</f>
        <v>0.10668494117647059</v>
      </c>
      <c r="BE430" s="164" t="str">
        <f ca="1">IFERROR(INDEX('v12 Revisions'!$P$29:$P$186, MATCH('Measure-Level Adj Gas'!$L430, 'v12 Revisions'!$D$29:$D$186,0)),"")</f>
        <v>Updated HDD from 5113 to 4798 and shell adjustment factor from 0.60 to 0.63 ; Updated measure life to 30 years.</v>
      </c>
      <c r="BF430" s="266">
        <f t="shared" ca="1" si="260"/>
        <v>0</v>
      </c>
      <c r="BG430" s="264">
        <f t="shared" ca="1" si="261"/>
        <v>0</v>
      </c>
      <c r="BH430" s="262"/>
      <c r="BI430" s="262"/>
      <c r="BJ430" s="265">
        <f ca="1">IFERROR(INDEX(Algorithms!$G:$G,MATCH($C430&amp;"_Therm Saved per Unit",Algorithms!$A:$A,0)),0)</f>
        <v>0.10668494117647059</v>
      </c>
      <c r="BK430" s="164"/>
      <c r="BL430" s="266">
        <f t="shared" ca="1" si="262"/>
        <v>0</v>
      </c>
      <c r="BM430" s="264">
        <f t="shared" ca="1" si="263"/>
        <v>0</v>
      </c>
      <c r="BN430" s="266">
        <f t="shared" si="264"/>
        <v>0</v>
      </c>
      <c r="BO430" s="266">
        <f t="shared" si="265"/>
        <v>0</v>
      </c>
      <c r="BP430" s="266">
        <f t="shared" ca="1" si="266"/>
        <v>0</v>
      </c>
      <c r="BQ430" s="266">
        <f t="shared" ca="1" si="267"/>
        <v>0</v>
      </c>
      <c r="BR430" s="268">
        <f t="shared" ca="1" si="268"/>
        <v>0</v>
      </c>
      <c r="BS430" s="262" t="s">
        <v>99</v>
      </c>
      <c r="BT430" s="277"/>
      <c r="BW430" s="266">
        <f t="shared" si="269"/>
        <v>0</v>
      </c>
      <c r="BX430" s="266">
        <f t="shared" si="270"/>
        <v>0</v>
      </c>
      <c r="BY430" s="266">
        <f t="shared" si="271"/>
        <v>0</v>
      </c>
      <c r="BZ430" s="266">
        <f t="shared" si="272"/>
        <v>0</v>
      </c>
      <c r="CA430" s="266">
        <f ca="1">N430*IFERROR(INDEX(Algorithms!$G:$G,MATCH($C430&amp;"_Therm Saved per Unit- MLA",Algorithms!$A:$A,0)),0)*X430</f>
        <v>0</v>
      </c>
      <c r="CB430" s="266">
        <f ca="1">O430*IFERROR(INDEX(Algorithms!$G:$G,MATCH($C430&amp;"_Therm Saved per Unit- MLA",Algorithms!$A:$A,0)),0)*Y430</f>
        <v>0</v>
      </c>
      <c r="CC430" s="266">
        <f ca="1">P430*IFERROR(INDEX(Algorithms!$G:$G,MATCH($C430&amp;"_Therm Saved per Unit- MLA",Algorithms!$A:$A,0)),0)*Z430</f>
        <v>0</v>
      </c>
      <c r="CD430" s="266">
        <f ca="1">Q430*IFERROR(INDEX(Algorithms!$G:$G,MATCH($C430&amp;"_Therm Saved per Unit- MLA",Algorithms!$A:$A,0)),0)*AA430</f>
        <v>0</v>
      </c>
      <c r="CE430" s="266">
        <f ca="1">IFERROR(INDEX(Algorithms!$G:$G,MATCH($C430&amp;"_Lifetime (years)",Algorithms!$A:$A,0)),0)</f>
        <v>30</v>
      </c>
      <c r="CF430" s="266">
        <f ca="1">IFERROR(INDEX(Algorithms!$G:$G,MATCH($C430&amp;"_Lifetime (years) - Remaining Years",Algorithms!$A:$A,0)),0)</f>
        <v>10</v>
      </c>
      <c r="CG430" s="266">
        <f t="shared" ca="1" si="273"/>
        <v>0</v>
      </c>
      <c r="CH430" s="266">
        <f t="shared" ca="1" si="274"/>
        <v>0</v>
      </c>
      <c r="CI430" s="266">
        <f t="shared" ca="1" si="275"/>
        <v>0</v>
      </c>
      <c r="CJ430" s="266">
        <f t="shared" ca="1" si="276"/>
        <v>0</v>
      </c>
      <c r="CK430" s="266">
        <f t="shared" si="277"/>
        <v>0</v>
      </c>
      <c r="CL430" s="266">
        <f t="shared" si="278"/>
        <v>0</v>
      </c>
      <c r="CM430" s="266">
        <f t="shared" ca="1" si="279"/>
        <v>0</v>
      </c>
      <c r="CN430" s="266">
        <f t="shared" ca="1" si="280"/>
        <v>0</v>
      </c>
      <c r="CO430" s="266">
        <f ca="1">N430*IFERROR(INDEX(Algorithms!$G:$G,MATCH($C430&amp;"_Therm Saved per Unit- MLA",Algorithms!$A:$A,0)),0)*X430</f>
        <v>0</v>
      </c>
      <c r="CP430" s="266">
        <f ca="1">O430*IFERROR(INDEX(Algorithms!$G:$G,MATCH($C430&amp;"_Therm Saved per Unit- MLA",Algorithms!$A:$A,0)),0)*Y430</f>
        <v>0</v>
      </c>
      <c r="CQ430" s="266">
        <f ca="1">P430*IFERROR(INDEX(Algorithms!$G:$G,MATCH($C430&amp;"_Therm Saved per Unit- MLA",Algorithms!$A:$A,0)),0)*Z430</f>
        <v>0</v>
      </c>
      <c r="CR430" s="266">
        <f ca="1">Q430*IFERROR(INDEX(Algorithms!$G:$G,MATCH($C430&amp;"_Therm Saved per Unit- MLA",Algorithms!$A:$A,0)),0)*AA430</f>
        <v>0</v>
      </c>
      <c r="CS430" s="266">
        <f ca="1">IFERROR(INDEX(Algorithms!$G:$G,MATCH($C430&amp;"_Lifetime (years)",Algorithms!$A:$A,0)),0)</f>
        <v>30</v>
      </c>
      <c r="CT430" s="266">
        <f ca="1">IFERROR(INDEX(Algorithms!$G:$G,MATCH($C430&amp;"_Lifetime (years) - Remaining Years",Algorithms!$A:$A,0)),0)</f>
        <v>10</v>
      </c>
      <c r="CU430" s="266">
        <f t="shared" ca="1" si="281"/>
        <v>0</v>
      </c>
      <c r="CV430" s="266">
        <f t="shared" ca="1" si="282"/>
        <v>0</v>
      </c>
      <c r="CW430" s="266">
        <f t="shared" ca="1" si="283"/>
        <v>0</v>
      </c>
      <c r="CX430" s="266">
        <f t="shared" ca="1" si="284"/>
        <v>0</v>
      </c>
    </row>
    <row r="431" spans="2:102" s="47" customFormat="1" ht="18" customHeight="1" x14ac:dyDescent="0.25">
      <c r="B431" t="str">
        <f t="shared" si="285"/>
        <v>NSG_Income Eligible_Multi-Family_Whole Building - Prescriptive_Foundation Insulation_0_SF</v>
      </c>
      <c r="C431" s="47" t="str">
        <f t="shared" si="246"/>
        <v>Foundation Insulation_0_SF</v>
      </c>
      <c r="D431" s="270" t="s">
        <v>1787</v>
      </c>
      <c r="E431" s="270" t="s">
        <v>325</v>
      </c>
      <c r="F431" s="270" t="s">
        <v>1422</v>
      </c>
      <c r="G431" s="270" t="s">
        <v>1813</v>
      </c>
      <c r="H431" s="270" t="s">
        <v>608</v>
      </c>
      <c r="I431" s="270">
        <v>0</v>
      </c>
      <c r="J431" s="270" t="s">
        <v>409</v>
      </c>
      <c r="K431" s="263">
        <v>1</v>
      </c>
      <c r="L431" s="263" t="str">
        <f ca="1">IFERROR(INDEX(Algorithms!J:J,MATCH($C431&amp;"_Therm Saved per Unit",Algorithms!$A:$A,0)),"n/a")</f>
        <v>5.6.2</v>
      </c>
      <c r="M431" s="263" t="str">
        <f>IFERROR(INDEX('Measure Level Detail'!$N:$N,MATCH($B431,'Measure Level Detail'!$B:$B,0)),0)</f>
        <v>sq ft</v>
      </c>
      <c r="N431" s="271">
        <f>IFERROR(INDEX('Measure Level Detail'!$P:$P,MATCH($B431&amp;"_"&amp;N$3,'Measure Level Detail'!$C:$C,0)),0)</f>
        <v>0</v>
      </c>
      <c r="O431" s="271">
        <f>IFERROR(INDEX('Measure Level Detail'!$P:$P,MATCH($B431&amp;"_"&amp;O$3,'Measure Level Detail'!$C:$C,0)),0)</f>
        <v>0</v>
      </c>
      <c r="P431" s="271">
        <f>IFERROR(INDEX('Measure Level Detail'!$P:$P,MATCH($B431&amp;"_"&amp;P$3,'Measure Level Detail'!$C:$C,0)),0)</f>
        <v>0</v>
      </c>
      <c r="Q431" s="271">
        <f>IFERROR(INDEX('Measure Level Detail'!$P:$P,MATCH($B431&amp;"_"&amp;Q$3,'Measure Level Detail'!$C:$C,0)),0)</f>
        <v>0</v>
      </c>
      <c r="R431" s="263" t="str">
        <f ca="1">IFERROR(INDEX(Algorithms!K:K,MATCH($C431&amp;"_Therm Saved per Unit",Algorithms!$A:$A,0)),"n/a")</f>
        <v>RS-SHL-BINS-V14-240101</v>
      </c>
      <c r="S431" s="262"/>
      <c r="T431" s="272">
        <v>0.13695535714285714</v>
      </c>
      <c r="U431" s="272">
        <v>0.13695535714285714</v>
      </c>
      <c r="V431" s="272">
        <v>0.13695535714285714</v>
      </c>
      <c r="W431" s="272">
        <v>0.13695535714285714</v>
      </c>
      <c r="X431" s="273">
        <f>IFERROR(INDEX('Measure Level Detail'!$R:$R,MATCH($B431&amp;"_"&amp;X$3,'Measure Level Detail'!$C:$C,0)),0)</f>
        <v>1</v>
      </c>
      <c r="Y431" s="273">
        <f>IFERROR(INDEX('Measure Level Detail'!$R:$R,MATCH($B431&amp;"_"&amp;Y$3,'Measure Level Detail'!$C:$C,0)),0)</f>
        <v>1</v>
      </c>
      <c r="Z431" s="273">
        <f>IFERROR(INDEX('Measure Level Detail'!$R:$R,MATCH($B431&amp;"_"&amp;Z$3,'Measure Level Detail'!$C:$C,0)),0)</f>
        <v>1</v>
      </c>
      <c r="AA431" s="273">
        <f>IFERROR(INDEX('Measure Level Detail'!$R:$R,MATCH($B431&amp;"_"&amp;AA$3,'Measure Level Detail'!$C:$C,0)),0)</f>
        <v>1</v>
      </c>
      <c r="AB431" s="266">
        <f t="shared" si="247"/>
        <v>0</v>
      </c>
      <c r="AC431" s="266">
        <f t="shared" si="248"/>
        <v>0</v>
      </c>
      <c r="AD431" s="266">
        <f t="shared" si="249"/>
        <v>0</v>
      </c>
      <c r="AE431" s="266">
        <f t="shared" si="250"/>
        <v>0</v>
      </c>
      <c r="AF431" s="266">
        <f t="shared" si="251"/>
        <v>0</v>
      </c>
      <c r="AG431" s="274">
        <v>1</v>
      </c>
      <c r="AH431" s="274">
        <v>1</v>
      </c>
      <c r="AI431" s="274">
        <v>1</v>
      </c>
      <c r="AJ431" s="274">
        <v>1</v>
      </c>
      <c r="AK431" s="274">
        <f t="shared" si="252"/>
        <v>1</v>
      </c>
      <c r="AL431" s="274">
        <f t="shared" si="253"/>
        <v>1</v>
      </c>
      <c r="AM431" s="274">
        <f t="shared" si="254"/>
        <v>1</v>
      </c>
      <c r="AN431" s="274">
        <f t="shared" si="255"/>
        <v>1</v>
      </c>
      <c r="AO431" s="262"/>
      <c r="AP431" s="262"/>
      <c r="AQ431" s="267">
        <v>0.13695535714285714</v>
      </c>
      <c r="AR431" s="262"/>
      <c r="AS431" s="266">
        <f t="shared" si="256"/>
        <v>0</v>
      </c>
      <c r="AT431" s="264">
        <f t="shared" si="257"/>
        <v>0</v>
      </c>
      <c r="AU431" s="262"/>
      <c r="AV431" s="262"/>
      <c r="AW431" s="265">
        <v>0.13695535714285714</v>
      </c>
      <c r="AX431" s="164" t="s">
        <v>2393</v>
      </c>
      <c r="AY431" s="266">
        <v>0</v>
      </c>
      <c r="AZ431" s="266">
        <f t="shared" si="258"/>
        <v>0</v>
      </c>
      <c r="BA431" s="264">
        <f t="shared" si="259"/>
        <v>0</v>
      </c>
      <c r="BB431" s="262"/>
      <c r="BC431" s="262"/>
      <c r="BD431" s="265">
        <f ca="1">IFERROR(INDEX(Algorithms!$G:$G,MATCH($C431&amp;"_Therm Saved per Unit",Algorithms!$A:$A,0)),0)</f>
        <v>0.70170749999999993</v>
      </c>
      <c r="BE431" s="164" t="str">
        <f ca="1">IFERROR(INDEX('v12 Revisions'!$P$29:$P$186, MATCH('Measure-Level Adj Gas'!$L431, 'v12 Revisions'!$D$29:$D$186,0)),"")</f>
        <v>Updated HDD from 5113 to 4798 and shell adjustment factor from 0.60 to 0.63 ; Updated measure life to 30 years.</v>
      </c>
      <c r="BF431" s="266">
        <f t="shared" ca="1" si="260"/>
        <v>0</v>
      </c>
      <c r="BG431" s="264">
        <f t="shared" ca="1" si="261"/>
        <v>0</v>
      </c>
      <c r="BH431" s="262"/>
      <c r="BI431" s="262"/>
      <c r="BJ431" s="265">
        <f ca="1">IFERROR(INDEX(Algorithms!$G:$G,MATCH($C431&amp;"_Therm Saved per Unit",Algorithms!$A:$A,0)),0)</f>
        <v>0.70170749999999993</v>
      </c>
      <c r="BK431" s="164"/>
      <c r="BL431" s="266">
        <f t="shared" ca="1" si="262"/>
        <v>0</v>
      </c>
      <c r="BM431" s="264">
        <f t="shared" ca="1" si="263"/>
        <v>0</v>
      </c>
      <c r="BN431" s="266">
        <f t="shared" si="264"/>
        <v>0</v>
      </c>
      <c r="BO431" s="266">
        <f t="shared" si="265"/>
        <v>0</v>
      </c>
      <c r="BP431" s="266">
        <f t="shared" ca="1" si="266"/>
        <v>0</v>
      </c>
      <c r="BQ431" s="266">
        <f t="shared" ca="1" si="267"/>
        <v>0</v>
      </c>
      <c r="BR431" s="268">
        <f t="shared" ca="1" si="268"/>
        <v>0</v>
      </c>
      <c r="BS431" s="262" t="s">
        <v>99</v>
      </c>
      <c r="BT431" s="277"/>
      <c r="BW431" s="266">
        <f t="shared" si="269"/>
        <v>0</v>
      </c>
      <c r="BX431" s="266">
        <f t="shared" si="270"/>
        <v>0</v>
      </c>
      <c r="BY431" s="266">
        <f t="shared" si="271"/>
        <v>0</v>
      </c>
      <c r="BZ431" s="266">
        <f t="shared" si="272"/>
        <v>0</v>
      </c>
      <c r="CA431" s="266">
        <f ca="1">N431*IFERROR(INDEX(Algorithms!$G:$G,MATCH($C431&amp;"_Therm Saved per Unit- MLA",Algorithms!$A:$A,0)),0)*X431</f>
        <v>0</v>
      </c>
      <c r="CB431" s="266">
        <f ca="1">O431*IFERROR(INDEX(Algorithms!$G:$G,MATCH($C431&amp;"_Therm Saved per Unit- MLA",Algorithms!$A:$A,0)),0)*Y431</f>
        <v>0</v>
      </c>
      <c r="CC431" s="266">
        <f ca="1">P431*IFERROR(INDEX(Algorithms!$G:$G,MATCH($C431&amp;"_Therm Saved per Unit- MLA",Algorithms!$A:$A,0)),0)*Z431</f>
        <v>0</v>
      </c>
      <c r="CD431" s="266">
        <f ca="1">Q431*IFERROR(INDEX(Algorithms!$G:$G,MATCH($C431&amp;"_Therm Saved per Unit- MLA",Algorithms!$A:$A,0)),0)*AA431</f>
        <v>0</v>
      </c>
      <c r="CE431" s="266">
        <f ca="1">IFERROR(INDEX(Algorithms!$G:$G,MATCH($C431&amp;"_Lifetime (years)",Algorithms!$A:$A,0)),0)</f>
        <v>30</v>
      </c>
      <c r="CF431" s="266">
        <f ca="1">IFERROR(INDEX(Algorithms!$G:$G,MATCH($C431&amp;"_Lifetime (years) - Remaining Years",Algorithms!$A:$A,0)),0)</f>
        <v>10</v>
      </c>
      <c r="CG431" s="266">
        <f t="shared" ca="1" si="273"/>
        <v>0</v>
      </c>
      <c r="CH431" s="266">
        <f t="shared" ca="1" si="274"/>
        <v>0</v>
      </c>
      <c r="CI431" s="266">
        <f t="shared" ca="1" si="275"/>
        <v>0</v>
      </c>
      <c r="CJ431" s="266">
        <f t="shared" ca="1" si="276"/>
        <v>0</v>
      </c>
      <c r="CK431" s="266">
        <f t="shared" si="277"/>
        <v>0</v>
      </c>
      <c r="CL431" s="266">
        <f t="shared" si="278"/>
        <v>0</v>
      </c>
      <c r="CM431" s="266">
        <f t="shared" ca="1" si="279"/>
        <v>0</v>
      </c>
      <c r="CN431" s="266">
        <f t="shared" ca="1" si="280"/>
        <v>0</v>
      </c>
      <c r="CO431" s="266">
        <f ca="1">N431*IFERROR(INDEX(Algorithms!$G:$G,MATCH($C431&amp;"_Therm Saved per Unit- MLA",Algorithms!$A:$A,0)),0)*X431</f>
        <v>0</v>
      </c>
      <c r="CP431" s="266">
        <f ca="1">O431*IFERROR(INDEX(Algorithms!$G:$G,MATCH($C431&amp;"_Therm Saved per Unit- MLA",Algorithms!$A:$A,0)),0)*Y431</f>
        <v>0</v>
      </c>
      <c r="CQ431" s="266">
        <f ca="1">P431*IFERROR(INDEX(Algorithms!$G:$G,MATCH($C431&amp;"_Therm Saved per Unit- MLA",Algorithms!$A:$A,0)),0)*Z431</f>
        <v>0</v>
      </c>
      <c r="CR431" s="266">
        <f ca="1">Q431*IFERROR(INDEX(Algorithms!$G:$G,MATCH($C431&amp;"_Therm Saved per Unit- MLA",Algorithms!$A:$A,0)),0)*AA431</f>
        <v>0</v>
      </c>
      <c r="CS431" s="266">
        <f ca="1">IFERROR(INDEX(Algorithms!$G:$G,MATCH($C431&amp;"_Lifetime (years)",Algorithms!$A:$A,0)),0)</f>
        <v>30</v>
      </c>
      <c r="CT431" s="266">
        <f ca="1">IFERROR(INDEX(Algorithms!$G:$G,MATCH($C431&amp;"_Lifetime (years) - Remaining Years",Algorithms!$A:$A,0)),0)</f>
        <v>10</v>
      </c>
      <c r="CU431" s="266">
        <f t="shared" ca="1" si="281"/>
        <v>0</v>
      </c>
      <c r="CV431" s="266">
        <f t="shared" ca="1" si="282"/>
        <v>0</v>
      </c>
      <c r="CW431" s="266">
        <f t="shared" ca="1" si="283"/>
        <v>0</v>
      </c>
      <c r="CX431" s="266">
        <f t="shared" ca="1" si="284"/>
        <v>0</v>
      </c>
    </row>
    <row r="432" spans="2:102" s="47" customFormat="1" ht="18" customHeight="1" x14ac:dyDescent="0.25">
      <c r="B432" t="str">
        <f t="shared" si="285"/>
        <v>NSG_Income Eligible_Multi-Family_Whole Building - Prescriptive_Floor Insulation Above Crawlspace_0_SF</v>
      </c>
      <c r="C432" s="47" t="str">
        <f t="shared" si="246"/>
        <v>Floor Insulation Above Crawlspace_0_SF</v>
      </c>
      <c r="D432" s="270" t="s">
        <v>1787</v>
      </c>
      <c r="E432" s="270" t="s">
        <v>325</v>
      </c>
      <c r="F432" s="270" t="s">
        <v>1422</v>
      </c>
      <c r="G432" s="270" t="s">
        <v>1813</v>
      </c>
      <c r="H432" s="270" t="s">
        <v>244</v>
      </c>
      <c r="I432" s="270">
        <v>0</v>
      </c>
      <c r="J432" s="270" t="s">
        <v>409</v>
      </c>
      <c r="K432" s="263">
        <v>1</v>
      </c>
      <c r="L432" s="263" t="str">
        <f ca="1">IFERROR(INDEX(Algorithms!J:J,MATCH($C432&amp;"_Therm Saved per Unit",Algorithms!$A:$A,0)),"n/a")</f>
        <v>5.6.3</v>
      </c>
      <c r="M432" s="263" t="str">
        <f>IFERROR(INDEX('Measure Level Detail'!$N:$N,MATCH($B432,'Measure Level Detail'!$B:$B,0)),0)</f>
        <v>sq ft</v>
      </c>
      <c r="N432" s="271">
        <f>IFERROR(INDEX('Measure Level Detail'!$P:$P,MATCH($B432&amp;"_"&amp;N$3,'Measure Level Detail'!$C:$C,0)),0)</f>
        <v>0</v>
      </c>
      <c r="O432" s="271">
        <f>IFERROR(INDEX('Measure Level Detail'!$P:$P,MATCH($B432&amp;"_"&amp;O$3,'Measure Level Detail'!$C:$C,0)),0)</f>
        <v>0</v>
      </c>
      <c r="P432" s="271">
        <f>IFERROR(INDEX('Measure Level Detail'!$P:$P,MATCH($B432&amp;"_"&amp;P$3,'Measure Level Detail'!$C:$C,0)),0)</f>
        <v>0</v>
      </c>
      <c r="Q432" s="271">
        <f>IFERROR(INDEX('Measure Level Detail'!$P:$P,MATCH($B432&amp;"_"&amp;Q$3,'Measure Level Detail'!$C:$C,0)),0)</f>
        <v>0</v>
      </c>
      <c r="R432" s="263" t="str">
        <f ca="1">IFERROR(INDEX(Algorithms!K:K,MATCH($C432&amp;"_Therm Saved per Unit",Algorithms!$A:$A,0)),"n/a")</f>
        <v>RS-SHL-FINS-V15-240101</v>
      </c>
      <c r="S432" s="262"/>
      <c r="T432" s="272">
        <v>0.10489255765199164</v>
      </c>
      <c r="U432" s="272">
        <v>0.10489255765199164</v>
      </c>
      <c r="V432" s="272">
        <v>0.10489255765199164</v>
      </c>
      <c r="W432" s="272">
        <v>0.10489255765199164</v>
      </c>
      <c r="X432" s="273">
        <f>IFERROR(INDEX('Measure Level Detail'!$R:$R,MATCH($B432&amp;"_"&amp;X$3,'Measure Level Detail'!$C:$C,0)),0)</f>
        <v>1</v>
      </c>
      <c r="Y432" s="273">
        <f>IFERROR(INDEX('Measure Level Detail'!$R:$R,MATCH($B432&amp;"_"&amp;Y$3,'Measure Level Detail'!$C:$C,0)),0)</f>
        <v>1</v>
      </c>
      <c r="Z432" s="273">
        <f>IFERROR(INDEX('Measure Level Detail'!$R:$R,MATCH($B432&amp;"_"&amp;Z$3,'Measure Level Detail'!$C:$C,0)),0)</f>
        <v>1</v>
      </c>
      <c r="AA432" s="273">
        <f>IFERROR(INDEX('Measure Level Detail'!$R:$R,MATCH($B432&amp;"_"&amp;AA$3,'Measure Level Detail'!$C:$C,0)),0)</f>
        <v>1</v>
      </c>
      <c r="AB432" s="266">
        <f t="shared" si="247"/>
        <v>0</v>
      </c>
      <c r="AC432" s="266">
        <f t="shared" si="248"/>
        <v>0</v>
      </c>
      <c r="AD432" s="266">
        <f t="shared" si="249"/>
        <v>0</v>
      </c>
      <c r="AE432" s="266">
        <f t="shared" si="250"/>
        <v>0</v>
      </c>
      <c r="AF432" s="266">
        <f t="shared" si="251"/>
        <v>0</v>
      </c>
      <c r="AG432" s="274">
        <v>1</v>
      </c>
      <c r="AH432" s="274">
        <v>1</v>
      </c>
      <c r="AI432" s="274">
        <v>1</v>
      </c>
      <c r="AJ432" s="274">
        <v>1</v>
      </c>
      <c r="AK432" s="274">
        <f t="shared" si="252"/>
        <v>1</v>
      </c>
      <c r="AL432" s="274">
        <f t="shared" si="253"/>
        <v>1</v>
      </c>
      <c r="AM432" s="274">
        <f t="shared" si="254"/>
        <v>1</v>
      </c>
      <c r="AN432" s="274">
        <f t="shared" si="255"/>
        <v>1</v>
      </c>
      <c r="AO432" s="262"/>
      <c r="AP432" s="262"/>
      <c r="AQ432" s="267">
        <v>0.10489255765199164</v>
      </c>
      <c r="AR432" s="262"/>
      <c r="AS432" s="266">
        <f t="shared" si="256"/>
        <v>0</v>
      </c>
      <c r="AT432" s="264">
        <f t="shared" si="257"/>
        <v>0</v>
      </c>
      <c r="AU432" s="262"/>
      <c r="AV432" s="262"/>
      <c r="AW432" s="265">
        <v>0.10489255765199164</v>
      </c>
      <c r="AX432" s="164" t="s">
        <v>2393</v>
      </c>
      <c r="AY432" s="266">
        <v>0</v>
      </c>
      <c r="AZ432" s="266">
        <f t="shared" si="258"/>
        <v>0</v>
      </c>
      <c r="BA432" s="264">
        <f t="shared" si="259"/>
        <v>0</v>
      </c>
      <c r="BB432" s="262"/>
      <c r="BC432" s="262"/>
      <c r="BD432" s="265">
        <f ca="1">IFERROR(INDEX(Algorithms!$G:$G,MATCH($C432&amp;"_Therm Saved per Unit",Algorithms!$A:$A,0)),0)</f>
        <v>0.10176690251572328</v>
      </c>
      <c r="BE432" s="164" t="str">
        <f ca="1">IFERROR(INDEX('v12 Revisions'!$P$29:$P$186, MATCH('Measure-Level Adj Gas'!$L432, 'v12 Revisions'!$D$29:$D$186,0)),"")</f>
        <v>Updated HDD from 3079 to 2845 and shell adjustment factor from 0.60 to 0.63 ; Updated measure life to 30 years.</v>
      </c>
      <c r="BF432" s="266">
        <f t="shared" ca="1" si="260"/>
        <v>0</v>
      </c>
      <c r="BG432" s="264">
        <f t="shared" ca="1" si="261"/>
        <v>0</v>
      </c>
      <c r="BH432" s="262"/>
      <c r="BI432" s="262"/>
      <c r="BJ432" s="265">
        <f ca="1">IFERROR(INDEX(Algorithms!$G:$G,MATCH($C432&amp;"_Therm Saved per Unit",Algorithms!$A:$A,0)),0)</f>
        <v>0.10176690251572328</v>
      </c>
      <c r="BK432" s="164"/>
      <c r="BL432" s="266">
        <f t="shared" ca="1" si="262"/>
        <v>0</v>
      </c>
      <c r="BM432" s="264">
        <f t="shared" ca="1" si="263"/>
        <v>0</v>
      </c>
      <c r="BN432" s="266">
        <f t="shared" si="264"/>
        <v>0</v>
      </c>
      <c r="BO432" s="266">
        <f t="shared" si="265"/>
        <v>0</v>
      </c>
      <c r="BP432" s="266">
        <f t="shared" ca="1" si="266"/>
        <v>0</v>
      </c>
      <c r="BQ432" s="266">
        <f t="shared" ca="1" si="267"/>
        <v>0</v>
      </c>
      <c r="BR432" s="268">
        <f t="shared" ca="1" si="268"/>
        <v>0</v>
      </c>
      <c r="BS432" s="262" t="s">
        <v>99</v>
      </c>
      <c r="BT432" s="277"/>
      <c r="BW432" s="266">
        <f t="shared" si="269"/>
        <v>0</v>
      </c>
      <c r="BX432" s="266">
        <f t="shared" si="270"/>
        <v>0</v>
      </c>
      <c r="BY432" s="266">
        <f t="shared" si="271"/>
        <v>0</v>
      </c>
      <c r="BZ432" s="266">
        <f t="shared" si="272"/>
        <v>0</v>
      </c>
      <c r="CA432" s="266">
        <f ca="1">N432*IFERROR(INDEX(Algorithms!$G:$G,MATCH($C432&amp;"_Therm Saved per Unit- MLA",Algorithms!$A:$A,0)),0)*X432</f>
        <v>0</v>
      </c>
      <c r="CB432" s="266">
        <f ca="1">O432*IFERROR(INDEX(Algorithms!$G:$G,MATCH($C432&amp;"_Therm Saved per Unit- MLA",Algorithms!$A:$A,0)),0)*Y432</f>
        <v>0</v>
      </c>
      <c r="CC432" s="266">
        <f ca="1">P432*IFERROR(INDEX(Algorithms!$G:$G,MATCH($C432&amp;"_Therm Saved per Unit- MLA",Algorithms!$A:$A,0)),0)*Z432</f>
        <v>0</v>
      </c>
      <c r="CD432" s="266">
        <f ca="1">Q432*IFERROR(INDEX(Algorithms!$G:$G,MATCH($C432&amp;"_Therm Saved per Unit- MLA",Algorithms!$A:$A,0)),0)*AA432</f>
        <v>0</v>
      </c>
      <c r="CE432" s="266">
        <f ca="1">IFERROR(INDEX(Algorithms!$G:$G,MATCH($C432&amp;"_Lifetime (years)",Algorithms!$A:$A,0)),0)</f>
        <v>30</v>
      </c>
      <c r="CF432" s="266">
        <f ca="1">IFERROR(INDEX(Algorithms!$G:$G,MATCH($C432&amp;"_Lifetime (years) - Remaining Years",Algorithms!$A:$A,0)),0)</f>
        <v>10</v>
      </c>
      <c r="CG432" s="266">
        <f t="shared" ca="1" si="273"/>
        <v>0</v>
      </c>
      <c r="CH432" s="266">
        <f t="shared" ca="1" si="274"/>
        <v>0</v>
      </c>
      <c r="CI432" s="266">
        <f t="shared" ca="1" si="275"/>
        <v>0</v>
      </c>
      <c r="CJ432" s="266">
        <f t="shared" ca="1" si="276"/>
        <v>0</v>
      </c>
      <c r="CK432" s="266">
        <f t="shared" si="277"/>
        <v>0</v>
      </c>
      <c r="CL432" s="266">
        <f t="shared" si="278"/>
        <v>0</v>
      </c>
      <c r="CM432" s="266">
        <f t="shared" ca="1" si="279"/>
        <v>0</v>
      </c>
      <c r="CN432" s="266">
        <f t="shared" ca="1" si="280"/>
        <v>0</v>
      </c>
      <c r="CO432" s="266">
        <f ca="1">N432*IFERROR(INDEX(Algorithms!$G:$G,MATCH($C432&amp;"_Therm Saved per Unit- MLA",Algorithms!$A:$A,0)),0)*X432</f>
        <v>0</v>
      </c>
      <c r="CP432" s="266">
        <f ca="1">O432*IFERROR(INDEX(Algorithms!$G:$G,MATCH($C432&amp;"_Therm Saved per Unit- MLA",Algorithms!$A:$A,0)),0)*Y432</f>
        <v>0</v>
      </c>
      <c r="CQ432" s="266">
        <f ca="1">P432*IFERROR(INDEX(Algorithms!$G:$G,MATCH($C432&amp;"_Therm Saved per Unit- MLA",Algorithms!$A:$A,0)),0)*Z432</f>
        <v>0</v>
      </c>
      <c r="CR432" s="266">
        <f ca="1">Q432*IFERROR(INDEX(Algorithms!$G:$G,MATCH($C432&amp;"_Therm Saved per Unit- MLA",Algorithms!$A:$A,0)),0)*AA432</f>
        <v>0</v>
      </c>
      <c r="CS432" s="266">
        <f ca="1">IFERROR(INDEX(Algorithms!$G:$G,MATCH($C432&amp;"_Lifetime (years)",Algorithms!$A:$A,0)),0)</f>
        <v>30</v>
      </c>
      <c r="CT432" s="266">
        <f ca="1">IFERROR(INDEX(Algorithms!$G:$G,MATCH($C432&amp;"_Lifetime (years) - Remaining Years",Algorithms!$A:$A,0)),0)</f>
        <v>10</v>
      </c>
      <c r="CU432" s="266">
        <f t="shared" ca="1" si="281"/>
        <v>0</v>
      </c>
      <c r="CV432" s="266">
        <f t="shared" ca="1" si="282"/>
        <v>0</v>
      </c>
      <c r="CW432" s="266">
        <f t="shared" ca="1" si="283"/>
        <v>0</v>
      </c>
      <c r="CX432" s="266">
        <f t="shared" ca="1" si="284"/>
        <v>0</v>
      </c>
    </row>
    <row r="433" spans="2:102" s="47" customFormat="1" ht="18" customHeight="1" x14ac:dyDescent="0.25">
      <c r="B433" t="str">
        <f t="shared" si="285"/>
        <v>NSG_Income Eligible_Multi-Family_Whole Building - Prescriptive_Boiler_≥88% AFUE, &lt;300MBh_MF</v>
      </c>
      <c r="C433" s="47" t="str">
        <f t="shared" si="246"/>
        <v>Boiler_≥88% AFUE, &lt;300MBh_MF</v>
      </c>
      <c r="D433" s="270" t="s">
        <v>1787</v>
      </c>
      <c r="E433" s="270" t="s">
        <v>325</v>
      </c>
      <c r="F433" s="270" t="s">
        <v>1422</v>
      </c>
      <c r="G433" s="270" t="s">
        <v>1813</v>
      </c>
      <c r="H433" s="270" t="s">
        <v>944</v>
      </c>
      <c r="I433" s="270" t="s">
        <v>945</v>
      </c>
      <c r="J433" s="270" t="s">
        <v>553</v>
      </c>
      <c r="K433" s="263">
        <v>1</v>
      </c>
      <c r="L433" s="263" t="str">
        <f ca="1">IFERROR(INDEX(Algorithms!J:J,MATCH($C433&amp;"_Therm Saved per Unit",Algorithms!$A:$A,0)),"n/a")</f>
        <v>4.4.10</v>
      </c>
      <c r="M433" s="263" t="str">
        <f>IFERROR(INDEX('Measure Level Detail'!$N:$N,MATCH($B433,'Measure Level Detail'!$B:$B,0)),0)</f>
        <v>MBH</v>
      </c>
      <c r="N433" s="271">
        <f>IFERROR(INDEX('Measure Level Detail'!$P:$P,MATCH($B433&amp;"_"&amp;N$3,'Measure Level Detail'!$C:$C,0)),0)</f>
        <v>0</v>
      </c>
      <c r="O433" s="271">
        <f>IFERROR(INDEX('Measure Level Detail'!$P:$P,MATCH($B433&amp;"_"&amp;O$3,'Measure Level Detail'!$C:$C,0)),0)</f>
        <v>0</v>
      </c>
      <c r="P433" s="271">
        <f>IFERROR(INDEX('Measure Level Detail'!$P:$P,MATCH($B433&amp;"_"&amp;P$3,'Measure Level Detail'!$C:$C,0)),0)</f>
        <v>0</v>
      </c>
      <c r="Q433" s="271">
        <f>IFERROR(INDEX('Measure Level Detail'!$P:$P,MATCH($B433&amp;"_"&amp;Q$3,'Measure Level Detail'!$C:$C,0)),0)</f>
        <v>0</v>
      </c>
      <c r="R433" s="263" t="str">
        <f ca="1">IFERROR(INDEX(Algorithms!K:K,MATCH($C433&amp;"_Therm Saved per Unit",Algorithms!$A:$A,0)),"n/a")</f>
        <v>CI-HVC-BOIL-V11-240101</v>
      </c>
      <c r="S433" s="262"/>
      <c r="T433" s="272">
        <v>0.79095238095238163</v>
      </c>
      <c r="U433" s="272">
        <v>0.79095238095238163</v>
      </c>
      <c r="V433" s="272">
        <v>0.79095238095238163</v>
      </c>
      <c r="W433" s="272">
        <v>0.79095238095238163</v>
      </c>
      <c r="X433" s="273">
        <f>IFERROR(INDEX('Measure Level Detail'!$R:$R,MATCH($B433&amp;"_"&amp;X$3,'Measure Level Detail'!$C:$C,0)),0)</f>
        <v>1</v>
      </c>
      <c r="Y433" s="273">
        <f>IFERROR(INDEX('Measure Level Detail'!$R:$R,MATCH($B433&amp;"_"&amp;Y$3,'Measure Level Detail'!$C:$C,0)),0)</f>
        <v>1</v>
      </c>
      <c r="Z433" s="273">
        <f>IFERROR(INDEX('Measure Level Detail'!$R:$R,MATCH($B433&amp;"_"&amp;Z$3,'Measure Level Detail'!$C:$C,0)),0)</f>
        <v>1</v>
      </c>
      <c r="AA433" s="273">
        <f>IFERROR(INDEX('Measure Level Detail'!$R:$R,MATCH($B433&amp;"_"&amp;AA$3,'Measure Level Detail'!$C:$C,0)),0)</f>
        <v>1</v>
      </c>
      <c r="AB433" s="266">
        <f t="shared" si="247"/>
        <v>0</v>
      </c>
      <c r="AC433" s="266">
        <f t="shared" si="248"/>
        <v>0</v>
      </c>
      <c r="AD433" s="266">
        <f t="shared" si="249"/>
        <v>0</v>
      </c>
      <c r="AE433" s="266">
        <f t="shared" si="250"/>
        <v>0</v>
      </c>
      <c r="AF433" s="266">
        <f t="shared" si="251"/>
        <v>0</v>
      </c>
      <c r="AG433" s="274">
        <v>1</v>
      </c>
      <c r="AH433" s="274">
        <v>1</v>
      </c>
      <c r="AI433" s="274">
        <v>1</v>
      </c>
      <c r="AJ433" s="274">
        <v>1</v>
      </c>
      <c r="AK433" s="274">
        <f t="shared" si="252"/>
        <v>1</v>
      </c>
      <c r="AL433" s="274">
        <f t="shared" si="253"/>
        <v>1</v>
      </c>
      <c r="AM433" s="274">
        <f t="shared" si="254"/>
        <v>1</v>
      </c>
      <c r="AN433" s="274">
        <f t="shared" si="255"/>
        <v>1</v>
      </c>
      <c r="AO433" s="262"/>
      <c r="AP433" s="262"/>
      <c r="AQ433" s="267">
        <v>0.79095238095238163</v>
      </c>
      <c r="AR433" s="262"/>
      <c r="AS433" s="266">
        <f t="shared" si="256"/>
        <v>0</v>
      </c>
      <c r="AT433" s="264">
        <f t="shared" si="257"/>
        <v>0</v>
      </c>
      <c r="AU433" s="262"/>
      <c r="AV433" s="262"/>
      <c r="AW433" s="265">
        <v>0.79095238095238163</v>
      </c>
      <c r="AX433" s="164" t="s">
        <v>1469</v>
      </c>
      <c r="AY433" s="266">
        <v>0</v>
      </c>
      <c r="AZ433" s="266">
        <f t="shared" si="258"/>
        <v>0</v>
      </c>
      <c r="BA433" s="264">
        <f t="shared" si="259"/>
        <v>0</v>
      </c>
      <c r="BB433" s="262"/>
      <c r="BC433" s="262"/>
      <c r="BD433" s="265">
        <f ca="1">IFERROR(INDEX(Algorithms!$G:$G,MATCH($C433&amp;"_Therm Saved per Unit",Algorithms!$A:$A,0)),0)</f>
        <v>0.79095238095238163</v>
      </c>
      <c r="BE433" s="164" t="str">
        <f ca="1">IFERROR(INDEX('v12 Revisions'!$P$29:$P$186, MATCH('Measure-Level Adj Gas'!$L433, 'v12 Revisions'!$D$29:$D$186,0)),"")</f>
        <v>Updated baseline and efficient boiler efficiency ratings.</v>
      </c>
      <c r="BF433" s="266">
        <f t="shared" ca="1" si="260"/>
        <v>0</v>
      </c>
      <c r="BG433" s="264">
        <f t="shared" ca="1" si="261"/>
        <v>0</v>
      </c>
      <c r="BH433" s="262"/>
      <c r="BI433" s="262"/>
      <c r="BJ433" s="265">
        <f ca="1">IFERROR(INDEX(Algorithms!$G:$G,MATCH($C433&amp;"_Therm Saved per Unit",Algorithms!$A:$A,0)),0)</f>
        <v>0.79095238095238163</v>
      </c>
      <c r="BK433" s="164"/>
      <c r="BL433" s="266">
        <f t="shared" ca="1" si="262"/>
        <v>0</v>
      </c>
      <c r="BM433" s="264">
        <f t="shared" ca="1" si="263"/>
        <v>0</v>
      </c>
      <c r="BN433" s="266">
        <f t="shared" si="264"/>
        <v>0</v>
      </c>
      <c r="BO433" s="266">
        <f t="shared" si="265"/>
        <v>0</v>
      </c>
      <c r="BP433" s="266">
        <f t="shared" ca="1" si="266"/>
        <v>0</v>
      </c>
      <c r="BQ433" s="266">
        <f t="shared" ca="1" si="267"/>
        <v>0</v>
      </c>
      <c r="BR433" s="268">
        <f t="shared" ca="1" si="268"/>
        <v>0</v>
      </c>
      <c r="BS433" s="262" t="s">
        <v>99</v>
      </c>
      <c r="BT433" s="277"/>
      <c r="BW433" s="266">
        <f t="shared" si="269"/>
        <v>0</v>
      </c>
      <c r="BX433" s="266">
        <f t="shared" si="270"/>
        <v>0</v>
      </c>
      <c r="BY433" s="266">
        <f t="shared" si="271"/>
        <v>0</v>
      </c>
      <c r="BZ433" s="266">
        <f t="shared" si="272"/>
        <v>0</v>
      </c>
      <c r="CA433" s="266">
        <f ca="1">N433*IFERROR(INDEX(Algorithms!$G:$G,MATCH($C433&amp;"_Therm Saved per Unit- MLA",Algorithms!$A:$A,0)),0)*X433</f>
        <v>0</v>
      </c>
      <c r="CB433" s="266">
        <f ca="1">O433*IFERROR(INDEX(Algorithms!$G:$G,MATCH($C433&amp;"_Therm Saved per Unit- MLA",Algorithms!$A:$A,0)),0)*Y433</f>
        <v>0</v>
      </c>
      <c r="CC433" s="266">
        <f ca="1">P433*IFERROR(INDEX(Algorithms!$G:$G,MATCH($C433&amp;"_Therm Saved per Unit- MLA",Algorithms!$A:$A,0)),0)*Z433</f>
        <v>0</v>
      </c>
      <c r="CD433" s="266">
        <f ca="1">Q433*IFERROR(INDEX(Algorithms!$G:$G,MATCH($C433&amp;"_Therm Saved per Unit- MLA",Algorithms!$A:$A,0)),0)*AA433</f>
        <v>0</v>
      </c>
      <c r="CE433" s="266">
        <f ca="1">IFERROR(INDEX(Algorithms!$G:$G,MATCH($C433&amp;"_Lifetime (years)",Algorithms!$A:$A,0)),0)</f>
        <v>25</v>
      </c>
      <c r="CF433" s="266">
        <f ca="1">IFERROR(INDEX(Algorithms!$G:$G,MATCH($C433&amp;"_Lifetime (years) - Remaining Years",Algorithms!$A:$A,0)),0)</f>
        <v>0</v>
      </c>
      <c r="CG433" s="266">
        <f t="shared" ca="1" si="273"/>
        <v>0</v>
      </c>
      <c r="CH433" s="266">
        <f t="shared" ca="1" si="274"/>
        <v>0</v>
      </c>
      <c r="CI433" s="266">
        <f t="shared" ca="1" si="275"/>
        <v>0</v>
      </c>
      <c r="CJ433" s="266">
        <f t="shared" ca="1" si="276"/>
        <v>0</v>
      </c>
      <c r="CK433" s="266">
        <f t="shared" si="277"/>
        <v>0</v>
      </c>
      <c r="CL433" s="266">
        <f t="shared" si="278"/>
        <v>0</v>
      </c>
      <c r="CM433" s="266">
        <f t="shared" ca="1" si="279"/>
        <v>0</v>
      </c>
      <c r="CN433" s="266">
        <f t="shared" ca="1" si="280"/>
        <v>0</v>
      </c>
      <c r="CO433" s="266">
        <f ca="1">N433*IFERROR(INDEX(Algorithms!$G:$G,MATCH($C433&amp;"_Therm Saved per Unit- MLA",Algorithms!$A:$A,0)),0)*X433</f>
        <v>0</v>
      </c>
      <c r="CP433" s="266">
        <f ca="1">O433*IFERROR(INDEX(Algorithms!$G:$G,MATCH($C433&amp;"_Therm Saved per Unit- MLA",Algorithms!$A:$A,0)),0)*Y433</f>
        <v>0</v>
      </c>
      <c r="CQ433" s="266">
        <f ca="1">P433*IFERROR(INDEX(Algorithms!$G:$G,MATCH($C433&amp;"_Therm Saved per Unit- MLA",Algorithms!$A:$A,0)),0)*Z433</f>
        <v>0</v>
      </c>
      <c r="CR433" s="266">
        <f ca="1">Q433*IFERROR(INDEX(Algorithms!$G:$G,MATCH($C433&amp;"_Therm Saved per Unit- MLA",Algorithms!$A:$A,0)),0)*AA433</f>
        <v>0</v>
      </c>
      <c r="CS433" s="266">
        <f ca="1">IFERROR(INDEX(Algorithms!$G:$G,MATCH($C433&amp;"_Lifetime (years)",Algorithms!$A:$A,0)),0)</f>
        <v>25</v>
      </c>
      <c r="CT433" s="266">
        <f ca="1">IFERROR(INDEX(Algorithms!$G:$G,MATCH($C433&amp;"_Lifetime (years) - Remaining Years",Algorithms!$A:$A,0)),0)</f>
        <v>0</v>
      </c>
      <c r="CU433" s="266">
        <f t="shared" ca="1" si="281"/>
        <v>0</v>
      </c>
      <c r="CV433" s="266">
        <f t="shared" ca="1" si="282"/>
        <v>0</v>
      </c>
      <c r="CW433" s="266">
        <f t="shared" ca="1" si="283"/>
        <v>0</v>
      </c>
      <c r="CX433" s="266">
        <f t="shared" ca="1" si="284"/>
        <v>0</v>
      </c>
    </row>
    <row r="434" spans="2:102" s="47" customFormat="1" ht="18" customHeight="1" x14ac:dyDescent="0.25">
      <c r="B434" t="str">
        <f t="shared" si="285"/>
        <v>NSG_Income Eligible_Multi-Family_Whole Building - Prescriptive_Boiler_≥88% AFUE, ≥300MBh TE_MF</v>
      </c>
      <c r="C434" s="47" t="str">
        <f t="shared" si="246"/>
        <v>Boiler_≥88% AFUE, ≥300MBh TE_MF</v>
      </c>
      <c r="D434" s="270" t="s">
        <v>1787</v>
      </c>
      <c r="E434" s="270" t="s">
        <v>325</v>
      </c>
      <c r="F434" s="270" t="s">
        <v>1422</v>
      </c>
      <c r="G434" s="270" t="s">
        <v>1813</v>
      </c>
      <c r="H434" s="270" t="s">
        <v>944</v>
      </c>
      <c r="I434" s="270" t="s">
        <v>946</v>
      </c>
      <c r="J434" s="270" t="s">
        <v>553</v>
      </c>
      <c r="K434" s="263">
        <v>1</v>
      </c>
      <c r="L434" s="263" t="str">
        <f ca="1">IFERROR(INDEX(Algorithms!J:J,MATCH($C434&amp;"_Therm Saved per Unit",Algorithms!$A:$A,0)),"n/a")</f>
        <v>4.4.10</v>
      </c>
      <c r="M434" s="263" t="str">
        <f>IFERROR(INDEX('Measure Level Detail'!$N:$N,MATCH($B434,'Measure Level Detail'!$B:$B,0)),0)</f>
        <v>MBH</v>
      </c>
      <c r="N434" s="271">
        <f>IFERROR(INDEX('Measure Level Detail'!$P:$P,MATCH($B434&amp;"_"&amp;N$3,'Measure Level Detail'!$C:$C,0)),0)</f>
        <v>0</v>
      </c>
      <c r="O434" s="271">
        <f>IFERROR(INDEX('Measure Level Detail'!$P:$P,MATCH($B434&amp;"_"&amp;O$3,'Measure Level Detail'!$C:$C,0)),0)</f>
        <v>0</v>
      </c>
      <c r="P434" s="271">
        <f>IFERROR(INDEX('Measure Level Detail'!$P:$P,MATCH($B434&amp;"_"&amp;P$3,'Measure Level Detail'!$C:$C,0)),0)</f>
        <v>0</v>
      </c>
      <c r="Q434" s="271">
        <f>IFERROR(INDEX('Measure Level Detail'!$P:$P,MATCH($B434&amp;"_"&amp;Q$3,'Measure Level Detail'!$C:$C,0)),0)</f>
        <v>0</v>
      </c>
      <c r="R434" s="263" t="str">
        <f ca="1">IFERROR(INDEX(Algorithms!K:K,MATCH($C434&amp;"_Therm Saved per Unit",Algorithms!$A:$A,0)),"n/a")</f>
        <v>CI-HVC-BOIL-V11-240101</v>
      </c>
      <c r="S434" s="262"/>
      <c r="T434" s="272">
        <v>1.6609999999999991</v>
      </c>
      <c r="U434" s="272">
        <v>1.6609999999999991</v>
      </c>
      <c r="V434" s="272">
        <v>1.6609999999999991</v>
      </c>
      <c r="W434" s="272">
        <v>1.6609999999999991</v>
      </c>
      <c r="X434" s="273">
        <f>IFERROR(INDEX('Measure Level Detail'!$R:$R,MATCH($B434&amp;"_"&amp;X$3,'Measure Level Detail'!$C:$C,0)),0)</f>
        <v>1</v>
      </c>
      <c r="Y434" s="273">
        <f>IFERROR(INDEX('Measure Level Detail'!$R:$R,MATCH($B434&amp;"_"&amp;Y$3,'Measure Level Detail'!$C:$C,0)),0)</f>
        <v>1</v>
      </c>
      <c r="Z434" s="273">
        <f>IFERROR(INDEX('Measure Level Detail'!$R:$R,MATCH($B434&amp;"_"&amp;Z$3,'Measure Level Detail'!$C:$C,0)),0)</f>
        <v>1</v>
      </c>
      <c r="AA434" s="273">
        <f>IFERROR(INDEX('Measure Level Detail'!$R:$R,MATCH($B434&amp;"_"&amp;AA$3,'Measure Level Detail'!$C:$C,0)),0)</f>
        <v>1</v>
      </c>
      <c r="AB434" s="266">
        <f t="shared" si="247"/>
        <v>0</v>
      </c>
      <c r="AC434" s="266">
        <f t="shared" si="248"/>
        <v>0</v>
      </c>
      <c r="AD434" s="266">
        <f t="shared" si="249"/>
        <v>0</v>
      </c>
      <c r="AE434" s="266">
        <f t="shared" si="250"/>
        <v>0</v>
      </c>
      <c r="AF434" s="266">
        <f t="shared" si="251"/>
        <v>0</v>
      </c>
      <c r="AG434" s="274">
        <v>1</v>
      </c>
      <c r="AH434" s="274">
        <v>1</v>
      </c>
      <c r="AI434" s="274">
        <v>1</v>
      </c>
      <c r="AJ434" s="274">
        <v>1</v>
      </c>
      <c r="AK434" s="274">
        <f t="shared" si="252"/>
        <v>1</v>
      </c>
      <c r="AL434" s="274">
        <f t="shared" si="253"/>
        <v>1</v>
      </c>
      <c r="AM434" s="274">
        <f t="shared" si="254"/>
        <v>1</v>
      </c>
      <c r="AN434" s="274">
        <f t="shared" si="255"/>
        <v>1</v>
      </c>
      <c r="AO434" s="262"/>
      <c r="AP434" s="262"/>
      <c r="AQ434" s="267">
        <v>1.6609999999999991</v>
      </c>
      <c r="AR434" s="262"/>
      <c r="AS434" s="266">
        <f t="shared" si="256"/>
        <v>0</v>
      </c>
      <c r="AT434" s="264">
        <f t="shared" si="257"/>
        <v>0</v>
      </c>
      <c r="AU434" s="262"/>
      <c r="AV434" s="262"/>
      <c r="AW434" s="265">
        <v>1.6609999999999991</v>
      </c>
      <c r="AX434" s="164" t="s">
        <v>1469</v>
      </c>
      <c r="AY434" s="266">
        <v>0</v>
      </c>
      <c r="AZ434" s="266">
        <f t="shared" si="258"/>
        <v>0</v>
      </c>
      <c r="BA434" s="264">
        <f t="shared" si="259"/>
        <v>0</v>
      </c>
      <c r="BB434" s="262"/>
      <c r="BC434" s="262"/>
      <c r="BD434" s="265">
        <f ca="1">IFERROR(INDEX(Algorithms!$G:$G,MATCH($C434&amp;"_Therm Saved per Unit",Algorithms!$A:$A,0)),0)</f>
        <v>0.79095238095238163</v>
      </c>
      <c r="BE434" s="164" t="str">
        <f ca="1">IFERROR(INDEX('v12 Revisions'!$P$29:$P$186, MATCH('Measure-Level Adj Gas'!$L434, 'v12 Revisions'!$D$29:$D$186,0)),"")</f>
        <v>Updated baseline and efficient boiler efficiency ratings.</v>
      </c>
      <c r="BF434" s="266">
        <f t="shared" ca="1" si="260"/>
        <v>0</v>
      </c>
      <c r="BG434" s="264">
        <f t="shared" ca="1" si="261"/>
        <v>0</v>
      </c>
      <c r="BH434" s="262"/>
      <c r="BI434" s="262"/>
      <c r="BJ434" s="265">
        <f ca="1">IFERROR(INDEX(Algorithms!$G:$G,MATCH($C434&amp;"_Therm Saved per Unit",Algorithms!$A:$A,0)),0)</f>
        <v>0.79095238095238163</v>
      </c>
      <c r="BK434" s="164"/>
      <c r="BL434" s="266">
        <f t="shared" ca="1" si="262"/>
        <v>0</v>
      </c>
      <c r="BM434" s="264">
        <f t="shared" ca="1" si="263"/>
        <v>0</v>
      </c>
      <c r="BN434" s="266">
        <f t="shared" si="264"/>
        <v>0</v>
      </c>
      <c r="BO434" s="266">
        <f t="shared" si="265"/>
        <v>0</v>
      </c>
      <c r="BP434" s="266">
        <f t="shared" ca="1" si="266"/>
        <v>0</v>
      </c>
      <c r="BQ434" s="266">
        <f t="shared" ca="1" si="267"/>
        <v>0</v>
      </c>
      <c r="BR434" s="268">
        <f t="shared" ca="1" si="268"/>
        <v>0</v>
      </c>
      <c r="BS434" s="262" t="s">
        <v>99</v>
      </c>
      <c r="BT434" s="277"/>
      <c r="BW434" s="266">
        <f t="shared" si="269"/>
        <v>0</v>
      </c>
      <c r="BX434" s="266">
        <f t="shared" si="270"/>
        <v>0</v>
      </c>
      <c r="BY434" s="266">
        <f t="shared" si="271"/>
        <v>0</v>
      </c>
      <c r="BZ434" s="266">
        <f t="shared" si="272"/>
        <v>0</v>
      </c>
      <c r="CA434" s="266">
        <f ca="1">N434*IFERROR(INDEX(Algorithms!$G:$G,MATCH($C434&amp;"_Therm Saved per Unit- MLA",Algorithms!$A:$A,0)),0)*X434</f>
        <v>0</v>
      </c>
      <c r="CB434" s="266">
        <f ca="1">O434*IFERROR(INDEX(Algorithms!$G:$G,MATCH($C434&amp;"_Therm Saved per Unit- MLA",Algorithms!$A:$A,0)),0)*Y434</f>
        <v>0</v>
      </c>
      <c r="CC434" s="266">
        <f ca="1">P434*IFERROR(INDEX(Algorithms!$G:$G,MATCH($C434&amp;"_Therm Saved per Unit- MLA",Algorithms!$A:$A,0)),0)*Z434</f>
        <v>0</v>
      </c>
      <c r="CD434" s="266">
        <f ca="1">Q434*IFERROR(INDEX(Algorithms!$G:$G,MATCH($C434&amp;"_Therm Saved per Unit- MLA",Algorithms!$A:$A,0)),0)*AA434</f>
        <v>0</v>
      </c>
      <c r="CE434" s="266">
        <f ca="1">IFERROR(INDEX(Algorithms!$G:$G,MATCH($C434&amp;"_Lifetime (years)",Algorithms!$A:$A,0)),0)</f>
        <v>25</v>
      </c>
      <c r="CF434" s="266">
        <f ca="1">IFERROR(INDEX(Algorithms!$G:$G,MATCH($C434&amp;"_Lifetime (years) - Remaining Years",Algorithms!$A:$A,0)),0)</f>
        <v>0</v>
      </c>
      <c r="CG434" s="266">
        <f t="shared" ca="1" si="273"/>
        <v>0</v>
      </c>
      <c r="CH434" s="266">
        <f t="shared" ca="1" si="274"/>
        <v>0</v>
      </c>
      <c r="CI434" s="266">
        <f t="shared" ca="1" si="275"/>
        <v>0</v>
      </c>
      <c r="CJ434" s="266">
        <f t="shared" ca="1" si="276"/>
        <v>0</v>
      </c>
      <c r="CK434" s="266">
        <f t="shared" si="277"/>
        <v>0</v>
      </c>
      <c r="CL434" s="266">
        <f t="shared" si="278"/>
        <v>0</v>
      </c>
      <c r="CM434" s="266">
        <f t="shared" ca="1" si="279"/>
        <v>0</v>
      </c>
      <c r="CN434" s="266">
        <f t="shared" ca="1" si="280"/>
        <v>0</v>
      </c>
      <c r="CO434" s="266">
        <f ca="1">N434*IFERROR(INDEX(Algorithms!$G:$G,MATCH($C434&amp;"_Therm Saved per Unit- MLA",Algorithms!$A:$A,0)),0)*X434</f>
        <v>0</v>
      </c>
      <c r="CP434" s="266">
        <f ca="1">O434*IFERROR(INDEX(Algorithms!$G:$G,MATCH($C434&amp;"_Therm Saved per Unit- MLA",Algorithms!$A:$A,0)),0)*Y434</f>
        <v>0</v>
      </c>
      <c r="CQ434" s="266">
        <f ca="1">P434*IFERROR(INDEX(Algorithms!$G:$G,MATCH($C434&amp;"_Therm Saved per Unit- MLA",Algorithms!$A:$A,0)),0)*Z434</f>
        <v>0</v>
      </c>
      <c r="CR434" s="266">
        <f ca="1">Q434*IFERROR(INDEX(Algorithms!$G:$G,MATCH($C434&amp;"_Therm Saved per Unit- MLA",Algorithms!$A:$A,0)),0)*AA434</f>
        <v>0</v>
      </c>
      <c r="CS434" s="266">
        <f ca="1">IFERROR(INDEX(Algorithms!$G:$G,MATCH($C434&amp;"_Lifetime (years)",Algorithms!$A:$A,0)),0)</f>
        <v>25</v>
      </c>
      <c r="CT434" s="266">
        <f ca="1">IFERROR(INDEX(Algorithms!$G:$G,MATCH($C434&amp;"_Lifetime (years) - Remaining Years",Algorithms!$A:$A,0)),0)</f>
        <v>0</v>
      </c>
      <c r="CU434" s="266">
        <f t="shared" ca="1" si="281"/>
        <v>0</v>
      </c>
      <c r="CV434" s="266">
        <f t="shared" ca="1" si="282"/>
        <v>0</v>
      </c>
      <c r="CW434" s="266">
        <f t="shared" ca="1" si="283"/>
        <v>0</v>
      </c>
      <c r="CX434" s="266">
        <f t="shared" ca="1" si="284"/>
        <v>0</v>
      </c>
    </row>
    <row r="435" spans="2:102" s="47" customFormat="1" ht="18" customHeight="1" x14ac:dyDescent="0.25">
      <c r="B435" t="str">
        <f t="shared" si="285"/>
        <v>NSG_Income Eligible_Multi-Family_Whole Building - Prescriptive_Boiler Reset Controls_0_MF</v>
      </c>
      <c r="C435" s="47" t="str">
        <f t="shared" si="246"/>
        <v>Boiler Reset Controls_0_MF</v>
      </c>
      <c r="D435" s="270" t="s">
        <v>1787</v>
      </c>
      <c r="E435" s="270" t="s">
        <v>325</v>
      </c>
      <c r="F435" s="270" t="s">
        <v>1422</v>
      </c>
      <c r="G435" s="270" t="s">
        <v>1813</v>
      </c>
      <c r="H435" s="270" t="s">
        <v>978</v>
      </c>
      <c r="I435" s="270">
        <v>0</v>
      </c>
      <c r="J435" s="270" t="s">
        <v>553</v>
      </c>
      <c r="K435" s="263">
        <v>1</v>
      </c>
      <c r="L435" s="263" t="str">
        <f ca="1">IFERROR(INDEX(Algorithms!J:J,MATCH($C435&amp;"_Therm Saved per Unit",Algorithms!$A:$A,0)),"n/a")</f>
        <v>4.4.4</v>
      </c>
      <c r="M435" s="263" t="str">
        <f>IFERROR(INDEX('Measure Level Detail'!$N:$N,MATCH($B435,'Measure Level Detail'!$B:$B,0)),0)</f>
        <v>MBH</v>
      </c>
      <c r="N435" s="271">
        <f>IFERROR(INDEX('Measure Level Detail'!$P:$P,MATCH($B435&amp;"_"&amp;N$3,'Measure Level Detail'!$C:$C,0)),0)</f>
        <v>0</v>
      </c>
      <c r="O435" s="271">
        <f>IFERROR(INDEX('Measure Level Detail'!$P:$P,MATCH($B435&amp;"_"&amp;O$3,'Measure Level Detail'!$C:$C,0)),0)</f>
        <v>0</v>
      </c>
      <c r="P435" s="271">
        <f>IFERROR(INDEX('Measure Level Detail'!$P:$P,MATCH($B435&amp;"_"&amp;P$3,'Measure Level Detail'!$C:$C,0)),0)</f>
        <v>0</v>
      </c>
      <c r="Q435" s="271">
        <f>IFERROR(INDEX('Measure Level Detail'!$P:$P,MATCH($B435&amp;"_"&amp;Q$3,'Measure Level Detail'!$C:$C,0)),0)</f>
        <v>0</v>
      </c>
      <c r="R435" s="263" t="str">
        <f ca="1">IFERROR(INDEX(Algorithms!K:K,MATCH($C435&amp;"_Therm Saved per Unit",Algorithms!$A:$A,0)),"n/a")</f>
        <v>CI-HVC-BLRC-V05-240101</v>
      </c>
      <c r="S435" s="262"/>
      <c r="T435" s="272">
        <v>1.3288</v>
      </c>
      <c r="U435" s="272">
        <v>1.3288</v>
      </c>
      <c r="V435" s="272">
        <v>1.3288</v>
      </c>
      <c r="W435" s="272">
        <v>1.3288</v>
      </c>
      <c r="X435" s="273">
        <f>IFERROR(INDEX('Measure Level Detail'!$R:$R,MATCH($B435&amp;"_"&amp;X$3,'Measure Level Detail'!$C:$C,0)),0)</f>
        <v>1</v>
      </c>
      <c r="Y435" s="273">
        <f>IFERROR(INDEX('Measure Level Detail'!$R:$R,MATCH($B435&amp;"_"&amp;Y$3,'Measure Level Detail'!$C:$C,0)),0)</f>
        <v>1</v>
      </c>
      <c r="Z435" s="273">
        <f>IFERROR(INDEX('Measure Level Detail'!$R:$R,MATCH($B435&amp;"_"&amp;Z$3,'Measure Level Detail'!$C:$C,0)),0)</f>
        <v>1</v>
      </c>
      <c r="AA435" s="273">
        <f>IFERROR(INDEX('Measure Level Detail'!$R:$R,MATCH($B435&amp;"_"&amp;AA$3,'Measure Level Detail'!$C:$C,0)),0)</f>
        <v>1</v>
      </c>
      <c r="AB435" s="266">
        <f t="shared" si="247"/>
        <v>0</v>
      </c>
      <c r="AC435" s="266">
        <f t="shared" si="248"/>
        <v>0</v>
      </c>
      <c r="AD435" s="266">
        <f t="shared" si="249"/>
        <v>0</v>
      </c>
      <c r="AE435" s="266">
        <f t="shared" si="250"/>
        <v>0</v>
      </c>
      <c r="AF435" s="266">
        <f t="shared" si="251"/>
        <v>0</v>
      </c>
      <c r="AG435" s="274">
        <v>1</v>
      </c>
      <c r="AH435" s="274">
        <v>1</v>
      </c>
      <c r="AI435" s="274">
        <v>1</v>
      </c>
      <c r="AJ435" s="274">
        <v>1</v>
      </c>
      <c r="AK435" s="274">
        <f t="shared" si="252"/>
        <v>1</v>
      </c>
      <c r="AL435" s="274">
        <f t="shared" si="253"/>
        <v>1</v>
      </c>
      <c r="AM435" s="274">
        <f t="shared" si="254"/>
        <v>1</v>
      </c>
      <c r="AN435" s="274">
        <f t="shared" si="255"/>
        <v>1</v>
      </c>
      <c r="AO435" s="262"/>
      <c r="AP435" s="262"/>
      <c r="AQ435" s="267">
        <v>1.3288</v>
      </c>
      <c r="AR435" s="262"/>
      <c r="AS435" s="266">
        <f t="shared" si="256"/>
        <v>0</v>
      </c>
      <c r="AT435" s="264">
        <f t="shared" si="257"/>
        <v>0</v>
      </c>
      <c r="AU435" s="262"/>
      <c r="AV435" s="262"/>
      <c r="AW435" s="265">
        <v>1.3288</v>
      </c>
      <c r="AX435" s="164" t="s">
        <v>1469</v>
      </c>
      <c r="AY435" s="266">
        <v>0</v>
      </c>
      <c r="AZ435" s="266">
        <f t="shared" si="258"/>
        <v>0</v>
      </c>
      <c r="BA435" s="264">
        <f t="shared" si="259"/>
        <v>0</v>
      </c>
      <c r="BB435" s="262"/>
      <c r="BC435" s="262"/>
      <c r="BD435" s="265">
        <f ca="1">IFERROR(INDEX(Algorithms!$G:$G,MATCH($C435&amp;"_Therm Saved per Unit",Algorithms!$A:$A,0)),0)</f>
        <v>1.3288</v>
      </c>
      <c r="BE435" s="164" t="str">
        <f ca="1">IFERROR(INDEX('v12 Revisions'!$P$29:$P$186, MATCH('Measure-Level Adj Gas'!$L435, 'v12 Revisions'!$D$29:$D$186,0)),"")</f>
        <v/>
      </c>
      <c r="BF435" s="266">
        <f t="shared" ca="1" si="260"/>
        <v>0</v>
      </c>
      <c r="BG435" s="264">
        <f t="shared" ca="1" si="261"/>
        <v>0</v>
      </c>
      <c r="BH435" s="262"/>
      <c r="BI435" s="262"/>
      <c r="BJ435" s="265">
        <f ca="1">IFERROR(INDEX(Algorithms!$G:$G,MATCH($C435&amp;"_Therm Saved per Unit",Algorithms!$A:$A,0)),0)</f>
        <v>1.3288</v>
      </c>
      <c r="BK435" s="164"/>
      <c r="BL435" s="266">
        <f t="shared" ca="1" si="262"/>
        <v>0</v>
      </c>
      <c r="BM435" s="264">
        <f t="shared" ca="1" si="263"/>
        <v>0</v>
      </c>
      <c r="BN435" s="266">
        <f t="shared" si="264"/>
        <v>0</v>
      </c>
      <c r="BO435" s="266">
        <f t="shared" si="265"/>
        <v>0</v>
      </c>
      <c r="BP435" s="266">
        <f t="shared" ca="1" si="266"/>
        <v>0</v>
      </c>
      <c r="BQ435" s="266">
        <f t="shared" ca="1" si="267"/>
        <v>0</v>
      </c>
      <c r="BR435" s="268">
        <f t="shared" ca="1" si="268"/>
        <v>0</v>
      </c>
      <c r="BS435" s="262" t="s">
        <v>99</v>
      </c>
      <c r="BT435" s="277"/>
      <c r="BW435" s="266">
        <f t="shared" si="269"/>
        <v>0</v>
      </c>
      <c r="BX435" s="266">
        <f t="shared" si="270"/>
        <v>0</v>
      </c>
      <c r="BY435" s="266">
        <f t="shared" si="271"/>
        <v>0</v>
      </c>
      <c r="BZ435" s="266">
        <f t="shared" si="272"/>
        <v>0</v>
      </c>
      <c r="CA435" s="266">
        <f ca="1">N435*IFERROR(INDEX(Algorithms!$G:$G,MATCH($C435&amp;"_Therm Saved per Unit- MLA",Algorithms!$A:$A,0)),0)*X435</f>
        <v>0</v>
      </c>
      <c r="CB435" s="266">
        <f ca="1">O435*IFERROR(INDEX(Algorithms!$G:$G,MATCH($C435&amp;"_Therm Saved per Unit- MLA",Algorithms!$A:$A,0)),0)*Y435</f>
        <v>0</v>
      </c>
      <c r="CC435" s="266">
        <f ca="1">P435*IFERROR(INDEX(Algorithms!$G:$G,MATCH($C435&amp;"_Therm Saved per Unit- MLA",Algorithms!$A:$A,0)),0)*Z435</f>
        <v>0</v>
      </c>
      <c r="CD435" s="266">
        <f ca="1">Q435*IFERROR(INDEX(Algorithms!$G:$G,MATCH($C435&amp;"_Therm Saved per Unit- MLA",Algorithms!$A:$A,0)),0)*AA435</f>
        <v>0</v>
      </c>
      <c r="CE435" s="266">
        <f ca="1">IFERROR(INDEX(Algorithms!$G:$G,MATCH($C435&amp;"_Lifetime (years)",Algorithms!$A:$A,0)),0)</f>
        <v>16</v>
      </c>
      <c r="CF435" s="266">
        <f ca="1">IFERROR(INDEX(Algorithms!$G:$G,MATCH($C435&amp;"_Lifetime (years) - Remaining Years",Algorithms!$A:$A,0)),0)</f>
        <v>0</v>
      </c>
      <c r="CG435" s="266">
        <f t="shared" ca="1" si="273"/>
        <v>0</v>
      </c>
      <c r="CH435" s="266">
        <f t="shared" ca="1" si="274"/>
        <v>0</v>
      </c>
      <c r="CI435" s="266">
        <f t="shared" ca="1" si="275"/>
        <v>0</v>
      </c>
      <c r="CJ435" s="266">
        <f t="shared" ca="1" si="276"/>
        <v>0</v>
      </c>
      <c r="CK435" s="266">
        <f t="shared" si="277"/>
        <v>0</v>
      </c>
      <c r="CL435" s="266">
        <f t="shared" si="278"/>
        <v>0</v>
      </c>
      <c r="CM435" s="266">
        <f t="shared" ca="1" si="279"/>
        <v>0</v>
      </c>
      <c r="CN435" s="266">
        <f t="shared" ca="1" si="280"/>
        <v>0</v>
      </c>
      <c r="CO435" s="266">
        <f ca="1">N435*IFERROR(INDEX(Algorithms!$G:$G,MATCH($C435&amp;"_Therm Saved per Unit- MLA",Algorithms!$A:$A,0)),0)*X435</f>
        <v>0</v>
      </c>
      <c r="CP435" s="266">
        <f ca="1">O435*IFERROR(INDEX(Algorithms!$G:$G,MATCH($C435&amp;"_Therm Saved per Unit- MLA",Algorithms!$A:$A,0)),0)*Y435</f>
        <v>0</v>
      </c>
      <c r="CQ435" s="266">
        <f ca="1">P435*IFERROR(INDEX(Algorithms!$G:$G,MATCH($C435&amp;"_Therm Saved per Unit- MLA",Algorithms!$A:$A,0)),0)*Z435</f>
        <v>0</v>
      </c>
      <c r="CR435" s="266">
        <f ca="1">Q435*IFERROR(INDEX(Algorithms!$G:$G,MATCH($C435&amp;"_Therm Saved per Unit- MLA",Algorithms!$A:$A,0)),0)*AA435</f>
        <v>0</v>
      </c>
      <c r="CS435" s="266">
        <f ca="1">IFERROR(INDEX(Algorithms!$G:$G,MATCH($C435&amp;"_Lifetime (years)",Algorithms!$A:$A,0)),0)</f>
        <v>16</v>
      </c>
      <c r="CT435" s="266">
        <f ca="1">IFERROR(INDEX(Algorithms!$G:$G,MATCH($C435&amp;"_Lifetime (years) - Remaining Years",Algorithms!$A:$A,0)),0)</f>
        <v>0</v>
      </c>
      <c r="CU435" s="266">
        <f t="shared" ca="1" si="281"/>
        <v>0</v>
      </c>
      <c r="CV435" s="266">
        <f t="shared" ca="1" si="282"/>
        <v>0</v>
      </c>
      <c r="CW435" s="266">
        <f t="shared" ca="1" si="283"/>
        <v>0</v>
      </c>
      <c r="CX435" s="266">
        <f t="shared" ca="1" si="284"/>
        <v>0</v>
      </c>
    </row>
    <row r="436" spans="2:102" s="47" customFormat="1" ht="18" customHeight="1" x14ac:dyDescent="0.25">
      <c r="B436" t="str">
        <f t="shared" si="285"/>
        <v>NSG_Income Eligible_Multi-Family_Whole Building - Prescriptive_Furnace (In Unit)_&gt;95% AFUE_MF</v>
      </c>
      <c r="C436" s="47" t="str">
        <f t="shared" si="246"/>
        <v>Furnace (In Unit)_&gt;95% AFUE_MF</v>
      </c>
      <c r="D436" s="270" t="s">
        <v>1787</v>
      </c>
      <c r="E436" s="270" t="s">
        <v>325</v>
      </c>
      <c r="F436" s="270" t="s">
        <v>1422</v>
      </c>
      <c r="G436" s="270" t="s">
        <v>1813</v>
      </c>
      <c r="H436" s="270" t="s">
        <v>988</v>
      </c>
      <c r="I436" s="270" t="s">
        <v>982</v>
      </c>
      <c r="J436" s="270" t="s">
        <v>553</v>
      </c>
      <c r="K436" s="263">
        <v>1</v>
      </c>
      <c r="L436" s="263" t="str">
        <f ca="1">IFERROR(INDEX(Algorithms!J:J,MATCH($C436&amp;"_Therm Saved per Unit",Algorithms!$A:$A,0)),"n/a")</f>
        <v>5.3.7</v>
      </c>
      <c r="M436" s="263" t="str">
        <f>IFERROR(INDEX('Measure Level Detail'!$N:$N,MATCH($B436,'Measure Level Detail'!$B:$B,0)),0)</f>
        <v>each</v>
      </c>
      <c r="N436" s="271">
        <f>IFERROR(INDEX('Measure Level Detail'!$P:$P,MATCH($B436&amp;"_"&amp;N$3,'Measure Level Detail'!$C:$C,0)),0)</f>
        <v>0</v>
      </c>
      <c r="O436" s="271">
        <f>IFERROR(INDEX('Measure Level Detail'!$P:$P,MATCH($B436&amp;"_"&amp;O$3,'Measure Level Detail'!$C:$C,0)),0)</f>
        <v>0</v>
      </c>
      <c r="P436" s="271">
        <f>IFERROR(INDEX('Measure Level Detail'!$P:$P,MATCH($B436&amp;"_"&amp;P$3,'Measure Level Detail'!$C:$C,0)),0)</f>
        <v>0</v>
      </c>
      <c r="Q436" s="271">
        <f>IFERROR(INDEX('Measure Level Detail'!$P:$P,MATCH($B436&amp;"_"&amp;Q$3,'Measure Level Detail'!$C:$C,0)),0)</f>
        <v>0</v>
      </c>
      <c r="R436" s="263" t="str">
        <f ca="1">IFERROR(INDEX(Algorithms!K:K,MATCH($C436&amp;"_Therm Saved per Unit",Algorithms!$A:$A,0)),"n/a")</f>
        <v>RS-HVC-GHEF-V13-240101</v>
      </c>
      <c r="S436" s="262"/>
      <c r="T436" s="272">
        <v>185.63073361823353</v>
      </c>
      <c r="U436" s="272">
        <v>185.63073361823353</v>
      </c>
      <c r="V436" s="272">
        <v>185.63073361823353</v>
      </c>
      <c r="W436" s="272">
        <v>185.63073361823353</v>
      </c>
      <c r="X436" s="273">
        <f>IFERROR(INDEX('Measure Level Detail'!$R:$R,MATCH($B436&amp;"_"&amp;X$3,'Measure Level Detail'!$C:$C,0)),0)</f>
        <v>1</v>
      </c>
      <c r="Y436" s="273">
        <f>IFERROR(INDEX('Measure Level Detail'!$R:$R,MATCH($B436&amp;"_"&amp;Y$3,'Measure Level Detail'!$C:$C,0)),0)</f>
        <v>1</v>
      </c>
      <c r="Z436" s="273">
        <f>IFERROR(INDEX('Measure Level Detail'!$R:$R,MATCH($B436&amp;"_"&amp;Z$3,'Measure Level Detail'!$C:$C,0)),0)</f>
        <v>1</v>
      </c>
      <c r="AA436" s="273">
        <f>IFERROR(INDEX('Measure Level Detail'!$R:$R,MATCH($B436&amp;"_"&amp;AA$3,'Measure Level Detail'!$C:$C,0)),0)</f>
        <v>1</v>
      </c>
      <c r="AB436" s="266">
        <f t="shared" si="247"/>
        <v>0</v>
      </c>
      <c r="AC436" s="266">
        <f t="shared" si="248"/>
        <v>0</v>
      </c>
      <c r="AD436" s="266">
        <f t="shared" si="249"/>
        <v>0</v>
      </c>
      <c r="AE436" s="266">
        <f t="shared" si="250"/>
        <v>0</v>
      </c>
      <c r="AF436" s="266">
        <f t="shared" si="251"/>
        <v>0</v>
      </c>
      <c r="AG436" s="274">
        <v>1</v>
      </c>
      <c r="AH436" s="274">
        <v>1</v>
      </c>
      <c r="AI436" s="274">
        <v>1</v>
      </c>
      <c r="AJ436" s="274">
        <v>1</v>
      </c>
      <c r="AK436" s="274">
        <f t="shared" si="252"/>
        <v>1</v>
      </c>
      <c r="AL436" s="274">
        <f t="shared" si="253"/>
        <v>1</v>
      </c>
      <c r="AM436" s="274">
        <f t="shared" si="254"/>
        <v>1</v>
      </c>
      <c r="AN436" s="274">
        <f t="shared" si="255"/>
        <v>1</v>
      </c>
      <c r="AO436" s="262"/>
      <c r="AP436" s="262"/>
      <c r="AQ436" s="267">
        <v>185.63073361823353</v>
      </c>
      <c r="AR436" s="262"/>
      <c r="AS436" s="266">
        <f t="shared" si="256"/>
        <v>0</v>
      </c>
      <c r="AT436" s="264">
        <f t="shared" si="257"/>
        <v>0</v>
      </c>
      <c r="AU436" s="262"/>
      <c r="AV436" s="262"/>
      <c r="AW436" s="265">
        <v>185.63073361823353</v>
      </c>
      <c r="AX436" s="164" t="s">
        <v>1469</v>
      </c>
      <c r="AY436" s="266">
        <v>0</v>
      </c>
      <c r="AZ436" s="266">
        <f t="shared" si="258"/>
        <v>0</v>
      </c>
      <c r="BA436" s="264">
        <f t="shared" si="259"/>
        <v>0</v>
      </c>
      <c r="BB436" s="262"/>
      <c r="BC436" s="262"/>
      <c r="BD436" s="265">
        <f ca="1">IFERROR(INDEX(Algorithms!$G:$G,MATCH($C436&amp;"_Therm Saved per Unit",Algorithms!$A:$A,0)),0)</f>
        <v>185.63073361823353</v>
      </c>
      <c r="BE436" s="164" t="str">
        <f ca="1">IFERROR(INDEX('v12 Revisions'!$P$29:$P$186, MATCH('Measure-Level Adj Gas'!$L436, 'v12 Revisions'!$D$29:$D$186,0)),"")</f>
        <v>n/a - AFUE ≥ 95 eligibility tier, efficient AFUE value already 96.0% in plan.</v>
      </c>
      <c r="BF436" s="266">
        <f t="shared" ca="1" si="260"/>
        <v>0</v>
      </c>
      <c r="BG436" s="264">
        <f t="shared" ca="1" si="261"/>
        <v>0</v>
      </c>
      <c r="BH436" s="262"/>
      <c r="BI436" s="262"/>
      <c r="BJ436" s="265">
        <f ca="1">IFERROR(INDEX(Algorithms!$G:$G,MATCH($C436&amp;"_Therm Saved per Unit",Algorithms!$A:$A,0)),0)</f>
        <v>185.63073361823353</v>
      </c>
      <c r="BK436" s="164"/>
      <c r="BL436" s="266">
        <f t="shared" ca="1" si="262"/>
        <v>0</v>
      </c>
      <c r="BM436" s="264">
        <f t="shared" ca="1" si="263"/>
        <v>0</v>
      </c>
      <c r="BN436" s="266">
        <f t="shared" si="264"/>
        <v>0</v>
      </c>
      <c r="BO436" s="266">
        <f t="shared" si="265"/>
        <v>0</v>
      </c>
      <c r="BP436" s="266">
        <f t="shared" ca="1" si="266"/>
        <v>0</v>
      </c>
      <c r="BQ436" s="266">
        <f t="shared" ca="1" si="267"/>
        <v>0</v>
      </c>
      <c r="BR436" s="268">
        <f t="shared" ca="1" si="268"/>
        <v>0</v>
      </c>
      <c r="BS436" s="262" t="s">
        <v>99</v>
      </c>
      <c r="BT436" s="277"/>
      <c r="BW436" s="266">
        <f t="shared" si="269"/>
        <v>0</v>
      </c>
      <c r="BX436" s="266">
        <f t="shared" si="270"/>
        <v>0</v>
      </c>
      <c r="BY436" s="266">
        <f t="shared" si="271"/>
        <v>0</v>
      </c>
      <c r="BZ436" s="266">
        <f t="shared" si="272"/>
        <v>0</v>
      </c>
      <c r="CA436" s="266">
        <f ca="1">N436*IFERROR(INDEX(Algorithms!$G:$G,MATCH($C436&amp;"_Therm Saved per Unit- MLA",Algorithms!$A:$A,0)),0)*X436</f>
        <v>0</v>
      </c>
      <c r="CB436" s="266">
        <f ca="1">O436*IFERROR(INDEX(Algorithms!$G:$G,MATCH($C436&amp;"_Therm Saved per Unit- MLA",Algorithms!$A:$A,0)),0)*Y436</f>
        <v>0</v>
      </c>
      <c r="CC436" s="266">
        <f ca="1">P436*IFERROR(INDEX(Algorithms!$G:$G,MATCH($C436&amp;"_Therm Saved per Unit- MLA",Algorithms!$A:$A,0)),0)*Z436</f>
        <v>0</v>
      </c>
      <c r="CD436" s="266">
        <f ca="1">Q436*IFERROR(INDEX(Algorithms!$G:$G,MATCH($C436&amp;"_Therm Saved per Unit- MLA",Algorithms!$A:$A,0)),0)*AA436</f>
        <v>0</v>
      </c>
      <c r="CE436" s="266">
        <f ca="1">IFERROR(INDEX(Algorithms!$G:$G,MATCH($C436&amp;"_Lifetime (years)",Algorithms!$A:$A,0)),0)</f>
        <v>20</v>
      </c>
      <c r="CF436" s="266">
        <f ca="1">IFERROR(INDEX(Algorithms!$G:$G,MATCH($C436&amp;"_Lifetime (years) - Remaining Years",Algorithms!$A:$A,0)),0)</f>
        <v>0</v>
      </c>
      <c r="CG436" s="266">
        <f t="shared" ca="1" si="273"/>
        <v>0</v>
      </c>
      <c r="CH436" s="266">
        <f t="shared" ca="1" si="274"/>
        <v>0</v>
      </c>
      <c r="CI436" s="266">
        <f t="shared" ca="1" si="275"/>
        <v>0</v>
      </c>
      <c r="CJ436" s="266">
        <f t="shared" ca="1" si="276"/>
        <v>0</v>
      </c>
      <c r="CK436" s="266">
        <f t="shared" si="277"/>
        <v>0</v>
      </c>
      <c r="CL436" s="266">
        <f t="shared" si="278"/>
        <v>0</v>
      </c>
      <c r="CM436" s="266">
        <f t="shared" ca="1" si="279"/>
        <v>0</v>
      </c>
      <c r="CN436" s="266">
        <f t="shared" ca="1" si="280"/>
        <v>0</v>
      </c>
      <c r="CO436" s="266">
        <f ca="1">N436*IFERROR(INDEX(Algorithms!$G:$G,MATCH($C436&amp;"_Therm Saved per Unit- MLA",Algorithms!$A:$A,0)),0)*X436</f>
        <v>0</v>
      </c>
      <c r="CP436" s="266">
        <f ca="1">O436*IFERROR(INDEX(Algorithms!$G:$G,MATCH($C436&amp;"_Therm Saved per Unit- MLA",Algorithms!$A:$A,0)),0)*Y436</f>
        <v>0</v>
      </c>
      <c r="CQ436" s="266">
        <f ca="1">P436*IFERROR(INDEX(Algorithms!$G:$G,MATCH($C436&amp;"_Therm Saved per Unit- MLA",Algorithms!$A:$A,0)),0)*Z436</f>
        <v>0</v>
      </c>
      <c r="CR436" s="266">
        <f ca="1">Q436*IFERROR(INDEX(Algorithms!$G:$G,MATCH($C436&amp;"_Therm Saved per Unit- MLA",Algorithms!$A:$A,0)),0)*AA436</f>
        <v>0</v>
      </c>
      <c r="CS436" s="266">
        <f ca="1">IFERROR(INDEX(Algorithms!$G:$G,MATCH($C436&amp;"_Lifetime (years)",Algorithms!$A:$A,0)),0)</f>
        <v>20</v>
      </c>
      <c r="CT436" s="266">
        <f ca="1">IFERROR(INDEX(Algorithms!$G:$G,MATCH($C436&amp;"_Lifetime (years) - Remaining Years",Algorithms!$A:$A,0)),0)</f>
        <v>0</v>
      </c>
      <c r="CU436" s="266">
        <f t="shared" ca="1" si="281"/>
        <v>0</v>
      </c>
      <c r="CV436" s="266">
        <f t="shared" ca="1" si="282"/>
        <v>0</v>
      </c>
      <c r="CW436" s="266">
        <f t="shared" ca="1" si="283"/>
        <v>0</v>
      </c>
      <c r="CX436" s="266">
        <f t="shared" ca="1" si="284"/>
        <v>0</v>
      </c>
    </row>
    <row r="437" spans="2:102" s="47" customFormat="1" ht="18" customHeight="1" x14ac:dyDescent="0.25">
      <c r="B437" t="str">
        <f t="shared" si="285"/>
        <v>NSG_Income Eligible_Multi-Family_Whole Building - Prescriptive_Pipe Insulation_Hyd. Boiler Sm ≤1.25"_MF</v>
      </c>
      <c r="C437" s="47" t="str">
        <f t="shared" si="246"/>
        <v>Pipe Insulation_Hyd. Boiler Sm ≤1.25"_MF</v>
      </c>
      <c r="D437" s="270" t="s">
        <v>1787</v>
      </c>
      <c r="E437" s="270" t="s">
        <v>325</v>
      </c>
      <c r="F437" s="270" t="s">
        <v>1422</v>
      </c>
      <c r="G437" s="270" t="s">
        <v>1813</v>
      </c>
      <c r="H437" s="270" t="s">
        <v>404</v>
      </c>
      <c r="I437" s="270" t="s">
        <v>947</v>
      </c>
      <c r="J437" s="270" t="s">
        <v>553</v>
      </c>
      <c r="K437" s="263">
        <v>1</v>
      </c>
      <c r="L437" s="263" t="str">
        <f ca="1">IFERROR(INDEX(Algorithms!J:J,MATCH($C437&amp;"_Therm Saved per Unit",Algorithms!$A:$A,0)),"n/a")</f>
        <v>"3 - Res Pipe Insulation" worksheet</v>
      </c>
      <c r="M437" s="263" t="str">
        <f>IFERROR(INDEX('Measure Level Detail'!$N:$N,MATCH($B437,'Measure Level Detail'!$B:$B,0)),0)</f>
        <v>ft</v>
      </c>
      <c r="N437" s="271">
        <f>IFERROR(INDEX('Measure Level Detail'!$P:$P,MATCH($B437&amp;"_"&amp;N$3,'Measure Level Detail'!$C:$C,0)),0)</f>
        <v>0</v>
      </c>
      <c r="O437" s="271">
        <f>IFERROR(INDEX('Measure Level Detail'!$P:$P,MATCH($B437&amp;"_"&amp;O$3,'Measure Level Detail'!$C:$C,0)),0)</f>
        <v>0</v>
      </c>
      <c r="P437" s="271">
        <f>IFERROR(INDEX('Measure Level Detail'!$P:$P,MATCH($B437&amp;"_"&amp;P$3,'Measure Level Detail'!$C:$C,0)),0)</f>
        <v>0</v>
      </c>
      <c r="Q437" s="271">
        <f>IFERROR(INDEX('Measure Level Detail'!$P:$P,MATCH($B437&amp;"_"&amp;Q$3,'Measure Level Detail'!$C:$C,0)),0)</f>
        <v>0</v>
      </c>
      <c r="R437" s="263">
        <f ca="1">IFERROR(INDEX(Algorithms!K:K,MATCH($C437&amp;"_Therm Saved per Unit",Algorithms!$A:$A,0)),"n/a")</f>
        <v>0</v>
      </c>
      <c r="S437" s="262"/>
      <c r="T437" s="272">
        <v>2.0682348076923076</v>
      </c>
      <c r="U437" s="272">
        <v>2.0682348076923076</v>
      </c>
      <c r="V437" s="272">
        <v>2.0682348076923076</v>
      </c>
      <c r="W437" s="272">
        <v>2.0682348076923076</v>
      </c>
      <c r="X437" s="273">
        <f>IFERROR(INDEX('Measure Level Detail'!$R:$R,MATCH($B437&amp;"_"&amp;X$3,'Measure Level Detail'!$C:$C,0)),0)</f>
        <v>1</v>
      </c>
      <c r="Y437" s="273">
        <f>IFERROR(INDEX('Measure Level Detail'!$R:$R,MATCH($B437&amp;"_"&amp;Y$3,'Measure Level Detail'!$C:$C,0)),0)</f>
        <v>1</v>
      </c>
      <c r="Z437" s="273">
        <f>IFERROR(INDEX('Measure Level Detail'!$R:$R,MATCH($B437&amp;"_"&amp;Z$3,'Measure Level Detail'!$C:$C,0)),0)</f>
        <v>1</v>
      </c>
      <c r="AA437" s="273">
        <f>IFERROR(INDEX('Measure Level Detail'!$R:$R,MATCH($B437&amp;"_"&amp;AA$3,'Measure Level Detail'!$C:$C,0)),0)</f>
        <v>1</v>
      </c>
      <c r="AB437" s="266">
        <f t="shared" si="247"/>
        <v>0</v>
      </c>
      <c r="AC437" s="266">
        <f t="shared" si="248"/>
        <v>0</v>
      </c>
      <c r="AD437" s="266">
        <f t="shared" si="249"/>
        <v>0</v>
      </c>
      <c r="AE437" s="266">
        <f t="shared" si="250"/>
        <v>0</v>
      </c>
      <c r="AF437" s="266">
        <f t="shared" si="251"/>
        <v>0</v>
      </c>
      <c r="AG437" s="274">
        <v>1</v>
      </c>
      <c r="AH437" s="274">
        <v>1</v>
      </c>
      <c r="AI437" s="274">
        <v>1</v>
      </c>
      <c r="AJ437" s="274">
        <v>1</v>
      </c>
      <c r="AK437" s="274">
        <f t="shared" si="252"/>
        <v>1</v>
      </c>
      <c r="AL437" s="274">
        <f t="shared" si="253"/>
        <v>1</v>
      </c>
      <c r="AM437" s="274">
        <f t="shared" si="254"/>
        <v>1</v>
      </c>
      <c r="AN437" s="274">
        <f t="shared" si="255"/>
        <v>1</v>
      </c>
      <c r="AO437" s="262"/>
      <c r="AP437" s="262"/>
      <c r="AQ437" s="267">
        <v>2.0682348076923076</v>
      </c>
      <c r="AR437" s="262"/>
      <c r="AS437" s="266">
        <f t="shared" si="256"/>
        <v>0</v>
      </c>
      <c r="AT437" s="264">
        <f t="shared" si="257"/>
        <v>0</v>
      </c>
      <c r="AU437" s="262"/>
      <c r="AV437" s="262"/>
      <c r="AW437" s="265">
        <v>2.0682348076923076</v>
      </c>
      <c r="AX437" s="164" t="s">
        <v>1469</v>
      </c>
      <c r="AY437" s="266">
        <v>0</v>
      </c>
      <c r="AZ437" s="266">
        <f t="shared" si="258"/>
        <v>0</v>
      </c>
      <c r="BA437" s="264">
        <f t="shared" si="259"/>
        <v>0</v>
      </c>
      <c r="BB437" s="262"/>
      <c r="BC437" s="262"/>
      <c r="BD437" s="265">
        <f ca="1">IFERROR(INDEX(Algorithms!$G:$G,MATCH($C437&amp;"_Therm Saved per Unit",Algorithms!$A:$A,0)),0)</f>
        <v>2.0682348076923076</v>
      </c>
      <c r="BE437" s="164" t="str">
        <f ca="1">IFERROR(INDEX('v12 Revisions'!$P$29:$P$186, MATCH('Measure-Level Adj Gas'!$L437, 'v12 Revisions'!$D$29:$D$186,0)),"")</f>
        <v/>
      </c>
      <c r="BF437" s="266">
        <f t="shared" ca="1" si="260"/>
        <v>0</v>
      </c>
      <c r="BG437" s="264">
        <f t="shared" ca="1" si="261"/>
        <v>0</v>
      </c>
      <c r="BH437" s="262"/>
      <c r="BI437" s="262"/>
      <c r="BJ437" s="265">
        <f ca="1">IFERROR(INDEX(Algorithms!$G:$G,MATCH($C437&amp;"_Therm Saved per Unit",Algorithms!$A:$A,0)),0)</f>
        <v>2.0682348076923076</v>
      </c>
      <c r="BK437" s="164"/>
      <c r="BL437" s="266">
        <f t="shared" ca="1" si="262"/>
        <v>0</v>
      </c>
      <c r="BM437" s="264">
        <f t="shared" ca="1" si="263"/>
        <v>0</v>
      </c>
      <c r="BN437" s="266">
        <f t="shared" si="264"/>
        <v>0</v>
      </c>
      <c r="BO437" s="266">
        <f t="shared" si="265"/>
        <v>0</v>
      </c>
      <c r="BP437" s="266">
        <f t="shared" ca="1" si="266"/>
        <v>0</v>
      </c>
      <c r="BQ437" s="266">
        <f t="shared" ca="1" si="267"/>
        <v>0</v>
      </c>
      <c r="BR437" s="268">
        <f t="shared" ca="1" si="268"/>
        <v>0</v>
      </c>
      <c r="BS437" s="262" t="s">
        <v>99</v>
      </c>
      <c r="BT437" s="277"/>
      <c r="BW437" s="266">
        <f t="shared" si="269"/>
        <v>0</v>
      </c>
      <c r="BX437" s="266">
        <f t="shared" si="270"/>
        <v>0</v>
      </c>
      <c r="BY437" s="266">
        <f t="shared" si="271"/>
        <v>0</v>
      </c>
      <c r="BZ437" s="266">
        <f t="shared" si="272"/>
        <v>0</v>
      </c>
      <c r="CA437" s="266">
        <f ca="1">N437*IFERROR(INDEX(Algorithms!$G:$G,MATCH($C437&amp;"_Therm Saved per Unit- MLA",Algorithms!$A:$A,0)),0)*X437</f>
        <v>0</v>
      </c>
      <c r="CB437" s="266">
        <f ca="1">O437*IFERROR(INDEX(Algorithms!$G:$G,MATCH($C437&amp;"_Therm Saved per Unit- MLA",Algorithms!$A:$A,0)),0)*Y437</f>
        <v>0</v>
      </c>
      <c r="CC437" s="266">
        <f ca="1">P437*IFERROR(INDEX(Algorithms!$G:$G,MATCH($C437&amp;"_Therm Saved per Unit- MLA",Algorithms!$A:$A,0)),0)*Z437</f>
        <v>0</v>
      </c>
      <c r="CD437" s="266">
        <f ca="1">Q437*IFERROR(INDEX(Algorithms!$G:$G,MATCH($C437&amp;"_Therm Saved per Unit- MLA",Algorithms!$A:$A,0)),0)*AA437</f>
        <v>0</v>
      </c>
      <c r="CE437" s="266">
        <f ca="1">IFERROR(INDEX(Algorithms!$G:$G,MATCH($C437&amp;"_Lifetime (years)",Algorithms!$A:$A,0)),0)</f>
        <v>15</v>
      </c>
      <c r="CF437" s="266">
        <f ca="1">IFERROR(INDEX(Algorithms!$G:$G,MATCH($C437&amp;"_Lifetime (years) - Remaining Years",Algorithms!$A:$A,0)),0)</f>
        <v>0</v>
      </c>
      <c r="CG437" s="266">
        <f t="shared" ca="1" si="273"/>
        <v>0</v>
      </c>
      <c r="CH437" s="266">
        <f t="shared" ca="1" si="274"/>
        <v>0</v>
      </c>
      <c r="CI437" s="266">
        <f t="shared" ca="1" si="275"/>
        <v>0</v>
      </c>
      <c r="CJ437" s="266">
        <f t="shared" ca="1" si="276"/>
        <v>0</v>
      </c>
      <c r="CK437" s="266">
        <f t="shared" si="277"/>
        <v>0</v>
      </c>
      <c r="CL437" s="266">
        <f t="shared" si="278"/>
        <v>0</v>
      </c>
      <c r="CM437" s="266">
        <f t="shared" ca="1" si="279"/>
        <v>0</v>
      </c>
      <c r="CN437" s="266">
        <f t="shared" ca="1" si="280"/>
        <v>0</v>
      </c>
      <c r="CO437" s="266">
        <f ca="1">N437*IFERROR(INDEX(Algorithms!$G:$G,MATCH($C437&amp;"_Therm Saved per Unit- MLA",Algorithms!$A:$A,0)),0)*X437</f>
        <v>0</v>
      </c>
      <c r="CP437" s="266">
        <f ca="1">O437*IFERROR(INDEX(Algorithms!$G:$G,MATCH($C437&amp;"_Therm Saved per Unit- MLA",Algorithms!$A:$A,0)),0)*Y437</f>
        <v>0</v>
      </c>
      <c r="CQ437" s="266">
        <f ca="1">P437*IFERROR(INDEX(Algorithms!$G:$G,MATCH($C437&amp;"_Therm Saved per Unit- MLA",Algorithms!$A:$A,0)),0)*Z437</f>
        <v>0</v>
      </c>
      <c r="CR437" s="266">
        <f ca="1">Q437*IFERROR(INDEX(Algorithms!$G:$G,MATCH($C437&amp;"_Therm Saved per Unit- MLA",Algorithms!$A:$A,0)),0)*AA437</f>
        <v>0</v>
      </c>
      <c r="CS437" s="266">
        <f ca="1">IFERROR(INDEX(Algorithms!$G:$G,MATCH($C437&amp;"_Lifetime (years)",Algorithms!$A:$A,0)),0)</f>
        <v>15</v>
      </c>
      <c r="CT437" s="266">
        <f ca="1">IFERROR(INDEX(Algorithms!$G:$G,MATCH($C437&amp;"_Lifetime (years) - Remaining Years",Algorithms!$A:$A,0)),0)</f>
        <v>0</v>
      </c>
      <c r="CU437" s="266">
        <f t="shared" ca="1" si="281"/>
        <v>0</v>
      </c>
      <c r="CV437" s="266">
        <f t="shared" ca="1" si="282"/>
        <v>0</v>
      </c>
      <c r="CW437" s="266">
        <f t="shared" ca="1" si="283"/>
        <v>0</v>
      </c>
      <c r="CX437" s="266">
        <f t="shared" ca="1" si="284"/>
        <v>0</v>
      </c>
    </row>
    <row r="438" spans="2:102" s="47" customFormat="1" ht="18" customHeight="1" x14ac:dyDescent="0.25">
      <c r="B438" t="str">
        <f t="shared" si="285"/>
        <v>NSG_Income Eligible_Multi-Family_Whole Building - Prescriptive_Pipe Insulation_Hyd. Boiler Med 1.25-2"_MF</v>
      </c>
      <c r="C438" s="47" t="str">
        <f t="shared" si="246"/>
        <v>Pipe Insulation_Hyd. Boiler Med 1.25-2"_MF</v>
      </c>
      <c r="D438" s="270" t="s">
        <v>1787</v>
      </c>
      <c r="E438" s="270" t="s">
        <v>325</v>
      </c>
      <c r="F438" s="270" t="s">
        <v>1422</v>
      </c>
      <c r="G438" s="270" t="s">
        <v>1813</v>
      </c>
      <c r="H438" s="270" t="s">
        <v>404</v>
      </c>
      <c r="I438" s="270" t="s">
        <v>951</v>
      </c>
      <c r="J438" s="270" t="s">
        <v>553</v>
      </c>
      <c r="K438" s="263">
        <v>1</v>
      </c>
      <c r="L438" s="263" t="str">
        <f ca="1">IFERROR(INDEX(Algorithms!J:J,MATCH($C438&amp;"_Therm Saved per Unit",Algorithms!$A:$A,0)),"n/a")</f>
        <v>"3 - Res Pipe Insulation" worksheet</v>
      </c>
      <c r="M438" s="263" t="str">
        <f>IFERROR(INDEX('Measure Level Detail'!$N:$N,MATCH($B438,'Measure Level Detail'!$B:$B,0)),0)</f>
        <v>ft</v>
      </c>
      <c r="N438" s="271">
        <f>IFERROR(INDEX('Measure Level Detail'!$P:$P,MATCH($B438&amp;"_"&amp;N$3,'Measure Level Detail'!$C:$C,0)),0)</f>
        <v>0</v>
      </c>
      <c r="O438" s="271">
        <f>IFERROR(INDEX('Measure Level Detail'!$P:$P,MATCH($B438&amp;"_"&amp;O$3,'Measure Level Detail'!$C:$C,0)),0)</f>
        <v>0</v>
      </c>
      <c r="P438" s="271">
        <f>IFERROR(INDEX('Measure Level Detail'!$P:$P,MATCH($B438&amp;"_"&amp;P$3,'Measure Level Detail'!$C:$C,0)),0)</f>
        <v>0</v>
      </c>
      <c r="Q438" s="271">
        <f>IFERROR(INDEX('Measure Level Detail'!$P:$P,MATCH($B438&amp;"_"&amp;Q$3,'Measure Level Detail'!$C:$C,0)),0)</f>
        <v>0</v>
      </c>
      <c r="R438" s="263">
        <f ca="1">IFERROR(INDEX(Algorithms!K:K,MATCH($C438&amp;"_Therm Saved per Unit",Algorithms!$A:$A,0)),"n/a")</f>
        <v>0</v>
      </c>
      <c r="S438" s="262"/>
      <c r="T438" s="272">
        <v>3.6034773504273505</v>
      </c>
      <c r="U438" s="272">
        <v>3.6034773504273505</v>
      </c>
      <c r="V438" s="272">
        <v>3.6034773504273505</v>
      </c>
      <c r="W438" s="272">
        <v>3.6034773504273505</v>
      </c>
      <c r="X438" s="273">
        <f>IFERROR(INDEX('Measure Level Detail'!$R:$R,MATCH($B438&amp;"_"&amp;X$3,'Measure Level Detail'!$C:$C,0)),0)</f>
        <v>1</v>
      </c>
      <c r="Y438" s="273">
        <f>IFERROR(INDEX('Measure Level Detail'!$R:$R,MATCH($B438&amp;"_"&amp;Y$3,'Measure Level Detail'!$C:$C,0)),0)</f>
        <v>1</v>
      </c>
      <c r="Z438" s="273">
        <f>IFERROR(INDEX('Measure Level Detail'!$R:$R,MATCH($B438&amp;"_"&amp;Z$3,'Measure Level Detail'!$C:$C,0)),0)</f>
        <v>1</v>
      </c>
      <c r="AA438" s="273">
        <f>IFERROR(INDEX('Measure Level Detail'!$R:$R,MATCH($B438&amp;"_"&amp;AA$3,'Measure Level Detail'!$C:$C,0)),0)</f>
        <v>1</v>
      </c>
      <c r="AB438" s="266">
        <f t="shared" si="247"/>
        <v>0</v>
      </c>
      <c r="AC438" s="266">
        <f t="shared" si="248"/>
        <v>0</v>
      </c>
      <c r="AD438" s="266">
        <f t="shared" si="249"/>
        <v>0</v>
      </c>
      <c r="AE438" s="266">
        <f t="shared" si="250"/>
        <v>0</v>
      </c>
      <c r="AF438" s="266">
        <f t="shared" si="251"/>
        <v>0</v>
      </c>
      <c r="AG438" s="274">
        <v>1</v>
      </c>
      <c r="AH438" s="274">
        <v>1</v>
      </c>
      <c r="AI438" s="274">
        <v>1</v>
      </c>
      <c r="AJ438" s="274">
        <v>1</v>
      </c>
      <c r="AK438" s="274">
        <f t="shared" si="252"/>
        <v>1</v>
      </c>
      <c r="AL438" s="274">
        <f t="shared" si="253"/>
        <v>1</v>
      </c>
      <c r="AM438" s="274">
        <f t="shared" si="254"/>
        <v>1</v>
      </c>
      <c r="AN438" s="274">
        <f t="shared" si="255"/>
        <v>1</v>
      </c>
      <c r="AO438" s="262"/>
      <c r="AP438" s="262"/>
      <c r="AQ438" s="267">
        <v>3.6034773504273505</v>
      </c>
      <c r="AR438" s="262"/>
      <c r="AS438" s="266">
        <f t="shared" si="256"/>
        <v>0</v>
      </c>
      <c r="AT438" s="264">
        <f t="shared" si="257"/>
        <v>0</v>
      </c>
      <c r="AU438" s="262"/>
      <c r="AV438" s="262"/>
      <c r="AW438" s="265">
        <v>3.6034773504273505</v>
      </c>
      <c r="AX438" s="164" t="s">
        <v>1469</v>
      </c>
      <c r="AY438" s="266">
        <v>0</v>
      </c>
      <c r="AZ438" s="266">
        <f t="shared" si="258"/>
        <v>0</v>
      </c>
      <c r="BA438" s="264">
        <f t="shared" si="259"/>
        <v>0</v>
      </c>
      <c r="BB438" s="262"/>
      <c r="BC438" s="262"/>
      <c r="BD438" s="265">
        <f ca="1">IFERROR(INDEX(Algorithms!$G:$G,MATCH($C438&amp;"_Therm Saved per Unit",Algorithms!$A:$A,0)),0)</f>
        <v>3.6034773504273505</v>
      </c>
      <c r="BE438" s="164" t="str">
        <f ca="1">IFERROR(INDEX('v12 Revisions'!$P$29:$P$186, MATCH('Measure-Level Adj Gas'!$L438, 'v12 Revisions'!$D$29:$D$186,0)),"")</f>
        <v/>
      </c>
      <c r="BF438" s="266">
        <f t="shared" ca="1" si="260"/>
        <v>0</v>
      </c>
      <c r="BG438" s="264">
        <f t="shared" ca="1" si="261"/>
        <v>0</v>
      </c>
      <c r="BH438" s="262"/>
      <c r="BI438" s="262"/>
      <c r="BJ438" s="265">
        <f ca="1">IFERROR(INDEX(Algorithms!$G:$G,MATCH($C438&amp;"_Therm Saved per Unit",Algorithms!$A:$A,0)),0)</f>
        <v>3.6034773504273505</v>
      </c>
      <c r="BK438" s="164"/>
      <c r="BL438" s="266">
        <f t="shared" ca="1" si="262"/>
        <v>0</v>
      </c>
      <c r="BM438" s="264">
        <f t="shared" ca="1" si="263"/>
        <v>0</v>
      </c>
      <c r="BN438" s="266">
        <f t="shared" si="264"/>
        <v>0</v>
      </c>
      <c r="BO438" s="266">
        <f t="shared" si="265"/>
        <v>0</v>
      </c>
      <c r="BP438" s="266">
        <f t="shared" ca="1" si="266"/>
        <v>0</v>
      </c>
      <c r="BQ438" s="266">
        <f t="shared" ca="1" si="267"/>
        <v>0</v>
      </c>
      <c r="BR438" s="268">
        <f t="shared" ca="1" si="268"/>
        <v>0</v>
      </c>
      <c r="BS438" s="262" t="s">
        <v>99</v>
      </c>
      <c r="BT438" s="277"/>
      <c r="BW438" s="266">
        <f t="shared" si="269"/>
        <v>0</v>
      </c>
      <c r="BX438" s="266">
        <f t="shared" si="270"/>
        <v>0</v>
      </c>
      <c r="BY438" s="266">
        <f t="shared" si="271"/>
        <v>0</v>
      </c>
      <c r="BZ438" s="266">
        <f t="shared" si="272"/>
        <v>0</v>
      </c>
      <c r="CA438" s="266">
        <f ca="1">N438*IFERROR(INDEX(Algorithms!$G:$G,MATCH($C438&amp;"_Therm Saved per Unit- MLA",Algorithms!$A:$A,0)),0)*X438</f>
        <v>0</v>
      </c>
      <c r="CB438" s="266">
        <f ca="1">O438*IFERROR(INDEX(Algorithms!$G:$G,MATCH($C438&amp;"_Therm Saved per Unit- MLA",Algorithms!$A:$A,0)),0)*Y438</f>
        <v>0</v>
      </c>
      <c r="CC438" s="266">
        <f ca="1">P438*IFERROR(INDEX(Algorithms!$G:$G,MATCH($C438&amp;"_Therm Saved per Unit- MLA",Algorithms!$A:$A,0)),0)*Z438</f>
        <v>0</v>
      </c>
      <c r="CD438" s="266">
        <f ca="1">Q438*IFERROR(INDEX(Algorithms!$G:$G,MATCH($C438&amp;"_Therm Saved per Unit- MLA",Algorithms!$A:$A,0)),0)*AA438</f>
        <v>0</v>
      </c>
      <c r="CE438" s="266">
        <f ca="1">IFERROR(INDEX(Algorithms!$G:$G,MATCH($C438&amp;"_Lifetime (years)",Algorithms!$A:$A,0)),0)</f>
        <v>15</v>
      </c>
      <c r="CF438" s="266">
        <f ca="1">IFERROR(INDEX(Algorithms!$G:$G,MATCH($C438&amp;"_Lifetime (years) - Remaining Years",Algorithms!$A:$A,0)),0)</f>
        <v>0</v>
      </c>
      <c r="CG438" s="266">
        <f t="shared" ca="1" si="273"/>
        <v>0</v>
      </c>
      <c r="CH438" s="266">
        <f t="shared" ca="1" si="274"/>
        <v>0</v>
      </c>
      <c r="CI438" s="266">
        <f t="shared" ca="1" si="275"/>
        <v>0</v>
      </c>
      <c r="CJ438" s="266">
        <f t="shared" ca="1" si="276"/>
        <v>0</v>
      </c>
      <c r="CK438" s="266">
        <f t="shared" si="277"/>
        <v>0</v>
      </c>
      <c r="CL438" s="266">
        <f t="shared" si="278"/>
        <v>0</v>
      </c>
      <c r="CM438" s="266">
        <f t="shared" ca="1" si="279"/>
        <v>0</v>
      </c>
      <c r="CN438" s="266">
        <f t="shared" ca="1" si="280"/>
        <v>0</v>
      </c>
      <c r="CO438" s="266">
        <f ca="1">N438*IFERROR(INDEX(Algorithms!$G:$G,MATCH($C438&amp;"_Therm Saved per Unit- MLA",Algorithms!$A:$A,0)),0)*X438</f>
        <v>0</v>
      </c>
      <c r="CP438" s="266">
        <f ca="1">O438*IFERROR(INDEX(Algorithms!$G:$G,MATCH($C438&amp;"_Therm Saved per Unit- MLA",Algorithms!$A:$A,0)),0)*Y438</f>
        <v>0</v>
      </c>
      <c r="CQ438" s="266">
        <f ca="1">P438*IFERROR(INDEX(Algorithms!$G:$G,MATCH($C438&amp;"_Therm Saved per Unit- MLA",Algorithms!$A:$A,0)),0)*Z438</f>
        <v>0</v>
      </c>
      <c r="CR438" s="266">
        <f ca="1">Q438*IFERROR(INDEX(Algorithms!$G:$G,MATCH($C438&amp;"_Therm Saved per Unit- MLA",Algorithms!$A:$A,0)),0)*AA438</f>
        <v>0</v>
      </c>
      <c r="CS438" s="266">
        <f ca="1">IFERROR(INDEX(Algorithms!$G:$G,MATCH($C438&amp;"_Lifetime (years)",Algorithms!$A:$A,0)),0)</f>
        <v>15</v>
      </c>
      <c r="CT438" s="266">
        <f ca="1">IFERROR(INDEX(Algorithms!$G:$G,MATCH($C438&amp;"_Lifetime (years) - Remaining Years",Algorithms!$A:$A,0)),0)</f>
        <v>0</v>
      </c>
      <c r="CU438" s="266">
        <f t="shared" ca="1" si="281"/>
        <v>0</v>
      </c>
      <c r="CV438" s="266">
        <f t="shared" ca="1" si="282"/>
        <v>0</v>
      </c>
      <c r="CW438" s="266">
        <f t="shared" ca="1" si="283"/>
        <v>0</v>
      </c>
      <c r="CX438" s="266">
        <f t="shared" ca="1" si="284"/>
        <v>0</v>
      </c>
    </row>
    <row r="439" spans="2:102" s="47" customFormat="1" ht="18" customHeight="1" x14ac:dyDescent="0.25">
      <c r="B439" t="str">
        <f t="shared" si="285"/>
        <v>NSG_Income Eligible_Multi-Family_Whole Building - Prescriptive_Pipe Insulation_Hyd. Boiler Large ≥2"_MF</v>
      </c>
      <c r="C439" s="47" t="str">
        <f t="shared" si="246"/>
        <v>Pipe Insulation_Hyd. Boiler Large ≥2"_MF</v>
      </c>
      <c r="D439" s="270" t="s">
        <v>1787</v>
      </c>
      <c r="E439" s="270" t="s">
        <v>325</v>
      </c>
      <c r="F439" s="270" t="s">
        <v>1422</v>
      </c>
      <c r="G439" s="270" t="s">
        <v>1813</v>
      </c>
      <c r="H439" s="270" t="s">
        <v>404</v>
      </c>
      <c r="I439" s="270" t="s">
        <v>952</v>
      </c>
      <c r="J439" s="270" t="s">
        <v>553</v>
      </c>
      <c r="K439" s="263">
        <v>1</v>
      </c>
      <c r="L439" s="263" t="str">
        <f ca="1">IFERROR(INDEX(Algorithms!J:J,MATCH($C439&amp;"_Therm Saved per Unit",Algorithms!$A:$A,0)),"n/a")</f>
        <v>"3 - Res Pipe Insulation" worksheet</v>
      </c>
      <c r="M439" s="263" t="str">
        <f>IFERROR(INDEX('Measure Level Detail'!$N:$N,MATCH($B439,'Measure Level Detail'!$B:$B,0)),0)</f>
        <v>ft</v>
      </c>
      <c r="N439" s="271">
        <f>IFERROR(INDEX('Measure Level Detail'!$P:$P,MATCH($B439&amp;"_"&amp;N$3,'Measure Level Detail'!$C:$C,0)),0)</f>
        <v>0</v>
      </c>
      <c r="O439" s="271">
        <f>IFERROR(INDEX('Measure Level Detail'!$P:$P,MATCH($B439&amp;"_"&amp;O$3,'Measure Level Detail'!$C:$C,0)),0)</f>
        <v>0</v>
      </c>
      <c r="P439" s="271">
        <f>IFERROR(INDEX('Measure Level Detail'!$P:$P,MATCH($B439&amp;"_"&amp;P$3,'Measure Level Detail'!$C:$C,0)),0)</f>
        <v>0</v>
      </c>
      <c r="Q439" s="271">
        <f>IFERROR(INDEX('Measure Level Detail'!$P:$P,MATCH($B439&amp;"_"&amp;Q$3,'Measure Level Detail'!$C:$C,0)),0)</f>
        <v>0</v>
      </c>
      <c r="R439" s="263">
        <f ca="1">IFERROR(INDEX(Algorithms!K:K,MATCH($C439&amp;"_Therm Saved per Unit",Algorithms!$A:$A,0)),"n/a")</f>
        <v>0</v>
      </c>
      <c r="S439" s="262"/>
      <c r="T439" s="272">
        <v>6.1867824786324785</v>
      </c>
      <c r="U439" s="272">
        <v>6.1867824786324785</v>
      </c>
      <c r="V439" s="272">
        <v>6.1867824786324785</v>
      </c>
      <c r="W439" s="272">
        <v>6.1867824786324785</v>
      </c>
      <c r="X439" s="273">
        <f>IFERROR(INDEX('Measure Level Detail'!$R:$R,MATCH($B439&amp;"_"&amp;X$3,'Measure Level Detail'!$C:$C,0)),0)</f>
        <v>1</v>
      </c>
      <c r="Y439" s="273">
        <f>IFERROR(INDEX('Measure Level Detail'!$R:$R,MATCH($B439&amp;"_"&amp;Y$3,'Measure Level Detail'!$C:$C,0)),0)</f>
        <v>1</v>
      </c>
      <c r="Z439" s="273">
        <f>IFERROR(INDEX('Measure Level Detail'!$R:$R,MATCH($B439&amp;"_"&amp;Z$3,'Measure Level Detail'!$C:$C,0)),0)</f>
        <v>1</v>
      </c>
      <c r="AA439" s="273">
        <f>IFERROR(INDEX('Measure Level Detail'!$R:$R,MATCH($B439&amp;"_"&amp;AA$3,'Measure Level Detail'!$C:$C,0)),0)</f>
        <v>1</v>
      </c>
      <c r="AB439" s="266">
        <f t="shared" si="247"/>
        <v>0</v>
      </c>
      <c r="AC439" s="266">
        <f t="shared" si="248"/>
        <v>0</v>
      </c>
      <c r="AD439" s="266">
        <f t="shared" si="249"/>
        <v>0</v>
      </c>
      <c r="AE439" s="266">
        <f t="shared" si="250"/>
        <v>0</v>
      </c>
      <c r="AF439" s="266">
        <f t="shared" si="251"/>
        <v>0</v>
      </c>
      <c r="AG439" s="274">
        <v>1</v>
      </c>
      <c r="AH439" s="274">
        <v>1</v>
      </c>
      <c r="AI439" s="274">
        <v>1</v>
      </c>
      <c r="AJ439" s="274">
        <v>1</v>
      </c>
      <c r="AK439" s="274">
        <f t="shared" si="252"/>
        <v>1</v>
      </c>
      <c r="AL439" s="274">
        <f t="shared" si="253"/>
        <v>1</v>
      </c>
      <c r="AM439" s="274">
        <f t="shared" si="254"/>
        <v>1</v>
      </c>
      <c r="AN439" s="274">
        <f t="shared" si="255"/>
        <v>1</v>
      </c>
      <c r="AO439" s="262"/>
      <c r="AP439" s="262"/>
      <c r="AQ439" s="267">
        <v>6.1867824786324785</v>
      </c>
      <c r="AR439" s="262"/>
      <c r="AS439" s="266">
        <f t="shared" si="256"/>
        <v>0</v>
      </c>
      <c r="AT439" s="264">
        <f t="shared" si="257"/>
        <v>0</v>
      </c>
      <c r="AU439" s="262"/>
      <c r="AV439" s="262"/>
      <c r="AW439" s="265">
        <v>6.1867824786324785</v>
      </c>
      <c r="AX439" s="164" t="s">
        <v>1469</v>
      </c>
      <c r="AY439" s="266">
        <v>0</v>
      </c>
      <c r="AZ439" s="266">
        <f t="shared" si="258"/>
        <v>0</v>
      </c>
      <c r="BA439" s="264">
        <f t="shared" si="259"/>
        <v>0</v>
      </c>
      <c r="BB439" s="262"/>
      <c r="BC439" s="262"/>
      <c r="BD439" s="265">
        <f ca="1">IFERROR(INDEX(Algorithms!$G:$G,MATCH($C439&amp;"_Therm Saved per Unit",Algorithms!$A:$A,0)),0)</f>
        <v>6.1867824786324785</v>
      </c>
      <c r="BE439" s="164" t="str">
        <f ca="1">IFERROR(INDEX('v12 Revisions'!$P$29:$P$186, MATCH('Measure-Level Adj Gas'!$L439, 'v12 Revisions'!$D$29:$D$186,0)),"")</f>
        <v/>
      </c>
      <c r="BF439" s="266">
        <f t="shared" ca="1" si="260"/>
        <v>0</v>
      </c>
      <c r="BG439" s="264">
        <f t="shared" ca="1" si="261"/>
        <v>0</v>
      </c>
      <c r="BH439" s="262"/>
      <c r="BI439" s="262"/>
      <c r="BJ439" s="265">
        <f ca="1">IFERROR(INDEX(Algorithms!$G:$G,MATCH($C439&amp;"_Therm Saved per Unit",Algorithms!$A:$A,0)),0)</f>
        <v>6.1867824786324785</v>
      </c>
      <c r="BK439" s="164"/>
      <c r="BL439" s="266">
        <f t="shared" ca="1" si="262"/>
        <v>0</v>
      </c>
      <c r="BM439" s="264">
        <f t="shared" ca="1" si="263"/>
        <v>0</v>
      </c>
      <c r="BN439" s="266">
        <f t="shared" si="264"/>
        <v>0</v>
      </c>
      <c r="BO439" s="266">
        <f t="shared" si="265"/>
        <v>0</v>
      </c>
      <c r="BP439" s="266">
        <f t="shared" ca="1" si="266"/>
        <v>0</v>
      </c>
      <c r="BQ439" s="266">
        <f t="shared" ca="1" si="267"/>
        <v>0</v>
      </c>
      <c r="BR439" s="268">
        <f t="shared" ca="1" si="268"/>
        <v>0</v>
      </c>
      <c r="BS439" s="262" t="s">
        <v>99</v>
      </c>
      <c r="BT439" s="277"/>
      <c r="BW439" s="266">
        <f t="shared" si="269"/>
        <v>0</v>
      </c>
      <c r="BX439" s="266">
        <f t="shared" si="270"/>
        <v>0</v>
      </c>
      <c r="BY439" s="266">
        <f t="shared" si="271"/>
        <v>0</v>
      </c>
      <c r="BZ439" s="266">
        <f t="shared" si="272"/>
        <v>0</v>
      </c>
      <c r="CA439" s="266">
        <f ca="1">N439*IFERROR(INDEX(Algorithms!$G:$G,MATCH($C439&amp;"_Therm Saved per Unit- MLA",Algorithms!$A:$A,0)),0)*X439</f>
        <v>0</v>
      </c>
      <c r="CB439" s="266">
        <f ca="1">O439*IFERROR(INDEX(Algorithms!$G:$G,MATCH($C439&amp;"_Therm Saved per Unit- MLA",Algorithms!$A:$A,0)),0)*Y439</f>
        <v>0</v>
      </c>
      <c r="CC439" s="266">
        <f ca="1">P439*IFERROR(INDEX(Algorithms!$G:$G,MATCH($C439&amp;"_Therm Saved per Unit- MLA",Algorithms!$A:$A,0)),0)*Z439</f>
        <v>0</v>
      </c>
      <c r="CD439" s="266">
        <f ca="1">Q439*IFERROR(INDEX(Algorithms!$G:$G,MATCH($C439&amp;"_Therm Saved per Unit- MLA",Algorithms!$A:$A,0)),0)*AA439</f>
        <v>0</v>
      </c>
      <c r="CE439" s="266">
        <f ca="1">IFERROR(INDEX(Algorithms!$G:$G,MATCH($C439&amp;"_Lifetime (years)",Algorithms!$A:$A,0)),0)</f>
        <v>15</v>
      </c>
      <c r="CF439" s="266">
        <f ca="1">IFERROR(INDEX(Algorithms!$G:$G,MATCH($C439&amp;"_Lifetime (years) - Remaining Years",Algorithms!$A:$A,0)),0)</f>
        <v>0</v>
      </c>
      <c r="CG439" s="266">
        <f t="shared" ca="1" si="273"/>
        <v>0</v>
      </c>
      <c r="CH439" s="266">
        <f t="shared" ca="1" si="274"/>
        <v>0</v>
      </c>
      <c r="CI439" s="266">
        <f t="shared" ca="1" si="275"/>
        <v>0</v>
      </c>
      <c r="CJ439" s="266">
        <f t="shared" ca="1" si="276"/>
        <v>0</v>
      </c>
      <c r="CK439" s="266">
        <f t="shared" si="277"/>
        <v>0</v>
      </c>
      <c r="CL439" s="266">
        <f t="shared" si="278"/>
        <v>0</v>
      </c>
      <c r="CM439" s="266">
        <f t="shared" ca="1" si="279"/>
        <v>0</v>
      </c>
      <c r="CN439" s="266">
        <f t="shared" ca="1" si="280"/>
        <v>0</v>
      </c>
      <c r="CO439" s="266">
        <f ca="1">N439*IFERROR(INDEX(Algorithms!$G:$G,MATCH($C439&amp;"_Therm Saved per Unit- MLA",Algorithms!$A:$A,0)),0)*X439</f>
        <v>0</v>
      </c>
      <c r="CP439" s="266">
        <f ca="1">O439*IFERROR(INDEX(Algorithms!$G:$G,MATCH($C439&amp;"_Therm Saved per Unit- MLA",Algorithms!$A:$A,0)),0)*Y439</f>
        <v>0</v>
      </c>
      <c r="CQ439" s="266">
        <f ca="1">P439*IFERROR(INDEX(Algorithms!$G:$G,MATCH($C439&amp;"_Therm Saved per Unit- MLA",Algorithms!$A:$A,0)),0)*Z439</f>
        <v>0</v>
      </c>
      <c r="CR439" s="266">
        <f ca="1">Q439*IFERROR(INDEX(Algorithms!$G:$G,MATCH($C439&amp;"_Therm Saved per Unit- MLA",Algorithms!$A:$A,0)),0)*AA439</f>
        <v>0</v>
      </c>
      <c r="CS439" s="266">
        <f ca="1">IFERROR(INDEX(Algorithms!$G:$G,MATCH($C439&amp;"_Lifetime (years)",Algorithms!$A:$A,0)),0)</f>
        <v>15</v>
      </c>
      <c r="CT439" s="266">
        <f ca="1">IFERROR(INDEX(Algorithms!$G:$G,MATCH($C439&amp;"_Lifetime (years) - Remaining Years",Algorithms!$A:$A,0)),0)</f>
        <v>0</v>
      </c>
      <c r="CU439" s="266">
        <f t="shared" ca="1" si="281"/>
        <v>0</v>
      </c>
      <c r="CV439" s="266">
        <f t="shared" ca="1" si="282"/>
        <v>0</v>
      </c>
      <c r="CW439" s="266">
        <f t="shared" ca="1" si="283"/>
        <v>0</v>
      </c>
      <c r="CX439" s="266">
        <f t="shared" ca="1" si="284"/>
        <v>0</v>
      </c>
    </row>
    <row r="440" spans="2:102" s="47" customFormat="1" ht="18" customHeight="1" x14ac:dyDescent="0.25">
      <c r="B440" t="str">
        <f t="shared" si="285"/>
        <v>NSG_Income Eligible_Multi-Family_Whole Building - Prescriptive_Pipe Insulation_HW Large &gt;4"_MF/CI/SMB</v>
      </c>
      <c r="C440" s="47" t="str">
        <f t="shared" si="246"/>
        <v>Pipe Insulation_HW Large &gt;4"_MF/CI/SMB</v>
      </c>
      <c r="D440" s="270" t="s">
        <v>1787</v>
      </c>
      <c r="E440" s="270" t="s">
        <v>325</v>
      </c>
      <c r="F440" s="270" t="s">
        <v>1422</v>
      </c>
      <c r="G440" s="270" t="s">
        <v>1813</v>
      </c>
      <c r="H440" s="270" t="s">
        <v>404</v>
      </c>
      <c r="I440" s="270" t="s">
        <v>955</v>
      </c>
      <c r="J440" s="270" t="s">
        <v>662</v>
      </c>
      <c r="K440" s="263">
        <v>1</v>
      </c>
      <c r="L440" s="263" t="str">
        <f ca="1">IFERROR(INDEX(Algorithms!J:J,MATCH($C440&amp;"_Therm Saved per Unit",Algorithms!$A:$A,0)),"n/a")</f>
        <v>"3 - Res Pipe Insulation" worksheet</v>
      </c>
      <c r="M440" s="263" t="str">
        <f>IFERROR(INDEX('Measure Level Detail'!$N:$N,MATCH($B440,'Measure Level Detail'!$B:$B,0)),0)</f>
        <v>ft</v>
      </c>
      <c r="N440" s="271">
        <f>IFERROR(INDEX('Measure Level Detail'!$P:$P,MATCH($B440&amp;"_"&amp;N$3,'Measure Level Detail'!$C:$C,0)),0)</f>
        <v>0</v>
      </c>
      <c r="O440" s="271">
        <f>IFERROR(INDEX('Measure Level Detail'!$P:$P,MATCH($B440&amp;"_"&amp;O$3,'Measure Level Detail'!$C:$C,0)),0)</f>
        <v>0</v>
      </c>
      <c r="P440" s="271">
        <f>IFERROR(INDEX('Measure Level Detail'!$P:$P,MATCH($B440&amp;"_"&amp;P$3,'Measure Level Detail'!$C:$C,0)),0)</f>
        <v>0</v>
      </c>
      <c r="Q440" s="271">
        <f>IFERROR(INDEX('Measure Level Detail'!$P:$P,MATCH($B440&amp;"_"&amp;Q$3,'Measure Level Detail'!$C:$C,0)),0)</f>
        <v>0</v>
      </c>
      <c r="R440" s="263">
        <f ca="1">IFERROR(INDEX(Algorithms!K:K,MATCH($C440&amp;"_Therm Saved per Unit",Algorithms!$A:$A,0)),"n/a")</f>
        <v>0</v>
      </c>
      <c r="S440" s="262"/>
      <c r="T440" s="272">
        <v>9.0407613085908682</v>
      </c>
      <c r="U440" s="272">
        <v>9.0407613085908682</v>
      </c>
      <c r="V440" s="272">
        <v>9.0407613085908682</v>
      </c>
      <c r="W440" s="272">
        <v>9.0407613085908682</v>
      </c>
      <c r="X440" s="273">
        <f>IFERROR(INDEX('Measure Level Detail'!$R:$R,MATCH($B440&amp;"_"&amp;X$3,'Measure Level Detail'!$C:$C,0)),0)</f>
        <v>1</v>
      </c>
      <c r="Y440" s="273">
        <f>IFERROR(INDEX('Measure Level Detail'!$R:$R,MATCH($B440&amp;"_"&amp;Y$3,'Measure Level Detail'!$C:$C,0)),0)</f>
        <v>1</v>
      </c>
      <c r="Z440" s="273">
        <f>IFERROR(INDEX('Measure Level Detail'!$R:$R,MATCH($B440&amp;"_"&amp;Z$3,'Measure Level Detail'!$C:$C,0)),0)</f>
        <v>1</v>
      </c>
      <c r="AA440" s="273">
        <f>IFERROR(INDEX('Measure Level Detail'!$R:$R,MATCH($B440&amp;"_"&amp;AA$3,'Measure Level Detail'!$C:$C,0)),0)</f>
        <v>1</v>
      </c>
      <c r="AB440" s="266">
        <f t="shared" si="247"/>
        <v>0</v>
      </c>
      <c r="AC440" s="266">
        <f t="shared" si="248"/>
        <v>0</v>
      </c>
      <c r="AD440" s="266">
        <f t="shared" si="249"/>
        <v>0</v>
      </c>
      <c r="AE440" s="266">
        <f t="shared" si="250"/>
        <v>0</v>
      </c>
      <c r="AF440" s="266">
        <f t="shared" si="251"/>
        <v>0</v>
      </c>
      <c r="AG440" s="274">
        <v>1</v>
      </c>
      <c r="AH440" s="274">
        <v>1</v>
      </c>
      <c r="AI440" s="274">
        <v>1</v>
      </c>
      <c r="AJ440" s="274">
        <v>1</v>
      </c>
      <c r="AK440" s="274">
        <f t="shared" si="252"/>
        <v>1</v>
      </c>
      <c r="AL440" s="274">
        <f t="shared" si="253"/>
        <v>1</v>
      </c>
      <c r="AM440" s="274">
        <f t="shared" si="254"/>
        <v>1</v>
      </c>
      <c r="AN440" s="274">
        <f t="shared" si="255"/>
        <v>1</v>
      </c>
      <c r="AO440" s="262"/>
      <c r="AP440" s="262"/>
      <c r="AQ440" s="267">
        <v>9.0407613085908682</v>
      </c>
      <c r="AR440" s="262"/>
      <c r="AS440" s="266">
        <f t="shared" si="256"/>
        <v>0</v>
      </c>
      <c r="AT440" s="264">
        <f t="shared" si="257"/>
        <v>0</v>
      </c>
      <c r="AU440" s="262"/>
      <c r="AV440" s="262"/>
      <c r="AW440" s="265">
        <v>9.0407613085908682</v>
      </c>
      <c r="AX440" s="164" t="s">
        <v>1469</v>
      </c>
      <c r="AY440" s="266">
        <v>0</v>
      </c>
      <c r="AZ440" s="266">
        <f t="shared" si="258"/>
        <v>0</v>
      </c>
      <c r="BA440" s="264">
        <f t="shared" si="259"/>
        <v>0</v>
      </c>
      <c r="BB440" s="262"/>
      <c r="BC440" s="262"/>
      <c r="BD440" s="265">
        <f ca="1">IFERROR(INDEX(Algorithms!$G:$G,MATCH($C440&amp;"_Therm Saved per Unit",Algorithms!$A:$A,0)),0)</f>
        <v>9.0407613085908682</v>
      </c>
      <c r="BE440" s="164" t="str">
        <f ca="1">IFERROR(INDEX('v12 Revisions'!$P$29:$P$186, MATCH('Measure-Level Adj Gas'!$L440, 'v12 Revisions'!$D$29:$D$186,0)),"")</f>
        <v/>
      </c>
      <c r="BF440" s="266">
        <f t="shared" ca="1" si="260"/>
        <v>0</v>
      </c>
      <c r="BG440" s="264">
        <f t="shared" ca="1" si="261"/>
        <v>0</v>
      </c>
      <c r="BH440" s="262"/>
      <c r="BI440" s="262"/>
      <c r="BJ440" s="265">
        <f ca="1">IFERROR(INDEX(Algorithms!$G:$G,MATCH($C440&amp;"_Therm Saved per Unit",Algorithms!$A:$A,0)),0)</f>
        <v>9.0407613085908682</v>
      </c>
      <c r="BK440" s="164"/>
      <c r="BL440" s="266">
        <f t="shared" ca="1" si="262"/>
        <v>0</v>
      </c>
      <c r="BM440" s="264">
        <f t="shared" ca="1" si="263"/>
        <v>0</v>
      </c>
      <c r="BN440" s="266">
        <f t="shared" si="264"/>
        <v>0</v>
      </c>
      <c r="BO440" s="266">
        <f t="shared" si="265"/>
        <v>0</v>
      </c>
      <c r="BP440" s="266">
        <f t="shared" ca="1" si="266"/>
        <v>0</v>
      </c>
      <c r="BQ440" s="266">
        <f t="shared" ca="1" si="267"/>
        <v>0</v>
      </c>
      <c r="BR440" s="268">
        <f t="shared" ca="1" si="268"/>
        <v>0</v>
      </c>
      <c r="BS440" s="262" t="s">
        <v>99</v>
      </c>
      <c r="BT440" s="277"/>
      <c r="BW440" s="266">
        <f t="shared" si="269"/>
        <v>0</v>
      </c>
      <c r="BX440" s="266">
        <f t="shared" si="270"/>
        <v>0</v>
      </c>
      <c r="BY440" s="266">
        <f t="shared" si="271"/>
        <v>0</v>
      </c>
      <c r="BZ440" s="266">
        <f t="shared" si="272"/>
        <v>0</v>
      </c>
      <c r="CA440" s="266">
        <f ca="1">N440*IFERROR(INDEX(Algorithms!$G:$G,MATCH($C440&amp;"_Therm Saved per Unit- MLA",Algorithms!$A:$A,0)),0)*X440</f>
        <v>0</v>
      </c>
      <c r="CB440" s="266">
        <f ca="1">O440*IFERROR(INDEX(Algorithms!$G:$G,MATCH($C440&amp;"_Therm Saved per Unit- MLA",Algorithms!$A:$A,0)),0)*Y440</f>
        <v>0</v>
      </c>
      <c r="CC440" s="266">
        <f ca="1">P440*IFERROR(INDEX(Algorithms!$G:$G,MATCH($C440&amp;"_Therm Saved per Unit- MLA",Algorithms!$A:$A,0)),0)*Z440</f>
        <v>0</v>
      </c>
      <c r="CD440" s="266">
        <f ca="1">Q440*IFERROR(INDEX(Algorithms!$G:$G,MATCH($C440&amp;"_Therm Saved per Unit- MLA",Algorithms!$A:$A,0)),0)*AA440</f>
        <v>0</v>
      </c>
      <c r="CE440" s="266">
        <f ca="1">IFERROR(INDEX(Algorithms!$G:$G,MATCH($C440&amp;"_Lifetime (years)",Algorithms!$A:$A,0)),0)</f>
        <v>15</v>
      </c>
      <c r="CF440" s="266">
        <f ca="1">IFERROR(INDEX(Algorithms!$G:$G,MATCH($C440&amp;"_Lifetime (years) - Remaining Years",Algorithms!$A:$A,0)),0)</f>
        <v>0</v>
      </c>
      <c r="CG440" s="266">
        <f t="shared" ca="1" si="273"/>
        <v>0</v>
      </c>
      <c r="CH440" s="266">
        <f t="shared" ca="1" si="274"/>
        <v>0</v>
      </c>
      <c r="CI440" s="266">
        <f t="shared" ca="1" si="275"/>
        <v>0</v>
      </c>
      <c r="CJ440" s="266">
        <f t="shared" ca="1" si="276"/>
        <v>0</v>
      </c>
      <c r="CK440" s="266">
        <f t="shared" si="277"/>
        <v>0</v>
      </c>
      <c r="CL440" s="266">
        <f t="shared" si="278"/>
        <v>0</v>
      </c>
      <c r="CM440" s="266">
        <f t="shared" ca="1" si="279"/>
        <v>0</v>
      </c>
      <c r="CN440" s="266">
        <f t="shared" ca="1" si="280"/>
        <v>0</v>
      </c>
      <c r="CO440" s="266">
        <f ca="1">N440*IFERROR(INDEX(Algorithms!$G:$G,MATCH($C440&amp;"_Therm Saved per Unit- MLA",Algorithms!$A:$A,0)),0)*X440</f>
        <v>0</v>
      </c>
      <c r="CP440" s="266">
        <f ca="1">O440*IFERROR(INDEX(Algorithms!$G:$G,MATCH($C440&amp;"_Therm Saved per Unit- MLA",Algorithms!$A:$A,0)),0)*Y440</f>
        <v>0</v>
      </c>
      <c r="CQ440" s="266">
        <f ca="1">P440*IFERROR(INDEX(Algorithms!$G:$G,MATCH($C440&amp;"_Therm Saved per Unit- MLA",Algorithms!$A:$A,0)),0)*Z440</f>
        <v>0</v>
      </c>
      <c r="CR440" s="266">
        <f ca="1">Q440*IFERROR(INDEX(Algorithms!$G:$G,MATCH($C440&amp;"_Therm Saved per Unit- MLA",Algorithms!$A:$A,0)),0)*AA440</f>
        <v>0</v>
      </c>
      <c r="CS440" s="266">
        <f ca="1">IFERROR(INDEX(Algorithms!$G:$G,MATCH($C440&amp;"_Lifetime (years)",Algorithms!$A:$A,0)),0)</f>
        <v>15</v>
      </c>
      <c r="CT440" s="266">
        <f ca="1">IFERROR(INDEX(Algorithms!$G:$G,MATCH($C440&amp;"_Lifetime (years) - Remaining Years",Algorithms!$A:$A,0)),0)</f>
        <v>0</v>
      </c>
      <c r="CU440" s="266">
        <f t="shared" ca="1" si="281"/>
        <v>0</v>
      </c>
      <c r="CV440" s="266">
        <f t="shared" ca="1" si="282"/>
        <v>0</v>
      </c>
      <c r="CW440" s="266">
        <f t="shared" ca="1" si="283"/>
        <v>0</v>
      </c>
      <c r="CX440" s="266">
        <f t="shared" ca="1" si="284"/>
        <v>0</v>
      </c>
    </row>
    <row r="441" spans="2:102" s="47" customFormat="1" ht="18" customHeight="1" x14ac:dyDescent="0.25">
      <c r="B441" t="str">
        <f t="shared" si="285"/>
        <v>NSG_Income Eligible_Multi-Family_Whole Building - Prescriptive_Pipe Insulation_Steam - Small 1" to 2"_MF</v>
      </c>
      <c r="C441" s="47" t="str">
        <f t="shared" si="246"/>
        <v>Pipe Insulation_Steam - Small 1" to 2"_MF</v>
      </c>
      <c r="D441" s="270" t="s">
        <v>1787</v>
      </c>
      <c r="E441" s="270" t="s">
        <v>325</v>
      </c>
      <c r="F441" s="270" t="s">
        <v>1422</v>
      </c>
      <c r="G441" s="270" t="s">
        <v>1813</v>
      </c>
      <c r="H441" s="270" t="s">
        <v>404</v>
      </c>
      <c r="I441" s="270" t="s">
        <v>956</v>
      </c>
      <c r="J441" s="270" t="s">
        <v>553</v>
      </c>
      <c r="K441" s="263">
        <v>1</v>
      </c>
      <c r="L441" s="263" t="str">
        <f ca="1">IFERROR(INDEX(Algorithms!J:J,MATCH($C441&amp;"_Therm Saved per Unit",Algorithms!$A:$A,0)),"n/a")</f>
        <v>"3 - Res Pipe Insulation" worksheet</v>
      </c>
      <c r="M441" s="263" t="str">
        <f>IFERROR(INDEX('Measure Level Detail'!$N:$N,MATCH($B441,'Measure Level Detail'!$B:$B,0)),0)</f>
        <v>ft</v>
      </c>
      <c r="N441" s="271">
        <f>IFERROR(INDEX('Measure Level Detail'!$P:$P,MATCH($B441&amp;"_"&amp;N$3,'Measure Level Detail'!$C:$C,0)),0)</f>
        <v>0</v>
      </c>
      <c r="O441" s="271">
        <f>IFERROR(INDEX('Measure Level Detail'!$P:$P,MATCH($B441&amp;"_"&amp;O$3,'Measure Level Detail'!$C:$C,0)),0)</f>
        <v>0</v>
      </c>
      <c r="P441" s="271">
        <f>IFERROR(INDEX('Measure Level Detail'!$P:$P,MATCH($B441&amp;"_"&amp;P$3,'Measure Level Detail'!$C:$C,0)),0)</f>
        <v>0</v>
      </c>
      <c r="Q441" s="271">
        <f>IFERROR(INDEX('Measure Level Detail'!$P:$P,MATCH($B441&amp;"_"&amp;Q$3,'Measure Level Detail'!$C:$C,0)),0)</f>
        <v>0</v>
      </c>
      <c r="R441" s="263">
        <f ca="1">IFERROR(INDEX(Algorithms!K:K,MATCH($C441&amp;"_Therm Saved per Unit",Algorithms!$A:$A,0)),"n/a")</f>
        <v>0</v>
      </c>
      <c r="S441" s="262"/>
      <c r="T441" s="272">
        <v>3.967097058288509</v>
      </c>
      <c r="U441" s="272">
        <v>3.967097058288509</v>
      </c>
      <c r="V441" s="272">
        <v>3.967097058288509</v>
      </c>
      <c r="W441" s="272">
        <v>3.967097058288509</v>
      </c>
      <c r="X441" s="273">
        <f>IFERROR(INDEX('Measure Level Detail'!$R:$R,MATCH($B441&amp;"_"&amp;X$3,'Measure Level Detail'!$C:$C,0)),0)</f>
        <v>1</v>
      </c>
      <c r="Y441" s="273">
        <f>IFERROR(INDEX('Measure Level Detail'!$R:$R,MATCH($B441&amp;"_"&amp;Y$3,'Measure Level Detail'!$C:$C,0)),0)</f>
        <v>1</v>
      </c>
      <c r="Z441" s="273">
        <f>IFERROR(INDEX('Measure Level Detail'!$R:$R,MATCH($B441&amp;"_"&amp;Z$3,'Measure Level Detail'!$C:$C,0)),0)</f>
        <v>1</v>
      </c>
      <c r="AA441" s="273">
        <f>IFERROR(INDEX('Measure Level Detail'!$R:$R,MATCH($B441&amp;"_"&amp;AA$3,'Measure Level Detail'!$C:$C,0)),0)</f>
        <v>1</v>
      </c>
      <c r="AB441" s="266">
        <f t="shared" si="247"/>
        <v>0</v>
      </c>
      <c r="AC441" s="266">
        <f t="shared" si="248"/>
        <v>0</v>
      </c>
      <c r="AD441" s="266">
        <f t="shared" si="249"/>
        <v>0</v>
      </c>
      <c r="AE441" s="266">
        <f t="shared" si="250"/>
        <v>0</v>
      </c>
      <c r="AF441" s="266">
        <f t="shared" si="251"/>
        <v>0</v>
      </c>
      <c r="AG441" s="274">
        <v>1</v>
      </c>
      <c r="AH441" s="274">
        <v>1</v>
      </c>
      <c r="AI441" s="274">
        <v>1</v>
      </c>
      <c r="AJ441" s="274">
        <v>1</v>
      </c>
      <c r="AK441" s="274">
        <f t="shared" si="252"/>
        <v>1</v>
      </c>
      <c r="AL441" s="274">
        <f t="shared" si="253"/>
        <v>1</v>
      </c>
      <c r="AM441" s="274">
        <f t="shared" si="254"/>
        <v>1</v>
      </c>
      <c r="AN441" s="274">
        <f t="shared" si="255"/>
        <v>1</v>
      </c>
      <c r="AO441" s="262"/>
      <c r="AP441" s="262"/>
      <c r="AQ441" s="267">
        <v>3.967097058288509</v>
      </c>
      <c r="AR441" s="262"/>
      <c r="AS441" s="266">
        <f t="shared" si="256"/>
        <v>0</v>
      </c>
      <c r="AT441" s="264">
        <f t="shared" si="257"/>
        <v>0</v>
      </c>
      <c r="AU441" s="262"/>
      <c r="AV441" s="262"/>
      <c r="AW441" s="265">
        <v>3.967097058288509</v>
      </c>
      <c r="AX441" s="164" t="s">
        <v>1469</v>
      </c>
      <c r="AY441" s="266">
        <v>0</v>
      </c>
      <c r="AZ441" s="266">
        <f t="shared" si="258"/>
        <v>0</v>
      </c>
      <c r="BA441" s="264">
        <f t="shared" si="259"/>
        <v>0</v>
      </c>
      <c r="BB441" s="262"/>
      <c r="BC441" s="262"/>
      <c r="BD441" s="265">
        <f ca="1">IFERROR(INDEX(Algorithms!$G:$G,MATCH($C441&amp;"_Therm Saved per Unit",Algorithms!$A:$A,0)),0)</f>
        <v>3.967097058288509</v>
      </c>
      <c r="BE441" s="164" t="str">
        <f ca="1">IFERROR(INDEX('v12 Revisions'!$P$29:$P$186, MATCH('Measure-Level Adj Gas'!$L441, 'v12 Revisions'!$D$29:$D$186,0)),"")</f>
        <v/>
      </c>
      <c r="BF441" s="266">
        <f t="shared" ca="1" si="260"/>
        <v>0</v>
      </c>
      <c r="BG441" s="264">
        <f t="shared" ca="1" si="261"/>
        <v>0</v>
      </c>
      <c r="BH441" s="262"/>
      <c r="BI441" s="262"/>
      <c r="BJ441" s="265">
        <f ca="1">IFERROR(INDEX(Algorithms!$G:$G,MATCH($C441&amp;"_Therm Saved per Unit",Algorithms!$A:$A,0)),0)</f>
        <v>3.967097058288509</v>
      </c>
      <c r="BK441" s="164"/>
      <c r="BL441" s="266">
        <f t="shared" ca="1" si="262"/>
        <v>0</v>
      </c>
      <c r="BM441" s="264">
        <f t="shared" ca="1" si="263"/>
        <v>0</v>
      </c>
      <c r="BN441" s="266">
        <f t="shared" si="264"/>
        <v>0</v>
      </c>
      <c r="BO441" s="266">
        <f t="shared" si="265"/>
        <v>0</v>
      </c>
      <c r="BP441" s="266">
        <f t="shared" ca="1" si="266"/>
        <v>0</v>
      </c>
      <c r="BQ441" s="266">
        <f t="shared" ca="1" si="267"/>
        <v>0</v>
      </c>
      <c r="BR441" s="268">
        <f t="shared" ca="1" si="268"/>
        <v>0</v>
      </c>
      <c r="BS441" s="262" t="s">
        <v>99</v>
      </c>
      <c r="BT441" s="277"/>
      <c r="BW441" s="266">
        <f t="shared" si="269"/>
        <v>0</v>
      </c>
      <c r="BX441" s="266">
        <f t="shared" si="270"/>
        <v>0</v>
      </c>
      <c r="BY441" s="266">
        <f t="shared" si="271"/>
        <v>0</v>
      </c>
      <c r="BZ441" s="266">
        <f t="shared" si="272"/>
        <v>0</v>
      </c>
      <c r="CA441" s="266">
        <f ca="1">N441*IFERROR(INDEX(Algorithms!$G:$G,MATCH($C441&amp;"_Therm Saved per Unit- MLA",Algorithms!$A:$A,0)),0)*X441</f>
        <v>0</v>
      </c>
      <c r="CB441" s="266">
        <f ca="1">O441*IFERROR(INDEX(Algorithms!$G:$G,MATCH($C441&amp;"_Therm Saved per Unit- MLA",Algorithms!$A:$A,0)),0)*Y441</f>
        <v>0</v>
      </c>
      <c r="CC441" s="266">
        <f ca="1">P441*IFERROR(INDEX(Algorithms!$G:$G,MATCH($C441&amp;"_Therm Saved per Unit- MLA",Algorithms!$A:$A,0)),0)*Z441</f>
        <v>0</v>
      </c>
      <c r="CD441" s="266">
        <f ca="1">Q441*IFERROR(INDEX(Algorithms!$G:$G,MATCH($C441&amp;"_Therm Saved per Unit- MLA",Algorithms!$A:$A,0)),0)*AA441</f>
        <v>0</v>
      </c>
      <c r="CE441" s="266">
        <f ca="1">IFERROR(INDEX(Algorithms!$G:$G,MATCH($C441&amp;"_Lifetime (years)",Algorithms!$A:$A,0)),0)</f>
        <v>15</v>
      </c>
      <c r="CF441" s="266">
        <f ca="1">IFERROR(INDEX(Algorithms!$G:$G,MATCH($C441&amp;"_Lifetime (years) - Remaining Years",Algorithms!$A:$A,0)),0)</f>
        <v>0</v>
      </c>
      <c r="CG441" s="266">
        <f t="shared" ca="1" si="273"/>
        <v>0</v>
      </c>
      <c r="CH441" s="266">
        <f t="shared" ca="1" si="274"/>
        <v>0</v>
      </c>
      <c r="CI441" s="266">
        <f t="shared" ca="1" si="275"/>
        <v>0</v>
      </c>
      <c r="CJ441" s="266">
        <f t="shared" ca="1" si="276"/>
        <v>0</v>
      </c>
      <c r="CK441" s="266">
        <f t="shared" si="277"/>
        <v>0</v>
      </c>
      <c r="CL441" s="266">
        <f t="shared" si="278"/>
        <v>0</v>
      </c>
      <c r="CM441" s="266">
        <f t="shared" ca="1" si="279"/>
        <v>0</v>
      </c>
      <c r="CN441" s="266">
        <f t="shared" ca="1" si="280"/>
        <v>0</v>
      </c>
      <c r="CO441" s="266">
        <f ca="1">N441*IFERROR(INDEX(Algorithms!$G:$G,MATCH($C441&amp;"_Therm Saved per Unit- MLA",Algorithms!$A:$A,0)),0)*X441</f>
        <v>0</v>
      </c>
      <c r="CP441" s="266">
        <f ca="1">O441*IFERROR(INDEX(Algorithms!$G:$G,MATCH($C441&amp;"_Therm Saved per Unit- MLA",Algorithms!$A:$A,0)),0)*Y441</f>
        <v>0</v>
      </c>
      <c r="CQ441" s="266">
        <f ca="1">P441*IFERROR(INDEX(Algorithms!$G:$G,MATCH($C441&amp;"_Therm Saved per Unit- MLA",Algorithms!$A:$A,0)),0)*Z441</f>
        <v>0</v>
      </c>
      <c r="CR441" s="266">
        <f ca="1">Q441*IFERROR(INDEX(Algorithms!$G:$G,MATCH($C441&amp;"_Therm Saved per Unit- MLA",Algorithms!$A:$A,0)),0)*AA441</f>
        <v>0</v>
      </c>
      <c r="CS441" s="266">
        <f ca="1">IFERROR(INDEX(Algorithms!$G:$G,MATCH($C441&amp;"_Lifetime (years)",Algorithms!$A:$A,0)),0)</f>
        <v>15</v>
      </c>
      <c r="CT441" s="266">
        <f ca="1">IFERROR(INDEX(Algorithms!$G:$G,MATCH($C441&amp;"_Lifetime (years) - Remaining Years",Algorithms!$A:$A,0)),0)</f>
        <v>0</v>
      </c>
      <c r="CU441" s="266">
        <f t="shared" ca="1" si="281"/>
        <v>0</v>
      </c>
      <c r="CV441" s="266">
        <f t="shared" ca="1" si="282"/>
        <v>0</v>
      </c>
      <c r="CW441" s="266">
        <f t="shared" ca="1" si="283"/>
        <v>0</v>
      </c>
      <c r="CX441" s="266">
        <f t="shared" ca="1" si="284"/>
        <v>0</v>
      </c>
    </row>
    <row r="442" spans="2:102" s="47" customFormat="1" ht="18" customHeight="1" x14ac:dyDescent="0.25">
      <c r="B442" t="str">
        <f t="shared" si="285"/>
        <v>NSG_Income Eligible_Multi-Family_Whole Building - Prescriptive_Pipe Insulation_Steam - Med 2.1" to 5"_MF</v>
      </c>
      <c r="C442" s="47" t="str">
        <f t="shared" si="246"/>
        <v>Pipe Insulation_Steam - Med 2.1" to 5"_MF</v>
      </c>
      <c r="D442" s="270" t="s">
        <v>1787</v>
      </c>
      <c r="E442" s="270" t="s">
        <v>325</v>
      </c>
      <c r="F442" s="270" t="s">
        <v>1422</v>
      </c>
      <c r="G442" s="270" t="s">
        <v>1813</v>
      </c>
      <c r="H442" s="270" t="s">
        <v>404</v>
      </c>
      <c r="I442" s="270" t="s">
        <v>957</v>
      </c>
      <c r="J442" s="270" t="s">
        <v>553</v>
      </c>
      <c r="K442" s="263">
        <v>1</v>
      </c>
      <c r="L442" s="263" t="str">
        <f ca="1">IFERROR(INDEX(Algorithms!J:J,MATCH($C442&amp;"_Therm Saved per Unit",Algorithms!$A:$A,0)),"n/a")</f>
        <v>"3 - Res Pipe Insulation" worksheet</v>
      </c>
      <c r="M442" s="263" t="str">
        <f>IFERROR(INDEX('Measure Level Detail'!$N:$N,MATCH($B442,'Measure Level Detail'!$B:$B,0)),0)</f>
        <v>ft</v>
      </c>
      <c r="N442" s="271">
        <f>IFERROR(INDEX('Measure Level Detail'!$P:$P,MATCH($B442&amp;"_"&amp;N$3,'Measure Level Detail'!$C:$C,0)),0)</f>
        <v>0</v>
      </c>
      <c r="O442" s="271">
        <f>IFERROR(INDEX('Measure Level Detail'!$P:$P,MATCH($B442&amp;"_"&amp;O$3,'Measure Level Detail'!$C:$C,0)),0)</f>
        <v>0</v>
      </c>
      <c r="P442" s="271">
        <f>IFERROR(INDEX('Measure Level Detail'!$P:$P,MATCH($B442&amp;"_"&amp;P$3,'Measure Level Detail'!$C:$C,0)),0)</f>
        <v>0</v>
      </c>
      <c r="Q442" s="271">
        <f>IFERROR(INDEX('Measure Level Detail'!$P:$P,MATCH($B442&amp;"_"&amp;Q$3,'Measure Level Detail'!$C:$C,0)),0)</f>
        <v>0</v>
      </c>
      <c r="R442" s="263">
        <f ca="1">IFERROR(INDEX(Algorithms!K:K,MATCH($C442&amp;"_Therm Saved per Unit",Algorithms!$A:$A,0)),"n/a")</f>
        <v>0</v>
      </c>
      <c r="S442" s="262"/>
      <c r="T442" s="272">
        <v>15.954497207020932</v>
      </c>
      <c r="U442" s="272">
        <v>15.954497207020932</v>
      </c>
      <c r="V442" s="272">
        <v>15.954497207020932</v>
      </c>
      <c r="W442" s="272">
        <v>15.954497207020932</v>
      </c>
      <c r="X442" s="273">
        <f>IFERROR(INDEX('Measure Level Detail'!$R:$R,MATCH($B442&amp;"_"&amp;X$3,'Measure Level Detail'!$C:$C,0)),0)</f>
        <v>1</v>
      </c>
      <c r="Y442" s="273">
        <f>IFERROR(INDEX('Measure Level Detail'!$R:$R,MATCH($B442&amp;"_"&amp;Y$3,'Measure Level Detail'!$C:$C,0)),0)</f>
        <v>1</v>
      </c>
      <c r="Z442" s="273">
        <f>IFERROR(INDEX('Measure Level Detail'!$R:$R,MATCH($B442&amp;"_"&amp;Z$3,'Measure Level Detail'!$C:$C,0)),0)</f>
        <v>1</v>
      </c>
      <c r="AA442" s="273">
        <f>IFERROR(INDEX('Measure Level Detail'!$R:$R,MATCH($B442&amp;"_"&amp;AA$3,'Measure Level Detail'!$C:$C,0)),0)</f>
        <v>1</v>
      </c>
      <c r="AB442" s="266">
        <f t="shared" si="247"/>
        <v>0</v>
      </c>
      <c r="AC442" s="266">
        <f t="shared" si="248"/>
        <v>0</v>
      </c>
      <c r="AD442" s="266">
        <f t="shared" si="249"/>
        <v>0</v>
      </c>
      <c r="AE442" s="266">
        <f t="shared" si="250"/>
        <v>0</v>
      </c>
      <c r="AF442" s="266">
        <f t="shared" si="251"/>
        <v>0</v>
      </c>
      <c r="AG442" s="274">
        <v>1</v>
      </c>
      <c r="AH442" s="274">
        <v>1</v>
      </c>
      <c r="AI442" s="274">
        <v>1</v>
      </c>
      <c r="AJ442" s="274">
        <v>1</v>
      </c>
      <c r="AK442" s="274">
        <f t="shared" si="252"/>
        <v>1</v>
      </c>
      <c r="AL442" s="274">
        <f t="shared" si="253"/>
        <v>1</v>
      </c>
      <c r="AM442" s="274">
        <f t="shared" si="254"/>
        <v>1</v>
      </c>
      <c r="AN442" s="274">
        <f t="shared" si="255"/>
        <v>1</v>
      </c>
      <c r="AO442" s="262"/>
      <c r="AP442" s="262"/>
      <c r="AQ442" s="267">
        <v>15.954497207020932</v>
      </c>
      <c r="AR442" s="262"/>
      <c r="AS442" s="266">
        <f t="shared" si="256"/>
        <v>0</v>
      </c>
      <c r="AT442" s="264">
        <f t="shared" si="257"/>
        <v>0</v>
      </c>
      <c r="AU442" s="262"/>
      <c r="AV442" s="262"/>
      <c r="AW442" s="265">
        <v>15.954497207020932</v>
      </c>
      <c r="AX442" s="164" t="s">
        <v>1469</v>
      </c>
      <c r="AY442" s="266">
        <v>0</v>
      </c>
      <c r="AZ442" s="266">
        <f t="shared" si="258"/>
        <v>0</v>
      </c>
      <c r="BA442" s="264">
        <f t="shared" si="259"/>
        <v>0</v>
      </c>
      <c r="BB442" s="262"/>
      <c r="BC442" s="262"/>
      <c r="BD442" s="265">
        <f ca="1">IFERROR(INDEX(Algorithms!$G:$G,MATCH($C442&amp;"_Therm Saved per Unit",Algorithms!$A:$A,0)),0)</f>
        <v>15.954497207020932</v>
      </c>
      <c r="BE442" s="164" t="str">
        <f ca="1">IFERROR(INDEX('v12 Revisions'!$P$29:$P$186, MATCH('Measure-Level Adj Gas'!$L442, 'v12 Revisions'!$D$29:$D$186,0)),"")</f>
        <v/>
      </c>
      <c r="BF442" s="266">
        <f t="shared" ca="1" si="260"/>
        <v>0</v>
      </c>
      <c r="BG442" s="264">
        <f t="shared" ca="1" si="261"/>
        <v>0</v>
      </c>
      <c r="BH442" s="262"/>
      <c r="BI442" s="262"/>
      <c r="BJ442" s="265">
        <f ca="1">IFERROR(INDEX(Algorithms!$G:$G,MATCH($C442&amp;"_Therm Saved per Unit",Algorithms!$A:$A,0)),0)</f>
        <v>15.954497207020932</v>
      </c>
      <c r="BK442" s="164"/>
      <c r="BL442" s="266">
        <f t="shared" ca="1" si="262"/>
        <v>0</v>
      </c>
      <c r="BM442" s="264">
        <f t="shared" ca="1" si="263"/>
        <v>0</v>
      </c>
      <c r="BN442" s="266">
        <f t="shared" si="264"/>
        <v>0</v>
      </c>
      <c r="BO442" s="266">
        <f t="shared" si="265"/>
        <v>0</v>
      </c>
      <c r="BP442" s="266">
        <f t="shared" ca="1" si="266"/>
        <v>0</v>
      </c>
      <c r="BQ442" s="266">
        <f t="shared" ca="1" si="267"/>
        <v>0</v>
      </c>
      <c r="BR442" s="268">
        <f t="shared" ca="1" si="268"/>
        <v>0</v>
      </c>
      <c r="BS442" s="262" t="s">
        <v>99</v>
      </c>
      <c r="BT442" s="277"/>
      <c r="BW442" s="266">
        <f t="shared" si="269"/>
        <v>0</v>
      </c>
      <c r="BX442" s="266">
        <f t="shared" si="270"/>
        <v>0</v>
      </c>
      <c r="BY442" s="266">
        <f t="shared" si="271"/>
        <v>0</v>
      </c>
      <c r="BZ442" s="266">
        <f t="shared" si="272"/>
        <v>0</v>
      </c>
      <c r="CA442" s="266">
        <f ca="1">N442*IFERROR(INDEX(Algorithms!$G:$G,MATCH($C442&amp;"_Therm Saved per Unit- MLA",Algorithms!$A:$A,0)),0)*X442</f>
        <v>0</v>
      </c>
      <c r="CB442" s="266">
        <f ca="1">O442*IFERROR(INDEX(Algorithms!$G:$G,MATCH($C442&amp;"_Therm Saved per Unit- MLA",Algorithms!$A:$A,0)),0)*Y442</f>
        <v>0</v>
      </c>
      <c r="CC442" s="266">
        <f ca="1">P442*IFERROR(INDEX(Algorithms!$G:$G,MATCH($C442&amp;"_Therm Saved per Unit- MLA",Algorithms!$A:$A,0)),0)*Z442</f>
        <v>0</v>
      </c>
      <c r="CD442" s="266">
        <f ca="1">Q442*IFERROR(INDEX(Algorithms!$G:$G,MATCH($C442&amp;"_Therm Saved per Unit- MLA",Algorithms!$A:$A,0)),0)*AA442</f>
        <v>0</v>
      </c>
      <c r="CE442" s="266">
        <f ca="1">IFERROR(INDEX(Algorithms!$G:$G,MATCH($C442&amp;"_Lifetime (years)",Algorithms!$A:$A,0)),0)</f>
        <v>15</v>
      </c>
      <c r="CF442" s="266">
        <f ca="1">IFERROR(INDEX(Algorithms!$G:$G,MATCH($C442&amp;"_Lifetime (years) - Remaining Years",Algorithms!$A:$A,0)),0)</f>
        <v>0</v>
      </c>
      <c r="CG442" s="266">
        <f t="shared" ca="1" si="273"/>
        <v>0</v>
      </c>
      <c r="CH442" s="266">
        <f t="shared" ca="1" si="274"/>
        <v>0</v>
      </c>
      <c r="CI442" s="266">
        <f t="shared" ca="1" si="275"/>
        <v>0</v>
      </c>
      <c r="CJ442" s="266">
        <f t="shared" ca="1" si="276"/>
        <v>0</v>
      </c>
      <c r="CK442" s="266">
        <f t="shared" si="277"/>
        <v>0</v>
      </c>
      <c r="CL442" s="266">
        <f t="shared" si="278"/>
        <v>0</v>
      </c>
      <c r="CM442" s="266">
        <f t="shared" ca="1" si="279"/>
        <v>0</v>
      </c>
      <c r="CN442" s="266">
        <f t="shared" ca="1" si="280"/>
        <v>0</v>
      </c>
      <c r="CO442" s="266">
        <f ca="1">N442*IFERROR(INDEX(Algorithms!$G:$G,MATCH($C442&amp;"_Therm Saved per Unit- MLA",Algorithms!$A:$A,0)),0)*X442</f>
        <v>0</v>
      </c>
      <c r="CP442" s="266">
        <f ca="1">O442*IFERROR(INDEX(Algorithms!$G:$G,MATCH($C442&amp;"_Therm Saved per Unit- MLA",Algorithms!$A:$A,0)),0)*Y442</f>
        <v>0</v>
      </c>
      <c r="CQ442" s="266">
        <f ca="1">P442*IFERROR(INDEX(Algorithms!$G:$G,MATCH($C442&amp;"_Therm Saved per Unit- MLA",Algorithms!$A:$A,0)),0)*Z442</f>
        <v>0</v>
      </c>
      <c r="CR442" s="266">
        <f ca="1">Q442*IFERROR(INDEX(Algorithms!$G:$G,MATCH($C442&amp;"_Therm Saved per Unit- MLA",Algorithms!$A:$A,0)),0)*AA442</f>
        <v>0</v>
      </c>
      <c r="CS442" s="266">
        <f ca="1">IFERROR(INDEX(Algorithms!$G:$G,MATCH($C442&amp;"_Lifetime (years)",Algorithms!$A:$A,0)),0)</f>
        <v>15</v>
      </c>
      <c r="CT442" s="266">
        <f ca="1">IFERROR(INDEX(Algorithms!$G:$G,MATCH($C442&amp;"_Lifetime (years) - Remaining Years",Algorithms!$A:$A,0)),0)</f>
        <v>0</v>
      </c>
      <c r="CU442" s="266">
        <f t="shared" ca="1" si="281"/>
        <v>0</v>
      </c>
      <c r="CV442" s="266">
        <f t="shared" ca="1" si="282"/>
        <v>0</v>
      </c>
      <c r="CW442" s="266">
        <f t="shared" ca="1" si="283"/>
        <v>0</v>
      </c>
      <c r="CX442" s="266">
        <f t="shared" ca="1" si="284"/>
        <v>0</v>
      </c>
    </row>
    <row r="443" spans="2:102" s="47" customFormat="1" ht="18" customHeight="1" x14ac:dyDescent="0.25">
      <c r="B443" t="str">
        <f t="shared" si="285"/>
        <v>NSG_Income Eligible_Multi-Family_Whole Building - Prescriptive_Pipe Insulation_Steam - Large 5.1" to 8"_MF</v>
      </c>
      <c r="C443" s="47" t="str">
        <f t="shared" si="246"/>
        <v>Pipe Insulation_Steam - Large 5.1" to 8"_MF</v>
      </c>
      <c r="D443" s="270" t="s">
        <v>1787</v>
      </c>
      <c r="E443" s="270" t="s">
        <v>325</v>
      </c>
      <c r="F443" s="270" t="s">
        <v>1422</v>
      </c>
      <c r="G443" s="270" t="s">
        <v>1813</v>
      </c>
      <c r="H443" s="270" t="s">
        <v>404</v>
      </c>
      <c r="I443" s="270" t="s">
        <v>958</v>
      </c>
      <c r="J443" s="270" t="s">
        <v>553</v>
      </c>
      <c r="K443" s="263">
        <v>1</v>
      </c>
      <c r="L443" s="263" t="str">
        <f ca="1">IFERROR(INDEX(Algorithms!J:J,MATCH($C443&amp;"_Therm Saved per Unit",Algorithms!$A:$A,0)),"n/a")</f>
        <v>"3 - Res Pipe Insulation" worksheet</v>
      </c>
      <c r="M443" s="263" t="str">
        <f>IFERROR(INDEX('Measure Level Detail'!$N:$N,MATCH($B443,'Measure Level Detail'!$B:$B,0)),0)</f>
        <v>ft</v>
      </c>
      <c r="N443" s="271">
        <f>IFERROR(INDEX('Measure Level Detail'!$P:$P,MATCH($B443&amp;"_"&amp;N$3,'Measure Level Detail'!$C:$C,0)),0)</f>
        <v>0</v>
      </c>
      <c r="O443" s="271">
        <f>IFERROR(INDEX('Measure Level Detail'!$P:$P,MATCH($B443&amp;"_"&amp;O$3,'Measure Level Detail'!$C:$C,0)),0)</f>
        <v>0</v>
      </c>
      <c r="P443" s="271">
        <f>IFERROR(INDEX('Measure Level Detail'!$P:$P,MATCH($B443&amp;"_"&amp;P$3,'Measure Level Detail'!$C:$C,0)),0)</f>
        <v>0</v>
      </c>
      <c r="Q443" s="271">
        <f>IFERROR(INDEX('Measure Level Detail'!$P:$P,MATCH($B443&amp;"_"&amp;Q$3,'Measure Level Detail'!$C:$C,0)),0)</f>
        <v>0</v>
      </c>
      <c r="R443" s="263">
        <f ca="1">IFERROR(INDEX(Algorithms!K:K,MATCH($C443&amp;"_Therm Saved per Unit",Algorithms!$A:$A,0)),"n/a")</f>
        <v>0</v>
      </c>
      <c r="S443" s="262"/>
      <c r="T443" s="272">
        <v>31.133964854103496</v>
      </c>
      <c r="U443" s="272">
        <v>31.133964854103496</v>
      </c>
      <c r="V443" s="272">
        <v>31.133964854103496</v>
      </c>
      <c r="W443" s="272">
        <v>31.133964854103496</v>
      </c>
      <c r="X443" s="273">
        <f>IFERROR(INDEX('Measure Level Detail'!$R:$R,MATCH($B443&amp;"_"&amp;X$3,'Measure Level Detail'!$C:$C,0)),0)</f>
        <v>1</v>
      </c>
      <c r="Y443" s="273">
        <f>IFERROR(INDEX('Measure Level Detail'!$R:$R,MATCH($B443&amp;"_"&amp;Y$3,'Measure Level Detail'!$C:$C,0)),0)</f>
        <v>1</v>
      </c>
      <c r="Z443" s="273">
        <f>IFERROR(INDEX('Measure Level Detail'!$R:$R,MATCH($B443&amp;"_"&amp;Z$3,'Measure Level Detail'!$C:$C,0)),0)</f>
        <v>1</v>
      </c>
      <c r="AA443" s="273">
        <f>IFERROR(INDEX('Measure Level Detail'!$R:$R,MATCH($B443&amp;"_"&amp;AA$3,'Measure Level Detail'!$C:$C,0)),0)</f>
        <v>1</v>
      </c>
      <c r="AB443" s="266">
        <f t="shared" si="247"/>
        <v>0</v>
      </c>
      <c r="AC443" s="266">
        <f t="shared" si="248"/>
        <v>0</v>
      </c>
      <c r="AD443" s="266">
        <f t="shared" si="249"/>
        <v>0</v>
      </c>
      <c r="AE443" s="266">
        <f t="shared" si="250"/>
        <v>0</v>
      </c>
      <c r="AF443" s="266">
        <f t="shared" si="251"/>
        <v>0</v>
      </c>
      <c r="AG443" s="274">
        <v>1</v>
      </c>
      <c r="AH443" s="274">
        <v>1</v>
      </c>
      <c r="AI443" s="274">
        <v>1</v>
      </c>
      <c r="AJ443" s="274">
        <v>1</v>
      </c>
      <c r="AK443" s="274">
        <f t="shared" si="252"/>
        <v>1</v>
      </c>
      <c r="AL443" s="274">
        <f t="shared" si="253"/>
        <v>1</v>
      </c>
      <c r="AM443" s="274">
        <f t="shared" si="254"/>
        <v>1</v>
      </c>
      <c r="AN443" s="274">
        <f t="shared" si="255"/>
        <v>1</v>
      </c>
      <c r="AO443" s="262"/>
      <c r="AP443" s="262"/>
      <c r="AQ443" s="267">
        <v>31.133964854103496</v>
      </c>
      <c r="AR443" s="262"/>
      <c r="AS443" s="266">
        <f t="shared" si="256"/>
        <v>0</v>
      </c>
      <c r="AT443" s="264">
        <f t="shared" si="257"/>
        <v>0</v>
      </c>
      <c r="AU443" s="262"/>
      <c r="AV443" s="262"/>
      <c r="AW443" s="265">
        <v>31.133964854103496</v>
      </c>
      <c r="AX443" s="164" t="s">
        <v>1469</v>
      </c>
      <c r="AY443" s="266">
        <v>0</v>
      </c>
      <c r="AZ443" s="266">
        <f t="shared" si="258"/>
        <v>0</v>
      </c>
      <c r="BA443" s="264">
        <f t="shared" si="259"/>
        <v>0</v>
      </c>
      <c r="BB443" s="262"/>
      <c r="BC443" s="262"/>
      <c r="BD443" s="265">
        <f ca="1">IFERROR(INDEX(Algorithms!$G:$G,MATCH($C443&amp;"_Therm Saved per Unit",Algorithms!$A:$A,0)),0)</f>
        <v>31.133964854103496</v>
      </c>
      <c r="BE443" s="164" t="str">
        <f ca="1">IFERROR(INDEX('v12 Revisions'!$P$29:$P$186, MATCH('Measure-Level Adj Gas'!$L443, 'v12 Revisions'!$D$29:$D$186,0)),"")</f>
        <v/>
      </c>
      <c r="BF443" s="266">
        <f t="shared" ca="1" si="260"/>
        <v>0</v>
      </c>
      <c r="BG443" s="264">
        <f t="shared" ca="1" si="261"/>
        <v>0</v>
      </c>
      <c r="BH443" s="262"/>
      <c r="BI443" s="262"/>
      <c r="BJ443" s="265">
        <f ca="1">IFERROR(INDEX(Algorithms!$G:$G,MATCH($C443&amp;"_Therm Saved per Unit",Algorithms!$A:$A,0)),0)</f>
        <v>31.133964854103496</v>
      </c>
      <c r="BK443" s="164"/>
      <c r="BL443" s="266">
        <f t="shared" ca="1" si="262"/>
        <v>0</v>
      </c>
      <c r="BM443" s="264">
        <f t="shared" ca="1" si="263"/>
        <v>0</v>
      </c>
      <c r="BN443" s="266">
        <f t="shared" si="264"/>
        <v>0</v>
      </c>
      <c r="BO443" s="266">
        <f t="shared" si="265"/>
        <v>0</v>
      </c>
      <c r="BP443" s="266">
        <f t="shared" ca="1" si="266"/>
        <v>0</v>
      </c>
      <c r="BQ443" s="266">
        <f t="shared" ca="1" si="267"/>
        <v>0</v>
      </c>
      <c r="BR443" s="268">
        <f t="shared" ca="1" si="268"/>
        <v>0</v>
      </c>
      <c r="BS443" s="262" t="s">
        <v>99</v>
      </c>
      <c r="BT443" s="277"/>
      <c r="BW443" s="266">
        <f t="shared" si="269"/>
        <v>0</v>
      </c>
      <c r="BX443" s="266">
        <f t="shared" si="270"/>
        <v>0</v>
      </c>
      <c r="BY443" s="266">
        <f t="shared" si="271"/>
        <v>0</v>
      </c>
      <c r="BZ443" s="266">
        <f t="shared" si="272"/>
        <v>0</v>
      </c>
      <c r="CA443" s="266">
        <f ca="1">N443*IFERROR(INDEX(Algorithms!$G:$G,MATCH($C443&amp;"_Therm Saved per Unit- MLA",Algorithms!$A:$A,0)),0)*X443</f>
        <v>0</v>
      </c>
      <c r="CB443" s="266">
        <f ca="1">O443*IFERROR(INDEX(Algorithms!$G:$G,MATCH($C443&amp;"_Therm Saved per Unit- MLA",Algorithms!$A:$A,0)),0)*Y443</f>
        <v>0</v>
      </c>
      <c r="CC443" s="266">
        <f ca="1">P443*IFERROR(INDEX(Algorithms!$G:$G,MATCH($C443&amp;"_Therm Saved per Unit- MLA",Algorithms!$A:$A,0)),0)*Z443</f>
        <v>0</v>
      </c>
      <c r="CD443" s="266">
        <f ca="1">Q443*IFERROR(INDEX(Algorithms!$G:$G,MATCH($C443&amp;"_Therm Saved per Unit- MLA",Algorithms!$A:$A,0)),0)*AA443</f>
        <v>0</v>
      </c>
      <c r="CE443" s="266">
        <f ca="1">IFERROR(INDEX(Algorithms!$G:$G,MATCH($C443&amp;"_Lifetime (years)",Algorithms!$A:$A,0)),0)</f>
        <v>15</v>
      </c>
      <c r="CF443" s="266">
        <f ca="1">IFERROR(INDEX(Algorithms!$G:$G,MATCH($C443&amp;"_Lifetime (years) - Remaining Years",Algorithms!$A:$A,0)),0)</f>
        <v>0</v>
      </c>
      <c r="CG443" s="266">
        <f t="shared" ca="1" si="273"/>
        <v>0</v>
      </c>
      <c r="CH443" s="266">
        <f t="shared" ca="1" si="274"/>
        <v>0</v>
      </c>
      <c r="CI443" s="266">
        <f t="shared" ca="1" si="275"/>
        <v>0</v>
      </c>
      <c r="CJ443" s="266">
        <f t="shared" ca="1" si="276"/>
        <v>0</v>
      </c>
      <c r="CK443" s="266">
        <f t="shared" si="277"/>
        <v>0</v>
      </c>
      <c r="CL443" s="266">
        <f t="shared" si="278"/>
        <v>0</v>
      </c>
      <c r="CM443" s="266">
        <f t="shared" ca="1" si="279"/>
        <v>0</v>
      </c>
      <c r="CN443" s="266">
        <f t="shared" ca="1" si="280"/>
        <v>0</v>
      </c>
      <c r="CO443" s="266">
        <f ca="1">N443*IFERROR(INDEX(Algorithms!$G:$G,MATCH($C443&amp;"_Therm Saved per Unit- MLA",Algorithms!$A:$A,0)),0)*X443</f>
        <v>0</v>
      </c>
      <c r="CP443" s="266">
        <f ca="1">O443*IFERROR(INDEX(Algorithms!$G:$G,MATCH($C443&amp;"_Therm Saved per Unit- MLA",Algorithms!$A:$A,0)),0)*Y443</f>
        <v>0</v>
      </c>
      <c r="CQ443" s="266">
        <f ca="1">P443*IFERROR(INDEX(Algorithms!$G:$G,MATCH($C443&amp;"_Therm Saved per Unit- MLA",Algorithms!$A:$A,0)),0)*Z443</f>
        <v>0</v>
      </c>
      <c r="CR443" s="266">
        <f ca="1">Q443*IFERROR(INDEX(Algorithms!$G:$G,MATCH($C443&amp;"_Therm Saved per Unit- MLA",Algorithms!$A:$A,0)),0)*AA443</f>
        <v>0</v>
      </c>
      <c r="CS443" s="266">
        <f ca="1">IFERROR(INDEX(Algorithms!$G:$G,MATCH($C443&amp;"_Lifetime (years)",Algorithms!$A:$A,0)),0)</f>
        <v>15</v>
      </c>
      <c r="CT443" s="266">
        <f ca="1">IFERROR(INDEX(Algorithms!$G:$G,MATCH($C443&amp;"_Lifetime (years) - Remaining Years",Algorithms!$A:$A,0)),0)</f>
        <v>0</v>
      </c>
      <c r="CU443" s="266">
        <f t="shared" ca="1" si="281"/>
        <v>0</v>
      </c>
      <c r="CV443" s="266">
        <f t="shared" ca="1" si="282"/>
        <v>0</v>
      </c>
      <c r="CW443" s="266">
        <f t="shared" ca="1" si="283"/>
        <v>0</v>
      </c>
      <c r="CX443" s="266">
        <f t="shared" ca="1" si="284"/>
        <v>0</v>
      </c>
    </row>
    <row r="444" spans="2:102" s="47" customFormat="1" ht="18" customHeight="1" x14ac:dyDescent="0.25">
      <c r="B444" t="str">
        <f t="shared" si="285"/>
        <v>NSG_Income Eligible_Multi-Family_Whole Building - Prescriptive_Pipe Insulation_Steam - X-Large &gt;8"_MF</v>
      </c>
      <c r="C444" s="47" t="str">
        <f t="shared" si="246"/>
        <v>Pipe Insulation_Steam - X-Large &gt;8"_MF</v>
      </c>
      <c r="D444" s="270" t="s">
        <v>1787</v>
      </c>
      <c r="E444" s="270" t="s">
        <v>325</v>
      </c>
      <c r="F444" s="270" t="s">
        <v>1422</v>
      </c>
      <c r="G444" s="270" t="s">
        <v>1813</v>
      </c>
      <c r="H444" s="270" t="s">
        <v>404</v>
      </c>
      <c r="I444" s="270" t="s">
        <v>960</v>
      </c>
      <c r="J444" s="270" t="s">
        <v>553</v>
      </c>
      <c r="K444" s="263">
        <v>1</v>
      </c>
      <c r="L444" s="263" t="str">
        <f ca="1">IFERROR(INDEX(Algorithms!J:J,MATCH($C444&amp;"_Therm Saved per Unit",Algorithms!$A:$A,0)),"n/a")</f>
        <v>"3 - Res Pipe Insulation" worksheet</v>
      </c>
      <c r="M444" s="263" t="str">
        <f>IFERROR(INDEX('Measure Level Detail'!$N:$N,MATCH($B444,'Measure Level Detail'!$B:$B,0)),0)</f>
        <v>ft</v>
      </c>
      <c r="N444" s="271">
        <f>IFERROR(INDEX('Measure Level Detail'!$P:$P,MATCH($B444&amp;"_"&amp;N$3,'Measure Level Detail'!$C:$C,0)),0)</f>
        <v>0</v>
      </c>
      <c r="O444" s="271">
        <f>IFERROR(INDEX('Measure Level Detail'!$P:$P,MATCH($B444&amp;"_"&amp;O$3,'Measure Level Detail'!$C:$C,0)),0)</f>
        <v>0</v>
      </c>
      <c r="P444" s="271">
        <f>IFERROR(INDEX('Measure Level Detail'!$P:$P,MATCH($B444&amp;"_"&amp;P$3,'Measure Level Detail'!$C:$C,0)),0)</f>
        <v>0</v>
      </c>
      <c r="Q444" s="271">
        <f>IFERROR(INDEX('Measure Level Detail'!$P:$P,MATCH($B444&amp;"_"&amp;Q$3,'Measure Level Detail'!$C:$C,0)),0)</f>
        <v>0</v>
      </c>
      <c r="R444" s="263">
        <f ca="1">IFERROR(INDEX(Algorithms!K:K,MATCH($C444&amp;"_Therm Saved per Unit",Algorithms!$A:$A,0)),"n/a")</f>
        <v>0</v>
      </c>
      <c r="S444" s="262"/>
      <c r="T444" s="272">
        <v>44.814401171573145</v>
      </c>
      <c r="U444" s="272">
        <v>44.814401171573145</v>
      </c>
      <c r="V444" s="272">
        <v>44.814401171573145</v>
      </c>
      <c r="W444" s="272">
        <v>44.814401171573145</v>
      </c>
      <c r="X444" s="273">
        <f>IFERROR(INDEX('Measure Level Detail'!$R:$R,MATCH($B444&amp;"_"&amp;X$3,'Measure Level Detail'!$C:$C,0)),0)</f>
        <v>1</v>
      </c>
      <c r="Y444" s="273">
        <f>IFERROR(INDEX('Measure Level Detail'!$R:$R,MATCH($B444&amp;"_"&amp;Y$3,'Measure Level Detail'!$C:$C,0)),0)</f>
        <v>1</v>
      </c>
      <c r="Z444" s="273">
        <f>IFERROR(INDEX('Measure Level Detail'!$R:$R,MATCH($B444&amp;"_"&amp;Z$3,'Measure Level Detail'!$C:$C,0)),0)</f>
        <v>1</v>
      </c>
      <c r="AA444" s="273">
        <f>IFERROR(INDEX('Measure Level Detail'!$R:$R,MATCH($B444&amp;"_"&amp;AA$3,'Measure Level Detail'!$C:$C,0)),0)</f>
        <v>1</v>
      </c>
      <c r="AB444" s="266">
        <f t="shared" si="247"/>
        <v>0</v>
      </c>
      <c r="AC444" s="266">
        <f t="shared" si="248"/>
        <v>0</v>
      </c>
      <c r="AD444" s="266">
        <f t="shared" si="249"/>
        <v>0</v>
      </c>
      <c r="AE444" s="266">
        <f t="shared" si="250"/>
        <v>0</v>
      </c>
      <c r="AF444" s="266">
        <f t="shared" si="251"/>
        <v>0</v>
      </c>
      <c r="AG444" s="274">
        <v>1</v>
      </c>
      <c r="AH444" s="274">
        <v>1</v>
      </c>
      <c r="AI444" s="274">
        <v>1</v>
      </c>
      <c r="AJ444" s="274">
        <v>1</v>
      </c>
      <c r="AK444" s="274">
        <f t="shared" si="252"/>
        <v>1</v>
      </c>
      <c r="AL444" s="274">
        <f t="shared" si="253"/>
        <v>1</v>
      </c>
      <c r="AM444" s="274">
        <f t="shared" si="254"/>
        <v>1</v>
      </c>
      <c r="AN444" s="274">
        <f t="shared" si="255"/>
        <v>1</v>
      </c>
      <c r="AO444" s="262"/>
      <c r="AP444" s="262"/>
      <c r="AQ444" s="267">
        <v>44.814401171573145</v>
      </c>
      <c r="AR444" s="262"/>
      <c r="AS444" s="266">
        <f t="shared" si="256"/>
        <v>0</v>
      </c>
      <c r="AT444" s="264">
        <f t="shared" si="257"/>
        <v>0</v>
      </c>
      <c r="AU444" s="262"/>
      <c r="AV444" s="262"/>
      <c r="AW444" s="265">
        <v>44.814401171573145</v>
      </c>
      <c r="AX444" s="164" t="s">
        <v>1469</v>
      </c>
      <c r="AY444" s="266">
        <v>0</v>
      </c>
      <c r="AZ444" s="266">
        <f t="shared" si="258"/>
        <v>0</v>
      </c>
      <c r="BA444" s="264">
        <f t="shared" si="259"/>
        <v>0</v>
      </c>
      <c r="BB444" s="262"/>
      <c r="BC444" s="262"/>
      <c r="BD444" s="265">
        <f ca="1">IFERROR(INDEX(Algorithms!$G:$G,MATCH($C444&amp;"_Therm Saved per Unit",Algorithms!$A:$A,0)),0)</f>
        <v>44.814401171573145</v>
      </c>
      <c r="BE444" s="164" t="str">
        <f ca="1">IFERROR(INDEX('v12 Revisions'!$P$29:$P$186, MATCH('Measure-Level Adj Gas'!$L444, 'v12 Revisions'!$D$29:$D$186,0)),"")</f>
        <v/>
      </c>
      <c r="BF444" s="266">
        <f t="shared" ca="1" si="260"/>
        <v>0</v>
      </c>
      <c r="BG444" s="264">
        <f t="shared" ca="1" si="261"/>
        <v>0</v>
      </c>
      <c r="BH444" s="262"/>
      <c r="BI444" s="262"/>
      <c r="BJ444" s="265">
        <f ca="1">IFERROR(INDEX(Algorithms!$G:$G,MATCH($C444&amp;"_Therm Saved per Unit",Algorithms!$A:$A,0)),0)</f>
        <v>44.814401171573145</v>
      </c>
      <c r="BK444" s="164"/>
      <c r="BL444" s="266">
        <f t="shared" ca="1" si="262"/>
        <v>0</v>
      </c>
      <c r="BM444" s="264">
        <f t="shared" ca="1" si="263"/>
        <v>0</v>
      </c>
      <c r="BN444" s="266">
        <f t="shared" si="264"/>
        <v>0</v>
      </c>
      <c r="BO444" s="266">
        <f t="shared" si="265"/>
        <v>0</v>
      </c>
      <c r="BP444" s="266">
        <f t="shared" ca="1" si="266"/>
        <v>0</v>
      </c>
      <c r="BQ444" s="266">
        <f t="shared" ca="1" si="267"/>
        <v>0</v>
      </c>
      <c r="BR444" s="268">
        <f t="shared" ca="1" si="268"/>
        <v>0</v>
      </c>
      <c r="BS444" s="262" t="s">
        <v>99</v>
      </c>
      <c r="BT444" s="277"/>
      <c r="BW444" s="266">
        <f t="shared" si="269"/>
        <v>0</v>
      </c>
      <c r="BX444" s="266">
        <f t="shared" si="270"/>
        <v>0</v>
      </c>
      <c r="BY444" s="266">
        <f t="shared" si="271"/>
        <v>0</v>
      </c>
      <c r="BZ444" s="266">
        <f t="shared" si="272"/>
        <v>0</v>
      </c>
      <c r="CA444" s="266">
        <f ca="1">N444*IFERROR(INDEX(Algorithms!$G:$G,MATCH($C444&amp;"_Therm Saved per Unit- MLA",Algorithms!$A:$A,0)),0)*X444</f>
        <v>0</v>
      </c>
      <c r="CB444" s="266">
        <f ca="1">O444*IFERROR(INDEX(Algorithms!$G:$G,MATCH($C444&amp;"_Therm Saved per Unit- MLA",Algorithms!$A:$A,0)),0)*Y444</f>
        <v>0</v>
      </c>
      <c r="CC444" s="266">
        <f ca="1">P444*IFERROR(INDEX(Algorithms!$G:$G,MATCH($C444&amp;"_Therm Saved per Unit- MLA",Algorithms!$A:$A,0)),0)*Z444</f>
        <v>0</v>
      </c>
      <c r="CD444" s="266">
        <f ca="1">Q444*IFERROR(INDEX(Algorithms!$G:$G,MATCH($C444&amp;"_Therm Saved per Unit- MLA",Algorithms!$A:$A,0)),0)*AA444</f>
        <v>0</v>
      </c>
      <c r="CE444" s="266">
        <f ca="1">IFERROR(INDEX(Algorithms!$G:$G,MATCH($C444&amp;"_Lifetime (years)",Algorithms!$A:$A,0)),0)</f>
        <v>15</v>
      </c>
      <c r="CF444" s="266">
        <f ca="1">IFERROR(INDEX(Algorithms!$G:$G,MATCH($C444&amp;"_Lifetime (years) - Remaining Years",Algorithms!$A:$A,0)),0)</f>
        <v>0</v>
      </c>
      <c r="CG444" s="266">
        <f t="shared" ca="1" si="273"/>
        <v>0</v>
      </c>
      <c r="CH444" s="266">
        <f t="shared" ca="1" si="274"/>
        <v>0</v>
      </c>
      <c r="CI444" s="266">
        <f t="shared" ca="1" si="275"/>
        <v>0</v>
      </c>
      <c r="CJ444" s="266">
        <f t="shared" ca="1" si="276"/>
        <v>0</v>
      </c>
      <c r="CK444" s="266">
        <f t="shared" si="277"/>
        <v>0</v>
      </c>
      <c r="CL444" s="266">
        <f t="shared" si="278"/>
        <v>0</v>
      </c>
      <c r="CM444" s="266">
        <f t="shared" ca="1" si="279"/>
        <v>0</v>
      </c>
      <c r="CN444" s="266">
        <f t="shared" ca="1" si="280"/>
        <v>0</v>
      </c>
      <c r="CO444" s="266">
        <f ca="1">N444*IFERROR(INDEX(Algorithms!$G:$G,MATCH($C444&amp;"_Therm Saved per Unit- MLA",Algorithms!$A:$A,0)),0)*X444</f>
        <v>0</v>
      </c>
      <c r="CP444" s="266">
        <f ca="1">O444*IFERROR(INDEX(Algorithms!$G:$G,MATCH($C444&amp;"_Therm Saved per Unit- MLA",Algorithms!$A:$A,0)),0)*Y444</f>
        <v>0</v>
      </c>
      <c r="CQ444" s="266">
        <f ca="1">P444*IFERROR(INDEX(Algorithms!$G:$G,MATCH($C444&amp;"_Therm Saved per Unit- MLA",Algorithms!$A:$A,0)),0)*Z444</f>
        <v>0</v>
      </c>
      <c r="CR444" s="266">
        <f ca="1">Q444*IFERROR(INDEX(Algorithms!$G:$G,MATCH($C444&amp;"_Therm Saved per Unit- MLA",Algorithms!$A:$A,0)),0)*AA444</f>
        <v>0</v>
      </c>
      <c r="CS444" s="266">
        <f ca="1">IFERROR(INDEX(Algorithms!$G:$G,MATCH($C444&amp;"_Lifetime (years)",Algorithms!$A:$A,0)),0)</f>
        <v>15</v>
      </c>
      <c r="CT444" s="266">
        <f ca="1">IFERROR(INDEX(Algorithms!$G:$G,MATCH($C444&amp;"_Lifetime (years) - Remaining Years",Algorithms!$A:$A,0)),0)</f>
        <v>0</v>
      </c>
      <c r="CU444" s="266">
        <f t="shared" ca="1" si="281"/>
        <v>0</v>
      </c>
      <c r="CV444" s="266">
        <f t="shared" ca="1" si="282"/>
        <v>0</v>
      </c>
      <c r="CW444" s="266">
        <f t="shared" ca="1" si="283"/>
        <v>0</v>
      </c>
      <c r="CX444" s="266">
        <f t="shared" ca="1" si="284"/>
        <v>0</v>
      </c>
    </row>
    <row r="445" spans="2:102" s="47" customFormat="1" ht="18" customHeight="1" x14ac:dyDescent="0.25">
      <c r="B445" t="str">
        <f t="shared" si="285"/>
        <v>NSG_Income Eligible_Multi-Family_Whole Building - Prescriptive_Pipe Insulation_Steam Small Fitting_MF</v>
      </c>
      <c r="C445" s="47" t="str">
        <f t="shared" si="246"/>
        <v>Pipe Insulation_Steam Small Fitting_MF</v>
      </c>
      <c r="D445" s="270" t="s">
        <v>1787</v>
      </c>
      <c r="E445" s="270" t="s">
        <v>325</v>
      </c>
      <c r="F445" s="270" t="s">
        <v>1422</v>
      </c>
      <c r="G445" s="270" t="s">
        <v>1813</v>
      </c>
      <c r="H445" s="270" t="s">
        <v>404</v>
      </c>
      <c r="I445" s="270" t="s">
        <v>961</v>
      </c>
      <c r="J445" s="270" t="s">
        <v>553</v>
      </c>
      <c r="K445" s="263">
        <v>1</v>
      </c>
      <c r="L445" s="263" t="str">
        <f ca="1">IFERROR(INDEX(Algorithms!J:J,MATCH($C445&amp;"_Therm Saved per Unit",Algorithms!$A:$A,0)),"n/a")</f>
        <v>"3 - Res Pipe Insulation" worksheet</v>
      </c>
      <c r="M445" s="263" t="str">
        <f>IFERROR(INDEX('Measure Level Detail'!$N:$N,MATCH($B445,'Measure Level Detail'!$B:$B,0)),0)</f>
        <v>each</v>
      </c>
      <c r="N445" s="271">
        <f>IFERROR(INDEX('Measure Level Detail'!$P:$P,MATCH($B445&amp;"_"&amp;N$3,'Measure Level Detail'!$C:$C,0)),0)</f>
        <v>0</v>
      </c>
      <c r="O445" s="271">
        <f>IFERROR(INDEX('Measure Level Detail'!$P:$P,MATCH($B445&amp;"_"&amp;O$3,'Measure Level Detail'!$C:$C,0)),0)</f>
        <v>0</v>
      </c>
      <c r="P445" s="271">
        <f>IFERROR(INDEX('Measure Level Detail'!$P:$P,MATCH($B445&amp;"_"&amp;P$3,'Measure Level Detail'!$C:$C,0)),0)</f>
        <v>0</v>
      </c>
      <c r="Q445" s="271">
        <f>IFERROR(INDEX('Measure Level Detail'!$P:$P,MATCH($B445&amp;"_"&amp;Q$3,'Measure Level Detail'!$C:$C,0)),0)</f>
        <v>0</v>
      </c>
      <c r="R445" s="263">
        <f ca="1">IFERROR(INDEX(Algorithms!K:K,MATCH($C445&amp;"_Therm Saved per Unit",Algorithms!$A:$A,0)),"n/a")</f>
        <v>0</v>
      </c>
      <c r="S445" s="262"/>
      <c r="T445" s="272">
        <v>1.9537953012070903</v>
      </c>
      <c r="U445" s="272">
        <v>1.9537953012070903</v>
      </c>
      <c r="V445" s="272">
        <v>1.9537953012070903</v>
      </c>
      <c r="W445" s="272">
        <v>1.9537953012070903</v>
      </c>
      <c r="X445" s="273">
        <f>IFERROR(INDEX('Measure Level Detail'!$R:$R,MATCH($B445&amp;"_"&amp;X$3,'Measure Level Detail'!$C:$C,0)),0)</f>
        <v>1</v>
      </c>
      <c r="Y445" s="273">
        <f>IFERROR(INDEX('Measure Level Detail'!$R:$R,MATCH($B445&amp;"_"&amp;Y$3,'Measure Level Detail'!$C:$C,0)),0)</f>
        <v>1</v>
      </c>
      <c r="Z445" s="273">
        <f>IFERROR(INDEX('Measure Level Detail'!$R:$R,MATCH($B445&amp;"_"&amp;Z$3,'Measure Level Detail'!$C:$C,0)),0)</f>
        <v>1</v>
      </c>
      <c r="AA445" s="273">
        <f>IFERROR(INDEX('Measure Level Detail'!$R:$R,MATCH($B445&amp;"_"&amp;AA$3,'Measure Level Detail'!$C:$C,0)),0)</f>
        <v>1</v>
      </c>
      <c r="AB445" s="266">
        <f t="shared" si="247"/>
        <v>0</v>
      </c>
      <c r="AC445" s="266">
        <f t="shared" si="248"/>
        <v>0</v>
      </c>
      <c r="AD445" s="266">
        <f t="shared" si="249"/>
        <v>0</v>
      </c>
      <c r="AE445" s="266">
        <f t="shared" si="250"/>
        <v>0</v>
      </c>
      <c r="AF445" s="266">
        <f t="shared" si="251"/>
        <v>0</v>
      </c>
      <c r="AG445" s="274">
        <v>1</v>
      </c>
      <c r="AH445" s="274">
        <v>1</v>
      </c>
      <c r="AI445" s="274">
        <v>1</v>
      </c>
      <c r="AJ445" s="274">
        <v>1</v>
      </c>
      <c r="AK445" s="274">
        <f t="shared" si="252"/>
        <v>1</v>
      </c>
      <c r="AL445" s="274">
        <f t="shared" si="253"/>
        <v>1</v>
      </c>
      <c r="AM445" s="274">
        <f t="shared" si="254"/>
        <v>1</v>
      </c>
      <c r="AN445" s="274">
        <f t="shared" si="255"/>
        <v>1</v>
      </c>
      <c r="AO445" s="262"/>
      <c r="AP445" s="262"/>
      <c r="AQ445" s="267">
        <v>1.9537953012070903</v>
      </c>
      <c r="AR445" s="262"/>
      <c r="AS445" s="266">
        <f t="shared" si="256"/>
        <v>0</v>
      </c>
      <c r="AT445" s="264">
        <f t="shared" si="257"/>
        <v>0</v>
      </c>
      <c r="AU445" s="262"/>
      <c r="AV445" s="262"/>
      <c r="AW445" s="265">
        <v>1.9537953012070903</v>
      </c>
      <c r="AX445" s="164" t="s">
        <v>1469</v>
      </c>
      <c r="AY445" s="266">
        <v>0</v>
      </c>
      <c r="AZ445" s="266">
        <f t="shared" si="258"/>
        <v>0</v>
      </c>
      <c r="BA445" s="264">
        <f t="shared" si="259"/>
        <v>0</v>
      </c>
      <c r="BB445" s="262"/>
      <c r="BC445" s="262"/>
      <c r="BD445" s="265">
        <f ca="1">IFERROR(INDEX(Algorithms!$G:$G,MATCH($C445&amp;"_Therm Saved per Unit",Algorithms!$A:$A,0)),0)</f>
        <v>1.9537953012070903</v>
      </c>
      <c r="BE445" s="164" t="str">
        <f ca="1">IFERROR(INDEX('v12 Revisions'!$P$29:$P$186, MATCH('Measure-Level Adj Gas'!$L445, 'v12 Revisions'!$D$29:$D$186,0)),"")</f>
        <v/>
      </c>
      <c r="BF445" s="266">
        <f t="shared" ca="1" si="260"/>
        <v>0</v>
      </c>
      <c r="BG445" s="264">
        <f t="shared" ca="1" si="261"/>
        <v>0</v>
      </c>
      <c r="BH445" s="262"/>
      <c r="BI445" s="262"/>
      <c r="BJ445" s="265">
        <f ca="1">IFERROR(INDEX(Algorithms!$G:$G,MATCH($C445&amp;"_Therm Saved per Unit",Algorithms!$A:$A,0)),0)</f>
        <v>1.9537953012070903</v>
      </c>
      <c r="BK445" s="164"/>
      <c r="BL445" s="266">
        <f t="shared" ca="1" si="262"/>
        <v>0</v>
      </c>
      <c r="BM445" s="264">
        <f t="shared" ca="1" si="263"/>
        <v>0</v>
      </c>
      <c r="BN445" s="266">
        <f t="shared" si="264"/>
        <v>0</v>
      </c>
      <c r="BO445" s="266">
        <f t="shared" si="265"/>
        <v>0</v>
      </c>
      <c r="BP445" s="266">
        <f t="shared" ca="1" si="266"/>
        <v>0</v>
      </c>
      <c r="BQ445" s="266">
        <f t="shared" ca="1" si="267"/>
        <v>0</v>
      </c>
      <c r="BR445" s="268">
        <f t="shared" ca="1" si="268"/>
        <v>0</v>
      </c>
      <c r="BS445" s="262" t="s">
        <v>99</v>
      </c>
      <c r="BT445" s="277"/>
      <c r="BW445" s="266">
        <f t="shared" si="269"/>
        <v>0</v>
      </c>
      <c r="BX445" s="266">
        <f t="shared" si="270"/>
        <v>0</v>
      </c>
      <c r="BY445" s="266">
        <f t="shared" si="271"/>
        <v>0</v>
      </c>
      <c r="BZ445" s="266">
        <f t="shared" si="272"/>
        <v>0</v>
      </c>
      <c r="CA445" s="266">
        <f ca="1">N445*IFERROR(INDEX(Algorithms!$G:$G,MATCH($C445&amp;"_Therm Saved per Unit- MLA",Algorithms!$A:$A,0)),0)*X445</f>
        <v>0</v>
      </c>
      <c r="CB445" s="266">
        <f ca="1">O445*IFERROR(INDEX(Algorithms!$G:$G,MATCH($C445&amp;"_Therm Saved per Unit- MLA",Algorithms!$A:$A,0)),0)*Y445</f>
        <v>0</v>
      </c>
      <c r="CC445" s="266">
        <f ca="1">P445*IFERROR(INDEX(Algorithms!$G:$G,MATCH($C445&amp;"_Therm Saved per Unit- MLA",Algorithms!$A:$A,0)),0)*Z445</f>
        <v>0</v>
      </c>
      <c r="CD445" s="266">
        <f ca="1">Q445*IFERROR(INDEX(Algorithms!$G:$G,MATCH($C445&amp;"_Therm Saved per Unit- MLA",Algorithms!$A:$A,0)),0)*AA445</f>
        <v>0</v>
      </c>
      <c r="CE445" s="266">
        <f ca="1">IFERROR(INDEX(Algorithms!$G:$G,MATCH($C445&amp;"_Lifetime (years)",Algorithms!$A:$A,0)),0)</f>
        <v>15</v>
      </c>
      <c r="CF445" s="266">
        <f ca="1">IFERROR(INDEX(Algorithms!$G:$G,MATCH($C445&amp;"_Lifetime (years) - Remaining Years",Algorithms!$A:$A,0)),0)</f>
        <v>0</v>
      </c>
      <c r="CG445" s="266">
        <f t="shared" ca="1" si="273"/>
        <v>0</v>
      </c>
      <c r="CH445" s="266">
        <f t="shared" ca="1" si="274"/>
        <v>0</v>
      </c>
      <c r="CI445" s="266">
        <f t="shared" ca="1" si="275"/>
        <v>0</v>
      </c>
      <c r="CJ445" s="266">
        <f t="shared" ca="1" si="276"/>
        <v>0</v>
      </c>
      <c r="CK445" s="266">
        <f t="shared" si="277"/>
        <v>0</v>
      </c>
      <c r="CL445" s="266">
        <f t="shared" si="278"/>
        <v>0</v>
      </c>
      <c r="CM445" s="266">
        <f t="shared" ca="1" si="279"/>
        <v>0</v>
      </c>
      <c r="CN445" s="266">
        <f t="shared" ca="1" si="280"/>
        <v>0</v>
      </c>
      <c r="CO445" s="266">
        <f ca="1">N445*IFERROR(INDEX(Algorithms!$G:$G,MATCH($C445&amp;"_Therm Saved per Unit- MLA",Algorithms!$A:$A,0)),0)*X445</f>
        <v>0</v>
      </c>
      <c r="CP445" s="266">
        <f ca="1">O445*IFERROR(INDEX(Algorithms!$G:$G,MATCH($C445&amp;"_Therm Saved per Unit- MLA",Algorithms!$A:$A,0)),0)*Y445</f>
        <v>0</v>
      </c>
      <c r="CQ445" s="266">
        <f ca="1">P445*IFERROR(INDEX(Algorithms!$G:$G,MATCH($C445&amp;"_Therm Saved per Unit- MLA",Algorithms!$A:$A,0)),0)*Z445</f>
        <v>0</v>
      </c>
      <c r="CR445" s="266">
        <f ca="1">Q445*IFERROR(INDEX(Algorithms!$G:$G,MATCH($C445&amp;"_Therm Saved per Unit- MLA",Algorithms!$A:$A,0)),0)*AA445</f>
        <v>0</v>
      </c>
      <c r="CS445" s="266">
        <f ca="1">IFERROR(INDEX(Algorithms!$G:$G,MATCH($C445&amp;"_Lifetime (years)",Algorithms!$A:$A,0)),0)</f>
        <v>15</v>
      </c>
      <c r="CT445" s="266">
        <f ca="1">IFERROR(INDEX(Algorithms!$G:$G,MATCH($C445&amp;"_Lifetime (years) - Remaining Years",Algorithms!$A:$A,0)),0)</f>
        <v>0</v>
      </c>
      <c r="CU445" s="266">
        <f t="shared" ca="1" si="281"/>
        <v>0</v>
      </c>
      <c r="CV445" s="266">
        <f t="shared" ca="1" si="282"/>
        <v>0</v>
      </c>
      <c r="CW445" s="266">
        <f t="shared" ca="1" si="283"/>
        <v>0</v>
      </c>
      <c r="CX445" s="266">
        <f t="shared" ca="1" si="284"/>
        <v>0</v>
      </c>
    </row>
    <row r="446" spans="2:102" s="47" customFormat="1" ht="18" customHeight="1" x14ac:dyDescent="0.25">
      <c r="B446" t="str">
        <f t="shared" si="285"/>
        <v>NSG_Income Eligible_Multi-Family_Whole Building - Prescriptive_Pipe Insulation_Steam X-Large Fitting_MF</v>
      </c>
      <c r="C446" s="47" t="str">
        <f t="shared" si="246"/>
        <v>Pipe Insulation_Steam X-Large Fitting_MF</v>
      </c>
      <c r="D446" s="270" t="s">
        <v>1787</v>
      </c>
      <c r="E446" s="270" t="s">
        <v>325</v>
      </c>
      <c r="F446" s="270" t="s">
        <v>1422</v>
      </c>
      <c r="G446" s="270" t="s">
        <v>1813</v>
      </c>
      <c r="H446" s="270" t="s">
        <v>404</v>
      </c>
      <c r="I446" s="270" t="s">
        <v>964</v>
      </c>
      <c r="J446" s="270" t="s">
        <v>553</v>
      </c>
      <c r="K446" s="263">
        <v>1</v>
      </c>
      <c r="L446" s="263" t="str">
        <f ca="1">IFERROR(INDEX(Algorithms!J:J,MATCH($C446&amp;"_Therm Saved per Unit",Algorithms!$A:$A,0)),"n/a")</f>
        <v>"3 - Res Pipe Insulation" worksheet</v>
      </c>
      <c r="M446" s="263" t="str">
        <f>IFERROR(INDEX('Measure Level Detail'!$N:$N,MATCH($B446,'Measure Level Detail'!$B:$B,0)),0)</f>
        <v>each</v>
      </c>
      <c r="N446" s="271">
        <f>IFERROR(INDEX('Measure Level Detail'!$P:$P,MATCH($B446&amp;"_"&amp;N$3,'Measure Level Detail'!$C:$C,0)),0)</f>
        <v>0</v>
      </c>
      <c r="O446" s="271">
        <f>IFERROR(INDEX('Measure Level Detail'!$P:$P,MATCH($B446&amp;"_"&amp;O$3,'Measure Level Detail'!$C:$C,0)),0)</f>
        <v>0</v>
      </c>
      <c r="P446" s="271">
        <f>IFERROR(INDEX('Measure Level Detail'!$P:$P,MATCH($B446&amp;"_"&amp;P$3,'Measure Level Detail'!$C:$C,0)),0)</f>
        <v>0</v>
      </c>
      <c r="Q446" s="271">
        <f>IFERROR(INDEX('Measure Level Detail'!$P:$P,MATCH($B446&amp;"_"&amp;Q$3,'Measure Level Detail'!$C:$C,0)),0)</f>
        <v>0</v>
      </c>
      <c r="R446" s="263">
        <f ca="1">IFERROR(INDEX(Algorithms!K:K,MATCH($C446&amp;"_Therm Saved per Unit",Algorithms!$A:$A,0)),"n/a")</f>
        <v>0</v>
      </c>
      <c r="S446" s="262"/>
      <c r="T446" s="272">
        <v>113.8883886472908</v>
      </c>
      <c r="U446" s="272">
        <v>113.8883886472908</v>
      </c>
      <c r="V446" s="272">
        <v>113.8883886472908</v>
      </c>
      <c r="W446" s="272">
        <v>113.8883886472908</v>
      </c>
      <c r="X446" s="273">
        <f>IFERROR(INDEX('Measure Level Detail'!$R:$R,MATCH($B446&amp;"_"&amp;X$3,'Measure Level Detail'!$C:$C,0)),0)</f>
        <v>1</v>
      </c>
      <c r="Y446" s="273">
        <f>IFERROR(INDEX('Measure Level Detail'!$R:$R,MATCH($B446&amp;"_"&amp;Y$3,'Measure Level Detail'!$C:$C,0)),0)</f>
        <v>1</v>
      </c>
      <c r="Z446" s="273">
        <f>IFERROR(INDEX('Measure Level Detail'!$R:$R,MATCH($B446&amp;"_"&amp;Z$3,'Measure Level Detail'!$C:$C,0)),0)</f>
        <v>1</v>
      </c>
      <c r="AA446" s="273">
        <f>IFERROR(INDEX('Measure Level Detail'!$R:$R,MATCH($B446&amp;"_"&amp;AA$3,'Measure Level Detail'!$C:$C,0)),0)</f>
        <v>1</v>
      </c>
      <c r="AB446" s="266">
        <f t="shared" si="247"/>
        <v>0</v>
      </c>
      <c r="AC446" s="266">
        <f t="shared" si="248"/>
        <v>0</v>
      </c>
      <c r="AD446" s="266">
        <f t="shared" si="249"/>
        <v>0</v>
      </c>
      <c r="AE446" s="266">
        <f t="shared" si="250"/>
        <v>0</v>
      </c>
      <c r="AF446" s="266">
        <f t="shared" si="251"/>
        <v>0</v>
      </c>
      <c r="AG446" s="274">
        <v>1</v>
      </c>
      <c r="AH446" s="274">
        <v>1</v>
      </c>
      <c r="AI446" s="274">
        <v>1</v>
      </c>
      <c r="AJ446" s="274">
        <v>1</v>
      </c>
      <c r="AK446" s="274">
        <f t="shared" si="252"/>
        <v>1</v>
      </c>
      <c r="AL446" s="274">
        <f t="shared" si="253"/>
        <v>1</v>
      </c>
      <c r="AM446" s="274">
        <f t="shared" si="254"/>
        <v>1</v>
      </c>
      <c r="AN446" s="274">
        <f t="shared" si="255"/>
        <v>1</v>
      </c>
      <c r="AO446" s="262"/>
      <c r="AP446" s="262"/>
      <c r="AQ446" s="267">
        <v>113.8883886472908</v>
      </c>
      <c r="AR446" s="262"/>
      <c r="AS446" s="266">
        <f t="shared" si="256"/>
        <v>0</v>
      </c>
      <c r="AT446" s="264">
        <f t="shared" si="257"/>
        <v>0</v>
      </c>
      <c r="AU446" s="262"/>
      <c r="AV446" s="262"/>
      <c r="AW446" s="265">
        <v>113.8883886472908</v>
      </c>
      <c r="AX446" s="164" t="s">
        <v>1469</v>
      </c>
      <c r="AY446" s="266">
        <v>0</v>
      </c>
      <c r="AZ446" s="266">
        <f t="shared" si="258"/>
        <v>0</v>
      </c>
      <c r="BA446" s="264">
        <f t="shared" si="259"/>
        <v>0</v>
      </c>
      <c r="BB446" s="262"/>
      <c r="BC446" s="262"/>
      <c r="BD446" s="265">
        <f ca="1">IFERROR(INDEX(Algorithms!$G:$G,MATCH($C446&amp;"_Therm Saved per Unit",Algorithms!$A:$A,0)),0)</f>
        <v>113.8883886472908</v>
      </c>
      <c r="BE446" s="164" t="str">
        <f ca="1">IFERROR(INDEX('v12 Revisions'!$P$29:$P$186, MATCH('Measure-Level Adj Gas'!$L446, 'v12 Revisions'!$D$29:$D$186,0)),"")</f>
        <v/>
      </c>
      <c r="BF446" s="266">
        <f t="shared" ca="1" si="260"/>
        <v>0</v>
      </c>
      <c r="BG446" s="264">
        <f t="shared" ca="1" si="261"/>
        <v>0</v>
      </c>
      <c r="BH446" s="262"/>
      <c r="BI446" s="262"/>
      <c r="BJ446" s="265">
        <f ca="1">IFERROR(INDEX(Algorithms!$G:$G,MATCH($C446&amp;"_Therm Saved per Unit",Algorithms!$A:$A,0)),0)</f>
        <v>113.8883886472908</v>
      </c>
      <c r="BK446" s="164"/>
      <c r="BL446" s="266">
        <f t="shared" ca="1" si="262"/>
        <v>0</v>
      </c>
      <c r="BM446" s="264">
        <f t="shared" ca="1" si="263"/>
        <v>0</v>
      </c>
      <c r="BN446" s="266">
        <f t="shared" si="264"/>
        <v>0</v>
      </c>
      <c r="BO446" s="266">
        <f t="shared" si="265"/>
        <v>0</v>
      </c>
      <c r="BP446" s="266">
        <f t="shared" ca="1" si="266"/>
        <v>0</v>
      </c>
      <c r="BQ446" s="266">
        <f t="shared" ca="1" si="267"/>
        <v>0</v>
      </c>
      <c r="BR446" s="268">
        <f t="shared" ca="1" si="268"/>
        <v>0</v>
      </c>
      <c r="BS446" s="262" t="s">
        <v>99</v>
      </c>
      <c r="BT446" s="277"/>
      <c r="BW446" s="266">
        <f t="shared" si="269"/>
        <v>0</v>
      </c>
      <c r="BX446" s="266">
        <f t="shared" si="270"/>
        <v>0</v>
      </c>
      <c r="BY446" s="266">
        <f t="shared" si="271"/>
        <v>0</v>
      </c>
      <c r="BZ446" s="266">
        <f t="shared" si="272"/>
        <v>0</v>
      </c>
      <c r="CA446" s="266">
        <f ca="1">N446*IFERROR(INDEX(Algorithms!$G:$G,MATCH($C446&amp;"_Therm Saved per Unit- MLA",Algorithms!$A:$A,0)),0)*X446</f>
        <v>0</v>
      </c>
      <c r="CB446" s="266">
        <f ca="1">O446*IFERROR(INDEX(Algorithms!$G:$G,MATCH($C446&amp;"_Therm Saved per Unit- MLA",Algorithms!$A:$A,0)),0)*Y446</f>
        <v>0</v>
      </c>
      <c r="CC446" s="266">
        <f ca="1">P446*IFERROR(INDEX(Algorithms!$G:$G,MATCH($C446&amp;"_Therm Saved per Unit- MLA",Algorithms!$A:$A,0)),0)*Z446</f>
        <v>0</v>
      </c>
      <c r="CD446" s="266">
        <f ca="1">Q446*IFERROR(INDEX(Algorithms!$G:$G,MATCH($C446&amp;"_Therm Saved per Unit- MLA",Algorithms!$A:$A,0)),0)*AA446</f>
        <v>0</v>
      </c>
      <c r="CE446" s="266">
        <f ca="1">IFERROR(INDEX(Algorithms!$G:$G,MATCH($C446&amp;"_Lifetime (years)",Algorithms!$A:$A,0)),0)</f>
        <v>15</v>
      </c>
      <c r="CF446" s="266">
        <f ca="1">IFERROR(INDEX(Algorithms!$G:$G,MATCH($C446&amp;"_Lifetime (years) - Remaining Years",Algorithms!$A:$A,0)),0)</f>
        <v>0</v>
      </c>
      <c r="CG446" s="266">
        <f t="shared" ca="1" si="273"/>
        <v>0</v>
      </c>
      <c r="CH446" s="266">
        <f t="shared" ca="1" si="274"/>
        <v>0</v>
      </c>
      <c r="CI446" s="266">
        <f t="shared" ca="1" si="275"/>
        <v>0</v>
      </c>
      <c r="CJ446" s="266">
        <f t="shared" ca="1" si="276"/>
        <v>0</v>
      </c>
      <c r="CK446" s="266">
        <f t="shared" si="277"/>
        <v>0</v>
      </c>
      <c r="CL446" s="266">
        <f t="shared" si="278"/>
        <v>0</v>
      </c>
      <c r="CM446" s="266">
        <f t="shared" ca="1" si="279"/>
        <v>0</v>
      </c>
      <c r="CN446" s="266">
        <f t="shared" ca="1" si="280"/>
        <v>0</v>
      </c>
      <c r="CO446" s="266">
        <f ca="1">N446*IFERROR(INDEX(Algorithms!$G:$G,MATCH($C446&amp;"_Therm Saved per Unit- MLA",Algorithms!$A:$A,0)),0)*X446</f>
        <v>0</v>
      </c>
      <c r="CP446" s="266">
        <f ca="1">O446*IFERROR(INDEX(Algorithms!$G:$G,MATCH($C446&amp;"_Therm Saved per Unit- MLA",Algorithms!$A:$A,0)),0)*Y446</f>
        <v>0</v>
      </c>
      <c r="CQ446" s="266">
        <f ca="1">P446*IFERROR(INDEX(Algorithms!$G:$G,MATCH($C446&amp;"_Therm Saved per Unit- MLA",Algorithms!$A:$A,0)),0)*Z446</f>
        <v>0</v>
      </c>
      <c r="CR446" s="266">
        <f ca="1">Q446*IFERROR(INDEX(Algorithms!$G:$G,MATCH($C446&amp;"_Therm Saved per Unit- MLA",Algorithms!$A:$A,0)),0)*AA446</f>
        <v>0</v>
      </c>
      <c r="CS446" s="266">
        <f ca="1">IFERROR(INDEX(Algorithms!$G:$G,MATCH($C446&amp;"_Lifetime (years)",Algorithms!$A:$A,0)),0)</f>
        <v>15</v>
      </c>
      <c r="CT446" s="266">
        <f ca="1">IFERROR(INDEX(Algorithms!$G:$G,MATCH($C446&amp;"_Lifetime (years) - Remaining Years",Algorithms!$A:$A,0)),0)</f>
        <v>0</v>
      </c>
      <c r="CU446" s="266">
        <f t="shared" ca="1" si="281"/>
        <v>0</v>
      </c>
      <c r="CV446" s="266">
        <f t="shared" ca="1" si="282"/>
        <v>0</v>
      </c>
      <c r="CW446" s="266">
        <f t="shared" ca="1" si="283"/>
        <v>0</v>
      </c>
      <c r="CX446" s="266">
        <f t="shared" ca="1" si="284"/>
        <v>0</v>
      </c>
    </row>
    <row r="447" spans="2:102" s="47" customFormat="1" ht="18" customHeight="1" x14ac:dyDescent="0.25">
      <c r="B447" t="str">
        <f t="shared" si="285"/>
        <v>NSG_Income Eligible_Multi-Family_Whole Building - Prescriptive_Pipe Insulation_Steam Small Valve_MF</v>
      </c>
      <c r="C447" s="47" t="str">
        <f t="shared" si="246"/>
        <v>Pipe Insulation_Steam Small Valve_MF</v>
      </c>
      <c r="D447" s="270" t="s">
        <v>1787</v>
      </c>
      <c r="E447" s="270" t="s">
        <v>325</v>
      </c>
      <c r="F447" s="270" t="s">
        <v>1422</v>
      </c>
      <c r="G447" s="270" t="s">
        <v>1813</v>
      </c>
      <c r="H447" s="270" t="s">
        <v>404</v>
      </c>
      <c r="I447" s="270" t="s">
        <v>965</v>
      </c>
      <c r="J447" s="270" t="s">
        <v>553</v>
      </c>
      <c r="K447" s="263">
        <v>1</v>
      </c>
      <c r="L447" s="263" t="str">
        <f ca="1">IFERROR(INDEX(Algorithms!J:J,MATCH($C447&amp;"_Therm Saved per Unit",Algorithms!$A:$A,0)),"n/a")</f>
        <v>"3 - Res Pipe Insulation" worksheet</v>
      </c>
      <c r="M447" s="263" t="str">
        <f>IFERROR(INDEX('Measure Level Detail'!$N:$N,MATCH($B447,'Measure Level Detail'!$B:$B,0)),0)</f>
        <v>each</v>
      </c>
      <c r="N447" s="271">
        <f>IFERROR(INDEX('Measure Level Detail'!$P:$P,MATCH($B447&amp;"_"&amp;N$3,'Measure Level Detail'!$C:$C,0)),0)</f>
        <v>0</v>
      </c>
      <c r="O447" s="271">
        <f>IFERROR(INDEX('Measure Level Detail'!$P:$P,MATCH($B447&amp;"_"&amp;O$3,'Measure Level Detail'!$C:$C,0)),0)</f>
        <v>0</v>
      </c>
      <c r="P447" s="271">
        <f>IFERROR(INDEX('Measure Level Detail'!$P:$P,MATCH($B447&amp;"_"&amp;P$3,'Measure Level Detail'!$C:$C,0)),0)</f>
        <v>0</v>
      </c>
      <c r="Q447" s="271">
        <f>IFERROR(INDEX('Measure Level Detail'!$P:$P,MATCH($B447&amp;"_"&amp;Q$3,'Measure Level Detail'!$C:$C,0)),0)</f>
        <v>0</v>
      </c>
      <c r="R447" s="263">
        <f ca="1">IFERROR(INDEX(Algorithms!K:K,MATCH($C447&amp;"_Therm Saved per Unit",Algorithms!$A:$A,0)),"n/a")</f>
        <v>0</v>
      </c>
      <c r="S447" s="262"/>
      <c r="T447" s="272">
        <v>11.028529822042056</v>
      </c>
      <c r="U447" s="272">
        <v>11.028529822042056</v>
      </c>
      <c r="V447" s="272">
        <v>11.028529822042056</v>
      </c>
      <c r="W447" s="272">
        <v>11.028529822042056</v>
      </c>
      <c r="X447" s="273">
        <f>IFERROR(INDEX('Measure Level Detail'!$R:$R,MATCH($B447&amp;"_"&amp;X$3,'Measure Level Detail'!$C:$C,0)),0)</f>
        <v>1</v>
      </c>
      <c r="Y447" s="273">
        <f>IFERROR(INDEX('Measure Level Detail'!$R:$R,MATCH($B447&amp;"_"&amp;Y$3,'Measure Level Detail'!$C:$C,0)),0)</f>
        <v>1</v>
      </c>
      <c r="Z447" s="273">
        <f>IFERROR(INDEX('Measure Level Detail'!$R:$R,MATCH($B447&amp;"_"&amp;Z$3,'Measure Level Detail'!$C:$C,0)),0)</f>
        <v>1</v>
      </c>
      <c r="AA447" s="273">
        <f>IFERROR(INDEX('Measure Level Detail'!$R:$R,MATCH($B447&amp;"_"&amp;AA$3,'Measure Level Detail'!$C:$C,0)),0)</f>
        <v>1</v>
      </c>
      <c r="AB447" s="266">
        <f t="shared" si="247"/>
        <v>0</v>
      </c>
      <c r="AC447" s="266">
        <f t="shared" si="248"/>
        <v>0</v>
      </c>
      <c r="AD447" s="266">
        <f t="shared" si="249"/>
        <v>0</v>
      </c>
      <c r="AE447" s="266">
        <f t="shared" si="250"/>
        <v>0</v>
      </c>
      <c r="AF447" s="266">
        <f t="shared" si="251"/>
        <v>0</v>
      </c>
      <c r="AG447" s="274">
        <v>1</v>
      </c>
      <c r="AH447" s="274">
        <v>1</v>
      </c>
      <c r="AI447" s="274">
        <v>1</v>
      </c>
      <c r="AJ447" s="274">
        <v>1</v>
      </c>
      <c r="AK447" s="274">
        <f t="shared" si="252"/>
        <v>1</v>
      </c>
      <c r="AL447" s="274">
        <f t="shared" si="253"/>
        <v>1</v>
      </c>
      <c r="AM447" s="274">
        <f t="shared" si="254"/>
        <v>1</v>
      </c>
      <c r="AN447" s="274">
        <f t="shared" si="255"/>
        <v>1</v>
      </c>
      <c r="AO447" s="262"/>
      <c r="AP447" s="262"/>
      <c r="AQ447" s="267">
        <v>11.028529822042056</v>
      </c>
      <c r="AR447" s="262"/>
      <c r="AS447" s="266">
        <f t="shared" si="256"/>
        <v>0</v>
      </c>
      <c r="AT447" s="264">
        <f t="shared" si="257"/>
        <v>0</v>
      </c>
      <c r="AU447" s="262"/>
      <c r="AV447" s="262"/>
      <c r="AW447" s="265">
        <v>11.028529822042056</v>
      </c>
      <c r="AX447" s="164" t="s">
        <v>1469</v>
      </c>
      <c r="AY447" s="266">
        <v>0</v>
      </c>
      <c r="AZ447" s="266">
        <f t="shared" si="258"/>
        <v>0</v>
      </c>
      <c r="BA447" s="264">
        <f t="shared" si="259"/>
        <v>0</v>
      </c>
      <c r="BB447" s="262"/>
      <c r="BC447" s="262"/>
      <c r="BD447" s="265">
        <f ca="1">IFERROR(INDEX(Algorithms!$G:$G,MATCH($C447&amp;"_Therm Saved per Unit",Algorithms!$A:$A,0)),0)</f>
        <v>11.028529822042056</v>
      </c>
      <c r="BE447" s="164" t="str">
        <f ca="1">IFERROR(INDEX('v12 Revisions'!$P$29:$P$186, MATCH('Measure-Level Adj Gas'!$L447, 'v12 Revisions'!$D$29:$D$186,0)),"")</f>
        <v/>
      </c>
      <c r="BF447" s="266">
        <f t="shared" ca="1" si="260"/>
        <v>0</v>
      </c>
      <c r="BG447" s="264">
        <f t="shared" ca="1" si="261"/>
        <v>0</v>
      </c>
      <c r="BH447" s="262"/>
      <c r="BI447" s="262"/>
      <c r="BJ447" s="265">
        <f ca="1">IFERROR(INDEX(Algorithms!$G:$G,MATCH($C447&amp;"_Therm Saved per Unit",Algorithms!$A:$A,0)),0)</f>
        <v>11.028529822042056</v>
      </c>
      <c r="BK447" s="164"/>
      <c r="BL447" s="266">
        <f t="shared" ca="1" si="262"/>
        <v>0</v>
      </c>
      <c r="BM447" s="264">
        <f t="shared" ca="1" si="263"/>
        <v>0</v>
      </c>
      <c r="BN447" s="266">
        <f t="shared" si="264"/>
        <v>0</v>
      </c>
      <c r="BO447" s="266">
        <f t="shared" si="265"/>
        <v>0</v>
      </c>
      <c r="BP447" s="266">
        <f t="shared" ca="1" si="266"/>
        <v>0</v>
      </c>
      <c r="BQ447" s="266">
        <f t="shared" ca="1" si="267"/>
        <v>0</v>
      </c>
      <c r="BR447" s="268">
        <f t="shared" ca="1" si="268"/>
        <v>0</v>
      </c>
      <c r="BS447" s="262" t="s">
        <v>99</v>
      </c>
      <c r="BT447" s="277"/>
      <c r="BW447" s="266">
        <f t="shared" si="269"/>
        <v>0</v>
      </c>
      <c r="BX447" s="266">
        <f t="shared" si="270"/>
        <v>0</v>
      </c>
      <c r="BY447" s="266">
        <f t="shared" si="271"/>
        <v>0</v>
      </c>
      <c r="BZ447" s="266">
        <f t="shared" si="272"/>
        <v>0</v>
      </c>
      <c r="CA447" s="266">
        <f ca="1">N447*IFERROR(INDEX(Algorithms!$G:$G,MATCH($C447&amp;"_Therm Saved per Unit- MLA",Algorithms!$A:$A,0)),0)*X447</f>
        <v>0</v>
      </c>
      <c r="CB447" s="266">
        <f ca="1">O447*IFERROR(INDEX(Algorithms!$G:$G,MATCH($C447&amp;"_Therm Saved per Unit- MLA",Algorithms!$A:$A,0)),0)*Y447</f>
        <v>0</v>
      </c>
      <c r="CC447" s="266">
        <f ca="1">P447*IFERROR(INDEX(Algorithms!$G:$G,MATCH($C447&amp;"_Therm Saved per Unit- MLA",Algorithms!$A:$A,0)),0)*Z447</f>
        <v>0</v>
      </c>
      <c r="CD447" s="266">
        <f ca="1">Q447*IFERROR(INDEX(Algorithms!$G:$G,MATCH($C447&amp;"_Therm Saved per Unit- MLA",Algorithms!$A:$A,0)),0)*AA447</f>
        <v>0</v>
      </c>
      <c r="CE447" s="266">
        <f ca="1">IFERROR(INDEX(Algorithms!$G:$G,MATCH($C447&amp;"_Lifetime (years)",Algorithms!$A:$A,0)),0)</f>
        <v>15</v>
      </c>
      <c r="CF447" s="266">
        <f ca="1">IFERROR(INDEX(Algorithms!$G:$G,MATCH($C447&amp;"_Lifetime (years) - Remaining Years",Algorithms!$A:$A,0)),0)</f>
        <v>0</v>
      </c>
      <c r="CG447" s="266">
        <f t="shared" ca="1" si="273"/>
        <v>0</v>
      </c>
      <c r="CH447" s="266">
        <f t="shared" ca="1" si="274"/>
        <v>0</v>
      </c>
      <c r="CI447" s="266">
        <f t="shared" ca="1" si="275"/>
        <v>0</v>
      </c>
      <c r="CJ447" s="266">
        <f t="shared" ca="1" si="276"/>
        <v>0</v>
      </c>
      <c r="CK447" s="266">
        <f t="shared" si="277"/>
        <v>0</v>
      </c>
      <c r="CL447" s="266">
        <f t="shared" si="278"/>
        <v>0</v>
      </c>
      <c r="CM447" s="266">
        <f t="shared" ca="1" si="279"/>
        <v>0</v>
      </c>
      <c r="CN447" s="266">
        <f t="shared" ca="1" si="280"/>
        <v>0</v>
      </c>
      <c r="CO447" s="266">
        <f ca="1">N447*IFERROR(INDEX(Algorithms!$G:$G,MATCH($C447&amp;"_Therm Saved per Unit- MLA",Algorithms!$A:$A,0)),0)*X447</f>
        <v>0</v>
      </c>
      <c r="CP447" s="266">
        <f ca="1">O447*IFERROR(INDEX(Algorithms!$G:$G,MATCH($C447&amp;"_Therm Saved per Unit- MLA",Algorithms!$A:$A,0)),0)*Y447</f>
        <v>0</v>
      </c>
      <c r="CQ447" s="266">
        <f ca="1">P447*IFERROR(INDEX(Algorithms!$G:$G,MATCH($C447&amp;"_Therm Saved per Unit- MLA",Algorithms!$A:$A,0)),0)*Z447</f>
        <v>0</v>
      </c>
      <c r="CR447" s="266">
        <f ca="1">Q447*IFERROR(INDEX(Algorithms!$G:$G,MATCH($C447&amp;"_Therm Saved per Unit- MLA",Algorithms!$A:$A,0)),0)*AA447</f>
        <v>0</v>
      </c>
      <c r="CS447" s="266">
        <f ca="1">IFERROR(INDEX(Algorithms!$G:$G,MATCH($C447&amp;"_Lifetime (years)",Algorithms!$A:$A,0)),0)</f>
        <v>15</v>
      </c>
      <c r="CT447" s="266">
        <f ca="1">IFERROR(INDEX(Algorithms!$G:$G,MATCH($C447&amp;"_Lifetime (years) - Remaining Years",Algorithms!$A:$A,0)),0)</f>
        <v>0</v>
      </c>
      <c r="CU447" s="266">
        <f t="shared" ca="1" si="281"/>
        <v>0</v>
      </c>
      <c r="CV447" s="266">
        <f t="shared" ca="1" si="282"/>
        <v>0</v>
      </c>
      <c r="CW447" s="266">
        <f t="shared" ca="1" si="283"/>
        <v>0</v>
      </c>
      <c r="CX447" s="266">
        <f t="shared" ca="1" si="284"/>
        <v>0</v>
      </c>
    </row>
    <row r="448" spans="2:102" s="47" customFormat="1" ht="18" customHeight="1" x14ac:dyDescent="0.25">
      <c r="B448" t="str">
        <f t="shared" si="285"/>
        <v>NSG_Income Eligible_Multi-Family_Whole Building - Prescriptive_Pipe Insulation_Steam Med Valve_MF</v>
      </c>
      <c r="C448" s="47" t="str">
        <f t="shared" si="246"/>
        <v>Pipe Insulation_Steam Med Valve_MF</v>
      </c>
      <c r="D448" s="270" t="s">
        <v>1787</v>
      </c>
      <c r="E448" s="270" t="s">
        <v>325</v>
      </c>
      <c r="F448" s="270" t="s">
        <v>1422</v>
      </c>
      <c r="G448" s="270" t="s">
        <v>1813</v>
      </c>
      <c r="H448" s="270" t="s">
        <v>404</v>
      </c>
      <c r="I448" s="270" t="s">
        <v>966</v>
      </c>
      <c r="J448" s="270" t="s">
        <v>553</v>
      </c>
      <c r="K448" s="263">
        <v>1</v>
      </c>
      <c r="L448" s="263" t="str">
        <f ca="1">IFERROR(INDEX(Algorithms!J:J,MATCH($C448&amp;"_Therm Saved per Unit",Algorithms!$A:$A,0)),"n/a")</f>
        <v>"3 - Res Pipe Insulation" worksheet</v>
      </c>
      <c r="M448" s="263" t="str">
        <f>IFERROR(INDEX('Measure Level Detail'!$N:$N,MATCH($B448,'Measure Level Detail'!$B:$B,0)),0)</f>
        <v>each</v>
      </c>
      <c r="N448" s="271">
        <f>IFERROR(INDEX('Measure Level Detail'!$P:$P,MATCH($B448&amp;"_"&amp;N$3,'Measure Level Detail'!$C:$C,0)),0)</f>
        <v>0</v>
      </c>
      <c r="O448" s="271">
        <f>IFERROR(INDEX('Measure Level Detail'!$P:$P,MATCH($B448&amp;"_"&amp;O$3,'Measure Level Detail'!$C:$C,0)),0)</f>
        <v>0</v>
      </c>
      <c r="P448" s="271">
        <f>IFERROR(INDEX('Measure Level Detail'!$P:$P,MATCH($B448&amp;"_"&amp;P$3,'Measure Level Detail'!$C:$C,0)),0)</f>
        <v>0</v>
      </c>
      <c r="Q448" s="271">
        <f>IFERROR(INDEX('Measure Level Detail'!$P:$P,MATCH($B448&amp;"_"&amp;Q$3,'Measure Level Detail'!$C:$C,0)),0)</f>
        <v>0</v>
      </c>
      <c r="R448" s="263">
        <f ca="1">IFERROR(INDEX(Algorithms!K:K,MATCH($C448&amp;"_Therm Saved per Unit",Algorithms!$A:$A,0)),"n/a")</f>
        <v>0</v>
      </c>
      <c r="S448" s="262"/>
      <c r="T448" s="272">
        <v>67.962640249087912</v>
      </c>
      <c r="U448" s="272">
        <v>67.962640249087912</v>
      </c>
      <c r="V448" s="272">
        <v>67.962640249087912</v>
      </c>
      <c r="W448" s="272">
        <v>67.962640249087912</v>
      </c>
      <c r="X448" s="273">
        <f>IFERROR(INDEX('Measure Level Detail'!$R:$R,MATCH($B448&amp;"_"&amp;X$3,'Measure Level Detail'!$C:$C,0)),0)</f>
        <v>1</v>
      </c>
      <c r="Y448" s="273">
        <f>IFERROR(INDEX('Measure Level Detail'!$R:$R,MATCH($B448&amp;"_"&amp;Y$3,'Measure Level Detail'!$C:$C,0)),0)</f>
        <v>1</v>
      </c>
      <c r="Z448" s="273">
        <f>IFERROR(INDEX('Measure Level Detail'!$R:$R,MATCH($B448&amp;"_"&amp;Z$3,'Measure Level Detail'!$C:$C,0)),0)</f>
        <v>1</v>
      </c>
      <c r="AA448" s="273">
        <f>IFERROR(INDEX('Measure Level Detail'!$R:$R,MATCH($B448&amp;"_"&amp;AA$3,'Measure Level Detail'!$C:$C,0)),0)</f>
        <v>1</v>
      </c>
      <c r="AB448" s="266">
        <f t="shared" si="247"/>
        <v>0</v>
      </c>
      <c r="AC448" s="266">
        <f t="shared" si="248"/>
        <v>0</v>
      </c>
      <c r="AD448" s="266">
        <f t="shared" si="249"/>
        <v>0</v>
      </c>
      <c r="AE448" s="266">
        <f t="shared" si="250"/>
        <v>0</v>
      </c>
      <c r="AF448" s="266">
        <f t="shared" si="251"/>
        <v>0</v>
      </c>
      <c r="AG448" s="274">
        <v>1</v>
      </c>
      <c r="AH448" s="274">
        <v>1</v>
      </c>
      <c r="AI448" s="274">
        <v>1</v>
      </c>
      <c r="AJ448" s="274">
        <v>1</v>
      </c>
      <c r="AK448" s="274">
        <f t="shared" si="252"/>
        <v>1</v>
      </c>
      <c r="AL448" s="274">
        <f t="shared" si="253"/>
        <v>1</v>
      </c>
      <c r="AM448" s="274">
        <f t="shared" si="254"/>
        <v>1</v>
      </c>
      <c r="AN448" s="274">
        <f t="shared" si="255"/>
        <v>1</v>
      </c>
      <c r="AO448" s="262"/>
      <c r="AP448" s="262"/>
      <c r="AQ448" s="267">
        <v>67.962640249087912</v>
      </c>
      <c r="AR448" s="262"/>
      <c r="AS448" s="266">
        <f t="shared" si="256"/>
        <v>0</v>
      </c>
      <c r="AT448" s="264">
        <f t="shared" si="257"/>
        <v>0</v>
      </c>
      <c r="AU448" s="262"/>
      <c r="AV448" s="262"/>
      <c r="AW448" s="265">
        <v>67.962640249087912</v>
      </c>
      <c r="AX448" s="164" t="s">
        <v>1469</v>
      </c>
      <c r="AY448" s="266">
        <v>0</v>
      </c>
      <c r="AZ448" s="266">
        <f t="shared" si="258"/>
        <v>0</v>
      </c>
      <c r="BA448" s="264">
        <f t="shared" si="259"/>
        <v>0</v>
      </c>
      <c r="BB448" s="262"/>
      <c r="BC448" s="262"/>
      <c r="BD448" s="265">
        <f ca="1">IFERROR(INDEX(Algorithms!$G:$G,MATCH($C448&amp;"_Therm Saved per Unit",Algorithms!$A:$A,0)),0)</f>
        <v>67.962640249087912</v>
      </c>
      <c r="BE448" s="164" t="str">
        <f ca="1">IFERROR(INDEX('v12 Revisions'!$P$29:$P$186, MATCH('Measure-Level Adj Gas'!$L448, 'v12 Revisions'!$D$29:$D$186,0)),"")</f>
        <v/>
      </c>
      <c r="BF448" s="266">
        <f t="shared" ca="1" si="260"/>
        <v>0</v>
      </c>
      <c r="BG448" s="264">
        <f t="shared" ca="1" si="261"/>
        <v>0</v>
      </c>
      <c r="BH448" s="262"/>
      <c r="BI448" s="262"/>
      <c r="BJ448" s="265">
        <f ca="1">IFERROR(INDEX(Algorithms!$G:$G,MATCH($C448&amp;"_Therm Saved per Unit",Algorithms!$A:$A,0)),0)</f>
        <v>67.962640249087912</v>
      </c>
      <c r="BK448" s="164"/>
      <c r="BL448" s="266">
        <f t="shared" ca="1" si="262"/>
        <v>0</v>
      </c>
      <c r="BM448" s="264">
        <f t="shared" ca="1" si="263"/>
        <v>0</v>
      </c>
      <c r="BN448" s="266">
        <f t="shared" si="264"/>
        <v>0</v>
      </c>
      <c r="BO448" s="266">
        <f t="shared" si="265"/>
        <v>0</v>
      </c>
      <c r="BP448" s="266">
        <f t="shared" ca="1" si="266"/>
        <v>0</v>
      </c>
      <c r="BQ448" s="266">
        <f t="shared" ca="1" si="267"/>
        <v>0</v>
      </c>
      <c r="BR448" s="268">
        <f t="shared" ca="1" si="268"/>
        <v>0</v>
      </c>
      <c r="BS448" s="262" t="s">
        <v>99</v>
      </c>
      <c r="BT448" s="277"/>
      <c r="BW448" s="266">
        <f t="shared" si="269"/>
        <v>0</v>
      </c>
      <c r="BX448" s="266">
        <f t="shared" si="270"/>
        <v>0</v>
      </c>
      <c r="BY448" s="266">
        <f t="shared" si="271"/>
        <v>0</v>
      </c>
      <c r="BZ448" s="266">
        <f t="shared" si="272"/>
        <v>0</v>
      </c>
      <c r="CA448" s="266">
        <f ca="1">N448*IFERROR(INDEX(Algorithms!$G:$G,MATCH($C448&amp;"_Therm Saved per Unit- MLA",Algorithms!$A:$A,0)),0)*X448</f>
        <v>0</v>
      </c>
      <c r="CB448" s="266">
        <f ca="1">O448*IFERROR(INDEX(Algorithms!$G:$G,MATCH($C448&amp;"_Therm Saved per Unit- MLA",Algorithms!$A:$A,0)),0)*Y448</f>
        <v>0</v>
      </c>
      <c r="CC448" s="266">
        <f ca="1">P448*IFERROR(INDEX(Algorithms!$G:$G,MATCH($C448&amp;"_Therm Saved per Unit- MLA",Algorithms!$A:$A,0)),0)*Z448</f>
        <v>0</v>
      </c>
      <c r="CD448" s="266">
        <f ca="1">Q448*IFERROR(INDEX(Algorithms!$G:$G,MATCH($C448&amp;"_Therm Saved per Unit- MLA",Algorithms!$A:$A,0)),0)*AA448</f>
        <v>0</v>
      </c>
      <c r="CE448" s="266">
        <f ca="1">IFERROR(INDEX(Algorithms!$G:$G,MATCH($C448&amp;"_Lifetime (years)",Algorithms!$A:$A,0)),0)</f>
        <v>15</v>
      </c>
      <c r="CF448" s="266">
        <f ca="1">IFERROR(INDEX(Algorithms!$G:$G,MATCH($C448&amp;"_Lifetime (years) - Remaining Years",Algorithms!$A:$A,0)),0)</f>
        <v>0</v>
      </c>
      <c r="CG448" s="266">
        <f t="shared" ca="1" si="273"/>
        <v>0</v>
      </c>
      <c r="CH448" s="266">
        <f t="shared" ca="1" si="274"/>
        <v>0</v>
      </c>
      <c r="CI448" s="266">
        <f t="shared" ca="1" si="275"/>
        <v>0</v>
      </c>
      <c r="CJ448" s="266">
        <f t="shared" ca="1" si="276"/>
        <v>0</v>
      </c>
      <c r="CK448" s="266">
        <f t="shared" si="277"/>
        <v>0</v>
      </c>
      <c r="CL448" s="266">
        <f t="shared" si="278"/>
        <v>0</v>
      </c>
      <c r="CM448" s="266">
        <f t="shared" ca="1" si="279"/>
        <v>0</v>
      </c>
      <c r="CN448" s="266">
        <f t="shared" ca="1" si="280"/>
        <v>0</v>
      </c>
      <c r="CO448" s="266">
        <f ca="1">N448*IFERROR(INDEX(Algorithms!$G:$G,MATCH($C448&amp;"_Therm Saved per Unit- MLA",Algorithms!$A:$A,0)),0)*X448</f>
        <v>0</v>
      </c>
      <c r="CP448" s="266">
        <f ca="1">O448*IFERROR(INDEX(Algorithms!$G:$G,MATCH($C448&amp;"_Therm Saved per Unit- MLA",Algorithms!$A:$A,0)),0)*Y448</f>
        <v>0</v>
      </c>
      <c r="CQ448" s="266">
        <f ca="1">P448*IFERROR(INDEX(Algorithms!$G:$G,MATCH($C448&amp;"_Therm Saved per Unit- MLA",Algorithms!$A:$A,0)),0)*Z448</f>
        <v>0</v>
      </c>
      <c r="CR448" s="266">
        <f ca="1">Q448*IFERROR(INDEX(Algorithms!$G:$G,MATCH($C448&amp;"_Therm Saved per Unit- MLA",Algorithms!$A:$A,0)),0)*AA448</f>
        <v>0</v>
      </c>
      <c r="CS448" s="266">
        <f ca="1">IFERROR(INDEX(Algorithms!$G:$G,MATCH($C448&amp;"_Lifetime (years)",Algorithms!$A:$A,0)),0)</f>
        <v>15</v>
      </c>
      <c r="CT448" s="266">
        <f ca="1">IFERROR(INDEX(Algorithms!$G:$G,MATCH($C448&amp;"_Lifetime (years) - Remaining Years",Algorithms!$A:$A,0)),0)</f>
        <v>0</v>
      </c>
      <c r="CU448" s="266">
        <f t="shared" ca="1" si="281"/>
        <v>0</v>
      </c>
      <c r="CV448" s="266">
        <f t="shared" ca="1" si="282"/>
        <v>0</v>
      </c>
      <c r="CW448" s="266">
        <f t="shared" ca="1" si="283"/>
        <v>0</v>
      </c>
      <c r="CX448" s="266">
        <f t="shared" ca="1" si="284"/>
        <v>0</v>
      </c>
    </row>
    <row r="449" spans="2:102" s="47" customFormat="1" ht="18" customHeight="1" x14ac:dyDescent="0.25">
      <c r="B449" t="str">
        <f t="shared" si="285"/>
        <v>NSG_Income Eligible_Multi-Family_Whole Building - Prescriptive_Pipe Insulation_Steam Large Valve_MF</v>
      </c>
      <c r="C449" s="47" t="str">
        <f t="shared" si="246"/>
        <v>Pipe Insulation_Steam Large Valve_MF</v>
      </c>
      <c r="D449" s="270" t="s">
        <v>1787</v>
      </c>
      <c r="E449" s="270" t="s">
        <v>325</v>
      </c>
      <c r="F449" s="270" t="s">
        <v>1422</v>
      </c>
      <c r="G449" s="270" t="s">
        <v>1813</v>
      </c>
      <c r="H449" s="270" t="s">
        <v>404</v>
      </c>
      <c r="I449" s="270" t="s">
        <v>967</v>
      </c>
      <c r="J449" s="270" t="s">
        <v>553</v>
      </c>
      <c r="K449" s="263">
        <v>1</v>
      </c>
      <c r="L449" s="263" t="str">
        <f ca="1">IFERROR(INDEX(Algorithms!J:J,MATCH($C449&amp;"_Therm Saved per Unit",Algorithms!$A:$A,0)),"n/a")</f>
        <v>"3 - Res Pipe Insulation" worksheet</v>
      </c>
      <c r="M449" s="263" t="str">
        <f>IFERROR(INDEX('Measure Level Detail'!$N:$N,MATCH($B449,'Measure Level Detail'!$B:$B,0)),0)</f>
        <v>each</v>
      </c>
      <c r="N449" s="271">
        <f>IFERROR(INDEX('Measure Level Detail'!$P:$P,MATCH($B449&amp;"_"&amp;N$3,'Measure Level Detail'!$C:$C,0)),0)</f>
        <v>0</v>
      </c>
      <c r="O449" s="271">
        <f>IFERROR(INDEX('Measure Level Detail'!$P:$P,MATCH($B449&amp;"_"&amp;O$3,'Measure Level Detail'!$C:$C,0)),0)</f>
        <v>0</v>
      </c>
      <c r="P449" s="271">
        <f>IFERROR(INDEX('Measure Level Detail'!$P:$P,MATCH($B449&amp;"_"&amp;P$3,'Measure Level Detail'!$C:$C,0)),0)</f>
        <v>0</v>
      </c>
      <c r="Q449" s="271">
        <f>IFERROR(INDEX('Measure Level Detail'!$P:$P,MATCH($B449&amp;"_"&amp;Q$3,'Measure Level Detail'!$C:$C,0)),0)</f>
        <v>0</v>
      </c>
      <c r="R449" s="263">
        <f ca="1">IFERROR(INDEX(Algorithms!K:K,MATCH($C449&amp;"_Therm Saved per Unit",Algorithms!$A:$A,0)),"n/a")</f>
        <v>0</v>
      </c>
      <c r="S449" s="262"/>
      <c r="T449" s="272">
        <v>133.90978522057964</v>
      </c>
      <c r="U449" s="272">
        <v>133.90978522057964</v>
      </c>
      <c r="V449" s="272">
        <v>133.90978522057964</v>
      </c>
      <c r="W449" s="272">
        <v>133.90978522057964</v>
      </c>
      <c r="X449" s="273">
        <f>IFERROR(INDEX('Measure Level Detail'!$R:$R,MATCH($B449&amp;"_"&amp;X$3,'Measure Level Detail'!$C:$C,0)),0)</f>
        <v>1</v>
      </c>
      <c r="Y449" s="273">
        <f>IFERROR(INDEX('Measure Level Detail'!$R:$R,MATCH($B449&amp;"_"&amp;Y$3,'Measure Level Detail'!$C:$C,0)),0)</f>
        <v>1</v>
      </c>
      <c r="Z449" s="273">
        <f>IFERROR(INDEX('Measure Level Detail'!$R:$R,MATCH($B449&amp;"_"&amp;Z$3,'Measure Level Detail'!$C:$C,0)),0)</f>
        <v>1</v>
      </c>
      <c r="AA449" s="273">
        <f>IFERROR(INDEX('Measure Level Detail'!$R:$R,MATCH($B449&amp;"_"&amp;AA$3,'Measure Level Detail'!$C:$C,0)),0)</f>
        <v>1</v>
      </c>
      <c r="AB449" s="266">
        <f t="shared" si="247"/>
        <v>0</v>
      </c>
      <c r="AC449" s="266">
        <f t="shared" si="248"/>
        <v>0</v>
      </c>
      <c r="AD449" s="266">
        <f t="shared" si="249"/>
        <v>0</v>
      </c>
      <c r="AE449" s="266">
        <f t="shared" si="250"/>
        <v>0</v>
      </c>
      <c r="AF449" s="266">
        <f t="shared" si="251"/>
        <v>0</v>
      </c>
      <c r="AG449" s="274">
        <v>1</v>
      </c>
      <c r="AH449" s="274">
        <v>1</v>
      </c>
      <c r="AI449" s="274">
        <v>1</v>
      </c>
      <c r="AJ449" s="274">
        <v>1</v>
      </c>
      <c r="AK449" s="274">
        <f t="shared" si="252"/>
        <v>1</v>
      </c>
      <c r="AL449" s="274">
        <f t="shared" si="253"/>
        <v>1</v>
      </c>
      <c r="AM449" s="274">
        <f t="shared" si="254"/>
        <v>1</v>
      </c>
      <c r="AN449" s="274">
        <f t="shared" si="255"/>
        <v>1</v>
      </c>
      <c r="AO449" s="262"/>
      <c r="AP449" s="262"/>
      <c r="AQ449" s="267">
        <v>133.90978522057964</v>
      </c>
      <c r="AR449" s="262"/>
      <c r="AS449" s="266">
        <f t="shared" si="256"/>
        <v>0</v>
      </c>
      <c r="AT449" s="264">
        <f t="shared" si="257"/>
        <v>0</v>
      </c>
      <c r="AU449" s="262"/>
      <c r="AV449" s="262"/>
      <c r="AW449" s="265">
        <v>133.90978522057964</v>
      </c>
      <c r="AX449" s="164" t="s">
        <v>1469</v>
      </c>
      <c r="AY449" s="266">
        <v>0</v>
      </c>
      <c r="AZ449" s="266">
        <f t="shared" si="258"/>
        <v>0</v>
      </c>
      <c r="BA449" s="264">
        <f t="shared" si="259"/>
        <v>0</v>
      </c>
      <c r="BB449" s="262"/>
      <c r="BC449" s="262"/>
      <c r="BD449" s="265">
        <f ca="1">IFERROR(INDEX(Algorithms!$G:$G,MATCH($C449&amp;"_Therm Saved per Unit",Algorithms!$A:$A,0)),0)</f>
        <v>133.90978522057964</v>
      </c>
      <c r="BE449" s="164" t="str">
        <f ca="1">IFERROR(INDEX('v12 Revisions'!$P$29:$P$186, MATCH('Measure-Level Adj Gas'!$L449, 'v12 Revisions'!$D$29:$D$186,0)),"")</f>
        <v/>
      </c>
      <c r="BF449" s="266">
        <f t="shared" ca="1" si="260"/>
        <v>0</v>
      </c>
      <c r="BG449" s="264">
        <f t="shared" ca="1" si="261"/>
        <v>0</v>
      </c>
      <c r="BH449" s="262"/>
      <c r="BI449" s="262"/>
      <c r="BJ449" s="265">
        <f ca="1">IFERROR(INDEX(Algorithms!$G:$G,MATCH($C449&amp;"_Therm Saved per Unit",Algorithms!$A:$A,0)),0)</f>
        <v>133.90978522057964</v>
      </c>
      <c r="BK449" s="164"/>
      <c r="BL449" s="266">
        <f t="shared" ca="1" si="262"/>
        <v>0</v>
      </c>
      <c r="BM449" s="264">
        <f t="shared" ca="1" si="263"/>
        <v>0</v>
      </c>
      <c r="BN449" s="266">
        <f t="shared" si="264"/>
        <v>0</v>
      </c>
      <c r="BO449" s="266">
        <f t="shared" si="265"/>
        <v>0</v>
      </c>
      <c r="BP449" s="266">
        <f t="shared" ca="1" si="266"/>
        <v>0</v>
      </c>
      <c r="BQ449" s="266">
        <f t="shared" ca="1" si="267"/>
        <v>0</v>
      </c>
      <c r="BR449" s="268">
        <f t="shared" ca="1" si="268"/>
        <v>0</v>
      </c>
      <c r="BS449" s="262" t="s">
        <v>99</v>
      </c>
      <c r="BT449" s="277"/>
      <c r="BW449" s="266">
        <f t="shared" si="269"/>
        <v>0</v>
      </c>
      <c r="BX449" s="266">
        <f t="shared" si="270"/>
        <v>0</v>
      </c>
      <c r="BY449" s="266">
        <f t="shared" si="271"/>
        <v>0</v>
      </c>
      <c r="BZ449" s="266">
        <f t="shared" si="272"/>
        <v>0</v>
      </c>
      <c r="CA449" s="266">
        <f ca="1">N449*IFERROR(INDEX(Algorithms!$G:$G,MATCH($C449&amp;"_Therm Saved per Unit- MLA",Algorithms!$A:$A,0)),0)*X449</f>
        <v>0</v>
      </c>
      <c r="CB449" s="266">
        <f ca="1">O449*IFERROR(INDEX(Algorithms!$G:$G,MATCH($C449&amp;"_Therm Saved per Unit- MLA",Algorithms!$A:$A,0)),0)*Y449</f>
        <v>0</v>
      </c>
      <c r="CC449" s="266">
        <f ca="1">P449*IFERROR(INDEX(Algorithms!$G:$G,MATCH($C449&amp;"_Therm Saved per Unit- MLA",Algorithms!$A:$A,0)),0)*Z449</f>
        <v>0</v>
      </c>
      <c r="CD449" s="266">
        <f ca="1">Q449*IFERROR(INDEX(Algorithms!$G:$G,MATCH($C449&amp;"_Therm Saved per Unit- MLA",Algorithms!$A:$A,0)),0)*AA449</f>
        <v>0</v>
      </c>
      <c r="CE449" s="266">
        <f ca="1">IFERROR(INDEX(Algorithms!$G:$G,MATCH($C449&amp;"_Lifetime (years)",Algorithms!$A:$A,0)),0)</f>
        <v>15</v>
      </c>
      <c r="CF449" s="266">
        <f ca="1">IFERROR(INDEX(Algorithms!$G:$G,MATCH($C449&amp;"_Lifetime (years) - Remaining Years",Algorithms!$A:$A,0)),0)</f>
        <v>0</v>
      </c>
      <c r="CG449" s="266">
        <f t="shared" ca="1" si="273"/>
        <v>0</v>
      </c>
      <c r="CH449" s="266">
        <f t="shared" ca="1" si="274"/>
        <v>0</v>
      </c>
      <c r="CI449" s="266">
        <f t="shared" ca="1" si="275"/>
        <v>0</v>
      </c>
      <c r="CJ449" s="266">
        <f t="shared" ca="1" si="276"/>
        <v>0</v>
      </c>
      <c r="CK449" s="266">
        <f t="shared" si="277"/>
        <v>0</v>
      </c>
      <c r="CL449" s="266">
        <f t="shared" si="278"/>
        <v>0</v>
      </c>
      <c r="CM449" s="266">
        <f t="shared" ca="1" si="279"/>
        <v>0</v>
      </c>
      <c r="CN449" s="266">
        <f t="shared" ca="1" si="280"/>
        <v>0</v>
      </c>
      <c r="CO449" s="266">
        <f ca="1">N449*IFERROR(INDEX(Algorithms!$G:$G,MATCH($C449&amp;"_Therm Saved per Unit- MLA",Algorithms!$A:$A,0)),0)*X449</f>
        <v>0</v>
      </c>
      <c r="CP449" s="266">
        <f ca="1">O449*IFERROR(INDEX(Algorithms!$G:$G,MATCH($C449&amp;"_Therm Saved per Unit- MLA",Algorithms!$A:$A,0)),0)*Y449</f>
        <v>0</v>
      </c>
      <c r="CQ449" s="266">
        <f ca="1">P449*IFERROR(INDEX(Algorithms!$G:$G,MATCH($C449&amp;"_Therm Saved per Unit- MLA",Algorithms!$A:$A,0)),0)*Z449</f>
        <v>0</v>
      </c>
      <c r="CR449" s="266">
        <f ca="1">Q449*IFERROR(INDEX(Algorithms!$G:$G,MATCH($C449&amp;"_Therm Saved per Unit- MLA",Algorithms!$A:$A,0)),0)*AA449</f>
        <v>0</v>
      </c>
      <c r="CS449" s="266">
        <f ca="1">IFERROR(INDEX(Algorithms!$G:$G,MATCH($C449&amp;"_Lifetime (years)",Algorithms!$A:$A,0)),0)</f>
        <v>15</v>
      </c>
      <c r="CT449" s="266">
        <f ca="1">IFERROR(INDEX(Algorithms!$G:$G,MATCH($C449&amp;"_Lifetime (years) - Remaining Years",Algorithms!$A:$A,0)),0)</f>
        <v>0</v>
      </c>
      <c r="CU449" s="266">
        <f t="shared" ca="1" si="281"/>
        <v>0</v>
      </c>
      <c r="CV449" s="266">
        <f t="shared" ca="1" si="282"/>
        <v>0</v>
      </c>
      <c r="CW449" s="266">
        <f t="shared" ca="1" si="283"/>
        <v>0</v>
      </c>
      <c r="CX449" s="266">
        <f t="shared" ca="1" si="284"/>
        <v>0</v>
      </c>
    </row>
    <row r="450" spans="2:102" s="47" customFormat="1" ht="18" customHeight="1" x14ac:dyDescent="0.25">
      <c r="B450" t="str">
        <f t="shared" si="285"/>
        <v>NSG_Income Eligible_Multi-Family_Whole Building - Prescriptive_Pipe Insulation_Steam X-Large Valve_MF</v>
      </c>
      <c r="C450" s="47" t="str">
        <f t="shared" si="246"/>
        <v>Pipe Insulation_Steam X-Large Valve_MF</v>
      </c>
      <c r="D450" s="270" t="s">
        <v>1787</v>
      </c>
      <c r="E450" s="270" t="s">
        <v>325</v>
      </c>
      <c r="F450" s="270" t="s">
        <v>1422</v>
      </c>
      <c r="G450" s="270" t="s">
        <v>1813</v>
      </c>
      <c r="H450" s="270" t="s">
        <v>404</v>
      </c>
      <c r="I450" s="270" t="s">
        <v>968</v>
      </c>
      <c r="J450" s="270" t="s">
        <v>553</v>
      </c>
      <c r="K450" s="263">
        <v>1</v>
      </c>
      <c r="L450" s="263" t="str">
        <f ca="1">IFERROR(INDEX(Algorithms!J:J,MATCH($C450&amp;"_Therm Saved per Unit",Algorithms!$A:$A,0)),"n/a")</f>
        <v>"3 - Res Pipe Insulation" worksheet</v>
      </c>
      <c r="M450" s="263" t="str">
        <f>IFERROR(INDEX('Measure Level Detail'!$N:$N,MATCH($B450,'Measure Level Detail'!$B:$B,0)),0)</f>
        <v>each</v>
      </c>
      <c r="N450" s="271">
        <f>IFERROR(INDEX('Measure Level Detail'!$P:$P,MATCH($B450&amp;"_"&amp;N$3,'Measure Level Detail'!$C:$C,0)),0)</f>
        <v>0</v>
      </c>
      <c r="O450" s="271">
        <f>IFERROR(INDEX('Measure Level Detail'!$P:$P,MATCH($B450&amp;"_"&amp;O$3,'Measure Level Detail'!$C:$C,0)),0)</f>
        <v>0</v>
      </c>
      <c r="P450" s="271">
        <f>IFERROR(INDEX('Measure Level Detail'!$P:$P,MATCH($B450&amp;"_"&amp;P$3,'Measure Level Detail'!$C:$C,0)),0)</f>
        <v>0</v>
      </c>
      <c r="Q450" s="271">
        <f>IFERROR(INDEX('Measure Level Detail'!$P:$P,MATCH($B450&amp;"_"&amp;Q$3,'Measure Level Detail'!$C:$C,0)),0)</f>
        <v>0</v>
      </c>
      <c r="R450" s="263">
        <f ca="1">IFERROR(INDEX(Algorithms!K:K,MATCH($C450&amp;"_Therm Saved per Unit",Algorithms!$A:$A,0)),"n/a")</f>
        <v>0</v>
      </c>
      <c r="S450" s="262"/>
      <c r="T450" s="272">
        <v>67.962640249087912</v>
      </c>
      <c r="U450" s="272">
        <v>67.962640249087912</v>
      </c>
      <c r="V450" s="272">
        <v>67.962640249087912</v>
      </c>
      <c r="W450" s="272">
        <v>67.962640249087912</v>
      </c>
      <c r="X450" s="273">
        <f>IFERROR(INDEX('Measure Level Detail'!$R:$R,MATCH($B450&amp;"_"&amp;X$3,'Measure Level Detail'!$C:$C,0)),0)</f>
        <v>1</v>
      </c>
      <c r="Y450" s="273">
        <f>IFERROR(INDEX('Measure Level Detail'!$R:$R,MATCH($B450&amp;"_"&amp;Y$3,'Measure Level Detail'!$C:$C,0)),0)</f>
        <v>1</v>
      </c>
      <c r="Z450" s="273">
        <f>IFERROR(INDEX('Measure Level Detail'!$R:$R,MATCH($B450&amp;"_"&amp;Z$3,'Measure Level Detail'!$C:$C,0)),0)</f>
        <v>1</v>
      </c>
      <c r="AA450" s="273">
        <f>IFERROR(INDEX('Measure Level Detail'!$R:$R,MATCH($B450&amp;"_"&amp;AA$3,'Measure Level Detail'!$C:$C,0)),0)</f>
        <v>1</v>
      </c>
      <c r="AB450" s="266">
        <f t="shared" si="247"/>
        <v>0</v>
      </c>
      <c r="AC450" s="266">
        <f t="shared" si="248"/>
        <v>0</v>
      </c>
      <c r="AD450" s="266">
        <f t="shared" si="249"/>
        <v>0</v>
      </c>
      <c r="AE450" s="266">
        <f t="shared" si="250"/>
        <v>0</v>
      </c>
      <c r="AF450" s="266">
        <f t="shared" si="251"/>
        <v>0</v>
      </c>
      <c r="AG450" s="274">
        <v>1</v>
      </c>
      <c r="AH450" s="274">
        <v>1</v>
      </c>
      <c r="AI450" s="274">
        <v>1</v>
      </c>
      <c r="AJ450" s="274">
        <v>1</v>
      </c>
      <c r="AK450" s="274">
        <f t="shared" si="252"/>
        <v>1</v>
      </c>
      <c r="AL450" s="274">
        <f t="shared" si="253"/>
        <v>1</v>
      </c>
      <c r="AM450" s="274">
        <f t="shared" si="254"/>
        <v>1</v>
      </c>
      <c r="AN450" s="274">
        <f t="shared" si="255"/>
        <v>1</v>
      </c>
      <c r="AO450" s="262"/>
      <c r="AP450" s="262"/>
      <c r="AQ450" s="267">
        <v>67.962640249087912</v>
      </c>
      <c r="AR450" s="262"/>
      <c r="AS450" s="266">
        <f t="shared" si="256"/>
        <v>0</v>
      </c>
      <c r="AT450" s="264">
        <f t="shared" si="257"/>
        <v>0</v>
      </c>
      <c r="AU450" s="262"/>
      <c r="AV450" s="262"/>
      <c r="AW450" s="265">
        <v>67.962640249087912</v>
      </c>
      <c r="AX450" s="164" t="s">
        <v>1469</v>
      </c>
      <c r="AY450" s="266">
        <v>0</v>
      </c>
      <c r="AZ450" s="266">
        <f t="shared" si="258"/>
        <v>0</v>
      </c>
      <c r="BA450" s="264">
        <f t="shared" si="259"/>
        <v>0</v>
      </c>
      <c r="BB450" s="262"/>
      <c r="BC450" s="262"/>
      <c r="BD450" s="265">
        <f ca="1">IFERROR(INDEX(Algorithms!$G:$G,MATCH($C450&amp;"_Therm Saved per Unit",Algorithms!$A:$A,0)),0)</f>
        <v>67.962640249087912</v>
      </c>
      <c r="BE450" s="164" t="str">
        <f ca="1">IFERROR(INDEX('v12 Revisions'!$P$29:$P$186, MATCH('Measure-Level Adj Gas'!$L450, 'v12 Revisions'!$D$29:$D$186,0)),"")</f>
        <v/>
      </c>
      <c r="BF450" s="266">
        <f t="shared" ca="1" si="260"/>
        <v>0</v>
      </c>
      <c r="BG450" s="264">
        <f t="shared" ca="1" si="261"/>
        <v>0</v>
      </c>
      <c r="BH450" s="262"/>
      <c r="BI450" s="262"/>
      <c r="BJ450" s="265">
        <f ca="1">IFERROR(INDEX(Algorithms!$G:$G,MATCH($C450&amp;"_Therm Saved per Unit",Algorithms!$A:$A,0)),0)</f>
        <v>67.962640249087912</v>
      </c>
      <c r="BK450" s="164"/>
      <c r="BL450" s="266">
        <f t="shared" ca="1" si="262"/>
        <v>0</v>
      </c>
      <c r="BM450" s="264">
        <f t="shared" ca="1" si="263"/>
        <v>0</v>
      </c>
      <c r="BN450" s="266">
        <f t="shared" si="264"/>
        <v>0</v>
      </c>
      <c r="BO450" s="266">
        <f t="shared" si="265"/>
        <v>0</v>
      </c>
      <c r="BP450" s="266">
        <f t="shared" ca="1" si="266"/>
        <v>0</v>
      </c>
      <c r="BQ450" s="266">
        <f t="shared" ca="1" si="267"/>
        <v>0</v>
      </c>
      <c r="BR450" s="268">
        <f t="shared" ca="1" si="268"/>
        <v>0</v>
      </c>
      <c r="BS450" s="262" t="s">
        <v>99</v>
      </c>
      <c r="BT450" s="277"/>
      <c r="BW450" s="266">
        <f t="shared" si="269"/>
        <v>0</v>
      </c>
      <c r="BX450" s="266">
        <f t="shared" si="270"/>
        <v>0</v>
      </c>
      <c r="BY450" s="266">
        <f t="shared" si="271"/>
        <v>0</v>
      </c>
      <c r="BZ450" s="266">
        <f t="shared" si="272"/>
        <v>0</v>
      </c>
      <c r="CA450" s="266">
        <f ca="1">N450*IFERROR(INDEX(Algorithms!$G:$G,MATCH($C450&amp;"_Therm Saved per Unit- MLA",Algorithms!$A:$A,0)),0)*X450</f>
        <v>0</v>
      </c>
      <c r="CB450" s="266">
        <f ca="1">O450*IFERROR(INDEX(Algorithms!$G:$G,MATCH($C450&amp;"_Therm Saved per Unit- MLA",Algorithms!$A:$A,0)),0)*Y450</f>
        <v>0</v>
      </c>
      <c r="CC450" s="266">
        <f ca="1">P450*IFERROR(INDEX(Algorithms!$G:$G,MATCH($C450&amp;"_Therm Saved per Unit- MLA",Algorithms!$A:$A,0)),0)*Z450</f>
        <v>0</v>
      </c>
      <c r="CD450" s="266">
        <f ca="1">Q450*IFERROR(INDEX(Algorithms!$G:$G,MATCH($C450&amp;"_Therm Saved per Unit- MLA",Algorithms!$A:$A,0)),0)*AA450</f>
        <v>0</v>
      </c>
      <c r="CE450" s="266">
        <f ca="1">IFERROR(INDEX(Algorithms!$G:$G,MATCH($C450&amp;"_Lifetime (years)",Algorithms!$A:$A,0)),0)</f>
        <v>15</v>
      </c>
      <c r="CF450" s="266">
        <f ca="1">IFERROR(INDEX(Algorithms!$G:$G,MATCH($C450&amp;"_Lifetime (years) - Remaining Years",Algorithms!$A:$A,0)),0)</f>
        <v>0</v>
      </c>
      <c r="CG450" s="266">
        <f t="shared" ca="1" si="273"/>
        <v>0</v>
      </c>
      <c r="CH450" s="266">
        <f t="shared" ca="1" si="274"/>
        <v>0</v>
      </c>
      <c r="CI450" s="266">
        <f t="shared" ca="1" si="275"/>
        <v>0</v>
      </c>
      <c r="CJ450" s="266">
        <f t="shared" ca="1" si="276"/>
        <v>0</v>
      </c>
      <c r="CK450" s="266">
        <f t="shared" si="277"/>
        <v>0</v>
      </c>
      <c r="CL450" s="266">
        <f t="shared" si="278"/>
        <v>0</v>
      </c>
      <c r="CM450" s="266">
        <f t="shared" ca="1" si="279"/>
        <v>0</v>
      </c>
      <c r="CN450" s="266">
        <f t="shared" ca="1" si="280"/>
        <v>0</v>
      </c>
      <c r="CO450" s="266">
        <f ca="1">N450*IFERROR(INDEX(Algorithms!$G:$G,MATCH($C450&amp;"_Therm Saved per Unit- MLA",Algorithms!$A:$A,0)),0)*X450</f>
        <v>0</v>
      </c>
      <c r="CP450" s="266">
        <f ca="1">O450*IFERROR(INDEX(Algorithms!$G:$G,MATCH($C450&amp;"_Therm Saved per Unit- MLA",Algorithms!$A:$A,0)),0)*Y450</f>
        <v>0</v>
      </c>
      <c r="CQ450" s="266">
        <f ca="1">P450*IFERROR(INDEX(Algorithms!$G:$G,MATCH($C450&amp;"_Therm Saved per Unit- MLA",Algorithms!$A:$A,0)),0)*Z450</f>
        <v>0</v>
      </c>
      <c r="CR450" s="266">
        <f ca="1">Q450*IFERROR(INDEX(Algorithms!$G:$G,MATCH($C450&amp;"_Therm Saved per Unit- MLA",Algorithms!$A:$A,0)),0)*AA450</f>
        <v>0</v>
      </c>
      <c r="CS450" s="266">
        <f ca="1">IFERROR(INDEX(Algorithms!$G:$G,MATCH($C450&amp;"_Lifetime (years)",Algorithms!$A:$A,0)),0)</f>
        <v>15</v>
      </c>
      <c r="CT450" s="266">
        <f ca="1">IFERROR(INDEX(Algorithms!$G:$G,MATCH($C450&amp;"_Lifetime (years) - Remaining Years",Algorithms!$A:$A,0)),0)</f>
        <v>0</v>
      </c>
      <c r="CU450" s="266">
        <f t="shared" ca="1" si="281"/>
        <v>0</v>
      </c>
      <c r="CV450" s="266">
        <f t="shared" ca="1" si="282"/>
        <v>0</v>
      </c>
      <c r="CW450" s="266">
        <f t="shared" ca="1" si="283"/>
        <v>0</v>
      </c>
      <c r="CX450" s="266">
        <f t="shared" ca="1" si="284"/>
        <v>0</v>
      </c>
    </row>
    <row r="451" spans="2:102" s="47" customFormat="1" ht="18" customHeight="1" x14ac:dyDescent="0.25">
      <c r="B451" t="str">
        <f t="shared" si="285"/>
        <v>NSG_Income Eligible_Multi-Family_Whole Building - Prescriptive_Steam Boiler_ &gt;=1500MBH, &gt;=82% TE_MF</v>
      </c>
      <c r="C451" s="47" t="str">
        <f t="shared" si="246"/>
        <v>Steam Boiler_ &gt;=1500MBH, &gt;=82% TE_MF</v>
      </c>
      <c r="D451" s="270" t="s">
        <v>1787</v>
      </c>
      <c r="E451" s="270" t="s">
        <v>325</v>
      </c>
      <c r="F451" s="270" t="s">
        <v>1422</v>
      </c>
      <c r="G451" s="270" t="s">
        <v>1813</v>
      </c>
      <c r="H451" s="270" t="s">
        <v>938</v>
      </c>
      <c r="I451" s="270" t="s">
        <v>939</v>
      </c>
      <c r="J451" s="270" t="s">
        <v>553</v>
      </c>
      <c r="K451" s="263">
        <v>1</v>
      </c>
      <c r="L451" s="263" t="str">
        <f ca="1">IFERROR(INDEX(Algorithms!J:J,MATCH($C451&amp;"_Therm Saved per Unit",Algorithms!$A:$A,0)),"n/a")</f>
        <v>4.4.10</v>
      </c>
      <c r="M451" s="263" t="str">
        <f>IFERROR(INDEX('Measure Level Detail'!$N:$N,MATCH($B451,'Measure Level Detail'!$B:$B,0)),0)</f>
        <v>MBH</v>
      </c>
      <c r="N451" s="271">
        <f>IFERROR(INDEX('Measure Level Detail'!$P:$P,MATCH($B451&amp;"_"&amp;N$3,'Measure Level Detail'!$C:$C,0)),0)</f>
        <v>0</v>
      </c>
      <c r="O451" s="271">
        <f>IFERROR(INDEX('Measure Level Detail'!$P:$P,MATCH($B451&amp;"_"&amp;O$3,'Measure Level Detail'!$C:$C,0)),0)</f>
        <v>0</v>
      </c>
      <c r="P451" s="271">
        <f>IFERROR(INDEX('Measure Level Detail'!$P:$P,MATCH($B451&amp;"_"&amp;P$3,'Measure Level Detail'!$C:$C,0)),0)</f>
        <v>0</v>
      </c>
      <c r="Q451" s="271">
        <f>IFERROR(INDEX('Measure Level Detail'!$P:$P,MATCH($B451&amp;"_"&amp;Q$3,'Measure Level Detail'!$C:$C,0)),0)</f>
        <v>0</v>
      </c>
      <c r="R451" s="263" t="str">
        <f ca="1">IFERROR(INDEX(Algorithms!K:K,MATCH($C451&amp;"_Therm Saved per Unit",Algorithms!$A:$A,0)),"n/a")</f>
        <v>CI-HVC-BOIL-V11-240101</v>
      </c>
      <c r="S451" s="262"/>
      <c r="T451" s="272">
        <v>0.85179487179487012</v>
      </c>
      <c r="U451" s="272">
        <v>0.85179487179487012</v>
      </c>
      <c r="V451" s="272">
        <v>0.85179487179487012</v>
      </c>
      <c r="W451" s="272">
        <v>0.85179487179487012</v>
      </c>
      <c r="X451" s="273">
        <f>IFERROR(INDEX('Measure Level Detail'!$R:$R,MATCH($B451&amp;"_"&amp;X$3,'Measure Level Detail'!$C:$C,0)),0)</f>
        <v>1</v>
      </c>
      <c r="Y451" s="273">
        <f>IFERROR(INDEX('Measure Level Detail'!$R:$R,MATCH($B451&amp;"_"&amp;Y$3,'Measure Level Detail'!$C:$C,0)),0)</f>
        <v>1</v>
      </c>
      <c r="Z451" s="273">
        <f>IFERROR(INDEX('Measure Level Detail'!$R:$R,MATCH($B451&amp;"_"&amp;Z$3,'Measure Level Detail'!$C:$C,0)),0)</f>
        <v>1</v>
      </c>
      <c r="AA451" s="273">
        <f>IFERROR(INDEX('Measure Level Detail'!$R:$R,MATCH($B451&amp;"_"&amp;AA$3,'Measure Level Detail'!$C:$C,0)),0)</f>
        <v>1</v>
      </c>
      <c r="AB451" s="266">
        <f t="shared" si="247"/>
        <v>0</v>
      </c>
      <c r="AC451" s="266">
        <f t="shared" si="248"/>
        <v>0</v>
      </c>
      <c r="AD451" s="266">
        <f t="shared" si="249"/>
        <v>0</v>
      </c>
      <c r="AE451" s="266">
        <f t="shared" si="250"/>
        <v>0</v>
      </c>
      <c r="AF451" s="266">
        <f t="shared" si="251"/>
        <v>0</v>
      </c>
      <c r="AG451" s="274">
        <v>1</v>
      </c>
      <c r="AH451" s="274">
        <v>1</v>
      </c>
      <c r="AI451" s="274">
        <v>1</v>
      </c>
      <c r="AJ451" s="274">
        <v>1</v>
      </c>
      <c r="AK451" s="274">
        <f t="shared" si="252"/>
        <v>1</v>
      </c>
      <c r="AL451" s="274">
        <f t="shared" si="253"/>
        <v>1</v>
      </c>
      <c r="AM451" s="274">
        <f t="shared" si="254"/>
        <v>1</v>
      </c>
      <c r="AN451" s="274">
        <f t="shared" si="255"/>
        <v>1</v>
      </c>
      <c r="AO451" s="262"/>
      <c r="AP451" s="262"/>
      <c r="AQ451" s="267">
        <v>0.85179487179487012</v>
      </c>
      <c r="AR451" s="262"/>
      <c r="AS451" s="266">
        <f t="shared" si="256"/>
        <v>0</v>
      </c>
      <c r="AT451" s="264">
        <f t="shared" si="257"/>
        <v>0</v>
      </c>
      <c r="AU451" s="262"/>
      <c r="AV451" s="262"/>
      <c r="AW451" s="265">
        <v>0.63075949367088424</v>
      </c>
      <c r="AX451" s="164" t="s">
        <v>1469</v>
      </c>
      <c r="AY451" s="266">
        <v>0</v>
      </c>
      <c r="AZ451" s="266">
        <f t="shared" si="258"/>
        <v>0</v>
      </c>
      <c r="BA451" s="264">
        <f t="shared" si="259"/>
        <v>0</v>
      </c>
      <c r="BB451" s="262"/>
      <c r="BC451" s="262"/>
      <c r="BD451" s="265">
        <f ca="1">IFERROR(INDEX(Algorithms!$G:$G,MATCH($C451&amp;"_Therm Saved per Unit",Algorithms!$A:$A,0)),0)</f>
        <v>0.41012345679012158</v>
      </c>
      <c r="BE451" s="164" t="str">
        <f ca="1">IFERROR(INDEX('v12 Revisions'!$P$29:$P$186, MATCH('Measure-Level Adj Gas'!$L451, 'v12 Revisions'!$D$29:$D$186,0)),"")</f>
        <v>Updated baseline and efficient boiler efficiency ratings.</v>
      </c>
      <c r="BF451" s="266">
        <f t="shared" ca="1" si="260"/>
        <v>0</v>
      </c>
      <c r="BG451" s="264">
        <f t="shared" ca="1" si="261"/>
        <v>0</v>
      </c>
      <c r="BH451" s="262"/>
      <c r="BI451" s="262"/>
      <c r="BJ451" s="265">
        <f ca="1">IFERROR(INDEX(Algorithms!$G:$G,MATCH($C451&amp;"_Therm Saved per Unit",Algorithms!$A:$A,0)),0)</f>
        <v>0.41012345679012158</v>
      </c>
      <c r="BK451" s="164"/>
      <c r="BL451" s="266">
        <f t="shared" ca="1" si="262"/>
        <v>0</v>
      </c>
      <c r="BM451" s="264">
        <f t="shared" ca="1" si="263"/>
        <v>0</v>
      </c>
      <c r="BN451" s="266">
        <f t="shared" si="264"/>
        <v>0</v>
      </c>
      <c r="BO451" s="266">
        <f t="shared" si="265"/>
        <v>0</v>
      </c>
      <c r="BP451" s="266">
        <f t="shared" ca="1" si="266"/>
        <v>0</v>
      </c>
      <c r="BQ451" s="266">
        <f t="shared" ca="1" si="267"/>
        <v>0</v>
      </c>
      <c r="BR451" s="268">
        <f t="shared" ca="1" si="268"/>
        <v>0</v>
      </c>
      <c r="BS451" s="262" t="s">
        <v>99</v>
      </c>
      <c r="BT451" s="277"/>
      <c r="BW451" s="266">
        <f t="shared" si="269"/>
        <v>0</v>
      </c>
      <c r="BX451" s="266">
        <f t="shared" si="270"/>
        <v>0</v>
      </c>
      <c r="BY451" s="266">
        <f t="shared" si="271"/>
        <v>0</v>
      </c>
      <c r="BZ451" s="266">
        <f t="shared" si="272"/>
        <v>0</v>
      </c>
      <c r="CA451" s="266">
        <f ca="1">N451*IFERROR(INDEX(Algorithms!$G:$G,MATCH($C451&amp;"_Therm Saved per Unit- MLA",Algorithms!$A:$A,0)),0)*X451</f>
        <v>0</v>
      </c>
      <c r="CB451" s="266">
        <f ca="1">O451*IFERROR(INDEX(Algorithms!$G:$G,MATCH($C451&amp;"_Therm Saved per Unit- MLA",Algorithms!$A:$A,0)),0)*Y451</f>
        <v>0</v>
      </c>
      <c r="CC451" s="266">
        <f ca="1">P451*IFERROR(INDEX(Algorithms!$G:$G,MATCH($C451&amp;"_Therm Saved per Unit- MLA",Algorithms!$A:$A,0)),0)*Z451</f>
        <v>0</v>
      </c>
      <c r="CD451" s="266">
        <f ca="1">Q451*IFERROR(INDEX(Algorithms!$G:$G,MATCH($C451&amp;"_Therm Saved per Unit- MLA",Algorithms!$A:$A,0)),0)*AA451</f>
        <v>0</v>
      </c>
      <c r="CE451" s="266">
        <f ca="1">IFERROR(INDEX(Algorithms!$G:$G,MATCH($C451&amp;"_Lifetime (years)",Algorithms!$A:$A,0)),0)</f>
        <v>25</v>
      </c>
      <c r="CF451" s="266">
        <f ca="1">IFERROR(INDEX(Algorithms!$G:$G,MATCH($C451&amp;"_Lifetime (years) - Remaining Years",Algorithms!$A:$A,0)),0)</f>
        <v>0</v>
      </c>
      <c r="CG451" s="266">
        <f t="shared" ca="1" si="273"/>
        <v>0</v>
      </c>
      <c r="CH451" s="266">
        <f t="shared" ca="1" si="274"/>
        <v>0</v>
      </c>
      <c r="CI451" s="266">
        <f t="shared" ca="1" si="275"/>
        <v>0</v>
      </c>
      <c r="CJ451" s="266">
        <f t="shared" ca="1" si="276"/>
        <v>0</v>
      </c>
      <c r="CK451" s="266">
        <f t="shared" si="277"/>
        <v>0</v>
      </c>
      <c r="CL451" s="266">
        <f t="shared" si="278"/>
        <v>0</v>
      </c>
      <c r="CM451" s="266">
        <f t="shared" ca="1" si="279"/>
        <v>0</v>
      </c>
      <c r="CN451" s="266">
        <f t="shared" ca="1" si="280"/>
        <v>0</v>
      </c>
      <c r="CO451" s="266">
        <f ca="1">N451*IFERROR(INDEX(Algorithms!$G:$G,MATCH($C451&amp;"_Therm Saved per Unit- MLA",Algorithms!$A:$A,0)),0)*X451</f>
        <v>0</v>
      </c>
      <c r="CP451" s="266">
        <f ca="1">O451*IFERROR(INDEX(Algorithms!$G:$G,MATCH($C451&amp;"_Therm Saved per Unit- MLA",Algorithms!$A:$A,0)),0)*Y451</f>
        <v>0</v>
      </c>
      <c r="CQ451" s="266">
        <f ca="1">P451*IFERROR(INDEX(Algorithms!$G:$G,MATCH($C451&amp;"_Therm Saved per Unit- MLA",Algorithms!$A:$A,0)),0)*Z451</f>
        <v>0</v>
      </c>
      <c r="CR451" s="266">
        <f ca="1">Q451*IFERROR(INDEX(Algorithms!$G:$G,MATCH($C451&amp;"_Therm Saved per Unit- MLA",Algorithms!$A:$A,0)),0)*AA451</f>
        <v>0</v>
      </c>
      <c r="CS451" s="266">
        <f ca="1">IFERROR(INDEX(Algorithms!$G:$G,MATCH($C451&amp;"_Lifetime (years)",Algorithms!$A:$A,0)),0)</f>
        <v>25</v>
      </c>
      <c r="CT451" s="266">
        <f ca="1">IFERROR(INDEX(Algorithms!$G:$G,MATCH($C451&amp;"_Lifetime (years) - Remaining Years",Algorithms!$A:$A,0)),0)</f>
        <v>0</v>
      </c>
      <c r="CU451" s="266">
        <f t="shared" ca="1" si="281"/>
        <v>0</v>
      </c>
      <c r="CV451" s="266">
        <f t="shared" ca="1" si="282"/>
        <v>0</v>
      </c>
      <c r="CW451" s="266">
        <f t="shared" ca="1" si="283"/>
        <v>0</v>
      </c>
      <c r="CX451" s="266">
        <f t="shared" ca="1" si="284"/>
        <v>0</v>
      </c>
    </row>
    <row r="452" spans="2:102" s="47" customFormat="1" ht="18" customHeight="1" x14ac:dyDescent="0.25">
      <c r="B452" t="str">
        <f t="shared" si="285"/>
        <v>NSG_Income Eligible_Multi-Family_Whole Building - Prescriptive_Steam Traps_Test_MF</v>
      </c>
      <c r="C452" s="47" t="str">
        <f t="shared" si="246"/>
        <v>Steam Traps_Test_MF</v>
      </c>
      <c r="D452" s="270" t="s">
        <v>1787</v>
      </c>
      <c r="E452" s="270" t="s">
        <v>325</v>
      </c>
      <c r="F452" s="270" t="s">
        <v>1422</v>
      </c>
      <c r="G452" s="270" t="s">
        <v>1813</v>
      </c>
      <c r="H452" s="270" t="s">
        <v>644</v>
      </c>
      <c r="I452" s="270" t="s">
        <v>1097</v>
      </c>
      <c r="J452" s="270" t="s">
        <v>553</v>
      </c>
      <c r="K452" s="263">
        <v>1</v>
      </c>
      <c r="L452" s="263">
        <f ca="1">IFERROR(INDEX(Algorithms!J:J,MATCH($C452&amp;"_Therm Saved per Unit",Algorithms!$A:$A,0)),"n/a")</f>
        <v>0</v>
      </c>
      <c r="M452" s="263" t="str">
        <f>IFERROR(INDEX('Measure Level Detail'!$N:$N,MATCH($B452,'Measure Level Detail'!$B:$B,0)),0)</f>
        <v>each</v>
      </c>
      <c r="N452" s="271">
        <f>IFERROR(INDEX('Measure Level Detail'!$P:$P,MATCH($B452&amp;"_"&amp;N$3,'Measure Level Detail'!$C:$C,0)),0)</f>
        <v>0</v>
      </c>
      <c r="O452" s="271">
        <f>IFERROR(INDEX('Measure Level Detail'!$P:$P,MATCH($B452&amp;"_"&amp;O$3,'Measure Level Detail'!$C:$C,0)),0)</f>
        <v>0</v>
      </c>
      <c r="P452" s="271">
        <f>IFERROR(INDEX('Measure Level Detail'!$P:$P,MATCH($B452&amp;"_"&amp;P$3,'Measure Level Detail'!$C:$C,0)),0)</f>
        <v>0</v>
      </c>
      <c r="Q452" s="271">
        <f>IFERROR(INDEX('Measure Level Detail'!$P:$P,MATCH($B452&amp;"_"&amp;Q$3,'Measure Level Detail'!$C:$C,0)),0)</f>
        <v>0</v>
      </c>
      <c r="R452" s="263">
        <f ca="1">IFERROR(INDEX(Algorithms!K:K,MATCH($C452&amp;"_Therm Saved per Unit",Algorithms!$A:$A,0)),"n/a")</f>
        <v>0</v>
      </c>
      <c r="S452" s="262"/>
      <c r="T452" s="272">
        <v>0</v>
      </c>
      <c r="U452" s="272">
        <v>0</v>
      </c>
      <c r="V452" s="272">
        <v>0</v>
      </c>
      <c r="W452" s="272">
        <v>0</v>
      </c>
      <c r="X452" s="273">
        <f>IFERROR(INDEX('Measure Level Detail'!$R:$R,MATCH($B452&amp;"_"&amp;X$3,'Measure Level Detail'!$C:$C,0)),0)</f>
        <v>1</v>
      </c>
      <c r="Y452" s="273">
        <f>IFERROR(INDEX('Measure Level Detail'!$R:$R,MATCH($B452&amp;"_"&amp;Y$3,'Measure Level Detail'!$C:$C,0)),0)</f>
        <v>1</v>
      </c>
      <c r="Z452" s="273">
        <f>IFERROR(INDEX('Measure Level Detail'!$R:$R,MATCH($B452&amp;"_"&amp;Z$3,'Measure Level Detail'!$C:$C,0)),0)</f>
        <v>1</v>
      </c>
      <c r="AA452" s="273">
        <f>IFERROR(INDEX('Measure Level Detail'!$R:$R,MATCH($B452&amp;"_"&amp;AA$3,'Measure Level Detail'!$C:$C,0)),0)</f>
        <v>1</v>
      </c>
      <c r="AB452" s="266">
        <f t="shared" si="247"/>
        <v>0</v>
      </c>
      <c r="AC452" s="266">
        <f t="shared" si="248"/>
        <v>0</v>
      </c>
      <c r="AD452" s="266">
        <f t="shared" si="249"/>
        <v>0</v>
      </c>
      <c r="AE452" s="266">
        <f t="shared" si="250"/>
        <v>0</v>
      </c>
      <c r="AF452" s="266">
        <f t="shared" si="251"/>
        <v>0</v>
      </c>
      <c r="AG452" s="274">
        <v>1</v>
      </c>
      <c r="AH452" s="274">
        <v>1</v>
      </c>
      <c r="AI452" s="274">
        <v>1</v>
      </c>
      <c r="AJ452" s="274">
        <v>1</v>
      </c>
      <c r="AK452" s="274">
        <f t="shared" si="252"/>
        <v>1</v>
      </c>
      <c r="AL452" s="274">
        <f t="shared" si="253"/>
        <v>1</v>
      </c>
      <c r="AM452" s="274">
        <f t="shared" si="254"/>
        <v>1</v>
      </c>
      <c r="AN452" s="274">
        <f t="shared" si="255"/>
        <v>1</v>
      </c>
      <c r="AO452" s="262"/>
      <c r="AP452" s="262"/>
      <c r="AQ452" s="267">
        <v>0</v>
      </c>
      <c r="AR452" s="262"/>
      <c r="AS452" s="266">
        <f t="shared" si="256"/>
        <v>0</v>
      </c>
      <c r="AT452" s="264">
        <f t="shared" si="257"/>
        <v>0</v>
      </c>
      <c r="AU452" s="262"/>
      <c r="AV452" s="262"/>
      <c r="AW452" s="265">
        <v>0</v>
      </c>
      <c r="AX452" s="164" t="s">
        <v>1469</v>
      </c>
      <c r="AY452" s="266">
        <v>0</v>
      </c>
      <c r="AZ452" s="266">
        <f t="shared" si="258"/>
        <v>0</v>
      </c>
      <c r="BA452" s="264">
        <f t="shared" si="259"/>
        <v>0</v>
      </c>
      <c r="BB452" s="262"/>
      <c r="BC452" s="262"/>
      <c r="BD452" s="265">
        <f ca="1">IFERROR(INDEX(Algorithms!$G:$G,MATCH($C452&amp;"_Therm Saved per Unit",Algorithms!$A:$A,0)),0)</f>
        <v>0</v>
      </c>
      <c r="BE452" s="164" t="str">
        <f ca="1">IFERROR(INDEX('v12 Revisions'!$P$29:$P$186, MATCH('Measure-Level Adj Gas'!$L452, 'v12 Revisions'!$D$29:$D$186,0)),"")</f>
        <v/>
      </c>
      <c r="BF452" s="266">
        <f t="shared" ca="1" si="260"/>
        <v>0</v>
      </c>
      <c r="BG452" s="264">
        <f t="shared" ca="1" si="261"/>
        <v>0</v>
      </c>
      <c r="BH452" s="262"/>
      <c r="BI452" s="262"/>
      <c r="BJ452" s="265">
        <f ca="1">IFERROR(INDEX(Algorithms!$G:$G,MATCH($C452&amp;"_Therm Saved per Unit",Algorithms!$A:$A,0)),0)</f>
        <v>0</v>
      </c>
      <c r="BK452" s="164"/>
      <c r="BL452" s="266">
        <f t="shared" ca="1" si="262"/>
        <v>0</v>
      </c>
      <c r="BM452" s="264">
        <f t="shared" ca="1" si="263"/>
        <v>0</v>
      </c>
      <c r="BN452" s="266">
        <f t="shared" si="264"/>
        <v>0</v>
      </c>
      <c r="BO452" s="266">
        <f t="shared" si="265"/>
        <v>0</v>
      </c>
      <c r="BP452" s="266">
        <f t="shared" ca="1" si="266"/>
        <v>0</v>
      </c>
      <c r="BQ452" s="266">
        <f t="shared" ca="1" si="267"/>
        <v>0</v>
      </c>
      <c r="BR452" s="268">
        <f t="shared" ca="1" si="268"/>
        <v>0</v>
      </c>
      <c r="BS452" s="262" t="s">
        <v>99</v>
      </c>
      <c r="BT452" s="277"/>
      <c r="BW452" s="266">
        <f t="shared" si="269"/>
        <v>0</v>
      </c>
      <c r="BX452" s="266">
        <f t="shared" si="270"/>
        <v>0</v>
      </c>
      <c r="BY452" s="266">
        <f t="shared" si="271"/>
        <v>0</v>
      </c>
      <c r="BZ452" s="266">
        <f t="shared" si="272"/>
        <v>0</v>
      </c>
      <c r="CA452" s="266">
        <f ca="1">N452*IFERROR(INDEX(Algorithms!$G:$G,MATCH($C452&amp;"_Therm Saved per Unit- MLA",Algorithms!$A:$A,0)),0)*X452</f>
        <v>0</v>
      </c>
      <c r="CB452" s="266">
        <f ca="1">O452*IFERROR(INDEX(Algorithms!$G:$G,MATCH($C452&amp;"_Therm Saved per Unit- MLA",Algorithms!$A:$A,0)),0)*Y452</f>
        <v>0</v>
      </c>
      <c r="CC452" s="266">
        <f ca="1">P452*IFERROR(INDEX(Algorithms!$G:$G,MATCH($C452&amp;"_Therm Saved per Unit- MLA",Algorithms!$A:$A,0)),0)*Z452</f>
        <v>0</v>
      </c>
      <c r="CD452" s="266">
        <f ca="1">Q452*IFERROR(INDEX(Algorithms!$G:$G,MATCH($C452&amp;"_Therm Saved per Unit- MLA",Algorithms!$A:$A,0)),0)*AA452</f>
        <v>0</v>
      </c>
      <c r="CE452" s="266">
        <f ca="1">IFERROR(INDEX(Algorithms!$G:$G,MATCH($C452&amp;"_Lifetime (years)",Algorithms!$A:$A,0)),0)</f>
        <v>3</v>
      </c>
      <c r="CF452" s="266">
        <f ca="1">IFERROR(INDEX(Algorithms!$G:$G,MATCH($C452&amp;"_Lifetime (years) - Remaining Years",Algorithms!$A:$A,0)),0)</f>
        <v>0</v>
      </c>
      <c r="CG452" s="266">
        <f t="shared" ca="1" si="273"/>
        <v>0</v>
      </c>
      <c r="CH452" s="266">
        <f t="shared" ca="1" si="274"/>
        <v>0</v>
      </c>
      <c r="CI452" s="266">
        <f t="shared" ca="1" si="275"/>
        <v>0</v>
      </c>
      <c r="CJ452" s="266">
        <f t="shared" ca="1" si="276"/>
        <v>0</v>
      </c>
      <c r="CK452" s="266">
        <f t="shared" si="277"/>
        <v>0</v>
      </c>
      <c r="CL452" s="266">
        <f t="shared" si="278"/>
        <v>0</v>
      </c>
      <c r="CM452" s="266">
        <f t="shared" ca="1" si="279"/>
        <v>0</v>
      </c>
      <c r="CN452" s="266">
        <f t="shared" ca="1" si="280"/>
        <v>0</v>
      </c>
      <c r="CO452" s="266">
        <f ca="1">N452*IFERROR(INDEX(Algorithms!$G:$G,MATCH($C452&amp;"_Therm Saved per Unit- MLA",Algorithms!$A:$A,0)),0)*X452</f>
        <v>0</v>
      </c>
      <c r="CP452" s="266">
        <f ca="1">O452*IFERROR(INDEX(Algorithms!$G:$G,MATCH($C452&amp;"_Therm Saved per Unit- MLA",Algorithms!$A:$A,0)),0)*Y452</f>
        <v>0</v>
      </c>
      <c r="CQ452" s="266">
        <f ca="1">P452*IFERROR(INDEX(Algorithms!$G:$G,MATCH($C452&amp;"_Therm Saved per Unit- MLA",Algorithms!$A:$A,0)),0)*Z452</f>
        <v>0</v>
      </c>
      <c r="CR452" s="266">
        <f ca="1">Q452*IFERROR(INDEX(Algorithms!$G:$G,MATCH($C452&amp;"_Therm Saved per Unit- MLA",Algorithms!$A:$A,0)),0)*AA452</f>
        <v>0</v>
      </c>
      <c r="CS452" s="266">
        <f ca="1">IFERROR(INDEX(Algorithms!$G:$G,MATCH($C452&amp;"_Lifetime (years)",Algorithms!$A:$A,0)),0)</f>
        <v>3</v>
      </c>
      <c r="CT452" s="266">
        <f ca="1">IFERROR(INDEX(Algorithms!$G:$G,MATCH($C452&amp;"_Lifetime (years) - Remaining Years",Algorithms!$A:$A,0)),0)</f>
        <v>0</v>
      </c>
      <c r="CU452" s="266">
        <f t="shared" ca="1" si="281"/>
        <v>0</v>
      </c>
      <c r="CV452" s="266">
        <f t="shared" ca="1" si="282"/>
        <v>0</v>
      </c>
      <c r="CW452" s="266">
        <f t="shared" ca="1" si="283"/>
        <v>0</v>
      </c>
      <c r="CX452" s="266">
        <f t="shared" ca="1" si="284"/>
        <v>0</v>
      </c>
    </row>
    <row r="453" spans="2:102" s="47" customFormat="1" ht="18" customHeight="1" x14ac:dyDescent="0.25">
      <c r="B453" t="str">
        <f t="shared" si="285"/>
        <v>NSG_Income Eligible_Multi-Family_Whole Building - Prescriptive_On Demand DHW Circulation System_0_MF</v>
      </c>
      <c r="C453" s="47" t="str">
        <f t="shared" si="246"/>
        <v>On Demand DHW Circulation System_0_MF</v>
      </c>
      <c r="D453" s="270" t="s">
        <v>1787</v>
      </c>
      <c r="E453" s="270" t="s">
        <v>325</v>
      </c>
      <c r="F453" s="270" t="s">
        <v>1422</v>
      </c>
      <c r="G453" s="270" t="s">
        <v>1813</v>
      </c>
      <c r="H453" s="270" t="s">
        <v>1075</v>
      </c>
      <c r="I453" s="270">
        <v>0</v>
      </c>
      <c r="J453" s="270" t="s">
        <v>553</v>
      </c>
      <c r="K453" s="263">
        <v>1</v>
      </c>
      <c r="L453" s="263" t="str">
        <f ca="1">IFERROR(INDEX(Algorithms!J:J,MATCH($C453&amp;"_Therm Saved per Unit",Algorithms!$A:$A,0)),"n/a")</f>
        <v>4.3.8</v>
      </c>
      <c r="M453" s="263" t="str">
        <f>IFERROR(INDEX('Measure Level Detail'!$N:$N,MATCH($B453,'Measure Level Detail'!$B:$B,0)),0)</f>
        <v>living unit</v>
      </c>
      <c r="N453" s="271">
        <f>IFERROR(INDEX('Measure Level Detail'!$P:$P,MATCH($B453&amp;"_"&amp;N$3,'Measure Level Detail'!$C:$C,0)),0)</f>
        <v>0</v>
      </c>
      <c r="O453" s="271">
        <f>IFERROR(INDEX('Measure Level Detail'!$P:$P,MATCH($B453&amp;"_"&amp;O$3,'Measure Level Detail'!$C:$C,0)),0)</f>
        <v>0</v>
      </c>
      <c r="P453" s="271">
        <f>IFERROR(INDEX('Measure Level Detail'!$P:$P,MATCH($B453&amp;"_"&amp;P$3,'Measure Level Detail'!$C:$C,0)),0)</f>
        <v>0</v>
      </c>
      <c r="Q453" s="271">
        <f>IFERROR(INDEX('Measure Level Detail'!$P:$P,MATCH($B453&amp;"_"&amp;Q$3,'Measure Level Detail'!$C:$C,0)),0)</f>
        <v>0</v>
      </c>
      <c r="R453" s="263" t="str">
        <f ca="1">IFERROR(INDEX(Algorithms!K:K,MATCH($C453&amp;"_Therm Saved per Unit",Algorithms!$A:$A,0)),"n/a")</f>
        <v>CI-HWE-CDHW-V06-240101</v>
      </c>
      <c r="S453" s="262"/>
      <c r="T453" s="272">
        <v>62.687100553999997</v>
      </c>
      <c r="U453" s="272">
        <v>62.687100553999997</v>
      </c>
      <c r="V453" s="272">
        <v>62.687100553999997</v>
      </c>
      <c r="W453" s="272">
        <v>62.687100553999997</v>
      </c>
      <c r="X453" s="273">
        <f>IFERROR(INDEX('Measure Level Detail'!$R:$R,MATCH($B453&amp;"_"&amp;X$3,'Measure Level Detail'!$C:$C,0)),0)</f>
        <v>1</v>
      </c>
      <c r="Y453" s="273">
        <f>IFERROR(INDEX('Measure Level Detail'!$R:$R,MATCH($B453&amp;"_"&amp;Y$3,'Measure Level Detail'!$C:$C,0)),0)</f>
        <v>1</v>
      </c>
      <c r="Z453" s="273">
        <f>IFERROR(INDEX('Measure Level Detail'!$R:$R,MATCH($B453&amp;"_"&amp;Z$3,'Measure Level Detail'!$C:$C,0)),0)</f>
        <v>1</v>
      </c>
      <c r="AA453" s="273">
        <f>IFERROR(INDEX('Measure Level Detail'!$R:$R,MATCH($B453&amp;"_"&amp;AA$3,'Measure Level Detail'!$C:$C,0)),0)</f>
        <v>1</v>
      </c>
      <c r="AB453" s="266">
        <f t="shared" si="247"/>
        <v>0</v>
      </c>
      <c r="AC453" s="266">
        <f t="shared" si="248"/>
        <v>0</v>
      </c>
      <c r="AD453" s="266">
        <f t="shared" si="249"/>
        <v>0</v>
      </c>
      <c r="AE453" s="266">
        <f t="shared" si="250"/>
        <v>0</v>
      </c>
      <c r="AF453" s="266">
        <f t="shared" si="251"/>
        <v>0</v>
      </c>
      <c r="AG453" s="274">
        <v>1</v>
      </c>
      <c r="AH453" s="274">
        <v>1</v>
      </c>
      <c r="AI453" s="274">
        <v>1</v>
      </c>
      <c r="AJ453" s="274">
        <v>1</v>
      </c>
      <c r="AK453" s="274">
        <f t="shared" si="252"/>
        <v>1</v>
      </c>
      <c r="AL453" s="274">
        <f t="shared" si="253"/>
        <v>1</v>
      </c>
      <c r="AM453" s="274">
        <f t="shared" si="254"/>
        <v>1</v>
      </c>
      <c r="AN453" s="274">
        <f t="shared" si="255"/>
        <v>1</v>
      </c>
      <c r="AO453" s="262"/>
      <c r="AP453" s="262"/>
      <c r="AQ453" s="267">
        <v>62.687100553999997</v>
      </c>
      <c r="AR453" s="262"/>
      <c r="AS453" s="266">
        <f t="shared" si="256"/>
        <v>0</v>
      </c>
      <c r="AT453" s="264">
        <f t="shared" si="257"/>
        <v>0</v>
      </c>
      <c r="AU453" s="262"/>
      <c r="AV453" s="262"/>
      <c r="AW453" s="265">
        <v>62.687100553999997</v>
      </c>
      <c r="AX453" s="164" t="s">
        <v>2400</v>
      </c>
      <c r="AY453" s="266">
        <v>0</v>
      </c>
      <c r="AZ453" s="266">
        <f t="shared" si="258"/>
        <v>0</v>
      </c>
      <c r="BA453" s="264">
        <f t="shared" si="259"/>
        <v>0</v>
      </c>
      <c r="BB453" s="262"/>
      <c r="BC453" s="262"/>
      <c r="BD453" s="265">
        <f ca="1">IFERROR(INDEX(Algorithms!$G:$G,MATCH($C453&amp;"_Therm Saved per Unit",Algorithms!$A:$A,0)),0)</f>
        <v>62.687100553999997</v>
      </c>
      <c r="BE453" s="164" t="str">
        <f ca="1">IFERROR(INDEX('v12 Revisions'!$P$29:$P$186, MATCH('Measure-Level Adj Gas'!$L453, 'v12 Revisions'!$D$29:$D$186,0)),"")</f>
        <v>Updated reduction(%) in total operating hours for normal and low occupancy period.</v>
      </c>
      <c r="BF453" s="266">
        <f t="shared" ca="1" si="260"/>
        <v>0</v>
      </c>
      <c r="BG453" s="264">
        <f t="shared" ca="1" si="261"/>
        <v>0</v>
      </c>
      <c r="BH453" s="262"/>
      <c r="BI453" s="262"/>
      <c r="BJ453" s="265">
        <f ca="1">IFERROR(INDEX(Algorithms!$G:$G,MATCH($C453&amp;"_Therm Saved per Unit",Algorithms!$A:$A,0)),0)</f>
        <v>62.687100553999997</v>
      </c>
      <c r="BK453" s="164"/>
      <c r="BL453" s="266">
        <f t="shared" ca="1" si="262"/>
        <v>0</v>
      </c>
      <c r="BM453" s="264">
        <f t="shared" ca="1" si="263"/>
        <v>0</v>
      </c>
      <c r="BN453" s="266">
        <f t="shared" si="264"/>
        <v>0</v>
      </c>
      <c r="BO453" s="266">
        <f t="shared" si="265"/>
        <v>0</v>
      </c>
      <c r="BP453" s="266">
        <f t="shared" ca="1" si="266"/>
        <v>0</v>
      </c>
      <c r="BQ453" s="266">
        <f t="shared" ca="1" si="267"/>
        <v>0</v>
      </c>
      <c r="BR453" s="268">
        <f t="shared" ca="1" si="268"/>
        <v>0</v>
      </c>
      <c r="BS453" s="262" t="s">
        <v>99</v>
      </c>
      <c r="BT453" s="277"/>
      <c r="BW453" s="266">
        <f t="shared" si="269"/>
        <v>0</v>
      </c>
      <c r="BX453" s="266">
        <f t="shared" si="270"/>
        <v>0</v>
      </c>
      <c r="BY453" s="266">
        <f t="shared" si="271"/>
        <v>0</v>
      </c>
      <c r="BZ453" s="266">
        <f t="shared" si="272"/>
        <v>0</v>
      </c>
      <c r="CA453" s="266">
        <f ca="1">N453*IFERROR(INDEX(Algorithms!$G:$G,MATCH($C453&amp;"_Therm Saved per Unit- MLA",Algorithms!$A:$A,0)),0)*X453</f>
        <v>0</v>
      </c>
      <c r="CB453" s="266">
        <f ca="1">O453*IFERROR(INDEX(Algorithms!$G:$G,MATCH($C453&amp;"_Therm Saved per Unit- MLA",Algorithms!$A:$A,0)),0)*Y453</f>
        <v>0</v>
      </c>
      <c r="CC453" s="266">
        <f ca="1">P453*IFERROR(INDEX(Algorithms!$G:$G,MATCH($C453&amp;"_Therm Saved per Unit- MLA",Algorithms!$A:$A,0)),0)*Z453</f>
        <v>0</v>
      </c>
      <c r="CD453" s="266">
        <f ca="1">Q453*IFERROR(INDEX(Algorithms!$G:$G,MATCH($C453&amp;"_Therm Saved per Unit- MLA",Algorithms!$A:$A,0)),0)*AA453</f>
        <v>0</v>
      </c>
      <c r="CE453" s="266">
        <f ca="1">IFERROR(INDEX(Algorithms!$G:$G,MATCH($C453&amp;"_Lifetime (years)",Algorithms!$A:$A,0)),0)</f>
        <v>15</v>
      </c>
      <c r="CF453" s="266">
        <f ca="1">IFERROR(INDEX(Algorithms!$G:$G,MATCH($C453&amp;"_Lifetime (years) - Remaining Years",Algorithms!$A:$A,0)),0)</f>
        <v>0</v>
      </c>
      <c r="CG453" s="266">
        <f t="shared" ca="1" si="273"/>
        <v>0</v>
      </c>
      <c r="CH453" s="266">
        <f t="shared" ca="1" si="274"/>
        <v>0</v>
      </c>
      <c r="CI453" s="266">
        <f t="shared" ca="1" si="275"/>
        <v>0</v>
      </c>
      <c r="CJ453" s="266">
        <f t="shared" ca="1" si="276"/>
        <v>0</v>
      </c>
      <c r="CK453" s="266">
        <f t="shared" si="277"/>
        <v>0</v>
      </c>
      <c r="CL453" s="266">
        <f t="shared" si="278"/>
        <v>0</v>
      </c>
      <c r="CM453" s="266">
        <f t="shared" ca="1" si="279"/>
        <v>0</v>
      </c>
      <c r="CN453" s="266">
        <f t="shared" ca="1" si="280"/>
        <v>0</v>
      </c>
      <c r="CO453" s="266">
        <f ca="1">N453*IFERROR(INDEX(Algorithms!$G:$G,MATCH($C453&amp;"_Therm Saved per Unit- MLA",Algorithms!$A:$A,0)),0)*X453</f>
        <v>0</v>
      </c>
      <c r="CP453" s="266">
        <f ca="1">O453*IFERROR(INDEX(Algorithms!$G:$G,MATCH($C453&amp;"_Therm Saved per Unit- MLA",Algorithms!$A:$A,0)),0)*Y453</f>
        <v>0</v>
      </c>
      <c r="CQ453" s="266">
        <f ca="1">P453*IFERROR(INDEX(Algorithms!$G:$G,MATCH($C453&amp;"_Therm Saved per Unit- MLA",Algorithms!$A:$A,0)),0)*Z453</f>
        <v>0</v>
      </c>
      <c r="CR453" s="266">
        <f ca="1">Q453*IFERROR(INDEX(Algorithms!$G:$G,MATCH($C453&amp;"_Therm Saved per Unit- MLA",Algorithms!$A:$A,0)),0)*AA453</f>
        <v>0</v>
      </c>
      <c r="CS453" s="266">
        <f ca="1">IFERROR(INDEX(Algorithms!$G:$G,MATCH($C453&amp;"_Lifetime (years)",Algorithms!$A:$A,0)),0)</f>
        <v>15</v>
      </c>
      <c r="CT453" s="266">
        <f ca="1">IFERROR(INDEX(Algorithms!$G:$G,MATCH($C453&amp;"_Lifetime (years) - Remaining Years",Algorithms!$A:$A,0)),0)</f>
        <v>0</v>
      </c>
      <c r="CU453" s="266">
        <f t="shared" ca="1" si="281"/>
        <v>0</v>
      </c>
      <c r="CV453" s="266">
        <f t="shared" ca="1" si="282"/>
        <v>0</v>
      </c>
      <c r="CW453" s="266">
        <f t="shared" ca="1" si="283"/>
        <v>0</v>
      </c>
      <c r="CX453" s="266">
        <f t="shared" ca="1" si="284"/>
        <v>0</v>
      </c>
    </row>
    <row r="454" spans="2:102" s="47" customFormat="1" ht="18" customHeight="1" x14ac:dyDescent="0.25">
      <c r="B454" t="str">
        <f t="shared" si="285"/>
        <v>NSG_Income Eligible_Multi-Family_Whole Building - Prescriptive_Water Heater_Central/Indirect MF ≥88% TE_MF</v>
      </c>
      <c r="C454" s="47" t="str">
        <f t="shared" si="246"/>
        <v>Water Heater_Central/Indirect MF ≥88% TE_MF</v>
      </c>
      <c r="D454" s="270" t="s">
        <v>1787</v>
      </c>
      <c r="E454" s="270" t="s">
        <v>325</v>
      </c>
      <c r="F454" s="270" t="s">
        <v>1422</v>
      </c>
      <c r="G454" s="270" t="s">
        <v>1813</v>
      </c>
      <c r="H454" s="270" t="s">
        <v>8</v>
      </c>
      <c r="I454" s="270" t="s">
        <v>1066</v>
      </c>
      <c r="J454" s="270" t="s">
        <v>553</v>
      </c>
      <c r="K454" s="263">
        <v>1</v>
      </c>
      <c r="L454" s="263" t="str">
        <f ca="1">IFERROR(INDEX(Algorithms!J:J,MATCH($C454&amp;"_Therm Saved per Unit",Algorithms!$A:$A,0)),"n/a")</f>
        <v>4.3.7</v>
      </c>
      <c r="M454" s="263" t="str">
        <f>IFERROR(INDEX('Measure Level Detail'!$N:$N,MATCH($B454,'Measure Level Detail'!$B:$B,0)),0)</f>
        <v>Living Unit</v>
      </c>
      <c r="N454" s="271">
        <f>IFERROR(INDEX('Measure Level Detail'!$P:$P,MATCH($B454&amp;"_"&amp;N$3,'Measure Level Detail'!$C:$C,0)),0)</f>
        <v>0</v>
      </c>
      <c r="O454" s="271">
        <f>IFERROR(INDEX('Measure Level Detail'!$P:$P,MATCH($B454&amp;"_"&amp;O$3,'Measure Level Detail'!$C:$C,0)),0)</f>
        <v>0</v>
      </c>
      <c r="P454" s="271">
        <f>IFERROR(INDEX('Measure Level Detail'!$P:$P,MATCH($B454&amp;"_"&amp;P$3,'Measure Level Detail'!$C:$C,0)),0)</f>
        <v>0</v>
      </c>
      <c r="Q454" s="271">
        <f>IFERROR(INDEX('Measure Level Detail'!$P:$P,MATCH($B454&amp;"_"&amp;Q$3,'Measure Level Detail'!$C:$C,0)),0)</f>
        <v>0</v>
      </c>
      <c r="R454" s="263" t="str">
        <f ca="1">IFERROR(INDEX(Algorithms!K:K,MATCH($C454&amp;"_Therm Saved per Unit",Algorithms!$A:$A,0)),"n/a")</f>
        <v>CI-HWE-MDHW-V07-240101</v>
      </c>
      <c r="S454" s="262"/>
      <c r="T454" s="272">
        <v>453.64159574999974</v>
      </c>
      <c r="U454" s="272">
        <v>453.64159574999974</v>
      </c>
      <c r="V454" s="272">
        <v>453.64159574999974</v>
      </c>
      <c r="W454" s="272">
        <v>453.64159574999974</v>
      </c>
      <c r="X454" s="273">
        <f>IFERROR(INDEX('Measure Level Detail'!$R:$R,MATCH($B454&amp;"_"&amp;X$3,'Measure Level Detail'!$C:$C,0)),0)</f>
        <v>1</v>
      </c>
      <c r="Y454" s="273">
        <f>IFERROR(INDEX('Measure Level Detail'!$R:$R,MATCH($B454&amp;"_"&amp;Y$3,'Measure Level Detail'!$C:$C,0)),0)</f>
        <v>1</v>
      </c>
      <c r="Z454" s="273">
        <f>IFERROR(INDEX('Measure Level Detail'!$R:$R,MATCH($B454&amp;"_"&amp;Z$3,'Measure Level Detail'!$C:$C,0)),0)</f>
        <v>1</v>
      </c>
      <c r="AA454" s="273">
        <f>IFERROR(INDEX('Measure Level Detail'!$R:$R,MATCH($B454&amp;"_"&amp;AA$3,'Measure Level Detail'!$C:$C,0)),0)</f>
        <v>1</v>
      </c>
      <c r="AB454" s="266">
        <f t="shared" si="247"/>
        <v>0</v>
      </c>
      <c r="AC454" s="266">
        <f t="shared" si="248"/>
        <v>0</v>
      </c>
      <c r="AD454" s="266">
        <f t="shared" si="249"/>
        <v>0</v>
      </c>
      <c r="AE454" s="266">
        <f t="shared" si="250"/>
        <v>0</v>
      </c>
      <c r="AF454" s="266">
        <f t="shared" si="251"/>
        <v>0</v>
      </c>
      <c r="AG454" s="274">
        <v>1</v>
      </c>
      <c r="AH454" s="274">
        <v>1</v>
      </c>
      <c r="AI454" s="274">
        <v>1</v>
      </c>
      <c r="AJ454" s="274">
        <v>1</v>
      </c>
      <c r="AK454" s="274">
        <f t="shared" si="252"/>
        <v>1</v>
      </c>
      <c r="AL454" s="274">
        <f t="shared" si="253"/>
        <v>1</v>
      </c>
      <c r="AM454" s="274">
        <f t="shared" si="254"/>
        <v>1</v>
      </c>
      <c r="AN454" s="274">
        <f t="shared" si="255"/>
        <v>1</v>
      </c>
      <c r="AO454" s="262"/>
      <c r="AP454" s="262"/>
      <c r="AQ454" s="267">
        <v>474.72634597499967</v>
      </c>
      <c r="AR454" s="262"/>
      <c r="AS454" s="266">
        <f t="shared" si="256"/>
        <v>0</v>
      </c>
      <c r="AT454" s="264">
        <f t="shared" si="257"/>
        <v>0</v>
      </c>
      <c r="AU454" s="262"/>
      <c r="AV454" s="262"/>
      <c r="AW454" s="265">
        <v>474.72634597499967</v>
      </c>
      <c r="AX454" s="164" t="s">
        <v>1469</v>
      </c>
      <c r="AY454" s="266">
        <v>0</v>
      </c>
      <c r="AZ454" s="266">
        <f t="shared" si="258"/>
        <v>0</v>
      </c>
      <c r="BA454" s="264">
        <f t="shared" si="259"/>
        <v>0</v>
      </c>
      <c r="BB454" s="262"/>
      <c r="BC454" s="262"/>
      <c r="BD454" s="265">
        <f ca="1">IFERROR(INDEX(Algorithms!$G:$G,MATCH($C454&amp;"_Therm Saved per Unit",Algorithms!$A:$A,0)),0)</f>
        <v>474.72634597499967</v>
      </c>
      <c r="BE454" s="164" t="str">
        <f ca="1">IFERROR(INDEX('v12 Revisions'!$P$29:$P$186, MATCH('Measure-Level Adj Gas'!$L454, 'v12 Revisions'!$D$29:$D$186,0)),"")</f>
        <v>n/a - language only.</v>
      </c>
      <c r="BF454" s="266">
        <f t="shared" ca="1" si="260"/>
        <v>0</v>
      </c>
      <c r="BG454" s="264">
        <f t="shared" ca="1" si="261"/>
        <v>0</v>
      </c>
      <c r="BH454" s="262"/>
      <c r="BI454" s="262"/>
      <c r="BJ454" s="265">
        <f ca="1">IFERROR(INDEX(Algorithms!$G:$G,MATCH($C454&amp;"_Therm Saved per Unit",Algorithms!$A:$A,0)),0)</f>
        <v>474.72634597499967</v>
      </c>
      <c r="BK454" s="164"/>
      <c r="BL454" s="266">
        <f t="shared" ca="1" si="262"/>
        <v>0</v>
      </c>
      <c r="BM454" s="264">
        <f t="shared" ca="1" si="263"/>
        <v>0</v>
      </c>
      <c r="BN454" s="266">
        <f t="shared" si="264"/>
        <v>0</v>
      </c>
      <c r="BO454" s="266">
        <f t="shared" si="265"/>
        <v>0</v>
      </c>
      <c r="BP454" s="266">
        <f t="shared" ca="1" si="266"/>
        <v>0</v>
      </c>
      <c r="BQ454" s="266">
        <f t="shared" ca="1" si="267"/>
        <v>0</v>
      </c>
      <c r="BR454" s="268">
        <f t="shared" ca="1" si="268"/>
        <v>0</v>
      </c>
      <c r="BS454" s="262" t="s">
        <v>99</v>
      </c>
      <c r="BT454" s="277"/>
      <c r="BW454" s="266">
        <f t="shared" si="269"/>
        <v>0</v>
      </c>
      <c r="BX454" s="266">
        <f t="shared" si="270"/>
        <v>0</v>
      </c>
      <c r="BY454" s="266">
        <f t="shared" si="271"/>
        <v>0</v>
      </c>
      <c r="BZ454" s="266">
        <f t="shared" si="272"/>
        <v>0</v>
      </c>
      <c r="CA454" s="266">
        <f ca="1">N454*IFERROR(INDEX(Algorithms!$G:$G,MATCH($C454&amp;"_Therm Saved per Unit- MLA",Algorithms!$A:$A,0)),0)*X454</f>
        <v>0</v>
      </c>
      <c r="CB454" s="266">
        <f ca="1">O454*IFERROR(INDEX(Algorithms!$G:$G,MATCH($C454&amp;"_Therm Saved per Unit- MLA",Algorithms!$A:$A,0)),0)*Y454</f>
        <v>0</v>
      </c>
      <c r="CC454" s="266">
        <f ca="1">P454*IFERROR(INDEX(Algorithms!$G:$G,MATCH($C454&amp;"_Therm Saved per Unit- MLA",Algorithms!$A:$A,0)),0)*Z454</f>
        <v>0</v>
      </c>
      <c r="CD454" s="266">
        <f ca="1">Q454*IFERROR(INDEX(Algorithms!$G:$G,MATCH($C454&amp;"_Therm Saved per Unit- MLA",Algorithms!$A:$A,0)),0)*AA454</f>
        <v>0</v>
      </c>
      <c r="CE454" s="266">
        <f ca="1">IFERROR(INDEX(Algorithms!$G:$G,MATCH($C454&amp;"_Lifetime (years)",Algorithms!$A:$A,0)),0)</f>
        <v>15</v>
      </c>
      <c r="CF454" s="266">
        <f ca="1">IFERROR(INDEX(Algorithms!$G:$G,MATCH($C454&amp;"_Lifetime (years) - Remaining Years",Algorithms!$A:$A,0)),0)</f>
        <v>0</v>
      </c>
      <c r="CG454" s="266">
        <f t="shared" ca="1" si="273"/>
        <v>0</v>
      </c>
      <c r="CH454" s="266">
        <f t="shared" ca="1" si="274"/>
        <v>0</v>
      </c>
      <c r="CI454" s="266">
        <f t="shared" ca="1" si="275"/>
        <v>0</v>
      </c>
      <c r="CJ454" s="266">
        <f t="shared" ca="1" si="276"/>
        <v>0</v>
      </c>
      <c r="CK454" s="266">
        <f t="shared" si="277"/>
        <v>0</v>
      </c>
      <c r="CL454" s="266">
        <f t="shared" si="278"/>
        <v>0</v>
      </c>
      <c r="CM454" s="266">
        <f t="shared" ca="1" si="279"/>
        <v>0</v>
      </c>
      <c r="CN454" s="266">
        <f t="shared" ca="1" si="280"/>
        <v>0</v>
      </c>
      <c r="CO454" s="266">
        <f ca="1">N454*IFERROR(INDEX(Algorithms!$G:$G,MATCH($C454&amp;"_Therm Saved per Unit- MLA",Algorithms!$A:$A,0)),0)*X454</f>
        <v>0</v>
      </c>
      <c r="CP454" s="266">
        <f ca="1">O454*IFERROR(INDEX(Algorithms!$G:$G,MATCH($C454&amp;"_Therm Saved per Unit- MLA",Algorithms!$A:$A,0)),0)*Y454</f>
        <v>0</v>
      </c>
      <c r="CQ454" s="266">
        <f ca="1">P454*IFERROR(INDEX(Algorithms!$G:$G,MATCH($C454&amp;"_Therm Saved per Unit- MLA",Algorithms!$A:$A,0)),0)*Z454</f>
        <v>0</v>
      </c>
      <c r="CR454" s="266">
        <f ca="1">Q454*IFERROR(INDEX(Algorithms!$G:$G,MATCH($C454&amp;"_Therm Saved per Unit- MLA",Algorithms!$A:$A,0)),0)*AA454</f>
        <v>0</v>
      </c>
      <c r="CS454" s="266">
        <f ca="1">IFERROR(INDEX(Algorithms!$G:$G,MATCH($C454&amp;"_Lifetime (years)",Algorithms!$A:$A,0)),0)</f>
        <v>15</v>
      </c>
      <c r="CT454" s="266">
        <f ca="1">IFERROR(INDEX(Algorithms!$G:$G,MATCH($C454&amp;"_Lifetime (years) - Remaining Years",Algorithms!$A:$A,0)),0)</f>
        <v>0</v>
      </c>
      <c r="CU454" s="266">
        <f t="shared" ca="1" si="281"/>
        <v>0</v>
      </c>
      <c r="CV454" s="266">
        <f t="shared" ca="1" si="282"/>
        <v>0</v>
      </c>
      <c r="CW454" s="266">
        <f t="shared" ca="1" si="283"/>
        <v>0</v>
      </c>
      <c r="CX454" s="266">
        <f t="shared" ca="1" si="284"/>
        <v>0</v>
      </c>
    </row>
    <row r="455" spans="2:102" s="47" customFormat="1" ht="18" customHeight="1" x14ac:dyDescent="0.25">
      <c r="B455" t="str">
        <f t="shared" si="285"/>
        <v>NSG_Income Eligible_Multi-Family_Whole Building - Prescriptive_Water Heater_Storage 0.67 EF_MF</v>
      </c>
      <c r="C455" s="47" t="str">
        <f t="shared" si="246"/>
        <v>Water Heater_Storage 0.67 EF_MF</v>
      </c>
      <c r="D455" s="270" t="s">
        <v>1787</v>
      </c>
      <c r="E455" s="270" t="s">
        <v>325</v>
      </c>
      <c r="F455" s="270" t="s">
        <v>1422</v>
      </c>
      <c r="G455" s="270" t="s">
        <v>1813</v>
      </c>
      <c r="H455" s="270" t="s">
        <v>8</v>
      </c>
      <c r="I455" s="270" t="s">
        <v>879</v>
      </c>
      <c r="J455" s="270" t="s">
        <v>553</v>
      </c>
      <c r="K455" s="263">
        <v>1</v>
      </c>
      <c r="L455" s="263" t="str">
        <f ca="1">IFERROR(INDEX(Algorithms!J:J,MATCH($C455&amp;"_Therm Saved per Unit",Algorithms!$A:$A,0)),"n/a")</f>
        <v>4.3.1</v>
      </c>
      <c r="M455" s="263" t="str">
        <f>IFERROR(INDEX('Measure Level Detail'!$N:$N,MATCH($B455,'Measure Level Detail'!$B:$B,0)),0)</f>
        <v>each</v>
      </c>
      <c r="N455" s="271">
        <f>IFERROR(INDEX('Measure Level Detail'!$P:$P,MATCH($B455&amp;"_"&amp;N$3,'Measure Level Detail'!$C:$C,0)),0)</f>
        <v>0</v>
      </c>
      <c r="O455" s="271">
        <f>IFERROR(INDEX('Measure Level Detail'!$P:$P,MATCH($B455&amp;"_"&amp;O$3,'Measure Level Detail'!$C:$C,0)),0)</f>
        <v>0</v>
      </c>
      <c r="P455" s="271">
        <f>IFERROR(INDEX('Measure Level Detail'!$P:$P,MATCH($B455&amp;"_"&amp;P$3,'Measure Level Detail'!$C:$C,0)),0)</f>
        <v>0</v>
      </c>
      <c r="Q455" s="271">
        <f>IFERROR(INDEX('Measure Level Detail'!$P:$P,MATCH($B455&amp;"_"&amp;Q$3,'Measure Level Detail'!$C:$C,0)),0)</f>
        <v>0</v>
      </c>
      <c r="R455" s="263" t="str">
        <f ca="1">IFERROR(INDEX(Algorithms!K:K,MATCH($C455&amp;"_Therm Saved per Unit",Algorithms!$A:$A,0)),"n/a")</f>
        <v>CI-HWE-STWH-V10-240101</v>
      </c>
      <c r="S455" s="262"/>
      <c r="T455" s="272">
        <v>35.435517834876244</v>
      </c>
      <c r="U455" s="272">
        <v>35.435517834876244</v>
      </c>
      <c r="V455" s="272">
        <v>35.435517834876244</v>
      </c>
      <c r="W455" s="272">
        <v>35.435517834876244</v>
      </c>
      <c r="X455" s="273">
        <f>IFERROR(INDEX('Measure Level Detail'!$R:$R,MATCH($B455&amp;"_"&amp;X$3,'Measure Level Detail'!$C:$C,0)),0)</f>
        <v>1</v>
      </c>
      <c r="Y455" s="273">
        <f>IFERROR(INDEX('Measure Level Detail'!$R:$R,MATCH($B455&amp;"_"&amp;Y$3,'Measure Level Detail'!$C:$C,0)),0)</f>
        <v>1</v>
      </c>
      <c r="Z455" s="273">
        <f>IFERROR(INDEX('Measure Level Detail'!$R:$R,MATCH($B455&amp;"_"&amp;Z$3,'Measure Level Detail'!$C:$C,0)),0)</f>
        <v>1</v>
      </c>
      <c r="AA455" s="273">
        <f>IFERROR(INDEX('Measure Level Detail'!$R:$R,MATCH($B455&amp;"_"&amp;AA$3,'Measure Level Detail'!$C:$C,0)),0)</f>
        <v>1</v>
      </c>
      <c r="AB455" s="266">
        <f t="shared" si="247"/>
        <v>0</v>
      </c>
      <c r="AC455" s="266">
        <f t="shared" si="248"/>
        <v>0</v>
      </c>
      <c r="AD455" s="266">
        <f t="shared" si="249"/>
        <v>0</v>
      </c>
      <c r="AE455" s="266">
        <f t="shared" si="250"/>
        <v>0</v>
      </c>
      <c r="AF455" s="266">
        <f t="shared" si="251"/>
        <v>0</v>
      </c>
      <c r="AG455" s="274">
        <v>1</v>
      </c>
      <c r="AH455" s="274">
        <v>1</v>
      </c>
      <c r="AI455" s="274">
        <v>1</v>
      </c>
      <c r="AJ455" s="274">
        <v>1</v>
      </c>
      <c r="AK455" s="274">
        <f t="shared" si="252"/>
        <v>1</v>
      </c>
      <c r="AL455" s="274">
        <f t="shared" si="253"/>
        <v>1</v>
      </c>
      <c r="AM455" s="274">
        <f t="shared" si="254"/>
        <v>1</v>
      </c>
      <c r="AN455" s="274">
        <f t="shared" si="255"/>
        <v>1</v>
      </c>
      <c r="AO455" s="262"/>
      <c r="AP455" s="262"/>
      <c r="AQ455" s="267">
        <v>37.082520776497255</v>
      </c>
      <c r="AR455" s="262"/>
      <c r="AS455" s="266">
        <f t="shared" si="256"/>
        <v>0</v>
      </c>
      <c r="AT455" s="264">
        <f t="shared" si="257"/>
        <v>0</v>
      </c>
      <c r="AU455" s="262"/>
      <c r="AV455" s="262"/>
      <c r="AW455" s="265">
        <v>36.883152385225763</v>
      </c>
      <c r="AX455" s="164" t="s">
        <v>1469</v>
      </c>
      <c r="AY455" s="266">
        <v>0</v>
      </c>
      <c r="AZ455" s="266">
        <f t="shared" si="258"/>
        <v>0</v>
      </c>
      <c r="BA455" s="264">
        <f t="shared" si="259"/>
        <v>0</v>
      </c>
      <c r="BB455" s="262"/>
      <c r="BC455" s="262"/>
      <c r="BD455" s="265">
        <f ca="1">IFERROR(INDEX(Algorithms!$G:$G,MATCH($C455&amp;"_Therm Saved per Unit",Algorithms!$A:$A,0)),0)</f>
        <v>36.883152385225763</v>
      </c>
      <c r="BE455" s="164" t="str">
        <f ca="1">IFERROR(INDEX('v12 Revisions'!$P$29:$P$186, MATCH('Measure-Level Adj Gas'!$L455, 'v12 Revisions'!$D$29:$D$186,0)),"")</f>
        <v>n/a - language only.</v>
      </c>
      <c r="BF455" s="266">
        <f t="shared" ca="1" si="260"/>
        <v>0</v>
      </c>
      <c r="BG455" s="264">
        <f t="shared" ca="1" si="261"/>
        <v>0</v>
      </c>
      <c r="BH455" s="262"/>
      <c r="BI455" s="262"/>
      <c r="BJ455" s="265">
        <f ca="1">IFERROR(INDEX(Algorithms!$G:$G,MATCH($C455&amp;"_Therm Saved per Unit",Algorithms!$A:$A,0)),0)</f>
        <v>36.883152385225763</v>
      </c>
      <c r="BK455" s="164"/>
      <c r="BL455" s="266">
        <f t="shared" ca="1" si="262"/>
        <v>0</v>
      </c>
      <c r="BM455" s="264">
        <f t="shared" ca="1" si="263"/>
        <v>0</v>
      </c>
      <c r="BN455" s="266">
        <f t="shared" si="264"/>
        <v>0</v>
      </c>
      <c r="BO455" s="266">
        <f t="shared" si="265"/>
        <v>0</v>
      </c>
      <c r="BP455" s="266">
        <f t="shared" ca="1" si="266"/>
        <v>0</v>
      </c>
      <c r="BQ455" s="266">
        <f t="shared" ca="1" si="267"/>
        <v>0</v>
      </c>
      <c r="BR455" s="268">
        <f t="shared" ca="1" si="268"/>
        <v>0</v>
      </c>
      <c r="BS455" s="262" t="s">
        <v>99</v>
      </c>
      <c r="BT455" s="277"/>
      <c r="BW455" s="266">
        <f t="shared" si="269"/>
        <v>0</v>
      </c>
      <c r="BX455" s="266">
        <f t="shared" si="270"/>
        <v>0</v>
      </c>
      <c r="BY455" s="266">
        <f t="shared" si="271"/>
        <v>0</v>
      </c>
      <c r="BZ455" s="266">
        <f t="shared" si="272"/>
        <v>0</v>
      </c>
      <c r="CA455" s="266">
        <f ca="1">N455*IFERROR(INDEX(Algorithms!$G:$G,MATCH($C455&amp;"_Therm Saved per Unit- MLA",Algorithms!$A:$A,0)),0)*X455</f>
        <v>0</v>
      </c>
      <c r="CB455" s="266">
        <f ca="1">O455*IFERROR(INDEX(Algorithms!$G:$G,MATCH($C455&amp;"_Therm Saved per Unit- MLA",Algorithms!$A:$A,0)),0)*Y455</f>
        <v>0</v>
      </c>
      <c r="CC455" s="266">
        <f ca="1">P455*IFERROR(INDEX(Algorithms!$G:$G,MATCH($C455&amp;"_Therm Saved per Unit- MLA",Algorithms!$A:$A,0)),0)*Z455</f>
        <v>0</v>
      </c>
      <c r="CD455" s="266">
        <f ca="1">Q455*IFERROR(INDEX(Algorithms!$G:$G,MATCH($C455&amp;"_Therm Saved per Unit- MLA",Algorithms!$A:$A,0)),0)*AA455</f>
        <v>0</v>
      </c>
      <c r="CE455" s="266">
        <f ca="1">IFERROR(INDEX(Algorithms!$G:$G,MATCH($C455&amp;"_Lifetime (years)",Algorithms!$A:$A,0)),0)</f>
        <v>15</v>
      </c>
      <c r="CF455" s="266">
        <f ca="1">IFERROR(INDEX(Algorithms!$G:$G,MATCH($C455&amp;"_Lifetime (years) - Remaining Years",Algorithms!$A:$A,0)),0)</f>
        <v>0</v>
      </c>
      <c r="CG455" s="266">
        <f t="shared" ca="1" si="273"/>
        <v>0</v>
      </c>
      <c r="CH455" s="266">
        <f t="shared" ca="1" si="274"/>
        <v>0</v>
      </c>
      <c r="CI455" s="266">
        <f t="shared" ca="1" si="275"/>
        <v>0</v>
      </c>
      <c r="CJ455" s="266">
        <f t="shared" ca="1" si="276"/>
        <v>0</v>
      </c>
      <c r="CK455" s="266">
        <f t="shared" si="277"/>
        <v>0</v>
      </c>
      <c r="CL455" s="266">
        <f t="shared" si="278"/>
        <v>0</v>
      </c>
      <c r="CM455" s="266">
        <f t="shared" ca="1" si="279"/>
        <v>0</v>
      </c>
      <c r="CN455" s="266">
        <f t="shared" ca="1" si="280"/>
        <v>0</v>
      </c>
      <c r="CO455" s="266">
        <f ca="1">N455*IFERROR(INDEX(Algorithms!$G:$G,MATCH($C455&amp;"_Therm Saved per Unit- MLA",Algorithms!$A:$A,0)),0)*X455</f>
        <v>0</v>
      </c>
      <c r="CP455" s="266">
        <f ca="1">O455*IFERROR(INDEX(Algorithms!$G:$G,MATCH($C455&amp;"_Therm Saved per Unit- MLA",Algorithms!$A:$A,0)),0)*Y455</f>
        <v>0</v>
      </c>
      <c r="CQ455" s="266">
        <f ca="1">P455*IFERROR(INDEX(Algorithms!$G:$G,MATCH($C455&amp;"_Therm Saved per Unit- MLA",Algorithms!$A:$A,0)),0)*Z455</f>
        <v>0</v>
      </c>
      <c r="CR455" s="266">
        <f ca="1">Q455*IFERROR(INDEX(Algorithms!$G:$G,MATCH($C455&amp;"_Therm Saved per Unit- MLA",Algorithms!$A:$A,0)),0)*AA455</f>
        <v>0</v>
      </c>
      <c r="CS455" s="266">
        <f ca="1">IFERROR(INDEX(Algorithms!$G:$G,MATCH($C455&amp;"_Lifetime (years)",Algorithms!$A:$A,0)),0)</f>
        <v>15</v>
      </c>
      <c r="CT455" s="266">
        <f ca="1">IFERROR(INDEX(Algorithms!$G:$G,MATCH($C455&amp;"_Lifetime (years) - Remaining Years",Algorithms!$A:$A,0)),0)</f>
        <v>0</v>
      </c>
      <c r="CU455" s="266">
        <f t="shared" ca="1" si="281"/>
        <v>0</v>
      </c>
      <c r="CV455" s="266">
        <f t="shared" ca="1" si="282"/>
        <v>0</v>
      </c>
      <c r="CW455" s="266">
        <f t="shared" ca="1" si="283"/>
        <v>0</v>
      </c>
      <c r="CX455" s="266">
        <f t="shared" ca="1" si="284"/>
        <v>0</v>
      </c>
    </row>
    <row r="456" spans="2:102" s="47" customFormat="1" ht="18" customHeight="1" x14ac:dyDescent="0.25">
      <c r="B456" t="str">
        <f t="shared" si="285"/>
        <v>NSG_Income Eligible_Multi-Family_Whole Building - Prescriptive_Water Heater_Tankless_MF</v>
      </c>
      <c r="C456" s="47" t="str">
        <f t="shared" si="246"/>
        <v>Water Heater_Tankless_MF</v>
      </c>
      <c r="D456" s="270" t="s">
        <v>1787</v>
      </c>
      <c r="E456" s="270" t="s">
        <v>325</v>
      </c>
      <c r="F456" s="270" t="s">
        <v>1422</v>
      </c>
      <c r="G456" s="270" t="s">
        <v>1813</v>
      </c>
      <c r="H456" s="270" t="s">
        <v>8</v>
      </c>
      <c r="I456" s="270" t="s">
        <v>380</v>
      </c>
      <c r="J456" s="270" t="s">
        <v>553</v>
      </c>
      <c r="K456" s="263">
        <v>1</v>
      </c>
      <c r="L456" s="263" t="str">
        <f ca="1">IFERROR(INDEX(Algorithms!J:J,MATCH($C456&amp;"_Therm Saved per Unit",Algorithms!$A:$A,0)),"n/a")</f>
        <v>5.4.2</v>
      </c>
      <c r="M456" s="263" t="str">
        <f>IFERROR(INDEX('Measure Level Detail'!$N:$N,MATCH($B456,'Measure Level Detail'!$B:$B,0)),0)</f>
        <v>each</v>
      </c>
      <c r="N456" s="271">
        <f>IFERROR(INDEX('Measure Level Detail'!$P:$P,MATCH($B456&amp;"_"&amp;N$3,'Measure Level Detail'!$C:$C,0)),0)</f>
        <v>0</v>
      </c>
      <c r="O456" s="271">
        <f>IFERROR(INDEX('Measure Level Detail'!$P:$P,MATCH($B456&amp;"_"&amp;O$3,'Measure Level Detail'!$C:$C,0)),0)</f>
        <v>0</v>
      </c>
      <c r="P456" s="271">
        <f>IFERROR(INDEX('Measure Level Detail'!$P:$P,MATCH($B456&amp;"_"&amp;P$3,'Measure Level Detail'!$C:$C,0)),0)</f>
        <v>0</v>
      </c>
      <c r="Q456" s="271">
        <f>IFERROR(INDEX('Measure Level Detail'!$P:$P,MATCH($B456&amp;"_"&amp;Q$3,'Measure Level Detail'!$C:$C,0)),0)</f>
        <v>0</v>
      </c>
      <c r="R456" s="263" t="str">
        <f ca="1">IFERROR(INDEX(Algorithms!K:K,MATCH($C456&amp;"_Therm Saved per Unit",Algorithms!$A:$A,0)),"n/a")</f>
        <v>RS-HWE-GWHT-V11-240101</v>
      </c>
      <c r="S456" s="262"/>
      <c r="T456" s="272">
        <v>52.561472982403039</v>
      </c>
      <c r="U456" s="272">
        <v>52.561472982403039</v>
      </c>
      <c r="V456" s="272">
        <v>52.561472982403039</v>
      </c>
      <c r="W456" s="272">
        <v>52.561472982403039</v>
      </c>
      <c r="X456" s="273">
        <f>IFERROR(INDEX('Measure Level Detail'!$R:$R,MATCH($B456&amp;"_"&amp;X$3,'Measure Level Detail'!$C:$C,0)),0)</f>
        <v>1</v>
      </c>
      <c r="Y456" s="273">
        <f>IFERROR(INDEX('Measure Level Detail'!$R:$R,MATCH($B456&amp;"_"&amp;Y$3,'Measure Level Detail'!$C:$C,0)),0)</f>
        <v>1</v>
      </c>
      <c r="Z456" s="273">
        <f>IFERROR(INDEX('Measure Level Detail'!$R:$R,MATCH($B456&amp;"_"&amp;Z$3,'Measure Level Detail'!$C:$C,0)),0)</f>
        <v>1</v>
      </c>
      <c r="AA456" s="273">
        <f>IFERROR(INDEX('Measure Level Detail'!$R:$R,MATCH($B456&amp;"_"&amp;AA$3,'Measure Level Detail'!$C:$C,0)),0)</f>
        <v>1</v>
      </c>
      <c r="AB456" s="266">
        <f t="shared" si="247"/>
        <v>0</v>
      </c>
      <c r="AC456" s="266">
        <f t="shared" si="248"/>
        <v>0</v>
      </c>
      <c r="AD456" s="266">
        <f t="shared" si="249"/>
        <v>0</v>
      </c>
      <c r="AE456" s="266">
        <f t="shared" si="250"/>
        <v>0</v>
      </c>
      <c r="AF456" s="266">
        <f t="shared" si="251"/>
        <v>0</v>
      </c>
      <c r="AG456" s="274">
        <v>1</v>
      </c>
      <c r="AH456" s="274">
        <v>1</v>
      </c>
      <c r="AI456" s="274">
        <v>1</v>
      </c>
      <c r="AJ456" s="274">
        <v>1</v>
      </c>
      <c r="AK456" s="274">
        <f t="shared" si="252"/>
        <v>1</v>
      </c>
      <c r="AL456" s="274">
        <f t="shared" si="253"/>
        <v>1</v>
      </c>
      <c r="AM456" s="274">
        <f t="shared" si="254"/>
        <v>1</v>
      </c>
      <c r="AN456" s="274">
        <f t="shared" si="255"/>
        <v>1</v>
      </c>
      <c r="AO456" s="262"/>
      <c r="AP456" s="262"/>
      <c r="AQ456" s="267">
        <v>55.004471022430224</v>
      </c>
      <c r="AR456" s="262"/>
      <c r="AS456" s="266">
        <f t="shared" si="256"/>
        <v>0</v>
      </c>
      <c r="AT456" s="264">
        <f t="shared" si="257"/>
        <v>0</v>
      </c>
      <c r="AU456" s="262"/>
      <c r="AV456" s="262"/>
      <c r="AW456" s="265">
        <v>55.004471022430224</v>
      </c>
      <c r="AX456" s="164" t="s">
        <v>1469</v>
      </c>
      <c r="AY456" s="266">
        <v>0</v>
      </c>
      <c r="AZ456" s="266">
        <f t="shared" si="258"/>
        <v>0</v>
      </c>
      <c r="BA456" s="264">
        <f t="shared" si="259"/>
        <v>0</v>
      </c>
      <c r="BB456" s="262"/>
      <c r="BC456" s="262"/>
      <c r="BD456" s="265">
        <f ca="1">IFERROR(INDEX(Algorithms!$G:$G,MATCH($C456&amp;"_Therm Saved per Unit",Algorithms!$A:$A,0)),0)</f>
        <v>56.031116570965146</v>
      </c>
      <c r="BE456" s="164" t="str">
        <f ca="1">IFERROR(INDEX('v12 Revisions'!$P$29:$P$186, MATCH('Measure-Level Adj Gas'!$L456, 'v12 Revisions'!$D$29:$D$186,0)),"")</f>
        <v>Baseline and efficient water heater criteria updated ; Updated measure life to 13.3 years for gas storage water heaters and 18.3 for gas instantaneous water heaters ; Updated incremental cost based on water heater type.</v>
      </c>
      <c r="BF456" s="266">
        <f t="shared" ca="1" si="260"/>
        <v>0</v>
      </c>
      <c r="BG456" s="264">
        <f t="shared" ca="1" si="261"/>
        <v>0</v>
      </c>
      <c r="BH456" s="262"/>
      <c r="BI456" s="262"/>
      <c r="BJ456" s="265">
        <f ca="1">IFERROR(INDEX(Algorithms!$G:$G,MATCH($C456&amp;"_Therm Saved per Unit",Algorithms!$A:$A,0)),0)</f>
        <v>56.031116570965146</v>
      </c>
      <c r="BK456" s="164"/>
      <c r="BL456" s="266">
        <f t="shared" ca="1" si="262"/>
        <v>0</v>
      </c>
      <c r="BM456" s="264">
        <f t="shared" ca="1" si="263"/>
        <v>0</v>
      </c>
      <c r="BN456" s="266">
        <f t="shared" si="264"/>
        <v>0</v>
      </c>
      <c r="BO456" s="266">
        <f t="shared" si="265"/>
        <v>0</v>
      </c>
      <c r="BP456" s="266">
        <f t="shared" ca="1" si="266"/>
        <v>0</v>
      </c>
      <c r="BQ456" s="266">
        <f t="shared" ca="1" si="267"/>
        <v>0</v>
      </c>
      <c r="BR456" s="268">
        <f t="shared" ca="1" si="268"/>
        <v>0</v>
      </c>
      <c r="BS456" s="262" t="s">
        <v>99</v>
      </c>
      <c r="BT456" s="277"/>
      <c r="BW456" s="266">
        <f t="shared" si="269"/>
        <v>0</v>
      </c>
      <c r="BX456" s="266">
        <f t="shared" si="270"/>
        <v>0</v>
      </c>
      <c r="BY456" s="266">
        <f t="shared" si="271"/>
        <v>0</v>
      </c>
      <c r="BZ456" s="266">
        <f t="shared" si="272"/>
        <v>0</v>
      </c>
      <c r="CA456" s="266">
        <f ca="1">N456*IFERROR(INDEX(Algorithms!$G:$G,MATCH($C456&amp;"_Therm Saved per Unit- MLA",Algorithms!$A:$A,0)),0)*X456</f>
        <v>0</v>
      </c>
      <c r="CB456" s="266">
        <f ca="1">O456*IFERROR(INDEX(Algorithms!$G:$G,MATCH($C456&amp;"_Therm Saved per Unit- MLA",Algorithms!$A:$A,0)),0)*Y456</f>
        <v>0</v>
      </c>
      <c r="CC456" s="266">
        <f ca="1">P456*IFERROR(INDEX(Algorithms!$G:$G,MATCH($C456&amp;"_Therm Saved per Unit- MLA",Algorithms!$A:$A,0)),0)*Z456</f>
        <v>0</v>
      </c>
      <c r="CD456" s="266">
        <f ca="1">Q456*IFERROR(INDEX(Algorithms!$G:$G,MATCH($C456&amp;"_Therm Saved per Unit- MLA",Algorithms!$A:$A,0)),0)*AA456</f>
        <v>0</v>
      </c>
      <c r="CE456" s="266">
        <f ca="1">IFERROR(INDEX(Algorithms!$G:$G,MATCH($C456&amp;"_Lifetime (years)",Algorithms!$A:$A,0)),0)</f>
        <v>18.3</v>
      </c>
      <c r="CF456" s="266">
        <f ca="1">IFERROR(INDEX(Algorithms!$G:$G,MATCH($C456&amp;"_Lifetime (years) - Remaining Years",Algorithms!$A:$A,0)),0)</f>
        <v>0</v>
      </c>
      <c r="CG456" s="266">
        <f t="shared" ca="1" si="273"/>
        <v>0</v>
      </c>
      <c r="CH456" s="266">
        <f t="shared" ca="1" si="274"/>
        <v>0</v>
      </c>
      <c r="CI456" s="266">
        <f t="shared" ca="1" si="275"/>
        <v>0</v>
      </c>
      <c r="CJ456" s="266">
        <f t="shared" ca="1" si="276"/>
        <v>0</v>
      </c>
      <c r="CK456" s="266">
        <f t="shared" si="277"/>
        <v>0</v>
      </c>
      <c r="CL456" s="266">
        <f t="shared" si="278"/>
        <v>0</v>
      </c>
      <c r="CM456" s="266">
        <f t="shared" ca="1" si="279"/>
        <v>0</v>
      </c>
      <c r="CN456" s="266">
        <f t="shared" ca="1" si="280"/>
        <v>0</v>
      </c>
      <c r="CO456" s="266">
        <f ca="1">N456*IFERROR(INDEX(Algorithms!$G:$G,MATCH($C456&amp;"_Therm Saved per Unit- MLA",Algorithms!$A:$A,0)),0)*X456</f>
        <v>0</v>
      </c>
      <c r="CP456" s="266">
        <f ca="1">O456*IFERROR(INDEX(Algorithms!$G:$G,MATCH($C456&amp;"_Therm Saved per Unit- MLA",Algorithms!$A:$A,0)),0)*Y456</f>
        <v>0</v>
      </c>
      <c r="CQ456" s="266">
        <f ca="1">P456*IFERROR(INDEX(Algorithms!$G:$G,MATCH($C456&amp;"_Therm Saved per Unit- MLA",Algorithms!$A:$A,0)),0)*Z456</f>
        <v>0</v>
      </c>
      <c r="CR456" s="266">
        <f ca="1">Q456*IFERROR(INDEX(Algorithms!$G:$G,MATCH($C456&amp;"_Therm Saved per Unit- MLA",Algorithms!$A:$A,0)),0)*AA456</f>
        <v>0</v>
      </c>
      <c r="CS456" s="266">
        <f ca="1">IFERROR(INDEX(Algorithms!$G:$G,MATCH($C456&amp;"_Lifetime (years)",Algorithms!$A:$A,0)),0)</f>
        <v>18.3</v>
      </c>
      <c r="CT456" s="266">
        <f ca="1">IFERROR(INDEX(Algorithms!$G:$G,MATCH($C456&amp;"_Lifetime (years) - Remaining Years",Algorithms!$A:$A,0)),0)</f>
        <v>0</v>
      </c>
      <c r="CU456" s="266">
        <f t="shared" ca="1" si="281"/>
        <v>0</v>
      </c>
      <c r="CV456" s="266">
        <f t="shared" ca="1" si="282"/>
        <v>0</v>
      </c>
      <c r="CW456" s="266">
        <f t="shared" ca="1" si="283"/>
        <v>0</v>
      </c>
      <c r="CX456" s="266">
        <f t="shared" ca="1" si="284"/>
        <v>0</v>
      </c>
    </row>
    <row r="457" spans="2:102" s="47" customFormat="1" ht="18" customHeight="1" x14ac:dyDescent="0.25">
      <c r="B457" t="str">
        <f t="shared" si="285"/>
        <v>NSG_Income Eligible_Multi-Family_Whole Building - Prescriptive_Energy Recovery Ventilator_0_CI</v>
      </c>
      <c r="C457" s="47" t="str">
        <f t="shared" si="246"/>
        <v>Energy Recovery Ventilator_0_CI</v>
      </c>
      <c r="D457" s="270" t="s">
        <v>1787</v>
      </c>
      <c r="E457" s="270" t="s">
        <v>325</v>
      </c>
      <c r="F457" s="270" t="s">
        <v>1422</v>
      </c>
      <c r="G457" s="270" t="s">
        <v>1813</v>
      </c>
      <c r="H457" s="270" t="s">
        <v>11</v>
      </c>
      <c r="I457" s="270">
        <v>0</v>
      </c>
      <c r="J457" s="270" t="s">
        <v>1159</v>
      </c>
      <c r="K457" s="263">
        <v>1</v>
      </c>
      <c r="L457" s="263" t="str">
        <f ca="1">IFERROR(INDEX(Algorithms!J:J,MATCH($C457&amp;"_Therm Saved per Unit",Algorithms!$A:$A,0)),"n/a")</f>
        <v>4.4.27</v>
      </c>
      <c r="M457" s="263" t="str">
        <f>IFERROR(INDEX('Measure Level Detail'!$N:$N,MATCH($B457,'Measure Level Detail'!$B:$B,0)),0)</f>
        <v>CFM</v>
      </c>
      <c r="N457" s="271">
        <f>IFERROR(INDEX('Measure Level Detail'!$P:$P,MATCH($B457&amp;"_"&amp;N$3,'Measure Level Detail'!$C:$C,0)),0)</f>
        <v>0</v>
      </c>
      <c r="O457" s="271">
        <f>IFERROR(INDEX('Measure Level Detail'!$P:$P,MATCH($B457&amp;"_"&amp;O$3,'Measure Level Detail'!$C:$C,0)),0)</f>
        <v>0</v>
      </c>
      <c r="P457" s="271">
        <f>IFERROR(INDEX('Measure Level Detail'!$P:$P,MATCH($B457&amp;"_"&amp;P$3,'Measure Level Detail'!$C:$C,0)),0)</f>
        <v>0</v>
      </c>
      <c r="Q457" s="271">
        <f>IFERROR(INDEX('Measure Level Detail'!$P:$P,MATCH($B457&amp;"_"&amp;Q$3,'Measure Level Detail'!$C:$C,0)),0)</f>
        <v>0</v>
      </c>
      <c r="R457" s="263" t="str">
        <f ca="1">IFERROR(INDEX(Algorithms!K:K,MATCH($C457&amp;"_Therm Saved per Unit",Algorithms!$A:$A,0)),"n/a")</f>
        <v>CI-HVC-ERVE-V06-240101</v>
      </c>
      <c r="S457" s="262"/>
      <c r="T457" s="272">
        <v>0.47508182047227931</v>
      </c>
      <c r="U457" s="272">
        <v>0.47508182047227931</v>
      </c>
      <c r="V457" s="272">
        <v>0.47508182047227931</v>
      </c>
      <c r="W457" s="272">
        <v>0.47508182047227931</v>
      </c>
      <c r="X457" s="273">
        <f>IFERROR(INDEX('Measure Level Detail'!$R:$R,MATCH($B457&amp;"_"&amp;X$3,'Measure Level Detail'!$C:$C,0)),0)</f>
        <v>1</v>
      </c>
      <c r="Y457" s="273">
        <f>IFERROR(INDEX('Measure Level Detail'!$R:$R,MATCH($B457&amp;"_"&amp;Y$3,'Measure Level Detail'!$C:$C,0)),0)</f>
        <v>1</v>
      </c>
      <c r="Z457" s="273">
        <f>IFERROR(INDEX('Measure Level Detail'!$R:$R,MATCH($B457&amp;"_"&amp;Z$3,'Measure Level Detail'!$C:$C,0)),0)</f>
        <v>1</v>
      </c>
      <c r="AA457" s="273">
        <f>IFERROR(INDEX('Measure Level Detail'!$R:$R,MATCH($B457&amp;"_"&amp;AA$3,'Measure Level Detail'!$C:$C,0)),0)</f>
        <v>1</v>
      </c>
      <c r="AB457" s="266">
        <f t="shared" si="247"/>
        <v>0</v>
      </c>
      <c r="AC457" s="266">
        <f t="shared" si="248"/>
        <v>0</v>
      </c>
      <c r="AD457" s="266">
        <f t="shared" si="249"/>
        <v>0</v>
      </c>
      <c r="AE457" s="266">
        <f t="shared" si="250"/>
        <v>0</v>
      </c>
      <c r="AF457" s="266">
        <f t="shared" si="251"/>
        <v>0</v>
      </c>
      <c r="AG457" s="274">
        <v>1</v>
      </c>
      <c r="AH457" s="274">
        <v>1</v>
      </c>
      <c r="AI457" s="274">
        <v>1</v>
      </c>
      <c r="AJ457" s="274">
        <v>1</v>
      </c>
      <c r="AK457" s="274">
        <f t="shared" si="252"/>
        <v>1</v>
      </c>
      <c r="AL457" s="274">
        <f t="shared" si="253"/>
        <v>1</v>
      </c>
      <c r="AM457" s="274">
        <f t="shared" si="254"/>
        <v>1</v>
      </c>
      <c r="AN457" s="274">
        <f t="shared" si="255"/>
        <v>1</v>
      </c>
      <c r="AO457" s="262"/>
      <c r="AP457" s="262"/>
      <c r="AQ457" s="267">
        <v>0.47508182047227931</v>
      </c>
      <c r="AR457" s="262"/>
      <c r="AS457" s="266">
        <f t="shared" si="256"/>
        <v>0</v>
      </c>
      <c r="AT457" s="264">
        <f t="shared" si="257"/>
        <v>0</v>
      </c>
      <c r="AU457" s="262"/>
      <c r="AV457" s="262"/>
      <c r="AW457" s="265">
        <v>0.47508182047227931</v>
      </c>
      <c r="AX457" s="164" t="s">
        <v>1469</v>
      </c>
      <c r="AY457" s="266">
        <v>0</v>
      </c>
      <c r="AZ457" s="266">
        <f t="shared" si="258"/>
        <v>0</v>
      </c>
      <c r="BA457" s="264">
        <f t="shared" si="259"/>
        <v>0</v>
      </c>
      <c r="BB457" s="262"/>
      <c r="BC457" s="262"/>
      <c r="BD457" s="265">
        <f ca="1">IFERROR(INDEX(Algorithms!$G:$G,MATCH($C457&amp;"_Therm Saved per Unit",Algorithms!$A:$A,0)),0)</f>
        <v>0.47175956997946616</v>
      </c>
      <c r="BE457" s="164" t="str">
        <f ca="1">IFERROR(INDEX('v12 Revisions'!$P$29:$P$186, MATCH('Measure-Level Adj Gas'!$L457, 'v12 Revisions'!$D$29:$D$186,0)),"")</f>
        <v>Updated temperature on design day of outside air.</v>
      </c>
      <c r="BF457" s="266">
        <f t="shared" ca="1" si="260"/>
        <v>0</v>
      </c>
      <c r="BG457" s="264">
        <f t="shared" ca="1" si="261"/>
        <v>0</v>
      </c>
      <c r="BH457" s="262"/>
      <c r="BI457" s="262"/>
      <c r="BJ457" s="265">
        <f ca="1">IFERROR(INDEX(Algorithms!$G:$G,MATCH($C457&amp;"_Therm Saved per Unit",Algorithms!$A:$A,0)),0)</f>
        <v>0.47175956997946616</v>
      </c>
      <c r="BK457" s="164"/>
      <c r="BL457" s="266">
        <f t="shared" ca="1" si="262"/>
        <v>0</v>
      </c>
      <c r="BM457" s="264">
        <f t="shared" ca="1" si="263"/>
        <v>0</v>
      </c>
      <c r="BN457" s="266">
        <f t="shared" si="264"/>
        <v>0</v>
      </c>
      <c r="BO457" s="266">
        <f t="shared" si="265"/>
        <v>0</v>
      </c>
      <c r="BP457" s="266">
        <f t="shared" ca="1" si="266"/>
        <v>0</v>
      </c>
      <c r="BQ457" s="266">
        <f t="shared" ca="1" si="267"/>
        <v>0</v>
      </c>
      <c r="BR457" s="268">
        <f t="shared" ca="1" si="268"/>
        <v>0</v>
      </c>
      <c r="BS457" s="262" t="s">
        <v>99</v>
      </c>
      <c r="BT457" s="277"/>
      <c r="BW457" s="266">
        <f t="shared" si="269"/>
        <v>0</v>
      </c>
      <c r="BX457" s="266">
        <f t="shared" si="270"/>
        <v>0</v>
      </c>
      <c r="BY457" s="266">
        <f t="shared" si="271"/>
        <v>0</v>
      </c>
      <c r="BZ457" s="266">
        <f t="shared" si="272"/>
        <v>0</v>
      </c>
      <c r="CA457" s="266">
        <f ca="1">N457*IFERROR(INDEX(Algorithms!$G:$G,MATCH($C457&amp;"_Therm Saved per Unit- MLA",Algorithms!$A:$A,0)),0)*X457</f>
        <v>0</v>
      </c>
      <c r="CB457" s="266">
        <f ca="1">O457*IFERROR(INDEX(Algorithms!$G:$G,MATCH($C457&amp;"_Therm Saved per Unit- MLA",Algorithms!$A:$A,0)),0)*Y457</f>
        <v>0</v>
      </c>
      <c r="CC457" s="266">
        <f ca="1">P457*IFERROR(INDEX(Algorithms!$G:$G,MATCH($C457&amp;"_Therm Saved per Unit- MLA",Algorithms!$A:$A,0)),0)*Z457</f>
        <v>0</v>
      </c>
      <c r="CD457" s="266">
        <f ca="1">Q457*IFERROR(INDEX(Algorithms!$G:$G,MATCH($C457&amp;"_Therm Saved per Unit- MLA",Algorithms!$A:$A,0)),0)*AA457</f>
        <v>0</v>
      </c>
      <c r="CE457" s="266">
        <f ca="1">IFERROR(INDEX(Algorithms!$G:$G,MATCH($C457&amp;"_Lifetime (years)",Algorithms!$A:$A,0)),0)</f>
        <v>15</v>
      </c>
      <c r="CF457" s="266">
        <f ca="1">IFERROR(INDEX(Algorithms!$G:$G,MATCH($C457&amp;"_Lifetime (years) - Remaining Years",Algorithms!$A:$A,0)),0)</f>
        <v>0</v>
      </c>
      <c r="CG457" s="266">
        <f t="shared" ca="1" si="273"/>
        <v>0</v>
      </c>
      <c r="CH457" s="266">
        <f t="shared" ca="1" si="274"/>
        <v>0</v>
      </c>
      <c r="CI457" s="266">
        <f t="shared" ca="1" si="275"/>
        <v>0</v>
      </c>
      <c r="CJ457" s="266">
        <f t="shared" ca="1" si="276"/>
        <v>0</v>
      </c>
      <c r="CK457" s="266">
        <f t="shared" si="277"/>
        <v>0</v>
      </c>
      <c r="CL457" s="266">
        <f t="shared" si="278"/>
        <v>0</v>
      </c>
      <c r="CM457" s="266">
        <f t="shared" ca="1" si="279"/>
        <v>0</v>
      </c>
      <c r="CN457" s="266">
        <f t="shared" ca="1" si="280"/>
        <v>0</v>
      </c>
      <c r="CO457" s="266">
        <f ca="1">N457*IFERROR(INDEX(Algorithms!$G:$G,MATCH($C457&amp;"_Therm Saved per Unit- MLA",Algorithms!$A:$A,0)),0)*X457</f>
        <v>0</v>
      </c>
      <c r="CP457" s="266">
        <f ca="1">O457*IFERROR(INDEX(Algorithms!$G:$G,MATCH($C457&amp;"_Therm Saved per Unit- MLA",Algorithms!$A:$A,0)),0)*Y457</f>
        <v>0</v>
      </c>
      <c r="CQ457" s="266">
        <f ca="1">P457*IFERROR(INDEX(Algorithms!$G:$G,MATCH($C457&amp;"_Therm Saved per Unit- MLA",Algorithms!$A:$A,0)),0)*Z457</f>
        <v>0</v>
      </c>
      <c r="CR457" s="266">
        <f ca="1">Q457*IFERROR(INDEX(Algorithms!$G:$G,MATCH($C457&amp;"_Therm Saved per Unit- MLA",Algorithms!$A:$A,0)),0)*AA457</f>
        <v>0</v>
      </c>
      <c r="CS457" s="266">
        <f ca="1">IFERROR(INDEX(Algorithms!$G:$G,MATCH($C457&amp;"_Lifetime (years)",Algorithms!$A:$A,0)),0)</f>
        <v>15</v>
      </c>
      <c r="CT457" s="266">
        <f ca="1">IFERROR(INDEX(Algorithms!$G:$G,MATCH($C457&amp;"_Lifetime (years) - Remaining Years",Algorithms!$A:$A,0)),0)</f>
        <v>0</v>
      </c>
      <c r="CU457" s="266">
        <f t="shared" ca="1" si="281"/>
        <v>0</v>
      </c>
      <c r="CV457" s="266">
        <f t="shared" ca="1" si="282"/>
        <v>0</v>
      </c>
      <c r="CW457" s="266">
        <f t="shared" ca="1" si="283"/>
        <v>0</v>
      </c>
      <c r="CX457" s="266">
        <f t="shared" ca="1" si="284"/>
        <v>0</v>
      </c>
    </row>
    <row r="458" spans="2:102" s="47" customFormat="1" ht="18" customHeight="1" x14ac:dyDescent="0.25">
      <c r="B458" t="str">
        <f t="shared" si="285"/>
        <v>NSG_Income Eligible_Multi-Family_Whole Building - Public Housing_Pipe Insulation_Boiler_MF</v>
      </c>
      <c r="C458" s="47" t="str">
        <f t="shared" ref="C458:C521" si="286">H458&amp;"_"&amp;I458&amp;"_"&amp;J458</f>
        <v>Pipe Insulation_Boiler_MF</v>
      </c>
      <c r="D458" s="270" t="s">
        <v>1787</v>
      </c>
      <c r="E458" s="270" t="s">
        <v>325</v>
      </c>
      <c r="F458" s="270" t="s">
        <v>1422</v>
      </c>
      <c r="G458" s="270" t="s">
        <v>1817</v>
      </c>
      <c r="H458" s="270" t="s">
        <v>404</v>
      </c>
      <c r="I458" s="270" t="s">
        <v>944</v>
      </c>
      <c r="J458" s="270" t="s">
        <v>553</v>
      </c>
      <c r="K458" s="263">
        <v>1</v>
      </c>
      <c r="L458" s="263" t="str">
        <f ca="1">IFERROR(INDEX(Algorithms!J:J,MATCH($C458&amp;"_Therm Saved per Unit",Algorithms!$A:$A,0)),"n/a")</f>
        <v>5.3.2</v>
      </c>
      <c r="M458" s="263" t="str">
        <f>IFERROR(INDEX('Measure Level Detail'!$N:$N,MATCH($B458,'Measure Level Detail'!$B:$B,0)),0)</f>
        <v>each</v>
      </c>
      <c r="N458" s="271">
        <f>IFERROR(INDEX('Measure Level Detail'!$P:$P,MATCH($B458&amp;"_"&amp;N$3,'Measure Level Detail'!$C:$C,0)),0)</f>
        <v>0</v>
      </c>
      <c r="O458" s="271">
        <f>IFERROR(INDEX('Measure Level Detail'!$P:$P,MATCH($B458&amp;"_"&amp;O$3,'Measure Level Detail'!$C:$C,0)),0)</f>
        <v>0</v>
      </c>
      <c r="P458" s="271">
        <f>IFERROR(INDEX('Measure Level Detail'!$P:$P,MATCH($B458&amp;"_"&amp;P$3,'Measure Level Detail'!$C:$C,0)),0)</f>
        <v>0</v>
      </c>
      <c r="Q458" s="271">
        <f>IFERROR(INDEX('Measure Level Detail'!$P:$P,MATCH($B458&amp;"_"&amp;Q$3,'Measure Level Detail'!$C:$C,0)),0)</f>
        <v>0</v>
      </c>
      <c r="R458" s="263" t="str">
        <f ca="1">IFERROR(INDEX(Algorithms!K:K,MATCH($C458&amp;"_Therm Saved per Unit",Algorithms!$A:$A,0)),"n/a")</f>
        <v>RS-HVC-PINS-V07-240101</v>
      </c>
      <c r="S458" s="262"/>
      <c r="T458" s="272">
        <v>0.63522312995661756</v>
      </c>
      <c r="U458" s="272">
        <v>0.63522312995661756</v>
      </c>
      <c r="V458" s="272">
        <v>0.63522312995661756</v>
      </c>
      <c r="W458" s="272">
        <v>0.63522312995661756</v>
      </c>
      <c r="X458" s="273">
        <f>IFERROR(INDEX('Measure Level Detail'!$R:$R,MATCH($B458&amp;"_"&amp;X$3,'Measure Level Detail'!$C:$C,0)),0)</f>
        <v>1</v>
      </c>
      <c r="Y458" s="273">
        <f>IFERROR(INDEX('Measure Level Detail'!$R:$R,MATCH($B458&amp;"_"&amp;Y$3,'Measure Level Detail'!$C:$C,0)),0)</f>
        <v>1</v>
      </c>
      <c r="Z458" s="273">
        <f>IFERROR(INDEX('Measure Level Detail'!$R:$R,MATCH($B458&amp;"_"&amp;Z$3,'Measure Level Detail'!$C:$C,0)),0)</f>
        <v>1</v>
      </c>
      <c r="AA458" s="273">
        <f>IFERROR(INDEX('Measure Level Detail'!$R:$R,MATCH($B458&amp;"_"&amp;AA$3,'Measure Level Detail'!$C:$C,0)),0)</f>
        <v>1</v>
      </c>
      <c r="AB458" s="266">
        <f t="shared" ref="AB458:AB521" si="287">N458*T458*X458</f>
        <v>0</v>
      </c>
      <c r="AC458" s="266">
        <f t="shared" ref="AC458:AC521" si="288">O458*U458*Y458</f>
        <v>0</v>
      </c>
      <c r="AD458" s="266">
        <f t="shared" ref="AD458:AD521" si="289">P458*V458*Z458</f>
        <v>0</v>
      </c>
      <c r="AE458" s="266">
        <f t="shared" ref="AE458:AE521" si="290">Q458*W458*AA458</f>
        <v>0</v>
      </c>
      <c r="AF458" s="266">
        <f t="shared" ref="AF458:AF521" si="291">AB458+AC458+AD458+AE458</f>
        <v>0</v>
      </c>
      <c r="AG458" s="274">
        <v>1</v>
      </c>
      <c r="AH458" s="274">
        <v>1</v>
      </c>
      <c r="AI458" s="274">
        <v>1</v>
      </c>
      <c r="AJ458" s="274">
        <v>1</v>
      </c>
      <c r="AK458" s="274">
        <f t="shared" ref="AK458:AK521" si="292">IF(AG458=X458,X458,
IF(AG458&gt;X458, IF(AG458-X458&gt;IF($E458="Income Eligible",0,10%),X458+(AG458-(X458+IF($E458="Income Eligible",0,10%))),X458),
IF(X458-AG458&gt;IF($E458="Income Eligible",0,10%),X458-((X458-IF($E458="Income Eligible",0,10%))-AG458),X458)))</f>
        <v>1</v>
      </c>
      <c r="AL458" s="274">
        <f t="shared" ref="AL458:AL521" si="293">IF(AH458=Y458,Y458,
IF(AH458&gt;Y458, IF(AH458-Y458&gt;IF($E458="Income Eligible",0,10%),Y458+(AH458-(Y458+IF($E458="Income Eligible",0,10%))),Y458),
IF(Y458-AH458&gt;IF($E458="Income Eligible",0,10%),Y458-((Y458-IF($E458="Income Eligible",0,10%))-AH458),Y458)))</f>
        <v>1</v>
      </c>
      <c r="AM458" s="274">
        <f t="shared" ref="AM458:AM521" si="294">IF(AI458=Z458,Z458,
IF(AI458&gt;Z458, IF(AI458-Z458&gt;IF($E458="Income Eligible",0,10%),Z458+(AI458-(Z458+IF($E458="Income Eligible",0,10%))),Z458),
IF(Z458-AI458&gt;IF($E458="Income Eligible",0,10%),Z458-((Z458-IF($E458="Income Eligible",0,10%))-AI458),Z458)))</f>
        <v>1</v>
      </c>
      <c r="AN458" s="274">
        <f t="shared" ref="AN458:AN521" si="295">IF(AJ458=AA458,AA458,
IF(AJ458&gt;AA458, IF(AJ458-AA458&gt;IF($E458="Income Eligible",0,10%),AA458+(AJ458-(AA458+IF($E458="Income Eligible",0,10%))),AA458),
IF(AA458-AJ458&gt;IF($E458="Income Eligible",0,10%),AA458-((AA458-IF($E458="Income Eligible",0,10%))-AJ458),AA458)))</f>
        <v>1</v>
      </c>
      <c r="AO458" s="262"/>
      <c r="AP458" s="262"/>
      <c r="AQ458" s="267">
        <v>1.0111854839419214</v>
      </c>
      <c r="AR458" s="262"/>
      <c r="AS458" s="266">
        <f t="shared" ref="AS458:AS521" si="296">N458*AQ458*AK458</f>
        <v>0</v>
      </c>
      <c r="AT458" s="264">
        <f t="shared" ref="AT458:AT521" si="297">IF(AS458=0,0,AS458-AB458)</f>
        <v>0</v>
      </c>
      <c r="AU458" s="262"/>
      <c r="AV458" s="262"/>
      <c r="AW458" s="265">
        <v>1.0111854839419214</v>
      </c>
      <c r="AX458" s="164" t="s">
        <v>1469</v>
      </c>
      <c r="AY458" s="266">
        <v>0</v>
      </c>
      <c r="AZ458" s="266">
        <f t="shared" ref="AZ458:AZ521" si="298">O458*AW458*AL458</f>
        <v>0</v>
      </c>
      <c r="BA458" s="264">
        <f t="shared" ref="BA458:BA521" si="299">IF(AZ458=0,0,AZ458-AC458)</f>
        <v>0</v>
      </c>
      <c r="BB458" s="262"/>
      <c r="BC458" s="262"/>
      <c r="BD458" s="265">
        <f ca="1">IFERROR(INDEX(Algorithms!$G:$G,MATCH($C458&amp;"_Therm Saved per Unit",Algorithms!$A:$A,0)),0)</f>
        <v>0.94853594852378065</v>
      </c>
      <c r="BE458" s="164" t="str">
        <f ca="1">IFERROR(INDEX('v12 Revisions'!$P$29:$P$186, MATCH('Measure-Level Adj Gas'!$L458, 'v12 Revisions'!$D$29:$D$186,0)),"")</f>
        <v>Updated full load hours of heating from 1840 to 1726.</v>
      </c>
      <c r="BF458" s="266">
        <f t="shared" ref="BF458:BF521" ca="1" si="300">P458*BD458*AM458</f>
        <v>0</v>
      </c>
      <c r="BG458" s="264">
        <f t="shared" ref="BG458:BG521" ca="1" si="301">IF(BF458=0,0,BF458-AD458)</f>
        <v>0</v>
      </c>
      <c r="BH458" s="262"/>
      <c r="BI458" s="262"/>
      <c r="BJ458" s="265">
        <f ca="1">IFERROR(INDEX(Algorithms!$G:$G,MATCH($C458&amp;"_Therm Saved per Unit",Algorithms!$A:$A,0)),0)</f>
        <v>0.94853594852378065</v>
      </c>
      <c r="BK458" s="164"/>
      <c r="BL458" s="266">
        <f t="shared" ref="BL458:BL521" ca="1" si="302">Q458*BJ458*AN458</f>
        <v>0</v>
      </c>
      <c r="BM458" s="264">
        <f t="shared" ref="BM458:BM521" ca="1" si="303">IF(BL458=0,0,BL458-AE458)</f>
        <v>0</v>
      </c>
      <c r="BN458" s="266">
        <f t="shared" ref="BN458:BN521" si="304">IF(K458=1,AS458,AB458)</f>
        <v>0</v>
      </c>
      <c r="BO458" s="266">
        <f t="shared" ref="BO458:BO521" si="305">IF(K458=1,AZ458,AC458)</f>
        <v>0</v>
      </c>
      <c r="BP458" s="266">
        <f t="shared" ref="BP458:BP521" ca="1" si="306">IF(K458=1,BF458,AD458)</f>
        <v>0</v>
      </c>
      <c r="BQ458" s="266">
        <f t="shared" ref="BQ458:BQ521" ca="1" si="307">IF(K458=1,BL458,AE458)</f>
        <v>0</v>
      </c>
      <c r="BR458" s="268">
        <f t="shared" ref="BR458:BR521" ca="1" si="308">BN458+BO458+BP458+BQ458</f>
        <v>0</v>
      </c>
      <c r="BS458" s="262" t="s">
        <v>99</v>
      </c>
      <c r="BT458" s="277"/>
      <c r="BW458" s="266">
        <f t="shared" ref="BW458:BW521" si="309">N458*T458*X458</f>
        <v>0</v>
      </c>
      <c r="BX458" s="266">
        <f t="shared" ref="BX458:BX521" si="310">O458*U458*Y458</f>
        <v>0</v>
      </c>
      <c r="BY458" s="266">
        <f t="shared" ref="BY458:BY521" si="311">P458*V458*Z458</f>
        <v>0</v>
      </c>
      <c r="BZ458" s="266">
        <f t="shared" ref="BZ458:BZ521" si="312">Q458*W458*AA458</f>
        <v>0</v>
      </c>
      <c r="CA458" s="266">
        <f ca="1">N458*IFERROR(INDEX(Algorithms!$G:$G,MATCH($C458&amp;"_Therm Saved per Unit- MLA",Algorithms!$A:$A,0)),0)*X458</f>
        <v>0</v>
      </c>
      <c r="CB458" s="266">
        <f ca="1">O458*IFERROR(INDEX(Algorithms!$G:$G,MATCH($C458&amp;"_Therm Saved per Unit- MLA",Algorithms!$A:$A,0)),0)*Y458</f>
        <v>0</v>
      </c>
      <c r="CC458" s="266">
        <f ca="1">P458*IFERROR(INDEX(Algorithms!$G:$G,MATCH($C458&amp;"_Therm Saved per Unit- MLA",Algorithms!$A:$A,0)),0)*Z458</f>
        <v>0</v>
      </c>
      <c r="CD458" s="266">
        <f ca="1">Q458*IFERROR(INDEX(Algorithms!$G:$G,MATCH($C458&amp;"_Therm Saved per Unit- MLA",Algorithms!$A:$A,0)),0)*AA458</f>
        <v>0</v>
      </c>
      <c r="CE458" s="266">
        <f ca="1">IFERROR(INDEX(Algorithms!$G:$G,MATCH($C458&amp;"_Lifetime (years)",Algorithms!$A:$A,0)),0)</f>
        <v>15</v>
      </c>
      <c r="CF458" s="266">
        <f ca="1">IFERROR(INDEX(Algorithms!$G:$G,MATCH($C458&amp;"_Lifetime (years) - Remaining Years",Algorithms!$A:$A,0)),0)</f>
        <v>13</v>
      </c>
      <c r="CG458" s="266">
        <f t="shared" ref="CG458:CG521" ca="1" si="313">IF($CF458=0,(BW458*$CE458),((BW458*$CF458)+(CA458*($CE458-$CF458))))</f>
        <v>0</v>
      </c>
      <c r="CH458" s="266">
        <f t="shared" ref="CH458:CH521" ca="1" si="314">IF($CF458=0,(BX458*$CE458),((BX458*$CF458)+(CB458*($CE458-$CF458))))</f>
        <v>0</v>
      </c>
      <c r="CI458" s="266">
        <f t="shared" ref="CI458:CI521" ca="1" si="315">IF($CF458=0,(BY458*$CE458),((BY458*$CF458)+(CC458*($CE458-$CF458))))</f>
        <v>0</v>
      </c>
      <c r="CJ458" s="266">
        <f t="shared" ref="CJ458:CJ521" ca="1" si="316">IF($CF458=0,(BZ458*$CE458),((BZ458*$CF458)+(CD458*($CE458-$CF458))))</f>
        <v>0</v>
      </c>
      <c r="CK458" s="266">
        <f t="shared" ref="CK458:CK521" si="317">N458*AQ458*X458</f>
        <v>0</v>
      </c>
      <c r="CL458" s="266">
        <f t="shared" ref="CL458:CL521" si="318">O458*AW458*Y458</f>
        <v>0</v>
      </c>
      <c r="CM458" s="266">
        <f t="shared" ref="CM458:CM521" ca="1" si="319">P458*BD458*Z458</f>
        <v>0</v>
      </c>
      <c r="CN458" s="266">
        <f t="shared" ref="CN458:CN521" ca="1" si="320">Q458*BJ458*AA458</f>
        <v>0</v>
      </c>
      <c r="CO458" s="266">
        <f ca="1">N458*IFERROR(INDEX(Algorithms!$G:$G,MATCH($C458&amp;"_Therm Saved per Unit- MLA",Algorithms!$A:$A,0)),0)*X458</f>
        <v>0</v>
      </c>
      <c r="CP458" s="266">
        <f ca="1">O458*IFERROR(INDEX(Algorithms!$G:$G,MATCH($C458&amp;"_Therm Saved per Unit- MLA",Algorithms!$A:$A,0)),0)*Y458</f>
        <v>0</v>
      </c>
      <c r="CQ458" s="266">
        <f ca="1">P458*IFERROR(INDEX(Algorithms!$G:$G,MATCH($C458&amp;"_Therm Saved per Unit- MLA",Algorithms!$A:$A,0)),0)*Z458</f>
        <v>0</v>
      </c>
      <c r="CR458" s="266">
        <f ca="1">Q458*IFERROR(INDEX(Algorithms!$G:$G,MATCH($C458&amp;"_Therm Saved per Unit- MLA",Algorithms!$A:$A,0)),0)*AA458</f>
        <v>0</v>
      </c>
      <c r="CS458" s="266">
        <f ca="1">IFERROR(INDEX(Algorithms!$G:$G,MATCH($C458&amp;"_Lifetime (years)",Algorithms!$A:$A,0)),0)</f>
        <v>15</v>
      </c>
      <c r="CT458" s="266">
        <f ca="1">IFERROR(INDEX(Algorithms!$G:$G,MATCH($C458&amp;"_Lifetime (years) - Remaining Years",Algorithms!$A:$A,0)),0)</f>
        <v>13</v>
      </c>
      <c r="CU458" s="266">
        <f t="shared" ref="CU458:CU521" ca="1" si="321">IF($CT458=0,(CK458*$CS458),((CK458*$CT458)+(CO458*($CS458-$CT458))))</f>
        <v>0</v>
      </c>
      <c r="CV458" s="266">
        <f t="shared" ref="CV458:CV521" ca="1" si="322">IF($CT458=0,(CL458*$CS458),((CL458*$CT458)+(CP458*($CS458-$CT458))))</f>
        <v>0</v>
      </c>
      <c r="CW458" s="266">
        <f t="shared" ref="CW458:CW521" ca="1" si="323">IF($CT458=0,(CM458*$CS458),((CM458*$CT458)+(CQ458*($CS458-$CT458))))</f>
        <v>0</v>
      </c>
      <c r="CX458" s="266">
        <f t="shared" ref="CX458:CX521" ca="1" si="324">IF($CT458=0,(CN458*$CS458),((CN458*$CT458)+(CR458*($CS458-$CT458))))</f>
        <v>0</v>
      </c>
    </row>
    <row r="459" spans="2:102" s="47" customFormat="1" ht="18" customHeight="1" x14ac:dyDescent="0.25">
      <c r="B459" t="str">
        <f t="shared" ref="B459:B522" si="325">D459&amp;"_"&amp;E459&amp;"_"&amp;F459&amp;"_"&amp;G459&amp;"_"&amp;H459&amp;"_"&amp;I459&amp;"_"&amp;J459</f>
        <v>NSG_Income Eligible_Multi-Family_Whole Building - Public Housing_Programmable Thermostat_Boiler (DI)_MF</v>
      </c>
      <c r="C459" s="47" t="str">
        <f t="shared" si="286"/>
        <v>Programmable Thermostat_Boiler (DI)_MF</v>
      </c>
      <c r="D459" s="270" t="s">
        <v>1787</v>
      </c>
      <c r="E459" s="270" t="s">
        <v>325</v>
      </c>
      <c r="F459" s="270" t="s">
        <v>1422</v>
      </c>
      <c r="G459" s="270" t="s">
        <v>1817</v>
      </c>
      <c r="H459" s="270" t="s">
        <v>224</v>
      </c>
      <c r="I459" s="270" t="s">
        <v>1045</v>
      </c>
      <c r="J459" s="270" t="s">
        <v>553</v>
      </c>
      <c r="K459" s="263">
        <v>1</v>
      </c>
      <c r="L459" s="263" t="str">
        <f ca="1">IFERROR(INDEX(Algorithms!J:J,MATCH($C459&amp;"_Therm Saved per Unit",Algorithms!$A:$A,0)),"n/a")</f>
        <v>5.3.11</v>
      </c>
      <c r="M459" s="263" t="str">
        <f>IFERROR(INDEX('Measure Level Detail'!$N:$N,MATCH($B459,'Measure Level Detail'!$B:$B,0)),0)</f>
        <v>each</v>
      </c>
      <c r="N459" s="271">
        <f>IFERROR(INDEX('Measure Level Detail'!$P:$P,MATCH($B459&amp;"_"&amp;N$3,'Measure Level Detail'!$C:$C,0)),0)</f>
        <v>0</v>
      </c>
      <c r="O459" s="271">
        <f>IFERROR(INDEX('Measure Level Detail'!$P:$P,MATCH($B459&amp;"_"&amp;O$3,'Measure Level Detail'!$C:$C,0)),0)</f>
        <v>0</v>
      </c>
      <c r="P459" s="271">
        <f>IFERROR(INDEX('Measure Level Detail'!$P:$P,MATCH($B459&amp;"_"&amp;P$3,'Measure Level Detail'!$C:$C,0)),0)</f>
        <v>0</v>
      </c>
      <c r="Q459" s="271">
        <f>IFERROR(INDEX('Measure Level Detail'!$P:$P,MATCH($B459&amp;"_"&amp;Q$3,'Measure Level Detail'!$C:$C,0)),0)</f>
        <v>0</v>
      </c>
      <c r="R459" s="263" t="str">
        <f ca="1">IFERROR(INDEX(Algorithms!K:K,MATCH($C459&amp;"_Therm Saved per Unit",Algorithms!$A:$A,0)),"n/a")</f>
        <v>RS-HVC-PROG-V08-220101</v>
      </c>
      <c r="S459" s="262"/>
      <c r="T459" s="272">
        <v>59.845499999999994</v>
      </c>
      <c r="U459" s="272">
        <v>59.845499999999994</v>
      </c>
      <c r="V459" s="272">
        <v>59.845499999999994</v>
      </c>
      <c r="W459" s="272">
        <v>59.845499999999994</v>
      </c>
      <c r="X459" s="273">
        <f>IFERROR(INDEX('Measure Level Detail'!$R:$R,MATCH($B459&amp;"_"&amp;X$3,'Measure Level Detail'!$C:$C,0)),0)</f>
        <v>1</v>
      </c>
      <c r="Y459" s="273">
        <f>IFERROR(INDEX('Measure Level Detail'!$R:$R,MATCH($B459&amp;"_"&amp;Y$3,'Measure Level Detail'!$C:$C,0)),0)</f>
        <v>1</v>
      </c>
      <c r="Z459" s="273">
        <f>IFERROR(INDEX('Measure Level Detail'!$R:$R,MATCH($B459&amp;"_"&amp;Z$3,'Measure Level Detail'!$C:$C,0)),0)</f>
        <v>1</v>
      </c>
      <c r="AA459" s="273">
        <f>IFERROR(INDEX('Measure Level Detail'!$R:$R,MATCH($B459&amp;"_"&amp;AA$3,'Measure Level Detail'!$C:$C,0)),0)</f>
        <v>1</v>
      </c>
      <c r="AB459" s="266">
        <f t="shared" si="287"/>
        <v>0</v>
      </c>
      <c r="AC459" s="266">
        <f t="shared" si="288"/>
        <v>0</v>
      </c>
      <c r="AD459" s="266">
        <f t="shared" si="289"/>
        <v>0</v>
      </c>
      <c r="AE459" s="266">
        <f t="shared" si="290"/>
        <v>0</v>
      </c>
      <c r="AF459" s="266">
        <f t="shared" si="291"/>
        <v>0</v>
      </c>
      <c r="AG459" s="274">
        <v>1</v>
      </c>
      <c r="AH459" s="274">
        <v>1</v>
      </c>
      <c r="AI459" s="274">
        <v>1</v>
      </c>
      <c r="AJ459" s="274">
        <v>1</v>
      </c>
      <c r="AK459" s="274">
        <f t="shared" si="292"/>
        <v>1</v>
      </c>
      <c r="AL459" s="274">
        <f t="shared" si="293"/>
        <v>1</v>
      </c>
      <c r="AM459" s="274">
        <f t="shared" si="294"/>
        <v>1</v>
      </c>
      <c r="AN459" s="274">
        <f t="shared" si="295"/>
        <v>1</v>
      </c>
      <c r="AO459" s="262"/>
      <c r="AP459" s="262"/>
      <c r="AQ459" s="267">
        <v>59.845499999999994</v>
      </c>
      <c r="AR459" s="262"/>
      <c r="AS459" s="266">
        <f t="shared" si="296"/>
        <v>0</v>
      </c>
      <c r="AT459" s="264">
        <f t="shared" si="297"/>
        <v>0</v>
      </c>
      <c r="AU459" s="262"/>
      <c r="AV459" s="262"/>
      <c r="AW459" s="265">
        <v>59.845499999999994</v>
      </c>
      <c r="AX459" s="164" t="s">
        <v>1469</v>
      </c>
      <c r="AY459" s="266">
        <v>0</v>
      </c>
      <c r="AZ459" s="266">
        <f t="shared" si="298"/>
        <v>0</v>
      </c>
      <c r="BA459" s="264">
        <f t="shared" si="299"/>
        <v>0</v>
      </c>
      <c r="BB459" s="262"/>
      <c r="BC459" s="262"/>
      <c r="BD459" s="265">
        <f ca="1">IFERROR(INDEX(Algorithms!$G:$G,MATCH($C459&amp;"_Therm Saved per Unit",Algorithms!$A:$A,0)),0)</f>
        <v>59.845499999999994</v>
      </c>
      <c r="BE459" s="164" t="str">
        <f ca="1">IFERROR(INDEX('v12 Revisions'!$P$29:$P$186, MATCH('Measure-Level Adj Gas'!$L459, 'v12 Revisions'!$D$29:$D$186,0)),"")</f>
        <v/>
      </c>
      <c r="BF459" s="266">
        <f t="shared" ca="1" si="300"/>
        <v>0</v>
      </c>
      <c r="BG459" s="264">
        <f t="shared" ca="1" si="301"/>
        <v>0</v>
      </c>
      <c r="BH459" s="262"/>
      <c r="BI459" s="262"/>
      <c r="BJ459" s="265">
        <f ca="1">IFERROR(INDEX(Algorithms!$G:$G,MATCH($C459&amp;"_Therm Saved per Unit",Algorithms!$A:$A,0)),0)</f>
        <v>59.845499999999994</v>
      </c>
      <c r="BK459" s="164"/>
      <c r="BL459" s="266">
        <f t="shared" ca="1" si="302"/>
        <v>0</v>
      </c>
      <c r="BM459" s="264">
        <f t="shared" ca="1" si="303"/>
        <v>0</v>
      </c>
      <c r="BN459" s="266">
        <f t="shared" si="304"/>
        <v>0</v>
      </c>
      <c r="BO459" s="266">
        <f t="shared" si="305"/>
        <v>0</v>
      </c>
      <c r="BP459" s="266">
        <f t="shared" ca="1" si="306"/>
        <v>0</v>
      </c>
      <c r="BQ459" s="266">
        <f t="shared" ca="1" si="307"/>
        <v>0</v>
      </c>
      <c r="BR459" s="268">
        <f t="shared" ca="1" si="308"/>
        <v>0</v>
      </c>
      <c r="BS459" s="262" t="s">
        <v>99</v>
      </c>
      <c r="BT459" s="277"/>
      <c r="BW459" s="266">
        <f t="shared" si="309"/>
        <v>0</v>
      </c>
      <c r="BX459" s="266">
        <f t="shared" si="310"/>
        <v>0</v>
      </c>
      <c r="BY459" s="266">
        <f t="shared" si="311"/>
        <v>0</v>
      </c>
      <c r="BZ459" s="266">
        <f t="shared" si="312"/>
        <v>0</v>
      </c>
      <c r="CA459" s="266">
        <f ca="1">N459*IFERROR(INDEX(Algorithms!$G:$G,MATCH($C459&amp;"_Therm Saved per Unit- MLA",Algorithms!$A:$A,0)),0)*X459</f>
        <v>0</v>
      </c>
      <c r="CB459" s="266">
        <f ca="1">O459*IFERROR(INDEX(Algorithms!$G:$G,MATCH($C459&amp;"_Therm Saved per Unit- MLA",Algorithms!$A:$A,0)),0)*Y459</f>
        <v>0</v>
      </c>
      <c r="CC459" s="266">
        <f ca="1">P459*IFERROR(INDEX(Algorithms!$G:$G,MATCH($C459&amp;"_Therm Saved per Unit- MLA",Algorithms!$A:$A,0)),0)*Z459</f>
        <v>0</v>
      </c>
      <c r="CD459" s="266">
        <f ca="1">Q459*IFERROR(INDEX(Algorithms!$G:$G,MATCH($C459&amp;"_Therm Saved per Unit- MLA",Algorithms!$A:$A,0)),0)*AA459</f>
        <v>0</v>
      </c>
      <c r="CE459" s="266">
        <f ca="1">IFERROR(INDEX(Algorithms!$G:$G,MATCH($C459&amp;"_Lifetime (years)",Algorithms!$A:$A,0)),0)</f>
        <v>16</v>
      </c>
      <c r="CF459" s="266">
        <f ca="1">IFERROR(INDEX(Algorithms!$G:$G,MATCH($C459&amp;"_Lifetime (years) - Remaining Years",Algorithms!$A:$A,0)),0)</f>
        <v>5</v>
      </c>
      <c r="CG459" s="266">
        <f t="shared" ca="1" si="313"/>
        <v>0</v>
      </c>
      <c r="CH459" s="266">
        <f t="shared" ca="1" si="314"/>
        <v>0</v>
      </c>
      <c r="CI459" s="266">
        <f t="shared" ca="1" si="315"/>
        <v>0</v>
      </c>
      <c r="CJ459" s="266">
        <f t="shared" ca="1" si="316"/>
        <v>0</v>
      </c>
      <c r="CK459" s="266">
        <f t="shared" si="317"/>
        <v>0</v>
      </c>
      <c r="CL459" s="266">
        <f t="shared" si="318"/>
        <v>0</v>
      </c>
      <c r="CM459" s="266">
        <f t="shared" ca="1" si="319"/>
        <v>0</v>
      </c>
      <c r="CN459" s="266">
        <f t="shared" ca="1" si="320"/>
        <v>0</v>
      </c>
      <c r="CO459" s="266">
        <f ca="1">N459*IFERROR(INDEX(Algorithms!$G:$G,MATCH($C459&amp;"_Therm Saved per Unit- MLA",Algorithms!$A:$A,0)),0)*X459</f>
        <v>0</v>
      </c>
      <c r="CP459" s="266">
        <f ca="1">O459*IFERROR(INDEX(Algorithms!$G:$G,MATCH($C459&amp;"_Therm Saved per Unit- MLA",Algorithms!$A:$A,0)),0)*Y459</f>
        <v>0</v>
      </c>
      <c r="CQ459" s="266">
        <f ca="1">P459*IFERROR(INDEX(Algorithms!$G:$G,MATCH($C459&amp;"_Therm Saved per Unit- MLA",Algorithms!$A:$A,0)),0)*Z459</f>
        <v>0</v>
      </c>
      <c r="CR459" s="266">
        <f ca="1">Q459*IFERROR(INDEX(Algorithms!$G:$G,MATCH($C459&amp;"_Therm Saved per Unit- MLA",Algorithms!$A:$A,0)),0)*AA459</f>
        <v>0</v>
      </c>
      <c r="CS459" s="266">
        <f ca="1">IFERROR(INDEX(Algorithms!$G:$G,MATCH($C459&amp;"_Lifetime (years)",Algorithms!$A:$A,0)),0)</f>
        <v>16</v>
      </c>
      <c r="CT459" s="266">
        <f ca="1">IFERROR(INDEX(Algorithms!$G:$G,MATCH($C459&amp;"_Lifetime (years) - Remaining Years",Algorithms!$A:$A,0)),0)</f>
        <v>5</v>
      </c>
      <c r="CU459" s="266">
        <f t="shared" ca="1" si="321"/>
        <v>0</v>
      </c>
      <c r="CV459" s="266">
        <f t="shared" ca="1" si="322"/>
        <v>0</v>
      </c>
      <c r="CW459" s="266">
        <f t="shared" ca="1" si="323"/>
        <v>0</v>
      </c>
      <c r="CX459" s="266">
        <f t="shared" ca="1" si="324"/>
        <v>0</v>
      </c>
    </row>
    <row r="460" spans="2:102" s="47" customFormat="1" ht="18" customHeight="1" x14ac:dyDescent="0.25">
      <c r="B460" t="str">
        <f t="shared" si="325"/>
        <v>NSG_Income Eligible_Multi-Family_Whole Building - Public Housing_Advanced Thermostat_Furnace (Replace Manual)_MF</v>
      </c>
      <c r="C460" s="47" t="str">
        <f t="shared" si="286"/>
        <v>Advanced Thermostat_Furnace (Replace Manual)_MF</v>
      </c>
      <c r="D460" s="270" t="s">
        <v>1787</v>
      </c>
      <c r="E460" s="270" t="s">
        <v>325</v>
      </c>
      <c r="F460" s="270" t="s">
        <v>1422</v>
      </c>
      <c r="G460" s="270" t="s">
        <v>1817</v>
      </c>
      <c r="H460" s="270" t="s">
        <v>7</v>
      </c>
      <c r="I460" s="270" t="s">
        <v>1047</v>
      </c>
      <c r="J460" s="270" t="s">
        <v>553</v>
      </c>
      <c r="K460" s="263">
        <v>1</v>
      </c>
      <c r="L460" s="263" t="str">
        <f ca="1">IFERROR(INDEX(Algorithms!J:J,MATCH($C460&amp;"_Therm Saved per Unit",Algorithms!$A:$A,0)),"n/a")</f>
        <v>5.3.16</v>
      </c>
      <c r="M460" s="263" t="str">
        <f>IFERROR(INDEX('Measure Level Detail'!$N:$N,MATCH($B460,'Measure Level Detail'!$B:$B,0)),0)</f>
        <v>each</v>
      </c>
      <c r="N460" s="271">
        <f>IFERROR(INDEX('Measure Level Detail'!$P:$P,MATCH($B460&amp;"_"&amp;N$3,'Measure Level Detail'!$C:$C,0)),0)</f>
        <v>0</v>
      </c>
      <c r="O460" s="271">
        <f>IFERROR(INDEX('Measure Level Detail'!$P:$P,MATCH($B460&amp;"_"&amp;O$3,'Measure Level Detail'!$C:$C,0)),0)</f>
        <v>0</v>
      </c>
      <c r="P460" s="271">
        <f>IFERROR(INDEX('Measure Level Detail'!$P:$P,MATCH($B460&amp;"_"&amp;P$3,'Measure Level Detail'!$C:$C,0)),0)</f>
        <v>0</v>
      </c>
      <c r="Q460" s="271">
        <f>IFERROR(INDEX('Measure Level Detail'!$P:$P,MATCH($B460&amp;"_"&amp;Q$3,'Measure Level Detail'!$C:$C,0)),0)</f>
        <v>0</v>
      </c>
      <c r="R460" s="263" t="str">
        <f ca="1">IFERROR(INDEX(Algorithms!K:K,MATCH($C460&amp;"_Therm Saved per Unit",Algorithms!$A:$A,0)),"n/a")</f>
        <v>RS-HVC-ADTH-V09-240101</v>
      </c>
      <c r="S460" s="262"/>
      <c r="T460" s="272">
        <v>67.938000000000002</v>
      </c>
      <c r="U460" s="272">
        <v>67.938000000000002</v>
      </c>
      <c r="V460" s="272">
        <v>67.938000000000002</v>
      </c>
      <c r="W460" s="272">
        <v>67.938000000000002</v>
      </c>
      <c r="X460" s="273">
        <f>IFERROR(INDEX('Measure Level Detail'!$R:$R,MATCH($B460&amp;"_"&amp;X$3,'Measure Level Detail'!$C:$C,0)),0)</f>
        <v>1</v>
      </c>
      <c r="Y460" s="273">
        <f>IFERROR(INDEX('Measure Level Detail'!$R:$R,MATCH($B460&amp;"_"&amp;Y$3,'Measure Level Detail'!$C:$C,0)),0)</f>
        <v>1</v>
      </c>
      <c r="Z460" s="273">
        <f>IFERROR(INDEX('Measure Level Detail'!$R:$R,MATCH($B460&amp;"_"&amp;Z$3,'Measure Level Detail'!$C:$C,0)),0)</f>
        <v>1</v>
      </c>
      <c r="AA460" s="273">
        <f>IFERROR(INDEX('Measure Level Detail'!$R:$R,MATCH($B460&amp;"_"&amp;AA$3,'Measure Level Detail'!$C:$C,0)),0)</f>
        <v>1</v>
      </c>
      <c r="AB460" s="266">
        <f t="shared" si="287"/>
        <v>0</v>
      </c>
      <c r="AC460" s="266">
        <f t="shared" si="288"/>
        <v>0</v>
      </c>
      <c r="AD460" s="266">
        <f t="shared" si="289"/>
        <v>0</v>
      </c>
      <c r="AE460" s="266">
        <f t="shared" si="290"/>
        <v>0</v>
      </c>
      <c r="AF460" s="266">
        <f t="shared" si="291"/>
        <v>0</v>
      </c>
      <c r="AG460" s="274">
        <v>1</v>
      </c>
      <c r="AH460" s="274">
        <v>1</v>
      </c>
      <c r="AI460" s="274">
        <v>1</v>
      </c>
      <c r="AJ460" s="274">
        <v>1</v>
      </c>
      <c r="AK460" s="274">
        <f t="shared" si="292"/>
        <v>1</v>
      </c>
      <c r="AL460" s="274">
        <f t="shared" si="293"/>
        <v>1</v>
      </c>
      <c r="AM460" s="274">
        <f t="shared" si="294"/>
        <v>1</v>
      </c>
      <c r="AN460" s="274">
        <f t="shared" si="295"/>
        <v>1</v>
      </c>
      <c r="AO460" s="262"/>
      <c r="AP460" s="262"/>
      <c r="AQ460" s="267">
        <v>66.631500000000003</v>
      </c>
      <c r="AR460" s="262"/>
      <c r="AS460" s="266">
        <f t="shared" si="296"/>
        <v>0</v>
      </c>
      <c r="AT460" s="264">
        <f t="shared" si="297"/>
        <v>0</v>
      </c>
      <c r="AU460" s="262"/>
      <c r="AV460" s="262"/>
      <c r="AW460" s="265">
        <v>66.631500000000003</v>
      </c>
      <c r="AX460" s="164" t="s">
        <v>1469</v>
      </c>
      <c r="AY460" s="266">
        <v>0</v>
      </c>
      <c r="AZ460" s="266">
        <f t="shared" si="298"/>
        <v>0</v>
      </c>
      <c r="BA460" s="264">
        <f t="shared" si="299"/>
        <v>0</v>
      </c>
      <c r="BB460" s="262"/>
      <c r="BC460" s="262"/>
      <c r="BD460" s="265">
        <f ca="1">IFERROR(INDEX(Algorithms!$G:$G,MATCH($C460&amp;"_Therm Saved per Unit",Algorithms!$A:$A,0)),0)</f>
        <v>66.631500000000003</v>
      </c>
      <c r="BE460" s="164" t="str">
        <f ca="1">IFERROR(INDEX('v12 Revisions'!$P$29:$P$186, MATCH('Measure-Level Adj Gas'!$L460, 'v12 Revisions'!$D$29:$D$186,0)),"")</f>
        <v>n/a - FLH not in fossil fuel energy savings algorithm.</v>
      </c>
      <c r="BF460" s="266">
        <f t="shared" ca="1" si="300"/>
        <v>0</v>
      </c>
      <c r="BG460" s="264">
        <f t="shared" ca="1" si="301"/>
        <v>0</v>
      </c>
      <c r="BH460" s="262"/>
      <c r="BI460" s="262"/>
      <c r="BJ460" s="265">
        <f ca="1">IFERROR(INDEX(Algorithms!$G:$G,MATCH($C460&amp;"_Therm Saved per Unit",Algorithms!$A:$A,0)),0)</f>
        <v>66.631500000000003</v>
      </c>
      <c r="BK460" s="164"/>
      <c r="BL460" s="266">
        <f t="shared" ca="1" si="302"/>
        <v>0</v>
      </c>
      <c r="BM460" s="264">
        <f t="shared" ca="1" si="303"/>
        <v>0</v>
      </c>
      <c r="BN460" s="266">
        <f t="shared" si="304"/>
        <v>0</v>
      </c>
      <c r="BO460" s="266">
        <f t="shared" si="305"/>
        <v>0</v>
      </c>
      <c r="BP460" s="266">
        <f t="shared" ca="1" si="306"/>
        <v>0</v>
      </c>
      <c r="BQ460" s="266">
        <f t="shared" ca="1" si="307"/>
        <v>0</v>
      </c>
      <c r="BR460" s="268">
        <f t="shared" ca="1" si="308"/>
        <v>0</v>
      </c>
      <c r="BS460" s="262" t="s">
        <v>99</v>
      </c>
      <c r="BT460" s="277"/>
      <c r="BW460" s="266">
        <f t="shared" si="309"/>
        <v>0</v>
      </c>
      <c r="BX460" s="266">
        <f t="shared" si="310"/>
        <v>0</v>
      </c>
      <c r="BY460" s="266">
        <f t="shared" si="311"/>
        <v>0</v>
      </c>
      <c r="BZ460" s="266">
        <f t="shared" si="312"/>
        <v>0</v>
      </c>
      <c r="CA460" s="266">
        <f ca="1">N460*IFERROR(INDEX(Algorithms!$G:$G,MATCH($C460&amp;"_Therm Saved per Unit- MLA",Algorithms!$A:$A,0)),0)*X460</f>
        <v>0</v>
      </c>
      <c r="CB460" s="266">
        <f ca="1">O460*IFERROR(INDEX(Algorithms!$G:$G,MATCH($C460&amp;"_Therm Saved per Unit- MLA",Algorithms!$A:$A,0)),0)*Y460</f>
        <v>0</v>
      </c>
      <c r="CC460" s="266">
        <f ca="1">P460*IFERROR(INDEX(Algorithms!$G:$G,MATCH($C460&amp;"_Therm Saved per Unit- MLA",Algorithms!$A:$A,0)),0)*Z460</f>
        <v>0</v>
      </c>
      <c r="CD460" s="266">
        <f ca="1">Q460*IFERROR(INDEX(Algorithms!$G:$G,MATCH($C460&amp;"_Therm Saved per Unit- MLA",Algorithms!$A:$A,0)),0)*AA460</f>
        <v>0</v>
      </c>
      <c r="CE460" s="266">
        <f ca="1">IFERROR(INDEX(Algorithms!$G:$G,MATCH($C460&amp;"_Lifetime (years)",Algorithms!$A:$A,0)),0)</f>
        <v>11</v>
      </c>
      <c r="CF460" s="266">
        <f ca="1">IFERROR(INDEX(Algorithms!$G:$G,MATCH($C460&amp;"_Lifetime (years) - Remaining Years",Algorithms!$A:$A,0)),0)</f>
        <v>0</v>
      </c>
      <c r="CG460" s="266">
        <f t="shared" ca="1" si="313"/>
        <v>0</v>
      </c>
      <c r="CH460" s="266">
        <f t="shared" ca="1" si="314"/>
        <v>0</v>
      </c>
      <c r="CI460" s="266">
        <f t="shared" ca="1" si="315"/>
        <v>0</v>
      </c>
      <c r="CJ460" s="266">
        <f t="shared" ca="1" si="316"/>
        <v>0</v>
      </c>
      <c r="CK460" s="266">
        <f t="shared" si="317"/>
        <v>0</v>
      </c>
      <c r="CL460" s="266">
        <f t="shared" si="318"/>
        <v>0</v>
      </c>
      <c r="CM460" s="266">
        <f t="shared" ca="1" si="319"/>
        <v>0</v>
      </c>
      <c r="CN460" s="266">
        <f t="shared" ca="1" si="320"/>
        <v>0</v>
      </c>
      <c r="CO460" s="266">
        <f ca="1">N460*IFERROR(INDEX(Algorithms!$G:$G,MATCH($C460&amp;"_Therm Saved per Unit- MLA",Algorithms!$A:$A,0)),0)*X460</f>
        <v>0</v>
      </c>
      <c r="CP460" s="266">
        <f ca="1">O460*IFERROR(INDEX(Algorithms!$G:$G,MATCH($C460&amp;"_Therm Saved per Unit- MLA",Algorithms!$A:$A,0)),0)*Y460</f>
        <v>0</v>
      </c>
      <c r="CQ460" s="266">
        <f ca="1">P460*IFERROR(INDEX(Algorithms!$G:$G,MATCH($C460&amp;"_Therm Saved per Unit- MLA",Algorithms!$A:$A,0)),0)*Z460</f>
        <v>0</v>
      </c>
      <c r="CR460" s="266">
        <f ca="1">Q460*IFERROR(INDEX(Algorithms!$G:$G,MATCH($C460&amp;"_Therm Saved per Unit- MLA",Algorithms!$A:$A,0)),0)*AA460</f>
        <v>0</v>
      </c>
      <c r="CS460" s="266">
        <f ca="1">IFERROR(INDEX(Algorithms!$G:$G,MATCH($C460&amp;"_Lifetime (years)",Algorithms!$A:$A,0)),0)</f>
        <v>11</v>
      </c>
      <c r="CT460" s="266">
        <f ca="1">IFERROR(INDEX(Algorithms!$G:$G,MATCH($C460&amp;"_Lifetime (years) - Remaining Years",Algorithms!$A:$A,0)),0)</f>
        <v>0</v>
      </c>
      <c r="CU460" s="266">
        <f t="shared" ca="1" si="321"/>
        <v>0</v>
      </c>
      <c r="CV460" s="266">
        <f t="shared" ca="1" si="322"/>
        <v>0</v>
      </c>
      <c r="CW460" s="266">
        <f t="shared" ca="1" si="323"/>
        <v>0</v>
      </c>
      <c r="CX460" s="266">
        <f t="shared" ca="1" si="324"/>
        <v>0</v>
      </c>
    </row>
    <row r="461" spans="2:102" s="47" customFormat="1" ht="18" customHeight="1" x14ac:dyDescent="0.25">
      <c r="B461" t="str">
        <f t="shared" si="325"/>
        <v>NSG_Income Eligible_Multi-Family_Whole Building - Public Housing_Advanced Thermostat_Boiler (Replace Manual)_MF</v>
      </c>
      <c r="C461" s="47" t="str">
        <f t="shared" si="286"/>
        <v>Advanced Thermostat_Boiler (Replace Manual)_MF</v>
      </c>
      <c r="D461" s="270" t="s">
        <v>1787</v>
      </c>
      <c r="E461" s="270" t="s">
        <v>325</v>
      </c>
      <c r="F461" s="270" t="s">
        <v>1422</v>
      </c>
      <c r="G461" s="270" t="s">
        <v>1817</v>
      </c>
      <c r="H461" s="270" t="s">
        <v>7</v>
      </c>
      <c r="I461" s="270" t="s">
        <v>1051</v>
      </c>
      <c r="J461" s="270" t="s">
        <v>553</v>
      </c>
      <c r="K461" s="263">
        <v>1</v>
      </c>
      <c r="L461" s="263" t="str">
        <f ca="1">IFERROR(INDEX(Algorithms!J:J,MATCH($C461&amp;"_Therm Saved per Unit",Algorithms!$A:$A,0)),"n/a")</f>
        <v>5.3.16</v>
      </c>
      <c r="M461" s="263" t="str">
        <f>IFERROR(INDEX('Measure Level Detail'!$N:$N,MATCH($B461,'Measure Level Detail'!$B:$B,0)),0)</f>
        <v>each</v>
      </c>
      <c r="N461" s="271">
        <f>IFERROR(INDEX('Measure Level Detail'!$P:$P,MATCH($B461&amp;"_"&amp;N$3,'Measure Level Detail'!$C:$C,0)),0)</f>
        <v>0</v>
      </c>
      <c r="O461" s="271">
        <f>IFERROR(INDEX('Measure Level Detail'!$P:$P,MATCH($B461&amp;"_"&amp;O$3,'Measure Level Detail'!$C:$C,0)),0)</f>
        <v>0</v>
      </c>
      <c r="P461" s="271">
        <f>IFERROR(INDEX('Measure Level Detail'!$P:$P,MATCH($B461&amp;"_"&amp;P$3,'Measure Level Detail'!$C:$C,0)),0)</f>
        <v>0</v>
      </c>
      <c r="Q461" s="271">
        <f>IFERROR(INDEX('Measure Level Detail'!$P:$P,MATCH($B461&amp;"_"&amp;Q$3,'Measure Level Detail'!$C:$C,0)),0)</f>
        <v>0</v>
      </c>
      <c r="R461" s="263" t="str">
        <f ca="1">IFERROR(INDEX(Algorithms!K:K,MATCH($C461&amp;"_Therm Saved per Unit",Algorithms!$A:$A,0)),"n/a")</f>
        <v>RS-HVC-ADTH-V09-240101</v>
      </c>
      <c r="S461" s="262"/>
      <c r="T461" s="272">
        <v>100.386</v>
      </c>
      <c r="U461" s="272">
        <v>100.386</v>
      </c>
      <c r="V461" s="272">
        <v>100.386</v>
      </c>
      <c r="W461" s="272">
        <v>100.386</v>
      </c>
      <c r="X461" s="273">
        <f>IFERROR(INDEX('Measure Level Detail'!$R:$R,MATCH($B461&amp;"_"&amp;X$3,'Measure Level Detail'!$C:$C,0)),0)</f>
        <v>1</v>
      </c>
      <c r="Y461" s="273">
        <f>IFERROR(INDEX('Measure Level Detail'!$R:$R,MATCH($B461&amp;"_"&amp;Y$3,'Measure Level Detail'!$C:$C,0)),0)</f>
        <v>1</v>
      </c>
      <c r="Z461" s="273">
        <f>IFERROR(INDEX('Measure Level Detail'!$R:$R,MATCH($B461&amp;"_"&amp;Z$3,'Measure Level Detail'!$C:$C,0)),0)</f>
        <v>1</v>
      </c>
      <c r="AA461" s="273">
        <f>IFERROR(INDEX('Measure Level Detail'!$R:$R,MATCH($B461&amp;"_"&amp;AA$3,'Measure Level Detail'!$C:$C,0)),0)</f>
        <v>1</v>
      </c>
      <c r="AB461" s="266">
        <f t="shared" si="287"/>
        <v>0</v>
      </c>
      <c r="AC461" s="266">
        <f t="shared" si="288"/>
        <v>0</v>
      </c>
      <c r="AD461" s="266">
        <f t="shared" si="289"/>
        <v>0</v>
      </c>
      <c r="AE461" s="266">
        <f t="shared" si="290"/>
        <v>0</v>
      </c>
      <c r="AF461" s="266">
        <f t="shared" si="291"/>
        <v>0</v>
      </c>
      <c r="AG461" s="274">
        <v>1</v>
      </c>
      <c r="AH461" s="274">
        <v>1</v>
      </c>
      <c r="AI461" s="274">
        <v>1</v>
      </c>
      <c r="AJ461" s="274">
        <v>1</v>
      </c>
      <c r="AK461" s="274">
        <f t="shared" si="292"/>
        <v>1</v>
      </c>
      <c r="AL461" s="274">
        <f t="shared" si="293"/>
        <v>1</v>
      </c>
      <c r="AM461" s="274">
        <f t="shared" si="294"/>
        <v>1</v>
      </c>
      <c r="AN461" s="274">
        <f t="shared" si="295"/>
        <v>1</v>
      </c>
      <c r="AO461" s="262"/>
      <c r="AP461" s="262"/>
      <c r="AQ461" s="267">
        <v>98.455500000000001</v>
      </c>
      <c r="AR461" s="262"/>
      <c r="AS461" s="266">
        <f t="shared" si="296"/>
        <v>0</v>
      </c>
      <c r="AT461" s="264">
        <f t="shared" si="297"/>
        <v>0</v>
      </c>
      <c r="AU461" s="262"/>
      <c r="AV461" s="262"/>
      <c r="AW461" s="265">
        <v>98.455500000000001</v>
      </c>
      <c r="AX461" s="164" t="s">
        <v>1469</v>
      </c>
      <c r="AY461" s="266">
        <v>0</v>
      </c>
      <c r="AZ461" s="266">
        <f t="shared" si="298"/>
        <v>0</v>
      </c>
      <c r="BA461" s="264">
        <f t="shared" si="299"/>
        <v>0</v>
      </c>
      <c r="BB461" s="262"/>
      <c r="BC461" s="262"/>
      <c r="BD461" s="265">
        <f ca="1">IFERROR(INDEX(Algorithms!$G:$G,MATCH($C461&amp;"_Therm Saved per Unit",Algorithms!$A:$A,0)),0)</f>
        <v>98.455500000000001</v>
      </c>
      <c r="BE461" s="164" t="str">
        <f ca="1">IFERROR(INDEX('v12 Revisions'!$P$29:$P$186, MATCH('Measure-Level Adj Gas'!$L461, 'v12 Revisions'!$D$29:$D$186,0)),"")</f>
        <v>n/a - FLH not in fossil fuel energy savings algorithm.</v>
      </c>
      <c r="BF461" s="266">
        <f t="shared" ca="1" si="300"/>
        <v>0</v>
      </c>
      <c r="BG461" s="264">
        <f t="shared" ca="1" si="301"/>
        <v>0</v>
      </c>
      <c r="BH461" s="262"/>
      <c r="BI461" s="262"/>
      <c r="BJ461" s="265">
        <f ca="1">IFERROR(INDEX(Algorithms!$G:$G,MATCH($C461&amp;"_Therm Saved per Unit",Algorithms!$A:$A,0)),0)</f>
        <v>98.455500000000001</v>
      </c>
      <c r="BK461" s="164"/>
      <c r="BL461" s="266">
        <f t="shared" ca="1" si="302"/>
        <v>0</v>
      </c>
      <c r="BM461" s="264">
        <f t="shared" ca="1" si="303"/>
        <v>0</v>
      </c>
      <c r="BN461" s="266">
        <f t="shared" si="304"/>
        <v>0</v>
      </c>
      <c r="BO461" s="266">
        <f t="shared" si="305"/>
        <v>0</v>
      </c>
      <c r="BP461" s="266">
        <f t="shared" ca="1" si="306"/>
        <v>0</v>
      </c>
      <c r="BQ461" s="266">
        <f t="shared" ca="1" si="307"/>
        <v>0</v>
      </c>
      <c r="BR461" s="268">
        <f t="shared" ca="1" si="308"/>
        <v>0</v>
      </c>
      <c r="BS461" s="262" t="s">
        <v>99</v>
      </c>
      <c r="BT461" s="277"/>
      <c r="BW461" s="266">
        <f t="shared" si="309"/>
        <v>0</v>
      </c>
      <c r="BX461" s="266">
        <f t="shared" si="310"/>
        <v>0</v>
      </c>
      <c r="BY461" s="266">
        <f t="shared" si="311"/>
        <v>0</v>
      </c>
      <c r="BZ461" s="266">
        <f t="shared" si="312"/>
        <v>0</v>
      </c>
      <c r="CA461" s="266">
        <f ca="1">N461*IFERROR(INDEX(Algorithms!$G:$G,MATCH($C461&amp;"_Therm Saved per Unit- MLA",Algorithms!$A:$A,0)),0)*X461</f>
        <v>0</v>
      </c>
      <c r="CB461" s="266">
        <f ca="1">O461*IFERROR(INDEX(Algorithms!$G:$G,MATCH($C461&amp;"_Therm Saved per Unit- MLA",Algorithms!$A:$A,0)),0)*Y461</f>
        <v>0</v>
      </c>
      <c r="CC461" s="266">
        <f ca="1">P461*IFERROR(INDEX(Algorithms!$G:$G,MATCH($C461&amp;"_Therm Saved per Unit- MLA",Algorithms!$A:$A,0)),0)*Z461</f>
        <v>0</v>
      </c>
      <c r="CD461" s="266">
        <f ca="1">Q461*IFERROR(INDEX(Algorithms!$G:$G,MATCH($C461&amp;"_Therm Saved per Unit- MLA",Algorithms!$A:$A,0)),0)*AA461</f>
        <v>0</v>
      </c>
      <c r="CE461" s="266">
        <f ca="1">IFERROR(INDEX(Algorithms!$G:$G,MATCH($C461&amp;"_Lifetime (years)",Algorithms!$A:$A,0)),0)</f>
        <v>11</v>
      </c>
      <c r="CF461" s="266">
        <f ca="1">IFERROR(INDEX(Algorithms!$G:$G,MATCH($C461&amp;"_Lifetime (years) - Remaining Years",Algorithms!$A:$A,0)),0)</f>
        <v>0</v>
      </c>
      <c r="CG461" s="266">
        <f t="shared" ca="1" si="313"/>
        <v>0</v>
      </c>
      <c r="CH461" s="266">
        <f t="shared" ca="1" si="314"/>
        <v>0</v>
      </c>
      <c r="CI461" s="266">
        <f t="shared" ca="1" si="315"/>
        <v>0</v>
      </c>
      <c r="CJ461" s="266">
        <f t="shared" ca="1" si="316"/>
        <v>0</v>
      </c>
      <c r="CK461" s="266">
        <f t="shared" si="317"/>
        <v>0</v>
      </c>
      <c r="CL461" s="266">
        <f t="shared" si="318"/>
        <v>0</v>
      </c>
      <c r="CM461" s="266">
        <f t="shared" ca="1" si="319"/>
        <v>0</v>
      </c>
      <c r="CN461" s="266">
        <f t="shared" ca="1" si="320"/>
        <v>0</v>
      </c>
      <c r="CO461" s="266">
        <f ca="1">N461*IFERROR(INDEX(Algorithms!$G:$G,MATCH($C461&amp;"_Therm Saved per Unit- MLA",Algorithms!$A:$A,0)),0)*X461</f>
        <v>0</v>
      </c>
      <c r="CP461" s="266">
        <f ca="1">O461*IFERROR(INDEX(Algorithms!$G:$G,MATCH($C461&amp;"_Therm Saved per Unit- MLA",Algorithms!$A:$A,0)),0)*Y461</f>
        <v>0</v>
      </c>
      <c r="CQ461" s="266">
        <f ca="1">P461*IFERROR(INDEX(Algorithms!$G:$G,MATCH($C461&amp;"_Therm Saved per Unit- MLA",Algorithms!$A:$A,0)),0)*Z461</f>
        <v>0</v>
      </c>
      <c r="CR461" s="266">
        <f ca="1">Q461*IFERROR(INDEX(Algorithms!$G:$G,MATCH($C461&amp;"_Therm Saved per Unit- MLA",Algorithms!$A:$A,0)),0)*AA461</f>
        <v>0</v>
      </c>
      <c r="CS461" s="266">
        <f ca="1">IFERROR(INDEX(Algorithms!$G:$G,MATCH($C461&amp;"_Lifetime (years)",Algorithms!$A:$A,0)),0)</f>
        <v>11</v>
      </c>
      <c r="CT461" s="266">
        <f ca="1">IFERROR(INDEX(Algorithms!$G:$G,MATCH($C461&amp;"_Lifetime (years) - Remaining Years",Algorithms!$A:$A,0)),0)</f>
        <v>0</v>
      </c>
      <c r="CU461" s="266">
        <f t="shared" ca="1" si="321"/>
        <v>0</v>
      </c>
      <c r="CV461" s="266">
        <f t="shared" ca="1" si="322"/>
        <v>0</v>
      </c>
      <c r="CW461" s="266">
        <f t="shared" ca="1" si="323"/>
        <v>0</v>
      </c>
      <c r="CX461" s="266">
        <f t="shared" ca="1" si="324"/>
        <v>0</v>
      </c>
    </row>
    <row r="462" spans="2:102" s="47" customFormat="1" ht="18" customHeight="1" x14ac:dyDescent="0.25">
      <c r="B462" t="str">
        <f t="shared" si="325"/>
        <v>NSG_Income Eligible_Multi-Family_Whole Building - Public Housing_Advanced Thermostat_Furnace (Replace Programmable)_MF</v>
      </c>
      <c r="C462" s="47" t="str">
        <f t="shared" si="286"/>
        <v>Advanced Thermostat_Furnace (Replace Programmable)_MF</v>
      </c>
      <c r="D462" s="270" t="s">
        <v>1787</v>
      </c>
      <c r="E462" s="270" t="s">
        <v>325</v>
      </c>
      <c r="F462" s="270" t="s">
        <v>1422</v>
      </c>
      <c r="G462" s="270" t="s">
        <v>1817</v>
      </c>
      <c r="H462" s="270" t="s">
        <v>7</v>
      </c>
      <c r="I462" s="270" t="s">
        <v>1049</v>
      </c>
      <c r="J462" s="270" t="s">
        <v>553</v>
      </c>
      <c r="K462" s="263">
        <v>1</v>
      </c>
      <c r="L462" s="263" t="str">
        <f ca="1">IFERROR(INDEX(Algorithms!J:J,MATCH($C462&amp;"_Therm Saved per Unit",Algorithms!$A:$A,0)),"n/a")</f>
        <v>5.3.16</v>
      </c>
      <c r="M462" s="263" t="str">
        <f>IFERROR(INDEX('Measure Level Detail'!$N:$N,MATCH($B462,'Measure Level Detail'!$B:$B,0)),0)</f>
        <v>each</v>
      </c>
      <c r="N462" s="271">
        <f>IFERROR(INDEX('Measure Level Detail'!$P:$P,MATCH($B462&amp;"_"&amp;N$3,'Measure Level Detail'!$C:$C,0)),0)</f>
        <v>0</v>
      </c>
      <c r="O462" s="271">
        <f>IFERROR(INDEX('Measure Level Detail'!$P:$P,MATCH($B462&amp;"_"&amp;O$3,'Measure Level Detail'!$C:$C,0)),0)</f>
        <v>0</v>
      </c>
      <c r="P462" s="271">
        <f>IFERROR(INDEX('Measure Level Detail'!$P:$P,MATCH($B462&amp;"_"&amp;P$3,'Measure Level Detail'!$C:$C,0)),0)</f>
        <v>0</v>
      </c>
      <c r="Q462" s="271">
        <f>IFERROR(INDEX('Measure Level Detail'!$P:$P,MATCH($B462&amp;"_"&amp;Q$3,'Measure Level Detail'!$C:$C,0)),0)</f>
        <v>0</v>
      </c>
      <c r="R462" s="263" t="str">
        <f ca="1">IFERROR(INDEX(Algorithms!K:K,MATCH($C462&amp;"_Therm Saved per Unit",Algorithms!$A:$A,0)),"n/a")</f>
        <v>RS-HVC-ADTH-V09-240101</v>
      </c>
      <c r="S462" s="262"/>
      <c r="T462" s="272">
        <v>47.687249999999999</v>
      </c>
      <c r="U462" s="272">
        <v>47.687249999999999</v>
      </c>
      <c r="V462" s="272">
        <v>47.687249999999999</v>
      </c>
      <c r="W462" s="272">
        <v>47.687249999999999</v>
      </c>
      <c r="X462" s="273">
        <f>IFERROR(INDEX('Measure Level Detail'!$R:$R,MATCH($B462&amp;"_"&amp;X$3,'Measure Level Detail'!$C:$C,0)),0)</f>
        <v>1</v>
      </c>
      <c r="Y462" s="273">
        <f>IFERROR(INDEX('Measure Level Detail'!$R:$R,MATCH($B462&amp;"_"&amp;Y$3,'Measure Level Detail'!$C:$C,0)),0)</f>
        <v>1</v>
      </c>
      <c r="Z462" s="273">
        <f>IFERROR(INDEX('Measure Level Detail'!$R:$R,MATCH($B462&amp;"_"&amp;Z$3,'Measure Level Detail'!$C:$C,0)),0)</f>
        <v>1</v>
      </c>
      <c r="AA462" s="273">
        <f>IFERROR(INDEX('Measure Level Detail'!$R:$R,MATCH($B462&amp;"_"&amp;AA$3,'Measure Level Detail'!$C:$C,0)),0)</f>
        <v>1</v>
      </c>
      <c r="AB462" s="266">
        <f t="shared" si="287"/>
        <v>0</v>
      </c>
      <c r="AC462" s="266">
        <f t="shared" si="288"/>
        <v>0</v>
      </c>
      <c r="AD462" s="266">
        <f t="shared" si="289"/>
        <v>0</v>
      </c>
      <c r="AE462" s="266">
        <f t="shared" si="290"/>
        <v>0</v>
      </c>
      <c r="AF462" s="266">
        <f t="shared" si="291"/>
        <v>0</v>
      </c>
      <c r="AG462" s="274">
        <v>1</v>
      </c>
      <c r="AH462" s="274">
        <v>1</v>
      </c>
      <c r="AI462" s="274">
        <v>1</v>
      </c>
      <c r="AJ462" s="274">
        <v>1</v>
      </c>
      <c r="AK462" s="274">
        <f t="shared" si="292"/>
        <v>1</v>
      </c>
      <c r="AL462" s="274">
        <f t="shared" si="293"/>
        <v>1</v>
      </c>
      <c r="AM462" s="274">
        <f t="shared" si="294"/>
        <v>1</v>
      </c>
      <c r="AN462" s="274">
        <f t="shared" si="295"/>
        <v>1</v>
      </c>
      <c r="AO462" s="262"/>
      <c r="AP462" s="262"/>
      <c r="AQ462" s="267">
        <v>46.380749999999992</v>
      </c>
      <c r="AR462" s="262"/>
      <c r="AS462" s="266">
        <f t="shared" si="296"/>
        <v>0</v>
      </c>
      <c r="AT462" s="264">
        <f t="shared" si="297"/>
        <v>0</v>
      </c>
      <c r="AU462" s="262"/>
      <c r="AV462" s="262"/>
      <c r="AW462" s="265">
        <v>46.380749999999992</v>
      </c>
      <c r="AX462" s="164" t="s">
        <v>1469</v>
      </c>
      <c r="AY462" s="266">
        <v>0</v>
      </c>
      <c r="AZ462" s="266">
        <f t="shared" si="298"/>
        <v>0</v>
      </c>
      <c r="BA462" s="264">
        <f t="shared" si="299"/>
        <v>0</v>
      </c>
      <c r="BB462" s="262"/>
      <c r="BC462" s="262"/>
      <c r="BD462" s="265">
        <f ca="1">IFERROR(INDEX(Algorithms!$G:$G,MATCH($C462&amp;"_Therm Saved per Unit",Algorithms!$A:$A,0)),0)</f>
        <v>46.380749999999992</v>
      </c>
      <c r="BE462" s="164" t="str">
        <f ca="1">IFERROR(INDEX('v12 Revisions'!$P$29:$P$186, MATCH('Measure-Level Adj Gas'!$L462, 'v12 Revisions'!$D$29:$D$186,0)),"")</f>
        <v>n/a - FLH not in fossil fuel energy savings algorithm.</v>
      </c>
      <c r="BF462" s="266">
        <f t="shared" ca="1" si="300"/>
        <v>0</v>
      </c>
      <c r="BG462" s="264">
        <f t="shared" ca="1" si="301"/>
        <v>0</v>
      </c>
      <c r="BH462" s="262"/>
      <c r="BI462" s="262"/>
      <c r="BJ462" s="265">
        <f ca="1">IFERROR(INDEX(Algorithms!$G:$G,MATCH($C462&amp;"_Therm Saved per Unit",Algorithms!$A:$A,0)),0)</f>
        <v>46.380749999999992</v>
      </c>
      <c r="BK462" s="164"/>
      <c r="BL462" s="266">
        <f t="shared" ca="1" si="302"/>
        <v>0</v>
      </c>
      <c r="BM462" s="264">
        <f t="shared" ca="1" si="303"/>
        <v>0</v>
      </c>
      <c r="BN462" s="266">
        <f t="shared" si="304"/>
        <v>0</v>
      </c>
      <c r="BO462" s="266">
        <f t="shared" si="305"/>
        <v>0</v>
      </c>
      <c r="BP462" s="266">
        <f t="shared" ca="1" si="306"/>
        <v>0</v>
      </c>
      <c r="BQ462" s="266">
        <f t="shared" ca="1" si="307"/>
        <v>0</v>
      </c>
      <c r="BR462" s="268">
        <f t="shared" ca="1" si="308"/>
        <v>0</v>
      </c>
      <c r="BS462" s="262" t="s">
        <v>99</v>
      </c>
      <c r="BT462" s="277"/>
      <c r="BW462" s="266">
        <f t="shared" si="309"/>
        <v>0</v>
      </c>
      <c r="BX462" s="266">
        <f t="shared" si="310"/>
        <v>0</v>
      </c>
      <c r="BY462" s="266">
        <f t="shared" si="311"/>
        <v>0</v>
      </c>
      <c r="BZ462" s="266">
        <f t="shared" si="312"/>
        <v>0</v>
      </c>
      <c r="CA462" s="266">
        <f ca="1">N462*IFERROR(INDEX(Algorithms!$G:$G,MATCH($C462&amp;"_Therm Saved per Unit- MLA",Algorithms!$A:$A,0)),0)*X462</f>
        <v>0</v>
      </c>
      <c r="CB462" s="266">
        <f ca="1">O462*IFERROR(INDEX(Algorithms!$G:$G,MATCH($C462&amp;"_Therm Saved per Unit- MLA",Algorithms!$A:$A,0)),0)*Y462</f>
        <v>0</v>
      </c>
      <c r="CC462" s="266">
        <f ca="1">P462*IFERROR(INDEX(Algorithms!$G:$G,MATCH($C462&amp;"_Therm Saved per Unit- MLA",Algorithms!$A:$A,0)),0)*Z462</f>
        <v>0</v>
      </c>
      <c r="CD462" s="266">
        <f ca="1">Q462*IFERROR(INDEX(Algorithms!$G:$G,MATCH($C462&amp;"_Therm Saved per Unit- MLA",Algorithms!$A:$A,0)),0)*AA462</f>
        <v>0</v>
      </c>
      <c r="CE462" s="266">
        <f ca="1">IFERROR(INDEX(Algorithms!$G:$G,MATCH($C462&amp;"_Lifetime (years)",Algorithms!$A:$A,0)),0)</f>
        <v>11</v>
      </c>
      <c r="CF462" s="266">
        <f ca="1">IFERROR(INDEX(Algorithms!$G:$G,MATCH($C462&amp;"_Lifetime (years) - Remaining Years",Algorithms!$A:$A,0)),0)</f>
        <v>0</v>
      </c>
      <c r="CG462" s="266">
        <f t="shared" ca="1" si="313"/>
        <v>0</v>
      </c>
      <c r="CH462" s="266">
        <f t="shared" ca="1" si="314"/>
        <v>0</v>
      </c>
      <c r="CI462" s="266">
        <f t="shared" ca="1" si="315"/>
        <v>0</v>
      </c>
      <c r="CJ462" s="266">
        <f t="shared" ca="1" si="316"/>
        <v>0</v>
      </c>
      <c r="CK462" s="266">
        <f t="shared" si="317"/>
        <v>0</v>
      </c>
      <c r="CL462" s="266">
        <f t="shared" si="318"/>
        <v>0</v>
      </c>
      <c r="CM462" s="266">
        <f t="shared" ca="1" si="319"/>
        <v>0</v>
      </c>
      <c r="CN462" s="266">
        <f t="shared" ca="1" si="320"/>
        <v>0</v>
      </c>
      <c r="CO462" s="266">
        <f ca="1">N462*IFERROR(INDEX(Algorithms!$G:$G,MATCH($C462&amp;"_Therm Saved per Unit- MLA",Algorithms!$A:$A,0)),0)*X462</f>
        <v>0</v>
      </c>
      <c r="CP462" s="266">
        <f ca="1">O462*IFERROR(INDEX(Algorithms!$G:$G,MATCH($C462&amp;"_Therm Saved per Unit- MLA",Algorithms!$A:$A,0)),0)*Y462</f>
        <v>0</v>
      </c>
      <c r="CQ462" s="266">
        <f ca="1">P462*IFERROR(INDEX(Algorithms!$G:$G,MATCH($C462&amp;"_Therm Saved per Unit- MLA",Algorithms!$A:$A,0)),0)*Z462</f>
        <v>0</v>
      </c>
      <c r="CR462" s="266">
        <f ca="1">Q462*IFERROR(INDEX(Algorithms!$G:$G,MATCH($C462&amp;"_Therm Saved per Unit- MLA",Algorithms!$A:$A,0)),0)*AA462</f>
        <v>0</v>
      </c>
      <c r="CS462" s="266">
        <f ca="1">IFERROR(INDEX(Algorithms!$G:$G,MATCH($C462&amp;"_Lifetime (years)",Algorithms!$A:$A,0)),0)</f>
        <v>11</v>
      </c>
      <c r="CT462" s="266">
        <f ca="1">IFERROR(INDEX(Algorithms!$G:$G,MATCH($C462&amp;"_Lifetime (years) - Remaining Years",Algorithms!$A:$A,0)),0)</f>
        <v>0</v>
      </c>
      <c r="CU462" s="266">
        <f t="shared" ca="1" si="321"/>
        <v>0</v>
      </c>
      <c r="CV462" s="266">
        <f t="shared" ca="1" si="322"/>
        <v>0</v>
      </c>
      <c r="CW462" s="266">
        <f t="shared" ca="1" si="323"/>
        <v>0</v>
      </c>
      <c r="CX462" s="266">
        <f t="shared" ca="1" si="324"/>
        <v>0</v>
      </c>
    </row>
    <row r="463" spans="2:102" s="47" customFormat="1" ht="18" customHeight="1" x14ac:dyDescent="0.25">
      <c r="B463" t="str">
        <f t="shared" si="325"/>
        <v>NSG_Income Eligible_Multi-Family_Whole Building - Public Housing_Advanced Thermostat_Boiler (Replace Programmable)_MF</v>
      </c>
      <c r="C463" s="47" t="str">
        <f t="shared" si="286"/>
        <v>Advanced Thermostat_Boiler (Replace Programmable)_MF</v>
      </c>
      <c r="D463" s="270" t="s">
        <v>1787</v>
      </c>
      <c r="E463" s="270" t="s">
        <v>325</v>
      </c>
      <c r="F463" s="270" t="s">
        <v>1422</v>
      </c>
      <c r="G463" s="270" t="s">
        <v>1817</v>
      </c>
      <c r="H463" s="270" t="s">
        <v>7</v>
      </c>
      <c r="I463" s="270" t="s">
        <v>1052</v>
      </c>
      <c r="J463" s="270" t="s">
        <v>553</v>
      </c>
      <c r="K463" s="263">
        <v>1</v>
      </c>
      <c r="L463" s="263" t="str">
        <f ca="1">IFERROR(INDEX(Algorithms!J:J,MATCH($C463&amp;"_Therm Saved per Unit",Algorithms!$A:$A,0)),"n/a")</f>
        <v>5.3.16</v>
      </c>
      <c r="M463" s="263" t="str">
        <f>IFERROR(INDEX('Measure Level Detail'!$N:$N,MATCH($B463,'Measure Level Detail'!$B:$B,0)),0)</f>
        <v>each</v>
      </c>
      <c r="N463" s="271">
        <f>IFERROR(INDEX('Measure Level Detail'!$P:$P,MATCH($B463&amp;"_"&amp;N$3,'Measure Level Detail'!$C:$C,0)),0)</f>
        <v>0</v>
      </c>
      <c r="O463" s="271">
        <f>IFERROR(INDEX('Measure Level Detail'!$P:$P,MATCH($B463&amp;"_"&amp;O$3,'Measure Level Detail'!$C:$C,0)),0)</f>
        <v>0</v>
      </c>
      <c r="P463" s="271">
        <f>IFERROR(INDEX('Measure Level Detail'!$P:$P,MATCH($B463&amp;"_"&amp;P$3,'Measure Level Detail'!$C:$C,0)),0)</f>
        <v>0</v>
      </c>
      <c r="Q463" s="271">
        <f>IFERROR(INDEX('Measure Level Detail'!$P:$P,MATCH($B463&amp;"_"&amp;Q$3,'Measure Level Detail'!$C:$C,0)),0)</f>
        <v>0</v>
      </c>
      <c r="R463" s="263" t="str">
        <f ca="1">IFERROR(INDEX(Algorithms!K:K,MATCH($C463&amp;"_Therm Saved per Unit",Algorithms!$A:$A,0)),"n/a")</f>
        <v>RS-HVC-ADTH-V09-240101</v>
      </c>
      <c r="S463" s="262"/>
      <c r="T463" s="272">
        <v>70.463249999999988</v>
      </c>
      <c r="U463" s="272">
        <v>70.463249999999988</v>
      </c>
      <c r="V463" s="272">
        <v>70.463249999999988</v>
      </c>
      <c r="W463" s="272">
        <v>70.463249999999988</v>
      </c>
      <c r="X463" s="273">
        <f>IFERROR(INDEX('Measure Level Detail'!$R:$R,MATCH($B463&amp;"_"&amp;X$3,'Measure Level Detail'!$C:$C,0)),0)</f>
        <v>1</v>
      </c>
      <c r="Y463" s="273">
        <f>IFERROR(INDEX('Measure Level Detail'!$R:$R,MATCH($B463&amp;"_"&amp;Y$3,'Measure Level Detail'!$C:$C,0)),0)</f>
        <v>1</v>
      </c>
      <c r="Z463" s="273">
        <f>IFERROR(INDEX('Measure Level Detail'!$R:$R,MATCH($B463&amp;"_"&amp;Z$3,'Measure Level Detail'!$C:$C,0)),0)</f>
        <v>1</v>
      </c>
      <c r="AA463" s="273">
        <f>IFERROR(INDEX('Measure Level Detail'!$R:$R,MATCH($B463&amp;"_"&amp;AA$3,'Measure Level Detail'!$C:$C,0)),0)</f>
        <v>1</v>
      </c>
      <c r="AB463" s="266">
        <f t="shared" si="287"/>
        <v>0</v>
      </c>
      <c r="AC463" s="266">
        <f t="shared" si="288"/>
        <v>0</v>
      </c>
      <c r="AD463" s="266">
        <f t="shared" si="289"/>
        <v>0</v>
      </c>
      <c r="AE463" s="266">
        <f t="shared" si="290"/>
        <v>0</v>
      </c>
      <c r="AF463" s="266">
        <f t="shared" si="291"/>
        <v>0</v>
      </c>
      <c r="AG463" s="274">
        <v>1</v>
      </c>
      <c r="AH463" s="274">
        <v>1</v>
      </c>
      <c r="AI463" s="274">
        <v>1</v>
      </c>
      <c r="AJ463" s="274">
        <v>1</v>
      </c>
      <c r="AK463" s="274">
        <f t="shared" si="292"/>
        <v>1</v>
      </c>
      <c r="AL463" s="274">
        <f t="shared" si="293"/>
        <v>1</v>
      </c>
      <c r="AM463" s="274">
        <f t="shared" si="294"/>
        <v>1</v>
      </c>
      <c r="AN463" s="274">
        <f t="shared" si="295"/>
        <v>1</v>
      </c>
      <c r="AO463" s="262"/>
      <c r="AP463" s="262"/>
      <c r="AQ463" s="267">
        <v>68.532749999999993</v>
      </c>
      <c r="AR463" s="262"/>
      <c r="AS463" s="266">
        <f t="shared" si="296"/>
        <v>0</v>
      </c>
      <c r="AT463" s="264">
        <f t="shared" si="297"/>
        <v>0</v>
      </c>
      <c r="AU463" s="262"/>
      <c r="AV463" s="262"/>
      <c r="AW463" s="265">
        <v>68.532749999999993</v>
      </c>
      <c r="AX463" s="164" t="s">
        <v>1469</v>
      </c>
      <c r="AY463" s="266">
        <v>0</v>
      </c>
      <c r="AZ463" s="266">
        <f t="shared" si="298"/>
        <v>0</v>
      </c>
      <c r="BA463" s="264">
        <f t="shared" si="299"/>
        <v>0</v>
      </c>
      <c r="BB463" s="262"/>
      <c r="BC463" s="262"/>
      <c r="BD463" s="265">
        <f ca="1">IFERROR(INDEX(Algorithms!$G:$G,MATCH($C463&amp;"_Therm Saved per Unit",Algorithms!$A:$A,0)),0)</f>
        <v>68.532749999999993</v>
      </c>
      <c r="BE463" s="164" t="str">
        <f ca="1">IFERROR(INDEX('v12 Revisions'!$P$29:$P$186, MATCH('Measure-Level Adj Gas'!$L463, 'v12 Revisions'!$D$29:$D$186,0)),"")</f>
        <v>n/a - FLH not in fossil fuel energy savings algorithm.</v>
      </c>
      <c r="BF463" s="266">
        <f t="shared" ca="1" si="300"/>
        <v>0</v>
      </c>
      <c r="BG463" s="264">
        <f t="shared" ca="1" si="301"/>
        <v>0</v>
      </c>
      <c r="BH463" s="262"/>
      <c r="BI463" s="262"/>
      <c r="BJ463" s="265">
        <f ca="1">IFERROR(INDEX(Algorithms!$G:$G,MATCH($C463&amp;"_Therm Saved per Unit",Algorithms!$A:$A,0)),0)</f>
        <v>68.532749999999993</v>
      </c>
      <c r="BK463" s="164"/>
      <c r="BL463" s="266">
        <f t="shared" ca="1" si="302"/>
        <v>0</v>
      </c>
      <c r="BM463" s="264">
        <f t="shared" ca="1" si="303"/>
        <v>0</v>
      </c>
      <c r="BN463" s="266">
        <f t="shared" si="304"/>
        <v>0</v>
      </c>
      <c r="BO463" s="266">
        <f t="shared" si="305"/>
        <v>0</v>
      </c>
      <c r="BP463" s="266">
        <f t="shared" ca="1" si="306"/>
        <v>0</v>
      </c>
      <c r="BQ463" s="266">
        <f t="shared" ca="1" si="307"/>
        <v>0</v>
      </c>
      <c r="BR463" s="268">
        <f t="shared" ca="1" si="308"/>
        <v>0</v>
      </c>
      <c r="BS463" s="262" t="s">
        <v>99</v>
      </c>
      <c r="BT463" s="277"/>
      <c r="BW463" s="266">
        <f t="shared" si="309"/>
        <v>0</v>
      </c>
      <c r="BX463" s="266">
        <f t="shared" si="310"/>
        <v>0</v>
      </c>
      <c r="BY463" s="266">
        <f t="shared" si="311"/>
        <v>0</v>
      </c>
      <c r="BZ463" s="266">
        <f t="shared" si="312"/>
        <v>0</v>
      </c>
      <c r="CA463" s="266">
        <f ca="1">N463*IFERROR(INDEX(Algorithms!$G:$G,MATCH($C463&amp;"_Therm Saved per Unit- MLA",Algorithms!$A:$A,0)),0)*X463</f>
        <v>0</v>
      </c>
      <c r="CB463" s="266">
        <f ca="1">O463*IFERROR(INDEX(Algorithms!$G:$G,MATCH($C463&amp;"_Therm Saved per Unit- MLA",Algorithms!$A:$A,0)),0)*Y463</f>
        <v>0</v>
      </c>
      <c r="CC463" s="266">
        <f ca="1">P463*IFERROR(INDEX(Algorithms!$G:$G,MATCH($C463&amp;"_Therm Saved per Unit- MLA",Algorithms!$A:$A,0)),0)*Z463</f>
        <v>0</v>
      </c>
      <c r="CD463" s="266">
        <f ca="1">Q463*IFERROR(INDEX(Algorithms!$G:$G,MATCH($C463&amp;"_Therm Saved per Unit- MLA",Algorithms!$A:$A,0)),0)*AA463</f>
        <v>0</v>
      </c>
      <c r="CE463" s="266">
        <f ca="1">IFERROR(INDEX(Algorithms!$G:$G,MATCH($C463&amp;"_Lifetime (years)",Algorithms!$A:$A,0)),0)</f>
        <v>11</v>
      </c>
      <c r="CF463" s="266">
        <f ca="1">IFERROR(INDEX(Algorithms!$G:$G,MATCH($C463&amp;"_Lifetime (years) - Remaining Years",Algorithms!$A:$A,0)),0)</f>
        <v>0</v>
      </c>
      <c r="CG463" s="266">
        <f t="shared" ca="1" si="313"/>
        <v>0</v>
      </c>
      <c r="CH463" s="266">
        <f t="shared" ca="1" si="314"/>
        <v>0</v>
      </c>
      <c r="CI463" s="266">
        <f t="shared" ca="1" si="315"/>
        <v>0</v>
      </c>
      <c r="CJ463" s="266">
        <f t="shared" ca="1" si="316"/>
        <v>0</v>
      </c>
      <c r="CK463" s="266">
        <f t="shared" si="317"/>
        <v>0</v>
      </c>
      <c r="CL463" s="266">
        <f t="shared" si="318"/>
        <v>0</v>
      </c>
      <c r="CM463" s="266">
        <f t="shared" ca="1" si="319"/>
        <v>0</v>
      </c>
      <c r="CN463" s="266">
        <f t="shared" ca="1" si="320"/>
        <v>0</v>
      </c>
      <c r="CO463" s="266">
        <f ca="1">N463*IFERROR(INDEX(Algorithms!$G:$G,MATCH($C463&amp;"_Therm Saved per Unit- MLA",Algorithms!$A:$A,0)),0)*X463</f>
        <v>0</v>
      </c>
      <c r="CP463" s="266">
        <f ca="1">O463*IFERROR(INDEX(Algorithms!$G:$G,MATCH($C463&amp;"_Therm Saved per Unit- MLA",Algorithms!$A:$A,0)),0)*Y463</f>
        <v>0</v>
      </c>
      <c r="CQ463" s="266">
        <f ca="1">P463*IFERROR(INDEX(Algorithms!$G:$G,MATCH($C463&amp;"_Therm Saved per Unit- MLA",Algorithms!$A:$A,0)),0)*Z463</f>
        <v>0</v>
      </c>
      <c r="CR463" s="266">
        <f ca="1">Q463*IFERROR(INDEX(Algorithms!$G:$G,MATCH($C463&amp;"_Therm Saved per Unit- MLA",Algorithms!$A:$A,0)),0)*AA463</f>
        <v>0</v>
      </c>
      <c r="CS463" s="266">
        <f ca="1">IFERROR(INDEX(Algorithms!$G:$G,MATCH($C463&amp;"_Lifetime (years)",Algorithms!$A:$A,0)),0)</f>
        <v>11</v>
      </c>
      <c r="CT463" s="266">
        <f ca="1">IFERROR(INDEX(Algorithms!$G:$G,MATCH($C463&amp;"_Lifetime (years) - Remaining Years",Algorithms!$A:$A,0)),0)</f>
        <v>0</v>
      </c>
      <c r="CU463" s="266">
        <f t="shared" ca="1" si="321"/>
        <v>0</v>
      </c>
      <c r="CV463" s="266">
        <f t="shared" ca="1" si="322"/>
        <v>0</v>
      </c>
      <c r="CW463" s="266">
        <f t="shared" ca="1" si="323"/>
        <v>0</v>
      </c>
      <c r="CX463" s="266">
        <f t="shared" ca="1" si="324"/>
        <v>0</v>
      </c>
    </row>
    <row r="464" spans="2:102" s="47" customFormat="1" ht="18" customHeight="1" x14ac:dyDescent="0.25">
      <c r="B464" t="str">
        <f t="shared" si="325"/>
        <v>NSG_Income Eligible_Multi-Family_Whole Building - Public Housing_Thermostat - Reprogram_Boiler (DI)_MF</v>
      </c>
      <c r="C464" s="47" t="str">
        <f t="shared" si="286"/>
        <v>Thermostat - Reprogram_Boiler (DI)_MF</v>
      </c>
      <c r="D464" s="270" t="s">
        <v>1787</v>
      </c>
      <c r="E464" s="270" t="s">
        <v>325</v>
      </c>
      <c r="F464" s="270" t="s">
        <v>1422</v>
      </c>
      <c r="G464" s="270" t="s">
        <v>1817</v>
      </c>
      <c r="H464" s="270" t="s">
        <v>1055</v>
      </c>
      <c r="I464" s="270" t="s">
        <v>1045</v>
      </c>
      <c r="J464" s="270" t="s">
        <v>553</v>
      </c>
      <c r="K464" s="263">
        <v>1</v>
      </c>
      <c r="L464" s="263" t="str">
        <f ca="1">IFERROR(INDEX(Algorithms!J:J,MATCH($C464&amp;"_Therm Saved per Unit",Algorithms!$A:$A,0)),"n/a")</f>
        <v>5.3.11</v>
      </c>
      <c r="M464" s="263" t="str">
        <f>IFERROR(INDEX('Measure Level Detail'!$N:$N,MATCH($B464,'Measure Level Detail'!$B:$B,0)),0)</f>
        <v>each</v>
      </c>
      <c r="N464" s="271">
        <f>IFERROR(INDEX('Measure Level Detail'!$P:$P,MATCH($B464&amp;"_"&amp;N$3,'Measure Level Detail'!$C:$C,0)),0)</f>
        <v>0</v>
      </c>
      <c r="O464" s="271">
        <f>IFERROR(INDEX('Measure Level Detail'!$P:$P,MATCH($B464&amp;"_"&amp;O$3,'Measure Level Detail'!$C:$C,0)),0)</f>
        <v>0</v>
      </c>
      <c r="P464" s="271">
        <f>IFERROR(INDEX('Measure Level Detail'!$P:$P,MATCH($B464&amp;"_"&amp;P$3,'Measure Level Detail'!$C:$C,0)),0)</f>
        <v>0</v>
      </c>
      <c r="Q464" s="271">
        <f>IFERROR(INDEX('Measure Level Detail'!$P:$P,MATCH($B464&amp;"_"&amp;Q$3,'Measure Level Detail'!$C:$C,0)),0)</f>
        <v>0</v>
      </c>
      <c r="R464" s="263" t="str">
        <f ca="1">IFERROR(INDEX(Algorithms!K:K,MATCH($C464&amp;"_Therm Saved per Unit",Algorithms!$A:$A,0)),"n/a")</f>
        <v>RS-HVC-PROG-V08-220101</v>
      </c>
      <c r="S464" s="262"/>
      <c r="T464" s="272">
        <v>59.926100000000005</v>
      </c>
      <c r="U464" s="272">
        <v>59.926100000000005</v>
      </c>
      <c r="V464" s="272">
        <v>59.926100000000005</v>
      </c>
      <c r="W464" s="272">
        <v>59.926100000000005</v>
      </c>
      <c r="X464" s="273">
        <f>IFERROR(INDEX('Measure Level Detail'!$R:$R,MATCH($B464&amp;"_"&amp;X$3,'Measure Level Detail'!$C:$C,0)),0)</f>
        <v>1</v>
      </c>
      <c r="Y464" s="273">
        <f>IFERROR(INDEX('Measure Level Detail'!$R:$R,MATCH($B464&amp;"_"&amp;Y$3,'Measure Level Detail'!$C:$C,0)),0)</f>
        <v>1</v>
      </c>
      <c r="Z464" s="273">
        <f>IFERROR(INDEX('Measure Level Detail'!$R:$R,MATCH($B464&amp;"_"&amp;Z$3,'Measure Level Detail'!$C:$C,0)),0)</f>
        <v>1</v>
      </c>
      <c r="AA464" s="273">
        <f>IFERROR(INDEX('Measure Level Detail'!$R:$R,MATCH($B464&amp;"_"&amp;AA$3,'Measure Level Detail'!$C:$C,0)),0)</f>
        <v>1</v>
      </c>
      <c r="AB464" s="266">
        <f t="shared" si="287"/>
        <v>0</v>
      </c>
      <c r="AC464" s="266">
        <f t="shared" si="288"/>
        <v>0</v>
      </c>
      <c r="AD464" s="266">
        <f t="shared" si="289"/>
        <v>0</v>
      </c>
      <c r="AE464" s="266">
        <f t="shared" si="290"/>
        <v>0</v>
      </c>
      <c r="AF464" s="266">
        <f t="shared" si="291"/>
        <v>0</v>
      </c>
      <c r="AG464" s="274">
        <v>1</v>
      </c>
      <c r="AH464" s="274">
        <v>1</v>
      </c>
      <c r="AI464" s="274">
        <v>1</v>
      </c>
      <c r="AJ464" s="274">
        <v>1</v>
      </c>
      <c r="AK464" s="274">
        <f t="shared" si="292"/>
        <v>1</v>
      </c>
      <c r="AL464" s="274">
        <f t="shared" si="293"/>
        <v>1</v>
      </c>
      <c r="AM464" s="274">
        <f t="shared" si="294"/>
        <v>1</v>
      </c>
      <c r="AN464" s="274">
        <f t="shared" si="295"/>
        <v>1</v>
      </c>
      <c r="AO464" s="262"/>
      <c r="AP464" s="262"/>
      <c r="AQ464" s="267">
        <v>59.926100000000005</v>
      </c>
      <c r="AR464" s="262"/>
      <c r="AS464" s="266">
        <f t="shared" si="296"/>
        <v>0</v>
      </c>
      <c r="AT464" s="264">
        <f t="shared" si="297"/>
        <v>0</v>
      </c>
      <c r="AU464" s="262"/>
      <c r="AV464" s="262"/>
      <c r="AW464" s="265">
        <v>59.926100000000005</v>
      </c>
      <c r="AX464" s="164" t="s">
        <v>1469</v>
      </c>
      <c r="AY464" s="266">
        <v>0</v>
      </c>
      <c r="AZ464" s="266">
        <f t="shared" si="298"/>
        <v>0</v>
      </c>
      <c r="BA464" s="264">
        <f t="shared" si="299"/>
        <v>0</v>
      </c>
      <c r="BB464" s="262"/>
      <c r="BC464" s="262"/>
      <c r="BD464" s="265">
        <f ca="1">IFERROR(INDEX(Algorithms!$G:$G,MATCH($C464&amp;"_Therm Saved per Unit",Algorithms!$A:$A,0)),0)</f>
        <v>59.926100000000005</v>
      </c>
      <c r="BE464" s="164" t="str">
        <f ca="1">IFERROR(INDEX('v12 Revisions'!$P$29:$P$186, MATCH('Measure-Level Adj Gas'!$L464, 'v12 Revisions'!$D$29:$D$186,0)),"")</f>
        <v/>
      </c>
      <c r="BF464" s="266">
        <f t="shared" ca="1" si="300"/>
        <v>0</v>
      </c>
      <c r="BG464" s="264">
        <f t="shared" ca="1" si="301"/>
        <v>0</v>
      </c>
      <c r="BH464" s="262"/>
      <c r="BI464" s="262"/>
      <c r="BJ464" s="265">
        <f ca="1">IFERROR(INDEX(Algorithms!$G:$G,MATCH($C464&amp;"_Therm Saved per Unit",Algorithms!$A:$A,0)),0)</f>
        <v>59.926100000000005</v>
      </c>
      <c r="BK464" s="164"/>
      <c r="BL464" s="266">
        <f t="shared" ca="1" si="302"/>
        <v>0</v>
      </c>
      <c r="BM464" s="264">
        <f t="shared" ca="1" si="303"/>
        <v>0</v>
      </c>
      <c r="BN464" s="266">
        <f t="shared" si="304"/>
        <v>0</v>
      </c>
      <c r="BO464" s="266">
        <f t="shared" si="305"/>
        <v>0</v>
      </c>
      <c r="BP464" s="266">
        <f t="shared" ca="1" si="306"/>
        <v>0</v>
      </c>
      <c r="BQ464" s="266">
        <f t="shared" ca="1" si="307"/>
        <v>0</v>
      </c>
      <c r="BR464" s="268">
        <f t="shared" ca="1" si="308"/>
        <v>0</v>
      </c>
      <c r="BS464" s="262" t="s">
        <v>99</v>
      </c>
      <c r="BT464" s="277"/>
      <c r="BW464" s="266">
        <f t="shared" si="309"/>
        <v>0</v>
      </c>
      <c r="BX464" s="266">
        <f t="shared" si="310"/>
        <v>0</v>
      </c>
      <c r="BY464" s="266">
        <f t="shared" si="311"/>
        <v>0</v>
      </c>
      <c r="BZ464" s="266">
        <f t="shared" si="312"/>
        <v>0</v>
      </c>
      <c r="CA464" s="266">
        <f ca="1">N464*IFERROR(INDEX(Algorithms!$G:$G,MATCH($C464&amp;"_Therm Saved per Unit- MLA",Algorithms!$A:$A,0)),0)*X464</f>
        <v>0</v>
      </c>
      <c r="CB464" s="266">
        <f ca="1">O464*IFERROR(INDEX(Algorithms!$G:$G,MATCH($C464&amp;"_Therm Saved per Unit- MLA",Algorithms!$A:$A,0)),0)*Y464</f>
        <v>0</v>
      </c>
      <c r="CC464" s="266">
        <f ca="1">P464*IFERROR(INDEX(Algorithms!$G:$G,MATCH($C464&amp;"_Therm Saved per Unit- MLA",Algorithms!$A:$A,0)),0)*Z464</f>
        <v>0</v>
      </c>
      <c r="CD464" s="266">
        <f ca="1">Q464*IFERROR(INDEX(Algorithms!$G:$G,MATCH($C464&amp;"_Therm Saved per Unit- MLA",Algorithms!$A:$A,0)),0)*AA464</f>
        <v>0</v>
      </c>
      <c r="CE464" s="266">
        <f ca="1">IFERROR(INDEX(Algorithms!$G:$G,MATCH($C464&amp;"_Lifetime (years)",Algorithms!$A:$A,0)),0)</f>
        <v>2</v>
      </c>
      <c r="CF464" s="266">
        <f ca="1">IFERROR(INDEX(Algorithms!$G:$G,MATCH($C464&amp;"_Lifetime (years) - Remaining Years",Algorithms!$A:$A,0)),0)</f>
        <v>0</v>
      </c>
      <c r="CG464" s="266">
        <f t="shared" ca="1" si="313"/>
        <v>0</v>
      </c>
      <c r="CH464" s="266">
        <f t="shared" ca="1" si="314"/>
        <v>0</v>
      </c>
      <c r="CI464" s="266">
        <f t="shared" ca="1" si="315"/>
        <v>0</v>
      </c>
      <c r="CJ464" s="266">
        <f t="shared" ca="1" si="316"/>
        <v>0</v>
      </c>
      <c r="CK464" s="266">
        <f t="shared" si="317"/>
        <v>0</v>
      </c>
      <c r="CL464" s="266">
        <f t="shared" si="318"/>
        <v>0</v>
      </c>
      <c r="CM464" s="266">
        <f t="shared" ca="1" si="319"/>
        <v>0</v>
      </c>
      <c r="CN464" s="266">
        <f t="shared" ca="1" si="320"/>
        <v>0</v>
      </c>
      <c r="CO464" s="266">
        <f ca="1">N464*IFERROR(INDEX(Algorithms!$G:$G,MATCH($C464&amp;"_Therm Saved per Unit- MLA",Algorithms!$A:$A,0)),0)*X464</f>
        <v>0</v>
      </c>
      <c r="CP464" s="266">
        <f ca="1">O464*IFERROR(INDEX(Algorithms!$G:$G,MATCH($C464&amp;"_Therm Saved per Unit- MLA",Algorithms!$A:$A,0)),0)*Y464</f>
        <v>0</v>
      </c>
      <c r="CQ464" s="266">
        <f ca="1">P464*IFERROR(INDEX(Algorithms!$G:$G,MATCH($C464&amp;"_Therm Saved per Unit- MLA",Algorithms!$A:$A,0)),0)*Z464</f>
        <v>0</v>
      </c>
      <c r="CR464" s="266">
        <f ca="1">Q464*IFERROR(INDEX(Algorithms!$G:$G,MATCH($C464&amp;"_Therm Saved per Unit- MLA",Algorithms!$A:$A,0)),0)*AA464</f>
        <v>0</v>
      </c>
      <c r="CS464" s="266">
        <f ca="1">IFERROR(INDEX(Algorithms!$G:$G,MATCH($C464&amp;"_Lifetime (years)",Algorithms!$A:$A,0)),0)</f>
        <v>2</v>
      </c>
      <c r="CT464" s="266">
        <f ca="1">IFERROR(INDEX(Algorithms!$G:$G,MATCH($C464&amp;"_Lifetime (years) - Remaining Years",Algorithms!$A:$A,0)),0)</f>
        <v>0</v>
      </c>
      <c r="CU464" s="266">
        <f t="shared" ca="1" si="321"/>
        <v>0</v>
      </c>
      <c r="CV464" s="266">
        <f t="shared" ca="1" si="322"/>
        <v>0</v>
      </c>
      <c r="CW464" s="266">
        <f t="shared" ca="1" si="323"/>
        <v>0</v>
      </c>
      <c r="CX464" s="266">
        <f t="shared" ca="1" si="324"/>
        <v>0</v>
      </c>
    </row>
    <row r="465" spans="2:102" s="47" customFormat="1" ht="18" customHeight="1" x14ac:dyDescent="0.25">
      <c r="B465" t="str">
        <f t="shared" si="325"/>
        <v>NSG_Income Eligible_Multi-Family_Whole Building - Public Housing_Thermostat - Reprogram_Furnace (DI)_MF</v>
      </c>
      <c r="C465" s="47" t="str">
        <f t="shared" si="286"/>
        <v>Thermostat - Reprogram_Furnace (DI)_MF</v>
      </c>
      <c r="D465" s="270" t="s">
        <v>1787</v>
      </c>
      <c r="E465" s="270" t="s">
        <v>325</v>
      </c>
      <c r="F465" s="270" t="s">
        <v>1422</v>
      </c>
      <c r="G465" s="270" t="s">
        <v>1817</v>
      </c>
      <c r="H465" s="270" t="s">
        <v>1055</v>
      </c>
      <c r="I465" s="270" t="s">
        <v>1038</v>
      </c>
      <c r="J465" s="270" t="s">
        <v>553</v>
      </c>
      <c r="K465" s="263">
        <v>1</v>
      </c>
      <c r="L465" s="263" t="str">
        <f ca="1">IFERROR(INDEX(Algorithms!J:J,MATCH($C465&amp;"_Therm Saved per Unit",Algorithms!$A:$A,0)),"n/a")</f>
        <v>5.3.11</v>
      </c>
      <c r="M465" s="263" t="str">
        <f>IFERROR(INDEX('Measure Level Detail'!$N:$N,MATCH($B465,'Measure Level Detail'!$B:$B,0)),0)</f>
        <v>each</v>
      </c>
      <c r="N465" s="271">
        <f>IFERROR(INDEX('Measure Level Detail'!$P:$P,MATCH($B465&amp;"_"&amp;N$3,'Measure Level Detail'!$C:$C,0)),0)</f>
        <v>0</v>
      </c>
      <c r="O465" s="271">
        <f>IFERROR(INDEX('Measure Level Detail'!$P:$P,MATCH($B465&amp;"_"&amp;O$3,'Measure Level Detail'!$C:$C,0)),0)</f>
        <v>0</v>
      </c>
      <c r="P465" s="271">
        <f>IFERROR(INDEX('Measure Level Detail'!$P:$P,MATCH($B465&amp;"_"&amp;P$3,'Measure Level Detail'!$C:$C,0)),0)</f>
        <v>0</v>
      </c>
      <c r="Q465" s="271">
        <f>IFERROR(INDEX('Measure Level Detail'!$P:$P,MATCH($B465&amp;"_"&amp;Q$3,'Measure Level Detail'!$C:$C,0)),0)</f>
        <v>0</v>
      </c>
      <c r="R465" s="263" t="str">
        <f ca="1">IFERROR(INDEX(Algorithms!K:K,MATCH($C465&amp;"_Therm Saved per Unit",Algorithms!$A:$A,0)),"n/a")</f>
        <v>RS-HVC-PROG-V08-220101</v>
      </c>
      <c r="S465" s="262"/>
      <c r="T465" s="272">
        <v>40.5015</v>
      </c>
      <c r="U465" s="272">
        <v>40.5015</v>
      </c>
      <c r="V465" s="272">
        <v>40.5015</v>
      </c>
      <c r="W465" s="272">
        <v>40.5015</v>
      </c>
      <c r="X465" s="273">
        <f>IFERROR(INDEX('Measure Level Detail'!$R:$R,MATCH($B465&amp;"_"&amp;X$3,'Measure Level Detail'!$C:$C,0)),0)</f>
        <v>1</v>
      </c>
      <c r="Y465" s="273">
        <f>IFERROR(INDEX('Measure Level Detail'!$R:$R,MATCH($B465&amp;"_"&amp;Y$3,'Measure Level Detail'!$C:$C,0)),0)</f>
        <v>1</v>
      </c>
      <c r="Z465" s="273">
        <f>IFERROR(INDEX('Measure Level Detail'!$R:$R,MATCH($B465&amp;"_"&amp;Z$3,'Measure Level Detail'!$C:$C,0)),0)</f>
        <v>1</v>
      </c>
      <c r="AA465" s="273">
        <f>IFERROR(INDEX('Measure Level Detail'!$R:$R,MATCH($B465&amp;"_"&amp;AA$3,'Measure Level Detail'!$C:$C,0)),0)</f>
        <v>1</v>
      </c>
      <c r="AB465" s="266">
        <f t="shared" si="287"/>
        <v>0</v>
      </c>
      <c r="AC465" s="266">
        <f t="shared" si="288"/>
        <v>0</v>
      </c>
      <c r="AD465" s="266">
        <f t="shared" si="289"/>
        <v>0</v>
      </c>
      <c r="AE465" s="266">
        <f t="shared" si="290"/>
        <v>0</v>
      </c>
      <c r="AF465" s="266">
        <f t="shared" si="291"/>
        <v>0</v>
      </c>
      <c r="AG465" s="274">
        <v>1</v>
      </c>
      <c r="AH465" s="274">
        <v>1</v>
      </c>
      <c r="AI465" s="274">
        <v>1</v>
      </c>
      <c r="AJ465" s="274">
        <v>1</v>
      </c>
      <c r="AK465" s="274">
        <f t="shared" si="292"/>
        <v>1</v>
      </c>
      <c r="AL465" s="274">
        <f t="shared" si="293"/>
        <v>1</v>
      </c>
      <c r="AM465" s="274">
        <f t="shared" si="294"/>
        <v>1</v>
      </c>
      <c r="AN465" s="274">
        <f t="shared" si="295"/>
        <v>1</v>
      </c>
      <c r="AO465" s="262"/>
      <c r="AP465" s="262"/>
      <c r="AQ465" s="267">
        <v>40.5015</v>
      </c>
      <c r="AR465" s="262"/>
      <c r="AS465" s="266">
        <f t="shared" si="296"/>
        <v>0</v>
      </c>
      <c r="AT465" s="264">
        <f t="shared" si="297"/>
        <v>0</v>
      </c>
      <c r="AU465" s="262"/>
      <c r="AV465" s="262"/>
      <c r="AW465" s="265">
        <v>40.5015</v>
      </c>
      <c r="AX465" s="164" t="s">
        <v>1469</v>
      </c>
      <c r="AY465" s="266">
        <v>0</v>
      </c>
      <c r="AZ465" s="266">
        <f t="shared" si="298"/>
        <v>0</v>
      </c>
      <c r="BA465" s="264">
        <f t="shared" si="299"/>
        <v>0</v>
      </c>
      <c r="BB465" s="262"/>
      <c r="BC465" s="262"/>
      <c r="BD465" s="265">
        <f ca="1">IFERROR(INDEX(Algorithms!$G:$G,MATCH($C465&amp;"_Therm Saved per Unit",Algorithms!$A:$A,0)),0)</f>
        <v>40.5015</v>
      </c>
      <c r="BE465" s="164" t="str">
        <f ca="1">IFERROR(INDEX('v12 Revisions'!$P$29:$P$186, MATCH('Measure-Level Adj Gas'!$L465, 'v12 Revisions'!$D$29:$D$186,0)),"")</f>
        <v/>
      </c>
      <c r="BF465" s="266">
        <f t="shared" ca="1" si="300"/>
        <v>0</v>
      </c>
      <c r="BG465" s="264">
        <f t="shared" ca="1" si="301"/>
        <v>0</v>
      </c>
      <c r="BH465" s="262"/>
      <c r="BI465" s="262"/>
      <c r="BJ465" s="265">
        <f ca="1">IFERROR(INDEX(Algorithms!$G:$G,MATCH($C465&amp;"_Therm Saved per Unit",Algorithms!$A:$A,0)),0)</f>
        <v>40.5015</v>
      </c>
      <c r="BK465" s="164"/>
      <c r="BL465" s="266">
        <f t="shared" ca="1" si="302"/>
        <v>0</v>
      </c>
      <c r="BM465" s="264">
        <f t="shared" ca="1" si="303"/>
        <v>0</v>
      </c>
      <c r="BN465" s="266">
        <f t="shared" si="304"/>
        <v>0</v>
      </c>
      <c r="BO465" s="266">
        <f t="shared" si="305"/>
        <v>0</v>
      </c>
      <c r="BP465" s="266">
        <f t="shared" ca="1" si="306"/>
        <v>0</v>
      </c>
      <c r="BQ465" s="266">
        <f t="shared" ca="1" si="307"/>
        <v>0</v>
      </c>
      <c r="BR465" s="268">
        <f t="shared" ca="1" si="308"/>
        <v>0</v>
      </c>
      <c r="BS465" s="262" t="s">
        <v>99</v>
      </c>
      <c r="BT465" s="277"/>
      <c r="BW465" s="266">
        <f t="shared" si="309"/>
        <v>0</v>
      </c>
      <c r="BX465" s="266">
        <f t="shared" si="310"/>
        <v>0</v>
      </c>
      <c r="BY465" s="266">
        <f t="shared" si="311"/>
        <v>0</v>
      </c>
      <c r="BZ465" s="266">
        <f t="shared" si="312"/>
        <v>0</v>
      </c>
      <c r="CA465" s="266">
        <f ca="1">N465*IFERROR(INDEX(Algorithms!$G:$G,MATCH($C465&amp;"_Therm Saved per Unit- MLA",Algorithms!$A:$A,0)),0)*X465</f>
        <v>0</v>
      </c>
      <c r="CB465" s="266">
        <f ca="1">O465*IFERROR(INDEX(Algorithms!$G:$G,MATCH($C465&amp;"_Therm Saved per Unit- MLA",Algorithms!$A:$A,0)),0)*Y465</f>
        <v>0</v>
      </c>
      <c r="CC465" s="266">
        <f ca="1">P465*IFERROR(INDEX(Algorithms!$G:$G,MATCH($C465&amp;"_Therm Saved per Unit- MLA",Algorithms!$A:$A,0)),0)*Z465</f>
        <v>0</v>
      </c>
      <c r="CD465" s="266">
        <f ca="1">Q465*IFERROR(INDEX(Algorithms!$G:$G,MATCH($C465&amp;"_Therm Saved per Unit- MLA",Algorithms!$A:$A,0)),0)*AA465</f>
        <v>0</v>
      </c>
      <c r="CE465" s="266">
        <f ca="1">IFERROR(INDEX(Algorithms!$G:$G,MATCH($C465&amp;"_Lifetime (years)",Algorithms!$A:$A,0)),0)</f>
        <v>2</v>
      </c>
      <c r="CF465" s="266">
        <f ca="1">IFERROR(INDEX(Algorithms!$G:$G,MATCH($C465&amp;"_Lifetime (years) - Remaining Years",Algorithms!$A:$A,0)),0)</f>
        <v>0</v>
      </c>
      <c r="CG465" s="266">
        <f t="shared" ca="1" si="313"/>
        <v>0</v>
      </c>
      <c r="CH465" s="266">
        <f t="shared" ca="1" si="314"/>
        <v>0</v>
      </c>
      <c r="CI465" s="266">
        <f t="shared" ca="1" si="315"/>
        <v>0</v>
      </c>
      <c r="CJ465" s="266">
        <f t="shared" ca="1" si="316"/>
        <v>0</v>
      </c>
      <c r="CK465" s="266">
        <f t="shared" si="317"/>
        <v>0</v>
      </c>
      <c r="CL465" s="266">
        <f t="shared" si="318"/>
        <v>0</v>
      </c>
      <c r="CM465" s="266">
        <f t="shared" ca="1" si="319"/>
        <v>0</v>
      </c>
      <c r="CN465" s="266">
        <f t="shared" ca="1" si="320"/>
        <v>0</v>
      </c>
      <c r="CO465" s="266">
        <f ca="1">N465*IFERROR(INDEX(Algorithms!$G:$G,MATCH($C465&amp;"_Therm Saved per Unit- MLA",Algorithms!$A:$A,0)),0)*X465</f>
        <v>0</v>
      </c>
      <c r="CP465" s="266">
        <f ca="1">O465*IFERROR(INDEX(Algorithms!$G:$G,MATCH($C465&amp;"_Therm Saved per Unit- MLA",Algorithms!$A:$A,0)),0)*Y465</f>
        <v>0</v>
      </c>
      <c r="CQ465" s="266">
        <f ca="1">P465*IFERROR(INDEX(Algorithms!$G:$G,MATCH($C465&amp;"_Therm Saved per Unit- MLA",Algorithms!$A:$A,0)),0)*Z465</f>
        <v>0</v>
      </c>
      <c r="CR465" s="266">
        <f ca="1">Q465*IFERROR(INDEX(Algorithms!$G:$G,MATCH($C465&amp;"_Therm Saved per Unit- MLA",Algorithms!$A:$A,0)),0)*AA465</f>
        <v>0</v>
      </c>
      <c r="CS465" s="266">
        <f ca="1">IFERROR(INDEX(Algorithms!$G:$G,MATCH($C465&amp;"_Lifetime (years)",Algorithms!$A:$A,0)),0)</f>
        <v>2</v>
      </c>
      <c r="CT465" s="266">
        <f ca="1">IFERROR(INDEX(Algorithms!$G:$G,MATCH($C465&amp;"_Lifetime (years) - Remaining Years",Algorithms!$A:$A,0)),0)</f>
        <v>0</v>
      </c>
      <c r="CU465" s="266">
        <f t="shared" ca="1" si="321"/>
        <v>0</v>
      </c>
      <c r="CV465" s="266">
        <f t="shared" ca="1" si="322"/>
        <v>0</v>
      </c>
      <c r="CW465" s="266">
        <f t="shared" ca="1" si="323"/>
        <v>0</v>
      </c>
      <c r="CX465" s="266">
        <f t="shared" ca="1" si="324"/>
        <v>0</v>
      </c>
    </row>
    <row r="466" spans="2:102" s="47" customFormat="1" ht="18" customHeight="1" x14ac:dyDescent="0.25">
      <c r="B466" t="str">
        <f t="shared" si="325"/>
        <v>NSG_Income Eligible_Multi-Family_Whole Building - Public Housing_Air Sealing_0_MF</v>
      </c>
      <c r="C466" s="47" t="str">
        <f t="shared" si="286"/>
        <v>Air Sealing_0_MF</v>
      </c>
      <c r="D466" s="270" t="s">
        <v>1787</v>
      </c>
      <c r="E466" s="270" t="s">
        <v>325</v>
      </c>
      <c r="F466" s="270" t="s">
        <v>1422</v>
      </c>
      <c r="G466" s="270" t="s">
        <v>1817</v>
      </c>
      <c r="H466" s="270" t="s">
        <v>221</v>
      </c>
      <c r="I466" s="270">
        <v>0</v>
      </c>
      <c r="J466" s="270" t="s">
        <v>553</v>
      </c>
      <c r="K466" s="263">
        <v>1</v>
      </c>
      <c r="L466" s="263" t="str">
        <f ca="1">IFERROR(INDEX(Algorithms!J:J,MATCH($C466&amp;"_Therm Saved per Unit",Algorithms!$A:$A,0)),"n/a")</f>
        <v>5.6.1</v>
      </c>
      <c r="M466" s="263" t="str">
        <f>IFERROR(INDEX('Measure Level Detail'!$N:$N,MATCH($B466,'Measure Level Detail'!$B:$B,0)),0)</f>
        <v>CFM_50</v>
      </c>
      <c r="N466" s="271">
        <f>IFERROR(INDEX('Measure Level Detail'!$P:$P,MATCH($B466&amp;"_"&amp;N$3,'Measure Level Detail'!$C:$C,0)),0)</f>
        <v>0</v>
      </c>
      <c r="O466" s="271">
        <f>IFERROR(INDEX('Measure Level Detail'!$P:$P,MATCH($B466&amp;"_"&amp;O$3,'Measure Level Detail'!$C:$C,0)),0)</f>
        <v>0</v>
      </c>
      <c r="P466" s="271">
        <f>IFERROR(INDEX('Measure Level Detail'!$P:$P,MATCH($B466&amp;"_"&amp;P$3,'Measure Level Detail'!$C:$C,0)),0)</f>
        <v>0</v>
      </c>
      <c r="Q466" s="271">
        <f>IFERROR(INDEX('Measure Level Detail'!$P:$P,MATCH($B466&amp;"_"&amp;Q$3,'Measure Level Detail'!$C:$C,0)),0)</f>
        <v>0</v>
      </c>
      <c r="R466" s="263" t="str">
        <f ca="1">IFERROR(INDEX(Algorithms!K:K,MATCH($C466&amp;"_Therm Saved per Unit",Algorithms!$A:$A,0)),"n/a")</f>
        <v>RS-SHL-AIRS-V13-240101</v>
      </c>
      <c r="S466" s="262"/>
      <c r="T466" s="272">
        <v>43.618009478672981</v>
      </c>
      <c r="U466" s="272">
        <v>43.618009478672981</v>
      </c>
      <c r="V466" s="272">
        <v>43.618009478672981</v>
      </c>
      <c r="W466" s="272">
        <v>43.618009478672981</v>
      </c>
      <c r="X466" s="273">
        <f>IFERROR(INDEX('Measure Level Detail'!$R:$R,MATCH($B466&amp;"_"&amp;X$3,'Measure Level Detail'!$C:$C,0)),0)</f>
        <v>1</v>
      </c>
      <c r="Y466" s="273">
        <f>IFERROR(INDEX('Measure Level Detail'!$R:$R,MATCH($B466&amp;"_"&amp;Y$3,'Measure Level Detail'!$C:$C,0)),0)</f>
        <v>1</v>
      </c>
      <c r="Z466" s="273">
        <f>IFERROR(INDEX('Measure Level Detail'!$R:$R,MATCH($B466&amp;"_"&amp;Z$3,'Measure Level Detail'!$C:$C,0)),0)</f>
        <v>1</v>
      </c>
      <c r="AA466" s="273">
        <f>IFERROR(INDEX('Measure Level Detail'!$R:$R,MATCH($B466&amp;"_"&amp;AA$3,'Measure Level Detail'!$C:$C,0)),0)</f>
        <v>1</v>
      </c>
      <c r="AB466" s="266">
        <f t="shared" si="287"/>
        <v>0</v>
      </c>
      <c r="AC466" s="266">
        <f t="shared" si="288"/>
        <v>0</v>
      </c>
      <c r="AD466" s="266">
        <f t="shared" si="289"/>
        <v>0</v>
      </c>
      <c r="AE466" s="266">
        <f t="shared" si="290"/>
        <v>0</v>
      </c>
      <c r="AF466" s="266">
        <f t="shared" si="291"/>
        <v>0</v>
      </c>
      <c r="AG466" s="274">
        <v>1</v>
      </c>
      <c r="AH466" s="274">
        <v>1</v>
      </c>
      <c r="AI466" s="274">
        <v>1</v>
      </c>
      <c r="AJ466" s="274">
        <v>1</v>
      </c>
      <c r="AK466" s="274">
        <f t="shared" si="292"/>
        <v>1</v>
      </c>
      <c r="AL466" s="274">
        <f t="shared" si="293"/>
        <v>1</v>
      </c>
      <c r="AM466" s="274">
        <f t="shared" si="294"/>
        <v>1</v>
      </c>
      <c r="AN466" s="274">
        <f t="shared" si="295"/>
        <v>1</v>
      </c>
      <c r="AO466" s="262"/>
      <c r="AP466" s="262"/>
      <c r="AQ466" s="267">
        <v>43.618009478672981</v>
      </c>
      <c r="AR466" s="262"/>
      <c r="AS466" s="266">
        <f t="shared" si="296"/>
        <v>0</v>
      </c>
      <c r="AT466" s="264">
        <f t="shared" si="297"/>
        <v>0</v>
      </c>
      <c r="AU466" s="262"/>
      <c r="AV466" s="262"/>
      <c r="AW466" s="265">
        <v>43.618009478672981</v>
      </c>
      <c r="AX466" s="164" t="s">
        <v>2395</v>
      </c>
      <c r="AY466" s="266">
        <v>0</v>
      </c>
      <c r="AZ466" s="266">
        <f t="shared" si="298"/>
        <v>0</v>
      </c>
      <c r="BA466" s="264">
        <f t="shared" si="299"/>
        <v>0</v>
      </c>
      <c r="BB466" s="262"/>
      <c r="BC466" s="262"/>
      <c r="BD466" s="265">
        <f ca="1">IFERROR(INDEX(Algorithms!$G:$G,MATCH($C466&amp;"_Therm Saved per Unit",Algorithms!$A:$A,0)),0)</f>
        <v>40.930805687203787</v>
      </c>
      <c r="BE466" s="164" t="str">
        <f ca="1">IFERROR(INDEX('v12 Revisions'!$P$29:$P$186, MATCH('Measure-Level Adj Gas'!$L466, 'v12 Revisions'!$D$29:$D$186,0)),"")</f>
        <v>Updated HDD from 5113 to 4798 and shell adjustment factor from 0.72 to 0.76.</v>
      </c>
      <c r="BF466" s="266">
        <f t="shared" ca="1" si="300"/>
        <v>0</v>
      </c>
      <c r="BG466" s="264">
        <f t="shared" ca="1" si="301"/>
        <v>0</v>
      </c>
      <c r="BH466" s="262"/>
      <c r="BI466" s="262"/>
      <c r="BJ466" s="265">
        <f ca="1">IFERROR(INDEX(Algorithms!$G:$G,MATCH($C466&amp;"_Therm Saved per Unit",Algorithms!$A:$A,0)),0)</f>
        <v>40.930805687203787</v>
      </c>
      <c r="BK466" s="164"/>
      <c r="BL466" s="266">
        <f t="shared" ca="1" si="302"/>
        <v>0</v>
      </c>
      <c r="BM466" s="264">
        <f t="shared" ca="1" si="303"/>
        <v>0</v>
      </c>
      <c r="BN466" s="266">
        <f t="shared" si="304"/>
        <v>0</v>
      </c>
      <c r="BO466" s="266">
        <f t="shared" si="305"/>
        <v>0</v>
      </c>
      <c r="BP466" s="266">
        <f t="shared" ca="1" si="306"/>
        <v>0</v>
      </c>
      <c r="BQ466" s="266">
        <f t="shared" ca="1" si="307"/>
        <v>0</v>
      </c>
      <c r="BR466" s="268">
        <f t="shared" ca="1" si="308"/>
        <v>0</v>
      </c>
      <c r="BS466" s="262" t="s">
        <v>99</v>
      </c>
      <c r="BT466" s="277"/>
      <c r="BW466" s="266">
        <f t="shared" si="309"/>
        <v>0</v>
      </c>
      <c r="BX466" s="266">
        <f t="shared" si="310"/>
        <v>0</v>
      </c>
      <c r="BY466" s="266">
        <f t="shared" si="311"/>
        <v>0</v>
      </c>
      <c r="BZ466" s="266">
        <f t="shared" si="312"/>
        <v>0</v>
      </c>
      <c r="CA466" s="266">
        <f ca="1">N466*IFERROR(INDEX(Algorithms!$G:$G,MATCH($C466&amp;"_Therm Saved per Unit- MLA",Algorithms!$A:$A,0)),0)*X466</f>
        <v>0</v>
      </c>
      <c r="CB466" s="266">
        <f ca="1">O466*IFERROR(INDEX(Algorithms!$G:$G,MATCH($C466&amp;"_Therm Saved per Unit- MLA",Algorithms!$A:$A,0)),0)*Y466</f>
        <v>0</v>
      </c>
      <c r="CC466" s="266">
        <f ca="1">P466*IFERROR(INDEX(Algorithms!$G:$G,MATCH($C466&amp;"_Therm Saved per Unit- MLA",Algorithms!$A:$A,0)),0)*Z466</f>
        <v>0</v>
      </c>
      <c r="CD466" s="266">
        <f ca="1">Q466*IFERROR(INDEX(Algorithms!$G:$G,MATCH($C466&amp;"_Therm Saved per Unit- MLA",Algorithms!$A:$A,0)),0)*AA466</f>
        <v>0</v>
      </c>
      <c r="CE466" s="266">
        <f ca="1">IFERROR(INDEX(Algorithms!$G:$G,MATCH($C466&amp;"_Lifetime (years)",Algorithms!$A:$A,0)),0)</f>
        <v>20</v>
      </c>
      <c r="CF466" s="266">
        <f ca="1">IFERROR(INDEX(Algorithms!$G:$G,MATCH($C466&amp;"_Lifetime (years) - Remaining Years",Algorithms!$A:$A,0)),0)</f>
        <v>10</v>
      </c>
      <c r="CG466" s="266">
        <f t="shared" ca="1" si="313"/>
        <v>0</v>
      </c>
      <c r="CH466" s="266">
        <f t="shared" ca="1" si="314"/>
        <v>0</v>
      </c>
      <c r="CI466" s="266">
        <f t="shared" ca="1" si="315"/>
        <v>0</v>
      </c>
      <c r="CJ466" s="266">
        <f t="shared" ca="1" si="316"/>
        <v>0</v>
      </c>
      <c r="CK466" s="266">
        <f t="shared" si="317"/>
        <v>0</v>
      </c>
      <c r="CL466" s="266">
        <f t="shared" si="318"/>
        <v>0</v>
      </c>
      <c r="CM466" s="266">
        <f t="shared" ca="1" si="319"/>
        <v>0</v>
      </c>
      <c r="CN466" s="266">
        <f t="shared" ca="1" si="320"/>
        <v>0</v>
      </c>
      <c r="CO466" s="266">
        <f ca="1">N466*IFERROR(INDEX(Algorithms!$G:$G,MATCH($C466&amp;"_Therm Saved per Unit- MLA",Algorithms!$A:$A,0)),0)*X466</f>
        <v>0</v>
      </c>
      <c r="CP466" s="266">
        <f ca="1">O466*IFERROR(INDEX(Algorithms!$G:$G,MATCH($C466&amp;"_Therm Saved per Unit- MLA",Algorithms!$A:$A,0)),0)*Y466</f>
        <v>0</v>
      </c>
      <c r="CQ466" s="266">
        <f ca="1">P466*IFERROR(INDEX(Algorithms!$G:$G,MATCH($C466&amp;"_Therm Saved per Unit- MLA",Algorithms!$A:$A,0)),0)*Z466</f>
        <v>0</v>
      </c>
      <c r="CR466" s="266">
        <f ca="1">Q466*IFERROR(INDEX(Algorithms!$G:$G,MATCH($C466&amp;"_Therm Saved per Unit- MLA",Algorithms!$A:$A,0)),0)*AA466</f>
        <v>0</v>
      </c>
      <c r="CS466" s="266">
        <f ca="1">IFERROR(INDEX(Algorithms!$G:$G,MATCH($C466&amp;"_Lifetime (years)",Algorithms!$A:$A,0)),0)</f>
        <v>20</v>
      </c>
      <c r="CT466" s="266">
        <f ca="1">IFERROR(INDEX(Algorithms!$G:$G,MATCH($C466&amp;"_Lifetime (years) - Remaining Years",Algorithms!$A:$A,0)),0)</f>
        <v>10</v>
      </c>
      <c r="CU466" s="266">
        <f t="shared" ca="1" si="321"/>
        <v>0</v>
      </c>
      <c r="CV466" s="266">
        <f t="shared" ca="1" si="322"/>
        <v>0</v>
      </c>
      <c r="CW466" s="266">
        <f t="shared" ca="1" si="323"/>
        <v>0</v>
      </c>
      <c r="CX466" s="266">
        <f t="shared" ca="1" si="324"/>
        <v>0</v>
      </c>
    </row>
    <row r="467" spans="2:102" s="47" customFormat="1" ht="18" customHeight="1" x14ac:dyDescent="0.25">
      <c r="B467" t="str">
        <f t="shared" si="325"/>
        <v>NSG_Income Eligible_Multi-Family_Whole Building - Public Housing_Air Sealing w/ Attic Insulation_0_IE MF</v>
      </c>
      <c r="C467" s="47" t="str">
        <f t="shared" si="286"/>
        <v>Air Sealing w/ Attic Insulation_0_IE MF</v>
      </c>
      <c r="D467" s="270" t="s">
        <v>1787</v>
      </c>
      <c r="E467" s="270" t="s">
        <v>325</v>
      </c>
      <c r="F467" s="270" t="s">
        <v>1422</v>
      </c>
      <c r="G467" s="270" t="s">
        <v>1817</v>
      </c>
      <c r="H467" s="270" t="s">
        <v>890</v>
      </c>
      <c r="I467" s="270">
        <v>0</v>
      </c>
      <c r="J467" s="270" t="s">
        <v>1398</v>
      </c>
      <c r="K467" s="263">
        <v>1</v>
      </c>
      <c r="L467" s="263" t="str">
        <f ca="1">IFERROR(INDEX(Algorithms!J:J,MATCH($C467&amp;"_Therm Saved per Unit",Algorithms!$A:$A,0)),"n/a")</f>
        <v>5.6.1</v>
      </c>
      <c r="M467" s="263" t="str">
        <f>IFERROR(INDEX('Measure Level Detail'!$N:$N,MATCH($B467,'Measure Level Detail'!$B:$B,0)),0)</f>
        <v>CFM_50</v>
      </c>
      <c r="N467" s="271">
        <f>IFERROR(INDEX('Measure Level Detail'!$P:$P,MATCH($B467&amp;"_"&amp;N$3,'Measure Level Detail'!$C:$C,0)),0)</f>
        <v>0</v>
      </c>
      <c r="O467" s="271">
        <f>IFERROR(INDEX('Measure Level Detail'!$P:$P,MATCH($B467&amp;"_"&amp;O$3,'Measure Level Detail'!$C:$C,0)),0)</f>
        <v>0</v>
      </c>
      <c r="P467" s="271">
        <f>IFERROR(INDEX('Measure Level Detail'!$P:$P,MATCH($B467&amp;"_"&amp;P$3,'Measure Level Detail'!$C:$C,0)),0)</f>
        <v>0</v>
      </c>
      <c r="Q467" s="271">
        <f>IFERROR(INDEX('Measure Level Detail'!$P:$P,MATCH($B467&amp;"_"&amp;Q$3,'Measure Level Detail'!$C:$C,0)),0)</f>
        <v>0</v>
      </c>
      <c r="R467" s="263" t="str">
        <f ca="1">IFERROR(INDEX(Algorithms!K:K,MATCH($C467&amp;"_Therm Saved per Unit",Algorithms!$A:$A,0)),"n/a")</f>
        <v>RS-SHL-AIRS-V13-240101</v>
      </c>
      <c r="S467" s="262"/>
      <c r="T467" s="272">
        <v>34.545463507109005</v>
      </c>
      <c r="U467" s="272">
        <v>34.545463507109005</v>
      </c>
      <c r="V467" s="272">
        <v>34.545463507109005</v>
      </c>
      <c r="W467" s="272">
        <v>34.545463507109005</v>
      </c>
      <c r="X467" s="273">
        <f>IFERROR(INDEX('Measure Level Detail'!$R:$R,MATCH($B467&amp;"_"&amp;X$3,'Measure Level Detail'!$C:$C,0)),0)</f>
        <v>1</v>
      </c>
      <c r="Y467" s="273">
        <f>IFERROR(INDEX('Measure Level Detail'!$R:$R,MATCH($B467&amp;"_"&amp;Y$3,'Measure Level Detail'!$C:$C,0)),0)</f>
        <v>1</v>
      </c>
      <c r="Z467" s="273">
        <f>IFERROR(INDEX('Measure Level Detail'!$R:$R,MATCH($B467&amp;"_"&amp;Z$3,'Measure Level Detail'!$C:$C,0)),0)</f>
        <v>1</v>
      </c>
      <c r="AA467" s="273">
        <f>IFERROR(INDEX('Measure Level Detail'!$R:$R,MATCH($B467&amp;"_"&amp;AA$3,'Measure Level Detail'!$C:$C,0)),0)</f>
        <v>1</v>
      </c>
      <c r="AB467" s="266">
        <f t="shared" si="287"/>
        <v>0</v>
      </c>
      <c r="AC467" s="266">
        <f t="shared" si="288"/>
        <v>0</v>
      </c>
      <c r="AD467" s="266">
        <f t="shared" si="289"/>
        <v>0</v>
      </c>
      <c r="AE467" s="266">
        <f t="shared" si="290"/>
        <v>0</v>
      </c>
      <c r="AF467" s="266">
        <f t="shared" si="291"/>
        <v>0</v>
      </c>
      <c r="AG467" s="274">
        <v>1</v>
      </c>
      <c r="AH467" s="274">
        <v>1</v>
      </c>
      <c r="AI467" s="274">
        <v>1</v>
      </c>
      <c r="AJ467" s="274">
        <v>1</v>
      </c>
      <c r="AK467" s="274">
        <f t="shared" si="292"/>
        <v>1</v>
      </c>
      <c r="AL467" s="274">
        <f t="shared" si="293"/>
        <v>1</v>
      </c>
      <c r="AM467" s="274">
        <f t="shared" si="294"/>
        <v>1</v>
      </c>
      <c r="AN467" s="274">
        <f t="shared" si="295"/>
        <v>1</v>
      </c>
      <c r="AO467" s="262"/>
      <c r="AP467" s="262"/>
      <c r="AQ467" s="267">
        <v>34.545463507109005</v>
      </c>
      <c r="AR467" s="262"/>
      <c r="AS467" s="266">
        <f t="shared" si="296"/>
        <v>0</v>
      </c>
      <c r="AT467" s="264">
        <f t="shared" si="297"/>
        <v>0</v>
      </c>
      <c r="AU467" s="262"/>
      <c r="AV467" s="262"/>
      <c r="AW467" s="265">
        <v>34.545463507109005</v>
      </c>
      <c r="AX467" s="164" t="s">
        <v>2395</v>
      </c>
      <c r="AY467" s="266">
        <v>0</v>
      </c>
      <c r="AZ467" s="266">
        <f t="shared" si="298"/>
        <v>0</v>
      </c>
      <c r="BA467" s="264">
        <f t="shared" si="299"/>
        <v>0</v>
      </c>
      <c r="BB467" s="262"/>
      <c r="BC467" s="262"/>
      <c r="BD467" s="265">
        <f ca="1">IFERROR(INDEX(Algorithms!$G:$G,MATCH($C467&amp;"_Therm Saved per Unit",Algorithms!$A:$A,0)),0)</f>
        <v>34.218153554502372</v>
      </c>
      <c r="BE467" s="164" t="str">
        <f ca="1">IFERROR(INDEX('v12 Revisions'!$P$29:$P$186, MATCH('Measure-Level Adj Gas'!$L467, 'v12 Revisions'!$D$29:$D$186,0)),"")</f>
        <v>Updated HDD from 5113 to 4798 and shell adjustment factor from 0.72 to 0.76.</v>
      </c>
      <c r="BF467" s="266">
        <f t="shared" ca="1" si="300"/>
        <v>0</v>
      </c>
      <c r="BG467" s="264">
        <f t="shared" ca="1" si="301"/>
        <v>0</v>
      </c>
      <c r="BH467" s="262"/>
      <c r="BI467" s="262"/>
      <c r="BJ467" s="265">
        <f ca="1">IFERROR(INDEX(Algorithms!$G:$G,MATCH($C467&amp;"_Therm Saved per Unit",Algorithms!$A:$A,0)),0)</f>
        <v>34.218153554502372</v>
      </c>
      <c r="BK467" s="164"/>
      <c r="BL467" s="266">
        <f t="shared" ca="1" si="302"/>
        <v>0</v>
      </c>
      <c r="BM467" s="264">
        <f t="shared" ca="1" si="303"/>
        <v>0</v>
      </c>
      <c r="BN467" s="266">
        <f t="shared" si="304"/>
        <v>0</v>
      </c>
      <c r="BO467" s="266">
        <f t="shared" si="305"/>
        <v>0</v>
      </c>
      <c r="BP467" s="266">
        <f t="shared" ca="1" si="306"/>
        <v>0</v>
      </c>
      <c r="BQ467" s="266">
        <f t="shared" ca="1" si="307"/>
        <v>0</v>
      </c>
      <c r="BR467" s="268">
        <f t="shared" ca="1" si="308"/>
        <v>0</v>
      </c>
      <c r="BS467" s="262" t="s">
        <v>99</v>
      </c>
      <c r="BT467" s="277"/>
      <c r="BW467" s="266">
        <f t="shared" si="309"/>
        <v>0</v>
      </c>
      <c r="BX467" s="266">
        <f t="shared" si="310"/>
        <v>0</v>
      </c>
      <c r="BY467" s="266">
        <f t="shared" si="311"/>
        <v>0</v>
      </c>
      <c r="BZ467" s="266">
        <f t="shared" si="312"/>
        <v>0</v>
      </c>
      <c r="CA467" s="266">
        <f ca="1">N467*IFERROR(INDEX(Algorithms!$G:$G,MATCH($C467&amp;"_Therm Saved per Unit- MLA",Algorithms!$A:$A,0)),0)*X467</f>
        <v>0</v>
      </c>
      <c r="CB467" s="266">
        <f ca="1">O467*IFERROR(INDEX(Algorithms!$G:$G,MATCH($C467&amp;"_Therm Saved per Unit- MLA",Algorithms!$A:$A,0)),0)*Y467</f>
        <v>0</v>
      </c>
      <c r="CC467" s="266">
        <f ca="1">P467*IFERROR(INDEX(Algorithms!$G:$G,MATCH($C467&amp;"_Therm Saved per Unit- MLA",Algorithms!$A:$A,0)),0)*Z467</f>
        <v>0</v>
      </c>
      <c r="CD467" s="266">
        <f ca="1">Q467*IFERROR(INDEX(Algorithms!$G:$G,MATCH($C467&amp;"_Therm Saved per Unit- MLA",Algorithms!$A:$A,0)),0)*AA467</f>
        <v>0</v>
      </c>
      <c r="CE467" s="266">
        <f ca="1">IFERROR(INDEX(Algorithms!$G:$G,MATCH($C467&amp;"_Lifetime (years)",Algorithms!$A:$A,0)),0)</f>
        <v>20</v>
      </c>
      <c r="CF467" s="266">
        <f ca="1">IFERROR(INDEX(Algorithms!$G:$G,MATCH($C467&amp;"_Lifetime (years) - Remaining Years",Algorithms!$A:$A,0)),0)</f>
        <v>10</v>
      </c>
      <c r="CG467" s="266">
        <f t="shared" ca="1" si="313"/>
        <v>0</v>
      </c>
      <c r="CH467" s="266">
        <f t="shared" ca="1" si="314"/>
        <v>0</v>
      </c>
      <c r="CI467" s="266">
        <f t="shared" ca="1" si="315"/>
        <v>0</v>
      </c>
      <c r="CJ467" s="266">
        <f t="shared" ca="1" si="316"/>
        <v>0</v>
      </c>
      <c r="CK467" s="266">
        <f t="shared" si="317"/>
        <v>0</v>
      </c>
      <c r="CL467" s="266">
        <f t="shared" si="318"/>
        <v>0</v>
      </c>
      <c r="CM467" s="266">
        <f t="shared" ca="1" si="319"/>
        <v>0</v>
      </c>
      <c r="CN467" s="266">
        <f t="shared" ca="1" si="320"/>
        <v>0</v>
      </c>
      <c r="CO467" s="266">
        <f ca="1">N467*IFERROR(INDEX(Algorithms!$G:$G,MATCH($C467&amp;"_Therm Saved per Unit- MLA",Algorithms!$A:$A,0)),0)*X467</f>
        <v>0</v>
      </c>
      <c r="CP467" s="266">
        <f ca="1">O467*IFERROR(INDEX(Algorithms!$G:$G,MATCH($C467&amp;"_Therm Saved per Unit- MLA",Algorithms!$A:$A,0)),0)*Y467</f>
        <v>0</v>
      </c>
      <c r="CQ467" s="266">
        <f ca="1">P467*IFERROR(INDEX(Algorithms!$G:$G,MATCH($C467&amp;"_Therm Saved per Unit- MLA",Algorithms!$A:$A,0)),0)*Z467</f>
        <v>0</v>
      </c>
      <c r="CR467" s="266">
        <f ca="1">Q467*IFERROR(INDEX(Algorithms!$G:$G,MATCH($C467&amp;"_Therm Saved per Unit- MLA",Algorithms!$A:$A,0)),0)*AA467</f>
        <v>0</v>
      </c>
      <c r="CS467" s="266">
        <f ca="1">IFERROR(INDEX(Algorithms!$G:$G,MATCH($C467&amp;"_Lifetime (years)",Algorithms!$A:$A,0)),0)</f>
        <v>20</v>
      </c>
      <c r="CT467" s="266">
        <f ca="1">IFERROR(INDEX(Algorithms!$G:$G,MATCH($C467&amp;"_Lifetime (years) - Remaining Years",Algorithms!$A:$A,0)),0)</f>
        <v>10</v>
      </c>
      <c r="CU467" s="266">
        <f t="shared" ca="1" si="321"/>
        <v>0</v>
      </c>
      <c r="CV467" s="266">
        <f t="shared" ca="1" si="322"/>
        <v>0</v>
      </c>
      <c r="CW467" s="266">
        <f t="shared" ca="1" si="323"/>
        <v>0</v>
      </c>
      <c r="CX467" s="266">
        <f t="shared" ca="1" si="324"/>
        <v>0</v>
      </c>
    </row>
    <row r="468" spans="2:102" s="47" customFormat="1" ht="18" customHeight="1" x14ac:dyDescent="0.25">
      <c r="B468" t="str">
        <f t="shared" si="325"/>
        <v>NSG_Income Eligible_Multi-Family_Whole Building - Public Housing_Attic Insulation_0_SF</v>
      </c>
      <c r="C468" s="47" t="str">
        <f t="shared" si="286"/>
        <v>Attic Insulation_0_SF</v>
      </c>
      <c r="D468" s="270" t="s">
        <v>1787</v>
      </c>
      <c r="E468" s="270" t="s">
        <v>325</v>
      </c>
      <c r="F468" s="270" t="s">
        <v>1422</v>
      </c>
      <c r="G468" s="270" t="s">
        <v>1817</v>
      </c>
      <c r="H468" s="270" t="s">
        <v>631</v>
      </c>
      <c r="I468" s="270">
        <v>0</v>
      </c>
      <c r="J468" s="270" t="s">
        <v>409</v>
      </c>
      <c r="K468" s="263">
        <v>1</v>
      </c>
      <c r="L468" s="263" t="str">
        <f ca="1">IFERROR(INDEX(Algorithms!J:J,MATCH($C468&amp;"_Therm Saved per Unit",Algorithms!$A:$A,0)),"n/a")</f>
        <v>5.6.5</v>
      </c>
      <c r="M468" s="263" t="str">
        <f>IFERROR(INDEX('Measure Level Detail'!$N:$N,MATCH($B468,'Measure Level Detail'!$B:$B,0)),0)</f>
        <v>sq ft</v>
      </c>
      <c r="N468" s="271">
        <f>IFERROR(INDEX('Measure Level Detail'!$P:$P,MATCH($B468&amp;"_"&amp;N$3,'Measure Level Detail'!$C:$C,0)),0)</f>
        <v>0</v>
      </c>
      <c r="O468" s="271">
        <f>IFERROR(INDEX('Measure Level Detail'!$P:$P,MATCH($B468&amp;"_"&amp;O$3,'Measure Level Detail'!$C:$C,0)),0)</f>
        <v>0</v>
      </c>
      <c r="P468" s="271">
        <f>IFERROR(INDEX('Measure Level Detail'!$P:$P,MATCH($B468&amp;"_"&amp;P$3,'Measure Level Detail'!$C:$C,0)),0)</f>
        <v>0</v>
      </c>
      <c r="Q468" s="271">
        <f>IFERROR(INDEX('Measure Level Detail'!$P:$P,MATCH($B468&amp;"_"&amp;Q$3,'Measure Level Detail'!$C:$C,0)),0)</f>
        <v>0</v>
      </c>
      <c r="R468" s="263" t="str">
        <f ca="1">IFERROR(INDEX(Algorithms!K:K,MATCH($C468&amp;"_Therm Saved per Unit",Algorithms!$A:$A,0)),"n/a")</f>
        <v>RS-SHL-AINS-V07-240101</v>
      </c>
      <c r="S468" s="262"/>
      <c r="T468" s="272">
        <v>8.0457181447124299E-2</v>
      </c>
      <c r="U468" s="272">
        <v>8.0457181447124299E-2</v>
      </c>
      <c r="V468" s="272">
        <v>8.0457181447124299E-2</v>
      </c>
      <c r="W468" s="272">
        <v>8.0457181447124299E-2</v>
      </c>
      <c r="X468" s="273">
        <f>IFERROR(INDEX('Measure Level Detail'!$R:$R,MATCH($B468&amp;"_"&amp;X$3,'Measure Level Detail'!$C:$C,0)),0)</f>
        <v>1</v>
      </c>
      <c r="Y468" s="273">
        <f>IFERROR(INDEX('Measure Level Detail'!$R:$R,MATCH($B468&amp;"_"&amp;Y$3,'Measure Level Detail'!$C:$C,0)),0)</f>
        <v>1</v>
      </c>
      <c r="Z468" s="273">
        <f>IFERROR(INDEX('Measure Level Detail'!$R:$R,MATCH($B468&amp;"_"&amp;Z$3,'Measure Level Detail'!$C:$C,0)),0)</f>
        <v>1</v>
      </c>
      <c r="AA468" s="273">
        <f>IFERROR(INDEX('Measure Level Detail'!$R:$R,MATCH($B468&amp;"_"&amp;AA$3,'Measure Level Detail'!$C:$C,0)),0)</f>
        <v>1</v>
      </c>
      <c r="AB468" s="266">
        <f t="shared" si="287"/>
        <v>0</v>
      </c>
      <c r="AC468" s="266">
        <f t="shared" si="288"/>
        <v>0</v>
      </c>
      <c r="AD468" s="266">
        <f t="shared" si="289"/>
        <v>0</v>
      </c>
      <c r="AE468" s="266">
        <f t="shared" si="290"/>
        <v>0</v>
      </c>
      <c r="AF468" s="266">
        <f t="shared" si="291"/>
        <v>0</v>
      </c>
      <c r="AG468" s="274">
        <v>1</v>
      </c>
      <c r="AH468" s="274">
        <v>1</v>
      </c>
      <c r="AI468" s="274">
        <v>1</v>
      </c>
      <c r="AJ468" s="274">
        <v>1</v>
      </c>
      <c r="AK468" s="274">
        <f t="shared" si="292"/>
        <v>1</v>
      </c>
      <c r="AL468" s="274">
        <f t="shared" si="293"/>
        <v>1</v>
      </c>
      <c r="AM468" s="274">
        <f t="shared" si="294"/>
        <v>1</v>
      </c>
      <c r="AN468" s="274">
        <f t="shared" si="295"/>
        <v>1</v>
      </c>
      <c r="AO468" s="262"/>
      <c r="AP468" s="262"/>
      <c r="AQ468" s="267">
        <v>8.0457181447124299E-2</v>
      </c>
      <c r="AR468" s="262"/>
      <c r="AS468" s="266">
        <f t="shared" si="296"/>
        <v>0</v>
      </c>
      <c r="AT468" s="264">
        <f t="shared" si="297"/>
        <v>0</v>
      </c>
      <c r="AU468" s="262"/>
      <c r="AV468" s="262"/>
      <c r="AW468" s="265">
        <v>8.0457181447124299E-2</v>
      </c>
      <c r="AX468" s="164" t="s">
        <v>2393</v>
      </c>
      <c r="AY468" s="266">
        <v>0</v>
      </c>
      <c r="AZ468" s="266">
        <f t="shared" si="298"/>
        <v>0</v>
      </c>
      <c r="BA468" s="264">
        <f t="shared" si="299"/>
        <v>0</v>
      </c>
      <c r="BB468" s="262"/>
      <c r="BC468" s="262"/>
      <c r="BD468" s="265">
        <f ca="1">IFERROR(INDEX(Algorithms!$G:$G,MATCH($C468&amp;"_Therm Saved per Unit",Algorithms!$A:$A,0)),0)</f>
        <v>7.9694869016697589E-2</v>
      </c>
      <c r="BE468" s="164" t="str">
        <f ca="1">IFERROR(INDEX('v12 Revisions'!$P$29:$P$186, MATCH('Measure-Level Adj Gas'!$L468, 'v12 Revisions'!$D$29:$D$186,0)),"")</f>
        <v>Updated HDD from 5113 to 4798 and shell adjustment factor from 0.72 to 0.76 ; Updated measure life to 30 years.</v>
      </c>
      <c r="BF468" s="266">
        <f t="shared" ca="1" si="300"/>
        <v>0</v>
      </c>
      <c r="BG468" s="264">
        <f t="shared" ca="1" si="301"/>
        <v>0</v>
      </c>
      <c r="BH468" s="262"/>
      <c r="BI468" s="262"/>
      <c r="BJ468" s="265">
        <f ca="1">IFERROR(INDEX(Algorithms!$G:$G,MATCH($C468&amp;"_Therm Saved per Unit",Algorithms!$A:$A,0)),0)</f>
        <v>7.9694869016697589E-2</v>
      </c>
      <c r="BK468" s="164"/>
      <c r="BL468" s="266">
        <f t="shared" ca="1" si="302"/>
        <v>0</v>
      </c>
      <c r="BM468" s="264">
        <f t="shared" ca="1" si="303"/>
        <v>0</v>
      </c>
      <c r="BN468" s="266">
        <f t="shared" si="304"/>
        <v>0</v>
      </c>
      <c r="BO468" s="266">
        <f t="shared" si="305"/>
        <v>0</v>
      </c>
      <c r="BP468" s="266">
        <f t="shared" ca="1" si="306"/>
        <v>0</v>
      </c>
      <c r="BQ468" s="266">
        <f t="shared" ca="1" si="307"/>
        <v>0</v>
      </c>
      <c r="BR468" s="268">
        <f t="shared" ca="1" si="308"/>
        <v>0</v>
      </c>
      <c r="BS468" s="262" t="s">
        <v>99</v>
      </c>
      <c r="BT468" s="277"/>
      <c r="BW468" s="266">
        <f t="shared" si="309"/>
        <v>0</v>
      </c>
      <c r="BX468" s="266">
        <f t="shared" si="310"/>
        <v>0</v>
      </c>
      <c r="BY468" s="266">
        <f t="shared" si="311"/>
        <v>0</v>
      </c>
      <c r="BZ468" s="266">
        <f t="shared" si="312"/>
        <v>0</v>
      </c>
      <c r="CA468" s="266">
        <f ca="1">N468*IFERROR(INDEX(Algorithms!$G:$G,MATCH($C468&amp;"_Therm Saved per Unit- MLA",Algorithms!$A:$A,0)),0)*X468</f>
        <v>0</v>
      </c>
      <c r="CB468" s="266">
        <f ca="1">O468*IFERROR(INDEX(Algorithms!$G:$G,MATCH($C468&amp;"_Therm Saved per Unit- MLA",Algorithms!$A:$A,0)),0)*Y468</f>
        <v>0</v>
      </c>
      <c r="CC468" s="266">
        <f ca="1">P468*IFERROR(INDEX(Algorithms!$G:$G,MATCH($C468&amp;"_Therm Saved per Unit- MLA",Algorithms!$A:$A,0)),0)*Z468</f>
        <v>0</v>
      </c>
      <c r="CD468" s="266">
        <f ca="1">Q468*IFERROR(INDEX(Algorithms!$G:$G,MATCH($C468&amp;"_Therm Saved per Unit- MLA",Algorithms!$A:$A,0)),0)*AA468</f>
        <v>0</v>
      </c>
      <c r="CE468" s="266">
        <f ca="1">IFERROR(INDEX(Algorithms!$G:$G,MATCH($C468&amp;"_Lifetime (years)",Algorithms!$A:$A,0)),0)</f>
        <v>30</v>
      </c>
      <c r="CF468" s="266">
        <f ca="1">IFERROR(INDEX(Algorithms!$G:$G,MATCH($C468&amp;"_Lifetime (years) - Remaining Years",Algorithms!$A:$A,0)),0)</f>
        <v>10</v>
      </c>
      <c r="CG468" s="266">
        <f t="shared" ca="1" si="313"/>
        <v>0</v>
      </c>
      <c r="CH468" s="266">
        <f t="shared" ca="1" si="314"/>
        <v>0</v>
      </c>
      <c r="CI468" s="266">
        <f t="shared" ca="1" si="315"/>
        <v>0</v>
      </c>
      <c r="CJ468" s="266">
        <f t="shared" ca="1" si="316"/>
        <v>0</v>
      </c>
      <c r="CK468" s="266">
        <f t="shared" si="317"/>
        <v>0</v>
      </c>
      <c r="CL468" s="266">
        <f t="shared" si="318"/>
        <v>0</v>
      </c>
      <c r="CM468" s="266">
        <f t="shared" ca="1" si="319"/>
        <v>0</v>
      </c>
      <c r="CN468" s="266">
        <f t="shared" ca="1" si="320"/>
        <v>0</v>
      </c>
      <c r="CO468" s="266">
        <f ca="1">N468*IFERROR(INDEX(Algorithms!$G:$G,MATCH($C468&amp;"_Therm Saved per Unit- MLA",Algorithms!$A:$A,0)),0)*X468</f>
        <v>0</v>
      </c>
      <c r="CP468" s="266">
        <f ca="1">O468*IFERROR(INDEX(Algorithms!$G:$G,MATCH($C468&amp;"_Therm Saved per Unit- MLA",Algorithms!$A:$A,0)),0)*Y468</f>
        <v>0</v>
      </c>
      <c r="CQ468" s="266">
        <f ca="1">P468*IFERROR(INDEX(Algorithms!$G:$G,MATCH($C468&amp;"_Therm Saved per Unit- MLA",Algorithms!$A:$A,0)),0)*Z468</f>
        <v>0</v>
      </c>
      <c r="CR468" s="266">
        <f ca="1">Q468*IFERROR(INDEX(Algorithms!$G:$G,MATCH($C468&amp;"_Therm Saved per Unit- MLA",Algorithms!$A:$A,0)),0)*AA468</f>
        <v>0</v>
      </c>
      <c r="CS468" s="266">
        <f ca="1">IFERROR(INDEX(Algorithms!$G:$G,MATCH($C468&amp;"_Lifetime (years)",Algorithms!$A:$A,0)),0)</f>
        <v>30</v>
      </c>
      <c r="CT468" s="266">
        <f ca="1">IFERROR(INDEX(Algorithms!$G:$G,MATCH($C468&amp;"_Lifetime (years) - Remaining Years",Algorithms!$A:$A,0)),0)</f>
        <v>10</v>
      </c>
      <c r="CU468" s="266">
        <f t="shared" ca="1" si="321"/>
        <v>0</v>
      </c>
      <c r="CV468" s="266">
        <f t="shared" ca="1" si="322"/>
        <v>0</v>
      </c>
      <c r="CW468" s="266">
        <f t="shared" ca="1" si="323"/>
        <v>0</v>
      </c>
      <c r="CX468" s="266">
        <f t="shared" ca="1" si="324"/>
        <v>0</v>
      </c>
    </row>
    <row r="469" spans="2:102" s="47" customFormat="1" ht="18" customHeight="1" x14ac:dyDescent="0.25">
      <c r="B469" t="str">
        <f t="shared" si="325"/>
        <v>NSG_Income Eligible_Multi-Family_Whole Building - Public Housing_Wall Insulation_0_SF</v>
      </c>
      <c r="C469" s="47" t="str">
        <f t="shared" si="286"/>
        <v>Wall Insulation_0_SF</v>
      </c>
      <c r="D469" s="270" t="s">
        <v>1787</v>
      </c>
      <c r="E469" s="270" t="s">
        <v>325</v>
      </c>
      <c r="F469" s="270" t="s">
        <v>1422</v>
      </c>
      <c r="G469" s="270" t="s">
        <v>1817</v>
      </c>
      <c r="H469" s="270" t="s">
        <v>222</v>
      </c>
      <c r="I469" s="270">
        <v>0</v>
      </c>
      <c r="J469" s="270" t="s">
        <v>409</v>
      </c>
      <c r="K469" s="263">
        <v>1</v>
      </c>
      <c r="L469" s="263" t="str">
        <f ca="1">IFERROR(INDEX(Algorithms!J:J,MATCH($C469&amp;"_Therm Saved per Unit",Algorithms!$A:$A,0)),"n/a")</f>
        <v>5.6.4</v>
      </c>
      <c r="M469" s="263" t="str">
        <f>IFERROR(INDEX('Measure Level Detail'!$N:$N,MATCH($B469,'Measure Level Detail'!$B:$B,0)),0)</f>
        <v>each</v>
      </c>
      <c r="N469" s="271">
        <f>IFERROR(INDEX('Measure Level Detail'!$P:$P,MATCH($B469&amp;"_"&amp;N$3,'Measure Level Detail'!$C:$C,0)),0)</f>
        <v>0</v>
      </c>
      <c r="O469" s="271">
        <f>IFERROR(INDEX('Measure Level Detail'!$P:$P,MATCH($B469&amp;"_"&amp;O$3,'Measure Level Detail'!$C:$C,0)),0)</f>
        <v>0</v>
      </c>
      <c r="P469" s="271">
        <f>IFERROR(INDEX('Measure Level Detail'!$P:$P,MATCH($B469&amp;"_"&amp;P$3,'Measure Level Detail'!$C:$C,0)),0)</f>
        <v>0</v>
      </c>
      <c r="Q469" s="271">
        <f>IFERROR(INDEX('Measure Level Detail'!$P:$P,MATCH($B469&amp;"_"&amp;Q$3,'Measure Level Detail'!$C:$C,0)),0)</f>
        <v>0</v>
      </c>
      <c r="R469" s="263" t="str">
        <f ca="1">IFERROR(INDEX(Algorithms!K:K,MATCH($C469&amp;"_Therm Saved per Unit",Algorithms!$A:$A,0)),"n/a")</f>
        <v>RS-SHL-WINS-V13-240101</v>
      </c>
      <c r="S469" s="262"/>
      <c r="T469" s="272">
        <v>0.10827529411764705</v>
      </c>
      <c r="U469" s="272">
        <v>0.10827529411764705</v>
      </c>
      <c r="V469" s="272">
        <v>0.10827529411764705</v>
      </c>
      <c r="W469" s="272">
        <v>0.10827529411764705</v>
      </c>
      <c r="X469" s="273">
        <f>IFERROR(INDEX('Measure Level Detail'!$R:$R,MATCH($B469&amp;"_"&amp;X$3,'Measure Level Detail'!$C:$C,0)),0)</f>
        <v>1</v>
      </c>
      <c r="Y469" s="273">
        <f>IFERROR(INDEX('Measure Level Detail'!$R:$R,MATCH($B469&amp;"_"&amp;Y$3,'Measure Level Detail'!$C:$C,0)),0)</f>
        <v>1</v>
      </c>
      <c r="Z469" s="273">
        <f>IFERROR(INDEX('Measure Level Detail'!$R:$R,MATCH($B469&amp;"_"&amp;Z$3,'Measure Level Detail'!$C:$C,0)),0)</f>
        <v>1</v>
      </c>
      <c r="AA469" s="273">
        <f>IFERROR(INDEX('Measure Level Detail'!$R:$R,MATCH($B469&amp;"_"&amp;AA$3,'Measure Level Detail'!$C:$C,0)),0)</f>
        <v>1</v>
      </c>
      <c r="AB469" s="266">
        <f t="shared" si="287"/>
        <v>0</v>
      </c>
      <c r="AC469" s="266">
        <f t="shared" si="288"/>
        <v>0</v>
      </c>
      <c r="AD469" s="266">
        <f t="shared" si="289"/>
        <v>0</v>
      </c>
      <c r="AE469" s="266">
        <f t="shared" si="290"/>
        <v>0</v>
      </c>
      <c r="AF469" s="266">
        <f t="shared" si="291"/>
        <v>0</v>
      </c>
      <c r="AG469" s="274">
        <v>1</v>
      </c>
      <c r="AH469" s="274">
        <v>1</v>
      </c>
      <c r="AI469" s="274">
        <v>1</v>
      </c>
      <c r="AJ469" s="274">
        <v>1</v>
      </c>
      <c r="AK469" s="274">
        <f t="shared" si="292"/>
        <v>1</v>
      </c>
      <c r="AL469" s="274">
        <f t="shared" si="293"/>
        <v>1</v>
      </c>
      <c r="AM469" s="274">
        <f t="shared" si="294"/>
        <v>1</v>
      </c>
      <c r="AN469" s="274">
        <f t="shared" si="295"/>
        <v>1</v>
      </c>
      <c r="AO469" s="262"/>
      <c r="AP469" s="262"/>
      <c r="AQ469" s="267">
        <v>0.10827529411764705</v>
      </c>
      <c r="AR469" s="262"/>
      <c r="AS469" s="266">
        <f t="shared" si="296"/>
        <v>0</v>
      </c>
      <c r="AT469" s="264">
        <f t="shared" si="297"/>
        <v>0</v>
      </c>
      <c r="AU469" s="262"/>
      <c r="AV469" s="262"/>
      <c r="AW469" s="265">
        <v>0.10827529411764705</v>
      </c>
      <c r="AX469" s="164" t="s">
        <v>2393</v>
      </c>
      <c r="AY469" s="266">
        <v>0</v>
      </c>
      <c r="AZ469" s="266">
        <f t="shared" si="298"/>
        <v>0</v>
      </c>
      <c r="BA469" s="264">
        <f t="shared" si="299"/>
        <v>0</v>
      </c>
      <c r="BB469" s="262"/>
      <c r="BC469" s="262"/>
      <c r="BD469" s="265">
        <f ca="1">IFERROR(INDEX(Algorithms!$G:$G,MATCH($C469&amp;"_Therm Saved per Unit",Algorithms!$A:$A,0)),0)</f>
        <v>0.10668494117647059</v>
      </c>
      <c r="BE469" s="164" t="str">
        <f ca="1">IFERROR(INDEX('v12 Revisions'!$P$29:$P$186, MATCH('Measure-Level Adj Gas'!$L469, 'v12 Revisions'!$D$29:$D$186,0)),"")</f>
        <v>Updated HDD from 5113 to 4798 and shell adjustment factor from 0.60 to 0.63 ; Updated measure life to 30 years.</v>
      </c>
      <c r="BF469" s="266">
        <f t="shared" ca="1" si="300"/>
        <v>0</v>
      </c>
      <c r="BG469" s="264">
        <f t="shared" ca="1" si="301"/>
        <v>0</v>
      </c>
      <c r="BH469" s="262"/>
      <c r="BI469" s="262"/>
      <c r="BJ469" s="265">
        <f ca="1">IFERROR(INDEX(Algorithms!$G:$G,MATCH($C469&amp;"_Therm Saved per Unit",Algorithms!$A:$A,0)),0)</f>
        <v>0.10668494117647059</v>
      </c>
      <c r="BK469" s="164"/>
      <c r="BL469" s="266">
        <f t="shared" ca="1" si="302"/>
        <v>0</v>
      </c>
      <c r="BM469" s="264">
        <f t="shared" ca="1" si="303"/>
        <v>0</v>
      </c>
      <c r="BN469" s="266">
        <f t="shared" si="304"/>
        <v>0</v>
      </c>
      <c r="BO469" s="266">
        <f t="shared" si="305"/>
        <v>0</v>
      </c>
      <c r="BP469" s="266">
        <f t="shared" ca="1" si="306"/>
        <v>0</v>
      </c>
      <c r="BQ469" s="266">
        <f t="shared" ca="1" si="307"/>
        <v>0</v>
      </c>
      <c r="BR469" s="268">
        <f t="shared" ca="1" si="308"/>
        <v>0</v>
      </c>
      <c r="BS469" s="262" t="s">
        <v>99</v>
      </c>
      <c r="BT469" s="277"/>
      <c r="BW469" s="266">
        <f t="shared" si="309"/>
        <v>0</v>
      </c>
      <c r="BX469" s="266">
        <f t="shared" si="310"/>
        <v>0</v>
      </c>
      <c r="BY469" s="266">
        <f t="shared" si="311"/>
        <v>0</v>
      </c>
      <c r="BZ469" s="266">
        <f t="shared" si="312"/>
        <v>0</v>
      </c>
      <c r="CA469" s="266">
        <f ca="1">N469*IFERROR(INDEX(Algorithms!$G:$G,MATCH($C469&amp;"_Therm Saved per Unit- MLA",Algorithms!$A:$A,0)),0)*X469</f>
        <v>0</v>
      </c>
      <c r="CB469" s="266">
        <f ca="1">O469*IFERROR(INDEX(Algorithms!$G:$G,MATCH($C469&amp;"_Therm Saved per Unit- MLA",Algorithms!$A:$A,0)),0)*Y469</f>
        <v>0</v>
      </c>
      <c r="CC469" s="266">
        <f ca="1">P469*IFERROR(INDEX(Algorithms!$G:$G,MATCH($C469&amp;"_Therm Saved per Unit- MLA",Algorithms!$A:$A,0)),0)*Z469</f>
        <v>0</v>
      </c>
      <c r="CD469" s="266">
        <f ca="1">Q469*IFERROR(INDEX(Algorithms!$G:$G,MATCH($C469&amp;"_Therm Saved per Unit- MLA",Algorithms!$A:$A,0)),0)*AA469</f>
        <v>0</v>
      </c>
      <c r="CE469" s="266">
        <f ca="1">IFERROR(INDEX(Algorithms!$G:$G,MATCH($C469&amp;"_Lifetime (years)",Algorithms!$A:$A,0)),0)</f>
        <v>30</v>
      </c>
      <c r="CF469" s="266">
        <f ca="1">IFERROR(INDEX(Algorithms!$G:$G,MATCH($C469&amp;"_Lifetime (years) - Remaining Years",Algorithms!$A:$A,0)),0)</f>
        <v>10</v>
      </c>
      <c r="CG469" s="266">
        <f t="shared" ca="1" si="313"/>
        <v>0</v>
      </c>
      <c r="CH469" s="266">
        <f t="shared" ca="1" si="314"/>
        <v>0</v>
      </c>
      <c r="CI469" s="266">
        <f t="shared" ca="1" si="315"/>
        <v>0</v>
      </c>
      <c r="CJ469" s="266">
        <f t="shared" ca="1" si="316"/>
        <v>0</v>
      </c>
      <c r="CK469" s="266">
        <f t="shared" si="317"/>
        <v>0</v>
      </c>
      <c r="CL469" s="266">
        <f t="shared" si="318"/>
        <v>0</v>
      </c>
      <c r="CM469" s="266">
        <f t="shared" ca="1" si="319"/>
        <v>0</v>
      </c>
      <c r="CN469" s="266">
        <f t="shared" ca="1" si="320"/>
        <v>0</v>
      </c>
      <c r="CO469" s="266">
        <f ca="1">N469*IFERROR(INDEX(Algorithms!$G:$G,MATCH($C469&amp;"_Therm Saved per Unit- MLA",Algorithms!$A:$A,0)),0)*X469</f>
        <v>0</v>
      </c>
      <c r="CP469" s="266">
        <f ca="1">O469*IFERROR(INDEX(Algorithms!$G:$G,MATCH($C469&amp;"_Therm Saved per Unit- MLA",Algorithms!$A:$A,0)),0)*Y469</f>
        <v>0</v>
      </c>
      <c r="CQ469" s="266">
        <f ca="1">P469*IFERROR(INDEX(Algorithms!$G:$G,MATCH($C469&amp;"_Therm Saved per Unit- MLA",Algorithms!$A:$A,0)),0)*Z469</f>
        <v>0</v>
      </c>
      <c r="CR469" s="266">
        <f ca="1">Q469*IFERROR(INDEX(Algorithms!$G:$G,MATCH($C469&amp;"_Therm Saved per Unit- MLA",Algorithms!$A:$A,0)),0)*AA469</f>
        <v>0</v>
      </c>
      <c r="CS469" s="266">
        <f ca="1">IFERROR(INDEX(Algorithms!$G:$G,MATCH($C469&amp;"_Lifetime (years)",Algorithms!$A:$A,0)),0)</f>
        <v>30</v>
      </c>
      <c r="CT469" s="266">
        <f ca="1">IFERROR(INDEX(Algorithms!$G:$G,MATCH($C469&amp;"_Lifetime (years) - Remaining Years",Algorithms!$A:$A,0)),0)</f>
        <v>10</v>
      </c>
      <c r="CU469" s="266">
        <f t="shared" ca="1" si="321"/>
        <v>0</v>
      </c>
      <c r="CV469" s="266">
        <f t="shared" ca="1" si="322"/>
        <v>0</v>
      </c>
      <c r="CW469" s="266">
        <f t="shared" ca="1" si="323"/>
        <v>0</v>
      </c>
      <c r="CX469" s="266">
        <f t="shared" ca="1" si="324"/>
        <v>0</v>
      </c>
    </row>
    <row r="470" spans="2:102" s="47" customFormat="1" ht="18" customHeight="1" x14ac:dyDescent="0.25">
      <c r="B470" t="str">
        <f t="shared" si="325"/>
        <v>NSG_Income Eligible_Multi-Family_Whole Building - Public Housing_Foundation Insulation_0_SF</v>
      </c>
      <c r="C470" s="47" t="str">
        <f t="shared" si="286"/>
        <v>Foundation Insulation_0_SF</v>
      </c>
      <c r="D470" s="270" t="s">
        <v>1787</v>
      </c>
      <c r="E470" s="270" t="s">
        <v>325</v>
      </c>
      <c r="F470" s="270" t="s">
        <v>1422</v>
      </c>
      <c r="G470" s="270" t="s">
        <v>1817</v>
      </c>
      <c r="H470" s="270" t="s">
        <v>608</v>
      </c>
      <c r="I470" s="270">
        <v>0</v>
      </c>
      <c r="J470" s="270" t="s">
        <v>409</v>
      </c>
      <c r="K470" s="263">
        <v>1</v>
      </c>
      <c r="L470" s="263" t="str">
        <f ca="1">IFERROR(INDEX(Algorithms!J:J,MATCH($C470&amp;"_Therm Saved per Unit",Algorithms!$A:$A,0)),"n/a")</f>
        <v>5.6.2</v>
      </c>
      <c r="M470" s="263" t="str">
        <f>IFERROR(INDEX('Measure Level Detail'!$N:$N,MATCH($B470,'Measure Level Detail'!$B:$B,0)),0)</f>
        <v>sq ft</v>
      </c>
      <c r="N470" s="271">
        <f>IFERROR(INDEX('Measure Level Detail'!$P:$P,MATCH($B470&amp;"_"&amp;N$3,'Measure Level Detail'!$C:$C,0)),0)</f>
        <v>0</v>
      </c>
      <c r="O470" s="271">
        <f>IFERROR(INDEX('Measure Level Detail'!$P:$P,MATCH($B470&amp;"_"&amp;O$3,'Measure Level Detail'!$C:$C,0)),0)</f>
        <v>0</v>
      </c>
      <c r="P470" s="271">
        <f>IFERROR(INDEX('Measure Level Detail'!$P:$P,MATCH($B470&amp;"_"&amp;P$3,'Measure Level Detail'!$C:$C,0)),0)</f>
        <v>0</v>
      </c>
      <c r="Q470" s="271">
        <f>IFERROR(INDEX('Measure Level Detail'!$P:$P,MATCH($B470&amp;"_"&amp;Q$3,'Measure Level Detail'!$C:$C,0)),0)</f>
        <v>0</v>
      </c>
      <c r="R470" s="263" t="str">
        <f ca="1">IFERROR(INDEX(Algorithms!K:K,MATCH($C470&amp;"_Therm Saved per Unit",Algorithms!$A:$A,0)),"n/a")</f>
        <v>RS-SHL-BINS-V14-240101</v>
      </c>
      <c r="S470" s="262"/>
      <c r="T470" s="272">
        <v>0.13695535714285714</v>
      </c>
      <c r="U470" s="272">
        <v>0.13695535714285714</v>
      </c>
      <c r="V470" s="272">
        <v>0.13695535714285714</v>
      </c>
      <c r="W470" s="272">
        <v>0.13695535714285714</v>
      </c>
      <c r="X470" s="273">
        <f>IFERROR(INDEX('Measure Level Detail'!$R:$R,MATCH($B470&amp;"_"&amp;X$3,'Measure Level Detail'!$C:$C,0)),0)</f>
        <v>1</v>
      </c>
      <c r="Y470" s="273">
        <f>IFERROR(INDEX('Measure Level Detail'!$R:$R,MATCH($B470&amp;"_"&amp;Y$3,'Measure Level Detail'!$C:$C,0)),0)</f>
        <v>1</v>
      </c>
      <c r="Z470" s="273">
        <f>IFERROR(INDEX('Measure Level Detail'!$R:$R,MATCH($B470&amp;"_"&amp;Z$3,'Measure Level Detail'!$C:$C,0)),0)</f>
        <v>1</v>
      </c>
      <c r="AA470" s="273">
        <f>IFERROR(INDEX('Measure Level Detail'!$R:$R,MATCH($B470&amp;"_"&amp;AA$3,'Measure Level Detail'!$C:$C,0)),0)</f>
        <v>1</v>
      </c>
      <c r="AB470" s="266">
        <f t="shared" si="287"/>
        <v>0</v>
      </c>
      <c r="AC470" s="266">
        <f t="shared" si="288"/>
        <v>0</v>
      </c>
      <c r="AD470" s="266">
        <f t="shared" si="289"/>
        <v>0</v>
      </c>
      <c r="AE470" s="266">
        <f t="shared" si="290"/>
        <v>0</v>
      </c>
      <c r="AF470" s="266">
        <f t="shared" si="291"/>
        <v>0</v>
      </c>
      <c r="AG470" s="274">
        <v>1</v>
      </c>
      <c r="AH470" s="274">
        <v>1</v>
      </c>
      <c r="AI470" s="274">
        <v>1</v>
      </c>
      <c r="AJ470" s="274">
        <v>1</v>
      </c>
      <c r="AK470" s="274">
        <f t="shared" si="292"/>
        <v>1</v>
      </c>
      <c r="AL470" s="274">
        <f t="shared" si="293"/>
        <v>1</v>
      </c>
      <c r="AM470" s="274">
        <f t="shared" si="294"/>
        <v>1</v>
      </c>
      <c r="AN470" s="274">
        <f t="shared" si="295"/>
        <v>1</v>
      </c>
      <c r="AO470" s="262"/>
      <c r="AP470" s="262"/>
      <c r="AQ470" s="267">
        <v>0.13695535714285714</v>
      </c>
      <c r="AR470" s="262"/>
      <c r="AS470" s="266">
        <f t="shared" si="296"/>
        <v>0</v>
      </c>
      <c r="AT470" s="264">
        <f t="shared" si="297"/>
        <v>0</v>
      </c>
      <c r="AU470" s="262"/>
      <c r="AV470" s="262"/>
      <c r="AW470" s="265">
        <v>0.13695535714285714</v>
      </c>
      <c r="AX470" s="164" t="s">
        <v>2393</v>
      </c>
      <c r="AY470" s="266">
        <v>0</v>
      </c>
      <c r="AZ470" s="266">
        <f t="shared" si="298"/>
        <v>0</v>
      </c>
      <c r="BA470" s="264">
        <f t="shared" si="299"/>
        <v>0</v>
      </c>
      <c r="BB470" s="262"/>
      <c r="BC470" s="262"/>
      <c r="BD470" s="265">
        <f ca="1">IFERROR(INDEX(Algorithms!$G:$G,MATCH($C470&amp;"_Therm Saved per Unit",Algorithms!$A:$A,0)),0)</f>
        <v>0.70170749999999993</v>
      </c>
      <c r="BE470" s="164" t="str">
        <f ca="1">IFERROR(INDEX('v12 Revisions'!$P$29:$P$186, MATCH('Measure-Level Adj Gas'!$L470, 'v12 Revisions'!$D$29:$D$186,0)),"")</f>
        <v>Updated HDD from 5113 to 4798 and shell adjustment factor from 0.60 to 0.63 ; Updated measure life to 30 years.</v>
      </c>
      <c r="BF470" s="266">
        <f t="shared" ca="1" si="300"/>
        <v>0</v>
      </c>
      <c r="BG470" s="264">
        <f t="shared" ca="1" si="301"/>
        <v>0</v>
      </c>
      <c r="BH470" s="262"/>
      <c r="BI470" s="262"/>
      <c r="BJ470" s="265">
        <f ca="1">IFERROR(INDEX(Algorithms!$G:$G,MATCH($C470&amp;"_Therm Saved per Unit",Algorithms!$A:$A,0)),0)</f>
        <v>0.70170749999999993</v>
      </c>
      <c r="BK470" s="164"/>
      <c r="BL470" s="266">
        <f t="shared" ca="1" si="302"/>
        <v>0</v>
      </c>
      <c r="BM470" s="264">
        <f t="shared" ca="1" si="303"/>
        <v>0</v>
      </c>
      <c r="BN470" s="266">
        <f t="shared" si="304"/>
        <v>0</v>
      </c>
      <c r="BO470" s="266">
        <f t="shared" si="305"/>
        <v>0</v>
      </c>
      <c r="BP470" s="266">
        <f t="shared" ca="1" si="306"/>
        <v>0</v>
      </c>
      <c r="BQ470" s="266">
        <f t="shared" ca="1" si="307"/>
        <v>0</v>
      </c>
      <c r="BR470" s="268">
        <f t="shared" ca="1" si="308"/>
        <v>0</v>
      </c>
      <c r="BS470" s="262" t="s">
        <v>99</v>
      </c>
      <c r="BT470" s="277"/>
      <c r="BW470" s="266">
        <f t="shared" si="309"/>
        <v>0</v>
      </c>
      <c r="BX470" s="266">
        <f t="shared" si="310"/>
        <v>0</v>
      </c>
      <c r="BY470" s="266">
        <f t="shared" si="311"/>
        <v>0</v>
      </c>
      <c r="BZ470" s="266">
        <f t="shared" si="312"/>
        <v>0</v>
      </c>
      <c r="CA470" s="266">
        <f ca="1">N470*IFERROR(INDEX(Algorithms!$G:$G,MATCH($C470&amp;"_Therm Saved per Unit- MLA",Algorithms!$A:$A,0)),0)*X470</f>
        <v>0</v>
      </c>
      <c r="CB470" s="266">
        <f ca="1">O470*IFERROR(INDEX(Algorithms!$G:$G,MATCH($C470&amp;"_Therm Saved per Unit- MLA",Algorithms!$A:$A,0)),0)*Y470</f>
        <v>0</v>
      </c>
      <c r="CC470" s="266">
        <f ca="1">P470*IFERROR(INDEX(Algorithms!$G:$G,MATCH($C470&amp;"_Therm Saved per Unit- MLA",Algorithms!$A:$A,0)),0)*Z470</f>
        <v>0</v>
      </c>
      <c r="CD470" s="266">
        <f ca="1">Q470*IFERROR(INDEX(Algorithms!$G:$G,MATCH($C470&amp;"_Therm Saved per Unit- MLA",Algorithms!$A:$A,0)),0)*AA470</f>
        <v>0</v>
      </c>
      <c r="CE470" s="266">
        <f ca="1">IFERROR(INDEX(Algorithms!$G:$G,MATCH($C470&amp;"_Lifetime (years)",Algorithms!$A:$A,0)),0)</f>
        <v>30</v>
      </c>
      <c r="CF470" s="266">
        <f ca="1">IFERROR(INDEX(Algorithms!$G:$G,MATCH($C470&amp;"_Lifetime (years) - Remaining Years",Algorithms!$A:$A,0)),0)</f>
        <v>10</v>
      </c>
      <c r="CG470" s="266">
        <f t="shared" ca="1" si="313"/>
        <v>0</v>
      </c>
      <c r="CH470" s="266">
        <f t="shared" ca="1" si="314"/>
        <v>0</v>
      </c>
      <c r="CI470" s="266">
        <f t="shared" ca="1" si="315"/>
        <v>0</v>
      </c>
      <c r="CJ470" s="266">
        <f t="shared" ca="1" si="316"/>
        <v>0</v>
      </c>
      <c r="CK470" s="266">
        <f t="shared" si="317"/>
        <v>0</v>
      </c>
      <c r="CL470" s="266">
        <f t="shared" si="318"/>
        <v>0</v>
      </c>
      <c r="CM470" s="266">
        <f t="shared" ca="1" si="319"/>
        <v>0</v>
      </c>
      <c r="CN470" s="266">
        <f t="shared" ca="1" si="320"/>
        <v>0</v>
      </c>
      <c r="CO470" s="266">
        <f ca="1">N470*IFERROR(INDEX(Algorithms!$G:$G,MATCH($C470&amp;"_Therm Saved per Unit- MLA",Algorithms!$A:$A,0)),0)*X470</f>
        <v>0</v>
      </c>
      <c r="CP470" s="266">
        <f ca="1">O470*IFERROR(INDEX(Algorithms!$G:$G,MATCH($C470&amp;"_Therm Saved per Unit- MLA",Algorithms!$A:$A,0)),0)*Y470</f>
        <v>0</v>
      </c>
      <c r="CQ470" s="266">
        <f ca="1">P470*IFERROR(INDEX(Algorithms!$G:$G,MATCH($C470&amp;"_Therm Saved per Unit- MLA",Algorithms!$A:$A,0)),0)*Z470</f>
        <v>0</v>
      </c>
      <c r="CR470" s="266">
        <f ca="1">Q470*IFERROR(INDEX(Algorithms!$G:$G,MATCH($C470&amp;"_Therm Saved per Unit- MLA",Algorithms!$A:$A,0)),0)*AA470</f>
        <v>0</v>
      </c>
      <c r="CS470" s="266">
        <f ca="1">IFERROR(INDEX(Algorithms!$G:$G,MATCH($C470&amp;"_Lifetime (years)",Algorithms!$A:$A,0)),0)</f>
        <v>30</v>
      </c>
      <c r="CT470" s="266">
        <f ca="1">IFERROR(INDEX(Algorithms!$G:$G,MATCH($C470&amp;"_Lifetime (years) - Remaining Years",Algorithms!$A:$A,0)),0)</f>
        <v>10</v>
      </c>
      <c r="CU470" s="266">
        <f t="shared" ca="1" si="321"/>
        <v>0</v>
      </c>
      <c r="CV470" s="266">
        <f t="shared" ca="1" si="322"/>
        <v>0</v>
      </c>
      <c r="CW470" s="266">
        <f t="shared" ca="1" si="323"/>
        <v>0</v>
      </c>
      <c r="CX470" s="266">
        <f t="shared" ca="1" si="324"/>
        <v>0</v>
      </c>
    </row>
    <row r="471" spans="2:102" s="47" customFormat="1" ht="18" customHeight="1" x14ac:dyDescent="0.25">
      <c r="B471" t="str">
        <f t="shared" si="325"/>
        <v>NSG_Income Eligible_Multi-Family_Whole Building - Public Housing_Floor Insulation Above Crawlspace_0_Sf</v>
      </c>
      <c r="C471" s="47" t="str">
        <f t="shared" si="286"/>
        <v>Floor Insulation Above Crawlspace_0_Sf</v>
      </c>
      <c r="D471" s="270" t="s">
        <v>1787</v>
      </c>
      <c r="E471" s="270" t="s">
        <v>325</v>
      </c>
      <c r="F471" s="270" t="s">
        <v>1422</v>
      </c>
      <c r="G471" s="270" t="s">
        <v>1817</v>
      </c>
      <c r="H471" s="270" t="s">
        <v>244</v>
      </c>
      <c r="I471" s="270">
        <v>0</v>
      </c>
      <c r="J471" s="270" t="s">
        <v>1442</v>
      </c>
      <c r="K471" s="263">
        <v>1</v>
      </c>
      <c r="L471" s="263" t="str">
        <f ca="1">IFERROR(INDEX(Algorithms!J:J,MATCH($C471&amp;"_Therm Saved per Unit",Algorithms!$A:$A,0)),"n/a")</f>
        <v>5.6.3</v>
      </c>
      <c r="M471" s="263" t="str">
        <f>IFERROR(INDEX('Measure Level Detail'!$N:$N,MATCH($B471,'Measure Level Detail'!$B:$B,0)),0)</f>
        <v>each</v>
      </c>
      <c r="N471" s="271">
        <f>IFERROR(INDEX('Measure Level Detail'!$P:$P,MATCH($B471&amp;"_"&amp;N$3,'Measure Level Detail'!$C:$C,0)),0)</f>
        <v>0</v>
      </c>
      <c r="O471" s="271">
        <f>IFERROR(INDEX('Measure Level Detail'!$P:$P,MATCH($B471&amp;"_"&amp;O$3,'Measure Level Detail'!$C:$C,0)),0)</f>
        <v>0</v>
      </c>
      <c r="P471" s="271">
        <f>IFERROR(INDEX('Measure Level Detail'!$P:$P,MATCH($B471&amp;"_"&amp;P$3,'Measure Level Detail'!$C:$C,0)),0)</f>
        <v>0</v>
      </c>
      <c r="Q471" s="271">
        <f>IFERROR(INDEX('Measure Level Detail'!$P:$P,MATCH($B471&amp;"_"&amp;Q$3,'Measure Level Detail'!$C:$C,0)),0)</f>
        <v>0</v>
      </c>
      <c r="R471" s="263" t="str">
        <f ca="1">IFERROR(INDEX(Algorithms!K:K,MATCH($C471&amp;"_Therm Saved per Unit",Algorithms!$A:$A,0)),"n/a")</f>
        <v>RS-SHL-FINS-V15-240101</v>
      </c>
      <c r="S471" s="262"/>
      <c r="T471" s="272">
        <v>0.10489255765199164</v>
      </c>
      <c r="U471" s="272">
        <v>0.10489255765199164</v>
      </c>
      <c r="V471" s="272">
        <v>0.10489255765199164</v>
      </c>
      <c r="W471" s="272">
        <v>0.10489255765199164</v>
      </c>
      <c r="X471" s="273">
        <f>IFERROR(INDEX('Measure Level Detail'!$R:$R,MATCH($B471&amp;"_"&amp;X$3,'Measure Level Detail'!$C:$C,0)),0)</f>
        <v>1</v>
      </c>
      <c r="Y471" s="273">
        <f>IFERROR(INDEX('Measure Level Detail'!$R:$R,MATCH($B471&amp;"_"&amp;Y$3,'Measure Level Detail'!$C:$C,0)),0)</f>
        <v>1</v>
      </c>
      <c r="Z471" s="273">
        <f>IFERROR(INDEX('Measure Level Detail'!$R:$R,MATCH($B471&amp;"_"&amp;Z$3,'Measure Level Detail'!$C:$C,0)),0)</f>
        <v>1</v>
      </c>
      <c r="AA471" s="273">
        <f>IFERROR(INDEX('Measure Level Detail'!$R:$R,MATCH($B471&amp;"_"&amp;AA$3,'Measure Level Detail'!$C:$C,0)),0)</f>
        <v>1</v>
      </c>
      <c r="AB471" s="266">
        <f t="shared" si="287"/>
        <v>0</v>
      </c>
      <c r="AC471" s="266">
        <f t="shared" si="288"/>
        <v>0</v>
      </c>
      <c r="AD471" s="266">
        <f t="shared" si="289"/>
        <v>0</v>
      </c>
      <c r="AE471" s="266">
        <f t="shared" si="290"/>
        <v>0</v>
      </c>
      <c r="AF471" s="266">
        <f t="shared" si="291"/>
        <v>0</v>
      </c>
      <c r="AG471" s="274">
        <v>1</v>
      </c>
      <c r="AH471" s="274">
        <v>1</v>
      </c>
      <c r="AI471" s="274">
        <v>1</v>
      </c>
      <c r="AJ471" s="274">
        <v>1</v>
      </c>
      <c r="AK471" s="274">
        <f t="shared" si="292"/>
        <v>1</v>
      </c>
      <c r="AL471" s="274">
        <f t="shared" si="293"/>
        <v>1</v>
      </c>
      <c r="AM471" s="274">
        <f t="shared" si="294"/>
        <v>1</v>
      </c>
      <c r="AN471" s="274">
        <f t="shared" si="295"/>
        <v>1</v>
      </c>
      <c r="AO471" s="262"/>
      <c r="AP471" s="262"/>
      <c r="AQ471" s="267">
        <v>0.10489255765199164</v>
      </c>
      <c r="AR471" s="262"/>
      <c r="AS471" s="266">
        <f t="shared" si="296"/>
        <v>0</v>
      </c>
      <c r="AT471" s="264">
        <f t="shared" si="297"/>
        <v>0</v>
      </c>
      <c r="AU471" s="262"/>
      <c r="AV471" s="262"/>
      <c r="AW471" s="265">
        <v>0.10489255765199164</v>
      </c>
      <c r="AX471" s="164" t="s">
        <v>2393</v>
      </c>
      <c r="AY471" s="266">
        <v>0</v>
      </c>
      <c r="AZ471" s="266">
        <f t="shared" si="298"/>
        <v>0</v>
      </c>
      <c r="BA471" s="264">
        <f t="shared" si="299"/>
        <v>0</v>
      </c>
      <c r="BB471" s="262"/>
      <c r="BC471" s="262"/>
      <c r="BD471" s="265">
        <f ca="1">IFERROR(INDEX(Algorithms!$G:$G,MATCH($C471&amp;"_Therm Saved per Unit",Algorithms!$A:$A,0)),0)</f>
        <v>0.10176690251572328</v>
      </c>
      <c r="BE471" s="164" t="str">
        <f ca="1">IFERROR(INDEX('v12 Revisions'!$P$29:$P$186, MATCH('Measure-Level Adj Gas'!$L471, 'v12 Revisions'!$D$29:$D$186,0)),"")</f>
        <v>Updated HDD from 3079 to 2845 and shell adjustment factor from 0.60 to 0.63 ; Updated measure life to 30 years.</v>
      </c>
      <c r="BF471" s="266">
        <f t="shared" ca="1" si="300"/>
        <v>0</v>
      </c>
      <c r="BG471" s="264">
        <f t="shared" ca="1" si="301"/>
        <v>0</v>
      </c>
      <c r="BH471" s="262"/>
      <c r="BI471" s="262"/>
      <c r="BJ471" s="265">
        <f ca="1">IFERROR(INDEX(Algorithms!$G:$G,MATCH($C471&amp;"_Therm Saved per Unit",Algorithms!$A:$A,0)),0)</f>
        <v>0.10176690251572328</v>
      </c>
      <c r="BK471" s="164"/>
      <c r="BL471" s="266">
        <f t="shared" ca="1" si="302"/>
        <v>0</v>
      </c>
      <c r="BM471" s="264">
        <f t="shared" ca="1" si="303"/>
        <v>0</v>
      </c>
      <c r="BN471" s="266">
        <f t="shared" si="304"/>
        <v>0</v>
      </c>
      <c r="BO471" s="266">
        <f t="shared" si="305"/>
        <v>0</v>
      </c>
      <c r="BP471" s="266">
        <f t="shared" ca="1" si="306"/>
        <v>0</v>
      </c>
      <c r="BQ471" s="266">
        <f t="shared" ca="1" si="307"/>
        <v>0</v>
      </c>
      <c r="BR471" s="268">
        <f t="shared" ca="1" si="308"/>
        <v>0</v>
      </c>
      <c r="BS471" s="262" t="s">
        <v>99</v>
      </c>
      <c r="BT471" s="277"/>
      <c r="BW471" s="266">
        <f t="shared" si="309"/>
        <v>0</v>
      </c>
      <c r="BX471" s="266">
        <f t="shared" si="310"/>
        <v>0</v>
      </c>
      <c r="BY471" s="266">
        <f t="shared" si="311"/>
        <v>0</v>
      </c>
      <c r="BZ471" s="266">
        <f t="shared" si="312"/>
        <v>0</v>
      </c>
      <c r="CA471" s="266">
        <f ca="1">N471*IFERROR(INDEX(Algorithms!$G:$G,MATCH($C471&amp;"_Therm Saved per Unit- MLA",Algorithms!$A:$A,0)),0)*X471</f>
        <v>0</v>
      </c>
      <c r="CB471" s="266">
        <f ca="1">O471*IFERROR(INDEX(Algorithms!$G:$G,MATCH($C471&amp;"_Therm Saved per Unit- MLA",Algorithms!$A:$A,0)),0)*Y471</f>
        <v>0</v>
      </c>
      <c r="CC471" s="266">
        <f ca="1">P471*IFERROR(INDEX(Algorithms!$G:$G,MATCH($C471&amp;"_Therm Saved per Unit- MLA",Algorithms!$A:$A,0)),0)*Z471</f>
        <v>0</v>
      </c>
      <c r="CD471" s="266">
        <f ca="1">Q471*IFERROR(INDEX(Algorithms!$G:$G,MATCH($C471&amp;"_Therm Saved per Unit- MLA",Algorithms!$A:$A,0)),0)*AA471</f>
        <v>0</v>
      </c>
      <c r="CE471" s="266">
        <f ca="1">IFERROR(INDEX(Algorithms!$G:$G,MATCH($C471&amp;"_Lifetime (years)",Algorithms!$A:$A,0)),0)</f>
        <v>30</v>
      </c>
      <c r="CF471" s="266">
        <f ca="1">IFERROR(INDEX(Algorithms!$G:$G,MATCH($C471&amp;"_Lifetime (years) - Remaining Years",Algorithms!$A:$A,0)),0)</f>
        <v>10</v>
      </c>
      <c r="CG471" s="266">
        <f t="shared" ca="1" si="313"/>
        <v>0</v>
      </c>
      <c r="CH471" s="266">
        <f t="shared" ca="1" si="314"/>
        <v>0</v>
      </c>
      <c r="CI471" s="266">
        <f t="shared" ca="1" si="315"/>
        <v>0</v>
      </c>
      <c r="CJ471" s="266">
        <f t="shared" ca="1" si="316"/>
        <v>0</v>
      </c>
      <c r="CK471" s="266">
        <f t="shared" si="317"/>
        <v>0</v>
      </c>
      <c r="CL471" s="266">
        <f t="shared" si="318"/>
        <v>0</v>
      </c>
      <c r="CM471" s="266">
        <f t="shared" ca="1" si="319"/>
        <v>0</v>
      </c>
      <c r="CN471" s="266">
        <f t="shared" ca="1" si="320"/>
        <v>0</v>
      </c>
      <c r="CO471" s="266">
        <f ca="1">N471*IFERROR(INDEX(Algorithms!$G:$G,MATCH($C471&amp;"_Therm Saved per Unit- MLA",Algorithms!$A:$A,0)),0)*X471</f>
        <v>0</v>
      </c>
      <c r="CP471" s="266">
        <f ca="1">O471*IFERROR(INDEX(Algorithms!$G:$G,MATCH($C471&amp;"_Therm Saved per Unit- MLA",Algorithms!$A:$A,0)),0)*Y471</f>
        <v>0</v>
      </c>
      <c r="CQ471" s="266">
        <f ca="1">P471*IFERROR(INDEX(Algorithms!$G:$G,MATCH($C471&amp;"_Therm Saved per Unit- MLA",Algorithms!$A:$A,0)),0)*Z471</f>
        <v>0</v>
      </c>
      <c r="CR471" s="266">
        <f ca="1">Q471*IFERROR(INDEX(Algorithms!$G:$G,MATCH($C471&amp;"_Therm Saved per Unit- MLA",Algorithms!$A:$A,0)),0)*AA471</f>
        <v>0</v>
      </c>
      <c r="CS471" s="266">
        <f ca="1">IFERROR(INDEX(Algorithms!$G:$G,MATCH($C471&amp;"_Lifetime (years)",Algorithms!$A:$A,0)),0)</f>
        <v>30</v>
      </c>
      <c r="CT471" s="266">
        <f ca="1">IFERROR(INDEX(Algorithms!$G:$G,MATCH($C471&amp;"_Lifetime (years) - Remaining Years",Algorithms!$A:$A,0)),0)</f>
        <v>10</v>
      </c>
      <c r="CU471" s="266">
        <f t="shared" ca="1" si="321"/>
        <v>0</v>
      </c>
      <c r="CV471" s="266">
        <f t="shared" ca="1" si="322"/>
        <v>0</v>
      </c>
      <c r="CW471" s="266">
        <f t="shared" ca="1" si="323"/>
        <v>0</v>
      </c>
      <c r="CX471" s="266">
        <f t="shared" ca="1" si="324"/>
        <v>0</v>
      </c>
    </row>
    <row r="472" spans="2:102" s="47" customFormat="1" ht="18" customHeight="1" x14ac:dyDescent="0.25">
      <c r="B472" t="str">
        <f t="shared" si="325"/>
        <v>NSG_Income Eligible_Multi-Family_Whole Building - Public Housing_Boiler_≥88% AFUE, &lt;300MBh_MF</v>
      </c>
      <c r="C472" s="47" t="str">
        <f t="shared" si="286"/>
        <v>Boiler_≥88% AFUE, &lt;300MBh_MF</v>
      </c>
      <c r="D472" s="270" t="s">
        <v>1787</v>
      </c>
      <c r="E472" s="270" t="s">
        <v>325</v>
      </c>
      <c r="F472" s="270" t="s">
        <v>1422</v>
      </c>
      <c r="G472" s="270" t="s">
        <v>1817</v>
      </c>
      <c r="H472" s="270" t="s">
        <v>944</v>
      </c>
      <c r="I472" s="270" t="s">
        <v>945</v>
      </c>
      <c r="J472" s="270" t="s">
        <v>553</v>
      </c>
      <c r="K472" s="263">
        <v>1</v>
      </c>
      <c r="L472" s="263" t="str">
        <f ca="1">IFERROR(INDEX(Algorithms!J:J,MATCH($C472&amp;"_Therm Saved per Unit",Algorithms!$A:$A,0)),"n/a")</f>
        <v>4.4.10</v>
      </c>
      <c r="M472" s="263" t="str">
        <f>IFERROR(INDEX('Measure Level Detail'!$N:$N,MATCH($B472,'Measure Level Detail'!$B:$B,0)),0)</f>
        <v>each</v>
      </c>
      <c r="N472" s="271">
        <f>IFERROR(INDEX('Measure Level Detail'!$P:$P,MATCH($B472&amp;"_"&amp;N$3,'Measure Level Detail'!$C:$C,0)),0)</f>
        <v>0</v>
      </c>
      <c r="O472" s="271">
        <f>IFERROR(INDEX('Measure Level Detail'!$P:$P,MATCH($B472&amp;"_"&amp;O$3,'Measure Level Detail'!$C:$C,0)),0)</f>
        <v>0</v>
      </c>
      <c r="P472" s="271">
        <f>IFERROR(INDEX('Measure Level Detail'!$P:$P,MATCH($B472&amp;"_"&amp;P$3,'Measure Level Detail'!$C:$C,0)),0)</f>
        <v>0</v>
      </c>
      <c r="Q472" s="271">
        <f>IFERROR(INDEX('Measure Level Detail'!$P:$P,MATCH($B472&amp;"_"&amp;Q$3,'Measure Level Detail'!$C:$C,0)),0)</f>
        <v>0</v>
      </c>
      <c r="R472" s="263" t="str">
        <f ca="1">IFERROR(INDEX(Algorithms!K:K,MATCH($C472&amp;"_Therm Saved per Unit",Algorithms!$A:$A,0)),"n/a")</f>
        <v>CI-HVC-BOIL-V11-240101</v>
      </c>
      <c r="S472" s="262"/>
      <c r="T472" s="272">
        <v>0.79095238095238163</v>
      </c>
      <c r="U472" s="272">
        <v>0.79095238095238163</v>
      </c>
      <c r="V472" s="272">
        <v>0.79095238095238163</v>
      </c>
      <c r="W472" s="272">
        <v>0.79095238095238163</v>
      </c>
      <c r="X472" s="273">
        <f>IFERROR(INDEX('Measure Level Detail'!$R:$R,MATCH($B472&amp;"_"&amp;X$3,'Measure Level Detail'!$C:$C,0)),0)</f>
        <v>1</v>
      </c>
      <c r="Y472" s="273">
        <f>IFERROR(INDEX('Measure Level Detail'!$R:$R,MATCH($B472&amp;"_"&amp;Y$3,'Measure Level Detail'!$C:$C,0)),0)</f>
        <v>1</v>
      </c>
      <c r="Z472" s="273">
        <f>IFERROR(INDEX('Measure Level Detail'!$R:$R,MATCH($B472&amp;"_"&amp;Z$3,'Measure Level Detail'!$C:$C,0)),0)</f>
        <v>1</v>
      </c>
      <c r="AA472" s="273">
        <f>IFERROR(INDEX('Measure Level Detail'!$R:$R,MATCH($B472&amp;"_"&amp;AA$3,'Measure Level Detail'!$C:$C,0)),0)</f>
        <v>1</v>
      </c>
      <c r="AB472" s="266">
        <f t="shared" si="287"/>
        <v>0</v>
      </c>
      <c r="AC472" s="266">
        <f t="shared" si="288"/>
        <v>0</v>
      </c>
      <c r="AD472" s="266">
        <f t="shared" si="289"/>
        <v>0</v>
      </c>
      <c r="AE472" s="266">
        <f t="shared" si="290"/>
        <v>0</v>
      </c>
      <c r="AF472" s="266">
        <f t="shared" si="291"/>
        <v>0</v>
      </c>
      <c r="AG472" s="274">
        <v>1</v>
      </c>
      <c r="AH472" s="274">
        <v>1</v>
      </c>
      <c r="AI472" s="274">
        <v>1</v>
      </c>
      <c r="AJ472" s="274">
        <v>1</v>
      </c>
      <c r="AK472" s="274">
        <f t="shared" si="292"/>
        <v>1</v>
      </c>
      <c r="AL472" s="274">
        <f t="shared" si="293"/>
        <v>1</v>
      </c>
      <c r="AM472" s="274">
        <f t="shared" si="294"/>
        <v>1</v>
      </c>
      <c r="AN472" s="274">
        <f t="shared" si="295"/>
        <v>1</v>
      </c>
      <c r="AO472" s="262"/>
      <c r="AP472" s="262"/>
      <c r="AQ472" s="267">
        <v>0.79095238095238163</v>
      </c>
      <c r="AR472" s="262"/>
      <c r="AS472" s="266">
        <f t="shared" si="296"/>
        <v>0</v>
      </c>
      <c r="AT472" s="264">
        <f t="shared" si="297"/>
        <v>0</v>
      </c>
      <c r="AU472" s="262"/>
      <c r="AV472" s="262"/>
      <c r="AW472" s="265">
        <v>0.79095238095238163</v>
      </c>
      <c r="AX472" s="164" t="s">
        <v>1469</v>
      </c>
      <c r="AY472" s="266">
        <v>0</v>
      </c>
      <c r="AZ472" s="266">
        <f t="shared" si="298"/>
        <v>0</v>
      </c>
      <c r="BA472" s="264">
        <f t="shared" si="299"/>
        <v>0</v>
      </c>
      <c r="BB472" s="262"/>
      <c r="BC472" s="262"/>
      <c r="BD472" s="265">
        <f ca="1">IFERROR(INDEX(Algorithms!$G:$G,MATCH($C472&amp;"_Therm Saved per Unit",Algorithms!$A:$A,0)),0)</f>
        <v>0.79095238095238163</v>
      </c>
      <c r="BE472" s="164" t="str">
        <f ca="1">IFERROR(INDEX('v12 Revisions'!$P$29:$P$186, MATCH('Measure-Level Adj Gas'!$L472, 'v12 Revisions'!$D$29:$D$186,0)),"")</f>
        <v>Updated baseline and efficient boiler efficiency ratings.</v>
      </c>
      <c r="BF472" s="266">
        <f t="shared" ca="1" si="300"/>
        <v>0</v>
      </c>
      <c r="BG472" s="264">
        <f t="shared" ca="1" si="301"/>
        <v>0</v>
      </c>
      <c r="BH472" s="262"/>
      <c r="BI472" s="262"/>
      <c r="BJ472" s="265">
        <f ca="1">IFERROR(INDEX(Algorithms!$G:$G,MATCH($C472&amp;"_Therm Saved per Unit",Algorithms!$A:$A,0)),0)</f>
        <v>0.79095238095238163</v>
      </c>
      <c r="BK472" s="164"/>
      <c r="BL472" s="266">
        <f t="shared" ca="1" si="302"/>
        <v>0</v>
      </c>
      <c r="BM472" s="264">
        <f t="shared" ca="1" si="303"/>
        <v>0</v>
      </c>
      <c r="BN472" s="266">
        <f t="shared" si="304"/>
        <v>0</v>
      </c>
      <c r="BO472" s="266">
        <f t="shared" si="305"/>
        <v>0</v>
      </c>
      <c r="BP472" s="266">
        <f t="shared" ca="1" si="306"/>
        <v>0</v>
      </c>
      <c r="BQ472" s="266">
        <f t="shared" ca="1" si="307"/>
        <v>0</v>
      </c>
      <c r="BR472" s="268">
        <f t="shared" ca="1" si="308"/>
        <v>0</v>
      </c>
      <c r="BS472" s="262" t="s">
        <v>99</v>
      </c>
      <c r="BT472" s="277"/>
      <c r="BW472" s="266">
        <f t="shared" si="309"/>
        <v>0</v>
      </c>
      <c r="BX472" s="266">
        <f t="shared" si="310"/>
        <v>0</v>
      </c>
      <c r="BY472" s="266">
        <f t="shared" si="311"/>
        <v>0</v>
      </c>
      <c r="BZ472" s="266">
        <f t="shared" si="312"/>
        <v>0</v>
      </c>
      <c r="CA472" s="266">
        <f ca="1">N472*IFERROR(INDEX(Algorithms!$G:$G,MATCH($C472&amp;"_Therm Saved per Unit- MLA",Algorithms!$A:$A,0)),0)*X472</f>
        <v>0</v>
      </c>
      <c r="CB472" s="266">
        <f ca="1">O472*IFERROR(INDEX(Algorithms!$G:$G,MATCH($C472&amp;"_Therm Saved per Unit- MLA",Algorithms!$A:$A,0)),0)*Y472</f>
        <v>0</v>
      </c>
      <c r="CC472" s="266">
        <f ca="1">P472*IFERROR(INDEX(Algorithms!$G:$G,MATCH($C472&amp;"_Therm Saved per Unit- MLA",Algorithms!$A:$A,0)),0)*Z472</f>
        <v>0</v>
      </c>
      <c r="CD472" s="266">
        <f ca="1">Q472*IFERROR(INDEX(Algorithms!$G:$G,MATCH($C472&amp;"_Therm Saved per Unit- MLA",Algorithms!$A:$A,0)),0)*AA472</f>
        <v>0</v>
      </c>
      <c r="CE472" s="266">
        <f ca="1">IFERROR(INDEX(Algorithms!$G:$G,MATCH($C472&amp;"_Lifetime (years)",Algorithms!$A:$A,0)),0)</f>
        <v>25</v>
      </c>
      <c r="CF472" s="266">
        <f ca="1">IFERROR(INDEX(Algorithms!$G:$G,MATCH($C472&amp;"_Lifetime (years) - Remaining Years",Algorithms!$A:$A,0)),0)</f>
        <v>0</v>
      </c>
      <c r="CG472" s="266">
        <f t="shared" ca="1" si="313"/>
        <v>0</v>
      </c>
      <c r="CH472" s="266">
        <f t="shared" ca="1" si="314"/>
        <v>0</v>
      </c>
      <c r="CI472" s="266">
        <f t="shared" ca="1" si="315"/>
        <v>0</v>
      </c>
      <c r="CJ472" s="266">
        <f t="shared" ca="1" si="316"/>
        <v>0</v>
      </c>
      <c r="CK472" s="266">
        <f t="shared" si="317"/>
        <v>0</v>
      </c>
      <c r="CL472" s="266">
        <f t="shared" si="318"/>
        <v>0</v>
      </c>
      <c r="CM472" s="266">
        <f t="shared" ca="1" si="319"/>
        <v>0</v>
      </c>
      <c r="CN472" s="266">
        <f t="shared" ca="1" si="320"/>
        <v>0</v>
      </c>
      <c r="CO472" s="266">
        <f ca="1">N472*IFERROR(INDEX(Algorithms!$G:$G,MATCH($C472&amp;"_Therm Saved per Unit- MLA",Algorithms!$A:$A,0)),0)*X472</f>
        <v>0</v>
      </c>
      <c r="CP472" s="266">
        <f ca="1">O472*IFERROR(INDEX(Algorithms!$G:$G,MATCH($C472&amp;"_Therm Saved per Unit- MLA",Algorithms!$A:$A,0)),0)*Y472</f>
        <v>0</v>
      </c>
      <c r="CQ472" s="266">
        <f ca="1">P472*IFERROR(INDEX(Algorithms!$G:$G,MATCH($C472&amp;"_Therm Saved per Unit- MLA",Algorithms!$A:$A,0)),0)*Z472</f>
        <v>0</v>
      </c>
      <c r="CR472" s="266">
        <f ca="1">Q472*IFERROR(INDEX(Algorithms!$G:$G,MATCH($C472&amp;"_Therm Saved per Unit- MLA",Algorithms!$A:$A,0)),0)*AA472</f>
        <v>0</v>
      </c>
      <c r="CS472" s="266">
        <f ca="1">IFERROR(INDEX(Algorithms!$G:$G,MATCH($C472&amp;"_Lifetime (years)",Algorithms!$A:$A,0)),0)</f>
        <v>25</v>
      </c>
      <c r="CT472" s="266">
        <f ca="1">IFERROR(INDEX(Algorithms!$G:$G,MATCH($C472&amp;"_Lifetime (years) - Remaining Years",Algorithms!$A:$A,0)),0)</f>
        <v>0</v>
      </c>
      <c r="CU472" s="266">
        <f t="shared" ca="1" si="321"/>
        <v>0</v>
      </c>
      <c r="CV472" s="266">
        <f t="shared" ca="1" si="322"/>
        <v>0</v>
      </c>
      <c r="CW472" s="266">
        <f t="shared" ca="1" si="323"/>
        <v>0</v>
      </c>
      <c r="CX472" s="266">
        <f t="shared" ca="1" si="324"/>
        <v>0</v>
      </c>
    </row>
    <row r="473" spans="2:102" s="47" customFormat="1" ht="18" customHeight="1" x14ac:dyDescent="0.25">
      <c r="B473" t="str">
        <f t="shared" si="325"/>
        <v>NSG_Income Eligible_Multi-Family_Whole Building - Public Housing_Boiler_≥88% AFUE, ≥300MBh TE_MF</v>
      </c>
      <c r="C473" s="47" t="str">
        <f t="shared" si="286"/>
        <v>Boiler_≥88% AFUE, ≥300MBh TE_MF</v>
      </c>
      <c r="D473" s="270" t="s">
        <v>1787</v>
      </c>
      <c r="E473" s="270" t="s">
        <v>325</v>
      </c>
      <c r="F473" s="270" t="s">
        <v>1422</v>
      </c>
      <c r="G473" s="270" t="s">
        <v>1817</v>
      </c>
      <c r="H473" s="270" t="s">
        <v>944</v>
      </c>
      <c r="I473" s="270" t="s">
        <v>946</v>
      </c>
      <c r="J473" s="270" t="s">
        <v>553</v>
      </c>
      <c r="K473" s="263">
        <v>1</v>
      </c>
      <c r="L473" s="263" t="str">
        <f ca="1">IFERROR(INDEX(Algorithms!J:J,MATCH($C473&amp;"_Therm Saved per Unit",Algorithms!$A:$A,0)),"n/a")</f>
        <v>4.4.10</v>
      </c>
      <c r="M473" s="263" t="str">
        <f>IFERROR(INDEX('Measure Level Detail'!$N:$N,MATCH($B473,'Measure Level Detail'!$B:$B,0)),0)</f>
        <v>each</v>
      </c>
      <c r="N473" s="271">
        <f>IFERROR(INDEX('Measure Level Detail'!$P:$P,MATCH($B473&amp;"_"&amp;N$3,'Measure Level Detail'!$C:$C,0)),0)</f>
        <v>0</v>
      </c>
      <c r="O473" s="271">
        <f>IFERROR(INDEX('Measure Level Detail'!$P:$P,MATCH($B473&amp;"_"&amp;O$3,'Measure Level Detail'!$C:$C,0)),0)</f>
        <v>0</v>
      </c>
      <c r="P473" s="271">
        <f>IFERROR(INDEX('Measure Level Detail'!$P:$P,MATCH($B473&amp;"_"&amp;P$3,'Measure Level Detail'!$C:$C,0)),0)</f>
        <v>0</v>
      </c>
      <c r="Q473" s="271">
        <f>IFERROR(INDEX('Measure Level Detail'!$P:$P,MATCH($B473&amp;"_"&amp;Q$3,'Measure Level Detail'!$C:$C,0)),0)</f>
        <v>0</v>
      </c>
      <c r="R473" s="263" t="str">
        <f ca="1">IFERROR(INDEX(Algorithms!K:K,MATCH($C473&amp;"_Therm Saved per Unit",Algorithms!$A:$A,0)),"n/a")</f>
        <v>CI-HVC-BOIL-V11-240101</v>
      </c>
      <c r="S473" s="262"/>
      <c r="T473" s="272">
        <v>1.6609999999999991</v>
      </c>
      <c r="U473" s="272">
        <v>1.6609999999999991</v>
      </c>
      <c r="V473" s="272">
        <v>1.6609999999999991</v>
      </c>
      <c r="W473" s="272">
        <v>1.6609999999999991</v>
      </c>
      <c r="X473" s="273">
        <f>IFERROR(INDEX('Measure Level Detail'!$R:$R,MATCH($B473&amp;"_"&amp;X$3,'Measure Level Detail'!$C:$C,0)),0)</f>
        <v>1</v>
      </c>
      <c r="Y473" s="273">
        <f>IFERROR(INDEX('Measure Level Detail'!$R:$R,MATCH($B473&amp;"_"&amp;Y$3,'Measure Level Detail'!$C:$C,0)),0)</f>
        <v>1</v>
      </c>
      <c r="Z473" s="273">
        <f>IFERROR(INDEX('Measure Level Detail'!$R:$R,MATCH($B473&amp;"_"&amp;Z$3,'Measure Level Detail'!$C:$C,0)),0)</f>
        <v>1</v>
      </c>
      <c r="AA473" s="273">
        <f>IFERROR(INDEX('Measure Level Detail'!$R:$R,MATCH($B473&amp;"_"&amp;AA$3,'Measure Level Detail'!$C:$C,0)),0)</f>
        <v>1</v>
      </c>
      <c r="AB473" s="266">
        <f t="shared" si="287"/>
        <v>0</v>
      </c>
      <c r="AC473" s="266">
        <f t="shared" si="288"/>
        <v>0</v>
      </c>
      <c r="AD473" s="266">
        <f t="shared" si="289"/>
        <v>0</v>
      </c>
      <c r="AE473" s="266">
        <f t="shared" si="290"/>
        <v>0</v>
      </c>
      <c r="AF473" s="266">
        <f t="shared" si="291"/>
        <v>0</v>
      </c>
      <c r="AG473" s="274">
        <v>1</v>
      </c>
      <c r="AH473" s="274">
        <v>1</v>
      </c>
      <c r="AI473" s="274">
        <v>1</v>
      </c>
      <c r="AJ473" s="274">
        <v>1</v>
      </c>
      <c r="AK473" s="274">
        <f t="shared" si="292"/>
        <v>1</v>
      </c>
      <c r="AL473" s="274">
        <f t="shared" si="293"/>
        <v>1</v>
      </c>
      <c r="AM473" s="274">
        <f t="shared" si="294"/>
        <v>1</v>
      </c>
      <c r="AN473" s="274">
        <f t="shared" si="295"/>
        <v>1</v>
      </c>
      <c r="AO473" s="262"/>
      <c r="AP473" s="262"/>
      <c r="AQ473" s="267">
        <v>1.6609999999999991</v>
      </c>
      <c r="AR473" s="262"/>
      <c r="AS473" s="266">
        <f t="shared" si="296"/>
        <v>0</v>
      </c>
      <c r="AT473" s="264">
        <f t="shared" si="297"/>
        <v>0</v>
      </c>
      <c r="AU473" s="262"/>
      <c r="AV473" s="262"/>
      <c r="AW473" s="265">
        <v>1.6609999999999991</v>
      </c>
      <c r="AX473" s="164" t="s">
        <v>1469</v>
      </c>
      <c r="AY473" s="266">
        <v>0</v>
      </c>
      <c r="AZ473" s="266">
        <f t="shared" si="298"/>
        <v>0</v>
      </c>
      <c r="BA473" s="264">
        <f t="shared" si="299"/>
        <v>0</v>
      </c>
      <c r="BB473" s="262"/>
      <c r="BC473" s="262"/>
      <c r="BD473" s="265">
        <f ca="1">IFERROR(INDEX(Algorithms!$G:$G,MATCH($C473&amp;"_Therm Saved per Unit",Algorithms!$A:$A,0)),0)</f>
        <v>0.79095238095238163</v>
      </c>
      <c r="BE473" s="164" t="str">
        <f ca="1">IFERROR(INDEX('v12 Revisions'!$P$29:$P$186, MATCH('Measure-Level Adj Gas'!$L473, 'v12 Revisions'!$D$29:$D$186,0)),"")</f>
        <v>Updated baseline and efficient boiler efficiency ratings.</v>
      </c>
      <c r="BF473" s="266">
        <f t="shared" ca="1" si="300"/>
        <v>0</v>
      </c>
      <c r="BG473" s="264">
        <f t="shared" ca="1" si="301"/>
        <v>0</v>
      </c>
      <c r="BH473" s="262"/>
      <c r="BI473" s="262"/>
      <c r="BJ473" s="265">
        <f ca="1">IFERROR(INDEX(Algorithms!$G:$G,MATCH($C473&amp;"_Therm Saved per Unit",Algorithms!$A:$A,0)),0)</f>
        <v>0.79095238095238163</v>
      </c>
      <c r="BK473" s="164"/>
      <c r="BL473" s="266">
        <f t="shared" ca="1" si="302"/>
        <v>0</v>
      </c>
      <c r="BM473" s="264">
        <f t="shared" ca="1" si="303"/>
        <v>0</v>
      </c>
      <c r="BN473" s="266">
        <f t="shared" si="304"/>
        <v>0</v>
      </c>
      <c r="BO473" s="266">
        <f t="shared" si="305"/>
        <v>0</v>
      </c>
      <c r="BP473" s="266">
        <f t="shared" ca="1" si="306"/>
        <v>0</v>
      </c>
      <c r="BQ473" s="266">
        <f t="shared" ca="1" si="307"/>
        <v>0</v>
      </c>
      <c r="BR473" s="268">
        <f t="shared" ca="1" si="308"/>
        <v>0</v>
      </c>
      <c r="BS473" s="262" t="s">
        <v>99</v>
      </c>
      <c r="BT473" s="277"/>
      <c r="BW473" s="266">
        <f t="shared" si="309"/>
        <v>0</v>
      </c>
      <c r="BX473" s="266">
        <f t="shared" si="310"/>
        <v>0</v>
      </c>
      <c r="BY473" s="266">
        <f t="shared" si="311"/>
        <v>0</v>
      </c>
      <c r="BZ473" s="266">
        <f t="shared" si="312"/>
        <v>0</v>
      </c>
      <c r="CA473" s="266">
        <f ca="1">N473*IFERROR(INDEX(Algorithms!$G:$G,MATCH($C473&amp;"_Therm Saved per Unit- MLA",Algorithms!$A:$A,0)),0)*X473</f>
        <v>0</v>
      </c>
      <c r="CB473" s="266">
        <f ca="1">O473*IFERROR(INDEX(Algorithms!$G:$G,MATCH($C473&amp;"_Therm Saved per Unit- MLA",Algorithms!$A:$A,0)),0)*Y473</f>
        <v>0</v>
      </c>
      <c r="CC473" s="266">
        <f ca="1">P473*IFERROR(INDEX(Algorithms!$G:$G,MATCH($C473&amp;"_Therm Saved per Unit- MLA",Algorithms!$A:$A,0)),0)*Z473</f>
        <v>0</v>
      </c>
      <c r="CD473" s="266">
        <f ca="1">Q473*IFERROR(INDEX(Algorithms!$G:$G,MATCH($C473&amp;"_Therm Saved per Unit- MLA",Algorithms!$A:$A,0)),0)*AA473</f>
        <v>0</v>
      </c>
      <c r="CE473" s="266">
        <f ca="1">IFERROR(INDEX(Algorithms!$G:$G,MATCH($C473&amp;"_Lifetime (years)",Algorithms!$A:$A,0)),0)</f>
        <v>25</v>
      </c>
      <c r="CF473" s="266">
        <f ca="1">IFERROR(INDEX(Algorithms!$G:$G,MATCH($C473&amp;"_Lifetime (years) - Remaining Years",Algorithms!$A:$A,0)),0)</f>
        <v>0</v>
      </c>
      <c r="CG473" s="266">
        <f t="shared" ca="1" si="313"/>
        <v>0</v>
      </c>
      <c r="CH473" s="266">
        <f t="shared" ca="1" si="314"/>
        <v>0</v>
      </c>
      <c r="CI473" s="266">
        <f t="shared" ca="1" si="315"/>
        <v>0</v>
      </c>
      <c r="CJ473" s="266">
        <f t="shared" ca="1" si="316"/>
        <v>0</v>
      </c>
      <c r="CK473" s="266">
        <f t="shared" si="317"/>
        <v>0</v>
      </c>
      <c r="CL473" s="266">
        <f t="shared" si="318"/>
        <v>0</v>
      </c>
      <c r="CM473" s="266">
        <f t="shared" ca="1" si="319"/>
        <v>0</v>
      </c>
      <c r="CN473" s="266">
        <f t="shared" ca="1" si="320"/>
        <v>0</v>
      </c>
      <c r="CO473" s="266">
        <f ca="1">N473*IFERROR(INDEX(Algorithms!$G:$G,MATCH($C473&amp;"_Therm Saved per Unit- MLA",Algorithms!$A:$A,0)),0)*X473</f>
        <v>0</v>
      </c>
      <c r="CP473" s="266">
        <f ca="1">O473*IFERROR(INDEX(Algorithms!$G:$G,MATCH($C473&amp;"_Therm Saved per Unit- MLA",Algorithms!$A:$A,0)),0)*Y473</f>
        <v>0</v>
      </c>
      <c r="CQ473" s="266">
        <f ca="1">P473*IFERROR(INDEX(Algorithms!$G:$G,MATCH($C473&amp;"_Therm Saved per Unit- MLA",Algorithms!$A:$A,0)),0)*Z473</f>
        <v>0</v>
      </c>
      <c r="CR473" s="266">
        <f ca="1">Q473*IFERROR(INDEX(Algorithms!$G:$G,MATCH($C473&amp;"_Therm Saved per Unit- MLA",Algorithms!$A:$A,0)),0)*AA473</f>
        <v>0</v>
      </c>
      <c r="CS473" s="266">
        <f ca="1">IFERROR(INDEX(Algorithms!$G:$G,MATCH($C473&amp;"_Lifetime (years)",Algorithms!$A:$A,0)),0)</f>
        <v>25</v>
      </c>
      <c r="CT473" s="266">
        <f ca="1">IFERROR(INDEX(Algorithms!$G:$G,MATCH($C473&amp;"_Lifetime (years) - Remaining Years",Algorithms!$A:$A,0)),0)</f>
        <v>0</v>
      </c>
      <c r="CU473" s="266">
        <f t="shared" ca="1" si="321"/>
        <v>0</v>
      </c>
      <c r="CV473" s="266">
        <f t="shared" ca="1" si="322"/>
        <v>0</v>
      </c>
      <c r="CW473" s="266">
        <f t="shared" ca="1" si="323"/>
        <v>0</v>
      </c>
      <c r="CX473" s="266">
        <f t="shared" ca="1" si="324"/>
        <v>0</v>
      </c>
    </row>
    <row r="474" spans="2:102" s="47" customFormat="1" ht="18" customHeight="1" x14ac:dyDescent="0.25">
      <c r="B474" t="str">
        <f t="shared" si="325"/>
        <v>NSG_Income Eligible_Multi-Family_Whole Building - Public Housing_Boiler Reset Controls_0_MF</v>
      </c>
      <c r="C474" s="47" t="str">
        <f t="shared" si="286"/>
        <v>Boiler Reset Controls_0_MF</v>
      </c>
      <c r="D474" s="270" t="s">
        <v>1787</v>
      </c>
      <c r="E474" s="270" t="s">
        <v>325</v>
      </c>
      <c r="F474" s="270" t="s">
        <v>1422</v>
      </c>
      <c r="G474" s="270" t="s">
        <v>1817</v>
      </c>
      <c r="H474" s="270" t="s">
        <v>978</v>
      </c>
      <c r="I474" s="270">
        <v>0</v>
      </c>
      <c r="J474" s="270" t="s">
        <v>553</v>
      </c>
      <c r="K474" s="263">
        <v>1</v>
      </c>
      <c r="L474" s="263" t="str">
        <f ca="1">IFERROR(INDEX(Algorithms!J:J,MATCH($C474&amp;"_Therm Saved per Unit",Algorithms!$A:$A,0)),"n/a")</f>
        <v>4.4.4</v>
      </c>
      <c r="M474" s="263" t="str">
        <f>IFERROR(INDEX('Measure Level Detail'!$N:$N,MATCH($B474,'Measure Level Detail'!$B:$B,0)),0)</f>
        <v>each</v>
      </c>
      <c r="N474" s="271">
        <f>IFERROR(INDEX('Measure Level Detail'!$P:$P,MATCH($B474&amp;"_"&amp;N$3,'Measure Level Detail'!$C:$C,0)),0)</f>
        <v>0</v>
      </c>
      <c r="O474" s="271">
        <f>IFERROR(INDEX('Measure Level Detail'!$P:$P,MATCH($B474&amp;"_"&amp;O$3,'Measure Level Detail'!$C:$C,0)),0)</f>
        <v>0</v>
      </c>
      <c r="P474" s="271">
        <f>IFERROR(INDEX('Measure Level Detail'!$P:$P,MATCH($B474&amp;"_"&amp;P$3,'Measure Level Detail'!$C:$C,0)),0)</f>
        <v>0</v>
      </c>
      <c r="Q474" s="271">
        <f>IFERROR(INDEX('Measure Level Detail'!$P:$P,MATCH($B474&amp;"_"&amp;Q$3,'Measure Level Detail'!$C:$C,0)),0)</f>
        <v>0</v>
      </c>
      <c r="R474" s="263" t="str">
        <f ca="1">IFERROR(INDEX(Algorithms!K:K,MATCH($C474&amp;"_Therm Saved per Unit",Algorithms!$A:$A,0)),"n/a")</f>
        <v>CI-HVC-BLRC-V05-240101</v>
      </c>
      <c r="S474" s="262"/>
      <c r="T474" s="272">
        <v>1.3288</v>
      </c>
      <c r="U474" s="272">
        <v>1.3288</v>
      </c>
      <c r="V474" s="272">
        <v>1.3288</v>
      </c>
      <c r="W474" s="272">
        <v>1.3288</v>
      </c>
      <c r="X474" s="273">
        <f>IFERROR(INDEX('Measure Level Detail'!$R:$R,MATCH($B474&amp;"_"&amp;X$3,'Measure Level Detail'!$C:$C,0)),0)</f>
        <v>1</v>
      </c>
      <c r="Y474" s="273">
        <f>IFERROR(INDEX('Measure Level Detail'!$R:$R,MATCH($B474&amp;"_"&amp;Y$3,'Measure Level Detail'!$C:$C,0)),0)</f>
        <v>1</v>
      </c>
      <c r="Z474" s="273">
        <f>IFERROR(INDEX('Measure Level Detail'!$R:$R,MATCH($B474&amp;"_"&amp;Z$3,'Measure Level Detail'!$C:$C,0)),0)</f>
        <v>1</v>
      </c>
      <c r="AA474" s="273">
        <f>IFERROR(INDEX('Measure Level Detail'!$R:$R,MATCH($B474&amp;"_"&amp;AA$3,'Measure Level Detail'!$C:$C,0)),0)</f>
        <v>1</v>
      </c>
      <c r="AB474" s="266">
        <f t="shared" si="287"/>
        <v>0</v>
      </c>
      <c r="AC474" s="266">
        <f t="shared" si="288"/>
        <v>0</v>
      </c>
      <c r="AD474" s="266">
        <f t="shared" si="289"/>
        <v>0</v>
      </c>
      <c r="AE474" s="266">
        <f t="shared" si="290"/>
        <v>0</v>
      </c>
      <c r="AF474" s="266">
        <f t="shared" si="291"/>
        <v>0</v>
      </c>
      <c r="AG474" s="274">
        <v>1</v>
      </c>
      <c r="AH474" s="274">
        <v>1</v>
      </c>
      <c r="AI474" s="274">
        <v>1</v>
      </c>
      <c r="AJ474" s="274">
        <v>1</v>
      </c>
      <c r="AK474" s="274">
        <f t="shared" si="292"/>
        <v>1</v>
      </c>
      <c r="AL474" s="274">
        <f t="shared" si="293"/>
        <v>1</v>
      </c>
      <c r="AM474" s="274">
        <f t="shared" si="294"/>
        <v>1</v>
      </c>
      <c r="AN474" s="274">
        <f t="shared" si="295"/>
        <v>1</v>
      </c>
      <c r="AO474" s="262"/>
      <c r="AP474" s="262"/>
      <c r="AQ474" s="267">
        <v>1.3288</v>
      </c>
      <c r="AR474" s="262"/>
      <c r="AS474" s="266">
        <f t="shared" si="296"/>
        <v>0</v>
      </c>
      <c r="AT474" s="264">
        <f t="shared" si="297"/>
        <v>0</v>
      </c>
      <c r="AU474" s="262"/>
      <c r="AV474" s="262"/>
      <c r="AW474" s="265">
        <v>1.3288</v>
      </c>
      <c r="AX474" s="164" t="s">
        <v>1469</v>
      </c>
      <c r="AY474" s="266">
        <v>0</v>
      </c>
      <c r="AZ474" s="266">
        <f t="shared" si="298"/>
        <v>0</v>
      </c>
      <c r="BA474" s="264">
        <f t="shared" si="299"/>
        <v>0</v>
      </c>
      <c r="BB474" s="262"/>
      <c r="BC474" s="262"/>
      <c r="BD474" s="265">
        <f ca="1">IFERROR(INDEX(Algorithms!$G:$G,MATCH($C474&amp;"_Therm Saved per Unit",Algorithms!$A:$A,0)),0)</f>
        <v>1.3288</v>
      </c>
      <c r="BE474" s="164" t="str">
        <f ca="1">IFERROR(INDEX('v12 Revisions'!$P$29:$P$186, MATCH('Measure-Level Adj Gas'!$L474, 'v12 Revisions'!$D$29:$D$186,0)),"")</f>
        <v/>
      </c>
      <c r="BF474" s="266">
        <f t="shared" ca="1" si="300"/>
        <v>0</v>
      </c>
      <c r="BG474" s="264">
        <f t="shared" ca="1" si="301"/>
        <v>0</v>
      </c>
      <c r="BH474" s="262"/>
      <c r="BI474" s="262"/>
      <c r="BJ474" s="265">
        <f ca="1">IFERROR(INDEX(Algorithms!$G:$G,MATCH($C474&amp;"_Therm Saved per Unit",Algorithms!$A:$A,0)),0)</f>
        <v>1.3288</v>
      </c>
      <c r="BK474" s="164"/>
      <c r="BL474" s="266">
        <f t="shared" ca="1" si="302"/>
        <v>0</v>
      </c>
      <c r="BM474" s="264">
        <f t="shared" ca="1" si="303"/>
        <v>0</v>
      </c>
      <c r="BN474" s="266">
        <f t="shared" si="304"/>
        <v>0</v>
      </c>
      <c r="BO474" s="266">
        <f t="shared" si="305"/>
        <v>0</v>
      </c>
      <c r="BP474" s="266">
        <f t="shared" ca="1" si="306"/>
        <v>0</v>
      </c>
      <c r="BQ474" s="266">
        <f t="shared" ca="1" si="307"/>
        <v>0</v>
      </c>
      <c r="BR474" s="268">
        <f t="shared" ca="1" si="308"/>
        <v>0</v>
      </c>
      <c r="BS474" s="262" t="s">
        <v>99</v>
      </c>
      <c r="BT474" s="277"/>
      <c r="BW474" s="266">
        <f t="shared" si="309"/>
        <v>0</v>
      </c>
      <c r="BX474" s="266">
        <f t="shared" si="310"/>
        <v>0</v>
      </c>
      <c r="BY474" s="266">
        <f t="shared" si="311"/>
        <v>0</v>
      </c>
      <c r="BZ474" s="266">
        <f t="shared" si="312"/>
        <v>0</v>
      </c>
      <c r="CA474" s="266">
        <f ca="1">N474*IFERROR(INDEX(Algorithms!$G:$G,MATCH($C474&amp;"_Therm Saved per Unit- MLA",Algorithms!$A:$A,0)),0)*X474</f>
        <v>0</v>
      </c>
      <c r="CB474" s="266">
        <f ca="1">O474*IFERROR(INDEX(Algorithms!$G:$G,MATCH($C474&amp;"_Therm Saved per Unit- MLA",Algorithms!$A:$A,0)),0)*Y474</f>
        <v>0</v>
      </c>
      <c r="CC474" s="266">
        <f ca="1">P474*IFERROR(INDEX(Algorithms!$G:$G,MATCH($C474&amp;"_Therm Saved per Unit- MLA",Algorithms!$A:$A,0)),0)*Z474</f>
        <v>0</v>
      </c>
      <c r="CD474" s="266">
        <f ca="1">Q474*IFERROR(INDEX(Algorithms!$G:$G,MATCH($C474&amp;"_Therm Saved per Unit- MLA",Algorithms!$A:$A,0)),0)*AA474</f>
        <v>0</v>
      </c>
      <c r="CE474" s="266">
        <f ca="1">IFERROR(INDEX(Algorithms!$G:$G,MATCH($C474&amp;"_Lifetime (years)",Algorithms!$A:$A,0)),0)</f>
        <v>16</v>
      </c>
      <c r="CF474" s="266">
        <f ca="1">IFERROR(INDEX(Algorithms!$G:$G,MATCH($C474&amp;"_Lifetime (years) - Remaining Years",Algorithms!$A:$A,0)),0)</f>
        <v>0</v>
      </c>
      <c r="CG474" s="266">
        <f t="shared" ca="1" si="313"/>
        <v>0</v>
      </c>
      <c r="CH474" s="266">
        <f t="shared" ca="1" si="314"/>
        <v>0</v>
      </c>
      <c r="CI474" s="266">
        <f t="shared" ca="1" si="315"/>
        <v>0</v>
      </c>
      <c r="CJ474" s="266">
        <f t="shared" ca="1" si="316"/>
        <v>0</v>
      </c>
      <c r="CK474" s="266">
        <f t="shared" si="317"/>
        <v>0</v>
      </c>
      <c r="CL474" s="266">
        <f t="shared" si="318"/>
        <v>0</v>
      </c>
      <c r="CM474" s="266">
        <f t="shared" ca="1" si="319"/>
        <v>0</v>
      </c>
      <c r="CN474" s="266">
        <f t="shared" ca="1" si="320"/>
        <v>0</v>
      </c>
      <c r="CO474" s="266">
        <f ca="1">N474*IFERROR(INDEX(Algorithms!$G:$G,MATCH($C474&amp;"_Therm Saved per Unit- MLA",Algorithms!$A:$A,0)),0)*X474</f>
        <v>0</v>
      </c>
      <c r="CP474" s="266">
        <f ca="1">O474*IFERROR(INDEX(Algorithms!$G:$G,MATCH($C474&amp;"_Therm Saved per Unit- MLA",Algorithms!$A:$A,0)),0)*Y474</f>
        <v>0</v>
      </c>
      <c r="CQ474" s="266">
        <f ca="1">P474*IFERROR(INDEX(Algorithms!$G:$G,MATCH($C474&amp;"_Therm Saved per Unit- MLA",Algorithms!$A:$A,0)),0)*Z474</f>
        <v>0</v>
      </c>
      <c r="CR474" s="266">
        <f ca="1">Q474*IFERROR(INDEX(Algorithms!$G:$G,MATCH($C474&amp;"_Therm Saved per Unit- MLA",Algorithms!$A:$A,0)),0)*AA474</f>
        <v>0</v>
      </c>
      <c r="CS474" s="266">
        <f ca="1">IFERROR(INDEX(Algorithms!$G:$G,MATCH($C474&amp;"_Lifetime (years)",Algorithms!$A:$A,0)),0)</f>
        <v>16</v>
      </c>
      <c r="CT474" s="266">
        <f ca="1">IFERROR(INDEX(Algorithms!$G:$G,MATCH($C474&amp;"_Lifetime (years) - Remaining Years",Algorithms!$A:$A,0)),0)</f>
        <v>0</v>
      </c>
      <c r="CU474" s="266">
        <f t="shared" ca="1" si="321"/>
        <v>0</v>
      </c>
      <c r="CV474" s="266">
        <f t="shared" ca="1" si="322"/>
        <v>0</v>
      </c>
      <c r="CW474" s="266">
        <f t="shared" ca="1" si="323"/>
        <v>0</v>
      </c>
      <c r="CX474" s="266">
        <f t="shared" ca="1" si="324"/>
        <v>0</v>
      </c>
    </row>
    <row r="475" spans="2:102" s="47" customFormat="1" ht="18" customHeight="1" x14ac:dyDescent="0.25">
      <c r="B475" t="str">
        <f t="shared" si="325"/>
        <v>NSG_Income Eligible_Multi-Family_Whole Building - Public Housing_Boiler Tune Up_Space Heating_MF</v>
      </c>
      <c r="C475" s="47" t="str">
        <f t="shared" si="286"/>
        <v>Boiler Tune Up_Space Heating_MF</v>
      </c>
      <c r="D475" s="270" t="s">
        <v>1787</v>
      </c>
      <c r="E475" s="270" t="s">
        <v>325</v>
      </c>
      <c r="F475" s="270" t="s">
        <v>1422</v>
      </c>
      <c r="G475" s="270" t="s">
        <v>1817</v>
      </c>
      <c r="H475" s="270" t="s">
        <v>906</v>
      </c>
      <c r="I475" s="270" t="s">
        <v>907</v>
      </c>
      <c r="J475" s="270" t="s">
        <v>553</v>
      </c>
      <c r="K475" s="263">
        <v>1</v>
      </c>
      <c r="L475" s="263" t="str">
        <f ca="1">IFERROR(INDEX(Algorithms!J:J,MATCH($C475&amp;"_Therm Saved per Unit",Algorithms!$A:$A,0)),"n/a")</f>
        <v>4.4.2</v>
      </c>
      <c r="M475" s="263" t="str">
        <f>IFERROR(INDEX('Measure Level Detail'!$N:$N,MATCH($B475,'Measure Level Detail'!$B:$B,0)),0)</f>
        <v>each</v>
      </c>
      <c r="N475" s="271">
        <f>IFERROR(INDEX('Measure Level Detail'!$P:$P,MATCH($B475&amp;"_"&amp;N$3,'Measure Level Detail'!$C:$C,0)),0)</f>
        <v>0</v>
      </c>
      <c r="O475" s="271">
        <f>IFERROR(INDEX('Measure Level Detail'!$P:$P,MATCH($B475&amp;"_"&amp;O$3,'Measure Level Detail'!$C:$C,0)),0)</f>
        <v>0</v>
      </c>
      <c r="P475" s="271">
        <f>IFERROR(INDEX('Measure Level Detail'!$P:$P,MATCH($B475&amp;"_"&amp;P$3,'Measure Level Detail'!$C:$C,0)),0)</f>
        <v>0</v>
      </c>
      <c r="Q475" s="271">
        <f>IFERROR(INDEX('Measure Level Detail'!$P:$P,MATCH($B475&amp;"_"&amp;Q$3,'Measure Level Detail'!$C:$C,0)),0)</f>
        <v>0</v>
      </c>
      <c r="R475" s="263" t="str">
        <f ca="1">IFERROR(INDEX(Algorithms!K:K,MATCH($C475&amp;"_Therm Saved per Unit",Algorithms!$A:$A,0)),"n/a")</f>
        <v>CI-HVC-BLRT-V07-210101</v>
      </c>
      <c r="S475" s="262"/>
      <c r="T475" s="272">
        <v>0.46874846625766969</v>
      </c>
      <c r="U475" s="272">
        <v>0.46874846625766969</v>
      </c>
      <c r="V475" s="272">
        <v>0.46874846625766969</v>
      </c>
      <c r="W475" s="272">
        <v>0.46874846625766969</v>
      </c>
      <c r="X475" s="273">
        <f>IFERROR(INDEX('Measure Level Detail'!$R:$R,MATCH($B475&amp;"_"&amp;X$3,'Measure Level Detail'!$C:$C,0)),0)</f>
        <v>1</v>
      </c>
      <c r="Y475" s="273">
        <f>IFERROR(INDEX('Measure Level Detail'!$R:$R,MATCH($B475&amp;"_"&amp;Y$3,'Measure Level Detail'!$C:$C,0)),0)</f>
        <v>1</v>
      </c>
      <c r="Z475" s="273">
        <f>IFERROR(INDEX('Measure Level Detail'!$R:$R,MATCH($B475&amp;"_"&amp;Z$3,'Measure Level Detail'!$C:$C,0)),0)</f>
        <v>1</v>
      </c>
      <c r="AA475" s="273">
        <f>IFERROR(INDEX('Measure Level Detail'!$R:$R,MATCH($B475&amp;"_"&amp;AA$3,'Measure Level Detail'!$C:$C,0)),0)</f>
        <v>1</v>
      </c>
      <c r="AB475" s="266">
        <f t="shared" si="287"/>
        <v>0</v>
      </c>
      <c r="AC475" s="266">
        <f t="shared" si="288"/>
        <v>0</v>
      </c>
      <c r="AD475" s="266">
        <f t="shared" si="289"/>
        <v>0</v>
      </c>
      <c r="AE475" s="266">
        <f t="shared" si="290"/>
        <v>0</v>
      </c>
      <c r="AF475" s="266">
        <f t="shared" si="291"/>
        <v>0</v>
      </c>
      <c r="AG475" s="274">
        <v>1</v>
      </c>
      <c r="AH475" s="274">
        <v>1</v>
      </c>
      <c r="AI475" s="274">
        <v>1</v>
      </c>
      <c r="AJ475" s="274">
        <v>1</v>
      </c>
      <c r="AK475" s="274">
        <f t="shared" si="292"/>
        <v>1</v>
      </c>
      <c r="AL475" s="274">
        <f t="shared" si="293"/>
        <v>1</v>
      </c>
      <c r="AM475" s="274">
        <f t="shared" si="294"/>
        <v>1</v>
      </c>
      <c r="AN475" s="274">
        <f t="shared" si="295"/>
        <v>1</v>
      </c>
      <c r="AO475" s="262"/>
      <c r="AP475" s="262"/>
      <c r="AQ475" s="267">
        <v>0.46874846625766969</v>
      </c>
      <c r="AR475" s="262"/>
      <c r="AS475" s="266">
        <f t="shared" si="296"/>
        <v>0</v>
      </c>
      <c r="AT475" s="264">
        <f t="shared" si="297"/>
        <v>0</v>
      </c>
      <c r="AU475" s="262"/>
      <c r="AV475" s="262"/>
      <c r="AW475" s="265">
        <v>0.46874846625766969</v>
      </c>
      <c r="AX475" s="164" t="s">
        <v>1469</v>
      </c>
      <c r="AY475" s="266">
        <v>0</v>
      </c>
      <c r="AZ475" s="266">
        <f t="shared" si="298"/>
        <v>0</v>
      </c>
      <c r="BA475" s="264">
        <f t="shared" si="299"/>
        <v>0</v>
      </c>
      <c r="BB475" s="262"/>
      <c r="BC475" s="262"/>
      <c r="BD475" s="265">
        <f ca="1">IFERROR(INDEX(Algorithms!$G:$G,MATCH($C475&amp;"_Therm Saved per Unit",Algorithms!$A:$A,0)),0)</f>
        <v>0.46874846625766969</v>
      </c>
      <c r="BE475" s="164" t="str">
        <f ca="1">IFERROR(INDEX('v12 Revisions'!$P$29:$P$186, MATCH('Measure-Level Adj Gas'!$L475, 'v12 Revisions'!$D$29:$D$186,0)),"")</f>
        <v/>
      </c>
      <c r="BF475" s="266">
        <f t="shared" ca="1" si="300"/>
        <v>0</v>
      </c>
      <c r="BG475" s="264">
        <f t="shared" ca="1" si="301"/>
        <v>0</v>
      </c>
      <c r="BH475" s="262"/>
      <c r="BI475" s="262"/>
      <c r="BJ475" s="265">
        <f ca="1">IFERROR(INDEX(Algorithms!$G:$G,MATCH($C475&amp;"_Therm Saved per Unit",Algorithms!$A:$A,0)),0)</f>
        <v>0.46874846625766969</v>
      </c>
      <c r="BK475" s="164"/>
      <c r="BL475" s="266">
        <f t="shared" ca="1" si="302"/>
        <v>0</v>
      </c>
      <c r="BM475" s="264">
        <f t="shared" ca="1" si="303"/>
        <v>0</v>
      </c>
      <c r="BN475" s="266">
        <f t="shared" si="304"/>
        <v>0</v>
      </c>
      <c r="BO475" s="266">
        <f t="shared" si="305"/>
        <v>0</v>
      </c>
      <c r="BP475" s="266">
        <f t="shared" ca="1" si="306"/>
        <v>0</v>
      </c>
      <c r="BQ475" s="266">
        <f t="shared" ca="1" si="307"/>
        <v>0</v>
      </c>
      <c r="BR475" s="268">
        <f t="shared" ca="1" si="308"/>
        <v>0</v>
      </c>
      <c r="BS475" s="262" t="s">
        <v>99</v>
      </c>
      <c r="BT475" s="277"/>
      <c r="BW475" s="266">
        <f t="shared" si="309"/>
        <v>0</v>
      </c>
      <c r="BX475" s="266">
        <f t="shared" si="310"/>
        <v>0</v>
      </c>
      <c r="BY475" s="266">
        <f t="shared" si="311"/>
        <v>0</v>
      </c>
      <c r="BZ475" s="266">
        <f t="shared" si="312"/>
        <v>0</v>
      </c>
      <c r="CA475" s="266">
        <f ca="1">N475*IFERROR(INDEX(Algorithms!$G:$G,MATCH($C475&amp;"_Therm Saved per Unit- MLA",Algorithms!$A:$A,0)),0)*X475</f>
        <v>0</v>
      </c>
      <c r="CB475" s="266">
        <f ca="1">O475*IFERROR(INDEX(Algorithms!$G:$G,MATCH($C475&amp;"_Therm Saved per Unit- MLA",Algorithms!$A:$A,0)),0)*Y475</f>
        <v>0</v>
      </c>
      <c r="CC475" s="266">
        <f ca="1">P475*IFERROR(INDEX(Algorithms!$G:$G,MATCH($C475&amp;"_Therm Saved per Unit- MLA",Algorithms!$A:$A,0)),0)*Z475</f>
        <v>0</v>
      </c>
      <c r="CD475" s="266">
        <f ca="1">Q475*IFERROR(INDEX(Algorithms!$G:$G,MATCH($C475&amp;"_Therm Saved per Unit- MLA",Algorithms!$A:$A,0)),0)*AA475</f>
        <v>0</v>
      </c>
      <c r="CE475" s="266">
        <f ca="1">IFERROR(INDEX(Algorithms!$G:$G,MATCH($C475&amp;"_Lifetime (years)",Algorithms!$A:$A,0)),0)</f>
        <v>3</v>
      </c>
      <c r="CF475" s="266">
        <f ca="1">IFERROR(INDEX(Algorithms!$G:$G,MATCH($C475&amp;"_Lifetime (years) - Remaining Years",Algorithms!$A:$A,0)),0)</f>
        <v>0</v>
      </c>
      <c r="CG475" s="266">
        <f t="shared" ca="1" si="313"/>
        <v>0</v>
      </c>
      <c r="CH475" s="266">
        <f t="shared" ca="1" si="314"/>
        <v>0</v>
      </c>
      <c r="CI475" s="266">
        <f t="shared" ca="1" si="315"/>
        <v>0</v>
      </c>
      <c r="CJ475" s="266">
        <f t="shared" ca="1" si="316"/>
        <v>0</v>
      </c>
      <c r="CK475" s="266">
        <f t="shared" si="317"/>
        <v>0</v>
      </c>
      <c r="CL475" s="266">
        <f t="shared" si="318"/>
        <v>0</v>
      </c>
      <c r="CM475" s="266">
        <f t="shared" ca="1" si="319"/>
        <v>0</v>
      </c>
      <c r="CN475" s="266">
        <f t="shared" ca="1" si="320"/>
        <v>0</v>
      </c>
      <c r="CO475" s="266">
        <f ca="1">N475*IFERROR(INDEX(Algorithms!$G:$G,MATCH($C475&amp;"_Therm Saved per Unit- MLA",Algorithms!$A:$A,0)),0)*X475</f>
        <v>0</v>
      </c>
      <c r="CP475" s="266">
        <f ca="1">O475*IFERROR(INDEX(Algorithms!$G:$G,MATCH($C475&amp;"_Therm Saved per Unit- MLA",Algorithms!$A:$A,0)),0)*Y475</f>
        <v>0</v>
      </c>
      <c r="CQ475" s="266">
        <f ca="1">P475*IFERROR(INDEX(Algorithms!$G:$G,MATCH($C475&amp;"_Therm Saved per Unit- MLA",Algorithms!$A:$A,0)),0)*Z475</f>
        <v>0</v>
      </c>
      <c r="CR475" s="266">
        <f ca="1">Q475*IFERROR(INDEX(Algorithms!$G:$G,MATCH($C475&amp;"_Therm Saved per Unit- MLA",Algorithms!$A:$A,0)),0)*AA475</f>
        <v>0</v>
      </c>
      <c r="CS475" s="266">
        <f ca="1">IFERROR(INDEX(Algorithms!$G:$G,MATCH($C475&amp;"_Lifetime (years)",Algorithms!$A:$A,0)),0)</f>
        <v>3</v>
      </c>
      <c r="CT475" s="266">
        <f ca="1">IFERROR(INDEX(Algorithms!$G:$G,MATCH($C475&amp;"_Lifetime (years) - Remaining Years",Algorithms!$A:$A,0)),0)</f>
        <v>0</v>
      </c>
      <c r="CU475" s="266">
        <f t="shared" ca="1" si="321"/>
        <v>0</v>
      </c>
      <c r="CV475" s="266">
        <f t="shared" ca="1" si="322"/>
        <v>0</v>
      </c>
      <c r="CW475" s="266">
        <f t="shared" ca="1" si="323"/>
        <v>0</v>
      </c>
      <c r="CX475" s="266">
        <f t="shared" ca="1" si="324"/>
        <v>0</v>
      </c>
    </row>
    <row r="476" spans="2:102" s="47" customFormat="1" ht="18" customHeight="1" x14ac:dyDescent="0.25">
      <c r="B476" t="str">
        <f t="shared" si="325"/>
        <v>NSG_Income Eligible_Multi-Family_Whole Building - Public Housing_Furnace (In Unit)_&gt;95% AFUE_MF</v>
      </c>
      <c r="C476" s="47" t="str">
        <f t="shared" si="286"/>
        <v>Furnace (In Unit)_&gt;95% AFUE_MF</v>
      </c>
      <c r="D476" s="270" t="s">
        <v>1787</v>
      </c>
      <c r="E476" s="270" t="s">
        <v>325</v>
      </c>
      <c r="F476" s="270" t="s">
        <v>1422</v>
      </c>
      <c r="G476" s="270" t="s">
        <v>1817</v>
      </c>
      <c r="H476" s="270" t="s">
        <v>988</v>
      </c>
      <c r="I476" s="270" t="s">
        <v>982</v>
      </c>
      <c r="J476" s="270" t="s">
        <v>553</v>
      </c>
      <c r="K476" s="263">
        <v>1</v>
      </c>
      <c r="L476" s="263" t="str">
        <f ca="1">IFERROR(INDEX(Algorithms!J:J,MATCH($C476&amp;"_Therm Saved per Unit",Algorithms!$A:$A,0)),"n/a")</f>
        <v>5.3.7</v>
      </c>
      <c r="M476" s="263" t="str">
        <f>IFERROR(INDEX('Measure Level Detail'!$N:$N,MATCH($B476,'Measure Level Detail'!$B:$B,0)),0)</f>
        <v>each</v>
      </c>
      <c r="N476" s="271">
        <f>IFERROR(INDEX('Measure Level Detail'!$P:$P,MATCH($B476&amp;"_"&amp;N$3,'Measure Level Detail'!$C:$C,0)),0)</f>
        <v>0</v>
      </c>
      <c r="O476" s="271">
        <f>IFERROR(INDEX('Measure Level Detail'!$P:$P,MATCH($B476&amp;"_"&amp;O$3,'Measure Level Detail'!$C:$C,0)),0)</f>
        <v>0</v>
      </c>
      <c r="P476" s="271">
        <f>IFERROR(INDEX('Measure Level Detail'!$P:$P,MATCH($B476&amp;"_"&amp;P$3,'Measure Level Detail'!$C:$C,0)),0)</f>
        <v>0</v>
      </c>
      <c r="Q476" s="271">
        <f>IFERROR(INDEX('Measure Level Detail'!$P:$P,MATCH($B476&amp;"_"&amp;Q$3,'Measure Level Detail'!$C:$C,0)),0)</f>
        <v>0</v>
      </c>
      <c r="R476" s="263" t="str">
        <f ca="1">IFERROR(INDEX(Algorithms!K:K,MATCH($C476&amp;"_Therm Saved per Unit",Algorithms!$A:$A,0)),"n/a")</f>
        <v>RS-HVC-GHEF-V13-240101</v>
      </c>
      <c r="S476" s="262"/>
      <c r="T476" s="272">
        <v>185.63073361823353</v>
      </c>
      <c r="U476" s="272">
        <v>185.63073361823353</v>
      </c>
      <c r="V476" s="272">
        <v>185.63073361823353</v>
      </c>
      <c r="W476" s="272">
        <v>185.63073361823353</v>
      </c>
      <c r="X476" s="273">
        <f>IFERROR(INDEX('Measure Level Detail'!$R:$R,MATCH($B476&amp;"_"&amp;X$3,'Measure Level Detail'!$C:$C,0)),0)</f>
        <v>1</v>
      </c>
      <c r="Y476" s="273">
        <f>IFERROR(INDEX('Measure Level Detail'!$R:$R,MATCH($B476&amp;"_"&amp;Y$3,'Measure Level Detail'!$C:$C,0)),0)</f>
        <v>1</v>
      </c>
      <c r="Z476" s="273">
        <f>IFERROR(INDEX('Measure Level Detail'!$R:$R,MATCH($B476&amp;"_"&amp;Z$3,'Measure Level Detail'!$C:$C,0)),0)</f>
        <v>1</v>
      </c>
      <c r="AA476" s="273">
        <f>IFERROR(INDEX('Measure Level Detail'!$R:$R,MATCH($B476&amp;"_"&amp;AA$3,'Measure Level Detail'!$C:$C,0)),0)</f>
        <v>1</v>
      </c>
      <c r="AB476" s="266">
        <f t="shared" si="287"/>
        <v>0</v>
      </c>
      <c r="AC476" s="266">
        <f t="shared" si="288"/>
        <v>0</v>
      </c>
      <c r="AD476" s="266">
        <f t="shared" si="289"/>
        <v>0</v>
      </c>
      <c r="AE476" s="266">
        <f t="shared" si="290"/>
        <v>0</v>
      </c>
      <c r="AF476" s="266">
        <f t="shared" si="291"/>
        <v>0</v>
      </c>
      <c r="AG476" s="274">
        <v>1</v>
      </c>
      <c r="AH476" s="274">
        <v>1</v>
      </c>
      <c r="AI476" s="274">
        <v>1</v>
      </c>
      <c r="AJ476" s="274">
        <v>1</v>
      </c>
      <c r="AK476" s="274">
        <f t="shared" si="292"/>
        <v>1</v>
      </c>
      <c r="AL476" s="274">
        <f t="shared" si="293"/>
        <v>1</v>
      </c>
      <c r="AM476" s="274">
        <f t="shared" si="294"/>
        <v>1</v>
      </c>
      <c r="AN476" s="274">
        <f t="shared" si="295"/>
        <v>1</v>
      </c>
      <c r="AO476" s="262"/>
      <c r="AP476" s="262"/>
      <c r="AQ476" s="267">
        <v>185.63073361823353</v>
      </c>
      <c r="AR476" s="262"/>
      <c r="AS476" s="266">
        <f t="shared" si="296"/>
        <v>0</v>
      </c>
      <c r="AT476" s="264">
        <f t="shared" si="297"/>
        <v>0</v>
      </c>
      <c r="AU476" s="262"/>
      <c r="AV476" s="262"/>
      <c r="AW476" s="265">
        <v>185.63073361823353</v>
      </c>
      <c r="AX476" s="164" t="s">
        <v>1469</v>
      </c>
      <c r="AY476" s="266">
        <v>0</v>
      </c>
      <c r="AZ476" s="266">
        <f t="shared" si="298"/>
        <v>0</v>
      </c>
      <c r="BA476" s="264">
        <f t="shared" si="299"/>
        <v>0</v>
      </c>
      <c r="BB476" s="262"/>
      <c r="BC476" s="262"/>
      <c r="BD476" s="265">
        <f ca="1">IFERROR(INDEX(Algorithms!$G:$G,MATCH($C476&amp;"_Therm Saved per Unit",Algorithms!$A:$A,0)),0)</f>
        <v>185.63073361823353</v>
      </c>
      <c r="BE476" s="164" t="str">
        <f ca="1">IFERROR(INDEX('v12 Revisions'!$P$29:$P$186, MATCH('Measure-Level Adj Gas'!$L476, 'v12 Revisions'!$D$29:$D$186,0)),"")</f>
        <v>n/a - AFUE ≥ 95 eligibility tier, efficient AFUE value already 96.0% in plan.</v>
      </c>
      <c r="BF476" s="266">
        <f t="shared" ca="1" si="300"/>
        <v>0</v>
      </c>
      <c r="BG476" s="264">
        <f t="shared" ca="1" si="301"/>
        <v>0</v>
      </c>
      <c r="BH476" s="262"/>
      <c r="BI476" s="262"/>
      <c r="BJ476" s="265">
        <f ca="1">IFERROR(INDEX(Algorithms!$G:$G,MATCH($C476&amp;"_Therm Saved per Unit",Algorithms!$A:$A,0)),0)</f>
        <v>185.63073361823353</v>
      </c>
      <c r="BK476" s="164"/>
      <c r="BL476" s="266">
        <f t="shared" ca="1" si="302"/>
        <v>0</v>
      </c>
      <c r="BM476" s="264">
        <f t="shared" ca="1" si="303"/>
        <v>0</v>
      </c>
      <c r="BN476" s="266">
        <f t="shared" si="304"/>
        <v>0</v>
      </c>
      <c r="BO476" s="266">
        <f t="shared" si="305"/>
        <v>0</v>
      </c>
      <c r="BP476" s="266">
        <f t="shared" ca="1" si="306"/>
        <v>0</v>
      </c>
      <c r="BQ476" s="266">
        <f t="shared" ca="1" si="307"/>
        <v>0</v>
      </c>
      <c r="BR476" s="268">
        <f t="shared" ca="1" si="308"/>
        <v>0</v>
      </c>
      <c r="BS476" s="262" t="s">
        <v>99</v>
      </c>
      <c r="BT476" s="277"/>
      <c r="BW476" s="266">
        <f t="shared" si="309"/>
        <v>0</v>
      </c>
      <c r="BX476" s="266">
        <f t="shared" si="310"/>
        <v>0</v>
      </c>
      <c r="BY476" s="266">
        <f t="shared" si="311"/>
        <v>0</v>
      </c>
      <c r="BZ476" s="266">
        <f t="shared" si="312"/>
        <v>0</v>
      </c>
      <c r="CA476" s="266">
        <f ca="1">N476*IFERROR(INDEX(Algorithms!$G:$G,MATCH($C476&amp;"_Therm Saved per Unit- MLA",Algorithms!$A:$A,0)),0)*X476</f>
        <v>0</v>
      </c>
      <c r="CB476" s="266">
        <f ca="1">O476*IFERROR(INDEX(Algorithms!$G:$G,MATCH($C476&amp;"_Therm Saved per Unit- MLA",Algorithms!$A:$A,0)),0)*Y476</f>
        <v>0</v>
      </c>
      <c r="CC476" s="266">
        <f ca="1">P476*IFERROR(INDEX(Algorithms!$G:$G,MATCH($C476&amp;"_Therm Saved per Unit- MLA",Algorithms!$A:$A,0)),0)*Z476</f>
        <v>0</v>
      </c>
      <c r="CD476" s="266">
        <f ca="1">Q476*IFERROR(INDEX(Algorithms!$G:$G,MATCH($C476&amp;"_Therm Saved per Unit- MLA",Algorithms!$A:$A,0)),0)*AA476</f>
        <v>0</v>
      </c>
      <c r="CE476" s="266">
        <f ca="1">IFERROR(INDEX(Algorithms!$G:$G,MATCH($C476&amp;"_Lifetime (years)",Algorithms!$A:$A,0)),0)</f>
        <v>20</v>
      </c>
      <c r="CF476" s="266">
        <f ca="1">IFERROR(INDEX(Algorithms!$G:$G,MATCH($C476&amp;"_Lifetime (years) - Remaining Years",Algorithms!$A:$A,0)),0)</f>
        <v>0</v>
      </c>
      <c r="CG476" s="266">
        <f t="shared" ca="1" si="313"/>
        <v>0</v>
      </c>
      <c r="CH476" s="266">
        <f t="shared" ca="1" si="314"/>
        <v>0</v>
      </c>
      <c r="CI476" s="266">
        <f t="shared" ca="1" si="315"/>
        <v>0</v>
      </c>
      <c r="CJ476" s="266">
        <f t="shared" ca="1" si="316"/>
        <v>0</v>
      </c>
      <c r="CK476" s="266">
        <f t="shared" si="317"/>
        <v>0</v>
      </c>
      <c r="CL476" s="266">
        <f t="shared" si="318"/>
        <v>0</v>
      </c>
      <c r="CM476" s="266">
        <f t="shared" ca="1" si="319"/>
        <v>0</v>
      </c>
      <c r="CN476" s="266">
        <f t="shared" ca="1" si="320"/>
        <v>0</v>
      </c>
      <c r="CO476" s="266">
        <f ca="1">N476*IFERROR(INDEX(Algorithms!$G:$G,MATCH($C476&amp;"_Therm Saved per Unit- MLA",Algorithms!$A:$A,0)),0)*X476</f>
        <v>0</v>
      </c>
      <c r="CP476" s="266">
        <f ca="1">O476*IFERROR(INDEX(Algorithms!$G:$G,MATCH($C476&amp;"_Therm Saved per Unit- MLA",Algorithms!$A:$A,0)),0)*Y476</f>
        <v>0</v>
      </c>
      <c r="CQ476" s="266">
        <f ca="1">P476*IFERROR(INDEX(Algorithms!$G:$G,MATCH($C476&amp;"_Therm Saved per Unit- MLA",Algorithms!$A:$A,0)),0)*Z476</f>
        <v>0</v>
      </c>
      <c r="CR476" s="266">
        <f ca="1">Q476*IFERROR(INDEX(Algorithms!$G:$G,MATCH($C476&amp;"_Therm Saved per Unit- MLA",Algorithms!$A:$A,0)),0)*AA476</f>
        <v>0</v>
      </c>
      <c r="CS476" s="266">
        <f ca="1">IFERROR(INDEX(Algorithms!$G:$G,MATCH($C476&amp;"_Lifetime (years)",Algorithms!$A:$A,0)),0)</f>
        <v>20</v>
      </c>
      <c r="CT476" s="266">
        <f ca="1">IFERROR(INDEX(Algorithms!$G:$G,MATCH($C476&amp;"_Lifetime (years) - Remaining Years",Algorithms!$A:$A,0)),0)</f>
        <v>0</v>
      </c>
      <c r="CU476" s="266">
        <f t="shared" ca="1" si="321"/>
        <v>0</v>
      </c>
      <c r="CV476" s="266">
        <f t="shared" ca="1" si="322"/>
        <v>0</v>
      </c>
      <c r="CW476" s="266">
        <f t="shared" ca="1" si="323"/>
        <v>0</v>
      </c>
      <c r="CX476" s="266">
        <f t="shared" ca="1" si="324"/>
        <v>0</v>
      </c>
    </row>
    <row r="477" spans="2:102" s="47" customFormat="1" ht="18" customHeight="1" x14ac:dyDescent="0.25">
      <c r="B477" t="str">
        <f t="shared" si="325"/>
        <v>NSG_Income Eligible_Multi-Family_Whole Building - Public Housing_Pipe Insulation_Hyd. Boiler Sm ≤1.25"_MF</v>
      </c>
      <c r="C477" s="47" t="str">
        <f t="shared" si="286"/>
        <v>Pipe Insulation_Hyd. Boiler Sm ≤1.25"_MF</v>
      </c>
      <c r="D477" s="270" t="s">
        <v>1787</v>
      </c>
      <c r="E477" s="270" t="s">
        <v>325</v>
      </c>
      <c r="F477" s="270" t="s">
        <v>1422</v>
      </c>
      <c r="G477" s="270" t="s">
        <v>1817</v>
      </c>
      <c r="H477" s="270" t="s">
        <v>404</v>
      </c>
      <c r="I477" s="270" t="s">
        <v>947</v>
      </c>
      <c r="J477" s="270" t="s">
        <v>553</v>
      </c>
      <c r="K477" s="263">
        <v>1</v>
      </c>
      <c r="L477" s="263" t="str">
        <f ca="1">IFERROR(INDEX(Algorithms!J:J,MATCH($C477&amp;"_Therm Saved per Unit",Algorithms!$A:$A,0)),"n/a")</f>
        <v>"3 - Res Pipe Insulation" worksheet</v>
      </c>
      <c r="M477" s="263" t="str">
        <f>IFERROR(INDEX('Measure Level Detail'!$N:$N,MATCH($B477,'Measure Level Detail'!$B:$B,0)),0)</f>
        <v>each</v>
      </c>
      <c r="N477" s="271">
        <f>IFERROR(INDEX('Measure Level Detail'!$P:$P,MATCH($B477&amp;"_"&amp;N$3,'Measure Level Detail'!$C:$C,0)),0)</f>
        <v>0</v>
      </c>
      <c r="O477" s="271">
        <f>IFERROR(INDEX('Measure Level Detail'!$P:$P,MATCH($B477&amp;"_"&amp;O$3,'Measure Level Detail'!$C:$C,0)),0)</f>
        <v>0</v>
      </c>
      <c r="P477" s="271">
        <f>IFERROR(INDEX('Measure Level Detail'!$P:$P,MATCH($B477&amp;"_"&amp;P$3,'Measure Level Detail'!$C:$C,0)),0)</f>
        <v>0</v>
      </c>
      <c r="Q477" s="271">
        <f>IFERROR(INDEX('Measure Level Detail'!$P:$P,MATCH($B477&amp;"_"&amp;Q$3,'Measure Level Detail'!$C:$C,0)),0)</f>
        <v>0</v>
      </c>
      <c r="R477" s="263">
        <f ca="1">IFERROR(INDEX(Algorithms!K:K,MATCH($C477&amp;"_Therm Saved per Unit",Algorithms!$A:$A,0)),"n/a")</f>
        <v>0</v>
      </c>
      <c r="S477" s="262"/>
      <c r="T477" s="272">
        <v>2.0682348076923076</v>
      </c>
      <c r="U477" s="272">
        <v>2.0682348076923076</v>
      </c>
      <c r="V477" s="272">
        <v>2.0682348076923076</v>
      </c>
      <c r="W477" s="272">
        <v>2.0682348076923076</v>
      </c>
      <c r="X477" s="273">
        <f>IFERROR(INDEX('Measure Level Detail'!$R:$R,MATCH($B477&amp;"_"&amp;X$3,'Measure Level Detail'!$C:$C,0)),0)</f>
        <v>1</v>
      </c>
      <c r="Y477" s="273">
        <f>IFERROR(INDEX('Measure Level Detail'!$R:$R,MATCH($B477&amp;"_"&amp;Y$3,'Measure Level Detail'!$C:$C,0)),0)</f>
        <v>1</v>
      </c>
      <c r="Z477" s="273">
        <f>IFERROR(INDEX('Measure Level Detail'!$R:$R,MATCH($B477&amp;"_"&amp;Z$3,'Measure Level Detail'!$C:$C,0)),0)</f>
        <v>1</v>
      </c>
      <c r="AA477" s="273">
        <f>IFERROR(INDEX('Measure Level Detail'!$R:$R,MATCH($B477&amp;"_"&amp;AA$3,'Measure Level Detail'!$C:$C,0)),0)</f>
        <v>1</v>
      </c>
      <c r="AB477" s="266">
        <f t="shared" si="287"/>
        <v>0</v>
      </c>
      <c r="AC477" s="266">
        <f t="shared" si="288"/>
        <v>0</v>
      </c>
      <c r="AD477" s="266">
        <f t="shared" si="289"/>
        <v>0</v>
      </c>
      <c r="AE477" s="266">
        <f t="shared" si="290"/>
        <v>0</v>
      </c>
      <c r="AF477" s="266">
        <f t="shared" si="291"/>
        <v>0</v>
      </c>
      <c r="AG477" s="274">
        <v>1</v>
      </c>
      <c r="AH477" s="274">
        <v>1</v>
      </c>
      <c r="AI477" s="274">
        <v>1</v>
      </c>
      <c r="AJ477" s="274">
        <v>1</v>
      </c>
      <c r="AK477" s="274">
        <f t="shared" si="292"/>
        <v>1</v>
      </c>
      <c r="AL477" s="274">
        <f t="shared" si="293"/>
        <v>1</v>
      </c>
      <c r="AM477" s="274">
        <f t="shared" si="294"/>
        <v>1</v>
      </c>
      <c r="AN477" s="274">
        <f t="shared" si="295"/>
        <v>1</v>
      </c>
      <c r="AO477" s="262"/>
      <c r="AP477" s="262"/>
      <c r="AQ477" s="267">
        <v>2.0682348076923076</v>
      </c>
      <c r="AR477" s="262"/>
      <c r="AS477" s="266">
        <f t="shared" si="296"/>
        <v>0</v>
      </c>
      <c r="AT477" s="264">
        <f t="shared" si="297"/>
        <v>0</v>
      </c>
      <c r="AU477" s="262"/>
      <c r="AV477" s="262"/>
      <c r="AW477" s="265">
        <v>2.0682348076923076</v>
      </c>
      <c r="AX477" s="164" t="s">
        <v>1469</v>
      </c>
      <c r="AY477" s="266">
        <v>0</v>
      </c>
      <c r="AZ477" s="266">
        <f t="shared" si="298"/>
        <v>0</v>
      </c>
      <c r="BA477" s="264">
        <f t="shared" si="299"/>
        <v>0</v>
      </c>
      <c r="BB477" s="262"/>
      <c r="BC477" s="262"/>
      <c r="BD477" s="265">
        <f ca="1">IFERROR(INDEX(Algorithms!$G:$G,MATCH($C477&amp;"_Therm Saved per Unit",Algorithms!$A:$A,0)),0)</f>
        <v>2.0682348076923076</v>
      </c>
      <c r="BE477" s="164" t="str">
        <f ca="1">IFERROR(INDEX('v12 Revisions'!$P$29:$P$186, MATCH('Measure-Level Adj Gas'!$L477, 'v12 Revisions'!$D$29:$D$186,0)),"")</f>
        <v/>
      </c>
      <c r="BF477" s="266">
        <f t="shared" ca="1" si="300"/>
        <v>0</v>
      </c>
      <c r="BG477" s="264">
        <f t="shared" ca="1" si="301"/>
        <v>0</v>
      </c>
      <c r="BH477" s="262"/>
      <c r="BI477" s="262"/>
      <c r="BJ477" s="265">
        <f ca="1">IFERROR(INDEX(Algorithms!$G:$G,MATCH($C477&amp;"_Therm Saved per Unit",Algorithms!$A:$A,0)),0)</f>
        <v>2.0682348076923076</v>
      </c>
      <c r="BK477" s="164"/>
      <c r="BL477" s="266">
        <f t="shared" ca="1" si="302"/>
        <v>0</v>
      </c>
      <c r="BM477" s="264">
        <f t="shared" ca="1" si="303"/>
        <v>0</v>
      </c>
      <c r="BN477" s="266">
        <f t="shared" si="304"/>
        <v>0</v>
      </c>
      <c r="BO477" s="266">
        <f t="shared" si="305"/>
        <v>0</v>
      </c>
      <c r="BP477" s="266">
        <f t="shared" ca="1" si="306"/>
        <v>0</v>
      </c>
      <c r="BQ477" s="266">
        <f t="shared" ca="1" si="307"/>
        <v>0</v>
      </c>
      <c r="BR477" s="268">
        <f t="shared" ca="1" si="308"/>
        <v>0</v>
      </c>
      <c r="BS477" s="262" t="s">
        <v>99</v>
      </c>
      <c r="BT477" s="277"/>
      <c r="BW477" s="266">
        <f t="shared" si="309"/>
        <v>0</v>
      </c>
      <c r="BX477" s="266">
        <f t="shared" si="310"/>
        <v>0</v>
      </c>
      <c r="BY477" s="266">
        <f t="shared" si="311"/>
        <v>0</v>
      </c>
      <c r="BZ477" s="266">
        <f t="shared" si="312"/>
        <v>0</v>
      </c>
      <c r="CA477" s="266">
        <f ca="1">N477*IFERROR(INDEX(Algorithms!$G:$G,MATCH($C477&amp;"_Therm Saved per Unit- MLA",Algorithms!$A:$A,0)),0)*X477</f>
        <v>0</v>
      </c>
      <c r="CB477" s="266">
        <f ca="1">O477*IFERROR(INDEX(Algorithms!$G:$G,MATCH($C477&amp;"_Therm Saved per Unit- MLA",Algorithms!$A:$A,0)),0)*Y477</f>
        <v>0</v>
      </c>
      <c r="CC477" s="266">
        <f ca="1">P477*IFERROR(INDEX(Algorithms!$G:$G,MATCH($C477&amp;"_Therm Saved per Unit- MLA",Algorithms!$A:$A,0)),0)*Z477</f>
        <v>0</v>
      </c>
      <c r="CD477" s="266">
        <f ca="1">Q477*IFERROR(INDEX(Algorithms!$G:$G,MATCH($C477&amp;"_Therm Saved per Unit- MLA",Algorithms!$A:$A,0)),0)*AA477</f>
        <v>0</v>
      </c>
      <c r="CE477" s="266">
        <f ca="1">IFERROR(INDEX(Algorithms!$G:$G,MATCH($C477&amp;"_Lifetime (years)",Algorithms!$A:$A,0)),0)</f>
        <v>15</v>
      </c>
      <c r="CF477" s="266">
        <f ca="1">IFERROR(INDEX(Algorithms!$G:$G,MATCH($C477&amp;"_Lifetime (years) - Remaining Years",Algorithms!$A:$A,0)),0)</f>
        <v>0</v>
      </c>
      <c r="CG477" s="266">
        <f t="shared" ca="1" si="313"/>
        <v>0</v>
      </c>
      <c r="CH477" s="266">
        <f t="shared" ca="1" si="314"/>
        <v>0</v>
      </c>
      <c r="CI477" s="266">
        <f t="shared" ca="1" si="315"/>
        <v>0</v>
      </c>
      <c r="CJ477" s="266">
        <f t="shared" ca="1" si="316"/>
        <v>0</v>
      </c>
      <c r="CK477" s="266">
        <f t="shared" si="317"/>
        <v>0</v>
      </c>
      <c r="CL477" s="266">
        <f t="shared" si="318"/>
        <v>0</v>
      </c>
      <c r="CM477" s="266">
        <f t="shared" ca="1" si="319"/>
        <v>0</v>
      </c>
      <c r="CN477" s="266">
        <f t="shared" ca="1" si="320"/>
        <v>0</v>
      </c>
      <c r="CO477" s="266">
        <f ca="1">N477*IFERROR(INDEX(Algorithms!$G:$G,MATCH($C477&amp;"_Therm Saved per Unit- MLA",Algorithms!$A:$A,0)),0)*X477</f>
        <v>0</v>
      </c>
      <c r="CP477" s="266">
        <f ca="1">O477*IFERROR(INDEX(Algorithms!$G:$G,MATCH($C477&amp;"_Therm Saved per Unit- MLA",Algorithms!$A:$A,0)),0)*Y477</f>
        <v>0</v>
      </c>
      <c r="CQ477" s="266">
        <f ca="1">P477*IFERROR(INDEX(Algorithms!$G:$G,MATCH($C477&amp;"_Therm Saved per Unit- MLA",Algorithms!$A:$A,0)),0)*Z477</f>
        <v>0</v>
      </c>
      <c r="CR477" s="266">
        <f ca="1">Q477*IFERROR(INDEX(Algorithms!$G:$G,MATCH($C477&amp;"_Therm Saved per Unit- MLA",Algorithms!$A:$A,0)),0)*AA477</f>
        <v>0</v>
      </c>
      <c r="CS477" s="266">
        <f ca="1">IFERROR(INDEX(Algorithms!$G:$G,MATCH($C477&amp;"_Lifetime (years)",Algorithms!$A:$A,0)),0)</f>
        <v>15</v>
      </c>
      <c r="CT477" s="266">
        <f ca="1">IFERROR(INDEX(Algorithms!$G:$G,MATCH($C477&amp;"_Lifetime (years) - Remaining Years",Algorithms!$A:$A,0)),0)</f>
        <v>0</v>
      </c>
      <c r="CU477" s="266">
        <f t="shared" ca="1" si="321"/>
        <v>0</v>
      </c>
      <c r="CV477" s="266">
        <f t="shared" ca="1" si="322"/>
        <v>0</v>
      </c>
      <c r="CW477" s="266">
        <f t="shared" ca="1" si="323"/>
        <v>0</v>
      </c>
      <c r="CX477" s="266">
        <f t="shared" ca="1" si="324"/>
        <v>0</v>
      </c>
    </row>
    <row r="478" spans="2:102" s="47" customFormat="1" ht="18" customHeight="1" x14ac:dyDescent="0.25">
      <c r="B478" t="str">
        <f t="shared" si="325"/>
        <v>NSG_Income Eligible_Multi-Family_Whole Building - Public Housing_Pipe Insulation_Hyd. Boiler Med 1.25-2"_MF</v>
      </c>
      <c r="C478" s="47" t="str">
        <f t="shared" si="286"/>
        <v>Pipe Insulation_Hyd. Boiler Med 1.25-2"_MF</v>
      </c>
      <c r="D478" s="270" t="s">
        <v>1787</v>
      </c>
      <c r="E478" s="270" t="s">
        <v>325</v>
      </c>
      <c r="F478" s="270" t="s">
        <v>1422</v>
      </c>
      <c r="G478" s="270" t="s">
        <v>1817</v>
      </c>
      <c r="H478" s="270" t="s">
        <v>404</v>
      </c>
      <c r="I478" s="270" t="s">
        <v>951</v>
      </c>
      <c r="J478" s="270" t="s">
        <v>553</v>
      </c>
      <c r="K478" s="263">
        <v>1</v>
      </c>
      <c r="L478" s="263" t="str">
        <f ca="1">IFERROR(INDEX(Algorithms!J:J,MATCH($C478&amp;"_Therm Saved per Unit",Algorithms!$A:$A,0)),"n/a")</f>
        <v>"3 - Res Pipe Insulation" worksheet</v>
      </c>
      <c r="M478" s="263" t="str">
        <f>IFERROR(INDEX('Measure Level Detail'!$N:$N,MATCH($B478,'Measure Level Detail'!$B:$B,0)),0)</f>
        <v>each</v>
      </c>
      <c r="N478" s="271">
        <f>IFERROR(INDEX('Measure Level Detail'!$P:$P,MATCH($B478&amp;"_"&amp;N$3,'Measure Level Detail'!$C:$C,0)),0)</f>
        <v>0</v>
      </c>
      <c r="O478" s="271">
        <f>IFERROR(INDEX('Measure Level Detail'!$P:$P,MATCH($B478&amp;"_"&amp;O$3,'Measure Level Detail'!$C:$C,0)),0)</f>
        <v>0</v>
      </c>
      <c r="P478" s="271">
        <f>IFERROR(INDEX('Measure Level Detail'!$P:$P,MATCH($B478&amp;"_"&amp;P$3,'Measure Level Detail'!$C:$C,0)),0)</f>
        <v>0</v>
      </c>
      <c r="Q478" s="271">
        <f>IFERROR(INDEX('Measure Level Detail'!$P:$P,MATCH($B478&amp;"_"&amp;Q$3,'Measure Level Detail'!$C:$C,0)),0)</f>
        <v>0</v>
      </c>
      <c r="R478" s="263">
        <f ca="1">IFERROR(INDEX(Algorithms!K:K,MATCH($C478&amp;"_Therm Saved per Unit",Algorithms!$A:$A,0)),"n/a")</f>
        <v>0</v>
      </c>
      <c r="S478" s="262"/>
      <c r="T478" s="272">
        <v>3.6034773504273505</v>
      </c>
      <c r="U478" s="272">
        <v>3.6034773504273505</v>
      </c>
      <c r="V478" s="272">
        <v>3.6034773504273505</v>
      </c>
      <c r="W478" s="272">
        <v>3.6034773504273505</v>
      </c>
      <c r="X478" s="273">
        <f>IFERROR(INDEX('Measure Level Detail'!$R:$R,MATCH($B478&amp;"_"&amp;X$3,'Measure Level Detail'!$C:$C,0)),0)</f>
        <v>1</v>
      </c>
      <c r="Y478" s="273">
        <f>IFERROR(INDEX('Measure Level Detail'!$R:$R,MATCH($B478&amp;"_"&amp;Y$3,'Measure Level Detail'!$C:$C,0)),0)</f>
        <v>1</v>
      </c>
      <c r="Z478" s="273">
        <f>IFERROR(INDEX('Measure Level Detail'!$R:$R,MATCH($B478&amp;"_"&amp;Z$3,'Measure Level Detail'!$C:$C,0)),0)</f>
        <v>1</v>
      </c>
      <c r="AA478" s="273">
        <f>IFERROR(INDEX('Measure Level Detail'!$R:$R,MATCH($B478&amp;"_"&amp;AA$3,'Measure Level Detail'!$C:$C,0)),0)</f>
        <v>1</v>
      </c>
      <c r="AB478" s="266">
        <f t="shared" si="287"/>
        <v>0</v>
      </c>
      <c r="AC478" s="266">
        <f t="shared" si="288"/>
        <v>0</v>
      </c>
      <c r="AD478" s="266">
        <f t="shared" si="289"/>
        <v>0</v>
      </c>
      <c r="AE478" s="266">
        <f t="shared" si="290"/>
        <v>0</v>
      </c>
      <c r="AF478" s="266">
        <f t="shared" si="291"/>
        <v>0</v>
      </c>
      <c r="AG478" s="274">
        <v>1</v>
      </c>
      <c r="AH478" s="274">
        <v>1</v>
      </c>
      <c r="AI478" s="274">
        <v>1</v>
      </c>
      <c r="AJ478" s="274">
        <v>1</v>
      </c>
      <c r="AK478" s="274">
        <f t="shared" si="292"/>
        <v>1</v>
      </c>
      <c r="AL478" s="274">
        <f t="shared" si="293"/>
        <v>1</v>
      </c>
      <c r="AM478" s="274">
        <f t="shared" si="294"/>
        <v>1</v>
      </c>
      <c r="AN478" s="274">
        <f t="shared" si="295"/>
        <v>1</v>
      </c>
      <c r="AO478" s="262"/>
      <c r="AP478" s="262"/>
      <c r="AQ478" s="267">
        <v>3.6034773504273505</v>
      </c>
      <c r="AR478" s="262"/>
      <c r="AS478" s="266">
        <f t="shared" si="296"/>
        <v>0</v>
      </c>
      <c r="AT478" s="264">
        <f t="shared" si="297"/>
        <v>0</v>
      </c>
      <c r="AU478" s="262"/>
      <c r="AV478" s="262"/>
      <c r="AW478" s="265">
        <v>3.6034773504273505</v>
      </c>
      <c r="AX478" s="164" t="s">
        <v>1469</v>
      </c>
      <c r="AY478" s="266">
        <v>0</v>
      </c>
      <c r="AZ478" s="266">
        <f t="shared" si="298"/>
        <v>0</v>
      </c>
      <c r="BA478" s="264">
        <f t="shared" si="299"/>
        <v>0</v>
      </c>
      <c r="BB478" s="262"/>
      <c r="BC478" s="262"/>
      <c r="BD478" s="265">
        <f ca="1">IFERROR(INDEX(Algorithms!$G:$G,MATCH($C478&amp;"_Therm Saved per Unit",Algorithms!$A:$A,0)),0)</f>
        <v>3.6034773504273505</v>
      </c>
      <c r="BE478" s="164" t="str">
        <f ca="1">IFERROR(INDEX('v12 Revisions'!$P$29:$P$186, MATCH('Measure-Level Adj Gas'!$L478, 'v12 Revisions'!$D$29:$D$186,0)),"")</f>
        <v/>
      </c>
      <c r="BF478" s="266">
        <f t="shared" ca="1" si="300"/>
        <v>0</v>
      </c>
      <c r="BG478" s="264">
        <f t="shared" ca="1" si="301"/>
        <v>0</v>
      </c>
      <c r="BH478" s="262"/>
      <c r="BI478" s="262"/>
      <c r="BJ478" s="265">
        <f ca="1">IFERROR(INDEX(Algorithms!$G:$G,MATCH($C478&amp;"_Therm Saved per Unit",Algorithms!$A:$A,0)),0)</f>
        <v>3.6034773504273505</v>
      </c>
      <c r="BK478" s="164"/>
      <c r="BL478" s="266">
        <f t="shared" ca="1" si="302"/>
        <v>0</v>
      </c>
      <c r="BM478" s="264">
        <f t="shared" ca="1" si="303"/>
        <v>0</v>
      </c>
      <c r="BN478" s="266">
        <f t="shared" si="304"/>
        <v>0</v>
      </c>
      <c r="BO478" s="266">
        <f t="shared" si="305"/>
        <v>0</v>
      </c>
      <c r="BP478" s="266">
        <f t="shared" ca="1" si="306"/>
        <v>0</v>
      </c>
      <c r="BQ478" s="266">
        <f t="shared" ca="1" si="307"/>
        <v>0</v>
      </c>
      <c r="BR478" s="268">
        <f t="shared" ca="1" si="308"/>
        <v>0</v>
      </c>
      <c r="BS478" s="262" t="s">
        <v>99</v>
      </c>
      <c r="BT478" s="277"/>
      <c r="BW478" s="266">
        <f t="shared" si="309"/>
        <v>0</v>
      </c>
      <c r="BX478" s="266">
        <f t="shared" si="310"/>
        <v>0</v>
      </c>
      <c r="BY478" s="266">
        <f t="shared" si="311"/>
        <v>0</v>
      </c>
      <c r="BZ478" s="266">
        <f t="shared" si="312"/>
        <v>0</v>
      </c>
      <c r="CA478" s="266">
        <f ca="1">N478*IFERROR(INDEX(Algorithms!$G:$G,MATCH($C478&amp;"_Therm Saved per Unit- MLA",Algorithms!$A:$A,0)),0)*X478</f>
        <v>0</v>
      </c>
      <c r="CB478" s="266">
        <f ca="1">O478*IFERROR(INDEX(Algorithms!$G:$G,MATCH($C478&amp;"_Therm Saved per Unit- MLA",Algorithms!$A:$A,0)),0)*Y478</f>
        <v>0</v>
      </c>
      <c r="CC478" s="266">
        <f ca="1">P478*IFERROR(INDEX(Algorithms!$G:$G,MATCH($C478&amp;"_Therm Saved per Unit- MLA",Algorithms!$A:$A,0)),0)*Z478</f>
        <v>0</v>
      </c>
      <c r="CD478" s="266">
        <f ca="1">Q478*IFERROR(INDEX(Algorithms!$G:$G,MATCH($C478&amp;"_Therm Saved per Unit- MLA",Algorithms!$A:$A,0)),0)*AA478</f>
        <v>0</v>
      </c>
      <c r="CE478" s="266">
        <f ca="1">IFERROR(INDEX(Algorithms!$G:$G,MATCH($C478&amp;"_Lifetime (years)",Algorithms!$A:$A,0)),0)</f>
        <v>15</v>
      </c>
      <c r="CF478" s="266">
        <f ca="1">IFERROR(INDEX(Algorithms!$G:$G,MATCH($C478&amp;"_Lifetime (years) - Remaining Years",Algorithms!$A:$A,0)),0)</f>
        <v>0</v>
      </c>
      <c r="CG478" s="266">
        <f t="shared" ca="1" si="313"/>
        <v>0</v>
      </c>
      <c r="CH478" s="266">
        <f t="shared" ca="1" si="314"/>
        <v>0</v>
      </c>
      <c r="CI478" s="266">
        <f t="shared" ca="1" si="315"/>
        <v>0</v>
      </c>
      <c r="CJ478" s="266">
        <f t="shared" ca="1" si="316"/>
        <v>0</v>
      </c>
      <c r="CK478" s="266">
        <f t="shared" si="317"/>
        <v>0</v>
      </c>
      <c r="CL478" s="266">
        <f t="shared" si="318"/>
        <v>0</v>
      </c>
      <c r="CM478" s="266">
        <f t="shared" ca="1" si="319"/>
        <v>0</v>
      </c>
      <c r="CN478" s="266">
        <f t="shared" ca="1" si="320"/>
        <v>0</v>
      </c>
      <c r="CO478" s="266">
        <f ca="1">N478*IFERROR(INDEX(Algorithms!$G:$G,MATCH($C478&amp;"_Therm Saved per Unit- MLA",Algorithms!$A:$A,0)),0)*X478</f>
        <v>0</v>
      </c>
      <c r="CP478" s="266">
        <f ca="1">O478*IFERROR(INDEX(Algorithms!$G:$G,MATCH($C478&amp;"_Therm Saved per Unit- MLA",Algorithms!$A:$A,0)),0)*Y478</f>
        <v>0</v>
      </c>
      <c r="CQ478" s="266">
        <f ca="1">P478*IFERROR(INDEX(Algorithms!$G:$G,MATCH($C478&amp;"_Therm Saved per Unit- MLA",Algorithms!$A:$A,0)),0)*Z478</f>
        <v>0</v>
      </c>
      <c r="CR478" s="266">
        <f ca="1">Q478*IFERROR(INDEX(Algorithms!$G:$G,MATCH($C478&amp;"_Therm Saved per Unit- MLA",Algorithms!$A:$A,0)),0)*AA478</f>
        <v>0</v>
      </c>
      <c r="CS478" s="266">
        <f ca="1">IFERROR(INDEX(Algorithms!$G:$G,MATCH($C478&amp;"_Lifetime (years)",Algorithms!$A:$A,0)),0)</f>
        <v>15</v>
      </c>
      <c r="CT478" s="266">
        <f ca="1">IFERROR(INDEX(Algorithms!$G:$G,MATCH($C478&amp;"_Lifetime (years) - Remaining Years",Algorithms!$A:$A,0)),0)</f>
        <v>0</v>
      </c>
      <c r="CU478" s="266">
        <f t="shared" ca="1" si="321"/>
        <v>0</v>
      </c>
      <c r="CV478" s="266">
        <f t="shared" ca="1" si="322"/>
        <v>0</v>
      </c>
      <c r="CW478" s="266">
        <f t="shared" ca="1" si="323"/>
        <v>0</v>
      </c>
      <c r="CX478" s="266">
        <f t="shared" ca="1" si="324"/>
        <v>0</v>
      </c>
    </row>
    <row r="479" spans="2:102" s="47" customFormat="1" ht="18" customHeight="1" x14ac:dyDescent="0.25">
      <c r="B479" t="str">
        <f t="shared" si="325"/>
        <v>NSG_Income Eligible_Multi-Family_Whole Building - Public Housing_Pipe Insulation_Hyd. Boiler Large ≥2"_MF</v>
      </c>
      <c r="C479" s="47" t="str">
        <f t="shared" si="286"/>
        <v>Pipe Insulation_Hyd. Boiler Large ≥2"_MF</v>
      </c>
      <c r="D479" s="270" t="s">
        <v>1787</v>
      </c>
      <c r="E479" s="270" t="s">
        <v>325</v>
      </c>
      <c r="F479" s="270" t="s">
        <v>1422</v>
      </c>
      <c r="G479" s="270" t="s">
        <v>1817</v>
      </c>
      <c r="H479" s="270" t="s">
        <v>404</v>
      </c>
      <c r="I479" s="270" t="s">
        <v>952</v>
      </c>
      <c r="J479" s="270" t="s">
        <v>553</v>
      </c>
      <c r="K479" s="263">
        <v>1</v>
      </c>
      <c r="L479" s="263" t="str">
        <f ca="1">IFERROR(INDEX(Algorithms!J:J,MATCH($C479&amp;"_Therm Saved per Unit",Algorithms!$A:$A,0)),"n/a")</f>
        <v>"3 - Res Pipe Insulation" worksheet</v>
      </c>
      <c r="M479" s="263" t="str">
        <f>IFERROR(INDEX('Measure Level Detail'!$N:$N,MATCH($B479,'Measure Level Detail'!$B:$B,0)),0)</f>
        <v>each</v>
      </c>
      <c r="N479" s="271">
        <f>IFERROR(INDEX('Measure Level Detail'!$P:$P,MATCH($B479&amp;"_"&amp;N$3,'Measure Level Detail'!$C:$C,0)),0)</f>
        <v>0</v>
      </c>
      <c r="O479" s="271">
        <f>IFERROR(INDEX('Measure Level Detail'!$P:$P,MATCH($B479&amp;"_"&amp;O$3,'Measure Level Detail'!$C:$C,0)),0)</f>
        <v>0</v>
      </c>
      <c r="P479" s="271">
        <f>IFERROR(INDEX('Measure Level Detail'!$P:$P,MATCH($B479&amp;"_"&amp;P$3,'Measure Level Detail'!$C:$C,0)),0)</f>
        <v>0</v>
      </c>
      <c r="Q479" s="271">
        <f>IFERROR(INDEX('Measure Level Detail'!$P:$P,MATCH($B479&amp;"_"&amp;Q$3,'Measure Level Detail'!$C:$C,0)),0)</f>
        <v>0</v>
      </c>
      <c r="R479" s="263">
        <f ca="1">IFERROR(INDEX(Algorithms!K:K,MATCH($C479&amp;"_Therm Saved per Unit",Algorithms!$A:$A,0)),"n/a")</f>
        <v>0</v>
      </c>
      <c r="S479" s="262"/>
      <c r="T479" s="272">
        <v>6.1867824786324785</v>
      </c>
      <c r="U479" s="272">
        <v>6.1867824786324785</v>
      </c>
      <c r="V479" s="272">
        <v>6.1867824786324785</v>
      </c>
      <c r="W479" s="272">
        <v>6.1867824786324785</v>
      </c>
      <c r="X479" s="273">
        <f>IFERROR(INDEX('Measure Level Detail'!$R:$R,MATCH($B479&amp;"_"&amp;X$3,'Measure Level Detail'!$C:$C,0)),0)</f>
        <v>1</v>
      </c>
      <c r="Y479" s="273">
        <f>IFERROR(INDEX('Measure Level Detail'!$R:$R,MATCH($B479&amp;"_"&amp;Y$3,'Measure Level Detail'!$C:$C,0)),0)</f>
        <v>1</v>
      </c>
      <c r="Z479" s="273">
        <f>IFERROR(INDEX('Measure Level Detail'!$R:$R,MATCH($B479&amp;"_"&amp;Z$3,'Measure Level Detail'!$C:$C,0)),0)</f>
        <v>1</v>
      </c>
      <c r="AA479" s="273">
        <f>IFERROR(INDEX('Measure Level Detail'!$R:$R,MATCH($B479&amp;"_"&amp;AA$3,'Measure Level Detail'!$C:$C,0)),0)</f>
        <v>1</v>
      </c>
      <c r="AB479" s="266">
        <f t="shared" si="287"/>
        <v>0</v>
      </c>
      <c r="AC479" s="266">
        <f t="shared" si="288"/>
        <v>0</v>
      </c>
      <c r="AD479" s="266">
        <f t="shared" si="289"/>
        <v>0</v>
      </c>
      <c r="AE479" s="266">
        <f t="shared" si="290"/>
        <v>0</v>
      </c>
      <c r="AF479" s="266">
        <f t="shared" si="291"/>
        <v>0</v>
      </c>
      <c r="AG479" s="274">
        <v>1</v>
      </c>
      <c r="AH479" s="274">
        <v>1</v>
      </c>
      <c r="AI479" s="274">
        <v>1</v>
      </c>
      <c r="AJ479" s="274">
        <v>1</v>
      </c>
      <c r="AK479" s="274">
        <f t="shared" si="292"/>
        <v>1</v>
      </c>
      <c r="AL479" s="274">
        <f t="shared" si="293"/>
        <v>1</v>
      </c>
      <c r="AM479" s="274">
        <f t="shared" si="294"/>
        <v>1</v>
      </c>
      <c r="AN479" s="274">
        <f t="shared" si="295"/>
        <v>1</v>
      </c>
      <c r="AO479" s="262"/>
      <c r="AP479" s="262"/>
      <c r="AQ479" s="267">
        <v>6.1867824786324785</v>
      </c>
      <c r="AR479" s="262"/>
      <c r="AS479" s="266">
        <f t="shared" si="296"/>
        <v>0</v>
      </c>
      <c r="AT479" s="264">
        <f t="shared" si="297"/>
        <v>0</v>
      </c>
      <c r="AU479" s="262"/>
      <c r="AV479" s="262"/>
      <c r="AW479" s="265">
        <v>6.1867824786324785</v>
      </c>
      <c r="AX479" s="164" t="s">
        <v>1469</v>
      </c>
      <c r="AY479" s="266">
        <v>0</v>
      </c>
      <c r="AZ479" s="266">
        <f t="shared" si="298"/>
        <v>0</v>
      </c>
      <c r="BA479" s="264">
        <f t="shared" si="299"/>
        <v>0</v>
      </c>
      <c r="BB479" s="262"/>
      <c r="BC479" s="262"/>
      <c r="BD479" s="265">
        <f ca="1">IFERROR(INDEX(Algorithms!$G:$G,MATCH($C479&amp;"_Therm Saved per Unit",Algorithms!$A:$A,0)),0)</f>
        <v>6.1867824786324785</v>
      </c>
      <c r="BE479" s="164" t="str">
        <f ca="1">IFERROR(INDEX('v12 Revisions'!$P$29:$P$186, MATCH('Measure-Level Adj Gas'!$L479, 'v12 Revisions'!$D$29:$D$186,0)),"")</f>
        <v/>
      </c>
      <c r="BF479" s="266">
        <f t="shared" ca="1" si="300"/>
        <v>0</v>
      </c>
      <c r="BG479" s="264">
        <f t="shared" ca="1" si="301"/>
        <v>0</v>
      </c>
      <c r="BH479" s="262"/>
      <c r="BI479" s="262"/>
      <c r="BJ479" s="265">
        <f ca="1">IFERROR(INDEX(Algorithms!$G:$G,MATCH($C479&amp;"_Therm Saved per Unit",Algorithms!$A:$A,0)),0)</f>
        <v>6.1867824786324785</v>
      </c>
      <c r="BK479" s="164"/>
      <c r="BL479" s="266">
        <f t="shared" ca="1" si="302"/>
        <v>0</v>
      </c>
      <c r="BM479" s="264">
        <f t="shared" ca="1" si="303"/>
        <v>0</v>
      </c>
      <c r="BN479" s="266">
        <f t="shared" si="304"/>
        <v>0</v>
      </c>
      <c r="BO479" s="266">
        <f t="shared" si="305"/>
        <v>0</v>
      </c>
      <c r="BP479" s="266">
        <f t="shared" ca="1" si="306"/>
        <v>0</v>
      </c>
      <c r="BQ479" s="266">
        <f t="shared" ca="1" si="307"/>
        <v>0</v>
      </c>
      <c r="BR479" s="268">
        <f t="shared" ca="1" si="308"/>
        <v>0</v>
      </c>
      <c r="BS479" s="262" t="s">
        <v>99</v>
      </c>
      <c r="BT479" s="277"/>
      <c r="BW479" s="266">
        <f t="shared" si="309"/>
        <v>0</v>
      </c>
      <c r="BX479" s="266">
        <f t="shared" si="310"/>
        <v>0</v>
      </c>
      <c r="BY479" s="266">
        <f t="shared" si="311"/>
        <v>0</v>
      </c>
      <c r="BZ479" s="266">
        <f t="shared" si="312"/>
        <v>0</v>
      </c>
      <c r="CA479" s="266">
        <f ca="1">N479*IFERROR(INDEX(Algorithms!$G:$G,MATCH($C479&amp;"_Therm Saved per Unit- MLA",Algorithms!$A:$A,0)),0)*X479</f>
        <v>0</v>
      </c>
      <c r="CB479" s="266">
        <f ca="1">O479*IFERROR(INDEX(Algorithms!$G:$G,MATCH($C479&amp;"_Therm Saved per Unit- MLA",Algorithms!$A:$A,0)),0)*Y479</f>
        <v>0</v>
      </c>
      <c r="CC479" s="266">
        <f ca="1">P479*IFERROR(INDEX(Algorithms!$G:$G,MATCH($C479&amp;"_Therm Saved per Unit- MLA",Algorithms!$A:$A,0)),0)*Z479</f>
        <v>0</v>
      </c>
      <c r="CD479" s="266">
        <f ca="1">Q479*IFERROR(INDEX(Algorithms!$G:$G,MATCH($C479&amp;"_Therm Saved per Unit- MLA",Algorithms!$A:$A,0)),0)*AA479</f>
        <v>0</v>
      </c>
      <c r="CE479" s="266">
        <f ca="1">IFERROR(INDEX(Algorithms!$G:$G,MATCH($C479&amp;"_Lifetime (years)",Algorithms!$A:$A,0)),0)</f>
        <v>15</v>
      </c>
      <c r="CF479" s="266">
        <f ca="1">IFERROR(INDEX(Algorithms!$G:$G,MATCH($C479&amp;"_Lifetime (years) - Remaining Years",Algorithms!$A:$A,0)),0)</f>
        <v>0</v>
      </c>
      <c r="CG479" s="266">
        <f t="shared" ca="1" si="313"/>
        <v>0</v>
      </c>
      <c r="CH479" s="266">
        <f t="shared" ca="1" si="314"/>
        <v>0</v>
      </c>
      <c r="CI479" s="266">
        <f t="shared" ca="1" si="315"/>
        <v>0</v>
      </c>
      <c r="CJ479" s="266">
        <f t="shared" ca="1" si="316"/>
        <v>0</v>
      </c>
      <c r="CK479" s="266">
        <f t="shared" si="317"/>
        <v>0</v>
      </c>
      <c r="CL479" s="266">
        <f t="shared" si="318"/>
        <v>0</v>
      </c>
      <c r="CM479" s="266">
        <f t="shared" ca="1" si="319"/>
        <v>0</v>
      </c>
      <c r="CN479" s="266">
        <f t="shared" ca="1" si="320"/>
        <v>0</v>
      </c>
      <c r="CO479" s="266">
        <f ca="1">N479*IFERROR(INDEX(Algorithms!$G:$G,MATCH($C479&amp;"_Therm Saved per Unit- MLA",Algorithms!$A:$A,0)),0)*X479</f>
        <v>0</v>
      </c>
      <c r="CP479" s="266">
        <f ca="1">O479*IFERROR(INDEX(Algorithms!$G:$G,MATCH($C479&amp;"_Therm Saved per Unit- MLA",Algorithms!$A:$A,0)),0)*Y479</f>
        <v>0</v>
      </c>
      <c r="CQ479" s="266">
        <f ca="1">P479*IFERROR(INDEX(Algorithms!$G:$G,MATCH($C479&amp;"_Therm Saved per Unit- MLA",Algorithms!$A:$A,0)),0)*Z479</f>
        <v>0</v>
      </c>
      <c r="CR479" s="266">
        <f ca="1">Q479*IFERROR(INDEX(Algorithms!$G:$G,MATCH($C479&amp;"_Therm Saved per Unit- MLA",Algorithms!$A:$A,0)),0)*AA479</f>
        <v>0</v>
      </c>
      <c r="CS479" s="266">
        <f ca="1">IFERROR(INDEX(Algorithms!$G:$G,MATCH($C479&amp;"_Lifetime (years)",Algorithms!$A:$A,0)),0)</f>
        <v>15</v>
      </c>
      <c r="CT479" s="266">
        <f ca="1">IFERROR(INDEX(Algorithms!$G:$G,MATCH($C479&amp;"_Lifetime (years) - Remaining Years",Algorithms!$A:$A,0)),0)</f>
        <v>0</v>
      </c>
      <c r="CU479" s="266">
        <f t="shared" ca="1" si="321"/>
        <v>0</v>
      </c>
      <c r="CV479" s="266">
        <f t="shared" ca="1" si="322"/>
        <v>0</v>
      </c>
      <c r="CW479" s="266">
        <f t="shared" ca="1" si="323"/>
        <v>0</v>
      </c>
      <c r="CX479" s="266">
        <f t="shared" ca="1" si="324"/>
        <v>0</v>
      </c>
    </row>
    <row r="480" spans="2:102" s="47" customFormat="1" ht="18" customHeight="1" x14ac:dyDescent="0.25">
      <c r="B480" t="str">
        <f t="shared" si="325"/>
        <v>NSG_Income Eligible_Multi-Family_Whole Building - Public Housing_Pipe Insulation_HW Small 1" to 2"_MF/CI/SMB</v>
      </c>
      <c r="C480" s="47" t="str">
        <f t="shared" si="286"/>
        <v>Pipe Insulation_HW Small 1" to 2"_MF/CI/SMB</v>
      </c>
      <c r="D480" s="270" t="s">
        <v>1787</v>
      </c>
      <c r="E480" s="270" t="s">
        <v>325</v>
      </c>
      <c r="F480" s="270" t="s">
        <v>1422</v>
      </c>
      <c r="G480" s="270" t="s">
        <v>1817</v>
      </c>
      <c r="H480" s="270" t="s">
        <v>404</v>
      </c>
      <c r="I480" s="270" t="s">
        <v>953</v>
      </c>
      <c r="J480" s="270" t="s">
        <v>662</v>
      </c>
      <c r="K480" s="263">
        <v>1</v>
      </c>
      <c r="L480" s="263" t="str">
        <f ca="1">IFERROR(INDEX(Algorithms!J:J,MATCH($C480&amp;"_Therm Saved per Unit",Algorithms!$A:$A,0)),"n/a")</f>
        <v>"3 - Res Pipe Insulation" worksheet</v>
      </c>
      <c r="M480" s="263" t="str">
        <f>IFERROR(INDEX('Measure Level Detail'!$N:$N,MATCH($B480,'Measure Level Detail'!$B:$B,0)),0)</f>
        <v>each</v>
      </c>
      <c r="N480" s="271">
        <f>IFERROR(INDEX('Measure Level Detail'!$P:$P,MATCH($B480&amp;"_"&amp;N$3,'Measure Level Detail'!$C:$C,0)),0)</f>
        <v>0</v>
      </c>
      <c r="O480" s="271">
        <f>IFERROR(INDEX('Measure Level Detail'!$P:$P,MATCH($B480&amp;"_"&amp;O$3,'Measure Level Detail'!$C:$C,0)),0)</f>
        <v>0</v>
      </c>
      <c r="P480" s="271">
        <f>IFERROR(INDEX('Measure Level Detail'!$P:$P,MATCH($B480&amp;"_"&amp;P$3,'Measure Level Detail'!$C:$C,0)),0)</f>
        <v>0</v>
      </c>
      <c r="Q480" s="271">
        <f>IFERROR(INDEX('Measure Level Detail'!$P:$P,MATCH($B480&amp;"_"&amp;Q$3,'Measure Level Detail'!$C:$C,0)),0)</f>
        <v>0</v>
      </c>
      <c r="R480" s="263">
        <f ca="1">IFERROR(INDEX(Algorithms!K:K,MATCH($C480&amp;"_Therm Saved per Unit",Algorithms!$A:$A,0)),"n/a")</f>
        <v>0</v>
      </c>
      <c r="S480" s="262"/>
      <c r="T480" s="272">
        <v>2.6588140926267867</v>
      </c>
      <c r="U480" s="272">
        <v>2.6588140926267867</v>
      </c>
      <c r="V480" s="272">
        <v>2.6588140926267867</v>
      </c>
      <c r="W480" s="272">
        <v>2.6588140926267867</v>
      </c>
      <c r="X480" s="273">
        <f>IFERROR(INDEX('Measure Level Detail'!$R:$R,MATCH($B480&amp;"_"&amp;X$3,'Measure Level Detail'!$C:$C,0)),0)</f>
        <v>1</v>
      </c>
      <c r="Y480" s="273">
        <f>IFERROR(INDEX('Measure Level Detail'!$R:$R,MATCH($B480&amp;"_"&amp;Y$3,'Measure Level Detail'!$C:$C,0)),0)</f>
        <v>1</v>
      </c>
      <c r="Z480" s="273">
        <f>IFERROR(INDEX('Measure Level Detail'!$R:$R,MATCH($B480&amp;"_"&amp;Z$3,'Measure Level Detail'!$C:$C,0)),0)</f>
        <v>1</v>
      </c>
      <c r="AA480" s="273">
        <f>IFERROR(INDEX('Measure Level Detail'!$R:$R,MATCH($B480&amp;"_"&amp;AA$3,'Measure Level Detail'!$C:$C,0)),0)</f>
        <v>1</v>
      </c>
      <c r="AB480" s="266">
        <f t="shared" si="287"/>
        <v>0</v>
      </c>
      <c r="AC480" s="266">
        <f t="shared" si="288"/>
        <v>0</v>
      </c>
      <c r="AD480" s="266">
        <f t="shared" si="289"/>
        <v>0</v>
      </c>
      <c r="AE480" s="266">
        <f t="shared" si="290"/>
        <v>0</v>
      </c>
      <c r="AF480" s="266">
        <f t="shared" si="291"/>
        <v>0</v>
      </c>
      <c r="AG480" s="274">
        <v>1</v>
      </c>
      <c r="AH480" s="274">
        <v>1</v>
      </c>
      <c r="AI480" s="274">
        <v>1</v>
      </c>
      <c r="AJ480" s="274">
        <v>1</v>
      </c>
      <c r="AK480" s="274">
        <f t="shared" si="292"/>
        <v>1</v>
      </c>
      <c r="AL480" s="274">
        <f t="shared" si="293"/>
        <v>1</v>
      </c>
      <c r="AM480" s="274">
        <f t="shared" si="294"/>
        <v>1</v>
      </c>
      <c r="AN480" s="274">
        <f t="shared" si="295"/>
        <v>1</v>
      </c>
      <c r="AO480" s="262"/>
      <c r="AP480" s="262"/>
      <c r="AQ480" s="267">
        <v>2.6588140926267867</v>
      </c>
      <c r="AR480" s="262"/>
      <c r="AS480" s="266">
        <f t="shared" si="296"/>
        <v>0</v>
      </c>
      <c r="AT480" s="264">
        <f t="shared" si="297"/>
        <v>0</v>
      </c>
      <c r="AU480" s="262"/>
      <c r="AV480" s="262"/>
      <c r="AW480" s="265">
        <v>2.6588140926267867</v>
      </c>
      <c r="AX480" s="164" t="s">
        <v>1469</v>
      </c>
      <c r="AY480" s="266">
        <v>0</v>
      </c>
      <c r="AZ480" s="266">
        <f t="shared" si="298"/>
        <v>0</v>
      </c>
      <c r="BA480" s="264">
        <f t="shared" si="299"/>
        <v>0</v>
      </c>
      <c r="BB480" s="262"/>
      <c r="BC480" s="262"/>
      <c r="BD480" s="265">
        <f ca="1">IFERROR(INDEX(Algorithms!$G:$G,MATCH($C480&amp;"_Therm Saved per Unit",Algorithms!$A:$A,0)),0)</f>
        <v>2.6588140926267867</v>
      </c>
      <c r="BE480" s="164" t="str">
        <f ca="1">IFERROR(INDEX('v12 Revisions'!$P$29:$P$186, MATCH('Measure-Level Adj Gas'!$L480, 'v12 Revisions'!$D$29:$D$186,0)),"")</f>
        <v/>
      </c>
      <c r="BF480" s="266">
        <f t="shared" ca="1" si="300"/>
        <v>0</v>
      </c>
      <c r="BG480" s="264">
        <f t="shared" ca="1" si="301"/>
        <v>0</v>
      </c>
      <c r="BH480" s="262"/>
      <c r="BI480" s="262"/>
      <c r="BJ480" s="265">
        <f ca="1">IFERROR(INDEX(Algorithms!$G:$G,MATCH($C480&amp;"_Therm Saved per Unit",Algorithms!$A:$A,0)),0)</f>
        <v>2.6588140926267867</v>
      </c>
      <c r="BK480" s="164"/>
      <c r="BL480" s="266">
        <f t="shared" ca="1" si="302"/>
        <v>0</v>
      </c>
      <c r="BM480" s="264">
        <f t="shared" ca="1" si="303"/>
        <v>0</v>
      </c>
      <c r="BN480" s="266">
        <f t="shared" si="304"/>
        <v>0</v>
      </c>
      <c r="BO480" s="266">
        <f t="shared" si="305"/>
        <v>0</v>
      </c>
      <c r="BP480" s="266">
        <f t="shared" ca="1" si="306"/>
        <v>0</v>
      </c>
      <c r="BQ480" s="266">
        <f t="shared" ca="1" si="307"/>
        <v>0</v>
      </c>
      <c r="BR480" s="268">
        <f t="shared" ca="1" si="308"/>
        <v>0</v>
      </c>
      <c r="BS480" s="262" t="s">
        <v>99</v>
      </c>
      <c r="BT480" s="277"/>
      <c r="BW480" s="266">
        <f t="shared" si="309"/>
        <v>0</v>
      </c>
      <c r="BX480" s="266">
        <f t="shared" si="310"/>
        <v>0</v>
      </c>
      <c r="BY480" s="266">
        <f t="shared" si="311"/>
        <v>0</v>
      </c>
      <c r="BZ480" s="266">
        <f t="shared" si="312"/>
        <v>0</v>
      </c>
      <c r="CA480" s="266">
        <f ca="1">N480*IFERROR(INDEX(Algorithms!$G:$G,MATCH($C480&amp;"_Therm Saved per Unit- MLA",Algorithms!$A:$A,0)),0)*X480</f>
        <v>0</v>
      </c>
      <c r="CB480" s="266">
        <f ca="1">O480*IFERROR(INDEX(Algorithms!$G:$G,MATCH($C480&amp;"_Therm Saved per Unit- MLA",Algorithms!$A:$A,0)),0)*Y480</f>
        <v>0</v>
      </c>
      <c r="CC480" s="266">
        <f ca="1">P480*IFERROR(INDEX(Algorithms!$G:$G,MATCH($C480&amp;"_Therm Saved per Unit- MLA",Algorithms!$A:$A,0)),0)*Z480</f>
        <v>0</v>
      </c>
      <c r="CD480" s="266">
        <f ca="1">Q480*IFERROR(INDEX(Algorithms!$G:$G,MATCH($C480&amp;"_Therm Saved per Unit- MLA",Algorithms!$A:$A,0)),0)*AA480</f>
        <v>0</v>
      </c>
      <c r="CE480" s="266">
        <f ca="1">IFERROR(INDEX(Algorithms!$G:$G,MATCH($C480&amp;"_Lifetime (years)",Algorithms!$A:$A,0)),0)</f>
        <v>15</v>
      </c>
      <c r="CF480" s="266">
        <f ca="1">IFERROR(INDEX(Algorithms!$G:$G,MATCH($C480&amp;"_Lifetime (years) - Remaining Years",Algorithms!$A:$A,0)),0)</f>
        <v>0</v>
      </c>
      <c r="CG480" s="266">
        <f t="shared" ca="1" si="313"/>
        <v>0</v>
      </c>
      <c r="CH480" s="266">
        <f t="shared" ca="1" si="314"/>
        <v>0</v>
      </c>
      <c r="CI480" s="266">
        <f t="shared" ca="1" si="315"/>
        <v>0</v>
      </c>
      <c r="CJ480" s="266">
        <f t="shared" ca="1" si="316"/>
        <v>0</v>
      </c>
      <c r="CK480" s="266">
        <f t="shared" si="317"/>
        <v>0</v>
      </c>
      <c r="CL480" s="266">
        <f t="shared" si="318"/>
        <v>0</v>
      </c>
      <c r="CM480" s="266">
        <f t="shared" ca="1" si="319"/>
        <v>0</v>
      </c>
      <c r="CN480" s="266">
        <f t="shared" ca="1" si="320"/>
        <v>0</v>
      </c>
      <c r="CO480" s="266">
        <f ca="1">N480*IFERROR(INDEX(Algorithms!$G:$G,MATCH($C480&amp;"_Therm Saved per Unit- MLA",Algorithms!$A:$A,0)),0)*X480</f>
        <v>0</v>
      </c>
      <c r="CP480" s="266">
        <f ca="1">O480*IFERROR(INDEX(Algorithms!$G:$G,MATCH($C480&amp;"_Therm Saved per Unit- MLA",Algorithms!$A:$A,0)),0)*Y480</f>
        <v>0</v>
      </c>
      <c r="CQ480" s="266">
        <f ca="1">P480*IFERROR(INDEX(Algorithms!$G:$G,MATCH($C480&amp;"_Therm Saved per Unit- MLA",Algorithms!$A:$A,0)),0)*Z480</f>
        <v>0</v>
      </c>
      <c r="CR480" s="266">
        <f ca="1">Q480*IFERROR(INDEX(Algorithms!$G:$G,MATCH($C480&amp;"_Therm Saved per Unit- MLA",Algorithms!$A:$A,0)),0)*AA480</f>
        <v>0</v>
      </c>
      <c r="CS480" s="266">
        <f ca="1">IFERROR(INDEX(Algorithms!$G:$G,MATCH($C480&amp;"_Lifetime (years)",Algorithms!$A:$A,0)),0)</f>
        <v>15</v>
      </c>
      <c r="CT480" s="266">
        <f ca="1">IFERROR(INDEX(Algorithms!$G:$G,MATCH($C480&amp;"_Lifetime (years) - Remaining Years",Algorithms!$A:$A,0)),0)</f>
        <v>0</v>
      </c>
      <c r="CU480" s="266">
        <f t="shared" ca="1" si="321"/>
        <v>0</v>
      </c>
      <c r="CV480" s="266">
        <f t="shared" ca="1" si="322"/>
        <v>0</v>
      </c>
      <c r="CW480" s="266">
        <f t="shared" ca="1" si="323"/>
        <v>0</v>
      </c>
      <c r="CX480" s="266">
        <f t="shared" ca="1" si="324"/>
        <v>0</v>
      </c>
    </row>
    <row r="481" spans="2:102" s="47" customFormat="1" ht="18" customHeight="1" x14ac:dyDescent="0.25">
      <c r="B481" t="str">
        <f t="shared" si="325"/>
        <v>NSG_Income Eligible_Multi-Family_Whole Building - Public Housing_Pipe Insulation_HW Medium 2.1" to 4"_MF/CI/SMB</v>
      </c>
      <c r="C481" s="47" t="str">
        <f t="shared" si="286"/>
        <v>Pipe Insulation_HW Medium 2.1" to 4"_MF/CI/SMB</v>
      </c>
      <c r="D481" s="270" t="s">
        <v>1787</v>
      </c>
      <c r="E481" s="270" t="s">
        <v>325</v>
      </c>
      <c r="F481" s="270" t="s">
        <v>1422</v>
      </c>
      <c r="G481" s="270" t="s">
        <v>1817</v>
      </c>
      <c r="H481" s="270" t="s">
        <v>404</v>
      </c>
      <c r="I481" s="270" t="s">
        <v>954</v>
      </c>
      <c r="J481" s="270" t="s">
        <v>662</v>
      </c>
      <c r="K481" s="263">
        <v>1</v>
      </c>
      <c r="L481" s="263" t="str">
        <f ca="1">IFERROR(INDEX(Algorithms!J:J,MATCH($C481&amp;"_Therm Saved per Unit",Algorithms!$A:$A,0)),"n/a")</f>
        <v>"3 - Res Pipe Insulation" worksheet</v>
      </c>
      <c r="M481" s="263" t="str">
        <f>IFERROR(INDEX('Measure Level Detail'!$N:$N,MATCH($B481,'Measure Level Detail'!$B:$B,0)),0)</f>
        <v>each</v>
      </c>
      <c r="N481" s="271">
        <f>IFERROR(INDEX('Measure Level Detail'!$P:$P,MATCH($B481&amp;"_"&amp;N$3,'Measure Level Detail'!$C:$C,0)),0)</f>
        <v>0</v>
      </c>
      <c r="O481" s="271">
        <f>IFERROR(INDEX('Measure Level Detail'!$P:$P,MATCH($B481&amp;"_"&amp;O$3,'Measure Level Detail'!$C:$C,0)),0)</f>
        <v>0</v>
      </c>
      <c r="P481" s="271">
        <f>IFERROR(INDEX('Measure Level Detail'!$P:$P,MATCH($B481&amp;"_"&amp;P$3,'Measure Level Detail'!$C:$C,0)),0)</f>
        <v>0</v>
      </c>
      <c r="Q481" s="271">
        <f>IFERROR(INDEX('Measure Level Detail'!$P:$P,MATCH($B481&amp;"_"&amp;Q$3,'Measure Level Detail'!$C:$C,0)),0)</f>
        <v>0</v>
      </c>
      <c r="R481" s="263">
        <f ca="1">IFERROR(INDEX(Algorithms!K:K,MATCH($C481&amp;"_Therm Saved per Unit",Algorithms!$A:$A,0)),"n/a")</f>
        <v>0</v>
      </c>
      <c r="S481" s="262"/>
      <c r="T481" s="272">
        <v>5.2492031493764015</v>
      </c>
      <c r="U481" s="272">
        <v>5.2492031493764015</v>
      </c>
      <c r="V481" s="272">
        <v>5.2492031493764015</v>
      </c>
      <c r="W481" s="272">
        <v>5.2492031493764015</v>
      </c>
      <c r="X481" s="273">
        <f>IFERROR(INDEX('Measure Level Detail'!$R:$R,MATCH($B481&amp;"_"&amp;X$3,'Measure Level Detail'!$C:$C,0)),0)</f>
        <v>1</v>
      </c>
      <c r="Y481" s="273">
        <f>IFERROR(INDEX('Measure Level Detail'!$R:$R,MATCH($B481&amp;"_"&amp;Y$3,'Measure Level Detail'!$C:$C,0)),0)</f>
        <v>1</v>
      </c>
      <c r="Z481" s="273">
        <f>IFERROR(INDEX('Measure Level Detail'!$R:$R,MATCH($B481&amp;"_"&amp;Z$3,'Measure Level Detail'!$C:$C,0)),0)</f>
        <v>1</v>
      </c>
      <c r="AA481" s="273">
        <f>IFERROR(INDEX('Measure Level Detail'!$R:$R,MATCH($B481&amp;"_"&amp;AA$3,'Measure Level Detail'!$C:$C,0)),0)</f>
        <v>1</v>
      </c>
      <c r="AB481" s="266">
        <f t="shared" si="287"/>
        <v>0</v>
      </c>
      <c r="AC481" s="266">
        <f t="shared" si="288"/>
        <v>0</v>
      </c>
      <c r="AD481" s="266">
        <f t="shared" si="289"/>
        <v>0</v>
      </c>
      <c r="AE481" s="266">
        <f t="shared" si="290"/>
        <v>0</v>
      </c>
      <c r="AF481" s="266">
        <f t="shared" si="291"/>
        <v>0</v>
      </c>
      <c r="AG481" s="274">
        <v>1</v>
      </c>
      <c r="AH481" s="274">
        <v>1</v>
      </c>
      <c r="AI481" s="274">
        <v>1</v>
      </c>
      <c r="AJ481" s="274">
        <v>1</v>
      </c>
      <c r="AK481" s="274">
        <f t="shared" si="292"/>
        <v>1</v>
      </c>
      <c r="AL481" s="274">
        <f t="shared" si="293"/>
        <v>1</v>
      </c>
      <c r="AM481" s="274">
        <f t="shared" si="294"/>
        <v>1</v>
      </c>
      <c r="AN481" s="274">
        <f t="shared" si="295"/>
        <v>1</v>
      </c>
      <c r="AO481" s="262"/>
      <c r="AP481" s="262"/>
      <c r="AQ481" s="267">
        <v>5.2492031493764015</v>
      </c>
      <c r="AR481" s="262"/>
      <c r="AS481" s="266">
        <f t="shared" si="296"/>
        <v>0</v>
      </c>
      <c r="AT481" s="264">
        <f t="shared" si="297"/>
        <v>0</v>
      </c>
      <c r="AU481" s="262"/>
      <c r="AV481" s="262"/>
      <c r="AW481" s="265">
        <v>5.2492031493764015</v>
      </c>
      <c r="AX481" s="164" t="s">
        <v>1469</v>
      </c>
      <c r="AY481" s="266">
        <v>0</v>
      </c>
      <c r="AZ481" s="266">
        <f t="shared" si="298"/>
        <v>0</v>
      </c>
      <c r="BA481" s="264">
        <f t="shared" si="299"/>
        <v>0</v>
      </c>
      <c r="BB481" s="262"/>
      <c r="BC481" s="262"/>
      <c r="BD481" s="265">
        <f ca="1">IFERROR(INDEX(Algorithms!$G:$G,MATCH($C481&amp;"_Therm Saved per Unit",Algorithms!$A:$A,0)),0)</f>
        <v>5.2492031493764015</v>
      </c>
      <c r="BE481" s="164" t="str">
        <f ca="1">IFERROR(INDEX('v12 Revisions'!$P$29:$P$186, MATCH('Measure-Level Adj Gas'!$L481, 'v12 Revisions'!$D$29:$D$186,0)),"")</f>
        <v/>
      </c>
      <c r="BF481" s="266">
        <f t="shared" ca="1" si="300"/>
        <v>0</v>
      </c>
      <c r="BG481" s="264">
        <f t="shared" ca="1" si="301"/>
        <v>0</v>
      </c>
      <c r="BH481" s="262"/>
      <c r="BI481" s="262"/>
      <c r="BJ481" s="265">
        <f ca="1">IFERROR(INDEX(Algorithms!$G:$G,MATCH($C481&amp;"_Therm Saved per Unit",Algorithms!$A:$A,0)),0)</f>
        <v>5.2492031493764015</v>
      </c>
      <c r="BK481" s="164"/>
      <c r="BL481" s="266">
        <f t="shared" ca="1" si="302"/>
        <v>0</v>
      </c>
      <c r="BM481" s="264">
        <f t="shared" ca="1" si="303"/>
        <v>0</v>
      </c>
      <c r="BN481" s="266">
        <f t="shared" si="304"/>
        <v>0</v>
      </c>
      <c r="BO481" s="266">
        <f t="shared" si="305"/>
        <v>0</v>
      </c>
      <c r="BP481" s="266">
        <f t="shared" ca="1" si="306"/>
        <v>0</v>
      </c>
      <c r="BQ481" s="266">
        <f t="shared" ca="1" si="307"/>
        <v>0</v>
      </c>
      <c r="BR481" s="268">
        <f t="shared" ca="1" si="308"/>
        <v>0</v>
      </c>
      <c r="BS481" s="262" t="s">
        <v>99</v>
      </c>
      <c r="BT481" s="277"/>
      <c r="BW481" s="266">
        <f t="shared" si="309"/>
        <v>0</v>
      </c>
      <c r="BX481" s="266">
        <f t="shared" si="310"/>
        <v>0</v>
      </c>
      <c r="BY481" s="266">
        <f t="shared" si="311"/>
        <v>0</v>
      </c>
      <c r="BZ481" s="266">
        <f t="shared" si="312"/>
        <v>0</v>
      </c>
      <c r="CA481" s="266">
        <f ca="1">N481*IFERROR(INDEX(Algorithms!$G:$G,MATCH($C481&amp;"_Therm Saved per Unit- MLA",Algorithms!$A:$A,0)),0)*X481</f>
        <v>0</v>
      </c>
      <c r="CB481" s="266">
        <f ca="1">O481*IFERROR(INDEX(Algorithms!$G:$G,MATCH($C481&amp;"_Therm Saved per Unit- MLA",Algorithms!$A:$A,0)),0)*Y481</f>
        <v>0</v>
      </c>
      <c r="CC481" s="266">
        <f ca="1">P481*IFERROR(INDEX(Algorithms!$G:$G,MATCH($C481&amp;"_Therm Saved per Unit- MLA",Algorithms!$A:$A,0)),0)*Z481</f>
        <v>0</v>
      </c>
      <c r="CD481" s="266">
        <f ca="1">Q481*IFERROR(INDEX(Algorithms!$G:$G,MATCH($C481&amp;"_Therm Saved per Unit- MLA",Algorithms!$A:$A,0)),0)*AA481</f>
        <v>0</v>
      </c>
      <c r="CE481" s="266">
        <f ca="1">IFERROR(INDEX(Algorithms!$G:$G,MATCH($C481&amp;"_Lifetime (years)",Algorithms!$A:$A,0)),0)</f>
        <v>15</v>
      </c>
      <c r="CF481" s="266">
        <f ca="1">IFERROR(INDEX(Algorithms!$G:$G,MATCH($C481&amp;"_Lifetime (years) - Remaining Years",Algorithms!$A:$A,0)),0)</f>
        <v>0</v>
      </c>
      <c r="CG481" s="266">
        <f t="shared" ca="1" si="313"/>
        <v>0</v>
      </c>
      <c r="CH481" s="266">
        <f t="shared" ca="1" si="314"/>
        <v>0</v>
      </c>
      <c r="CI481" s="266">
        <f t="shared" ca="1" si="315"/>
        <v>0</v>
      </c>
      <c r="CJ481" s="266">
        <f t="shared" ca="1" si="316"/>
        <v>0</v>
      </c>
      <c r="CK481" s="266">
        <f t="shared" si="317"/>
        <v>0</v>
      </c>
      <c r="CL481" s="266">
        <f t="shared" si="318"/>
        <v>0</v>
      </c>
      <c r="CM481" s="266">
        <f t="shared" ca="1" si="319"/>
        <v>0</v>
      </c>
      <c r="CN481" s="266">
        <f t="shared" ca="1" si="320"/>
        <v>0</v>
      </c>
      <c r="CO481" s="266">
        <f ca="1">N481*IFERROR(INDEX(Algorithms!$G:$G,MATCH($C481&amp;"_Therm Saved per Unit- MLA",Algorithms!$A:$A,0)),0)*X481</f>
        <v>0</v>
      </c>
      <c r="CP481" s="266">
        <f ca="1">O481*IFERROR(INDEX(Algorithms!$G:$G,MATCH($C481&amp;"_Therm Saved per Unit- MLA",Algorithms!$A:$A,0)),0)*Y481</f>
        <v>0</v>
      </c>
      <c r="CQ481" s="266">
        <f ca="1">P481*IFERROR(INDEX(Algorithms!$G:$G,MATCH($C481&amp;"_Therm Saved per Unit- MLA",Algorithms!$A:$A,0)),0)*Z481</f>
        <v>0</v>
      </c>
      <c r="CR481" s="266">
        <f ca="1">Q481*IFERROR(INDEX(Algorithms!$G:$G,MATCH($C481&amp;"_Therm Saved per Unit- MLA",Algorithms!$A:$A,0)),0)*AA481</f>
        <v>0</v>
      </c>
      <c r="CS481" s="266">
        <f ca="1">IFERROR(INDEX(Algorithms!$G:$G,MATCH($C481&amp;"_Lifetime (years)",Algorithms!$A:$A,0)),0)</f>
        <v>15</v>
      </c>
      <c r="CT481" s="266">
        <f ca="1">IFERROR(INDEX(Algorithms!$G:$G,MATCH($C481&amp;"_Lifetime (years) - Remaining Years",Algorithms!$A:$A,0)),0)</f>
        <v>0</v>
      </c>
      <c r="CU481" s="266">
        <f t="shared" ca="1" si="321"/>
        <v>0</v>
      </c>
      <c r="CV481" s="266">
        <f t="shared" ca="1" si="322"/>
        <v>0</v>
      </c>
      <c r="CW481" s="266">
        <f t="shared" ca="1" si="323"/>
        <v>0</v>
      </c>
      <c r="CX481" s="266">
        <f t="shared" ca="1" si="324"/>
        <v>0</v>
      </c>
    </row>
    <row r="482" spans="2:102" s="47" customFormat="1" ht="18" customHeight="1" x14ac:dyDescent="0.25">
      <c r="B482" t="str">
        <f t="shared" si="325"/>
        <v>NSG_Income Eligible_Multi-Family_Whole Building - Public Housing_Pipe Insulation_HW Large &gt;4"_MF/CI/SMB</v>
      </c>
      <c r="C482" s="47" t="str">
        <f t="shared" si="286"/>
        <v>Pipe Insulation_HW Large &gt;4"_MF/CI/SMB</v>
      </c>
      <c r="D482" s="270" t="s">
        <v>1787</v>
      </c>
      <c r="E482" s="270" t="s">
        <v>325</v>
      </c>
      <c r="F482" s="270" t="s">
        <v>1422</v>
      </c>
      <c r="G482" s="270" t="s">
        <v>1817</v>
      </c>
      <c r="H482" s="270" t="s">
        <v>404</v>
      </c>
      <c r="I482" s="270" t="s">
        <v>955</v>
      </c>
      <c r="J482" s="270" t="s">
        <v>662</v>
      </c>
      <c r="K482" s="263">
        <v>1</v>
      </c>
      <c r="L482" s="263" t="str">
        <f ca="1">IFERROR(INDEX(Algorithms!J:J,MATCH($C482&amp;"_Therm Saved per Unit",Algorithms!$A:$A,0)),"n/a")</f>
        <v>"3 - Res Pipe Insulation" worksheet</v>
      </c>
      <c r="M482" s="263" t="str">
        <f>IFERROR(INDEX('Measure Level Detail'!$N:$N,MATCH($B482,'Measure Level Detail'!$B:$B,0)),0)</f>
        <v>each</v>
      </c>
      <c r="N482" s="271">
        <f>IFERROR(INDEX('Measure Level Detail'!$P:$P,MATCH($B482&amp;"_"&amp;N$3,'Measure Level Detail'!$C:$C,0)),0)</f>
        <v>0</v>
      </c>
      <c r="O482" s="271">
        <f>IFERROR(INDEX('Measure Level Detail'!$P:$P,MATCH($B482&amp;"_"&amp;O$3,'Measure Level Detail'!$C:$C,0)),0)</f>
        <v>0</v>
      </c>
      <c r="P482" s="271">
        <f>IFERROR(INDEX('Measure Level Detail'!$P:$P,MATCH($B482&amp;"_"&amp;P$3,'Measure Level Detail'!$C:$C,0)),0)</f>
        <v>0</v>
      </c>
      <c r="Q482" s="271">
        <f>IFERROR(INDEX('Measure Level Detail'!$P:$P,MATCH($B482&amp;"_"&amp;Q$3,'Measure Level Detail'!$C:$C,0)),0)</f>
        <v>0</v>
      </c>
      <c r="R482" s="263">
        <f ca="1">IFERROR(INDEX(Algorithms!K:K,MATCH($C482&amp;"_Therm Saved per Unit",Algorithms!$A:$A,0)),"n/a")</f>
        <v>0</v>
      </c>
      <c r="S482" s="262"/>
      <c r="T482" s="272">
        <v>9.0407613085908682</v>
      </c>
      <c r="U482" s="272">
        <v>9.0407613085908682</v>
      </c>
      <c r="V482" s="272">
        <v>9.0407613085908682</v>
      </c>
      <c r="W482" s="272">
        <v>9.0407613085908682</v>
      </c>
      <c r="X482" s="273">
        <f>IFERROR(INDEX('Measure Level Detail'!$R:$R,MATCH($B482&amp;"_"&amp;X$3,'Measure Level Detail'!$C:$C,0)),0)</f>
        <v>1</v>
      </c>
      <c r="Y482" s="273">
        <f>IFERROR(INDEX('Measure Level Detail'!$R:$R,MATCH($B482&amp;"_"&amp;Y$3,'Measure Level Detail'!$C:$C,0)),0)</f>
        <v>1</v>
      </c>
      <c r="Z482" s="273">
        <f>IFERROR(INDEX('Measure Level Detail'!$R:$R,MATCH($B482&amp;"_"&amp;Z$3,'Measure Level Detail'!$C:$C,0)),0)</f>
        <v>1</v>
      </c>
      <c r="AA482" s="273">
        <f>IFERROR(INDEX('Measure Level Detail'!$R:$R,MATCH($B482&amp;"_"&amp;AA$3,'Measure Level Detail'!$C:$C,0)),0)</f>
        <v>1</v>
      </c>
      <c r="AB482" s="266">
        <f t="shared" si="287"/>
        <v>0</v>
      </c>
      <c r="AC482" s="266">
        <f t="shared" si="288"/>
        <v>0</v>
      </c>
      <c r="AD482" s="266">
        <f t="shared" si="289"/>
        <v>0</v>
      </c>
      <c r="AE482" s="266">
        <f t="shared" si="290"/>
        <v>0</v>
      </c>
      <c r="AF482" s="266">
        <f t="shared" si="291"/>
        <v>0</v>
      </c>
      <c r="AG482" s="274">
        <v>1</v>
      </c>
      <c r="AH482" s="274">
        <v>1</v>
      </c>
      <c r="AI482" s="274">
        <v>1</v>
      </c>
      <c r="AJ482" s="274">
        <v>1</v>
      </c>
      <c r="AK482" s="274">
        <f t="shared" si="292"/>
        <v>1</v>
      </c>
      <c r="AL482" s="274">
        <f t="shared" si="293"/>
        <v>1</v>
      </c>
      <c r="AM482" s="274">
        <f t="shared" si="294"/>
        <v>1</v>
      </c>
      <c r="AN482" s="274">
        <f t="shared" si="295"/>
        <v>1</v>
      </c>
      <c r="AO482" s="262"/>
      <c r="AP482" s="262"/>
      <c r="AQ482" s="267">
        <v>9.0407613085908682</v>
      </c>
      <c r="AR482" s="262"/>
      <c r="AS482" s="266">
        <f t="shared" si="296"/>
        <v>0</v>
      </c>
      <c r="AT482" s="264">
        <f t="shared" si="297"/>
        <v>0</v>
      </c>
      <c r="AU482" s="262"/>
      <c r="AV482" s="262"/>
      <c r="AW482" s="265">
        <v>9.0407613085908682</v>
      </c>
      <c r="AX482" s="164" t="s">
        <v>1469</v>
      </c>
      <c r="AY482" s="266">
        <v>0</v>
      </c>
      <c r="AZ482" s="266">
        <f t="shared" si="298"/>
        <v>0</v>
      </c>
      <c r="BA482" s="264">
        <f t="shared" si="299"/>
        <v>0</v>
      </c>
      <c r="BB482" s="262"/>
      <c r="BC482" s="262"/>
      <c r="BD482" s="265">
        <f ca="1">IFERROR(INDEX(Algorithms!$G:$G,MATCH($C482&amp;"_Therm Saved per Unit",Algorithms!$A:$A,0)),0)</f>
        <v>9.0407613085908682</v>
      </c>
      <c r="BE482" s="164" t="str">
        <f ca="1">IFERROR(INDEX('v12 Revisions'!$P$29:$P$186, MATCH('Measure-Level Adj Gas'!$L482, 'v12 Revisions'!$D$29:$D$186,0)),"")</f>
        <v/>
      </c>
      <c r="BF482" s="266">
        <f t="shared" ca="1" si="300"/>
        <v>0</v>
      </c>
      <c r="BG482" s="264">
        <f t="shared" ca="1" si="301"/>
        <v>0</v>
      </c>
      <c r="BH482" s="262"/>
      <c r="BI482" s="262"/>
      <c r="BJ482" s="265">
        <f ca="1">IFERROR(INDEX(Algorithms!$G:$G,MATCH($C482&amp;"_Therm Saved per Unit",Algorithms!$A:$A,0)),0)</f>
        <v>9.0407613085908682</v>
      </c>
      <c r="BK482" s="164"/>
      <c r="BL482" s="266">
        <f t="shared" ca="1" si="302"/>
        <v>0</v>
      </c>
      <c r="BM482" s="264">
        <f t="shared" ca="1" si="303"/>
        <v>0</v>
      </c>
      <c r="BN482" s="266">
        <f t="shared" si="304"/>
        <v>0</v>
      </c>
      <c r="BO482" s="266">
        <f t="shared" si="305"/>
        <v>0</v>
      </c>
      <c r="BP482" s="266">
        <f t="shared" ca="1" si="306"/>
        <v>0</v>
      </c>
      <c r="BQ482" s="266">
        <f t="shared" ca="1" si="307"/>
        <v>0</v>
      </c>
      <c r="BR482" s="268">
        <f t="shared" ca="1" si="308"/>
        <v>0</v>
      </c>
      <c r="BS482" s="262" t="s">
        <v>99</v>
      </c>
      <c r="BT482" s="277"/>
      <c r="BW482" s="266">
        <f t="shared" si="309"/>
        <v>0</v>
      </c>
      <c r="BX482" s="266">
        <f t="shared" si="310"/>
        <v>0</v>
      </c>
      <c r="BY482" s="266">
        <f t="shared" si="311"/>
        <v>0</v>
      </c>
      <c r="BZ482" s="266">
        <f t="shared" si="312"/>
        <v>0</v>
      </c>
      <c r="CA482" s="266">
        <f ca="1">N482*IFERROR(INDEX(Algorithms!$G:$G,MATCH($C482&amp;"_Therm Saved per Unit- MLA",Algorithms!$A:$A,0)),0)*X482</f>
        <v>0</v>
      </c>
      <c r="CB482" s="266">
        <f ca="1">O482*IFERROR(INDEX(Algorithms!$G:$G,MATCH($C482&amp;"_Therm Saved per Unit- MLA",Algorithms!$A:$A,0)),0)*Y482</f>
        <v>0</v>
      </c>
      <c r="CC482" s="266">
        <f ca="1">P482*IFERROR(INDEX(Algorithms!$G:$G,MATCH($C482&amp;"_Therm Saved per Unit- MLA",Algorithms!$A:$A,0)),0)*Z482</f>
        <v>0</v>
      </c>
      <c r="CD482" s="266">
        <f ca="1">Q482*IFERROR(INDEX(Algorithms!$G:$G,MATCH($C482&amp;"_Therm Saved per Unit- MLA",Algorithms!$A:$A,0)),0)*AA482</f>
        <v>0</v>
      </c>
      <c r="CE482" s="266">
        <f ca="1">IFERROR(INDEX(Algorithms!$G:$G,MATCH($C482&amp;"_Lifetime (years)",Algorithms!$A:$A,0)),0)</f>
        <v>15</v>
      </c>
      <c r="CF482" s="266">
        <f ca="1">IFERROR(INDEX(Algorithms!$G:$G,MATCH($C482&amp;"_Lifetime (years) - Remaining Years",Algorithms!$A:$A,0)),0)</f>
        <v>0</v>
      </c>
      <c r="CG482" s="266">
        <f t="shared" ca="1" si="313"/>
        <v>0</v>
      </c>
      <c r="CH482" s="266">
        <f t="shared" ca="1" si="314"/>
        <v>0</v>
      </c>
      <c r="CI482" s="266">
        <f t="shared" ca="1" si="315"/>
        <v>0</v>
      </c>
      <c r="CJ482" s="266">
        <f t="shared" ca="1" si="316"/>
        <v>0</v>
      </c>
      <c r="CK482" s="266">
        <f t="shared" si="317"/>
        <v>0</v>
      </c>
      <c r="CL482" s="266">
        <f t="shared" si="318"/>
        <v>0</v>
      </c>
      <c r="CM482" s="266">
        <f t="shared" ca="1" si="319"/>
        <v>0</v>
      </c>
      <c r="CN482" s="266">
        <f t="shared" ca="1" si="320"/>
        <v>0</v>
      </c>
      <c r="CO482" s="266">
        <f ca="1">N482*IFERROR(INDEX(Algorithms!$G:$G,MATCH($C482&amp;"_Therm Saved per Unit- MLA",Algorithms!$A:$A,0)),0)*X482</f>
        <v>0</v>
      </c>
      <c r="CP482" s="266">
        <f ca="1">O482*IFERROR(INDEX(Algorithms!$G:$G,MATCH($C482&amp;"_Therm Saved per Unit- MLA",Algorithms!$A:$A,0)),0)*Y482</f>
        <v>0</v>
      </c>
      <c r="CQ482" s="266">
        <f ca="1">P482*IFERROR(INDEX(Algorithms!$G:$G,MATCH($C482&amp;"_Therm Saved per Unit- MLA",Algorithms!$A:$A,0)),0)*Z482</f>
        <v>0</v>
      </c>
      <c r="CR482" s="266">
        <f ca="1">Q482*IFERROR(INDEX(Algorithms!$G:$G,MATCH($C482&amp;"_Therm Saved per Unit- MLA",Algorithms!$A:$A,0)),0)*AA482</f>
        <v>0</v>
      </c>
      <c r="CS482" s="266">
        <f ca="1">IFERROR(INDEX(Algorithms!$G:$G,MATCH($C482&amp;"_Lifetime (years)",Algorithms!$A:$A,0)),0)</f>
        <v>15</v>
      </c>
      <c r="CT482" s="266">
        <f ca="1">IFERROR(INDEX(Algorithms!$G:$G,MATCH($C482&amp;"_Lifetime (years) - Remaining Years",Algorithms!$A:$A,0)),0)</f>
        <v>0</v>
      </c>
      <c r="CU482" s="266">
        <f t="shared" ca="1" si="321"/>
        <v>0</v>
      </c>
      <c r="CV482" s="266">
        <f t="shared" ca="1" si="322"/>
        <v>0</v>
      </c>
      <c r="CW482" s="266">
        <f t="shared" ca="1" si="323"/>
        <v>0</v>
      </c>
      <c r="CX482" s="266">
        <f t="shared" ca="1" si="324"/>
        <v>0</v>
      </c>
    </row>
    <row r="483" spans="2:102" s="47" customFormat="1" ht="18" customHeight="1" x14ac:dyDescent="0.25">
      <c r="B483" t="str">
        <f t="shared" si="325"/>
        <v>NSG_Income Eligible_Multi-Family_Whole Building - Public Housing_Pipe Insulation_Steam - Small 1" to 2"_MF</v>
      </c>
      <c r="C483" s="47" t="str">
        <f t="shared" si="286"/>
        <v>Pipe Insulation_Steam - Small 1" to 2"_MF</v>
      </c>
      <c r="D483" s="270" t="s">
        <v>1787</v>
      </c>
      <c r="E483" s="270" t="s">
        <v>325</v>
      </c>
      <c r="F483" s="270" t="s">
        <v>1422</v>
      </c>
      <c r="G483" s="270" t="s">
        <v>1817</v>
      </c>
      <c r="H483" s="270" t="s">
        <v>404</v>
      </c>
      <c r="I483" s="270" t="s">
        <v>956</v>
      </c>
      <c r="J483" s="270" t="s">
        <v>553</v>
      </c>
      <c r="K483" s="263">
        <v>1</v>
      </c>
      <c r="L483" s="263" t="str">
        <f ca="1">IFERROR(INDEX(Algorithms!J:J,MATCH($C483&amp;"_Therm Saved per Unit",Algorithms!$A:$A,0)),"n/a")</f>
        <v>"3 - Res Pipe Insulation" worksheet</v>
      </c>
      <c r="M483" s="263" t="str">
        <f>IFERROR(INDEX('Measure Level Detail'!$N:$N,MATCH($B483,'Measure Level Detail'!$B:$B,0)),0)</f>
        <v>each</v>
      </c>
      <c r="N483" s="271">
        <f>IFERROR(INDEX('Measure Level Detail'!$P:$P,MATCH($B483&amp;"_"&amp;N$3,'Measure Level Detail'!$C:$C,0)),0)</f>
        <v>0</v>
      </c>
      <c r="O483" s="271">
        <f>IFERROR(INDEX('Measure Level Detail'!$P:$P,MATCH($B483&amp;"_"&amp;O$3,'Measure Level Detail'!$C:$C,0)),0)</f>
        <v>0</v>
      </c>
      <c r="P483" s="271">
        <f>IFERROR(INDEX('Measure Level Detail'!$P:$P,MATCH($B483&amp;"_"&amp;P$3,'Measure Level Detail'!$C:$C,0)),0)</f>
        <v>0</v>
      </c>
      <c r="Q483" s="271">
        <f>IFERROR(INDEX('Measure Level Detail'!$P:$P,MATCH($B483&amp;"_"&amp;Q$3,'Measure Level Detail'!$C:$C,0)),0)</f>
        <v>0</v>
      </c>
      <c r="R483" s="263">
        <f ca="1">IFERROR(INDEX(Algorithms!K:K,MATCH($C483&amp;"_Therm Saved per Unit",Algorithms!$A:$A,0)),"n/a")</f>
        <v>0</v>
      </c>
      <c r="S483" s="262"/>
      <c r="T483" s="272">
        <v>3.967097058288509</v>
      </c>
      <c r="U483" s="272">
        <v>3.967097058288509</v>
      </c>
      <c r="V483" s="272">
        <v>3.967097058288509</v>
      </c>
      <c r="W483" s="272">
        <v>3.967097058288509</v>
      </c>
      <c r="X483" s="273">
        <f>IFERROR(INDEX('Measure Level Detail'!$R:$R,MATCH($B483&amp;"_"&amp;X$3,'Measure Level Detail'!$C:$C,0)),0)</f>
        <v>1</v>
      </c>
      <c r="Y483" s="273">
        <f>IFERROR(INDEX('Measure Level Detail'!$R:$R,MATCH($B483&amp;"_"&amp;Y$3,'Measure Level Detail'!$C:$C,0)),0)</f>
        <v>1</v>
      </c>
      <c r="Z483" s="273">
        <f>IFERROR(INDEX('Measure Level Detail'!$R:$R,MATCH($B483&amp;"_"&amp;Z$3,'Measure Level Detail'!$C:$C,0)),0)</f>
        <v>1</v>
      </c>
      <c r="AA483" s="273">
        <f>IFERROR(INDEX('Measure Level Detail'!$R:$R,MATCH($B483&amp;"_"&amp;AA$3,'Measure Level Detail'!$C:$C,0)),0)</f>
        <v>1</v>
      </c>
      <c r="AB483" s="266">
        <f t="shared" si="287"/>
        <v>0</v>
      </c>
      <c r="AC483" s="266">
        <f t="shared" si="288"/>
        <v>0</v>
      </c>
      <c r="AD483" s="266">
        <f t="shared" si="289"/>
        <v>0</v>
      </c>
      <c r="AE483" s="266">
        <f t="shared" si="290"/>
        <v>0</v>
      </c>
      <c r="AF483" s="266">
        <f t="shared" si="291"/>
        <v>0</v>
      </c>
      <c r="AG483" s="274">
        <v>1</v>
      </c>
      <c r="AH483" s="274">
        <v>1</v>
      </c>
      <c r="AI483" s="274">
        <v>1</v>
      </c>
      <c r="AJ483" s="274">
        <v>1</v>
      </c>
      <c r="AK483" s="274">
        <f t="shared" si="292"/>
        <v>1</v>
      </c>
      <c r="AL483" s="274">
        <f t="shared" si="293"/>
        <v>1</v>
      </c>
      <c r="AM483" s="274">
        <f t="shared" si="294"/>
        <v>1</v>
      </c>
      <c r="AN483" s="274">
        <f t="shared" si="295"/>
        <v>1</v>
      </c>
      <c r="AO483" s="262"/>
      <c r="AP483" s="262"/>
      <c r="AQ483" s="267">
        <v>3.967097058288509</v>
      </c>
      <c r="AR483" s="262"/>
      <c r="AS483" s="266">
        <f t="shared" si="296"/>
        <v>0</v>
      </c>
      <c r="AT483" s="264">
        <f t="shared" si="297"/>
        <v>0</v>
      </c>
      <c r="AU483" s="262"/>
      <c r="AV483" s="262"/>
      <c r="AW483" s="265">
        <v>3.967097058288509</v>
      </c>
      <c r="AX483" s="164" t="s">
        <v>1469</v>
      </c>
      <c r="AY483" s="266">
        <v>0</v>
      </c>
      <c r="AZ483" s="266">
        <f t="shared" si="298"/>
        <v>0</v>
      </c>
      <c r="BA483" s="264">
        <f t="shared" si="299"/>
        <v>0</v>
      </c>
      <c r="BB483" s="262"/>
      <c r="BC483" s="262"/>
      <c r="BD483" s="265">
        <f ca="1">IFERROR(INDEX(Algorithms!$G:$G,MATCH($C483&amp;"_Therm Saved per Unit",Algorithms!$A:$A,0)),0)</f>
        <v>3.967097058288509</v>
      </c>
      <c r="BE483" s="164" t="str">
        <f ca="1">IFERROR(INDEX('v12 Revisions'!$P$29:$P$186, MATCH('Measure-Level Adj Gas'!$L483, 'v12 Revisions'!$D$29:$D$186,0)),"")</f>
        <v/>
      </c>
      <c r="BF483" s="266">
        <f t="shared" ca="1" si="300"/>
        <v>0</v>
      </c>
      <c r="BG483" s="264">
        <f t="shared" ca="1" si="301"/>
        <v>0</v>
      </c>
      <c r="BH483" s="262"/>
      <c r="BI483" s="262"/>
      <c r="BJ483" s="265">
        <f ca="1">IFERROR(INDEX(Algorithms!$G:$G,MATCH($C483&amp;"_Therm Saved per Unit",Algorithms!$A:$A,0)),0)</f>
        <v>3.967097058288509</v>
      </c>
      <c r="BK483" s="164"/>
      <c r="BL483" s="266">
        <f t="shared" ca="1" si="302"/>
        <v>0</v>
      </c>
      <c r="BM483" s="264">
        <f t="shared" ca="1" si="303"/>
        <v>0</v>
      </c>
      <c r="BN483" s="266">
        <f t="shared" si="304"/>
        <v>0</v>
      </c>
      <c r="BO483" s="266">
        <f t="shared" si="305"/>
        <v>0</v>
      </c>
      <c r="BP483" s="266">
        <f t="shared" ca="1" si="306"/>
        <v>0</v>
      </c>
      <c r="BQ483" s="266">
        <f t="shared" ca="1" si="307"/>
        <v>0</v>
      </c>
      <c r="BR483" s="268">
        <f t="shared" ca="1" si="308"/>
        <v>0</v>
      </c>
      <c r="BS483" s="262" t="s">
        <v>99</v>
      </c>
      <c r="BT483" s="277"/>
      <c r="BW483" s="266">
        <f t="shared" si="309"/>
        <v>0</v>
      </c>
      <c r="BX483" s="266">
        <f t="shared" si="310"/>
        <v>0</v>
      </c>
      <c r="BY483" s="266">
        <f t="shared" si="311"/>
        <v>0</v>
      </c>
      <c r="BZ483" s="266">
        <f t="shared" si="312"/>
        <v>0</v>
      </c>
      <c r="CA483" s="266">
        <f ca="1">N483*IFERROR(INDEX(Algorithms!$G:$G,MATCH($C483&amp;"_Therm Saved per Unit- MLA",Algorithms!$A:$A,0)),0)*X483</f>
        <v>0</v>
      </c>
      <c r="CB483" s="266">
        <f ca="1">O483*IFERROR(INDEX(Algorithms!$G:$G,MATCH($C483&amp;"_Therm Saved per Unit- MLA",Algorithms!$A:$A,0)),0)*Y483</f>
        <v>0</v>
      </c>
      <c r="CC483" s="266">
        <f ca="1">P483*IFERROR(INDEX(Algorithms!$G:$G,MATCH($C483&amp;"_Therm Saved per Unit- MLA",Algorithms!$A:$A,0)),0)*Z483</f>
        <v>0</v>
      </c>
      <c r="CD483" s="266">
        <f ca="1">Q483*IFERROR(INDEX(Algorithms!$G:$G,MATCH($C483&amp;"_Therm Saved per Unit- MLA",Algorithms!$A:$A,0)),0)*AA483</f>
        <v>0</v>
      </c>
      <c r="CE483" s="266">
        <f ca="1">IFERROR(INDEX(Algorithms!$G:$G,MATCH($C483&amp;"_Lifetime (years)",Algorithms!$A:$A,0)),0)</f>
        <v>15</v>
      </c>
      <c r="CF483" s="266">
        <f ca="1">IFERROR(INDEX(Algorithms!$G:$G,MATCH($C483&amp;"_Lifetime (years) - Remaining Years",Algorithms!$A:$A,0)),0)</f>
        <v>0</v>
      </c>
      <c r="CG483" s="266">
        <f t="shared" ca="1" si="313"/>
        <v>0</v>
      </c>
      <c r="CH483" s="266">
        <f t="shared" ca="1" si="314"/>
        <v>0</v>
      </c>
      <c r="CI483" s="266">
        <f t="shared" ca="1" si="315"/>
        <v>0</v>
      </c>
      <c r="CJ483" s="266">
        <f t="shared" ca="1" si="316"/>
        <v>0</v>
      </c>
      <c r="CK483" s="266">
        <f t="shared" si="317"/>
        <v>0</v>
      </c>
      <c r="CL483" s="266">
        <f t="shared" si="318"/>
        <v>0</v>
      </c>
      <c r="CM483" s="266">
        <f t="shared" ca="1" si="319"/>
        <v>0</v>
      </c>
      <c r="CN483" s="266">
        <f t="shared" ca="1" si="320"/>
        <v>0</v>
      </c>
      <c r="CO483" s="266">
        <f ca="1">N483*IFERROR(INDEX(Algorithms!$G:$G,MATCH($C483&amp;"_Therm Saved per Unit- MLA",Algorithms!$A:$A,0)),0)*X483</f>
        <v>0</v>
      </c>
      <c r="CP483" s="266">
        <f ca="1">O483*IFERROR(INDEX(Algorithms!$G:$G,MATCH($C483&amp;"_Therm Saved per Unit- MLA",Algorithms!$A:$A,0)),0)*Y483</f>
        <v>0</v>
      </c>
      <c r="CQ483" s="266">
        <f ca="1">P483*IFERROR(INDEX(Algorithms!$G:$G,MATCH($C483&amp;"_Therm Saved per Unit- MLA",Algorithms!$A:$A,0)),0)*Z483</f>
        <v>0</v>
      </c>
      <c r="CR483" s="266">
        <f ca="1">Q483*IFERROR(INDEX(Algorithms!$G:$G,MATCH($C483&amp;"_Therm Saved per Unit- MLA",Algorithms!$A:$A,0)),0)*AA483</f>
        <v>0</v>
      </c>
      <c r="CS483" s="266">
        <f ca="1">IFERROR(INDEX(Algorithms!$G:$G,MATCH($C483&amp;"_Lifetime (years)",Algorithms!$A:$A,0)),0)</f>
        <v>15</v>
      </c>
      <c r="CT483" s="266">
        <f ca="1">IFERROR(INDEX(Algorithms!$G:$G,MATCH($C483&amp;"_Lifetime (years) - Remaining Years",Algorithms!$A:$A,0)),0)</f>
        <v>0</v>
      </c>
      <c r="CU483" s="266">
        <f t="shared" ca="1" si="321"/>
        <v>0</v>
      </c>
      <c r="CV483" s="266">
        <f t="shared" ca="1" si="322"/>
        <v>0</v>
      </c>
      <c r="CW483" s="266">
        <f t="shared" ca="1" si="323"/>
        <v>0</v>
      </c>
      <c r="CX483" s="266">
        <f t="shared" ca="1" si="324"/>
        <v>0</v>
      </c>
    </row>
    <row r="484" spans="2:102" s="47" customFormat="1" ht="18" customHeight="1" x14ac:dyDescent="0.25">
      <c r="B484" t="str">
        <f t="shared" si="325"/>
        <v>NSG_Income Eligible_Multi-Family_Whole Building - Public Housing_Pipe Insulation_Steam - Med 2.1" to 5"_MF</v>
      </c>
      <c r="C484" s="47" t="str">
        <f t="shared" si="286"/>
        <v>Pipe Insulation_Steam - Med 2.1" to 5"_MF</v>
      </c>
      <c r="D484" s="270" t="s">
        <v>1787</v>
      </c>
      <c r="E484" s="270" t="s">
        <v>325</v>
      </c>
      <c r="F484" s="270" t="s">
        <v>1422</v>
      </c>
      <c r="G484" s="270" t="s">
        <v>1817</v>
      </c>
      <c r="H484" s="270" t="s">
        <v>404</v>
      </c>
      <c r="I484" s="270" t="s">
        <v>957</v>
      </c>
      <c r="J484" s="270" t="s">
        <v>553</v>
      </c>
      <c r="K484" s="263">
        <v>1</v>
      </c>
      <c r="L484" s="263" t="str">
        <f ca="1">IFERROR(INDEX(Algorithms!J:J,MATCH($C484&amp;"_Therm Saved per Unit",Algorithms!$A:$A,0)),"n/a")</f>
        <v>"3 - Res Pipe Insulation" worksheet</v>
      </c>
      <c r="M484" s="263" t="str">
        <f>IFERROR(INDEX('Measure Level Detail'!$N:$N,MATCH($B484,'Measure Level Detail'!$B:$B,0)),0)</f>
        <v>each</v>
      </c>
      <c r="N484" s="271">
        <f>IFERROR(INDEX('Measure Level Detail'!$P:$P,MATCH($B484&amp;"_"&amp;N$3,'Measure Level Detail'!$C:$C,0)),0)</f>
        <v>0</v>
      </c>
      <c r="O484" s="271">
        <f>IFERROR(INDEX('Measure Level Detail'!$P:$P,MATCH($B484&amp;"_"&amp;O$3,'Measure Level Detail'!$C:$C,0)),0)</f>
        <v>0</v>
      </c>
      <c r="P484" s="271">
        <f>IFERROR(INDEX('Measure Level Detail'!$P:$P,MATCH($B484&amp;"_"&amp;P$3,'Measure Level Detail'!$C:$C,0)),0)</f>
        <v>0</v>
      </c>
      <c r="Q484" s="271">
        <f>IFERROR(INDEX('Measure Level Detail'!$P:$P,MATCH($B484&amp;"_"&amp;Q$3,'Measure Level Detail'!$C:$C,0)),0)</f>
        <v>0</v>
      </c>
      <c r="R484" s="263">
        <f ca="1">IFERROR(INDEX(Algorithms!K:K,MATCH($C484&amp;"_Therm Saved per Unit",Algorithms!$A:$A,0)),"n/a")</f>
        <v>0</v>
      </c>
      <c r="S484" s="262"/>
      <c r="T484" s="272">
        <v>15.954497207020932</v>
      </c>
      <c r="U484" s="272">
        <v>15.954497207020932</v>
      </c>
      <c r="V484" s="272">
        <v>15.954497207020932</v>
      </c>
      <c r="W484" s="272">
        <v>15.954497207020932</v>
      </c>
      <c r="X484" s="273">
        <f>IFERROR(INDEX('Measure Level Detail'!$R:$R,MATCH($B484&amp;"_"&amp;X$3,'Measure Level Detail'!$C:$C,0)),0)</f>
        <v>1</v>
      </c>
      <c r="Y484" s="273">
        <f>IFERROR(INDEX('Measure Level Detail'!$R:$R,MATCH($B484&amp;"_"&amp;Y$3,'Measure Level Detail'!$C:$C,0)),0)</f>
        <v>1</v>
      </c>
      <c r="Z484" s="273">
        <f>IFERROR(INDEX('Measure Level Detail'!$R:$R,MATCH($B484&amp;"_"&amp;Z$3,'Measure Level Detail'!$C:$C,0)),0)</f>
        <v>1</v>
      </c>
      <c r="AA484" s="273">
        <f>IFERROR(INDEX('Measure Level Detail'!$R:$R,MATCH($B484&amp;"_"&amp;AA$3,'Measure Level Detail'!$C:$C,0)),0)</f>
        <v>1</v>
      </c>
      <c r="AB484" s="266">
        <f t="shared" si="287"/>
        <v>0</v>
      </c>
      <c r="AC484" s="266">
        <f t="shared" si="288"/>
        <v>0</v>
      </c>
      <c r="AD484" s="266">
        <f t="shared" si="289"/>
        <v>0</v>
      </c>
      <c r="AE484" s="266">
        <f t="shared" si="290"/>
        <v>0</v>
      </c>
      <c r="AF484" s="266">
        <f t="shared" si="291"/>
        <v>0</v>
      </c>
      <c r="AG484" s="274">
        <v>1</v>
      </c>
      <c r="AH484" s="274">
        <v>1</v>
      </c>
      <c r="AI484" s="274">
        <v>1</v>
      </c>
      <c r="AJ484" s="274">
        <v>1</v>
      </c>
      <c r="AK484" s="274">
        <f t="shared" si="292"/>
        <v>1</v>
      </c>
      <c r="AL484" s="274">
        <f t="shared" si="293"/>
        <v>1</v>
      </c>
      <c r="AM484" s="274">
        <f t="shared" si="294"/>
        <v>1</v>
      </c>
      <c r="AN484" s="274">
        <f t="shared" si="295"/>
        <v>1</v>
      </c>
      <c r="AO484" s="262"/>
      <c r="AP484" s="262"/>
      <c r="AQ484" s="267">
        <v>15.954497207020932</v>
      </c>
      <c r="AR484" s="262"/>
      <c r="AS484" s="266">
        <f t="shared" si="296"/>
        <v>0</v>
      </c>
      <c r="AT484" s="264">
        <f t="shared" si="297"/>
        <v>0</v>
      </c>
      <c r="AU484" s="262"/>
      <c r="AV484" s="262"/>
      <c r="AW484" s="265">
        <v>15.954497207020932</v>
      </c>
      <c r="AX484" s="164" t="s">
        <v>1469</v>
      </c>
      <c r="AY484" s="266">
        <v>0</v>
      </c>
      <c r="AZ484" s="266">
        <f t="shared" si="298"/>
        <v>0</v>
      </c>
      <c r="BA484" s="264">
        <f t="shared" si="299"/>
        <v>0</v>
      </c>
      <c r="BB484" s="262"/>
      <c r="BC484" s="262"/>
      <c r="BD484" s="265">
        <f ca="1">IFERROR(INDEX(Algorithms!$G:$G,MATCH($C484&amp;"_Therm Saved per Unit",Algorithms!$A:$A,0)),0)</f>
        <v>15.954497207020932</v>
      </c>
      <c r="BE484" s="164" t="str">
        <f ca="1">IFERROR(INDEX('v12 Revisions'!$P$29:$P$186, MATCH('Measure-Level Adj Gas'!$L484, 'v12 Revisions'!$D$29:$D$186,0)),"")</f>
        <v/>
      </c>
      <c r="BF484" s="266">
        <f t="shared" ca="1" si="300"/>
        <v>0</v>
      </c>
      <c r="BG484" s="264">
        <f t="shared" ca="1" si="301"/>
        <v>0</v>
      </c>
      <c r="BH484" s="262"/>
      <c r="BI484" s="262"/>
      <c r="BJ484" s="265">
        <f ca="1">IFERROR(INDEX(Algorithms!$G:$G,MATCH($C484&amp;"_Therm Saved per Unit",Algorithms!$A:$A,0)),0)</f>
        <v>15.954497207020932</v>
      </c>
      <c r="BK484" s="164"/>
      <c r="BL484" s="266">
        <f t="shared" ca="1" si="302"/>
        <v>0</v>
      </c>
      <c r="BM484" s="264">
        <f t="shared" ca="1" si="303"/>
        <v>0</v>
      </c>
      <c r="BN484" s="266">
        <f t="shared" si="304"/>
        <v>0</v>
      </c>
      <c r="BO484" s="266">
        <f t="shared" si="305"/>
        <v>0</v>
      </c>
      <c r="BP484" s="266">
        <f t="shared" ca="1" si="306"/>
        <v>0</v>
      </c>
      <c r="BQ484" s="266">
        <f t="shared" ca="1" si="307"/>
        <v>0</v>
      </c>
      <c r="BR484" s="268">
        <f t="shared" ca="1" si="308"/>
        <v>0</v>
      </c>
      <c r="BS484" s="262" t="s">
        <v>99</v>
      </c>
      <c r="BT484" s="277"/>
      <c r="BW484" s="266">
        <f t="shared" si="309"/>
        <v>0</v>
      </c>
      <c r="BX484" s="266">
        <f t="shared" si="310"/>
        <v>0</v>
      </c>
      <c r="BY484" s="266">
        <f t="shared" si="311"/>
        <v>0</v>
      </c>
      <c r="BZ484" s="266">
        <f t="shared" si="312"/>
        <v>0</v>
      </c>
      <c r="CA484" s="266">
        <f ca="1">N484*IFERROR(INDEX(Algorithms!$G:$G,MATCH($C484&amp;"_Therm Saved per Unit- MLA",Algorithms!$A:$A,0)),0)*X484</f>
        <v>0</v>
      </c>
      <c r="CB484" s="266">
        <f ca="1">O484*IFERROR(INDEX(Algorithms!$G:$G,MATCH($C484&amp;"_Therm Saved per Unit- MLA",Algorithms!$A:$A,0)),0)*Y484</f>
        <v>0</v>
      </c>
      <c r="CC484" s="266">
        <f ca="1">P484*IFERROR(INDEX(Algorithms!$G:$G,MATCH($C484&amp;"_Therm Saved per Unit- MLA",Algorithms!$A:$A,0)),0)*Z484</f>
        <v>0</v>
      </c>
      <c r="CD484" s="266">
        <f ca="1">Q484*IFERROR(INDEX(Algorithms!$G:$G,MATCH($C484&amp;"_Therm Saved per Unit- MLA",Algorithms!$A:$A,0)),0)*AA484</f>
        <v>0</v>
      </c>
      <c r="CE484" s="266">
        <f ca="1">IFERROR(INDEX(Algorithms!$G:$G,MATCH($C484&amp;"_Lifetime (years)",Algorithms!$A:$A,0)),0)</f>
        <v>15</v>
      </c>
      <c r="CF484" s="266">
        <f ca="1">IFERROR(INDEX(Algorithms!$G:$G,MATCH($C484&amp;"_Lifetime (years) - Remaining Years",Algorithms!$A:$A,0)),0)</f>
        <v>0</v>
      </c>
      <c r="CG484" s="266">
        <f t="shared" ca="1" si="313"/>
        <v>0</v>
      </c>
      <c r="CH484" s="266">
        <f t="shared" ca="1" si="314"/>
        <v>0</v>
      </c>
      <c r="CI484" s="266">
        <f t="shared" ca="1" si="315"/>
        <v>0</v>
      </c>
      <c r="CJ484" s="266">
        <f t="shared" ca="1" si="316"/>
        <v>0</v>
      </c>
      <c r="CK484" s="266">
        <f t="shared" si="317"/>
        <v>0</v>
      </c>
      <c r="CL484" s="266">
        <f t="shared" si="318"/>
        <v>0</v>
      </c>
      <c r="CM484" s="266">
        <f t="shared" ca="1" si="319"/>
        <v>0</v>
      </c>
      <c r="CN484" s="266">
        <f t="shared" ca="1" si="320"/>
        <v>0</v>
      </c>
      <c r="CO484" s="266">
        <f ca="1">N484*IFERROR(INDEX(Algorithms!$G:$G,MATCH($C484&amp;"_Therm Saved per Unit- MLA",Algorithms!$A:$A,0)),0)*X484</f>
        <v>0</v>
      </c>
      <c r="CP484" s="266">
        <f ca="1">O484*IFERROR(INDEX(Algorithms!$G:$G,MATCH($C484&amp;"_Therm Saved per Unit- MLA",Algorithms!$A:$A,0)),0)*Y484</f>
        <v>0</v>
      </c>
      <c r="CQ484" s="266">
        <f ca="1">P484*IFERROR(INDEX(Algorithms!$G:$G,MATCH($C484&amp;"_Therm Saved per Unit- MLA",Algorithms!$A:$A,0)),0)*Z484</f>
        <v>0</v>
      </c>
      <c r="CR484" s="266">
        <f ca="1">Q484*IFERROR(INDEX(Algorithms!$G:$G,MATCH($C484&amp;"_Therm Saved per Unit- MLA",Algorithms!$A:$A,0)),0)*AA484</f>
        <v>0</v>
      </c>
      <c r="CS484" s="266">
        <f ca="1">IFERROR(INDEX(Algorithms!$G:$G,MATCH($C484&amp;"_Lifetime (years)",Algorithms!$A:$A,0)),0)</f>
        <v>15</v>
      </c>
      <c r="CT484" s="266">
        <f ca="1">IFERROR(INDEX(Algorithms!$G:$G,MATCH($C484&amp;"_Lifetime (years) - Remaining Years",Algorithms!$A:$A,0)),0)</f>
        <v>0</v>
      </c>
      <c r="CU484" s="266">
        <f t="shared" ca="1" si="321"/>
        <v>0</v>
      </c>
      <c r="CV484" s="266">
        <f t="shared" ca="1" si="322"/>
        <v>0</v>
      </c>
      <c r="CW484" s="266">
        <f t="shared" ca="1" si="323"/>
        <v>0</v>
      </c>
      <c r="CX484" s="266">
        <f t="shared" ca="1" si="324"/>
        <v>0</v>
      </c>
    </row>
    <row r="485" spans="2:102" s="47" customFormat="1" ht="18" customHeight="1" x14ac:dyDescent="0.25">
      <c r="B485" t="str">
        <f t="shared" si="325"/>
        <v>NSG_Income Eligible_Multi-Family_Whole Building - Public Housing_Pipe Insulation_Steam - Large 5.1" to 8"_MF</v>
      </c>
      <c r="C485" s="47" t="str">
        <f t="shared" si="286"/>
        <v>Pipe Insulation_Steam - Large 5.1" to 8"_MF</v>
      </c>
      <c r="D485" s="270" t="s">
        <v>1787</v>
      </c>
      <c r="E485" s="270" t="s">
        <v>325</v>
      </c>
      <c r="F485" s="270" t="s">
        <v>1422</v>
      </c>
      <c r="G485" s="270" t="s">
        <v>1817</v>
      </c>
      <c r="H485" s="270" t="s">
        <v>404</v>
      </c>
      <c r="I485" s="270" t="s">
        <v>958</v>
      </c>
      <c r="J485" s="270" t="s">
        <v>553</v>
      </c>
      <c r="K485" s="263">
        <v>1</v>
      </c>
      <c r="L485" s="263" t="str">
        <f ca="1">IFERROR(INDEX(Algorithms!J:J,MATCH($C485&amp;"_Therm Saved per Unit",Algorithms!$A:$A,0)),"n/a")</f>
        <v>"3 - Res Pipe Insulation" worksheet</v>
      </c>
      <c r="M485" s="263" t="str">
        <f>IFERROR(INDEX('Measure Level Detail'!$N:$N,MATCH($B485,'Measure Level Detail'!$B:$B,0)),0)</f>
        <v>each</v>
      </c>
      <c r="N485" s="271">
        <f>IFERROR(INDEX('Measure Level Detail'!$P:$P,MATCH($B485&amp;"_"&amp;N$3,'Measure Level Detail'!$C:$C,0)),0)</f>
        <v>0</v>
      </c>
      <c r="O485" s="271">
        <f>IFERROR(INDEX('Measure Level Detail'!$P:$P,MATCH($B485&amp;"_"&amp;O$3,'Measure Level Detail'!$C:$C,0)),0)</f>
        <v>0</v>
      </c>
      <c r="P485" s="271">
        <f>IFERROR(INDEX('Measure Level Detail'!$P:$P,MATCH($B485&amp;"_"&amp;P$3,'Measure Level Detail'!$C:$C,0)),0)</f>
        <v>0</v>
      </c>
      <c r="Q485" s="271">
        <f>IFERROR(INDEX('Measure Level Detail'!$P:$P,MATCH($B485&amp;"_"&amp;Q$3,'Measure Level Detail'!$C:$C,0)),0)</f>
        <v>0</v>
      </c>
      <c r="R485" s="263">
        <f ca="1">IFERROR(INDEX(Algorithms!K:K,MATCH($C485&amp;"_Therm Saved per Unit",Algorithms!$A:$A,0)),"n/a")</f>
        <v>0</v>
      </c>
      <c r="S485" s="262"/>
      <c r="T485" s="272">
        <v>31.133964854103496</v>
      </c>
      <c r="U485" s="272">
        <v>31.133964854103496</v>
      </c>
      <c r="V485" s="272">
        <v>31.133964854103496</v>
      </c>
      <c r="W485" s="272">
        <v>31.133964854103496</v>
      </c>
      <c r="X485" s="273">
        <f>IFERROR(INDEX('Measure Level Detail'!$R:$R,MATCH($B485&amp;"_"&amp;X$3,'Measure Level Detail'!$C:$C,0)),0)</f>
        <v>1</v>
      </c>
      <c r="Y485" s="273">
        <f>IFERROR(INDEX('Measure Level Detail'!$R:$R,MATCH($B485&amp;"_"&amp;Y$3,'Measure Level Detail'!$C:$C,0)),0)</f>
        <v>1</v>
      </c>
      <c r="Z485" s="273">
        <f>IFERROR(INDEX('Measure Level Detail'!$R:$R,MATCH($B485&amp;"_"&amp;Z$3,'Measure Level Detail'!$C:$C,0)),0)</f>
        <v>1</v>
      </c>
      <c r="AA485" s="273">
        <f>IFERROR(INDEX('Measure Level Detail'!$R:$R,MATCH($B485&amp;"_"&amp;AA$3,'Measure Level Detail'!$C:$C,0)),0)</f>
        <v>1</v>
      </c>
      <c r="AB485" s="266">
        <f t="shared" si="287"/>
        <v>0</v>
      </c>
      <c r="AC485" s="266">
        <f t="shared" si="288"/>
        <v>0</v>
      </c>
      <c r="AD485" s="266">
        <f t="shared" si="289"/>
        <v>0</v>
      </c>
      <c r="AE485" s="266">
        <f t="shared" si="290"/>
        <v>0</v>
      </c>
      <c r="AF485" s="266">
        <f t="shared" si="291"/>
        <v>0</v>
      </c>
      <c r="AG485" s="274">
        <v>1</v>
      </c>
      <c r="AH485" s="274">
        <v>1</v>
      </c>
      <c r="AI485" s="274">
        <v>1</v>
      </c>
      <c r="AJ485" s="274">
        <v>1</v>
      </c>
      <c r="AK485" s="274">
        <f t="shared" si="292"/>
        <v>1</v>
      </c>
      <c r="AL485" s="274">
        <f t="shared" si="293"/>
        <v>1</v>
      </c>
      <c r="AM485" s="274">
        <f t="shared" si="294"/>
        <v>1</v>
      </c>
      <c r="AN485" s="274">
        <f t="shared" si="295"/>
        <v>1</v>
      </c>
      <c r="AO485" s="262"/>
      <c r="AP485" s="262"/>
      <c r="AQ485" s="267">
        <v>31.133964854103496</v>
      </c>
      <c r="AR485" s="262"/>
      <c r="AS485" s="266">
        <f t="shared" si="296"/>
        <v>0</v>
      </c>
      <c r="AT485" s="264">
        <f t="shared" si="297"/>
        <v>0</v>
      </c>
      <c r="AU485" s="262"/>
      <c r="AV485" s="262"/>
      <c r="AW485" s="265">
        <v>31.133964854103496</v>
      </c>
      <c r="AX485" s="164" t="s">
        <v>1469</v>
      </c>
      <c r="AY485" s="266">
        <v>0</v>
      </c>
      <c r="AZ485" s="266">
        <f t="shared" si="298"/>
        <v>0</v>
      </c>
      <c r="BA485" s="264">
        <f t="shared" si="299"/>
        <v>0</v>
      </c>
      <c r="BB485" s="262"/>
      <c r="BC485" s="262"/>
      <c r="BD485" s="265">
        <f ca="1">IFERROR(INDEX(Algorithms!$G:$G,MATCH($C485&amp;"_Therm Saved per Unit",Algorithms!$A:$A,0)),0)</f>
        <v>31.133964854103496</v>
      </c>
      <c r="BE485" s="164" t="str">
        <f ca="1">IFERROR(INDEX('v12 Revisions'!$P$29:$P$186, MATCH('Measure-Level Adj Gas'!$L485, 'v12 Revisions'!$D$29:$D$186,0)),"")</f>
        <v/>
      </c>
      <c r="BF485" s="266">
        <f t="shared" ca="1" si="300"/>
        <v>0</v>
      </c>
      <c r="BG485" s="264">
        <f t="shared" ca="1" si="301"/>
        <v>0</v>
      </c>
      <c r="BH485" s="262"/>
      <c r="BI485" s="262"/>
      <c r="BJ485" s="265">
        <f ca="1">IFERROR(INDEX(Algorithms!$G:$G,MATCH($C485&amp;"_Therm Saved per Unit",Algorithms!$A:$A,0)),0)</f>
        <v>31.133964854103496</v>
      </c>
      <c r="BK485" s="164"/>
      <c r="BL485" s="266">
        <f t="shared" ca="1" si="302"/>
        <v>0</v>
      </c>
      <c r="BM485" s="264">
        <f t="shared" ca="1" si="303"/>
        <v>0</v>
      </c>
      <c r="BN485" s="266">
        <f t="shared" si="304"/>
        <v>0</v>
      </c>
      <c r="BO485" s="266">
        <f t="shared" si="305"/>
        <v>0</v>
      </c>
      <c r="BP485" s="266">
        <f t="shared" ca="1" si="306"/>
        <v>0</v>
      </c>
      <c r="BQ485" s="266">
        <f t="shared" ca="1" si="307"/>
        <v>0</v>
      </c>
      <c r="BR485" s="268">
        <f t="shared" ca="1" si="308"/>
        <v>0</v>
      </c>
      <c r="BS485" s="262" t="s">
        <v>99</v>
      </c>
      <c r="BT485" s="277"/>
      <c r="BW485" s="266">
        <f t="shared" si="309"/>
        <v>0</v>
      </c>
      <c r="BX485" s="266">
        <f t="shared" si="310"/>
        <v>0</v>
      </c>
      <c r="BY485" s="266">
        <f t="shared" si="311"/>
        <v>0</v>
      </c>
      <c r="BZ485" s="266">
        <f t="shared" si="312"/>
        <v>0</v>
      </c>
      <c r="CA485" s="266">
        <f ca="1">N485*IFERROR(INDEX(Algorithms!$G:$G,MATCH($C485&amp;"_Therm Saved per Unit- MLA",Algorithms!$A:$A,0)),0)*X485</f>
        <v>0</v>
      </c>
      <c r="CB485" s="266">
        <f ca="1">O485*IFERROR(INDEX(Algorithms!$G:$G,MATCH($C485&amp;"_Therm Saved per Unit- MLA",Algorithms!$A:$A,0)),0)*Y485</f>
        <v>0</v>
      </c>
      <c r="CC485" s="266">
        <f ca="1">P485*IFERROR(INDEX(Algorithms!$G:$G,MATCH($C485&amp;"_Therm Saved per Unit- MLA",Algorithms!$A:$A,0)),0)*Z485</f>
        <v>0</v>
      </c>
      <c r="CD485" s="266">
        <f ca="1">Q485*IFERROR(INDEX(Algorithms!$G:$G,MATCH($C485&amp;"_Therm Saved per Unit- MLA",Algorithms!$A:$A,0)),0)*AA485</f>
        <v>0</v>
      </c>
      <c r="CE485" s="266">
        <f ca="1">IFERROR(INDEX(Algorithms!$G:$G,MATCH($C485&amp;"_Lifetime (years)",Algorithms!$A:$A,0)),0)</f>
        <v>15</v>
      </c>
      <c r="CF485" s="266">
        <f ca="1">IFERROR(INDEX(Algorithms!$G:$G,MATCH($C485&amp;"_Lifetime (years) - Remaining Years",Algorithms!$A:$A,0)),0)</f>
        <v>0</v>
      </c>
      <c r="CG485" s="266">
        <f t="shared" ca="1" si="313"/>
        <v>0</v>
      </c>
      <c r="CH485" s="266">
        <f t="shared" ca="1" si="314"/>
        <v>0</v>
      </c>
      <c r="CI485" s="266">
        <f t="shared" ca="1" si="315"/>
        <v>0</v>
      </c>
      <c r="CJ485" s="266">
        <f t="shared" ca="1" si="316"/>
        <v>0</v>
      </c>
      <c r="CK485" s="266">
        <f t="shared" si="317"/>
        <v>0</v>
      </c>
      <c r="CL485" s="266">
        <f t="shared" si="318"/>
        <v>0</v>
      </c>
      <c r="CM485" s="266">
        <f t="shared" ca="1" si="319"/>
        <v>0</v>
      </c>
      <c r="CN485" s="266">
        <f t="shared" ca="1" si="320"/>
        <v>0</v>
      </c>
      <c r="CO485" s="266">
        <f ca="1">N485*IFERROR(INDEX(Algorithms!$G:$G,MATCH($C485&amp;"_Therm Saved per Unit- MLA",Algorithms!$A:$A,0)),0)*X485</f>
        <v>0</v>
      </c>
      <c r="CP485" s="266">
        <f ca="1">O485*IFERROR(INDEX(Algorithms!$G:$G,MATCH($C485&amp;"_Therm Saved per Unit- MLA",Algorithms!$A:$A,0)),0)*Y485</f>
        <v>0</v>
      </c>
      <c r="CQ485" s="266">
        <f ca="1">P485*IFERROR(INDEX(Algorithms!$G:$G,MATCH($C485&amp;"_Therm Saved per Unit- MLA",Algorithms!$A:$A,0)),0)*Z485</f>
        <v>0</v>
      </c>
      <c r="CR485" s="266">
        <f ca="1">Q485*IFERROR(INDEX(Algorithms!$G:$G,MATCH($C485&amp;"_Therm Saved per Unit- MLA",Algorithms!$A:$A,0)),0)*AA485</f>
        <v>0</v>
      </c>
      <c r="CS485" s="266">
        <f ca="1">IFERROR(INDEX(Algorithms!$G:$G,MATCH($C485&amp;"_Lifetime (years)",Algorithms!$A:$A,0)),0)</f>
        <v>15</v>
      </c>
      <c r="CT485" s="266">
        <f ca="1">IFERROR(INDEX(Algorithms!$G:$G,MATCH($C485&amp;"_Lifetime (years) - Remaining Years",Algorithms!$A:$A,0)),0)</f>
        <v>0</v>
      </c>
      <c r="CU485" s="266">
        <f t="shared" ca="1" si="321"/>
        <v>0</v>
      </c>
      <c r="CV485" s="266">
        <f t="shared" ca="1" si="322"/>
        <v>0</v>
      </c>
      <c r="CW485" s="266">
        <f t="shared" ca="1" si="323"/>
        <v>0</v>
      </c>
      <c r="CX485" s="266">
        <f t="shared" ca="1" si="324"/>
        <v>0</v>
      </c>
    </row>
    <row r="486" spans="2:102" s="47" customFormat="1" ht="18" customHeight="1" x14ac:dyDescent="0.25">
      <c r="B486" t="str">
        <f t="shared" si="325"/>
        <v>NSG_Income Eligible_Multi-Family_Whole Building - Public Housing_Pipe Insulation_Steam - X-Large &gt;8"_MF</v>
      </c>
      <c r="C486" s="47" t="str">
        <f t="shared" si="286"/>
        <v>Pipe Insulation_Steam - X-Large &gt;8"_MF</v>
      </c>
      <c r="D486" s="270" t="s">
        <v>1787</v>
      </c>
      <c r="E486" s="270" t="s">
        <v>325</v>
      </c>
      <c r="F486" s="270" t="s">
        <v>1422</v>
      </c>
      <c r="G486" s="270" t="s">
        <v>1817</v>
      </c>
      <c r="H486" s="270" t="s">
        <v>404</v>
      </c>
      <c r="I486" s="270" t="s">
        <v>960</v>
      </c>
      <c r="J486" s="270" t="s">
        <v>553</v>
      </c>
      <c r="K486" s="263">
        <v>1</v>
      </c>
      <c r="L486" s="263" t="str">
        <f ca="1">IFERROR(INDEX(Algorithms!J:J,MATCH($C486&amp;"_Therm Saved per Unit",Algorithms!$A:$A,0)),"n/a")</f>
        <v>"3 - Res Pipe Insulation" worksheet</v>
      </c>
      <c r="M486" s="263" t="str">
        <f>IFERROR(INDEX('Measure Level Detail'!$N:$N,MATCH($B486,'Measure Level Detail'!$B:$B,0)),0)</f>
        <v>each</v>
      </c>
      <c r="N486" s="271">
        <f>IFERROR(INDEX('Measure Level Detail'!$P:$P,MATCH($B486&amp;"_"&amp;N$3,'Measure Level Detail'!$C:$C,0)),0)</f>
        <v>0</v>
      </c>
      <c r="O486" s="271">
        <f>IFERROR(INDEX('Measure Level Detail'!$P:$P,MATCH($B486&amp;"_"&amp;O$3,'Measure Level Detail'!$C:$C,0)),0)</f>
        <v>0</v>
      </c>
      <c r="P486" s="271">
        <f>IFERROR(INDEX('Measure Level Detail'!$P:$P,MATCH($B486&amp;"_"&amp;P$3,'Measure Level Detail'!$C:$C,0)),0)</f>
        <v>0</v>
      </c>
      <c r="Q486" s="271">
        <f>IFERROR(INDEX('Measure Level Detail'!$P:$P,MATCH($B486&amp;"_"&amp;Q$3,'Measure Level Detail'!$C:$C,0)),0)</f>
        <v>0</v>
      </c>
      <c r="R486" s="263">
        <f ca="1">IFERROR(INDEX(Algorithms!K:K,MATCH($C486&amp;"_Therm Saved per Unit",Algorithms!$A:$A,0)),"n/a")</f>
        <v>0</v>
      </c>
      <c r="S486" s="262"/>
      <c r="T486" s="272">
        <v>44.814401171573145</v>
      </c>
      <c r="U486" s="272">
        <v>44.814401171573145</v>
      </c>
      <c r="V486" s="272">
        <v>44.814401171573145</v>
      </c>
      <c r="W486" s="272">
        <v>44.814401171573145</v>
      </c>
      <c r="X486" s="273">
        <f>IFERROR(INDEX('Measure Level Detail'!$R:$R,MATCH($B486&amp;"_"&amp;X$3,'Measure Level Detail'!$C:$C,0)),0)</f>
        <v>1</v>
      </c>
      <c r="Y486" s="273">
        <f>IFERROR(INDEX('Measure Level Detail'!$R:$R,MATCH($B486&amp;"_"&amp;Y$3,'Measure Level Detail'!$C:$C,0)),0)</f>
        <v>1</v>
      </c>
      <c r="Z486" s="273">
        <f>IFERROR(INDEX('Measure Level Detail'!$R:$R,MATCH($B486&amp;"_"&amp;Z$3,'Measure Level Detail'!$C:$C,0)),0)</f>
        <v>1</v>
      </c>
      <c r="AA486" s="273">
        <f>IFERROR(INDEX('Measure Level Detail'!$R:$R,MATCH($B486&amp;"_"&amp;AA$3,'Measure Level Detail'!$C:$C,0)),0)</f>
        <v>1</v>
      </c>
      <c r="AB486" s="266">
        <f t="shared" si="287"/>
        <v>0</v>
      </c>
      <c r="AC486" s="266">
        <f t="shared" si="288"/>
        <v>0</v>
      </c>
      <c r="AD486" s="266">
        <f t="shared" si="289"/>
        <v>0</v>
      </c>
      <c r="AE486" s="266">
        <f t="shared" si="290"/>
        <v>0</v>
      </c>
      <c r="AF486" s="266">
        <f t="shared" si="291"/>
        <v>0</v>
      </c>
      <c r="AG486" s="274">
        <v>1</v>
      </c>
      <c r="AH486" s="274">
        <v>1</v>
      </c>
      <c r="AI486" s="274">
        <v>1</v>
      </c>
      <c r="AJ486" s="274">
        <v>1</v>
      </c>
      <c r="AK486" s="274">
        <f t="shared" si="292"/>
        <v>1</v>
      </c>
      <c r="AL486" s="274">
        <f t="shared" si="293"/>
        <v>1</v>
      </c>
      <c r="AM486" s="274">
        <f t="shared" si="294"/>
        <v>1</v>
      </c>
      <c r="AN486" s="274">
        <f t="shared" si="295"/>
        <v>1</v>
      </c>
      <c r="AO486" s="262"/>
      <c r="AP486" s="262"/>
      <c r="AQ486" s="267">
        <v>44.814401171573145</v>
      </c>
      <c r="AR486" s="262"/>
      <c r="AS486" s="266">
        <f t="shared" si="296"/>
        <v>0</v>
      </c>
      <c r="AT486" s="264">
        <f t="shared" si="297"/>
        <v>0</v>
      </c>
      <c r="AU486" s="262"/>
      <c r="AV486" s="262"/>
      <c r="AW486" s="265">
        <v>44.814401171573145</v>
      </c>
      <c r="AX486" s="164" t="s">
        <v>1469</v>
      </c>
      <c r="AY486" s="266">
        <v>0</v>
      </c>
      <c r="AZ486" s="266">
        <f t="shared" si="298"/>
        <v>0</v>
      </c>
      <c r="BA486" s="264">
        <f t="shared" si="299"/>
        <v>0</v>
      </c>
      <c r="BB486" s="262"/>
      <c r="BC486" s="262"/>
      <c r="BD486" s="265">
        <f ca="1">IFERROR(INDEX(Algorithms!$G:$G,MATCH($C486&amp;"_Therm Saved per Unit",Algorithms!$A:$A,0)),0)</f>
        <v>44.814401171573145</v>
      </c>
      <c r="BE486" s="164" t="str">
        <f ca="1">IFERROR(INDEX('v12 Revisions'!$P$29:$P$186, MATCH('Measure-Level Adj Gas'!$L486, 'v12 Revisions'!$D$29:$D$186,0)),"")</f>
        <v/>
      </c>
      <c r="BF486" s="266">
        <f t="shared" ca="1" si="300"/>
        <v>0</v>
      </c>
      <c r="BG486" s="264">
        <f t="shared" ca="1" si="301"/>
        <v>0</v>
      </c>
      <c r="BH486" s="262"/>
      <c r="BI486" s="262"/>
      <c r="BJ486" s="265">
        <f ca="1">IFERROR(INDEX(Algorithms!$G:$G,MATCH($C486&amp;"_Therm Saved per Unit",Algorithms!$A:$A,0)),0)</f>
        <v>44.814401171573145</v>
      </c>
      <c r="BK486" s="164"/>
      <c r="BL486" s="266">
        <f t="shared" ca="1" si="302"/>
        <v>0</v>
      </c>
      <c r="BM486" s="264">
        <f t="shared" ca="1" si="303"/>
        <v>0</v>
      </c>
      <c r="BN486" s="266">
        <f t="shared" si="304"/>
        <v>0</v>
      </c>
      <c r="BO486" s="266">
        <f t="shared" si="305"/>
        <v>0</v>
      </c>
      <c r="BP486" s="266">
        <f t="shared" ca="1" si="306"/>
        <v>0</v>
      </c>
      <c r="BQ486" s="266">
        <f t="shared" ca="1" si="307"/>
        <v>0</v>
      </c>
      <c r="BR486" s="268">
        <f t="shared" ca="1" si="308"/>
        <v>0</v>
      </c>
      <c r="BS486" s="262" t="s">
        <v>99</v>
      </c>
      <c r="BT486" s="277"/>
      <c r="BW486" s="266">
        <f t="shared" si="309"/>
        <v>0</v>
      </c>
      <c r="BX486" s="266">
        <f t="shared" si="310"/>
        <v>0</v>
      </c>
      <c r="BY486" s="266">
        <f t="shared" si="311"/>
        <v>0</v>
      </c>
      <c r="BZ486" s="266">
        <f t="shared" si="312"/>
        <v>0</v>
      </c>
      <c r="CA486" s="266">
        <f ca="1">N486*IFERROR(INDEX(Algorithms!$G:$G,MATCH($C486&amp;"_Therm Saved per Unit- MLA",Algorithms!$A:$A,0)),0)*X486</f>
        <v>0</v>
      </c>
      <c r="CB486" s="266">
        <f ca="1">O486*IFERROR(INDEX(Algorithms!$G:$G,MATCH($C486&amp;"_Therm Saved per Unit- MLA",Algorithms!$A:$A,0)),0)*Y486</f>
        <v>0</v>
      </c>
      <c r="CC486" s="266">
        <f ca="1">P486*IFERROR(INDEX(Algorithms!$G:$G,MATCH($C486&amp;"_Therm Saved per Unit- MLA",Algorithms!$A:$A,0)),0)*Z486</f>
        <v>0</v>
      </c>
      <c r="CD486" s="266">
        <f ca="1">Q486*IFERROR(INDEX(Algorithms!$G:$G,MATCH($C486&amp;"_Therm Saved per Unit- MLA",Algorithms!$A:$A,0)),0)*AA486</f>
        <v>0</v>
      </c>
      <c r="CE486" s="266">
        <f ca="1">IFERROR(INDEX(Algorithms!$G:$G,MATCH($C486&amp;"_Lifetime (years)",Algorithms!$A:$A,0)),0)</f>
        <v>15</v>
      </c>
      <c r="CF486" s="266">
        <f ca="1">IFERROR(INDEX(Algorithms!$G:$G,MATCH($C486&amp;"_Lifetime (years) - Remaining Years",Algorithms!$A:$A,0)),0)</f>
        <v>0</v>
      </c>
      <c r="CG486" s="266">
        <f t="shared" ca="1" si="313"/>
        <v>0</v>
      </c>
      <c r="CH486" s="266">
        <f t="shared" ca="1" si="314"/>
        <v>0</v>
      </c>
      <c r="CI486" s="266">
        <f t="shared" ca="1" si="315"/>
        <v>0</v>
      </c>
      <c r="CJ486" s="266">
        <f t="shared" ca="1" si="316"/>
        <v>0</v>
      </c>
      <c r="CK486" s="266">
        <f t="shared" si="317"/>
        <v>0</v>
      </c>
      <c r="CL486" s="266">
        <f t="shared" si="318"/>
        <v>0</v>
      </c>
      <c r="CM486" s="266">
        <f t="shared" ca="1" si="319"/>
        <v>0</v>
      </c>
      <c r="CN486" s="266">
        <f t="shared" ca="1" si="320"/>
        <v>0</v>
      </c>
      <c r="CO486" s="266">
        <f ca="1">N486*IFERROR(INDEX(Algorithms!$G:$G,MATCH($C486&amp;"_Therm Saved per Unit- MLA",Algorithms!$A:$A,0)),0)*X486</f>
        <v>0</v>
      </c>
      <c r="CP486" s="266">
        <f ca="1">O486*IFERROR(INDEX(Algorithms!$G:$G,MATCH($C486&amp;"_Therm Saved per Unit- MLA",Algorithms!$A:$A,0)),0)*Y486</f>
        <v>0</v>
      </c>
      <c r="CQ486" s="266">
        <f ca="1">P486*IFERROR(INDEX(Algorithms!$G:$G,MATCH($C486&amp;"_Therm Saved per Unit- MLA",Algorithms!$A:$A,0)),0)*Z486</f>
        <v>0</v>
      </c>
      <c r="CR486" s="266">
        <f ca="1">Q486*IFERROR(INDEX(Algorithms!$G:$G,MATCH($C486&amp;"_Therm Saved per Unit- MLA",Algorithms!$A:$A,0)),0)*AA486</f>
        <v>0</v>
      </c>
      <c r="CS486" s="266">
        <f ca="1">IFERROR(INDEX(Algorithms!$G:$G,MATCH($C486&amp;"_Lifetime (years)",Algorithms!$A:$A,0)),0)</f>
        <v>15</v>
      </c>
      <c r="CT486" s="266">
        <f ca="1">IFERROR(INDEX(Algorithms!$G:$G,MATCH($C486&amp;"_Lifetime (years) - Remaining Years",Algorithms!$A:$A,0)),0)</f>
        <v>0</v>
      </c>
      <c r="CU486" s="266">
        <f t="shared" ca="1" si="321"/>
        <v>0</v>
      </c>
      <c r="CV486" s="266">
        <f t="shared" ca="1" si="322"/>
        <v>0</v>
      </c>
      <c r="CW486" s="266">
        <f t="shared" ca="1" si="323"/>
        <v>0</v>
      </c>
      <c r="CX486" s="266">
        <f t="shared" ca="1" si="324"/>
        <v>0</v>
      </c>
    </row>
    <row r="487" spans="2:102" s="47" customFormat="1" ht="18" customHeight="1" x14ac:dyDescent="0.25">
      <c r="B487" t="str">
        <f t="shared" si="325"/>
        <v>NSG_Income Eligible_Multi-Family_Whole Building - Public Housing_Pipe Insulation_Steam Small Fitting_MF</v>
      </c>
      <c r="C487" s="47" t="str">
        <f t="shared" si="286"/>
        <v>Pipe Insulation_Steam Small Fitting_MF</v>
      </c>
      <c r="D487" s="270" t="s">
        <v>1787</v>
      </c>
      <c r="E487" s="270" t="s">
        <v>325</v>
      </c>
      <c r="F487" s="270" t="s">
        <v>1422</v>
      </c>
      <c r="G487" s="270" t="s">
        <v>1817</v>
      </c>
      <c r="H487" s="270" t="s">
        <v>404</v>
      </c>
      <c r="I487" s="270" t="s">
        <v>961</v>
      </c>
      <c r="J487" s="270" t="s">
        <v>553</v>
      </c>
      <c r="K487" s="263">
        <v>1</v>
      </c>
      <c r="L487" s="263" t="str">
        <f ca="1">IFERROR(INDEX(Algorithms!J:J,MATCH($C487&amp;"_Therm Saved per Unit",Algorithms!$A:$A,0)),"n/a")</f>
        <v>"3 - Res Pipe Insulation" worksheet</v>
      </c>
      <c r="M487" s="263" t="str">
        <f>IFERROR(INDEX('Measure Level Detail'!$N:$N,MATCH($B487,'Measure Level Detail'!$B:$B,0)),0)</f>
        <v>each</v>
      </c>
      <c r="N487" s="271">
        <f>IFERROR(INDEX('Measure Level Detail'!$P:$P,MATCH($B487&amp;"_"&amp;N$3,'Measure Level Detail'!$C:$C,0)),0)</f>
        <v>0</v>
      </c>
      <c r="O487" s="271">
        <f>IFERROR(INDEX('Measure Level Detail'!$P:$P,MATCH($B487&amp;"_"&amp;O$3,'Measure Level Detail'!$C:$C,0)),0)</f>
        <v>0</v>
      </c>
      <c r="P487" s="271">
        <f>IFERROR(INDEX('Measure Level Detail'!$P:$P,MATCH($B487&amp;"_"&amp;P$3,'Measure Level Detail'!$C:$C,0)),0)</f>
        <v>0</v>
      </c>
      <c r="Q487" s="271">
        <f>IFERROR(INDEX('Measure Level Detail'!$P:$P,MATCH($B487&amp;"_"&amp;Q$3,'Measure Level Detail'!$C:$C,0)),0)</f>
        <v>0</v>
      </c>
      <c r="R487" s="263">
        <f ca="1">IFERROR(INDEX(Algorithms!K:K,MATCH($C487&amp;"_Therm Saved per Unit",Algorithms!$A:$A,0)),"n/a")</f>
        <v>0</v>
      </c>
      <c r="S487" s="262"/>
      <c r="T487" s="272">
        <v>1.9537953012070903</v>
      </c>
      <c r="U487" s="272">
        <v>1.9537953012070903</v>
      </c>
      <c r="V487" s="272">
        <v>1.9537953012070903</v>
      </c>
      <c r="W487" s="272">
        <v>1.9537953012070903</v>
      </c>
      <c r="X487" s="273">
        <f>IFERROR(INDEX('Measure Level Detail'!$R:$R,MATCH($B487&amp;"_"&amp;X$3,'Measure Level Detail'!$C:$C,0)),0)</f>
        <v>1</v>
      </c>
      <c r="Y487" s="273">
        <f>IFERROR(INDEX('Measure Level Detail'!$R:$R,MATCH($B487&amp;"_"&amp;Y$3,'Measure Level Detail'!$C:$C,0)),0)</f>
        <v>1</v>
      </c>
      <c r="Z487" s="273">
        <f>IFERROR(INDEX('Measure Level Detail'!$R:$R,MATCH($B487&amp;"_"&amp;Z$3,'Measure Level Detail'!$C:$C,0)),0)</f>
        <v>1</v>
      </c>
      <c r="AA487" s="273">
        <f>IFERROR(INDEX('Measure Level Detail'!$R:$R,MATCH($B487&amp;"_"&amp;AA$3,'Measure Level Detail'!$C:$C,0)),0)</f>
        <v>1</v>
      </c>
      <c r="AB487" s="266">
        <f t="shared" si="287"/>
        <v>0</v>
      </c>
      <c r="AC487" s="266">
        <f t="shared" si="288"/>
        <v>0</v>
      </c>
      <c r="AD487" s="266">
        <f t="shared" si="289"/>
        <v>0</v>
      </c>
      <c r="AE487" s="266">
        <f t="shared" si="290"/>
        <v>0</v>
      </c>
      <c r="AF487" s="266">
        <f t="shared" si="291"/>
        <v>0</v>
      </c>
      <c r="AG487" s="274">
        <v>1</v>
      </c>
      <c r="AH487" s="274">
        <v>1</v>
      </c>
      <c r="AI487" s="274">
        <v>1</v>
      </c>
      <c r="AJ487" s="274">
        <v>1</v>
      </c>
      <c r="AK487" s="274">
        <f t="shared" si="292"/>
        <v>1</v>
      </c>
      <c r="AL487" s="274">
        <f t="shared" si="293"/>
        <v>1</v>
      </c>
      <c r="AM487" s="274">
        <f t="shared" si="294"/>
        <v>1</v>
      </c>
      <c r="AN487" s="274">
        <f t="shared" si="295"/>
        <v>1</v>
      </c>
      <c r="AO487" s="262"/>
      <c r="AP487" s="262"/>
      <c r="AQ487" s="267">
        <v>1.9537953012070903</v>
      </c>
      <c r="AR487" s="262"/>
      <c r="AS487" s="266">
        <f t="shared" si="296"/>
        <v>0</v>
      </c>
      <c r="AT487" s="264">
        <f t="shared" si="297"/>
        <v>0</v>
      </c>
      <c r="AU487" s="262"/>
      <c r="AV487" s="262"/>
      <c r="AW487" s="265">
        <v>1.9537953012070903</v>
      </c>
      <c r="AX487" s="164" t="s">
        <v>1469</v>
      </c>
      <c r="AY487" s="266">
        <v>0</v>
      </c>
      <c r="AZ487" s="266">
        <f t="shared" si="298"/>
        <v>0</v>
      </c>
      <c r="BA487" s="264">
        <f t="shared" si="299"/>
        <v>0</v>
      </c>
      <c r="BB487" s="262"/>
      <c r="BC487" s="262"/>
      <c r="BD487" s="265">
        <f ca="1">IFERROR(INDEX(Algorithms!$G:$G,MATCH($C487&amp;"_Therm Saved per Unit",Algorithms!$A:$A,0)),0)</f>
        <v>1.9537953012070903</v>
      </c>
      <c r="BE487" s="164" t="str">
        <f ca="1">IFERROR(INDEX('v12 Revisions'!$P$29:$P$186, MATCH('Measure-Level Adj Gas'!$L487, 'v12 Revisions'!$D$29:$D$186,0)),"")</f>
        <v/>
      </c>
      <c r="BF487" s="266">
        <f t="shared" ca="1" si="300"/>
        <v>0</v>
      </c>
      <c r="BG487" s="264">
        <f t="shared" ca="1" si="301"/>
        <v>0</v>
      </c>
      <c r="BH487" s="262"/>
      <c r="BI487" s="262"/>
      <c r="BJ487" s="265">
        <f ca="1">IFERROR(INDEX(Algorithms!$G:$G,MATCH($C487&amp;"_Therm Saved per Unit",Algorithms!$A:$A,0)),0)</f>
        <v>1.9537953012070903</v>
      </c>
      <c r="BK487" s="164"/>
      <c r="BL487" s="266">
        <f t="shared" ca="1" si="302"/>
        <v>0</v>
      </c>
      <c r="BM487" s="264">
        <f t="shared" ca="1" si="303"/>
        <v>0</v>
      </c>
      <c r="BN487" s="266">
        <f t="shared" si="304"/>
        <v>0</v>
      </c>
      <c r="BO487" s="266">
        <f t="shared" si="305"/>
        <v>0</v>
      </c>
      <c r="BP487" s="266">
        <f t="shared" ca="1" si="306"/>
        <v>0</v>
      </c>
      <c r="BQ487" s="266">
        <f t="shared" ca="1" si="307"/>
        <v>0</v>
      </c>
      <c r="BR487" s="268">
        <f t="shared" ca="1" si="308"/>
        <v>0</v>
      </c>
      <c r="BS487" s="262" t="s">
        <v>99</v>
      </c>
      <c r="BT487" s="277"/>
      <c r="BW487" s="266">
        <f t="shared" si="309"/>
        <v>0</v>
      </c>
      <c r="BX487" s="266">
        <f t="shared" si="310"/>
        <v>0</v>
      </c>
      <c r="BY487" s="266">
        <f t="shared" si="311"/>
        <v>0</v>
      </c>
      <c r="BZ487" s="266">
        <f t="shared" si="312"/>
        <v>0</v>
      </c>
      <c r="CA487" s="266">
        <f ca="1">N487*IFERROR(INDEX(Algorithms!$G:$G,MATCH($C487&amp;"_Therm Saved per Unit- MLA",Algorithms!$A:$A,0)),0)*X487</f>
        <v>0</v>
      </c>
      <c r="CB487" s="266">
        <f ca="1">O487*IFERROR(INDEX(Algorithms!$G:$G,MATCH($C487&amp;"_Therm Saved per Unit- MLA",Algorithms!$A:$A,0)),0)*Y487</f>
        <v>0</v>
      </c>
      <c r="CC487" s="266">
        <f ca="1">P487*IFERROR(INDEX(Algorithms!$G:$G,MATCH($C487&amp;"_Therm Saved per Unit- MLA",Algorithms!$A:$A,0)),0)*Z487</f>
        <v>0</v>
      </c>
      <c r="CD487" s="266">
        <f ca="1">Q487*IFERROR(INDEX(Algorithms!$G:$G,MATCH($C487&amp;"_Therm Saved per Unit- MLA",Algorithms!$A:$A,0)),0)*AA487</f>
        <v>0</v>
      </c>
      <c r="CE487" s="266">
        <f ca="1">IFERROR(INDEX(Algorithms!$G:$G,MATCH($C487&amp;"_Lifetime (years)",Algorithms!$A:$A,0)),0)</f>
        <v>15</v>
      </c>
      <c r="CF487" s="266">
        <f ca="1">IFERROR(INDEX(Algorithms!$G:$G,MATCH($C487&amp;"_Lifetime (years) - Remaining Years",Algorithms!$A:$A,0)),0)</f>
        <v>0</v>
      </c>
      <c r="CG487" s="266">
        <f t="shared" ca="1" si="313"/>
        <v>0</v>
      </c>
      <c r="CH487" s="266">
        <f t="shared" ca="1" si="314"/>
        <v>0</v>
      </c>
      <c r="CI487" s="266">
        <f t="shared" ca="1" si="315"/>
        <v>0</v>
      </c>
      <c r="CJ487" s="266">
        <f t="shared" ca="1" si="316"/>
        <v>0</v>
      </c>
      <c r="CK487" s="266">
        <f t="shared" si="317"/>
        <v>0</v>
      </c>
      <c r="CL487" s="266">
        <f t="shared" si="318"/>
        <v>0</v>
      </c>
      <c r="CM487" s="266">
        <f t="shared" ca="1" si="319"/>
        <v>0</v>
      </c>
      <c r="CN487" s="266">
        <f t="shared" ca="1" si="320"/>
        <v>0</v>
      </c>
      <c r="CO487" s="266">
        <f ca="1">N487*IFERROR(INDEX(Algorithms!$G:$G,MATCH($C487&amp;"_Therm Saved per Unit- MLA",Algorithms!$A:$A,0)),0)*X487</f>
        <v>0</v>
      </c>
      <c r="CP487" s="266">
        <f ca="1">O487*IFERROR(INDEX(Algorithms!$G:$G,MATCH($C487&amp;"_Therm Saved per Unit- MLA",Algorithms!$A:$A,0)),0)*Y487</f>
        <v>0</v>
      </c>
      <c r="CQ487" s="266">
        <f ca="1">P487*IFERROR(INDEX(Algorithms!$G:$G,MATCH($C487&amp;"_Therm Saved per Unit- MLA",Algorithms!$A:$A,0)),0)*Z487</f>
        <v>0</v>
      </c>
      <c r="CR487" s="266">
        <f ca="1">Q487*IFERROR(INDEX(Algorithms!$G:$G,MATCH($C487&amp;"_Therm Saved per Unit- MLA",Algorithms!$A:$A,0)),0)*AA487</f>
        <v>0</v>
      </c>
      <c r="CS487" s="266">
        <f ca="1">IFERROR(INDEX(Algorithms!$G:$G,MATCH($C487&amp;"_Lifetime (years)",Algorithms!$A:$A,0)),0)</f>
        <v>15</v>
      </c>
      <c r="CT487" s="266">
        <f ca="1">IFERROR(INDEX(Algorithms!$G:$G,MATCH($C487&amp;"_Lifetime (years) - Remaining Years",Algorithms!$A:$A,0)),0)</f>
        <v>0</v>
      </c>
      <c r="CU487" s="266">
        <f t="shared" ca="1" si="321"/>
        <v>0</v>
      </c>
      <c r="CV487" s="266">
        <f t="shared" ca="1" si="322"/>
        <v>0</v>
      </c>
      <c r="CW487" s="266">
        <f t="shared" ca="1" si="323"/>
        <v>0</v>
      </c>
      <c r="CX487" s="266">
        <f t="shared" ca="1" si="324"/>
        <v>0</v>
      </c>
    </row>
    <row r="488" spans="2:102" s="47" customFormat="1" ht="18" customHeight="1" x14ac:dyDescent="0.25">
      <c r="B488" t="str">
        <f t="shared" si="325"/>
        <v>NSG_Income Eligible_Multi-Family_Whole Building - Public Housing_Pipe Insulation_Steam Med Fitting_MF</v>
      </c>
      <c r="C488" s="47" t="str">
        <f t="shared" si="286"/>
        <v>Pipe Insulation_Steam Med Fitting_MF</v>
      </c>
      <c r="D488" s="270" t="s">
        <v>1787</v>
      </c>
      <c r="E488" s="270" t="s">
        <v>325</v>
      </c>
      <c r="F488" s="270" t="s">
        <v>1422</v>
      </c>
      <c r="G488" s="270" t="s">
        <v>1817</v>
      </c>
      <c r="H488" s="270" t="s">
        <v>404</v>
      </c>
      <c r="I488" s="270" t="s">
        <v>962</v>
      </c>
      <c r="J488" s="270" t="s">
        <v>553</v>
      </c>
      <c r="K488" s="263">
        <v>1</v>
      </c>
      <c r="L488" s="263" t="str">
        <f ca="1">IFERROR(INDEX(Algorithms!J:J,MATCH($C488&amp;"_Therm Saved per Unit",Algorithms!$A:$A,0)),"n/a")</f>
        <v>"3 - Res Pipe Insulation" worksheet</v>
      </c>
      <c r="M488" s="263" t="str">
        <f>IFERROR(INDEX('Measure Level Detail'!$N:$N,MATCH($B488,'Measure Level Detail'!$B:$B,0)),0)</f>
        <v>each</v>
      </c>
      <c r="N488" s="271">
        <f>IFERROR(INDEX('Measure Level Detail'!$P:$P,MATCH($B488&amp;"_"&amp;N$3,'Measure Level Detail'!$C:$C,0)),0)</f>
        <v>0</v>
      </c>
      <c r="O488" s="271">
        <f>IFERROR(INDEX('Measure Level Detail'!$P:$P,MATCH($B488&amp;"_"&amp;O$3,'Measure Level Detail'!$C:$C,0)),0)</f>
        <v>0</v>
      </c>
      <c r="P488" s="271">
        <f>IFERROR(INDEX('Measure Level Detail'!$P:$P,MATCH($B488&amp;"_"&amp;P$3,'Measure Level Detail'!$C:$C,0)),0)</f>
        <v>0</v>
      </c>
      <c r="Q488" s="271">
        <f>IFERROR(INDEX('Measure Level Detail'!$P:$P,MATCH($B488&amp;"_"&amp;Q$3,'Measure Level Detail'!$C:$C,0)),0)</f>
        <v>0</v>
      </c>
      <c r="R488" s="263">
        <f ca="1">IFERROR(INDEX(Algorithms!K:K,MATCH($C488&amp;"_Therm Saved per Unit",Algorithms!$A:$A,0)),"n/a")</f>
        <v>0</v>
      </c>
      <c r="S488" s="262"/>
      <c r="T488" s="272">
        <v>20.134575475260416</v>
      </c>
      <c r="U488" s="272">
        <v>20.134575475260416</v>
      </c>
      <c r="V488" s="272">
        <v>20.134575475260416</v>
      </c>
      <c r="W488" s="272">
        <v>20.134575475260416</v>
      </c>
      <c r="X488" s="273">
        <f>IFERROR(INDEX('Measure Level Detail'!$R:$R,MATCH($B488&amp;"_"&amp;X$3,'Measure Level Detail'!$C:$C,0)),0)</f>
        <v>1</v>
      </c>
      <c r="Y488" s="273">
        <f>IFERROR(INDEX('Measure Level Detail'!$R:$R,MATCH($B488&amp;"_"&amp;Y$3,'Measure Level Detail'!$C:$C,0)),0)</f>
        <v>1</v>
      </c>
      <c r="Z488" s="273">
        <f>IFERROR(INDEX('Measure Level Detail'!$R:$R,MATCH($B488&amp;"_"&amp;Z$3,'Measure Level Detail'!$C:$C,0)),0)</f>
        <v>1</v>
      </c>
      <c r="AA488" s="273">
        <f>IFERROR(INDEX('Measure Level Detail'!$R:$R,MATCH($B488&amp;"_"&amp;AA$3,'Measure Level Detail'!$C:$C,0)),0)</f>
        <v>1</v>
      </c>
      <c r="AB488" s="266">
        <f t="shared" si="287"/>
        <v>0</v>
      </c>
      <c r="AC488" s="266">
        <f t="shared" si="288"/>
        <v>0</v>
      </c>
      <c r="AD488" s="266">
        <f t="shared" si="289"/>
        <v>0</v>
      </c>
      <c r="AE488" s="266">
        <f t="shared" si="290"/>
        <v>0</v>
      </c>
      <c r="AF488" s="266">
        <f t="shared" si="291"/>
        <v>0</v>
      </c>
      <c r="AG488" s="274">
        <v>1</v>
      </c>
      <c r="AH488" s="274">
        <v>1</v>
      </c>
      <c r="AI488" s="274">
        <v>1</v>
      </c>
      <c r="AJ488" s="274">
        <v>1</v>
      </c>
      <c r="AK488" s="274">
        <f t="shared" si="292"/>
        <v>1</v>
      </c>
      <c r="AL488" s="274">
        <f t="shared" si="293"/>
        <v>1</v>
      </c>
      <c r="AM488" s="274">
        <f t="shared" si="294"/>
        <v>1</v>
      </c>
      <c r="AN488" s="274">
        <f t="shared" si="295"/>
        <v>1</v>
      </c>
      <c r="AO488" s="262"/>
      <c r="AP488" s="262"/>
      <c r="AQ488" s="267">
        <v>20.134575475260416</v>
      </c>
      <c r="AR488" s="262"/>
      <c r="AS488" s="266">
        <f t="shared" si="296"/>
        <v>0</v>
      </c>
      <c r="AT488" s="264">
        <f t="shared" si="297"/>
        <v>0</v>
      </c>
      <c r="AU488" s="262"/>
      <c r="AV488" s="262"/>
      <c r="AW488" s="265">
        <v>20.134575475260416</v>
      </c>
      <c r="AX488" s="164" t="s">
        <v>1469</v>
      </c>
      <c r="AY488" s="266">
        <v>0</v>
      </c>
      <c r="AZ488" s="266">
        <f t="shared" si="298"/>
        <v>0</v>
      </c>
      <c r="BA488" s="264">
        <f t="shared" si="299"/>
        <v>0</v>
      </c>
      <c r="BB488" s="262"/>
      <c r="BC488" s="262"/>
      <c r="BD488" s="265">
        <f ca="1">IFERROR(INDEX(Algorithms!$G:$G,MATCH($C488&amp;"_Therm Saved per Unit",Algorithms!$A:$A,0)),0)</f>
        <v>20.134575475260416</v>
      </c>
      <c r="BE488" s="164" t="str">
        <f ca="1">IFERROR(INDEX('v12 Revisions'!$P$29:$P$186, MATCH('Measure-Level Adj Gas'!$L488, 'v12 Revisions'!$D$29:$D$186,0)),"")</f>
        <v/>
      </c>
      <c r="BF488" s="266">
        <f t="shared" ca="1" si="300"/>
        <v>0</v>
      </c>
      <c r="BG488" s="264">
        <f t="shared" ca="1" si="301"/>
        <v>0</v>
      </c>
      <c r="BH488" s="262"/>
      <c r="BI488" s="262"/>
      <c r="BJ488" s="265">
        <f ca="1">IFERROR(INDEX(Algorithms!$G:$G,MATCH($C488&amp;"_Therm Saved per Unit",Algorithms!$A:$A,0)),0)</f>
        <v>20.134575475260416</v>
      </c>
      <c r="BK488" s="164"/>
      <c r="BL488" s="266">
        <f t="shared" ca="1" si="302"/>
        <v>0</v>
      </c>
      <c r="BM488" s="264">
        <f t="shared" ca="1" si="303"/>
        <v>0</v>
      </c>
      <c r="BN488" s="266">
        <f t="shared" si="304"/>
        <v>0</v>
      </c>
      <c r="BO488" s="266">
        <f t="shared" si="305"/>
        <v>0</v>
      </c>
      <c r="BP488" s="266">
        <f t="shared" ca="1" si="306"/>
        <v>0</v>
      </c>
      <c r="BQ488" s="266">
        <f t="shared" ca="1" si="307"/>
        <v>0</v>
      </c>
      <c r="BR488" s="268">
        <f t="shared" ca="1" si="308"/>
        <v>0</v>
      </c>
      <c r="BS488" s="262" t="s">
        <v>99</v>
      </c>
      <c r="BT488" s="277"/>
      <c r="BW488" s="266">
        <f t="shared" si="309"/>
        <v>0</v>
      </c>
      <c r="BX488" s="266">
        <f t="shared" si="310"/>
        <v>0</v>
      </c>
      <c r="BY488" s="266">
        <f t="shared" si="311"/>
        <v>0</v>
      </c>
      <c r="BZ488" s="266">
        <f t="shared" si="312"/>
        <v>0</v>
      </c>
      <c r="CA488" s="266">
        <f ca="1">N488*IFERROR(INDEX(Algorithms!$G:$G,MATCH($C488&amp;"_Therm Saved per Unit- MLA",Algorithms!$A:$A,0)),0)*X488</f>
        <v>0</v>
      </c>
      <c r="CB488" s="266">
        <f ca="1">O488*IFERROR(INDEX(Algorithms!$G:$G,MATCH($C488&amp;"_Therm Saved per Unit- MLA",Algorithms!$A:$A,0)),0)*Y488</f>
        <v>0</v>
      </c>
      <c r="CC488" s="266">
        <f ca="1">P488*IFERROR(INDEX(Algorithms!$G:$G,MATCH($C488&amp;"_Therm Saved per Unit- MLA",Algorithms!$A:$A,0)),0)*Z488</f>
        <v>0</v>
      </c>
      <c r="CD488" s="266">
        <f ca="1">Q488*IFERROR(INDEX(Algorithms!$G:$G,MATCH($C488&amp;"_Therm Saved per Unit- MLA",Algorithms!$A:$A,0)),0)*AA488</f>
        <v>0</v>
      </c>
      <c r="CE488" s="266">
        <f ca="1">IFERROR(INDEX(Algorithms!$G:$G,MATCH($C488&amp;"_Lifetime (years)",Algorithms!$A:$A,0)),0)</f>
        <v>15</v>
      </c>
      <c r="CF488" s="266">
        <f ca="1">IFERROR(INDEX(Algorithms!$G:$G,MATCH($C488&amp;"_Lifetime (years) - Remaining Years",Algorithms!$A:$A,0)),0)</f>
        <v>0</v>
      </c>
      <c r="CG488" s="266">
        <f t="shared" ca="1" si="313"/>
        <v>0</v>
      </c>
      <c r="CH488" s="266">
        <f t="shared" ca="1" si="314"/>
        <v>0</v>
      </c>
      <c r="CI488" s="266">
        <f t="shared" ca="1" si="315"/>
        <v>0</v>
      </c>
      <c r="CJ488" s="266">
        <f t="shared" ca="1" si="316"/>
        <v>0</v>
      </c>
      <c r="CK488" s="266">
        <f t="shared" si="317"/>
        <v>0</v>
      </c>
      <c r="CL488" s="266">
        <f t="shared" si="318"/>
        <v>0</v>
      </c>
      <c r="CM488" s="266">
        <f t="shared" ca="1" si="319"/>
        <v>0</v>
      </c>
      <c r="CN488" s="266">
        <f t="shared" ca="1" si="320"/>
        <v>0</v>
      </c>
      <c r="CO488" s="266">
        <f ca="1">N488*IFERROR(INDEX(Algorithms!$G:$G,MATCH($C488&amp;"_Therm Saved per Unit- MLA",Algorithms!$A:$A,0)),0)*X488</f>
        <v>0</v>
      </c>
      <c r="CP488" s="266">
        <f ca="1">O488*IFERROR(INDEX(Algorithms!$G:$G,MATCH($C488&amp;"_Therm Saved per Unit- MLA",Algorithms!$A:$A,0)),0)*Y488</f>
        <v>0</v>
      </c>
      <c r="CQ488" s="266">
        <f ca="1">P488*IFERROR(INDEX(Algorithms!$G:$G,MATCH($C488&amp;"_Therm Saved per Unit- MLA",Algorithms!$A:$A,0)),0)*Z488</f>
        <v>0</v>
      </c>
      <c r="CR488" s="266">
        <f ca="1">Q488*IFERROR(INDEX(Algorithms!$G:$G,MATCH($C488&amp;"_Therm Saved per Unit- MLA",Algorithms!$A:$A,0)),0)*AA488</f>
        <v>0</v>
      </c>
      <c r="CS488" s="266">
        <f ca="1">IFERROR(INDEX(Algorithms!$G:$G,MATCH($C488&amp;"_Lifetime (years)",Algorithms!$A:$A,0)),0)</f>
        <v>15</v>
      </c>
      <c r="CT488" s="266">
        <f ca="1">IFERROR(INDEX(Algorithms!$G:$G,MATCH($C488&amp;"_Lifetime (years) - Remaining Years",Algorithms!$A:$A,0)),0)</f>
        <v>0</v>
      </c>
      <c r="CU488" s="266">
        <f t="shared" ca="1" si="321"/>
        <v>0</v>
      </c>
      <c r="CV488" s="266">
        <f t="shared" ca="1" si="322"/>
        <v>0</v>
      </c>
      <c r="CW488" s="266">
        <f t="shared" ca="1" si="323"/>
        <v>0</v>
      </c>
      <c r="CX488" s="266">
        <f t="shared" ca="1" si="324"/>
        <v>0</v>
      </c>
    </row>
    <row r="489" spans="2:102" s="47" customFormat="1" ht="18" customHeight="1" x14ac:dyDescent="0.25">
      <c r="B489" t="str">
        <f t="shared" si="325"/>
        <v>NSG_Income Eligible_Multi-Family_Whole Building - Public Housing_Pipe Insulation_Steam Large Fitting_MF</v>
      </c>
      <c r="C489" s="47" t="str">
        <f t="shared" si="286"/>
        <v>Pipe Insulation_Steam Large Fitting_MF</v>
      </c>
      <c r="D489" s="270" t="s">
        <v>1787</v>
      </c>
      <c r="E489" s="270" t="s">
        <v>325</v>
      </c>
      <c r="F489" s="270" t="s">
        <v>1422</v>
      </c>
      <c r="G489" s="270" t="s">
        <v>1817</v>
      </c>
      <c r="H489" s="270" t="s">
        <v>404</v>
      </c>
      <c r="I489" s="270" t="s">
        <v>963</v>
      </c>
      <c r="J489" s="270" t="s">
        <v>553</v>
      </c>
      <c r="K489" s="263">
        <v>1</v>
      </c>
      <c r="L489" s="263" t="str">
        <f ca="1">IFERROR(INDEX(Algorithms!J:J,MATCH($C489&amp;"_Therm Saved per Unit",Algorithms!$A:$A,0)),"n/a")</f>
        <v>"3 - Res Pipe Insulation" worksheet</v>
      </c>
      <c r="M489" s="263" t="str">
        <f>IFERROR(INDEX('Measure Level Detail'!$N:$N,MATCH($B489,'Measure Level Detail'!$B:$B,0)),0)</f>
        <v>each</v>
      </c>
      <c r="N489" s="271">
        <f>IFERROR(INDEX('Measure Level Detail'!$P:$P,MATCH($B489&amp;"_"&amp;N$3,'Measure Level Detail'!$C:$C,0)),0)</f>
        <v>0</v>
      </c>
      <c r="O489" s="271">
        <f>IFERROR(INDEX('Measure Level Detail'!$P:$P,MATCH($B489&amp;"_"&amp;O$3,'Measure Level Detail'!$C:$C,0)),0)</f>
        <v>0</v>
      </c>
      <c r="P489" s="271">
        <f>IFERROR(INDEX('Measure Level Detail'!$P:$P,MATCH($B489&amp;"_"&amp;P$3,'Measure Level Detail'!$C:$C,0)),0)</f>
        <v>0</v>
      </c>
      <c r="Q489" s="271">
        <f>IFERROR(INDEX('Measure Level Detail'!$P:$P,MATCH($B489&amp;"_"&amp;Q$3,'Measure Level Detail'!$C:$C,0)),0)</f>
        <v>0</v>
      </c>
      <c r="R489" s="263">
        <f ca="1">IFERROR(INDEX(Algorithms!K:K,MATCH($C489&amp;"_Therm Saved per Unit",Algorithms!$A:$A,0)),"n/a")</f>
        <v>0</v>
      </c>
      <c r="S489" s="262"/>
      <c r="T489" s="272">
        <v>66.284273233024678</v>
      </c>
      <c r="U489" s="272">
        <v>66.284273233024678</v>
      </c>
      <c r="V489" s="272">
        <v>66.284273233024678</v>
      </c>
      <c r="W489" s="272">
        <v>66.284273233024678</v>
      </c>
      <c r="X489" s="273">
        <f>IFERROR(INDEX('Measure Level Detail'!$R:$R,MATCH($B489&amp;"_"&amp;X$3,'Measure Level Detail'!$C:$C,0)),0)</f>
        <v>1</v>
      </c>
      <c r="Y489" s="273">
        <f>IFERROR(INDEX('Measure Level Detail'!$R:$R,MATCH($B489&amp;"_"&amp;Y$3,'Measure Level Detail'!$C:$C,0)),0)</f>
        <v>1</v>
      </c>
      <c r="Z489" s="273">
        <f>IFERROR(INDEX('Measure Level Detail'!$R:$R,MATCH($B489&amp;"_"&amp;Z$3,'Measure Level Detail'!$C:$C,0)),0)</f>
        <v>1</v>
      </c>
      <c r="AA489" s="273">
        <f>IFERROR(INDEX('Measure Level Detail'!$R:$R,MATCH($B489&amp;"_"&amp;AA$3,'Measure Level Detail'!$C:$C,0)),0)</f>
        <v>1</v>
      </c>
      <c r="AB489" s="266">
        <f t="shared" si="287"/>
        <v>0</v>
      </c>
      <c r="AC489" s="266">
        <f t="shared" si="288"/>
        <v>0</v>
      </c>
      <c r="AD489" s="266">
        <f t="shared" si="289"/>
        <v>0</v>
      </c>
      <c r="AE489" s="266">
        <f t="shared" si="290"/>
        <v>0</v>
      </c>
      <c r="AF489" s="266">
        <f t="shared" si="291"/>
        <v>0</v>
      </c>
      <c r="AG489" s="274">
        <v>1</v>
      </c>
      <c r="AH489" s="274">
        <v>1</v>
      </c>
      <c r="AI489" s="274">
        <v>1</v>
      </c>
      <c r="AJ489" s="274">
        <v>1</v>
      </c>
      <c r="AK489" s="274">
        <f t="shared" si="292"/>
        <v>1</v>
      </c>
      <c r="AL489" s="274">
        <f t="shared" si="293"/>
        <v>1</v>
      </c>
      <c r="AM489" s="274">
        <f t="shared" si="294"/>
        <v>1</v>
      </c>
      <c r="AN489" s="274">
        <f t="shared" si="295"/>
        <v>1</v>
      </c>
      <c r="AO489" s="262"/>
      <c r="AP489" s="262"/>
      <c r="AQ489" s="267">
        <v>66.284273233024678</v>
      </c>
      <c r="AR489" s="262"/>
      <c r="AS489" s="266">
        <f t="shared" si="296"/>
        <v>0</v>
      </c>
      <c r="AT489" s="264">
        <f t="shared" si="297"/>
        <v>0</v>
      </c>
      <c r="AU489" s="262"/>
      <c r="AV489" s="262"/>
      <c r="AW489" s="265">
        <v>66.284273233024678</v>
      </c>
      <c r="AX489" s="164" t="s">
        <v>1469</v>
      </c>
      <c r="AY489" s="266">
        <v>0</v>
      </c>
      <c r="AZ489" s="266">
        <f t="shared" si="298"/>
        <v>0</v>
      </c>
      <c r="BA489" s="264">
        <f t="shared" si="299"/>
        <v>0</v>
      </c>
      <c r="BB489" s="262"/>
      <c r="BC489" s="262"/>
      <c r="BD489" s="265">
        <f ca="1">IFERROR(INDEX(Algorithms!$G:$G,MATCH($C489&amp;"_Therm Saved per Unit",Algorithms!$A:$A,0)),0)</f>
        <v>66.284273233024678</v>
      </c>
      <c r="BE489" s="164" t="str">
        <f ca="1">IFERROR(INDEX('v12 Revisions'!$P$29:$P$186, MATCH('Measure-Level Adj Gas'!$L489, 'v12 Revisions'!$D$29:$D$186,0)),"")</f>
        <v/>
      </c>
      <c r="BF489" s="266">
        <f t="shared" ca="1" si="300"/>
        <v>0</v>
      </c>
      <c r="BG489" s="264">
        <f t="shared" ca="1" si="301"/>
        <v>0</v>
      </c>
      <c r="BH489" s="262"/>
      <c r="BI489" s="262"/>
      <c r="BJ489" s="265">
        <f ca="1">IFERROR(INDEX(Algorithms!$G:$G,MATCH($C489&amp;"_Therm Saved per Unit",Algorithms!$A:$A,0)),0)</f>
        <v>66.284273233024678</v>
      </c>
      <c r="BK489" s="164"/>
      <c r="BL489" s="266">
        <f t="shared" ca="1" si="302"/>
        <v>0</v>
      </c>
      <c r="BM489" s="264">
        <f t="shared" ca="1" si="303"/>
        <v>0</v>
      </c>
      <c r="BN489" s="266">
        <f t="shared" si="304"/>
        <v>0</v>
      </c>
      <c r="BO489" s="266">
        <f t="shared" si="305"/>
        <v>0</v>
      </c>
      <c r="BP489" s="266">
        <f t="shared" ca="1" si="306"/>
        <v>0</v>
      </c>
      <c r="BQ489" s="266">
        <f t="shared" ca="1" si="307"/>
        <v>0</v>
      </c>
      <c r="BR489" s="268">
        <f t="shared" ca="1" si="308"/>
        <v>0</v>
      </c>
      <c r="BS489" s="262" t="s">
        <v>99</v>
      </c>
      <c r="BT489" s="277"/>
      <c r="BW489" s="266">
        <f t="shared" si="309"/>
        <v>0</v>
      </c>
      <c r="BX489" s="266">
        <f t="shared" si="310"/>
        <v>0</v>
      </c>
      <c r="BY489" s="266">
        <f t="shared" si="311"/>
        <v>0</v>
      </c>
      <c r="BZ489" s="266">
        <f t="shared" si="312"/>
        <v>0</v>
      </c>
      <c r="CA489" s="266">
        <f ca="1">N489*IFERROR(INDEX(Algorithms!$G:$G,MATCH($C489&amp;"_Therm Saved per Unit- MLA",Algorithms!$A:$A,0)),0)*X489</f>
        <v>0</v>
      </c>
      <c r="CB489" s="266">
        <f ca="1">O489*IFERROR(INDEX(Algorithms!$G:$G,MATCH($C489&amp;"_Therm Saved per Unit- MLA",Algorithms!$A:$A,0)),0)*Y489</f>
        <v>0</v>
      </c>
      <c r="CC489" s="266">
        <f ca="1">P489*IFERROR(INDEX(Algorithms!$G:$G,MATCH($C489&amp;"_Therm Saved per Unit- MLA",Algorithms!$A:$A,0)),0)*Z489</f>
        <v>0</v>
      </c>
      <c r="CD489" s="266">
        <f ca="1">Q489*IFERROR(INDEX(Algorithms!$G:$G,MATCH($C489&amp;"_Therm Saved per Unit- MLA",Algorithms!$A:$A,0)),0)*AA489</f>
        <v>0</v>
      </c>
      <c r="CE489" s="266">
        <f ca="1">IFERROR(INDEX(Algorithms!$G:$G,MATCH($C489&amp;"_Lifetime (years)",Algorithms!$A:$A,0)),0)</f>
        <v>15</v>
      </c>
      <c r="CF489" s="266">
        <f ca="1">IFERROR(INDEX(Algorithms!$G:$G,MATCH($C489&amp;"_Lifetime (years) - Remaining Years",Algorithms!$A:$A,0)),0)</f>
        <v>0</v>
      </c>
      <c r="CG489" s="266">
        <f t="shared" ca="1" si="313"/>
        <v>0</v>
      </c>
      <c r="CH489" s="266">
        <f t="shared" ca="1" si="314"/>
        <v>0</v>
      </c>
      <c r="CI489" s="266">
        <f t="shared" ca="1" si="315"/>
        <v>0</v>
      </c>
      <c r="CJ489" s="266">
        <f t="shared" ca="1" si="316"/>
        <v>0</v>
      </c>
      <c r="CK489" s="266">
        <f t="shared" si="317"/>
        <v>0</v>
      </c>
      <c r="CL489" s="266">
        <f t="shared" si="318"/>
        <v>0</v>
      </c>
      <c r="CM489" s="266">
        <f t="shared" ca="1" si="319"/>
        <v>0</v>
      </c>
      <c r="CN489" s="266">
        <f t="shared" ca="1" si="320"/>
        <v>0</v>
      </c>
      <c r="CO489" s="266">
        <f ca="1">N489*IFERROR(INDEX(Algorithms!$G:$G,MATCH($C489&amp;"_Therm Saved per Unit- MLA",Algorithms!$A:$A,0)),0)*X489</f>
        <v>0</v>
      </c>
      <c r="CP489" s="266">
        <f ca="1">O489*IFERROR(INDEX(Algorithms!$G:$G,MATCH($C489&amp;"_Therm Saved per Unit- MLA",Algorithms!$A:$A,0)),0)*Y489</f>
        <v>0</v>
      </c>
      <c r="CQ489" s="266">
        <f ca="1">P489*IFERROR(INDEX(Algorithms!$G:$G,MATCH($C489&amp;"_Therm Saved per Unit- MLA",Algorithms!$A:$A,0)),0)*Z489</f>
        <v>0</v>
      </c>
      <c r="CR489" s="266">
        <f ca="1">Q489*IFERROR(INDEX(Algorithms!$G:$G,MATCH($C489&amp;"_Therm Saved per Unit- MLA",Algorithms!$A:$A,0)),0)*AA489</f>
        <v>0</v>
      </c>
      <c r="CS489" s="266">
        <f ca="1">IFERROR(INDEX(Algorithms!$G:$G,MATCH($C489&amp;"_Lifetime (years)",Algorithms!$A:$A,0)),0)</f>
        <v>15</v>
      </c>
      <c r="CT489" s="266">
        <f ca="1">IFERROR(INDEX(Algorithms!$G:$G,MATCH($C489&amp;"_Lifetime (years) - Remaining Years",Algorithms!$A:$A,0)),0)</f>
        <v>0</v>
      </c>
      <c r="CU489" s="266">
        <f t="shared" ca="1" si="321"/>
        <v>0</v>
      </c>
      <c r="CV489" s="266">
        <f t="shared" ca="1" si="322"/>
        <v>0</v>
      </c>
      <c r="CW489" s="266">
        <f t="shared" ca="1" si="323"/>
        <v>0</v>
      </c>
      <c r="CX489" s="266">
        <f t="shared" ca="1" si="324"/>
        <v>0</v>
      </c>
    </row>
    <row r="490" spans="2:102" s="47" customFormat="1" ht="18" customHeight="1" x14ac:dyDescent="0.25">
      <c r="B490" t="str">
        <f t="shared" si="325"/>
        <v>NSG_Income Eligible_Multi-Family_Whole Building - Public Housing_Pipe Insulation_Steam X-Large Fitting_MF</v>
      </c>
      <c r="C490" s="47" t="str">
        <f t="shared" si="286"/>
        <v>Pipe Insulation_Steam X-Large Fitting_MF</v>
      </c>
      <c r="D490" s="270" t="s">
        <v>1787</v>
      </c>
      <c r="E490" s="270" t="s">
        <v>325</v>
      </c>
      <c r="F490" s="270" t="s">
        <v>1422</v>
      </c>
      <c r="G490" s="270" t="s">
        <v>1817</v>
      </c>
      <c r="H490" s="270" t="s">
        <v>404</v>
      </c>
      <c r="I490" s="270" t="s">
        <v>964</v>
      </c>
      <c r="J490" s="270" t="s">
        <v>553</v>
      </c>
      <c r="K490" s="263">
        <v>1</v>
      </c>
      <c r="L490" s="263" t="str">
        <f ca="1">IFERROR(INDEX(Algorithms!J:J,MATCH($C490&amp;"_Therm Saved per Unit",Algorithms!$A:$A,0)),"n/a")</f>
        <v>"3 - Res Pipe Insulation" worksheet</v>
      </c>
      <c r="M490" s="263" t="str">
        <f>IFERROR(INDEX('Measure Level Detail'!$N:$N,MATCH($B490,'Measure Level Detail'!$B:$B,0)),0)</f>
        <v>each</v>
      </c>
      <c r="N490" s="271">
        <f>IFERROR(INDEX('Measure Level Detail'!$P:$P,MATCH($B490&amp;"_"&amp;N$3,'Measure Level Detail'!$C:$C,0)),0)</f>
        <v>0</v>
      </c>
      <c r="O490" s="271">
        <f>IFERROR(INDEX('Measure Level Detail'!$P:$P,MATCH($B490&amp;"_"&amp;O$3,'Measure Level Detail'!$C:$C,0)),0)</f>
        <v>0</v>
      </c>
      <c r="P490" s="271">
        <f>IFERROR(INDEX('Measure Level Detail'!$P:$P,MATCH($B490&amp;"_"&amp;P$3,'Measure Level Detail'!$C:$C,0)),0)</f>
        <v>0</v>
      </c>
      <c r="Q490" s="271">
        <f>IFERROR(INDEX('Measure Level Detail'!$P:$P,MATCH($B490&amp;"_"&amp;Q$3,'Measure Level Detail'!$C:$C,0)),0)</f>
        <v>0</v>
      </c>
      <c r="R490" s="263">
        <f ca="1">IFERROR(INDEX(Algorithms!K:K,MATCH($C490&amp;"_Therm Saved per Unit",Algorithms!$A:$A,0)),"n/a")</f>
        <v>0</v>
      </c>
      <c r="S490" s="262"/>
      <c r="T490" s="272">
        <v>113.8883886472908</v>
      </c>
      <c r="U490" s="272">
        <v>113.8883886472908</v>
      </c>
      <c r="V490" s="272">
        <v>113.8883886472908</v>
      </c>
      <c r="W490" s="272">
        <v>113.8883886472908</v>
      </c>
      <c r="X490" s="273">
        <f>IFERROR(INDEX('Measure Level Detail'!$R:$R,MATCH($B490&amp;"_"&amp;X$3,'Measure Level Detail'!$C:$C,0)),0)</f>
        <v>1</v>
      </c>
      <c r="Y490" s="273">
        <f>IFERROR(INDEX('Measure Level Detail'!$R:$R,MATCH($B490&amp;"_"&amp;Y$3,'Measure Level Detail'!$C:$C,0)),0)</f>
        <v>1</v>
      </c>
      <c r="Z490" s="273">
        <f>IFERROR(INDEX('Measure Level Detail'!$R:$R,MATCH($B490&amp;"_"&amp;Z$3,'Measure Level Detail'!$C:$C,0)),0)</f>
        <v>1</v>
      </c>
      <c r="AA490" s="273">
        <f>IFERROR(INDEX('Measure Level Detail'!$R:$R,MATCH($B490&amp;"_"&amp;AA$3,'Measure Level Detail'!$C:$C,0)),0)</f>
        <v>1</v>
      </c>
      <c r="AB490" s="266">
        <f t="shared" si="287"/>
        <v>0</v>
      </c>
      <c r="AC490" s="266">
        <f t="shared" si="288"/>
        <v>0</v>
      </c>
      <c r="AD490" s="266">
        <f t="shared" si="289"/>
        <v>0</v>
      </c>
      <c r="AE490" s="266">
        <f t="shared" si="290"/>
        <v>0</v>
      </c>
      <c r="AF490" s="266">
        <f t="shared" si="291"/>
        <v>0</v>
      </c>
      <c r="AG490" s="274">
        <v>1</v>
      </c>
      <c r="AH490" s="274">
        <v>1</v>
      </c>
      <c r="AI490" s="274">
        <v>1</v>
      </c>
      <c r="AJ490" s="274">
        <v>1</v>
      </c>
      <c r="AK490" s="274">
        <f t="shared" si="292"/>
        <v>1</v>
      </c>
      <c r="AL490" s="274">
        <f t="shared" si="293"/>
        <v>1</v>
      </c>
      <c r="AM490" s="274">
        <f t="shared" si="294"/>
        <v>1</v>
      </c>
      <c r="AN490" s="274">
        <f t="shared" si="295"/>
        <v>1</v>
      </c>
      <c r="AO490" s="262"/>
      <c r="AP490" s="262"/>
      <c r="AQ490" s="267">
        <v>113.8883886472908</v>
      </c>
      <c r="AR490" s="262"/>
      <c r="AS490" s="266">
        <f t="shared" si="296"/>
        <v>0</v>
      </c>
      <c r="AT490" s="264">
        <f t="shared" si="297"/>
        <v>0</v>
      </c>
      <c r="AU490" s="262"/>
      <c r="AV490" s="262"/>
      <c r="AW490" s="265">
        <v>113.8883886472908</v>
      </c>
      <c r="AX490" s="164" t="s">
        <v>1469</v>
      </c>
      <c r="AY490" s="266">
        <v>0</v>
      </c>
      <c r="AZ490" s="266">
        <f t="shared" si="298"/>
        <v>0</v>
      </c>
      <c r="BA490" s="264">
        <f t="shared" si="299"/>
        <v>0</v>
      </c>
      <c r="BB490" s="262"/>
      <c r="BC490" s="262"/>
      <c r="BD490" s="265">
        <f ca="1">IFERROR(INDEX(Algorithms!$G:$G,MATCH($C490&amp;"_Therm Saved per Unit",Algorithms!$A:$A,0)),0)</f>
        <v>113.8883886472908</v>
      </c>
      <c r="BE490" s="164" t="str">
        <f ca="1">IFERROR(INDEX('v12 Revisions'!$P$29:$P$186, MATCH('Measure-Level Adj Gas'!$L490, 'v12 Revisions'!$D$29:$D$186,0)),"")</f>
        <v/>
      </c>
      <c r="BF490" s="266">
        <f t="shared" ca="1" si="300"/>
        <v>0</v>
      </c>
      <c r="BG490" s="264">
        <f t="shared" ca="1" si="301"/>
        <v>0</v>
      </c>
      <c r="BH490" s="262"/>
      <c r="BI490" s="262"/>
      <c r="BJ490" s="265">
        <f ca="1">IFERROR(INDEX(Algorithms!$G:$G,MATCH($C490&amp;"_Therm Saved per Unit",Algorithms!$A:$A,0)),0)</f>
        <v>113.8883886472908</v>
      </c>
      <c r="BK490" s="164"/>
      <c r="BL490" s="266">
        <f t="shared" ca="1" si="302"/>
        <v>0</v>
      </c>
      <c r="BM490" s="264">
        <f t="shared" ca="1" si="303"/>
        <v>0</v>
      </c>
      <c r="BN490" s="266">
        <f t="shared" si="304"/>
        <v>0</v>
      </c>
      <c r="BO490" s="266">
        <f t="shared" si="305"/>
        <v>0</v>
      </c>
      <c r="BP490" s="266">
        <f t="shared" ca="1" si="306"/>
        <v>0</v>
      </c>
      <c r="BQ490" s="266">
        <f t="shared" ca="1" si="307"/>
        <v>0</v>
      </c>
      <c r="BR490" s="268">
        <f t="shared" ca="1" si="308"/>
        <v>0</v>
      </c>
      <c r="BS490" s="262" t="s">
        <v>99</v>
      </c>
      <c r="BT490" s="277"/>
      <c r="BW490" s="266">
        <f t="shared" si="309"/>
        <v>0</v>
      </c>
      <c r="BX490" s="266">
        <f t="shared" si="310"/>
        <v>0</v>
      </c>
      <c r="BY490" s="266">
        <f t="shared" si="311"/>
        <v>0</v>
      </c>
      <c r="BZ490" s="266">
        <f t="shared" si="312"/>
        <v>0</v>
      </c>
      <c r="CA490" s="266">
        <f ca="1">N490*IFERROR(INDEX(Algorithms!$G:$G,MATCH($C490&amp;"_Therm Saved per Unit- MLA",Algorithms!$A:$A,0)),0)*X490</f>
        <v>0</v>
      </c>
      <c r="CB490" s="266">
        <f ca="1">O490*IFERROR(INDEX(Algorithms!$G:$G,MATCH($C490&amp;"_Therm Saved per Unit- MLA",Algorithms!$A:$A,0)),0)*Y490</f>
        <v>0</v>
      </c>
      <c r="CC490" s="266">
        <f ca="1">P490*IFERROR(INDEX(Algorithms!$G:$G,MATCH($C490&amp;"_Therm Saved per Unit- MLA",Algorithms!$A:$A,0)),0)*Z490</f>
        <v>0</v>
      </c>
      <c r="CD490" s="266">
        <f ca="1">Q490*IFERROR(INDEX(Algorithms!$G:$G,MATCH($C490&amp;"_Therm Saved per Unit- MLA",Algorithms!$A:$A,0)),0)*AA490</f>
        <v>0</v>
      </c>
      <c r="CE490" s="266">
        <f ca="1">IFERROR(INDEX(Algorithms!$G:$G,MATCH($C490&amp;"_Lifetime (years)",Algorithms!$A:$A,0)),0)</f>
        <v>15</v>
      </c>
      <c r="CF490" s="266">
        <f ca="1">IFERROR(INDEX(Algorithms!$G:$G,MATCH($C490&amp;"_Lifetime (years) - Remaining Years",Algorithms!$A:$A,0)),0)</f>
        <v>0</v>
      </c>
      <c r="CG490" s="266">
        <f t="shared" ca="1" si="313"/>
        <v>0</v>
      </c>
      <c r="CH490" s="266">
        <f t="shared" ca="1" si="314"/>
        <v>0</v>
      </c>
      <c r="CI490" s="266">
        <f t="shared" ca="1" si="315"/>
        <v>0</v>
      </c>
      <c r="CJ490" s="266">
        <f t="shared" ca="1" si="316"/>
        <v>0</v>
      </c>
      <c r="CK490" s="266">
        <f t="shared" si="317"/>
        <v>0</v>
      </c>
      <c r="CL490" s="266">
        <f t="shared" si="318"/>
        <v>0</v>
      </c>
      <c r="CM490" s="266">
        <f t="shared" ca="1" si="319"/>
        <v>0</v>
      </c>
      <c r="CN490" s="266">
        <f t="shared" ca="1" si="320"/>
        <v>0</v>
      </c>
      <c r="CO490" s="266">
        <f ca="1">N490*IFERROR(INDEX(Algorithms!$G:$G,MATCH($C490&amp;"_Therm Saved per Unit- MLA",Algorithms!$A:$A,0)),0)*X490</f>
        <v>0</v>
      </c>
      <c r="CP490" s="266">
        <f ca="1">O490*IFERROR(INDEX(Algorithms!$G:$G,MATCH($C490&amp;"_Therm Saved per Unit- MLA",Algorithms!$A:$A,0)),0)*Y490</f>
        <v>0</v>
      </c>
      <c r="CQ490" s="266">
        <f ca="1">P490*IFERROR(INDEX(Algorithms!$G:$G,MATCH($C490&amp;"_Therm Saved per Unit- MLA",Algorithms!$A:$A,0)),0)*Z490</f>
        <v>0</v>
      </c>
      <c r="CR490" s="266">
        <f ca="1">Q490*IFERROR(INDEX(Algorithms!$G:$G,MATCH($C490&amp;"_Therm Saved per Unit- MLA",Algorithms!$A:$A,0)),0)*AA490</f>
        <v>0</v>
      </c>
      <c r="CS490" s="266">
        <f ca="1">IFERROR(INDEX(Algorithms!$G:$G,MATCH($C490&amp;"_Lifetime (years)",Algorithms!$A:$A,0)),0)</f>
        <v>15</v>
      </c>
      <c r="CT490" s="266">
        <f ca="1">IFERROR(INDEX(Algorithms!$G:$G,MATCH($C490&amp;"_Lifetime (years) - Remaining Years",Algorithms!$A:$A,0)),0)</f>
        <v>0</v>
      </c>
      <c r="CU490" s="266">
        <f t="shared" ca="1" si="321"/>
        <v>0</v>
      </c>
      <c r="CV490" s="266">
        <f t="shared" ca="1" si="322"/>
        <v>0</v>
      </c>
      <c r="CW490" s="266">
        <f t="shared" ca="1" si="323"/>
        <v>0</v>
      </c>
      <c r="CX490" s="266">
        <f t="shared" ca="1" si="324"/>
        <v>0</v>
      </c>
    </row>
    <row r="491" spans="2:102" s="47" customFormat="1" ht="18" customHeight="1" x14ac:dyDescent="0.25">
      <c r="B491" t="str">
        <f t="shared" si="325"/>
        <v>NSG_Income Eligible_Multi-Family_Whole Building - Public Housing_Pipe Insulation_Steam Small Valve_MF</v>
      </c>
      <c r="C491" s="47" t="str">
        <f t="shared" si="286"/>
        <v>Pipe Insulation_Steam Small Valve_MF</v>
      </c>
      <c r="D491" s="270" t="s">
        <v>1787</v>
      </c>
      <c r="E491" s="270" t="s">
        <v>325</v>
      </c>
      <c r="F491" s="270" t="s">
        <v>1422</v>
      </c>
      <c r="G491" s="270" t="s">
        <v>1817</v>
      </c>
      <c r="H491" s="270" t="s">
        <v>404</v>
      </c>
      <c r="I491" s="270" t="s">
        <v>965</v>
      </c>
      <c r="J491" s="270" t="s">
        <v>553</v>
      </c>
      <c r="K491" s="263">
        <v>1</v>
      </c>
      <c r="L491" s="263" t="str">
        <f ca="1">IFERROR(INDEX(Algorithms!J:J,MATCH($C491&amp;"_Therm Saved per Unit",Algorithms!$A:$A,0)),"n/a")</f>
        <v>"3 - Res Pipe Insulation" worksheet</v>
      </c>
      <c r="M491" s="263" t="str">
        <f>IFERROR(INDEX('Measure Level Detail'!$N:$N,MATCH($B491,'Measure Level Detail'!$B:$B,0)),0)</f>
        <v>each</v>
      </c>
      <c r="N491" s="271">
        <f>IFERROR(INDEX('Measure Level Detail'!$P:$P,MATCH($B491&amp;"_"&amp;N$3,'Measure Level Detail'!$C:$C,0)),0)</f>
        <v>0</v>
      </c>
      <c r="O491" s="271">
        <f>IFERROR(INDEX('Measure Level Detail'!$P:$P,MATCH($B491&amp;"_"&amp;O$3,'Measure Level Detail'!$C:$C,0)),0)</f>
        <v>0</v>
      </c>
      <c r="P491" s="271">
        <f>IFERROR(INDEX('Measure Level Detail'!$P:$P,MATCH($B491&amp;"_"&amp;P$3,'Measure Level Detail'!$C:$C,0)),0)</f>
        <v>0</v>
      </c>
      <c r="Q491" s="271">
        <f>IFERROR(INDEX('Measure Level Detail'!$P:$P,MATCH($B491&amp;"_"&amp;Q$3,'Measure Level Detail'!$C:$C,0)),0)</f>
        <v>0</v>
      </c>
      <c r="R491" s="263">
        <f ca="1">IFERROR(INDEX(Algorithms!K:K,MATCH($C491&amp;"_Therm Saved per Unit",Algorithms!$A:$A,0)),"n/a")</f>
        <v>0</v>
      </c>
      <c r="S491" s="262"/>
      <c r="T491" s="272">
        <v>11.028529822042056</v>
      </c>
      <c r="U491" s="272">
        <v>11.028529822042056</v>
      </c>
      <c r="V491" s="272">
        <v>11.028529822042056</v>
      </c>
      <c r="W491" s="272">
        <v>11.028529822042056</v>
      </c>
      <c r="X491" s="273">
        <f>IFERROR(INDEX('Measure Level Detail'!$R:$R,MATCH($B491&amp;"_"&amp;X$3,'Measure Level Detail'!$C:$C,0)),0)</f>
        <v>1</v>
      </c>
      <c r="Y491" s="273">
        <f>IFERROR(INDEX('Measure Level Detail'!$R:$R,MATCH($B491&amp;"_"&amp;Y$3,'Measure Level Detail'!$C:$C,0)),0)</f>
        <v>1</v>
      </c>
      <c r="Z491" s="273">
        <f>IFERROR(INDEX('Measure Level Detail'!$R:$R,MATCH($B491&amp;"_"&amp;Z$3,'Measure Level Detail'!$C:$C,0)),0)</f>
        <v>1</v>
      </c>
      <c r="AA491" s="273">
        <f>IFERROR(INDEX('Measure Level Detail'!$R:$R,MATCH($B491&amp;"_"&amp;AA$3,'Measure Level Detail'!$C:$C,0)),0)</f>
        <v>1</v>
      </c>
      <c r="AB491" s="266">
        <f t="shared" si="287"/>
        <v>0</v>
      </c>
      <c r="AC491" s="266">
        <f t="shared" si="288"/>
        <v>0</v>
      </c>
      <c r="AD491" s="266">
        <f t="shared" si="289"/>
        <v>0</v>
      </c>
      <c r="AE491" s="266">
        <f t="shared" si="290"/>
        <v>0</v>
      </c>
      <c r="AF491" s="266">
        <f t="shared" si="291"/>
        <v>0</v>
      </c>
      <c r="AG491" s="274">
        <v>1</v>
      </c>
      <c r="AH491" s="274">
        <v>1</v>
      </c>
      <c r="AI491" s="274">
        <v>1</v>
      </c>
      <c r="AJ491" s="274">
        <v>1</v>
      </c>
      <c r="AK491" s="274">
        <f t="shared" si="292"/>
        <v>1</v>
      </c>
      <c r="AL491" s="274">
        <f t="shared" si="293"/>
        <v>1</v>
      </c>
      <c r="AM491" s="274">
        <f t="shared" si="294"/>
        <v>1</v>
      </c>
      <c r="AN491" s="274">
        <f t="shared" si="295"/>
        <v>1</v>
      </c>
      <c r="AO491" s="262"/>
      <c r="AP491" s="262"/>
      <c r="AQ491" s="267">
        <v>11.028529822042056</v>
      </c>
      <c r="AR491" s="262"/>
      <c r="AS491" s="266">
        <f t="shared" si="296"/>
        <v>0</v>
      </c>
      <c r="AT491" s="264">
        <f t="shared" si="297"/>
        <v>0</v>
      </c>
      <c r="AU491" s="262"/>
      <c r="AV491" s="262"/>
      <c r="AW491" s="265">
        <v>11.028529822042056</v>
      </c>
      <c r="AX491" s="164" t="s">
        <v>1469</v>
      </c>
      <c r="AY491" s="266">
        <v>0</v>
      </c>
      <c r="AZ491" s="266">
        <f t="shared" si="298"/>
        <v>0</v>
      </c>
      <c r="BA491" s="264">
        <f t="shared" si="299"/>
        <v>0</v>
      </c>
      <c r="BB491" s="262"/>
      <c r="BC491" s="262"/>
      <c r="BD491" s="265">
        <f ca="1">IFERROR(INDEX(Algorithms!$G:$G,MATCH($C491&amp;"_Therm Saved per Unit",Algorithms!$A:$A,0)),0)</f>
        <v>11.028529822042056</v>
      </c>
      <c r="BE491" s="164" t="str">
        <f ca="1">IFERROR(INDEX('v12 Revisions'!$P$29:$P$186, MATCH('Measure-Level Adj Gas'!$L491, 'v12 Revisions'!$D$29:$D$186,0)),"")</f>
        <v/>
      </c>
      <c r="BF491" s="266">
        <f t="shared" ca="1" si="300"/>
        <v>0</v>
      </c>
      <c r="BG491" s="264">
        <f t="shared" ca="1" si="301"/>
        <v>0</v>
      </c>
      <c r="BH491" s="262"/>
      <c r="BI491" s="262"/>
      <c r="BJ491" s="265">
        <f ca="1">IFERROR(INDEX(Algorithms!$G:$G,MATCH($C491&amp;"_Therm Saved per Unit",Algorithms!$A:$A,0)),0)</f>
        <v>11.028529822042056</v>
      </c>
      <c r="BK491" s="164"/>
      <c r="BL491" s="266">
        <f t="shared" ca="1" si="302"/>
        <v>0</v>
      </c>
      <c r="BM491" s="264">
        <f t="shared" ca="1" si="303"/>
        <v>0</v>
      </c>
      <c r="BN491" s="266">
        <f t="shared" si="304"/>
        <v>0</v>
      </c>
      <c r="BO491" s="266">
        <f t="shared" si="305"/>
        <v>0</v>
      </c>
      <c r="BP491" s="266">
        <f t="shared" ca="1" si="306"/>
        <v>0</v>
      </c>
      <c r="BQ491" s="266">
        <f t="shared" ca="1" si="307"/>
        <v>0</v>
      </c>
      <c r="BR491" s="268">
        <f t="shared" ca="1" si="308"/>
        <v>0</v>
      </c>
      <c r="BS491" s="262" t="s">
        <v>99</v>
      </c>
      <c r="BT491" s="277"/>
      <c r="BW491" s="266">
        <f t="shared" si="309"/>
        <v>0</v>
      </c>
      <c r="BX491" s="266">
        <f t="shared" si="310"/>
        <v>0</v>
      </c>
      <c r="BY491" s="266">
        <f t="shared" si="311"/>
        <v>0</v>
      </c>
      <c r="BZ491" s="266">
        <f t="shared" si="312"/>
        <v>0</v>
      </c>
      <c r="CA491" s="266">
        <f ca="1">N491*IFERROR(INDEX(Algorithms!$G:$G,MATCH($C491&amp;"_Therm Saved per Unit- MLA",Algorithms!$A:$A,0)),0)*X491</f>
        <v>0</v>
      </c>
      <c r="CB491" s="266">
        <f ca="1">O491*IFERROR(INDEX(Algorithms!$G:$G,MATCH($C491&amp;"_Therm Saved per Unit- MLA",Algorithms!$A:$A,0)),0)*Y491</f>
        <v>0</v>
      </c>
      <c r="CC491" s="266">
        <f ca="1">P491*IFERROR(INDEX(Algorithms!$G:$G,MATCH($C491&amp;"_Therm Saved per Unit- MLA",Algorithms!$A:$A,0)),0)*Z491</f>
        <v>0</v>
      </c>
      <c r="CD491" s="266">
        <f ca="1">Q491*IFERROR(INDEX(Algorithms!$G:$G,MATCH($C491&amp;"_Therm Saved per Unit- MLA",Algorithms!$A:$A,0)),0)*AA491</f>
        <v>0</v>
      </c>
      <c r="CE491" s="266">
        <f ca="1">IFERROR(INDEX(Algorithms!$G:$G,MATCH($C491&amp;"_Lifetime (years)",Algorithms!$A:$A,0)),0)</f>
        <v>15</v>
      </c>
      <c r="CF491" s="266">
        <f ca="1">IFERROR(INDEX(Algorithms!$G:$G,MATCH($C491&amp;"_Lifetime (years) - Remaining Years",Algorithms!$A:$A,0)),0)</f>
        <v>0</v>
      </c>
      <c r="CG491" s="266">
        <f t="shared" ca="1" si="313"/>
        <v>0</v>
      </c>
      <c r="CH491" s="266">
        <f t="shared" ca="1" si="314"/>
        <v>0</v>
      </c>
      <c r="CI491" s="266">
        <f t="shared" ca="1" si="315"/>
        <v>0</v>
      </c>
      <c r="CJ491" s="266">
        <f t="shared" ca="1" si="316"/>
        <v>0</v>
      </c>
      <c r="CK491" s="266">
        <f t="shared" si="317"/>
        <v>0</v>
      </c>
      <c r="CL491" s="266">
        <f t="shared" si="318"/>
        <v>0</v>
      </c>
      <c r="CM491" s="266">
        <f t="shared" ca="1" si="319"/>
        <v>0</v>
      </c>
      <c r="CN491" s="266">
        <f t="shared" ca="1" si="320"/>
        <v>0</v>
      </c>
      <c r="CO491" s="266">
        <f ca="1">N491*IFERROR(INDEX(Algorithms!$G:$G,MATCH($C491&amp;"_Therm Saved per Unit- MLA",Algorithms!$A:$A,0)),0)*X491</f>
        <v>0</v>
      </c>
      <c r="CP491" s="266">
        <f ca="1">O491*IFERROR(INDEX(Algorithms!$G:$G,MATCH($C491&amp;"_Therm Saved per Unit- MLA",Algorithms!$A:$A,0)),0)*Y491</f>
        <v>0</v>
      </c>
      <c r="CQ491" s="266">
        <f ca="1">P491*IFERROR(INDEX(Algorithms!$G:$G,MATCH($C491&amp;"_Therm Saved per Unit- MLA",Algorithms!$A:$A,0)),0)*Z491</f>
        <v>0</v>
      </c>
      <c r="CR491" s="266">
        <f ca="1">Q491*IFERROR(INDEX(Algorithms!$G:$G,MATCH($C491&amp;"_Therm Saved per Unit- MLA",Algorithms!$A:$A,0)),0)*AA491</f>
        <v>0</v>
      </c>
      <c r="CS491" s="266">
        <f ca="1">IFERROR(INDEX(Algorithms!$G:$G,MATCH($C491&amp;"_Lifetime (years)",Algorithms!$A:$A,0)),0)</f>
        <v>15</v>
      </c>
      <c r="CT491" s="266">
        <f ca="1">IFERROR(INDEX(Algorithms!$G:$G,MATCH($C491&amp;"_Lifetime (years) - Remaining Years",Algorithms!$A:$A,0)),0)</f>
        <v>0</v>
      </c>
      <c r="CU491" s="266">
        <f t="shared" ca="1" si="321"/>
        <v>0</v>
      </c>
      <c r="CV491" s="266">
        <f t="shared" ca="1" si="322"/>
        <v>0</v>
      </c>
      <c r="CW491" s="266">
        <f t="shared" ca="1" si="323"/>
        <v>0</v>
      </c>
      <c r="CX491" s="266">
        <f t="shared" ca="1" si="324"/>
        <v>0</v>
      </c>
    </row>
    <row r="492" spans="2:102" s="47" customFormat="1" ht="18" customHeight="1" x14ac:dyDescent="0.25">
      <c r="B492" t="str">
        <f t="shared" si="325"/>
        <v>NSG_Income Eligible_Multi-Family_Whole Building - Public Housing_Pipe Insulation_Steam Med Valve_MF</v>
      </c>
      <c r="C492" s="47" t="str">
        <f t="shared" si="286"/>
        <v>Pipe Insulation_Steam Med Valve_MF</v>
      </c>
      <c r="D492" s="270" t="s">
        <v>1787</v>
      </c>
      <c r="E492" s="270" t="s">
        <v>325</v>
      </c>
      <c r="F492" s="270" t="s">
        <v>1422</v>
      </c>
      <c r="G492" s="270" t="s">
        <v>1817</v>
      </c>
      <c r="H492" s="270" t="s">
        <v>404</v>
      </c>
      <c r="I492" s="270" t="s">
        <v>966</v>
      </c>
      <c r="J492" s="270" t="s">
        <v>553</v>
      </c>
      <c r="K492" s="263">
        <v>1</v>
      </c>
      <c r="L492" s="263" t="str">
        <f ca="1">IFERROR(INDEX(Algorithms!J:J,MATCH($C492&amp;"_Therm Saved per Unit",Algorithms!$A:$A,0)),"n/a")</f>
        <v>"3 - Res Pipe Insulation" worksheet</v>
      </c>
      <c r="M492" s="263" t="str">
        <f>IFERROR(INDEX('Measure Level Detail'!$N:$N,MATCH($B492,'Measure Level Detail'!$B:$B,0)),0)</f>
        <v>each</v>
      </c>
      <c r="N492" s="271">
        <f>IFERROR(INDEX('Measure Level Detail'!$P:$P,MATCH($B492&amp;"_"&amp;N$3,'Measure Level Detail'!$C:$C,0)),0)</f>
        <v>0</v>
      </c>
      <c r="O492" s="271">
        <f>IFERROR(INDEX('Measure Level Detail'!$P:$P,MATCH($B492&amp;"_"&amp;O$3,'Measure Level Detail'!$C:$C,0)),0)</f>
        <v>0</v>
      </c>
      <c r="P492" s="271">
        <f>IFERROR(INDEX('Measure Level Detail'!$P:$P,MATCH($B492&amp;"_"&amp;P$3,'Measure Level Detail'!$C:$C,0)),0)</f>
        <v>0</v>
      </c>
      <c r="Q492" s="271">
        <f>IFERROR(INDEX('Measure Level Detail'!$P:$P,MATCH($B492&amp;"_"&amp;Q$3,'Measure Level Detail'!$C:$C,0)),0)</f>
        <v>0</v>
      </c>
      <c r="R492" s="263">
        <f ca="1">IFERROR(INDEX(Algorithms!K:K,MATCH($C492&amp;"_Therm Saved per Unit",Algorithms!$A:$A,0)),"n/a")</f>
        <v>0</v>
      </c>
      <c r="S492" s="262"/>
      <c r="T492" s="272">
        <v>67.962640249087912</v>
      </c>
      <c r="U492" s="272">
        <v>67.962640249087912</v>
      </c>
      <c r="V492" s="272">
        <v>67.962640249087912</v>
      </c>
      <c r="W492" s="272">
        <v>67.962640249087912</v>
      </c>
      <c r="X492" s="273">
        <f>IFERROR(INDEX('Measure Level Detail'!$R:$R,MATCH($B492&amp;"_"&amp;X$3,'Measure Level Detail'!$C:$C,0)),0)</f>
        <v>1</v>
      </c>
      <c r="Y492" s="273">
        <f>IFERROR(INDEX('Measure Level Detail'!$R:$R,MATCH($B492&amp;"_"&amp;Y$3,'Measure Level Detail'!$C:$C,0)),0)</f>
        <v>1</v>
      </c>
      <c r="Z492" s="273">
        <f>IFERROR(INDEX('Measure Level Detail'!$R:$R,MATCH($B492&amp;"_"&amp;Z$3,'Measure Level Detail'!$C:$C,0)),0)</f>
        <v>1</v>
      </c>
      <c r="AA492" s="273">
        <f>IFERROR(INDEX('Measure Level Detail'!$R:$R,MATCH($B492&amp;"_"&amp;AA$3,'Measure Level Detail'!$C:$C,0)),0)</f>
        <v>1</v>
      </c>
      <c r="AB492" s="266">
        <f t="shared" si="287"/>
        <v>0</v>
      </c>
      <c r="AC492" s="266">
        <f t="shared" si="288"/>
        <v>0</v>
      </c>
      <c r="AD492" s="266">
        <f t="shared" si="289"/>
        <v>0</v>
      </c>
      <c r="AE492" s="266">
        <f t="shared" si="290"/>
        <v>0</v>
      </c>
      <c r="AF492" s="266">
        <f t="shared" si="291"/>
        <v>0</v>
      </c>
      <c r="AG492" s="274">
        <v>1</v>
      </c>
      <c r="AH492" s="274">
        <v>1</v>
      </c>
      <c r="AI492" s="274">
        <v>1</v>
      </c>
      <c r="AJ492" s="274">
        <v>1</v>
      </c>
      <c r="AK492" s="274">
        <f t="shared" si="292"/>
        <v>1</v>
      </c>
      <c r="AL492" s="274">
        <f t="shared" si="293"/>
        <v>1</v>
      </c>
      <c r="AM492" s="274">
        <f t="shared" si="294"/>
        <v>1</v>
      </c>
      <c r="AN492" s="274">
        <f t="shared" si="295"/>
        <v>1</v>
      </c>
      <c r="AO492" s="262"/>
      <c r="AP492" s="262"/>
      <c r="AQ492" s="267">
        <v>67.962640249087912</v>
      </c>
      <c r="AR492" s="262"/>
      <c r="AS492" s="266">
        <f t="shared" si="296"/>
        <v>0</v>
      </c>
      <c r="AT492" s="264">
        <f t="shared" si="297"/>
        <v>0</v>
      </c>
      <c r="AU492" s="262"/>
      <c r="AV492" s="262"/>
      <c r="AW492" s="265">
        <v>67.962640249087912</v>
      </c>
      <c r="AX492" s="164" t="s">
        <v>1469</v>
      </c>
      <c r="AY492" s="266">
        <v>0</v>
      </c>
      <c r="AZ492" s="266">
        <f t="shared" si="298"/>
        <v>0</v>
      </c>
      <c r="BA492" s="264">
        <f t="shared" si="299"/>
        <v>0</v>
      </c>
      <c r="BB492" s="262"/>
      <c r="BC492" s="262"/>
      <c r="BD492" s="265">
        <f ca="1">IFERROR(INDEX(Algorithms!$G:$G,MATCH($C492&amp;"_Therm Saved per Unit",Algorithms!$A:$A,0)),0)</f>
        <v>67.962640249087912</v>
      </c>
      <c r="BE492" s="164" t="str">
        <f ca="1">IFERROR(INDEX('v12 Revisions'!$P$29:$P$186, MATCH('Measure-Level Adj Gas'!$L492, 'v12 Revisions'!$D$29:$D$186,0)),"")</f>
        <v/>
      </c>
      <c r="BF492" s="266">
        <f t="shared" ca="1" si="300"/>
        <v>0</v>
      </c>
      <c r="BG492" s="264">
        <f t="shared" ca="1" si="301"/>
        <v>0</v>
      </c>
      <c r="BH492" s="262"/>
      <c r="BI492" s="262"/>
      <c r="BJ492" s="265">
        <f ca="1">IFERROR(INDEX(Algorithms!$G:$G,MATCH($C492&amp;"_Therm Saved per Unit",Algorithms!$A:$A,0)),0)</f>
        <v>67.962640249087912</v>
      </c>
      <c r="BK492" s="164"/>
      <c r="BL492" s="266">
        <f t="shared" ca="1" si="302"/>
        <v>0</v>
      </c>
      <c r="BM492" s="264">
        <f t="shared" ca="1" si="303"/>
        <v>0</v>
      </c>
      <c r="BN492" s="266">
        <f t="shared" si="304"/>
        <v>0</v>
      </c>
      <c r="BO492" s="266">
        <f t="shared" si="305"/>
        <v>0</v>
      </c>
      <c r="BP492" s="266">
        <f t="shared" ca="1" si="306"/>
        <v>0</v>
      </c>
      <c r="BQ492" s="266">
        <f t="shared" ca="1" si="307"/>
        <v>0</v>
      </c>
      <c r="BR492" s="268">
        <f t="shared" ca="1" si="308"/>
        <v>0</v>
      </c>
      <c r="BS492" s="262" t="s">
        <v>99</v>
      </c>
      <c r="BT492" s="277"/>
      <c r="BW492" s="266">
        <f t="shared" si="309"/>
        <v>0</v>
      </c>
      <c r="BX492" s="266">
        <f t="shared" si="310"/>
        <v>0</v>
      </c>
      <c r="BY492" s="266">
        <f t="shared" si="311"/>
        <v>0</v>
      </c>
      <c r="BZ492" s="266">
        <f t="shared" si="312"/>
        <v>0</v>
      </c>
      <c r="CA492" s="266">
        <f ca="1">N492*IFERROR(INDEX(Algorithms!$G:$G,MATCH($C492&amp;"_Therm Saved per Unit- MLA",Algorithms!$A:$A,0)),0)*X492</f>
        <v>0</v>
      </c>
      <c r="CB492" s="266">
        <f ca="1">O492*IFERROR(INDEX(Algorithms!$G:$G,MATCH($C492&amp;"_Therm Saved per Unit- MLA",Algorithms!$A:$A,0)),0)*Y492</f>
        <v>0</v>
      </c>
      <c r="CC492" s="266">
        <f ca="1">P492*IFERROR(INDEX(Algorithms!$G:$G,MATCH($C492&amp;"_Therm Saved per Unit- MLA",Algorithms!$A:$A,0)),0)*Z492</f>
        <v>0</v>
      </c>
      <c r="CD492" s="266">
        <f ca="1">Q492*IFERROR(INDEX(Algorithms!$G:$G,MATCH($C492&amp;"_Therm Saved per Unit- MLA",Algorithms!$A:$A,0)),0)*AA492</f>
        <v>0</v>
      </c>
      <c r="CE492" s="266">
        <f ca="1">IFERROR(INDEX(Algorithms!$G:$G,MATCH($C492&amp;"_Lifetime (years)",Algorithms!$A:$A,0)),0)</f>
        <v>15</v>
      </c>
      <c r="CF492" s="266">
        <f ca="1">IFERROR(INDEX(Algorithms!$G:$G,MATCH($C492&amp;"_Lifetime (years) - Remaining Years",Algorithms!$A:$A,0)),0)</f>
        <v>0</v>
      </c>
      <c r="CG492" s="266">
        <f t="shared" ca="1" si="313"/>
        <v>0</v>
      </c>
      <c r="CH492" s="266">
        <f t="shared" ca="1" si="314"/>
        <v>0</v>
      </c>
      <c r="CI492" s="266">
        <f t="shared" ca="1" si="315"/>
        <v>0</v>
      </c>
      <c r="CJ492" s="266">
        <f t="shared" ca="1" si="316"/>
        <v>0</v>
      </c>
      <c r="CK492" s="266">
        <f t="shared" si="317"/>
        <v>0</v>
      </c>
      <c r="CL492" s="266">
        <f t="shared" si="318"/>
        <v>0</v>
      </c>
      <c r="CM492" s="266">
        <f t="shared" ca="1" si="319"/>
        <v>0</v>
      </c>
      <c r="CN492" s="266">
        <f t="shared" ca="1" si="320"/>
        <v>0</v>
      </c>
      <c r="CO492" s="266">
        <f ca="1">N492*IFERROR(INDEX(Algorithms!$G:$G,MATCH($C492&amp;"_Therm Saved per Unit- MLA",Algorithms!$A:$A,0)),0)*X492</f>
        <v>0</v>
      </c>
      <c r="CP492" s="266">
        <f ca="1">O492*IFERROR(INDEX(Algorithms!$G:$G,MATCH($C492&amp;"_Therm Saved per Unit- MLA",Algorithms!$A:$A,0)),0)*Y492</f>
        <v>0</v>
      </c>
      <c r="CQ492" s="266">
        <f ca="1">P492*IFERROR(INDEX(Algorithms!$G:$G,MATCH($C492&amp;"_Therm Saved per Unit- MLA",Algorithms!$A:$A,0)),0)*Z492</f>
        <v>0</v>
      </c>
      <c r="CR492" s="266">
        <f ca="1">Q492*IFERROR(INDEX(Algorithms!$G:$G,MATCH($C492&amp;"_Therm Saved per Unit- MLA",Algorithms!$A:$A,0)),0)*AA492</f>
        <v>0</v>
      </c>
      <c r="CS492" s="266">
        <f ca="1">IFERROR(INDEX(Algorithms!$G:$G,MATCH($C492&amp;"_Lifetime (years)",Algorithms!$A:$A,0)),0)</f>
        <v>15</v>
      </c>
      <c r="CT492" s="266">
        <f ca="1">IFERROR(INDEX(Algorithms!$G:$G,MATCH($C492&amp;"_Lifetime (years) - Remaining Years",Algorithms!$A:$A,0)),0)</f>
        <v>0</v>
      </c>
      <c r="CU492" s="266">
        <f t="shared" ca="1" si="321"/>
        <v>0</v>
      </c>
      <c r="CV492" s="266">
        <f t="shared" ca="1" si="322"/>
        <v>0</v>
      </c>
      <c r="CW492" s="266">
        <f t="shared" ca="1" si="323"/>
        <v>0</v>
      </c>
      <c r="CX492" s="266">
        <f t="shared" ca="1" si="324"/>
        <v>0</v>
      </c>
    </row>
    <row r="493" spans="2:102" s="47" customFormat="1" ht="18" customHeight="1" x14ac:dyDescent="0.25">
      <c r="B493" t="str">
        <f t="shared" si="325"/>
        <v>NSG_Income Eligible_Multi-Family_Whole Building - Public Housing_Pipe Insulation_Steam Large Valve_MF</v>
      </c>
      <c r="C493" s="47" t="str">
        <f t="shared" si="286"/>
        <v>Pipe Insulation_Steam Large Valve_MF</v>
      </c>
      <c r="D493" s="270" t="s">
        <v>1787</v>
      </c>
      <c r="E493" s="270" t="s">
        <v>325</v>
      </c>
      <c r="F493" s="270" t="s">
        <v>1422</v>
      </c>
      <c r="G493" s="270" t="s">
        <v>1817</v>
      </c>
      <c r="H493" s="270" t="s">
        <v>404</v>
      </c>
      <c r="I493" s="270" t="s">
        <v>967</v>
      </c>
      <c r="J493" s="270" t="s">
        <v>553</v>
      </c>
      <c r="K493" s="263">
        <v>1</v>
      </c>
      <c r="L493" s="263" t="str">
        <f ca="1">IFERROR(INDEX(Algorithms!J:J,MATCH($C493&amp;"_Therm Saved per Unit",Algorithms!$A:$A,0)),"n/a")</f>
        <v>"3 - Res Pipe Insulation" worksheet</v>
      </c>
      <c r="M493" s="263" t="str">
        <f>IFERROR(INDEX('Measure Level Detail'!$N:$N,MATCH($B493,'Measure Level Detail'!$B:$B,0)),0)</f>
        <v>each</v>
      </c>
      <c r="N493" s="271">
        <f>IFERROR(INDEX('Measure Level Detail'!$P:$P,MATCH($B493&amp;"_"&amp;N$3,'Measure Level Detail'!$C:$C,0)),0)</f>
        <v>0</v>
      </c>
      <c r="O493" s="271">
        <f>IFERROR(INDEX('Measure Level Detail'!$P:$P,MATCH($B493&amp;"_"&amp;O$3,'Measure Level Detail'!$C:$C,0)),0)</f>
        <v>0</v>
      </c>
      <c r="P493" s="271">
        <f>IFERROR(INDEX('Measure Level Detail'!$P:$P,MATCH($B493&amp;"_"&amp;P$3,'Measure Level Detail'!$C:$C,0)),0)</f>
        <v>0</v>
      </c>
      <c r="Q493" s="271">
        <f>IFERROR(INDEX('Measure Level Detail'!$P:$P,MATCH($B493&amp;"_"&amp;Q$3,'Measure Level Detail'!$C:$C,0)),0)</f>
        <v>0</v>
      </c>
      <c r="R493" s="263">
        <f ca="1">IFERROR(INDEX(Algorithms!K:K,MATCH($C493&amp;"_Therm Saved per Unit",Algorithms!$A:$A,0)),"n/a")</f>
        <v>0</v>
      </c>
      <c r="S493" s="262"/>
      <c r="T493" s="272">
        <v>133.90978522057964</v>
      </c>
      <c r="U493" s="272">
        <v>133.90978522057964</v>
      </c>
      <c r="V493" s="272">
        <v>133.90978522057964</v>
      </c>
      <c r="W493" s="272">
        <v>133.90978522057964</v>
      </c>
      <c r="X493" s="273">
        <f>IFERROR(INDEX('Measure Level Detail'!$R:$R,MATCH($B493&amp;"_"&amp;X$3,'Measure Level Detail'!$C:$C,0)),0)</f>
        <v>1</v>
      </c>
      <c r="Y493" s="273">
        <f>IFERROR(INDEX('Measure Level Detail'!$R:$R,MATCH($B493&amp;"_"&amp;Y$3,'Measure Level Detail'!$C:$C,0)),0)</f>
        <v>1</v>
      </c>
      <c r="Z493" s="273">
        <f>IFERROR(INDEX('Measure Level Detail'!$R:$R,MATCH($B493&amp;"_"&amp;Z$3,'Measure Level Detail'!$C:$C,0)),0)</f>
        <v>1</v>
      </c>
      <c r="AA493" s="273">
        <f>IFERROR(INDEX('Measure Level Detail'!$R:$R,MATCH($B493&amp;"_"&amp;AA$3,'Measure Level Detail'!$C:$C,0)),0)</f>
        <v>1</v>
      </c>
      <c r="AB493" s="266">
        <f t="shared" si="287"/>
        <v>0</v>
      </c>
      <c r="AC493" s="266">
        <f t="shared" si="288"/>
        <v>0</v>
      </c>
      <c r="AD493" s="266">
        <f t="shared" si="289"/>
        <v>0</v>
      </c>
      <c r="AE493" s="266">
        <f t="shared" si="290"/>
        <v>0</v>
      </c>
      <c r="AF493" s="266">
        <f t="shared" si="291"/>
        <v>0</v>
      </c>
      <c r="AG493" s="274">
        <v>1</v>
      </c>
      <c r="AH493" s="274">
        <v>1</v>
      </c>
      <c r="AI493" s="274">
        <v>1</v>
      </c>
      <c r="AJ493" s="274">
        <v>1</v>
      </c>
      <c r="AK493" s="274">
        <f t="shared" si="292"/>
        <v>1</v>
      </c>
      <c r="AL493" s="274">
        <f t="shared" si="293"/>
        <v>1</v>
      </c>
      <c r="AM493" s="274">
        <f t="shared" si="294"/>
        <v>1</v>
      </c>
      <c r="AN493" s="274">
        <f t="shared" si="295"/>
        <v>1</v>
      </c>
      <c r="AO493" s="262"/>
      <c r="AP493" s="262"/>
      <c r="AQ493" s="267">
        <v>133.90978522057964</v>
      </c>
      <c r="AR493" s="262"/>
      <c r="AS493" s="266">
        <f t="shared" si="296"/>
        <v>0</v>
      </c>
      <c r="AT493" s="264">
        <f t="shared" si="297"/>
        <v>0</v>
      </c>
      <c r="AU493" s="262"/>
      <c r="AV493" s="262"/>
      <c r="AW493" s="265">
        <v>133.90978522057964</v>
      </c>
      <c r="AX493" s="164" t="s">
        <v>1469</v>
      </c>
      <c r="AY493" s="266">
        <v>0</v>
      </c>
      <c r="AZ493" s="266">
        <f t="shared" si="298"/>
        <v>0</v>
      </c>
      <c r="BA493" s="264">
        <f t="shared" si="299"/>
        <v>0</v>
      </c>
      <c r="BB493" s="262"/>
      <c r="BC493" s="262"/>
      <c r="BD493" s="265">
        <f ca="1">IFERROR(INDEX(Algorithms!$G:$G,MATCH($C493&amp;"_Therm Saved per Unit",Algorithms!$A:$A,0)),0)</f>
        <v>133.90978522057964</v>
      </c>
      <c r="BE493" s="164" t="str">
        <f ca="1">IFERROR(INDEX('v12 Revisions'!$P$29:$P$186, MATCH('Measure-Level Adj Gas'!$L493, 'v12 Revisions'!$D$29:$D$186,0)),"")</f>
        <v/>
      </c>
      <c r="BF493" s="266">
        <f t="shared" ca="1" si="300"/>
        <v>0</v>
      </c>
      <c r="BG493" s="264">
        <f t="shared" ca="1" si="301"/>
        <v>0</v>
      </c>
      <c r="BH493" s="262"/>
      <c r="BI493" s="262"/>
      <c r="BJ493" s="265">
        <f ca="1">IFERROR(INDEX(Algorithms!$G:$G,MATCH($C493&amp;"_Therm Saved per Unit",Algorithms!$A:$A,0)),0)</f>
        <v>133.90978522057964</v>
      </c>
      <c r="BK493" s="164"/>
      <c r="BL493" s="266">
        <f t="shared" ca="1" si="302"/>
        <v>0</v>
      </c>
      <c r="BM493" s="264">
        <f t="shared" ca="1" si="303"/>
        <v>0</v>
      </c>
      <c r="BN493" s="266">
        <f t="shared" si="304"/>
        <v>0</v>
      </c>
      <c r="BO493" s="266">
        <f t="shared" si="305"/>
        <v>0</v>
      </c>
      <c r="BP493" s="266">
        <f t="shared" ca="1" si="306"/>
        <v>0</v>
      </c>
      <c r="BQ493" s="266">
        <f t="shared" ca="1" si="307"/>
        <v>0</v>
      </c>
      <c r="BR493" s="268">
        <f t="shared" ca="1" si="308"/>
        <v>0</v>
      </c>
      <c r="BS493" s="262" t="s">
        <v>99</v>
      </c>
      <c r="BT493" s="277"/>
      <c r="BW493" s="266">
        <f t="shared" si="309"/>
        <v>0</v>
      </c>
      <c r="BX493" s="266">
        <f t="shared" si="310"/>
        <v>0</v>
      </c>
      <c r="BY493" s="266">
        <f t="shared" si="311"/>
        <v>0</v>
      </c>
      <c r="BZ493" s="266">
        <f t="shared" si="312"/>
        <v>0</v>
      </c>
      <c r="CA493" s="266">
        <f ca="1">N493*IFERROR(INDEX(Algorithms!$G:$G,MATCH($C493&amp;"_Therm Saved per Unit- MLA",Algorithms!$A:$A,0)),0)*X493</f>
        <v>0</v>
      </c>
      <c r="CB493" s="266">
        <f ca="1">O493*IFERROR(INDEX(Algorithms!$G:$G,MATCH($C493&amp;"_Therm Saved per Unit- MLA",Algorithms!$A:$A,0)),0)*Y493</f>
        <v>0</v>
      </c>
      <c r="CC493" s="266">
        <f ca="1">P493*IFERROR(INDEX(Algorithms!$G:$G,MATCH($C493&amp;"_Therm Saved per Unit- MLA",Algorithms!$A:$A,0)),0)*Z493</f>
        <v>0</v>
      </c>
      <c r="CD493" s="266">
        <f ca="1">Q493*IFERROR(INDEX(Algorithms!$G:$G,MATCH($C493&amp;"_Therm Saved per Unit- MLA",Algorithms!$A:$A,0)),0)*AA493</f>
        <v>0</v>
      </c>
      <c r="CE493" s="266">
        <f ca="1">IFERROR(INDEX(Algorithms!$G:$G,MATCH($C493&amp;"_Lifetime (years)",Algorithms!$A:$A,0)),0)</f>
        <v>15</v>
      </c>
      <c r="CF493" s="266">
        <f ca="1">IFERROR(INDEX(Algorithms!$G:$G,MATCH($C493&amp;"_Lifetime (years) - Remaining Years",Algorithms!$A:$A,0)),0)</f>
        <v>0</v>
      </c>
      <c r="CG493" s="266">
        <f t="shared" ca="1" si="313"/>
        <v>0</v>
      </c>
      <c r="CH493" s="266">
        <f t="shared" ca="1" si="314"/>
        <v>0</v>
      </c>
      <c r="CI493" s="266">
        <f t="shared" ca="1" si="315"/>
        <v>0</v>
      </c>
      <c r="CJ493" s="266">
        <f t="shared" ca="1" si="316"/>
        <v>0</v>
      </c>
      <c r="CK493" s="266">
        <f t="shared" si="317"/>
        <v>0</v>
      </c>
      <c r="CL493" s="266">
        <f t="shared" si="318"/>
        <v>0</v>
      </c>
      <c r="CM493" s="266">
        <f t="shared" ca="1" si="319"/>
        <v>0</v>
      </c>
      <c r="CN493" s="266">
        <f t="shared" ca="1" si="320"/>
        <v>0</v>
      </c>
      <c r="CO493" s="266">
        <f ca="1">N493*IFERROR(INDEX(Algorithms!$G:$G,MATCH($C493&amp;"_Therm Saved per Unit- MLA",Algorithms!$A:$A,0)),0)*X493</f>
        <v>0</v>
      </c>
      <c r="CP493" s="266">
        <f ca="1">O493*IFERROR(INDEX(Algorithms!$G:$G,MATCH($C493&amp;"_Therm Saved per Unit- MLA",Algorithms!$A:$A,0)),0)*Y493</f>
        <v>0</v>
      </c>
      <c r="CQ493" s="266">
        <f ca="1">P493*IFERROR(INDEX(Algorithms!$G:$G,MATCH($C493&amp;"_Therm Saved per Unit- MLA",Algorithms!$A:$A,0)),0)*Z493</f>
        <v>0</v>
      </c>
      <c r="CR493" s="266">
        <f ca="1">Q493*IFERROR(INDEX(Algorithms!$G:$G,MATCH($C493&amp;"_Therm Saved per Unit- MLA",Algorithms!$A:$A,0)),0)*AA493</f>
        <v>0</v>
      </c>
      <c r="CS493" s="266">
        <f ca="1">IFERROR(INDEX(Algorithms!$G:$G,MATCH($C493&amp;"_Lifetime (years)",Algorithms!$A:$A,0)),0)</f>
        <v>15</v>
      </c>
      <c r="CT493" s="266">
        <f ca="1">IFERROR(INDEX(Algorithms!$G:$G,MATCH($C493&amp;"_Lifetime (years) - Remaining Years",Algorithms!$A:$A,0)),0)</f>
        <v>0</v>
      </c>
      <c r="CU493" s="266">
        <f t="shared" ca="1" si="321"/>
        <v>0</v>
      </c>
      <c r="CV493" s="266">
        <f t="shared" ca="1" si="322"/>
        <v>0</v>
      </c>
      <c r="CW493" s="266">
        <f t="shared" ca="1" si="323"/>
        <v>0</v>
      </c>
      <c r="CX493" s="266">
        <f t="shared" ca="1" si="324"/>
        <v>0</v>
      </c>
    </row>
    <row r="494" spans="2:102" s="47" customFormat="1" ht="18" customHeight="1" x14ac:dyDescent="0.25">
      <c r="B494" t="str">
        <f t="shared" si="325"/>
        <v>NSG_Income Eligible_Multi-Family_Whole Building - Public Housing_Pipe Insulation_Steam X-Large Valve_MF</v>
      </c>
      <c r="C494" s="47" t="str">
        <f t="shared" si="286"/>
        <v>Pipe Insulation_Steam X-Large Valve_MF</v>
      </c>
      <c r="D494" s="270" t="s">
        <v>1787</v>
      </c>
      <c r="E494" s="270" t="s">
        <v>325</v>
      </c>
      <c r="F494" s="270" t="s">
        <v>1422</v>
      </c>
      <c r="G494" s="270" t="s">
        <v>1817</v>
      </c>
      <c r="H494" s="270" t="s">
        <v>404</v>
      </c>
      <c r="I494" s="270" t="s">
        <v>968</v>
      </c>
      <c r="J494" s="270" t="s">
        <v>553</v>
      </c>
      <c r="K494" s="263">
        <v>1</v>
      </c>
      <c r="L494" s="263" t="str">
        <f ca="1">IFERROR(INDEX(Algorithms!J:J,MATCH($C494&amp;"_Therm Saved per Unit",Algorithms!$A:$A,0)),"n/a")</f>
        <v>"3 - Res Pipe Insulation" worksheet</v>
      </c>
      <c r="M494" s="263" t="str">
        <f>IFERROR(INDEX('Measure Level Detail'!$N:$N,MATCH($B494,'Measure Level Detail'!$B:$B,0)),0)</f>
        <v>each</v>
      </c>
      <c r="N494" s="271">
        <f>IFERROR(INDEX('Measure Level Detail'!$P:$P,MATCH($B494&amp;"_"&amp;N$3,'Measure Level Detail'!$C:$C,0)),0)</f>
        <v>0</v>
      </c>
      <c r="O494" s="271">
        <f>IFERROR(INDEX('Measure Level Detail'!$P:$P,MATCH($B494&amp;"_"&amp;O$3,'Measure Level Detail'!$C:$C,0)),0)</f>
        <v>0</v>
      </c>
      <c r="P494" s="271">
        <f>IFERROR(INDEX('Measure Level Detail'!$P:$P,MATCH($B494&amp;"_"&amp;P$3,'Measure Level Detail'!$C:$C,0)),0)</f>
        <v>0</v>
      </c>
      <c r="Q494" s="271">
        <f>IFERROR(INDEX('Measure Level Detail'!$P:$P,MATCH($B494&amp;"_"&amp;Q$3,'Measure Level Detail'!$C:$C,0)),0)</f>
        <v>0</v>
      </c>
      <c r="R494" s="263">
        <f ca="1">IFERROR(INDEX(Algorithms!K:K,MATCH($C494&amp;"_Therm Saved per Unit",Algorithms!$A:$A,0)),"n/a")</f>
        <v>0</v>
      </c>
      <c r="S494" s="262"/>
      <c r="T494" s="272">
        <v>67.962640249087912</v>
      </c>
      <c r="U494" s="272">
        <v>67.962640249087912</v>
      </c>
      <c r="V494" s="272">
        <v>67.962640249087912</v>
      </c>
      <c r="W494" s="272">
        <v>67.962640249087912</v>
      </c>
      <c r="X494" s="273">
        <f>IFERROR(INDEX('Measure Level Detail'!$R:$R,MATCH($B494&amp;"_"&amp;X$3,'Measure Level Detail'!$C:$C,0)),0)</f>
        <v>1</v>
      </c>
      <c r="Y494" s="273">
        <f>IFERROR(INDEX('Measure Level Detail'!$R:$R,MATCH($B494&amp;"_"&amp;Y$3,'Measure Level Detail'!$C:$C,0)),0)</f>
        <v>1</v>
      </c>
      <c r="Z494" s="273">
        <f>IFERROR(INDEX('Measure Level Detail'!$R:$R,MATCH($B494&amp;"_"&amp;Z$3,'Measure Level Detail'!$C:$C,0)),0)</f>
        <v>1</v>
      </c>
      <c r="AA494" s="273">
        <f>IFERROR(INDEX('Measure Level Detail'!$R:$R,MATCH($B494&amp;"_"&amp;AA$3,'Measure Level Detail'!$C:$C,0)),0)</f>
        <v>1</v>
      </c>
      <c r="AB494" s="266">
        <f t="shared" si="287"/>
        <v>0</v>
      </c>
      <c r="AC494" s="266">
        <f t="shared" si="288"/>
        <v>0</v>
      </c>
      <c r="AD494" s="266">
        <f t="shared" si="289"/>
        <v>0</v>
      </c>
      <c r="AE494" s="266">
        <f t="shared" si="290"/>
        <v>0</v>
      </c>
      <c r="AF494" s="266">
        <f t="shared" si="291"/>
        <v>0</v>
      </c>
      <c r="AG494" s="274">
        <v>1</v>
      </c>
      <c r="AH494" s="274">
        <v>1</v>
      </c>
      <c r="AI494" s="274">
        <v>1</v>
      </c>
      <c r="AJ494" s="274">
        <v>1</v>
      </c>
      <c r="AK494" s="274">
        <f t="shared" si="292"/>
        <v>1</v>
      </c>
      <c r="AL494" s="274">
        <f t="shared" si="293"/>
        <v>1</v>
      </c>
      <c r="AM494" s="274">
        <f t="shared" si="294"/>
        <v>1</v>
      </c>
      <c r="AN494" s="274">
        <f t="shared" si="295"/>
        <v>1</v>
      </c>
      <c r="AO494" s="262"/>
      <c r="AP494" s="262"/>
      <c r="AQ494" s="267">
        <v>67.962640249087912</v>
      </c>
      <c r="AR494" s="262"/>
      <c r="AS494" s="266">
        <f t="shared" si="296"/>
        <v>0</v>
      </c>
      <c r="AT494" s="264">
        <f t="shared" si="297"/>
        <v>0</v>
      </c>
      <c r="AU494" s="262"/>
      <c r="AV494" s="262"/>
      <c r="AW494" s="265">
        <v>67.962640249087912</v>
      </c>
      <c r="AX494" s="164" t="s">
        <v>1469</v>
      </c>
      <c r="AY494" s="266">
        <v>0</v>
      </c>
      <c r="AZ494" s="266">
        <f t="shared" si="298"/>
        <v>0</v>
      </c>
      <c r="BA494" s="264">
        <f t="shared" si="299"/>
        <v>0</v>
      </c>
      <c r="BB494" s="262"/>
      <c r="BC494" s="262"/>
      <c r="BD494" s="265">
        <f ca="1">IFERROR(INDEX(Algorithms!$G:$G,MATCH($C494&amp;"_Therm Saved per Unit",Algorithms!$A:$A,0)),0)</f>
        <v>67.962640249087912</v>
      </c>
      <c r="BE494" s="164" t="str">
        <f ca="1">IFERROR(INDEX('v12 Revisions'!$P$29:$P$186, MATCH('Measure-Level Adj Gas'!$L494, 'v12 Revisions'!$D$29:$D$186,0)),"")</f>
        <v/>
      </c>
      <c r="BF494" s="266">
        <f t="shared" ca="1" si="300"/>
        <v>0</v>
      </c>
      <c r="BG494" s="264">
        <f t="shared" ca="1" si="301"/>
        <v>0</v>
      </c>
      <c r="BH494" s="262"/>
      <c r="BI494" s="262"/>
      <c r="BJ494" s="265">
        <f ca="1">IFERROR(INDEX(Algorithms!$G:$G,MATCH($C494&amp;"_Therm Saved per Unit",Algorithms!$A:$A,0)),0)</f>
        <v>67.962640249087912</v>
      </c>
      <c r="BK494" s="164"/>
      <c r="BL494" s="266">
        <f t="shared" ca="1" si="302"/>
        <v>0</v>
      </c>
      <c r="BM494" s="264">
        <f t="shared" ca="1" si="303"/>
        <v>0</v>
      </c>
      <c r="BN494" s="266">
        <f t="shared" si="304"/>
        <v>0</v>
      </c>
      <c r="BO494" s="266">
        <f t="shared" si="305"/>
        <v>0</v>
      </c>
      <c r="BP494" s="266">
        <f t="shared" ca="1" si="306"/>
        <v>0</v>
      </c>
      <c r="BQ494" s="266">
        <f t="shared" ca="1" si="307"/>
        <v>0</v>
      </c>
      <c r="BR494" s="268">
        <f t="shared" ca="1" si="308"/>
        <v>0</v>
      </c>
      <c r="BS494" s="262" t="s">
        <v>99</v>
      </c>
      <c r="BT494" s="277"/>
      <c r="BW494" s="266">
        <f t="shared" si="309"/>
        <v>0</v>
      </c>
      <c r="BX494" s="266">
        <f t="shared" si="310"/>
        <v>0</v>
      </c>
      <c r="BY494" s="266">
        <f t="shared" si="311"/>
        <v>0</v>
      </c>
      <c r="BZ494" s="266">
        <f t="shared" si="312"/>
        <v>0</v>
      </c>
      <c r="CA494" s="266">
        <f ca="1">N494*IFERROR(INDEX(Algorithms!$G:$G,MATCH($C494&amp;"_Therm Saved per Unit- MLA",Algorithms!$A:$A,0)),0)*X494</f>
        <v>0</v>
      </c>
      <c r="CB494" s="266">
        <f ca="1">O494*IFERROR(INDEX(Algorithms!$G:$G,MATCH($C494&amp;"_Therm Saved per Unit- MLA",Algorithms!$A:$A,0)),0)*Y494</f>
        <v>0</v>
      </c>
      <c r="CC494" s="266">
        <f ca="1">P494*IFERROR(INDEX(Algorithms!$G:$G,MATCH($C494&amp;"_Therm Saved per Unit- MLA",Algorithms!$A:$A,0)),0)*Z494</f>
        <v>0</v>
      </c>
      <c r="CD494" s="266">
        <f ca="1">Q494*IFERROR(INDEX(Algorithms!$G:$G,MATCH($C494&amp;"_Therm Saved per Unit- MLA",Algorithms!$A:$A,0)),0)*AA494</f>
        <v>0</v>
      </c>
      <c r="CE494" s="266">
        <f ca="1">IFERROR(INDEX(Algorithms!$G:$G,MATCH($C494&amp;"_Lifetime (years)",Algorithms!$A:$A,0)),0)</f>
        <v>15</v>
      </c>
      <c r="CF494" s="266">
        <f ca="1">IFERROR(INDEX(Algorithms!$G:$G,MATCH($C494&amp;"_Lifetime (years) - Remaining Years",Algorithms!$A:$A,0)),0)</f>
        <v>0</v>
      </c>
      <c r="CG494" s="266">
        <f t="shared" ca="1" si="313"/>
        <v>0</v>
      </c>
      <c r="CH494" s="266">
        <f t="shared" ca="1" si="314"/>
        <v>0</v>
      </c>
      <c r="CI494" s="266">
        <f t="shared" ca="1" si="315"/>
        <v>0</v>
      </c>
      <c r="CJ494" s="266">
        <f t="shared" ca="1" si="316"/>
        <v>0</v>
      </c>
      <c r="CK494" s="266">
        <f t="shared" si="317"/>
        <v>0</v>
      </c>
      <c r="CL494" s="266">
        <f t="shared" si="318"/>
        <v>0</v>
      </c>
      <c r="CM494" s="266">
        <f t="shared" ca="1" si="319"/>
        <v>0</v>
      </c>
      <c r="CN494" s="266">
        <f t="shared" ca="1" si="320"/>
        <v>0</v>
      </c>
      <c r="CO494" s="266">
        <f ca="1">N494*IFERROR(INDEX(Algorithms!$G:$G,MATCH($C494&amp;"_Therm Saved per Unit- MLA",Algorithms!$A:$A,0)),0)*X494</f>
        <v>0</v>
      </c>
      <c r="CP494" s="266">
        <f ca="1">O494*IFERROR(INDEX(Algorithms!$G:$G,MATCH($C494&amp;"_Therm Saved per Unit- MLA",Algorithms!$A:$A,0)),0)*Y494</f>
        <v>0</v>
      </c>
      <c r="CQ494" s="266">
        <f ca="1">P494*IFERROR(INDEX(Algorithms!$G:$G,MATCH($C494&amp;"_Therm Saved per Unit- MLA",Algorithms!$A:$A,0)),0)*Z494</f>
        <v>0</v>
      </c>
      <c r="CR494" s="266">
        <f ca="1">Q494*IFERROR(INDEX(Algorithms!$G:$G,MATCH($C494&amp;"_Therm Saved per Unit- MLA",Algorithms!$A:$A,0)),0)*AA494</f>
        <v>0</v>
      </c>
      <c r="CS494" s="266">
        <f ca="1">IFERROR(INDEX(Algorithms!$G:$G,MATCH($C494&amp;"_Lifetime (years)",Algorithms!$A:$A,0)),0)</f>
        <v>15</v>
      </c>
      <c r="CT494" s="266">
        <f ca="1">IFERROR(INDEX(Algorithms!$G:$G,MATCH($C494&amp;"_Lifetime (years) - Remaining Years",Algorithms!$A:$A,0)),0)</f>
        <v>0</v>
      </c>
      <c r="CU494" s="266">
        <f t="shared" ca="1" si="321"/>
        <v>0</v>
      </c>
      <c r="CV494" s="266">
        <f t="shared" ca="1" si="322"/>
        <v>0</v>
      </c>
      <c r="CW494" s="266">
        <f t="shared" ca="1" si="323"/>
        <v>0</v>
      </c>
      <c r="CX494" s="266">
        <f t="shared" ca="1" si="324"/>
        <v>0</v>
      </c>
    </row>
    <row r="495" spans="2:102" s="47" customFormat="1" ht="18" customHeight="1" x14ac:dyDescent="0.25">
      <c r="B495" t="str">
        <f t="shared" si="325"/>
        <v>NSG_Income Eligible_Multi-Family_Whole Building - Public Housing_Steam Boiler_&gt;=300MBH, &lt;1,500, &gt;=81% AFUE_MF</v>
      </c>
      <c r="C495" s="47" t="str">
        <f t="shared" si="286"/>
        <v>Steam Boiler_&gt;=300MBH, &lt;1,500, &gt;=81% AFUE_MF</v>
      </c>
      <c r="D495" s="270" t="s">
        <v>1787</v>
      </c>
      <c r="E495" s="270" t="s">
        <v>325</v>
      </c>
      <c r="F495" s="270" t="s">
        <v>1422</v>
      </c>
      <c r="G495" s="270" t="s">
        <v>1817</v>
      </c>
      <c r="H495" s="270" t="s">
        <v>938</v>
      </c>
      <c r="I495" s="270" t="s">
        <v>1300</v>
      </c>
      <c r="J495" s="270" t="s">
        <v>553</v>
      </c>
      <c r="K495" s="263">
        <v>1</v>
      </c>
      <c r="L495" s="263" t="str">
        <f ca="1">IFERROR(INDEX(Algorithms!J:J,MATCH($C495&amp;"_Therm Saved per Unit",Algorithms!$A:$A,0)),"n/a")</f>
        <v>4.4.10</v>
      </c>
      <c r="M495" s="263" t="str">
        <f>IFERROR(INDEX('Measure Level Detail'!$N:$N,MATCH($B495,'Measure Level Detail'!$B:$B,0)),0)</f>
        <v>each</v>
      </c>
      <c r="N495" s="271">
        <f>IFERROR(INDEX('Measure Level Detail'!$P:$P,MATCH($B495&amp;"_"&amp;N$3,'Measure Level Detail'!$C:$C,0)),0)</f>
        <v>0</v>
      </c>
      <c r="O495" s="271">
        <f>IFERROR(INDEX('Measure Level Detail'!$P:$P,MATCH($B495&amp;"_"&amp;O$3,'Measure Level Detail'!$C:$C,0)),0)</f>
        <v>0</v>
      </c>
      <c r="P495" s="271">
        <f>IFERROR(INDEX('Measure Level Detail'!$P:$P,MATCH($B495&amp;"_"&amp;P$3,'Measure Level Detail'!$C:$C,0)),0)</f>
        <v>0</v>
      </c>
      <c r="Q495" s="271">
        <f>IFERROR(INDEX('Measure Level Detail'!$P:$P,MATCH($B495&amp;"_"&amp;Q$3,'Measure Level Detail'!$C:$C,0)),0)</f>
        <v>0</v>
      </c>
      <c r="R495" s="263" t="str">
        <f ca="1">IFERROR(INDEX(Algorithms!K:K,MATCH($C495&amp;"_Therm Saved per Unit",Algorithms!$A:$A,0)),"n/a")</f>
        <v>CI-HVC-BOIL-V11-240101</v>
      </c>
      <c r="S495" s="262"/>
      <c r="T495" s="272">
        <v>0.63884615384615429</v>
      </c>
      <c r="U495" s="272">
        <v>0.63884615384615429</v>
      </c>
      <c r="V495" s="272">
        <v>0.63884615384615429</v>
      </c>
      <c r="W495" s="272">
        <v>0.63884615384615429</v>
      </c>
      <c r="X495" s="273">
        <f>IFERROR(INDEX('Measure Level Detail'!$R:$R,MATCH($B495&amp;"_"&amp;X$3,'Measure Level Detail'!$C:$C,0)),0)</f>
        <v>1</v>
      </c>
      <c r="Y495" s="273">
        <f>IFERROR(INDEX('Measure Level Detail'!$R:$R,MATCH($B495&amp;"_"&amp;Y$3,'Measure Level Detail'!$C:$C,0)),0)</f>
        <v>1</v>
      </c>
      <c r="Z495" s="273">
        <f>IFERROR(INDEX('Measure Level Detail'!$R:$R,MATCH($B495&amp;"_"&amp;Z$3,'Measure Level Detail'!$C:$C,0)),0)</f>
        <v>1</v>
      </c>
      <c r="AA495" s="273">
        <f>IFERROR(INDEX('Measure Level Detail'!$R:$R,MATCH($B495&amp;"_"&amp;AA$3,'Measure Level Detail'!$C:$C,0)),0)</f>
        <v>1</v>
      </c>
      <c r="AB495" s="266">
        <f t="shared" si="287"/>
        <v>0</v>
      </c>
      <c r="AC495" s="266">
        <f t="shared" si="288"/>
        <v>0</v>
      </c>
      <c r="AD495" s="266">
        <f t="shared" si="289"/>
        <v>0</v>
      </c>
      <c r="AE495" s="266">
        <f t="shared" si="290"/>
        <v>0</v>
      </c>
      <c r="AF495" s="266">
        <f t="shared" si="291"/>
        <v>0</v>
      </c>
      <c r="AG495" s="274">
        <v>1</v>
      </c>
      <c r="AH495" s="274">
        <v>1</v>
      </c>
      <c r="AI495" s="274">
        <v>1</v>
      </c>
      <c r="AJ495" s="274">
        <v>1</v>
      </c>
      <c r="AK495" s="274">
        <f t="shared" si="292"/>
        <v>1</v>
      </c>
      <c r="AL495" s="274">
        <f t="shared" si="293"/>
        <v>1</v>
      </c>
      <c r="AM495" s="274">
        <f t="shared" si="294"/>
        <v>1</v>
      </c>
      <c r="AN495" s="274">
        <f t="shared" si="295"/>
        <v>1</v>
      </c>
      <c r="AO495" s="262"/>
      <c r="AP495" s="262"/>
      <c r="AQ495" s="267">
        <v>0.63884615384615429</v>
      </c>
      <c r="AR495" s="262"/>
      <c r="AS495" s="266">
        <f t="shared" si="296"/>
        <v>0</v>
      </c>
      <c r="AT495" s="264">
        <f t="shared" si="297"/>
        <v>0</v>
      </c>
      <c r="AU495" s="262"/>
      <c r="AV495" s="262"/>
      <c r="AW495" s="265">
        <v>0.42050632911392438</v>
      </c>
      <c r="AX495" s="164" t="s">
        <v>1469</v>
      </c>
      <c r="AY495" s="266">
        <v>0</v>
      </c>
      <c r="AZ495" s="266">
        <f t="shared" si="298"/>
        <v>0</v>
      </c>
      <c r="BA495" s="264">
        <f t="shared" si="299"/>
        <v>0</v>
      </c>
      <c r="BB495" s="262"/>
      <c r="BC495" s="262"/>
      <c r="BD495" s="265">
        <f ca="1">IFERROR(INDEX(Algorithms!$G:$G,MATCH($C495&amp;"_Therm Saved per Unit",Algorithms!$A:$A,0)),0)</f>
        <v>0.41012345679012158</v>
      </c>
      <c r="BE495" s="164" t="str">
        <f ca="1">IFERROR(INDEX('v12 Revisions'!$P$29:$P$186, MATCH('Measure-Level Adj Gas'!$L495, 'v12 Revisions'!$D$29:$D$186,0)),"")</f>
        <v>Updated baseline and efficient boiler efficiency ratings.</v>
      </c>
      <c r="BF495" s="266">
        <f t="shared" ca="1" si="300"/>
        <v>0</v>
      </c>
      <c r="BG495" s="264">
        <f t="shared" ca="1" si="301"/>
        <v>0</v>
      </c>
      <c r="BH495" s="262"/>
      <c r="BI495" s="262"/>
      <c r="BJ495" s="265">
        <f ca="1">IFERROR(INDEX(Algorithms!$G:$G,MATCH($C495&amp;"_Therm Saved per Unit",Algorithms!$A:$A,0)),0)</f>
        <v>0.41012345679012158</v>
      </c>
      <c r="BK495" s="164"/>
      <c r="BL495" s="266">
        <f t="shared" ca="1" si="302"/>
        <v>0</v>
      </c>
      <c r="BM495" s="264">
        <f t="shared" ca="1" si="303"/>
        <v>0</v>
      </c>
      <c r="BN495" s="266">
        <f t="shared" si="304"/>
        <v>0</v>
      </c>
      <c r="BO495" s="266">
        <f t="shared" si="305"/>
        <v>0</v>
      </c>
      <c r="BP495" s="266">
        <f t="shared" ca="1" si="306"/>
        <v>0</v>
      </c>
      <c r="BQ495" s="266">
        <f t="shared" ca="1" si="307"/>
        <v>0</v>
      </c>
      <c r="BR495" s="268">
        <f t="shared" ca="1" si="308"/>
        <v>0</v>
      </c>
      <c r="BS495" s="262" t="s">
        <v>99</v>
      </c>
      <c r="BT495" s="277"/>
      <c r="BW495" s="266">
        <f t="shared" si="309"/>
        <v>0</v>
      </c>
      <c r="BX495" s="266">
        <f t="shared" si="310"/>
        <v>0</v>
      </c>
      <c r="BY495" s="266">
        <f t="shared" si="311"/>
        <v>0</v>
      </c>
      <c r="BZ495" s="266">
        <f t="shared" si="312"/>
        <v>0</v>
      </c>
      <c r="CA495" s="266">
        <f ca="1">N495*IFERROR(INDEX(Algorithms!$G:$G,MATCH($C495&amp;"_Therm Saved per Unit- MLA",Algorithms!$A:$A,0)),0)*X495</f>
        <v>0</v>
      </c>
      <c r="CB495" s="266">
        <f ca="1">O495*IFERROR(INDEX(Algorithms!$G:$G,MATCH($C495&amp;"_Therm Saved per Unit- MLA",Algorithms!$A:$A,0)),0)*Y495</f>
        <v>0</v>
      </c>
      <c r="CC495" s="266">
        <f ca="1">P495*IFERROR(INDEX(Algorithms!$G:$G,MATCH($C495&amp;"_Therm Saved per Unit- MLA",Algorithms!$A:$A,0)),0)*Z495</f>
        <v>0</v>
      </c>
      <c r="CD495" s="266">
        <f ca="1">Q495*IFERROR(INDEX(Algorithms!$G:$G,MATCH($C495&amp;"_Therm Saved per Unit- MLA",Algorithms!$A:$A,0)),0)*AA495</f>
        <v>0</v>
      </c>
      <c r="CE495" s="266">
        <f ca="1">IFERROR(INDEX(Algorithms!$G:$G,MATCH($C495&amp;"_Lifetime (years)",Algorithms!$A:$A,0)),0)</f>
        <v>25</v>
      </c>
      <c r="CF495" s="266">
        <f ca="1">IFERROR(INDEX(Algorithms!$G:$G,MATCH($C495&amp;"_Lifetime (years) - Remaining Years",Algorithms!$A:$A,0)),0)</f>
        <v>0</v>
      </c>
      <c r="CG495" s="266">
        <f t="shared" ca="1" si="313"/>
        <v>0</v>
      </c>
      <c r="CH495" s="266">
        <f t="shared" ca="1" si="314"/>
        <v>0</v>
      </c>
      <c r="CI495" s="266">
        <f t="shared" ca="1" si="315"/>
        <v>0</v>
      </c>
      <c r="CJ495" s="266">
        <f t="shared" ca="1" si="316"/>
        <v>0</v>
      </c>
      <c r="CK495" s="266">
        <f t="shared" si="317"/>
        <v>0</v>
      </c>
      <c r="CL495" s="266">
        <f t="shared" si="318"/>
        <v>0</v>
      </c>
      <c r="CM495" s="266">
        <f t="shared" ca="1" si="319"/>
        <v>0</v>
      </c>
      <c r="CN495" s="266">
        <f t="shared" ca="1" si="320"/>
        <v>0</v>
      </c>
      <c r="CO495" s="266">
        <f ca="1">N495*IFERROR(INDEX(Algorithms!$G:$G,MATCH($C495&amp;"_Therm Saved per Unit- MLA",Algorithms!$A:$A,0)),0)*X495</f>
        <v>0</v>
      </c>
      <c r="CP495" s="266">
        <f ca="1">O495*IFERROR(INDEX(Algorithms!$G:$G,MATCH($C495&amp;"_Therm Saved per Unit- MLA",Algorithms!$A:$A,0)),0)*Y495</f>
        <v>0</v>
      </c>
      <c r="CQ495" s="266">
        <f ca="1">P495*IFERROR(INDEX(Algorithms!$G:$G,MATCH($C495&amp;"_Therm Saved per Unit- MLA",Algorithms!$A:$A,0)),0)*Z495</f>
        <v>0</v>
      </c>
      <c r="CR495" s="266">
        <f ca="1">Q495*IFERROR(INDEX(Algorithms!$G:$G,MATCH($C495&amp;"_Therm Saved per Unit- MLA",Algorithms!$A:$A,0)),0)*AA495</f>
        <v>0</v>
      </c>
      <c r="CS495" s="266">
        <f ca="1">IFERROR(INDEX(Algorithms!$G:$G,MATCH($C495&amp;"_Lifetime (years)",Algorithms!$A:$A,0)),0)</f>
        <v>25</v>
      </c>
      <c r="CT495" s="266">
        <f ca="1">IFERROR(INDEX(Algorithms!$G:$G,MATCH($C495&amp;"_Lifetime (years) - Remaining Years",Algorithms!$A:$A,0)),0)</f>
        <v>0</v>
      </c>
      <c r="CU495" s="266">
        <f t="shared" ca="1" si="321"/>
        <v>0</v>
      </c>
      <c r="CV495" s="266">
        <f t="shared" ca="1" si="322"/>
        <v>0</v>
      </c>
      <c r="CW495" s="266">
        <f t="shared" ca="1" si="323"/>
        <v>0</v>
      </c>
      <c r="CX495" s="266">
        <f t="shared" ca="1" si="324"/>
        <v>0</v>
      </c>
    </row>
    <row r="496" spans="2:102" s="47" customFormat="1" ht="18" customHeight="1" x14ac:dyDescent="0.25">
      <c r="B496" t="str">
        <f t="shared" si="325"/>
        <v>NSG_Income Eligible_Multi-Family_Whole Building - Public Housing_Steam Boiler_ &gt;=1500MBH, &gt;=82% TE_MF</v>
      </c>
      <c r="C496" s="47" t="str">
        <f t="shared" si="286"/>
        <v>Steam Boiler_ &gt;=1500MBH, &gt;=82% TE_MF</v>
      </c>
      <c r="D496" s="270" t="s">
        <v>1787</v>
      </c>
      <c r="E496" s="270" t="s">
        <v>325</v>
      </c>
      <c r="F496" s="270" t="s">
        <v>1422</v>
      </c>
      <c r="G496" s="270" t="s">
        <v>1817</v>
      </c>
      <c r="H496" s="270" t="s">
        <v>938</v>
      </c>
      <c r="I496" s="270" t="s">
        <v>939</v>
      </c>
      <c r="J496" s="270" t="s">
        <v>553</v>
      </c>
      <c r="K496" s="263">
        <v>1</v>
      </c>
      <c r="L496" s="263" t="str">
        <f ca="1">IFERROR(INDEX(Algorithms!J:J,MATCH($C496&amp;"_Therm Saved per Unit",Algorithms!$A:$A,0)),"n/a")</f>
        <v>4.4.10</v>
      </c>
      <c r="M496" s="263" t="str">
        <f>IFERROR(INDEX('Measure Level Detail'!$N:$N,MATCH($B496,'Measure Level Detail'!$B:$B,0)),0)</f>
        <v>each</v>
      </c>
      <c r="N496" s="271">
        <f>IFERROR(INDEX('Measure Level Detail'!$P:$P,MATCH($B496&amp;"_"&amp;N$3,'Measure Level Detail'!$C:$C,0)),0)</f>
        <v>0</v>
      </c>
      <c r="O496" s="271">
        <f>IFERROR(INDEX('Measure Level Detail'!$P:$P,MATCH($B496&amp;"_"&amp;O$3,'Measure Level Detail'!$C:$C,0)),0)</f>
        <v>0</v>
      </c>
      <c r="P496" s="271">
        <f>IFERROR(INDEX('Measure Level Detail'!$P:$P,MATCH($B496&amp;"_"&amp;P$3,'Measure Level Detail'!$C:$C,0)),0)</f>
        <v>0</v>
      </c>
      <c r="Q496" s="271">
        <f>IFERROR(INDEX('Measure Level Detail'!$P:$P,MATCH($B496&amp;"_"&amp;Q$3,'Measure Level Detail'!$C:$C,0)),0)</f>
        <v>0</v>
      </c>
      <c r="R496" s="263" t="str">
        <f ca="1">IFERROR(INDEX(Algorithms!K:K,MATCH($C496&amp;"_Therm Saved per Unit",Algorithms!$A:$A,0)),"n/a")</f>
        <v>CI-HVC-BOIL-V11-240101</v>
      </c>
      <c r="S496" s="262"/>
      <c r="T496" s="272">
        <v>0.85179487179487012</v>
      </c>
      <c r="U496" s="272">
        <v>0.85179487179487012</v>
      </c>
      <c r="V496" s="272">
        <v>0.85179487179487012</v>
      </c>
      <c r="W496" s="272">
        <v>0.85179487179487012</v>
      </c>
      <c r="X496" s="273">
        <f>IFERROR(INDEX('Measure Level Detail'!$R:$R,MATCH($B496&amp;"_"&amp;X$3,'Measure Level Detail'!$C:$C,0)),0)</f>
        <v>1</v>
      </c>
      <c r="Y496" s="273">
        <f>IFERROR(INDEX('Measure Level Detail'!$R:$R,MATCH($B496&amp;"_"&amp;Y$3,'Measure Level Detail'!$C:$C,0)),0)</f>
        <v>1</v>
      </c>
      <c r="Z496" s="273">
        <f>IFERROR(INDEX('Measure Level Detail'!$R:$R,MATCH($B496&amp;"_"&amp;Z$3,'Measure Level Detail'!$C:$C,0)),0)</f>
        <v>1</v>
      </c>
      <c r="AA496" s="273">
        <f>IFERROR(INDEX('Measure Level Detail'!$R:$R,MATCH($B496&amp;"_"&amp;AA$3,'Measure Level Detail'!$C:$C,0)),0)</f>
        <v>1</v>
      </c>
      <c r="AB496" s="266">
        <f t="shared" si="287"/>
        <v>0</v>
      </c>
      <c r="AC496" s="266">
        <f t="shared" si="288"/>
        <v>0</v>
      </c>
      <c r="AD496" s="266">
        <f t="shared" si="289"/>
        <v>0</v>
      </c>
      <c r="AE496" s="266">
        <f t="shared" si="290"/>
        <v>0</v>
      </c>
      <c r="AF496" s="266">
        <f t="shared" si="291"/>
        <v>0</v>
      </c>
      <c r="AG496" s="274">
        <v>1</v>
      </c>
      <c r="AH496" s="274">
        <v>1</v>
      </c>
      <c r="AI496" s="274">
        <v>1</v>
      </c>
      <c r="AJ496" s="274">
        <v>1</v>
      </c>
      <c r="AK496" s="274">
        <f t="shared" si="292"/>
        <v>1</v>
      </c>
      <c r="AL496" s="274">
        <f t="shared" si="293"/>
        <v>1</v>
      </c>
      <c r="AM496" s="274">
        <f t="shared" si="294"/>
        <v>1</v>
      </c>
      <c r="AN496" s="274">
        <f t="shared" si="295"/>
        <v>1</v>
      </c>
      <c r="AO496" s="262"/>
      <c r="AP496" s="262"/>
      <c r="AQ496" s="267">
        <v>0.85179487179487012</v>
      </c>
      <c r="AR496" s="262"/>
      <c r="AS496" s="266">
        <f t="shared" si="296"/>
        <v>0</v>
      </c>
      <c r="AT496" s="264">
        <f t="shared" si="297"/>
        <v>0</v>
      </c>
      <c r="AU496" s="262"/>
      <c r="AV496" s="262"/>
      <c r="AW496" s="265">
        <v>0.63075949367088424</v>
      </c>
      <c r="AX496" s="164" t="s">
        <v>1469</v>
      </c>
      <c r="AY496" s="266">
        <v>0</v>
      </c>
      <c r="AZ496" s="266">
        <f t="shared" si="298"/>
        <v>0</v>
      </c>
      <c r="BA496" s="264">
        <f t="shared" si="299"/>
        <v>0</v>
      </c>
      <c r="BB496" s="262"/>
      <c r="BC496" s="262"/>
      <c r="BD496" s="265">
        <f ca="1">IFERROR(INDEX(Algorithms!$G:$G,MATCH($C496&amp;"_Therm Saved per Unit",Algorithms!$A:$A,0)),0)</f>
        <v>0.41012345679012158</v>
      </c>
      <c r="BE496" s="164" t="str">
        <f ca="1">IFERROR(INDEX('v12 Revisions'!$P$29:$P$186, MATCH('Measure-Level Adj Gas'!$L496, 'v12 Revisions'!$D$29:$D$186,0)),"")</f>
        <v>Updated baseline and efficient boiler efficiency ratings.</v>
      </c>
      <c r="BF496" s="266">
        <f t="shared" ca="1" si="300"/>
        <v>0</v>
      </c>
      <c r="BG496" s="264">
        <f t="shared" ca="1" si="301"/>
        <v>0</v>
      </c>
      <c r="BH496" s="262"/>
      <c r="BI496" s="262"/>
      <c r="BJ496" s="265">
        <f ca="1">IFERROR(INDEX(Algorithms!$G:$G,MATCH($C496&amp;"_Therm Saved per Unit",Algorithms!$A:$A,0)),0)</f>
        <v>0.41012345679012158</v>
      </c>
      <c r="BK496" s="164"/>
      <c r="BL496" s="266">
        <f t="shared" ca="1" si="302"/>
        <v>0</v>
      </c>
      <c r="BM496" s="264">
        <f t="shared" ca="1" si="303"/>
        <v>0</v>
      </c>
      <c r="BN496" s="266">
        <f t="shared" si="304"/>
        <v>0</v>
      </c>
      <c r="BO496" s="266">
        <f t="shared" si="305"/>
        <v>0</v>
      </c>
      <c r="BP496" s="266">
        <f t="shared" ca="1" si="306"/>
        <v>0</v>
      </c>
      <c r="BQ496" s="266">
        <f t="shared" ca="1" si="307"/>
        <v>0</v>
      </c>
      <c r="BR496" s="268">
        <f t="shared" ca="1" si="308"/>
        <v>0</v>
      </c>
      <c r="BS496" s="262" t="s">
        <v>99</v>
      </c>
      <c r="BT496" s="277"/>
      <c r="BW496" s="266">
        <f t="shared" si="309"/>
        <v>0</v>
      </c>
      <c r="BX496" s="266">
        <f t="shared" si="310"/>
        <v>0</v>
      </c>
      <c r="BY496" s="266">
        <f t="shared" si="311"/>
        <v>0</v>
      </c>
      <c r="BZ496" s="266">
        <f t="shared" si="312"/>
        <v>0</v>
      </c>
      <c r="CA496" s="266">
        <f ca="1">N496*IFERROR(INDEX(Algorithms!$G:$G,MATCH($C496&amp;"_Therm Saved per Unit- MLA",Algorithms!$A:$A,0)),0)*X496</f>
        <v>0</v>
      </c>
      <c r="CB496" s="266">
        <f ca="1">O496*IFERROR(INDEX(Algorithms!$G:$G,MATCH($C496&amp;"_Therm Saved per Unit- MLA",Algorithms!$A:$A,0)),0)*Y496</f>
        <v>0</v>
      </c>
      <c r="CC496" s="266">
        <f ca="1">P496*IFERROR(INDEX(Algorithms!$G:$G,MATCH($C496&amp;"_Therm Saved per Unit- MLA",Algorithms!$A:$A,0)),0)*Z496</f>
        <v>0</v>
      </c>
      <c r="CD496" s="266">
        <f ca="1">Q496*IFERROR(INDEX(Algorithms!$G:$G,MATCH($C496&amp;"_Therm Saved per Unit- MLA",Algorithms!$A:$A,0)),0)*AA496</f>
        <v>0</v>
      </c>
      <c r="CE496" s="266">
        <f ca="1">IFERROR(INDEX(Algorithms!$G:$G,MATCH($C496&amp;"_Lifetime (years)",Algorithms!$A:$A,0)),0)</f>
        <v>25</v>
      </c>
      <c r="CF496" s="266">
        <f ca="1">IFERROR(INDEX(Algorithms!$G:$G,MATCH($C496&amp;"_Lifetime (years) - Remaining Years",Algorithms!$A:$A,0)),0)</f>
        <v>0</v>
      </c>
      <c r="CG496" s="266">
        <f t="shared" ca="1" si="313"/>
        <v>0</v>
      </c>
      <c r="CH496" s="266">
        <f t="shared" ca="1" si="314"/>
        <v>0</v>
      </c>
      <c r="CI496" s="266">
        <f t="shared" ca="1" si="315"/>
        <v>0</v>
      </c>
      <c r="CJ496" s="266">
        <f t="shared" ca="1" si="316"/>
        <v>0</v>
      </c>
      <c r="CK496" s="266">
        <f t="shared" si="317"/>
        <v>0</v>
      </c>
      <c r="CL496" s="266">
        <f t="shared" si="318"/>
        <v>0</v>
      </c>
      <c r="CM496" s="266">
        <f t="shared" ca="1" si="319"/>
        <v>0</v>
      </c>
      <c r="CN496" s="266">
        <f t="shared" ca="1" si="320"/>
        <v>0</v>
      </c>
      <c r="CO496" s="266">
        <f ca="1">N496*IFERROR(INDEX(Algorithms!$G:$G,MATCH($C496&amp;"_Therm Saved per Unit- MLA",Algorithms!$A:$A,0)),0)*X496</f>
        <v>0</v>
      </c>
      <c r="CP496" s="266">
        <f ca="1">O496*IFERROR(INDEX(Algorithms!$G:$G,MATCH($C496&amp;"_Therm Saved per Unit- MLA",Algorithms!$A:$A,0)),0)*Y496</f>
        <v>0</v>
      </c>
      <c r="CQ496" s="266">
        <f ca="1">P496*IFERROR(INDEX(Algorithms!$G:$G,MATCH($C496&amp;"_Therm Saved per Unit- MLA",Algorithms!$A:$A,0)),0)*Z496</f>
        <v>0</v>
      </c>
      <c r="CR496" s="266">
        <f ca="1">Q496*IFERROR(INDEX(Algorithms!$G:$G,MATCH($C496&amp;"_Therm Saved per Unit- MLA",Algorithms!$A:$A,0)),0)*AA496</f>
        <v>0</v>
      </c>
      <c r="CS496" s="266">
        <f ca="1">IFERROR(INDEX(Algorithms!$G:$G,MATCH($C496&amp;"_Lifetime (years)",Algorithms!$A:$A,0)),0)</f>
        <v>25</v>
      </c>
      <c r="CT496" s="266">
        <f ca="1">IFERROR(INDEX(Algorithms!$G:$G,MATCH($C496&amp;"_Lifetime (years) - Remaining Years",Algorithms!$A:$A,0)),0)</f>
        <v>0</v>
      </c>
      <c r="CU496" s="266">
        <f t="shared" ca="1" si="321"/>
        <v>0</v>
      </c>
      <c r="CV496" s="266">
        <f t="shared" ca="1" si="322"/>
        <v>0</v>
      </c>
      <c r="CW496" s="266">
        <f t="shared" ca="1" si="323"/>
        <v>0</v>
      </c>
      <c r="CX496" s="266">
        <f t="shared" ca="1" si="324"/>
        <v>0</v>
      </c>
    </row>
    <row r="497" spans="2:102" s="47" customFormat="1" ht="18" customHeight="1" x14ac:dyDescent="0.25">
      <c r="B497" t="str">
        <f t="shared" si="325"/>
        <v>NSG_Income Eligible_Multi-Family_Whole Building - Public Housing_Steam Boiler Averaging Controls_0_MF</v>
      </c>
      <c r="C497" s="47" t="str">
        <f t="shared" si="286"/>
        <v>Steam Boiler Averaging Controls_0_MF</v>
      </c>
      <c r="D497" s="270" t="s">
        <v>1787</v>
      </c>
      <c r="E497" s="270" t="s">
        <v>325</v>
      </c>
      <c r="F497" s="270" t="s">
        <v>1422</v>
      </c>
      <c r="G497" s="270" t="s">
        <v>1817</v>
      </c>
      <c r="H497" s="270" t="s">
        <v>934</v>
      </c>
      <c r="I497" s="270">
        <v>0</v>
      </c>
      <c r="J497" s="270" t="s">
        <v>553</v>
      </c>
      <c r="K497" s="263">
        <v>1</v>
      </c>
      <c r="L497" s="263" t="str">
        <f ca="1">IFERROR(INDEX(Algorithms!J:J,MATCH($C497&amp;"_Therm Saved per Unit",Algorithms!$A:$A,0)),"n/a")</f>
        <v>4.4.36</v>
      </c>
      <c r="M497" s="263" t="str">
        <f>IFERROR(INDEX('Measure Level Detail'!$N:$N,MATCH($B497,'Measure Level Detail'!$B:$B,0)),0)</f>
        <v>each</v>
      </c>
      <c r="N497" s="271">
        <f>IFERROR(INDEX('Measure Level Detail'!$P:$P,MATCH($B497&amp;"_"&amp;N$3,'Measure Level Detail'!$C:$C,0)),0)</f>
        <v>0</v>
      </c>
      <c r="O497" s="271">
        <f>IFERROR(INDEX('Measure Level Detail'!$P:$P,MATCH($B497&amp;"_"&amp;O$3,'Measure Level Detail'!$C:$C,0)),0)</f>
        <v>0</v>
      </c>
      <c r="P497" s="271">
        <f>IFERROR(INDEX('Measure Level Detail'!$P:$P,MATCH($B497&amp;"_"&amp;P$3,'Measure Level Detail'!$C:$C,0)),0)</f>
        <v>0</v>
      </c>
      <c r="Q497" s="271">
        <f>IFERROR(INDEX('Measure Level Detail'!$P:$P,MATCH($B497&amp;"_"&amp;Q$3,'Measure Level Detail'!$C:$C,0)),0)</f>
        <v>0</v>
      </c>
      <c r="R497" s="263" t="str">
        <f ca="1">IFERROR(INDEX(Algorithms!K:K,MATCH($C497&amp;"_Therm Saved per Unit",Algorithms!$A:$A,0)),"n/a")</f>
        <v>CI-HVC-SBAC-V03-230101</v>
      </c>
      <c r="S497" s="262"/>
      <c r="T497" s="272">
        <v>83.05</v>
      </c>
      <c r="U497" s="272">
        <v>83.05</v>
      </c>
      <c r="V497" s="272">
        <v>83.05</v>
      </c>
      <c r="W497" s="272">
        <v>83.05</v>
      </c>
      <c r="X497" s="273">
        <f>IFERROR(INDEX('Measure Level Detail'!$R:$R,MATCH($B497&amp;"_"&amp;X$3,'Measure Level Detail'!$C:$C,0)),0)</f>
        <v>1</v>
      </c>
      <c r="Y497" s="273">
        <f>IFERROR(INDEX('Measure Level Detail'!$R:$R,MATCH($B497&amp;"_"&amp;Y$3,'Measure Level Detail'!$C:$C,0)),0)</f>
        <v>1</v>
      </c>
      <c r="Z497" s="273">
        <f>IFERROR(INDEX('Measure Level Detail'!$R:$R,MATCH($B497&amp;"_"&amp;Z$3,'Measure Level Detail'!$C:$C,0)),0)</f>
        <v>1</v>
      </c>
      <c r="AA497" s="273">
        <f>IFERROR(INDEX('Measure Level Detail'!$R:$R,MATCH($B497&amp;"_"&amp;AA$3,'Measure Level Detail'!$C:$C,0)),0)</f>
        <v>1</v>
      </c>
      <c r="AB497" s="266">
        <f t="shared" si="287"/>
        <v>0</v>
      </c>
      <c r="AC497" s="266">
        <f t="shared" si="288"/>
        <v>0</v>
      </c>
      <c r="AD497" s="266">
        <f t="shared" si="289"/>
        <v>0</v>
      </c>
      <c r="AE497" s="266">
        <f t="shared" si="290"/>
        <v>0</v>
      </c>
      <c r="AF497" s="266">
        <f t="shared" si="291"/>
        <v>0</v>
      </c>
      <c r="AG497" s="274">
        <v>1</v>
      </c>
      <c r="AH497" s="274">
        <v>1</v>
      </c>
      <c r="AI497" s="274">
        <v>1</v>
      </c>
      <c r="AJ497" s="274">
        <v>1</v>
      </c>
      <c r="AK497" s="274">
        <f t="shared" si="292"/>
        <v>1</v>
      </c>
      <c r="AL497" s="274">
        <f t="shared" si="293"/>
        <v>1</v>
      </c>
      <c r="AM497" s="274">
        <f t="shared" si="294"/>
        <v>1</v>
      </c>
      <c r="AN497" s="274">
        <f t="shared" si="295"/>
        <v>1</v>
      </c>
      <c r="AO497" s="262"/>
      <c r="AP497" s="262"/>
      <c r="AQ497" s="267">
        <v>83.05</v>
      </c>
      <c r="AR497" s="262"/>
      <c r="AS497" s="266">
        <f t="shared" si="296"/>
        <v>0</v>
      </c>
      <c r="AT497" s="264">
        <f t="shared" si="297"/>
        <v>0</v>
      </c>
      <c r="AU497" s="262"/>
      <c r="AV497" s="262"/>
      <c r="AW497" s="265">
        <v>83.05</v>
      </c>
      <c r="AX497" s="164" t="s">
        <v>1469</v>
      </c>
      <c r="AY497" s="266">
        <v>0</v>
      </c>
      <c r="AZ497" s="266">
        <f t="shared" si="298"/>
        <v>0</v>
      </c>
      <c r="BA497" s="264">
        <f t="shared" si="299"/>
        <v>0</v>
      </c>
      <c r="BB497" s="262"/>
      <c r="BC497" s="262"/>
      <c r="BD497" s="265">
        <f ca="1">IFERROR(INDEX(Algorithms!$G:$G,MATCH($C497&amp;"_Therm Saved per Unit",Algorithms!$A:$A,0)),0)</f>
        <v>83.05</v>
      </c>
      <c r="BE497" s="164" t="str">
        <f ca="1">IFERROR(INDEX('v12 Revisions'!$P$29:$P$186, MATCH('Measure-Level Adj Gas'!$L497, 'v12 Revisions'!$D$29:$D$186,0)),"")</f>
        <v/>
      </c>
      <c r="BF497" s="266">
        <f t="shared" ca="1" si="300"/>
        <v>0</v>
      </c>
      <c r="BG497" s="264">
        <f t="shared" ca="1" si="301"/>
        <v>0</v>
      </c>
      <c r="BH497" s="262"/>
      <c r="BI497" s="262"/>
      <c r="BJ497" s="265">
        <f ca="1">IFERROR(INDEX(Algorithms!$G:$G,MATCH($C497&amp;"_Therm Saved per Unit",Algorithms!$A:$A,0)),0)</f>
        <v>83.05</v>
      </c>
      <c r="BK497" s="164"/>
      <c r="BL497" s="266">
        <f t="shared" ca="1" si="302"/>
        <v>0</v>
      </c>
      <c r="BM497" s="264">
        <f t="shared" ca="1" si="303"/>
        <v>0</v>
      </c>
      <c r="BN497" s="266">
        <f t="shared" si="304"/>
        <v>0</v>
      </c>
      <c r="BO497" s="266">
        <f t="shared" si="305"/>
        <v>0</v>
      </c>
      <c r="BP497" s="266">
        <f t="shared" ca="1" si="306"/>
        <v>0</v>
      </c>
      <c r="BQ497" s="266">
        <f t="shared" ca="1" si="307"/>
        <v>0</v>
      </c>
      <c r="BR497" s="268">
        <f t="shared" ca="1" si="308"/>
        <v>0</v>
      </c>
      <c r="BS497" s="262" t="s">
        <v>99</v>
      </c>
      <c r="BT497" s="277"/>
      <c r="BW497" s="266">
        <f t="shared" si="309"/>
        <v>0</v>
      </c>
      <c r="BX497" s="266">
        <f t="shared" si="310"/>
        <v>0</v>
      </c>
      <c r="BY497" s="266">
        <f t="shared" si="311"/>
        <v>0</v>
      </c>
      <c r="BZ497" s="266">
        <f t="shared" si="312"/>
        <v>0</v>
      </c>
      <c r="CA497" s="266">
        <f ca="1">N497*IFERROR(INDEX(Algorithms!$G:$G,MATCH($C497&amp;"_Therm Saved per Unit- MLA",Algorithms!$A:$A,0)),0)*X497</f>
        <v>0</v>
      </c>
      <c r="CB497" s="266">
        <f ca="1">O497*IFERROR(INDEX(Algorithms!$G:$G,MATCH($C497&amp;"_Therm Saved per Unit- MLA",Algorithms!$A:$A,0)),0)*Y497</f>
        <v>0</v>
      </c>
      <c r="CC497" s="266">
        <f ca="1">P497*IFERROR(INDEX(Algorithms!$G:$G,MATCH($C497&amp;"_Therm Saved per Unit- MLA",Algorithms!$A:$A,0)),0)*Z497</f>
        <v>0</v>
      </c>
      <c r="CD497" s="266">
        <f ca="1">Q497*IFERROR(INDEX(Algorithms!$G:$G,MATCH($C497&amp;"_Therm Saved per Unit- MLA",Algorithms!$A:$A,0)),0)*AA497</f>
        <v>0</v>
      </c>
      <c r="CE497" s="266">
        <f ca="1">IFERROR(INDEX(Algorithms!$G:$G,MATCH($C497&amp;"_Lifetime (years)",Algorithms!$A:$A,0)),0)</f>
        <v>20</v>
      </c>
      <c r="CF497" s="266">
        <f ca="1">IFERROR(INDEX(Algorithms!$G:$G,MATCH($C497&amp;"_Lifetime (years) - Remaining Years",Algorithms!$A:$A,0)),0)</f>
        <v>0</v>
      </c>
      <c r="CG497" s="266">
        <f t="shared" ca="1" si="313"/>
        <v>0</v>
      </c>
      <c r="CH497" s="266">
        <f t="shared" ca="1" si="314"/>
        <v>0</v>
      </c>
      <c r="CI497" s="266">
        <f t="shared" ca="1" si="315"/>
        <v>0</v>
      </c>
      <c r="CJ497" s="266">
        <f t="shared" ca="1" si="316"/>
        <v>0</v>
      </c>
      <c r="CK497" s="266">
        <f t="shared" si="317"/>
        <v>0</v>
      </c>
      <c r="CL497" s="266">
        <f t="shared" si="318"/>
        <v>0</v>
      </c>
      <c r="CM497" s="266">
        <f t="shared" ca="1" si="319"/>
        <v>0</v>
      </c>
      <c r="CN497" s="266">
        <f t="shared" ca="1" si="320"/>
        <v>0</v>
      </c>
      <c r="CO497" s="266">
        <f ca="1">N497*IFERROR(INDEX(Algorithms!$G:$G,MATCH($C497&amp;"_Therm Saved per Unit- MLA",Algorithms!$A:$A,0)),0)*X497</f>
        <v>0</v>
      </c>
      <c r="CP497" s="266">
        <f ca="1">O497*IFERROR(INDEX(Algorithms!$G:$G,MATCH($C497&amp;"_Therm Saved per Unit- MLA",Algorithms!$A:$A,0)),0)*Y497</f>
        <v>0</v>
      </c>
      <c r="CQ497" s="266">
        <f ca="1">P497*IFERROR(INDEX(Algorithms!$G:$G,MATCH($C497&amp;"_Therm Saved per Unit- MLA",Algorithms!$A:$A,0)),0)*Z497</f>
        <v>0</v>
      </c>
      <c r="CR497" s="266">
        <f ca="1">Q497*IFERROR(INDEX(Algorithms!$G:$G,MATCH($C497&amp;"_Therm Saved per Unit- MLA",Algorithms!$A:$A,0)),0)*AA497</f>
        <v>0</v>
      </c>
      <c r="CS497" s="266">
        <f ca="1">IFERROR(INDEX(Algorithms!$G:$G,MATCH($C497&amp;"_Lifetime (years)",Algorithms!$A:$A,0)),0)</f>
        <v>20</v>
      </c>
      <c r="CT497" s="266">
        <f ca="1">IFERROR(INDEX(Algorithms!$G:$G,MATCH($C497&amp;"_Lifetime (years) - Remaining Years",Algorithms!$A:$A,0)),0)</f>
        <v>0</v>
      </c>
      <c r="CU497" s="266">
        <f t="shared" ca="1" si="321"/>
        <v>0</v>
      </c>
      <c r="CV497" s="266">
        <f t="shared" ca="1" si="322"/>
        <v>0</v>
      </c>
      <c r="CW497" s="266">
        <f t="shared" ca="1" si="323"/>
        <v>0</v>
      </c>
      <c r="CX497" s="266">
        <f t="shared" ca="1" si="324"/>
        <v>0</v>
      </c>
    </row>
    <row r="498" spans="2:102" s="47" customFormat="1" ht="18" customHeight="1" x14ac:dyDescent="0.25">
      <c r="B498" t="str">
        <f t="shared" si="325"/>
        <v>NSG_Income Eligible_Multi-Family_Whole Building - Public Housing_On Demand DHW Circulation System_0_MF</v>
      </c>
      <c r="C498" s="47" t="str">
        <f t="shared" si="286"/>
        <v>On Demand DHW Circulation System_0_MF</v>
      </c>
      <c r="D498" s="270" t="s">
        <v>1787</v>
      </c>
      <c r="E498" s="270" t="s">
        <v>325</v>
      </c>
      <c r="F498" s="270" t="s">
        <v>1422</v>
      </c>
      <c r="G498" s="270" t="s">
        <v>1817</v>
      </c>
      <c r="H498" s="270" t="s">
        <v>1075</v>
      </c>
      <c r="I498" s="270">
        <v>0</v>
      </c>
      <c r="J498" s="270" t="s">
        <v>553</v>
      </c>
      <c r="K498" s="263">
        <v>1</v>
      </c>
      <c r="L498" s="263" t="str">
        <f ca="1">IFERROR(INDEX(Algorithms!J:J,MATCH($C498&amp;"_Therm Saved per Unit",Algorithms!$A:$A,0)),"n/a")</f>
        <v>4.3.8</v>
      </c>
      <c r="M498" s="263" t="str">
        <f>IFERROR(INDEX('Measure Level Detail'!$N:$N,MATCH($B498,'Measure Level Detail'!$B:$B,0)),0)</f>
        <v>each</v>
      </c>
      <c r="N498" s="271">
        <f>IFERROR(INDEX('Measure Level Detail'!$P:$P,MATCH($B498&amp;"_"&amp;N$3,'Measure Level Detail'!$C:$C,0)),0)</f>
        <v>0</v>
      </c>
      <c r="O498" s="271">
        <f>IFERROR(INDEX('Measure Level Detail'!$P:$P,MATCH($B498&amp;"_"&amp;O$3,'Measure Level Detail'!$C:$C,0)),0)</f>
        <v>0</v>
      </c>
      <c r="P498" s="271">
        <f>IFERROR(INDEX('Measure Level Detail'!$P:$P,MATCH($B498&amp;"_"&amp;P$3,'Measure Level Detail'!$C:$C,0)),0)</f>
        <v>0</v>
      </c>
      <c r="Q498" s="271">
        <f>IFERROR(INDEX('Measure Level Detail'!$P:$P,MATCH($B498&amp;"_"&amp;Q$3,'Measure Level Detail'!$C:$C,0)),0)</f>
        <v>0</v>
      </c>
      <c r="R498" s="263" t="str">
        <f ca="1">IFERROR(INDEX(Algorithms!K:K,MATCH($C498&amp;"_Therm Saved per Unit",Algorithms!$A:$A,0)),"n/a")</f>
        <v>CI-HWE-CDHW-V06-240101</v>
      </c>
      <c r="S498" s="262"/>
      <c r="T498" s="272">
        <v>62.687100553999997</v>
      </c>
      <c r="U498" s="272">
        <v>62.687100553999997</v>
      </c>
      <c r="V498" s="272">
        <v>62.687100553999997</v>
      </c>
      <c r="W498" s="272">
        <v>62.687100553999997</v>
      </c>
      <c r="X498" s="273">
        <f>IFERROR(INDEX('Measure Level Detail'!$R:$R,MATCH($B498&amp;"_"&amp;X$3,'Measure Level Detail'!$C:$C,0)),0)</f>
        <v>1</v>
      </c>
      <c r="Y498" s="273">
        <f>IFERROR(INDEX('Measure Level Detail'!$R:$R,MATCH($B498&amp;"_"&amp;Y$3,'Measure Level Detail'!$C:$C,0)),0)</f>
        <v>1</v>
      </c>
      <c r="Z498" s="273">
        <f>IFERROR(INDEX('Measure Level Detail'!$R:$R,MATCH($B498&amp;"_"&amp;Z$3,'Measure Level Detail'!$C:$C,0)),0)</f>
        <v>1</v>
      </c>
      <c r="AA498" s="273">
        <f>IFERROR(INDEX('Measure Level Detail'!$R:$R,MATCH($B498&amp;"_"&amp;AA$3,'Measure Level Detail'!$C:$C,0)),0)</f>
        <v>1</v>
      </c>
      <c r="AB498" s="266">
        <f t="shared" si="287"/>
        <v>0</v>
      </c>
      <c r="AC498" s="266">
        <f t="shared" si="288"/>
        <v>0</v>
      </c>
      <c r="AD498" s="266">
        <f t="shared" si="289"/>
        <v>0</v>
      </c>
      <c r="AE498" s="266">
        <f t="shared" si="290"/>
        <v>0</v>
      </c>
      <c r="AF498" s="266">
        <f t="shared" si="291"/>
        <v>0</v>
      </c>
      <c r="AG498" s="274">
        <v>1</v>
      </c>
      <c r="AH498" s="274">
        <v>1</v>
      </c>
      <c r="AI498" s="274">
        <v>1</v>
      </c>
      <c r="AJ498" s="274">
        <v>1</v>
      </c>
      <c r="AK498" s="274">
        <f t="shared" si="292"/>
        <v>1</v>
      </c>
      <c r="AL498" s="274">
        <f t="shared" si="293"/>
        <v>1</v>
      </c>
      <c r="AM498" s="274">
        <f t="shared" si="294"/>
        <v>1</v>
      </c>
      <c r="AN498" s="274">
        <f t="shared" si="295"/>
        <v>1</v>
      </c>
      <c r="AO498" s="262"/>
      <c r="AP498" s="262"/>
      <c r="AQ498" s="267">
        <v>62.687100553999997</v>
      </c>
      <c r="AR498" s="262"/>
      <c r="AS498" s="266">
        <f t="shared" si="296"/>
        <v>0</v>
      </c>
      <c r="AT498" s="264">
        <f t="shared" si="297"/>
        <v>0</v>
      </c>
      <c r="AU498" s="262"/>
      <c r="AV498" s="262"/>
      <c r="AW498" s="265">
        <v>62.687100553999997</v>
      </c>
      <c r="AX498" s="164" t="s">
        <v>2400</v>
      </c>
      <c r="AY498" s="266">
        <v>0</v>
      </c>
      <c r="AZ498" s="266">
        <f t="shared" si="298"/>
        <v>0</v>
      </c>
      <c r="BA498" s="264">
        <f t="shared" si="299"/>
        <v>0</v>
      </c>
      <c r="BB498" s="262"/>
      <c r="BC498" s="262"/>
      <c r="BD498" s="265">
        <f ca="1">IFERROR(INDEX(Algorithms!$G:$G,MATCH($C498&amp;"_Therm Saved per Unit",Algorithms!$A:$A,0)),0)</f>
        <v>62.687100553999997</v>
      </c>
      <c r="BE498" s="164" t="str">
        <f ca="1">IFERROR(INDEX('v12 Revisions'!$P$29:$P$186, MATCH('Measure-Level Adj Gas'!$L498, 'v12 Revisions'!$D$29:$D$186,0)),"")</f>
        <v>Updated reduction(%) in total operating hours for normal and low occupancy period.</v>
      </c>
      <c r="BF498" s="266">
        <f t="shared" ca="1" si="300"/>
        <v>0</v>
      </c>
      <c r="BG498" s="264">
        <f t="shared" ca="1" si="301"/>
        <v>0</v>
      </c>
      <c r="BH498" s="262"/>
      <c r="BI498" s="262"/>
      <c r="BJ498" s="265">
        <f ca="1">IFERROR(INDEX(Algorithms!$G:$G,MATCH($C498&amp;"_Therm Saved per Unit",Algorithms!$A:$A,0)),0)</f>
        <v>62.687100553999997</v>
      </c>
      <c r="BK498" s="164"/>
      <c r="BL498" s="266">
        <f t="shared" ca="1" si="302"/>
        <v>0</v>
      </c>
      <c r="BM498" s="264">
        <f t="shared" ca="1" si="303"/>
        <v>0</v>
      </c>
      <c r="BN498" s="266">
        <f t="shared" si="304"/>
        <v>0</v>
      </c>
      <c r="BO498" s="266">
        <f t="shared" si="305"/>
        <v>0</v>
      </c>
      <c r="BP498" s="266">
        <f t="shared" ca="1" si="306"/>
        <v>0</v>
      </c>
      <c r="BQ498" s="266">
        <f t="shared" ca="1" si="307"/>
        <v>0</v>
      </c>
      <c r="BR498" s="268">
        <f t="shared" ca="1" si="308"/>
        <v>0</v>
      </c>
      <c r="BS498" s="262" t="s">
        <v>99</v>
      </c>
      <c r="BT498" s="277"/>
      <c r="BW498" s="266">
        <f t="shared" si="309"/>
        <v>0</v>
      </c>
      <c r="BX498" s="266">
        <f t="shared" si="310"/>
        <v>0</v>
      </c>
      <c r="BY498" s="266">
        <f t="shared" si="311"/>
        <v>0</v>
      </c>
      <c r="BZ498" s="266">
        <f t="shared" si="312"/>
        <v>0</v>
      </c>
      <c r="CA498" s="266">
        <f ca="1">N498*IFERROR(INDEX(Algorithms!$G:$G,MATCH($C498&amp;"_Therm Saved per Unit- MLA",Algorithms!$A:$A,0)),0)*X498</f>
        <v>0</v>
      </c>
      <c r="CB498" s="266">
        <f ca="1">O498*IFERROR(INDEX(Algorithms!$G:$G,MATCH($C498&amp;"_Therm Saved per Unit- MLA",Algorithms!$A:$A,0)),0)*Y498</f>
        <v>0</v>
      </c>
      <c r="CC498" s="266">
        <f ca="1">P498*IFERROR(INDEX(Algorithms!$G:$G,MATCH($C498&amp;"_Therm Saved per Unit- MLA",Algorithms!$A:$A,0)),0)*Z498</f>
        <v>0</v>
      </c>
      <c r="CD498" s="266">
        <f ca="1">Q498*IFERROR(INDEX(Algorithms!$G:$G,MATCH($C498&amp;"_Therm Saved per Unit- MLA",Algorithms!$A:$A,0)),0)*AA498</f>
        <v>0</v>
      </c>
      <c r="CE498" s="266">
        <f ca="1">IFERROR(INDEX(Algorithms!$G:$G,MATCH($C498&amp;"_Lifetime (years)",Algorithms!$A:$A,0)),0)</f>
        <v>15</v>
      </c>
      <c r="CF498" s="266">
        <f ca="1">IFERROR(INDEX(Algorithms!$G:$G,MATCH($C498&amp;"_Lifetime (years) - Remaining Years",Algorithms!$A:$A,0)),0)</f>
        <v>0</v>
      </c>
      <c r="CG498" s="266">
        <f t="shared" ca="1" si="313"/>
        <v>0</v>
      </c>
      <c r="CH498" s="266">
        <f t="shared" ca="1" si="314"/>
        <v>0</v>
      </c>
      <c r="CI498" s="266">
        <f t="shared" ca="1" si="315"/>
        <v>0</v>
      </c>
      <c r="CJ498" s="266">
        <f t="shared" ca="1" si="316"/>
        <v>0</v>
      </c>
      <c r="CK498" s="266">
        <f t="shared" si="317"/>
        <v>0</v>
      </c>
      <c r="CL498" s="266">
        <f t="shared" si="318"/>
        <v>0</v>
      </c>
      <c r="CM498" s="266">
        <f t="shared" ca="1" si="319"/>
        <v>0</v>
      </c>
      <c r="CN498" s="266">
        <f t="shared" ca="1" si="320"/>
        <v>0</v>
      </c>
      <c r="CO498" s="266">
        <f ca="1">N498*IFERROR(INDEX(Algorithms!$G:$G,MATCH($C498&amp;"_Therm Saved per Unit- MLA",Algorithms!$A:$A,0)),0)*X498</f>
        <v>0</v>
      </c>
      <c r="CP498" s="266">
        <f ca="1">O498*IFERROR(INDEX(Algorithms!$G:$G,MATCH($C498&amp;"_Therm Saved per Unit- MLA",Algorithms!$A:$A,0)),0)*Y498</f>
        <v>0</v>
      </c>
      <c r="CQ498" s="266">
        <f ca="1">P498*IFERROR(INDEX(Algorithms!$G:$G,MATCH($C498&amp;"_Therm Saved per Unit- MLA",Algorithms!$A:$A,0)),0)*Z498</f>
        <v>0</v>
      </c>
      <c r="CR498" s="266">
        <f ca="1">Q498*IFERROR(INDEX(Algorithms!$G:$G,MATCH($C498&amp;"_Therm Saved per Unit- MLA",Algorithms!$A:$A,0)),0)*AA498</f>
        <v>0</v>
      </c>
      <c r="CS498" s="266">
        <f ca="1">IFERROR(INDEX(Algorithms!$G:$G,MATCH($C498&amp;"_Lifetime (years)",Algorithms!$A:$A,0)),0)</f>
        <v>15</v>
      </c>
      <c r="CT498" s="266">
        <f ca="1">IFERROR(INDEX(Algorithms!$G:$G,MATCH($C498&amp;"_Lifetime (years) - Remaining Years",Algorithms!$A:$A,0)),0)</f>
        <v>0</v>
      </c>
      <c r="CU498" s="266">
        <f t="shared" ca="1" si="321"/>
        <v>0</v>
      </c>
      <c r="CV498" s="266">
        <f t="shared" ca="1" si="322"/>
        <v>0</v>
      </c>
      <c r="CW498" s="266">
        <f t="shared" ca="1" si="323"/>
        <v>0</v>
      </c>
      <c r="CX498" s="266">
        <f t="shared" ca="1" si="324"/>
        <v>0</v>
      </c>
    </row>
    <row r="499" spans="2:102" s="47" customFormat="1" ht="18" customHeight="1" x14ac:dyDescent="0.25">
      <c r="B499" t="str">
        <f t="shared" si="325"/>
        <v>NSG_Income Eligible_Multi-Family_Whole Building - Public Housing_Water Heater_Central/Indirect MF ≥88% TE_MF</v>
      </c>
      <c r="C499" s="47" t="str">
        <f t="shared" si="286"/>
        <v>Water Heater_Central/Indirect MF ≥88% TE_MF</v>
      </c>
      <c r="D499" s="270" t="s">
        <v>1787</v>
      </c>
      <c r="E499" s="270" t="s">
        <v>325</v>
      </c>
      <c r="F499" s="270" t="s">
        <v>1422</v>
      </c>
      <c r="G499" s="270" t="s">
        <v>1817</v>
      </c>
      <c r="H499" s="270" t="s">
        <v>8</v>
      </c>
      <c r="I499" s="270" t="s">
        <v>1066</v>
      </c>
      <c r="J499" s="270" t="s">
        <v>553</v>
      </c>
      <c r="K499" s="263">
        <v>1</v>
      </c>
      <c r="L499" s="263" t="str">
        <f ca="1">IFERROR(INDEX(Algorithms!J:J,MATCH($C499&amp;"_Therm Saved per Unit",Algorithms!$A:$A,0)),"n/a")</f>
        <v>4.3.7</v>
      </c>
      <c r="M499" s="263" t="str">
        <f>IFERROR(INDEX('Measure Level Detail'!$N:$N,MATCH($B499,'Measure Level Detail'!$B:$B,0)),0)</f>
        <v>each</v>
      </c>
      <c r="N499" s="271">
        <f>IFERROR(INDEX('Measure Level Detail'!$P:$P,MATCH($B499&amp;"_"&amp;N$3,'Measure Level Detail'!$C:$C,0)),0)</f>
        <v>0</v>
      </c>
      <c r="O499" s="271">
        <f>IFERROR(INDEX('Measure Level Detail'!$P:$P,MATCH($B499&amp;"_"&amp;O$3,'Measure Level Detail'!$C:$C,0)),0)</f>
        <v>0</v>
      </c>
      <c r="P499" s="271">
        <f>IFERROR(INDEX('Measure Level Detail'!$P:$P,MATCH($B499&amp;"_"&amp;P$3,'Measure Level Detail'!$C:$C,0)),0)</f>
        <v>0</v>
      </c>
      <c r="Q499" s="271">
        <f>IFERROR(INDEX('Measure Level Detail'!$P:$P,MATCH($B499&amp;"_"&amp;Q$3,'Measure Level Detail'!$C:$C,0)),0)</f>
        <v>0</v>
      </c>
      <c r="R499" s="263" t="str">
        <f ca="1">IFERROR(INDEX(Algorithms!K:K,MATCH($C499&amp;"_Therm Saved per Unit",Algorithms!$A:$A,0)),"n/a")</f>
        <v>CI-HWE-MDHW-V07-240101</v>
      </c>
      <c r="S499" s="262"/>
      <c r="T499" s="272">
        <v>453.64159574999974</v>
      </c>
      <c r="U499" s="272">
        <v>453.64159574999974</v>
      </c>
      <c r="V499" s="272">
        <v>453.64159574999974</v>
      </c>
      <c r="W499" s="272">
        <v>453.64159574999974</v>
      </c>
      <c r="X499" s="273">
        <f>IFERROR(INDEX('Measure Level Detail'!$R:$R,MATCH($B499&amp;"_"&amp;X$3,'Measure Level Detail'!$C:$C,0)),0)</f>
        <v>1</v>
      </c>
      <c r="Y499" s="273">
        <f>IFERROR(INDEX('Measure Level Detail'!$R:$R,MATCH($B499&amp;"_"&amp;Y$3,'Measure Level Detail'!$C:$C,0)),0)</f>
        <v>1</v>
      </c>
      <c r="Z499" s="273">
        <f>IFERROR(INDEX('Measure Level Detail'!$R:$R,MATCH($B499&amp;"_"&amp;Z$3,'Measure Level Detail'!$C:$C,0)),0)</f>
        <v>1</v>
      </c>
      <c r="AA499" s="273">
        <f>IFERROR(INDEX('Measure Level Detail'!$R:$R,MATCH($B499&amp;"_"&amp;AA$3,'Measure Level Detail'!$C:$C,0)),0)</f>
        <v>1</v>
      </c>
      <c r="AB499" s="266">
        <f t="shared" si="287"/>
        <v>0</v>
      </c>
      <c r="AC499" s="266">
        <f t="shared" si="288"/>
        <v>0</v>
      </c>
      <c r="AD499" s="266">
        <f t="shared" si="289"/>
        <v>0</v>
      </c>
      <c r="AE499" s="266">
        <f t="shared" si="290"/>
        <v>0</v>
      </c>
      <c r="AF499" s="266">
        <f t="shared" si="291"/>
        <v>0</v>
      </c>
      <c r="AG499" s="274">
        <v>1</v>
      </c>
      <c r="AH499" s="274">
        <v>1</v>
      </c>
      <c r="AI499" s="274">
        <v>1</v>
      </c>
      <c r="AJ499" s="274">
        <v>1</v>
      </c>
      <c r="AK499" s="274">
        <f t="shared" si="292"/>
        <v>1</v>
      </c>
      <c r="AL499" s="274">
        <f t="shared" si="293"/>
        <v>1</v>
      </c>
      <c r="AM499" s="274">
        <f t="shared" si="294"/>
        <v>1</v>
      </c>
      <c r="AN499" s="274">
        <f t="shared" si="295"/>
        <v>1</v>
      </c>
      <c r="AO499" s="262"/>
      <c r="AP499" s="262"/>
      <c r="AQ499" s="267">
        <v>474.72634597499967</v>
      </c>
      <c r="AR499" s="262"/>
      <c r="AS499" s="266">
        <f t="shared" si="296"/>
        <v>0</v>
      </c>
      <c r="AT499" s="264">
        <f t="shared" si="297"/>
        <v>0</v>
      </c>
      <c r="AU499" s="262"/>
      <c r="AV499" s="262"/>
      <c r="AW499" s="265">
        <v>474.72634597499967</v>
      </c>
      <c r="AX499" s="164" t="s">
        <v>1469</v>
      </c>
      <c r="AY499" s="266">
        <v>0</v>
      </c>
      <c r="AZ499" s="266">
        <f t="shared" si="298"/>
        <v>0</v>
      </c>
      <c r="BA499" s="264">
        <f t="shared" si="299"/>
        <v>0</v>
      </c>
      <c r="BB499" s="262"/>
      <c r="BC499" s="262"/>
      <c r="BD499" s="265">
        <f ca="1">IFERROR(INDEX(Algorithms!$G:$G,MATCH($C499&amp;"_Therm Saved per Unit",Algorithms!$A:$A,0)),0)</f>
        <v>474.72634597499967</v>
      </c>
      <c r="BE499" s="164" t="str">
        <f ca="1">IFERROR(INDEX('v12 Revisions'!$P$29:$P$186, MATCH('Measure-Level Adj Gas'!$L499, 'v12 Revisions'!$D$29:$D$186,0)),"")</f>
        <v>n/a - language only.</v>
      </c>
      <c r="BF499" s="266">
        <f t="shared" ca="1" si="300"/>
        <v>0</v>
      </c>
      <c r="BG499" s="264">
        <f t="shared" ca="1" si="301"/>
        <v>0</v>
      </c>
      <c r="BH499" s="262"/>
      <c r="BI499" s="262"/>
      <c r="BJ499" s="265">
        <f ca="1">IFERROR(INDEX(Algorithms!$G:$G,MATCH($C499&amp;"_Therm Saved per Unit",Algorithms!$A:$A,0)),0)</f>
        <v>474.72634597499967</v>
      </c>
      <c r="BK499" s="164"/>
      <c r="BL499" s="266">
        <f t="shared" ca="1" si="302"/>
        <v>0</v>
      </c>
      <c r="BM499" s="264">
        <f t="shared" ca="1" si="303"/>
        <v>0</v>
      </c>
      <c r="BN499" s="266">
        <f t="shared" si="304"/>
        <v>0</v>
      </c>
      <c r="BO499" s="266">
        <f t="shared" si="305"/>
        <v>0</v>
      </c>
      <c r="BP499" s="266">
        <f t="shared" ca="1" si="306"/>
        <v>0</v>
      </c>
      <c r="BQ499" s="266">
        <f t="shared" ca="1" si="307"/>
        <v>0</v>
      </c>
      <c r="BR499" s="268">
        <f t="shared" ca="1" si="308"/>
        <v>0</v>
      </c>
      <c r="BS499" s="262" t="s">
        <v>99</v>
      </c>
      <c r="BT499" s="277"/>
      <c r="BW499" s="266">
        <f t="shared" si="309"/>
        <v>0</v>
      </c>
      <c r="BX499" s="266">
        <f t="shared" si="310"/>
        <v>0</v>
      </c>
      <c r="BY499" s="266">
        <f t="shared" si="311"/>
        <v>0</v>
      </c>
      <c r="BZ499" s="266">
        <f t="shared" si="312"/>
        <v>0</v>
      </c>
      <c r="CA499" s="266">
        <f ca="1">N499*IFERROR(INDEX(Algorithms!$G:$G,MATCH($C499&amp;"_Therm Saved per Unit- MLA",Algorithms!$A:$A,0)),0)*X499</f>
        <v>0</v>
      </c>
      <c r="CB499" s="266">
        <f ca="1">O499*IFERROR(INDEX(Algorithms!$G:$G,MATCH($C499&amp;"_Therm Saved per Unit- MLA",Algorithms!$A:$A,0)),0)*Y499</f>
        <v>0</v>
      </c>
      <c r="CC499" s="266">
        <f ca="1">P499*IFERROR(INDEX(Algorithms!$G:$G,MATCH($C499&amp;"_Therm Saved per Unit- MLA",Algorithms!$A:$A,0)),0)*Z499</f>
        <v>0</v>
      </c>
      <c r="CD499" s="266">
        <f ca="1">Q499*IFERROR(INDEX(Algorithms!$G:$G,MATCH($C499&amp;"_Therm Saved per Unit- MLA",Algorithms!$A:$A,0)),0)*AA499</f>
        <v>0</v>
      </c>
      <c r="CE499" s="266">
        <f ca="1">IFERROR(INDEX(Algorithms!$G:$G,MATCH($C499&amp;"_Lifetime (years)",Algorithms!$A:$A,0)),0)</f>
        <v>15</v>
      </c>
      <c r="CF499" s="266">
        <f ca="1">IFERROR(INDEX(Algorithms!$G:$G,MATCH($C499&amp;"_Lifetime (years) - Remaining Years",Algorithms!$A:$A,0)),0)</f>
        <v>0</v>
      </c>
      <c r="CG499" s="266">
        <f t="shared" ca="1" si="313"/>
        <v>0</v>
      </c>
      <c r="CH499" s="266">
        <f t="shared" ca="1" si="314"/>
        <v>0</v>
      </c>
      <c r="CI499" s="266">
        <f t="shared" ca="1" si="315"/>
        <v>0</v>
      </c>
      <c r="CJ499" s="266">
        <f t="shared" ca="1" si="316"/>
        <v>0</v>
      </c>
      <c r="CK499" s="266">
        <f t="shared" si="317"/>
        <v>0</v>
      </c>
      <c r="CL499" s="266">
        <f t="shared" si="318"/>
        <v>0</v>
      </c>
      <c r="CM499" s="266">
        <f t="shared" ca="1" si="319"/>
        <v>0</v>
      </c>
      <c r="CN499" s="266">
        <f t="shared" ca="1" si="320"/>
        <v>0</v>
      </c>
      <c r="CO499" s="266">
        <f ca="1">N499*IFERROR(INDEX(Algorithms!$G:$G,MATCH($C499&amp;"_Therm Saved per Unit- MLA",Algorithms!$A:$A,0)),0)*X499</f>
        <v>0</v>
      </c>
      <c r="CP499" s="266">
        <f ca="1">O499*IFERROR(INDEX(Algorithms!$G:$G,MATCH($C499&amp;"_Therm Saved per Unit- MLA",Algorithms!$A:$A,0)),0)*Y499</f>
        <v>0</v>
      </c>
      <c r="CQ499" s="266">
        <f ca="1">P499*IFERROR(INDEX(Algorithms!$G:$G,MATCH($C499&amp;"_Therm Saved per Unit- MLA",Algorithms!$A:$A,0)),0)*Z499</f>
        <v>0</v>
      </c>
      <c r="CR499" s="266">
        <f ca="1">Q499*IFERROR(INDEX(Algorithms!$G:$G,MATCH($C499&amp;"_Therm Saved per Unit- MLA",Algorithms!$A:$A,0)),0)*AA499</f>
        <v>0</v>
      </c>
      <c r="CS499" s="266">
        <f ca="1">IFERROR(INDEX(Algorithms!$G:$G,MATCH($C499&amp;"_Lifetime (years)",Algorithms!$A:$A,0)),0)</f>
        <v>15</v>
      </c>
      <c r="CT499" s="266">
        <f ca="1">IFERROR(INDEX(Algorithms!$G:$G,MATCH($C499&amp;"_Lifetime (years) - Remaining Years",Algorithms!$A:$A,0)),0)</f>
        <v>0</v>
      </c>
      <c r="CU499" s="266">
        <f t="shared" ca="1" si="321"/>
        <v>0</v>
      </c>
      <c r="CV499" s="266">
        <f t="shared" ca="1" si="322"/>
        <v>0</v>
      </c>
      <c r="CW499" s="266">
        <f t="shared" ca="1" si="323"/>
        <v>0</v>
      </c>
      <c r="CX499" s="266">
        <f t="shared" ca="1" si="324"/>
        <v>0</v>
      </c>
    </row>
    <row r="500" spans="2:102" s="47" customFormat="1" ht="18" customHeight="1" x14ac:dyDescent="0.25">
      <c r="B500" t="str">
        <f t="shared" si="325"/>
        <v>NSG_Income Eligible_Multi-Family_Whole Building - Public Housing_Water Heater_Storage 0.67 EF_MF</v>
      </c>
      <c r="C500" s="47" t="str">
        <f t="shared" si="286"/>
        <v>Water Heater_Storage 0.67 EF_MF</v>
      </c>
      <c r="D500" s="270" t="s">
        <v>1787</v>
      </c>
      <c r="E500" s="270" t="s">
        <v>325</v>
      </c>
      <c r="F500" s="270" t="s">
        <v>1422</v>
      </c>
      <c r="G500" s="270" t="s">
        <v>1817</v>
      </c>
      <c r="H500" s="270" t="s">
        <v>8</v>
      </c>
      <c r="I500" s="270" t="s">
        <v>879</v>
      </c>
      <c r="J500" s="270" t="s">
        <v>553</v>
      </c>
      <c r="K500" s="263">
        <v>1</v>
      </c>
      <c r="L500" s="263" t="str">
        <f ca="1">IFERROR(INDEX(Algorithms!J:J,MATCH($C500&amp;"_Therm Saved per Unit",Algorithms!$A:$A,0)),"n/a")</f>
        <v>4.3.1</v>
      </c>
      <c r="M500" s="263" t="str">
        <f>IFERROR(INDEX('Measure Level Detail'!$N:$N,MATCH($B500,'Measure Level Detail'!$B:$B,0)),0)</f>
        <v>each</v>
      </c>
      <c r="N500" s="271">
        <f>IFERROR(INDEX('Measure Level Detail'!$P:$P,MATCH($B500&amp;"_"&amp;N$3,'Measure Level Detail'!$C:$C,0)),0)</f>
        <v>0</v>
      </c>
      <c r="O500" s="271">
        <f>IFERROR(INDEX('Measure Level Detail'!$P:$P,MATCH($B500&amp;"_"&amp;O$3,'Measure Level Detail'!$C:$C,0)),0)</f>
        <v>0</v>
      </c>
      <c r="P500" s="271">
        <f>IFERROR(INDEX('Measure Level Detail'!$P:$P,MATCH($B500&amp;"_"&amp;P$3,'Measure Level Detail'!$C:$C,0)),0)</f>
        <v>0</v>
      </c>
      <c r="Q500" s="271">
        <f>IFERROR(INDEX('Measure Level Detail'!$P:$P,MATCH($B500&amp;"_"&amp;Q$3,'Measure Level Detail'!$C:$C,0)),0)</f>
        <v>0</v>
      </c>
      <c r="R500" s="263" t="str">
        <f ca="1">IFERROR(INDEX(Algorithms!K:K,MATCH($C500&amp;"_Therm Saved per Unit",Algorithms!$A:$A,0)),"n/a")</f>
        <v>CI-HWE-STWH-V10-240101</v>
      </c>
      <c r="S500" s="262"/>
      <c r="T500" s="272">
        <v>35.435517834876244</v>
      </c>
      <c r="U500" s="272">
        <v>35.435517834876244</v>
      </c>
      <c r="V500" s="272">
        <v>35.435517834876244</v>
      </c>
      <c r="W500" s="272">
        <v>35.435517834876244</v>
      </c>
      <c r="X500" s="273">
        <f>IFERROR(INDEX('Measure Level Detail'!$R:$R,MATCH($B500&amp;"_"&amp;X$3,'Measure Level Detail'!$C:$C,0)),0)</f>
        <v>1</v>
      </c>
      <c r="Y500" s="273">
        <f>IFERROR(INDEX('Measure Level Detail'!$R:$R,MATCH($B500&amp;"_"&amp;Y$3,'Measure Level Detail'!$C:$C,0)),0)</f>
        <v>1</v>
      </c>
      <c r="Z500" s="273">
        <f>IFERROR(INDEX('Measure Level Detail'!$R:$R,MATCH($B500&amp;"_"&amp;Z$3,'Measure Level Detail'!$C:$C,0)),0)</f>
        <v>1</v>
      </c>
      <c r="AA500" s="273">
        <f>IFERROR(INDEX('Measure Level Detail'!$R:$R,MATCH($B500&amp;"_"&amp;AA$3,'Measure Level Detail'!$C:$C,0)),0)</f>
        <v>1</v>
      </c>
      <c r="AB500" s="266">
        <f t="shared" si="287"/>
        <v>0</v>
      </c>
      <c r="AC500" s="266">
        <f t="shared" si="288"/>
        <v>0</v>
      </c>
      <c r="AD500" s="266">
        <f t="shared" si="289"/>
        <v>0</v>
      </c>
      <c r="AE500" s="266">
        <f t="shared" si="290"/>
        <v>0</v>
      </c>
      <c r="AF500" s="266">
        <f t="shared" si="291"/>
        <v>0</v>
      </c>
      <c r="AG500" s="274">
        <v>1</v>
      </c>
      <c r="AH500" s="274">
        <v>1</v>
      </c>
      <c r="AI500" s="274">
        <v>1</v>
      </c>
      <c r="AJ500" s="274">
        <v>1</v>
      </c>
      <c r="AK500" s="274">
        <f t="shared" si="292"/>
        <v>1</v>
      </c>
      <c r="AL500" s="274">
        <f t="shared" si="293"/>
        <v>1</v>
      </c>
      <c r="AM500" s="274">
        <f t="shared" si="294"/>
        <v>1</v>
      </c>
      <c r="AN500" s="274">
        <f t="shared" si="295"/>
        <v>1</v>
      </c>
      <c r="AO500" s="262"/>
      <c r="AP500" s="262"/>
      <c r="AQ500" s="267">
        <v>37.082520776497255</v>
      </c>
      <c r="AR500" s="262"/>
      <c r="AS500" s="266">
        <f t="shared" si="296"/>
        <v>0</v>
      </c>
      <c r="AT500" s="264">
        <f t="shared" si="297"/>
        <v>0</v>
      </c>
      <c r="AU500" s="262"/>
      <c r="AV500" s="262"/>
      <c r="AW500" s="265">
        <v>36.883152385225763</v>
      </c>
      <c r="AX500" s="164" t="s">
        <v>1469</v>
      </c>
      <c r="AY500" s="266">
        <v>0</v>
      </c>
      <c r="AZ500" s="266">
        <f t="shared" si="298"/>
        <v>0</v>
      </c>
      <c r="BA500" s="264">
        <f t="shared" si="299"/>
        <v>0</v>
      </c>
      <c r="BB500" s="262"/>
      <c r="BC500" s="262"/>
      <c r="BD500" s="265">
        <f ca="1">IFERROR(INDEX(Algorithms!$G:$G,MATCH($C500&amp;"_Therm Saved per Unit",Algorithms!$A:$A,0)),0)</f>
        <v>36.883152385225763</v>
      </c>
      <c r="BE500" s="164" t="str">
        <f ca="1">IFERROR(INDEX('v12 Revisions'!$P$29:$P$186, MATCH('Measure-Level Adj Gas'!$L500, 'v12 Revisions'!$D$29:$D$186,0)),"")</f>
        <v>n/a - language only.</v>
      </c>
      <c r="BF500" s="266">
        <f t="shared" ca="1" si="300"/>
        <v>0</v>
      </c>
      <c r="BG500" s="264">
        <f t="shared" ca="1" si="301"/>
        <v>0</v>
      </c>
      <c r="BH500" s="262"/>
      <c r="BI500" s="262"/>
      <c r="BJ500" s="265">
        <f ca="1">IFERROR(INDEX(Algorithms!$G:$G,MATCH($C500&amp;"_Therm Saved per Unit",Algorithms!$A:$A,0)),0)</f>
        <v>36.883152385225763</v>
      </c>
      <c r="BK500" s="164"/>
      <c r="BL500" s="266">
        <f t="shared" ca="1" si="302"/>
        <v>0</v>
      </c>
      <c r="BM500" s="264">
        <f t="shared" ca="1" si="303"/>
        <v>0</v>
      </c>
      <c r="BN500" s="266">
        <f t="shared" si="304"/>
        <v>0</v>
      </c>
      <c r="BO500" s="266">
        <f t="shared" si="305"/>
        <v>0</v>
      </c>
      <c r="BP500" s="266">
        <f t="shared" ca="1" si="306"/>
        <v>0</v>
      </c>
      <c r="BQ500" s="266">
        <f t="shared" ca="1" si="307"/>
        <v>0</v>
      </c>
      <c r="BR500" s="268">
        <f t="shared" ca="1" si="308"/>
        <v>0</v>
      </c>
      <c r="BS500" s="262" t="s">
        <v>99</v>
      </c>
      <c r="BT500" s="277"/>
      <c r="BW500" s="266">
        <f t="shared" si="309"/>
        <v>0</v>
      </c>
      <c r="BX500" s="266">
        <f t="shared" si="310"/>
        <v>0</v>
      </c>
      <c r="BY500" s="266">
        <f t="shared" si="311"/>
        <v>0</v>
      </c>
      <c r="BZ500" s="266">
        <f t="shared" si="312"/>
        <v>0</v>
      </c>
      <c r="CA500" s="266">
        <f ca="1">N500*IFERROR(INDEX(Algorithms!$G:$G,MATCH($C500&amp;"_Therm Saved per Unit- MLA",Algorithms!$A:$A,0)),0)*X500</f>
        <v>0</v>
      </c>
      <c r="CB500" s="266">
        <f ca="1">O500*IFERROR(INDEX(Algorithms!$G:$G,MATCH($C500&amp;"_Therm Saved per Unit- MLA",Algorithms!$A:$A,0)),0)*Y500</f>
        <v>0</v>
      </c>
      <c r="CC500" s="266">
        <f ca="1">P500*IFERROR(INDEX(Algorithms!$G:$G,MATCH($C500&amp;"_Therm Saved per Unit- MLA",Algorithms!$A:$A,0)),0)*Z500</f>
        <v>0</v>
      </c>
      <c r="CD500" s="266">
        <f ca="1">Q500*IFERROR(INDEX(Algorithms!$G:$G,MATCH($C500&amp;"_Therm Saved per Unit- MLA",Algorithms!$A:$A,0)),0)*AA500</f>
        <v>0</v>
      </c>
      <c r="CE500" s="266">
        <f ca="1">IFERROR(INDEX(Algorithms!$G:$G,MATCH($C500&amp;"_Lifetime (years)",Algorithms!$A:$A,0)),0)</f>
        <v>15</v>
      </c>
      <c r="CF500" s="266">
        <f ca="1">IFERROR(INDEX(Algorithms!$G:$G,MATCH($C500&amp;"_Lifetime (years) - Remaining Years",Algorithms!$A:$A,0)),0)</f>
        <v>0</v>
      </c>
      <c r="CG500" s="266">
        <f t="shared" ca="1" si="313"/>
        <v>0</v>
      </c>
      <c r="CH500" s="266">
        <f t="shared" ca="1" si="314"/>
        <v>0</v>
      </c>
      <c r="CI500" s="266">
        <f t="shared" ca="1" si="315"/>
        <v>0</v>
      </c>
      <c r="CJ500" s="266">
        <f t="shared" ca="1" si="316"/>
        <v>0</v>
      </c>
      <c r="CK500" s="266">
        <f t="shared" si="317"/>
        <v>0</v>
      </c>
      <c r="CL500" s="266">
        <f t="shared" si="318"/>
        <v>0</v>
      </c>
      <c r="CM500" s="266">
        <f t="shared" ca="1" si="319"/>
        <v>0</v>
      </c>
      <c r="CN500" s="266">
        <f t="shared" ca="1" si="320"/>
        <v>0</v>
      </c>
      <c r="CO500" s="266">
        <f ca="1">N500*IFERROR(INDEX(Algorithms!$G:$G,MATCH($C500&amp;"_Therm Saved per Unit- MLA",Algorithms!$A:$A,0)),0)*X500</f>
        <v>0</v>
      </c>
      <c r="CP500" s="266">
        <f ca="1">O500*IFERROR(INDEX(Algorithms!$G:$G,MATCH($C500&amp;"_Therm Saved per Unit- MLA",Algorithms!$A:$A,0)),0)*Y500</f>
        <v>0</v>
      </c>
      <c r="CQ500" s="266">
        <f ca="1">P500*IFERROR(INDEX(Algorithms!$G:$G,MATCH($C500&amp;"_Therm Saved per Unit- MLA",Algorithms!$A:$A,0)),0)*Z500</f>
        <v>0</v>
      </c>
      <c r="CR500" s="266">
        <f ca="1">Q500*IFERROR(INDEX(Algorithms!$G:$G,MATCH($C500&amp;"_Therm Saved per Unit- MLA",Algorithms!$A:$A,0)),0)*AA500</f>
        <v>0</v>
      </c>
      <c r="CS500" s="266">
        <f ca="1">IFERROR(INDEX(Algorithms!$G:$G,MATCH($C500&amp;"_Lifetime (years)",Algorithms!$A:$A,0)),0)</f>
        <v>15</v>
      </c>
      <c r="CT500" s="266">
        <f ca="1">IFERROR(INDEX(Algorithms!$G:$G,MATCH($C500&amp;"_Lifetime (years) - Remaining Years",Algorithms!$A:$A,0)),0)</f>
        <v>0</v>
      </c>
      <c r="CU500" s="266">
        <f t="shared" ca="1" si="321"/>
        <v>0</v>
      </c>
      <c r="CV500" s="266">
        <f t="shared" ca="1" si="322"/>
        <v>0</v>
      </c>
      <c r="CW500" s="266">
        <f t="shared" ca="1" si="323"/>
        <v>0</v>
      </c>
      <c r="CX500" s="266">
        <f t="shared" ca="1" si="324"/>
        <v>0</v>
      </c>
    </row>
    <row r="501" spans="2:102" s="47" customFormat="1" ht="18" customHeight="1" x14ac:dyDescent="0.25">
      <c r="B501" t="str">
        <f t="shared" si="325"/>
        <v>NSG_Income Eligible_Multi-Family_Whole Building - Public Housing_Water Heater_Tankless_MF</v>
      </c>
      <c r="C501" s="47" t="str">
        <f t="shared" si="286"/>
        <v>Water Heater_Tankless_MF</v>
      </c>
      <c r="D501" s="270" t="s">
        <v>1787</v>
      </c>
      <c r="E501" s="270" t="s">
        <v>325</v>
      </c>
      <c r="F501" s="270" t="s">
        <v>1422</v>
      </c>
      <c r="G501" s="270" t="s">
        <v>1817</v>
      </c>
      <c r="H501" s="270" t="s">
        <v>8</v>
      </c>
      <c r="I501" s="270" t="s">
        <v>380</v>
      </c>
      <c r="J501" s="270" t="s">
        <v>553</v>
      </c>
      <c r="K501" s="263">
        <v>1</v>
      </c>
      <c r="L501" s="263" t="str">
        <f ca="1">IFERROR(INDEX(Algorithms!J:J,MATCH($C501&amp;"_Therm Saved per Unit",Algorithms!$A:$A,0)),"n/a")</f>
        <v>5.4.2</v>
      </c>
      <c r="M501" s="263" t="str">
        <f>IFERROR(INDEX('Measure Level Detail'!$N:$N,MATCH($B501,'Measure Level Detail'!$B:$B,0)),0)</f>
        <v>each</v>
      </c>
      <c r="N501" s="271">
        <f>IFERROR(INDEX('Measure Level Detail'!$P:$P,MATCH($B501&amp;"_"&amp;N$3,'Measure Level Detail'!$C:$C,0)),0)</f>
        <v>0</v>
      </c>
      <c r="O501" s="271">
        <f>IFERROR(INDEX('Measure Level Detail'!$P:$P,MATCH($B501&amp;"_"&amp;O$3,'Measure Level Detail'!$C:$C,0)),0)</f>
        <v>0</v>
      </c>
      <c r="P501" s="271">
        <f>IFERROR(INDEX('Measure Level Detail'!$P:$P,MATCH($B501&amp;"_"&amp;P$3,'Measure Level Detail'!$C:$C,0)),0)</f>
        <v>0</v>
      </c>
      <c r="Q501" s="271">
        <f>IFERROR(INDEX('Measure Level Detail'!$P:$P,MATCH($B501&amp;"_"&amp;Q$3,'Measure Level Detail'!$C:$C,0)),0)</f>
        <v>0</v>
      </c>
      <c r="R501" s="263" t="str">
        <f ca="1">IFERROR(INDEX(Algorithms!K:K,MATCH($C501&amp;"_Therm Saved per Unit",Algorithms!$A:$A,0)),"n/a")</f>
        <v>RS-HWE-GWHT-V11-240101</v>
      </c>
      <c r="S501" s="262"/>
      <c r="T501" s="272">
        <v>52.561472982403039</v>
      </c>
      <c r="U501" s="272">
        <v>52.561472982403039</v>
      </c>
      <c r="V501" s="272">
        <v>52.561472982403039</v>
      </c>
      <c r="W501" s="272">
        <v>52.561472982403039</v>
      </c>
      <c r="X501" s="273">
        <f>IFERROR(INDEX('Measure Level Detail'!$R:$R,MATCH($B501&amp;"_"&amp;X$3,'Measure Level Detail'!$C:$C,0)),0)</f>
        <v>1</v>
      </c>
      <c r="Y501" s="273">
        <f>IFERROR(INDEX('Measure Level Detail'!$R:$R,MATCH($B501&amp;"_"&amp;Y$3,'Measure Level Detail'!$C:$C,0)),0)</f>
        <v>1</v>
      </c>
      <c r="Z501" s="273">
        <f>IFERROR(INDEX('Measure Level Detail'!$R:$R,MATCH($B501&amp;"_"&amp;Z$3,'Measure Level Detail'!$C:$C,0)),0)</f>
        <v>1</v>
      </c>
      <c r="AA501" s="273">
        <f>IFERROR(INDEX('Measure Level Detail'!$R:$R,MATCH($B501&amp;"_"&amp;AA$3,'Measure Level Detail'!$C:$C,0)),0)</f>
        <v>1</v>
      </c>
      <c r="AB501" s="266">
        <f t="shared" si="287"/>
        <v>0</v>
      </c>
      <c r="AC501" s="266">
        <f t="shared" si="288"/>
        <v>0</v>
      </c>
      <c r="AD501" s="266">
        <f t="shared" si="289"/>
        <v>0</v>
      </c>
      <c r="AE501" s="266">
        <f t="shared" si="290"/>
        <v>0</v>
      </c>
      <c r="AF501" s="266">
        <f t="shared" si="291"/>
        <v>0</v>
      </c>
      <c r="AG501" s="274">
        <v>1</v>
      </c>
      <c r="AH501" s="274">
        <v>1</v>
      </c>
      <c r="AI501" s="274">
        <v>1</v>
      </c>
      <c r="AJ501" s="274">
        <v>1</v>
      </c>
      <c r="AK501" s="274">
        <f t="shared" si="292"/>
        <v>1</v>
      </c>
      <c r="AL501" s="274">
        <f t="shared" si="293"/>
        <v>1</v>
      </c>
      <c r="AM501" s="274">
        <f t="shared" si="294"/>
        <v>1</v>
      </c>
      <c r="AN501" s="274">
        <f t="shared" si="295"/>
        <v>1</v>
      </c>
      <c r="AO501" s="262"/>
      <c r="AP501" s="262"/>
      <c r="AQ501" s="267">
        <v>55.004471022430224</v>
      </c>
      <c r="AR501" s="262"/>
      <c r="AS501" s="266">
        <f t="shared" si="296"/>
        <v>0</v>
      </c>
      <c r="AT501" s="264">
        <f t="shared" si="297"/>
        <v>0</v>
      </c>
      <c r="AU501" s="262"/>
      <c r="AV501" s="262"/>
      <c r="AW501" s="265">
        <v>55.004471022430224</v>
      </c>
      <c r="AX501" s="164" t="s">
        <v>1469</v>
      </c>
      <c r="AY501" s="266">
        <v>0</v>
      </c>
      <c r="AZ501" s="266">
        <f t="shared" si="298"/>
        <v>0</v>
      </c>
      <c r="BA501" s="264">
        <f t="shared" si="299"/>
        <v>0</v>
      </c>
      <c r="BB501" s="262"/>
      <c r="BC501" s="262"/>
      <c r="BD501" s="265">
        <f ca="1">IFERROR(INDEX(Algorithms!$G:$G,MATCH($C501&amp;"_Therm Saved per Unit",Algorithms!$A:$A,0)),0)</f>
        <v>56.031116570965146</v>
      </c>
      <c r="BE501" s="164" t="str">
        <f ca="1">IFERROR(INDEX('v12 Revisions'!$P$29:$P$186, MATCH('Measure-Level Adj Gas'!$L501, 'v12 Revisions'!$D$29:$D$186,0)),"")</f>
        <v>Baseline and efficient water heater criteria updated ; Updated measure life to 13.3 years for gas storage water heaters and 18.3 for gas instantaneous water heaters ; Updated incremental cost based on water heater type.</v>
      </c>
      <c r="BF501" s="266">
        <f t="shared" ca="1" si="300"/>
        <v>0</v>
      </c>
      <c r="BG501" s="264">
        <f t="shared" ca="1" si="301"/>
        <v>0</v>
      </c>
      <c r="BH501" s="262"/>
      <c r="BI501" s="262"/>
      <c r="BJ501" s="265">
        <f ca="1">IFERROR(INDEX(Algorithms!$G:$G,MATCH($C501&amp;"_Therm Saved per Unit",Algorithms!$A:$A,0)),0)</f>
        <v>56.031116570965146</v>
      </c>
      <c r="BK501" s="164"/>
      <c r="BL501" s="266">
        <f t="shared" ca="1" si="302"/>
        <v>0</v>
      </c>
      <c r="BM501" s="264">
        <f t="shared" ca="1" si="303"/>
        <v>0</v>
      </c>
      <c r="BN501" s="266">
        <f t="shared" si="304"/>
        <v>0</v>
      </c>
      <c r="BO501" s="266">
        <f t="shared" si="305"/>
        <v>0</v>
      </c>
      <c r="BP501" s="266">
        <f t="shared" ca="1" si="306"/>
        <v>0</v>
      </c>
      <c r="BQ501" s="266">
        <f t="shared" ca="1" si="307"/>
        <v>0</v>
      </c>
      <c r="BR501" s="268">
        <f t="shared" ca="1" si="308"/>
        <v>0</v>
      </c>
      <c r="BS501" s="262" t="s">
        <v>99</v>
      </c>
      <c r="BT501" s="277"/>
      <c r="BW501" s="266">
        <f t="shared" si="309"/>
        <v>0</v>
      </c>
      <c r="BX501" s="266">
        <f t="shared" si="310"/>
        <v>0</v>
      </c>
      <c r="BY501" s="266">
        <f t="shared" si="311"/>
        <v>0</v>
      </c>
      <c r="BZ501" s="266">
        <f t="shared" si="312"/>
        <v>0</v>
      </c>
      <c r="CA501" s="266">
        <f ca="1">N501*IFERROR(INDEX(Algorithms!$G:$G,MATCH($C501&amp;"_Therm Saved per Unit- MLA",Algorithms!$A:$A,0)),0)*X501</f>
        <v>0</v>
      </c>
      <c r="CB501" s="266">
        <f ca="1">O501*IFERROR(INDEX(Algorithms!$G:$G,MATCH($C501&amp;"_Therm Saved per Unit- MLA",Algorithms!$A:$A,0)),0)*Y501</f>
        <v>0</v>
      </c>
      <c r="CC501" s="266">
        <f ca="1">P501*IFERROR(INDEX(Algorithms!$G:$G,MATCH($C501&amp;"_Therm Saved per Unit- MLA",Algorithms!$A:$A,0)),0)*Z501</f>
        <v>0</v>
      </c>
      <c r="CD501" s="266">
        <f ca="1">Q501*IFERROR(INDEX(Algorithms!$G:$G,MATCH($C501&amp;"_Therm Saved per Unit- MLA",Algorithms!$A:$A,0)),0)*AA501</f>
        <v>0</v>
      </c>
      <c r="CE501" s="266">
        <f ca="1">IFERROR(INDEX(Algorithms!$G:$G,MATCH($C501&amp;"_Lifetime (years)",Algorithms!$A:$A,0)),0)</f>
        <v>18.3</v>
      </c>
      <c r="CF501" s="266">
        <f ca="1">IFERROR(INDEX(Algorithms!$G:$G,MATCH($C501&amp;"_Lifetime (years) - Remaining Years",Algorithms!$A:$A,0)),0)</f>
        <v>0</v>
      </c>
      <c r="CG501" s="266">
        <f t="shared" ca="1" si="313"/>
        <v>0</v>
      </c>
      <c r="CH501" s="266">
        <f t="shared" ca="1" si="314"/>
        <v>0</v>
      </c>
      <c r="CI501" s="266">
        <f t="shared" ca="1" si="315"/>
        <v>0</v>
      </c>
      <c r="CJ501" s="266">
        <f t="shared" ca="1" si="316"/>
        <v>0</v>
      </c>
      <c r="CK501" s="266">
        <f t="shared" si="317"/>
        <v>0</v>
      </c>
      <c r="CL501" s="266">
        <f t="shared" si="318"/>
        <v>0</v>
      </c>
      <c r="CM501" s="266">
        <f t="shared" ca="1" si="319"/>
        <v>0</v>
      </c>
      <c r="CN501" s="266">
        <f t="shared" ca="1" si="320"/>
        <v>0</v>
      </c>
      <c r="CO501" s="266">
        <f ca="1">N501*IFERROR(INDEX(Algorithms!$G:$G,MATCH($C501&amp;"_Therm Saved per Unit- MLA",Algorithms!$A:$A,0)),0)*X501</f>
        <v>0</v>
      </c>
      <c r="CP501" s="266">
        <f ca="1">O501*IFERROR(INDEX(Algorithms!$G:$G,MATCH($C501&amp;"_Therm Saved per Unit- MLA",Algorithms!$A:$A,0)),0)*Y501</f>
        <v>0</v>
      </c>
      <c r="CQ501" s="266">
        <f ca="1">P501*IFERROR(INDEX(Algorithms!$G:$G,MATCH($C501&amp;"_Therm Saved per Unit- MLA",Algorithms!$A:$A,0)),0)*Z501</f>
        <v>0</v>
      </c>
      <c r="CR501" s="266">
        <f ca="1">Q501*IFERROR(INDEX(Algorithms!$G:$G,MATCH($C501&amp;"_Therm Saved per Unit- MLA",Algorithms!$A:$A,0)),0)*AA501</f>
        <v>0</v>
      </c>
      <c r="CS501" s="266">
        <f ca="1">IFERROR(INDEX(Algorithms!$G:$G,MATCH($C501&amp;"_Lifetime (years)",Algorithms!$A:$A,0)),0)</f>
        <v>18.3</v>
      </c>
      <c r="CT501" s="266">
        <f ca="1">IFERROR(INDEX(Algorithms!$G:$G,MATCH($C501&amp;"_Lifetime (years) - Remaining Years",Algorithms!$A:$A,0)),0)</f>
        <v>0</v>
      </c>
      <c r="CU501" s="266">
        <f t="shared" ca="1" si="321"/>
        <v>0</v>
      </c>
      <c r="CV501" s="266">
        <f t="shared" ca="1" si="322"/>
        <v>0</v>
      </c>
      <c r="CW501" s="266">
        <f t="shared" ca="1" si="323"/>
        <v>0</v>
      </c>
      <c r="CX501" s="266">
        <f t="shared" ca="1" si="324"/>
        <v>0</v>
      </c>
    </row>
    <row r="502" spans="2:102" s="47" customFormat="1" ht="18" customHeight="1" x14ac:dyDescent="0.25">
      <c r="B502" t="str">
        <f t="shared" si="325"/>
        <v>NSG_Income Eligible_Multi-Family_Whole Building - Public Housing_Energy Recovery Ventilator_0_CI</v>
      </c>
      <c r="C502" s="47" t="str">
        <f t="shared" si="286"/>
        <v>Energy Recovery Ventilator_0_CI</v>
      </c>
      <c r="D502" s="270" t="s">
        <v>1787</v>
      </c>
      <c r="E502" s="270" t="s">
        <v>325</v>
      </c>
      <c r="F502" s="270" t="s">
        <v>1422</v>
      </c>
      <c r="G502" s="270" t="s">
        <v>1817</v>
      </c>
      <c r="H502" s="270" t="s">
        <v>11</v>
      </c>
      <c r="I502" s="270">
        <v>0</v>
      </c>
      <c r="J502" s="270" t="s">
        <v>1159</v>
      </c>
      <c r="K502" s="263">
        <v>1</v>
      </c>
      <c r="L502" s="263" t="str">
        <f ca="1">IFERROR(INDEX(Algorithms!J:J,MATCH($C502&amp;"_Therm Saved per Unit",Algorithms!$A:$A,0)),"n/a")</f>
        <v>4.4.27</v>
      </c>
      <c r="M502" s="263" t="str">
        <f>IFERROR(INDEX('Measure Level Detail'!$N:$N,MATCH($B502,'Measure Level Detail'!$B:$B,0)),0)</f>
        <v>each</v>
      </c>
      <c r="N502" s="271">
        <f>IFERROR(INDEX('Measure Level Detail'!$P:$P,MATCH($B502&amp;"_"&amp;N$3,'Measure Level Detail'!$C:$C,0)),0)</f>
        <v>0</v>
      </c>
      <c r="O502" s="271">
        <f>IFERROR(INDEX('Measure Level Detail'!$P:$P,MATCH($B502&amp;"_"&amp;O$3,'Measure Level Detail'!$C:$C,0)),0)</f>
        <v>0</v>
      </c>
      <c r="P502" s="271">
        <f>IFERROR(INDEX('Measure Level Detail'!$P:$P,MATCH($B502&amp;"_"&amp;P$3,'Measure Level Detail'!$C:$C,0)),0)</f>
        <v>0</v>
      </c>
      <c r="Q502" s="271">
        <f>IFERROR(INDEX('Measure Level Detail'!$P:$P,MATCH($B502&amp;"_"&amp;Q$3,'Measure Level Detail'!$C:$C,0)),0)</f>
        <v>0</v>
      </c>
      <c r="R502" s="263" t="str">
        <f ca="1">IFERROR(INDEX(Algorithms!K:K,MATCH($C502&amp;"_Therm Saved per Unit",Algorithms!$A:$A,0)),"n/a")</f>
        <v>CI-HVC-ERVE-V06-240101</v>
      </c>
      <c r="S502" s="262"/>
      <c r="T502" s="272">
        <v>0.47508182047227931</v>
      </c>
      <c r="U502" s="272">
        <v>0.47508182047227931</v>
      </c>
      <c r="V502" s="272">
        <v>0.47508182047227931</v>
      </c>
      <c r="W502" s="272">
        <v>0.47508182047227931</v>
      </c>
      <c r="X502" s="273">
        <f>IFERROR(INDEX('Measure Level Detail'!$R:$R,MATCH($B502&amp;"_"&amp;X$3,'Measure Level Detail'!$C:$C,0)),0)</f>
        <v>1</v>
      </c>
      <c r="Y502" s="273">
        <f>IFERROR(INDEX('Measure Level Detail'!$R:$R,MATCH($B502&amp;"_"&amp;Y$3,'Measure Level Detail'!$C:$C,0)),0)</f>
        <v>1</v>
      </c>
      <c r="Z502" s="273">
        <f>IFERROR(INDEX('Measure Level Detail'!$R:$R,MATCH($B502&amp;"_"&amp;Z$3,'Measure Level Detail'!$C:$C,0)),0)</f>
        <v>1</v>
      </c>
      <c r="AA502" s="273">
        <f>IFERROR(INDEX('Measure Level Detail'!$R:$R,MATCH($B502&amp;"_"&amp;AA$3,'Measure Level Detail'!$C:$C,0)),0)</f>
        <v>1</v>
      </c>
      <c r="AB502" s="266">
        <f t="shared" si="287"/>
        <v>0</v>
      </c>
      <c r="AC502" s="266">
        <f t="shared" si="288"/>
        <v>0</v>
      </c>
      <c r="AD502" s="266">
        <f t="shared" si="289"/>
        <v>0</v>
      </c>
      <c r="AE502" s="266">
        <f t="shared" si="290"/>
        <v>0</v>
      </c>
      <c r="AF502" s="266">
        <f t="shared" si="291"/>
        <v>0</v>
      </c>
      <c r="AG502" s="274">
        <v>1</v>
      </c>
      <c r="AH502" s="274">
        <v>1</v>
      </c>
      <c r="AI502" s="274">
        <v>1</v>
      </c>
      <c r="AJ502" s="274">
        <v>1</v>
      </c>
      <c r="AK502" s="274">
        <f t="shared" si="292"/>
        <v>1</v>
      </c>
      <c r="AL502" s="274">
        <f t="shared" si="293"/>
        <v>1</v>
      </c>
      <c r="AM502" s="274">
        <f t="shared" si="294"/>
        <v>1</v>
      </c>
      <c r="AN502" s="274">
        <f t="shared" si="295"/>
        <v>1</v>
      </c>
      <c r="AO502" s="262"/>
      <c r="AP502" s="262"/>
      <c r="AQ502" s="267">
        <v>0.47508182047227931</v>
      </c>
      <c r="AR502" s="262"/>
      <c r="AS502" s="266">
        <f t="shared" si="296"/>
        <v>0</v>
      </c>
      <c r="AT502" s="264">
        <f t="shared" si="297"/>
        <v>0</v>
      </c>
      <c r="AU502" s="262"/>
      <c r="AV502" s="262"/>
      <c r="AW502" s="265">
        <v>0.47508182047227931</v>
      </c>
      <c r="AX502" s="164" t="s">
        <v>1469</v>
      </c>
      <c r="AY502" s="266">
        <v>0</v>
      </c>
      <c r="AZ502" s="266">
        <f t="shared" si="298"/>
        <v>0</v>
      </c>
      <c r="BA502" s="264">
        <f t="shared" si="299"/>
        <v>0</v>
      </c>
      <c r="BB502" s="262"/>
      <c r="BC502" s="262"/>
      <c r="BD502" s="265">
        <f ca="1">IFERROR(INDEX(Algorithms!$G:$G,MATCH($C502&amp;"_Therm Saved per Unit",Algorithms!$A:$A,0)),0)</f>
        <v>0.47175956997946616</v>
      </c>
      <c r="BE502" s="164" t="str">
        <f ca="1">IFERROR(INDEX('v12 Revisions'!$P$29:$P$186, MATCH('Measure-Level Adj Gas'!$L502, 'v12 Revisions'!$D$29:$D$186,0)),"")</f>
        <v>Updated temperature on design day of outside air.</v>
      </c>
      <c r="BF502" s="266">
        <f t="shared" ca="1" si="300"/>
        <v>0</v>
      </c>
      <c r="BG502" s="264">
        <f t="shared" ca="1" si="301"/>
        <v>0</v>
      </c>
      <c r="BH502" s="262"/>
      <c r="BI502" s="262"/>
      <c r="BJ502" s="265">
        <f ca="1">IFERROR(INDEX(Algorithms!$G:$G,MATCH($C502&amp;"_Therm Saved per Unit",Algorithms!$A:$A,0)),0)</f>
        <v>0.47175956997946616</v>
      </c>
      <c r="BK502" s="164"/>
      <c r="BL502" s="266">
        <f t="shared" ca="1" si="302"/>
        <v>0</v>
      </c>
      <c r="BM502" s="264">
        <f t="shared" ca="1" si="303"/>
        <v>0</v>
      </c>
      <c r="BN502" s="266">
        <f t="shared" si="304"/>
        <v>0</v>
      </c>
      <c r="BO502" s="266">
        <f t="shared" si="305"/>
        <v>0</v>
      </c>
      <c r="BP502" s="266">
        <f t="shared" ca="1" si="306"/>
        <v>0</v>
      </c>
      <c r="BQ502" s="266">
        <f t="shared" ca="1" si="307"/>
        <v>0</v>
      </c>
      <c r="BR502" s="268">
        <f t="shared" ca="1" si="308"/>
        <v>0</v>
      </c>
      <c r="BS502" s="262" t="s">
        <v>99</v>
      </c>
      <c r="BT502" s="277"/>
      <c r="BW502" s="266">
        <f t="shared" si="309"/>
        <v>0</v>
      </c>
      <c r="BX502" s="266">
        <f t="shared" si="310"/>
        <v>0</v>
      </c>
      <c r="BY502" s="266">
        <f t="shared" si="311"/>
        <v>0</v>
      </c>
      <c r="BZ502" s="266">
        <f t="shared" si="312"/>
        <v>0</v>
      </c>
      <c r="CA502" s="266">
        <f ca="1">N502*IFERROR(INDEX(Algorithms!$G:$G,MATCH($C502&amp;"_Therm Saved per Unit- MLA",Algorithms!$A:$A,0)),0)*X502</f>
        <v>0</v>
      </c>
      <c r="CB502" s="266">
        <f ca="1">O502*IFERROR(INDEX(Algorithms!$G:$G,MATCH($C502&amp;"_Therm Saved per Unit- MLA",Algorithms!$A:$A,0)),0)*Y502</f>
        <v>0</v>
      </c>
      <c r="CC502" s="266">
        <f ca="1">P502*IFERROR(INDEX(Algorithms!$G:$G,MATCH($C502&amp;"_Therm Saved per Unit- MLA",Algorithms!$A:$A,0)),0)*Z502</f>
        <v>0</v>
      </c>
      <c r="CD502" s="266">
        <f ca="1">Q502*IFERROR(INDEX(Algorithms!$G:$G,MATCH($C502&amp;"_Therm Saved per Unit- MLA",Algorithms!$A:$A,0)),0)*AA502</f>
        <v>0</v>
      </c>
      <c r="CE502" s="266">
        <f ca="1">IFERROR(INDEX(Algorithms!$G:$G,MATCH($C502&amp;"_Lifetime (years)",Algorithms!$A:$A,0)),0)</f>
        <v>15</v>
      </c>
      <c r="CF502" s="266">
        <f ca="1">IFERROR(INDEX(Algorithms!$G:$G,MATCH($C502&amp;"_Lifetime (years) - Remaining Years",Algorithms!$A:$A,0)),0)</f>
        <v>0</v>
      </c>
      <c r="CG502" s="266">
        <f t="shared" ca="1" si="313"/>
        <v>0</v>
      </c>
      <c r="CH502" s="266">
        <f t="shared" ca="1" si="314"/>
        <v>0</v>
      </c>
      <c r="CI502" s="266">
        <f t="shared" ca="1" si="315"/>
        <v>0</v>
      </c>
      <c r="CJ502" s="266">
        <f t="shared" ca="1" si="316"/>
        <v>0</v>
      </c>
      <c r="CK502" s="266">
        <f t="shared" si="317"/>
        <v>0</v>
      </c>
      <c r="CL502" s="266">
        <f t="shared" si="318"/>
        <v>0</v>
      </c>
      <c r="CM502" s="266">
        <f t="shared" ca="1" si="319"/>
        <v>0</v>
      </c>
      <c r="CN502" s="266">
        <f t="shared" ca="1" si="320"/>
        <v>0</v>
      </c>
      <c r="CO502" s="266">
        <f ca="1">N502*IFERROR(INDEX(Algorithms!$G:$G,MATCH($C502&amp;"_Therm Saved per Unit- MLA",Algorithms!$A:$A,0)),0)*X502</f>
        <v>0</v>
      </c>
      <c r="CP502" s="266">
        <f ca="1">O502*IFERROR(INDEX(Algorithms!$G:$G,MATCH($C502&amp;"_Therm Saved per Unit- MLA",Algorithms!$A:$A,0)),0)*Y502</f>
        <v>0</v>
      </c>
      <c r="CQ502" s="266">
        <f ca="1">P502*IFERROR(INDEX(Algorithms!$G:$G,MATCH($C502&amp;"_Therm Saved per Unit- MLA",Algorithms!$A:$A,0)),0)*Z502</f>
        <v>0</v>
      </c>
      <c r="CR502" s="266">
        <f ca="1">Q502*IFERROR(INDEX(Algorithms!$G:$G,MATCH($C502&amp;"_Therm Saved per Unit- MLA",Algorithms!$A:$A,0)),0)*AA502</f>
        <v>0</v>
      </c>
      <c r="CS502" s="266">
        <f ca="1">IFERROR(INDEX(Algorithms!$G:$G,MATCH($C502&amp;"_Lifetime (years)",Algorithms!$A:$A,0)),0)</f>
        <v>15</v>
      </c>
      <c r="CT502" s="266">
        <f ca="1">IFERROR(INDEX(Algorithms!$G:$G,MATCH($C502&amp;"_Lifetime (years) - Remaining Years",Algorithms!$A:$A,0)),0)</f>
        <v>0</v>
      </c>
      <c r="CU502" s="266">
        <f t="shared" ca="1" si="321"/>
        <v>0</v>
      </c>
      <c r="CV502" s="266">
        <f t="shared" ca="1" si="322"/>
        <v>0</v>
      </c>
      <c r="CW502" s="266">
        <f t="shared" ca="1" si="323"/>
        <v>0</v>
      </c>
      <c r="CX502" s="266">
        <f t="shared" ca="1" si="324"/>
        <v>0</v>
      </c>
    </row>
    <row r="503" spans="2:102" s="47" customFormat="1" ht="18" customHeight="1" x14ac:dyDescent="0.25">
      <c r="B503" t="str">
        <f t="shared" si="325"/>
        <v>NSG_Income Eligible_Multi-Family_Partner Trade Ally Rebate_Steam Traps_Test_MF</v>
      </c>
      <c r="C503" s="47" t="str">
        <f t="shared" si="286"/>
        <v>Steam Traps_Test_MF</v>
      </c>
      <c r="D503" s="270" t="s">
        <v>1787</v>
      </c>
      <c r="E503" s="270" t="s">
        <v>325</v>
      </c>
      <c r="F503" s="270" t="s">
        <v>1422</v>
      </c>
      <c r="G503" s="270" t="s">
        <v>1799</v>
      </c>
      <c r="H503" s="270" t="s">
        <v>644</v>
      </c>
      <c r="I503" s="270" t="s">
        <v>1097</v>
      </c>
      <c r="J503" s="270" t="s">
        <v>553</v>
      </c>
      <c r="K503" s="263">
        <v>1</v>
      </c>
      <c r="L503" s="263">
        <f ca="1">IFERROR(INDEX(Algorithms!J:J,MATCH($C503&amp;"_Therm Saved per Unit",Algorithms!$A:$A,0)),"n/a")</f>
        <v>0</v>
      </c>
      <c r="M503" s="263" t="str">
        <f>IFERROR(INDEX('Measure Level Detail'!$N:$N,MATCH($B503,'Measure Level Detail'!$B:$B,0)),0)</f>
        <v>each</v>
      </c>
      <c r="N503" s="271">
        <f>IFERROR(INDEX('Measure Level Detail'!$P:$P,MATCH($B503&amp;"_"&amp;N$3,'Measure Level Detail'!$C:$C,0)),0)</f>
        <v>0</v>
      </c>
      <c r="O503" s="271">
        <f>IFERROR(INDEX('Measure Level Detail'!$P:$P,MATCH($B503&amp;"_"&amp;O$3,'Measure Level Detail'!$C:$C,0)),0)</f>
        <v>0</v>
      </c>
      <c r="P503" s="271">
        <f>IFERROR(INDEX('Measure Level Detail'!$P:$P,MATCH($B503&amp;"_"&amp;P$3,'Measure Level Detail'!$C:$C,0)),0)</f>
        <v>0</v>
      </c>
      <c r="Q503" s="271">
        <f>IFERROR(INDEX('Measure Level Detail'!$P:$P,MATCH($B503&amp;"_"&amp;Q$3,'Measure Level Detail'!$C:$C,0)),0)</f>
        <v>0</v>
      </c>
      <c r="R503" s="263">
        <f ca="1">IFERROR(INDEX(Algorithms!K:K,MATCH($C503&amp;"_Therm Saved per Unit",Algorithms!$A:$A,0)),"n/a")</f>
        <v>0</v>
      </c>
      <c r="S503" s="262"/>
      <c r="T503" s="272">
        <v>0</v>
      </c>
      <c r="U503" s="272">
        <v>0</v>
      </c>
      <c r="V503" s="272">
        <v>0</v>
      </c>
      <c r="W503" s="272">
        <v>0</v>
      </c>
      <c r="X503" s="273">
        <f>IFERROR(INDEX('Measure Level Detail'!$R:$R,MATCH($B503&amp;"_"&amp;X$3,'Measure Level Detail'!$C:$C,0)),0)</f>
        <v>1</v>
      </c>
      <c r="Y503" s="273">
        <f>IFERROR(INDEX('Measure Level Detail'!$R:$R,MATCH($B503&amp;"_"&amp;Y$3,'Measure Level Detail'!$C:$C,0)),0)</f>
        <v>1</v>
      </c>
      <c r="Z503" s="273">
        <f>IFERROR(INDEX('Measure Level Detail'!$R:$R,MATCH($B503&amp;"_"&amp;Z$3,'Measure Level Detail'!$C:$C,0)),0)</f>
        <v>1</v>
      </c>
      <c r="AA503" s="273">
        <f>IFERROR(INDEX('Measure Level Detail'!$R:$R,MATCH($B503&amp;"_"&amp;AA$3,'Measure Level Detail'!$C:$C,0)),0)</f>
        <v>1</v>
      </c>
      <c r="AB503" s="266">
        <f t="shared" si="287"/>
        <v>0</v>
      </c>
      <c r="AC503" s="266">
        <f t="shared" si="288"/>
        <v>0</v>
      </c>
      <c r="AD503" s="266">
        <f t="shared" si="289"/>
        <v>0</v>
      </c>
      <c r="AE503" s="266">
        <f t="shared" si="290"/>
        <v>0</v>
      </c>
      <c r="AF503" s="266">
        <f t="shared" si="291"/>
        <v>0</v>
      </c>
      <c r="AG503" s="274">
        <v>1</v>
      </c>
      <c r="AH503" s="274">
        <v>1</v>
      </c>
      <c r="AI503" s="274">
        <v>1</v>
      </c>
      <c r="AJ503" s="274">
        <v>1</v>
      </c>
      <c r="AK503" s="274">
        <f t="shared" si="292"/>
        <v>1</v>
      </c>
      <c r="AL503" s="274">
        <f t="shared" si="293"/>
        <v>1</v>
      </c>
      <c r="AM503" s="274">
        <f t="shared" si="294"/>
        <v>1</v>
      </c>
      <c r="AN503" s="274">
        <f t="shared" si="295"/>
        <v>1</v>
      </c>
      <c r="AO503" s="262"/>
      <c r="AP503" s="262"/>
      <c r="AQ503" s="267">
        <v>0</v>
      </c>
      <c r="AR503" s="262"/>
      <c r="AS503" s="266">
        <f t="shared" si="296"/>
        <v>0</v>
      </c>
      <c r="AT503" s="264">
        <f t="shared" si="297"/>
        <v>0</v>
      </c>
      <c r="AU503" s="262"/>
      <c r="AV503" s="262"/>
      <c r="AW503" s="265">
        <v>0</v>
      </c>
      <c r="AX503" s="164" t="s">
        <v>1469</v>
      </c>
      <c r="AY503" s="266">
        <v>0</v>
      </c>
      <c r="AZ503" s="266">
        <f t="shared" si="298"/>
        <v>0</v>
      </c>
      <c r="BA503" s="264">
        <f t="shared" si="299"/>
        <v>0</v>
      </c>
      <c r="BB503" s="262"/>
      <c r="BC503" s="262"/>
      <c r="BD503" s="265">
        <f ca="1">IFERROR(INDEX(Algorithms!$G:$G,MATCH($C503&amp;"_Therm Saved per Unit",Algorithms!$A:$A,0)),0)</f>
        <v>0</v>
      </c>
      <c r="BE503" s="164" t="str">
        <f ca="1">IFERROR(INDEX('v12 Revisions'!$P$29:$P$186, MATCH('Measure-Level Adj Gas'!$L503, 'v12 Revisions'!$D$29:$D$186,0)),"")</f>
        <v/>
      </c>
      <c r="BF503" s="266">
        <f t="shared" ca="1" si="300"/>
        <v>0</v>
      </c>
      <c r="BG503" s="264">
        <f t="shared" ca="1" si="301"/>
        <v>0</v>
      </c>
      <c r="BH503" s="262"/>
      <c r="BI503" s="262"/>
      <c r="BJ503" s="265">
        <f ca="1">IFERROR(INDEX(Algorithms!$G:$G,MATCH($C503&amp;"_Therm Saved per Unit",Algorithms!$A:$A,0)),0)</f>
        <v>0</v>
      </c>
      <c r="BK503" s="164"/>
      <c r="BL503" s="266">
        <f t="shared" ca="1" si="302"/>
        <v>0</v>
      </c>
      <c r="BM503" s="264">
        <f t="shared" ca="1" si="303"/>
        <v>0</v>
      </c>
      <c r="BN503" s="266">
        <f t="shared" si="304"/>
        <v>0</v>
      </c>
      <c r="BO503" s="266">
        <f t="shared" si="305"/>
        <v>0</v>
      </c>
      <c r="BP503" s="266">
        <f t="shared" ca="1" si="306"/>
        <v>0</v>
      </c>
      <c r="BQ503" s="266">
        <f t="shared" ca="1" si="307"/>
        <v>0</v>
      </c>
      <c r="BR503" s="268">
        <f t="shared" ca="1" si="308"/>
        <v>0</v>
      </c>
      <c r="BS503" s="262" t="s">
        <v>99</v>
      </c>
      <c r="BT503" s="277"/>
      <c r="BW503" s="266">
        <f t="shared" si="309"/>
        <v>0</v>
      </c>
      <c r="BX503" s="266">
        <f t="shared" si="310"/>
        <v>0</v>
      </c>
      <c r="BY503" s="266">
        <f t="shared" si="311"/>
        <v>0</v>
      </c>
      <c r="BZ503" s="266">
        <f t="shared" si="312"/>
        <v>0</v>
      </c>
      <c r="CA503" s="266">
        <f ca="1">N503*IFERROR(INDEX(Algorithms!$G:$G,MATCH($C503&amp;"_Therm Saved per Unit- MLA",Algorithms!$A:$A,0)),0)*X503</f>
        <v>0</v>
      </c>
      <c r="CB503" s="266">
        <f ca="1">O503*IFERROR(INDEX(Algorithms!$G:$G,MATCH($C503&amp;"_Therm Saved per Unit- MLA",Algorithms!$A:$A,0)),0)*Y503</f>
        <v>0</v>
      </c>
      <c r="CC503" s="266">
        <f ca="1">P503*IFERROR(INDEX(Algorithms!$G:$G,MATCH($C503&amp;"_Therm Saved per Unit- MLA",Algorithms!$A:$A,0)),0)*Z503</f>
        <v>0</v>
      </c>
      <c r="CD503" s="266">
        <f ca="1">Q503*IFERROR(INDEX(Algorithms!$G:$G,MATCH($C503&amp;"_Therm Saved per Unit- MLA",Algorithms!$A:$A,0)),0)*AA503</f>
        <v>0</v>
      </c>
      <c r="CE503" s="266">
        <f ca="1">IFERROR(INDEX(Algorithms!$G:$G,MATCH($C503&amp;"_Lifetime (years)",Algorithms!$A:$A,0)),0)</f>
        <v>3</v>
      </c>
      <c r="CF503" s="266">
        <f ca="1">IFERROR(INDEX(Algorithms!$G:$G,MATCH($C503&amp;"_Lifetime (years) - Remaining Years",Algorithms!$A:$A,0)),0)</f>
        <v>0</v>
      </c>
      <c r="CG503" s="266">
        <f t="shared" ca="1" si="313"/>
        <v>0</v>
      </c>
      <c r="CH503" s="266">
        <f t="shared" ca="1" si="314"/>
        <v>0</v>
      </c>
      <c r="CI503" s="266">
        <f t="shared" ca="1" si="315"/>
        <v>0</v>
      </c>
      <c r="CJ503" s="266">
        <f t="shared" ca="1" si="316"/>
        <v>0</v>
      </c>
      <c r="CK503" s="266">
        <f t="shared" si="317"/>
        <v>0</v>
      </c>
      <c r="CL503" s="266">
        <f t="shared" si="318"/>
        <v>0</v>
      </c>
      <c r="CM503" s="266">
        <f t="shared" ca="1" si="319"/>
        <v>0</v>
      </c>
      <c r="CN503" s="266">
        <f t="shared" ca="1" si="320"/>
        <v>0</v>
      </c>
      <c r="CO503" s="266">
        <f ca="1">N503*IFERROR(INDEX(Algorithms!$G:$G,MATCH($C503&amp;"_Therm Saved per Unit- MLA",Algorithms!$A:$A,0)),0)*X503</f>
        <v>0</v>
      </c>
      <c r="CP503" s="266">
        <f ca="1">O503*IFERROR(INDEX(Algorithms!$G:$G,MATCH($C503&amp;"_Therm Saved per Unit- MLA",Algorithms!$A:$A,0)),0)*Y503</f>
        <v>0</v>
      </c>
      <c r="CQ503" s="266">
        <f ca="1">P503*IFERROR(INDEX(Algorithms!$G:$G,MATCH($C503&amp;"_Therm Saved per Unit- MLA",Algorithms!$A:$A,0)),0)*Z503</f>
        <v>0</v>
      </c>
      <c r="CR503" s="266">
        <f ca="1">Q503*IFERROR(INDEX(Algorithms!$G:$G,MATCH($C503&amp;"_Therm Saved per Unit- MLA",Algorithms!$A:$A,0)),0)*AA503</f>
        <v>0</v>
      </c>
      <c r="CS503" s="266">
        <f ca="1">IFERROR(INDEX(Algorithms!$G:$G,MATCH($C503&amp;"_Lifetime (years)",Algorithms!$A:$A,0)),0)</f>
        <v>3</v>
      </c>
      <c r="CT503" s="266">
        <f ca="1">IFERROR(INDEX(Algorithms!$G:$G,MATCH($C503&amp;"_Lifetime (years) - Remaining Years",Algorithms!$A:$A,0)),0)</f>
        <v>0</v>
      </c>
      <c r="CU503" s="266">
        <f t="shared" ca="1" si="321"/>
        <v>0</v>
      </c>
      <c r="CV503" s="266">
        <f t="shared" ca="1" si="322"/>
        <v>0</v>
      </c>
      <c r="CW503" s="266">
        <f t="shared" ca="1" si="323"/>
        <v>0</v>
      </c>
      <c r="CX503" s="266">
        <f t="shared" ca="1" si="324"/>
        <v>0</v>
      </c>
    </row>
    <row r="504" spans="2:102" s="47" customFormat="1" ht="18" customHeight="1" x14ac:dyDescent="0.25">
      <c r="B504" t="str">
        <f t="shared" si="325"/>
        <v>NSG_Income Eligible_Multi-Family_Partner Trade Ally Rebate_Steam Traps_HVAC Repair/Rep - Audit_MF</v>
      </c>
      <c r="C504" s="47" t="str">
        <f t="shared" si="286"/>
        <v>Steam Traps_HVAC Repair/Rep - Audit_MF</v>
      </c>
      <c r="D504" s="270" t="s">
        <v>1787</v>
      </c>
      <c r="E504" s="270" t="s">
        <v>325</v>
      </c>
      <c r="F504" s="270" t="s">
        <v>1422</v>
      </c>
      <c r="G504" s="270" t="s">
        <v>1799</v>
      </c>
      <c r="H504" s="270" t="s">
        <v>644</v>
      </c>
      <c r="I504" s="270" t="s">
        <v>645</v>
      </c>
      <c r="J504" s="270" t="s">
        <v>553</v>
      </c>
      <c r="K504" s="263">
        <v>1</v>
      </c>
      <c r="L504" s="263" t="str">
        <f ca="1">IFERROR(INDEX(Algorithms!J:J,MATCH($C504&amp;"_Therm Saved per Unit",Algorithms!$A:$A,0)),"n/a")</f>
        <v>4.4.16</v>
      </c>
      <c r="M504" s="263" t="str">
        <f>IFERROR(INDEX('Measure Level Detail'!$N:$N,MATCH($B504,'Measure Level Detail'!$B:$B,0)),0)</f>
        <v>each</v>
      </c>
      <c r="N504" s="271">
        <f>IFERROR(INDEX('Measure Level Detail'!$P:$P,MATCH($B504&amp;"_"&amp;N$3,'Measure Level Detail'!$C:$C,0)),0)</f>
        <v>0</v>
      </c>
      <c r="O504" s="271">
        <f>IFERROR(INDEX('Measure Level Detail'!$P:$P,MATCH($B504&amp;"_"&amp;O$3,'Measure Level Detail'!$C:$C,0)),0)</f>
        <v>0</v>
      </c>
      <c r="P504" s="271">
        <f>IFERROR(INDEX('Measure Level Detail'!$P:$P,MATCH($B504&amp;"_"&amp;P$3,'Measure Level Detail'!$C:$C,0)),0)</f>
        <v>0</v>
      </c>
      <c r="Q504" s="271">
        <f>IFERROR(INDEX('Measure Level Detail'!$P:$P,MATCH($B504&amp;"_"&amp;Q$3,'Measure Level Detail'!$C:$C,0)),0)</f>
        <v>0</v>
      </c>
      <c r="R504" s="263" t="str">
        <f ca="1">IFERROR(INDEX(Algorithms!K:K,MATCH($C504&amp;"_Therm Saved per Unit",Algorithms!$A:$A,0)),"n/a")</f>
        <v>CI-HVC-STRE-V10-240101</v>
      </c>
      <c r="S504" s="262"/>
      <c r="T504" s="272">
        <v>197.03296629323975</v>
      </c>
      <c r="U504" s="272">
        <v>197.03296629323975</v>
      </c>
      <c r="V504" s="272">
        <v>197.03296629323975</v>
      </c>
      <c r="W504" s="272">
        <v>197.03296629323975</v>
      </c>
      <c r="X504" s="273">
        <f>IFERROR(INDEX('Measure Level Detail'!$R:$R,MATCH($B504&amp;"_"&amp;X$3,'Measure Level Detail'!$C:$C,0)),0)</f>
        <v>1</v>
      </c>
      <c r="Y504" s="273">
        <f>IFERROR(INDEX('Measure Level Detail'!$R:$R,MATCH($B504&amp;"_"&amp;Y$3,'Measure Level Detail'!$C:$C,0)),0)</f>
        <v>1</v>
      </c>
      <c r="Z504" s="273">
        <f>IFERROR(INDEX('Measure Level Detail'!$R:$R,MATCH($B504&amp;"_"&amp;Z$3,'Measure Level Detail'!$C:$C,0)),0)</f>
        <v>1</v>
      </c>
      <c r="AA504" s="273">
        <f>IFERROR(INDEX('Measure Level Detail'!$R:$R,MATCH($B504&amp;"_"&amp;AA$3,'Measure Level Detail'!$C:$C,0)),0)</f>
        <v>1</v>
      </c>
      <c r="AB504" s="266">
        <f t="shared" si="287"/>
        <v>0</v>
      </c>
      <c r="AC504" s="266">
        <f t="shared" si="288"/>
        <v>0</v>
      </c>
      <c r="AD504" s="266">
        <f t="shared" si="289"/>
        <v>0</v>
      </c>
      <c r="AE504" s="266">
        <f t="shared" si="290"/>
        <v>0</v>
      </c>
      <c r="AF504" s="266">
        <f t="shared" si="291"/>
        <v>0</v>
      </c>
      <c r="AG504" s="274">
        <v>1</v>
      </c>
      <c r="AH504" s="274">
        <v>1</v>
      </c>
      <c r="AI504" s="274">
        <v>1</v>
      </c>
      <c r="AJ504" s="274">
        <v>1</v>
      </c>
      <c r="AK504" s="274">
        <f t="shared" si="292"/>
        <v>1</v>
      </c>
      <c r="AL504" s="274">
        <f t="shared" si="293"/>
        <v>1</v>
      </c>
      <c r="AM504" s="274">
        <f t="shared" si="294"/>
        <v>1</v>
      </c>
      <c r="AN504" s="274">
        <f t="shared" si="295"/>
        <v>1</v>
      </c>
      <c r="AO504" s="262"/>
      <c r="AP504" s="262"/>
      <c r="AQ504" s="267">
        <v>197.03296629323975</v>
      </c>
      <c r="AR504" s="262"/>
      <c r="AS504" s="266">
        <f t="shared" si="296"/>
        <v>0</v>
      </c>
      <c r="AT504" s="264">
        <f t="shared" si="297"/>
        <v>0</v>
      </c>
      <c r="AU504" s="262"/>
      <c r="AV504" s="262"/>
      <c r="AW504" s="265">
        <v>197.03296629323975</v>
      </c>
      <c r="AX504" s="164" t="s">
        <v>2397</v>
      </c>
      <c r="AY504" s="266">
        <v>0</v>
      </c>
      <c r="AZ504" s="266">
        <f t="shared" si="298"/>
        <v>0</v>
      </c>
      <c r="BA504" s="264">
        <f t="shared" si="299"/>
        <v>0</v>
      </c>
      <c r="BB504" s="262"/>
      <c r="BC504" s="262"/>
      <c r="BD504" s="265">
        <f ca="1">IFERROR(INDEX(Algorithms!$G:$G,MATCH($C504&amp;"_Therm Saved per Unit",Algorithms!$A:$A,0)),0)</f>
        <v>197.03296629323975</v>
      </c>
      <c r="BE504" s="164" t="str">
        <f ca="1">IFERROR(INDEX('v12 Revisions'!$P$29:$P$186, MATCH('Measure-Level Adj Gas'!$L504, 'v12 Revisions'!$D$29:$D$186,0)),"")</f>
        <v>n/a - costs only.</v>
      </c>
      <c r="BF504" s="266">
        <f t="shared" ca="1" si="300"/>
        <v>0</v>
      </c>
      <c r="BG504" s="264">
        <f t="shared" ca="1" si="301"/>
        <v>0</v>
      </c>
      <c r="BH504" s="262"/>
      <c r="BI504" s="262"/>
      <c r="BJ504" s="265">
        <f ca="1">IFERROR(INDEX(Algorithms!$G:$G,MATCH($C504&amp;"_Therm Saved per Unit",Algorithms!$A:$A,0)),0)</f>
        <v>197.03296629323975</v>
      </c>
      <c r="BK504" s="164"/>
      <c r="BL504" s="266">
        <f t="shared" ca="1" si="302"/>
        <v>0</v>
      </c>
      <c r="BM504" s="264">
        <f t="shared" ca="1" si="303"/>
        <v>0</v>
      </c>
      <c r="BN504" s="266">
        <f t="shared" si="304"/>
        <v>0</v>
      </c>
      <c r="BO504" s="266">
        <f t="shared" si="305"/>
        <v>0</v>
      </c>
      <c r="BP504" s="266">
        <f t="shared" ca="1" si="306"/>
        <v>0</v>
      </c>
      <c r="BQ504" s="266">
        <f t="shared" ca="1" si="307"/>
        <v>0</v>
      </c>
      <c r="BR504" s="268">
        <f t="shared" ca="1" si="308"/>
        <v>0</v>
      </c>
      <c r="BS504" s="262" t="s">
        <v>99</v>
      </c>
      <c r="BT504" s="277"/>
      <c r="BW504" s="266">
        <f t="shared" si="309"/>
        <v>0</v>
      </c>
      <c r="BX504" s="266">
        <f t="shared" si="310"/>
        <v>0</v>
      </c>
      <c r="BY504" s="266">
        <f t="shared" si="311"/>
        <v>0</v>
      </c>
      <c r="BZ504" s="266">
        <f t="shared" si="312"/>
        <v>0</v>
      </c>
      <c r="CA504" s="266">
        <f ca="1">N504*IFERROR(INDEX(Algorithms!$G:$G,MATCH($C504&amp;"_Therm Saved per Unit- MLA",Algorithms!$A:$A,0)),0)*X504</f>
        <v>0</v>
      </c>
      <c r="CB504" s="266">
        <f ca="1">O504*IFERROR(INDEX(Algorithms!$G:$G,MATCH($C504&amp;"_Therm Saved per Unit- MLA",Algorithms!$A:$A,0)),0)*Y504</f>
        <v>0</v>
      </c>
      <c r="CC504" s="266">
        <f ca="1">P504*IFERROR(INDEX(Algorithms!$G:$G,MATCH($C504&amp;"_Therm Saved per Unit- MLA",Algorithms!$A:$A,0)),0)*Z504</f>
        <v>0</v>
      </c>
      <c r="CD504" s="266">
        <f ca="1">Q504*IFERROR(INDEX(Algorithms!$G:$G,MATCH($C504&amp;"_Therm Saved per Unit- MLA",Algorithms!$A:$A,0)),0)*AA504</f>
        <v>0</v>
      </c>
      <c r="CE504" s="266">
        <f ca="1">IFERROR(INDEX(Algorithms!$G:$G,MATCH($C504&amp;"_Lifetime (years)",Algorithms!$A:$A,0)),0)</f>
        <v>6</v>
      </c>
      <c r="CF504" s="266">
        <f ca="1">IFERROR(INDEX(Algorithms!$G:$G,MATCH($C504&amp;"_Lifetime (years) - Remaining Years",Algorithms!$A:$A,0)),0)</f>
        <v>0</v>
      </c>
      <c r="CG504" s="266">
        <f t="shared" ca="1" si="313"/>
        <v>0</v>
      </c>
      <c r="CH504" s="266">
        <f t="shared" ca="1" si="314"/>
        <v>0</v>
      </c>
      <c r="CI504" s="266">
        <f t="shared" ca="1" si="315"/>
        <v>0</v>
      </c>
      <c r="CJ504" s="266">
        <f t="shared" ca="1" si="316"/>
        <v>0</v>
      </c>
      <c r="CK504" s="266">
        <f t="shared" si="317"/>
        <v>0</v>
      </c>
      <c r="CL504" s="266">
        <f t="shared" si="318"/>
        <v>0</v>
      </c>
      <c r="CM504" s="266">
        <f t="shared" ca="1" si="319"/>
        <v>0</v>
      </c>
      <c r="CN504" s="266">
        <f t="shared" ca="1" si="320"/>
        <v>0</v>
      </c>
      <c r="CO504" s="266">
        <f ca="1">N504*IFERROR(INDEX(Algorithms!$G:$G,MATCH($C504&amp;"_Therm Saved per Unit- MLA",Algorithms!$A:$A,0)),0)*X504</f>
        <v>0</v>
      </c>
      <c r="CP504" s="266">
        <f ca="1">O504*IFERROR(INDEX(Algorithms!$G:$G,MATCH($C504&amp;"_Therm Saved per Unit- MLA",Algorithms!$A:$A,0)),0)*Y504</f>
        <v>0</v>
      </c>
      <c r="CQ504" s="266">
        <f ca="1">P504*IFERROR(INDEX(Algorithms!$G:$G,MATCH($C504&amp;"_Therm Saved per Unit- MLA",Algorithms!$A:$A,0)),0)*Z504</f>
        <v>0</v>
      </c>
      <c r="CR504" s="266">
        <f ca="1">Q504*IFERROR(INDEX(Algorithms!$G:$G,MATCH($C504&amp;"_Therm Saved per Unit- MLA",Algorithms!$A:$A,0)),0)*AA504</f>
        <v>0</v>
      </c>
      <c r="CS504" s="266">
        <f ca="1">IFERROR(INDEX(Algorithms!$G:$G,MATCH($C504&amp;"_Lifetime (years)",Algorithms!$A:$A,0)),0)</f>
        <v>6</v>
      </c>
      <c r="CT504" s="266">
        <f ca="1">IFERROR(INDEX(Algorithms!$G:$G,MATCH($C504&amp;"_Lifetime (years) - Remaining Years",Algorithms!$A:$A,0)),0)</f>
        <v>0</v>
      </c>
      <c r="CU504" s="266">
        <f t="shared" ca="1" si="321"/>
        <v>0</v>
      </c>
      <c r="CV504" s="266">
        <f t="shared" ca="1" si="322"/>
        <v>0</v>
      </c>
      <c r="CW504" s="266">
        <f t="shared" ca="1" si="323"/>
        <v>0</v>
      </c>
      <c r="CX504" s="266">
        <f t="shared" ca="1" si="324"/>
        <v>0</v>
      </c>
    </row>
    <row r="505" spans="2:102" s="47" customFormat="1" ht="18" customHeight="1" x14ac:dyDescent="0.25">
      <c r="B505" t="str">
        <f t="shared" si="325"/>
        <v>NSG_Income Eligible_Multi-Family_Partner Trade Ally Rebate_Steam Traps_HVAC Repair/Rep - No Audit_MF</v>
      </c>
      <c r="C505" s="47" t="str">
        <f t="shared" si="286"/>
        <v>Steam Traps_HVAC Repair/Rep - No Audit_MF</v>
      </c>
      <c r="D505" s="270" t="s">
        <v>1787</v>
      </c>
      <c r="E505" s="270" t="s">
        <v>325</v>
      </c>
      <c r="F505" s="270" t="s">
        <v>1422</v>
      </c>
      <c r="G505" s="270" t="s">
        <v>1799</v>
      </c>
      <c r="H505" s="270" t="s">
        <v>644</v>
      </c>
      <c r="I505" s="270" t="s">
        <v>660</v>
      </c>
      <c r="J505" s="270" t="s">
        <v>553</v>
      </c>
      <c r="K505" s="263">
        <v>1</v>
      </c>
      <c r="L505" s="263" t="str">
        <f ca="1">IFERROR(INDEX(Algorithms!J:J,MATCH($C505&amp;"_Therm Saved per Unit",Algorithms!$A:$A,0)),"n/a")</f>
        <v>4.4.16</v>
      </c>
      <c r="M505" s="263" t="str">
        <f>IFERROR(INDEX('Measure Level Detail'!$N:$N,MATCH($B505,'Measure Level Detail'!$B:$B,0)),0)</f>
        <v>each</v>
      </c>
      <c r="N505" s="271">
        <f>IFERROR(INDEX('Measure Level Detail'!$P:$P,MATCH($B505&amp;"_"&amp;N$3,'Measure Level Detail'!$C:$C,0)),0)</f>
        <v>0</v>
      </c>
      <c r="O505" s="271">
        <f>IFERROR(INDEX('Measure Level Detail'!$P:$P,MATCH($B505&amp;"_"&amp;O$3,'Measure Level Detail'!$C:$C,0)),0)</f>
        <v>0</v>
      </c>
      <c r="P505" s="271">
        <f>IFERROR(INDEX('Measure Level Detail'!$P:$P,MATCH($B505&amp;"_"&amp;P$3,'Measure Level Detail'!$C:$C,0)),0)</f>
        <v>0</v>
      </c>
      <c r="Q505" s="271">
        <f>IFERROR(INDEX('Measure Level Detail'!$P:$P,MATCH($B505&amp;"_"&amp;Q$3,'Measure Level Detail'!$C:$C,0)),0)</f>
        <v>0</v>
      </c>
      <c r="R505" s="263" t="str">
        <f ca="1">IFERROR(INDEX(Algorithms!K:K,MATCH($C505&amp;"_Therm Saved per Unit",Algorithms!$A:$A,0)),"n/a")</f>
        <v>CI-HVC-STRE-V10-240101</v>
      </c>
      <c r="S505" s="262"/>
      <c r="T505" s="272">
        <v>53.198900899174738</v>
      </c>
      <c r="U505" s="272">
        <v>53.198900899174738</v>
      </c>
      <c r="V505" s="272">
        <v>53.198900899174738</v>
      </c>
      <c r="W505" s="272">
        <v>53.198900899174738</v>
      </c>
      <c r="X505" s="273">
        <f>IFERROR(INDEX('Measure Level Detail'!$R:$R,MATCH($B505&amp;"_"&amp;X$3,'Measure Level Detail'!$C:$C,0)),0)</f>
        <v>1</v>
      </c>
      <c r="Y505" s="273">
        <f>IFERROR(INDEX('Measure Level Detail'!$R:$R,MATCH($B505&amp;"_"&amp;Y$3,'Measure Level Detail'!$C:$C,0)),0)</f>
        <v>1</v>
      </c>
      <c r="Z505" s="273">
        <f>IFERROR(INDEX('Measure Level Detail'!$R:$R,MATCH($B505&amp;"_"&amp;Z$3,'Measure Level Detail'!$C:$C,0)),0)</f>
        <v>1</v>
      </c>
      <c r="AA505" s="273">
        <f>IFERROR(INDEX('Measure Level Detail'!$R:$R,MATCH($B505&amp;"_"&amp;AA$3,'Measure Level Detail'!$C:$C,0)),0)</f>
        <v>1</v>
      </c>
      <c r="AB505" s="266">
        <f t="shared" si="287"/>
        <v>0</v>
      </c>
      <c r="AC505" s="266">
        <f t="shared" si="288"/>
        <v>0</v>
      </c>
      <c r="AD505" s="266">
        <f t="shared" si="289"/>
        <v>0</v>
      </c>
      <c r="AE505" s="266">
        <f t="shared" si="290"/>
        <v>0</v>
      </c>
      <c r="AF505" s="266">
        <f t="shared" si="291"/>
        <v>0</v>
      </c>
      <c r="AG505" s="274">
        <v>1</v>
      </c>
      <c r="AH505" s="274">
        <v>1</v>
      </c>
      <c r="AI505" s="274">
        <v>1</v>
      </c>
      <c r="AJ505" s="274">
        <v>1</v>
      </c>
      <c r="AK505" s="274">
        <f t="shared" si="292"/>
        <v>1</v>
      </c>
      <c r="AL505" s="274">
        <f t="shared" si="293"/>
        <v>1</v>
      </c>
      <c r="AM505" s="274">
        <f t="shared" si="294"/>
        <v>1</v>
      </c>
      <c r="AN505" s="274">
        <f t="shared" si="295"/>
        <v>1</v>
      </c>
      <c r="AO505" s="262"/>
      <c r="AP505" s="262"/>
      <c r="AQ505" s="267">
        <v>53.198900899174738</v>
      </c>
      <c r="AR505" s="262"/>
      <c r="AS505" s="266">
        <f t="shared" si="296"/>
        <v>0</v>
      </c>
      <c r="AT505" s="264">
        <f t="shared" si="297"/>
        <v>0</v>
      </c>
      <c r="AU505" s="262"/>
      <c r="AV505" s="262"/>
      <c r="AW505" s="265">
        <v>53.198900899174738</v>
      </c>
      <c r="AX505" s="164" t="s">
        <v>2397</v>
      </c>
      <c r="AY505" s="266">
        <v>0</v>
      </c>
      <c r="AZ505" s="266">
        <f t="shared" si="298"/>
        <v>0</v>
      </c>
      <c r="BA505" s="264">
        <f t="shared" si="299"/>
        <v>0</v>
      </c>
      <c r="BB505" s="262"/>
      <c r="BC505" s="262"/>
      <c r="BD505" s="265">
        <f ca="1">IFERROR(INDEX(Algorithms!$G:$G,MATCH($C505&amp;"_Therm Saved per Unit",Algorithms!$A:$A,0)),0)</f>
        <v>53.198900899174738</v>
      </c>
      <c r="BE505" s="164" t="str">
        <f ca="1">IFERROR(INDEX('v12 Revisions'!$P$29:$P$186, MATCH('Measure-Level Adj Gas'!$L505, 'v12 Revisions'!$D$29:$D$186,0)),"")</f>
        <v>n/a - costs only.</v>
      </c>
      <c r="BF505" s="266">
        <f t="shared" ca="1" si="300"/>
        <v>0</v>
      </c>
      <c r="BG505" s="264">
        <f t="shared" ca="1" si="301"/>
        <v>0</v>
      </c>
      <c r="BH505" s="262"/>
      <c r="BI505" s="262"/>
      <c r="BJ505" s="265">
        <f ca="1">IFERROR(INDEX(Algorithms!$G:$G,MATCH($C505&amp;"_Therm Saved per Unit",Algorithms!$A:$A,0)),0)</f>
        <v>53.198900899174738</v>
      </c>
      <c r="BK505" s="164"/>
      <c r="BL505" s="266">
        <f t="shared" ca="1" si="302"/>
        <v>0</v>
      </c>
      <c r="BM505" s="264">
        <f t="shared" ca="1" si="303"/>
        <v>0</v>
      </c>
      <c r="BN505" s="266">
        <f t="shared" si="304"/>
        <v>0</v>
      </c>
      <c r="BO505" s="266">
        <f t="shared" si="305"/>
        <v>0</v>
      </c>
      <c r="BP505" s="266">
        <f t="shared" ca="1" si="306"/>
        <v>0</v>
      </c>
      <c r="BQ505" s="266">
        <f t="shared" ca="1" si="307"/>
        <v>0</v>
      </c>
      <c r="BR505" s="268">
        <f t="shared" ca="1" si="308"/>
        <v>0</v>
      </c>
      <c r="BS505" s="262" t="s">
        <v>99</v>
      </c>
      <c r="BT505" s="277"/>
      <c r="BW505" s="266">
        <f t="shared" si="309"/>
        <v>0</v>
      </c>
      <c r="BX505" s="266">
        <f t="shared" si="310"/>
        <v>0</v>
      </c>
      <c r="BY505" s="266">
        <f t="shared" si="311"/>
        <v>0</v>
      </c>
      <c r="BZ505" s="266">
        <f t="shared" si="312"/>
        <v>0</v>
      </c>
      <c r="CA505" s="266">
        <f ca="1">N505*IFERROR(INDEX(Algorithms!$G:$G,MATCH($C505&amp;"_Therm Saved per Unit- MLA",Algorithms!$A:$A,0)),0)*X505</f>
        <v>0</v>
      </c>
      <c r="CB505" s="266">
        <f ca="1">O505*IFERROR(INDEX(Algorithms!$G:$G,MATCH($C505&amp;"_Therm Saved per Unit- MLA",Algorithms!$A:$A,0)),0)*Y505</f>
        <v>0</v>
      </c>
      <c r="CC505" s="266">
        <f ca="1">P505*IFERROR(INDEX(Algorithms!$G:$G,MATCH($C505&amp;"_Therm Saved per Unit- MLA",Algorithms!$A:$A,0)),0)*Z505</f>
        <v>0</v>
      </c>
      <c r="CD505" s="266">
        <f ca="1">Q505*IFERROR(INDEX(Algorithms!$G:$G,MATCH($C505&amp;"_Therm Saved per Unit- MLA",Algorithms!$A:$A,0)),0)*AA505</f>
        <v>0</v>
      </c>
      <c r="CE505" s="266">
        <f ca="1">IFERROR(INDEX(Algorithms!$G:$G,MATCH($C505&amp;"_Lifetime (years)",Algorithms!$A:$A,0)),0)</f>
        <v>6</v>
      </c>
      <c r="CF505" s="266">
        <f ca="1">IFERROR(INDEX(Algorithms!$G:$G,MATCH($C505&amp;"_Lifetime (years) - Remaining Years",Algorithms!$A:$A,0)),0)</f>
        <v>0</v>
      </c>
      <c r="CG505" s="266">
        <f t="shared" ca="1" si="313"/>
        <v>0</v>
      </c>
      <c r="CH505" s="266">
        <f t="shared" ca="1" si="314"/>
        <v>0</v>
      </c>
      <c r="CI505" s="266">
        <f t="shared" ca="1" si="315"/>
        <v>0</v>
      </c>
      <c r="CJ505" s="266">
        <f t="shared" ca="1" si="316"/>
        <v>0</v>
      </c>
      <c r="CK505" s="266">
        <f t="shared" si="317"/>
        <v>0</v>
      </c>
      <c r="CL505" s="266">
        <f t="shared" si="318"/>
        <v>0</v>
      </c>
      <c r="CM505" s="266">
        <f t="shared" ca="1" si="319"/>
        <v>0</v>
      </c>
      <c r="CN505" s="266">
        <f t="shared" ca="1" si="320"/>
        <v>0</v>
      </c>
      <c r="CO505" s="266">
        <f ca="1">N505*IFERROR(INDEX(Algorithms!$G:$G,MATCH($C505&amp;"_Therm Saved per Unit- MLA",Algorithms!$A:$A,0)),0)*X505</f>
        <v>0</v>
      </c>
      <c r="CP505" s="266">
        <f ca="1">O505*IFERROR(INDEX(Algorithms!$G:$G,MATCH($C505&amp;"_Therm Saved per Unit- MLA",Algorithms!$A:$A,0)),0)*Y505</f>
        <v>0</v>
      </c>
      <c r="CQ505" s="266">
        <f ca="1">P505*IFERROR(INDEX(Algorithms!$G:$G,MATCH($C505&amp;"_Therm Saved per Unit- MLA",Algorithms!$A:$A,0)),0)*Z505</f>
        <v>0</v>
      </c>
      <c r="CR505" s="266">
        <f ca="1">Q505*IFERROR(INDEX(Algorithms!$G:$G,MATCH($C505&amp;"_Therm Saved per Unit- MLA",Algorithms!$A:$A,0)),0)*AA505</f>
        <v>0</v>
      </c>
      <c r="CS505" s="266">
        <f ca="1">IFERROR(INDEX(Algorithms!$G:$G,MATCH($C505&amp;"_Lifetime (years)",Algorithms!$A:$A,0)),0)</f>
        <v>6</v>
      </c>
      <c r="CT505" s="266">
        <f ca="1">IFERROR(INDEX(Algorithms!$G:$G,MATCH($C505&amp;"_Lifetime (years) - Remaining Years",Algorithms!$A:$A,0)),0)</f>
        <v>0</v>
      </c>
      <c r="CU505" s="266">
        <f t="shared" ca="1" si="321"/>
        <v>0</v>
      </c>
      <c r="CV505" s="266">
        <f t="shared" ca="1" si="322"/>
        <v>0</v>
      </c>
      <c r="CW505" s="266">
        <f t="shared" ca="1" si="323"/>
        <v>0</v>
      </c>
      <c r="CX505" s="266">
        <f t="shared" ca="1" si="324"/>
        <v>0</v>
      </c>
    </row>
    <row r="506" spans="2:102" s="47" customFormat="1" ht="18" customHeight="1" x14ac:dyDescent="0.25">
      <c r="B506" t="str">
        <f t="shared" si="325"/>
        <v>NSG_Income Eligible_Multi-Family_Partner Trade Ally Rebate_Pipe Insulation_Hyd. Boiler Sm ≤1.25"_MF</v>
      </c>
      <c r="C506" s="47" t="str">
        <f t="shared" si="286"/>
        <v>Pipe Insulation_Hyd. Boiler Sm ≤1.25"_MF</v>
      </c>
      <c r="D506" s="270" t="s">
        <v>1787</v>
      </c>
      <c r="E506" s="270" t="s">
        <v>325</v>
      </c>
      <c r="F506" s="270" t="s">
        <v>1422</v>
      </c>
      <c r="G506" s="270" t="s">
        <v>1799</v>
      </c>
      <c r="H506" s="270" t="s">
        <v>404</v>
      </c>
      <c r="I506" s="270" t="s">
        <v>947</v>
      </c>
      <c r="J506" s="270" t="s">
        <v>553</v>
      </c>
      <c r="K506" s="263">
        <v>1</v>
      </c>
      <c r="L506" s="263" t="str">
        <f ca="1">IFERROR(INDEX(Algorithms!J:J,MATCH($C506&amp;"_Therm Saved per Unit",Algorithms!$A:$A,0)),"n/a")</f>
        <v>"3 - Res Pipe Insulation" worksheet</v>
      </c>
      <c r="M506" s="263" t="str">
        <f>IFERROR(INDEX('Measure Level Detail'!$N:$N,MATCH($B506,'Measure Level Detail'!$B:$B,0)),0)</f>
        <v>each</v>
      </c>
      <c r="N506" s="271">
        <f>IFERROR(INDEX('Measure Level Detail'!$P:$P,MATCH($B506&amp;"_"&amp;N$3,'Measure Level Detail'!$C:$C,0)),0)</f>
        <v>0</v>
      </c>
      <c r="O506" s="271">
        <f>IFERROR(INDEX('Measure Level Detail'!$P:$P,MATCH($B506&amp;"_"&amp;O$3,'Measure Level Detail'!$C:$C,0)),0)</f>
        <v>0</v>
      </c>
      <c r="P506" s="271">
        <f>IFERROR(INDEX('Measure Level Detail'!$P:$P,MATCH($B506&amp;"_"&amp;P$3,'Measure Level Detail'!$C:$C,0)),0)</f>
        <v>0</v>
      </c>
      <c r="Q506" s="271">
        <f>IFERROR(INDEX('Measure Level Detail'!$P:$P,MATCH($B506&amp;"_"&amp;Q$3,'Measure Level Detail'!$C:$C,0)),0)</f>
        <v>0</v>
      </c>
      <c r="R506" s="263">
        <f ca="1">IFERROR(INDEX(Algorithms!K:K,MATCH($C506&amp;"_Therm Saved per Unit",Algorithms!$A:$A,0)),"n/a")</f>
        <v>0</v>
      </c>
      <c r="S506" s="262"/>
      <c r="T506" s="272">
        <v>2.0682348076923076</v>
      </c>
      <c r="U506" s="272">
        <v>2.0682348076923076</v>
      </c>
      <c r="V506" s="272">
        <v>2.0682348076923076</v>
      </c>
      <c r="W506" s="272">
        <v>2.0682348076923076</v>
      </c>
      <c r="X506" s="273">
        <f>IFERROR(INDEX('Measure Level Detail'!$R:$R,MATCH($B506&amp;"_"&amp;X$3,'Measure Level Detail'!$C:$C,0)),0)</f>
        <v>1</v>
      </c>
      <c r="Y506" s="273">
        <f>IFERROR(INDEX('Measure Level Detail'!$R:$R,MATCH($B506&amp;"_"&amp;Y$3,'Measure Level Detail'!$C:$C,0)),0)</f>
        <v>1</v>
      </c>
      <c r="Z506" s="273">
        <f>IFERROR(INDEX('Measure Level Detail'!$R:$R,MATCH($B506&amp;"_"&amp;Z$3,'Measure Level Detail'!$C:$C,0)),0)</f>
        <v>1</v>
      </c>
      <c r="AA506" s="273">
        <f>IFERROR(INDEX('Measure Level Detail'!$R:$R,MATCH($B506&amp;"_"&amp;AA$3,'Measure Level Detail'!$C:$C,0)),0)</f>
        <v>1</v>
      </c>
      <c r="AB506" s="266">
        <f t="shared" si="287"/>
        <v>0</v>
      </c>
      <c r="AC506" s="266">
        <f t="shared" si="288"/>
        <v>0</v>
      </c>
      <c r="AD506" s="266">
        <f t="shared" si="289"/>
        <v>0</v>
      </c>
      <c r="AE506" s="266">
        <f t="shared" si="290"/>
        <v>0</v>
      </c>
      <c r="AF506" s="266">
        <f t="shared" si="291"/>
        <v>0</v>
      </c>
      <c r="AG506" s="274">
        <v>1</v>
      </c>
      <c r="AH506" s="274">
        <v>1</v>
      </c>
      <c r="AI506" s="274">
        <v>1</v>
      </c>
      <c r="AJ506" s="274">
        <v>1</v>
      </c>
      <c r="AK506" s="274">
        <f t="shared" si="292"/>
        <v>1</v>
      </c>
      <c r="AL506" s="274">
        <f t="shared" si="293"/>
        <v>1</v>
      </c>
      <c r="AM506" s="274">
        <f t="shared" si="294"/>
        <v>1</v>
      </c>
      <c r="AN506" s="274">
        <f t="shared" si="295"/>
        <v>1</v>
      </c>
      <c r="AO506" s="262"/>
      <c r="AP506" s="262"/>
      <c r="AQ506" s="267">
        <v>2.0682348076923076</v>
      </c>
      <c r="AR506" s="262"/>
      <c r="AS506" s="266">
        <f t="shared" si="296"/>
        <v>0</v>
      </c>
      <c r="AT506" s="264">
        <f t="shared" si="297"/>
        <v>0</v>
      </c>
      <c r="AU506" s="262"/>
      <c r="AV506" s="262"/>
      <c r="AW506" s="265">
        <v>2.0682348076923076</v>
      </c>
      <c r="AX506" s="164" t="s">
        <v>1469</v>
      </c>
      <c r="AY506" s="266">
        <v>0</v>
      </c>
      <c r="AZ506" s="266">
        <f t="shared" si="298"/>
        <v>0</v>
      </c>
      <c r="BA506" s="264">
        <f t="shared" si="299"/>
        <v>0</v>
      </c>
      <c r="BB506" s="262"/>
      <c r="BC506" s="262"/>
      <c r="BD506" s="265">
        <f ca="1">IFERROR(INDEX(Algorithms!$G:$G,MATCH($C506&amp;"_Therm Saved per Unit",Algorithms!$A:$A,0)),0)</f>
        <v>2.0682348076923076</v>
      </c>
      <c r="BE506" s="164" t="str">
        <f ca="1">IFERROR(INDEX('v12 Revisions'!$P$29:$P$186, MATCH('Measure-Level Adj Gas'!$L506, 'v12 Revisions'!$D$29:$D$186,0)),"")</f>
        <v/>
      </c>
      <c r="BF506" s="266">
        <f t="shared" ca="1" si="300"/>
        <v>0</v>
      </c>
      <c r="BG506" s="264">
        <f t="shared" ca="1" si="301"/>
        <v>0</v>
      </c>
      <c r="BH506" s="262"/>
      <c r="BI506" s="262"/>
      <c r="BJ506" s="265">
        <f ca="1">IFERROR(INDEX(Algorithms!$G:$G,MATCH($C506&amp;"_Therm Saved per Unit",Algorithms!$A:$A,0)),0)</f>
        <v>2.0682348076923076</v>
      </c>
      <c r="BK506" s="164"/>
      <c r="BL506" s="266">
        <f t="shared" ca="1" si="302"/>
        <v>0</v>
      </c>
      <c r="BM506" s="264">
        <f t="shared" ca="1" si="303"/>
        <v>0</v>
      </c>
      <c r="BN506" s="266">
        <f t="shared" si="304"/>
        <v>0</v>
      </c>
      <c r="BO506" s="266">
        <f t="shared" si="305"/>
        <v>0</v>
      </c>
      <c r="BP506" s="266">
        <f t="shared" ca="1" si="306"/>
        <v>0</v>
      </c>
      <c r="BQ506" s="266">
        <f t="shared" ca="1" si="307"/>
        <v>0</v>
      </c>
      <c r="BR506" s="268">
        <f t="shared" ca="1" si="308"/>
        <v>0</v>
      </c>
      <c r="BS506" s="262" t="s">
        <v>99</v>
      </c>
      <c r="BT506" s="277"/>
      <c r="BW506" s="266">
        <f t="shared" si="309"/>
        <v>0</v>
      </c>
      <c r="BX506" s="266">
        <f t="shared" si="310"/>
        <v>0</v>
      </c>
      <c r="BY506" s="266">
        <f t="shared" si="311"/>
        <v>0</v>
      </c>
      <c r="BZ506" s="266">
        <f t="shared" si="312"/>
        <v>0</v>
      </c>
      <c r="CA506" s="266">
        <f ca="1">N506*IFERROR(INDEX(Algorithms!$G:$G,MATCH($C506&amp;"_Therm Saved per Unit- MLA",Algorithms!$A:$A,0)),0)*X506</f>
        <v>0</v>
      </c>
      <c r="CB506" s="266">
        <f ca="1">O506*IFERROR(INDEX(Algorithms!$G:$G,MATCH($C506&amp;"_Therm Saved per Unit- MLA",Algorithms!$A:$A,0)),0)*Y506</f>
        <v>0</v>
      </c>
      <c r="CC506" s="266">
        <f ca="1">P506*IFERROR(INDEX(Algorithms!$G:$G,MATCH($C506&amp;"_Therm Saved per Unit- MLA",Algorithms!$A:$A,0)),0)*Z506</f>
        <v>0</v>
      </c>
      <c r="CD506" s="266">
        <f ca="1">Q506*IFERROR(INDEX(Algorithms!$G:$G,MATCH($C506&amp;"_Therm Saved per Unit- MLA",Algorithms!$A:$A,0)),0)*AA506</f>
        <v>0</v>
      </c>
      <c r="CE506" s="266">
        <f ca="1">IFERROR(INDEX(Algorithms!$G:$G,MATCH($C506&amp;"_Lifetime (years)",Algorithms!$A:$A,0)),0)</f>
        <v>15</v>
      </c>
      <c r="CF506" s="266">
        <f ca="1">IFERROR(INDEX(Algorithms!$G:$G,MATCH($C506&amp;"_Lifetime (years) - Remaining Years",Algorithms!$A:$A,0)),0)</f>
        <v>0</v>
      </c>
      <c r="CG506" s="266">
        <f t="shared" ca="1" si="313"/>
        <v>0</v>
      </c>
      <c r="CH506" s="266">
        <f t="shared" ca="1" si="314"/>
        <v>0</v>
      </c>
      <c r="CI506" s="266">
        <f t="shared" ca="1" si="315"/>
        <v>0</v>
      </c>
      <c r="CJ506" s="266">
        <f t="shared" ca="1" si="316"/>
        <v>0</v>
      </c>
      <c r="CK506" s="266">
        <f t="shared" si="317"/>
        <v>0</v>
      </c>
      <c r="CL506" s="266">
        <f t="shared" si="318"/>
        <v>0</v>
      </c>
      <c r="CM506" s="266">
        <f t="shared" ca="1" si="319"/>
        <v>0</v>
      </c>
      <c r="CN506" s="266">
        <f t="shared" ca="1" si="320"/>
        <v>0</v>
      </c>
      <c r="CO506" s="266">
        <f ca="1">N506*IFERROR(INDEX(Algorithms!$G:$G,MATCH($C506&amp;"_Therm Saved per Unit- MLA",Algorithms!$A:$A,0)),0)*X506</f>
        <v>0</v>
      </c>
      <c r="CP506" s="266">
        <f ca="1">O506*IFERROR(INDEX(Algorithms!$G:$G,MATCH($C506&amp;"_Therm Saved per Unit- MLA",Algorithms!$A:$A,0)),0)*Y506</f>
        <v>0</v>
      </c>
      <c r="CQ506" s="266">
        <f ca="1">P506*IFERROR(INDEX(Algorithms!$G:$G,MATCH($C506&amp;"_Therm Saved per Unit- MLA",Algorithms!$A:$A,0)),0)*Z506</f>
        <v>0</v>
      </c>
      <c r="CR506" s="266">
        <f ca="1">Q506*IFERROR(INDEX(Algorithms!$G:$G,MATCH($C506&amp;"_Therm Saved per Unit- MLA",Algorithms!$A:$A,0)),0)*AA506</f>
        <v>0</v>
      </c>
      <c r="CS506" s="266">
        <f ca="1">IFERROR(INDEX(Algorithms!$G:$G,MATCH($C506&amp;"_Lifetime (years)",Algorithms!$A:$A,0)),0)</f>
        <v>15</v>
      </c>
      <c r="CT506" s="266">
        <f ca="1">IFERROR(INDEX(Algorithms!$G:$G,MATCH($C506&amp;"_Lifetime (years) - Remaining Years",Algorithms!$A:$A,0)),0)</f>
        <v>0</v>
      </c>
      <c r="CU506" s="266">
        <f t="shared" ca="1" si="321"/>
        <v>0</v>
      </c>
      <c r="CV506" s="266">
        <f t="shared" ca="1" si="322"/>
        <v>0</v>
      </c>
      <c r="CW506" s="266">
        <f t="shared" ca="1" si="323"/>
        <v>0</v>
      </c>
      <c r="CX506" s="266">
        <f t="shared" ca="1" si="324"/>
        <v>0</v>
      </c>
    </row>
    <row r="507" spans="2:102" s="47" customFormat="1" ht="18" customHeight="1" x14ac:dyDescent="0.25">
      <c r="B507" t="str">
        <f t="shared" si="325"/>
        <v>NSG_Income Eligible_Multi-Family_Partner Trade Ally Rebate_Pipe Insulation_Hyd. Boiler Med 1.25-2"_MF</v>
      </c>
      <c r="C507" s="47" t="str">
        <f t="shared" si="286"/>
        <v>Pipe Insulation_Hyd. Boiler Med 1.25-2"_MF</v>
      </c>
      <c r="D507" s="270" t="s">
        <v>1787</v>
      </c>
      <c r="E507" s="270" t="s">
        <v>325</v>
      </c>
      <c r="F507" s="270" t="s">
        <v>1422</v>
      </c>
      <c r="G507" s="270" t="s">
        <v>1799</v>
      </c>
      <c r="H507" s="270" t="s">
        <v>404</v>
      </c>
      <c r="I507" s="270" t="s">
        <v>951</v>
      </c>
      <c r="J507" s="270" t="s">
        <v>553</v>
      </c>
      <c r="K507" s="263">
        <v>1</v>
      </c>
      <c r="L507" s="263" t="str">
        <f ca="1">IFERROR(INDEX(Algorithms!J:J,MATCH($C507&amp;"_Therm Saved per Unit",Algorithms!$A:$A,0)),"n/a")</f>
        <v>"3 - Res Pipe Insulation" worksheet</v>
      </c>
      <c r="M507" s="263" t="str">
        <f>IFERROR(INDEX('Measure Level Detail'!$N:$N,MATCH($B507,'Measure Level Detail'!$B:$B,0)),0)</f>
        <v>each</v>
      </c>
      <c r="N507" s="271">
        <f>IFERROR(INDEX('Measure Level Detail'!$P:$P,MATCH($B507&amp;"_"&amp;N$3,'Measure Level Detail'!$C:$C,0)),0)</f>
        <v>0</v>
      </c>
      <c r="O507" s="271">
        <f>IFERROR(INDEX('Measure Level Detail'!$P:$P,MATCH($B507&amp;"_"&amp;O$3,'Measure Level Detail'!$C:$C,0)),0)</f>
        <v>0</v>
      </c>
      <c r="P507" s="271">
        <f>IFERROR(INDEX('Measure Level Detail'!$P:$P,MATCH($B507&amp;"_"&amp;P$3,'Measure Level Detail'!$C:$C,0)),0)</f>
        <v>0</v>
      </c>
      <c r="Q507" s="271">
        <f>IFERROR(INDEX('Measure Level Detail'!$P:$P,MATCH($B507&amp;"_"&amp;Q$3,'Measure Level Detail'!$C:$C,0)),0)</f>
        <v>0</v>
      </c>
      <c r="R507" s="263">
        <f ca="1">IFERROR(INDEX(Algorithms!K:K,MATCH($C507&amp;"_Therm Saved per Unit",Algorithms!$A:$A,0)),"n/a")</f>
        <v>0</v>
      </c>
      <c r="S507" s="262"/>
      <c r="T507" s="272">
        <v>3.6034773504273505</v>
      </c>
      <c r="U507" s="272">
        <v>3.6034773504273505</v>
      </c>
      <c r="V507" s="272">
        <v>3.6034773504273505</v>
      </c>
      <c r="W507" s="272">
        <v>3.6034773504273505</v>
      </c>
      <c r="X507" s="273">
        <f>IFERROR(INDEX('Measure Level Detail'!$R:$R,MATCH($B507&amp;"_"&amp;X$3,'Measure Level Detail'!$C:$C,0)),0)</f>
        <v>1</v>
      </c>
      <c r="Y507" s="273">
        <f>IFERROR(INDEX('Measure Level Detail'!$R:$R,MATCH($B507&amp;"_"&amp;Y$3,'Measure Level Detail'!$C:$C,0)),0)</f>
        <v>1</v>
      </c>
      <c r="Z507" s="273">
        <f>IFERROR(INDEX('Measure Level Detail'!$R:$R,MATCH($B507&amp;"_"&amp;Z$3,'Measure Level Detail'!$C:$C,0)),0)</f>
        <v>1</v>
      </c>
      <c r="AA507" s="273">
        <f>IFERROR(INDEX('Measure Level Detail'!$R:$R,MATCH($B507&amp;"_"&amp;AA$3,'Measure Level Detail'!$C:$C,0)),0)</f>
        <v>1</v>
      </c>
      <c r="AB507" s="266">
        <f t="shared" si="287"/>
        <v>0</v>
      </c>
      <c r="AC507" s="266">
        <f t="shared" si="288"/>
        <v>0</v>
      </c>
      <c r="AD507" s="266">
        <f t="shared" si="289"/>
        <v>0</v>
      </c>
      <c r="AE507" s="266">
        <f t="shared" si="290"/>
        <v>0</v>
      </c>
      <c r="AF507" s="266">
        <f t="shared" si="291"/>
        <v>0</v>
      </c>
      <c r="AG507" s="274">
        <v>1</v>
      </c>
      <c r="AH507" s="274">
        <v>1</v>
      </c>
      <c r="AI507" s="274">
        <v>1</v>
      </c>
      <c r="AJ507" s="274">
        <v>1</v>
      </c>
      <c r="AK507" s="274">
        <f t="shared" si="292"/>
        <v>1</v>
      </c>
      <c r="AL507" s="274">
        <f t="shared" si="293"/>
        <v>1</v>
      </c>
      <c r="AM507" s="274">
        <f t="shared" si="294"/>
        <v>1</v>
      </c>
      <c r="AN507" s="274">
        <f t="shared" si="295"/>
        <v>1</v>
      </c>
      <c r="AO507" s="262"/>
      <c r="AP507" s="262"/>
      <c r="AQ507" s="267">
        <v>3.6034773504273505</v>
      </c>
      <c r="AR507" s="262"/>
      <c r="AS507" s="266">
        <f t="shared" si="296"/>
        <v>0</v>
      </c>
      <c r="AT507" s="264">
        <f t="shared" si="297"/>
        <v>0</v>
      </c>
      <c r="AU507" s="262"/>
      <c r="AV507" s="262"/>
      <c r="AW507" s="265">
        <v>3.6034773504273505</v>
      </c>
      <c r="AX507" s="164" t="s">
        <v>1469</v>
      </c>
      <c r="AY507" s="266">
        <v>0</v>
      </c>
      <c r="AZ507" s="266">
        <f t="shared" si="298"/>
        <v>0</v>
      </c>
      <c r="BA507" s="264">
        <f t="shared" si="299"/>
        <v>0</v>
      </c>
      <c r="BB507" s="262"/>
      <c r="BC507" s="262"/>
      <c r="BD507" s="265">
        <f ca="1">IFERROR(INDEX(Algorithms!$G:$G,MATCH($C507&amp;"_Therm Saved per Unit",Algorithms!$A:$A,0)),0)</f>
        <v>3.6034773504273505</v>
      </c>
      <c r="BE507" s="164" t="str">
        <f ca="1">IFERROR(INDEX('v12 Revisions'!$P$29:$P$186, MATCH('Measure-Level Adj Gas'!$L507, 'v12 Revisions'!$D$29:$D$186,0)),"")</f>
        <v/>
      </c>
      <c r="BF507" s="266">
        <f t="shared" ca="1" si="300"/>
        <v>0</v>
      </c>
      <c r="BG507" s="264">
        <f t="shared" ca="1" si="301"/>
        <v>0</v>
      </c>
      <c r="BH507" s="262"/>
      <c r="BI507" s="262"/>
      <c r="BJ507" s="265">
        <f ca="1">IFERROR(INDEX(Algorithms!$G:$G,MATCH($C507&amp;"_Therm Saved per Unit",Algorithms!$A:$A,0)),0)</f>
        <v>3.6034773504273505</v>
      </c>
      <c r="BK507" s="164"/>
      <c r="BL507" s="266">
        <f t="shared" ca="1" si="302"/>
        <v>0</v>
      </c>
      <c r="BM507" s="264">
        <f t="shared" ca="1" si="303"/>
        <v>0</v>
      </c>
      <c r="BN507" s="266">
        <f t="shared" si="304"/>
        <v>0</v>
      </c>
      <c r="BO507" s="266">
        <f t="shared" si="305"/>
        <v>0</v>
      </c>
      <c r="BP507" s="266">
        <f t="shared" ca="1" si="306"/>
        <v>0</v>
      </c>
      <c r="BQ507" s="266">
        <f t="shared" ca="1" si="307"/>
        <v>0</v>
      </c>
      <c r="BR507" s="268">
        <f t="shared" ca="1" si="308"/>
        <v>0</v>
      </c>
      <c r="BS507" s="262" t="s">
        <v>99</v>
      </c>
      <c r="BT507" s="277"/>
      <c r="BW507" s="266">
        <f t="shared" si="309"/>
        <v>0</v>
      </c>
      <c r="BX507" s="266">
        <f t="shared" si="310"/>
        <v>0</v>
      </c>
      <c r="BY507" s="266">
        <f t="shared" si="311"/>
        <v>0</v>
      </c>
      <c r="BZ507" s="266">
        <f t="shared" si="312"/>
        <v>0</v>
      </c>
      <c r="CA507" s="266">
        <f ca="1">N507*IFERROR(INDEX(Algorithms!$G:$G,MATCH($C507&amp;"_Therm Saved per Unit- MLA",Algorithms!$A:$A,0)),0)*X507</f>
        <v>0</v>
      </c>
      <c r="CB507" s="266">
        <f ca="1">O507*IFERROR(INDEX(Algorithms!$G:$G,MATCH($C507&amp;"_Therm Saved per Unit- MLA",Algorithms!$A:$A,0)),0)*Y507</f>
        <v>0</v>
      </c>
      <c r="CC507" s="266">
        <f ca="1">P507*IFERROR(INDEX(Algorithms!$G:$G,MATCH($C507&amp;"_Therm Saved per Unit- MLA",Algorithms!$A:$A,0)),0)*Z507</f>
        <v>0</v>
      </c>
      <c r="CD507" s="266">
        <f ca="1">Q507*IFERROR(INDEX(Algorithms!$G:$G,MATCH($C507&amp;"_Therm Saved per Unit- MLA",Algorithms!$A:$A,0)),0)*AA507</f>
        <v>0</v>
      </c>
      <c r="CE507" s="266">
        <f ca="1">IFERROR(INDEX(Algorithms!$G:$G,MATCH($C507&amp;"_Lifetime (years)",Algorithms!$A:$A,0)),0)</f>
        <v>15</v>
      </c>
      <c r="CF507" s="266">
        <f ca="1">IFERROR(INDEX(Algorithms!$G:$G,MATCH($C507&amp;"_Lifetime (years) - Remaining Years",Algorithms!$A:$A,0)),0)</f>
        <v>0</v>
      </c>
      <c r="CG507" s="266">
        <f t="shared" ca="1" si="313"/>
        <v>0</v>
      </c>
      <c r="CH507" s="266">
        <f t="shared" ca="1" si="314"/>
        <v>0</v>
      </c>
      <c r="CI507" s="266">
        <f t="shared" ca="1" si="315"/>
        <v>0</v>
      </c>
      <c r="CJ507" s="266">
        <f t="shared" ca="1" si="316"/>
        <v>0</v>
      </c>
      <c r="CK507" s="266">
        <f t="shared" si="317"/>
        <v>0</v>
      </c>
      <c r="CL507" s="266">
        <f t="shared" si="318"/>
        <v>0</v>
      </c>
      <c r="CM507" s="266">
        <f t="shared" ca="1" si="319"/>
        <v>0</v>
      </c>
      <c r="CN507" s="266">
        <f t="shared" ca="1" si="320"/>
        <v>0</v>
      </c>
      <c r="CO507" s="266">
        <f ca="1">N507*IFERROR(INDEX(Algorithms!$G:$G,MATCH($C507&amp;"_Therm Saved per Unit- MLA",Algorithms!$A:$A,0)),0)*X507</f>
        <v>0</v>
      </c>
      <c r="CP507" s="266">
        <f ca="1">O507*IFERROR(INDEX(Algorithms!$G:$G,MATCH($C507&amp;"_Therm Saved per Unit- MLA",Algorithms!$A:$A,0)),0)*Y507</f>
        <v>0</v>
      </c>
      <c r="CQ507" s="266">
        <f ca="1">P507*IFERROR(INDEX(Algorithms!$G:$G,MATCH($C507&amp;"_Therm Saved per Unit- MLA",Algorithms!$A:$A,0)),0)*Z507</f>
        <v>0</v>
      </c>
      <c r="CR507" s="266">
        <f ca="1">Q507*IFERROR(INDEX(Algorithms!$G:$G,MATCH($C507&amp;"_Therm Saved per Unit- MLA",Algorithms!$A:$A,0)),0)*AA507</f>
        <v>0</v>
      </c>
      <c r="CS507" s="266">
        <f ca="1">IFERROR(INDEX(Algorithms!$G:$G,MATCH($C507&amp;"_Lifetime (years)",Algorithms!$A:$A,0)),0)</f>
        <v>15</v>
      </c>
      <c r="CT507" s="266">
        <f ca="1">IFERROR(INDEX(Algorithms!$G:$G,MATCH($C507&amp;"_Lifetime (years) - Remaining Years",Algorithms!$A:$A,0)),0)</f>
        <v>0</v>
      </c>
      <c r="CU507" s="266">
        <f t="shared" ca="1" si="321"/>
        <v>0</v>
      </c>
      <c r="CV507" s="266">
        <f t="shared" ca="1" si="322"/>
        <v>0</v>
      </c>
      <c r="CW507" s="266">
        <f t="shared" ca="1" si="323"/>
        <v>0</v>
      </c>
      <c r="CX507" s="266">
        <f t="shared" ca="1" si="324"/>
        <v>0</v>
      </c>
    </row>
    <row r="508" spans="2:102" s="47" customFormat="1" ht="18" customHeight="1" x14ac:dyDescent="0.25">
      <c r="B508" t="str">
        <f t="shared" si="325"/>
        <v>NSG_Income Eligible_Multi-Family_Partner Trade Ally Rebate_Pipe Insulation_Hyd. Boiler Large ≥2"_MF</v>
      </c>
      <c r="C508" s="47" t="str">
        <f t="shared" si="286"/>
        <v>Pipe Insulation_Hyd. Boiler Large ≥2"_MF</v>
      </c>
      <c r="D508" s="270" t="s">
        <v>1787</v>
      </c>
      <c r="E508" s="270" t="s">
        <v>325</v>
      </c>
      <c r="F508" s="270" t="s">
        <v>1422</v>
      </c>
      <c r="G508" s="270" t="s">
        <v>1799</v>
      </c>
      <c r="H508" s="270" t="s">
        <v>404</v>
      </c>
      <c r="I508" s="270" t="s">
        <v>952</v>
      </c>
      <c r="J508" s="270" t="s">
        <v>553</v>
      </c>
      <c r="K508" s="263">
        <v>1</v>
      </c>
      <c r="L508" s="263" t="str">
        <f ca="1">IFERROR(INDEX(Algorithms!J:J,MATCH($C508&amp;"_Therm Saved per Unit",Algorithms!$A:$A,0)),"n/a")</f>
        <v>"3 - Res Pipe Insulation" worksheet</v>
      </c>
      <c r="M508" s="263" t="str">
        <f>IFERROR(INDEX('Measure Level Detail'!$N:$N,MATCH($B508,'Measure Level Detail'!$B:$B,0)),0)</f>
        <v>each</v>
      </c>
      <c r="N508" s="271">
        <f>IFERROR(INDEX('Measure Level Detail'!$P:$P,MATCH($B508&amp;"_"&amp;N$3,'Measure Level Detail'!$C:$C,0)),0)</f>
        <v>0</v>
      </c>
      <c r="O508" s="271">
        <f>IFERROR(INDEX('Measure Level Detail'!$P:$P,MATCH($B508&amp;"_"&amp;O$3,'Measure Level Detail'!$C:$C,0)),0)</f>
        <v>0</v>
      </c>
      <c r="P508" s="271">
        <f>IFERROR(INDEX('Measure Level Detail'!$P:$P,MATCH($B508&amp;"_"&amp;P$3,'Measure Level Detail'!$C:$C,0)),0)</f>
        <v>0</v>
      </c>
      <c r="Q508" s="271">
        <f>IFERROR(INDEX('Measure Level Detail'!$P:$P,MATCH($B508&amp;"_"&amp;Q$3,'Measure Level Detail'!$C:$C,0)),0)</f>
        <v>0</v>
      </c>
      <c r="R508" s="263">
        <f ca="1">IFERROR(INDEX(Algorithms!K:K,MATCH($C508&amp;"_Therm Saved per Unit",Algorithms!$A:$A,0)),"n/a")</f>
        <v>0</v>
      </c>
      <c r="S508" s="262"/>
      <c r="T508" s="272">
        <v>6.1867824786324785</v>
      </c>
      <c r="U508" s="272">
        <v>6.1867824786324785</v>
      </c>
      <c r="V508" s="272">
        <v>6.1867824786324785</v>
      </c>
      <c r="W508" s="272">
        <v>6.1867824786324785</v>
      </c>
      <c r="X508" s="273">
        <f>IFERROR(INDEX('Measure Level Detail'!$R:$R,MATCH($B508&amp;"_"&amp;X$3,'Measure Level Detail'!$C:$C,0)),0)</f>
        <v>1</v>
      </c>
      <c r="Y508" s="273">
        <f>IFERROR(INDEX('Measure Level Detail'!$R:$R,MATCH($B508&amp;"_"&amp;Y$3,'Measure Level Detail'!$C:$C,0)),0)</f>
        <v>1</v>
      </c>
      <c r="Z508" s="273">
        <f>IFERROR(INDEX('Measure Level Detail'!$R:$R,MATCH($B508&amp;"_"&amp;Z$3,'Measure Level Detail'!$C:$C,0)),0)</f>
        <v>1</v>
      </c>
      <c r="AA508" s="273">
        <f>IFERROR(INDEX('Measure Level Detail'!$R:$R,MATCH($B508&amp;"_"&amp;AA$3,'Measure Level Detail'!$C:$C,0)),0)</f>
        <v>1</v>
      </c>
      <c r="AB508" s="266">
        <f t="shared" si="287"/>
        <v>0</v>
      </c>
      <c r="AC508" s="266">
        <f t="shared" si="288"/>
        <v>0</v>
      </c>
      <c r="AD508" s="266">
        <f t="shared" si="289"/>
        <v>0</v>
      </c>
      <c r="AE508" s="266">
        <f t="shared" si="290"/>
        <v>0</v>
      </c>
      <c r="AF508" s="266">
        <f t="shared" si="291"/>
        <v>0</v>
      </c>
      <c r="AG508" s="274">
        <v>1</v>
      </c>
      <c r="AH508" s="274">
        <v>1</v>
      </c>
      <c r="AI508" s="274">
        <v>1</v>
      </c>
      <c r="AJ508" s="274">
        <v>1</v>
      </c>
      <c r="AK508" s="274">
        <f t="shared" si="292"/>
        <v>1</v>
      </c>
      <c r="AL508" s="274">
        <f t="shared" si="293"/>
        <v>1</v>
      </c>
      <c r="AM508" s="274">
        <f t="shared" si="294"/>
        <v>1</v>
      </c>
      <c r="AN508" s="274">
        <f t="shared" si="295"/>
        <v>1</v>
      </c>
      <c r="AO508" s="262"/>
      <c r="AP508" s="262"/>
      <c r="AQ508" s="267">
        <v>6.1867824786324785</v>
      </c>
      <c r="AR508" s="262"/>
      <c r="AS508" s="266">
        <f t="shared" si="296"/>
        <v>0</v>
      </c>
      <c r="AT508" s="264">
        <f t="shared" si="297"/>
        <v>0</v>
      </c>
      <c r="AU508" s="262"/>
      <c r="AV508" s="262"/>
      <c r="AW508" s="265">
        <v>6.1867824786324785</v>
      </c>
      <c r="AX508" s="164" t="s">
        <v>1469</v>
      </c>
      <c r="AY508" s="266">
        <v>0</v>
      </c>
      <c r="AZ508" s="266">
        <f t="shared" si="298"/>
        <v>0</v>
      </c>
      <c r="BA508" s="264">
        <f t="shared" si="299"/>
        <v>0</v>
      </c>
      <c r="BB508" s="262"/>
      <c r="BC508" s="262"/>
      <c r="BD508" s="265">
        <f ca="1">IFERROR(INDEX(Algorithms!$G:$G,MATCH($C508&amp;"_Therm Saved per Unit",Algorithms!$A:$A,0)),0)</f>
        <v>6.1867824786324785</v>
      </c>
      <c r="BE508" s="164" t="str">
        <f ca="1">IFERROR(INDEX('v12 Revisions'!$P$29:$P$186, MATCH('Measure-Level Adj Gas'!$L508, 'v12 Revisions'!$D$29:$D$186,0)),"")</f>
        <v/>
      </c>
      <c r="BF508" s="266">
        <f t="shared" ca="1" si="300"/>
        <v>0</v>
      </c>
      <c r="BG508" s="264">
        <f t="shared" ca="1" si="301"/>
        <v>0</v>
      </c>
      <c r="BH508" s="262"/>
      <c r="BI508" s="262"/>
      <c r="BJ508" s="265">
        <f ca="1">IFERROR(INDEX(Algorithms!$G:$G,MATCH($C508&amp;"_Therm Saved per Unit",Algorithms!$A:$A,0)),0)</f>
        <v>6.1867824786324785</v>
      </c>
      <c r="BK508" s="164"/>
      <c r="BL508" s="266">
        <f t="shared" ca="1" si="302"/>
        <v>0</v>
      </c>
      <c r="BM508" s="264">
        <f t="shared" ca="1" si="303"/>
        <v>0</v>
      </c>
      <c r="BN508" s="266">
        <f t="shared" si="304"/>
        <v>0</v>
      </c>
      <c r="BO508" s="266">
        <f t="shared" si="305"/>
        <v>0</v>
      </c>
      <c r="BP508" s="266">
        <f t="shared" ca="1" si="306"/>
        <v>0</v>
      </c>
      <c r="BQ508" s="266">
        <f t="shared" ca="1" si="307"/>
        <v>0</v>
      </c>
      <c r="BR508" s="268">
        <f t="shared" ca="1" si="308"/>
        <v>0</v>
      </c>
      <c r="BS508" s="262" t="s">
        <v>99</v>
      </c>
      <c r="BT508" s="277"/>
      <c r="BW508" s="266">
        <f t="shared" si="309"/>
        <v>0</v>
      </c>
      <c r="BX508" s="266">
        <f t="shared" si="310"/>
        <v>0</v>
      </c>
      <c r="BY508" s="266">
        <f t="shared" si="311"/>
        <v>0</v>
      </c>
      <c r="BZ508" s="266">
        <f t="shared" si="312"/>
        <v>0</v>
      </c>
      <c r="CA508" s="266">
        <f ca="1">N508*IFERROR(INDEX(Algorithms!$G:$G,MATCH($C508&amp;"_Therm Saved per Unit- MLA",Algorithms!$A:$A,0)),0)*X508</f>
        <v>0</v>
      </c>
      <c r="CB508" s="266">
        <f ca="1">O508*IFERROR(INDEX(Algorithms!$G:$G,MATCH($C508&amp;"_Therm Saved per Unit- MLA",Algorithms!$A:$A,0)),0)*Y508</f>
        <v>0</v>
      </c>
      <c r="CC508" s="266">
        <f ca="1">P508*IFERROR(INDEX(Algorithms!$G:$G,MATCH($C508&amp;"_Therm Saved per Unit- MLA",Algorithms!$A:$A,0)),0)*Z508</f>
        <v>0</v>
      </c>
      <c r="CD508" s="266">
        <f ca="1">Q508*IFERROR(INDEX(Algorithms!$G:$G,MATCH($C508&amp;"_Therm Saved per Unit- MLA",Algorithms!$A:$A,0)),0)*AA508</f>
        <v>0</v>
      </c>
      <c r="CE508" s="266">
        <f ca="1">IFERROR(INDEX(Algorithms!$G:$G,MATCH($C508&amp;"_Lifetime (years)",Algorithms!$A:$A,0)),0)</f>
        <v>15</v>
      </c>
      <c r="CF508" s="266">
        <f ca="1">IFERROR(INDEX(Algorithms!$G:$G,MATCH($C508&amp;"_Lifetime (years) - Remaining Years",Algorithms!$A:$A,0)),0)</f>
        <v>0</v>
      </c>
      <c r="CG508" s="266">
        <f t="shared" ca="1" si="313"/>
        <v>0</v>
      </c>
      <c r="CH508" s="266">
        <f t="shared" ca="1" si="314"/>
        <v>0</v>
      </c>
      <c r="CI508" s="266">
        <f t="shared" ca="1" si="315"/>
        <v>0</v>
      </c>
      <c r="CJ508" s="266">
        <f t="shared" ca="1" si="316"/>
        <v>0</v>
      </c>
      <c r="CK508" s="266">
        <f t="shared" si="317"/>
        <v>0</v>
      </c>
      <c r="CL508" s="266">
        <f t="shared" si="318"/>
        <v>0</v>
      </c>
      <c r="CM508" s="266">
        <f t="shared" ca="1" si="319"/>
        <v>0</v>
      </c>
      <c r="CN508" s="266">
        <f t="shared" ca="1" si="320"/>
        <v>0</v>
      </c>
      <c r="CO508" s="266">
        <f ca="1">N508*IFERROR(INDEX(Algorithms!$G:$G,MATCH($C508&amp;"_Therm Saved per Unit- MLA",Algorithms!$A:$A,0)),0)*X508</f>
        <v>0</v>
      </c>
      <c r="CP508" s="266">
        <f ca="1">O508*IFERROR(INDEX(Algorithms!$G:$G,MATCH($C508&amp;"_Therm Saved per Unit- MLA",Algorithms!$A:$A,0)),0)*Y508</f>
        <v>0</v>
      </c>
      <c r="CQ508" s="266">
        <f ca="1">P508*IFERROR(INDEX(Algorithms!$G:$G,MATCH($C508&amp;"_Therm Saved per Unit- MLA",Algorithms!$A:$A,0)),0)*Z508</f>
        <v>0</v>
      </c>
      <c r="CR508" s="266">
        <f ca="1">Q508*IFERROR(INDEX(Algorithms!$G:$G,MATCH($C508&amp;"_Therm Saved per Unit- MLA",Algorithms!$A:$A,0)),0)*AA508</f>
        <v>0</v>
      </c>
      <c r="CS508" s="266">
        <f ca="1">IFERROR(INDEX(Algorithms!$G:$G,MATCH($C508&amp;"_Lifetime (years)",Algorithms!$A:$A,0)),0)</f>
        <v>15</v>
      </c>
      <c r="CT508" s="266">
        <f ca="1">IFERROR(INDEX(Algorithms!$G:$G,MATCH($C508&amp;"_Lifetime (years) - Remaining Years",Algorithms!$A:$A,0)),0)</f>
        <v>0</v>
      </c>
      <c r="CU508" s="266">
        <f t="shared" ca="1" si="321"/>
        <v>0</v>
      </c>
      <c r="CV508" s="266">
        <f t="shared" ca="1" si="322"/>
        <v>0</v>
      </c>
      <c r="CW508" s="266">
        <f t="shared" ca="1" si="323"/>
        <v>0</v>
      </c>
      <c r="CX508" s="266">
        <f t="shared" ca="1" si="324"/>
        <v>0</v>
      </c>
    </row>
    <row r="509" spans="2:102" s="47" customFormat="1" ht="18" customHeight="1" x14ac:dyDescent="0.25">
      <c r="B509" t="str">
        <f t="shared" si="325"/>
        <v>NSG_Income Eligible_Multi-Family_Partner Trade Ally Rebate_Pipe Insulation_HW Small 1" to 2"_MF/CI/SMB</v>
      </c>
      <c r="C509" s="47" t="str">
        <f t="shared" si="286"/>
        <v>Pipe Insulation_HW Small 1" to 2"_MF/CI/SMB</v>
      </c>
      <c r="D509" s="270" t="s">
        <v>1787</v>
      </c>
      <c r="E509" s="270" t="s">
        <v>325</v>
      </c>
      <c r="F509" s="270" t="s">
        <v>1422</v>
      </c>
      <c r="G509" s="270" t="s">
        <v>1799</v>
      </c>
      <c r="H509" s="270" t="s">
        <v>404</v>
      </c>
      <c r="I509" s="270" t="s">
        <v>953</v>
      </c>
      <c r="J509" s="270" t="s">
        <v>662</v>
      </c>
      <c r="K509" s="263">
        <v>1</v>
      </c>
      <c r="L509" s="263" t="str">
        <f ca="1">IFERROR(INDEX(Algorithms!J:J,MATCH($C509&amp;"_Therm Saved per Unit",Algorithms!$A:$A,0)),"n/a")</f>
        <v>"3 - Res Pipe Insulation" worksheet</v>
      </c>
      <c r="M509" s="263" t="str">
        <f>IFERROR(INDEX('Measure Level Detail'!$N:$N,MATCH($B509,'Measure Level Detail'!$B:$B,0)),0)</f>
        <v>each</v>
      </c>
      <c r="N509" s="271">
        <f>IFERROR(INDEX('Measure Level Detail'!$P:$P,MATCH($B509&amp;"_"&amp;N$3,'Measure Level Detail'!$C:$C,0)),0)</f>
        <v>0</v>
      </c>
      <c r="O509" s="271">
        <f>IFERROR(INDEX('Measure Level Detail'!$P:$P,MATCH($B509&amp;"_"&amp;O$3,'Measure Level Detail'!$C:$C,0)),0)</f>
        <v>0</v>
      </c>
      <c r="P509" s="271">
        <f>IFERROR(INDEX('Measure Level Detail'!$P:$P,MATCH($B509&amp;"_"&amp;P$3,'Measure Level Detail'!$C:$C,0)),0)</f>
        <v>0</v>
      </c>
      <c r="Q509" s="271">
        <f>IFERROR(INDEX('Measure Level Detail'!$P:$P,MATCH($B509&amp;"_"&amp;Q$3,'Measure Level Detail'!$C:$C,0)),0)</f>
        <v>0</v>
      </c>
      <c r="R509" s="263">
        <f ca="1">IFERROR(INDEX(Algorithms!K:K,MATCH($C509&amp;"_Therm Saved per Unit",Algorithms!$A:$A,0)),"n/a")</f>
        <v>0</v>
      </c>
      <c r="S509" s="262"/>
      <c r="T509" s="272">
        <v>2.6588140926267867</v>
      </c>
      <c r="U509" s="272">
        <v>2.6588140926267867</v>
      </c>
      <c r="V509" s="272">
        <v>2.6588140926267867</v>
      </c>
      <c r="W509" s="272">
        <v>2.6588140926267867</v>
      </c>
      <c r="X509" s="273">
        <f>IFERROR(INDEX('Measure Level Detail'!$R:$R,MATCH($B509&amp;"_"&amp;X$3,'Measure Level Detail'!$C:$C,0)),0)</f>
        <v>1</v>
      </c>
      <c r="Y509" s="273">
        <f>IFERROR(INDEX('Measure Level Detail'!$R:$R,MATCH($B509&amp;"_"&amp;Y$3,'Measure Level Detail'!$C:$C,0)),0)</f>
        <v>1</v>
      </c>
      <c r="Z509" s="273">
        <f>IFERROR(INDEX('Measure Level Detail'!$R:$R,MATCH($B509&amp;"_"&amp;Z$3,'Measure Level Detail'!$C:$C,0)),0)</f>
        <v>1</v>
      </c>
      <c r="AA509" s="273">
        <f>IFERROR(INDEX('Measure Level Detail'!$R:$R,MATCH($B509&amp;"_"&amp;AA$3,'Measure Level Detail'!$C:$C,0)),0)</f>
        <v>1</v>
      </c>
      <c r="AB509" s="266">
        <f t="shared" si="287"/>
        <v>0</v>
      </c>
      <c r="AC509" s="266">
        <f t="shared" si="288"/>
        <v>0</v>
      </c>
      <c r="AD509" s="266">
        <f t="shared" si="289"/>
        <v>0</v>
      </c>
      <c r="AE509" s="266">
        <f t="shared" si="290"/>
        <v>0</v>
      </c>
      <c r="AF509" s="266">
        <f t="shared" si="291"/>
        <v>0</v>
      </c>
      <c r="AG509" s="274">
        <v>1</v>
      </c>
      <c r="AH509" s="274">
        <v>1</v>
      </c>
      <c r="AI509" s="274">
        <v>1</v>
      </c>
      <c r="AJ509" s="274">
        <v>1</v>
      </c>
      <c r="AK509" s="274">
        <f t="shared" si="292"/>
        <v>1</v>
      </c>
      <c r="AL509" s="274">
        <f t="shared" si="293"/>
        <v>1</v>
      </c>
      <c r="AM509" s="274">
        <f t="shared" si="294"/>
        <v>1</v>
      </c>
      <c r="AN509" s="274">
        <f t="shared" si="295"/>
        <v>1</v>
      </c>
      <c r="AO509" s="262"/>
      <c r="AP509" s="262"/>
      <c r="AQ509" s="267">
        <v>2.6588140926267867</v>
      </c>
      <c r="AR509" s="262"/>
      <c r="AS509" s="266">
        <f t="shared" si="296"/>
        <v>0</v>
      </c>
      <c r="AT509" s="264">
        <f t="shared" si="297"/>
        <v>0</v>
      </c>
      <c r="AU509" s="262"/>
      <c r="AV509" s="262"/>
      <c r="AW509" s="265">
        <v>2.6588140926267867</v>
      </c>
      <c r="AX509" s="164" t="s">
        <v>1469</v>
      </c>
      <c r="AY509" s="266">
        <v>0</v>
      </c>
      <c r="AZ509" s="266">
        <f t="shared" si="298"/>
        <v>0</v>
      </c>
      <c r="BA509" s="264">
        <f t="shared" si="299"/>
        <v>0</v>
      </c>
      <c r="BB509" s="262"/>
      <c r="BC509" s="262"/>
      <c r="BD509" s="265">
        <f ca="1">IFERROR(INDEX(Algorithms!$G:$G,MATCH($C509&amp;"_Therm Saved per Unit",Algorithms!$A:$A,0)),0)</f>
        <v>2.6588140926267867</v>
      </c>
      <c r="BE509" s="164" t="str">
        <f ca="1">IFERROR(INDEX('v12 Revisions'!$P$29:$P$186, MATCH('Measure-Level Adj Gas'!$L509, 'v12 Revisions'!$D$29:$D$186,0)),"")</f>
        <v/>
      </c>
      <c r="BF509" s="266">
        <f t="shared" ca="1" si="300"/>
        <v>0</v>
      </c>
      <c r="BG509" s="264">
        <f t="shared" ca="1" si="301"/>
        <v>0</v>
      </c>
      <c r="BH509" s="262"/>
      <c r="BI509" s="262"/>
      <c r="BJ509" s="265">
        <f ca="1">IFERROR(INDEX(Algorithms!$G:$G,MATCH($C509&amp;"_Therm Saved per Unit",Algorithms!$A:$A,0)),0)</f>
        <v>2.6588140926267867</v>
      </c>
      <c r="BK509" s="164"/>
      <c r="BL509" s="266">
        <f t="shared" ca="1" si="302"/>
        <v>0</v>
      </c>
      <c r="BM509" s="264">
        <f t="shared" ca="1" si="303"/>
        <v>0</v>
      </c>
      <c r="BN509" s="266">
        <f t="shared" si="304"/>
        <v>0</v>
      </c>
      <c r="BO509" s="266">
        <f t="shared" si="305"/>
        <v>0</v>
      </c>
      <c r="BP509" s="266">
        <f t="shared" ca="1" si="306"/>
        <v>0</v>
      </c>
      <c r="BQ509" s="266">
        <f t="shared" ca="1" si="307"/>
        <v>0</v>
      </c>
      <c r="BR509" s="268">
        <f t="shared" ca="1" si="308"/>
        <v>0</v>
      </c>
      <c r="BS509" s="262" t="s">
        <v>99</v>
      </c>
      <c r="BT509" s="277"/>
      <c r="BW509" s="266">
        <f t="shared" si="309"/>
        <v>0</v>
      </c>
      <c r="BX509" s="266">
        <f t="shared" si="310"/>
        <v>0</v>
      </c>
      <c r="BY509" s="266">
        <f t="shared" si="311"/>
        <v>0</v>
      </c>
      <c r="BZ509" s="266">
        <f t="shared" si="312"/>
        <v>0</v>
      </c>
      <c r="CA509" s="266">
        <f ca="1">N509*IFERROR(INDEX(Algorithms!$G:$G,MATCH($C509&amp;"_Therm Saved per Unit- MLA",Algorithms!$A:$A,0)),0)*X509</f>
        <v>0</v>
      </c>
      <c r="CB509" s="266">
        <f ca="1">O509*IFERROR(INDEX(Algorithms!$G:$G,MATCH($C509&amp;"_Therm Saved per Unit- MLA",Algorithms!$A:$A,0)),0)*Y509</f>
        <v>0</v>
      </c>
      <c r="CC509" s="266">
        <f ca="1">P509*IFERROR(INDEX(Algorithms!$G:$G,MATCH($C509&amp;"_Therm Saved per Unit- MLA",Algorithms!$A:$A,0)),0)*Z509</f>
        <v>0</v>
      </c>
      <c r="CD509" s="266">
        <f ca="1">Q509*IFERROR(INDEX(Algorithms!$G:$G,MATCH($C509&amp;"_Therm Saved per Unit- MLA",Algorithms!$A:$A,0)),0)*AA509</f>
        <v>0</v>
      </c>
      <c r="CE509" s="266">
        <f ca="1">IFERROR(INDEX(Algorithms!$G:$G,MATCH($C509&amp;"_Lifetime (years)",Algorithms!$A:$A,0)),0)</f>
        <v>15</v>
      </c>
      <c r="CF509" s="266">
        <f ca="1">IFERROR(INDEX(Algorithms!$G:$G,MATCH($C509&amp;"_Lifetime (years) - Remaining Years",Algorithms!$A:$A,0)),0)</f>
        <v>0</v>
      </c>
      <c r="CG509" s="266">
        <f t="shared" ca="1" si="313"/>
        <v>0</v>
      </c>
      <c r="CH509" s="266">
        <f t="shared" ca="1" si="314"/>
        <v>0</v>
      </c>
      <c r="CI509" s="266">
        <f t="shared" ca="1" si="315"/>
        <v>0</v>
      </c>
      <c r="CJ509" s="266">
        <f t="shared" ca="1" si="316"/>
        <v>0</v>
      </c>
      <c r="CK509" s="266">
        <f t="shared" si="317"/>
        <v>0</v>
      </c>
      <c r="CL509" s="266">
        <f t="shared" si="318"/>
        <v>0</v>
      </c>
      <c r="CM509" s="266">
        <f t="shared" ca="1" si="319"/>
        <v>0</v>
      </c>
      <c r="CN509" s="266">
        <f t="shared" ca="1" si="320"/>
        <v>0</v>
      </c>
      <c r="CO509" s="266">
        <f ca="1">N509*IFERROR(INDEX(Algorithms!$G:$G,MATCH($C509&amp;"_Therm Saved per Unit- MLA",Algorithms!$A:$A,0)),0)*X509</f>
        <v>0</v>
      </c>
      <c r="CP509" s="266">
        <f ca="1">O509*IFERROR(INDEX(Algorithms!$G:$G,MATCH($C509&amp;"_Therm Saved per Unit- MLA",Algorithms!$A:$A,0)),0)*Y509</f>
        <v>0</v>
      </c>
      <c r="CQ509" s="266">
        <f ca="1">P509*IFERROR(INDEX(Algorithms!$G:$G,MATCH($C509&amp;"_Therm Saved per Unit- MLA",Algorithms!$A:$A,0)),0)*Z509</f>
        <v>0</v>
      </c>
      <c r="CR509" s="266">
        <f ca="1">Q509*IFERROR(INDEX(Algorithms!$G:$G,MATCH($C509&amp;"_Therm Saved per Unit- MLA",Algorithms!$A:$A,0)),0)*AA509</f>
        <v>0</v>
      </c>
      <c r="CS509" s="266">
        <f ca="1">IFERROR(INDEX(Algorithms!$G:$G,MATCH($C509&amp;"_Lifetime (years)",Algorithms!$A:$A,0)),0)</f>
        <v>15</v>
      </c>
      <c r="CT509" s="266">
        <f ca="1">IFERROR(INDEX(Algorithms!$G:$G,MATCH($C509&amp;"_Lifetime (years) - Remaining Years",Algorithms!$A:$A,0)),0)</f>
        <v>0</v>
      </c>
      <c r="CU509" s="266">
        <f t="shared" ca="1" si="321"/>
        <v>0</v>
      </c>
      <c r="CV509" s="266">
        <f t="shared" ca="1" si="322"/>
        <v>0</v>
      </c>
      <c r="CW509" s="266">
        <f t="shared" ca="1" si="323"/>
        <v>0</v>
      </c>
      <c r="CX509" s="266">
        <f t="shared" ca="1" si="324"/>
        <v>0</v>
      </c>
    </row>
    <row r="510" spans="2:102" s="47" customFormat="1" ht="18" customHeight="1" x14ac:dyDescent="0.25">
      <c r="B510" t="str">
        <f t="shared" si="325"/>
        <v>NSG_Income Eligible_Multi-Family_Partner Trade Ally Rebate_Pipe Insulation_HW Medium 2.1" to 4"_MF/CI/SMB</v>
      </c>
      <c r="C510" s="47" t="str">
        <f t="shared" si="286"/>
        <v>Pipe Insulation_HW Medium 2.1" to 4"_MF/CI/SMB</v>
      </c>
      <c r="D510" s="270" t="s">
        <v>1787</v>
      </c>
      <c r="E510" s="270" t="s">
        <v>325</v>
      </c>
      <c r="F510" s="270" t="s">
        <v>1422</v>
      </c>
      <c r="G510" s="270" t="s">
        <v>1799</v>
      </c>
      <c r="H510" s="270" t="s">
        <v>404</v>
      </c>
      <c r="I510" s="270" t="s">
        <v>954</v>
      </c>
      <c r="J510" s="270" t="s">
        <v>662</v>
      </c>
      <c r="K510" s="263">
        <v>1</v>
      </c>
      <c r="L510" s="263" t="str">
        <f ca="1">IFERROR(INDEX(Algorithms!J:J,MATCH($C510&amp;"_Therm Saved per Unit",Algorithms!$A:$A,0)),"n/a")</f>
        <v>"3 - Res Pipe Insulation" worksheet</v>
      </c>
      <c r="M510" s="263" t="str">
        <f>IFERROR(INDEX('Measure Level Detail'!$N:$N,MATCH($B510,'Measure Level Detail'!$B:$B,0)),0)</f>
        <v>each</v>
      </c>
      <c r="N510" s="271">
        <f>IFERROR(INDEX('Measure Level Detail'!$P:$P,MATCH($B510&amp;"_"&amp;N$3,'Measure Level Detail'!$C:$C,0)),0)</f>
        <v>0</v>
      </c>
      <c r="O510" s="271">
        <f>IFERROR(INDEX('Measure Level Detail'!$P:$P,MATCH($B510&amp;"_"&amp;O$3,'Measure Level Detail'!$C:$C,0)),0)</f>
        <v>0</v>
      </c>
      <c r="P510" s="271">
        <f>IFERROR(INDEX('Measure Level Detail'!$P:$P,MATCH($B510&amp;"_"&amp;P$3,'Measure Level Detail'!$C:$C,0)),0)</f>
        <v>0</v>
      </c>
      <c r="Q510" s="271">
        <f>IFERROR(INDEX('Measure Level Detail'!$P:$P,MATCH($B510&amp;"_"&amp;Q$3,'Measure Level Detail'!$C:$C,0)),0)</f>
        <v>0</v>
      </c>
      <c r="R510" s="263">
        <f ca="1">IFERROR(INDEX(Algorithms!K:K,MATCH($C510&amp;"_Therm Saved per Unit",Algorithms!$A:$A,0)),"n/a")</f>
        <v>0</v>
      </c>
      <c r="S510" s="262"/>
      <c r="T510" s="272">
        <v>5.2492031493764015</v>
      </c>
      <c r="U510" s="272">
        <v>5.2492031493764015</v>
      </c>
      <c r="V510" s="272">
        <v>5.2492031493764015</v>
      </c>
      <c r="W510" s="272">
        <v>5.2492031493764015</v>
      </c>
      <c r="X510" s="273">
        <f>IFERROR(INDEX('Measure Level Detail'!$R:$R,MATCH($B510&amp;"_"&amp;X$3,'Measure Level Detail'!$C:$C,0)),0)</f>
        <v>1</v>
      </c>
      <c r="Y510" s="273">
        <f>IFERROR(INDEX('Measure Level Detail'!$R:$R,MATCH($B510&amp;"_"&amp;Y$3,'Measure Level Detail'!$C:$C,0)),0)</f>
        <v>1</v>
      </c>
      <c r="Z510" s="273">
        <f>IFERROR(INDEX('Measure Level Detail'!$R:$R,MATCH($B510&amp;"_"&amp;Z$3,'Measure Level Detail'!$C:$C,0)),0)</f>
        <v>1</v>
      </c>
      <c r="AA510" s="273">
        <f>IFERROR(INDEX('Measure Level Detail'!$R:$R,MATCH($B510&amp;"_"&amp;AA$3,'Measure Level Detail'!$C:$C,0)),0)</f>
        <v>1</v>
      </c>
      <c r="AB510" s="266">
        <f t="shared" si="287"/>
        <v>0</v>
      </c>
      <c r="AC510" s="266">
        <f t="shared" si="288"/>
        <v>0</v>
      </c>
      <c r="AD510" s="266">
        <f t="shared" si="289"/>
        <v>0</v>
      </c>
      <c r="AE510" s="266">
        <f t="shared" si="290"/>
        <v>0</v>
      </c>
      <c r="AF510" s="266">
        <f t="shared" si="291"/>
        <v>0</v>
      </c>
      <c r="AG510" s="274">
        <v>1</v>
      </c>
      <c r="AH510" s="274">
        <v>1</v>
      </c>
      <c r="AI510" s="274">
        <v>1</v>
      </c>
      <c r="AJ510" s="274">
        <v>1</v>
      </c>
      <c r="AK510" s="274">
        <f t="shared" si="292"/>
        <v>1</v>
      </c>
      <c r="AL510" s="274">
        <f t="shared" si="293"/>
        <v>1</v>
      </c>
      <c r="AM510" s="274">
        <f t="shared" si="294"/>
        <v>1</v>
      </c>
      <c r="AN510" s="274">
        <f t="shared" si="295"/>
        <v>1</v>
      </c>
      <c r="AO510" s="262"/>
      <c r="AP510" s="262"/>
      <c r="AQ510" s="267">
        <v>5.2492031493764015</v>
      </c>
      <c r="AR510" s="262"/>
      <c r="AS510" s="266">
        <f t="shared" si="296"/>
        <v>0</v>
      </c>
      <c r="AT510" s="264">
        <f t="shared" si="297"/>
        <v>0</v>
      </c>
      <c r="AU510" s="262"/>
      <c r="AV510" s="262"/>
      <c r="AW510" s="265">
        <v>5.2492031493764015</v>
      </c>
      <c r="AX510" s="164" t="s">
        <v>1469</v>
      </c>
      <c r="AY510" s="266">
        <v>0</v>
      </c>
      <c r="AZ510" s="266">
        <f t="shared" si="298"/>
        <v>0</v>
      </c>
      <c r="BA510" s="264">
        <f t="shared" si="299"/>
        <v>0</v>
      </c>
      <c r="BB510" s="262"/>
      <c r="BC510" s="262"/>
      <c r="BD510" s="265">
        <f ca="1">IFERROR(INDEX(Algorithms!$G:$G,MATCH($C510&amp;"_Therm Saved per Unit",Algorithms!$A:$A,0)),0)</f>
        <v>5.2492031493764015</v>
      </c>
      <c r="BE510" s="164" t="str">
        <f ca="1">IFERROR(INDEX('v12 Revisions'!$P$29:$P$186, MATCH('Measure-Level Adj Gas'!$L510, 'v12 Revisions'!$D$29:$D$186,0)),"")</f>
        <v/>
      </c>
      <c r="BF510" s="266">
        <f t="shared" ca="1" si="300"/>
        <v>0</v>
      </c>
      <c r="BG510" s="264">
        <f t="shared" ca="1" si="301"/>
        <v>0</v>
      </c>
      <c r="BH510" s="262"/>
      <c r="BI510" s="262"/>
      <c r="BJ510" s="265">
        <f ca="1">IFERROR(INDEX(Algorithms!$G:$G,MATCH($C510&amp;"_Therm Saved per Unit",Algorithms!$A:$A,0)),0)</f>
        <v>5.2492031493764015</v>
      </c>
      <c r="BK510" s="164"/>
      <c r="BL510" s="266">
        <f t="shared" ca="1" si="302"/>
        <v>0</v>
      </c>
      <c r="BM510" s="264">
        <f t="shared" ca="1" si="303"/>
        <v>0</v>
      </c>
      <c r="BN510" s="266">
        <f t="shared" si="304"/>
        <v>0</v>
      </c>
      <c r="BO510" s="266">
        <f t="shared" si="305"/>
        <v>0</v>
      </c>
      <c r="BP510" s="266">
        <f t="shared" ca="1" si="306"/>
        <v>0</v>
      </c>
      <c r="BQ510" s="266">
        <f t="shared" ca="1" si="307"/>
        <v>0</v>
      </c>
      <c r="BR510" s="268">
        <f t="shared" ca="1" si="308"/>
        <v>0</v>
      </c>
      <c r="BS510" s="262" t="s">
        <v>99</v>
      </c>
      <c r="BT510" s="277"/>
      <c r="BW510" s="266">
        <f t="shared" si="309"/>
        <v>0</v>
      </c>
      <c r="BX510" s="266">
        <f t="shared" si="310"/>
        <v>0</v>
      </c>
      <c r="BY510" s="266">
        <f t="shared" si="311"/>
        <v>0</v>
      </c>
      <c r="BZ510" s="266">
        <f t="shared" si="312"/>
        <v>0</v>
      </c>
      <c r="CA510" s="266">
        <f ca="1">N510*IFERROR(INDEX(Algorithms!$G:$G,MATCH($C510&amp;"_Therm Saved per Unit- MLA",Algorithms!$A:$A,0)),0)*X510</f>
        <v>0</v>
      </c>
      <c r="CB510" s="266">
        <f ca="1">O510*IFERROR(INDEX(Algorithms!$G:$G,MATCH($C510&amp;"_Therm Saved per Unit- MLA",Algorithms!$A:$A,0)),0)*Y510</f>
        <v>0</v>
      </c>
      <c r="CC510" s="266">
        <f ca="1">P510*IFERROR(INDEX(Algorithms!$G:$G,MATCH($C510&amp;"_Therm Saved per Unit- MLA",Algorithms!$A:$A,0)),0)*Z510</f>
        <v>0</v>
      </c>
      <c r="CD510" s="266">
        <f ca="1">Q510*IFERROR(INDEX(Algorithms!$G:$G,MATCH($C510&amp;"_Therm Saved per Unit- MLA",Algorithms!$A:$A,0)),0)*AA510</f>
        <v>0</v>
      </c>
      <c r="CE510" s="266">
        <f ca="1">IFERROR(INDEX(Algorithms!$G:$G,MATCH($C510&amp;"_Lifetime (years)",Algorithms!$A:$A,0)),0)</f>
        <v>15</v>
      </c>
      <c r="CF510" s="266">
        <f ca="1">IFERROR(INDEX(Algorithms!$G:$G,MATCH($C510&amp;"_Lifetime (years) - Remaining Years",Algorithms!$A:$A,0)),0)</f>
        <v>0</v>
      </c>
      <c r="CG510" s="266">
        <f t="shared" ca="1" si="313"/>
        <v>0</v>
      </c>
      <c r="CH510" s="266">
        <f t="shared" ca="1" si="314"/>
        <v>0</v>
      </c>
      <c r="CI510" s="266">
        <f t="shared" ca="1" si="315"/>
        <v>0</v>
      </c>
      <c r="CJ510" s="266">
        <f t="shared" ca="1" si="316"/>
        <v>0</v>
      </c>
      <c r="CK510" s="266">
        <f t="shared" si="317"/>
        <v>0</v>
      </c>
      <c r="CL510" s="266">
        <f t="shared" si="318"/>
        <v>0</v>
      </c>
      <c r="CM510" s="266">
        <f t="shared" ca="1" si="319"/>
        <v>0</v>
      </c>
      <c r="CN510" s="266">
        <f t="shared" ca="1" si="320"/>
        <v>0</v>
      </c>
      <c r="CO510" s="266">
        <f ca="1">N510*IFERROR(INDEX(Algorithms!$G:$G,MATCH($C510&amp;"_Therm Saved per Unit- MLA",Algorithms!$A:$A,0)),0)*X510</f>
        <v>0</v>
      </c>
      <c r="CP510" s="266">
        <f ca="1">O510*IFERROR(INDEX(Algorithms!$G:$G,MATCH($C510&amp;"_Therm Saved per Unit- MLA",Algorithms!$A:$A,0)),0)*Y510</f>
        <v>0</v>
      </c>
      <c r="CQ510" s="266">
        <f ca="1">P510*IFERROR(INDEX(Algorithms!$G:$G,MATCH($C510&amp;"_Therm Saved per Unit- MLA",Algorithms!$A:$A,0)),0)*Z510</f>
        <v>0</v>
      </c>
      <c r="CR510" s="266">
        <f ca="1">Q510*IFERROR(INDEX(Algorithms!$G:$G,MATCH($C510&amp;"_Therm Saved per Unit- MLA",Algorithms!$A:$A,0)),0)*AA510</f>
        <v>0</v>
      </c>
      <c r="CS510" s="266">
        <f ca="1">IFERROR(INDEX(Algorithms!$G:$G,MATCH($C510&amp;"_Lifetime (years)",Algorithms!$A:$A,0)),0)</f>
        <v>15</v>
      </c>
      <c r="CT510" s="266">
        <f ca="1">IFERROR(INDEX(Algorithms!$G:$G,MATCH($C510&amp;"_Lifetime (years) - Remaining Years",Algorithms!$A:$A,0)),0)</f>
        <v>0</v>
      </c>
      <c r="CU510" s="266">
        <f t="shared" ca="1" si="321"/>
        <v>0</v>
      </c>
      <c r="CV510" s="266">
        <f t="shared" ca="1" si="322"/>
        <v>0</v>
      </c>
      <c r="CW510" s="266">
        <f t="shared" ca="1" si="323"/>
        <v>0</v>
      </c>
      <c r="CX510" s="266">
        <f t="shared" ca="1" si="324"/>
        <v>0</v>
      </c>
    </row>
    <row r="511" spans="2:102" s="47" customFormat="1" ht="18" customHeight="1" x14ac:dyDescent="0.25">
      <c r="B511" t="str">
        <f t="shared" si="325"/>
        <v>NSG_Income Eligible_Multi-Family_Partner Trade Ally Rebate_Pipe Insulation_HW Large &gt;4"_MF/CI/SMB</v>
      </c>
      <c r="C511" s="47" t="str">
        <f t="shared" si="286"/>
        <v>Pipe Insulation_HW Large &gt;4"_MF/CI/SMB</v>
      </c>
      <c r="D511" s="270" t="s">
        <v>1787</v>
      </c>
      <c r="E511" s="270" t="s">
        <v>325</v>
      </c>
      <c r="F511" s="270" t="s">
        <v>1422</v>
      </c>
      <c r="G511" s="270" t="s">
        <v>1799</v>
      </c>
      <c r="H511" s="270" t="s">
        <v>404</v>
      </c>
      <c r="I511" s="270" t="s">
        <v>955</v>
      </c>
      <c r="J511" s="270" t="s">
        <v>662</v>
      </c>
      <c r="K511" s="263">
        <v>1</v>
      </c>
      <c r="L511" s="263" t="str">
        <f ca="1">IFERROR(INDEX(Algorithms!J:J,MATCH($C511&amp;"_Therm Saved per Unit",Algorithms!$A:$A,0)),"n/a")</f>
        <v>"3 - Res Pipe Insulation" worksheet</v>
      </c>
      <c r="M511" s="263" t="str">
        <f>IFERROR(INDEX('Measure Level Detail'!$N:$N,MATCH($B511,'Measure Level Detail'!$B:$B,0)),0)</f>
        <v>each</v>
      </c>
      <c r="N511" s="271">
        <f>IFERROR(INDEX('Measure Level Detail'!$P:$P,MATCH($B511&amp;"_"&amp;N$3,'Measure Level Detail'!$C:$C,0)),0)</f>
        <v>0</v>
      </c>
      <c r="O511" s="271">
        <f>IFERROR(INDEX('Measure Level Detail'!$P:$P,MATCH($B511&amp;"_"&amp;O$3,'Measure Level Detail'!$C:$C,0)),0)</f>
        <v>0</v>
      </c>
      <c r="P511" s="271">
        <f>IFERROR(INDEX('Measure Level Detail'!$P:$P,MATCH($B511&amp;"_"&amp;P$3,'Measure Level Detail'!$C:$C,0)),0)</f>
        <v>0</v>
      </c>
      <c r="Q511" s="271">
        <f>IFERROR(INDEX('Measure Level Detail'!$P:$P,MATCH($B511&amp;"_"&amp;Q$3,'Measure Level Detail'!$C:$C,0)),0)</f>
        <v>0</v>
      </c>
      <c r="R511" s="263">
        <f ca="1">IFERROR(INDEX(Algorithms!K:K,MATCH($C511&amp;"_Therm Saved per Unit",Algorithms!$A:$A,0)),"n/a")</f>
        <v>0</v>
      </c>
      <c r="S511" s="262"/>
      <c r="T511" s="272">
        <v>9.0407613085908682</v>
      </c>
      <c r="U511" s="272">
        <v>9.0407613085908682</v>
      </c>
      <c r="V511" s="272">
        <v>9.0407613085908682</v>
      </c>
      <c r="W511" s="272">
        <v>9.0407613085908682</v>
      </c>
      <c r="X511" s="273">
        <f>IFERROR(INDEX('Measure Level Detail'!$R:$R,MATCH($B511&amp;"_"&amp;X$3,'Measure Level Detail'!$C:$C,0)),0)</f>
        <v>1</v>
      </c>
      <c r="Y511" s="273">
        <f>IFERROR(INDEX('Measure Level Detail'!$R:$R,MATCH($B511&amp;"_"&amp;Y$3,'Measure Level Detail'!$C:$C,0)),0)</f>
        <v>1</v>
      </c>
      <c r="Z511" s="273">
        <f>IFERROR(INDEX('Measure Level Detail'!$R:$R,MATCH($B511&amp;"_"&amp;Z$3,'Measure Level Detail'!$C:$C,0)),0)</f>
        <v>1</v>
      </c>
      <c r="AA511" s="273">
        <f>IFERROR(INDEX('Measure Level Detail'!$R:$R,MATCH($B511&amp;"_"&amp;AA$3,'Measure Level Detail'!$C:$C,0)),0)</f>
        <v>1</v>
      </c>
      <c r="AB511" s="266">
        <f t="shared" si="287"/>
        <v>0</v>
      </c>
      <c r="AC511" s="266">
        <f t="shared" si="288"/>
        <v>0</v>
      </c>
      <c r="AD511" s="266">
        <f t="shared" si="289"/>
        <v>0</v>
      </c>
      <c r="AE511" s="266">
        <f t="shared" si="290"/>
        <v>0</v>
      </c>
      <c r="AF511" s="266">
        <f t="shared" si="291"/>
        <v>0</v>
      </c>
      <c r="AG511" s="274">
        <v>1</v>
      </c>
      <c r="AH511" s="274">
        <v>1</v>
      </c>
      <c r="AI511" s="274">
        <v>1</v>
      </c>
      <c r="AJ511" s="274">
        <v>1</v>
      </c>
      <c r="AK511" s="274">
        <f t="shared" si="292"/>
        <v>1</v>
      </c>
      <c r="AL511" s="274">
        <f t="shared" si="293"/>
        <v>1</v>
      </c>
      <c r="AM511" s="274">
        <f t="shared" si="294"/>
        <v>1</v>
      </c>
      <c r="AN511" s="274">
        <f t="shared" si="295"/>
        <v>1</v>
      </c>
      <c r="AO511" s="262"/>
      <c r="AP511" s="262"/>
      <c r="AQ511" s="267">
        <v>9.0407613085908682</v>
      </c>
      <c r="AR511" s="262"/>
      <c r="AS511" s="266">
        <f t="shared" si="296"/>
        <v>0</v>
      </c>
      <c r="AT511" s="264">
        <f t="shared" si="297"/>
        <v>0</v>
      </c>
      <c r="AU511" s="262"/>
      <c r="AV511" s="262"/>
      <c r="AW511" s="265">
        <v>9.0407613085908682</v>
      </c>
      <c r="AX511" s="164" t="s">
        <v>1469</v>
      </c>
      <c r="AY511" s="266">
        <v>0</v>
      </c>
      <c r="AZ511" s="266">
        <f t="shared" si="298"/>
        <v>0</v>
      </c>
      <c r="BA511" s="264">
        <f t="shared" si="299"/>
        <v>0</v>
      </c>
      <c r="BB511" s="262"/>
      <c r="BC511" s="262"/>
      <c r="BD511" s="265">
        <f ca="1">IFERROR(INDEX(Algorithms!$G:$G,MATCH($C511&amp;"_Therm Saved per Unit",Algorithms!$A:$A,0)),0)</f>
        <v>9.0407613085908682</v>
      </c>
      <c r="BE511" s="164" t="str">
        <f ca="1">IFERROR(INDEX('v12 Revisions'!$P$29:$P$186, MATCH('Measure-Level Adj Gas'!$L511, 'v12 Revisions'!$D$29:$D$186,0)),"")</f>
        <v/>
      </c>
      <c r="BF511" s="266">
        <f t="shared" ca="1" si="300"/>
        <v>0</v>
      </c>
      <c r="BG511" s="264">
        <f t="shared" ca="1" si="301"/>
        <v>0</v>
      </c>
      <c r="BH511" s="262"/>
      <c r="BI511" s="262"/>
      <c r="BJ511" s="265">
        <f ca="1">IFERROR(INDEX(Algorithms!$G:$G,MATCH($C511&amp;"_Therm Saved per Unit",Algorithms!$A:$A,0)),0)</f>
        <v>9.0407613085908682</v>
      </c>
      <c r="BK511" s="164"/>
      <c r="BL511" s="266">
        <f t="shared" ca="1" si="302"/>
        <v>0</v>
      </c>
      <c r="BM511" s="264">
        <f t="shared" ca="1" si="303"/>
        <v>0</v>
      </c>
      <c r="BN511" s="266">
        <f t="shared" si="304"/>
        <v>0</v>
      </c>
      <c r="BO511" s="266">
        <f t="shared" si="305"/>
        <v>0</v>
      </c>
      <c r="BP511" s="266">
        <f t="shared" ca="1" si="306"/>
        <v>0</v>
      </c>
      <c r="BQ511" s="266">
        <f t="shared" ca="1" si="307"/>
        <v>0</v>
      </c>
      <c r="BR511" s="268">
        <f t="shared" ca="1" si="308"/>
        <v>0</v>
      </c>
      <c r="BS511" s="262" t="s">
        <v>99</v>
      </c>
      <c r="BT511" s="277"/>
      <c r="BW511" s="266">
        <f t="shared" si="309"/>
        <v>0</v>
      </c>
      <c r="BX511" s="266">
        <f t="shared" si="310"/>
        <v>0</v>
      </c>
      <c r="BY511" s="266">
        <f t="shared" si="311"/>
        <v>0</v>
      </c>
      <c r="BZ511" s="266">
        <f t="shared" si="312"/>
        <v>0</v>
      </c>
      <c r="CA511" s="266">
        <f ca="1">N511*IFERROR(INDEX(Algorithms!$G:$G,MATCH($C511&amp;"_Therm Saved per Unit- MLA",Algorithms!$A:$A,0)),0)*X511</f>
        <v>0</v>
      </c>
      <c r="CB511" s="266">
        <f ca="1">O511*IFERROR(INDEX(Algorithms!$G:$G,MATCH($C511&amp;"_Therm Saved per Unit- MLA",Algorithms!$A:$A,0)),0)*Y511</f>
        <v>0</v>
      </c>
      <c r="CC511" s="266">
        <f ca="1">P511*IFERROR(INDEX(Algorithms!$G:$G,MATCH($C511&amp;"_Therm Saved per Unit- MLA",Algorithms!$A:$A,0)),0)*Z511</f>
        <v>0</v>
      </c>
      <c r="CD511" s="266">
        <f ca="1">Q511*IFERROR(INDEX(Algorithms!$G:$G,MATCH($C511&amp;"_Therm Saved per Unit- MLA",Algorithms!$A:$A,0)),0)*AA511</f>
        <v>0</v>
      </c>
      <c r="CE511" s="266">
        <f ca="1">IFERROR(INDEX(Algorithms!$G:$G,MATCH($C511&amp;"_Lifetime (years)",Algorithms!$A:$A,0)),0)</f>
        <v>15</v>
      </c>
      <c r="CF511" s="266">
        <f ca="1">IFERROR(INDEX(Algorithms!$G:$G,MATCH($C511&amp;"_Lifetime (years) - Remaining Years",Algorithms!$A:$A,0)),0)</f>
        <v>0</v>
      </c>
      <c r="CG511" s="266">
        <f t="shared" ca="1" si="313"/>
        <v>0</v>
      </c>
      <c r="CH511" s="266">
        <f t="shared" ca="1" si="314"/>
        <v>0</v>
      </c>
      <c r="CI511" s="266">
        <f t="shared" ca="1" si="315"/>
        <v>0</v>
      </c>
      <c r="CJ511" s="266">
        <f t="shared" ca="1" si="316"/>
        <v>0</v>
      </c>
      <c r="CK511" s="266">
        <f t="shared" si="317"/>
        <v>0</v>
      </c>
      <c r="CL511" s="266">
        <f t="shared" si="318"/>
        <v>0</v>
      </c>
      <c r="CM511" s="266">
        <f t="shared" ca="1" si="319"/>
        <v>0</v>
      </c>
      <c r="CN511" s="266">
        <f t="shared" ca="1" si="320"/>
        <v>0</v>
      </c>
      <c r="CO511" s="266">
        <f ca="1">N511*IFERROR(INDEX(Algorithms!$G:$G,MATCH($C511&amp;"_Therm Saved per Unit- MLA",Algorithms!$A:$A,0)),0)*X511</f>
        <v>0</v>
      </c>
      <c r="CP511" s="266">
        <f ca="1">O511*IFERROR(INDEX(Algorithms!$G:$G,MATCH($C511&amp;"_Therm Saved per Unit- MLA",Algorithms!$A:$A,0)),0)*Y511</f>
        <v>0</v>
      </c>
      <c r="CQ511" s="266">
        <f ca="1">P511*IFERROR(INDEX(Algorithms!$G:$G,MATCH($C511&amp;"_Therm Saved per Unit- MLA",Algorithms!$A:$A,0)),0)*Z511</f>
        <v>0</v>
      </c>
      <c r="CR511" s="266">
        <f ca="1">Q511*IFERROR(INDEX(Algorithms!$G:$G,MATCH($C511&amp;"_Therm Saved per Unit- MLA",Algorithms!$A:$A,0)),0)*AA511</f>
        <v>0</v>
      </c>
      <c r="CS511" s="266">
        <f ca="1">IFERROR(INDEX(Algorithms!$G:$G,MATCH($C511&amp;"_Lifetime (years)",Algorithms!$A:$A,0)),0)</f>
        <v>15</v>
      </c>
      <c r="CT511" s="266">
        <f ca="1">IFERROR(INDEX(Algorithms!$G:$G,MATCH($C511&amp;"_Lifetime (years) - Remaining Years",Algorithms!$A:$A,0)),0)</f>
        <v>0</v>
      </c>
      <c r="CU511" s="266">
        <f t="shared" ca="1" si="321"/>
        <v>0</v>
      </c>
      <c r="CV511" s="266">
        <f t="shared" ca="1" si="322"/>
        <v>0</v>
      </c>
      <c r="CW511" s="266">
        <f t="shared" ca="1" si="323"/>
        <v>0</v>
      </c>
      <c r="CX511" s="266">
        <f t="shared" ca="1" si="324"/>
        <v>0</v>
      </c>
    </row>
    <row r="512" spans="2:102" s="47" customFormat="1" ht="18" customHeight="1" x14ac:dyDescent="0.25">
      <c r="B512" t="str">
        <f t="shared" si="325"/>
        <v>NSG_Income Eligible_Multi-Family_Partner Trade Ally Rebate_Pipe Insulation_Steam - Small 1" to 2"_MF</v>
      </c>
      <c r="C512" s="47" t="str">
        <f t="shared" si="286"/>
        <v>Pipe Insulation_Steam - Small 1" to 2"_MF</v>
      </c>
      <c r="D512" s="270" t="s">
        <v>1787</v>
      </c>
      <c r="E512" s="270" t="s">
        <v>325</v>
      </c>
      <c r="F512" s="270" t="s">
        <v>1422</v>
      </c>
      <c r="G512" s="270" t="s">
        <v>1799</v>
      </c>
      <c r="H512" s="270" t="s">
        <v>404</v>
      </c>
      <c r="I512" s="270" t="s">
        <v>956</v>
      </c>
      <c r="J512" s="270" t="s">
        <v>553</v>
      </c>
      <c r="K512" s="263">
        <v>1</v>
      </c>
      <c r="L512" s="263" t="str">
        <f ca="1">IFERROR(INDEX(Algorithms!J:J,MATCH($C512&amp;"_Therm Saved per Unit",Algorithms!$A:$A,0)),"n/a")</f>
        <v>"3 - Res Pipe Insulation" worksheet</v>
      </c>
      <c r="M512" s="263" t="str">
        <f>IFERROR(INDEX('Measure Level Detail'!$N:$N,MATCH($B512,'Measure Level Detail'!$B:$B,0)),0)</f>
        <v>each</v>
      </c>
      <c r="N512" s="271">
        <f>IFERROR(INDEX('Measure Level Detail'!$P:$P,MATCH($B512&amp;"_"&amp;N$3,'Measure Level Detail'!$C:$C,0)),0)</f>
        <v>0</v>
      </c>
      <c r="O512" s="271">
        <f>IFERROR(INDEX('Measure Level Detail'!$P:$P,MATCH($B512&amp;"_"&amp;O$3,'Measure Level Detail'!$C:$C,0)),0)</f>
        <v>0</v>
      </c>
      <c r="P512" s="271">
        <f>IFERROR(INDEX('Measure Level Detail'!$P:$P,MATCH($B512&amp;"_"&amp;P$3,'Measure Level Detail'!$C:$C,0)),0)</f>
        <v>0</v>
      </c>
      <c r="Q512" s="271">
        <f>IFERROR(INDEX('Measure Level Detail'!$P:$P,MATCH($B512&amp;"_"&amp;Q$3,'Measure Level Detail'!$C:$C,0)),0)</f>
        <v>0</v>
      </c>
      <c r="R512" s="263">
        <f ca="1">IFERROR(INDEX(Algorithms!K:K,MATCH($C512&amp;"_Therm Saved per Unit",Algorithms!$A:$A,0)),"n/a")</f>
        <v>0</v>
      </c>
      <c r="S512" s="262"/>
      <c r="T512" s="272">
        <v>3.967097058288509</v>
      </c>
      <c r="U512" s="272">
        <v>3.967097058288509</v>
      </c>
      <c r="V512" s="272">
        <v>3.967097058288509</v>
      </c>
      <c r="W512" s="272">
        <v>3.967097058288509</v>
      </c>
      <c r="X512" s="273">
        <f>IFERROR(INDEX('Measure Level Detail'!$R:$R,MATCH($B512&amp;"_"&amp;X$3,'Measure Level Detail'!$C:$C,0)),0)</f>
        <v>1</v>
      </c>
      <c r="Y512" s="273">
        <f>IFERROR(INDEX('Measure Level Detail'!$R:$R,MATCH($B512&amp;"_"&amp;Y$3,'Measure Level Detail'!$C:$C,0)),0)</f>
        <v>1</v>
      </c>
      <c r="Z512" s="273">
        <f>IFERROR(INDEX('Measure Level Detail'!$R:$R,MATCH($B512&amp;"_"&amp;Z$3,'Measure Level Detail'!$C:$C,0)),0)</f>
        <v>1</v>
      </c>
      <c r="AA512" s="273">
        <f>IFERROR(INDEX('Measure Level Detail'!$R:$R,MATCH($B512&amp;"_"&amp;AA$3,'Measure Level Detail'!$C:$C,0)),0)</f>
        <v>1</v>
      </c>
      <c r="AB512" s="266">
        <f t="shared" si="287"/>
        <v>0</v>
      </c>
      <c r="AC512" s="266">
        <f t="shared" si="288"/>
        <v>0</v>
      </c>
      <c r="AD512" s="266">
        <f t="shared" si="289"/>
        <v>0</v>
      </c>
      <c r="AE512" s="266">
        <f t="shared" si="290"/>
        <v>0</v>
      </c>
      <c r="AF512" s="266">
        <f t="shared" si="291"/>
        <v>0</v>
      </c>
      <c r="AG512" s="274">
        <v>1</v>
      </c>
      <c r="AH512" s="274">
        <v>1</v>
      </c>
      <c r="AI512" s="274">
        <v>1</v>
      </c>
      <c r="AJ512" s="274">
        <v>1</v>
      </c>
      <c r="AK512" s="274">
        <f t="shared" si="292"/>
        <v>1</v>
      </c>
      <c r="AL512" s="274">
        <f t="shared" si="293"/>
        <v>1</v>
      </c>
      <c r="AM512" s="274">
        <f t="shared" si="294"/>
        <v>1</v>
      </c>
      <c r="AN512" s="274">
        <f t="shared" si="295"/>
        <v>1</v>
      </c>
      <c r="AO512" s="262"/>
      <c r="AP512" s="262"/>
      <c r="AQ512" s="267">
        <v>3.967097058288509</v>
      </c>
      <c r="AR512" s="262"/>
      <c r="AS512" s="266">
        <f t="shared" si="296"/>
        <v>0</v>
      </c>
      <c r="AT512" s="264">
        <f t="shared" si="297"/>
        <v>0</v>
      </c>
      <c r="AU512" s="262"/>
      <c r="AV512" s="262"/>
      <c r="AW512" s="265">
        <v>3.967097058288509</v>
      </c>
      <c r="AX512" s="164" t="s">
        <v>1469</v>
      </c>
      <c r="AY512" s="266">
        <v>0</v>
      </c>
      <c r="AZ512" s="266">
        <f t="shared" si="298"/>
        <v>0</v>
      </c>
      <c r="BA512" s="264">
        <f t="shared" si="299"/>
        <v>0</v>
      </c>
      <c r="BB512" s="262"/>
      <c r="BC512" s="262"/>
      <c r="BD512" s="265">
        <f ca="1">IFERROR(INDEX(Algorithms!$G:$G,MATCH($C512&amp;"_Therm Saved per Unit",Algorithms!$A:$A,0)),0)</f>
        <v>3.967097058288509</v>
      </c>
      <c r="BE512" s="164" t="str">
        <f ca="1">IFERROR(INDEX('v12 Revisions'!$P$29:$P$186, MATCH('Measure-Level Adj Gas'!$L512, 'v12 Revisions'!$D$29:$D$186,0)),"")</f>
        <v/>
      </c>
      <c r="BF512" s="266">
        <f t="shared" ca="1" si="300"/>
        <v>0</v>
      </c>
      <c r="BG512" s="264">
        <f t="shared" ca="1" si="301"/>
        <v>0</v>
      </c>
      <c r="BH512" s="262"/>
      <c r="BI512" s="262"/>
      <c r="BJ512" s="265">
        <f ca="1">IFERROR(INDEX(Algorithms!$G:$G,MATCH($C512&amp;"_Therm Saved per Unit",Algorithms!$A:$A,0)),0)</f>
        <v>3.967097058288509</v>
      </c>
      <c r="BK512" s="164"/>
      <c r="BL512" s="266">
        <f t="shared" ca="1" si="302"/>
        <v>0</v>
      </c>
      <c r="BM512" s="264">
        <f t="shared" ca="1" si="303"/>
        <v>0</v>
      </c>
      <c r="BN512" s="266">
        <f t="shared" si="304"/>
        <v>0</v>
      </c>
      <c r="BO512" s="266">
        <f t="shared" si="305"/>
        <v>0</v>
      </c>
      <c r="BP512" s="266">
        <f t="shared" ca="1" si="306"/>
        <v>0</v>
      </c>
      <c r="BQ512" s="266">
        <f t="shared" ca="1" si="307"/>
        <v>0</v>
      </c>
      <c r="BR512" s="268">
        <f t="shared" ca="1" si="308"/>
        <v>0</v>
      </c>
      <c r="BS512" s="262" t="s">
        <v>99</v>
      </c>
      <c r="BT512" s="277"/>
      <c r="BW512" s="266">
        <f t="shared" si="309"/>
        <v>0</v>
      </c>
      <c r="BX512" s="266">
        <f t="shared" si="310"/>
        <v>0</v>
      </c>
      <c r="BY512" s="266">
        <f t="shared" si="311"/>
        <v>0</v>
      </c>
      <c r="BZ512" s="266">
        <f t="shared" si="312"/>
        <v>0</v>
      </c>
      <c r="CA512" s="266">
        <f ca="1">N512*IFERROR(INDEX(Algorithms!$G:$G,MATCH($C512&amp;"_Therm Saved per Unit- MLA",Algorithms!$A:$A,0)),0)*X512</f>
        <v>0</v>
      </c>
      <c r="CB512" s="266">
        <f ca="1">O512*IFERROR(INDEX(Algorithms!$G:$G,MATCH($C512&amp;"_Therm Saved per Unit- MLA",Algorithms!$A:$A,0)),0)*Y512</f>
        <v>0</v>
      </c>
      <c r="CC512" s="266">
        <f ca="1">P512*IFERROR(INDEX(Algorithms!$G:$G,MATCH($C512&amp;"_Therm Saved per Unit- MLA",Algorithms!$A:$A,0)),0)*Z512</f>
        <v>0</v>
      </c>
      <c r="CD512" s="266">
        <f ca="1">Q512*IFERROR(INDEX(Algorithms!$G:$G,MATCH($C512&amp;"_Therm Saved per Unit- MLA",Algorithms!$A:$A,0)),0)*AA512</f>
        <v>0</v>
      </c>
      <c r="CE512" s="266">
        <f ca="1">IFERROR(INDEX(Algorithms!$G:$G,MATCH($C512&amp;"_Lifetime (years)",Algorithms!$A:$A,0)),0)</f>
        <v>15</v>
      </c>
      <c r="CF512" s="266">
        <f ca="1">IFERROR(INDEX(Algorithms!$G:$G,MATCH($C512&amp;"_Lifetime (years) - Remaining Years",Algorithms!$A:$A,0)),0)</f>
        <v>0</v>
      </c>
      <c r="CG512" s="266">
        <f t="shared" ca="1" si="313"/>
        <v>0</v>
      </c>
      <c r="CH512" s="266">
        <f t="shared" ca="1" si="314"/>
        <v>0</v>
      </c>
      <c r="CI512" s="266">
        <f t="shared" ca="1" si="315"/>
        <v>0</v>
      </c>
      <c r="CJ512" s="266">
        <f t="shared" ca="1" si="316"/>
        <v>0</v>
      </c>
      <c r="CK512" s="266">
        <f t="shared" si="317"/>
        <v>0</v>
      </c>
      <c r="CL512" s="266">
        <f t="shared" si="318"/>
        <v>0</v>
      </c>
      <c r="CM512" s="266">
        <f t="shared" ca="1" si="319"/>
        <v>0</v>
      </c>
      <c r="CN512" s="266">
        <f t="shared" ca="1" si="320"/>
        <v>0</v>
      </c>
      <c r="CO512" s="266">
        <f ca="1">N512*IFERROR(INDEX(Algorithms!$G:$G,MATCH($C512&amp;"_Therm Saved per Unit- MLA",Algorithms!$A:$A,0)),0)*X512</f>
        <v>0</v>
      </c>
      <c r="CP512" s="266">
        <f ca="1">O512*IFERROR(INDEX(Algorithms!$G:$G,MATCH($C512&amp;"_Therm Saved per Unit- MLA",Algorithms!$A:$A,0)),0)*Y512</f>
        <v>0</v>
      </c>
      <c r="CQ512" s="266">
        <f ca="1">P512*IFERROR(INDEX(Algorithms!$G:$G,MATCH($C512&amp;"_Therm Saved per Unit- MLA",Algorithms!$A:$A,0)),0)*Z512</f>
        <v>0</v>
      </c>
      <c r="CR512" s="266">
        <f ca="1">Q512*IFERROR(INDEX(Algorithms!$G:$G,MATCH($C512&amp;"_Therm Saved per Unit- MLA",Algorithms!$A:$A,0)),0)*AA512</f>
        <v>0</v>
      </c>
      <c r="CS512" s="266">
        <f ca="1">IFERROR(INDEX(Algorithms!$G:$G,MATCH($C512&amp;"_Lifetime (years)",Algorithms!$A:$A,0)),0)</f>
        <v>15</v>
      </c>
      <c r="CT512" s="266">
        <f ca="1">IFERROR(INDEX(Algorithms!$G:$G,MATCH($C512&amp;"_Lifetime (years) - Remaining Years",Algorithms!$A:$A,0)),0)</f>
        <v>0</v>
      </c>
      <c r="CU512" s="266">
        <f t="shared" ca="1" si="321"/>
        <v>0</v>
      </c>
      <c r="CV512" s="266">
        <f t="shared" ca="1" si="322"/>
        <v>0</v>
      </c>
      <c r="CW512" s="266">
        <f t="shared" ca="1" si="323"/>
        <v>0</v>
      </c>
      <c r="CX512" s="266">
        <f t="shared" ca="1" si="324"/>
        <v>0</v>
      </c>
    </row>
    <row r="513" spans="2:102" s="47" customFormat="1" ht="18" customHeight="1" x14ac:dyDescent="0.25">
      <c r="B513" t="str">
        <f t="shared" si="325"/>
        <v>NSG_Income Eligible_Multi-Family_Partner Trade Ally Rebate_Pipe Insulation_Steam - Med 2.1" to 5"_MF</v>
      </c>
      <c r="C513" s="47" t="str">
        <f t="shared" si="286"/>
        <v>Pipe Insulation_Steam - Med 2.1" to 5"_MF</v>
      </c>
      <c r="D513" s="270" t="s">
        <v>1787</v>
      </c>
      <c r="E513" s="270" t="s">
        <v>325</v>
      </c>
      <c r="F513" s="270" t="s">
        <v>1422</v>
      </c>
      <c r="G513" s="270" t="s">
        <v>1799</v>
      </c>
      <c r="H513" s="270" t="s">
        <v>404</v>
      </c>
      <c r="I513" s="270" t="s">
        <v>957</v>
      </c>
      <c r="J513" s="270" t="s">
        <v>553</v>
      </c>
      <c r="K513" s="263">
        <v>1</v>
      </c>
      <c r="L513" s="263" t="str">
        <f ca="1">IFERROR(INDEX(Algorithms!J:J,MATCH($C513&amp;"_Therm Saved per Unit",Algorithms!$A:$A,0)),"n/a")</f>
        <v>"3 - Res Pipe Insulation" worksheet</v>
      </c>
      <c r="M513" s="263" t="str">
        <f>IFERROR(INDEX('Measure Level Detail'!$N:$N,MATCH($B513,'Measure Level Detail'!$B:$B,0)),0)</f>
        <v>each</v>
      </c>
      <c r="N513" s="271">
        <f>IFERROR(INDEX('Measure Level Detail'!$P:$P,MATCH($B513&amp;"_"&amp;N$3,'Measure Level Detail'!$C:$C,0)),0)</f>
        <v>0</v>
      </c>
      <c r="O513" s="271">
        <f>IFERROR(INDEX('Measure Level Detail'!$P:$P,MATCH($B513&amp;"_"&amp;O$3,'Measure Level Detail'!$C:$C,0)),0)</f>
        <v>0</v>
      </c>
      <c r="P513" s="271">
        <f>IFERROR(INDEX('Measure Level Detail'!$P:$P,MATCH($B513&amp;"_"&amp;P$3,'Measure Level Detail'!$C:$C,0)),0)</f>
        <v>0</v>
      </c>
      <c r="Q513" s="271">
        <f>IFERROR(INDEX('Measure Level Detail'!$P:$P,MATCH($B513&amp;"_"&amp;Q$3,'Measure Level Detail'!$C:$C,0)),0)</f>
        <v>0</v>
      </c>
      <c r="R513" s="263">
        <f ca="1">IFERROR(INDEX(Algorithms!K:K,MATCH($C513&amp;"_Therm Saved per Unit",Algorithms!$A:$A,0)),"n/a")</f>
        <v>0</v>
      </c>
      <c r="S513" s="262"/>
      <c r="T513" s="272">
        <v>15.954497207020932</v>
      </c>
      <c r="U513" s="272">
        <v>15.954497207020932</v>
      </c>
      <c r="V513" s="272">
        <v>15.954497207020932</v>
      </c>
      <c r="W513" s="272">
        <v>15.954497207020932</v>
      </c>
      <c r="X513" s="273">
        <f>IFERROR(INDEX('Measure Level Detail'!$R:$R,MATCH($B513&amp;"_"&amp;X$3,'Measure Level Detail'!$C:$C,0)),0)</f>
        <v>1</v>
      </c>
      <c r="Y513" s="273">
        <f>IFERROR(INDEX('Measure Level Detail'!$R:$R,MATCH($B513&amp;"_"&amp;Y$3,'Measure Level Detail'!$C:$C,0)),0)</f>
        <v>1</v>
      </c>
      <c r="Z513" s="273">
        <f>IFERROR(INDEX('Measure Level Detail'!$R:$R,MATCH($B513&amp;"_"&amp;Z$3,'Measure Level Detail'!$C:$C,0)),0)</f>
        <v>1</v>
      </c>
      <c r="AA513" s="273">
        <f>IFERROR(INDEX('Measure Level Detail'!$R:$R,MATCH($B513&amp;"_"&amp;AA$3,'Measure Level Detail'!$C:$C,0)),0)</f>
        <v>1</v>
      </c>
      <c r="AB513" s="266">
        <f t="shared" si="287"/>
        <v>0</v>
      </c>
      <c r="AC513" s="266">
        <f t="shared" si="288"/>
        <v>0</v>
      </c>
      <c r="AD513" s="266">
        <f t="shared" si="289"/>
        <v>0</v>
      </c>
      <c r="AE513" s="266">
        <f t="shared" si="290"/>
        <v>0</v>
      </c>
      <c r="AF513" s="266">
        <f t="shared" si="291"/>
        <v>0</v>
      </c>
      <c r="AG513" s="274">
        <v>1</v>
      </c>
      <c r="AH513" s="274">
        <v>1</v>
      </c>
      <c r="AI513" s="274">
        <v>1</v>
      </c>
      <c r="AJ513" s="274">
        <v>1</v>
      </c>
      <c r="AK513" s="274">
        <f t="shared" si="292"/>
        <v>1</v>
      </c>
      <c r="AL513" s="274">
        <f t="shared" si="293"/>
        <v>1</v>
      </c>
      <c r="AM513" s="274">
        <f t="shared" si="294"/>
        <v>1</v>
      </c>
      <c r="AN513" s="274">
        <f t="shared" si="295"/>
        <v>1</v>
      </c>
      <c r="AO513" s="262"/>
      <c r="AP513" s="262"/>
      <c r="AQ513" s="267">
        <v>15.954497207020932</v>
      </c>
      <c r="AR513" s="262"/>
      <c r="AS513" s="266">
        <f t="shared" si="296"/>
        <v>0</v>
      </c>
      <c r="AT513" s="264">
        <f t="shared" si="297"/>
        <v>0</v>
      </c>
      <c r="AU513" s="262"/>
      <c r="AV513" s="262"/>
      <c r="AW513" s="265">
        <v>15.954497207020932</v>
      </c>
      <c r="AX513" s="164" t="s">
        <v>1469</v>
      </c>
      <c r="AY513" s="266">
        <v>0</v>
      </c>
      <c r="AZ513" s="266">
        <f t="shared" si="298"/>
        <v>0</v>
      </c>
      <c r="BA513" s="264">
        <f t="shared" si="299"/>
        <v>0</v>
      </c>
      <c r="BB513" s="262"/>
      <c r="BC513" s="262"/>
      <c r="BD513" s="265">
        <f ca="1">IFERROR(INDEX(Algorithms!$G:$G,MATCH($C513&amp;"_Therm Saved per Unit",Algorithms!$A:$A,0)),0)</f>
        <v>15.954497207020932</v>
      </c>
      <c r="BE513" s="164" t="str">
        <f ca="1">IFERROR(INDEX('v12 Revisions'!$P$29:$P$186, MATCH('Measure-Level Adj Gas'!$L513, 'v12 Revisions'!$D$29:$D$186,0)),"")</f>
        <v/>
      </c>
      <c r="BF513" s="266">
        <f t="shared" ca="1" si="300"/>
        <v>0</v>
      </c>
      <c r="BG513" s="264">
        <f t="shared" ca="1" si="301"/>
        <v>0</v>
      </c>
      <c r="BH513" s="262"/>
      <c r="BI513" s="262"/>
      <c r="BJ513" s="265">
        <f ca="1">IFERROR(INDEX(Algorithms!$G:$G,MATCH($C513&amp;"_Therm Saved per Unit",Algorithms!$A:$A,0)),0)</f>
        <v>15.954497207020932</v>
      </c>
      <c r="BK513" s="164"/>
      <c r="BL513" s="266">
        <f t="shared" ca="1" si="302"/>
        <v>0</v>
      </c>
      <c r="BM513" s="264">
        <f t="shared" ca="1" si="303"/>
        <v>0</v>
      </c>
      <c r="BN513" s="266">
        <f t="shared" si="304"/>
        <v>0</v>
      </c>
      <c r="BO513" s="266">
        <f t="shared" si="305"/>
        <v>0</v>
      </c>
      <c r="BP513" s="266">
        <f t="shared" ca="1" si="306"/>
        <v>0</v>
      </c>
      <c r="BQ513" s="266">
        <f t="shared" ca="1" si="307"/>
        <v>0</v>
      </c>
      <c r="BR513" s="268">
        <f t="shared" ca="1" si="308"/>
        <v>0</v>
      </c>
      <c r="BS513" s="262" t="s">
        <v>99</v>
      </c>
      <c r="BT513" s="277"/>
      <c r="BW513" s="266">
        <f t="shared" si="309"/>
        <v>0</v>
      </c>
      <c r="BX513" s="266">
        <f t="shared" si="310"/>
        <v>0</v>
      </c>
      <c r="BY513" s="266">
        <f t="shared" si="311"/>
        <v>0</v>
      </c>
      <c r="BZ513" s="266">
        <f t="shared" si="312"/>
        <v>0</v>
      </c>
      <c r="CA513" s="266">
        <f ca="1">N513*IFERROR(INDEX(Algorithms!$G:$G,MATCH($C513&amp;"_Therm Saved per Unit- MLA",Algorithms!$A:$A,0)),0)*X513</f>
        <v>0</v>
      </c>
      <c r="CB513" s="266">
        <f ca="1">O513*IFERROR(INDEX(Algorithms!$G:$G,MATCH($C513&amp;"_Therm Saved per Unit- MLA",Algorithms!$A:$A,0)),0)*Y513</f>
        <v>0</v>
      </c>
      <c r="CC513" s="266">
        <f ca="1">P513*IFERROR(INDEX(Algorithms!$G:$G,MATCH($C513&amp;"_Therm Saved per Unit- MLA",Algorithms!$A:$A,0)),0)*Z513</f>
        <v>0</v>
      </c>
      <c r="CD513" s="266">
        <f ca="1">Q513*IFERROR(INDEX(Algorithms!$G:$G,MATCH($C513&amp;"_Therm Saved per Unit- MLA",Algorithms!$A:$A,0)),0)*AA513</f>
        <v>0</v>
      </c>
      <c r="CE513" s="266">
        <f ca="1">IFERROR(INDEX(Algorithms!$G:$G,MATCH($C513&amp;"_Lifetime (years)",Algorithms!$A:$A,0)),0)</f>
        <v>15</v>
      </c>
      <c r="CF513" s="266">
        <f ca="1">IFERROR(INDEX(Algorithms!$G:$G,MATCH($C513&amp;"_Lifetime (years) - Remaining Years",Algorithms!$A:$A,0)),0)</f>
        <v>0</v>
      </c>
      <c r="CG513" s="266">
        <f t="shared" ca="1" si="313"/>
        <v>0</v>
      </c>
      <c r="CH513" s="266">
        <f t="shared" ca="1" si="314"/>
        <v>0</v>
      </c>
      <c r="CI513" s="266">
        <f t="shared" ca="1" si="315"/>
        <v>0</v>
      </c>
      <c r="CJ513" s="266">
        <f t="shared" ca="1" si="316"/>
        <v>0</v>
      </c>
      <c r="CK513" s="266">
        <f t="shared" si="317"/>
        <v>0</v>
      </c>
      <c r="CL513" s="266">
        <f t="shared" si="318"/>
        <v>0</v>
      </c>
      <c r="CM513" s="266">
        <f t="shared" ca="1" si="319"/>
        <v>0</v>
      </c>
      <c r="CN513" s="266">
        <f t="shared" ca="1" si="320"/>
        <v>0</v>
      </c>
      <c r="CO513" s="266">
        <f ca="1">N513*IFERROR(INDEX(Algorithms!$G:$G,MATCH($C513&amp;"_Therm Saved per Unit- MLA",Algorithms!$A:$A,0)),0)*X513</f>
        <v>0</v>
      </c>
      <c r="CP513" s="266">
        <f ca="1">O513*IFERROR(INDEX(Algorithms!$G:$G,MATCH($C513&amp;"_Therm Saved per Unit- MLA",Algorithms!$A:$A,0)),0)*Y513</f>
        <v>0</v>
      </c>
      <c r="CQ513" s="266">
        <f ca="1">P513*IFERROR(INDEX(Algorithms!$G:$G,MATCH($C513&amp;"_Therm Saved per Unit- MLA",Algorithms!$A:$A,0)),0)*Z513</f>
        <v>0</v>
      </c>
      <c r="CR513" s="266">
        <f ca="1">Q513*IFERROR(INDEX(Algorithms!$G:$G,MATCH($C513&amp;"_Therm Saved per Unit- MLA",Algorithms!$A:$A,0)),0)*AA513</f>
        <v>0</v>
      </c>
      <c r="CS513" s="266">
        <f ca="1">IFERROR(INDEX(Algorithms!$G:$G,MATCH($C513&amp;"_Lifetime (years)",Algorithms!$A:$A,0)),0)</f>
        <v>15</v>
      </c>
      <c r="CT513" s="266">
        <f ca="1">IFERROR(INDEX(Algorithms!$G:$G,MATCH($C513&amp;"_Lifetime (years) - Remaining Years",Algorithms!$A:$A,0)),0)</f>
        <v>0</v>
      </c>
      <c r="CU513" s="266">
        <f t="shared" ca="1" si="321"/>
        <v>0</v>
      </c>
      <c r="CV513" s="266">
        <f t="shared" ca="1" si="322"/>
        <v>0</v>
      </c>
      <c r="CW513" s="266">
        <f t="shared" ca="1" si="323"/>
        <v>0</v>
      </c>
      <c r="CX513" s="266">
        <f t="shared" ca="1" si="324"/>
        <v>0</v>
      </c>
    </row>
    <row r="514" spans="2:102" s="47" customFormat="1" ht="18" customHeight="1" x14ac:dyDescent="0.25">
      <c r="B514" t="str">
        <f t="shared" si="325"/>
        <v>NSG_Income Eligible_Multi-Family_Partner Trade Ally Rebate_Pipe Insulation_Steam - Large 5.1" to 8"_MF</v>
      </c>
      <c r="C514" s="47" t="str">
        <f t="shared" si="286"/>
        <v>Pipe Insulation_Steam - Large 5.1" to 8"_MF</v>
      </c>
      <c r="D514" s="270" t="s">
        <v>1787</v>
      </c>
      <c r="E514" s="270" t="s">
        <v>325</v>
      </c>
      <c r="F514" s="270" t="s">
        <v>1422</v>
      </c>
      <c r="G514" s="270" t="s">
        <v>1799</v>
      </c>
      <c r="H514" s="270" t="s">
        <v>404</v>
      </c>
      <c r="I514" s="270" t="s">
        <v>958</v>
      </c>
      <c r="J514" s="270" t="s">
        <v>553</v>
      </c>
      <c r="K514" s="263">
        <v>1</v>
      </c>
      <c r="L514" s="263" t="str">
        <f ca="1">IFERROR(INDEX(Algorithms!J:J,MATCH($C514&amp;"_Therm Saved per Unit",Algorithms!$A:$A,0)),"n/a")</f>
        <v>"3 - Res Pipe Insulation" worksheet</v>
      </c>
      <c r="M514" s="263" t="str">
        <f>IFERROR(INDEX('Measure Level Detail'!$N:$N,MATCH($B514,'Measure Level Detail'!$B:$B,0)),0)</f>
        <v>each</v>
      </c>
      <c r="N514" s="271">
        <f>IFERROR(INDEX('Measure Level Detail'!$P:$P,MATCH($B514&amp;"_"&amp;N$3,'Measure Level Detail'!$C:$C,0)),0)</f>
        <v>0</v>
      </c>
      <c r="O514" s="271">
        <f>IFERROR(INDEX('Measure Level Detail'!$P:$P,MATCH($B514&amp;"_"&amp;O$3,'Measure Level Detail'!$C:$C,0)),0)</f>
        <v>0</v>
      </c>
      <c r="P514" s="271">
        <f>IFERROR(INDEX('Measure Level Detail'!$P:$P,MATCH($B514&amp;"_"&amp;P$3,'Measure Level Detail'!$C:$C,0)),0)</f>
        <v>0</v>
      </c>
      <c r="Q514" s="271">
        <f>IFERROR(INDEX('Measure Level Detail'!$P:$P,MATCH($B514&amp;"_"&amp;Q$3,'Measure Level Detail'!$C:$C,0)),0)</f>
        <v>0</v>
      </c>
      <c r="R514" s="263">
        <f ca="1">IFERROR(INDEX(Algorithms!K:K,MATCH($C514&amp;"_Therm Saved per Unit",Algorithms!$A:$A,0)),"n/a")</f>
        <v>0</v>
      </c>
      <c r="S514" s="262"/>
      <c r="T514" s="272">
        <v>31.133964854103496</v>
      </c>
      <c r="U514" s="272">
        <v>31.133964854103496</v>
      </c>
      <c r="V514" s="272">
        <v>31.133964854103496</v>
      </c>
      <c r="W514" s="272">
        <v>31.133964854103496</v>
      </c>
      <c r="X514" s="273">
        <f>IFERROR(INDEX('Measure Level Detail'!$R:$R,MATCH($B514&amp;"_"&amp;X$3,'Measure Level Detail'!$C:$C,0)),0)</f>
        <v>1</v>
      </c>
      <c r="Y514" s="273">
        <f>IFERROR(INDEX('Measure Level Detail'!$R:$R,MATCH($B514&amp;"_"&amp;Y$3,'Measure Level Detail'!$C:$C,0)),0)</f>
        <v>1</v>
      </c>
      <c r="Z514" s="273">
        <f>IFERROR(INDEX('Measure Level Detail'!$R:$R,MATCH($B514&amp;"_"&amp;Z$3,'Measure Level Detail'!$C:$C,0)),0)</f>
        <v>1</v>
      </c>
      <c r="AA514" s="273">
        <f>IFERROR(INDEX('Measure Level Detail'!$R:$R,MATCH($B514&amp;"_"&amp;AA$3,'Measure Level Detail'!$C:$C,0)),0)</f>
        <v>1</v>
      </c>
      <c r="AB514" s="266">
        <f t="shared" si="287"/>
        <v>0</v>
      </c>
      <c r="AC514" s="266">
        <f t="shared" si="288"/>
        <v>0</v>
      </c>
      <c r="AD514" s="266">
        <f t="shared" si="289"/>
        <v>0</v>
      </c>
      <c r="AE514" s="266">
        <f t="shared" si="290"/>
        <v>0</v>
      </c>
      <c r="AF514" s="266">
        <f t="shared" si="291"/>
        <v>0</v>
      </c>
      <c r="AG514" s="274">
        <v>1</v>
      </c>
      <c r="AH514" s="274">
        <v>1</v>
      </c>
      <c r="AI514" s="274">
        <v>1</v>
      </c>
      <c r="AJ514" s="274">
        <v>1</v>
      </c>
      <c r="AK514" s="274">
        <f t="shared" si="292"/>
        <v>1</v>
      </c>
      <c r="AL514" s="274">
        <f t="shared" si="293"/>
        <v>1</v>
      </c>
      <c r="AM514" s="274">
        <f t="shared" si="294"/>
        <v>1</v>
      </c>
      <c r="AN514" s="274">
        <f t="shared" si="295"/>
        <v>1</v>
      </c>
      <c r="AO514" s="262"/>
      <c r="AP514" s="262"/>
      <c r="AQ514" s="267">
        <v>31.133964854103496</v>
      </c>
      <c r="AR514" s="262"/>
      <c r="AS514" s="266">
        <f t="shared" si="296"/>
        <v>0</v>
      </c>
      <c r="AT514" s="264">
        <f t="shared" si="297"/>
        <v>0</v>
      </c>
      <c r="AU514" s="262"/>
      <c r="AV514" s="262"/>
      <c r="AW514" s="265">
        <v>31.133964854103496</v>
      </c>
      <c r="AX514" s="164" t="s">
        <v>1469</v>
      </c>
      <c r="AY514" s="266">
        <v>0</v>
      </c>
      <c r="AZ514" s="266">
        <f t="shared" si="298"/>
        <v>0</v>
      </c>
      <c r="BA514" s="264">
        <f t="shared" si="299"/>
        <v>0</v>
      </c>
      <c r="BB514" s="262"/>
      <c r="BC514" s="262"/>
      <c r="BD514" s="265">
        <f ca="1">IFERROR(INDEX(Algorithms!$G:$G,MATCH($C514&amp;"_Therm Saved per Unit",Algorithms!$A:$A,0)),0)</f>
        <v>31.133964854103496</v>
      </c>
      <c r="BE514" s="164" t="str">
        <f ca="1">IFERROR(INDEX('v12 Revisions'!$P$29:$P$186, MATCH('Measure-Level Adj Gas'!$L514, 'v12 Revisions'!$D$29:$D$186,0)),"")</f>
        <v/>
      </c>
      <c r="BF514" s="266">
        <f t="shared" ca="1" si="300"/>
        <v>0</v>
      </c>
      <c r="BG514" s="264">
        <f t="shared" ca="1" si="301"/>
        <v>0</v>
      </c>
      <c r="BH514" s="262"/>
      <c r="BI514" s="262"/>
      <c r="BJ514" s="265">
        <f ca="1">IFERROR(INDEX(Algorithms!$G:$G,MATCH($C514&amp;"_Therm Saved per Unit",Algorithms!$A:$A,0)),0)</f>
        <v>31.133964854103496</v>
      </c>
      <c r="BK514" s="164"/>
      <c r="BL514" s="266">
        <f t="shared" ca="1" si="302"/>
        <v>0</v>
      </c>
      <c r="BM514" s="264">
        <f t="shared" ca="1" si="303"/>
        <v>0</v>
      </c>
      <c r="BN514" s="266">
        <f t="shared" si="304"/>
        <v>0</v>
      </c>
      <c r="BO514" s="266">
        <f t="shared" si="305"/>
        <v>0</v>
      </c>
      <c r="BP514" s="266">
        <f t="shared" ca="1" si="306"/>
        <v>0</v>
      </c>
      <c r="BQ514" s="266">
        <f t="shared" ca="1" si="307"/>
        <v>0</v>
      </c>
      <c r="BR514" s="268">
        <f t="shared" ca="1" si="308"/>
        <v>0</v>
      </c>
      <c r="BS514" s="262" t="s">
        <v>99</v>
      </c>
      <c r="BT514" s="277"/>
      <c r="BW514" s="266">
        <f t="shared" si="309"/>
        <v>0</v>
      </c>
      <c r="BX514" s="266">
        <f t="shared" si="310"/>
        <v>0</v>
      </c>
      <c r="BY514" s="266">
        <f t="shared" si="311"/>
        <v>0</v>
      </c>
      <c r="BZ514" s="266">
        <f t="shared" si="312"/>
        <v>0</v>
      </c>
      <c r="CA514" s="266">
        <f ca="1">N514*IFERROR(INDEX(Algorithms!$G:$G,MATCH($C514&amp;"_Therm Saved per Unit- MLA",Algorithms!$A:$A,0)),0)*X514</f>
        <v>0</v>
      </c>
      <c r="CB514" s="266">
        <f ca="1">O514*IFERROR(INDEX(Algorithms!$G:$G,MATCH($C514&amp;"_Therm Saved per Unit- MLA",Algorithms!$A:$A,0)),0)*Y514</f>
        <v>0</v>
      </c>
      <c r="CC514" s="266">
        <f ca="1">P514*IFERROR(INDEX(Algorithms!$G:$G,MATCH($C514&amp;"_Therm Saved per Unit- MLA",Algorithms!$A:$A,0)),0)*Z514</f>
        <v>0</v>
      </c>
      <c r="CD514" s="266">
        <f ca="1">Q514*IFERROR(INDEX(Algorithms!$G:$G,MATCH($C514&amp;"_Therm Saved per Unit- MLA",Algorithms!$A:$A,0)),0)*AA514</f>
        <v>0</v>
      </c>
      <c r="CE514" s="266">
        <f ca="1">IFERROR(INDEX(Algorithms!$G:$G,MATCH($C514&amp;"_Lifetime (years)",Algorithms!$A:$A,0)),0)</f>
        <v>15</v>
      </c>
      <c r="CF514" s="266">
        <f ca="1">IFERROR(INDEX(Algorithms!$G:$G,MATCH($C514&amp;"_Lifetime (years) - Remaining Years",Algorithms!$A:$A,0)),0)</f>
        <v>0</v>
      </c>
      <c r="CG514" s="266">
        <f t="shared" ca="1" si="313"/>
        <v>0</v>
      </c>
      <c r="CH514" s="266">
        <f t="shared" ca="1" si="314"/>
        <v>0</v>
      </c>
      <c r="CI514" s="266">
        <f t="shared" ca="1" si="315"/>
        <v>0</v>
      </c>
      <c r="CJ514" s="266">
        <f t="shared" ca="1" si="316"/>
        <v>0</v>
      </c>
      <c r="CK514" s="266">
        <f t="shared" si="317"/>
        <v>0</v>
      </c>
      <c r="CL514" s="266">
        <f t="shared" si="318"/>
        <v>0</v>
      </c>
      <c r="CM514" s="266">
        <f t="shared" ca="1" si="319"/>
        <v>0</v>
      </c>
      <c r="CN514" s="266">
        <f t="shared" ca="1" si="320"/>
        <v>0</v>
      </c>
      <c r="CO514" s="266">
        <f ca="1">N514*IFERROR(INDEX(Algorithms!$G:$G,MATCH($C514&amp;"_Therm Saved per Unit- MLA",Algorithms!$A:$A,0)),0)*X514</f>
        <v>0</v>
      </c>
      <c r="CP514" s="266">
        <f ca="1">O514*IFERROR(INDEX(Algorithms!$G:$G,MATCH($C514&amp;"_Therm Saved per Unit- MLA",Algorithms!$A:$A,0)),0)*Y514</f>
        <v>0</v>
      </c>
      <c r="CQ514" s="266">
        <f ca="1">P514*IFERROR(INDEX(Algorithms!$G:$G,MATCH($C514&amp;"_Therm Saved per Unit- MLA",Algorithms!$A:$A,0)),0)*Z514</f>
        <v>0</v>
      </c>
      <c r="CR514" s="266">
        <f ca="1">Q514*IFERROR(INDEX(Algorithms!$G:$G,MATCH($C514&amp;"_Therm Saved per Unit- MLA",Algorithms!$A:$A,0)),0)*AA514</f>
        <v>0</v>
      </c>
      <c r="CS514" s="266">
        <f ca="1">IFERROR(INDEX(Algorithms!$G:$G,MATCH($C514&amp;"_Lifetime (years)",Algorithms!$A:$A,0)),0)</f>
        <v>15</v>
      </c>
      <c r="CT514" s="266">
        <f ca="1">IFERROR(INDEX(Algorithms!$G:$G,MATCH($C514&amp;"_Lifetime (years) - Remaining Years",Algorithms!$A:$A,0)),0)</f>
        <v>0</v>
      </c>
      <c r="CU514" s="266">
        <f t="shared" ca="1" si="321"/>
        <v>0</v>
      </c>
      <c r="CV514" s="266">
        <f t="shared" ca="1" si="322"/>
        <v>0</v>
      </c>
      <c r="CW514" s="266">
        <f t="shared" ca="1" si="323"/>
        <v>0</v>
      </c>
      <c r="CX514" s="266">
        <f t="shared" ca="1" si="324"/>
        <v>0</v>
      </c>
    </row>
    <row r="515" spans="2:102" s="47" customFormat="1" ht="18" customHeight="1" x14ac:dyDescent="0.25">
      <c r="B515" t="str">
        <f t="shared" si="325"/>
        <v>NSG_Income Eligible_Multi-Family_Partner Trade Ally Rebate_Pipe Insulation_Steam - X-Large &gt;8"_MF</v>
      </c>
      <c r="C515" s="47" t="str">
        <f t="shared" si="286"/>
        <v>Pipe Insulation_Steam - X-Large &gt;8"_MF</v>
      </c>
      <c r="D515" s="270" t="s">
        <v>1787</v>
      </c>
      <c r="E515" s="270" t="s">
        <v>325</v>
      </c>
      <c r="F515" s="270" t="s">
        <v>1422</v>
      </c>
      <c r="G515" s="270" t="s">
        <v>1799</v>
      </c>
      <c r="H515" s="270" t="s">
        <v>404</v>
      </c>
      <c r="I515" s="270" t="s">
        <v>960</v>
      </c>
      <c r="J515" s="270" t="s">
        <v>553</v>
      </c>
      <c r="K515" s="263">
        <v>1</v>
      </c>
      <c r="L515" s="263" t="str">
        <f ca="1">IFERROR(INDEX(Algorithms!J:J,MATCH($C515&amp;"_Therm Saved per Unit",Algorithms!$A:$A,0)),"n/a")</f>
        <v>"3 - Res Pipe Insulation" worksheet</v>
      </c>
      <c r="M515" s="263" t="str">
        <f>IFERROR(INDEX('Measure Level Detail'!$N:$N,MATCH($B515,'Measure Level Detail'!$B:$B,0)),0)</f>
        <v>each</v>
      </c>
      <c r="N515" s="271">
        <f>IFERROR(INDEX('Measure Level Detail'!$P:$P,MATCH($B515&amp;"_"&amp;N$3,'Measure Level Detail'!$C:$C,0)),0)</f>
        <v>0</v>
      </c>
      <c r="O515" s="271">
        <f>IFERROR(INDEX('Measure Level Detail'!$P:$P,MATCH($B515&amp;"_"&amp;O$3,'Measure Level Detail'!$C:$C,0)),0)</f>
        <v>0</v>
      </c>
      <c r="P515" s="271">
        <f>IFERROR(INDEX('Measure Level Detail'!$P:$P,MATCH($B515&amp;"_"&amp;P$3,'Measure Level Detail'!$C:$C,0)),0)</f>
        <v>0</v>
      </c>
      <c r="Q515" s="271">
        <f>IFERROR(INDEX('Measure Level Detail'!$P:$P,MATCH($B515&amp;"_"&amp;Q$3,'Measure Level Detail'!$C:$C,0)),0)</f>
        <v>0</v>
      </c>
      <c r="R515" s="263">
        <f ca="1">IFERROR(INDEX(Algorithms!K:K,MATCH($C515&amp;"_Therm Saved per Unit",Algorithms!$A:$A,0)),"n/a")</f>
        <v>0</v>
      </c>
      <c r="S515" s="262"/>
      <c r="T515" s="272">
        <v>44.814401171573145</v>
      </c>
      <c r="U515" s="272">
        <v>44.814401171573145</v>
      </c>
      <c r="V515" s="272">
        <v>44.814401171573145</v>
      </c>
      <c r="W515" s="272">
        <v>44.814401171573145</v>
      </c>
      <c r="X515" s="273">
        <f>IFERROR(INDEX('Measure Level Detail'!$R:$R,MATCH($B515&amp;"_"&amp;X$3,'Measure Level Detail'!$C:$C,0)),0)</f>
        <v>1</v>
      </c>
      <c r="Y515" s="273">
        <f>IFERROR(INDEX('Measure Level Detail'!$R:$R,MATCH($B515&amp;"_"&amp;Y$3,'Measure Level Detail'!$C:$C,0)),0)</f>
        <v>1</v>
      </c>
      <c r="Z515" s="273">
        <f>IFERROR(INDEX('Measure Level Detail'!$R:$R,MATCH($B515&amp;"_"&amp;Z$3,'Measure Level Detail'!$C:$C,0)),0)</f>
        <v>1</v>
      </c>
      <c r="AA515" s="273">
        <f>IFERROR(INDEX('Measure Level Detail'!$R:$R,MATCH($B515&amp;"_"&amp;AA$3,'Measure Level Detail'!$C:$C,0)),0)</f>
        <v>1</v>
      </c>
      <c r="AB515" s="266">
        <f t="shared" si="287"/>
        <v>0</v>
      </c>
      <c r="AC515" s="266">
        <f t="shared" si="288"/>
        <v>0</v>
      </c>
      <c r="AD515" s="266">
        <f t="shared" si="289"/>
        <v>0</v>
      </c>
      <c r="AE515" s="266">
        <f t="shared" si="290"/>
        <v>0</v>
      </c>
      <c r="AF515" s="266">
        <f t="shared" si="291"/>
        <v>0</v>
      </c>
      <c r="AG515" s="274">
        <v>1</v>
      </c>
      <c r="AH515" s="274">
        <v>1</v>
      </c>
      <c r="AI515" s="274">
        <v>1</v>
      </c>
      <c r="AJ515" s="274">
        <v>1</v>
      </c>
      <c r="AK515" s="274">
        <f t="shared" si="292"/>
        <v>1</v>
      </c>
      <c r="AL515" s="274">
        <f t="shared" si="293"/>
        <v>1</v>
      </c>
      <c r="AM515" s="274">
        <f t="shared" si="294"/>
        <v>1</v>
      </c>
      <c r="AN515" s="274">
        <f t="shared" si="295"/>
        <v>1</v>
      </c>
      <c r="AO515" s="262"/>
      <c r="AP515" s="262"/>
      <c r="AQ515" s="267">
        <v>44.814401171573145</v>
      </c>
      <c r="AR515" s="262"/>
      <c r="AS515" s="266">
        <f t="shared" si="296"/>
        <v>0</v>
      </c>
      <c r="AT515" s="264">
        <f t="shared" si="297"/>
        <v>0</v>
      </c>
      <c r="AU515" s="262"/>
      <c r="AV515" s="262"/>
      <c r="AW515" s="265">
        <v>44.814401171573145</v>
      </c>
      <c r="AX515" s="164" t="s">
        <v>1469</v>
      </c>
      <c r="AY515" s="266">
        <v>0</v>
      </c>
      <c r="AZ515" s="266">
        <f t="shared" si="298"/>
        <v>0</v>
      </c>
      <c r="BA515" s="264">
        <f t="shared" si="299"/>
        <v>0</v>
      </c>
      <c r="BB515" s="262"/>
      <c r="BC515" s="262"/>
      <c r="BD515" s="265">
        <f ca="1">IFERROR(INDEX(Algorithms!$G:$G,MATCH($C515&amp;"_Therm Saved per Unit",Algorithms!$A:$A,0)),0)</f>
        <v>44.814401171573145</v>
      </c>
      <c r="BE515" s="164" t="str">
        <f ca="1">IFERROR(INDEX('v12 Revisions'!$P$29:$P$186, MATCH('Measure-Level Adj Gas'!$L515, 'v12 Revisions'!$D$29:$D$186,0)),"")</f>
        <v/>
      </c>
      <c r="BF515" s="266">
        <f t="shared" ca="1" si="300"/>
        <v>0</v>
      </c>
      <c r="BG515" s="264">
        <f t="shared" ca="1" si="301"/>
        <v>0</v>
      </c>
      <c r="BH515" s="262"/>
      <c r="BI515" s="262"/>
      <c r="BJ515" s="265">
        <f ca="1">IFERROR(INDEX(Algorithms!$G:$G,MATCH($C515&amp;"_Therm Saved per Unit",Algorithms!$A:$A,0)),0)</f>
        <v>44.814401171573145</v>
      </c>
      <c r="BK515" s="164"/>
      <c r="BL515" s="266">
        <f t="shared" ca="1" si="302"/>
        <v>0</v>
      </c>
      <c r="BM515" s="264">
        <f t="shared" ca="1" si="303"/>
        <v>0</v>
      </c>
      <c r="BN515" s="266">
        <f t="shared" si="304"/>
        <v>0</v>
      </c>
      <c r="BO515" s="266">
        <f t="shared" si="305"/>
        <v>0</v>
      </c>
      <c r="BP515" s="266">
        <f t="shared" ca="1" si="306"/>
        <v>0</v>
      </c>
      <c r="BQ515" s="266">
        <f t="shared" ca="1" si="307"/>
        <v>0</v>
      </c>
      <c r="BR515" s="268">
        <f t="shared" ca="1" si="308"/>
        <v>0</v>
      </c>
      <c r="BS515" s="262" t="s">
        <v>99</v>
      </c>
      <c r="BT515" s="277"/>
      <c r="BW515" s="266">
        <f t="shared" si="309"/>
        <v>0</v>
      </c>
      <c r="BX515" s="266">
        <f t="shared" si="310"/>
        <v>0</v>
      </c>
      <c r="BY515" s="266">
        <f t="shared" si="311"/>
        <v>0</v>
      </c>
      <c r="BZ515" s="266">
        <f t="shared" si="312"/>
        <v>0</v>
      </c>
      <c r="CA515" s="266">
        <f ca="1">N515*IFERROR(INDEX(Algorithms!$G:$G,MATCH($C515&amp;"_Therm Saved per Unit- MLA",Algorithms!$A:$A,0)),0)*X515</f>
        <v>0</v>
      </c>
      <c r="CB515" s="266">
        <f ca="1">O515*IFERROR(INDEX(Algorithms!$G:$G,MATCH($C515&amp;"_Therm Saved per Unit- MLA",Algorithms!$A:$A,0)),0)*Y515</f>
        <v>0</v>
      </c>
      <c r="CC515" s="266">
        <f ca="1">P515*IFERROR(INDEX(Algorithms!$G:$G,MATCH($C515&amp;"_Therm Saved per Unit- MLA",Algorithms!$A:$A,0)),0)*Z515</f>
        <v>0</v>
      </c>
      <c r="CD515" s="266">
        <f ca="1">Q515*IFERROR(INDEX(Algorithms!$G:$G,MATCH($C515&amp;"_Therm Saved per Unit- MLA",Algorithms!$A:$A,0)),0)*AA515</f>
        <v>0</v>
      </c>
      <c r="CE515" s="266">
        <f ca="1">IFERROR(INDEX(Algorithms!$G:$G,MATCH($C515&amp;"_Lifetime (years)",Algorithms!$A:$A,0)),0)</f>
        <v>15</v>
      </c>
      <c r="CF515" s="266">
        <f ca="1">IFERROR(INDEX(Algorithms!$G:$G,MATCH($C515&amp;"_Lifetime (years) - Remaining Years",Algorithms!$A:$A,0)),0)</f>
        <v>0</v>
      </c>
      <c r="CG515" s="266">
        <f t="shared" ca="1" si="313"/>
        <v>0</v>
      </c>
      <c r="CH515" s="266">
        <f t="shared" ca="1" si="314"/>
        <v>0</v>
      </c>
      <c r="CI515" s="266">
        <f t="shared" ca="1" si="315"/>
        <v>0</v>
      </c>
      <c r="CJ515" s="266">
        <f t="shared" ca="1" si="316"/>
        <v>0</v>
      </c>
      <c r="CK515" s="266">
        <f t="shared" si="317"/>
        <v>0</v>
      </c>
      <c r="CL515" s="266">
        <f t="shared" si="318"/>
        <v>0</v>
      </c>
      <c r="CM515" s="266">
        <f t="shared" ca="1" si="319"/>
        <v>0</v>
      </c>
      <c r="CN515" s="266">
        <f t="shared" ca="1" si="320"/>
        <v>0</v>
      </c>
      <c r="CO515" s="266">
        <f ca="1">N515*IFERROR(INDEX(Algorithms!$G:$G,MATCH($C515&amp;"_Therm Saved per Unit- MLA",Algorithms!$A:$A,0)),0)*X515</f>
        <v>0</v>
      </c>
      <c r="CP515" s="266">
        <f ca="1">O515*IFERROR(INDEX(Algorithms!$G:$G,MATCH($C515&amp;"_Therm Saved per Unit- MLA",Algorithms!$A:$A,0)),0)*Y515</f>
        <v>0</v>
      </c>
      <c r="CQ515" s="266">
        <f ca="1">P515*IFERROR(INDEX(Algorithms!$G:$G,MATCH($C515&amp;"_Therm Saved per Unit- MLA",Algorithms!$A:$A,0)),0)*Z515</f>
        <v>0</v>
      </c>
      <c r="CR515" s="266">
        <f ca="1">Q515*IFERROR(INDEX(Algorithms!$G:$G,MATCH($C515&amp;"_Therm Saved per Unit- MLA",Algorithms!$A:$A,0)),0)*AA515</f>
        <v>0</v>
      </c>
      <c r="CS515" s="266">
        <f ca="1">IFERROR(INDEX(Algorithms!$G:$G,MATCH($C515&amp;"_Lifetime (years)",Algorithms!$A:$A,0)),0)</f>
        <v>15</v>
      </c>
      <c r="CT515" s="266">
        <f ca="1">IFERROR(INDEX(Algorithms!$G:$G,MATCH($C515&amp;"_Lifetime (years) - Remaining Years",Algorithms!$A:$A,0)),0)</f>
        <v>0</v>
      </c>
      <c r="CU515" s="266">
        <f t="shared" ca="1" si="321"/>
        <v>0</v>
      </c>
      <c r="CV515" s="266">
        <f t="shared" ca="1" si="322"/>
        <v>0</v>
      </c>
      <c r="CW515" s="266">
        <f t="shared" ca="1" si="323"/>
        <v>0</v>
      </c>
      <c r="CX515" s="266">
        <f t="shared" ca="1" si="324"/>
        <v>0</v>
      </c>
    </row>
    <row r="516" spans="2:102" s="47" customFormat="1" ht="18" customHeight="1" x14ac:dyDescent="0.25">
      <c r="B516" t="str">
        <f t="shared" si="325"/>
        <v>NSG_Income Eligible_Multi-Family_Partner Trade Ally Rebate_Pipe Insulation_Steam Med Fitting_MF</v>
      </c>
      <c r="C516" s="47" t="str">
        <f t="shared" si="286"/>
        <v>Pipe Insulation_Steam Med Fitting_MF</v>
      </c>
      <c r="D516" s="270" t="s">
        <v>1787</v>
      </c>
      <c r="E516" s="270" t="s">
        <v>325</v>
      </c>
      <c r="F516" s="270" t="s">
        <v>1422</v>
      </c>
      <c r="G516" s="270" t="s">
        <v>1799</v>
      </c>
      <c r="H516" s="270" t="s">
        <v>404</v>
      </c>
      <c r="I516" s="270" t="s">
        <v>962</v>
      </c>
      <c r="J516" s="270" t="s">
        <v>553</v>
      </c>
      <c r="K516" s="263">
        <v>1</v>
      </c>
      <c r="L516" s="263" t="str">
        <f ca="1">IFERROR(INDEX(Algorithms!J:J,MATCH($C516&amp;"_Therm Saved per Unit",Algorithms!$A:$A,0)),"n/a")</f>
        <v>"3 - Res Pipe Insulation" worksheet</v>
      </c>
      <c r="M516" s="263" t="str">
        <f>IFERROR(INDEX('Measure Level Detail'!$N:$N,MATCH($B516,'Measure Level Detail'!$B:$B,0)),0)</f>
        <v>each</v>
      </c>
      <c r="N516" s="271">
        <f>IFERROR(INDEX('Measure Level Detail'!$P:$P,MATCH($B516&amp;"_"&amp;N$3,'Measure Level Detail'!$C:$C,0)),0)</f>
        <v>0</v>
      </c>
      <c r="O516" s="271">
        <f>IFERROR(INDEX('Measure Level Detail'!$P:$P,MATCH($B516&amp;"_"&amp;O$3,'Measure Level Detail'!$C:$C,0)),0)</f>
        <v>0</v>
      </c>
      <c r="P516" s="271">
        <f>IFERROR(INDEX('Measure Level Detail'!$P:$P,MATCH($B516&amp;"_"&amp;P$3,'Measure Level Detail'!$C:$C,0)),0)</f>
        <v>0</v>
      </c>
      <c r="Q516" s="271">
        <f>IFERROR(INDEX('Measure Level Detail'!$P:$P,MATCH($B516&amp;"_"&amp;Q$3,'Measure Level Detail'!$C:$C,0)),0)</f>
        <v>0</v>
      </c>
      <c r="R516" s="263">
        <f ca="1">IFERROR(INDEX(Algorithms!K:K,MATCH($C516&amp;"_Therm Saved per Unit",Algorithms!$A:$A,0)),"n/a")</f>
        <v>0</v>
      </c>
      <c r="S516" s="262"/>
      <c r="T516" s="272">
        <v>20.134575475260416</v>
      </c>
      <c r="U516" s="272">
        <v>20.134575475260416</v>
      </c>
      <c r="V516" s="272">
        <v>20.134575475260416</v>
      </c>
      <c r="W516" s="272">
        <v>20.134575475260416</v>
      </c>
      <c r="X516" s="273">
        <f>IFERROR(INDEX('Measure Level Detail'!$R:$R,MATCH($B516&amp;"_"&amp;X$3,'Measure Level Detail'!$C:$C,0)),0)</f>
        <v>1</v>
      </c>
      <c r="Y516" s="273">
        <f>IFERROR(INDEX('Measure Level Detail'!$R:$R,MATCH($B516&amp;"_"&amp;Y$3,'Measure Level Detail'!$C:$C,0)),0)</f>
        <v>1</v>
      </c>
      <c r="Z516" s="273">
        <f>IFERROR(INDEX('Measure Level Detail'!$R:$R,MATCH($B516&amp;"_"&amp;Z$3,'Measure Level Detail'!$C:$C,0)),0)</f>
        <v>1</v>
      </c>
      <c r="AA516" s="273">
        <f>IFERROR(INDEX('Measure Level Detail'!$R:$R,MATCH($B516&amp;"_"&amp;AA$3,'Measure Level Detail'!$C:$C,0)),0)</f>
        <v>1</v>
      </c>
      <c r="AB516" s="266">
        <f t="shared" si="287"/>
        <v>0</v>
      </c>
      <c r="AC516" s="266">
        <f t="shared" si="288"/>
        <v>0</v>
      </c>
      <c r="AD516" s="266">
        <f t="shared" si="289"/>
        <v>0</v>
      </c>
      <c r="AE516" s="266">
        <f t="shared" si="290"/>
        <v>0</v>
      </c>
      <c r="AF516" s="266">
        <f t="shared" si="291"/>
        <v>0</v>
      </c>
      <c r="AG516" s="274">
        <v>1</v>
      </c>
      <c r="AH516" s="274">
        <v>1</v>
      </c>
      <c r="AI516" s="274">
        <v>1</v>
      </c>
      <c r="AJ516" s="274">
        <v>1</v>
      </c>
      <c r="AK516" s="274">
        <f t="shared" si="292"/>
        <v>1</v>
      </c>
      <c r="AL516" s="274">
        <f t="shared" si="293"/>
        <v>1</v>
      </c>
      <c r="AM516" s="274">
        <f t="shared" si="294"/>
        <v>1</v>
      </c>
      <c r="AN516" s="274">
        <f t="shared" si="295"/>
        <v>1</v>
      </c>
      <c r="AO516" s="262"/>
      <c r="AP516" s="262"/>
      <c r="AQ516" s="267">
        <v>20.134575475260416</v>
      </c>
      <c r="AR516" s="262"/>
      <c r="AS516" s="266">
        <f t="shared" si="296"/>
        <v>0</v>
      </c>
      <c r="AT516" s="264">
        <f t="shared" si="297"/>
        <v>0</v>
      </c>
      <c r="AU516" s="262"/>
      <c r="AV516" s="262"/>
      <c r="AW516" s="265">
        <v>20.134575475260416</v>
      </c>
      <c r="AX516" s="164" t="s">
        <v>1469</v>
      </c>
      <c r="AY516" s="266">
        <v>0</v>
      </c>
      <c r="AZ516" s="266">
        <f t="shared" si="298"/>
        <v>0</v>
      </c>
      <c r="BA516" s="264">
        <f t="shared" si="299"/>
        <v>0</v>
      </c>
      <c r="BB516" s="262"/>
      <c r="BC516" s="262"/>
      <c r="BD516" s="265">
        <f ca="1">IFERROR(INDEX(Algorithms!$G:$G,MATCH($C516&amp;"_Therm Saved per Unit",Algorithms!$A:$A,0)),0)</f>
        <v>20.134575475260416</v>
      </c>
      <c r="BE516" s="164" t="str">
        <f ca="1">IFERROR(INDEX('v12 Revisions'!$P$29:$P$186, MATCH('Measure-Level Adj Gas'!$L516, 'v12 Revisions'!$D$29:$D$186,0)),"")</f>
        <v/>
      </c>
      <c r="BF516" s="266">
        <f t="shared" ca="1" si="300"/>
        <v>0</v>
      </c>
      <c r="BG516" s="264">
        <f t="shared" ca="1" si="301"/>
        <v>0</v>
      </c>
      <c r="BH516" s="262"/>
      <c r="BI516" s="262"/>
      <c r="BJ516" s="265">
        <f ca="1">IFERROR(INDEX(Algorithms!$G:$G,MATCH($C516&amp;"_Therm Saved per Unit",Algorithms!$A:$A,0)),0)</f>
        <v>20.134575475260416</v>
      </c>
      <c r="BK516" s="164"/>
      <c r="BL516" s="266">
        <f t="shared" ca="1" si="302"/>
        <v>0</v>
      </c>
      <c r="BM516" s="264">
        <f t="shared" ca="1" si="303"/>
        <v>0</v>
      </c>
      <c r="BN516" s="266">
        <f t="shared" si="304"/>
        <v>0</v>
      </c>
      <c r="BO516" s="266">
        <f t="shared" si="305"/>
        <v>0</v>
      </c>
      <c r="BP516" s="266">
        <f t="shared" ca="1" si="306"/>
        <v>0</v>
      </c>
      <c r="BQ516" s="266">
        <f t="shared" ca="1" si="307"/>
        <v>0</v>
      </c>
      <c r="BR516" s="268">
        <f t="shared" ca="1" si="308"/>
        <v>0</v>
      </c>
      <c r="BS516" s="262" t="s">
        <v>99</v>
      </c>
      <c r="BT516" s="277"/>
      <c r="BW516" s="266">
        <f t="shared" si="309"/>
        <v>0</v>
      </c>
      <c r="BX516" s="266">
        <f t="shared" si="310"/>
        <v>0</v>
      </c>
      <c r="BY516" s="266">
        <f t="shared" si="311"/>
        <v>0</v>
      </c>
      <c r="BZ516" s="266">
        <f t="shared" si="312"/>
        <v>0</v>
      </c>
      <c r="CA516" s="266">
        <f ca="1">N516*IFERROR(INDEX(Algorithms!$G:$G,MATCH($C516&amp;"_Therm Saved per Unit- MLA",Algorithms!$A:$A,0)),0)*X516</f>
        <v>0</v>
      </c>
      <c r="CB516" s="266">
        <f ca="1">O516*IFERROR(INDEX(Algorithms!$G:$G,MATCH($C516&amp;"_Therm Saved per Unit- MLA",Algorithms!$A:$A,0)),0)*Y516</f>
        <v>0</v>
      </c>
      <c r="CC516" s="266">
        <f ca="1">P516*IFERROR(INDEX(Algorithms!$G:$G,MATCH($C516&amp;"_Therm Saved per Unit- MLA",Algorithms!$A:$A,0)),0)*Z516</f>
        <v>0</v>
      </c>
      <c r="CD516" s="266">
        <f ca="1">Q516*IFERROR(INDEX(Algorithms!$G:$G,MATCH($C516&amp;"_Therm Saved per Unit- MLA",Algorithms!$A:$A,0)),0)*AA516</f>
        <v>0</v>
      </c>
      <c r="CE516" s="266">
        <f ca="1">IFERROR(INDEX(Algorithms!$G:$G,MATCH($C516&amp;"_Lifetime (years)",Algorithms!$A:$A,0)),0)</f>
        <v>15</v>
      </c>
      <c r="CF516" s="266">
        <f ca="1">IFERROR(INDEX(Algorithms!$G:$G,MATCH($C516&amp;"_Lifetime (years) - Remaining Years",Algorithms!$A:$A,0)),0)</f>
        <v>0</v>
      </c>
      <c r="CG516" s="266">
        <f t="shared" ca="1" si="313"/>
        <v>0</v>
      </c>
      <c r="CH516" s="266">
        <f t="shared" ca="1" si="314"/>
        <v>0</v>
      </c>
      <c r="CI516" s="266">
        <f t="shared" ca="1" si="315"/>
        <v>0</v>
      </c>
      <c r="CJ516" s="266">
        <f t="shared" ca="1" si="316"/>
        <v>0</v>
      </c>
      <c r="CK516" s="266">
        <f t="shared" si="317"/>
        <v>0</v>
      </c>
      <c r="CL516" s="266">
        <f t="shared" si="318"/>
        <v>0</v>
      </c>
      <c r="CM516" s="266">
        <f t="shared" ca="1" si="319"/>
        <v>0</v>
      </c>
      <c r="CN516" s="266">
        <f t="shared" ca="1" si="320"/>
        <v>0</v>
      </c>
      <c r="CO516" s="266">
        <f ca="1">N516*IFERROR(INDEX(Algorithms!$G:$G,MATCH($C516&amp;"_Therm Saved per Unit- MLA",Algorithms!$A:$A,0)),0)*X516</f>
        <v>0</v>
      </c>
      <c r="CP516" s="266">
        <f ca="1">O516*IFERROR(INDEX(Algorithms!$G:$G,MATCH($C516&amp;"_Therm Saved per Unit- MLA",Algorithms!$A:$A,0)),0)*Y516</f>
        <v>0</v>
      </c>
      <c r="CQ516" s="266">
        <f ca="1">P516*IFERROR(INDEX(Algorithms!$G:$G,MATCH($C516&amp;"_Therm Saved per Unit- MLA",Algorithms!$A:$A,0)),0)*Z516</f>
        <v>0</v>
      </c>
      <c r="CR516" s="266">
        <f ca="1">Q516*IFERROR(INDEX(Algorithms!$G:$G,MATCH($C516&amp;"_Therm Saved per Unit- MLA",Algorithms!$A:$A,0)),0)*AA516</f>
        <v>0</v>
      </c>
      <c r="CS516" s="266">
        <f ca="1">IFERROR(INDEX(Algorithms!$G:$G,MATCH($C516&amp;"_Lifetime (years)",Algorithms!$A:$A,0)),0)</f>
        <v>15</v>
      </c>
      <c r="CT516" s="266">
        <f ca="1">IFERROR(INDEX(Algorithms!$G:$G,MATCH($C516&amp;"_Lifetime (years) - Remaining Years",Algorithms!$A:$A,0)),0)</f>
        <v>0</v>
      </c>
      <c r="CU516" s="266">
        <f t="shared" ca="1" si="321"/>
        <v>0</v>
      </c>
      <c r="CV516" s="266">
        <f t="shared" ca="1" si="322"/>
        <v>0</v>
      </c>
      <c r="CW516" s="266">
        <f t="shared" ca="1" si="323"/>
        <v>0</v>
      </c>
      <c r="CX516" s="266">
        <f t="shared" ca="1" si="324"/>
        <v>0</v>
      </c>
    </row>
    <row r="517" spans="2:102" s="47" customFormat="1" ht="18" customHeight="1" x14ac:dyDescent="0.25">
      <c r="B517" t="str">
        <f t="shared" si="325"/>
        <v>NSG_Income Eligible_Multi-Family_Partner Trade Ally Rebate_Pipe Insulation_Steam Large Fitting_MF</v>
      </c>
      <c r="C517" s="47" t="str">
        <f t="shared" si="286"/>
        <v>Pipe Insulation_Steam Large Fitting_MF</v>
      </c>
      <c r="D517" s="270" t="s">
        <v>1787</v>
      </c>
      <c r="E517" s="270" t="s">
        <v>325</v>
      </c>
      <c r="F517" s="270" t="s">
        <v>1422</v>
      </c>
      <c r="G517" s="270" t="s">
        <v>1799</v>
      </c>
      <c r="H517" s="270" t="s">
        <v>404</v>
      </c>
      <c r="I517" s="270" t="s">
        <v>963</v>
      </c>
      <c r="J517" s="270" t="s">
        <v>553</v>
      </c>
      <c r="K517" s="263">
        <v>1</v>
      </c>
      <c r="L517" s="263" t="str">
        <f ca="1">IFERROR(INDEX(Algorithms!J:J,MATCH($C517&amp;"_Therm Saved per Unit",Algorithms!$A:$A,0)),"n/a")</f>
        <v>"3 - Res Pipe Insulation" worksheet</v>
      </c>
      <c r="M517" s="263" t="str">
        <f>IFERROR(INDEX('Measure Level Detail'!$N:$N,MATCH($B517,'Measure Level Detail'!$B:$B,0)),0)</f>
        <v>each</v>
      </c>
      <c r="N517" s="271">
        <f>IFERROR(INDEX('Measure Level Detail'!$P:$P,MATCH($B517&amp;"_"&amp;N$3,'Measure Level Detail'!$C:$C,0)),0)</f>
        <v>0</v>
      </c>
      <c r="O517" s="271">
        <f>IFERROR(INDEX('Measure Level Detail'!$P:$P,MATCH($B517&amp;"_"&amp;O$3,'Measure Level Detail'!$C:$C,0)),0)</f>
        <v>0</v>
      </c>
      <c r="P517" s="271">
        <f>IFERROR(INDEX('Measure Level Detail'!$P:$P,MATCH($B517&amp;"_"&amp;P$3,'Measure Level Detail'!$C:$C,0)),0)</f>
        <v>0</v>
      </c>
      <c r="Q517" s="271">
        <f>IFERROR(INDEX('Measure Level Detail'!$P:$P,MATCH($B517&amp;"_"&amp;Q$3,'Measure Level Detail'!$C:$C,0)),0)</f>
        <v>0</v>
      </c>
      <c r="R517" s="263">
        <f ca="1">IFERROR(INDEX(Algorithms!K:K,MATCH($C517&amp;"_Therm Saved per Unit",Algorithms!$A:$A,0)),"n/a")</f>
        <v>0</v>
      </c>
      <c r="S517" s="262"/>
      <c r="T517" s="272">
        <v>66.284273233024678</v>
      </c>
      <c r="U517" s="272">
        <v>66.284273233024678</v>
      </c>
      <c r="V517" s="272">
        <v>66.284273233024678</v>
      </c>
      <c r="W517" s="272">
        <v>66.284273233024678</v>
      </c>
      <c r="X517" s="273">
        <f>IFERROR(INDEX('Measure Level Detail'!$R:$R,MATCH($B517&amp;"_"&amp;X$3,'Measure Level Detail'!$C:$C,0)),0)</f>
        <v>1</v>
      </c>
      <c r="Y517" s="273">
        <f>IFERROR(INDEX('Measure Level Detail'!$R:$R,MATCH($B517&amp;"_"&amp;Y$3,'Measure Level Detail'!$C:$C,0)),0)</f>
        <v>1</v>
      </c>
      <c r="Z517" s="273">
        <f>IFERROR(INDEX('Measure Level Detail'!$R:$R,MATCH($B517&amp;"_"&amp;Z$3,'Measure Level Detail'!$C:$C,0)),0)</f>
        <v>1</v>
      </c>
      <c r="AA517" s="273">
        <f>IFERROR(INDEX('Measure Level Detail'!$R:$R,MATCH($B517&amp;"_"&amp;AA$3,'Measure Level Detail'!$C:$C,0)),0)</f>
        <v>1</v>
      </c>
      <c r="AB517" s="266">
        <f t="shared" si="287"/>
        <v>0</v>
      </c>
      <c r="AC517" s="266">
        <f t="shared" si="288"/>
        <v>0</v>
      </c>
      <c r="AD517" s="266">
        <f t="shared" si="289"/>
        <v>0</v>
      </c>
      <c r="AE517" s="266">
        <f t="shared" si="290"/>
        <v>0</v>
      </c>
      <c r="AF517" s="266">
        <f t="shared" si="291"/>
        <v>0</v>
      </c>
      <c r="AG517" s="274">
        <v>1</v>
      </c>
      <c r="AH517" s="274">
        <v>1</v>
      </c>
      <c r="AI517" s="274">
        <v>1</v>
      </c>
      <c r="AJ517" s="274">
        <v>1</v>
      </c>
      <c r="AK517" s="274">
        <f t="shared" si="292"/>
        <v>1</v>
      </c>
      <c r="AL517" s="274">
        <f t="shared" si="293"/>
        <v>1</v>
      </c>
      <c r="AM517" s="274">
        <f t="shared" si="294"/>
        <v>1</v>
      </c>
      <c r="AN517" s="274">
        <f t="shared" si="295"/>
        <v>1</v>
      </c>
      <c r="AO517" s="262"/>
      <c r="AP517" s="262"/>
      <c r="AQ517" s="267">
        <v>66.284273233024678</v>
      </c>
      <c r="AR517" s="262"/>
      <c r="AS517" s="266">
        <f t="shared" si="296"/>
        <v>0</v>
      </c>
      <c r="AT517" s="264">
        <f t="shared" si="297"/>
        <v>0</v>
      </c>
      <c r="AU517" s="262"/>
      <c r="AV517" s="262"/>
      <c r="AW517" s="265">
        <v>66.284273233024678</v>
      </c>
      <c r="AX517" s="164" t="s">
        <v>1469</v>
      </c>
      <c r="AY517" s="266">
        <v>0</v>
      </c>
      <c r="AZ517" s="266">
        <f t="shared" si="298"/>
        <v>0</v>
      </c>
      <c r="BA517" s="264">
        <f t="shared" si="299"/>
        <v>0</v>
      </c>
      <c r="BB517" s="262"/>
      <c r="BC517" s="262"/>
      <c r="BD517" s="265">
        <f ca="1">IFERROR(INDEX(Algorithms!$G:$G,MATCH($C517&amp;"_Therm Saved per Unit",Algorithms!$A:$A,0)),0)</f>
        <v>66.284273233024678</v>
      </c>
      <c r="BE517" s="164" t="str">
        <f ca="1">IFERROR(INDEX('v12 Revisions'!$P$29:$P$186, MATCH('Measure-Level Adj Gas'!$L517, 'v12 Revisions'!$D$29:$D$186,0)),"")</f>
        <v/>
      </c>
      <c r="BF517" s="266">
        <f t="shared" ca="1" si="300"/>
        <v>0</v>
      </c>
      <c r="BG517" s="264">
        <f t="shared" ca="1" si="301"/>
        <v>0</v>
      </c>
      <c r="BH517" s="262"/>
      <c r="BI517" s="262"/>
      <c r="BJ517" s="265">
        <f ca="1">IFERROR(INDEX(Algorithms!$G:$G,MATCH($C517&amp;"_Therm Saved per Unit",Algorithms!$A:$A,0)),0)</f>
        <v>66.284273233024678</v>
      </c>
      <c r="BK517" s="164"/>
      <c r="BL517" s="266">
        <f t="shared" ca="1" si="302"/>
        <v>0</v>
      </c>
      <c r="BM517" s="264">
        <f t="shared" ca="1" si="303"/>
        <v>0</v>
      </c>
      <c r="BN517" s="266">
        <f t="shared" si="304"/>
        <v>0</v>
      </c>
      <c r="BO517" s="266">
        <f t="shared" si="305"/>
        <v>0</v>
      </c>
      <c r="BP517" s="266">
        <f t="shared" ca="1" si="306"/>
        <v>0</v>
      </c>
      <c r="BQ517" s="266">
        <f t="shared" ca="1" si="307"/>
        <v>0</v>
      </c>
      <c r="BR517" s="268">
        <f t="shared" ca="1" si="308"/>
        <v>0</v>
      </c>
      <c r="BS517" s="262" t="s">
        <v>99</v>
      </c>
      <c r="BT517" s="277"/>
      <c r="BW517" s="266">
        <f t="shared" si="309"/>
        <v>0</v>
      </c>
      <c r="BX517" s="266">
        <f t="shared" si="310"/>
        <v>0</v>
      </c>
      <c r="BY517" s="266">
        <f t="shared" si="311"/>
        <v>0</v>
      </c>
      <c r="BZ517" s="266">
        <f t="shared" si="312"/>
        <v>0</v>
      </c>
      <c r="CA517" s="266">
        <f ca="1">N517*IFERROR(INDEX(Algorithms!$G:$G,MATCH($C517&amp;"_Therm Saved per Unit- MLA",Algorithms!$A:$A,0)),0)*X517</f>
        <v>0</v>
      </c>
      <c r="CB517" s="266">
        <f ca="1">O517*IFERROR(INDEX(Algorithms!$G:$G,MATCH($C517&amp;"_Therm Saved per Unit- MLA",Algorithms!$A:$A,0)),0)*Y517</f>
        <v>0</v>
      </c>
      <c r="CC517" s="266">
        <f ca="1">P517*IFERROR(INDEX(Algorithms!$G:$G,MATCH($C517&amp;"_Therm Saved per Unit- MLA",Algorithms!$A:$A,0)),0)*Z517</f>
        <v>0</v>
      </c>
      <c r="CD517" s="266">
        <f ca="1">Q517*IFERROR(INDEX(Algorithms!$G:$G,MATCH($C517&amp;"_Therm Saved per Unit- MLA",Algorithms!$A:$A,0)),0)*AA517</f>
        <v>0</v>
      </c>
      <c r="CE517" s="266">
        <f ca="1">IFERROR(INDEX(Algorithms!$G:$G,MATCH($C517&amp;"_Lifetime (years)",Algorithms!$A:$A,0)),0)</f>
        <v>15</v>
      </c>
      <c r="CF517" s="266">
        <f ca="1">IFERROR(INDEX(Algorithms!$G:$G,MATCH($C517&amp;"_Lifetime (years) - Remaining Years",Algorithms!$A:$A,0)),0)</f>
        <v>0</v>
      </c>
      <c r="CG517" s="266">
        <f t="shared" ca="1" si="313"/>
        <v>0</v>
      </c>
      <c r="CH517" s="266">
        <f t="shared" ca="1" si="314"/>
        <v>0</v>
      </c>
      <c r="CI517" s="266">
        <f t="shared" ca="1" si="315"/>
        <v>0</v>
      </c>
      <c r="CJ517" s="266">
        <f t="shared" ca="1" si="316"/>
        <v>0</v>
      </c>
      <c r="CK517" s="266">
        <f t="shared" si="317"/>
        <v>0</v>
      </c>
      <c r="CL517" s="266">
        <f t="shared" si="318"/>
        <v>0</v>
      </c>
      <c r="CM517" s="266">
        <f t="shared" ca="1" si="319"/>
        <v>0</v>
      </c>
      <c r="CN517" s="266">
        <f t="shared" ca="1" si="320"/>
        <v>0</v>
      </c>
      <c r="CO517" s="266">
        <f ca="1">N517*IFERROR(INDEX(Algorithms!$G:$G,MATCH($C517&amp;"_Therm Saved per Unit- MLA",Algorithms!$A:$A,0)),0)*X517</f>
        <v>0</v>
      </c>
      <c r="CP517" s="266">
        <f ca="1">O517*IFERROR(INDEX(Algorithms!$G:$G,MATCH($C517&amp;"_Therm Saved per Unit- MLA",Algorithms!$A:$A,0)),0)*Y517</f>
        <v>0</v>
      </c>
      <c r="CQ517" s="266">
        <f ca="1">P517*IFERROR(INDEX(Algorithms!$G:$G,MATCH($C517&amp;"_Therm Saved per Unit- MLA",Algorithms!$A:$A,0)),0)*Z517</f>
        <v>0</v>
      </c>
      <c r="CR517" s="266">
        <f ca="1">Q517*IFERROR(INDEX(Algorithms!$G:$G,MATCH($C517&amp;"_Therm Saved per Unit- MLA",Algorithms!$A:$A,0)),0)*AA517</f>
        <v>0</v>
      </c>
      <c r="CS517" s="266">
        <f ca="1">IFERROR(INDEX(Algorithms!$G:$G,MATCH($C517&amp;"_Lifetime (years)",Algorithms!$A:$A,0)),0)</f>
        <v>15</v>
      </c>
      <c r="CT517" s="266">
        <f ca="1">IFERROR(INDEX(Algorithms!$G:$G,MATCH($C517&amp;"_Lifetime (years) - Remaining Years",Algorithms!$A:$A,0)),0)</f>
        <v>0</v>
      </c>
      <c r="CU517" s="266">
        <f t="shared" ca="1" si="321"/>
        <v>0</v>
      </c>
      <c r="CV517" s="266">
        <f t="shared" ca="1" si="322"/>
        <v>0</v>
      </c>
      <c r="CW517" s="266">
        <f t="shared" ca="1" si="323"/>
        <v>0</v>
      </c>
      <c r="CX517" s="266">
        <f t="shared" ca="1" si="324"/>
        <v>0</v>
      </c>
    </row>
    <row r="518" spans="2:102" s="47" customFormat="1" ht="18" customHeight="1" x14ac:dyDescent="0.25">
      <c r="B518" t="str">
        <f t="shared" si="325"/>
        <v>NSG_Income Eligible_Multi-Family_Partner Trade Ally Rebate_Pipe Insulation_Steam X-Large Fitting_MF</v>
      </c>
      <c r="C518" s="47" t="str">
        <f t="shared" si="286"/>
        <v>Pipe Insulation_Steam X-Large Fitting_MF</v>
      </c>
      <c r="D518" s="270" t="s">
        <v>1787</v>
      </c>
      <c r="E518" s="270" t="s">
        <v>325</v>
      </c>
      <c r="F518" s="270" t="s">
        <v>1422</v>
      </c>
      <c r="G518" s="270" t="s">
        <v>1799</v>
      </c>
      <c r="H518" s="270" t="s">
        <v>404</v>
      </c>
      <c r="I518" s="270" t="s">
        <v>964</v>
      </c>
      <c r="J518" s="270" t="s">
        <v>553</v>
      </c>
      <c r="K518" s="263">
        <v>1</v>
      </c>
      <c r="L518" s="263" t="str">
        <f ca="1">IFERROR(INDEX(Algorithms!J:J,MATCH($C518&amp;"_Therm Saved per Unit",Algorithms!$A:$A,0)),"n/a")</f>
        <v>"3 - Res Pipe Insulation" worksheet</v>
      </c>
      <c r="M518" s="263" t="str">
        <f>IFERROR(INDEX('Measure Level Detail'!$N:$N,MATCH($B518,'Measure Level Detail'!$B:$B,0)),0)</f>
        <v>each</v>
      </c>
      <c r="N518" s="271">
        <f>IFERROR(INDEX('Measure Level Detail'!$P:$P,MATCH($B518&amp;"_"&amp;N$3,'Measure Level Detail'!$C:$C,0)),0)</f>
        <v>0</v>
      </c>
      <c r="O518" s="271">
        <f>IFERROR(INDEX('Measure Level Detail'!$P:$P,MATCH($B518&amp;"_"&amp;O$3,'Measure Level Detail'!$C:$C,0)),0)</f>
        <v>0</v>
      </c>
      <c r="P518" s="271">
        <f>IFERROR(INDEX('Measure Level Detail'!$P:$P,MATCH($B518&amp;"_"&amp;P$3,'Measure Level Detail'!$C:$C,0)),0)</f>
        <v>0</v>
      </c>
      <c r="Q518" s="271">
        <f>IFERROR(INDEX('Measure Level Detail'!$P:$P,MATCH($B518&amp;"_"&amp;Q$3,'Measure Level Detail'!$C:$C,0)),0)</f>
        <v>0</v>
      </c>
      <c r="R518" s="263">
        <f ca="1">IFERROR(INDEX(Algorithms!K:K,MATCH($C518&amp;"_Therm Saved per Unit",Algorithms!$A:$A,0)),"n/a")</f>
        <v>0</v>
      </c>
      <c r="S518" s="262"/>
      <c r="T518" s="272">
        <v>113.8883886472908</v>
      </c>
      <c r="U518" s="272">
        <v>113.8883886472908</v>
      </c>
      <c r="V518" s="272">
        <v>113.8883886472908</v>
      </c>
      <c r="W518" s="272">
        <v>113.8883886472908</v>
      </c>
      <c r="X518" s="273">
        <f>IFERROR(INDEX('Measure Level Detail'!$R:$R,MATCH($B518&amp;"_"&amp;X$3,'Measure Level Detail'!$C:$C,0)),0)</f>
        <v>1</v>
      </c>
      <c r="Y518" s="273">
        <f>IFERROR(INDEX('Measure Level Detail'!$R:$R,MATCH($B518&amp;"_"&amp;Y$3,'Measure Level Detail'!$C:$C,0)),0)</f>
        <v>1</v>
      </c>
      <c r="Z518" s="273">
        <f>IFERROR(INDEX('Measure Level Detail'!$R:$R,MATCH($B518&amp;"_"&amp;Z$3,'Measure Level Detail'!$C:$C,0)),0)</f>
        <v>1</v>
      </c>
      <c r="AA518" s="273">
        <f>IFERROR(INDEX('Measure Level Detail'!$R:$R,MATCH($B518&amp;"_"&amp;AA$3,'Measure Level Detail'!$C:$C,0)),0)</f>
        <v>1</v>
      </c>
      <c r="AB518" s="266">
        <f t="shared" si="287"/>
        <v>0</v>
      </c>
      <c r="AC518" s="266">
        <f t="shared" si="288"/>
        <v>0</v>
      </c>
      <c r="AD518" s="266">
        <f t="shared" si="289"/>
        <v>0</v>
      </c>
      <c r="AE518" s="266">
        <f t="shared" si="290"/>
        <v>0</v>
      </c>
      <c r="AF518" s="266">
        <f t="shared" si="291"/>
        <v>0</v>
      </c>
      <c r="AG518" s="274">
        <v>1</v>
      </c>
      <c r="AH518" s="274">
        <v>1</v>
      </c>
      <c r="AI518" s="274">
        <v>1</v>
      </c>
      <c r="AJ518" s="274">
        <v>1</v>
      </c>
      <c r="AK518" s="274">
        <f t="shared" si="292"/>
        <v>1</v>
      </c>
      <c r="AL518" s="274">
        <f t="shared" si="293"/>
        <v>1</v>
      </c>
      <c r="AM518" s="274">
        <f t="shared" si="294"/>
        <v>1</v>
      </c>
      <c r="AN518" s="274">
        <f t="shared" si="295"/>
        <v>1</v>
      </c>
      <c r="AO518" s="262"/>
      <c r="AP518" s="262"/>
      <c r="AQ518" s="267">
        <v>113.8883886472908</v>
      </c>
      <c r="AR518" s="262"/>
      <c r="AS518" s="266">
        <f t="shared" si="296"/>
        <v>0</v>
      </c>
      <c r="AT518" s="264">
        <f t="shared" si="297"/>
        <v>0</v>
      </c>
      <c r="AU518" s="262"/>
      <c r="AV518" s="262"/>
      <c r="AW518" s="265">
        <v>113.8883886472908</v>
      </c>
      <c r="AX518" s="164" t="s">
        <v>1469</v>
      </c>
      <c r="AY518" s="266">
        <v>0</v>
      </c>
      <c r="AZ518" s="266">
        <f t="shared" si="298"/>
        <v>0</v>
      </c>
      <c r="BA518" s="264">
        <f t="shared" si="299"/>
        <v>0</v>
      </c>
      <c r="BB518" s="262"/>
      <c r="BC518" s="262"/>
      <c r="BD518" s="265">
        <f ca="1">IFERROR(INDEX(Algorithms!$G:$G,MATCH($C518&amp;"_Therm Saved per Unit",Algorithms!$A:$A,0)),0)</f>
        <v>113.8883886472908</v>
      </c>
      <c r="BE518" s="164" t="str">
        <f ca="1">IFERROR(INDEX('v12 Revisions'!$P$29:$P$186, MATCH('Measure-Level Adj Gas'!$L518, 'v12 Revisions'!$D$29:$D$186,0)),"")</f>
        <v/>
      </c>
      <c r="BF518" s="266">
        <f t="shared" ca="1" si="300"/>
        <v>0</v>
      </c>
      <c r="BG518" s="264">
        <f t="shared" ca="1" si="301"/>
        <v>0</v>
      </c>
      <c r="BH518" s="262"/>
      <c r="BI518" s="262"/>
      <c r="BJ518" s="265">
        <f ca="1">IFERROR(INDEX(Algorithms!$G:$G,MATCH($C518&amp;"_Therm Saved per Unit",Algorithms!$A:$A,0)),0)</f>
        <v>113.8883886472908</v>
      </c>
      <c r="BK518" s="164"/>
      <c r="BL518" s="266">
        <f t="shared" ca="1" si="302"/>
        <v>0</v>
      </c>
      <c r="BM518" s="264">
        <f t="shared" ca="1" si="303"/>
        <v>0</v>
      </c>
      <c r="BN518" s="266">
        <f t="shared" si="304"/>
        <v>0</v>
      </c>
      <c r="BO518" s="266">
        <f t="shared" si="305"/>
        <v>0</v>
      </c>
      <c r="BP518" s="266">
        <f t="shared" ca="1" si="306"/>
        <v>0</v>
      </c>
      <c r="BQ518" s="266">
        <f t="shared" ca="1" si="307"/>
        <v>0</v>
      </c>
      <c r="BR518" s="268">
        <f t="shared" ca="1" si="308"/>
        <v>0</v>
      </c>
      <c r="BS518" s="262" t="s">
        <v>99</v>
      </c>
      <c r="BT518" s="277"/>
      <c r="BW518" s="266">
        <f t="shared" si="309"/>
        <v>0</v>
      </c>
      <c r="BX518" s="266">
        <f t="shared" si="310"/>
        <v>0</v>
      </c>
      <c r="BY518" s="266">
        <f t="shared" si="311"/>
        <v>0</v>
      </c>
      <c r="BZ518" s="266">
        <f t="shared" si="312"/>
        <v>0</v>
      </c>
      <c r="CA518" s="266">
        <f ca="1">N518*IFERROR(INDEX(Algorithms!$G:$G,MATCH($C518&amp;"_Therm Saved per Unit- MLA",Algorithms!$A:$A,0)),0)*X518</f>
        <v>0</v>
      </c>
      <c r="CB518" s="266">
        <f ca="1">O518*IFERROR(INDEX(Algorithms!$G:$G,MATCH($C518&amp;"_Therm Saved per Unit- MLA",Algorithms!$A:$A,0)),0)*Y518</f>
        <v>0</v>
      </c>
      <c r="CC518" s="266">
        <f ca="1">P518*IFERROR(INDEX(Algorithms!$G:$G,MATCH($C518&amp;"_Therm Saved per Unit- MLA",Algorithms!$A:$A,0)),0)*Z518</f>
        <v>0</v>
      </c>
      <c r="CD518" s="266">
        <f ca="1">Q518*IFERROR(INDEX(Algorithms!$G:$G,MATCH($C518&amp;"_Therm Saved per Unit- MLA",Algorithms!$A:$A,0)),0)*AA518</f>
        <v>0</v>
      </c>
      <c r="CE518" s="266">
        <f ca="1">IFERROR(INDEX(Algorithms!$G:$G,MATCH($C518&amp;"_Lifetime (years)",Algorithms!$A:$A,0)),0)</f>
        <v>15</v>
      </c>
      <c r="CF518" s="266">
        <f ca="1">IFERROR(INDEX(Algorithms!$G:$G,MATCH($C518&amp;"_Lifetime (years) - Remaining Years",Algorithms!$A:$A,0)),0)</f>
        <v>0</v>
      </c>
      <c r="CG518" s="266">
        <f t="shared" ca="1" si="313"/>
        <v>0</v>
      </c>
      <c r="CH518" s="266">
        <f t="shared" ca="1" si="314"/>
        <v>0</v>
      </c>
      <c r="CI518" s="266">
        <f t="shared" ca="1" si="315"/>
        <v>0</v>
      </c>
      <c r="CJ518" s="266">
        <f t="shared" ca="1" si="316"/>
        <v>0</v>
      </c>
      <c r="CK518" s="266">
        <f t="shared" si="317"/>
        <v>0</v>
      </c>
      <c r="CL518" s="266">
        <f t="shared" si="318"/>
        <v>0</v>
      </c>
      <c r="CM518" s="266">
        <f t="shared" ca="1" si="319"/>
        <v>0</v>
      </c>
      <c r="CN518" s="266">
        <f t="shared" ca="1" si="320"/>
        <v>0</v>
      </c>
      <c r="CO518" s="266">
        <f ca="1">N518*IFERROR(INDEX(Algorithms!$G:$G,MATCH($C518&amp;"_Therm Saved per Unit- MLA",Algorithms!$A:$A,0)),0)*X518</f>
        <v>0</v>
      </c>
      <c r="CP518" s="266">
        <f ca="1">O518*IFERROR(INDEX(Algorithms!$G:$G,MATCH($C518&amp;"_Therm Saved per Unit- MLA",Algorithms!$A:$A,0)),0)*Y518</f>
        <v>0</v>
      </c>
      <c r="CQ518" s="266">
        <f ca="1">P518*IFERROR(INDEX(Algorithms!$G:$G,MATCH($C518&amp;"_Therm Saved per Unit- MLA",Algorithms!$A:$A,0)),0)*Z518</f>
        <v>0</v>
      </c>
      <c r="CR518" s="266">
        <f ca="1">Q518*IFERROR(INDEX(Algorithms!$G:$G,MATCH($C518&amp;"_Therm Saved per Unit- MLA",Algorithms!$A:$A,0)),0)*AA518</f>
        <v>0</v>
      </c>
      <c r="CS518" s="266">
        <f ca="1">IFERROR(INDEX(Algorithms!$G:$G,MATCH($C518&amp;"_Lifetime (years)",Algorithms!$A:$A,0)),0)</f>
        <v>15</v>
      </c>
      <c r="CT518" s="266">
        <f ca="1">IFERROR(INDEX(Algorithms!$G:$G,MATCH($C518&amp;"_Lifetime (years) - Remaining Years",Algorithms!$A:$A,0)),0)</f>
        <v>0</v>
      </c>
      <c r="CU518" s="266">
        <f t="shared" ca="1" si="321"/>
        <v>0</v>
      </c>
      <c r="CV518" s="266">
        <f t="shared" ca="1" si="322"/>
        <v>0</v>
      </c>
      <c r="CW518" s="266">
        <f t="shared" ca="1" si="323"/>
        <v>0</v>
      </c>
      <c r="CX518" s="266">
        <f t="shared" ca="1" si="324"/>
        <v>0</v>
      </c>
    </row>
    <row r="519" spans="2:102" s="47" customFormat="1" ht="18" customHeight="1" x14ac:dyDescent="0.25">
      <c r="B519" t="str">
        <f t="shared" si="325"/>
        <v>NSG_Income Eligible_Multi-Family_Partner Trade Ally Rebate_Pipe Insulation_Steam Med Valve_MF</v>
      </c>
      <c r="C519" s="47" t="str">
        <f t="shared" si="286"/>
        <v>Pipe Insulation_Steam Med Valve_MF</v>
      </c>
      <c r="D519" s="270" t="s">
        <v>1787</v>
      </c>
      <c r="E519" s="270" t="s">
        <v>325</v>
      </c>
      <c r="F519" s="270" t="s">
        <v>1422</v>
      </c>
      <c r="G519" s="270" t="s">
        <v>1799</v>
      </c>
      <c r="H519" s="270" t="s">
        <v>404</v>
      </c>
      <c r="I519" s="270" t="s">
        <v>966</v>
      </c>
      <c r="J519" s="270" t="s">
        <v>553</v>
      </c>
      <c r="K519" s="263">
        <v>1</v>
      </c>
      <c r="L519" s="263" t="str">
        <f ca="1">IFERROR(INDEX(Algorithms!J:J,MATCH($C519&amp;"_Therm Saved per Unit",Algorithms!$A:$A,0)),"n/a")</f>
        <v>"3 - Res Pipe Insulation" worksheet</v>
      </c>
      <c r="M519" s="263" t="str">
        <f>IFERROR(INDEX('Measure Level Detail'!$N:$N,MATCH($B519,'Measure Level Detail'!$B:$B,0)),0)</f>
        <v>each</v>
      </c>
      <c r="N519" s="271">
        <f>IFERROR(INDEX('Measure Level Detail'!$P:$P,MATCH($B519&amp;"_"&amp;N$3,'Measure Level Detail'!$C:$C,0)),0)</f>
        <v>0</v>
      </c>
      <c r="O519" s="271">
        <f>IFERROR(INDEX('Measure Level Detail'!$P:$P,MATCH($B519&amp;"_"&amp;O$3,'Measure Level Detail'!$C:$C,0)),0)</f>
        <v>0</v>
      </c>
      <c r="P519" s="271">
        <f>IFERROR(INDEX('Measure Level Detail'!$P:$P,MATCH($B519&amp;"_"&amp;P$3,'Measure Level Detail'!$C:$C,0)),0)</f>
        <v>0</v>
      </c>
      <c r="Q519" s="271">
        <f>IFERROR(INDEX('Measure Level Detail'!$P:$P,MATCH($B519&amp;"_"&amp;Q$3,'Measure Level Detail'!$C:$C,0)),0)</f>
        <v>0</v>
      </c>
      <c r="R519" s="263">
        <f ca="1">IFERROR(INDEX(Algorithms!K:K,MATCH($C519&amp;"_Therm Saved per Unit",Algorithms!$A:$A,0)),"n/a")</f>
        <v>0</v>
      </c>
      <c r="S519" s="262"/>
      <c r="T519" s="272">
        <v>67.962640249087912</v>
      </c>
      <c r="U519" s="272">
        <v>67.962640249087912</v>
      </c>
      <c r="V519" s="272">
        <v>67.962640249087912</v>
      </c>
      <c r="W519" s="272">
        <v>67.962640249087912</v>
      </c>
      <c r="X519" s="273">
        <f>IFERROR(INDEX('Measure Level Detail'!$R:$R,MATCH($B519&amp;"_"&amp;X$3,'Measure Level Detail'!$C:$C,0)),0)</f>
        <v>1</v>
      </c>
      <c r="Y519" s="273">
        <f>IFERROR(INDEX('Measure Level Detail'!$R:$R,MATCH($B519&amp;"_"&amp;Y$3,'Measure Level Detail'!$C:$C,0)),0)</f>
        <v>1</v>
      </c>
      <c r="Z519" s="273">
        <f>IFERROR(INDEX('Measure Level Detail'!$R:$R,MATCH($B519&amp;"_"&amp;Z$3,'Measure Level Detail'!$C:$C,0)),0)</f>
        <v>1</v>
      </c>
      <c r="AA519" s="273">
        <f>IFERROR(INDEX('Measure Level Detail'!$R:$R,MATCH($B519&amp;"_"&amp;AA$3,'Measure Level Detail'!$C:$C,0)),0)</f>
        <v>1</v>
      </c>
      <c r="AB519" s="266">
        <f t="shared" si="287"/>
        <v>0</v>
      </c>
      <c r="AC519" s="266">
        <f t="shared" si="288"/>
        <v>0</v>
      </c>
      <c r="AD519" s="266">
        <f t="shared" si="289"/>
        <v>0</v>
      </c>
      <c r="AE519" s="266">
        <f t="shared" si="290"/>
        <v>0</v>
      </c>
      <c r="AF519" s="266">
        <f t="shared" si="291"/>
        <v>0</v>
      </c>
      <c r="AG519" s="274">
        <v>1</v>
      </c>
      <c r="AH519" s="274">
        <v>1</v>
      </c>
      <c r="AI519" s="274">
        <v>1</v>
      </c>
      <c r="AJ519" s="274">
        <v>1</v>
      </c>
      <c r="AK519" s="274">
        <f t="shared" si="292"/>
        <v>1</v>
      </c>
      <c r="AL519" s="274">
        <f t="shared" si="293"/>
        <v>1</v>
      </c>
      <c r="AM519" s="274">
        <f t="shared" si="294"/>
        <v>1</v>
      </c>
      <c r="AN519" s="274">
        <f t="shared" si="295"/>
        <v>1</v>
      </c>
      <c r="AO519" s="262"/>
      <c r="AP519" s="262"/>
      <c r="AQ519" s="267">
        <v>67.962640249087912</v>
      </c>
      <c r="AR519" s="262"/>
      <c r="AS519" s="266">
        <f t="shared" si="296"/>
        <v>0</v>
      </c>
      <c r="AT519" s="264">
        <f t="shared" si="297"/>
        <v>0</v>
      </c>
      <c r="AU519" s="262"/>
      <c r="AV519" s="262"/>
      <c r="AW519" s="265">
        <v>67.962640249087912</v>
      </c>
      <c r="AX519" s="164" t="s">
        <v>1469</v>
      </c>
      <c r="AY519" s="266">
        <v>0</v>
      </c>
      <c r="AZ519" s="266">
        <f t="shared" si="298"/>
        <v>0</v>
      </c>
      <c r="BA519" s="264">
        <f t="shared" si="299"/>
        <v>0</v>
      </c>
      <c r="BB519" s="262"/>
      <c r="BC519" s="262"/>
      <c r="BD519" s="265">
        <f ca="1">IFERROR(INDEX(Algorithms!$G:$G,MATCH($C519&amp;"_Therm Saved per Unit",Algorithms!$A:$A,0)),0)</f>
        <v>67.962640249087912</v>
      </c>
      <c r="BE519" s="164" t="str">
        <f ca="1">IFERROR(INDEX('v12 Revisions'!$P$29:$P$186, MATCH('Measure-Level Adj Gas'!$L519, 'v12 Revisions'!$D$29:$D$186,0)),"")</f>
        <v/>
      </c>
      <c r="BF519" s="266">
        <f t="shared" ca="1" si="300"/>
        <v>0</v>
      </c>
      <c r="BG519" s="264">
        <f t="shared" ca="1" si="301"/>
        <v>0</v>
      </c>
      <c r="BH519" s="262"/>
      <c r="BI519" s="262"/>
      <c r="BJ519" s="265">
        <f ca="1">IFERROR(INDEX(Algorithms!$G:$G,MATCH($C519&amp;"_Therm Saved per Unit",Algorithms!$A:$A,0)),0)</f>
        <v>67.962640249087912</v>
      </c>
      <c r="BK519" s="164"/>
      <c r="BL519" s="266">
        <f t="shared" ca="1" si="302"/>
        <v>0</v>
      </c>
      <c r="BM519" s="264">
        <f t="shared" ca="1" si="303"/>
        <v>0</v>
      </c>
      <c r="BN519" s="266">
        <f t="shared" si="304"/>
        <v>0</v>
      </c>
      <c r="BO519" s="266">
        <f t="shared" si="305"/>
        <v>0</v>
      </c>
      <c r="BP519" s="266">
        <f t="shared" ca="1" si="306"/>
        <v>0</v>
      </c>
      <c r="BQ519" s="266">
        <f t="shared" ca="1" si="307"/>
        <v>0</v>
      </c>
      <c r="BR519" s="268">
        <f t="shared" ca="1" si="308"/>
        <v>0</v>
      </c>
      <c r="BS519" s="262" t="s">
        <v>99</v>
      </c>
      <c r="BT519" s="277"/>
      <c r="BW519" s="266">
        <f t="shared" si="309"/>
        <v>0</v>
      </c>
      <c r="BX519" s="266">
        <f t="shared" si="310"/>
        <v>0</v>
      </c>
      <c r="BY519" s="266">
        <f t="shared" si="311"/>
        <v>0</v>
      </c>
      <c r="BZ519" s="266">
        <f t="shared" si="312"/>
        <v>0</v>
      </c>
      <c r="CA519" s="266">
        <f ca="1">N519*IFERROR(INDEX(Algorithms!$G:$G,MATCH($C519&amp;"_Therm Saved per Unit- MLA",Algorithms!$A:$A,0)),0)*X519</f>
        <v>0</v>
      </c>
      <c r="CB519" s="266">
        <f ca="1">O519*IFERROR(INDEX(Algorithms!$G:$G,MATCH($C519&amp;"_Therm Saved per Unit- MLA",Algorithms!$A:$A,0)),0)*Y519</f>
        <v>0</v>
      </c>
      <c r="CC519" s="266">
        <f ca="1">P519*IFERROR(INDEX(Algorithms!$G:$G,MATCH($C519&amp;"_Therm Saved per Unit- MLA",Algorithms!$A:$A,0)),0)*Z519</f>
        <v>0</v>
      </c>
      <c r="CD519" s="266">
        <f ca="1">Q519*IFERROR(INDEX(Algorithms!$G:$G,MATCH($C519&amp;"_Therm Saved per Unit- MLA",Algorithms!$A:$A,0)),0)*AA519</f>
        <v>0</v>
      </c>
      <c r="CE519" s="266">
        <f ca="1">IFERROR(INDEX(Algorithms!$G:$G,MATCH($C519&amp;"_Lifetime (years)",Algorithms!$A:$A,0)),0)</f>
        <v>15</v>
      </c>
      <c r="CF519" s="266">
        <f ca="1">IFERROR(INDEX(Algorithms!$G:$G,MATCH($C519&amp;"_Lifetime (years) - Remaining Years",Algorithms!$A:$A,0)),0)</f>
        <v>0</v>
      </c>
      <c r="CG519" s="266">
        <f t="shared" ca="1" si="313"/>
        <v>0</v>
      </c>
      <c r="CH519" s="266">
        <f t="shared" ca="1" si="314"/>
        <v>0</v>
      </c>
      <c r="CI519" s="266">
        <f t="shared" ca="1" si="315"/>
        <v>0</v>
      </c>
      <c r="CJ519" s="266">
        <f t="shared" ca="1" si="316"/>
        <v>0</v>
      </c>
      <c r="CK519" s="266">
        <f t="shared" si="317"/>
        <v>0</v>
      </c>
      <c r="CL519" s="266">
        <f t="shared" si="318"/>
        <v>0</v>
      </c>
      <c r="CM519" s="266">
        <f t="shared" ca="1" si="319"/>
        <v>0</v>
      </c>
      <c r="CN519" s="266">
        <f t="shared" ca="1" si="320"/>
        <v>0</v>
      </c>
      <c r="CO519" s="266">
        <f ca="1">N519*IFERROR(INDEX(Algorithms!$G:$G,MATCH($C519&amp;"_Therm Saved per Unit- MLA",Algorithms!$A:$A,0)),0)*X519</f>
        <v>0</v>
      </c>
      <c r="CP519" s="266">
        <f ca="1">O519*IFERROR(INDEX(Algorithms!$G:$G,MATCH($C519&amp;"_Therm Saved per Unit- MLA",Algorithms!$A:$A,0)),0)*Y519</f>
        <v>0</v>
      </c>
      <c r="CQ519" s="266">
        <f ca="1">P519*IFERROR(INDEX(Algorithms!$G:$G,MATCH($C519&amp;"_Therm Saved per Unit- MLA",Algorithms!$A:$A,0)),0)*Z519</f>
        <v>0</v>
      </c>
      <c r="CR519" s="266">
        <f ca="1">Q519*IFERROR(INDEX(Algorithms!$G:$G,MATCH($C519&amp;"_Therm Saved per Unit- MLA",Algorithms!$A:$A,0)),0)*AA519</f>
        <v>0</v>
      </c>
      <c r="CS519" s="266">
        <f ca="1">IFERROR(INDEX(Algorithms!$G:$G,MATCH($C519&amp;"_Lifetime (years)",Algorithms!$A:$A,0)),0)</f>
        <v>15</v>
      </c>
      <c r="CT519" s="266">
        <f ca="1">IFERROR(INDEX(Algorithms!$G:$G,MATCH($C519&amp;"_Lifetime (years) - Remaining Years",Algorithms!$A:$A,0)),0)</f>
        <v>0</v>
      </c>
      <c r="CU519" s="266">
        <f t="shared" ca="1" si="321"/>
        <v>0</v>
      </c>
      <c r="CV519" s="266">
        <f t="shared" ca="1" si="322"/>
        <v>0</v>
      </c>
      <c r="CW519" s="266">
        <f t="shared" ca="1" si="323"/>
        <v>0</v>
      </c>
      <c r="CX519" s="266">
        <f t="shared" ca="1" si="324"/>
        <v>0</v>
      </c>
    </row>
    <row r="520" spans="2:102" s="47" customFormat="1" ht="18" customHeight="1" x14ac:dyDescent="0.25">
      <c r="B520" t="str">
        <f t="shared" si="325"/>
        <v>NSG_Income Eligible_Multi-Family_Partner Trade Ally Rebate_Pipe Insulation_Steam Large Valve_MF</v>
      </c>
      <c r="C520" s="47" t="str">
        <f t="shared" si="286"/>
        <v>Pipe Insulation_Steam Large Valve_MF</v>
      </c>
      <c r="D520" s="270" t="s">
        <v>1787</v>
      </c>
      <c r="E520" s="270" t="s">
        <v>325</v>
      </c>
      <c r="F520" s="270" t="s">
        <v>1422</v>
      </c>
      <c r="G520" s="270" t="s">
        <v>1799</v>
      </c>
      <c r="H520" s="270" t="s">
        <v>404</v>
      </c>
      <c r="I520" s="270" t="s">
        <v>967</v>
      </c>
      <c r="J520" s="270" t="s">
        <v>553</v>
      </c>
      <c r="K520" s="263">
        <v>1</v>
      </c>
      <c r="L520" s="263" t="str">
        <f ca="1">IFERROR(INDEX(Algorithms!J:J,MATCH($C520&amp;"_Therm Saved per Unit",Algorithms!$A:$A,0)),"n/a")</f>
        <v>"3 - Res Pipe Insulation" worksheet</v>
      </c>
      <c r="M520" s="263" t="str">
        <f>IFERROR(INDEX('Measure Level Detail'!$N:$N,MATCH($B520,'Measure Level Detail'!$B:$B,0)),0)</f>
        <v>each</v>
      </c>
      <c r="N520" s="271">
        <f>IFERROR(INDEX('Measure Level Detail'!$P:$P,MATCH($B520&amp;"_"&amp;N$3,'Measure Level Detail'!$C:$C,0)),0)</f>
        <v>0</v>
      </c>
      <c r="O520" s="271">
        <f>IFERROR(INDEX('Measure Level Detail'!$P:$P,MATCH($B520&amp;"_"&amp;O$3,'Measure Level Detail'!$C:$C,0)),0)</f>
        <v>0</v>
      </c>
      <c r="P520" s="271">
        <f>IFERROR(INDEX('Measure Level Detail'!$P:$P,MATCH($B520&amp;"_"&amp;P$3,'Measure Level Detail'!$C:$C,0)),0)</f>
        <v>0</v>
      </c>
      <c r="Q520" s="271">
        <f>IFERROR(INDEX('Measure Level Detail'!$P:$P,MATCH($B520&amp;"_"&amp;Q$3,'Measure Level Detail'!$C:$C,0)),0)</f>
        <v>0</v>
      </c>
      <c r="R520" s="263">
        <f ca="1">IFERROR(INDEX(Algorithms!K:K,MATCH($C520&amp;"_Therm Saved per Unit",Algorithms!$A:$A,0)),"n/a")</f>
        <v>0</v>
      </c>
      <c r="S520" s="262"/>
      <c r="T520" s="272">
        <v>133.90978522057964</v>
      </c>
      <c r="U520" s="272">
        <v>133.90978522057964</v>
      </c>
      <c r="V520" s="272">
        <v>133.90978522057964</v>
      </c>
      <c r="W520" s="272">
        <v>133.90978522057964</v>
      </c>
      <c r="X520" s="273">
        <f>IFERROR(INDEX('Measure Level Detail'!$R:$R,MATCH($B520&amp;"_"&amp;X$3,'Measure Level Detail'!$C:$C,0)),0)</f>
        <v>1</v>
      </c>
      <c r="Y520" s="273">
        <f>IFERROR(INDEX('Measure Level Detail'!$R:$R,MATCH($B520&amp;"_"&amp;Y$3,'Measure Level Detail'!$C:$C,0)),0)</f>
        <v>1</v>
      </c>
      <c r="Z520" s="273">
        <f>IFERROR(INDEX('Measure Level Detail'!$R:$R,MATCH($B520&amp;"_"&amp;Z$3,'Measure Level Detail'!$C:$C,0)),0)</f>
        <v>1</v>
      </c>
      <c r="AA520" s="273">
        <f>IFERROR(INDEX('Measure Level Detail'!$R:$R,MATCH($B520&amp;"_"&amp;AA$3,'Measure Level Detail'!$C:$C,0)),0)</f>
        <v>1</v>
      </c>
      <c r="AB520" s="266">
        <f t="shared" si="287"/>
        <v>0</v>
      </c>
      <c r="AC520" s="266">
        <f t="shared" si="288"/>
        <v>0</v>
      </c>
      <c r="AD520" s="266">
        <f t="shared" si="289"/>
        <v>0</v>
      </c>
      <c r="AE520" s="266">
        <f t="shared" si="290"/>
        <v>0</v>
      </c>
      <c r="AF520" s="266">
        <f t="shared" si="291"/>
        <v>0</v>
      </c>
      <c r="AG520" s="274">
        <v>1</v>
      </c>
      <c r="AH520" s="274">
        <v>1</v>
      </c>
      <c r="AI520" s="274">
        <v>1</v>
      </c>
      <c r="AJ520" s="274">
        <v>1</v>
      </c>
      <c r="AK520" s="274">
        <f t="shared" si="292"/>
        <v>1</v>
      </c>
      <c r="AL520" s="274">
        <f t="shared" si="293"/>
        <v>1</v>
      </c>
      <c r="AM520" s="274">
        <f t="shared" si="294"/>
        <v>1</v>
      </c>
      <c r="AN520" s="274">
        <f t="shared" si="295"/>
        <v>1</v>
      </c>
      <c r="AO520" s="262"/>
      <c r="AP520" s="262"/>
      <c r="AQ520" s="267">
        <v>133.90978522057964</v>
      </c>
      <c r="AR520" s="262"/>
      <c r="AS520" s="266">
        <f t="shared" si="296"/>
        <v>0</v>
      </c>
      <c r="AT520" s="264">
        <f t="shared" si="297"/>
        <v>0</v>
      </c>
      <c r="AU520" s="262"/>
      <c r="AV520" s="262"/>
      <c r="AW520" s="265">
        <v>133.90978522057964</v>
      </c>
      <c r="AX520" s="164" t="s">
        <v>1469</v>
      </c>
      <c r="AY520" s="266">
        <v>0</v>
      </c>
      <c r="AZ520" s="266">
        <f t="shared" si="298"/>
        <v>0</v>
      </c>
      <c r="BA520" s="264">
        <f t="shared" si="299"/>
        <v>0</v>
      </c>
      <c r="BB520" s="262"/>
      <c r="BC520" s="262"/>
      <c r="BD520" s="265">
        <f ca="1">IFERROR(INDEX(Algorithms!$G:$G,MATCH($C520&amp;"_Therm Saved per Unit",Algorithms!$A:$A,0)),0)</f>
        <v>133.90978522057964</v>
      </c>
      <c r="BE520" s="164" t="str">
        <f ca="1">IFERROR(INDEX('v12 Revisions'!$P$29:$P$186, MATCH('Measure-Level Adj Gas'!$L520, 'v12 Revisions'!$D$29:$D$186,0)),"")</f>
        <v/>
      </c>
      <c r="BF520" s="266">
        <f t="shared" ca="1" si="300"/>
        <v>0</v>
      </c>
      <c r="BG520" s="264">
        <f t="shared" ca="1" si="301"/>
        <v>0</v>
      </c>
      <c r="BH520" s="262"/>
      <c r="BI520" s="262"/>
      <c r="BJ520" s="265">
        <f ca="1">IFERROR(INDEX(Algorithms!$G:$G,MATCH($C520&amp;"_Therm Saved per Unit",Algorithms!$A:$A,0)),0)</f>
        <v>133.90978522057964</v>
      </c>
      <c r="BK520" s="164"/>
      <c r="BL520" s="266">
        <f t="shared" ca="1" si="302"/>
        <v>0</v>
      </c>
      <c r="BM520" s="264">
        <f t="shared" ca="1" si="303"/>
        <v>0</v>
      </c>
      <c r="BN520" s="266">
        <f t="shared" si="304"/>
        <v>0</v>
      </c>
      <c r="BO520" s="266">
        <f t="shared" si="305"/>
        <v>0</v>
      </c>
      <c r="BP520" s="266">
        <f t="shared" ca="1" si="306"/>
        <v>0</v>
      </c>
      <c r="BQ520" s="266">
        <f t="shared" ca="1" si="307"/>
        <v>0</v>
      </c>
      <c r="BR520" s="268">
        <f t="shared" ca="1" si="308"/>
        <v>0</v>
      </c>
      <c r="BS520" s="262" t="s">
        <v>99</v>
      </c>
      <c r="BT520" s="277"/>
      <c r="BW520" s="266">
        <f t="shared" si="309"/>
        <v>0</v>
      </c>
      <c r="BX520" s="266">
        <f t="shared" si="310"/>
        <v>0</v>
      </c>
      <c r="BY520" s="266">
        <f t="shared" si="311"/>
        <v>0</v>
      </c>
      <c r="BZ520" s="266">
        <f t="shared" si="312"/>
        <v>0</v>
      </c>
      <c r="CA520" s="266">
        <f ca="1">N520*IFERROR(INDEX(Algorithms!$G:$G,MATCH($C520&amp;"_Therm Saved per Unit- MLA",Algorithms!$A:$A,0)),0)*X520</f>
        <v>0</v>
      </c>
      <c r="CB520" s="266">
        <f ca="1">O520*IFERROR(INDEX(Algorithms!$G:$G,MATCH($C520&amp;"_Therm Saved per Unit- MLA",Algorithms!$A:$A,0)),0)*Y520</f>
        <v>0</v>
      </c>
      <c r="CC520" s="266">
        <f ca="1">P520*IFERROR(INDEX(Algorithms!$G:$G,MATCH($C520&amp;"_Therm Saved per Unit- MLA",Algorithms!$A:$A,0)),0)*Z520</f>
        <v>0</v>
      </c>
      <c r="CD520" s="266">
        <f ca="1">Q520*IFERROR(INDEX(Algorithms!$G:$G,MATCH($C520&amp;"_Therm Saved per Unit- MLA",Algorithms!$A:$A,0)),0)*AA520</f>
        <v>0</v>
      </c>
      <c r="CE520" s="266">
        <f ca="1">IFERROR(INDEX(Algorithms!$G:$G,MATCH($C520&amp;"_Lifetime (years)",Algorithms!$A:$A,0)),0)</f>
        <v>15</v>
      </c>
      <c r="CF520" s="266">
        <f ca="1">IFERROR(INDEX(Algorithms!$G:$G,MATCH($C520&amp;"_Lifetime (years) - Remaining Years",Algorithms!$A:$A,0)),0)</f>
        <v>0</v>
      </c>
      <c r="CG520" s="266">
        <f t="shared" ca="1" si="313"/>
        <v>0</v>
      </c>
      <c r="CH520" s="266">
        <f t="shared" ca="1" si="314"/>
        <v>0</v>
      </c>
      <c r="CI520" s="266">
        <f t="shared" ca="1" si="315"/>
        <v>0</v>
      </c>
      <c r="CJ520" s="266">
        <f t="shared" ca="1" si="316"/>
        <v>0</v>
      </c>
      <c r="CK520" s="266">
        <f t="shared" si="317"/>
        <v>0</v>
      </c>
      <c r="CL520" s="266">
        <f t="shared" si="318"/>
        <v>0</v>
      </c>
      <c r="CM520" s="266">
        <f t="shared" ca="1" si="319"/>
        <v>0</v>
      </c>
      <c r="CN520" s="266">
        <f t="shared" ca="1" si="320"/>
        <v>0</v>
      </c>
      <c r="CO520" s="266">
        <f ca="1">N520*IFERROR(INDEX(Algorithms!$G:$G,MATCH($C520&amp;"_Therm Saved per Unit- MLA",Algorithms!$A:$A,0)),0)*X520</f>
        <v>0</v>
      </c>
      <c r="CP520" s="266">
        <f ca="1">O520*IFERROR(INDEX(Algorithms!$G:$G,MATCH($C520&amp;"_Therm Saved per Unit- MLA",Algorithms!$A:$A,0)),0)*Y520</f>
        <v>0</v>
      </c>
      <c r="CQ520" s="266">
        <f ca="1">P520*IFERROR(INDEX(Algorithms!$G:$G,MATCH($C520&amp;"_Therm Saved per Unit- MLA",Algorithms!$A:$A,0)),0)*Z520</f>
        <v>0</v>
      </c>
      <c r="CR520" s="266">
        <f ca="1">Q520*IFERROR(INDEX(Algorithms!$G:$G,MATCH($C520&amp;"_Therm Saved per Unit- MLA",Algorithms!$A:$A,0)),0)*AA520</f>
        <v>0</v>
      </c>
      <c r="CS520" s="266">
        <f ca="1">IFERROR(INDEX(Algorithms!$G:$G,MATCH($C520&amp;"_Lifetime (years)",Algorithms!$A:$A,0)),0)</f>
        <v>15</v>
      </c>
      <c r="CT520" s="266">
        <f ca="1">IFERROR(INDEX(Algorithms!$G:$G,MATCH($C520&amp;"_Lifetime (years) - Remaining Years",Algorithms!$A:$A,0)),0)</f>
        <v>0</v>
      </c>
      <c r="CU520" s="266">
        <f t="shared" ca="1" si="321"/>
        <v>0</v>
      </c>
      <c r="CV520" s="266">
        <f t="shared" ca="1" si="322"/>
        <v>0</v>
      </c>
      <c r="CW520" s="266">
        <f t="shared" ca="1" si="323"/>
        <v>0</v>
      </c>
      <c r="CX520" s="266">
        <f t="shared" ca="1" si="324"/>
        <v>0</v>
      </c>
    </row>
    <row r="521" spans="2:102" s="47" customFormat="1" ht="18" customHeight="1" x14ac:dyDescent="0.25">
      <c r="B521" t="str">
        <f t="shared" si="325"/>
        <v>NSG_Income Eligible_Multi-Family_Partner Trade Ally Rebate_Pipe Insulation_Steam X-Large Valve_MF</v>
      </c>
      <c r="C521" s="47" t="str">
        <f t="shared" si="286"/>
        <v>Pipe Insulation_Steam X-Large Valve_MF</v>
      </c>
      <c r="D521" s="270" t="s">
        <v>1787</v>
      </c>
      <c r="E521" s="270" t="s">
        <v>325</v>
      </c>
      <c r="F521" s="270" t="s">
        <v>1422</v>
      </c>
      <c r="G521" s="270" t="s">
        <v>1799</v>
      </c>
      <c r="H521" s="270" t="s">
        <v>404</v>
      </c>
      <c r="I521" s="270" t="s">
        <v>968</v>
      </c>
      <c r="J521" s="270" t="s">
        <v>553</v>
      </c>
      <c r="K521" s="263">
        <v>1</v>
      </c>
      <c r="L521" s="263" t="str">
        <f ca="1">IFERROR(INDEX(Algorithms!J:J,MATCH($C521&amp;"_Therm Saved per Unit",Algorithms!$A:$A,0)),"n/a")</f>
        <v>"3 - Res Pipe Insulation" worksheet</v>
      </c>
      <c r="M521" s="263" t="str">
        <f>IFERROR(INDEX('Measure Level Detail'!$N:$N,MATCH($B521,'Measure Level Detail'!$B:$B,0)),0)</f>
        <v>each</v>
      </c>
      <c r="N521" s="271">
        <f>IFERROR(INDEX('Measure Level Detail'!$P:$P,MATCH($B521&amp;"_"&amp;N$3,'Measure Level Detail'!$C:$C,0)),0)</f>
        <v>0</v>
      </c>
      <c r="O521" s="271">
        <f>IFERROR(INDEX('Measure Level Detail'!$P:$P,MATCH($B521&amp;"_"&amp;O$3,'Measure Level Detail'!$C:$C,0)),0)</f>
        <v>0</v>
      </c>
      <c r="P521" s="271">
        <f>IFERROR(INDEX('Measure Level Detail'!$P:$P,MATCH($B521&amp;"_"&amp;P$3,'Measure Level Detail'!$C:$C,0)),0)</f>
        <v>0</v>
      </c>
      <c r="Q521" s="271">
        <f>IFERROR(INDEX('Measure Level Detail'!$P:$P,MATCH($B521&amp;"_"&amp;Q$3,'Measure Level Detail'!$C:$C,0)),0)</f>
        <v>0</v>
      </c>
      <c r="R521" s="263">
        <f ca="1">IFERROR(INDEX(Algorithms!K:K,MATCH($C521&amp;"_Therm Saved per Unit",Algorithms!$A:$A,0)),"n/a")</f>
        <v>0</v>
      </c>
      <c r="S521" s="262"/>
      <c r="T521" s="272">
        <v>67.962640249087912</v>
      </c>
      <c r="U521" s="272">
        <v>67.962640249087912</v>
      </c>
      <c r="V521" s="272">
        <v>67.962640249087912</v>
      </c>
      <c r="W521" s="272">
        <v>67.962640249087912</v>
      </c>
      <c r="X521" s="273">
        <f>IFERROR(INDEX('Measure Level Detail'!$R:$R,MATCH($B521&amp;"_"&amp;X$3,'Measure Level Detail'!$C:$C,0)),0)</f>
        <v>1</v>
      </c>
      <c r="Y521" s="273">
        <f>IFERROR(INDEX('Measure Level Detail'!$R:$R,MATCH($B521&amp;"_"&amp;Y$3,'Measure Level Detail'!$C:$C,0)),0)</f>
        <v>1</v>
      </c>
      <c r="Z521" s="273">
        <f>IFERROR(INDEX('Measure Level Detail'!$R:$R,MATCH($B521&amp;"_"&amp;Z$3,'Measure Level Detail'!$C:$C,0)),0)</f>
        <v>1</v>
      </c>
      <c r="AA521" s="273">
        <f>IFERROR(INDEX('Measure Level Detail'!$R:$R,MATCH($B521&amp;"_"&amp;AA$3,'Measure Level Detail'!$C:$C,0)),0)</f>
        <v>1</v>
      </c>
      <c r="AB521" s="266">
        <f t="shared" si="287"/>
        <v>0</v>
      </c>
      <c r="AC521" s="266">
        <f t="shared" si="288"/>
        <v>0</v>
      </c>
      <c r="AD521" s="266">
        <f t="shared" si="289"/>
        <v>0</v>
      </c>
      <c r="AE521" s="266">
        <f t="shared" si="290"/>
        <v>0</v>
      </c>
      <c r="AF521" s="266">
        <f t="shared" si="291"/>
        <v>0</v>
      </c>
      <c r="AG521" s="274">
        <v>1</v>
      </c>
      <c r="AH521" s="274">
        <v>1</v>
      </c>
      <c r="AI521" s="274">
        <v>1</v>
      </c>
      <c r="AJ521" s="274">
        <v>1</v>
      </c>
      <c r="AK521" s="274">
        <f t="shared" si="292"/>
        <v>1</v>
      </c>
      <c r="AL521" s="274">
        <f t="shared" si="293"/>
        <v>1</v>
      </c>
      <c r="AM521" s="274">
        <f t="shared" si="294"/>
        <v>1</v>
      </c>
      <c r="AN521" s="274">
        <f t="shared" si="295"/>
        <v>1</v>
      </c>
      <c r="AO521" s="262"/>
      <c r="AP521" s="262"/>
      <c r="AQ521" s="267">
        <v>67.962640249087912</v>
      </c>
      <c r="AR521" s="262"/>
      <c r="AS521" s="266">
        <f t="shared" si="296"/>
        <v>0</v>
      </c>
      <c r="AT521" s="264">
        <f t="shared" si="297"/>
        <v>0</v>
      </c>
      <c r="AU521" s="262"/>
      <c r="AV521" s="262"/>
      <c r="AW521" s="265">
        <v>67.962640249087912</v>
      </c>
      <c r="AX521" s="164" t="s">
        <v>1469</v>
      </c>
      <c r="AY521" s="266">
        <v>0</v>
      </c>
      <c r="AZ521" s="266">
        <f t="shared" si="298"/>
        <v>0</v>
      </c>
      <c r="BA521" s="264">
        <f t="shared" si="299"/>
        <v>0</v>
      </c>
      <c r="BB521" s="262"/>
      <c r="BC521" s="262"/>
      <c r="BD521" s="265">
        <f ca="1">IFERROR(INDEX(Algorithms!$G:$G,MATCH($C521&amp;"_Therm Saved per Unit",Algorithms!$A:$A,0)),0)</f>
        <v>67.962640249087912</v>
      </c>
      <c r="BE521" s="164" t="str">
        <f ca="1">IFERROR(INDEX('v12 Revisions'!$P$29:$P$186, MATCH('Measure-Level Adj Gas'!$L521, 'v12 Revisions'!$D$29:$D$186,0)),"")</f>
        <v/>
      </c>
      <c r="BF521" s="266">
        <f t="shared" ca="1" si="300"/>
        <v>0</v>
      </c>
      <c r="BG521" s="264">
        <f t="shared" ca="1" si="301"/>
        <v>0</v>
      </c>
      <c r="BH521" s="262"/>
      <c r="BI521" s="262"/>
      <c r="BJ521" s="265">
        <f ca="1">IFERROR(INDEX(Algorithms!$G:$G,MATCH($C521&amp;"_Therm Saved per Unit",Algorithms!$A:$A,0)),0)</f>
        <v>67.962640249087912</v>
      </c>
      <c r="BK521" s="164"/>
      <c r="BL521" s="266">
        <f t="shared" ca="1" si="302"/>
        <v>0</v>
      </c>
      <c r="BM521" s="264">
        <f t="shared" ca="1" si="303"/>
        <v>0</v>
      </c>
      <c r="BN521" s="266">
        <f t="shared" si="304"/>
        <v>0</v>
      </c>
      <c r="BO521" s="266">
        <f t="shared" si="305"/>
        <v>0</v>
      </c>
      <c r="BP521" s="266">
        <f t="shared" ca="1" si="306"/>
        <v>0</v>
      </c>
      <c r="BQ521" s="266">
        <f t="shared" ca="1" si="307"/>
        <v>0</v>
      </c>
      <c r="BR521" s="268">
        <f t="shared" ca="1" si="308"/>
        <v>0</v>
      </c>
      <c r="BS521" s="262" t="s">
        <v>99</v>
      </c>
      <c r="BT521" s="277"/>
      <c r="BW521" s="266">
        <f t="shared" si="309"/>
        <v>0</v>
      </c>
      <c r="BX521" s="266">
        <f t="shared" si="310"/>
        <v>0</v>
      </c>
      <c r="BY521" s="266">
        <f t="shared" si="311"/>
        <v>0</v>
      </c>
      <c r="BZ521" s="266">
        <f t="shared" si="312"/>
        <v>0</v>
      </c>
      <c r="CA521" s="266">
        <f ca="1">N521*IFERROR(INDEX(Algorithms!$G:$G,MATCH($C521&amp;"_Therm Saved per Unit- MLA",Algorithms!$A:$A,0)),0)*X521</f>
        <v>0</v>
      </c>
      <c r="CB521" s="266">
        <f ca="1">O521*IFERROR(INDEX(Algorithms!$G:$G,MATCH($C521&amp;"_Therm Saved per Unit- MLA",Algorithms!$A:$A,0)),0)*Y521</f>
        <v>0</v>
      </c>
      <c r="CC521" s="266">
        <f ca="1">P521*IFERROR(INDEX(Algorithms!$G:$G,MATCH($C521&amp;"_Therm Saved per Unit- MLA",Algorithms!$A:$A,0)),0)*Z521</f>
        <v>0</v>
      </c>
      <c r="CD521" s="266">
        <f ca="1">Q521*IFERROR(INDEX(Algorithms!$G:$G,MATCH($C521&amp;"_Therm Saved per Unit- MLA",Algorithms!$A:$A,0)),0)*AA521</f>
        <v>0</v>
      </c>
      <c r="CE521" s="266">
        <f ca="1">IFERROR(INDEX(Algorithms!$G:$G,MATCH($C521&amp;"_Lifetime (years)",Algorithms!$A:$A,0)),0)</f>
        <v>15</v>
      </c>
      <c r="CF521" s="266">
        <f ca="1">IFERROR(INDEX(Algorithms!$G:$G,MATCH($C521&amp;"_Lifetime (years) - Remaining Years",Algorithms!$A:$A,0)),0)</f>
        <v>0</v>
      </c>
      <c r="CG521" s="266">
        <f t="shared" ca="1" si="313"/>
        <v>0</v>
      </c>
      <c r="CH521" s="266">
        <f t="shared" ca="1" si="314"/>
        <v>0</v>
      </c>
      <c r="CI521" s="266">
        <f t="shared" ca="1" si="315"/>
        <v>0</v>
      </c>
      <c r="CJ521" s="266">
        <f t="shared" ca="1" si="316"/>
        <v>0</v>
      </c>
      <c r="CK521" s="266">
        <f t="shared" si="317"/>
        <v>0</v>
      </c>
      <c r="CL521" s="266">
        <f t="shared" si="318"/>
        <v>0</v>
      </c>
      <c r="CM521" s="266">
        <f t="shared" ca="1" si="319"/>
        <v>0</v>
      </c>
      <c r="CN521" s="266">
        <f t="shared" ca="1" si="320"/>
        <v>0</v>
      </c>
      <c r="CO521" s="266">
        <f ca="1">N521*IFERROR(INDEX(Algorithms!$G:$G,MATCH($C521&amp;"_Therm Saved per Unit- MLA",Algorithms!$A:$A,0)),0)*X521</f>
        <v>0</v>
      </c>
      <c r="CP521" s="266">
        <f ca="1">O521*IFERROR(INDEX(Algorithms!$G:$G,MATCH($C521&amp;"_Therm Saved per Unit- MLA",Algorithms!$A:$A,0)),0)*Y521</f>
        <v>0</v>
      </c>
      <c r="CQ521" s="266">
        <f ca="1">P521*IFERROR(INDEX(Algorithms!$G:$G,MATCH($C521&amp;"_Therm Saved per Unit- MLA",Algorithms!$A:$A,0)),0)*Z521</f>
        <v>0</v>
      </c>
      <c r="CR521" s="266">
        <f ca="1">Q521*IFERROR(INDEX(Algorithms!$G:$G,MATCH($C521&amp;"_Therm Saved per Unit- MLA",Algorithms!$A:$A,0)),0)*AA521</f>
        <v>0</v>
      </c>
      <c r="CS521" s="266">
        <f ca="1">IFERROR(INDEX(Algorithms!$G:$G,MATCH($C521&amp;"_Lifetime (years)",Algorithms!$A:$A,0)),0)</f>
        <v>15</v>
      </c>
      <c r="CT521" s="266">
        <f ca="1">IFERROR(INDEX(Algorithms!$G:$G,MATCH($C521&amp;"_Lifetime (years) - Remaining Years",Algorithms!$A:$A,0)),0)</f>
        <v>0</v>
      </c>
      <c r="CU521" s="266">
        <f t="shared" ca="1" si="321"/>
        <v>0</v>
      </c>
      <c r="CV521" s="266">
        <f t="shared" ca="1" si="322"/>
        <v>0</v>
      </c>
      <c r="CW521" s="266">
        <f t="shared" ca="1" si="323"/>
        <v>0</v>
      </c>
      <c r="CX521" s="266">
        <f t="shared" ca="1" si="324"/>
        <v>0</v>
      </c>
    </row>
    <row r="522" spans="2:102" s="47" customFormat="1" ht="18" customHeight="1" x14ac:dyDescent="0.25">
      <c r="B522" t="str">
        <f t="shared" si="325"/>
        <v>NSG_Income Eligible_Multi-Family_Partner Trade Ally Rebate_Condensate Tank Insulation_0_MF/CI/SMB</v>
      </c>
      <c r="C522" s="47" t="str">
        <f t="shared" ref="C522:C585" si="326">H522&amp;"_"&amp;I522&amp;"_"&amp;J522</f>
        <v>Condensate Tank Insulation_0_MF/CI/SMB</v>
      </c>
      <c r="D522" s="270" t="s">
        <v>1787</v>
      </c>
      <c r="E522" s="270" t="s">
        <v>325</v>
      </c>
      <c r="F522" s="270" t="s">
        <v>1422</v>
      </c>
      <c r="G522" s="270" t="s">
        <v>1799</v>
      </c>
      <c r="H522" s="270" t="s">
        <v>806</v>
      </c>
      <c r="I522" s="270">
        <v>0</v>
      </c>
      <c r="J522" s="270" t="s">
        <v>662</v>
      </c>
      <c r="K522" s="263">
        <v>1</v>
      </c>
      <c r="L522" s="263" t="str">
        <f ca="1">IFERROR(INDEX(Algorithms!J:J,MATCH($C522&amp;"_Therm Saved per Unit",Algorithms!$A:$A,0)),"n/a")</f>
        <v>4.3.12</v>
      </c>
      <c r="M522" s="263" t="str">
        <f>IFERROR(INDEX('Measure Level Detail'!$N:$N,MATCH($B522,'Measure Level Detail'!$B:$B,0)),0)</f>
        <v>each</v>
      </c>
      <c r="N522" s="271">
        <f>IFERROR(INDEX('Measure Level Detail'!$P:$P,MATCH($B522&amp;"_"&amp;N$3,'Measure Level Detail'!$C:$C,0)),0)</f>
        <v>0</v>
      </c>
      <c r="O522" s="271">
        <f>IFERROR(INDEX('Measure Level Detail'!$P:$P,MATCH($B522&amp;"_"&amp;O$3,'Measure Level Detail'!$C:$C,0)),0)</f>
        <v>0</v>
      </c>
      <c r="P522" s="271">
        <f>IFERROR(INDEX('Measure Level Detail'!$P:$P,MATCH($B522&amp;"_"&amp;P$3,'Measure Level Detail'!$C:$C,0)),0)</f>
        <v>0</v>
      </c>
      <c r="Q522" s="271">
        <f>IFERROR(INDEX('Measure Level Detail'!$P:$P,MATCH($B522&amp;"_"&amp;Q$3,'Measure Level Detail'!$C:$C,0)),0)</f>
        <v>0</v>
      </c>
      <c r="R522" s="263" t="str">
        <f ca="1">IFERROR(INDEX(Algorithms!K:K,MATCH($C522&amp;"_Therm Saved per Unit",Algorithms!$A:$A,0)),"n/a")</f>
        <v>CI-HWE-TKIN-V03-240101</v>
      </c>
      <c r="S522" s="262"/>
      <c r="T522" s="272">
        <v>16.746197539658972</v>
      </c>
      <c r="U522" s="272">
        <v>16.746197539658972</v>
      </c>
      <c r="V522" s="272">
        <v>16.746197539658972</v>
      </c>
      <c r="W522" s="272">
        <v>16.746197539658972</v>
      </c>
      <c r="X522" s="273">
        <f>IFERROR(INDEX('Measure Level Detail'!$R:$R,MATCH($B522&amp;"_"&amp;X$3,'Measure Level Detail'!$C:$C,0)),0)</f>
        <v>1</v>
      </c>
      <c r="Y522" s="273">
        <f>IFERROR(INDEX('Measure Level Detail'!$R:$R,MATCH($B522&amp;"_"&amp;Y$3,'Measure Level Detail'!$C:$C,0)),0)</f>
        <v>1</v>
      </c>
      <c r="Z522" s="273">
        <f>IFERROR(INDEX('Measure Level Detail'!$R:$R,MATCH($B522&amp;"_"&amp;Z$3,'Measure Level Detail'!$C:$C,0)),0)</f>
        <v>1</v>
      </c>
      <c r="AA522" s="273">
        <f>IFERROR(INDEX('Measure Level Detail'!$R:$R,MATCH($B522&amp;"_"&amp;AA$3,'Measure Level Detail'!$C:$C,0)),0)</f>
        <v>1</v>
      </c>
      <c r="AB522" s="266">
        <f t="shared" ref="AB522:AB585" si="327">N522*T522*X522</f>
        <v>0</v>
      </c>
      <c r="AC522" s="266">
        <f t="shared" ref="AC522:AC585" si="328">O522*U522*Y522</f>
        <v>0</v>
      </c>
      <c r="AD522" s="266">
        <f t="shared" ref="AD522:AD585" si="329">P522*V522*Z522</f>
        <v>0</v>
      </c>
      <c r="AE522" s="266">
        <f t="shared" ref="AE522:AE585" si="330">Q522*W522*AA522</f>
        <v>0</v>
      </c>
      <c r="AF522" s="266">
        <f t="shared" ref="AF522:AF585" si="331">AB522+AC522+AD522+AE522</f>
        <v>0</v>
      </c>
      <c r="AG522" s="274">
        <v>1</v>
      </c>
      <c r="AH522" s="274">
        <v>1</v>
      </c>
      <c r="AI522" s="274">
        <v>1</v>
      </c>
      <c r="AJ522" s="274">
        <v>1</v>
      </c>
      <c r="AK522" s="274">
        <f t="shared" ref="AK522:AK585" si="332">IF(AG522=X522,X522,
IF(AG522&gt;X522, IF(AG522-X522&gt;IF($E522="Income Eligible",0,10%),X522+(AG522-(X522+IF($E522="Income Eligible",0,10%))),X522),
IF(X522-AG522&gt;IF($E522="Income Eligible",0,10%),X522-((X522-IF($E522="Income Eligible",0,10%))-AG522),X522)))</f>
        <v>1</v>
      </c>
      <c r="AL522" s="274">
        <f t="shared" ref="AL522:AL585" si="333">IF(AH522=Y522,Y522,
IF(AH522&gt;Y522, IF(AH522-Y522&gt;IF($E522="Income Eligible",0,10%),Y522+(AH522-(Y522+IF($E522="Income Eligible",0,10%))),Y522),
IF(Y522-AH522&gt;IF($E522="Income Eligible",0,10%),Y522-((Y522-IF($E522="Income Eligible",0,10%))-AH522),Y522)))</f>
        <v>1</v>
      </c>
      <c r="AM522" s="274">
        <f t="shared" ref="AM522:AM585" si="334">IF(AI522=Z522,Z522,
IF(AI522&gt;Z522, IF(AI522-Z522&gt;IF($E522="Income Eligible",0,10%),Z522+(AI522-(Z522+IF($E522="Income Eligible",0,10%))),Z522),
IF(Z522-AI522&gt;IF($E522="Income Eligible",0,10%),Z522-((Z522-IF($E522="Income Eligible",0,10%))-AI522),Z522)))</f>
        <v>1</v>
      </c>
      <c r="AN522" s="274">
        <f t="shared" ref="AN522:AN585" si="335">IF(AJ522=AA522,AA522,
IF(AJ522&gt;AA522, IF(AJ522-AA522&gt;IF($E522="Income Eligible",0,10%),AA522+(AJ522-(AA522+IF($E522="Income Eligible",0,10%))),AA522),
IF(AA522-AJ522&gt;IF($E522="Income Eligible",0,10%),AA522-((AA522-IF($E522="Income Eligible",0,10%))-AJ522),AA522)))</f>
        <v>1</v>
      </c>
      <c r="AO522" s="262"/>
      <c r="AP522" s="262"/>
      <c r="AQ522" s="267">
        <v>16.746197539658972</v>
      </c>
      <c r="AR522" s="262"/>
      <c r="AS522" s="266">
        <f t="shared" ref="AS522:AS585" si="336">N522*AQ522*AK522</f>
        <v>0</v>
      </c>
      <c r="AT522" s="264">
        <f t="shared" ref="AT522:AT585" si="337">IF(AS522=0,0,AS522-AB522)</f>
        <v>0</v>
      </c>
      <c r="AU522" s="262"/>
      <c r="AV522" s="262"/>
      <c r="AW522" s="265">
        <v>16.746197539658972</v>
      </c>
      <c r="AX522" s="164" t="s">
        <v>1469</v>
      </c>
      <c r="AY522" s="266">
        <v>0</v>
      </c>
      <c r="AZ522" s="266">
        <f t="shared" ref="AZ522:AZ585" si="338">O522*AW522*AL522</f>
        <v>0</v>
      </c>
      <c r="BA522" s="264">
        <f t="shared" ref="BA522:BA585" si="339">IF(AZ522=0,0,AZ522-AC522)</f>
        <v>0</v>
      </c>
      <c r="BB522" s="262"/>
      <c r="BC522" s="262"/>
      <c r="BD522" s="265">
        <f ca="1">IFERROR(INDEX(Algorithms!$G:$G,MATCH($C522&amp;"_Therm Saved per Unit",Algorithms!$A:$A,0)),0)</f>
        <v>16.746197539658972</v>
      </c>
      <c r="BE522" s="164" t="str">
        <f ca="1">IFERROR(INDEX('v12 Revisions'!$P$29:$P$186, MATCH('Measure-Level Adj Gas'!$L522, 'v12 Revisions'!$D$29:$D$186,0)),"")</f>
        <v/>
      </c>
      <c r="BF522" s="266">
        <f t="shared" ref="BF522:BF585" ca="1" si="340">P522*BD522*AM522</f>
        <v>0</v>
      </c>
      <c r="BG522" s="264">
        <f t="shared" ref="BG522:BG585" ca="1" si="341">IF(BF522=0,0,BF522-AD522)</f>
        <v>0</v>
      </c>
      <c r="BH522" s="262"/>
      <c r="BI522" s="262"/>
      <c r="BJ522" s="265">
        <f ca="1">IFERROR(INDEX(Algorithms!$G:$G,MATCH($C522&amp;"_Therm Saved per Unit",Algorithms!$A:$A,0)),0)</f>
        <v>16.746197539658972</v>
      </c>
      <c r="BK522" s="164"/>
      <c r="BL522" s="266">
        <f t="shared" ref="BL522:BL585" ca="1" si="342">Q522*BJ522*AN522</f>
        <v>0</v>
      </c>
      <c r="BM522" s="264">
        <f t="shared" ref="BM522:BM585" ca="1" si="343">IF(BL522=0,0,BL522-AE522)</f>
        <v>0</v>
      </c>
      <c r="BN522" s="266">
        <f t="shared" ref="BN522:BN585" si="344">IF(K522=1,AS522,AB522)</f>
        <v>0</v>
      </c>
      <c r="BO522" s="266">
        <f t="shared" ref="BO522:BO585" si="345">IF(K522=1,AZ522,AC522)</f>
        <v>0</v>
      </c>
      <c r="BP522" s="266">
        <f t="shared" ref="BP522:BP585" ca="1" si="346">IF(K522=1,BF522,AD522)</f>
        <v>0</v>
      </c>
      <c r="BQ522" s="266">
        <f t="shared" ref="BQ522:BQ585" ca="1" si="347">IF(K522=1,BL522,AE522)</f>
        <v>0</v>
      </c>
      <c r="BR522" s="268">
        <f t="shared" ref="BR522:BR585" ca="1" si="348">BN522+BO522+BP522+BQ522</f>
        <v>0</v>
      </c>
      <c r="BS522" s="262" t="s">
        <v>99</v>
      </c>
      <c r="BT522" s="277"/>
      <c r="BW522" s="266">
        <f t="shared" ref="BW522:BW585" si="349">N522*T522*X522</f>
        <v>0</v>
      </c>
      <c r="BX522" s="266">
        <f t="shared" ref="BX522:BX585" si="350">O522*U522*Y522</f>
        <v>0</v>
      </c>
      <c r="BY522" s="266">
        <f t="shared" ref="BY522:BY585" si="351">P522*V522*Z522</f>
        <v>0</v>
      </c>
      <c r="BZ522" s="266">
        <f t="shared" ref="BZ522:BZ585" si="352">Q522*W522*AA522</f>
        <v>0</v>
      </c>
      <c r="CA522" s="266">
        <f ca="1">N522*IFERROR(INDEX(Algorithms!$G:$G,MATCH($C522&amp;"_Therm Saved per Unit- MLA",Algorithms!$A:$A,0)),0)*X522</f>
        <v>0</v>
      </c>
      <c r="CB522" s="266">
        <f ca="1">O522*IFERROR(INDEX(Algorithms!$G:$G,MATCH($C522&amp;"_Therm Saved per Unit- MLA",Algorithms!$A:$A,0)),0)*Y522</f>
        <v>0</v>
      </c>
      <c r="CC522" s="266">
        <f ca="1">P522*IFERROR(INDEX(Algorithms!$G:$G,MATCH($C522&amp;"_Therm Saved per Unit- MLA",Algorithms!$A:$A,0)),0)*Z522</f>
        <v>0</v>
      </c>
      <c r="CD522" s="266">
        <f ca="1">Q522*IFERROR(INDEX(Algorithms!$G:$G,MATCH($C522&amp;"_Therm Saved per Unit- MLA",Algorithms!$A:$A,0)),0)*AA522</f>
        <v>0</v>
      </c>
      <c r="CE522" s="266">
        <f ca="1">IFERROR(INDEX(Algorithms!$G:$G,MATCH($C522&amp;"_Lifetime (years)",Algorithms!$A:$A,0)),0)</f>
        <v>15</v>
      </c>
      <c r="CF522" s="266">
        <f ca="1">IFERROR(INDEX(Algorithms!$G:$G,MATCH($C522&amp;"_Lifetime (years) - Remaining Years",Algorithms!$A:$A,0)),0)</f>
        <v>0</v>
      </c>
      <c r="CG522" s="266">
        <f t="shared" ref="CG522:CG585" ca="1" si="353">IF($CF522=0,(BW522*$CE522),((BW522*$CF522)+(CA522*($CE522-$CF522))))</f>
        <v>0</v>
      </c>
      <c r="CH522" s="266">
        <f t="shared" ref="CH522:CH585" ca="1" si="354">IF($CF522=0,(BX522*$CE522),((BX522*$CF522)+(CB522*($CE522-$CF522))))</f>
        <v>0</v>
      </c>
      <c r="CI522" s="266">
        <f t="shared" ref="CI522:CI585" ca="1" si="355">IF($CF522=0,(BY522*$CE522),((BY522*$CF522)+(CC522*($CE522-$CF522))))</f>
        <v>0</v>
      </c>
      <c r="CJ522" s="266">
        <f t="shared" ref="CJ522:CJ585" ca="1" si="356">IF($CF522=0,(BZ522*$CE522),((BZ522*$CF522)+(CD522*($CE522-$CF522))))</f>
        <v>0</v>
      </c>
      <c r="CK522" s="266">
        <f t="shared" ref="CK522:CK585" si="357">N522*AQ522*X522</f>
        <v>0</v>
      </c>
      <c r="CL522" s="266">
        <f t="shared" ref="CL522:CL585" si="358">O522*AW522*Y522</f>
        <v>0</v>
      </c>
      <c r="CM522" s="266">
        <f t="shared" ref="CM522:CM585" ca="1" si="359">P522*BD522*Z522</f>
        <v>0</v>
      </c>
      <c r="CN522" s="266">
        <f t="shared" ref="CN522:CN585" ca="1" si="360">Q522*BJ522*AA522</f>
        <v>0</v>
      </c>
      <c r="CO522" s="266">
        <f ca="1">N522*IFERROR(INDEX(Algorithms!$G:$G,MATCH($C522&amp;"_Therm Saved per Unit- MLA",Algorithms!$A:$A,0)),0)*X522</f>
        <v>0</v>
      </c>
      <c r="CP522" s="266">
        <f ca="1">O522*IFERROR(INDEX(Algorithms!$G:$G,MATCH($C522&amp;"_Therm Saved per Unit- MLA",Algorithms!$A:$A,0)),0)*Y522</f>
        <v>0</v>
      </c>
      <c r="CQ522" s="266">
        <f ca="1">P522*IFERROR(INDEX(Algorithms!$G:$G,MATCH($C522&amp;"_Therm Saved per Unit- MLA",Algorithms!$A:$A,0)),0)*Z522</f>
        <v>0</v>
      </c>
      <c r="CR522" s="266">
        <f ca="1">Q522*IFERROR(INDEX(Algorithms!$G:$G,MATCH($C522&amp;"_Therm Saved per Unit- MLA",Algorithms!$A:$A,0)),0)*AA522</f>
        <v>0</v>
      </c>
      <c r="CS522" s="266">
        <f ca="1">IFERROR(INDEX(Algorithms!$G:$G,MATCH($C522&amp;"_Lifetime (years)",Algorithms!$A:$A,0)),0)</f>
        <v>15</v>
      </c>
      <c r="CT522" s="266">
        <f ca="1">IFERROR(INDEX(Algorithms!$G:$G,MATCH($C522&amp;"_Lifetime (years) - Remaining Years",Algorithms!$A:$A,0)),0)</f>
        <v>0</v>
      </c>
      <c r="CU522" s="266">
        <f t="shared" ref="CU522:CU585" ca="1" si="361">IF($CT522=0,(CK522*$CS522),((CK522*$CT522)+(CO522*($CS522-$CT522))))</f>
        <v>0</v>
      </c>
      <c r="CV522" s="266">
        <f t="shared" ref="CV522:CV585" ca="1" si="362">IF($CT522=0,(CL522*$CS522),((CL522*$CT522)+(CP522*($CS522-$CT522))))</f>
        <v>0</v>
      </c>
      <c r="CW522" s="266">
        <f t="shared" ref="CW522:CW585" ca="1" si="363">IF($CT522=0,(CM522*$CS522),((CM522*$CT522)+(CQ522*($CS522-$CT522))))</f>
        <v>0</v>
      </c>
      <c r="CX522" s="266">
        <f t="shared" ref="CX522:CX585" ca="1" si="364">IF($CT522=0,(CN522*$CS522),((CN522*$CT522)+(CR522*($CS522-$CT522))))</f>
        <v>0</v>
      </c>
    </row>
    <row r="523" spans="2:102" s="47" customFormat="1" ht="18" customHeight="1" x14ac:dyDescent="0.25">
      <c r="B523" t="str">
        <f t="shared" ref="B523:B586" si="365">D523&amp;"_"&amp;E523&amp;"_"&amp;F523&amp;"_"&amp;G523&amp;"_"&amp;H523&amp;"_"&amp;I523&amp;"_"&amp;J523</f>
        <v>NSG_Income Eligible_Multi-Family_Partner Trade Ally Rebate_DHW Storage Tank Insulation_0_MF/CI/SMB</v>
      </c>
      <c r="C523" s="47" t="str">
        <f t="shared" si="326"/>
        <v>DHW Storage Tank Insulation_0_MF/CI/SMB</v>
      </c>
      <c r="D523" s="270" t="s">
        <v>1787</v>
      </c>
      <c r="E523" s="270" t="s">
        <v>325</v>
      </c>
      <c r="F523" s="270" t="s">
        <v>1422</v>
      </c>
      <c r="G523" s="270" t="s">
        <v>1799</v>
      </c>
      <c r="H523" s="270" t="s">
        <v>832</v>
      </c>
      <c r="I523" s="270">
        <v>0</v>
      </c>
      <c r="J523" s="270" t="s">
        <v>662</v>
      </c>
      <c r="K523" s="263">
        <v>1</v>
      </c>
      <c r="L523" s="263" t="str">
        <f ca="1">IFERROR(INDEX(Algorithms!J:J,MATCH($C523&amp;"_Therm Saved per Unit",Algorithms!$A:$A,0)),"n/a")</f>
        <v>4.3.12</v>
      </c>
      <c r="M523" s="263" t="str">
        <f>IFERROR(INDEX('Measure Level Detail'!$N:$N,MATCH($B523,'Measure Level Detail'!$B:$B,0)),0)</f>
        <v>each</v>
      </c>
      <c r="N523" s="271">
        <f>IFERROR(INDEX('Measure Level Detail'!$P:$P,MATCH($B523&amp;"_"&amp;N$3,'Measure Level Detail'!$C:$C,0)),0)</f>
        <v>0</v>
      </c>
      <c r="O523" s="271">
        <f>IFERROR(INDEX('Measure Level Detail'!$P:$P,MATCH($B523&amp;"_"&amp;O$3,'Measure Level Detail'!$C:$C,0)),0)</f>
        <v>0</v>
      </c>
      <c r="P523" s="271">
        <f>IFERROR(INDEX('Measure Level Detail'!$P:$P,MATCH($B523&amp;"_"&amp;P$3,'Measure Level Detail'!$C:$C,0)),0)</f>
        <v>0</v>
      </c>
      <c r="Q523" s="271">
        <f>IFERROR(INDEX('Measure Level Detail'!$P:$P,MATCH($B523&amp;"_"&amp;Q$3,'Measure Level Detail'!$C:$C,0)),0)</f>
        <v>0</v>
      </c>
      <c r="R523" s="263" t="str">
        <f ca="1">IFERROR(INDEX(Algorithms!K:K,MATCH($C523&amp;"_Therm Saved per Unit",Algorithms!$A:$A,0)),"n/a")</f>
        <v>CI-HWE-TKIN-V03-240101</v>
      </c>
      <c r="S523" s="262"/>
      <c r="T523" s="272">
        <v>6.9553729140568805</v>
      </c>
      <c r="U523" s="272">
        <v>6.9553729140568805</v>
      </c>
      <c r="V523" s="272">
        <v>6.9553729140568805</v>
      </c>
      <c r="W523" s="272">
        <v>6.9553729140568805</v>
      </c>
      <c r="X523" s="273">
        <f>IFERROR(INDEX('Measure Level Detail'!$R:$R,MATCH($B523&amp;"_"&amp;X$3,'Measure Level Detail'!$C:$C,0)),0)</f>
        <v>1</v>
      </c>
      <c r="Y523" s="273">
        <f>IFERROR(INDEX('Measure Level Detail'!$R:$R,MATCH($B523&amp;"_"&amp;Y$3,'Measure Level Detail'!$C:$C,0)),0)</f>
        <v>1</v>
      </c>
      <c r="Z523" s="273">
        <f>IFERROR(INDEX('Measure Level Detail'!$R:$R,MATCH($B523&amp;"_"&amp;Z$3,'Measure Level Detail'!$C:$C,0)),0)</f>
        <v>1</v>
      </c>
      <c r="AA523" s="273">
        <f>IFERROR(INDEX('Measure Level Detail'!$R:$R,MATCH($B523&amp;"_"&amp;AA$3,'Measure Level Detail'!$C:$C,0)),0)</f>
        <v>1</v>
      </c>
      <c r="AB523" s="266">
        <f t="shared" si="327"/>
        <v>0</v>
      </c>
      <c r="AC523" s="266">
        <f t="shared" si="328"/>
        <v>0</v>
      </c>
      <c r="AD523" s="266">
        <f t="shared" si="329"/>
        <v>0</v>
      </c>
      <c r="AE523" s="266">
        <f t="shared" si="330"/>
        <v>0</v>
      </c>
      <c r="AF523" s="266">
        <f t="shared" si="331"/>
        <v>0</v>
      </c>
      <c r="AG523" s="274">
        <v>1</v>
      </c>
      <c r="AH523" s="274">
        <v>1</v>
      </c>
      <c r="AI523" s="274">
        <v>1</v>
      </c>
      <c r="AJ523" s="274">
        <v>1</v>
      </c>
      <c r="AK523" s="274">
        <f t="shared" si="332"/>
        <v>1</v>
      </c>
      <c r="AL523" s="274">
        <f t="shared" si="333"/>
        <v>1</v>
      </c>
      <c r="AM523" s="274">
        <f t="shared" si="334"/>
        <v>1</v>
      </c>
      <c r="AN523" s="274">
        <f t="shared" si="335"/>
        <v>1</v>
      </c>
      <c r="AO523" s="262"/>
      <c r="AP523" s="262"/>
      <c r="AQ523" s="267">
        <v>9.7375220796796338</v>
      </c>
      <c r="AR523" s="262"/>
      <c r="AS523" s="266">
        <f t="shared" si="336"/>
        <v>0</v>
      </c>
      <c r="AT523" s="264">
        <f t="shared" si="337"/>
        <v>0</v>
      </c>
      <c r="AU523" s="262"/>
      <c r="AV523" s="262"/>
      <c r="AW523" s="265">
        <v>9.7375220796796338</v>
      </c>
      <c r="AX523" s="164" t="s">
        <v>1469</v>
      </c>
      <c r="AY523" s="266">
        <v>0</v>
      </c>
      <c r="AZ523" s="266">
        <f t="shared" si="338"/>
        <v>0</v>
      </c>
      <c r="BA523" s="264">
        <f t="shared" si="339"/>
        <v>0</v>
      </c>
      <c r="BB523" s="262"/>
      <c r="BC523" s="262"/>
      <c r="BD523" s="265">
        <f ca="1">IFERROR(INDEX(Algorithms!$G:$G,MATCH($C523&amp;"_Therm Saved per Unit",Algorithms!$A:$A,0)),0)</f>
        <v>9.7375220796796338</v>
      </c>
      <c r="BE523" s="164" t="str">
        <f ca="1">IFERROR(INDEX('v12 Revisions'!$P$29:$P$186, MATCH('Measure-Level Adj Gas'!$L523, 'v12 Revisions'!$D$29:$D$186,0)),"")</f>
        <v/>
      </c>
      <c r="BF523" s="266">
        <f t="shared" ca="1" si="340"/>
        <v>0</v>
      </c>
      <c r="BG523" s="264">
        <f t="shared" ca="1" si="341"/>
        <v>0</v>
      </c>
      <c r="BH523" s="262"/>
      <c r="BI523" s="262"/>
      <c r="BJ523" s="265">
        <f ca="1">IFERROR(INDEX(Algorithms!$G:$G,MATCH($C523&amp;"_Therm Saved per Unit",Algorithms!$A:$A,0)),0)</f>
        <v>9.7375220796796338</v>
      </c>
      <c r="BK523" s="164"/>
      <c r="BL523" s="266">
        <f t="shared" ca="1" si="342"/>
        <v>0</v>
      </c>
      <c r="BM523" s="264">
        <f t="shared" ca="1" si="343"/>
        <v>0</v>
      </c>
      <c r="BN523" s="266">
        <f t="shared" si="344"/>
        <v>0</v>
      </c>
      <c r="BO523" s="266">
        <f t="shared" si="345"/>
        <v>0</v>
      </c>
      <c r="BP523" s="266">
        <f t="shared" ca="1" si="346"/>
        <v>0</v>
      </c>
      <c r="BQ523" s="266">
        <f t="shared" ca="1" si="347"/>
        <v>0</v>
      </c>
      <c r="BR523" s="268">
        <f t="shared" ca="1" si="348"/>
        <v>0</v>
      </c>
      <c r="BS523" s="262" t="s">
        <v>99</v>
      </c>
      <c r="BT523" s="277"/>
      <c r="BW523" s="266">
        <f t="shared" si="349"/>
        <v>0</v>
      </c>
      <c r="BX523" s="266">
        <f t="shared" si="350"/>
        <v>0</v>
      </c>
      <c r="BY523" s="266">
        <f t="shared" si="351"/>
        <v>0</v>
      </c>
      <c r="BZ523" s="266">
        <f t="shared" si="352"/>
        <v>0</v>
      </c>
      <c r="CA523" s="266">
        <f ca="1">N523*IFERROR(INDEX(Algorithms!$G:$G,MATCH($C523&amp;"_Therm Saved per Unit- MLA",Algorithms!$A:$A,0)),0)*X523</f>
        <v>0</v>
      </c>
      <c r="CB523" s="266">
        <f ca="1">O523*IFERROR(INDEX(Algorithms!$G:$G,MATCH($C523&amp;"_Therm Saved per Unit- MLA",Algorithms!$A:$A,0)),0)*Y523</f>
        <v>0</v>
      </c>
      <c r="CC523" s="266">
        <f ca="1">P523*IFERROR(INDEX(Algorithms!$G:$G,MATCH($C523&amp;"_Therm Saved per Unit- MLA",Algorithms!$A:$A,0)),0)*Z523</f>
        <v>0</v>
      </c>
      <c r="CD523" s="266">
        <f ca="1">Q523*IFERROR(INDEX(Algorithms!$G:$G,MATCH($C523&amp;"_Therm Saved per Unit- MLA",Algorithms!$A:$A,0)),0)*AA523</f>
        <v>0</v>
      </c>
      <c r="CE523" s="266">
        <f ca="1">IFERROR(INDEX(Algorithms!$G:$G,MATCH($C523&amp;"_Lifetime (years)",Algorithms!$A:$A,0)),0)</f>
        <v>15</v>
      </c>
      <c r="CF523" s="266">
        <f ca="1">IFERROR(INDEX(Algorithms!$G:$G,MATCH($C523&amp;"_Lifetime (years) - Remaining Years",Algorithms!$A:$A,0)),0)</f>
        <v>0</v>
      </c>
      <c r="CG523" s="266">
        <f t="shared" ca="1" si="353"/>
        <v>0</v>
      </c>
      <c r="CH523" s="266">
        <f t="shared" ca="1" si="354"/>
        <v>0</v>
      </c>
      <c r="CI523" s="266">
        <f t="shared" ca="1" si="355"/>
        <v>0</v>
      </c>
      <c r="CJ523" s="266">
        <f t="shared" ca="1" si="356"/>
        <v>0</v>
      </c>
      <c r="CK523" s="266">
        <f t="shared" si="357"/>
        <v>0</v>
      </c>
      <c r="CL523" s="266">
        <f t="shared" si="358"/>
        <v>0</v>
      </c>
      <c r="CM523" s="266">
        <f t="shared" ca="1" si="359"/>
        <v>0</v>
      </c>
      <c r="CN523" s="266">
        <f t="shared" ca="1" si="360"/>
        <v>0</v>
      </c>
      <c r="CO523" s="266">
        <f ca="1">N523*IFERROR(INDEX(Algorithms!$G:$G,MATCH($C523&amp;"_Therm Saved per Unit- MLA",Algorithms!$A:$A,0)),0)*X523</f>
        <v>0</v>
      </c>
      <c r="CP523" s="266">
        <f ca="1">O523*IFERROR(INDEX(Algorithms!$G:$G,MATCH($C523&amp;"_Therm Saved per Unit- MLA",Algorithms!$A:$A,0)),0)*Y523</f>
        <v>0</v>
      </c>
      <c r="CQ523" s="266">
        <f ca="1">P523*IFERROR(INDEX(Algorithms!$G:$G,MATCH($C523&amp;"_Therm Saved per Unit- MLA",Algorithms!$A:$A,0)),0)*Z523</f>
        <v>0</v>
      </c>
      <c r="CR523" s="266">
        <f ca="1">Q523*IFERROR(INDEX(Algorithms!$G:$G,MATCH($C523&amp;"_Therm Saved per Unit- MLA",Algorithms!$A:$A,0)),0)*AA523</f>
        <v>0</v>
      </c>
      <c r="CS523" s="266">
        <f ca="1">IFERROR(INDEX(Algorithms!$G:$G,MATCH($C523&amp;"_Lifetime (years)",Algorithms!$A:$A,0)),0)</f>
        <v>15</v>
      </c>
      <c r="CT523" s="266">
        <f ca="1">IFERROR(INDEX(Algorithms!$G:$G,MATCH($C523&amp;"_Lifetime (years) - Remaining Years",Algorithms!$A:$A,0)),0)</f>
        <v>0</v>
      </c>
      <c r="CU523" s="266">
        <f t="shared" ca="1" si="361"/>
        <v>0</v>
      </c>
      <c r="CV523" s="266">
        <f t="shared" ca="1" si="362"/>
        <v>0</v>
      </c>
      <c r="CW523" s="266">
        <f t="shared" ca="1" si="363"/>
        <v>0</v>
      </c>
      <c r="CX523" s="266">
        <f t="shared" ca="1" si="364"/>
        <v>0</v>
      </c>
    </row>
    <row r="524" spans="2:102" s="47" customFormat="1" ht="18" customHeight="1" x14ac:dyDescent="0.25">
      <c r="B524" t="str">
        <f t="shared" si="365"/>
        <v>NSG_Income Eligible_Multi-Family_Partner Trade Ally Rebate_Steam Boiler Averaging Controls_0_MF</v>
      </c>
      <c r="C524" s="47" t="str">
        <f t="shared" si="326"/>
        <v>Steam Boiler Averaging Controls_0_MF</v>
      </c>
      <c r="D524" s="270" t="s">
        <v>1787</v>
      </c>
      <c r="E524" s="270" t="s">
        <v>325</v>
      </c>
      <c r="F524" s="270" t="s">
        <v>1422</v>
      </c>
      <c r="G524" s="270" t="s">
        <v>1799</v>
      </c>
      <c r="H524" s="270" t="s">
        <v>934</v>
      </c>
      <c r="I524" s="270">
        <v>0</v>
      </c>
      <c r="J524" s="270" t="s">
        <v>553</v>
      </c>
      <c r="K524" s="263">
        <v>1</v>
      </c>
      <c r="L524" s="263" t="str">
        <f ca="1">IFERROR(INDEX(Algorithms!J:J,MATCH($C524&amp;"_Therm Saved per Unit",Algorithms!$A:$A,0)),"n/a")</f>
        <v>4.4.36</v>
      </c>
      <c r="M524" s="263" t="str">
        <f>IFERROR(INDEX('Measure Level Detail'!$N:$N,MATCH($B524,'Measure Level Detail'!$B:$B,0)),0)</f>
        <v>each</v>
      </c>
      <c r="N524" s="271">
        <f>IFERROR(INDEX('Measure Level Detail'!$P:$P,MATCH($B524&amp;"_"&amp;N$3,'Measure Level Detail'!$C:$C,0)),0)</f>
        <v>0</v>
      </c>
      <c r="O524" s="271">
        <f>IFERROR(INDEX('Measure Level Detail'!$P:$P,MATCH($B524&amp;"_"&amp;O$3,'Measure Level Detail'!$C:$C,0)),0)</f>
        <v>0</v>
      </c>
      <c r="P524" s="271">
        <f>IFERROR(INDEX('Measure Level Detail'!$P:$P,MATCH($B524&amp;"_"&amp;P$3,'Measure Level Detail'!$C:$C,0)),0)</f>
        <v>0</v>
      </c>
      <c r="Q524" s="271">
        <f>IFERROR(INDEX('Measure Level Detail'!$P:$P,MATCH($B524&amp;"_"&amp;Q$3,'Measure Level Detail'!$C:$C,0)),0)</f>
        <v>0</v>
      </c>
      <c r="R524" s="263" t="str">
        <f ca="1">IFERROR(INDEX(Algorithms!K:K,MATCH($C524&amp;"_Therm Saved per Unit",Algorithms!$A:$A,0)),"n/a")</f>
        <v>CI-HVC-SBAC-V03-230101</v>
      </c>
      <c r="S524" s="262"/>
      <c r="T524" s="272">
        <v>83.05</v>
      </c>
      <c r="U524" s="272">
        <v>83.05</v>
      </c>
      <c r="V524" s="272">
        <v>83.05</v>
      </c>
      <c r="W524" s="272">
        <v>83.05</v>
      </c>
      <c r="X524" s="273">
        <f>IFERROR(INDEX('Measure Level Detail'!$R:$R,MATCH($B524&amp;"_"&amp;X$3,'Measure Level Detail'!$C:$C,0)),0)</f>
        <v>1</v>
      </c>
      <c r="Y524" s="273">
        <f>IFERROR(INDEX('Measure Level Detail'!$R:$R,MATCH($B524&amp;"_"&amp;Y$3,'Measure Level Detail'!$C:$C,0)),0)</f>
        <v>1</v>
      </c>
      <c r="Z524" s="273">
        <f>IFERROR(INDEX('Measure Level Detail'!$R:$R,MATCH($B524&amp;"_"&amp;Z$3,'Measure Level Detail'!$C:$C,0)),0)</f>
        <v>1</v>
      </c>
      <c r="AA524" s="273">
        <f>IFERROR(INDEX('Measure Level Detail'!$R:$R,MATCH($B524&amp;"_"&amp;AA$3,'Measure Level Detail'!$C:$C,0)),0)</f>
        <v>1</v>
      </c>
      <c r="AB524" s="266">
        <f t="shared" si="327"/>
        <v>0</v>
      </c>
      <c r="AC524" s="266">
        <f t="shared" si="328"/>
        <v>0</v>
      </c>
      <c r="AD524" s="266">
        <f t="shared" si="329"/>
        <v>0</v>
      </c>
      <c r="AE524" s="266">
        <f t="shared" si="330"/>
        <v>0</v>
      </c>
      <c r="AF524" s="266">
        <f t="shared" si="331"/>
        <v>0</v>
      </c>
      <c r="AG524" s="274">
        <v>1</v>
      </c>
      <c r="AH524" s="274">
        <v>1</v>
      </c>
      <c r="AI524" s="274">
        <v>1</v>
      </c>
      <c r="AJ524" s="274">
        <v>1</v>
      </c>
      <c r="AK524" s="274">
        <f t="shared" si="332"/>
        <v>1</v>
      </c>
      <c r="AL524" s="274">
        <f t="shared" si="333"/>
        <v>1</v>
      </c>
      <c r="AM524" s="274">
        <f t="shared" si="334"/>
        <v>1</v>
      </c>
      <c r="AN524" s="274">
        <f t="shared" si="335"/>
        <v>1</v>
      </c>
      <c r="AO524" s="262"/>
      <c r="AP524" s="262"/>
      <c r="AQ524" s="267">
        <v>83.05</v>
      </c>
      <c r="AR524" s="262"/>
      <c r="AS524" s="266">
        <f t="shared" si="336"/>
        <v>0</v>
      </c>
      <c r="AT524" s="264">
        <f t="shared" si="337"/>
        <v>0</v>
      </c>
      <c r="AU524" s="262"/>
      <c r="AV524" s="262"/>
      <c r="AW524" s="265">
        <v>83.05</v>
      </c>
      <c r="AX524" s="164" t="s">
        <v>1469</v>
      </c>
      <c r="AY524" s="266">
        <v>0</v>
      </c>
      <c r="AZ524" s="266">
        <f t="shared" si="338"/>
        <v>0</v>
      </c>
      <c r="BA524" s="264">
        <f t="shared" si="339"/>
        <v>0</v>
      </c>
      <c r="BB524" s="262"/>
      <c r="BC524" s="262"/>
      <c r="BD524" s="265">
        <f ca="1">IFERROR(INDEX(Algorithms!$G:$G,MATCH($C524&amp;"_Therm Saved per Unit",Algorithms!$A:$A,0)),0)</f>
        <v>83.05</v>
      </c>
      <c r="BE524" s="164" t="str">
        <f ca="1">IFERROR(INDEX('v12 Revisions'!$P$29:$P$186, MATCH('Measure-Level Adj Gas'!$L524, 'v12 Revisions'!$D$29:$D$186,0)),"")</f>
        <v/>
      </c>
      <c r="BF524" s="266">
        <f t="shared" ca="1" si="340"/>
        <v>0</v>
      </c>
      <c r="BG524" s="264">
        <f t="shared" ca="1" si="341"/>
        <v>0</v>
      </c>
      <c r="BH524" s="262"/>
      <c r="BI524" s="262"/>
      <c r="BJ524" s="265">
        <f ca="1">IFERROR(INDEX(Algorithms!$G:$G,MATCH($C524&amp;"_Therm Saved per Unit",Algorithms!$A:$A,0)),0)</f>
        <v>83.05</v>
      </c>
      <c r="BK524" s="164"/>
      <c r="BL524" s="266">
        <f t="shared" ca="1" si="342"/>
        <v>0</v>
      </c>
      <c r="BM524" s="264">
        <f t="shared" ca="1" si="343"/>
        <v>0</v>
      </c>
      <c r="BN524" s="266">
        <f t="shared" si="344"/>
        <v>0</v>
      </c>
      <c r="BO524" s="266">
        <f t="shared" si="345"/>
        <v>0</v>
      </c>
      <c r="BP524" s="266">
        <f t="shared" ca="1" si="346"/>
        <v>0</v>
      </c>
      <c r="BQ524" s="266">
        <f t="shared" ca="1" si="347"/>
        <v>0</v>
      </c>
      <c r="BR524" s="268">
        <f t="shared" ca="1" si="348"/>
        <v>0</v>
      </c>
      <c r="BS524" s="262" t="s">
        <v>99</v>
      </c>
      <c r="BT524" s="277"/>
      <c r="BW524" s="266">
        <f t="shared" si="349"/>
        <v>0</v>
      </c>
      <c r="BX524" s="266">
        <f t="shared" si="350"/>
        <v>0</v>
      </c>
      <c r="BY524" s="266">
        <f t="shared" si="351"/>
        <v>0</v>
      </c>
      <c r="BZ524" s="266">
        <f t="shared" si="352"/>
        <v>0</v>
      </c>
      <c r="CA524" s="266">
        <f ca="1">N524*IFERROR(INDEX(Algorithms!$G:$G,MATCH($C524&amp;"_Therm Saved per Unit- MLA",Algorithms!$A:$A,0)),0)*X524</f>
        <v>0</v>
      </c>
      <c r="CB524" s="266">
        <f ca="1">O524*IFERROR(INDEX(Algorithms!$G:$G,MATCH($C524&amp;"_Therm Saved per Unit- MLA",Algorithms!$A:$A,0)),0)*Y524</f>
        <v>0</v>
      </c>
      <c r="CC524" s="266">
        <f ca="1">P524*IFERROR(INDEX(Algorithms!$G:$G,MATCH($C524&amp;"_Therm Saved per Unit- MLA",Algorithms!$A:$A,0)),0)*Z524</f>
        <v>0</v>
      </c>
      <c r="CD524" s="266">
        <f ca="1">Q524*IFERROR(INDEX(Algorithms!$G:$G,MATCH($C524&amp;"_Therm Saved per Unit- MLA",Algorithms!$A:$A,0)),0)*AA524</f>
        <v>0</v>
      </c>
      <c r="CE524" s="266">
        <f ca="1">IFERROR(INDEX(Algorithms!$G:$G,MATCH($C524&amp;"_Lifetime (years)",Algorithms!$A:$A,0)),0)</f>
        <v>20</v>
      </c>
      <c r="CF524" s="266">
        <f ca="1">IFERROR(INDEX(Algorithms!$G:$G,MATCH($C524&amp;"_Lifetime (years) - Remaining Years",Algorithms!$A:$A,0)),0)</f>
        <v>0</v>
      </c>
      <c r="CG524" s="266">
        <f t="shared" ca="1" si="353"/>
        <v>0</v>
      </c>
      <c r="CH524" s="266">
        <f t="shared" ca="1" si="354"/>
        <v>0</v>
      </c>
      <c r="CI524" s="266">
        <f t="shared" ca="1" si="355"/>
        <v>0</v>
      </c>
      <c r="CJ524" s="266">
        <f t="shared" ca="1" si="356"/>
        <v>0</v>
      </c>
      <c r="CK524" s="266">
        <f t="shared" si="357"/>
        <v>0</v>
      </c>
      <c r="CL524" s="266">
        <f t="shared" si="358"/>
        <v>0</v>
      </c>
      <c r="CM524" s="266">
        <f t="shared" ca="1" si="359"/>
        <v>0</v>
      </c>
      <c r="CN524" s="266">
        <f t="shared" ca="1" si="360"/>
        <v>0</v>
      </c>
      <c r="CO524" s="266">
        <f ca="1">N524*IFERROR(INDEX(Algorithms!$G:$G,MATCH($C524&amp;"_Therm Saved per Unit- MLA",Algorithms!$A:$A,0)),0)*X524</f>
        <v>0</v>
      </c>
      <c r="CP524" s="266">
        <f ca="1">O524*IFERROR(INDEX(Algorithms!$G:$G,MATCH($C524&amp;"_Therm Saved per Unit- MLA",Algorithms!$A:$A,0)),0)*Y524</f>
        <v>0</v>
      </c>
      <c r="CQ524" s="266">
        <f ca="1">P524*IFERROR(INDEX(Algorithms!$G:$G,MATCH($C524&amp;"_Therm Saved per Unit- MLA",Algorithms!$A:$A,0)),0)*Z524</f>
        <v>0</v>
      </c>
      <c r="CR524" s="266">
        <f ca="1">Q524*IFERROR(INDEX(Algorithms!$G:$G,MATCH($C524&amp;"_Therm Saved per Unit- MLA",Algorithms!$A:$A,0)),0)*AA524</f>
        <v>0</v>
      </c>
      <c r="CS524" s="266">
        <f ca="1">IFERROR(INDEX(Algorithms!$G:$G,MATCH($C524&amp;"_Lifetime (years)",Algorithms!$A:$A,0)),0)</f>
        <v>20</v>
      </c>
      <c r="CT524" s="266">
        <f ca="1">IFERROR(INDEX(Algorithms!$G:$G,MATCH($C524&amp;"_Lifetime (years) - Remaining Years",Algorithms!$A:$A,0)),0)</f>
        <v>0</v>
      </c>
      <c r="CU524" s="266">
        <f t="shared" ca="1" si="361"/>
        <v>0</v>
      </c>
      <c r="CV524" s="266">
        <f t="shared" ca="1" si="362"/>
        <v>0</v>
      </c>
      <c r="CW524" s="266">
        <f t="shared" ca="1" si="363"/>
        <v>0</v>
      </c>
      <c r="CX524" s="266">
        <f t="shared" ca="1" si="364"/>
        <v>0</v>
      </c>
    </row>
    <row r="525" spans="2:102" s="47" customFormat="1" ht="18" customHeight="1" x14ac:dyDescent="0.25">
      <c r="B525" t="str">
        <f t="shared" si="365"/>
        <v>NSG_Income Eligible_Multi-Family_Partner Trade Ally Rebate_Boiler Reset Controls_0_MF</v>
      </c>
      <c r="C525" s="47" t="str">
        <f t="shared" si="326"/>
        <v>Boiler Reset Controls_0_MF</v>
      </c>
      <c r="D525" s="270" t="s">
        <v>1787</v>
      </c>
      <c r="E525" s="270" t="s">
        <v>325</v>
      </c>
      <c r="F525" s="270" t="s">
        <v>1422</v>
      </c>
      <c r="G525" s="270" t="s">
        <v>1799</v>
      </c>
      <c r="H525" s="270" t="s">
        <v>978</v>
      </c>
      <c r="I525" s="270">
        <v>0</v>
      </c>
      <c r="J525" s="270" t="s">
        <v>553</v>
      </c>
      <c r="K525" s="263">
        <v>1</v>
      </c>
      <c r="L525" s="263" t="str">
        <f ca="1">IFERROR(INDEX(Algorithms!J:J,MATCH($C525&amp;"_Therm Saved per Unit",Algorithms!$A:$A,0)),"n/a")</f>
        <v>4.4.4</v>
      </c>
      <c r="M525" s="263" t="str">
        <f>IFERROR(INDEX('Measure Level Detail'!$N:$N,MATCH($B525,'Measure Level Detail'!$B:$B,0)),0)</f>
        <v>each</v>
      </c>
      <c r="N525" s="271">
        <f>IFERROR(INDEX('Measure Level Detail'!$P:$P,MATCH($B525&amp;"_"&amp;N$3,'Measure Level Detail'!$C:$C,0)),0)</f>
        <v>0</v>
      </c>
      <c r="O525" s="271">
        <f>IFERROR(INDEX('Measure Level Detail'!$P:$P,MATCH($B525&amp;"_"&amp;O$3,'Measure Level Detail'!$C:$C,0)),0)</f>
        <v>0</v>
      </c>
      <c r="P525" s="271">
        <f>IFERROR(INDEX('Measure Level Detail'!$P:$P,MATCH($B525&amp;"_"&amp;P$3,'Measure Level Detail'!$C:$C,0)),0)</f>
        <v>0</v>
      </c>
      <c r="Q525" s="271">
        <f>IFERROR(INDEX('Measure Level Detail'!$P:$P,MATCH($B525&amp;"_"&amp;Q$3,'Measure Level Detail'!$C:$C,0)),0)</f>
        <v>0</v>
      </c>
      <c r="R525" s="263" t="str">
        <f ca="1">IFERROR(INDEX(Algorithms!K:K,MATCH($C525&amp;"_Therm Saved per Unit",Algorithms!$A:$A,0)),"n/a")</f>
        <v>CI-HVC-BLRC-V05-240101</v>
      </c>
      <c r="S525" s="262"/>
      <c r="T525" s="272">
        <v>1.3288</v>
      </c>
      <c r="U525" s="272">
        <v>1.3288</v>
      </c>
      <c r="V525" s="272">
        <v>1.3288</v>
      </c>
      <c r="W525" s="272">
        <v>1.3288</v>
      </c>
      <c r="X525" s="273">
        <f>IFERROR(INDEX('Measure Level Detail'!$R:$R,MATCH($B525&amp;"_"&amp;X$3,'Measure Level Detail'!$C:$C,0)),0)</f>
        <v>1</v>
      </c>
      <c r="Y525" s="273">
        <f>IFERROR(INDEX('Measure Level Detail'!$R:$R,MATCH($B525&amp;"_"&amp;Y$3,'Measure Level Detail'!$C:$C,0)),0)</f>
        <v>1</v>
      </c>
      <c r="Z525" s="273">
        <f>IFERROR(INDEX('Measure Level Detail'!$R:$R,MATCH($B525&amp;"_"&amp;Z$3,'Measure Level Detail'!$C:$C,0)),0)</f>
        <v>1</v>
      </c>
      <c r="AA525" s="273">
        <f>IFERROR(INDEX('Measure Level Detail'!$R:$R,MATCH($B525&amp;"_"&amp;AA$3,'Measure Level Detail'!$C:$C,0)),0)</f>
        <v>1</v>
      </c>
      <c r="AB525" s="266">
        <f t="shared" si="327"/>
        <v>0</v>
      </c>
      <c r="AC525" s="266">
        <f t="shared" si="328"/>
        <v>0</v>
      </c>
      <c r="AD525" s="266">
        <f t="shared" si="329"/>
        <v>0</v>
      </c>
      <c r="AE525" s="266">
        <f t="shared" si="330"/>
        <v>0</v>
      </c>
      <c r="AF525" s="266">
        <f t="shared" si="331"/>
        <v>0</v>
      </c>
      <c r="AG525" s="274">
        <v>1</v>
      </c>
      <c r="AH525" s="274">
        <v>1</v>
      </c>
      <c r="AI525" s="274">
        <v>1</v>
      </c>
      <c r="AJ525" s="274">
        <v>1</v>
      </c>
      <c r="AK525" s="274">
        <f t="shared" si="332"/>
        <v>1</v>
      </c>
      <c r="AL525" s="274">
        <f t="shared" si="333"/>
        <v>1</v>
      </c>
      <c r="AM525" s="274">
        <f t="shared" si="334"/>
        <v>1</v>
      </c>
      <c r="AN525" s="274">
        <f t="shared" si="335"/>
        <v>1</v>
      </c>
      <c r="AO525" s="262"/>
      <c r="AP525" s="262"/>
      <c r="AQ525" s="267">
        <v>1.3288</v>
      </c>
      <c r="AR525" s="262"/>
      <c r="AS525" s="266">
        <f t="shared" si="336"/>
        <v>0</v>
      </c>
      <c r="AT525" s="264">
        <f t="shared" si="337"/>
        <v>0</v>
      </c>
      <c r="AU525" s="262"/>
      <c r="AV525" s="262"/>
      <c r="AW525" s="265">
        <v>1.3288</v>
      </c>
      <c r="AX525" s="164" t="s">
        <v>1469</v>
      </c>
      <c r="AY525" s="266">
        <v>0</v>
      </c>
      <c r="AZ525" s="266">
        <f t="shared" si="338"/>
        <v>0</v>
      </c>
      <c r="BA525" s="264">
        <f t="shared" si="339"/>
        <v>0</v>
      </c>
      <c r="BB525" s="262"/>
      <c r="BC525" s="262"/>
      <c r="BD525" s="265">
        <f ca="1">IFERROR(INDEX(Algorithms!$G:$G,MATCH($C525&amp;"_Therm Saved per Unit",Algorithms!$A:$A,0)),0)</f>
        <v>1.3288</v>
      </c>
      <c r="BE525" s="164" t="str">
        <f ca="1">IFERROR(INDEX('v12 Revisions'!$P$29:$P$186, MATCH('Measure-Level Adj Gas'!$L525, 'v12 Revisions'!$D$29:$D$186,0)),"")</f>
        <v/>
      </c>
      <c r="BF525" s="266">
        <f t="shared" ca="1" si="340"/>
        <v>0</v>
      </c>
      <c r="BG525" s="264">
        <f t="shared" ca="1" si="341"/>
        <v>0</v>
      </c>
      <c r="BH525" s="262"/>
      <c r="BI525" s="262"/>
      <c r="BJ525" s="265">
        <f ca="1">IFERROR(INDEX(Algorithms!$G:$G,MATCH($C525&amp;"_Therm Saved per Unit",Algorithms!$A:$A,0)),0)</f>
        <v>1.3288</v>
      </c>
      <c r="BK525" s="164"/>
      <c r="BL525" s="266">
        <f t="shared" ca="1" si="342"/>
        <v>0</v>
      </c>
      <c r="BM525" s="264">
        <f t="shared" ca="1" si="343"/>
        <v>0</v>
      </c>
      <c r="BN525" s="266">
        <f t="shared" si="344"/>
        <v>0</v>
      </c>
      <c r="BO525" s="266">
        <f t="shared" si="345"/>
        <v>0</v>
      </c>
      <c r="BP525" s="266">
        <f t="shared" ca="1" si="346"/>
        <v>0</v>
      </c>
      <c r="BQ525" s="266">
        <f t="shared" ca="1" si="347"/>
        <v>0</v>
      </c>
      <c r="BR525" s="268">
        <f t="shared" ca="1" si="348"/>
        <v>0</v>
      </c>
      <c r="BS525" s="262" t="s">
        <v>99</v>
      </c>
      <c r="BT525" s="277"/>
      <c r="BW525" s="266">
        <f t="shared" si="349"/>
        <v>0</v>
      </c>
      <c r="BX525" s="266">
        <f t="shared" si="350"/>
        <v>0</v>
      </c>
      <c r="BY525" s="266">
        <f t="shared" si="351"/>
        <v>0</v>
      </c>
      <c r="BZ525" s="266">
        <f t="shared" si="352"/>
        <v>0</v>
      </c>
      <c r="CA525" s="266">
        <f ca="1">N525*IFERROR(INDEX(Algorithms!$G:$G,MATCH($C525&amp;"_Therm Saved per Unit- MLA",Algorithms!$A:$A,0)),0)*X525</f>
        <v>0</v>
      </c>
      <c r="CB525" s="266">
        <f ca="1">O525*IFERROR(INDEX(Algorithms!$G:$G,MATCH($C525&amp;"_Therm Saved per Unit- MLA",Algorithms!$A:$A,0)),0)*Y525</f>
        <v>0</v>
      </c>
      <c r="CC525" s="266">
        <f ca="1">P525*IFERROR(INDEX(Algorithms!$G:$G,MATCH($C525&amp;"_Therm Saved per Unit- MLA",Algorithms!$A:$A,0)),0)*Z525</f>
        <v>0</v>
      </c>
      <c r="CD525" s="266">
        <f ca="1">Q525*IFERROR(INDEX(Algorithms!$G:$G,MATCH($C525&amp;"_Therm Saved per Unit- MLA",Algorithms!$A:$A,0)),0)*AA525</f>
        <v>0</v>
      </c>
      <c r="CE525" s="266">
        <f ca="1">IFERROR(INDEX(Algorithms!$G:$G,MATCH($C525&amp;"_Lifetime (years)",Algorithms!$A:$A,0)),0)</f>
        <v>16</v>
      </c>
      <c r="CF525" s="266">
        <f ca="1">IFERROR(INDEX(Algorithms!$G:$G,MATCH($C525&amp;"_Lifetime (years) - Remaining Years",Algorithms!$A:$A,0)),0)</f>
        <v>0</v>
      </c>
      <c r="CG525" s="266">
        <f t="shared" ca="1" si="353"/>
        <v>0</v>
      </c>
      <c r="CH525" s="266">
        <f t="shared" ca="1" si="354"/>
        <v>0</v>
      </c>
      <c r="CI525" s="266">
        <f t="shared" ca="1" si="355"/>
        <v>0</v>
      </c>
      <c r="CJ525" s="266">
        <f t="shared" ca="1" si="356"/>
        <v>0</v>
      </c>
      <c r="CK525" s="266">
        <f t="shared" si="357"/>
        <v>0</v>
      </c>
      <c r="CL525" s="266">
        <f t="shared" si="358"/>
        <v>0</v>
      </c>
      <c r="CM525" s="266">
        <f t="shared" ca="1" si="359"/>
        <v>0</v>
      </c>
      <c r="CN525" s="266">
        <f t="shared" ca="1" si="360"/>
        <v>0</v>
      </c>
      <c r="CO525" s="266">
        <f ca="1">N525*IFERROR(INDEX(Algorithms!$G:$G,MATCH($C525&amp;"_Therm Saved per Unit- MLA",Algorithms!$A:$A,0)),0)*X525</f>
        <v>0</v>
      </c>
      <c r="CP525" s="266">
        <f ca="1">O525*IFERROR(INDEX(Algorithms!$G:$G,MATCH($C525&amp;"_Therm Saved per Unit- MLA",Algorithms!$A:$A,0)),0)*Y525</f>
        <v>0</v>
      </c>
      <c r="CQ525" s="266">
        <f ca="1">P525*IFERROR(INDEX(Algorithms!$G:$G,MATCH($C525&amp;"_Therm Saved per Unit- MLA",Algorithms!$A:$A,0)),0)*Z525</f>
        <v>0</v>
      </c>
      <c r="CR525" s="266">
        <f ca="1">Q525*IFERROR(INDEX(Algorithms!$G:$G,MATCH($C525&amp;"_Therm Saved per Unit- MLA",Algorithms!$A:$A,0)),0)*AA525</f>
        <v>0</v>
      </c>
      <c r="CS525" s="266">
        <f ca="1">IFERROR(INDEX(Algorithms!$G:$G,MATCH($C525&amp;"_Lifetime (years)",Algorithms!$A:$A,0)),0)</f>
        <v>16</v>
      </c>
      <c r="CT525" s="266">
        <f ca="1">IFERROR(INDEX(Algorithms!$G:$G,MATCH($C525&amp;"_Lifetime (years) - Remaining Years",Algorithms!$A:$A,0)),0)</f>
        <v>0</v>
      </c>
      <c r="CU525" s="266">
        <f t="shared" ca="1" si="361"/>
        <v>0</v>
      </c>
      <c r="CV525" s="266">
        <f t="shared" ca="1" si="362"/>
        <v>0</v>
      </c>
      <c r="CW525" s="266">
        <f t="shared" ca="1" si="363"/>
        <v>0</v>
      </c>
      <c r="CX525" s="266">
        <f t="shared" ca="1" si="364"/>
        <v>0</v>
      </c>
    </row>
    <row r="526" spans="2:102" s="47" customFormat="1" ht="18" customHeight="1" x14ac:dyDescent="0.25">
      <c r="B526" t="str">
        <f t="shared" si="365"/>
        <v>NSG_Income Eligible_Multi-Family_Partner Trade Ally Rebate_Boiler Tune Up_Space Heating_MF</v>
      </c>
      <c r="C526" s="47" t="str">
        <f t="shared" si="326"/>
        <v>Boiler Tune Up_Space Heating_MF</v>
      </c>
      <c r="D526" s="270" t="s">
        <v>1787</v>
      </c>
      <c r="E526" s="270" t="s">
        <v>325</v>
      </c>
      <c r="F526" s="270" t="s">
        <v>1422</v>
      </c>
      <c r="G526" s="270" t="s">
        <v>1799</v>
      </c>
      <c r="H526" s="270" t="s">
        <v>906</v>
      </c>
      <c r="I526" s="270" t="s">
        <v>907</v>
      </c>
      <c r="J526" s="270" t="s">
        <v>553</v>
      </c>
      <c r="K526" s="263">
        <v>1</v>
      </c>
      <c r="L526" s="263" t="str">
        <f ca="1">IFERROR(INDEX(Algorithms!J:J,MATCH($C526&amp;"_Therm Saved per Unit",Algorithms!$A:$A,0)),"n/a")</f>
        <v>4.4.2</v>
      </c>
      <c r="M526" s="263" t="str">
        <f>IFERROR(INDEX('Measure Level Detail'!$N:$N,MATCH($B526,'Measure Level Detail'!$B:$B,0)),0)</f>
        <v>each</v>
      </c>
      <c r="N526" s="271">
        <f>IFERROR(INDEX('Measure Level Detail'!$P:$P,MATCH($B526&amp;"_"&amp;N$3,'Measure Level Detail'!$C:$C,0)),0)</f>
        <v>0</v>
      </c>
      <c r="O526" s="271">
        <f>IFERROR(INDEX('Measure Level Detail'!$P:$P,MATCH($B526&amp;"_"&amp;O$3,'Measure Level Detail'!$C:$C,0)),0)</f>
        <v>0</v>
      </c>
      <c r="P526" s="271">
        <f>IFERROR(INDEX('Measure Level Detail'!$P:$P,MATCH($B526&amp;"_"&amp;P$3,'Measure Level Detail'!$C:$C,0)),0)</f>
        <v>0</v>
      </c>
      <c r="Q526" s="271">
        <f>IFERROR(INDEX('Measure Level Detail'!$P:$P,MATCH($B526&amp;"_"&amp;Q$3,'Measure Level Detail'!$C:$C,0)),0)</f>
        <v>0</v>
      </c>
      <c r="R526" s="263" t="str">
        <f ca="1">IFERROR(INDEX(Algorithms!K:K,MATCH($C526&amp;"_Therm Saved per Unit",Algorithms!$A:$A,0)),"n/a")</f>
        <v>CI-HVC-BLRT-V07-210101</v>
      </c>
      <c r="S526" s="262"/>
      <c r="T526" s="272">
        <v>0.46874846625766969</v>
      </c>
      <c r="U526" s="272">
        <v>0.46874846625766969</v>
      </c>
      <c r="V526" s="272">
        <v>0.46874846625766969</v>
      </c>
      <c r="W526" s="272">
        <v>0.46874846625766969</v>
      </c>
      <c r="X526" s="273">
        <f>IFERROR(INDEX('Measure Level Detail'!$R:$R,MATCH($B526&amp;"_"&amp;X$3,'Measure Level Detail'!$C:$C,0)),0)</f>
        <v>1</v>
      </c>
      <c r="Y526" s="273">
        <f>IFERROR(INDEX('Measure Level Detail'!$R:$R,MATCH($B526&amp;"_"&amp;Y$3,'Measure Level Detail'!$C:$C,0)),0)</f>
        <v>1</v>
      </c>
      <c r="Z526" s="273">
        <f>IFERROR(INDEX('Measure Level Detail'!$R:$R,MATCH($B526&amp;"_"&amp;Z$3,'Measure Level Detail'!$C:$C,0)),0)</f>
        <v>1</v>
      </c>
      <c r="AA526" s="273">
        <f>IFERROR(INDEX('Measure Level Detail'!$R:$R,MATCH($B526&amp;"_"&amp;AA$3,'Measure Level Detail'!$C:$C,0)),0)</f>
        <v>1</v>
      </c>
      <c r="AB526" s="266">
        <f t="shared" si="327"/>
        <v>0</v>
      </c>
      <c r="AC526" s="266">
        <f t="shared" si="328"/>
        <v>0</v>
      </c>
      <c r="AD526" s="266">
        <f t="shared" si="329"/>
        <v>0</v>
      </c>
      <c r="AE526" s="266">
        <f t="shared" si="330"/>
        <v>0</v>
      </c>
      <c r="AF526" s="266">
        <f t="shared" si="331"/>
        <v>0</v>
      </c>
      <c r="AG526" s="274">
        <v>1</v>
      </c>
      <c r="AH526" s="274">
        <v>1</v>
      </c>
      <c r="AI526" s="274">
        <v>1</v>
      </c>
      <c r="AJ526" s="274">
        <v>1</v>
      </c>
      <c r="AK526" s="274">
        <f t="shared" si="332"/>
        <v>1</v>
      </c>
      <c r="AL526" s="274">
        <f t="shared" si="333"/>
        <v>1</v>
      </c>
      <c r="AM526" s="274">
        <f t="shared" si="334"/>
        <v>1</v>
      </c>
      <c r="AN526" s="274">
        <f t="shared" si="335"/>
        <v>1</v>
      </c>
      <c r="AO526" s="262"/>
      <c r="AP526" s="262"/>
      <c r="AQ526" s="267">
        <v>0.46874846625766969</v>
      </c>
      <c r="AR526" s="262"/>
      <c r="AS526" s="266">
        <f t="shared" si="336"/>
        <v>0</v>
      </c>
      <c r="AT526" s="264">
        <f t="shared" si="337"/>
        <v>0</v>
      </c>
      <c r="AU526" s="262"/>
      <c r="AV526" s="262"/>
      <c r="AW526" s="265">
        <v>0.46874846625766969</v>
      </c>
      <c r="AX526" s="164" t="s">
        <v>1469</v>
      </c>
      <c r="AY526" s="266">
        <v>0</v>
      </c>
      <c r="AZ526" s="266">
        <f t="shared" si="338"/>
        <v>0</v>
      </c>
      <c r="BA526" s="264">
        <f t="shared" si="339"/>
        <v>0</v>
      </c>
      <c r="BB526" s="262"/>
      <c r="BC526" s="262"/>
      <c r="BD526" s="265">
        <f ca="1">IFERROR(INDEX(Algorithms!$G:$G,MATCH($C526&amp;"_Therm Saved per Unit",Algorithms!$A:$A,0)),0)</f>
        <v>0.46874846625766969</v>
      </c>
      <c r="BE526" s="164" t="str">
        <f ca="1">IFERROR(INDEX('v12 Revisions'!$P$29:$P$186, MATCH('Measure-Level Adj Gas'!$L526, 'v12 Revisions'!$D$29:$D$186,0)),"")</f>
        <v/>
      </c>
      <c r="BF526" s="266">
        <f t="shared" ca="1" si="340"/>
        <v>0</v>
      </c>
      <c r="BG526" s="264">
        <f t="shared" ca="1" si="341"/>
        <v>0</v>
      </c>
      <c r="BH526" s="262"/>
      <c r="BI526" s="262"/>
      <c r="BJ526" s="265">
        <f ca="1">IFERROR(INDEX(Algorithms!$G:$G,MATCH($C526&amp;"_Therm Saved per Unit",Algorithms!$A:$A,0)),0)</f>
        <v>0.46874846625766969</v>
      </c>
      <c r="BK526" s="164"/>
      <c r="BL526" s="266">
        <f t="shared" ca="1" si="342"/>
        <v>0</v>
      </c>
      <c r="BM526" s="264">
        <f t="shared" ca="1" si="343"/>
        <v>0</v>
      </c>
      <c r="BN526" s="266">
        <f t="shared" si="344"/>
        <v>0</v>
      </c>
      <c r="BO526" s="266">
        <f t="shared" si="345"/>
        <v>0</v>
      </c>
      <c r="BP526" s="266">
        <f t="shared" ca="1" si="346"/>
        <v>0</v>
      </c>
      <c r="BQ526" s="266">
        <f t="shared" ca="1" si="347"/>
        <v>0</v>
      </c>
      <c r="BR526" s="268">
        <f t="shared" ca="1" si="348"/>
        <v>0</v>
      </c>
      <c r="BS526" s="262" t="s">
        <v>99</v>
      </c>
      <c r="BT526" s="277"/>
      <c r="BW526" s="266">
        <f t="shared" si="349"/>
        <v>0</v>
      </c>
      <c r="BX526" s="266">
        <f t="shared" si="350"/>
        <v>0</v>
      </c>
      <c r="BY526" s="266">
        <f t="shared" si="351"/>
        <v>0</v>
      </c>
      <c r="BZ526" s="266">
        <f t="shared" si="352"/>
        <v>0</v>
      </c>
      <c r="CA526" s="266">
        <f ca="1">N526*IFERROR(INDEX(Algorithms!$G:$G,MATCH($C526&amp;"_Therm Saved per Unit- MLA",Algorithms!$A:$A,0)),0)*X526</f>
        <v>0</v>
      </c>
      <c r="CB526" s="266">
        <f ca="1">O526*IFERROR(INDEX(Algorithms!$G:$G,MATCH($C526&amp;"_Therm Saved per Unit- MLA",Algorithms!$A:$A,0)),0)*Y526</f>
        <v>0</v>
      </c>
      <c r="CC526" s="266">
        <f ca="1">P526*IFERROR(INDEX(Algorithms!$G:$G,MATCH($C526&amp;"_Therm Saved per Unit- MLA",Algorithms!$A:$A,0)),0)*Z526</f>
        <v>0</v>
      </c>
      <c r="CD526" s="266">
        <f ca="1">Q526*IFERROR(INDEX(Algorithms!$G:$G,MATCH($C526&amp;"_Therm Saved per Unit- MLA",Algorithms!$A:$A,0)),0)*AA526</f>
        <v>0</v>
      </c>
      <c r="CE526" s="266">
        <f ca="1">IFERROR(INDEX(Algorithms!$G:$G,MATCH($C526&amp;"_Lifetime (years)",Algorithms!$A:$A,0)),0)</f>
        <v>3</v>
      </c>
      <c r="CF526" s="266">
        <f ca="1">IFERROR(INDEX(Algorithms!$G:$G,MATCH($C526&amp;"_Lifetime (years) - Remaining Years",Algorithms!$A:$A,0)),0)</f>
        <v>0</v>
      </c>
      <c r="CG526" s="266">
        <f t="shared" ca="1" si="353"/>
        <v>0</v>
      </c>
      <c r="CH526" s="266">
        <f t="shared" ca="1" si="354"/>
        <v>0</v>
      </c>
      <c r="CI526" s="266">
        <f t="shared" ca="1" si="355"/>
        <v>0</v>
      </c>
      <c r="CJ526" s="266">
        <f t="shared" ca="1" si="356"/>
        <v>0</v>
      </c>
      <c r="CK526" s="266">
        <f t="shared" si="357"/>
        <v>0</v>
      </c>
      <c r="CL526" s="266">
        <f t="shared" si="358"/>
        <v>0</v>
      </c>
      <c r="CM526" s="266">
        <f t="shared" ca="1" si="359"/>
        <v>0</v>
      </c>
      <c r="CN526" s="266">
        <f t="shared" ca="1" si="360"/>
        <v>0</v>
      </c>
      <c r="CO526" s="266">
        <f ca="1">N526*IFERROR(INDEX(Algorithms!$G:$G,MATCH($C526&amp;"_Therm Saved per Unit- MLA",Algorithms!$A:$A,0)),0)*X526</f>
        <v>0</v>
      </c>
      <c r="CP526" s="266">
        <f ca="1">O526*IFERROR(INDEX(Algorithms!$G:$G,MATCH($C526&amp;"_Therm Saved per Unit- MLA",Algorithms!$A:$A,0)),0)*Y526</f>
        <v>0</v>
      </c>
      <c r="CQ526" s="266">
        <f ca="1">P526*IFERROR(INDEX(Algorithms!$G:$G,MATCH($C526&amp;"_Therm Saved per Unit- MLA",Algorithms!$A:$A,0)),0)*Z526</f>
        <v>0</v>
      </c>
      <c r="CR526" s="266">
        <f ca="1">Q526*IFERROR(INDEX(Algorithms!$G:$G,MATCH($C526&amp;"_Therm Saved per Unit- MLA",Algorithms!$A:$A,0)),0)*AA526</f>
        <v>0</v>
      </c>
      <c r="CS526" s="266">
        <f ca="1">IFERROR(INDEX(Algorithms!$G:$G,MATCH($C526&amp;"_Lifetime (years)",Algorithms!$A:$A,0)),0)</f>
        <v>3</v>
      </c>
      <c r="CT526" s="266">
        <f ca="1">IFERROR(INDEX(Algorithms!$G:$G,MATCH($C526&amp;"_Lifetime (years) - Remaining Years",Algorithms!$A:$A,0)),0)</f>
        <v>0</v>
      </c>
      <c r="CU526" s="266">
        <f t="shared" ca="1" si="361"/>
        <v>0</v>
      </c>
      <c r="CV526" s="266">
        <f t="shared" ca="1" si="362"/>
        <v>0</v>
      </c>
      <c r="CW526" s="266">
        <f t="shared" ca="1" si="363"/>
        <v>0</v>
      </c>
      <c r="CX526" s="266">
        <f t="shared" ca="1" si="364"/>
        <v>0</v>
      </c>
    </row>
    <row r="527" spans="2:102" s="47" customFormat="1" ht="18" customHeight="1" x14ac:dyDescent="0.25">
      <c r="B527" t="str">
        <f t="shared" si="365"/>
        <v>NSG_Income Eligible_Multi-Family_Partner Trade Ally Rebate_Linkageless Controls_0_MF</v>
      </c>
      <c r="C527" s="47" t="str">
        <f t="shared" si="326"/>
        <v>Linkageless Controls_0_MF</v>
      </c>
      <c r="D527" s="270" t="s">
        <v>1787</v>
      </c>
      <c r="E527" s="270" t="s">
        <v>325</v>
      </c>
      <c r="F527" s="270" t="s">
        <v>1422</v>
      </c>
      <c r="G527" s="270" t="s">
        <v>1799</v>
      </c>
      <c r="H527" s="270" t="s">
        <v>1287</v>
      </c>
      <c r="I527" s="270">
        <v>0</v>
      </c>
      <c r="J527" s="270" t="s">
        <v>553</v>
      </c>
      <c r="K527" s="263">
        <v>1</v>
      </c>
      <c r="L527" s="263" t="str">
        <f ca="1">IFERROR(INDEX(Algorithms!J:J,MATCH($C527&amp;"_Therm Saved per Unit",Algorithms!$A:$A,0)),"n/a")</f>
        <v>4.4.21</v>
      </c>
      <c r="M527" s="263" t="str">
        <f>IFERROR(INDEX('Measure Level Detail'!$N:$N,MATCH($B527,'Measure Level Detail'!$B:$B,0)),0)</f>
        <v>each</v>
      </c>
      <c r="N527" s="271">
        <f>IFERROR(INDEX('Measure Level Detail'!$P:$P,MATCH($B527&amp;"_"&amp;N$3,'Measure Level Detail'!$C:$C,0)),0)</f>
        <v>0</v>
      </c>
      <c r="O527" s="271">
        <f>IFERROR(INDEX('Measure Level Detail'!$P:$P,MATCH($B527&amp;"_"&amp;O$3,'Measure Level Detail'!$C:$C,0)),0)</f>
        <v>0</v>
      </c>
      <c r="P527" s="271">
        <f>IFERROR(INDEX('Measure Level Detail'!$P:$P,MATCH($B527&amp;"_"&amp;P$3,'Measure Level Detail'!$C:$C,0)),0)</f>
        <v>0</v>
      </c>
      <c r="Q527" s="271">
        <f>IFERROR(INDEX('Measure Level Detail'!$P:$P,MATCH($B527&amp;"_"&amp;Q$3,'Measure Level Detail'!$C:$C,0)),0)</f>
        <v>0</v>
      </c>
      <c r="R527" s="263" t="str">
        <f ca="1">IFERROR(INDEX(Algorithms!K:K,MATCH($C527&amp;"_Therm Saved per Unit",Algorithms!$A:$A,0)),"n/a")</f>
        <v>CI-HVC-LBC-V06-220101</v>
      </c>
      <c r="S527" s="262"/>
      <c r="T527" s="272">
        <v>0.63181333333333334</v>
      </c>
      <c r="U527" s="272">
        <v>0.63181333333333334</v>
      </c>
      <c r="V527" s="272">
        <v>0.63181333333333334</v>
      </c>
      <c r="W527" s="272">
        <v>0.63181333333333334</v>
      </c>
      <c r="X527" s="273">
        <f>IFERROR(INDEX('Measure Level Detail'!$R:$R,MATCH($B527&amp;"_"&amp;X$3,'Measure Level Detail'!$C:$C,0)),0)</f>
        <v>1</v>
      </c>
      <c r="Y527" s="273">
        <f>IFERROR(INDEX('Measure Level Detail'!$R:$R,MATCH($B527&amp;"_"&amp;Y$3,'Measure Level Detail'!$C:$C,0)),0)</f>
        <v>1</v>
      </c>
      <c r="Z527" s="273">
        <f>IFERROR(INDEX('Measure Level Detail'!$R:$R,MATCH($B527&amp;"_"&amp;Z$3,'Measure Level Detail'!$C:$C,0)),0)</f>
        <v>1</v>
      </c>
      <c r="AA527" s="273">
        <f>IFERROR(INDEX('Measure Level Detail'!$R:$R,MATCH($B527&amp;"_"&amp;AA$3,'Measure Level Detail'!$C:$C,0)),0)</f>
        <v>1</v>
      </c>
      <c r="AB527" s="266">
        <f t="shared" si="327"/>
        <v>0</v>
      </c>
      <c r="AC527" s="266">
        <f t="shared" si="328"/>
        <v>0</v>
      </c>
      <c r="AD527" s="266">
        <f t="shared" si="329"/>
        <v>0</v>
      </c>
      <c r="AE527" s="266">
        <f t="shared" si="330"/>
        <v>0</v>
      </c>
      <c r="AF527" s="266">
        <f t="shared" si="331"/>
        <v>0</v>
      </c>
      <c r="AG527" s="274">
        <v>1</v>
      </c>
      <c r="AH527" s="274">
        <v>1</v>
      </c>
      <c r="AI527" s="274">
        <v>1</v>
      </c>
      <c r="AJ527" s="274">
        <v>1</v>
      </c>
      <c r="AK527" s="274">
        <f t="shared" si="332"/>
        <v>1</v>
      </c>
      <c r="AL527" s="274">
        <f t="shared" si="333"/>
        <v>1</v>
      </c>
      <c r="AM527" s="274">
        <f t="shared" si="334"/>
        <v>1</v>
      </c>
      <c r="AN527" s="274">
        <f t="shared" si="335"/>
        <v>1</v>
      </c>
      <c r="AO527" s="262"/>
      <c r="AP527" s="262"/>
      <c r="AQ527" s="267">
        <v>0.63181333333333334</v>
      </c>
      <c r="AR527" s="262"/>
      <c r="AS527" s="266">
        <f t="shared" si="336"/>
        <v>0</v>
      </c>
      <c r="AT527" s="264">
        <f t="shared" si="337"/>
        <v>0</v>
      </c>
      <c r="AU527" s="262"/>
      <c r="AV527" s="262"/>
      <c r="AW527" s="265">
        <v>0.63181333333333334</v>
      </c>
      <c r="AX527" s="164" t="s">
        <v>1469</v>
      </c>
      <c r="AY527" s="266">
        <v>0</v>
      </c>
      <c r="AZ527" s="266">
        <f t="shared" si="338"/>
        <v>0</v>
      </c>
      <c r="BA527" s="264">
        <f t="shared" si="339"/>
        <v>0</v>
      </c>
      <c r="BB527" s="262"/>
      <c r="BC527" s="262"/>
      <c r="BD527" s="265">
        <f ca="1">IFERROR(INDEX(Algorithms!$G:$G,MATCH($C527&amp;"_Therm Saved per Unit",Algorithms!$A:$A,0)),0)</f>
        <v>0.63181333333333334</v>
      </c>
      <c r="BE527" s="164" t="str">
        <f ca="1">IFERROR(INDEX('v12 Revisions'!$P$29:$P$186, MATCH('Measure-Level Adj Gas'!$L527, 'v12 Revisions'!$D$29:$D$186,0)),"")</f>
        <v/>
      </c>
      <c r="BF527" s="266">
        <f t="shared" ca="1" si="340"/>
        <v>0</v>
      </c>
      <c r="BG527" s="264">
        <f t="shared" ca="1" si="341"/>
        <v>0</v>
      </c>
      <c r="BH527" s="262"/>
      <c r="BI527" s="262"/>
      <c r="BJ527" s="265">
        <f ca="1">IFERROR(INDEX(Algorithms!$G:$G,MATCH($C527&amp;"_Therm Saved per Unit",Algorithms!$A:$A,0)),0)</f>
        <v>0.63181333333333334</v>
      </c>
      <c r="BK527" s="164"/>
      <c r="BL527" s="266">
        <f t="shared" ca="1" si="342"/>
        <v>0</v>
      </c>
      <c r="BM527" s="264">
        <f t="shared" ca="1" si="343"/>
        <v>0</v>
      </c>
      <c r="BN527" s="266">
        <f t="shared" si="344"/>
        <v>0</v>
      </c>
      <c r="BO527" s="266">
        <f t="shared" si="345"/>
        <v>0</v>
      </c>
      <c r="BP527" s="266">
        <f t="shared" ca="1" si="346"/>
        <v>0</v>
      </c>
      <c r="BQ527" s="266">
        <f t="shared" ca="1" si="347"/>
        <v>0</v>
      </c>
      <c r="BR527" s="268">
        <f t="shared" ca="1" si="348"/>
        <v>0</v>
      </c>
      <c r="BS527" s="262" t="s">
        <v>99</v>
      </c>
      <c r="BT527" s="277"/>
      <c r="BW527" s="266">
        <f t="shared" si="349"/>
        <v>0</v>
      </c>
      <c r="BX527" s="266">
        <f t="shared" si="350"/>
        <v>0</v>
      </c>
      <c r="BY527" s="266">
        <f t="shared" si="351"/>
        <v>0</v>
      </c>
      <c r="BZ527" s="266">
        <f t="shared" si="352"/>
        <v>0</v>
      </c>
      <c r="CA527" s="266">
        <f ca="1">N527*IFERROR(INDEX(Algorithms!$G:$G,MATCH($C527&amp;"_Therm Saved per Unit- MLA",Algorithms!$A:$A,0)),0)*X527</f>
        <v>0</v>
      </c>
      <c r="CB527" s="266">
        <f ca="1">O527*IFERROR(INDEX(Algorithms!$G:$G,MATCH($C527&amp;"_Therm Saved per Unit- MLA",Algorithms!$A:$A,0)),0)*Y527</f>
        <v>0</v>
      </c>
      <c r="CC527" s="266">
        <f ca="1">P527*IFERROR(INDEX(Algorithms!$G:$G,MATCH($C527&amp;"_Therm Saved per Unit- MLA",Algorithms!$A:$A,0)),0)*Z527</f>
        <v>0</v>
      </c>
      <c r="CD527" s="266">
        <f ca="1">Q527*IFERROR(INDEX(Algorithms!$G:$G,MATCH($C527&amp;"_Therm Saved per Unit- MLA",Algorithms!$A:$A,0)),0)*AA527</f>
        <v>0</v>
      </c>
      <c r="CE527" s="266">
        <f ca="1">IFERROR(INDEX(Algorithms!$G:$G,MATCH($C527&amp;"_Lifetime (years)",Algorithms!$A:$A,0)),0)</f>
        <v>20</v>
      </c>
      <c r="CF527" s="266">
        <f ca="1">IFERROR(INDEX(Algorithms!$G:$G,MATCH($C527&amp;"_Lifetime (years) - Remaining Years",Algorithms!$A:$A,0)),0)</f>
        <v>0</v>
      </c>
      <c r="CG527" s="266">
        <f t="shared" ca="1" si="353"/>
        <v>0</v>
      </c>
      <c r="CH527" s="266">
        <f t="shared" ca="1" si="354"/>
        <v>0</v>
      </c>
      <c r="CI527" s="266">
        <f t="shared" ca="1" si="355"/>
        <v>0</v>
      </c>
      <c r="CJ527" s="266">
        <f t="shared" ca="1" si="356"/>
        <v>0</v>
      </c>
      <c r="CK527" s="266">
        <f t="shared" si="357"/>
        <v>0</v>
      </c>
      <c r="CL527" s="266">
        <f t="shared" si="358"/>
        <v>0</v>
      </c>
      <c r="CM527" s="266">
        <f t="shared" ca="1" si="359"/>
        <v>0</v>
      </c>
      <c r="CN527" s="266">
        <f t="shared" ca="1" si="360"/>
        <v>0</v>
      </c>
      <c r="CO527" s="266">
        <f ca="1">N527*IFERROR(INDEX(Algorithms!$G:$G,MATCH($C527&amp;"_Therm Saved per Unit- MLA",Algorithms!$A:$A,0)),0)*X527</f>
        <v>0</v>
      </c>
      <c r="CP527" s="266">
        <f ca="1">O527*IFERROR(INDEX(Algorithms!$G:$G,MATCH($C527&amp;"_Therm Saved per Unit- MLA",Algorithms!$A:$A,0)),0)*Y527</f>
        <v>0</v>
      </c>
      <c r="CQ527" s="266">
        <f ca="1">P527*IFERROR(INDEX(Algorithms!$G:$G,MATCH($C527&amp;"_Therm Saved per Unit- MLA",Algorithms!$A:$A,0)),0)*Z527</f>
        <v>0</v>
      </c>
      <c r="CR527" s="266">
        <f ca="1">Q527*IFERROR(INDEX(Algorithms!$G:$G,MATCH($C527&amp;"_Therm Saved per Unit- MLA",Algorithms!$A:$A,0)),0)*AA527</f>
        <v>0</v>
      </c>
      <c r="CS527" s="266">
        <f ca="1">IFERROR(INDEX(Algorithms!$G:$G,MATCH($C527&amp;"_Lifetime (years)",Algorithms!$A:$A,0)),0)</f>
        <v>20</v>
      </c>
      <c r="CT527" s="266">
        <f ca="1">IFERROR(INDEX(Algorithms!$G:$G,MATCH($C527&amp;"_Lifetime (years) - Remaining Years",Algorithms!$A:$A,0)),0)</f>
        <v>0</v>
      </c>
      <c r="CU527" s="266">
        <f t="shared" ca="1" si="361"/>
        <v>0</v>
      </c>
      <c r="CV527" s="266">
        <f t="shared" ca="1" si="362"/>
        <v>0</v>
      </c>
      <c r="CW527" s="266">
        <f t="shared" ca="1" si="363"/>
        <v>0</v>
      </c>
      <c r="CX527" s="266">
        <f t="shared" ca="1" si="364"/>
        <v>0</v>
      </c>
    </row>
    <row r="528" spans="2:102" s="47" customFormat="1" ht="18" customHeight="1" x14ac:dyDescent="0.25">
      <c r="B528" t="str">
        <f t="shared" si="365"/>
        <v>NSG_Income Eligible_Multi-Family_Partner Trade Ally Rebate_Advanced Thermostat_Furnace (Replace Manual)_MF</v>
      </c>
      <c r="C528" s="47" t="str">
        <f t="shared" si="326"/>
        <v>Advanced Thermostat_Furnace (Replace Manual)_MF</v>
      </c>
      <c r="D528" s="270" t="s">
        <v>1787</v>
      </c>
      <c r="E528" s="270" t="s">
        <v>325</v>
      </c>
      <c r="F528" s="270" t="s">
        <v>1422</v>
      </c>
      <c r="G528" s="270" t="s">
        <v>1799</v>
      </c>
      <c r="H528" s="270" t="s">
        <v>7</v>
      </c>
      <c r="I528" s="270" t="s">
        <v>1047</v>
      </c>
      <c r="J528" s="270" t="s">
        <v>553</v>
      </c>
      <c r="K528" s="263">
        <v>1</v>
      </c>
      <c r="L528" s="263" t="str">
        <f ca="1">IFERROR(INDEX(Algorithms!J:J,MATCH($C528&amp;"_Therm Saved per Unit",Algorithms!$A:$A,0)),"n/a")</f>
        <v>5.3.16</v>
      </c>
      <c r="M528" s="263" t="str">
        <f>IFERROR(INDEX('Measure Level Detail'!$N:$N,MATCH($B528,'Measure Level Detail'!$B:$B,0)),0)</f>
        <v>each</v>
      </c>
      <c r="N528" s="271">
        <f>IFERROR(INDEX('Measure Level Detail'!$P:$P,MATCH($B528&amp;"_"&amp;N$3,'Measure Level Detail'!$C:$C,0)),0)</f>
        <v>0</v>
      </c>
      <c r="O528" s="271">
        <f>IFERROR(INDEX('Measure Level Detail'!$P:$P,MATCH($B528&amp;"_"&amp;O$3,'Measure Level Detail'!$C:$C,0)),0)</f>
        <v>0</v>
      </c>
      <c r="P528" s="271">
        <f>IFERROR(INDEX('Measure Level Detail'!$P:$P,MATCH($B528&amp;"_"&amp;P$3,'Measure Level Detail'!$C:$C,0)),0)</f>
        <v>0</v>
      </c>
      <c r="Q528" s="271">
        <f>IFERROR(INDEX('Measure Level Detail'!$P:$P,MATCH($B528&amp;"_"&amp;Q$3,'Measure Level Detail'!$C:$C,0)),0)</f>
        <v>0</v>
      </c>
      <c r="R528" s="263" t="str">
        <f ca="1">IFERROR(INDEX(Algorithms!K:K,MATCH($C528&amp;"_Therm Saved per Unit",Algorithms!$A:$A,0)),"n/a")</f>
        <v>RS-HVC-ADTH-V09-240101</v>
      </c>
      <c r="S528" s="262"/>
      <c r="T528" s="272">
        <v>67.938000000000002</v>
      </c>
      <c r="U528" s="272">
        <v>67.938000000000002</v>
      </c>
      <c r="V528" s="272">
        <v>67.938000000000002</v>
      </c>
      <c r="W528" s="272">
        <v>67.938000000000002</v>
      </c>
      <c r="X528" s="273">
        <f>IFERROR(INDEX('Measure Level Detail'!$R:$R,MATCH($B528&amp;"_"&amp;X$3,'Measure Level Detail'!$C:$C,0)),0)</f>
        <v>1</v>
      </c>
      <c r="Y528" s="273">
        <f>IFERROR(INDEX('Measure Level Detail'!$R:$R,MATCH($B528&amp;"_"&amp;Y$3,'Measure Level Detail'!$C:$C,0)),0)</f>
        <v>1</v>
      </c>
      <c r="Z528" s="273">
        <f>IFERROR(INDEX('Measure Level Detail'!$R:$R,MATCH($B528&amp;"_"&amp;Z$3,'Measure Level Detail'!$C:$C,0)),0)</f>
        <v>1</v>
      </c>
      <c r="AA528" s="273">
        <f>IFERROR(INDEX('Measure Level Detail'!$R:$R,MATCH($B528&amp;"_"&amp;AA$3,'Measure Level Detail'!$C:$C,0)),0)</f>
        <v>1</v>
      </c>
      <c r="AB528" s="266">
        <f t="shared" si="327"/>
        <v>0</v>
      </c>
      <c r="AC528" s="266">
        <f t="shared" si="328"/>
        <v>0</v>
      </c>
      <c r="AD528" s="266">
        <f t="shared" si="329"/>
        <v>0</v>
      </c>
      <c r="AE528" s="266">
        <f t="shared" si="330"/>
        <v>0</v>
      </c>
      <c r="AF528" s="266">
        <f t="shared" si="331"/>
        <v>0</v>
      </c>
      <c r="AG528" s="274">
        <v>1</v>
      </c>
      <c r="AH528" s="274">
        <v>1</v>
      </c>
      <c r="AI528" s="274">
        <v>1</v>
      </c>
      <c r="AJ528" s="274">
        <v>1</v>
      </c>
      <c r="AK528" s="274">
        <f t="shared" si="332"/>
        <v>1</v>
      </c>
      <c r="AL528" s="274">
        <f t="shared" si="333"/>
        <v>1</v>
      </c>
      <c r="AM528" s="274">
        <f t="shared" si="334"/>
        <v>1</v>
      </c>
      <c r="AN528" s="274">
        <f t="shared" si="335"/>
        <v>1</v>
      </c>
      <c r="AO528" s="262"/>
      <c r="AP528" s="262"/>
      <c r="AQ528" s="267">
        <v>66.631500000000003</v>
      </c>
      <c r="AR528" s="262"/>
      <c r="AS528" s="266">
        <f t="shared" si="336"/>
        <v>0</v>
      </c>
      <c r="AT528" s="264">
        <f t="shared" si="337"/>
        <v>0</v>
      </c>
      <c r="AU528" s="262"/>
      <c r="AV528" s="262"/>
      <c r="AW528" s="265">
        <v>66.631500000000003</v>
      </c>
      <c r="AX528" s="164" t="s">
        <v>1469</v>
      </c>
      <c r="AY528" s="266">
        <v>0</v>
      </c>
      <c r="AZ528" s="266">
        <f t="shared" si="338"/>
        <v>0</v>
      </c>
      <c r="BA528" s="264">
        <f t="shared" si="339"/>
        <v>0</v>
      </c>
      <c r="BB528" s="262"/>
      <c r="BC528" s="262"/>
      <c r="BD528" s="265">
        <f ca="1">IFERROR(INDEX(Algorithms!$G:$G,MATCH($C528&amp;"_Therm Saved per Unit",Algorithms!$A:$A,0)),0)</f>
        <v>66.631500000000003</v>
      </c>
      <c r="BE528" s="164" t="str">
        <f ca="1">IFERROR(INDEX('v12 Revisions'!$P$29:$P$186, MATCH('Measure-Level Adj Gas'!$L528, 'v12 Revisions'!$D$29:$D$186,0)),"")</f>
        <v>n/a - FLH not in fossil fuel energy savings algorithm.</v>
      </c>
      <c r="BF528" s="266">
        <f t="shared" ca="1" si="340"/>
        <v>0</v>
      </c>
      <c r="BG528" s="264">
        <f t="shared" ca="1" si="341"/>
        <v>0</v>
      </c>
      <c r="BH528" s="262"/>
      <c r="BI528" s="262"/>
      <c r="BJ528" s="265">
        <f ca="1">IFERROR(INDEX(Algorithms!$G:$G,MATCH($C528&amp;"_Therm Saved per Unit",Algorithms!$A:$A,0)),0)</f>
        <v>66.631500000000003</v>
      </c>
      <c r="BK528" s="164"/>
      <c r="BL528" s="266">
        <f t="shared" ca="1" si="342"/>
        <v>0</v>
      </c>
      <c r="BM528" s="264">
        <f t="shared" ca="1" si="343"/>
        <v>0</v>
      </c>
      <c r="BN528" s="266">
        <f t="shared" si="344"/>
        <v>0</v>
      </c>
      <c r="BO528" s="266">
        <f t="shared" si="345"/>
        <v>0</v>
      </c>
      <c r="BP528" s="266">
        <f t="shared" ca="1" si="346"/>
        <v>0</v>
      </c>
      <c r="BQ528" s="266">
        <f t="shared" ca="1" si="347"/>
        <v>0</v>
      </c>
      <c r="BR528" s="268">
        <f t="shared" ca="1" si="348"/>
        <v>0</v>
      </c>
      <c r="BS528" s="262" t="s">
        <v>99</v>
      </c>
      <c r="BT528" s="277"/>
      <c r="BW528" s="266">
        <f t="shared" si="349"/>
        <v>0</v>
      </c>
      <c r="BX528" s="266">
        <f t="shared" si="350"/>
        <v>0</v>
      </c>
      <c r="BY528" s="266">
        <f t="shared" si="351"/>
        <v>0</v>
      </c>
      <c r="BZ528" s="266">
        <f t="shared" si="352"/>
        <v>0</v>
      </c>
      <c r="CA528" s="266">
        <f ca="1">N528*IFERROR(INDEX(Algorithms!$G:$G,MATCH($C528&amp;"_Therm Saved per Unit- MLA",Algorithms!$A:$A,0)),0)*X528</f>
        <v>0</v>
      </c>
      <c r="CB528" s="266">
        <f ca="1">O528*IFERROR(INDEX(Algorithms!$G:$G,MATCH($C528&amp;"_Therm Saved per Unit- MLA",Algorithms!$A:$A,0)),0)*Y528</f>
        <v>0</v>
      </c>
      <c r="CC528" s="266">
        <f ca="1">P528*IFERROR(INDEX(Algorithms!$G:$G,MATCH($C528&amp;"_Therm Saved per Unit- MLA",Algorithms!$A:$A,0)),0)*Z528</f>
        <v>0</v>
      </c>
      <c r="CD528" s="266">
        <f ca="1">Q528*IFERROR(INDEX(Algorithms!$G:$G,MATCH($C528&amp;"_Therm Saved per Unit- MLA",Algorithms!$A:$A,0)),0)*AA528</f>
        <v>0</v>
      </c>
      <c r="CE528" s="266">
        <f ca="1">IFERROR(INDEX(Algorithms!$G:$G,MATCH($C528&amp;"_Lifetime (years)",Algorithms!$A:$A,0)),0)</f>
        <v>11</v>
      </c>
      <c r="CF528" s="266">
        <f ca="1">IFERROR(INDEX(Algorithms!$G:$G,MATCH($C528&amp;"_Lifetime (years) - Remaining Years",Algorithms!$A:$A,0)),0)</f>
        <v>0</v>
      </c>
      <c r="CG528" s="266">
        <f t="shared" ca="1" si="353"/>
        <v>0</v>
      </c>
      <c r="CH528" s="266">
        <f t="shared" ca="1" si="354"/>
        <v>0</v>
      </c>
      <c r="CI528" s="266">
        <f t="shared" ca="1" si="355"/>
        <v>0</v>
      </c>
      <c r="CJ528" s="266">
        <f t="shared" ca="1" si="356"/>
        <v>0</v>
      </c>
      <c r="CK528" s="266">
        <f t="shared" si="357"/>
        <v>0</v>
      </c>
      <c r="CL528" s="266">
        <f t="shared" si="358"/>
        <v>0</v>
      </c>
      <c r="CM528" s="266">
        <f t="shared" ca="1" si="359"/>
        <v>0</v>
      </c>
      <c r="CN528" s="266">
        <f t="shared" ca="1" si="360"/>
        <v>0</v>
      </c>
      <c r="CO528" s="266">
        <f ca="1">N528*IFERROR(INDEX(Algorithms!$G:$G,MATCH($C528&amp;"_Therm Saved per Unit- MLA",Algorithms!$A:$A,0)),0)*X528</f>
        <v>0</v>
      </c>
      <c r="CP528" s="266">
        <f ca="1">O528*IFERROR(INDEX(Algorithms!$G:$G,MATCH($C528&amp;"_Therm Saved per Unit- MLA",Algorithms!$A:$A,0)),0)*Y528</f>
        <v>0</v>
      </c>
      <c r="CQ528" s="266">
        <f ca="1">P528*IFERROR(INDEX(Algorithms!$G:$G,MATCH($C528&amp;"_Therm Saved per Unit- MLA",Algorithms!$A:$A,0)),0)*Z528</f>
        <v>0</v>
      </c>
      <c r="CR528" s="266">
        <f ca="1">Q528*IFERROR(INDEX(Algorithms!$G:$G,MATCH($C528&amp;"_Therm Saved per Unit- MLA",Algorithms!$A:$A,0)),0)*AA528</f>
        <v>0</v>
      </c>
      <c r="CS528" s="266">
        <f ca="1">IFERROR(INDEX(Algorithms!$G:$G,MATCH($C528&amp;"_Lifetime (years)",Algorithms!$A:$A,0)),0)</f>
        <v>11</v>
      </c>
      <c r="CT528" s="266">
        <f ca="1">IFERROR(INDEX(Algorithms!$G:$G,MATCH($C528&amp;"_Lifetime (years) - Remaining Years",Algorithms!$A:$A,0)),0)</f>
        <v>0</v>
      </c>
      <c r="CU528" s="266">
        <f t="shared" ca="1" si="361"/>
        <v>0</v>
      </c>
      <c r="CV528" s="266">
        <f t="shared" ca="1" si="362"/>
        <v>0</v>
      </c>
      <c r="CW528" s="266">
        <f t="shared" ca="1" si="363"/>
        <v>0</v>
      </c>
      <c r="CX528" s="266">
        <f t="shared" ca="1" si="364"/>
        <v>0</v>
      </c>
    </row>
    <row r="529" spans="2:102" s="47" customFormat="1" ht="18" customHeight="1" x14ac:dyDescent="0.25">
      <c r="B529" t="str">
        <f t="shared" si="365"/>
        <v>NSG_Income Eligible_Multi-Family_Partner Trade Ally Rebate_Advanced Thermostat_Boiler (Replace Manual)_MF</v>
      </c>
      <c r="C529" s="47" t="str">
        <f t="shared" si="326"/>
        <v>Advanced Thermostat_Boiler (Replace Manual)_MF</v>
      </c>
      <c r="D529" s="270" t="s">
        <v>1787</v>
      </c>
      <c r="E529" s="270" t="s">
        <v>325</v>
      </c>
      <c r="F529" s="270" t="s">
        <v>1422</v>
      </c>
      <c r="G529" s="270" t="s">
        <v>1799</v>
      </c>
      <c r="H529" s="270" t="s">
        <v>7</v>
      </c>
      <c r="I529" s="270" t="s">
        <v>1051</v>
      </c>
      <c r="J529" s="270" t="s">
        <v>553</v>
      </c>
      <c r="K529" s="263">
        <v>1</v>
      </c>
      <c r="L529" s="263" t="str">
        <f ca="1">IFERROR(INDEX(Algorithms!J:J,MATCH($C529&amp;"_Therm Saved per Unit",Algorithms!$A:$A,0)),"n/a")</f>
        <v>5.3.16</v>
      </c>
      <c r="M529" s="263" t="str">
        <f>IFERROR(INDEX('Measure Level Detail'!$N:$N,MATCH($B529,'Measure Level Detail'!$B:$B,0)),0)</f>
        <v>each</v>
      </c>
      <c r="N529" s="271">
        <f>IFERROR(INDEX('Measure Level Detail'!$P:$P,MATCH($B529&amp;"_"&amp;N$3,'Measure Level Detail'!$C:$C,0)),0)</f>
        <v>0</v>
      </c>
      <c r="O529" s="271">
        <f>IFERROR(INDEX('Measure Level Detail'!$P:$P,MATCH($B529&amp;"_"&amp;O$3,'Measure Level Detail'!$C:$C,0)),0)</f>
        <v>0</v>
      </c>
      <c r="P529" s="271">
        <f>IFERROR(INDEX('Measure Level Detail'!$P:$P,MATCH($B529&amp;"_"&amp;P$3,'Measure Level Detail'!$C:$C,0)),0)</f>
        <v>0</v>
      </c>
      <c r="Q529" s="271">
        <f>IFERROR(INDEX('Measure Level Detail'!$P:$P,MATCH($B529&amp;"_"&amp;Q$3,'Measure Level Detail'!$C:$C,0)),0)</f>
        <v>0</v>
      </c>
      <c r="R529" s="263" t="str">
        <f ca="1">IFERROR(INDEX(Algorithms!K:K,MATCH($C529&amp;"_Therm Saved per Unit",Algorithms!$A:$A,0)),"n/a")</f>
        <v>RS-HVC-ADTH-V09-240101</v>
      </c>
      <c r="S529" s="262"/>
      <c r="T529" s="272">
        <v>100.386</v>
      </c>
      <c r="U529" s="272">
        <v>100.386</v>
      </c>
      <c r="V529" s="272">
        <v>100.386</v>
      </c>
      <c r="W529" s="272">
        <v>100.386</v>
      </c>
      <c r="X529" s="273">
        <f>IFERROR(INDEX('Measure Level Detail'!$R:$R,MATCH($B529&amp;"_"&amp;X$3,'Measure Level Detail'!$C:$C,0)),0)</f>
        <v>1</v>
      </c>
      <c r="Y529" s="273">
        <f>IFERROR(INDEX('Measure Level Detail'!$R:$R,MATCH($B529&amp;"_"&amp;Y$3,'Measure Level Detail'!$C:$C,0)),0)</f>
        <v>1</v>
      </c>
      <c r="Z529" s="273">
        <f>IFERROR(INDEX('Measure Level Detail'!$R:$R,MATCH($B529&amp;"_"&amp;Z$3,'Measure Level Detail'!$C:$C,0)),0)</f>
        <v>1</v>
      </c>
      <c r="AA529" s="273">
        <f>IFERROR(INDEX('Measure Level Detail'!$R:$R,MATCH($B529&amp;"_"&amp;AA$3,'Measure Level Detail'!$C:$C,0)),0)</f>
        <v>1</v>
      </c>
      <c r="AB529" s="266">
        <f t="shared" si="327"/>
        <v>0</v>
      </c>
      <c r="AC529" s="266">
        <f t="shared" si="328"/>
        <v>0</v>
      </c>
      <c r="AD529" s="266">
        <f t="shared" si="329"/>
        <v>0</v>
      </c>
      <c r="AE529" s="266">
        <f t="shared" si="330"/>
        <v>0</v>
      </c>
      <c r="AF529" s="266">
        <f t="shared" si="331"/>
        <v>0</v>
      </c>
      <c r="AG529" s="274">
        <v>1</v>
      </c>
      <c r="AH529" s="274">
        <v>1</v>
      </c>
      <c r="AI529" s="274">
        <v>1</v>
      </c>
      <c r="AJ529" s="274">
        <v>1</v>
      </c>
      <c r="AK529" s="274">
        <f t="shared" si="332"/>
        <v>1</v>
      </c>
      <c r="AL529" s="274">
        <f t="shared" si="333"/>
        <v>1</v>
      </c>
      <c r="AM529" s="274">
        <f t="shared" si="334"/>
        <v>1</v>
      </c>
      <c r="AN529" s="274">
        <f t="shared" si="335"/>
        <v>1</v>
      </c>
      <c r="AO529" s="262"/>
      <c r="AP529" s="262"/>
      <c r="AQ529" s="267">
        <v>98.455500000000001</v>
      </c>
      <c r="AR529" s="262"/>
      <c r="AS529" s="266">
        <f t="shared" si="336"/>
        <v>0</v>
      </c>
      <c r="AT529" s="264">
        <f t="shared" si="337"/>
        <v>0</v>
      </c>
      <c r="AU529" s="262"/>
      <c r="AV529" s="262"/>
      <c r="AW529" s="265">
        <v>98.455500000000001</v>
      </c>
      <c r="AX529" s="164" t="s">
        <v>1469</v>
      </c>
      <c r="AY529" s="266">
        <v>0</v>
      </c>
      <c r="AZ529" s="266">
        <f t="shared" si="338"/>
        <v>0</v>
      </c>
      <c r="BA529" s="264">
        <f t="shared" si="339"/>
        <v>0</v>
      </c>
      <c r="BB529" s="262"/>
      <c r="BC529" s="262"/>
      <c r="BD529" s="265">
        <f ca="1">IFERROR(INDEX(Algorithms!$G:$G,MATCH($C529&amp;"_Therm Saved per Unit",Algorithms!$A:$A,0)),0)</f>
        <v>98.455500000000001</v>
      </c>
      <c r="BE529" s="164" t="str">
        <f ca="1">IFERROR(INDEX('v12 Revisions'!$P$29:$P$186, MATCH('Measure-Level Adj Gas'!$L529, 'v12 Revisions'!$D$29:$D$186,0)),"")</f>
        <v>n/a - FLH not in fossil fuel energy savings algorithm.</v>
      </c>
      <c r="BF529" s="266">
        <f t="shared" ca="1" si="340"/>
        <v>0</v>
      </c>
      <c r="BG529" s="264">
        <f t="shared" ca="1" si="341"/>
        <v>0</v>
      </c>
      <c r="BH529" s="262"/>
      <c r="BI529" s="262"/>
      <c r="BJ529" s="265">
        <f ca="1">IFERROR(INDEX(Algorithms!$G:$G,MATCH($C529&amp;"_Therm Saved per Unit",Algorithms!$A:$A,0)),0)</f>
        <v>98.455500000000001</v>
      </c>
      <c r="BK529" s="164"/>
      <c r="BL529" s="266">
        <f t="shared" ca="1" si="342"/>
        <v>0</v>
      </c>
      <c r="BM529" s="264">
        <f t="shared" ca="1" si="343"/>
        <v>0</v>
      </c>
      <c r="BN529" s="266">
        <f t="shared" si="344"/>
        <v>0</v>
      </c>
      <c r="BO529" s="266">
        <f t="shared" si="345"/>
        <v>0</v>
      </c>
      <c r="BP529" s="266">
        <f t="shared" ca="1" si="346"/>
        <v>0</v>
      </c>
      <c r="BQ529" s="266">
        <f t="shared" ca="1" si="347"/>
        <v>0</v>
      </c>
      <c r="BR529" s="268">
        <f t="shared" ca="1" si="348"/>
        <v>0</v>
      </c>
      <c r="BS529" s="262" t="s">
        <v>99</v>
      </c>
      <c r="BT529" s="277"/>
      <c r="BW529" s="266">
        <f t="shared" si="349"/>
        <v>0</v>
      </c>
      <c r="BX529" s="266">
        <f t="shared" si="350"/>
        <v>0</v>
      </c>
      <c r="BY529" s="266">
        <f t="shared" si="351"/>
        <v>0</v>
      </c>
      <c r="BZ529" s="266">
        <f t="shared" si="352"/>
        <v>0</v>
      </c>
      <c r="CA529" s="266">
        <f ca="1">N529*IFERROR(INDEX(Algorithms!$G:$G,MATCH($C529&amp;"_Therm Saved per Unit- MLA",Algorithms!$A:$A,0)),0)*X529</f>
        <v>0</v>
      </c>
      <c r="CB529" s="266">
        <f ca="1">O529*IFERROR(INDEX(Algorithms!$G:$G,MATCH($C529&amp;"_Therm Saved per Unit- MLA",Algorithms!$A:$A,0)),0)*Y529</f>
        <v>0</v>
      </c>
      <c r="CC529" s="266">
        <f ca="1">P529*IFERROR(INDEX(Algorithms!$G:$G,MATCH($C529&amp;"_Therm Saved per Unit- MLA",Algorithms!$A:$A,0)),0)*Z529</f>
        <v>0</v>
      </c>
      <c r="CD529" s="266">
        <f ca="1">Q529*IFERROR(INDEX(Algorithms!$G:$G,MATCH($C529&amp;"_Therm Saved per Unit- MLA",Algorithms!$A:$A,0)),0)*AA529</f>
        <v>0</v>
      </c>
      <c r="CE529" s="266">
        <f ca="1">IFERROR(INDEX(Algorithms!$G:$G,MATCH($C529&amp;"_Lifetime (years)",Algorithms!$A:$A,0)),0)</f>
        <v>11</v>
      </c>
      <c r="CF529" s="266">
        <f ca="1">IFERROR(INDEX(Algorithms!$G:$G,MATCH($C529&amp;"_Lifetime (years) - Remaining Years",Algorithms!$A:$A,0)),0)</f>
        <v>0</v>
      </c>
      <c r="CG529" s="266">
        <f t="shared" ca="1" si="353"/>
        <v>0</v>
      </c>
      <c r="CH529" s="266">
        <f t="shared" ca="1" si="354"/>
        <v>0</v>
      </c>
      <c r="CI529" s="266">
        <f t="shared" ca="1" si="355"/>
        <v>0</v>
      </c>
      <c r="CJ529" s="266">
        <f t="shared" ca="1" si="356"/>
        <v>0</v>
      </c>
      <c r="CK529" s="266">
        <f t="shared" si="357"/>
        <v>0</v>
      </c>
      <c r="CL529" s="266">
        <f t="shared" si="358"/>
        <v>0</v>
      </c>
      <c r="CM529" s="266">
        <f t="shared" ca="1" si="359"/>
        <v>0</v>
      </c>
      <c r="CN529" s="266">
        <f t="shared" ca="1" si="360"/>
        <v>0</v>
      </c>
      <c r="CO529" s="266">
        <f ca="1">N529*IFERROR(INDEX(Algorithms!$G:$G,MATCH($C529&amp;"_Therm Saved per Unit- MLA",Algorithms!$A:$A,0)),0)*X529</f>
        <v>0</v>
      </c>
      <c r="CP529" s="266">
        <f ca="1">O529*IFERROR(INDEX(Algorithms!$G:$G,MATCH($C529&amp;"_Therm Saved per Unit- MLA",Algorithms!$A:$A,0)),0)*Y529</f>
        <v>0</v>
      </c>
      <c r="CQ529" s="266">
        <f ca="1">P529*IFERROR(INDEX(Algorithms!$G:$G,MATCH($C529&amp;"_Therm Saved per Unit- MLA",Algorithms!$A:$A,0)),0)*Z529</f>
        <v>0</v>
      </c>
      <c r="CR529" s="266">
        <f ca="1">Q529*IFERROR(INDEX(Algorithms!$G:$G,MATCH($C529&amp;"_Therm Saved per Unit- MLA",Algorithms!$A:$A,0)),0)*AA529</f>
        <v>0</v>
      </c>
      <c r="CS529" s="266">
        <f ca="1">IFERROR(INDEX(Algorithms!$G:$G,MATCH($C529&amp;"_Lifetime (years)",Algorithms!$A:$A,0)),0)</f>
        <v>11</v>
      </c>
      <c r="CT529" s="266">
        <f ca="1">IFERROR(INDEX(Algorithms!$G:$G,MATCH($C529&amp;"_Lifetime (years) - Remaining Years",Algorithms!$A:$A,0)),0)</f>
        <v>0</v>
      </c>
      <c r="CU529" s="266">
        <f t="shared" ca="1" si="361"/>
        <v>0</v>
      </c>
      <c r="CV529" s="266">
        <f t="shared" ca="1" si="362"/>
        <v>0</v>
      </c>
      <c r="CW529" s="266">
        <f t="shared" ca="1" si="363"/>
        <v>0</v>
      </c>
      <c r="CX529" s="266">
        <f t="shared" ca="1" si="364"/>
        <v>0</v>
      </c>
    </row>
    <row r="530" spans="2:102" s="47" customFormat="1" ht="18" customHeight="1" x14ac:dyDescent="0.25">
      <c r="B530" t="str">
        <f t="shared" si="365"/>
        <v>NSG_Income Eligible_Multi-Family_Partner Trade Ally Rebate_Advanced Thermostat_Furnace (Replace Programmable)_MF</v>
      </c>
      <c r="C530" s="47" t="str">
        <f t="shared" si="326"/>
        <v>Advanced Thermostat_Furnace (Replace Programmable)_MF</v>
      </c>
      <c r="D530" s="270" t="s">
        <v>1787</v>
      </c>
      <c r="E530" s="270" t="s">
        <v>325</v>
      </c>
      <c r="F530" s="270" t="s">
        <v>1422</v>
      </c>
      <c r="G530" s="270" t="s">
        <v>1799</v>
      </c>
      <c r="H530" s="270" t="s">
        <v>7</v>
      </c>
      <c r="I530" s="270" t="s">
        <v>1049</v>
      </c>
      <c r="J530" s="270" t="s">
        <v>553</v>
      </c>
      <c r="K530" s="263">
        <v>1</v>
      </c>
      <c r="L530" s="263" t="str">
        <f ca="1">IFERROR(INDEX(Algorithms!J:J,MATCH($C530&amp;"_Therm Saved per Unit",Algorithms!$A:$A,0)),"n/a")</f>
        <v>5.3.16</v>
      </c>
      <c r="M530" s="263" t="str">
        <f>IFERROR(INDEX('Measure Level Detail'!$N:$N,MATCH($B530,'Measure Level Detail'!$B:$B,0)),0)</f>
        <v>each</v>
      </c>
      <c r="N530" s="271">
        <f>IFERROR(INDEX('Measure Level Detail'!$P:$P,MATCH($B530&amp;"_"&amp;N$3,'Measure Level Detail'!$C:$C,0)),0)</f>
        <v>0</v>
      </c>
      <c r="O530" s="271">
        <f>IFERROR(INDEX('Measure Level Detail'!$P:$P,MATCH($B530&amp;"_"&amp;O$3,'Measure Level Detail'!$C:$C,0)),0)</f>
        <v>0</v>
      </c>
      <c r="P530" s="271">
        <f>IFERROR(INDEX('Measure Level Detail'!$P:$P,MATCH($B530&amp;"_"&amp;P$3,'Measure Level Detail'!$C:$C,0)),0)</f>
        <v>0</v>
      </c>
      <c r="Q530" s="271">
        <f>IFERROR(INDEX('Measure Level Detail'!$P:$P,MATCH($B530&amp;"_"&amp;Q$3,'Measure Level Detail'!$C:$C,0)),0)</f>
        <v>0</v>
      </c>
      <c r="R530" s="263" t="str">
        <f ca="1">IFERROR(INDEX(Algorithms!K:K,MATCH($C530&amp;"_Therm Saved per Unit",Algorithms!$A:$A,0)),"n/a")</f>
        <v>RS-HVC-ADTH-V09-240101</v>
      </c>
      <c r="S530" s="262"/>
      <c r="T530" s="272">
        <v>47.687249999999999</v>
      </c>
      <c r="U530" s="272">
        <v>47.687249999999999</v>
      </c>
      <c r="V530" s="272">
        <v>47.687249999999999</v>
      </c>
      <c r="W530" s="272">
        <v>47.687249999999999</v>
      </c>
      <c r="X530" s="273">
        <f>IFERROR(INDEX('Measure Level Detail'!$R:$R,MATCH($B530&amp;"_"&amp;X$3,'Measure Level Detail'!$C:$C,0)),0)</f>
        <v>1</v>
      </c>
      <c r="Y530" s="273">
        <f>IFERROR(INDEX('Measure Level Detail'!$R:$R,MATCH($B530&amp;"_"&amp;Y$3,'Measure Level Detail'!$C:$C,0)),0)</f>
        <v>1</v>
      </c>
      <c r="Z530" s="273">
        <f>IFERROR(INDEX('Measure Level Detail'!$R:$R,MATCH($B530&amp;"_"&amp;Z$3,'Measure Level Detail'!$C:$C,0)),0)</f>
        <v>1</v>
      </c>
      <c r="AA530" s="273">
        <f>IFERROR(INDEX('Measure Level Detail'!$R:$R,MATCH($B530&amp;"_"&amp;AA$3,'Measure Level Detail'!$C:$C,0)),0)</f>
        <v>1</v>
      </c>
      <c r="AB530" s="266">
        <f t="shared" si="327"/>
        <v>0</v>
      </c>
      <c r="AC530" s="266">
        <f t="shared" si="328"/>
        <v>0</v>
      </c>
      <c r="AD530" s="266">
        <f t="shared" si="329"/>
        <v>0</v>
      </c>
      <c r="AE530" s="266">
        <f t="shared" si="330"/>
        <v>0</v>
      </c>
      <c r="AF530" s="266">
        <f t="shared" si="331"/>
        <v>0</v>
      </c>
      <c r="AG530" s="274">
        <v>1</v>
      </c>
      <c r="AH530" s="274">
        <v>1</v>
      </c>
      <c r="AI530" s="274">
        <v>1</v>
      </c>
      <c r="AJ530" s="274">
        <v>1</v>
      </c>
      <c r="AK530" s="274">
        <f t="shared" si="332"/>
        <v>1</v>
      </c>
      <c r="AL530" s="274">
        <f t="shared" si="333"/>
        <v>1</v>
      </c>
      <c r="AM530" s="274">
        <f t="shared" si="334"/>
        <v>1</v>
      </c>
      <c r="AN530" s="274">
        <f t="shared" si="335"/>
        <v>1</v>
      </c>
      <c r="AO530" s="262"/>
      <c r="AP530" s="262"/>
      <c r="AQ530" s="267">
        <v>46.380749999999992</v>
      </c>
      <c r="AR530" s="262"/>
      <c r="AS530" s="266">
        <f t="shared" si="336"/>
        <v>0</v>
      </c>
      <c r="AT530" s="264">
        <f t="shared" si="337"/>
        <v>0</v>
      </c>
      <c r="AU530" s="262"/>
      <c r="AV530" s="262"/>
      <c r="AW530" s="265">
        <v>46.380749999999992</v>
      </c>
      <c r="AX530" s="164" t="s">
        <v>1469</v>
      </c>
      <c r="AY530" s="266">
        <v>0</v>
      </c>
      <c r="AZ530" s="266">
        <f t="shared" si="338"/>
        <v>0</v>
      </c>
      <c r="BA530" s="264">
        <f t="shared" si="339"/>
        <v>0</v>
      </c>
      <c r="BB530" s="262"/>
      <c r="BC530" s="262"/>
      <c r="BD530" s="265">
        <f ca="1">IFERROR(INDEX(Algorithms!$G:$G,MATCH($C530&amp;"_Therm Saved per Unit",Algorithms!$A:$A,0)),0)</f>
        <v>46.380749999999992</v>
      </c>
      <c r="BE530" s="164" t="str">
        <f ca="1">IFERROR(INDEX('v12 Revisions'!$P$29:$P$186, MATCH('Measure-Level Adj Gas'!$L530, 'v12 Revisions'!$D$29:$D$186,0)),"")</f>
        <v>n/a - FLH not in fossil fuel energy savings algorithm.</v>
      </c>
      <c r="BF530" s="266">
        <f t="shared" ca="1" si="340"/>
        <v>0</v>
      </c>
      <c r="BG530" s="264">
        <f t="shared" ca="1" si="341"/>
        <v>0</v>
      </c>
      <c r="BH530" s="262"/>
      <c r="BI530" s="262"/>
      <c r="BJ530" s="265">
        <f ca="1">IFERROR(INDEX(Algorithms!$G:$G,MATCH($C530&amp;"_Therm Saved per Unit",Algorithms!$A:$A,0)),0)</f>
        <v>46.380749999999992</v>
      </c>
      <c r="BK530" s="164"/>
      <c r="BL530" s="266">
        <f t="shared" ca="1" si="342"/>
        <v>0</v>
      </c>
      <c r="BM530" s="264">
        <f t="shared" ca="1" si="343"/>
        <v>0</v>
      </c>
      <c r="BN530" s="266">
        <f t="shared" si="344"/>
        <v>0</v>
      </c>
      <c r="BO530" s="266">
        <f t="shared" si="345"/>
        <v>0</v>
      </c>
      <c r="BP530" s="266">
        <f t="shared" ca="1" si="346"/>
        <v>0</v>
      </c>
      <c r="BQ530" s="266">
        <f t="shared" ca="1" si="347"/>
        <v>0</v>
      </c>
      <c r="BR530" s="268">
        <f t="shared" ca="1" si="348"/>
        <v>0</v>
      </c>
      <c r="BS530" s="262" t="s">
        <v>99</v>
      </c>
      <c r="BT530" s="277"/>
      <c r="BW530" s="266">
        <f t="shared" si="349"/>
        <v>0</v>
      </c>
      <c r="BX530" s="266">
        <f t="shared" si="350"/>
        <v>0</v>
      </c>
      <c r="BY530" s="266">
        <f t="shared" si="351"/>
        <v>0</v>
      </c>
      <c r="BZ530" s="266">
        <f t="shared" si="352"/>
        <v>0</v>
      </c>
      <c r="CA530" s="266">
        <f ca="1">N530*IFERROR(INDEX(Algorithms!$G:$G,MATCH($C530&amp;"_Therm Saved per Unit- MLA",Algorithms!$A:$A,0)),0)*X530</f>
        <v>0</v>
      </c>
      <c r="CB530" s="266">
        <f ca="1">O530*IFERROR(INDEX(Algorithms!$G:$G,MATCH($C530&amp;"_Therm Saved per Unit- MLA",Algorithms!$A:$A,0)),0)*Y530</f>
        <v>0</v>
      </c>
      <c r="CC530" s="266">
        <f ca="1">P530*IFERROR(INDEX(Algorithms!$G:$G,MATCH($C530&amp;"_Therm Saved per Unit- MLA",Algorithms!$A:$A,0)),0)*Z530</f>
        <v>0</v>
      </c>
      <c r="CD530" s="266">
        <f ca="1">Q530*IFERROR(INDEX(Algorithms!$G:$G,MATCH($C530&amp;"_Therm Saved per Unit- MLA",Algorithms!$A:$A,0)),0)*AA530</f>
        <v>0</v>
      </c>
      <c r="CE530" s="266">
        <f ca="1">IFERROR(INDEX(Algorithms!$G:$G,MATCH($C530&amp;"_Lifetime (years)",Algorithms!$A:$A,0)),0)</f>
        <v>11</v>
      </c>
      <c r="CF530" s="266">
        <f ca="1">IFERROR(INDEX(Algorithms!$G:$G,MATCH($C530&amp;"_Lifetime (years) - Remaining Years",Algorithms!$A:$A,0)),0)</f>
        <v>0</v>
      </c>
      <c r="CG530" s="266">
        <f t="shared" ca="1" si="353"/>
        <v>0</v>
      </c>
      <c r="CH530" s="266">
        <f t="shared" ca="1" si="354"/>
        <v>0</v>
      </c>
      <c r="CI530" s="266">
        <f t="shared" ca="1" si="355"/>
        <v>0</v>
      </c>
      <c r="CJ530" s="266">
        <f t="shared" ca="1" si="356"/>
        <v>0</v>
      </c>
      <c r="CK530" s="266">
        <f t="shared" si="357"/>
        <v>0</v>
      </c>
      <c r="CL530" s="266">
        <f t="shared" si="358"/>
        <v>0</v>
      </c>
      <c r="CM530" s="266">
        <f t="shared" ca="1" si="359"/>
        <v>0</v>
      </c>
      <c r="CN530" s="266">
        <f t="shared" ca="1" si="360"/>
        <v>0</v>
      </c>
      <c r="CO530" s="266">
        <f ca="1">N530*IFERROR(INDEX(Algorithms!$G:$G,MATCH($C530&amp;"_Therm Saved per Unit- MLA",Algorithms!$A:$A,0)),0)*X530</f>
        <v>0</v>
      </c>
      <c r="CP530" s="266">
        <f ca="1">O530*IFERROR(INDEX(Algorithms!$G:$G,MATCH($C530&amp;"_Therm Saved per Unit- MLA",Algorithms!$A:$A,0)),0)*Y530</f>
        <v>0</v>
      </c>
      <c r="CQ530" s="266">
        <f ca="1">P530*IFERROR(INDEX(Algorithms!$G:$G,MATCH($C530&amp;"_Therm Saved per Unit- MLA",Algorithms!$A:$A,0)),0)*Z530</f>
        <v>0</v>
      </c>
      <c r="CR530" s="266">
        <f ca="1">Q530*IFERROR(INDEX(Algorithms!$G:$G,MATCH($C530&amp;"_Therm Saved per Unit- MLA",Algorithms!$A:$A,0)),0)*AA530</f>
        <v>0</v>
      </c>
      <c r="CS530" s="266">
        <f ca="1">IFERROR(INDEX(Algorithms!$G:$G,MATCH($C530&amp;"_Lifetime (years)",Algorithms!$A:$A,0)),0)</f>
        <v>11</v>
      </c>
      <c r="CT530" s="266">
        <f ca="1">IFERROR(INDEX(Algorithms!$G:$G,MATCH($C530&amp;"_Lifetime (years) - Remaining Years",Algorithms!$A:$A,0)),0)</f>
        <v>0</v>
      </c>
      <c r="CU530" s="266">
        <f t="shared" ca="1" si="361"/>
        <v>0</v>
      </c>
      <c r="CV530" s="266">
        <f t="shared" ca="1" si="362"/>
        <v>0</v>
      </c>
      <c r="CW530" s="266">
        <f t="shared" ca="1" si="363"/>
        <v>0</v>
      </c>
      <c r="CX530" s="266">
        <f t="shared" ca="1" si="364"/>
        <v>0</v>
      </c>
    </row>
    <row r="531" spans="2:102" s="47" customFormat="1" ht="18" customHeight="1" x14ac:dyDescent="0.25">
      <c r="B531" t="str">
        <f t="shared" si="365"/>
        <v>NSG_Income Eligible_Multi-Family_Partner Trade Ally Rebate_Advanced Thermostat_Boiler (Replace Programmable)_MF</v>
      </c>
      <c r="C531" s="47" t="str">
        <f t="shared" si="326"/>
        <v>Advanced Thermostat_Boiler (Replace Programmable)_MF</v>
      </c>
      <c r="D531" s="270" t="s">
        <v>1787</v>
      </c>
      <c r="E531" s="270" t="s">
        <v>325</v>
      </c>
      <c r="F531" s="270" t="s">
        <v>1422</v>
      </c>
      <c r="G531" s="270" t="s">
        <v>1799</v>
      </c>
      <c r="H531" s="270" t="s">
        <v>7</v>
      </c>
      <c r="I531" s="270" t="s">
        <v>1052</v>
      </c>
      <c r="J531" s="270" t="s">
        <v>553</v>
      </c>
      <c r="K531" s="263">
        <v>1</v>
      </c>
      <c r="L531" s="263" t="str">
        <f ca="1">IFERROR(INDEX(Algorithms!J:J,MATCH($C531&amp;"_Therm Saved per Unit",Algorithms!$A:$A,0)),"n/a")</f>
        <v>5.3.16</v>
      </c>
      <c r="M531" s="263" t="str">
        <f>IFERROR(INDEX('Measure Level Detail'!$N:$N,MATCH($B531,'Measure Level Detail'!$B:$B,0)),0)</f>
        <v>each</v>
      </c>
      <c r="N531" s="271">
        <f>IFERROR(INDEX('Measure Level Detail'!$P:$P,MATCH($B531&amp;"_"&amp;N$3,'Measure Level Detail'!$C:$C,0)),0)</f>
        <v>0</v>
      </c>
      <c r="O531" s="271">
        <f>IFERROR(INDEX('Measure Level Detail'!$P:$P,MATCH($B531&amp;"_"&amp;O$3,'Measure Level Detail'!$C:$C,0)),0)</f>
        <v>0</v>
      </c>
      <c r="P531" s="271">
        <f>IFERROR(INDEX('Measure Level Detail'!$P:$P,MATCH($B531&amp;"_"&amp;P$3,'Measure Level Detail'!$C:$C,0)),0)</f>
        <v>0</v>
      </c>
      <c r="Q531" s="271">
        <f>IFERROR(INDEX('Measure Level Detail'!$P:$P,MATCH($B531&amp;"_"&amp;Q$3,'Measure Level Detail'!$C:$C,0)),0)</f>
        <v>0</v>
      </c>
      <c r="R531" s="263" t="str">
        <f ca="1">IFERROR(INDEX(Algorithms!K:K,MATCH($C531&amp;"_Therm Saved per Unit",Algorithms!$A:$A,0)),"n/a")</f>
        <v>RS-HVC-ADTH-V09-240101</v>
      </c>
      <c r="S531" s="262"/>
      <c r="T531" s="272">
        <v>70.463249999999988</v>
      </c>
      <c r="U531" s="272">
        <v>70.463249999999988</v>
      </c>
      <c r="V531" s="272">
        <v>70.463249999999988</v>
      </c>
      <c r="W531" s="272">
        <v>70.463249999999988</v>
      </c>
      <c r="X531" s="273">
        <f>IFERROR(INDEX('Measure Level Detail'!$R:$R,MATCH($B531&amp;"_"&amp;X$3,'Measure Level Detail'!$C:$C,0)),0)</f>
        <v>1</v>
      </c>
      <c r="Y531" s="273">
        <f>IFERROR(INDEX('Measure Level Detail'!$R:$R,MATCH($B531&amp;"_"&amp;Y$3,'Measure Level Detail'!$C:$C,0)),0)</f>
        <v>1</v>
      </c>
      <c r="Z531" s="273">
        <f>IFERROR(INDEX('Measure Level Detail'!$R:$R,MATCH($B531&amp;"_"&amp;Z$3,'Measure Level Detail'!$C:$C,0)),0)</f>
        <v>1</v>
      </c>
      <c r="AA531" s="273">
        <f>IFERROR(INDEX('Measure Level Detail'!$R:$R,MATCH($B531&amp;"_"&amp;AA$3,'Measure Level Detail'!$C:$C,0)),0)</f>
        <v>1</v>
      </c>
      <c r="AB531" s="266">
        <f t="shared" si="327"/>
        <v>0</v>
      </c>
      <c r="AC531" s="266">
        <f t="shared" si="328"/>
        <v>0</v>
      </c>
      <c r="AD531" s="266">
        <f t="shared" si="329"/>
        <v>0</v>
      </c>
      <c r="AE531" s="266">
        <f t="shared" si="330"/>
        <v>0</v>
      </c>
      <c r="AF531" s="266">
        <f t="shared" si="331"/>
        <v>0</v>
      </c>
      <c r="AG531" s="274">
        <v>1</v>
      </c>
      <c r="AH531" s="274">
        <v>1</v>
      </c>
      <c r="AI531" s="274">
        <v>1</v>
      </c>
      <c r="AJ531" s="274">
        <v>1</v>
      </c>
      <c r="AK531" s="274">
        <f t="shared" si="332"/>
        <v>1</v>
      </c>
      <c r="AL531" s="274">
        <f t="shared" si="333"/>
        <v>1</v>
      </c>
      <c r="AM531" s="274">
        <f t="shared" si="334"/>
        <v>1</v>
      </c>
      <c r="AN531" s="274">
        <f t="shared" si="335"/>
        <v>1</v>
      </c>
      <c r="AO531" s="262"/>
      <c r="AP531" s="262"/>
      <c r="AQ531" s="267">
        <v>68.532749999999993</v>
      </c>
      <c r="AR531" s="262"/>
      <c r="AS531" s="266">
        <f t="shared" si="336"/>
        <v>0</v>
      </c>
      <c r="AT531" s="264">
        <f t="shared" si="337"/>
        <v>0</v>
      </c>
      <c r="AU531" s="262"/>
      <c r="AV531" s="262"/>
      <c r="AW531" s="265">
        <v>68.532749999999993</v>
      </c>
      <c r="AX531" s="164" t="s">
        <v>1469</v>
      </c>
      <c r="AY531" s="266">
        <v>0</v>
      </c>
      <c r="AZ531" s="266">
        <f t="shared" si="338"/>
        <v>0</v>
      </c>
      <c r="BA531" s="264">
        <f t="shared" si="339"/>
        <v>0</v>
      </c>
      <c r="BB531" s="262"/>
      <c r="BC531" s="262"/>
      <c r="BD531" s="265">
        <f ca="1">IFERROR(INDEX(Algorithms!$G:$G,MATCH($C531&amp;"_Therm Saved per Unit",Algorithms!$A:$A,0)),0)</f>
        <v>68.532749999999993</v>
      </c>
      <c r="BE531" s="164" t="str">
        <f ca="1">IFERROR(INDEX('v12 Revisions'!$P$29:$P$186, MATCH('Measure-Level Adj Gas'!$L531, 'v12 Revisions'!$D$29:$D$186,0)),"")</f>
        <v>n/a - FLH not in fossil fuel energy savings algorithm.</v>
      </c>
      <c r="BF531" s="266">
        <f t="shared" ca="1" si="340"/>
        <v>0</v>
      </c>
      <c r="BG531" s="264">
        <f t="shared" ca="1" si="341"/>
        <v>0</v>
      </c>
      <c r="BH531" s="262"/>
      <c r="BI531" s="262"/>
      <c r="BJ531" s="265">
        <f ca="1">IFERROR(INDEX(Algorithms!$G:$G,MATCH($C531&amp;"_Therm Saved per Unit",Algorithms!$A:$A,0)),0)</f>
        <v>68.532749999999993</v>
      </c>
      <c r="BK531" s="164"/>
      <c r="BL531" s="266">
        <f t="shared" ca="1" si="342"/>
        <v>0</v>
      </c>
      <c r="BM531" s="264">
        <f t="shared" ca="1" si="343"/>
        <v>0</v>
      </c>
      <c r="BN531" s="266">
        <f t="shared" si="344"/>
        <v>0</v>
      </c>
      <c r="BO531" s="266">
        <f t="shared" si="345"/>
        <v>0</v>
      </c>
      <c r="BP531" s="266">
        <f t="shared" ca="1" si="346"/>
        <v>0</v>
      </c>
      <c r="BQ531" s="266">
        <f t="shared" ca="1" si="347"/>
        <v>0</v>
      </c>
      <c r="BR531" s="268">
        <f t="shared" ca="1" si="348"/>
        <v>0</v>
      </c>
      <c r="BS531" s="262" t="s">
        <v>99</v>
      </c>
      <c r="BT531" s="277"/>
      <c r="BW531" s="266">
        <f t="shared" si="349"/>
        <v>0</v>
      </c>
      <c r="BX531" s="266">
        <f t="shared" si="350"/>
        <v>0</v>
      </c>
      <c r="BY531" s="266">
        <f t="shared" si="351"/>
        <v>0</v>
      </c>
      <c r="BZ531" s="266">
        <f t="shared" si="352"/>
        <v>0</v>
      </c>
      <c r="CA531" s="266">
        <f ca="1">N531*IFERROR(INDEX(Algorithms!$G:$G,MATCH($C531&amp;"_Therm Saved per Unit- MLA",Algorithms!$A:$A,0)),0)*X531</f>
        <v>0</v>
      </c>
      <c r="CB531" s="266">
        <f ca="1">O531*IFERROR(INDEX(Algorithms!$G:$G,MATCH($C531&amp;"_Therm Saved per Unit- MLA",Algorithms!$A:$A,0)),0)*Y531</f>
        <v>0</v>
      </c>
      <c r="CC531" s="266">
        <f ca="1">P531*IFERROR(INDEX(Algorithms!$G:$G,MATCH($C531&amp;"_Therm Saved per Unit- MLA",Algorithms!$A:$A,0)),0)*Z531</f>
        <v>0</v>
      </c>
      <c r="CD531" s="266">
        <f ca="1">Q531*IFERROR(INDEX(Algorithms!$G:$G,MATCH($C531&amp;"_Therm Saved per Unit- MLA",Algorithms!$A:$A,0)),0)*AA531</f>
        <v>0</v>
      </c>
      <c r="CE531" s="266">
        <f ca="1">IFERROR(INDEX(Algorithms!$G:$G,MATCH($C531&amp;"_Lifetime (years)",Algorithms!$A:$A,0)),0)</f>
        <v>11</v>
      </c>
      <c r="CF531" s="266">
        <f ca="1">IFERROR(INDEX(Algorithms!$G:$G,MATCH($C531&amp;"_Lifetime (years) - Remaining Years",Algorithms!$A:$A,0)),0)</f>
        <v>0</v>
      </c>
      <c r="CG531" s="266">
        <f t="shared" ca="1" si="353"/>
        <v>0</v>
      </c>
      <c r="CH531" s="266">
        <f t="shared" ca="1" si="354"/>
        <v>0</v>
      </c>
      <c r="CI531" s="266">
        <f t="shared" ca="1" si="355"/>
        <v>0</v>
      </c>
      <c r="CJ531" s="266">
        <f t="shared" ca="1" si="356"/>
        <v>0</v>
      </c>
      <c r="CK531" s="266">
        <f t="shared" si="357"/>
        <v>0</v>
      </c>
      <c r="CL531" s="266">
        <f t="shared" si="358"/>
        <v>0</v>
      </c>
      <c r="CM531" s="266">
        <f t="shared" ca="1" si="359"/>
        <v>0</v>
      </c>
      <c r="CN531" s="266">
        <f t="shared" ca="1" si="360"/>
        <v>0</v>
      </c>
      <c r="CO531" s="266">
        <f ca="1">N531*IFERROR(INDEX(Algorithms!$G:$G,MATCH($C531&amp;"_Therm Saved per Unit- MLA",Algorithms!$A:$A,0)),0)*X531</f>
        <v>0</v>
      </c>
      <c r="CP531" s="266">
        <f ca="1">O531*IFERROR(INDEX(Algorithms!$G:$G,MATCH($C531&amp;"_Therm Saved per Unit- MLA",Algorithms!$A:$A,0)),0)*Y531</f>
        <v>0</v>
      </c>
      <c r="CQ531" s="266">
        <f ca="1">P531*IFERROR(INDEX(Algorithms!$G:$G,MATCH($C531&amp;"_Therm Saved per Unit- MLA",Algorithms!$A:$A,0)),0)*Z531</f>
        <v>0</v>
      </c>
      <c r="CR531" s="266">
        <f ca="1">Q531*IFERROR(INDEX(Algorithms!$G:$G,MATCH($C531&amp;"_Therm Saved per Unit- MLA",Algorithms!$A:$A,0)),0)*AA531</f>
        <v>0</v>
      </c>
      <c r="CS531" s="266">
        <f ca="1">IFERROR(INDEX(Algorithms!$G:$G,MATCH($C531&amp;"_Lifetime (years)",Algorithms!$A:$A,0)),0)</f>
        <v>11</v>
      </c>
      <c r="CT531" s="266">
        <f ca="1">IFERROR(INDEX(Algorithms!$G:$G,MATCH($C531&amp;"_Lifetime (years) - Remaining Years",Algorithms!$A:$A,0)),0)</f>
        <v>0</v>
      </c>
      <c r="CU531" s="266">
        <f t="shared" ca="1" si="361"/>
        <v>0</v>
      </c>
      <c r="CV531" s="266">
        <f t="shared" ca="1" si="362"/>
        <v>0</v>
      </c>
      <c r="CW531" s="266">
        <f t="shared" ca="1" si="363"/>
        <v>0</v>
      </c>
      <c r="CX531" s="266">
        <f t="shared" ca="1" si="364"/>
        <v>0</v>
      </c>
    </row>
    <row r="532" spans="2:102" s="47" customFormat="1" ht="18" customHeight="1" x14ac:dyDescent="0.25">
      <c r="B532" t="str">
        <f t="shared" si="365"/>
        <v>NSG_Income Eligible_Multi-Family_Partner Trade Ally Rebate_On Demand DHW Circulation System_0_MF</v>
      </c>
      <c r="C532" s="47" t="str">
        <f t="shared" si="326"/>
        <v>On Demand DHW Circulation System_0_MF</v>
      </c>
      <c r="D532" s="270" t="s">
        <v>1787</v>
      </c>
      <c r="E532" s="270" t="s">
        <v>325</v>
      </c>
      <c r="F532" s="270" t="s">
        <v>1422</v>
      </c>
      <c r="G532" s="270" t="s">
        <v>1799</v>
      </c>
      <c r="H532" s="270" t="s">
        <v>1075</v>
      </c>
      <c r="I532" s="270">
        <v>0</v>
      </c>
      <c r="J532" s="270" t="s">
        <v>553</v>
      </c>
      <c r="K532" s="263">
        <v>1</v>
      </c>
      <c r="L532" s="263" t="str">
        <f ca="1">IFERROR(INDEX(Algorithms!J:J,MATCH($C532&amp;"_Therm Saved per Unit",Algorithms!$A:$A,0)),"n/a")</f>
        <v>4.3.8</v>
      </c>
      <c r="M532" s="263" t="str">
        <f>IFERROR(INDEX('Measure Level Detail'!$N:$N,MATCH($B532,'Measure Level Detail'!$B:$B,0)),0)</f>
        <v>each</v>
      </c>
      <c r="N532" s="271">
        <f>IFERROR(INDEX('Measure Level Detail'!$P:$P,MATCH($B532&amp;"_"&amp;N$3,'Measure Level Detail'!$C:$C,0)),0)</f>
        <v>0</v>
      </c>
      <c r="O532" s="271">
        <f>IFERROR(INDEX('Measure Level Detail'!$P:$P,MATCH($B532&amp;"_"&amp;O$3,'Measure Level Detail'!$C:$C,0)),0)</f>
        <v>0</v>
      </c>
      <c r="P532" s="271">
        <f>IFERROR(INDEX('Measure Level Detail'!$P:$P,MATCH($B532&amp;"_"&amp;P$3,'Measure Level Detail'!$C:$C,0)),0)</f>
        <v>0</v>
      </c>
      <c r="Q532" s="271">
        <f>IFERROR(INDEX('Measure Level Detail'!$P:$P,MATCH($B532&amp;"_"&amp;Q$3,'Measure Level Detail'!$C:$C,0)),0)</f>
        <v>0</v>
      </c>
      <c r="R532" s="263" t="str">
        <f ca="1">IFERROR(INDEX(Algorithms!K:K,MATCH($C532&amp;"_Therm Saved per Unit",Algorithms!$A:$A,0)),"n/a")</f>
        <v>CI-HWE-CDHW-V06-240101</v>
      </c>
      <c r="S532" s="262"/>
      <c r="T532" s="272">
        <v>62.687100553999997</v>
      </c>
      <c r="U532" s="272">
        <v>62.687100553999997</v>
      </c>
      <c r="V532" s="272">
        <v>62.687100553999997</v>
      </c>
      <c r="W532" s="272">
        <v>62.687100553999997</v>
      </c>
      <c r="X532" s="273">
        <f>IFERROR(INDEX('Measure Level Detail'!$R:$R,MATCH($B532&amp;"_"&amp;X$3,'Measure Level Detail'!$C:$C,0)),0)</f>
        <v>1</v>
      </c>
      <c r="Y532" s="273">
        <f>IFERROR(INDEX('Measure Level Detail'!$R:$R,MATCH($B532&amp;"_"&amp;Y$3,'Measure Level Detail'!$C:$C,0)),0)</f>
        <v>1</v>
      </c>
      <c r="Z532" s="273">
        <f>IFERROR(INDEX('Measure Level Detail'!$R:$R,MATCH($B532&amp;"_"&amp;Z$3,'Measure Level Detail'!$C:$C,0)),0)</f>
        <v>1</v>
      </c>
      <c r="AA532" s="273">
        <f>IFERROR(INDEX('Measure Level Detail'!$R:$R,MATCH($B532&amp;"_"&amp;AA$3,'Measure Level Detail'!$C:$C,0)),0)</f>
        <v>1</v>
      </c>
      <c r="AB532" s="266">
        <f t="shared" si="327"/>
        <v>0</v>
      </c>
      <c r="AC532" s="266">
        <f t="shared" si="328"/>
        <v>0</v>
      </c>
      <c r="AD532" s="266">
        <f t="shared" si="329"/>
        <v>0</v>
      </c>
      <c r="AE532" s="266">
        <f t="shared" si="330"/>
        <v>0</v>
      </c>
      <c r="AF532" s="266">
        <f t="shared" si="331"/>
        <v>0</v>
      </c>
      <c r="AG532" s="274">
        <v>1</v>
      </c>
      <c r="AH532" s="274">
        <v>1</v>
      </c>
      <c r="AI532" s="274">
        <v>1</v>
      </c>
      <c r="AJ532" s="274">
        <v>1</v>
      </c>
      <c r="AK532" s="274">
        <f t="shared" si="332"/>
        <v>1</v>
      </c>
      <c r="AL532" s="274">
        <f t="shared" si="333"/>
        <v>1</v>
      </c>
      <c r="AM532" s="274">
        <f t="shared" si="334"/>
        <v>1</v>
      </c>
      <c r="AN532" s="274">
        <f t="shared" si="335"/>
        <v>1</v>
      </c>
      <c r="AO532" s="262"/>
      <c r="AP532" s="262"/>
      <c r="AQ532" s="267">
        <v>62.687100553999997</v>
      </c>
      <c r="AR532" s="262"/>
      <c r="AS532" s="266">
        <f t="shared" si="336"/>
        <v>0</v>
      </c>
      <c r="AT532" s="264">
        <f t="shared" si="337"/>
        <v>0</v>
      </c>
      <c r="AU532" s="262"/>
      <c r="AV532" s="262"/>
      <c r="AW532" s="265">
        <v>62.687100553999997</v>
      </c>
      <c r="AX532" s="164" t="s">
        <v>2400</v>
      </c>
      <c r="AY532" s="266">
        <v>0</v>
      </c>
      <c r="AZ532" s="266">
        <f t="shared" si="338"/>
        <v>0</v>
      </c>
      <c r="BA532" s="264">
        <f t="shared" si="339"/>
        <v>0</v>
      </c>
      <c r="BB532" s="262"/>
      <c r="BC532" s="262"/>
      <c r="BD532" s="265">
        <f ca="1">IFERROR(INDEX(Algorithms!$G:$G,MATCH($C532&amp;"_Therm Saved per Unit",Algorithms!$A:$A,0)),0)</f>
        <v>62.687100553999997</v>
      </c>
      <c r="BE532" s="164" t="str">
        <f ca="1">IFERROR(INDEX('v12 Revisions'!$P$29:$P$186, MATCH('Measure-Level Adj Gas'!$L532, 'v12 Revisions'!$D$29:$D$186,0)),"")</f>
        <v>Updated reduction(%) in total operating hours for normal and low occupancy period.</v>
      </c>
      <c r="BF532" s="266">
        <f t="shared" ca="1" si="340"/>
        <v>0</v>
      </c>
      <c r="BG532" s="264">
        <f t="shared" ca="1" si="341"/>
        <v>0</v>
      </c>
      <c r="BH532" s="262"/>
      <c r="BI532" s="262"/>
      <c r="BJ532" s="265">
        <f ca="1">IFERROR(INDEX(Algorithms!$G:$G,MATCH($C532&amp;"_Therm Saved per Unit",Algorithms!$A:$A,0)),0)</f>
        <v>62.687100553999997</v>
      </c>
      <c r="BK532" s="164"/>
      <c r="BL532" s="266">
        <f t="shared" ca="1" si="342"/>
        <v>0</v>
      </c>
      <c r="BM532" s="264">
        <f t="shared" ca="1" si="343"/>
        <v>0</v>
      </c>
      <c r="BN532" s="266">
        <f t="shared" si="344"/>
        <v>0</v>
      </c>
      <c r="BO532" s="266">
        <f t="shared" si="345"/>
        <v>0</v>
      </c>
      <c r="BP532" s="266">
        <f t="shared" ca="1" si="346"/>
        <v>0</v>
      </c>
      <c r="BQ532" s="266">
        <f t="shared" ca="1" si="347"/>
        <v>0</v>
      </c>
      <c r="BR532" s="268">
        <f t="shared" ca="1" si="348"/>
        <v>0</v>
      </c>
      <c r="BS532" s="262" t="s">
        <v>99</v>
      </c>
      <c r="BT532" s="277"/>
      <c r="BW532" s="266">
        <f t="shared" si="349"/>
        <v>0</v>
      </c>
      <c r="BX532" s="266">
        <f t="shared" si="350"/>
        <v>0</v>
      </c>
      <c r="BY532" s="266">
        <f t="shared" si="351"/>
        <v>0</v>
      </c>
      <c r="BZ532" s="266">
        <f t="shared" si="352"/>
        <v>0</v>
      </c>
      <c r="CA532" s="266">
        <f ca="1">N532*IFERROR(INDEX(Algorithms!$G:$G,MATCH($C532&amp;"_Therm Saved per Unit- MLA",Algorithms!$A:$A,0)),0)*X532</f>
        <v>0</v>
      </c>
      <c r="CB532" s="266">
        <f ca="1">O532*IFERROR(INDEX(Algorithms!$G:$G,MATCH($C532&amp;"_Therm Saved per Unit- MLA",Algorithms!$A:$A,0)),0)*Y532</f>
        <v>0</v>
      </c>
      <c r="CC532" s="266">
        <f ca="1">P532*IFERROR(INDEX(Algorithms!$G:$G,MATCH($C532&amp;"_Therm Saved per Unit- MLA",Algorithms!$A:$A,0)),0)*Z532</f>
        <v>0</v>
      </c>
      <c r="CD532" s="266">
        <f ca="1">Q532*IFERROR(INDEX(Algorithms!$G:$G,MATCH($C532&amp;"_Therm Saved per Unit- MLA",Algorithms!$A:$A,0)),0)*AA532</f>
        <v>0</v>
      </c>
      <c r="CE532" s="266">
        <f ca="1">IFERROR(INDEX(Algorithms!$G:$G,MATCH($C532&amp;"_Lifetime (years)",Algorithms!$A:$A,0)),0)</f>
        <v>15</v>
      </c>
      <c r="CF532" s="266">
        <f ca="1">IFERROR(INDEX(Algorithms!$G:$G,MATCH($C532&amp;"_Lifetime (years) - Remaining Years",Algorithms!$A:$A,0)),0)</f>
        <v>0</v>
      </c>
      <c r="CG532" s="266">
        <f t="shared" ca="1" si="353"/>
        <v>0</v>
      </c>
      <c r="CH532" s="266">
        <f t="shared" ca="1" si="354"/>
        <v>0</v>
      </c>
      <c r="CI532" s="266">
        <f t="shared" ca="1" si="355"/>
        <v>0</v>
      </c>
      <c r="CJ532" s="266">
        <f t="shared" ca="1" si="356"/>
        <v>0</v>
      </c>
      <c r="CK532" s="266">
        <f t="shared" si="357"/>
        <v>0</v>
      </c>
      <c r="CL532" s="266">
        <f t="shared" si="358"/>
        <v>0</v>
      </c>
      <c r="CM532" s="266">
        <f t="shared" ca="1" si="359"/>
        <v>0</v>
      </c>
      <c r="CN532" s="266">
        <f t="shared" ca="1" si="360"/>
        <v>0</v>
      </c>
      <c r="CO532" s="266">
        <f ca="1">N532*IFERROR(INDEX(Algorithms!$G:$G,MATCH($C532&amp;"_Therm Saved per Unit- MLA",Algorithms!$A:$A,0)),0)*X532</f>
        <v>0</v>
      </c>
      <c r="CP532" s="266">
        <f ca="1">O532*IFERROR(INDEX(Algorithms!$G:$G,MATCH($C532&amp;"_Therm Saved per Unit- MLA",Algorithms!$A:$A,0)),0)*Y532</f>
        <v>0</v>
      </c>
      <c r="CQ532" s="266">
        <f ca="1">P532*IFERROR(INDEX(Algorithms!$G:$G,MATCH($C532&amp;"_Therm Saved per Unit- MLA",Algorithms!$A:$A,0)),0)*Z532</f>
        <v>0</v>
      </c>
      <c r="CR532" s="266">
        <f ca="1">Q532*IFERROR(INDEX(Algorithms!$G:$G,MATCH($C532&amp;"_Therm Saved per Unit- MLA",Algorithms!$A:$A,0)),0)*AA532</f>
        <v>0</v>
      </c>
      <c r="CS532" s="266">
        <f ca="1">IFERROR(INDEX(Algorithms!$G:$G,MATCH($C532&amp;"_Lifetime (years)",Algorithms!$A:$A,0)),0)</f>
        <v>15</v>
      </c>
      <c r="CT532" s="266">
        <f ca="1">IFERROR(INDEX(Algorithms!$G:$G,MATCH($C532&amp;"_Lifetime (years) - Remaining Years",Algorithms!$A:$A,0)),0)</f>
        <v>0</v>
      </c>
      <c r="CU532" s="266">
        <f t="shared" ca="1" si="361"/>
        <v>0</v>
      </c>
      <c r="CV532" s="266">
        <f t="shared" ca="1" si="362"/>
        <v>0</v>
      </c>
      <c r="CW532" s="266">
        <f t="shared" ca="1" si="363"/>
        <v>0</v>
      </c>
      <c r="CX532" s="266">
        <f t="shared" ca="1" si="364"/>
        <v>0</v>
      </c>
    </row>
    <row r="533" spans="2:102" s="47" customFormat="1" ht="18" customHeight="1" x14ac:dyDescent="0.25">
      <c r="B533" t="str">
        <f t="shared" si="365"/>
        <v>NSG_Income Eligible_Multi-Family_Partner Trade Ally Rebate_Shut Off Flue Damper_0_MF</v>
      </c>
      <c r="C533" s="47" t="str">
        <f t="shared" si="326"/>
        <v>Shut Off Flue Damper_0_MF</v>
      </c>
      <c r="D533" s="270" t="s">
        <v>1787</v>
      </c>
      <c r="E533" s="270" t="s">
        <v>325</v>
      </c>
      <c r="F533" s="270" t="s">
        <v>1422</v>
      </c>
      <c r="G533" s="270" t="s">
        <v>1799</v>
      </c>
      <c r="H533" s="270" t="s">
        <v>1443</v>
      </c>
      <c r="I533" s="270">
        <v>0</v>
      </c>
      <c r="J533" s="270" t="s">
        <v>553</v>
      </c>
      <c r="K533" s="263">
        <v>1</v>
      </c>
      <c r="L533" s="263" t="str">
        <f ca="1">IFERROR(INDEX(Algorithms!J:J,MATCH($C533&amp;"_Therm Saved per Unit",Algorithms!$A:$A,0)),"n/a")</f>
        <v>n/a</v>
      </c>
      <c r="M533" s="263" t="str">
        <f>IFERROR(INDEX('Measure Level Detail'!$N:$N,MATCH($B533,'Measure Level Detail'!$B:$B,0)),0)</f>
        <v>each</v>
      </c>
      <c r="N533" s="271">
        <f>IFERROR(INDEX('Measure Level Detail'!$P:$P,MATCH($B533&amp;"_"&amp;N$3,'Measure Level Detail'!$C:$C,0)),0)</f>
        <v>0</v>
      </c>
      <c r="O533" s="271">
        <f>IFERROR(INDEX('Measure Level Detail'!$P:$P,MATCH($B533&amp;"_"&amp;O$3,'Measure Level Detail'!$C:$C,0)),0)</f>
        <v>0</v>
      </c>
      <c r="P533" s="271">
        <f>IFERROR(INDEX('Measure Level Detail'!$P:$P,MATCH($B533&amp;"_"&amp;P$3,'Measure Level Detail'!$C:$C,0)),0)</f>
        <v>0</v>
      </c>
      <c r="Q533" s="271">
        <f>IFERROR(INDEX('Measure Level Detail'!$P:$P,MATCH($B533&amp;"_"&amp;Q$3,'Measure Level Detail'!$C:$C,0)),0)</f>
        <v>0</v>
      </c>
      <c r="R533" s="263" t="str">
        <f ca="1">IFERROR(INDEX(Algorithms!K:K,MATCH($C533&amp;"_Therm Saved per Unit",Algorithms!$A:$A,0)),"n/a")</f>
        <v>n/a</v>
      </c>
      <c r="S533" s="262"/>
      <c r="T533" s="272">
        <v>0</v>
      </c>
      <c r="U533" s="272">
        <v>0</v>
      </c>
      <c r="V533" s="272">
        <v>0</v>
      </c>
      <c r="W533" s="272">
        <v>0</v>
      </c>
      <c r="X533" s="273">
        <f>IFERROR(INDEX('Measure Level Detail'!$R:$R,MATCH($B533&amp;"_"&amp;X$3,'Measure Level Detail'!$C:$C,0)),0)</f>
        <v>1</v>
      </c>
      <c r="Y533" s="273">
        <f>IFERROR(INDEX('Measure Level Detail'!$R:$R,MATCH($B533&amp;"_"&amp;Y$3,'Measure Level Detail'!$C:$C,0)),0)</f>
        <v>1</v>
      </c>
      <c r="Z533" s="273">
        <f>IFERROR(INDEX('Measure Level Detail'!$R:$R,MATCH($B533&amp;"_"&amp;Z$3,'Measure Level Detail'!$C:$C,0)),0)</f>
        <v>1</v>
      </c>
      <c r="AA533" s="273">
        <f>IFERROR(INDEX('Measure Level Detail'!$R:$R,MATCH($B533&amp;"_"&amp;AA$3,'Measure Level Detail'!$C:$C,0)),0)</f>
        <v>1</v>
      </c>
      <c r="AB533" s="266">
        <f t="shared" si="327"/>
        <v>0</v>
      </c>
      <c r="AC533" s="266">
        <f t="shared" si="328"/>
        <v>0</v>
      </c>
      <c r="AD533" s="266">
        <f t="shared" si="329"/>
        <v>0</v>
      </c>
      <c r="AE533" s="266">
        <f t="shared" si="330"/>
        <v>0</v>
      </c>
      <c r="AF533" s="266">
        <f t="shared" si="331"/>
        <v>0</v>
      </c>
      <c r="AG533" s="274">
        <v>1</v>
      </c>
      <c r="AH533" s="274">
        <v>1</v>
      </c>
      <c r="AI533" s="274">
        <v>1</v>
      </c>
      <c r="AJ533" s="274">
        <v>1</v>
      </c>
      <c r="AK533" s="274">
        <f t="shared" si="332"/>
        <v>1</v>
      </c>
      <c r="AL533" s="274">
        <f t="shared" si="333"/>
        <v>1</v>
      </c>
      <c r="AM533" s="274">
        <f t="shared" si="334"/>
        <v>1</v>
      </c>
      <c r="AN533" s="274">
        <f t="shared" si="335"/>
        <v>1</v>
      </c>
      <c r="AO533" s="262"/>
      <c r="AP533" s="262"/>
      <c r="AQ533" s="267">
        <v>0</v>
      </c>
      <c r="AR533" s="262"/>
      <c r="AS533" s="266">
        <f t="shared" si="336"/>
        <v>0</v>
      </c>
      <c r="AT533" s="264">
        <f t="shared" si="337"/>
        <v>0</v>
      </c>
      <c r="AU533" s="262"/>
      <c r="AV533" s="262"/>
      <c r="AW533" s="265">
        <v>0</v>
      </c>
      <c r="AX533" s="164" t="s">
        <v>1469</v>
      </c>
      <c r="AY533" s="266">
        <v>0</v>
      </c>
      <c r="AZ533" s="266">
        <f t="shared" si="338"/>
        <v>0</v>
      </c>
      <c r="BA533" s="264">
        <f t="shared" si="339"/>
        <v>0</v>
      </c>
      <c r="BB533" s="262"/>
      <c r="BC533" s="262"/>
      <c r="BD533" s="265">
        <f ca="1">IFERROR(INDEX(Algorithms!$G:$G,MATCH($C533&amp;"_Therm Saved per Unit",Algorithms!$A:$A,0)),0)</f>
        <v>0</v>
      </c>
      <c r="BE533" s="164" t="str">
        <f ca="1">IFERROR(INDEX('v12 Revisions'!$P$29:$P$186, MATCH('Measure-Level Adj Gas'!$L533, 'v12 Revisions'!$D$29:$D$186,0)),"")</f>
        <v/>
      </c>
      <c r="BF533" s="266">
        <f t="shared" ca="1" si="340"/>
        <v>0</v>
      </c>
      <c r="BG533" s="264">
        <f t="shared" ca="1" si="341"/>
        <v>0</v>
      </c>
      <c r="BH533" s="262"/>
      <c r="BI533" s="262"/>
      <c r="BJ533" s="265">
        <f ca="1">IFERROR(INDEX(Algorithms!$G:$G,MATCH($C533&amp;"_Therm Saved per Unit",Algorithms!$A:$A,0)),0)</f>
        <v>0</v>
      </c>
      <c r="BK533" s="164"/>
      <c r="BL533" s="266">
        <f t="shared" ca="1" si="342"/>
        <v>0</v>
      </c>
      <c r="BM533" s="264">
        <f t="shared" ca="1" si="343"/>
        <v>0</v>
      </c>
      <c r="BN533" s="266">
        <f t="shared" si="344"/>
        <v>0</v>
      </c>
      <c r="BO533" s="266">
        <f t="shared" si="345"/>
        <v>0</v>
      </c>
      <c r="BP533" s="266">
        <f t="shared" ca="1" si="346"/>
        <v>0</v>
      </c>
      <c r="BQ533" s="266">
        <f t="shared" ca="1" si="347"/>
        <v>0</v>
      </c>
      <c r="BR533" s="268">
        <f t="shared" ca="1" si="348"/>
        <v>0</v>
      </c>
      <c r="BS533" s="262" t="s">
        <v>99</v>
      </c>
      <c r="BT533" s="277"/>
      <c r="BW533" s="266">
        <f t="shared" si="349"/>
        <v>0</v>
      </c>
      <c r="BX533" s="266">
        <f t="shared" si="350"/>
        <v>0</v>
      </c>
      <c r="BY533" s="266">
        <f t="shared" si="351"/>
        <v>0</v>
      </c>
      <c r="BZ533" s="266">
        <f t="shared" si="352"/>
        <v>0</v>
      </c>
      <c r="CA533" s="266">
        <f ca="1">N533*IFERROR(INDEX(Algorithms!$G:$G,MATCH($C533&amp;"_Therm Saved per Unit- MLA",Algorithms!$A:$A,0)),0)*X533</f>
        <v>0</v>
      </c>
      <c r="CB533" s="266">
        <f ca="1">O533*IFERROR(INDEX(Algorithms!$G:$G,MATCH($C533&amp;"_Therm Saved per Unit- MLA",Algorithms!$A:$A,0)),0)*Y533</f>
        <v>0</v>
      </c>
      <c r="CC533" s="266">
        <f ca="1">P533*IFERROR(INDEX(Algorithms!$G:$G,MATCH($C533&amp;"_Therm Saved per Unit- MLA",Algorithms!$A:$A,0)),0)*Z533</f>
        <v>0</v>
      </c>
      <c r="CD533" s="266">
        <f ca="1">Q533*IFERROR(INDEX(Algorithms!$G:$G,MATCH($C533&amp;"_Therm Saved per Unit- MLA",Algorithms!$A:$A,0)),0)*AA533</f>
        <v>0</v>
      </c>
      <c r="CE533" s="266">
        <f ca="1">IFERROR(INDEX(Algorithms!$G:$G,MATCH($C533&amp;"_Lifetime (years)",Algorithms!$A:$A,0)),0)</f>
        <v>0</v>
      </c>
      <c r="CF533" s="266">
        <f ca="1">IFERROR(INDEX(Algorithms!$G:$G,MATCH($C533&amp;"_Lifetime (years) - Remaining Years",Algorithms!$A:$A,0)),0)</f>
        <v>0</v>
      </c>
      <c r="CG533" s="266">
        <f t="shared" ca="1" si="353"/>
        <v>0</v>
      </c>
      <c r="CH533" s="266">
        <f t="shared" ca="1" si="354"/>
        <v>0</v>
      </c>
      <c r="CI533" s="266">
        <f t="shared" ca="1" si="355"/>
        <v>0</v>
      </c>
      <c r="CJ533" s="266">
        <f t="shared" ca="1" si="356"/>
        <v>0</v>
      </c>
      <c r="CK533" s="266">
        <f t="shared" si="357"/>
        <v>0</v>
      </c>
      <c r="CL533" s="266">
        <f t="shared" si="358"/>
        <v>0</v>
      </c>
      <c r="CM533" s="266">
        <f t="shared" ca="1" si="359"/>
        <v>0</v>
      </c>
      <c r="CN533" s="266">
        <f t="shared" ca="1" si="360"/>
        <v>0</v>
      </c>
      <c r="CO533" s="266">
        <f ca="1">N533*IFERROR(INDEX(Algorithms!$G:$G,MATCH($C533&amp;"_Therm Saved per Unit- MLA",Algorithms!$A:$A,0)),0)*X533</f>
        <v>0</v>
      </c>
      <c r="CP533" s="266">
        <f ca="1">O533*IFERROR(INDEX(Algorithms!$G:$G,MATCH($C533&amp;"_Therm Saved per Unit- MLA",Algorithms!$A:$A,0)),0)*Y533</f>
        <v>0</v>
      </c>
      <c r="CQ533" s="266">
        <f ca="1">P533*IFERROR(INDEX(Algorithms!$G:$G,MATCH($C533&amp;"_Therm Saved per Unit- MLA",Algorithms!$A:$A,0)),0)*Z533</f>
        <v>0</v>
      </c>
      <c r="CR533" s="266">
        <f ca="1">Q533*IFERROR(INDEX(Algorithms!$G:$G,MATCH($C533&amp;"_Therm Saved per Unit- MLA",Algorithms!$A:$A,0)),0)*AA533</f>
        <v>0</v>
      </c>
      <c r="CS533" s="266">
        <f ca="1">IFERROR(INDEX(Algorithms!$G:$G,MATCH($C533&amp;"_Lifetime (years)",Algorithms!$A:$A,0)),0)</f>
        <v>0</v>
      </c>
      <c r="CT533" s="266">
        <f ca="1">IFERROR(INDEX(Algorithms!$G:$G,MATCH($C533&amp;"_Lifetime (years) - Remaining Years",Algorithms!$A:$A,0)),0)</f>
        <v>0</v>
      </c>
      <c r="CU533" s="266">
        <f t="shared" ca="1" si="361"/>
        <v>0</v>
      </c>
      <c r="CV533" s="266">
        <f t="shared" ca="1" si="362"/>
        <v>0</v>
      </c>
      <c r="CW533" s="266">
        <f t="shared" ca="1" si="363"/>
        <v>0</v>
      </c>
      <c r="CX533" s="266">
        <f t="shared" ca="1" si="364"/>
        <v>0</v>
      </c>
    </row>
    <row r="534" spans="2:102" s="47" customFormat="1" ht="18" customHeight="1" x14ac:dyDescent="0.25">
      <c r="B534" t="str">
        <f t="shared" si="365"/>
        <v>NSG_Income Eligible_Multi-Family_New Construction_Affordable Housing New Construction_0_IE</v>
      </c>
      <c r="C534" s="47" t="str">
        <f t="shared" si="326"/>
        <v>Affordable Housing New Construction_0_IE</v>
      </c>
      <c r="D534" s="270" t="s">
        <v>1787</v>
      </c>
      <c r="E534" s="270" t="s">
        <v>325</v>
      </c>
      <c r="F534" s="270" t="s">
        <v>1422</v>
      </c>
      <c r="G534" s="270" t="s">
        <v>1092</v>
      </c>
      <c r="H534" s="270" t="s">
        <v>1157</v>
      </c>
      <c r="I534" s="270">
        <v>0</v>
      </c>
      <c r="J534" s="270" t="s">
        <v>551</v>
      </c>
      <c r="K534" s="263">
        <v>1</v>
      </c>
      <c r="L534" s="263">
        <f ca="1">IFERROR(INDEX(Algorithms!J:J,MATCH($C534&amp;"_Therm Saved per Unit",Algorithms!$A:$A,0)),"n/a")</f>
        <v>0</v>
      </c>
      <c r="M534" s="263" t="str">
        <f>IFERROR(INDEX('Measure Level Detail'!$N:$N,MATCH($B534,'Measure Level Detail'!$B:$B,0)),0)</f>
        <v>each</v>
      </c>
      <c r="N534" s="271">
        <f>IFERROR(INDEX('Measure Level Detail'!$P:$P,MATCH($B534&amp;"_"&amp;N$3,'Measure Level Detail'!$C:$C,0)),0)</f>
        <v>0</v>
      </c>
      <c r="O534" s="271">
        <f>IFERROR(INDEX('Measure Level Detail'!$P:$P,MATCH($B534&amp;"_"&amp;O$3,'Measure Level Detail'!$C:$C,0)),0)</f>
        <v>0</v>
      </c>
      <c r="P534" s="271">
        <f>IFERROR(INDEX('Measure Level Detail'!$P:$P,MATCH($B534&amp;"_"&amp;P$3,'Measure Level Detail'!$C:$C,0)),0)</f>
        <v>0</v>
      </c>
      <c r="Q534" s="271">
        <f>IFERROR(INDEX('Measure Level Detail'!$P:$P,MATCH($B534&amp;"_"&amp;Q$3,'Measure Level Detail'!$C:$C,0)),0)</f>
        <v>0</v>
      </c>
      <c r="R534" s="263">
        <f ca="1">IFERROR(INDEX(Algorithms!K:K,MATCH($C534&amp;"_Therm Saved per Unit",Algorithms!$A:$A,0)),"n/a")</f>
        <v>0</v>
      </c>
      <c r="S534" s="262"/>
      <c r="T534" s="272">
        <v>1</v>
      </c>
      <c r="U534" s="272">
        <v>1</v>
      </c>
      <c r="V534" s="272">
        <v>1</v>
      </c>
      <c r="W534" s="272">
        <v>1</v>
      </c>
      <c r="X534" s="273">
        <f>IFERROR(INDEX('Measure Level Detail'!$R:$R,MATCH($B534&amp;"_"&amp;X$3,'Measure Level Detail'!$C:$C,0)),0)</f>
        <v>1</v>
      </c>
      <c r="Y534" s="273">
        <f>IFERROR(INDEX('Measure Level Detail'!$R:$R,MATCH($B534&amp;"_"&amp;Y$3,'Measure Level Detail'!$C:$C,0)),0)</f>
        <v>1</v>
      </c>
      <c r="Z534" s="273">
        <f>IFERROR(INDEX('Measure Level Detail'!$R:$R,MATCH($B534&amp;"_"&amp;Z$3,'Measure Level Detail'!$C:$C,0)),0)</f>
        <v>1</v>
      </c>
      <c r="AA534" s="273">
        <f>IFERROR(INDEX('Measure Level Detail'!$R:$R,MATCH($B534&amp;"_"&amp;AA$3,'Measure Level Detail'!$C:$C,0)),0)</f>
        <v>1</v>
      </c>
      <c r="AB534" s="266">
        <f t="shared" si="327"/>
        <v>0</v>
      </c>
      <c r="AC534" s="266">
        <f t="shared" si="328"/>
        <v>0</v>
      </c>
      <c r="AD534" s="266">
        <f t="shared" si="329"/>
        <v>0</v>
      </c>
      <c r="AE534" s="266">
        <f t="shared" si="330"/>
        <v>0</v>
      </c>
      <c r="AF534" s="266">
        <f t="shared" si="331"/>
        <v>0</v>
      </c>
      <c r="AG534" s="274">
        <v>1</v>
      </c>
      <c r="AH534" s="274">
        <v>1</v>
      </c>
      <c r="AI534" s="274">
        <v>1</v>
      </c>
      <c r="AJ534" s="274">
        <v>1</v>
      </c>
      <c r="AK534" s="274">
        <f t="shared" si="332"/>
        <v>1</v>
      </c>
      <c r="AL534" s="274">
        <f t="shared" si="333"/>
        <v>1</v>
      </c>
      <c r="AM534" s="274">
        <f t="shared" si="334"/>
        <v>1</v>
      </c>
      <c r="AN534" s="274">
        <f t="shared" si="335"/>
        <v>1</v>
      </c>
      <c r="AO534" s="262"/>
      <c r="AP534" s="262"/>
      <c r="AQ534" s="267">
        <v>1</v>
      </c>
      <c r="AR534" s="262"/>
      <c r="AS534" s="266">
        <f t="shared" si="336"/>
        <v>0</v>
      </c>
      <c r="AT534" s="264">
        <f t="shared" si="337"/>
        <v>0</v>
      </c>
      <c r="AU534" s="262"/>
      <c r="AV534" s="262"/>
      <c r="AW534" s="265">
        <v>1</v>
      </c>
      <c r="AX534" s="164" t="s">
        <v>1469</v>
      </c>
      <c r="AY534" s="266">
        <v>0</v>
      </c>
      <c r="AZ534" s="266">
        <f t="shared" si="338"/>
        <v>0</v>
      </c>
      <c r="BA534" s="264">
        <f t="shared" si="339"/>
        <v>0</v>
      </c>
      <c r="BB534" s="262"/>
      <c r="BC534" s="262"/>
      <c r="BD534" s="265">
        <f ca="1">IFERROR(INDEX(Algorithms!$G:$G,MATCH($C534&amp;"_Therm Saved per Unit",Algorithms!$A:$A,0)),0)</f>
        <v>1</v>
      </c>
      <c r="BE534" s="164" t="str">
        <f ca="1">IFERROR(INDEX('v12 Revisions'!$P$29:$P$186, MATCH('Measure-Level Adj Gas'!$L534, 'v12 Revisions'!$D$29:$D$186,0)),"")</f>
        <v/>
      </c>
      <c r="BF534" s="266">
        <f t="shared" ca="1" si="340"/>
        <v>0</v>
      </c>
      <c r="BG534" s="264">
        <f t="shared" ca="1" si="341"/>
        <v>0</v>
      </c>
      <c r="BH534" s="262"/>
      <c r="BI534" s="262"/>
      <c r="BJ534" s="265">
        <f ca="1">IFERROR(INDEX(Algorithms!$G:$G,MATCH($C534&amp;"_Therm Saved per Unit",Algorithms!$A:$A,0)),0)</f>
        <v>1</v>
      </c>
      <c r="BK534" s="164"/>
      <c r="BL534" s="266">
        <f t="shared" ca="1" si="342"/>
        <v>0</v>
      </c>
      <c r="BM534" s="264">
        <f t="shared" ca="1" si="343"/>
        <v>0</v>
      </c>
      <c r="BN534" s="266">
        <f t="shared" si="344"/>
        <v>0</v>
      </c>
      <c r="BO534" s="266">
        <f t="shared" si="345"/>
        <v>0</v>
      </c>
      <c r="BP534" s="266">
        <f t="shared" ca="1" si="346"/>
        <v>0</v>
      </c>
      <c r="BQ534" s="266">
        <f t="shared" ca="1" si="347"/>
        <v>0</v>
      </c>
      <c r="BR534" s="268">
        <f t="shared" ca="1" si="348"/>
        <v>0</v>
      </c>
      <c r="BS534" s="262" t="s">
        <v>99</v>
      </c>
      <c r="BT534" s="277"/>
      <c r="BW534" s="266">
        <f t="shared" si="349"/>
        <v>0</v>
      </c>
      <c r="BX534" s="266">
        <f t="shared" si="350"/>
        <v>0</v>
      </c>
      <c r="BY534" s="266">
        <f t="shared" si="351"/>
        <v>0</v>
      </c>
      <c r="BZ534" s="266">
        <f t="shared" si="352"/>
        <v>0</v>
      </c>
      <c r="CA534" s="266">
        <f ca="1">N534*IFERROR(INDEX(Algorithms!$G:$G,MATCH($C534&amp;"_Therm Saved per Unit- MLA",Algorithms!$A:$A,0)),0)*X534</f>
        <v>0</v>
      </c>
      <c r="CB534" s="266">
        <f ca="1">O534*IFERROR(INDEX(Algorithms!$G:$G,MATCH($C534&amp;"_Therm Saved per Unit- MLA",Algorithms!$A:$A,0)),0)*Y534</f>
        <v>0</v>
      </c>
      <c r="CC534" s="266">
        <f ca="1">P534*IFERROR(INDEX(Algorithms!$G:$G,MATCH($C534&amp;"_Therm Saved per Unit- MLA",Algorithms!$A:$A,0)),0)*Z534</f>
        <v>0</v>
      </c>
      <c r="CD534" s="266">
        <f ca="1">Q534*IFERROR(INDEX(Algorithms!$G:$G,MATCH($C534&amp;"_Therm Saved per Unit- MLA",Algorithms!$A:$A,0)),0)*AA534</f>
        <v>0</v>
      </c>
      <c r="CE534" s="266">
        <f ca="1">IFERROR(INDEX(Algorithms!$G:$G,MATCH($C534&amp;"_Lifetime (years)",Algorithms!$A:$A,0)),0)</f>
        <v>19.2</v>
      </c>
      <c r="CF534" s="266">
        <f ca="1">IFERROR(INDEX(Algorithms!$G:$G,MATCH($C534&amp;"_Lifetime (years) - Remaining Years",Algorithms!$A:$A,0)),0)</f>
        <v>0</v>
      </c>
      <c r="CG534" s="266">
        <f t="shared" ca="1" si="353"/>
        <v>0</v>
      </c>
      <c r="CH534" s="266">
        <f t="shared" ca="1" si="354"/>
        <v>0</v>
      </c>
      <c r="CI534" s="266">
        <f t="shared" ca="1" si="355"/>
        <v>0</v>
      </c>
      <c r="CJ534" s="266">
        <f t="shared" ca="1" si="356"/>
        <v>0</v>
      </c>
      <c r="CK534" s="266">
        <f t="shared" si="357"/>
        <v>0</v>
      </c>
      <c r="CL534" s="266">
        <f t="shared" si="358"/>
        <v>0</v>
      </c>
      <c r="CM534" s="266">
        <f t="shared" ca="1" si="359"/>
        <v>0</v>
      </c>
      <c r="CN534" s="266">
        <f t="shared" ca="1" si="360"/>
        <v>0</v>
      </c>
      <c r="CO534" s="266">
        <f ca="1">N534*IFERROR(INDEX(Algorithms!$G:$G,MATCH($C534&amp;"_Therm Saved per Unit- MLA",Algorithms!$A:$A,0)),0)*X534</f>
        <v>0</v>
      </c>
      <c r="CP534" s="266">
        <f ca="1">O534*IFERROR(INDEX(Algorithms!$G:$G,MATCH($C534&amp;"_Therm Saved per Unit- MLA",Algorithms!$A:$A,0)),0)*Y534</f>
        <v>0</v>
      </c>
      <c r="CQ534" s="266">
        <f ca="1">P534*IFERROR(INDEX(Algorithms!$G:$G,MATCH($C534&amp;"_Therm Saved per Unit- MLA",Algorithms!$A:$A,0)),0)*Z534</f>
        <v>0</v>
      </c>
      <c r="CR534" s="266">
        <f ca="1">Q534*IFERROR(INDEX(Algorithms!$G:$G,MATCH($C534&amp;"_Therm Saved per Unit- MLA",Algorithms!$A:$A,0)),0)*AA534</f>
        <v>0</v>
      </c>
      <c r="CS534" s="266">
        <f ca="1">IFERROR(INDEX(Algorithms!$G:$G,MATCH($C534&amp;"_Lifetime (years)",Algorithms!$A:$A,0)),0)</f>
        <v>19.2</v>
      </c>
      <c r="CT534" s="266">
        <f ca="1">IFERROR(INDEX(Algorithms!$G:$G,MATCH($C534&amp;"_Lifetime (years) - Remaining Years",Algorithms!$A:$A,0)),0)</f>
        <v>0</v>
      </c>
      <c r="CU534" s="266">
        <f t="shared" ca="1" si="361"/>
        <v>0</v>
      </c>
      <c r="CV534" s="266">
        <f t="shared" ca="1" si="362"/>
        <v>0</v>
      </c>
      <c r="CW534" s="266">
        <f t="shared" ca="1" si="363"/>
        <v>0</v>
      </c>
      <c r="CX534" s="266">
        <f t="shared" ca="1" si="364"/>
        <v>0</v>
      </c>
    </row>
    <row r="535" spans="2:102" s="47" customFormat="1" ht="18" customHeight="1" x14ac:dyDescent="0.25">
      <c r="B535" t="str">
        <f t="shared" si="365"/>
        <v>NSG_Business_Public Sector_Assessments_Unit Visit_0_CI</v>
      </c>
      <c r="C535" s="47" t="str">
        <f t="shared" si="326"/>
        <v>Unit Visit_0_CI</v>
      </c>
      <c r="D535" s="270" t="s">
        <v>1787</v>
      </c>
      <c r="E535" s="270" t="s">
        <v>3</v>
      </c>
      <c r="F535" s="270" t="s">
        <v>1430</v>
      </c>
      <c r="G535" s="270" t="s">
        <v>1431</v>
      </c>
      <c r="H535" s="270" t="s">
        <v>1090</v>
      </c>
      <c r="I535" s="270">
        <v>0</v>
      </c>
      <c r="J535" s="270" t="s">
        <v>1159</v>
      </c>
      <c r="K535" s="263">
        <v>1</v>
      </c>
      <c r="L535" s="263">
        <f ca="1">IFERROR(INDEX(Algorithms!J:J,MATCH($C535&amp;"_Therm Saved per Unit",Algorithms!$A:$A,0)),"n/a")</f>
        <v>0</v>
      </c>
      <c r="M535" s="263">
        <f>IFERROR(INDEX('Measure Level Detail'!$N:$N,MATCH($B535,'Measure Level Detail'!$B:$B,0)),0)</f>
        <v>0</v>
      </c>
      <c r="N535" s="271">
        <f>IFERROR(INDEX('Measure Level Detail'!$P:$P,MATCH($B535&amp;"_"&amp;N$3,'Measure Level Detail'!$C:$C,0)),0)</f>
        <v>0</v>
      </c>
      <c r="O535" s="271">
        <f>IFERROR(INDEX('Measure Level Detail'!$P:$P,MATCH($B535&amp;"_"&amp;O$3,'Measure Level Detail'!$C:$C,0)),0)</f>
        <v>0</v>
      </c>
      <c r="P535" s="271">
        <f>IFERROR(INDEX('Measure Level Detail'!$P:$P,MATCH($B535&amp;"_"&amp;P$3,'Measure Level Detail'!$C:$C,0)),0)</f>
        <v>0</v>
      </c>
      <c r="Q535" s="271">
        <f>IFERROR(INDEX('Measure Level Detail'!$P:$P,MATCH($B535&amp;"_"&amp;Q$3,'Measure Level Detail'!$C:$C,0)),0)</f>
        <v>0</v>
      </c>
      <c r="R535" s="263">
        <f ca="1">IFERROR(INDEX(Algorithms!K:K,MATCH($C535&amp;"_Therm Saved per Unit",Algorithms!$A:$A,0)),"n/a")</f>
        <v>0</v>
      </c>
      <c r="S535" s="262"/>
      <c r="T535" s="272">
        <v>0</v>
      </c>
      <c r="U535" s="272">
        <v>0</v>
      </c>
      <c r="V535" s="272">
        <v>0</v>
      </c>
      <c r="W535" s="272">
        <v>0</v>
      </c>
      <c r="X535" s="276">
        <v>0.92</v>
      </c>
      <c r="Y535" s="276">
        <v>0.92</v>
      </c>
      <c r="Z535" s="276">
        <v>0.92</v>
      </c>
      <c r="AA535" s="276">
        <v>0.92</v>
      </c>
      <c r="AB535" s="266">
        <f t="shared" si="327"/>
        <v>0</v>
      </c>
      <c r="AC535" s="266">
        <f t="shared" si="328"/>
        <v>0</v>
      </c>
      <c r="AD535" s="266">
        <f t="shared" si="329"/>
        <v>0</v>
      </c>
      <c r="AE535" s="266">
        <f t="shared" si="330"/>
        <v>0</v>
      </c>
      <c r="AF535" s="266">
        <f t="shared" si="331"/>
        <v>0</v>
      </c>
      <c r="AG535" s="274">
        <v>0.92</v>
      </c>
      <c r="AH535" s="274">
        <v>0.92</v>
      </c>
      <c r="AI535" s="274">
        <v>0.92</v>
      </c>
      <c r="AJ535" s="274">
        <v>0.92</v>
      </c>
      <c r="AK535" s="274">
        <f t="shared" si="332"/>
        <v>0.92</v>
      </c>
      <c r="AL535" s="274">
        <f t="shared" si="333"/>
        <v>0.92</v>
      </c>
      <c r="AM535" s="274">
        <f t="shared" si="334"/>
        <v>0.92</v>
      </c>
      <c r="AN535" s="274">
        <f t="shared" si="335"/>
        <v>0.92</v>
      </c>
      <c r="AO535" s="262"/>
      <c r="AP535" s="262"/>
      <c r="AQ535" s="267">
        <v>0</v>
      </c>
      <c r="AR535" s="262"/>
      <c r="AS535" s="266">
        <f t="shared" si="336"/>
        <v>0</v>
      </c>
      <c r="AT535" s="264">
        <f t="shared" si="337"/>
        <v>0</v>
      </c>
      <c r="AU535" s="262"/>
      <c r="AV535" s="262"/>
      <c r="AW535" s="265">
        <v>0</v>
      </c>
      <c r="AX535" s="164" t="s">
        <v>1469</v>
      </c>
      <c r="AY535" s="266">
        <v>0</v>
      </c>
      <c r="AZ535" s="266">
        <f t="shared" si="338"/>
        <v>0</v>
      </c>
      <c r="BA535" s="264">
        <f t="shared" si="339"/>
        <v>0</v>
      </c>
      <c r="BB535" s="262"/>
      <c r="BC535" s="262"/>
      <c r="BD535" s="265">
        <f ca="1">IFERROR(INDEX(Algorithms!$G:$G,MATCH($C535&amp;"_Therm Saved per Unit",Algorithms!$A:$A,0)),0)</f>
        <v>0</v>
      </c>
      <c r="BE535" s="164" t="str">
        <f ca="1">IFERROR(INDEX('v12 Revisions'!$P$29:$P$186, MATCH('Measure-Level Adj Gas'!$L535, 'v12 Revisions'!$D$29:$D$186,0)),"")</f>
        <v/>
      </c>
      <c r="BF535" s="266">
        <f t="shared" ca="1" si="340"/>
        <v>0</v>
      </c>
      <c r="BG535" s="264">
        <f t="shared" ca="1" si="341"/>
        <v>0</v>
      </c>
      <c r="BH535" s="262"/>
      <c r="BI535" s="262"/>
      <c r="BJ535" s="265">
        <f ca="1">IFERROR(INDEX(Algorithms!$G:$G,MATCH($C535&amp;"_Therm Saved per Unit",Algorithms!$A:$A,0)),0)</f>
        <v>0</v>
      </c>
      <c r="BK535" s="164"/>
      <c r="BL535" s="266">
        <f t="shared" ca="1" si="342"/>
        <v>0</v>
      </c>
      <c r="BM535" s="264">
        <f t="shared" ca="1" si="343"/>
        <v>0</v>
      </c>
      <c r="BN535" s="266">
        <f t="shared" si="344"/>
        <v>0</v>
      </c>
      <c r="BO535" s="266">
        <f t="shared" si="345"/>
        <v>0</v>
      </c>
      <c r="BP535" s="266">
        <f t="shared" ca="1" si="346"/>
        <v>0</v>
      </c>
      <c r="BQ535" s="266">
        <f t="shared" ca="1" si="347"/>
        <v>0</v>
      </c>
      <c r="BR535" s="268">
        <f t="shared" ca="1" si="348"/>
        <v>0</v>
      </c>
      <c r="BS535" s="262" t="s">
        <v>99</v>
      </c>
      <c r="BT535" s="277"/>
      <c r="BW535" s="266">
        <f t="shared" si="349"/>
        <v>0</v>
      </c>
      <c r="BX535" s="266">
        <f t="shared" si="350"/>
        <v>0</v>
      </c>
      <c r="BY535" s="266">
        <f t="shared" si="351"/>
        <v>0</v>
      </c>
      <c r="BZ535" s="266">
        <f t="shared" si="352"/>
        <v>0</v>
      </c>
      <c r="CA535" s="266">
        <f ca="1">N535*IFERROR(INDEX(Algorithms!$G:$G,MATCH($C535&amp;"_Therm Saved per Unit- MLA",Algorithms!$A:$A,0)),0)*X535</f>
        <v>0</v>
      </c>
      <c r="CB535" s="266">
        <f ca="1">O535*IFERROR(INDEX(Algorithms!$G:$G,MATCH($C535&amp;"_Therm Saved per Unit- MLA",Algorithms!$A:$A,0)),0)*Y535</f>
        <v>0</v>
      </c>
      <c r="CC535" s="266">
        <f ca="1">P535*IFERROR(INDEX(Algorithms!$G:$G,MATCH($C535&amp;"_Therm Saved per Unit- MLA",Algorithms!$A:$A,0)),0)*Z535</f>
        <v>0</v>
      </c>
      <c r="CD535" s="266">
        <f ca="1">Q535*IFERROR(INDEX(Algorithms!$G:$G,MATCH($C535&amp;"_Therm Saved per Unit- MLA",Algorithms!$A:$A,0)),0)*AA535</f>
        <v>0</v>
      </c>
      <c r="CE535" s="266">
        <f ca="1">IFERROR(INDEX(Algorithms!$G:$G,MATCH($C535&amp;"_Lifetime (years)",Algorithms!$A:$A,0)),0)</f>
        <v>1</v>
      </c>
      <c r="CF535" s="266">
        <f ca="1">IFERROR(INDEX(Algorithms!$G:$G,MATCH($C535&amp;"_Lifetime (years) - Remaining Years",Algorithms!$A:$A,0)),0)</f>
        <v>0</v>
      </c>
      <c r="CG535" s="266">
        <f t="shared" ca="1" si="353"/>
        <v>0</v>
      </c>
      <c r="CH535" s="266">
        <f t="shared" ca="1" si="354"/>
        <v>0</v>
      </c>
      <c r="CI535" s="266">
        <f t="shared" ca="1" si="355"/>
        <v>0</v>
      </c>
      <c r="CJ535" s="266">
        <f t="shared" ca="1" si="356"/>
        <v>0</v>
      </c>
      <c r="CK535" s="266">
        <f t="shared" si="357"/>
        <v>0</v>
      </c>
      <c r="CL535" s="266">
        <f t="shared" si="358"/>
        <v>0</v>
      </c>
      <c r="CM535" s="266">
        <f t="shared" ca="1" si="359"/>
        <v>0</v>
      </c>
      <c r="CN535" s="266">
        <f t="shared" ca="1" si="360"/>
        <v>0</v>
      </c>
      <c r="CO535" s="266">
        <f ca="1">N535*IFERROR(INDEX(Algorithms!$G:$G,MATCH($C535&amp;"_Therm Saved per Unit- MLA",Algorithms!$A:$A,0)),0)*X535</f>
        <v>0</v>
      </c>
      <c r="CP535" s="266">
        <f ca="1">O535*IFERROR(INDEX(Algorithms!$G:$G,MATCH($C535&amp;"_Therm Saved per Unit- MLA",Algorithms!$A:$A,0)),0)*Y535</f>
        <v>0</v>
      </c>
      <c r="CQ535" s="266">
        <f ca="1">P535*IFERROR(INDEX(Algorithms!$G:$G,MATCH($C535&amp;"_Therm Saved per Unit- MLA",Algorithms!$A:$A,0)),0)*Z535</f>
        <v>0</v>
      </c>
      <c r="CR535" s="266">
        <f ca="1">Q535*IFERROR(INDEX(Algorithms!$G:$G,MATCH($C535&amp;"_Therm Saved per Unit- MLA",Algorithms!$A:$A,0)),0)*AA535</f>
        <v>0</v>
      </c>
      <c r="CS535" s="266">
        <f ca="1">IFERROR(INDEX(Algorithms!$G:$G,MATCH($C535&amp;"_Lifetime (years)",Algorithms!$A:$A,0)),0)</f>
        <v>1</v>
      </c>
      <c r="CT535" s="266">
        <f ca="1">IFERROR(INDEX(Algorithms!$G:$G,MATCH($C535&amp;"_Lifetime (years) - Remaining Years",Algorithms!$A:$A,0)),0)</f>
        <v>0</v>
      </c>
      <c r="CU535" s="266">
        <f t="shared" ca="1" si="361"/>
        <v>0</v>
      </c>
      <c r="CV535" s="266">
        <f t="shared" ca="1" si="362"/>
        <v>0</v>
      </c>
      <c r="CW535" s="266">
        <f t="shared" ca="1" si="363"/>
        <v>0</v>
      </c>
      <c r="CX535" s="266">
        <f t="shared" ca="1" si="364"/>
        <v>0</v>
      </c>
    </row>
    <row r="536" spans="2:102" s="47" customFormat="1" ht="18" customHeight="1" x14ac:dyDescent="0.25">
      <c r="B536" t="str">
        <f t="shared" si="365"/>
        <v>NSG_Business_Public Sector_Assessments_Low Flow Bathroom Aerator_0_CI</v>
      </c>
      <c r="C536" s="47" t="str">
        <f t="shared" si="326"/>
        <v>Low Flow Bathroom Aerator_0_CI</v>
      </c>
      <c r="D536" s="270" t="s">
        <v>1787</v>
      </c>
      <c r="E536" s="270" t="s">
        <v>3</v>
      </c>
      <c r="F536" s="270" t="s">
        <v>1430</v>
      </c>
      <c r="G536" s="270" t="s">
        <v>1431</v>
      </c>
      <c r="H536" s="270" t="s">
        <v>555</v>
      </c>
      <c r="I536" s="270">
        <v>0</v>
      </c>
      <c r="J536" s="270" t="s">
        <v>1159</v>
      </c>
      <c r="K536" s="263">
        <v>1</v>
      </c>
      <c r="L536" s="263" t="str">
        <f ca="1">IFERROR(INDEX(Algorithms!J:J,MATCH($C536&amp;"_Therm Saved per Unit",Algorithms!$A:$A,0)),"n/a")</f>
        <v>4.3.2</v>
      </c>
      <c r="M536" s="263">
        <f>IFERROR(INDEX('Measure Level Detail'!$N:$N,MATCH($B536,'Measure Level Detail'!$B:$B,0)),0)</f>
        <v>0</v>
      </c>
      <c r="N536" s="271">
        <f>IFERROR(INDEX('Measure Level Detail'!$P:$P,MATCH($B536&amp;"_"&amp;N$3,'Measure Level Detail'!$C:$C,0)),0)</f>
        <v>0</v>
      </c>
      <c r="O536" s="271">
        <f>IFERROR(INDEX('Measure Level Detail'!$P:$P,MATCH($B536&amp;"_"&amp;O$3,'Measure Level Detail'!$C:$C,0)),0)</f>
        <v>0</v>
      </c>
      <c r="P536" s="271">
        <f>IFERROR(INDEX('Measure Level Detail'!$P:$P,MATCH($B536&amp;"_"&amp;P$3,'Measure Level Detail'!$C:$C,0)),0)</f>
        <v>0</v>
      </c>
      <c r="Q536" s="271">
        <f>IFERROR(INDEX('Measure Level Detail'!$P:$P,MATCH($B536&amp;"_"&amp;Q$3,'Measure Level Detail'!$C:$C,0)),0)</f>
        <v>0</v>
      </c>
      <c r="R536" s="263" t="str">
        <f ca="1">IFERROR(INDEX(Algorithms!K:K,MATCH($C536&amp;"_Therm Saved per Unit",Algorithms!$A:$A,0)),"n/a")</f>
        <v>CI-HWE-LFFA-V12-240101</v>
      </c>
      <c r="S536" s="262"/>
      <c r="T536" s="272">
        <v>6.1049460431654667</v>
      </c>
      <c r="U536" s="272">
        <v>6.1049460431654667</v>
      </c>
      <c r="V536" s="272">
        <v>6.1049460431654667</v>
      </c>
      <c r="W536" s="272">
        <v>6.1049460431654667</v>
      </c>
      <c r="X536" s="276">
        <v>0.92</v>
      </c>
      <c r="Y536" s="276">
        <v>0.92</v>
      </c>
      <c r="Z536" s="276">
        <v>0.92</v>
      </c>
      <c r="AA536" s="276">
        <v>0.92</v>
      </c>
      <c r="AB536" s="266">
        <f t="shared" si="327"/>
        <v>0</v>
      </c>
      <c r="AC536" s="266">
        <f t="shared" si="328"/>
        <v>0</v>
      </c>
      <c r="AD536" s="266">
        <f t="shared" si="329"/>
        <v>0</v>
      </c>
      <c r="AE536" s="266">
        <f t="shared" si="330"/>
        <v>0</v>
      </c>
      <c r="AF536" s="266">
        <f t="shared" si="331"/>
        <v>0</v>
      </c>
      <c r="AG536" s="274">
        <v>0.92</v>
      </c>
      <c r="AH536" s="274">
        <v>0.92</v>
      </c>
      <c r="AI536" s="274">
        <v>0.92</v>
      </c>
      <c r="AJ536" s="274">
        <v>0.92</v>
      </c>
      <c r="AK536" s="274">
        <f t="shared" si="332"/>
        <v>0.92</v>
      </c>
      <c r="AL536" s="274">
        <f t="shared" si="333"/>
        <v>0.92</v>
      </c>
      <c r="AM536" s="274">
        <f t="shared" si="334"/>
        <v>0.92</v>
      </c>
      <c r="AN536" s="274">
        <f t="shared" si="335"/>
        <v>0.92</v>
      </c>
      <c r="AO536" s="262"/>
      <c r="AP536" s="262"/>
      <c r="AQ536" s="267">
        <v>6.7661870503597124</v>
      </c>
      <c r="AR536" s="262"/>
      <c r="AS536" s="266">
        <f t="shared" si="336"/>
        <v>0</v>
      </c>
      <c r="AT536" s="264">
        <f t="shared" si="337"/>
        <v>0</v>
      </c>
      <c r="AU536" s="262"/>
      <c r="AV536" s="262"/>
      <c r="AW536" s="265">
        <v>6.7661870503597124</v>
      </c>
      <c r="AX536" s="164" t="s">
        <v>2393</v>
      </c>
      <c r="AY536" s="266">
        <v>0</v>
      </c>
      <c r="AZ536" s="266">
        <f t="shared" si="338"/>
        <v>0</v>
      </c>
      <c r="BA536" s="264">
        <f t="shared" si="339"/>
        <v>0</v>
      </c>
      <c r="BB536" s="262"/>
      <c r="BC536" s="262"/>
      <c r="BD536" s="265">
        <f ca="1">IFERROR(INDEX(Algorithms!$G:$G,MATCH($C536&amp;"_Therm Saved per Unit",Algorithms!$A:$A,0)),0)</f>
        <v>6.7661870503597124</v>
      </c>
      <c r="BE536" s="164" t="str">
        <f ca="1">IFERROR(INDEX('v12 Revisions'!$P$29:$P$186, MATCH('Measure-Level Adj Gas'!$L536, 'v12 Revisions'!$D$29:$D$186,0)),"")</f>
        <v/>
      </c>
      <c r="BF536" s="266">
        <f t="shared" ca="1" si="340"/>
        <v>0</v>
      </c>
      <c r="BG536" s="264">
        <f t="shared" ca="1" si="341"/>
        <v>0</v>
      </c>
      <c r="BH536" s="262"/>
      <c r="BI536" s="262"/>
      <c r="BJ536" s="265">
        <f ca="1">IFERROR(INDEX(Algorithms!$G:$G,MATCH($C536&amp;"_Therm Saved per Unit",Algorithms!$A:$A,0)),0)</f>
        <v>6.7661870503597124</v>
      </c>
      <c r="BK536" s="164"/>
      <c r="BL536" s="266">
        <f t="shared" ca="1" si="342"/>
        <v>0</v>
      </c>
      <c r="BM536" s="264">
        <f t="shared" ca="1" si="343"/>
        <v>0</v>
      </c>
      <c r="BN536" s="266">
        <f t="shared" si="344"/>
        <v>0</v>
      </c>
      <c r="BO536" s="266">
        <f t="shared" si="345"/>
        <v>0</v>
      </c>
      <c r="BP536" s="266">
        <f t="shared" ca="1" si="346"/>
        <v>0</v>
      </c>
      <c r="BQ536" s="266">
        <f t="shared" ca="1" si="347"/>
        <v>0</v>
      </c>
      <c r="BR536" s="268">
        <f t="shared" ca="1" si="348"/>
        <v>0</v>
      </c>
      <c r="BS536" s="262" t="s">
        <v>99</v>
      </c>
      <c r="BT536" s="277"/>
      <c r="BW536" s="266">
        <f t="shared" si="349"/>
        <v>0</v>
      </c>
      <c r="BX536" s="266">
        <f t="shared" si="350"/>
        <v>0</v>
      </c>
      <c r="BY536" s="266">
        <f t="shared" si="351"/>
        <v>0</v>
      </c>
      <c r="BZ536" s="266">
        <f t="shared" si="352"/>
        <v>0</v>
      </c>
      <c r="CA536" s="266">
        <f ca="1">N536*IFERROR(INDEX(Algorithms!$G:$G,MATCH($C536&amp;"_Therm Saved per Unit- MLA",Algorithms!$A:$A,0)),0)*X536</f>
        <v>0</v>
      </c>
      <c r="CB536" s="266">
        <f ca="1">O536*IFERROR(INDEX(Algorithms!$G:$G,MATCH($C536&amp;"_Therm Saved per Unit- MLA",Algorithms!$A:$A,0)),0)*Y536</f>
        <v>0</v>
      </c>
      <c r="CC536" s="266">
        <f ca="1">P536*IFERROR(INDEX(Algorithms!$G:$G,MATCH($C536&amp;"_Therm Saved per Unit- MLA",Algorithms!$A:$A,0)),0)*Z536</f>
        <v>0</v>
      </c>
      <c r="CD536" s="266">
        <f ca="1">Q536*IFERROR(INDEX(Algorithms!$G:$G,MATCH($C536&amp;"_Therm Saved per Unit- MLA",Algorithms!$A:$A,0)),0)*AA536</f>
        <v>0</v>
      </c>
      <c r="CE536" s="266">
        <f ca="1">IFERROR(INDEX(Algorithms!$G:$G,MATCH($C536&amp;"_Lifetime (years)",Algorithms!$A:$A,0)),0)</f>
        <v>10</v>
      </c>
      <c r="CF536" s="266">
        <f ca="1">IFERROR(INDEX(Algorithms!$G:$G,MATCH($C536&amp;"_Lifetime (years) - Remaining Years",Algorithms!$A:$A,0)),0)</f>
        <v>0</v>
      </c>
      <c r="CG536" s="266">
        <f t="shared" ca="1" si="353"/>
        <v>0</v>
      </c>
      <c r="CH536" s="266">
        <f t="shared" ca="1" si="354"/>
        <v>0</v>
      </c>
      <c r="CI536" s="266">
        <f t="shared" ca="1" si="355"/>
        <v>0</v>
      </c>
      <c r="CJ536" s="266">
        <f t="shared" ca="1" si="356"/>
        <v>0</v>
      </c>
      <c r="CK536" s="266">
        <f t="shared" si="357"/>
        <v>0</v>
      </c>
      <c r="CL536" s="266">
        <f t="shared" si="358"/>
        <v>0</v>
      </c>
      <c r="CM536" s="266">
        <f t="shared" ca="1" si="359"/>
        <v>0</v>
      </c>
      <c r="CN536" s="266">
        <f t="shared" ca="1" si="360"/>
        <v>0</v>
      </c>
      <c r="CO536" s="266">
        <f ca="1">N536*IFERROR(INDEX(Algorithms!$G:$G,MATCH($C536&amp;"_Therm Saved per Unit- MLA",Algorithms!$A:$A,0)),0)*X536</f>
        <v>0</v>
      </c>
      <c r="CP536" s="266">
        <f ca="1">O536*IFERROR(INDEX(Algorithms!$G:$G,MATCH($C536&amp;"_Therm Saved per Unit- MLA",Algorithms!$A:$A,0)),0)*Y536</f>
        <v>0</v>
      </c>
      <c r="CQ536" s="266">
        <f ca="1">P536*IFERROR(INDEX(Algorithms!$G:$G,MATCH($C536&amp;"_Therm Saved per Unit- MLA",Algorithms!$A:$A,0)),0)*Z536</f>
        <v>0</v>
      </c>
      <c r="CR536" s="266">
        <f ca="1">Q536*IFERROR(INDEX(Algorithms!$G:$G,MATCH($C536&amp;"_Therm Saved per Unit- MLA",Algorithms!$A:$A,0)),0)*AA536</f>
        <v>0</v>
      </c>
      <c r="CS536" s="266">
        <f ca="1">IFERROR(INDEX(Algorithms!$G:$G,MATCH($C536&amp;"_Lifetime (years)",Algorithms!$A:$A,0)),0)</f>
        <v>10</v>
      </c>
      <c r="CT536" s="266">
        <f ca="1">IFERROR(INDEX(Algorithms!$G:$G,MATCH($C536&amp;"_Lifetime (years) - Remaining Years",Algorithms!$A:$A,0)),0)</f>
        <v>0</v>
      </c>
      <c r="CU536" s="266">
        <f t="shared" ca="1" si="361"/>
        <v>0</v>
      </c>
      <c r="CV536" s="266">
        <f t="shared" ca="1" si="362"/>
        <v>0</v>
      </c>
      <c r="CW536" s="266">
        <f t="shared" ca="1" si="363"/>
        <v>0</v>
      </c>
      <c r="CX536" s="266">
        <f t="shared" ca="1" si="364"/>
        <v>0</v>
      </c>
    </row>
    <row r="537" spans="2:102" s="47" customFormat="1" ht="18" customHeight="1" x14ac:dyDescent="0.25">
      <c r="B537" t="str">
        <f t="shared" si="365"/>
        <v>NSG_Business_Public Sector_Assessments_Low Flow Kitchen Aerator_0_CI</v>
      </c>
      <c r="C537" s="47" t="str">
        <f t="shared" si="326"/>
        <v>Low Flow Kitchen Aerator_0_CI</v>
      </c>
      <c r="D537" s="270" t="s">
        <v>1787</v>
      </c>
      <c r="E537" s="270" t="s">
        <v>3</v>
      </c>
      <c r="F537" s="270" t="s">
        <v>1430</v>
      </c>
      <c r="G537" s="270" t="s">
        <v>1431</v>
      </c>
      <c r="H537" s="270" t="s">
        <v>533</v>
      </c>
      <c r="I537" s="270">
        <v>0</v>
      </c>
      <c r="J537" s="270" t="s">
        <v>1159</v>
      </c>
      <c r="K537" s="263">
        <v>1</v>
      </c>
      <c r="L537" s="263" t="str">
        <f ca="1">IFERROR(INDEX(Algorithms!J:J,MATCH($C537&amp;"_Therm Saved per Unit",Algorithms!$A:$A,0)),"n/a")</f>
        <v>4.3.2</v>
      </c>
      <c r="M537" s="263">
        <f>IFERROR(INDEX('Measure Level Detail'!$N:$N,MATCH($B537,'Measure Level Detail'!$B:$B,0)),0)</f>
        <v>0</v>
      </c>
      <c r="N537" s="271">
        <f>IFERROR(INDEX('Measure Level Detail'!$P:$P,MATCH($B537&amp;"_"&amp;N$3,'Measure Level Detail'!$C:$C,0)),0)</f>
        <v>0</v>
      </c>
      <c r="O537" s="271">
        <f>IFERROR(INDEX('Measure Level Detail'!$P:$P,MATCH($B537&amp;"_"&amp;O$3,'Measure Level Detail'!$C:$C,0)),0)</f>
        <v>0</v>
      </c>
      <c r="P537" s="271">
        <f>IFERROR(INDEX('Measure Level Detail'!$P:$P,MATCH($B537&amp;"_"&amp;P$3,'Measure Level Detail'!$C:$C,0)),0)</f>
        <v>0</v>
      </c>
      <c r="Q537" s="271">
        <f>IFERROR(INDEX('Measure Level Detail'!$P:$P,MATCH($B537&amp;"_"&amp;Q$3,'Measure Level Detail'!$C:$C,0)),0)</f>
        <v>0</v>
      </c>
      <c r="R537" s="263" t="str">
        <f ca="1">IFERROR(INDEX(Algorithms!K:K,MATCH($C537&amp;"_Therm Saved per Unit",Algorithms!$A:$A,0)),"n/a")</f>
        <v>CI-HWE-LFFA-V12-240101</v>
      </c>
      <c r="S537" s="262"/>
      <c r="T537" s="272">
        <v>7.4428057553956828</v>
      </c>
      <c r="U537" s="272">
        <v>7.4428057553956828</v>
      </c>
      <c r="V537" s="272">
        <v>7.4428057553956828</v>
      </c>
      <c r="W537" s="272">
        <v>7.4428057553956828</v>
      </c>
      <c r="X537" s="276">
        <v>0.92</v>
      </c>
      <c r="Y537" s="276">
        <v>0.92</v>
      </c>
      <c r="Z537" s="276">
        <v>0.92</v>
      </c>
      <c r="AA537" s="276">
        <v>0.92</v>
      </c>
      <c r="AB537" s="266">
        <f t="shared" si="327"/>
        <v>0</v>
      </c>
      <c r="AC537" s="266">
        <f t="shared" si="328"/>
        <v>0</v>
      </c>
      <c r="AD537" s="266">
        <f t="shared" si="329"/>
        <v>0</v>
      </c>
      <c r="AE537" s="266">
        <f t="shared" si="330"/>
        <v>0</v>
      </c>
      <c r="AF537" s="266">
        <f t="shared" si="331"/>
        <v>0</v>
      </c>
      <c r="AG537" s="274">
        <v>0.92</v>
      </c>
      <c r="AH537" s="274">
        <v>0.92</v>
      </c>
      <c r="AI537" s="274">
        <v>0.92</v>
      </c>
      <c r="AJ537" s="274">
        <v>0.92</v>
      </c>
      <c r="AK537" s="274">
        <f t="shared" si="332"/>
        <v>0.92</v>
      </c>
      <c r="AL537" s="274">
        <f t="shared" si="333"/>
        <v>0.92</v>
      </c>
      <c r="AM537" s="274">
        <f t="shared" si="334"/>
        <v>0.92</v>
      </c>
      <c r="AN537" s="274">
        <f t="shared" si="335"/>
        <v>0.92</v>
      </c>
      <c r="AO537" s="262"/>
      <c r="AP537" s="262"/>
      <c r="AQ537" s="267">
        <v>8.1501798561151073</v>
      </c>
      <c r="AR537" s="262"/>
      <c r="AS537" s="266">
        <f t="shared" si="336"/>
        <v>0</v>
      </c>
      <c r="AT537" s="264">
        <f t="shared" si="337"/>
        <v>0</v>
      </c>
      <c r="AU537" s="262"/>
      <c r="AV537" s="262"/>
      <c r="AW537" s="265">
        <v>8.1501798561151073</v>
      </c>
      <c r="AX537" s="164" t="s">
        <v>2393</v>
      </c>
      <c r="AY537" s="266">
        <v>0</v>
      </c>
      <c r="AZ537" s="266">
        <f t="shared" si="338"/>
        <v>0</v>
      </c>
      <c r="BA537" s="264">
        <f t="shared" si="339"/>
        <v>0</v>
      </c>
      <c r="BB537" s="262"/>
      <c r="BC537" s="262"/>
      <c r="BD537" s="265">
        <f ca="1">IFERROR(INDEX(Algorithms!$G:$G,MATCH($C537&amp;"_Therm Saved per Unit",Algorithms!$A:$A,0)),0)</f>
        <v>8.1501798561151073</v>
      </c>
      <c r="BE537" s="164" t="str">
        <f ca="1">IFERROR(INDEX('v12 Revisions'!$P$29:$P$186, MATCH('Measure-Level Adj Gas'!$L537, 'v12 Revisions'!$D$29:$D$186,0)),"")</f>
        <v/>
      </c>
      <c r="BF537" s="266">
        <f t="shared" ca="1" si="340"/>
        <v>0</v>
      </c>
      <c r="BG537" s="264">
        <f t="shared" ca="1" si="341"/>
        <v>0</v>
      </c>
      <c r="BH537" s="262"/>
      <c r="BI537" s="262"/>
      <c r="BJ537" s="265">
        <f ca="1">IFERROR(INDEX(Algorithms!$G:$G,MATCH($C537&amp;"_Therm Saved per Unit",Algorithms!$A:$A,0)),0)</f>
        <v>8.1501798561151073</v>
      </c>
      <c r="BK537" s="164"/>
      <c r="BL537" s="266">
        <f t="shared" ca="1" si="342"/>
        <v>0</v>
      </c>
      <c r="BM537" s="264">
        <f t="shared" ca="1" si="343"/>
        <v>0</v>
      </c>
      <c r="BN537" s="266">
        <f t="shared" si="344"/>
        <v>0</v>
      </c>
      <c r="BO537" s="266">
        <f t="shared" si="345"/>
        <v>0</v>
      </c>
      <c r="BP537" s="266">
        <f t="shared" ca="1" si="346"/>
        <v>0</v>
      </c>
      <c r="BQ537" s="266">
        <f t="shared" ca="1" si="347"/>
        <v>0</v>
      </c>
      <c r="BR537" s="268">
        <f t="shared" ca="1" si="348"/>
        <v>0</v>
      </c>
      <c r="BS537" s="262" t="s">
        <v>99</v>
      </c>
      <c r="BT537" s="277"/>
      <c r="BW537" s="266">
        <f t="shared" si="349"/>
        <v>0</v>
      </c>
      <c r="BX537" s="266">
        <f t="shared" si="350"/>
        <v>0</v>
      </c>
      <c r="BY537" s="266">
        <f t="shared" si="351"/>
        <v>0</v>
      </c>
      <c r="BZ537" s="266">
        <f t="shared" si="352"/>
        <v>0</v>
      </c>
      <c r="CA537" s="266">
        <f ca="1">N537*IFERROR(INDEX(Algorithms!$G:$G,MATCH($C537&amp;"_Therm Saved per Unit- MLA",Algorithms!$A:$A,0)),0)*X537</f>
        <v>0</v>
      </c>
      <c r="CB537" s="266">
        <f ca="1">O537*IFERROR(INDEX(Algorithms!$G:$G,MATCH($C537&amp;"_Therm Saved per Unit- MLA",Algorithms!$A:$A,0)),0)*Y537</f>
        <v>0</v>
      </c>
      <c r="CC537" s="266">
        <f ca="1">P537*IFERROR(INDEX(Algorithms!$G:$G,MATCH($C537&amp;"_Therm Saved per Unit- MLA",Algorithms!$A:$A,0)),0)*Z537</f>
        <v>0</v>
      </c>
      <c r="CD537" s="266">
        <f ca="1">Q537*IFERROR(INDEX(Algorithms!$G:$G,MATCH($C537&amp;"_Therm Saved per Unit- MLA",Algorithms!$A:$A,0)),0)*AA537</f>
        <v>0</v>
      </c>
      <c r="CE537" s="266">
        <f ca="1">IFERROR(INDEX(Algorithms!$G:$G,MATCH($C537&amp;"_Lifetime (years)",Algorithms!$A:$A,0)),0)</f>
        <v>10</v>
      </c>
      <c r="CF537" s="266">
        <f ca="1">IFERROR(INDEX(Algorithms!$G:$G,MATCH($C537&amp;"_Lifetime (years) - Remaining Years",Algorithms!$A:$A,0)),0)</f>
        <v>0</v>
      </c>
      <c r="CG537" s="266">
        <f t="shared" ca="1" si="353"/>
        <v>0</v>
      </c>
      <c r="CH537" s="266">
        <f t="shared" ca="1" si="354"/>
        <v>0</v>
      </c>
      <c r="CI537" s="266">
        <f t="shared" ca="1" si="355"/>
        <v>0</v>
      </c>
      <c r="CJ537" s="266">
        <f t="shared" ca="1" si="356"/>
        <v>0</v>
      </c>
      <c r="CK537" s="266">
        <f t="shared" si="357"/>
        <v>0</v>
      </c>
      <c r="CL537" s="266">
        <f t="shared" si="358"/>
        <v>0</v>
      </c>
      <c r="CM537" s="266">
        <f t="shared" ca="1" si="359"/>
        <v>0</v>
      </c>
      <c r="CN537" s="266">
        <f t="shared" ca="1" si="360"/>
        <v>0</v>
      </c>
      <c r="CO537" s="266">
        <f ca="1">N537*IFERROR(INDEX(Algorithms!$G:$G,MATCH($C537&amp;"_Therm Saved per Unit- MLA",Algorithms!$A:$A,0)),0)*X537</f>
        <v>0</v>
      </c>
      <c r="CP537" s="266">
        <f ca="1">O537*IFERROR(INDEX(Algorithms!$G:$G,MATCH($C537&amp;"_Therm Saved per Unit- MLA",Algorithms!$A:$A,0)),0)*Y537</f>
        <v>0</v>
      </c>
      <c r="CQ537" s="266">
        <f ca="1">P537*IFERROR(INDEX(Algorithms!$G:$G,MATCH($C537&amp;"_Therm Saved per Unit- MLA",Algorithms!$A:$A,0)),0)*Z537</f>
        <v>0</v>
      </c>
      <c r="CR537" s="266">
        <f ca="1">Q537*IFERROR(INDEX(Algorithms!$G:$G,MATCH($C537&amp;"_Therm Saved per Unit- MLA",Algorithms!$A:$A,0)),0)*AA537</f>
        <v>0</v>
      </c>
      <c r="CS537" s="266">
        <f ca="1">IFERROR(INDEX(Algorithms!$G:$G,MATCH($C537&amp;"_Lifetime (years)",Algorithms!$A:$A,0)),0)</f>
        <v>10</v>
      </c>
      <c r="CT537" s="266">
        <f ca="1">IFERROR(INDEX(Algorithms!$G:$G,MATCH($C537&amp;"_Lifetime (years) - Remaining Years",Algorithms!$A:$A,0)),0)</f>
        <v>0</v>
      </c>
      <c r="CU537" s="266">
        <f t="shared" ca="1" si="361"/>
        <v>0</v>
      </c>
      <c r="CV537" s="266">
        <f t="shared" ca="1" si="362"/>
        <v>0</v>
      </c>
      <c r="CW537" s="266">
        <f t="shared" ca="1" si="363"/>
        <v>0</v>
      </c>
      <c r="CX537" s="266">
        <f t="shared" ca="1" si="364"/>
        <v>0</v>
      </c>
    </row>
    <row r="538" spans="2:102" s="47" customFormat="1" ht="18" customHeight="1" x14ac:dyDescent="0.25">
      <c r="B538" t="str">
        <f t="shared" si="365"/>
        <v>NSG_Business_Public Sector_Assessments_Low Flow Showerhead_0_CI</v>
      </c>
      <c r="C538" s="47" t="str">
        <f t="shared" si="326"/>
        <v>Low Flow Showerhead_0_CI</v>
      </c>
      <c r="D538" s="270" t="s">
        <v>1787</v>
      </c>
      <c r="E538" s="270" t="s">
        <v>3</v>
      </c>
      <c r="F538" s="270" t="s">
        <v>1430</v>
      </c>
      <c r="G538" s="270" t="s">
        <v>1431</v>
      </c>
      <c r="H538" s="270" t="s">
        <v>15</v>
      </c>
      <c r="I538" s="270">
        <v>0</v>
      </c>
      <c r="J538" s="270" t="s">
        <v>1159</v>
      </c>
      <c r="K538" s="263">
        <v>1</v>
      </c>
      <c r="L538" s="263" t="str">
        <f ca="1">IFERROR(INDEX(Algorithms!J:J,MATCH($C538&amp;"_Therm Saved per Unit",Algorithms!$A:$A,0)),"n/a")</f>
        <v>4.3.3</v>
      </c>
      <c r="M538" s="263">
        <f>IFERROR(INDEX('Measure Level Detail'!$N:$N,MATCH($B538,'Measure Level Detail'!$B:$B,0)),0)</f>
        <v>0</v>
      </c>
      <c r="N538" s="271">
        <f>IFERROR(INDEX('Measure Level Detail'!$P:$P,MATCH($B538&amp;"_"&amp;N$3,'Measure Level Detail'!$C:$C,0)),0)</f>
        <v>0</v>
      </c>
      <c r="O538" s="271">
        <f>IFERROR(INDEX('Measure Level Detail'!$P:$P,MATCH($B538&amp;"_"&amp;O$3,'Measure Level Detail'!$C:$C,0)),0)</f>
        <v>0</v>
      </c>
      <c r="P538" s="271">
        <f>IFERROR(INDEX('Measure Level Detail'!$P:$P,MATCH($B538&amp;"_"&amp;P$3,'Measure Level Detail'!$C:$C,0)),0)</f>
        <v>0</v>
      </c>
      <c r="Q538" s="271">
        <f>IFERROR(INDEX('Measure Level Detail'!$P:$P,MATCH($B538&amp;"_"&amp;Q$3,'Measure Level Detail'!$C:$C,0)),0)</f>
        <v>0</v>
      </c>
      <c r="R538" s="263" t="str">
        <f ca="1">IFERROR(INDEX(Algorithms!K:K,MATCH($C538&amp;"_Therm Saved per Unit",Algorithms!$A:$A,0)),"n/a")</f>
        <v>CI-HWE-LFSH-V09-230101</v>
      </c>
      <c r="S538" s="262"/>
      <c r="T538" s="272">
        <v>20.024378968229996</v>
      </c>
      <c r="U538" s="272">
        <v>20.024378968229996</v>
      </c>
      <c r="V538" s="272">
        <v>20.024378968229996</v>
      </c>
      <c r="W538" s="272">
        <v>20.024378968229996</v>
      </c>
      <c r="X538" s="276">
        <v>0.92</v>
      </c>
      <c r="Y538" s="276">
        <v>0.92</v>
      </c>
      <c r="Z538" s="276">
        <v>0.92</v>
      </c>
      <c r="AA538" s="276">
        <v>0.92</v>
      </c>
      <c r="AB538" s="266">
        <f t="shared" si="327"/>
        <v>0</v>
      </c>
      <c r="AC538" s="266">
        <f t="shared" si="328"/>
        <v>0</v>
      </c>
      <c r="AD538" s="266">
        <f t="shared" si="329"/>
        <v>0</v>
      </c>
      <c r="AE538" s="266">
        <f t="shared" si="330"/>
        <v>0</v>
      </c>
      <c r="AF538" s="266">
        <f t="shared" si="331"/>
        <v>0</v>
      </c>
      <c r="AG538" s="274">
        <v>0.92</v>
      </c>
      <c r="AH538" s="274">
        <v>0.92</v>
      </c>
      <c r="AI538" s="274">
        <v>0.92</v>
      </c>
      <c r="AJ538" s="274">
        <v>0.92</v>
      </c>
      <c r="AK538" s="274">
        <f t="shared" si="332"/>
        <v>0.92</v>
      </c>
      <c r="AL538" s="274">
        <f t="shared" si="333"/>
        <v>0.92</v>
      </c>
      <c r="AM538" s="274">
        <f t="shared" si="334"/>
        <v>0.92</v>
      </c>
      <c r="AN538" s="274">
        <f t="shared" si="335"/>
        <v>0.92</v>
      </c>
      <c r="AO538" s="262"/>
      <c r="AP538" s="262"/>
      <c r="AQ538" s="267">
        <v>21.476039703666711</v>
      </c>
      <c r="AR538" s="262"/>
      <c r="AS538" s="266">
        <f t="shared" si="336"/>
        <v>0</v>
      </c>
      <c r="AT538" s="264">
        <f t="shared" si="337"/>
        <v>0</v>
      </c>
      <c r="AU538" s="262"/>
      <c r="AV538" s="262"/>
      <c r="AW538" s="265">
        <v>21.476039703666711</v>
      </c>
      <c r="AX538" s="164" t="s">
        <v>2393</v>
      </c>
      <c r="AY538" s="266">
        <v>0</v>
      </c>
      <c r="AZ538" s="266">
        <f t="shared" si="338"/>
        <v>0</v>
      </c>
      <c r="BA538" s="264">
        <f t="shared" si="339"/>
        <v>0</v>
      </c>
      <c r="BB538" s="262"/>
      <c r="BC538" s="262"/>
      <c r="BD538" s="265">
        <f ca="1">IFERROR(INDEX(Algorithms!$G:$G,MATCH($C538&amp;"_Therm Saved per Unit",Algorithms!$A:$A,0)),0)</f>
        <v>21.476039703666711</v>
      </c>
      <c r="BE538" s="164" t="str">
        <f ca="1">IFERROR(INDEX('v12 Revisions'!$P$29:$P$186, MATCH('Measure-Level Adj Gas'!$L538, 'v12 Revisions'!$D$29:$D$186,0)),"")</f>
        <v>n/a - language only.</v>
      </c>
      <c r="BF538" s="266">
        <f t="shared" ca="1" si="340"/>
        <v>0</v>
      </c>
      <c r="BG538" s="264">
        <f t="shared" ca="1" si="341"/>
        <v>0</v>
      </c>
      <c r="BH538" s="262"/>
      <c r="BI538" s="262"/>
      <c r="BJ538" s="265">
        <f ca="1">IFERROR(INDEX(Algorithms!$G:$G,MATCH($C538&amp;"_Therm Saved per Unit",Algorithms!$A:$A,0)),0)</f>
        <v>21.476039703666711</v>
      </c>
      <c r="BK538" s="164"/>
      <c r="BL538" s="266">
        <f t="shared" ca="1" si="342"/>
        <v>0</v>
      </c>
      <c r="BM538" s="264">
        <f t="shared" ca="1" si="343"/>
        <v>0</v>
      </c>
      <c r="BN538" s="266">
        <f t="shared" si="344"/>
        <v>0</v>
      </c>
      <c r="BO538" s="266">
        <f t="shared" si="345"/>
        <v>0</v>
      </c>
      <c r="BP538" s="266">
        <f t="shared" ca="1" si="346"/>
        <v>0</v>
      </c>
      <c r="BQ538" s="266">
        <f t="shared" ca="1" si="347"/>
        <v>0</v>
      </c>
      <c r="BR538" s="268">
        <f t="shared" ca="1" si="348"/>
        <v>0</v>
      </c>
      <c r="BS538" s="262" t="s">
        <v>99</v>
      </c>
      <c r="BT538" s="277"/>
      <c r="BW538" s="266">
        <f t="shared" si="349"/>
        <v>0</v>
      </c>
      <c r="BX538" s="266">
        <f t="shared" si="350"/>
        <v>0</v>
      </c>
      <c r="BY538" s="266">
        <f t="shared" si="351"/>
        <v>0</v>
      </c>
      <c r="BZ538" s="266">
        <f t="shared" si="352"/>
        <v>0</v>
      </c>
      <c r="CA538" s="266">
        <f ca="1">N538*IFERROR(INDEX(Algorithms!$G:$G,MATCH($C538&amp;"_Therm Saved per Unit- MLA",Algorithms!$A:$A,0)),0)*X538</f>
        <v>0</v>
      </c>
      <c r="CB538" s="266">
        <f ca="1">O538*IFERROR(INDEX(Algorithms!$G:$G,MATCH($C538&amp;"_Therm Saved per Unit- MLA",Algorithms!$A:$A,0)),0)*Y538</f>
        <v>0</v>
      </c>
      <c r="CC538" s="266">
        <f ca="1">P538*IFERROR(INDEX(Algorithms!$G:$G,MATCH($C538&amp;"_Therm Saved per Unit- MLA",Algorithms!$A:$A,0)),0)*Z538</f>
        <v>0</v>
      </c>
      <c r="CD538" s="266">
        <f ca="1">Q538*IFERROR(INDEX(Algorithms!$G:$G,MATCH($C538&amp;"_Therm Saved per Unit- MLA",Algorithms!$A:$A,0)),0)*AA538</f>
        <v>0</v>
      </c>
      <c r="CE538" s="266">
        <f ca="1">IFERROR(INDEX(Algorithms!$G:$G,MATCH($C538&amp;"_Lifetime (years)",Algorithms!$A:$A,0)),0)</f>
        <v>10</v>
      </c>
      <c r="CF538" s="266">
        <f ca="1">IFERROR(INDEX(Algorithms!$G:$G,MATCH($C538&amp;"_Lifetime (years) - Remaining Years",Algorithms!$A:$A,0)),0)</f>
        <v>0</v>
      </c>
      <c r="CG538" s="266">
        <f t="shared" ca="1" si="353"/>
        <v>0</v>
      </c>
      <c r="CH538" s="266">
        <f t="shared" ca="1" si="354"/>
        <v>0</v>
      </c>
      <c r="CI538" s="266">
        <f t="shared" ca="1" si="355"/>
        <v>0</v>
      </c>
      <c r="CJ538" s="266">
        <f t="shared" ca="1" si="356"/>
        <v>0</v>
      </c>
      <c r="CK538" s="266">
        <f t="shared" si="357"/>
        <v>0</v>
      </c>
      <c r="CL538" s="266">
        <f t="shared" si="358"/>
        <v>0</v>
      </c>
      <c r="CM538" s="266">
        <f t="shared" ca="1" si="359"/>
        <v>0</v>
      </c>
      <c r="CN538" s="266">
        <f t="shared" ca="1" si="360"/>
        <v>0</v>
      </c>
      <c r="CO538" s="266">
        <f ca="1">N538*IFERROR(INDEX(Algorithms!$G:$G,MATCH($C538&amp;"_Therm Saved per Unit- MLA",Algorithms!$A:$A,0)),0)*X538</f>
        <v>0</v>
      </c>
      <c r="CP538" s="266">
        <f ca="1">O538*IFERROR(INDEX(Algorithms!$G:$G,MATCH($C538&amp;"_Therm Saved per Unit- MLA",Algorithms!$A:$A,0)),0)*Y538</f>
        <v>0</v>
      </c>
      <c r="CQ538" s="266">
        <f ca="1">P538*IFERROR(INDEX(Algorithms!$G:$G,MATCH($C538&amp;"_Therm Saved per Unit- MLA",Algorithms!$A:$A,0)),0)*Z538</f>
        <v>0</v>
      </c>
      <c r="CR538" s="266">
        <f ca="1">Q538*IFERROR(INDEX(Algorithms!$G:$G,MATCH($C538&amp;"_Therm Saved per Unit- MLA",Algorithms!$A:$A,0)),0)*AA538</f>
        <v>0</v>
      </c>
      <c r="CS538" s="266">
        <f ca="1">IFERROR(INDEX(Algorithms!$G:$G,MATCH($C538&amp;"_Lifetime (years)",Algorithms!$A:$A,0)),0)</f>
        <v>10</v>
      </c>
      <c r="CT538" s="266">
        <f ca="1">IFERROR(INDEX(Algorithms!$G:$G,MATCH($C538&amp;"_Lifetime (years) - Remaining Years",Algorithms!$A:$A,0)),0)</f>
        <v>0</v>
      </c>
      <c r="CU538" s="266">
        <f t="shared" ca="1" si="361"/>
        <v>0</v>
      </c>
      <c r="CV538" s="266">
        <f t="shared" ca="1" si="362"/>
        <v>0</v>
      </c>
      <c r="CW538" s="266">
        <f t="shared" ca="1" si="363"/>
        <v>0</v>
      </c>
      <c r="CX538" s="266">
        <f t="shared" ca="1" si="364"/>
        <v>0</v>
      </c>
    </row>
    <row r="539" spans="2:102" s="47" customFormat="1" ht="18" customHeight="1" x14ac:dyDescent="0.25">
      <c r="B539" t="str">
        <f t="shared" si="365"/>
        <v>NSG_Business_Public Sector_Assessments_Pipe Insulation_DHW_CI</v>
      </c>
      <c r="C539" s="47" t="str">
        <f t="shared" si="326"/>
        <v>Pipe Insulation_DHW_CI</v>
      </c>
      <c r="D539" s="270" t="s">
        <v>1787</v>
      </c>
      <c r="E539" s="270" t="s">
        <v>3</v>
      </c>
      <c r="F539" s="270" t="s">
        <v>1430</v>
      </c>
      <c r="G539" s="270" t="s">
        <v>1431</v>
      </c>
      <c r="H539" s="270" t="s">
        <v>404</v>
      </c>
      <c r="I539" s="270" t="s">
        <v>1019</v>
      </c>
      <c r="J539" s="270" t="s">
        <v>1159</v>
      </c>
      <c r="K539" s="263">
        <v>1</v>
      </c>
      <c r="L539" s="263" t="str">
        <f ca="1">IFERROR(INDEX(Algorithms!J:J,MATCH($C539&amp;"_Therm Saved per Unit",Algorithms!$A:$A,0)),"n/a")</f>
        <v>4.4.14</v>
      </c>
      <c r="M539" s="263">
        <f>IFERROR(INDEX('Measure Level Detail'!$N:$N,MATCH($B539,'Measure Level Detail'!$B:$B,0)),0)</f>
        <v>0</v>
      </c>
      <c r="N539" s="271">
        <f>IFERROR(INDEX('Measure Level Detail'!$P:$P,MATCH($B539&amp;"_"&amp;N$3,'Measure Level Detail'!$C:$C,0)),0)</f>
        <v>0</v>
      </c>
      <c r="O539" s="271">
        <f>IFERROR(INDEX('Measure Level Detail'!$P:$P,MATCH($B539&amp;"_"&amp;O$3,'Measure Level Detail'!$C:$C,0)),0)</f>
        <v>0</v>
      </c>
      <c r="P539" s="271">
        <f>IFERROR(INDEX('Measure Level Detail'!$P:$P,MATCH($B539&amp;"_"&amp;P$3,'Measure Level Detail'!$C:$C,0)),0)</f>
        <v>0</v>
      </c>
      <c r="Q539" s="271">
        <f>IFERROR(INDEX('Measure Level Detail'!$P:$P,MATCH($B539&amp;"_"&amp;Q$3,'Measure Level Detail'!$C:$C,0)),0)</f>
        <v>0</v>
      </c>
      <c r="R539" s="263" t="str">
        <f ca="1">IFERROR(INDEX(Algorithms!K:K,MATCH($C539&amp;"_Therm Saved per Unit",Algorithms!$A:$A,0)),"n/a")</f>
        <v>CI-HVC-PINS-V08-230101</v>
      </c>
      <c r="S539" s="262"/>
      <c r="T539" s="272">
        <v>0.75299999999999989</v>
      </c>
      <c r="U539" s="272">
        <v>0.75299999999999989</v>
      </c>
      <c r="V539" s="272">
        <v>0.75299999999999989</v>
      </c>
      <c r="W539" s="272">
        <v>0.75299999999999989</v>
      </c>
      <c r="X539" s="276">
        <v>0.92</v>
      </c>
      <c r="Y539" s="276">
        <v>0.92</v>
      </c>
      <c r="Z539" s="276">
        <v>0.92</v>
      </c>
      <c r="AA539" s="276">
        <v>0.92</v>
      </c>
      <c r="AB539" s="266">
        <f t="shared" si="327"/>
        <v>0</v>
      </c>
      <c r="AC539" s="266">
        <f t="shared" si="328"/>
        <v>0</v>
      </c>
      <c r="AD539" s="266">
        <f t="shared" si="329"/>
        <v>0</v>
      </c>
      <c r="AE539" s="266">
        <f t="shared" si="330"/>
        <v>0</v>
      </c>
      <c r="AF539" s="266">
        <f t="shared" si="331"/>
        <v>0</v>
      </c>
      <c r="AG539" s="274">
        <v>0.92</v>
      </c>
      <c r="AH539" s="274">
        <v>0.92</v>
      </c>
      <c r="AI539" s="274">
        <v>0.92</v>
      </c>
      <c r="AJ539" s="274">
        <v>0.92</v>
      </c>
      <c r="AK539" s="274">
        <f t="shared" si="332"/>
        <v>0.92</v>
      </c>
      <c r="AL539" s="274">
        <f t="shared" si="333"/>
        <v>0.92</v>
      </c>
      <c r="AM539" s="274">
        <f t="shared" si="334"/>
        <v>0.92</v>
      </c>
      <c r="AN539" s="274">
        <f t="shared" si="335"/>
        <v>0.92</v>
      </c>
      <c r="AO539" s="262"/>
      <c r="AP539" s="262"/>
      <c r="AQ539" s="267">
        <v>3.8653999999999997</v>
      </c>
      <c r="AR539" s="262"/>
      <c r="AS539" s="266">
        <f t="shared" si="336"/>
        <v>0</v>
      </c>
      <c r="AT539" s="264">
        <f t="shared" si="337"/>
        <v>0</v>
      </c>
      <c r="AU539" s="262"/>
      <c r="AV539" s="262"/>
      <c r="AW539" s="265">
        <v>3.8653999999999997</v>
      </c>
      <c r="AX539" s="164" t="s">
        <v>1469</v>
      </c>
      <c r="AY539" s="266">
        <v>0</v>
      </c>
      <c r="AZ539" s="266">
        <f t="shared" si="338"/>
        <v>0</v>
      </c>
      <c r="BA539" s="264">
        <f t="shared" si="339"/>
        <v>0</v>
      </c>
      <c r="BB539" s="262"/>
      <c r="BC539" s="262"/>
      <c r="BD539" s="265">
        <f ca="1">IFERROR(INDEX(Algorithms!$G:$G,MATCH($C539&amp;"_Therm Saved per Unit",Algorithms!$A:$A,0)),0)</f>
        <v>3.8653999999999997</v>
      </c>
      <c r="BE539" s="164" t="str">
        <f ca="1">IFERROR(INDEX('v12 Revisions'!$P$29:$P$186, MATCH('Measure-Level Adj Gas'!$L539, 'v12 Revisions'!$D$29:$D$186,0)),"")</f>
        <v/>
      </c>
      <c r="BF539" s="266">
        <f t="shared" ca="1" si="340"/>
        <v>0</v>
      </c>
      <c r="BG539" s="264">
        <f t="shared" ca="1" si="341"/>
        <v>0</v>
      </c>
      <c r="BH539" s="262"/>
      <c r="BI539" s="262"/>
      <c r="BJ539" s="265">
        <f ca="1">IFERROR(INDEX(Algorithms!$G:$G,MATCH($C539&amp;"_Therm Saved per Unit",Algorithms!$A:$A,0)),0)</f>
        <v>3.8653999999999997</v>
      </c>
      <c r="BK539" s="164"/>
      <c r="BL539" s="266">
        <f t="shared" ca="1" si="342"/>
        <v>0</v>
      </c>
      <c r="BM539" s="264">
        <f t="shared" ca="1" si="343"/>
        <v>0</v>
      </c>
      <c r="BN539" s="266">
        <f t="shared" si="344"/>
        <v>0</v>
      </c>
      <c r="BO539" s="266">
        <f t="shared" si="345"/>
        <v>0</v>
      </c>
      <c r="BP539" s="266">
        <f t="shared" ca="1" si="346"/>
        <v>0</v>
      </c>
      <c r="BQ539" s="266">
        <f t="shared" ca="1" si="347"/>
        <v>0</v>
      </c>
      <c r="BR539" s="268">
        <f t="shared" ca="1" si="348"/>
        <v>0</v>
      </c>
      <c r="BS539" s="262" t="s">
        <v>99</v>
      </c>
      <c r="BT539" s="277"/>
      <c r="BW539" s="266">
        <f t="shared" si="349"/>
        <v>0</v>
      </c>
      <c r="BX539" s="266">
        <f t="shared" si="350"/>
        <v>0</v>
      </c>
      <c r="BY539" s="266">
        <f t="shared" si="351"/>
        <v>0</v>
      </c>
      <c r="BZ539" s="266">
        <f t="shared" si="352"/>
        <v>0</v>
      </c>
      <c r="CA539" s="266">
        <f ca="1">N539*IFERROR(INDEX(Algorithms!$G:$G,MATCH($C539&amp;"_Therm Saved per Unit- MLA",Algorithms!$A:$A,0)),0)*X539</f>
        <v>0</v>
      </c>
      <c r="CB539" s="266">
        <f ca="1">O539*IFERROR(INDEX(Algorithms!$G:$G,MATCH($C539&amp;"_Therm Saved per Unit- MLA",Algorithms!$A:$A,0)),0)*Y539</f>
        <v>0</v>
      </c>
      <c r="CC539" s="266">
        <f ca="1">P539*IFERROR(INDEX(Algorithms!$G:$G,MATCH($C539&amp;"_Therm Saved per Unit- MLA",Algorithms!$A:$A,0)),0)*Z539</f>
        <v>0</v>
      </c>
      <c r="CD539" s="266">
        <f ca="1">Q539*IFERROR(INDEX(Algorithms!$G:$G,MATCH($C539&amp;"_Therm Saved per Unit- MLA",Algorithms!$A:$A,0)),0)*AA539</f>
        <v>0</v>
      </c>
      <c r="CE539" s="266">
        <f ca="1">IFERROR(INDEX(Algorithms!$G:$G,MATCH($C539&amp;"_Lifetime (years)",Algorithms!$A:$A,0)),0)</f>
        <v>15</v>
      </c>
      <c r="CF539" s="266">
        <f ca="1">IFERROR(INDEX(Algorithms!$G:$G,MATCH($C539&amp;"_Lifetime (years) - Remaining Years",Algorithms!$A:$A,0)),0)</f>
        <v>0</v>
      </c>
      <c r="CG539" s="266">
        <f t="shared" ca="1" si="353"/>
        <v>0</v>
      </c>
      <c r="CH539" s="266">
        <f t="shared" ca="1" si="354"/>
        <v>0</v>
      </c>
      <c r="CI539" s="266">
        <f t="shared" ca="1" si="355"/>
        <v>0</v>
      </c>
      <c r="CJ539" s="266">
        <f t="shared" ca="1" si="356"/>
        <v>0</v>
      </c>
      <c r="CK539" s="266">
        <f t="shared" si="357"/>
        <v>0</v>
      </c>
      <c r="CL539" s="266">
        <f t="shared" si="358"/>
        <v>0</v>
      </c>
      <c r="CM539" s="266">
        <f t="shared" ca="1" si="359"/>
        <v>0</v>
      </c>
      <c r="CN539" s="266">
        <f t="shared" ca="1" si="360"/>
        <v>0</v>
      </c>
      <c r="CO539" s="266">
        <f ca="1">N539*IFERROR(INDEX(Algorithms!$G:$G,MATCH($C539&amp;"_Therm Saved per Unit- MLA",Algorithms!$A:$A,0)),0)*X539</f>
        <v>0</v>
      </c>
      <c r="CP539" s="266">
        <f ca="1">O539*IFERROR(INDEX(Algorithms!$G:$G,MATCH($C539&amp;"_Therm Saved per Unit- MLA",Algorithms!$A:$A,0)),0)*Y539</f>
        <v>0</v>
      </c>
      <c r="CQ539" s="266">
        <f ca="1">P539*IFERROR(INDEX(Algorithms!$G:$G,MATCH($C539&amp;"_Therm Saved per Unit- MLA",Algorithms!$A:$A,0)),0)*Z539</f>
        <v>0</v>
      </c>
      <c r="CR539" s="266">
        <f ca="1">Q539*IFERROR(INDEX(Algorithms!$G:$G,MATCH($C539&amp;"_Therm Saved per Unit- MLA",Algorithms!$A:$A,0)),0)*AA539</f>
        <v>0</v>
      </c>
      <c r="CS539" s="266">
        <f ca="1">IFERROR(INDEX(Algorithms!$G:$G,MATCH($C539&amp;"_Lifetime (years)",Algorithms!$A:$A,0)),0)</f>
        <v>15</v>
      </c>
      <c r="CT539" s="266">
        <f ca="1">IFERROR(INDEX(Algorithms!$G:$G,MATCH($C539&amp;"_Lifetime (years) - Remaining Years",Algorithms!$A:$A,0)),0)</f>
        <v>0</v>
      </c>
      <c r="CU539" s="266">
        <f t="shared" ca="1" si="361"/>
        <v>0</v>
      </c>
      <c r="CV539" s="266">
        <f t="shared" ca="1" si="362"/>
        <v>0</v>
      </c>
      <c r="CW539" s="266">
        <f t="shared" ca="1" si="363"/>
        <v>0</v>
      </c>
      <c r="CX539" s="266">
        <f t="shared" ca="1" si="364"/>
        <v>0</v>
      </c>
    </row>
    <row r="540" spans="2:102" s="47" customFormat="1" ht="18" customHeight="1" x14ac:dyDescent="0.25">
      <c r="B540" t="str">
        <f t="shared" si="365"/>
        <v>NSG_Business_Public Sector_Assessments_Pre-Rinse Sprayer_0_CI</v>
      </c>
      <c r="C540" s="47" t="str">
        <f t="shared" si="326"/>
        <v>Pre-Rinse Sprayer_0_CI</v>
      </c>
      <c r="D540" s="270" t="s">
        <v>1787</v>
      </c>
      <c r="E540" s="270" t="s">
        <v>3</v>
      </c>
      <c r="F540" s="270" t="s">
        <v>1430</v>
      </c>
      <c r="G540" s="270" t="s">
        <v>1431</v>
      </c>
      <c r="H540" s="270" t="s">
        <v>1219</v>
      </c>
      <c r="I540" s="270">
        <v>0</v>
      </c>
      <c r="J540" s="270" t="s">
        <v>1159</v>
      </c>
      <c r="K540" s="263">
        <v>1</v>
      </c>
      <c r="L540" s="263" t="str">
        <f ca="1">IFERROR(INDEX(Algorithms!J:J,MATCH($C540&amp;"_Therm Saved per Unit",Algorithms!$A:$A,0)),"n/a")</f>
        <v>4.2.11</v>
      </c>
      <c r="M540" s="263">
        <f>IFERROR(INDEX('Measure Level Detail'!$N:$N,MATCH($B540,'Measure Level Detail'!$B:$B,0)),0)</f>
        <v>0</v>
      </c>
      <c r="N540" s="271">
        <f>IFERROR(INDEX('Measure Level Detail'!$P:$P,MATCH($B540&amp;"_"&amp;N$3,'Measure Level Detail'!$C:$C,0)),0)</f>
        <v>0</v>
      </c>
      <c r="O540" s="271">
        <f>IFERROR(INDEX('Measure Level Detail'!$P:$P,MATCH($B540&amp;"_"&amp;O$3,'Measure Level Detail'!$C:$C,0)),0)</f>
        <v>0</v>
      </c>
      <c r="P540" s="271">
        <f>IFERROR(INDEX('Measure Level Detail'!$P:$P,MATCH($B540&amp;"_"&amp;P$3,'Measure Level Detail'!$C:$C,0)),0)</f>
        <v>0</v>
      </c>
      <c r="Q540" s="271">
        <f>IFERROR(INDEX('Measure Level Detail'!$P:$P,MATCH($B540&amp;"_"&amp;Q$3,'Measure Level Detail'!$C:$C,0)),0)</f>
        <v>0</v>
      </c>
      <c r="R540" s="263" t="str">
        <f ca="1">IFERROR(INDEX(Algorithms!K:K,MATCH($C540&amp;"_Therm Saved per Unit",Algorithms!$A:$A,0)),"n/a")</f>
        <v>CI-FSE-SPRY-V08-220101</v>
      </c>
      <c r="S540" s="262"/>
      <c r="T540" s="272">
        <v>235.77765120000004</v>
      </c>
      <c r="U540" s="272">
        <v>235.77765120000004</v>
      </c>
      <c r="V540" s="272">
        <v>235.77765120000004</v>
      </c>
      <c r="W540" s="272">
        <v>235.77765120000004</v>
      </c>
      <c r="X540" s="276">
        <v>0.92</v>
      </c>
      <c r="Y540" s="276">
        <v>0.92</v>
      </c>
      <c r="Z540" s="276">
        <v>0.92</v>
      </c>
      <c r="AA540" s="276">
        <v>0.92</v>
      </c>
      <c r="AB540" s="266">
        <f t="shared" si="327"/>
        <v>0</v>
      </c>
      <c r="AC540" s="266">
        <f t="shared" si="328"/>
        <v>0</v>
      </c>
      <c r="AD540" s="266">
        <f t="shared" si="329"/>
        <v>0</v>
      </c>
      <c r="AE540" s="266">
        <f t="shared" si="330"/>
        <v>0</v>
      </c>
      <c r="AF540" s="266">
        <f t="shared" si="331"/>
        <v>0</v>
      </c>
      <c r="AG540" s="274">
        <v>0.92</v>
      </c>
      <c r="AH540" s="274">
        <v>0.92</v>
      </c>
      <c r="AI540" s="274">
        <v>0.92</v>
      </c>
      <c r="AJ540" s="274">
        <v>0.92</v>
      </c>
      <c r="AK540" s="274">
        <f t="shared" si="332"/>
        <v>0.92</v>
      </c>
      <c r="AL540" s="274">
        <f t="shared" si="333"/>
        <v>0.92</v>
      </c>
      <c r="AM540" s="274">
        <f t="shared" si="334"/>
        <v>0.92</v>
      </c>
      <c r="AN540" s="274">
        <f t="shared" si="335"/>
        <v>0.92</v>
      </c>
      <c r="AO540" s="262"/>
      <c r="AP540" s="262"/>
      <c r="AQ540" s="267">
        <v>247.22970854399998</v>
      </c>
      <c r="AR540" s="262"/>
      <c r="AS540" s="266">
        <f t="shared" si="336"/>
        <v>0</v>
      </c>
      <c r="AT540" s="264">
        <f t="shared" si="337"/>
        <v>0</v>
      </c>
      <c r="AU540" s="262"/>
      <c r="AV540" s="262"/>
      <c r="AW540" s="265">
        <v>247.22970854399998</v>
      </c>
      <c r="AX540" s="164" t="s">
        <v>1469</v>
      </c>
      <c r="AY540" s="266">
        <v>0</v>
      </c>
      <c r="AZ540" s="266">
        <f t="shared" si="338"/>
        <v>0</v>
      </c>
      <c r="BA540" s="264">
        <f t="shared" si="339"/>
        <v>0</v>
      </c>
      <c r="BB540" s="262"/>
      <c r="BC540" s="262"/>
      <c r="BD540" s="265">
        <f ca="1">IFERROR(INDEX(Algorithms!$G:$G,MATCH($C540&amp;"_Therm Saved per Unit",Algorithms!$A:$A,0)),0)</f>
        <v>247.22970854399998</v>
      </c>
      <c r="BE540" s="164" t="str">
        <f ca="1">IFERROR(INDEX('v12 Revisions'!$P$29:$P$186, MATCH('Measure-Level Adj Gas'!$L540, 'v12 Revisions'!$D$29:$D$186,0)),"")</f>
        <v/>
      </c>
      <c r="BF540" s="266">
        <f t="shared" ca="1" si="340"/>
        <v>0</v>
      </c>
      <c r="BG540" s="264">
        <f t="shared" ca="1" si="341"/>
        <v>0</v>
      </c>
      <c r="BH540" s="262"/>
      <c r="BI540" s="262"/>
      <c r="BJ540" s="265">
        <f ca="1">IFERROR(INDEX(Algorithms!$G:$G,MATCH($C540&amp;"_Therm Saved per Unit",Algorithms!$A:$A,0)),0)</f>
        <v>247.22970854399998</v>
      </c>
      <c r="BK540" s="164"/>
      <c r="BL540" s="266">
        <f t="shared" ca="1" si="342"/>
        <v>0</v>
      </c>
      <c r="BM540" s="264">
        <f t="shared" ca="1" si="343"/>
        <v>0</v>
      </c>
      <c r="BN540" s="266">
        <f t="shared" si="344"/>
        <v>0</v>
      </c>
      <c r="BO540" s="266">
        <f t="shared" si="345"/>
        <v>0</v>
      </c>
      <c r="BP540" s="266">
        <f t="shared" ca="1" si="346"/>
        <v>0</v>
      </c>
      <c r="BQ540" s="266">
        <f t="shared" ca="1" si="347"/>
        <v>0</v>
      </c>
      <c r="BR540" s="268">
        <f t="shared" ca="1" si="348"/>
        <v>0</v>
      </c>
      <c r="BS540" s="262" t="s">
        <v>99</v>
      </c>
      <c r="BT540" s="277"/>
      <c r="BW540" s="266">
        <f t="shared" si="349"/>
        <v>0</v>
      </c>
      <c r="BX540" s="266">
        <f t="shared" si="350"/>
        <v>0</v>
      </c>
      <c r="BY540" s="266">
        <f t="shared" si="351"/>
        <v>0</v>
      </c>
      <c r="BZ540" s="266">
        <f t="shared" si="352"/>
        <v>0</v>
      </c>
      <c r="CA540" s="266">
        <f ca="1">N540*IFERROR(INDEX(Algorithms!$G:$G,MATCH($C540&amp;"_Therm Saved per Unit- MLA",Algorithms!$A:$A,0)),0)*X540</f>
        <v>0</v>
      </c>
      <c r="CB540" s="266">
        <f ca="1">O540*IFERROR(INDEX(Algorithms!$G:$G,MATCH($C540&amp;"_Therm Saved per Unit- MLA",Algorithms!$A:$A,0)),0)*Y540</f>
        <v>0</v>
      </c>
      <c r="CC540" s="266">
        <f ca="1">P540*IFERROR(INDEX(Algorithms!$G:$G,MATCH($C540&amp;"_Therm Saved per Unit- MLA",Algorithms!$A:$A,0)),0)*Z540</f>
        <v>0</v>
      </c>
      <c r="CD540" s="266">
        <f ca="1">Q540*IFERROR(INDEX(Algorithms!$G:$G,MATCH($C540&amp;"_Therm Saved per Unit- MLA",Algorithms!$A:$A,0)),0)*AA540</f>
        <v>0</v>
      </c>
      <c r="CE540" s="266">
        <f ca="1">IFERROR(INDEX(Algorithms!$G:$G,MATCH($C540&amp;"_Lifetime (years)",Algorithms!$A:$A,0)),0)</f>
        <v>5</v>
      </c>
      <c r="CF540" s="266">
        <f ca="1">IFERROR(INDEX(Algorithms!$G:$G,MATCH($C540&amp;"_Lifetime (years) - Remaining Years",Algorithms!$A:$A,0)),0)</f>
        <v>0</v>
      </c>
      <c r="CG540" s="266">
        <f t="shared" ca="1" si="353"/>
        <v>0</v>
      </c>
      <c r="CH540" s="266">
        <f t="shared" ca="1" si="354"/>
        <v>0</v>
      </c>
      <c r="CI540" s="266">
        <f t="shared" ca="1" si="355"/>
        <v>0</v>
      </c>
      <c r="CJ540" s="266">
        <f t="shared" ca="1" si="356"/>
        <v>0</v>
      </c>
      <c r="CK540" s="266">
        <f t="shared" si="357"/>
        <v>0</v>
      </c>
      <c r="CL540" s="266">
        <f t="shared" si="358"/>
        <v>0</v>
      </c>
      <c r="CM540" s="266">
        <f t="shared" ca="1" si="359"/>
        <v>0</v>
      </c>
      <c r="CN540" s="266">
        <f t="shared" ca="1" si="360"/>
        <v>0</v>
      </c>
      <c r="CO540" s="266">
        <f ca="1">N540*IFERROR(INDEX(Algorithms!$G:$G,MATCH($C540&amp;"_Therm Saved per Unit- MLA",Algorithms!$A:$A,0)),0)*X540</f>
        <v>0</v>
      </c>
      <c r="CP540" s="266">
        <f ca="1">O540*IFERROR(INDEX(Algorithms!$G:$G,MATCH($C540&amp;"_Therm Saved per Unit- MLA",Algorithms!$A:$A,0)),0)*Y540</f>
        <v>0</v>
      </c>
      <c r="CQ540" s="266">
        <f ca="1">P540*IFERROR(INDEX(Algorithms!$G:$G,MATCH($C540&amp;"_Therm Saved per Unit- MLA",Algorithms!$A:$A,0)),0)*Z540</f>
        <v>0</v>
      </c>
      <c r="CR540" s="266">
        <f ca="1">Q540*IFERROR(INDEX(Algorithms!$G:$G,MATCH($C540&amp;"_Therm Saved per Unit- MLA",Algorithms!$A:$A,0)),0)*AA540</f>
        <v>0</v>
      </c>
      <c r="CS540" s="266">
        <f ca="1">IFERROR(INDEX(Algorithms!$G:$G,MATCH($C540&amp;"_Lifetime (years)",Algorithms!$A:$A,0)),0)</f>
        <v>5</v>
      </c>
      <c r="CT540" s="266">
        <f ca="1">IFERROR(INDEX(Algorithms!$G:$G,MATCH($C540&amp;"_Lifetime (years) - Remaining Years",Algorithms!$A:$A,0)),0)</f>
        <v>0</v>
      </c>
      <c r="CU540" s="266">
        <f t="shared" ca="1" si="361"/>
        <v>0</v>
      </c>
      <c r="CV540" s="266">
        <f t="shared" ca="1" si="362"/>
        <v>0</v>
      </c>
      <c r="CW540" s="266">
        <f t="shared" ca="1" si="363"/>
        <v>0</v>
      </c>
      <c r="CX540" s="266">
        <f t="shared" ca="1" si="364"/>
        <v>0</v>
      </c>
    </row>
    <row r="541" spans="2:102" s="47" customFormat="1" ht="18" customHeight="1" x14ac:dyDescent="0.25">
      <c r="B541" t="str">
        <f t="shared" si="365"/>
        <v>NSG_Business_Public Sector_Gas Optimization_C&amp;I Gas Optimization_0_CI</v>
      </c>
      <c r="C541" s="47" t="str">
        <f t="shared" si="326"/>
        <v>C&amp;I Gas Optimization_0_CI</v>
      </c>
      <c r="D541" s="270" t="s">
        <v>1787</v>
      </c>
      <c r="E541" s="270" t="s">
        <v>3</v>
      </c>
      <c r="F541" s="270" t="s">
        <v>1430</v>
      </c>
      <c r="G541" s="270" t="s">
        <v>1098</v>
      </c>
      <c r="H541" s="270" t="s">
        <v>1283</v>
      </c>
      <c r="I541" s="270">
        <v>0</v>
      </c>
      <c r="J541" s="270" t="s">
        <v>1159</v>
      </c>
      <c r="K541" s="263">
        <v>1</v>
      </c>
      <c r="L541" s="263">
        <f ca="1">IFERROR(INDEX(Algorithms!J:J,MATCH($C541&amp;"_Therm Saved per Unit",Algorithms!$A:$A,0)),"n/a")</f>
        <v>0</v>
      </c>
      <c r="M541" s="263" t="str">
        <f>IFERROR(INDEX('Measure Level Detail'!$N:$N,MATCH($B541,'Measure Level Detail'!$B:$B,0)),0)</f>
        <v>therm</v>
      </c>
      <c r="N541" s="271">
        <f>IFERROR(INDEX('Measure Level Detail'!$P:$P,MATCH($B541&amp;"_"&amp;N$3,'Measure Level Detail'!$C:$C,0)),0)</f>
        <v>0</v>
      </c>
      <c r="O541" s="271">
        <f>IFERROR(INDEX('Measure Level Detail'!$P:$P,MATCH($B541&amp;"_"&amp;O$3,'Measure Level Detail'!$C:$C,0)),0)</f>
        <v>0</v>
      </c>
      <c r="P541" s="271">
        <f>IFERROR(INDEX('Measure Level Detail'!$P:$P,MATCH($B541&amp;"_"&amp;P$3,'Measure Level Detail'!$C:$C,0)),0)</f>
        <v>0</v>
      </c>
      <c r="Q541" s="271">
        <f>IFERROR(INDEX('Measure Level Detail'!$P:$P,MATCH($B541&amp;"_"&amp;Q$3,'Measure Level Detail'!$C:$C,0)),0)</f>
        <v>0</v>
      </c>
      <c r="R541" s="263">
        <f ca="1">IFERROR(INDEX(Algorithms!K:K,MATCH($C541&amp;"_Therm Saved per Unit",Algorithms!$A:$A,0)),"n/a")</f>
        <v>0</v>
      </c>
      <c r="S541" s="262"/>
      <c r="T541" s="272">
        <v>1</v>
      </c>
      <c r="U541" s="272">
        <v>1</v>
      </c>
      <c r="V541" s="272">
        <v>1</v>
      </c>
      <c r="W541" s="272">
        <v>1</v>
      </c>
      <c r="X541" s="276">
        <v>0.94</v>
      </c>
      <c r="Y541" s="276">
        <v>0.94</v>
      </c>
      <c r="Z541" s="276">
        <v>0.94</v>
      </c>
      <c r="AA541" s="276">
        <v>0.94</v>
      </c>
      <c r="AB541" s="266">
        <f t="shared" si="327"/>
        <v>0</v>
      </c>
      <c r="AC541" s="266">
        <f t="shared" si="328"/>
        <v>0</v>
      </c>
      <c r="AD541" s="266">
        <f t="shared" si="329"/>
        <v>0</v>
      </c>
      <c r="AE541" s="266">
        <f t="shared" si="330"/>
        <v>0</v>
      </c>
      <c r="AF541" s="266">
        <f t="shared" si="331"/>
        <v>0</v>
      </c>
      <c r="AG541" s="274">
        <v>0.94</v>
      </c>
      <c r="AH541" s="274">
        <v>0.94</v>
      </c>
      <c r="AI541" s="274">
        <v>0.94</v>
      </c>
      <c r="AJ541" s="274">
        <v>0.94</v>
      </c>
      <c r="AK541" s="274">
        <f t="shared" si="332"/>
        <v>0.94</v>
      </c>
      <c r="AL541" s="274">
        <f t="shared" si="333"/>
        <v>0.94</v>
      </c>
      <c r="AM541" s="274">
        <f t="shared" si="334"/>
        <v>0.94</v>
      </c>
      <c r="AN541" s="274">
        <f t="shared" si="335"/>
        <v>0.94</v>
      </c>
      <c r="AO541" s="262"/>
      <c r="AP541" s="262"/>
      <c r="AQ541" s="267">
        <v>1</v>
      </c>
      <c r="AR541" s="262"/>
      <c r="AS541" s="266">
        <f t="shared" si="336"/>
        <v>0</v>
      </c>
      <c r="AT541" s="264">
        <f t="shared" si="337"/>
        <v>0</v>
      </c>
      <c r="AU541" s="262"/>
      <c r="AV541" s="262"/>
      <c r="AW541" s="265">
        <v>1</v>
      </c>
      <c r="AX541" s="164" t="s">
        <v>1469</v>
      </c>
      <c r="AY541" s="266">
        <v>0</v>
      </c>
      <c r="AZ541" s="266">
        <f t="shared" si="338"/>
        <v>0</v>
      </c>
      <c r="BA541" s="264">
        <f t="shared" si="339"/>
        <v>0</v>
      </c>
      <c r="BB541" s="262"/>
      <c r="BC541" s="262"/>
      <c r="BD541" s="265">
        <f ca="1">IFERROR(INDEX(Algorithms!$G:$G,MATCH($C541&amp;"_Therm Saved per Unit",Algorithms!$A:$A,0)),0)</f>
        <v>1</v>
      </c>
      <c r="BE541" s="164" t="str">
        <f ca="1">IFERROR(INDEX('v12 Revisions'!$P$29:$P$186, MATCH('Measure-Level Adj Gas'!$L541, 'v12 Revisions'!$D$29:$D$186,0)),"")</f>
        <v/>
      </c>
      <c r="BF541" s="266">
        <f t="shared" ca="1" si="340"/>
        <v>0</v>
      </c>
      <c r="BG541" s="264">
        <f t="shared" ca="1" si="341"/>
        <v>0</v>
      </c>
      <c r="BH541" s="262"/>
      <c r="BI541" s="262"/>
      <c r="BJ541" s="265">
        <f ca="1">IFERROR(INDEX(Algorithms!$G:$G,MATCH($C541&amp;"_Therm Saved per Unit",Algorithms!$A:$A,0)),0)</f>
        <v>1</v>
      </c>
      <c r="BK541" s="164"/>
      <c r="BL541" s="266">
        <f t="shared" ca="1" si="342"/>
        <v>0</v>
      </c>
      <c r="BM541" s="264">
        <f t="shared" ca="1" si="343"/>
        <v>0</v>
      </c>
      <c r="BN541" s="266">
        <f t="shared" si="344"/>
        <v>0</v>
      </c>
      <c r="BO541" s="266">
        <f t="shared" si="345"/>
        <v>0</v>
      </c>
      <c r="BP541" s="266">
        <f t="shared" ca="1" si="346"/>
        <v>0</v>
      </c>
      <c r="BQ541" s="266">
        <f t="shared" ca="1" si="347"/>
        <v>0</v>
      </c>
      <c r="BR541" s="268">
        <f t="shared" ca="1" si="348"/>
        <v>0</v>
      </c>
      <c r="BS541" s="262" t="s">
        <v>99</v>
      </c>
      <c r="BT541" s="277"/>
      <c r="BW541" s="266">
        <f t="shared" si="349"/>
        <v>0</v>
      </c>
      <c r="BX541" s="266">
        <f t="shared" si="350"/>
        <v>0</v>
      </c>
      <c r="BY541" s="266">
        <f t="shared" si="351"/>
        <v>0</v>
      </c>
      <c r="BZ541" s="266">
        <f t="shared" si="352"/>
        <v>0</v>
      </c>
      <c r="CA541" s="266">
        <f ca="1">N541*IFERROR(INDEX(Algorithms!$G:$G,MATCH($C541&amp;"_Therm Saved per Unit- MLA",Algorithms!$A:$A,0)),0)*X541</f>
        <v>0</v>
      </c>
      <c r="CB541" s="266">
        <f ca="1">O541*IFERROR(INDEX(Algorithms!$G:$G,MATCH($C541&amp;"_Therm Saved per Unit- MLA",Algorithms!$A:$A,0)),0)*Y541</f>
        <v>0</v>
      </c>
      <c r="CC541" s="266">
        <f ca="1">P541*IFERROR(INDEX(Algorithms!$G:$G,MATCH($C541&amp;"_Therm Saved per Unit- MLA",Algorithms!$A:$A,0)),0)*Z541</f>
        <v>0</v>
      </c>
      <c r="CD541" s="266">
        <f ca="1">Q541*IFERROR(INDEX(Algorithms!$G:$G,MATCH($C541&amp;"_Therm Saved per Unit- MLA",Algorithms!$A:$A,0)),0)*AA541</f>
        <v>0</v>
      </c>
      <c r="CE541" s="266">
        <f ca="1">IFERROR(INDEX(Algorithms!$G:$G,MATCH($C541&amp;"_Lifetime (years)",Algorithms!$A:$A,0)),0)</f>
        <v>15</v>
      </c>
      <c r="CF541" s="266">
        <f ca="1">IFERROR(INDEX(Algorithms!$G:$G,MATCH($C541&amp;"_Lifetime (years) - Remaining Years",Algorithms!$A:$A,0)),0)</f>
        <v>0</v>
      </c>
      <c r="CG541" s="266">
        <f t="shared" ca="1" si="353"/>
        <v>0</v>
      </c>
      <c r="CH541" s="266">
        <f t="shared" ca="1" si="354"/>
        <v>0</v>
      </c>
      <c r="CI541" s="266">
        <f t="shared" ca="1" si="355"/>
        <v>0</v>
      </c>
      <c r="CJ541" s="266">
        <f t="shared" ca="1" si="356"/>
        <v>0</v>
      </c>
      <c r="CK541" s="266">
        <f t="shared" si="357"/>
        <v>0</v>
      </c>
      <c r="CL541" s="266">
        <f t="shared" si="358"/>
        <v>0</v>
      </c>
      <c r="CM541" s="266">
        <f t="shared" ca="1" si="359"/>
        <v>0</v>
      </c>
      <c r="CN541" s="266">
        <f t="shared" ca="1" si="360"/>
        <v>0</v>
      </c>
      <c r="CO541" s="266">
        <f ca="1">N541*IFERROR(INDEX(Algorithms!$G:$G,MATCH($C541&amp;"_Therm Saved per Unit- MLA",Algorithms!$A:$A,0)),0)*X541</f>
        <v>0</v>
      </c>
      <c r="CP541" s="266">
        <f ca="1">O541*IFERROR(INDEX(Algorithms!$G:$G,MATCH($C541&amp;"_Therm Saved per Unit- MLA",Algorithms!$A:$A,0)),0)*Y541</f>
        <v>0</v>
      </c>
      <c r="CQ541" s="266">
        <f ca="1">P541*IFERROR(INDEX(Algorithms!$G:$G,MATCH($C541&amp;"_Therm Saved per Unit- MLA",Algorithms!$A:$A,0)),0)*Z541</f>
        <v>0</v>
      </c>
      <c r="CR541" s="266">
        <f ca="1">Q541*IFERROR(INDEX(Algorithms!$G:$G,MATCH($C541&amp;"_Therm Saved per Unit- MLA",Algorithms!$A:$A,0)),0)*AA541</f>
        <v>0</v>
      </c>
      <c r="CS541" s="266">
        <f ca="1">IFERROR(INDEX(Algorithms!$G:$G,MATCH($C541&amp;"_Lifetime (years)",Algorithms!$A:$A,0)),0)</f>
        <v>15</v>
      </c>
      <c r="CT541" s="266">
        <f ca="1">IFERROR(INDEX(Algorithms!$G:$G,MATCH($C541&amp;"_Lifetime (years) - Remaining Years",Algorithms!$A:$A,0)),0)</f>
        <v>0</v>
      </c>
      <c r="CU541" s="266">
        <f t="shared" ca="1" si="361"/>
        <v>0</v>
      </c>
      <c r="CV541" s="266">
        <f t="shared" ca="1" si="362"/>
        <v>0</v>
      </c>
      <c r="CW541" s="266">
        <f t="shared" ca="1" si="363"/>
        <v>0</v>
      </c>
      <c r="CX541" s="266">
        <f t="shared" ca="1" si="364"/>
        <v>0</v>
      </c>
    </row>
    <row r="542" spans="2:102" s="47" customFormat="1" ht="18" customHeight="1" x14ac:dyDescent="0.25">
      <c r="B542" t="str">
        <f t="shared" si="365"/>
        <v>NSG_Business_Public Sector_Retrocommissioning_C&amp;I Retrocommissioning_0_CI</v>
      </c>
      <c r="C542" s="47" t="str">
        <f t="shared" si="326"/>
        <v>C&amp;I Retrocommissioning_0_CI</v>
      </c>
      <c r="D542" s="270" t="s">
        <v>1787</v>
      </c>
      <c r="E542" s="270" t="s">
        <v>3</v>
      </c>
      <c r="F542" s="270" t="s">
        <v>1430</v>
      </c>
      <c r="G542" s="270" t="s">
        <v>1428</v>
      </c>
      <c r="H542" s="270" t="s">
        <v>1284</v>
      </c>
      <c r="I542" s="270">
        <v>0</v>
      </c>
      <c r="J542" s="270" t="s">
        <v>1159</v>
      </c>
      <c r="K542" s="263">
        <v>1</v>
      </c>
      <c r="L542" s="263">
        <f ca="1">IFERROR(INDEX(Algorithms!J:J,MATCH($C542&amp;"_Therm Saved per Unit",Algorithms!$A:$A,0)),"n/a")</f>
        <v>0</v>
      </c>
      <c r="M542" s="263" t="str">
        <f>IFERROR(INDEX('Measure Level Detail'!$N:$N,MATCH($B542,'Measure Level Detail'!$B:$B,0)),0)</f>
        <v>therm</v>
      </c>
      <c r="N542" s="271">
        <f>IFERROR(INDEX('Measure Level Detail'!$P:$P,MATCH($B542&amp;"_"&amp;N$3,'Measure Level Detail'!$C:$C,0)),0)</f>
        <v>0</v>
      </c>
      <c r="O542" s="271">
        <f>IFERROR(INDEX('Measure Level Detail'!$P:$P,MATCH($B542&amp;"_"&amp;O$3,'Measure Level Detail'!$C:$C,0)),0)</f>
        <v>0</v>
      </c>
      <c r="P542" s="271">
        <f>IFERROR(INDEX('Measure Level Detail'!$P:$P,MATCH($B542&amp;"_"&amp;P$3,'Measure Level Detail'!$C:$C,0)),0)</f>
        <v>0</v>
      </c>
      <c r="Q542" s="271">
        <f>IFERROR(INDEX('Measure Level Detail'!$P:$P,MATCH($B542&amp;"_"&amp;Q$3,'Measure Level Detail'!$C:$C,0)),0)</f>
        <v>0</v>
      </c>
      <c r="R542" s="263">
        <f ca="1">IFERROR(INDEX(Algorithms!K:K,MATCH($C542&amp;"_Therm Saved per Unit",Algorithms!$A:$A,0)),"n/a")</f>
        <v>0</v>
      </c>
      <c r="S542" s="262"/>
      <c r="T542" s="272">
        <v>1</v>
      </c>
      <c r="U542" s="272">
        <v>1</v>
      </c>
      <c r="V542" s="272">
        <v>1</v>
      </c>
      <c r="W542" s="272">
        <v>1</v>
      </c>
      <c r="X542" s="276">
        <v>0.98</v>
      </c>
      <c r="Y542" s="276">
        <v>0.98</v>
      </c>
      <c r="Z542" s="276">
        <v>0.98</v>
      </c>
      <c r="AA542" s="276">
        <v>0.98</v>
      </c>
      <c r="AB542" s="266">
        <f t="shared" si="327"/>
        <v>0</v>
      </c>
      <c r="AC542" s="266">
        <f t="shared" si="328"/>
        <v>0</v>
      </c>
      <c r="AD542" s="266">
        <f t="shared" si="329"/>
        <v>0</v>
      </c>
      <c r="AE542" s="266">
        <f t="shared" si="330"/>
        <v>0</v>
      </c>
      <c r="AF542" s="266">
        <f t="shared" si="331"/>
        <v>0</v>
      </c>
      <c r="AG542" s="274">
        <v>0.98</v>
      </c>
      <c r="AH542" s="274">
        <v>0.98</v>
      </c>
      <c r="AI542" s="274">
        <v>0.98</v>
      </c>
      <c r="AJ542" s="274">
        <v>0.98</v>
      </c>
      <c r="AK542" s="274">
        <f t="shared" si="332"/>
        <v>0.98</v>
      </c>
      <c r="AL542" s="274">
        <f t="shared" si="333"/>
        <v>0.98</v>
      </c>
      <c r="AM542" s="274">
        <f t="shared" si="334"/>
        <v>0.98</v>
      </c>
      <c r="AN542" s="274">
        <f t="shared" si="335"/>
        <v>0.98</v>
      </c>
      <c r="AO542" s="262"/>
      <c r="AP542" s="262"/>
      <c r="AQ542" s="267">
        <v>1</v>
      </c>
      <c r="AR542" s="262"/>
      <c r="AS542" s="266">
        <f t="shared" si="336"/>
        <v>0</v>
      </c>
      <c r="AT542" s="264">
        <f t="shared" si="337"/>
        <v>0</v>
      </c>
      <c r="AU542" s="262"/>
      <c r="AV542" s="262"/>
      <c r="AW542" s="265">
        <v>1</v>
      </c>
      <c r="AX542" s="164" t="s">
        <v>1469</v>
      </c>
      <c r="AY542" s="266">
        <v>0</v>
      </c>
      <c r="AZ542" s="266">
        <f t="shared" si="338"/>
        <v>0</v>
      </c>
      <c r="BA542" s="264">
        <f t="shared" si="339"/>
        <v>0</v>
      </c>
      <c r="BB542" s="262"/>
      <c r="BC542" s="262"/>
      <c r="BD542" s="265">
        <f ca="1">IFERROR(INDEX(Algorithms!$G:$G,MATCH($C542&amp;"_Therm Saved per Unit",Algorithms!$A:$A,0)),0)</f>
        <v>1</v>
      </c>
      <c r="BE542" s="164" t="str">
        <f ca="1">IFERROR(INDEX('v12 Revisions'!$P$29:$P$186, MATCH('Measure-Level Adj Gas'!$L542, 'v12 Revisions'!$D$29:$D$186,0)),"")</f>
        <v/>
      </c>
      <c r="BF542" s="266">
        <f t="shared" ca="1" si="340"/>
        <v>0</v>
      </c>
      <c r="BG542" s="264">
        <f t="shared" ca="1" si="341"/>
        <v>0</v>
      </c>
      <c r="BH542" s="262"/>
      <c r="BI542" s="262"/>
      <c r="BJ542" s="265">
        <f ca="1">IFERROR(INDEX(Algorithms!$G:$G,MATCH($C542&amp;"_Therm Saved per Unit",Algorithms!$A:$A,0)),0)</f>
        <v>1</v>
      </c>
      <c r="BK542" s="164"/>
      <c r="BL542" s="266">
        <f t="shared" ca="1" si="342"/>
        <v>0</v>
      </c>
      <c r="BM542" s="264">
        <f t="shared" ca="1" si="343"/>
        <v>0</v>
      </c>
      <c r="BN542" s="266">
        <f t="shared" si="344"/>
        <v>0</v>
      </c>
      <c r="BO542" s="266">
        <f t="shared" si="345"/>
        <v>0</v>
      </c>
      <c r="BP542" s="266">
        <f t="shared" ca="1" si="346"/>
        <v>0</v>
      </c>
      <c r="BQ542" s="266">
        <f t="shared" ca="1" si="347"/>
        <v>0</v>
      </c>
      <c r="BR542" s="268">
        <f t="shared" ca="1" si="348"/>
        <v>0</v>
      </c>
      <c r="BS542" s="262" t="s">
        <v>99</v>
      </c>
      <c r="BT542" s="277"/>
      <c r="BW542" s="266">
        <f t="shared" si="349"/>
        <v>0</v>
      </c>
      <c r="BX542" s="266">
        <f t="shared" si="350"/>
        <v>0</v>
      </c>
      <c r="BY542" s="266">
        <f t="shared" si="351"/>
        <v>0</v>
      </c>
      <c r="BZ542" s="266">
        <f t="shared" si="352"/>
        <v>0</v>
      </c>
      <c r="CA542" s="266">
        <f ca="1">N542*IFERROR(INDEX(Algorithms!$G:$G,MATCH($C542&amp;"_Therm Saved per Unit- MLA",Algorithms!$A:$A,0)),0)*X542</f>
        <v>0</v>
      </c>
      <c r="CB542" s="266">
        <f ca="1">O542*IFERROR(INDEX(Algorithms!$G:$G,MATCH($C542&amp;"_Therm Saved per Unit- MLA",Algorithms!$A:$A,0)),0)*Y542</f>
        <v>0</v>
      </c>
      <c r="CC542" s="266">
        <f ca="1">P542*IFERROR(INDEX(Algorithms!$G:$G,MATCH($C542&amp;"_Therm Saved per Unit- MLA",Algorithms!$A:$A,0)),0)*Z542</f>
        <v>0</v>
      </c>
      <c r="CD542" s="266">
        <f ca="1">Q542*IFERROR(INDEX(Algorithms!$G:$G,MATCH($C542&amp;"_Therm Saved per Unit- MLA",Algorithms!$A:$A,0)),0)*AA542</f>
        <v>0</v>
      </c>
      <c r="CE542" s="266">
        <f ca="1">IFERROR(INDEX(Algorithms!$G:$G,MATCH($C542&amp;"_Lifetime (years)",Algorithms!$A:$A,0)),0)</f>
        <v>15</v>
      </c>
      <c r="CF542" s="266">
        <f ca="1">IFERROR(INDEX(Algorithms!$G:$G,MATCH($C542&amp;"_Lifetime (years) - Remaining Years",Algorithms!$A:$A,0)),0)</f>
        <v>0</v>
      </c>
      <c r="CG542" s="266">
        <f t="shared" ca="1" si="353"/>
        <v>0</v>
      </c>
      <c r="CH542" s="266">
        <f t="shared" ca="1" si="354"/>
        <v>0</v>
      </c>
      <c r="CI542" s="266">
        <f t="shared" ca="1" si="355"/>
        <v>0</v>
      </c>
      <c r="CJ542" s="266">
        <f t="shared" ca="1" si="356"/>
        <v>0</v>
      </c>
      <c r="CK542" s="266">
        <f t="shared" si="357"/>
        <v>0</v>
      </c>
      <c r="CL542" s="266">
        <f t="shared" si="358"/>
        <v>0</v>
      </c>
      <c r="CM542" s="266">
        <f t="shared" ca="1" si="359"/>
        <v>0</v>
      </c>
      <c r="CN542" s="266">
        <f t="shared" ca="1" si="360"/>
        <v>0</v>
      </c>
      <c r="CO542" s="266">
        <f ca="1">N542*IFERROR(INDEX(Algorithms!$G:$G,MATCH($C542&amp;"_Therm Saved per Unit- MLA",Algorithms!$A:$A,0)),0)*X542</f>
        <v>0</v>
      </c>
      <c r="CP542" s="266">
        <f ca="1">O542*IFERROR(INDEX(Algorithms!$G:$G,MATCH($C542&amp;"_Therm Saved per Unit- MLA",Algorithms!$A:$A,0)),0)*Y542</f>
        <v>0</v>
      </c>
      <c r="CQ542" s="266">
        <f ca="1">P542*IFERROR(INDEX(Algorithms!$G:$G,MATCH($C542&amp;"_Therm Saved per Unit- MLA",Algorithms!$A:$A,0)),0)*Z542</f>
        <v>0</v>
      </c>
      <c r="CR542" s="266">
        <f ca="1">Q542*IFERROR(INDEX(Algorithms!$G:$G,MATCH($C542&amp;"_Therm Saved per Unit- MLA",Algorithms!$A:$A,0)),0)*AA542</f>
        <v>0</v>
      </c>
      <c r="CS542" s="266">
        <f ca="1">IFERROR(INDEX(Algorithms!$G:$G,MATCH($C542&amp;"_Lifetime (years)",Algorithms!$A:$A,0)),0)</f>
        <v>15</v>
      </c>
      <c r="CT542" s="266">
        <f ca="1">IFERROR(INDEX(Algorithms!$G:$G,MATCH($C542&amp;"_Lifetime (years) - Remaining Years",Algorithms!$A:$A,0)),0)</f>
        <v>0</v>
      </c>
      <c r="CU542" s="266">
        <f t="shared" ca="1" si="361"/>
        <v>0</v>
      </c>
      <c r="CV542" s="266">
        <f t="shared" ca="1" si="362"/>
        <v>0</v>
      </c>
      <c r="CW542" s="266">
        <f t="shared" ca="1" si="363"/>
        <v>0</v>
      </c>
      <c r="CX542" s="266">
        <f t="shared" ca="1" si="364"/>
        <v>0</v>
      </c>
    </row>
    <row r="543" spans="2:102" s="47" customFormat="1" ht="18" customHeight="1" x14ac:dyDescent="0.25">
      <c r="B543" t="str">
        <f t="shared" si="365"/>
        <v>NSG_Business_Public Sector_Engineering Study_Engineering Study_0_CI</v>
      </c>
      <c r="C543" s="47" t="str">
        <f t="shared" si="326"/>
        <v>Engineering Study_0_CI</v>
      </c>
      <c r="D543" s="270" t="s">
        <v>1787</v>
      </c>
      <c r="E543" s="270" t="s">
        <v>3</v>
      </c>
      <c r="F543" s="270" t="s">
        <v>1430</v>
      </c>
      <c r="G543" s="270" t="s">
        <v>1281</v>
      </c>
      <c r="H543" s="270" t="s">
        <v>1281</v>
      </c>
      <c r="I543" s="270">
        <v>0</v>
      </c>
      <c r="J543" s="270" t="s">
        <v>1159</v>
      </c>
      <c r="K543" s="263">
        <v>1</v>
      </c>
      <c r="L543" s="263">
        <f ca="1">IFERROR(INDEX(Algorithms!J:J,MATCH($C543&amp;"_Therm Saved per Unit",Algorithms!$A:$A,0)),"n/a")</f>
        <v>0</v>
      </c>
      <c r="M543" s="263">
        <f>IFERROR(INDEX('Measure Level Detail'!$N:$N,MATCH($B543,'Measure Level Detail'!$B:$B,0)),0)</f>
        <v>0</v>
      </c>
      <c r="N543" s="271">
        <f>IFERROR(INDEX('Measure Level Detail'!$P:$P,MATCH($B543&amp;"_"&amp;N$3,'Measure Level Detail'!$C:$C,0)),0)</f>
        <v>0</v>
      </c>
      <c r="O543" s="271">
        <f>IFERROR(INDEX('Measure Level Detail'!$P:$P,MATCH($B543&amp;"_"&amp;O$3,'Measure Level Detail'!$C:$C,0)),0)</f>
        <v>0</v>
      </c>
      <c r="P543" s="271">
        <f>IFERROR(INDEX('Measure Level Detail'!$P:$P,MATCH($B543&amp;"_"&amp;P$3,'Measure Level Detail'!$C:$C,0)),0)</f>
        <v>0</v>
      </c>
      <c r="Q543" s="271">
        <f>IFERROR(INDEX('Measure Level Detail'!$P:$P,MATCH($B543&amp;"_"&amp;Q$3,'Measure Level Detail'!$C:$C,0)),0)</f>
        <v>0</v>
      </c>
      <c r="R543" s="263">
        <f ca="1">IFERROR(INDEX(Algorithms!K:K,MATCH($C543&amp;"_Therm Saved per Unit",Algorithms!$A:$A,0)),"n/a")</f>
        <v>0</v>
      </c>
      <c r="S543" s="262"/>
      <c r="T543" s="272">
        <v>0</v>
      </c>
      <c r="U543" s="272">
        <v>0</v>
      </c>
      <c r="V543" s="272">
        <v>0</v>
      </c>
      <c r="W543" s="272">
        <v>0</v>
      </c>
      <c r="X543" s="276">
        <v>0.92</v>
      </c>
      <c r="Y543" s="276">
        <v>0.92</v>
      </c>
      <c r="Z543" s="276">
        <v>0.92</v>
      </c>
      <c r="AA543" s="276">
        <v>0.92</v>
      </c>
      <c r="AB543" s="266">
        <f t="shared" si="327"/>
        <v>0</v>
      </c>
      <c r="AC543" s="266">
        <f t="shared" si="328"/>
        <v>0</v>
      </c>
      <c r="AD543" s="266">
        <f t="shared" si="329"/>
        <v>0</v>
      </c>
      <c r="AE543" s="266">
        <f t="shared" si="330"/>
        <v>0</v>
      </c>
      <c r="AF543" s="266">
        <f t="shared" si="331"/>
        <v>0</v>
      </c>
      <c r="AG543" s="274">
        <v>0.92</v>
      </c>
      <c r="AH543" s="274">
        <v>0.92</v>
      </c>
      <c r="AI543" s="274">
        <v>0.92</v>
      </c>
      <c r="AJ543" s="274">
        <v>0.92</v>
      </c>
      <c r="AK543" s="274">
        <f t="shared" si="332"/>
        <v>0.92</v>
      </c>
      <c r="AL543" s="274">
        <f t="shared" si="333"/>
        <v>0.92</v>
      </c>
      <c r="AM543" s="274">
        <f t="shared" si="334"/>
        <v>0.92</v>
      </c>
      <c r="AN543" s="274">
        <f t="shared" si="335"/>
        <v>0.92</v>
      </c>
      <c r="AO543" s="262"/>
      <c r="AP543" s="262"/>
      <c r="AQ543" s="267">
        <v>0</v>
      </c>
      <c r="AR543" s="262"/>
      <c r="AS543" s="266">
        <f t="shared" si="336"/>
        <v>0</v>
      </c>
      <c r="AT543" s="264">
        <f t="shared" si="337"/>
        <v>0</v>
      </c>
      <c r="AU543" s="262"/>
      <c r="AV543" s="262"/>
      <c r="AW543" s="265">
        <v>0</v>
      </c>
      <c r="AX543" s="164" t="s">
        <v>1469</v>
      </c>
      <c r="AY543" s="266">
        <v>0</v>
      </c>
      <c r="AZ543" s="266">
        <f t="shared" si="338"/>
        <v>0</v>
      </c>
      <c r="BA543" s="264">
        <f t="shared" si="339"/>
        <v>0</v>
      </c>
      <c r="BB543" s="262"/>
      <c r="BC543" s="262"/>
      <c r="BD543" s="265">
        <f ca="1">IFERROR(INDEX(Algorithms!$G:$G,MATCH($C543&amp;"_Therm Saved per Unit",Algorithms!$A:$A,0)),0)</f>
        <v>0</v>
      </c>
      <c r="BE543" s="164" t="str">
        <f ca="1">IFERROR(INDEX('v12 Revisions'!$P$29:$P$186, MATCH('Measure-Level Adj Gas'!$L543, 'v12 Revisions'!$D$29:$D$186,0)),"")</f>
        <v/>
      </c>
      <c r="BF543" s="266">
        <f t="shared" ca="1" si="340"/>
        <v>0</v>
      </c>
      <c r="BG543" s="264">
        <f t="shared" ca="1" si="341"/>
        <v>0</v>
      </c>
      <c r="BH543" s="262"/>
      <c r="BI543" s="262"/>
      <c r="BJ543" s="265">
        <f ca="1">IFERROR(INDEX(Algorithms!$G:$G,MATCH($C543&amp;"_Therm Saved per Unit",Algorithms!$A:$A,0)),0)</f>
        <v>0</v>
      </c>
      <c r="BK543" s="164"/>
      <c r="BL543" s="266">
        <f t="shared" ca="1" si="342"/>
        <v>0</v>
      </c>
      <c r="BM543" s="264">
        <f t="shared" ca="1" si="343"/>
        <v>0</v>
      </c>
      <c r="BN543" s="266">
        <f t="shared" si="344"/>
        <v>0</v>
      </c>
      <c r="BO543" s="266">
        <f t="shared" si="345"/>
        <v>0</v>
      </c>
      <c r="BP543" s="266">
        <f t="shared" ca="1" si="346"/>
        <v>0</v>
      </c>
      <c r="BQ543" s="266">
        <f t="shared" ca="1" si="347"/>
        <v>0</v>
      </c>
      <c r="BR543" s="268">
        <f t="shared" ca="1" si="348"/>
        <v>0</v>
      </c>
      <c r="BS543" s="262" t="s">
        <v>99</v>
      </c>
      <c r="BT543" s="277"/>
      <c r="BW543" s="266">
        <f t="shared" si="349"/>
        <v>0</v>
      </c>
      <c r="BX543" s="266">
        <f t="shared" si="350"/>
        <v>0</v>
      </c>
      <c r="BY543" s="266">
        <f t="shared" si="351"/>
        <v>0</v>
      </c>
      <c r="BZ543" s="266">
        <f t="shared" si="352"/>
        <v>0</v>
      </c>
      <c r="CA543" s="266">
        <f ca="1">N543*IFERROR(INDEX(Algorithms!$G:$G,MATCH($C543&amp;"_Therm Saved per Unit- MLA",Algorithms!$A:$A,0)),0)*X543</f>
        <v>0</v>
      </c>
      <c r="CB543" s="266">
        <f ca="1">O543*IFERROR(INDEX(Algorithms!$G:$G,MATCH($C543&amp;"_Therm Saved per Unit- MLA",Algorithms!$A:$A,0)),0)*Y543</f>
        <v>0</v>
      </c>
      <c r="CC543" s="266">
        <f ca="1">P543*IFERROR(INDEX(Algorithms!$G:$G,MATCH($C543&amp;"_Therm Saved per Unit- MLA",Algorithms!$A:$A,0)),0)*Z543</f>
        <v>0</v>
      </c>
      <c r="CD543" s="266">
        <f ca="1">Q543*IFERROR(INDEX(Algorithms!$G:$G,MATCH($C543&amp;"_Therm Saved per Unit- MLA",Algorithms!$A:$A,0)),0)*AA543</f>
        <v>0</v>
      </c>
      <c r="CE543" s="266">
        <f ca="1">IFERROR(INDEX(Algorithms!$G:$G,MATCH($C543&amp;"_Lifetime (years)",Algorithms!$A:$A,0)),0)</f>
        <v>0</v>
      </c>
      <c r="CF543" s="266">
        <f ca="1">IFERROR(INDEX(Algorithms!$G:$G,MATCH($C543&amp;"_Lifetime (years) - Remaining Years",Algorithms!$A:$A,0)),0)</f>
        <v>0</v>
      </c>
      <c r="CG543" s="266">
        <f t="shared" ca="1" si="353"/>
        <v>0</v>
      </c>
      <c r="CH543" s="266">
        <f t="shared" ca="1" si="354"/>
        <v>0</v>
      </c>
      <c r="CI543" s="266">
        <f t="shared" ca="1" si="355"/>
        <v>0</v>
      </c>
      <c r="CJ543" s="266">
        <f t="shared" ca="1" si="356"/>
        <v>0</v>
      </c>
      <c r="CK543" s="266">
        <f t="shared" si="357"/>
        <v>0</v>
      </c>
      <c r="CL543" s="266">
        <f t="shared" si="358"/>
        <v>0</v>
      </c>
      <c r="CM543" s="266">
        <f t="shared" ca="1" si="359"/>
        <v>0</v>
      </c>
      <c r="CN543" s="266">
        <f t="shared" ca="1" si="360"/>
        <v>0</v>
      </c>
      <c r="CO543" s="266">
        <f ca="1">N543*IFERROR(INDEX(Algorithms!$G:$G,MATCH($C543&amp;"_Therm Saved per Unit- MLA",Algorithms!$A:$A,0)),0)*X543</f>
        <v>0</v>
      </c>
      <c r="CP543" s="266">
        <f ca="1">O543*IFERROR(INDEX(Algorithms!$G:$G,MATCH($C543&amp;"_Therm Saved per Unit- MLA",Algorithms!$A:$A,0)),0)*Y543</f>
        <v>0</v>
      </c>
      <c r="CQ543" s="266">
        <f ca="1">P543*IFERROR(INDEX(Algorithms!$G:$G,MATCH($C543&amp;"_Therm Saved per Unit- MLA",Algorithms!$A:$A,0)),0)*Z543</f>
        <v>0</v>
      </c>
      <c r="CR543" s="266">
        <f ca="1">Q543*IFERROR(INDEX(Algorithms!$G:$G,MATCH($C543&amp;"_Therm Saved per Unit- MLA",Algorithms!$A:$A,0)),0)*AA543</f>
        <v>0</v>
      </c>
      <c r="CS543" s="266">
        <f ca="1">IFERROR(INDEX(Algorithms!$G:$G,MATCH($C543&amp;"_Lifetime (years)",Algorithms!$A:$A,0)),0)</f>
        <v>0</v>
      </c>
      <c r="CT543" s="266">
        <f ca="1">IFERROR(INDEX(Algorithms!$G:$G,MATCH($C543&amp;"_Lifetime (years) - Remaining Years",Algorithms!$A:$A,0)),0)</f>
        <v>0</v>
      </c>
      <c r="CU543" s="266">
        <f t="shared" ca="1" si="361"/>
        <v>0</v>
      </c>
      <c r="CV543" s="266">
        <f t="shared" ca="1" si="362"/>
        <v>0</v>
      </c>
      <c r="CW543" s="266">
        <f t="shared" ca="1" si="363"/>
        <v>0</v>
      </c>
      <c r="CX543" s="266">
        <f t="shared" ca="1" si="364"/>
        <v>0</v>
      </c>
    </row>
    <row r="544" spans="2:102" s="47" customFormat="1" ht="18" customHeight="1" x14ac:dyDescent="0.25">
      <c r="B544" t="str">
        <f t="shared" si="365"/>
        <v>NSG_Business_Public Sector_Staffing_Staffing_0_CI</v>
      </c>
      <c r="C544" s="47" t="str">
        <f t="shared" si="326"/>
        <v>Staffing_0_CI</v>
      </c>
      <c r="D544" s="270" t="s">
        <v>1787</v>
      </c>
      <c r="E544" s="270" t="s">
        <v>3</v>
      </c>
      <c r="F544" s="270" t="s">
        <v>1430</v>
      </c>
      <c r="G544" s="270" t="s">
        <v>1282</v>
      </c>
      <c r="H544" s="270" t="s">
        <v>1282</v>
      </c>
      <c r="I544" s="270">
        <v>0</v>
      </c>
      <c r="J544" s="270" t="s">
        <v>1159</v>
      </c>
      <c r="K544" s="263">
        <v>1</v>
      </c>
      <c r="L544" s="263">
        <f ca="1">IFERROR(INDEX(Algorithms!J:J,MATCH($C544&amp;"_Therm Saved per Unit",Algorithms!$A:$A,0)),"n/a")</f>
        <v>0</v>
      </c>
      <c r="M544" s="263" t="str">
        <f>IFERROR(INDEX('Measure Level Detail'!$N:$N,MATCH($B544,'Measure Level Detail'!$B:$B,0)),0)</f>
        <v>each</v>
      </c>
      <c r="N544" s="271">
        <f>IFERROR(INDEX('Measure Level Detail'!$P:$P,MATCH($B544&amp;"_"&amp;N$3,'Measure Level Detail'!$C:$C,0)),0)</f>
        <v>0</v>
      </c>
      <c r="O544" s="271">
        <f>IFERROR(INDEX('Measure Level Detail'!$P:$P,MATCH($B544&amp;"_"&amp;O$3,'Measure Level Detail'!$C:$C,0)),0)</f>
        <v>0</v>
      </c>
      <c r="P544" s="271">
        <f>IFERROR(INDEX('Measure Level Detail'!$P:$P,MATCH($B544&amp;"_"&amp;P$3,'Measure Level Detail'!$C:$C,0)),0)</f>
        <v>0</v>
      </c>
      <c r="Q544" s="271">
        <f>IFERROR(INDEX('Measure Level Detail'!$P:$P,MATCH($B544&amp;"_"&amp;Q$3,'Measure Level Detail'!$C:$C,0)),0)</f>
        <v>0</v>
      </c>
      <c r="R544" s="263">
        <f ca="1">IFERROR(INDEX(Algorithms!K:K,MATCH($C544&amp;"_Therm Saved per Unit",Algorithms!$A:$A,0)),"n/a")</f>
        <v>0</v>
      </c>
      <c r="S544" s="262"/>
      <c r="T544" s="272">
        <v>0</v>
      </c>
      <c r="U544" s="272">
        <v>0</v>
      </c>
      <c r="V544" s="272">
        <v>0</v>
      </c>
      <c r="W544" s="272">
        <v>0</v>
      </c>
      <c r="X544" s="276">
        <v>0.92</v>
      </c>
      <c r="Y544" s="276">
        <v>0.92</v>
      </c>
      <c r="Z544" s="276">
        <v>0.92</v>
      </c>
      <c r="AA544" s="276">
        <v>0.92</v>
      </c>
      <c r="AB544" s="266">
        <f t="shared" si="327"/>
        <v>0</v>
      </c>
      <c r="AC544" s="266">
        <f t="shared" si="328"/>
        <v>0</v>
      </c>
      <c r="AD544" s="266">
        <f t="shared" si="329"/>
        <v>0</v>
      </c>
      <c r="AE544" s="266">
        <f t="shared" si="330"/>
        <v>0</v>
      </c>
      <c r="AF544" s="266">
        <f t="shared" si="331"/>
        <v>0</v>
      </c>
      <c r="AG544" s="274">
        <v>0.92</v>
      </c>
      <c r="AH544" s="274">
        <v>0.92</v>
      </c>
      <c r="AI544" s="274">
        <v>0.92</v>
      </c>
      <c r="AJ544" s="274">
        <v>0.92</v>
      </c>
      <c r="AK544" s="274">
        <f t="shared" si="332"/>
        <v>0.92</v>
      </c>
      <c r="AL544" s="274">
        <f t="shared" si="333"/>
        <v>0.92</v>
      </c>
      <c r="AM544" s="274">
        <f t="shared" si="334"/>
        <v>0.92</v>
      </c>
      <c r="AN544" s="274">
        <f t="shared" si="335"/>
        <v>0.92</v>
      </c>
      <c r="AO544" s="262"/>
      <c r="AP544" s="262"/>
      <c r="AQ544" s="267">
        <v>0</v>
      </c>
      <c r="AR544" s="262"/>
      <c r="AS544" s="266">
        <f t="shared" si="336"/>
        <v>0</v>
      </c>
      <c r="AT544" s="264">
        <f t="shared" si="337"/>
        <v>0</v>
      </c>
      <c r="AU544" s="262"/>
      <c r="AV544" s="262"/>
      <c r="AW544" s="265">
        <v>0</v>
      </c>
      <c r="AX544" s="164" t="s">
        <v>1469</v>
      </c>
      <c r="AY544" s="266">
        <v>0</v>
      </c>
      <c r="AZ544" s="266">
        <f t="shared" si="338"/>
        <v>0</v>
      </c>
      <c r="BA544" s="264">
        <f t="shared" si="339"/>
        <v>0</v>
      </c>
      <c r="BB544" s="262"/>
      <c r="BC544" s="262"/>
      <c r="BD544" s="265">
        <f ca="1">IFERROR(INDEX(Algorithms!$G:$G,MATCH($C544&amp;"_Therm Saved per Unit",Algorithms!$A:$A,0)),0)</f>
        <v>0</v>
      </c>
      <c r="BE544" s="164" t="str">
        <f ca="1">IFERROR(INDEX('v12 Revisions'!$P$29:$P$186, MATCH('Measure-Level Adj Gas'!$L544, 'v12 Revisions'!$D$29:$D$186,0)),"")</f>
        <v/>
      </c>
      <c r="BF544" s="266">
        <f t="shared" ca="1" si="340"/>
        <v>0</v>
      </c>
      <c r="BG544" s="264">
        <f t="shared" ca="1" si="341"/>
        <v>0</v>
      </c>
      <c r="BH544" s="262"/>
      <c r="BI544" s="262"/>
      <c r="BJ544" s="265">
        <f ca="1">IFERROR(INDEX(Algorithms!$G:$G,MATCH($C544&amp;"_Therm Saved per Unit",Algorithms!$A:$A,0)),0)</f>
        <v>0</v>
      </c>
      <c r="BK544" s="164"/>
      <c r="BL544" s="266">
        <f t="shared" ca="1" si="342"/>
        <v>0</v>
      </c>
      <c r="BM544" s="264">
        <f t="shared" ca="1" si="343"/>
        <v>0</v>
      </c>
      <c r="BN544" s="266">
        <f t="shared" si="344"/>
        <v>0</v>
      </c>
      <c r="BO544" s="266">
        <f t="shared" si="345"/>
        <v>0</v>
      </c>
      <c r="BP544" s="266">
        <f t="shared" ca="1" si="346"/>
        <v>0</v>
      </c>
      <c r="BQ544" s="266">
        <f t="shared" ca="1" si="347"/>
        <v>0</v>
      </c>
      <c r="BR544" s="268">
        <f t="shared" ca="1" si="348"/>
        <v>0</v>
      </c>
      <c r="BS544" s="262" t="s">
        <v>99</v>
      </c>
      <c r="BT544" s="277"/>
      <c r="BW544" s="266">
        <f t="shared" si="349"/>
        <v>0</v>
      </c>
      <c r="BX544" s="266">
        <f t="shared" si="350"/>
        <v>0</v>
      </c>
      <c r="BY544" s="266">
        <f t="shared" si="351"/>
        <v>0</v>
      </c>
      <c r="BZ544" s="266">
        <f t="shared" si="352"/>
        <v>0</v>
      </c>
      <c r="CA544" s="266">
        <f ca="1">N544*IFERROR(INDEX(Algorithms!$G:$G,MATCH($C544&amp;"_Therm Saved per Unit- MLA",Algorithms!$A:$A,0)),0)*X544</f>
        <v>0</v>
      </c>
      <c r="CB544" s="266">
        <f ca="1">O544*IFERROR(INDEX(Algorithms!$G:$G,MATCH($C544&amp;"_Therm Saved per Unit- MLA",Algorithms!$A:$A,0)),0)*Y544</f>
        <v>0</v>
      </c>
      <c r="CC544" s="266">
        <f ca="1">P544*IFERROR(INDEX(Algorithms!$G:$G,MATCH($C544&amp;"_Therm Saved per Unit- MLA",Algorithms!$A:$A,0)),0)*Z544</f>
        <v>0</v>
      </c>
      <c r="CD544" s="266">
        <f ca="1">Q544*IFERROR(INDEX(Algorithms!$G:$G,MATCH($C544&amp;"_Therm Saved per Unit- MLA",Algorithms!$A:$A,0)),0)*AA544</f>
        <v>0</v>
      </c>
      <c r="CE544" s="266">
        <f ca="1">IFERROR(INDEX(Algorithms!$G:$G,MATCH($C544&amp;"_Lifetime (years)",Algorithms!$A:$A,0)),0)</f>
        <v>0</v>
      </c>
      <c r="CF544" s="266">
        <f ca="1">IFERROR(INDEX(Algorithms!$G:$G,MATCH($C544&amp;"_Lifetime (years) - Remaining Years",Algorithms!$A:$A,0)),0)</f>
        <v>0</v>
      </c>
      <c r="CG544" s="266">
        <f t="shared" ca="1" si="353"/>
        <v>0</v>
      </c>
      <c r="CH544" s="266">
        <f t="shared" ca="1" si="354"/>
        <v>0</v>
      </c>
      <c r="CI544" s="266">
        <f t="shared" ca="1" si="355"/>
        <v>0</v>
      </c>
      <c r="CJ544" s="266">
        <f t="shared" ca="1" si="356"/>
        <v>0</v>
      </c>
      <c r="CK544" s="266">
        <f t="shared" si="357"/>
        <v>0</v>
      </c>
      <c r="CL544" s="266">
        <f t="shared" si="358"/>
        <v>0</v>
      </c>
      <c r="CM544" s="266">
        <f t="shared" ca="1" si="359"/>
        <v>0</v>
      </c>
      <c r="CN544" s="266">
        <f t="shared" ca="1" si="360"/>
        <v>0</v>
      </c>
      <c r="CO544" s="266">
        <f ca="1">N544*IFERROR(INDEX(Algorithms!$G:$G,MATCH($C544&amp;"_Therm Saved per Unit- MLA",Algorithms!$A:$A,0)),0)*X544</f>
        <v>0</v>
      </c>
      <c r="CP544" s="266">
        <f ca="1">O544*IFERROR(INDEX(Algorithms!$G:$G,MATCH($C544&amp;"_Therm Saved per Unit- MLA",Algorithms!$A:$A,0)),0)*Y544</f>
        <v>0</v>
      </c>
      <c r="CQ544" s="266">
        <f ca="1">P544*IFERROR(INDEX(Algorithms!$G:$G,MATCH($C544&amp;"_Therm Saved per Unit- MLA",Algorithms!$A:$A,0)),0)*Z544</f>
        <v>0</v>
      </c>
      <c r="CR544" s="266">
        <f ca="1">Q544*IFERROR(INDEX(Algorithms!$G:$G,MATCH($C544&amp;"_Therm Saved per Unit- MLA",Algorithms!$A:$A,0)),0)*AA544</f>
        <v>0</v>
      </c>
      <c r="CS544" s="266">
        <f ca="1">IFERROR(INDEX(Algorithms!$G:$G,MATCH($C544&amp;"_Lifetime (years)",Algorithms!$A:$A,0)),0)</f>
        <v>0</v>
      </c>
      <c r="CT544" s="266">
        <f ca="1">IFERROR(INDEX(Algorithms!$G:$G,MATCH($C544&amp;"_Lifetime (years) - Remaining Years",Algorithms!$A:$A,0)),0)</f>
        <v>0</v>
      </c>
      <c r="CU544" s="266">
        <f t="shared" ca="1" si="361"/>
        <v>0</v>
      </c>
      <c r="CV544" s="266">
        <f t="shared" ca="1" si="362"/>
        <v>0</v>
      </c>
      <c r="CW544" s="266">
        <f t="shared" ca="1" si="363"/>
        <v>0</v>
      </c>
      <c r="CX544" s="266">
        <f t="shared" ca="1" si="364"/>
        <v>0</v>
      </c>
    </row>
    <row r="545" spans="2:102" s="47" customFormat="1" ht="18" customHeight="1" x14ac:dyDescent="0.25">
      <c r="B545" t="str">
        <f t="shared" si="365"/>
        <v>NSG_Business_Public Sector_Rebates_Boiler_≥88% AFUE, &lt;300MBh_CI</v>
      </c>
      <c r="C545" s="47" t="str">
        <f t="shared" si="326"/>
        <v>Boiler_≥88% AFUE, &lt;300MBh_CI</v>
      </c>
      <c r="D545" s="270" t="s">
        <v>1787</v>
      </c>
      <c r="E545" s="270" t="s">
        <v>3</v>
      </c>
      <c r="F545" s="270" t="s">
        <v>1430</v>
      </c>
      <c r="G545" s="270" t="s">
        <v>1429</v>
      </c>
      <c r="H545" s="270" t="s">
        <v>944</v>
      </c>
      <c r="I545" s="270" t="s">
        <v>945</v>
      </c>
      <c r="J545" s="270" t="s">
        <v>1159</v>
      </c>
      <c r="K545" s="263">
        <v>1</v>
      </c>
      <c r="L545" s="263" t="str">
        <f ca="1">IFERROR(INDEX(Algorithms!J:J,MATCH($C545&amp;"_Therm Saved per Unit",Algorithms!$A:$A,0)),"n/a")</f>
        <v>4.4.10</v>
      </c>
      <c r="M545" s="263" t="str">
        <f>IFERROR(INDEX('Measure Level Detail'!$N:$N,MATCH($B545,'Measure Level Detail'!$B:$B,0)),0)</f>
        <v>MBH</v>
      </c>
      <c r="N545" s="271">
        <f>IFERROR(INDEX('Measure Level Detail'!$P:$P,MATCH($B545&amp;"_"&amp;N$3,'Measure Level Detail'!$C:$C,0)),0)</f>
        <v>0</v>
      </c>
      <c r="O545" s="271">
        <f>IFERROR(INDEX('Measure Level Detail'!$P:$P,MATCH($B545&amp;"_"&amp;O$3,'Measure Level Detail'!$C:$C,0)),0)</f>
        <v>0</v>
      </c>
      <c r="P545" s="271">
        <f>IFERROR(INDEX('Measure Level Detail'!$P:$P,MATCH($B545&amp;"_"&amp;P$3,'Measure Level Detail'!$C:$C,0)),0)</f>
        <v>0</v>
      </c>
      <c r="Q545" s="271">
        <f>IFERROR(INDEX('Measure Level Detail'!$P:$P,MATCH($B545&amp;"_"&amp;Q$3,'Measure Level Detail'!$C:$C,0)),0)</f>
        <v>0</v>
      </c>
      <c r="R545" s="263" t="str">
        <f ca="1">IFERROR(INDEX(Algorithms!K:K,MATCH($C545&amp;"_Therm Saved per Unit",Algorithms!$A:$A,0)),"n/a")</f>
        <v>CI-HVC-BOIL-V11-240101</v>
      </c>
      <c r="S545" s="262"/>
      <c r="T545" s="272">
        <v>0.79095238095238163</v>
      </c>
      <c r="U545" s="272">
        <v>0.79095238095238163</v>
      </c>
      <c r="V545" s="272">
        <v>0.79095238095238163</v>
      </c>
      <c r="W545" s="272">
        <v>0.79095238095238163</v>
      </c>
      <c r="X545" s="276">
        <v>0.92</v>
      </c>
      <c r="Y545" s="276">
        <v>0.92</v>
      </c>
      <c r="Z545" s="276">
        <v>0.92</v>
      </c>
      <c r="AA545" s="276">
        <v>0.92</v>
      </c>
      <c r="AB545" s="266">
        <f t="shared" si="327"/>
        <v>0</v>
      </c>
      <c r="AC545" s="266">
        <f t="shared" si="328"/>
        <v>0</v>
      </c>
      <c r="AD545" s="266">
        <f t="shared" si="329"/>
        <v>0</v>
      </c>
      <c r="AE545" s="266">
        <f t="shared" si="330"/>
        <v>0</v>
      </c>
      <c r="AF545" s="266">
        <f t="shared" si="331"/>
        <v>0</v>
      </c>
      <c r="AG545" s="274">
        <v>0.92</v>
      </c>
      <c r="AH545" s="274">
        <v>0.92</v>
      </c>
      <c r="AI545" s="274">
        <v>0.92</v>
      </c>
      <c r="AJ545" s="274">
        <v>0.92</v>
      </c>
      <c r="AK545" s="274">
        <f t="shared" si="332"/>
        <v>0.92</v>
      </c>
      <c r="AL545" s="274">
        <f t="shared" si="333"/>
        <v>0.92</v>
      </c>
      <c r="AM545" s="274">
        <f t="shared" si="334"/>
        <v>0.92</v>
      </c>
      <c r="AN545" s="274">
        <f t="shared" si="335"/>
        <v>0.92</v>
      </c>
      <c r="AO545" s="262"/>
      <c r="AP545" s="262"/>
      <c r="AQ545" s="267">
        <v>0.79095238095238163</v>
      </c>
      <c r="AR545" s="262"/>
      <c r="AS545" s="266">
        <f t="shared" si="336"/>
        <v>0</v>
      </c>
      <c r="AT545" s="264">
        <f t="shared" si="337"/>
        <v>0</v>
      </c>
      <c r="AU545" s="262"/>
      <c r="AV545" s="262"/>
      <c r="AW545" s="265">
        <v>0.79095238095238163</v>
      </c>
      <c r="AX545" s="164" t="s">
        <v>1469</v>
      </c>
      <c r="AY545" s="266">
        <v>0</v>
      </c>
      <c r="AZ545" s="266">
        <f t="shared" si="338"/>
        <v>0</v>
      </c>
      <c r="BA545" s="264">
        <f t="shared" si="339"/>
        <v>0</v>
      </c>
      <c r="BB545" s="262"/>
      <c r="BC545" s="262"/>
      <c r="BD545" s="265">
        <f ca="1">IFERROR(INDEX(Algorithms!$G:$G,MATCH($C545&amp;"_Therm Saved per Unit",Algorithms!$A:$A,0)),0)</f>
        <v>0.79095238095238163</v>
      </c>
      <c r="BE545" s="164" t="str">
        <f ca="1">IFERROR(INDEX('v12 Revisions'!$P$29:$P$186, MATCH('Measure-Level Adj Gas'!$L545, 'v12 Revisions'!$D$29:$D$186,0)),"")</f>
        <v>Updated baseline and efficient boiler efficiency ratings.</v>
      </c>
      <c r="BF545" s="266">
        <f t="shared" ca="1" si="340"/>
        <v>0</v>
      </c>
      <c r="BG545" s="264">
        <f t="shared" ca="1" si="341"/>
        <v>0</v>
      </c>
      <c r="BH545" s="262"/>
      <c r="BI545" s="262"/>
      <c r="BJ545" s="265">
        <f ca="1">IFERROR(INDEX(Algorithms!$G:$G,MATCH($C545&amp;"_Therm Saved per Unit",Algorithms!$A:$A,0)),0)</f>
        <v>0.79095238095238163</v>
      </c>
      <c r="BK545" s="164"/>
      <c r="BL545" s="266">
        <f t="shared" ca="1" si="342"/>
        <v>0</v>
      </c>
      <c r="BM545" s="264">
        <f t="shared" ca="1" si="343"/>
        <v>0</v>
      </c>
      <c r="BN545" s="266">
        <f t="shared" si="344"/>
        <v>0</v>
      </c>
      <c r="BO545" s="266">
        <f t="shared" si="345"/>
        <v>0</v>
      </c>
      <c r="BP545" s="266">
        <f t="shared" ca="1" si="346"/>
        <v>0</v>
      </c>
      <c r="BQ545" s="266">
        <f t="shared" ca="1" si="347"/>
        <v>0</v>
      </c>
      <c r="BR545" s="268">
        <f t="shared" ca="1" si="348"/>
        <v>0</v>
      </c>
      <c r="BS545" s="262" t="s">
        <v>99</v>
      </c>
      <c r="BT545" s="277"/>
      <c r="BW545" s="266">
        <f t="shared" si="349"/>
        <v>0</v>
      </c>
      <c r="BX545" s="266">
        <f t="shared" si="350"/>
        <v>0</v>
      </c>
      <c r="BY545" s="266">
        <f t="shared" si="351"/>
        <v>0</v>
      </c>
      <c r="BZ545" s="266">
        <f t="shared" si="352"/>
        <v>0</v>
      </c>
      <c r="CA545" s="266">
        <f ca="1">N545*IFERROR(INDEX(Algorithms!$G:$G,MATCH($C545&amp;"_Therm Saved per Unit- MLA",Algorithms!$A:$A,0)),0)*X545</f>
        <v>0</v>
      </c>
      <c r="CB545" s="266">
        <f ca="1">O545*IFERROR(INDEX(Algorithms!$G:$G,MATCH($C545&amp;"_Therm Saved per Unit- MLA",Algorithms!$A:$A,0)),0)*Y545</f>
        <v>0</v>
      </c>
      <c r="CC545" s="266">
        <f ca="1">P545*IFERROR(INDEX(Algorithms!$G:$G,MATCH($C545&amp;"_Therm Saved per Unit- MLA",Algorithms!$A:$A,0)),0)*Z545</f>
        <v>0</v>
      </c>
      <c r="CD545" s="266">
        <f ca="1">Q545*IFERROR(INDEX(Algorithms!$G:$G,MATCH($C545&amp;"_Therm Saved per Unit- MLA",Algorithms!$A:$A,0)),0)*AA545</f>
        <v>0</v>
      </c>
      <c r="CE545" s="266">
        <f ca="1">IFERROR(INDEX(Algorithms!$G:$G,MATCH($C545&amp;"_Lifetime (years)",Algorithms!$A:$A,0)),0)</f>
        <v>25</v>
      </c>
      <c r="CF545" s="266">
        <f ca="1">IFERROR(INDEX(Algorithms!$G:$G,MATCH($C545&amp;"_Lifetime (years) - Remaining Years",Algorithms!$A:$A,0)),0)</f>
        <v>0</v>
      </c>
      <c r="CG545" s="266">
        <f t="shared" ca="1" si="353"/>
        <v>0</v>
      </c>
      <c r="CH545" s="266">
        <f t="shared" ca="1" si="354"/>
        <v>0</v>
      </c>
      <c r="CI545" s="266">
        <f t="shared" ca="1" si="355"/>
        <v>0</v>
      </c>
      <c r="CJ545" s="266">
        <f t="shared" ca="1" si="356"/>
        <v>0</v>
      </c>
      <c r="CK545" s="266">
        <f t="shared" si="357"/>
        <v>0</v>
      </c>
      <c r="CL545" s="266">
        <f t="shared" si="358"/>
        <v>0</v>
      </c>
      <c r="CM545" s="266">
        <f t="shared" ca="1" si="359"/>
        <v>0</v>
      </c>
      <c r="CN545" s="266">
        <f t="shared" ca="1" si="360"/>
        <v>0</v>
      </c>
      <c r="CO545" s="266">
        <f ca="1">N545*IFERROR(INDEX(Algorithms!$G:$G,MATCH($C545&amp;"_Therm Saved per Unit- MLA",Algorithms!$A:$A,0)),0)*X545</f>
        <v>0</v>
      </c>
      <c r="CP545" s="266">
        <f ca="1">O545*IFERROR(INDEX(Algorithms!$G:$G,MATCH($C545&amp;"_Therm Saved per Unit- MLA",Algorithms!$A:$A,0)),0)*Y545</f>
        <v>0</v>
      </c>
      <c r="CQ545" s="266">
        <f ca="1">P545*IFERROR(INDEX(Algorithms!$G:$G,MATCH($C545&amp;"_Therm Saved per Unit- MLA",Algorithms!$A:$A,0)),0)*Z545</f>
        <v>0</v>
      </c>
      <c r="CR545" s="266">
        <f ca="1">Q545*IFERROR(INDEX(Algorithms!$G:$G,MATCH($C545&amp;"_Therm Saved per Unit- MLA",Algorithms!$A:$A,0)),0)*AA545</f>
        <v>0</v>
      </c>
      <c r="CS545" s="266">
        <f ca="1">IFERROR(INDEX(Algorithms!$G:$G,MATCH($C545&amp;"_Lifetime (years)",Algorithms!$A:$A,0)),0)</f>
        <v>25</v>
      </c>
      <c r="CT545" s="266">
        <f ca="1">IFERROR(INDEX(Algorithms!$G:$G,MATCH($C545&amp;"_Lifetime (years) - Remaining Years",Algorithms!$A:$A,0)),0)</f>
        <v>0</v>
      </c>
      <c r="CU545" s="266">
        <f t="shared" ca="1" si="361"/>
        <v>0</v>
      </c>
      <c r="CV545" s="266">
        <f t="shared" ca="1" si="362"/>
        <v>0</v>
      </c>
      <c r="CW545" s="266">
        <f t="shared" ca="1" si="363"/>
        <v>0</v>
      </c>
      <c r="CX545" s="266">
        <f t="shared" ca="1" si="364"/>
        <v>0</v>
      </c>
    </row>
    <row r="546" spans="2:102" s="47" customFormat="1" ht="18" customHeight="1" x14ac:dyDescent="0.25">
      <c r="B546" t="str">
        <f t="shared" si="365"/>
        <v>NSG_Business_Public Sector_Rebates_Furnace_&gt;95% AFUE_CI</v>
      </c>
      <c r="C546" s="47" t="str">
        <f t="shared" si="326"/>
        <v>Furnace_&gt;95% AFUE_CI</v>
      </c>
      <c r="D546" s="270" t="s">
        <v>1787</v>
      </c>
      <c r="E546" s="270" t="s">
        <v>3</v>
      </c>
      <c r="F546" s="270" t="s">
        <v>1430</v>
      </c>
      <c r="G546" s="270" t="s">
        <v>1429</v>
      </c>
      <c r="H546" s="270" t="s">
        <v>490</v>
      </c>
      <c r="I546" s="270" t="s">
        <v>982</v>
      </c>
      <c r="J546" s="270" t="s">
        <v>1159</v>
      </c>
      <c r="K546" s="263">
        <v>1</v>
      </c>
      <c r="L546" s="263" t="str">
        <f ca="1">IFERROR(INDEX(Algorithms!J:J,MATCH($C546&amp;"_Therm Saved per Unit",Algorithms!$A:$A,0)),"n/a")</f>
        <v>4.4.11</v>
      </c>
      <c r="M546" s="263" t="str">
        <f>IFERROR(INDEX('Measure Level Detail'!$N:$N,MATCH($B546,'Measure Level Detail'!$B:$B,0)),0)</f>
        <v>each</v>
      </c>
      <c r="N546" s="271">
        <f>IFERROR(INDEX('Measure Level Detail'!$P:$P,MATCH($B546&amp;"_"&amp;N$3,'Measure Level Detail'!$C:$C,0)),0)</f>
        <v>0</v>
      </c>
      <c r="O546" s="271">
        <f>IFERROR(INDEX('Measure Level Detail'!$P:$P,MATCH($B546&amp;"_"&amp;O$3,'Measure Level Detail'!$C:$C,0)),0)</f>
        <v>0</v>
      </c>
      <c r="P546" s="271">
        <f>IFERROR(INDEX('Measure Level Detail'!$P:$P,MATCH($B546&amp;"_"&amp;P$3,'Measure Level Detail'!$C:$C,0)),0)</f>
        <v>0</v>
      </c>
      <c r="Q546" s="271">
        <f>IFERROR(INDEX('Measure Level Detail'!$P:$P,MATCH($B546&amp;"_"&amp;Q$3,'Measure Level Detail'!$C:$C,0)),0)</f>
        <v>0</v>
      </c>
      <c r="R546" s="263" t="str">
        <f ca="1">IFERROR(INDEX(Algorithms!K:K,MATCH($C546&amp;"_Therm Saved per Unit",Algorithms!$A:$A,0)),"n/a")</f>
        <v>CI-HVC-FRNC-V13-240101</v>
      </c>
      <c r="S546" s="262"/>
      <c r="T546" s="272">
        <v>247.08549999999985</v>
      </c>
      <c r="U546" s="272">
        <v>247.08549999999985</v>
      </c>
      <c r="V546" s="272">
        <v>247.08549999999985</v>
      </c>
      <c r="W546" s="272">
        <v>247.08549999999985</v>
      </c>
      <c r="X546" s="276">
        <v>0.92</v>
      </c>
      <c r="Y546" s="276">
        <v>0.92</v>
      </c>
      <c r="Z546" s="276">
        <v>0.92</v>
      </c>
      <c r="AA546" s="276">
        <v>0.92</v>
      </c>
      <c r="AB546" s="266">
        <f t="shared" si="327"/>
        <v>0</v>
      </c>
      <c r="AC546" s="266">
        <f t="shared" si="328"/>
        <v>0</v>
      </c>
      <c r="AD546" s="266">
        <f t="shared" si="329"/>
        <v>0</v>
      </c>
      <c r="AE546" s="266">
        <f t="shared" si="330"/>
        <v>0</v>
      </c>
      <c r="AF546" s="266">
        <f t="shared" si="331"/>
        <v>0</v>
      </c>
      <c r="AG546" s="274">
        <v>0.92</v>
      </c>
      <c r="AH546" s="274">
        <v>0.92</v>
      </c>
      <c r="AI546" s="274">
        <v>0.92</v>
      </c>
      <c r="AJ546" s="274">
        <v>0.92</v>
      </c>
      <c r="AK546" s="274">
        <f t="shared" si="332"/>
        <v>0.92</v>
      </c>
      <c r="AL546" s="274">
        <f t="shared" si="333"/>
        <v>0.92</v>
      </c>
      <c r="AM546" s="274">
        <f t="shared" si="334"/>
        <v>0.92</v>
      </c>
      <c r="AN546" s="274">
        <f t="shared" si="335"/>
        <v>0.92</v>
      </c>
      <c r="AO546" s="262"/>
      <c r="AP546" s="262"/>
      <c r="AQ546" s="267">
        <v>247.08549999999985</v>
      </c>
      <c r="AR546" s="262"/>
      <c r="AS546" s="266">
        <f t="shared" si="336"/>
        <v>0</v>
      </c>
      <c r="AT546" s="264">
        <f t="shared" si="337"/>
        <v>0</v>
      </c>
      <c r="AU546" s="262"/>
      <c r="AV546" s="262"/>
      <c r="AW546" s="265">
        <v>247.08549999999985</v>
      </c>
      <c r="AX546" s="164" t="s">
        <v>1469</v>
      </c>
      <c r="AY546" s="266">
        <v>0</v>
      </c>
      <c r="AZ546" s="266">
        <f t="shared" si="338"/>
        <v>0</v>
      </c>
      <c r="BA546" s="264">
        <f t="shared" si="339"/>
        <v>0</v>
      </c>
      <c r="BB546" s="262"/>
      <c r="BC546" s="262"/>
      <c r="BD546" s="265">
        <f ca="1">IFERROR(INDEX(Algorithms!$G:$G,MATCH($C546&amp;"_Therm Saved per Unit",Algorithms!$A:$A,0)),0)</f>
        <v>228.29086419753071</v>
      </c>
      <c r="BE546" s="164" t="str">
        <f ca="1">IFERROR(INDEX('v12 Revisions'!$P$29:$P$186, MATCH('Measure-Level Adj Gas'!$L546, 'v12 Revisions'!$D$29:$D$186,0)),"")</f>
        <v>Updated baseline Furnace Annual Fuel Utilization Efficiency (AFUE) rating from 80% to 81%.</v>
      </c>
      <c r="BF546" s="266">
        <f t="shared" ca="1" si="340"/>
        <v>0</v>
      </c>
      <c r="BG546" s="264">
        <f t="shared" ca="1" si="341"/>
        <v>0</v>
      </c>
      <c r="BH546" s="262"/>
      <c r="BI546" s="262"/>
      <c r="BJ546" s="265">
        <f ca="1">IFERROR(INDEX(Algorithms!$G:$G,MATCH($C546&amp;"_Therm Saved per Unit",Algorithms!$A:$A,0)),0)</f>
        <v>228.29086419753071</v>
      </c>
      <c r="BK546" s="164"/>
      <c r="BL546" s="266">
        <f t="shared" ca="1" si="342"/>
        <v>0</v>
      </c>
      <c r="BM546" s="264">
        <f t="shared" ca="1" si="343"/>
        <v>0</v>
      </c>
      <c r="BN546" s="266">
        <f t="shared" si="344"/>
        <v>0</v>
      </c>
      <c r="BO546" s="266">
        <f t="shared" si="345"/>
        <v>0</v>
      </c>
      <c r="BP546" s="266">
        <f t="shared" ca="1" si="346"/>
        <v>0</v>
      </c>
      <c r="BQ546" s="266">
        <f t="shared" ca="1" si="347"/>
        <v>0</v>
      </c>
      <c r="BR546" s="268">
        <f t="shared" ca="1" si="348"/>
        <v>0</v>
      </c>
      <c r="BS546" s="262" t="s">
        <v>99</v>
      </c>
      <c r="BT546" s="277"/>
      <c r="BW546" s="266">
        <f t="shared" si="349"/>
        <v>0</v>
      </c>
      <c r="BX546" s="266">
        <f t="shared" si="350"/>
        <v>0</v>
      </c>
      <c r="BY546" s="266">
        <f t="shared" si="351"/>
        <v>0</v>
      </c>
      <c r="BZ546" s="266">
        <f t="shared" si="352"/>
        <v>0</v>
      </c>
      <c r="CA546" s="266">
        <f ca="1">N546*IFERROR(INDEX(Algorithms!$G:$G,MATCH($C546&amp;"_Therm Saved per Unit- MLA",Algorithms!$A:$A,0)),0)*X546</f>
        <v>0</v>
      </c>
      <c r="CB546" s="266">
        <f ca="1">O546*IFERROR(INDEX(Algorithms!$G:$G,MATCH($C546&amp;"_Therm Saved per Unit- MLA",Algorithms!$A:$A,0)),0)*Y546</f>
        <v>0</v>
      </c>
      <c r="CC546" s="266">
        <f ca="1">P546*IFERROR(INDEX(Algorithms!$G:$G,MATCH($C546&amp;"_Therm Saved per Unit- MLA",Algorithms!$A:$A,0)),0)*Z546</f>
        <v>0</v>
      </c>
      <c r="CD546" s="266">
        <f ca="1">Q546*IFERROR(INDEX(Algorithms!$G:$G,MATCH($C546&amp;"_Therm Saved per Unit- MLA",Algorithms!$A:$A,0)),0)*AA546</f>
        <v>0</v>
      </c>
      <c r="CE546" s="266">
        <f ca="1">IFERROR(INDEX(Algorithms!$G:$G,MATCH($C546&amp;"_Lifetime (years)",Algorithms!$A:$A,0)),0)</f>
        <v>16.5</v>
      </c>
      <c r="CF546" s="266">
        <f ca="1">IFERROR(INDEX(Algorithms!$G:$G,MATCH($C546&amp;"_Lifetime (years) - Remaining Years",Algorithms!$A:$A,0)),0)</f>
        <v>0</v>
      </c>
      <c r="CG546" s="266">
        <f t="shared" ca="1" si="353"/>
        <v>0</v>
      </c>
      <c r="CH546" s="266">
        <f t="shared" ca="1" si="354"/>
        <v>0</v>
      </c>
      <c r="CI546" s="266">
        <f t="shared" ca="1" si="355"/>
        <v>0</v>
      </c>
      <c r="CJ546" s="266">
        <f t="shared" ca="1" si="356"/>
        <v>0</v>
      </c>
      <c r="CK546" s="266">
        <f t="shared" si="357"/>
        <v>0</v>
      </c>
      <c r="CL546" s="266">
        <f t="shared" si="358"/>
        <v>0</v>
      </c>
      <c r="CM546" s="266">
        <f t="shared" ca="1" si="359"/>
        <v>0</v>
      </c>
      <c r="CN546" s="266">
        <f t="shared" ca="1" si="360"/>
        <v>0</v>
      </c>
      <c r="CO546" s="266">
        <f ca="1">N546*IFERROR(INDEX(Algorithms!$G:$G,MATCH($C546&amp;"_Therm Saved per Unit- MLA",Algorithms!$A:$A,0)),0)*X546</f>
        <v>0</v>
      </c>
      <c r="CP546" s="266">
        <f ca="1">O546*IFERROR(INDEX(Algorithms!$G:$G,MATCH($C546&amp;"_Therm Saved per Unit- MLA",Algorithms!$A:$A,0)),0)*Y546</f>
        <v>0</v>
      </c>
      <c r="CQ546" s="266">
        <f ca="1">P546*IFERROR(INDEX(Algorithms!$G:$G,MATCH($C546&amp;"_Therm Saved per Unit- MLA",Algorithms!$A:$A,0)),0)*Z546</f>
        <v>0</v>
      </c>
      <c r="CR546" s="266">
        <f ca="1">Q546*IFERROR(INDEX(Algorithms!$G:$G,MATCH($C546&amp;"_Therm Saved per Unit- MLA",Algorithms!$A:$A,0)),0)*AA546</f>
        <v>0</v>
      </c>
      <c r="CS546" s="266">
        <f ca="1">IFERROR(INDEX(Algorithms!$G:$G,MATCH($C546&amp;"_Lifetime (years)",Algorithms!$A:$A,0)),0)</f>
        <v>16.5</v>
      </c>
      <c r="CT546" s="266">
        <f ca="1">IFERROR(INDEX(Algorithms!$G:$G,MATCH($C546&amp;"_Lifetime (years) - Remaining Years",Algorithms!$A:$A,0)),0)</f>
        <v>0</v>
      </c>
      <c r="CU546" s="266">
        <f t="shared" ca="1" si="361"/>
        <v>0</v>
      </c>
      <c r="CV546" s="266">
        <f t="shared" ca="1" si="362"/>
        <v>0</v>
      </c>
      <c r="CW546" s="266">
        <f t="shared" ca="1" si="363"/>
        <v>0</v>
      </c>
      <c r="CX546" s="266">
        <f t="shared" ca="1" si="364"/>
        <v>0</v>
      </c>
    </row>
    <row r="547" spans="2:102" s="47" customFormat="1" ht="18" customHeight="1" x14ac:dyDescent="0.25">
      <c r="B547" t="str">
        <f t="shared" si="365"/>
        <v>NSG_Business_Public Sector_Rebates_Boiler Tune Up_Process_MF/CI</v>
      </c>
      <c r="C547" s="47" t="str">
        <f t="shared" si="326"/>
        <v>Boiler Tune Up_Process_MF/CI</v>
      </c>
      <c r="D547" s="270" t="s">
        <v>1787</v>
      </c>
      <c r="E547" s="270" t="s">
        <v>3</v>
      </c>
      <c r="F547" s="270" t="s">
        <v>1430</v>
      </c>
      <c r="G547" s="270" t="s">
        <v>1429</v>
      </c>
      <c r="H547" s="270" t="s">
        <v>906</v>
      </c>
      <c r="I547" s="270" t="s">
        <v>924</v>
      </c>
      <c r="J547" s="270" t="s">
        <v>587</v>
      </c>
      <c r="K547" s="263">
        <v>1</v>
      </c>
      <c r="L547" s="263" t="str">
        <f ca="1">IFERROR(INDEX(Algorithms!J:J,MATCH($C547&amp;"_Therm Saved per Unit",Algorithms!$A:$A,0)),"n/a")</f>
        <v>4.4.3</v>
      </c>
      <c r="M547" s="263" t="str">
        <f>IFERROR(INDEX('Measure Level Detail'!$N:$N,MATCH($B547,'Measure Level Detail'!$B:$B,0)),0)</f>
        <v>MBH</v>
      </c>
      <c r="N547" s="271">
        <f>IFERROR(INDEX('Measure Level Detail'!$P:$P,MATCH($B547&amp;"_"&amp;N$3,'Measure Level Detail'!$C:$C,0)),0)</f>
        <v>0</v>
      </c>
      <c r="O547" s="271">
        <f>IFERROR(INDEX('Measure Level Detail'!$P:$P,MATCH($B547&amp;"_"&amp;O$3,'Measure Level Detail'!$C:$C,0)),0)</f>
        <v>0</v>
      </c>
      <c r="P547" s="271">
        <f>IFERROR(INDEX('Measure Level Detail'!$P:$P,MATCH($B547&amp;"_"&amp;P$3,'Measure Level Detail'!$C:$C,0)),0)</f>
        <v>0</v>
      </c>
      <c r="Q547" s="271">
        <f>IFERROR(INDEX('Measure Level Detail'!$P:$P,MATCH($B547&amp;"_"&amp;Q$3,'Measure Level Detail'!$C:$C,0)),0)</f>
        <v>0</v>
      </c>
      <c r="R547" s="263" t="str">
        <f ca="1">IFERROR(INDEX(Algorithms!K:K,MATCH($C547&amp;"_Therm Saved per Unit",Algorithms!$A:$A,0)),"n/a")</f>
        <v>CI-HVC-PBTU-V07-230101</v>
      </c>
      <c r="S547" s="262"/>
      <c r="T547" s="272">
        <v>1.0227353753026578</v>
      </c>
      <c r="U547" s="272">
        <v>1.0227353753026578</v>
      </c>
      <c r="V547" s="272">
        <v>1.0227353753026578</v>
      </c>
      <c r="W547" s="272">
        <v>1.0227353753026578</v>
      </c>
      <c r="X547" s="276">
        <v>0.92</v>
      </c>
      <c r="Y547" s="276">
        <v>0.92</v>
      </c>
      <c r="Z547" s="276">
        <v>0.92</v>
      </c>
      <c r="AA547" s="276">
        <v>0.92</v>
      </c>
      <c r="AB547" s="266">
        <f t="shared" si="327"/>
        <v>0</v>
      </c>
      <c r="AC547" s="266">
        <f t="shared" si="328"/>
        <v>0</v>
      </c>
      <c r="AD547" s="266">
        <f t="shared" si="329"/>
        <v>0</v>
      </c>
      <c r="AE547" s="266">
        <f t="shared" si="330"/>
        <v>0</v>
      </c>
      <c r="AF547" s="266">
        <f t="shared" si="331"/>
        <v>0</v>
      </c>
      <c r="AG547" s="274">
        <v>0.92</v>
      </c>
      <c r="AH547" s="274">
        <v>0.92</v>
      </c>
      <c r="AI547" s="274">
        <v>0.92</v>
      </c>
      <c r="AJ547" s="274">
        <v>0.92</v>
      </c>
      <c r="AK547" s="274">
        <f t="shared" si="332"/>
        <v>0.92</v>
      </c>
      <c r="AL547" s="274">
        <f t="shared" si="333"/>
        <v>0.92</v>
      </c>
      <c r="AM547" s="274">
        <f t="shared" si="334"/>
        <v>0.92</v>
      </c>
      <c r="AN547" s="274">
        <f t="shared" si="335"/>
        <v>0.92</v>
      </c>
      <c r="AO547" s="262"/>
      <c r="AP547" s="262"/>
      <c r="AQ547" s="267">
        <v>1.0227353753026578</v>
      </c>
      <c r="AR547" s="262"/>
      <c r="AS547" s="266">
        <f t="shared" si="336"/>
        <v>0</v>
      </c>
      <c r="AT547" s="264">
        <f t="shared" si="337"/>
        <v>0</v>
      </c>
      <c r="AU547" s="262"/>
      <c r="AV547" s="262"/>
      <c r="AW547" s="265">
        <v>1.0227353753026578</v>
      </c>
      <c r="AX547" s="164" t="s">
        <v>2396</v>
      </c>
      <c r="AY547" s="266">
        <v>0</v>
      </c>
      <c r="AZ547" s="266">
        <f t="shared" si="338"/>
        <v>0</v>
      </c>
      <c r="BA547" s="264">
        <f t="shared" si="339"/>
        <v>0</v>
      </c>
      <c r="BB547" s="262"/>
      <c r="BC547" s="262"/>
      <c r="BD547" s="265">
        <f ca="1">IFERROR(INDEX(Algorithms!$G:$G,MATCH($C547&amp;"_Therm Saved per Unit",Algorithms!$A:$A,0)),0)</f>
        <v>1.0227353753026578</v>
      </c>
      <c r="BE547" s="164" t="str">
        <f ca="1">IFERROR(INDEX('v12 Revisions'!$P$29:$P$186, MATCH('Measure-Level Adj Gas'!$L547, 'v12 Revisions'!$D$29:$D$186,0)),"")</f>
        <v/>
      </c>
      <c r="BF547" s="266">
        <f t="shared" ca="1" si="340"/>
        <v>0</v>
      </c>
      <c r="BG547" s="264">
        <f t="shared" ca="1" si="341"/>
        <v>0</v>
      </c>
      <c r="BH547" s="262"/>
      <c r="BI547" s="262"/>
      <c r="BJ547" s="265">
        <f ca="1">IFERROR(INDEX(Algorithms!$G:$G,MATCH($C547&amp;"_Therm Saved per Unit",Algorithms!$A:$A,0)),0)</f>
        <v>1.0227353753026578</v>
      </c>
      <c r="BK547" s="164"/>
      <c r="BL547" s="266">
        <f t="shared" ca="1" si="342"/>
        <v>0</v>
      </c>
      <c r="BM547" s="264">
        <f t="shared" ca="1" si="343"/>
        <v>0</v>
      </c>
      <c r="BN547" s="266">
        <f t="shared" si="344"/>
        <v>0</v>
      </c>
      <c r="BO547" s="266">
        <f t="shared" si="345"/>
        <v>0</v>
      </c>
      <c r="BP547" s="266">
        <f t="shared" ca="1" si="346"/>
        <v>0</v>
      </c>
      <c r="BQ547" s="266">
        <f t="shared" ca="1" si="347"/>
        <v>0</v>
      </c>
      <c r="BR547" s="268">
        <f t="shared" ca="1" si="348"/>
        <v>0</v>
      </c>
      <c r="BS547" s="262" t="s">
        <v>99</v>
      </c>
      <c r="BT547" s="277"/>
      <c r="BW547" s="266">
        <f t="shared" si="349"/>
        <v>0</v>
      </c>
      <c r="BX547" s="266">
        <f t="shared" si="350"/>
        <v>0</v>
      </c>
      <c r="BY547" s="266">
        <f t="shared" si="351"/>
        <v>0</v>
      </c>
      <c r="BZ547" s="266">
        <f t="shared" si="352"/>
        <v>0</v>
      </c>
      <c r="CA547" s="266">
        <f ca="1">N547*IFERROR(INDEX(Algorithms!$G:$G,MATCH($C547&amp;"_Therm Saved per Unit- MLA",Algorithms!$A:$A,0)),0)*X547</f>
        <v>0</v>
      </c>
      <c r="CB547" s="266">
        <f ca="1">O547*IFERROR(INDEX(Algorithms!$G:$G,MATCH($C547&amp;"_Therm Saved per Unit- MLA",Algorithms!$A:$A,0)),0)*Y547</f>
        <v>0</v>
      </c>
      <c r="CC547" s="266">
        <f ca="1">P547*IFERROR(INDEX(Algorithms!$G:$G,MATCH($C547&amp;"_Therm Saved per Unit- MLA",Algorithms!$A:$A,0)),0)*Z547</f>
        <v>0</v>
      </c>
      <c r="CD547" s="266">
        <f ca="1">Q547*IFERROR(INDEX(Algorithms!$G:$G,MATCH($C547&amp;"_Therm Saved per Unit- MLA",Algorithms!$A:$A,0)),0)*AA547</f>
        <v>0</v>
      </c>
      <c r="CE547" s="266">
        <f ca="1">IFERROR(INDEX(Algorithms!$G:$G,MATCH($C547&amp;"_Lifetime (years)",Algorithms!$A:$A,0)),0)</f>
        <v>2</v>
      </c>
      <c r="CF547" s="266">
        <f ca="1">IFERROR(INDEX(Algorithms!$G:$G,MATCH($C547&amp;"_Lifetime (years) - Remaining Years",Algorithms!$A:$A,0)),0)</f>
        <v>0</v>
      </c>
      <c r="CG547" s="266">
        <f t="shared" ca="1" si="353"/>
        <v>0</v>
      </c>
      <c r="CH547" s="266">
        <f t="shared" ca="1" si="354"/>
        <v>0</v>
      </c>
      <c r="CI547" s="266">
        <f t="shared" ca="1" si="355"/>
        <v>0</v>
      </c>
      <c r="CJ547" s="266">
        <f t="shared" ca="1" si="356"/>
        <v>0</v>
      </c>
      <c r="CK547" s="266">
        <f t="shared" si="357"/>
        <v>0</v>
      </c>
      <c r="CL547" s="266">
        <f t="shared" si="358"/>
        <v>0</v>
      </c>
      <c r="CM547" s="266">
        <f t="shared" ca="1" si="359"/>
        <v>0</v>
      </c>
      <c r="CN547" s="266">
        <f t="shared" ca="1" si="360"/>
        <v>0</v>
      </c>
      <c r="CO547" s="266">
        <f ca="1">N547*IFERROR(INDEX(Algorithms!$G:$G,MATCH($C547&amp;"_Therm Saved per Unit- MLA",Algorithms!$A:$A,0)),0)*X547</f>
        <v>0</v>
      </c>
      <c r="CP547" s="266">
        <f ca="1">O547*IFERROR(INDEX(Algorithms!$G:$G,MATCH($C547&amp;"_Therm Saved per Unit- MLA",Algorithms!$A:$A,0)),0)*Y547</f>
        <v>0</v>
      </c>
      <c r="CQ547" s="266">
        <f ca="1">P547*IFERROR(INDEX(Algorithms!$G:$G,MATCH($C547&amp;"_Therm Saved per Unit- MLA",Algorithms!$A:$A,0)),0)*Z547</f>
        <v>0</v>
      </c>
      <c r="CR547" s="266">
        <f ca="1">Q547*IFERROR(INDEX(Algorithms!$G:$G,MATCH($C547&amp;"_Therm Saved per Unit- MLA",Algorithms!$A:$A,0)),0)*AA547</f>
        <v>0</v>
      </c>
      <c r="CS547" s="266">
        <f ca="1">IFERROR(INDEX(Algorithms!$G:$G,MATCH($C547&amp;"_Lifetime (years)",Algorithms!$A:$A,0)),0)</f>
        <v>2</v>
      </c>
      <c r="CT547" s="266">
        <f ca="1">IFERROR(INDEX(Algorithms!$G:$G,MATCH($C547&amp;"_Lifetime (years) - Remaining Years",Algorithms!$A:$A,0)),0)</f>
        <v>0</v>
      </c>
      <c r="CU547" s="266">
        <f t="shared" ca="1" si="361"/>
        <v>0</v>
      </c>
      <c r="CV547" s="266">
        <f t="shared" ca="1" si="362"/>
        <v>0</v>
      </c>
      <c r="CW547" s="266">
        <f t="shared" ca="1" si="363"/>
        <v>0</v>
      </c>
      <c r="CX547" s="266">
        <f t="shared" ca="1" si="364"/>
        <v>0</v>
      </c>
    </row>
    <row r="548" spans="2:102" s="47" customFormat="1" ht="18" customHeight="1" x14ac:dyDescent="0.25">
      <c r="B548" t="str">
        <f t="shared" si="365"/>
        <v>NSG_Business_Public Sector_Rebates_Condensing Unit Heater_0_MF/CI</v>
      </c>
      <c r="C548" s="47" t="str">
        <f t="shared" si="326"/>
        <v>Condensing Unit Heater_0_MF/CI</v>
      </c>
      <c r="D548" s="270" t="s">
        <v>1787</v>
      </c>
      <c r="E548" s="270" t="s">
        <v>3</v>
      </c>
      <c r="F548" s="270" t="s">
        <v>1430</v>
      </c>
      <c r="G548" s="270" t="s">
        <v>1429</v>
      </c>
      <c r="H548" s="270" t="s">
        <v>13</v>
      </c>
      <c r="I548" s="270">
        <v>0</v>
      </c>
      <c r="J548" s="270" t="s">
        <v>587</v>
      </c>
      <c r="K548" s="263">
        <v>1</v>
      </c>
      <c r="L548" s="263" t="str">
        <f ca="1">IFERROR(INDEX(Algorithms!J:J,MATCH($C548&amp;"_Therm Saved per Unit",Algorithms!$A:$A,0)),"n/a")</f>
        <v>4.4.5</v>
      </c>
      <c r="M548" s="263" t="str">
        <f>IFERROR(INDEX('Measure Level Detail'!$N:$N,MATCH($B548,'Measure Level Detail'!$B:$B,0)),0)</f>
        <v>MBH</v>
      </c>
      <c r="N548" s="271">
        <f>IFERROR(INDEX('Measure Level Detail'!$P:$P,MATCH($B548&amp;"_"&amp;N$3,'Measure Level Detail'!$C:$C,0)),0)</f>
        <v>0</v>
      </c>
      <c r="O548" s="271">
        <f>IFERROR(INDEX('Measure Level Detail'!$P:$P,MATCH($B548&amp;"_"&amp;O$3,'Measure Level Detail'!$C:$C,0)),0)</f>
        <v>0</v>
      </c>
      <c r="P548" s="271">
        <f>IFERROR(INDEX('Measure Level Detail'!$P:$P,MATCH($B548&amp;"_"&amp;P$3,'Measure Level Detail'!$C:$C,0)),0)</f>
        <v>0</v>
      </c>
      <c r="Q548" s="271">
        <f>IFERROR(INDEX('Measure Level Detail'!$P:$P,MATCH($B548&amp;"_"&amp;Q$3,'Measure Level Detail'!$C:$C,0)),0)</f>
        <v>0</v>
      </c>
      <c r="R548" s="263" t="str">
        <f ca="1">IFERROR(INDEX(Algorithms!K:K,MATCH($C548&amp;"_Therm Saved per Unit",Algorithms!$A:$A,0)),"n/a")</f>
        <v>CI-HVC-CUHT-V03-230101</v>
      </c>
      <c r="S548" s="262"/>
      <c r="T548" s="272">
        <v>1.7733333333333334</v>
      </c>
      <c r="U548" s="272">
        <v>1.7733333333333334</v>
      </c>
      <c r="V548" s="272">
        <v>1.7733333333333334</v>
      </c>
      <c r="W548" s="272">
        <v>1.7733333333333334</v>
      </c>
      <c r="X548" s="276">
        <v>0.92</v>
      </c>
      <c r="Y548" s="276">
        <v>0.92</v>
      </c>
      <c r="Z548" s="276">
        <v>0.92</v>
      </c>
      <c r="AA548" s="276">
        <v>0.92</v>
      </c>
      <c r="AB548" s="266">
        <f t="shared" si="327"/>
        <v>0</v>
      </c>
      <c r="AC548" s="266">
        <f t="shared" si="328"/>
        <v>0</v>
      </c>
      <c r="AD548" s="266">
        <f t="shared" si="329"/>
        <v>0</v>
      </c>
      <c r="AE548" s="266">
        <f t="shared" si="330"/>
        <v>0</v>
      </c>
      <c r="AF548" s="266">
        <f t="shared" si="331"/>
        <v>0</v>
      </c>
      <c r="AG548" s="274">
        <v>0.92</v>
      </c>
      <c r="AH548" s="274">
        <v>0.92</v>
      </c>
      <c r="AI548" s="274">
        <v>0.92</v>
      </c>
      <c r="AJ548" s="274">
        <v>0.92</v>
      </c>
      <c r="AK548" s="274">
        <f t="shared" si="332"/>
        <v>0.92</v>
      </c>
      <c r="AL548" s="274">
        <f t="shared" si="333"/>
        <v>0.92</v>
      </c>
      <c r="AM548" s="274">
        <f t="shared" si="334"/>
        <v>0.92</v>
      </c>
      <c r="AN548" s="274">
        <f t="shared" si="335"/>
        <v>0.92</v>
      </c>
      <c r="AO548" s="262"/>
      <c r="AP548" s="262"/>
      <c r="AQ548" s="267">
        <v>1.6896527777777772</v>
      </c>
      <c r="AR548" s="262"/>
      <c r="AS548" s="266">
        <f t="shared" si="336"/>
        <v>0</v>
      </c>
      <c r="AT548" s="264">
        <f t="shared" si="337"/>
        <v>0</v>
      </c>
      <c r="AU548" s="262"/>
      <c r="AV548" s="262"/>
      <c r="AW548" s="265">
        <v>1.6896527777777772</v>
      </c>
      <c r="AX548" s="164" t="s">
        <v>1469</v>
      </c>
      <c r="AY548" s="266">
        <v>0</v>
      </c>
      <c r="AZ548" s="266">
        <f t="shared" si="338"/>
        <v>0</v>
      </c>
      <c r="BA548" s="264">
        <f t="shared" si="339"/>
        <v>0</v>
      </c>
      <c r="BB548" s="262"/>
      <c r="BC548" s="262"/>
      <c r="BD548" s="265">
        <f ca="1">IFERROR(INDEX(Algorithms!$G:$G,MATCH($C548&amp;"_Therm Saved per Unit",Algorithms!$A:$A,0)),0)</f>
        <v>1.6896527777777772</v>
      </c>
      <c r="BE548" s="164" t="str">
        <f ca="1">IFERROR(INDEX('v12 Revisions'!$P$29:$P$186, MATCH('Measure-Level Adj Gas'!$L548, 'v12 Revisions'!$D$29:$D$186,0)),"")</f>
        <v/>
      </c>
      <c r="BF548" s="266">
        <f t="shared" ca="1" si="340"/>
        <v>0</v>
      </c>
      <c r="BG548" s="264">
        <f t="shared" ca="1" si="341"/>
        <v>0</v>
      </c>
      <c r="BH548" s="262"/>
      <c r="BI548" s="262"/>
      <c r="BJ548" s="265">
        <f ca="1">IFERROR(INDEX(Algorithms!$G:$G,MATCH($C548&amp;"_Therm Saved per Unit",Algorithms!$A:$A,0)),0)</f>
        <v>1.6896527777777772</v>
      </c>
      <c r="BK548" s="164"/>
      <c r="BL548" s="266">
        <f t="shared" ca="1" si="342"/>
        <v>0</v>
      </c>
      <c r="BM548" s="264">
        <f t="shared" ca="1" si="343"/>
        <v>0</v>
      </c>
      <c r="BN548" s="266">
        <f t="shared" si="344"/>
        <v>0</v>
      </c>
      <c r="BO548" s="266">
        <f t="shared" si="345"/>
        <v>0</v>
      </c>
      <c r="BP548" s="266">
        <f t="shared" ca="1" si="346"/>
        <v>0</v>
      </c>
      <c r="BQ548" s="266">
        <f t="shared" ca="1" si="347"/>
        <v>0</v>
      </c>
      <c r="BR548" s="268">
        <f t="shared" ca="1" si="348"/>
        <v>0</v>
      </c>
      <c r="BS548" s="262" t="s">
        <v>99</v>
      </c>
      <c r="BT548" s="277"/>
      <c r="BW548" s="266">
        <f t="shared" si="349"/>
        <v>0</v>
      </c>
      <c r="BX548" s="266">
        <f t="shared" si="350"/>
        <v>0</v>
      </c>
      <c r="BY548" s="266">
        <f t="shared" si="351"/>
        <v>0</v>
      </c>
      <c r="BZ548" s="266">
        <f t="shared" si="352"/>
        <v>0</v>
      </c>
      <c r="CA548" s="266">
        <f ca="1">N548*IFERROR(INDEX(Algorithms!$G:$G,MATCH($C548&amp;"_Therm Saved per Unit- MLA",Algorithms!$A:$A,0)),0)*X548</f>
        <v>0</v>
      </c>
      <c r="CB548" s="266">
        <f ca="1">O548*IFERROR(INDEX(Algorithms!$G:$G,MATCH($C548&amp;"_Therm Saved per Unit- MLA",Algorithms!$A:$A,0)),0)*Y548</f>
        <v>0</v>
      </c>
      <c r="CC548" s="266">
        <f ca="1">P548*IFERROR(INDEX(Algorithms!$G:$G,MATCH($C548&amp;"_Therm Saved per Unit- MLA",Algorithms!$A:$A,0)),0)*Z548</f>
        <v>0</v>
      </c>
      <c r="CD548" s="266">
        <f ca="1">Q548*IFERROR(INDEX(Algorithms!$G:$G,MATCH($C548&amp;"_Therm Saved per Unit- MLA",Algorithms!$A:$A,0)),0)*AA548</f>
        <v>0</v>
      </c>
      <c r="CE548" s="266">
        <f ca="1">IFERROR(INDEX(Algorithms!$G:$G,MATCH($C548&amp;"_Lifetime (years)",Algorithms!$A:$A,0)),0)</f>
        <v>12</v>
      </c>
      <c r="CF548" s="266">
        <f ca="1">IFERROR(INDEX(Algorithms!$G:$G,MATCH($C548&amp;"_Lifetime (years) - Remaining Years",Algorithms!$A:$A,0)),0)</f>
        <v>0</v>
      </c>
      <c r="CG548" s="266">
        <f t="shared" ca="1" si="353"/>
        <v>0</v>
      </c>
      <c r="CH548" s="266">
        <f t="shared" ca="1" si="354"/>
        <v>0</v>
      </c>
      <c r="CI548" s="266">
        <f t="shared" ca="1" si="355"/>
        <v>0</v>
      </c>
      <c r="CJ548" s="266">
        <f t="shared" ca="1" si="356"/>
        <v>0</v>
      </c>
      <c r="CK548" s="266">
        <f t="shared" si="357"/>
        <v>0</v>
      </c>
      <c r="CL548" s="266">
        <f t="shared" si="358"/>
        <v>0</v>
      </c>
      <c r="CM548" s="266">
        <f t="shared" ca="1" si="359"/>
        <v>0</v>
      </c>
      <c r="CN548" s="266">
        <f t="shared" ca="1" si="360"/>
        <v>0</v>
      </c>
      <c r="CO548" s="266">
        <f ca="1">N548*IFERROR(INDEX(Algorithms!$G:$G,MATCH($C548&amp;"_Therm Saved per Unit- MLA",Algorithms!$A:$A,0)),0)*X548</f>
        <v>0</v>
      </c>
      <c r="CP548" s="266">
        <f ca="1">O548*IFERROR(INDEX(Algorithms!$G:$G,MATCH($C548&amp;"_Therm Saved per Unit- MLA",Algorithms!$A:$A,0)),0)*Y548</f>
        <v>0</v>
      </c>
      <c r="CQ548" s="266">
        <f ca="1">P548*IFERROR(INDEX(Algorithms!$G:$G,MATCH($C548&amp;"_Therm Saved per Unit- MLA",Algorithms!$A:$A,0)),0)*Z548</f>
        <v>0</v>
      </c>
      <c r="CR548" s="266">
        <f ca="1">Q548*IFERROR(INDEX(Algorithms!$G:$G,MATCH($C548&amp;"_Therm Saved per Unit- MLA",Algorithms!$A:$A,0)),0)*AA548</f>
        <v>0</v>
      </c>
      <c r="CS548" s="266">
        <f ca="1">IFERROR(INDEX(Algorithms!$G:$G,MATCH($C548&amp;"_Lifetime (years)",Algorithms!$A:$A,0)),0)</f>
        <v>12</v>
      </c>
      <c r="CT548" s="266">
        <f ca="1">IFERROR(INDEX(Algorithms!$G:$G,MATCH($C548&amp;"_Lifetime (years) - Remaining Years",Algorithms!$A:$A,0)),0)</f>
        <v>0</v>
      </c>
      <c r="CU548" s="266">
        <f t="shared" ca="1" si="361"/>
        <v>0</v>
      </c>
      <c r="CV548" s="266">
        <f t="shared" ca="1" si="362"/>
        <v>0</v>
      </c>
      <c r="CW548" s="266">
        <f t="shared" ca="1" si="363"/>
        <v>0</v>
      </c>
      <c r="CX548" s="266">
        <f t="shared" ca="1" si="364"/>
        <v>0</v>
      </c>
    </row>
    <row r="549" spans="2:102" s="47" customFormat="1" ht="18" customHeight="1" x14ac:dyDescent="0.25">
      <c r="B549" t="str">
        <f t="shared" si="365"/>
        <v>NSG_Business_Public Sector_Rebates_DCV - Kitchen_0_MF/CI</v>
      </c>
      <c r="C549" s="47" t="str">
        <f t="shared" si="326"/>
        <v>DCV - Kitchen_0_MF/CI</v>
      </c>
      <c r="D549" s="270" t="s">
        <v>1787</v>
      </c>
      <c r="E549" s="270" t="s">
        <v>3</v>
      </c>
      <c r="F549" s="270" t="s">
        <v>1430</v>
      </c>
      <c r="G549" s="270" t="s">
        <v>1429</v>
      </c>
      <c r="H549" s="270" t="s">
        <v>1077</v>
      </c>
      <c r="I549" s="270">
        <v>0</v>
      </c>
      <c r="J549" s="270" t="s">
        <v>587</v>
      </c>
      <c r="K549" s="263">
        <v>1</v>
      </c>
      <c r="L549" s="263" t="str">
        <f ca="1">IFERROR(INDEX(Algorithms!J:J,MATCH($C549&amp;"_Therm Saved per Unit",Algorithms!$A:$A,0)),"n/a")</f>
        <v>4.2.16</v>
      </c>
      <c r="M549" s="263">
        <f>IFERROR(INDEX('Measure Level Detail'!$N:$N,MATCH($B549,'Measure Level Detail'!$B:$B,0)),0)</f>
        <v>0</v>
      </c>
      <c r="N549" s="271">
        <f>IFERROR(INDEX('Measure Level Detail'!$P:$P,MATCH($B549&amp;"_"&amp;N$3,'Measure Level Detail'!$C:$C,0)),0)</f>
        <v>0</v>
      </c>
      <c r="O549" s="271">
        <f>IFERROR(INDEX('Measure Level Detail'!$P:$P,MATCH($B549&amp;"_"&amp;O$3,'Measure Level Detail'!$C:$C,0)),0)</f>
        <v>0</v>
      </c>
      <c r="P549" s="271">
        <f>IFERROR(INDEX('Measure Level Detail'!$P:$P,MATCH($B549&amp;"_"&amp;P$3,'Measure Level Detail'!$C:$C,0)),0)</f>
        <v>0</v>
      </c>
      <c r="Q549" s="271">
        <f>IFERROR(INDEX('Measure Level Detail'!$P:$P,MATCH($B549&amp;"_"&amp;Q$3,'Measure Level Detail'!$C:$C,0)),0)</f>
        <v>0</v>
      </c>
      <c r="R549" s="263" t="str">
        <f ca="1">IFERROR(INDEX(Algorithms!K:K,MATCH($C549&amp;"_Therm Saved per Unit",Algorithms!$A:$A,0)),"n/a")</f>
        <v>CI-FSE-VENT-V06-240101</v>
      </c>
      <c r="S549" s="262"/>
      <c r="T549" s="272">
        <v>774</v>
      </c>
      <c r="U549" s="272">
        <v>774</v>
      </c>
      <c r="V549" s="272">
        <v>774</v>
      </c>
      <c r="W549" s="272">
        <v>774</v>
      </c>
      <c r="X549" s="276">
        <v>0.92</v>
      </c>
      <c r="Y549" s="276">
        <v>0.92</v>
      </c>
      <c r="Z549" s="276">
        <v>0.92</v>
      </c>
      <c r="AA549" s="276">
        <v>0.92</v>
      </c>
      <c r="AB549" s="266">
        <f t="shared" si="327"/>
        <v>0</v>
      </c>
      <c r="AC549" s="266">
        <f t="shared" si="328"/>
        <v>0</v>
      </c>
      <c r="AD549" s="266">
        <f t="shared" si="329"/>
        <v>0</v>
      </c>
      <c r="AE549" s="266">
        <f t="shared" si="330"/>
        <v>0</v>
      </c>
      <c r="AF549" s="266">
        <f t="shared" si="331"/>
        <v>0</v>
      </c>
      <c r="AG549" s="274">
        <v>0.92</v>
      </c>
      <c r="AH549" s="274">
        <v>0.92</v>
      </c>
      <c r="AI549" s="274">
        <v>0.92</v>
      </c>
      <c r="AJ549" s="274">
        <v>0.92</v>
      </c>
      <c r="AK549" s="274">
        <f t="shared" si="332"/>
        <v>0.92</v>
      </c>
      <c r="AL549" s="274">
        <f t="shared" si="333"/>
        <v>0.92</v>
      </c>
      <c r="AM549" s="274">
        <f t="shared" si="334"/>
        <v>0.92</v>
      </c>
      <c r="AN549" s="274">
        <f t="shared" si="335"/>
        <v>0.92</v>
      </c>
      <c r="AO549" s="262"/>
      <c r="AP549" s="262"/>
      <c r="AQ549" s="267">
        <v>774</v>
      </c>
      <c r="AR549" s="262"/>
      <c r="AS549" s="266">
        <f t="shared" si="336"/>
        <v>0</v>
      </c>
      <c r="AT549" s="264">
        <f t="shared" si="337"/>
        <v>0</v>
      </c>
      <c r="AU549" s="262"/>
      <c r="AV549" s="262"/>
      <c r="AW549" s="265">
        <v>774</v>
      </c>
      <c r="AX549" s="164" t="s">
        <v>1469</v>
      </c>
      <c r="AY549" s="266">
        <v>0</v>
      </c>
      <c r="AZ549" s="266">
        <f t="shared" si="338"/>
        <v>0</v>
      </c>
      <c r="BA549" s="264">
        <f t="shared" si="339"/>
        <v>0</v>
      </c>
      <c r="BB549" s="262"/>
      <c r="BC549" s="262"/>
      <c r="BD549" s="265">
        <f ca="1">IFERROR(INDEX(Algorithms!$G:$G,MATCH($C549&amp;"_Therm Saved per Unit",Algorithms!$A:$A,0)),0)</f>
        <v>774</v>
      </c>
      <c r="BE549" s="164" t="str">
        <f ca="1">IFERROR(INDEX('v12 Revisions'!$P$29:$P$186, MATCH('Measure-Level Adj Gas'!$L549, 'v12 Revisions'!$D$29:$D$186,0)),"")</f>
        <v>n/a - HP assumed in units of participation.</v>
      </c>
      <c r="BF549" s="266">
        <f t="shared" ca="1" si="340"/>
        <v>0</v>
      </c>
      <c r="BG549" s="264">
        <f t="shared" ca="1" si="341"/>
        <v>0</v>
      </c>
      <c r="BH549" s="262"/>
      <c r="BI549" s="262"/>
      <c r="BJ549" s="265">
        <f ca="1">IFERROR(INDEX(Algorithms!$G:$G,MATCH($C549&amp;"_Therm Saved per Unit",Algorithms!$A:$A,0)),0)</f>
        <v>774</v>
      </c>
      <c r="BK549" s="164"/>
      <c r="BL549" s="266">
        <f t="shared" ca="1" si="342"/>
        <v>0</v>
      </c>
      <c r="BM549" s="264">
        <f t="shared" ca="1" si="343"/>
        <v>0</v>
      </c>
      <c r="BN549" s="266">
        <f t="shared" si="344"/>
        <v>0</v>
      </c>
      <c r="BO549" s="266">
        <f t="shared" si="345"/>
        <v>0</v>
      </c>
      <c r="BP549" s="266">
        <f t="shared" ca="1" si="346"/>
        <v>0</v>
      </c>
      <c r="BQ549" s="266">
        <f t="shared" ca="1" si="347"/>
        <v>0</v>
      </c>
      <c r="BR549" s="268">
        <f t="shared" ca="1" si="348"/>
        <v>0</v>
      </c>
      <c r="BS549" s="262" t="s">
        <v>99</v>
      </c>
      <c r="BT549" s="277"/>
      <c r="BW549" s="266">
        <f t="shared" si="349"/>
        <v>0</v>
      </c>
      <c r="BX549" s="266">
        <f t="shared" si="350"/>
        <v>0</v>
      </c>
      <c r="BY549" s="266">
        <f t="shared" si="351"/>
        <v>0</v>
      </c>
      <c r="BZ549" s="266">
        <f t="shared" si="352"/>
        <v>0</v>
      </c>
      <c r="CA549" s="266">
        <f ca="1">N549*IFERROR(INDEX(Algorithms!$G:$G,MATCH($C549&amp;"_Therm Saved per Unit- MLA",Algorithms!$A:$A,0)),0)*X549</f>
        <v>0</v>
      </c>
      <c r="CB549" s="266">
        <f ca="1">O549*IFERROR(INDEX(Algorithms!$G:$G,MATCH($C549&amp;"_Therm Saved per Unit- MLA",Algorithms!$A:$A,0)),0)*Y549</f>
        <v>0</v>
      </c>
      <c r="CC549" s="266">
        <f ca="1">P549*IFERROR(INDEX(Algorithms!$G:$G,MATCH($C549&amp;"_Therm Saved per Unit- MLA",Algorithms!$A:$A,0)),0)*Z549</f>
        <v>0</v>
      </c>
      <c r="CD549" s="266">
        <f ca="1">Q549*IFERROR(INDEX(Algorithms!$G:$G,MATCH($C549&amp;"_Therm Saved per Unit- MLA",Algorithms!$A:$A,0)),0)*AA549</f>
        <v>0</v>
      </c>
      <c r="CE549" s="266">
        <f ca="1">IFERROR(INDEX(Algorithms!$G:$G,MATCH($C549&amp;"_Lifetime (years)",Algorithms!$A:$A,0)),0)</f>
        <v>20</v>
      </c>
      <c r="CF549" s="266">
        <f ca="1">IFERROR(INDEX(Algorithms!$G:$G,MATCH($C549&amp;"_Lifetime (years) - Remaining Years",Algorithms!$A:$A,0)),0)</f>
        <v>0</v>
      </c>
      <c r="CG549" s="266">
        <f t="shared" ca="1" si="353"/>
        <v>0</v>
      </c>
      <c r="CH549" s="266">
        <f t="shared" ca="1" si="354"/>
        <v>0</v>
      </c>
      <c r="CI549" s="266">
        <f t="shared" ca="1" si="355"/>
        <v>0</v>
      </c>
      <c r="CJ549" s="266">
        <f t="shared" ca="1" si="356"/>
        <v>0</v>
      </c>
      <c r="CK549" s="266">
        <f t="shared" si="357"/>
        <v>0</v>
      </c>
      <c r="CL549" s="266">
        <f t="shared" si="358"/>
        <v>0</v>
      </c>
      <c r="CM549" s="266">
        <f t="shared" ca="1" si="359"/>
        <v>0</v>
      </c>
      <c r="CN549" s="266">
        <f t="shared" ca="1" si="360"/>
        <v>0</v>
      </c>
      <c r="CO549" s="266">
        <f ca="1">N549*IFERROR(INDEX(Algorithms!$G:$G,MATCH($C549&amp;"_Therm Saved per Unit- MLA",Algorithms!$A:$A,0)),0)*X549</f>
        <v>0</v>
      </c>
      <c r="CP549" s="266">
        <f ca="1">O549*IFERROR(INDEX(Algorithms!$G:$G,MATCH($C549&amp;"_Therm Saved per Unit- MLA",Algorithms!$A:$A,0)),0)*Y549</f>
        <v>0</v>
      </c>
      <c r="CQ549" s="266">
        <f ca="1">P549*IFERROR(INDEX(Algorithms!$G:$G,MATCH($C549&amp;"_Therm Saved per Unit- MLA",Algorithms!$A:$A,0)),0)*Z549</f>
        <v>0</v>
      </c>
      <c r="CR549" s="266">
        <f ca="1">Q549*IFERROR(INDEX(Algorithms!$G:$G,MATCH($C549&amp;"_Therm Saved per Unit- MLA",Algorithms!$A:$A,0)),0)*AA549</f>
        <v>0</v>
      </c>
      <c r="CS549" s="266">
        <f ca="1">IFERROR(INDEX(Algorithms!$G:$G,MATCH($C549&amp;"_Lifetime (years)",Algorithms!$A:$A,0)),0)</f>
        <v>20</v>
      </c>
      <c r="CT549" s="266">
        <f ca="1">IFERROR(INDEX(Algorithms!$G:$G,MATCH($C549&amp;"_Lifetime (years) - Remaining Years",Algorithms!$A:$A,0)),0)</f>
        <v>0</v>
      </c>
      <c r="CU549" s="266">
        <f t="shared" ca="1" si="361"/>
        <v>0</v>
      </c>
      <c r="CV549" s="266">
        <f t="shared" ca="1" si="362"/>
        <v>0</v>
      </c>
      <c r="CW549" s="266">
        <f t="shared" ca="1" si="363"/>
        <v>0</v>
      </c>
      <c r="CX549" s="266">
        <f t="shared" ca="1" si="364"/>
        <v>0</v>
      </c>
    </row>
    <row r="550" spans="2:102" s="47" customFormat="1" ht="18" customHeight="1" x14ac:dyDescent="0.25">
      <c r="B550" t="str">
        <f t="shared" si="365"/>
        <v>NSG_Business_Public Sector_Rebates_Direct Fired Heaters_0_MF/CI</v>
      </c>
      <c r="C550" s="47" t="str">
        <f t="shared" si="326"/>
        <v>Direct Fired Heaters_0_MF/CI</v>
      </c>
      <c r="D550" s="270" t="s">
        <v>1787</v>
      </c>
      <c r="E550" s="270" t="s">
        <v>3</v>
      </c>
      <c r="F550" s="270" t="s">
        <v>1430</v>
      </c>
      <c r="G550" s="270" t="s">
        <v>1429</v>
      </c>
      <c r="H550" s="270" t="s">
        <v>666</v>
      </c>
      <c r="I550" s="270">
        <v>0</v>
      </c>
      <c r="J550" s="270" t="s">
        <v>587</v>
      </c>
      <c r="K550" s="263">
        <v>1</v>
      </c>
      <c r="L550" s="263" t="str">
        <f ca="1">IFERROR(INDEX(Algorithms!J:J,MATCH($C550&amp;"_Therm Saved per Unit",Algorithms!$A:$A,0)),"n/a")</f>
        <v>4.4.39</v>
      </c>
      <c r="M550" s="263" t="str">
        <f>IFERROR(INDEX('Measure Level Detail'!$N:$N,MATCH($B550,'Measure Level Detail'!$B:$B,0)),0)</f>
        <v>MBH</v>
      </c>
      <c r="N550" s="271">
        <f>IFERROR(INDEX('Measure Level Detail'!$P:$P,MATCH($B550&amp;"_"&amp;N$3,'Measure Level Detail'!$C:$C,0)),0)</f>
        <v>0</v>
      </c>
      <c r="O550" s="271">
        <f>IFERROR(INDEX('Measure Level Detail'!$P:$P,MATCH($B550&amp;"_"&amp;O$3,'Measure Level Detail'!$C:$C,0)),0)</f>
        <v>0</v>
      </c>
      <c r="P550" s="271">
        <f>IFERROR(INDEX('Measure Level Detail'!$P:$P,MATCH($B550&amp;"_"&amp;P$3,'Measure Level Detail'!$C:$C,0)),0)</f>
        <v>0</v>
      </c>
      <c r="Q550" s="271">
        <f>IFERROR(INDEX('Measure Level Detail'!$P:$P,MATCH($B550&amp;"_"&amp;Q$3,'Measure Level Detail'!$C:$C,0)),0)</f>
        <v>0</v>
      </c>
      <c r="R550" s="263" t="str">
        <f ca="1">IFERROR(INDEX(Algorithms!K:K,MATCH($C550&amp;"_Therm Saved per Unit",Algorithms!$A:$A,0)),"n/a")</f>
        <v>CI-HVC-HTHV-V02-230101</v>
      </c>
      <c r="S550" s="262"/>
      <c r="T550" s="272">
        <v>3.72</v>
      </c>
      <c r="U550" s="272">
        <v>3.72</v>
      </c>
      <c r="V550" s="272">
        <v>3.72</v>
      </c>
      <c r="W550" s="272">
        <v>3.72</v>
      </c>
      <c r="X550" s="276">
        <v>0.92</v>
      </c>
      <c r="Y550" s="276">
        <v>0.92</v>
      </c>
      <c r="Z550" s="276">
        <v>0.92</v>
      </c>
      <c r="AA550" s="276">
        <v>0.92</v>
      </c>
      <c r="AB550" s="266">
        <f t="shared" si="327"/>
        <v>0</v>
      </c>
      <c r="AC550" s="266">
        <f t="shared" si="328"/>
        <v>0</v>
      </c>
      <c r="AD550" s="266">
        <f t="shared" si="329"/>
        <v>0</v>
      </c>
      <c r="AE550" s="266">
        <f t="shared" si="330"/>
        <v>0</v>
      </c>
      <c r="AF550" s="266">
        <f t="shared" si="331"/>
        <v>0</v>
      </c>
      <c r="AG550" s="274">
        <v>0.92</v>
      </c>
      <c r="AH550" s="274">
        <v>0.92</v>
      </c>
      <c r="AI550" s="274">
        <v>0.92</v>
      </c>
      <c r="AJ550" s="274">
        <v>0.92</v>
      </c>
      <c r="AK550" s="274">
        <f t="shared" si="332"/>
        <v>0.92</v>
      </c>
      <c r="AL550" s="274">
        <f t="shared" si="333"/>
        <v>0.92</v>
      </c>
      <c r="AM550" s="274">
        <f t="shared" si="334"/>
        <v>0.92</v>
      </c>
      <c r="AN550" s="274">
        <f t="shared" si="335"/>
        <v>0.92</v>
      </c>
      <c r="AO550" s="262"/>
      <c r="AP550" s="262"/>
      <c r="AQ550" s="267">
        <v>3.72</v>
      </c>
      <c r="AR550" s="262"/>
      <c r="AS550" s="266">
        <f t="shared" si="336"/>
        <v>0</v>
      </c>
      <c r="AT550" s="264">
        <f t="shared" si="337"/>
        <v>0</v>
      </c>
      <c r="AU550" s="262"/>
      <c r="AV550" s="262"/>
      <c r="AW550" s="265">
        <v>3.72</v>
      </c>
      <c r="AX550" s="164" t="s">
        <v>1469</v>
      </c>
      <c r="AY550" s="266">
        <v>0</v>
      </c>
      <c r="AZ550" s="266">
        <f t="shared" si="338"/>
        <v>0</v>
      </c>
      <c r="BA550" s="264">
        <f t="shared" si="339"/>
        <v>0</v>
      </c>
      <c r="BB550" s="262"/>
      <c r="BC550" s="262"/>
      <c r="BD550" s="265">
        <f ca="1">IFERROR(INDEX(Algorithms!$G:$G,MATCH($C550&amp;"_Therm Saved per Unit",Algorithms!$A:$A,0)),0)</f>
        <v>3.72</v>
      </c>
      <c r="BE550" s="164" t="str">
        <f ca="1">IFERROR(INDEX('v12 Revisions'!$P$29:$P$186, MATCH('Measure-Level Adj Gas'!$L550, 'v12 Revisions'!$D$29:$D$186,0)),"")</f>
        <v/>
      </c>
      <c r="BF550" s="266">
        <f t="shared" ca="1" si="340"/>
        <v>0</v>
      </c>
      <c r="BG550" s="264">
        <f t="shared" ca="1" si="341"/>
        <v>0</v>
      </c>
      <c r="BH550" s="262"/>
      <c r="BI550" s="262"/>
      <c r="BJ550" s="265">
        <f ca="1">IFERROR(INDEX(Algorithms!$G:$G,MATCH($C550&amp;"_Therm Saved per Unit",Algorithms!$A:$A,0)),0)</f>
        <v>3.72</v>
      </c>
      <c r="BK550" s="164"/>
      <c r="BL550" s="266">
        <f t="shared" ca="1" si="342"/>
        <v>0</v>
      </c>
      <c r="BM550" s="264">
        <f t="shared" ca="1" si="343"/>
        <v>0</v>
      </c>
      <c r="BN550" s="266">
        <f t="shared" si="344"/>
        <v>0</v>
      </c>
      <c r="BO550" s="266">
        <f t="shared" si="345"/>
        <v>0</v>
      </c>
      <c r="BP550" s="266">
        <f t="shared" ca="1" si="346"/>
        <v>0</v>
      </c>
      <c r="BQ550" s="266">
        <f t="shared" ca="1" si="347"/>
        <v>0</v>
      </c>
      <c r="BR550" s="268">
        <f t="shared" ca="1" si="348"/>
        <v>0</v>
      </c>
      <c r="BS550" s="262" t="s">
        <v>99</v>
      </c>
      <c r="BT550" s="277"/>
      <c r="BW550" s="266">
        <f t="shared" si="349"/>
        <v>0</v>
      </c>
      <c r="BX550" s="266">
        <f t="shared" si="350"/>
        <v>0</v>
      </c>
      <c r="BY550" s="266">
        <f t="shared" si="351"/>
        <v>0</v>
      </c>
      <c r="BZ550" s="266">
        <f t="shared" si="352"/>
        <v>0</v>
      </c>
      <c r="CA550" s="266">
        <f ca="1">N550*IFERROR(INDEX(Algorithms!$G:$G,MATCH($C550&amp;"_Therm Saved per Unit- MLA",Algorithms!$A:$A,0)),0)*X550</f>
        <v>0</v>
      </c>
      <c r="CB550" s="266">
        <f ca="1">O550*IFERROR(INDEX(Algorithms!$G:$G,MATCH($C550&amp;"_Therm Saved per Unit- MLA",Algorithms!$A:$A,0)),0)*Y550</f>
        <v>0</v>
      </c>
      <c r="CC550" s="266">
        <f ca="1">P550*IFERROR(INDEX(Algorithms!$G:$G,MATCH($C550&amp;"_Therm Saved per Unit- MLA",Algorithms!$A:$A,0)),0)*Z550</f>
        <v>0</v>
      </c>
      <c r="CD550" s="266">
        <f ca="1">Q550*IFERROR(INDEX(Algorithms!$G:$G,MATCH($C550&amp;"_Therm Saved per Unit- MLA",Algorithms!$A:$A,0)),0)*AA550</f>
        <v>0</v>
      </c>
      <c r="CE550" s="266">
        <f ca="1">IFERROR(INDEX(Algorithms!$G:$G,MATCH($C550&amp;"_Lifetime (years)",Algorithms!$A:$A,0)),0)</f>
        <v>15</v>
      </c>
      <c r="CF550" s="266">
        <f ca="1">IFERROR(INDEX(Algorithms!$G:$G,MATCH($C550&amp;"_Lifetime (years) - Remaining Years",Algorithms!$A:$A,0)),0)</f>
        <v>0</v>
      </c>
      <c r="CG550" s="266">
        <f t="shared" ca="1" si="353"/>
        <v>0</v>
      </c>
      <c r="CH550" s="266">
        <f t="shared" ca="1" si="354"/>
        <v>0</v>
      </c>
      <c r="CI550" s="266">
        <f t="shared" ca="1" si="355"/>
        <v>0</v>
      </c>
      <c r="CJ550" s="266">
        <f t="shared" ca="1" si="356"/>
        <v>0</v>
      </c>
      <c r="CK550" s="266">
        <f t="shared" si="357"/>
        <v>0</v>
      </c>
      <c r="CL550" s="266">
        <f t="shared" si="358"/>
        <v>0</v>
      </c>
      <c r="CM550" s="266">
        <f t="shared" ca="1" si="359"/>
        <v>0</v>
      </c>
      <c r="CN550" s="266">
        <f t="shared" ca="1" si="360"/>
        <v>0</v>
      </c>
      <c r="CO550" s="266">
        <f ca="1">N550*IFERROR(INDEX(Algorithms!$G:$G,MATCH($C550&amp;"_Therm Saved per Unit- MLA",Algorithms!$A:$A,0)),0)*X550</f>
        <v>0</v>
      </c>
      <c r="CP550" s="266">
        <f ca="1">O550*IFERROR(INDEX(Algorithms!$G:$G,MATCH($C550&amp;"_Therm Saved per Unit- MLA",Algorithms!$A:$A,0)),0)*Y550</f>
        <v>0</v>
      </c>
      <c r="CQ550" s="266">
        <f ca="1">P550*IFERROR(INDEX(Algorithms!$G:$G,MATCH($C550&amp;"_Therm Saved per Unit- MLA",Algorithms!$A:$A,0)),0)*Z550</f>
        <v>0</v>
      </c>
      <c r="CR550" s="266">
        <f ca="1">Q550*IFERROR(INDEX(Algorithms!$G:$G,MATCH($C550&amp;"_Therm Saved per Unit- MLA",Algorithms!$A:$A,0)),0)*AA550</f>
        <v>0</v>
      </c>
      <c r="CS550" s="266">
        <f ca="1">IFERROR(INDEX(Algorithms!$G:$G,MATCH($C550&amp;"_Lifetime (years)",Algorithms!$A:$A,0)),0)</f>
        <v>15</v>
      </c>
      <c r="CT550" s="266">
        <f ca="1">IFERROR(INDEX(Algorithms!$G:$G,MATCH($C550&amp;"_Lifetime (years) - Remaining Years",Algorithms!$A:$A,0)),0)</f>
        <v>0</v>
      </c>
      <c r="CU550" s="266">
        <f t="shared" ca="1" si="361"/>
        <v>0</v>
      </c>
      <c r="CV550" s="266">
        <f t="shared" ca="1" si="362"/>
        <v>0</v>
      </c>
      <c r="CW550" s="266">
        <f t="shared" ca="1" si="363"/>
        <v>0</v>
      </c>
      <c r="CX550" s="266">
        <f t="shared" ca="1" si="364"/>
        <v>0</v>
      </c>
    </row>
    <row r="551" spans="2:102" s="47" customFormat="1" ht="18" customHeight="1" x14ac:dyDescent="0.25">
      <c r="B551" t="str">
        <f t="shared" si="365"/>
        <v>NSG_Business_Public Sector_Rebates_High Speed Washer_Hotel/Motel/Hospital_CI</v>
      </c>
      <c r="C551" s="47" t="str">
        <f t="shared" si="326"/>
        <v>High Speed Washer_Hotel/Motel/Hospital_CI</v>
      </c>
      <c r="D551" s="270" t="s">
        <v>1787</v>
      </c>
      <c r="E551" s="270" t="s">
        <v>3</v>
      </c>
      <c r="F551" s="270" t="s">
        <v>1430</v>
      </c>
      <c r="G551" s="270" t="s">
        <v>1429</v>
      </c>
      <c r="H551" s="270" t="s">
        <v>725</v>
      </c>
      <c r="I551" s="270" t="s">
        <v>1162</v>
      </c>
      <c r="J551" s="270" t="s">
        <v>1159</v>
      </c>
      <c r="K551" s="263">
        <v>1</v>
      </c>
      <c r="L551" s="263" t="str">
        <f ca="1">IFERROR(INDEX(Algorithms!J:J,MATCH($C551&amp;"_Therm Saved per Unit",Algorithms!$A:$A,0)),"n/a")</f>
        <v>4.8.5</v>
      </c>
      <c r="M551" s="263" t="str">
        <f>IFERROR(INDEX('Measure Level Detail'!$N:$N,MATCH($B551,'Measure Level Detail'!$B:$B,0)),0)</f>
        <v>lb-capacity</v>
      </c>
      <c r="N551" s="271">
        <f>IFERROR(INDEX('Measure Level Detail'!$P:$P,MATCH($B551&amp;"_"&amp;N$3,'Measure Level Detail'!$C:$C,0)),0)</f>
        <v>0</v>
      </c>
      <c r="O551" s="271">
        <f>IFERROR(INDEX('Measure Level Detail'!$P:$P,MATCH($B551&amp;"_"&amp;O$3,'Measure Level Detail'!$C:$C,0)),0)</f>
        <v>0</v>
      </c>
      <c r="P551" s="271">
        <f>IFERROR(INDEX('Measure Level Detail'!$P:$P,MATCH($B551&amp;"_"&amp;P$3,'Measure Level Detail'!$C:$C,0)),0)</f>
        <v>0</v>
      </c>
      <c r="Q551" s="271">
        <f>IFERROR(INDEX('Measure Level Detail'!$P:$P,MATCH($B551&amp;"_"&amp;Q$3,'Measure Level Detail'!$C:$C,0)),0)</f>
        <v>0</v>
      </c>
      <c r="R551" s="263" t="str">
        <f ca="1">IFERROR(INDEX(Algorithms!K:K,MATCH($C551&amp;"_Therm Saved per Unit",Algorithms!$A:$A,0)),"n/a")</f>
        <v>CI-MSC-HSCW-V03-240101</v>
      </c>
      <c r="S551" s="262"/>
      <c r="T551" s="272">
        <v>6.7459391999999996</v>
      </c>
      <c r="U551" s="272">
        <v>6.7459391999999996</v>
      </c>
      <c r="V551" s="272">
        <v>6.7459391999999996</v>
      </c>
      <c r="W551" s="272">
        <v>6.7459391999999996</v>
      </c>
      <c r="X551" s="276">
        <v>0.92</v>
      </c>
      <c r="Y551" s="276">
        <v>0.92</v>
      </c>
      <c r="Z551" s="276">
        <v>0.92</v>
      </c>
      <c r="AA551" s="276">
        <v>0.92</v>
      </c>
      <c r="AB551" s="266">
        <f t="shared" si="327"/>
        <v>0</v>
      </c>
      <c r="AC551" s="266">
        <f t="shared" si="328"/>
        <v>0</v>
      </c>
      <c r="AD551" s="266">
        <f t="shared" si="329"/>
        <v>0</v>
      </c>
      <c r="AE551" s="266">
        <f t="shared" si="330"/>
        <v>0</v>
      </c>
      <c r="AF551" s="266">
        <f t="shared" si="331"/>
        <v>0</v>
      </c>
      <c r="AG551" s="274">
        <v>0.92</v>
      </c>
      <c r="AH551" s="274">
        <v>0.92</v>
      </c>
      <c r="AI551" s="274">
        <v>0.92</v>
      </c>
      <c r="AJ551" s="274">
        <v>0.92</v>
      </c>
      <c r="AK551" s="274">
        <f t="shared" si="332"/>
        <v>0.92</v>
      </c>
      <c r="AL551" s="274">
        <f t="shared" si="333"/>
        <v>0.92</v>
      </c>
      <c r="AM551" s="274">
        <f t="shared" si="334"/>
        <v>0.92</v>
      </c>
      <c r="AN551" s="274">
        <f t="shared" si="335"/>
        <v>0.92</v>
      </c>
      <c r="AO551" s="262"/>
      <c r="AP551" s="262"/>
      <c r="AQ551" s="267">
        <v>6.7459391999999996</v>
      </c>
      <c r="AR551" s="262"/>
      <c r="AS551" s="266">
        <f t="shared" si="336"/>
        <v>0</v>
      </c>
      <c r="AT551" s="264">
        <f t="shared" si="337"/>
        <v>0</v>
      </c>
      <c r="AU551" s="262"/>
      <c r="AV551" s="262"/>
      <c r="AW551" s="265">
        <v>6.7459391999999996</v>
      </c>
      <c r="AX551" s="164" t="s">
        <v>1469</v>
      </c>
      <c r="AY551" s="266">
        <v>0</v>
      </c>
      <c r="AZ551" s="266">
        <f t="shared" si="338"/>
        <v>0</v>
      </c>
      <c r="BA551" s="264">
        <f t="shared" si="339"/>
        <v>0</v>
      </c>
      <c r="BB551" s="262"/>
      <c r="BC551" s="262"/>
      <c r="BD551" s="265">
        <f ca="1">IFERROR(INDEX(Algorithms!$G:$G,MATCH($C551&amp;"_Therm Saved per Unit",Algorithms!$A:$A,0)),0)</f>
        <v>6.7459391999999996</v>
      </c>
      <c r="BE551" s="164" t="str">
        <f ca="1">IFERROR(INDEX('v12 Revisions'!$P$29:$P$186, MATCH('Measure-Level Adj Gas'!$L551, 'v12 Revisions'!$D$29:$D$186,0)),"")</f>
        <v>n/a - costs only.</v>
      </c>
      <c r="BF551" s="266">
        <f t="shared" ca="1" si="340"/>
        <v>0</v>
      </c>
      <c r="BG551" s="264">
        <f t="shared" ca="1" si="341"/>
        <v>0</v>
      </c>
      <c r="BH551" s="262"/>
      <c r="BI551" s="262"/>
      <c r="BJ551" s="265">
        <f ca="1">IFERROR(INDEX(Algorithms!$G:$G,MATCH($C551&amp;"_Therm Saved per Unit",Algorithms!$A:$A,0)),0)</f>
        <v>6.7459391999999996</v>
      </c>
      <c r="BK551" s="164"/>
      <c r="BL551" s="266">
        <f t="shared" ca="1" si="342"/>
        <v>0</v>
      </c>
      <c r="BM551" s="264">
        <f t="shared" ca="1" si="343"/>
        <v>0</v>
      </c>
      <c r="BN551" s="266">
        <f t="shared" si="344"/>
        <v>0</v>
      </c>
      <c r="BO551" s="266">
        <f t="shared" si="345"/>
        <v>0</v>
      </c>
      <c r="BP551" s="266">
        <f t="shared" ca="1" si="346"/>
        <v>0</v>
      </c>
      <c r="BQ551" s="266">
        <f t="shared" ca="1" si="347"/>
        <v>0</v>
      </c>
      <c r="BR551" s="268">
        <f t="shared" ca="1" si="348"/>
        <v>0</v>
      </c>
      <c r="BS551" s="262" t="s">
        <v>99</v>
      </c>
      <c r="BT551" s="277"/>
      <c r="BW551" s="266">
        <f t="shared" si="349"/>
        <v>0</v>
      </c>
      <c r="BX551" s="266">
        <f t="shared" si="350"/>
        <v>0</v>
      </c>
      <c r="BY551" s="266">
        <f t="shared" si="351"/>
        <v>0</v>
      </c>
      <c r="BZ551" s="266">
        <f t="shared" si="352"/>
        <v>0</v>
      </c>
      <c r="CA551" s="266">
        <f ca="1">N551*IFERROR(INDEX(Algorithms!$G:$G,MATCH($C551&amp;"_Therm Saved per Unit- MLA",Algorithms!$A:$A,0)),0)*X551</f>
        <v>0</v>
      </c>
      <c r="CB551" s="266">
        <f ca="1">O551*IFERROR(INDEX(Algorithms!$G:$G,MATCH($C551&amp;"_Therm Saved per Unit- MLA",Algorithms!$A:$A,0)),0)*Y551</f>
        <v>0</v>
      </c>
      <c r="CC551" s="266">
        <f ca="1">P551*IFERROR(INDEX(Algorithms!$G:$G,MATCH($C551&amp;"_Therm Saved per Unit- MLA",Algorithms!$A:$A,0)),0)*Z551</f>
        <v>0</v>
      </c>
      <c r="CD551" s="266">
        <f ca="1">Q551*IFERROR(INDEX(Algorithms!$G:$G,MATCH($C551&amp;"_Therm Saved per Unit- MLA",Algorithms!$A:$A,0)),0)*AA551</f>
        <v>0</v>
      </c>
      <c r="CE551" s="266">
        <f ca="1">IFERROR(INDEX(Algorithms!$G:$G,MATCH($C551&amp;"_Lifetime (years)",Algorithms!$A:$A,0)),0)</f>
        <v>7</v>
      </c>
      <c r="CF551" s="266">
        <f ca="1">IFERROR(INDEX(Algorithms!$G:$G,MATCH($C551&amp;"_Lifetime (years) - Remaining Years",Algorithms!$A:$A,0)),0)</f>
        <v>0</v>
      </c>
      <c r="CG551" s="266">
        <f t="shared" ca="1" si="353"/>
        <v>0</v>
      </c>
      <c r="CH551" s="266">
        <f t="shared" ca="1" si="354"/>
        <v>0</v>
      </c>
      <c r="CI551" s="266">
        <f t="shared" ca="1" si="355"/>
        <v>0</v>
      </c>
      <c r="CJ551" s="266">
        <f t="shared" ca="1" si="356"/>
        <v>0</v>
      </c>
      <c r="CK551" s="266">
        <f t="shared" si="357"/>
        <v>0</v>
      </c>
      <c r="CL551" s="266">
        <f t="shared" si="358"/>
        <v>0</v>
      </c>
      <c r="CM551" s="266">
        <f t="shared" ca="1" si="359"/>
        <v>0</v>
      </c>
      <c r="CN551" s="266">
        <f t="shared" ca="1" si="360"/>
        <v>0</v>
      </c>
      <c r="CO551" s="266">
        <f ca="1">N551*IFERROR(INDEX(Algorithms!$G:$G,MATCH($C551&amp;"_Therm Saved per Unit- MLA",Algorithms!$A:$A,0)),0)*X551</f>
        <v>0</v>
      </c>
      <c r="CP551" s="266">
        <f ca="1">O551*IFERROR(INDEX(Algorithms!$G:$G,MATCH($C551&amp;"_Therm Saved per Unit- MLA",Algorithms!$A:$A,0)),0)*Y551</f>
        <v>0</v>
      </c>
      <c r="CQ551" s="266">
        <f ca="1">P551*IFERROR(INDEX(Algorithms!$G:$G,MATCH($C551&amp;"_Therm Saved per Unit- MLA",Algorithms!$A:$A,0)),0)*Z551</f>
        <v>0</v>
      </c>
      <c r="CR551" s="266">
        <f ca="1">Q551*IFERROR(INDEX(Algorithms!$G:$G,MATCH($C551&amp;"_Therm Saved per Unit- MLA",Algorithms!$A:$A,0)),0)*AA551</f>
        <v>0</v>
      </c>
      <c r="CS551" s="266">
        <f ca="1">IFERROR(INDEX(Algorithms!$G:$G,MATCH($C551&amp;"_Lifetime (years)",Algorithms!$A:$A,0)),0)</f>
        <v>7</v>
      </c>
      <c r="CT551" s="266">
        <f ca="1">IFERROR(INDEX(Algorithms!$G:$G,MATCH($C551&amp;"_Lifetime (years) - Remaining Years",Algorithms!$A:$A,0)),0)</f>
        <v>0</v>
      </c>
      <c r="CU551" s="266">
        <f t="shared" ca="1" si="361"/>
        <v>0</v>
      </c>
      <c r="CV551" s="266">
        <f t="shared" ca="1" si="362"/>
        <v>0</v>
      </c>
      <c r="CW551" s="266">
        <f t="shared" ca="1" si="363"/>
        <v>0</v>
      </c>
      <c r="CX551" s="266">
        <f t="shared" ca="1" si="364"/>
        <v>0</v>
      </c>
    </row>
    <row r="552" spans="2:102" s="47" customFormat="1" ht="18" customHeight="1" x14ac:dyDescent="0.25">
      <c r="B552" t="str">
        <f t="shared" si="365"/>
        <v>NSG_Business_Public Sector_Rebates_High Speed Washer_Laundromat_SMB</v>
      </c>
      <c r="C552" s="47" t="str">
        <f t="shared" si="326"/>
        <v>High Speed Washer_Laundromat_SMB</v>
      </c>
      <c r="D552" s="270" t="s">
        <v>1787</v>
      </c>
      <c r="E552" s="270" t="s">
        <v>3</v>
      </c>
      <c r="F552" s="270" t="s">
        <v>1430</v>
      </c>
      <c r="G552" s="270" t="s">
        <v>1429</v>
      </c>
      <c r="H552" s="270" t="s">
        <v>725</v>
      </c>
      <c r="I552" s="270" t="s">
        <v>1356</v>
      </c>
      <c r="J552" s="270" t="s">
        <v>1220</v>
      </c>
      <c r="K552" s="263">
        <v>1</v>
      </c>
      <c r="L552" s="263" t="str">
        <f ca="1">IFERROR(INDEX(Algorithms!J:J,MATCH($C552&amp;"_Therm Saved per Unit",Algorithms!$A:$A,0)),"n/a")</f>
        <v>4.8.5</v>
      </c>
      <c r="M552" s="263" t="str">
        <f>IFERROR(INDEX('Measure Level Detail'!$N:$N,MATCH($B552,'Measure Level Detail'!$B:$B,0)),0)</f>
        <v>lb-capacity</v>
      </c>
      <c r="N552" s="271">
        <f>IFERROR(INDEX('Measure Level Detail'!$P:$P,MATCH($B552&amp;"_"&amp;N$3,'Measure Level Detail'!$C:$C,0)),0)</f>
        <v>0</v>
      </c>
      <c r="O552" s="271">
        <f>IFERROR(INDEX('Measure Level Detail'!$P:$P,MATCH($B552&amp;"_"&amp;O$3,'Measure Level Detail'!$C:$C,0)),0)</f>
        <v>0</v>
      </c>
      <c r="P552" s="271">
        <f>IFERROR(INDEX('Measure Level Detail'!$P:$P,MATCH($B552&amp;"_"&amp;P$3,'Measure Level Detail'!$C:$C,0)),0)</f>
        <v>0</v>
      </c>
      <c r="Q552" s="271">
        <f>IFERROR(INDEX('Measure Level Detail'!$P:$P,MATCH($B552&amp;"_"&amp;Q$3,'Measure Level Detail'!$C:$C,0)),0)</f>
        <v>0</v>
      </c>
      <c r="R552" s="263" t="str">
        <f ca="1">IFERROR(INDEX(Algorithms!K:K,MATCH($C552&amp;"_Therm Saved per Unit",Algorithms!$A:$A,0)),"n/a")</f>
        <v>CI-MSC-HSCW-V03-240101</v>
      </c>
      <c r="S552" s="262"/>
      <c r="T552" s="272">
        <v>2.7891864000000002</v>
      </c>
      <c r="U552" s="272">
        <v>2.7891864000000002</v>
      </c>
      <c r="V552" s="272">
        <v>2.7891864000000002</v>
      </c>
      <c r="W552" s="272">
        <v>2.7891864000000002</v>
      </c>
      <c r="X552" s="276">
        <v>0.92</v>
      </c>
      <c r="Y552" s="276">
        <v>0.92</v>
      </c>
      <c r="Z552" s="276">
        <v>0.92</v>
      </c>
      <c r="AA552" s="276">
        <v>0.92</v>
      </c>
      <c r="AB552" s="266">
        <f t="shared" si="327"/>
        <v>0</v>
      </c>
      <c r="AC552" s="266">
        <f t="shared" si="328"/>
        <v>0</v>
      </c>
      <c r="AD552" s="266">
        <f t="shared" si="329"/>
        <v>0</v>
      </c>
      <c r="AE552" s="266">
        <f t="shared" si="330"/>
        <v>0</v>
      </c>
      <c r="AF552" s="266">
        <f t="shared" si="331"/>
        <v>0</v>
      </c>
      <c r="AG552" s="274">
        <v>0.92</v>
      </c>
      <c r="AH552" s="274">
        <v>0.92</v>
      </c>
      <c r="AI552" s="274">
        <v>0.92</v>
      </c>
      <c r="AJ552" s="274">
        <v>0.92</v>
      </c>
      <c r="AK552" s="274">
        <f t="shared" si="332"/>
        <v>0.92</v>
      </c>
      <c r="AL552" s="274">
        <f t="shared" si="333"/>
        <v>0.92</v>
      </c>
      <c r="AM552" s="274">
        <f t="shared" si="334"/>
        <v>0.92</v>
      </c>
      <c r="AN552" s="274">
        <f t="shared" si="335"/>
        <v>0.92</v>
      </c>
      <c r="AO552" s="262"/>
      <c r="AP552" s="262"/>
      <c r="AQ552" s="267">
        <v>2.7891864000000002</v>
      </c>
      <c r="AR552" s="262"/>
      <c r="AS552" s="266">
        <f t="shared" si="336"/>
        <v>0</v>
      </c>
      <c r="AT552" s="264">
        <f t="shared" si="337"/>
        <v>0</v>
      </c>
      <c r="AU552" s="262"/>
      <c r="AV552" s="262"/>
      <c r="AW552" s="265">
        <v>2.7891864000000002</v>
      </c>
      <c r="AX552" s="164" t="s">
        <v>1469</v>
      </c>
      <c r="AY552" s="266">
        <v>0</v>
      </c>
      <c r="AZ552" s="266">
        <f t="shared" si="338"/>
        <v>0</v>
      </c>
      <c r="BA552" s="264">
        <f t="shared" si="339"/>
        <v>0</v>
      </c>
      <c r="BB552" s="262"/>
      <c r="BC552" s="262"/>
      <c r="BD552" s="265">
        <f ca="1">IFERROR(INDEX(Algorithms!$G:$G,MATCH($C552&amp;"_Therm Saved per Unit",Algorithms!$A:$A,0)),0)</f>
        <v>2.7891864000000002</v>
      </c>
      <c r="BE552" s="164" t="str">
        <f ca="1">IFERROR(INDEX('v12 Revisions'!$P$29:$P$186, MATCH('Measure-Level Adj Gas'!$L552, 'v12 Revisions'!$D$29:$D$186,0)),"")</f>
        <v>n/a - costs only.</v>
      </c>
      <c r="BF552" s="266">
        <f t="shared" ca="1" si="340"/>
        <v>0</v>
      </c>
      <c r="BG552" s="264">
        <f t="shared" ca="1" si="341"/>
        <v>0</v>
      </c>
      <c r="BH552" s="262"/>
      <c r="BI552" s="262"/>
      <c r="BJ552" s="265">
        <f ca="1">IFERROR(INDEX(Algorithms!$G:$G,MATCH($C552&amp;"_Therm Saved per Unit",Algorithms!$A:$A,0)),0)</f>
        <v>2.7891864000000002</v>
      </c>
      <c r="BK552" s="164"/>
      <c r="BL552" s="266">
        <f t="shared" ca="1" si="342"/>
        <v>0</v>
      </c>
      <c r="BM552" s="264">
        <f t="shared" ca="1" si="343"/>
        <v>0</v>
      </c>
      <c r="BN552" s="266">
        <f t="shared" si="344"/>
        <v>0</v>
      </c>
      <c r="BO552" s="266">
        <f t="shared" si="345"/>
        <v>0</v>
      </c>
      <c r="BP552" s="266">
        <f t="shared" ca="1" si="346"/>
        <v>0</v>
      </c>
      <c r="BQ552" s="266">
        <f t="shared" ca="1" si="347"/>
        <v>0</v>
      </c>
      <c r="BR552" s="268">
        <f t="shared" ca="1" si="348"/>
        <v>0</v>
      </c>
      <c r="BS552" s="262" t="s">
        <v>99</v>
      </c>
      <c r="BT552" s="277"/>
      <c r="BW552" s="266">
        <f t="shared" si="349"/>
        <v>0</v>
      </c>
      <c r="BX552" s="266">
        <f t="shared" si="350"/>
        <v>0</v>
      </c>
      <c r="BY552" s="266">
        <f t="shared" si="351"/>
        <v>0</v>
      </c>
      <c r="BZ552" s="266">
        <f t="shared" si="352"/>
        <v>0</v>
      </c>
      <c r="CA552" s="266">
        <f ca="1">N552*IFERROR(INDEX(Algorithms!$G:$G,MATCH($C552&amp;"_Therm Saved per Unit- MLA",Algorithms!$A:$A,0)),0)*X552</f>
        <v>0</v>
      </c>
      <c r="CB552" s="266">
        <f ca="1">O552*IFERROR(INDEX(Algorithms!$G:$G,MATCH($C552&amp;"_Therm Saved per Unit- MLA",Algorithms!$A:$A,0)),0)*Y552</f>
        <v>0</v>
      </c>
      <c r="CC552" s="266">
        <f ca="1">P552*IFERROR(INDEX(Algorithms!$G:$G,MATCH($C552&amp;"_Therm Saved per Unit- MLA",Algorithms!$A:$A,0)),0)*Z552</f>
        <v>0</v>
      </c>
      <c r="CD552" s="266">
        <f ca="1">Q552*IFERROR(INDEX(Algorithms!$G:$G,MATCH($C552&amp;"_Therm Saved per Unit- MLA",Algorithms!$A:$A,0)),0)*AA552</f>
        <v>0</v>
      </c>
      <c r="CE552" s="266">
        <f ca="1">IFERROR(INDEX(Algorithms!$G:$G,MATCH($C552&amp;"_Lifetime (years)",Algorithms!$A:$A,0)),0)</f>
        <v>7</v>
      </c>
      <c r="CF552" s="266">
        <f ca="1">IFERROR(INDEX(Algorithms!$G:$G,MATCH($C552&amp;"_Lifetime (years) - Remaining Years",Algorithms!$A:$A,0)),0)</f>
        <v>0</v>
      </c>
      <c r="CG552" s="266">
        <f t="shared" ca="1" si="353"/>
        <v>0</v>
      </c>
      <c r="CH552" s="266">
        <f t="shared" ca="1" si="354"/>
        <v>0</v>
      </c>
      <c r="CI552" s="266">
        <f t="shared" ca="1" si="355"/>
        <v>0</v>
      </c>
      <c r="CJ552" s="266">
        <f t="shared" ca="1" si="356"/>
        <v>0</v>
      </c>
      <c r="CK552" s="266">
        <f t="shared" si="357"/>
        <v>0</v>
      </c>
      <c r="CL552" s="266">
        <f t="shared" si="358"/>
        <v>0</v>
      </c>
      <c r="CM552" s="266">
        <f t="shared" ca="1" si="359"/>
        <v>0</v>
      </c>
      <c r="CN552" s="266">
        <f t="shared" ca="1" si="360"/>
        <v>0</v>
      </c>
      <c r="CO552" s="266">
        <f ca="1">N552*IFERROR(INDEX(Algorithms!$G:$G,MATCH($C552&amp;"_Therm Saved per Unit- MLA",Algorithms!$A:$A,0)),0)*X552</f>
        <v>0</v>
      </c>
      <c r="CP552" s="266">
        <f ca="1">O552*IFERROR(INDEX(Algorithms!$G:$G,MATCH($C552&amp;"_Therm Saved per Unit- MLA",Algorithms!$A:$A,0)),0)*Y552</f>
        <v>0</v>
      </c>
      <c r="CQ552" s="266">
        <f ca="1">P552*IFERROR(INDEX(Algorithms!$G:$G,MATCH($C552&amp;"_Therm Saved per Unit- MLA",Algorithms!$A:$A,0)),0)*Z552</f>
        <v>0</v>
      </c>
      <c r="CR552" s="266">
        <f ca="1">Q552*IFERROR(INDEX(Algorithms!$G:$G,MATCH($C552&amp;"_Therm Saved per Unit- MLA",Algorithms!$A:$A,0)),0)*AA552</f>
        <v>0</v>
      </c>
      <c r="CS552" s="266">
        <f ca="1">IFERROR(INDEX(Algorithms!$G:$G,MATCH($C552&amp;"_Lifetime (years)",Algorithms!$A:$A,0)),0)</f>
        <v>7</v>
      </c>
      <c r="CT552" s="266">
        <f ca="1">IFERROR(INDEX(Algorithms!$G:$G,MATCH($C552&amp;"_Lifetime (years) - Remaining Years",Algorithms!$A:$A,0)),0)</f>
        <v>0</v>
      </c>
      <c r="CU552" s="266">
        <f t="shared" ca="1" si="361"/>
        <v>0</v>
      </c>
      <c r="CV552" s="266">
        <f t="shared" ca="1" si="362"/>
        <v>0</v>
      </c>
      <c r="CW552" s="266">
        <f t="shared" ca="1" si="363"/>
        <v>0</v>
      </c>
      <c r="CX552" s="266">
        <f t="shared" ca="1" si="364"/>
        <v>0</v>
      </c>
    </row>
    <row r="553" spans="2:102" s="47" customFormat="1" ht="18" customHeight="1" x14ac:dyDescent="0.25">
      <c r="B553" t="str">
        <f t="shared" si="365"/>
        <v>NSG_Business_Public Sector_Rebates_Small Commercial Advanced Thermostat_0_CI</v>
      </c>
      <c r="C553" s="47" t="str">
        <f t="shared" si="326"/>
        <v>Small Commercial Advanced Thermostat_0_CI</v>
      </c>
      <c r="D553" s="270" t="s">
        <v>1787</v>
      </c>
      <c r="E553" s="270" t="s">
        <v>3</v>
      </c>
      <c r="F553" s="270" t="s">
        <v>1430</v>
      </c>
      <c r="G553" s="270" t="s">
        <v>1429</v>
      </c>
      <c r="H553" s="270" t="s">
        <v>1302</v>
      </c>
      <c r="I553" s="270">
        <v>0</v>
      </c>
      <c r="J553" s="270" t="s">
        <v>1159</v>
      </c>
      <c r="K553" s="263">
        <v>1</v>
      </c>
      <c r="L553" s="263" t="str">
        <f ca="1">IFERROR(INDEX(Algorithms!J:J,MATCH($C553&amp;"_Therm Saved per Unit",Algorithms!$A:$A,0)),"n/a")</f>
        <v>4.4.48</v>
      </c>
      <c r="M553" s="263" t="str">
        <f>IFERROR(INDEX('Measure Level Detail'!$N:$N,MATCH($B553,'Measure Level Detail'!$B:$B,0)),0)</f>
        <v>each</v>
      </c>
      <c r="N553" s="271">
        <f>IFERROR(INDEX('Measure Level Detail'!$P:$P,MATCH($B553&amp;"_"&amp;N$3,'Measure Level Detail'!$C:$C,0)),0)</f>
        <v>0</v>
      </c>
      <c r="O553" s="271">
        <f>IFERROR(INDEX('Measure Level Detail'!$P:$P,MATCH($B553&amp;"_"&amp;O$3,'Measure Level Detail'!$C:$C,0)),0)</f>
        <v>0</v>
      </c>
      <c r="P553" s="271">
        <f>IFERROR(INDEX('Measure Level Detail'!$P:$P,MATCH($B553&amp;"_"&amp;P$3,'Measure Level Detail'!$C:$C,0)),0)</f>
        <v>0</v>
      </c>
      <c r="Q553" s="271">
        <f>IFERROR(INDEX('Measure Level Detail'!$P:$P,MATCH($B553&amp;"_"&amp;Q$3,'Measure Level Detail'!$C:$C,0)),0)</f>
        <v>0</v>
      </c>
      <c r="R553" s="263" t="str">
        <f ca="1">IFERROR(INDEX(Algorithms!K:K,MATCH($C553&amp;"_Therm Saved per Unit",Algorithms!$A:$A,0)),"n/a")</f>
        <v>CI-HVC-THST-V06-240101</v>
      </c>
      <c r="S553" s="262"/>
      <c r="T553" s="272">
        <v>196.26391399999997</v>
      </c>
      <c r="U553" s="272">
        <v>196.26391399999997</v>
      </c>
      <c r="V553" s="272">
        <v>196.26391399999997</v>
      </c>
      <c r="W553" s="272">
        <v>196.26391399999997</v>
      </c>
      <c r="X553" s="276">
        <v>0.93</v>
      </c>
      <c r="Y553" s="276">
        <v>0.93</v>
      </c>
      <c r="Z553" s="276">
        <v>0.93</v>
      </c>
      <c r="AA553" s="276">
        <v>0.93</v>
      </c>
      <c r="AB553" s="266">
        <f t="shared" si="327"/>
        <v>0</v>
      </c>
      <c r="AC553" s="266">
        <f t="shared" si="328"/>
        <v>0</v>
      </c>
      <c r="AD553" s="266">
        <f t="shared" si="329"/>
        <v>0</v>
      </c>
      <c r="AE553" s="266">
        <f t="shared" si="330"/>
        <v>0</v>
      </c>
      <c r="AF553" s="266">
        <f t="shared" si="331"/>
        <v>0</v>
      </c>
      <c r="AG553" s="274">
        <v>0.93</v>
      </c>
      <c r="AH553" s="274">
        <v>0.93</v>
      </c>
      <c r="AI553" s="274">
        <v>0.93</v>
      </c>
      <c r="AJ553" s="274">
        <v>0.93</v>
      </c>
      <c r="AK553" s="274">
        <f t="shared" si="332"/>
        <v>0.93</v>
      </c>
      <c r="AL553" s="274">
        <f t="shared" si="333"/>
        <v>0.93</v>
      </c>
      <c r="AM553" s="274">
        <f t="shared" si="334"/>
        <v>0.93</v>
      </c>
      <c r="AN553" s="274">
        <f t="shared" si="335"/>
        <v>0.93</v>
      </c>
      <c r="AO553" s="262"/>
      <c r="AP553" s="262"/>
      <c r="AQ553" s="267">
        <v>157.01113119999999</v>
      </c>
      <c r="AR553" s="262"/>
      <c r="AS553" s="266">
        <f t="shared" si="336"/>
        <v>0</v>
      </c>
      <c r="AT553" s="264">
        <f t="shared" si="337"/>
        <v>0</v>
      </c>
      <c r="AU553" s="262"/>
      <c r="AV553" s="262"/>
      <c r="AW553" s="265">
        <v>157.01113119999999</v>
      </c>
      <c r="AX553" s="164" t="s">
        <v>1469</v>
      </c>
      <c r="AY553" s="266">
        <v>0</v>
      </c>
      <c r="AZ553" s="266">
        <f t="shared" si="338"/>
        <v>0</v>
      </c>
      <c r="BA553" s="264">
        <f t="shared" si="339"/>
        <v>0</v>
      </c>
      <c r="BB553" s="262"/>
      <c r="BC553" s="262"/>
      <c r="BD553" s="265">
        <f ca="1">IFERROR(INDEX(Algorithms!$G:$G,MATCH($C553&amp;"_Therm Saved per Unit",Algorithms!$A:$A,0)),0)</f>
        <v>157.01113119999999</v>
      </c>
      <c r="BE553" s="164" t="str">
        <f ca="1">IFERROR(INDEX('v12 Revisions'!$P$29:$P$186, MATCH('Measure-Level Adj Gas'!$L553, 'v12 Revisions'!$D$29:$D$186,0)),"")</f>
        <v>n/a - only affects electric energy savings algorithm.</v>
      </c>
      <c r="BF553" s="266">
        <f t="shared" ca="1" si="340"/>
        <v>0</v>
      </c>
      <c r="BG553" s="264">
        <f t="shared" ca="1" si="341"/>
        <v>0</v>
      </c>
      <c r="BH553" s="262"/>
      <c r="BI553" s="262"/>
      <c r="BJ553" s="265">
        <f ca="1">IFERROR(INDEX(Algorithms!$G:$G,MATCH($C553&amp;"_Therm Saved per Unit",Algorithms!$A:$A,0)),0)</f>
        <v>157.01113119999999</v>
      </c>
      <c r="BK553" s="164"/>
      <c r="BL553" s="266">
        <f t="shared" ca="1" si="342"/>
        <v>0</v>
      </c>
      <c r="BM553" s="264">
        <f t="shared" ca="1" si="343"/>
        <v>0</v>
      </c>
      <c r="BN553" s="266">
        <f t="shared" si="344"/>
        <v>0</v>
      </c>
      <c r="BO553" s="266">
        <f t="shared" si="345"/>
        <v>0</v>
      </c>
      <c r="BP553" s="266">
        <f t="shared" ca="1" si="346"/>
        <v>0</v>
      </c>
      <c r="BQ553" s="266">
        <f t="shared" ca="1" si="347"/>
        <v>0</v>
      </c>
      <c r="BR553" s="268">
        <f t="shared" ca="1" si="348"/>
        <v>0</v>
      </c>
      <c r="BS553" s="262" t="s">
        <v>99</v>
      </c>
      <c r="BT553" s="277"/>
      <c r="BW553" s="266">
        <f t="shared" si="349"/>
        <v>0</v>
      </c>
      <c r="BX553" s="266">
        <f t="shared" si="350"/>
        <v>0</v>
      </c>
      <c r="BY553" s="266">
        <f t="shared" si="351"/>
        <v>0</v>
      </c>
      <c r="BZ553" s="266">
        <f t="shared" si="352"/>
        <v>0</v>
      </c>
      <c r="CA553" s="266">
        <f ca="1">N553*IFERROR(INDEX(Algorithms!$G:$G,MATCH($C553&amp;"_Therm Saved per Unit- MLA",Algorithms!$A:$A,0)),0)*X553</f>
        <v>0</v>
      </c>
      <c r="CB553" s="266">
        <f ca="1">O553*IFERROR(INDEX(Algorithms!$G:$G,MATCH($C553&amp;"_Therm Saved per Unit- MLA",Algorithms!$A:$A,0)),0)*Y553</f>
        <v>0</v>
      </c>
      <c r="CC553" s="266">
        <f ca="1">P553*IFERROR(INDEX(Algorithms!$G:$G,MATCH($C553&amp;"_Therm Saved per Unit- MLA",Algorithms!$A:$A,0)),0)*Z553</f>
        <v>0</v>
      </c>
      <c r="CD553" s="266">
        <f ca="1">Q553*IFERROR(INDEX(Algorithms!$G:$G,MATCH($C553&amp;"_Therm Saved per Unit- MLA",Algorithms!$A:$A,0)),0)*AA553</f>
        <v>0</v>
      </c>
      <c r="CE553" s="266">
        <f ca="1">IFERROR(INDEX(Algorithms!$G:$G,MATCH($C553&amp;"_Lifetime (years)",Algorithms!$A:$A,0)),0)</f>
        <v>11</v>
      </c>
      <c r="CF553" s="266">
        <f ca="1">IFERROR(INDEX(Algorithms!$G:$G,MATCH($C553&amp;"_Lifetime (years) - Remaining Years",Algorithms!$A:$A,0)),0)</f>
        <v>0</v>
      </c>
      <c r="CG553" s="266">
        <f t="shared" ca="1" si="353"/>
        <v>0</v>
      </c>
      <c r="CH553" s="266">
        <f t="shared" ca="1" si="354"/>
        <v>0</v>
      </c>
      <c r="CI553" s="266">
        <f t="shared" ca="1" si="355"/>
        <v>0</v>
      </c>
      <c r="CJ553" s="266">
        <f t="shared" ca="1" si="356"/>
        <v>0</v>
      </c>
      <c r="CK553" s="266">
        <f t="shared" si="357"/>
        <v>0</v>
      </c>
      <c r="CL553" s="266">
        <f t="shared" si="358"/>
        <v>0</v>
      </c>
      <c r="CM553" s="266">
        <f t="shared" ca="1" si="359"/>
        <v>0</v>
      </c>
      <c r="CN553" s="266">
        <f t="shared" ca="1" si="360"/>
        <v>0</v>
      </c>
      <c r="CO553" s="266">
        <f ca="1">N553*IFERROR(INDEX(Algorithms!$G:$G,MATCH($C553&amp;"_Therm Saved per Unit- MLA",Algorithms!$A:$A,0)),0)*X553</f>
        <v>0</v>
      </c>
      <c r="CP553" s="266">
        <f ca="1">O553*IFERROR(INDEX(Algorithms!$G:$G,MATCH($C553&amp;"_Therm Saved per Unit- MLA",Algorithms!$A:$A,0)),0)*Y553</f>
        <v>0</v>
      </c>
      <c r="CQ553" s="266">
        <f ca="1">P553*IFERROR(INDEX(Algorithms!$G:$G,MATCH($C553&amp;"_Therm Saved per Unit- MLA",Algorithms!$A:$A,0)),0)*Z553</f>
        <v>0</v>
      </c>
      <c r="CR553" s="266">
        <f ca="1">Q553*IFERROR(INDEX(Algorithms!$G:$G,MATCH($C553&amp;"_Therm Saved per Unit- MLA",Algorithms!$A:$A,0)),0)*AA553</f>
        <v>0</v>
      </c>
      <c r="CS553" s="266">
        <f ca="1">IFERROR(INDEX(Algorithms!$G:$G,MATCH($C553&amp;"_Lifetime (years)",Algorithms!$A:$A,0)),0)</f>
        <v>11</v>
      </c>
      <c r="CT553" s="266">
        <f ca="1">IFERROR(INDEX(Algorithms!$G:$G,MATCH($C553&amp;"_Lifetime (years) - Remaining Years",Algorithms!$A:$A,0)),0)</f>
        <v>0</v>
      </c>
      <c r="CU553" s="266">
        <f t="shared" ca="1" si="361"/>
        <v>0</v>
      </c>
      <c r="CV553" s="266">
        <f t="shared" ca="1" si="362"/>
        <v>0</v>
      </c>
      <c r="CW553" s="266">
        <f t="shared" ca="1" si="363"/>
        <v>0</v>
      </c>
      <c r="CX553" s="266">
        <f t="shared" ca="1" si="364"/>
        <v>0</v>
      </c>
    </row>
    <row r="554" spans="2:102" s="47" customFormat="1" ht="18" customHeight="1" x14ac:dyDescent="0.25">
      <c r="B554" t="str">
        <f t="shared" si="365"/>
        <v>NSG_Business_Public Sector_Rebates_Linkageless Controls_0_CI</v>
      </c>
      <c r="C554" s="47" t="str">
        <f t="shared" si="326"/>
        <v>Linkageless Controls_0_CI</v>
      </c>
      <c r="D554" s="270" t="s">
        <v>1787</v>
      </c>
      <c r="E554" s="270" t="s">
        <v>3</v>
      </c>
      <c r="F554" s="270" t="s">
        <v>1430</v>
      </c>
      <c r="G554" s="270" t="s">
        <v>1429</v>
      </c>
      <c r="H554" s="270" t="s">
        <v>1287</v>
      </c>
      <c r="I554" s="270">
        <v>0</v>
      </c>
      <c r="J554" s="270" t="s">
        <v>1159</v>
      </c>
      <c r="K554" s="263">
        <v>1</v>
      </c>
      <c r="L554" s="263" t="str">
        <f ca="1">IFERROR(INDEX(Algorithms!J:J,MATCH($C554&amp;"_Therm Saved per Unit",Algorithms!$A:$A,0)),"n/a")</f>
        <v>4.4.21</v>
      </c>
      <c r="M554" s="263" t="str">
        <f>IFERROR(INDEX('Measure Level Detail'!$N:$N,MATCH($B554,'Measure Level Detail'!$B:$B,0)),0)</f>
        <v>MBH</v>
      </c>
      <c r="N554" s="271">
        <f>IFERROR(INDEX('Measure Level Detail'!$P:$P,MATCH($B554&amp;"_"&amp;N$3,'Measure Level Detail'!$C:$C,0)),0)</f>
        <v>0</v>
      </c>
      <c r="O554" s="271">
        <f>IFERROR(INDEX('Measure Level Detail'!$P:$P,MATCH($B554&amp;"_"&amp;O$3,'Measure Level Detail'!$C:$C,0)),0)</f>
        <v>0</v>
      </c>
      <c r="P554" s="271">
        <f>IFERROR(INDEX('Measure Level Detail'!$P:$P,MATCH($B554&amp;"_"&amp;P$3,'Measure Level Detail'!$C:$C,0)),0)</f>
        <v>0</v>
      </c>
      <c r="Q554" s="271">
        <f>IFERROR(INDEX('Measure Level Detail'!$P:$P,MATCH($B554&amp;"_"&amp;Q$3,'Measure Level Detail'!$C:$C,0)),0)</f>
        <v>0</v>
      </c>
      <c r="R554" s="263" t="str">
        <f ca="1">IFERROR(INDEX(Algorithms!K:K,MATCH($C554&amp;"_Therm Saved per Unit",Algorithms!$A:$A,0)),"n/a")</f>
        <v>CI-HVC-LBC-V06-220101</v>
      </c>
      <c r="S554" s="262"/>
      <c r="T554" s="272">
        <v>0.56277999999999995</v>
      </c>
      <c r="U554" s="272">
        <v>0.56277999999999995</v>
      </c>
      <c r="V554" s="272">
        <v>0.56277999999999995</v>
      </c>
      <c r="W554" s="272">
        <v>0.56277999999999995</v>
      </c>
      <c r="X554" s="276">
        <v>0.92</v>
      </c>
      <c r="Y554" s="276">
        <v>0.92</v>
      </c>
      <c r="Z554" s="276">
        <v>0.92</v>
      </c>
      <c r="AA554" s="276">
        <v>0.92</v>
      </c>
      <c r="AB554" s="266">
        <f t="shared" si="327"/>
        <v>0</v>
      </c>
      <c r="AC554" s="266">
        <f t="shared" si="328"/>
        <v>0</v>
      </c>
      <c r="AD554" s="266">
        <f t="shared" si="329"/>
        <v>0</v>
      </c>
      <c r="AE554" s="266">
        <f t="shared" si="330"/>
        <v>0</v>
      </c>
      <c r="AF554" s="266">
        <f t="shared" si="331"/>
        <v>0</v>
      </c>
      <c r="AG554" s="274">
        <v>0.92</v>
      </c>
      <c r="AH554" s="274">
        <v>0.92</v>
      </c>
      <c r="AI554" s="274">
        <v>0.92</v>
      </c>
      <c r="AJ554" s="274">
        <v>0.92</v>
      </c>
      <c r="AK554" s="274">
        <f t="shared" si="332"/>
        <v>0.92</v>
      </c>
      <c r="AL554" s="274">
        <f t="shared" si="333"/>
        <v>0.92</v>
      </c>
      <c r="AM554" s="274">
        <f t="shared" si="334"/>
        <v>0.92</v>
      </c>
      <c r="AN554" s="274">
        <f t="shared" si="335"/>
        <v>0.92</v>
      </c>
      <c r="AO554" s="262"/>
      <c r="AP554" s="262"/>
      <c r="AQ554" s="267">
        <v>0.56277999999999995</v>
      </c>
      <c r="AR554" s="262"/>
      <c r="AS554" s="266">
        <f t="shared" si="336"/>
        <v>0</v>
      </c>
      <c r="AT554" s="264">
        <f t="shared" si="337"/>
        <v>0</v>
      </c>
      <c r="AU554" s="262"/>
      <c r="AV554" s="262"/>
      <c r="AW554" s="265">
        <v>0.56277999999999995</v>
      </c>
      <c r="AX554" s="164" t="s">
        <v>1469</v>
      </c>
      <c r="AY554" s="266">
        <v>0</v>
      </c>
      <c r="AZ554" s="266">
        <f t="shared" si="338"/>
        <v>0</v>
      </c>
      <c r="BA554" s="264">
        <f t="shared" si="339"/>
        <v>0</v>
      </c>
      <c r="BB554" s="262"/>
      <c r="BC554" s="262"/>
      <c r="BD554" s="265">
        <f ca="1">IFERROR(INDEX(Algorithms!$G:$G,MATCH($C554&amp;"_Therm Saved per Unit",Algorithms!$A:$A,0)),0)</f>
        <v>0.56277999999999995</v>
      </c>
      <c r="BE554" s="164" t="str">
        <f ca="1">IFERROR(INDEX('v12 Revisions'!$P$29:$P$186, MATCH('Measure-Level Adj Gas'!$L554, 'v12 Revisions'!$D$29:$D$186,0)),"")</f>
        <v/>
      </c>
      <c r="BF554" s="266">
        <f t="shared" ca="1" si="340"/>
        <v>0</v>
      </c>
      <c r="BG554" s="264">
        <f t="shared" ca="1" si="341"/>
        <v>0</v>
      </c>
      <c r="BH554" s="262"/>
      <c r="BI554" s="262"/>
      <c r="BJ554" s="265">
        <f ca="1">IFERROR(INDEX(Algorithms!$G:$G,MATCH($C554&amp;"_Therm Saved per Unit",Algorithms!$A:$A,0)),0)</f>
        <v>0.56277999999999995</v>
      </c>
      <c r="BK554" s="164"/>
      <c r="BL554" s="266">
        <f t="shared" ca="1" si="342"/>
        <v>0</v>
      </c>
      <c r="BM554" s="264">
        <f t="shared" ca="1" si="343"/>
        <v>0</v>
      </c>
      <c r="BN554" s="266">
        <f t="shared" si="344"/>
        <v>0</v>
      </c>
      <c r="BO554" s="266">
        <f t="shared" si="345"/>
        <v>0</v>
      </c>
      <c r="BP554" s="266">
        <f t="shared" ca="1" si="346"/>
        <v>0</v>
      </c>
      <c r="BQ554" s="266">
        <f t="shared" ca="1" si="347"/>
        <v>0</v>
      </c>
      <c r="BR554" s="268">
        <f t="shared" ca="1" si="348"/>
        <v>0</v>
      </c>
      <c r="BS554" s="262" t="s">
        <v>99</v>
      </c>
      <c r="BT554" s="277"/>
      <c r="BW554" s="266">
        <f t="shared" si="349"/>
        <v>0</v>
      </c>
      <c r="BX554" s="266">
        <f t="shared" si="350"/>
        <v>0</v>
      </c>
      <c r="BY554" s="266">
        <f t="shared" si="351"/>
        <v>0</v>
      </c>
      <c r="BZ554" s="266">
        <f t="shared" si="352"/>
        <v>0</v>
      </c>
      <c r="CA554" s="266">
        <f ca="1">N554*IFERROR(INDEX(Algorithms!$G:$G,MATCH($C554&amp;"_Therm Saved per Unit- MLA",Algorithms!$A:$A,0)),0)*X554</f>
        <v>0</v>
      </c>
      <c r="CB554" s="266">
        <f ca="1">O554*IFERROR(INDEX(Algorithms!$G:$G,MATCH($C554&amp;"_Therm Saved per Unit- MLA",Algorithms!$A:$A,0)),0)*Y554</f>
        <v>0</v>
      </c>
      <c r="CC554" s="266">
        <f ca="1">P554*IFERROR(INDEX(Algorithms!$G:$G,MATCH($C554&amp;"_Therm Saved per Unit- MLA",Algorithms!$A:$A,0)),0)*Z554</f>
        <v>0</v>
      </c>
      <c r="CD554" s="266">
        <f ca="1">Q554*IFERROR(INDEX(Algorithms!$G:$G,MATCH($C554&amp;"_Therm Saved per Unit- MLA",Algorithms!$A:$A,0)),0)*AA554</f>
        <v>0</v>
      </c>
      <c r="CE554" s="266">
        <f ca="1">IFERROR(INDEX(Algorithms!$G:$G,MATCH($C554&amp;"_Lifetime (years)",Algorithms!$A:$A,0)),0)</f>
        <v>20</v>
      </c>
      <c r="CF554" s="266">
        <f ca="1">IFERROR(INDEX(Algorithms!$G:$G,MATCH($C554&amp;"_Lifetime (years) - Remaining Years",Algorithms!$A:$A,0)),0)</f>
        <v>0</v>
      </c>
      <c r="CG554" s="266">
        <f t="shared" ca="1" si="353"/>
        <v>0</v>
      </c>
      <c r="CH554" s="266">
        <f t="shared" ca="1" si="354"/>
        <v>0</v>
      </c>
      <c r="CI554" s="266">
        <f t="shared" ca="1" si="355"/>
        <v>0</v>
      </c>
      <c r="CJ554" s="266">
        <f t="shared" ca="1" si="356"/>
        <v>0</v>
      </c>
      <c r="CK554" s="266">
        <f t="shared" si="357"/>
        <v>0</v>
      </c>
      <c r="CL554" s="266">
        <f t="shared" si="358"/>
        <v>0</v>
      </c>
      <c r="CM554" s="266">
        <f t="shared" ca="1" si="359"/>
        <v>0</v>
      </c>
      <c r="CN554" s="266">
        <f t="shared" ca="1" si="360"/>
        <v>0</v>
      </c>
      <c r="CO554" s="266">
        <f ca="1">N554*IFERROR(INDEX(Algorithms!$G:$G,MATCH($C554&amp;"_Therm Saved per Unit- MLA",Algorithms!$A:$A,0)),0)*X554</f>
        <v>0</v>
      </c>
      <c r="CP554" s="266">
        <f ca="1">O554*IFERROR(INDEX(Algorithms!$G:$G,MATCH($C554&amp;"_Therm Saved per Unit- MLA",Algorithms!$A:$A,0)),0)*Y554</f>
        <v>0</v>
      </c>
      <c r="CQ554" s="266">
        <f ca="1">P554*IFERROR(INDEX(Algorithms!$G:$G,MATCH($C554&amp;"_Therm Saved per Unit- MLA",Algorithms!$A:$A,0)),0)*Z554</f>
        <v>0</v>
      </c>
      <c r="CR554" s="266">
        <f ca="1">Q554*IFERROR(INDEX(Algorithms!$G:$G,MATCH($C554&amp;"_Therm Saved per Unit- MLA",Algorithms!$A:$A,0)),0)*AA554</f>
        <v>0</v>
      </c>
      <c r="CS554" s="266">
        <f ca="1">IFERROR(INDEX(Algorithms!$G:$G,MATCH($C554&amp;"_Lifetime (years)",Algorithms!$A:$A,0)),0)</f>
        <v>20</v>
      </c>
      <c r="CT554" s="266">
        <f ca="1">IFERROR(INDEX(Algorithms!$G:$G,MATCH($C554&amp;"_Lifetime (years) - Remaining Years",Algorithms!$A:$A,0)),0)</f>
        <v>0</v>
      </c>
      <c r="CU554" s="266">
        <f t="shared" ca="1" si="361"/>
        <v>0</v>
      </c>
      <c r="CV554" s="266">
        <f t="shared" ca="1" si="362"/>
        <v>0</v>
      </c>
      <c r="CW554" s="266">
        <f t="shared" ca="1" si="363"/>
        <v>0</v>
      </c>
      <c r="CX554" s="266">
        <f t="shared" ca="1" si="364"/>
        <v>0</v>
      </c>
    </row>
    <row r="555" spans="2:102" s="47" customFormat="1" ht="18" customHeight="1" x14ac:dyDescent="0.25">
      <c r="B555" t="str">
        <f t="shared" si="365"/>
        <v>NSG_Business_Public Sector_Rebates_Condensate Tank Insulation_0_MF/CI/SMB</v>
      </c>
      <c r="C555" s="47" t="str">
        <f t="shared" si="326"/>
        <v>Condensate Tank Insulation_0_MF/CI/SMB</v>
      </c>
      <c r="D555" s="270" t="s">
        <v>1787</v>
      </c>
      <c r="E555" s="270" t="s">
        <v>3</v>
      </c>
      <c r="F555" s="270" t="s">
        <v>1430</v>
      </c>
      <c r="G555" s="270" t="s">
        <v>1429</v>
      </c>
      <c r="H555" s="270" t="s">
        <v>806</v>
      </c>
      <c r="I555" s="270">
        <v>0</v>
      </c>
      <c r="J555" s="270" t="s">
        <v>662</v>
      </c>
      <c r="K555" s="263">
        <v>1</v>
      </c>
      <c r="L555" s="263" t="str">
        <f ca="1">IFERROR(INDEX(Algorithms!J:J,MATCH($C555&amp;"_Therm Saved per Unit",Algorithms!$A:$A,0)),"n/a")</f>
        <v>4.3.12</v>
      </c>
      <c r="M555" s="263" t="str">
        <f>IFERROR(INDEX('Measure Level Detail'!$N:$N,MATCH($B555,'Measure Level Detail'!$B:$B,0)),0)</f>
        <v>sqft</v>
      </c>
      <c r="N555" s="271">
        <f>IFERROR(INDEX('Measure Level Detail'!$P:$P,MATCH($B555&amp;"_"&amp;N$3,'Measure Level Detail'!$C:$C,0)),0)</f>
        <v>0</v>
      </c>
      <c r="O555" s="271">
        <f>IFERROR(INDEX('Measure Level Detail'!$P:$P,MATCH($B555&amp;"_"&amp;O$3,'Measure Level Detail'!$C:$C,0)),0)</f>
        <v>0</v>
      </c>
      <c r="P555" s="271">
        <f>IFERROR(INDEX('Measure Level Detail'!$P:$P,MATCH($B555&amp;"_"&amp;P$3,'Measure Level Detail'!$C:$C,0)),0)</f>
        <v>0</v>
      </c>
      <c r="Q555" s="271">
        <f>IFERROR(INDEX('Measure Level Detail'!$P:$P,MATCH($B555&amp;"_"&amp;Q$3,'Measure Level Detail'!$C:$C,0)),0)</f>
        <v>0</v>
      </c>
      <c r="R555" s="263" t="str">
        <f ca="1">IFERROR(INDEX(Algorithms!K:K,MATCH($C555&amp;"_Therm Saved per Unit",Algorithms!$A:$A,0)),"n/a")</f>
        <v>CI-HWE-TKIN-V03-240101</v>
      </c>
      <c r="S555" s="262"/>
      <c r="T555" s="272">
        <v>16.746197539658972</v>
      </c>
      <c r="U555" s="272">
        <v>16.746197539658972</v>
      </c>
      <c r="V555" s="272">
        <v>16.746197539658972</v>
      </c>
      <c r="W555" s="272">
        <v>16.746197539658972</v>
      </c>
      <c r="X555" s="276">
        <v>0.92</v>
      </c>
      <c r="Y555" s="276">
        <v>0.92</v>
      </c>
      <c r="Z555" s="276">
        <v>0.92</v>
      </c>
      <c r="AA555" s="276">
        <v>0.92</v>
      </c>
      <c r="AB555" s="266">
        <f t="shared" si="327"/>
        <v>0</v>
      </c>
      <c r="AC555" s="266">
        <f t="shared" si="328"/>
        <v>0</v>
      </c>
      <c r="AD555" s="266">
        <f t="shared" si="329"/>
        <v>0</v>
      </c>
      <c r="AE555" s="266">
        <f t="shared" si="330"/>
        <v>0</v>
      </c>
      <c r="AF555" s="266">
        <f t="shared" si="331"/>
        <v>0</v>
      </c>
      <c r="AG555" s="274">
        <v>0.92</v>
      </c>
      <c r="AH555" s="274">
        <v>0.92</v>
      </c>
      <c r="AI555" s="274">
        <v>0.92</v>
      </c>
      <c r="AJ555" s="274">
        <v>0.92</v>
      </c>
      <c r="AK555" s="274">
        <f t="shared" si="332"/>
        <v>0.92</v>
      </c>
      <c r="AL555" s="274">
        <f t="shared" si="333"/>
        <v>0.92</v>
      </c>
      <c r="AM555" s="274">
        <f t="shared" si="334"/>
        <v>0.92</v>
      </c>
      <c r="AN555" s="274">
        <f t="shared" si="335"/>
        <v>0.92</v>
      </c>
      <c r="AO555" s="262"/>
      <c r="AP555" s="262"/>
      <c r="AQ555" s="267">
        <v>16.746197539658972</v>
      </c>
      <c r="AR555" s="262"/>
      <c r="AS555" s="266">
        <f t="shared" si="336"/>
        <v>0</v>
      </c>
      <c r="AT555" s="264">
        <f t="shared" si="337"/>
        <v>0</v>
      </c>
      <c r="AU555" s="262"/>
      <c r="AV555" s="262"/>
      <c r="AW555" s="265">
        <v>16.746197539658972</v>
      </c>
      <c r="AX555" s="164" t="s">
        <v>1469</v>
      </c>
      <c r="AY555" s="266">
        <v>0</v>
      </c>
      <c r="AZ555" s="266">
        <f t="shared" si="338"/>
        <v>0</v>
      </c>
      <c r="BA555" s="264">
        <f t="shared" si="339"/>
        <v>0</v>
      </c>
      <c r="BB555" s="262"/>
      <c r="BC555" s="262"/>
      <c r="BD555" s="265">
        <f ca="1">IFERROR(INDEX(Algorithms!$G:$G,MATCH($C555&amp;"_Therm Saved per Unit",Algorithms!$A:$A,0)),0)</f>
        <v>16.746197539658972</v>
      </c>
      <c r="BE555" s="164" t="str">
        <f ca="1">IFERROR(INDEX('v12 Revisions'!$P$29:$P$186, MATCH('Measure-Level Adj Gas'!$L555, 'v12 Revisions'!$D$29:$D$186,0)),"")</f>
        <v/>
      </c>
      <c r="BF555" s="266">
        <f t="shared" ca="1" si="340"/>
        <v>0</v>
      </c>
      <c r="BG555" s="264">
        <f t="shared" ca="1" si="341"/>
        <v>0</v>
      </c>
      <c r="BH555" s="262"/>
      <c r="BI555" s="262"/>
      <c r="BJ555" s="265">
        <f ca="1">IFERROR(INDEX(Algorithms!$G:$G,MATCH($C555&amp;"_Therm Saved per Unit",Algorithms!$A:$A,0)),0)</f>
        <v>16.746197539658972</v>
      </c>
      <c r="BK555" s="164"/>
      <c r="BL555" s="266">
        <f t="shared" ca="1" si="342"/>
        <v>0</v>
      </c>
      <c r="BM555" s="264">
        <f t="shared" ca="1" si="343"/>
        <v>0</v>
      </c>
      <c r="BN555" s="266">
        <f t="shared" si="344"/>
        <v>0</v>
      </c>
      <c r="BO555" s="266">
        <f t="shared" si="345"/>
        <v>0</v>
      </c>
      <c r="BP555" s="266">
        <f t="shared" ca="1" si="346"/>
        <v>0</v>
      </c>
      <c r="BQ555" s="266">
        <f t="shared" ca="1" si="347"/>
        <v>0</v>
      </c>
      <c r="BR555" s="268">
        <f t="shared" ca="1" si="348"/>
        <v>0</v>
      </c>
      <c r="BS555" s="262" t="s">
        <v>99</v>
      </c>
      <c r="BT555" s="277"/>
      <c r="BW555" s="266">
        <f t="shared" si="349"/>
        <v>0</v>
      </c>
      <c r="BX555" s="266">
        <f t="shared" si="350"/>
        <v>0</v>
      </c>
      <c r="BY555" s="266">
        <f t="shared" si="351"/>
        <v>0</v>
      </c>
      <c r="BZ555" s="266">
        <f t="shared" si="352"/>
        <v>0</v>
      </c>
      <c r="CA555" s="266">
        <f ca="1">N555*IFERROR(INDEX(Algorithms!$G:$G,MATCH($C555&amp;"_Therm Saved per Unit- MLA",Algorithms!$A:$A,0)),0)*X555</f>
        <v>0</v>
      </c>
      <c r="CB555" s="266">
        <f ca="1">O555*IFERROR(INDEX(Algorithms!$G:$G,MATCH($C555&amp;"_Therm Saved per Unit- MLA",Algorithms!$A:$A,0)),0)*Y555</f>
        <v>0</v>
      </c>
      <c r="CC555" s="266">
        <f ca="1">P555*IFERROR(INDEX(Algorithms!$G:$G,MATCH($C555&amp;"_Therm Saved per Unit- MLA",Algorithms!$A:$A,0)),0)*Z555</f>
        <v>0</v>
      </c>
      <c r="CD555" s="266">
        <f ca="1">Q555*IFERROR(INDEX(Algorithms!$G:$G,MATCH($C555&amp;"_Therm Saved per Unit- MLA",Algorithms!$A:$A,0)),0)*AA555</f>
        <v>0</v>
      </c>
      <c r="CE555" s="266">
        <f ca="1">IFERROR(INDEX(Algorithms!$G:$G,MATCH($C555&amp;"_Lifetime (years)",Algorithms!$A:$A,0)),0)</f>
        <v>15</v>
      </c>
      <c r="CF555" s="266">
        <f ca="1">IFERROR(INDEX(Algorithms!$G:$G,MATCH($C555&amp;"_Lifetime (years) - Remaining Years",Algorithms!$A:$A,0)),0)</f>
        <v>0</v>
      </c>
      <c r="CG555" s="266">
        <f t="shared" ca="1" si="353"/>
        <v>0</v>
      </c>
      <c r="CH555" s="266">
        <f t="shared" ca="1" si="354"/>
        <v>0</v>
      </c>
      <c r="CI555" s="266">
        <f t="shared" ca="1" si="355"/>
        <v>0</v>
      </c>
      <c r="CJ555" s="266">
        <f t="shared" ca="1" si="356"/>
        <v>0</v>
      </c>
      <c r="CK555" s="266">
        <f t="shared" si="357"/>
        <v>0</v>
      </c>
      <c r="CL555" s="266">
        <f t="shared" si="358"/>
        <v>0</v>
      </c>
      <c r="CM555" s="266">
        <f t="shared" ca="1" si="359"/>
        <v>0</v>
      </c>
      <c r="CN555" s="266">
        <f t="shared" ca="1" si="360"/>
        <v>0</v>
      </c>
      <c r="CO555" s="266">
        <f ca="1">N555*IFERROR(INDEX(Algorithms!$G:$G,MATCH($C555&amp;"_Therm Saved per Unit- MLA",Algorithms!$A:$A,0)),0)*X555</f>
        <v>0</v>
      </c>
      <c r="CP555" s="266">
        <f ca="1">O555*IFERROR(INDEX(Algorithms!$G:$G,MATCH($C555&amp;"_Therm Saved per Unit- MLA",Algorithms!$A:$A,0)),0)*Y555</f>
        <v>0</v>
      </c>
      <c r="CQ555" s="266">
        <f ca="1">P555*IFERROR(INDEX(Algorithms!$G:$G,MATCH($C555&amp;"_Therm Saved per Unit- MLA",Algorithms!$A:$A,0)),0)*Z555</f>
        <v>0</v>
      </c>
      <c r="CR555" s="266">
        <f ca="1">Q555*IFERROR(INDEX(Algorithms!$G:$G,MATCH($C555&amp;"_Therm Saved per Unit- MLA",Algorithms!$A:$A,0)),0)*AA555</f>
        <v>0</v>
      </c>
      <c r="CS555" s="266">
        <f ca="1">IFERROR(INDEX(Algorithms!$G:$G,MATCH($C555&amp;"_Lifetime (years)",Algorithms!$A:$A,0)),0)</f>
        <v>15</v>
      </c>
      <c r="CT555" s="266">
        <f ca="1">IFERROR(INDEX(Algorithms!$G:$G,MATCH($C555&amp;"_Lifetime (years) - Remaining Years",Algorithms!$A:$A,0)),0)</f>
        <v>0</v>
      </c>
      <c r="CU555" s="266">
        <f t="shared" ca="1" si="361"/>
        <v>0</v>
      </c>
      <c r="CV555" s="266">
        <f t="shared" ca="1" si="362"/>
        <v>0</v>
      </c>
      <c r="CW555" s="266">
        <f t="shared" ca="1" si="363"/>
        <v>0</v>
      </c>
      <c r="CX555" s="266">
        <f t="shared" ca="1" si="364"/>
        <v>0</v>
      </c>
    </row>
    <row r="556" spans="2:102" s="47" customFormat="1" ht="18" customHeight="1" x14ac:dyDescent="0.25">
      <c r="B556" t="str">
        <f t="shared" si="365"/>
        <v>NSG_Business_Public Sector_Rebates_Water Heater_Storage 0.67 EF_CI</v>
      </c>
      <c r="C556" s="47" t="str">
        <f t="shared" si="326"/>
        <v>Water Heater_Storage 0.67 EF_CI</v>
      </c>
      <c r="D556" s="270" t="s">
        <v>1787</v>
      </c>
      <c r="E556" s="270" t="s">
        <v>3</v>
      </c>
      <c r="F556" s="270" t="s">
        <v>1430</v>
      </c>
      <c r="G556" s="270" t="s">
        <v>1429</v>
      </c>
      <c r="H556" s="270" t="s">
        <v>8</v>
      </c>
      <c r="I556" s="270" t="s">
        <v>879</v>
      </c>
      <c r="J556" s="270" t="s">
        <v>1159</v>
      </c>
      <c r="K556" s="263">
        <v>1</v>
      </c>
      <c r="L556" s="263" t="str">
        <f ca="1">IFERROR(INDEX(Algorithms!J:J,MATCH($C556&amp;"_Therm Saved per Unit",Algorithms!$A:$A,0)),"n/a")</f>
        <v>4.3.1</v>
      </c>
      <c r="M556" s="263" t="str">
        <f>IFERROR(INDEX('Measure Level Detail'!$N:$N,MATCH($B556,'Measure Level Detail'!$B:$B,0)),0)</f>
        <v>each</v>
      </c>
      <c r="N556" s="271">
        <f>IFERROR(INDEX('Measure Level Detail'!$P:$P,MATCH($B556&amp;"_"&amp;N$3,'Measure Level Detail'!$C:$C,0)),0)</f>
        <v>0</v>
      </c>
      <c r="O556" s="271">
        <f>IFERROR(INDEX('Measure Level Detail'!$P:$P,MATCH($B556&amp;"_"&amp;O$3,'Measure Level Detail'!$C:$C,0)),0)</f>
        <v>0</v>
      </c>
      <c r="P556" s="271">
        <f>IFERROR(INDEX('Measure Level Detail'!$P:$P,MATCH($B556&amp;"_"&amp;P$3,'Measure Level Detail'!$C:$C,0)),0)</f>
        <v>0</v>
      </c>
      <c r="Q556" s="271">
        <f>IFERROR(INDEX('Measure Level Detail'!$P:$P,MATCH($B556&amp;"_"&amp;Q$3,'Measure Level Detail'!$C:$C,0)),0)</f>
        <v>0</v>
      </c>
      <c r="R556" s="263" t="str">
        <f ca="1">IFERROR(INDEX(Algorithms!K:K,MATCH($C556&amp;"_Therm Saved per Unit",Algorithms!$A:$A,0)),"n/a")</f>
        <v>CI-HWE-STWH-V10-240101</v>
      </c>
      <c r="S556" s="262"/>
      <c r="T556" s="272">
        <v>56.252452620818083</v>
      </c>
      <c r="U556" s="272">
        <v>56.252452620818083</v>
      </c>
      <c r="V556" s="272">
        <v>56.252452620818083</v>
      </c>
      <c r="W556" s="272">
        <v>56.252452620818083</v>
      </c>
      <c r="X556" s="276">
        <v>0.92</v>
      </c>
      <c r="Y556" s="276">
        <v>0.92</v>
      </c>
      <c r="Z556" s="276">
        <v>0.92</v>
      </c>
      <c r="AA556" s="276">
        <v>0.92</v>
      </c>
      <c r="AB556" s="266">
        <f t="shared" si="327"/>
        <v>0</v>
      </c>
      <c r="AC556" s="266">
        <f t="shared" si="328"/>
        <v>0</v>
      </c>
      <c r="AD556" s="266">
        <f t="shared" si="329"/>
        <v>0</v>
      </c>
      <c r="AE556" s="266">
        <f t="shared" si="330"/>
        <v>0</v>
      </c>
      <c r="AF556" s="266">
        <f t="shared" si="331"/>
        <v>0</v>
      </c>
      <c r="AG556" s="274">
        <v>0.92</v>
      </c>
      <c r="AH556" s="274">
        <v>0.92</v>
      </c>
      <c r="AI556" s="274">
        <v>0.92</v>
      </c>
      <c r="AJ556" s="274">
        <v>0.92</v>
      </c>
      <c r="AK556" s="274">
        <f t="shared" si="332"/>
        <v>0.92</v>
      </c>
      <c r="AL556" s="274">
        <f t="shared" si="333"/>
        <v>0.92</v>
      </c>
      <c r="AM556" s="274">
        <f t="shared" si="334"/>
        <v>0.92</v>
      </c>
      <c r="AN556" s="274">
        <f t="shared" si="335"/>
        <v>0.92</v>
      </c>
      <c r="AO556" s="262"/>
      <c r="AP556" s="262"/>
      <c r="AQ556" s="267">
        <v>58.867003235588506</v>
      </c>
      <c r="AR556" s="262"/>
      <c r="AS556" s="266">
        <f t="shared" si="336"/>
        <v>0</v>
      </c>
      <c r="AT556" s="264">
        <f t="shared" si="337"/>
        <v>0</v>
      </c>
      <c r="AU556" s="262"/>
      <c r="AV556" s="262"/>
      <c r="AW556" s="265">
        <v>58.550513970881049</v>
      </c>
      <c r="AX556" s="164" t="s">
        <v>1469</v>
      </c>
      <c r="AY556" s="266">
        <v>0</v>
      </c>
      <c r="AZ556" s="266">
        <f t="shared" si="338"/>
        <v>0</v>
      </c>
      <c r="BA556" s="264">
        <f t="shared" si="339"/>
        <v>0</v>
      </c>
      <c r="BB556" s="262"/>
      <c r="BC556" s="262"/>
      <c r="BD556" s="265">
        <f ca="1">IFERROR(INDEX(Algorithms!$G:$G,MATCH($C556&amp;"_Therm Saved per Unit",Algorithms!$A:$A,0)),0)</f>
        <v>58.550513970881049</v>
      </c>
      <c r="BE556" s="164" t="str">
        <f ca="1">IFERROR(INDEX('v12 Revisions'!$P$29:$P$186, MATCH('Measure-Level Adj Gas'!$L556, 'v12 Revisions'!$D$29:$D$186,0)),"")</f>
        <v>n/a - language only.</v>
      </c>
      <c r="BF556" s="266">
        <f t="shared" ca="1" si="340"/>
        <v>0</v>
      </c>
      <c r="BG556" s="264">
        <f t="shared" ca="1" si="341"/>
        <v>0</v>
      </c>
      <c r="BH556" s="262"/>
      <c r="BI556" s="262"/>
      <c r="BJ556" s="265">
        <f ca="1">IFERROR(INDEX(Algorithms!$G:$G,MATCH($C556&amp;"_Therm Saved per Unit",Algorithms!$A:$A,0)),0)</f>
        <v>58.550513970881049</v>
      </c>
      <c r="BK556" s="164"/>
      <c r="BL556" s="266">
        <f t="shared" ca="1" si="342"/>
        <v>0</v>
      </c>
      <c r="BM556" s="264">
        <f t="shared" ca="1" si="343"/>
        <v>0</v>
      </c>
      <c r="BN556" s="266">
        <f t="shared" si="344"/>
        <v>0</v>
      </c>
      <c r="BO556" s="266">
        <f t="shared" si="345"/>
        <v>0</v>
      </c>
      <c r="BP556" s="266">
        <f t="shared" ca="1" si="346"/>
        <v>0</v>
      </c>
      <c r="BQ556" s="266">
        <f t="shared" ca="1" si="347"/>
        <v>0</v>
      </c>
      <c r="BR556" s="268">
        <f t="shared" ca="1" si="348"/>
        <v>0</v>
      </c>
      <c r="BS556" s="262" t="s">
        <v>99</v>
      </c>
      <c r="BT556" s="277"/>
      <c r="BW556" s="266">
        <f t="shared" si="349"/>
        <v>0</v>
      </c>
      <c r="BX556" s="266">
        <f t="shared" si="350"/>
        <v>0</v>
      </c>
      <c r="BY556" s="266">
        <f t="shared" si="351"/>
        <v>0</v>
      </c>
      <c r="BZ556" s="266">
        <f t="shared" si="352"/>
        <v>0</v>
      </c>
      <c r="CA556" s="266">
        <f ca="1">N556*IFERROR(INDEX(Algorithms!$G:$G,MATCH($C556&amp;"_Therm Saved per Unit- MLA",Algorithms!$A:$A,0)),0)*X556</f>
        <v>0</v>
      </c>
      <c r="CB556" s="266">
        <f ca="1">O556*IFERROR(INDEX(Algorithms!$G:$G,MATCH($C556&amp;"_Therm Saved per Unit- MLA",Algorithms!$A:$A,0)),0)*Y556</f>
        <v>0</v>
      </c>
      <c r="CC556" s="266">
        <f ca="1">P556*IFERROR(INDEX(Algorithms!$G:$G,MATCH($C556&amp;"_Therm Saved per Unit- MLA",Algorithms!$A:$A,0)),0)*Z556</f>
        <v>0</v>
      </c>
      <c r="CD556" s="266">
        <f ca="1">Q556*IFERROR(INDEX(Algorithms!$G:$G,MATCH($C556&amp;"_Therm Saved per Unit- MLA",Algorithms!$A:$A,0)),0)*AA556</f>
        <v>0</v>
      </c>
      <c r="CE556" s="266">
        <f ca="1">IFERROR(INDEX(Algorithms!$G:$G,MATCH($C556&amp;"_Lifetime (years)",Algorithms!$A:$A,0)),0)</f>
        <v>15</v>
      </c>
      <c r="CF556" s="266">
        <f ca="1">IFERROR(INDEX(Algorithms!$G:$G,MATCH($C556&amp;"_Lifetime (years) - Remaining Years",Algorithms!$A:$A,0)),0)</f>
        <v>0</v>
      </c>
      <c r="CG556" s="266">
        <f t="shared" ca="1" si="353"/>
        <v>0</v>
      </c>
      <c r="CH556" s="266">
        <f t="shared" ca="1" si="354"/>
        <v>0</v>
      </c>
      <c r="CI556" s="266">
        <f t="shared" ca="1" si="355"/>
        <v>0</v>
      </c>
      <c r="CJ556" s="266">
        <f t="shared" ca="1" si="356"/>
        <v>0</v>
      </c>
      <c r="CK556" s="266">
        <f t="shared" si="357"/>
        <v>0</v>
      </c>
      <c r="CL556" s="266">
        <f t="shared" si="358"/>
        <v>0</v>
      </c>
      <c r="CM556" s="266">
        <f t="shared" ca="1" si="359"/>
        <v>0</v>
      </c>
      <c r="CN556" s="266">
        <f t="shared" ca="1" si="360"/>
        <v>0</v>
      </c>
      <c r="CO556" s="266">
        <f ca="1">N556*IFERROR(INDEX(Algorithms!$G:$G,MATCH($C556&amp;"_Therm Saved per Unit- MLA",Algorithms!$A:$A,0)),0)*X556</f>
        <v>0</v>
      </c>
      <c r="CP556" s="266">
        <f ca="1">O556*IFERROR(INDEX(Algorithms!$G:$G,MATCH($C556&amp;"_Therm Saved per Unit- MLA",Algorithms!$A:$A,0)),0)*Y556</f>
        <v>0</v>
      </c>
      <c r="CQ556" s="266">
        <f ca="1">P556*IFERROR(INDEX(Algorithms!$G:$G,MATCH($C556&amp;"_Therm Saved per Unit- MLA",Algorithms!$A:$A,0)),0)*Z556</f>
        <v>0</v>
      </c>
      <c r="CR556" s="266">
        <f ca="1">Q556*IFERROR(INDEX(Algorithms!$G:$G,MATCH($C556&amp;"_Therm Saved per Unit- MLA",Algorithms!$A:$A,0)),0)*AA556</f>
        <v>0</v>
      </c>
      <c r="CS556" s="266">
        <f ca="1">IFERROR(INDEX(Algorithms!$G:$G,MATCH($C556&amp;"_Lifetime (years)",Algorithms!$A:$A,0)),0)</f>
        <v>15</v>
      </c>
      <c r="CT556" s="266">
        <f ca="1">IFERROR(INDEX(Algorithms!$G:$G,MATCH($C556&amp;"_Lifetime (years) - Remaining Years",Algorithms!$A:$A,0)),0)</f>
        <v>0</v>
      </c>
      <c r="CU556" s="266">
        <f t="shared" ca="1" si="361"/>
        <v>0</v>
      </c>
      <c r="CV556" s="266">
        <f t="shared" ca="1" si="362"/>
        <v>0</v>
      </c>
      <c r="CW556" s="266">
        <f t="shared" ca="1" si="363"/>
        <v>0</v>
      </c>
      <c r="CX556" s="266">
        <f t="shared" ca="1" si="364"/>
        <v>0</v>
      </c>
    </row>
    <row r="557" spans="2:102" s="47" customFormat="1" ht="18" customHeight="1" x14ac:dyDescent="0.25">
      <c r="B557" t="str">
        <f t="shared" si="365"/>
        <v>NSG_Business_Public Sector_Rebates_Infrared Heater_0_MF/CI</v>
      </c>
      <c r="C557" s="47" t="str">
        <f t="shared" si="326"/>
        <v>Infrared Heater_0_MF/CI</v>
      </c>
      <c r="D557" s="270" t="s">
        <v>1787</v>
      </c>
      <c r="E557" s="270" t="s">
        <v>3</v>
      </c>
      <c r="F557" s="270" t="s">
        <v>1430</v>
      </c>
      <c r="G557" s="270" t="s">
        <v>1429</v>
      </c>
      <c r="H557" s="270" t="s">
        <v>742</v>
      </c>
      <c r="I557" s="270">
        <v>0</v>
      </c>
      <c r="J557" s="270" t="s">
        <v>587</v>
      </c>
      <c r="K557" s="263">
        <v>1</v>
      </c>
      <c r="L557" s="263" t="str">
        <f ca="1">IFERROR(INDEX(Algorithms!J:J,MATCH($C557&amp;"_Therm Saved per Unit",Algorithms!$A:$A,0)),"n/a")</f>
        <v>4.4.12</v>
      </c>
      <c r="M557" s="263" t="str">
        <f>IFERROR(INDEX('Measure Level Detail'!$N:$N,MATCH($B557,'Measure Level Detail'!$B:$B,0)),0)</f>
        <v>MBH</v>
      </c>
      <c r="N557" s="271">
        <f>IFERROR(INDEX('Measure Level Detail'!$P:$P,MATCH($B557&amp;"_"&amp;N$3,'Measure Level Detail'!$C:$C,0)),0)</f>
        <v>0</v>
      </c>
      <c r="O557" s="271">
        <f>IFERROR(INDEX('Measure Level Detail'!$P:$P,MATCH($B557&amp;"_"&amp;O$3,'Measure Level Detail'!$C:$C,0)),0)</f>
        <v>0</v>
      </c>
      <c r="P557" s="271">
        <f>IFERROR(INDEX('Measure Level Detail'!$P:$P,MATCH($B557&amp;"_"&amp;P$3,'Measure Level Detail'!$C:$C,0)),0)</f>
        <v>0</v>
      </c>
      <c r="Q557" s="271">
        <f>IFERROR(INDEX('Measure Level Detail'!$P:$P,MATCH($B557&amp;"_"&amp;Q$3,'Measure Level Detail'!$C:$C,0)),0)</f>
        <v>0</v>
      </c>
      <c r="R557" s="263" t="str">
        <f ca="1">IFERROR(INDEX(Algorithms!K:K,MATCH($C557&amp;"_Therm Saved per Unit",Algorithms!$A:$A,0)),"n/a")</f>
        <v>CI-HVC-IRHT-V03-230101</v>
      </c>
      <c r="S557" s="262"/>
      <c r="T557" s="272">
        <v>2.9611764705882351</v>
      </c>
      <c r="U557" s="272">
        <v>2.9611764705882351</v>
      </c>
      <c r="V557" s="272">
        <v>2.9611764705882351</v>
      </c>
      <c r="W557" s="272">
        <v>2.9611764705882351</v>
      </c>
      <c r="X557" s="276">
        <v>0.92</v>
      </c>
      <c r="Y557" s="276">
        <v>0.92</v>
      </c>
      <c r="Z557" s="276">
        <v>0.92</v>
      </c>
      <c r="AA557" s="276">
        <v>0.92</v>
      </c>
      <c r="AB557" s="266">
        <f t="shared" si="327"/>
        <v>0</v>
      </c>
      <c r="AC557" s="266">
        <f t="shared" si="328"/>
        <v>0</v>
      </c>
      <c r="AD557" s="266">
        <f t="shared" si="329"/>
        <v>0</v>
      </c>
      <c r="AE557" s="266">
        <f t="shared" si="330"/>
        <v>0</v>
      </c>
      <c r="AF557" s="266">
        <f t="shared" si="331"/>
        <v>0</v>
      </c>
      <c r="AG557" s="274">
        <v>0.92</v>
      </c>
      <c r="AH557" s="274">
        <v>0.92</v>
      </c>
      <c r="AI557" s="274">
        <v>0.92</v>
      </c>
      <c r="AJ557" s="274">
        <v>0.92</v>
      </c>
      <c r="AK557" s="274">
        <f t="shared" si="332"/>
        <v>0.92</v>
      </c>
      <c r="AL557" s="274">
        <f t="shared" si="333"/>
        <v>0.92</v>
      </c>
      <c r="AM557" s="274">
        <f t="shared" si="334"/>
        <v>0.92</v>
      </c>
      <c r="AN557" s="274">
        <f t="shared" si="335"/>
        <v>0.92</v>
      </c>
      <c r="AO557" s="262"/>
      <c r="AP557" s="262"/>
      <c r="AQ557" s="267">
        <v>2.9611764705882351</v>
      </c>
      <c r="AR557" s="262"/>
      <c r="AS557" s="266">
        <f t="shared" si="336"/>
        <v>0</v>
      </c>
      <c r="AT557" s="264">
        <f t="shared" si="337"/>
        <v>0</v>
      </c>
      <c r="AU557" s="262"/>
      <c r="AV557" s="262"/>
      <c r="AW557" s="265">
        <v>2.9611764705882351</v>
      </c>
      <c r="AX557" s="164" t="s">
        <v>1469</v>
      </c>
      <c r="AY557" s="266">
        <v>0</v>
      </c>
      <c r="AZ557" s="266">
        <f t="shared" si="338"/>
        <v>0</v>
      </c>
      <c r="BA557" s="264">
        <f t="shared" si="339"/>
        <v>0</v>
      </c>
      <c r="BB557" s="262"/>
      <c r="BC557" s="262"/>
      <c r="BD557" s="265">
        <f ca="1">IFERROR(INDEX(Algorithms!$G:$G,MATCH($C557&amp;"_Therm Saved per Unit",Algorithms!$A:$A,0)),0)</f>
        <v>2.9611764705882351</v>
      </c>
      <c r="BE557" s="164" t="str">
        <f ca="1">IFERROR(INDEX('v12 Revisions'!$P$29:$P$186, MATCH('Measure-Level Adj Gas'!$L557, 'v12 Revisions'!$D$29:$D$186,0)),"")</f>
        <v/>
      </c>
      <c r="BF557" s="266">
        <f t="shared" ca="1" si="340"/>
        <v>0</v>
      </c>
      <c r="BG557" s="264">
        <f t="shared" ca="1" si="341"/>
        <v>0</v>
      </c>
      <c r="BH557" s="262"/>
      <c r="BI557" s="262"/>
      <c r="BJ557" s="265">
        <f ca="1">IFERROR(INDEX(Algorithms!$G:$G,MATCH($C557&amp;"_Therm Saved per Unit",Algorithms!$A:$A,0)),0)</f>
        <v>2.9611764705882351</v>
      </c>
      <c r="BK557" s="164"/>
      <c r="BL557" s="266">
        <f t="shared" ca="1" si="342"/>
        <v>0</v>
      </c>
      <c r="BM557" s="264">
        <f t="shared" ca="1" si="343"/>
        <v>0</v>
      </c>
      <c r="BN557" s="266">
        <f t="shared" si="344"/>
        <v>0</v>
      </c>
      <c r="BO557" s="266">
        <f t="shared" si="345"/>
        <v>0</v>
      </c>
      <c r="BP557" s="266">
        <f t="shared" ca="1" si="346"/>
        <v>0</v>
      </c>
      <c r="BQ557" s="266">
        <f t="shared" ca="1" si="347"/>
        <v>0</v>
      </c>
      <c r="BR557" s="268">
        <f t="shared" ca="1" si="348"/>
        <v>0</v>
      </c>
      <c r="BS557" s="262" t="s">
        <v>99</v>
      </c>
      <c r="BT557" s="277"/>
      <c r="BW557" s="266">
        <f t="shared" si="349"/>
        <v>0</v>
      </c>
      <c r="BX557" s="266">
        <f t="shared" si="350"/>
        <v>0</v>
      </c>
      <c r="BY557" s="266">
        <f t="shared" si="351"/>
        <v>0</v>
      </c>
      <c r="BZ557" s="266">
        <f t="shared" si="352"/>
        <v>0</v>
      </c>
      <c r="CA557" s="266">
        <f ca="1">N557*IFERROR(INDEX(Algorithms!$G:$G,MATCH($C557&amp;"_Therm Saved per Unit- MLA",Algorithms!$A:$A,0)),0)*X557</f>
        <v>0</v>
      </c>
      <c r="CB557" s="266">
        <f ca="1">O557*IFERROR(INDEX(Algorithms!$G:$G,MATCH($C557&amp;"_Therm Saved per Unit- MLA",Algorithms!$A:$A,0)),0)*Y557</f>
        <v>0</v>
      </c>
      <c r="CC557" s="266">
        <f ca="1">P557*IFERROR(INDEX(Algorithms!$G:$G,MATCH($C557&amp;"_Therm Saved per Unit- MLA",Algorithms!$A:$A,0)),0)*Z557</f>
        <v>0</v>
      </c>
      <c r="CD557" s="266">
        <f ca="1">Q557*IFERROR(INDEX(Algorithms!$G:$G,MATCH($C557&amp;"_Therm Saved per Unit- MLA",Algorithms!$A:$A,0)),0)*AA557</f>
        <v>0</v>
      </c>
      <c r="CE557" s="266">
        <f ca="1">IFERROR(INDEX(Algorithms!$G:$G,MATCH($C557&amp;"_Lifetime (years)",Algorithms!$A:$A,0)),0)</f>
        <v>15</v>
      </c>
      <c r="CF557" s="266">
        <f ca="1">IFERROR(INDEX(Algorithms!$G:$G,MATCH($C557&amp;"_Lifetime (years) - Remaining Years",Algorithms!$A:$A,0)),0)</f>
        <v>0</v>
      </c>
      <c r="CG557" s="266">
        <f t="shared" ca="1" si="353"/>
        <v>0</v>
      </c>
      <c r="CH557" s="266">
        <f t="shared" ca="1" si="354"/>
        <v>0</v>
      </c>
      <c r="CI557" s="266">
        <f t="shared" ca="1" si="355"/>
        <v>0</v>
      </c>
      <c r="CJ557" s="266">
        <f t="shared" ca="1" si="356"/>
        <v>0</v>
      </c>
      <c r="CK557" s="266">
        <f t="shared" si="357"/>
        <v>0</v>
      </c>
      <c r="CL557" s="266">
        <f t="shared" si="358"/>
        <v>0</v>
      </c>
      <c r="CM557" s="266">
        <f t="shared" ca="1" si="359"/>
        <v>0</v>
      </c>
      <c r="CN557" s="266">
        <f t="shared" ca="1" si="360"/>
        <v>0</v>
      </c>
      <c r="CO557" s="266">
        <f ca="1">N557*IFERROR(INDEX(Algorithms!$G:$G,MATCH($C557&amp;"_Therm Saved per Unit- MLA",Algorithms!$A:$A,0)),0)*X557</f>
        <v>0</v>
      </c>
      <c r="CP557" s="266">
        <f ca="1">O557*IFERROR(INDEX(Algorithms!$G:$G,MATCH($C557&amp;"_Therm Saved per Unit- MLA",Algorithms!$A:$A,0)),0)*Y557</f>
        <v>0</v>
      </c>
      <c r="CQ557" s="266">
        <f ca="1">P557*IFERROR(INDEX(Algorithms!$G:$G,MATCH($C557&amp;"_Therm Saved per Unit- MLA",Algorithms!$A:$A,0)),0)*Z557</f>
        <v>0</v>
      </c>
      <c r="CR557" s="266">
        <f ca="1">Q557*IFERROR(INDEX(Algorithms!$G:$G,MATCH($C557&amp;"_Therm Saved per Unit- MLA",Algorithms!$A:$A,0)),0)*AA557</f>
        <v>0</v>
      </c>
      <c r="CS557" s="266">
        <f ca="1">IFERROR(INDEX(Algorithms!$G:$G,MATCH($C557&amp;"_Lifetime (years)",Algorithms!$A:$A,0)),0)</f>
        <v>15</v>
      </c>
      <c r="CT557" s="266">
        <f ca="1">IFERROR(INDEX(Algorithms!$G:$G,MATCH($C557&amp;"_Lifetime (years) - Remaining Years",Algorithms!$A:$A,0)),0)</f>
        <v>0</v>
      </c>
      <c r="CU557" s="266">
        <f t="shared" ca="1" si="361"/>
        <v>0</v>
      </c>
      <c r="CV557" s="266">
        <f t="shared" ca="1" si="362"/>
        <v>0</v>
      </c>
      <c r="CW557" s="266">
        <f t="shared" ca="1" si="363"/>
        <v>0</v>
      </c>
      <c r="CX557" s="266">
        <f t="shared" ca="1" si="364"/>
        <v>0</v>
      </c>
    </row>
    <row r="558" spans="2:102" s="47" customFormat="1" ht="18" customHeight="1" x14ac:dyDescent="0.25">
      <c r="B558" t="str">
        <f t="shared" si="365"/>
        <v>NSG_Business_Public Sector_Rebates_Modulating Commercial Gas Clothes Dryer_Hotels &amp; Hospitals_CI</v>
      </c>
      <c r="C558" s="47" t="str">
        <f t="shared" si="326"/>
        <v>Modulating Commercial Gas Clothes Dryer_Hotels &amp; Hospitals_CI</v>
      </c>
      <c r="D558" s="270" t="s">
        <v>1787</v>
      </c>
      <c r="E558" s="270" t="s">
        <v>3</v>
      </c>
      <c r="F558" s="270" t="s">
        <v>1430</v>
      </c>
      <c r="G558" s="270" t="s">
        <v>1429</v>
      </c>
      <c r="H558" s="270" t="s">
        <v>12</v>
      </c>
      <c r="I558" s="270" t="s">
        <v>1253</v>
      </c>
      <c r="J558" s="270" t="s">
        <v>1159</v>
      </c>
      <c r="K558" s="263">
        <v>1</v>
      </c>
      <c r="L558" s="263" t="str">
        <f ca="1">IFERROR(INDEX(Algorithms!J:J,MATCH($C558&amp;"_Therm Saved per Unit",Algorithms!$A:$A,0)),"n/a")</f>
        <v>4.8.4</v>
      </c>
      <c r="M558" s="263" t="str">
        <f>IFERROR(INDEX('Measure Level Detail'!$N:$N,MATCH($B558,'Measure Level Detail'!$B:$B,0)),0)</f>
        <v>each</v>
      </c>
      <c r="N558" s="271">
        <f>IFERROR(INDEX('Measure Level Detail'!$P:$P,MATCH($B558&amp;"_"&amp;N$3,'Measure Level Detail'!$C:$C,0)),0)</f>
        <v>0</v>
      </c>
      <c r="O558" s="271">
        <f>IFERROR(INDEX('Measure Level Detail'!$P:$P,MATCH($B558&amp;"_"&amp;O$3,'Measure Level Detail'!$C:$C,0)),0)</f>
        <v>0</v>
      </c>
      <c r="P558" s="271">
        <f>IFERROR(INDEX('Measure Level Detail'!$P:$P,MATCH($B558&amp;"_"&amp;P$3,'Measure Level Detail'!$C:$C,0)),0)</f>
        <v>0</v>
      </c>
      <c r="Q558" s="271">
        <f>IFERROR(INDEX('Measure Level Detail'!$P:$P,MATCH($B558&amp;"_"&amp;Q$3,'Measure Level Detail'!$C:$C,0)),0)</f>
        <v>0</v>
      </c>
      <c r="R558" s="263" t="str">
        <f ca="1">IFERROR(INDEX(Algorithms!K:K,MATCH($C558&amp;"_Therm Saved per Unit",Algorithms!$A:$A,0)),"n/a")</f>
        <v>CI-MSC-MODD-V02-230101</v>
      </c>
      <c r="S558" s="262"/>
      <c r="T558" s="272">
        <v>649.26</v>
      </c>
      <c r="U558" s="272">
        <v>649.26</v>
      </c>
      <c r="V558" s="272">
        <v>649.26</v>
      </c>
      <c r="W558" s="272">
        <v>649.26</v>
      </c>
      <c r="X558" s="276">
        <v>0.92</v>
      </c>
      <c r="Y558" s="276">
        <v>0.92</v>
      </c>
      <c r="Z558" s="276">
        <v>0.92</v>
      </c>
      <c r="AA558" s="276">
        <v>0.92</v>
      </c>
      <c r="AB558" s="266">
        <f t="shared" si="327"/>
        <v>0</v>
      </c>
      <c r="AC558" s="266">
        <f t="shared" si="328"/>
        <v>0</v>
      </c>
      <c r="AD558" s="266">
        <f t="shared" si="329"/>
        <v>0</v>
      </c>
      <c r="AE558" s="266">
        <f t="shared" si="330"/>
        <v>0</v>
      </c>
      <c r="AF558" s="266">
        <f t="shared" si="331"/>
        <v>0</v>
      </c>
      <c r="AG558" s="274">
        <v>0.92</v>
      </c>
      <c r="AH558" s="274">
        <v>0.92</v>
      </c>
      <c r="AI558" s="274">
        <v>0.92</v>
      </c>
      <c r="AJ558" s="274">
        <v>0.92</v>
      </c>
      <c r="AK558" s="274">
        <f t="shared" si="332"/>
        <v>0.92</v>
      </c>
      <c r="AL558" s="274">
        <f t="shared" si="333"/>
        <v>0.92</v>
      </c>
      <c r="AM558" s="274">
        <f t="shared" si="334"/>
        <v>0.92</v>
      </c>
      <c r="AN558" s="274">
        <f t="shared" si="335"/>
        <v>0.92</v>
      </c>
      <c r="AO558" s="262"/>
      <c r="AP558" s="262"/>
      <c r="AQ558" s="267">
        <v>649.26</v>
      </c>
      <c r="AR558" s="262"/>
      <c r="AS558" s="266">
        <f t="shared" si="336"/>
        <v>0</v>
      </c>
      <c r="AT558" s="264">
        <f t="shared" si="337"/>
        <v>0</v>
      </c>
      <c r="AU558" s="262"/>
      <c r="AV558" s="262"/>
      <c r="AW558" s="265">
        <v>649.26</v>
      </c>
      <c r="AX558" s="164" t="s">
        <v>2396</v>
      </c>
      <c r="AY558" s="266">
        <v>0</v>
      </c>
      <c r="AZ558" s="266">
        <f t="shared" si="338"/>
        <v>0</v>
      </c>
      <c r="BA558" s="264">
        <f t="shared" si="339"/>
        <v>0</v>
      </c>
      <c r="BB558" s="262"/>
      <c r="BC558" s="262"/>
      <c r="BD558" s="265">
        <f ca="1">IFERROR(INDEX(Algorithms!$G:$G,MATCH($C558&amp;"_Therm Saved per Unit",Algorithms!$A:$A,0)),0)</f>
        <v>649.26</v>
      </c>
      <c r="BE558" s="164" t="str">
        <f ca="1">IFERROR(INDEX('v12 Revisions'!$P$29:$P$186, MATCH('Measure-Level Adj Gas'!$L558, 'v12 Revisions'!$D$29:$D$186,0)),"")</f>
        <v/>
      </c>
      <c r="BF558" s="266">
        <f t="shared" ca="1" si="340"/>
        <v>0</v>
      </c>
      <c r="BG558" s="264">
        <f t="shared" ca="1" si="341"/>
        <v>0</v>
      </c>
      <c r="BH558" s="262"/>
      <c r="BI558" s="262"/>
      <c r="BJ558" s="265">
        <f ca="1">IFERROR(INDEX(Algorithms!$G:$G,MATCH($C558&amp;"_Therm Saved per Unit",Algorithms!$A:$A,0)),0)</f>
        <v>649.26</v>
      </c>
      <c r="BK558" s="164"/>
      <c r="BL558" s="266">
        <f t="shared" ca="1" si="342"/>
        <v>0</v>
      </c>
      <c r="BM558" s="264">
        <f t="shared" ca="1" si="343"/>
        <v>0</v>
      </c>
      <c r="BN558" s="266">
        <f t="shared" si="344"/>
        <v>0</v>
      </c>
      <c r="BO558" s="266">
        <f t="shared" si="345"/>
        <v>0</v>
      </c>
      <c r="BP558" s="266">
        <f t="shared" ca="1" si="346"/>
        <v>0</v>
      </c>
      <c r="BQ558" s="266">
        <f t="shared" ca="1" si="347"/>
        <v>0</v>
      </c>
      <c r="BR558" s="268">
        <f t="shared" ca="1" si="348"/>
        <v>0</v>
      </c>
      <c r="BS558" s="262" t="s">
        <v>99</v>
      </c>
      <c r="BT558" s="277"/>
      <c r="BW558" s="266">
        <f t="shared" si="349"/>
        <v>0</v>
      </c>
      <c r="BX558" s="266">
        <f t="shared" si="350"/>
        <v>0</v>
      </c>
      <c r="BY558" s="266">
        <f t="shared" si="351"/>
        <v>0</v>
      </c>
      <c r="BZ558" s="266">
        <f t="shared" si="352"/>
        <v>0</v>
      </c>
      <c r="CA558" s="266">
        <f ca="1">N558*IFERROR(INDEX(Algorithms!$G:$G,MATCH($C558&amp;"_Therm Saved per Unit- MLA",Algorithms!$A:$A,0)),0)*X558</f>
        <v>0</v>
      </c>
      <c r="CB558" s="266">
        <f ca="1">O558*IFERROR(INDEX(Algorithms!$G:$G,MATCH($C558&amp;"_Therm Saved per Unit- MLA",Algorithms!$A:$A,0)),0)*Y558</f>
        <v>0</v>
      </c>
      <c r="CC558" s="266">
        <f ca="1">P558*IFERROR(INDEX(Algorithms!$G:$G,MATCH($C558&amp;"_Therm Saved per Unit- MLA",Algorithms!$A:$A,0)),0)*Z558</f>
        <v>0</v>
      </c>
      <c r="CD558" s="266">
        <f ca="1">Q558*IFERROR(INDEX(Algorithms!$G:$G,MATCH($C558&amp;"_Therm Saved per Unit- MLA",Algorithms!$A:$A,0)),0)*AA558</f>
        <v>0</v>
      </c>
      <c r="CE558" s="266">
        <f ca="1">IFERROR(INDEX(Algorithms!$G:$G,MATCH($C558&amp;"_Lifetime (years)",Algorithms!$A:$A,0)),0)</f>
        <v>10</v>
      </c>
      <c r="CF558" s="266">
        <f ca="1">IFERROR(INDEX(Algorithms!$G:$G,MATCH($C558&amp;"_Lifetime (years) - Remaining Years",Algorithms!$A:$A,0)),0)</f>
        <v>0</v>
      </c>
      <c r="CG558" s="266">
        <f t="shared" ca="1" si="353"/>
        <v>0</v>
      </c>
      <c r="CH558" s="266">
        <f t="shared" ca="1" si="354"/>
        <v>0</v>
      </c>
      <c r="CI558" s="266">
        <f t="shared" ca="1" si="355"/>
        <v>0</v>
      </c>
      <c r="CJ558" s="266">
        <f t="shared" ca="1" si="356"/>
        <v>0</v>
      </c>
      <c r="CK558" s="266">
        <f t="shared" si="357"/>
        <v>0</v>
      </c>
      <c r="CL558" s="266">
        <f t="shared" si="358"/>
        <v>0</v>
      </c>
      <c r="CM558" s="266">
        <f t="shared" ca="1" si="359"/>
        <v>0</v>
      </c>
      <c r="CN558" s="266">
        <f t="shared" ca="1" si="360"/>
        <v>0</v>
      </c>
      <c r="CO558" s="266">
        <f ca="1">N558*IFERROR(INDEX(Algorithms!$G:$G,MATCH($C558&amp;"_Therm Saved per Unit- MLA",Algorithms!$A:$A,0)),0)*X558</f>
        <v>0</v>
      </c>
      <c r="CP558" s="266">
        <f ca="1">O558*IFERROR(INDEX(Algorithms!$G:$G,MATCH($C558&amp;"_Therm Saved per Unit- MLA",Algorithms!$A:$A,0)),0)*Y558</f>
        <v>0</v>
      </c>
      <c r="CQ558" s="266">
        <f ca="1">P558*IFERROR(INDEX(Algorithms!$G:$G,MATCH($C558&amp;"_Therm Saved per Unit- MLA",Algorithms!$A:$A,0)),0)*Z558</f>
        <v>0</v>
      </c>
      <c r="CR558" s="266">
        <f ca="1">Q558*IFERROR(INDEX(Algorithms!$G:$G,MATCH($C558&amp;"_Therm Saved per Unit- MLA",Algorithms!$A:$A,0)),0)*AA558</f>
        <v>0</v>
      </c>
      <c r="CS558" s="266">
        <f ca="1">IFERROR(INDEX(Algorithms!$G:$G,MATCH($C558&amp;"_Lifetime (years)",Algorithms!$A:$A,0)),0)</f>
        <v>10</v>
      </c>
      <c r="CT558" s="266">
        <f ca="1">IFERROR(INDEX(Algorithms!$G:$G,MATCH($C558&amp;"_Lifetime (years) - Remaining Years",Algorithms!$A:$A,0)),0)</f>
        <v>0</v>
      </c>
      <c r="CU558" s="266">
        <f t="shared" ca="1" si="361"/>
        <v>0</v>
      </c>
      <c r="CV558" s="266">
        <f t="shared" ca="1" si="362"/>
        <v>0</v>
      </c>
      <c r="CW558" s="266">
        <f t="shared" ca="1" si="363"/>
        <v>0</v>
      </c>
      <c r="CX558" s="266">
        <f t="shared" ca="1" si="364"/>
        <v>0</v>
      </c>
    </row>
    <row r="559" spans="2:102" s="47" customFormat="1" ht="18" customHeight="1" x14ac:dyDescent="0.25">
      <c r="B559" t="str">
        <f t="shared" si="365"/>
        <v>NSG_Business_Public Sector_Rebates_Modulating Commercial Gas Clothes Dryer_Laundromat &amp; MF Dorms_MF/SMB</v>
      </c>
      <c r="C559" s="47" t="str">
        <f t="shared" si="326"/>
        <v>Modulating Commercial Gas Clothes Dryer_Laundromat &amp; MF Dorms_MF/SMB</v>
      </c>
      <c r="D559" s="270" t="s">
        <v>1787</v>
      </c>
      <c r="E559" s="270" t="s">
        <v>3</v>
      </c>
      <c r="F559" s="270" t="s">
        <v>1430</v>
      </c>
      <c r="G559" s="270" t="s">
        <v>1429</v>
      </c>
      <c r="H559" s="270" t="s">
        <v>12</v>
      </c>
      <c r="I559" s="270" t="s">
        <v>1255</v>
      </c>
      <c r="J559" s="270" t="s">
        <v>1256</v>
      </c>
      <c r="K559" s="263">
        <v>1</v>
      </c>
      <c r="L559" s="263" t="str">
        <f ca="1">IFERROR(INDEX(Algorithms!J:J,MATCH($C559&amp;"_Therm Saved per Unit",Algorithms!$A:$A,0)),"n/a")</f>
        <v>4.8.4</v>
      </c>
      <c r="M559" s="263" t="str">
        <f>IFERROR(INDEX('Measure Level Detail'!$N:$N,MATCH($B559,'Measure Level Detail'!$B:$B,0)),0)</f>
        <v>each</v>
      </c>
      <c r="N559" s="271">
        <f>IFERROR(INDEX('Measure Level Detail'!$P:$P,MATCH($B559&amp;"_"&amp;N$3,'Measure Level Detail'!$C:$C,0)),0)</f>
        <v>0</v>
      </c>
      <c r="O559" s="271">
        <f>IFERROR(INDEX('Measure Level Detail'!$P:$P,MATCH($B559&amp;"_"&amp;O$3,'Measure Level Detail'!$C:$C,0)),0)</f>
        <v>0</v>
      </c>
      <c r="P559" s="271">
        <f>IFERROR(INDEX('Measure Level Detail'!$P:$P,MATCH($B559&amp;"_"&amp;P$3,'Measure Level Detail'!$C:$C,0)),0)</f>
        <v>0</v>
      </c>
      <c r="Q559" s="271">
        <f>IFERROR(INDEX('Measure Level Detail'!$P:$P,MATCH($B559&amp;"_"&amp;Q$3,'Measure Level Detail'!$C:$C,0)),0)</f>
        <v>0</v>
      </c>
      <c r="R559" s="263" t="str">
        <f ca="1">IFERROR(INDEX(Algorithms!K:K,MATCH($C559&amp;"_Therm Saved per Unit",Algorithms!$A:$A,0)),"n/a")</f>
        <v>CI-MSC-MODD-V02-230101</v>
      </c>
      <c r="S559" s="262"/>
      <c r="T559" s="272">
        <v>230.13</v>
      </c>
      <c r="U559" s="272">
        <v>230.13</v>
      </c>
      <c r="V559" s="272">
        <v>230.13</v>
      </c>
      <c r="W559" s="272">
        <v>230.13</v>
      </c>
      <c r="X559" s="276">
        <v>0.92</v>
      </c>
      <c r="Y559" s="276">
        <v>0.92</v>
      </c>
      <c r="Z559" s="276">
        <v>0.92</v>
      </c>
      <c r="AA559" s="276">
        <v>0.92</v>
      </c>
      <c r="AB559" s="266">
        <f t="shared" si="327"/>
        <v>0</v>
      </c>
      <c r="AC559" s="266">
        <f t="shared" si="328"/>
        <v>0</v>
      </c>
      <c r="AD559" s="266">
        <f t="shared" si="329"/>
        <v>0</v>
      </c>
      <c r="AE559" s="266">
        <f t="shared" si="330"/>
        <v>0</v>
      </c>
      <c r="AF559" s="266">
        <f t="shared" si="331"/>
        <v>0</v>
      </c>
      <c r="AG559" s="274">
        <v>0.92</v>
      </c>
      <c r="AH559" s="274">
        <v>0.92</v>
      </c>
      <c r="AI559" s="274">
        <v>0.92</v>
      </c>
      <c r="AJ559" s="274">
        <v>0.92</v>
      </c>
      <c r="AK559" s="274">
        <f t="shared" si="332"/>
        <v>0.92</v>
      </c>
      <c r="AL559" s="274">
        <f t="shared" si="333"/>
        <v>0.92</v>
      </c>
      <c r="AM559" s="274">
        <f t="shared" si="334"/>
        <v>0.92</v>
      </c>
      <c r="AN559" s="274">
        <f t="shared" si="335"/>
        <v>0.92</v>
      </c>
      <c r="AO559" s="262"/>
      <c r="AP559" s="262"/>
      <c r="AQ559" s="267">
        <v>230.13</v>
      </c>
      <c r="AR559" s="262"/>
      <c r="AS559" s="266">
        <f t="shared" si="336"/>
        <v>0</v>
      </c>
      <c r="AT559" s="264">
        <f t="shared" si="337"/>
        <v>0</v>
      </c>
      <c r="AU559" s="262"/>
      <c r="AV559" s="262"/>
      <c r="AW559" s="265">
        <v>230.13</v>
      </c>
      <c r="AX559" s="164" t="s">
        <v>2396</v>
      </c>
      <c r="AY559" s="266">
        <v>0</v>
      </c>
      <c r="AZ559" s="266">
        <f t="shared" si="338"/>
        <v>0</v>
      </c>
      <c r="BA559" s="264">
        <f t="shared" si="339"/>
        <v>0</v>
      </c>
      <c r="BB559" s="262"/>
      <c r="BC559" s="262"/>
      <c r="BD559" s="265">
        <f ca="1">IFERROR(INDEX(Algorithms!$G:$G,MATCH($C559&amp;"_Therm Saved per Unit",Algorithms!$A:$A,0)),0)</f>
        <v>230.13</v>
      </c>
      <c r="BE559" s="164" t="str">
        <f ca="1">IFERROR(INDEX('v12 Revisions'!$P$29:$P$186, MATCH('Measure-Level Adj Gas'!$L559, 'v12 Revisions'!$D$29:$D$186,0)),"")</f>
        <v/>
      </c>
      <c r="BF559" s="266">
        <f t="shared" ca="1" si="340"/>
        <v>0</v>
      </c>
      <c r="BG559" s="264">
        <f t="shared" ca="1" si="341"/>
        <v>0</v>
      </c>
      <c r="BH559" s="262"/>
      <c r="BI559" s="262"/>
      <c r="BJ559" s="265">
        <f ca="1">IFERROR(INDEX(Algorithms!$G:$G,MATCH($C559&amp;"_Therm Saved per Unit",Algorithms!$A:$A,0)),0)</f>
        <v>230.13</v>
      </c>
      <c r="BK559" s="164"/>
      <c r="BL559" s="266">
        <f t="shared" ca="1" si="342"/>
        <v>0</v>
      </c>
      <c r="BM559" s="264">
        <f t="shared" ca="1" si="343"/>
        <v>0</v>
      </c>
      <c r="BN559" s="266">
        <f t="shared" si="344"/>
        <v>0</v>
      </c>
      <c r="BO559" s="266">
        <f t="shared" si="345"/>
        <v>0</v>
      </c>
      <c r="BP559" s="266">
        <f t="shared" ca="1" si="346"/>
        <v>0</v>
      </c>
      <c r="BQ559" s="266">
        <f t="shared" ca="1" si="347"/>
        <v>0</v>
      </c>
      <c r="BR559" s="268">
        <f t="shared" ca="1" si="348"/>
        <v>0</v>
      </c>
      <c r="BS559" s="262" t="s">
        <v>99</v>
      </c>
      <c r="BT559" s="277"/>
      <c r="BW559" s="266">
        <f t="shared" si="349"/>
        <v>0</v>
      </c>
      <c r="BX559" s="266">
        <f t="shared" si="350"/>
        <v>0</v>
      </c>
      <c r="BY559" s="266">
        <f t="shared" si="351"/>
        <v>0</v>
      </c>
      <c r="BZ559" s="266">
        <f t="shared" si="352"/>
        <v>0</v>
      </c>
      <c r="CA559" s="266">
        <f ca="1">N559*IFERROR(INDEX(Algorithms!$G:$G,MATCH($C559&amp;"_Therm Saved per Unit- MLA",Algorithms!$A:$A,0)),0)*X559</f>
        <v>0</v>
      </c>
      <c r="CB559" s="266">
        <f ca="1">O559*IFERROR(INDEX(Algorithms!$G:$G,MATCH($C559&amp;"_Therm Saved per Unit- MLA",Algorithms!$A:$A,0)),0)*Y559</f>
        <v>0</v>
      </c>
      <c r="CC559" s="266">
        <f ca="1">P559*IFERROR(INDEX(Algorithms!$G:$G,MATCH($C559&amp;"_Therm Saved per Unit- MLA",Algorithms!$A:$A,0)),0)*Z559</f>
        <v>0</v>
      </c>
      <c r="CD559" s="266">
        <f ca="1">Q559*IFERROR(INDEX(Algorithms!$G:$G,MATCH($C559&amp;"_Therm Saved per Unit- MLA",Algorithms!$A:$A,0)),0)*AA559</f>
        <v>0</v>
      </c>
      <c r="CE559" s="266">
        <f ca="1">IFERROR(INDEX(Algorithms!$G:$G,MATCH($C559&amp;"_Lifetime (years)",Algorithms!$A:$A,0)),0)</f>
        <v>10</v>
      </c>
      <c r="CF559" s="266">
        <f ca="1">IFERROR(INDEX(Algorithms!$G:$G,MATCH($C559&amp;"_Lifetime (years) - Remaining Years",Algorithms!$A:$A,0)),0)</f>
        <v>0</v>
      </c>
      <c r="CG559" s="266">
        <f t="shared" ca="1" si="353"/>
        <v>0</v>
      </c>
      <c r="CH559" s="266">
        <f t="shared" ca="1" si="354"/>
        <v>0</v>
      </c>
      <c r="CI559" s="266">
        <f t="shared" ca="1" si="355"/>
        <v>0</v>
      </c>
      <c r="CJ559" s="266">
        <f t="shared" ca="1" si="356"/>
        <v>0</v>
      </c>
      <c r="CK559" s="266">
        <f t="shared" si="357"/>
        <v>0</v>
      </c>
      <c r="CL559" s="266">
        <f t="shared" si="358"/>
        <v>0</v>
      </c>
      <c r="CM559" s="266">
        <f t="shared" ca="1" si="359"/>
        <v>0</v>
      </c>
      <c r="CN559" s="266">
        <f t="shared" ca="1" si="360"/>
        <v>0</v>
      </c>
      <c r="CO559" s="266">
        <f ca="1">N559*IFERROR(INDEX(Algorithms!$G:$G,MATCH($C559&amp;"_Therm Saved per Unit- MLA",Algorithms!$A:$A,0)),0)*X559</f>
        <v>0</v>
      </c>
      <c r="CP559" s="266">
        <f ca="1">O559*IFERROR(INDEX(Algorithms!$G:$G,MATCH($C559&amp;"_Therm Saved per Unit- MLA",Algorithms!$A:$A,0)),0)*Y559</f>
        <v>0</v>
      </c>
      <c r="CQ559" s="266">
        <f ca="1">P559*IFERROR(INDEX(Algorithms!$G:$G,MATCH($C559&amp;"_Therm Saved per Unit- MLA",Algorithms!$A:$A,0)),0)*Z559</f>
        <v>0</v>
      </c>
      <c r="CR559" s="266">
        <f ca="1">Q559*IFERROR(INDEX(Algorithms!$G:$G,MATCH($C559&amp;"_Therm Saved per Unit- MLA",Algorithms!$A:$A,0)),0)*AA559</f>
        <v>0</v>
      </c>
      <c r="CS559" s="266">
        <f ca="1">IFERROR(INDEX(Algorithms!$G:$G,MATCH($C559&amp;"_Lifetime (years)",Algorithms!$A:$A,0)),0)</f>
        <v>10</v>
      </c>
      <c r="CT559" s="266">
        <f ca="1">IFERROR(INDEX(Algorithms!$G:$G,MATCH($C559&amp;"_Lifetime (years) - Remaining Years",Algorithms!$A:$A,0)),0)</f>
        <v>0</v>
      </c>
      <c r="CU559" s="266">
        <f t="shared" ca="1" si="361"/>
        <v>0</v>
      </c>
      <c r="CV559" s="266">
        <f t="shared" ca="1" si="362"/>
        <v>0</v>
      </c>
      <c r="CW559" s="266">
        <f t="shared" ca="1" si="363"/>
        <v>0</v>
      </c>
      <c r="CX559" s="266">
        <f t="shared" ca="1" si="364"/>
        <v>0</v>
      </c>
    </row>
    <row r="560" spans="2:102" s="47" customFormat="1" ht="18" customHeight="1" x14ac:dyDescent="0.25">
      <c r="B560" t="str">
        <f t="shared" si="365"/>
        <v>NSG_Business_Public Sector_Rebates_Ozone Laundry_0_MF/CI</v>
      </c>
      <c r="C560" s="47" t="str">
        <f t="shared" si="326"/>
        <v>Ozone Laundry_0_MF/CI</v>
      </c>
      <c r="D560" s="270" t="s">
        <v>1787</v>
      </c>
      <c r="E560" s="270" t="s">
        <v>3</v>
      </c>
      <c r="F560" s="270" t="s">
        <v>1430</v>
      </c>
      <c r="G560" s="270" t="s">
        <v>1429</v>
      </c>
      <c r="H560" s="270" t="s">
        <v>16</v>
      </c>
      <c r="I560" s="270">
        <v>0</v>
      </c>
      <c r="J560" s="270" t="s">
        <v>587</v>
      </c>
      <c r="K560" s="263">
        <v>1</v>
      </c>
      <c r="L560" s="263" t="str">
        <f ca="1">IFERROR(INDEX(Algorithms!J:J,MATCH($C560&amp;"_Therm Saved per Unit",Algorithms!$A:$A,0)),"n/a")</f>
        <v>4.3.6</v>
      </c>
      <c r="M560" s="263" t="str">
        <f>IFERROR(INDEX('Measure Level Detail'!$N:$N,MATCH($B560,'Measure Level Detail'!$B:$B,0)),0)</f>
        <v>lb-capacity</v>
      </c>
      <c r="N560" s="271">
        <f>IFERROR(INDEX('Measure Level Detail'!$P:$P,MATCH($B560&amp;"_"&amp;N$3,'Measure Level Detail'!$C:$C,0)),0)</f>
        <v>0</v>
      </c>
      <c r="O560" s="271">
        <f>IFERROR(INDEX('Measure Level Detail'!$P:$P,MATCH($B560&amp;"_"&amp;O$3,'Measure Level Detail'!$C:$C,0)),0)</f>
        <v>0</v>
      </c>
      <c r="P560" s="271">
        <f>IFERROR(INDEX('Measure Level Detail'!$P:$P,MATCH($B560&amp;"_"&amp;P$3,'Measure Level Detail'!$C:$C,0)),0)</f>
        <v>0</v>
      </c>
      <c r="Q560" s="271">
        <f>IFERROR(INDEX('Measure Level Detail'!$P:$P,MATCH($B560&amp;"_"&amp;Q$3,'Measure Level Detail'!$C:$C,0)),0)</f>
        <v>0</v>
      </c>
      <c r="R560" s="263" t="str">
        <f ca="1">IFERROR(INDEX(Algorithms!K:K,MATCH($C560&amp;"_Therm Saved per Unit",Algorithms!$A:$A,0)),"n/a")</f>
        <v>CI-HWE-OZLD-V07-230101</v>
      </c>
      <c r="S560" s="262"/>
      <c r="T560" s="272">
        <v>30.722664192350027</v>
      </c>
      <c r="U560" s="272">
        <v>30.722664192350027</v>
      </c>
      <c r="V560" s="272">
        <v>30.722664192350027</v>
      </c>
      <c r="W560" s="272">
        <v>30.722664192350027</v>
      </c>
      <c r="X560" s="276">
        <v>0.92</v>
      </c>
      <c r="Y560" s="276">
        <v>0.92</v>
      </c>
      <c r="Z560" s="276">
        <v>0.92</v>
      </c>
      <c r="AA560" s="276">
        <v>0.92</v>
      </c>
      <c r="AB560" s="266">
        <f t="shared" si="327"/>
        <v>0</v>
      </c>
      <c r="AC560" s="266">
        <f t="shared" si="328"/>
        <v>0</v>
      </c>
      <c r="AD560" s="266">
        <f t="shared" si="329"/>
        <v>0</v>
      </c>
      <c r="AE560" s="266">
        <f t="shared" si="330"/>
        <v>0</v>
      </c>
      <c r="AF560" s="266">
        <f t="shared" si="331"/>
        <v>0</v>
      </c>
      <c r="AG560" s="274">
        <v>0.92</v>
      </c>
      <c r="AH560" s="274">
        <v>0.92</v>
      </c>
      <c r="AI560" s="274">
        <v>0.92</v>
      </c>
      <c r="AJ560" s="274">
        <v>0.92</v>
      </c>
      <c r="AK560" s="274">
        <f t="shared" si="332"/>
        <v>0.92</v>
      </c>
      <c r="AL560" s="274">
        <f t="shared" si="333"/>
        <v>0.92</v>
      </c>
      <c r="AM560" s="274">
        <f t="shared" si="334"/>
        <v>0.92</v>
      </c>
      <c r="AN560" s="274">
        <f t="shared" si="335"/>
        <v>0.92</v>
      </c>
      <c r="AO560" s="262"/>
      <c r="AP560" s="262"/>
      <c r="AQ560" s="267">
        <v>30.722664192350027</v>
      </c>
      <c r="AR560" s="262"/>
      <c r="AS560" s="266">
        <f t="shared" si="336"/>
        <v>0</v>
      </c>
      <c r="AT560" s="264">
        <f t="shared" si="337"/>
        <v>0</v>
      </c>
      <c r="AU560" s="262"/>
      <c r="AV560" s="262"/>
      <c r="AW560" s="265">
        <v>30.722664192350027</v>
      </c>
      <c r="AX560" s="164" t="s">
        <v>1469</v>
      </c>
      <c r="AY560" s="266">
        <v>0</v>
      </c>
      <c r="AZ560" s="266">
        <f t="shared" si="338"/>
        <v>0</v>
      </c>
      <c r="BA560" s="264">
        <f t="shared" si="339"/>
        <v>0</v>
      </c>
      <c r="BB560" s="262"/>
      <c r="BC560" s="262"/>
      <c r="BD560" s="265">
        <f ca="1">IFERROR(INDEX(Algorithms!$G:$G,MATCH($C560&amp;"_Therm Saved per Unit",Algorithms!$A:$A,0)),0)</f>
        <v>30.722664192350027</v>
      </c>
      <c r="BE560" s="164" t="str">
        <f ca="1">IFERROR(INDEX('v12 Revisions'!$P$29:$P$186, MATCH('Measure-Level Adj Gas'!$L560, 'v12 Revisions'!$D$29:$D$186,0)),"")</f>
        <v/>
      </c>
      <c r="BF560" s="266">
        <f t="shared" ca="1" si="340"/>
        <v>0</v>
      </c>
      <c r="BG560" s="264">
        <f t="shared" ca="1" si="341"/>
        <v>0</v>
      </c>
      <c r="BH560" s="262"/>
      <c r="BI560" s="262"/>
      <c r="BJ560" s="265">
        <f ca="1">IFERROR(INDEX(Algorithms!$G:$G,MATCH($C560&amp;"_Therm Saved per Unit",Algorithms!$A:$A,0)),0)</f>
        <v>30.722664192350027</v>
      </c>
      <c r="BK560" s="164"/>
      <c r="BL560" s="266">
        <f t="shared" ca="1" si="342"/>
        <v>0</v>
      </c>
      <c r="BM560" s="264">
        <f t="shared" ca="1" si="343"/>
        <v>0</v>
      </c>
      <c r="BN560" s="266">
        <f t="shared" si="344"/>
        <v>0</v>
      </c>
      <c r="BO560" s="266">
        <f t="shared" si="345"/>
        <v>0</v>
      </c>
      <c r="BP560" s="266">
        <f t="shared" ca="1" si="346"/>
        <v>0</v>
      </c>
      <c r="BQ560" s="266">
        <f t="shared" ca="1" si="347"/>
        <v>0</v>
      </c>
      <c r="BR560" s="268">
        <f t="shared" ca="1" si="348"/>
        <v>0</v>
      </c>
      <c r="BS560" s="262" t="s">
        <v>99</v>
      </c>
      <c r="BT560" s="277"/>
      <c r="BW560" s="266">
        <f t="shared" si="349"/>
        <v>0</v>
      </c>
      <c r="BX560" s="266">
        <f t="shared" si="350"/>
        <v>0</v>
      </c>
      <c r="BY560" s="266">
        <f t="shared" si="351"/>
        <v>0</v>
      </c>
      <c r="BZ560" s="266">
        <f t="shared" si="352"/>
        <v>0</v>
      </c>
      <c r="CA560" s="266">
        <f ca="1">N560*IFERROR(INDEX(Algorithms!$G:$G,MATCH($C560&amp;"_Therm Saved per Unit- MLA",Algorithms!$A:$A,0)),0)*X560</f>
        <v>0</v>
      </c>
      <c r="CB560" s="266">
        <f ca="1">O560*IFERROR(INDEX(Algorithms!$G:$G,MATCH($C560&amp;"_Therm Saved per Unit- MLA",Algorithms!$A:$A,0)),0)*Y560</f>
        <v>0</v>
      </c>
      <c r="CC560" s="266">
        <f ca="1">P560*IFERROR(INDEX(Algorithms!$G:$G,MATCH($C560&amp;"_Therm Saved per Unit- MLA",Algorithms!$A:$A,0)),0)*Z560</f>
        <v>0</v>
      </c>
      <c r="CD560" s="266">
        <f ca="1">Q560*IFERROR(INDEX(Algorithms!$G:$G,MATCH($C560&amp;"_Therm Saved per Unit- MLA",Algorithms!$A:$A,0)),0)*AA560</f>
        <v>0</v>
      </c>
      <c r="CE560" s="266">
        <f ca="1">IFERROR(INDEX(Algorithms!$G:$G,MATCH($C560&amp;"_Lifetime (years)",Algorithms!$A:$A,0)),0)</f>
        <v>10</v>
      </c>
      <c r="CF560" s="266">
        <f ca="1">IFERROR(INDEX(Algorithms!$G:$G,MATCH($C560&amp;"_Lifetime (years) - Remaining Years",Algorithms!$A:$A,0)),0)</f>
        <v>0</v>
      </c>
      <c r="CG560" s="266">
        <f t="shared" ca="1" si="353"/>
        <v>0</v>
      </c>
      <c r="CH560" s="266">
        <f t="shared" ca="1" si="354"/>
        <v>0</v>
      </c>
      <c r="CI560" s="266">
        <f t="shared" ca="1" si="355"/>
        <v>0</v>
      </c>
      <c r="CJ560" s="266">
        <f t="shared" ca="1" si="356"/>
        <v>0</v>
      </c>
      <c r="CK560" s="266">
        <f t="shared" si="357"/>
        <v>0</v>
      </c>
      <c r="CL560" s="266">
        <f t="shared" si="358"/>
        <v>0</v>
      </c>
      <c r="CM560" s="266">
        <f t="shared" ca="1" si="359"/>
        <v>0</v>
      </c>
      <c r="CN560" s="266">
        <f t="shared" ca="1" si="360"/>
        <v>0</v>
      </c>
      <c r="CO560" s="266">
        <f ca="1">N560*IFERROR(INDEX(Algorithms!$G:$G,MATCH($C560&amp;"_Therm Saved per Unit- MLA",Algorithms!$A:$A,0)),0)*X560</f>
        <v>0</v>
      </c>
      <c r="CP560" s="266">
        <f ca="1">O560*IFERROR(INDEX(Algorithms!$G:$G,MATCH($C560&amp;"_Therm Saved per Unit- MLA",Algorithms!$A:$A,0)),0)*Y560</f>
        <v>0</v>
      </c>
      <c r="CQ560" s="266">
        <f ca="1">P560*IFERROR(INDEX(Algorithms!$G:$G,MATCH($C560&amp;"_Therm Saved per Unit- MLA",Algorithms!$A:$A,0)),0)*Z560</f>
        <v>0</v>
      </c>
      <c r="CR560" s="266">
        <f ca="1">Q560*IFERROR(INDEX(Algorithms!$G:$G,MATCH($C560&amp;"_Therm Saved per Unit- MLA",Algorithms!$A:$A,0)),0)*AA560</f>
        <v>0</v>
      </c>
      <c r="CS560" s="266">
        <f ca="1">IFERROR(INDEX(Algorithms!$G:$G,MATCH($C560&amp;"_Lifetime (years)",Algorithms!$A:$A,0)),0)</f>
        <v>10</v>
      </c>
      <c r="CT560" s="266">
        <f ca="1">IFERROR(INDEX(Algorithms!$G:$G,MATCH($C560&amp;"_Lifetime (years) - Remaining Years",Algorithms!$A:$A,0)),0)</f>
        <v>0</v>
      </c>
      <c r="CU560" s="266">
        <f t="shared" ca="1" si="361"/>
        <v>0</v>
      </c>
      <c r="CV560" s="266">
        <f t="shared" ca="1" si="362"/>
        <v>0</v>
      </c>
      <c r="CW560" s="266">
        <f t="shared" ca="1" si="363"/>
        <v>0</v>
      </c>
      <c r="CX560" s="266">
        <f t="shared" ca="1" si="364"/>
        <v>0</v>
      </c>
    </row>
    <row r="561" spans="2:102" s="47" customFormat="1" ht="18" customHeight="1" x14ac:dyDescent="0.25">
      <c r="B561" t="str">
        <f t="shared" si="365"/>
        <v>NSG_Business_Public Sector_Rebates_Pipe Insulation_Steam - X-Large &gt;8"_CI</v>
      </c>
      <c r="C561" s="47" t="str">
        <f t="shared" si="326"/>
        <v>Pipe Insulation_Steam - X-Large &gt;8"_CI</v>
      </c>
      <c r="D561" s="270" t="s">
        <v>1787</v>
      </c>
      <c r="E561" s="270" t="s">
        <v>3</v>
      </c>
      <c r="F561" s="270" t="s">
        <v>1430</v>
      </c>
      <c r="G561" s="270" t="s">
        <v>1429</v>
      </c>
      <c r="H561" s="270" t="s">
        <v>404</v>
      </c>
      <c r="I561" s="270" t="s">
        <v>960</v>
      </c>
      <c r="J561" s="270" t="s">
        <v>1159</v>
      </c>
      <c r="K561" s="263">
        <v>1</v>
      </c>
      <c r="L561" s="263" t="str">
        <f ca="1">IFERROR(INDEX(Algorithms!J:J,MATCH($C561&amp;"_Therm Saved per Unit",Algorithms!$A:$A,0)),"n/a")</f>
        <v>"3 - Pipe Insulation" worksheet</v>
      </c>
      <c r="M561" s="263" t="str">
        <f>IFERROR(INDEX('Measure Level Detail'!$N:$N,MATCH($B561,'Measure Level Detail'!$B:$B,0)),0)</f>
        <v>ft</v>
      </c>
      <c r="N561" s="271">
        <f>IFERROR(INDEX('Measure Level Detail'!$P:$P,MATCH($B561&amp;"_"&amp;N$3,'Measure Level Detail'!$C:$C,0)),0)</f>
        <v>0</v>
      </c>
      <c r="O561" s="271">
        <f>IFERROR(INDEX('Measure Level Detail'!$P:$P,MATCH($B561&amp;"_"&amp;O$3,'Measure Level Detail'!$C:$C,0)),0)</f>
        <v>0</v>
      </c>
      <c r="P561" s="271">
        <f>IFERROR(INDEX('Measure Level Detail'!$P:$P,MATCH($B561&amp;"_"&amp;P$3,'Measure Level Detail'!$C:$C,0)),0)</f>
        <v>0</v>
      </c>
      <c r="Q561" s="271">
        <f>IFERROR(INDEX('Measure Level Detail'!$P:$P,MATCH($B561&amp;"_"&amp;Q$3,'Measure Level Detail'!$C:$C,0)),0)</f>
        <v>0</v>
      </c>
      <c r="R561" s="263">
        <f ca="1">IFERROR(INDEX(Algorithms!K:K,MATCH($C561&amp;"_Therm Saved per Unit",Algorithms!$A:$A,0)),"n/a")</f>
        <v>0</v>
      </c>
      <c r="S561" s="262"/>
      <c r="T561" s="272">
        <v>35.984797966765058</v>
      </c>
      <c r="U561" s="272">
        <v>35.984797966765058</v>
      </c>
      <c r="V561" s="272">
        <v>35.984797966765058</v>
      </c>
      <c r="W561" s="272">
        <v>35.984797966765058</v>
      </c>
      <c r="X561" s="276">
        <v>0.92</v>
      </c>
      <c r="Y561" s="276">
        <v>0.92</v>
      </c>
      <c r="Z561" s="276">
        <v>0.92</v>
      </c>
      <c r="AA561" s="276">
        <v>0.92</v>
      </c>
      <c r="AB561" s="266">
        <f t="shared" si="327"/>
        <v>0</v>
      </c>
      <c r="AC561" s="266">
        <f t="shared" si="328"/>
        <v>0</v>
      </c>
      <c r="AD561" s="266">
        <f t="shared" si="329"/>
        <v>0</v>
      </c>
      <c r="AE561" s="266">
        <f t="shared" si="330"/>
        <v>0</v>
      </c>
      <c r="AF561" s="266">
        <f t="shared" si="331"/>
        <v>0</v>
      </c>
      <c r="AG561" s="274">
        <v>0.92</v>
      </c>
      <c r="AH561" s="274">
        <v>0.92</v>
      </c>
      <c r="AI561" s="274">
        <v>0.92</v>
      </c>
      <c r="AJ561" s="274">
        <v>0.92</v>
      </c>
      <c r="AK561" s="274">
        <f t="shared" si="332"/>
        <v>0.92</v>
      </c>
      <c r="AL561" s="274">
        <f t="shared" si="333"/>
        <v>0.92</v>
      </c>
      <c r="AM561" s="274">
        <f t="shared" si="334"/>
        <v>0.92</v>
      </c>
      <c r="AN561" s="274">
        <f t="shared" si="335"/>
        <v>0.92</v>
      </c>
      <c r="AO561" s="262"/>
      <c r="AP561" s="262"/>
      <c r="AQ561" s="267">
        <v>35.984797966765058</v>
      </c>
      <c r="AR561" s="262"/>
      <c r="AS561" s="266">
        <f t="shared" si="336"/>
        <v>0</v>
      </c>
      <c r="AT561" s="264">
        <f t="shared" si="337"/>
        <v>0</v>
      </c>
      <c r="AU561" s="262"/>
      <c r="AV561" s="262"/>
      <c r="AW561" s="265">
        <v>35.984797966765058</v>
      </c>
      <c r="AX561" s="164" t="s">
        <v>1469</v>
      </c>
      <c r="AY561" s="266">
        <v>0</v>
      </c>
      <c r="AZ561" s="266">
        <f t="shared" si="338"/>
        <v>0</v>
      </c>
      <c r="BA561" s="264">
        <f t="shared" si="339"/>
        <v>0</v>
      </c>
      <c r="BB561" s="262"/>
      <c r="BC561" s="262"/>
      <c r="BD561" s="265">
        <f ca="1">IFERROR(INDEX(Algorithms!$G:$G,MATCH($C561&amp;"_Therm Saved per Unit",Algorithms!$A:$A,0)),0)</f>
        <v>35.984797966765058</v>
      </c>
      <c r="BE561" s="164" t="str">
        <f ca="1">IFERROR(INDEX('v12 Revisions'!$P$29:$P$186, MATCH('Measure-Level Adj Gas'!$L561, 'v12 Revisions'!$D$29:$D$186,0)),"")</f>
        <v/>
      </c>
      <c r="BF561" s="266">
        <f t="shared" ca="1" si="340"/>
        <v>0</v>
      </c>
      <c r="BG561" s="264">
        <f t="shared" ca="1" si="341"/>
        <v>0</v>
      </c>
      <c r="BH561" s="262"/>
      <c r="BI561" s="262"/>
      <c r="BJ561" s="265">
        <f ca="1">IFERROR(INDEX(Algorithms!$G:$G,MATCH($C561&amp;"_Therm Saved per Unit",Algorithms!$A:$A,0)),0)</f>
        <v>35.984797966765058</v>
      </c>
      <c r="BK561" s="164"/>
      <c r="BL561" s="266">
        <f t="shared" ca="1" si="342"/>
        <v>0</v>
      </c>
      <c r="BM561" s="264">
        <f t="shared" ca="1" si="343"/>
        <v>0</v>
      </c>
      <c r="BN561" s="266">
        <f t="shared" si="344"/>
        <v>0</v>
      </c>
      <c r="BO561" s="266">
        <f t="shared" si="345"/>
        <v>0</v>
      </c>
      <c r="BP561" s="266">
        <f t="shared" ca="1" si="346"/>
        <v>0</v>
      </c>
      <c r="BQ561" s="266">
        <f t="shared" ca="1" si="347"/>
        <v>0</v>
      </c>
      <c r="BR561" s="268">
        <f t="shared" ca="1" si="348"/>
        <v>0</v>
      </c>
      <c r="BS561" s="262" t="s">
        <v>99</v>
      </c>
      <c r="BT561" s="277"/>
      <c r="BW561" s="266">
        <f t="shared" si="349"/>
        <v>0</v>
      </c>
      <c r="BX561" s="266">
        <f t="shared" si="350"/>
        <v>0</v>
      </c>
      <c r="BY561" s="266">
        <f t="shared" si="351"/>
        <v>0</v>
      </c>
      <c r="BZ561" s="266">
        <f t="shared" si="352"/>
        <v>0</v>
      </c>
      <c r="CA561" s="266">
        <f ca="1">N561*IFERROR(INDEX(Algorithms!$G:$G,MATCH($C561&amp;"_Therm Saved per Unit- MLA",Algorithms!$A:$A,0)),0)*X561</f>
        <v>0</v>
      </c>
      <c r="CB561" s="266">
        <f ca="1">O561*IFERROR(INDEX(Algorithms!$G:$G,MATCH($C561&amp;"_Therm Saved per Unit- MLA",Algorithms!$A:$A,0)),0)*Y561</f>
        <v>0</v>
      </c>
      <c r="CC561" s="266">
        <f ca="1">P561*IFERROR(INDEX(Algorithms!$G:$G,MATCH($C561&amp;"_Therm Saved per Unit- MLA",Algorithms!$A:$A,0)),0)*Z561</f>
        <v>0</v>
      </c>
      <c r="CD561" s="266">
        <f ca="1">Q561*IFERROR(INDEX(Algorithms!$G:$G,MATCH($C561&amp;"_Therm Saved per Unit- MLA",Algorithms!$A:$A,0)),0)*AA561</f>
        <v>0</v>
      </c>
      <c r="CE561" s="266">
        <f ca="1">IFERROR(INDEX(Algorithms!$G:$G,MATCH($C561&amp;"_Lifetime (years)",Algorithms!$A:$A,0)),0)</f>
        <v>15</v>
      </c>
      <c r="CF561" s="266">
        <f ca="1">IFERROR(INDEX(Algorithms!$G:$G,MATCH($C561&amp;"_Lifetime (years) - Remaining Years",Algorithms!$A:$A,0)),0)</f>
        <v>0</v>
      </c>
      <c r="CG561" s="266">
        <f t="shared" ca="1" si="353"/>
        <v>0</v>
      </c>
      <c r="CH561" s="266">
        <f t="shared" ca="1" si="354"/>
        <v>0</v>
      </c>
      <c r="CI561" s="266">
        <f t="shared" ca="1" si="355"/>
        <v>0</v>
      </c>
      <c r="CJ561" s="266">
        <f t="shared" ca="1" si="356"/>
        <v>0</v>
      </c>
      <c r="CK561" s="266">
        <f t="shared" si="357"/>
        <v>0</v>
      </c>
      <c r="CL561" s="266">
        <f t="shared" si="358"/>
        <v>0</v>
      </c>
      <c r="CM561" s="266">
        <f t="shared" ca="1" si="359"/>
        <v>0</v>
      </c>
      <c r="CN561" s="266">
        <f t="shared" ca="1" si="360"/>
        <v>0</v>
      </c>
      <c r="CO561" s="266">
        <f ca="1">N561*IFERROR(INDEX(Algorithms!$G:$G,MATCH($C561&amp;"_Therm Saved per Unit- MLA",Algorithms!$A:$A,0)),0)*X561</f>
        <v>0</v>
      </c>
      <c r="CP561" s="266">
        <f ca="1">O561*IFERROR(INDEX(Algorithms!$G:$G,MATCH($C561&amp;"_Therm Saved per Unit- MLA",Algorithms!$A:$A,0)),0)*Y561</f>
        <v>0</v>
      </c>
      <c r="CQ561" s="266">
        <f ca="1">P561*IFERROR(INDEX(Algorithms!$G:$G,MATCH($C561&amp;"_Therm Saved per Unit- MLA",Algorithms!$A:$A,0)),0)*Z561</f>
        <v>0</v>
      </c>
      <c r="CR561" s="266">
        <f ca="1">Q561*IFERROR(INDEX(Algorithms!$G:$G,MATCH($C561&amp;"_Therm Saved per Unit- MLA",Algorithms!$A:$A,0)),0)*AA561</f>
        <v>0</v>
      </c>
      <c r="CS561" s="266">
        <f ca="1">IFERROR(INDEX(Algorithms!$G:$G,MATCH($C561&amp;"_Lifetime (years)",Algorithms!$A:$A,0)),0)</f>
        <v>15</v>
      </c>
      <c r="CT561" s="266">
        <f ca="1">IFERROR(INDEX(Algorithms!$G:$G,MATCH($C561&amp;"_Lifetime (years) - Remaining Years",Algorithms!$A:$A,0)),0)</f>
        <v>0</v>
      </c>
      <c r="CU561" s="266">
        <f t="shared" ca="1" si="361"/>
        <v>0</v>
      </c>
      <c r="CV561" s="266">
        <f t="shared" ca="1" si="362"/>
        <v>0</v>
      </c>
      <c r="CW561" s="266">
        <f t="shared" ca="1" si="363"/>
        <v>0</v>
      </c>
      <c r="CX561" s="266">
        <f t="shared" ca="1" si="364"/>
        <v>0</v>
      </c>
    </row>
    <row r="562" spans="2:102" s="47" customFormat="1" ht="18" customHeight="1" x14ac:dyDescent="0.25">
      <c r="B562" t="str">
        <f t="shared" si="365"/>
        <v>NSG_Business_Public Sector_Rebates_Pipe Insulation_Steam Med Fitting_CI</v>
      </c>
      <c r="C562" s="47" t="str">
        <f t="shared" si="326"/>
        <v>Pipe Insulation_Steam Med Fitting_CI</v>
      </c>
      <c r="D562" s="270" t="s">
        <v>1787</v>
      </c>
      <c r="E562" s="270" t="s">
        <v>3</v>
      </c>
      <c r="F562" s="270" t="s">
        <v>1430</v>
      </c>
      <c r="G562" s="270" t="s">
        <v>1429</v>
      </c>
      <c r="H562" s="270" t="s">
        <v>404</v>
      </c>
      <c r="I562" s="270" t="s">
        <v>962</v>
      </c>
      <c r="J562" s="270" t="s">
        <v>1159</v>
      </c>
      <c r="K562" s="263">
        <v>1</v>
      </c>
      <c r="L562" s="263" t="str">
        <f ca="1">IFERROR(INDEX(Algorithms!J:J,MATCH($C562&amp;"_Therm Saved per Unit",Algorithms!$A:$A,0)),"n/a")</f>
        <v>"3 - Pipe Insulation" worksheet</v>
      </c>
      <c r="M562" s="263" t="str">
        <f>IFERROR(INDEX('Measure Level Detail'!$N:$N,MATCH($B562,'Measure Level Detail'!$B:$B,0)),0)</f>
        <v>each</v>
      </c>
      <c r="N562" s="271">
        <f>IFERROR(INDEX('Measure Level Detail'!$P:$P,MATCH($B562&amp;"_"&amp;N$3,'Measure Level Detail'!$C:$C,0)),0)</f>
        <v>0</v>
      </c>
      <c r="O562" s="271">
        <f>IFERROR(INDEX('Measure Level Detail'!$P:$P,MATCH($B562&amp;"_"&amp;O$3,'Measure Level Detail'!$C:$C,0)),0)</f>
        <v>0</v>
      </c>
      <c r="P562" s="271">
        <f>IFERROR(INDEX('Measure Level Detail'!$P:$P,MATCH($B562&amp;"_"&amp;P$3,'Measure Level Detail'!$C:$C,0)),0)</f>
        <v>0</v>
      </c>
      <c r="Q562" s="271">
        <f>IFERROR(INDEX('Measure Level Detail'!$P:$P,MATCH($B562&amp;"_"&amp;Q$3,'Measure Level Detail'!$C:$C,0)),0)</f>
        <v>0</v>
      </c>
      <c r="R562" s="263">
        <f ca="1">IFERROR(INDEX(Algorithms!K:K,MATCH($C562&amp;"_Therm Saved per Unit",Algorithms!$A:$A,0)),"n/a")</f>
        <v>0</v>
      </c>
      <c r="S562" s="262"/>
      <c r="T562" s="272">
        <v>16.16754015857342</v>
      </c>
      <c r="U562" s="272">
        <v>16.16754015857342</v>
      </c>
      <c r="V562" s="272">
        <v>16.16754015857342</v>
      </c>
      <c r="W562" s="272">
        <v>16.16754015857342</v>
      </c>
      <c r="X562" s="276">
        <v>0.92</v>
      </c>
      <c r="Y562" s="276">
        <v>0.92</v>
      </c>
      <c r="Z562" s="276">
        <v>0.92</v>
      </c>
      <c r="AA562" s="276">
        <v>0.92</v>
      </c>
      <c r="AB562" s="266">
        <f t="shared" si="327"/>
        <v>0</v>
      </c>
      <c r="AC562" s="266">
        <f t="shared" si="328"/>
        <v>0</v>
      </c>
      <c r="AD562" s="266">
        <f t="shared" si="329"/>
        <v>0</v>
      </c>
      <c r="AE562" s="266">
        <f t="shared" si="330"/>
        <v>0</v>
      </c>
      <c r="AF562" s="266">
        <f t="shared" si="331"/>
        <v>0</v>
      </c>
      <c r="AG562" s="274">
        <v>0.92</v>
      </c>
      <c r="AH562" s="274">
        <v>0.92</v>
      </c>
      <c r="AI562" s="274">
        <v>0.92</v>
      </c>
      <c r="AJ562" s="274">
        <v>0.92</v>
      </c>
      <c r="AK562" s="274">
        <f t="shared" si="332"/>
        <v>0.92</v>
      </c>
      <c r="AL562" s="274">
        <f t="shared" si="333"/>
        <v>0.92</v>
      </c>
      <c r="AM562" s="274">
        <f t="shared" si="334"/>
        <v>0.92</v>
      </c>
      <c r="AN562" s="274">
        <f t="shared" si="335"/>
        <v>0.92</v>
      </c>
      <c r="AO562" s="262"/>
      <c r="AP562" s="262"/>
      <c r="AQ562" s="267">
        <v>16.16754015857342</v>
      </c>
      <c r="AR562" s="262"/>
      <c r="AS562" s="266">
        <f t="shared" si="336"/>
        <v>0</v>
      </c>
      <c r="AT562" s="264">
        <f t="shared" si="337"/>
        <v>0</v>
      </c>
      <c r="AU562" s="262"/>
      <c r="AV562" s="262"/>
      <c r="AW562" s="265">
        <v>16.16754015857342</v>
      </c>
      <c r="AX562" s="164" t="s">
        <v>1469</v>
      </c>
      <c r="AY562" s="266">
        <v>0</v>
      </c>
      <c r="AZ562" s="266">
        <f t="shared" si="338"/>
        <v>0</v>
      </c>
      <c r="BA562" s="264">
        <f t="shared" si="339"/>
        <v>0</v>
      </c>
      <c r="BB562" s="262"/>
      <c r="BC562" s="262"/>
      <c r="BD562" s="265">
        <f ca="1">IFERROR(INDEX(Algorithms!$G:$G,MATCH($C562&amp;"_Therm Saved per Unit",Algorithms!$A:$A,0)),0)</f>
        <v>16.16754015857342</v>
      </c>
      <c r="BE562" s="164" t="str">
        <f ca="1">IFERROR(INDEX('v12 Revisions'!$P$29:$P$186, MATCH('Measure-Level Adj Gas'!$L562, 'v12 Revisions'!$D$29:$D$186,0)),"")</f>
        <v/>
      </c>
      <c r="BF562" s="266">
        <f t="shared" ca="1" si="340"/>
        <v>0</v>
      </c>
      <c r="BG562" s="264">
        <f t="shared" ca="1" si="341"/>
        <v>0</v>
      </c>
      <c r="BH562" s="262"/>
      <c r="BI562" s="262"/>
      <c r="BJ562" s="265">
        <f ca="1">IFERROR(INDEX(Algorithms!$G:$G,MATCH($C562&amp;"_Therm Saved per Unit",Algorithms!$A:$A,0)),0)</f>
        <v>16.16754015857342</v>
      </c>
      <c r="BK562" s="164"/>
      <c r="BL562" s="266">
        <f t="shared" ca="1" si="342"/>
        <v>0</v>
      </c>
      <c r="BM562" s="264">
        <f t="shared" ca="1" si="343"/>
        <v>0</v>
      </c>
      <c r="BN562" s="266">
        <f t="shared" si="344"/>
        <v>0</v>
      </c>
      <c r="BO562" s="266">
        <f t="shared" si="345"/>
        <v>0</v>
      </c>
      <c r="BP562" s="266">
        <f t="shared" ca="1" si="346"/>
        <v>0</v>
      </c>
      <c r="BQ562" s="266">
        <f t="shared" ca="1" si="347"/>
        <v>0</v>
      </c>
      <c r="BR562" s="268">
        <f t="shared" ca="1" si="348"/>
        <v>0</v>
      </c>
      <c r="BS562" s="262" t="s">
        <v>99</v>
      </c>
      <c r="BT562" s="277"/>
      <c r="BW562" s="266">
        <f t="shared" si="349"/>
        <v>0</v>
      </c>
      <c r="BX562" s="266">
        <f t="shared" si="350"/>
        <v>0</v>
      </c>
      <c r="BY562" s="266">
        <f t="shared" si="351"/>
        <v>0</v>
      </c>
      <c r="BZ562" s="266">
        <f t="shared" si="352"/>
        <v>0</v>
      </c>
      <c r="CA562" s="266">
        <f ca="1">N562*IFERROR(INDEX(Algorithms!$G:$G,MATCH($C562&amp;"_Therm Saved per Unit- MLA",Algorithms!$A:$A,0)),0)*X562</f>
        <v>0</v>
      </c>
      <c r="CB562" s="266">
        <f ca="1">O562*IFERROR(INDEX(Algorithms!$G:$G,MATCH($C562&amp;"_Therm Saved per Unit- MLA",Algorithms!$A:$A,0)),0)*Y562</f>
        <v>0</v>
      </c>
      <c r="CC562" s="266">
        <f ca="1">P562*IFERROR(INDEX(Algorithms!$G:$G,MATCH($C562&amp;"_Therm Saved per Unit- MLA",Algorithms!$A:$A,0)),0)*Z562</f>
        <v>0</v>
      </c>
      <c r="CD562" s="266">
        <f ca="1">Q562*IFERROR(INDEX(Algorithms!$G:$G,MATCH($C562&amp;"_Therm Saved per Unit- MLA",Algorithms!$A:$A,0)),0)*AA562</f>
        <v>0</v>
      </c>
      <c r="CE562" s="266">
        <f ca="1">IFERROR(INDEX(Algorithms!$G:$G,MATCH($C562&amp;"_Lifetime (years)",Algorithms!$A:$A,0)),0)</f>
        <v>15</v>
      </c>
      <c r="CF562" s="266">
        <f ca="1">IFERROR(INDEX(Algorithms!$G:$G,MATCH($C562&amp;"_Lifetime (years) - Remaining Years",Algorithms!$A:$A,0)),0)</f>
        <v>0</v>
      </c>
      <c r="CG562" s="266">
        <f t="shared" ca="1" si="353"/>
        <v>0</v>
      </c>
      <c r="CH562" s="266">
        <f t="shared" ca="1" si="354"/>
        <v>0</v>
      </c>
      <c r="CI562" s="266">
        <f t="shared" ca="1" si="355"/>
        <v>0</v>
      </c>
      <c r="CJ562" s="266">
        <f t="shared" ca="1" si="356"/>
        <v>0</v>
      </c>
      <c r="CK562" s="266">
        <f t="shared" si="357"/>
        <v>0</v>
      </c>
      <c r="CL562" s="266">
        <f t="shared" si="358"/>
        <v>0</v>
      </c>
      <c r="CM562" s="266">
        <f t="shared" ca="1" si="359"/>
        <v>0</v>
      </c>
      <c r="CN562" s="266">
        <f t="shared" ca="1" si="360"/>
        <v>0</v>
      </c>
      <c r="CO562" s="266">
        <f ca="1">N562*IFERROR(INDEX(Algorithms!$G:$G,MATCH($C562&amp;"_Therm Saved per Unit- MLA",Algorithms!$A:$A,0)),0)*X562</f>
        <v>0</v>
      </c>
      <c r="CP562" s="266">
        <f ca="1">O562*IFERROR(INDEX(Algorithms!$G:$G,MATCH($C562&amp;"_Therm Saved per Unit- MLA",Algorithms!$A:$A,0)),0)*Y562</f>
        <v>0</v>
      </c>
      <c r="CQ562" s="266">
        <f ca="1">P562*IFERROR(INDEX(Algorithms!$G:$G,MATCH($C562&amp;"_Therm Saved per Unit- MLA",Algorithms!$A:$A,0)),0)*Z562</f>
        <v>0</v>
      </c>
      <c r="CR562" s="266">
        <f ca="1">Q562*IFERROR(INDEX(Algorithms!$G:$G,MATCH($C562&amp;"_Therm Saved per Unit- MLA",Algorithms!$A:$A,0)),0)*AA562</f>
        <v>0</v>
      </c>
      <c r="CS562" s="266">
        <f ca="1">IFERROR(INDEX(Algorithms!$G:$G,MATCH($C562&amp;"_Lifetime (years)",Algorithms!$A:$A,0)),0)</f>
        <v>15</v>
      </c>
      <c r="CT562" s="266">
        <f ca="1">IFERROR(INDEX(Algorithms!$G:$G,MATCH($C562&amp;"_Lifetime (years) - Remaining Years",Algorithms!$A:$A,0)),0)</f>
        <v>0</v>
      </c>
      <c r="CU562" s="266">
        <f t="shared" ca="1" si="361"/>
        <v>0</v>
      </c>
      <c r="CV562" s="266">
        <f t="shared" ca="1" si="362"/>
        <v>0</v>
      </c>
      <c r="CW562" s="266">
        <f t="shared" ca="1" si="363"/>
        <v>0</v>
      </c>
      <c r="CX562" s="266">
        <f t="shared" ca="1" si="364"/>
        <v>0</v>
      </c>
    </row>
    <row r="563" spans="2:102" s="47" customFormat="1" ht="18" customHeight="1" x14ac:dyDescent="0.25">
      <c r="B563" t="str">
        <f t="shared" si="365"/>
        <v>NSG_Business_Public Sector_Rebates_Pipe Insulation_Steam Large Fitting_CI</v>
      </c>
      <c r="C563" s="47" t="str">
        <f t="shared" si="326"/>
        <v>Pipe Insulation_Steam Large Fitting_CI</v>
      </c>
      <c r="D563" s="270" t="s">
        <v>1787</v>
      </c>
      <c r="E563" s="270" t="s">
        <v>3</v>
      </c>
      <c r="F563" s="270" t="s">
        <v>1430</v>
      </c>
      <c r="G563" s="270" t="s">
        <v>1429</v>
      </c>
      <c r="H563" s="270" t="s">
        <v>404</v>
      </c>
      <c r="I563" s="270" t="s">
        <v>963</v>
      </c>
      <c r="J563" s="270" t="s">
        <v>1159</v>
      </c>
      <c r="K563" s="263">
        <v>1</v>
      </c>
      <c r="L563" s="263" t="str">
        <f ca="1">IFERROR(INDEX(Algorithms!J:J,MATCH($C563&amp;"_Therm Saved per Unit",Algorithms!$A:$A,0)),"n/a")</f>
        <v>"3 - Pipe Insulation" worksheet</v>
      </c>
      <c r="M563" s="263" t="str">
        <f>IFERROR(INDEX('Measure Level Detail'!$N:$N,MATCH($B563,'Measure Level Detail'!$B:$B,0)),0)</f>
        <v>each</v>
      </c>
      <c r="N563" s="271">
        <f>IFERROR(INDEX('Measure Level Detail'!$P:$P,MATCH($B563&amp;"_"&amp;N$3,'Measure Level Detail'!$C:$C,0)),0)</f>
        <v>0</v>
      </c>
      <c r="O563" s="271">
        <f>IFERROR(INDEX('Measure Level Detail'!$P:$P,MATCH($B563&amp;"_"&amp;O$3,'Measure Level Detail'!$C:$C,0)),0)</f>
        <v>0</v>
      </c>
      <c r="P563" s="271">
        <f>IFERROR(INDEX('Measure Level Detail'!$P:$P,MATCH($B563&amp;"_"&amp;P$3,'Measure Level Detail'!$C:$C,0)),0)</f>
        <v>0</v>
      </c>
      <c r="Q563" s="271">
        <f>IFERROR(INDEX('Measure Level Detail'!$P:$P,MATCH($B563&amp;"_"&amp;Q$3,'Measure Level Detail'!$C:$C,0)),0)</f>
        <v>0</v>
      </c>
      <c r="R563" s="263">
        <f ca="1">IFERROR(INDEX(Algorithms!K:K,MATCH($C563&amp;"_Therm Saved per Unit",Algorithms!$A:$A,0)),"n/a")</f>
        <v>0</v>
      </c>
      <c r="S563" s="262"/>
      <c r="T563" s="272">
        <v>44.895855334511324</v>
      </c>
      <c r="U563" s="272">
        <v>44.895855334511324</v>
      </c>
      <c r="V563" s="272">
        <v>44.895855334511324</v>
      </c>
      <c r="W563" s="272">
        <v>44.895855334511324</v>
      </c>
      <c r="X563" s="276">
        <v>0.92</v>
      </c>
      <c r="Y563" s="276">
        <v>0.92</v>
      </c>
      <c r="Z563" s="276">
        <v>0.92</v>
      </c>
      <c r="AA563" s="276">
        <v>0.92</v>
      </c>
      <c r="AB563" s="266">
        <f t="shared" si="327"/>
        <v>0</v>
      </c>
      <c r="AC563" s="266">
        <f t="shared" si="328"/>
        <v>0</v>
      </c>
      <c r="AD563" s="266">
        <f t="shared" si="329"/>
        <v>0</v>
      </c>
      <c r="AE563" s="266">
        <f t="shared" si="330"/>
        <v>0</v>
      </c>
      <c r="AF563" s="266">
        <f t="shared" si="331"/>
        <v>0</v>
      </c>
      <c r="AG563" s="274">
        <v>0.92</v>
      </c>
      <c r="AH563" s="274">
        <v>0.92</v>
      </c>
      <c r="AI563" s="274">
        <v>0.92</v>
      </c>
      <c r="AJ563" s="274">
        <v>0.92</v>
      </c>
      <c r="AK563" s="274">
        <f t="shared" si="332"/>
        <v>0.92</v>
      </c>
      <c r="AL563" s="274">
        <f t="shared" si="333"/>
        <v>0.92</v>
      </c>
      <c r="AM563" s="274">
        <f t="shared" si="334"/>
        <v>0.92</v>
      </c>
      <c r="AN563" s="274">
        <f t="shared" si="335"/>
        <v>0.92</v>
      </c>
      <c r="AO563" s="262"/>
      <c r="AP563" s="262"/>
      <c r="AQ563" s="267">
        <v>44.895855334511324</v>
      </c>
      <c r="AR563" s="262"/>
      <c r="AS563" s="266">
        <f t="shared" si="336"/>
        <v>0</v>
      </c>
      <c r="AT563" s="264">
        <f t="shared" si="337"/>
        <v>0</v>
      </c>
      <c r="AU563" s="262"/>
      <c r="AV563" s="262"/>
      <c r="AW563" s="265">
        <v>44.895855334511324</v>
      </c>
      <c r="AX563" s="164" t="s">
        <v>1469</v>
      </c>
      <c r="AY563" s="266">
        <v>0</v>
      </c>
      <c r="AZ563" s="266">
        <f t="shared" si="338"/>
        <v>0</v>
      </c>
      <c r="BA563" s="264">
        <f t="shared" si="339"/>
        <v>0</v>
      </c>
      <c r="BB563" s="262"/>
      <c r="BC563" s="262"/>
      <c r="BD563" s="265">
        <f ca="1">IFERROR(INDEX(Algorithms!$G:$G,MATCH($C563&amp;"_Therm Saved per Unit",Algorithms!$A:$A,0)),0)</f>
        <v>44.895855334511324</v>
      </c>
      <c r="BE563" s="164" t="str">
        <f ca="1">IFERROR(INDEX('v12 Revisions'!$P$29:$P$186, MATCH('Measure-Level Adj Gas'!$L563, 'v12 Revisions'!$D$29:$D$186,0)),"")</f>
        <v/>
      </c>
      <c r="BF563" s="266">
        <f t="shared" ca="1" si="340"/>
        <v>0</v>
      </c>
      <c r="BG563" s="264">
        <f t="shared" ca="1" si="341"/>
        <v>0</v>
      </c>
      <c r="BH563" s="262"/>
      <c r="BI563" s="262"/>
      <c r="BJ563" s="265">
        <f ca="1">IFERROR(INDEX(Algorithms!$G:$G,MATCH($C563&amp;"_Therm Saved per Unit",Algorithms!$A:$A,0)),0)</f>
        <v>44.895855334511324</v>
      </c>
      <c r="BK563" s="164"/>
      <c r="BL563" s="266">
        <f t="shared" ca="1" si="342"/>
        <v>0</v>
      </c>
      <c r="BM563" s="264">
        <f t="shared" ca="1" si="343"/>
        <v>0</v>
      </c>
      <c r="BN563" s="266">
        <f t="shared" si="344"/>
        <v>0</v>
      </c>
      <c r="BO563" s="266">
        <f t="shared" si="345"/>
        <v>0</v>
      </c>
      <c r="BP563" s="266">
        <f t="shared" ca="1" si="346"/>
        <v>0</v>
      </c>
      <c r="BQ563" s="266">
        <f t="shared" ca="1" si="347"/>
        <v>0</v>
      </c>
      <c r="BR563" s="268">
        <f t="shared" ca="1" si="348"/>
        <v>0</v>
      </c>
      <c r="BS563" s="262" t="s">
        <v>99</v>
      </c>
      <c r="BT563" s="277"/>
      <c r="BW563" s="266">
        <f t="shared" si="349"/>
        <v>0</v>
      </c>
      <c r="BX563" s="266">
        <f t="shared" si="350"/>
        <v>0</v>
      </c>
      <c r="BY563" s="266">
        <f t="shared" si="351"/>
        <v>0</v>
      </c>
      <c r="BZ563" s="266">
        <f t="shared" si="352"/>
        <v>0</v>
      </c>
      <c r="CA563" s="266">
        <f ca="1">N563*IFERROR(INDEX(Algorithms!$G:$G,MATCH($C563&amp;"_Therm Saved per Unit- MLA",Algorithms!$A:$A,0)),0)*X563</f>
        <v>0</v>
      </c>
      <c r="CB563" s="266">
        <f ca="1">O563*IFERROR(INDEX(Algorithms!$G:$G,MATCH($C563&amp;"_Therm Saved per Unit- MLA",Algorithms!$A:$A,0)),0)*Y563</f>
        <v>0</v>
      </c>
      <c r="CC563" s="266">
        <f ca="1">P563*IFERROR(INDEX(Algorithms!$G:$G,MATCH($C563&amp;"_Therm Saved per Unit- MLA",Algorithms!$A:$A,0)),0)*Z563</f>
        <v>0</v>
      </c>
      <c r="CD563" s="266">
        <f ca="1">Q563*IFERROR(INDEX(Algorithms!$G:$G,MATCH($C563&amp;"_Therm Saved per Unit- MLA",Algorithms!$A:$A,0)),0)*AA563</f>
        <v>0</v>
      </c>
      <c r="CE563" s="266">
        <f ca="1">IFERROR(INDEX(Algorithms!$G:$G,MATCH($C563&amp;"_Lifetime (years)",Algorithms!$A:$A,0)),0)</f>
        <v>15</v>
      </c>
      <c r="CF563" s="266">
        <f ca="1">IFERROR(INDEX(Algorithms!$G:$G,MATCH($C563&amp;"_Lifetime (years) - Remaining Years",Algorithms!$A:$A,0)),0)</f>
        <v>0</v>
      </c>
      <c r="CG563" s="266">
        <f t="shared" ca="1" si="353"/>
        <v>0</v>
      </c>
      <c r="CH563" s="266">
        <f t="shared" ca="1" si="354"/>
        <v>0</v>
      </c>
      <c r="CI563" s="266">
        <f t="shared" ca="1" si="355"/>
        <v>0</v>
      </c>
      <c r="CJ563" s="266">
        <f t="shared" ca="1" si="356"/>
        <v>0</v>
      </c>
      <c r="CK563" s="266">
        <f t="shared" si="357"/>
        <v>0</v>
      </c>
      <c r="CL563" s="266">
        <f t="shared" si="358"/>
        <v>0</v>
      </c>
      <c r="CM563" s="266">
        <f t="shared" ca="1" si="359"/>
        <v>0</v>
      </c>
      <c r="CN563" s="266">
        <f t="shared" ca="1" si="360"/>
        <v>0</v>
      </c>
      <c r="CO563" s="266">
        <f ca="1">N563*IFERROR(INDEX(Algorithms!$G:$G,MATCH($C563&amp;"_Therm Saved per Unit- MLA",Algorithms!$A:$A,0)),0)*X563</f>
        <v>0</v>
      </c>
      <c r="CP563" s="266">
        <f ca="1">O563*IFERROR(INDEX(Algorithms!$G:$G,MATCH($C563&amp;"_Therm Saved per Unit- MLA",Algorithms!$A:$A,0)),0)*Y563</f>
        <v>0</v>
      </c>
      <c r="CQ563" s="266">
        <f ca="1">P563*IFERROR(INDEX(Algorithms!$G:$G,MATCH($C563&amp;"_Therm Saved per Unit- MLA",Algorithms!$A:$A,0)),0)*Z563</f>
        <v>0</v>
      </c>
      <c r="CR563" s="266">
        <f ca="1">Q563*IFERROR(INDEX(Algorithms!$G:$G,MATCH($C563&amp;"_Therm Saved per Unit- MLA",Algorithms!$A:$A,0)),0)*AA563</f>
        <v>0</v>
      </c>
      <c r="CS563" s="266">
        <f ca="1">IFERROR(INDEX(Algorithms!$G:$G,MATCH($C563&amp;"_Lifetime (years)",Algorithms!$A:$A,0)),0)</f>
        <v>15</v>
      </c>
      <c r="CT563" s="266">
        <f ca="1">IFERROR(INDEX(Algorithms!$G:$G,MATCH($C563&amp;"_Lifetime (years) - Remaining Years",Algorithms!$A:$A,0)),0)</f>
        <v>0</v>
      </c>
      <c r="CU563" s="266">
        <f t="shared" ca="1" si="361"/>
        <v>0</v>
      </c>
      <c r="CV563" s="266">
        <f t="shared" ca="1" si="362"/>
        <v>0</v>
      </c>
      <c r="CW563" s="266">
        <f t="shared" ca="1" si="363"/>
        <v>0</v>
      </c>
      <c r="CX563" s="266">
        <f t="shared" ca="1" si="364"/>
        <v>0</v>
      </c>
    </row>
    <row r="564" spans="2:102" s="47" customFormat="1" ht="18" customHeight="1" x14ac:dyDescent="0.25">
      <c r="B564" t="str">
        <f t="shared" si="365"/>
        <v>NSG_Business_Public Sector_Rebates_Pipe Insulation_Steam X-Large Fitting_CI</v>
      </c>
      <c r="C564" s="47" t="str">
        <f t="shared" si="326"/>
        <v>Pipe Insulation_Steam X-Large Fitting_CI</v>
      </c>
      <c r="D564" s="270" t="s">
        <v>1787</v>
      </c>
      <c r="E564" s="270" t="s">
        <v>3</v>
      </c>
      <c r="F564" s="270" t="s">
        <v>1430</v>
      </c>
      <c r="G564" s="270" t="s">
        <v>1429</v>
      </c>
      <c r="H564" s="270" t="s">
        <v>404</v>
      </c>
      <c r="I564" s="270" t="s">
        <v>964</v>
      </c>
      <c r="J564" s="270" t="s">
        <v>1159</v>
      </c>
      <c r="K564" s="263">
        <v>1</v>
      </c>
      <c r="L564" s="263" t="str">
        <f ca="1">IFERROR(INDEX(Algorithms!J:J,MATCH($C564&amp;"_Therm Saved per Unit",Algorithms!$A:$A,0)),"n/a")</f>
        <v>"3 - Pipe Insulation" worksheet</v>
      </c>
      <c r="M564" s="263" t="str">
        <f>IFERROR(INDEX('Measure Level Detail'!$N:$N,MATCH($B564,'Measure Level Detail'!$B:$B,0)),0)</f>
        <v>each</v>
      </c>
      <c r="N564" s="271">
        <f>IFERROR(INDEX('Measure Level Detail'!$P:$P,MATCH($B564&amp;"_"&amp;N$3,'Measure Level Detail'!$C:$C,0)),0)</f>
        <v>0</v>
      </c>
      <c r="O564" s="271">
        <f>IFERROR(INDEX('Measure Level Detail'!$P:$P,MATCH($B564&amp;"_"&amp;O$3,'Measure Level Detail'!$C:$C,0)),0)</f>
        <v>0</v>
      </c>
      <c r="P564" s="271">
        <f>IFERROR(INDEX('Measure Level Detail'!$P:$P,MATCH($B564&amp;"_"&amp;P$3,'Measure Level Detail'!$C:$C,0)),0)</f>
        <v>0</v>
      </c>
      <c r="Q564" s="271">
        <f>IFERROR(INDEX('Measure Level Detail'!$P:$P,MATCH($B564&amp;"_"&amp;Q$3,'Measure Level Detail'!$C:$C,0)),0)</f>
        <v>0</v>
      </c>
      <c r="R564" s="263">
        <f ca="1">IFERROR(INDEX(Algorithms!K:K,MATCH($C564&amp;"_Therm Saved per Unit",Algorithms!$A:$A,0)),"n/a")</f>
        <v>0</v>
      </c>
      <c r="S564" s="262"/>
      <c r="T564" s="272">
        <v>80.577400496643122</v>
      </c>
      <c r="U564" s="272">
        <v>80.577400496643122</v>
      </c>
      <c r="V564" s="272">
        <v>80.577400496643122</v>
      </c>
      <c r="W564" s="272">
        <v>80.577400496643122</v>
      </c>
      <c r="X564" s="276">
        <v>0.92</v>
      </c>
      <c r="Y564" s="276">
        <v>0.92</v>
      </c>
      <c r="Z564" s="276">
        <v>0.92</v>
      </c>
      <c r="AA564" s="276">
        <v>0.92</v>
      </c>
      <c r="AB564" s="266">
        <f t="shared" si="327"/>
        <v>0</v>
      </c>
      <c r="AC564" s="266">
        <f t="shared" si="328"/>
        <v>0</v>
      </c>
      <c r="AD564" s="266">
        <f t="shared" si="329"/>
        <v>0</v>
      </c>
      <c r="AE564" s="266">
        <f t="shared" si="330"/>
        <v>0</v>
      </c>
      <c r="AF564" s="266">
        <f t="shared" si="331"/>
        <v>0</v>
      </c>
      <c r="AG564" s="274">
        <v>0.92</v>
      </c>
      <c r="AH564" s="274">
        <v>0.92</v>
      </c>
      <c r="AI564" s="274">
        <v>0.92</v>
      </c>
      <c r="AJ564" s="274">
        <v>0.92</v>
      </c>
      <c r="AK564" s="274">
        <f t="shared" si="332"/>
        <v>0.92</v>
      </c>
      <c r="AL564" s="274">
        <f t="shared" si="333"/>
        <v>0.92</v>
      </c>
      <c r="AM564" s="274">
        <f t="shared" si="334"/>
        <v>0.92</v>
      </c>
      <c r="AN564" s="274">
        <f t="shared" si="335"/>
        <v>0.92</v>
      </c>
      <c r="AO564" s="262"/>
      <c r="AP564" s="262"/>
      <c r="AQ564" s="267">
        <v>80.577400496643122</v>
      </c>
      <c r="AR564" s="262"/>
      <c r="AS564" s="266">
        <f t="shared" si="336"/>
        <v>0</v>
      </c>
      <c r="AT564" s="264">
        <f t="shared" si="337"/>
        <v>0</v>
      </c>
      <c r="AU564" s="262"/>
      <c r="AV564" s="262"/>
      <c r="AW564" s="265">
        <v>80.577400496643122</v>
      </c>
      <c r="AX564" s="164" t="s">
        <v>1469</v>
      </c>
      <c r="AY564" s="266">
        <v>0</v>
      </c>
      <c r="AZ564" s="266">
        <f t="shared" si="338"/>
        <v>0</v>
      </c>
      <c r="BA564" s="264">
        <f t="shared" si="339"/>
        <v>0</v>
      </c>
      <c r="BB564" s="262"/>
      <c r="BC564" s="262"/>
      <c r="BD564" s="265">
        <f ca="1">IFERROR(INDEX(Algorithms!$G:$G,MATCH($C564&amp;"_Therm Saved per Unit",Algorithms!$A:$A,0)),0)</f>
        <v>80.577400496643122</v>
      </c>
      <c r="BE564" s="164" t="str">
        <f ca="1">IFERROR(INDEX('v12 Revisions'!$P$29:$P$186, MATCH('Measure-Level Adj Gas'!$L564, 'v12 Revisions'!$D$29:$D$186,0)),"")</f>
        <v/>
      </c>
      <c r="BF564" s="266">
        <f t="shared" ca="1" si="340"/>
        <v>0</v>
      </c>
      <c r="BG564" s="264">
        <f t="shared" ca="1" si="341"/>
        <v>0</v>
      </c>
      <c r="BH564" s="262"/>
      <c r="BI564" s="262"/>
      <c r="BJ564" s="265">
        <f ca="1">IFERROR(INDEX(Algorithms!$G:$G,MATCH($C564&amp;"_Therm Saved per Unit",Algorithms!$A:$A,0)),0)</f>
        <v>80.577400496643122</v>
      </c>
      <c r="BK564" s="164"/>
      <c r="BL564" s="266">
        <f t="shared" ca="1" si="342"/>
        <v>0</v>
      </c>
      <c r="BM564" s="264">
        <f t="shared" ca="1" si="343"/>
        <v>0</v>
      </c>
      <c r="BN564" s="266">
        <f t="shared" si="344"/>
        <v>0</v>
      </c>
      <c r="BO564" s="266">
        <f t="shared" si="345"/>
        <v>0</v>
      </c>
      <c r="BP564" s="266">
        <f t="shared" ca="1" si="346"/>
        <v>0</v>
      </c>
      <c r="BQ564" s="266">
        <f t="shared" ca="1" si="347"/>
        <v>0</v>
      </c>
      <c r="BR564" s="268">
        <f t="shared" ca="1" si="348"/>
        <v>0</v>
      </c>
      <c r="BS564" s="262" t="s">
        <v>99</v>
      </c>
      <c r="BT564" s="277"/>
      <c r="BW564" s="266">
        <f t="shared" si="349"/>
        <v>0</v>
      </c>
      <c r="BX564" s="266">
        <f t="shared" si="350"/>
        <v>0</v>
      </c>
      <c r="BY564" s="266">
        <f t="shared" si="351"/>
        <v>0</v>
      </c>
      <c r="BZ564" s="266">
        <f t="shared" si="352"/>
        <v>0</v>
      </c>
      <c r="CA564" s="266">
        <f ca="1">N564*IFERROR(INDEX(Algorithms!$G:$G,MATCH($C564&amp;"_Therm Saved per Unit- MLA",Algorithms!$A:$A,0)),0)*X564</f>
        <v>0</v>
      </c>
      <c r="CB564" s="266">
        <f ca="1">O564*IFERROR(INDEX(Algorithms!$G:$G,MATCH($C564&amp;"_Therm Saved per Unit- MLA",Algorithms!$A:$A,0)),0)*Y564</f>
        <v>0</v>
      </c>
      <c r="CC564" s="266">
        <f ca="1">P564*IFERROR(INDEX(Algorithms!$G:$G,MATCH($C564&amp;"_Therm Saved per Unit- MLA",Algorithms!$A:$A,0)),0)*Z564</f>
        <v>0</v>
      </c>
      <c r="CD564" s="266">
        <f ca="1">Q564*IFERROR(INDEX(Algorithms!$G:$G,MATCH($C564&amp;"_Therm Saved per Unit- MLA",Algorithms!$A:$A,0)),0)*AA564</f>
        <v>0</v>
      </c>
      <c r="CE564" s="266">
        <f ca="1">IFERROR(INDEX(Algorithms!$G:$G,MATCH($C564&amp;"_Lifetime (years)",Algorithms!$A:$A,0)),0)</f>
        <v>15</v>
      </c>
      <c r="CF564" s="266">
        <f ca="1">IFERROR(INDEX(Algorithms!$G:$G,MATCH($C564&amp;"_Lifetime (years) - Remaining Years",Algorithms!$A:$A,0)),0)</f>
        <v>0</v>
      </c>
      <c r="CG564" s="266">
        <f t="shared" ca="1" si="353"/>
        <v>0</v>
      </c>
      <c r="CH564" s="266">
        <f t="shared" ca="1" si="354"/>
        <v>0</v>
      </c>
      <c r="CI564" s="266">
        <f t="shared" ca="1" si="355"/>
        <v>0</v>
      </c>
      <c r="CJ564" s="266">
        <f t="shared" ca="1" si="356"/>
        <v>0</v>
      </c>
      <c r="CK564" s="266">
        <f t="shared" si="357"/>
        <v>0</v>
      </c>
      <c r="CL564" s="266">
        <f t="shared" si="358"/>
        <v>0</v>
      </c>
      <c r="CM564" s="266">
        <f t="shared" ca="1" si="359"/>
        <v>0</v>
      </c>
      <c r="CN564" s="266">
        <f t="shared" ca="1" si="360"/>
        <v>0</v>
      </c>
      <c r="CO564" s="266">
        <f ca="1">N564*IFERROR(INDEX(Algorithms!$G:$G,MATCH($C564&amp;"_Therm Saved per Unit- MLA",Algorithms!$A:$A,0)),0)*X564</f>
        <v>0</v>
      </c>
      <c r="CP564" s="266">
        <f ca="1">O564*IFERROR(INDEX(Algorithms!$G:$G,MATCH($C564&amp;"_Therm Saved per Unit- MLA",Algorithms!$A:$A,0)),0)*Y564</f>
        <v>0</v>
      </c>
      <c r="CQ564" s="266">
        <f ca="1">P564*IFERROR(INDEX(Algorithms!$G:$G,MATCH($C564&amp;"_Therm Saved per Unit- MLA",Algorithms!$A:$A,0)),0)*Z564</f>
        <v>0</v>
      </c>
      <c r="CR564" s="266">
        <f ca="1">Q564*IFERROR(INDEX(Algorithms!$G:$G,MATCH($C564&amp;"_Therm Saved per Unit- MLA",Algorithms!$A:$A,0)),0)*AA564</f>
        <v>0</v>
      </c>
      <c r="CS564" s="266">
        <f ca="1">IFERROR(INDEX(Algorithms!$G:$G,MATCH($C564&amp;"_Lifetime (years)",Algorithms!$A:$A,0)),0)</f>
        <v>15</v>
      </c>
      <c r="CT564" s="266">
        <f ca="1">IFERROR(INDEX(Algorithms!$G:$G,MATCH($C564&amp;"_Lifetime (years) - Remaining Years",Algorithms!$A:$A,0)),0)</f>
        <v>0</v>
      </c>
      <c r="CU564" s="266">
        <f t="shared" ca="1" si="361"/>
        <v>0</v>
      </c>
      <c r="CV564" s="266">
        <f t="shared" ca="1" si="362"/>
        <v>0</v>
      </c>
      <c r="CW564" s="266">
        <f t="shared" ca="1" si="363"/>
        <v>0</v>
      </c>
      <c r="CX564" s="266">
        <f t="shared" ca="1" si="364"/>
        <v>0</v>
      </c>
    </row>
    <row r="565" spans="2:102" s="47" customFormat="1" ht="18" customHeight="1" x14ac:dyDescent="0.25">
      <c r="B565" t="str">
        <f t="shared" si="365"/>
        <v>NSG_Business_Public Sector_Rebates_Pipe Insulation_Steam Med Valve_CI</v>
      </c>
      <c r="C565" s="47" t="str">
        <f t="shared" si="326"/>
        <v>Pipe Insulation_Steam Med Valve_CI</v>
      </c>
      <c r="D565" s="270" t="s">
        <v>1787</v>
      </c>
      <c r="E565" s="270" t="s">
        <v>3</v>
      </c>
      <c r="F565" s="270" t="s">
        <v>1430</v>
      </c>
      <c r="G565" s="270" t="s">
        <v>1429</v>
      </c>
      <c r="H565" s="270" t="s">
        <v>404</v>
      </c>
      <c r="I565" s="270" t="s">
        <v>966</v>
      </c>
      <c r="J565" s="270" t="s">
        <v>1159</v>
      </c>
      <c r="K565" s="263">
        <v>1</v>
      </c>
      <c r="L565" s="263" t="str">
        <f ca="1">IFERROR(INDEX(Algorithms!J:J,MATCH($C565&amp;"_Therm Saved per Unit",Algorithms!$A:$A,0)),"n/a")</f>
        <v>"3 - Pipe Insulation" worksheet</v>
      </c>
      <c r="M565" s="263" t="str">
        <f>IFERROR(INDEX('Measure Level Detail'!$N:$N,MATCH($B565,'Measure Level Detail'!$B:$B,0)),0)</f>
        <v>each</v>
      </c>
      <c r="N565" s="271">
        <f>IFERROR(INDEX('Measure Level Detail'!$P:$P,MATCH($B565&amp;"_"&amp;N$3,'Measure Level Detail'!$C:$C,0)),0)</f>
        <v>0</v>
      </c>
      <c r="O565" s="271">
        <f>IFERROR(INDEX('Measure Level Detail'!$P:$P,MATCH($B565&amp;"_"&amp;O$3,'Measure Level Detail'!$C:$C,0)),0)</f>
        <v>0</v>
      </c>
      <c r="P565" s="271">
        <f>IFERROR(INDEX('Measure Level Detail'!$P:$P,MATCH($B565&amp;"_"&amp;P$3,'Measure Level Detail'!$C:$C,0)),0)</f>
        <v>0</v>
      </c>
      <c r="Q565" s="271">
        <f>IFERROR(INDEX('Measure Level Detail'!$P:$P,MATCH($B565&amp;"_"&amp;Q$3,'Measure Level Detail'!$C:$C,0)),0)</f>
        <v>0</v>
      </c>
      <c r="R565" s="263">
        <f ca="1">IFERROR(INDEX(Algorithms!K:K,MATCH($C565&amp;"_Therm Saved per Unit",Algorithms!$A:$A,0)),"n/a")</f>
        <v>0</v>
      </c>
      <c r="S565" s="262"/>
      <c r="T565" s="272">
        <v>49.002251273013741</v>
      </c>
      <c r="U565" s="272">
        <v>49.002251273013741</v>
      </c>
      <c r="V565" s="272">
        <v>49.002251273013741</v>
      </c>
      <c r="W565" s="272">
        <v>49.002251273013741</v>
      </c>
      <c r="X565" s="276">
        <v>0.92</v>
      </c>
      <c r="Y565" s="276">
        <v>0.92</v>
      </c>
      <c r="Z565" s="276">
        <v>0.92</v>
      </c>
      <c r="AA565" s="276">
        <v>0.92</v>
      </c>
      <c r="AB565" s="266">
        <f t="shared" si="327"/>
        <v>0</v>
      </c>
      <c r="AC565" s="266">
        <f t="shared" si="328"/>
        <v>0</v>
      </c>
      <c r="AD565" s="266">
        <f t="shared" si="329"/>
        <v>0</v>
      </c>
      <c r="AE565" s="266">
        <f t="shared" si="330"/>
        <v>0</v>
      </c>
      <c r="AF565" s="266">
        <f t="shared" si="331"/>
        <v>0</v>
      </c>
      <c r="AG565" s="274">
        <v>0.92</v>
      </c>
      <c r="AH565" s="274">
        <v>0.92</v>
      </c>
      <c r="AI565" s="274">
        <v>0.92</v>
      </c>
      <c r="AJ565" s="274">
        <v>0.92</v>
      </c>
      <c r="AK565" s="274">
        <f t="shared" si="332"/>
        <v>0.92</v>
      </c>
      <c r="AL565" s="274">
        <f t="shared" si="333"/>
        <v>0.92</v>
      </c>
      <c r="AM565" s="274">
        <f t="shared" si="334"/>
        <v>0.92</v>
      </c>
      <c r="AN565" s="274">
        <f t="shared" si="335"/>
        <v>0.92</v>
      </c>
      <c r="AO565" s="262"/>
      <c r="AP565" s="262"/>
      <c r="AQ565" s="267">
        <v>49.002251273013741</v>
      </c>
      <c r="AR565" s="262"/>
      <c r="AS565" s="266">
        <f t="shared" si="336"/>
        <v>0</v>
      </c>
      <c r="AT565" s="264">
        <f t="shared" si="337"/>
        <v>0</v>
      </c>
      <c r="AU565" s="262"/>
      <c r="AV565" s="262"/>
      <c r="AW565" s="265">
        <v>49.002251273013741</v>
      </c>
      <c r="AX565" s="164" t="s">
        <v>1469</v>
      </c>
      <c r="AY565" s="266">
        <v>0</v>
      </c>
      <c r="AZ565" s="266">
        <f t="shared" si="338"/>
        <v>0</v>
      </c>
      <c r="BA565" s="264">
        <f t="shared" si="339"/>
        <v>0</v>
      </c>
      <c r="BB565" s="262"/>
      <c r="BC565" s="262"/>
      <c r="BD565" s="265">
        <f ca="1">IFERROR(INDEX(Algorithms!$G:$G,MATCH($C565&amp;"_Therm Saved per Unit",Algorithms!$A:$A,0)),0)</f>
        <v>49.002251273013741</v>
      </c>
      <c r="BE565" s="164" t="str">
        <f ca="1">IFERROR(INDEX('v12 Revisions'!$P$29:$P$186, MATCH('Measure-Level Adj Gas'!$L565, 'v12 Revisions'!$D$29:$D$186,0)),"")</f>
        <v/>
      </c>
      <c r="BF565" s="266">
        <f t="shared" ca="1" si="340"/>
        <v>0</v>
      </c>
      <c r="BG565" s="264">
        <f t="shared" ca="1" si="341"/>
        <v>0</v>
      </c>
      <c r="BH565" s="262"/>
      <c r="BI565" s="262"/>
      <c r="BJ565" s="265">
        <f ca="1">IFERROR(INDEX(Algorithms!$G:$G,MATCH($C565&amp;"_Therm Saved per Unit",Algorithms!$A:$A,0)),0)</f>
        <v>49.002251273013741</v>
      </c>
      <c r="BK565" s="164"/>
      <c r="BL565" s="266">
        <f t="shared" ca="1" si="342"/>
        <v>0</v>
      </c>
      <c r="BM565" s="264">
        <f t="shared" ca="1" si="343"/>
        <v>0</v>
      </c>
      <c r="BN565" s="266">
        <f t="shared" si="344"/>
        <v>0</v>
      </c>
      <c r="BO565" s="266">
        <f t="shared" si="345"/>
        <v>0</v>
      </c>
      <c r="BP565" s="266">
        <f t="shared" ca="1" si="346"/>
        <v>0</v>
      </c>
      <c r="BQ565" s="266">
        <f t="shared" ca="1" si="347"/>
        <v>0</v>
      </c>
      <c r="BR565" s="268">
        <f t="shared" ca="1" si="348"/>
        <v>0</v>
      </c>
      <c r="BS565" s="262" t="s">
        <v>99</v>
      </c>
      <c r="BT565" s="277"/>
      <c r="BW565" s="266">
        <f t="shared" si="349"/>
        <v>0</v>
      </c>
      <c r="BX565" s="266">
        <f t="shared" si="350"/>
        <v>0</v>
      </c>
      <c r="BY565" s="266">
        <f t="shared" si="351"/>
        <v>0</v>
      </c>
      <c r="BZ565" s="266">
        <f t="shared" si="352"/>
        <v>0</v>
      </c>
      <c r="CA565" s="266">
        <f ca="1">N565*IFERROR(INDEX(Algorithms!$G:$G,MATCH($C565&amp;"_Therm Saved per Unit- MLA",Algorithms!$A:$A,0)),0)*X565</f>
        <v>0</v>
      </c>
      <c r="CB565" s="266">
        <f ca="1">O565*IFERROR(INDEX(Algorithms!$G:$G,MATCH($C565&amp;"_Therm Saved per Unit- MLA",Algorithms!$A:$A,0)),0)*Y565</f>
        <v>0</v>
      </c>
      <c r="CC565" s="266">
        <f ca="1">P565*IFERROR(INDEX(Algorithms!$G:$G,MATCH($C565&amp;"_Therm Saved per Unit- MLA",Algorithms!$A:$A,0)),0)*Z565</f>
        <v>0</v>
      </c>
      <c r="CD565" s="266">
        <f ca="1">Q565*IFERROR(INDEX(Algorithms!$G:$G,MATCH($C565&amp;"_Therm Saved per Unit- MLA",Algorithms!$A:$A,0)),0)*AA565</f>
        <v>0</v>
      </c>
      <c r="CE565" s="266">
        <f ca="1">IFERROR(INDEX(Algorithms!$G:$G,MATCH($C565&amp;"_Lifetime (years)",Algorithms!$A:$A,0)),0)</f>
        <v>15</v>
      </c>
      <c r="CF565" s="266">
        <f ca="1">IFERROR(INDEX(Algorithms!$G:$G,MATCH($C565&amp;"_Lifetime (years) - Remaining Years",Algorithms!$A:$A,0)),0)</f>
        <v>0</v>
      </c>
      <c r="CG565" s="266">
        <f t="shared" ca="1" si="353"/>
        <v>0</v>
      </c>
      <c r="CH565" s="266">
        <f t="shared" ca="1" si="354"/>
        <v>0</v>
      </c>
      <c r="CI565" s="266">
        <f t="shared" ca="1" si="355"/>
        <v>0</v>
      </c>
      <c r="CJ565" s="266">
        <f t="shared" ca="1" si="356"/>
        <v>0</v>
      </c>
      <c r="CK565" s="266">
        <f t="shared" si="357"/>
        <v>0</v>
      </c>
      <c r="CL565" s="266">
        <f t="shared" si="358"/>
        <v>0</v>
      </c>
      <c r="CM565" s="266">
        <f t="shared" ca="1" si="359"/>
        <v>0</v>
      </c>
      <c r="CN565" s="266">
        <f t="shared" ca="1" si="360"/>
        <v>0</v>
      </c>
      <c r="CO565" s="266">
        <f ca="1">N565*IFERROR(INDEX(Algorithms!$G:$G,MATCH($C565&amp;"_Therm Saved per Unit- MLA",Algorithms!$A:$A,0)),0)*X565</f>
        <v>0</v>
      </c>
      <c r="CP565" s="266">
        <f ca="1">O565*IFERROR(INDEX(Algorithms!$G:$G,MATCH($C565&amp;"_Therm Saved per Unit- MLA",Algorithms!$A:$A,0)),0)*Y565</f>
        <v>0</v>
      </c>
      <c r="CQ565" s="266">
        <f ca="1">P565*IFERROR(INDEX(Algorithms!$G:$G,MATCH($C565&amp;"_Therm Saved per Unit- MLA",Algorithms!$A:$A,0)),0)*Z565</f>
        <v>0</v>
      </c>
      <c r="CR565" s="266">
        <f ca="1">Q565*IFERROR(INDEX(Algorithms!$G:$G,MATCH($C565&amp;"_Therm Saved per Unit- MLA",Algorithms!$A:$A,0)),0)*AA565</f>
        <v>0</v>
      </c>
      <c r="CS565" s="266">
        <f ca="1">IFERROR(INDEX(Algorithms!$G:$G,MATCH($C565&amp;"_Lifetime (years)",Algorithms!$A:$A,0)),0)</f>
        <v>15</v>
      </c>
      <c r="CT565" s="266">
        <f ca="1">IFERROR(INDEX(Algorithms!$G:$G,MATCH($C565&amp;"_Lifetime (years) - Remaining Years",Algorithms!$A:$A,0)),0)</f>
        <v>0</v>
      </c>
      <c r="CU565" s="266">
        <f t="shared" ca="1" si="361"/>
        <v>0</v>
      </c>
      <c r="CV565" s="266">
        <f t="shared" ca="1" si="362"/>
        <v>0</v>
      </c>
      <c r="CW565" s="266">
        <f t="shared" ca="1" si="363"/>
        <v>0</v>
      </c>
      <c r="CX565" s="266">
        <f t="shared" ca="1" si="364"/>
        <v>0</v>
      </c>
    </row>
    <row r="566" spans="2:102" s="47" customFormat="1" ht="18" customHeight="1" x14ac:dyDescent="0.25">
      <c r="B566" t="str">
        <f t="shared" si="365"/>
        <v>NSG_Business_Public Sector_Rebates_Pipe Insulation_Steam Large Valve_CI</v>
      </c>
      <c r="C566" s="47" t="str">
        <f t="shared" si="326"/>
        <v>Pipe Insulation_Steam Large Valve_CI</v>
      </c>
      <c r="D566" s="270" t="s">
        <v>1787</v>
      </c>
      <c r="E566" s="270" t="s">
        <v>3</v>
      </c>
      <c r="F566" s="270" t="s">
        <v>1430</v>
      </c>
      <c r="G566" s="270" t="s">
        <v>1429</v>
      </c>
      <c r="H566" s="270" t="s">
        <v>404</v>
      </c>
      <c r="I566" s="270" t="s">
        <v>967</v>
      </c>
      <c r="J566" s="270" t="s">
        <v>1159</v>
      </c>
      <c r="K566" s="263">
        <v>1</v>
      </c>
      <c r="L566" s="263" t="str">
        <f ca="1">IFERROR(INDEX(Algorithms!J:J,MATCH($C566&amp;"_Therm Saved per Unit",Algorithms!$A:$A,0)),"n/a")</f>
        <v>"3 - Pipe Insulation" worksheet</v>
      </c>
      <c r="M566" s="263" t="str">
        <f>IFERROR(INDEX('Measure Level Detail'!$N:$N,MATCH($B566,'Measure Level Detail'!$B:$B,0)),0)</f>
        <v>each</v>
      </c>
      <c r="N566" s="271">
        <f>IFERROR(INDEX('Measure Level Detail'!$P:$P,MATCH($B566&amp;"_"&amp;N$3,'Measure Level Detail'!$C:$C,0)),0)</f>
        <v>0</v>
      </c>
      <c r="O566" s="271">
        <f>IFERROR(INDEX('Measure Level Detail'!$P:$P,MATCH($B566&amp;"_"&amp;O$3,'Measure Level Detail'!$C:$C,0)),0)</f>
        <v>0</v>
      </c>
      <c r="P566" s="271">
        <f>IFERROR(INDEX('Measure Level Detail'!$P:$P,MATCH($B566&amp;"_"&amp;P$3,'Measure Level Detail'!$C:$C,0)),0)</f>
        <v>0</v>
      </c>
      <c r="Q566" s="271">
        <f>IFERROR(INDEX('Measure Level Detail'!$P:$P,MATCH($B566&amp;"_"&amp;Q$3,'Measure Level Detail'!$C:$C,0)),0)</f>
        <v>0</v>
      </c>
      <c r="R566" s="263">
        <f ca="1">IFERROR(INDEX(Algorithms!K:K,MATCH($C566&amp;"_Therm Saved per Unit",Algorithms!$A:$A,0)),"n/a")</f>
        <v>0</v>
      </c>
      <c r="S566" s="262"/>
      <c r="T566" s="272">
        <v>107.52607289087437</v>
      </c>
      <c r="U566" s="272">
        <v>107.52607289087437</v>
      </c>
      <c r="V566" s="272">
        <v>107.52607289087437</v>
      </c>
      <c r="W566" s="272">
        <v>107.52607289087437</v>
      </c>
      <c r="X566" s="276">
        <v>0.92</v>
      </c>
      <c r="Y566" s="276">
        <v>0.92</v>
      </c>
      <c r="Z566" s="276">
        <v>0.92</v>
      </c>
      <c r="AA566" s="276">
        <v>0.92</v>
      </c>
      <c r="AB566" s="266">
        <f t="shared" si="327"/>
        <v>0</v>
      </c>
      <c r="AC566" s="266">
        <f t="shared" si="328"/>
        <v>0</v>
      </c>
      <c r="AD566" s="266">
        <f t="shared" si="329"/>
        <v>0</v>
      </c>
      <c r="AE566" s="266">
        <f t="shared" si="330"/>
        <v>0</v>
      </c>
      <c r="AF566" s="266">
        <f t="shared" si="331"/>
        <v>0</v>
      </c>
      <c r="AG566" s="274">
        <v>0.92</v>
      </c>
      <c r="AH566" s="274">
        <v>0.92</v>
      </c>
      <c r="AI566" s="274">
        <v>0.92</v>
      </c>
      <c r="AJ566" s="274">
        <v>0.92</v>
      </c>
      <c r="AK566" s="274">
        <f t="shared" si="332"/>
        <v>0.92</v>
      </c>
      <c r="AL566" s="274">
        <f t="shared" si="333"/>
        <v>0.92</v>
      </c>
      <c r="AM566" s="274">
        <f t="shared" si="334"/>
        <v>0.92</v>
      </c>
      <c r="AN566" s="274">
        <f t="shared" si="335"/>
        <v>0.92</v>
      </c>
      <c r="AO566" s="262"/>
      <c r="AP566" s="262"/>
      <c r="AQ566" s="267">
        <v>107.52607289087437</v>
      </c>
      <c r="AR566" s="262"/>
      <c r="AS566" s="266">
        <f t="shared" si="336"/>
        <v>0</v>
      </c>
      <c r="AT566" s="264">
        <f t="shared" si="337"/>
        <v>0</v>
      </c>
      <c r="AU566" s="262"/>
      <c r="AV566" s="262"/>
      <c r="AW566" s="265">
        <v>107.52607289087437</v>
      </c>
      <c r="AX566" s="164" t="s">
        <v>1469</v>
      </c>
      <c r="AY566" s="266">
        <v>0</v>
      </c>
      <c r="AZ566" s="266">
        <f t="shared" si="338"/>
        <v>0</v>
      </c>
      <c r="BA566" s="264">
        <f t="shared" si="339"/>
        <v>0</v>
      </c>
      <c r="BB566" s="262"/>
      <c r="BC566" s="262"/>
      <c r="BD566" s="265">
        <f ca="1">IFERROR(INDEX(Algorithms!$G:$G,MATCH($C566&amp;"_Therm Saved per Unit",Algorithms!$A:$A,0)),0)</f>
        <v>107.52607289087437</v>
      </c>
      <c r="BE566" s="164" t="str">
        <f ca="1">IFERROR(INDEX('v12 Revisions'!$P$29:$P$186, MATCH('Measure-Level Adj Gas'!$L566, 'v12 Revisions'!$D$29:$D$186,0)),"")</f>
        <v/>
      </c>
      <c r="BF566" s="266">
        <f t="shared" ca="1" si="340"/>
        <v>0</v>
      </c>
      <c r="BG566" s="264">
        <f t="shared" ca="1" si="341"/>
        <v>0</v>
      </c>
      <c r="BH566" s="262"/>
      <c r="BI566" s="262"/>
      <c r="BJ566" s="265">
        <f ca="1">IFERROR(INDEX(Algorithms!$G:$G,MATCH($C566&amp;"_Therm Saved per Unit",Algorithms!$A:$A,0)),0)</f>
        <v>107.52607289087437</v>
      </c>
      <c r="BK566" s="164"/>
      <c r="BL566" s="266">
        <f t="shared" ca="1" si="342"/>
        <v>0</v>
      </c>
      <c r="BM566" s="264">
        <f t="shared" ca="1" si="343"/>
        <v>0</v>
      </c>
      <c r="BN566" s="266">
        <f t="shared" si="344"/>
        <v>0</v>
      </c>
      <c r="BO566" s="266">
        <f t="shared" si="345"/>
        <v>0</v>
      </c>
      <c r="BP566" s="266">
        <f t="shared" ca="1" si="346"/>
        <v>0</v>
      </c>
      <c r="BQ566" s="266">
        <f t="shared" ca="1" si="347"/>
        <v>0</v>
      </c>
      <c r="BR566" s="268">
        <f t="shared" ca="1" si="348"/>
        <v>0</v>
      </c>
      <c r="BS566" s="262" t="s">
        <v>99</v>
      </c>
      <c r="BT566" s="277"/>
      <c r="BW566" s="266">
        <f t="shared" si="349"/>
        <v>0</v>
      </c>
      <c r="BX566" s="266">
        <f t="shared" si="350"/>
        <v>0</v>
      </c>
      <c r="BY566" s="266">
        <f t="shared" si="351"/>
        <v>0</v>
      </c>
      <c r="BZ566" s="266">
        <f t="shared" si="352"/>
        <v>0</v>
      </c>
      <c r="CA566" s="266">
        <f ca="1">N566*IFERROR(INDEX(Algorithms!$G:$G,MATCH($C566&amp;"_Therm Saved per Unit- MLA",Algorithms!$A:$A,0)),0)*X566</f>
        <v>0</v>
      </c>
      <c r="CB566" s="266">
        <f ca="1">O566*IFERROR(INDEX(Algorithms!$G:$G,MATCH($C566&amp;"_Therm Saved per Unit- MLA",Algorithms!$A:$A,0)),0)*Y566</f>
        <v>0</v>
      </c>
      <c r="CC566" s="266">
        <f ca="1">P566*IFERROR(INDEX(Algorithms!$G:$G,MATCH($C566&amp;"_Therm Saved per Unit- MLA",Algorithms!$A:$A,0)),0)*Z566</f>
        <v>0</v>
      </c>
      <c r="CD566" s="266">
        <f ca="1">Q566*IFERROR(INDEX(Algorithms!$G:$G,MATCH($C566&amp;"_Therm Saved per Unit- MLA",Algorithms!$A:$A,0)),0)*AA566</f>
        <v>0</v>
      </c>
      <c r="CE566" s="266">
        <f ca="1">IFERROR(INDEX(Algorithms!$G:$G,MATCH($C566&amp;"_Lifetime (years)",Algorithms!$A:$A,0)),0)</f>
        <v>15</v>
      </c>
      <c r="CF566" s="266">
        <f ca="1">IFERROR(INDEX(Algorithms!$G:$G,MATCH($C566&amp;"_Lifetime (years) - Remaining Years",Algorithms!$A:$A,0)),0)</f>
        <v>0</v>
      </c>
      <c r="CG566" s="266">
        <f t="shared" ca="1" si="353"/>
        <v>0</v>
      </c>
      <c r="CH566" s="266">
        <f t="shared" ca="1" si="354"/>
        <v>0</v>
      </c>
      <c r="CI566" s="266">
        <f t="shared" ca="1" si="355"/>
        <v>0</v>
      </c>
      <c r="CJ566" s="266">
        <f t="shared" ca="1" si="356"/>
        <v>0</v>
      </c>
      <c r="CK566" s="266">
        <f t="shared" si="357"/>
        <v>0</v>
      </c>
      <c r="CL566" s="266">
        <f t="shared" si="358"/>
        <v>0</v>
      </c>
      <c r="CM566" s="266">
        <f t="shared" ca="1" si="359"/>
        <v>0</v>
      </c>
      <c r="CN566" s="266">
        <f t="shared" ca="1" si="360"/>
        <v>0</v>
      </c>
      <c r="CO566" s="266">
        <f ca="1">N566*IFERROR(INDEX(Algorithms!$G:$G,MATCH($C566&amp;"_Therm Saved per Unit- MLA",Algorithms!$A:$A,0)),0)*X566</f>
        <v>0</v>
      </c>
      <c r="CP566" s="266">
        <f ca="1">O566*IFERROR(INDEX(Algorithms!$G:$G,MATCH($C566&amp;"_Therm Saved per Unit- MLA",Algorithms!$A:$A,0)),0)*Y566</f>
        <v>0</v>
      </c>
      <c r="CQ566" s="266">
        <f ca="1">P566*IFERROR(INDEX(Algorithms!$G:$G,MATCH($C566&amp;"_Therm Saved per Unit- MLA",Algorithms!$A:$A,0)),0)*Z566</f>
        <v>0</v>
      </c>
      <c r="CR566" s="266">
        <f ca="1">Q566*IFERROR(INDEX(Algorithms!$G:$G,MATCH($C566&amp;"_Therm Saved per Unit- MLA",Algorithms!$A:$A,0)),0)*AA566</f>
        <v>0</v>
      </c>
      <c r="CS566" s="266">
        <f ca="1">IFERROR(INDEX(Algorithms!$G:$G,MATCH($C566&amp;"_Lifetime (years)",Algorithms!$A:$A,0)),0)</f>
        <v>15</v>
      </c>
      <c r="CT566" s="266">
        <f ca="1">IFERROR(INDEX(Algorithms!$G:$G,MATCH($C566&amp;"_Lifetime (years) - Remaining Years",Algorithms!$A:$A,0)),0)</f>
        <v>0</v>
      </c>
      <c r="CU566" s="266">
        <f t="shared" ca="1" si="361"/>
        <v>0</v>
      </c>
      <c r="CV566" s="266">
        <f t="shared" ca="1" si="362"/>
        <v>0</v>
      </c>
      <c r="CW566" s="266">
        <f t="shared" ca="1" si="363"/>
        <v>0</v>
      </c>
      <c r="CX566" s="266">
        <f t="shared" ca="1" si="364"/>
        <v>0</v>
      </c>
    </row>
    <row r="567" spans="2:102" s="47" customFormat="1" ht="18" customHeight="1" x14ac:dyDescent="0.25">
      <c r="B567" t="str">
        <f t="shared" si="365"/>
        <v>NSG_Business_Public Sector_Rebates_Pipe Insulation_Steam X-Large Valve_CI</v>
      </c>
      <c r="C567" s="47" t="str">
        <f t="shared" si="326"/>
        <v>Pipe Insulation_Steam X-Large Valve_CI</v>
      </c>
      <c r="D567" s="270" t="s">
        <v>1787</v>
      </c>
      <c r="E567" s="270" t="s">
        <v>3</v>
      </c>
      <c r="F567" s="270" t="s">
        <v>1430</v>
      </c>
      <c r="G567" s="270" t="s">
        <v>1429</v>
      </c>
      <c r="H567" s="270" t="s">
        <v>404</v>
      </c>
      <c r="I567" s="270" t="s">
        <v>968</v>
      </c>
      <c r="J567" s="270" t="s">
        <v>1159</v>
      </c>
      <c r="K567" s="263">
        <v>1</v>
      </c>
      <c r="L567" s="263" t="str">
        <f ca="1">IFERROR(INDEX(Algorithms!J:J,MATCH($C567&amp;"_Therm Saved per Unit",Algorithms!$A:$A,0)),"n/a")</f>
        <v>"3 - Pipe Insulation" worksheet</v>
      </c>
      <c r="M567" s="263" t="str">
        <f>IFERROR(INDEX('Measure Level Detail'!$N:$N,MATCH($B567,'Measure Level Detail'!$B:$B,0)),0)</f>
        <v>each</v>
      </c>
      <c r="N567" s="271">
        <f>IFERROR(INDEX('Measure Level Detail'!$P:$P,MATCH($B567&amp;"_"&amp;N$3,'Measure Level Detail'!$C:$C,0)),0)</f>
        <v>0</v>
      </c>
      <c r="O567" s="271">
        <f>IFERROR(INDEX('Measure Level Detail'!$P:$P,MATCH($B567&amp;"_"&amp;O$3,'Measure Level Detail'!$C:$C,0)),0)</f>
        <v>0</v>
      </c>
      <c r="P567" s="271">
        <f>IFERROR(INDEX('Measure Level Detail'!$P:$P,MATCH($B567&amp;"_"&amp;P$3,'Measure Level Detail'!$C:$C,0)),0)</f>
        <v>0</v>
      </c>
      <c r="Q567" s="271">
        <f>IFERROR(INDEX('Measure Level Detail'!$P:$P,MATCH($B567&amp;"_"&amp;Q$3,'Measure Level Detail'!$C:$C,0)),0)</f>
        <v>0</v>
      </c>
      <c r="R567" s="263">
        <f ca="1">IFERROR(INDEX(Algorithms!K:K,MATCH($C567&amp;"_Therm Saved per Unit",Algorithms!$A:$A,0)),"n/a")</f>
        <v>0</v>
      </c>
      <c r="S567" s="262"/>
      <c r="T567" s="272">
        <v>175.06254164158375</v>
      </c>
      <c r="U567" s="272">
        <v>175.06254164158375</v>
      </c>
      <c r="V567" s="272">
        <v>175.06254164158375</v>
      </c>
      <c r="W567" s="272">
        <v>175.06254164158375</v>
      </c>
      <c r="X567" s="276">
        <v>0.92</v>
      </c>
      <c r="Y567" s="276">
        <v>0.92</v>
      </c>
      <c r="Z567" s="276">
        <v>0.92</v>
      </c>
      <c r="AA567" s="276">
        <v>0.92</v>
      </c>
      <c r="AB567" s="266">
        <f t="shared" si="327"/>
        <v>0</v>
      </c>
      <c r="AC567" s="266">
        <f t="shared" si="328"/>
        <v>0</v>
      </c>
      <c r="AD567" s="266">
        <f t="shared" si="329"/>
        <v>0</v>
      </c>
      <c r="AE567" s="266">
        <f t="shared" si="330"/>
        <v>0</v>
      </c>
      <c r="AF567" s="266">
        <f t="shared" si="331"/>
        <v>0</v>
      </c>
      <c r="AG567" s="274">
        <v>0.92</v>
      </c>
      <c r="AH567" s="274">
        <v>0.92</v>
      </c>
      <c r="AI567" s="274">
        <v>0.92</v>
      </c>
      <c r="AJ567" s="274">
        <v>0.92</v>
      </c>
      <c r="AK567" s="274">
        <f t="shared" si="332"/>
        <v>0.92</v>
      </c>
      <c r="AL567" s="274">
        <f t="shared" si="333"/>
        <v>0.92</v>
      </c>
      <c r="AM567" s="274">
        <f t="shared" si="334"/>
        <v>0.92</v>
      </c>
      <c r="AN567" s="274">
        <f t="shared" si="335"/>
        <v>0.92</v>
      </c>
      <c r="AO567" s="262"/>
      <c r="AP567" s="262"/>
      <c r="AQ567" s="267">
        <v>175.06254164158375</v>
      </c>
      <c r="AR567" s="262"/>
      <c r="AS567" s="266">
        <f t="shared" si="336"/>
        <v>0</v>
      </c>
      <c r="AT567" s="264">
        <f t="shared" si="337"/>
        <v>0</v>
      </c>
      <c r="AU567" s="262"/>
      <c r="AV567" s="262"/>
      <c r="AW567" s="265">
        <v>175.06254164158375</v>
      </c>
      <c r="AX567" s="164" t="s">
        <v>1469</v>
      </c>
      <c r="AY567" s="266">
        <v>0</v>
      </c>
      <c r="AZ567" s="266">
        <f t="shared" si="338"/>
        <v>0</v>
      </c>
      <c r="BA567" s="264">
        <f t="shared" si="339"/>
        <v>0</v>
      </c>
      <c r="BB567" s="262"/>
      <c r="BC567" s="262"/>
      <c r="BD567" s="265">
        <f ca="1">IFERROR(INDEX(Algorithms!$G:$G,MATCH($C567&amp;"_Therm Saved per Unit",Algorithms!$A:$A,0)),0)</f>
        <v>175.06254164158375</v>
      </c>
      <c r="BE567" s="164" t="str">
        <f ca="1">IFERROR(INDEX('v12 Revisions'!$P$29:$P$186, MATCH('Measure-Level Adj Gas'!$L567, 'v12 Revisions'!$D$29:$D$186,0)),"")</f>
        <v/>
      </c>
      <c r="BF567" s="266">
        <f t="shared" ca="1" si="340"/>
        <v>0</v>
      </c>
      <c r="BG567" s="264">
        <f t="shared" ca="1" si="341"/>
        <v>0</v>
      </c>
      <c r="BH567" s="262"/>
      <c r="BI567" s="262"/>
      <c r="BJ567" s="265">
        <f ca="1">IFERROR(INDEX(Algorithms!$G:$G,MATCH($C567&amp;"_Therm Saved per Unit",Algorithms!$A:$A,0)),0)</f>
        <v>175.06254164158375</v>
      </c>
      <c r="BK567" s="164"/>
      <c r="BL567" s="266">
        <f t="shared" ca="1" si="342"/>
        <v>0</v>
      </c>
      <c r="BM567" s="264">
        <f t="shared" ca="1" si="343"/>
        <v>0</v>
      </c>
      <c r="BN567" s="266">
        <f t="shared" si="344"/>
        <v>0</v>
      </c>
      <c r="BO567" s="266">
        <f t="shared" si="345"/>
        <v>0</v>
      </c>
      <c r="BP567" s="266">
        <f t="shared" ca="1" si="346"/>
        <v>0</v>
      </c>
      <c r="BQ567" s="266">
        <f t="shared" ca="1" si="347"/>
        <v>0</v>
      </c>
      <c r="BR567" s="268">
        <f t="shared" ca="1" si="348"/>
        <v>0</v>
      </c>
      <c r="BS567" s="262" t="s">
        <v>99</v>
      </c>
      <c r="BT567" s="277"/>
      <c r="BW567" s="266">
        <f t="shared" si="349"/>
        <v>0</v>
      </c>
      <c r="BX567" s="266">
        <f t="shared" si="350"/>
        <v>0</v>
      </c>
      <c r="BY567" s="266">
        <f t="shared" si="351"/>
        <v>0</v>
      </c>
      <c r="BZ567" s="266">
        <f t="shared" si="352"/>
        <v>0</v>
      </c>
      <c r="CA567" s="266">
        <f ca="1">N567*IFERROR(INDEX(Algorithms!$G:$G,MATCH($C567&amp;"_Therm Saved per Unit- MLA",Algorithms!$A:$A,0)),0)*X567</f>
        <v>0</v>
      </c>
      <c r="CB567" s="266">
        <f ca="1">O567*IFERROR(INDEX(Algorithms!$G:$G,MATCH($C567&amp;"_Therm Saved per Unit- MLA",Algorithms!$A:$A,0)),0)*Y567</f>
        <v>0</v>
      </c>
      <c r="CC567" s="266">
        <f ca="1">P567*IFERROR(INDEX(Algorithms!$G:$G,MATCH($C567&amp;"_Therm Saved per Unit- MLA",Algorithms!$A:$A,0)),0)*Z567</f>
        <v>0</v>
      </c>
      <c r="CD567" s="266">
        <f ca="1">Q567*IFERROR(INDEX(Algorithms!$G:$G,MATCH($C567&amp;"_Therm Saved per Unit- MLA",Algorithms!$A:$A,0)),0)*AA567</f>
        <v>0</v>
      </c>
      <c r="CE567" s="266">
        <f ca="1">IFERROR(INDEX(Algorithms!$G:$G,MATCH($C567&amp;"_Lifetime (years)",Algorithms!$A:$A,0)),0)</f>
        <v>15</v>
      </c>
      <c r="CF567" s="266">
        <f ca="1">IFERROR(INDEX(Algorithms!$G:$G,MATCH($C567&amp;"_Lifetime (years) - Remaining Years",Algorithms!$A:$A,0)),0)</f>
        <v>0</v>
      </c>
      <c r="CG567" s="266">
        <f t="shared" ca="1" si="353"/>
        <v>0</v>
      </c>
      <c r="CH567" s="266">
        <f t="shared" ca="1" si="354"/>
        <v>0</v>
      </c>
      <c r="CI567" s="266">
        <f t="shared" ca="1" si="355"/>
        <v>0</v>
      </c>
      <c r="CJ567" s="266">
        <f t="shared" ca="1" si="356"/>
        <v>0</v>
      </c>
      <c r="CK567" s="266">
        <f t="shared" si="357"/>
        <v>0</v>
      </c>
      <c r="CL567" s="266">
        <f t="shared" si="358"/>
        <v>0</v>
      </c>
      <c r="CM567" s="266">
        <f t="shared" ca="1" si="359"/>
        <v>0</v>
      </c>
      <c r="CN567" s="266">
        <f t="shared" ca="1" si="360"/>
        <v>0</v>
      </c>
      <c r="CO567" s="266">
        <f ca="1">N567*IFERROR(INDEX(Algorithms!$G:$G,MATCH($C567&amp;"_Therm Saved per Unit- MLA",Algorithms!$A:$A,0)),0)*X567</f>
        <v>0</v>
      </c>
      <c r="CP567" s="266">
        <f ca="1">O567*IFERROR(INDEX(Algorithms!$G:$G,MATCH($C567&amp;"_Therm Saved per Unit- MLA",Algorithms!$A:$A,0)),0)*Y567</f>
        <v>0</v>
      </c>
      <c r="CQ567" s="266">
        <f ca="1">P567*IFERROR(INDEX(Algorithms!$G:$G,MATCH($C567&amp;"_Therm Saved per Unit- MLA",Algorithms!$A:$A,0)),0)*Z567</f>
        <v>0</v>
      </c>
      <c r="CR567" s="266">
        <f ca="1">Q567*IFERROR(INDEX(Algorithms!$G:$G,MATCH($C567&amp;"_Therm Saved per Unit- MLA",Algorithms!$A:$A,0)),0)*AA567</f>
        <v>0</v>
      </c>
      <c r="CS567" s="266">
        <f ca="1">IFERROR(INDEX(Algorithms!$G:$G,MATCH($C567&amp;"_Lifetime (years)",Algorithms!$A:$A,0)),0)</f>
        <v>15</v>
      </c>
      <c r="CT567" s="266">
        <f ca="1">IFERROR(INDEX(Algorithms!$G:$G,MATCH($C567&amp;"_Lifetime (years) - Remaining Years",Algorithms!$A:$A,0)),0)</f>
        <v>0</v>
      </c>
      <c r="CU567" s="266">
        <f t="shared" ca="1" si="361"/>
        <v>0</v>
      </c>
      <c r="CV567" s="266">
        <f t="shared" ca="1" si="362"/>
        <v>0</v>
      </c>
      <c r="CW567" s="266">
        <f t="shared" ca="1" si="363"/>
        <v>0</v>
      </c>
      <c r="CX567" s="266">
        <f t="shared" ca="1" si="364"/>
        <v>0</v>
      </c>
    </row>
    <row r="568" spans="2:102" s="47" customFormat="1" ht="18" customHeight="1" x14ac:dyDescent="0.25">
      <c r="B568" t="str">
        <f t="shared" si="365"/>
        <v>NSG_Business_Public Sector_Rebates_Pre-Rinse Sprayer_0_CI</v>
      </c>
      <c r="C568" s="47" t="str">
        <f t="shared" si="326"/>
        <v>Pre-Rinse Sprayer_0_CI</v>
      </c>
      <c r="D568" s="270" t="s">
        <v>1787</v>
      </c>
      <c r="E568" s="270" t="s">
        <v>3</v>
      </c>
      <c r="F568" s="270" t="s">
        <v>1430</v>
      </c>
      <c r="G568" s="270" t="s">
        <v>1429</v>
      </c>
      <c r="H568" s="270" t="s">
        <v>1219</v>
      </c>
      <c r="I568" s="270">
        <v>0</v>
      </c>
      <c r="J568" s="270" t="s">
        <v>1159</v>
      </c>
      <c r="K568" s="263">
        <v>1</v>
      </c>
      <c r="L568" s="263" t="str">
        <f ca="1">IFERROR(INDEX(Algorithms!J:J,MATCH($C568&amp;"_Therm Saved per Unit",Algorithms!$A:$A,0)),"n/a")</f>
        <v>4.2.11</v>
      </c>
      <c r="M568" s="263" t="str">
        <f>IFERROR(INDEX('Measure Level Detail'!$N:$N,MATCH($B568,'Measure Level Detail'!$B:$B,0)),0)</f>
        <v>each</v>
      </c>
      <c r="N568" s="271">
        <f>IFERROR(INDEX('Measure Level Detail'!$P:$P,MATCH($B568&amp;"_"&amp;N$3,'Measure Level Detail'!$C:$C,0)),0)</f>
        <v>0</v>
      </c>
      <c r="O568" s="271">
        <f>IFERROR(INDEX('Measure Level Detail'!$P:$P,MATCH($B568&amp;"_"&amp;O$3,'Measure Level Detail'!$C:$C,0)),0)</f>
        <v>0</v>
      </c>
      <c r="P568" s="271">
        <f>IFERROR(INDEX('Measure Level Detail'!$P:$P,MATCH($B568&amp;"_"&amp;P$3,'Measure Level Detail'!$C:$C,0)),0)</f>
        <v>0</v>
      </c>
      <c r="Q568" s="271">
        <f>IFERROR(INDEX('Measure Level Detail'!$P:$P,MATCH($B568&amp;"_"&amp;Q$3,'Measure Level Detail'!$C:$C,0)),0)</f>
        <v>0</v>
      </c>
      <c r="R568" s="263" t="str">
        <f ca="1">IFERROR(INDEX(Algorithms!K:K,MATCH($C568&amp;"_Therm Saved per Unit",Algorithms!$A:$A,0)),"n/a")</f>
        <v>CI-FSE-SPRY-V08-220101</v>
      </c>
      <c r="S568" s="262"/>
      <c r="T568" s="272">
        <v>235.77765120000004</v>
      </c>
      <c r="U568" s="272">
        <v>235.77765120000004</v>
      </c>
      <c r="V568" s="272">
        <v>235.77765120000004</v>
      </c>
      <c r="W568" s="272">
        <v>235.77765120000004</v>
      </c>
      <c r="X568" s="276">
        <v>0.92</v>
      </c>
      <c r="Y568" s="276">
        <v>0.92</v>
      </c>
      <c r="Z568" s="276">
        <v>0.92</v>
      </c>
      <c r="AA568" s="276">
        <v>0.92</v>
      </c>
      <c r="AB568" s="266">
        <f t="shared" si="327"/>
        <v>0</v>
      </c>
      <c r="AC568" s="266">
        <f t="shared" si="328"/>
        <v>0</v>
      </c>
      <c r="AD568" s="266">
        <f t="shared" si="329"/>
        <v>0</v>
      </c>
      <c r="AE568" s="266">
        <f t="shared" si="330"/>
        <v>0</v>
      </c>
      <c r="AF568" s="266">
        <f t="shared" si="331"/>
        <v>0</v>
      </c>
      <c r="AG568" s="274">
        <v>0.92</v>
      </c>
      <c r="AH568" s="274">
        <v>0.92</v>
      </c>
      <c r="AI568" s="274">
        <v>0.92</v>
      </c>
      <c r="AJ568" s="274">
        <v>0.92</v>
      </c>
      <c r="AK568" s="274">
        <f t="shared" si="332"/>
        <v>0.92</v>
      </c>
      <c r="AL568" s="274">
        <f t="shared" si="333"/>
        <v>0.92</v>
      </c>
      <c r="AM568" s="274">
        <f t="shared" si="334"/>
        <v>0.92</v>
      </c>
      <c r="AN568" s="274">
        <f t="shared" si="335"/>
        <v>0.92</v>
      </c>
      <c r="AO568" s="262"/>
      <c r="AP568" s="262"/>
      <c r="AQ568" s="267">
        <v>247.22970854399998</v>
      </c>
      <c r="AR568" s="262"/>
      <c r="AS568" s="266">
        <f t="shared" si="336"/>
        <v>0</v>
      </c>
      <c r="AT568" s="264">
        <f t="shared" si="337"/>
        <v>0</v>
      </c>
      <c r="AU568" s="262"/>
      <c r="AV568" s="262"/>
      <c r="AW568" s="265">
        <v>247.22970854399998</v>
      </c>
      <c r="AX568" s="164" t="s">
        <v>1469</v>
      </c>
      <c r="AY568" s="266">
        <v>0</v>
      </c>
      <c r="AZ568" s="266">
        <f t="shared" si="338"/>
        <v>0</v>
      </c>
      <c r="BA568" s="264">
        <f t="shared" si="339"/>
        <v>0</v>
      </c>
      <c r="BB568" s="262"/>
      <c r="BC568" s="262"/>
      <c r="BD568" s="265">
        <f ca="1">IFERROR(INDEX(Algorithms!$G:$G,MATCH($C568&amp;"_Therm Saved per Unit",Algorithms!$A:$A,0)),0)</f>
        <v>247.22970854399998</v>
      </c>
      <c r="BE568" s="164" t="str">
        <f ca="1">IFERROR(INDEX('v12 Revisions'!$P$29:$P$186, MATCH('Measure-Level Adj Gas'!$L568, 'v12 Revisions'!$D$29:$D$186,0)),"")</f>
        <v/>
      </c>
      <c r="BF568" s="266">
        <f t="shared" ca="1" si="340"/>
        <v>0</v>
      </c>
      <c r="BG568" s="264">
        <f t="shared" ca="1" si="341"/>
        <v>0</v>
      </c>
      <c r="BH568" s="262"/>
      <c r="BI568" s="262"/>
      <c r="BJ568" s="265">
        <f ca="1">IFERROR(INDEX(Algorithms!$G:$G,MATCH($C568&amp;"_Therm Saved per Unit",Algorithms!$A:$A,0)),0)</f>
        <v>247.22970854399998</v>
      </c>
      <c r="BK568" s="164"/>
      <c r="BL568" s="266">
        <f t="shared" ca="1" si="342"/>
        <v>0</v>
      </c>
      <c r="BM568" s="264">
        <f t="shared" ca="1" si="343"/>
        <v>0</v>
      </c>
      <c r="BN568" s="266">
        <f t="shared" si="344"/>
        <v>0</v>
      </c>
      <c r="BO568" s="266">
        <f t="shared" si="345"/>
        <v>0</v>
      </c>
      <c r="BP568" s="266">
        <f t="shared" ca="1" si="346"/>
        <v>0</v>
      </c>
      <c r="BQ568" s="266">
        <f t="shared" ca="1" si="347"/>
        <v>0</v>
      </c>
      <c r="BR568" s="268">
        <f t="shared" ca="1" si="348"/>
        <v>0</v>
      </c>
      <c r="BS568" s="262" t="s">
        <v>99</v>
      </c>
      <c r="BT568" s="277"/>
      <c r="BW568" s="266">
        <f t="shared" si="349"/>
        <v>0</v>
      </c>
      <c r="BX568" s="266">
        <f t="shared" si="350"/>
        <v>0</v>
      </c>
      <c r="BY568" s="266">
        <f t="shared" si="351"/>
        <v>0</v>
      </c>
      <c r="BZ568" s="266">
        <f t="shared" si="352"/>
        <v>0</v>
      </c>
      <c r="CA568" s="266">
        <f ca="1">N568*IFERROR(INDEX(Algorithms!$G:$G,MATCH($C568&amp;"_Therm Saved per Unit- MLA",Algorithms!$A:$A,0)),0)*X568</f>
        <v>0</v>
      </c>
      <c r="CB568" s="266">
        <f ca="1">O568*IFERROR(INDEX(Algorithms!$G:$G,MATCH($C568&amp;"_Therm Saved per Unit- MLA",Algorithms!$A:$A,0)),0)*Y568</f>
        <v>0</v>
      </c>
      <c r="CC568" s="266">
        <f ca="1">P568*IFERROR(INDEX(Algorithms!$G:$G,MATCH($C568&amp;"_Therm Saved per Unit- MLA",Algorithms!$A:$A,0)),0)*Z568</f>
        <v>0</v>
      </c>
      <c r="CD568" s="266">
        <f ca="1">Q568*IFERROR(INDEX(Algorithms!$G:$G,MATCH($C568&amp;"_Therm Saved per Unit- MLA",Algorithms!$A:$A,0)),0)*AA568</f>
        <v>0</v>
      </c>
      <c r="CE568" s="266">
        <f ca="1">IFERROR(INDEX(Algorithms!$G:$G,MATCH($C568&amp;"_Lifetime (years)",Algorithms!$A:$A,0)),0)</f>
        <v>5</v>
      </c>
      <c r="CF568" s="266">
        <f ca="1">IFERROR(INDEX(Algorithms!$G:$G,MATCH($C568&amp;"_Lifetime (years) - Remaining Years",Algorithms!$A:$A,0)),0)</f>
        <v>0</v>
      </c>
      <c r="CG568" s="266">
        <f t="shared" ca="1" si="353"/>
        <v>0</v>
      </c>
      <c r="CH568" s="266">
        <f t="shared" ca="1" si="354"/>
        <v>0</v>
      </c>
      <c r="CI568" s="266">
        <f t="shared" ca="1" si="355"/>
        <v>0</v>
      </c>
      <c r="CJ568" s="266">
        <f t="shared" ca="1" si="356"/>
        <v>0</v>
      </c>
      <c r="CK568" s="266">
        <f t="shared" si="357"/>
        <v>0</v>
      </c>
      <c r="CL568" s="266">
        <f t="shared" si="358"/>
        <v>0</v>
      </c>
      <c r="CM568" s="266">
        <f t="shared" ca="1" si="359"/>
        <v>0</v>
      </c>
      <c r="CN568" s="266">
        <f t="shared" ca="1" si="360"/>
        <v>0</v>
      </c>
      <c r="CO568" s="266">
        <f ca="1">N568*IFERROR(INDEX(Algorithms!$G:$G,MATCH($C568&amp;"_Therm Saved per Unit- MLA",Algorithms!$A:$A,0)),0)*X568</f>
        <v>0</v>
      </c>
      <c r="CP568" s="266">
        <f ca="1">O568*IFERROR(INDEX(Algorithms!$G:$G,MATCH($C568&amp;"_Therm Saved per Unit- MLA",Algorithms!$A:$A,0)),0)*Y568</f>
        <v>0</v>
      </c>
      <c r="CQ568" s="266">
        <f ca="1">P568*IFERROR(INDEX(Algorithms!$G:$G,MATCH($C568&amp;"_Therm Saved per Unit- MLA",Algorithms!$A:$A,0)),0)*Z568</f>
        <v>0</v>
      </c>
      <c r="CR568" s="266">
        <f ca="1">Q568*IFERROR(INDEX(Algorithms!$G:$G,MATCH($C568&amp;"_Therm Saved per Unit- MLA",Algorithms!$A:$A,0)),0)*AA568</f>
        <v>0</v>
      </c>
      <c r="CS568" s="266">
        <f ca="1">IFERROR(INDEX(Algorithms!$G:$G,MATCH($C568&amp;"_Lifetime (years)",Algorithms!$A:$A,0)),0)</f>
        <v>5</v>
      </c>
      <c r="CT568" s="266">
        <f ca="1">IFERROR(INDEX(Algorithms!$G:$G,MATCH($C568&amp;"_Lifetime (years) - Remaining Years",Algorithms!$A:$A,0)),0)</f>
        <v>0</v>
      </c>
      <c r="CU568" s="266">
        <f t="shared" ca="1" si="361"/>
        <v>0</v>
      </c>
      <c r="CV568" s="266">
        <f t="shared" ca="1" si="362"/>
        <v>0</v>
      </c>
      <c r="CW568" s="266">
        <f t="shared" ca="1" si="363"/>
        <v>0</v>
      </c>
      <c r="CX568" s="266">
        <f t="shared" ca="1" si="364"/>
        <v>0</v>
      </c>
    </row>
    <row r="569" spans="2:102" s="47" customFormat="1" ht="18" customHeight="1" x14ac:dyDescent="0.25">
      <c r="B569" t="str">
        <f t="shared" si="365"/>
        <v>NSG_Business_Public Sector_Rebates_Steam Traps_Dry Cleaner/Industrial - No Audit_MF/CI/SMB</v>
      </c>
      <c r="C569" s="47" t="str">
        <f t="shared" si="326"/>
        <v>Steam Traps_Dry Cleaner/Industrial - No Audit_MF/CI/SMB</v>
      </c>
      <c r="D569" s="270" t="s">
        <v>1787</v>
      </c>
      <c r="E569" s="270" t="s">
        <v>3</v>
      </c>
      <c r="F569" s="270" t="s">
        <v>1430</v>
      </c>
      <c r="G569" s="270" t="s">
        <v>1429</v>
      </c>
      <c r="H569" s="270" t="s">
        <v>644</v>
      </c>
      <c r="I569" s="270" t="s">
        <v>1274</v>
      </c>
      <c r="J569" s="270" t="s">
        <v>662</v>
      </c>
      <c r="K569" s="263">
        <v>1</v>
      </c>
      <c r="L569" s="263" t="str">
        <f ca="1">IFERROR(INDEX(Algorithms!J:J,MATCH($C569&amp;"_Therm Saved per Unit",Algorithms!$A:$A,0)),"n/a")</f>
        <v>4.4.16</v>
      </c>
      <c r="M569" s="263" t="str">
        <f>IFERROR(INDEX('Measure Level Detail'!$N:$N,MATCH($B569,'Measure Level Detail'!$B:$B,0)),0)</f>
        <v>each</v>
      </c>
      <c r="N569" s="271">
        <f>IFERROR(INDEX('Measure Level Detail'!$P:$P,MATCH($B569&amp;"_"&amp;N$3,'Measure Level Detail'!$C:$C,0)),0)</f>
        <v>0</v>
      </c>
      <c r="O569" s="271">
        <f>IFERROR(INDEX('Measure Level Detail'!$P:$P,MATCH($B569&amp;"_"&amp;O$3,'Measure Level Detail'!$C:$C,0)),0)</f>
        <v>0</v>
      </c>
      <c r="P569" s="271">
        <f>IFERROR(INDEX('Measure Level Detail'!$P:$P,MATCH($B569&amp;"_"&amp;P$3,'Measure Level Detail'!$C:$C,0)),0)</f>
        <v>0</v>
      </c>
      <c r="Q569" s="271">
        <f>IFERROR(INDEX('Measure Level Detail'!$P:$P,MATCH($B569&amp;"_"&amp;Q$3,'Measure Level Detail'!$C:$C,0)),0)</f>
        <v>0</v>
      </c>
      <c r="R569" s="263" t="str">
        <f ca="1">IFERROR(INDEX(Algorithms!K:K,MATCH($C569&amp;"_Therm Saved per Unit",Algorithms!$A:$A,0)),"n/a")</f>
        <v>CI-HVC-STRE-V10-240101</v>
      </c>
      <c r="S569" s="262"/>
      <c r="T569" s="272">
        <v>174.96360308617389</v>
      </c>
      <c r="U569" s="272">
        <v>174.96360308617389</v>
      </c>
      <c r="V569" s="272">
        <v>174.96360308617389</v>
      </c>
      <c r="W569" s="272">
        <v>174.96360308617389</v>
      </c>
      <c r="X569" s="276">
        <v>0.92</v>
      </c>
      <c r="Y569" s="276">
        <v>0.92</v>
      </c>
      <c r="Z569" s="276">
        <v>0.92</v>
      </c>
      <c r="AA569" s="276">
        <v>0.92</v>
      </c>
      <c r="AB569" s="266">
        <f t="shared" si="327"/>
        <v>0</v>
      </c>
      <c r="AC569" s="266">
        <f t="shared" si="328"/>
        <v>0</v>
      </c>
      <c r="AD569" s="266">
        <f t="shared" si="329"/>
        <v>0</v>
      </c>
      <c r="AE569" s="266">
        <f t="shared" si="330"/>
        <v>0</v>
      </c>
      <c r="AF569" s="266">
        <f t="shared" si="331"/>
        <v>0</v>
      </c>
      <c r="AG569" s="274">
        <v>0.92</v>
      </c>
      <c r="AH569" s="274">
        <v>0.92</v>
      </c>
      <c r="AI569" s="274">
        <v>0.92</v>
      </c>
      <c r="AJ569" s="274">
        <v>0.92</v>
      </c>
      <c r="AK569" s="274">
        <f t="shared" si="332"/>
        <v>0.92</v>
      </c>
      <c r="AL569" s="274">
        <f t="shared" si="333"/>
        <v>0.92</v>
      </c>
      <c r="AM569" s="274">
        <f t="shared" si="334"/>
        <v>0.92</v>
      </c>
      <c r="AN569" s="274">
        <f t="shared" si="335"/>
        <v>0.92</v>
      </c>
      <c r="AO569" s="262"/>
      <c r="AP569" s="262"/>
      <c r="AQ569" s="267">
        <v>174.96360308617389</v>
      </c>
      <c r="AR569" s="262"/>
      <c r="AS569" s="266">
        <f t="shared" si="336"/>
        <v>0</v>
      </c>
      <c r="AT569" s="264">
        <f t="shared" si="337"/>
        <v>0</v>
      </c>
      <c r="AU569" s="262"/>
      <c r="AV569" s="262"/>
      <c r="AW569" s="265">
        <v>174.96360308617389</v>
      </c>
      <c r="AX569" s="164" t="s">
        <v>2397</v>
      </c>
      <c r="AY569" s="266">
        <v>0</v>
      </c>
      <c r="AZ569" s="266">
        <f t="shared" si="338"/>
        <v>0</v>
      </c>
      <c r="BA569" s="264">
        <f t="shared" si="339"/>
        <v>0</v>
      </c>
      <c r="BB569" s="262"/>
      <c r="BC569" s="262"/>
      <c r="BD569" s="265">
        <f ca="1">IFERROR(INDEX(Algorithms!$G:$G,MATCH($C569&amp;"_Therm Saved per Unit",Algorithms!$A:$A,0)),0)</f>
        <v>174.96360308617389</v>
      </c>
      <c r="BE569" s="164" t="str">
        <f ca="1">IFERROR(INDEX('v12 Revisions'!$P$29:$P$186, MATCH('Measure-Level Adj Gas'!$L569, 'v12 Revisions'!$D$29:$D$186,0)),"")</f>
        <v>n/a - costs only.</v>
      </c>
      <c r="BF569" s="266">
        <f t="shared" ca="1" si="340"/>
        <v>0</v>
      </c>
      <c r="BG569" s="264">
        <f t="shared" ca="1" si="341"/>
        <v>0</v>
      </c>
      <c r="BH569" s="262"/>
      <c r="BI569" s="262"/>
      <c r="BJ569" s="265">
        <f ca="1">IFERROR(INDEX(Algorithms!$G:$G,MATCH($C569&amp;"_Therm Saved per Unit",Algorithms!$A:$A,0)),0)</f>
        <v>174.96360308617389</v>
      </c>
      <c r="BK569" s="164"/>
      <c r="BL569" s="266">
        <f t="shared" ca="1" si="342"/>
        <v>0</v>
      </c>
      <c r="BM569" s="264">
        <f t="shared" ca="1" si="343"/>
        <v>0</v>
      </c>
      <c r="BN569" s="266">
        <f t="shared" si="344"/>
        <v>0</v>
      </c>
      <c r="BO569" s="266">
        <f t="shared" si="345"/>
        <v>0</v>
      </c>
      <c r="BP569" s="266">
        <f t="shared" ca="1" si="346"/>
        <v>0</v>
      </c>
      <c r="BQ569" s="266">
        <f t="shared" ca="1" si="347"/>
        <v>0</v>
      </c>
      <c r="BR569" s="268">
        <f t="shared" ca="1" si="348"/>
        <v>0</v>
      </c>
      <c r="BS569" s="262" t="s">
        <v>99</v>
      </c>
      <c r="BT569" s="277"/>
      <c r="BW569" s="266">
        <f t="shared" si="349"/>
        <v>0</v>
      </c>
      <c r="BX569" s="266">
        <f t="shared" si="350"/>
        <v>0</v>
      </c>
      <c r="BY569" s="266">
        <f t="shared" si="351"/>
        <v>0</v>
      </c>
      <c r="BZ569" s="266">
        <f t="shared" si="352"/>
        <v>0</v>
      </c>
      <c r="CA569" s="266">
        <f ca="1">N569*IFERROR(INDEX(Algorithms!$G:$G,MATCH($C569&amp;"_Therm Saved per Unit- MLA",Algorithms!$A:$A,0)),0)*X569</f>
        <v>0</v>
      </c>
      <c r="CB569" s="266">
        <f ca="1">O569*IFERROR(INDEX(Algorithms!$G:$G,MATCH($C569&amp;"_Therm Saved per Unit- MLA",Algorithms!$A:$A,0)),0)*Y569</f>
        <v>0</v>
      </c>
      <c r="CC569" s="266">
        <f ca="1">P569*IFERROR(INDEX(Algorithms!$G:$G,MATCH($C569&amp;"_Therm Saved per Unit- MLA",Algorithms!$A:$A,0)),0)*Z569</f>
        <v>0</v>
      </c>
      <c r="CD569" s="266">
        <f ca="1">Q569*IFERROR(INDEX(Algorithms!$G:$G,MATCH($C569&amp;"_Therm Saved per Unit- MLA",Algorithms!$A:$A,0)),0)*AA569</f>
        <v>0</v>
      </c>
      <c r="CE569" s="266">
        <f ca="1">IFERROR(INDEX(Algorithms!$G:$G,MATCH($C569&amp;"_Lifetime (years)",Algorithms!$A:$A,0)),0)</f>
        <v>6</v>
      </c>
      <c r="CF569" s="266">
        <f ca="1">IFERROR(INDEX(Algorithms!$G:$G,MATCH($C569&amp;"_Lifetime (years) - Remaining Years",Algorithms!$A:$A,0)),0)</f>
        <v>0</v>
      </c>
      <c r="CG569" s="266">
        <f t="shared" ca="1" si="353"/>
        <v>0</v>
      </c>
      <c r="CH569" s="266">
        <f t="shared" ca="1" si="354"/>
        <v>0</v>
      </c>
      <c r="CI569" s="266">
        <f t="shared" ca="1" si="355"/>
        <v>0</v>
      </c>
      <c r="CJ569" s="266">
        <f t="shared" ca="1" si="356"/>
        <v>0</v>
      </c>
      <c r="CK569" s="266">
        <f t="shared" si="357"/>
        <v>0</v>
      </c>
      <c r="CL569" s="266">
        <f t="shared" si="358"/>
        <v>0</v>
      </c>
      <c r="CM569" s="266">
        <f t="shared" ca="1" si="359"/>
        <v>0</v>
      </c>
      <c r="CN569" s="266">
        <f t="shared" ca="1" si="360"/>
        <v>0</v>
      </c>
      <c r="CO569" s="266">
        <f ca="1">N569*IFERROR(INDEX(Algorithms!$G:$G,MATCH($C569&amp;"_Therm Saved per Unit- MLA",Algorithms!$A:$A,0)),0)*X569</f>
        <v>0</v>
      </c>
      <c r="CP569" s="266">
        <f ca="1">O569*IFERROR(INDEX(Algorithms!$G:$G,MATCH($C569&amp;"_Therm Saved per Unit- MLA",Algorithms!$A:$A,0)),0)*Y569</f>
        <v>0</v>
      </c>
      <c r="CQ569" s="266">
        <f ca="1">P569*IFERROR(INDEX(Algorithms!$G:$G,MATCH($C569&amp;"_Therm Saved per Unit- MLA",Algorithms!$A:$A,0)),0)*Z569</f>
        <v>0</v>
      </c>
      <c r="CR569" s="266">
        <f ca="1">Q569*IFERROR(INDEX(Algorithms!$G:$G,MATCH($C569&amp;"_Therm Saved per Unit- MLA",Algorithms!$A:$A,0)),0)*AA569</f>
        <v>0</v>
      </c>
      <c r="CS569" s="266">
        <f ca="1">IFERROR(INDEX(Algorithms!$G:$G,MATCH($C569&amp;"_Lifetime (years)",Algorithms!$A:$A,0)),0)</f>
        <v>6</v>
      </c>
      <c r="CT569" s="266">
        <f ca="1">IFERROR(INDEX(Algorithms!$G:$G,MATCH($C569&amp;"_Lifetime (years) - Remaining Years",Algorithms!$A:$A,0)),0)</f>
        <v>0</v>
      </c>
      <c r="CU569" s="266">
        <f t="shared" ca="1" si="361"/>
        <v>0</v>
      </c>
      <c r="CV569" s="266">
        <f t="shared" ca="1" si="362"/>
        <v>0</v>
      </c>
      <c r="CW569" s="266">
        <f t="shared" ca="1" si="363"/>
        <v>0</v>
      </c>
      <c r="CX569" s="266">
        <f t="shared" ca="1" si="364"/>
        <v>0</v>
      </c>
    </row>
    <row r="570" spans="2:102" s="47" customFormat="1" ht="18" customHeight="1" x14ac:dyDescent="0.25">
      <c r="B570" t="str">
        <f t="shared" si="365"/>
        <v>NSG_Business_Public Sector_Rebates_Steam Traps_Dry Cleaner/Industrial - Audit_MF/CI/SMB</v>
      </c>
      <c r="C570" s="47" t="str">
        <f t="shared" si="326"/>
        <v>Steam Traps_Dry Cleaner/Industrial - Audit_MF/CI/SMB</v>
      </c>
      <c r="D570" s="270" t="s">
        <v>1787</v>
      </c>
      <c r="E570" s="270" t="s">
        <v>3</v>
      </c>
      <c r="F570" s="270" t="s">
        <v>1430</v>
      </c>
      <c r="G570" s="270" t="s">
        <v>1429</v>
      </c>
      <c r="H570" s="270" t="s">
        <v>644</v>
      </c>
      <c r="I570" s="270" t="s">
        <v>1275</v>
      </c>
      <c r="J570" s="270" t="s">
        <v>662</v>
      </c>
      <c r="K570" s="263">
        <v>1</v>
      </c>
      <c r="L570" s="263" t="str">
        <f ca="1">IFERROR(INDEX(Algorithms!J:J,MATCH($C570&amp;"_Therm Saved per Unit",Algorithms!$A:$A,0)),"n/a")</f>
        <v>4.4.16</v>
      </c>
      <c r="M570" s="263" t="str">
        <f>IFERROR(INDEX('Measure Level Detail'!$N:$N,MATCH($B570,'Measure Level Detail'!$B:$B,0)),0)</f>
        <v>each</v>
      </c>
      <c r="N570" s="271">
        <f>IFERROR(INDEX('Measure Level Detail'!$P:$P,MATCH($B570&amp;"_"&amp;N$3,'Measure Level Detail'!$C:$C,0)),0)</f>
        <v>0</v>
      </c>
      <c r="O570" s="271">
        <f>IFERROR(INDEX('Measure Level Detail'!$P:$P,MATCH($B570&amp;"_"&amp;O$3,'Measure Level Detail'!$C:$C,0)),0)</f>
        <v>0</v>
      </c>
      <c r="P570" s="271">
        <f>IFERROR(INDEX('Measure Level Detail'!$P:$P,MATCH($B570&amp;"_"&amp;P$3,'Measure Level Detail'!$C:$C,0)),0)</f>
        <v>0</v>
      </c>
      <c r="Q570" s="271">
        <f>IFERROR(INDEX('Measure Level Detail'!$P:$P,MATCH($B570&amp;"_"&amp;Q$3,'Measure Level Detail'!$C:$C,0)),0)</f>
        <v>0</v>
      </c>
      <c r="R570" s="263" t="str">
        <f ca="1">IFERROR(INDEX(Algorithms!K:K,MATCH($C570&amp;"_Therm Saved per Unit",Algorithms!$A:$A,0)),"n/a")</f>
        <v>CI-HVC-STRE-V10-240101</v>
      </c>
      <c r="S570" s="262"/>
      <c r="T570" s="272">
        <v>648.01334476360694</v>
      </c>
      <c r="U570" s="272">
        <v>648.01334476360694</v>
      </c>
      <c r="V570" s="272">
        <v>648.01334476360694</v>
      </c>
      <c r="W570" s="272">
        <v>648.01334476360694</v>
      </c>
      <c r="X570" s="276">
        <v>0.92</v>
      </c>
      <c r="Y570" s="276">
        <v>0.92</v>
      </c>
      <c r="Z570" s="276">
        <v>0.92</v>
      </c>
      <c r="AA570" s="276">
        <v>0.92</v>
      </c>
      <c r="AB570" s="266">
        <f t="shared" si="327"/>
        <v>0</v>
      </c>
      <c r="AC570" s="266">
        <f t="shared" si="328"/>
        <v>0</v>
      </c>
      <c r="AD570" s="266">
        <f t="shared" si="329"/>
        <v>0</v>
      </c>
      <c r="AE570" s="266">
        <f t="shared" si="330"/>
        <v>0</v>
      </c>
      <c r="AF570" s="266">
        <f t="shared" si="331"/>
        <v>0</v>
      </c>
      <c r="AG570" s="274">
        <v>0.92</v>
      </c>
      <c r="AH570" s="274">
        <v>0.92</v>
      </c>
      <c r="AI570" s="274">
        <v>0.92</v>
      </c>
      <c r="AJ570" s="274">
        <v>0.92</v>
      </c>
      <c r="AK570" s="274">
        <f t="shared" si="332"/>
        <v>0.92</v>
      </c>
      <c r="AL570" s="274">
        <f t="shared" si="333"/>
        <v>0.92</v>
      </c>
      <c r="AM570" s="274">
        <f t="shared" si="334"/>
        <v>0.92</v>
      </c>
      <c r="AN570" s="274">
        <f t="shared" si="335"/>
        <v>0.92</v>
      </c>
      <c r="AO570" s="262"/>
      <c r="AP570" s="262"/>
      <c r="AQ570" s="267">
        <v>648.01334476360694</v>
      </c>
      <c r="AR570" s="262"/>
      <c r="AS570" s="266">
        <f t="shared" si="336"/>
        <v>0</v>
      </c>
      <c r="AT570" s="264">
        <f t="shared" si="337"/>
        <v>0</v>
      </c>
      <c r="AU570" s="262"/>
      <c r="AV570" s="262"/>
      <c r="AW570" s="265">
        <v>648.01334476360694</v>
      </c>
      <c r="AX570" s="164" t="s">
        <v>2397</v>
      </c>
      <c r="AY570" s="266">
        <v>0</v>
      </c>
      <c r="AZ570" s="266">
        <f t="shared" si="338"/>
        <v>0</v>
      </c>
      <c r="BA570" s="264">
        <f t="shared" si="339"/>
        <v>0</v>
      </c>
      <c r="BB570" s="262"/>
      <c r="BC570" s="262"/>
      <c r="BD570" s="265">
        <f ca="1">IFERROR(INDEX(Algorithms!$G:$G,MATCH($C570&amp;"_Therm Saved per Unit",Algorithms!$A:$A,0)),0)</f>
        <v>648.01334476360694</v>
      </c>
      <c r="BE570" s="164" t="str">
        <f ca="1">IFERROR(INDEX('v12 Revisions'!$P$29:$P$186, MATCH('Measure-Level Adj Gas'!$L570, 'v12 Revisions'!$D$29:$D$186,0)),"")</f>
        <v>n/a - costs only.</v>
      </c>
      <c r="BF570" s="266">
        <f t="shared" ca="1" si="340"/>
        <v>0</v>
      </c>
      <c r="BG570" s="264">
        <f t="shared" ca="1" si="341"/>
        <v>0</v>
      </c>
      <c r="BH570" s="262"/>
      <c r="BI570" s="262"/>
      <c r="BJ570" s="265">
        <f ca="1">IFERROR(INDEX(Algorithms!$G:$G,MATCH($C570&amp;"_Therm Saved per Unit",Algorithms!$A:$A,0)),0)</f>
        <v>648.01334476360694</v>
      </c>
      <c r="BK570" s="164"/>
      <c r="BL570" s="266">
        <f t="shared" ca="1" si="342"/>
        <v>0</v>
      </c>
      <c r="BM570" s="264">
        <f t="shared" ca="1" si="343"/>
        <v>0</v>
      </c>
      <c r="BN570" s="266">
        <f t="shared" si="344"/>
        <v>0</v>
      </c>
      <c r="BO570" s="266">
        <f t="shared" si="345"/>
        <v>0</v>
      </c>
      <c r="BP570" s="266">
        <f t="shared" ca="1" si="346"/>
        <v>0</v>
      </c>
      <c r="BQ570" s="266">
        <f t="shared" ca="1" si="347"/>
        <v>0</v>
      </c>
      <c r="BR570" s="268">
        <f t="shared" ca="1" si="348"/>
        <v>0</v>
      </c>
      <c r="BS570" s="262" t="s">
        <v>99</v>
      </c>
      <c r="BT570" s="277"/>
      <c r="BW570" s="266">
        <f t="shared" si="349"/>
        <v>0</v>
      </c>
      <c r="BX570" s="266">
        <f t="shared" si="350"/>
        <v>0</v>
      </c>
      <c r="BY570" s="266">
        <f t="shared" si="351"/>
        <v>0</v>
      </c>
      <c r="BZ570" s="266">
        <f t="shared" si="352"/>
        <v>0</v>
      </c>
      <c r="CA570" s="266">
        <f ca="1">N570*IFERROR(INDEX(Algorithms!$G:$G,MATCH($C570&amp;"_Therm Saved per Unit- MLA",Algorithms!$A:$A,0)),0)*X570</f>
        <v>0</v>
      </c>
      <c r="CB570" s="266">
        <f ca="1">O570*IFERROR(INDEX(Algorithms!$G:$G,MATCH($C570&amp;"_Therm Saved per Unit- MLA",Algorithms!$A:$A,0)),0)*Y570</f>
        <v>0</v>
      </c>
      <c r="CC570" s="266">
        <f ca="1">P570*IFERROR(INDEX(Algorithms!$G:$G,MATCH($C570&amp;"_Therm Saved per Unit- MLA",Algorithms!$A:$A,0)),0)*Z570</f>
        <v>0</v>
      </c>
      <c r="CD570" s="266">
        <f ca="1">Q570*IFERROR(INDEX(Algorithms!$G:$G,MATCH($C570&amp;"_Therm Saved per Unit- MLA",Algorithms!$A:$A,0)),0)*AA570</f>
        <v>0</v>
      </c>
      <c r="CE570" s="266">
        <f ca="1">IFERROR(INDEX(Algorithms!$G:$G,MATCH($C570&amp;"_Lifetime (years)",Algorithms!$A:$A,0)),0)</f>
        <v>6</v>
      </c>
      <c r="CF570" s="266">
        <f ca="1">IFERROR(INDEX(Algorithms!$G:$G,MATCH($C570&amp;"_Lifetime (years) - Remaining Years",Algorithms!$A:$A,0)),0)</f>
        <v>0</v>
      </c>
      <c r="CG570" s="266">
        <f t="shared" ca="1" si="353"/>
        <v>0</v>
      </c>
      <c r="CH570" s="266">
        <f t="shared" ca="1" si="354"/>
        <v>0</v>
      </c>
      <c r="CI570" s="266">
        <f t="shared" ca="1" si="355"/>
        <v>0</v>
      </c>
      <c r="CJ570" s="266">
        <f t="shared" ca="1" si="356"/>
        <v>0</v>
      </c>
      <c r="CK570" s="266">
        <f t="shared" si="357"/>
        <v>0</v>
      </c>
      <c r="CL570" s="266">
        <f t="shared" si="358"/>
        <v>0</v>
      </c>
      <c r="CM570" s="266">
        <f t="shared" ca="1" si="359"/>
        <v>0</v>
      </c>
      <c r="CN570" s="266">
        <f t="shared" ca="1" si="360"/>
        <v>0</v>
      </c>
      <c r="CO570" s="266">
        <f ca="1">N570*IFERROR(INDEX(Algorithms!$G:$G,MATCH($C570&amp;"_Therm Saved per Unit- MLA",Algorithms!$A:$A,0)),0)*X570</f>
        <v>0</v>
      </c>
      <c r="CP570" s="266">
        <f ca="1">O570*IFERROR(INDEX(Algorithms!$G:$G,MATCH($C570&amp;"_Therm Saved per Unit- MLA",Algorithms!$A:$A,0)),0)*Y570</f>
        <v>0</v>
      </c>
      <c r="CQ570" s="266">
        <f ca="1">P570*IFERROR(INDEX(Algorithms!$G:$G,MATCH($C570&amp;"_Therm Saved per Unit- MLA",Algorithms!$A:$A,0)),0)*Z570</f>
        <v>0</v>
      </c>
      <c r="CR570" s="266">
        <f ca="1">Q570*IFERROR(INDEX(Algorithms!$G:$G,MATCH($C570&amp;"_Therm Saved per Unit- MLA",Algorithms!$A:$A,0)),0)*AA570</f>
        <v>0</v>
      </c>
      <c r="CS570" s="266">
        <f ca="1">IFERROR(INDEX(Algorithms!$G:$G,MATCH($C570&amp;"_Lifetime (years)",Algorithms!$A:$A,0)),0)</f>
        <v>6</v>
      </c>
      <c r="CT570" s="266">
        <f ca="1">IFERROR(INDEX(Algorithms!$G:$G,MATCH($C570&amp;"_Lifetime (years) - Remaining Years",Algorithms!$A:$A,0)),0)</f>
        <v>0</v>
      </c>
      <c r="CU570" s="266">
        <f t="shared" ca="1" si="361"/>
        <v>0</v>
      </c>
      <c r="CV570" s="266">
        <f t="shared" ca="1" si="362"/>
        <v>0</v>
      </c>
      <c r="CW570" s="266">
        <f t="shared" ca="1" si="363"/>
        <v>0</v>
      </c>
      <c r="CX570" s="266">
        <f t="shared" ca="1" si="364"/>
        <v>0</v>
      </c>
    </row>
    <row r="571" spans="2:102" s="47" customFormat="1" ht="18" customHeight="1" x14ac:dyDescent="0.25">
      <c r="B571" t="str">
        <f t="shared" si="365"/>
        <v>NSG_Business_Public Sector_Rebates_Steam Traps_HVAC Repair/Rep - No Audit_CI</v>
      </c>
      <c r="C571" s="47" t="str">
        <f t="shared" si="326"/>
        <v>Steam Traps_HVAC Repair/Rep - No Audit_CI</v>
      </c>
      <c r="D571" s="270" t="s">
        <v>1787</v>
      </c>
      <c r="E571" s="270" t="s">
        <v>3</v>
      </c>
      <c r="F571" s="270" t="s">
        <v>1430</v>
      </c>
      <c r="G571" s="270" t="s">
        <v>1429</v>
      </c>
      <c r="H571" s="270" t="s">
        <v>644</v>
      </c>
      <c r="I571" s="270" t="s">
        <v>660</v>
      </c>
      <c r="J571" s="270" t="s">
        <v>1159</v>
      </c>
      <c r="K571" s="263">
        <v>1</v>
      </c>
      <c r="L571" s="263" t="str">
        <f ca="1">IFERROR(INDEX(Algorithms!J:J,MATCH($C571&amp;"_Therm Saved per Unit",Algorithms!$A:$A,0)),"n/a")</f>
        <v>4.4.16</v>
      </c>
      <c r="M571" s="263" t="str">
        <f>IFERROR(INDEX('Measure Level Detail'!$N:$N,MATCH($B571,'Measure Level Detail'!$B:$B,0)),0)</f>
        <v>each</v>
      </c>
      <c r="N571" s="271">
        <f>IFERROR(INDEX('Measure Level Detail'!$P:$P,MATCH($B571&amp;"_"&amp;N$3,'Measure Level Detail'!$C:$C,0)),0)</f>
        <v>0</v>
      </c>
      <c r="O571" s="271">
        <f>IFERROR(INDEX('Measure Level Detail'!$P:$P,MATCH($B571&amp;"_"&amp;O$3,'Measure Level Detail'!$C:$C,0)),0)</f>
        <v>0</v>
      </c>
      <c r="P571" s="271">
        <f>IFERROR(INDEX('Measure Level Detail'!$P:$P,MATCH($B571&amp;"_"&amp;P$3,'Measure Level Detail'!$C:$C,0)),0)</f>
        <v>0</v>
      </c>
      <c r="Q571" s="271">
        <f>IFERROR(INDEX('Measure Level Detail'!$P:$P,MATCH($B571&amp;"_"&amp;Q$3,'Measure Level Detail'!$C:$C,0)),0)</f>
        <v>0</v>
      </c>
      <c r="R571" s="263" t="str">
        <f ca="1">IFERROR(INDEX(Algorithms!K:K,MATCH($C571&amp;"_Therm Saved per Unit",Algorithms!$A:$A,0)),"n/a")</f>
        <v>CI-HVC-STRE-V10-240101</v>
      </c>
      <c r="S571" s="262"/>
      <c r="T571" s="272">
        <v>103.61717935878508</v>
      </c>
      <c r="U571" s="272">
        <v>103.61717935878508</v>
      </c>
      <c r="V571" s="272">
        <v>103.61717935878508</v>
      </c>
      <c r="W571" s="272">
        <v>103.61717935878508</v>
      </c>
      <c r="X571" s="276">
        <v>0.92</v>
      </c>
      <c r="Y571" s="276">
        <v>0.92</v>
      </c>
      <c r="Z571" s="276">
        <v>0.92</v>
      </c>
      <c r="AA571" s="276">
        <v>0.92</v>
      </c>
      <c r="AB571" s="266">
        <f t="shared" si="327"/>
        <v>0</v>
      </c>
      <c r="AC571" s="266">
        <f t="shared" si="328"/>
        <v>0</v>
      </c>
      <c r="AD571" s="266">
        <f t="shared" si="329"/>
        <v>0</v>
      </c>
      <c r="AE571" s="266">
        <f t="shared" si="330"/>
        <v>0</v>
      </c>
      <c r="AF571" s="266">
        <f t="shared" si="331"/>
        <v>0</v>
      </c>
      <c r="AG571" s="274">
        <v>0.92</v>
      </c>
      <c r="AH571" s="274">
        <v>0.92</v>
      </c>
      <c r="AI571" s="274">
        <v>0.92</v>
      </c>
      <c r="AJ571" s="274">
        <v>0.92</v>
      </c>
      <c r="AK571" s="274">
        <f t="shared" si="332"/>
        <v>0.92</v>
      </c>
      <c r="AL571" s="274">
        <f t="shared" si="333"/>
        <v>0.92</v>
      </c>
      <c r="AM571" s="274">
        <f t="shared" si="334"/>
        <v>0.92</v>
      </c>
      <c r="AN571" s="274">
        <f t="shared" si="335"/>
        <v>0.92</v>
      </c>
      <c r="AO571" s="262"/>
      <c r="AP571" s="262"/>
      <c r="AQ571" s="267">
        <v>103.61717935878508</v>
      </c>
      <c r="AR571" s="262"/>
      <c r="AS571" s="266">
        <f t="shared" si="336"/>
        <v>0</v>
      </c>
      <c r="AT571" s="264">
        <f t="shared" si="337"/>
        <v>0</v>
      </c>
      <c r="AU571" s="262"/>
      <c r="AV571" s="262"/>
      <c r="AW571" s="265">
        <v>210.59502881757265</v>
      </c>
      <c r="AX571" s="164" t="s">
        <v>2397</v>
      </c>
      <c r="AY571" s="266">
        <v>0</v>
      </c>
      <c r="AZ571" s="266">
        <f t="shared" si="338"/>
        <v>0</v>
      </c>
      <c r="BA571" s="264">
        <f t="shared" si="339"/>
        <v>0</v>
      </c>
      <c r="BB571" s="262"/>
      <c r="BC571" s="262"/>
      <c r="BD571" s="265">
        <f ca="1">IFERROR(INDEX(Algorithms!$G:$G,MATCH($C571&amp;"_Therm Saved per Unit",Algorithms!$A:$A,0)),0)</f>
        <v>210.59502881757265</v>
      </c>
      <c r="BE571" s="164" t="str">
        <f ca="1">IFERROR(INDEX('v12 Revisions'!$P$29:$P$186, MATCH('Measure-Level Adj Gas'!$L571, 'v12 Revisions'!$D$29:$D$186,0)),"")</f>
        <v>n/a - costs only.</v>
      </c>
      <c r="BF571" s="266">
        <f t="shared" ca="1" si="340"/>
        <v>0</v>
      </c>
      <c r="BG571" s="264">
        <f t="shared" ca="1" si="341"/>
        <v>0</v>
      </c>
      <c r="BH571" s="262"/>
      <c r="BI571" s="262"/>
      <c r="BJ571" s="265">
        <f ca="1">IFERROR(INDEX(Algorithms!$G:$G,MATCH($C571&amp;"_Therm Saved per Unit",Algorithms!$A:$A,0)),0)</f>
        <v>210.59502881757265</v>
      </c>
      <c r="BK571" s="164"/>
      <c r="BL571" s="266">
        <f t="shared" ca="1" si="342"/>
        <v>0</v>
      </c>
      <c r="BM571" s="264">
        <f t="shared" ca="1" si="343"/>
        <v>0</v>
      </c>
      <c r="BN571" s="266">
        <f t="shared" si="344"/>
        <v>0</v>
      </c>
      <c r="BO571" s="266">
        <f t="shared" si="345"/>
        <v>0</v>
      </c>
      <c r="BP571" s="266">
        <f t="shared" ca="1" si="346"/>
        <v>0</v>
      </c>
      <c r="BQ571" s="266">
        <f t="shared" ca="1" si="347"/>
        <v>0</v>
      </c>
      <c r="BR571" s="268">
        <f t="shared" ca="1" si="348"/>
        <v>0</v>
      </c>
      <c r="BS571" s="262" t="s">
        <v>99</v>
      </c>
      <c r="BT571" s="277"/>
      <c r="BW571" s="266">
        <f t="shared" si="349"/>
        <v>0</v>
      </c>
      <c r="BX571" s="266">
        <f t="shared" si="350"/>
        <v>0</v>
      </c>
      <c r="BY571" s="266">
        <f t="shared" si="351"/>
        <v>0</v>
      </c>
      <c r="BZ571" s="266">
        <f t="shared" si="352"/>
        <v>0</v>
      </c>
      <c r="CA571" s="266">
        <f ca="1">N571*IFERROR(INDEX(Algorithms!$G:$G,MATCH($C571&amp;"_Therm Saved per Unit- MLA",Algorithms!$A:$A,0)),0)*X571</f>
        <v>0</v>
      </c>
      <c r="CB571" s="266">
        <f ca="1">O571*IFERROR(INDEX(Algorithms!$G:$G,MATCH($C571&amp;"_Therm Saved per Unit- MLA",Algorithms!$A:$A,0)),0)*Y571</f>
        <v>0</v>
      </c>
      <c r="CC571" s="266">
        <f ca="1">P571*IFERROR(INDEX(Algorithms!$G:$G,MATCH($C571&amp;"_Therm Saved per Unit- MLA",Algorithms!$A:$A,0)),0)*Z571</f>
        <v>0</v>
      </c>
      <c r="CD571" s="266">
        <f ca="1">Q571*IFERROR(INDEX(Algorithms!$G:$G,MATCH($C571&amp;"_Therm Saved per Unit- MLA",Algorithms!$A:$A,0)),0)*AA571</f>
        <v>0</v>
      </c>
      <c r="CE571" s="266">
        <f ca="1">IFERROR(INDEX(Algorithms!$G:$G,MATCH($C571&amp;"_Lifetime (years)",Algorithms!$A:$A,0)),0)</f>
        <v>6</v>
      </c>
      <c r="CF571" s="266">
        <f ca="1">IFERROR(INDEX(Algorithms!$G:$G,MATCH($C571&amp;"_Lifetime (years) - Remaining Years",Algorithms!$A:$A,0)),0)</f>
        <v>0</v>
      </c>
      <c r="CG571" s="266">
        <f t="shared" ca="1" si="353"/>
        <v>0</v>
      </c>
      <c r="CH571" s="266">
        <f t="shared" ca="1" si="354"/>
        <v>0</v>
      </c>
      <c r="CI571" s="266">
        <f t="shared" ca="1" si="355"/>
        <v>0</v>
      </c>
      <c r="CJ571" s="266">
        <f t="shared" ca="1" si="356"/>
        <v>0</v>
      </c>
      <c r="CK571" s="266">
        <f t="shared" si="357"/>
        <v>0</v>
      </c>
      <c r="CL571" s="266">
        <f t="shared" si="358"/>
        <v>0</v>
      </c>
      <c r="CM571" s="266">
        <f t="shared" ca="1" si="359"/>
        <v>0</v>
      </c>
      <c r="CN571" s="266">
        <f t="shared" ca="1" si="360"/>
        <v>0</v>
      </c>
      <c r="CO571" s="266">
        <f ca="1">N571*IFERROR(INDEX(Algorithms!$G:$G,MATCH($C571&amp;"_Therm Saved per Unit- MLA",Algorithms!$A:$A,0)),0)*X571</f>
        <v>0</v>
      </c>
      <c r="CP571" s="266">
        <f ca="1">O571*IFERROR(INDEX(Algorithms!$G:$G,MATCH($C571&amp;"_Therm Saved per Unit- MLA",Algorithms!$A:$A,0)),0)*Y571</f>
        <v>0</v>
      </c>
      <c r="CQ571" s="266">
        <f ca="1">P571*IFERROR(INDEX(Algorithms!$G:$G,MATCH($C571&amp;"_Therm Saved per Unit- MLA",Algorithms!$A:$A,0)),0)*Z571</f>
        <v>0</v>
      </c>
      <c r="CR571" s="266">
        <f ca="1">Q571*IFERROR(INDEX(Algorithms!$G:$G,MATCH($C571&amp;"_Therm Saved per Unit- MLA",Algorithms!$A:$A,0)),0)*AA571</f>
        <v>0</v>
      </c>
      <c r="CS571" s="266">
        <f ca="1">IFERROR(INDEX(Algorithms!$G:$G,MATCH($C571&amp;"_Lifetime (years)",Algorithms!$A:$A,0)),0)</f>
        <v>6</v>
      </c>
      <c r="CT571" s="266">
        <f ca="1">IFERROR(INDEX(Algorithms!$G:$G,MATCH($C571&amp;"_Lifetime (years) - Remaining Years",Algorithms!$A:$A,0)),0)</f>
        <v>0</v>
      </c>
      <c r="CU571" s="266">
        <f t="shared" ca="1" si="361"/>
        <v>0</v>
      </c>
      <c r="CV571" s="266">
        <f t="shared" ca="1" si="362"/>
        <v>0</v>
      </c>
      <c r="CW571" s="266">
        <f t="shared" ca="1" si="363"/>
        <v>0</v>
      </c>
      <c r="CX571" s="266">
        <f t="shared" ca="1" si="364"/>
        <v>0</v>
      </c>
    </row>
    <row r="572" spans="2:102" s="47" customFormat="1" ht="18" customHeight="1" x14ac:dyDescent="0.25">
      <c r="B572" t="str">
        <f t="shared" si="365"/>
        <v>NSG_Business_Public Sector_Rebates_Steam Traps_Industrial/Process Audit - psig ≤ 15_CI/SMB</v>
      </c>
      <c r="C572" s="47" t="str">
        <f t="shared" si="326"/>
        <v>Steam Traps_Industrial/Process Audit - psig ≤ 15_CI/SMB</v>
      </c>
      <c r="D572" s="270" t="s">
        <v>1787</v>
      </c>
      <c r="E572" s="270" t="s">
        <v>3</v>
      </c>
      <c r="F572" s="270" t="s">
        <v>1430</v>
      </c>
      <c r="G572" s="270" t="s">
        <v>1429</v>
      </c>
      <c r="H572" s="270" t="s">
        <v>644</v>
      </c>
      <c r="I572" s="270" t="s">
        <v>1383</v>
      </c>
      <c r="J572" s="270" t="s">
        <v>970</v>
      </c>
      <c r="K572" s="263">
        <v>1</v>
      </c>
      <c r="L572" s="263" t="str">
        <f ca="1">IFERROR(INDEX(Algorithms!J:J,MATCH($C572&amp;"_Therm Saved per Unit",Algorithms!$A:$A,0)),"n/a")</f>
        <v>4.4.16</v>
      </c>
      <c r="M572" s="263" t="str">
        <f>IFERROR(INDEX('Measure Level Detail'!$N:$N,MATCH($B572,'Measure Level Detail'!$B:$B,0)),0)</f>
        <v>each</v>
      </c>
      <c r="N572" s="271">
        <f>IFERROR(INDEX('Measure Level Detail'!$P:$P,MATCH($B572&amp;"_"&amp;N$3,'Measure Level Detail'!$C:$C,0)),0)</f>
        <v>0</v>
      </c>
      <c r="O572" s="271">
        <f>IFERROR(INDEX('Measure Level Detail'!$P:$P,MATCH($B572&amp;"_"&amp;O$3,'Measure Level Detail'!$C:$C,0)),0)</f>
        <v>0</v>
      </c>
      <c r="P572" s="271">
        <f>IFERROR(INDEX('Measure Level Detail'!$P:$P,MATCH($B572&amp;"_"&amp;P$3,'Measure Level Detail'!$C:$C,0)),0)</f>
        <v>0</v>
      </c>
      <c r="Q572" s="271">
        <f>IFERROR(INDEX('Measure Level Detail'!$P:$P,MATCH($B572&amp;"_"&amp;Q$3,'Measure Level Detail'!$C:$C,0)),0)</f>
        <v>0</v>
      </c>
      <c r="R572" s="263" t="str">
        <f ca="1">IFERROR(INDEX(Algorithms!K:K,MATCH($C572&amp;"_Therm Saved per Unit",Algorithms!$A:$A,0)),"n/a")</f>
        <v>CI-HVC-STRE-V10-240101</v>
      </c>
      <c r="S572" s="262"/>
      <c r="T572" s="272">
        <v>788.87094440257943</v>
      </c>
      <c r="U572" s="272">
        <v>788.87094440257943</v>
      </c>
      <c r="V572" s="272">
        <v>788.87094440257943</v>
      </c>
      <c r="W572" s="272">
        <v>788.87094440257943</v>
      </c>
      <c r="X572" s="276">
        <v>0.92</v>
      </c>
      <c r="Y572" s="276">
        <v>0.92</v>
      </c>
      <c r="Z572" s="276">
        <v>0.92</v>
      </c>
      <c r="AA572" s="276">
        <v>0.92</v>
      </c>
      <c r="AB572" s="266">
        <f t="shared" si="327"/>
        <v>0</v>
      </c>
      <c r="AC572" s="266">
        <f t="shared" si="328"/>
        <v>0</v>
      </c>
      <c r="AD572" s="266">
        <f t="shared" si="329"/>
        <v>0</v>
      </c>
      <c r="AE572" s="266">
        <f t="shared" si="330"/>
        <v>0</v>
      </c>
      <c r="AF572" s="266">
        <f t="shared" si="331"/>
        <v>0</v>
      </c>
      <c r="AG572" s="274">
        <v>0.92</v>
      </c>
      <c r="AH572" s="274">
        <v>0.92</v>
      </c>
      <c r="AI572" s="274">
        <v>0.92</v>
      </c>
      <c r="AJ572" s="274">
        <v>0.92</v>
      </c>
      <c r="AK572" s="274">
        <f t="shared" si="332"/>
        <v>0.92</v>
      </c>
      <c r="AL572" s="274">
        <f t="shared" si="333"/>
        <v>0.92</v>
      </c>
      <c r="AM572" s="274">
        <f t="shared" si="334"/>
        <v>0.92</v>
      </c>
      <c r="AN572" s="274">
        <f t="shared" si="335"/>
        <v>0.92</v>
      </c>
      <c r="AO572" s="262"/>
      <c r="AP572" s="262"/>
      <c r="AQ572" s="267">
        <v>788.87094440257943</v>
      </c>
      <c r="AR572" s="262"/>
      <c r="AS572" s="266">
        <f t="shared" si="336"/>
        <v>0</v>
      </c>
      <c r="AT572" s="264">
        <f t="shared" si="337"/>
        <v>0</v>
      </c>
      <c r="AU572" s="262"/>
      <c r="AV572" s="262"/>
      <c r="AW572" s="265">
        <v>1603.3277521921041</v>
      </c>
      <c r="AX572" s="164" t="s">
        <v>2397</v>
      </c>
      <c r="AY572" s="266">
        <v>0</v>
      </c>
      <c r="AZ572" s="266">
        <f t="shared" si="338"/>
        <v>0</v>
      </c>
      <c r="BA572" s="264">
        <f t="shared" si="339"/>
        <v>0</v>
      </c>
      <c r="BB572" s="262"/>
      <c r="BC572" s="262"/>
      <c r="BD572" s="265">
        <f ca="1">IFERROR(INDEX(Algorithms!$G:$G,MATCH($C572&amp;"_Therm Saved per Unit",Algorithms!$A:$A,0)),0)</f>
        <v>1603.3277521921041</v>
      </c>
      <c r="BE572" s="164" t="str">
        <f ca="1">IFERROR(INDEX('v12 Revisions'!$P$29:$P$186, MATCH('Measure-Level Adj Gas'!$L572, 'v12 Revisions'!$D$29:$D$186,0)),"")</f>
        <v>n/a - costs only.</v>
      </c>
      <c r="BF572" s="266">
        <f t="shared" ca="1" si="340"/>
        <v>0</v>
      </c>
      <c r="BG572" s="264">
        <f t="shared" ca="1" si="341"/>
        <v>0</v>
      </c>
      <c r="BH572" s="262"/>
      <c r="BI572" s="262"/>
      <c r="BJ572" s="265">
        <f ca="1">IFERROR(INDEX(Algorithms!$G:$G,MATCH($C572&amp;"_Therm Saved per Unit",Algorithms!$A:$A,0)),0)</f>
        <v>1603.3277521921041</v>
      </c>
      <c r="BK572" s="164"/>
      <c r="BL572" s="266">
        <f t="shared" ca="1" si="342"/>
        <v>0</v>
      </c>
      <c r="BM572" s="264">
        <f t="shared" ca="1" si="343"/>
        <v>0</v>
      </c>
      <c r="BN572" s="266">
        <f t="shared" si="344"/>
        <v>0</v>
      </c>
      <c r="BO572" s="266">
        <f t="shared" si="345"/>
        <v>0</v>
      </c>
      <c r="BP572" s="266">
        <f t="shared" ca="1" si="346"/>
        <v>0</v>
      </c>
      <c r="BQ572" s="266">
        <f t="shared" ca="1" si="347"/>
        <v>0</v>
      </c>
      <c r="BR572" s="268">
        <f t="shared" ca="1" si="348"/>
        <v>0</v>
      </c>
      <c r="BS572" s="262" t="s">
        <v>99</v>
      </c>
      <c r="BT572" s="277"/>
      <c r="BW572" s="266">
        <f t="shared" si="349"/>
        <v>0</v>
      </c>
      <c r="BX572" s="266">
        <f t="shared" si="350"/>
        <v>0</v>
      </c>
      <c r="BY572" s="266">
        <f t="shared" si="351"/>
        <v>0</v>
      </c>
      <c r="BZ572" s="266">
        <f t="shared" si="352"/>
        <v>0</v>
      </c>
      <c r="CA572" s="266">
        <f ca="1">N572*IFERROR(INDEX(Algorithms!$G:$G,MATCH($C572&amp;"_Therm Saved per Unit- MLA",Algorithms!$A:$A,0)),0)*X572</f>
        <v>0</v>
      </c>
      <c r="CB572" s="266">
        <f ca="1">O572*IFERROR(INDEX(Algorithms!$G:$G,MATCH($C572&amp;"_Therm Saved per Unit- MLA",Algorithms!$A:$A,0)),0)*Y572</f>
        <v>0</v>
      </c>
      <c r="CC572" s="266">
        <f ca="1">P572*IFERROR(INDEX(Algorithms!$G:$G,MATCH($C572&amp;"_Therm Saved per Unit- MLA",Algorithms!$A:$A,0)),0)*Z572</f>
        <v>0</v>
      </c>
      <c r="CD572" s="266">
        <f ca="1">Q572*IFERROR(INDEX(Algorithms!$G:$G,MATCH($C572&amp;"_Therm Saved per Unit- MLA",Algorithms!$A:$A,0)),0)*AA572</f>
        <v>0</v>
      </c>
      <c r="CE572" s="266">
        <f ca="1">IFERROR(INDEX(Algorithms!$G:$G,MATCH($C572&amp;"_Lifetime (years)",Algorithms!$A:$A,0)),0)</f>
        <v>6</v>
      </c>
      <c r="CF572" s="266">
        <f ca="1">IFERROR(INDEX(Algorithms!$G:$G,MATCH($C572&amp;"_Lifetime (years) - Remaining Years",Algorithms!$A:$A,0)),0)</f>
        <v>0</v>
      </c>
      <c r="CG572" s="266">
        <f t="shared" ca="1" si="353"/>
        <v>0</v>
      </c>
      <c r="CH572" s="266">
        <f t="shared" ca="1" si="354"/>
        <v>0</v>
      </c>
      <c r="CI572" s="266">
        <f t="shared" ca="1" si="355"/>
        <v>0</v>
      </c>
      <c r="CJ572" s="266">
        <f t="shared" ca="1" si="356"/>
        <v>0</v>
      </c>
      <c r="CK572" s="266">
        <f t="shared" si="357"/>
        <v>0</v>
      </c>
      <c r="CL572" s="266">
        <f t="shared" si="358"/>
        <v>0</v>
      </c>
      <c r="CM572" s="266">
        <f t="shared" ca="1" si="359"/>
        <v>0</v>
      </c>
      <c r="CN572" s="266">
        <f t="shared" ca="1" si="360"/>
        <v>0</v>
      </c>
      <c r="CO572" s="266">
        <f ca="1">N572*IFERROR(INDEX(Algorithms!$G:$G,MATCH($C572&amp;"_Therm Saved per Unit- MLA",Algorithms!$A:$A,0)),0)*X572</f>
        <v>0</v>
      </c>
      <c r="CP572" s="266">
        <f ca="1">O572*IFERROR(INDEX(Algorithms!$G:$G,MATCH($C572&amp;"_Therm Saved per Unit- MLA",Algorithms!$A:$A,0)),0)*Y572</f>
        <v>0</v>
      </c>
      <c r="CQ572" s="266">
        <f ca="1">P572*IFERROR(INDEX(Algorithms!$G:$G,MATCH($C572&amp;"_Therm Saved per Unit- MLA",Algorithms!$A:$A,0)),0)*Z572</f>
        <v>0</v>
      </c>
      <c r="CR572" s="266">
        <f ca="1">Q572*IFERROR(INDEX(Algorithms!$G:$G,MATCH($C572&amp;"_Therm Saved per Unit- MLA",Algorithms!$A:$A,0)),0)*AA572</f>
        <v>0</v>
      </c>
      <c r="CS572" s="266">
        <f ca="1">IFERROR(INDEX(Algorithms!$G:$G,MATCH($C572&amp;"_Lifetime (years)",Algorithms!$A:$A,0)),0)</f>
        <v>6</v>
      </c>
      <c r="CT572" s="266">
        <f ca="1">IFERROR(INDEX(Algorithms!$G:$G,MATCH($C572&amp;"_Lifetime (years) - Remaining Years",Algorithms!$A:$A,0)),0)</f>
        <v>0</v>
      </c>
      <c r="CU572" s="266">
        <f t="shared" ca="1" si="361"/>
        <v>0</v>
      </c>
      <c r="CV572" s="266">
        <f t="shared" ca="1" si="362"/>
        <v>0</v>
      </c>
      <c r="CW572" s="266">
        <f t="shared" ca="1" si="363"/>
        <v>0</v>
      </c>
      <c r="CX572" s="266">
        <f t="shared" ca="1" si="364"/>
        <v>0</v>
      </c>
    </row>
    <row r="573" spans="2:102" s="47" customFormat="1" ht="18" customHeight="1" x14ac:dyDescent="0.25">
      <c r="B573" t="str">
        <f t="shared" si="365"/>
        <v>NSG_Business_Public Sector_Rebates_Steam Traps_Industrial/Process Audit - 15 &lt; psig &lt; 30_CI/SMB</v>
      </c>
      <c r="C573" s="47" t="str">
        <f t="shared" si="326"/>
        <v>Steam Traps_Industrial/Process Audit - 15 &lt; psig &lt; 30_CI/SMB</v>
      </c>
      <c r="D573" s="270" t="s">
        <v>1787</v>
      </c>
      <c r="E573" s="270" t="s">
        <v>3</v>
      </c>
      <c r="F573" s="270" t="s">
        <v>1430</v>
      </c>
      <c r="G573" s="270" t="s">
        <v>1429</v>
      </c>
      <c r="H573" s="270" t="s">
        <v>644</v>
      </c>
      <c r="I573" s="270" t="s">
        <v>1384</v>
      </c>
      <c r="J573" s="270" t="s">
        <v>970</v>
      </c>
      <c r="K573" s="263">
        <v>1</v>
      </c>
      <c r="L573" s="263" t="str">
        <f ca="1">IFERROR(INDEX(Algorithms!J:J,MATCH($C573&amp;"_Therm Saved per Unit",Algorithms!$A:$A,0)),"n/a")</f>
        <v>4.4.16</v>
      </c>
      <c r="M573" s="263" t="str">
        <f>IFERROR(INDEX('Measure Level Detail'!$N:$N,MATCH($B573,'Measure Level Detail'!$B:$B,0)),0)</f>
        <v>each</v>
      </c>
      <c r="N573" s="271">
        <f>IFERROR(INDEX('Measure Level Detail'!$P:$P,MATCH($B573&amp;"_"&amp;N$3,'Measure Level Detail'!$C:$C,0)),0)</f>
        <v>0</v>
      </c>
      <c r="O573" s="271">
        <f>IFERROR(INDEX('Measure Level Detail'!$P:$P,MATCH($B573&amp;"_"&amp;O$3,'Measure Level Detail'!$C:$C,0)),0)</f>
        <v>0</v>
      </c>
      <c r="P573" s="271">
        <f>IFERROR(INDEX('Measure Level Detail'!$P:$P,MATCH($B573&amp;"_"&amp;P$3,'Measure Level Detail'!$C:$C,0)),0)</f>
        <v>0</v>
      </c>
      <c r="Q573" s="271">
        <f>IFERROR(INDEX('Measure Level Detail'!$P:$P,MATCH($B573&amp;"_"&amp;Q$3,'Measure Level Detail'!$C:$C,0)),0)</f>
        <v>0</v>
      </c>
      <c r="R573" s="263" t="str">
        <f ca="1">IFERROR(INDEX(Algorithms!K:K,MATCH($C573&amp;"_Therm Saved per Unit",Algorithms!$A:$A,0)),"n/a")</f>
        <v>CI-HVC-STRE-V10-240101</v>
      </c>
      <c r="S573" s="262"/>
      <c r="T573" s="272">
        <v>758.17043213559668</v>
      </c>
      <c r="U573" s="272">
        <v>758.17043213559668</v>
      </c>
      <c r="V573" s="272">
        <v>758.17043213559668</v>
      </c>
      <c r="W573" s="272">
        <v>758.17043213559668</v>
      </c>
      <c r="X573" s="276">
        <v>0.92</v>
      </c>
      <c r="Y573" s="276">
        <v>0.92</v>
      </c>
      <c r="Z573" s="276">
        <v>0.92</v>
      </c>
      <c r="AA573" s="276">
        <v>0.92</v>
      </c>
      <c r="AB573" s="266">
        <f t="shared" si="327"/>
        <v>0</v>
      </c>
      <c r="AC573" s="266">
        <f t="shared" si="328"/>
        <v>0</v>
      </c>
      <c r="AD573" s="266">
        <f t="shared" si="329"/>
        <v>0</v>
      </c>
      <c r="AE573" s="266">
        <f t="shared" si="330"/>
        <v>0</v>
      </c>
      <c r="AF573" s="266">
        <f t="shared" si="331"/>
        <v>0</v>
      </c>
      <c r="AG573" s="274">
        <v>0.92</v>
      </c>
      <c r="AH573" s="274">
        <v>0.92</v>
      </c>
      <c r="AI573" s="274">
        <v>0.92</v>
      </c>
      <c r="AJ573" s="274">
        <v>0.92</v>
      </c>
      <c r="AK573" s="274">
        <f t="shared" si="332"/>
        <v>0.92</v>
      </c>
      <c r="AL573" s="274">
        <f t="shared" si="333"/>
        <v>0.92</v>
      </c>
      <c r="AM573" s="274">
        <f t="shared" si="334"/>
        <v>0.92</v>
      </c>
      <c r="AN573" s="274">
        <f t="shared" si="335"/>
        <v>0.92</v>
      </c>
      <c r="AO573" s="262"/>
      <c r="AP573" s="262"/>
      <c r="AQ573" s="267">
        <v>758.17043213559668</v>
      </c>
      <c r="AR573" s="262"/>
      <c r="AS573" s="266">
        <f t="shared" si="336"/>
        <v>0</v>
      </c>
      <c r="AT573" s="264">
        <f t="shared" si="337"/>
        <v>0</v>
      </c>
      <c r="AU573" s="262"/>
      <c r="AV573" s="262"/>
      <c r="AW573" s="265">
        <v>758.17043213559668</v>
      </c>
      <c r="AX573" s="164" t="s">
        <v>2397</v>
      </c>
      <c r="AY573" s="266">
        <v>0</v>
      </c>
      <c r="AZ573" s="266">
        <f t="shared" si="338"/>
        <v>0</v>
      </c>
      <c r="BA573" s="264">
        <f t="shared" si="339"/>
        <v>0</v>
      </c>
      <c r="BB573" s="262"/>
      <c r="BC573" s="262"/>
      <c r="BD573" s="265">
        <f ca="1">IFERROR(INDEX(Algorithms!$G:$G,MATCH($C573&amp;"_Therm Saved per Unit",Algorithms!$A:$A,0)),0)</f>
        <v>758.17043213559668</v>
      </c>
      <c r="BE573" s="164" t="str">
        <f ca="1">IFERROR(INDEX('v12 Revisions'!$P$29:$P$186, MATCH('Measure-Level Adj Gas'!$L573, 'v12 Revisions'!$D$29:$D$186,0)),"")</f>
        <v>n/a - costs only.</v>
      </c>
      <c r="BF573" s="266">
        <f t="shared" ca="1" si="340"/>
        <v>0</v>
      </c>
      <c r="BG573" s="264">
        <f t="shared" ca="1" si="341"/>
        <v>0</v>
      </c>
      <c r="BH573" s="262"/>
      <c r="BI573" s="262"/>
      <c r="BJ573" s="265">
        <f ca="1">IFERROR(INDEX(Algorithms!$G:$G,MATCH($C573&amp;"_Therm Saved per Unit",Algorithms!$A:$A,0)),0)</f>
        <v>758.17043213559668</v>
      </c>
      <c r="BK573" s="164"/>
      <c r="BL573" s="266">
        <f t="shared" ca="1" si="342"/>
        <v>0</v>
      </c>
      <c r="BM573" s="264">
        <f t="shared" ca="1" si="343"/>
        <v>0</v>
      </c>
      <c r="BN573" s="266">
        <f t="shared" si="344"/>
        <v>0</v>
      </c>
      <c r="BO573" s="266">
        <f t="shared" si="345"/>
        <v>0</v>
      </c>
      <c r="BP573" s="266">
        <f t="shared" ca="1" si="346"/>
        <v>0</v>
      </c>
      <c r="BQ573" s="266">
        <f t="shared" ca="1" si="347"/>
        <v>0</v>
      </c>
      <c r="BR573" s="268">
        <f t="shared" ca="1" si="348"/>
        <v>0</v>
      </c>
      <c r="BS573" s="262" t="s">
        <v>99</v>
      </c>
      <c r="BT573" s="277"/>
      <c r="BW573" s="266">
        <f t="shared" si="349"/>
        <v>0</v>
      </c>
      <c r="BX573" s="266">
        <f t="shared" si="350"/>
        <v>0</v>
      </c>
      <c r="BY573" s="266">
        <f t="shared" si="351"/>
        <v>0</v>
      </c>
      <c r="BZ573" s="266">
        <f t="shared" si="352"/>
        <v>0</v>
      </c>
      <c r="CA573" s="266">
        <f ca="1">N573*IFERROR(INDEX(Algorithms!$G:$G,MATCH($C573&amp;"_Therm Saved per Unit- MLA",Algorithms!$A:$A,0)),0)*X573</f>
        <v>0</v>
      </c>
      <c r="CB573" s="266">
        <f ca="1">O573*IFERROR(INDEX(Algorithms!$G:$G,MATCH($C573&amp;"_Therm Saved per Unit- MLA",Algorithms!$A:$A,0)),0)*Y573</f>
        <v>0</v>
      </c>
      <c r="CC573" s="266">
        <f ca="1">P573*IFERROR(INDEX(Algorithms!$G:$G,MATCH($C573&amp;"_Therm Saved per Unit- MLA",Algorithms!$A:$A,0)),0)*Z573</f>
        <v>0</v>
      </c>
      <c r="CD573" s="266">
        <f ca="1">Q573*IFERROR(INDEX(Algorithms!$G:$G,MATCH($C573&amp;"_Therm Saved per Unit- MLA",Algorithms!$A:$A,0)),0)*AA573</f>
        <v>0</v>
      </c>
      <c r="CE573" s="266">
        <f ca="1">IFERROR(INDEX(Algorithms!$G:$G,MATCH($C573&amp;"_Lifetime (years)",Algorithms!$A:$A,0)),0)</f>
        <v>6</v>
      </c>
      <c r="CF573" s="266">
        <f ca="1">IFERROR(INDEX(Algorithms!$G:$G,MATCH($C573&amp;"_Lifetime (years) - Remaining Years",Algorithms!$A:$A,0)),0)</f>
        <v>0</v>
      </c>
      <c r="CG573" s="266">
        <f t="shared" ca="1" si="353"/>
        <v>0</v>
      </c>
      <c r="CH573" s="266">
        <f t="shared" ca="1" si="354"/>
        <v>0</v>
      </c>
      <c r="CI573" s="266">
        <f t="shared" ca="1" si="355"/>
        <v>0</v>
      </c>
      <c r="CJ573" s="266">
        <f t="shared" ca="1" si="356"/>
        <v>0</v>
      </c>
      <c r="CK573" s="266">
        <f t="shared" si="357"/>
        <v>0</v>
      </c>
      <c r="CL573" s="266">
        <f t="shared" si="358"/>
        <v>0</v>
      </c>
      <c r="CM573" s="266">
        <f t="shared" ca="1" si="359"/>
        <v>0</v>
      </c>
      <c r="CN573" s="266">
        <f t="shared" ca="1" si="360"/>
        <v>0</v>
      </c>
      <c r="CO573" s="266">
        <f ca="1">N573*IFERROR(INDEX(Algorithms!$G:$G,MATCH($C573&amp;"_Therm Saved per Unit- MLA",Algorithms!$A:$A,0)),0)*X573</f>
        <v>0</v>
      </c>
      <c r="CP573" s="266">
        <f ca="1">O573*IFERROR(INDEX(Algorithms!$G:$G,MATCH($C573&amp;"_Therm Saved per Unit- MLA",Algorithms!$A:$A,0)),0)*Y573</f>
        <v>0</v>
      </c>
      <c r="CQ573" s="266">
        <f ca="1">P573*IFERROR(INDEX(Algorithms!$G:$G,MATCH($C573&amp;"_Therm Saved per Unit- MLA",Algorithms!$A:$A,0)),0)*Z573</f>
        <v>0</v>
      </c>
      <c r="CR573" s="266">
        <f ca="1">Q573*IFERROR(INDEX(Algorithms!$G:$G,MATCH($C573&amp;"_Therm Saved per Unit- MLA",Algorithms!$A:$A,0)),0)*AA573</f>
        <v>0</v>
      </c>
      <c r="CS573" s="266">
        <f ca="1">IFERROR(INDEX(Algorithms!$G:$G,MATCH($C573&amp;"_Lifetime (years)",Algorithms!$A:$A,0)),0)</f>
        <v>6</v>
      </c>
      <c r="CT573" s="266">
        <f ca="1">IFERROR(INDEX(Algorithms!$G:$G,MATCH($C573&amp;"_Lifetime (years) - Remaining Years",Algorithms!$A:$A,0)),0)</f>
        <v>0</v>
      </c>
      <c r="CU573" s="266">
        <f t="shared" ca="1" si="361"/>
        <v>0</v>
      </c>
      <c r="CV573" s="266">
        <f t="shared" ca="1" si="362"/>
        <v>0</v>
      </c>
      <c r="CW573" s="266">
        <f t="shared" ca="1" si="363"/>
        <v>0</v>
      </c>
      <c r="CX573" s="266">
        <f t="shared" ca="1" si="364"/>
        <v>0</v>
      </c>
    </row>
    <row r="574" spans="2:102" s="47" customFormat="1" ht="18" customHeight="1" x14ac:dyDescent="0.25">
      <c r="B574" t="str">
        <f t="shared" si="365"/>
        <v>NSG_Business_Public Sector_Rebates_Steam Traps_Industrial/Process Audit - 30 ≤ psig &lt; 75_CI/SMB</v>
      </c>
      <c r="C574" s="47" t="str">
        <f t="shared" si="326"/>
        <v>Steam Traps_Industrial/Process Audit - 30 ≤ psig &lt; 75_CI/SMB</v>
      </c>
      <c r="D574" s="270" t="s">
        <v>1787</v>
      </c>
      <c r="E574" s="270" t="s">
        <v>3</v>
      </c>
      <c r="F574" s="270" t="s">
        <v>1430</v>
      </c>
      <c r="G574" s="270" t="s">
        <v>1429</v>
      </c>
      <c r="H574" s="270" t="s">
        <v>644</v>
      </c>
      <c r="I574" s="270" t="s">
        <v>1385</v>
      </c>
      <c r="J574" s="270" t="s">
        <v>970</v>
      </c>
      <c r="K574" s="263">
        <v>1</v>
      </c>
      <c r="L574" s="263" t="str">
        <f ca="1">IFERROR(INDEX(Algorithms!J:J,MATCH($C574&amp;"_Therm Saved per Unit",Algorithms!$A:$A,0)),"n/a")</f>
        <v>4.4.16</v>
      </c>
      <c r="M574" s="263" t="str">
        <f>IFERROR(INDEX('Measure Level Detail'!$N:$N,MATCH($B574,'Measure Level Detail'!$B:$B,0)),0)</f>
        <v>each</v>
      </c>
      <c r="N574" s="271">
        <f>IFERROR(INDEX('Measure Level Detail'!$P:$P,MATCH($B574&amp;"_"&amp;N$3,'Measure Level Detail'!$C:$C,0)),0)</f>
        <v>0</v>
      </c>
      <c r="O574" s="271">
        <f>IFERROR(INDEX('Measure Level Detail'!$P:$P,MATCH($B574&amp;"_"&amp;O$3,'Measure Level Detail'!$C:$C,0)),0)</f>
        <v>0</v>
      </c>
      <c r="P574" s="271">
        <f>IFERROR(INDEX('Measure Level Detail'!$P:$P,MATCH($B574&amp;"_"&amp;P$3,'Measure Level Detail'!$C:$C,0)),0)</f>
        <v>0</v>
      </c>
      <c r="Q574" s="271">
        <f>IFERROR(INDEX('Measure Level Detail'!$P:$P,MATCH($B574&amp;"_"&amp;Q$3,'Measure Level Detail'!$C:$C,0)),0)</f>
        <v>0</v>
      </c>
      <c r="R574" s="263" t="str">
        <f ca="1">IFERROR(INDEX(Algorithms!K:K,MATCH($C574&amp;"_Therm Saved per Unit",Algorithms!$A:$A,0)),"n/a")</f>
        <v>CI-HVC-STRE-V10-240101</v>
      </c>
      <c r="S574" s="262"/>
      <c r="T574" s="272">
        <v>2777.6636840634392</v>
      </c>
      <c r="U574" s="272">
        <v>2777.6636840634392</v>
      </c>
      <c r="V574" s="272">
        <v>2777.6636840634392</v>
      </c>
      <c r="W574" s="272">
        <v>2777.6636840634392</v>
      </c>
      <c r="X574" s="276">
        <v>0.92</v>
      </c>
      <c r="Y574" s="276">
        <v>0.92</v>
      </c>
      <c r="Z574" s="276">
        <v>0.92</v>
      </c>
      <c r="AA574" s="276">
        <v>0.92</v>
      </c>
      <c r="AB574" s="266">
        <f t="shared" si="327"/>
        <v>0</v>
      </c>
      <c r="AC574" s="266">
        <f t="shared" si="328"/>
        <v>0</v>
      </c>
      <c r="AD574" s="266">
        <f t="shared" si="329"/>
        <v>0</v>
      </c>
      <c r="AE574" s="266">
        <f t="shared" si="330"/>
        <v>0</v>
      </c>
      <c r="AF574" s="266">
        <f t="shared" si="331"/>
        <v>0</v>
      </c>
      <c r="AG574" s="274">
        <v>0.92</v>
      </c>
      <c r="AH574" s="274">
        <v>0.92</v>
      </c>
      <c r="AI574" s="274">
        <v>0.92</v>
      </c>
      <c r="AJ574" s="274">
        <v>0.92</v>
      </c>
      <c r="AK574" s="274">
        <f t="shared" si="332"/>
        <v>0.92</v>
      </c>
      <c r="AL574" s="274">
        <f t="shared" si="333"/>
        <v>0.92</v>
      </c>
      <c r="AM574" s="274">
        <f t="shared" si="334"/>
        <v>0.92</v>
      </c>
      <c r="AN574" s="274">
        <f t="shared" si="335"/>
        <v>0.92</v>
      </c>
      <c r="AO574" s="262"/>
      <c r="AP574" s="262"/>
      <c r="AQ574" s="267">
        <v>2777.6636840634392</v>
      </c>
      <c r="AR574" s="262"/>
      <c r="AS574" s="266">
        <f t="shared" si="336"/>
        <v>0</v>
      </c>
      <c r="AT574" s="264">
        <f t="shared" si="337"/>
        <v>0</v>
      </c>
      <c r="AU574" s="262"/>
      <c r="AV574" s="262"/>
      <c r="AW574" s="265">
        <v>2777.6636840634392</v>
      </c>
      <c r="AX574" s="164" t="s">
        <v>2397</v>
      </c>
      <c r="AY574" s="266">
        <v>0</v>
      </c>
      <c r="AZ574" s="266">
        <f t="shared" si="338"/>
        <v>0</v>
      </c>
      <c r="BA574" s="264">
        <f t="shared" si="339"/>
        <v>0</v>
      </c>
      <c r="BB574" s="262"/>
      <c r="BC574" s="262"/>
      <c r="BD574" s="265">
        <f ca="1">IFERROR(INDEX(Algorithms!$G:$G,MATCH($C574&amp;"_Therm Saved per Unit",Algorithms!$A:$A,0)),0)</f>
        <v>2777.6636840634392</v>
      </c>
      <c r="BE574" s="164" t="str">
        <f ca="1">IFERROR(INDEX('v12 Revisions'!$P$29:$P$186, MATCH('Measure-Level Adj Gas'!$L574, 'v12 Revisions'!$D$29:$D$186,0)),"")</f>
        <v>n/a - costs only.</v>
      </c>
      <c r="BF574" s="266">
        <f t="shared" ca="1" si="340"/>
        <v>0</v>
      </c>
      <c r="BG574" s="264">
        <f t="shared" ca="1" si="341"/>
        <v>0</v>
      </c>
      <c r="BH574" s="262"/>
      <c r="BI574" s="262"/>
      <c r="BJ574" s="265">
        <f ca="1">IFERROR(INDEX(Algorithms!$G:$G,MATCH($C574&amp;"_Therm Saved per Unit",Algorithms!$A:$A,0)),0)</f>
        <v>2777.6636840634392</v>
      </c>
      <c r="BK574" s="164"/>
      <c r="BL574" s="266">
        <f t="shared" ca="1" si="342"/>
        <v>0</v>
      </c>
      <c r="BM574" s="264">
        <f t="shared" ca="1" si="343"/>
        <v>0</v>
      </c>
      <c r="BN574" s="266">
        <f t="shared" si="344"/>
        <v>0</v>
      </c>
      <c r="BO574" s="266">
        <f t="shared" si="345"/>
        <v>0</v>
      </c>
      <c r="BP574" s="266">
        <f t="shared" ca="1" si="346"/>
        <v>0</v>
      </c>
      <c r="BQ574" s="266">
        <f t="shared" ca="1" si="347"/>
        <v>0</v>
      </c>
      <c r="BR574" s="268">
        <f t="shared" ca="1" si="348"/>
        <v>0</v>
      </c>
      <c r="BS574" s="262" t="s">
        <v>99</v>
      </c>
      <c r="BT574" s="277"/>
      <c r="BW574" s="266">
        <f t="shared" si="349"/>
        <v>0</v>
      </c>
      <c r="BX574" s="266">
        <f t="shared" si="350"/>
        <v>0</v>
      </c>
      <c r="BY574" s="266">
        <f t="shared" si="351"/>
        <v>0</v>
      </c>
      <c r="BZ574" s="266">
        <f t="shared" si="352"/>
        <v>0</v>
      </c>
      <c r="CA574" s="266">
        <f ca="1">N574*IFERROR(INDEX(Algorithms!$G:$G,MATCH($C574&amp;"_Therm Saved per Unit- MLA",Algorithms!$A:$A,0)),0)*X574</f>
        <v>0</v>
      </c>
      <c r="CB574" s="266">
        <f ca="1">O574*IFERROR(INDEX(Algorithms!$G:$G,MATCH($C574&amp;"_Therm Saved per Unit- MLA",Algorithms!$A:$A,0)),0)*Y574</f>
        <v>0</v>
      </c>
      <c r="CC574" s="266">
        <f ca="1">P574*IFERROR(INDEX(Algorithms!$G:$G,MATCH($C574&amp;"_Therm Saved per Unit- MLA",Algorithms!$A:$A,0)),0)*Z574</f>
        <v>0</v>
      </c>
      <c r="CD574" s="266">
        <f ca="1">Q574*IFERROR(INDEX(Algorithms!$G:$G,MATCH($C574&amp;"_Therm Saved per Unit- MLA",Algorithms!$A:$A,0)),0)*AA574</f>
        <v>0</v>
      </c>
      <c r="CE574" s="266">
        <f ca="1">IFERROR(INDEX(Algorithms!$G:$G,MATCH($C574&amp;"_Lifetime (years)",Algorithms!$A:$A,0)),0)</f>
        <v>6</v>
      </c>
      <c r="CF574" s="266">
        <f ca="1">IFERROR(INDEX(Algorithms!$G:$G,MATCH($C574&amp;"_Lifetime (years) - Remaining Years",Algorithms!$A:$A,0)),0)</f>
        <v>0</v>
      </c>
      <c r="CG574" s="266">
        <f t="shared" ca="1" si="353"/>
        <v>0</v>
      </c>
      <c r="CH574" s="266">
        <f t="shared" ca="1" si="354"/>
        <v>0</v>
      </c>
      <c r="CI574" s="266">
        <f t="shared" ca="1" si="355"/>
        <v>0</v>
      </c>
      <c r="CJ574" s="266">
        <f t="shared" ca="1" si="356"/>
        <v>0</v>
      </c>
      <c r="CK574" s="266">
        <f t="shared" si="357"/>
        <v>0</v>
      </c>
      <c r="CL574" s="266">
        <f t="shared" si="358"/>
        <v>0</v>
      </c>
      <c r="CM574" s="266">
        <f t="shared" ca="1" si="359"/>
        <v>0</v>
      </c>
      <c r="CN574" s="266">
        <f t="shared" ca="1" si="360"/>
        <v>0</v>
      </c>
      <c r="CO574" s="266">
        <f ca="1">N574*IFERROR(INDEX(Algorithms!$G:$G,MATCH($C574&amp;"_Therm Saved per Unit- MLA",Algorithms!$A:$A,0)),0)*X574</f>
        <v>0</v>
      </c>
      <c r="CP574" s="266">
        <f ca="1">O574*IFERROR(INDEX(Algorithms!$G:$G,MATCH($C574&amp;"_Therm Saved per Unit- MLA",Algorithms!$A:$A,0)),0)*Y574</f>
        <v>0</v>
      </c>
      <c r="CQ574" s="266">
        <f ca="1">P574*IFERROR(INDEX(Algorithms!$G:$G,MATCH($C574&amp;"_Therm Saved per Unit- MLA",Algorithms!$A:$A,0)),0)*Z574</f>
        <v>0</v>
      </c>
      <c r="CR574" s="266">
        <f ca="1">Q574*IFERROR(INDEX(Algorithms!$G:$G,MATCH($C574&amp;"_Therm Saved per Unit- MLA",Algorithms!$A:$A,0)),0)*AA574</f>
        <v>0</v>
      </c>
      <c r="CS574" s="266">
        <f ca="1">IFERROR(INDEX(Algorithms!$G:$G,MATCH($C574&amp;"_Lifetime (years)",Algorithms!$A:$A,0)),0)</f>
        <v>6</v>
      </c>
      <c r="CT574" s="266">
        <f ca="1">IFERROR(INDEX(Algorithms!$G:$G,MATCH($C574&amp;"_Lifetime (years) - Remaining Years",Algorithms!$A:$A,0)),0)</f>
        <v>0</v>
      </c>
      <c r="CU574" s="266">
        <f t="shared" ca="1" si="361"/>
        <v>0</v>
      </c>
      <c r="CV574" s="266">
        <f t="shared" ca="1" si="362"/>
        <v>0</v>
      </c>
      <c r="CW574" s="266">
        <f t="shared" ca="1" si="363"/>
        <v>0</v>
      </c>
      <c r="CX574" s="266">
        <f t="shared" ca="1" si="364"/>
        <v>0</v>
      </c>
    </row>
    <row r="575" spans="2:102" s="47" customFormat="1" ht="18" customHeight="1" x14ac:dyDescent="0.25">
      <c r="B575" t="str">
        <f t="shared" si="365"/>
        <v>NSG_Business_Public Sector_Rebates_Steam Traps_Industrial/Process Audit - 75 ≤ psig &lt; 125_CI/SMB</v>
      </c>
      <c r="C575" s="47" t="str">
        <f t="shared" si="326"/>
        <v>Steam Traps_Industrial/Process Audit - 75 ≤ psig &lt; 125_CI/SMB</v>
      </c>
      <c r="D575" s="270" t="s">
        <v>1787</v>
      </c>
      <c r="E575" s="270" t="s">
        <v>3</v>
      </c>
      <c r="F575" s="270" t="s">
        <v>1430</v>
      </c>
      <c r="G575" s="270" t="s">
        <v>1429</v>
      </c>
      <c r="H575" s="270" t="s">
        <v>644</v>
      </c>
      <c r="I575" s="270" t="s">
        <v>1386</v>
      </c>
      <c r="J575" s="270" t="s">
        <v>970</v>
      </c>
      <c r="K575" s="263">
        <v>1</v>
      </c>
      <c r="L575" s="263" t="str">
        <f ca="1">IFERROR(INDEX(Algorithms!J:J,MATCH($C575&amp;"_Therm Saved per Unit",Algorithms!$A:$A,0)),"n/a")</f>
        <v>4.4.16</v>
      </c>
      <c r="M575" s="263" t="str">
        <f>IFERROR(INDEX('Measure Level Detail'!$N:$N,MATCH($B575,'Measure Level Detail'!$B:$B,0)),0)</f>
        <v>each</v>
      </c>
      <c r="N575" s="271">
        <f>IFERROR(INDEX('Measure Level Detail'!$P:$P,MATCH($B575&amp;"_"&amp;N$3,'Measure Level Detail'!$C:$C,0)),0)</f>
        <v>0</v>
      </c>
      <c r="O575" s="271">
        <f>IFERROR(INDEX('Measure Level Detail'!$P:$P,MATCH($B575&amp;"_"&amp;O$3,'Measure Level Detail'!$C:$C,0)),0)</f>
        <v>0</v>
      </c>
      <c r="P575" s="271">
        <f>IFERROR(INDEX('Measure Level Detail'!$P:$P,MATCH($B575&amp;"_"&amp;P$3,'Measure Level Detail'!$C:$C,0)),0)</f>
        <v>0</v>
      </c>
      <c r="Q575" s="271">
        <f>IFERROR(INDEX('Measure Level Detail'!$P:$P,MATCH($B575&amp;"_"&amp;Q$3,'Measure Level Detail'!$C:$C,0)),0)</f>
        <v>0</v>
      </c>
      <c r="R575" s="263" t="str">
        <f ca="1">IFERROR(INDEX(Algorithms!K:K,MATCH($C575&amp;"_Therm Saved per Unit",Algorithms!$A:$A,0)),"n/a")</f>
        <v>CI-HVC-STRE-V10-240101</v>
      </c>
      <c r="S575" s="262"/>
      <c r="T575" s="272">
        <v>5253.732217921608</v>
      </c>
      <c r="U575" s="272">
        <v>5253.732217921608</v>
      </c>
      <c r="V575" s="272">
        <v>5253.732217921608</v>
      </c>
      <c r="W575" s="272">
        <v>5253.732217921608</v>
      </c>
      <c r="X575" s="276">
        <v>0.92</v>
      </c>
      <c r="Y575" s="276">
        <v>0.92</v>
      </c>
      <c r="Z575" s="276">
        <v>0.92</v>
      </c>
      <c r="AA575" s="276">
        <v>0.92</v>
      </c>
      <c r="AB575" s="266">
        <f t="shared" si="327"/>
        <v>0</v>
      </c>
      <c r="AC575" s="266">
        <f t="shared" si="328"/>
        <v>0</v>
      </c>
      <c r="AD575" s="266">
        <f t="shared" si="329"/>
        <v>0</v>
      </c>
      <c r="AE575" s="266">
        <f t="shared" si="330"/>
        <v>0</v>
      </c>
      <c r="AF575" s="266">
        <f t="shared" si="331"/>
        <v>0</v>
      </c>
      <c r="AG575" s="274">
        <v>0.92</v>
      </c>
      <c r="AH575" s="274">
        <v>0.92</v>
      </c>
      <c r="AI575" s="274">
        <v>0.92</v>
      </c>
      <c r="AJ575" s="274">
        <v>0.92</v>
      </c>
      <c r="AK575" s="274">
        <f t="shared" si="332"/>
        <v>0.92</v>
      </c>
      <c r="AL575" s="274">
        <f t="shared" si="333"/>
        <v>0.92</v>
      </c>
      <c r="AM575" s="274">
        <f t="shared" si="334"/>
        <v>0.92</v>
      </c>
      <c r="AN575" s="274">
        <f t="shared" si="335"/>
        <v>0.92</v>
      </c>
      <c r="AO575" s="262"/>
      <c r="AP575" s="262"/>
      <c r="AQ575" s="267">
        <v>5253.732217921608</v>
      </c>
      <c r="AR575" s="262"/>
      <c r="AS575" s="266">
        <f t="shared" si="336"/>
        <v>0</v>
      </c>
      <c r="AT575" s="264">
        <f t="shared" si="337"/>
        <v>0</v>
      </c>
      <c r="AU575" s="262"/>
      <c r="AV575" s="262"/>
      <c r="AW575" s="265">
        <v>5253.732217921608</v>
      </c>
      <c r="AX575" s="164" t="s">
        <v>2397</v>
      </c>
      <c r="AY575" s="266">
        <v>0</v>
      </c>
      <c r="AZ575" s="266">
        <f t="shared" si="338"/>
        <v>0</v>
      </c>
      <c r="BA575" s="264">
        <f t="shared" si="339"/>
        <v>0</v>
      </c>
      <c r="BB575" s="262"/>
      <c r="BC575" s="262"/>
      <c r="BD575" s="265">
        <f ca="1">IFERROR(INDEX(Algorithms!$G:$G,MATCH($C575&amp;"_Therm Saved per Unit",Algorithms!$A:$A,0)),0)</f>
        <v>5253.732217921608</v>
      </c>
      <c r="BE575" s="164" t="str">
        <f ca="1">IFERROR(INDEX('v12 Revisions'!$P$29:$P$186, MATCH('Measure-Level Adj Gas'!$L575, 'v12 Revisions'!$D$29:$D$186,0)),"")</f>
        <v>n/a - costs only.</v>
      </c>
      <c r="BF575" s="266">
        <f t="shared" ca="1" si="340"/>
        <v>0</v>
      </c>
      <c r="BG575" s="264">
        <f t="shared" ca="1" si="341"/>
        <v>0</v>
      </c>
      <c r="BH575" s="262"/>
      <c r="BI575" s="262"/>
      <c r="BJ575" s="265">
        <f ca="1">IFERROR(INDEX(Algorithms!$G:$G,MATCH($C575&amp;"_Therm Saved per Unit",Algorithms!$A:$A,0)),0)</f>
        <v>5253.732217921608</v>
      </c>
      <c r="BK575" s="164"/>
      <c r="BL575" s="266">
        <f t="shared" ca="1" si="342"/>
        <v>0</v>
      </c>
      <c r="BM575" s="264">
        <f t="shared" ca="1" si="343"/>
        <v>0</v>
      </c>
      <c r="BN575" s="266">
        <f t="shared" si="344"/>
        <v>0</v>
      </c>
      <c r="BO575" s="266">
        <f t="shared" si="345"/>
        <v>0</v>
      </c>
      <c r="BP575" s="266">
        <f t="shared" ca="1" si="346"/>
        <v>0</v>
      </c>
      <c r="BQ575" s="266">
        <f t="shared" ca="1" si="347"/>
        <v>0</v>
      </c>
      <c r="BR575" s="268">
        <f t="shared" ca="1" si="348"/>
        <v>0</v>
      </c>
      <c r="BS575" s="262" t="s">
        <v>99</v>
      </c>
      <c r="BT575" s="277"/>
      <c r="BW575" s="266">
        <f t="shared" si="349"/>
        <v>0</v>
      </c>
      <c r="BX575" s="266">
        <f t="shared" si="350"/>
        <v>0</v>
      </c>
      <c r="BY575" s="266">
        <f t="shared" si="351"/>
        <v>0</v>
      </c>
      <c r="BZ575" s="266">
        <f t="shared" si="352"/>
        <v>0</v>
      </c>
      <c r="CA575" s="266">
        <f ca="1">N575*IFERROR(INDEX(Algorithms!$G:$G,MATCH($C575&amp;"_Therm Saved per Unit- MLA",Algorithms!$A:$A,0)),0)*X575</f>
        <v>0</v>
      </c>
      <c r="CB575" s="266">
        <f ca="1">O575*IFERROR(INDEX(Algorithms!$G:$G,MATCH($C575&amp;"_Therm Saved per Unit- MLA",Algorithms!$A:$A,0)),0)*Y575</f>
        <v>0</v>
      </c>
      <c r="CC575" s="266">
        <f ca="1">P575*IFERROR(INDEX(Algorithms!$G:$G,MATCH($C575&amp;"_Therm Saved per Unit- MLA",Algorithms!$A:$A,0)),0)*Z575</f>
        <v>0</v>
      </c>
      <c r="CD575" s="266">
        <f ca="1">Q575*IFERROR(INDEX(Algorithms!$G:$G,MATCH($C575&amp;"_Therm Saved per Unit- MLA",Algorithms!$A:$A,0)),0)*AA575</f>
        <v>0</v>
      </c>
      <c r="CE575" s="266">
        <f ca="1">IFERROR(INDEX(Algorithms!$G:$G,MATCH($C575&amp;"_Lifetime (years)",Algorithms!$A:$A,0)),0)</f>
        <v>6</v>
      </c>
      <c r="CF575" s="266">
        <f ca="1">IFERROR(INDEX(Algorithms!$G:$G,MATCH($C575&amp;"_Lifetime (years) - Remaining Years",Algorithms!$A:$A,0)),0)</f>
        <v>0</v>
      </c>
      <c r="CG575" s="266">
        <f t="shared" ca="1" si="353"/>
        <v>0</v>
      </c>
      <c r="CH575" s="266">
        <f t="shared" ca="1" si="354"/>
        <v>0</v>
      </c>
      <c r="CI575" s="266">
        <f t="shared" ca="1" si="355"/>
        <v>0</v>
      </c>
      <c r="CJ575" s="266">
        <f t="shared" ca="1" si="356"/>
        <v>0</v>
      </c>
      <c r="CK575" s="266">
        <f t="shared" si="357"/>
        <v>0</v>
      </c>
      <c r="CL575" s="266">
        <f t="shared" si="358"/>
        <v>0</v>
      </c>
      <c r="CM575" s="266">
        <f t="shared" ca="1" si="359"/>
        <v>0</v>
      </c>
      <c r="CN575" s="266">
        <f t="shared" ca="1" si="360"/>
        <v>0</v>
      </c>
      <c r="CO575" s="266">
        <f ca="1">N575*IFERROR(INDEX(Algorithms!$G:$G,MATCH($C575&amp;"_Therm Saved per Unit- MLA",Algorithms!$A:$A,0)),0)*X575</f>
        <v>0</v>
      </c>
      <c r="CP575" s="266">
        <f ca="1">O575*IFERROR(INDEX(Algorithms!$G:$G,MATCH($C575&amp;"_Therm Saved per Unit- MLA",Algorithms!$A:$A,0)),0)*Y575</f>
        <v>0</v>
      </c>
      <c r="CQ575" s="266">
        <f ca="1">P575*IFERROR(INDEX(Algorithms!$G:$G,MATCH($C575&amp;"_Therm Saved per Unit- MLA",Algorithms!$A:$A,0)),0)*Z575</f>
        <v>0</v>
      </c>
      <c r="CR575" s="266">
        <f ca="1">Q575*IFERROR(INDEX(Algorithms!$G:$G,MATCH($C575&amp;"_Therm Saved per Unit- MLA",Algorithms!$A:$A,0)),0)*AA575</f>
        <v>0</v>
      </c>
      <c r="CS575" s="266">
        <f ca="1">IFERROR(INDEX(Algorithms!$G:$G,MATCH($C575&amp;"_Lifetime (years)",Algorithms!$A:$A,0)),0)</f>
        <v>6</v>
      </c>
      <c r="CT575" s="266">
        <f ca="1">IFERROR(INDEX(Algorithms!$G:$G,MATCH($C575&amp;"_Lifetime (years) - Remaining Years",Algorithms!$A:$A,0)),0)</f>
        <v>0</v>
      </c>
      <c r="CU575" s="266">
        <f t="shared" ca="1" si="361"/>
        <v>0</v>
      </c>
      <c r="CV575" s="266">
        <f t="shared" ca="1" si="362"/>
        <v>0</v>
      </c>
      <c r="CW575" s="266">
        <f t="shared" ca="1" si="363"/>
        <v>0</v>
      </c>
      <c r="CX575" s="266">
        <f t="shared" ca="1" si="364"/>
        <v>0</v>
      </c>
    </row>
    <row r="576" spans="2:102" s="47" customFormat="1" ht="18" customHeight="1" x14ac:dyDescent="0.25">
      <c r="B576" t="str">
        <f t="shared" si="365"/>
        <v>NSG_Business_Public Sector_Rebates_Steam Traps_Industrial/Process Audit - 125 ≤ psig &lt; 175_CI/SMB</v>
      </c>
      <c r="C576" s="47" t="str">
        <f t="shared" si="326"/>
        <v>Steam Traps_Industrial/Process Audit - 125 ≤ psig &lt; 175_CI/SMB</v>
      </c>
      <c r="D576" s="270" t="s">
        <v>1787</v>
      </c>
      <c r="E576" s="270" t="s">
        <v>3</v>
      </c>
      <c r="F576" s="270" t="s">
        <v>1430</v>
      </c>
      <c r="G576" s="270" t="s">
        <v>1429</v>
      </c>
      <c r="H576" s="270" t="s">
        <v>644</v>
      </c>
      <c r="I576" s="270" t="s">
        <v>1374</v>
      </c>
      <c r="J576" s="270" t="s">
        <v>970</v>
      </c>
      <c r="K576" s="263">
        <v>1</v>
      </c>
      <c r="L576" s="263" t="str">
        <f ca="1">IFERROR(INDEX(Algorithms!J:J,MATCH($C576&amp;"_Therm Saved per Unit",Algorithms!$A:$A,0)),"n/a")</f>
        <v>4.4.16</v>
      </c>
      <c r="M576" s="263" t="str">
        <f>IFERROR(INDEX('Measure Level Detail'!$N:$N,MATCH($B576,'Measure Level Detail'!$B:$B,0)),0)</f>
        <v>each</v>
      </c>
      <c r="N576" s="271">
        <f>IFERROR(INDEX('Measure Level Detail'!$P:$P,MATCH($B576&amp;"_"&amp;N$3,'Measure Level Detail'!$C:$C,0)),0)</f>
        <v>0</v>
      </c>
      <c r="O576" s="271">
        <f>IFERROR(INDEX('Measure Level Detail'!$P:$P,MATCH($B576&amp;"_"&amp;O$3,'Measure Level Detail'!$C:$C,0)),0)</f>
        <v>0</v>
      </c>
      <c r="P576" s="271">
        <f>IFERROR(INDEX('Measure Level Detail'!$P:$P,MATCH($B576&amp;"_"&amp;P$3,'Measure Level Detail'!$C:$C,0)),0)</f>
        <v>0</v>
      </c>
      <c r="Q576" s="271">
        <f>IFERROR(INDEX('Measure Level Detail'!$P:$P,MATCH($B576&amp;"_"&amp;Q$3,'Measure Level Detail'!$C:$C,0)),0)</f>
        <v>0</v>
      </c>
      <c r="R576" s="263" t="str">
        <f ca="1">IFERROR(INDEX(Algorithms!K:K,MATCH($C576&amp;"_Therm Saved per Unit",Algorithms!$A:$A,0)),"n/a")</f>
        <v>CI-HVC-STRE-V10-240101</v>
      </c>
      <c r="S576" s="262"/>
      <c r="T576" s="272">
        <v>7334.7468920022948</v>
      </c>
      <c r="U576" s="272">
        <v>7334.7468920022948</v>
      </c>
      <c r="V576" s="272">
        <v>7334.7468920022948</v>
      </c>
      <c r="W576" s="272">
        <v>7334.7468920022948</v>
      </c>
      <c r="X576" s="276">
        <v>0.92</v>
      </c>
      <c r="Y576" s="276">
        <v>0.92</v>
      </c>
      <c r="Z576" s="276">
        <v>0.92</v>
      </c>
      <c r="AA576" s="276">
        <v>0.92</v>
      </c>
      <c r="AB576" s="266">
        <f t="shared" si="327"/>
        <v>0</v>
      </c>
      <c r="AC576" s="266">
        <f t="shared" si="328"/>
        <v>0</v>
      </c>
      <c r="AD576" s="266">
        <f t="shared" si="329"/>
        <v>0</v>
      </c>
      <c r="AE576" s="266">
        <f t="shared" si="330"/>
        <v>0</v>
      </c>
      <c r="AF576" s="266">
        <f t="shared" si="331"/>
        <v>0</v>
      </c>
      <c r="AG576" s="274">
        <v>0.92</v>
      </c>
      <c r="AH576" s="274">
        <v>0.92</v>
      </c>
      <c r="AI576" s="274">
        <v>0.92</v>
      </c>
      <c r="AJ576" s="274">
        <v>0.92</v>
      </c>
      <c r="AK576" s="274">
        <f t="shared" si="332"/>
        <v>0.92</v>
      </c>
      <c r="AL576" s="274">
        <f t="shared" si="333"/>
        <v>0.92</v>
      </c>
      <c r="AM576" s="274">
        <f t="shared" si="334"/>
        <v>0.92</v>
      </c>
      <c r="AN576" s="274">
        <f t="shared" si="335"/>
        <v>0.92</v>
      </c>
      <c r="AO576" s="262"/>
      <c r="AP576" s="262"/>
      <c r="AQ576" s="267">
        <v>7334.7468920022948</v>
      </c>
      <c r="AR576" s="262"/>
      <c r="AS576" s="266">
        <f t="shared" si="336"/>
        <v>0</v>
      </c>
      <c r="AT576" s="264">
        <f t="shared" si="337"/>
        <v>0</v>
      </c>
      <c r="AU576" s="262"/>
      <c r="AV576" s="262"/>
      <c r="AW576" s="265">
        <v>7334.7468920022948</v>
      </c>
      <c r="AX576" s="164" t="s">
        <v>2397</v>
      </c>
      <c r="AY576" s="266">
        <v>0</v>
      </c>
      <c r="AZ576" s="266">
        <f t="shared" si="338"/>
        <v>0</v>
      </c>
      <c r="BA576" s="264">
        <f t="shared" si="339"/>
        <v>0</v>
      </c>
      <c r="BB576" s="262"/>
      <c r="BC576" s="262"/>
      <c r="BD576" s="265">
        <f ca="1">IFERROR(INDEX(Algorithms!$G:$G,MATCH($C576&amp;"_Therm Saved per Unit",Algorithms!$A:$A,0)),0)</f>
        <v>7334.7468920022948</v>
      </c>
      <c r="BE576" s="164" t="str">
        <f ca="1">IFERROR(INDEX('v12 Revisions'!$P$29:$P$186, MATCH('Measure-Level Adj Gas'!$L576, 'v12 Revisions'!$D$29:$D$186,0)),"")</f>
        <v>n/a - costs only.</v>
      </c>
      <c r="BF576" s="266">
        <f t="shared" ca="1" si="340"/>
        <v>0</v>
      </c>
      <c r="BG576" s="264">
        <f t="shared" ca="1" si="341"/>
        <v>0</v>
      </c>
      <c r="BH576" s="262"/>
      <c r="BI576" s="262"/>
      <c r="BJ576" s="265">
        <f ca="1">IFERROR(INDEX(Algorithms!$G:$G,MATCH($C576&amp;"_Therm Saved per Unit",Algorithms!$A:$A,0)),0)</f>
        <v>7334.7468920022948</v>
      </c>
      <c r="BK576" s="164"/>
      <c r="BL576" s="266">
        <f t="shared" ca="1" si="342"/>
        <v>0</v>
      </c>
      <c r="BM576" s="264">
        <f t="shared" ca="1" si="343"/>
        <v>0</v>
      </c>
      <c r="BN576" s="266">
        <f t="shared" si="344"/>
        <v>0</v>
      </c>
      <c r="BO576" s="266">
        <f t="shared" si="345"/>
        <v>0</v>
      </c>
      <c r="BP576" s="266">
        <f t="shared" ca="1" si="346"/>
        <v>0</v>
      </c>
      <c r="BQ576" s="266">
        <f t="shared" ca="1" si="347"/>
        <v>0</v>
      </c>
      <c r="BR576" s="268">
        <f t="shared" ca="1" si="348"/>
        <v>0</v>
      </c>
      <c r="BS576" s="262" t="s">
        <v>99</v>
      </c>
      <c r="BT576" s="277"/>
      <c r="BW576" s="266">
        <f t="shared" si="349"/>
        <v>0</v>
      </c>
      <c r="BX576" s="266">
        <f t="shared" si="350"/>
        <v>0</v>
      </c>
      <c r="BY576" s="266">
        <f t="shared" si="351"/>
        <v>0</v>
      </c>
      <c r="BZ576" s="266">
        <f t="shared" si="352"/>
        <v>0</v>
      </c>
      <c r="CA576" s="266">
        <f ca="1">N576*IFERROR(INDEX(Algorithms!$G:$G,MATCH($C576&amp;"_Therm Saved per Unit- MLA",Algorithms!$A:$A,0)),0)*X576</f>
        <v>0</v>
      </c>
      <c r="CB576" s="266">
        <f ca="1">O576*IFERROR(INDEX(Algorithms!$G:$G,MATCH($C576&amp;"_Therm Saved per Unit- MLA",Algorithms!$A:$A,0)),0)*Y576</f>
        <v>0</v>
      </c>
      <c r="CC576" s="266">
        <f ca="1">P576*IFERROR(INDEX(Algorithms!$G:$G,MATCH($C576&amp;"_Therm Saved per Unit- MLA",Algorithms!$A:$A,0)),0)*Z576</f>
        <v>0</v>
      </c>
      <c r="CD576" s="266">
        <f ca="1">Q576*IFERROR(INDEX(Algorithms!$G:$G,MATCH($C576&amp;"_Therm Saved per Unit- MLA",Algorithms!$A:$A,0)),0)*AA576</f>
        <v>0</v>
      </c>
      <c r="CE576" s="266">
        <f ca="1">IFERROR(INDEX(Algorithms!$G:$G,MATCH($C576&amp;"_Lifetime (years)",Algorithms!$A:$A,0)),0)</f>
        <v>6</v>
      </c>
      <c r="CF576" s="266">
        <f ca="1">IFERROR(INDEX(Algorithms!$G:$G,MATCH($C576&amp;"_Lifetime (years) - Remaining Years",Algorithms!$A:$A,0)),0)</f>
        <v>0</v>
      </c>
      <c r="CG576" s="266">
        <f t="shared" ca="1" si="353"/>
        <v>0</v>
      </c>
      <c r="CH576" s="266">
        <f t="shared" ca="1" si="354"/>
        <v>0</v>
      </c>
      <c r="CI576" s="266">
        <f t="shared" ca="1" si="355"/>
        <v>0</v>
      </c>
      <c r="CJ576" s="266">
        <f t="shared" ca="1" si="356"/>
        <v>0</v>
      </c>
      <c r="CK576" s="266">
        <f t="shared" si="357"/>
        <v>0</v>
      </c>
      <c r="CL576" s="266">
        <f t="shared" si="358"/>
        <v>0</v>
      </c>
      <c r="CM576" s="266">
        <f t="shared" ca="1" si="359"/>
        <v>0</v>
      </c>
      <c r="CN576" s="266">
        <f t="shared" ca="1" si="360"/>
        <v>0</v>
      </c>
      <c r="CO576" s="266">
        <f ca="1">N576*IFERROR(INDEX(Algorithms!$G:$G,MATCH($C576&amp;"_Therm Saved per Unit- MLA",Algorithms!$A:$A,0)),0)*X576</f>
        <v>0</v>
      </c>
      <c r="CP576" s="266">
        <f ca="1">O576*IFERROR(INDEX(Algorithms!$G:$G,MATCH($C576&amp;"_Therm Saved per Unit- MLA",Algorithms!$A:$A,0)),0)*Y576</f>
        <v>0</v>
      </c>
      <c r="CQ576" s="266">
        <f ca="1">P576*IFERROR(INDEX(Algorithms!$G:$G,MATCH($C576&amp;"_Therm Saved per Unit- MLA",Algorithms!$A:$A,0)),0)*Z576</f>
        <v>0</v>
      </c>
      <c r="CR576" s="266">
        <f ca="1">Q576*IFERROR(INDEX(Algorithms!$G:$G,MATCH($C576&amp;"_Therm Saved per Unit- MLA",Algorithms!$A:$A,0)),0)*AA576</f>
        <v>0</v>
      </c>
      <c r="CS576" s="266">
        <f ca="1">IFERROR(INDEX(Algorithms!$G:$G,MATCH($C576&amp;"_Lifetime (years)",Algorithms!$A:$A,0)),0)</f>
        <v>6</v>
      </c>
      <c r="CT576" s="266">
        <f ca="1">IFERROR(INDEX(Algorithms!$G:$G,MATCH($C576&amp;"_Lifetime (years) - Remaining Years",Algorithms!$A:$A,0)),0)</f>
        <v>0</v>
      </c>
      <c r="CU576" s="266">
        <f t="shared" ca="1" si="361"/>
        <v>0</v>
      </c>
      <c r="CV576" s="266">
        <f t="shared" ca="1" si="362"/>
        <v>0</v>
      </c>
      <c r="CW576" s="266">
        <f t="shared" ca="1" si="363"/>
        <v>0</v>
      </c>
      <c r="CX576" s="266">
        <f t="shared" ca="1" si="364"/>
        <v>0</v>
      </c>
    </row>
    <row r="577" spans="2:102" s="47" customFormat="1" ht="18" customHeight="1" x14ac:dyDescent="0.25">
      <c r="B577" t="str">
        <f t="shared" si="365"/>
        <v>NSG_Business_Public Sector_Rebates_Steam Traps_Industrial/Process Audit - 175 ≤ psig &lt; 250_CI/SMB</v>
      </c>
      <c r="C577" s="47" t="str">
        <f t="shared" si="326"/>
        <v>Steam Traps_Industrial/Process Audit - 175 ≤ psig &lt; 250_CI/SMB</v>
      </c>
      <c r="D577" s="270" t="s">
        <v>1787</v>
      </c>
      <c r="E577" s="270" t="s">
        <v>3</v>
      </c>
      <c r="F577" s="270" t="s">
        <v>1430</v>
      </c>
      <c r="G577" s="270" t="s">
        <v>1429</v>
      </c>
      <c r="H577" s="270" t="s">
        <v>644</v>
      </c>
      <c r="I577" s="270" t="s">
        <v>1375</v>
      </c>
      <c r="J577" s="270" t="s">
        <v>970</v>
      </c>
      <c r="K577" s="263">
        <v>1</v>
      </c>
      <c r="L577" s="263" t="str">
        <f ca="1">IFERROR(INDEX(Algorithms!J:J,MATCH($C577&amp;"_Therm Saved per Unit",Algorithms!$A:$A,0)),"n/a")</f>
        <v>4.4.16</v>
      </c>
      <c r="M577" s="263" t="str">
        <f>IFERROR(INDEX('Measure Level Detail'!$N:$N,MATCH($B577,'Measure Level Detail'!$B:$B,0)),0)</f>
        <v>each</v>
      </c>
      <c r="N577" s="271">
        <f>IFERROR(INDEX('Measure Level Detail'!$P:$P,MATCH($B577&amp;"_"&amp;N$3,'Measure Level Detail'!$C:$C,0)),0)</f>
        <v>0</v>
      </c>
      <c r="O577" s="271">
        <f>IFERROR(INDEX('Measure Level Detail'!$P:$P,MATCH($B577&amp;"_"&amp;O$3,'Measure Level Detail'!$C:$C,0)),0)</f>
        <v>0</v>
      </c>
      <c r="P577" s="271">
        <f>IFERROR(INDEX('Measure Level Detail'!$P:$P,MATCH($B577&amp;"_"&amp;P$3,'Measure Level Detail'!$C:$C,0)),0)</f>
        <v>0</v>
      </c>
      <c r="Q577" s="271">
        <f>IFERROR(INDEX('Measure Level Detail'!$P:$P,MATCH($B577&amp;"_"&amp;Q$3,'Measure Level Detail'!$C:$C,0)),0)</f>
        <v>0</v>
      </c>
      <c r="R577" s="263" t="str">
        <f ca="1">IFERROR(INDEX(Algorithms!K:K,MATCH($C577&amp;"_Therm Saved per Unit",Algorithms!$A:$A,0)),"n/a")</f>
        <v>CI-HVC-STRE-V10-240101</v>
      </c>
      <c r="S577" s="262"/>
      <c r="T577" s="272">
        <v>9906.4466256306805</v>
      </c>
      <c r="U577" s="272">
        <v>9906.4466256306805</v>
      </c>
      <c r="V577" s="272">
        <v>9906.4466256306805</v>
      </c>
      <c r="W577" s="272">
        <v>9906.4466256306805</v>
      </c>
      <c r="X577" s="276">
        <v>0.92</v>
      </c>
      <c r="Y577" s="276">
        <v>0.92</v>
      </c>
      <c r="Z577" s="276">
        <v>0.92</v>
      </c>
      <c r="AA577" s="276">
        <v>0.92</v>
      </c>
      <c r="AB577" s="266">
        <f t="shared" si="327"/>
        <v>0</v>
      </c>
      <c r="AC577" s="266">
        <f t="shared" si="328"/>
        <v>0</v>
      </c>
      <c r="AD577" s="266">
        <f t="shared" si="329"/>
        <v>0</v>
      </c>
      <c r="AE577" s="266">
        <f t="shared" si="330"/>
        <v>0</v>
      </c>
      <c r="AF577" s="266">
        <f t="shared" si="331"/>
        <v>0</v>
      </c>
      <c r="AG577" s="274">
        <v>0.92</v>
      </c>
      <c r="AH577" s="274">
        <v>0.92</v>
      </c>
      <c r="AI577" s="274">
        <v>0.92</v>
      </c>
      <c r="AJ577" s="274">
        <v>0.92</v>
      </c>
      <c r="AK577" s="274">
        <f t="shared" si="332"/>
        <v>0.92</v>
      </c>
      <c r="AL577" s="274">
        <f t="shared" si="333"/>
        <v>0.92</v>
      </c>
      <c r="AM577" s="274">
        <f t="shared" si="334"/>
        <v>0.92</v>
      </c>
      <c r="AN577" s="274">
        <f t="shared" si="335"/>
        <v>0.92</v>
      </c>
      <c r="AO577" s="262"/>
      <c r="AP577" s="262"/>
      <c r="AQ577" s="267">
        <v>9906.4466256306805</v>
      </c>
      <c r="AR577" s="262"/>
      <c r="AS577" s="266">
        <f t="shared" si="336"/>
        <v>0</v>
      </c>
      <c r="AT577" s="264">
        <f t="shared" si="337"/>
        <v>0</v>
      </c>
      <c r="AU577" s="262"/>
      <c r="AV577" s="262"/>
      <c r="AW577" s="265">
        <v>9906.4466256306805</v>
      </c>
      <c r="AX577" s="164" t="s">
        <v>2397</v>
      </c>
      <c r="AY577" s="266">
        <v>0</v>
      </c>
      <c r="AZ577" s="266">
        <f t="shared" si="338"/>
        <v>0</v>
      </c>
      <c r="BA577" s="264">
        <f t="shared" si="339"/>
        <v>0</v>
      </c>
      <c r="BB577" s="262"/>
      <c r="BC577" s="262"/>
      <c r="BD577" s="265">
        <f ca="1">IFERROR(INDEX(Algorithms!$G:$G,MATCH($C577&amp;"_Therm Saved per Unit",Algorithms!$A:$A,0)),0)</f>
        <v>9906.4466256306805</v>
      </c>
      <c r="BE577" s="164" t="str">
        <f ca="1">IFERROR(INDEX('v12 Revisions'!$P$29:$P$186, MATCH('Measure-Level Adj Gas'!$L577, 'v12 Revisions'!$D$29:$D$186,0)),"")</f>
        <v>n/a - costs only.</v>
      </c>
      <c r="BF577" s="266">
        <f t="shared" ca="1" si="340"/>
        <v>0</v>
      </c>
      <c r="BG577" s="264">
        <f t="shared" ca="1" si="341"/>
        <v>0</v>
      </c>
      <c r="BH577" s="262"/>
      <c r="BI577" s="262"/>
      <c r="BJ577" s="265">
        <f ca="1">IFERROR(INDEX(Algorithms!$G:$G,MATCH($C577&amp;"_Therm Saved per Unit",Algorithms!$A:$A,0)),0)</f>
        <v>9906.4466256306805</v>
      </c>
      <c r="BK577" s="164"/>
      <c r="BL577" s="266">
        <f t="shared" ca="1" si="342"/>
        <v>0</v>
      </c>
      <c r="BM577" s="264">
        <f t="shared" ca="1" si="343"/>
        <v>0</v>
      </c>
      <c r="BN577" s="266">
        <f t="shared" si="344"/>
        <v>0</v>
      </c>
      <c r="BO577" s="266">
        <f t="shared" si="345"/>
        <v>0</v>
      </c>
      <c r="BP577" s="266">
        <f t="shared" ca="1" si="346"/>
        <v>0</v>
      </c>
      <c r="BQ577" s="266">
        <f t="shared" ca="1" si="347"/>
        <v>0</v>
      </c>
      <c r="BR577" s="268">
        <f t="shared" ca="1" si="348"/>
        <v>0</v>
      </c>
      <c r="BS577" s="262" t="s">
        <v>99</v>
      </c>
      <c r="BT577" s="277"/>
      <c r="BW577" s="266">
        <f t="shared" si="349"/>
        <v>0</v>
      </c>
      <c r="BX577" s="266">
        <f t="shared" si="350"/>
        <v>0</v>
      </c>
      <c r="BY577" s="266">
        <f t="shared" si="351"/>
        <v>0</v>
      </c>
      <c r="BZ577" s="266">
        <f t="shared" si="352"/>
        <v>0</v>
      </c>
      <c r="CA577" s="266">
        <f ca="1">N577*IFERROR(INDEX(Algorithms!$G:$G,MATCH($C577&amp;"_Therm Saved per Unit- MLA",Algorithms!$A:$A,0)),0)*X577</f>
        <v>0</v>
      </c>
      <c r="CB577" s="266">
        <f ca="1">O577*IFERROR(INDEX(Algorithms!$G:$G,MATCH($C577&amp;"_Therm Saved per Unit- MLA",Algorithms!$A:$A,0)),0)*Y577</f>
        <v>0</v>
      </c>
      <c r="CC577" s="266">
        <f ca="1">P577*IFERROR(INDEX(Algorithms!$G:$G,MATCH($C577&amp;"_Therm Saved per Unit- MLA",Algorithms!$A:$A,0)),0)*Z577</f>
        <v>0</v>
      </c>
      <c r="CD577" s="266">
        <f ca="1">Q577*IFERROR(INDEX(Algorithms!$G:$G,MATCH($C577&amp;"_Therm Saved per Unit- MLA",Algorithms!$A:$A,0)),0)*AA577</f>
        <v>0</v>
      </c>
      <c r="CE577" s="266">
        <f ca="1">IFERROR(INDEX(Algorithms!$G:$G,MATCH($C577&amp;"_Lifetime (years)",Algorithms!$A:$A,0)),0)</f>
        <v>6</v>
      </c>
      <c r="CF577" s="266">
        <f ca="1">IFERROR(INDEX(Algorithms!$G:$G,MATCH($C577&amp;"_Lifetime (years) - Remaining Years",Algorithms!$A:$A,0)),0)</f>
        <v>0</v>
      </c>
      <c r="CG577" s="266">
        <f t="shared" ca="1" si="353"/>
        <v>0</v>
      </c>
      <c r="CH577" s="266">
        <f t="shared" ca="1" si="354"/>
        <v>0</v>
      </c>
      <c r="CI577" s="266">
        <f t="shared" ca="1" si="355"/>
        <v>0</v>
      </c>
      <c r="CJ577" s="266">
        <f t="shared" ca="1" si="356"/>
        <v>0</v>
      </c>
      <c r="CK577" s="266">
        <f t="shared" si="357"/>
        <v>0</v>
      </c>
      <c r="CL577" s="266">
        <f t="shared" si="358"/>
        <v>0</v>
      </c>
      <c r="CM577" s="266">
        <f t="shared" ca="1" si="359"/>
        <v>0</v>
      </c>
      <c r="CN577" s="266">
        <f t="shared" ca="1" si="360"/>
        <v>0</v>
      </c>
      <c r="CO577" s="266">
        <f ca="1">N577*IFERROR(INDEX(Algorithms!$G:$G,MATCH($C577&amp;"_Therm Saved per Unit- MLA",Algorithms!$A:$A,0)),0)*X577</f>
        <v>0</v>
      </c>
      <c r="CP577" s="266">
        <f ca="1">O577*IFERROR(INDEX(Algorithms!$G:$G,MATCH($C577&amp;"_Therm Saved per Unit- MLA",Algorithms!$A:$A,0)),0)*Y577</f>
        <v>0</v>
      </c>
      <c r="CQ577" s="266">
        <f ca="1">P577*IFERROR(INDEX(Algorithms!$G:$G,MATCH($C577&amp;"_Therm Saved per Unit- MLA",Algorithms!$A:$A,0)),0)*Z577</f>
        <v>0</v>
      </c>
      <c r="CR577" s="266">
        <f ca="1">Q577*IFERROR(INDEX(Algorithms!$G:$G,MATCH($C577&amp;"_Therm Saved per Unit- MLA",Algorithms!$A:$A,0)),0)*AA577</f>
        <v>0</v>
      </c>
      <c r="CS577" s="266">
        <f ca="1">IFERROR(INDEX(Algorithms!$G:$G,MATCH($C577&amp;"_Lifetime (years)",Algorithms!$A:$A,0)),0)</f>
        <v>6</v>
      </c>
      <c r="CT577" s="266">
        <f ca="1">IFERROR(INDEX(Algorithms!$G:$G,MATCH($C577&amp;"_Lifetime (years) - Remaining Years",Algorithms!$A:$A,0)),0)</f>
        <v>0</v>
      </c>
      <c r="CU577" s="266">
        <f t="shared" ca="1" si="361"/>
        <v>0</v>
      </c>
      <c r="CV577" s="266">
        <f t="shared" ca="1" si="362"/>
        <v>0</v>
      </c>
      <c r="CW577" s="266">
        <f t="shared" ca="1" si="363"/>
        <v>0</v>
      </c>
      <c r="CX577" s="266">
        <f t="shared" ca="1" si="364"/>
        <v>0</v>
      </c>
    </row>
    <row r="578" spans="2:102" s="47" customFormat="1" ht="18" customHeight="1" x14ac:dyDescent="0.25">
      <c r="B578" t="str">
        <f t="shared" si="365"/>
        <v>NSG_Business_Public Sector_Rebates_Steam Traps_Industrial/Process Audit - 250 ≤ psig_CI/SMB</v>
      </c>
      <c r="C578" s="47" t="str">
        <f t="shared" si="326"/>
        <v>Steam Traps_Industrial/Process Audit - 250 ≤ psig_CI/SMB</v>
      </c>
      <c r="D578" s="270" t="s">
        <v>1787</v>
      </c>
      <c r="E578" s="270" t="s">
        <v>3</v>
      </c>
      <c r="F578" s="270" t="s">
        <v>1430</v>
      </c>
      <c r="G578" s="270" t="s">
        <v>1429</v>
      </c>
      <c r="H578" s="270" t="s">
        <v>644</v>
      </c>
      <c r="I578" s="270" t="s">
        <v>1376</v>
      </c>
      <c r="J578" s="270" t="s">
        <v>970</v>
      </c>
      <c r="K578" s="263">
        <v>1</v>
      </c>
      <c r="L578" s="263" t="str">
        <f ca="1">IFERROR(INDEX(Algorithms!J:J,MATCH($C578&amp;"_Therm Saved per Unit",Algorithms!$A:$A,0)),"n/a")</f>
        <v>4.4.16</v>
      </c>
      <c r="M578" s="263" t="str">
        <f>IFERROR(INDEX('Measure Level Detail'!$N:$N,MATCH($B578,'Measure Level Detail'!$B:$B,0)),0)</f>
        <v>each</v>
      </c>
      <c r="N578" s="271">
        <f>IFERROR(INDEX('Measure Level Detail'!$P:$P,MATCH($B578&amp;"_"&amp;N$3,'Measure Level Detail'!$C:$C,0)),0)</f>
        <v>0</v>
      </c>
      <c r="O578" s="271">
        <f>IFERROR(INDEX('Measure Level Detail'!$P:$P,MATCH($B578&amp;"_"&amp;O$3,'Measure Level Detail'!$C:$C,0)),0)</f>
        <v>0</v>
      </c>
      <c r="P578" s="271">
        <f>IFERROR(INDEX('Measure Level Detail'!$P:$P,MATCH($B578&amp;"_"&amp;P$3,'Measure Level Detail'!$C:$C,0)),0)</f>
        <v>0</v>
      </c>
      <c r="Q578" s="271">
        <f>IFERROR(INDEX('Measure Level Detail'!$P:$P,MATCH($B578&amp;"_"&amp;Q$3,'Measure Level Detail'!$C:$C,0)),0)</f>
        <v>0</v>
      </c>
      <c r="R578" s="263" t="str">
        <f ca="1">IFERROR(INDEX(Algorithms!K:K,MATCH($C578&amp;"_Therm Saved per Unit",Algorithms!$A:$A,0)),"n/a")</f>
        <v>CI-HVC-STRE-V10-240101</v>
      </c>
      <c r="S578" s="262"/>
      <c r="T578" s="272">
        <v>12689.405899537758</v>
      </c>
      <c r="U578" s="272">
        <v>12689.405899537758</v>
      </c>
      <c r="V578" s="272">
        <v>12689.405899537758</v>
      </c>
      <c r="W578" s="272">
        <v>12689.405899537758</v>
      </c>
      <c r="X578" s="276">
        <v>0.92</v>
      </c>
      <c r="Y578" s="276">
        <v>0.92</v>
      </c>
      <c r="Z578" s="276">
        <v>0.92</v>
      </c>
      <c r="AA578" s="276">
        <v>0.92</v>
      </c>
      <c r="AB578" s="266">
        <f t="shared" si="327"/>
        <v>0</v>
      </c>
      <c r="AC578" s="266">
        <f t="shared" si="328"/>
        <v>0</v>
      </c>
      <c r="AD578" s="266">
        <f t="shared" si="329"/>
        <v>0</v>
      </c>
      <c r="AE578" s="266">
        <f t="shared" si="330"/>
        <v>0</v>
      </c>
      <c r="AF578" s="266">
        <f t="shared" si="331"/>
        <v>0</v>
      </c>
      <c r="AG578" s="274">
        <v>0.92</v>
      </c>
      <c r="AH578" s="274">
        <v>0.92</v>
      </c>
      <c r="AI578" s="274">
        <v>0.92</v>
      </c>
      <c r="AJ578" s="274">
        <v>0.92</v>
      </c>
      <c r="AK578" s="274">
        <f t="shared" si="332"/>
        <v>0.92</v>
      </c>
      <c r="AL578" s="274">
        <f t="shared" si="333"/>
        <v>0.92</v>
      </c>
      <c r="AM578" s="274">
        <f t="shared" si="334"/>
        <v>0.92</v>
      </c>
      <c r="AN578" s="274">
        <f t="shared" si="335"/>
        <v>0.92</v>
      </c>
      <c r="AO578" s="262"/>
      <c r="AP578" s="262"/>
      <c r="AQ578" s="267">
        <v>12689.405899537758</v>
      </c>
      <c r="AR578" s="262"/>
      <c r="AS578" s="266">
        <f t="shared" si="336"/>
        <v>0</v>
      </c>
      <c r="AT578" s="264">
        <f t="shared" si="337"/>
        <v>0</v>
      </c>
      <c r="AU578" s="262"/>
      <c r="AV578" s="262"/>
      <c r="AW578" s="265">
        <v>12689.405899537758</v>
      </c>
      <c r="AX578" s="164" t="s">
        <v>2397</v>
      </c>
      <c r="AY578" s="266">
        <v>0</v>
      </c>
      <c r="AZ578" s="266">
        <f t="shared" si="338"/>
        <v>0</v>
      </c>
      <c r="BA578" s="264">
        <f t="shared" si="339"/>
        <v>0</v>
      </c>
      <c r="BB578" s="262"/>
      <c r="BC578" s="262"/>
      <c r="BD578" s="265">
        <f ca="1">IFERROR(INDEX(Algorithms!$G:$G,MATCH($C578&amp;"_Therm Saved per Unit",Algorithms!$A:$A,0)),0)</f>
        <v>12689.405899537758</v>
      </c>
      <c r="BE578" s="164" t="str">
        <f ca="1">IFERROR(INDEX('v12 Revisions'!$P$29:$P$186, MATCH('Measure-Level Adj Gas'!$L578, 'v12 Revisions'!$D$29:$D$186,0)),"")</f>
        <v>n/a - costs only.</v>
      </c>
      <c r="BF578" s="266">
        <f t="shared" ca="1" si="340"/>
        <v>0</v>
      </c>
      <c r="BG578" s="264">
        <f t="shared" ca="1" si="341"/>
        <v>0</v>
      </c>
      <c r="BH578" s="262"/>
      <c r="BI578" s="262"/>
      <c r="BJ578" s="265">
        <f ca="1">IFERROR(INDEX(Algorithms!$G:$G,MATCH($C578&amp;"_Therm Saved per Unit",Algorithms!$A:$A,0)),0)</f>
        <v>12689.405899537758</v>
      </c>
      <c r="BK578" s="164"/>
      <c r="BL578" s="266">
        <f t="shared" ca="1" si="342"/>
        <v>0</v>
      </c>
      <c r="BM578" s="264">
        <f t="shared" ca="1" si="343"/>
        <v>0</v>
      </c>
      <c r="BN578" s="266">
        <f t="shared" si="344"/>
        <v>0</v>
      </c>
      <c r="BO578" s="266">
        <f t="shared" si="345"/>
        <v>0</v>
      </c>
      <c r="BP578" s="266">
        <f t="shared" ca="1" si="346"/>
        <v>0</v>
      </c>
      <c r="BQ578" s="266">
        <f t="shared" ca="1" si="347"/>
        <v>0</v>
      </c>
      <c r="BR578" s="268">
        <f t="shared" ca="1" si="348"/>
        <v>0</v>
      </c>
      <c r="BS578" s="262" t="s">
        <v>99</v>
      </c>
      <c r="BT578" s="277"/>
      <c r="BW578" s="266">
        <f t="shared" si="349"/>
        <v>0</v>
      </c>
      <c r="BX578" s="266">
        <f t="shared" si="350"/>
        <v>0</v>
      </c>
      <c r="BY578" s="266">
        <f t="shared" si="351"/>
        <v>0</v>
      </c>
      <c r="BZ578" s="266">
        <f t="shared" si="352"/>
        <v>0</v>
      </c>
      <c r="CA578" s="266">
        <f ca="1">N578*IFERROR(INDEX(Algorithms!$G:$G,MATCH($C578&amp;"_Therm Saved per Unit- MLA",Algorithms!$A:$A,0)),0)*X578</f>
        <v>0</v>
      </c>
      <c r="CB578" s="266">
        <f ca="1">O578*IFERROR(INDEX(Algorithms!$G:$G,MATCH($C578&amp;"_Therm Saved per Unit- MLA",Algorithms!$A:$A,0)),0)*Y578</f>
        <v>0</v>
      </c>
      <c r="CC578" s="266">
        <f ca="1">P578*IFERROR(INDEX(Algorithms!$G:$G,MATCH($C578&amp;"_Therm Saved per Unit- MLA",Algorithms!$A:$A,0)),0)*Z578</f>
        <v>0</v>
      </c>
      <c r="CD578" s="266">
        <f ca="1">Q578*IFERROR(INDEX(Algorithms!$G:$G,MATCH($C578&amp;"_Therm Saved per Unit- MLA",Algorithms!$A:$A,0)),0)*AA578</f>
        <v>0</v>
      </c>
      <c r="CE578" s="266">
        <f ca="1">IFERROR(INDEX(Algorithms!$G:$G,MATCH($C578&amp;"_Lifetime (years)",Algorithms!$A:$A,0)),0)</f>
        <v>6</v>
      </c>
      <c r="CF578" s="266">
        <f ca="1">IFERROR(INDEX(Algorithms!$G:$G,MATCH($C578&amp;"_Lifetime (years) - Remaining Years",Algorithms!$A:$A,0)),0)</f>
        <v>0</v>
      </c>
      <c r="CG578" s="266">
        <f t="shared" ca="1" si="353"/>
        <v>0</v>
      </c>
      <c r="CH578" s="266">
        <f t="shared" ca="1" si="354"/>
        <v>0</v>
      </c>
      <c r="CI578" s="266">
        <f t="shared" ca="1" si="355"/>
        <v>0</v>
      </c>
      <c r="CJ578" s="266">
        <f t="shared" ca="1" si="356"/>
        <v>0</v>
      </c>
      <c r="CK578" s="266">
        <f t="shared" si="357"/>
        <v>0</v>
      </c>
      <c r="CL578" s="266">
        <f t="shared" si="358"/>
        <v>0</v>
      </c>
      <c r="CM578" s="266">
        <f t="shared" ca="1" si="359"/>
        <v>0</v>
      </c>
      <c r="CN578" s="266">
        <f t="shared" ca="1" si="360"/>
        <v>0</v>
      </c>
      <c r="CO578" s="266">
        <f ca="1">N578*IFERROR(INDEX(Algorithms!$G:$G,MATCH($C578&amp;"_Therm Saved per Unit- MLA",Algorithms!$A:$A,0)),0)*X578</f>
        <v>0</v>
      </c>
      <c r="CP578" s="266">
        <f ca="1">O578*IFERROR(INDEX(Algorithms!$G:$G,MATCH($C578&amp;"_Therm Saved per Unit- MLA",Algorithms!$A:$A,0)),0)*Y578</f>
        <v>0</v>
      </c>
      <c r="CQ578" s="266">
        <f ca="1">P578*IFERROR(INDEX(Algorithms!$G:$G,MATCH($C578&amp;"_Therm Saved per Unit- MLA",Algorithms!$A:$A,0)),0)*Z578</f>
        <v>0</v>
      </c>
      <c r="CR578" s="266">
        <f ca="1">Q578*IFERROR(INDEX(Algorithms!$G:$G,MATCH($C578&amp;"_Therm Saved per Unit- MLA",Algorithms!$A:$A,0)),0)*AA578</f>
        <v>0</v>
      </c>
      <c r="CS578" s="266">
        <f ca="1">IFERROR(INDEX(Algorithms!$G:$G,MATCH($C578&amp;"_Lifetime (years)",Algorithms!$A:$A,0)),0)</f>
        <v>6</v>
      </c>
      <c r="CT578" s="266">
        <f ca="1">IFERROR(INDEX(Algorithms!$G:$G,MATCH($C578&amp;"_Lifetime (years) - Remaining Years",Algorithms!$A:$A,0)),0)</f>
        <v>0</v>
      </c>
      <c r="CU578" s="266">
        <f t="shared" ca="1" si="361"/>
        <v>0</v>
      </c>
      <c r="CV578" s="266">
        <f t="shared" ca="1" si="362"/>
        <v>0</v>
      </c>
      <c r="CW578" s="266">
        <f t="shared" ca="1" si="363"/>
        <v>0</v>
      </c>
      <c r="CX578" s="266">
        <f t="shared" ca="1" si="364"/>
        <v>0</v>
      </c>
    </row>
    <row r="579" spans="2:102" s="47" customFormat="1" ht="18" customHeight="1" x14ac:dyDescent="0.25">
      <c r="B579" t="str">
        <f t="shared" si="365"/>
        <v>NSG_Business_Public Sector_Rebates_Steam Traps_Test_CI</v>
      </c>
      <c r="C579" s="47" t="str">
        <f t="shared" si="326"/>
        <v>Steam Traps_Test_CI</v>
      </c>
      <c r="D579" s="270" t="s">
        <v>1787</v>
      </c>
      <c r="E579" s="270" t="s">
        <v>3</v>
      </c>
      <c r="F579" s="270" t="s">
        <v>1430</v>
      </c>
      <c r="G579" s="270" t="s">
        <v>1429</v>
      </c>
      <c r="H579" s="270" t="s">
        <v>644</v>
      </c>
      <c r="I579" s="270" t="s">
        <v>1097</v>
      </c>
      <c r="J579" s="270" t="s">
        <v>1159</v>
      </c>
      <c r="K579" s="263">
        <v>1</v>
      </c>
      <c r="L579" s="263">
        <f ca="1">IFERROR(INDEX(Algorithms!J:J,MATCH($C579&amp;"_Therm Saved per Unit",Algorithms!$A:$A,0)),"n/a")</f>
        <v>0</v>
      </c>
      <c r="M579" s="263" t="str">
        <f>IFERROR(INDEX('Measure Level Detail'!$N:$N,MATCH($B579,'Measure Level Detail'!$B:$B,0)),0)</f>
        <v>each</v>
      </c>
      <c r="N579" s="271">
        <f>IFERROR(INDEX('Measure Level Detail'!$P:$P,MATCH($B579&amp;"_"&amp;N$3,'Measure Level Detail'!$C:$C,0)),0)</f>
        <v>0</v>
      </c>
      <c r="O579" s="271">
        <f>IFERROR(INDEX('Measure Level Detail'!$P:$P,MATCH($B579&amp;"_"&amp;O$3,'Measure Level Detail'!$C:$C,0)),0)</f>
        <v>0</v>
      </c>
      <c r="P579" s="271">
        <f>IFERROR(INDEX('Measure Level Detail'!$P:$P,MATCH($B579&amp;"_"&amp;P$3,'Measure Level Detail'!$C:$C,0)),0)</f>
        <v>0</v>
      </c>
      <c r="Q579" s="271">
        <f>IFERROR(INDEX('Measure Level Detail'!$P:$P,MATCH($B579&amp;"_"&amp;Q$3,'Measure Level Detail'!$C:$C,0)),0)</f>
        <v>0</v>
      </c>
      <c r="R579" s="263">
        <f ca="1">IFERROR(INDEX(Algorithms!K:K,MATCH($C579&amp;"_Therm Saved per Unit",Algorithms!$A:$A,0)),"n/a")</f>
        <v>0</v>
      </c>
      <c r="S579" s="262"/>
      <c r="T579" s="272">
        <v>0</v>
      </c>
      <c r="U579" s="272">
        <v>0</v>
      </c>
      <c r="V579" s="272">
        <v>0</v>
      </c>
      <c r="W579" s="272">
        <v>0</v>
      </c>
      <c r="X579" s="276">
        <v>0.92</v>
      </c>
      <c r="Y579" s="276">
        <v>0.92</v>
      </c>
      <c r="Z579" s="276">
        <v>0.92</v>
      </c>
      <c r="AA579" s="276">
        <v>0.92</v>
      </c>
      <c r="AB579" s="266">
        <f t="shared" si="327"/>
        <v>0</v>
      </c>
      <c r="AC579" s="266">
        <f t="shared" si="328"/>
        <v>0</v>
      </c>
      <c r="AD579" s="266">
        <f t="shared" si="329"/>
        <v>0</v>
      </c>
      <c r="AE579" s="266">
        <f t="shared" si="330"/>
        <v>0</v>
      </c>
      <c r="AF579" s="266">
        <f t="shared" si="331"/>
        <v>0</v>
      </c>
      <c r="AG579" s="274">
        <v>0.92</v>
      </c>
      <c r="AH579" s="274">
        <v>0.92</v>
      </c>
      <c r="AI579" s="274">
        <v>0.92</v>
      </c>
      <c r="AJ579" s="274">
        <v>0.92</v>
      </c>
      <c r="AK579" s="274">
        <f t="shared" si="332"/>
        <v>0.92</v>
      </c>
      <c r="AL579" s="274">
        <f t="shared" si="333"/>
        <v>0.92</v>
      </c>
      <c r="AM579" s="274">
        <f t="shared" si="334"/>
        <v>0.92</v>
      </c>
      <c r="AN579" s="274">
        <f t="shared" si="335"/>
        <v>0.92</v>
      </c>
      <c r="AO579" s="262"/>
      <c r="AP579" s="262"/>
      <c r="AQ579" s="267">
        <v>0</v>
      </c>
      <c r="AR579" s="262"/>
      <c r="AS579" s="266">
        <f t="shared" si="336"/>
        <v>0</v>
      </c>
      <c r="AT579" s="264">
        <f t="shared" si="337"/>
        <v>0</v>
      </c>
      <c r="AU579" s="262"/>
      <c r="AV579" s="262"/>
      <c r="AW579" s="265">
        <v>0</v>
      </c>
      <c r="AX579" s="164" t="s">
        <v>1469</v>
      </c>
      <c r="AY579" s="266">
        <v>0</v>
      </c>
      <c r="AZ579" s="266">
        <f t="shared" si="338"/>
        <v>0</v>
      </c>
      <c r="BA579" s="264">
        <f t="shared" si="339"/>
        <v>0</v>
      </c>
      <c r="BB579" s="262"/>
      <c r="BC579" s="262"/>
      <c r="BD579" s="265">
        <f ca="1">IFERROR(INDEX(Algorithms!$G:$G,MATCH($C579&amp;"_Therm Saved per Unit",Algorithms!$A:$A,0)),0)</f>
        <v>0</v>
      </c>
      <c r="BE579" s="164" t="str">
        <f ca="1">IFERROR(INDEX('v12 Revisions'!$P$29:$P$186, MATCH('Measure-Level Adj Gas'!$L579, 'v12 Revisions'!$D$29:$D$186,0)),"")</f>
        <v/>
      </c>
      <c r="BF579" s="266">
        <f t="shared" ca="1" si="340"/>
        <v>0</v>
      </c>
      <c r="BG579" s="264">
        <f t="shared" ca="1" si="341"/>
        <v>0</v>
      </c>
      <c r="BH579" s="262"/>
      <c r="BI579" s="262"/>
      <c r="BJ579" s="265">
        <f ca="1">IFERROR(INDEX(Algorithms!$G:$G,MATCH($C579&amp;"_Therm Saved per Unit",Algorithms!$A:$A,0)),0)</f>
        <v>0</v>
      </c>
      <c r="BK579" s="164"/>
      <c r="BL579" s="266">
        <f t="shared" ca="1" si="342"/>
        <v>0</v>
      </c>
      <c r="BM579" s="264">
        <f t="shared" ca="1" si="343"/>
        <v>0</v>
      </c>
      <c r="BN579" s="266">
        <f t="shared" si="344"/>
        <v>0</v>
      </c>
      <c r="BO579" s="266">
        <f t="shared" si="345"/>
        <v>0</v>
      </c>
      <c r="BP579" s="266">
        <f t="shared" ca="1" si="346"/>
        <v>0</v>
      </c>
      <c r="BQ579" s="266">
        <f t="shared" ca="1" si="347"/>
        <v>0</v>
      </c>
      <c r="BR579" s="268">
        <f t="shared" ca="1" si="348"/>
        <v>0</v>
      </c>
      <c r="BS579" s="262" t="s">
        <v>99</v>
      </c>
      <c r="BT579" s="277"/>
      <c r="BW579" s="266">
        <f t="shared" si="349"/>
        <v>0</v>
      </c>
      <c r="BX579" s="266">
        <f t="shared" si="350"/>
        <v>0</v>
      </c>
      <c r="BY579" s="266">
        <f t="shared" si="351"/>
        <v>0</v>
      </c>
      <c r="BZ579" s="266">
        <f t="shared" si="352"/>
        <v>0</v>
      </c>
      <c r="CA579" s="266">
        <f ca="1">N579*IFERROR(INDEX(Algorithms!$G:$G,MATCH($C579&amp;"_Therm Saved per Unit- MLA",Algorithms!$A:$A,0)),0)*X579</f>
        <v>0</v>
      </c>
      <c r="CB579" s="266">
        <f ca="1">O579*IFERROR(INDEX(Algorithms!$G:$G,MATCH($C579&amp;"_Therm Saved per Unit- MLA",Algorithms!$A:$A,0)),0)*Y579</f>
        <v>0</v>
      </c>
      <c r="CC579" s="266">
        <f ca="1">P579*IFERROR(INDEX(Algorithms!$G:$G,MATCH($C579&amp;"_Therm Saved per Unit- MLA",Algorithms!$A:$A,0)),0)*Z579</f>
        <v>0</v>
      </c>
      <c r="CD579" s="266">
        <f ca="1">Q579*IFERROR(INDEX(Algorithms!$G:$G,MATCH($C579&amp;"_Therm Saved per Unit- MLA",Algorithms!$A:$A,0)),0)*AA579</f>
        <v>0</v>
      </c>
      <c r="CE579" s="266">
        <f ca="1">IFERROR(INDEX(Algorithms!$G:$G,MATCH($C579&amp;"_Lifetime (years)",Algorithms!$A:$A,0)),0)</f>
        <v>3</v>
      </c>
      <c r="CF579" s="266">
        <f ca="1">IFERROR(INDEX(Algorithms!$G:$G,MATCH($C579&amp;"_Lifetime (years) - Remaining Years",Algorithms!$A:$A,0)),0)</f>
        <v>0</v>
      </c>
      <c r="CG579" s="266">
        <f t="shared" ca="1" si="353"/>
        <v>0</v>
      </c>
      <c r="CH579" s="266">
        <f t="shared" ca="1" si="354"/>
        <v>0</v>
      </c>
      <c r="CI579" s="266">
        <f t="shared" ca="1" si="355"/>
        <v>0</v>
      </c>
      <c r="CJ579" s="266">
        <f t="shared" ca="1" si="356"/>
        <v>0</v>
      </c>
      <c r="CK579" s="266">
        <f t="shared" si="357"/>
        <v>0</v>
      </c>
      <c r="CL579" s="266">
        <f t="shared" si="358"/>
        <v>0</v>
      </c>
      <c r="CM579" s="266">
        <f t="shared" ca="1" si="359"/>
        <v>0</v>
      </c>
      <c r="CN579" s="266">
        <f t="shared" ca="1" si="360"/>
        <v>0</v>
      </c>
      <c r="CO579" s="266">
        <f ca="1">N579*IFERROR(INDEX(Algorithms!$G:$G,MATCH($C579&amp;"_Therm Saved per Unit- MLA",Algorithms!$A:$A,0)),0)*X579</f>
        <v>0</v>
      </c>
      <c r="CP579" s="266">
        <f ca="1">O579*IFERROR(INDEX(Algorithms!$G:$G,MATCH($C579&amp;"_Therm Saved per Unit- MLA",Algorithms!$A:$A,0)),0)*Y579</f>
        <v>0</v>
      </c>
      <c r="CQ579" s="266">
        <f ca="1">P579*IFERROR(INDEX(Algorithms!$G:$G,MATCH($C579&amp;"_Therm Saved per Unit- MLA",Algorithms!$A:$A,0)),0)*Z579</f>
        <v>0</v>
      </c>
      <c r="CR579" s="266">
        <f ca="1">Q579*IFERROR(INDEX(Algorithms!$G:$G,MATCH($C579&amp;"_Therm Saved per Unit- MLA",Algorithms!$A:$A,0)),0)*AA579</f>
        <v>0</v>
      </c>
      <c r="CS579" s="266">
        <f ca="1">IFERROR(INDEX(Algorithms!$G:$G,MATCH($C579&amp;"_Lifetime (years)",Algorithms!$A:$A,0)),0)</f>
        <v>3</v>
      </c>
      <c r="CT579" s="266">
        <f ca="1">IFERROR(INDEX(Algorithms!$G:$G,MATCH($C579&amp;"_Lifetime (years) - Remaining Years",Algorithms!$A:$A,0)),0)</f>
        <v>0</v>
      </c>
      <c r="CU579" s="266">
        <f t="shared" ca="1" si="361"/>
        <v>0</v>
      </c>
      <c r="CV579" s="266">
        <f t="shared" ca="1" si="362"/>
        <v>0</v>
      </c>
      <c r="CW579" s="266">
        <f t="shared" ca="1" si="363"/>
        <v>0</v>
      </c>
      <c r="CX579" s="266">
        <f t="shared" ca="1" si="364"/>
        <v>0</v>
      </c>
    </row>
    <row r="580" spans="2:102" s="47" customFormat="1" ht="18" customHeight="1" x14ac:dyDescent="0.25">
      <c r="B580" t="str">
        <f t="shared" si="365"/>
        <v>NSG_Business_Public Sector_Rebates_Water Heater_Central Lodging 88% TE_CI</v>
      </c>
      <c r="C580" s="47" t="str">
        <f t="shared" si="326"/>
        <v>Water Heater_Central Lodging 88% TE_CI</v>
      </c>
      <c r="D580" s="270" t="s">
        <v>1787</v>
      </c>
      <c r="E580" s="270" t="s">
        <v>3</v>
      </c>
      <c r="F580" s="270" t="s">
        <v>1430</v>
      </c>
      <c r="G580" s="270" t="s">
        <v>1429</v>
      </c>
      <c r="H580" s="270" t="s">
        <v>8</v>
      </c>
      <c r="I580" s="270" t="s">
        <v>1304</v>
      </c>
      <c r="J580" s="270" t="s">
        <v>1159</v>
      </c>
      <c r="K580" s="263">
        <v>1</v>
      </c>
      <c r="L580" s="263" t="str">
        <f ca="1">IFERROR(INDEX(Algorithms!J:J,MATCH($C580&amp;"_Therm Saved per Unit",Algorithms!$A:$A,0)),"n/a")</f>
        <v>4.3.7</v>
      </c>
      <c r="M580" s="263" t="str">
        <f>IFERROR(INDEX('Measure Level Detail'!$N:$N,MATCH($B580,'Measure Level Detail'!$B:$B,0)),0)</f>
        <v>MBH</v>
      </c>
      <c r="N580" s="271">
        <f>IFERROR(INDEX('Measure Level Detail'!$P:$P,MATCH($B580&amp;"_"&amp;N$3,'Measure Level Detail'!$C:$C,0)),0)</f>
        <v>0</v>
      </c>
      <c r="O580" s="271">
        <f>IFERROR(INDEX('Measure Level Detail'!$P:$P,MATCH($B580&amp;"_"&amp;O$3,'Measure Level Detail'!$C:$C,0)),0)</f>
        <v>0</v>
      </c>
      <c r="P580" s="271">
        <f>IFERROR(INDEX('Measure Level Detail'!$P:$P,MATCH($B580&amp;"_"&amp;P$3,'Measure Level Detail'!$C:$C,0)),0)</f>
        <v>0</v>
      </c>
      <c r="Q580" s="271">
        <f>IFERROR(INDEX('Measure Level Detail'!$P:$P,MATCH($B580&amp;"_"&amp;Q$3,'Measure Level Detail'!$C:$C,0)),0)</f>
        <v>0</v>
      </c>
      <c r="R580" s="263" t="str">
        <f ca="1">IFERROR(INDEX(Algorithms!K:K,MATCH($C580&amp;"_Therm Saved per Unit",Algorithms!$A:$A,0)),"n/a")</f>
        <v>CI-HWE-MDHW-V07-240101</v>
      </c>
      <c r="S580" s="262"/>
      <c r="T580" s="272">
        <v>9.31628800262075</v>
      </c>
      <c r="U580" s="272">
        <v>9.31628800262075</v>
      </c>
      <c r="V580" s="272">
        <v>9.31628800262075</v>
      </c>
      <c r="W580" s="272">
        <v>9.31628800262075</v>
      </c>
      <c r="X580" s="276">
        <v>0.92</v>
      </c>
      <c r="Y580" s="276">
        <v>0.92</v>
      </c>
      <c r="Z580" s="276">
        <v>0.92</v>
      </c>
      <c r="AA580" s="276">
        <v>0.92</v>
      </c>
      <c r="AB580" s="266">
        <f t="shared" si="327"/>
        <v>0</v>
      </c>
      <c r="AC580" s="266">
        <f t="shared" si="328"/>
        <v>0</v>
      </c>
      <c r="AD580" s="266">
        <f t="shared" si="329"/>
        <v>0</v>
      </c>
      <c r="AE580" s="266">
        <f t="shared" si="330"/>
        <v>0</v>
      </c>
      <c r="AF580" s="266">
        <f t="shared" si="331"/>
        <v>0</v>
      </c>
      <c r="AG580" s="274">
        <v>0.92</v>
      </c>
      <c r="AH580" s="274">
        <v>0.92</v>
      </c>
      <c r="AI580" s="274">
        <v>0.92</v>
      </c>
      <c r="AJ580" s="274">
        <v>0.92</v>
      </c>
      <c r="AK580" s="274">
        <f t="shared" si="332"/>
        <v>0.92</v>
      </c>
      <c r="AL580" s="274">
        <f t="shared" si="333"/>
        <v>0.92</v>
      </c>
      <c r="AM580" s="274">
        <f t="shared" si="334"/>
        <v>0.92</v>
      </c>
      <c r="AN580" s="274">
        <f t="shared" si="335"/>
        <v>0.92</v>
      </c>
      <c r="AO580" s="262"/>
      <c r="AP580" s="262"/>
      <c r="AQ580" s="267">
        <v>9.7379830071207483</v>
      </c>
      <c r="AR580" s="262"/>
      <c r="AS580" s="266">
        <f t="shared" si="336"/>
        <v>0</v>
      </c>
      <c r="AT580" s="264">
        <f t="shared" si="337"/>
        <v>0</v>
      </c>
      <c r="AU580" s="262"/>
      <c r="AV580" s="262"/>
      <c r="AW580" s="265">
        <v>9.7379830071207483</v>
      </c>
      <c r="AX580" s="164" t="s">
        <v>1469</v>
      </c>
      <c r="AY580" s="266">
        <v>0</v>
      </c>
      <c r="AZ580" s="266">
        <f t="shared" si="338"/>
        <v>0</v>
      </c>
      <c r="BA580" s="264">
        <f t="shared" si="339"/>
        <v>0</v>
      </c>
      <c r="BB580" s="262"/>
      <c r="BC580" s="262"/>
      <c r="BD580" s="265">
        <f ca="1">IFERROR(INDEX(Algorithms!$G:$G,MATCH($C580&amp;"_Therm Saved per Unit",Algorithms!$A:$A,0)),0)</f>
        <v>9.7379830071207483</v>
      </c>
      <c r="BE580" s="164" t="str">
        <f ca="1">IFERROR(INDEX('v12 Revisions'!$P$29:$P$186, MATCH('Measure-Level Adj Gas'!$L580, 'v12 Revisions'!$D$29:$D$186,0)),"")</f>
        <v>n/a - language only.</v>
      </c>
      <c r="BF580" s="266">
        <f t="shared" ca="1" si="340"/>
        <v>0</v>
      </c>
      <c r="BG580" s="264">
        <f t="shared" ca="1" si="341"/>
        <v>0</v>
      </c>
      <c r="BH580" s="262"/>
      <c r="BI580" s="262"/>
      <c r="BJ580" s="265">
        <f ca="1">IFERROR(INDEX(Algorithms!$G:$G,MATCH($C580&amp;"_Therm Saved per Unit",Algorithms!$A:$A,0)),0)</f>
        <v>9.7379830071207483</v>
      </c>
      <c r="BK580" s="164"/>
      <c r="BL580" s="266">
        <f t="shared" ca="1" si="342"/>
        <v>0</v>
      </c>
      <c r="BM580" s="264">
        <f t="shared" ca="1" si="343"/>
        <v>0</v>
      </c>
      <c r="BN580" s="266">
        <f t="shared" si="344"/>
        <v>0</v>
      </c>
      <c r="BO580" s="266">
        <f t="shared" si="345"/>
        <v>0</v>
      </c>
      <c r="BP580" s="266">
        <f t="shared" ca="1" si="346"/>
        <v>0</v>
      </c>
      <c r="BQ580" s="266">
        <f t="shared" ca="1" si="347"/>
        <v>0</v>
      </c>
      <c r="BR580" s="268">
        <f t="shared" ca="1" si="348"/>
        <v>0</v>
      </c>
      <c r="BS580" s="262" t="s">
        <v>99</v>
      </c>
      <c r="BT580" s="277"/>
      <c r="BW580" s="266">
        <f t="shared" si="349"/>
        <v>0</v>
      </c>
      <c r="BX580" s="266">
        <f t="shared" si="350"/>
        <v>0</v>
      </c>
      <c r="BY580" s="266">
        <f t="shared" si="351"/>
        <v>0</v>
      </c>
      <c r="BZ580" s="266">
        <f t="shared" si="352"/>
        <v>0</v>
      </c>
      <c r="CA580" s="266">
        <f ca="1">N580*IFERROR(INDEX(Algorithms!$G:$G,MATCH($C580&amp;"_Therm Saved per Unit- MLA",Algorithms!$A:$A,0)),0)*X580</f>
        <v>0</v>
      </c>
      <c r="CB580" s="266">
        <f ca="1">O580*IFERROR(INDEX(Algorithms!$G:$G,MATCH($C580&amp;"_Therm Saved per Unit- MLA",Algorithms!$A:$A,0)),0)*Y580</f>
        <v>0</v>
      </c>
      <c r="CC580" s="266">
        <f ca="1">P580*IFERROR(INDEX(Algorithms!$G:$G,MATCH($C580&amp;"_Therm Saved per Unit- MLA",Algorithms!$A:$A,0)),0)*Z580</f>
        <v>0</v>
      </c>
      <c r="CD580" s="266">
        <f ca="1">Q580*IFERROR(INDEX(Algorithms!$G:$G,MATCH($C580&amp;"_Therm Saved per Unit- MLA",Algorithms!$A:$A,0)),0)*AA580</f>
        <v>0</v>
      </c>
      <c r="CE580" s="266">
        <f ca="1">IFERROR(INDEX(Algorithms!$G:$G,MATCH($C580&amp;"_Lifetime (years)",Algorithms!$A:$A,0)),0)</f>
        <v>15</v>
      </c>
      <c r="CF580" s="266">
        <f ca="1">IFERROR(INDEX(Algorithms!$G:$G,MATCH($C580&amp;"_Lifetime (years) - Remaining Years",Algorithms!$A:$A,0)),0)</f>
        <v>0</v>
      </c>
      <c r="CG580" s="266">
        <f t="shared" ca="1" si="353"/>
        <v>0</v>
      </c>
      <c r="CH580" s="266">
        <f t="shared" ca="1" si="354"/>
        <v>0</v>
      </c>
      <c r="CI580" s="266">
        <f t="shared" ca="1" si="355"/>
        <v>0</v>
      </c>
      <c r="CJ580" s="266">
        <f t="shared" ca="1" si="356"/>
        <v>0</v>
      </c>
      <c r="CK580" s="266">
        <f t="shared" si="357"/>
        <v>0</v>
      </c>
      <c r="CL580" s="266">
        <f t="shared" si="358"/>
        <v>0</v>
      </c>
      <c r="CM580" s="266">
        <f t="shared" ca="1" si="359"/>
        <v>0</v>
      </c>
      <c r="CN580" s="266">
        <f t="shared" ca="1" si="360"/>
        <v>0</v>
      </c>
      <c r="CO580" s="266">
        <f ca="1">N580*IFERROR(INDEX(Algorithms!$G:$G,MATCH($C580&amp;"_Therm Saved per Unit- MLA",Algorithms!$A:$A,0)),0)*X580</f>
        <v>0</v>
      </c>
      <c r="CP580" s="266">
        <f ca="1">O580*IFERROR(INDEX(Algorithms!$G:$G,MATCH($C580&amp;"_Therm Saved per Unit- MLA",Algorithms!$A:$A,0)),0)*Y580</f>
        <v>0</v>
      </c>
      <c r="CQ580" s="266">
        <f ca="1">P580*IFERROR(INDEX(Algorithms!$G:$G,MATCH($C580&amp;"_Therm Saved per Unit- MLA",Algorithms!$A:$A,0)),0)*Z580</f>
        <v>0</v>
      </c>
      <c r="CR580" s="266">
        <f ca="1">Q580*IFERROR(INDEX(Algorithms!$G:$G,MATCH($C580&amp;"_Therm Saved per Unit- MLA",Algorithms!$A:$A,0)),0)*AA580</f>
        <v>0</v>
      </c>
      <c r="CS580" s="266">
        <f ca="1">IFERROR(INDEX(Algorithms!$G:$G,MATCH($C580&amp;"_Lifetime (years)",Algorithms!$A:$A,0)),0)</f>
        <v>15</v>
      </c>
      <c r="CT580" s="266">
        <f ca="1">IFERROR(INDEX(Algorithms!$G:$G,MATCH($C580&amp;"_Lifetime (years) - Remaining Years",Algorithms!$A:$A,0)),0)</f>
        <v>0</v>
      </c>
      <c r="CU580" s="266">
        <f t="shared" ca="1" si="361"/>
        <v>0</v>
      </c>
      <c r="CV580" s="266">
        <f t="shared" ca="1" si="362"/>
        <v>0</v>
      </c>
      <c r="CW580" s="266">
        <f t="shared" ca="1" si="363"/>
        <v>0</v>
      </c>
      <c r="CX580" s="266">
        <f t="shared" ca="1" si="364"/>
        <v>0</v>
      </c>
    </row>
    <row r="581" spans="2:102" s="47" customFormat="1" ht="18" customHeight="1" x14ac:dyDescent="0.25">
      <c r="B581" t="str">
        <f t="shared" si="365"/>
        <v>NSG_Business_Public Sector_Rebates_Energy Recovery Ventilator_0_CI</v>
      </c>
      <c r="C581" s="47" t="str">
        <f t="shared" si="326"/>
        <v>Energy Recovery Ventilator_0_CI</v>
      </c>
      <c r="D581" s="270" t="s">
        <v>1787</v>
      </c>
      <c r="E581" s="270" t="s">
        <v>3</v>
      </c>
      <c r="F581" s="270" t="s">
        <v>1430</v>
      </c>
      <c r="G581" s="270" t="s">
        <v>1429</v>
      </c>
      <c r="H581" s="270" t="s">
        <v>11</v>
      </c>
      <c r="I581" s="270">
        <v>0</v>
      </c>
      <c r="J581" s="270" t="s">
        <v>1159</v>
      </c>
      <c r="K581" s="263">
        <v>1</v>
      </c>
      <c r="L581" s="263" t="str">
        <f ca="1">IFERROR(INDEX(Algorithms!J:J,MATCH($C581&amp;"_Therm Saved per Unit",Algorithms!$A:$A,0)),"n/a")</f>
        <v>4.4.27</v>
      </c>
      <c r="M581" s="263" t="str">
        <f>IFERROR(INDEX('Measure Level Detail'!$N:$N,MATCH($B581,'Measure Level Detail'!$B:$B,0)),0)</f>
        <v>CFM</v>
      </c>
      <c r="N581" s="271">
        <f>IFERROR(INDEX('Measure Level Detail'!$P:$P,MATCH($B581&amp;"_"&amp;N$3,'Measure Level Detail'!$C:$C,0)),0)</f>
        <v>0</v>
      </c>
      <c r="O581" s="271">
        <f>IFERROR(INDEX('Measure Level Detail'!$P:$P,MATCH($B581&amp;"_"&amp;O$3,'Measure Level Detail'!$C:$C,0)),0)</f>
        <v>0</v>
      </c>
      <c r="P581" s="271">
        <f>IFERROR(INDEX('Measure Level Detail'!$P:$P,MATCH($B581&amp;"_"&amp;P$3,'Measure Level Detail'!$C:$C,0)),0)</f>
        <v>0</v>
      </c>
      <c r="Q581" s="271">
        <f>IFERROR(INDEX('Measure Level Detail'!$P:$P,MATCH($B581&amp;"_"&amp;Q$3,'Measure Level Detail'!$C:$C,0)),0)</f>
        <v>0</v>
      </c>
      <c r="R581" s="263" t="str">
        <f ca="1">IFERROR(INDEX(Algorithms!K:K,MATCH($C581&amp;"_Therm Saved per Unit",Algorithms!$A:$A,0)),"n/a")</f>
        <v>CI-HVC-ERVE-V06-240101</v>
      </c>
      <c r="S581" s="262"/>
      <c r="T581" s="272">
        <v>0.47508182047227931</v>
      </c>
      <c r="U581" s="272">
        <v>0.47508182047227931</v>
      </c>
      <c r="V581" s="272">
        <v>0.47508182047227931</v>
      </c>
      <c r="W581" s="272">
        <v>0.47508182047227931</v>
      </c>
      <c r="X581" s="276">
        <v>0.92</v>
      </c>
      <c r="Y581" s="276">
        <v>0.92</v>
      </c>
      <c r="Z581" s="276">
        <v>0.92</v>
      </c>
      <c r="AA581" s="276">
        <v>0.92</v>
      </c>
      <c r="AB581" s="266">
        <f t="shared" si="327"/>
        <v>0</v>
      </c>
      <c r="AC581" s="266">
        <f t="shared" si="328"/>
        <v>0</v>
      </c>
      <c r="AD581" s="266">
        <f t="shared" si="329"/>
        <v>0</v>
      </c>
      <c r="AE581" s="266">
        <f t="shared" si="330"/>
        <v>0</v>
      </c>
      <c r="AF581" s="266">
        <f t="shared" si="331"/>
        <v>0</v>
      </c>
      <c r="AG581" s="274">
        <v>0.92</v>
      </c>
      <c r="AH581" s="274">
        <v>0.92</v>
      </c>
      <c r="AI581" s="274">
        <v>0.92</v>
      </c>
      <c r="AJ581" s="274">
        <v>0.92</v>
      </c>
      <c r="AK581" s="274">
        <f t="shared" si="332"/>
        <v>0.92</v>
      </c>
      <c r="AL581" s="274">
        <f t="shared" si="333"/>
        <v>0.92</v>
      </c>
      <c r="AM581" s="274">
        <f t="shared" si="334"/>
        <v>0.92</v>
      </c>
      <c r="AN581" s="274">
        <f t="shared" si="335"/>
        <v>0.92</v>
      </c>
      <c r="AO581" s="262"/>
      <c r="AP581" s="262"/>
      <c r="AQ581" s="267">
        <v>0.47508182047227931</v>
      </c>
      <c r="AR581" s="262"/>
      <c r="AS581" s="266">
        <f t="shared" si="336"/>
        <v>0</v>
      </c>
      <c r="AT581" s="264">
        <f t="shared" si="337"/>
        <v>0</v>
      </c>
      <c r="AU581" s="262"/>
      <c r="AV581" s="262"/>
      <c r="AW581" s="265">
        <v>0.47508182047227931</v>
      </c>
      <c r="AX581" s="164" t="s">
        <v>1469</v>
      </c>
      <c r="AY581" s="266">
        <v>0</v>
      </c>
      <c r="AZ581" s="266">
        <f t="shared" si="338"/>
        <v>0</v>
      </c>
      <c r="BA581" s="264">
        <f t="shared" si="339"/>
        <v>0</v>
      </c>
      <c r="BB581" s="262"/>
      <c r="BC581" s="262"/>
      <c r="BD581" s="265">
        <f ca="1">IFERROR(INDEX(Algorithms!$G:$G,MATCH($C581&amp;"_Therm Saved per Unit",Algorithms!$A:$A,0)),0)</f>
        <v>0.47175956997946616</v>
      </c>
      <c r="BE581" s="164" t="str">
        <f ca="1">IFERROR(INDEX('v12 Revisions'!$P$29:$P$186, MATCH('Measure-Level Adj Gas'!$L581, 'v12 Revisions'!$D$29:$D$186,0)),"")</f>
        <v>Updated temperature on design day of outside air.</v>
      </c>
      <c r="BF581" s="266">
        <f t="shared" ca="1" si="340"/>
        <v>0</v>
      </c>
      <c r="BG581" s="264">
        <f t="shared" ca="1" si="341"/>
        <v>0</v>
      </c>
      <c r="BH581" s="262"/>
      <c r="BI581" s="262"/>
      <c r="BJ581" s="265">
        <f ca="1">IFERROR(INDEX(Algorithms!$G:$G,MATCH($C581&amp;"_Therm Saved per Unit",Algorithms!$A:$A,0)),0)</f>
        <v>0.47175956997946616</v>
      </c>
      <c r="BK581" s="164"/>
      <c r="BL581" s="266">
        <f t="shared" ca="1" si="342"/>
        <v>0</v>
      </c>
      <c r="BM581" s="264">
        <f t="shared" ca="1" si="343"/>
        <v>0</v>
      </c>
      <c r="BN581" s="266">
        <f t="shared" si="344"/>
        <v>0</v>
      </c>
      <c r="BO581" s="266">
        <f t="shared" si="345"/>
        <v>0</v>
      </c>
      <c r="BP581" s="266">
        <f t="shared" ca="1" si="346"/>
        <v>0</v>
      </c>
      <c r="BQ581" s="266">
        <f t="shared" ca="1" si="347"/>
        <v>0</v>
      </c>
      <c r="BR581" s="268">
        <f t="shared" ca="1" si="348"/>
        <v>0</v>
      </c>
      <c r="BS581" s="262" t="s">
        <v>99</v>
      </c>
      <c r="BT581" s="277"/>
      <c r="BW581" s="266">
        <f t="shared" si="349"/>
        <v>0</v>
      </c>
      <c r="BX581" s="266">
        <f t="shared" si="350"/>
        <v>0</v>
      </c>
      <c r="BY581" s="266">
        <f t="shared" si="351"/>
        <v>0</v>
      </c>
      <c r="BZ581" s="266">
        <f t="shared" si="352"/>
        <v>0</v>
      </c>
      <c r="CA581" s="266">
        <f ca="1">N581*IFERROR(INDEX(Algorithms!$G:$G,MATCH($C581&amp;"_Therm Saved per Unit- MLA",Algorithms!$A:$A,0)),0)*X581</f>
        <v>0</v>
      </c>
      <c r="CB581" s="266">
        <f ca="1">O581*IFERROR(INDEX(Algorithms!$G:$G,MATCH($C581&amp;"_Therm Saved per Unit- MLA",Algorithms!$A:$A,0)),0)*Y581</f>
        <v>0</v>
      </c>
      <c r="CC581" s="266">
        <f ca="1">P581*IFERROR(INDEX(Algorithms!$G:$G,MATCH($C581&amp;"_Therm Saved per Unit- MLA",Algorithms!$A:$A,0)),0)*Z581</f>
        <v>0</v>
      </c>
      <c r="CD581" s="266">
        <f ca="1">Q581*IFERROR(INDEX(Algorithms!$G:$G,MATCH($C581&amp;"_Therm Saved per Unit- MLA",Algorithms!$A:$A,0)),0)*AA581</f>
        <v>0</v>
      </c>
      <c r="CE581" s="266">
        <f ca="1">IFERROR(INDEX(Algorithms!$G:$G,MATCH($C581&amp;"_Lifetime (years)",Algorithms!$A:$A,0)),0)</f>
        <v>15</v>
      </c>
      <c r="CF581" s="266">
        <f ca="1">IFERROR(INDEX(Algorithms!$G:$G,MATCH($C581&amp;"_Lifetime (years) - Remaining Years",Algorithms!$A:$A,0)),0)</f>
        <v>0</v>
      </c>
      <c r="CG581" s="266">
        <f t="shared" ca="1" si="353"/>
        <v>0</v>
      </c>
      <c r="CH581" s="266">
        <f t="shared" ca="1" si="354"/>
        <v>0</v>
      </c>
      <c r="CI581" s="266">
        <f t="shared" ca="1" si="355"/>
        <v>0</v>
      </c>
      <c r="CJ581" s="266">
        <f t="shared" ca="1" si="356"/>
        <v>0</v>
      </c>
      <c r="CK581" s="266">
        <f t="shared" si="357"/>
        <v>0</v>
      </c>
      <c r="CL581" s="266">
        <f t="shared" si="358"/>
        <v>0</v>
      </c>
      <c r="CM581" s="266">
        <f t="shared" ca="1" si="359"/>
        <v>0</v>
      </c>
      <c r="CN581" s="266">
        <f t="shared" ca="1" si="360"/>
        <v>0</v>
      </c>
      <c r="CO581" s="266">
        <f ca="1">N581*IFERROR(INDEX(Algorithms!$G:$G,MATCH($C581&amp;"_Therm Saved per Unit- MLA",Algorithms!$A:$A,0)),0)*X581</f>
        <v>0</v>
      </c>
      <c r="CP581" s="266">
        <f ca="1">O581*IFERROR(INDEX(Algorithms!$G:$G,MATCH($C581&amp;"_Therm Saved per Unit- MLA",Algorithms!$A:$A,0)),0)*Y581</f>
        <v>0</v>
      </c>
      <c r="CQ581" s="266">
        <f ca="1">P581*IFERROR(INDEX(Algorithms!$G:$G,MATCH($C581&amp;"_Therm Saved per Unit- MLA",Algorithms!$A:$A,0)),0)*Z581</f>
        <v>0</v>
      </c>
      <c r="CR581" s="266">
        <f ca="1">Q581*IFERROR(INDEX(Algorithms!$G:$G,MATCH($C581&amp;"_Therm Saved per Unit- MLA",Algorithms!$A:$A,0)),0)*AA581</f>
        <v>0</v>
      </c>
      <c r="CS581" s="266">
        <f ca="1">IFERROR(INDEX(Algorithms!$G:$G,MATCH($C581&amp;"_Lifetime (years)",Algorithms!$A:$A,0)),0)</f>
        <v>15</v>
      </c>
      <c r="CT581" s="266">
        <f ca="1">IFERROR(INDEX(Algorithms!$G:$G,MATCH($C581&amp;"_Lifetime (years) - Remaining Years",Algorithms!$A:$A,0)),0)</f>
        <v>0</v>
      </c>
      <c r="CU581" s="266">
        <f t="shared" ca="1" si="361"/>
        <v>0</v>
      </c>
      <c r="CV581" s="266">
        <f t="shared" ca="1" si="362"/>
        <v>0</v>
      </c>
      <c r="CW581" s="266">
        <f t="shared" ca="1" si="363"/>
        <v>0</v>
      </c>
      <c r="CX581" s="266">
        <f t="shared" ca="1" si="364"/>
        <v>0</v>
      </c>
    </row>
    <row r="582" spans="2:102" s="47" customFormat="1" ht="18" customHeight="1" x14ac:dyDescent="0.25">
      <c r="B582" t="str">
        <f t="shared" si="365"/>
        <v>NSG_Business_Public Sector_New Construction_C&amp;I New Construction_0_CI</v>
      </c>
      <c r="C582" s="47" t="str">
        <f t="shared" si="326"/>
        <v>C&amp;I New Construction_0_CI</v>
      </c>
      <c r="D582" s="270" t="s">
        <v>1787</v>
      </c>
      <c r="E582" s="270" t="s">
        <v>3</v>
      </c>
      <c r="F582" s="270" t="s">
        <v>1430</v>
      </c>
      <c r="G582" s="270" t="s">
        <v>1092</v>
      </c>
      <c r="H582" s="270" t="s">
        <v>1286</v>
      </c>
      <c r="I582" s="270">
        <v>0</v>
      </c>
      <c r="J582" s="270" t="s">
        <v>1159</v>
      </c>
      <c r="K582" s="263">
        <v>1</v>
      </c>
      <c r="L582" s="263">
        <f ca="1">IFERROR(INDEX(Algorithms!J:J,MATCH($C582&amp;"_Therm Saved per Unit",Algorithms!$A:$A,0)),"n/a")</f>
        <v>0</v>
      </c>
      <c r="M582" s="263" t="str">
        <f>IFERROR(INDEX('Measure Level Detail'!$N:$N,MATCH($B582,'Measure Level Detail'!$B:$B,0)),0)</f>
        <v>therm</v>
      </c>
      <c r="N582" s="271">
        <f>IFERROR(INDEX('Measure Level Detail'!$P:$P,MATCH($B582&amp;"_"&amp;N$3,'Measure Level Detail'!$C:$C,0)),0)</f>
        <v>0</v>
      </c>
      <c r="O582" s="271">
        <f>IFERROR(INDEX('Measure Level Detail'!$P:$P,MATCH($B582&amp;"_"&amp;O$3,'Measure Level Detail'!$C:$C,0)),0)</f>
        <v>0</v>
      </c>
      <c r="P582" s="271">
        <f>IFERROR(INDEX('Measure Level Detail'!$P:$P,MATCH($B582&amp;"_"&amp;P$3,'Measure Level Detail'!$C:$C,0)),0)</f>
        <v>0</v>
      </c>
      <c r="Q582" s="271">
        <f>IFERROR(INDEX('Measure Level Detail'!$P:$P,MATCH($B582&amp;"_"&amp;Q$3,'Measure Level Detail'!$C:$C,0)),0)</f>
        <v>0</v>
      </c>
      <c r="R582" s="263">
        <f ca="1">IFERROR(INDEX(Algorithms!K:K,MATCH($C582&amp;"_Therm Saved per Unit",Algorithms!$A:$A,0)),"n/a")</f>
        <v>0</v>
      </c>
      <c r="S582" s="262"/>
      <c r="T582" s="272">
        <v>1</v>
      </c>
      <c r="U582" s="272">
        <v>1</v>
      </c>
      <c r="V582" s="272">
        <v>1</v>
      </c>
      <c r="W582" s="272">
        <v>1</v>
      </c>
      <c r="X582" s="276">
        <v>0.43</v>
      </c>
      <c r="Y582" s="276">
        <v>0.43</v>
      </c>
      <c r="Z582" s="276">
        <v>0.43</v>
      </c>
      <c r="AA582" s="276">
        <v>0.43</v>
      </c>
      <c r="AB582" s="266">
        <f t="shared" si="327"/>
        <v>0</v>
      </c>
      <c r="AC582" s="266">
        <f t="shared" si="328"/>
        <v>0</v>
      </c>
      <c r="AD582" s="266">
        <f t="shared" si="329"/>
        <v>0</v>
      </c>
      <c r="AE582" s="266">
        <f t="shared" si="330"/>
        <v>0</v>
      </c>
      <c r="AF582" s="266">
        <f t="shared" si="331"/>
        <v>0</v>
      </c>
      <c r="AG582" s="274">
        <v>0.43</v>
      </c>
      <c r="AH582" s="274">
        <v>0.43</v>
      </c>
      <c r="AI582" s="710">
        <v>0.43</v>
      </c>
      <c r="AJ582" s="710">
        <v>0.43</v>
      </c>
      <c r="AK582" s="274">
        <f t="shared" si="332"/>
        <v>0.43</v>
      </c>
      <c r="AL582" s="274">
        <f t="shared" si="333"/>
        <v>0.43</v>
      </c>
      <c r="AM582" s="274">
        <f t="shared" si="334"/>
        <v>0.43</v>
      </c>
      <c r="AN582" s="274">
        <f t="shared" si="335"/>
        <v>0.43</v>
      </c>
      <c r="AO582" s="262"/>
      <c r="AP582" s="262"/>
      <c r="AQ582" s="267">
        <v>1</v>
      </c>
      <c r="AR582" s="262"/>
      <c r="AS582" s="266">
        <f t="shared" si="336"/>
        <v>0</v>
      </c>
      <c r="AT582" s="264">
        <f t="shared" si="337"/>
        <v>0</v>
      </c>
      <c r="AU582" s="262"/>
      <c r="AV582" s="262"/>
      <c r="AW582" s="265">
        <v>1</v>
      </c>
      <c r="AX582" s="164" t="s">
        <v>1469</v>
      </c>
      <c r="AY582" s="266">
        <v>0</v>
      </c>
      <c r="AZ582" s="266">
        <f t="shared" si="338"/>
        <v>0</v>
      </c>
      <c r="BA582" s="264">
        <f t="shared" si="339"/>
        <v>0</v>
      </c>
      <c r="BB582" s="262"/>
      <c r="BC582" s="262"/>
      <c r="BD582" s="265">
        <f ca="1">IFERROR(INDEX(Algorithms!$G:$G,MATCH($C582&amp;"_Therm Saved per Unit",Algorithms!$A:$A,0)),0)</f>
        <v>1</v>
      </c>
      <c r="BE582" s="164" t="str">
        <f ca="1">IFERROR(INDEX('v12 Revisions'!$P$29:$P$186, MATCH('Measure-Level Adj Gas'!$L582, 'v12 Revisions'!$D$29:$D$186,0)),"")</f>
        <v/>
      </c>
      <c r="BF582" s="266">
        <f t="shared" ca="1" si="340"/>
        <v>0</v>
      </c>
      <c r="BG582" s="264">
        <f t="shared" ca="1" si="341"/>
        <v>0</v>
      </c>
      <c r="BH582" s="262"/>
      <c r="BI582" s="262"/>
      <c r="BJ582" s="265">
        <f ca="1">IFERROR(INDEX(Algorithms!$G:$G,MATCH($C582&amp;"_Therm Saved per Unit",Algorithms!$A:$A,0)),0)</f>
        <v>1</v>
      </c>
      <c r="BK582" s="164"/>
      <c r="BL582" s="266">
        <f t="shared" ca="1" si="342"/>
        <v>0</v>
      </c>
      <c r="BM582" s="264">
        <f t="shared" ca="1" si="343"/>
        <v>0</v>
      </c>
      <c r="BN582" s="266">
        <f t="shared" si="344"/>
        <v>0</v>
      </c>
      <c r="BO582" s="266">
        <f t="shared" si="345"/>
        <v>0</v>
      </c>
      <c r="BP582" s="266">
        <f t="shared" ca="1" si="346"/>
        <v>0</v>
      </c>
      <c r="BQ582" s="266">
        <f t="shared" ca="1" si="347"/>
        <v>0</v>
      </c>
      <c r="BR582" s="268">
        <f t="shared" ca="1" si="348"/>
        <v>0</v>
      </c>
      <c r="BS582" s="262" t="s">
        <v>99</v>
      </c>
      <c r="BT582" s="277"/>
      <c r="BW582" s="266">
        <f t="shared" si="349"/>
        <v>0</v>
      </c>
      <c r="BX582" s="266">
        <f t="shared" si="350"/>
        <v>0</v>
      </c>
      <c r="BY582" s="266">
        <f t="shared" si="351"/>
        <v>0</v>
      </c>
      <c r="BZ582" s="266">
        <f t="shared" si="352"/>
        <v>0</v>
      </c>
      <c r="CA582" s="266">
        <f ca="1">N582*IFERROR(INDEX(Algorithms!$G:$G,MATCH($C582&amp;"_Therm Saved per Unit- MLA",Algorithms!$A:$A,0)),0)*X582</f>
        <v>0</v>
      </c>
      <c r="CB582" s="266">
        <f ca="1">O582*IFERROR(INDEX(Algorithms!$G:$G,MATCH($C582&amp;"_Therm Saved per Unit- MLA",Algorithms!$A:$A,0)),0)*Y582</f>
        <v>0</v>
      </c>
      <c r="CC582" s="266">
        <f ca="1">P582*IFERROR(INDEX(Algorithms!$G:$G,MATCH($C582&amp;"_Therm Saved per Unit- MLA",Algorithms!$A:$A,0)),0)*Z582</f>
        <v>0</v>
      </c>
      <c r="CD582" s="266">
        <f ca="1">Q582*IFERROR(INDEX(Algorithms!$G:$G,MATCH($C582&amp;"_Therm Saved per Unit- MLA",Algorithms!$A:$A,0)),0)*AA582</f>
        <v>0</v>
      </c>
      <c r="CE582" s="266">
        <f ca="1">IFERROR(INDEX(Algorithms!$G:$G,MATCH($C582&amp;"_Lifetime (years)",Algorithms!$A:$A,0)),0)</f>
        <v>15</v>
      </c>
      <c r="CF582" s="266">
        <f ca="1">IFERROR(INDEX(Algorithms!$G:$G,MATCH($C582&amp;"_Lifetime (years) - Remaining Years",Algorithms!$A:$A,0)),0)</f>
        <v>0</v>
      </c>
      <c r="CG582" s="266">
        <f t="shared" ca="1" si="353"/>
        <v>0</v>
      </c>
      <c r="CH582" s="266">
        <f t="shared" ca="1" si="354"/>
        <v>0</v>
      </c>
      <c r="CI582" s="266">
        <f t="shared" ca="1" si="355"/>
        <v>0</v>
      </c>
      <c r="CJ582" s="266">
        <f t="shared" ca="1" si="356"/>
        <v>0</v>
      </c>
      <c r="CK582" s="266">
        <f t="shared" si="357"/>
        <v>0</v>
      </c>
      <c r="CL582" s="266">
        <f t="shared" si="358"/>
        <v>0</v>
      </c>
      <c r="CM582" s="266">
        <f t="shared" ca="1" si="359"/>
        <v>0</v>
      </c>
      <c r="CN582" s="266">
        <f t="shared" ca="1" si="360"/>
        <v>0</v>
      </c>
      <c r="CO582" s="266">
        <f ca="1">N582*IFERROR(INDEX(Algorithms!$G:$G,MATCH($C582&amp;"_Therm Saved per Unit- MLA",Algorithms!$A:$A,0)),0)*X582</f>
        <v>0</v>
      </c>
      <c r="CP582" s="266">
        <f ca="1">O582*IFERROR(INDEX(Algorithms!$G:$G,MATCH($C582&amp;"_Therm Saved per Unit- MLA",Algorithms!$A:$A,0)),0)*Y582</f>
        <v>0</v>
      </c>
      <c r="CQ582" s="266">
        <f ca="1">P582*IFERROR(INDEX(Algorithms!$G:$G,MATCH($C582&amp;"_Therm Saved per Unit- MLA",Algorithms!$A:$A,0)),0)*Z582</f>
        <v>0</v>
      </c>
      <c r="CR582" s="266">
        <f ca="1">Q582*IFERROR(INDEX(Algorithms!$G:$G,MATCH($C582&amp;"_Therm Saved per Unit- MLA",Algorithms!$A:$A,0)),0)*AA582</f>
        <v>0</v>
      </c>
      <c r="CS582" s="266">
        <f ca="1">IFERROR(INDEX(Algorithms!$G:$G,MATCH($C582&amp;"_Lifetime (years)",Algorithms!$A:$A,0)),0)</f>
        <v>15</v>
      </c>
      <c r="CT582" s="266">
        <f ca="1">IFERROR(INDEX(Algorithms!$G:$G,MATCH($C582&amp;"_Lifetime (years) - Remaining Years",Algorithms!$A:$A,0)),0)</f>
        <v>0</v>
      </c>
      <c r="CU582" s="266">
        <f t="shared" ca="1" si="361"/>
        <v>0</v>
      </c>
      <c r="CV582" s="266">
        <f t="shared" ca="1" si="362"/>
        <v>0</v>
      </c>
      <c r="CW582" s="266">
        <f t="shared" ca="1" si="363"/>
        <v>0</v>
      </c>
      <c r="CX582" s="266">
        <f t="shared" ca="1" si="364"/>
        <v>0</v>
      </c>
    </row>
    <row r="583" spans="2:102" s="47" customFormat="1" ht="18" customHeight="1" x14ac:dyDescent="0.25">
      <c r="B583" t="str">
        <f t="shared" si="365"/>
        <v>NSG_Income Eligible_Single Family_CBA_Unit Visit_0_SF</v>
      </c>
      <c r="C583" s="47" t="str">
        <f t="shared" si="326"/>
        <v>Unit Visit_0_SF</v>
      </c>
      <c r="D583" s="270" t="s">
        <v>1787</v>
      </c>
      <c r="E583" s="270" t="s">
        <v>325</v>
      </c>
      <c r="F583" s="270" t="s">
        <v>375</v>
      </c>
      <c r="G583" s="270" t="s">
        <v>1809</v>
      </c>
      <c r="H583" s="270" t="s">
        <v>1090</v>
      </c>
      <c r="I583" s="270">
        <v>0</v>
      </c>
      <c r="J583" s="270" t="s">
        <v>409</v>
      </c>
      <c r="K583" s="263">
        <v>1</v>
      </c>
      <c r="L583" s="263" t="str">
        <f ca="1">IFERROR(INDEX(Algorithms!J:J,MATCH($C583&amp;"_Therm Saved per Unit",Algorithms!$A:$A,0)),"n/a")</f>
        <v>n/a</v>
      </c>
      <c r="M583" s="263">
        <f>IFERROR(INDEX('Measure Level Detail'!$N:$N,MATCH($B583,'Measure Level Detail'!$B:$B,0)),0)</f>
        <v>0</v>
      </c>
      <c r="N583" s="271">
        <f>IFERROR(INDEX('Measure Level Detail'!$P:$P,MATCH($B583&amp;"_"&amp;N$3,'Measure Level Detail'!$C:$C,0)),0)</f>
        <v>0</v>
      </c>
      <c r="O583" s="271">
        <f>IFERROR(INDEX('Measure Level Detail'!$P:$P,MATCH($B583&amp;"_"&amp;O$3,'Measure Level Detail'!$C:$C,0)),0)</f>
        <v>0</v>
      </c>
      <c r="P583" s="271">
        <f>IFERROR(INDEX('Measure Level Detail'!$P:$P,MATCH($B583&amp;"_"&amp;P$3,'Measure Level Detail'!$C:$C,0)),0)</f>
        <v>0</v>
      </c>
      <c r="Q583" s="271">
        <f>IFERROR(INDEX('Measure Level Detail'!$P:$P,MATCH($B583&amp;"_"&amp;Q$3,'Measure Level Detail'!$C:$C,0)),0)</f>
        <v>0</v>
      </c>
      <c r="R583" s="263" t="str">
        <f ca="1">IFERROR(INDEX(Algorithms!K:K,MATCH($C583&amp;"_Therm Saved per Unit",Algorithms!$A:$A,0)),"n/a")</f>
        <v>n/a</v>
      </c>
      <c r="S583" s="262"/>
      <c r="T583" s="272">
        <v>0</v>
      </c>
      <c r="U583" s="272">
        <v>0</v>
      </c>
      <c r="V583" s="272">
        <v>0</v>
      </c>
      <c r="W583" s="272">
        <v>0</v>
      </c>
      <c r="X583" s="273">
        <f>IFERROR(INDEX('Measure Level Detail'!$R:$R,MATCH($B583&amp;"_"&amp;X$3,'Measure Level Detail'!$C:$C,0)),0)</f>
        <v>0</v>
      </c>
      <c r="Y583" s="273">
        <f>IFERROR(INDEX('Measure Level Detail'!$R:$R,MATCH($B583&amp;"_"&amp;Y$3,'Measure Level Detail'!$C:$C,0)),0)</f>
        <v>0</v>
      </c>
      <c r="Z583" s="273">
        <f>IFERROR(INDEX('Measure Level Detail'!$R:$R,MATCH($B583&amp;"_"&amp;Z$3,'Measure Level Detail'!$C:$C,0)),0)</f>
        <v>0</v>
      </c>
      <c r="AA583" s="273">
        <f>IFERROR(INDEX('Measure Level Detail'!$R:$R,MATCH($B583&amp;"_"&amp;AA$3,'Measure Level Detail'!$C:$C,0)),0)</f>
        <v>0</v>
      </c>
      <c r="AB583" s="266">
        <f t="shared" si="327"/>
        <v>0</v>
      </c>
      <c r="AC583" s="266">
        <f t="shared" si="328"/>
        <v>0</v>
      </c>
      <c r="AD583" s="266">
        <f t="shared" si="329"/>
        <v>0</v>
      </c>
      <c r="AE583" s="266">
        <f t="shared" si="330"/>
        <v>0</v>
      </c>
      <c r="AF583" s="266">
        <f t="shared" si="331"/>
        <v>0</v>
      </c>
      <c r="AG583" s="274">
        <v>0</v>
      </c>
      <c r="AH583" s="274">
        <v>0</v>
      </c>
      <c r="AI583" s="274">
        <v>0</v>
      </c>
      <c r="AJ583" s="274">
        <v>0</v>
      </c>
      <c r="AK583" s="274">
        <f t="shared" si="332"/>
        <v>0</v>
      </c>
      <c r="AL583" s="274">
        <f t="shared" si="333"/>
        <v>0</v>
      </c>
      <c r="AM583" s="274">
        <f t="shared" si="334"/>
        <v>0</v>
      </c>
      <c r="AN583" s="274">
        <f t="shared" si="335"/>
        <v>0</v>
      </c>
      <c r="AO583" s="262"/>
      <c r="AP583" s="262"/>
      <c r="AQ583" s="267">
        <v>0</v>
      </c>
      <c r="AR583" s="262"/>
      <c r="AS583" s="266">
        <f t="shared" si="336"/>
        <v>0</v>
      </c>
      <c r="AT583" s="264">
        <f t="shared" si="337"/>
        <v>0</v>
      </c>
      <c r="AU583" s="262"/>
      <c r="AV583" s="262"/>
      <c r="AW583" s="265">
        <v>0</v>
      </c>
      <c r="AX583" s="164" t="s">
        <v>1469</v>
      </c>
      <c r="AY583" s="266">
        <v>0</v>
      </c>
      <c r="AZ583" s="266">
        <f t="shared" si="338"/>
        <v>0</v>
      </c>
      <c r="BA583" s="264">
        <f t="shared" si="339"/>
        <v>0</v>
      </c>
      <c r="BB583" s="262"/>
      <c r="BC583" s="262"/>
      <c r="BD583" s="265">
        <f ca="1">IFERROR(INDEX(Algorithms!$G:$G,MATCH($C583&amp;"_Therm Saved per Unit",Algorithms!$A:$A,0)),0)</f>
        <v>0</v>
      </c>
      <c r="BE583" s="164" t="str">
        <f ca="1">IFERROR(INDEX('v12 Revisions'!$P$29:$P$186, MATCH('Measure-Level Adj Gas'!$L583, 'v12 Revisions'!$D$29:$D$186,0)),"")</f>
        <v/>
      </c>
      <c r="BF583" s="266">
        <f t="shared" ca="1" si="340"/>
        <v>0</v>
      </c>
      <c r="BG583" s="264">
        <f t="shared" ca="1" si="341"/>
        <v>0</v>
      </c>
      <c r="BH583" s="262"/>
      <c r="BI583" s="262"/>
      <c r="BJ583" s="265">
        <f ca="1">IFERROR(INDEX(Algorithms!$G:$G,MATCH($C583&amp;"_Therm Saved per Unit",Algorithms!$A:$A,0)),0)</f>
        <v>0</v>
      </c>
      <c r="BK583" s="164"/>
      <c r="BL583" s="266">
        <f t="shared" ca="1" si="342"/>
        <v>0</v>
      </c>
      <c r="BM583" s="264">
        <f t="shared" ca="1" si="343"/>
        <v>0</v>
      </c>
      <c r="BN583" s="266">
        <f t="shared" si="344"/>
        <v>0</v>
      </c>
      <c r="BO583" s="266">
        <f t="shared" si="345"/>
        <v>0</v>
      </c>
      <c r="BP583" s="266">
        <f t="shared" ca="1" si="346"/>
        <v>0</v>
      </c>
      <c r="BQ583" s="266">
        <f t="shared" ca="1" si="347"/>
        <v>0</v>
      </c>
      <c r="BR583" s="268">
        <f t="shared" ca="1" si="348"/>
        <v>0</v>
      </c>
      <c r="BS583" s="262" t="s">
        <v>99</v>
      </c>
      <c r="BT583" s="277"/>
      <c r="BW583" s="266">
        <f t="shared" si="349"/>
        <v>0</v>
      </c>
      <c r="BX583" s="266">
        <f t="shared" si="350"/>
        <v>0</v>
      </c>
      <c r="BY583" s="266">
        <f t="shared" si="351"/>
        <v>0</v>
      </c>
      <c r="BZ583" s="266">
        <f t="shared" si="352"/>
        <v>0</v>
      </c>
      <c r="CA583" s="266">
        <f ca="1">N583*IFERROR(INDEX(Algorithms!$G:$G,MATCH($C583&amp;"_Therm Saved per Unit- MLA",Algorithms!$A:$A,0)),0)*X583</f>
        <v>0</v>
      </c>
      <c r="CB583" s="266">
        <f ca="1">O583*IFERROR(INDEX(Algorithms!$G:$G,MATCH($C583&amp;"_Therm Saved per Unit- MLA",Algorithms!$A:$A,0)),0)*Y583</f>
        <v>0</v>
      </c>
      <c r="CC583" s="266">
        <f ca="1">P583*IFERROR(INDEX(Algorithms!$G:$G,MATCH($C583&amp;"_Therm Saved per Unit- MLA",Algorithms!$A:$A,0)),0)*Z583</f>
        <v>0</v>
      </c>
      <c r="CD583" s="266">
        <f ca="1">Q583*IFERROR(INDEX(Algorithms!$G:$G,MATCH($C583&amp;"_Therm Saved per Unit- MLA",Algorithms!$A:$A,0)),0)*AA583</f>
        <v>0</v>
      </c>
      <c r="CE583" s="266">
        <f ca="1">IFERROR(INDEX(Algorithms!$G:$G,MATCH($C583&amp;"_Lifetime (years)",Algorithms!$A:$A,0)),0)</f>
        <v>1</v>
      </c>
      <c r="CF583" s="266">
        <f ca="1">IFERROR(INDEX(Algorithms!$G:$G,MATCH($C583&amp;"_Lifetime (years) - Remaining Years",Algorithms!$A:$A,0)),0)</f>
        <v>0</v>
      </c>
      <c r="CG583" s="266">
        <f t="shared" ca="1" si="353"/>
        <v>0</v>
      </c>
      <c r="CH583" s="266">
        <f t="shared" ca="1" si="354"/>
        <v>0</v>
      </c>
      <c r="CI583" s="266">
        <f t="shared" ca="1" si="355"/>
        <v>0</v>
      </c>
      <c r="CJ583" s="266">
        <f t="shared" ca="1" si="356"/>
        <v>0</v>
      </c>
      <c r="CK583" s="266">
        <f t="shared" si="357"/>
        <v>0</v>
      </c>
      <c r="CL583" s="266">
        <f t="shared" si="358"/>
        <v>0</v>
      </c>
      <c r="CM583" s="266">
        <f t="shared" ca="1" si="359"/>
        <v>0</v>
      </c>
      <c r="CN583" s="266">
        <f t="shared" ca="1" si="360"/>
        <v>0</v>
      </c>
      <c r="CO583" s="266">
        <f ca="1">N583*IFERROR(INDEX(Algorithms!$G:$G,MATCH($C583&amp;"_Therm Saved per Unit- MLA",Algorithms!$A:$A,0)),0)*X583</f>
        <v>0</v>
      </c>
      <c r="CP583" s="266">
        <f ca="1">O583*IFERROR(INDEX(Algorithms!$G:$G,MATCH($C583&amp;"_Therm Saved per Unit- MLA",Algorithms!$A:$A,0)),0)*Y583</f>
        <v>0</v>
      </c>
      <c r="CQ583" s="266">
        <f ca="1">P583*IFERROR(INDEX(Algorithms!$G:$G,MATCH($C583&amp;"_Therm Saved per Unit- MLA",Algorithms!$A:$A,0)),0)*Z583</f>
        <v>0</v>
      </c>
      <c r="CR583" s="266">
        <f ca="1">Q583*IFERROR(INDEX(Algorithms!$G:$G,MATCH($C583&amp;"_Therm Saved per Unit- MLA",Algorithms!$A:$A,0)),0)*AA583</f>
        <v>0</v>
      </c>
      <c r="CS583" s="266">
        <f ca="1">IFERROR(INDEX(Algorithms!$G:$G,MATCH($C583&amp;"_Lifetime (years)",Algorithms!$A:$A,0)),0)</f>
        <v>1</v>
      </c>
      <c r="CT583" s="266">
        <f ca="1">IFERROR(INDEX(Algorithms!$G:$G,MATCH($C583&amp;"_Lifetime (years) - Remaining Years",Algorithms!$A:$A,0)),0)</f>
        <v>0</v>
      </c>
      <c r="CU583" s="266">
        <f t="shared" ca="1" si="361"/>
        <v>0</v>
      </c>
      <c r="CV583" s="266">
        <f t="shared" ca="1" si="362"/>
        <v>0</v>
      </c>
      <c r="CW583" s="266">
        <f t="shared" ca="1" si="363"/>
        <v>0</v>
      </c>
      <c r="CX583" s="266">
        <f t="shared" ca="1" si="364"/>
        <v>0</v>
      </c>
    </row>
    <row r="584" spans="2:102" s="47" customFormat="1" ht="18" customHeight="1" x14ac:dyDescent="0.25">
      <c r="B584" t="str">
        <f t="shared" si="365"/>
        <v>NSG_Income Eligible_Single Family_CBA_Low Flow Bathroom Aerator_0_SF</v>
      </c>
      <c r="C584" s="47" t="str">
        <f t="shared" si="326"/>
        <v>Low Flow Bathroom Aerator_0_SF</v>
      </c>
      <c r="D584" s="270" t="s">
        <v>1787</v>
      </c>
      <c r="E584" s="270" t="s">
        <v>325</v>
      </c>
      <c r="F584" s="270" t="s">
        <v>375</v>
      </c>
      <c r="G584" s="270" t="s">
        <v>1809</v>
      </c>
      <c r="H584" s="270" t="s">
        <v>555</v>
      </c>
      <c r="I584" s="270">
        <v>0</v>
      </c>
      <c r="J584" s="270" t="s">
        <v>409</v>
      </c>
      <c r="K584" s="263">
        <v>1</v>
      </c>
      <c r="L584" s="263" t="str">
        <f ca="1">IFERROR(INDEX(Algorithms!J:J,MATCH($C584&amp;"_Therm Saved per Unit",Algorithms!$A:$A,0)),"n/a")</f>
        <v>5.4.4</v>
      </c>
      <c r="M584" s="263">
        <f>IFERROR(INDEX('Measure Level Detail'!$N:$N,MATCH($B584,'Measure Level Detail'!$B:$B,0)),0)</f>
        <v>0</v>
      </c>
      <c r="N584" s="271">
        <f>IFERROR(INDEX('Measure Level Detail'!$P:$P,MATCH($B584&amp;"_"&amp;N$3,'Measure Level Detail'!$C:$C,0)),0)</f>
        <v>0</v>
      </c>
      <c r="O584" s="271">
        <f>IFERROR(INDEX('Measure Level Detail'!$P:$P,MATCH($B584&amp;"_"&amp;O$3,'Measure Level Detail'!$C:$C,0)),0)</f>
        <v>0</v>
      </c>
      <c r="P584" s="271">
        <f>IFERROR(INDEX('Measure Level Detail'!$P:$P,MATCH($B584&amp;"_"&amp;P$3,'Measure Level Detail'!$C:$C,0)),0)</f>
        <v>0</v>
      </c>
      <c r="Q584" s="271">
        <f>IFERROR(INDEX('Measure Level Detail'!$P:$P,MATCH($B584&amp;"_"&amp;Q$3,'Measure Level Detail'!$C:$C,0)),0)</f>
        <v>0</v>
      </c>
      <c r="R584" s="263" t="str">
        <f ca="1">IFERROR(INDEX(Algorithms!K:K,MATCH($C584&amp;"_Therm Saved per Unit",Algorithms!$A:$A,0)),"n/a")</f>
        <v>RS-HWE-LFFA-V13-240101</v>
      </c>
      <c r="S584" s="262"/>
      <c r="T584" s="272">
        <v>0.90936082797455842</v>
      </c>
      <c r="U584" s="272">
        <v>0.90936082797455842</v>
      </c>
      <c r="V584" s="272">
        <v>0.90936082797455842</v>
      </c>
      <c r="W584" s="272">
        <v>0.90936082797455842</v>
      </c>
      <c r="X584" s="273">
        <f>IFERROR(INDEX('Measure Level Detail'!$R:$R,MATCH($B584&amp;"_"&amp;X$3,'Measure Level Detail'!$C:$C,0)),0)</f>
        <v>0</v>
      </c>
      <c r="Y584" s="273">
        <f>IFERROR(INDEX('Measure Level Detail'!$R:$R,MATCH($B584&amp;"_"&amp;Y$3,'Measure Level Detail'!$C:$C,0)),0)</f>
        <v>0</v>
      </c>
      <c r="Z584" s="273">
        <f>IFERROR(INDEX('Measure Level Detail'!$R:$R,MATCH($B584&amp;"_"&amp;Z$3,'Measure Level Detail'!$C:$C,0)),0)</f>
        <v>0</v>
      </c>
      <c r="AA584" s="273">
        <f>IFERROR(INDEX('Measure Level Detail'!$R:$R,MATCH($B584&amp;"_"&amp;AA$3,'Measure Level Detail'!$C:$C,0)),0)</f>
        <v>0</v>
      </c>
      <c r="AB584" s="266">
        <f t="shared" si="327"/>
        <v>0</v>
      </c>
      <c r="AC584" s="266">
        <f t="shared" si="328"/>
        <v>0</v>
      </c>
      <c r="AD584" s="266">
        <f t="shared" si="329"/>
        <v>0</v>
      </c>
      <c r="AE584" s="266">
        <f t="shared" si="330"/>
        <v>0</v>
      </c>
      <c r="AF584" s="266">
        <f t="shared" si="331"/>
        <v>0</v>
      </c>
      <c r="AG584" s="274">
        <v>0</v>
      </c>
      <c r="AH584" s="274">
        <v>0</v>
      </c>
      <c r="AI584" s="274">
        <v>0</v>
      </c>
      <c r="AJ584" s="274">
        <v>0</v>
      </c>
      <c r="AK584" s="274">
        <f t="shared" si="332"/>
        <v>0</v>
      </c>
      <c r="AL584" s="274">
        <f t="shared" si="333"/>
        <v>0</v>
      </c>
      <c r="AM584" s="274">
        <f t="shared" si="334"/>
        <v>0</v>
      </c>
      <c r="AN584" s="274">
        <f t="shared" si="335"/>
        <v>0</v>
      </c>
      <c r="AO584" s="262"/>
      <c r="AP584" s="262"/>
      <c r="AQ584" s="267">
        <v>1.0053261226599404</v>
      </c>
      <c r="AR584" s="262"/>
      <c r="AS584" s="266">
        <f t="shared" si="336"/>
        <v>0</v>
      </c>
      <c r="AT584" s="264">
        <f t="shared" si="337"/>
        <v>0</v>
      </c>
      <c r="AU584" s="262"/>
      <c r="AV584" s="262"/>
      <c r="AW584" s="265">
        <v>0.98416136218288908</v>
      </c>
      <c r="AX584" s="164" t="s">
        <v>2392</v>
      </c>
      <c r="AY584" s="266">
        <v>0</v>
      </c>
      <c r="AZ584" s="266">
        <f t="shared" si="338"/>
        <v>0</v>
      </c>
      <c r="BA584" s="264">
        <f t="shared" si="339"/>
        <v>0</v>
      </c>
      <c r="BB584" s="262"/>
      <c r="BC584" s="262"/>
      <c r="BD584" s="265">
        <f ca="1">IFERROR(INDEX(Algorithms!$G:$G,MATCH($C584&amp;"_Therm Saved per Unit",Algorithms!$A:$A,0)),0)</f>
        <v>0.98416136218288908</v>
      </c>
      <c r="BE584" s="164" t="str">
        <f ca="1">IFERROR(INDEX('v12 Revisions'!$P$29:$P$186, MATCH('Measure-Level Adj Gas'!$L584, 'v12 Revisions'!$D$29:$D$186,0)),"")</f>
        <v>n/a - plan assumes Direct Install, not Distributed School Efficiency Kit.</v>
      </c>
      <c r="BF584" s="266">
        <f t="shared" ca="1" si="340"/>
        <v>0</v>
      </c>
      <c r="BG584" s="264">
        <f t="shared" ca="1" si="341"/>
        <v>0</v>
      </c>
      <c r="BH584" s="262"/>
      <c r="BI584" s="262"/>
      <c r="BJ584" s="265">
        <f ca="1">IFERROR(INDEX(Algorithms!$G:$G,MATCH($C584&amp;"_Therm Saved per Unit",Algorithms!$A:$A,0)),0)</f>
        <v>0.98416136218288908</v>
      </c>
      <c r="BK584" s="164"/>
      <c r="BL584" s="266">
        <f t="shared" ca="1" si="342"/>
        <v>0</v>
      </c>
      <c r="BM584" s="264">
        <f t="shared" ca="1" si="343"/>
        <v>0</v>
      </c>
      <c r="BN584" s="266">
        <f t="shared" si="344"/>
        <v>0</v>
      </c>
      <c r="BO584" s="266">
        <f t="shared" si="345"/>
        <v>0</v>
      </c>
      <c r="BP584" s="266">
        <f t="shared" ca="1" si="346"/>
        <v>0</v>
      </c>
      <c r="BQ584" s="266">
        <f t="shared" ca="1" si="347"/>
        <v>0</v>
      </c>
      <c r="BR584" s="268">
        <f t="shared" ca="1" si="348"/>
        <v>0</v>
      </c>
      <c r="BS584" s="262" t="s">
        <v>99</v>
      </c>
      <c r="BT584" s="277"/>
      <c r="BW584" s="266">
        <f t="shared" si="349"/>
        <v>0</v>
      </c>
      <c r="BX584" s="266">
        <f t="shared" si="350"/>
        <v>0</v>
      </c>
      <c r="BY584" s="266">
        <f t="shared" si="351"/>
        <v>0</v>
      </c>
      <c r="BZ584" s="266">
        <f t="shared" si="352"/>
        <v>0</v>
      </c>
      <c r="CA584" s="266">
        <f ca="1">N584*IFERROR(INDEX(Algorithms!$G:$G,MATCH($C584&amp;"_Therm Saved per Unit- MLA",Algorithms!$A:$A,0)),0)*X584</f>
        <v>0</v>
      </c>
      <c r="CB584" s="266">
        <f ca="1">O584*IFERROR(INDEX(Algorithms!$G:$G,MATCH($C584&amp;"_Therm Saved per Unit- MLA",Algorithms!$A:$A,0)),0)*Y584</f>
        <v>0</v>
      </c>
      <c r="CC584" s="266">
        <f ca="1">P584*IFERROR(INDEX(Algorithms!$G:$G,MATCH($C584&amp;"_Therm Saved per Unit- MLA",Algorithms!$A:$A,0)),0)*Z584</f>
        <v>0</v>
      </c>
      <c r="CD584" s="266">
        <f ca="1">Q584*IFERROR(INDEX(Algorithms!$G:$G,MATCH($C584&amp;"_Therm Saved per Unit- MLA",Algorithms!$A:$A,0)),0)*AA584</f>
        <v>0</v>
      </c>
      <c r="CE584" s="266">
        <f ca="1">IFERROR(INDEX(Algorithms!$G:$G,MATCH($C584&amp;"_Lifetime (years)",Algorithms!$A:$A,0)),0)</f>
        <v>10</v>
      </c>
      <c r="CF584" s="266">
        <f ca="1">IFERROR(INDEX(Algorithms!$G:$G,MATCH($C584&amp;"_Lifetime (years) - Remaining Years",Algorithms!$A:$A,0)),0)</f>
        <v>0</v>
      </c>
      <c r="CG584" s="266">
        <f t="shared" ca="1" si="353"/>
        <v>0</v>
      </c>
      <c r="CH584" s="266">
        <f t="shared" ca="1" si="354"/>
        <v>0</v>
      </c>
      <c r="CI584" s="266">
        <f t="shared" ca="1" si="355"/>
        <v>0</v>
      </c>
      <c r="CJ584" s="266">
        <f t="shared" ca="1" si="356"/>
        <v>0</v>
      </c>
      <c r="CK584" s="266">
        <f t="shared" si="357"/>
        <v>0</v>
      </c>
      <c r="CL584" s="266">
        <f t="shared" si="358"/>
        <v>0</v>
      </c>
      <c r="CM584" s="266">
        <f t="shared" ca="1" si="359"/>
        <v>0</v>
      </c>
      <c r="CN584" s="266">
        <f t="shared" ca="1" si="360"/>
        <v>0</v>
      </c>
      <c r="CO584" s="266">
        <f ca="1">N584*IFERROR(INDEX(Algorithms!$G:$G,MATCH($C584&amp;"_Therm Saved per Unit- MLA",Algorithms!$A:$A,0)),0)*X584</f>
        <v>0</v>
      </c>
      <c r="CP584" s="266">
        <f ca="1">O584*IFERROR(INDEX(Algorithms!$G:$G,MATCH($C584&amp;"_Therm Saved per Unit- MLA",Algorithms!$A:$A,0)),0)*Y584</f>
        <v>0</v>
      </c>
      <c r="CQ584" s="266">
        <f ca="1">P584*IFERROR(INDEX(Algorithms!$G:$G,MATCH($C584&amp;"_Therm Saved per Unit- MLA",Algorithms!$A:$A,0)),0)*Z584</f>
        <v>0</v>
      </c>
      <c r="CR584" s="266">
        <f ca="1">Q584*IFERROR(INDEX(Algorithms!$G:$G,MATCH($C584&amp;"_Therm Saved per Unit- MLA",Algorithms!$A:$A,0)),0)*AA584</f>
        <v>0</v>
      </c>
      <c r="CS584" s="266">
        <f ca="1">IFERROR(INDEX(Algorithms!$G:$G,MATCH($C584&amp;"_Lifetime (years)",Algorithms!$A:$A,0)),0)</f>
        <v>10</v>
      </c>
      <c r="CT584" s="266">
        <f ca="1">IFERROR(INDEX(Algorithms!$G:$G,MATCH($C584&amp;"_Lifetime (years) - Remaining Years",Algorithms!$A:$A,0)),0)</f>
        <v>0</v>
      </c>
      <c r="CU584" s="266">
        <f t="shared" ca="1" si="361"/>
        <v>0</v>
      </c>
      <c r="CV584" s="266">
        <f t="shared" ca="1" si="362"/>
        <v>0</v>
      </c>
      <c r="CW584" s="266">
        <f t="shared" ca="1" si="363"/>
        <v>0</v>
      </c>
      <c r="CX584" s="266">
        <f t="shared" ca="1" si="364"/>
        <v>0</v>
      </c>
    </row>
    <row r="585" spans="2:102" s="47" customFormat="1" ht="18" customHeight="1" x14ac:dyDescent="0.25">
      <c r="B585" t="str">
        <f t="shared" si="365"/>
        <v>NSG_Income Eligible_Single Family_CBA_Low Flow Kitchen Aerator_0_SF</v>
      </c>
      <c r="C585" s="47" t="str">
        <f t="shared" si="326"/>
        <v>Low Flow Kitchen Aerator_0_SF</v>
      </c>
      <c r="D585" s="270" t="s">
        <v>1787</v>
      </c>
      <c r="E585" s="270" t="s">
        <v>325</v>
      </c>
      <c r="F585" s="270" t="s">
        <v>375</v>
      </c>
      <c r="G585" s="270" t="s">
        <v>1809</v>
      </c>
      <c r="H585" s="270" t="s">
        <v>533</v>
      </c>
      <c r="I585" s="270">
        <v>0</v>
      </c>
      <c r="J585" s="270" t="s">
        <v>409</v>
      </c>
      <c r="K585" s="263">
        <v>1</v>
      </c>
      <c r="L585" s="263" t="str">
        <f ca="1">IFERROR(INDEX(Algorithms!J:J,MATCH($C585&amp;"_Therm Saved per Unit",Algorithms!$A:$A,0)),"n/a")</f>
        <v>5.4.4</v>
      </c>
      <c r="M585" s="263">
        <f>IFERROR(INDEX('Measure Level Detail'!$N:$N,MATCH($B585,'Measure Level Detail'!$B:$B,0)),0)</f>
        <v>0</v>
      </c>
      <c r="N585" s="271">
        <f>IFERROR(INDEX('Measure Level Detail'!$P:$P,MATCH($B585&amp;"_"&amp;N$3,'Measure Level Detail'!$C:$C,0)),0)</f>
        <v>0</v>
      </c>
      <c r="O585" s="271">
        <f>IFERROR(INDEX('Measure Level Detail'!$P:$P,MATCH($B585&amp;"_"&amp;O$3,'Measure Level Detail'!$C:$C,0)),0)</f>
        <v>0</v>
      </c>
      <c r="P585" s="271">
        <f>IFERROR(INDEX('Measure Level Detail'!$P:$P,MATCH($B585&amp;"_"&amp;P$3,'Measure Level Detail'!$C:$C,0)),0)</f>
        <v>0</v>
      </c>
      <c r="Q585" s="271">
        <f>IFERROR(INDEX('Measure Level Detail'!$P:$P,MATCH($B585&amp;"_"&amp;Q$3,'Measure Level Detail'!$C:$C,0)),0)</f>
        <v>0</v>
      </c>
      <c r="R585" s="263" t="str">
        <f ca="1">IFERROR(INDEX(Algorithms!K:K,MATCH($C585&amp;"_Therm Saved per Unit",Algorithms!$A:$A,0)),"n/a")</f>
        <v>RS-HWE-LFFA-V13-240101</v>
      </c>
      <c r="S585" s="262"/>
      <c r="T585" s="272">
        <v>8.5936302377584592</v>
      </c>
      <c r="U585" s="272">
        <v>8.5936302377584592</v>
      </c>
      <c r="V585" s="272">
        <v>8.5936302377584592</v>
      </c>
      <c r="W585" s="272">
        <v>8.5936302377584592</v>
      </c>
      <c r="X585" s="273">
        <f>IFERROR(INDEX('Measure Level Detail'!$R:$R,MATCH($B585&amp;"_"&amp;X$3,'Measure Level Detail'!$C:$C,0)),0)</f>
        <v>0</v>
      </c>
      <c r="Y585" s="273">
        <f>IFERROR(INDEX('Measure Level Detail'!$R:$R,MATCH($B585&amp;"_"&amp;Y$3,'Measure Level Detail'!$C:$C,0)),0)</f>
        <v>0</v>
      </c>
      <c r="Z585" s="273">
        <f>IFERROR(INDEX('Measure Level Detail'!$R:$R,MATCH($B585&amp;"_"&amp;Z$3,'Measure Level Detail'!$C:$C,0)),0)</f>
        <v>0</v>
      </c>
      <c r="AA585" s="273">
        <f>IFERROR(INDEX('Measure Level Detail'!$R:$R,MATCH($B585&amp;"_"&amp;AA$3,'Measure Level Detail'!$C:$C,0)),0)</f>
        <v>0</v>
      </c>
      <c r="AB585" s="266">
        <f t="shared" si="327"/>
        <v>0</v>
      </c>
      <c r="AC585" s="266">
        <f t="shared" si="328"/>
        <v>0</v>
      </c>
      <c r="AD585" s="266">
        <f t="shared" si="329"/>
        <v>0</v>
      </c>
      <c r="AE585" s="266">
        <f t="shared" si="330"/>
        <v>0</v>
      </c>
      <c r="AF585" s="266">
        <f t="shared" si="331"/>
        <v>0</v>
      </c>
      <c r="AG585" s="274">
        <v>0</v>
      </c>
      <c r="AH585" s="274">
        <v>0</v>
      </c>
      <c r="AI585" s="274">
        <v>0</v>
      </c>
      <c r="AJ585" s="274">
        <v>0</v>
      </c>
      <c r="AK585" s="274">
        <f t="shared" si="332"/>
        <v>0</v>
      </c>
      <c r="AL585" s="274">
        <f t="shared" si="333"/>
        <v>0</v>
      </c>
      <c r="AM585" s="274">
        <f t="shared" si="334"/>
        <v>0</v>
      </c>
      <c r="AN585" s="274">
        <f t="shared" si="335"/>
        <v>0</v>
      </c>
      <c r="AO585" s="262"/>
      <c r="AP585" s="262"/>
      <c r="AQ585" s="267">
        <v>9.3447444487707685</v>
      </c>
      <c r="AR585" s="262"/>
      <c r="AS585" s="266">
        <f t="shared" si="336"/>
        <v>0</v>
      </c>
      <c r="AT585" s="264">
        <f t="shared" si="337"/>
        <v>0</v>
      </c>
      <c r="AU585" s="262"/>
      <c r="AV585" s="262"/>
      <c r="AW585" s="265">
        <v>9.148012986691386</v>
      </c>
      <c r="AX585" s="164" t="s">
        <v>2392</v>
      </c>
      <c r="AY585" s="266">
        <v>0</v>
      </c>
      <c r="AZ585" s="266">
        <f t="shared" si="338"/>
        <v>0</v>
      </c>
      <c r="BA585" s="264">
        <f t="shared" si="339"/>
        <v>0</v>
      </c>
      <c r="BB585" s="262"/>
      <c r="BC585" s="262"/>
      <c r="BD585" s="265">
        <f ca="1">IFERROR(INDEX(Algorithms!$G:$G,MATCH($C585&amp;"_Therm Saved per Unit",Algorithms!$A:$A,0)),0)</f>
        <v>9.148012986691386</v>
      </c>
      <c r="BE585" s="164" t="str">
        <f ca="1">IFERROR(INDEX('v12 Revisions'!$P$29:$P$186, MATCH('Measure-Level Adj Gas'!$L585, 'v12 Revisions'!$D$29:$D$186,0)),"")</f>
        <v>n/a - plan assumes Direct Install, not Distributed School Efficiency Kit.</v>
      </c>
      <c r="BF585" s="266">
        <f t="shared" ca="1" si="340"/>
        <v>0</v>
      </c>
      <c r="BG585" s="264">
        <f t="shared" ca="1" si="341"/>
        <v>0</v>
      </c>
      <c r="BH585" s="262"/>
      <c r="BI585" s="262"/>
      <c r="BJ585" s="265">
        <f ca="1">IFERROR(INDEX(Algorithms!$G:$G,MATCH($C585&amp;"_Therm Saved per Unit",Algorithms!$A:$A,0)),0)</f>
        <v>9.148012986691386</v>
      </c>
      <c r="BK585" s="164"/>
      <c r="BL585" s="266">
        <f t="shared" ca="1" si="342"/>
        <v>0</v>
      </c>
      <c r="BM585" s="264">
        <f t="shared" ca="1" si="343"/>
        <v>0</v>
      </c>
      <c r="BN585" s="266">
        <f t="shared" si="344"/>
        <v>0</v>
      </c>
      <c r="BO585" s="266">
        <f t="shared" si="345"/>
        <v>0</v>
      </c>
      <c r="BP585" s="266">
        <f t="shared" ca="1" si="346"/>
        <v>0</v>
      </c>
      <c r="BQ585" s="266">
        <f t="shared" ca="1" si="347"/>
        <v>0</v>
      </c>
      <c r="BR585" s="268">
        <f t="shared" ca="1" si="348"/>
        <v>0</v>
      </c>
      <c r="BS585" s="262" t="s">
        <v>99</v>
      </c>
      <c r="BT585" s="277"/>
      <c r="BW585" s="266">
        <f t="shared" si="349"/>
        <v>0</v>
      </c>
      <c r="BX585" s="266">
        <f t="shared" si="350"/>
        <v>0</v>
      </c>
      <c r="BY585" s="266">
        <f t="shared" si="351"/>
        <v>0</v>
      </c>
      <c r="BZ585" s="266">
        <f t="shared" si="352"/>
        <v>0</v>
      </c>
      <c r="CA585" s="266">
        <f ca="1">N585*IFERROR(INDEX(Algorithms!$G:$G,MATCH($C585&amp;"_Therm Saved per Unit- MLA",Algorithms!$A:$A,0)),0)*X585</f>
        <v>0</v>
      </c>
      <c r="CB585" s="266">
        <f ca="1">O585*IFERROR(INDEX(Algorithms!$G:$G,MATCH($C585&amp;"_Therm Saved per Unit- MLA",Algorithms!$A:$A,0)),0)*Y585</f>
        <v>0</v>
      </c>
      <c r="CC585" s="266">
        <f ca="1">P585*IFERROR(INDEX(Algorithms!$G:$G,MATCH($C585&amp;"_Therm Saved per Unit- MLA",Algorithms!$A:$A,0)),0)*Z585</f>
        <v>0</v>
      </c>
      <c r="CD585" s="266">
        <f ca="1">Q585*IFERROR(INDEX(Algorithms!$G:$G,MATCH($C585&amp;"_Therm Saved per Unit- MLA",Algorithms!$A:$A,0)),0)*AA585</f>
        <v>0</v>
      </c>
      <c r="CE585" s="266">
        <f ca="1">IFERROR(INDEX(Algorithms!$G:$G,MATCH($C585&amp;"_Lifetime (years)",Algorithms!$A:$A,0)),0)</f>
        <v>10</v>
      </c>
      <c r="CF585" s="266">
        <f ca="1">IFERROR(INDEX(Algorithms!$G:$G,MATCH($C585&amp;"_Lifetime (years) - Remaining Years",Algorithms!$A:$A,0)),0)</f>
        <v>0</v>
      </c>
      <c r="CG585" s="266">
        <f t="shared" ca="1" si="353"/>
        <v>0</v>
      </c>
      <c r="CH585" s="266">
        <f t="shared" ca="1" si="354"/>
        <v>0</v>
      </c>
      <c r="CI585" s="266">
        <f t="shared" ca="1" si="355"/>
        <v>0</v>
      </c>
      <c r="CJ585" s="266">
        <f t="shared" ca="1" si="356"/>
        <v>0</v>
      </c>
      <c r="CK585" s="266">
        <f t="shared" si="357"/>
        <v>0</v>
      </c>
      <c r="CL585" s="266">
        <f t="shared" si="358"/>
        <v>0</v>
      </c>
      <c r="CM585" s="266">
        <f t="shared" ca="1" si="359"/>
        <v>0</v>
      </c>
      <c r="CN585" s="266">
        <f t="shared" ca="1" si="360"/>
        <v>0</v>
      </c>
      <c r="CO585" s="266">
        <f ca="1">N585*IFERROR(INDEX(Algorithms!$G:$G,MATCH($C585&amp;"_Therm Saved per Unit- MLA",Algorithms!$A:$A,0)),0)*X585</f>
        <v>0</v>
      </c>
      <c r="CP585" s="266">
        <f ca="1">O585*IFERROR(INDEX(Algorithms!$G:$G,MATCH($C585&amp;"_Therm Saved per Unit- MLA",Algorithms!$A:$A,0)),0)*Y585</f>
        <v>0</v>
      </c>
      <c r="CQ585" s="266">
        <f ca="1">P585*IFERROR(INDEX(Algorithms!$G:$G,MATCH($C585&amp;"_Therm Saved per Unit- MLA",Algorithms!$A:$A,0)),0)*Z585</f>
        <v>0</v>
      </c>
      <c r="CR585" s="266">
        <f ca="1">Q585*IFERROR(INDEX(Algorithms!$G:$G,MATCH($C585&amp;"_Therm Saved per Unit- MLA",Algorithms!$A:$A,0)),0)*AA585</f>
        <v>0</v>
      </c>
      <c r="CS585" s="266">
        <f ca="1">IFERROR(INDEX(Algorithms!$G:$G,MATCH($C585&amp;"_Lifetime (years)",Algorithms!$A:$A,0)),0)</f>
        <v>10</v>
      </c>
      <c r="CT585" s="266">
        <f ca="1">IFERROR(INDEX(Algorithms!$G:$G,MATCH($C585&amp;"_Lifetime (years) - Remaining Years",Algorithms!$A:$A,0)),0)</f>
        <v>0</v>
      </c>
      <c r="CU585" s="266">
        <f t="shared" ca="1" si="361"/>
        <v>0</v>
      </c>
      <c r="CV585" s="266">
        <f t="shared" ca="1" si="362"/>
        <v>0</v>
      </c>
      <c r="CW585" s="266">
        <f t="shared" ca="1" si="363"/>
        <v>0</v>
      </c>
      <c r="CX585" s="266">
        <f t="shared" ca="1" si="364"/>
        <v>0</v>
      </c>
    </row>
    <row r="586" spans="2:102" s="47" customFormat="1" ht="18" customHeight="1" x14ac:dyDescent="0.25">
      <c r="B586" t="str">
        <f t="shared" si="365"/>
        <v>NSG_Income Eligible_Single Family_CBA_Low Flow Showerhead_0_SF</v>
      </c>
      <c r="C586" s="47" t="str">
        <f t="shared" ref="C586:C649" si="366">H586&amp;"_"&amp;I586&amp;"_"&amp;J586</f>
        <v>Low Flow Showerhead_0_SF</v>
      </c>
      <c r="D586" s="270" t="s">
        <v>1787</v>
      </c>
      <c r="E586" s="270" t="s">
        <v>325</v>
      </c>
      <c r="F586" s="270" t="s">
        <v>375</v>
      </c>
      <c r="G586" s="270" t="s">
        <v>1809</v>
      </c>
      <c r="H586" s="270" t="s">
        <v>15</v>
      </c>
      <c r="I586" s="270">
        <v>0</v>
      </c>
      <c r="J586" s="270" t="s">
        <v>409</v>
      </c>
      <c r="K586" s="263">
        <v>1</v>
      </c>
      <c r="L586" s="263" t="str">
        <f ca="1">IFERROR(INDEX(Algorithms!J:J,MATCH($C586&amp;"_Therm Saved per Unit",Algorithms!$A:$A,0)),"n/a")</f>
        <v>5.4.5</v>
      </c>
      <c r="M586" s="263">
        <f>IFERROR(INDEX('Measure Level Detail'!$N:$N,MATCH($B586,'Measure Level Detail'!$B:$B,0)),0)</f>
        <v>0</v>
      </c>
      <c r="N586" s="271">
        <f>IFERROR(INDEX('Measure Level Detail'!$P:$P,MATCH($B586&amp;"_"&amp;N$3,'Measure Level Detail'!$C:$C,0)),0)</f>
        <v>0</v>
      </c>
      <c r="O586" s="271">
        <f>IFERROR(INDEX('Measure Level Detail'!$P:$P,MATCH($B586&amp;"_"&amp;O$3,'Measure Level Detail'!$C:$C,0)),0)</f>
        <v>0</v>
      </c>
      <c r="P586" s="271">
        <f>IFERROR(INDEX('Measure Level Detail'!$P:$P,MATCH($B586&amp;"_"&amp;P$3,'Measure Level Detail'!$C:$C,0)),0)</f>
        <v>0</v>
      </c>
      <c r="Q586" s="271">
        <f>IFERROR(INDEX('Measure Level Detail'!$P:$P,MATCH($B586&amp;"_"&amp;Q$3,'Measure Level Detail'!$C:$C,0)),0)</f>
        <v>0</v>
      </c>
      <c r="R586" s="263" t="str">
        <f ca="1">IFERROR(INDEX(Algorithms!K:K,MATCH($C586&amp;"_Therm Saved per Unit",Algorithms!$A:$A,0)),"n/a")</f>
        <v>RS-HWE-LFSH-V12-240101</v>
      </c>
      <c r="S586" s="262"/>
      <c r="T586" s="272">
        <v>8.7892072937103034</v>
      </c>
      <c r="U586" s="272">
        <v>8.7892072937103034</v>
      </c>
      <c r="V586" s="272">
        <v>8.7892072937103034</v>
      </c>
      <c r="W586" s="272">
        <v>8.7892072937103034</v>
      </c>
      <c r="X586" s="273">
        <f>IFERROR(INDEX('Measure Level Detail'!$R:$R,MATCH($B586&amp;"_"&amp;X$3,'Measure Level Detail'!$C:$C,0)),0)</f>
        <v>0</v>
      </c>
      <c r="Y586" s="273">
        <f>IFERROR(INDEX('Measure Level Detail'!$R:$R,MATCH($B586&amp;"_"&amp;Y$3,'Measure Level Detail'!$C:$C,0)),0)</f>
        <v>0</v>
      </c>
      <c r="Z586" s="273">
        <f>IFERROR(INDEX('Measure Level Detail'!$R:$R,MATCH($B586&amp;"_"&amp;Z$3,'Measure Level Detail'!$C:$C,0)),0)</f>
        <v>0</v>
      </c>
      <c r="AA586" s="273">
        <f>IFERROR(INDEX('Measure Level Detail'!$R:$R,MATCH($B586&amp;"_"&amp;AA$3,'Measure Level Detail'!$C:$C,0)),0)</f>
        <v>0</v>
      </c>
      <c r="AB586" s="266">
        <f t="shared" ref="AB586:AB649" si="367">N586*T586*X586</f>
        <v>0</v>
      </c>
      <c r="AC586" s="266">
        <f t="shared" ref="AC586:AC649" si="368">O586*U586*Y586</f>
        <v>0</v>
      </c>
      <c r="AD586" s="266">
        <f t="shared" ref="AD586:AD649" si="369">P586*V586*Z586</f>
        <v>0</v>
      </c>
      <c r="AE586" s="266">
        <f t="shared" ref="AE586:AE649" si="370">Q586*W586*AA586</f>
        <v>0</v>
      </c>
      <c r="AF586" s="266">
        <f t="shared" ref="AF586:AF649" si="371">AB586+AC586+AD586+AE586</f>
        <v>0</v>
      </c>
      <c r="AG586" s="274">
        <v>0</v>
      </c>
      <c r="AH586" s="274">
        <v>0</v>
      </c>
      <c r="AI586" s="274">
        <v>0</v>
      </c>
      <c r="AJ586" s="274">
        <v>0</v>
      </c>
      <c r="AK586" s="274">
        <f t="shared" ref="AK586:AK649" si="372">IF(AG586=X586,X586,
IF(AG586&gt;X586, IF(AG586-X586&gt;IF($E586="Income Eligible",0,10%),X586+(AG586-(X586+IF($E586="Income Eligible",0,10%))),X586),
IF(X586-AG586&gt;IF($E586="Income Eligible",0,10%),X586-((X586-IF($E586="Income Eligible",0,10%))-AG586),X586)))</f>
        <v>0</v>
      </c>
      <c r="AL586" s="274">
        <f t="shared" ref="AL586:AL649" si="373">IF(AH586=Y586,Y586,
IF(AH586&gt;Y586, IF(AH586-Y586&gt;IF($E586="Income Eligible",0,10%),Y586+(AH586-(Y586+IF($E586="Income Eligible",0,10%))),Y586),
IF(Y586-AH586&gt;IF($E586="Income Eligible",0,10%),Y586-((Y586-IF($E586="Income Eligible",0,10%))-AH586),Y586)))</f>
        <v>0</v>
      </c>
      <c r="AM586" s="274">
        <f t="shared" ref="AM586:AM649" si="374">IF(AI586=Z586,Z586,
IF(AI586&gt;Z586, IF(AI586-Z586&gt;IF($E586="Income Eligible",0,10%),Z586+(AI586-(Z586+IF($E586="Income Eligible",0,10%))),Z586),
IF(Z586-AI586&gt;IF($E586="Income Eligible",0,10%),Z586-((Z586-IF($E586="Income Eligible",0,10%))-AI586),Z586)))</f>
        <v>0</v>
      </c>
      <c r="AN586" s="274">
        <f t="shared" ref="AN586:AN649" si="375">IF(AJ586=AA586,AA586,
IF(AJ586&gt;AA586, IF(AJ586-AA586&gt;IF($E586="Income Eligible",0,10%),AA586+(AJ586-(AA586+IF($E586="Income Eligible",0,10%))),AA586),
IF(AA586-AJ586&gt;IF($E586="Income Eligible",0,10%),AA586-((AA586-IF($E586="Income Eligible",0,10%))-AJ586),AA586)))</f>
        <v>0</v>
      </c>
      <c r="AO586" s="262"/>
      <c r="AP586" s="262"/>
      <c r="AQ586" s="267">
        <v>9.4263779717191518</v>
      </c>
      <c r="AR586" s="262"/>
      <c r="AS586" s="266">
        <f t="shared" ref="AS586:AS649" si="376">N586*AQ586*AK586</f>
        <v>0</v>
      </c>
      <c r="AT586" s="264">
        <f t="shared" ref="AT586:AT649" si="377">IF(AS586=0,0,AS586-AB586)</f>
        <v>0</v>
      </c>
      <c r="AU586" s="262"/>
      <c r="AV586" s="262"/>
      <c r="AW586" s="265">
        <v>9.3291988173715321</v>
      </c>
      <c r="AX586" s="164" t="s">
        <v>2392</v>
      </c>
      <c r="AY586" s="266">
        <v>0</v>
      </c>
      <c r="AZ586" s="266">
        <f t="shared" ref="AZ586:AZ649" si="378">O586*AW586*AL586</f>
        <v>0</v>
      </c>
      <c r="BA586" s="264">
        <f t="shared" ref="BA586:BA649" si="379">IF(AZ586=0,0,AZ586-AC586)</f>
        <v>0</v>
      </c>
      <c r="BB586" s="262"/>
      <c r="BC586" s="262"/>
      <c r="BD586" s="265">
        <f ca="1">IFERROR(INDEX(Algorithms!$G:$G,MATCH($C586&amp;"_Therm Saved per Unit",Algorithms!$A:$A,0)),0)</f>
        <v>9.3291988173715321</v>
      </c>
      <c r="BE586" s="164" t="str">
        <f ca="1">IFERROR(INDEX('v12 Revisions'!$P$29:$P$186, MATCH('Measure-Level Adj Gas'!$L586, 'v12 Revisions'!$D$29:$D$186,0)),"")</f>
        <v>n/a - plan assumes Direct Install, not Distributed School Efficiency Kit.</v>
      </c>
      <c r="BF586" s="266">
        <f t="shared" ref="BF586:BF649" ca="1" si="380">P586*BD586*AM586</f>
        <v>0</v>
      </c>
      <c r="BG586" s="264">
        <f t="shared" ref="BG586:BG649" ca="1" si="381">IF(BF586=0,0,BF586-AD586)</f>
        <v>0</v>
      </c>
      <c r="BH586" s="262"/>
      <c r="BI586" s="262"/>
      <c r="BJ586" s="265">
        <f ca="1">IFERROR(INDEX(Algorithms!$G:$G,MATCH($C586&amp;"_Therm Saved per Unit",Algorithms!$A:$A,0)),0)</f>
        <v>9.3291988173715321</v>
      </c>
      <c r="BK586" s="164"/>
      <c r="BL586" s="266">
        <f t="shared" ref="BL586:BL649" ca="1" si="382">Q586*BJ586*AN586</f>
        <v>0</v>
      </c>
      <c r="BM586" s="264">
        <f t="shared" ref="BM586:BM649" ca="1" si="383">IF(BL586=0,0,BL586-AE586)</f>
        <v>0</v>
      </c>
      <c r="BN586" s="266">
        <f t="shared" ref="BN586:BN649" si="384">IF(K586=1,AS586,AB586)</f>
        <v>0</v>
      </c>
      <c r="BO586" s="266">
        <f t="shared" ref="BO586:BO649" si="385">IF(K586=1,AZ586,AC586)</f>
        <v>0</v>
      </c>
      <c r="BP586" s="266">
        <f t="shared" ref="BP586:BP649" ca="1" si="386">IF(K586=1,BF586,AD586)</f>
        <v>0</v>
      </c>
      <c r="BQ586" s="266">
        <f t="shared" ref="BQ586:BQ649" ca="1" si="387">IF(K586=1,BL586,AE586)</f>
        <v>0</v>
      </c>
      <c r="BR586" s="268">
        <f t="shared" ref="BR586:BR649" ca="1" si="388">BN586+BO586+BP586+BQ586</f>
        <v>0</v>
      </c>
      <c r="BS586" s="262" t="s">
        <v>99</v>
      </c>
      <c r="BT586" s="277"/>
      <c r="BW586" s="266">
        <f t="shared" ref="BW586:BW649" si="389">N586*T586*X586</f>
        <v>0</v>
      </c>
      <c r="BX586" s="266">
        <f t="shared" ref="BX586:BX649" si="390">O586*U586*Y586</f>
        <v>0</v>
      </c>
      <c r="BY586" s="266">
        <f t="shared" ref="BY586:BY649" si="391">P586*V586*Z586</f>
        <v>0</v>
      </c>
      <c r="BZ586" s="266">
        <f t="shared" ref="BZ586:BZ649" si="392">Q586*W586*AA586</f>
        <v>0</v>
      </c>
      <c r="CA586" s="266">
        <f ca="1">N586*IFERROR(INDEX(Algorithms!$G:$G,MATCH($C586&amp;"_Therm Saved per Unit- MLA",Algorithms!$A:$A,0)),0)*X586</f>
        <v>0</v>
      </c>
      <c r="CB586" s="266">
        <f ca="1">O586*IFERROR(INDEX(Algorithms!$G:$G,MATCH($C586&amp;"_Therm Saved per Unit- MLA",Algorithms!$A:$A,0)),0)*Y586</f>
        <v>0</v>
      </c>
      <c r="CC586" s="266">
        <f ca="1">P586*IFERROR(INDEX(Algorithms!$G:$G,MATCH($C586&amp;"_Therm Saved per Unit- MLA",Algorithms!$A:$A,0)),0)*Z586</f>
        <v>0</v>
      </c>
      <c r="CD586" s="266">
        <f ca="1">Q586*IFERROR(INDEX(Algorithms!$G:$G,MATCH($C586&amp;"_Therm Saved per Unit- MLA",Algorithms!$A:$A,0)),0)*AA586</f>
        <v>0</v>
      </c>
      <c r="CE586" s="266">
        <f ca="1">IFERROR(INDEX(Algorithms!$G:$G,MATCH($C586&amp;"_Lifetime (years)",Algorithms!$A:$A,0)),0)</f>
        <v>10</v>
      </c>
      <c r="CF586" s="266">
        <f ca="1">IFERROR(INDEX(Algorithms!$G:$G,MATCH($C586&amp;"_Lifetime (years) - Remaining Years",Algorithms!$A:$A,0)),0)</f>
        <v>0</v>
      </c>
      <c r="CG586" s="266">
        <f t="shared" ref="CG586:CG649" ca="1" si="393">IF($CF586=0,(BW586*$CE586),((BW586*$CF586)+(CA586*($CE586-$CF586))))</f>
        <v>0</v>
      </c>
      <c r="CH586" s="266">
        <f t="shared" ref="CH586:CH649" ca="1" si="394">IF($CF586=0,(BX586*$CE586),((BX586*$CF586)+(CB586*($CE586-$CF586))))</f>
        <v>0</v>
      </c>
      <c r="CI586" s="266">
        <f t="shared" ref="CI586:CI649" ca="1" si="395">IF($CF586=0,(BY586*$CE586),((BY586*$CF586)+(CC586*($CE586-$CF586))))</f>
        <v>0</v>
      </c>
      <c r="CJ586" s="266">
        <f t="shared" ref="CJ586:CJ649" ca="1" si="396">IF($CF586=0,(BZ586*$CE586),((BZ586*$CF586)+(CD586*($CE586-$CF586))))</f>
        <v>0</v>
      </c>
      <c r="CK586" s="266">
        <f t="shared" ref="CK586:CK649" si="397">N586*AQ586*X586</f>
        <v>0</v>
      </c>
      <c r="CL586" s="266">
        <f t="shared" ref="CL586:CL649" si="398">O586*AW586*Y586</f>
        <v>0</v>
      </c>
      <c r="CM586" s="266">
        <f t="shared" ref="CM586:CM649" ca="1" si="399">P586*BD586*Z586</f>
        <v>0</v>
      </c>
      <c r="CN586" s="266">
        <f t="shared" ref="CN586:CN649" ca="1" si="400">Q586*BJ586*AA586</f>
        <v>0</v>
      </c>
      <c r="CO586" s="266">
        <f ca="1">N586*IFERROR(INDEX(Algorithms!$G:$G,MATCH($C586&amp;"_Therm Saved per Unit- MLA",Algorithms!$A:$A,0)),0)*X586</f>
        <v>0</v>
      </c>
      <c r="CP586" s="266">
        <f ca="1">O586*IFERROR(INDEX(Algorithms!$G:$G,MATCH($C586&amp;"_Therm Saved per Unit- MLA",Algorithms!$A:$A,0)),0)*Y586</f>
        <v>0</v>
      </c>
      <c r="CQ586" s="266">
        <f ca="1">P586*IFERROR(INDEX(Algorithms!$G:$G,MATCH($C586&amp;"_Therm Saved per Unit- MLA",Algorithms!$A:$A,0)),0)*Z586</f>
        <v>0</v>
      </c>
      <c r="CR586" s="266">
        <f ca="1">Q586*IFERROR(INDEX(Algorithms!$G:$G,MATCH($C586&amp;"_Therm Saved per Unit- MLA",Algorithms!$A:$A,0)),0)*AA586</f>
        <v>0</v>
      </c>
      <c r="CS586" s="266">
        <f ca="1">IFERROR(INDEX(Algorithms!$G:$G,MATCH($C586&amp;"_Lifetime (years)",Algorithms!$A:$A,0)),0)</f>
        <v>10</v>
      </c>
      <c r="CT586" s="266">
        <f ca="1">IFERROR(INDEX(Algorithms!$G:$G,MATCH($C586&amp;"_Lifetime (years) - Remaining Years",Algorithms!$A:$A,0)),0)</f>
        <v>0</v>
      </c>
      <c r="CU586" s="266">
        <f t="shared" ref="CU586:CU649" ca="1" si="401">IF($CT586=0,(CK586*$CS586),((CK586*$CT586)+(CO586*($CS586-$CT586))))</f>
        <v>0</v>
      </c>
      <c r="CV586" s="266">
        <f t="shared" ref="CV586:CV649" ca="1" si="402">IF($CT586=0,(CL586*$CS586),((CL586*$CT586)+(CP586*($CS586-$CT586))))</f>
        <v>0</v>
      </c>
      <c r="CW586" s="266">
        <f t="shared" ref="CW586:CW649" ca="1" si="403">IF($CT586=0,(CM586*$CS586),((CM586*$CT586)+(CQ586*($CS586-$CT586))))</f>
        <v>0</v>
      </c>
      <c r="CX586" s="266">
        <f t="shared" ref="CX586:CX649" ca="1" si="404">IF($CT586=0,(CN586*$CS586),((CN586*$CT586)+(CR586*($CS586-$CT586))))</f>
        <v>0</v>
      </c>
    </row>
    <row r="587" spans="2:102" s="47" customFormat="1" ht="18" customHeight="1" x14ac:dyDescent="0.25">
      <c r="B587" t="str">
        <f t="shared" ref="B587:B650" si="405">D587&amp;"_"&amp;E587&amp;"_"&amp;F587&amp;"_"&amp;G587&amp;"_"&amp;H587&amp;"_"&amp;I587&amp;"_"&amp;J587</f>
        <v>NSG_Income Eligible_Single Family_CBA_Pipe Insulation_DHW_SF</v>
      </c>
      <c r="C587" s="47" t="str">
        <f t="shared" si="366"/>
        <v>Pipe Insulation_DHW_SF</v>
      </c>
      <c r="D587" s="270" t="s">
        <v>1787</v>
      </c>
      <c r="E587" s="270" t="s">
        <v>325</v>
      </c>
      <c r="F587" s="270" t="s">
        <v>375</v>
      </c>
      <c r="G587" s="270" t="s">
        <v>1809</v>
      </c>
      <c r="H587" s="270" t="s">
        <v>404</v>
      </c>
      <c r="I587" s="270" t="s">
        <v>1019</v>
      </c>
      <c r="J587" s="270" t="s">
        <v>409</v>
      </c>
      <c r="K587" s="263">
        <v>1</v>
      </c>
      <c r="L587" s="263" t="str">
        <f ca="1">IFERROR(INDEX(Algorithms!J:J,MATCH($C587&amp;"_Therm Saved per Unit",Algorithms!$A:$A,0)),"n/a")</f>
        <v>5.4.1</v>
      </c>
      <c r="M587" s="263">
        <f>IFERROR(INDEX('Measure Level Detail'!$N:$N,MATCH($B587,'Measure Level Detail'!$B:$B,0)),0)</f>
        <v>0</v>
      </c>
      <c r="N587" s="271">
        <f>IFERROR(INDEX('Measure Level Detail'!$P:$P,MATCH($B587&amp;"_"&amp;N$3,'Measure Level Detail'!$C:$C,0)),0)</f>
        <v>0</v>
      </c>
      <c r="O587" s="271">
        <f>IFERROR(INDEX('Measure Level Detail'!$P:$P,MATCH($B587&amp;"_"&amp;O$3,'Measure Level Detail'!$C:$C,0)),0)</f>
        <v>0</v>
      </c>
      <c r="P587" s="271">
        <f>IFERROR(INDEX('Measure Level Detail'!$P:$P,MATCH($B587&amp;"_"&amp;P$3,'Measure Level Detail'!$C:$C,0)),0)</f>
        <v>0</v>
      </c>
      <c r="Q587" s="271">
        <f>IFERROR(INDEX('Measure Level Detail'!$P:$P,MATCH($B587&amp;"_"&amp;Q$3,'Measure Level Detail'!$C:$C,0)),0)</f>
        <v>0</v>
      </c>
      <c r="R587" s="263" t="str">
        <f ca="1">IFERROR(INDEX(Algorithms!K:K,MATCH($C587&amp;"_Therm Saved per Unit",Algorithms!$A:$A,0)),"n/a")</f>
        <v>RS-HWE-PINS-V07-240101</v>
      </c>
      <c r="S587" s="262"/>
      <c r="T587" s="272">
        <v>0.88266670517205537</v>
      </c>
      <c r="U587" s="272">
        <v>0.88266670517205537</v>
      </c>
      <c r="V587" s="272">
        <v>0.88266670517205537</v>
      </c>
      <c r="W587" s="272">
        <v>0.88266670517205537</v>
      </c>
      <c r="X587" s="273">
        <f>IFERROR(INDEX('Measure Level Detail'!$R:$R,MATCH($B587&amp;"_"&amp;X$3,'Measure Level Detail'!$C:$C,0)),0)</f>
        <v>0</v>
      </c>
      <c r="Y587" s="273">
        <f>IFERROR(INDEX('Measure Level Detail'!$R:$R,MATCH($B587&amp;"_"&amp;Y$3,'Measure Level Detail'!$C:$C,0)),0)</f>
        <v>0</v>
      </c>
      <c r="Z587" s="273">
        <f>IFERROR(INDEX('Measure Level Detail'!$R:$R,MATCH($B587&amp;"_"&amp;Z$3,'Measure Level Detail'!$C:$C,0)),0)</f>
        <v>0</v>
      </c>
      <c r="AA587" s="273">
        <f>IFERROR(INDEX('Measure Level Detail'!$R:$R,MATCH($B587&amp;"_"&amp;AA$3,'Measure Level Detail'!$C:$C,0)),0)</f>
        <v>0</v>
      </c>
      <c r="AB587" s="266">
        <f t="shared" si="367"/>
        <v>0</v>
      </c>
      <c r="AC587" s="266">
        <f t="shared" si="368"/>
        <v>0</v>
      </c>
      <c r="AD587" s="266">
        <f t="shared" si="369"/>
        <v>0</v>
      </c>
      <c r="AE587" s="266">
        <f t="shared" si="370"/>
        <v>0</v>
      </c>
      <c r="AF587" s="266">
        <f t="shared" si="371"/>
        <v>0</v>
      </c>
      <c r="AG587" s="274">
        <v>0</v>
      </c>
      <c r="AH587" s="274">
        <v>0</v>
      </c>
      <c r="AI587" s="274">
        <v>0</v>
      </c>
      <c r="AJ587" s="274">
        <v>0</v>
      </c>
      <c r="AK587" s="274">
        <f t="shared" si="372"/>
        <v>0</v>
      </c>
      <c r="AL587" s="274">
        <f t="shared" si="373"/>
        <v>0</v>
      </c>
      <c r="AM587" s="274">
        <f t="shared" si="374"/>
        <v>0</v>
      </c>
      <c r="AN587" s="274">
        <f t="shared" si="375"/>
        <v>0</v>
      </c>
      <c r="AO587" s="262"/>
      <c r="AP587" s="262"/>
      <c r="AQ587" s="267">
        <v>2.4087097696290445</v>
      </c>
      <c r="AR587" s="262"/>
      <c r="AS587" s="266">
        <f t="shared" si="376"/>
        <v>0</v>
      </c>
      <c r="AT587" s="264">
        <f t="shared" si="377"/>
        <v>0</v>
      </c>
      <c r="AU587" s="262"/>
      <c r="AV587" s="262"/>
      <c r="AW587" s="265">
        <v>2.4087097696290445</v>
      </c>
      <c r="AX587" s="164" t="s">
        <v>2392</v>
      </c>
      <c r="AY587" s="266">
        <v>0</v>
      </c>
      <c r="AZ587" s="266">
        <f t="shared" si="378"/>
        <v>0</v>
      </c>
      <c r="BA587" s="264">
        <f t="shared" si="379"/>
        <v>0</v>
      </c>
      <c r="BB587" s="262"/>
      <c r="BC587" s="262"/>
      <c r="BD587" s="265">
        <f ca="1">IFERROR(INDEX(Algorithms!$G:$G,MATCH($C587&amp;"_Therm Saved per Unit",Algorithms!$A:$A,0)),0)</f>
        <v>2.4087097696290445</v>
      </c>
      <c r="BE587" s="164">
        <f ca="1">IFERROR(INDEX('v12 Revisions'!$P$29:$P$186, MATCH('Measure-Level Adj Gas'!$L587, 'v12 Revisions'!$D$29:$D$186,0)),"")</f>
        <v>0</v>
      </c>
      <c r="BF587" s="266">
        <f t="shared" ca="1" si="380"/>
        <v>0</v>
      </c>
      <c r="BG587" s="264">
        <f t="shared" ca="1" si="381"/>
        <v>0</v>
      </c>
      <c r="BH587" s="262"/>
      <c r="BI587" s="262"/>
      <c r="BJ587" s="265">
        <f ca="1">IFERROR(INDEX(Algorithms!$G:$G,MATCH($C587&amp;"_Therm Saved per Unit",Algorithms!$A:$A,0)),0)</f>
        <v>2.4087097696290445</v>
      </c>
      <c r="BK587" s="164"/>
      <c r="BL587" s="266">
        <f t="shared" ca="1" si="382"/>
        <v>0</v>
      </c>
      <c r="BM587" s="264">
        <f t="shared" ca="1" si="383"/>
        <v>0</v>
      </c>
      <c r="BN587" s="266">
        <f t="shared" si="384"/>
        <v>0</v>
      </c>
      <c r="BO587" s="266">
        <f t="shared" si="385"/>
        <v>0</v>
      </c>
      <c r="BP587" s="266">
        <f t="shared" ca="1" si="386"/>
        <v>0</v>
      </c>
      <c r="BQ587" s="266">
        <f t="shared" ca="1" si="387"/>
        <v>0</v>
      </c>
      <c r="BR587" s="268">
        <f t="shared" ca="1" si="388"/>
        <v>0</v>
      </c>
      <c r="BS587" s="262" t="s">
        <v>99</v>
      </c>
      <c r="BT587" s="277"/>
      <c r="BW587" s="266">
        <f t="shared" si="389"/>
        <v>0</v>
      </c>
      <c r="BX587" s="266">
        <f t="shared" si="390"/>
        <v>0</v>
      </c>
      <c r="BY587" s="266">
        <f t="shared" si="391"/>
        <v>0</v>
      </c>
      <c r="BZ587" s="266">
        <f t="shared" si="392"/>
        <v>0</v>
      </c>
      <c r="CA587" s="266">
        <f ca="1">N587*IFERROR(INDEX(Algorithms!$G:$G,MATCH($C587&amp;"_Therm Saved per Unit- MLA",Algorithms!$A:$A,0)),0)*X587</f>
        <v>0</v>
      </c>
      <c r="CB587" s="266">
        <f ca="1">O587*IFERROR(INDEX(Algorithms!$G:$G,MATCH($C587&amp;"_Therm Saved per Unit- MLA",Algorithms!$A:$A,0)),0)*Y587</f>
        <v>0</v>
      </c>
      <c r="CC587" s="266">
        <f ca="1">P587*IFERROR(INDEX(Algorithms!$G:$G,MATCH($C587&amp;"_Therm Saved per Unit- MLA",Algorithms!$A:$A,0)),0)*Z587</f>
        <v>0</v>
      </c>
      <c r="CD587" s="266">
        <f ca="1">Q587*IFERROR(INDEX(Algorithms!$G:$G,MATCH($C587&amp;"_Therm Saved per Unit- MLA",Algorithms!$A:$A,0)),0)*AA587</f>
        <v>0</v>
      </c>
      <c r="CE587" s="266">
        <f ca="1">IFERROR(INDEX(Algorithms!$G:$G,MATCH($C587&amp;"_Lifetime (years)",Algorithms!$A:$A,0)),0)</f>
        <v>15</v>
      </c>
      <c r="CF587" s="266">
        <f ca="1">IFERROR(INDEX(Algorithms!$G:$G,MATCH($C587&amp;"_Lifetime (years) - Remaining Years",Algorithms!$A:$A,0)),0)</f>
        <v>0</v>
      </c>
      <c r="CG587" s="266">
        <f t="shared" ca="1" si="393"/>
        <v>0</v>
      </c>
      <c r="CH587" s="266">
        <f t="shared" ca="1" si="394"/>
        <v>0</v>
      </c>
      <c r="CI587" s="266">
        <f t="shared" ca="1" si="395"/>
        <v>0</v>
      </c>
      <c r="CJ587" s="266">
        <f t="shared" ca="1" si="396"/>
        <v>0</v>
      </c>
      <c r="CK587" s="266">
        <f t="shared" si="397"/>
        <v>0</v>
      </c>
      <c r="CL587" s="266">
        <f t="shared" si="398"/>
        <v>0</v>
      </c>
      <c r="CM587" s="266">
        <f t="shared" ca="1" si="399"/>
        <v>0</v>
      </c>
      <c r="CN587" s="266">
        <f t="shared" ca="1" si="400"/>
        <v>0</v>
      </c>
      <c r="CO587" s="266">
        <f ca="1">N587*IFERROR(INDEX(Algorithms!$G:$G,MATCH($C587&amp;"_Therm Saved per Unit- MLA",Algorithms!$A:$A,0)),0)*X587</f>
        <v>0</v>
      </c>
      <c r="CP587" s="266">
        <f ca="1">O587*IFERROR(INDEX(Algorithms!$G:$G,MATCH($C587&amp;"_Therm Saved per Unit- MLA",Algorithms!$A:$A,0)),0)*Y587</f>
        <v>0</v>
      </c>
      <c r="CQ587" s="266">
        <f ca="1">P587*IFERROR(INDEX(Algorithms!$G:$G,MATCH($C587&amp;"_Therm Saved per Unit- MLA",Algorithms!$A:$A,0)),0)*Z587</f>
        <v>0</v>
      </c>
      <c r="CR587" s="266">
        <f ca="1">Q587*IFERROR(INDEX(Algorithms!$G:$G,MATCH($C587&amp;"_Therm Saved per Unit- MLA",Algorithms!$A:$A,0)),0)*AA587</f>
        <v>0</v>
      </c>
      <c r="CS587" s="266">
        <f ca="1">IFERROR(INDEX(Algorithms!$G:$G,MATCH($C587&amp;"_Lifetime (years)",Algorithms!$A:$A,0)),0)</f>
        <v>15</v>
      </c>
      <c r="CT587" s="266">
        <f ca="1">IFERROR(INDEX(Algorithms!$G:$G,MATCH($C587&amp;"_Lifetime (years) - Remaining Years",Algorithms!$A:$A,0)),0)</f>
        <v>0</v>
      </c>
      <c r="CU587" s="266">
        <f t="shared" ca="1" si="401"/>
        <v>0</v>
      </c>
      <c r="CV587" s="266">
        <f t="shared" ca="1" si="402"/>
        <v>0</v>
      </c>
      <c r="CW587" s="266">
        <f t="shared" ca="1" si="403"/>
        <v>0</v>
      </c>
      <c r="CX587" s="266">
        <f t="shared" ca="1" si="404"/>
        <v>0</v>
      </c>
    </row>
    <row r="588" spans="2:102" s="47" customFormat="1" ht="18" customHeight="1" x14ac:dyDescent="0.25">
      <c r="B588" t="str">
        <f t="shared" si="405"/>
        <v>NSG_Income Eligible_Single Family_CBA_Pipe Insulation_Boiler_SF</v>
      </c>
      <c r="C588" s="47" t="str">
        <f t="shared" si="366"/>
        <v>Pipe Insulation_Boiler_SF</v>
      </c>
      <c r="D588" s="270" t="s">
        <v>1787</v>
      </c>
      <c r="E588" s="270" t="s">
        <v>325</v>
      </c>
      <c r="F588" s="270" t="s">
        <v>375</v>
      </c>
      <c r="G588" s="270" t="s">
        <v>1809</v>
      </c>
      <c r="H588" s="270" t="s">
        <v>404</v>
      </c>
      <c r="I588" s="270" t="s">
        <v>944</v>
      </c>
      <c r="J588" s="270" t="s">
        <v>409</v>
      </c>
      <c r="K588" s="263">
        <v>1</v>
      </c>
      <c r="L588" s="263" t="str">
        <f ca="1">IFERROR(INDEX(Algorithms!J:J,MATCH($C588&amp;"_Therm Saved per Unit",Algorithms!$A:$A,0)),"n/a")</f>
        <v>5.3.2</v>
      </c>
      <c r="M588" s="263">
        <f>IFERROR(INDEX('Measure Level Detail'!$N:$N,MATCH($B588,'Measure Level Detail'!$B:$B,0)),0)</f>
        <v>0</v>
      </c>
      <c r="N588" s="271">
        <f>IFERROR(INDEX('Measure Level Detail'!$P:$P,MATCH($B588&amp;"_"&amp;N$3,'Measure Level Detail'!$C:$C,0)),0)</f>
        <v>0</v>
      </c>
      <c r="O588" s="271">
        <f>IFERROR(INDEX('Measure Level Detail'!$P:$P,MATCH($B588&amp;"_"&amp;O$3,'Measure Level Detail'!$C:$C,0)),0)</f>
        <v>0</v>
      </c>
      <c r="P588" s="271">
        <f>IFERROR(INDEX('Measure Level Detail'!$P:$P,MATCH($B588&amp;"_"&amp;P$3,'Measure Level Detail'!$C:$C,0)),0)</f>
        <v>0</v>
      </c>
      <c r="Q588" s="271">
        <f>IFERROR(INDEX('Measure Level Detail'!$P:$P,MATCH($B588&amp;"_"&amp;Q$3,'Measure Level Detail'!$C:$C,0)),0)</f>
        <v>0</v>
      </c>
      <c r="R588" s="263" t="str">
        <f ca="1">IFERROR(INDEX(Algorithms!K:K,MATCH($C588&amp;"_Therm Saved per Unit",Algorithms!$A:$A,0)),"n/a")</f>
        <v>RS-HVC-PINS-V07-240101</v>
      </c>
      <c r="S588" s="262"/>
      <c r="T588" s="272">
        <v>0.63522312995661756</v>
      </c>
      <c r="U588" s="272">
        <v>0.63522312995661756</v>
      </c>
      <c r="V588" s="272">
        <v>0.63522312995661756</v>
      </c>
      <c r="W588" s="272">
        <v>0.63522312995661756</v>
      </c>
      <c r="X588" s="273">
        <f>IFERROR(INDEX('Measure Level Detail'!$R:$R,MATCH($B588&amp;"_"&amp;X$3,'Measure Level Detail'!$C:$C,0)),0)</f>
        <v>0</v>
      </c>
      <c r="Y588" s="273">
        <f>IFERROR(INDEX('Measure Level Detail'!$R:$R,MATCH($B588&amp;"_"&amp;Y$3,'Measure Level Detail'!$C:$C,0)),0)</f>
        <v>0</v>
      </c>
      <c r="Z588" s="273">
        <f>IFERROR(INDEX('Measure Level Detail'!$R:$R,MATCH($B588&amp;"_"&amp;Z$3,'Measure Level Detail'!$C:$C,0)),0)</f>
        <v>0</v>
      </c>
      <c r="AA588" s="273">
        <f>IFERROR(INDEX('Measure Level Detail'!$R:$R,MATCH($B588&amp;"_"&amp;AA$3,'Measure Level Detail'!$C:$C,0)),0)</f>
        <v>0</v>
      </c>
      <c r="AB588" s="266">
        <f t="shared" si="367"/>
        <v>0</v>
      </c>
      <c r="AC588" s="266">
        <f t="shared" si="368"/>
        <v>0</v>
      </c>
      <c r="AD588" s="266">
        <f t="shared" si="369"/>
        <v>0</v>
      </c>
      <c r="AE588" s="266">
        <f t="shared" si="370"/>
        <v>0</v>
      </c>
      <c r="AF588" s="266">
        <f t="shared" si="371"/>
        <v>0</v>
      </c>
      <c r="AG588" s="274">
        <v>0</v>
      </c>
      <c r="AH588" s="274">
        <v>0</v>
      </c>
      <c r="AI588" s="274">
        <v>0</v>
      </c>
      <c r="AJ588" s="274">
        <v>0</v>
      </c>
      <c r="AK588" s="274">
        <f t="shared" si="372"/>
        <v>0</v>
      </c>
      <c r="AL588" s="274">
        <f t="shared" si="373"/>
        <v>0</v>
      </c>
      <c r="AM588" s="274">
        <f t="shared" si="374"/>
        <v>0</v>
      </c>
      <c r="AN588" s="274">
        <f t="shared" si="375"/>
        <v>0</v>
      </c>
      <c r="AO588" s="262"/>
      <c r="AP588" s="262"/>
      <c r="AQ588" s="267">
        <v>1.0111854839419214</v>
      </c>
      <c r="AR588" s="262"/>
      <c r="AS588" s="266">
        <f t="shared" si="376"/>
        <v>0</v>
      </c>
      <c r="AT588" s="264">
        <f t="shared" si="377"/>
        <v>0</v>
      </c>
      <c r="AU588" s="262"/>
      <c r="AV588" s="262"/>
      <c r="AW588" s="265">
        <v>1.0111854839419214</v>
      </c>
      <c r="AX588" s="164" t="s">
        <v>1469</v>
      </c>
      <c r="AY588" s="266">
        <v>0</v>
      </c>
      <c r="AZ588" s="266">
        <f t="shared" si="378"/>
        <v>0</v>
      </c>
      <c r="BA588" s="264">
        <f t="shared" si="379"/>
        <v>0</v>
      </c>
      <c r="BB588" s="262"/>
      <c r="BC588" s="262"/>
      <c r="BD588" s="265">
        <f ca="1">IFERROR(INDEX(Algorithms!$G:$G,MATCH($C588&amp;"_Therm Saved per Unit",Algorithms!$A:$A,0)),0)</f>
        <v>0.94853594852378065</v>
      </c>
      <c r="BE588" s="164" t="str">
        <f ca="1">IFERROR(INDEX('v12 Revisions'!$P$29:$P$186, MATCH('Measure-Level Adj Gas'!$L588, 'v12 Revisions'!$D$29:$D$186,0)),"")</f>
        <v>Updated full load hours of heating from 1840 to 1726.</v>
      </c>
      <c r="BF588" s="266">
        <f t="shared" ca="1" si="380"/>
        <v>0</v>
      </c>
      <c r="BG588" s="264">
        <f t="shared" ca="1" si="381"/>
        <v>0</v>
      </c>
      <c r="BH588" s="262"/>
      <c r="BI588" s="262"/>
      <c r="BJ588" s="265">
        <f ca="1">IFERROR(INDEX(Algorithms!$G:$G,MATCH($C588&amp;"_Therm Saved per Unit",Algorithms!$A:$A,0)),0)</f>
        <v>0.94853594852378065</v>
      </c>
      <c r="BK588" s="164"/>
      <c r="BL588" s="266">
        <f t="shared" ca="1" si="382"/>
        <v>0</v>
      </c>
      <c r="BM588" s="264">
        <f t="shared" ca="1" si="383"/>
        <v>0</v>
      </c>
      <c r="BN588" s="266">
        <f t="shared" si="384"/>
        <v>0</v>
      </c>
      <c r="BO588" s="266">
        <f t="shared" si="385"/>
        <v>0</v>
      </c>
      <c r="BP588" s="266">
        <f t="shared" ca="1" si="386"/>
        <v>0</v>
      </c>
      <c r="BQ588" s="266">
        <f t="shared" ca="1" si="387"/>
        <v>0</v>
      </c>
      <c r="BR588" s="268">
        <f t="shared" ca="1" si="388"/>
        <v>0</v>
      </c>
      <c r="BS588" s="262" t="s">
        <v>99</v>
      </c>
      <c r="BT588" s="277"/>
      <c r="BW588" s="266">
        <f t="shared" si="389"/>
        <v>0</v>
      </c>
      <c r="BX588" s="266">
        <f t="shared" si="390"/>
        <v>0</v>
      </c>
      <c r="BY588" s="266">
        <f t="shared" si="391"/>
        <v>0</v>
      </c>
      <c r="BZ588" s="266">
        <f t="shared" si="392"/>
        <v>0</v>
      </c>
      <c r="CA588" s="266">
        <f ca="1">N588*IFERROR(INDEX(Algorithms!$G:$G,MATCH($C588&amp;"_Therm Saved per Unit- MLA",Algorithms!$A:$A,0)),0)*X588</f>
        <v>0</v>
      </c>
      <c r="CB588" s="266">
        <f ca="1">O588*IFERROR(INDEX(Algorithms!$G:$G,MATCH($C588&amp;"_Therm Saved per Unit- MLA",Algorithms!$A:$A,0)),0)*Y588</f>
        <v>0</v>
      </c>
      <c r="CC588" s="266">
        <f ca="1">P588*IFERROR(INDEX(Algorithms!$G:$G,MATCH($C588&amp;"_Therm Saved per Unit- MLA",Algorithms!$A:$A,0)),0)*Z588</f>
        <v>0</v>
      </c>
      <c r="CD588" s="266">
        <f ca="1">Q588*IFERROR(INDEX(Algorithms!$G:$G,MATCH($C588&amp;"_Therm Saved per Unit- MLA",Algorithms!$A:$A,0)),0)*AA588</f>
        <v>0</v>
      </c>
      <c r="CE588" s="266">
        <f ca="1">IFERROR(INDEX(Algorithms!$G:$G,MATCH($C588&amp;"_Lifetime (years)",Algorithms!$A:$A,0)),0)</f>
        <v>15</v>
      </c>
      <c r="CF588" s="266">
        <f ca="1">IFERROR(INDEX(Algorithms!$G:$G,MATCH($C588&amp;"_Lifetime (years) - Remaining Years",Algorithms!$A:$A,0)),0)</f>
        <v>13</v>
      </c>
      <c r="CG588" s="266">
        <f t="shared" ca="1" si="393"/>
        <v>0</v>
      </c>
      <c r="CH588" s="266">
        <f t="shared" ca="1" si="394"/>
        <v>0</v>
      </c>
      <c r="CI588" s="266">
        <f t="shared" ca="1" si="395"/>
        <v>0</v>
      </c>
      <c r="CJ588" s="266">
        <f t="shared" ca="1" si="396"/>
        <v>0</v>
      </c>
      <c r="CK588" s="266">
        <f t="shared" si="397"/>
        <v>0</v>
      </c>
      <c r="CL588" s="266">
        <f t="shared" si="398"/>
        <v>0</v>
      </c>
      <c r="CM588" s="266">
        <f t="shared" ca="1" si="399"/>
        <v>0</v>
      </c>
      <c r="CN588" s="266">
        <f t="shared" ca="1" si="400"/>
        <v>0</v>
      </c>
      <c r="CO588" s="266">
        <f ca="1">N588*IFERROR(INDEX(Algorithms!$G:$G,MATCH($C588&amp;"_Therm Saved per Unit- MLA",Algorithms!$A:$A,0)),0)*X588</f>
        <v>0</v>
      </c>
      <c r="CP588" s="266">
        <f ca="1">O588*IFERROR(INDEX(Algorithms!$G:$G,MATCH($C588&amp;"_Therm Saved per Unit- MLA",Algorithms!$A:$A,0)),0)*Y588</f>
        <v>0</v>
      </c>
      <c r="CQ588" s="266">
        <f ca="1">P588*IFERROR(INDEX(Algorithms!$G:$G,MATCH($C588&amp;"_Therm Saved per Unit- MLA",Algorithms!$A:$A,0)),0)*Z588</f>
        <v>0</v>
      </c>
      <c r="CR588" s="266">
        <f ca="1">Q588*IFERROR(INDEX(Algorithms!$G:$G,MATCH($C588&amp;"_Therm Saved per Unit- MLA",Algorithms!$A:$A,0)),0)*AA588</f>
        <v>0</v>
      </c>
      <c r="CS588" s="266">
        <f ca="1">IFERROR(INDEX(Algorithms!$G:$G,MATCH($C588&amp;"_Lifetime (years)",Algorithms!$A:$A,0)),0)</f>
        <v>15</v>
      </c>
      <c r="CT588" s="266">
        <f ca="1">IFERROR(INDEX(Algorithms!$G:$G,MATCH($C588&amp;"_Lifetime (years) - Remaining Years",Algorithms!$A:$A,0)),0)</f>
        <v>13</v>
      </c>
      <c r="CU588" s="266">
        <f t="shared" ca="1" si="401"/>
        <v>0</v>
      </c>
      <c r="CV588" s="266">
        <f t="shared" ca="1" si="402"/>
        <v>0</v>
      </c>
      <c r="CW588" s="266">
        <f t="shared" ca="1" si="403"/>
        <v>0</v>
      </c>
      <c r="CX588" s="266">
        <f t="shared" ca="1" si="404"/>
        <v>0</v>
      </c>
    </row>
    <row r="589" spans="2:102" s="47" customFormat="1" ht="18" customHeight="1" x14ac:dyDescent="0.25">
      <c r="B589" t="str">
        <f t="shared" si="405"/>
        <v>NSG_Income Eligible_Single Family_CBA_Programmable Thermostat_Furnace (DI)_SF</v>
      </c>
      <c r="C589" s="47" t="str">
        <f t="shared" si="366"/>
        <v>Programmable Thermostat_Furnace (DI)_SF</v>
      </c>
      <c r="D589" s="270" t="s">
        <v>1787</v>
      </c>
      <c r="E589" s="270" t="s">
        <v>325</v>
      </c>
      <c r="F589" s="270" t="s">
        <v>375</v>
      </c>
      <c r="G589" s="270" t="s">
        <v>1809</v>
      </c>
      <c r="H589" s="270" t="s">
        <v>224</v>
      </c>
      <c r="I589" s="270" t="s">
        <v>1038</v>
      </c>
      <c r="J589" s="270" t="s">
        <v>409</v>
      </c>
      <c r="K589" s="263">
        <v>1</v>
      </c>
      <c r="L589" s="263" t="str">
        <f ca="1">IFERROR(INDEX(Algorithms!J:J,MATCH($C589&amp;"_Therm Saved per Unit",Algorithms!$A:$A,0)),"n/a")</f>
        <v>5.3.11</v>
      </c>
      <c r="M589" s="263">
        <f>IFERROR(INDEX('Measure Level Detail'!$N:$N,MATCH($B589,'Measure Level Detail'!$B:$B,0)),0)</f>
        <v>0</v>
      </c>
      <c r="N589" s="271">
        <f>IFERROR(INDEX('Measure Level Detail'!$P:$P,MATCH($B589&amp;"_"&amp;N$3,'Measure Level Detail'!$C:$C,0)),0)</f>
        <v>0</v>
      </c>
      <c r="O589" s="271">
        <f>IFERROR(INDEX('Measure Level Detail'!$P:$P,MATCH($B589&amp;"_"&amp;O$3,'Measure Level Detail'!$C:$C,0)),0)</f>
        <v>0</v>
      </c>
      <c r="P589" s="271">
        <f>IFERROR(INDEX('Measure Level Detail'!$P:$P,MATCH($B589&amp;"_"&amp;P$3,'Measure Level Detail'!$C:$C,0)),0)</f>
        <v>0</v>
      </c>
      <c r="Q589" s="271">
        <f>IFERROR(INDEX('Measure Level Detail'!$P:$P,MATCH($B589&amp;"_"&amp;Q$3,'Measure Level Detail'!$C:$C,0)),0)</f>
        <v>0</v>
      </c>
      <c r="R589" s="263" t="str">
        <f ca="1">IFERROR(INDEX(Algorithms!K:K,MATCH($C589&amp;"_Therm Saved per Unit",Algorithms!$A:$A,0)),"n/a")</f>
        <v>RS-HVC-PROG-V08-220101</v>
      </c>
      <c r="S589" s="262"/>
      <c r="T589" s="272">
        <v>62.31</v>
      </c>
      <c r="U589" s="272">
        <v>62.31</v>
      </c>
      <c r="V589" s="272">
        <v>62.31</v>
      </c>
      <c r="W589" s="272">
        <v>62.31</v>
      </c>
      <c r="X589" s="273">
        <f>IFERROR(INDEX('Measure Level Detail'!$R:$R,MATCH($B589&amp;"_"&amp;X$3,'Measure Level Detail'!$C:$C,0)),0)</f>
        <v>0</v>
      </c>
      <c r="Y589" s="273">
        <f>IFERROR(INDEX('Measure Level Detail'!$R:$R,MATCH($B589&amp;"_"&amp;Y$3,'Measure Level Detail'!$C:$C,0)),0)</f>
        <v>0</v>
      </c>
      <c r="Z589" s="273">
        <f>IFERROR(INDEX('Measure Level Detail'!$R:$R,MATCH($B589&amp;"_"&amp;Z$3,'Measure Level Detail'!$C:$C,0)),0)</f>
        <v>0</v>
      </c>
      <c r="AA589" s="273">
        <f>IFERROR(INDEX('Measure Level Detail'!$R:$R,MATCH($B589&amp;"_"&amp;AA$3,'Measure Level Detail'!$C:$C,0)),0)</f>
        <v>0</v>
      </c>
      <c r="AB589" s="266">
        <f t="shared" si="367"/>
        <v>0</v>
      </c>
      <c r="AC589" s="266">
        <f t="shared" si="368"/>
        <v>0</v>
      </c>
      <c r="AD589" s="266">
        <f t="shared" si="369"/>
        <v>0</v>
      </c>
      <c r="AE589" s="266">
        <f t="shared" si="370"/>
        <v>0</v>
      </c>
      <c r="AF589" s="266">
        <f t="shared" si="371"/>
        <v>0</v>
      </c>
      <c r="AG589" s="274">
        <v>0</v>
      </c>
      <c r="AH589" s="274">
        <v>0</v>
      </c>
      <c r="AI589" s="274">
        <v>0</v>
      </c>
      <c r="AJ589" s="274">
        <v>0</v>
      </c>
      <c r="AK589" s="274">
        <f t="shared" si="372"/>
        <v>0</v>
      </c>
      <c r="AL589" s="274">
        <f t="shared" si="373"/>
        <v>0</v>
      </c>
      <c r="AM589" s="274">
        <f t="shared" si="374"/>
        <v>0</v>
      </c>
      <c r="AN589" s="274">
        <f t="shared" si="375"/>
        <v>0</v>
      </c>
      <c r="AO589" s="262"/>
      <c r="AP589" s="262"/>
      <c r="AQ589" s="267">
        <v>62.31</v>
      </c>
      <c r="AR589" s="262"/>
      <c r="AS589" s="266">
        <f t="shared" si="376"/>
        <v>0</v>
      </c>
      <c r="AT589" s="264">
        <f t="shared" si="377"/>
        <v>0</v>
      </c>
      <c r="AU589" s="262"/>
      <c r="AV589" s="262"/>
      <c r="AW589" s="265">
        <v>62.31</v>
      </c>
      <c r="AX589" s="164" t="s">
        <v>1469</v>
      </c>
      <c r="AY589" s="266">
        <v>0</v>
      </c>
      <c r="AZ589" s="266">
        <f t="shared" si="378"/>
        <v>0</v>
      </c>
      <c r="BA589" s="264">
        <f t="shared" si="379"/>
        <v>0</v>
      </c>
      <c r="BB589" s="262"/>
      <c r="BC589" s="262"/>
      <c r="BD589" s="265">
        <f ca="1">IFERROR(INDEX(Algorithms!$G:$G,MATCH($C589&amp;"_Therm Saved per Unit",Algorithms!$A:$A,0)),0)</f>
        <v>62.31</v>
      </c>
      <c r="BE589" s="164" t="str">
        <f ca="1">IFERROR(INDEX('v12 Revisions'!$P$29:$P$186, MATCH('Measure-Level Adj Gas'!$L589, 'v12 Revisions'!$D$29:$D$186,0)),"")</f>
        <v/>
      </c>
      <c r="BF589" s="266">
        <f t="shared" ca="1" si="380"/>
        <v>0</v>
      </c>
      <c r="BG589" s="264">
        <f t="shared" ca="1" si="381"/>
        <v>0</v>
      </c>
      <c r="BH589" s="262"/>
      <c r="BI589" s="262"/>
      <c r="BJ589" s="265">
        <f ca="1">IFERROR(INDEX(Algorithms!$G:$G,MATCH($C589&amp;"_Therm Saved per Unit",Algorithms!$A:$A,0)),0)</f>
        <v>62.31</v>
      </c>
      <c r="BK589" s="164"/>
      <c r="BL589" s="266">
        <f t="shared" ca="1" si="382"/>
        <v>0</v>
      </c>
      <c r="BM589" s="264">
        <f t="shared" ca="1" si="383"/>
        <v>0</v>
      </c>
      <c r="BN589" s="266">
        <f t="shared" si="384"/>
        <v>0</v>
      </c>
      <c r="BO589" s="266">
        <f t="shared" si="385"/>
        <v>0</v>
      </c>
      <c r="BP589" s="266">
        <f t="shared" ca="1" si="386"/>
        <v>0</v>
      </c>
      <c r="BQ589" s="266">
        <f t="shared" ca="1" si="387"/>
        <v>0</v>
      </c>
      <c r="BR589" s="268">
        <f t="shared" ca="1" si="388"/>
        <v>0</v>
      </c>
      <c r="BS589" s="262" t="s">
        <v>99</v>
      </c>
      <c r="BT589" s="277"/>
      <c r="BW589" s="266">
        <f t="shared" si="389"/>
        <v>0</v>
      </c>
      <c r="BX589" s="266">
        <f t="shared" si="390"/>
        <v>0</v>
      </c>
      <c r="BY589" s="266">
        <f t="shared" si="391"/>
        <v>0</v>
      </c>
      <c r="BZ589" s="266">
        <f t="shared" si="392"/>
        <v>0</v>
      </c>
      <c r="CA589" s="266">
        <f ca="1">N589*IFERROR(INDEX(Algorithms!$G:$G,MATCH($C589&amp;"_Therm Saved per Unit- MLA",Algorithms!$A:$A,0)),0)*X589</f>
        <v>0</v>
      </c>
      <c r="CB589" s="266">
        <f ca="1">O589*IFERROR(INDEX(Algorithms!$G:$G,MATCH($C589&amp;"_Therm Saved per Unit- MLA",Algorithms!$A:$A,0)),0)*Y589</f>
        <v>0</v>
      </c>
      <c r="CC589" s="266">
        <f ca="1">P589*IFERROR(INDEX(Algorithms!$G:$G,MATCH($C589&amp;"_Therm Saved per Unit- MLA",Algorithms!$A:$A,0)),0)*Z589</f>
        <v>0</v>
      </c>
      <c r="CD589" s="266">
        <f ca="1">Q589*IFERROR(INDEX(Algorithms!$G:$G,MATCH($C589&amp;"_Therm Saved per Unit- MLA",Algorithms!$A:$A,0)),0)*AA589</f>
        <v>0</v>
      </c>
      <c r="CE589" s="266">
        <f ca="1">IFERROR(INDEX(Algorithms!$G:$G,MATCH($C589&amp;"_Lifetime (years)",Algorithms!$A:$A,0)),0)</f>
        <v>16</v>
      </c>
      <c r="CF589" s="266">
        <f ca="1">IFERROR(INDEX(Algorithms!$G:$G,MATCH($C589&amp;"_Lifetime (years) - Remaining Years",Algorithms!$A:$A,0)),0)</f>
        <v>5</v>
      </c>
      <c r="CG589" s="266">
        <f t="shared" ca="1" si="393"/>
        <v>0</v>
      </c>
      <c r="CH589" s="266">
        <f t="shared" ca="1" si="394"/>
        <v>0</v>
      </c>
      <c r="CI589" s="266">
        <f t="shared" ca="1" si="395"/>
        <v>0</v>
      </c>
      <c r="CJ589" s="266">
        <f t="shared" ca="1" si="396"/>
        <v>0</v>
      </c>
      <c r="CK589" s="266">
        <f t="shared" si="397"/>
        <v>0</v>
      </c>
      <c r="CL589" s="266">
        <f t="shared" si="398"/>
        <v>0</v>
      </c>
      <c r="CM589" s="266">
        <f t="shared" ca="1" si="399"/>
        <v>0</v>
      </c>
      <c r="CN589" s="266">
        <f t="shared" ca="1" si="400"/>
        <v>0</v>
      </c>
      <c r="CO589" s="266">
        <f ca="1">N589*IFERROR(INDEX(Algorithms!$G:$G,MATCH($C589&amp;"_Therm Saved per Unit- MLA",Algorithms!$A:$A,0)),0)*X589</f>
        <v>0</v>
      </c>
      <c r="CP589" s="266">
        <f ca="1">O589*IFERROR(INDEX(Algorithms!$G:$G,MATCH($C589&amp;"_Therm Saved per Unit- MLA",Algorithms!$A:$A,0)),0)*Y589</f>
        <v>0</v>
      </c>
      <c r="CQ589" s="266">
        <f ca="1">P589*IFERROR(INDEX(Algorithms!$G:$G,MATCH($C589&amp;"_Therm Saved per Unit- MLA",Algorithms!$A:$A,0)),0)*Z589</f>
        <v>0</v>
      </c>
      <c r="CR589" s="266">
        <f ca="1">Q589*IFERROR(INDEX(Algorithms!$G:$G,MATCH($C589&amp;"_Therm Saved per Unit- MLA",Algorithms!$A:$A,0)),0)*AA589</f>
        <v>0</v>
      </c>
      <c r="CS589" s="266">
        <f ca="1">IFERROR(INDEX(Algorithms!$G:$G,MATCH($C589&amp;"_Lifetime (years)",Algorithms!$A:$A,0)),0)</f>
        <v>16</v>
      </c>
      <c r="CT589" s="266">
        <f ca="1">IFERROR(INDEX(Algorithms!$G:$G,MATCH($C589&amp;"_Lifetime (years) - Remaining Years",Algorithms!$A:$A,0)),0)</f>
        <v>5</v>
      </c>
      <c r="CU589" s="266">
        <f t="shared" ca="1" si="401"/>
        <v>0</v>
      </c>
      <c r="CV589" s="266">
        <f t="shared" ca="1" si="402"/>
        <v>0</v>
      </c>
      <c r="CW589" s="266">
        <f t="shared" ca="1" si="403"/>
        <v>0</v>
      </c>
      <c r="CX589" s="266">
        <f t="shared" ca="1" si="404"/>
        <v>0</v>
      </c>
    </row>
    <row r="590" spans="2:102" s="47" customFormat="1" ht="18" customHeight="1" x14ac:dyDescent="0.25">
      <c r="B590" t="str">
        <f t="shared" si="405"/>
        <v>NSG_Income Eligible_Single Family_CBA_Programmable Thermostat_Boiler (DI)_SF</v>
      </c>
      <c r="C590" s="47" t="str">
        <f t="shared" si="366"/>
        <v>Programmable Thermostat_Boiler (DI)_SF</v>
      </c>
      <c r="D590" s="270" t="s">
        <v>1787</v>
      </c>
      <c r="E590" s="270" t="s">
        <v>325</v>
      </c>
      <c r="F590" s="270" t="s">
        <v>375</v>
      </c>
      <c r="G590" s="270" t="s">
        <v>1809</v>
      </c>
      <c r="H590" s="270" t="s">
        <v>224</v>
      </c>
      <c r="I590" s="270" t="s">
        <v>1045</v>
      </c>
      <c r="J590" s="270" t="s">
        <v>409</v>
      </c>
      <c r="K590" s="263">
        <v>1</v>
      </c>
      <c r="L590" s="263" t="str">
        <f ca="1">IFERROR(INDEX(Algorithms!J:J,MATCH($C590&amp;"_Therm Saved per Unit",Algorithms!$A:$A,0)),"n/a")</f>
        <v>5.3.11</v>
      </c>
      <c r="M590" s="263">
        <f>IFERROR(INDEX('Measure Level Detail'!$N:$N,MATCH($B590,'Measure Level Detail'!$B:$B,0)),0)</f>
        <v>0</v>
      </c>
      <c r="N590" s="271">
        <f>IFERROR(INDEX('Measure Level Detail'!$P:$P,MATCH($B590&amp;"_"&amp;N$3,'Measure Level Detail'!$C:$C,0)),0)</f>
        <v>0</v>
      </c>
      <c r="O590" s="271">
        <f>IFERROR(INDEX('Measure Level Detail'!$P:$P,MATCH($B590&amp;"_"&amp;O$3,'Measure Level Detail'!$C:$C,0)),0)</f>
        <v>0</v>
      </c>
      <c r="P590" s="271">
        <f>IFERROR(INDEX('Measure Level Detail'!$P:$P,MATCH($B590&amp;"_"&amp;P$3,'Measure Level Detail'!$C:$C,0)),0)</f>
        <v>0</v>
      </c>
      <c r="Q590" s="271">
        <f>IFERROR(INDEX('Measure Level Detail'!$P:$P,MATCH($B590&amp;"_"&amp;Q$3,'Measure Level Detail'!$C:$C,0)),0)</f>
        <v>0</v>
      </c>
      <c r="R590" s="263" t="str">
        <f ca="1">IFERROR(INDEX(Algorithms!K:K,MATCH($C590&amp;"_Therm Saved per Unit",Algorithms!$A:$A,0)),"n/a")</f>
        <v>RS-HVC-PROG-V08-220101</v>
      </c>
      <c r="S590" s="262"/>
      <c r="T590" s="272">
        <v>92.194000000000003</v>
      </c>
      <c r="U590" s="272">
        <v>92.194000000000003</v>
      </c>
      <c r="V590" s="272">
        <v>92.194000000000003</v>
      </c>
      <c r="W590" s="272">
        <v>92.194000000000003</v>
      </c>
      <c r="X590" s="273">
        <f>IFERROR(INDEX('Measure Level Detail'!$R:$R,MATCH($B590&amp;"_"&amp;X$3,'Measure Level Detail'!$C:$C,0)),0)</f>
        <v>0</v>
      </c>
      <c r="Y590" s="273">
        <f>IFERROR(INDEX('Measure Level Detail'!$R:$R,MATCH($B590&amp;"_"&amp;Y$3,'Measure Level Detail'!$C:$C,0)),0)</f>
        <v>0</v>
      </c>
      <c r="Z590" s="273">
        <f>IFERROR(INDEX('Measure Level Detail'!$R:$R,MATCH($B590&amp;"_"&amp;Z$3,'Measure Level Detail'!$C:$C,0)),0)</f>
        <v>0</v>
      </c>
      <c r="AA590" s="273">
        <f>IFERROR(INDEX('Measure Level Detail'!$R:$R,MATCH($B590&amp;"_"&amp;AA$3,'Measure Level Detail'!$C:$C,0)),0)</f>
        <v>0</v>
      </c>
      <c r="AB590" s="266">
        <f t="shared" si="367"/>
        <v>0</v>
      </c>
      <c r="AC590" s="266">
        <f t="shared" si="368"/>
        <v>0</v>
      </c>
      <c r="AD590" s="266">
        <f t="shared" si="369"/>
        <v>0</v>
      </c>
      <c r="AE590" s="266">
        <f t="shared" si="370"/>
        <v>0</v>
      </c>
      <c r="AF590" s="266">
        <f t="shared" si="371"/>
        <v>0</v>
      </c>
      <c r="AG590" s="274">
        <v>0</v>
      </c>
      <c r="AH590" s="274">
        <v>0</v>
      </c>
      <c r="AI590" s="274">
        <v>0</v>
      </c>
      <c r="AJ590" s="274">
        <v>0</v>
      </c>
      <c r="AK590" s="274">
        <f t="shared" si="372"/>
        <v>0</v>
      </c>
      <c r="AL590" s="274">
        <f t="shared" si="373"/>
        <v>0</v>
      </c>
      <c r="AM590" s="274">
        <f t="shared" si="374"/>
        <v>0</v>
      </c>
      <c r="AN590" s="274">
        <f t="shared" si="375"/>
        <v>0</v>
      </c>
      <c r="AO590" s="262"/>
      <c r="AP590" s="262"/>
      <c r="AQ590" s="267">
        <v>92.194000000000003</v>
      </c>
      <c r="AR590" s="262"/>
      <c r="AS590" s="266">
        <f t="shared" si="376"/>
        <v>0</v>
      </c>
      <c r="AT590" s="264">
        <f t="shared" si="377"/>
        <v>0</v>
      </c>
      <c r="AU590" s="262"/>
      <c r="AV590" s="262"/>
      <c r="AW590" s="265">
        <v>92.194000000000003</v>
      </c>
      <c r="AX590" s="164" t="s">
        <v>1469</v>
      </c>
      <c r="AY590" s="266">
        <v>0</v>
      </c>
      <c r="AZ590" s="266">
        <f t="shared" si="378"/>
        <v>0</v>
      </c>
      <c r="BA590" s="264">
        <f t="shared" si="379"/>
        <v>0</v>
      </c>
      <c r="BB590" s="262"/>
      <c r="BC590" s="262"/>
      <c r="BD590" s="265">
        <f ca="1">IFERROR(INDEX(Algorithms!$G:$G,MATCH($C590&amp;"_Therm Saved per Unit",Algorithms!$A:$A,0)),0)</f>
        <v>92.194000000000003</v>
      </c>
      <c r="BE590" s="164" t="str">
        <f ca="1">IFERROR(INDEX('v12 Revisions'!$P$29:$P$186, MATCH('Measure-Level Adj Gas'!$L590, 'v12 Revisions'!$D$29:$D$186,0)),"")</f>
        <v/>
      </c>
      <c r="BF590" s="266">
        <f t="shared" ca="1" si="380"/>
        <v>0</v>
      </c>
      <c r="BG590" s="264">
        <f t="shared" ca="1" si="381"/>
        <v>0</v>
      </c>
      <c r="BH590" s="262"/>
      <c r="BI590" s="262"/>
      <c r="BJ590" s="265">
        <f ca="1">IFERROR(INDEX(Algorithms!$G:$G,MATCH($C590&amp;"_Therm Saved per Unit",Algorithms!$A:$A,0)),0)</f>
        <v>92.194000000000003</v>
      </c>
      <c r="BK590" s="164"/>
      <c r="BL590" s="266">
        <f t="shared" ca="1" si="382"/>
        <v>0</v>
      </c>
      <c r="BM590" s="264">
        <f t="shared" ca="1" si="383"/>
        <v>0</v>
      </c>
      <c r="BN590" s="266">
        <f t="shared" si="384"/>
        <v>0</v>
      </c>
      <c r="BO590" s="266">
        <f t="shared" si="385"/>
        <v>0</v>
      </c>
      <c r="BP590" s="266">
        <f t="shared" ca="1" si="386"/>
        <v>0</v>
      </c>
      <c r="BQ590" s="266">
        <f t="shared" ca="1" si="387"/>
        <v>0</v>
      </c>
      <c r="BR590" s="268">
        <f t="shared" ca="1" si="388"/>
        <v>0</v>
      </c>
      <c r="BS590" s="262" t="s">
        <v>99</v>
      </c>
      <c r="BT590" s="277"/>
      <c r="BW590" s="266">
        <f t="shared" si="389"/>
        <v>0</v>
      </c>
      <c r="BX590" s="266">
        <f t="shared" si="390"/>
        <v>0</v>
      </c>
      <c r="BY590" s="266">
        <f t="shared" si="391"/>
        <v>0</v>
      </c>
      <c r="BZ590" s="266">
        <f t="shared" si="392"/>
        <v>0</v>
      </c>
      <c r="CA590" s="266">
        <f ca="1">N590*IFERROR(INDEX(Algorithms!$G:$G,MATCH($C590&amp;"_Therm Saved per Unit- MLA",Algorithms!$A:$A,0)),0)*X590</f>
        <v>0</v>
      </c>
      <c r="CB590" s="266">
        <f ca="1">O590*IFERROR(INDEX(Algorithms!$G:$G,MATCH($C590&amp;"_Therm Saved per Unit- MLA",Algorithms!$A:$A,0)),0)*Y590</f>
        <v>0</v>
      </c>
      <c r="CC590" s="266">
        <f ca="1">P590*IFERROR(INDEX(Algorithms!$G:$G,MATCH($C590&amp;"_Therm Saved per Unit- MLA",Algorithms!$A:$A,0)),0)*Z590</f>
        <v>0</v>
      </c>
      <c r="CD590" s="266">
        <f ca="1">Q590*IFERROR(INDEX(Algorithms!$G:$G,MATCH($C590&amp;"_Therm Saved per Unit- MLA",Algorithms!$A:$A,0)),0)*AA590</f>
        <v>0</v>
      </c>
      <c r="CE590" s="266">
        <f ca="1">IFERROR(INDEX(Algorithms!$G:$G,MATCH($C590&amp;"_Lifetime (years)",Algorithms!$A:$A,0)),0)</f>
        <v>16</v>
      </c>
      <c r="CF590" s="266">
        <f ca="1">IFERROR(INDEX(Algorithms!$G:$G,MATCH($C590&amp;"_Lifetime (years) - Remaining Years",Algorithms!$A:$A,0)),0)</f>
        <v>5</v>
      </c>
      <c r="CG590" s="266">
        <f t="shared" ca="1" si="393"/>
        <v>0</v>
      </c>
      <c r="CH590" s="266">
        <f t="shared" ca="1" si="394"/>
        <v>0</v>
      </c>
      <c r="CI590" s="266">
        <f t="shared" ca="1" si="395"/>
        <v>0</v>
      </c>
      <c r="CJ590" s="266">
        <f t="shared" ca="1" si="396"/>
        <v>0</v>
      </c>
      <c r="CK590" s="266">
        <f t="shared" si="397"/>
        <v>0</v>
      </c>
      <c r="CL590" s="266">
        <f t="shared" si="398"/>
        <v>0</v>
      </c>
      <c r="CM590" s="266">
        <f t="shared" ca="1" si="399"/>
        <v>0</v>
      </c>
      <c r="CN590" s="266">
        <f t="shared" ca="1" si="400"/>
        <v>0</v>
      </c>
      <c r="CO590" s="266">
        <f ca="1">N590*IFERROR(INDEX(Algorithms!$G:$G,MATCH($C590&amp;"_Therm Saved per Unit- MLA",Algorithms!$A:$A,0)),0)*X590</f>
        <v>0</v>
      </c>
      <c r="CP590" s="266">
        <f ca="1">O590*IFERROR(INDEX(Algorithms!$G:$G,MATCH($C590&amp;"_Therm Saved per Unit- MLA",Algorithms!$A:$A,0)),0)*Y590</f>
        <v>0</v>
      </c>
      <c r="CQ590" s="266">
        <f ca="1">P590*IFERROR(INDEX(Algorithms!$G:$G,MATCH($C590&amp;"_Therm Saved per Unit- MLA",Algorithms!$A:$A,0)),0)*Z590</f>
        <v>0</v>
      </c>
      <c r="CR590" s="266">
        <f ca="1">Q590*IFERROR(INDEX(Algorithms!$G:$G,MATCH($C590&amp;"_Therm Saved per Unit- MLA",Algorithms!$A:$A,0)),0)*AA590</f>
        <v>0</v>
      </c>
      <c r="CS590" s="266">
        <f ca="1">IFERROR(INDEX(Algorithms!$G:$G,MATCH($C590&amp;"_Lifetime (years)",Algorithms!$A:$A,0)),0)</f>
        <v>16</v>
      </c>
      <c r="CT590" s="266">
        <f ca="1">IFERROR(INDEX(Algorithms!$G:$G,MATCH($C590&amp;"_Lifetime (years) - Remaining Years",Algorithms!$A:$A,0)),0)</f>
        <v>5</v>
      </c>
      <c r="CU590" s="266">
        <f t="shared" ca="1" si="401"/>
        <v>0</v>
      </c>
      <c r="CV590" s="266">
        <f t="shared" ca="1" si="402"/>
        <v>0</v>
      </c>
      <c r="CW590" s="266">
        <f t="shared" ca="1" si="403"/>
        <v>0</v>
      </c>
      <c r="CX590" s="266">
        <f t="shared" ca="1" si="404"/>
        <v>0</v>
      </c>
    </row>
    <row r="591" spans="2:102" s="47" customFormat="1" ht="18" customHeight="1" x14ac:dyDescent="0.25">
      <c r="B591" t="str">
        <f t="shared" si="405"/>
        <v>NSG_Income Eligible_Single Family_CBA_Advanced Thermostat_Furnace (Replace Manual)_SF</v>
      </c>
      <c r="C591" s="47" t="str">
        <f t="shared" si="366"/>
        <v>Advanced Thermostat_Furnace (Replace Manual)_SF</v>
      </c>
      <c r="D591" s="270" t="s">
        <v>1787</v>
      </c>
      <c r="E591" s="270" t="s">
        <v>325</v>
      </c>
      <c r="F591" s="270" t="s">
        <v>375</v>
      </c>
      <c r="G591" s="270" t="s">
        <v>1809</v>
      </c>
      <c r="H591" s="270" t="s">
        <v>7</v>
      </c>
      <c r="I591" s="270" t="s">
        <v>1047</v>
      </c>
      <c r="J591" s="270" t="s">
        <v>409</v>
      </c>
      <c r="K591" s="263">
        <v>1</v>
      </c>
      <c r="L591" s="263" t="str">
        <f ca="1">IFERROR(INDEX(Algorithms!J:J,MATCH($C591&amp;"_Therm Saved per Unit",Algorithms!$A:$A,0)),"n/a")</f>
        <v>5.3.16</v>
      </c>
      <c r="M591" s="263">
        <f>IFERROR(INDEX('Measure Level Detail'!$N:$N,MATCH($B591,'Measure Level Detail'!$B:$B,0)),0)</f>
        <v>0</v>
      </c>
      <c r="N591" s="271">
        <f>IFERROR(INDEX('Measure Level Detail'!$P:$P,MATCH($B591&amp;"_"&amp;N$3,'Measure Level Detail'!$C:$C,0)),0)</f>
        <v>0</v>
      </c>
      <c r="O591" s="271">
        <f>IFERROR(INDEX('Measure Level Detail'!$P:$P,MATCH($B591&amp;"_"&amp;O$3,'Measure Level Detail'!$C:$C,0)),0)</f>
        <v>0</v>
      </c>
      <c r="P591" s="271">
        <f>IFERROR(INDEX('Measure Level Detail'!$P:$P,MATCH($B591&amp;"_"&amp;P$3,'Measure Level Detail'!$C:$C,0)),0)</f>
        <v>0</v>
      </c>
      <c r="Q591" s="271">
        <f>IFERROR(INDEX('Measure Level Detail'!$P:$P,MATCH($B591&amp;"_"&amp;Q$3,'Measure Level Detail'!$C:$C,0)),0)</f>
        <v>0</v>
      </c>
      <c r="R591" s="263" t="str">
        <f ca="1">IFERROR(INDEX(Algorithms!K:K,MATCH($C591&amp;"_Therm Saved per Unit",Algorithms!$A:$A,0)),"n/a")</f>
        <v>RS-HVC-ADTH-V09-240101</v>
      </c>
      <c r="S591" s="262"/>
      <c r="T591" s="272">
        <v>104.52</v>
      </c>
      <c r="U591" s="272">
        <v>104.52</v>
      </c>
      <c r="V591" s="272">
        <v>104.52</v>
      </c>
      <c r="W591" s="272">
        <v>104.52</v>
      </c>
      <c r="X591" s="273">
        <f>IFERROR(INDEX('Measure Level Detail'!$R:$R,MATCH($B591&amp;"_"&amp;X$3,'Measure Level Detail'!$C:$C,0)),0)</f>
        <v>0</v>
      </c>
      <c r="Y591" s="273">
        <f>IFERROR(INDEX('Measure Level Detail'!$R:$R,MATCH($B591&amp;"_"&amp;Y$3,'Measure Level Detail'!$C:$C,0)),0)</f>
        <v>0</v>
      </c>
      <c r="Z591" s="273">
        <f>IFERROR(INDEX('Measure Level Detail'!$R:$R,MATCH($B591&amp;"_"&amp;Z$3,'Measure Level Detail'!$C:$C,0)),0)</f>
        <v>0</v>
      </c>
      <c r="AA591" s="273">
        <f>IFERROR(INDEX('Measure Level Detail'!$R:$R,MATCH($B591&amp;"_"&amp;AA$3,'Measure Level Detail'!$C:$C,0)),0)</f>
        <v>0</v>
      </c>
      <c r="AB591" s="266">
        <f t="shared" si="367"/>
        <v>0</v>
      </c>
      <c r="AC591" s="266">
        <f t="shared" si="368"/>
        <v>0</v>
      </c>
      <c r="AD591" s="266">
        <f t="shared" si="369"/>
        <v>0</v>
      </c>
      <c r="AE591" s="266">
        <f t="shared" si="370"/>
        <v>0</v>
      </c>
      <c r="AF591" s="266">
        <f t="shared" si="371"/>
        <v>0</v>
      </c>
      <c r="AG591" s="274">
        <v>0</v>
      </c>
      <c r="AH591" s="274">
        <v>0</v>
      </c>
      <c r="AI591" s="274">
        <v>0</v>
      </c>
      <c r="AJ591" s="274">
        <v>0</v>
      </c>
      <c r="AK591" s="274">
        <f t="shared" si="372"/>
        <v>0</v>
      </c>
      <c r="AL591" s="274">
        <f t="shared" si="373"/>
        <v>0</v>
      </c>
      <c r="AM591" s="274">
        <f t="shared" si="374"/>
        <v>0</v>
      </c>
      <c r="AN591" s="274">
        <f t="shared" si="375"/>
        <v>0</v>
      </c>
      <c r="AO591" s="262"/>
      <c r="AP591" s="262"/>
      <c r="AQ591" s="267">
        <v>102.50999999999999</v>
      </c>
      <c r="AR591" s="262"/>
      <c r="AS591" s="266">
        <f t="shared" si="376"/>
        <v>0</v>
      </c>
      <c r="AT591" s="264">
        <f t="shared" si="377"/>
        <v>0</v>
      </c>
      <c r="AU591" s="262"/>
      <c r="AV591" s="262"/>
      <c r="AW591" s="265">
        <v>102.50999999999999</v>
      </c>
      <c r="AX591" s="164" t="s">
        <v>1469</v>
      </c>
      <c r="AY591" s="266">
        <v>0</v>
      </c>
      <c r="AZ591" s="266">
        <f t="shared" si="378"/>
        <v>0</v>
      </c>
      <c r="BA591" s="264">
        <f t="shared" si="379"/>
        <v>0</v>
      </c>
      <c r="BB591" s="262"/>
      <c r="BC591" s="262"/>
      <c r="BD591" s="265">
        <f ca="1">IFERROR(INDEX(Algorithms!$G:$G,MATCH($C591&amp;"_Therm Saved per Unit",Algorithms!$A:$A,0)),0)</f>
        <v>102.50999999999999</v>
      </c>
      <c r="BE591" s="164" t="str">
        <f ca="1">IFERROR(INDEX('v12 Revisions'!$P$29:$P$186, MATCH('Measure-Level Adj Gas'!$L591, 'v12 Revisions'!$D$29:$D$186,0)),"")</f>
        <v>n/a - FLH not in fossil fuel energy savings algorithm.</v>
      </c>
      <c r="BF591" s="266">
        <f t="shared" ca="1" si="380"/>
        <v>0</v>
      </c>
      <c r="BG591" s="264">
        <f t="shared" ca="1" si="381"/>
        <v>0</v>
      </c>
      <c r="BH591" s="262"/>
      <c r="BI591" s="262"/>
      <c r="BJ591" s="265">
        <f ca="1">IFERROR(INDEX(Algorithms!$G:$G,MATCH($C591&amp;"_Therm Saved per Unit",Algorithms!$A:$A,0)),0)</f>
        <v>102.50999999999999</v>
      </c>
      <c r="BK591" s="164"/>
      <c r="BL591" s="266">
        <f t="shared" ca="1" si="382"/>
        <v>0</v>
      </c>
      <c r="BM591" s="264">
        <f t="shared" ca="1" si="383"/>
        <v>0</v>
      </c>
      <c r="BN591" s="266">
        <f t="shared" si="384"/>
        <v>0</v>
      </c>
      <c r="BO591" s="266">
        <f t="shared" si="385"/>
        <v>0</v>
      </c>
      <c r="BP591" s="266">
        <f t="shared" ca="1" si="386"/>
        <v>0</v>
      </c>
      <c r="BQ591" s="266">
        <f t="shared" ca="1" si="387"/>
        <v>0</v>
      </c>
      <c r="BR591" s="268">
        <f t="shared" ca="1" si="388"/>
        <v>0</v>
      </c>
      <c r="BS591" s="262" t="s">
        <v>99</v>
      </c>
      <c r="BT591" s="277"/>
      <c r="BW591" s="266">
        <f t="shared" si="389"/>
        <v>0</v>
      </c>
      <c r="BX591" s="266">
        <f t="shared" si="390"/>
        <v>0</v>
      </c>
      <c r="BY591" s="266">
        <f t="shared" si="391"/>
        <v>0</v>
      </c>
      <c r="BZ591" s="266">
        <f t="shared" si="392"/>
        <v>0</v>
      </c>
      <c r="CA591" s="266">
        <f ca="1">N591*IFERROR(INDEX(Algorithms!$G:$G,MATCH($C591&amp;"_Therm Saved per Unit- MLA",Algorithms!$A:$A,0)),0)*X591</f>
        <v>0</v>
      </c>
      <c r="CB591" s="266">
        <f ca="1">O591*IFERROR(INDEX(Algorithms!$G:$G,MATCH($C591&amp;"_Therm Saved per Unit- MLA",Algorithms!$A:$A,0)),0)*Y591</f>
        <v>0</v>
      </c>
      <c r="CC591" s="266">
        <f ca="1">P591*IFERROR(INDEX(Algorithms!$G:$G,MATCH($C591&amp;"_Therm Saved per Unit- MLA",Algorithms!$A:$A,0)),0)*Z591</f>
        <v>0</v>
      </c>
      <c r="CD591" s="266">
        <f ca="1">Q591*IFERROR(INDEX(Algorithms!$G:$G,MATCH($C591&amp;"_Therm Saved per Unit- MLA",Algorithms!$A:$A,0)),0)*AA591</f>
        <v>0</v>
      </c>
      <c r="CE591" s="266">
        <f ca="1">IFERROR(INDEX(Algorithms!$G:$G,MATCH($C591&amp;"_Lifetime (years)",Algorithms!$A:$A,0)),0)</f>
        <v>11</v>
      </c>
      <c r="CF591" s="266">
        <f ca="1">IFERROR(INDEX(Algorithms!$G:$G,MATCH($C591&amp;"_Lifetime (years) - Remaining Years",Algorithms!$A:$A,0)),0)</f>
        <v>0</v>
      </c>
      <c r="CG591" s="266">
        <f t="shared" ca="1" si="393"/>
        <v>0</v>
      </c>
      <c r="CH591" s="266">
        <f t="shared" ca="1" si="394"/>
        <v>0</v>
      </c>
      <c r="CI591" s="266">
        <f t="shared" ca="1" si="395"/>
        <v>0</v>
      </c>
      <c r="CJ591" s="266">
        <f t="shared" ca="1" si="396"/>
        <v>0</v>
      </c>
      <c r="CK591" s="266">
        <f t="shared" si="397"/>
        <v>0</v>
      </c>
      <c r="CL591" s="266">
        <f t="shared" si="398"/>
        <v>0</v>
      </c>
      <c r="CM591" s="266">
        <f t="shared" ca="1" si="399"/>
        <v>0</v>
      </c>
      <c r="CN591" s="266">
        <f t="shared" ca="1" si="400"/>
        <v>0</v>
      </c>
      <c r="CO591" s="266">
        <f ca="1">N591*IFERROR(INDEX(Algorithms!$G:$G,MATCH($C591&amp;"_Therm Saved per Unit- MLA",Algorithms!$A:$A,0)),0)*X591</f>
        <v>0</v>
      </c>
      <c r="CP591" s="266">
        <f ca="1">O591*IFERROR(INDEX(Algorithms!$G:$G,MATCH($C591&amp;"_Therm Saved per Unit- MLA",Algorithms!$A:$A,0)),0)*Y591</f>
        <v>0</v>
      </c>
      <c r="CQ591" s="266">
        <f ca="1">P591*IFERROR(INDEX(Algorithms!$G:$G,MATCH($C591&amp;"_Therm Saved per Unit- MLA",Algorithms!$A:$A,0)),0)*Z591</f>
        <v>0</v>
      </c>
      <c r="CR591" s="266">
        <f ca="1">Q591*IFERROR(INDEX(Algorithms!$G:$G,MATCH($C591&amp;"_Therm Saved per Unit- MLA",Algorithms!$A:$A,0)),0)*AA591</f>
        <v>0</v>
      </c>
      <c r="CS591" s="266">
        <f ca="1">IFERROR(INDEX(Algorithms!$G:$G,MATCH($C591&amp;"_Lifetime (years)",Algorithms!$A:$A,0)),0)</f>
        <v>11</v>
      </c>
      <c r="CT591" s="266">
        <f ca="1">IFERROR(INDEX(Algorithms!$G:$G,MATCH($C591&amp;"_Lifetime (years) - Remaining Years",Algorithms!$A:$A,0)),0)</f>
        <v>0</v>
      </c>
      <c r="CU591" s="266">
        <f t="shared" ca="1" si="401"/>
        <v>0</v>
      </c>
      <c r="CV591" s="266">
        <f t="shared" ca="1" si="402"/>
        <v>0</v>
      </c>
      <c r="CW591" s="266">
        <f t="shared" ca="1" si="403"/>
        <v>0</v>
      </c>
      <c r="CX591" s="266">
        <f t="shared" ca="1" si="404"/>
        <v>0</v>
      </c>
    </row>
    <row r="592" spans="2:102" s="47" customFormat="1" ht="18" customHeight="1" x14ac:dyDescent="0.25">
      <c r="B592" t="str">
        <f t="shared" si="405"/>
        <v>NSG_Income Eligible_Single Family_CBA_Advanced Thermostat_Boiler (Replace Manual)_SF</v>
      </c>
      <c r="C592" s="47" t="str">
        <f t="shared" si="366"/>
        <v>Advanced Thermostat_Boiler (Replace Manual)_SF</v>
      </c>
      <c r="D592" s="270" t="s">
        <v>1787</v>
      </c>
      <c r="E592" s="270" t="s">
        <v>325</v>
      </c>
      <c r="F592" s="270" t="s">
        <v>375</v>
      </c>
      <c r="G592" s="270" t="s">
        <v>1809</v>
      </c>
      <c r="H592" s="270" t="s">
        <v>7</v>
      </c>
      <c r="I592" s="270" t="s">
        <v>1051</v>
      </c>
      <c r="J592" s="270" t="s">
        <v>409</v>
      </c>
      <c r="K592" s="263">
        <v>1</v>
      </c>
      <c r="L592" s="263" t="str">
        <f ca="1">IFERROR(INDEX(Algorithms!J:J,MATCH($C592&amp;"_Therm Saved per Unit",Algorithms!$A:$A,0)),"n/a")</f>
        <v>5.3.16</v>
      </c>
      <c r="M592" s="263">
        <f>IFERROR(INDEX('Measure Level Detail'!$N:$N,MATCH($B592,'Measure Level Detail'!$B:$B,0)),0)</f>
        <v>0</v>
      </c>
      <c r="N592" s="271">
        <f>IFERROR(INDEX('Measure Level Detail'!$P:$P,MATCH($B592&amp;"_"&amp;N$3,'Measure Level Detail'!$C:$C,0)),0)</f>
        <v>0</v>
      </c>
      <c r="O592" s="271">
        <f>IFERROR(INDEX('Measure Level Detail'!$P:$P,MATCH($B592&amp;"_"&amp;O$3,'Measure Level Detail'!$C:$C,0)),0)</f>
        <v>0</v>
      </c>
      <c r="P592" s="271">
        <f>IFERROR(INDEX('Measure Level Detail'!$P:$P,MATCH($B592&amp;"_"&amp;P$3,'Measure Level Detail'!$C:$C,0)),0)</f>
        <v>0</v>
      </c>
      <c r="Q592" s="271">
        <f>IFERROR(INDEX('Measure Level Detail'!$P:$P,MATCH($B592&amp;"_"&amp;Q$3,'Measure Level Detail'!$C:$C,0)),0)</f>
        <v>0</v>
      </c>
      <c r="R592" s="263" t="str">
        <f ca="1">IFERROR(INDEX(Algorithms!K:K,MATCH($C592&amp;"_Therm Saved per Unit",Algorithms!$A:$A,0)),"n/a")</f>
        <v>RS-HVC-ADTH-V09-240101</v>
      </c>
      <c r="S592" s="262"/>
      <c r="T592" s="272">
        <v>154.44</v>
      </c>
      <c r="U592" s="272">
        <v>154.44</v>
      </c>
      <c r="V592" s="272">
        <v>154.44</v>
      </c>
      <c r="W592" s="272">
        <v>154.44</v>
      </c>
      <c r="X592" s="273">
        <f>IFERROR(INDEX('Measure Level Detail'!$R:$R,MATCH($B592&amp;"_"&amp;X$3,'Measure Level Detail'!$C:$C,0)),0)</f>
        <v>0</v>
      </c>
      <c r="Y592" s="273">
        <f>IFERROR(INDEX('Measure Level Detail'!$R:$R,MATCH($B592&amp;"_"&amp;Y$3,'Measure Level Detail'!$C:$C,0)),0)</f>
        <v>0</v>
      </c>
      <c r="Z592" s="273">
        <f>IFERROR(INDEX('Measure Level Detail'!$R:$R,MATCH($B592&amp;"_"&amp;Z$3,'Measure Level Detail'!$C:$C,0)),0)</f>
        <v>0</v>
      </c>
      <c r="AA592" s="273">
        <f>IFERROR(INDEX('Measure Level Detail'!$R:$R,MATCH($B592&amp;"_"&amp;AA$3,'Measure Level Detail'!$C:$C,0)),0)</f>
        <v>0</v>
      </c>
      <c r="AB592" s="266">
        <f t="shared" si="367"/>
        <v>0</v>
      </c>
      <c r="AC592" s="266">
        <f t="shared" si="368"/>
        <v>0</v>
      </c>
      <c r="AD592" s="266">
        <f t="shared" si="369"/>
        <v>0</v>
      </c>
      <c r="AE592" s="266">
        <f t="shared" si="370"/>
        <v>0</v>
      </c>
      <c r="AF592" s="266">
        <f t="shared" si="371"/>
        <v>0</v>
      </c>
      <c r="AG592" s="274">
        <v>0</v>
      </c>
      <c r="AH592" s="274">
        <v>0</v>
      </c>
      <c r="AI592" s="274">
        <v>0</v>
      </c>
      <c r="AJ592" s="274">
        <v>0</v>
      </c>
      <c r="AK592" s="274">
        <f t="shared" si="372"/>
        <v>0</v>
      </c>
      <c r="AL592" s="274">
        <f t="shared" si="373"/>
        <v>0</v>
      </c>
      <c r="AM592" s="274">
        <f t="shared" si="374"/>
        <v>0</v>
      </c>
      <c r="AN592" s="274">
        <f t="shared" si="375"/>
        <v>0</v>
      </c>
      <c r="AO592" s="262"/>
      <c r="AP592" s="262"/>
      <c r="AQ592" s="267">
        <v>151.47</v>
      </c>
      <c r="AR592" s="262"/>
      <c r="AS592" s="266">
        <f t="shared" si="376"/>
        <v>0</v>
      </c>
      <c r="AT592" s="264">
        <f t="shared" si="377"/>
        <v>0</v>
      </c>
      <c r="AU592" s="262"/>
      <c r="AV592" s="262"/>
      <c r="AW592" s="265">
        <v>151.47</v>
      </c>
      <c r="AX592" s="164" t="s">
        <v>1469</v>
      </c>
      <c r="AY592" s="266">
        <v>0</v>
      </c>
      <c r="AZ592" s="266">
        <f t="shared" si="378"/>
        <v>0</v>
      </c>
      <c r="BA592" s="264">
        <f t="shared" si="379"/>
        <v>0</v>
      </c>
      <c r="BB592" s="262"/>
      <c r="BC592" s="262"/>
      <c r="BD592" s="265">
        <f ca="1">IFERROR(INDEX(Algorithms!$G:$G,MATCH($C592&amp;"_Therm Saved per Unit",Algorithms!$A:$A,0)),0)</f>
        <v>151.47</v>
      </c>
      <c r="BE592" s="164" t="str">
        <f ca="1">IFERROR(INDEX('v12 Revisions'!$P$29:$P$186, MATCH('Measure-Level Adj Gas'!$L592, 'v12 Revisions'!$D$29:$D$186,0)),"")</f>
        <v>n/a - FLH not in fossil fuel energy savings algorithm.</v>
      </c>
      <c r="BF592" s="266">
        <f t="shared" ca="1" si="380"/>
        <v>0</v>
      </c>
      <c r="BG592" s="264">
        <f t="shared" ca="1" si="381"/>
        <v>0</v>
      </c>
      <c r="BH592" s="262"/>
      <c r="BI592" s="262"/>
      <c r="BJ592" s="265">
        <f ca="1">IFERROR(INDEX(Algorithms!$G:$G,MATCH($C592&amp;"_Therm Saved per Unit",Algorithms!$A:$A,0)),0)</f>
        <v>151.47</v>
      </c>
      <c r="BK592" s="164"/>
      <c r="BL592" s="266">
        <f t="shared" ca="1" si="382"/>
        <v>0</v>
      </c>
      <c r="BM592" s="264">
        <f t="shared" ca="1" si="383"/>
        <v>0</v>
      </c>
      <c r="BN592" s="266">
        <f t="shared" si="384"/>
        <v>0</v>
      </c>
      <c r="BO592" s="266">
        <f t="shared" si="385"/>
        <v>0</v>
      </c>
      <c r="BP592" s="266">
        <f t="shared" ca="1" si="386"/>
        <v>0</v>
      </c>
      <c r="BQ592" s="266">
        <f t="shared" ca="1" si="387"/>
        <v>0</v>
      </c>
      <c r="BR592" s="268">
        <f t="shared" ca="1" si="388"/>
        <v>0</v>
      </c>
      <c r="BS592" s="262" t="s">
        <v>99</v>
      </c>
      <c r="BT592" s="277"/>
      <c r="BW592" s="266">
        <f t="shared" si="389"/>
        <v>0</v>
      </c>
      <c r="BX592" s="266">
        <f t="shared" si="390"/>
        <v>0</v>
      </c>
      <c r="BY592" s="266">
        <f t="shared" si="391"/>
        <v>0</v>
      </c>
      <c r="BZ592" s="266">
        <f t="shared" si="392"/>
        <v>0</v>
      </c>
      <c r="CA592" s="266">
        <f ca="1">N592*IFERROR(INDEX(Algorithms!$G:$G,MATCH($C592&amp;"_Therm Saved per Unit- MLA",Algorithms!$A:$A,0)),0)*X592</f>
        <v>0</v>
      </c>
      <c r="CB592" s="266">
        <f ca="1">O592*IFERROR(INDEX(Algorithms!$G:$G,MATCH($C592&amp;"_Therm Saved per Unit- MLA",Algorithms!$A:$A,0)),0)*Y592</f>
        <v>0</v>
      </c>
      <c r="CC592" s="266">
        <f ca="1">P592*IFERROR(INDEX(Algorithms!$G:$G,MATCH($C592&amp;"_Therm Saved per Unit- MLA",Algorithms!$A:$A,0)),0)*Z592</f>
        <v>0</v>
      </c>
      <c r="CD592" s="266">
        <f ca="1">Q592*IFERROR(INDEX(Algorithms!$G:$G,MATCH($C592&amp;"_Therm Saved per Unit- MLA",Algorithms!$A:$A,0)),0)*AA592</f>
        <v>0</v>
      </c>
      <c r="CE592" s="266">
        <f ca="1">IFERROR(INDEX(Algorithms!$G:$G,MATCH($C592&amp;"_Lifetime (years)",Algorithms!$A:$A,0)),0)</f>
        <v>11</v>
      </c>
      <c r="CF592" s="266">
        <f ca="1">IFERROR(INDEX(Algorithms!$G:$G,MATCH($C592&amp;"_Lifetime (years) - Remaining Years",Algorithms!$A:$A,0)),0)</f>
        <v>0</v>
      </c>
      <c r="CG592" s="266">
        <f t="shared" ca="1" si="393"/>
        <v>0</v>
      </c>
      <c r="CH592" s="266">
        <f t="shared" ca="1" si="394"/>
        <v>0</v>
      </c>
      <c r="CI592" s="266">
        <f t="shared" ca="1" si="395"/>
        <v>0</v>
      </c>
      <c r="CJ592" s="266">
        <f t="shared" ca="1" si="396"/>
        <v>0</v>
      </c>
      <c r="CK592" s="266">
        <f t="shared" si="397"/>
        <v>0</v>
      </c>
      <c r="CL592" s="266">
        <f t="shared" si="398"/>
        <v>0</v>
      </c>
      <c r="CM592" s="266">
        <f t="shared" ca="1" si="399"/>
        <v>0</v>
      </c>
      <c r="CN592" s="266">
        <f t="shared" ca="1" si="400"/>
        <v>0</v>
      </c>
      <c r="CO592" s="266">
        <f ca="1">N592*IFERROR(INDEX(Algorithms!$G:$G,MATCH($C592&amp;"_Therm Saved per Unit- MLA",Algorithms!$A:$A,0)),0)*X592</f>
        <v>0</v>
      </c>
      <c r="CP592" s="266">
        <f ca="1">O592*IFERROR(INDEX(Algorithms!$G:$G,MATCH($C592&amp;"_Therm Saved per Unit- MLA",Algorithms!$A:$A,0)),0)*Y592</f>
        <v>0</v>
      </c>
      <c r="CQ592" s="266">
        <f ca="1">P592*IFERROR(INDEX(Algorithms!$G:$G,MATCH($C592&amp;"_Therm Saved per Unit- MLA",Algorithms!$A:$A,0)),0)*Z592</f>
        <v>0</v>
      </c>
      <c r="CR592" s="266">
        <f ca="1">Q592*IFERROR(INDEX(Algorithms!$G:$G,MATCH($C592&amp;"_Therm Saved per Unit- MLA",Algorithms!$A:$A,0)),0)*AA592</f>
        <v>0</v>
      </c>
      <c r="CS592" s="266">
        <f ca="1">IFERROR(INDEX(Algorithms!$G:$G,MATCH($C592&amp;"_Lifetime (years)",Algorithms!$A:$A,0)),0)</f>
        <v>11</v>
      </c>
      <c r="CT592" s="266">
        <f ca="1">IFERROR(INDEX(Algorithms!$G:$G,MATCH($C592&amp;"_Lifetime (years) - Remaining Years",Algorithms!$A:$A,0)),0)</f>
        <v>0</v>
      </c>
      <c r="CU592" s="266">
        <f t="shared" ca="1" si="401"/>
        <v>0</v>
      </c>
      <c r="CV592" s="266">
        <f t="shared" ca="1" si="402"/>
        <v>0</v>
      </c>
      <c r="CW592" s="266">
        <f t="shared" ca="1" si="403"/>
        <v>0</v>
      </c>
      <c r="CX592" s="266">
        <f t="shared" ca="1" si="404"/>
        <v>0</v>
      </c>
    </row>
    <row r="593" spans="2:102" s="47" customFormat="1" ht="18" customHeight="1" x14ac:dyDescent="0.25">
      <c r="B593" t="str">
        <f t="shared" si="405"/>
        <v>NSG_Income Eligible_Single Family_CBA_Advanced Thermostat_Furnace (Replace Programmable)_SF</v>
      </c>
      <c r="C593" s="47" t="str">
        <f t="shared" si="366"/>
        <v>Advanced Thermostat_Furnace (Replace Programmable)_SF</v>
      </c>
      <c r="D593" s="270" t="s">
        <v>1787</v>
      </c>
      <c r="E593" s="270" t="s">
        <v>325</v>
      </c>
      <c r="F593" s="270" t="s">
        <v>375</v>
      </c>
      <c r="G593" s="270" t="s">
        <v>1809</v>
      </c>
      <c r="H593" s="270" t="s">
        <v>7</v>
      </c>
      <c r="I593" s="270" t="s">
        <v>1049</v>
      </c>
      <c r="J593" s="270" t="s">
        <v>409</v>
      </c>
      <c r="K593" s="263">
        <v>1</v>
      </c>
      <c r="L593" s="263" t="str">
        <f ca="1">IFERROR(INDEX(Algorithms!J:J,MATCH($C593&amp;"_Therm Saved per Unit",Algorithms!$A:$A,0)),"n/a")</f>
        <v>5.3.16</v>
      </c>
      <c r="M593" s="263">
        <f>IFERROR(INDEX('Measure Level Detail'!$N:$N,MATCH($B593,'Measure Level Detail'!$B:$B,0)),0)</f>
        <v>0</v>
      </c>
      <c r="N593" s="271">
        <f>IFERROR(INDEX('Measure Level Detail'!$P:$P,MATCH($B593&amp;"_"&amp;N$3,'Measure Level Detail'!$C:$C,0)),0)</f>
        <v>0</v>
      </c>
      <c r="O593" s="271">
        <f>IFERROR(INDEX('Measure Level Detail'!$P:$P,MATCH($B593&amp;"_"&amp;O$3,'Measure Level Detail'!$C:$C,0)),0)</f>
        <v>0</v>
      </c>
      <c r="P593" s="271">
        <f>IFERROR(INDEX('Measure Level Detail'!$P:$P,MATCH($B593&amp;"_"&amp;P$3,'Measure Level Detail'!$C:$C,0)),0)</f>
        <v>0</v>
      </c>
      <c r="Q593" s="271">
        <f>IFERROR(INDEX('Measure Level Detail'!$P:$P,MATCH($B593&amp;"_"&amp;Q$3,'Measure Level Detail'!$C:$C,0)),0)</f>
        <v>0</v>
      </c>
      <c r="R593" s="263" t="str">
        <f ca="1">IFERROR(INDEX(Algorithms!K:K,MATCH($C593&amp;"_Therm Saved per Unit",Algorithms!$A:$A,0)),"n/a")</f>
        <v>RS-HVC-ADTH-V09-240101</v>
      </c>
      <c r="S593" s="262"/>
      <c r="T593" s="272">
        <v>73.364999999999995</v>
      </c>
      <c r="U593" s="272">
        <v>73.364999999999995</v>
      </c>
      <c r="V593" s="272">
        <v>73.364999999999995</v>
      </c>
      <c r="W593" s="272">
        <v>73.364999999999995</v>
      </c>
      <c r="X593" s="273">
        <f>IFERROR(INDEX('Measure Level Detail'!$R:$R,MATCH($B593&amp;"_"&amp;X$3,'Measure Level Detail'!$C:$C,0)),0)</f>
        <v>0</v>
      </c>
      <c r="Y593" s="273">
        <f>IFERROR(INDEX('Measure Level Detail'!$R:$R,MATCH($B593&amp;"_"&amp;Y$3,'Measure Level Detail'!$C:$C,0)),0)</f>
        <v>0</v>
      </c>
      <c r="Z593" s="273">
        <f>IFERROR(INDEX('Measure Level Detail'!$R:$R,MATCH($B593&amp;"_"&amp;Z$3,'Measure Level Detail'!$C:$C,0)),0)</f>
        <v>0</v>
      </c>
      <c r="AA593" s="273">
        <f>IFERROR(INDEX('Measure Level Detail'!$R:$R,MATCH($B593&amp;"_"&amp;AA$3,'Measure Level Detail'!$C:$C,0)),0)</f>
        <v>0</v>
      </c>
      <c r="AB593" s="266">
        <f t="shared" si="367"/>
        <v>0</v>
      </c>
      <c r="AC593" s="266">
        <f t="shared" si="368"/>
        <v>0</v>
      </c>
      <c r="AD593" s="266">
        <f t="shared" si="369"/>
        <v>0</v>
      </c>
      <c r="AE593" s="266">
        <f t="shared" si="370"/>
        <v>0</v>
      </c>
      <c r="AF593" s="266">
        <f t="shared" si="371"/>
        <v>0</v>
      </c>
      <c r="AG593" s="274">
        <v>0</v>
      </c>
      <c r="AH593" s="274">
        <v>0</v>
      </c>
      <c r="AI593" s="274">
        <v>0</v>
      </c>
      <c r="AJ593" s="274">
        <v>0</v>
      </c>
      <c r="AK593" s="274">
        <f t="shared" si="372"/>
        <v>0</v>
      </c>
      <c r="AL593" s="274">
        <f t="shared" si="373"/>
        <v>0</v>
      </c>
      <c r="AM593" s="274">
        <f t="shared" si="374"/>
        <v>0</v>
      </c>
      <c r="AN593" s="274">
        <f t="shared" si="375"/>
        <v>0</v>
      </c>
      <c r="AO593" s="262"/>
      <c r="AP593" s="262"/>
      <c r="AQ593" s="267">
        <v>71.35499999999999</v>
      </c>
      <c r="AR593" s="262"/>
      <c r="AS593" s="266">
        <f t="shared" si="376"/>
        <v>0</v>
      </c>
      <c r="AT593" s="264">
        <f t="shared" si="377"/>
        <v>0</v>
      </c>
      <c r="AU593" s="262"/>
      <c r="AV593" s="262"/>
      <c r="AW593" s="265">
        <v>71.35499999999999</v>
      </c>
      <c r="AX593" s="164" t="s">
        <v>1469</v>
      </c>
      <c r="AY593" s="266">
        <v>0</v>
      </c>
      <c r="AZ593" s="266">
        <f t="shared" si="378"/>
        <v>0</v>
      </c>
      <c r="BA593" s="264">
        <f t="shared" si="379"/>
        <v>0</v>
      </c>
      <c r="BB593" s="262"/>
      <c r="BC593" s="262"/>
      <c r="BD593" s="265">
        <f ca="1">IFERROR(INDEX(Algorithms!$G:$G,MATCH($C593&amp;"_Therm Saved per Unit",Algorithms!$A:$A,0)),0)</f>
        <v>71.35499999999999</v>
      </c>
      <c r="BE593" s="164" t="str">
        <f ca="1">IFERROR(INDEX('v12 Revisions'!$P$29:$P$186, MATCH('Measure-Level Adj Gas'!$L593, 'v12 Revisions'!$D$29:$D$186,0)),"")</f>
        <v>n/a - FLH not in fossil fuel energy savings algorithm.</v>
      </c>
      <c r="BF593" s="266">
        <f t="shared" ca="1" si="380"/>
        <v>0</v>
      </c>
      <c r="BG593" s="264">
        <f t="shared" ca="1" si="381"/>
        <v>0</v>
      </c>
      <c r="BH593" s="262"/>
      <c r="BI593" s="262"/>
      <c r="BJ593" s="265">
        <f ca="1">IFERROR(INDEX(Algorithms!$G:$G,MATCH($C593&amp;"_Therm Saved per Unit",Algorithms!$A:$A,0)),0)</f>
        <v>71.35499999999999</v>
      </c>
      <c r="BK593" s="164"/>
      <c r="BL593" s="266">
        <f t="shared" ca="1" si="382"/>
        <v>0</v>
      </c>
      <c r="BM593" s="264">
        <f t="shared" ca="1" si="383"/>
        <v>0</v>
      </c>
      <c r="BN593" s="266">
        <f t="shared" si="384"/>
        <v>0</v>
      </c>
      <c r="BO593" s="266">
        <f t="shared" si="385"/>
        <v>0</v>
      </c>
      <c r="BP593" s="266">
        <f t="shared" ca="1" si="386"/>
        <v>0</v>
      </c>
      <c r="BQ593" s="266">
        <f t="shared" ca="1" si="387"/>
        <v>0</v>
      </c>
      <c r="BR593" s="268">
        <f t="shared" ca="1" si="388"/>
        <v>0</v>
      </c>
      <c r="BS593" s="262" t="s">
        <v>99</v>
      </c>
      <c r="BT593" s="277"/>
      <c r="BW593" s="266">
        <f t="shared" si="389"/>
        <v>0</v>
      </c>
      <c r="BX593" s="266">
        <f t="shared" si="390"/>
        <v>0</v>
      </c>
      <c r="BY593" s="266">
        <f t="shared" si="391"/>
        <v>0</v>
      </c>
      <c r="BZ593" s="266">
        <f t="shared" si="392"/>
        <v>0</v>
      </c>
      <c r="CA593" s="266">
        <f ca="1">N593*IFERROR(INDEX(Algorithms!$G:$G,MATCH($C593&amp;"_Therm Saved per Unit- MLA",Algorithms!$A:$A,0)),0)*X593</f>
        <v>0</v>
      </c>
      <c r="CB593" s="266">
        <f ca="1">O593*IFERROR(INDEX(Algorithms!$G:$G,MATCH($C593&amp;"_Therm Saved per Unit- MLA",Algorithms!$A:$A,0)),0)*Y593</f>
        <v>0</v>
      </c>
      <c r="CC593" s="266">
        <f ca="1">P593*IFERROR(INDEX(Algorithms!$G:$G,MATCH($C593&amp;"_Therm Saved per Unit- MLA",Algorithms!$A:$A,0)),0)*Z593</f>
        <v>0</v>
      </c>
      <c r="CD593" s="266">
        <f ca="1">Q593*IFERROR(INDEX(Algorithms!$G:$G,MATCH($C593&amp;"_Therm Saved per Unit- MLA",Algorithms!$A:$A,0)),0)*AA593</f>
        <v>0</v>
      </c>
      <c r="CE593" s="266">
        <f ca="1">IFERROR(INDEX(Algorithms!$G:$G,MATCH($C593&amp;"_Lifetime (years)",Algorithms!$A:$A,0)),0)</f>
        <v>11</v>
      </c>
      <c r="CF593" s="266">
        <f ca="1">IFERROR(INDEX(Algorithms!$G:$G,MATCH($C593&amp;"_Lifetime (years) - Remaining Years",Algorithms!$A:$A,0)),0)</f>
        <v>0</v>
      </c>
      <c r="CG593" s="266">
        <f t="shared" ca="1" si="393"/>
        <v>0</v>
      </c>
      <c r="CH593" s="266">
        <f t="shared" ca="1" si="394"/>
        <v>0</v>
      </c>
      <c r="CI593" s="266">
        <f t="shared" ca="1" si="395"/>
        <v>0</v>
      </c>
      <c r="CJ593" s="266">
        <f t="shared" ca="1" si="396"/>
        <v>0</v>
      </c>
      <c r="CK593" s="266">
        <f t="shared" si="397"/>
        <v>0</v>
      </c>
      <c r="CL593" s="266">
        <f t="shared" si="398"/>
        <v>0</v>
      </c>
      <c r="CM593" s="266">
        <f t="shared" ca="1" si="399"/>
        <v>0</v>
      </c>
      <c r="CN593" s="266">
        <f t="shared" ca="1" si="400"/>
        <v>0</v>
      </c>
      <c r="CO593" s="266">
        <f ca="1">N593*IFERROR(INDEX(Algorithms!$G:$G,MATCH($C593&amp;"_Therm Saved per Unit- MLA",Algorithms!$A:$A,0)),0)*X593</f>
        <v>0</v>
      </c>
      <c r="CP593" s="266">
        <f ca="1">O593*IFERROR(INDEX(Algorithms!$G:$G,MATCH($C593&amp;"_Therm Saved per Unit- MLA",Algorithms!$A:$A,0)),0)*Y593</f>
        <v>0</v>
      </c>
      <c r="CQ593" s="266">
        <f ca="1">P593*IFERROR(INDEX(Algorithms!$G:$G,MATCH($C593&amp;"_Therm Saved per Unit- MLA",Algorithms!$A:$A,0)),0)*Z593</f>
        <v>0</v>
      </c>
      <c r="CR593" s="266">
        <f ca="1">Q593*IFERROR(INDEX(Algorithms!$G:$G,MATCH($C593&amp;"_Therm Saved per Unit- MLA",Algorithms!$A:$A,0)),0)*AA593</f>
        <v>0</v>
      </c>
      <c r="CS593" s="266">
        <f ca="1">IFERROR(INDEX(Algorithms!$G:$G,MATCH($C593&amp;"_Lifetime (years)",Algorithms!$A:$A,0)),0)</f>
        <v>11</v>
      </c>
      <c r="CT593" s="266">
        <f ca="1">IFERROR(INDEX(Algorithms!$G:$G,MATCH($C593&amp;"_Lifetime (years) - Remaining Years",Algorithms!$A:$A,0)),0)</f>
        <v>0</v>
      </c>
      <c r="CU593" s="266">
        <f t="shared" ca="1" si="401"/>
        <v>0</v>
      </c>
      <c r="CV593" s="266">
        <f t="shared" ca="1" si="402"/>
        <v>0</v>
      </c>
      <c r="CW593" s="266">
        <f t="shared" ca="1" si="403"/>
        <v>0</v>
      </c>
      <c r="CX593" s="266">
        <f t="shared" ca="1" si="404"/>
        <v>0</v>
      </c>
    </row>
    <row r="594" spans="2:102" s="47" customFormat="1" ht="18" customHeight="1" x14ac:dyDescent="0.25">
      <c r="B594" t="str">
        <f t="shared" si="405"/>
        <v>NSG_Income Eligible_Single Family_CBA_Advanced Thermostat_Boiler (Replace Programmable)_SF</v>
      </c>
      <c r="C594" s="47" t="str">
        <f t="shared" si="366"/>
        <v>Advanced Thermostat_Boiler (Replace Programmable)_SF</v>
      </c>
      <c r="D594" s="270" t="s">
        <v>1787</v>
      </c>
      <c r="E594" s="270" t="s">
        <v>325</v>
      </c>
      <c r="F594" s="270" t="s">
        <v>375</v>
      </c>
      <c r="G594" s="270" t="s">
        <v>1809</v>
      </c>
      <c r="H594" s="270" t="s">
        <v>7</v>
      </c>
      <c r="I594" s="270" t="s">
        <v>1052</v>
      </c>
      <c r="J594" s="270" t="s">
        <v>409</v>
      </c>
      <c r="K594" s="263">
        <v>1</v>
      </c>
      <c r="L594" s="263" t="str">
        <f ca="1">IFERROR(INDEX(Algorithms!J:J,MATCH($C594&amp;"_Therm Saved per Unit",Algorithms!$A:$A,0)),"n/a")</f>
        <v>5.3.16</v>
      </c>
      <c r="M594" s="263">
        <f>IFERROR(INDEX('Measure Level Detail'!$N:$N,MATCH($B594,'Measure Level Detail'!$B:$B,0)),0)</f>
        <v>0</v>
      </c>
      <c r="N594" s="271">
        <f>IFERROR(INDEX('Measure Level Detail'!$P:$P,MATCH($B594&amp;"_"&amp;N$3,'Measure Level Detail'!$C:$C,0)),0)</f>
        <v>0</v>
      </c>
      <c r="O594" s="271">
        <f>IFERROR(INDEX('Measure Level Detail'!$P:$P,MATCH($B594&amp;"_"&amp;O$3,'Measure Level Detail'!$C:$C,0)),0)</f>
        <v>0</v>
      </c>
      <c r="P594" s="271">
        <f>IFERROR(INDEX('Measure Level Detail'!$P:$P,MATCH($B594&amp;"_"&amp;P$3,'Measure Level Detail'!$C:$C,0)),0)</f>
        <v>0</v>
      </c>
      <c r="Q594" s="271">
        <f>IFERROR(INDEX('Measure Level Detail'!$P:$P,MATCH($B594&amp;"_"&amp;Q$3,'Measure Level Detail'!$C:$C,0)),0)</f>
        <v>0</v>
      </c>
      <c r="R594" s="263" t="str">
        <f ca="1">IFERROR(INDEX(Algorithms!K:K,MATCH($C594&amp;"_Therm Saved per Unit",Algorithms!$A:$A,0)),"n/a")</f>
        <v>RS-HVC-ADTH-V09-240101</v>
      </c>
      <c r="S594" s="262"/>
      <c r="T594" s="272">
        <v>108.40499999999999</v>
      </c>
      <c r="U594" s="272">
        <v>108.40499999999999</v>
      </c>
      <c r="V594" s="272">
        <v>108.40499999999999</v>
      </c>
      <c r="W594" s="272">
        <v>108.40499999999999</v>
      </c>
      <c r="X594" s="273">
        <f>IFERROR(INDEX('Measure Level Detail'!$R:$R,MATCH($B594&amp;"_"&amp;X$3,'Measure Level Detail'!$C:$C,0)),0)</f>
        <v>0</v>
      </c>
      <c r="Y594" s="273">
        <f>IFERROR(INDEX('Measure Level Detail'!$R:$R,MATCH($B594&amp;"_"&amp;Y$3,'Measure Level Detail'!$C:$C,0)),0)</f>
        <v>0</v>
      </c>
      <c r="Z594" s="273">
        <f>IFERROR(INDEX('Measure Level Detail'!$R:$R,MATCH($B594&amp;"_"&amp;Z$3,'Measure Level Detail'!$C:$C,0)),0)</f>
        <v>0</v>
      </c>
      <c r="AA594" s="273">
        <f>IFERROR(INDEX('Measure Level Detail'!$R:$R,MATCH($B594&amp;"_"&amp;AA$3,'Measure Level Detail'!$C:$C,0)),0)</f>
        <v>0</v>
      </c>
      <c r="AB594" s="266">
        <f t="shared" si="367"/>
        <v>0</v>
      </c>
      <c r="AC594" s="266">
        <f t="shared" si="368"/>
        <v>0</v>
      </c>
      <c r="AD594" s="266">
        <f t="shared" si="369"/>
        <v>0</v>
      </c>
      <c r="AE594" s="266">
        <f t="shared" si="370"/>
        <v>0</v>
      </c>
      <c r="AF594" s="266">
        <f t="shared" si="371"/>
        <v>0</v>
      </c>
      <c r="AG594" s="274">
        <v>0</v>
      </c>
      <c r="AH594" s="274">
        <v>0</v>
      </c>
      <c r="AI594" s="274">
        <v>0</v>
      </c>
      <c r="AJ594" s="274">
        <v>0</v>
      </c>
      <c r="AK594" s="274">
        <f t="shared" si="372"/>
        <v>0</v>
      </c>
      <c r="AL594" s="274">
        <f t="shared" si="373"/>
        <v>0</v>
      </c>
      <c r="AM594" s="274">
        <f t="shared" si="374"/>
        <v>0</v>
      </c>
      <c r="AN594" s="274">
        <f t="shared" si="375"/>
        <v>0</v>
      </c>
      <c r="AO594" s="262"/>
      <c r="AP594" s="262"/>
      <c r="AQ594" s="267">
        <v>105.43499999999999</v>
      </c>
      <c r="AR594" s="262"/>
      <c r="AS594" s="266">
        <f t="shared" si="376"/>
        <v>0</v>
      </c>
      <c r="AT594" s="264">
        <f t="shared" si="377"/>
        <v>0</v>
      </c>
      <c r="AU594" s="262"/>
      <c r="AV594" s="262"/>
      <c r="AW594" s="265">
        <v>105.43499999999999</v>
      </c>
      <c r="AX594" s="164" t="s">
        <v>1469</v>
      </c>
      <c r="AY594" s="266">
        <v>0</v>
      </c>
      <c r="AZ594" s="266">
        <f t="shared" si="378"/>
        <v>0</v>
      </c>
      <c r="BA594" s="264">
        <f t="shared" si="379"/>
        <v>0</v>
      </c>
      <c r="BB594" s="262"/>
      <c r="BC594" s="262"/>
      <c r="BD594" s="265">
        <f ca="1">IFERROR(INDEX(Algorithms!$G:$G,MATCH($C594&amp;"_Therm Saved per Unit",Algorithms!$A:$A,0)),0)</f>
        <v>105.43499999999999</v>
      </c>
      <c r="BE594" s="164" t="str">
        <f ca="1">IFERROR(INDEX('v12 Revisions'!$P$29:$P$186, MATCH('Measure-Level Adj Gas'!$L594, 'v12 Revisions'!$D$29:$D$186,0)),"")</f>
        <v>n/a - FLH not in fossil fuel energy savings algorithm.</v>
      </c>
      <c r="BF594" s="266">
        <f t="shared" ca="1" si="380"/>
        <v>0</v>
      </c>
      <c r="BG594" s="264">
        <f t="shared" ca="1" si="381"/>
        <v>0</v>
      </c>
      <c r="BH594" s="262"/>
      <c r="BI594" s="262"/>
      <c r="BJ594" s="265">
        <f ca="1">IFERROR(INDEX(Algorithms!$G:$G,MATCH($C594&amp;"_Therm Saved per Unit",Algorithms!$A:$A,0)),0)</f>
        <v>105.43499999999999</v>
      </c>
      <c r="BK594" s="164"/>
      <c r="BL594" s="266">
        <f t="shared" ca="1" si="382"/>
        <v>0</v>
      </c>
      <c r="BM594" s="264">
        <f t="shared" ca="1" si="383"/>
        <v>0</v>
      </c>
      <c r="BN594" s="266">
        <f t="shared" si="384"/>
        <v>0</v>
      </c>
      <c r="BO594" s="266">
        <f t="shared" si="385"/>
        <v>0</v>
      </c>
      <c r="BP594" s="266">
        <f t="shared" ca="1" si="386"/>
        <v>0</v>
      </c>
      <c r="BQ594" s="266">
        <f t="shared" ca="1" si="387"/>
        <v>0</v>
      </c>
      <c r="BR594" s="268">
        <f t="shared" ca="1" si="388"/>
        <v>0</v>
      </c>
      <c r="BS594" s="262" t="s">
        <v>99</v>
      </c>
      <c r="BT594" s="277"/>
      <c r="BW594" s="266">
        <f t="shared" si="389"/>
        <v>0</v>
      </c>
      <c r="BX594" s="266">
        <f t="shared" si="390"/>
        <v>0</v>
      </c>
      <c r="BY594" s="266">
        <f t="shared" si="391"/>
        <v>0</v>
      </c>
      <c r="BZ594" s="266">
        <f t="shared" si="392"/>
        <v>0</v>
      </c>
      <c r="CA594" s="266">
        <f ca="1">N594*IFERROR(INDEX(Algorithms!$G:$G,MATCH($C594&amp;"_Therm Saved per Unit- MLA",Algorithms!$A:$A,0)),0)*X594</f>
        <v>0</v>
      </c>
      <c r="CB594" s="266">
        <f ca="1">O594*IFERROR(INDEX(Algorithms!$G:$G,MATCH($C594&amp;"_Therm Saved per Unit- MLA",Algorithms!$A:$A,0)),0)*Y594</f>
        <v>0</v>
      </c>
      <c r="CC594" s="266">
        <f ca="1">P594*IFERROR(INDEX(Algorithms!$G:$G,MATCH($C594&amp;"_Therm Saved per Unit- MLA",Algorithms!$A:$A,0)),0)*Z594</f>
        <v>0</v>
      </c>
      <c r="CD594" s="266">
        <f ca="1">Q594*IFERROR(INDEX(Algorithms!$G:$G,MATCH($C594&amp;"_Therm Saved per Unit- MLA",Algorithms!$A:$A,0)),0)*AA594</f>
        <v>0</v>
      </c>
      <c r="CE594" s="266">
        <f ca="1">IFERROR(INDEX(Algorithms!$G:$G,MATCH($C594&amp;"_Lifetime (years)",Algorithms!$A:$A,0)),0)</f>
        <v>11</v>
      </c>
      <c r="CF594" s="266">
        <f ca="1">IFERROR(INDEX(Algorithms!$G:$G,MATCH($C594&amp;"_Lifetime (years) - Remaining Years",Algorithms!$A:$A,0)),0)</f>
        <v>0</v>
      </c>
      <c r="CG594" s="266">
        <f t="shared" ca="1" si="393"/>
        <v>0</v>
      </c>
      <c r="CH594" s="266">
        <f t="shared" ca="1" si="394"/>
        <v>0</v>
      </c>
      <c r="CI594" s="266">
        <f t="shared" ca="1" si="395"/>
        <v>0</v>
      </c>
      <c r="CJ594" s="266">
        <f t="shared" ca="1" si="396"/>
        <v>0</v>
      </c>
      <c r="CK594" s="266">
        <f t="shared" si="397"/>
        <v>0</v>
      </c>
      <c r="CL594" s="266">
        <f t="shared" si="398"/>
        <v>0</v>
      </c>
      <c r="CM594" s="266">
        <f t="shared" ca="1" si="399"/>
        <v>0</v>
      </c>
      <c r="CN594" s="266">
        <f t="shared" ca="1" si="400"/>
        <v>0</v>
      </c>
      <c r="CO594" s="266">
        <f ca="1">N594*IFERROR(INDEX(Algorithms!$G:$G,MATCH($C594&amp;"_Therm Saved per Unit- MLA",Algorithms!$A:$A,0)),0)*X594</f>
        <v>0</v>
      </c>
      <c r="CP594" s="266">
        <f ca="1">O594*IFERROR(INDEX(Algorithms!$G:$G,MATCH($C594&amp;"_Therm Saved per Unit- MLA",Algorithms!$A:$A,0)),0)*Y594</f>
        <v>0</v>
      </c>
      <c r="CQ594" s="266">
        <f ca="1">P594*IFERROR(INDEX(Algorithms!$G:$G,MATCH($C594&amp;"_Therm Saved per Unit- MLA",Algorithms!$A:$A,0)),0)*Z594</f>
        <v>0</v>
      </c>
      <c r="CR594" s="266">
        <f ca="1">Q594*IFERROR(INDEX(Algorithms!$G:$G,MATCH($C594&amp;"_Therm Saved per Unit- MLA",Algorithms!$A:$A,0)),0)*AA594</f>
        <v>0</v>
      </c>
      <c r="CS594" s="266">
        <f ca="1">IFERROR(INDEX(Algorithms!$G:$G,MATCH($C594&amp;"_Lifetime (years)",Algorithms!$A:$A,0)),0)</f>
        <v>11</v>
      </c>
      <c r="CT594" s="266">
        <f ca="1">IFERROR(INDEX(Algorithms!$G:$G,MATCH($C594&amp;"_Lifetime (years) - Remaining Years",Algorithms!$A:$A,0)),0)</f>
        <v>0</v>
      </c>
      <c r="CU594" s="266">
        <f t="shared" ca="1" si="401"/>
        <v>0</v>
      </c>
      <c r="CV594" s="266">
        <f t="shared" ca="1" si="402"/>
        <v>0</v>
      </c>
      <c r="CW594" s="266">
        <f t="shared" ca="1" si="403"/>
        <v>0</v>
      </c>
      <c r="CX594" s="266">
        <f t="shared" ca="1" si="404"/>
        <v>0</v>
      </c>
    </row>
    <row r="595" spans="2:102" s="47" customFormat="1" ht="18" customHeight="1" x14ac:dyDescent="0.25">
      <c r="B595" t="str">
        <f t="shared" si="405"/>
        <v>NSG_Income Eligible_Single Family_CBA_Thermostat - Reprogram_Furnace (DI)_SF</v>
      </c>
      <c r="C595" s="47" t="str">
        <f t="shared" si="366"/>
        <v>Thermostat - Reprogram_Furnace (DI)_SF</v>
      </c>
      <c r="D595" s="270" t="s">
        <v>1787</v>
      </c>
      <c r="E595" s="270" t="s">
        <v>325</v>
      </c>
      <c r="F595" s="270" t="s">
        <v>375</v>
      </c>
      <c r="G595" s="270" t="s">
        <v>1809</v>
      </c>
      <c r="H595" s="270" t="s">
        <v>1055</v>
      </c>
      <c r="I595" s="270" t="s">
        <v>1038</v>
      </c>
      <c r="J595" s="270" t="s">
        <v>409</v>
      </c>
      <c r="K595" s="263">
        <v>1</v>
      </c>
      <c r="L595" s="263" t="str">
        <f ca="1">IFERROR(INDEX(Algorithms!J:J,MATCH($C595&amp;"_Therm Saved per Unit",Algorithms!$A:$A,0)),"n/a")</f>
        <v>5.3.11</v>
      </c>
      <c r="M595" s="263">
        <f>IFERROR(INDEX('Measure Level Detail'!$N:$N,MATCH($B595,'Measure Level Detail'!$B:$B,0)),0)</f>
        <v>0</v>
      </c>
      <c r="N595" s="271">
        <f>IFERROR(INDEX('Measure Level Detail'!$P:$P,MATCH($B595&amp;"_"&amp;N$3,'Measure Level Detail'!$C:$C,0)),0)</f>
        <v>0</v>
      </c>
      <c r="O595" s="271">
        <f>IFERROR(INDEX('Measure Level Detail'!$P:$P,MATCH($B595&amp;"_"&amp;O$3,'Measure Level Detail'!$C:$C,0)),0)</f>
        <v>0</v>
      </c>
      <c r="P595" s="271">
        <f>IFERROR(INDEX('Measure Level Detail'!$P:$P,MATCH($B595&amp;"_"&amp;P$3,'Measure Level Detail'!$C:$C,0)),0)</f>
        <v>0</v>
      </c>
      <c r="Q595" s="271">
        <f>IFERROR(INDEX('Measure Level Detail'!$P:$P,MATCH($B595&amp;"_"&amp;Q$3,'Measure Level Detail'!$C:$C,0)),0)</f>
        <v>0</v>
      </c>
      <c r="R595" s="263" t="str">
        <f ca="1">IFERROR(INDEX(Algorithms!K:K,MATCH($C595&amp;"_Therm Saved per Unit",Algorithms!$A:$A,0)),"n/a")</f>
        <v>RS-HVC-PROG-V08-220101</v>
      </c>
      <c r="S595" s="262"/>
      <c r="T595" s="272">
        <v>62.31</v>
      </c>
      <c r="U595" s="272">
        <v>62.31</v>
      </c>
      <c r="V595" s="272">
        <v>62.31</v>
      </c>
      <c r="W595" s="272">
        <v>62.31</v>
      </c>
      <c r="X595" s="273">
        <f>IFERROR(INDEX('Measure Level Detail'!$R:$R,MATCH($B595&amp;"_"&amp;X$3,'Measure Level Detail'!$C:$C,0)),0)</f>
        <v>0</v>
      </c>
      <c r="Y595" s="273">
        <f>IFERROR(INDEX('Measure Level Detail'!$R:$R,MATCH($B595&amp;"_"&amp;Y$3,'Measure Level Detail'!$C:$C,0)),0)</f>
        <v>0</v>
      </c>
      <c r="Z595" s="273">
        <f>IFERROR(INDEX('Measure Level Detail'!$R:$R,MATCH($B595&amp;"_"&amp;Z$3,'Measure Level Detail'!$C:$C,0)),0)</f>
        <v>0</v>
      </c>
      <c r="AA595" s="273">
        <f>IFERROR(INDEX('Measure Level Detail'!$R:$R,MATCH($B595&amp;"_"&amp;AA$3,'Measure Level Detail'!$C:$C,0)),0)</f>
        <v>0</v>
      </c>
      <c r="AB595" s="266">
        <f t="shared" si="367"/>
        <v>0</v>
      </c>
      <c r="AC595" s="266">
        <f t="shared" si="368"/>
        <v>0</v>
      </c>
      <c r="AD595" s="266">
        <f t="shared" si="369"/>
        <v>0</v>
      </c>
      <c r="AE595" s="266">
        <f t="shared" si="370"/>
        <v>0</v>
      </c>
      <c r="AF595" s="266">
        <f t="shared" si="371"/>
        <v>0</v>
      </c>
      <c r="AG595" s="274">
        <v>0</v>
      </c>
      <c r="AH595" s="274">
        <v>0</v>
      </c>
      <c r="AI595" s="274">
        <v>0</v>
      </c>
      <c r="AJ595" s="274">
        <v>0</v>
      </c>
      <c r="AK595" s="274">
        <f t="shared" si="372"/>
        <v>0</v>
      </c>
      <c r="AL595" s="274">
        <f t="shared" si="373"/>
        <v>0</v>
      </c>
      <c r="AM595" s="274">
        <f t="shared" si="374"/>
        <v>0</v>
      </c>
      <c r="AN595" s="274">
        <f t="shared" si="375"/>
        <v>0</v>
      </c>
      <c r="AO595" s="262"/>
      <c r="AP595" s="262"/>
      <c r="AQ595" s="267">
        <v>62.31</v>
      </c>
      <c r="AR595" s="262"/>
      <c r="AS595" s="266">
        <f t="shared" si="376"/>
        <v>0</v>
      </c>
      <c r="AT595" s="264">
        <f t="shared" si="377"/>
        <v>0</v>
      </c>
      <c r="AU595" s="262"/>
      <c r="AV595" s="262"/>
      <c r="AW595" s="265">
        <v>62.31</v>
      </c>
      <c r="AX595" s="164" t="s">
        <v>1469</v>
      </c>
      <c r="AY595" s="266">
        <v>0</v>
      </c>
      <c r="AZ595" s="266">
        <f t="shared" si="378"/>
        <v>0</v>
      </c>
      <c r="BA595" s="264">
        <f t="shared" si="379"/>
        <v>0</v>
      </c>
      <c r="BB595" s="262"/>
      <c r="BC595" s="262"/>
      <c r="BD595" s="265">
        <f ca="1">IFERROR(INDEX(Algorithms!$G:$G,MATCH($C595&amp;"_Therm Saved per Unit",Algorithms!$A:$A,0)),0)</f>
        <v>62.31</v>
      </c>
      <c r="BE595" s="164" t="str">
        <f ca="1">IFERROR(INDEX('v12 Revisions'!$P$29:$P$186, MATCH('Measure-Level Adj Gas'!$L595, 'v12 Revisions'!$D$29:$D$186,0)),"")</f>
        <v/>
      </c>
      <c r="BF595" s="266">
        <f t="shared" ca="1" si="380"/>
        <v>0</v>
      </c>
      <c r="BG595" s="264">
        <f t="shared" ca="1" si="381"/>
        <v>0</v>
      </c>
      <c r="BH595" s="262"/>
      <c r="BI595" s="262"/>
      <c r="BJ595" s="265">
        <f ca="1">IFERROR(INDEX(Algorithms!$G:$G,MATCH($C595&amp;"_Therm Saved per Unit",Algorithms!$A:$A,0)),0)</f>
        <v>62.31</v>
      </c>
      <c r="BK595" s="164"/>
      <c r="BL595" s="266">
        <f t="shared" ca="1" si="382"/>
        <v>0</v>
      </c>
      <c r="BM595" s="264">
        <f t="shared" ca="1" si="383"/>
        <v>0</v>
      </c>
      <c r="BN595" s="266">
        <f t="shared" si="384"/>
        <v>0</v>
      </c>
      <c r="BO595" s="266">
        <f t="shared" si="385"/>
        <v>0</v>
      </c>
      <c r="BP595" s="266">
        <f t="shared" ca="1" si="386"/>
        <v>0</v>
      </c>
      <c r="BQ595" s="266">
        <f t="shared" ca="1" si="387"/>
        <v>0</v>
      </c>
      <c r="BR595" s="268">
        <f t="shared" ca="1" si="388"/>
        <v>0</v>
      </c>
      <c r="BS595" s="262" t="s">
        <v>99</v>
      </c>
      <c r="BT595" s="277"/>
      <c r="BW595" s="266">
        <f t="shared" si="389"/>
        <v>0</v>
      </c>
      <c r="BX595" s="266">
        <f t="shared" si="390"/>
        <v>0</v>
      </c>
      <c r="BY595" s="266">
        <f t="shared" si="391"/>
        <v>0</v>
      </c>
      <c r="BZ595" s="266">
        <f t="shared" si="392"/>
        <v>0</v>
      </c>
      <c r="CA595" s="266">
        <f ca="1">N595*IFERROR(INDEX(Algorithms!$G:$G,MATCH($C595&amp;"_Therm Saved per Unit- MLA",Algorithms!$A:$A,0)),0)*X595</f>
        <v>0</v>
      </c>
      <c r="CB595" s="266">
        <f ca="1">O595*IFERROR(INDEX(Algorithms!$G:$G,MATCH($C595&amp;"_Therm Saved per Unit- MLA",Algorithms!$A:$A,0)),0)*Y595</f>
        <v>0</v>
      </c>
      <c r="CC595" s="266">
        <f ca="1">P595*IFERROR(INDEX(Algorithms!$G:$G,MATCH($C595&amp;"_Therm Saved per Unit- MLA",Algorithms!$A:$A,0)),0)*Z595</f>
        <v>0</v>
      </c>
      <c r="CD595" s="266">
        <f ca="1">Q595*IFERROR(INDEX(Algorithms!$G:$G,MATCH($C595&amp;"_Therm Saved per Unit- MLA",Algorithms!$A:$A,0)),0)*AA595</f>
        <v>0</v>
      </c>
      <c r="CE595" s="266">
        <f ca="1">IFERROR(INDEX(Algorithms!$G:$G,MATCH($C595&amp;"_Lifetime (years)",Algorithms!$A:$A,0)),0)</f>
        <v>2</v>
      </c>
      <c r="CF595" s="266">
        <f ca="1">IFERROR(INDEX(Algorithms!$G:$G,MATCH($C595&amp;"_Lifetime (years) - Remaining Years",Algorithms!$A:$A,0)),0)</f>
        <v>0</v>
      </c>
      <c r="CG595" s="266">
        <f t="shared" ca="1" si="393"/>
        <v>0</v>
      </c>
      <c r="CH595" s="266">
        <f t="shared" ca="1" si="394"/>
        <v>0</v>
      </c>
      <c r="CI595" s="266">
        <f t="shared" ca="1" si="395"/>
        <v>0</v>
      </c>
      <c r="CJ595" s="266">
        <f t="shared" ca="1" si="396"/>
        <v>0</v>
      </c>
      <c r="CK595" s="266">
        <f t="shared" si="397"/>
        <v>0</v>
      </c>
      <c r="CL595" s="266">
        <f t="shared" si="398"/>
        <v>0</v>
      </c>
      <c r="CM595" s="266">
        <f t="shared" ca="1" si="399"/>
        <v>0</v>
      </c>
      <c r="CN595" s="266">
        <f t="shared" ca="1" si="400"/>
        <v>0</v>
      </c>
      <c r="CO595" s="266">
        <f ca="1">N595*IFERROR(INDEX(Algorithms!$G:$G,MATCH($C595&amp;"_Therm Saved per Unit- MLA",Algorithms!$A:$A,0)),0)*X595</f>
        <v>0</v>
      </c>
      <c r="CP595" s="266">
        <f ca="1">O595*IFERROR(INDEX(Algorithms!$G:$G,MATCH($C595&amp;"_Therm Saved per Unit- MLA",Algorithms!$A:$A,0)),0)*Y595</f>
        <v>0</v>
      </c>
      <c r="CQ595" s="266">
        <f ca="1">P595*IFERROR(INDEX(Algorithms!$G:$G,MATCH($C595&amp;"_Therm Saved per Unit- MLA",Algorithms!$A:$A,0)),0)*Z595</f>
        <v>0</v>
      </c>
      <c r="CR595" s="266">
        <f ca="1">Q595*IFERROR(INDEX(Algorithms!$G:$G,MATCH($C595&amp;"_Therm Saved per Unit- MLA",Algorithms!$A:$A,0)),0)*AA595</f>
        <v>0</v>
      </c>
      <c r="CS595" s="266">
        <f ca="1">IFERROR(INDEX(Algorithms!$G:$G,MATCH($C595&amp;"_Lifetime (years)",Algorithms!$A:$A,0)),0)</f>
        <v>2</v>
      </c>
      <c r="CT595" s="266">
        <f ca="1">IFERROR(INDEX(Algorithms!$G:$G,MATCH($C595&amp;"_Lifetime (years) - Remaining Years",Algorithms!$A:$A,0)),0)</f>
        <v>0</v>
      </c>
      <c r="CU595" s="266">
        <f t="shared" ca="1" si="401"/>
        <v>0</v>
      </c>
      <c r="CV595" s="266">
        <f t="shared" ca="1" si="402"/>
        <v>0</v>
      </c>
      <c r="CW595" s="266">
        <f t="shared" ca="1" si="403"/>
        <v>0</v>
      </c>
      <c r="CX595" s="266">
        <f t="shared" ca="1" si="404"/>
        <v>0</v>
      </c>
    </row>
    <row r="596" spans="2:102" s="47" customFormat="1" ht="18" customHeight="1" x14ac:dyDescent="0.25">
      <c r="B596" t="str">
        <f t="shared" si="405"/>
        <v>NSG_Income Eligible_Single Family_CBA_Thermostat - Reprogram_Boiler (DI)_SF</v>
      </c>
      <c r="C596" s="47" t="str">
        <f t="shared" si="366"/>
        <v>Thermostat - Reprogram_Boiler (DI)_SF</v>
      </c>
      <c r="D596" s="270" t="s">
        <v>1787</v>
      </c>
      <c r="E596" s="270" t="s">
        <v>325</v>
      </c>
      <c r="F596" s="270" t="s">
        <v>375</v>
      </c>
      <c r="G596" s="270" t="s">
        <v>1809</v>
      </c>
      <c r="H596" s="270" t="s">
        <v>1055</v>
      </c>
      <c r="I596" s="270" t="s">
        <v>1045</v>
      </c>
      <c r="J596" s="270" t="s">
        <v>409</v>
      </c>
      <c r="K596" s="263">
        <v>1</v>
      </c>
      <c r="L596" s="263" t="str">
        <f ca="1">IFERROR(INDEX(Algorithms!J:J,MATCH($C596&amp;"_Therm Saved per Unit",Algorithms!$A:$A,0)),"n/a")</f>
        <v>5.3.11</v>
      </c>
      <c r="M596" s="263">
        <f>IFERROR(INDEX('Measure Level Detail'!$N:$N,MATCH($B596,'Measure Level Detail'!$B:$B,0)),0)</f>
        <v>0</v>
      </c>
      <c r="N596" s="271">
        <f>IFERROR(INDEX('Measure Level Detail'!$P:$P,MATCH($B596&amp;"_"&amp;N$3,'Measure Level Detail'!$C:$C,0)),0)</f>
        <v>0</v>
      </c>
      <c r="O596" s="271">
        <f>IFERROR(INDEX('Measure Level Detail'!$P:$P,MATCH($B596&amp;"_"&amp;O$3,'Measure Level Detail'!$C:$C,0)),0)</f>
        <v>0</v>
      </c>
      <c r="P596" s="271">
        <f>IFERROR(INDEX('Measure Level Detail'!$P:$P,MATCH($B596&amp;"_"&amp;P$3,'Measure Level Detail'!$C:$C,0)),0)</f>
        <v>0</v>
      </c>
      <c r="Q596" s="271">
        <f>IFERROR(INDEX('Measure Level Detail'!$P:$P,MATCH($B596&amp;"_"&amp;Q$3,'Measure Level Detail'!$C:$C,0)),0)</f>
        <v>0</v>
      </c>
      <c r="R596" s="263" t="str">
        <f ca="1">IFERROR(INDEX(Algorithms!K:K,MATCH($C596&amp;"_Therm Saved per Unit",Algorithms!$A:$A,0)),"n/a")</f>
        <v>RS-HVC-PROG-V08-220101</v>
      </c>
      <c r="S596" s="262"/>
      <c r="T596" s="272">
        <v>92.194000000000003</v>
      </c>
      <c r="U596" s="272">
        <v>92.194000000000003</v>
      </c>
      <c r="V596" s="272">
        <v>92.194000000000003</v>
      </c>
      <c r="W596" s="272">
        <v>92.194000000000003</v>
      </c>
      <c r="X596" s="273">
        <f>IFERROR(INDEX('Measure Level Detail'!$R:$R,MATCH($B596&amp;"_"&amp;X$3,'Measure Level Detail'!$C:$C,0)),0)</f>
        <v>0</v>
      </c>
      <c r="Y596" s="273">
        <f>IFERROR(INDEX('Measure Level Detail'!$R:$R,MATCH($B596&amp;"_"&amp;Y$3,'Measure Level Detail'!$C:$C,0)),0)</f>
        <v>0</v>
      </c>
      <c r="Z596" s="273">
        <f>IFERROR(INDEX('Measure Level Detail'!$R:$R,MATCH($B596&amp;"_"&amp;Z$3,'Measure Level Detail'!$C:$C,0)),0)</f>
        <v>0</v>
      </c>
      <c r="AA596" s="273">
        <f>IFERROR(INDEX('Measure Level Detail'!$R:$R,MATCH($B596&amp;"_"&amp;AA$3,'Measure Level Detail'!$C:$C,0)),0)</f>
        <v>0</v>
      </c>
      <c r="AB596" s="266">
        <f t="shared" si="367"/>
        <v>0</v>
      </c>
      <c r="AC596" s="266">
        <f t="shared" si="368"/>
        <v>0</v>
      </c>
      <c r="AD596" s="266">
        <f t="shared" si="369"/>
        <v>0</v>
      </c>
      <c r="AE596" s="266">
        <f t="shared" si="370"/>
        <v>0</v>
      </c>
      <c r="AF596" s="266">
        <f t="shared" si="371"/>
        <v>0</v>
      </c>
      <c r="AG596" s="274">
        <v>0</v>
      </c>
      <c r="AH596" s="274">
        <v>0</v>
      </c>
      <c r="AI596" s="274">
        <v>0</v>
      </c>
      <c r="AJ596" s="274">
        <v>0</v>
      </c>
      <c r="AK596" s="274">
        <f t="shared" si="372"/>
        <v>0</v>
      </c>
      <c r="AL596" s="274">
        <f t="shared" si="373"/>
        <v>0</v>
      </c>
      <c r="AM596" s="274">
        <f t="shared" si="374"/>
        <v>0</v>
      </c>
      <c r="AN596" s="274">
        <f t="shared" si="375"/>
        <v>0</v>
      </c>
      <c r="AO596" s="262"/>
      <c r="AP596" s="262"/>
      <c r="AQ596" s="267">
        <v>92.194000000000003</v>
      </c>
      <c r="AR596" s="262"/>
      <c r="AS596" s="266">
        <f t="shared" si="376"/>
        <v>0</v>
      </c>
      <c r="AT596" s="264">
        <f t="shared" si="377"/>
        <v>0</v>
      </c>
      <c r="AU596" s="262"/>
      <c r="AV596" s="262"/>
      <c r="AW596" s="265">
        <v>92.194000000000003</v>
      </c>
      <c r="AX596" s="164" t="s">
        <v>1469</v>
      </c>
      <c r="AY596" s="266">
        <v>0</v>
      </c>
      <c r="AZ596" s="266">
        <f t="shared" si="378"/>
        <v>0</v>
      </c>
      <c r="BA596" s="264">
        <f t="shared" si="379"/>
        <v>0</v>
      </c>
      <c r="BB596" s="262"/>
      <c r="BC596" s="262"/>
      <c r="BD596" s="265">
        <f ca="1">IFERROR(INDEX(Algorithms!$G:$G,MATCH($C596&amp;"_Therm Saved per Unit",Algorithms!$A:$A,0)),0)</f>
        <v>92.194000000000003</v>
      </c>
      <c r="BE596" s="164" t="str">
        <f ca="1">IFERROR(INDEX('v12 Revisions'!$P$29:$P$186, MATCH('Measure-Level Adj Gas'!$L596, 'v12 Revisions'!$D$29:$D$186,0)),"")</f>
        <v/>
      </c>
      <c r="BF596" s="266">
        <f t="shared" ca="1" si="380"/>
        <v>0</v>
      </c>
      <c r="BG596" s="264">
        <f t="shared" ca="1" si="381"/>
        <v>0</v>
      </c>
      <c r="BH596" s="262"/>
      <c r="BI596" s="262"/>
      <c r="BJ596" s="265">
        <f ca="1">IFERROR(INDEX(Algorithms!$G:$G,MATCH($C596&amp;"_Therm Saved per Unit",Algorithms!$A:$A,0)),0)</f>
        <v>92.194000000000003</v>
      </c>
      <c r="BK596" s="164"/>
      <c r="BL596" s="266">
        <f t="shared" ca="1" si="382"/>
        <v>0</v>
      </c>
      <c r="BM596" s="264">
        <f t="shared" ca="1" si="383"/>
        <v>0</v>
      </c>
      <c r="BN596" s="266">
        <f t="shared" si="384"/>
        <v>0</v>
      </c>
      <c r="BO596" s="266">
        <f t="shared" si="385"/>
        <v>0</v>
      </c>
      <c r="BP596" s="266">
        <f t="shared" ca="1" si="386"/>
        <v>0</v>
      </c>
      <c r="BQ596" s="266">
        <f t="shared" ca="1" si="387"/>
        <v>0</v>
      </c>
      <c r="BR596" s="268">
        <f t="shared" ca="1" si="388"/>
        <v>0</v>
      </c>
      <c r="BS596" s="262" t="s">
        <v>99</v>
      </c>
      <c r="BT596" s="277"/>
      <c r="BW596" s="266">
        <f t="shared" si="389"/>
        <v>0</v>
      </c>
      <c r="BX596" s="266">
        <f t="shared" si="390"/>
        <v>0</v>
      </c>
      <c r="BY596" s="266">
        <f t="shared" si="391"/>
        <v>0</v>
      </c>
      <c r="BZ596" s="266">
        <f t="shared" si="392"/>
        <v>0</v>
      </c>
      <c r="CA596" s="266">
        <f ca="1">N596*IFERROR(INDEX(Algorithms!$G:$G,MATCH($C596&amp;"_Therm Saved per Unit- MLA",Algorithms!$A:$A,0)),0)*X596</f>
        <v>0</v>
      </c>
      <c r="CB596" s="266">
        <f ca="1">O596*IFERROR(INDEX(Algorithms!$G:$G,MATCH($C596&amp;"_Therm Saved per Unit- MLA",Algorithms!$A:$A,0)),0)*Y596</f>
        <v>0</v>
      </c>
      <c r="CC596" s="266">
        <f ca="1">P596*IFERROR(INDEX(Algorithms!$G:$G,MATCH($C596&amp;"_Therm Saved per Unit- MLA",Algorithms!$A:$A,0)),0)*Z596</f>
        <v>0</v>
      </c>
      <c r="CD596" s="266">
        <f ca="1">Q596*IFERROR(INDEX(Algorithms!$G:$G,MATCH($C596&amp;"_Therm Saved per Unit- MLA",Algorithms!$A:$A,0)),0)*AA596</f>
        <v>0</v>
      </c>
      <c r="CE596" s="266">
        <f ca="1">IFERROR(INDEX(Algorithms!$G:$G,MATCH($C596&amp;"_Lifetime (years)",Algorithms!$A:$A,0)),0)</f>
        <v>2</v>
      </c>
      <c r="CF596" s="266">
        <f ca="1">IFERROR(INDEX(Algorithms!$G:$G,MATCH($C596&amp;"_Lifetime (years) - Remaining Years",Algorithms!$A:$A,0)),0)</f>
        <v>0</v>
      </c>
      <c r="CG596" s="266">
        <f t="shared" ca="1" si="393"/>
        <v>0</v>
      </c>
      <c r="CH596" s="266">
        <f t="shared" ca="1" si="394"/>
        <v>0</v>
      </c>
      <c r="CI596" s="266">
        <f t="shared" ca="1" si="395"/>
        <v>0</v>
      </c>
      <c r="CJ596" s="266">
        <f t="shared" ca="1" si="396"/>
        <v>0</v>
      </c>
      <c r="CK596" s="266">
        <f t="shared" si="397"/>
        <v>0</v>
      </c>
      <c r="CL596" s="266">
        <f t="shared" si="398"/>
        <v>0</v>
      </c>
      <c r="CM596" s="266">
        <f t="shared" ca="1" si="399"/>
        <v>0</v>
      </c>
      <c r="CN596" s="266">
        <f t="shared" ca="1" si="400"/>
        <v>0</v>
      </c>
      <c r="CO596" s="266">
        <f ca="1">N596*IFERROR(INDEX(Algorithms!$G:$G,MATCH($C596&amp;"_Therm Saved per Unit- MLA",Algorithms!$A:$A,0)),0)*X596</f>
        <v>0</v>
      </c>
      <c r="CP596" s="266">
        <f ca="1">O596*IFERROR(INDEX(Algorithms!$G:$G,MATCH($C596&amp;"_Therm Saved per Unit- MLA",Algorithms!$A:$A,0)),0)*Y596</f>
        <v>0</v>
      </c>
      <c r="CQ596" s="266">
        <f ca="1">P596*IFERROR(INDEX(Algorithms!$G:$G,MATCH($C596&amp;"_Therm Saved per Unit- MLA",Algorithms!$A:$A,0)),0)*Z596</f>
        <v>0</v>
      </c>
      <c r="CR596" s="266">
        <f ca="1">Q596*IFERROR(INDEX(Algorithms!$G:$G,MATCH($C596&amp;"_Therm Saved per Unit- MLA",Algorithms!$A:$A,0)),0)*AA596</f>
        <v>0</v>
      </c>
      <c r="CS596" s="266">
        <f ca="1">IFERROR(INDEX(Algorithms!$G:$G,MATCH($C596&amp;"_Lifetime (years)",Algorithms!$A:$A,0)),0)</f>
        <v>2</v>
      </c>
      <c r="CT596" s="266">
        <f ca="1">IFERROR(INDEX(Algorithms!$G:$G,MATCH($C596&amp;"_Lifetime (years) - Remaining Years",Algorithms!$A:$A,0)),0)</f>
        <v>0</v>
      </c>
      <c r="CU596" s="266">
        <f t="shared" ca="1" si="401"/>
        <v>0</v>
      </c>
      <c r="CV596" s="266">
        <f t="shared" ca="1" si="402"/>
        <v>0</v>
      </c>
      <c r="CW596" s="266">
        <f t="shared" ca="1" si="403"/>
        <v>0</v>
      </c>
      <c r="CX596" s="266">
        <f t="shared" ca="1" si="404"/>
        <v>0</v>
      </c>
    </row>
    <row r="597" spans="2:102" s="47" customFormat="1" ht="18" customHeight="1" x14ac:dyDescent="0.25">
      <c r="B597" t="str">
        <f t="shared" si="405"/>
        <v>NSG_Income Eligible_Single Family_CBA_Air Sealing_0_SF</v>
      </c>
      <c r="C597" s="47" t="str">
        <f t="shared" si="366"/>
        <v>Air Sealing_0_SF</v>
      </c>
      <c r="D597" s="270" t="s">
        <v>1787</v>
      </c>
      <c r="E597" s="270" t="s">
        <v>325</v>
      </c>
      <c r="F597" s="270" t="s">
        <v>375</v>
      </c>
      <c r="G597" s="270" t="s">
        <v>1809</v>
      </c>
      <c r="H597" s="270" t="s">
        <v>221</v>
      </c>
      <c r="I597" s="270">
        <v>0</v>
      </c>
      <c r="J597" s="270" t="s">
        <v>409</v>
      </c>
      <c r="K597" s="263">
        <v>1</v>
      </c>
      <c r="L597" s="263" t="str">
        <f ca="1">IFERROR(INDEX(Algorithms!J:J,MATCH($C597&amp;"_Therm Saved per Unit",Algorithms!$A:$A,0)),"n/a")</f>
        <v>5.6.1</v>
      </c>
      <c r="M597" s="263">
        <f>IFERROR(INDEX('Measure Level Detail'!$N:$N,MATCH($B597,'Measure Level Detail'!$B:$B,0)),0)</f>
        <v>0</v>
      </c>
      <c r="N597" s="271">
        <f>IFERROR(INDEX('Measure Level Detail'!$P:$P,MATCH($B597&amp;"_"&amp;N$3,'Measure Level Detail'!$C:$C,0)),0)</f>
        <v>0</v>
      </c>
      <c r="O597" s="271">
        <f>IFERROR(INDEX('Measure Level Detail'!$P:$P,MATCH($B597&amp;"_"&amp;O$3,'Measure Level Detail'!$C:$C,0)),0)</f>
        <v>0</v>
      </c>
      <c r="P597" s="271">
        <f>IFERROR(INDEX('Measure Level Detail'!$P:$P,MATCH($B597&amp;"_"&amp;P$3,'Measure Level Detail'!$C:$C,0)),0)</f>
        <v>0</v>
      </c>
      <c r="Q597" s="271">
        <f>IFERROR(INDEX('Measure Level Detail'!$P:$P,MATCH($B597&amp;"_"&amp;Q$3,'Measure Level Detail'!$C:$C,0)),0)</f>
        <v>0</v>
      </c>
      <c r="R597" s="263" t="str">
        <f ca="1">IFERROR(INDEX(Algorithms!K:K,MATCH($C597&amp;"_Therm Saved per Unit",Algorithms!$A:$A,0)),"n/a")</f>
        <v>RS-SHL-AIRS-V13-240101</v>
      </c>
      <c r="S597" s="262"/>
      <c r="T597" s="272">
        <v>8.7236018957345965E-2</v>
      </c>
      <c r="U597" s="272">
        <v>8.7236018957345965E-2</v>
      </c>
      <c r="V597" s="272">
        <v>8.7236018957345965E-2</v>
      </c>
      <c r="W597" s="272">
        <v>8.7236018957345965E-2</v>
      </c>
      <c r="X597" s="273">
        <f>IFERROR(INDEX('Measure Level Detail'!$R:$R,MATCH($B597&amp;"_"&amp;X$3,'Measure Level Detail'!$C:$C,0)),0)</f>
        <v>0</v>
      </c>
      <c r="Y597" s="273">
        <f>IFERROR(INDEX('Measure Level Detail'!$R:$R,MATCH($B597&amp;"_"&amp;Y$3,'Measure Level Detail'!$C:$C,0)),0)</f>
        <v>0</v>
      </c>
      <c r="Z597" s="273">
        <f>IFERROR(INDEX('Measure Level Detail'!$R:$R,MATCH($B597&amp;"_"&amp;Z$3,'Measure Level Detail'!$C:$C,0)),0)</f>
        <v>0</v>
      </c>
      <c r="AA597" s="273">
        <f>IFERROR(INDEX('Measure Level Detail'!$R:$R,MATCH($B597&amp;"_"&amp;AA$3,'Measure Level Detail'!$C:$C,0)),0)</f>
        <v>0</v>
      </c>
      <c r="AB597" s="266">
        <f t="shared" si="367"/>
        <v>0</v>
      </c>
      <c r="AC597" s="266">
        <f t="shared" si="368"/>
        <v>0</v>
      </c>
      <c r="AD597" s="266">
        <f t="shared" si="369"/>
        <v>0</v>
      </c>
      <c r="AE597" s="266">
        <f t="shared" si="370"/>
        <v>0</v>
      </c>
      <c r="AF597" s="266">
        <f t="shared" si="371"/>
        <v>0</v>
      </c>
      <c r="AG597" s="274">
        <v>0</v>
      </c>
      <c r="AH597" s="274">
        <v>0</v>
      </c>
      <c r="AI597" s="274">
        <v>0</v>
      </c>
      <c r="AJ597" s="274">
        <v>0</v>
      </c>
      <c r="AK597" s="274">
        <f t="shared" si="372"/>
        <v>0</v>
      </c>
      <c r="AL597" s="274">
        <f t="shared" si="373"/>
        <v>0</v>
      </c>
      <c r="AM597" s="274">
        <f t="shared" si="374"/>
        <v>0</v>
      </c>
      <c r="AN597" s="274">
        <f t="shared" si="375"/>
        <v>0</v>
      </c>
      <c r="AO597" s="262"/>
      <c r="AP597" s="262"/>
      <c r="AQ597" s="267">
        <v>8.7236018957345965E-2</v>
      </c>
      <c r="AR597" s="262"/>
      <c r="AS597" s="266">
        <f t="shared" si="376"/>
        <v>0</v>
      </c>
      <c r="AT597" s="264">
        <f t="shared" si="377"/>
        <v>0</v>
      </c>
      <c r="AU597" s="262"/>
      <c r="AV597" s="262"/>
      <c r="AW597" s="265">
        <v>8.7236018957345965E-2</v>
      </c>
      <c r="AX597" s="164" t="s">
        <v>2395</v>
      </c>
      <c r="AY597" s="266">
        <v>0</v>
      </c>
      <c r="AZ597" s="266">
        <f t="shared" si="378"/>
        <v>0</v>
      </c>
      <c r="BA597" s="264">
        <f t="shared" si="379"/>
        <v>0</v>
      </c>
      <c r="BB597" s="262"/>
      <c r="BC597" s="262"/>
      <c r="BD597" s="265">
        <f ca="1">IFERROR(INDEX(Algorithms!$G:$G,MATCH($C597&amp;"_Therm Saved per Unit",Algorithms!$A:$A,0)),0)</f>
        <v>8.1861611374407575E-2</v>
      </c>
      <c r="BE597" s="164" t="str">
        <f ca="1">IFERROR(INDEX('v12 Revisions'!$P$29:$P$186, MATCH('Measure-Level Adj Gas'!$L597, 'v12 Revisions'!$D$29:$D$186,0)),"")</f>
        <v>Updated HDD from 5113 to 4798 and shell adjustment factor from 0.72 to 0.76.</v>
      </c>
      <c r="BF597" s="266">
        <f t="shared" ca="1" si="380"/>
        <v>0</v>
      </c>
      <c r="BG597" s="264">
        <f t="shared" ca="1" si="381"/>
        <v>0</v>
      </c>
      <c r="BH597" s="262"/>
      <c r="BI597" s="262"/>
      <c r="BJ597" s="265">
        <f ca="1">IFERROR(INDEX(Algorithms!$G:$G,MATCH($C597&amp;"_Therm Saved per Unit",Algorithms!$A:$A,0)),0)</f>
        <v>8.1861611374407575E-2</v>
      </c>
      <c r="BK597" s="164"/>
      <c r="BL597" s="266">
        <f t="shared" ca="1" si="382"/>
        <v>0</v>
      </c>
      <c r="BM597" s="264">
        <f t="shared" ca="1" si="383"/>
        <v>0</v>
      </c>
      <c r="BN597" s="266">
        <f t="shared" si="384"/>
        <v>0</v>
      </c>
      <c r="BO597" s="266">
        <f t="shared" si="385"/>
        <v>0</v>
      </c>
      <c r="BP597" s="266">
        <f t="shared" ca="1" si="386"/>
        <v>0</v>
      </c>
      <c r="BQ597" s="266">
        <f t="shared" ca="1" si="387"/>
        <v>0</v>
      </c>
      <c r="BR597" s="268">
        <f t="shared" ca="1" si="388"/>
        <v>0</v>
      </c>
      <c r="BS597" s="262" t="s">
        <v>99</v>
      </c>
      <c r="BT597" s="277"/>
      <c r="BW597" s="266">
        <f t="shared" si="389"/>
        <v>0</v>
      </c>
      <c r="BX597" s="266">
        <f t="shared" si="390"/>
        <v>0</v>
      </c>
      <c r="BY597" s="266">
        <f t="shared" si="391"/>
        <v>0</v>
      </c>
      <c r="BZ597" s="266">
        <f t="shared" si="392"/>
        <v>0</v>
      </c>
      <c r="CA597" s="266">
        <f ca="1">N597*IFERROR(INDEX(Algorithms!$G:$G,MATCH($C597&amp;"_Therm Saved per Unit- MLA",Algorithms!$A:$A,0)),0)*X597</f>
        <v>0</v>
      </c>
      <c r="CB597" s="266">
        <f ca="1">O597*IFERROR(INDEX(Algorithms!$G:$G,MATCH($C597&amp;"_Therm Saved per Unit- MLA",Algorithms!$A:$A,0)),0)*Y597</f>
        <v>0</v>
      </c>
      <c r="CC597" s="266">
        <f ca="1">P597*IFERROR(INDEX(Algorithms!$G:$G,MATCH($C597&amp;"_Therm Saved per Unit- MLA",Algorithms!$A:$A,0)),0)*Z597</f>
        <v>0</v>
      </c>
      <c r="CD597" s="266">
        <f ca="1">Q597*IFERROR(INDEX(Algorithms!$G:$G,MATCH($C597&amp;"_Therm Saved per Unit- MLA",Algorithms!$A:$A,0)),0)*AA597</f>
        <v>0</v>
      </c>
      <c r="CE597" s="266">
        <f ca="1">IFERROR(INDEX(Algorithms!$G:$G,MATCH($C597&amp;"_Lifetime (years)",Algorithms!$A:$A,0)),0)</f>
        <v>20</v>
      </c>
      <c r="CF597" s="266">
        <f ca="1">IFERROR(INDEX(Algorithms!$G:$G,MATCH($C597&amp;"_Lifetime (years) - Remaining Years",Algorithms!$A:$A,0)),0)</f>
        <v>10</v>
      </c>
      <c r="CG597" s="266">
        <f t="shared" ca="1" si="393"/>
        <v>0</v>
      </c>
      <c r="CH597" s="266">
        <f t="shared" ca="1" si="394"/>
        <v>0</v>
      </c>
      <c r="CI597" s="266">
        <f t="shared" ca="1" si="395"/>
        <v>0</v>
      </c>
      <c r="CJ597" s="266">
        <f t="shared" ca="1" si="396"/>
        <v>0</v>
      </c>
      <c r="CK597" s="266">
        <f t="shared" si="397"/>
        <v>0</v>
      </c>
      <c r="CL597" s="266">
        <f t="shared" si="398"/>
        <v>0</v>
      </c>
      <c r="CM597" s="266">
        <f t="shared" ca="1" si="399"/>
        <v>0</v>
      </c>
      <c r="CN597" s="266">
        <f t="shared" ca="1" si="400"/>
        <v>0</v>
      </c>
      <c r="CO597" s="266">
        <f ca="1">N597*IFERROR(INDEX(Algorithms!$G:$G,MATCH($C597&amp;"_Therm Saved per Unit- MLA",Algorithms!$A:$A,0)),0)*X597</f>
        <v>0</v>
      </c>
      <c r="CP597" s="266">
        <f ca="1">O597*IFERROR(INDEX(Algorithms!$G:$G,MATCH($C597&amp;"_Therm Saved per Unit- MLA",Algorithms!$A:$A,0)),0)*Y597</f>
        <v>0</v>
      </c>
      <c r="CQ597" s="266">
        <f ca="1">P597*IFERROR(INDEX(Algorithms!$G:$G,MATCH($C597&amp;"_Therm Saved per Unit- MLA",Algorithms!$A:$A,0)),0)*Z597</f>
        <v>0</v>
      </c>
      <c r="CR597" s="266">
        <f ca="1">Q597*IFERROR(INDEX(Algorithms!$G:$G,MATCH($C597&amp;"_Therm Saved per Unit- MLA",Algorithms!$A:$A,0)),0)*AA597</f>
        <v>0</v>
      </c>
      <c r="CS597" s="266">
        <f ca="1">IFERROR(INDEX(Algorithms!$G:$G,MATCH($C597&amp;"_Lifetime (years)",Algorithms!$A:$A,0)),0)</f>
        <v>20</v>
      </c>
      <c r="CT597" s="266">
        <f ca="1">IFERROR(INDEX(Algorithms!$G:$G,MATCH($C597&amp;"_Lifetime (years) - Remaining Years",Algorithms!$A:$A,0)),0)</f>
        <v>10</v>
      </c>
      <c r="CU597" s="266">
        <f t="shared" ca="1" si="401"/>
        <v>0</v>
      </c>
      <c r="CV597" s="266">
        <f t="shared" ca="1" si="402"/>
        <v>0</v>
      </c>
      <c r="CW597" s="266">
        <f t="shared" ca="1" si="403"/>
        <v>0</v>
      </c>
      <c r="CX597" s="266">
        <f t="shared" ca="1" si="404"/>
        <v>0</v>
      </c>
    </row>
    <row r="598" spans="2:102" s="47" customFormat="1" ht="18" customHeight="1" x14ac:dyDescent="0.25">
      <c r="B598" t="str">
        <f t="shared" si="405"/>
        <v>NSG_Income Eligible_Single Family_CBA_Attic Insulation_0_SF</v>
      </c>
      <c r="C598" s="47" t="str">
        <f t="shared" si="366"/>
        <v>Attic Insulation_0_SF</v>
      </c>
      <c r="D598" s="270" t="s">
        <v>1787</v>
      </c>
      <c r="E598" s="270" t="s">
        <v>325</v>
      </c>
      <c r="F598" s="270" t="s">
        <v>375</v>
      </c>
      <c r="G598" s="270" t="s">
        <v>1809</v>
      </c>
      <c r="H598" s="270" t="s">
        <v>631</v>
      </c>
      <c r="I598" s="270">
        <v>0</v>
      </c>
      <c r="J598" s="270" t="s">
        <v>409</v>
      </c>
      <c r="K598" s="263">
        <v>1</v>
      </c>
      <c r="L598" s="263" t="str">
        <f ca="1">IFERROR(INDEX(Algorithms!J:J,MATCH($C598&amp;"_Therm Saved per Unit",Algorithms!$A:$A,0)),"n/a")</f>
        <v>5.6.5</v>
      </c>
      <c r="M598" s="263">
        <f>IFERROR(INDEX('Measure Level Detail'!$N:$N,MATCH($B598,'Measure Level Detail'!$B:$B,0)),0)</f>
        <v>0</v>
      </c>
      <c r="N598" s="271">
        <f>IFERROR(INDEX('Measure Level Detail'!$P:$P,MATCH($B598&amp;"_"&amp;N$3,'Measure Level Detail'!$C:$C,0)),0)</f>
        <v>0</v>
      </c>
      <c r="O598" s="271">
        <f>IFERROR(INDEX('Measure Level Detail'!$P:$P,MATCH($B598&amp;"_"&amp;O$3,'Measure Level Detail'!$C:$C,0)),0)</f>
        <v>0</v>
      </c>
      <c r="P598" s="271">
        <f>IFERROR(INDEX('Measure Level Detail'!$P:$P,MATCH($B598&amp;"_"&amp;P$3,'Measure Level Detail'!$C:$C,0)),0)</f>
        <v>0</v>
      </c>
      <c r="Q598" s="271">
        <f>IFERROR(INDEX('Measure Level Detail'!$P:$P,MATCH($B598&amp;"_"&amp;Q$3,'Measure Level Detail'!$C:$C,0)),0)</f>
        <v>0</v>
      </c>
      <c r="R598" s="263" t="str">
        <f ca="1">IFERROR(INDEX(Algorithms!K:K,MATCH($C598&amp;"_Therm Saved per Unit",Algorithms!$A:$A,0)),"n/a")</f>
        <v>RS-SHL-AINS-V07-240101</v>
      </c>
      <c r="S598" s="262"/>
      <c r="T598" s="272">
        <v>8.0457181447124299E-2</v>
      </c>
      <c r="U598" s="272">
        <v>8.0457181447124299E-2</v>
      </c>
      <c r="V598" s="272">
        <v>8.0457181447124299E-2</v>
      </c>
      <c r="W598" s="272">
        <v>8.0457181447124299E-2</v>
      </c>
      <c r="X598" s="273">
        <f>IFERROR(INDEX('Measure Level Detail'!$R:$R,MATCH($B598&amp;"_"&amp;X$3,'Measure Level Detail'!$C:$C,0)),0)</f>
        <v>0</v>
      </c>
      <c r="Y598" s="273">
        <f>IFERROR(INDEX('Measure Level Detail'!$R:$R,MATCH($B598&amp;"_"&amp;Y$3,'Measure Level Detail'!$C:$C,0)),0)</f>
        <v>0</v>
      </c>
      <c r="Z598" s="273">
        <f>IFERROR(INDEX('Measure Level Detail'!$R:$R,MATCH($B598&amp;"_"&amp;Z$3,'Measure Level Detail'!$C:$C,0)),0)</f>
        <v>0</v>
      </c>
      <c r="AA598" s="273">
        <f>IFERROR(INDEX('Measure Level Detail'!$R:$R,MATCH($B598&amp;"_"&amp;AA$3,'Measure Level Detail'!$C:$C,0)),0)</f>
        <v>0</v>
      </c>
      <c r="AB598" s="266">
        <f t="shared" si="367"/>
        <v>0</v>
      </c>
      <c r="AC598" s="266">
        <f t="shared" si="368"/>
        <v>0</v>
      </c>
      <c r="AD598" s="266">
        <f t="shared" si="369"/>
        <v>0</v>
      </c>
      <c r="AE598" s="266">
        <f t="shared" si="370"/>
        <v>0</v>
      </c>
      <c r="AF598" s="266">
        <f t="shared" si="371"/>
        <v>0</v>
      </c>
      <c r="AG598" s="274">
        <v>0</v>
      </c>
      <c r="AH598" s="274">
        <v>0</v>
      </c>
      <c r="AI598" s="274">
        <v>0</v>
      </c>
      <c r="AJ598" s="274">
        <v>0</v>
      </c>
      <c r="AK598" s="274">
        <f t="shared" si="372"/>
        <v>0</v>
      </c>
      <c r="AL598" s="274">
        <f t="shared" si="373"/>
        <v>0</v>
      </c>
      <c r="AM598" s="274">
        <f t="shared" si="374"/>
        <v>0</v>
      </c>
      <c r="AN598" s="274">
        <f t="shared" si="375"/>
        <v>0</v>
      </c>
      <c r="AO598" s="262"/>
      <c r="AP598" s="262"/>
      <c r="AQ598" s="267">
        <v>8.0457181447124299E-2</v>
      </c>
      <c r="AR598" s="262"/>
      <c r="AS598" s="266">
        <f t="shared" si="376"/>
        <v>0</v>
      </c>
      <c r="AT598" s="264">
        <f t="shared" si="377"/>
        <v>0</v>
      </c>
      <c r="AU598" s="262"/>
      <c r="AV598" s="262"/>
      <c r="AW598" s="265">
        <v>8.0457181447124299E-2</v>
      </c>
      <c r="AX598" s="164" t="s">
        <v>2393</v>
      </c>
      <c r="AY598" s="266">
        <v>0</v>
      </c>
      <c r="AZ598" s="266">
        <f t="shared" si="378"/>
        <v>0</v>
      </c>
      <c r="BA598" s="264">
        <f t="shared" si="379"/>
        <v>0</v>
      </c>
      <c r="BB598" s="262"/>
      <c r="BC598" s="262"/>
      <c r="BD598" s="265">
        <f ca="1">IFERROR(INDEX(Algorithms!$G:$G,MATCH($C598&amp;"_Therm Saved per Unit",Algorithms!$A:$A,0)),0)</f>
        <v>7.9694869016697589E-2</v>
      </c>
      <c r="BE598" s="164" t="str">
        <f ca="1">IFERROR(INDEX('v12 Revisions'!$P$29:$P$186, MATCH('Measure-Level Adj Gas'!$L598, 'v12 Revisions'!$D$29:$D$186,0)),"")</f>
        <v>Updated HDD from 5113 to 4798 and shell adjustment factor from 0.72 to 0.76 ; Updated measure life to 30 years.</v>
      </c>
      <c r="BF598" s="266">
        <f t="shared" ca="1" si="380"/>
        <v>0</v>
      </c>
      <c r="BG598" s="264">
        <f t="shared" ca="1" si="381"/>
        <v>0</v>
      </c>
      <c r="BH598" s="262"/>
      <c r="BI598" s="262"/>
      <c r="BJ598" s="265">
        <f ca="1">IFERROR(INDEX(Algorithms!$G:$G,MATCH($C598&amp;"_Therm Saved per Unit",Algorithms!$A:$A,0)),0)</f>
        <v>7.9694869016697589E-2</v>
      </c>
      <c r="BK598" s="164"/>
      <c r="BL598" s="266">
        <f t="shared" ca="1" si="382"/>
        <v>0</v>
      </c>
      <c r="BM598" s="264">
        <f t="shared" ca="1" si="383"/>
        <v>0</v>
      </c>
      <c r="BN598" s="266">
        <f t="shared" si="384"/>
        <v>0</v>
      </c>
      <c r="BO598" s="266">
        <f t="shared" si="385"/>
        <v>0</v>
      </c>
      <c r="BP598" s="266">
        <f t="shared" ca="1" si="386"/>
        <v>0</v>
      </c>
      <c r="BQ598" s="266">
        <f t="shared" ca="1" si="387"/>
        <v>0</v>
      </c>
      <c r="BR598" s="268">
        <f t="shared" ca="1" si="388"/>
        <v>0</v>
      </c>
      <c r="BS598" s="262" t="s">
        <v>99</v>
      </c>
      <c r="BT598" s="277"/>
      <c r="BW598" s="266">
        <f t="shared" si="389"/>
        <v>0</v>
      </c>
      <c r="BX598" s="266">
        <f t="shared" si="390"/>
        <v>0</v>
      </c>
      <c r="BY598" s="266">
        <f t="shared" si="391"/>
        <v>0</v>
      </c>
      <c r="BZ598" s="266">
        <f t="shared" si="392"/>
        <v>0</v>
      </c>
      <c r="CA598" s="266">
        <f ca="1">N598*IFERROR(INDEX(Algorithms!$G:$G,MATCH($C598&amp;"_Therm Saved per Unit- MLA",Algorithms!$A:$A,0)),0)*X598</f>
        <v>0</v>
      </c>
      <c r="CB598" s="266">
        <f ca="1">O598*IFERROR(INDEX(Algorithms!$G:$G,MATCH($C598&amp;"_Therm Saved per Unit- MLA",Algorithms!$A:$A,0)),0)*Y598</f>
        <v>0</v>
      </c>
      <c r="CC598" s="266">
        <f ca="1">P598*IFERROR(INDEX(Algorithms!$G:$G,MATCH($C598&amp;"_Therm Saved per Unit- MLA",Algorithms!$A:$A,0)),0)*Z598</f>
        <v>0</v>
      </c>
      <c r="CD598" s="266">
        <f ca="1">Q598*IFERROR(INDEX(Algorithms!$G:$G,MATCH($C598&amp;"_Therm Saved per Unit- MLA",Algorithms!$A:$A,0)),0)*AA598</f>
        <v>0</v>
      </c>
      <c r="CE598" s="266">
        <f ca="1">IFERROR(INDEX(Algorithms!$G:$G,MATCH($C598&amp;"_Lifetime (years)",Algorithms!$A:$A,0)),0)</f>
        <v>30</v>
      </c>
      <c r="CF598" s="266">
        <f ca="1">IFERROR(INDEX(Algorithms!$G:$G,MATCH($C598&amp;"_Lifetime (years) - Remaining Years",Algorithms!$A:$A,0)),0)</f>
        <v>10</v>
      </c>
      <c r="CG598" s="266">
        <f t="shared" ca="1" si="393"/>
        <v>0</v>
      </c>
      <c r="CH598" s="266">
        <f t="shared" ca="1" si="394"/>
        <v>0</v>
      </c>
      <c r="CI598" s="266">
        <f t="shared" ca="1" si="395"/>
        <v>0</v>
      </c>
      <c r="CJ598" s="266">
        <f t="shared" ca="1" si="396"/>
        <v>0</v>
      </c>
      <c r="CK598" s="266">
        <f t="shared" si="397"/>
        <v>0</v>
      </c>
      <c r="CL598" s="266">
        <f t="shared" si="398"/>
        <v>0</v>
      </c>
      <c r="CM598" s="266">
        <f t="shared" ca="1" si="399"/>
        <v>0</v>
      </c>
      <c r="CN598" s="266">
        <f t="shared" ca="1" si="400"/>
        <v>0</v>
      </c>
      <c r="CO598" s="266">
        <f ca="1">N598*IFERROR(INDEX(Algorithms!$G:$G,MATCH($C598&amp;"_Therm Saved per Unit- MLA",Algorithms!$A:$A,0)),0)*X598</f>
        <v>0</v>
      </c>
      <c r="CP598" s="266">
        <f ca="1">O598*IFERROR(INDEX(Algorithms!$G:$G,MATCH($C598&amp;"_Therm Saved per Unit- MLA",Algorithms!$A:$A,0)),0)*Y598</f>
        <v>0</v>
      </c>
      <c r="CQ598" s="266">
        <f ca="1">P598*IFERROR(INDEX(Algorithms!$G:$G,MATCH($C598&amp;"_Therm Saved per Unit- MLA",Algorithms!$A:$A,0)),0)*Z598</f>
        <v>0</v>
      </c>
      <c r="CR598" s="266">
        <f ca="1">Q598*IFERROR(INDEX(Algorithms!$G:$G,MATCH($C598&amp;"_Therm Saved per Unit- MLA",Algorithms!$A:$A,0)),0)*AA598</f>
        <v>0</v>
      </c>
      <c r="CS598" s="266">
        <f ca="1">IFERROR(INDEX(Algorithms!$G:$G,MATCH($C598&amp;"_Lifetime (years)",Algorithms!$A:$A,0)),0)</f>
        <v>30</v>
      </c>
      <c r="CT598" s="266">
        <f ca="1">IFERROR(INDEX(Algorithms!$G:$G,MATCH($C598&amp;"_Lifetime (years) - Remaining Years",Algorithms!$A:$A,0)),0)</f>
        <v>10</v>
      </c>
      <c r="CU598" s="266">
        <f t="shared" ca="1" si="401"/>
        <v>0</v>
      </c>
      <c r="CV598" s="266">
        <f t="shared" ca="1" si="402"/>
        <v>0</v>
      </c>
      <c r="CW598" s="266">
        <f t="shared" ca="1" si="403"/>
        <v>0</v>
      </c>
      <c r="CX598" s="266">
        <f t="shared" ca="1" si="404"/>
        <v>0</v>
      </c>
    </row>
    <row r="599" spans="2:102" s="47" customFormat="1" ht="18" customHeight="1" x14ac:dyDescent="0.25">
      <c r="B599" t="str">
        <f t="shared" si="405"/>
        <v>NSG_Income Eligible_Single Family_CBA_Air sealing w/ attic insulation_0_IE SF</v>
      </c>
      <c r="C599" s="47" t="str">
        <f t="shared" si="366"/>
        <v>Air sealing w/ attic insulation_0_IE SF</v>
      </c>
      <c r="D599" s="270" t="s">
        <v>1787</v>
      </c>
      <c r="E599" s="270" t="s">
        <v>325</v>
      </c>
      <c r="F599" s="270" t="s">
        <v>375</v>
      </c>
      <c r="G599" s="270" t="s">
        <v>1809</v>
      </c>
      <c r="H599" s="270" t="s">
        <v>1436</v>
      </c>
      <c r="I599" s="270">
        <v>0</v>
      </c>
      <c r="J599" s="270" t="s">
        <v>581</v>
      </c>
      <c r="K599" s="263">
        <v>1</v>
      </c>
      <c r="L599" s="263" t="str">
        <f ca="1">IFERROR(INDEX(Algorithms!J:J,MATCH($C599&amp;"_Therm Saved per Unit",Algorithms!$A:$A,0)),"n/a")</f>
        <v>5.6.1</v>
      </c>
      <c r="M599" s="263">
        <f>IFERROR(INDEX('Measure Level Detail'!$N:$N,MATCH($B599,'Measure Level Detail'!$B:$B,0)),0)</f>
        <v>0</v>
      </c>
      <c r="N599" s="271">
        <f>IFERROR(INDEX('Measure Level Detail'!$P:$P,MATCH($B599&amp;"_"&amp;N$3,'Measure Level Detail'!$C:$C,0)),0)</f>
        <v>0</v>
      </c>
      <c r="O599" s="271">
        <f>IFERROR(INDEX('Measure Level Detail'!$P:$P,MATCH($B599&amp;"_"&amp;O$3,'Measure Level Detail'!$C:$C,0)),0)</f>
        <v>0</v>
      </c>
      <c r="P599" s="271">
        <f>IFERROR(INDEX('Measure Level Detail'!$P:$P,MATCH($B599&amp;"_"&amp;P$3,'Measure Level Detail'!$C:$C,0)),0)</f>
        <v>0</v>
      </c>
      <c r="Q599" s="271">
        <f>IFERROR(INDEX('Measure Level Detail'!$P:$P,MATCH($B599&amp;"_"&amp;Q$3,'Measure Level Detail'!$C:$C,0)),0)</f>
        <v>0</v>
      </c>
      <c r="R599" s="263" t="str">
        <f ca="1">IFERROR(INDEX(Algorithms!K:K,MATCH($C599&amp;"_Therm Saved per Unit",Algorithms!$A:$A,0)),"n/a")</f>
        <v>RS-SHL-AIRS-V13-240101</v>
      </c>
      <c r="S599" s="262"/>
      <c r="T599" s="272">
        <v>6.9090927014218012E-2</v>
      </c>
      <c r="U599" s="272">
        <v>6.9090927014218012E-2</v>
      </c>
      <c r="V599" s="272">
        <v>6.9090927014218012E-2</v>
      </c>
      <c r="W599" s="272">
        <v>6.9090927014218012E-2</v>
      </c>
      <c r="X599" s="273">
        <f>IFERROR(INDEX('Measure Level Detail'!$R:$R,MATCH($B599&amp;"_"&amp;X$3,'Measure Level Detail'!$C:$C,0)),0)</f>
        <v>0</v>
      </c>
      <c r="Y599" s="273">
        <f>IFERROR(INDEX('Measure Level Detail'!$R:$R,MATCH($B599&amp;"_"&amp;Y$3,'Measure Level Detail'!$C:$C,0)),0)</f>
        <v>0</v>
      </c>
      <c r="Z599" s="273">
        <f>IFERROR(INDEX('Measure Level Detail'!$R:$R,MATCH($B599&amp;"_"&amp;Z$3,'Measure Level Detail'!$C:$C,0)),0)</f>
        <v>0</v>
      </c>
      <c r="AA599" s="273">
        <f>IFERROR(INDEX('Measure Level Detail'!$R:$R,MATCH($B599&amp;"_"&amp;AA$3,'Measure Level Detail'!$C:$C,0)),0)</f>
        <v>0</v>
      </c>
      <c r="AB599" s="266">
        <f t="shared" si="367"/>
        <v>0</v>
      </c>
      <c r="AC599" s="266">
        <f t="shared" si="368"/>
        <v>0</v>
      </c>
      <c r="AD599" s="266">
        <f t="shared" si="369"/>
        <v>0</v>
      </c>
      <c r="AE599" s="266">
        <f t="shared" si="370"/>
        <v>0</v>
      </c>
      <c r="AF599" s="266">
        <f t="shared" si="371"/>
        <v>0</v>
      </c>
      <c r="AG599" s="274">
        <v>0</v>
      </c>
      <c r="AH599" s="274">
        <v>0</v>
      </c>
      <c r="AI599" s="274">
        <v>0</v>
      </c>
      <c r="AJ599" s="274">
        <v>0</v>
      </c>
      <c r="AK599" s="274">
        <f t="shared" si="372"/>
        <v>0</v>
      </c>
      <c r="AL599" s="274">
        <f t="shared" si="373"/>
        <v>0</v>
      </c>
      <c r="AM599" s="274">
        <f t="shared" si="374"/>
        <v>0</v>
      </c>
      <c r="AN599" s="274">
        <f t="shared" si="375"/>
        <v>0</v>
      </c>
      <c r="AO599" s="262"/>
      <c r="AP599" s="262"/>
      <c r="AQ599" s="267">
        <v>6.9090927014218012E-2</v>
      </c>
      <c r="AR599" s="262"/>
      <c r="AS599" s="266">
        <f t="shared" si="376"/>
        <v>0</v>
      </c>
      <c r="AT599" s="264">
        <f t="shared" si="377"/>
        <v>0</v>
      </c>
      <c r="AU599" s="262"/>
      <c r="AV599" s="262"/>
      <c r="AW599" s="265">
        <v>6.9090927014218012E-2</v>
      </c>
      <c r="AX599" s="164" t="s">
        <v>2395</v>
      </c>
      <c r="AY599" s="266">
        <v>0</v>
      </c>
      <c r="AZ599" s="266">
        <f t="shared" si="378"/>
        <v>0</v>
      </c>
      <c r="BA599" s="264">
        <f t="shared" si="379"/>
        <v>0</v>
      </c>
      <c r="BB599" s="262"/>
      <c r="BC599" s="262"/>
      <c r="BD599" s="265">
        <f ca="1">IFERROR(INDEX(Algorithms!$G:$G,MATCH($C599&amp;"_Therm Saved per Unit",Algorithms!$A:$A,0)),0)</f>
        <v>6.8436307109004738E-2</v>
      </c>
      <c r="BE599" s="164" t="str">
        <f ca="1">IFERROR(INDEX('v12 Revisions'!$P$29:$P$186, MATCH('Measure-Level Adj Gas'!$L599, 'v12 Revisions'!$D$29:$D$186,0)),"")</f>
        <v>Updated HDD from 5113 to 4798 and shell adjustment factor from 0.72 to 0.76.</v>
      </c>
      <c r="BF599" s="266">
        <f t="shared" ca="1" si="380"/>
        <v>0</v>
      </c>
      <c r="BG599" s="264">
        <f t="shared" ca="1" si="381"/>
        <v>0</v>
      </c>
      <c r="BH599" s="262"/>
      <c r="BI599" s="262"/>
      <c r="BJ599" s="265">
        <f ca="1">IFERROR(INDEX(Algorithms!$G:$G,MATCH($C599&amp;"_Therm Saved per Unit",Algorithms!$A:$A,0)),0)</f>
        <v>6.8436307109004738E-2</v>
      </c>
      <c r="BK599" s="164"/>
      <c r="BL599" s="266">
        <f t="shared" ca="1" si="382"/>
        <v>0</v>
      </c>
      <c r="BM599" s="264">
        <f t="shared" ca="1" si="383"/>
        <v>0</v>
      </c>
      <c r="BN599" s="266">
        <f t="shared" si="384"/>
        <v>0</v>
      </c>
      <c r="BO599" s="266">
        <f t="shared" si="385"/>
        <v>0</v>
      </c>
      <c r="BP599" s="266">
        <f t="shared" ca="1" si="386"/>
        <v>0</v>
      </c>
      <c r="BQ599" s="266">
        <f t="shared" ca="1" si="387"/>
        <v>0</v>
      </c>
      <c r="BR599" s="268">
        <f t="shared" ca="1" si="388"/>
        <v>0</v>
      </c>
      <c r="BS599" s="262" t="s">
        <v>99</v>
      </c>
      <c r="BT599" s="277"/>
      <c r="BW599" s="266">
        <f t="shared" si="389"/>
        <v>0</v>
      </c>
      <c r="BX599" s="266">
        <f t="shared" si="390"/>
        <v>0</v>
      </c>
      <c r="BY599" s="266">
        <f t="shared" si="391"/>
        <v>0</v>
      </c>
      <c r="BZ599" s="266">
        <f t="shared" si="392"/>
        <v>0</v>
      </c>
      <c r="CA599" s="266">
        <f ca="1">N599*IFERROR(INDEX(Algorithms!$G:$G,MATCH($C599&amp;"_Therm Saved per Unit- MLA",Algorithms!$A:$A,0)),0)*X599</f>
        <v>0</v>
      </c>
      <c r="CB599" s="266">
        <f ca="1">O599*IFERROR(INDEX(Algorithms!$G:$G,MATCH($C599&amp;"_Therm Saved per Unit- MLA",Algorithms!$A:$A,0)),0)*Y599</f>
        <v>0</v>
      </c>
      <c r="CC599" s="266">
        <f ca="1">P599*IFERROR(INDEX(Algorithms!$G:$G,MATCH($C599&amp;"_Therm Saved per Unit- MLA",Algorithms!$A:$A,0)),0)*Z599</f>
        <v>0</v>
      </c>
      <c r="CD599" s="266">
        <f ca="1">Q599*IFERROR(INDEX(Algorithms!$G:$G,MATCH($C599&amp;"_Therm Saved per Unit- MLA",Algorithms!$A:$A,0)),0)*AA599</f>
        <v>0</v>
      </c>
      <c r="CE599" s="266">
        <f ca="1">IFERROR(INDEX(Algorithms!$G:$G,MATCH($C599&amp;"_Lifetime (years)",Algorithms!$A:$A,0)),0)</f>
        <v>20</v>
      </c>
      <c r="CF599" s="266">
        <f ca="1">IFERROR(INDEX(Algorithms!$G:$G,MATCH($C599&amp;"_Lifetime (years) - Remaining Years",Algorithms!$A:$A,0)),0)</f>
        <v>10</v>
      </c>
      <c r="CG599" s="266">
        <f t="shared" ca="1" si="393"/>
        <v>0</v>
      </c>
      <c r="CH599" s="266">
        <f t="shared" ca="1" si="394"/>
        <v>0</v>
      </c>
      <c r="CI599" s="266">
        <f t="shared" ca="1" si="395"/>
        <v>0</v>
      </c>
      <c r="CJ599" s="266">
        <f t="shared" ca="1" si="396"/>
        <v>0</v>
      </c>
      <c r="CK599" s="266">
        <f t="shared" si="397"/>
        <v>0</v>
      </c>
      <c r="CL599" s="266">
        <f t="shared" si="398"/>
        <v>0</v>
      </c>
      <c r="CM599" s="266">
        <f t="shared" ca="1" si="399"/>
        <v>0</v>
      </c>
      <c r="CN599" s="266">
        <f t="shared" ca="1" si="400"/>
        <v>0</v>
      </c>
      <c r="CO599" s="266">
        <f ca="1">N599*IFERROR(INDEX(Algorithms!$G:$G,MATCH($C599&amp;"_Therm Saved per Unit- MLA",Algorithms!$A:$A,0)),0)*X599</f>
        <v>0</v>
      </c>
      <c r="CP599" s="266">
        <f ca="1">O599*IFERROR(INDEX(Algorithms!$G:$G,MATCH($C599&amp;"_Therm Saved per Unit- MLA",Algorithms!$A:$A,0)),0)*Y599</f>
        <v>0</v>
      </c>
      <c r="CQ599" s="266">
        <f ca="1">P599*IFERROR(INDEX(Algorithms!$G:$G,MATCH($C599&amp;"_Therm Saved per Unit- MLA",Algorithms!$A:$A,0)),0)*Z599</f>
        <v>0</v>
      </c>
      <c r="CR599" s="266">
        <f ca="1">Q599*IFERROR(INDEX(Algorithms!$G:$G,MATCH($C599&amp;"_Therm Saved per Unit- MLA",Algorithms!$A:$A,0)),0)*AA599</f>
        <v>0</v>
      </c>
      <c r="CS599" s="266">
        <f ca="1">IFERROR(INDEX(Algorithms!$G:$G,MATCH($C599&amp;"_Lifetime (years)",Algorithms!$A:$A,0)),0)</f>
        <v>20</v>
      </c>
      <c r="CT599" s="266">
        <f ca="1">IFERROR(INDEX(Algorithms!$G:$G,MATCH($C599&amp;"_Lifetime (years) - Remaining Years",Algorithms!$A:$A,0)),0)</f>
        <v>10</v>
      </c>
      <c r="CU599" s="266">
        <f t="shared" ca="1" si="401"/>
        <v>0</v>
      </c>
      <c r="CV599" s="266">
        <f t="shared" ca="1" si="402"/>
        <v>0</v>
      </c>
      <c r="CW599" s="266">
        <f t="shared" ca="1" si="403"/>
        <v>0</v>
      </c>
      <c r="CX599" s="266">
        <f t="shared" ca="1" si="404"/>
        <v>0</v>
      </c>
    </row>
    <row r="600" spans="2:102" s="47" customFormat="1" ht="18" customHeight="1" x14ac:dyDescent="0.25">
      <c r="B600" t="str">
        <f t="shared" si="405"/>
        <v>NSG_Income Eligible_Single Family_CBA_Duct Sealing_0_SF</v>
      </c>
      <c r="C600" s="47" t="str">
        <f t="shared" si="366"/>
        <v>Duct Sealing_0_SF</v>
      </c>
      <c r="D600" s="270" t="s">
        <v>1787</v>
      </c>
      <c r="E600" s="270" t="s">
        <v>325</v>
      </c>
      <c r="F600" s="270" t="s">
        <v>375</v>
      </c>
      <c r="G600" s="270" t="s">
        <v>1809</v>
      </c>
      <c r="H600" s="270" t="s">
        <v>680</v>
      </c>
      <c r="I600" s="270">
        <v>0</v>
      </c>
      <c r="J600" s="270" t="s">
        <v>409</v>
      </c>
      <c r="K600" s="263">
        <v>1</v>
      </c>
      <c r="L600" s="263" t="str">
        <f ca="1">IFERROR(INDEX(Algorithms!J:J,MATCH($C600&amp;"_Therm Saved per Unit",Algorithms!$A:$A,0)),"n/a")</f>
        <v>5.3.4</v>
      </c>
      <c r="M600" s="263">
        <f>IFERROR(INDEX('Measure Level Detail'!$N:$N,MATCH($B600,'Measure Level Detail'!$B:$B,0)),0)</f>
        <v>0</v>
      </c>
      <c r="N600" s="271">
        <f>IFERROR(INDEX('Measure Level Detail'!$P:$P,MATCH($B600&amp;"_"&amp;N$3,'Measure Level Detail'!$C:$C,0)),0)</f>
        <v>0</v>
      </c>
      <c r="O600" s="271">
        <f>IFERROR(INDEX('Measure Level Detail'!$P:$P,MATCH($B600&amp;"_"&amp;O$3,'Measure Level Detail'!$C:$C,0)),0)</f>
        <v>0</v>
      </c>
      <c r="P600" s="271">
        <f>IFERROR(INDEX('Measure Level Detail'!$P:$P,MATCH($B600&amp;"_"&amp;P$3,'Measure Level Detail'!$C:$C,0)),0)</f>
        <v>0</v>
      </c>
      <c r="Q600" s="271">
        <f>IFERROR(INDEX('Measure Level Detail'!$P:$P,MATCH($B600&amp;"_"&amp;Q$3,'Measure Level Detail'!$C:$C,0)),0)</f>
        <v>0</v>
      </c>
      <c r="R600" s="263" t="str">
        <f ca="1">IFERROR(INDEX(Algorithms!K:K,MATCH($C600&amp;"_Therm Saved per Unit",Algorithms!$A:$A,0)),"n/a")</f>
        <v>RS-HVC-DINS-V12-240101</v>
      </c>
      <c r="S600" s="262"/>
      <c r="T600" s="272">
        <v>0.70396939263510283</v>
      </c>
      <c r="U600" s="272">
        <v>0.70396939263510283</v>
      </c>
      <c r="V600" s="272">
        <v>0.70396939263510283</v>
      </c>
      <c r="W600" s="272">
        <v>0.70396939263510283</v>
      </c>
      <c r="X600" s="273">
        <f>IFERROR(INDEX('Measure Level Detail'!$R:$R,MATCH($B600&amp;"_"&amp;X$3,'Measure Level Detail'!$C:$C,0)),0)</f>
        <v>0</v>
      </c>
      <c r="Y600" s="273">
        <f>IFERROR(INDEX('Measure Level Detail'!$R:$R,MATCH($B600&amp;"_"&amp;Y$3,'Measure Level Detail'!$C:$C,0)),0)</f>
        <v>0</v>
      </c>
      <c r="Z600" s="273">
        <f>IFERROR(INDEX('Measure Level Detail'!$R:$R,MATCH($B600&amp;"_"&amp;Z$3,'Measure Level Detail'!$C:$C,0)),0)</f>
        <v>0</v>
      </c>
      <c r="AA600" s="273">
        <f>IFERROR(INDEX('Measure Level Detail'!$R:$R,MATCH($B600&amp;"_"&amp;AA$3,'Measure Level Detail'!$C:$C,0)),0)</f>
        <v>0</v>
      </c>
      <c r="AB600" s="266">
        <f t="shared" si="367"/>
        <v>0</v>
      </c>
      <c r="AC600" s="266">
        <f t="shared" si="368"/>
        <v>0</v>
      </c>
      <c r="AD600" s="266">
        <f t="shared" si="369"/>
        <v>0</v>
      </c>
      <c r="AE600" s="266">
        <f t="shared" si="370"/>
        <v>0</v>
      </c>
      <c r="AF600" s="266">
        <f t="shared" si="371"/>
        <v>0</v>
      </c>
      <c r="AG600" s="274">
        <v>0</v>
      </c>
      <c r="AH600" s="274">
        <v>0</v>
      </c>
      <c r="AI600" s="274">
        <v>0</v>
      </c>
      <c r="AJ600" s="274">
        <v>0</v>
      </c>
      <c r="AK600" s="274">
        <f t="shared" si="372"/>
        <v>0</v>
      </c>
      <c r="AL600" s="274">
        <f t="shared" si="373"/>
        <v>0</v>
      </c>
      <c r="AM600" s="274">
        <f t="shared" si="374"/>
        <v>0</v>
      </c>
      <c r="AN600" s="274">
        <f t="shared" si="375"/>
        <v>0</v>
      </c>
      <c r="AO600" s="262"/>
      <c r="AP600" s="262"/>
      <c r="AQ600" s="267">
        <v>0.70396939263510283</v>
      </c>
      <c r="AR600" s="262"/>
      <c r="AS600" s="266">
        <f t="shared" si="376"/>
        <v>0</v>
      </c>
      <c r="AT600" s="264">
        <f t="shared" si="377"/>
        <v>0</v>
      </c>
      <c r="AU600" s="262"/>
      <c r="AV600" s="262"/>
      <c r="AW600" s="265">
        <v>0.70396939263510283</v>
      </c>
      <c r="AX600" s="164" t="s">
        <v>1469</v>
      </c>
      <c r="AY600" s="266">
        <v>0</v>
      </c>
      <c r="AZ600" s="266">
        <f t="shared" si="378"/>
        <v>0</v>
      </c>
      <c r="BA600" s="264">
        <f t="shared" si="379"/>
        <v>0</v>
      </c>
      <c r="BB600" s="262"/>
      <c r="BC600" s="262"/>
      <c r="BD600" s="265">
        <f ca="1">IFERROR(INDEX(Algorithms!$G:$G,MATCH($C600&amp;"_Therm Saved per Unit",Algorithms!$A:$A,0)),0)</f>
        <v>0.66035389765662356</v>
      </c>
      <c r="BE600" s="164" t="str">
        <f ca="1">IFERROR(INDEX('v12 Revisions'!$P$29:$P$186, MATCH('Measure-Level Adj Gas'!$L600, 'v12 Revisions'!$D$29:$D$186,0)),"")</f>
        <v>Updated full load hours of heating from 1840 to 1726 ; Revision of mid-life adjustment algorithm.</v>
      </c>
      <c r="BF600" s="266">
        <f t="shared" ca="1" si="380"/>
        <v>0</v>
      </c>
      <c r="BG600" s="264">
        <f t="shared" ca="1" si="381"/>
        <v>0</v>
      </c>
      <c r="BH600" s="262"/>
      <c r="BI600" s="262"/>
      <c r="BJ600" s="265">
        <f ca="1">IFERROR(INDEX(Algorithms!$G:$G,MATCH($C600&amp;"_Therm Saved per Unit",Algorithms!$A:$A,0)),0)</f>
        <v>0.66035389765662356</v>
      </c>
      <c r="BK600" s="164"/>
      <c r="BL600" s="266">
        <f t="shared" ca="1" si="382"/>
        <v>0</v>
      </c>
      <c r="BM600" s="264">
        <f t="shared" ca="1" si="383"/>
        <v>0</v>
      </c>
      <c r="BN600" s="266">
        <f t="shared" si="384"/>
        <v>0</v>
      </c>
      <c r="BO600" s="266">
        <f t="shared" si="385"/>
        <v>0</v>
      </c>
      <c r="BP600" s="266">
        <f t="shared" ca="1" si="386"/>
        <v>0</v>
      </c>
      <c r="BQ600" s="266">
        <f t="shared" ca="1" si="387"/>
        <v>0</v>
      </c>
      <c r="BR600" s="268">
        <f t="shared" ca="1" si="388"/>
        <v>0</v>
      </c>
      <c r="BS600" s="262" t="s">
        <v>99</v>
      </c>
      <c r="BT600" s="277"/>
      <c r="BW600" s="266">
        <f t="shared" si="389"/>
        <v>0</v>
      </c>
      <c r="BX600" s="266">
        <f t="shared" si="390"/>
        <v>0</v>
      </c>
      <c r="BY600" s="266">
        <f t="shared" si="391"/>
        <v>0</v>
      </c>
      <c r="BZ600" s="266">
        <f t="shared" si="392"/>
        <v>0</v>
      </c>
      <c r="CA600" s="266">
        <f ca="1">N600*IFERROR(INDEX(Algorithms!$G:$G,MATCH($C600&amp;"_Therm Saved per Unit- MLA",Algorithms!$A:$A,0)),0)*X600</f>
        <v>0</v>
      </c>
      <c r="CB600" s="266">
        <f ca="1">O600*IFERROR(INDEX(Algorithms!$G:$G,MATCH($C600&amp;"_Therm Saved per Unit- MLA",Algorithms!$A:$A,0)),0)*Y600</f>
        <v>0</v>
      </c>
      <c r="CC600" s="266">
        <f ca="1">P600*IFERROR(INDEX(Algorithms!$G:$G,MATCH($C600&amp;"_Therm Saved per Unit- MLA",Algorithms!$A:$A,0)),0)*Z600</f>
        <v>0</v>
      </c>
      <c r="CD600" s="266">
        <f ca="1">Q600*IFERROR(INDEX(Algorithms!$G:$G,MATCH($C600&amp;"_Therm Saved per Unit- MLA",Algorithms!$A:$A,0)),0)*AA600</f>
        <v>0</v>
      </c>
      <c r="CE600" s="266">
        <f ca="1">IFERROR(INDEX(Algorithms!$G:$G,MATCH($C600&amp;"_Lifetime (years)",Algorithms!$A:$A,0)),0)</f>
        <v>20</v>
      </c>
      <c r="CF600" s="266">
        <f ca="1">IFERROR(INDEX(Algorithms!$G:$G,MATCH($C600&amp;"_Lifetime (years) - Remaining Years",Algorithms!$A:$A,0)),0)</f>
        <v>10</v>
      </c>
      <c r="CG600" s="266">
        <f t="shared" ca="1" si="393"/>
        <v>0</v>
      </c>
      <c r="CH600" s="266">
        <f t="shared" ca="1" si="394"/>
        <v>0</v>
      </c>
      <c r="CI600" s="266">
        <f t="shared" ca="1" si="395"/>
        <v>0</v>
      </c>
      <c r="CJ600" s="266">
        <f t="shared" ca="1" si="396"/>
        <v>0</v>
      </c>
      <c r="CK600" s="266">
        <f t="shared" si="397"/>
        <v>0</v>
      </c>
      <c r="CL600" s="266">
        <f t="shared" si="398"/>
        <v>0</v>
      </c>
      <c r="CM600" s="266">
        <f t="shared" ca="1" si="399"/>
        <v>0</v>
      </c>
      <c r="CN600" s="266">
        <f t="shared" ca="1" si="400"/>
        <v>0</v>
      </c>
      <c r="CO600" s="266">
        <f ca="1">N600*IFERROR(INDEX(Algorithms!$G:$G,MATCH($C600&amp;"_Therm Saved per Unit- MLA",Algorithms!$A:$A,0)),0)*X600</f>
        <v>0</v>
      </c>
      <c r="CP600" s="266">
        <f ca="1">O600*IFERROR(INDEX(Algorithms!$G:$G,MATCH($C600&amp;"_Therm Saved per Unit- MLA",Algorithms!$A:$A,0)),0)*Y600</f>
        <v>0</v>
      </c>
      <c r="CQ600" s="266">
        <f ca="1">P600*IFERROR(INDEX(Algorithms!$G:$G,MATCH($C600&amp;"_Therm Saved per Unit- MLA",Algorithms!$A:$A,0)),0)*Z600</f>
        <v>0</v>
      </c>
      <c r="CR600" s="266">
        <f ca="1">Q600*IFERROR(INDEX(Algorithms!$G:$G,MATCH($C600&amp;"_Therm Saved per Unit- MLA",Algorithms!$A:$A,0)),0)*AA600</f>
        <v>0</v>
      </c>
      <c r="CS600" s="266">
        <f ca="1">IFERROR(INDEX(Algorithms!$G:$G,MATCH($C600&amp;"_Lifetime (years)",Algorithms!$A:$A,0)),0)</f>
        <v>20</v>
      </c>
      <c r="CT600" s="266">
        <f ca="1">IFERROR(INDEX(Algorithms!$G:$G,MATCH($C600&amp;"_Lifetime (years) - Remaining Years",Algorithms!$A:$A,0)),0)</f>
        <v>10</v>
      </c>
      <c r="CU600" s="266">
        <f t="shared" ca="1" si="401"/>
        <v>0</v>
      </c>
      <c r="CV600" s="266">
        <f t="shared" ca="1" si="402"/>
        <v>0</v>
      </c>
      <c r="CW600" s="266">
        <f t="shared" ca="1" si="403"/>
        <v>0</v>
      </c>
      <c r="CX600" s="266">
        <f t="shared" ca="1" si="404"/>
        <v>0</v>
      </c>
    </row>
    <row r="601" spans="2:102" s="47" customFormat="1" ht="18" customHeight="1" x14ac:dyDescent="0.25">
      <c r="B601" t="str">
        <f t="shared" si="405"/>
        <v>NSG_Income Eligible_Single Family_CBA_Wall Insulation_0_SF</v>
      </c>
      <c r="C601" s="47" t="str">
        <f t="shared" si="366"/>
        <v>Wall Insulation_0_SF</v>
      </c>
      <c r="D601" s="270" t="s">
        <v>1787</v>
      </c>
      <c r="E601" s="270" t="s">
        <v>325</v>
      </c>
      <c r="F601" s="270" t="s">
        <v>375</v>
      </c>
      <c r="G601" s="270" t="s">
        <v>1809</v>
      </c>
      <c r="H601" s="270" t="s">
        <v>222</v>
      </c>
      <c r="I601" s="270">
        <v>0</v>
      </c>
      <c r="J601" s="270" t="s">
        <v>409</v>
      </c>
      <c r="K601" s="263">
        <v>1</v>
      </c>
      <c r="L601" s="263" t="str">
        <f ca="1">IFERROR(INDEX(Algorithms!J:J,MATCH($C601&amp;"_Therm Saved per Unit",Algorithms!$A:$A,0)),"n/a")</f>
        <v>5.6.4</v>
      </c>
      <c r="M601" s="263">
        <f>IFERROR(INDEX('Measure Level Detail'!$N:$N,MATCH($B601,'Measure Level Detail'!$B:$B,0)),0)</f>
        <v>0</v>
      </c>
      <c r="N601" s="271">
        <f>IFERROR(INDEX('Measure Level Detail'!$P:$P,MATCH($B601&amp;"_"&amp;N$3,'Measure Level Detail'!$C:$C,0)),0)</f>
        <v>0</v>
      </c>
      <c r="O601" s="271">
        <f>IFERROR(INDEX('Measure Level Detail'!$P:$P,MATCH($B601&amp;"_"&amp;O$3,'Measure Level Detail'!$C:$C,0)),0)</f>
        <v>0</v>
      </c>
      <c r="P601" s="271">
        <f>IFERROR(INDEX('Measure Level Detail'!$P:$P,MATCH($B601&amp;"_"&amp;P$3,'Measure Level Detail'!$C:$C,0)),0)</f>
        <v>0</v>
      </c>
      <c r="Q601" s="271">
        <f>IFERROR(INDEX('Measure Level Detail'!$P:$P,MATCH($B601&amp;"_"&amp;Q$3,'Measure Level Detail'!$C:$C,0)),0)</f>
        <v>0</v>
      </c>
      <c r="R601" s="263" t="str">
        <f ca="1">IFERROR(INDEX(Algorithms!K:K,MATCH($C601&amp;"_Therm Saved per Unit",Algorithms!$A:$A,0)),"n/a")</f>
        <v>RS-SHL-WINS-V13-240101</v>
      </c>
      <c r="S601" s="262"/>
      <c r="T601" s="272">
        <v>0.10827529411764705</v>
      </c>
      <c r="U601" s="272">
        <v>0.10827529411764705</v>
      </c>
      <c r="V601" s="272">
        <v>0.10827529411764705</v>
      </c>
      <c r="W601" s="272">
        <v>0.10827529411764705</v>
      </c>
      <c r="X601" s="273">
        <f>IFERROR(INDEX('Measure Level Detail'!$R:$R,MATCH($B601&amp;"_"&amp;X$3,'Measure Level Detail'!$C:$C,0)),0)</f>
        <v>0</v>
      </c>
      <c r="Y601" s="273">
        <f>IFERROR(INDEX('Measure Level Detail'!$R:$R,MATCH($B601&amp;"_"&amp;Y$3,'Measure Level Detail'!$C:$C,0)),0)</f>
        <v>0</v>
      </c>
      <c r="Z601" s="273">
        <f>IFERROR(INDEX('Measure Level Detail'!$R:$R,MATCH($B601&amp;"_"&amp;Z$3,'Measure Level Detail'!$C:$C,0)),0)</f>
        <v>0</v>
      </c>
      <c r="AA601" s="273">
        <f>IFERROR(INDEX('Measure Level Detail'!$R:$R,MATCH($B601&amp;"_"&amp;AA$3,'Measure Level Detail'!$C:$C,0)),0)</f>
        <v>0</v>
      </c>
      <c r="AB601" s="266">
        <f t="shared" si="367"/>
        <v>0</v>
      </c>
      <c r="AC601" s="266">
        <f t="shared" si="368"/>
        <v>0</v>
      </c>
      <c r="AD601" s="266">
        <f t="shared" si="369"/>
        <v>0</v>
      </c>
      <c r="AE601" s="266">
        <f t="shared" si="370"/>
        <v>0</v>
      </c>
      <c r="AF601" s="266">
        <f t="shared" si="371"/>
        <v>0</v>
      </c>
      <c r="AG601" s="274">
        <v>0</v>
      </c>
      <c r="AH601" s="274">
        <v>0</v>
      </c>
      <c r="AI601" s="274">
        <v>0</v>
      </c>
      <c r="AJ601" s="274">
        <v>0</v>
      </c>
      <c r="AK601" s="274">
        <f t="shared" si="372"/>
        <v>0</v>
      </c>
      <c r="AL601" s="274">
        <f t="shared" si="373"/>
        <v>0</v>
      </c>
      <c r="AM601" s="274">
        <f t="shared" si="374"/>
        <v>0</v>
      </c>
      <c r="AN601" s="274">
        <f t="shared" si="375"/>
        <v>0</v>
      </c>
      <c r="AO601" s="262"/>
      <c r="AP601" s="262"/>
      <c r="AQ601" s="267">
        <v>0.10827529411764705</v>
      </c>
      <c r="AR601" s="262"/>
      <c r="AS601" s="266">
        <f t="shared" si="376"/>
        <v>0</v>
      </c>
      <c r="AT601" s="264">
        <f t="shared" si="377"/>
        <v>0</v>
      </c>
      <c r="AU601" s="262"/>
      <c r="AV601" s="262"/>
      <c r="AW601" s="265">
        <v>0.10827529411764705</v>
      </c>
      <c r="AX601" s="164" t="s">
        <v>2393</v>
      </c>
      <c r="AY601" s="266">
        <v>0</v>
      </c>
      <c r="AZ601" s="266">
        <f t="shared" si="378"/>
        <v>0</v>
      </c>
      <c r="BA601" s="264">
        <f t="shared" si="379"/>
        <v>0</v>
      </c>
      <c r="BB601" s="262"/>
      <c r="BC601" s="262"/>
      <c r="BD601" s="265">
        <f ca="1">IFERROR(INDEX(Algorithms!$G:$G,MATCH($C601&amp;"_Therm Saved per Unit",Algorithms!$A:$A,0)),0)</f>
        <v>0.10668494117647059</v>
      </c>
      <c r="BE601" s="164" t="str">
        <f ca="1">IFERROR(INDEX('v12 Revisions'!$P$29:$P$186, MATCH('Measure-Level Adj Gas'!$L601, 'v12 Revisions'!$D$29:$D$186,0)),"")</f>
        <v>Updated HDD from 5113 to 4798 and shell adjustment factor from 0.60 to 0.63 ; Updated measure life to 30 years.</v>
      </c>
      <c r="BF601" s="266">
        <f t="shared" ca="1" si="380"/>
        <v>0</v>
      </c>
      <c r="BG601" s="264">
        <f t="shared" ca="1" si="381"/>
        <v>0</v>
      </c>
      <c r="BH601" s="262"/>
      <c r="BI601" s="262"/>
      <c r="BJ601" s="265">
        <f ca="1">IFERROR(INDEX(Algorithms!$G:$G,MATCH($C601&amp;"_Therm Saved per Unit",Algorithms!$A:$A,0)),0)</f>
        <v>0.10668494117647059</v>
      </c>
      <c r="BK601" s="164"/>
      <c r="BL601" s="266">
        <f t="shared" ca="1" si="382"/>
        <v>0</v>
      </c>
      <c r="BM601" s="264">
        <f t="shared" ca="1" si="383"/>
        <v>0</v>
      </c>
      <c r="BN601" s="266">
        <f t="shared" si="384"/>
        <v>0</v>
      </c>
      <c r="BO601" s="266">
        <f t="shared" si="385"/>
        <v>0</v>
      </c>
      <c r="BP601" s="266">
        <f t="shared" ca="1" si="386"/>
        <v>0</v>
      </c>
      <c r="BQ601" s="266">
        <f t="shared" ca="1" si="387"/>
        <v>0</v>
      </c>
      <c r="BR601" s="268">
        <f t="shared" ca="1" si="388"/>
        <v>0</v>
      </c>
      <c r="BS601" s="262" t="s">
        <v>99</v>
      </c>
      <c r="BT601" s="277"/>
      <c r="BW601" s="266">
        <f t="shared" si="389"/>
        <v>0</v>
      </c>
      <c r="BX601" s="266">
        <f t="shared" si="390"/>
        <v>0</v>
      </c>
      <c r="BY601" s="266">
        <f t="shared" si="391"/>
        <v>0</v>
      </c>
      <c r="BZ601" s="266">
        <f t="shared" si="392"/>
        <v>0</v>
      </c>
      <c r="CA601" s="266">
        <f ca="1">N601*IFERROR(INDEX(Algorithms!$G:$G,MATCH($C601&amp;"_Therm Saved per Unit- MLA",Algorithms!$A:$A,0)),0)*X601</f>
        <v>0</v>
      </c>
      <c r="CB601" s="266">
        <f ca="1">O601*IFERROR(INDEX(Algorithms!$G:$G,MATCH($C601&amp;"_Therm Saved per Unit- MLA",Algorithms!$A:$A,0)),0)*Y601</f>
        <v>0</v>
      </c>
      <c r="CC601" s="266">
        <f ca="1">P601*IFERROR(INDEX(Algorithms!$G:$G,MATCH($C601&amp;"_Therm Saved per Unit- MLA",Algorithms!$A:$A,0)),0)*Z601</f>
        <v>0</v>
      </c>
      <c r="CD601" s="266">
        <f ca="1">Q601*IFERROR(INDEX(Algorithms!$G:$G,MATCH($C601&amp;"_Therm Saved per Unit- MLA",Algorithms!$A:$A,0)),0)*AA601</f>
        <v>0</v>
      </c>
      <c r="CE601" s="266">
        <f ca="1">IFERROR(INDEX(Algorithms!$G:$G,MATCH($C601&amp;"_Lifetime (years)",Algorithms!$A:$A,0)),0)</f>
        <v>30</v>
      </c>
      <c r="CF601" s="266">
        <f ca="1">IFERROR(INDEX(Algorithms!$G:$G,MATCH($C601&amp;"_Lifetime (years) - Remaining Years",Algorithms!$A:$A,0)),0)</f>
        <v>10</v>
      </c>
      <c r="CG601" s="266">
        <f t="shared" ca="1" si="393"/>
        <v>0</v>
      </c>
      <c r="CH601" s="266">
        <f t="shared" ca="1" si="394"/>
        <v>0</v>
      </c>
      <c r="CI601" s="266">
        <f t="shared" ca="1" si="395"/>
        <v>0</v>
      </c>
      <c r="CJ601" s="266">
        <f t="shared" ca="1" si="396"/>
        <v>0</v>
      </c>
      <c r="CK601" s="266">
        <f t="shared" si="397"/>
        <v>0</v>
      </c>
      <c r="CL601" s="266">
        <f t="shared" si="398"/>
        <v>0</v>
      </c>
      <c r="CM601" s="266">
        <f t="shared" ca="1" si="399"/>
        <v>0</v>
      </c>
      <c r="CN601" s="266">
        <f t="shared" ca="1" si="400"/>
        <v>0</v>
      </c>
      <c r="CO601" s="266">
        <f ca="1">N601*IFERROR(INDEX(Algorithms!$G:$G,MATCH($C601&amp;"_Therm Saved per Unit- MLA",Algorithms!$A:$A,0)),0)*X601</f>
        <v>0</v>
      </c>
      <c r="CP601" s="266">
        <f ca="1">O601*IFERROR(INDEX(Algorithms!$G:$G,MATCH($C601&amp;"_Therm Saved per Unit- MLA",Algorithms!$A:$A,0)),0)*Y601</f>
        <v>0</v>
      </c>
      <c r="CQ601" s="266">
        <f ca="1">P601*IFERROR(INDEX(Algorithms!$G:$G,MATCH($C601&amp;"_Therm Saved per Unit- MLA",Algorithms!$A:$A,0)),0)*Z601</f>
        <v>0</v>
      </c>
      <c r="CR601" s="266">
        <f ca="1">Q601*IFERROR(INDEX(Algorithms!$G:$G,MATCH($C601&amp;"_Therm Saved per Unit- MLA",Algorithms!$A:$A,0)),0)*AA601</f>
        <v>0</v>
      </c>
      <c r="CS601" s="266">
        <f ca="1">IFERROR(INDEX(Algorithms!$G:$G,MATCH($C601&amp;"_Lifetime (years)",Algorithms!$A:$A,0)),0)</f>
        <v>30</v>
      </c>
      <c r="CT601" s="266">
        <f ca="1">IFERROR(INDEX(Algorithms!$G:$G,MATCH($C601&amp;"_Lifetime (years) - Remaining Years",Algorithms!$A:$A,0)),0)</f>
        <v>10</v>
      </c>
      <c r="CU601" s="266">
        <f t="shared" ca="1" si="401"/>
        <v>0</v>
      </c>
      <c r="CV601" s="266">
        <f t="shared" ca="1" si="402"/>
        <v>0</v>
      </c>
      <c r="CW601" s="266">
        <f t="shared" ca="1" si="403"/>
        <v>0</v>
      </c>
      <c r="CX601" s="266">
        <f t="shared" ca="1" si="404"/>
        <v>0</v>
      </c>
    </row>
    <row r="602" spans="2:102" s="47" customFormat="1" ht="18" customHeight="1" x14ac:dyDescent="0.25">
      <c r="B602" t="str">
        <f t="shared" si="405"/>
        <v>NSG_Income Eligible_Single Family_CBA_Foundation Insulation_0_SF</v>
      </c>
      <c r="C602" s="47" t="str">
        <f t="shared" si="366"/>
        <v>Foundation Insulation_0_SF</v>
      </c>
      <c r="D602" s="270" t="s">
        <v>1787</v>
      </c>
      <c r="E602" s="270" t="s">
        <v>325</v>
      </c>
      <c r="F602" s="270" t="s">
        <v>375</v>
      </c>
      <c r="G602" s="270" t="s">
        <v>1809</v>
      </c>
      <c r="H602" s="270" t="s">
        <v>608</v>
      </c>
      <c r="I602" s="270">
        <v>0</v>
      </c>
      <c r="J602" s="270" t="s">
        <v>409</v>
      </c>
      <c r="K602" s="263">
        <v>1</v>
      </c>
      <c r="L602" s="263" t="str">
        <f ca="1">IFERROR(INDEX(Algorithms!J:J,MATCH($C602&amp;"_Therm Saved per Unit",Algorithms!$A:$A,0)),"n/a")</f>
        <v>5.6.2</v>
      </c>
      <c r="M602" s="263">
        <f>IFERROR(INDEX('Measure Level Detail'!$N:$N,MATCH($B602,'Measure Level Detail'!$B:$B,0)),0)</f>
        <v>0</v>
      </c>
      <c r="N602" s="271">
        <f>IFERROR(INDEX('Measure Level Detail'!$P:$P,MATCH($B602&amp;"_"&amp;N$3,'Measure Level Detail'!$C:$C,0)),0)</f>
        <v>0</v>
      </c>
      <c r="O602" s="271">
        <f>IFERROR(INDEX('Measure Level Detail'!$P:$P,MATCH($B602&amp;"_"&amp;O$3,'Measure Level Detail'!$C:$C,0)),0)</f>
        <v>0</v>
      </c>
      <c r="P602" s="271">
        <f>IFERROR(INDEX('Measure Level Detail'!$P:$P,MATCH($B602&amp;"_"&amp;P$3,'Measure Level Detail'!$C:$C,0)),0)</f>
        <v>0</v>
      </c>
      <c r="Q602" s="271">
        <f>IFERROR(INDEX('Measure Level Detail'!$P:$P,MATCH($B602&amp;"_"&amp;Q$3,'Measure Level Detail'!$C:$C,0)),0)</f>
        <v>0</v>
      </c>
      <c r="R602" s="263" t="str">
        <f ca="1">IFERROR(INDEX(Algorithms!K:K,MATCH($C602&amp;"_Therm Saved per Unit",Algorithms!$A:$A,0)),"n/a")</f>
        <v>RS-SHL-BINS-V14-240101</v>
      </c>
      <c r="S602" s="262"/>
      <c r="T602" s="272">
        <v>0.13695535714285714</v>
      </c>
      <c r="U602" s="272">
        <v>0.13695535714285714</v>
      </c>
      <c r="V602" s="272">
        <v>0.13695535714285714</v>
      </c>
      <c r="W602" s="272">
        <v>0.13695535714285714</v>
      </c>
      <c r="X602" s="273">
        <f>IFERROR(INDEX('Measure Level Detail'!$R:$R,MATCH($B602&amp;"_"&amp;X$3,'Measure Level Detail'!$C:$C,0)),0)</f>
        <v>0</v>
      </c>
      <c r="Y602" s="273">
        <f>IFERROR(INDEX('Measure Level Detail'!$R:$R,MATCH($B602&amp;"_"&amp;Y$3,'Measure Level Detail'!$C:$C,0)),0)</f>
        <v>0</v>
      </c>
      <c r="Z602" s="273">
        <f>IFERROR(INDEX('Measure Level Detail'!$R:$R,MATCH($B602&amp;"_"&amp;Z$3,'Measure Level Detail'!$C:$C,0)),0)</f>
        <v>0</v>
      </c>
      <c r="AA602" s="273">
        <f>IFERROR(INDEX('Measure Level Detail'!$R:$R,MATCH($B602&amp;"_"&amp;AA$3,'Measure Level Detail'!$C:$C,0)),0)</f>
        <v>0</v>
      </c>
      <c r="AB602" s="266">
        <f t="shared" si="367"/>
        <v>0</v>
      </c>
      <c r="AC602" s="266">
        <f t="shared" si="368"/>
        <v>0</v>
      </c>
      <c r="AD602" s="266">
        <f t="shared" si="369"/>
        <v>0</v>
      </c>
      <c r="AE602" s="266">
        <f t="shared" si="370"/>
        <v>0</v>
      </c>
      <c r="AF602" s="266">
        <f t="shared" si="371"/>
        <v>0</v>
      </c>
      <c r="AG602" s="274">
        <v>0</v>
      </c>
      <c r="AH602" s="274">
        <v>0</v>
      </c>
      <c r="AI602" s="274">
        <v>0</v>
      </c>
      <c r="AJ602" s="274">
        <v>0</v>
      </c>
      <c r="AK602" s="274">
        <f t="shared" si="372"/>
        <v>0</v>
      </c>
      <c r="AL602" s="274">
        <f t="shared" si="373"/>
        <v>0</v>
      </c>
      <c r="AM602" s="274">
        <f t="shared" si="374"/>
        <v>0</v>
      </c>
      <c r="AN602" s="274">
        <f t="shared" si="375"/>
        <v>0</v>
      </c>
      <c r="AO602" s="262"/>
      <c r="AP602" s="262"/>
      <c r="AQ602" s="267">
        <v>0.13695535714285714</v>
      </c>
      <c r="AR602" s="262"/>
      <c r="AS602" s="266">
        <f t="shared" si="376"/>
        <v>0</v>
      </c>
      <c r="AT602" s="264">
        <f t="shared" si="377"/>
        <v>0</v>
      </c>
      <c r="AU602" s="262"/>
      <c r="AV602" s="262"/>
      <c r="AW602" s="265">
        <v>0.13695535714285714</v>
      </c>
      <c r="AX602" s="164" t="s">
        <v>2393</v>
      </c>
      <c r="AY602" s="266">
        <v>0</v>
      </c>
      <c r="AZ602" s="266">
        <f t="shared" si="378"/>
        <v>0</v>
      </c>
      <c r="BA602" s="264">
        <f t="shared" si="379"/>
        <v>0</v>
      </c>
      <c r="BB602" s="262"/>
      <c r="BC602" s="262"/>
      <c r="BD602" s="265">
        <f ca="1">IFERROR(INDEX(Algorithms!$G:$G,MATCH($C602&amp;"_Therm Saved per Unit",Algorithms!$A:$A,0)),0)</f>
        <v>0.70170749999999993</v>
      </c>
      <c r="BE602" s="164" t="str">
        <f ca="1">IFERROR(INDEX('v12 Revisions'!$P$29:$P$186, MATCH('Measure-Level Adj Gas'!$L602, 'v12 Revisions'!$D$29:$D$186,0)),"")</f>
        <v>Updated HDD from 5113 to 4798 and shell adjustment factor from 0.60 to 0.63 ; Updated measure life to 30 years.</v>
      </c>
      <c r="BF602" s="266">
        <f t="shared" ca="1" si="380"/>
        <v>0</v>
      </c>
      <c r="BG602" s="264">
        <f t="shared" ca="1" si="381"/>
        <v>0</v>
      </c>
      <c r="BH602" s="262"/>
      <c r="BI602" s="262"/>
      <c r="BJ602" s="265">
        <f ca="1">IFERROR(INDEX(Algorithms!$G:$G,MATCH($C602&amp;"_Therm Saved per Unit",Algorithms!$A:$A,0)),0)</f>
        <v>0.70170749999999993</v>
      </c>
      <c r="BK602" s="164"/>
      <c r="BL602" s="266">
        <f t="shared" ca="1" si="382"/>
        <v>0</v>
      </c>
      <c r="BM602" s="264">
        <f t="shared" ca="1" si="383"/>
        <v>0</v>
      </c>
      <c r="BN602" s="266">
        <f t="shared" si="384"/>
        <v>0</v>
      </c>
      <c r="BO602" s="266">
        <f t="shared" si="385"/>
        <v>0</v>
      </c>
      <c r="BP602" s="266">
        <f t="shared" ca="1" si="386"/>
        <v>0</v>
      </c>
      <c r="BQ602" s="266">
        <f t="shared" ca="1" si="387"/>
        <v>0</v>
      </c>
      <c r="BR602" s="268">
        <f t="shared" ca="1" si="388"/>
        <v>0</v>
      </c>
      <c r="BS602" s="262" t="s">
        <v>99</v>
      </c>
      <c r="BT602" s="277"/>
      <c r="BW602" s="266">
        <f t="shared" si="389"/>
        <v>0</v>
      </c>
      <c r="BX602" s="266">
        <f t="shared" si="390"/>
        <v>0</v>
      </c>
      <c r="BY602" s="266">
        <f t="shared" si="391"/>
        <v>0</v>
      </c>
      <c r="BZ602" s="266">
        <f t="shared" si="392"/>
        <v>0</v>
      </c>
      <c r="CA602" s="266">
        <f ca="1">N602*IFERROR(INDEX(Algorithms!$G:$G,MATCH($C602&amp;"_Therm Saved per Unit- MLA",Algorithms!$A:$A,0)),0)*X602</f>
        <v>0</v>
      </c>
      <c r="CB602" s="266">
        <f ca="1">O602*IFERROR(INDEX(Algorithms!$G:$G,MATCH($C602&amp;"_Therm Saved per Unit- MLA",Algorithms!$A:$A,0)),0)*Y602</f>
        <v>0</v>
      </c>
      <c r="CC602" s="266">
        <f ca="1">P602*IFERROR(INDEX(Algorithms!$G:$G,MATCH($C602&amp;"_Therm Saved per Unit- MLA",Algorithms!$A:$A,0)),0)*Z602</f>
        <v>0</v>
      </c>
      <c r="CD602" s="266">
        <f ca="1">Q602*IFERROR(INDEX(Algorithms!$G:$G,MATCH($C602&amp;"_Therm Saved per Unit- MLA",Algorithms!$A:$A,0)),0)*AA602</f>
        <v>0</v>
      </c>
      <c r="CE602" s="266">
        <f ca="1">IFERROR(INDEX(Algorithms!$G:$G,MATCH($C602&amp;"_Lifetime (years)",Algorithms!$A:$A,0)),0)</f>
        <v>30</v>
      </c>
      <c r="CF602" s="266">
        <f ca="1">IFERROR(INDEX(Algorithms!$G:$G,MATCH($C602&amp;"_Lifetime (years) - Remaining Years",Algorithms!$A:$A,0)),0)</f>
        <v>10</v>
      </c>
      <c r="CG602" s="266">
        <f t="shared" ca="1" si="393"/>
        <v>0</v>
      </c>
      <c r="CH602" s="266">
        <f t="shared" ca="1" si="394"/>
        <v>0</v>
      </c>
      <c r="CI602" s="266">
        <f t="shared" ca="1" si="395"/>
        <v>0</v>
      </c>
      <c r="CJ602" s="266">
        <f t="shared" ca="1" si="396"/>
        <v>0</v>
      </c>
      <c r="CK602" s="266">
        <f t="shared" si="397"/>
        <v>0</v>
      </c>
      <c r="CL602" s="266">
        <f t="shared" si="398"/>
        <v>0</v>
      </c>
      <c r="CM602" s="266">
        <f t="shared" ca="1" si="399"/>
        <v>0</v>
      </c>
      <c r="CN602" s="266">
        <f t="shared" ca="1" si="400"/>
        <v>0</v>
      </c>
      <c r="CO602" s="266">
        <f ca="1">N602*IFERROR(INDEX(Algorithms!$G:$G,MATCH($C602&amp;"_Therm Saved per Unit- MLA",Algorithms!$A:$A,0)),0)*X602</f>
        <v>0</v>
      </c>
      <c r="CP602" s="266">
        <f ca="1">O602*IFERROR(INDEX(Algorithms!$G:$G,MATCH($C602&amp;"_Therm Saved per Unit- MLA",Algorithms!$A:$A,0)),0)*Y602</f>
        <v>0</v>
      </c>
      <c r="CQ602" s="266">
        <f ca="1">P602*IFERROR(INDEX(Algorithms!$G:$G,MATCH($C602&amp;"_Therm Saved per Unit- MLA",Algorithms!$A:$A,0)),0)*Z602</f>
        <v>0</v>
      </c>
      <c r="CR602" s="266">
        <f ca="1">Q602*IFERROR(INDEX(Algorithms!$G:$G,MATCH($C602&amp;"_Therm Saved per Unit- MLA",Algorithms!$A:$A,0)),0)*AA602</f>
        <v>0</v>
      </c>
      <c r="CS602" s="266">
        <f ca="1">IFERROR(INDEX(Algorithms!$G:$G,MATCH($C602&amp;"_Lifetime (years)",Algorithms!$A:$A,0)),0)</f>
        <v>30</v>
      </c>
      <c r="CT602" s="266">
        <f ca="1">IFERROR(INDEX(Algorithms!$G:$G,MATCH($C602&amp;"_Lifetime (years) - Remaining Years",Algorithms!$A:$A,0)),0)</f>
        <v>10</v>
      </c>
      <c r="CU602" s="266">
        <f t="shared" ca="1" si="401"/>
        <v>0</v>
      </c>
      <c r="CV602" s="266">
        <f t="shared" ca="1" si="402"/>
        <v>0</v>
      </c>
      <c r="CW602" s="266">
        <f t="shared" ca="1" si="403"/>
        <v>0</v>
      </c>
      <c r="CX602" s="266">
        <f t="shared" ca="1" si="404"/>
        <v>0</v>
      </c>
    </row>
    <row r="603" spans="2:102" s="47" customFormat="1" ht="18" customHeight="1" x14ac:dyDescent="0.25">
      <c r="B603" t="str">
        <f t="shared" si="405"/>
        <v>NSG_Income Eligible_Single Family_CBA_Rim Joist Insulation_0_SF</v>
      </c>
      <c r="C603" s="47" t="str">
        <f t="shared" si="366"/>
        <v>Rim Joist Insulation_0_SF</v>
      </c>
      <c r="D603" s="270" t="s">
        <v>1787</v>
      </c>
      <c r="E603" s="270" t="s">
        <v>325</v>
      </c>
      <c r="F603" s="270" t="s">
        <v>375</v>
      </c>
      <c r="G603" s="270" t="s">
        <v>1809</v>
      </c>
      <c r="H603" s="270" t="s">
        <v>759</v>
      </c>
      <c r="I603" s="270">
        <v>0</v>
      </c>
      <c r="J603" s="270" t="s">
        <v>409</v>
      </c>
      <c r="K603" s="263">
        <v>1</v>
      </c>
      <c r="L603" s="263" t="str">
        <f ca="1">IFERROR(INDEX(Algorithms!J:J,MATCH($C603&amp;"_Therm Saved per Unit",Algorithms!$A:$A,0)),"n/a")</f>
        <v>5.6.6</v>
      </c>
      <c r="M603" s="263">
        <f>IFERROR(INDEX('Measure Level Detail'!$N:$N,MATCH($B603,'Measure Level Detail'!$B:$B,0)),0)</f>
        <v>0</v>
      </c>
      <c r="N603" s="271">
        <f>IFERROR(INDEX('Measure Level Detail'!$P:$P,MATCH($B603&amp;"_"&amp;N$3,'Measure Level Detail'!$C:$C,0)),0)</f>
        <v>0</v>
      </c>
      <c r="O603" s="271">
        <f>IFERROR(INDEX('Measure Level Detail'!$P:$P,MATCH($B603&amp;"_"&amp;O$3,'Measure Level Detail'!$C:$C,0)),0)</f>
        <v>0</v>
      </c>
      <c r="P603" s="271">
        <f>IFERROR(INDEX('Measure Level Detail'!$P:$P,MATCH($B603&amp;"_"&amp;P$3,'Measure Level Detail'!$C:$C,0)),0)</f>
        <v>0</v>
      </c>
      <c r="Q603" s="271">
        <f>IFERROR(INDEX('Measure Level Detail'!$P:$P,MATCH($B603&amp;"_"&amp;Q$3,'Measure Level Detail'!$C:$C,0)),0)</f>
        <v>0</v>
      </c>
      <c r="R603" s="263" t="str">
        <f ca="1">IFERROR(INDEX(Algorithms!K:K,MATCH($C603&amp;"_Therm Saved per Unit",Algorithms!$A:$A,0)),"n/a")</f>
        <v>RS-SHL-RINS-V06-240101</v>
      </c>
      <c r="S603" s="262"/>
      <c r="T603" s="272">
        <v>0.13714870588235292</v>
      </c>
      <c r="U603" s="272">
        <v>0.13714870588235292</v>
      </c>
      <c r="V603" s="272">
        <v>0.13714870588235292</v>
      </c>
      <c r="W603" s="272">
        <v>0.13714870588235292</v>
      </c>
      <c r="X603" s="273">
        <f>IFERROR(INDEX('Measure Level Detail'!$R:$R,MATCH($B603&amp;"_"&amp;X$3,'Measure Level Detail'!$C:$C,0)),0)</f>
        <v>0</v>
      </c>
      <c r="Y603" s="273">
        <f>IFERROR(INDEX('Measure Level Detail'!$R:$R,MATCH($B603&amp;"_"&amp;Y$3,'Measure Level Detail'!$C:$C,0)),0)</f>
        <v>0</v>
      </c>
      <c r="Z603" s="273">
        <f>IFERROR(INDEX('Measure Level Detail'!$R:$R,MATCH($B603&amp;"_"&amp;Z$3,'Measure Level Detail'!$C:$C,0)),0)</f>
        <v>0</v>
      </c>
      <c r="AA603" s="273">
        <f>IFERROR(INDEX('Measure Level Detail'!$R:$R,MATCH($B603&amp;"_"&amp;AA$3,'Measure Level Detail'!$C:$C,0)),0)</f>
        <v>0</v>
      </c>
      <c r="AB603" s="266">
        <f t="shared" si="367"/>
        <v>0</v>
      </c>
      <c r="AC603" s="266">
        <f t="shared" si="368"/>
        <v>0</v>
      </c>
      <c r="AD603" s="266">
        <f t="shared" si="369"/>
        <v>0</v>
      </c>
      <c r="AE603" s="266">
        <f t="shared" si="370"/>
        <v>0</v>
      </c>
      <c r="AF603" s="266">
        <f t="shared" si="371"/>
        <v>0</v>
      </c>
      <c r="AG603" s="274">
        <v>0</v>
      </c>
      <c r="AH603" s="274">
        <v>0</v>
      </c>
      <c r="AI603" s="274">
        <v>0</v>
      </c>
      <c r="AJ603" s="274">
        <v>0</v>
      </c>
      <c r="AK603" s="274">
        <f t="shared" si="372"/>
        <v>0</v>
      </c>
      <c r="AL603" s="274">
        <f t="shared" si="373"/>
        <v>0</v>
      </c>
      <c r="AM603" s="274">
        <f t="shared" si="374"/>
        <v>0</v>
      </c>
      <c r="AN603" s="274">
        <f t="shared" si="375"/>
        <v>0</v>
      </c>
      <c r="AO603" s="262"/>
      <c r="AP603" s="262"/>
      <c r="AQ603" s="267">
        <v>0.13714870588235292</v>
      </c>
      <c r="AR603" s="262"/>
      <c r="AS603" s="266">
        <f t="shared" si="376"/>
        <v>0</v>
      </c>
      <c r="AT603" s="264">
        <f t="shared" si="377"/>
        <v>0</v>
      </c>
      <c r="AU603" s="262"/>
      <c r="AV603" s="262"/>
      <c r="AW603" s="265">
        <v>0.13714870588235292</v>
      </c>
      <c r="AX603" s="164" t="s">
        <v>2393</v>
      </c>
      <c r="AY603" s="266">
        <v>0</v>
      </c>
      <c r="AZ603" s="266">
        <f t="shared" si="378"/>
        <v>0</v>
      </c>
      <c r="BA603" s="264">
        <f t="shared" si="379"/>
        <v>0</v>
      </c>
      <c r="BB603" s="262"/>
      <c r="BC603" s="262"/>
      <c r="BD603" s="265">
        <f ca="1">IFERROR(INDEX(Algorithms!$G:$G,MATCH($C603&amp;"_Therm Saved per Unit",Algorithms!$A:$A,0)),0)</f>
        <v>0.13513425882352939</v>
      </c>
      <c r="BE603" s="164" t="str">
        <f ca="1">IFERROR(INDEX('v12 Revisions'!$P$29:$P$186, MATCH('Measure-Level Adj Gas'!$L603, 'v12 Revisions'!$D$29:$D$186,0)),"")</f>
        <v>Updated HDD from 3079 to 2845 and shell adjustment factor from 0.60 to 0.63, despite this revision not being explicitly stated in explanation of change ; Updated measure life to 30 years.</v>
      </c>
      <c r="BF603" s="266">
        <f t="shared" ca="1" si="380"/>
        <v>0</v>
      </c>
      <c r="BG603" s="264">
        <f t="shared" ca="1" si="381"/>
        <v>0</v>
      </c>
      <c r="BH603" s="262"/>
      <c r="BI603" s="262"/>
      <c r="BJ603" s="265">
        <f ca="1">IFERROR(INDEX(Algorithms!$G:$G,MATCH($C603&amp;"_Therm Saved per Unit",Algorithms!$A:$A,0)),0)</f>
        <v>0.13513425882352939</v>
      </c>
      <c r="BK603" s="164"/>
      <c r="BL603" s="266">
        <f t="shared" ca="1" si="382"/>
        <v>0</v>
      </c>
      <c r="BM603" s="264">
        <f t="shared" ca="1" si="383"/>
        <v>0</v>
      </c>
      <c r="BN603" s="266">
        <f t="shared" si="384"/>
        <v>0</v>
      </c>
      <c r="BO603" s="266">
        <f t="shared" si="385"/>
        <v>0</v>
      </c>
      <c r="BP603" s="266">
        <f t="shared" ca="1" si="386"/>
        <v>0</v>
      </c>
      <c r="BQ603" s="266">
        <f t="shared" ca="1" si="387"/>
        <v>0</v>
      </c>
      <c r="BR603" s="268">
        <f t="shared" ca="1" si="388"/>
        <v>0</v>
      </c>
      <c r="BS603" s="262" t="s">
        <v>99</v>
      </c>
      <c r="BT603" s="277"/>
      <c r="BW603" s="266">
        <f t="shared" si="389"/>
        <v>0</v>
      </c>
      <c r="BX603" s="266">
        <f t="shared" si="390"/>
        <v>0</v>
      </c>
      <c r="BY603" s="266">
        <f t="shared" si="391"/>
        <v>0</v>
      </c>
      <c r="BZ603" s="266">
        <f t="shared" si="392"/>
        <v>0</v>
      </c>
      <c r="CA603" s="266">
        <f ca="1">N603*IFERROR(INDEX(Algorithms!$G:$G,MATCH($C603&amp;"_Therm Saved per Unit- MLA",Algorithms!$A:$A,0)),0)*X603</f>
        <v>0</v>
      </c>
      <c r="CB603" s="266">
        <f ca="1">O603*IFERROR(INDEX(Algorithms!$G:$G,MATCH($C603&amp;"_Therm Saved per Unit- MLA",Algorithms!$A:$A,0)),0)*Y603</f>
        <v>0</v>
      </c>
      <c r="CC603" s="266">
        <f ca="1">P603*IFERROR(INDEX(Algorithms!$G:$G,MATCH($C603&amp;"_Therm Saved per Unit- MLA",Algorithms!$A:$A,0)),0)*Z603</f>
        <v>0</v>
      </c>
      <c r="CD603" s="266">
        <f ca="1">Q603*IFERROR(INDEX(Algorithms!$G:$G,MATCH($C603&amp;"_Therm Saved per Unit- MLA",Algorithms!$A:$A,0)),0)*AA603</f>
        <v>0</v>
      </c>
      <c r="CE603" s="266">
        <f ca="1">IFERROR(INDEX(Algorithms!$G:$G,MATCH($C603&amp;"_Lifetime (years)",Algorithms!$A:$A,0)),0)</f>
        <v>30</v>
      </c>
      <c r="CF603" s="266">
        <f ca="1">IFERROR(INDEX(Algorithms!$G:$G,MATCH($C603&amp;"_Lifetime (years) - Remaining Years",Algorithms!$A:$A,0)),0)</f>
        <v>10</v>
      </c>
      <c r="CG603" s="266">
        <f t="shared" ca="1" si="393"/>
        <v>0</v>
      </c>
      <c r="CH603" s="266">
        <f t="shared" ca="1" si="394"/>
        <v>0</v>
      </c>
      <c r="CI603" s="266">
        <f t="shared" ca="1" si="395"/>
        <v>0</v>
      </c>
      <c r="CJ603" s="266">
        <f t="shared" ca="1" si="396"/>
        <v>0</v>
      </c>
      <c r="CK603" s="266">
        <f t="shared" si="397"/>
        <v>0</v>
      </c>
      <c r="CL603" s="266">
        <f t="shared" si="398"/>
        <v>0</v>
      </c>
      <c r="CM603" s="266">
        <f t="shared" ca="1" si="399"/>
        <v>0</v>
      </c>
      <c r="CN603" s="266">
        <f t="shared" ca="1" si="400"/>
        <v>0</v>
      </c>
      <c r="CO603" s="266">
        <f ca="1">N603*IFERROR(INDEX(Algorithms!$G:$G,MATCH($C603&amp;"_Therm Saved per Unit- MLA",Algorithms!$A:$A,0)),0)*X603</f>
        <v>0</v>
      </c>
      <c r="CP603" s="266">
        <f ca="1">O603*IFERROR(INDEX(Algorithms!$G:$G,MATCH($C603&amp;"_Therm Saved per Unit- MLA",Algorithms!$A:$A,0)),0)*Y603</f>
        <v>0</v>
      </c>
      <c r="CQ603" s="266">
        <f ca="1">P603*IFERROR(INDEX(Algorithms!$G:$G,MATCH($C603&amp;"_Therm Saved per Unit- MLA",Algorithms!$A:$A,0)),0)*Z603</f>
        <v>0</v>
      </c>
      <c r="CR603" s="266">
        <f ca="1">Q603*IFERROR(INDEX(Algorithms!$G:$G,MATCH($C603&amp;"_Therm Saved per Unit- MLA",Algorithms!$A:$A,0)),0)*AA603</f>
        <v>0</v>
      </c>
      <c r="CS603" s="266">
        <f ca="1">IFERROR(INDEX(Algorithms!$G:$G,MATCH($C603&amp;"_Lifetime (years)",Algorithms!$A:$A,0)),0)</f>
        <v>30</v>
      </c>
      <c r="CT603" s="266">
        <f ca="1">IFERROR(INDEX(Algorithms!$G:$G,MATCH($C603&amp;"_Lifetime (years) - Remaining Years",Algorithms!$A:$A,0)),0)</f>
        <v>10</v>
      </c>
      <c r="CU603" s="266">
        <f t="shared" ca="1" si="401"/>
        <v>0</v>
      </c>
      <c r="CV603" s="266">
        <f t="shared" ca="1" si="402"/>
        <v>0</v>
      </c>
      <c r="CW603" s="266">
        <f t="shared" ca="1" si="403"/>
        <v>0</v>
      </c>
      <c r="CX603" s="266">
        <f t="shared" ca="1" si="404"/>
        <v>0</v>
      </c>
    </row>
    <row r="604" spans="2:102" s="47" customFormat="1" ht="18" customHeight="1" x14ac:dyDescent="0.25">
      <c r="B604" t="str">
        <f t="shared" si="405"/>
        <v>NSG_Income Eligible_Single Family_CBA_Floor Insulation Above Crawlspace_0_SF</v>
      </c>
      <c r="C604" s="47" t="str">
        <f t="shared" si="366"/>
        <v>Floor Insulation Above Crawlspace_0_SF</v>
      </c>
      <c r="D604" s="270" t="s">
        <v>1787</v>
      </c>
      <c r="E604" s="270" t="s">
        <v>325</v>
      </c>
      <c r="F604" s="270" t="s">
        <v>375</v>
      </c>
      <c r="G604" s="270" t="s">
        <v>1809</v>
      </c>
      <c r="H604" s="270" t="s">
        <v>244</v>
      </c>
      <c r="I604" s="270">
        <v>0</v>
      </c>
      <c r="J604" s="270" t="s">
        <v>409</v>
      </c>
      <c r="K604" s="263">
        <v>1</v>
      </c>
      <c r="L604" s="263" t="str">
        <f ca="1">IFERROR(INDEX(Algorithms!J:J,MATCH($C604&amp;"_Therm Saved per Unit",Algorithms!$A:$A,0)),"n/a")</f>
        <v>5.6.3</v>
      </c>
      <c r="M604" s="263">
        <f>IFERROR(INDEX('Measure Level Detail'!$N:$N,MATCH($B604,'Measure Level Detail'!$B:$B,0)),0)</f>
        <v>0</v>
      </c>
      <c r="N604" s="271">
        <f>IFERROR(INDEX('Measure Level Detail'!$P:$P,MATCH($B604&amp;"_"&amp;N$3,'Measure Level Detail'!$C:$C,0)),0)</f>
        <v>0</v>
      </c>
      <c r="O604" s="271">
        <f>IFERROR(INDEX('Measure Level Detail'!$P:$P,MATCH($B604&amp;"_"&amp;O$3,'Measure Level Detail'!$C:$C,0)),0)</f>
        <v>0</v>
      </c>
      <c r="P604" s="271">
        <f>IFERROR(INDEX('Measure Level Detail'!$P:$P,MATCH($B604&amp;"_"&amp;P$3,'Measure Level Detail'!$C:$C,0)),0)</f>
        <v>0</v>
      </c>
      <c r="Q604" s="271">
        <f>IFERROR(INDEX('Measure Level Detail'!$P:$P,MATCH($B604&amp;"_"&amp;Q$3,'Measure Level Detail'!$C:$C,0)),0)</f>
        <v>0</v>
      </c>
      <c r="R604" s="263" t="str">
        <f ca="1">IFERROR(INDEX(Algorithms!K:K,MATCH($C604&amp;"_Therm Saved per Unit",Algorithms!$A:$A,0)),"n/a")</f>
        <v>RS-SHL-FINS-V15-240101</v>
      </c>
      <c r="S604" s="262"/>
      <c r="T604" s="272">
        <v>0.10489255765199164</v>
      </c>
      <c r="U604" s="272">
        <v>0.10489255765199164</v>
      </c>
      <c r="V604" s="272">
        <v>0.10489255765199164</v>
      </c>
      <c r="W604" s="272">
        <v>0.10489255765199164</v>
      </c>
      <c r="X604" s="273">
        <f>IFERROR(INDEX('Measure Level Detail'!$R:$R,MATCH($B604&amp;"_"&amp;X$3,'Measure Level Detail'!$C:$C,0)),0)</f>
        <v>0</v>
      </c>
      <c r="Y604" s="273">
        <f>IFERROR(INDEX('Measure Level Detail'!$R:$R,MATCH($B604&amp;"_"&amp;Y$3,'Measure Level Detail'!$C:$C,0)),0)</f>
        <v>0</v>
      </c>
      <c r="Z604" s="273">
        <f>IFERROR(INDEX('Measure Level Detail'!$R:$R,MATCH($B604&amp;"_"&amp;Z$3,'Measure Level Detail'!$C:$C,0)),0)</f>
        <v>0</v>
      </c>
      <c r="AA604" s="273">
        <f>IFERROR(INDEX('Measure Level Detail'!$R:$R,MATCH($B604&amp;"_"&amp;AA$3,'Measure Level Detail'!$C:$C,0)),0)</f>
        <v>0</v>
      </c>
      <c r="AB604" s="266">
        <f t="shared" si="367"/>
        <v>0</v>
      </c>
      <c r="AC604" s="266">
        <f t="shared" si="368"/>
        <v>0</v>
      </c>
      <c r="AD604" s="266">
        <f t="shared" si="369"/>
        <v>0</v>
      </c>
      <c r="AE604" s="266">
        <f t="shared" si="370"/>
        <v>0</v>
      </c>
      <c r="AF604" s="266">
        <f t="shared" si="371"/>
        <v>0</v>
      </c>
      <c r="AG604" s="274">
        <v>0</v>
      </c>
      <c r="AH604" s="274">
        <v>0</v>
      </c>
      <c r="AI604" s="274">
        <v>0</v>
      </c>
      <c r="AJ604" s="274">
        <v>0</v>
      </c>
      <c r="AK604" s="274">
        <f t="shared" si="372"/>
        <v>0</v>
      </c>
      <c r="AL604" s="274">
        <f t="shared" si="373"/>
        <v>0</v>
      </c>
      <c r="AM604" s="274">
        <f t="shared" si="374"/>
        <v>0</v>
      </c>
      <c r="AN604" s="274">
        <f t="shared" si="375"/>
        <v>0</v>
      </c>
      <c r="AO604" s="262"/>
      <c r="AP604" s="262"/>
      <c r="AQ604" s="267">
        <v>0.10489255765199164</v>
      </c>
      <c r="AR604" s="262"/>
      <c r="AS604" s="266">
        <f t="shared" si="376"/>
        <v>0</v>
      </c>
      <c r="AT604" s="264">
        <f t="shared" si="377"/>
        <v>0</v>
      </c>
      <c r="AU604" s="262"/>
      <c r="AV604" s="262"/>
      <c r="AW604" s="265">
        <v>0.10489255765199164</v>
      </c>
      <c r="AX604" s="164" t="s">
        <v>2393</v>
      </c>
      <c r="AY604" s="266">
        <v>0</v>
      </c>
      <c r="AZ604" s="266">
        <f t="shared" si="378"/>
        <v>0</v>
      </c>
      <c r="BA604" s="264">
        <f t="shared" si="379"/>
        <v>0</v>
      </c>
      <c r="BB604" s="262"/>
      <c r="BC604" s="262"/>
      <c r="BD604" s="265">
        <f ca="1">IFERROR(INDEX(Algorithms!$G:$G,MATCH($C604&amp;"_Therm Saved per Unit",Algorithms!$A:$A,0)),0)</f>
        <v>0.10176690251572328</v>
      </c>
      <c r="BE604" s="164" t="str">
        <f ca="1">IFERROR(INDEX('v12 Revisions'!$P$29:$P$186, MATCH('Measure-Level Adj Gas'!$L604, 'v12 Revisions'!$D$29:$D$186,0)),"")</f>
        <v>Updated HDD from 3079 to 2845 and shell adjustment factor from 0.60 to 0.63 ; Updated measure life to 30 years.</v>
      </c>
      <c r="BF604" s="266">
        <f t="shared" ca="1" si="380"/>
        <v>0</v>
      </c>
      <c r="BG604" s="264">
        <f t="shared" ca="1" si="381"/>
        <v>0</v>
      </c>
      <c r="BH604" s="262"/>
      <c r="BI604" s="262"/>
      <c r="BJ604" s="265">
        <f ca="1">IFERROR(INDEX(Algorithms!$G:$G,MATCH($C604&amp;"_Therm Saved per Unit",Algorithms!$A:$A,0)),0)</f>
        <v>0.10176690251572328</v>
      </c>
      <c r="BK604" s="164"/>
      <c r="BL604" s="266">
        <f t="shared" ca="1" si="382"/>
        <v>0</v>
      </c>
      <c r="BM604" s="264">
        <f t="shared" ca="1" si="383"/>
        <v>0</v>
      </c>
      <c r="BN604" s="266">
        <f t="shared" si="384"/>
        <v>0</v>
      </c>
      <c r="BO604" s="266">
        <f t="shared" si="385"/>
        <v>0</v>
      </c>
      <c r="BP604" s="266">
        <f t="shared" ca="1" si="386"/>
        <v>0</v>
      </c>
      <c r="BQ604" s="266">
        <f t="shared" ca="1" si="387"/>
        <v>0</v>
      </c>
      <c r="BR604" s="268">
        <f t="shared" ca="1" si="388"/>
        <v>0</v>
      </c>
      <c r="BS604" s="262" t="s">
        <v>99</v>
      </c>
      <c r="BT604" s="277"/>
      <c r="BW604" s="266">
        <f t="shared" si="389"/>
        <v>0</v>
      </c>
      <c r="BX604" s="266">
        <f t="shared" si="390"/>
        <v>0</v>
      </c>
      <c r="BY604" s="266">
        <f t="shared" si="391"/>
        <v>0</v>
      </c>
      <c r="BZ604" s="266">
        <f t="shared" si="392"/>
        <v>0</v>
      </c>
      <c r="CA604" s="266">
        <f ca="1">N604*IFERROR(INDEX(Algorithms!$G:$G,MATCH($C604&amp;"_Therm Saved per Unit- MLA",Algorithms!$A:$A,0)),0)*X604</f>
        <v>0</v>
      </c>
      <c r="CB604" s="266">
        <f ca="1">O604*IFERROR(INDEX(Algorithms!$G:$G,MATCH($C604&amp;"_Therm Saved per Unit- MLA",Algorithms!$A:$A,0)),0)*Y604</f>
        <v>0</v>
      </c>
      <c r="CC604" s="266">
        <f ca="1">P604*IFERROR(INDEX(Algorithms!$G:$G,MATCH($C604&amp;"_Therm Saved per Unit- MLA",Algorithms!$A:$A,0)),0)*Z604</f>
        <v>0</v>
      </c>
      <c r="CD604" s="266">
        <f ca="1">Q604*IFERROR(INDEX(Algorithms!$G:$G,MATCH($C604&amp;"_Therm Saved per Unit- MLA",Algorithms!$A:$A,0)),0)*AA604</f>
        <v>0</v>
      </c>
      <c r="CE604" s="266">
        <f ca="1">IFERROR(INDEX(Algorithms!$G:$G,MATCH($C604&amp;"_Lifetime (years)",Algorithms!$A:$A,0)),0)</f>
        <v>30</v>
      </c>
      <c r="CF604" s="266">
        <f ca="1">IFERROR(INDEX(Algorithms!$G:$G,MATCH($C604&amp;"_Lifetime (years) - Remaining Years",Algorithms!$A:$A,0)),0)</f>
        <v>10</v>
      </c>
      <c r="CG604" s="266">
        <f t="shared" ca="1" si="393"/>
        <v>0</v>
      </c>
      <c r="CH604" s="266">
        <f t="shared" ca="1" si="394"/>
        <v>0</v>
      </c>
      <c r="CI604" s="266">
        <f t="shared" ca="1" si="395"/>
        <v>0</v>
      </c>
      <c r="CJ604" s="266">
        <f t="shared" ca="1" si="396"/>
        <v>0</v>
      </c>
      <c r="CK604" s="266">
        <f t="shared" si="397"/>
        <v>0</v>
      </c>
      <c r="CL604" s="266">
        <f t="shared" si="398"/>
        <v>0</v>
      </c>
      <c r="CM604" s="266">
        <f t="shared" ca="1" si="399"/>
        <v>0</v>
      </c>
      <c r="CN604" s="266">
        <f t="shared" ca="1" si="400"/>
        <v>0</v>
      </c>
      <c r="CO604" s="266">
        <f ca="1">N604*IFERROR(INDEX(Algorithms!$G:$G,MATCH($C604&amp;"_Therm Saved per Unit- MLA",Algorithms!$A:$A,0)),0)*X604</f>
        <v>0</v>
      </c>
      <c r="CP604" s="266">
        <f ca="1">O604*IFERROR(INDEX(Algorithms!$G:$G,MATCH($C604&amp;"_Therm Saved per Unit- MLA",Algorithms!$A:$A,0)),0)*Y604</f>
        <v>0</v>
      </c>
      <c r="CQ604" s="266">
        <f ca="1">P604*IFERROR(INDEX(Algorithms!$G:$G,MATCH($C604&amp;"_Therm Saved per Unit- MLA",Algorithms!$A:$A,0)),0)*Z604</f>
        <v>0</v>
      </c>
      <c r="CR604" s="266">
        <f ca="1">Q604*IFERROR(INDEX(Algorithms!$G:$G,MATCH($C604&amp;"_Therm Saved per Unit- MLA",Algorithms!$A:$A,0)),0)*AA604</f>
        <v>0</v>
      </c>
      <c r="CS604" s="266">
        <f ca="1">IFERROR(INDEX(Algorithms!$G:$G,MATCH($C604&amp;"_Lifetime (years)",Algorithms!$A:$A,0)),0)</f>
        <v>30</v>
      </c>
      <c r="CT604" s="266">
        <f ca="1">IFERROR(INDEX(Algorithms!$G:$G,MATCH($C604&amp;"_Lifetime (years) - Remaining Years",Algorithms!$A:$A,0)),0)</f>
        <v>10</v>
      </c>
      <c r="CU604" s="266">
        <f t="shared" ca="1" si="401"/>
        <v>0</v>
      </c>
      <c r="CV604" s="266">
        <f t="shared" ca="1" si="402"/>
        <v>0</v>
      </c>
      <c r="CW604" s="266">
        <f t="shared" ca="1" si="403"/>
        <v>0</v>
      </c>
      <c r="CX604" s="266">
        <f t="shared" ca="1" si="404"/>
        <v>0</v>
      </c>
    </row>
    <row r="605" spans="2:102" s="47" customFormat="1" ht="18" customHeight="1" x14ac:dyDescent="0.25">
      <c r="B605" t="str">
        <f t="shared" si="405"/>
        <v>NSG_Income Eligible_Single Family_CBA_Knee Wall Insulation_0_SF</v>
      </c>
      <c r="C605" s="47" t="str">
        <f t="shared" si="366"/>
        <v>Knee Wall Insulation_0_SF</v>
      </c>
      <c r="D605" s="270" t="s">
        <v>1787</v>
      </c>
      <c r="E605" s="270" t="s">
        <v>325</v>
      </c>
      <c r="F605" s="270" t="s">
        <v>375</v>
      </c>
      <c r="G605" s="270" t="s">
        <v>1809</v>
      </c>
      <c r="H605" s="270" t="s">
        <v>781</v>
      </c>
      <c r="I605" s="270">
        <v>0</v>
      </c>
      <c r="J605" s="270" t="s">
        <v>409</v>
      </c>
      <c r="K605" s="263">
        <v>1</v>
      </c>
      <c r="L605" s="263" t="str">
        <f ca="1">IFERROR(INDEX(Algorithms!J:J,MATCH($C605&amp;"_Therm Saved per Unit",Algorithms!$A:$A,0)),"n/a")</f>
        <v>5.6.4</v>
      </c>
      <c r="M605" s="263">
        <f>IFERROR(INDEX('Measure Level Detail'!$N:$N,MATCH($B605,'Measure Level Detail'!$B:$B,0)),0)</f>
        <v>0</v>
      </c>
      <c r="N605" s="271">
        <f>IFERROR(INDEX('Measure Level Detail'!$P:$P,MATCH($B605&amp;"_"&amp;N$3,'Measure Level Detail'!$C:$C,0)),0)</f>
        <v>0</v>
      </c>
      <c r="O605" s="271">
        <f>IFERROR(INDEX('Measure Level Detail'!$P:$P,MATCH($B605&amp;"_"&amp;O$3,'Measure Level Detail'!$C:$C,0)),0)</f>
        <v>0</v>
      </c>
      <c r="P605" s="271">
        <f>IFERROR(INDEX('Measure Level Detail'!$P:$P,MATCH($B605&amp;"_"&amp;P$3,'Measure Level Detail'!$C:$C,0)),0)</f>
        <v>0</v>
      </c>
      <c r="Q605" s="271">
        <f>IFERROR(INDEX('Measure Level Detail'!$P:$P,MATCH($B605&amp;"_"&amp;Q$3,'Measure Level Detail'!$C:$C,0)),0)</f>
        <v>0</v>
      </c>
      <c r="R605" s="263" t="str">
        <f ca="1">IFERROR(INDEX(Algorithms!K:K,MATCH($C605&amp;"_Therm Saved per Unit",Algorithms!$A:$A,0)),"n/a")</f>
        <v>RS-SHL-WINS-V13-240101</v>
      </c>
      <c r="S605" s="262"/>
      <c r="T605" s="272">
        <v>0.10827529411764705</v>
      </c>
      <c r="U605" s="272">
        <v>0.10827529411764705</v>
      </c>
      <c r="V605" s="272">
        <v>0.10827529411764705</v>
      </c>
      <c r="W605" s="272">
        <v>0.10827529411764705</v>
      </c>
      <c r="X605" s="273">
        <f>IFERROR(INDEX('Measure Level Detail'!$R:$R,MATCH($B605&amp;"_"&amp;X$3,'Measure Level Detail'!$C:$C,0)),0)</f>
        <v>0</v>
      </c>
      <c r="Y605" s="273">
        <f>IFERROR(INDEX('Measure Level Detail'!$R:$R,MATCH($B605&amp;"_"&amp;Y$3,'Measure Level Detail'!$C:$C,0)),0)</f>
        <v>0</v>
      </c>
      <c r="Z605" s="273">
        <f>IFERROR(INDEX('Measure Level Detail'!$R:$R,MATCH($B605&amp;"_"&amp;Z$3,'Measure Level Detail'!$C:$C,0)),0)</f>
        <v>0</v>
      </c>
      <c r="AA605" s="273">
        <f>IFERROR(INDEX('Measure Level Detail'!$R:$R,MATCH($B605&amp;"_"&amp;AA$3,'Measure Level Detail'!$C:$C,0)),0)</f>
        <v>0</v>
      </c>
      <c r="AB605" s="266">
        <f t="shared" si="367"/>
        <v>0</v>
      </c>
      <c r="AC605" s="266">
        <f t="shared" si="368"/>
        <v>0</v>
      </c>
      <c r="AD605" s="266">
        <f t="shared" si="369"/>
        <v>0</v>
      </c>
      <c r="AE605" s="266">
        <f t="shared" si="370"/>
        <v>0</v>
      </c>
      <c r="AF605" s="266">
        <f t="shared" si="371"/>
        <v>0</v>
      </c>
      <c r="AG605" s="274">
        <v>0</v>
      </c>
      <c r="AH605" s="274">
        <v>0</v>
      </c>
      <c r="AI605" s="274">
        <v>0</v>
      </c>
      <c r="AJ605" s="274">
        <v>0</v>
      </c>
      <c r="AK605" s="274">
        <f t="shared" si="372"/>
        <v>0</v>
      </c>
      <c r="AL605" s="274">
        <f t="shared" si="373"/>
        <v>0</v>
      </c>
      <c r="AM605" s="274">
        <f t="shared" si="374"/>
        <v>0</v>
      </c>
      <c r="AN605" s="274">
        <f t="shared" si="375"/>
        <v>0</v>
      </c>
      <c r="AO605" s="262"/>
      <c r="AP605" s="262"/>
      <c r="AQ605" s="267">
        <v>0.10827529411764705</v>
      </c>
      <c r="AR605" s="262"/>
      <c r="AS605" s="266">
        <f t="shared" si="376"/>
        <v>0</v>
      </c>
      <c r="AT605" s="264">
        <f t="shared" si="377"/>
        <v>0</v>
      </c>
      <c r="AU605" s="262"/>
      <c r="AV605" s="262"/>
      <c r="AW605" s="265">
        <v>0.10827529411764705</v>
      </c>
      <c r="AX605" s="164" t="s">
        <v>2393</v>
      </c>
      <c r="AY605" s="266">
        <v>0</v>
      </c>
      <c r="AZ605" s="266">
        <f t="shared" si="378"/>
        <v>0</v>
      </c>
      <c r="BA605" s="264">
        <f t="shared" si="379"/>
        <v>0</v>
      </c>
      <c r="BB605" s="262"/>
      <c r="BC605" s="262"/>
      <c r="BD605" s="265">
        <f ca="1">IFERROR(INDEX(Algorithms!$G:$G,MATCH($C605&amp;"_Therm Saved per Unit",Algorithms!$A:$A,0)),0)</f>
        <v>0.10668494117647059</v>
      </c>
      <c r="BE605" s="164" t="str">
        <f ca="1">IFERROR(INDEX('v12 Revisions'!$P$29:$P$186, MATCH('Measure-Level Adj Gas'!$L605, 'v12 Revisions'!$D$29:$D$186,0)),"")</f>
        <v>Updated HDD from 5113 to 4798 and shell adjustment factor from 0.60 to 0.63 ; Updated measure life to 30 years.</v>
      </c>
      <c r="BF605" s="266">
        <f t="shared" ca="1" si="380"/>
        <v>0</v>
      </c>
      <c r="BG605" s="264">
        <f t="shared" ca="1" si="381"/>
        <v>0</v>
      </c>
      <c r="BH605" s="262"/>
      <c r="BI605" s="262"/>
      <c r="BJ605" s="265">
        <f ca="1">IFERROR(INDEX(Algorithms!$G:$G,MATCH($C605&amp;"_Therm Saved per Unit",Algorithms!$A:$A,0)),0)</f>
        <v>0.10668494117647059</v>
      </c>
      <c r="BK605" s="164"/>
      <c r="BL605" s="266">
        <f t="shared" ca="1" si="382"/>
        <v>0</v>
      </c>
      <c r="BM605" s="264">
        <f t="shared" ca="1" si="383"/>
        <v>0</v>
      </c>
      <c r="BN605" s="266">
        <f t="shared" si="384"/>
        <v>0</v>
      </c>
      <c r="BO605" s="266">
        <f t="shared" si="385"/>
        <v>0</v>
      </c>
      <c r="BP605" s="266">
        <f t="shared" ca="1" si="386"/>
        <v>0</v>
      </c>
      <c r="BQ605" s="266">
        <f t="shared" ca="1" si="387"/>
        <v>0</v>
      </c>
      <c r="BR605" s="268">
        <f t="shared" ca="1" si="388"/>
        <v>0</v>
      </c>
      <c r="BS605" s="262" t="s">
        <v>99</v>
      </c>
      <c r="BT605" s="277"/>
      <c r="BW605" s="266">
        <f t="shared" si="389"/>
        <v>0</v>
      </c>
      <c r="BX605" s="266">
        <f t="shared" si="390"/>
        <v>0</v>
      </c>
      <c r="BY605" s="266">
        <f t="shared" si="391"/>
        <v>0</v>
      </c>
      <c r="BZ605" s="266">
        <f t="shared" si="392"/>
        <v>0</v>
      </c>
      <c r="CA605" s="266">
        <f ca="1">N605*IFERROR(INDEX(Algorithms!$G:$G,MATCH($C605&amp;"_Therm Saved per Unit- MLA",Algorithms!$A:$A,0)),0)*X605</f>
        <v>0</v>
      </c>
      <c r="CB605" s="266">
        <f ca="1">O605*IFERROR(INDEX(Algorithms!$G:$G,MATCH($C605&amp;"_Therm Saved per Unit- MLA",Algorithms!$A:$A,0)),0)*Y605</f>
        <v>0</v>
      </c>
      <c r="CC605" s="266">
        <f ca="1">P605*IFERROR(INDEX(Algorithms!$G:$G,MATCH($C605&amp;"_Therm Saved per Unit- MLA",Algorithms!$A:$A,0)),0)*Z605</f>
        <v>0</v>
      </c>
      <c r="CD605" s="266">
        <f ca="1">Q605*IFERROR(INDEX(Algorithms!$G:$G,MATCH($C605&amp;"_Therm Saved per Unit- MLA",Algorithms!$A:$A,0)),0)*AA605</f>
        <v>0</v>
      </c>
      <c r="CE605" s="266">
        <f ca="1">IFERROR(INDEX(Algorithms!$G:$G,MATCH($C605&amp;"_Lifetime (years)",Algorithms!$A:$A,0)),0)</f>
        <v>30</v>
      </c>
      <c r="CF605" s="266">
        <f ca="1">IFERROR(INDEX(Algorithms!$G:$G,MATCH($C605&amp;"_Lifetime (years) - Remaining Years",Algorithms!$A:$A,0)),0)</f>
        <v>10</v>
      </c>
      <c r="CG605" s="266">
        <f t="shared" ca="1" si="393"/>
        <v>0</v>
      </c>
      <c r="CH605" s="266">
        <f t="shared" ca="1" si="394"/>
        <v>0</v>
      </c>
      <c r="CI605" s="266">
        <f t="shared" ca="1" si="395"/>
        <v>0</v>
      </c>
      <c r="CJ605" s="266">
        <f t="shared" ca="1" si="396"/>
        <v>0</v>
      </c>
      <c r="CK605" s="266">
        <f t="shared" si="397"/>
        <v>0</v>
      </c>
      <c r="CL605" s="266">
        <f t="shared" si="398"/>
        <v>0</v>
      </c>
      <c r="CM605" s="266">
        <f t="shared" ca="1" si="399"/>
        <v>0</v>
      </c>
      <c r="CN605" s="266">
        <f t="shared" ca="1" si="400"/>
        <v>0</v>
      </c>
      <c r="CO605" s="266">
        <f ca="1">N605*IFERROR(INDEX(Algorithms!$G:$G,MATCH($C605&amp;"_Therm Saved per Unit- MLA",Algorithms!$A:$A,0)),0)*X605</f>
        <v>0</v>
      </c>
      <c r="CP605" s="266">
        <f ca="1">O605*IFERROR(INDEX(Algorithms!$G:$G,MATCH($C605&amp;"_Therm Saved per Unit- MLA",Algorithms!$A:$A,0)),0)*Y605</f>
        <v>0</v>
      </c>
      <c r="CQ605" s="266">
        <f ca="1">P605*IFERROR(INDEX(Algorithms!$G:$G,MATCH($C605&amp;"_Therm Saved per Unit- MLA",Algorithms!$A:$A,0)),0)*Z605</f>
        <v>0</v>
      </c>
      <c r="CR605" s="266">
        <f ca="1">Q605*IFERROR(INDEX(Algorithms!$G:$G,MATCH($C605&amp;"_Therm Saved per Unit- MLA",Algorithms!$A:$A,0)),0)*AA605</f>
        <v>0</v>
      </c>
      <c r="CS605" s="266">
        <f ca="1">IFERROR(INDEX(Algorithms!$G:$G,MATCH($C605&amp;"_Lifetime (years)",Algorithms!$A:$A,0)),0)</f>
        <v>30</v>
      </c>
      <c r="CT605" s="266">
        <f ca="1">IFERROR(INDEX(Algorithms!$G:$G,MATCH($C605&amp;"_Lifetime (years) - Remaining Years",Algorithms!$A:$A,0)),0)</f>
        <v>10</v>
      </c>
      <c r="CU605" s="266">
        <f t="shared" ca="1" si="401"/>
        <v>0</v>
      </c>
      <c r="CV605" s="266">
        <f t="shared" ca="1" si="402"/>
        <v>0</v>
      </c>
      <c r="CW605" s="266">
        <f t="shared" ca="1" si="403"/>
        <v>0</v>
      </c>
      <c r="CX605" s="266">
        <f t="shared" ca="1" si="404"/>
        <v>0</v>
      </c>
    </row>
    <row r="606" spans="2:102" s="47" customFormat="1" ht="18" customHeight="1" x14ac:dyDescent="0.25">
      <c r="B606" t="str">
        <f t="shared" si="405"/>
        <v>NSG_Income Eligible_Single Family_CBA_Water Heater_Storage 0.67 EF_SF</v>
      </c>
      <c r="C606" s="47" t="str">
        <f t="shared" si="366"/>
        <v>Water Heater_Storage 0.67 EF_SF</v>
      </c>
      <c r="D606" s="270" t="s">
        <v>1787</v>
      </c>
      <c r="E606" s="270" t="s">
        <v>325</v>
      </c>
      <c r="F606" s="270" t="s">
        <v>375</v>
      </c>
      <c r="G606" s="270" t="s">
        <v>1809</v>
      </c>
      <c r="H606" s="270" t="s">
        <v>8</v>
      </c>
      <c r="I606" s="270" t="s">
        <v>879</v>
      </c>
      <c r="J606" s="270" t="s">
        <v>409</v>
      </c>
      <c r="K606" s="263">
        <v>1</v>
      </c>
      <c r="L606" s="263" t="str">
        <f ca="1">IFERROR(INDEX(Algorithms!J:J,MATCH($C606&amp;"_Therm Saved per Unit",Algorithms!$A:$A,0)),"n/a")</f>
        <v>5.4.2</v>
      </c>
      <c r="M606" s="263">
        <f>IFERROR(INDEX('Measure Level Detail'!$N:$N,MATCH($B606,'Measure Level Detail'!$B:$B,0)),0)</f>
        <v>0</v>
      </c>
      <c r="N606" s="271">
        <f>IFERROR(INDEX('Measure Level Detail'!$P:$P,MATCH($B606&amp;"_"&amp;N$3,'Measure Level Detail'!$C:$C,0)),0)</f>
        <v>0</v>
      </c>
      <c r="O606" s="271">
        <f>IFERROR(INDEX('Measure Level Detail'!$P:$P,MATCH($B606&amp;"_"&amp;O$3,'Measure Level Detail'!$C:$C,0)),0)</f>
        <v>0</v>
      </c>
      <c r="P606" s="271">
        <f>IFERROR(INDEX('Measure Level Detail'!$P:$P,MATCH($B606&amp;"_"&amp;P$3,'Measure Level Detail'!$C:$C,0)),0)</f>
        <v>0</v>
      </c>
      <c r="Q606" s="271">
        <f>IFERROR(INDEX('Measure Level Detail'!$P:$P,MATCH($B606&amp;"_"&amp;Q$3,'Measure Level Detail'!$C:$C,0)),0)</f>
        <v>0</v>
      </c>
      <c r="R606" s="263" t="str">
        <f ca="1">IFERROR(INDEX(Algorithms!K:K,MATCH($C606&amp;"_Therm Saved per Unit",Algorithms!$A:$A,0)),"n/a")</f>
        <v>RS-HWE-GWHT-V11-240101</v>
      </c>
      <c r="S606" s="262"/>
      <c r="T606" s="272">
        <v>22.454907874999904</v>
      </c>
      <c r="U606" s="272">
        <v>22.454907874999904</v>
      </c>
      <c r="V606" s="272">
        <v>22.454907874999904</v>
      </c>
      <c r="W606" s="272">
        <v>22.454907874999904</v>
      </c>
      <c r="X606" s="273">
        <f>IFERROR(INDEX('Measure Level Detail'!$R:$R,MATCH($B606&amp;"_"&amp;X$3,'Measure Level Detail'!$C:$C,0)),0)</f>
        <v>0</v>
      </c>
      <c r="Y606" s="273">
        <f>IFERROR(INDEX('Measure Level Detail'!$R:$R,MATCH($B606&amp;"_"&amp;Y$3,'Measure Level Detail'!$C:$C,0)),0)</f>
        <v>0</v>
      </c>
      <c r="Z606" s="273">
        <f>IFERROR(INDEX('Measure Level Detail'!$R:$R,MATCH($B606&amp;"_"&amp;Z$3,'Measure Level Detail'!$C:$C,0)),0)</f>
        <v>0</v>
      </c>
      <c r="AA606" s="273">
        <f>IFERROR(INDEX('Measure Level Detail'!$R:$R,MATCH($B606&amp;"_"&amp;AA$3,'Measure Level Detail'!$C:$C,0)),0)</f>
        <v>0</v>
      </c>
      <c r="AB606" s="266">
        <f t="shared" si="367"/>
        <v>0</v>
      </c>
      <c r="AC606" s="266">
        <f t="shared" si="368"/>
        <v>0</v>
      </c>
      <c r="AD606" s="266">
        <f t="shared" si="369"/>
        <v>0</v>
      </c>
      <c r="AE606" s="266">
        <f t="shared" si="370"/>
        <v>0</v>
      </c>
      <c r="AF606" s="266">
        <f t="shared" si="371"/>
        <v>0</v>
      </c>
      <c r="AG606" s="274">
        <v>0</v>
      </c>
      <c r="AH606" s="274">
        <v>0</v>
      </c>
      <c r="AI606" s="274">
        <v>0</v>
      </c>
      <c r="AJ606" s="274">
        <v>0</v>
      </c>
      <c r="AK606" s="274">
        <f t="shared" si="372"/>
        <v>0</v>
      </c>
      <c r="AL606" s="274">
        <f t="shared" si="373"/>
        <v>0</v>
      </c>
      <c r="AM606" s="274">
        <f t="shared" si="374"/>
        <v>0</v>
      </c>
      <c r="AN606" s="274">
        <f t="shared" si="375"/>
        <v>0</v>
      </c>
      <c r="AO606" s="262"/>
      <c r="AP606" s="262"/>
      <c r="AQ606" s="267">
        <v>23.498586691725251</v>
      </c>
      <c r="AR606" s="262"/>
      <c r="AS606" s="266">
        <f t="shared" si="376"/>
        <v>0</v>
      </c>
      <c r="AT606" s="264">
        <f t="shared" si="377"/>
        <v>0</v>
      </c>
      <c r="AU606" s="262"/>
      <c r="AV606" s="262"/>
      <c r="AW606" s="265">
        <v>23.498586691725251</v>
      </c>
      <c r="AX606" s="164" t="s">
        <v>1469</v>
      </c>
      <c r="AY606" s="266">
        <v>0</v>
      </c>
      <c r="AZ606" s="266">
        <f t="shared" si="378"/>
        <v>0</v>
      </c>
      <c r="BA606" s="264">
        <f t="shared" si="379"/>
        <v>0</v>
      </c>
      <c r="BB606" s="262"/>
      <c r="BC606" s="262"/>
      <c r="BD606" s="265">
        <f ca="1">IFERROR(INDEX(Algorithms!$G:$G,MATCH($C606&amp;"_Therm Saved per Unit",Algorithms!$A:$A,0)),0)</f>
        <v>49.773717512006058</v>
      </c>
      <c r="BE606" s="164" t="str">
        <f ca="1">IFERROR(INDEX('v12 Revisions'!$P$29:$P$186, MATCH('Measure-Level Adj Gas'!$L606, 'v12 Revisions'!$D$29:$D$186,0)),"")</f>
        <v>Baseline and efficient water heater criteria updated ; Updated measure life to 13.3 years for gas storage water heaters and 18.3 for gas instantaneous water heaters ; Updated incremental cost based on water heater type.</v>
      </c>
      <c r="BF606" s="266">
        <f t="shared" ca="1" si="380"/>
        <v>0</v>
      </c>
      <c r="BG606" s="264">
        <f t="shared" ca="1" si="381"/>
        <v>0</v>
      </c>
      <c r="BH606" s="262"/>
      <c r="BI606" s="262"/>
      <c r="BJ606" s="265">
        <f ca="1">IFERROR(INDEX(Algorithms!$G:$G,MATCH($C606&amp;"_Therm Saved per Unit",Algorithms!$A:$A,0)),0)</f>
        <v>49.773717512006058</v>
      </c>
      <c r="BK606" s="164"/>
      <c r="BL606" s="266">
        <f t="shared" ca="1" si="382"/>
        <v>0</v>
      </c>
      <c r="BM606" s="264">
        <f t="shared" ca="1" si="383"/>
        <v>0</v>
      </c>
      <c r="BN606" s="266">
        <f t="shared" si="384"/>
        <v>0</v>
      </c>
      <c r="BO606" s="266">
        <f t="shared" si="385"/>
        <v>0</v>
      </c>
      <c r="BP606" s="266">
        <f t="shared" ca="1" si="386"/>
        <v>0</v>
      </c>
      <c r="BQ606" s="266">
        <f t="shared" ca="1" si="387"/>
        <v>0</v>
      </c>
      <c r="BR606" s="268">
        <f t="shared" ca="1" si="388"/>
        <v>0</v>
      </c>
      <c r="BS606" s="262" t="s">
        <v>99</v>
      </c>
      <c r="BT606" s="277"/>
      <c r="BW606" s="266">
        <f t="shared" si="389"/>
        <v>0</v>
      </c>
      <c r="BX606" s="266">
        <f t="shared" si="390"/>
        <v>0</v>
      </c>
      <c r="BY606" s="266">
        <f t="shared" si="391"/>
        <v>0</v>
      </c>
      <c r="BZ606" s="266">
        <f t="shared" si="392"/>
        <v>0</v>
      </c>
      <c r="CA606" s="266">
        <f ca="1">N606*IFERROR(INDEX(Algorithms!$G:$G,MATCH($C606&amp;"_Therm Saved per Unit- MLA",Algorithms!$A:$A,0)),0)*X606</f>
        <v>0</v>
      </c>
      <c r="CB606" s="266">
        <f ca="1">O606*IFERROR(INDEX(Algorithms!$G:$G,MATCH($C606&amp;"_Therm Saved per Unit- MLA",Algorithms!$A:$A,0)),0)*Y606</f>
        <v>0</v>
      </c>
      <c r="CC606" s="266">
        <f ca="1">P606*IFERROR(INDEX(Algorithms!$G:$G,MATCH($C606&amp;"_Therm Saved per Unit- MLA",Algorithms!$A:$A,0)),0)*Z606</f>
        <v>0</v>
      </c>
      <c r="CD606" s="266">
        <f ca="1">Q606*IFERROR(INDEX(Algorithms!$G:$G,MATCH($C606&amp;"_Therm Saved per Unit- MLA",Algorithms!$A:$A,0)),0)*AA606</f>
        <v>0</v>
      </c>
      <c r="CE606" s="266">
        <f ca="1">IFERROR(INDEX(Algorithms!$G:$G,MATCH($C606&amp;"_Lifetime (years)",Algorithms!$A:$A,0)),0)</f>
        <v>13.3</v>
      </c>
      <c r="CF606" s="266">
        <f ca="1">IFERROR(INDEX(Algorithms!$G:$G,MATCH($C606&amp;"_Lifetime (years) - Remaining Years",Algorithms!$A:$A,0)),0)</f>
        <v>0</v>
      </c>
      <c r="CG606" s="266">
        <f t="shared" ca="1" si="393"/>
        <v>0</v>
      </c>
      <c r="CH606" s="266">
        <f t="shared" ca="1" si="394"/>
        <v>0</v>
      </c>
      <c r="CI606" s="266">
        <f t="shared" ca="1" si="395"/>
        <v>0</v>
      </c>
      <c r="CJ606" s="266">
        <f t="shared" ca="1" si="396"/>
        <v>0</v>
      </c>
      <c r="CK606" s="266">
        <f t="shared" si="397"/>
        <v>0</v>
      </c>
      <c r="CL606" s="266">
        <f t="shared" si="398"/>
        <v>0</v>
      </c>
      <c r="CM606" s="266">
        <f t="shared" ca="1" si="399"/>
        <v>0</v>
      </c>
      <c r="CN606" s="266">
        <f t="shared" ca="1" si="400"/>
        <v>0</v>
      </c>
      <c r="CO606" s="266">
        <f ca="1">N606*IFERROR(INDEX(Algorithms!$G:$G,MATCH($C606&amp;"_Therm Saved per Unit- MLA",Algorithms!$A:$A,0)),0)*X606</f>
        <v>0</v>
      </c>
      <c r="CP606" s="266">
        <f ca="1">O606*IFERROR(INDEX(Algorithms!$G:$G,MATCH($C606&amp;"_Therm Saved per Unit- MLA",Algorithms!$A:$A,0)),0)*Y606</f>
        <v>0</v>
      </c>
      <c r="CQ606" s="266">
        <f ca="1">P606*IFERROR(INDEX(Algorithms!$G:$G,MATCH($C606&amp;"_Therm Saved per Unit- MLA",Algorithms!$A:$A,0)),0)*Z606</f>
        <v>0</v>
      </c>
      <c r="CR606" s="266">
        <f ca="1">Q606*IFERROR(INDEX(Algorithms!$G:$G,MATCH($C606&amp;"_Therm Saved per Unit- MLA",Algorithms!$A:$A,0)),0)*AA606</f>
        <v>0</v>
      </c>
      <c r="CS606" s="266">
        <f ca="1">IFERROR(INDEX(Algorithms!$G:$G,MATCH($C606&amp;"_Lifetime (years)",Algorithms!$A:$A,0)),0)</f>
        <v>13.3</v>
      </c>
      <c r="CT606" s="266">
        <f ca="1">IFERROR(INDEX(Algorithms!$G:$G,MATCH($C606&amp;"_Lifetime (years) - Remaining Years",Algorithms!$A:$A,0)),0)</f>
        <v>0</v>
      </c>
      <c r="CU606" s="266">
        <f t="shared" ca="1" si="401"/>
        <v>0</v>
      </c>
      <c r="CV606" s="266">
        <f t="shared" ca="1" si="402"/>
        <v>0</v>
      </c>
      <c r="CW606" s="266">
        <f t="shared" ca="1" si="403"/>
        <v>0</v>
      </c>
      <c r="CX606" s="266">
        <f t="shared" ca="1" si="404"/>
        <v>0</v>
      </c>
    </row>
    <row r="607" spans="2:102" s="47" customFormat="1" ht="18" customHeight="1" x14ac:dyDescent="0.25">
      <c r="B607" t="str">
        <f t="shared" si="405"/>
        <v>NSG_Income Eligible_Single Family_CBA_Boiler_≥88% AFUE, &lt;300MBh_SF</v>
      </c>
      <c r="C607" s="47" t="str">
        <f t="shared" si="366"/>
        <v>Boiler_≥88% AFUE, &lt;300MBh_SF</v>
      </c>
      <c r="D607" s="270" t="s">
        <v>1787</v>
      </c>
      <c r="E607" s="270" t="s">
        <v>325</v>
      </c>
      <c r="F607" s="270" t="s">
        <v>375</v>
      </c>
      <c r="G607" s="270" t="s">
        <v>1809</v>
      </c>
      <c r="H607" s="270" t="s">
        <v>944</v>
      </c>
      <c r="I607" s="270" t="s">
        <v>945</v>
      </c>
      <c r="J607" s="270" t="s">
        <v>409</v>
      </c>
      <c r="K607" s="263">
        <v>1</v>
      </c>
      <c r="L607" s="263" t="str">
        <f ca="1">IFERROR(INDEX(Algorithms!J:J,MATCH($C607&amp;"_Therm Saved per Unit",Algorithms!$A:$A,0)),"n/a")</f>
        <v>5.3.6</v>
      </c>
      <c r="M607" s="263">
        <f>IFERROR(INDEX('Measure Level Detail'!$N:$N,MATCH($B607,'Measure Level Detail'!$B:$B,0)),0)</f>
        <v>0</v>
      </c>
      <c r="N607" s="271">
        <f>IFERROR(INDEX('Measure Level Detail'!$P:$P,MATCH($B607&amp;"_"&amp;N$3,'Measure Level Detail'!$C:$C,0)),0)</f>
        <v>0</v>
      </c>
      <c r="O607" s="271">
        <f>IFERROR(INDEX('Measure Level Detail'!$P:$P,MATCH($B607&amp;"_"&amp;O$3,'Measure Level Detail'!$C:$C,0)),0)</f>
        <v>0</v>
      </c>
      <c r="P607" s="271">
        <f>IFERROR(INDEX('Measure Level Detail'!$P:$P,MATCH($B607&amp;"_"&amp;P$3,'Measure Level Detail'!$C:$C,0)),0)</f>
        <v>0</v>
      </c>
      <c r="Q607" s="271">
        <f>IFERROR(INDEX('Measure Level Detail'!$P:$P,MATCH($B607&amp;"_"&amp;Q$3,'Measure Level Detail'!$C:$C,0)),0)</f>
        <v>0</v>
      </c>
      <c r="R607" s="263" t="str">
        <f ca="1">IFERROR(INDEX(Algorithms!K:K,MATCH($C607&amp;"_Therm Saved per Unit",Algorithms!$A:$A,0)),"n/a")</f>
        <v>RS-HVC-GHEB-V11-240101</v>
      </c>
      <c r="S607" s="262"/>
      <c r="T607" s="272">
        <v>147.38374603174603</v>
      </c>
      <c r="U607" s="272">
        <v>147.38374603174603</v>
      </c>
      <c r="V607" s="272">
        <v>147.38374603174603</v>
      </c>
      <c r="W607" s="272">
        <v>147.38374603174603</v>
      </c>
      <c r="X607" s="273">
        <f>IFERROR(INDEX('Measure Level Detail'!$R:$R,MATCH($B607&amp;"_"&amp;X$3,'Measure Level Detail'!$C:$C,0)),0)</f>
        <v>0</v>
      </c>
      <c r="Y607" s="273">
        <f>IFERROR(INDEX('Measure Level Detail'!$R:$R,MATCH($B607&amp;"_"&amp;Y$3,'Measure Level Detail'!$C:$C,0)),0)</f>
        <v>0</v>
      </c>
      <c r="Z607" s="273">
        <f>IFERROR(INDEX('Measure Level Detail'!$R:$R,MATCH($B607&amp;"_"&amp;Z$3,'Measure Level Detail'!$C:$C,0)),0)</f>
        <v>0</v>
      </c>
      <c r="AA607" s="273">
        <f>IFERROR(INDEX('Measure Level Detail'!$R:$R,MATCH($B607&amp;"_"&amp;AA$3,'Measure Level Detail'!$C:$C,0)),0)</f>
        <v>0</v>
      </c>
      <c r="AB607" s="266">
        <f t="shared" si="367"/>
        <v>0</v>
      </c>
      <c r="AC607" s="266">
        <f t="shared" si="368"/>
        <v>0</v>
      </c>
      <c r="AD607" s="266">
        <f t="shared" si="369"/>
        <v>0</v>
      </c>
      <c r="AE607" s="266">
        <f t="shared" si="370"/>
        <v>0</v>
      </c>
      <c r="AF607" s="266">
        <f t="shared" si="371"/>
        <v>0</v>
      </c>
      <c r="AG607" s="274">
        <v>0</v>
      </c>
      <c r="AH607" s="274">
        <v>0</v>
      </c>
      <c r="AI607" s="274">
        <v>0</v>
      </c>
      <c r="AJ607" s="274">
        <v>0</v>
      </c>
      <c r="AK607" s="274">
        <f t="shared" si="372"/>
        <v>0</v>
      </c>
      <c r="AL607" s="274">
        <f t="shared" si="373"/>
        <v>0</v>
      </c>
      <c r="AM607" s="274">
        <f t="shared" si="374"/>
        <v>0</v>
      </c>
      <c r="AN607" s="274">
        <f t="shared" si="375"/>
        <v>0</v>
      </c>
      <c r="AO607" s="262"/>
      <c r="AP607" s="262"/>
      <c r="AQ607" s="267">
        <v>147.38374603174603</v>
      </c>
      <c r="AR607" s="262"/>
      <c r="AS607" s="266">
        <f t="shared" si="376"/>
        <v>0</v>
      </c>
      <c r="AT607" s="264">
        <f t="shared" si="377"/>
        <v>0</v>
      </c>
      <c r="AU607" s="262"/>
      <c r="AV607" s="262"/>
      <c r="AW607" s="265">
        <v>147.38374603174603</v>
      </c>
      <c r="AX607" s="164" t="s">
        <v>1469</v>
      </c>
      <c r="AY607" s="266">
        <v>0</v>
      </c>
      <c r="AZ607" s="266">
        <f t="shared" si="378"/>
        <v>0</v>
      </c>
      <c r="BA607" s="264">
        <f t="shared" si="379"/>
        <v>0</v>
      </c>
      <c r="BB607" s="262"/>
      <c r="BC607" s="262"/>
      <c r="BD607" s="265">
        <f ca="1">IFERROR(INDEX(Algorithms!$G:$G,MATCH($C607&amp;"_Therm Saved per Unit",Algorithms!$A:$A,0)),0)</f>
        <v>147.38374603174603</v>
      </c>
      <c r="BE607" s="164" t="str">
        <f ca="1">IFERROR(INDEX('v12 Revisions'!$P$29:$P$186, MATCH('Measure-Level Adj Gas'!$L607, 'v12 Revisions'!$D$29:$D$186,0)),"")</f>
        <v>n/a - update to language, efficient criteria to be determined by program.</v>
      </c>
      <c r="BF607" s="266">
        <f t="shared" ca="1" si="380"/>
        <v>0</v>
      </c>
      <c r="BG607" s="264">
        <f t="shared" ca="1" si="381"/>
        <v>0</v>
      </c>
      <c r="BH607" s="262"/>
      <c r="BI607" s="262"/>
      <c r="BJ607" s="265">
        <f ca="1">IFERROR(INDEX(Algorithms!$G:$G,MATCH($C607&amp;"_Therm Saved per Unit",Algorithms!$A:$A,0)),0)</f>
        <v>147.38374603174603</v>
      </c>
      <c r="BK607" s="164"/>
      <c r="BL607" s="266">
        <f t="shared" ca="1" si="382"/>
        <v>0</v>
      </c>
      <c r="BM607" s="264">
        <f t="shared" ca="1" si="383"/>
        <v>0</v>
      </c>
      <c r="BN607" s="266">
        <f t="shared" si="384"/>
        <v>0</v>
      </c>
      <c r="BO607" s="266">
        <f t="shared" si="385"/>
        <v>0</v>
      </c>
      <c r="BP607" s="266">
        <f t="shared" ca="1" si="386"/>
        <v>0</v>
      </c>
      <c r="BQ607" s="266">
        <f t="shared" ca="1" si="387"/>
        <v>0</v>
      </c>
      <c r="BR607" s="268">
        <f t="shared" ca="1" si="388"/>
        <v>0</v>
      </c>
      <c r="BS607" s="262" t="s">
        <v>99</v>
      </c>
      <c r="BT607" s="277"/>
      <c r="BW607" s="266">
        <f t="shared" si="389"/>
        <v>0</v>
      </c>
      <c r="BX607" s="266">
        <f t="shared" si="390"/>
        <v>0</v>
      </c>
      <c r="BY607" s="266">
        <f t="shared" si="391"/>
        <v>0</v>
      </c>
      <c r="BZ607" s="266">
        <f t="shared" si="392"/>
        <v>0</v>
      </c>
      <c r="CA607" s="266">
        <f ca="1">N607*IFERROR(INDEX(Algorithms!$G:$G,MATCH($C607&amp;"_Therm Saved per Unit- MLA",Algorithms!$A:$A,0)),0)*X607</f>
        <v>0</v>
      </c>
      <c r="CB607" s="266">
        <f ca="1">O607*IFERROR(INDEX(Algorithms!$G:$G,MATCH($C607&amp;"_Therm Saved per Unit- MLA",Algorithms!$A:$A,0)),0)*Y607</f>
        <v>0</v>
      </c>
      <c r="CC607" s="266">
        <f ca="1">P607*IFERROR(INDEX(Algorithms!$G:$G,MATCH($C607&amp;"_Therm Saved per Unit- MLA",Algorithms!$A:$A,0)),0)*Z607</f>
        <v>0</v>
      </c>
      <c r="CD607" s="266">
        <f ca="1">Q607*IFERROR(INDEX(Algorithms!$G:$G,MATCH($C607&amp;"_Therm Saved per Unit- MLA",Algorithms!$A:$A,0)),0)*AA607</f>
        <v>0</v>
      </c>
      <c r="CE607" s="266">
        <f ca="1">IFERROR(INDEX(Algorithms!$G:$G,MATCH($C607&amp;"_Lifetime (years)",Algorithms!$A:$A,0)),0)</f>
        <v>25</v>
      </c>
      <c r="CF607" s="266">
        <f ca="1">IFERROR(INDEX(Algorithms!$G:$G,MATCH($C607&amp;"_Lifetime (years) - Remaining Years",Algorithms!$A:$A,0)),0)</f>
        <v>0</v>
      </c>
      <c r="CG607" s="266">
        <f t="shared" ca="1" si="393"/>
        <v>0</v>
      </c>
      <c r="CH607" s="266">
        <f t="shared" ca="1" si="394"/>
        <v>0</v>
      </c>
      <c r="CI607" s="266">
        <f t="shared" ca="1" si="395"/>
        <v>0</v>
      </c>
      <c r="CJ607" s="266">
        <f t="shared" ca="1" si="396"/>
        <v>0</v>
      </c>
      <c r="CK607" s="266">
        <f t="shared" si="397"/>
        <v>0</v>
      </c>
      <c r="CL607" s="266">
        <f t="shared" si="398"/>
        <v>0</v>
      </c>
      <c r="CM607" s="266">
        <f t="shared" ca="1" si="399"/>
        <v>0</v>
      </c>
      <c r="CN607" s="266">
        <f t="shared" ca="1" si="400"/>
        <v>0</v>
      </c>
      <c r="CO607" s="266">
        <f ca="1">N607*IFERROR(INDEX(Algorithms!$G:$G,MATCH($C607&amp;"_Therm Saved per Unit- MLA",Algorithms!$A:$A,0)),0)*X607</f>
        <v>0</v>
      </c>
      <c r="CP607" s="266">
        <f ca="1">O607*IFERROR(INDEX(Algorithms!$G:$G,MATCH($C607&amp;"_Therm Saved per Unit- MLA",Algorithms!$A:$A,0)),0)*Y607</f>
        <v>0</v>
      </c>
      <c r="CQ607" s="266">
        <f ca="1">P607*IFERROR(INDEX(Algorithms!$G:$G,MATCH($C607&amp;"_Therm Saved per Unit- MLA",Algorithms!$A:$A,0)),0)*Z607</f>
        <v>0</v>
      </c>
      <c r="CR607" s="266">
        <f ca="1">Q607*IFERROR(INDEX(Algorithms!$G:$G,MATCH($C607&amp;"_Therm Saved per Unit- MLA",Algorithms!$A:$A,0)),0)*AA607</f>
        <v>0</v>
      </c>
      <c r="CS607" s="266">
        <f ca="1">IFERROR(INDEX(Algorithms!$G:$G,MATCH($C607&amp;"_Lifetime (years)",Algorithms!$A:$A,0)),0)</f>
        <v>25</v>
      </c>
      <c r="CT607" s="266">
        <f ca="1">IFERROR(INDEX(Algorithms!$G:$G,MATCH($C607&amp;"_Lifetime (years) - Remaining Years",Algorithms!$A:$A,0)),0)</f>
        <v>0</v>
      </c>
      <c r="CU607" s="266">
        <f t="shared" ca="1" si="401"/>
        <v>0</v>
      </c>
      <c r="CV607" s="266">
        <f t="shared" ca="1" si="402"/>
        <v>0</v>
      </c>
      <c r="CW607" s="266">
        <f t="shared" ca="1" si="403"/>
        <v>0</v>
      </c>
      <c r="CX607" s="266">
        <f t="shared" ca="1" si="404"/>
        <v>0</v>
      </c>
    </row>
    <row r="608" spans="2:102" s="47" customFormat="1" ht="18" customHeight="1" x14ac:dyDescent="0.25">
      <c r="B608" t="str">
        <f t="shared" si="405"/>
        <v>NSG_Income Eligible_Single Family_CBA_Weatherstripping_0_IE SF</v>
      </c>
      <c r="C608" s="47" t="str">
        <f t="shared" si="366"/>
        <v>Weatherstripping_0_IE SF</v>
      </c>
      <c r="D608" s="270" t="s">
        <v>1787</v>
      </c>
      <c r="E608" s="270" t="s">
        <v>325</v>
      </c>
      <c r="F608" s="270" t="s">
        <v>375</v>
      </c>
      <c r="G608" s="270" t="s">
        <v>1809</v>
      </c>
      <c r="H608" s="270" t="s">
        <v>576</v>
      </c>
      <c r="I608" s="270">
        <v>0</v>
      </c>
      <c r="J608" s="270" t="s">
        <v>581</v>
      </c>
      <c r="K608" s="263">
        <v>1</v>
      </c>
      <c r="L608" s="263" t="str">
        <f ca="1">IFERROR(INDEX(Algorithms!J:J,MATCH($C608&amp;"_Therm Saved per Unit",Algorithms!$A:$A,0)),"n/a")</f>
        <v>5.6.1</v>
      </c>
      <c r="M608" s="263">
        <f>IFERROR(INDEX('Measure Level Detail'!$N:$N,MATCH($B608,'Measure Level Detail'!$B:$B,0)),0)</f>
        <v>0</v>
      </c>
      <c r="N608" s="271">
        <f>IFERROR(INDEX('Measure Level Detail'!$P:$P,MATCH($B608&amp;"_"&amp;N$3,'Measure Level Detail'!$C:$C,0)),0)</f>
        <v>0</v>
      </c>
      <c r="O608" s="271">
        <f>IFERROR(INDEX('Measure Level Detail'!$P:$P,MATCH($B608&amp;"_"&amp;O$3,'Measure Level Detail'!$C:$C,0)),0)</f>
        <v>0</v>
      </c>
      <c r="P608" s="271">
        <f>IFERROR(INDEX('Measure Level Detail'!$P:$P,MATCH($B608&amp;"_"&amp;P$3,'Measure Level Detail'!$C:$C,0)),0)</f>
        <v>0</v>
      </c>
      <c r="Q608" s="271">
        <f>IFERROR(INDEX('Measure Level Detail'!$P:$P,MATCH($B608&amp;"_"&amp;Q$3,'Measure Level Detail'!$C:$C,0)),0)</f>
        <v>0</v>
      </c>
      <c r="R608" s="263" t="str">
        <f ca="1">IFERROR(INDEX(Algorithms!K:K,MATCH($C608&amp;"_Therm Saved per Unit",Algorithms!$A:$A,0)),"n/a")</f>
        <v>RS-SHL-AIRS-V13-240101</v>
      </c>
      <c r="S608" s="262"/>
      <c r="T608" s="272">
        <v>0.48799999999999999</v>
      </c>
      <c r="U608" s="272">
        <v>0.48799999999999999</v>
      </c>
      <c r="V608" s="272">
        <v>0.48799999999999999</v>
      </c>
      <c r="W608" s="272">
        <v>0.48799999999999999</v>
      </c>
      <c r="X608" s="273">
        <f>IFERROR(INDEX('Measure Level Detail'!$R:$R,MATCH($B608&amp;"_"&amp;X$3,'Measure Level Detail'!$C:$C,0)),0)</f>
        <v>0</v>
      </c>
      <c r="Y608" s="273">
        <f>IFERROR(INDEX('Measure Level Detail'!$R:$R,MATCH($B608&amp;"_"&amp;Y$3,'Measure Level Detail'!$C:$C,0)),0)</f>
        <v>0</v>
      </c>
      <c r="Z608" s="273">
        <f>IFERROR(INDEX('Measure Level Detail'!$R:$R,MATCH($B608&amp;"_"&amp;Z$3,'Measure Level Detail'!$C:$C,0)),0)</f>
        <v>0</v>
      </c>
      <c r="AA608" s="273">
        <f>IFERROR(INDEX('Measure Level Detail'!$R:$R,MATCH($B608&amp;"_"&amp;AA$3,'Measure Level Detail'!$C:$C,0)),0)</f>
        <v>0</v>
      </c>
      <c r="AB608" s="266">
        <f t="shared" si="367"/>
        <v>0</v>
      </c>
      <c r="AC608" s="266">
        <f t="shared" si="368"/>
        <v>0</v>
      </c>
      <c r="AD608" s="266">
        <f t="shared" si="369"/>
        <v>0</v>
      </c>
      <c r="AE608" s="266">
        <f t="shared" si="370"/>
        <v>0</v>
      </c>
      <c r="AF608" s="266">
        <f t="shared" si="371"/>
        <v>0</v>
      </c>
      <c r="AG608" s="274">
        <v>0</v>
      </c>
      <c r="AH608" s="274">
        <v>0</v>
      </c>
      <c r="AI608" s="274">
        <v>0</v>
      </c>
      <c r="AJ608" s="274">
        <v>0</v>
      </c>
      <c r="AK608" s="274">
        <f t="shared" si="372"/>
        <v>0</v>
      </c>
      <c r="AL608" s="274">
        <f t="shared" si="373"/>
        <v>0</v>
      </c>
      <c r="AM608" s="274">
        <f t="shared" si="374"/>
        <v>0</v>
      </c>
      <c r="AN608" s="274">
        <f t="shared" si="375"/>
        <v>0</v>
      </c>
      <c r="AO608" s="262"/>
      <c r="AP608" s="262"/>
      <c r="AQ608" s="267">
        <v>0.48799999999999999</v>
      </c>
      <c r="AR608" s="262"/>
      <c r="AS608" s="266">
        <f t="shared" si="376"/>
        <v>0</v>
      </c>
      <c r="AT608" s="264">
        <f t="shared" si="377"/>
        <v>0</v>
      </c>
      <c r="AU608" s="262"/>
      <c r="AV608" s="262"/>
      <c r="AW608" s="265">
        <v>0.48799999999999999</v>
      </c>
      <c r="AX608" s="164" t="s">
        <v>2395</v>
      </c>
      <c r="AY608" s="266">
        <v>0</v>
      </c>
      <c r="AZ608" s="266">
        <f t="shared" si="378"/>
        <v>0</v>
      </c>
      <c r="BA608" s="264">
        <f t="shared" si="379"/>
        <v>0</v>
      </c>
      <c r="BB608" s="262"/>
      <c r="BC608" s="262"/>
      <c r="BD608" s="265">
        <f ca="1">IFERROR(INDEX(Algorithms!$G:$G,MATCH($C608&amp;"_Therm Saved per Unit",Algorithms!$A:$A,0)),0)</f>
        <v>0.48799999999999999</v>
      </c>
      <c r="BE608" s="164" t="str">
        <f ca="1">IFERROR(INDEX('v12 Revisions'!$P$29:$P$186, MATCH('Measure-Level Adj Gas'!$L608, 'v12 Revisions'!$D$29:$D$186,0)),"")</f>
        <v>Updated HDD from 5113 to 4798 and shell adjustment factor from 0.72 to 0.76.</v>
      </c>
      <c r="BF608" s="266">
        <f t="shared" ca="1" si="380"/>
        <v>0</v>
      </c>
      <c r="BG608" s="264">
        <f t="shared" ca="1" si="381"/>
        <v>0</v>
      </c>
      <c r="BH608" s="262"/>
      <c r="BI608" s="262"/>
      <c r="BJ608" s="265">
        <f ca="1">IFERROR(INDEX(Algorithms!$G:$G,MATCH($C608&amp;"_Therm Saved per Unit",Algorithms!$A:$A,0)),0)</f>
        <v>0.48799999999999999</v>
      </c>
      <c r="BK608" s="164"/>
      <c r="BL608" s="266">
        <f t="shared" ca="1" si="382"/>
        <v>0</v>
      </c>
      <c r="BM608" s="264">
        <f t="shared" ca="1" si="383"/>
        <v>0</v>
      </c>
      <c r="BN608" s="266">
        <f t="shared" si="384"/>
        <v>0</v>
      </c>
      <c r="BO608" s="266">
        <f t="shared" si="385"/>
        <v>0</v>
      </c>
      <c r="BP608" s="266">
        <f t="shared" ca="1" si="386"/>
        <v>0</v>
      </c>
      <c r="BQ608" s="266">
        <f t="shared" ca="1" si="387"/>
        <v>0</v>
      </c>
      <c r="BR608" s="268">
        <f t="shared" ca="1" si="388"/>
        <v>0</v>
      </c>
      <c r="BS608" s="262" t="s">
        <v>99</v>
      </c>
      <c r="BT608" s="277"/>
      <c r="BW608" s="266">
        <f t="shared" si="389"/>
        <v>0</v>
      </c>
      <c r="BX608" s="266">
        <f t="shared" si="390"/>
        <v>0</v>
      </c>
      <c r="BY608" s="266">
        <f t="shared" si="391"/>
        <v>0</v>
      </c>
      <c r="BZ608" s="266">
        <f t="shared" si="392"/>
        <v>0</v>
      </c>
      <c r="CA608" s="266">
        <f ca="1">N608*IFERROR(INDEX(Algorithms!$G:$G,MATCH($C608&amp;"_Therm Saved per Unit- MLA",Algorithms!$A:$A,0)),0)*X608</f>
        <v>0</v>
      </c>
      <c r="CB608" s="266">
        <f ca="1">O608*IFERROR(INDEX(Algorithms!$G:$G,MATCH($C608&amp;"_Therm Saved per Unit- MLA",Algorithms!$A:$A,0)),0)*Y608</f>
        <v>0</v>
      </c>
      <c r="CC608" s="266">
        <f ca="1">P608*IFERROR(INDEX(Algorithms!$G:$G,MATCH($C608&amp;"_Therm Saved per Unit- MLA",Algorithms!$A:$A,0)),0)*Z608</f>
        <v>0</v>
      </c>
      <c r="CD608" s="266">
        <f ca="1">Q608*IFERROR(INDEX(Algorithms!$G:$G,MATCH($C608&amp;"_Therm Saved per Unit- MLA",Algorithms!$A:$A,0)),0)*AA608</f>
        <v>0</v>
      </c>
      <c r="CE608" s="266">
        <f ca="1">IFERROR(INDEX(Algorithms!$G:$G,MATCH($C608&amp;"_Lifetime (years)",Algorithms!$A:$A,0)),0)</f>
        <v>10</v>
      </c>
      <c r="CF608" s="266">
        <f ca="1">IFERROR(INDEX(Algorithms!$G:$G,MATCH($C608&amp;"_Lifetime (years) - Remaining Years",Algorithms!$A:$A,0)),0)</f>
        <v>0</v>
      </c>
      <c r="CG608" s="266">
        <f t="shared" ca="1" si="393"/>
        <v>0</v>
      </c>
      <c r="CH608" s="266">
        <f t="shared" ca="1" si="394"/>
        <v>0</v>
      </c>
      <c r="CI608" s="266">
        <f t="shared" ca="1" si="395"/>
        <v>0</v>
      </c>
      <c r="CJ608" s="266">
        <f t="shared" ca="1" si="396"/>
        <v>0</v>
      </c>
      <c r="CK608" s="266">
        <f t="shared" si="397"/>
        <v>0</v>
      </c>
      <c r="CL608" s="266">
        <f t="shared" si="398"/>
        <v>0</v>
      </c>
      <c r="CM608" s="266">
        <f t="shared" ca="1" si="399"/>
        <v>0</v>
      </c>
      <c r="CN608" s="266">
        <f t="shared" ca="1" si="400"/>
        <v>0</v>
      </c>
      <c r="CO608" s="266">
        <f ca="1">N608*IFERROR(INDEX(Algorithms!$G:$G,MATCH($C608&amp;"_Therm Saved per Unit- MLA",Algorithms!$A:$A,0)),0)*X608</f>
        <v>0</v>
      </c>
      <c r="CP608" s="266">
        <f ca="1">O608*IFERROR(INDEX(Algorithms!$G:$G,MATCH($C608&amp;"_Therm Saved per Unit- MLA",Algorithms!$A:$A,0)),0)*Y608</f>
        <v>0</v>
      </c>
      <c r="CQ608" s="266">
        <f ca="1">P608*IFERROR(INDEX(Algorithms!$G:$G,MATCH($C608&amp;"_Therm Saved per Unit- MLA",Algorithms!$A:$A,0)),0)*Z608</f>
        <v>0</v>
      </c>
      <c r="CR608" s="266">
        <f ca="1">Q608*IFERROR(INDEX(Algorithms!$G:$G,MATCH($C608&amp;"_Therm Saved per Unit- MLA",Algorithms!$A:$A,0)),0)*AA608</f>
        <v>0</v>
      </c>
      <c r="CS608" s="266">
        <f ca="1">IFERROR(INDEX(Algorithms!$G:$G,MATCH($C608&amp;"_Lifetime (years)",Algorithms!$A:$A,0)),0)</f>
        <v>10</v>
      </c>
      <c r="CT608" s="266">
        <f ca="1">IFERROR(INDEX(Algorithms!$G:$G,MATCH($C608&amp;"_Lifetime (years) - Remaining Years",Algorithms!$A:$A,0)),0)</f>
        <v>0</v>
      </c>
      <c r="CU608" s="266">
        <f t="shared" ca="1" si="401"/>
        <v>0</v>
      </c>
      <c r="CV608" s="266">
        <f t="shared" ca="1" si="402"/>
        <v>0</v>
      </c>
      <c r="CW608" s="266">
        <f t="shared" ca="1" si="403"/>
        <v>0</v>
      </c>
      <c r="CX608" s="266">
        <f t="shared" ca="1" si="404"/>
        <v>0</v>
      </c>
    </row>
    <row r="609" spans="2:102" s="47" customFormat="1" ht="18" customHeight="1" x14ac:dyDescent="0.25">
      <c r="B609" t="str">
        <f t="shared" si="405"/>
        <v>NSG_Income Eligible_Single Family_CBA_Furnace_&gt;95% AFUE_SF</v>
      </c>
      <c r="C609" s="47" t="str">
        <f t="shared" si="366"/>
        <v>Furnace_&gt;95% AFUE_SF</v>
      </c>
      <c r="D609" s="270" t="s">
        <v>1787</v>
      </c>
      <c r="E609" s="270" t="s">
        <v>325</v>
      </c>
      <c r="F609" s="270" t="s">
        <v>375</v>
      </c>
      <c r="G609" s="270" t="s">
        <v>1809</v>
      </c>
      <c r="H609" s="270" t="s">
        <v>490</v>
      </c>
      <c r="I609" s="270" t="s">
        <v>982</v>
      </c>
      <c r="J609" s="270" t="s">
        <v>409</v>
      </c>
      <c r="K609" s="263">
        <v>1</v>
      </c>
      <c r="L609" s="263" t="str">
        <f ca="1">IFERROR(INDEX(Algorithms!J:J,MATCH($C609&amp;"_Therm Saved per Unit",Algorithms!$A:$A,0)),"n/a")</f>
        <v>5.3.7</v>
      </c>
      <c r="M609" s="263">
        <f>IFERROR(INDEX('Measure Level Detail'!$N:$N,MATCH($B609,'Measure Level Detail'!$B:$B,0)),0)</f>
        <v>0</v>
      </c>
      <c r="N609" s="271">
        <f>IFERROR(INDEX('Measure Level Detail'!$P:$P,MATCH($B609&amp;"_"&amp;N$3,'Measure Level Detail'!$C:$C,0)),0)</f>
        <v>0</v>
      </c>
      <c r="O609" s="271">
        <f>IFERROR(INDEX('Measure Level Detail'!$P:$P,MATCH($B609&amp;"_"&amp;O$3,'Measure Level Detail'!$C:$C,0)),0)</f>
        <v>0</v>
      </c>
      <c r="P609" s="271">
        <f>IFERROR(INDEX('Measure Level Detail'!$P:$P,MATCH($B609&amp;"_"&amp;P$3,'Measure Level Detail'!$C:$C,0)),0)</f>
        <v>0</v>
      </c>
      <c r="Q609" s="271">
        <f>IFERROR(INDEX('Measure Level Detail'!$P:$P,MATCH($B609&amp;"_"&amp;Q$3,'Measure Level Detail'!$C:$C,0)),0)</f>
        <v>0</v>
      </c>
      <c r="R609" s="263" t="str">
        <f ca="1">IFERROR(INDEX(Algorithms!K:K,MATCH($C609&amp;"_Therm Saved per Unit",Algorithms!$A:$A,0)),"n/a")</f>
        <v>RS-HVC-GHEF-V13-240101</v>
      </c>
      <c r="S609" s="262"/>
      <c r="T609" s="272">
        <v>185.63073361823353</v>
      </c>
      <c r="U609" s="272">
        <v>185.63073361823353</v>
      </c>
      <c r="V609" s="272">
        <v>185.63073361823353</v>
      </c>
      <c r="W609" s="272">
        <v>185.63073361823353</v>
      </c>
      <c r="X609" s="273">
        <f>IFERROR(INDEX('Measure Level Detail'!$R:$R,MATCH($B609&amp;"_"&amp;X$3,'Measure Level Detail'!$C:$C,0)),0)</f>
        <v>0</v>
      </c>
      <c r="Y609" s="273">
        <f>IFERROR(INDEX('Measure Level Detail'!$R:$R,MATCH($B609&amp;"_"&amp;Y$3,'Measure Level Detail'!$C:$C,0)),0)</f>
        <v>0</v>
      </c>
      <c r="Z609" s="273">
        <f>IFERROR(INDEX('Measure Level Detail'!$R:$R,MATCH($B609&amp;"_"&amp;Z$3,'Measure Level Detail'!$C:$C,0)),0)</f>
        <v>0</v>
      </c>
      <c r="AA609" s="273">
        <f>IFERROR(INDEX('Measure Level Detail'!$R:$R,MATCH($B609&amp;"_"&amp;AA$3,'Measure Level Detail'!$C:$C,0)),0)</f>
        <v>0</v>
      </c>
      <c r="AB609" s="266">
        <f t="shared" si="367"/>
        <v>0</v>
      </c>
      <c r="AC609" s="266">
        <f t="shared" si="368"/>
        <v>0</v>
      </c>
      <c r="AD609" s="266">
        <f t="shared" si="369"/>
        <v>0</v>
      </c>
      <c r="AE609" s="266">
        <f t="shared" si="370"/>
        <v>0</v>
      </c>
      <c r="AF609" s="266">
        <f t="shared" si="371"/>
        <v>0</v>
      </c>
      <c r="AG609" s="274">
        <v>0</v>
      </c>
      <c r="AH609" s="274">
        <v>0</v>
      </c>
      <c r="AI609" s="274">
        <v>0</v>
      </c>
      <c r="AJ609" s="274">
        <v>0</v>
      </c>
      <c r="AK609" s="274">
        <f t="shared" si="372"/>
        <v>0</v>
      </c>
      <c r="AL609" s="274">
        <f t="shared" si="373"/>
        <v>0</v>
      </c>
      <c r="AM609" s="274">
        <f t="shared" si="374"/>
        <v>0</v>
      </c>
      <c r="AN609" s="274">
        <f t="shared" si="375"/>
        <v>0</v>
      </c>
      <c r="AO609" s="262"/>
      <c r="AP609" s="262"/>
      <c r="AQ609" s="267">
        <v>185.63073361823353</v>
      </c>
      <c r="AR609" s="262"/>
      <c r="AS609" s="266">
        <f t="shared" si="376"/>
        <v>0</v>
      </c>
      <c r="AT609" s="264">
        <f t="shared" si="377"/>
        <v>0</v>
      </c>
      <c r="AU609" s="262"/>
      <c r="AV609" s="262"/>
      <c r="AW609" s="265">
        <v>185.63073361823353</v>
      </c>
      <c r="AX609" s="164" t="s">
        <v>1469</v>
      </c>
      <c r="AY609" s="266">
        <v>0</v>
      </c>
      <c r="AZ609" s="266">
        <f t="shared" si="378"/>
        <v>0</v>
      </c>
      <c r="BA609" s="264">
        <f t="shared" si="379"/>
        <v>0</v>
      </c>
      <c r="BB609" s="262"/>
      <c r="BC609" s="262"/>
      <c r="BD609" s="265">
        <f ca="1">IFERROR(INDEX(Algorithms!$G:$G,MATCH($C609&amp;"_Therm Saved per Unit",Algorithms!$A:$A,0)),0)</f>
        <v>185.63073361823353</v>
      </c>
      <c r="BE609" s="164" t="str">
        <f ca="1">IFERROR(INDEX('v12 Revisions'!$P$29:$P$186, MATCH('Measure-Level Adj Gas'!$L609, 'v12 Revisions'!$D$29:$D$186,0)),"")</f>
        <v>n/a - AFUE ≥ 95 eligibility tier, efficient AFUE value already 96.0% in plan.</v>
      </c>
      <c r="BF609" s="266">
        <f t="shared" ca="1" si="380"/>
        <v>0</v>
      </c>
      <c r="BG609" s="264">
        <f t="shared" ca="1" si="381"/>
        <v>0</v>
      </c>
      <c r="BH609" s="262"/>
      <c r="BI609" s="262"/>
      <c r="BJ609" s="265">
        <f ca="1">IFERROR(INDEX(Algorithms!$G:$G,MATCH($C609&amp;"_Therm Saved per Unit",Algorithms!$A:$A,0)),0)</f>
        <v>185.63073361823353</v>
      </c>
      <c r="BK609" s="164"/>
      <c r="BL609" s="266">
        <f t="shared" ca="1" si="382"/>
        <v>0</v>
      </c>
      <c r="BM609" s="264">
        <f t="shared" ca="1" si="383"/>
        <v>0</v>
      </c>
      <c r="BN609" s="266">
        <f t="shared" si="384"/>
        <v>0</v>
      </c>
      <c r="BO609" s="266">
        <f t="shared" si="385"/>
        <v>0</v>
      </c>
      <c r="BP609" s="266">
        <f t="shared" ca="1" si="386"/>
        <v>0</v>
      </c>
      <c r="BQ609" s="266">
        <f t="shared" ca="1" si="387"/>
        <v>0</v>
      </c>
      <c r="BR609" s="268">
        <f t="shared" ca="1" si="388"/>
        <v>0</v>
      </c>
      <c r="BS609" s="262" t="s">
        <v>99</v>
      </c>
      <c r="BT609" s="277"/>
      <c r="BW609" s="266">
        <f t="shared" si="389"/>
        <v>0</v>
      </c>
      <c r="BX609" s="266">
        <f t="shared" si="390"/>
        <v>0</v>
      </c>
      <c r="BY609" s="266">
        <f t="shared" si="391"/>
        <v>0</v>
      </c>
      <c r="BZ609" s="266">
        <f t="shared" si="392"/>
        <v>0</v>
      </c>
      <c r="CA609" s="266">
        <f ca="1">N609*IFERROR(INDEX(Algorithms!$G:$G,MATCH($C609&amp;"_Therm Saved per Unit- MLA",Algorithms!$A:$A,0)),0)*X609</f>
        <v>0</v>
      </c>
      <c r="CB609" s="266">
        <f ca="1">O609*IFERROR(INDEX(Algorithms!$G:$G,MATCH($C609&amp;"_Therm Saved per Unit- MLA",Algorithms!$A:$A,0)),0)*Y609</f>
        <v>0</v>
      </c>
      <c r="CC609" s="266">
        <f ca="1">P609*IFERROR(INDEX(Algorithms!$G:$G,MATCH($C609&amp;"_Therm Saved per Unit- MLA",Algorithms!$A:$A,0)),0)*Z609</f>
        <v>0</v>
      </c>
      <c r="CD609" s="266">
        <f ca="1">Q609*IFERROR(INDEX(Algorithms!$G:$G,MATCH($C609&amp;"_Therm Saved per Unit- MLA",Algorithms!$A:$A,0)),0)*AA609</f>
        <v>0</v>
      </c>
      <c r="CE609" s="266">
        <f ca="1">IFERROR(INDEX(Algorithms!$G:$G,MATCH($C609&amp;"_Lifetime (years)",Algorithms!$A:$A,0)),0)</f>
        <v>20</v>
      </c>
      <c r="CF609" s="266">
        <f ca="1">IFERROR(INDEX(Algorithms!$G:$G,MATCH($C609&amp;"_Lifetime (years) - Remaining Years",Algorithms!$A:$A,0)),0)</f>
        <v>0</v>
      </c>
      <c r="CG609" s="266">
        <f t="shared" ca="1" si="393"/>
        <v>0</v>
      </c>
      <c r="CH609" s="266">
        <f t="shared" ca="1" si="394"/>
        <v>0</v>
      </c>
      <c r="CI609" s="266">
        <f t="shared" ca="1" si="395"/>
        <v>0</v>
      </c>
      <c r="CJ609" s="266">
        <f t="shared" ca="1" si="396"/>
        <v>0</v>
      </c>
      <c r="CK609" s="266">
        <f t="shared" si="397"/>
        <v>0</v>
      </c>
      <c r="CL609" s="266">
        <f t="shared" si="398"/>
        <v>0</v>
      </c>
      <c r="CM609" s="266">
        <f t="shared" ca="1" si="399"/>
        <v>0</v>
      </c>
      <c r="CN609" s="266">
        <f t="shared" ca="1" si="400"/>
        <v>0</v>
      </c>
      <c r="CO609" s="266">
        <f ca="1">N609*IFERROR(INDEX(Algorithms!$G:$G,MATCH($C609&amp;"_Therm Saved per Unit- MLA",Algorithms!$A:$A,0)),0)*X609</f>
        <v>0</v>
      </c>
      <c r="CP609" s="266">
        <f ca="1">O609*IFERROR(INDEX(Algorithms!$G:$G,MATCH($C609&amp;"_Therm Saved per Unit- MLA",Algorithms!$A:$A,0)),0)*Y609</f>
        <v>0</v>
      </c>
      <c r="CQ609" s="266">
        <f ca="1">P609*IFERROR(INDEX(Algorithms!$G:$G,MATCH($C609&amp;"_Therm Saved per Unit- MLA",Algorithms!$A:$A,0)),0)*Z609</f>
        <v>0</v>
      </c>
      <c r="CR609" s="266">
        <f ca="1">Q609*IFERROR(INDEX(Algorithms!$G:$G,MATCH($C609&amp;"_Therm Saved per Unit- MLA",Algorithms!$A:$A,0)),0)*AA609</f>
        <v>0</v>
      </c>
      <c r="CS609" s="266">
        <f ca="1">IFERROR(INDEX(Algorithms!$G:$G,MATCH($C609&amp;"_Lifetime (years)",Algorithms!$A:$A,0)),0)</f>
        <v>20</v>
      </c>
      <c r="CT609" s="266">
        <f ca="1">IFERROR(INDEX(Algorithms!$G:$G,MATCH($C609&amp;"_Lifetime (years) - Remaining Years",Algorithms!$A:$A,0)),0)</f>
        <v>0</v>
      </c>
      <c r="CU609" s="266">
        <f t="shared" ca="1" si="401"/>
        <v>0</v>
      </c>
      <c r="CV609" s="266">
        <f t="shared" ca="1" si="402"/>
        <v>0</v>
      </c>
      <c r="CW609" s="266">
        <f t="shared" ca="1" si="403"/>
        <v>0</v>
      </c>
      <c r="CX609" s="266">
        <f t="shared" ca="1" si="404"/>
        <v>0</v>
      </c>
    </row>
    <row r="610" spans="2:102" s="47" customFormat="1" ht="18" customHeight="1" x14ac:dyDescent="0.25">
      <c r="B610" t="str">
        <f t="shared" si="405"/>
        <v>NSG_Income Eligible_Single Family_CBA_Health and Safety_no savings_SF</v>
      </c>
      <c r="C610" s="47" t="str">
        <f t="shared" si="366"/>
        <v>Health and Safety_no savings_SF</v>
      </c>
      <c r="D610" s="270" t="s">
        <v>1787</v>
      </c>
      <c r="E610" s="270" t="s">
        <v>325</v>
      </c>
      <c r="F610" s="270" t="s">
        <v>375</v>
      </c>
      <c r="G610" s="270" t="s">
        <v>1809</v>
      </c>
      <c r="H610" s="270" t="s">
        <v>1437</v>
      </c>
      <c r="I610" s="270" t="s">
        <v>1438</v>
      </c>
      <c r="J610" s="270" t="s">
        <v>409</v>
      </c>
      <c r="K610" s="263">
        <v>1</v>
      </c>
      <c r="L610" s="263" t="str">
        <f ca="1">IFERROR(INDEX(Algorithms!J:J,MATCH($C610&amp;"_Therm Saved per Unit",Algorithms!$A:$A,0)),"n/a")</f>
        <v>n/a</v>
      </c>
      <c r="M610" s="263">
        <f>IFERROR(INDEX('Measure Level Detail'!$N:$N,MATCH($B610,'Measure Level Detail'!$B:$B,0)),0)</f>
        <v>0</v>
      </c>
      <c r="N610" s="271">
        <f>IFERROR(INDEX('Measure Level Detail'!$P:$P,MATCH($B610&amp;"_"&amp;N$3,'Measure Level Detail'!$C:$C,0)),0)</f>
        <v>0</v>
      </c>
      <c r="O610" s="271">
        <f>IFERROR(INDEX('Measure Level Detail'!$P:$P,MATCH($B610&amp;"_"&amp;O$3,'Measure Level Detail'!$C:$C,0)),0)</f>
        <v>0</v>
      </c>
      <c r="P610" s="271">
        <f>IFERROR(INDEX('Measure Level Detail'!$P:$P,MATCH($B610&amp;"_"&amp;P$3,'Measure Level Detail'!$C:$C,0)),0)</f>
        <v>0</v>
      </c>
      <c r="Q610" s="271">
        <f>IFERROR(INDEX('Measure Level Detail'!$P:$P,MATCH($B610&amp;"_"&amp;Q$3,'Measure Level Detail'!$C:$C,0)),0)</f>
        <v>0</v>
      </c>
      <c r="R610" s="263" t="str">
        <f ca="1">IFERROR(INDEX(Algorithms!K:K,MATCH($C610&amp;"_Therm Saved per Unit",Algorithms!$A:$A,0)),"n/a")</f>
        <v>n/a</v>
      </c>
      <c r="S610" s="262"/>
      <c r="T610" s="272">
        <v>0</v>
      </c>
      <c r="U610" s="272">
        <v>0</v>
      </c>
      <c r="V610" s="272">
        <v>0</v>
      </c>
      <c r="W610" s="272">
        <v>0</v>
      </c>
      <c r="X610" s="273">
        <f>IFERROR(INDEX('Measure Level Detail'!$R:$R,MATCH($B610&amp;"_"&amp;X$3,'Measure Level Detail'!$C:$C,0)),0)</f>
        <v>0</v>
      </c>
      <c r="Y610" s="273">
        <f>IFERROR(INDEX('Measure Level Detail'!$R:$R,MATCH($B610&amp;"_"&amp;Y$3,'Measure Level Detail'!$C:$C,0)),0)</f>
        <v>0</v>
      </c>
      <c r="Z610" s="273">
        <f>IFERROR(INDEX('Measure Level Detail'!$R:$R,MATCH($B610&amp;"_"&amp;Z$3,'Measure Level Detail'!$C:$C,0)),0)</f>
        <v>0</v>
      </c>
      <c r="AA610" s="273">
        <f>IFERROR(INDEX('Measure Level Detail'!$R:$R,MATCH($B610&amp;"_"&amp;AA$3,'Measure Level Detail'!$C:$C,0)),0)</f>
        <v>0</v>
      </c>
      <c r="AB610" s="266">
        <f t="shared" si="367"/>
        <v>0</v>
      </c>
      <c r="AC610" s="266">
        <f t="shared" si="368"/>
        <v>0</v>
      </c>
      <c r="AD610" s="266">
        <f t="shared" si="369"/>
        <v>0</v>
      </c>
      <c r="AE610" s="266">
        <f t="shared" si="370"/>
        <v>0</v>
      </c>
      <c r="AF610" s="266">
        <f t="shared" si="371"/>
        <v>0</v>
      </c>
      <c r="AG610" s="274">
        <v>0</v>
      </c>
      <c r="AH610" s="274">
        <v>0</v>
      </c>
      <c r="AI610" s="274">
        <v>0</v>
      </c>
      <c r="AJ610" s="274">
        <v>0</v>
      </c>
      <c r="AK610" s="274">
        <f t="shared" si="372"/>
        <v>0</v>
      </c>
      <c r="AL610" s="274">
        <f t="shared" si="373"/>
        <v>0</v>
      </c>
      <c r="AM610" s="274">
        <f t="shared" si="374"/>
        <v>0</v>
      </c>
      <c r="AN610" s="274">
        <f t="shared" si="375"/>
        <v>0</v>
      </c>
      <c r="AO610" s="262"/>
      <c r="AP610" s="262"/>
      <c r="AQ610" s="267">
        <v>0</v>
      </c>
      <c r="AR610" s="262"/>
      <c r="AS610" s="266">
        <f t="shared" si="376"/>
        <v>0</v>
      </c>
      <c r="AT610" s="264">
        <f t="shared" si="377"/>
        <v>0</v>
      </c>
      <c r="AU610" s="262"/>
      <c r="AV610" s="262"/>
      <c r="AW610" s="265">
        <v>0</v>
      </c>
      <c r="AX610" s="164" t="s">
        <v>1469</v>
      </c>
      <c r="AY610" s="266">
        <v>0</v>
      </c>
      <c r="AZ610" s="266">
        <f t="shared" si="378"/>
        <v>0</v>
      </c>
      <c r="BA610" s="264">
        <f t="shared" si="379"/>
        <v>0</v>
      </c>
      <c r="BB610" s="262"/>
      <c r="BC610" s="262"/>
      <c r="BD610" s="265">
        <f ca="1">IFERROR(INDEX(Algorithms!$G:$G,MATCH($C610&amp;"_Therm Saved per Unit",Algorithms!$A:$A,0)),0)</f>
        <v>0</v>
      </c>
      <c r="BE610" s="164" t="str">
        <f ca="1">IFERROR(INDEX('v12 Revisions'!$P$29:$P$186, MATCH('Measure-Level Adj Gas'!$L610, 'v12 Revisions'!$D$29:$D$186,0)),"")</f>
        <v/>
      </c>
      <c r="BF610" s="266">
        <f t="shared" ca="1" si="380"/>
        <v>0</v>
      </c>
      <c r="BG610" s="264">
        <f t="shared" ca="1" si="381"/>
        <v>0</v>
      </c>
      <c r="BH610" s="262"/>
      <c r="BI610" s="262"/>
      <c r="BJ610" s="265">
        <f ca="1">IFERROR(INDEX(Algorithms!$G:$G,MATCH($C610&amp;"_Therm Saved per Unit",Algorithms!$A:$A,0)),0)</f>
        <v>0</v>
      </c>
      <c r="BK610" s="164"/>
      <c r="BL610" s="266">
        <f t="shared" ca="1" si="382"/>
        <v>0</v>
      </c>
      <c r="BM610" s="264">
        <f t="shared" ca="1" si="383"/>
        <v>0</v>
      </c>
      <c r="BN610" s="266">
        <f t="shared" si="384"/>
        <v>0</v>
      </c>
      <c r="BO610" s="266">
        <f t="shared" si="385"/>
        <v>0</v>
      </c>
      <c r="BP610" s="266">
        <f t="shared" ca="1" si="386"/>
        <v>0</v>
      </c>
      <c r="BQ610" s="266">
        <f t="shared" ca="1" si="387"/>
        <v>0</v>
      </c>
      <c r="BR610" s="268">
        <f t="shared" ca="1" si="388"/>
        <v>0</v>
      </c>
      <c r="BS610" s="262" t="s">
        <v>99</v>
      </c>
      <c r="BT610" s="277"/>
      <c r="BW610" s="266">
        <f t="shared" si="389"/>
        <v>0</v>
      </c>
      <c r="BX610" s="266">
        <f t="shared" si="390"/>
        <v>0</v>
      </c>
      <c r="BY610" s="266">
        <f t="shared" si="391"/>
        <v>0</v>
      </c>
      <c r="BZ610" s="266">
        <f t="shared" si="392"/>
        <v>0</v>
      </c>
      <c r="CA610" s="266">
        <f ca="1">N610*IFERROR(INDEX(Algorithms!$G:$G,MATCH($C610&amp;"_Therm Saved per Unit- MLA",Algorithms!$A:$A,0)),0)*X610</f>
        <v>0</v>
      </c>
      <c r="CB610" s="266">
        <f ca="1">O610*IFERROR(INDEX(Algorithms!$G:$G,MATCH($C610&amp;"_Therm Saved per Unit- MLA",Algorithms!$A:$A,0)),0)*Y610</f>
        <v>0</v>
      </c>
      <c r="CC610" s="266">
        <f ca="1">P610*IFERROR(INDEX(Algorithms!$G:$G,MATCH($C610&amp;"_Therm Saved per Unit- MLA",Algorithms!$A:$A,0)),0)*Z610</f>
        <v>0</v>
      </c>
      <c r="CD610" s="266">
        <f ca="1">Q610*IFERROR(INDEX(Algorithms!$G:$G,MATCH($C610&amp;"_Therm Saved per Unit- MLA",Algorithms!$A:$A,0)),0)*AA610</f>
        <v>0</v>
      </c>
      <c r="CE610" s="266">
        <f ca="1">IFERROR(INDEX(Algorithms!$G:$G,MATCH($C610&amp;"_Lifetime (years)",Algorithms!$A:$A,0)),0)</f>
        <v>0</v>
      </c>
      <c r="CF610" s="266">
        <f ca="1">IFERROR(INDEX(Algorithms!$G:$G,MATCH($C610&amp;"_Lifetime (years) - Remaining Years",Algorithms!$A:$A,0)),0)</f>
        <v>0</v>
      </c>
      <c r="CG610" s="266">
        <f t="shared" ca="1" si="393"/>
        <v>0</v>
      </c>
      <c r="CH610" s="266">
        <f t="shared" ca="1" si="394"/>
        <v>0</v>
      </c>
      <c r="CI610" s="266">
        <f t="shared" ca="1" si="395"/>
        <v>0</v>
      </c>
      <c r="CJ610" s="266">
        <f t="shared" ca="1" si="396"/>
        <v>0</v>
      </c>
      <c r="CK610" s="266">
        <f t="shared" si="397"/>
        <v>0</v>
      </c>
      <c r="CL610" s="266">
        <f t="shared" si="398"/>
        <v>0</v>
      </c>
      <c r="CM610" s="266">
        <f t="shared" ca="1" si="399"/>
        <v>0</v>
      </c>
      <c r="CN610" s="266">
        <f t="shared" ca="1" si="400"/>
        <v>0</v>
      </c>
      <c r="CO610" s="266">
        <f ca="1">N610*IFERROR(INDEX(Algorithms!$G:$G,MATCH($C610&amp;"_Therm Saved per Unit- MLA",Algorithms!$A:$A,0)),0)*X610</f>
        <v>0</v>
      </c>
      <c r="CP610" s="266">
        <f ca="1">O610*IFERROR(INDEX(Algorithms!$G:$G,MATCH($C610&amp;"_Therm Saved per Unit- MLA",Algorithms!$A:$A,0)),0)*Y610</f>
        <v>0</v>
      </c>
      <c r="CQ610" s="266">
        <f ca="1">P610*IFERROR(INDEX(Algorithms!$G:$G,MATCH($C610&amp;"_Therm Saved per Unit- MLA",Algorithms!$A:$A,0)),0)*Z610</f>
        <v>0</v>
      </c>
      <c r="CR610" s="266">
        <f ca="1">Q610*IFERROR(INDEX(Algorithms!$G:$G,MATCH($C610&amp;"_Therm Saved per Unit- MLA",Algorithms!$A:$A,0)),0)*AA610</f>
        <v>0</v>
      </c>
      <c r="CS610" s="266">
        <f ca="1">IFERROR(INDEX(Algorithms!$G:$G,MATCH($C610&amp;"_Lifetime (years)",Algorithms!$A:$A,0)),0)</f>
        <v>0</v>
      </c>
      <c r="CT610" s="266">
        <f ca="1">IFERROR(INDEX(Algorithms!$G:$G,MATCH($C610&amp;"_Lifetime (years) - Remaining Years",Algorithms!$A:$A,0)),0)</f>
        <v>0</v>
      </c>
      <c r="CU610" s="266">
        <f t="shared" ca="1" si="401"/>
        <v>0</v>
      </c>
      <c r="CV610" s="266">
        <f t="shared" ca="1" si="402"/>
        <v>0</v>
      </c>
      <c r="CW610" s="266">
        <f t="shared" ca="1" si="403"/>
        <v>0</v>
      </c>
      <c r="CX610" s="266">
        <f t="shared" ca="1" si="404"/>
        <v>0</v>
      </c>
    </row>
    <row r="611" spans="2:102" s="47" customFormat="1" ht="18" customHeight="1" x14ac:dyDescent="0.25">
      <c r="B611" t="str">
        <f t="shared" si="405"/>
        <v>NSG_Income Eligible_Single Family_IHWAP_Programmable Thermostat_Furnace (DI)_SF</v>
      </c>
      <c r="C611" s="47" t="str">
        <f t="shared" si="366"/>
        <v>Programmable Thermostat_Furnace (DI)_SF</v>
      </c>
      <c r="D611" s="270" t="s">
        <v>1787</v>
      </c>
      <c r="E611" s="270" t="s">
        <v>325</v>
      </c>
      <c r="F611" s="270" t="s">
        <v>375</v>
      </c>
      <c r="G611" s="270" t="s">
        <v>1439</v>
      </c>
      <c r="H611" s="270" t="s">
        <v>224</v>
      </c>
      <c r="I611" s="270" t="s">
        <v>1038</v>
      </c>
      <c r="J611" s="270" t="s">
        <v>409</v>
      </c>
      <c r="K611" s="263">
        <v>1</v>
      </c>
      <c r="L611" s="263" t="str">
        <f ca="1">IFERROR(INDEX(Algorithms!J:J,MATCH($C611&amp;"_Therm Saved per Unit",Algorithms!$A:$A,0)),"n/a")</f>
        <v>5.3.11</v>
      </c>
      <c r="M611" s="263" t="str">
        <f>IFERROR(INDEX('Measure Level Detail'!$N:$N,MATCH($B611,'Measure Level Detail'!$B:$B,0)),0)</f>
        <v>Each</v>
      </c>
      <c r="N611" s="271">
        <f>IFERROR(INDEX('Measure Level Detail'!$P:$P,MATCH($B611&amp;"_"&amp;N$3,'Measure Level Detail'!$C:$C,0)),0)</f>
        <v>0</v>
      </c>
      <c r="O611" s="271">
        <f>IFERROR(INDEX('Measure Level Detail'!$P:$P,MATCH($B611&amp;"_"&amp;O$3,'Measure Level Detail'!$C:$C,0)),0)</f>
        <v>0</v>
      </c>
      <c r="P611" s="271">
        <f>IFERROR(INDEX('Measure Level Detail'!$P:$P,MATCH($B611&amp;"_"&amp;P$3,'Measure Level Detail'!$C:$C,0)),0)</f>
        <v>0</v>
      </c>
      <c r="Q611" s="271">
        <f>IFERROR(INDEX('Measure Level Detail'!$P:$P,MATCH($B611&amp;"_"&amp;Q$3,'Measure Level Detail'!$C:$C,0)),0)</f>
        <v>0</v>
      </c>
      <c r="R611" s="263" t="str">
        <f ca="1">IFERROR(INDEX(Algorithms!K:K,MATCH($C611&amp;"_Therm Saved per Unit",Algorithms!$A:$A,0)),"n/a")</f>
        <v>RS-HVC-PROG-V08-220101</v>
      </c>
      <c r="S611" s="262"/>
      <c r="T611" s="272">
        <v>62.31</v>
      </c>
      <c r="U611" s="272">
        <v>62.31</v>
      </c>
      <c r="V611" s="272">
        <v>62.31</v>
      </c>
      <c r="W611" s="272">
        <v>62.31</v>
      </c>
      <c r="X611" s="273">
        <f>IFERROR(INDEX('Measure Level Detail'!$R:$R,MATCH($B611&amp;"_"&amp;X$3,'Measure Level Detail'!$C:$C,0)),0)</f>
        <v>1</v>
      </c>
      <c r="Y611" s="273">
        <f>IFERROR(INDEX('Measure Level Detail'!$R:$R,MATCH($B611&amp;"_"&amp;Y$3,'Measure Level Detail'!$C:$C,0)),0)</f>
        <v>1</v>
      </c>
      <c r="Z611" s="273">
        <f>IFERROR(INDEX('Measure Level Detail'!$R:$R,MATCH($B611&amp;"_"&amp;Z$3,'Measure Level Detail'!$C:$C,0)),0)</f>
        <v>1</v>
      </c>
      <c r="AA611" s="273">
        <f>IFERROR(INDEX('Measure Level Detail'!$R:$R,MATCH($B611&amp;"_"&amp;AA$3,'Measure Level Detail'!$C:$C,0)),0)</f>
        <v>1</v>
      </c>
      <c r="AB611" s="266">
        <f t="shared" si="367"/>
        <v>0</v>
      </c>
      <c r="AC611" s="266">
        <f t="shared" si="368"/>
        <v>0</v>
      </c>
      <c r="AD611" s="266">
        <f t="shared" si="369"/>
        <v>0</v>
      </c>
      <c r="AE611" s="266">
        <f t="shared" si="370"/>
        <v>0</v>
      </c>
      <c r="AF611" s="266">
        <f t="shared" si="371"/>
        <v>0</v>
      </c>
      <c r="AG611" s="274">
        <v>1</v>
      </c>
      <c r="AH611" s="274">
        <v>1</v>
      </c>
      <c r="AI611" s="274">
        <v>1</v>
      </c>
      <c r="AJ611" s="274">
        <v>1</v>
      </c>
      <c r="AK611" s="274">
        <f t="shared" si="372"/>
        <v>1</v>
      </c>
      <c r="AL611" s="274">
        <f t="shared" si="373"/>
        <v>1</v>
      </c>
      <c r="AM611" s="274">
        <f t="shared" si="374"/>
        <v>1</v>
      </c>
      <c r="AN611" s="274">
        <f t="shared" si="375"/>
        <v>1</v>
      </c>
      <c r="AO611" s="262"/>
      <c r="AP611" s="262"/>
      <c r="AQ611" s="267">
        <v>62.31</v>
      </c>
      <c r="AR611" s="262"/>
      <c r="AS611" s="266">
        <f t="shared" si="376"/>
        <v>0</v>
      </c>
      <c r="AT611" s="264">
        <f t="shared" si="377"/>
        <v>0</v>
      </c>
      <c r="AU611" s="262"/>
      <c r="AV611" s="262"/>
      <c r="AW611" s="265">
        <v>62.31</v>
      </c>
      <c r="AX611" s="164" t="s">
        <v>1469</v>
      </c>
      <c r="AY611" s="266">
        <v>0</v>
      </c>
      <c r="AZ611" s="266">
        <f t="shared" si="378"/>
        <v>0</v>
      </c>
      <c r="BA611" s="264">
        <f t="shared" si="379"/>
        <v>0</v>
      </c>
      <c r="BB611" s="262"/>
      <c r="BC611" s="262"/>
      <c r="BD611" s="265">
        <f ca="1">IFERROR(INDEX(Algorithms!$G:$G,MATCH($C611&amp;"_Therm Saved per Unit",Algorithms!$A:$A,0)),0)</f>
        <v>62.31</v>
      </c>
      <c r="BE611" s="164" t="str">
        <f ca="1">IFERROR(INDEX('v12 Revisions'!$P$29:$P$186, MATCH('Measure-Level Adj Gas'!$L611, 'v12 Revisions'!$D$29:$D$186,0)),"")</f>
        <v/>
      </c>
      <c r="BF611" s="266">
        <f t="shared" ca="1" si="380"/>
        <v>0</v>
      </c>
      <c r="BG611" s="264">
        <f t="shared" ca="1" si="381"/>
        <v>0</v>
      </c>
      <c r="BH611" s="262"/>
      <c r="BI611" s="262"/>
      <c r="BJ611" s="265">
        <f ca="1">IFERROR(INDEX(Algorithms!$G:$G,MATCH($C611&amp;"_Therm Saved per Unit",Algorithms!$A:$A,0)),0)</f>
        <v>62.31</v>
      </c>
      <c r="BK611" s="164"/>
      <c r="BL611" s="266">
        <f t="shared" ca="1" si="382"/>
        <v>0</v>
      </c>
      <c r="BM611" s="264">
        <f t="shared" ca="1" si="383"/>
        <v>0</v>
      </c>
      <c r="BN611" s="266">
        <f t="shared" si="384"/>
        <v>0</v>
      </c>
      <c r="BO611" s="266">
        <f t="shared" si="385"/>
        <v>0</v>
      </c>
      <c r="BP611" s="266">
        <f t="shared" ca="1" si="386"/>
        <v>0</v>
      </c>
      <c r="BQ611" s="266">
        <f t="shared" ca="1" si="387"/>
        <v>0</v>
      </c>
      <c r="BR611" s="268">
        <f t="shared" ca="1" si="388"/>
        <v>0</v>
      </c>
      <c r="BS611" s="262" t="s">
        <v>99</v>
      </c>
      <c r="BT611" s="277"/>
      <c r="BW611" s="266">
        <f t="shared" si="389"/>
        <v>0</v>
      </c>
      <c r="BX611" s="266">
        <f t="shared" si="390"/>
        <v>0</v>
      </c>
      <c r="BY611" s="266">
        <f t="shared" si="391"/>
        <v>0</v>
      </c>
      <c r="BZ611" s="266">
        <f t="shared" si="392"/>
        <v>0</v>
      </c>
      <c r="CA611" s="266">
        <f ca="1">N611*IFERROR(INDEX(Algorithms!$G:$G,MATCH($C611&amp;"_Therm Saved per Unit- MLA",Algorithms!$A:$A,0)),0)*X611</f>
        <v>0</v>
      </c>
      <c r="CB611" s="266">
        <f ca="1">O611*IFERROR(INDEX(Algorithms!$G:$G,MATCH($C611&amp;"_Therm Saved per Unit- MLA",Algorithms!$A:$A,0)),0)*Y611</f>
        <v>0</v>
      </c>
      <c r="CC611" s="266">
        <f ca="1">P611*IFERROR(INDEX(Algorithms!$G:$G,MATCH($C611&amp;"_Therm Saved per Unit- MLA",Algorithms!$A:$A,0)),0)*Z611</f>
        <v>0</v>
      </c>
      <c r="CD611" s="266">
        <f ca="1">Q611*IFERROR(INDEX(Algorithms!$G:$G,MATCH($C611&amp;"_Therm Saved per Unit- MLA",Algorithms!$A:$A,0)),0)*AA611</f>
        <v>0</v>
      </c>
      <c r="CE611" s="266">
        <f ca="1">IFERROR(INDEX(Algorithms!$G:$G,MATCH($C611&amp;"_Lifetime (years)",Algorithms!$A:$A,0)),0)</f>
        <v>16</v>
      </c>
      <c r="CF611" s="266">
        <f ca="1">IFERROR(INDEX(Algorithms!$G:$G,MATCH($C611&amp;"_Lifetime (years) - Remaining Years",Algorithms!$A:$A,0)),0)</f>
        <v>5</v>
      </c>
      <c r="CG611" s="266">
        <f t="shared" ca="1" si="393"/>
        <v>0</v>
      </c>
      <c r="CH611" s="266">
        <f t="shared" ca="1" si="394"/>
        <v>0</v>
      </c>
      <c r="CI611" s="266">
        <f t="shared" ca="1" si="395"/>
        <v>0</v>
      </c>
      <c r="CJ611" s="266">
        <f t="shared" ca="1" si="396"/>
        <v>0</v>
      </c>
      <c r="CK611" s="266">
        <f t="shared" si="397"/>
        <v>0</v>
      </c>
      <c r="CL611" s="266">
        <f t="shared" si="398"/>
        <v>0</v>
      </c>
      <c r="CM611" s="266">
        <f t="shared" ca="1" si="399"/>
        <v>0</v>
      </c>
      <c r="CN611" s="266">
        <f t="shared" ca="1" si="400"/>
        <v>0</v>
      </c>
      <c r="CO611" s="266">
        <f ca="1">N611*IFERROR(INDEX(Algorithms!$G:$G,MATCH($C611&amp;"_Therm Saved per Unit- MLA",Algorithms!$A:$A,0)),0)*X611</f>
        <v>0</v>
      </c>
      <c r="CP611" s="266">
        <f ca="1">O611*IFERROR(INDEX(Algorithms!$G:$G,MATCH($C611&amp;"_Therm Saved per Unit- MLA",Algorithms!$A:$A,0)),0)*Y611</f>
        <v>0</v>
      </c>
      <c r="CQ611" s="266">
        <f ca="1">P611*IFERROR(INDEX(Algorithms!$G:$G,MATCH($C611&amp;"_Therm Saved per Unit- MLA",Algorithms!$A:$A,0)),0)*Z611</f>
        <v>0</v>
      </c>
      <c r="CR611" s="266">
        <f ca="1">Q611*IFERROR(INDEX(Algorithms!$G:$G,MATCH($C611&amp;"_Therm Saved per Unit- MLA",Algorithms!$A:$A,0)),0)*AA611</f>
        <v>0</v>
      </c>
      <c r="CS611" s="266">
        <f ca="1">IFERROR(INDEX(Algorithms!$G:$G,MATCH($C611&amp;"_Lifetime (years)",Algorithms!$A:$A,0)),0)</f>
        <v>16</v>
      </c>
      <c r="CT611" s="266">
        <f ca="1">IFERROR(INDEX(Algorithms!$G:$G,MATCH($C611&amp;"_Lifetime (years) - Remaining Years",Algorithms!$A:$A,0)),0)</f>
        <v>5</v>
      </c>
      <c r="CU611" s="266">
        <f t="shared" ca="1" si="401"/>
        <v>0</v>
      </c>
      <c r="CV611" s="266">
        <f t="shared" ca="1" si="402"/>
        <v>0</v>
      </c>
      <c r="CW611" s="266">
        <f t="shared" ca="1" si="403"/>
        <v>0</v>
      </c>
      <c r="CX611" s="266">
        <f t="shared" ca="1" si="404"/>
        <v>0</v>
      </c>
    </row>
    <row r="612" spans="2:102" s="47" customFormat="1" ht="18" customHeight="1" x14ac:dyDescent="0.25">
      <c r="B612" t="str">
        <f t="shared" si="405"/>
        <v>NSG_Income Eligible_Single Family_IHWAP_Programmable Thermostat_Boiler (DI)_SF</v>
      </c>
      <c r="C612" s="47" t="str">
        <f t="shared" si="366"/>
        <v>Programmable Thermostat_Boiler (DI)_SF</v>
      </c>
      <c r="D612" s="270" t="s">
        <v>1787</v>
      </c>
      <c r="E612" s="270" t="s">
        <v>325</v>
      </c>
      <c r="F612" s="270" t="s">
        <v>375</v>
      </c>
      <c r="G612" s="270" t="s">
        <v>1439</v>
      </c>
      <c r="H612" s="270" t="s">
        <v>224</v>
      </c>
      <c r="I612" s="270" t="s">
        <v>1045</v>
      </c>
      <c r="J612" s="270" t="s">
        <v>409</v>
      </c>
      <c r="K612" s="263">
        <v>1</v>
      </c>
      <c r="L612" s="263" t="str">
        <f ca="1">IFERROR(INDEX(Algorithms!J:J,MATCH($C612&amp;"_Therm Saved per Unit",Algorithms!$A:$A,0)),"n/a")</f>
        <v>5.3.11</v>
      </c>
      <c r="M612" s="263" t="str">
        <f>IFERROR(INDEX('Measure Level Detail'!$N:$N,MATCH($B612,'Measure Level Detail'!$B:$B,0)),0)</f>
        <v>Each</v>
      </c>
      <c r="N612" s="271">
        <f>IFERROR(INDEX('Measure Level Detail'!$P:$P,MATCH($B612&amp;"_"&amp;N$3,'Measure Level Detail'!$C:$C,0)),0)</f>
        <v>0</v>
      </c>
      <c r="O612" s="271">
        <f>IFERROR(INDEX('Measure Level Detail'!$P:$P,MATCH($B612&amp;"_"&amp;O$3,'Measure Level Detail'!$C:$C,0)),0)</f>
        <v>0</v>
      </c>
      <c r="P612" s="271">
        <f>IFERROR(INDEX('Measure Level Detail'!$P:$P,MATCH($B612&amp;"_"&amp;P$3,'Measure Level Detail'!$C:$C,0)),0)</f>
        <v>0</v>
      </c>
      <c r="Q612" s="271">
        <f>IFERROR(INDEX('Measure Level Detail'!$P:$P,MATCH($B612&amp;"_"&amp;Q$3,'Measure Level Detail'!$C:$C,0)),0)</f>
        <v>0</v>
      </c>
      <c r="R612" s="263" t="str">
        <f ca="1">IFERROR(INDEX(Algorithms!K:K,MATCH($C612&amp;"_Therm Saved per Unit",Algorithms!$A:$A,0)),"n/a")</f>
        <v>RS-HVC-PROG-V08-220101</v>
      </c>
      <c r="S612" s="262"/>
      <c r="T612" s="272">
        <v>92.194000000000003</v>
      </c>
      <c r="U612" s="272">
        <v>92.194000000000003</v>
      </c>
      <c r="V612" s="272">
        <v>92.194000000000003</v>
      </c>
      <c r="W612" s="272">
        <v>92.194000000000003</v>
      </c>
      <c r="X612" s="273">
        <f>IFERROR(INDEX('Measure Level Detail'!$R:$R,MATCH($B612&amp;"_"&amp;X$3,'Measure Level Detail'!$C:$C,0)),0)</f>
        <v>1</v>
      </c>
      <c r="Y612" s="273">
        <f>IFERROR(INDEX('Measure Level Detail'!$R:$R,MATCH($B612&amp;"_"&amp;Y$3,'Measure Level Detail'!$C:$C,0)),0)</f>
        <v>1</v>
      </c>
      <c r="Z612" s="273">
        <f>IFERROR(INDEX('Measure Level Detail'!$R:$R,MATCH($B612&amp;"_"&amp;Z$3,'Measure Level Detail'!$C:$C,0)),0)</f>
        <v>1</v>
      </c>
      <c r="AA612" s="273">
        <f>IFERROR(INDEX('Measure Level Detail'!$R:$R,MATCH($B612&amp;"_"&amp;AA$3,'Measure Level Detail'!$C:$C,0)),0)</f>
        <v>1</v>
      </c>
      <c r="AB612" s="266">
        <f t="shared" si="367"/>
        <v>0</v>
      </c>
      <c r="AC612" s="266">
        <f t="shared" si="368"/>
        <v>0</v>
      </c>
      <c r="AD612" s="266">
        <f t="shared" si="369"/>
        <v>0</v>
      </c>
      <c r="AE612" s="266">
        <f t="shared" si="370"/>
        <v>0</v>
      </c>
      <c r="AF612" s="266">
        <f t="shared" si="371"/>
        <v>0</v>
      </c>
      <c r="AG612" s="274">
        <v>1</v>
      </c>
      <c r="AH612" s="274">
        <v>1</v>
      </c>
      <c r="AI612" s="274">
        <v>1</v>
      </c>
      <c r="AJ612" s="274">
        <v>1</v>
      </c>
      <c r="AK612" s="274">
        <f t="shared" si="372"/>
        <v>1</v>
      </c>
      <c r="AL612" s="274">
        <f t="shared" si="373"/>
        <v>1</v>
      </c>
      <c r="AM612" s="274">
        <f t="shared" si="374"/>
        <v>1</v>
      </c>
      <c r="AN612" s="274">
        <f t="shared" si="375"/>
        <v>1</v>
      </c>
      <c r="AO612" s="262"/>
      <c r="AP612" s="262"/>
      <c r="AQ612" s="267">
        <v>92.194000000000003</v>
      </c>
      <c r="AR612" s="262"/>
      <c r="AS612" s="266">
        <f t="shared" si="376"/>
        <v>0</v>
      </c>
      <c r="AT612" s="264">
        <f t="shared" si="377"/>
        <v>0</v>
      </c>
      <c r="AU612" s="262"/>
      <c r="AV612" s="262"/>
      <c r="AW612" s="265">
        <v>92.194000000000003</v>
      </c>
      <c r="AX612" s="164" t="s">
        <v>1469</v>
      </c>
      <c r="AY612" s="266">
        <v>0</v>
      </c>
      <c r="AZ612" s="266">
        <f t="shared" si="378"/>
        <v>0</v>
      </c>
      <c r="BA612" s="264">
        <f t="shared" si="379"/>
        <v>0</v>
      </c>
      <c r="BB612" s="262"/>
      <c r="BC612" s="262"/>
      <c r="BD612" s="265">
        <f ca="1">IFERROR(INDEX(Algorithms!$G:$G,MATCH($C612&amp;"_Therm Saved per Unit",Algorithms!$A:$A,0)),0)</f>
        <v>92.194000000000003</v>
      </c>
      <c r="BE612" s="164" t="str">
        <f ca="1">IFERROR(INDEX('v12 Revisions'!$P$29:$P$186, MATCH('Measure-Level Adj Gas'!$L612, 'v12 Revisions'!$D$29:$D$186,0)),"")</f>
        <v/>
      </c>
      <c r="BF612" s="266">
        <f t="shared" ca="1" si="380"/>
        <v>0</v>
      </c>
      <c r="BG612" s="264">
        <f t="shared" ca="1" si="381"/>
        <v>0</v>
      </c>
      <c r="BH612" s="262"/>
      <c r="BI612" s="262"/>
      <c r="BJ612" s="265">
        <f ca="1">IFERROR(INDEX(Algorithms!$G:$G,MATCH($C612&amp;"_Therm Saved per Unit",Algorithms!$A:$A,0)),0)</f>
        <v>92.194000000000003</v>
      </c>
      <c r="BK612" s="164"/>
      <c r="BL612" s="266">
        <f t="shared" ca="1" si="382"/>
        <v>0</v>
      </c>
      <c r="BM612" s="264">
        <f t="shared" ca="1" si="383"/>
        <v>0</v>
      </c>
      <c r="BN612" s="266">
        <f t="shared" si="384"/>
        <v>0</v>
      </c>
      <c r="BO612" s="266">
        <f t="shared" si="385"/>
        <v>0</v>
      </c>
      <c r="BP612" s="266">
        <f t="shared" ca="1" si="386"/>
        <v>0</v>
      </c>
      <c r="BQ612" s="266">
        <f t="shared" ca="1" si="387"/>
        <v>0</v>
      </c>
      <c r="BR612" s="268">
        <f t="shared" ca="1" si="388"/>
        <v>0</v>
      </c>
      <c r="BS612" s="262" t="s">
        <v>99</v>
      </c>
      <c r="BT612" s="277"/>
      <c r="BW612" s="266">
        <f t="shared" si="389"/>
        <v>0</v>
      </c>
      <c r="BX612" s="266">
        <f t="shared" si="390"/>
        <v>0</v>
      </c>
      <c r="BY612" s="266">
        <f t="shared" si="391"/>
        <v>0</v>
      </c>
      <c r="BZ612" s="266">
        <f t="shared" si="392"/>
        <v>0</v>
      </c>
      <c r="CA612" s="266">
        <f ca="1">N612*IFERROR(INDEX(Algorithms!$G:$G,MATCH($C612&amp;"_Therm Saved per Unit- MLA",Algorithms!$A:$A,0)),0)*X612</f>
        <v>0</v>
      </c>
      <c r="CB612" s="266">
        <f ca="1">O612*IFERROR(INDEX(Algorithms!$G:$G,MATCH($C612&amp;"_Therm Saved per Unit- MLA",Algorithms!$A:$A,0)),0)*Y612</f>
        <v>0</v>
      </c>
      <c r="CC612" s="266">
        <f ca="1">P612*IFERROR(INDEX(Algorithms!$G:$G,MATCH($C612&amp;"_Therm Saved per Unit- MLA",Algorithms!$A:$A,0)),0)*Z612</f>
        <v>0</v>
      </c>
      <c r="CD612" s="266">
        <f ca="1">Q612*IFERROR(INDEX(Algorithms!$G:$G,MATCH($C612&amp;"_Therm Saved per Unit- MLA",Algorithms!$A:$A,0)),0)*AA612</f>
        <v>0</v>
      </c>
      <c r="CE612" s="266">
        <f ca="1">IFERROR(INDEX(Algorithms!$G:$G,MATCH($C612&amp;"_Lifetime (years)",Algorithms!$A:$A,0)),0)</f>
        <v>16</v>
      </c>
      <c r="CF612" s="266">
        <f ca="1">IFERROR(INDEX(Algorithms!$G:$G,MATCH($C612&amp;"_Lifetime (years) - Remaining Years",Algorithms!$A:$A,0)),0)</f>
        <v>5</v>
      </c>
      <c r="CG612" s="266">
        <f t="shared" ca="1" si="393"/>
        <v>0</v>
      </c>
      <c r="CH612" s="266">
        <f t="shared" ca="1" si="394"/>
        <v>0</v>
      </c>
      <c r="CI612" s="266">
        <f t="shared" ca="1" si="395"/>
        <v>0</v>
      </c>
      <c r="CJ612" s="266">
        <f t="shared" ca="1" si="396"/>
        <v>0</v>
      </c>
      <c r="CK612" s="266">
        <f t="shared" si="397"/>
        <v>0</v>
      </c>
      <c r="CL612" s="266">
        <f t="shared" si="398"/>
        <v>0</v>
      </c>
      <c r="CM612" s="266">
        <f t="shared" ca="1" si="399"/>
        <v>0</v>
      </c>
      <c r="CN612" s="266">
        <f t="shared" ca="1" si="400"/>
        <v>0</v>
      </c>
      <c r="CO612" s="266">
        <f ca="1">N612*IFERROR(INDEX(Algorithms!$G:$G,MATCH($C612&amp;"_Therm Saved per Unit- MLA",Algorithms!$A:$A,0)),0)*X612</f>
        <v>0</v>
      </c>
      <c r="CP612" s="266">
        <f ca="1">O612*IFERROR(INDEX(Algorithms!$G:$G,MATCH($C612&amp;"_Therm Saved per Unit- MLA",Algorithms!$A:$A,0)),0)*Y612</f>
        <v>0</v>
      </c>
      <c r="CQ612" s="266">
        <f ca="1">P612*IFERROR(INDEX(Algorithms!$G:$G,MATCH($C612&amp;"_Therm Saved per Unit- MLA",Algorithms!$A:$A,0)),0)*Z612</f>
        <v>0</v>
      </c>
      <c r="CR612" s="266">
        <f ca="1">Q612*IFERROR(INDEX(Algorithms!$G:$G,MATCH($C612&amp;"_Therm Saved per Unit- MLA",Algorithms!$A:$A,0)),0)*AA612</f>
        <v>0</v>
      </c>
      <c r="CS612" s="266">
        <f ca="1">IFERROR(INDEX(Algorithms!$G:$G,MATCH($C612&amp;"_Lifetime (years)",Algorithms!$A:$A,0)),0)</f>
        <v>16</v>
      </c>
      <c r="CT612" s="266">
        <f ca="1">IFERROR(INDEX(Algorithms!$G:$G,MATCH($C612&amp;"_Lifetime (years) - Remaining Years",Algorithms!$A:$A,0)),0)</f>
        <v>5</v>
      </c>
      <c r="CU612" s="266">
        <f t="shared" ca="1" si="401"/>
        <v>0</v>
      </c>
      <c r="CV612" s="266">
        <f t="shared" ca="1" si="402"/>
        <v>0</v>
      </c>
      <c r="CW612" s="266">
        <f t="shared" ca="1" si="403"/>
        <v>0</v>
      </c>
      <c r="CX612" s="266">
        <f t="shared" ca="1" si="404"/>
        <v>0</v>
      </c>
    </row>
    <row r="613" spans="2:102" s="47" customFormat="1" ht="18" customHeight="1" x14ac:dyDescent="0.25">
      <c r="B613" t="str">
        <f t="shared" si="405"/>
        <v>NSG_Income Eligible_Single Family_IHWAP_Thermostat - Reprogram_Furnace (DI)_SF</v>
      </c>
      <c r="C613" s="47" t="str">
        <f t="shared" si="366"/>
        <v>Thermostat - Reprogram_Furnace (DI)_SF</v>
      </c>
      <c r="D613" s="270" t="s">
        <v>1787</v>
      </c>
      <c r="E613" s="270" t="s">
        <v>325</v>
      </c>
      <c r="F613" s="270" t="s">
        <v>375</v>
      </c>
      <c r="G613" s="270" t="s">
        <v>1439</v>
      </c>
      <c r="H613" s="270" t="s">
        <v>1055</v>
      </c>
      <c r="I613" s="270" t="s">
        <v>1038</v>
      </c>
      <c r="J613" s="270" t="s">
        <v>409</v>
      </c>
      <c r="K613" s="263">
        <v>1</v>
      </c>
      <c r="L613" s="263" t="str">
        <f ca="1">IFERROR(INDEX(Algorithms!J:J,MATCH($C613&amp;"_Therm Saved per Unit",Algorithms!$A:$A,0)),"n/a")</f>
        <v>5.3.11</v>
      </c>
      <c r="M613" s="263" t="str">
        <f>IFERROR(INDEX('Measure Level Detail'!$N:$N,MATCH($B613,'Measure Level Detail'!$B:$B,0)),0)</f>
        <v>Each</v>
      </c>
      <c r="N613" s="271">
        <f>IFERROR(INDEX('Measure Level Detail'!$P:$P,MATCH($B613&amp;"_"&amp;N$3,'Measure Level Detail'!$C:$C,0)),0)</f>
        <v>0</v>
      </c>
      <c r="O613" s="271">
        <f>IFERROR(INDEX('Measure Level Detail'!$P:$P,MATCH($B613&amp;"_"&amp;O$3,'Measure Level Detail'!$C:$C,0)),0)</f>
        <v>0</v>
      </c>
      <c r="P613" s="271">
        <f>IFERROR(INDEX('Measure Level Detail'!$P:$P,MATCH($B613&amp;"_"&amp;P$3,'Measure Level Detail'!$C:$C,0)),0)</f>
        <v>0</v>
      </c>
      <c r="Q613" s="271">
        <f>IFERROR(INDEX('Measure Level Detail'!$P:$P,MATCH($B613&amp;"_"&amp;Q$3,'Measure Level Detail'!$C:$C,0)),0)</f>
        <v>0</v>
      </c>
      <c r="R613" s="263" t="str">
        <f ca="1">IFERROR(INDEX(Algorithms!K:K,MATCH($C613&amp;"_Therm Saved per Unit",Algorithms!$A:$A,0)),"n/a")</f>
        <v>RS-HVC-PROG-V08-220101</v>
      </c>
      <c r="S613" s="262"/>
      <c r="T613" s="272">
        <v>62.31</v>
      </c>
      <c r="U613" s="272">
        <v>62.31</v>
      </c>
      <c r="V613" s="272">
        <v>62.31</v>
      </c>
      <c r="W613" s="272">
        <v>62.31</v>
      </c>
      <c r="X613" s="273">
        <f>IFERROR(INDEX('Measure Level Detail'!$R:$R,MATCH($B613&amp;"_"&amp;X$3,'Measure Level Detail'!$C:$C,0)),0)</f>
        <v>1</v>
      </c>
      <c r="Y613" s="273">
        <f>IFERROR(INDEX('Measure Level Detail'!$R:$R,MATCH($B613&amp;"_"&amp;Y$3,'Measure Level Detail'!$C:$C,0)),0)</f>
        <v>1</v>
      </c>
      <c r="Z613" s="273">
        <f>IFERROR(INDEX('Measure Level Detail'!$R:$R,MATCH($B613&amp;"_"&amp;Z$3,'Measure Level Detail'!$C:$C,0)),0)</f>
        <v>1</v>
      </c>
      <c r="AA613" s="273">
        <f>IFERROR(INDEX('Measure Level Detail'!$R:$R,MATCH($B613&amp;"_"&amp;AA$3,'Measure Level Detail'!$C:$C,0)),0)</f>
        <v>1</v>
      </c>
      <c r="AB613" s="266">
        <f t="shared" si="367"/>
        <v>0</v>
      </c>
      <c r="AC613" s="266">
        <f t="shared" si="368"/>
        <v>0</v>
      </c>
      <c r="AD613" s="266">
        <f t="shared" si="369"/>
        <v>0</v>
      </c>
      <c r="AE613" s="266">
        <f t="shared" si="370"/>
        <v>0</v>
      </c>
      <c r="AF613" s="266">
        <f t="shared" si="371"/>
        <v>0</v>
      </c>
      <c r="AG613" s="274">
        <v>1</v>
      </c>
      <c r="AH613" s="274">
        <v>1</v>
      </c>
      <c r="AI613" s="274">
        <v>1</v>
      </c>
      <c r="AJ613" s="274">
        <v>1</v>
      </c>
      <c r="AK613" s="274">
        <f t="shared" si="372"/>
        <v>1</v>
      </c>
      <c r="AL613" s="274">
        <f t="shared" si="373"/>
        <v>1</v>
      </c>
      <c r="AM613" s="274">
        <f t="shared" si="374"/>
        <v>1</v>
      </c>
      <c r="AN613" s="274">
        <f t="shared" si="375"/>
        <v>1</v>
      </c>
      <c r="AO613" s="262"/>
      <c r="AP613" s="262"/>
      <c r="AQ613" s="267">
        <v>62.31</v>
      </c>
      <c r="AR613" s="262"/>
      <c r="AS613" s="266">
        <f t="shared" si="376"/>
        <v>0</v>
      </c>
      <c r="AT613" s="264">
        <f t="shared" si="377"/>
        <v>0</v>
      </c>
      <c r="AU613" s="262"/>
      <c r="AV613" s="262"/>
      <c r="AW613" s="265">
        <v>62.31</v>
      </c>
      <c r="AX613" s="164" t="s">
        <v>1469</v>
      </c>
      <c r="AY613" s="266">
        <v>0</v>
      </c>
      <c r="AZ613" s="266">
        <f t="shared" si="378"/>
        <v>0</v>
      </c>
      <c r="BA613" s="264">
        <f t="shared" si="379"/>
        <v>0</v>
      </c>
      <c r="BB613" s="262"/>
      <c r="BC613" s="262"/>
      <c r="BD613" s="265">
        <f ca="1">IFERROR(INDEX(Algorithms!$G:$G,MATCH($C613&amp;"_Therm Saved per Unit",Algorithms!$A:$A,0)),0)</f>
        <v>62.31</v>
      </c>
      <c r="BE613" s="164" t="str">
        <f ca="1">IFERROR(INDEX('v12 Revisions'!$P$29:$P$186, MATCH('Measure-Level Adj Gas'!$L613, 'v12 Revisions'!$D$29:$D$186,0)),"")</f>
        <v/>
      </c>
      <c r="BF613" s="266">
        <f t="shared" ca="1" si="380"/>
        <v>0</v>
      </c>
      <c r="BG613" s="264">
        <f t="shared" ca="1" si="381"/>
        <v>0</v>
      </c>
      <c r="BH613" s="262"/>
      <c r="BI613" s="262"/>
      <c r="BJ613" s="265">
        <f ca="1">IFERROR(INDEX(Algorithms!$G:$G,MATCH($C613&amp;"_Therm Saved per Unit",Algorithms!$A:$A,0)),0)</f>
        <v>62.31</v>
      </c>
      <c r="BK613" s="164"/>
      <c r="BL613" s="266">
        <f t="shared" ca="1" si="382"/>
        <v>0</v>
      </c>
      <c r="BM613" s="264">
        <f t="shared" ca="1" si="383"/>
        <v>0</v>
      </c>
      <c r="BN613" s="266">
        <f t="shared" si="384"/>
        <v>0</v>
      </c>
      <c r="BO613" s="266">
        <f t="shared" si="385"/>
        <v>0</v>
      </c>
      <c r="BP613" s="266">
        <f t="shared" ca="1" si="386"/>
        <v>0</v>
      </c>
      <c r="BQ613" s="266">
        <f t="shared" ca="1" si="387"/>
        <v>0</v>
      </c>
      <c r="BR613" s="268">
        <f t="shared" ca="1" si="388"/>
        <v>0</v>
      </c>
      <c r="BS613" s="262" t="s">
        <v>99</v>
      </c>
      <c r="BT613" s="277"/>
      <c r="BW613" s="266">
        <f t="shared" si="389"/>
        <v>0</v>
      </c>
      <c r="BX613" s="266">
        <f t="shared" si="390"/>
        <v>0</v>
      </c>
      <c r="BY613" s="266">
        <f t="shared" si="391"/>
        <v>0</v>
      </c>
      <c r="BZ613" s="266">
        <f t="shared" si="392"/>
        <v>0</v>
      </c>
      <c r="CA613" s="266">
        <f ca="1">N613*IFERROR(INDEX(Algorithms!$G:$G,MATCH($C613&amp;"_Therm Saved per Unit- MLA",Algorithms!$A:$A,0)),0)*X613</f>
        <v>0</v>
      </c>
      <c r="CB613" s="266">
        <f ca="1">O613*IFERROR(INDEX(Algorithms!$G:$G,MATCH($C613&amp;"_Therm Saved per Unit- MLA",Algorithms!$A:$A,0)),0)*Y613</f>
        <v>0</v>
      </c>
      <c r="CC613" s="266">
        <f ca="1">P613*IFERROR(INDEX(Algorithms!$G:$G,MATCH($C613&amp;"_Therm Saved per Unit- MLA",Algorithms!$A:$A,0)),0)*Z613</f>
        <v>0</v>
      </c>
      <c r="CD613" s="266">
        <f ca="1">Q613*IFERROR(INDEX(Algorithms!$G:$G,MATCH($C613&amp;"_Therm Saved per Unit- MLA",Algorithms!$A:$A,0)),0)*AA613</f>
        <v>0</v>
      </c>
      <c r="CE613" s="266">
        <f ca="1">IFERROR(INDEX(Algorithms!$G:$G,MATCH($C613&amp;"_Lifetime (years)",Algorithms!$A:$A,0)),0)</f>
        <v>2</v>
      </c>
      <c r="CF613" s="266">
        <f ca="1">IFERROR(INDEX(Algorithms!$G:$G,MATCH($C613&amp;"_Lifetime (years) - Remaining Years",Algorithms!$A:$A,0)),0)</f>
        <v>0</v>
      </c>
      <c r="CG613" s="266">
        <f t="shared" ca="1" si="393"/>
        <v>0</v>
      </c>
      <c r="CH613" s="266">
        <f t="shared" ca="1" si="394"/>
        <v>0</v>
      </c>
      <c r="CI613" s="266">
        <f t="shared" ca="1" si="395"/>
        <v>0</v>
      </c>
      <c r="CJ613" s="266">
        <f t="shared" ca="1" si="396"/>
        <v>0</v>
      </c>
      <c r="CK613" s="266">
        <f t="shared" si="397"/>
        <v>0</v>
      </c>
      <c r="CL613" s="266">
        <f t="shared" si="398"/>
        <v>0</v>
      </c>
      <c r="CM613" s="266">
        <f t="shared" ca="1" si="399"/>
        <v>0</v>
      </c>
      <c r="CN613" s="266">
        <f t="shared" ca="1" si="400"/>
        <v>0</v>
      </c>
      <c r="CO613" s="266">
        <f ca="1">N613*IFERROR(INDEX(Algorithms!$G:$G,MATCH($C613&amp;"_Therm Saved per Unit- MLA",Algorithms!$A:$A,0)),0)*X613</f>
        <v>0</v>
      </c>
      <c r="CP613" s="266">
        <f ca="1">O613*IFERROR(INDEX(Algorithms!$G:$G,MATCH($C613&amp;"_Therm Saved per Unit- MLA",Algorithms!$A:$A,0)),0)*Y613</f>
        <v>0</v>
      </c>
      <c r="CQ613" s="266">
        <f ca="1">P613*IFERROR(INDEX(Algorithms!$G:$G,MATCH($C613&amp;"_Therm Saved per Unit- MLA",Algorithms!$A:$A,0)),0)*Z613</f>
        <v>0</v>
      </c>
      <c r="CR613" s="266">
        <f ca="1">Q613*IFERROR(INDEX(Algorithms!$G:$G,MATCH($C613&amp;"_Therm Saved per Unit- MLA",Algorithms!$A:$A,0)),0)*AA613</f>
        <v>0</v>
      </c>
      <c r="CS613" s="266">
        <f ca="1">IFERROR(INDEX(Algorithms!$G:$G,MATCH($C613&amp;"_Lifetime (years)",Algorithms!$A:$A,0)),0)</f>
        <v>2</v>
      </c>
      <c r="CT613" s="266">
        <f ca="1">IFERROR(INDEX(Algorithms!$G:$G,MATCH($C613&amp;"_Lifetime (years) - Remaining Years",Algorithms!$A:$A,0)),0)</f>
        <v>0</v>
      </c>
      <c r="CU613" s="266">
        <f t="shared" ca="1" si="401"/>
        <v>0</v>
      </c>
      <c r="CV613" s="266">
        <f t="shared" ca="1" si="402"/>
        <v>0</v>
      </c>
      <c r="CW613" s="266">
        <f t="shared" ca="1" si="403"/>
        <v>0</v>
      </c>
      <c r="CX613" s="266">
        <f t="shared" ca="1" si="404"/>
        <v>0</v>
      </c>
    </row>
    <row r="614" spans="2:102" s="47" customFormat="1" ht="18" customHeight="1" x14ac:dyDescent="0.25">
      <c r="B614" t="str">
        <f t="shared" si="405"/>
        <v>NSG_Income Eligible_Single Family_IHWAP_Thermostat - Reprogram_Boiler (DI)_SF</v>
      </c>
      <c r="C614" s="47" t="str">
        <f t="shared" si="366"/>
        <v>Thermostat - Reprogram_Boiler (DI)_SF</v>
      </c>
      <c r="D614" s="270" t="s">
        <v>1787</v>
      </c>
      <c r="E614" s="270" t="s">
        <v>325</v>
      </c>
      <c r="F614" s="270" t="s">
        <v>375</v>
      </c>
      <c r="G614" s="270" t="s">
        <v>1439</v>
      </c>
      <c r="H614" s="270" t="s">
        <v>1055</v>
      </c>
      <c r="I614" s="270" t="s">
        <v>1045</v>
      </c>
      <c r="J614" s="270" t="s">
        <v>409</v>
      </c>
      <c r="K614" s="263">
        <v>1</v>
      </c>
      <c r="L614" s="263" t="str">
        <f ca="1">IFERROR(INDEX(Algorithms!J:J,MATCH($C614&amp;"_Therm Saved per Unit",Algorithms!$A:$A,0)),"n/a")</f>
        <v>5.3.11</v>
      </c>
      <c r="M614" s="263" t="str">
        <f>IFERROR(INDEX('Measure Level Detail'!$N:$N,MATCH($B614,'Measure Level Detail'!$B:$B,0)),0)</f>
        <v>Each</v>
      </c>
      <c r="N614" s="271">
        <f>IFERROR(INDEX('Measure Level Detail'!$P:$P,MATCH($B614&amp;"_"&amp;N$3,'Measure Level Detail'!$C:$C,0)),0)</f>
        <v>0</v>
      </c>
      <c r="O614" s="271">
        <f>IFERROR(INDEX('Measure Level Detail'!$P:$P,MATCH($B614&amp;"_"&amp;O$3,'Measure Level Detail'!$C:$C,0)),0)</f>
        <v>0</v>
      </c>
      <c r="P614" s="271">
        <f>IFERROR(INDEX('Measure Level Detail'!$P:$P,MATCH($B614&amp;"_"&amp;P$3,'Measure Level Detail'!$C:$C,0)),0)</f>
        <v>0</v>
      </c>
      <c r="Q614" s="271">
        <f>IFERROR(INDEX('Measure Level Detail'!$P:$P,MATCH($B614&amp;"_"&amp;Q$3,'Measure Level Detail'!$C:$C,0)),0)</f>
        <v>0</v>
      </c>
      <c r="R614" s="263" t="str">
        <f ca="1">IFERROR(INDEX(Algorithms!K:K,MATCH($C614&amp;"_Therm Saved per Unit",Algorithms!$A:$A,0)),"n/a")</f>
        <v>RS-HVC-PROG-V08-220101</v>
      </c>
      <c r="S614" s="262"/>
      <c r="T614" s="272">
        <v>92.194000000000003</v>
      </c>
      <c r="U614" s="272">
        <v>92.194000000000003</v>
      </c>
      <c r="V614" s="272">
        <v>92.194000000000003</v>
      </c>
      <c r="W614" s="272">
        <v>92.194000000000003</v>
      </c>
      <c r="X614" s="273">
        <f>IFERROR(INDEX('Measure Level Detail'!$R:$R,MATCH($B614&amp;"_"&amp;X$3,'Measure Level Detail'!$C:$C,0)),0)</f>
        <v>1</v>
      </c>
      <c r="Y614" s="273">
        <f>IFERROR(INDEX('Measure Level Detail'!$R:$R,MATCH($B614&amp;"_"&amp;Y$3,'Measure Level Detail'!$C:$C,0)),0)</f>
        <v>1</v>
      </c>
      <c r="Z614" s="273">
        <f>IFERROR(INDEX('Measure Level Detail'!$R:$R,MATCH($B614&amp;"_"&amp;Z$3,'Measure Level Detail'!$C:$C,0)),0)</f>
        <v>1</v>
      </c>
      <c r="AA614" s="273">
        <f>IFERROR(INDEX('Measure Level Detail'!$R:$R,MATCH($B614&amp;"_"&amp;AA$3,'Measure Level Detail'!$C:$C,0)),0)</f>
        <v>1</v>
      </c>
      <c r="AB614" s="266">
        <f t="shared" si="367"/>
        <v>0</v>
      </c>
      <c r="AC614" s="266">
        <f t="shared" si="368"/>
        <v>0</v>
      </c>
      <c r="AD614" s="266">
        <f t="shared" si="369"/>
        <v>0</v>
      </c>
      <c r="AE614" s="266">
        <f t="shared" si="370"/>
        <v>0</v>
      </c>
      <c r="AF614" s="266">
        <f t="shared" si="371"/>
        <v>0</v>
      </c>
      <c r="AG614" s="274">
        <v>1</v>
      </c>
      <c r="AH614" s="274">
        <v>1</v>
      </c>
      <c r="AI614" s="274">
        <v>1</v>
      </c>
      <c r="AJ614" s="274">
        <v>1</v>
      </c>
      <c r="AK614" s="274">
        <f t="shared" si="372"/>
        <v>1</v>
      </c>
      <c r="AL614" s="274">
        <f t="shared" si="373"/>
        <v>1</v>
      </c>
      <c r="AM614" s="274">
        <f t="shared" si="374"/>
        <v>1</v>
      </c>
      <c r="AN614" s="274">
        <f t="shared" si="375"/>
        <v>1</v>
      </c>
      <c r="AO614" s="262"/>
      <c r="AP614" s="262"/>
      <c r="AQ614" s="267">
        <v>92.194000000000003</v>
      </c>
      <c r="AR614" s="262"/>
      <c r="AS614" s="266">
        <f t="shared" si="376"/>
        <v>0</v>
      </c>
      <c r="AT614" s="264">
        <f t="shared" si="377"/>
        <v>0</v>
      </c>
      <c r="AU614" s="262"/>
      <c r="AV614" s="262"/>
      <c r="AW614" s="265">
        <v>92.194000000000003</v>
      </c>
      <c r="AX614" s="164" t="s">
        <v>1469</v>
      </c>
      <c r="AY614" s="266">
        <v>0</v>
      </c>
      <c r="AZ614" s="266">
        <f t="shared" si="378"/>
        <v>0</v>
      </c>
      <c r="BA614" s="264">
        <f t="shared" si="379"/>
        <v>0</v>
      </c>
      <c r="BB614" s="262"/>
      <c r="BC614" s="262"/>
      <c r="BD614" s="265">
        <f ca="1">IFERROR(INDEX(Algorithms!$G:$G,MATCH($C614&amp;"_Therm Saved per Unit",Algorithms!$A:$A,0)),0)</f>
        <v>92.194000000000003</v>
      </c>
      <c r="BE614" s="164" t="str">
        <f ca="1">IFERROR(INDEX('v12 Revisions'!$P$29:$P$186, MATCH('Measure-Level Adj Gas'!$L614, 'v12 Revisions'!$D$29:$D$186,0)),"")</f>
        <v/>
      </c>
      <c r="BF614" s="266">
        <f t="shared" ca="1" si="380"/>
        <v>0</v>
      </c>
      <c r="BG614" s="264">
        <f t="shared" ca="1" si="381"/>
        <v>0</v>
      </c>
      <c r="BH614" s="262"/>
      <c r="BI614" s="262"/>
      <c r="BJ614" s="265">
        <f ca="1">IFERROR(INDEX(Algorithms!$G:$G,MATCH($C614&amp;"_Therm Saved per Unit",Algorithms!$A:$A,0)),0)</f>
        <v>92.194000000000003</v>
      </c>
      <c r="BK614" s="164"/>
      <c r="BL614" s="266">
        <f t="shared" ca="1" si="382"/>
        <v>0</v>
      </c>
      <c r="BM614" s="264">
        <f t="shared" ca="1" si="383"/>
        <v>0</v>
      </c>
      <c r="BN614" s="266">
        <f t="shared" si="384"/>
        <v>0</v>
      </c>
      <c r="BO614" s="266">
        <f t="shared" si="385"/>
        <v>0</v>
      </c>
      <c r="BP614" s="266">
        <f t="shared" ca="1" si="386"/>
        <v>0</v>
      </c>
      <c r="BQ614" s="266">
        <f t="shared" ca="1" si="387"/>
        <v>0</v>
      </c>
      <c r="BR614" s="268">
        <f t="shared" ca="1" si="388"/>
        <v>0</v>
      </c>
      <c r="BS614" s="262" t="s">
        <v>99</v>
      </c>
      <c r="BT614" s="277"/>
      <c r="BW614" s="266">
        <f t="shared" si="389"/>
        <v>0</v>
      </c>
      <c r="BX614" s="266">
        <f t="shared" si="390"/>
        <v>0</v>
      </c>
      <c r="BY614" s="266">
        <f t="shared" si="391"/>
        <v>0</v>
      </c>
      <c r="BZ614" s="266">
        <f t="shared" si="392"/>
        <v>0</v>
      </c>
      <c r="CA614" s="266">
        <f ca="1">N614*IFERROR(INDEX(Algorithms!$G:$G,MATCH($C614&amp;"_Therm Saved per Unit- MLA",Algorithms!$A:$A,0)),0)*X614</f>
        <v>0</v>
      </c>
      <c r="CB614" s="266">
        <f ca="1">O614*IFERROR(INDEX(Algorithms!$G:$G,MATCH($C614&amp;"_Therm Saved per Unit- MLA",Algorithms!$A:$A,0)),0)*Y614</f>
        <v>0</v>
      </c>
      <c r="CC614" s="266">
        <f ca="1">P614*IFERROR(INDEX(Algorithms!$G:$G,MATCH($C614&amp;"_Therm Saved per Unit- MLA",Algorithms!$A:$A,0)),0)*Z614</f>
        <v>0</v>
      </c>
      <c r="CD614" s="266">
        <f ca="1">Q614*IFERROR(INDEX(Algorithms!$G:$G,MATCH($C614&amp;"_Therm Saved per Unit- MLA",Algorithms!$A:$A,0)),0)*AA614</f>
        <v>0</v>
      </c>
      <c r="CE614" s="266">
        <f ca="1">IFERROR(INDEX(Algorithms!$G:$G,MATCH($C614&amp;"_Lifetime (years)",Algorithms!$A:$A,0)),0)</f>
        <v>2</v>
      </c>
      <c r="CF614" s="266">
        <f ca="1">IFERROR(INDEX(Algorithms!$G:$G,MATCH($C614&amp;"_Lifetime (years) - Remaining Years",Algorithms!$A:$A,0)),0)</f>
        <v>0</v>
      </c>
      <c r="CG614" s="266">
        <f t="shared" ca="1" si="393"/>
        <v>0</v>
      </c>
      <c r="CH614" s="266">
        <f t="shared" ca="1" si="394"/>
        <v>0</v>
      </c>
      <c r="CI614" s="266">
        <f t="shared" ca="1" si="395"/>
        <v>0</v>
      </c>
      <c r="CJ614" s="266">
        <f t="shared" ca="1" si="396"/>
        <v>0</v>
      </c>
      <c r="CK614" s="266">
        <f t="shared" si="397"/>
        <v>0</v>
      </c>
      <c r="CL614" s="266">
        <f t="shared" si="398"/>
        <v>0</v>
      </c>
      <c r="CM614" s="266">
        <f t="shared" ca="1" si="399"/>
        <v>0</v>
      </c>
      <c r="CN614" s="266">
        <f t="shared" ca="1" si="400"/>
        <v>0</v>
      </c>
      <c r="CO614" s="266">
        <f ca="1">N614*IFERROR(INDEX(Algorithms!$G:$G,MATCH($C614&amp;"_Therm Saved per Unit- MLA",Algorithms!$A:$A,0)),0)*X614</f>
        <v>0</v>
      </c>
      <c r="CP614" s="266">
        <f ca="1">O614*IFERROR(INDEX(Algorithms!$G:$G,MATCH($C614&amp;"_Therm Saved per Unit- MLA",Algorithms!$A:$A,0)),0)*Y614</f>
        <v>0</v>
      </c>
      <c r="CQ614" s="266">
        <f ca="1">P614*IFERROR(INDEX(Algorithms!$G:$G,MATCH($C614&amp;"_Therm Saved per Unit- MLA",Algorithms!$A:$A,0)),0)*Z614</f>
        <v>0</v>
      </c>
      <c r="CR614" s="266">
        <f ca="1">Q614*IFERROR(INDEX(Algorithms!$G:$G,MATCH($C614&amp;"_Therm Saved per Unit- MLA",Algorithms!$A:$A,0)),0)*AA614</f>
        <v>0</v>
      </c>
      <c r="CS614" s="266">
        <f ca="1">IFERROR(INDEX(Algorithms!$G:$G,MATCH($C614&amp;"_Lifetime (years)",Algorithms!$A:$A,0)),0)</f>
        <v>2</v>
      </c>
      <c r="CT614" s="266">
        <f ca="1">IFERROR(INDEX(Algorithms!$G:$G,MATCH($C614&amp;"_Lifetime (years) - Remaining Years",Algorithms!$A:$A,0)),0)</f>
        <v>0</v>
      </c>
      <c r="CU614" s="266">
        <f t="shared" ca="1" si="401"/>
        <v>0</v>
      </c>
      <c r="CV614" s="266">
        <f t="shared" ca="1" si="402"/>
        <v>0</v>
      </c>
      <c r="CW614" s="266">
        <f t="shared" ca="1" si="403"/>
        <v>0</v>
      </c>
      <c r="CX614" s="266">
        <f t="shared" ca="1" si="404"/>
        <v>0</v>
      </c>
    </row>
    <row r="615" spans="2:102" s="47" customFormat="1" ht="18" customHeight="1" x14ac:dyDescent="0.25">
      <c r="B615" t="str">
        <f t="shared" si="405"/>
        <v>NSG_Income Eligible_Single Family_IHWAP_Air sealing w/ attic insulation_0_IE SF</v>
      </c>
      <c r="C615" s="47" t="str">
        <f t="shared" si="366"/>
        <v>Air sealing w/ attic insulation_0_IE SF</v>
      </c>
      <c r="D615" s="270" t="s">
        <v>1787</v>
      </c>
      <c r="E615" s="270" t="s">
        <v>325</v>
      </c>
      <c r="F615" s="270" t="s">
        <v>375</v>
      </c>
      <c r="G615" s="270" t="s">
        <v>1439</v>
      </c>
      <c r="H615" s="270" t="s">
        <v>1436</v>
      </c>
      <c r="I615" s="270">
        <v>0</v>
      </c>
      <c r="J615" s="270" t="s">
        <v>581</v>
      </c>
      <c r="K615" s="263">
        <v>1</v>
      </c>
      <c r="L615" s="263" t="str">
        <f ca="1">IFERROR(INDEX(Algorithms!J:J,MATCH($C615&amp;"_Therm Saved per Unit",Algorithms!$A:$A,0)),"n/a")</f>
        <v>5.6.1</v>
      </c>
      <c r="M615" s="263">
        <f>IFERROR(INDEX('Measure Level Detail'!$N:$N,MATCH($B615,'Measure Level Detail'!$B:$B,0)),0)</f>
        <v>0</v>
      </c>
      <c r="N615" s="271">
        <f>IFERROR(INDEX('Measure Level Detail'!$P:$P,MATCH($B615&amp;"_"&amp;N$3,'Measure Level Detail'!$C:$C,0)),0)</f>
        <v>0</v>
      </c>
      <c r="O615" s="271">
        <f>IFERROR(INDEX('Measure Level Detail'!$P:$P,MATCH($B615&amp;"_"&amp;O$3,'Measure Level Detail'!$C:$C,0)),0)</f>
        <v>0</v>
      </c>
      <c r="P615" s="271">
        <f>IFERROR(INDEX('Measure Level Detail'!$P:$P,MATCH($B615&amp;"_"&amp;P$3,'Measure Level Detail'!$C:$C,0)),0)</f>
        <v>0</v>
      </c>
      <c r="Q615" s="271">
        <f>IFERROR(INDEX('Measure Level Detail'!$P:$P,MATCH($B615&amp;"_"&amp;Q$3,'Measure Level Detail'!$C:$C,0)),0)</f>
        <v>0</v>
      </c>
      <c r="R615" s="263" t="str">
        <f ca="1">IFERROR(INDEX(Algorithms!K:K,MATCH($C615&amp;"_Therm Saved per Unit",Algorithms!$A:$A,0)),"n/a")</f>
        <v>RS-SHL-AIRS-V13-240101</v>
      </c>
      <c r="S615" s="262"/>
      <c r="T615" s="272">
        <v>6.9090927014218012E-2</v>
      </c>
      <c r="U615" s="272">
        <v>6.9090927014218012E-2</v>
      </c>
      <c r="V615" s="272">
        <v>6.9090927014218012E-2</v>
      </c>
      <c r="W615" s="272">
        <v>6.9090927014218012E-2</v>
      </c>
      <c r="X615" s="273">
        <f>IFERROR(INDEX('Measure Level Detail'!$R:$R,MATCH($B615&amp;"_"&amp;X$3,'Measure Level Detail'!$C:$C,0)),0)</f>
        <v>0</v>
      </c>
      <c r="Y615" s="273">
        <f>IFERROR(INDEX('Measure Level Detail'!$R:$R,MATCH($B615&amp;"_"&amp;Y$3,'Measure Level Detail'!$C:$C,0)),0)</f>
        <v>0</v>
      </c>
      <c r="Z615" s="273">
        <f>IFERROR(INDEX('Measure Level Detail'!$R:$R,MATCH($B615&amp;"_"&amp;Z$3,'Measure Level Detail'!$C:$C,0)),0)</f>
        <v>0</v>
      </c>
      <c r="AA615" s="273">
        <f>IFERROR(INDEX('Measure Level Detail'!$R:$R,MATCH($B615&amp;"_"&amp;AA$3,'Measure Level Detail'!$C:$C,0)),0)</f>
        <v>0</v>
      </c>
      <c r="AB615" s="266">
        <f t="shared" si="367"/>
        <v>0</v>
      </c>
      <c r="AC615" s="266">
        <f t="shared" si="368"/>
        <v>0</v>
      </c>
      <c r="AD615" s="266">
        <f t="shared" si="369"/>
        <v>0</v>
      </c>
      <c r="AE615" s="266">
        <f t="shared" si="370"/>
        <v>0</v>
      </c>
      <c r="AF615" s="266">
        <f t="shared" si="371"/>
        <v>0</v>
      </c>
      <c r="AG615" s="274">
        <v>0</v>
      </c>
      <c r="AH615" s="274">
        <v>0</v>
      </c>
      <c r="AI615" s="274">
        <v>0</v>
      </c>
      <c r="AJ615" s="274">
        <v>0</v>
      </c>
      <c r="AK615" s="274">
        <f t="shared" si="372"/>
        <v>0</v>
      </c>
      <c r="AL615" s="274">
        <f t="shared" si="373"/>
        <v>0</v>
      </c>
      <c r="AM615" s="274">
        <f t="shared" si="374"/>
        <v>0</v>
      </c>
      <c r="AN615" s="274">
        <f t="shared" si="375"/>
        <v>0</v>
      </c>
      <c r="AO615" s="262"/>
      <c r="AP615" s="262"/>
      <c r="AQ615" s="267">
        <v>6.9090927014218012E-2</v>
      </c>
      <c r="AR615" s="262"/>
      <c r="AS615" s="266">
        <f t="shared" si="376"/>
        <v>0</v>
      </c>
      <c r="AT615" s="264">
        <f t="shared" si="377"/>
        <v>0</v>
      </c>
      <c r="AU615" s="262"/>
      <c r="AV615" s="262"/>
      <c r="AW615" s="265">
        <v>6.9090927014218012E-2</v>
      </c>
      <c r="AX615" s="164" t="s">
        <v>2395</v>
      </c>
      <c r="AY615" s="266">
        <v>0</v>
      </c>
      <c r="AZ615" s="266">
        <f t="shared" si="378"/>
        <v>0</v>
      </c>
      <c r="BA615" s="264">
        <f t="shared" si="379"/>
        <v>0</v>
      </c>
      <c r="BB615" s="262"/>
      <c r="BC615" s="262"/>
      <c r="BD615" s="265">
        <f ca="1">IFERROR(INDEX(Algorithms!$G:$G,MATCH($C615&amp;"_Therm Saved per Unit",Algorithms!$A:$A,0)),0)</f>
        <v>6.8436307109004738E-2</v>
      </c>
      <c r="BE615" s="164" t="str">
        <f ca="1">IFERROR(INDEX('v12 Revisions'!$P$29:$P$186, MATCH('Measure-Level Adj Gas'!$L615, 'v12 Revisions'!$D$29:$D$186,0)),"")</f>
        <v>Updated HDD from 5113 to 4798 and shell adjustment factor from 0.72 to 0.76.</v>
      </c>
      <c r="BF615" s="266">
        <f t="shared" ca="1" si="380"/>
        <v>0</v>
      </c>
      <c r="BG615" s="264">
        <f t="shared" ca="1" si="381"/>
        <v>0</v>
      </c>
      <c r="BH615" s="262"/>
      <c r="BI615" s="262"/>
      <c r="BJ615" s="265">
        <f ca="1">IFERROR(INDEX(Algorithms!$G:$G,MATCH($C615&amp;"_Therm Saved per Unit",Algorithms!$A:$A,0)),0)</f>
        <v>6.8436307109004738E-2</v>
      </c>
      <c r="BK615" s="164"/>
      <c r="BL615" s="266">
        <f t="shared" ca="1" si="382"/>
        <v>0</v>
      </c>
      <c r="BM615" s="264">
        <f t="shared" ca="1" si="383"/>
        <v>0</v>
      </c>
      <c r="BN615" s="266">
        <f t="shared" si="384"/>
        <v>0</v>
      </c>
      <c r="BO615" s="266">
        <f t="shared" si="385"/>
        <v>0</v>
      </c>
      <c r="BP615" s="266">
        <f t="shared" ca="1" si="386"/>
        <v>0</v>
      </c>
      <c r="BQ615" s="266">
        <f t="shared" ca="1" si="387"/>
        <v>0</v>
      </c>
      <c r="BR615" s="268">
        <f t="shared" ca="1" si="388"/>
        <v>0</v>
      </c>
      <c r="BS615" s="262" t="s">
        <v>99</v>
      </c>
      <c r="BT615" s="277"/>
      <c r="BW615" s="266">
        <f t="shared" si="389"/>
        <v>0</v>
      </c>
      <c r="BX615" s="266">
        <f t="shared" si="390"/>
        <v>0</v>
      </c>
      <c r="BY615" s="266">
        <f t="shared" si="391"/>
        <v>0</v>
      </c>
      <c r="BZ615" s="266">
        <f t="shared" si="392"/>
        <v>0</v>
      </c>
      <c r="CA615" s="266">
        <f ca="1">N615*IFERROR(INDEX(Algorithms!$G:$G,MATCH($C615&amp;"_Therm Saved per Unit- MLA",Algorithms!$A:$A,0)),0)*X615</f>
        <v>0</v>
      </c>
      <c r="CB615" s="266">
        <f ca="1">O615*IFERROR(INDEX(Algorithms!$G:$G,MATCH($C615&amp;"_Therm Saved per Unit- MLA",Algorithms!$A:$A,0)),0)*Y615</f>
        <v>0</v>
      </c>
      <c r="CC615" s="266">
        <f ca="1">P615*IFERROR(INDEX(Algorithms!$G:$G,MATCH($C615&amp;"_Therm Saved per Unit- MLA",Algorithms!$A:$A,0)),0)*Z615</f>
        <v>0</v>
      </c>
      <c r="CD615" s="266">
        <f ca="1">Q615*IFERROR(INDEX(Algorithms!$G:$G,MATCH($C615&amp;"_Therm Saved per Unit- MLA",Algorithms!$A:$A,0)),0)*AA615</f>
        <v>0</v>
      </c>
      <c r="CE615" s="266">
        <f ca="1">IFERROR(INDEX(Algorithms!$G:$G,MATCH($C615&amp;"_Lifetime (years)",Algorithms!$A:$A,0)),0)</f>
        <v>20</v>
      </c>
      <c r="CF615" s="266">
        <f ca="1">IFERROR(INDEX(Algorithms!$G:$G,MATCH($C615&amp;"_Lifetime (years) - Remaining Years",Algorithms!$A:$A,0)),0)</f>
        <v>10</v>
      </c>
      <c r="CG615" s="266">
        <f t="shared" ca="1" si="393"/>
        <v>0</v>
      </c>
      <c r="CH615" s="266">
        <f t="shared" ca="1" si="394"/>
        <v>0</v>
      </c>
      <c r="CI615" s="266">
        <f t="shared" ca="1" si="395"/>
        <v>0</v>
      </c>
      <c r="CJ615" s="266">
        <f t="shared" ca="1" si="396"/>
        <v>0</v>
      </c>
      <c r="CK615" s="266">
        <f t="shared" si="397"/>
        <v>0</v>
      </c>
      <c r="CL615" s="266">
        <f t="shared" si="398"/>
        <v>0</v>
      </c>
      <c r="CM615" s="266">
        <f t="shared" ca="1" si="399"/>
        <v>0</v>
      </c>
      <c r="CN615" s="266">
        <f t="shared" ca="1" si="400"/>
        <v>0</v>
      </c>
      <c r="CO615" s="266">
        <f ca="1">N615*IFERROR(INDEX(Algorithms!$G:$G,MATCH($C615&amp;"_Therm Saved per Unit- MLA",Algorithms!$A:$A,0)),0)*X615</f>
        <v>0</v>
      </c>
      <c r="CP615" s="266">
        <f ca="1">O615*IFERROR(INDEX(Algorithms!$G:$G,MATCH($C615&amp;"_Therm Saved per Unit- MLA",Algorithms!$A:$A,0)),0)*Y615</f>
        <v>0</v>
      </c>
      <c r="CQ615" s="266">
        <f ca="1">P615*IFERROR(INDEX(Algorithms!$G:$G,MATCH($C615&amp;"_Therm Saved per Unit- MLA",Algorithms!$A:$A,0)),0)*Z615</f>
        <v>0</v>
      </c>
      <c r="CR615" s="266">
        <f ca="1">Q615*IFERROR(INDEX(Algorithms!$G:$G,MATCH($C615&amp;"_Therm Saved per Unit- MLA",Algorithms!$A:$A,0)),0)*AA615</f>
        <v>0</v>
      </c>
      <c r="CS615" s="266">
        <f ca="1">IFERROR(INDEX(Algorithms!$G:$G,MATCH($C615&amp;"_Lifetime (years)",Algorithms!$A:$A,0)),0)</f>
        <v>20</v>
      </c>
      <c r="CT615" s="266">
        <f ca="1">IFERROR(INDEX(Algorithms!$G:$G,MATCH($C615&amp;"_Lifetime (years) - Remaining Years",Algorithms!$A:$A,0)),0)</f>
        <v>10</v>
      </c>
      <c r="CU615" s="266">
        <f t="shared" ca="1" si="401"/>
        <v>0</v>
      </c>
      <c r="CV615" s="266">
        <f t="shared" ca="1" si="402"/>
        <v>0</v>
      </c>
      <c r="CW615" s="266">
        <f t="shared" ca="1" si="403"/>
        <v>0</v>
      </c>
      <c r="CX615" s="266">
        <f t="shared" ca="1" si="404"/>
        <v>0</v>
      </c>
    </row>
    <row r="616" spans="2:102" s="47" customFormat="1" ht="18" customHeight="1" x14ac:dyDescent="0.25">
      <c r="B616" t="str">
        <f t="shared" si="405"/>
        <v>NSG_Income Eligible_Single Family_IHWAP_Foundation Insulation_0_SF</v>
      </c>
      <c r="C616" s="47" t="str">
        <f t="shared" si="366"/>
        <v>Foundation Insulation_0_SF</v>
      </c>
      <c r="D616" s="270" t="s">
        <v>1787</v>
      </c>
      <c r="E616" s="270" t="s">
        <v>325</v>
      </c>
      <c r="F616" s="270" t="s">
        <v>375</v>
      </c>
      <c r="G616" s="270" t="s">
        <v>1439</v>
      </c>
      <c r="H616" s="270" t="s">
        <v>608</v>
      </c>
      <c r="I616" s="270">
        <v>0</v>
      </c>
      <c r="J616" s="270" t="s">
        <v>409</v>
      </c>
      <c r="K616" s="263">
        <v>1</v>
      </c>
      <c r="L616" s="263" t="str">
        <f ca="1">IFERROR(INDEX(Algorithms!J:J,MATCH($C616&amp;"_Therm Saved per Unit",Algorithms!$A:$A,0)),"n/a")</f>
        <v>5.6.2</v>
      </c>
      <c r="M616" s="263" t="str">
        <f>IFERROR(INDEX('Measure Level Detail'!$N:$N,MATCH($B616,'Measure Level Detail'!$B:$B,0)),0)</f>
        <v>sq ft</v>
      </c>
      <c r="N616" s="271">
        <f>IFERROR(INDEX('Measure Level Detail'!$P:$P,MATCH($B616&amp;"_"&amp;N$3,'Measure Level Detail'!$C:$C,0)),0)</f>
        <v>0</v>
      </c>
      <c r="O616" s="271">
        <f>IFERROR(INDEX('Measure Level Detail'!$P:$P,MATCH($B616&amp;"_"&amp;O$3,'Measure Level Detail'!$C:$C,0)),0)</f>
        <v>0</v>
      </c>
      <c r="P616" s="271">
        <f>IFERROR(INDEX('Measure Level Detail'!$P:$P,MATCH($B616&amp;"_"&amp;P$3,'Measure Level Detail'!$C:$C,0)),0)</f>
        <v>0</v>
      </c>
      <c r="Q616" s="271">
        <f>IFERROR(INDEX('Measure Level Detail'!$P:$P,MATCH($B616&amp;"_"&amp;Q$3,'Measure Level Detail'!$C:$C,0)),0)</f>
        <v>0</v>
      </c>
      <c r="R616" s="263" t="str">
        <f ca="1">IFERROR(INDEX(Algorithms!K:K,MATCH($C616&amp;"_Therm Saved per Unit",Algorithms!$A:$A,0)),"n/a")</f>
        <v>RS-SHL-BINS-V14-240101</v>
      </c>
      <c r="S616" s="262"/>
      <c r="T616" s="272">
        <v>0.13695535714285714</v>
      </c>
      <c r="U616" s="272">
        <v>0.13695535714285714</v>
      </c>
      <c r="V616" s="272">
        <v>0.13695535714285714</v>
      </c>
      <c r="W616" s="272">
        <v>0.13695535714285714</v>
      </c>
      <c r="X616" s="273">
        <f>IFERROR(INDEX('Measure Level Detail'!$R:$R,MATCH($B616&amp;"_"&amp;X$3,'Measure Level Detail'!$C:$C,0)),0)</f>
        <v>1</v>
      </c>
      <c r="Y616" s="273">
        <f>IFERROR(INDEX('Measure Level Detail'!$R:$R,MATCH($B616&amp;"_"&amp;Y$3,'Measure Level Detail'!$C:$C,0)),0)</f>
        <v>1</v>
      </c>
      <c r="Z616" s="273">
        <f>IFERROR(INDEX('Measure Level Detail'!$R:$R,MATCH($B616&amp;"_"&amp;Z$3,'Measure Level Detail'!$C:$C,0)),0)</f>
        <v>1</v>
      </c>
      <c r="AA616" s="273">
        <f>IFERROR(INDEX('Measure Level Detail'!$R:$R,MATCH($B616&amp;"_"&amp;AA$3,'Measure Level Detail'!$C:$C,0)),0)</f>
        <v>1</v>
      </c>
      <c r="AB616" s="266">
        <f t="shared" si="367"/>
        <v>0</v>
      </c>
      <c r="AC616" s="266">
        <f t="shared" si="368"/>
        <v>0</v>
      </c>
      <c r="AD616" s="266">
        <f t="shared" si="369"/>
        <v>0</v>
      </c>
      <c r="AE616" s="266">
        <f t="shared" si="370"/>
        <v>0</v>
      </c>
      <c r="AF616" s="266">
        <f t="shared" si="371"/>
        <v>0</v>
      </c>
      <c r="AG616" s="274">
        <v>1</v>
      </c>
      <c r="AH616" s="274">
        <v>1</v>
      </c>
      <c r="AI616" s="274">
        <v>1</v>
      </c>
      <c r="AJ616" s="274">
        <v>1</v>
      </c>
      <c r="AK616" s="274">
        <f t="shared" si="372"/>
        <v>1</v>
      </c>
      <c r="AL616" s="274">
        <f t="shared" si="373"/>
        <v>1</v>
      </c>
      <c r="AM616" s="274">
        <f t="shared" si="374"/>
        <v>1</v>
      </c>
      <c r="AN616" s="274">
        <f t="shared" si="375"/>
        <v>1</v>
      </c>
      <c r="AO616" s="262"/>
      <c r="AP616" s="262"/>
      <c r="AQ616" s="267">
        <v>0.13695535714285714</v>
      </c>
      <c r="AR616" s="262"/>
      <c r="AS616" s="266">
        <f t="shared" si="376"/>
        <v>0</v>
      </c>
      <c r="AT616" s="264">
        <f t="shared" si="377"/>
        <v>0</v>
      </c>
      <c r="AU616" s="262"/>
      <c r="AV616" s="262"/>
      <c r="AW616" s="265">
        <v>0.13695535714285714</v>
      </c>
      <c r="AX616" s="164" t="s">
        <v>2393</v>
      </c>
      <c r="AY616" s="266">
        <v>0</v>
      </c>
      <c r="AZ616" s="266">
        <f t="shared" si="378"/>
        <v>0</v>
      </c>
      <c r="BA616" s="264">
        <f t="shared" si="379"/>
        <v>0</v>
      </c>
      <c r="BB616" s="262"/>
      <c r="BC616" s="262"/>
      <c r="BD616" s="265">
        <f ca="1">IFERROR(INDEX(Algorithms!$G:$G,MATCH($C616&amp;"_Therm Saved per Unit",Algorithms!$A:$A,0)),0)</f>
        <v>0.70170749999999993</v>
      </c>
      <c r="BE616" s="164" t="str">
        <f ca="1">IFERROR(INDEX('v12 Revisions'!$P$29:$P$186, MATCH('Measure-Level Adj Gas'!$L616, 'v12 Revisions'!$D$29:$D$186,0)),"")</f>
        <v>Updated HDD from 5113 to 4798 and shell adjustment factor from 0.60 to 0.63 ; Updated measure life to 30 years.</v>
      </c>
      <c r="BF616" s="266">
        <f t="shared" ca="1" si="380"/>
        <v>0</v>
      </c>
      <c r="BG616" s="264">
        <f t="shared" ca="1" si="381"/>
        <v>0</v>
      </c>
      <c r="BH616" s="262"/>
      <c r="BI616" s="262"/>
      <c r="BJ616" s="265">
        <f ca="1">IFERROR(INDEX(Algorithms!$G:$G,MATCH($C616&amp;"_Therm Saved per Unit",Algorithms!$A:$A,0)),0)</f>
        <v>0.70170749999999993</v>
      </c>
      <c r="BK616" s="164"/>
      <c r="BL616" s="266">
        <f t="shared" ca="1" si="382"/>
        <v>0</v>
      </c>
      <c r="BM616" s="264">
        <f t="shared" ca="1" si="383"/>
        <v>0</v>
      </c>
      <c r="BN616" s="266">
        <f t="shared" si="384"/>
        <v>0</v>
      </c>
      <c r="BO616" s="266">
        <f t="shared" si="385"/>
        <v>0</v>
      </c>
      <c r="BP616" s="266">
        <f t="shared" ca="1" si="386"/>
        <v>0</v>
      </c>
      <c r="BQ616" s="266">
        <f t="shared" ca="1" si="387"/>
        <v>0</v>
      </c>
      <c r="BR616" s="268">
        <f t="shared" ca="1" si="388"/>
        <v>0</v>
      </c>
      <c r="BS616" s="262" t="s">
        <v>99</v>
      </c>
      <c r="BT616" s="277"/>
      <c r="BW616" s="266">
        <f t="shared" si="389"/>
        <v>0</v>
      </c>
      <c r="BX616" s="266">
        <f t="shared" si="390"/>
        <v>0</v>
      </c>
      <c r="BY616" s="266">
        <f t="shared" si="391"/>
        <v>0</v>
      </c>
      <c r="BZ616" s="266">
        <f t="shared" si="392"/>
        <v>0</v>
      </c>
      <c r="CA616" s="266">
        <f ca="1">N616*IFERROR(INDEX(Algorithms!$G:$G,MATCH($C616&amp;"_Therm Saved per Unit- MLA",Algorithms!$A:$A,0)),0)*X616</f>
        <v>0</v>
      </c>
      <c r="CB616" s="266">
        <f ca="1">O616*IFERROR(INDEX(Algorithms!$G:$G,MATCH($C616&amp;"_Therm Saved per Unit- MLA",Algorithms!$A:$A,0)),0)*Y616</f>
        <v>0</v>
      </c>
      <c r="CC616" s="266">
        <f ca="1">P616*IFERROR(INDEX(Algorithms!$G:$G,MATCH($C616&amp;"_Therm Saved per Unit- MLA",Algorithms!$A:$A,0)),0)*Z616</f>
        <v>0</v>
      </c>
      <c r="CD616" s="266">
        <f ca="1">Q616*IFERROR(INDEX(Algorithms!$G:$G,MATCH($C616&amp;"_Therm Saved per Unit- MLA",Algorithms!$A:$A,0)),0)*AA616</f>
        <v>0</v>
      </c>
      <c r="CE616" s="266">
        <f ca="1">IFERROR(INDEX(Algorithms!$G:$G,MATCH($C616&amp;"_Lifetime (years)",Algorithms!$A:$A,0)),0)</f>
        <v>30</v>
      </c>
      <c r="CF616" s="266">
        <f ca="1">IFERROR(INDEX(Algorithms!$G:$G,MATCH($C616&amp;"_Lifetime (years) - Remaining Years",Algorithms!$A:$A,0)),0)</f>
        <v>10</v>
      </c>
      <c r="CG616" s="266">
        <f t="shared" ca="1" si="393"/>
        <v>0</v>
      </c>
      <c r="CH616" s="266">
        <f t="shared" ca="1" si="394"/>
        <v>0</v>
      </c>
      <c r="CI616" s="266">
        <f t="shared" ca="1" si="395"/>
        <v>0</v>
      </c>
      <c r="CJ616" s="266">
        <f t="shared" ca="1" si="396"/>
        <v>0</v>
      </c>
      <c r="CK616" s="266">
        <f t="shared" si="397"/>
        <v>0</v>
      </c>
      <c r="CL616" s="266">
        <f t="shared" si="398"/>
        <v>0</v>
      </c>
      <c r="CM616" s="266">
        <f t="shared" ca="1" si="399"/>
        <v>0</v>
      </c>
      <c r="CN616" s="266">
        <f t="shared" ca="1" si="400"/>
        <v>0</v>
      </c>
      <c r="CO616" s="266">
        <f ca="1">N616*IFERROR(INDEX(Algorithms!$G:$G,MATCH($C616&amp;"_Therm Saved per Unit- MLA",Algorithms!$A:$A,0)),0)*X616</f>
        <v>0</v>
      </c>
      <c r="CP616" s="266">
        <f ca="1">O616*IFERROR(INDEX(Algorithms!$G:$G,MATCH($C616&amp;"_Therm Saved per Unit- MLA",Algorithms!$A:$A,0)),0)*Y616</f>
        <v>0</v>
      </c>
      <c r="CQ616" s="266">
        <f ca="1">P616*IFERROR(INDEX(Algorithms!$G:$G,MATCH($C616&amp;"_Therm Saved per Unit- MLA",Algorithms!$A:$A,0)),0)*Z616</f>
        <v>0</v>
      </c>
      <c r="CR616" s="266">
        <f ca="1">Q616*IFERROR(INDEX(Algorithms!$G:$G,MATCH($C616&amp;"_Therm Saved per Unit- MLA",Algorithms!$A:$A,0)),0)*AA616</f>
        <v>0</v>
      </c>
      <c r="CS616" s="266">
        <f ca="1">IFERROR(INDEX(Algorithms!$G:$G,MATCH($C616&amp;"_Lifetime (years)",Algorithms!$A:$A,0)),0)</f>
        <v>30</v>
      </c>
      <c r="CT616" s="266">
        <f ca="1">IFERROR(INDEX(Algorithms!$G:$G,MATCH($C616&amp;"_Lifetime (years) - Remaining Years",Algorithms!$A:$A,0)),0)</f>
        <v>10</v>
      </c>
      <c r="CU616" s="266">
        <f t="shared" ca="1" si="401"/>
        <v>0</v>
      </c>
      <c r="CV616" s="266">
        <f t="shared" ca="1" si="402"/>
        <v>0</v>
      </c>
      <c r="CW616" s="266">
        <f t="shared" ca="1" si="403"/>
        <v>0</v>
      </c>
      <c r="CX616" s="266">
        <f t="shared" ca="1" si="404"/>
        <v>0</v>
      </c>
    </row>
    <row r="617" spans="2:102" s="47" customFormat="1" ht="18" customHeight="1" x14ac:dyDescent="0.25">
      <c r="B617" t="str">
        <f t="shared" si="405"/>
        <v>NSG_Income Eligible_Single Family_IHWAP_Rim Joist Insulation_0_SF</v>
      </c>
      <c r="C617" s="47" t="str">
        <f t="shared" si="366"/>
        <v>Rim Joist Insulation_0_SF</v>
      </c>
      <c r="D617" s="270" t="s">
        <v>1787</v>
      </c>
      <c r="E617" s="270" t="s">
        <v>325</v>
      </c>
      <c r="F617" s="270" t="s">
        <v>375</v>
      </c>
      <c r="G617" s="270" t="s">
        <v>1439</v>
      </c>
      <c r="H617" s="270" t="s">
        <v>759</v>
      </c>
      <c r="I617" s="270">
        <v>0</v>
      </c>
      <c r="J617" s="270" t="s">
        <v>409</v>
      </c>
      <c r="K617" s="263">
        <v>1</v>
      </c>
      <c r="L617" s="263" t="str">
        <f ca="1">IFERROR(INDEX(Algorithms!J:J,MATCH($C617&amp;"_Therm Saved per Unit",Algorithms!$A:$A,0)),"n/a")</f>
        <v>5.6.6</v>
      </c>
      <c r="M617" s="263" t="str">
        <f>IFERROR(INDEX('Measure Level Detail'!$N:$N,MATCH($B617,'Measure Level Detail'!$B:$B,0)),0)</f>
        <v>Each</v>
      </c>
      <c r="N617" s="271">
        <f>IFERROR(INDEX('Measure Level Detail'!$P:$P,MATCH($B617&amp;"_"&amp;N$3,'Measure Level Detail'!$C:$C,0)),0)</f>
        <v>0</v>
      </c>
      <c r="O617" s="271">
        <f>IFERROR(INDEX('Measure Level Detail'!$P:$P,MATCH($B617&amp;"_"&amp;O$3,'Measure Level Detail'!$C:$C,0)),0)</f>
        <v>0</v>
      </c>
      <c r="P617" s="271">
        <f>IFERROR(INDEX('Measure Level Detail'!$P:$P,MATCH($B617&amp;"_"&amp;P$3,'Measure Level Detail'!$C:$C,0)),0)</f>
        <v>0</v>
      </c>
      <c r="Q617" s="271">
        <f>IFERROR(INDEX('Measure Level Detail'!$P:$P,MATCH($B617&amp;"_"&amp;Q$3,'Measure Level Detail'!$C:$C,0)),0)</f>
        <v>0</v>
      </c>
      <c r="R617" s="263" t="str">
        <f ca="1">IFERROR(INDEX(Algorithms!K:K,MATCH($C617&amp;"_Therm Saved per Unit",Algorithms!$A:$A,0)),"n/a")</f>
        <v>RS-SHL-RINS-V06-240101</v>
      </c>
      <c r="S617" s="262"/>
      <c r="T617" s="272">
        <v>0.13714870588235292</v>
      </c>
      <c r="U617" s="272">
        <v>0.13714870588235292</v>
      </c>
      <c r="V617" s="272">
        <v>0.13714870588235292</v>
      </c>
      <c r="W617" s="272">
        <v>0.13714870588235292</v>
      </c>
      <c r="X617" s="273">
        <f>IFERROR(INDEX('Measure Level Detail'!$R:$R,MATCH($B617&amp;"_"&amp;X$3,'Measure Level Detail'!$C:$C,0)),0)</f>
        <v>1</v>
      </c>
      <c r="Y617" s="273">
        <f>IFERROR(INDEX('Measure Level Detail'!$R:$R,MATCH($B617&amp;"_"&amp;Y$3,'Measure Level Detail'!$C:$C,0)),0)</f>
        <v>1</v>
      </c>
      <c r="Z617" s="273">
        <f>IFERROR(INDEX('Measure Level Detail'!$R:$R,MATCH($B617&amp;"_"&amp;Z$3,'Measure Level Detail'!$C:$C,0)),0)</f>
        <v>1</v>
      </c>
      <c r="AA617" s="273">
        <f>IFERROR(INDEX('Measure Level Detail'!$R:$R,MATCH($B617&amp;"_"&amp;AA$3,'Measure Level Detail'!$C:$C,0)),0)</f>
        <v>1</v>
      </c>
      <c r="AB617" s="266">
        <f t="shared" si="367"/>
        <v>0</v>
      </c>
      <c r="AC617" s="266">
        <f t="shared" si="368"/>
        <v>0</v>
      </c>
      <c r="AD617" s="266">
        <f t="shared" si="369"/>
        <v>0</v>
      </c>
      <c r="AE617" s="266">
        <f t="shared" si="370"/>
        <v>0</v>
      </c>
      <c r="AF617" s="266">
        <f t="shared" si="371"/>
        <v>0</v>
      </c>
      <c r="AG617" s="274">
        <v>1</v>
      </c>
      <c r="AH617" s="274">
        <v>1</v>
      </c>
      <c r="AI617" s="274">
        <v>1</v>
      </c>
      <c r="AJ617" s="274">
        <v>1</v>
      </c>
      <c r="AK617" s="274">
        <f t="shared" si="372"/>
        <v>1</v>
      </c>
      <c r="AL617" s="274">
        <f t="shared" si="373"/>
        <v>1</v>
      </c>
      <c r="AM617" s="274">
        <f t="shared" si="374"/>
        <v>1</v>
      </c>
      <c r="AN617" s="274">
        <f t="shared" si="375"/>
        <v>1</v>
      </c>
      <c r="AO617" s="262"/>
      <c r="AP617" s="262"/>
      <c r="AQ617" s="267">
        <v>0.13714870588235292</v>
      </c>
      <c r="AR617" s="262"/>
      <c r="AS617" s="266">
        <f t="shared" si="376"/>
        <v>0</v>
      </c>
      <c r="AT617" s="264">
        <f t="shared" si="377"/>
        <v>0</v>
      </c>
      <c r="AU617" s="262"/>
      <c r="AV617" s="262"/>
      <c r="AW617" s="265">
        <v>0.13714870588235292</v>
      </c>
      <c r="AX617" s="164" t="s">
        <v>2393</v>
      </c>
      <c r="AY617" s="266">
        <v>0</v>
      </c>
      <c r="AZ617" s="266">
        <f t="shared" si="378"/>
        <v>0</v>
      </c>
      <c r="BA617" s="264">
        <f t="shared" si="379"/>
        <v>0</v>
      </c>
      <c r="BB617" s="262"/>
      <c r="BC617" s="262"/>
      <c r="BD617" s="265">
        <f ca="1">IFERROR(INDEX(Algorithms!$G:$G,MATCH($C617&amp;"_Therm Saved per Unit",Algorithms!$A:$A,0)),0)</f>
        <v>0.13513425882352939</v>
      </c>
      <c r="BE617" s="164" t="str">
        <f ca="1">IFERROR(INDEX('v12 Revisions'!$P$29:$P$186, MATCH('Measure-Level Adj Gas'!$L617, 'v12 Revisions'!$D$29:$D$186,0)),"")</f>
        <v>Updated HDD from 3079 to 2845 and shell adjustment factor from 0.60 to 0.63, despite this revision not being explicitly stated in explanation of change ; Updated measure life to 30 years.</v>
      </c>
      <c r="BF617" s="266">
        <f t="shared" ca="1" si="380"/>
        <v>0</v>
      </c>
      <c r="BG617" s="264">
        <f t="shared" ca="1" si="381"/>
        <v>0</v>
      </c>
      <c r="BH617" s="262"/>
      <c r="BI617" s="262"/>
      <c r="BJ617" s="265">
        <f ca="1">IFERROR(INDEX(Algorithms!$G:$G,MATCH($C617&amp;"_Therm Saved per Unit",Algorithms!$A:$A,0)),0)</f>
        <v>0.13513425882352939</v>
      </c>
      <c r="BK617" s="164"/>
      <c r="BL617" s="266">
        <f t="shared" ca="1" si="382"/>
        <v>0</v>
      </c>
      <c r="BM617" s="264">
        <f t="shared" ca="1" si="383"/>
        <v>0</v>
      </c>
      <c r="BN617" s="266">
        <f t="shared" si="384"/>
        <v>0</v>
      </c>
      <c r="BO617" s="266">
        <f t="shared" si="385"/>
        <v>0</v>
      </c>
      <c r="BP617" s="266">
        <f t="shared" ca="1" si="386"/>
        <v>0</v>
      </c>
      <c r="BQ617" s="266">
        <f t="shared" ca="1" si="387"/>
        <v>0</v>
      </c>
      <c r="BR617" s="268">
        <f t="shared" ca="1" si="388"/>
        <v>0</v>
      </c>
      <c r="BS617" s="262" t="s">
        <v>99</v>
      </c>
      <c r="BT617" s="277"/>
      <c r="BW617" s="266">
        <f t="shared" si="389"/>
        <v>0</v>
      </c>
      <c r="BX617" s="266">
        <f t="shared" si="390"/>
        <v>0</v>
      </c>
      <c r="BY617" s="266">
        <f t="shared" si="391"/>
        <v>0</v>
      </c>
      <c r="BZ617" s="266">
        <f t="shared" si="392"/>
        <v>0</v>
      </c>
      <c r="CA617" s="266">
        <f ca="1">N617*IFERROR(INDEX(Algorithms!$G:$G,MATCH($C617&amp;"_Therm Saved per Unit- MLA",Algorithms!$A:$A,0)),0)*X617</f>
        <v>0</v>
      </c>
      <c r="CB617" s="266">
        <f ca="1">O617*IFERROR(INDEX(Algorithms!$G:$G,MATCH($C617&amp;"_Therm Saved per Unit- MLA",Algorithms!$A:$A,0)),0)*Y617</f>
        <v>0</v>
      </c>
      <c r="CC617" s="266">
        <f ca="1">P617*IFERROR(INDEX(Algorithms!$G:$G,MATCH($C617&amp;"_Therm Saved per Unit- MLA",Algorithms!$A:$A,0)),0)*Z617</f>
        <v>0</v>
      </c>
      <c r="CD617" s="266">
        <f ca="1">Q617*IFERROR(INDEX(Algorithms!$G:$G,MATCH($C617&amp;"_Therm Saved per Unit- MLA",Algorithms!$A:$A,0)),0)*AA617</f>
        <v>0</v>
      </c>
      <c r="CE617" s="266">
        <f ca="1">IFERROR(INDEX(Algorithms!$G:$G,MATCH($C617&amp;"_Lifetime (years)",Algorithms!$A:$A,0)),0)</f>
        <v>30</v>
      </c>
      <c r="CF617" s="266">
        <f ca="1">IFERROR(INDEX(Algorithms!$G:$G,MATCH($C617&amp;"_Lifetime (years) - Remaining Years",Algorithms!$A:$A,0)),0)</f>
        <v>10</v>
      </c>
      <c r="CG617" s="266">
        <f t="shared" ca="1" si="393"/>
        <v>0</v>
      </c>
      <c r="CH617" s="266">
        <f t="shared" ca="1" si="394"/>
        <v>0</v>
      </c>
      <c r="CI617" s="266">
        <f t="shared" ca="1" si="395"/>
        <v>0</v>
      </c>
      <c r="CJ617" s="266">
        <f t="shared" ca="1" si="396"/>
        <v>0</v>
      </c>
      <c r="CK617" s="266">
        <f t="shared" si="397"/>
        <v>0</v>
      </c>
      <c r="CL617" s="266">
        <f t="shared" si="398"/>
        <v>0</v>
      </c>
      <c r="CM617" s="266">
        <f t="shared" ca="1" si="399"/>
        <v>0</v>
      </c>
      <c r="CN617" s="266">
        <f t="shared" ca="1" si="400"/>
        <v>0</v>
      </c>
      <c r="CO617" s="266">
        <f ca="1">N617*IFERROR(INDEX(Algorithms!$G:$G,MATCH($C617&amp;"_Therm Saved per Unit- MLA",Algorithms!$A:$A,0)),0)*X617</f>
        <v>0</v>
      </c>
      <c r="CP617" s="266">
        <f ca="1">O617*IFERROR(INDEX(Algorithms!$G:$G,MATCH($C617&amp;"_Therm Saved per Unit- MLA",Algorithms!$A:$A,0)),0)*Y617</f>
        <v>0</v>
      </c>
      <c r="CQ617" s="266">
        <f ca="1">P617*IFERROR(INDEX(Algorithms!$G:$G,MATCH($C617&amp;"_Therm Saved per Unit- MLA",Algorithms!$A:$A,0)),0)*Z617</f>
        <v>0</v>
      </c>
      <c r="CR617" s="266">
        <f ca="1">Q617*IFERROR(INDEX(Algorithms!$G:$G,MATCH($C617&amp;"_Therm Saved per Unit- MLA",Algorithms!$A:$A,0)),0)*AA617</f>
        <v>0</v>
      </c>
      <c r="CS617" s="266">
        <f ca="1">IFERROR(INDEX(Algorithms!$G:$G,MATCH($C617&amp;"_Lifetime (years)",Algorithms!$A:$A,0)),0)</f>
        <v>30</v>
      </c>
      <c r="CT617" s="266">
        <f ca="1">IFERROR(INDEX(Algorithms!$G:$G,MATCH($C617&amp;"_Lifetime (years) - Remaining Years",Algorithms!$A:$A,0)),0)</f>
        <v>10</v>
      </c>
      <c r="CU617" s="266">
        <f t="shared" ca="1" si="401"/>
        <v>0</v>
      </c>
      <c r="CV617" s="266">
        <f t="shared" ca="1" si="402"/>
        <v>0</v>
      </c>
      <c r="CW617" s="266">
        <f t="shared" ca="1" si="403"/>
        <v>0</v>
      </c>
      <c r="CX617" s="266">
        <f t="shared" ca="1" si="404"/>
        <v>0</v>
      </c>
    </row>
    <row r="618" spans="2:102" s="47" customFormat="1" ht="18" customHeight="1" x14ac:dyDescent="0.25">
      <c r="B618" t="str">
        <f t="shared" si="405"/>
        <v>NSG_Income Eligible_Single Family_IHWAP_Floor Insulation Above Crawlspace_0_SF</v>
      </c>
      <c r="C618" s="47" t="str">
        <f t="shared" si="366"/>
        <v>Floor Insulation Above Crawlspace_0_SF</v>
      </c>
      <c r="D618" s="270" t="s">
        <v>1787</v>
      </c>
      <c r="E618" s="270" t="s">
        <v>325</v>
      </c>
      <c r="F618" s="270" t="s">
        <v>375</v>
      </c>
      <c r="G618" s="270" t="s">
        <v>1439</v>
      </c>
      <c r="H618" s="270" t="s">
        <v>244</v>
      </c>
      <c r="I618" s="270">
        <v>0</v>
      </c>
      <c r="J618" s="270" t="s">
        <v>409</v>
      </c>
      <c r="K618" s="263">
        <v>1</v>
      </c>
      <c r="L618" s="263" t="str">
        <f ca="1">IFERROR(INDEX(Algorithms!J:J,MATCH($C618&amp;"_Therm Saved per Unit",Algorithms!$A:$A,0)),"n/a")</f>
        <v>5.6.3</v>
      </c>
      <c r="M618" s="263" t="str">
        <f>IFERROR(INDEX('Measure Level Detail'!$N:$N,MATCH($B618,'Measure Level Detail'!$B:$B,0)),0)</f>
        <v>Each</v>
      </c>
      <c r="N618" s="271">
        <f>IFERROR(INDEX('Measure Level Detail'!$P:$P,MATCH($B618&amp;"_"&amp;N$3,'Measure Level Detail'!$C:$C,0)),0)</f>
        <v>0</v>
      </c>
      <c r="O618" s="271">
        <f>IFERROR(INDEX('Measure Level Detail'!$P:$P,MATCH($B618&amp;"_"&amp;O$3,'Measure Level Detail'!$C:$C,0)),0)</f>
        <v>0</v>
      </c>
      <c r="P618" s="271">
        <f>IFERROR(INDEX('Measure Level Detail'!$P:$P,MATCH($B618&amp;"_"&amp;P$3,'Measure Level Detail'!$C:$C,0)),0)</f>
        <v>0</v>
      </c>
      <c r="Q618" s="271">
        <f>IFERROR(INDEX('Measure Level Detail'!$P:$P,MATCH($B618&amp;"_"&amp;Q$3,'Measure Level Detail'!$C:$C,0)),0)</f>
        <v>0</v>
      </c>
      <c r="R618" s="263" t="str">
        <f ca="1">IFERROR(INDEX(Algorithms!K:K,MATCH($C618&amp;"_Therm Saved per Unit",Algorithms!$A:$A,0)),"n/a")</f>
        <v>RS-SHL-FINS-V15-240101</v>
      </c>
      <c r="S618" s="262"/>
      <c r="T618" s="272">
        <v>0.10489255765199164</v>
      </c>
      <c r="U618" s="272">
        <v>0.10489255765199164</v>
      </c>
      <c r="V618" s="272">
        <v>0.10489255765199164</v>
      </c>
      <c r="W618" s="272">
        <v>0.10489255765199164</v>
      </c>
      <c r="X618" s="273">
        <f>IFERROR(INDEX('Measure Level Detail'!$R:$R,MATCH($B618&amp;"_"&amp;X$3,'Measure Level Detail'!$C:$C,0)),0)</f>
        <v>1</v>
      </c>
      <c r="Y618" s="273">
        <f>IFERROR(INDEX('Measure Level Detail'!$R:$R,MATCH($B618&amp;"_"&amp;Y$3,'Measure Level Detail'!$C:$C,0)),0)</f>
        <v>1</v>
      </c>
      <c r="Z618" s="273">
        <f>IFERROR(INDEX('Measure Level Detail'!$R:$R,MATCH($B618&amp;"_"&amp;Z$3,'Measure Level Detail'!$C:$C,0)),0)</f>
        <v>1</v>
      </c>
      <c r="AA618" s="273">
        <f>IFERROR(INDEX('Measure Level Detail'!$R:$R,MATCH($B618&amp;"_"&amp;AA$3,'Measure Level Detail'!$C:$C,0)),0)</f>
        <v>1</v>
      </c>
      <c r="AB618" s="266">
        <f t="shared" si="367"/>
        <v>0</v>
      </c>
      <c r="AC618" s="266">
        <f t="shared" si="368"/>
        <v>0</v>
      </c>
      <c r="AD618" s="266">
        <f t="shared" si="369"/>
        <v>0</v>
      </c>
      <c r="AE618" s="266">
        <f t="shared" si="370"/>
        <v>0</v>
      </c>
      <c r="AF618" s="266">
        <f t="shared" si="371"/>
        <v>0</v>
      </c>
      <c r="AG618" s="274">
        <v>1</v>
      </c>
      <c r="AH618" s="274">
        <v>1</v>
      </c>
      <c r="AI618" s="274">
        <v>1</v>
      </c>
      <c r="AJ618" s="274">
        <v>1</v>
      </c>
      <c r="AK618" s="274">
        <f t="shared" si="372"/>
        <v>1</v>
      </c>
      <c r="AL618" s="274">
        <f t="shared" si="373"/>
        <v>1</v>
      </c>
      <c r="AM618" s="274">
        <f t="shared" si="374"/>
        <v>1</v>
      </c>
      <c r="AN618" s="274">
        <f t="shared" si="375"/>
        <v>1</v>
      </c>
      <c r="AO618" s="262"/>
      <c r="AP618" s="262"/>
      <c r="AQ618" s="267">
        <v>0.10489255765199164</v>
      </c>
      <c r="AR618" s="262"/>
      <c r="AS618" s="266">
        <f t="shared" si="376"/>
        <v>0</v>
      </c>
      <c r="AT618" s="264">
        <f t="shared" si="377"/>
        <v>0</v>
      </c>
      <c r="AU618" s="262"/>
      <c r="AV618" s="262"/>
      <c r="AW618" s="265">
        <v>0.10489255765199164</v>
      </c>
      <c r="AX618" s="164" t="s">
        <v>2393</v>
      </c>
      <c r="AY618" s="266">
        <v>0</v>
      </c>
      <c r="AZ618" s="266">
        <f t="shared" si="378"/>
        <v>0</v>
      </c>
      <c r="BA618" s="264">
        <f t="shared" si="379"/>
        <v>0</v>
      </c>
      <c r="BB618" s="262"/>
      <c r="BC618" s="262"/>
      <c r="BD618" s="265">
        <f ca="1">IFERROR(INDEX(Algorithms!$G:$G,MATCH($C618&amp;"_Therm Saved per Unit",Algorithms!$A:$A,0)),0)</f>
        <v>0.10176690251572328</v>
      </c>
      <c r="BE618" s="164" t="str">
        <f ca="1">IFERROR(INDEX('v12 Revisions'!$P$29:$P$186, MATCH('Measure-Level Adj Gas'!$L618, 'v12 Revisions'!$D$29:$D$186,0)),"")</f>
        <v>Updated HDD from 3079 to 2845 and shell adjustment factor from 0.60 to 0.63 ; Updated measure life to 30 years.</v>
      </c>
      <c r="BF618" s="266">
        <f t="shared" ca="1" si="380"/>
        <v>0</v>
      </c>
      <c r="BG618" s="264">
        <f t="shared" ca="1" si="381"/>
        <v>0</v>
      </c>
      <c r="BH618" s="262"/>
      <c r="BI618" s="262"/>
      <c r="BJ618" s="265">
        <f ca="1">IFERROR(INDEX(Algorithms!$G:$G,MATCH($C618&amp;"_Therm Saved per Unit",Algorithms!$A:$A,0)),0)</f>
        <v>0.10176690251572328</v>
      </c>
      <c r="BK618" s="164"/>
      <c r="BL618" s="266">
        <f t="shared" ca="1" si="382"/>
        <v>0</v>
      </c>
      <c r="BM618" s="264">
        <f t="shared" ca="1" si="383"/>
        <v>0</v>
      </c>
      <c r="BN618" s="266">
        <f t="shared" si="384"/>
        <v>0</v>
      </c>
      <c r="BO618" s="266">
        <f t="shared" si="385"/>
        <v>0</v>
      </c>
      <c r="BP618" s="266">
        <f t="shared" ca="1" si="386"/>
        <v>0</v>
      </c>
      <c r="BQ618" s="266">
        <f t="shared" ca="1" si="387"/>
        <v>0</v>
      </c>
      <c r="BR618" s="268">
        <f t="shared" ca="1" si="388"/>
        <v>0</v>
      </c>
      <c r="BS618" s="262" t="s">
        <v>99</v>
      </c>
      <c r="BT618" s="277"/>
      <c r="BW618" s="266">
        <f t="shared" si="389"/>
        <v>0</v>
      </c>
      <c r="BX618" s="266">
        <f t="shared" si="390"/>
        <v>0</v>
      </c>
      <c r="BY618" s="266">
        <f t="shared" si="391"/>
        <v>0</v>
      </c>
      <c r="BZ618" s="266">
        <f t="shared" si="392"/>
        <v>0</v>
      </c>
      <c r="CA618" s="266">
        <f ca="1">N618*IFERROR(INDEX(Algorithms!$G:$G,MATCH($C618&amp;"_Therm Saved per Unit- MLA",Algorithms!$A:$A,0)),0)*X618</f>
        <v>0</v>
      </c>
      <c r="CB618" s="266">
        <f ca="1">O618*IFERROR(INDEX(Algorithms!$G:$G,MATCH($C618&amp;"_Therm Saved per Unit- MLA",Algorithms!$A:$A,0)),0)*Y618</f>
        <v>0</v>
      </c>
      <c r="CC618" s="266">
        <f ca="1">P618*IFERROR(INDEX(Algorithms!$G:$G,MATCH($C618&amp;"_Therm Saved per Unit- MLA",Algorithms!$A:$A,0)),0)*Z618</f>
        <v>0</v>
      </c>
      <c r="CD618" s="266">
        <f ca="1">Q618*IFERROR(INDEX(Algorithms!$G:$G,MATCH($C618&amp;"_Therm Saved per Unit- MLA",Algorithms!$A:$A,0)),0)*AA618</f>
        <v>0</v>
      </c>
      <c r="CE618" s="266">
        <f ca="1">IFERROR(INDEX(Algorithms!$G:$G,MATCH($C618&amp;"_Lifetime (years)",Algorithms!$A:$A,0)),0)</f>
        <v>30</v>
      </c>
      <c r="CF618" s="266">
        <f ca="1">IFERROR(INDEX(Algorithms!$G:$G,MATCH($C618&amp;"_Lifetime (years) - Remaining Years",Algorithms!$A:$A,0)),0)</f>
        <v>10</v>
      </c>
      <c r="CG618" s="266">
        <f t="shared" ca="1" si="393"/>
        <v>0</v>
      </c>
      <c r="CH618" s="266">
        <f t="shared" ca="1" si="394"/>
        <v>0</v>
      </c>
      <c r="CI618" s="266">
        <f t="shared" ca="1" si="395"/>
        <v>0</v>
      </c>
      <c r="CJ618" s="266">
        <f t="shared" ca="1" si="396"/>
        <v>0</v>
      </c>
      <c r="CK618" s="266">
        <f t="shared" si="397"/>
        <v>0</v>
      </c>
      <c r="CL618" s="266">
        <f t="shared" si="398"/>
        <v>0</v>
      </c>
      <c r="CM618" s="266">
        <f t="shared" ca="1" si="399"/>
        <v>0</v>
      </c>
      <c r="CN618" s="266">
        <f t="shared" ca="1" si="400"/>
        <v>0</v>
      </c>
      <c r="CO618" s="266">
        <f ca="1">N618*IFERROR(INDEX(Algorithms!$G:$G,MATCH($C618&amp;"_Therm Saved per Unit- MLA",Algorithms!$A:$A,0)),0)*X618</f>
        <v>0</v>
      </c>
      <c r="CP618" s="266">
        <f ca="1">O618*IFERROR(INDEX(Algorithms!$G:$G,MATCH($C618&amp;"_Therm Saved per Unit- MLA",Algorithms!$A:$A,0)),0)*Y618</f>
        <v>0</v>
      </c>
      <c r="CQ618" s="266">
        <f ca="1">P618*IFERROR(INDEX(Algorithms!$G:$G,MATCH($C618&amp;"_Therm Saved per Unit- MLA",Algorithms!$A:$A,0)),0)*Z618</f>
        <v>0</v>
      </c>
      <c r="CR618" s="266">
        <f ca="1">Q618*IFERROR(INDEX(Algorithms!$G:$G,MATCH($C618&amp;"_Therm Saved per Unit- MLA",Algorithms!$A:$A,0)),0)*AA618</f>
        <v>0</v>
      </c>
      <c r="CS618" s="266">
        <f ca="1">IFERROR(INDEX(Algorithms!$G:$G,MATCH($C618&amp;"_Lifetime (years)",Algorithms!$A:$A,0)),0)</f>
        <v>30</v>
      </c>
      <c r="CT618" s="266">
        <f ca="1">IFERROR(INDEX(Algorithms!$G:$G,MATCH($C618&amp;"_Lifetime (years) - Remaining Years",Algorithms!$A:$A,0)),0)</f>
        <v>10</v>
      </c>
      <c r="CU618" s="266">
        <f t="shared" ca="1" si="401"/>
        <v>0</v>
      </c>
      <c r="CV618" s="266">
        <f t="shared" ca="1" si="402"/>
        <v>0</v>
      </c>
      <c r="CW618" s="266">
        <f t="shared" ca="1" si="403"/>
        <v>0</v>
      </c>
      <c r="CX618" s="266">
        <f t="shared" ca="1" si="404"/>
        <v>0</v>
      </c>
    </row>
    <row r="619" spans="2:102" s="47" customFormat="1" ht="18" customHeight="1" x14ac:dyDescent="0.25">
      <c r="B619" t="str">
        <f t="shared" si="405"/>
        <v>NSG_Income Eligible_Single Family_IHWAP_Boiler_≥88% AFUE, &lt;300MBh_SF</v>
      </c>
      <c r="C619" s="47" t="str">
        <f t="shared" si="366"/>
        <v>Boiler_≥88% AFUE, &lt;300MBh_SF</v>
      </c>
      <c r="D619" s="270" t="s">
        <v>1787</v>
      </c>
      <c r="E619" s="270" t="s">
        <v>325</v>
      </c>
      <c r="F619" s="270" t="s">
        <v>375</v>
      </c>
      <c r="G619" s="270" t="s">
        <v>1439</v>
      </c>
      <c r="H619" s="270" t="s">
        <v>944</v>
      </c>
      <c r="I619" s="270" t="s">
        <v>945</v>
      </c>
      <c r="J619" s="270" t="s">
        <v>409</v>
      </c>
      <c r="K619" s="263">
        <v>1</v>
      </c>
      <c r="L619" s="263" t="str">
        <f ca="1">IFERROR(INDEX(Algorithms!J:J,MATCH($C619&amp;"_Therm Saved per Unit",Algorithms!$A:$A,0)),"n/a")</f>
        <v>5.3.6</v>
      </c>
      <c r="M619" s="263" t="str">
        <f>IFERROR(INDEX('Measure Level Detail'!$N:$N,MATCH($B619,'Measure Level Detail'!$B:$B,0)),0)</f>
        <v>Each</v>
      </c>
      <c r="N619" s="271">
        <f>IFERROR(INDEX('Measure Level Detail'!$P:$P,MATCH($B619&amp;"_"&amp;N$3,'Measure Level Detail'!$C:$C,0)),0)</f>
        <v>0</v>
      </c>
      <c r="O619" s="271">
        <f>IFERROR(INDEX('Measure Level Detail'!$P:$P,MATCH($B619&amp;"_"&amp;O$3,'Measure Level Detail'!$C:$C,0)),0)</f>
        <v>0</v>
      </c>
      <c r="P619" s="271">
        <f>IFERROR(INDEX('Measure Level Detail'!$P:$P,MATCH($B619&amp;"_"&amp;P$3,'Measure Level Detail'!$C:$C,0)),0)</f>
        <v>0</v>
      </c>
      <c r="Q619" s="271">
        <f>IFERROR(INDEX('Measure Level Detail'!$P:$P,MATCH($B619&amp;"_"&amp;Q$3,'Measure Level Detail'!$C:$C,0)),0)</f>
        <v>0</v>
      </c>
      <c r="R619" s="263" t="str">
        <f ca="1">IFERROR(INDEX(Algorithms!K:K,MATCH($C619&amp;"_Therm Saved per Unit",Algorithms!$A:$A,0)),"n/a")</f>
        <v>RS-HVC-GHEB-V11-240101</v>
      </c>
      <c r="S619" s="262"/>
      <c r="T619" s="272">
        <v>147.38374603174603</v>
      </c>
      <c r="U619" s="272">
        <v>147.38374603174603</v>
      </c>
      <c r="V619" s="272">
        <v>147.38374603174603</v>
      </c>
      <c r="W619" s="272">
        <v>147.38374603174603</v>
      </c>
      <c r="X619" s="273">
        <f>IFERROR(INDEX('Measure Level Detail'!$R:$R,MATCH($B619&amp;"_"&amp;X$3,'Measure Level Detail'!$C:$C,0)),0)</f>
        <v>1</v>
      </c>
      <c r="Y619" s="273">
        <f>IFERROR(INDEX('Measure Level Detail'!$R:$R,MATCH($B619&amp;"_"&amp;Y$3,'Measure Level Detail'!$C:$C,0)),0)</f>
        <v>1</v>
      </c>
      <c r="Z619" s="273">
        <f>IFERROR(INDEX('Measure Level Detail'!$R:$R,MATCH($B619&amp;"_"&amp;Z$3,'Measure Level Detail'!$C:$C,0)),0)</f>
        <v>1</v>
      </c>
      <c r="AA619" s="273">
        <f>IFERROR(INDEX('Measure Level Detail'!$R:$R,MATCH($B619&amp;"_"&amp;AA$3,'Measure Level Detail'!$C:$C,0)),0)</f>
        <v>1</v>
      </c>
      <c r="AB619" s="266">
        <f t="shared" si="367"/>
        <v>0</v>
      </c>
      <c r="AC619" s="266">
        <f t="shared" si="368"/>
        <v>0</v>
      </c>
      <c r="AD619" s="266">
        <f t="shared" si="369"/>
        <v>0</v>
      </c>
      <c r="AE619" s="266">
        <f t="shared" si="370"/>
        <v>0</v>
      </c>
      <c r="AF619" s="266">
        <f t="shared" si="371"/>
        <v>0</v>
      </c>
      <c r="AG619" s="274">
        <v>1</v>
      </c>
      <c r="AH619" s="274">
        <v>1</v>
      </c>
      <c r="AI619" s="274">
        <v>1</v>
      </c>
      <c r="AJ619" s="274">
        <v>1</v>
      </c>
      <c r="AK619" s="274">
        <f t="shared" si="372"/>
        <v>1</v>
      </c>
      <c r="AL619" s="274">
        <f t="shared" si="373"/>
        <v>1</v>
      </c>
      <c r="AM619" s="274">
        <f t="shared" si="374"/>
        <v>1</v>
      </c>
      <c r="AN619" s="274">
        <f t="shared" si="375"/>
        <v>1</v>
      </c>
      <c r="AO619" s="262"/>
      <c r="AP619" s="262"/>
      <c r="AQ619" s="267">
        <v>147.38374603174603</v>
      </c>
      <c r="AR619" s="262"/>
      <c r="AS619" s="266">
        <f t="shared" si="376"/>
        <v>0</v>
      </c>
      <c r="AT619" s="264">
        <f t="shared" si="377"/>
        <v>0</v>
      </c>
      <c r="AU619" s="262"/>
      <c r="AV619" s="262"/>
      <c r="AW619" s="265">
        <v>147.38374603174603</v>
      </c>
      <c r="AX619" s="164" t="s">
        <v>1469</v>
      </c>
      <c r="AY619" s="266">
        <v>0</v>
      </c>
      <c r="AZ619" s="266">
        <f t="shared" si="378"/>
        <v>0</v>
      </c>
      <c r="BA619" s="264">
        <f t="shared" si="379"/>
        <v>0</v>
      </c>
      <c r="BB619" s="262"/>
      <c r="BC619" s="262"/>
      <c r="BD619" s="265">
        <f ca="1">IFERROR(INDEX(Algorithms!$G:$G,MATCH($C619&amp;"_Therm Saved per Unit",Algorithms!$A:$A,0)),0)</f>
        <v>147.38374603174603</v>
      </c>
      <c r="BE619" s="164" t="str">
        <f ca="1">IFERROR(INDEX('v12 Revisions'!$P$29:$P$186, MATCH('Measure-Level Adj Gas'!$L619, 'v12 Revisions'!$D$29:$D$186,0)),"")</f>
        <v>n/a - update to language, efficient criteria to be determined by program.</v>
      </c>
      <c r="BF619" s="266">
        <f t="shared" ca="1" si="380"/>
        <v>0</v>
      </c>
      <c r="BG619" s="264">
        <f t="shared" ca="1" si="381"/>
        <v>0</v>
      </c>
      <c r="BH619" s="262"/>
      <c r="BI619" s="262"/>
      <c r="BJ619" s="265">
        <f ca="1">IFERROR(INDEX(Algorithms!$G:$G,MATCH($C619&amp;"_Therm Saved per Unit",Algorithms!$A:$A,0)),0)</f>
        <v>147.38374603174603</v>
      </c>
      <c r="BK619" s="164"/>
      <c r="BL619" s="266">
        <f t="shared" ca="1" si="382"/>
        <v>0</v>
      </c>
      <c r="BM619" s="264">
        <f t="shared" ca="1" si="383"/>
        <v>0</v>
      </c>
      <c r="BN619" s="266">
        <f t="shared" si="384"/>
        <v>0</v>
      </c>
      <c r="BO619" s="266">
        <f t="shared" si="385"/>
        <v>0</v>
      </c>
      <c r="BP619" s="266">
        <f t="shared" ca="1" si="386"/>
        <v>0</v>
      </c>
      <c r="BQ619" s="266">
        <f t="shared" ca="1" si="387"/>
        <v>0</v>
      </c>
      <c r="BR619" s="268">
        <f t="shared" ca="1" si="388"/>
        <v>0</v>
      </c>
      <c r="BS619" s="262" t="s">
        <v>99</v>
      </c>
      <c r="BT619" s="277"/>
      <c r="BW619" s="266">
        <f t="shared" si="389"/>
        <v>0</v>
      </c>
      <c r="BX619" s="266">
        <f t="shared" si="390"/>
        <v>0</v>
      </c>
      <c r="BY619" s="266">
        <f t="shared" si="391"/>
        <v>0</v>
      </c>
      <c r="BZ619" s="266">
        <f t="shared" si="392"/>
        <v>0</v>
      </c>
      <c r="CA619" s="266">
        <f ca="1">N619*IFERROR(INDEX(Algorithms!$G:$G,MATCH($C619&amp;"_Therm Saved per Unit- MLA",Algorithms!$A:$A,0)),0)*X619</f>
        <v>0</v>
      </c>
      <c r="CB619" s="266">
        <f ca="1">O619*IFERROR(INDEX(Algorithms!$G:$G,MATCH($C619&amp;"_Therm Saved per Unit- MLA",Algorithms!$A:$A,0)),0)*Y619</f>
        <v>0</v>
      </c>
      <c r="CC619" s="266">
        <f ca="1">P619*IFERROR(INDEX(Algorithms!$G:$G,MATCH($C619&amp;"_Therm Saved per Unit- MLA",Algorithms!$A:$A,0)),0)*Z619</f>
        <v>0</v>
      </c>
      <c r="CD619" s="266">
        <f ca="1">Q619*IFERROR(INDEX(Algorithms!$G:$G,MATCH($C619&amp;"_Therm Saved per Unit- MLA",Algorithms!$A:$A,0)),0)*AA619</f>
        <v>0</v>
      </c>
      <c r="CE619" s="266">
        <f ca="1">IFERROR(INDEX(Algorithms!$G:$G,MATCH($C619&amp;"_Lifetime (years)",Algorithms!$A:$A,0)),0)</f>
        <v>25</v>
      </c>
      <c r="CF619" s="266">
        <f ca="1">IFERROR(INDEX(Algorithms!$G:$G,MATCH($C619&amp;"_Lifetime (years) - Remaining Years",Algorithms!$A:$A,0)),0)</f>
        <v>0</v>
      </c>
      <c r="CG619" s="266">
        <f t="shared" ca="1" si="393"/>
        <v>0</v>
      </c>
      <c r="CH619" s="266">
        <f t="shared" ca="1" si="394"/>
        <v>0</v>
      </c>
      <c r="CI619" s="266">
        <f t="shared" ca="1" si="395"/>
        <v>0</v>
      </c>
      <c r="CJ619" s="266">
        <f t="shared" ca="1" si="396"/>
        <v>0</v>
      </c>
      <c r="CK619" s="266">
        <f t="shared" si="397"/>
        <v>0</v>
      </c>
      <c r="CL619" s="266">
        <f t="shared" si="398"/>
        <v>0</v>
      </c>
      <c r="CM619" s="266">
        <f t="shared" ca="1" si="399"/>
        <v>0</v>
      </c>
      <c r="CN619" s="266">
        <f t="shared" ca="1" si="400"/>
        <v>0</v>
      </c>
      <c r="CO619" s="266">
        <f ca="1">N619*IFERROR(INDEX(Algorithms!$G:$G,MATCH($C619&amp;"_Therm Saved per Unit- MLA",Algorithms!$A:$A,0)),0)*X619</f>
        <v>0</v>
      </c>
      <c r="CP619" s="266">
        <f ca="1">O619*IFERROR(INDEX(Algorithms!$G:$G,MATCH($C619&amp;"_Therm Saved per Unit- MLA",Algorithms!$A:$A,0)),0)*Y619</f>
        <v>0</v>
      </c>
      <c r="CQ619" s="266">
        <f ca="1">P619*IFERROR(INDEX(Algorithms!$G:$G,MATCH($C619&amp;"_Therm Saved per Unit- MLA",Algorithms!$A:$A,0)),0)*Z619</f>
        <v>0</v>
      </c>
      <c r="CR619" s="266">
        <f ca="1">Q619*IFERROR(INDEX(Algorithms!$G:$G,MATCH($C619&amp;"_Therm Saved per Unit- MLA",Algorithms!$A:$A,0)),0)*AA619</f>
        <v>0</v>
      </c>
      <c r="CS619" s="266">
        <f ca="1">IFERROR(INDEX(Algorithms!$G:$G,MATCH($C619&amp;"_Lifetime (years)",Algorithms!$A:$A,0)),0)</f>
        <v>25</v>
      </c>
      <c r="CT619" s="266">
        <f ca="1">IFERROR(INDEX(Algorithms!$G:$G,MATCH($C619&amp;"_Lifetime (years) - Remaining Years",Algorithms!$A:$A,0)),0)</f>
        <v>0</v>
      </c>
      <c r="CU619" s="266">
        <f t="shared" ca="1" si="401"/>
        <v>0</v>
      </c>
      <c r="CV619" s="266">
        <f t="shared" ca="1" si="402"/>
        <v>0</v>
      </c>
      <c r="CW619" s="266">
        <f t="shared" ca="1" si="403"/>
        <v>0</v>
      </c>
      <c r="CX619" s="266">
        <f t="shared" ca="1" si="404"/>
        <v>0</v>
      </c>
    </row>
    <row r="620" spans="2:102" s="47" customFormat="1" ht="18" customHeight="1" x14ac:dyDescent="0.25">
      <c r="B620" t="str">
        <f t="shared" si="405"/>
        <v>NSG_Business_Small/Mid-Size Business_Assessments_Pipe Insulation_DHW_CI</v>
      </c>
      <c r="C620" s="47" t="str">
        <f t="shared" si="366"/>
        <v>Pipe Insulation_DHW_CI</v>
      </c>
      <c r="D620" s="270" t="s">
        <v>1787</v>
      </c>
      <c r="E620" s="270" t="s">
        <v>3</v>
      </c>
      <c r="F620" s="270" t="s">
        <v>1432</v>
      </c>
      <c r="G620" s="270" t="s">
        <v>1431</v>
      </c>
      <c r="H620" s="270" t="s">
        <v>404</v>
      </c>
      <c r="I620" s="270" t="s">
        <v>1019</v>
      </c>
      <c r="J620" s="270" t="s">
        <v>1159</v>
      </c>
      <c r="K620" s="263">
        <v>1</v>
      </c>
      <c r="L620" s="263" t="str">
        <f ca="1">IFERROR(INDEX(Algorithms!J:J,MATCH($C620&amp;"_Therm Saved per Unit",Algorithms!$A:$A,0)),"n/a")</f>
        <v>4.4.14</v>
      </c>
      <c r="M620" s="263" t="str">
        <f>IFERROR(INDEX('Measure Level Detail'!$N:$N,MATCH($B620,'Measure Level Detail'!$B:$B,0)),0)</f>
        <v>ft</v>
      </c>
      <c r="N620" s="271">
        <f>IFERROR(INDEX('Measure Level Detail'!$P:$P,MATCH($B620&amp;"_"&amp;N$3,'Measure Level Detail'!$C:$C,0)),0)</f>
        <v>0</v>
      </c>
      <c r="O620" s="271">
        <f>IFERROR(INDEX('Measure Level Detail'!$P:$P,MATCH($B620&amp;"_"&amp;O$3,'Measure Level Detail'!$C:$C,0)),0)</f>
        <v>0</v>
      </c>
      <c r="P620" s="271">
        <f>IFERROR(INDEX('Measure Level Detail'!$P:$P,MATCH($B620&amp;"_"&amp;P$3,'Measure Level Detail'!$C:$C,0)),0)</f>
        <v>0</v>
      </c>
      <c r="Q620" s="271">
        <f>IFERROR(INDEX('Measure Level Detail'!$P:$P,MATCH($B620&amp;"_"&amp;Q$3,'Measure Level Detail'!$C:$C,0)),0)</f>
        <v>0</v>
      </c>
      <c r="R620" s="263" t="str">
        <f ca="1">IFERROR(INDEX(Algorithms!K:K,MATCH($C620&amp;"_Therm Saved per Unit",Algorithms!$A:$A,0)),"n/a")</f>
        <v>CI-HVC-PINS-V08-230101</v>
      </c>
      <c r="S620" s="262"/>
      <c r="T620" s="272">
        <v>0.75299999999999989</v>
      </c>
      <c r="U620" s="272">
        <v>0.75299999999999989</v>
      </c>
      <c r="V620" s="272">
        <v>0.75299999999999989</v>
      </c>
      <c r="W620" s="272">
        <v>0.75299999999999989</v>
      </c>
      <c r="X620" s="276">
        <v>0.93</v>
      </c>
      <c r="Y620" s="276">
        <v>0.93</v>
      </c>
      <c r="Z620" s="276">
        <v>0.93</v>
      </c>
      <c r="AA620" s="276">
        <v>0.93</v>
      </c>
      <c r="AB620" s="266">
        <f t="shared" si="367"/>
        <v>0</v>
      </c>
      <c r="AC620" s="266">
        <f t="shared" si="368"/>
        <v>0</v>
      </c>
      <c r="AD620" s="266">
        <f t="shared" si="369"/>
        <v>0</v>
      </c>
      <c r="AE620" s="266">
        <f t="shared" si="370"/>
        <v>0</v>
      </c>
      <c r="AF620" s="266">
        <f t="shared" si="371"/>
        <v>0</v>
      </c>
      <c r="AG620" s="274">
        <v>0.93</v>
      </c>
      <c r="AH620" s="274">
        <v>0.93</v>
      </c>
      <c r="AI620" s="274">
        <v>0.93</v>
      </c>
      <c r="AJ620" s="274">
        <v>0.93</v>
      </c>
      <c r="AK620" s="274">
        <f t="shared" si="372"/>
        <v>0.93</v>
      </c>
      <c r="AL620" s="274">
        <f t="shared" si="373"/>
        <v>0.93</v>
      </c>
      <c r="AM620" s="274">
        <f t="shared" si="374"/>
        <v>0.93</v>
      </c>
      <c r="AN620" s="274">
        <f t="shared" si="375"/>
        <v>0.93</v>
      </c>
      <c r="AO620" s="262"/>
      <c r="AP620" s="262"/>
      <c r="AQ620" s="267">
        <v>3.8653999999999997</v>
      </c>
      <c r="AR620" s="262"/>
      <c r="AS620" s="266">
        <f t="shared" si="376"/>
        <v>0</v>
      </c>
      <c r="AT620" s="264">
        <f t="shared" si="377"/>
        <v>0</v>
      </c>
      <c r="AU620" s="262"/>
      <c r="AV620" s="262"/>
      <c r="AW620" s="265">
        <v>3.8653999999999997</v>
      </c>
      <c r="AX620" s="164" t="s">
        <v>1469</v>
      </c>
      <c r="AY620" s="266">
        <v>0</v>
      </c>
      <c r="AZ620" s="266">
        <f t="shared" si="378"/>
        <v>0</v>
      </c>
      <c r="BA620" s="264">
        <f t="shared" si="379"/>
        <v>0</v>
      </c>
      <c r="BB620" s="262"/>
      <c r="BC620" s="262"/>
      <c r="BD620" s="265">
        <f ca="1">IFERROR(INDEX(Algorithms!$G:$G,MATCH($C620&amp;"_Therm Saved per Unit",Algorithms!$A:$A,0)),0)</f>
        <v>3.8653999999999997</v>
      </c>
      <c r="BE620" s="164" t="str">
        <f ca="1">IFERROR(INDEX('v12 Revisions'!$P$29:$P$186, MATCH('Measure-Level Adj Gas'!$L620, 'v12 Revisions'!$D$29:$D$186,0)),"")</f>
        <v/>
      </c>
      <c r="BF620" s="266">
        <f t="shared" ca="1" si="380"/>
        <v>0</v>
      </c>
      <c r="BG620" s="264">
        <f t="shared" ca="1" si="381"/>
        <v>0</v>
      </c>
      <c r="BH620" s="262"/>
      <c r="BI620" s="262"/>
      <c r="BJ620" s="265">
        <f ca="1">IFERROR(INDEX(Algorithms!$G:$G,MATCH($C620&amp;"_Therm Saved per Unit",Algorithms!$A:$A,0)),0)</f>
        <v>3.8653999999999997</v>
      </c>
      <c r="BK620" s="164"/>
      <c r="BL620" s="266">
        <f t="shared" ca="1" si="382"/>
        <v>0</v>
      </c>
      <c r="BM620" s="264">
        <f t="shared" ca="1" si="383"/>
        <v>0</v>
      </c>
      <c r="BN620" s="266">
        <f t="shared" si="384"/>
        <v>0</v>
      </c>
      <c r="BO620" s="266">
        <f t="shared" si="385"/>
        <v>0</v>
      </c>
      <c r="BP620" s="266">
        <f t="shared" ca="1" si="386"/>
        <v>0</v>
      </c>
      <c r="BQ620" s="266">
        <f t="shared" ca="1" si="387"/>
        <v>0</v>
      </c>
      <c r="BR620" s="268">
        <f t="shared" ca="1" si="388"/>
        <v>0</v>
      </c>
      <c r="BS620" s="262" t="s">
        <v>99</v>
      </c>
      <c r="BT620" s="277"/>
      <c r="BW620" s="266">
        <f t="shared" si="389"/>
        <v>0</v>
      </c>
      <c r="BX620" s="266">
        <f t="shared" si="390"/>
        <v>0</v>
      </c>
      <c r="BY620" s="266">
        <f t="shared" si="391"/>
        <v>0</v>
      </c>
      <c r="BZ620" s="266">
        <f t="shared" si="392"/>
        <v>0</v>
      </c>
      <c r="CA620" s="266">
        <f ca="1">N620*IFERROR(INDEX(Algorithms!$G:$G,MATCH($C620&amp;"_Therm Saved per Unit- MLA",Algorithms!$A:$A,0)),0)*X620</f>
        <v>0</v>
      </c>
      <c r="CB620" s="266">
        <f ca="1">O620*IFERROR(INDEX(Algorithms!$G:$G,MATCH($C620&amp;"_Therm Saved per Unit- MLA",Algorithms!$A:$A,0)),0)*Y620</f>
        <v>0</v>
      </c>
      <c r="CC620" s="266">
        <f ca="1">P620*IFERROR(INDEX(Algorithms!$G:$G,MATCH($C620&amp;"_Therm Saved per Unit- MLA",Algorithms!$A:$A,0)),0)*Z620</f>
        <v>0</v>
      </c>
      <c r="CD620" s="266">
        <f ca="1">Q620*IFERROR(INDEX(Algorithms!$G:$G,MATCH($C620&amp;"_Therm Saved per Unit- MLA",Algorithms!$A:$A,0)),0)*AA620</f>
        <v>0</v>
      </c>
      <c r="CE620" s="266">
        <f ca="1">IFERROR(INDEX(Algorithms!$G:$G,MATCH($C620&amp;"_Lifetime (years)",Algorithms!$A:$A,0)),0)</f>
        <v>15</v>
      </c>
      <c r="CF620" s="266">
        <f ca="1">IFERROR(INDEX(Algorithms!$G:$G,MATCH($C620&amp;"_Lifetime (years) - Remaining Years",Algorithms!$A:$A,0)),0)</f>
        <v>0</v>
      </c>
      <c r="CG620" s="266">
        <f t="shared" ca="1" si="393"/>
        <v>0</v>
      </c>
      <c r="CH620" s="266">
        <f t="shared" ca="1" si="394"/>
        <v>0</v>
      </c>
      <c r="CI620" s="266">
        <f t="shared" ca="1" si="395"/>
        <v>0</v>
      </c>
      <c r="CJ620" s="266">
        <f t="shared" ca="1" si="396"/>
        <v>0</v>
      </c>
      <c r="CK620" s="266">
        <f t="shared" si="397"/>
        <v>0</v>
      </c>
      <c r="CL620" s="266">
        <f t="shared" si="398"/>
        <v>0</v>
      </c>
      <c r="CM620" s="266">
        <f t="shared" ca="1" si="399"/>
        <v>0</v>
      </c>
      <c r="CN620" s="266">
        <f t="shared" ca="1" si="400"/>
        <v>0</v>
      </c>
      <c r="CO620" s="266">
        <f ca="1">N620*IFERROR(INDEX(Algorithms!$G:$G,MATCH($C620&amp;"_Therm Saved per Unit- MLA",Algorithms!$A:$A,0)),0)*X620</f>
        <v>0</v>
      </c>
      <c r="CP620" s="266">
        <f ca="1">O620*IFERROR(INDEX(Algorithms!$G:$G,MATCH($C620&amp;"_Therm Saved per Unit- MLA",Algorithms!$A:$A,0)),0)*Y620</f>
        <v>0</v>
      </c>
      <c r="CQ620" s="266">
        <f ca="1">P620*IFERROR(INDEX(Algorithms!$G:$G,MATCH($C620&amp;"_Therm Saved per Unit- MLA",Algorithms!$A:$A,0)),0)*Z620</f>
        <v>0</v>
      </c>
      <c r="CR620" s="266">
        <f ca="1">Q620*IFERROR(INDEX(Algorithms!$G:$G,MATCH($C620&amp;"_Therm Saved per Unit- MLA",Algorithms!$A:$A,0)),0)*AA620</f>
        <v>0</v>
      </c>
      <c r="CS620" s="266">
        <f ca="1">IFERROR(INDEX(Algorithms!$G:$G,MATCH($C620&amp;"_Lifetime (years)",Algorithms!$A:$A,0)),0)</f>
        <v>15</v>
      </c>
      <c r="CT620" s="266">
        <f ca="1">IFERROR(INDEX(Algorithms!$G:$G,MATCH($C620&amp;"_Lifetime (years) - Remaining Years",Algorithms!$A:$A,0)),0)</f>
        <v>0</v>
      </c>
      <c r="CU620" s="266">
        <f t="shared" ca="1" si="401"/>
        <v>0</v>
      </c>
      <c r="CV620" s="266">
        <f t="shared" ca="1" si="402"/>
        <v>0</v>
      </c>
      <c r="CW620" s="266">
        <f t="shared" ca="1" si="403"/>
        <v>0</v>
      </c>
      <c r="CX620" s="266">
        <f t="shared" ca="1" si="404"/>
        <v>0</v>
      </c>
    </row>
    <row r="621" spans="2:102" s="47" customFormat="1" ht="18" customHeight="1" x14ac:dyDescent="0.25">
      <c r="B621" t="str">
        <f t="shared" si="405"/>
        <v>NSG_Business_Small/Mid-Size Business_Assessments_Small Commercial Advanced Thermostat_0_CI</v>
      </c>
      <c r="C621" s="47" t="str">
        <f t="shared" si="366"/>
        <v>Small Commercial Advanced Thermostat_0_CI</v>
      </c>
      <c r="D621" s="270" t="s">
        <v>1787</v>
      </c>
      <c r="E621" s="270" t="s">
        <v>3</v>
      </c>
      <c r="F621" s="270" t="s">
        <v>1432</v>
      </c>
      <c r="G621" s="270" t="s">
        <v>1431</v>
      </c>
      <c r="H621" s="270" t="s">
        <v>1302</v>
      </c>
      <c r="I621" s="270">
        <v>0</v>
      </c>
      <c r="J621" s="270" t="s">
        <v>1159</v>
      </c>
      <c r="K621" s="263">
        <v>1</v>
      </c>
      <c r="L621" s="263" t="str">
        <f ca="1">IFERROR(INDEX(Algorithms!J:J,MATCH($C621&amp;"_Therm Saved per Unit",Algorithms!$A:$A,0)),"n/a")</f>
        <v>4.4.48</v>
      </c>
      <c r="M621" s="263" t="str">
        <f>IFERROR(INDEX('Measure Level Detail'!$N:$N,MATCH($B621,'Measure Level Detail'!$B:$B,0)),0)</f>
        <v>ft</v>
      </c>
      <c r="N621" s="271">
        <f>IFERROR(INDEX('Measure Level Detail'!$P:$P,MATCH($B621&amp;"_"&amp;N$3,'Measure Level Detail'!$C:$C,0)),0)</f>
        <v>0</v>
      </c>
      <c r="O621" s="271">
        <f>IFERROR(INDEX('Measure Level Detail'!$P:$P,MATCH($B621&amp;"_"&amp;O$3,'Measure Level Detail'!$C:$C,0)),0)</f>
        <v>0</v>
      </c>
      <c r="P621" s="271">
        <f>IFERROR(INDEX('Measure Level Detail'!$P:$P,MATCH($B621&amp;"_"&amp;P$3,'Measure Level Detail'!$C:$C,0)),0)</f>
        <v>0</v>
      </c>
      <c r="Q621" s="271">
        <f>IFERROR(INDEX('Measure Level Detail'!$P:$P,MATCH($B621&amp;"_"&amp;Q$3,'Measure Level Detail'!$C:$C,0)),0)</f>
        <v>0</v>
      </c>
      <c r="R621" s="263" t="str">
        <f ca="1">IFERROR(INDEX(Algorithms!K:K,MATCH($C621&amp;"_Therm Saved per Unit",Algorithms!$A:$A,0)),"n/a")</f>
        <v>CI-HVC-THST-V06-240101</v>
      </c>
      <c r="S621" s="262"/>
      <c r="T621" s="272">
        <v>196.26391399999997</v>
      </c>
      <c r="U621" s="272">
        <v>196.26391399999997</v>
      </c>
      <c r="V621" s="272">
        <v>196.26391399999997</v>
      </c>
      <c r="W621" s="272">
        <v>196.26391399999997</v>
      </c>
      <c r="X621" s="275">
        <v>0.97</v>
      </c>
      <c r="Y621" s="275">
        <v>0.97</v>
      </c>
      <c r="Z621" s="275">
        <v>0.97</v>
      </c>
      <c r="AA621" s="275">
        <v>0.97</v>
      </c>
      <c r="AB621" s="266">
        <f t="shared" si="367"/>
        <v>0</v>
      </c>
      <c r="AC621" s="266">
        <f t="shared" si="368"/>
        <v>0</v>
      </c>
      <c r="AD621" s="266">
        <f t="shared" si="369"/>
        <v>0</v>
      </c>
      <c r="AE621" s="266">
        <f t="shared" si="370"/>
        <v>0</v>
      </c>
      <c r="AF621" s="266">
        <f t="shared" si="371"/>
        <v>0</v>
      </c>
      <c r="AG621" s="274">
        <v>0.97</v>
      </c>
      <c r="AH621" s="274">
        <v>0.97</v>
      </c>
      <c r="AI621" s="274">
        <v>0.97</v>
      </c>
      <c r="AJ621" s="274">
        <v>0.97</v>
      </c>
      <c r="AK621" s="274">
        <f t="shared" si="372"/>
        <v>0.97</v>
      </c>
      <c r="AL621" s="274">
        <f t="shared" si="373"/>
        <v>0.97</v>
      </c>
      <c r="AM621" s="274">
        <f t="shared" si="374"/>
        <v>0.97</v>
      </c>
      <c r="AN621" s="274">
        <f t="shared" si="375"/>
        <v>0.97</v>
      </c>
      <c r="AO621" s="262"/>
      <c r="AP621" s="262"/>
      <c r="AQ621" s="267">
        <v>157.01113119999999</v>
      </c>
      <c r="AR621" s="262"/>
      <c r="AS621" s="266">
        <f t="shared" si="376"/>
        <v>0</v>
      </c>
      <c r="AT621" s="264">
        <f t="shared" si="377"/>
        <v>0</v>
      </c>
      <c r="AU621" s="262"/>
      <c r="AV621" s="262"/>
      <c r="AW621" s="265">
        <v>157.01113119999999</v>
      </c>
      <c r="AX621" s="164" t="s">
        <v>1469</v>
      </c>
      <c r="AY621" s="266">
        <v>0</v>
      </c>
      <c r="AZ621" s="266">
        <f t="shared" si="378"/>
        <v>0</v>
      </c>
      <c r="BA621" s="264">
        <f t="shared" si="379"/>
        <v>0</v>
      </c>
      <c r="BB621" s="262"/>
      <c r="BC621" s="262"/>
      <c r="BD621" s="265">
        <f ca="1">IFERROR(INDEX(Algorithms!$G:$G,MATCH($C621&amp;"_Therm Saved per Unit",Algorithms!$A:$A,0)),0)</f>
        <v>157.01113119999999</v>
      </c>
      <c r="BE621" s="164" t="str">
        <f ca="1">IFERROR(INDEX('v12 Revisions'!$P$29:$P$186, MATCH('Measure-Level Adj Gas'!$L621, 'v12 Revisions'!$D$29:$D$186,0)),"")</f>
        <v>n/a - only affects electric energy savings algorithm.</v>
      </c>
      <c r="BF621" s="266">
        <f t="shared" ca="1" si="380"/>
        <v>0</v>
      </c>
      <c r="BG621" s="264">
        <f t="shared" ca="1" si="381"/>
        <v>0</v>
      </c>
      <c r="BH621" s="262"/>
      <c r="BI621" s="262"/>
      <c r="BJ621" s="265">
        <f ca="1">IFERROR(INDEX(Algorithms!$G:$G,MATCH($C621&amp;"_Therm Saved per Unit",Algorithms!$A:$A,0)),0)</f>
        <v>157.01113119999999</v>
      </c>
      <c r="BK621" s="164"/>
      <c r="BL621" s="266">
        <f t="shared" ca="1" si="382"/>
        <v>0</v>
      </c>
      <c r="BM621" s="264">
        <f t="shared" ca="1" si="383"/>
        <v>0</v>
      </c>
      <c r="BN621" s="266">
        <f t="shared" si="384"/>
        <v>0</v>
      </c>
      <c r="BO621" s="266">
        <f t="shared" si="385"/>
        <v>0</v>
      </c>
      <c r="BP621" s="266">
        <f t="shared" ca="1" si="386"/>
        <v>0</v>
      </c>
      <c r="BQ621" s="266">
        <f t="shared" ca="1" si="387"/>
        <v>0</v>
      </c>
      <c r="BR621" s="268">
        <f t="shared" ca="1" si="388"/>
        <v>0</v>
      </c>
      <c r="BS621" s="262" t="s">
        <v>99</v>
      </c>
      <c r="BT621" s="277"/>
      <c r="BW621" s="266">
        <f t="shared" si="389"/>
        <v>0</v>
      </c>
      <c r="BX621" s="266">
        <f t="shared" si="390"/>
        <v>0</v>
      </c>
      <c r="BY621" s="266">
        <f t="shared" si="391"/>
        <v>0</v>
      </c>
      <c r="BZ621" s="266">
        <f t="shared" si="392"/>
        <v>0</v>
      </c>
      <c r="CA621" s="266">
        <f ca="1">N621*IFERROR(INDEX(Algorithms!$G:$G,MATCH($C621&amp;"_Therm Saved per Unit- MLA",Algorithms!$A:$A,0)),0)*X621</f>
        <v>0</v>
      </c>
      <c r="CB621" s="266">
        <f ca="1">O621*IFERROR(INDEX(Algorithms!$G:$G,MATCH($C621&amp;"_Therm Saved per Unit- MLA",Algorithms!$A:$A,0)),0)*Y621</f>
        <v>0</v>
      </c>
      <c r="CC621" s="266">
        <f ca="1">P621*IFERROR(INDEX(Algorithms!$G:$G,MATCH($C621&amp;"_Therm Saved per Unit- MLA",Algorithms!$A:$A,0)),0)*Z621</f>
        <v>0</v>
      </c>
      <c r="CD621" s="266">
        <f ca="1">Q621*IFERROR(INDEX(Algorithms!$G:$G,MATCH($C621&amp;"_Therm Saved per Unit- MLA",Algorithms!$A:$A,0)),0)*AA621</f>
        <v>0</v>
      </c>
      <c r="CE621" s="266">
        <f ca="1">IFERROR(INDEX(Algorithms!$G:$G,MATCH($C621&amp;"_Lifetime (years)",Algorithms!$A:$A,0)),0)</f>
        <v>11</v>
      </c>
      <c r="CF621" s="266">
        <f ca="1">IFERROR(INDEX(Algorithms!$G:$G,MATCH($C621&amp;"_Lifetime (years) - Remaining Years",Algorithms!$A:$A,0)),0)</f>
        <v>0</v>
      </c>
      <c r="CG621" s="266">
        <f t="shared" ca="1" si="393"/>
        <v>0</v>
      </c>
      <c r="CH621" s="266">
        <f t="shared" ca="1" si="394"/>
        <v>0</v>
      </c>
      <c r="CI621" s="266">
        <f t="shared" ca="1" si="395"/>
        <v>0</v>
      </c>
      <c r="CJ621" s="266">
        <f t="shared" ca="1" si="396"/>
        <v>0</v>
      </c>
      <c r="CK621" s="266">
        <f t="shared" si="397"/>
        <v>0</v>
      </c>
      <c r="CL621" s="266">
        <f t="shared" si="398"/>
        <v>0</v>
      </c>
      <c r="CM621" s="266">
        <f t="shared" ca="1" si="399"/>
        <v>0</v>
      </c>
      <c r="CN621" s="266">
        <f t="shared" ca="1" si="400"/>
        <v>0</v>
      </c>
      <c r="CO621" s="266">
        <f ca="1">N621*IFERROR(INDEX(Algorithms!$G:$G,MATCH($C621&amp;"_Therm Saved per Unit- MLA",Algorithms!$A:$A,0)),0)*X621</f>
        <v>0</v>
      </c>
      <c r="CP621" s="266">
        <f ca="1">O621*IFERROR(INDEX(Algorithms!$G:$G,MATCH($C621&amp;"_Therm Saved per Unit- MLA",Algorithms!$A:$A,0)),0)*Y621</f>
        <v>0</v>
      </c>
      <c r="CQ621" s="266">
        <f ca="1">P621*IFERROR(INDEX(Algorithms!$G:$G,MATCH($C621&amp;"_Therm Saved per Unit- MLA",Algorithms!$A:$A,0)),0)*Z621</f>
        <v>0</v>
      </c>
      <c r="CR621" s="266">
        <f ca="1">Q621*IFERROR(INDEX(Algorithms!$G:$G,MATCH($C621&amp;"_Therm Saved per Unit- MLA",Algorithms!$A:$A,0)),0)*AA621</f>
        <v>0</v>
      </c>
      <c r="CS621" s="266">
        <f ca="1">IFERROR(INDEX(Algorithms!$G:$G,MATCH($C621&amp;"_Lifetime (years)",Algorithms!$A:$A,0)),0)</f>
        <v>11</v>
      </c>
      <c r="CT621" s="266">
        <f ca="1">IFERROR(INDEX(Algorithms!$G:$G,MATCH($C621&amp;"_Lifetime (years) - Remaining Years",Algorithms!$A:$A,0)),0)</f>
        <v>0</v>
      </c>
      <c r="CU621" s="266">
        <f t="shared" ca="1" si="401"/>
        <v>0</v>
      </c>
      <c r="CV621" s="266">
        <f t="shared" ca="1" si="402"/>
        <v>0</v>
      </c>
      <c r="CW621" s="266">
        <f t="shared" ca="1" si="403"/>
        <v>0</v>
      </c>
      <c r="CX621" s="266">
        <f t="shared" ca="1" si="404"/>
        <v>0</v>
      </c>
    </row>
    <row r="622" spans="2:102" s="47" customFormat="1" ht="18" customHeight="1" x14ac:dyDescent="0.25">
      <c r="B622" t="str">
        <f t="shared" si="405"/>
        <v>NSG_Business_Small/Mid-Size Business_Assessments_Programmable Thermostat_0_CI</v>
      </c>
      <c r="C622" s="47" t="str">
        <f t="shared" si="366"/>
        <v>Programmable Thermostat_0_CI</v>
      </c>
      <c r="D622" s="270" t="s">
        <v>1787</v>
      </c>
      <c r="E622" s="270" t="s">
        <v>3</v>
      </c>
      <c r="F622" s="270" t="s">
        <v>1432</v>
      </c>
      <c r="G622" s="270" t="s">
        <v>1431</v>
      </c>
      <c r="H622" s="270" t="s">
        <v>224</v>
      </c>
      <c r="I622" s="270">
        <v>0</v>
      </c>
      <c r="J622" s="270" t="s">
        <v>1159</v>
      </c>
      <c r="K622" s="263">
        <v>1</v>
      </c>
      <c r="L622" s="263" t="str">
        <f ca="1">IFERROR(INDEX(Algorithms!J:J,MATCH($C622&amp;"_Therm Saved per Unit",Algorithms!$A:$A,0)),"n/a")</f>
        <v>4.4.48</v>
      </c>
      <c r="M622" s="263" t="str">
        <f>IFERROR(INDEX('Measure Level Detail'!$N:$N,MATCH($B622,'Measure Level Detail'!$B:$B,0)),0)</f>
        <v>ft</v>
      </c>
      <c r="N622" s="271">
        <f>IFERROR(INDEX('Measure Level Detail'!$P:$P,MATCH($B622&amp;"_"&amp;N$3,'Measure Level Detail'!$C:$C,0)),0)</f>
        <v>0</v>
      </c>
      <c r="O622" s="271">
        <f>IFERROR(INDEX('Measure Level Detail'!$P:$P,MATCH($B622&amp;"_"&amp;O$3,'Measure Level Detail'!$C:$C,0)),0)</f>
        <v>0</v>
      </c>
      <c r="P622" s="271">
        <f>IFERROR(INDEX('Measure Level Detail'!$P:$P,MATCH($B622&amp;"_"&amp;P$3,'Measure Level Detail'!$C:$C,0)),0)</f>
        <v>0</v>
      </c>
      <c r="Q622" s="271">
        <f>IFERROR(INDEX('Measure Level Detail'!$P:$P,MATCH($B622&amp;"_"&amp;Q$3,'Measure Level Detail'!$C:$C,0)),0)</f>
        <v>0</v>
      </c>
      <c r="R622" s="263" t="str">
        <f ca="1">IFERROR(INDEX(Algorithms!K:K,MATCH($C622&amp;"_Therm Saved per Unit",Algorithms!$A:$A,0)),"n/a")</f>
        <v>CI-HVC-THST-V06-240101</v>
      </c>
      <c r="S622" s="262"/>
      <c r="T622" s="272">
        <v>159.30512500000003</v>
      </c>
      <c r="U622" s="272">
        <v>159.30512500000003</v>
      </c>
      <c r="V622" s="272">
        <v>159.30512500000003</v>
      </c>
      <c r="W622" s="272">
        <v>159.30512500000003</v>
      </c>
      <c r="X622" s="275">
        <v>0.97</v>
      </c>
      <c r="Y622" s="275">
        <v>0.97</v>
      </c>
      <c r="Z622" s="275">
        <v>0.97</v>
      </c>
      <c r="AA622" s="275">
        <v>0.97</v>
      </c>
      <c r="AB622" s="266">
        <f t="shared" si="367"/>
        <v>0</v>
      </c>
      <c r="AC622" s="266">
        <f t="shared" si="368"/>
        <v>0</v>
      </c>
      <c r="AD622" s="266">
        <f t="shared" si="369"/>
        <v>0</v>
      </c>
      <c r="AE622" s="266">
        <f t="shared" si="370"/>
        <v>0</v>
      </c>
      <c r="AF622" s="266">
        <f t="shared" si="371"/>
        <v>0</v>
      </c>
      <c r="AG622" s="274">
        <v>0.97</v>
      </c>
      <c r="AH622" s="274">
        <v>0.97</v>
      </c>
      <c r="AI622" s="274">
        <v>0.97</v>
      </c>
      <c r="AJ622" s="274">
        <v>0.97</v>
      </c>
      <c r="AK622" s="274">
        <f t="shared" si="372"/>
        <v>0.97</v>
      </c>
      <c r="AL622" s="274">
        <f t="shared" si="373"/>
        <v>0.97</v>
      </c>
      <c r="AM622" s="274">
        <f t="shared" si="374"/>
        <v>0.97</v>
      </c>
      <c r="AN622" s="274">
        <f t="shared" si="375"/>
        <v>0.97</v>
      </c>
      <c r="AO622" s="262"/>
      <c r="AP622" s="262"/>
      <c r="AQ622" s="267">
        <v>200.26929999999999</v>
      </c>
      <c r="AR622" s="262"/>
      <c r="AS622" s="266">
        <f t="shared" si="376"/>
        <v>0</v>
      </c>
      <c r="AT622" s="264">
        <f t="shared" si="377"/>
        <v>0</v>
      </c>
      <c r="AU622" s="262"/>
      <c r="AV622" s="262"/>
      <c r="AW622" s="265">
        <v>200.26929999999999</v>
      </c>
      <c r="AX622" s="164" t="s">
        <v>1469</v>
      </c>
      <c r="AY622" s="266">
        <v>0</v>
      </c>
      <c r="AZ622" s="266">
        <f t="shared" si="378"/>
        <v>0</v>
      </c>
      <c r="BA622" s="264">
        <f t="shared" si="379"/>
        <v>0</v>
      </c>
      <c r="BB622" s="262"/>
      <c r="BC622" s="262"/>
      <c r="BD622" s="265">
        <f ca="1">IFERROR(INDEX(Algorithms!$G:$G,MATCH($C622&amp;"_Therm Saved per Unit",Algorithms!$A:$A,0)),0)</f>
        <v>200.26929999999999</v>
      </c>
      <c r="BE622" s="164" t="str">
        <f ca="1">IFERROR(INDEX('v12 Revisions'!$P$29:$P$186, MATCH('Measure-Level Adj Gas'!$L622, 'v12 Revisions'!$D$29:$D$186,0)),"")</f>
        <v>n/a - only affects electric energy savings algorithm.</v>
      </c>
      <c r="BF622" s="266">
        <f t="shared" ca="1" si="380"/>
        <v>0</v>
      </c>
      <c r="BG622" s="264">
        <f t="shared" ca="1" si="381"/>
        <v>0</v>
      </c>
      <c r="BH622" s="262"/>
      <c r="BI622" s="262"/>
      <c r="BJ622" s="265">
        <f ca="1">IFERROR(INDEX(Algorithms!$G:$G,MATCH($C622&amp;"_Therm Saved per Unit",Algorithms!$A:$A,0)),0)</f>
        <v>200.26929999999999</v>
      </c>
      <c r="BK622" s="164"/>
      <c r="BL622" s="266">
        <f t="shared" ca="1" si="382"/>
        <v>0</v>
      </c>
      <c r="BM622" s="264">
        <f t="shared" ca="1" si="383"/>
        <v>0</v>
      </c>
      <c r="BN622" s="266">
        <f t="shared" si="384"/>
        <v>0</v>
      </c>
      <c r="BO622" s="266">
        <f t="shared" si="385"/>
        <v>0</v>
      </c>
      <c r="BP622" s="266">
        <f t="shared" ca="1" si="386"/>
        <v>0</v>
      </c>
      <c r="BQ622" s="266">
        <f t="shared" ca="1" si="387"/>
        <v>0</v>
      </c>
      <c r="BR622" s="268">
        <f t="shared" ca="1" si="388"/>
        <v>0</v>
      </c>
      <c r="BS622" s="262" t="s">
        <v>99</v>
      </c>
      <c r="BT622" s="277"/>
      <c r="BW622" s="266">
        <f t="shared" si="389"/>
        <v>0</v>
      </c>
      <c r="BX622" s="266">
        <f t="shared" si="390"/>
        <v>0</v>
      </c>
      <c r="BY622" s="266">
        <f t="shared" si="391"/>
        <v>0</v>
      </c>
      <c r="BZ622" s="266">
        <f t="shared" si="392"/>
        <v>0</v>
      </c>
      <c r="CA622" s="266">
        <f ca="1">N622*IFERROR(INDEX(Algorithms!$G:$G,MATCH($C622&amp;"_Therm Saved per Unit- MLA",Algorithms!$A:$A,0)),0)*X622</f>
        <v>0</v>
      </c>
      <c r="CB622" s="266">
        <f ca="1">O622*IFERROR(INDEX(Algorithms!$G:$G,MATCH($C622&amp;"_Therm Saved per Unit- MLA",Algorithms!$A:$A,0)),0)*Y622</f>
        <v>0</v>
      </c>
      <c r="CC622" s="266">
        <f ca="1">P622*IFERROR(INDEX(Algorithms!$G:$G,MATCH($C622&amp;"_Therm Saved per Unit- MLA",Algorithms!$A:$A,0)),0)*Z622</f>
        <v>0</v>
      </c>
      <c r="CD622" s="266">
        <f ca="1">Q622*IFERROR(INDEX(Algorithms!$G:$G,MATCH($C622&amp;"_Therm Saved per Unit- MLA",Algorithms!$A:$A,0)),0)*AA622</f>
        <v>0</v>
      </c>
      <c r="CE622" s="266">
        <f ca="1">IFERROR(INDEX(Algorithms!$G:$G,MATCH($C622&amp;"_Lifetime (years)",Algorithms!$A:$A,0)),0)</f>
        <v>11</v>
      </c>
      <c r="CF622" s="266">
        <f ca="1">IFERROR(INDEX(Algorithms!$G:$G,MATCH($C622&amp;"_Lifetime (years) - Remaining Years",Algorithms!$A:$A,0)),0)</f>
        <v>0</v>
      </c>
      <c r="CG622" s="266">
        <f t="shared" ca="1" si="393"/>
        <v>0</v>
      </c>
      <c r="CH622" s="266">
        <f t="shared" ca="1" si="394"/>
        <v>0</v>
      </c>
      <c r="CI622" s="266">
        <f t="shared" ca="1" si="395"/>
        <v>0</v>
      </c>
      <c r="CJ622" s="266">
        <f t="shared" ca="1" si="396"/>
        <v>0</v>
      </c>
      <c r="CK622" s="266">
        <f t="shared" si="397"/>
        <v>0</v>
      </c>
      <c r="CL622" s="266">
        <f t="shared" si="398"/>
        <v>0</v>
      </c>
      <c r="CM622" s="266">
        <f t="shared" ca="1" si="399"/>
        <v>0</v>
      </c>
      <c r="CN622" s="266">
        <f t="shared" ca="1" si="400"/>
        <v>0</v>
      </c>
      <c r="CO622" s="266">
        <f ca="1">N622*IFERROR(INDEX(Algorithms!$G:$G,MATCH($C622&amp;"_Therm Saved per Unit- MLA",Algorithms!$A:$A,0)),0)*X622</f>
        <v>0</v>
      </c>
      <c r="CP622" s="266">
        <f ca="1">O622*IFERROR(INDEX(Algorithms!$G:$G,MATCH($C622&amp;"_Therm Saved per Unit- MLA",Algorithms!$A:$A,0)),0)*Y622</f>
        <v>0</v>
      </c>
      <c r="CQ622" s="266">
        <f ca="1">P622*IFERROR(INDEX(Algorithms!$G:$G,MATCH($C622&amp;"_Therm Saved per Unit- MLA",Algorithms!$A:$A,0)),0)*Z622</f>
        <v>0</v>
      </c>
      <c r="CR622" s="266">
        <f ca="1">Q622*IFERROR(INDEX(Algorithms!$G:$G,MATCH($C622&amp;"_Therm Saved per Unit- MLA",Algorithms!$A:$A,0)),0)*AA622</f>
        <v>0</v>
      </c>
      <c r="CS622" s="266">
        <f ca="1">IFERROR(INDEX(Algorithms!$G:$G,MATCH($C622&amp;"_Lifetime (years)",Algorithms!$A:$A,0)),0)</f>
        <v>11</v>
      </c>
      <c r="CT622" s="266">
        <f ca="1">IFERROR(INDEX(Algorithms!$G:$G,MATCH($C622&amp;"_Lifetime (years) - Remaining Years",Algorithms!$A:$A,0)),0)</f>
        <v>0</v>
      </c>
      <c r="CU622" s="266">
        <f t="shared" ca="1" si="401"/>
        <v>0</v>
      </c>
      <c r="CV622" s="266">
        <f t="shared" ca="1" si="402"/>
        <v>0</v>
      </c>
      <c r="CW622" s="266">
        <f t="shared" ca="1" si="403"/>
        <v>0</v>
      </c>
      <c r="CX622" s="266">
        <f t="shared" ca="1" si="404"/>
        <v>0</v>
      </c>
    </row>
    <row r="623" spans="2:102" s="47" customFormat="1" ht="18" customHeight="1" x14ac:dyDescent="0.25">
      <c r="B623" t="str">
        <f t="shared" si="405"/>
        <v>NSG_Business_Small/Mid-Size Business_Rebates_Condensing Unit Heater_0_MF/CI</v>
      </c>
      <c r="C623" s="47" t="str">
        <f t="shared" si="366"/>
        <v>Condensing Unit Heater_0_MF/CI</v>
      </c>
      <c r="D623" s="270" t="s">
        <v>1787</v>
      </c>
      <c r="E623" s="270" t="s">
        <v>3</v>
      </c>
      <c r="F623" s="270" t="s">
        <v>1432</v>
      </c>
      <c r="G623" s="270" t="s">
        <v>1429</v>
      </c>
      <c r="H623" s="270" t="s">
        <v>13</v>
      </c>
      <c r="I623" s="270">
        <v>0</v>
      </c>
      <c r="J623" s="270" t="s">
        <v>587</v>
      </c>
      <c r="K623" s="263">
        <v>1</v>
      </c>
      <c r="L623" s="263" t="str">
        <f ca="1">IFERROR(INDEX(Algorithms!J:J,MATCH($C623&amp;"_Therm Saved per Unit",Algorithms!$A:$A,0)),"n/a")</f>
        <v>4.4.5</v>
      </c>
      <c r="M623" s="263" t="str">
        <f>IFERROR(INDEX('Measure Level Detail'!$N:$N,MATCH($B623,'Measure Level Detail'!$B:$B,0)),0)</f>
        <v>MBH</v>
      </c>
      <c r="N623" s="271">
        <f>IFERROR(INDEX('Measure Level Detail'!$P:$P,MATCH($B623&amp;"_"&amp;N$3,'Measure Level Detail'!$C:$C,0)),0)</f>
        <v>0</v>
      </c>
      <c r="O623" s="271">
        <f>IFERROR(INDEX('Measure Level Detail'!$P:$P,MATCH($B623&amp;"_"&amp;O$3,'Measure Level Detail'!$C:$C,0)),0)</f>
        <v>0</v>
      </c>
      <c r="P623" s="271">
        <f>IFERROR(INDEX('Measure Level Detail'!$P:$P,MATCH($B623&amp;"_"&amp;P$3,'Measure Level Detail'!$C:$C,0)),0)</f>
        <v>0</v>
      </c>
      <c r="Q623" s="271">
        <f>IFERROR(INDEX('Measure Level Detail'!$P:$P,MATCH($B623&amp;"_"&amp;Q$3,'Measure Level Detail'!$C:$C,0)),0)</f>
        <v>0</v>
      </c>
      <c r="R623" s="263" t="str">
        <f ca="1">IFERROR(INDEX(Algorithms!K:K,MATCH($C623&amp;"_Therm Saved per Unit",Algorithms!$A:$A,0)),"n/a")</f>
        <v>CI-HVC-CUHT-V03-230101</v>
      </c>
      <c r="S623" s="262"/>
      <c r="T623" s="272">
        <v>1.7733333333333334</v>
      </c>
      <c r="U623" s="272">
        <v>1.7733333333333334</v>
      </c>
      <c r="V623" s="272">
        <v>1.7733333333333334</v>
      </c>
      <c r="W623" s="272">
        <v>1.7733333333333334</v>
      </c>
      <c r="X623" s="276">
        <v>0.93</v>
      </c>
      <c r="Y623" s="276">
        <v>0.93</v>
      </c>
      <c r="Z623" s="276">
        <v>0.93</v>
      </c>
      <c r="AA623" s="276">
        <v>0.93</v>
      </c>
      <c r="AB623" s="266">
        <f t="shared" si="367"/>
        <v>0</v>
      </c>
      <c r="AC623" s="266">
        <f t="shared" si="368"/>
        <v>0</v>
      </c>
      <c r="AD623" s="266">
        <f t="shared" si="369"/>
        <v>0</v>
      </c>
      <c r="AE623" s="266">
        <f t="shared" si="370"/>
        <v>0</v>
      </c>
      <c r="AF623" s="266">
        <f t="shared" si="371"/>
        <v>0</v>
      </c>
      <c r="AG623" s="274">
        <v>0.93</v>
      </c>
      <c r="AH623" s="274">
        <v>0.93</v>
      </c>
      <c r="AI623" s="274">
        <v>0.93</v>
      </c>
      <c r="AJ623" s="274">
        <v>0.93</v>
      </c>
      <c r="AK623" s="274">
        <f t="shared" si="372"/>
        <v>0.93</v>
      </c>
      <c r="AL623" s="274">
        <f t="shared" si="373"/>
        <v>0.93</v>
      </c>
      <c r="AM623" s="274">
        <f t="shared" si="374"/>
        <v>0.93</v>
      </c>
      <c r="AN623" s="274">
        <f t="shared" si="375"/>
        <v>0.93</v>
      </c>
      <c r="AO623" s="262"/>
      <c r="AP623" s="262"/>
      <c r="AQ623" s="267">
        <v>1.6896527777777772</v>
      </c>
      <c r="AR623" s="262"/>
      <c r="AS623" s="266">
        <f t="shared" si="376"/>
        <v>0</v>
      </c>
      <c r="AT623" s="264">
        <f t="shared" si="377"/>
        <v>0</v>
      </c>
      <c r="AU623" s="262"/>
      <c r="AV623" s="262"/>
      <c r="AW623" s="265">
        <v>1.6896527777777772</v>
      </c>
      <c r="AX623" s="164" t="s">
        <v>1469</v>
      </c>
      <c r="AY623" s="266">
        <v>0</v>
      </c>
      <c r="AZ623" s="266">
        <f t="shared" si="378"/>
        <v>0</v>
      </c>
      <c r="BA623" s="264">
        <f t="shared" si="379"/>
        <v>0</v>
      </c>
      <c r="BB623" s="262"/>
      <c r="BC623" s="262"/>
      <c r="BD623" s="265">
        <f ca="1">IFERROR(INDEX(Algorithms!$G:$G,MATCH($C623&amp;"_Therm Saved per Unit",Algorithms!$A:$A,0)),0)</f>
        <v>1.6896527777777772</v>
      </c>
      <c r="BE623" s="164" t="str">
        <f ca="1">IFERROR(INDEX('v12 Revisions'!$P$29:$P$186, MATCH('Measure-Level Adj Gas'!$L623, 'v12 Revisions'!$D$29:$D$186,0)),"")</f>
        <v/>
      </c>
      <c r="BF623" s="266">
        <f t="shared" ca="1" si="380"/>
        <v>0</v>
      </c>
      <c r="BG623" s="264">
        <f t="shared" ca="1" si="381"/>
        <v>0</v>
      </c>
      <c r="BH623" s="262"/>
      <c r="BI623" s="262"/>
      <c r="BJ623" s="265">
        <f ca="1">IFERROR(INDEX(Algorithms!$G:$G,MATCH($C623&amp;"_Therm Saved per Unit",Algorithms!$A:$A,0)),0)</f>
        <v>1.6896527777777772</v>
      </c>
      <c r="BK623" s="164"/>
      <c r="BL623" s="266">
        <f t="shared" ca="1" si="382"/>
        <v>0</v>
      </c>
      <c r="BM623" s="264">
        <f t="shared" ca="1" si="383"/>
        <v>0</v>
      </c>
      <c r="BN623" s="266">
        <f t="shared" si="384"/>
        <v>0</v>
      </c>
      <c r="BO623" s="266">
        <f t="shared" si="385"/>
        <v>0</v>
      </c>
      <c r="BP623" s="266">
        <f t="shared" ca="1" si="386"/>
        <v>0</v>
      </c>
      <c r="BQ623" s="266">
        <f t="shared" ca="1" si="387"/>
        <v>0</v>
      </c>
      <c r="BR623" s="268">
        <f t="shared" ca="1" si="388"/>
        <v>0</v>
      </c>
      <c r="BS623" s="262" t="s">
        <v>99</v>
      </c>
      <c r="BT623" s="277"/>
      <c r="BW623" s="266">
        <f t="shared" si="389"/>
        <v>0</v>
      </c>
      <c r="BX623" s="266">
        <f t="shared" si="390"/>
        <v>0</v>
      </c>
      <c r="BY623" s="266">
        <f t="shared" si="391"/>
        <v>0</v>
      </c>
      <c r="BZ623" s="266">
        <f t="shared" si="392"/>
        <v>0</v>
      </c>
      <c r="CA623" s="266">
        <f ca="1">N623*IFERROR(INDEX(Algorithms!$G:$G,MATCH($C623&amp;"_Therm Saved per Unit- MLA",Algorithms!$A:$A,0)),0)*X623</f>
        <v>0</v>
      </c>
      <c r="CB623" s="266">
        <f ca="1">O623*IFERROR(INDEX(Algorithms!$G:$G,MATCH($C623&amp;"_Therm Saved per Unit- MLA",Algorithms!$A:$A,0)),0)*Y623</f>
        <v>0</v>
      </c>
      <c r="CC623" s="266">
        <f ca="1">P623*IFERROR(INDEX(Algorithms!$G:$G,MATCH($C623&amp;"_Therm Saved per Unit- MLA",Algorithms!$A:$A,0)),0)*Z623</f>
        <v>0</v>
      </c>
      <c r="CD623" s="266">
        <f ca="1">Q623*IFERROR(INDEX(Algorithms!$G:$G,MATCH($C623&amp;"_Therm Saved per Unit- MLA",Algorithms!$A:$A,0)),0)*AA623</f>
        <v>0</v>
      </c>
      <c r="CE623" s="266">
        <f ca="1">IFERROR(INDEX(Algorithms!$G:$G,MATCH($C623&amp;"_Lifetime (years)",Algorithms!$A:$A,0)),0)</f>
        <v>12</v>
      </c>
      <c r="CF623" s="266">
        <f ca="1">IFERROR(INDEX(Algorithms!$G:$G,MATCH($C623&amp;"_Lifetime (years) - Remaining Years",Algorithms!$A:$A,0)),0)</f>
        <v>0</v>
      </c>
      <c r="CG623" s="266">
        <f t="shared" ca="1" si="393"/>
        <v>0</v>
      </c>
      <c r="CH623" s="266">
        <f t="shared" ca="1" si="394"/>
        <v>0</v>
      </c>
      <c r="CI623" s="266">
        <f t="shared" ca="1" si="395"/>
        <v>0</v>
      </c>
      <c r="CJ623" s="266">
        <f t="shared" ca="1" si="396"/>
        <v>0</v>
      </c>
      <c r="CK623" s="266">
        <f t="shared" si="397"/>
        <v>0</v>
      </c>
      <c r="CL623" s="266">
        <f t="shared" si="398"/>
        <v>0</v>
      </c>
      <c r="CM623" s="266">
        <f t="shared" ca="1" si="399"/>
        <v>0</v>
      </c>
      <c r="CN623" s="266">
        <f t="shared" ca="1" si="400"/>
        <v>0</v>
      </c>
      <c r="CO623" s="266">
        <f ca="1">N623*IFERROR(INDEX(Algorithms!$G:$G,MATCH($C623&amp;"_Therm Saved per Unit- MLA",Algorithms!$A:$A,0)),0)*X623</f>
        <v>0</v>
      </c>
      <c r="CP623" s="266">
        <f ca="1">O623*IFERROR(INDEX(Algorithms!$G:$G,MATCH($C623&amp;"_Therm Saved per Unit- MLA",Algorithms!$A:$A,0)),0)*Y623</f>
        <v>0</v>
      </c>
      <c r="CQ623" s="266">
        <f ca="1">P623*IFERROR(INDEX(Algorithms!$G:$G,MATCH($C623&amp;"_Therm Saved per Unit- MLA",Algorithms!$A:$A,0)),0)*Z623</f>
        <v>0</v>
      </c>
      <c r="CR623" s="266">
        <f ca="1">Q623*IFERROR(INDEX(Algorithms!$G:$G,MATCH($C623&amp;"_Therm Saved per Unit- MLA",Algorithms!$A:$A,0)),0)*AA623</f>
        <v>0</v>
      </c>
      <c r="CS623" s="266">
        <f ca="1">IFERROR(INDEX(Algorithms!$G:$G,MATCH($C623&amp;"_Lifetime (years)",Algorithms!$A:$A,0)),0)</f>
        <v>12</v>
      </c>
      <c r="CT623" s="266">
        <f ca="1">IFERROR(INDEX(Algorithms!$G:$G,MATCH($C623&amp;"_Lifetime (years) - Remaining Years",Algorithms!$A:$A,0)),0)</f>
        <v>0</v>
      </c>
      <c r="CU623" s="266">
        <f t="shared" ca="1" si="401"/>
        <v>0</v>
      </c>
      <c r="CV623" s="266">
        <f t="shared" ca="1" si="402"/>
        <v>0</v>
      </c>
      <c r="CW623" s="266">
        <f t="shared" ca="1" si="403"/>
        <v>0</v>
      </c>
      <c r="CX623" s="266">
        <f t="shared" ca="1" si="404"/>
        <v>0</v>
      </c>
    </row>
    <row r="624" spans="2:102" s="47" customFormat="1" ht="18" customHeight="1" x14ac:dyDescent="0.25">
      <c r="B624" t="str">
        <f t="shared" si="405"/>
        <v>NSG_Business_Small/Mid-Size Business_Rebates_DCV - Kitchen_0_MF/CI</v>
      </c>
      <c r="C624" s="47" t="str">
        <f t="shared" si="366"/>
        <v>DCV - Kitchen_0_MF/CI</v>
      </c>
      <c r="D624" s="270" t="s">
        <v>1787</v>
      </c>
      <c r="E624" s="270" t="s">
        <v>3</v>
      </c>
      <c r="F624" s="270" t="s">
        <v>1432</v>
      </c>
      <c r="G624" s="270" t="s">
        <v>1429</v>
      </c>
      <c r="H624" s="270" t="s">
        <v>1077</v>
      </c>
      <c r="I624" s="270">
        <v>0</v>
      </c>
      <c r="J624" s="270" t="s">
        <v>587</v>
      </c>
      <c r="K624" s="263">
        <v>1</v>
      </c>
      <c r="L624" s="263" t="str">
        <f ca="1">IFERROR(INDEX(Algorithms!J:J,MATCH($C624&amp;"_Therm Saved per Unit",Algorithms!$A:$A,0)),"n/a")</f>
        <v>4.2.16</v>
      </c>
      <c r="M624" s="263" t="str">
        <f>IFERROR(INDEX('Measure Level Detail'!$N:$N,MATCH($B624,'Measure Level Detail'!$B:$B,0)),0)</f>
        <v>HP</v>
      </c>
      <c r="N624" s="271">
        <f>IFERROR(INDEX('Measure Level Detail'!$P:$P,MATCH($B624&amp;"_"&amp;N$3,'Measure Level Detail'!$C:$C,0)),0)</f>
        <v>0</v>
      </c>
      <c r="O624" s="271">
        <f>IFERROR(INDEX('Measure Level Detail'!$P:$P,MATCH($B624&amp;"_"&amp;O$3,'Measure Level Detail'!$C:$C,0)),0)</f>
        <v>0</v>
      </c>
      <c r="P624" s="271">
        <f>IFERROR(INDEX('Measure Level Detail'!$P:$P,MATCH($B624&amp;"_"&amp;P$3,'Measure Level Detail'!$C:$C,0)),0)</f>
        <v>0</v>
      </c>
      <c r="Q624" s="271">
        <f>IFERROR(INDEX('Measure Level Detail'!$P:$P,MATCH($B624&amp;"_"&amp;Q$3,'Measure Level Detail'!$C:$C,0)),0)</f>
        <v>0</v>
      </c>
      <c r="R624" s="263" t="str">
        <f ca="1">IFERROR(INDEX(Algorithms!K:K,MATCH($C624&amp;"_Therm Saved per Unit",Algorithms!$A:$A,0)),"n/a")</f>
        <v>CI-FSE-VENT-V06-240101</v>
      </c>
      <c r="S624" s="262"/>
      <c r="T624" s="272">
        <v>774</v>
      </c>
      <c r="U624" s="272">
        <v>774</v>
      </c>
      <c r="V624" s="272">
        <v>774</v>
      </c>
      <c r="W624" s="272">
        <v>774</v>
      </c>
      <c r="X624" s="276">
        <v>0.93</v>
      </c>
      <c r="Y624" s="276">
        <v>0.93</v>
      </c>
      <c r="Z624" s="276">
        <v>0.93</v>
      </c>
      <c r="AA624" s="276">
        <v>0.93</v>
      </c>
      <c r="AB624" s="266">
        <f t="shared" si="367"/>
        <v>0</v>
      </c>
      <c r="AC624" s="266">
        <f t="shared" si="368"/>
        <v>0</v>
      </c>
      <c r="AD624" s="266">
        <f t="shared" si="369"/>
        <v>0</v>
      </c>
      <c r="AE624" s="266">
        <f t="shared" si="370"/>
        <v>0</v>
      </c>
      <c r="AF624" s="266">
        <f t="shared" si="371"/>
        <v>0</v>
      </c>
      <c r="AG624" s="274">
        <v>0.93</v>
      </c>
      <c r="AH624" s="274">
        <v>0.93</v>
      </c>
      <c r="AI624" s="274">
        <v>0.93</v>
      </c>
      <c r="AJ624" s="274">
        <v>0.93</v>
      </c>
      <c r="AK624" s="274">
        <f t="shared" si="372"/>
        <v>0.93</v>
      </c>
      <c r="AL624" s="274">
        <f t="shared" si="373"/>
        <v>0.93</v>
      </c>
      <c r="AM624" s="274">
        <f t="shared" si="374"/>
        <v>0.93</v>
      </c>
      <c r="AN624" s="274">
        <f t="shared" si="375"/>
        <v>0.93</v>
      </c>
      <c r="AO624" s="262"/>
      <c r="AP624" s="262"/>
      <c r="AQ624" s="267">
        <v>774</v>
      </c>
      <c r="AR624" s="262"/>
      <c r="AS624" s="266">
        <f t="shared" si="376"/>
        <v>0</v>
      </c>
      <c r="AT624" s="264">
        <f t="shared" si="377"/>
        <v>0</v>
      </c>
      <c r="AU624" s="262"/>
      <c r="AV624" s="262"/>
      <c r="AW624" s="265">
        <v>774</v>
      </c>
      <c r="AX624" s="164" t="s">
        <v>1469</v>
      </c>
      <c r="AY624" s="266">
        <v>0</v>
      </c>
      <c r="AZ624" s="266">
        <f t="shared" si="378"/>
        <v>0</v>
      </c>
      <c r="BA624" s="264">
        <f t="shared" si="379"/>
        <v>0</v>
      </c>
      <c r="BB624" s="262"/>
      <c r="BC624" s="262"/>
      <c r="BD624" s="265">
        <f ca="1">IFERROR(INDEX(Algorithms!$G:$G,MATCH($C624&amp;"_Therm Saved per Unit",Algorithms!$A:$A,0)),0)</f>
        <v>774</v>
      </c>
      <c r="BE624" s="164" t="str">
        <f ca="1">IFERROR(INDEX('v12 Revisions'!$P$29:$P$186, MATCH('Measure-Level Adj Gas'!$L624, 'v12 Revisions'!$D$29:$D$186,0)),"")</f>
        <v>n/a - HP assumed in units of participation.</v>
      </c>
      <c r="BF624" s="266">
        <f t="shared" ca="1" si="380"/>
        <v>0</v>
      </c>
      <c r="BG624" s="264">
        <f t="shared" ca="1" si="381"/>
        <v>0</v>
      </c>
      <c r="BH624" s="262"/>
      <c r="BI624" s="262"/>
      <c r="BJ624" s="265">
        <f ca="1">IFERROR(INDEX(Algorithms!$G:$G,MATCH($C624&amp;"_Therm Saved per Unit",Algorithms!$A:$A,0)),0)</f>
        <v>774</v>
      </c>
      <c r="BK624" s="164"/>
      <c r="BL624" s="266">
        <f t="shared" ca="1" si="382"/>
        <v>0</v>
      </c>
      <c r="BM624" s="264">
        <f t="shared" ca="1" si="383"/>
        <v>0</v>
      </c>
      <c r="BN624" s="266">
        <f t="shared" si="384"/>
        <v>0</v>
      </c>
      <c r="BO624" s="266">
        <f t="shared" si="385"/>
        <v>0</v>
      </c>
      <c r="BP624" s="266">
        <f t="shared" ca="1" si="386"/>
        <v>0</v>
      </c>
      <c r="BQ624" s="266">
        <f t="shared" ca="1" si="387"/>
        <v>0</v>
      </c>
      <c r="BR624" s="268">
        <f t="shared" ca="1" si="388"/>
        <v>0</v>
      </c>
      <c r="BS624" s="262" t="s">
        <v>99</v>
      </c>
      <c r="BT624" s="277"/>
      <c r="BW624" s="266">
        <f t="shared" si="389"/>
        <v>0</v>
      </c>
      <c r="BX624" s="266">
        <f t="shared" si="390"/>
        <v>0</v>
      </c>
      <c r="BY624" s="266">
        <f t="shared" si="391"/>
        <v>0</v>
      </c>
      <c r="BZ624" s="266">
        <f t="shared" si="392"/>
        <v>0</v>
      </c>
      <c r="CA624" s="266">
        <f ca="1">N624*IFERROR(INDEX(Algorithms!$G:$G,MATCH($C624&amp;"_Therm Saved per Unit- MLA",Algorithms!$A:$A,0)),0)*X624</f>
        <v>0</v>
      </c>
      <c r="CB624" s="266">
        <f ca="1">O624*IFERROR(INDEX(Algorithms!$G:$G,MATCH($C624&amp;"_Therm Saved per Unit- MLA",Algorithms!$A:$A,0)),0)*Y624</f>
        <v>0</v>
      </c>
      <c r="CC624" s="266">
        <f ca="1">P624*IFERROR(INDEX(Algorithms!$G:$G,MATCH($C624&amp;"_Therm Saved per Unit- MLA",Algorithms!$A:$A,0)),0)*Z624</f>
        <v>0</v>
      </c>
      <c r="CD624" s="266">
        <f ca="1">Q624*IFERROR(INDEX(Algorithms!$G:$G,MATCH($C624&amp;"_Therm Saved per Unit- MLA",Algorithms!$A:$A,0)),0)*AA624</f>
        <v>0</v>
      </c>
      <c r="CE624" s="266">
        <f ca="1">IFERROR(INDEX(Algorithms!$G:$G,MATCH($C624&amp;"_Lifetime (years)",Algorithms!$A:$A,0)),0)</f>
        <v>20</v>
      </c>
      <c r="CF624" s="266">
        <f ca="1">IFERROR(INDEX(Algorithms!$G:$G,MATCH($C624&amp;"_Lifetime (years) - Remaining Years",Algorithms!$A:$A,0)),0)</f>
        <v>0</v>
      </c>
      <c r="CG624" s="266">
        <f t="shared" ca="1" si="393"/>
        <v>0</v>
      </c>
      <c r="CH624" s="266">
        <f t="shared" ca="1" si="394"/>
        <v>0</v>
      </c>
      <c r="CI624" s="266">
        <f t="shared" ca="1" si="395"/>
        <v>0</v>
      </c>
      <c r="CJ624" s="266">
        <f t="shared" ca="1" si="396"/>
        <v>0</v>
      </c>
      <c r="CK624" s="266">
        <f t="shared" si="397"/>
        <v>0</v>
      </c>
      <c r="CL624" s="266">
        <f t="shared" si="398"/>
        <v>0</v>
      </c>
      <c r="CM624" s="266">
        <f t="shared" ca="1" si="399"/>
        <v>0</v>
      </c>
      <c r="CN624" s="266">
        <f t="shared" ca="1" si="400"/>
        <v>0</v>
      </c>
      <c r="CO624" s="266">
        <f ca="1">N624*IFERROR(INDEX(Algorithms!$G:$G,MATCH($C624&amp;"_Therm Saved per Unit- MLA",Algorithms!$A:$A,0)),0)*X624</f>
        <v>0</v>
      </c>
      <c r="CP624" s="266">
        <f ca="1">O624*IFERROR(INDEX(Algorithms!$G:$G,MATCH($C624&amp;"_Therm Saved per Unit- MLA",Algorithms!$A:$A,0)),0)*Y624</f>
        <v>0</v>
      </c>
      <c r="CQ624" s="266">
        <f ca="1">P624*IFERROR(INDEX(Algorithms!$G:$G,MATCH($C624&amp;"_Therm Saved per Unit- MLA",Algorithms!$A:$A,0)),0)*Z624</f>
        <v>0</v>
      </c>
      <c r="CR624" s="266">
        <f ca="1">Q624*IFERROR(INDEX(Algorithms!$G:$G,MATCH($C624&amp;"_Therm Saved per Unit- MLA",Algorithms!$A:$A,0)),0)*AA624</f>
        <v>0</v>
      </c>
      <c r="CS624" s="266">
        <f ca="1">IFERROR(INDEX(Algorithms!$G:$G,MATCH($C624&amp;"_Lifetime (years)",Algorithms!$A:$A,0)),0)</f>
        <v>20</v>
      </c>
      <c r="CT624" s="266">
        <f ca="1">IFERROR(INDEX(Algorithms!$G:$G,MATCH($C624&amp;"_Lifetime (years) - Remaining Years",Algorithms!$A:$A,0)),0)</f>
        <v>0</v>
      </c>
      <c r="CU624" s="266">
        <f t="shared" ca="1" si="401"/>
        <v>0</v>
      </c>
      <c r="CV624" s="266">
        <f t="shared" ca="1" si="402"/>
        <v>0</v>
      </c>
      <c r="CW624" s="266">
        <f t="shared" ca="1" si="403"/>
        <v>0</v>
      </c>
      <c r="CX624" s="266">
        <f t="shared" ca="1" si="404"/>
        <v>0</v>
      </c>
    </row>
    <row r="625" spans="2:102" s="47" customFormat="1" ht="18" customHeight="1" x14ac:dyDescent="0.25">
      <c r="B625" t="str">
        <f t="shared" si="405"/>
        <v>NSG_Business_Small/Mid-Size Business_Rebates_Direct Fired Heaters_0_MF/CI</v>
      </c>
      <c r="C625" s="47" t="str">
        <f t="shared" si="366"/>
        <v>Direct Fired Heaters_0_MF/CI</v>
      </c>
      <c r="D625" s="270" t="s">
        <v>1787</v>
      </c>
      <c r="E625" s="270" t="s">
        <v>3</v>
      </c>
      <c r="F625" s="270" t="s">
        <v>1432</v>
      </c>
      <c r="G625" s="270" t="s">
        <v>1429</v>
      </c>
      <c r="H625" s="270" t="s">
        <v>666</v>
      </c>
      <c r="I625" s="270">
        <v>0</v>
      </c>
      <c r="J625" s="270" t="s">
        <v>587</v>
      </c>
      <c r="K625" s="263">
        <v>1</v>
      </c>
      <c r="L625" s="263" t="str">
        <f ca="1">IFERROR(INDEX(Algorithms!J:J,MATCH($C625&amp;"_Therm Saved per Unit",Algorithms!$A:$A,0)),"n/a")</f>
        <v>4.4.39</v>
      </c>
      <c r="M625" s="263" t="str">
        <f>IFERROR(INDEX('Measure Level Detail'!$N:$N,MATCH($B625,'Measure Level Detail'!$B:$B,0)),0)</f>
        <v>MBH</v>
      </c>
      <c r="N625" s="271">
        <f>IFERROR(INDEX('Measure Level Detail'!$P:$P,MATCH($B625&amp;"_"&amp;N$3,'Measure Level Detail'!$C:$C,0)),0)</f>
        <v>0</v>
      </c>
      <c r="O625" s="271">
        <f>IFERROR(INDEX('Measure Level Detail'!$P:$P,MATCH($B625&amp;"_"&amp;O$3,'Measure Level Detail'!$C:$C,0)),0)</f>
        <v>0</v>
      </c>
      <c r="P625" s="271">
        <f>IFERROR(INDEX('Measure Level Detail'!$P:$P,MATCH($B625&amp;"_"&amp;P$3,'Measure Level Detail'!$C:$C,0)),0)</f>
        <v>0</v>
      </c>
      <c r="Q625" s="271">
        <f>IFERROR(INDEX('Measure Level Detail'!$P:$P,MATCH($B625&amp;"_"&amp;Q$3,'Measure Level Detail'!$C:$C,0)),0)</f>
        <v>0</v>
      </c>
      <c r="R625" s="263" t="str">
        <f ca="1">IFERROR(INDEX(Algorithms!K:K,MATCH($C625&amp;"_Therm Saved per Unit",Algorithms!$A:$A,0)),"n/a")</f>
        <v>CI-HVC-HTHV-V02-230101</v>
      </c>
      <c r="S625" s="262"/>
      <c r="T625" s="272">
        <v>3.72</v>
      </c>
      <c r="U625" s="272">
        <v>3.72</v>
      </c>
      <c r="V625" s="272">
        <v>3.72</v>
      </c>
      <c r="W625" s="272">
        <v>3.72</v>
      </c>
      <c r="X625" s="276">
        <v>0.93</v>
      </c>
      <c r="Y625" s="276">
        <v>0.93</v>
      </c>
      <c r="Z625" s="276">
        <v>0.93</v>
      </c>
      <c r="AA625" s="276">
        <v>0.93</v>
      </c>
      <c r="AB625" s="266">
        <f t="shared" si="367"/>
        <v>0</v>
      </c>
      <c r="AC625" s="266">
        <f t="shared" si="368"/>
        <v>0</v>
      </c>
      <c r="AD625" s="266">
        <f t="shared" si="369"/>
        <v>0</v>
      </c>
      <c r="AE625" s="266">
        <f t="shared" si="370"/>
        <v>0</v>
      </c>
      <c r="AF625" s="266">
        <f t="shared" si="371"/>
        <v>0</v>
      </c>
      <c r="AG625" s="274">
        <v>0.93</v>
      </c>
      <c r="AH625" s="274">
        <v>0.93</v>
      </c>
      <c r="AI625" s="274">
        <v>0.93</v>
      </c>
      <c r="AJ625" s="274">
        <v>0.93</v>
      </c>
      <c r="AK625" s="274">
        <f t="shared" si="372"/>
        <v>0.93</v>
      </c>
      <c r="AL625" s="274">
        <f t="shared" si="373"/>
        <v>0.93</v>
      </c>
      <c r="AM625" s="274">
        <f t="shared" si="374"/>
        <v>0.93</v>
      </c>
      <c r="AN625" s="274">
        <f t="shared" si="375"/>
        <v>0.93</v>
      </c>
      <c r="AO625" s="262"/>
      <c r="AP625" s="262"/>
      <c r="AQ625" s="267">
        <v>3.72</v>
      </c>
      <c r="AR625" s="262"/>
      <c r="AS625" s="266">
        <f t="shared" si="376"/>
        <v>0</v>
      </c>
      <c r="AT625" s="264">
        <f t="shared" si="377"/>
        <v>0</v>
      </c>
      <c r="AU625" s="262"/>
      <c r="AV625" s="262"/>
      <c r="AW625" s="265">
        <v>3.72</v>
      </c>
      <c r="AX625" s="164" t="s">
        <v>1469</v>
      </c>
      <c r="AY625" s="266">
        <v>0</v>
      </c>
      <c r="AZ625" s="266">
        <f t="shared" si="378"/>
        <v>0</v>
      </c>
      <c r="BA625" s="264">
        <f t="shared" si="379"/>
        <v>0</v>
      </c>
      <c r="BB625" s="262"/>
      <c r="BC625" s="262"/>
      <c r="BD625" s="265">
        <f ca="1">IFERROR(INDEX(Algorithms!$G:$G,MATCH($C625&amp;"_Therm Saved per Unit",Algorithms!$A:$A,0)),0)</f>
        <v>3.72</v>
      </c>
      <c r="BE625" s="164" t="str">
        <f ca="1">IFERROR(INDEX('v12 Revisions'!$P$29:$P$186, MATCH('Measure-Level Adj Gas'!$L625, 'v12 Revisions'!$D$29:$D$186,0)),"")</f>
        <v/>
      </c>
      <c r="BF625" s="266">
        <f t="shared" ca="1" si="380"/>
        <v>0</v>
      </c>
      <c r="BG625" s="264">
        <f t="shared" ca="1" si="381"/>
        <v>0</v>
      </c>
      <c r="BH625" s="262"/>
      <c r="BI625" s="262"/>
      <c r="BJ625" s="265">
        <f ca="1">IFERROR(INDEX(Algorithms!$G:$G,MATCH($C625&amp;"_Therm Saved per Unit",Algorithms!$A:$A,0)),0)</f>
        <v>3.72</v>
      </c>
      <c r="BK625" s="164"/>
      <c r="BL625" s="266">
        <f t="shared" ca="1" si="382"/>
        <v>0</v>
      </c>
      <c r="BM625" s="264">
        <f t="shared" ca="1" si="383"/>
        <v>0</v>
      </c>
      <c r="BN625" s="266">
        <f t="shared" si="384"/>
        <v>0</v>
      </c>
      <c r="BO625" s="266">
        <f t="shared" si="385"/>
        <v>0</v>
      </c>
      <c r="BP625" s="266">
        <f t="shared" ca="1" si="386"/>
        <v>0</v>
      </c>
      <c r="BQ625" s="266">
        <f t="shared" ca="1" si="387"/>
        <v>0</v>
      </c>
      <c r="BR625" s="268">
        <f t="shared" ca="1" si="388"/>
        <v>0</v>
      </c>
      <c r="BS625" s="262" t="s">
        <v>99</v>
      </c>
      <c r="BT625" s="277"/>
      <c r="BW625" s="266">
        <f t="shared" si="389"/>
        <v>0</v>
      </c>
      <c r="BX625" s="266">
        <f t="shared" si="390"/>
        <v>0</v>
      </c>
      <c r="BY625" s="266">
        <f t="shared" si="391"/>
        <v>0</v>
      </c>
      <c r="BZ625" s="266">
        <f t="shared" si="392"/>
        <v>0</v>
      </c>
      <c r="CA625" s="266">
        <f ca="1">N625*IFERROR(INDEX(Algorithms!$G:$G,MATCH($C625&amp;"_Therm Saved per Unit- MLA",Algorithms!$A:$A,0)),0)*X625</f>
        <v>0</v>
      </c>
      <c r="CB625" s="266">
        <f ca="1">O625*IFERROR(INDEX(Algorithms!$G:$G,MATCH($C625&amp;"_Therm Saved per Unit- MLA",Algorithms!$A:$A,0)),0)*Y625</f>
        <v>0</v>
      </c>
      <c r="CC625" s="266">
        <f ca="1">P625*IFERROR(INDEX(Algorithms!$G:$G,MATCH($C625&amp;"_Therm Saved per Unit- MLA",Algorithms!$A:$A,0)),0)*Z625</f>
        <v>0</v>
      </c>
      <c r="CD625" s="266">
        <f ca="1">Q625*IFERROR(INDEX(Algorithms!$G:$G,MATCH($C625&amp;"_Therm Saved per Unit- MLA",Algorithms!$A:$A,0)),0)*AA625</f>
        <v>0</v>
      </c>
      <c r="CE625" s="266">
        <f ca="1">IFERROR(INDEX(Algorithms!$G:$G,MATCH($C625&amp;"_Lifetime (years)",Algorithms!$A:$A,0)),0)</f>
        <v>15</v>
      </c>
      <c r="CF625" s="266">
        <f ca="1">IFERROR(INDEX(Algorithms!$G:$G,MATCH($C625&amp;"_Lifetime (years) - Remaining Years",Algorithms!$A:$A,0)),0)</f>
        <v>0</v>
      </c>
      <c r="CG625" s="266">
        <f t="shared" ca="1" si="393"/>
        <v>0</v>
      </c>
      <c r="CH625" s="266">
        <f t="shared" ca="1" si="394"/>
        <v>0</v>
      </c>
      <c r="CI625" s="266">
        <f t="shared" ca="1" si="395"/>
        <v>0</v>
      </c>
      <c r="CJ625" s="266">
        <f t="shared" ca="1" si="396"/>
        <v>0</v>
      </c>
      <c r="CK625" s="266">
        <f t="shared" si="397"/>
        <v>0</v>
      </c>
      <c r="CL625" s="266">
        <f t="shared" si="398"/>
        <v>0</v>
      </c>
      <c r="CM625" s="266">
        <f t="shared" ca="1" si="399"/>
        <v>0</v>
      </c>
      <c r="CN625" s="266">
        <f t="shared" ca="1" si="400"/>
        <v>0</v>
      </c>
      <c r="CO625" s="266">
        <f ca="1">N625*IFERROR(INDEX(Algorithms!$G:$G,MATCH($C625&amp;"_Therm Saved per Unit- MLA",Algorithms!$A:$A,0)),0)*X625</f>
        <v>0</v>
      </c>
      <c r="CP625" s="266">
        <f ca="1">O625*IFERROR(INDEX(Algorithms!$G:$G,MATCH($C625&amp;"_Therm Saved per Unit- MLA",Algorithms!$A:$A,0)),0)*Y625</f>
        <v>0</v>
      </c>
      <c r="CQ625" s="266">
        <f ca="1">P625*IFERROR(INDEX(Algorithms!$G:$G,MATCH($C625&amp;"_Therm Saved per Unit- MLA",Algorithms!$A:$A,0)),0)*Z625</f>
        <v>0</v>
      </c>
      <c r="CR625" s="266">
        <f ca="1">Q625*IFERROR(INDEX(Algorithms!$G:$G,MATCH($C625&amp;"_Therm Saved per Unit- MLA",Algorithms!$A:$A,0)),0)*AA625</f>
        <v>0</v>
      </c>
      <c r="CS625" s="266">
        <f ca="1">IFERROR(INDEX(Algorithms!$G:$G,MATCH($C625&amp;"_Lifetime (years)",Algorithms!$A:$A,0)),0)</f>
        <v>15</v>
      </c>
      <c r="CT625" s="266">
        <f ca="1">IFERROR(INDEX(Algorithms!$G:$G,MATCH($C625&amp;"_Lifetime (years) - Remaining Years",Algorithms!$A:$A,0)),0)</f>
        <v>0</v>
      </c>
      <c r="CU625" s="266">
        <f t="shared" ca="1" si="401"/>
        <v>0</v>
      </c>
      <c r="CV625" s="266">
        <f t="shared" ca="1" si="402"/>
        <v>0</v>
      </c>
      <c r="CW625" s="266">
        <f t="shared" ca="1" si="403"/>
        <v>0</v>
      </c>
      <c r="CX625" s="266">
        <f t="shared" ca="1" si="404"/>
        <v>0</v>
      </c>
    </row>
    <row r="626" spans="2:102" s="47" customFormat="1" ht="18" customHeight="1" x14ac:dyDescent="0.25">
      <c r="B626" t="str">
        <f t="shared" si="405"/>
        <v>NSG_Business_Small/Mid-Size Business_Rebates_High Speed Washer_Laundromat_SMB</v>
      </c>
      <c r="C626" s="47" t="str">
        <f t="shared" si="366"/>
        <v>High Speed Washer_Laundromat_SMB</v>
      </c>
      <c r="D626" s="270" t="s">
        <v>1787</v>
      </c>
      <c r="E626" s="270" t="s">
        <v>3</v>
      </c>
      <c r="F626" s="270" t="s">
        <v>1432</v>
      </c>
      <c r="G626" s="270" t="s">
        <v>1429</v>
      </c>
      <c r="H626" s="270" t="s">
        <v>725</v>
      </c>
      <c r="I626" s="270" t="s">
        <v>1356</v>
      </c>
      <c r="J626" s="270" t="s">
        <v>1220</v>
      </c>
      <c r="K626" s="263">
        <v>1</v>
      </c>
      <c r="L626" s="263" t="str">
        <f ca="1">IFERROR(INDEX(Algorithms!J:J,MATCH($C626&amp;"_Therm Saved per Unit",Algorithms!$A:$A,0)),"n/a")</f>
        <v>4.8.5</v>
      </c>
      <c r="M626" s="263" t="str">
        <f>IFERROR(INDEX('Measure Level Detail'!$N:$N,MATCH($B626,'Measure Level Detail'!$B:$B,0)),0)</f>
        <v>lb-capacity</v>
      </c>
      <c r="N626" s="271">
        <f>IFERROR(INDEX('Measure Level Detail'!$P:$P,MATCH($B626&amp;"_"&amp;N$3,'Measure Level Detail'!$C:$C,0)),0)</f>
        <v>0</v>
      </c>
      <c r="O626" s="271">
        <f>IFERROR(INDEX('Measure Level Detail'!$P:$P,MATCH($B626&amp;"_"&amp;O$3,'Measure Level Detail'!$C:$C,0)),0)</f>
        <v>0</v>
      </c>
      <c r="P626" s="271">
        <f>IFERROR(INDEX('Measure Level Detail'!$P:$P,MATCH($B626&amp;"_"&amp;P$3,'Measure Level Detail'!$C:$C,0)),0)</f>
        <v>0</v>
      </c>
      <c r="Q626" s="271">
        <f>IFERROR(INDEX('Measure Level Detail'!$P:$P,MATCH($B626&amp;"_"&amp;Q$3,'Measure Level Detail'!$C:$C,0)),0)</f>
        <v>0</v>
      </c>
      <c r="R626" s="263" t="str">
        <f ca="1">IFERROR(INDEX(Algorithms!K:K,MATCH($C626&amp;"_Therm Saved per Unit",Algorithms!$A:$A,0)),"n/a")</f>
        <v>CI-MSC-HSCW-V03-240101</v>
      </c>
      <c r="S626" s="262"/>
      <c r="T626" s="272">
        <v>2.7891864000000002</v>
      </c>
      <c r="U626" s="272">
        <v>2.7891864000000002</v>
      </c>
      <c r="V626" s="272">
        <v>2.7891864000000002</v>
      </c>
      <c r="W626" s="272">
        <v>2.7891864000000002</v>
      </c>
      <c r="X626" s="276">
        <v>0.93</v>
      </c>
      <c r="Y626" s="276">
        <v>0.93</v>
      </c>
      <c r="Z626" s="276">
        <v>0.93</v>
      </c>
      <c r="AA626" s="276">
        <v>0.93</v>
      </c>
      <c r="AB626" s="266">
        <f t="shared" si="367"/>
        <v>0</v>
      </c>
      <c r="AC626" s="266">
        <f t="shared" si="368"/>
        <v>0</v>
      </c>
      <c r="AD626" s="266">
        <f t="shared" si="369"/>
        <v>0</v>
      </c>
      <c r="AE626" s="266">
        <f t="shared" si="370"/>
        <v>0</v>
      </c>
      <c r="AF626" s="266">
        <f t="shared" si="371"/>
        <v>0</v>
      </c>
      <c r="AG626" s="274">
        <v>0.93</v>
      </c>
      <c r="AH626" s="274">
        <v>0.93</v>
      </c>
      <c r="AI626" s="274">
        <v>0.93</v>
      </c>
      <c r="AJ626" s="274">
        <v>0.93</v>
      </c>
      <c r="AK626" s="274">
        <f t="shared" si="372"/>
        <v>0.93</v>
      </c>
      <c r="AL626" s="274">
        <f t="shared" si="373"/>
        <v>0.93</v>
      </c>
      <c r="AM626" s="274">
        <f t="shared" si="374"/>
        <v>0.93</v>
      </c>
      <c r="AN626" s="274">
        <f t="shared" si="375"/>
        <v>0.93</v>
      </c>
      <c r="AO626" s="262"/>
      <c r="AP626" s="262"/>
      <c r="AQ626" s="267">
        <v>2.7891864000000002</v>
      </c>
      <c r="AR626" s="262"/>
      <c r="AS626" s="266">
        <f t="shared" si="376"/>
        <v>0</v>
      </c>
      <c r="AT626" s="264">
        <f t="shared" si="377"/>
        <v>0</v>
      </c>
      <c r="AU626" s="262"/>
      <c r="AV626" s="262"/>
      <c r="AW626" s="265">
        <v>2.7891864000000002</v>
      </c>
      <c r="AX626" s="164" t="s">
        <v>1469</v>
      </c>
      <c r="AY626" s="266">
        <v>0</v>
      </c>
      <c r="AZ626" s="266">
        <f t="shared" si="378"/>
        <v>0</v>
      </c>
      <c r="BA626" s="264">
        <f t="shared" si="379"/>
        <v>0</v>
      </c>
      <c r="BB626" s="262"/>
      <c r="BC626" s="262"/>
      <c r="BD626" s="265">
        <f ca="1">IFERROR(INDEX(Algorithms!$G:$G,MATCH($C626&amp;"_Therm Saved per Unit",Algorithms!$A:$A,0)),0)</f>
        <v>2.7891864000000002</v>
      </c>
      <c r="BE626" s="164" t="str">
        <f ca="1">IFERROR(INDEX('v12 Revisions'!$P$29:$P$186, MATCH('Measure-Level Adj Gas'!$L626, 'v12 Revisions'!$D$29:$D$186,0)),"")</f>
        <v>n/a - costs only.</v>
      </c>
      <c r="BF626" s="266">
        <f t="shared" ca="1" si="380"/>
        <v>0</v>
      </c>
      <c r="BG626" s="264">
        <f t="shared" ca="1" si="381"/>
        <v>0</v>
      </c>
      <c r="BH626" s="262"/>
      <c r="BI626" s="262"/>
      <c r="BJ626" s="265">
        <f ca="1">IFERROR(INDEX(Algorithms!$G:$G,MATCH($C626&amp;"_Therm Saved per Unit",Algorithms!$A:$A,0)),0)</f>
        <v>2.7891864000000002</v>
      </c>
      <c r="BK626" s="164"/>
      <c r="BL626" s="266">
        <f t="shared" ca="1" si="382"/>
        <v>0</v>
      </c>
      <c r="BM626" s="264">
        <f t="shared" ca="1" si="383"/>
        <v>0</v>
      </c>
      <c r="BN626" s="266">
        <f t="shared" si="384"/>
        <v>0</v>
      </c>
      <c r="BO626" s="266">
        <f t="shared" si="385"/>
        <v>0</v>
      </c>
      <c r="BP626" s="266">
        <f t="shared" ca="1" si="386"/>
        <v>0</v>
      </c>
      <c r="BQ626" s="266">
        <f t="shared" ca="1" si="387"/>
        <v>0</v>
      </c>
      <c r="BR626" s="268">
        <f t="shared" ca="1" si="388"/>
        <v>0</v>
      </c>
      <c r="BS626" s="262" t="s">
        <v>99</v>
      </c>
      <c r="BT626" s="277"/>
      <c r="BW626" s="266">
        <f t="shared" si="389"/>
        <v>0</v>
      </c>
      <c r="BX626" s="266">
        <f t="shared" si="390"/>
        <v>0</v>
      </c>
      <c r="BY626" s="266">
        <f t="shared" si="391"/>
        <v>0</v>
      </c>
      <c r="BZ626" s="266">
        <f t="shared" si="392"/>
        <v>0</v>
      </c>
      <c r="CA626" s="266">
        <f ca="1">N626*IFERROR(INDEX(Algorithms!$G:$G,MATCH($C626&amp;"_Therm Saved per Unit- MLA",Algorithms!$A:$A,0)),0)*X626</f>
        <v>0</v>
      </c>
      <c r="CB626" s="266">
        <f ca="1">O626*IFERROR(INDEX(Algorithms!$G:$G,MATCH($C626&amp;"_Therm Saved per Unit- MLA",Algorithms!$A:$A,0)),0)*Y626</f>
        <v>0</v>
      </c>
      <c r="CC626" s="266">
        <f ca="1">P626*IFERROR(INDEX(Algorithms!$G:$G,MATCH($C626&amp;"_Therm Saved per Unit- MLA",Algorithms!$A:$A,0)),0)*Z626</f>
        <v>0</v>
      </c>
      <c r="CD626" s="266">
        <f ca="1">Q626*IFERROR(INDEX(Algorithms!$G:$G,MATCH($C626&amp;"_Therm Saved per Unit- MLA",Algorithms!$A:$A,0)),0)*AA626</f>
        <v>0</v>
      </c>
      <c r="CE626" s="266">
        <f ca="1">IFERROR(INDEX(Algorithms!$G:$G,MATCH($C626&amp;"_Lifetime (years)",Algorithms!$A:$A,0)),0)</f>
        <v>7</v>
      </c>
      <c r="CF626" s="266">
        <f ca="1">IFERROR(INDEX(Algorithms!$G:$G,MATCH($C626&amp;"_Lifetime (years) - Remaining Years",Algorithms!$A:$A,0)),0)</f>
        <v>0</v>
      </c>
      <c r="CG626" s="266">
        <f t="shared" ca="1" si="393"/>
        <v>0</v>
      </c>
      <c r="CH626" s="266">
        <f t="shared" ca="1" si="394"/>
        <v>0</v>
      </c>
      <c r="CI626" s="266">
        <f t="shared" ca="1" si="395"/>
        <v>0</v>
      </c>
      <c r="CJ626" s="266">
        <f t="shared" ca="1" si="396"/>
        <v>0</v>
      </c>
      <c r="CK626" s="266">
        <f t="shared" si="397"/>
        <v>0</v>
      </c>
      <c r="CL626" s="266">
        <f t="shared" si="398"/>
        <v>0</v>
      </c>
      <c r="CM626" s="266">
        <f t="shared" ca="1" si="399"/>
        <v>0</v>
      </c>
      <c r="CN626" s="266">
        <f t="shared" ca="1" si="400"/>
        <v>0</v>
      </c>
      <c r="CO626" s="266">
        <f ca="1">N626*IFERROR(INDEX(Algorithms!$G:$G,MATCH($C626&amp;"_Therm Saved per Unit- MLA",Algorithms!$A:$A,0)),0)*X626</f>
        <v>0</v>
      </c>
      <c r="CP626" s="266">
        <f ca="1">O626*IFERROR(INDEX(Algorithms!$G:$G,MATCH($C626&amp;"_Therm Saved per Unit- MLA",Algorithms!$A:$A,0)),0)*Y626</f>
        <v>0</v>
      </c>
      <c r="CQ626" s="266">
        <f ca="1">P626*IFERROR(INDEX(Algorithms!$G:$G,MATCH($C626&amp;"_Therm Saved per Unit- MLA",Algorithms!$A:$A,0)),0)*Z626</f>
        <v>0</v>
      </c>
      <c r="CR626" s="266">
        <f ca="1">Q626*IFERROR(INDEX(Algorithms!$G:$G,MATCH($C626&amp;"_Therm Saved per Unit- MLA",Algorithms!$A:$A,0)),0)*AA626</f>
        <v>0</v>
      </c>
      <c r="CS626" s="266">
        <f ca="1">IFERROR(INDEX(Algorithms!$G:$G,MATCH($C626&amp;"_Lifetime (years)",Algorithms!$A:$A,0)),0)</f>
        <v>7</v>
      </c>
      <c r="CT626" s="266">
        <f ca="1">IFERROR(INDEX(Algorithms!$G:$G,MATCH($C626&amp;"_Lifetime (years) - Remaining Years",Algorithms!$A:$A,0)),0)</f>
        <v>0</v>
      </c>
      <c r="CU626" s="266">
        <f t="shared" ca="1" si="401"/>
        <v>0</v>
      </c>
      <c r="CV626" s="266">
        <f t="shared" ca="1" si="402"/>
        <v>0</v>
      </c>
      <c r="CW626" s="266">
        <f t="shared" ca="1" si="403"/>
        <v>0</v>
      </c>
      <c r="CX626" s="266">
        <f t="shared" ca="1" si="404"/>
        <v>0</v>
      </c>
    </row>
    <row r="627" spans="2:102" s="47" customFormat="1" ht="18" customHeight="1" x14ac:dyDescent="0.25">
      <c r="B627" t="str">
        <f t="shared" si="405"/>
        <v>NSG_Business_Small/Mid-Size Business_Rebates_Small Commercial Advanced Thermostat_0_CI</v>
      </c>
      <c r="C627" s="47" t="str">
        <f t="shared" si="366"/>
        <v>Small Commercial Advanced Thermostat_0_CI</v>
      </c>
      <c r="D627" s="270" t="s">
        <v>1787</v>
      </c>
      <c r="E627" s="270" t="s">
        <v>3</v>
      </c>
      <c r="F627" s="270" t="s">
        <v>1432</v>
      </c>
      <c r="G627" s="270" t="s">
        <v>1429</v>
      </c>
      <c r="H627" s="270" t="s">
        <v>1302</v>
      </c>
      <c r="I627" s="270">
        <v>0</v>
      </c>
      <c r="J627" s="270" t="s">
        <v>1159</v>
      </c>
      <c r="K627" s="263">
        <v>1</v>
      </c>
      <c r="L627" s="263" t="str">
        <f ca="1">IFERROR(INDEX(Algorithms!J:J,MATCH($C627&amp;"_Therm Saved per Unit",Algorithms!$A:$A,0)),"n/a")</f>
        <v>4.4.48</v>
      </c>
      <c r="M627" s="263" t="str">
        <f>IFERROR(INDEX('Measure Level Detail'!$N:$N,MATCH($B627,'Measure Level Detail'!$B:$B,0)),0)</f>
        <v>each</v>
      </c>
      <c r="N627" s="271">
        <f>IFERROR(INDEX('Measure Level Detail'!$P:$P,MATCH($B627&amp;"_"&amp;N$3,'Measure Level Detail'!$C:$C,0)),0)</f>
        <v>0</v>
      </c>
      <c r="O627" s="271">
        <f>IFERROR(INDEX('Measure Level Detail'!$P:$P,MATCH($B627&amp;"_"&amp;O$3,'Measure Level Detail'!$C:$C,0)),0)</f>
        <v>0</v>
      </c>
      <c r="P627" s="271">
        <f>IFERROR(INDEX('Measure Level Detail'!$P:$P,MATCH($B627&amp;"_"&amp;P$3,'Measure Level Detail'!$C:$C,0)),0)</f>
        <v>0</v>
      </c>
      <c r="Q627" s="271">
        <f>IFERROR(INDEX('Measure Level Detail'!$P:$P,MATCH($B627&amp;"_"&amp;Q$3,'Measure Level Detail'!$C:$C,0)),0)</f>
        <v>0</v>
      </c>
      <c r="R627" s="263" t="str">
        <f ca="1">IFERROR(INDEX(Algorithms!K:K,MATCH($C627&amp;"_Therm Saved per Unit",Algorithms!$A:$A,0)),"n/a")</f>
        <v>CI-HVC-THST-V06-240101</v>
      </c>
      <c r="S627" s="262"/>
      <c r="T627" s="272">
        <v>196.26391399999997</v>
      </c>
      <c r="U627" s="272">
        <v>196.26391399999997</v>
      </c>
      <c r="V627" s="272">
        <v>196.26391399999997</v>
      </c>
      <c r="W627" s="272">
        <v>196.26391399999997</v>
      </c>
      <c r="X627" s="276">
        <v>0.97</v>
      </c>
      <c r="Y627" s="276">
        <v>0.97</v>
      </c>
      <c r="Z627" s="276">
        <v>0.97</v>
      </c>
      <c r="AA627" s="276">
        <v>0.97</v>
      </c>
      <c r="AB627" s="266">
        <f t="shared" si="367"/>
        <v>0</v>
      </c>
      <c r="AC627" s="266">
        <f t="shared" si="368"/>
        <v>0</v>
      </c>
      <c r="AD627" s="266">
        <f t="shared" si="369"/>
        <v>0</v>
      </c>
      <c r="AE627" s="266">
        <f t="shared" si="370"/>
        <v>0</v>
      </c>
      <c r="AF627" s="266">
        <f t="shared" si="371"/>
        <v>0</v>
      </c>
      <c r="AG627" s="274">
        <v>0.97</v>
      </c>
      <c r="AH627" s="274">
        <v>0.97</v>
      </c>
      <c r="AI627" s="274">
        <v>0.97</v>
      </c>
      <c r="AJ627" s="274">
        <v>0.97</v>
      </c>
      <c r="AK627" s="274">
        <f t="shared" si="372"/>
        <v>0.97</v>
      </c>
      <c r="AL627" s="274">
        <f t="shared" si="373"/>
        <v>0.97</v>
      </c>
      <c r="AM627" s="274">
        <f t="shared" si="374"/>
        <v>0.97</v>
      </c>
      <c r="AN627" s="274">
        <f t="shared" si="375"/>
        <v>0.97</v>
      </c>
      <c r="AO627" s="262"/>
      <c r="AP627" s="262"/>
      <c r="AQ627" s="267">
        <v>157.01113119999999</v>
      </c>
      <c r="AR627" s="262"/>
      <c r="AS627" s="266">
        <f t="shared" si="376"/>
        <v>0</v>
      </c>
      <c r="AT627" s="264">
        <f t="shared" si="377"/>
        <v>0</v>
      </c>
      <c r="AU627" s="262"/>
      <c r="AV627" s="262"/>
      <c r="AW627" s="265">
        <v>157.01113119999999</v>
      </c>
      <c r="AX627" s="164" t="s">
        <v>1469</v>
      </c>
      <c r="AY627" s="266">
        <v>0</v>
      </c>
      <c r="AZ627" s="266">
        <f t="shared" si="378"/>
        <v>0</v>
      </c>
      <c r="BA627" s="264">
        <f t="shared" si="379"/>
        <v>0</v>
      </c>
      <c r="BB627" s="262"/>
      <c r="BC627" s="262"/>
      <c r="BD627" s="265">
        <f ca="1">IFERROR(INDEX(Algorithms!$G:$G,MATCH($C627&amp;"_Therm Saved per Unit",Algorithms!$A:$A,0)),0)</f>
        <v>157.01113119999999</v>
      </c>
      <c r="BE627" s="164" t="str">
        <f ca="1">IFERROR(INDEX('v12 Revisions'!$P$29:$P$186, MATCH('Measure-Level Adj Gas'!$L627, 'v12 Revisions'!$D$29:$D$186,0)),"")</f>
        <v>n/a - only affects electric energy savings algorithm.</v>
      </c>
      <c r="BF627" s="266">
        <f t="shared" ca="1" si="380"/>
        <v>0</v>
      </c>
      <c r="BG627" s="264">
        <f t="shared" ca="1" si="381"/>
        <v>0</v>
      </c>
      <c r="BH627" s="262"/>
      <c r="BI627" s="262"/>
      <c r="BJ627" s="265">
        <f ca="1">IFERROR(INDEX(Algorithms!$G:$G,MATCH($C627&amp;"_Therm Saved per Unit",Algorithms!$A:$A,0)),0)</f>
        <v>157.01113119999999</v>
      </c>
      <c r="BK627" s="164"/>
      <c r="BL627" s="266">
        <f t="shared" ca="1" si="382"/>
        <v>0</v>
      </c>
      <c r="BM627" s="264">
        <f t="shared" ca="1" si="383"/>
        <v>0</v>
      </c>
      <c r="BN627" s="266">
        <f t="shared" si="384"/>
        <v>0</v>
      </c>
      <c r="BO627" s="266">
        <f t="shared" si="385"/>
        <v>0</v>
      </c>
      <c r="BP627" s="266">
        <f t="shared" ca="1" si="386"/>
        <v>0</v>
      </c>
      <c r="BQ627" s="266">
        <f t="shared" ca="1" si="387"/>
        <v>0</v>
      </c>
      <c r="BR627" s="268">
        <f t="shared" ca="1" si="388"/>
        <v>0</v>
      </c>
      <c r="BS627" s="262" t="s">
        <v>99</v>
      </c>
      <c r="BT627" s="277"/>
      <c r="BW627" s="266">
        <f t="shared" si="389"/>
        <v>0</v>
      </c>
      <c r="BX627" s="266">
        <f t="shared" si="390"/>
        <v>0</v>
      </c>
      <c r="BY627" s="266">
        <f t="shared" si="391"/>
        <v>0</v>
      </c>
      <c r="BZ627" s="266">
        <f t="shared" si="392"/>
        <v>0</v>
      </c>
      <c r="CA627" s="266">
        <f ca="1">N627*IFERROR(INDEX(Algorithms!$G:$G,MATCH($C627&amp;"_Therm Saved per Unit- MLA",Algorithms!$A:$A,0)),0)*X627</f>
        <v>0</v>
      </c>
      <c r="CB627" s="266">
        <f ca="1">O627*IFERROR(INDEX(Algorithms!$G:$G,MATCH($C627&amp;"_Therm Saved per Unit- MLA",Algorithms!$A:$A,0)),0)*Y627</f>
        <v>0</v>
      </c>
      <c r="CC627" s="266">
        <f ca="1">P627*IFERROR(INDEX(Algorithms!$G:$G,MATCH($C627&amp;"_Therm Saved per Unit- MLA",Algorithms!$A:$A,0)),0)*Z627</f>
        <v>0</v>
      </c>
      <c r="CD627" s="266">
        <f ca="1">Q627*IFERROR(INDEX(Algorithms!$G:$G,MATCH($C627&amp;"_Therm Saved per Unit- MLA",Algorithms!$A:$A,0)),0)*AA627</f>
        <v>0</v>
      </c>
      <c r="CE627" s="266">
        <f ca="1">IFERROR(INDEX(Algorithms!$G:$G,MATCH($C627&amp;"_Lifetime (years)",Algorithms!$A:$A,0)),0)</f>
        <v>11</v>
      </c>
      <c r="CF627" s="266">
        <f ca="1">IFERROR(INDEX(Algorithms!$G:$G,MATCH($C627&amp;"_Lifetime (years) - Remaining Years",Algorithms!$A:$A,0)),0)</f>
        <v>0</v>
      </c>
      <c r="CG627" s="266">
        <f t="shared" ca="1" si="393"/>
        <v>0</v>
      </c>
      <c r="CH627" s="266">
        <f t="shared" ca="1" si="394"/>
        <v>0</v>
      </c>
      <c r="CI627" s="266">
        <f t="shared" ca="1" si="395"/>
        <v>0</v>
      </c>
      <c r="CJ627" s="266">
        <f t="shared" ca="1" si="396"/>
        <v>0</v>
      </c>
      <c r="CK627" s="266">
        <f t="shared" si="397"/>
        <v>0</v>
      </c>
      <c r="CL627" s="266">
        <f t="shared" si="398"/>
        <v>0</v>
      </c>
      <c r="CM627" s="266">
        <f t="shared" ca="1" si="399"/>
        <v>0</v>
      </c>
      <c r="CN627" s="266">
        <f t="shared" ca="1" si="400"/>
        <v>0</v>
      </c>
      <c r="CO627" s="266">
        <f ca="1">N627*IFERROR(INDEX(Algorithms!$G:$G,MATCH($C627&amp;"_Therm Saved per Unit- MLA",Algorithms!$A:$A,0)),0)*X627</f>
        <v>0</v>
      </c>
      <c r="CP627" s="266">
        <f ca="1">O627*IFERROR(INDEX(Algorithms!$G:$G,MATCH($C627&amp;"_Therm Saved per Unit- MLA",Algorithms!$A:$A,0)),0)*Y627</f>
        <v>0</v>
      </c>
      <c r="CQ627" s="266">
        <f ca="1">P627*IFERROR(INDEX(Algorithms!$G:$G,MATCH($C627&amp;"_Therm Saved per Unit- MLA",Algorithms!$A:$A,0)),0)*Z627</f>
        <v>0</v>
      </c>
      <c r="CR627" s="266">
        <f ca="1">Q627*IFERROR(INDEX(Algorithms!$G:$G,MATCH($C627&amp;"_Therm Saved per Unit- MLA",Algorithms!$A:$A,0)),0)*AA627</f>
        <v>0</v>
      </c>
      <c r="CS627" s="266">
        <f ca="1">IFERROR(INDEX(Algorithms!$G:$G,MATCH($C627&amp;"_Lifetime (years)",Algorithms!$A:$A,0)),0)</f>
        <v>11</v>
      </c>
      <c r="CT627" s="266">
        <f ca="1">IFERROR(INDEX(Algorithms!$G:$G,MATCH($C627&amp;"_Lifetime (years) - Remaining Years",Algorithms!$A:$A,0)),0)</f>
        <v>0</v>
      </c>
      <c r="CU627" s="266">
        <f t="shared" ca="1" si="401"/>
        <v>0</v>
      </c>
      <c r="CV627" s="266">
        <f t="shared" ca="1" si="402"/>
        <v>0</v>
      </c>
      <c r="CW627" s="266">
        <f t="shared" ca="1" si="403"/>
        <v>0</v>
      </c>
      <c r="CX627" s="266">
        <f t="shared" ca="1" si="404"/>
        <v>0</v>
      </c>
    </row>
    <row r="628" spans="2:102" s="47" customFormat="1" ht="18" customHeight="1" x14ac:dyDescent="0.25">
      <c r="B628" t="str">
        <f t="shared" si="405"/>
        <v>NSG_Business_Small/Mid-Size Business_Rebates_Demand Controlled Ventilation_0_MF/CI/SMB</v>
      </c>
      <c r="C628" s="47" t="str">
        <f t="shared" si="366"/>
        <v>Demand Controlled Ventilation_0_MF/CI/SMB</v>
      </c>
      <c r="D628" s="270" t="s">
        <v>1787</v>
      </c>
      <c r="E628" s="270" t="s">
        <v>3</v>
      </c>
      <c r="F628" s="270" t="s">
        <v>1432</v>
      </c>
      <c r="G628" s="270" t="s">
        <v>1429</v>
      </c>
      <c r="H628" s="270" t="s">
        <v>14</v>
      </c>
      <c r="I628" s="270">
        <v>0</v>
      </c>
      <c r="J628" s="270" t="s">
        <v>662</v>
      </c>
      <c r="K628" s="263">
        <v>1</v>
      </c>
      <c r="L628" s="263" t="str">
        <f ca="1">IFERROR(INDEX(Algorithms!J:J,MATCH($C628&amp;"_Therm Saved per Unit",Algorithms!$A:$A,0)),"n/a")</f>
        <v>4.4.19</v>
      </c>
      <c r="M628" s="263" t="str">
        <f>IFERROR(INDEX('Measure Level Detail'!$N:$N,MATCH($B628,'Measure Level Detail'!$B:$B,0)),0)</f>
        <v>sqft</v>
      </c>
      <c r="N628" s="271">
        <f>IFERROR(INDEX('Measure Level Detail'!$P:$P,MATCH($B628&amp;"_"&amp;N$3,'Measure Level Detail'!$C:$C,0)),0)</f>
        <v>0</v>
      </c>
      <c r="O628" s="271">
        <f>IFERROR(INDEX('Measure Level Detail'!$P:$P,MATCH($B628&amp;"_"&amp;O$3,'Measure Level Detail'!$C:$C,0)),0)</f>
        <v>0</v>
      </c>
      <c r="P628" s="271">
        <f>IFERROR(INDEX('Measure Level Detail'!$P:$P,MATCH($B628&amp;"_"&amp;P$3,'Measure Level Detail'!$C:$C,0)),0)</f>
        <v>0</v>
      </c>
      <c r="Q628" s="271">
        <f>IFERROR(INDEX('Measure Level Detail'!$P:$P,MATCH($B628&amp;"_"&amp;Q$3,'Measure Level Detail'!$C:$C,0)),0)</f>
        <v>0</v>
      </c>
      <c r="R628" s="263" t="str">
        <f ca="1">IFERROR(INDEX(Algorithms!K:K,MATCH($C628&amp;"_Therm Saved per Unit",Algorithms!$A:$A,0)),"n/a")</f>
        <v>CI-HVC-DCV-V07-240101</v>
      </c>
      <c r="S628" s="262"/>
      <c r="T628" s="272">
        <v>6.8000000000000005E-2</v>
      </c>
      <c r="U628" s="272">
        <v>6.8000000000000005E-2</v>
      </c>
      <c r="V628" s="272">
        <v>6.8000000000000005E-2</v>
      </c>
      <c r="W628" s="272">
        <v>6.8000000000000005E-2</v>
      </c>
      <c r="X628" s="276">
        <v>0.93</v>
      </c>
      <c r="Y628" s="276">
        <v>0.93</v>
      </c>
      <c r="Z628" s="276">
        <v>0.93</v>
      </c>
      <c r="AA628" s="276">
        <v>0.93</v>
      </c>
      <c r="AB628" s="266">
        <f t="shared" si="367"/>
        <v>0</v>
      </c>
      <c r="AC628" s="266">
        <f t="shared" si="368"/>
        <v>0</v>
      </c>
      <c r="AD628" s="266">
        <f t="shared" si="369"/>
        <v>0</v>
      </c>
      <c r="AE628" s="266">
        <f t="shared" si="370"/>
        <v>0</v>
      </c>
      <c r="AF628" s="266">
        <f t="shared" si="371"/>
        <v>0</v>
      </c>
      <c r="AG628" s="274">
        <v>0.93</v>
      </c>
      <c r="AH628" s="274">
        <v>0.93</v>
      </c>
      <c r="AI628" s="274">
        <v>0.93</v>
      </c>
      <c r="AJ628" s="274">
        <v>0.93</v>
      </c>
      <c r="AK628" s="274">
        <f t="shared" si="372"/>
        <v>0.93</v>
      </c>
      <c r="AL628" s="274">
        <f t="shared" si="373"/>
        <v>0.93</v>
      </c>
      <c r="AM628" s="274">
        <f t="shared" si="374"/>
        <v>0.93</v>
      </c>
      <c r="AN628" s="274">
        <f t="shared" si="375"/>
        <v>0.93</v>
      </c>
      <c r="AO628" s="262"/>
      <c r="AP628" s="262"/>
      <c r="AQ628" s="267">
        <v>6.8000000000000005E-2</v>
      </c>
      <c r="AR628" s="262"/>
      <c r="AS628" s="266">
        <f t="shared" si="376"/>
        <v>0</v>
      </c>
      <c r="AT628" s="264">
        <f t="shared" si="377"/>
        <v>0</v>
      </c>
      <c r="AU628" s="262"/>
      <c r="AV628" s="262"/>
      <c r="AW628" s="265">
        <v>6.8000000000000005E-2</v>
      </c>
      <c r="AX628" s="164" t="s">
        <v>1469</v>
      </c>
      <c r="AY628" s="266">
        <v>0</v>
      </c>
      <c r="AZ628" s="266">
        <f t="shared" si="378"/>
        <v>0</v>
      </c>
      <c r="BA628" s="264">
        <f t="shared" si="379"/>
        <v>0</v>
      </c>
      <c r="BB628" s="262"/>
      <c r="BC628" s="262"/>
      <c r="BD628" s="265">
        <f ca="1">IFERROR(INDEX(Algorithms!$G:$G,MATCH($C628&amp;"_Therm Saved per Unit",Algorithms!$A:$A,0)),0)</f>
        <v>6.8000000000000005E-2</v>
      </c>
      <c r="BE628" s="164" t="str">
        <f ca="1">IFERROR(INDEX('v12 Revisions'!$P$29:$P$186, MATCH('Measure-Level Adj Gas'!$L628, 'v12 Revisions'!$D$29:$D$186,0)),"")</f>
        <v>n/a - language and costs.</v>
      </c>
      <c r="BF628" s="266">
        <f t="shared" ca="1" si="380"/>
        <v>0</v>
      </c>
      <c r="BG628" s="264">
        <f t="shared" ca="1" si="381"/>
        <v>0</v>
      </c>
      <c r="BH628" s="262"/>
      <c r="BI628" s="262"/>
      <c r="BJ628" s="265">
        <f ca="1">IFERROR(INDEX(Algorithms!$G:$G,MATCH($C628&amp;"_Therm Saved per Unit",Algorithms!$A:$A,0)),0)</f>
        <v>6.8000000000000005E-2</v>
      </c>
      <c r="BK628" s="164"/>
      <c r="BL628" s="266">
        <f t="shared" ca="1" si="382"/>
        <v>0</v>
      </c>
      <c r="BM628" s="264">
        <f t="shared" ca="1" si="383"/>
        <v>0</v>
      </c>
      <c r="BN628" s="266">
        <f t="shared" si="384"/>
        <v>0</v>
      </c>
      <c r="BO628" s="266">
        <f t="shared" si="385"/>
        <v>0</v>
      </c>
      <c r="BP628" s="266">
        <f t="shared" ca="1" si="386"/>
        <v>0</v>
      </c>
      <c r="BQ628" s="266">
        <f t="shared" ca="1" si="387"/>
        <v>0</v>
      </c>
      <c r="BR628" s="268">
        <f t="shared" ca="1" si="388"/>
        <v>0</v>
      </c>
      <c r="BS628" s="262" t="s">
        <v>99</v>
      </c>
      <c r="BT628" s="277"/>
      <c r="BW628" s="266">
        <f t="shared" si="389"/>
        <v>0</v>
      </c>
      <c r="BX628" s="266">
        <f t="shared" si="390"/>
        <v>0</v>
      </c>
      <c r="BY628" s="266">
        <f t="shared" si="391"/>
        <v>0</v>
      </c>
      <c r="BZ628" s="266">
        <f t="shared" si="392"/>
        <v>0</v>
      </c>
      <c r="CA628" s="266">
        <f ca="1">N628*IFERROR(INDEX(Algorithms!$G:$G,MATCH($C628&amp;"_Therm Saved per Unit- MLA",Algorithms!$A:$A,0)),0)*X628</f>
        <v>0</v>
      </c>
      <c r="CB628" s="266">
        <f ca="1">O628*IFERROR(INDEX(Algorithms!$G:$G,MATCH($C628&amp;"_Therm Saved per Unit- MLA",Algorithms!$A:$A,0)),0)*Y628</f>
        <v>0</v>
      </c>
      <c r="CC628" s="266">
        <f ca="1">P628*IFERROR(INDEX(Algorithms!$G:$G,MATCH($C628&amp;"_Therm Saved per Unit- MLA",Algorithms!$A:$A,0)),0)*Z628</f>
        <v>0</v>
      </c>
      <c r="CD628" s="266">
        <f ca="1">Q628*IFERROR(INDEX(Algorithms!$G:$G,MATCH($C628&amp;"_Therm Saved per Unit- MLA",Algorithms!$A:$A,0)),0)*AA628</f>
        <v>0</v>
      </c>
      <c r="CE628" s="266">
        <f ca="1">IFERROR(INDEX(Algorithms!$G:$G,MATCH($C628&amp;"_Lifetime (years)",Algorithms!$A:$A,0)),0)</f>
        <v>10</v>
      </c>
      <c r="CF628" s="266">
        <f ca="1">IFERROR(INDEX(Algorithms!$G:$G,MATCH($C628&amp;"_Lifetime (years) - Remaining Years",Algorithms!$A:$A,0)),0)</f>
        <v>0</v>
      </c>
      <c r="CG628" s="266">
        <f t="shared" ca="1" si="393"/>
        <v>0</v>
      </c>
      <c r="CH628" s="266">
        <f t="shared" ca="1" si="394"/>
        <v>0</v>
      </c>
      <c r="CI628" s="266">
        <f t="shared" ca="1" si="395"/>
        <v>0</v>
      </c>
      <c r="CJ628" s="266">
        <f t="shared" ca="1" si="396"/>
        <v>0</v>
      </c>
      <c r="CK628" s="266">
        <f t="shared" si="397"/>
        <v>0</v>
      </c>
      <c r="CL628" s="266">
        <f t="shared" si="398"/>
        <v>0</v>
      </c>
      <c r="CM628" s="266">
        <f t="shared" ca="1" si="399"/>
        <v>0</v>
      </c>
      <c r="CN628" s="266">
        <f t="shared" ca="1" si="400"/>
        <v>0</v>
      </c>
      <c r="CO628" s="266">
        <f ca="1">N628*IFERROR(INDEX(Algorithms!$G:$G,MATCH($C628&amp;"_Therm Saved per Unit- MLA",Algorithms!$A:$A,0)),0)*X628</f>
        <v>0</v>
      </c>
      <c r="CP628" s="266">
        <f ca="1">O628*IFERROR(INDEX(Algorithms!$G:$G,MATCH($C628&amp;"_Therm Saved per Unit- MLA",Algorithms!$A:$A,0)),0)*Y628</f>
        <v>0</v>
      </c>
      <c r="CQ628" s="266">
        <f ca="1">P628*IFERROR(INDEX(Algorithms!$G:$G,MATCH($C628&amp;"_Therm Saved per Unit- MLA",Algorithms!$A:$A,0)),0)*Z628</f>
        <v>0</v>
      </c>
      <c r="CR628" s="266">
        <f ca="1">Q628*IFERROR(INDEX(Algorithms!$G:$G,MATCH($C628&amp;"_Therm Saved per Unit- MLA",Algorithms!$A:$A,0)),0)*AA628</f>
        <v>0</v>
      </c>
      <c r="CS628" s="266">
        <f ca="1">IFERROR(INDEX(Algorithms!$G:$G,MATCH($C628&amp;"_Lifetime (years)",Algorithms!$A:$A,0)),0)</f>
        <v>10</v>
      </c>
      <c r="CT628" s="266">
        <f ca="1">IFERROR(INDEX(Algorithms!$G:$G,MATCH($C628&amp;"_Lifetime (years) - Remaining Years",Algorithms!$A:$A,0)),0)</f>
        <v>0</v>
      </c>
      <c r="CU628" s="266">
        <f t="shared" ca="1" si="401"/>
        <v>0</v>
      </c>
      <c r="CV628" s="266">
        <f t="shared" ca="1" si="402"/>
        <v>0</v>
      </c>
      <c r="CW628" s="266">
        <f t="shared" ca="1" si="403"/>
        <v>0</v>
      </c>
      <c r="CX628" s="266">
        <f t="shared" ca="1" si="404"/>
        <v>0</v>
      </c>
    </row>
    <row r="629" spans="2:102" s="47" customFormat="1" ht="18" customHeight="1" x14ac:dyDescent="0.25">
      <c r="B629" t="str">
        <f t="shared" si="405"/>
        <v>NSG_Business_Small/Mid-Size Business_Rebates_Condensate Tank Insulation_0_MF/CI/SMB</v>
      </c>
      <c r="C629" s="47" t="str">
        <f t="shared" si="366"/>
        <v>Condensate Tank Insulation_0_MF/CI/SMB</v>
      </c>
      <c r="D629" s="270" t="s">
        <v>1787</v>
      </c>
      <c r="E629" s="270" t="s">
        <v>3</v>
      </c>
      <c r="F629" s="270" t="s">
        <v>1432</v>
      </c>
      <c r="G629" s="270" t="s">
        <v>1429</v>
      </c>
      <c r="H629" s="270" t="s">
        <v>806</v>
      </c>
      <c r="I629" s="270">
        <v>0</v>
      </c>
      <c r="J629" s="270" t="s">
        <v>662</v>
      </c>
      <c r="K629" s="263">
        <v>1</v>
      </c>
      <c r="L629" s="263" t="str">
        <f ca="1">IFERROR(INDEX(Algorithms!J:J,MATCH($C629&amp;"_Therm Saved per Unit",Algorithms!$A:$A,0)),"n/a")</f>
        <v>4.3.12</v>
      </c>
      <c r="M629" s="263" t="str">
        <f>IFERROR(INDEX('Measure Level Detail'!$N:$N,MATCH($B629,'Measure Level Detail'!$B:$B,0)),0)</f>
        <v>sqft</v>
      </c>
      <c r="N629" s="271">
        <f>IFERROR(INDEX('Measure Level Detail'!$P:$P,MATCH($B629&amp;"_"&amp;N$3,'Measure Level Detail'!$C:$C,0)),0)</f>
        <v>0</v>
      </c>
      <c r="O629" s="271">
        <f>IFERROR(INDEX('Measure Level Detail'!$P:$P,MATCH($B629&amp;"_"&amp;O$3,'Measure Level Detail'!$C:$C,0)),0)</f>
        <v>0</v>
      </c>
      <c r="P629" s="271">
        <f>IFERROR(INDEX('Measure Level Detail'!$P:$P,MATCH($B629&amp;"_"&amp;P$3,'Measure Level Detail'!$C:$C,0)),0)</f>
        <v>0</v>
      </c>
      <c r="Q629" s="271">
        <f>IFERROR(INDEX('Measure Level Detail'!$P:$P,MATCH($B629&amp;"_"&amp;Q$3,'Measure Level Detail'!$C:$C,0)),0)</f>
        <v>0</v>
      </c>
      <c r="R629" s="263" t="str">
        <f ca="1">IFERROR(INDEX(Algorithms!K:K,MATCH($C629&amp;"_Therm Saved per Unit",Algorithms!$A:$A,0)),"n/a")</f>
        <v>CI-HWE-TKIN-V03-240101</v>
      </c>
      <c r="S629" s="262"/>
      <c r="T629" s="272">
        <v>16.746197539658972</v>
      </c>
      <c r="U629" s="272">
        <v>16.746197539658972</v>
      </c>
      <c r="V629" s="272">
        <v>16.746197539658972</v>
      </c>
      <c r="W629" s="272">
        <v>16.746197539658972</v>
      </c>
      <c r="X629" s="276">
        <v>0.93</v>
      </c>
      <c r="Y629" s="276">
        <v>0.93</v>
      </c>
      <c r="Z629" s="276">
        <v>0.93</v>
      </c>
      <c r="AA629" s="276">
        <v>0.93</v>
      </c>
      <c r="AB629" s="266">
        <f t="shared" si="367"/>
        <v>0</v>
      </c>
      <c r="AC629" s="266">
        <f t="shared" si="368"/>
        <v>0</v>
      </c>
      <c r="AD629" s="266">
        <f t="shared" si="369"/>
        <v>0</v>
      </c>
      <c r="AE629" s="266">
        <f t="shared" si="370"/>
        <v>0</v>
      </c>
      <c r="AF629" s="266">
        <f t="shared" si="371"/>
        <v>0</v>
      </c>
      <c r="AG629" s="274">
        <v>0.93</v>
      </c>
      <c r="AH629" s="274">
        <v>0.93</v>
      </c>
      <c r="AI629" s="274">
        <v>0.93</v>
      </c>
      <c r="AJ629" s="274">
        <v>0.93</v>
      </c>
      <c r="AK629" s="274">
        <f t="shared" si="372"/>
        <v>0.93</v>
      </c>
      <c r="AL629" s="274">
        <f t="shared" si="373"/>
        <v>0.93</v>
      </c>
      <c r="AM629" s="274">
        <f t="shared" si="374"/>
        <v>0.93</v>
      </c>
      <c r="AN629" s="274">
        <f t="shared" si="375"/>
        <v>0.93</v>
      </c>
      <c r="AO629" s="262"/>
      <c r="AP629" s="262"/>
      <c r="AQ629" s="267">
        <v>16.746197539658972</v>
      </c>
      <c r="AR629" s="262"/>
      <c r="AS629" s="266">
        <f t="shared" si="376"/>
        <v>0</v>
      </c>
      <c r="AT629" s="264">
        <f t="shared" si="377"/>
        <v>0</v>
      </c>
      <c r="AU629" s="262"/>
      <c r="AV629" s="262"/>
      <c r="AW629" s="265">
        <v>16.746197539658972</v>
      </c>
      <c r="AX629" s="164" t="s">
        <v>1469</v>
      </c>
      <c r="AY629" s="266">
        <v>0</v>
      </c>
      <c r="AZ629" s="266">
        <f t="shared" si="378"/>
        <v>0</v>
      </c>
      <c r="BA629" s="264">
        <f t="shared" si="379"/>
        <v>0</v>
      </c>
      <c r="BB629" s="262"/>
      <c r="BC629" s="262"/>
      <c r="BD629" s="265">
        <f ca="1">IFERROR(INDEX(Algorithms!$G:$G,MATCH($C629&amp;"_Therm Saved per Unit",Algorithms!$A:$A,0)),0)</f>
        <v>16.746197539658972</v>
      </c>
      <c r="BE629" s="164" t="str">
        <f ca="1">IFERROR(INDEX('v12 Revisions'!$P$29:$P$186, MATCH('Measure-Level Adj Gas'!$L629, 'v12 Revisions'!$D$29:$D$186,0)),"")</f>
        <v/>
      </c>
      <c r="BF629" s="266">
        <f t="shared" ca="1" si="380"/>
        <v>0</v>
      </c>
      <c r="BG629" s="264">
        <f t="shared" ca="1" si="381"/>
        <v>0</v>
      </c>
      <c r="BH629" s="262"/>
      <c r="BI629" s="262"/>
      <c r="BJ629" s="265">
        <f ca="1">IFERROR(INDEX(Algorithms!$G:$G,MATCH($C629&amp;"_Therm Saved per Unit",Algorithms!$A:$A,0)),0)</f>
        <v>16.746197539658972</v>
      </c>
      <c r="BK629" s="164"/>
      <c r="BL629" s="266">
        <f t="shared" ca="1" si="382"/>
        <v>0</v>
      </c>
      <c r="BM629" s="264">
        <f t="shared" ca="1" si="383"/>
        <v>0</v>
      </c>
      <c r="BN629" s="266">
        <f t="shared" si="384"/>
        <v>0</v>
      </c>
      <c r="BO629" s="266">
        <f t="shared" si="385"/>
        <v>0</v>
      </c>
      <c r="BP629" s="266">
        <f t="shared" ca="1" si="386"/>
        <v>0</v>
      </c>
      <c r="BQ629" s="266">
        <f t="shared" ca="1" si="387"/>
        <v>0</v>
      </c>
      <c r="BR629" s="268">
        <f t="shared" ca="1" si="388"/>
        <v>0</v>
      </c>
      <c r="BS629" s="262" t="s">
        <v>99</v>
      </c>
      <c r="BT629" s="277"/>
      <c r="BW629" s="266">
        <f t="shared" si="389"/>
        <v>0</v>
      </c>
      <c r="BX629" s="266">
        <f t="shared" si="390"/>
        <v>0</v>
      </c>
      <c r="BY629" s="266">
        <f t="shared" si="391"/>
        <v>0</v>
      </c>
      <c r="BZ629" s="266">
        <f t="shared" si="392"/>
        <v>0</v>
      </c>
      <c r="CA629" s="266">
        <f ca="1">N629*IFERROR(INDEX(Algorithms!$G:$G,MATCH($C629&amp;"_Therm Saved per Unit- MLA",Algorithms!$A:$A,0)),0)*X629</f>
        <v>0</v>
      </c>
      <c r="CB629" s="266">
        <f ca="1">O629*IFERROR(INDEX(Algorithms!$G:$G,MATCH($C629&amp;"_Therm Saved per Unit- MLA",Algorithms!$A:$A,0)),0)*Y629</f>
        <v>0</v>
      </c>
      <c r="CC629" s="266">
        <f ca="1">P629*IFERROR(INDEX(Algorithms!$G:$G,MATCH($C629&amp;"_Therm Saved per Unit- MLA",Algorithms!$A:$A,0)),0)*Z629</f>
        <v>0</v>
      </c>
      <c r="CD629" s="266">
        <f ca="1">Q629*IFERROR(INDEX(Algorithms!$G:$G,MATCH($C629&amp;"_Therm Saved per Unit- MLA",Algorithms!$A:$A,0)),0)*AA629</f>
        <v>0</v>
      </c>
      <c r="CE629" s="266">
        <f ca="1">IFERROR(INDEX(Algorithms!$G:$G,MATCH($C629&amp;"_Lifetime (years)",Algorithms!$A:$A,0)),0)</f>
        <v>15</v>
      </c>
      <c r="CF629" s="266">
        <f ca="1">IFERROR(INDEX(Algorithms!$G:$G,MATCH($C629&amp;"_Lifetime (years) - Remaining Years",Algorithms!$A:$A,0)),0)</f>
        <v>0</v>
      </c>
      <c r="CG629" s="266">
        <f t="shared" ca="1" si="393"/>
        <v>0</v>
      </c>
      <c r="CH629" s="266">
        <f t="shared" ca="1" si="394"/>
        <v>0</v>
      </c>
      <c r="CI629" s="266">
        <f t="shared" ca="1" si="395"/>
        <v>0</v>
      </c>
      <c r="CJ629" s="266">
        <f t="shared" ca="1" si="396"/>
        <v>0</v>
      </c>
      <c r="CK629" s="266">
        <f t="shared" si="397"/>
        <v>0</v>
      </c>
      <c r="CL629" s="266">
        <f t="shared" si="398"/>
        <v>0</v>
      </c>
      <c r="CM629" s="266">
        <f t="shared" ca="1" si="399"/>
        <v>0</v>
      </c>
      <c r="CN629" s="266">
        <f t="shared" ca="1" si="400"/>
        <v>0</v>
      </c>
      <c r="CO629" s="266">
        <f ca="1">N629*IFERROR(INDEX(Algorithms!$G:$G,MATCH($C629&amp;"_Therm Saved per Unit- MLA",Algorithms!$A:$A,0)),0)*X629</f>
        <v>0</v>
      </c>
      <c r="CP629" s="266">
        <f ca="1">O629*IFERROR(INDEX(Algorithms!$G:$G,MATCH($C629&amp;"_Therm Saved per Unit- MLA",Algorithms!$A:$A,0)),0)*Y629</f>
        <v>0</v>
      </c>
      <c r="CQ629" s="266">
        <f ca="1">P629*IFERROR(INDEX(Algorithms!$G:$G,MATCH($C629&amp;"_Therm Saved per Unit- MLA",Algorithms!$A:$A,0)),0)*Z629</f>
        <v>0</v>
      </c>
      <c r="CR629" s="266">
        <f ca="1">Q629*IFERROR(INDEX(Algorithms!$G:$G,MATCH($C629&amp;"_Therm Saved per Unit- MLA",Algorithms!$A:$A,0)),0)*AA629</f>
        <v>0</v>
      </c>
      <c r="CS629" s="266">
        <f ca="1">IFERROR(INDEX(Algorithms!$G:$G,MATCH($C629&amp;"_Lifetime (years)",Algorithms!$A:$A,0)),0)</f>
        <v>15</v>
      </c>
      <c r="CT629" s="266">
        <f ca="1">IFERROR(INDEX(Algorithms!$G:$G,MATCH($C629&amp;"_Lifetime (years) - Remaining Years",Algorithms!$A:$A,0)),0)</f>
        <v>0</v>
      </c>
      <c r="CU629" s="266">
        <f t="shared" ca="1" si="401"/>
        <v>0</v>
      </c>
      <c r="CV629" s="266">
        <f t="shared" ca="1" si="402"/>
        <v>0</v>
      </c>
      <c r="CW629" s="266">
        <f t="shared" ca="1" si="403"/>
        <v>0</v>
      </c>
      <c r="CX629" s="266">
        <f t="shared" ca="1" si="404"/>
        <v>0</v>
      </c>
    </row>
    <row r="630" spans="2:102" s="47" customFormat="1" ht="18" customHeight="1" x14ac:dyDescent="0.25">
      <c r="B630" t="str">
        <f t="shared" si="405"/>
        <v>NSG_Business_Small/Mid-Size Business_Rebates_Dock Door Seals_0_CI</v>
      </c>
      <c r="C630" s="47" t="str">
        <f t="shared" si="366"/>
        <v>Dock Door Seals_0_CI</v>
      </c>
      <c r="D630" s="270" t="s">
        <v>1787</v>
      </c>
      <c r="E630" s="270" t="s">
        <v>3</v>
      </c>
      <c r="F630" s="270" t="s">
        <v>1432</v>
      </c>
      <c r="G630" s="270" t="s">
        <v>1429</v>
      </c>
      <c r="H630" s="270" t="s">
        <v>1291</v>
      </c>
      <c r="I630" s="270">
        <v>0</v>
      </c>
      <c r="J630" s="270" t="s">
        <v>1159</v>
      </c>
      <c r="K630" s="263">
        <v>1</v>
      </c>
      <c r="L630" s="263">
        <f ca="1">IFERROR(INDEX(Algorithms!J:J,MATCH($C630&amp;"_Therm Saved per Unit",Algorithms!$A:$A,0)),"n/a")</f>
        <v>0</v>
      </c>
      <c r="M630" s="263" t="str">
        <f>IFERROR(INDEX('Measure Level Detail'!$N:$N,MATCH($B630,'Measure Level Detail'!$B:$B,0)),0)</f>
        <v>each</v>
      </c>
      <c r="N630" s="271">
        <f>IFERROR(INDEX('Measure Level Detail'!$P:$P,MATCH($B630&amp;"_"&amp;N$3,'Measure Level Detail'!$C:$C,0)),0)</f>
        <v>0</v>
      </c>
      <c r="O630" s="271">
        <f>IFERROR(INDEX('Measure Level Detail'!$P:$P,MATCH($B630&amp;"_"&amp;O$3,'Measure Level Detail'!$C:$C,0)),0)</f>
        <v>0</v>
      </c>
      <c r="P630" s="271">
        <f>IFERROR(INDEX('Measure Level Detail'!$P:$P,MATCH($B630&amp;"_"&amp;P$3,'Measure Level Detail'!$C:$C,0)),0)</f>
        <v>0</v>
      </c>
      <c r="Q630" s="271">
        <f>IFERROR(INDEX('Measure Level Detail'!$P:$P,MATCH($B630&amp;"_"&amp;Q$3,'Measure Level Detail'!$C:$C,0)),0)</f>
        <v>0</v>
      </c>
      <c r="R630" s="263">
        <f ca="1">IFERROR(INDEX(Algorithms!K:K,MATCH($C630&amp;"_Therm Saved per Unit",Algorithms!$A:$A,0)),"n/a")</f>
        <v>0</v>
      </c>
      <c r="S630" s="262"/>
      <c r="T630" s="272">
        <v>234.94825714285713</v>
      </c>
      <c r="U630" s="272">
        <v>234.94825714285713</v>
      </c>
      <c r="V630" s="272">
        <v>234.94825714285713</v>
      </c>
      <c r="W630" s="272">
        <v>234.94825714285713</v>
      </c>
      <c r="X630" s="276">
        <v>0.93</v>
      </c>
      <c r="Y630" s="276">
        <v>0.93</v>
      </c>
      <c r="Z630" s="276">
        <v>0.93</v>
      </c>
      <c r="AA630" s="276">
        <v>0.93</v>
      </c>
      <c r="AB630" s="266">
        <f t="shared" si="367"/>
        <v>0</v>
      </c>
      <c r="AC630" s="266">
        <f t="shared" si="368"/>
        <v>0</v>
      </c>
      <c r="AD630" s="266">
        <f t="shared" si="369"/>
        <v>0</v>
      </c>
      <c r="AE630" s="266">
        <f t="shared" si="370"/>
        <v>0</v>
      </c>
      <c r="AF630" s="266">
        <f t="shared" si="371"/>
        <v>0</v>
      </c>
      <c r="AG630" s="274">
        <v>0.93</v>
      </c>
      <c r="AH630" s="274">
        <v>0.93</v>
      </c>
      <c r="AI630" s="274">
        <v>0.93</v>
      </c>
      <c r="AJ630" s="274">
        <v>0.93</v>
      </c>
      <c r="AK630" s="274">
        <f t="shared" si="372"/>
        <v>0.93</v>
      </c>
      <c r="AL630" s="274">
        <f t="shared" si="373"/>
        <v>0.93</v>
      </c>
      <c r="AM630" s="274">
        <f t="shared" si="374"/>
        <v>0.93</v>
      </c>
      <c r="AN630" s="274">
        <f t="shared" si="375"/>
        <v>0.93</v>
      </c>
      <c r="AO630" s="262"/>
      <c r="AP630" s="262"/>
      <c r="AQ630" s="267">
        <v>234.94825714285713</v>
      </c>
      <c r="AR630" s="262"/>
      <c r="AS630" s="266">
        <f t="shared" si="376"/>
        <v>0</v>
      </c>
      <c r="AT630" s="264">
        <f t="shared" si="377"/>
        <v>0</v>
      </c>
      <c r="AU630" s="262"/>
      <c r="AV630" s="262"/>
      <c r="AW630" s="265">
        <v>234.94825714285713</v>
      </c>
      <c r="AX630" s="164" t="s">
        <v>1469</v>
      </c>
      <c r="AY630" s="266">
        <v>0</v>
      </c>
      <c r="AZ630" s="266">
        <f t="shared" si="378"/>
        <v>0</v>
      </c>
      <c r="BA630" s="264">
        <f t="shared" si="379"/>
        <v>0</v>
      </c>
      <c r="BB630" s="262"/>
      <c r="BC630" s="262"/>
      <c r="BD630" s="265">
        <f ca="1">IFERROR(INDEX(Algorithms!$G:$G,MATCH($C630&amp;"_Therm Saved per Unit",Algorithms!$A:$A,0)),0)</f>
        <v>234.94825714285713</v>
      </c>
      <c r="BE630" s="164" t="str">
        <f ca="1">IFERROR(INDEX('v12 Revisions'!$P$29:$P$186, MATCH('Measure-Level Adj Gas'!$L630, 'v12 Revisions'!$D$29:$D$186,0)),"")</f>
        <v/>
      </c>
      <c r="BF630" s="266">
        <f t="shared" ca="1" si="380"/>
        <v>0</v>
      </c>
      <c r="BG630" s="264">
        <f t="shared" ca="1" si="381"/>
        <v>0</v>
      </c>
      <c r="BH630" s="262"/>
      <c r="BI630" s="262"/>
      <c r="BJ630" s="265">
        <f ca="1">IFERROR(INDEX(Algorithms!$G:$G,MATCH($C630&amp;"_Therm Saved per Unit",Algorithms!$A:$A,0)),0)</f>
        <v>234.94825714285713</v>
      </c>
      <c r="BK630" s="164"/>
      <c r="BL630" s="266">
        <f t="shared" ca="1" si="382"/>
        <v>0</v>
      </c>
      <c r="BM630" s="264">
        <f t="shared" ca="1" si="383"/>
        <v>0</v>
      </c>
      <c r="BN630" s="266">
        <f t="shared" si="384"/>
        <v>0</v>
      </c>
      <c r="BO630" s="266">
        <f t="shared" si="385"/>
        <v>0</v>
      </c>
      <c r="BP630" s="266">
        <f t="shared" ca="1" si="386"/>
        <v>0</v>
      </c>
      <c r="BQ630" s="266">
        <f t="shared" ca="1" si="387"/>
        <v>0</v>
      </c>
      <c r="BR630" s="268">
        <f t="shared" ca="1" si="388"/>
        <v>0</v>
      </c>
      <c r="BS630" s="262" t="s">
        <v>99</v>
      </c>
      <c r="BT630" s="277"/>
      <c r="BW630" s="266">
        <f t="shared" si="389"/>
        <v>0</v>
      </c>
      <c r="BX630" s="266">
        <f t="shared" si="390"/>
        <v>0</v>
      </c>
      <c r="BY630" s="266">
        <f t="shared" si="391"/>
        <v>0</v>
      </c>
      <c r="BZ630" s="266">
        <f t="shared" si="392"/>
        <v>0</v>
      </c>
      <c r="CA630" s="266">
        <f ca="1">N630*IFERROR(INDEX(Algorithms!$G:$G,MATCH($C630&amp;"_Therm Saved per Unit- MLA",Algorithms!$A:$A,0)),0)*X630</f>
        <v>0</v>
      </c>
      <c r="CB630" s="266">
        <f ca="1">O630*IFERROR(INDEX(Algorithms!$G:$G,MATCH($C630&amp;"_Therm Saved per Unit- MLA",Algorithms!$A:$A,0)),0)*Y630</f>
        <v>0</v>
      </c>
      <c r="CC630" s="266">
        <f ca="1">P630*IFERROR(INDEX(Algorithms!$G:$G,MATCH($C630&amp;"_Therm Saved per Unit- MLA",Algorithms!$A:$A,0)),0)*Z630</f>
        <v>0</v>
      </c>
      <c r="CD630" s="266">
        <f ca="1">Q630*IFERROR(INDEX(Algorithms!$G:$G,MATCH($C630&amp;"_Therm Saved per Unit- MLA",Algorithms!$A:$A,0)),0)*AA630</f>
        <v>0</v>
      </c>
      <c r="CE630" s="266">
        <f ca="1">IFERROR(INDEX(Algorithms!$G:$G,MATCH($C630&amp;"_Lifetime (years)",Algorithms!$A:$A,0)),0)</f>
        <v>20</v>
      </c>
      <c r="CF630" s="266">
        <f ca="1">IFERROR(INDEX(Algorithms!$G:$G,MATCH($C630&amp;"_Lifetime (years) - Remaining Years",Algorithms!$A:$A,0)),0)</f>
        <v>0</v>
      </c>
      <c r="CG630" s="266">
        <f t="shared" ca="1" si="393"/>
        <v>0</v>
      </c>
      <c r="CH630" s="266">
        <f t="shared" ca="1" si="394"/>
        <v>0</v>
      </c>
      <c r="CI630" s="266">
        <f t="shared" ca="1" si="395"/>
        <v>0</v>
      </c>
      <c r="CJ630" s="266">
        <f t="shared" ca="1" si="396"/>
        <v>0</v>
      </c>
      <c r="CK630" s="266">
        <f t="shared" si="397"/>
        <v>0</v>
      </c>
      <c r="CL630" s="266">
        <f t="shared" si="398"/>
        <v>0</v>
      </c>
      <c r="CM630" s="266">
        <f t="shared" ca="1" si="399"/>
        <v>0</v>
      </c>
      <c r="CN630" s="266">
        <f t="shared" ca="1" si="400"/>
        <v>0</v>
      </c>
      <c r="CO630" s="266">
        <f ca="1">N630*IFERROR(INDEX(Algorithms!$G:$G,MATCH($C630&amp;"_Therm Saved per Unit- MLA",Algorithms!$A:$A,0)),0)*X630</f>
        <v>0</v>
      </c>
      <c r="CP630" s="266">
        <f ca="1">O630*IFERROR(INDEX(Algorithms!$G:$G,MATCH($C630&amp;"_Therm Saved per Unit- MLA",Algorithms!$A:$A,0)),0)*Y630</f>
        <v>0</v>
      </c>
      <c r="CQ630" s="266">
        <f ca="1">P630*IFERROR(INDEX(Algorithms!$G:$G,MATCH($C630&amp;"_Therm Saved per Unit- MLA",Algorithms!$A:$A,0)),0)*Z630</f>
        <v>0</v>
      </c>
      <c r="CR630" s="266">
        <f ca="1">Q630*IFERROR(INDEX(Algorithms!$G:$G,MATCH($C630&amp;"_Therm Saved per Unit- MLA",Algorithms!$A:$A,0)),0)*AA630</f>
        <v>0</v>
      </c>
      <c r="CS630" s="266">
        <f ca="1">IFERROR(INDEX(Algorithms!$G:$G,MATCH($C630&amp;"_Lifetime (years)",Algorithms!$A:$A,0)),0)</f>
        <v>20</v>
      </c>
      <c r="CT630" s="266">
        <f ca="1">IFERROR(INDEX(Algorithms!$G:$G,MATCH($C630&amp;"_Lifetime (years) - Remaining Years",Algorithms!$A:$A,0)),0)</f>
        <v>0</v>
      </c>
      <c r="CU630" s="266">
        <f t="shared" ca="1" si="401"/>
        <v>0</v>
      </c>
      <c r="CV630" s="266">
        <f t="shared" ca="1" si="402"/>
        <v>0</v>
      </c>
      <c r="CW630" s="266">
        <f t="shared" ca="1" si="403"/>
        <v>0</v>
      </c>
      <c r="CX630" s="266">
        <f t="shared" ca="1" si="404"/>
        <v>0</v>
      </c>
    </row>
    <row r="631" spans="2:102" s="47" customFormat="1" ht="18" customHeight="1" x14ac:dyDescent="0.25">
      <c r="B631" t="str">
        <f t="shared" si="405"/>
        <v>NSG_Business_Small/Mid-Size Business_Rebates_Water Heater_≥75 MBH, ≥88% TE _CI</v>
      </c>
      <c r="C631" s="47" t="str">
        <f t="shared" si="366"/>
        <v>Water Heater_≥75 MBH, ≥88% TE _CI</v>
      </c>
      <c r="D631" s="270" t="s">
        <v>1787</v>
      </c>
      <c r="E631" s="270" t="s">
        <v>3</v>
      </c>
      <c r="F631" s="270" t="s">
        <v>1432</v>
      </c>
      <c r="G631" s="270" t="s">
        <v>1429</v>
      </c>
      <c r="H631" s="270" t="s">
        <v>8</v>
      </c>
      <c r="I631" s="270" t="s">
        <v>1293</v>
      </c>
      <c r="J631" s="270" t="s">
        <v>1159</v>
      </c>
      <c r="K631" s="263">
        <v>1</v>
      </c>
      <c r="L631" s="263" t="str">
        <f ca="1">IFERROR(INDEX(Algorithms!J:J,MATCH($C631&amp;"_Therm Saved per Unit",Algorithms!$A:$A,0)),"n/a")</f>
        <v>4.3.1</v>
      </c>
      <c r="M631" s="263" t="str">
        <f>IFERROR(INDEX('Measure Level Detail'!$N:$N,MATCH($B631,'Measure Level Detail'!$B:$B,0)),0)</f>
        <v>MBH</v>
      </c>
      <c r="N631" s="271">
        <f>IFERROR(INDEX('Measure Level Detail'!$P:$P,MATCH($B631&amp;"_"&amp;N$3,'Measure Level Detail'!$C:$C,0)),0)</f>
        <v>0</v>
      </c>
      <c r="O631" s="271">
        <f>IFERROR(INDEX('Measure Level Detail'!$P:$P,MATCH($B631&amp;"_"&amp;O$3,'Measure Level Detail'!$C:$C,0)),0)</f>
        <v>0</v>
      </c>
      <c r="P631" s="271">
        <f>IFERROR(INDEX('Measure Level Detail'!$P:$P,MATCH($B631&amp;"_"&amp;P$3,'Measure Level Detail'!$C:$C,0)),0)</f>
        <v>0</v>
      </c>
      <c r="Q631" s="271">
        <f>IFERROR(INDEX('Measure Level Detail'!$P:$P,MATCH($B631&amp;"_"&amp;Q$3,'Measure Level Detail'!$C:$C,0)),0)</f>
        <v>0</v>
      </c>
      <c r="R631" s="263" t="str">
        <f ca="1">IFERROR(INDEX(Algorithms!K:K,MATCH($C631&amp;"_Therm Saved per Unit",Algorithms!$A:$A,0)),"n/a")</f>
        <v>CI-HWE-STWH-V10-240101</v>
      </c>
      <c r="S631" s="262"/>
      <c r="T631" s="272">
        <v>2.4977693963210257</v>
      </c>
      <c r="U631" s="272">
        <v>2.4977693963210257</v>
      </c>
      <c r="V631" s="272">
        <v>2.4977693963210257</v>
      </c>
      <c r="W631" s="272">
        <v>2.4977693963210257</v>
      </c>
      <c r="X631" s="276">
        <v>0.93</v>
      </c>
      <c r="Y631" s="276">
        <v>0.93</v>
      </c>
      <c r="Z631" s="276">
        <v>0.93</v>
      </c>
      <c r="AA631" s="276">
        <v>0.93</v>
      </c>
      <c r="AB631" s="266">
        <f t="shared" si="367"/>
        <v>0</v>
      </c>
      <c r="AC631" s="266">
        <f t="shared" si="368"/>
        <v>0</v>
      </c>
      <c r="AD631" s="266">
        <f t="shared" si="369"/>
        <v>0</v>
      </c>
      <c r="AE631" s="266">
        <f t="shared" si="370"/>
        <v>0</v>
      </c>
      <c r="AF631" s="266">
        <f t="shared" si="371"/>
        <v>0</v>
      </c>
      <c r="AG631" s="274">
        <v>0.93</v>
      </c>
      <c r="AH631" s="274">
        <v>0.93</v>
      </c>
      <c r="AI631" s="274">
        <v>0.93</v>
      </c>
      <c r="AJ631" s="274">
        <v>0.93</v>
      </c>
      <c r="AK631" s="274">
        <f t="shared" si="372"/>
        <v>0.93</v>
      </c>
      <c r="AL631" s="274">
        <f t="shared" si="373"/>
        <v>0.93</v>
      </c>
      <c r="AM631" s="274">
        <f t="shared" si="374"/>
        <v>0.93</v>
      </c>
      <c r="AN631" s="274">
        <f t="shared" si="375"/>
        <v>0.93</v>
      </c>
      <c r="AO631" s="262"/>
      <c r="AP631" s="262"/>
      <c r="AQ631" s="267">
        <v>2.6035838480037183</v>
      </c>
      <c r="AR631" s="262"/>
      <c r="AS631" s="266">
        <f t="shared" si="376"/>
        <v>0</v>
      </c>
      <c r="AT631" s="264">
        <f t="shared" si="377"/>
        <v>0</v>
      </c>
      <c r="AU631" s="262"/>
      <c r="AV631" s="262"/>
      <c r="AW631" s="265">
        <v>2.6035838480037183</v>
      </c>
      <c r="AX631" s="164" t="s">
        <v>1469</v>
      </c>
      <c r="AY631" s="266">
        <v>0</v>
      </c>
      <c r="AZ631" s="266">
        <f t="shared" si="378"/>
        <v>0</v>
      </c>
      <c r="BA631" s="264">
        <f t="shared" si="379"/>
        <v>0</v>
      </c>
      <c r="BB631" s="262"/>
      <c r="BC631" s="262"/>
      <c r="BD631" s="265">
        <f ca="1">IFERROR(INDEX(Algorithms!$G:$G,MATCH($C631&amp;"_Therm Saved per Unit",Algorithms!$A:$A,0)),0)</f>
        <v>2.6035838480037183</v>
      </c>
      <c r="BE631" s="164" t="str">
        <f ca="1">IFERROR(INDEX('v12 Revisions'!$P$29:$P$186, MATCH('Measure-Level Adj Gas'!$L631, 'v12 Revisions'!$D$29:$D$186,0)),"")</f>
        <v>n/a - language only.</v>
      </c>
      <c r="BF631" s="266">
        <f t="shared" ca="1" si="380"/>
        <v>0</v>
      </c>
      <c r="BG631" s="264">
        <f t="shared" ca="1" si="381"/>
        <v>0</v>
      </c>
      <c r="BH631" s="262"/>
      <c r="BI631" s="262"/>
      <c r="BJ631" s="265">
        <f ca="1">IFERROR(INDEX(Algorithms!$G:$G,MATCH($C631&amp;"_Therm Saved per Unit",Algorithms!$A:$A,0)),0)</f>
        <v>2.6035838480037183</v>
      </c>
      <c r="BK631" s="164"/>
      <c r="BL631" s="266">
        <f t="shared" ca="1" si="382"/>
        <v>0</v>
      </c>
      <c r="BM631" s="264">
        <f t="shared" ca="1" si="383"/>
        <v>0</v>
      </c>
      <c r="BN631" s="266">
        <f t="shared" si="384"/>
        <v>0</v>
      </c>
      <c r="BO631" s="266">
        <f t="shared" si="385"/>
        <v>0</v>
      </c>
      <c r="BP631" s="266">
        <f t="shared" ca="1" si="386"/>
        <v>0</v>
      </c>
      <c r="BQ631" s="266">
        <f t="shared" ca="1" si="387"/>
        <v>0</v>
      </c>
      <c r="BR631" s="268">
        <f t="shared" ca="1" si="388"/>
        <v>0</v>
      </c>
      <c r="BS631" s="262" t="s">
        <v>99</v>
      </c>
      <c r="BT631" s="277"/>
      <c r="BW631" s="266">
        <f t="shared" si="389"/>
        <v>0</v>
      </c>
      <c r="BX631" s="266">
        <f t="shared" si="390"/>
        <v>0</v>
      </c>
      <c r="BY631" s="266">
        <f t="shared" si="391"/>
        <v>0</v>
      </c>
      <c r="BZ631" s="266">
        <f t="shared" si="392"/>
        <v>0</v>
      </c>
      <c r="CA631" s="266">
        <f ca="1">N631*IFERROR(INDEX(Algorithms!$G:$G,MATCH($C631&amp;"_Therm Saved per Unit- MLA",Algorithms!$A:$A,0)),0)*X631</f>
        <v>0</v>
      </c>
      <c r="CB631" s="266">
        <f ca="1">O631*IFERROR(INDEX(Algorithms!$G:$G,MATCH($C631&amp;"_Therm Saved per Unit- MLA",Algorithms!$A:$A,0)),0)*Y631</f>
        <v>0</v>
      </c>
      <c r="CC631" s="266">
        <f ca="1">P631*IFERROR(INDEX(Algorithms!$G:$G,MATCH($C631&amp;"_Therm Saved per Unit- MLA",Algorithms!$A:$A,0)),0)*Z631</f>
        <v>0</v>
      </c>
      <c r="CD631" s="266">
        <f ca="1">Q631*IFERROR(INDEX(Algorithms!$G:$G,MATCH($C631&amp;"_Therm Saved per Unit- MLA",Algorithms!$A:$A,0)),0)*AA631</f>
        <v>0</v>
      </c>
      <c r="CE631" s="266">
        <f ca="1">IFERROR(INDEX(Algorithms!$G:$G,MATCH($C631&amp;"_Lifetime (years)",Algorithms!$A:$A,0)),0)</f>
        <v>15</v>
      </c>
      <c r="CF631" s="266">
        <f ca="1">IFERROR(INDEX(Algorithms!$G:$G,MATCH($C631&amp;"_Lifetime (years) - Remaining Years",Algorithms!$A:$A,0)),0)</f>
        <v>0</v>
      </c>
      <c r="CG631" s="266">
        <f t="shared" ca="1" si="393"/>
        <v>0</v>
      </c>
      <c r="CH631" s="266">
        <f t="shared" ca="1" si="394"/>
        <v>0</v>
      </c>
      <c r="CI631" s="266">
        <f t="shared" ca="1" si="395"/>
        <v>0</v>
      </c>
      <c r="CJ631" s="266">
        <f t="shared" ca="1" si="396"/>
        <v>0</v>
      </c>
      <c r="CK631" s="266">
        <f t="shared" si="397"/>
        <v>0</v>
      </c>
      <c r="CL631" s="266">
        <f t="shared" si="398"/>
        <v>0</v>
      </c>
      <c r="CM631" s="266">
        <f t="shared" ca="1" si="399"/>
        <v>0</v>
      </c>
      <c r="CN631" s="266">
        <f t="shared" ca="1" si="400"/>
        <v>0</v>
      </c>
      <c r="CO631" s="266">
        <f ca="1">N631*IFERROR(INDEX(Algorithms!$G:$G,MATCH($C631&amp;"_Therm Saved per Unit- MLA",Algorithms!$A:$A,0)),0)*X631</f>
        <v>0</v>
      </c>
      <c r="CP631" s="266">
        <f ca="1">O631*IFERROR(INDEX(Algorithms!$G:$G,MATCH($C631&amp;"_Therm Saved per Unit- MLA",Algorithms!$A:$A,0)),0)*Y631</f>
        <v>0</v>
      </c>
      <c r="CQ631" s="266">
        <f ca="1">P631*IFERROR(INDEX(Algorithms!$G:$G,MATCH($C631&amp;"_Therm Saved per Unit- MLA",Algorithms!$A:$A,0)),0)*Z631</f>
        <v>0</v>
      </c>
      <c r="CR631" s="266">
        <f ca="1">Q631*IFERROR(INDEX(Algorithms!$G:$G,MATCH($C631&amp;"_Therm Saved per Unit- MLA",Algorithms!$A:$A,0)),0)*AA631</f>
        <v>0</v>
      </c>
      <c r="CS631" s="266">
        <f ca="1">IFERROR(INDEX(Algorithms!$G:$G,MATCH($C631&amp;"_Lifetime (years)",Algorithms!$A:$A,0)),0)</f>
        <v>15</v>
      </c>
      <c r="CT631" s="266">
        <f ca="1">IFERROR(INDEX(Algorithms!$G:$G,MATCH($C631&amp;"_Lifetime (years) - Remaining Years",Algorithms!$A:$A,0)),0)</f>
        <v>0</v>
      </c>
      <c r="CU631" s="266">
        <f t="shared" ca="1" si="401"/>
        <v>0</v>
      </c>
      <c r="CV631" s="266">
        <f t="shared" ca="1" si="402"/>
        <v>0</v>
      </c>
      <c r="CW631" s="266">
        <f t="shared" ca="1" si="403"/>
        <v>0</v>
      </c>
      <c r="CX631" s="266">
        <f t="shared" ca="1" si="404"/>
        <v>0</v>
      </c>
    </row>
    <row r="632" spans="2:102" s="47" customFormat="1" ht="18" customHeight="1" x14ac:dyDescent="0.25">
      <c r="B632" t="str">
        <f t="shared" si="405"/>
        <v>NSG_Business_Small/Mid-Size Business_Rebates_Water Heater_Central Lodging 88% TE_CI</v>
      </c>
      <c r="C632" s="47" t="str">
        <f t="shared" si="366"/>
        <v>Water Heater_Central Lodging 88% TE_CI</v>
      </c>
      <c r="D632" s="270" t="s">
        <v>1787</v>
      </c>
      <c r="E632" s="270" t="s">
        <v>3</v>
      </c>
      <c r="F632" s="270" t="s">
        <v>1432</v>
      </c>
      <c r="G632" s="270" t="s">
        <v>1429</v>
      </c>
      <c r="H632" s="270" t="s">
        <v>8</v>
      </c>
      <c r="I632" s="270" t="s">
        <v>1304</v>
      </c>
      <c r="J632" s="270" t="s">
        <v>1159</v>
      </c>
      <c r="K632" s="263">
        <v>1</v>
      </c>
      <c r="L632" s="263" t="str">
        <f ca="1">IFERROR(INDEX(Algorithms!J:J,MATCH($C632&amp;"_Therm Saved per Unit",Algorithms!$A:$A,0)),"n/a")</f>
        <v>4.3.7</v>
      </c>
      <c r="M632" s="263" t="str">
        <f>IFERROR(INDEX('Measure Level Detail'!$N:$N,MATCH($B632,'Measure Level Detail'!$B:$B,0)),0)</f>
        <v>MBH</v>
      </c>
      <c r="N632" s="271">
        <f>IFERROR(INDEX('Measure Level Detail'!$P:$P,MATCH($B632&amp;"_"&amp;N$3,'Measure Level Detail'!$C:$C,0)),0)</f>
        <v>0</v>
      </c>
      <c r="O632" s="271">
        <f>IFERROR(INDEX('Measure Level Detail'!$P:$P,MATCH($B632&amp;"_"&amp;O$3,'Measure Level Detail'!$C:$C,0)),0)</f>
        <v>0</v>
      </c>
      <c r="P632" s="271">
        <f>IFERROR(INDEX('Measure Level Detail'!$P:$P,MATCH($B632&amp;"_"&amp;P$3,'Measure Level Detail'!$C:$C,0)),0)</f>
        <v>0</v>
      </c>
      <c r="Q632" s="271">
        <f>IFERROR(INDEX('Measure Level Detail'!$P:$P,MATCH($B632&amp;"_"&amp;Q$3,'Measure Level Detail'!$C:$C,0)),0)</f>
        <v>0</v>
      </c>
      <c r="R632" s="263" t="str">
        <f ca="1">IFERROR(INDEX(Algorithms!K:K,MATCH($C632&amp;"_Therm Saved per Unit",Algorithms!$A:$A,0)),"n/a")</f>
        <v>CI-HWE-MDHW-V07-240101</v>
      </c>
      <c r="S632" s="262"/>
      <c r="T632" s="272">
        <v>9.31628800262075</v>
      </c>
      <c r="U632" s="272">
        <v>9.31628800262075</v>
      </c>
      <c r="V632" s="272">
        <v>9.31628800262075</v>
      </c>
      <c r="W632" s="272">
        <v>9.31628800262075</v>
      </c>
      <c r="X632" s="276">
        <v>0.93</v>
      </c>
      <c r="Y632" s="276">
        <v>0.93</v>
      </c>
      <c r="Z632" s="276">
        <v>0.93</v>
      </c>
      <c r="AA632" s="276">
        <v>0.93</v>
      </c>
      <c r="AB632" s="266">
        <f t="shared" si="367"/>
        <v>0</v>
      </c>
      <c r="AC632" s="266">
        <f t="shared" si="368"/>
        <v>0</v>
      </c>
      <c r="AD632" s="266">
        <f t="shared" si="369"/>
        <v>0</v>
      </c>
      <c r="AE632" s="266">
        <f t="shared" si="370"/>
        <v>0</v>
      </c>
      <c r="AF632" s="266">
        <f t="shared" si="371"/>
        <v>0</v>
      </c>
      <c r="AG632" s="274">
        <v>0.93</v>
      </c>
      <c r="AH632" s="274">
        <v>0.93</v>
      </c>
      <c r="AI632" s="274">
        <v>0.93</v>
      </c>
      <c r="AJ632" s="274">
        <v>0.93</v>
      </c>
      <c r="AK632" s="274">
        <f t="shared" si="372"/>
        <v>0.93</v>
      </c>
      <c r="AL632" s="274">
        <f t="shared" si="373"/>
        <v>0.93</v>
      </c>
      <c r="AM632" s="274">
        <f t="shared" si="374"/>
        <v>0.93</v>
      </c>
      <c r="AN632" s="274">
        <f t="shared" si="375"/>
        <v>0.93</v>
      </c>
      <c r="AO632" s="262"/>
      <c r="AP632" s="262"/>
      <c r="AQ632" s="267">
        <v>9.7379830071207483</v>
      </c>
      <c r="AR632" s="262"/>
      <c r="AS632" s="266">
        <f t="shared" si="376"/>
        <v>0</v>
      </c>
      <c r="AT632" s="264">
        <f t="shared" si="377"/>
        <v>0</v>
      </c>
      <c r="AU632" s="262"/>
      <c r="AV632" s="262"/>
      <c r="AW632" s="265">
        <v>9.7379830071207483</v>
      </c>
      <c r="AX632" s="164" t="s">
        <v>1469</v>
      </c>
      <c r="AY632" s="266">
        <v>0</v>
      </c>
      <c r="AZ632" s="266">
        <f t="shared" si="378"/>
        <v>0</v>
      </c>
      <c r="BA632" s="264">
        <f t="shared" si="379"/>
        <v>0</v>
      </c>
      <c r="BB632" s="262"/>
      <c r="BC632" s="262"/>
      <c r="BD632" s="265">
        <f ca="1">IFERROR(INDEX(Algorithms!$G:$G,MATCH($C632&amp;"_Therm Saved per Unit",Algorithms!$A:$A,0)),0)</f>
        <v>9.7379830071207483</v>
      </c>
      <c r="BE632" s="164" t="str">
        <f ca="1">IFERROR(INDEX('v12 Revisions'!$P$29:$P$186, MATCH('Measure-Level Adj Gas'!$L632, 'v12 Revisions'!$D$29:$D$186,0)),"")</f>
        <v>n/a - language only.</v>
      </c>
      <c r="BF632" s="266">
        <f t="shared" ca="1" si="380"/>
        <v>0</v>
      </c>
      <c r="BG632" s="264">
        <f t="shared" ca="1" si="381"/>
        <v>0</v>
      </c>
      <c r="BH632" s="262"/>
      <c r="BI632" s="262"/>
      <c r="BJ632" s="265">
        <f ca="1">IFERROR(INDEX(Algorithms!$G:$G,MATCH($C632&amp;"_Therm Saved per Unit",Algorithms!$A:$A,0)),0)</f>
        <v>9.7379830071207483</v>
      </c>
      <c r="BK632" s="164"/>
      <c r="BL632" s="266">
        <f t="shared" ca="1" si="382"/>
        <v>0</v>
      </c>
      <c r="BM632" s="264">
        <f t="shared" ca="1" si="383"/>
        <v>0</v>
      </c>
      <c r="BN632" s="266">
        <f t="shared" si="384"/>
        <v>0</v>
      </c>
      <c r="BO632" s="266">
        <f t="shared" si="385"/>
        <v>0</v>
      </c>
      <c r="BP632" s="266">
        <f t="shared" ca="1" si="386"/>
        <v>0</v>
      </c>
      <c r="BQ632" s="266">
        <f t="shared" ca="1" si="387"/>
        <v>0</v>
      </c>
      <c r="BR632" s="268">
        <f t="shared" ca="1" si="388"/>
        <v>0</v>
      </c>
      <c r="BS632" s="262" t="s">
        <v>99</v>
      </c>
      <c r="BT632" s="277"/>
      <c r="BW632" s="266">
        <f t="shared" si="389"/>
        <v>0</v>
      </c>
      <c r="BX632" s="266">
        <f t="shared" si="390"/>
        <v>0</v>
      </c>
      <c r="BY632" s="266">
        <f t="shared" si="391"/>
        <v>0</v>
      </c>
      <c r="BZ632" s="266">
        <f t="shared" si="392"/>
        <v>0</v>
      </c>
      <c r="CA632" s="266">
        <f ca="1">N632*IFERROR(INDEX(Algorithms!$G:$G,MATCH($C632&amp;"_Therm Saved per Unit- MLA",Algorithms!$A:$A,0)),0)*X632</f>
        <v>0</v>
      </c>
      <c r="CB632" s="266">
        <f ca="1">O632*IFERROR(INDEX(Algorithms!$G:$G,MATCH($C632&amp;"_Therm Saved per Unit- MLA",Algorithms!$A:$A,0)),0)*Y632</f>
        <v>0</v>
      </c>
      <c r="CC632" s="266">
        <f ca="1">P632*IFERROR(INDEX(Algorithms!$G:$G,MATCH($C632&amp;"_Therm Saved per Unit- MLA",Algorithms!$A:$A,0)),0)*Z632</f>
        <v>0</v>
      </c>
      <c r="CD632" s="266">
        <f ca="1">Q632*IFERROR(INDEX(Algorithms!$G:$G,MATCH($C632&amp;"_Therm Saved per Unit- MLA",Algorithms!$A:$A,0)),0)*AA632</f>
        <v>0</v>
      </c>
      <c r="CE632" s="266">
        <f ca="1">IFERROR(INDEX(Algorithms!$G:$G,MATCH($C632&amp;"_Lifetime (years)",Algorithms!$A:$A,0)),0)</f>
        <v>15</v>
      </c>
      <c r="CF632" s="266">
        <f ca="1">IFERROR(INDEX(Algorithms!$G:$G,MATCH($C632&amp;"_Lifetime (years) - Remaining Years",Algorithms!$A:$A,0)),0)</f>
        <v>0</v>
      </c>
      <c r="CG632" s="266">
        <f t="shared" ca="1" si="393"/>
        <v>0</v>
      </c>
      <c r="CH632" s="266">
        <f t="shared" ca="1" si="394"/>
        <v>0</v>
      </c>
      <c r="CI632" s="266">
        <f t="shared" ca="1" si="395"/>
        <v>0</v>
      </c>
      <c r="CJ632" s="266">
        <f t="shared" ca="1" si="396"/>
        <v>0</v>
      </c>
      <c r="CK632" s="266">
        <f t="shared" si="397"/>
        <v>0</v>
      </c>
      <c r="CL632" s="266">
        <f t="shared" si="398"/>
        <v>0</v>
      </c>
      <c r="CM632" s="266">
        <f t="shared" ca="1" si="399"/>
        <v>0</v>
      </c>
      <c r="CN632" s="266">
        <f t="shared" ca="1" si="400"/>
        <v>0</v>
      </c>
      <c r="CO632" s="266">
        <f ca="1">N632*IFERROR(INDEX(Algorithms!$G:$G,MATCH($C632&amp;"_Therm Saved per Unit- MLA",Algorithms!$A:$A,0)),0)*X632</f>
        <v>0</v>
      </c>
      <c r="CP632" s="266">
        <f ca="1">O632*IFERROR(INDEX(Algorithms!$G:$G,MATCH($C632&amp;"_Therm Saved per Unit- MLA",Algorithms!$A:$A,0)),0)*Y632</f>
        <v>0</v>
      </c>
      <c r="CQ632" s="266">
        <f ca="1">P632*IFERROR(INDEX(Algorithms!$G:$G,MATCH($C632&amp;"_Therm Saved per Unit- MLA",Algorithms!$A:$A,0)),0)*Z632</f>
        <v>0</v>
      </c>
      <c r="CR632" s="266">
        <f ca="1">Q632*IFERROR(INDEX(Algorithms!$G:$G,MATCH($C632&amp;"_Therm Saved per Unit- MLA",Algorithms!$A:$A,0)),0)*AA632</f>
        <v>0</v>
      </c>
      <c r="CS632" s="266">
        <f ca="1">IFERROR(INDEX(Algorithms!$G:$G,MATCH($C632&amp;"_Lifetime (years)",Algorithms!$A:$A,0)),0)</f>
        <v>15</v>
      </c>
      <c r="CT632" s="266">
        <f ca="1">IFERROR(INDEX(Algorithms!$G:$G,MATCH($C632&amp;"_Lifetime (years) - Remaining Years",Algorithms!$A:$A,0)),0)</f>
        <v>0</v>
      </c>
      <c r="CU632" s="266">
        <f t="shared" ca="1" si="401"/>
        <v>0</v>
      </c>
      <c r="CV632" s="266">
        <f t="shared" ca="1" si="402"/>
        <v>0</v>
      </c>
      <c r="CW632" s="266">
        <f t="shared" ca="1" si="403"/>
        <v>0</v>
      </c>
      <c r="CX632" s="266">
        <f t="shared" ca="1" si="404"/>
        <v>0</v>
      </c>
    </row>
    <row r="633" spans="2:102" s="47" customFormat="1" ht="18" customHeight="1" x14ac:dyDescent="0.25">
      <c r="B633" t="str">
        <f t="shared" si="405"/>
        <v>NSG_Business_Small/Mid-Size Business_Rebates_Water Heater_Storage 0.67 EF_CI</v>
      </c>
      <c r="C633" s="47" t="str">
        <f t="shared" si="366"/>
        <v>Water Heater_Storage 0.67 EF_CI</v>
      </c>
      <c r="D633" s="270" t="s">
        <v>1787</v>
      </c>
      <c r="E633" s="270" t="s">
        <v>3</v>
      </c>
      <c r="F633" s="270" t="s">
        <v>1432</v>
      </c>
      <c r="G633" s="270" t="s">
        <v>1429</v>
      </c>
      <c r="H633" s="270" t="s">
        <v>8</v>
      </c>
      <c r="I633" s="270" t="s">
        <v>879</v>
      </c>
      <c r="J633" s="270" t="s">
        <v>1159</v>
      </c>
      <c r="K633" s="263">
        <v>1</v>
      </c>
      <c r="L633" s="263" t="str">
        <f ca="1">IFERROR(INDEX(Algorithms!J:J,MATCH($C633&amp;"_Therm Saved per Unit",Algorithms!$A:$A,0)),"n/a")</f>
        <v>4.3.1</v>
      </c>
      <c r="M633" s="263" t="str">
        <f>IFERROR(INDEX('Measure Level Detail'!$N:$N,MATCH($B633,'Measure Level Detail'!$B:$B,0)),0)</f>
        <v>each</v>
      </c>
      <c r="N633" s="271">
        <f>IFERROR(INDEX('Measure Level Detail'!$P:$P,MATCH($B633&amp;"_"&amp;N$3,'Measure Level Detail'!$C:$C,0)),0)</f>
        <v>0</v>
      </c>
      <c r="O633" s="271">
        <f>IFERROR(INDEX('Measure Level Detail'!$P:$P,MATCH($B633&amp;"_"&amp;O$3,'Measure Level Detail'!$C:$C,0)),0)</f>
        <v>0</v>
      </c>
      <c r="P633" s="271">
        <f>IFERROR(INDEX('Measure Level Detail'!$P:$P,MATCH($B633&amp;"_"&amp;P$3,'Measure Level Detail'!$C:$C,0)),0)</f>
        <v>0</v>
      </c>
      <c r="Q633" s="271">
        <f>IFERROR(INDEX('Measure Level Detail'!$P:$P,MATCH($B633&amp;"_"&amp;Q$3,'Measure Level Detail'!$C:$C,0)),0)</f>
        <v>0</v>
      </c>
      <c r="R633" s="263" t="str">
        <f ca="1">IFERROR(INDEX(Algorithms!K:K,MATCH($C633&amp;"_Therm Saved per Unit",Algorithms!$A:$A,0)),"n/a")</f>
        <v>CI-HWE-STWH-V10-240101</v>
      </c>
      <c r="S633" s="262"/>
      <c r="T633" s="272">
        <v>56.252452620818083</v>
      </c>
      <c r="U633" s="272">
        <v>56.252452620818083</v>
      </c>
      <c r="V633" s="272">
        <v>56.252452620818083</v>
      </c>
      <c r="W633" s="272">
        <v>56.252452620818083</v>
      </c>
      <c r="X633" s="276">
        <v>0.93</v>
      </c>
      <c r="Y633" s="276">
        <v>0.93</v>
      </c>
      <c r="Z633" s="276">
        <v>0.93</v>
      </c>
      <c r="AA633" s="276">
        <v>0.93</v>
      </c>
      <c r="AB633" s="266">
        <f t="shared" si="367"/>
        <v>0</v>
      </c>
      <c r="AC633" s="266">
        <f t="shared" si="368"/>
        <v>0</v>
      </c>
      <c r="AD633" s="266">
        <f t="shared" si="369"/>
        <v>0</v>
      </c>
      <c r="AE633" s="266">
        <f t="shared" si="370"/>
        <v>0</v>
      </c>
      <c r="AF633" s="266">
        <f t="shared" si="371"/>
        <v>0</v>
      </c>
      <c r="AG633" s="274">
        <v>0.93</v>
      </c>
      <c r="AH633" s="274">
        <v>0.93</v>
      </c>
      <c r="AI633" s="274">
        <v>0.93</v>
      </c>
      <c r="AJ633" s="274">
        <v>0.93</v>
      </c>
      <c r="AK633" s="274">
        <f t="shared" si="372"/>
        <v>0.93</v>
      </c>
      <c r="AL633" s="274">
        <f t="shared" si="373"/>
        <v>0.93</v>
      </c>
      <c r="AM633" s="274">
        <f t="shared" si="374"/>
        <v>0.93</v>
      </c>
      <c r="AN633" s="274">
        <f t="shared" si="375"/>
        <v>0.93</v>
      </c>
      <c r="AO633" s="262"/>
      <c r="AP633" s="262"/>
      <c r="AQ633" s="267">
        <v>58.867003235588506</v>
      </c>
      <c r="AR633" s="262"/>
      <c r="AS633" s="266">
        <f t="shared" si="376"/>
        <v>0</v>
      </c>
      <c r="AT633" s="264">
        <f t="shared" si="377"/>
        <v>0</v>
      </c>
      <c r="AU633" s="262"/>
      <c r="AV633" s="262"/>
      <c r="AW633" s="265">
        <v>58.550513970881049</v>
      </c>
      <c r="AX633" s="164" t="s">
        <v>1469</v>
      </c>
      <c r="AY633" s="266">
        <v>0</v>
      </c>
      <c r="AZ633" s="266">
        <f t="shared" si="378"/>
        <v>0</v>
      </c>
      <c r="BA633" s="264">
        <f t="shared" si="379"/>
        <v>0</v>
      </c>
      <c r="BB633" s="262"/>
      <c r="BC633" s="262"/>
      <c r="BD633" s="265">
        <f ca="1">IFERROR(INDEX(Algorithms!$G:$G,MATCH($C633&amp;"_Therm Saved per Unit",Algorithms!$A:$A,0)),0)</f>
        <v>58.550513970881049</v>
      </c>
      <c r="BE633" s="164" t="str">
        <f ca="1">IFERROR(INDEX('v12 Revisions'!$P$29:$P$186, MATCH('Measure-Level Adj Gas'!$L633, 'v12 Revisions'!$D$29:$D$186,0)),"")</f>
        <v>n/a - language only.</v>
      </c>
      <c r="BF633" s="266">
        <f t="shared" ca="1" si="380"/>
        <v>0</v>
      </c>
      <c r="BG633" s="264">
        <f t="shared" ca="1" si="381"/>
        <v>0</v>
      </c>
      <c r="BH633" s="262"/>
      <c r="BI633" s="262"/>
      <c r="BJ633" s="265">
        <f ca="1">IFERROR(INDEX(Algorithms!$G:$G,MATCH($C633&amp;"_Therm Saved per Unit",Algorithms!$A:$A,0)),0)</f>
        <v>58.550513970881049</v>
      </c>
      <c r="BK633" s="164"/>
      <c r="BL633" s="266">
        <f t="shared" ca="1" si="382"/>
        <v>0</v>
      </c>
      <c r="BM633" s="264">
        <f t="shared" ca="1" si="383"/>
        <v>0</v>
      </c>
      <c r="BN633" s="266">
        <f t="shared" si="384"/>
        <v>0</v>
      </c>
      <c r="BO633" s="266">
        <f t="shared" si="385"/>
        <v>0</v>
      </c>
      <c r="BP633" s="266">
        <f t="shared" ca="1" si="386"/>
        <v>0</v>
      </c>
      <c r="BQ633" s="266">
        <f t="shared" ca="1" si="387"/>
        <v>0</v>
      </c>
      <c r="BR633" s="268">
        <f t="shared" ca="1" si="388"/>
        <v>0</v>
      </c>
      <c r="BS633" s="262" t="s">
        <v>99</v>
      </c>
      <c r="BT633" s="277"/>
      <c r="BW633" s="266">
        <f t="shared" si="389"/>
        <v>0</v>
      </c>
      <c r="BX633" s="266">
        <f t="shared" si="390"/>
        <v>0</v>
      </c>
      <c r="BY633" s="266">
        <f t="shared" si="391"/>
        <v>0</v>
      </c>
      <c r="BZ633" s="266">
        <f t="shared" si="392"/>
        <v>0</v>
      </c>
      <c r="CA633" s="266">
        <f ca="1">N633*IFERROR(INDEX(Algorithms!$G:$G,MATCH($C633&amp;"_Therm Saved per Unit- MLA",Algorithms!$A:$A,0)),0)*X633</f>
        <v>0</v>
      </c>
      <c r="CB633" s="266">
        <f ca="1">O633*IFERROR(INDEX(Algorithms!$G:$G,MATCH($C633&amp;"_Therm Saved per Unit- MLA",Algorithms!$A:$A,0)),0)*Y633</f>
        <v>0</v>
      </c>
      <c r="CC633" s="266">
        <f ca="1">P633*IFERROR(INDEX(Algorithms!$G:$G,MATCH($C633&amp;"_Therm Saved per Unit- MLA",Algorithms!$A:$A,0)),0)*Z633</f>
        <v>0</v>
      </c>
      <c r="CD633" s="266">
        <f ca="1">Q633*IFERROR(INDEX(Algorithms!$G:$G,MATCH($C633&amp;"_Therm Saved per Unit- MLA",Algorithms!$A:$A,0)),0)*AA633</f>
        <v>0</v>
      </c>
      <c r="CE633" s="266">
        <f ca="1">IFERROR(INDEX(Algorithms!$G:$G,MATCH($C633&amp;"_Lifetime (years)",Algorithms!$A:$A,0)),0)</f>
        <v>15</v>
      </c>
      <c r="CF633" s="266">
        <f ca="1">IFERROR(INDEX(Algorithms!$G:$G,MATCH($C633&amp;"_Lifetime (years) - Remaining Years",Algorithms!$A:$A,0)),0)</f>
        <v>0</v>
      </c>
      <c r="CG633" s="266">
        <f t="shared" ca="1" si="393"/>
        <v>0</v>
      </c>
      <c r="CH633" s="266">
        <f t="shared" ca="1" si="394"/>
        <v>0</v>
      </c>
      <c r="CI633" s="266">
        <f t="shared" ca="1" si="395"/>
        <v>0</v>
      </c>
      <c r="CJ633" s="266">
        <f t="shared" ca="1" si="396"/>
        <v>0</v>
      </c>
      <c r="CK633" s="266">
        <f t="shared" si="397"/>
        <v>0</v>
      </c>
      <c r="CL633" s="266">
        <f t="shared" si="398"/>
        <v>0</v>
      </c>
      <c r="CM633" s="266">
        <f t="shared" ca="1" si="399"/>
        <v>0</v>
      </c>
      <c r="CN633" s="266">
        <f t="shared" ca="1" si="400"/>
        <v>0</v>
      </c>
      <c r="CO633" s="266">
        <f ca="1">N633*IFERROR(INDEX(Algorithms!$G:$G,MATCH($C633&amp;"_Therm Saved per Unit- MLA",Algorithms!$A:$A,0)),0)*X633</f>
        <v>0</v>
      </c>
      <c r="CP633" s="266">
        <f ca="1">O633*IFERROR(INDEX(Algorithms!$G:$G,MATCH($C633&amp;"_Therm Saved per Unit- MLA",Algorithms!$A:$A,0)),0)*Y633</f>
        <v>0</v>
      </c>
      <c r="CQ633" s="266">
        <f ca="1">P633*IFERROR(INDEX(Algorithms!$G:$G,MATCH($C633&amp;"_Therm Saved per Unit- MLA",Algorithms!$A:$A,0)),0)*Z633</f>
        <v>0</v>
      </c>
      <c r="CR633" s="266">
        <f ca="1">Q633*IFERROR(INDEX(Algorithms!$G:$G,MATCH($C633&amp;"_Therm Saved per Unit- MLA",Algorithms!$A:$A,0)),0)*AA633</f>
        <v>0</v>
      </c>
      <c r="CS633" s="266">
        <f ca="1">IFERROR(INDEX(Algorithms!$G:$G,MATCH($C633&amp;"_Lifetime (years)",Algorithms!$A:$A,0)),0)</f>
        <v>15</v>
      </c>
      <c r="CT633" s="266">
        <f ca="1">IFERROR(INDEX(Algorithms!$G:$G,MATCH($C633&amp;"_Lifetime (years) - Remaining Years",Algorithms!$A:$A,0)),0)</f>
        <v>0</v>
      </c>
      <c r="CU633" s="266">
        <f t="shared" ca="1" si="401"/>
        <v>0</v>
      </c>
      <c r="CV633" s="266">
        <f t="shared" ca="1" si="402"/>
        <v>0</v>
      </c>
      <c r="CW633" s="266">
        <f t="shared" ca="1" si="403"/>
        <v>0</v>
      </c>
      <c r="CX633" s="266">
        <f t="shared" ca="1" si="404"/>
        <v>0</v>
      </c>
    </row>
    <row r="634" spans="2:102" s="47" customFormat="1" ht="18" customHeight="1" x14ac:dyDescent="0.25">
      <c r="B634" t="str">
        <f t="shared" si="405"/>
        <v>NSG_Business_Small/Mid-Size Business_Rebates_Infrared Heater_0_MF/CI</v>
      </c>
      <c r="C634" s="47" t="str">
        <f t="shared" si="366"/>
        <v>Infrared Heater_0_MF/CI</v>
      </c>
      <c r="D634" s="270" t="s">
        <v>1787</v>
      </c>
      <c r="E634" s="270" t="s">
        <v>3</v>
      </c>
      <c r="F634" s="270" t="s">
        <v>1432</v>
      </c>
      <c r="G634" s="270" t="s">
        <v>1429</v>
      </c>
      <c r="H634" s="270" t="s">
        <v>742</v>
      </c>
      <c r="I634" s="270">
        <v>0</v>
      </c>
      <c r="J634" s="270" t="s">
        <v>587</v>
      </c>
      <c r="K634" s="263">
        <v>1</v>
      </c>
      <c r="L634" s="263" t="str">
        <f ca="1">IFERROR(INDEX(Algorithms!J:J,MATCH($C634&amp;"_Therm Saved per Unit",Algorithms!$A:$A,0)),"n/a")</f>
        <v>4.4.12</v>
      </c>
      <c r="M634" s="263" t="str">
        <f>IFERROR(INDEX('Measure Level Detail'!$N:$N,MATCH($B634,'Measure Level Detail'!$B:$B,0)),0)</f>
        <v>MBH</v>
      </c>
      <c r="N634" s="271">
        <f>IFERROR(INDEX('Measure Level Detail'!$P:$P,MATCH($B634&amp;"_"&amp;N$3,'Measure Level Detail'!$C:$C,0)),0)</f>
        <v>0</v>
      </c>
      <c r="O634" s="271">
        <f>IFERROR(INDEX('Measure Level Detail'!$P:$P,MATCH($B634&amp;"_"&amp;O$3,'Measure Level Detail'!$C:$C,0)),0)</f>
        <v>0</v>
      </c>
      <c r="P634" s="271">
        <f>IFERROR(INDEX('Measure Level Detail'!$P:$P,MATCH($B634&amp;"_"&amp;P$3,'Measure Level Detail'!$C:$C,0)),0)</f>
        <v>0</v>
      </c>
      <c r="Q634" s="271">
        <f>IFERROR(INDEX('Measure Level Detail'!$P:$P,MATCH($B634&amp;"_"&amp;Q$3,'Measure Level Detail'!$C:$C,0)),0)</f>
        <v>0</v>
      </c>
      <c r="R634" s="263" t="str">
        <f ca="1">IFERROR(INDEX(Algorithms!K:K,MATCH($C634&amp;"_Therm Saved per Unit",Algorithms!$A:$A,0)),"n/a")</f>
        <v>CI-HVC-IRHT-V03-230101</v>
      </c>
      <c r="S634" s="262"/>
      <c r="T634" s="272">
        <v>2.9611764705882351</v>
      </c>
      <c r="U634" s="272">
        <v>2.9611764705882351</v>
      </c>
      <c r="V634" s="272">
        <v>2.9611764705882351</v>
      </c>
      <c r="W634" s="272">
        <v>2.9611764705882351</v>
      </c>
      <c r="X634" s="276">
        <v>0.93</v>
      </c>
      <c r="Y634" s="276">
        <v>0.93</v>
      </c>
      <c r="Z634" s="276">
        <v>0.93</v>
      </c>
      <c r="AA634" s="276">
        <v>0.93</v>
      </c>
      <c r="AB634" s="266">
        <f t="shared" si="367"/>
        <v>0</v>
      </c>
      <c r="AC634" s="266">
        <f t="shared" si="368"/>
        <v>0</v>
      </c>
      <c r="AD634" s="266">
        <f t="shared" si="369"/>
        <v>0</v>
      </c>
      <c r="AE634" s="266">
        <f t="shared" si="370"/>
        <v>0</v>
      </c>
      <c r="AF634" s="266">
        <f t="shared" si="371"/>
        <v>0</v>
      </c>
      <c r="AG634" s="274">
        <v>0.93</v>
      </c>
      <c r="AH634" s="274">
        <v>0.93</v>
      </c>
      <c r="AI634" s="274">
        <v>0.93</v>
      </c>
      <c r="AJ634" s="274">
        <v>0.93</v>
      </c>
      <c r="AK634" s="274">
        <f t="shared" si="372"/>
        <v>0.93</v>
      </c>
      <c r="AL634" s="274">
        <f t="shared" si="373"/>
        <v>0.93</v>
      </c>
      <c r="AM634" s="274">
        <f t="shared" si="374"/>
        <v>0.93</v>
      </c>
      <c r="AN634" s="274">
        <f t="shared" si="375"/>
        <v>0.93</v>
      </c>
      <c r="AO634" s="262"/>
      <c r="AP634" s="262"/>
      <c r="AQ634" s="267">
        <v>2.9611764705882351</v>
      </c>
      <c r="AR634" s="262"/>
      <c r="AS634" s="266">
        <f t="shared" si="376"/>
        <v>0</v>
      </c>
      <c r="AT634" s="264">
        <f t="shared" si="377"/>
        <v>0</v>
      </c>
      <c r="AU634" s="262"/>
      <c r="AV634" s="262"/>
      <c r="AW634" s="265">
        <v>2.9611764705882351</v>
      </c>
      <c r="AX634" s="164" t="s">
        <v>1469</v>
      </c>
      <c r="AY634" s="266">
        <v>0</v>
      </c>
      <c r="AZ634" s="266">
        <f t="shared" si="378"/>
        <v>0</v>
      </c>
      <c r="BA634" s="264">
        <f t="shared" si="379"/>
        <v>0</v>
      </c>
      <c r="BB634" s="262"/>
      <c r="BC634" s="262"/>
      <c r="BD634" s="265">
        <f ca="1">IFERROR(INDEX(Algorithms!$G:$G,MATCH($C634&amp;"_Therm Saved per Unit",Algorithms!$A:$A,0)),0)</f>
        <v>2.9611764705882351</v>
      </c>
      <c r="BE634" s="164" t="str">
        <f ca="1">IFERROR(INDEX('v12 Revisions'!$P$29:$P$186, MATCH('Measure-Level Adj Gas'!$L634, 'v12 Revisions'!$D$29:$D$186,0)),"")</f>
        <v/>
      </c>
      <c r="BF634" s="266">
        <f t="shared" ca="1" si="380"/>
        <v>0</v>
      </c>
      <c r="BG634" s="264">
        <f t="shared" ca="1" si="381"/>
        <v>0</v>
      </c>
      <c r="BH634" s="262"/>
      <c r="BI634" s="262"/>
      <c r="BJ634" s="265">
        <f ca="1">IFERROR(INDEX(Algorithms!$G:$G,MATCH($C634&amp;"_Therm Saved per Unit",Algorithms!$A:$A,0)),0)</f>
        <v>2.9611764705882351</v>
      </c>
      <c r="BK634" s="164"/>
      <c r="BL634" s="266">
        <f t="shared" ca="1" si="382"/>
        <v>0</v>
      </c>
      <c r="BM634" s="264">
        <f t="shared" ca="1" si="383"/>
        <v>0</v>
      </c>
      <c r="BN634" s="266">
        <f t="shared" si="384"/>
        <v>0</v>
      </c>
      <c r="BO634" s="266">
        <f t="shared" si="385"/>
        <v>0</v>
      </c>
      <c r="BP634" s="266">
        <f t="shared" ca="1" si="386"/>
        <v>0</v>
      </c>
      <c r="BQ634" s="266">
        <f t="shared" ca="1" si="387"/>
        <v>0</v>
      </c>
      <c r="BR634" s="268">
        <f t="shared" ca="1" si="388"/>
        <v>0</v>
      </c>
      <c r="BS634" s="262" t="s">
        <v>99</v>
      </c>
      <c r="BT634" s="277"/>
      <c r="BW634" s="266">
        <f t="shared" si="389"/>
        <v>0</v>
      </c>
      <c r="BX634" s="266">
        <f t="shared" si="390"/>
        <v>0</v>
      </c>
      <c r="BY634" s="266">
        <f t="shared" si="391"/>
        <v>0</v>
      </c>
      <c r="BZ634" s="266">
        <f t="shared" si="392"/>
        <v>0</v>
      </c>
      <c r="CA634" s="266">
        <f ca="1">N634*IFERROR(INDEX(Algorithms!$G:$G,MATCH($C634&amp;"_Therm Saved per Unit- MLA",Algorithms!$A:$A,0)),0)*X634</f>
        <v>0</v>
      </c>
      <c r="CB634" s="266">
        <f ca="1">O634*IFERROR(INDEX(Algorithms!$G:$G,MATCH($C634&amp;"_Therm Saved per Unit- MLA",Algorithms!$A:$A,0)),0)*Y634</f>
        <v>0</v>
      </c>
      <c r="CC634" s="266">
        <f ca="1">P634*IFERROR(INDEX(Algorithms!$G:$G,MATCH($C634&amp;"_Therm Saved per Unit- MLA",Algorithms!$A:$A,0)),0)*Z634</f>
        <v>0</v>
      </c>
      <c r="CD634" s="266">
        <f ca="1">Q634*IFERROR(INDEX(Algorithms!$G:$G,MATCH($C634&amp;"_Therm Saved per Unit- MLA",Algorithms!$A:$A,0)),0)*AA634</f>
        <v>0</v>
      </c>
      <c r="CE634" s="266">
        <f ca="1">IFERROR(INDEX(Algorithms!$G:$G,MATCH($C634&amp;"_Lifetime (years)",Algorithms!$A:$A,0)),0)</f>
        <v>15</v>
      </c>
      <c r="CF634" s="266">
        <f ca="1">IFERROR(INDEX(Algorithms!$G:$G,MATCH($C634&amp;"_Lifetime (years) - Remaining Years",Algorithms!$A:$A,0)),0)</f>
        <v>0</v>
      </c>
      <c r="CG634" s="266">
        <f t="shared" ca="1" si="393"/>
        <v>0</v>
      </c>
      <c r="CH634" s="266">
        <f t="shared" ca="1" si="394"/>
        <v>0</v>
      </c>
      <c r="CI634" s="266">
        <f t="shared" ca="1" si="395"/>
        <v>0</v>
      </c>
      <c r="CJ634" s="266">
        <f t="shared" ca="1" si="396"/>
        <v>0</v>
      </c>
      <c r="CK634" s="266">
        <f t="shared" si="397"/>
        <v>0</v>
      </c>
      <c r="CL634" s="266">
        <f t="shared" si="398"/>
        <v>0</v>
      </c>
      <c r="CM634" s="266">
        <f t="shared" ca="1" si="399"/>
        <v>0</v>
      </c>
      <c r="CN634" s="266">
        <f t="shared" ca="1" si="400"/>
        <v>0</v>
      </c>
      <c r="CO634" s="266">
        <f ca="1">N634*IFERROR(INDEX(Algorithms!$G:$G,MATCH($C634&amp;"_Therm Saved per Unit- MLA",Algorithms!$A:$A,0)),0)*X634</f>
        <v>0</v>
      </c>
      <c r="CP634" s="266">
        <f ca="1">O634*IFERROR(INDEX(Algorithms!$G:$G,MATCH($C634&amp;"_Therm Saved per Unit- MLA",Algorithms!$A:$A,0)),0)*Y634</f>
        <v>0</v>
      </c>
      <c r="CQ634" s="266">
        <f ca="1">P634*IFERROR(INDEX(Algorithms!$G:$G,MATCH($C634&amp;"_Therm Saved per Unit- MLA",Algorithms!$A:$A,0)),0)*Z634</f>
        <v>0</v>
      </c>
      <c r="CR634" s="266">
        <f ca="1">Q634*IFERROR(INDEX(Algorithms!$G:$G,MATCH($C634&amp;"_Therm Saved per Unit- MLA",Algorithms!$A:$A,0)),0)*AA634</f>
        <v>0</v>
      </c>
      <c r="CS634" s="266">
        <f ca="1">IFERROR(INDEX(Algorithms!$G:$G,MATCH($C634&amp;"_Lifetime (years)",Algorithms!$A:$A,0)),0)</f>
        <v>15</v>
      </c>
      <c r="CT634" s="266">
        <f ca="1">IFERROR(INDEX(Algorithms!$G:$G,MATCH($C634&amp;"_Lifetime (years) - Remaining Years",Algorithms!$A:$A,0)),0)</f>
        <v>0</v>
      </c>
      <c r="CU634" s="266">
        <f t="shared" ca="1" si="401"/>
        <v>0</v>
      </c>
      <c r="CV634" s="266">
        <f t="shared" ca="1" si="402"/>
        <v>0</v>
      </c>
      <c r="CW634" s="266">
        <f t="shared" ca="1" si="403"/>
        <v>0</v>
      </c>
      <c r="CX634" s="266">
        <f t="shared" ca="1" si="404"/>
        <v>0</v>
      </c>
    </row>
    <row r="635" spans="2:102" s="47" customFormat="1" ht="18" customHeight="1" x14ac:dyDescent="0.25">
      <c r="B635" t="str">
        <f t="shared" si="405"/>
        <v>NSG_Business_Small/Mid-Size Business_Rebates_Modulating Commercial Gas Clothes Dryer_Hotels &amp; Hospitals_CI</v>
      </c>
      <c r="C635" s="47" t="str">
        <f t="shared" si="366"/>
        <v>Modulating Commercial Gas Clothes Dryer_Hotels &amp; Hospitals_CI</v>
      </c>
      <c r="D635" s="270" t="s">
        <v>1787</v>
      </c>
      <c r="E635" s="270" t="s">
        <v>3</v>
      </c>
      <c r="F635" s="270" t="s">
        <v>1432</v>
      </c>
      <c r="G635" s="270" t="s">
        <v>1429</v>
      </c>
      <c r="H635" s="270" t="s">
        <v>12</v>
      </c>
      <c r="I635" s="270" t="s">
        <v>1253</v>
      </c>
      <c r="J635" s="270" t="s">
        <v>1159</v>
      </c>
      <c r="K635" s="263">
        <v>1</v>
      </c>
      <c r="L635" s="263" t="str">
        <f ca="1">IFERROR(INDEX(Algorithms!J:J,MATCH($C635&amp;"_Therm Saved per Unit",Algorithms!$A:$A,0)),"n/a")</f>
        <v>4.8.4</v>
      </c>
      <c r="M635" s="263" t="str">
        <f>IFERROR(INDEX('Measure Level Detail'!$N:$N,MATCH($B635,'Measure Level Detail'!$B:$B,0)),0)</f>
        <v>each</v>
      </c>
      <c r="N635" s="271">
        <f>IFERROR(INDEX('Measure Level Detail'!$P:$P,MATCH($B635&amp;"_"&amp;N$3,'Measure Level Detail'!$C:$C,0)),0)</f>
        <v>0</v>
      </c>
      <c r="O635" s="271">
        <f>IFERROR(INDEX('Measure Level Detail'!$P:$P,MATCH($B635&amp;"_"&amp;O$3,'Measure Level Detail'!$C:$C,0)),0)</f>
        <v>0</v>
      </c>
      <c r="P635" s="271">
        <f>IFERROR(INDEX('Measure Level Detail'!$P:$P,MATCH($B635&amp;"_"&amp;P$3,'Measure Level Detail'!$C:$C,0)),0)</f>
        <v>0</v>
      </c>
      <c r="Q635" s="271">
        <f>IFERROR(INDEX('Measure Level Detail'!$P:$P,MATCH($B635&amp;"_"&amp;Q$3,'Measure Level Detail'!$C:$C,0)),0)</f>
        <v>0</v>
      </c>
      <c r="R635" s="263" t="str">
        <f ca="1">IFERROR(INDEX(Algorithms!K:K,MATCH($C635&amp;"_Therm Saved per Unit",Algorithms!$A:$A,0)),"n/a")</f>
        <v>CI-MSC-MODD-V02-230101</v>
      </c>
      <c r="S635" s="262"/>
      <c r="T635" s="272">
        <v>649.26</v>
      </c>
      <c r="U635" s="272">
        <v>649.26</v>
      </c>
      <c r="V635" s="272">
        <v>649.26</v>
      </c>
      <c r="W635" s="272">
        <v>649.26</v>
      </c>
      <c r="X635" s="276">
        <v>0.93</v>
      </c>
      <c r="Y635" s="276">
        <v>0.93</v>
      </c>
      <c r="Z635" s="276">
        <v>0.93</v>
      </c>
      <c r="AA635" s="276">
        <v>0.93</v>
      </c>
      <c r="AB635" s="266">
        <f t="shared" si="367"/>
        <v>0</v>
      </c>
      <c r="AC635" s="266">
        <f t="shared" si="368"/>
        <v>0</v>
      </c>
      <c r="AD635" s="266">
        <f t="shared" si="369"/>
        <v>0</v>
      </c>
      <c r="AE635" s="266">
        <f t="shared" si="370"/>
        <v>0</v>
      </c>
      <c r="AF635" s="266">
        <f t="shared" si="371"/>
        <v>0</v>
      </c>
      <c r="AG635" s="274">
        <v>0.93</v>
      </c>
      <c r="AH635" s="274">
        <v>0.93</v>
      </c>
      <c r="AI635" s="274">
        <v>0.93</v>
      </c>
      <c r="AJ635" s="274">
        <v>0.93</v>
      </c>
      <c r="AK635" s="274">
        <f t="shared" si="372"/>
        <v>0.93</v>
      </c>
      <c r="AL635" s="274">
        <f t="shared" si="373"/>
        <v>0.93</v>
      </c>
      <c r="AM635" s="274">
        <f t="shared" si="374"/>
        <v>0.93</v>
      </c>
      <c r="AN635" s="274">
        <f t="shared" si="375"/>
        <v>0.93</v>
      </c>
      <c r="AO635" s="262"/>
      <c r="AP635" s="262"/>
      <c r="AQ635" s="267">
        <v>649.26</v>
      </c>
      <c r="AR635" s="262"/>
      <c r="AS635" s="266">
        <f t="shared" si="376"/>
        <v>0</v>
      </c>
      <c r="AT635" s="264">
        <f t="shared" si="377"/>
        <v>0</v>
      </c>
      <c r="AU635" s="262"/>
      <c r="AV635" s="262"/>
      <c r="AW635" s="265">
        <v>649.26</v>
      </c>
      <c r="AX635" s="164" t="s">
        <v>2396</v>
      </c>
      <c r="AY635" s="266">
        <v>0</v>
      </c>
      <c r="AZ635" s="266">
        <f t="shared" si="378"/>
        <v>0</v>
      </c>
      <c r="BA635" s="264">
        <f t="shared" si="379"/>
        <v>0</v>
      </c>
      <c r="BB635" s="262"/>
      <c r="BC635" s="262"/>
      <c r="BD635" s="265">
        <f ca="1">IFERROR(INDEX(Algorithms!$G:$G,MATCH($C635&amp;"_Therm Saved per Unit",Algorithms!$A:$A,0)),0)</f>
        <v>649.26</v>
      </c>
      <c r="BE635" s="164" t="str">
        <f ca="1">IFERROR(INDEX('v12 Revisions'!$P$29:$P$186, MATCH('Measure-Level Adj Gas'!$L635, 'v12 Revisions'!$D$29:$D$186,0)),"")</f>
        <v/>
      </c>
      <c r="BF635" s="266">
        <f t="shared" ca="1" si="380"/>
        <v>0</v>
      </c>
      <c r="BG635" s="264">
        <f t="shared" ca="1" si="381"/>
        <v>0</v>
      </c>
      <c r="BH635" s="262"/>
      <c r="BI635" s="262"/>
      <c r="BJ635" s="265">
        <f ca="1">IFERROR(INDEX(Algorithms!$G:$G,MATCH($C635&amp;"_Therm Saved per Unit",Algorithms!$A:$A,0)),0)</f>
        <v>649.26</v>
      </c>
      <c r="BK635" s="164"/>
      <c r="BL635" s="266">
        <f t="shared" ca="1" si="382"/>
        <v>0</v>
      </c>
      <c r="BM635" s="264">
        <f t="shared" ca="1" si="383"/>
        <v>0</v>
      </c>
      <c r="BN635" s="266">
        <f t="shared" si="384"/>
        <v>0</v>
      </c>
      <c r="BO635" s="266">
        <f t="shared" si="385"/>
        <v>0</v>
      </c>
      <c r="BP635" s="266">
        <f t="shared" ca="1" si="386"/>
        <v>0</v>
      </c>
      <c r="BQ635" s="266">
        <f t="shared" ca="1" si="387"/>
        <v>0</v>
      </c>
      <c r="BR635" s="268">
        <f t="shared" ca="1" si="388"/>
        <v>0</v>
      </c>
      <c r="BS635" s="262" t="s">
        <v>99</v>
      </c>
      <c r="BT635" s="277"/>
      <c r="BW635" s="266">
        <f t="shared" si="389"/>
        <v>0</v>
      </c>
      <c r="BX635" s="266">
        <f t="shared" si="390"/>
        <v>0</v>
      </c>
      <c r="BY635" s="266">
        <f t="shared" si="391"/>
        <v>0</v>
      </c>
      <c r="BZ635" s="266">
        <f t="shared" si="392"/>
        <v>0</v>
      </c>
      <c r="CA635" s="266">
        <f ca="1">N635*IFERROR(INDEX(Algorithms!$G:$G,MATCH($C635&amp;"_Therm Saved per Unit- MLA",Algorithms!$A:$A,0)),0)*X635</f>
        <v>0</v>
      </c>
      <c r="CB635" s="266">
        <f ca="1">O635*IFERROR(INDEX(Algorithms!$G:$G,MATCH($C635&amp;"_Therm Saved per Unit- MLA",Algorithms!$A:$A,0)),0)*Y635</f>
        <v>0</v>
      </c>
      <c r="CC635" s="266">
        <f ca="1">P635*IFERROR(INDEX(Algorithms!$G:$G,MATCH($C635&amp;"_Therm Saved per Unit- MLA",Algorithms!$A:$A,0)),0)*Z635</f>
        <v>0</v>
      </c>
      <c r="CD635" s="266">
        <f ca="1">Q635*IFERROR(INDEX(Algorithms!$G:$G,MATCH($C635&amp;"_Therm Saved per Unit- MLA",Algorithms!$A:$A,0)),0)*AA635</f>
        <v>0</v>
      </c>
      <c r="CE635" s="266">
        <f ca="1">IFERROR(INDEX(Algorithms!$G:$G,MATCH($C635&amp;"_Lifetime (years)",Algorithms!$A:$A,0)),0)</f>
        <v>10</v>
      </c>
      <c r="CF635" s="266">
        <f ca="1">IFERROR(INDEX(Algorithms!$G:$G,MATCH($C635&amp;"_Lifetime (years) - Remaining Years",Algorithms!$A:$A,0)),0)</f>
        <v>0</v>
      </c>
      <c r="CG635" s="266">
        <f t="shared" ca="1" si="393"/>
        <v>0</v>
      </c>
      <c r="CH635" s="266">
        <f t="shared" ca="1" si="394"/>
        <v>0</v>
      </c>
      <c r="CI635" s="266">
        <f t="shared" ca="1" si="395"/>
        <v>0</v>
      </c>
      <c r="CJ635" s="266">
        <f t="shared" ca="1" si="396"/>
        <v>0</v>
      </c>
      <c r="CK635" s="266">
        <f t="shared" si="397"/>
        <v>0</v>
      </c>
      <c r="CL635" s="266">
        <f t="shared" si="398"/>
        <v>0</v>
      </c>
      <c r="CM635" s="266">
        <f t="shared" ca="1" si="399"/>
        <v>0</v>
      </c>
      <c r="CN635" s="266">
        <f t="shared" ca="1" si="400"/>
        <v>0</v>
      </c>
      <c r="CO635" s="266">
        <f ca="1">N635*IFERROR(INDEX(Algorithms!$G:$G,MATCH($C635&amp;"_Therm Saved per Unit- MLA",Algorithms!$A:$A,0)),0)*X635</f>
        <v>0</v>
      </c>
      <c r="CP635" s="266">
        <f ca="1">O635*IFERROR(INDEX(Algorithms!$G:$G,MATCH($C635&amp;"_Therm Saved per Unit- MLA",Algorithms!$A:$A,0)),0)*Y635</f>
        <v>0</v>
      </c>
      <c r="CQ635" s="266">
        <f ca="1">P635*IFERROR(INDEX(Algorithms!$G:$G,MATCH($C635&amp;"_Therm Saved per Unit- MLA",Algorithms!$A:$A,0)),0)*Z635</f>
        <v>0</v>
      </c>
      <c r="CR635" s="266">
        <f ca="1">Q635*IFERROR(INDEX(Algorithms!$G:$G,MATCH($C635&amp;"_Therm Saved per Unit- MLA",Algorithms!$A:$A,0)),0)*AA635</f>
        <v>0</v>
      </c>
      <c r="CS635" s="266">
        <f ca="1">IFERROR(INDEX(Algorithms!$G:$G,MATCH($C635&amp;"_Lifetime (years)",Algorithms!$A:$A,0)),0)</f>
        <v>10</v>
      </c>
      <c r="CT635" s="266">
        <f ca="1">IFERROR(INDEX(Algorithms!$G:$G,MATCH($C635&amp;"_Lifetime (years) - Remaining Years",Algorithms!$A:$A,0)),0)</f>
        <v>0</v>
      </c>
      <c r="CU635" s="266">
        <f t="shared" ca="1" si="401"/>
        <v>0</v>
      </c>
      <c r="CV635" s="266">
        <f t="shared" ca="1" si="402"/>
        <v>0</v>
      </c>
      <c r="CW635" s="266">
        <f t="shared" ca="1" si="403"/>
        <v>0</v>
      </c>
      <c r="CX635" s="266">
        <f t="shared" ca="1" si="404"/>
        <v>0</v>
      </c>
    </row>
    <row r="636" spans="2:102" s="47" customFormat="1" ht="18" customHeight="1" x14ac:dyDescent="0.25">
      <c r="B636" t="str">
        <f t="shared" si="405"/>
        <v>NSG_Business_Small/Mid-Size Business_Rebates_Ozone Laundry_0_MF/CI</v>
      </c>
      <c r="C636" s="47" t="str">
        <f t="shared" si="366"/>
        <v>Ozone Laundry_0_MF/CI</v>
      </c>
      <c r="D636" s="270" t="s">
        <v>1787</v>
      </c>
      <c r="E636" s="270" t="s">
        <v>3</v>
      </c>
      <c r="F636" s="270" t="s">
        <v>1432</v>
      </c>
      <c r="G636" s="270" t="s">
        <v>1429</v>
      </c>
      <c r="H636" s="270" t="s">
        <v>16</v>
      </c>
      <c r="I636" s="270">
        <v>0</v>
      </c>
      <c r="J636" s="270" t="s">
        <v>587</v>
      </c>
      <c r="K636" s="263">
        <v>1</v>
      </c>
      <c r="L636" s="263" t="str">
        <f ca="1">IFERROR(INDEX(Algorithms!J:J,MATCH($C636&amp;"_Therm Saved per Unit",Algorithms!$A:$A,0)),"n/a")</f>
        <v>4.3.6</v>
      </c>
      <c r="M636" s="263" t="str">
        <f>IFERROR(INDEX('Measure Level Detail'!$N:$N,MATCH($B636,'Measure Level Detail'!$B:$B,0)),0)</f>
        <v>lb-capacity</v>
      </c>
      <c r="N636" s="271">
        <f>IFERROR(INDEX('Measure Level Detail'!$P:$P,MATCH($B636&amp;"_"&amp;N$3,'Measure Level Detail'!$C:$C,0)),0)</f>
        <v>0</v>
      </c>
      <c r="O636" s="271">
        <f>IFERROR(INDEX('Measure Level Detail'!$P:$P,MATCH($B636&amp;"_"&amp;O$3,'Measure Level Detail'!$C:$C,0)),0)</f>
        <v>0</v>
      </c>
      <c r="P636" s="271">
        <f>IFERROR(INDEX('Measure Level Detail'!$P:$P,MATCH($B636&amp;"_"&amp;P$3,'Measure Level Detail'!$C:$C,0)),0)</f>
        <v>0</v>
      </c>
      <c r="Q636" s="271">
        <f>IFERROR(INDEX('Measure Level Detail'!$P:$P,MATCH($B636&amp;"_"&amp;Q$3,'Measure Level Detail'!$C:$C,0)),0)</f>
        <v>0</v>
      </c>
      <c r="R636" s="263" t="str">
        <f ca="1">IFERROR(INDEX(Algorithms!K:K,MATCH($C636&amp;"_Therm Saved per Unit",Algorithms!$A:$A,0)),"n/a")</f>
        <v>CI-HWE-OZLD-V07-230101</v>
      </c>
      <c r="S636" s="262"/>
      <c r="T636" s="272">
        <v>30.722664192350027</v>
      </c>
      <c r="U636" s="272">
        <v>30.722664192350027</v>
      </c>
      <c r="V636" s="272">
        <v>30.722664192350027</v>
      </c>
      <c r="W636" s="272">
        <v>30.722664192350027</v>
      </c>
      <c r="X636" s="276">
        <v>0.93</v>
      </c>
      <c r="Y636" s="276">
        <v>0.93</v>
      </c>
      <c r="Z636" s="276">
        <v>0.93</v>
      </c>
      <c r="AA636" s="276">
        <v>0.93</v>
      </c>
      <c r="AB636" s="266">
        <f t="shared" si="367"/>
        <v>0</v>
      </c>
      <c r="AC636" s="266">
        <f t="shared" si="368"/>
        <v>0</v>
      </c>
      <c r="AD636" s="266">
        <f t="shared" si="369"/>
        <v>0</v>
      </c>
      <c r="AE636" s="266">
        <f t="shared" si="370"/>
        <v>0</v>
      </c>
      <c r="AF636" s="266">
        <f t="shared" si="371"/>
        <v>0</v>
      </c>
      <c r="AG636" s="274">
        <v>0.93</v>
      </c>
      <c r="AH636" s="274">
        <v>0.93</v>
      </c>
      <c r="AI636" s="274">
        <v>0.93</v>
      </c>
      <c r="AJ636" s="274">
        <v>0.93</v>
      </c>
      <c r="AK636" s="274">
        <f t="shared" si="372"/>
        <v>0.93</v>
      </c>
      <c r="AL636" s="274">
        <f t="shared" si="373"/>
        <v>0.93</v>
      </c>
      <c r="AM636" s="274">
        <f t="shared" si="374"/>
        <v>0.93</v>
      </c>
      <c r="AN636" s="274">
        <f t="shared" si="375"/>
        <v>0.93</v>
      </c>
      <c r="AO636" s="262"/>
      <c r="AP636" s="262"/>
      <c r="AQ636" s="267">
        <v>30.722664192350027</v>
      </c>
      <c r="AR636" s="262"/>
      <c r="AS636" s="266">
        <f t="shared" si="376"/>
        <v>0</v>
      </c>
      <c r="AT636" s="264">
        <f t="shared" si="377"/>
        <v>0</v>
      </c>
      <c r="AU636" s="262"/>
      <c r="AV636" s="262"/>
      <c r="AW636" s="265">
        <v>30.722664192350027</v>
      </c>
      <c r="AX636" s="164" t="s">
        <v>1469</v>
      </c>
      <c r="AY636" s="266">
        <v>0</v>
      </c>
      <c r="AZ636" s="266">
        <f t="shared" si="378"/>
        <v>0</v>
      </c>
      <c r="BA636" s="264">
        <f t="shared" si="379"/>
        <v>0</v>
      </c>
      <c r="BB636" s="262"/>
      <c r="BC636" s="262"/>
      <c r="BD636" s="265">
        <f ca="1">IFERROR(INDEX(Algorithms!$G:$G,MATCH($C636&amp;"_Therm Saved per Unit",Algorithms!$A:$A,0)),0)</f>
        <v>30.722664192350027</v>
      </c>
      <c r="BE636" s="164" t="str">
        <f ca="1">IFERROR(INDEX('v12 Revisions'!$P$29:$P$186, MATCH('Measure-Level Adj Gas'!$L636, 'v12 Revisions'!$D$29:$D$186,0)),"")</f>
        <v/>
      </c>
      <c r="BF636" s="266">
        <f t="shared" ca="1" si="380"/>
        <v>0</v>
      </c>
      <c r="BG636" s="264">
        <f t="shared" ca="1" si="381"/>
        <v>0</v>
      </c>
      <c r="BH636" s="262"/>
      <c r="BI636" s="262"/>
      <c r="BJ636" s="265">
        <f ca="1">IFERROR(INDEX(Algorithms!$G:$G,MATCH($C636&amp;"_Therm Saved per Unit",Algorithms!$A:$A,0)),0)</f>
        <v>30.722664192350027</v>
      </c>
      <c r="BK636" s="164"/>
      <c r="BL636" s="266">
        <f t="shared" ca="1" si="382"/>
        <v>0</v>
      </c>
      <c r="BM636" s="264">
        <f t="shared" ca="1" si="383"/>
        <v>0</v>
      </c>
      <c r="BN636" s="266">
        <f t="shared" si="384"/>
        <v>0</v>
      </c>
      <c r="BO636" s="266">
        <f t="shared" si="385"/>
        <v>0</v>
      </c>
      <c r="BP636" s="266">
        <f t="shared" ca="1" si="386"/>
        <v>0</v>
      </c>
      <c r="BQ636" s="266">
        <f t="shared" ca="1" si="387"/>
        <v>0</v>
      </c>
      <c r="BR636" s="268">
        <f t="shared" ca="1" si="388"/>
        <v>0</v>
      </c>
      <c r="BS636" s="262" t="s">
        <v>99</v>
      </c>
      <c r="BT636" s="277"/>
      <c r="BW636" s="266">
        <f t="shared" si="389"/>
        <v>0</v>
      </c>
      <c r="BX636" s="266">
        <f t="shared" si="390"/>
        <v>0</v>
      </c>
      <c r="BY636" s="266">
        <f t="shared" si="391"/>
        <v>0</v>
      </c>
      <c r="BZ636" s="266">
        <f t="shared" si="392"/>
        <v>0</v>
      </c>
      <c r="CA636" s="266">
        <f ca="1">N636*IFERROR(INDEX(Algorithms!$G:$G,MATCH($C636&amp;"_Therm Saved per Unit- MLA",Algorithms!$A:$A,0)),0)*X636</f>
        <v>0</v>
      </c>
      <c r="CB636" s="266">
        <f ca="1">O636*IFERROR(INDEX(Algorithms!$G:$G,MATCH($C636&amp;"_Therm Saved per Unit- MLA",Algorithms!$A:$A,0)),0)*Y636</f>
        <v>0</v>
      </c>
      <c r="CC636" s="266">
        <f ca="1">P636*IFERROR(INDEX(Algorithms!$G:$G,MATCH($C636&amp;"_Therm Saved per Unit- MLA",Algorithms!$A:$A,0)),0)*Z636</f>
        <v>0</v>
      </c>
      <c r="CD636" s="266">
        <f ca="1">Q636*IFERROR(INDEX(Algorithms!$G:$G,MATCH($C636&amp;"_Therm Saved per Unit- MLA",Algorithms!$A:$A,0)),0)*AA636</f>
        <v>0</v>
      </c>
      <c r="CE636" s="266">
        <f ca="1">IFERROR(INDEX(Algorithms!$G:$G,MATCH($C636&amp;"_Lifetime (years)",Algorithms!$A:$A,0)),0)</f>
        <v>10</v>
      </c>
      <c r="CF636" s="266">
        <f ca="1">IFERROR(INDEX(Algorithms!$G:$G,MATCH($C636&amp;"_Lifetime (years) - Remaining Years",Algorithms!$A:$A,0)),0)</f>
        <v>0</v>
      </c>
      <c r="CG636" s="266">
        <f t="shared" ca="1" si="393"/>
        <v>0</v>
      </c>
      <c r="CH636" s="266">
        <f t="shared" ca="1" si="394"/>
        <v>0</v>
      </c>
      <c r="CI636" s="266">
        <f t="shared" ca="1" si="395"/>
        <v>0</v>
      </c>
      <c r="CJ636" s="266">
        <f t="shared" ca="1" si="396"/>
        <v>0</v>
      </c>
      <c r="CK636" s="266">
        <f t="shared" si="397"/>
        <v>0</v>
      </c>
      <c r="CL636" s="266">
        <f t="shared" si="398"/>
        <v>0</v>
      </c>
      <c r="CM636" s="266">
        <f t="shared" ca="1" si="399"/>
        <v>0</v>
      </c>
      <c r="CN636" s="266">
        <f t="shared" ca="1" si="400"/>
        <v>0</v>
      </c>
      <c r="CO636" s="266">
        <f ca="1">N636*IFERROR(INDEX(Algorithms!$G:$G,MATCH($C636&amp;"_Therm Saved per Unit- MLA",Algorithms!$A:$A,0)),0)*X636</f>
        <v>0</v>
      </c>
      <c r="CP636" s="266">
        <f ca="1">O636*IFERROR(INDEX(Algorithms!$G:$G,MATCH($C636&amp;"_Therm Saved per Unit- MLA",Algorithms!$A:$A,0)),0)*Y636</f>
        <v>0</v>
      </c>
      <c r="CQ636" s="266">
        <f ca="1">P636*IFERROR(INDEX(Algorithms!$G:$G,MATCH($C636&amp;"_Therm Saved per Unit- MLA",Algorithms!$A:$A,0)),0)*Z636</f>
        <v>0</v>
      </c>
      <c r="CR636" s="266">
        <f ca="1">Q636*IFERROR(INDEX(Algorithms!$G:$G,MATCH($C636&amp;"_Therm Saved per Unit- MLA",Algorithms!$A:$A,0)),0)*AA636</f>
        <v>0</v>
      </c>
      <c r="CS636" s="266">
        <f ca="1">IFERROR(INDEX(Algorithms!$G:$G,MATCH($C636&amp;"_Lifetime (years)",Algorithms!$A:$A,0)),0)</f>
        <v>10</v>
      </c>
      <c r="CT636" s="266">
        <f ca="1">IFERROR(INDEX(Algorithms!$G:$G,MATCH($C636&amp;"_Lifetime (years) - Remaining Years",Algorithms!$A:$A,0)),0)</f>
        <v>0</v>
      </c>
      <c r="CU636" s="266">
        <f t="shared" ca="1" si="401"/>
        <v>0</v>
      </c>
      <c r="CV636" s="266">
        <f t="shared" ca="1" si="402"/>
        <v>0</v>
      </c>
      <c r="CW636" s="266">
        <f t="shared" ca="1" si="403"/>
        <v>0</v>
      </c>
      <c r="CX636" s="266">
        <f t="shared" ca="1" si="404"/>
        <v>0</v>
      </c>
    </row>
    <row r="637" spans="2:102" s="47" customFormat="1" ht="18" customHeight="1" x14ac:dyDescent="0.25">
      <c r="B637" t="str">
        <f t="shared" si="405"/>
        <v>NSG_Business_Small/Mid-Size Business_Rebates_Pipe Insulation_Dry Cleaners_CI/SMB</v>
      </c>
      <c r="C637" s="47" t="str">
        <f t="shared" si="366"/>
        <v>Pipe Insulation_Dry Cleaners_CI/SMB</v>
      </c>
      <c r="D637" s="270" t="s">
        <v>1787</v>
      </c>
      <c r="E637" s="270" t="s">
        <v>3</v>
      </c>
      <c r="F637" s="270" t="s">
        <v>1432</v>
      </c>
      <c r="G637" s="270" t="s">
        <v>1429</v>
      </c>
      <c r="H637" s="270" t="s">
        <v>404</v>
      </c>
      <c r="I637" s="270" t="s">
        <v>969</v>
      </c>
      <c r="J637" s="270" t="s">
        <v>970</v>
      </c>
      <c r="K637" s="263">
        <v>1</v>
      </c>
      <c r="L637" s="263" t="str">
        <f ca="1">IFERROR(INDEX(Algorithms!J:J,MATCH($C637&amp;"_Therm Saved per Unit",Algorithms!$A:$A,0)),"n/a")</f>
        <v>"3 - Res Pipe Insulation" worksheet</v>
      </c>
      <c r="M637" s="263" t="str">
        <f>IFERROR(INDEX('Measure Level Detail'!$N:$N,MATCH($B637,'Measure Level Detail'!$B:$B,0)),0)</f>
        <v>linear feet</v>
      </c>
      <c r="N637" s="271">
        <f>IFERROR(INDEX('Measure Level Detail'!$P:$P,MATCH($B637&amp;"_"&amp;N$3,'Measure Level Detail'!$C:$C,0)),0)</f>
        <v>0</v>
      </c>
      <c r="O637" s="271">
        <f>IFERROR(INDEX('Measure Level Detail'!$P:$P,MATCH($B637&amp;"_"&amp;O$3,'Measure Level Detail'!$C:$C,0)),0)</f>
        <v>0</v>
      </c>
      <c r="P637" s="271">
        <f>IFERROR(INDEX('Measure Level Detail'!$P:$P,MATCH($B637&amp;"_"&amp;P$3,'Measure Level Detail'!$C:$C,0)),0)</f>
        <v>0</v>
      </c>
      <c r="Q637" s="271">
        <f>IFERROR(INDEX('Measure Level Detail'!$P:$P,MATCH($B637&amp;"_"&amp;Q$3,'Measure Level Detail'!$C:$C,0)),0)</f>
        <v>0</v>
      </c>
      <c r="R637" s="263">
        <f ca="1">IFERROR(INDEX(Algorithms!K:K,MATCH($C637&amp;"_Therm Saved per Unit",Algorithms!$A:$A,0)),"n/a")</f>
        <v>0</v>
      </c>
      <c r="S637" s="262"/>
      <c r="T637" s="272">
        <v>2.6562680100025178</v>
      </c>
      <c r="U637" s="272">
        <v>2.6562680100025178</v>
      </c>
      <c r="V637" s="272">
        <v>2.6562680100025178</v>
      </c>
      <c r="W637" s="272">
        <v>2.6562680100025178</v>
      </c>
      <c r="X637" s="276">
        <v>0.93</v>
      </c>
      <c r="Y637" s="276">
        <v>0.93</v>
      </c>
      <c r="Z637" s="276">
        <v>0.93</v>
      </c>
      <c r="AA637" s="276">
        <v>0.93</v>
      </c>
      <c r="AB637" s="266">
        <f t="shared" si="367"/>
        <v>0</v>
      </c>
      <c r="AC637" s="266">
        <f t="shared" si="368"/>
        <v>0</v>
      </c>
      <c r="AD637" s="266">
        <f t="shared" si="369"/>
        <v>0</v>
      </c>
      <c r="AE637" s="266">
        <f t="shared" si="370"/>
        <v>0</v>
      </c>
      <c r="AF637" s="266">
        <f t="shared" si="371"/>
        <v>0</v>
      </c>
      <c r="AG637" s="274">
        <v>0.93</v>
      </c>
      <c r="AH637" s="274">
        <v>0.93</v>
      </c>
      <c r="AI637" s="274">
        <v>0.93</v>
      </c>
      <c r="AJ637" s="274">
        <v>0.93</v>
      </c>
      <c r="AK637" s="274">
        <f t="shared" si="372"/>
        <v>0.93</v>
      </c>
      <c r="AL637" s="274">
        <f t="shared" si="373"/>
        <v>0.93</v>
      </c>
      <c r="AM637" s="274">
        <f t="shared" si="374"/>
        <v>0.93</v>
      </c>
      <c r="AN637" s="274">
        <f t="shared" si="375"/>
        <v>0.93</v>
      </c>
      <c r="AO637" s="262"/>
      <c r="AP637" s="262"/>
      <c r="AQ637" s="267">
        <v>2.6562680100025178</v>
      </c>
      <c r="AR637" s="262"/>
      <c r="AS637" s="266">
        <f t="shared" si="376"/>
        <v>0</v>
      </c>
      <c r="AT637" s="264">
        <f t="shared" si="377"/>
        <v>0</v>
      </c>
      <c r="AU637" s="262"/>
      <c r="AV637" s="262"/>
      <c r="AW637" s="265">
        <v>2.6562680100025178</v>
      </c>
      <c r="AX637" s="164" t="s">
        <v>1469</v>
      </c>
      <c r="AY637" s="266">
        <v>0</v>
      </c>
      <c r="AZ637" s="266">
        <f t="shared" si="378"/>
        <v>0</v>
      </c>
      <c r="BA637" s="264">
        <f t="shared" si="379"/>
        <v>0</v>
      </c>
      <c r="BB637" s="262"/>
      <c r="BC637" s="262"/>
      <c r="BD637" s="265">
        <f ca="1">IFERROR(INDEX(Algorithms!$G:$G,MATCH($C637&amp;"_Therm Saved per Unit",Algorithms!$A:$A,0)),0)</f>
        <v>2.6562680100025178</v>
      </c>
      <c r="BE637" s="164" t="str">
        <f ca="1">IFERROR(INDEX('v12 Revisions'!$P$29:$P$186, MATCH('Measure-Level Adj Gas'!$L637, 'v12 Revisions'!$D$29:$D$186,0)),"")</f>
        <v/>
      </c>
      <c r="BF637" s="266">
        <f t="shared" ca="1" si="380"/>
        <v>0</v>
      </c>
      <c r="BG637" s="264">
        <f t="shared" ca="1" si="381"/>
        <v>0</v>
      </c>
      <c r="BH637" s="262"/>
      <c r="BI637" s="262"/>
      <c r="BJ637" s="265">
        <f ca="1">IFERROR(INDEX(Algorithms!$G:$G,MATCH($C637&amp;"_Therm Saved per Unit",Algorithms!$A:$A,0)),0)</f>
        <v>2.6562680100025178</v>
      </c>
      <c r="BK637" s="164"/>
      <c r="BL637" s="266">
        <f t="shared" ca="1" si="382"/>
        <v>0</v>
      </c>
      <c r="BM637" s="264">
        <f t="shared" ca="1" si="383"/>
        <v>0</v>
      </c>
      <c r="BN637" s="266">
        <f t="shared" si="384"/>
        <v>0</v>
      </c>
      <c r="BO637" s="266">
        <f t="shared" si="385"/>
        <v>0</v>
      </c>
      <c r="BP637" s="266">
        <f t="shared" ca="1" si="386"/>
        <v>0</v>
      </c>
      <c r="BQ637" s="266">
        <f t="shared" ca="1" si="387"/>
        <v>0</v>
      </c>
      <c r="BR637" s="268">
        <f t="shared" ca="1" si="388"/>
        <v>0</v>
      </c>
      <c r="BS637" s="262" t="s">
        <v>99</v>
      </c>
      <c r="BT637" s="277"/>
      <c r="BW637" s="266">
        <f t="shared" si="389"/>
        <v>0</v>
      </c>
      <c r="BX637" s="266">
        <f t="shared" si="390"/>
        <v>0</v>
      </c>
      <c r="BY637" s="266">
        <f t="shared" si="391"/>
        <v>0</v>
      </c>
      <c r="BZ637" s="266">
        <f t="shared" si="392"/>
        <v>0</v>
      </c>
      <c r="CA637" s="266">
        <f ca="1">N637*IFERROR(INDEX(Algorithms!$G:$G,MATCH($C637&amp;"_Therm Saved per Unit- MLA",Algorithms!$A:$A,0)),0)*X637</f>
        <v>0</v>
      </c>
      <c r="CB637" s="266">
        <f ca="1">O637*IFERROR(INDEX(Algorithms!$G:$G,MATCH($C637&amp;"_Therm Saved per Unit- MLA",Algorithms!$A:$A,0)),0)*Y637</f>
        <v>0</v>
      </c>
      <c r="CC637" s="266">
        <f ca="1">P637*IFERROR(INDEX(Algorithms!$G:$G,MATCH($C637&amp;"_Therm Saved per Unit- MLA",Algorithms!$A:$A,0)),0)*Z637</f>
        <v>0</v>
      </c>
      <c r="CD637" s="266">
        <f ca="1">Q637*IFERROR(INDEX(Algorithms!$G:$G,MATCH($C637&amp;"_Therm Saved per Unit- MLA",Algorithms!$A:$A,0)),0)*AA637</f>
        <v>0</v>
      </c>
      <c r="CE637" s="266">
        <f ca="1">IFERROR(INDEX(Algorithms!$G:$G,MATCH($C637&amp;"_Lifetime (years)",Algorithms!$A:$A,0)),0)</f>
        <v>15</v>
      </c>
      <c r="CF637" s="266">
        <f ca="1">IFERROR(INDEX(Algorithms!$G:$G,MATCH($C637&amp;"_Lifetime (years) - Remaining Years",Algorithms!$A:$A,0)),0)</f>
        <v>0</v>
      </c>
      <c r="CG637" s="266">
        <f t="shared" ca="1" si="393"/>
        <v>0</v>
      </c>
      <c r="CH637" s="266">
        <f t="shared" ca="1" si="394"/>
        <v>0</v>
      </c>
      <c r="CI637" s="266">
        <f t="shared" ca="1" si="395"/>
        <v>0</v>
      </c>
      <c r="CJ637" s="266">
        <f t="shared" ca="1" si="396"/>
        <v>0</v>
      </c>
      <c r="CK637" s="266">
        <f t="shared" si="397"/>
        <v>0</v>
      </c>
      <c r="CL637" s="266">
        <f t="shared" si="398"/>
        <v>0</v>
      </c>
      <c r="CM637" s="266">
        <f t="shared" ca="1" si="399"/>
        <v>0</v>
      </c>
      <c r="CN637" s="266">
        <f t="shared" ca="1" si="400"/>
        <v>0</v>
      </c>
      <c r="CO637" s="266">
        <f ca="1">N637*IFERROR(INDEX(Algorithms!$G:$G,MATCH($C637&amp;"_Therm Saved per Unit- MLA",Algorithms!$A:$A,0)),0)*X637</f>
        <v>0</v>
      </c>
      <c r="CP637" s="266">
        <f ca="1">O637*IFERROR(INDEX(Algorithms!$G:$G,MATCH($C637&amp;"_Therm Saved per Unit- MLA",Algorithms!$A:$A,0)),0)*Y637</f>
        <v>0</v>
      </c>
      <c r="CQ637" s="266">
        <f ca="1">P637*IFERROR(INDEX(Algorithms!$G:$G,MATCH($C637&amp;"_Therm Saved per Unit- MLA",Algorithms!$A:$A,0)),0)*Z637</f>
        <v>0</v>
      </c>
      <c r="CR637" s="266">
        <f ca="1">Q637*IFERROR(INDEX(Algorithms!$G:$G,MATCH($C637&amp;"_Therm Saved per Unit- MLA",Algorithms!$A:$A,0)),0)*AA637</f>
        <v>0</v>
      </c>
      <c r="CS637" s="266">
        <f ca="1">IFERROR(INDEX(Algorithms!$G:$G,MATCH($C637&amp;"_Lifetime (years)",Algorithms!$A:$A,0)),0)</f>
        <v>15</v>
      </c>
      <c r="CT637" s="266">
        <f ca="1">IFERROR(INDEX(Algorithms!$G:$G,MATCH($C637&amp;"_Lifetime (years) - Remaining Years",Algorithms!$A:$A,0)),0)</f>
        <v>0</v>
      </c>
      <c r="CU637" s="266">
        <f t="shared" ca="1" si="401"/>
        <v>0</v>
      </c>
      <c r="CV637" s="266">
        <f t="shared" ca="1" si="402"/>
        <v>0</v>
      </c>
      <c r="CW637" s="266">
        <f t="shared" ca="1" si="403"/>
        <v>0</v>
      </c>
      <c r="CX637" s="266">
        <f t="shared" ca="1" si="404"/>
        <v>0</v>
      </c>
    </row>
    <row r="638" spans="2:102" s="47" customFormat="1" ht="18" customHeight="1" x14ac:dyDescent="0.25">
      <c r="B638" t="str">
        <f t="shared" si="405"/>
        <v>NSG_Business_Small/Mid-Size Business_Rebates_Pipe Insulation_Steam - X-Large &gt;8"_CI</v>
      </c>
      <c r="C638" s="47" t="str">
        <f t="shared" si="366"/>
        <v>Pipe Insulation_Steam - X-Large &gt;8"_CI</v>
      </c>
      <c r="D638" s="270" t="s">
        <v>1787</v>
      </c>
      <c r="E638" s="270" t="s">
        <v>3</v>
      </c>
      <c r="F638" s="270" t="s">
        <v>1432</v>
      </c>
      <c r="G638" s="270" t="s">
        <v>1429</v>
      </c>
      <c r="H638" s="270" t="s">
        <v>404</v>
      </c>
      <c r="I638" s="270" t="s">
        <v>960</v>
      </c>
      <c r="J638" s="270" t="s">
        <v>1159</v>
      </c>
      <c r="K638" s="263">
        <v>1</v>
      </c>
      <c r="L638" s="263" t="str">
        <f ca="1">IFERROR(INDEX(Algorithms!J:J,MATCH($C638&amp;"_Therm Saved per Unit",Algorithms!$A:$A,0)),"n/a")</f>
        <v>"3 - Pipe Insulation" worksheet</v>
      </c>
      <c r="M638" s="263" t="str">
        <f>IFERROR(INDEX('Measure Level Detail'!$N:$N,MATCH($B638,'Measure Level Detail'!$B:$B,0)),0)</f>
        <v>ft</v>
      </c>
      <c r="N638" s="271">
        <f>IFERROR(INDEX('Measure Level Detail'!$P:$P,MATCH($B638&amp;"_"&amp;N$3,'Measure Level Detail'!$C:$C,0)),0)</f>
        <v>0</v>
      </c>
      <c r="O638" s="271">
        <f>IFERROR(INDEX('Measure Level Detail'!$P:$P,MATCH($B638&amp;"_"&amp;O$3,'Measure Level Detail'!$C:$C,0)),0)</f>
        <v>0</v>
      </c>
      <c r="P638" s="271">
        <f>IFERROR(INDEX('Measure Level Detail'!$P:$P,MATCH($B638&amp;"_"&amp;P$3,'Measure Level Detail'!$C:$C,0)),0)</f>
        <v>0</v>
      </c>
      <c r="Q638" s="271">
        <f>IFERROR(INDEX('Measure Level Detail'!$P:$P,MATCH($B638&amp;"_"&amp;Q$3,'Measure Level Detail'!$C:$C,0)),0)</f>
        <v>0</v>
      </c>
      <c r="R638" s="263">
        <f ca="1">IFERROR(INDEX(Algorithms!K:K,MATCH($C638&amp;"_Therm Saved per Unit",Algorithms!$A:$A,0)),"n/a")</f>
        <v>0</v>
      </c>
      <c r="S638" s="262"/>
      <c r="T638" s="272">
        <v>35.984797966765058</v>
      </c>
      <c r="U638" s="272">
        <v>35.984797966765058</v>
      </c>
      <c r="V638" s="272">
        <v>35.984797966765058</v>
      </c>
      <c r="W638" s="272">
        <v>35.984797966765058</v>
      </c>
      <c r="X638" s="276">
        <v>0.93</v>
      </c>
      <c r="Y638" s="276">
        <v>0.93</v>
      </c>
      <c r="Z638" s="276">
        <v>0.93</v>
      </c>
      <c r="AA638" s="276">
        <v>0.93</v>
      </c>
      <c r="AB638" s="266">
        <f t="shared" si="367"/>
        <v>0</v>
      </c>
      <c r="AC638" s="266">
        <f t="shared" si="368"/>
        <v>0</v>
      </c>
      <c r="AD638" s="266">
        <f t="shared" si="369"/>
        <v>0</v>
      </c>
      <c r="AE638" s="266">
        <f t="shared" si="370"/>
        <v>0</v>
      </c>
      <c r="AF638" s="266">
        <f t="shared" si="371"/>
        <v>0</v>
      </c>
      <c r="AG638" s="274">
        <v>0.93</v>
      </c>
      <c r="AH638" s="274">
        <v>0.93</v>
      </c>
      <c r="AI638" s="274">
        <v>0.93</v>
      </c>
      <c r="AJ638" s="274">
        <v>0.93</v>
      </c>
      <c r="AK638" s="274">
        <f t="shared" si="372"/>
        <v>0.93</v>
      </c>
      <c r="AL638" s="274">
        <f t="shared" si="373"/>
        <v>0.93</v>
      </c>
      <c r="AM638" s="274">
        <f t="shared" si="374"/>
        <v>0.93</v>
      </c>
      <c r="AN638" s="274">
        <f t="shared" si="375"/>
        <v>0.93</v>
      </c>
      <c r="AO638" s="262"/>
      <c r="AP638" s="262"/>
      <c r="AQ638" s="267">
        <v>35.984797966765058</v>
      </c>
      <c r="AR638" s="262"/>
      <c r="AS638" s="266">
        <f t="shared" si="376"/>
        <v>0</v>
      </c>
      <c r="AT638" s="264">
        <f t="shared" si="377"/>
        <v>0</v>
      </c>
      <c r="AU638" s="262"/>
      <c r="AV638" s="262"/>
      <c r="AW638" s="265">
        <v>35.984797966765058</v>
      </c>
      <c r="AX638" s="164" t="s">
        <v>1469</v>
      </c>
      <c r="AY638" s="266">
        <v>0</v>
      </c>
      <c r="AZ638" s="266">
        <f t="shared" si="378"/>
        <v>0</v>
      </c>
      <c r="BA638" s="264">
        <f t="shared" si="379"/>
        <v>0</v>
      </c>
      <c r="BB638" s="262"/>
      <c r="BC638" s="262"/>
      <c r="BD638" s="265">
        <f ca="1">IFERROR(INDEX(Algorithms!$G:$G,MATCH($C638&amp;"_Therm Saved per Unit",Algorithms!$A:$A,0)),0)</f>
        <v>35.984797966765058</v>
      </c>
      <c r="BE638" s="164" t="str">
        <f ca="1">IFERROR(INDEX('v12 Revisions'!$P$29:$P$186, MATCH('Measure-Level Adj Gas'!$L638, 'v12 Revisions'!$D$29:$D$186,0)),"")</f>
        <v/>
      </c>
      <c r="BF638" s="266">
        <f t="shared" ca="1" si="380"/>
        <v>0</v>
      </c>
      <c r="BG638" s="264">
        <f t="shared" ca="1" si="381"/>
        <v>0</v>
      </c>
      <c r="BH638" s="262"/>
      <c r="BI638" s="262"/>
      <c r="BJ638" s="265">
        <f ca="1">IFERROR(INDEX(Algorithms!$G:$G,MATCH($C638&amp;"_Therm Saved per Unit",Algorithms!$A:$A,0)),0)</f>
        <v>35.984797966765058</v>
      </c>
      <c r="BK638" s="164"/>
      <c r="BL638" s="266">
        <f t="shared" ca="1" si="382"/>
        <v>0</v>
      </c>
      <c r="BM638" s="264">
        <f t="shared" ca="1" si="383"/>
        <v>0</v>
      </c>
      <c r="BN638" s="266">
        <f t="shared" si="384"/>
        <v>0</v>
      </c>
      <c r="BO638" s="266">
        <f t="shared" si="385"/>
        <v>0</v>
      </c>
      <c r="BP638" s="266">
        <f t="shared" ca="1" si="386"/>
        <v>0</v>
      </c>
      <c r="BQ638" s="266">
        <f t="shared" ca="1" si="387"/>
        <v>0</v>
      </c>
      <c r="BR638" s="268">
        <f t="shared" ca="1" si="388"/>
        <v>0</v>
      </c>
      <c r="BS638" s="262" t="s">
        <v>99</v>
      </c>
      <c r="BT638" s="277"/>
      <c r="BW638" s="266">
        <f t="shared" si="389"/>
        <v>0</v>
      </c>
      <c r="BX638" s="266">
        <f t="shared" si="390"/>
        <v>0</v>
      </c>
      <c r="BY638" s="266">
        <f t="shared" si="391"/>
        <v>0</v>
      </c>
      <c r="BZ638" s="266">
        <f t="shared" si="392"/>
        <v>0</v>
      </c>
      <c r="CA638" s="266">
        <f ca="1">N638*IFERROR(INDEX(Algorithms!$G:$G,MATCH($C638&amp;"_Therm Saved per Unit- MLA",Algorithms!$A:$A,0)),0)*X638</f>
        <v>0</v>
      </c>
      <c r="CB638" s="266">
        <f ca="1">O638*IFERROR(INDEX(Algorithms!$G:$G,MATCH($C638&amp;"_Therm Saved per Unit- MLA",Algorithms!$A:$A,0)),0)*Y638</f>
        <v>0</v>
      </c>
      <c r="CC638" s="266">
        <f ca="1">P638*IFERROR(INDEX(Algorithms!$G:$G,MATCH($C638&amp;"_Therm Saved per Unit- MLA",Algorithms!$A:$A,0)),0)*Z638</f>
        <v>0</v>
      </c>
      <c r="CD638" s="266">
        <f ca="1">Q638*IFERROR(INDEX(Algorithms!$G:$G,MATCH($C638&amp;"_Therm Saved per Unit- MLA",Algorithms!$A:$A,0)),0)*AA638</f>
        <v>0</v>
      </c>
      <c r="CE638" s="266">
        <f ca="1">IFERROR(INDEX(Algorithms!$G:$G,MATCH($C638&amp;"_Lifetime (years)",Algorithms!$A:$A,0)),0)</f>
        <v>15</v>
      </c>
      <c r="CF638" s="266">
        <f ca="1">IFERROR(INDEX(Algorithms!$G:$G,MATCH($C638&amp;"_Lifetime (years) - Remaining Years",Algorithms!$A:$A,0)),0)</f>
        <v>0</v>
      </c>
      <c r="CG638" s="266">
        <f t="shared" ca="1" si="393"/>
        <v>0</v>
      </c>
      <c r="CH638" s="266">
        <f t="shared" ca="1" si="394"/>
        <v>0</v>
      </c>
      <c r="CI638" s="266">
        <f t="shared" ca="1" si="395"/>
        <v>0</v>
      </c>
      <c r="CJ638" s="266">
        <f t="shared" ca="1" si="396"/>
        <v>0</v>
      </c>
      <c r="CK638" s="266">
        <f t="shared" si="397"/>
        <v>0</v>
      </c>
      <c r="CL638" s="266">
        <f t="shared" si="398"/>
        <v>0</v>
      </c>
      <c r="CM638" s="266">
        <f t="shared" ca="1" si="399"/>
        <v>0</v>
      </c>
      <c r="CN638" s="266">
        <f t="shared" ca="1" si="400"/>
        <v>0</v>
      </c>
      <c r="CO638" s="266">
        <f ca="1">N638*IFERROR(INDEX(Algorithms!$G:$G,MATCH($C638&amp;"_Therm Saved per Unit- MLA",Algorithms!$A:$A,0)),0)*X638</f>
        <v>0</v>
      </c>
      <c r="CP638" s="266">
        <f ca="1">O638*IFERROR(INDEX(Algorithms!$G:$G,MATCH($C638&amp;"_Therm Saved per Unit- MLA",Algorithms!$A:$A,0)),0)*Y638</f>
        <v>0</v>
      </c>
      <c r="CQ638" s="266">
        <f ca="1">P638*IFERROR(INDEX(Algorithms!$G:$G,MATCH($C638&amp;"_Therm Saved per Unit- MLA",Algorithms!$A:$A,0)),0)*Z638</f>
        <v>0</v>
      </c>
      <c r="CR638" s="266">
        <f ca="1">Q638*IFERROR(INDEX(Algorithms!$G:$G,MATCH($C638&amp;"_Therm Saved per Unit- MLA",Algorithms!$A:$A,0)),0)*AA638</f>
        <v>0</v>
      </c>
      <c r="CS638" s="266">
        <f ca="1">IFERROR(INDEX(Algorithms!$G:$G,MATCH($C638&amp;"_Lifetime (years)",Algorithms!$A:$A,0)),0)</f>
        <v>15</v>
      </c>
      <c r="CT638" s="266">
        <f ca="1">IFERROR(INDEX(Algorithms!$G:$G,MATCH($C638&amp;"_Lifetime (years) - Remaining Years",Algorithms!$A:$A,0)),0)</f>
        <v>0</v>
      </c>
      <c r="CU638" s="266">
        <f t="shared" ca="1" si="401"/>
        <v>0</v>
      </c>
      <c r="CV638" s="266">
        <f t="shared" ca="1" si="402"/>
        <v>0</v>
      </c>
      <c r="CW638" s="266">
        <f t="shared" ca="1" si="403"/>
        <v>0</v>
      </c>
      <c r="CX638" s="266">
        <f t="shared" ca="1" si="404"/>
        <v>0</v>
      </c>
    </row>
    <row r="639" spans="2:102" s="47" customFormat="1" ht="18" customHeight="1" x14ac:dyDescent="0.25">
      <c r="B639" t="str">
        <f t="shared" si="405"/>
        <v>NSG_Business_Small/Mid-Size Business_Rebates_Pipe Insulation_Steam Med Fitting_CI</v>
      </c>
      <c r="C639" s="47" t="str">
        <f t="shared" si="366"/>
        <v>Pipe Insulation_Steam Med Fitting_CI</v>
      </c>
      <c r="D639" s="270" t="s">
        <v>1787</v>
      </c>
      <c r="E639" s="270" t="s">
        <v>3</v>
      </c>
      <c r="F639" s="270" t="s">
        <v>1432</v>
      </c>
      <c r="G639" s="270" t="s">
        <v>1429</v>
      </c>
      <c r="H639" s="270" t="s">
        <v>404</v>
      </c>
      <c r="I639" s="270" t="s">
        <v>962</v>
      </c>
      <c r="J639" s="270" t="s">
        <v>1159</v>
      </c>
      <c r="K639" s="263">
        <v>1</v>
      </c>
      <c r="L639" s="263" t="str">
        <f ca="1">IFERROR(INDEX(Algorithms!J:J,MATCH($C639&amp;"_Therm Saved per Unit",Algorithms!$A:$A,0)),"n/a")</f>
        <v>"3 - Pipe Insulation" worksheet</v>
      </c>
      <c r="M639" s="263" t="str">
        <f>IFERROR(INDEX('Measure Level Detail'!$N:$N,MATCH($B639,'Measure Level Detail'!$B:$B,0)),0)</f>
        <v>each</v>
      </c>
      <c r="N639" s="271">
        <f>IFERROR(INDEX('Measure Level Detail'!$P:$P,MATCH($B639&amp;"_"&amp;N$3,'Measure Level Detail'!$C:$C,0)),0)</f>
        <v>0</v>
      </c>
      <c r="O639" s="271">
        <f>IFERROR(INDEX('Measure Level Detail'!$P:$P,MATCH($B639&amp;"_"&amp;O$3,'Measure Level Detail'!$C:$C,0)),0)</f>
        <v>0</v>
      </c>
      <c r="P639" s="271">
        <f>IFERROR(INDEX('Measure Level Detail'!$P:$P,MATCH($B639&amp;"_"&amp;P$3,'Measure Level Detail'!$C:$C,0)),0)</f>
        <v>0</v>
      </c>
      <c r="Q639" s="271">
        <f>IFERROR(INDEX('Measure Level Detail'!$P:$P,MATCH($B639&amp;"_"&amp;Q$3,'Measure Level Detail'!$C:$C,0)),0)</f>
        <v>0</v>
      </c>
      <c r="R639" s="263">
        <f ca="1">IFERROR(INDEX(Algorithms!K:K,MATCH($C639&amp;"_Therm Saved per Unit",Algorithms!$A:$A,0)),"n/a")</f>
        <v>0</v>
      </c>
      <c r="S639" s="262"/>
      <c r="T639" s="272">
        <v>16.16754015857342</v>
      </c>
      <c r="U639" s="272">
        <v>16.16754015857342</v>
      </c>
      <c r="V639" s="272">
        <v>16.16754015857342</v>
      </c>
      <c r="W639" s="272">
        <v>16.16754015857342</v>
      </c>
      <c r="X639" s="276">
        <v>0.93</v>
      </c>
      <c r="Y639" s="276">
        <v>0.93</v>
      </c>
      <c r="Z639" s="276">
        <v>0.93</v>
      </c>
      <c r="AA639" s="276">
        <v>0.93</v>
      </c>
      <c r="AB639" s="266">
        <f t="shared" si="367"/>
        <v>0</v>
      </c>
      <c r="AC639" s="266">
        <f t="shared" si="368"/>
        <v>0</v>
      </c>
      <c r="AD639" s="266">
        <f t="shared" si="369"/>
        <v>0</v>
      </c>
      <c r="AE639" s="266">
        <f t="shared" si="370"/>
        <v>0</v>
      </c>
      <c r="AF639" s="266">
        <f t="shared" si="371"/>
        <v>0</v>
      </c>
      <c r="AG639" s="274">
        <v>0.93</v>
      </c>
      <c r="AH639" s="274">
        <v>0.93</v>
      </c>
      <c r="AI639" s="274">
        <v>0.93</v>
      </c>
      <c r="AJ639" s="274">
        <v>0.93</v>
      </c>
      <c r="AK639" s="274">
        <f t="shared" si="372"/>
        <v>0.93</v>
      </c>
      <c r="AL639" s="274">
        <f t="shared" si="373"/>
        <v>0.93</v>
      </c>
      <c r="AM639" s="274">
        <f t="shared" si="374"/>
        <v>0.93</v>
      </c>
      <c r="AN639" s="274">
        <f t="shared" si="375"/>
        <v>0.93</v>
      </c>
      <c r="AO639" s="262"/>
      <c r="AP639" s="262"/>
      <c r="AQ639" s="267">
        <v>16.16754015857342</v>
      </c>
      <c r="AR639" s="262"/>
      <c r="AS639" s="266">
        <f t="shared" si="376"/>
        <v>0</v>
      </c>
      <c r="AT639" s="264">
        <f t="shared" si="377"/>
        <v>0</v>
      </c>
      <c r="AU639" s="262"/>
      <c r="AV639" s="262"/>
      <c r="AW639" s="265">
        <v>16.16754015857342</v>
      </c>
      <c r="AX639" s="164" t="s">
        <v>1469</v>
      </c>
      <c r="AY639" s="266">
        <v>0</v>
      </c>
      <c r="AZ639" s="266">
        <f t="shared" si="378"/>
        <v>0</v>
      </c>
      <c r="BA639" s="264">
        <f t="shared" si="379"/>
        <v>0</v>
      </c>
      <c r="BB639" s="262"/>
      <c r="BC639" s="262"/>
      <c r="BD639" s="265">
        <f ca="1">IFERROR(INDEX(Algorithms!$G:$G,MATCH($C639&amp;"_Therm Saved per Unit",Algorithms!$A:$A,0)),0)</f>
        <v>16.16754015857342</v>
      </c>
      <c r="BE639" s="164" t="str">
        <f ca="1">IFERROR(INDEX('v12 Revisions'!$P$29:$P$186, MATCH('Measure-Level Adj Gas'!$L639, 'v12 Revisions'!$D$29:$D$186,0)),"")</f>
        <v/>
      </c>
      <c r="BF639" s="266">
        <f t="shared" ca="1" si="380"/>
        <v>0</v>
      </c>
      <c r="BG639" s="264">
        <f t="shared" ca="1" si="381"/>
        <v>0</v>
      </c>
      <c r="BH639" s="262"/>
      <c r="BI639" s="262"/>
      <c r="BJ639" s="265">
        <f ca="1">IFERROR(INDEX(Algorithms!$G:$G,MATCH($C639&amp;"_Therm Saved per Unit",Algorithms!$A:$A,0)),0)</f>
        <v>16.16754015857342</v>
      </c>
      <c r="BK639" s="164"/>
      <c r="BL639" s="266">
        <f t="shared" ca="1" si="382"/>
        <v>0</v>
      </c>
      <c r="BM639" s="264">
        <f t="shared" ca="1" si="383"/>
        <v>0</v>
      </c>
      <c r="BN639" s="266">
        <f t="shared" si="384"/>
        <v>0</v>
      </c>
      <c r="BO639" s="266">
        <f t="shared" si="385"/>
        <v>0</v>
      </c>
      <c r="BP639" s="266">
        <f t="shared" ca="1" si="386"/>
        <v>0</v>
      </c>
      <c r="BQ639" s="266">
        <f t="shared" ca="1" si="387"/>
        <v>0</v>
      </c>
      <c r="BR639" s="268">
        <f t="shared" ca="1" si="388"/>
        <v>0</v>
      </c>
      <c r="BS639" s="262" t="s">
        <v>99</v>
      </c>
      <c r="BT639" s="277"/>
      <c r="BW639" s="266">
        <f t="shared" si="389"/>
        <v>0</v>
      </c>
      <c r="BX639" s="266">
        <f t="shared" si="390"/>
        <v>0</v>
      </c>
      <c r="BY639" s="266">
        <f t="shared" si="391"/>
        <v>0</v>
      </c>
      <c r="BZ639" s="266">
        <f t="shared" si="392"/>
        <v>0</v>
      </c>
      <c r="CA639" s="266">
        <f ca="1">N639*IFERROR(INDEX(Algorithms!$G:$G,MATCH($C639&amp;"_Therm Saved per Unit- MLA",Algorithms!$A:$A,0)),0)*X639</f>
        <v>0</v>
      </c>
      <c r="CB639" s="266">
        <f ca="1">O639*IFERROR(INDEX(Algorithms!$G:$G,MATCH($C639&amp;"_Therm Saved per Unit- MLA",Algorithms!$A:$A,0)),0)*Y639</f>
        <v>0</v>
      </c>
      <c r="CC639" s="266">
        <f ca="1">P639*IFERROR(INDEX(Algorithms!$G:$G,MATCH($C639&amp;"_Therm Saved per Unit- MLA",Algorithms!$A:$A,0)),0)*Z639</f>
        <v>0</v>
      </c>
      <c r="CD639" s="266">
        <f ca="1">Q639*IFERROR(INDEX(Algorithms!$G:$G,MATCH($C639&amp;"_Therm Saved per Unit- MLA",Algorithms!$A:$A,0)),0)*AA639</f>
        <v>0</v>
      </c>
      <c r="CE639" s="266">
        <f ca="1">IFERROR(INDEX(Algorithms!$G:$G,MATCH($C639&amp;"_Lifetime (years)",Algorithms!$A:$A,0)),0)</f>
        <v>15</v>
      </c>
      <c r="CF639" s="266">
        <f ca="1">IFERROR(INDEX(Algorithms!$G:$G,MATCH($C639&amp;"_Lifetime (years) - Remaining Years",Algorithms!$A:$A,0)),0)</f>
        <v>0</v>
      </c>
      <c r="CG639" s="266">
        <f t="shared" ca="1" si="393"/>
        <v>0</v>
      </c>
      <c r="CH639" s="266">
        <f t="shared" ca="1" si="394"/>
        <v>0</v>
      </c>
      <c r="CI639" s="266">
        <f t="shared" ca="1" si="395"/>
        <v>0</v>
      </c>
      <c r="CJ639" s="266">
        <f t="shared" ca="1" si="396"/>
        <v>0</v>
      </c>
      <c r="CK639" s="266">
        <f t="shared" si="397"/>
        <v>0</v>
      </c>
      <c r="CL639" s="266">
        <f t="shared" si="398"/>
        <v>0</v>
      </c>
      <c r="CM639" s="266">
        <f t="shared" ca="1" si="399"/>
        <v>0</v>
      </c>
      <c r="CN639" s="266">
        <f t="shared" ca="1" si="400"/>
        <v>0</v>
      </c>
      <c r="CO639" s="266">
        <f ca="1">N639*IFERROR(INDEX(Algorithms!$G:$G,MATCH($C639&amp;"_Therm Saved per Unit- MLA",Algorithms!$A:$A,0)),0)*X639</f>
        <v>0</v>
      </c>
      <c r="CP639" s="266">
        <f ca="1">O639*IFERROR(INDEX(Algorithms!$G:$G,MATCH($C639&amp;"_Therm Saved per Unit- MLA",Algorithms!$A:$A,0)),0)*Y639</f>
        <v>0</v>
      </c>
      <c r="CQ639" s="266">
        <f ca="1">P639*IFERROR(INDEX(Algorithms!$G:$G,MATCH($C639&amp;"_Therm Saved per Unit- MLA",Algorithms!$A:$A,0)),0)*Z639</f>
        <v>0</v>
      </c>
      <c r="CR639" s="266">
        <f ca="1">Q639*IFERROR(INDEX(Algorithms!$G:$G,MATCH($C639&amp;"_Therm Saved per Unit- MLA",Algorithms!$A:$A,0)),0)*AA639</f>
        <v>0</v>
      </c>
      <c r="CS639" s="266">
        <f ca="1">IFERROR(INDEX(Algorithms!$G:$G,MATCH($C639&amp;"_Lifetime (years)",Algorithms!$A:$A,0)),0)</f>
        <v>15</v>
      </c>
      <c r="CT639" s="266">
        <f ca="1">IFERROR(INDEX(Algorithms!$G:$G,MATCH($C639&amp;"_Lifetime (years) - Remaining Years",Algorithms!$A:$A,0)),0)</f>
        <v>0</v>
      </c>
      <c r="CU639" s="266">
        <f t="shared" ca="1" si="401"/>
        <v>0</v>
      </c>
      <c r="CV639" s="266">
        <f t="shared" ca="1" si="402"/>
        <v>0</v>
      </c>
      <c r="CW639" s="266">
        <f t="shared" ca="1" si="403"/>
        <v>0</v>
      </c>
      <c r="CX639" s="266">
        <f t="shared" ca="1" si="404"/>
        <v>0</v>
      </c>
    </row>
    <row r="640" spans="2:102" s="47" customFormat="1" ht="18" customHeight="1" x14ac:dyDescent="0.25">
      <c r="B640" t="str">
        <f t="shared" si="405"/>
        <v>NSG_Business_Small/Mid-Size Business_Rebates_Pipe Insulation_Steam Large Fitting_CI</v>
      </c>
      <c r="C640" s="47" t="str">
        <f t="shared" si="366"/>
        <v>Pipe Insulation_Steam Large Fitting_CI</v>
      </c>
      <c r="D640" s="270" t="s">
        <v>1787</v>
      </c>
      <c r="E640" s="270" t="s">
        <v>3</v>
      </c>
      <c r="F640" s="270" t="s">
        <v>1432</v>
      </c>
      <c r="G640" s="270" t="s">
        <v>1429</v>
      </c>
      <c r="H640" s="270" t="s">
        <v>404</v>
      </c>
      <c r="I640" s="270" t="s">
        <v>963</v>
      </c>
      <c r="J640" s="270" t="s">
        <v>1159</v>
      </c>
      <c r="K640" s="263">
        <v>1</v>
      </c>
      <c r="L640" s="263" t="str">
        <f ca="1">IFERROR(INDEX(Algorithms!J:J,MATCH($C640&amp;"_Therm Saved per Unit",Algorithms!$A:$A,0)),"n/a")</f>
        <v>"3 - Pipe Insulation" worksheet</v>
      </c>
      <c r="M640" s="263" t="str">
        <f>IFERROR(INDEX('Measure Level Detail'!$N:$N,MATCH($B640,'Measure Level Detail'!$B:$B,0)),0)</f>
        <v>each</v>
      </c>
      <c r="N640" s="271">
        <f>IFERROR(INDEX('Measure Level Detail'!$P:$P,MATCH($B640&amp;"_"&amp;N$3,'Measure Level Detail'!$C:$C,0)),0)</f>
        <v>0</v>
      </c>
      <c r="O640" s="271">
        <f>IFERROR(INDEX('Measure Level Detail'!$P:$P,MATCH($B640&amp;"_"&amp;O$3,'Measure Level Detail'!$C:$C,0)),0)</f>
        <v>0</v>
      </c>
      <c r="P640" s="271">
        <f>IFERROR(INDEX('Measure Level Detail'!$P:$P,MATCH($B640&amp;"_"&amp;P$3,'Measure Level Detail'!$C:$C,0)),0)</f>
        <v>0</v>
      </c>
      <c r="Q640" s="271">
        <f>IFERROR(INDEX('Measure Level Detail'!$P:$P,MATCH($B640&amp;"_"&amp;Q$3,'Measure Level Detail'!$C:$C,0)),0)</f>
        <v>0</v>
      </c>
      <c r="R640" s="263">
        <f ca="1">IFERROR(INDEX(Algorithms!K:K,MATCH($C640&amp;"_Therm Saved per Unit",Algorithms!$A:$A,0)),"n/a")</f>
        <v>0</v>
      </c>
      <c r="S640" s="262"/>
      <c r="T640" s="272">
        <v>44.895855334511324</v>
      </c>
      <c r="U640" s="272">
        <v>44.895855334511324</v>
      </c>
      <c r="V640" s="272">
        <v>44.895855334511324</v>
      </c>
      <c r="W640" s="272">
        <v>44.895855334511324</v>
      </c>
      <c r="X640" s="276">
        <v>0.93</v>
      </c>
      <c r="Y640" s="276">
        <v>0.93</v>
      </c>
      <c r="Z640" s="276">
        <v>0.93</v>
      </c>
      <c r="AA640" s="276">
        <v>0.93</v>
      </c>
      <c r="AB640" s="266">
        <f t="shared" si="367"/>
        <v>0</v>
      </c>
      <c r="AC640" s="266">
        <f t="shared" si="368"/>
        <v>0</v>
      </c>
      <c r="AD640" s="266">
        <f t="shared" si="369"/>
        <v>0</v>
      </c>
      <c r="AE640" s="266">
        <f t="shared" si="370"/>
        <v>0</v>
      </c>
      <c r="AF640" s="266">
        <f t="shared" si="371"/>
        <v>0</v>
      </c>
      <c r="AG640" s="274">
        <v>0.93</v>
      </c>
      <c r="AH640" s="274">
        <v>0.93</v>
      </c>
      <c r="AI640" s="274">
        <v>0.93</v>
      </c>
      <c r="AJ640" s="274">
        <v>0.93</v>
      </c>
      <c r="AK640" s="274">
        <f t="shared" si="372"/>
        <v>0.93</v>
      </c>
      <c r="AL640" s="274">
        <f t="shared" si="373"/>
        <v>0.93</v>
      </c>
      <c r="AM640" s="274">
        <f t="shared" si="374"/>
        <v>0.93</v>
      </c>
      <c r="AN640" s="274">
        <f t="shared" si="375"/>
        <v>0.93</v>
      </c>
      <c r="AO640" s="262"/>
      <c r="AP640" s="262"/>
      <c r="AQ640" s="267">
        <v>44.895855334511324</v>
      </c>
      <c r="AR640" s="262"/>
      <c r="AS640" s="266">
        <f t="shared" si="376"/>
        <v>0</v>
      </c>
      <c r="AT640" s="264">
        <f t="shared" si="377"/>
        <v>0</v>
      </c>
      <c r="AU640" s="262"/>
      <c r="AV640" s="262"/>
      <c r="AW640" s="265">
        <v>44.895855334511324</v>
      </c>
      <c r="AX640" s="164" t="s">
        <v>1469</v>
      </c>
      <c r="AY640" s="266">
        <v>0</v>
      </c>
      <c r="AZ640" s="266">
        <f t="shared" si="378"/>
        <v>0</v>
      </c>
      <c r="BA640" s="264">
        <f t="shared" si="379"/>
        <v>0</v>
      </c>
      <c r="BB640" s="262"/>
      <c r="BC640" s="262"/>
      <c r="BD640" s="265">
        <f ca="1">IFERROR(INDEX(Algorithms!$G:$G,MATCH($C640&amp;"_Therm Saved per Unit",Algorithms!$A:$A,0)),0)</f>
        <v>44.895855334511324</v>
      </c>
      <c r="BE640" s="164" t="str">
        <f ca="1">IFERROR(INDEX('v12 Revisions'!$P$29:$P$186, MATCH('Measure-Level Adj Gas'!$L640, 'v12 Revisions'!$D$29:$D$186,0)),"")</f>
        <v/>
      </c>
      <c r="BF640" s="266">
        <f t="shared" ca="1" si="380"/>
        <v>0</v>
      </c>
      <c r="BG640" s="264">
        <f t="shared" ca="1" si="381"/>
        <v>0</v>
      </c>
      <c r="BH640" s="262"/>
      <c r="BI640" s="262"/>
      <c r="BJ640" s="265">
        <f ca="1">IFERROR(INDEX(Algorithms!$G:$G,MATCH($C640&amp;"_Therm Saved per Unit",Algorithms!$A:$A,0)),0)</f>
        <v>44.895855334511324</v>
      </c>
      <c r="BK640" s="164"/>
      <c r="BL640" s="266">
        <f t="shared" ca="1" si="382"/>
        <v>0</v>
      </c>
      <c r="BM640" s="264">
        <f t="shared" ca="1" si="383"/>
        <v>0</v>
      </c>
      <c r="BN640" s="266">
        <f t="shared" si="384"/>
        <v>0</v>
      </c>
      <c r="BO640" s="266">
        <f t="shared" si="385"/>
        <v>0</v>
      </c>
      <c r="BP640" s="266">
        <f t="shared" ca="1" si="386"/>
        <v>0</v>
      </c>
      <c r="BQ640" s="266">
        <f t="shared" ca="1" si="387"/>
        <v>0</v>
      </c>
      <c r="BR640" s="268">
        <f t="shared" ca="1" si="388"/>
        <v>0</v>
      </c>
      <c r="BS640" s="262" t="s">
        <v>99</v>
      </c>
      <c r="BT640" s="277"/>
      <c r="BW640" s="266">
        <f t="shared" si="389"/>
        <v>0</v>
      </c>
      <c r="BX640" s="266">
        <f t="shared" si="390"/>
        <v>0</v>
      </c>
      <c r="BY640" s="266">
        <f t="shared" si="391"/>
        <v>0</v>
      </c>
      <c r="BZ640" s="266">
        <f t="shared" si="392"/>
        <v>0</v>
      </c>
      <c r="CA640" s="266">
        <f ca="1">N640*IFERROR(INDEX(Algorithms!$G:$G,MATCH($C640&amp;"_Therm Saved per Unit- MLA",Algorithms!$A:$A,0)),0)*X640</f>
        <v>0</v>
      </c>
      <c r="CB640" s="266">
        <f ca="1">O640*IFERROR(INDEX(Algorithms!$G:$G,MATCH($C640&amp;"_Therm Saved per Unit- MLA",Algorithms!$A:$A,0)),0)*Y640</f>
        <v>0</v>
      </c>
      <c r="CC640" s="266">
        <f ca="1">P640*IFERROR(INDEX(Algorithms!$G:$G,MATCH($C640&amp;"_Therm Saved per Unit- MLA",Algorithms!$A:$A,0)),0)*Z640</f>
        <v>0</v>
      </c>
      <c r="CD640" s="266">
        <f ca="1">Q640*IFERROR(INDEX(Algorithms!$G:$G,MATCH($C640&amp;"_Therm Saved per Unit- MLA",Algorithms!$A:$A,0)),0)*AA640</f>
        <v>0</v>
      </c>
      <c r="CE640" s="266">
        <f ca="1">IFERROR(INDEX(Algorithms!$G:$G,MATCH($C640&amp;"_Lifetime (years)",Algorithms!$A:$A,0)),0)</f>
        <v>15</v>
      </c>
      <c r="CF640" s="266">
        <f ca="1">IFERROR(INDEX(Algorithms!$G:$G,MATCH($C640&amp;"_Lifetime (years) - Remaining Years",Algorithms!$A:$A,0)),0)</f>
        <v>0</v>
      </c>
      <c r="CG640" s="266">
        <f t="shared" ca="1" si="393"/>
        <v>0</v>
      </c>
      <c r="CH640" s="266">
        <f t="shared" ca="1" si="394"/>
        <v>0</v>
      </c>
      <c r="CI640" s="266">
        <f t="shared" ca="1" si="395"/>
        <v>0</v>
      </c>
      <c r="CJ640" s="266">
        <f t="shared" ca="1" si="396"/>
        <v>0</v>
      </c>
      <c r="CK640" s="266">
        <f t="shared" si="397"/>
        <v>0</v>
      </c>
      <c r="CL640" s="266">
        <f t="shared" si="398"/>
        <v>0</v>
      </c>
      <c r="CM640" s="266">
        <f t="shared" ca="1" si="399"/>
        <v>0</v>
      </c>
      <c r="CN640" s="266">
        <f t="shared" ca="1" si="400"/>
        <v>0</v>
      </c>
      <c r="CO640" s="266">
        <f ca="1">N640*IFERROR(INDEX(Algorithms!$G:$G,MATCH($C640&amp;"_Therm Saved per Unit- MLA",Algorithms!$A:$A,0)),0)*X640</f>
        <v>0</v>
      </c>
      <c r="CP640" s="266">
        <f ca="1">O640*IFERROR(INDEX(Algorithms!$G:$G,MATCH($C640&amp;"_Therm Saved per Unit- MLA",Algorithms!$A:$A,0)),0)*Y640</f>
        <v>0</v>
      </c>
      <c r="CQ640" s="266">
        <f ca="1">P640*IFERROR(INDEX(Algorithms!$G:$G,MATCH($C640&amp;"_Therm Saved per Unit- MLA",Algorithms!$A:$A,0)),0)*Z640</f>
        <v>0</v>
      </c>
      <c r="CR640" s="266">
        <f ca="1">Q640*IFERROR(INDEX(Algorithms!$G:$G,MATCH($C640&amp;"_Therm Saved per Unit- MLA",Algorithms!$A:$A,0)),0)*AA640</f>
        <v>0</v>
      </c>
      <c r="CS640" s="266">
        <f ca="1">IFERROR(INDEX(Algorithms!$G:$G,MATCH($C640&amp;"_Lifetime (years)",Algorithms!$A:$A,0)),0)</f>
        <v>15</v>
      </c>
      <c r="CT640" s="266">
        <f ca="1">IFERROR(INDEX(Algorithms!$G:$G,MATCH($C640&amp;"_Lifetime (years) - Remaining Years",Algorithms!$A:$A,0)),0)</f>
        <v>0</v>
      </c>
      <c r="CU640" s="266">
        <f t="shared" ca="1" si="401"/>
        <v>0</v>
      </c>
      <c r="CV640" s="266">
        <f t="shared" ca="1" si="402"/>
        <v>0</v>
      </c>
      <c r="CW640" s="266">
        <f t="shared" ca="1" si="403"/>
        <v>0</v>
      </c>
      <c r="CX640" s="266">
        <f t="shared" ca="1" si="404"/>
        <v>0</v>
      </c>
    </row>
    <row r="641" spans="2:102" s="47" customFormat="1" ht="18" customHeight="1" x14ac:dyDescent="0.25">
      <c r="B641" t="str">
        <f t="shared" si="405"/>
        <v>NSG_Business_Small/Mid-Size Business_Rebates_Pipe Insulation_Steam X-Large Fitting_CI</v>
      </c>
      <c r="C641" s="47" t="str">
        <f t="shared" si="366"/>
        <v>Pipe Insulation_Steam X-Large Fitting_CI</v>
      </c>
      <c r="D641" s="270" t="s">
        <v>1787</v>
      </c>
      <c r="E641" s="270" t="s">
        <v>3</v>
      </c>
      <c r="F641" s="270" t="s">
        <v>1432</v>
      </c>
      <c r="G641" s="270" t="s">
        <v>1429</v>
      </c>
      <c r="H641" s="270" t="s">
        <v>404</v>
      </c>
      <c r="I641" s="270" t="s">
        <v>964</v>
      </c>
      <c r="J641" s="270" t="s">
        <v>1159</v>
      </c>
      <c r="K641" s="263">
        <v>1</v>
      </c>
      <c r="L641" s="263" t="str">
        <f ca="1">IFERROR(INDEX(Algorithms!J:J,MATCH($C641&amp;"_Therm Saved per Unit",Algorithms!$A:$A,0)),"n/a")</f>
        <v>"3 - Pipe Insulation" worksheet</v>
      </c>
      <c r="M641" s="263" t="str">
        <f>IFERROR(INDEX('Measure Level Detail'!$N:$N,MATCH($B641,'Measure Level Detail'!$B:$B,0)),0)</f>
        <v>each</v>
      </c>
      <c r="N641" s="271">
        <f>IFERROR(INDEX('Measure Level Detail'!$P:$P,MATCH($B641&amp;"_"&amp;N$3,'Measure Level Detail'!$C:$C,0)),0)</f>
        <v>0</v>
      </c>
      <c r="O641" s="271">
        <f>IFERROR(INDEX('Measure Level Detail'!$P:$P,MATCH($B641&amp;"_"&amp;O$3,'Measure Level Detail'!$C:$C,0)),0)</f>
        <v>0</v>
      </c>
      <c r="P641" s="271">
        <f>IFERROR(INDEX('Measure Level Detail'!$P:$P,MATCH($B641&amp;"_"&amp;P$3,'Measure Level Detail'!$C:$C,0)),0)</f>
        <v>0</v>
      </c>
      <c r="Q641" s="271">
        <f>IFERROR(INDEX('Measure Level Detail'!$P:$P,MATCH($B641&amp;"_"&amp;Q$3,'Measure Level Detail'!$C:$C,0)),0)</f>
        <v>0</v>
      </c>
      <c r="R641" s="263">
        <f ca="1">IFERROR(INDEX(Algorithms!K:K,MATCH($C641&amp;"_Therm Saved per Unit",Algorithms!$A:$A,0)),"n/a")</f>
        <v>0</v>
      </c>
      <c r="S641" s="262"/>
      <c r="T641" s="272">
        <v>80.577400496643122</v>
      </c>
      <c r="U641" s="272">
        <v>80.577400496643122</v>
      </c>
      <c r="V641" s="272">
        <v>80.577400496643122</v>
      </c>
      <c r="W641" s="272">
        <v>80.577400496643122</v>
      </c>
      <c r="X641" s="276">
        <v>0.93</v>
      </c>
      <c r="Y641" s="276">
        <v>0.93</v>
      </c>
      <c r="Z641" s="276">
        <v>0.93</v>
      </c>
      <c r="AA641" s="276">
        <v>0.93</v>
      </c>
      <c r="AB641" s="266">
        <f t="shared" si="367"/>
        <v>0</v>
      </c>
      <c r="AC641" s="266">
        <f t="shared" si="368"/>
        <v>0</v>
      </c>
      <c r="AD641" s="266">
        <f t="shared" si="369"/>
        <v>0</v>
      </c>
      <c r="AE641" s="266">
        <f t="shared" si="370"/>
        <v>0</v>
      </c>
      <c r="AF641" s="266">
        <f t="shared" si="371"/>
        <v>0</v>
      </c>
      <c r="AG641" s="274">
        <v>0.93</v>
      </c>
      <c r="AH641" s="274">
        <v>0.93</v>
      </c>
      <c r="AI641" s="274">
        <v>0.93</v>
      </c>
      <c r="AJ641" s="274">
        <v>0.93</v>
      </c>
      <c r="AK641" s="274">
        <f t="shared" si="372"/>
        <v>0.93</v>
      </c>
      <c r="AL641" s="274">
        <f t="shared" si="373"/>
        <v>0.93</v>
      </c>
      <c r="AM641" s="274">
        <f t="shared" si="374"/>
        <v>0.93</v>
      </c>
      <c r="AN641" s="274">
        <f t="shared" si="375"/>
        <v>0.93</v>
      </c>
      <c r="AO641" s="262"/>
      <c r="AP641" s="262"/>
      <c r="AQ641" s="267">
        <v>80.577400496643122</v>
      </c>
      <c r="AR641" s="262"/>
      <c r="AS641" s="266">
        <f t="shared" si="376"/>
        <v>0</v>
      </c>
      <c r="AT641" s="264">
        <f t="shared" si="377"/>
        <v>0</v>
      </c>
      <c r="AU641" s="262"/>
      <c r="AV641" s="262"/>
      <c r="AW641" s="265">
        <v>80.577400496643122</v>
      </c>
      <c r="AX641" s="164" t="s">
        <v>1469</v>
      </c>
      <c r="AY641" s="266">
        <v>0</v>
      </c>
      <c r="AZ641" s="266">
        <f t="shared" si="378"/>
        <v>0</v>
      </c>
      <c r="BA641" s="264">
        <f t="shared" si="379"/>
        <v>0</v>
      </c>
      <c r="BB641" s="262"/>
      <c r="BC641" s="262"/>
      <c r="BD641" s="265">
        <f ca="1">IFERROR(INDEX(Algorithms!$G:$G,MATCH($C641&amp;"_Therm Saved per Unit",Algorithms!$A:$A,0)),0)</f>
        <v>80.577400496643122</v>
      </c>
      <c r="BE641" s="164" t="str">
        <f ca="1">IFERROR(INDEX('v12 Revisions'!$P$29:$P$186, MATCH('Measure-Level Adj Gas'!$L641, 'v12 Revisions'!$D$29:$D$186,0)),"")</f>
        <v/>
      </c>
      <c r="BF641" s="266">
        <f t="shared" ca="1" si="380"/>
        <v>0</v>
      </c>
      <c r="BG641" s="264">
        <f t="shared" ca="1" si="381"/>
        <v>0</v>
      </c>
      <c r="BH641" s="262"/>
      <c r="BI641" s="262"/>
      <c r="BJ641" s="265">
        <f ca="1">IFERROR(INDEX(Algorithms!$G:$G,MATCH($C641&amp;"_Therm Saved per Unit",Algorithms!$A:$A,0)),0)</f>
        <v>80.577400496643122</v>
      </c>
      <c r="BK641" s="164"/>
      <c r="BL641" s="266">
        <f t="shared" ca="1" si="382"/>
        <v>0</v>
      </c>
      <c r="BM641" s="264">
        <f t="shared" ca="1" si="383"/>
        <v>0</v>
      </c>
      <c r="BN641" s="266">
        <f t="shared" si="384"/>
        <v>0</v>
      </c>
      <c r="BO641" s="266">
        <f t="shared" si="385"/>
        <v>0</v>
      </c>
      <c r="BP641" s="266">
        <f t="shared" ca="1" si="386"/>
        <v>0</v>
      </c>
      <c r="BQ641" s="266">
        <f t="shared" ca="1" si="387"/>
        <v>0</v>
      </c>
      <c r="BR641" s="268">
        <f t="shared" ca="1" si="388"/>
        <v>0</v>
      </c>
      <c r="BS641" s="262" t="s">
        <v>99</v>
      </c>
      <c r="BT641" s="277"/>
      <c r="BW641" s="266">
        <f t="shared" si="389"/>
        <v>0</v>
      </c>
      <c r="BX641" s="266">
        <f t="shared" si="390"/>
        <v>0</v>
      </c>
      <c r="BY641" s="266">
        <f t="shared" si="391"/>
        <v>0</v>
      </c>
      <c r="BZ641" s="266">
        <f t="shared" si="392"/>
        <v>0</v>
      </c>
      <c r="CA641" s="266">
        <f ca="1">N641*IFERROR(INDEX(Algorithms!$G:$G,MATCH($C641&amp;"_Therm Saved per Unit- MLA",Algorithms!$A:$A,0)),0)*X641</f>
        <v>0</v>
      </c>
      <c r="CB641" s="266">
        <f ca="1">O641*IFERROR(INDEX(Algorithms!$G:$G,MATCH($C641&amp;"_Therm Saved per Unit- MLA",Algorithms!$A:$A,0)),0)*Y641</f>
        <v>0</v>
      </c>
      <c r="CC641" s="266">
        <f ca="1">P641*IFERROR(INDEX(Algorithms!$G:$G,MATCH($C641&amp;"_Therm Saved per Unit- MLA",Algorithms!$A:$A,0)),0)*Z641</f>
        <v>0</v>
      </c>
      <c r="CD641" s="266">
        <f ca="1">Q641*IFERROR(INDEX(Algorithms!$G:$G,MATCH($C641&amp;"_Therm Saved per Unit- MLA",Algorithms!$A:$A,0)),0)*AA641</f>
        <v>0</v>
      </c>
      <c r="CE641" s="266">
        <f ca="1">IFERROR(INDEX(Algorithms!$G:$G,MATCH($C641&amp;"_Lifetime (years)",Algorithms!$A:$A,0)),0)</f>
        <v>15</v>
      </c>
      <c r="CF641" s="266">
        <f ca="1">IFERROR(INDEX(Algorithms!$G:$G,MATCH($C641&amp;"_Lifetime (years) - Remaining Years",Algorithms!$A:$A,0)),0)</f>
        <v>0</v>
      </c>
      <c r="CG641" s="266">
        <f t="shared" ca="1" si="393"/>
        <v>0</v>
      </c>
      <c r="CH641" s="266">
        <f t="shared" ca="1" si="394"/>
        <v>0</v>
      </c>
      <c r="CI641" s="266">
        <f t="shared" ca="1" si="395"/>
        <v>0</v>
      </c>
      <c r="CJ641" s="266">
        <f t="shared" ca="1" si="396"/>
        <v>0</v>
      </c>
      <c r="CK641" s="266">
        <f t="shared" si="397"/>
        <v>0</v>
      </c>
      <c r="CL641" s="266">
        <f t="shared" si="398"/>
        <v>0</v>
      </c>
      <c r="CM641" s="266">
        <f t="shared" ca="1" si="399"/>
        <v>0</v>
      </c>
      <c r="CN641" s="266">
        <f t="shared" ca="1" si="400"/>
        <v>0</v>
      </c>
      <c r="CO641" s="266">
        <f ca="1">N641*IFERROR(INDEX(Algorithms!$G:$G,MATCH($C641&amp;"_Therm Saved per Unit- MLA",Algorithms!$A:$A,0)),0)*X641</f>
        <v>0</v>
      </c>
      <c r="CP641" s="266">
        <f ca="1">O641*IFERROR(INDEX(Algorithms!$G:$G,MATCH($C641&amp;"_Therm Saved per Unit- MLA",Algorithms!$A:$A,0)),0)*Y641</f>
        <v>0</v>
      </c>
      <c r="CQ641" s="266">
        <f ca="1">P641*IFERROR(INDEX(Algorithms!$G:$G,MATCH($C641&amp;"_Therm Saved per Unit- MLA",Algorithms!$A:$A,0)),0)*Z641</f>
        <v>0</v>
      </c>
      <c r="CR641" s="266">
        <f ca="1">Q641*IFERROR(INDEX(Algorithms!$G:$G,MATCH($C641&amp;"_Therm Saved per Unit- MLA",Algorithms!$A:$A,0)),0)*AA641</f>
        <v>0</v>
      </c>
      <c r="CS641" s="266">
        <f ca="1">IFERROR(INDEX(Algorithms!$G:$G,MATCH($C641&amp;"_Lifetime (years)",Algorithms!$A:$A,0)),0)</f>
        <v>15</v>
      </c>
      <c r="CT641" s="266">
        <f ca="1">IFERROR(INDEX(Algorithms!$G:$G,MATCH($C641&amp;"_Lifetime (years) - Remaining Years",Algorithms!$A:$A,0)),0)</f>
        <v>0</v>
      </c>
      <c r="CU641" s="266">
        <f t="shared" ca="1" si="401"/>
        <v>0</v>
      </c>
      <c r="CV641" s="266">
        <f t="shared" ca="1" si="402"/>
        <v>0</v>
      </c>
      <c r="CW641" s="266">
        <f t="shared" ca="1" si="403"/>
        <v>0</v>
      </c>
      <c r="CX641" s="266">
        <f t="shared" ca="1" si="404"/>
        <v>0</v>
      </c>
    </row>
    <row r="642" spans="2:102" s="47" customFormat="1" ht="18" customHeight="1" x14ac:dyDescent="0.25">
      <c r="B642" t="str">
        <f t="shared" si="405"/>
        <v>NSG_Business_Small/Mid-Size Business_Rebates_Pipe Insulation_Steam Med Valve_CI</v>
      </c>
      <c r="C642" s="47" t="str">
        <f t="shared" si="366"/>
        <v>Pipe Insulation_Steam Med Valve_CI</v>
      </c>
      <c r="D642" s="270" t="s">
        <v>1787</v>
      </c>
      <c r="E642" s="270" t="s">
        <v>3</v>
      </c>
      <c r="F642" s="270" t="s">
        <v>1432</v>
      </c>
      <c r="G642" s="270" t="s">
        <v>1429</v>
      </c>
      <c r="H642" s="270" t="s">
        <v>404</v>
      </c>
      <c r="I642" s="270" t="s">
        <v>966</v>
      </c>
      <c r="J642" s="270" t="s">
        <v>1159</v>
      </c>
      <c r="K642" s="263">
        <v>1</v>
      </c>
      <c r="L642" s="263" t="str">
        <f ca="1">IFERROR(INDEX(Algorithms!J:J,MATCH($C642&amp;"_Therm Saved per Unit",Algorithms!$A:$A,0)),"n/a")</f>
        <v>"3 - Pipe Insulation" worksheet</v>
      </c>
      <c r="M642" s="263" t="str">
        <f>IFERROR(INDEX('Measure Level Detail'!$N:$N,MATCH($B642,'Measure Level Detail'!$B:$B,0)),0)</f>
        <v>each</v>
      </c>
      <c r="N642" s="271">
        <f>IFERROR(INDEX('Measure Level Detail'!$P:$P,MATCH($B642&amp;"_"&amp;N$3,'Measure Level Detail'!$C:$C,0)),0)</f>
        <v>0</v>
      </c>
      <c r="O642" s="271">
        <f>IFERROR(INDEX('Measure Level Detail'!$P:$P,MATCH($B642&amp;"_"&amp;O$3,'Measure Level Detail'!$C:$C,0)),0)</f>
        <v>0</v>
      </c>
      <c r="P642" s="271">
        <f>IFERROR(INDEX('Measure Level Detail'!$P:$P,MATCH($B642&amp;"_"&amp;P$3,'Measure Level Detail'!$C:$C,0)),0)</f>
        <v>0</v>
      </c>
      <c r="Q642" s="271">
        <f>IFERROR(INDEX('Measure Level Detail'!$P:$P,MATCH($B642&amp;"_"&amp;Q$3,'Measure Level Detail'!$C:$C,0)),0)</f>
        <v>0</v>
      </c>
      <c r="R642" s="263">
        <f ca="1">IFERROR(INDEX(Algorithms!K:K,MATCH($C642&amp;"_Therm Saved per Unit",Algorithms!$A:$A,0)),"n/a")</f>
        <v>0</v>
      </c>
      <c r="S642" s="262"/>
      <c r="T642" s="272">
        <v>49.002251273013741</v>
      </c>
      <c r="U642" s="272">
        <v>49.002251273013741</v>
      </c>
      <c r="V642" s="272">
        <v>49.002251273013741</v>
      </c>
      <c r="W642" s="272">
        <v>49.002251273013741</v>
      </c>
      <c r="X642" s="276">
        <v>0.93</v>
      </c>
      <c r="Y642" s="276">
        <v>0.93</v>
      </c>
      <c r="Z642" s="276">
        <v>0.93</v>
      </c>
      <c r="AA642" s="276">
        <v>0.93</v>
      </c>
      <c r="AB642" s="266">
        <f t="shared" si="367"/>
        <v>0</v>
      </c>
      <c r="AC642" s="266">
        <f t="shared" si="368"/>
        <v>0</v>
      </c>
      <c r="AD642" s="266">
        <f t="shared" si="369"/>
        <v>0</v>
      </c>
      <c r="AE642" s="266">
        <f t="shared" si="370"/>
        <v>0</v>
      </c>
      <c r="AF642" s="266">
        <f t="shared" si="371"/>
        <v>0</v>
      </c>
      <c r="AG642" s="274">
        <v>0.93</v>
      </c>
      <c r="AH642" s="274">
        <v>0.93</v>
      </c>
      <c r="AI642" s="274">
        <v>0.93</v>
      </c>
      <c r="AJ642" s="274">
        <v>0.93</v>
      </c>
      <c r="AK642" s="274">
        <f t="shared" si="372"/>
        <v>0.93</v>
      </c>
      <c r="AL642" s="274">
        <f t="shared" si="373"/>
        <v>0.93</v>
      </c>
      <c r="AM642" s="274">
        <f t="shared" si="374"/>
        <v>0.93</v>
      </c>
      <c r="AN642" s="274">
        <f t="shared" si="375"/>
        <v>0.93</v>
      </c>
      <c r="AO642" s="262"/>
      <c r="AP642" s="262"/>
      <c r="AQ642" s="267">
        <v>49.002251273013741</v>
      </c>
      <c r="AR642" s="262"/>
      <c r="AS642" s="266">
        <f t="shared" si="376"/>
        <v>0</v>
      </c>
      <c r="AT642" s="264">
        <f t="shared" si="377"/>
        <v>0</v>
      </c>
      <c r="AU642" s="262"/>
      <c r="AV642" s="262"/>
      <c r="AW642" s="265">
        <v>49.002251273013741</v>
      </c>
      <c r="AX642" s="164" t="s">
        <v>1469</v>
      </c>
      <c r="AY642" s="266">
        <v>0</v>
      </c>
      <c r="AZ642" s="266">
        <f t="shared" si="378"/>
        <v>0</v>
      </c>
      <c r="BA642" s="264">
        <f t="shared" si="379"/>
        <v>0</v>
      </c>
      <c r="BB642" s="262"/>
      <c r="BC642" s="262"/>
      <c r="BD642" s="265">
        <f ca="1">IFERROR(INDEX(Algorithms!$G:$G,MATCH($C642&amp;"_Therm Saved per Unit",Algorithms!$A:$A,0)),0)</f>
        <v>49.002251273013741</v>
      </c>
      <c r="BE642" s="164" t="str">
        <f ca="1">IFERROR(INDEX('v12 Revisions'!$P$29:$P$186, MATCH('Measure-Level Adj Gas'!$L642, 'v12 Revisions'!$D$29:$D$186,0)),"")</f>
        <v/>
      </c>
      <c r="BF642" s="266">
        <f t="shared" ca="1" si="380"/>
        <v>0</v>
      </c>
      <c r="BG642" s="264">
        <f t="shared" ca="1" si="381"/>
        <v>0</v>
      </c>
      <c r="BH642" s="262"/>
      <c r="BI642" s="262"/>
      <c r="BJ642" s="265">
        <f ca="1">IFERROR(INDEX(Algorithms!$G:$G,MATCH($C642&amp;"_Therm Saved per Unit",Algorithms!$A:$A,0)),0)</f>
        <v>49.002251273013741</v>
      </c>
      <c r="BK642" s="164"/>
      <c r="BL642" s="266">
        <f t="shared" ca="1" si="382"/>
        <v>0</v>
      </c>
      <c r="BM642" s="264">
        <f t="shared" ca="1" si="383"/>
        <v>0</v>
      </c>
      <c r="BN642" s="266">
        <f t="shared" si="384"/>
        <v>0</v>
      </c>
      <c r="BO642" s="266">
        <f t="shared" si="385"/>
        <v>0</v>
      </c>
      <c r="BP642" s="266">
        <f t="shared" ca="1" si="386"/>
        <v>0</v>
      </c>
      <c r="BQ642" s="266">
        <f t="shared" ca="1" si="387"/>
        <v>0</v>
      </c>
      <c r="BR642" s="268">
        <f t="shared" ca="1" si="388"/>
        <v>0</v>
      </c>
      <c r="BS642" s="262" t="s">
        <v>99</v>
      </c>
      <c r="BT642" s="277"/>
      <c r="BW642" s="266">
        <f t="shared" si="389"/>
        <v>0</v>
      </c>
      <c r="BX642" s="266">
        <f t="shared" si="390"/>
        <v>0</v>
      </c>
      <c r="BY642" s="266">
        <f t="shared" si="391"/>
        <v>0</v>
      </c>
      <c r="BZ642" s="266">
        <f t="shared" si="392"/>
        <v>0</v>
      </c>
      <c r="CA642" s="266">
        <f ca="1">N642*IFERROR(INDEX(Algorithms!$G:$G,MATCH($C642&amp;"_Therm Saved per Unit- MLA",Algorithms!$A:$A,0)),0)*X642</f>
        <v>0</v>
      </c>
      <c r="CB642" s="266">
        <f ca="1">O642*IFERROR(INDEX(Algorithms!$G:$G,MATCH($C642&amp;"_Therm Saved per Unit- MLA",Algorithms!$A:$A,0)),0)*Y642</f>
        <v>0</v>
      </c>
      <c r="CC642" s="266">
        <f ca="1">P642*IFERROR(INDEX(Algorithms!$G:$G,MATCH($C642&amp;"_Therm Saved per Unit- MLA",Algorithms!$A:$A,0)),0)*Z642</f>
        <v>0</v>
      </c>
      <c r="CD642" s="266">
        <f ca="1">Q642*IFERROR(INDEX(Algorithms!$G:$G,MATCH($C642&amp;"_Therm Saved per Unit- MLA",Algorithms!$A:$A,0)),0)*AA642</f>
        <v>0</v>
      </c>
      <c r="CE642" s="266">
        <f ca="1">IFERROR(INDEX(Algorithms!$G:$G,MATCH($C642&amp;"_Lifetime (years)",Algorithms!$A:$A,0)),0)</f>
        <v>15</v>
      </c>
      <c r="CF642" s="266">
        <f ca="1">IFERROR(INDEX(Algorithms!$G:$G,MATCH($C642&amp;"_Lifetime (years) - Remaining Years",Algorithms!$A:$A,0)),0)</f>
        <v>0</v>
      </c>
      <c r="CG642" s="266">
        <f t="shared" ca="1" si="393"/>
        <v>0</v>
      </c>
      <c r="CH642" s="266">
        <f t="shared" ca="1" si="394"/>
        <v>0</v>
      </c>
      <c r="CI642" s="266">
        <f t="shared" ca="1" si="395"/>
        <v>0</v>
      </c>
      <c r="CJ642" s="266">
        <f t="shared" ca="1" si="396"/>
        <v>0</v>
      </c>
      <c r="CK642" s="266">
        <f t="shared" si="397"/>
        <v>0</v>
      </c>
      <c r="CL642" s="266">
        <f t="shared" si="398"/>
        <v>0</v>
      </c>
      <c r="CM642" s="266">
        <f t="shared" ca="1" si="399"/>
        <v>0</v>
      </c>
      <c r="CN642" s="266">
        <f t="shared" ca="1" si="400"/>
        <v>0</v>
      </c>
      <c r="CO642" s="266">
        <f ca="1">N642*IFERROR(INDEX(Algorithms!$G:$G,MATCH($C642&amp;"_Therm Saved per Unit- MLA",Algorithms!$A:$A,0)),0)*X642</f>
        <v>0</v>
      </c>
      <c r="CP642" s="266">
        <f ca="1">O642*IFERROR(INDEX(Algorithms!$G:$G,MATCH($C642&amp;"_Therm Saved per Unit- MLA",Algorithms!$A:$A,0)),0)*Y642</f>
        <v>0</v>
      </c>
      <c r="CQ642" s="266">
        <f ca="1">P642*IFERROR(INDEX(Algorithms!$G:$G,MATCH($C642&amp;"_Therm Saved per Unit- MLA",Algorithms!$A:$A,0)),0)*Z642</f>
        <v>0</v>
      </c>
      <c r="CR642" s="266">
        <f ca="1">Q642*IFERROR(INDEX(Algorithms!$G:$G,MATCH($C642&amp;"_Therm Saved per Unit- MLA",Algorithms!$A:$A,0)),0)*AA642</f>
        <v>0</v>
      </c>
      <c r="CS642" s="266">
        <f ca="1">IFERROR(INDEX(Algorithms!$G:$G,MATCH($C642&amp;"_Lifetime (years)",Algorithms!$A:$A,0)),0)</f>
        <v>15</v>
      </c>
      <c r="CT642" s="266">
        <f ca="1">IFERROR(INDEX(Algorithms!$G:$G,MATCH($C642&amp;"_Lifetime (years) - Remaining Years",Algorithms!$A:$A,0)),0)</f>
        <v>0</v>
      </c>
      <c r="CU642" s="266">
        <f t="shared" ca="1" si="401"/>
        <v>0</v>
      </c>
      <c r="CV642" s="266">
        <f t="shared" ca="1" si="402"/>
        <v>0</v>
      </c>
      <c r="CW642" s="266">
        <f t="shared" ca="1" si="403"/>
        <v>0</v>
      </c>
      <c r="CX642" s="266">
        <f t="shared" ca="1" si="404"/>
        <v>0</v>
      </c>
    </row>
    <row r="643" spans="2:102" s="47" customFormat="1" ht="18" customHeight="1" x14ac:dyDescent="0.25">
      <c r="B643" t="str">
        <f t="shared" si="405"/>
        <v>NSG_Business_Small/Mid-Size Business_Rebates_Pipe Insulation_Steam Large Valve_CI</v>
      </c>
      <c r="C643" s="47" t="str">
        <f t="shared" si="366"/>
        <v>Pipe Insulation_Steam Large Valve_CI</v>
      </c>
      <c r="D643" s="270" t="s">
        <v>1787</v>
      </c>
      <c r="E643" s="270" t="s">
        <v>3</v>
      </c>
      <c r="F643" s="270" t="s">
        <v>1432</v>
      </c>
      <c r="G643" s="270" t="s">
        <v>1429</v>
      </c>
      <c r="H643" s="270" t="s">
        <v>404</v>
      </c>
      <c r="I643" s="270" t="s">
        <v>967</v>
      </c>
      <c r="J643" s="270" t="s">
        <v>1159</v>
      </c>
      <c r="K643" s="263">
        <v>1</v>
      </c>
      <c r="L643" s="263" t="str">
        <f ca="1">IFERROR(INDEX(Algorithms!J:J,MATCH($C643&amp;"_Therm Saved per Unit",Algorithms!$A:$A,0)),"n/a")</f>
        <v>"3 - Pipe Insulation" worksheet</v>
      </c>
      <c r="M643" s="263" t="str">
        <f>IFERROR(INDEX('Measure Level Detail'!$N:$N,MATCH($B643,'Measure Level Detail'!$B:$B,0)),0)</f>
        <v>each</v>
      </c>
      <c r="N643" s="271">
        <f>IFERROR(INDEX('Measure Level Detail'!$P:$P,MATCH($B643&amp;"_"&amp;N$3,'Measure Level Detail'!$C:$C,0)),0)</f>
        <v>0</v>
      </c>
      <c r="O643" s="271">
        <f>IFERROR(INDEX('Measure Level Detail'!$P:$P,MATCH($B643&amp;"_"&amp;O$3,'Measure Level Detail'!$C:$C,0)),0)</f>
        <v>0</v>
      </c>
      <c r="P643" s="271">
        <f>IFERROR(INDEX('Measure Level Detail'!$P:$P,MATCH($B643&amp;"_"&amp;P$3,'Measure Level Detail'!$C:$C,0)),0)</f>
        <v>0</v>
      </c>
      <c r="Q643" s="271">
        <f>IFERROR(INDEX('Measure Level Detail'!$P:$P,MATCH($B643&amp;"_"&amp;Q$3,'Measure Level Detail'!$C:$C,0)),0)</f>
        <v>0</v>
      </c>
      <c r="R643" s="263">
        <f ca="1">IFERROR(INDEX(Algorithms!K:K,MATCH($C643&amp;"_Therm Saved per Unit",Algorithms!$A:$A,0)),"n/a")</f>
        <v>0</v>
      </c>
      <c r="S643" s="262"/>
      <c r="T643" s="272">
        <v>107.52607289087437</v>
      </c>
      <c r="U643" s="272">
        <v>107.52607289087437</v>
      </c>
      <c r="V643" s="272">
        <v>107.52607289087437</v>
      </c>
      <c r="W643" s="272">
        <v>107.52607289087437</v>
      </c>
      <c r="X643" s="276">
        <v>0.93</v>
      </c>
      <c r="Y643" s="276">
        <v>0.93</v>
      </c>
      <c r="Z643" s="276">
        <v>0.93</v>
      </c>
      <c r="AA643" s="276">
        <v>0.93</v>
      </c>
      <c r="AB643" s="266">
        <f t="shared" si="367"/>
        <v>0</v>
      </c>
      <c r="AC643" s="266">
        <f t="shared" si="368"/>
        <v>0</v>
      </c>
      <c r="AD643" s="266">
        <f t="shared" si="369"/>
        <v>0</v>
      </c>
      <c r="AE643" s="266">
        <f t="shared" si="370"/>
        <v>0</v>
      </c>
      <c r="AF643" s="266">
        <f t="shared" si="371"/>
        <v>0</v>
      </c>
      <c r="AG643" s="274">
        <v>0.93</v>
      </c>
      <c r="AH643" s="274">
        <v>0.93</v>
      </c>
      <c r="AI643" s="274">
        <v>0.93</v>
      </c>
      <c r="AJ643" s="274">
        <v>0.93</v>
      </c>
      <c r="AK643" s="274">
        <f t="shared" si="372"/>
        <v>0.93</v>
      </c>
      <c r="AL643" s="274">
        <f t="shared" si="373"/>
        <v>0.93</v>
      </c>
      <c r="AM643" s="274">
        <f t="shared" si="374"/>
        <v>0.93</v>
      </c>
      <c r="AN643" s="274">
        <f t="shared" si="375"/>
        <v>0.93</v>
      </c>
      <c r="AO643" s="262"/>
      <c r="AP643" s="262"/>
      <c r="AQ643" s="267">
        <v>107.52607289087437</v>
      </c>
      <c r="AR643" s="262"/>
      <c r="AS643" s="266">
        <f t="shared" si="376"/>
        <v>0</v>
      </c>
      <c r="AT643" s="264">
        <f t="shared" si="377"/>
        <v>0</v>
      </c>
      <c r="AU643" s="262"/>
      <c r="AV643" s="262"/>
      <c r="AW643" s="265">
        <v>107.52607289087437</v>
      </c>
      <c r="AX643" s="164" t="s">
        <v>1469</v>
      </c>
      <c r="AY643" s="266">
        <v>0</v>
      </c>
      <c r="AZ643" s="266">
        <f t="shared" si="378"/>
        <v>0</v>
      </c>
      <c r="BA643" s="264">
        <f t="shared" si="379"/>
        <v>0</v>
      </c>
      <c r="BB643" s="262"/>
      <c r="BC643" s="262"/>
      <c r="BD643" s="265">
        <f ca="1">IFERROR(INDEX(Algorithms!$G:$G,MATCH($C643&amp;"_Therm Saved per Unit",Algorithms!$A:$A,0)),0)</f>
        <v>107.52607289087437</v>
      </c>
      <c r="BE643" s="164" t="str">
        <f ca="1">IFERROR(INDEX('v12 Revisions'!$P$29:$P$186, MATCH('Measure-Level Adj Gas'!$L643, 'v12 Revisions'!$D$29:$D$186,0)),"")</f>
        <v/>
      </c>
      <c r="BF643" s="266">
        <f t="shared" ca="1" si="380"/>
        <v>0</v>
      </c>
      <c r="BG643" s="264">
        <f t="shared" ca="1" si="381"/>
        <v>0</v>
      </c>
      <c r="BH643" s="262"/>
      <c r="BI643" s="262"/>
      <c r="BJ643" s="265">
        <f ca="1">IFERROR(INDEX(Algorithms!$G:$G,MATCH($C643&amp;"_Therm Saved per Unit",Algorithms!$A:$A,0)),0)</f>
        <v>107.52607289087437</v>
      </c>
      <c r="BK643" s="164"/>
      <c r="BL643" s="266">
        <f t="shared" ca="1" si="382"/>
        <v>0</v>
      </c>
      <c r="BM643" s="264">
        <f t="shared" ca="1" si="383"/>
        <v>0</v>
      </c>
      <c r="BN643" s="266">
        <f t="shared" si="384"/>
        <v>0</v>
      </c>
      <c r="BO643" s="266">
        <f t="shared" si="385"/>
        <v>0</v>
      </c>
      <c r="BP643" s="266">
        <f t="shared" ca="1" si="386"/>
        <v>0</v>
      </c>
      <c r="BQ643" s="266">
        <f t="shared" ca="1" si="387"/>
        <v>0</v>
      </c>
      <c r="BR643" s="268">
        <f t="shared" ca="1" si="388"/>
        <v>0</v>
      </c>
      <c r="BS643" s="262" t="s">
        <v>99</v>
      </c>
      <c r="BT643" s="277"/>
      <c r="BW643" s="266">
        <f t="shared" si="389"/>
        <v>0</v>
      </c>
      <c r="BX643" s="266">
        <f t="shared" si="390"/>
        <v>0</v>
      </c>
      <c r="BY643" s="266">
        <f t="shared" si="391"/>
        <v>0</v>
      </c>
      <c r="BZ643" s="266">
        <f t="shared" si="392"/>
        <v>0</v>
      </c>
      <c r="CA643" s="266">
        <f ca="1">N643*IFERROR(INDEX(Algorithms!$G:$G,MATCH($C643&amp;"_Therm Saved per Unit- MLA",Algorithms!$A:$A,0)),0)*X643</f>
        <v>0</v>
      </c>
      <c r="CB643" s="266">
        <f ca="1">O643*IFERROR(INDEX(Algorithms!$G:$G,MATCH($C643&amp;"_Therm Saved per Unit- MLA",Algorithms!$A:$A,0)),0)*Y643</f>
        <v>0</v>
      </c>
      <c r="CC643" s="266">
        <f ca="1">P643*IFERROR(INDEX(Algorithms!$G:$G,MATCH($C643&amp;"_Therm Saved per Unit- MLA",Algorithms!$A:$A,0)),0)*Z643</f>
        <v>0</v>
      </c>
      <c r="CD643" s="266">
        <f ca="1">Q643*IFERROR(INDEX(Algorithms!$G:$G,MATCH($C643&amp;"_Therm Saved per Unit- MLA",Algorithms!$A:$A,0)),0)*AA643</f>
        <v>0</v>
      </c>
      <c r="CE643" s="266">
        <f ca="1">IFERROR(INDEX(Algorithms!$G:$G,MATCH($C643&amp;"_Lifetime (years)",Algorithms!$A:$A,0)),0)</f>
        <v>15</v>
      </c>
      <c r="CF643" s="266">
        <f ca="1">IFERROR(INDEX(Algorithms!$G:$G,MATCH($C643&amp;"_Lifetime (years) - Remaining Years",Algorithms!$A:$A,0)),0)</f>
        <v>0</v>
      </c>
      <c r="CG643" s="266">
        <f t="shared" ca="1" si="393"/>
        <v>0</v>
      </c>
      <c r="CH643" s="266">
        <f t="shared" ca="1" si="394"/>
        <v>0</v>
      </c>
      <c r="CI643" s="266">
        <f t="shared" ca="1" si="395"/>
        <v>0</v>
      </c>
      <c r="CJ643" s="266">
        <f t="shared" ca="1" si="396"/>
        <v>0</v>
      </c>
      <c r="CK643" s="266">
        <f t="shared" si="397"/>
        <v>0</v>
      </c>
      <c r="CL643" s="266">
        <f t="shared" si="398"/>
        <v>0</v>
      </c>
      <c r="CM643" s="266">
        <f t="shared" ca="1" si="399"/>
        <v>0</v>
      </c>
      <c r="CN643" s="266">
        <f t="shared" ca="1" si="400"/>
        <v>0</v>
      </c>
      <c r="CO643" s="266">
        <f ca="1">N643*IFERROR(INDEX(Algorithms!$G:$G,MATCH($C643&amp;"_Therm Saved per Unit- MLA",Algorithms!$A:$A,0)),0)*X643</f>
        <v>0</v>
      </c>
      <c r="CP643" s="266">
        <f ca="1">O643*IFERROR(INDEX(Algorithms!$G:$G,MATCH($C643&amp;"_Therm Saved per Unit- MLA",Algorithms!$A:$A,0)),0)*Y643</f>
        <v>0</v>
      </c>
      <c r="CQ643" s="266">
        <f ca="1">P643*IFERROR(INDEX(Algorithms!$G:$G,MATCH($C643&amp;"_Therm Saved per Unit- MLA",Algorithms!$A:$A,0)),0)*Z643</f>
        <v>0</v>
      </c>
      <c r="CR643" s="266">
        <f ca="1">Q643*IFERROR(INDEX(Algorithms!$G:$G,MATCH($C643&amp;"_Therm Saved per Unit- MLA",Algorithms!$A:$A,0)),0)*AA643</f>
        <v>0</v>
      </c>
      <c r="CS643" s="266">
        <f ca="1">IFERROR(INDEX(Algorithms!$G:$G,MATCH($C643&amp;"_Lifetime (years)",Algorithms!$A:$A,0)),0)</f>
        <v>15</v>
      </c>
      <c r="CT643" s="266">
        <f ca="1">IFERROR(INDEX(Algorithms!$G:$G,MATCH($C643&amp;"_Lifetime (years) - Remaining Years",Algorithms!$A:$A,0)),0)</f>
        <v>0</v>
      </c>
      <c r="CU643" s="266">
        <f t="shared" ca="1" si="401"/>
        <v>0</v>
      </c>
      <c r="CV643" s="266">
        <f t="shared" ca="1" si="402"/>
        <v>0</v>
      </c>
      <c r="CW643" s="266">
        <f t="shared" ca="1" si="403"/>
        <v>0</v>
      </c>
      <c r="CX643" s="266">
        <f t="shared" ca="1" si="404"/>
        <v>0</v>
      </c>
    </row>
    <row r="644" spans="2:102" s="47" customFormat="1" ht="18" customHeight="1" x14ac:dyDescent="0.25">
      <c r="B644" t="str">
        <f t="shared" si="405"/>
        <v>NSG_Business_Small/Mid-Size Business_Rebates_Pipe Insulation_Steam X-Large Valve_CI</v>
      </c>
      <c r="C644" s="47" t="str">
        <f t="shared" si="366"/>
        <v>Pipe Insulation_Steam X-Large Valve_CI</v>
      </c>
      <c r="D644" s="270" t="s">
        <v>1787</v>
      </c>
      <c r="E644" s="270" t="s">
        <v>3</v>
      </c>
      <c r="F644" s="270" t="s">
        <v>1432</v>
      </c>
      <c r="G644" s="270" t="s">
        <v>1429</v>
      </c>
      <c r="H644" s="270" t="s">
        <v>404</v>
      </c>
      <c r="I644" s="270" t="s">
        <v>968</v>
      </c>
      <c r="J644" s="270" t="s">
        <v>1159</v>
      </c>
      <c r="K644" s="263">
        <v>1</v>
      </c>
      <c r="L644" s="263" t="str">
        <f ca="1">IFERROR(INDEX(Algorithms!J:J,MATCH($C644&amp;"_Therm Saved per Unit",Algorithms!$A:$A,0)),"n/a")</f>
        <v>"3 - Pipe Insulation" worksheet</v>
      </c>
      <c r="M644" s="263" t="str">
        <f>IFERROR(INDEX('Measure Level Detail'!$N:$N,MATCH($B644,'Measure Level Detail'!$B:$B,0)),0)</f>
        <v>each</v>
      </c>
      <c r="N644" s="271">
        <f>IFERROR(INDEX('Measure Level Detail'!$P:$P,MATCH($B644&amp;"_"&amp;N$3,'Measure Level Detail'!$C:$C,0)),0)</f>
        <v>0</v>
      </c>
      <c r="O644" s="271">
        <f>IFERROR(INDEX('Measure Level Detail'!$P:$P,MATCH($B644&amp;"_"&amp;O$3,'Measure Level Detail'!$C:$C,0)),0)</f>
        <v>0</v>
      </c>
      <c r="P644" s="271">
        <f>IFERROR(INDEX('Measure Level Detail'!$P:$P,MATCH($B644&amp;"_"&amp;P$3,'Measure Level Detail'!$C:$C,0)),0)</f>
        <v>0</v>
      </c>
      <c r="Q644" s="271">
        <f>IFERROR(INDEX('Measure Level Detail'!$P:$P,MATCH($B644&amp;"_"&amp;Q$3,'Measure Level Detail'!$C:$C,0)),0)</f>
        <v>0</v>
      </c>
      <c r="R644" s="263">
        <f ca="1">IFERROR(INDEX(Algorithms!K:K,MATCH($C644&amp;"_Therm Saved per Unit",Algorithms!$A:$A,0)),"n/a")</f>
        <v>0</v>
      </c>
      <c r="S644" s="262"/>
      <c r="T644" s="272">
        <v>175.06254164158375</v>
      </c>
      <c r="U644" s="272">
        <v>175.06254164158375</v>
      </c>
      <c r="V644" s="272">
        <v>175.06254164158375</v>
      </c>
      <c r="W644" s="272">
        <v>175.06254164158375</v>
      </c>
      <c r="X644" s="276">
        <v>0.93</v>
      </c>
      <c r="Y644" s="276">
        <v>0.93</v>
      </c>
      <c r="Z644" s="276">
        <v>0.93</v>
      </c>
      <c r="AA644" s="276">
        <v>0.93</v>
      </c>
      <c r="AB644" s="266">
        <f t="shared" si="367"/>
        <v>0</v>
      </c>
      <c r="AC644" s="266">
        <f t="shared" si="368"/>
        <v>0</v>
      </c>
      <c r="AD644" s="266">
        <f t="shared" si="369"/>
        <v>0</v>
      </c>
      <c r="AE644" s="266">
        <f t="shared" si="370"/>
        <v>0</v>
      </c>
      <c r="AF644" s="266">
        <f t="shared" si="371"/>
        <v>0</v>
      </c>
      <c r="AG644" s="274">
        <v>0.93</v>
      </c>
      <c r="AH644" s="274">
        <v>0.93</v>
      </c>
      <c r="AI644" s="274">
        <v>0.93</v>
      </c>
      <c r="AJ644" s="274">
        <v>0.93</v>
      </c>
      <c r="AK644" s="274">
        <f t="shared" si="372"/>
        <v>0.93</v>
      </c>
      <c r="AL644" s="274">
        <f t="shared" si="373"/>
        <v>0.93</v>
      </c>
      <c r="AM644" s="274">
        <f t="shared" si="374"/>
        <v>0.93</v>
      </c>
      <c r="AN644" s="274">
        <f t="shared" si="375"/>
        <v>0.93</v>
      </c>
      <c r="AO644" s="262"/>
      <c r="AP644" s="262"/>
      <c r="AQ644" s="267">
        <v>175.06254164158375</v>
      </c>
      <c r="AR644" s="262"/>
      <c r="AS644" s="266">
        <f t="shared" si="376"/>
        <v>0</v>
      </c>
      <c r="AT644" s="264">
        <f t="shared" si="377"/>
        <v>0</v>
      </c>
      <c r="AU644" s="262"/>
      <c r="AV644" s="262"/>
      <c r="AW644" s="265">
        <v>175.06254164158375</v>
      </c>
      <c r="AX644" s="164" t="s">
        <v>1469</v>
      </c>
      <c r="AY644" s="266">
        <v>0</v>
      </c>
      <c r="AZ644" s="266">
        <f t="shared" si="378"/>
        <v>0</v>
      </c>
      <c r="BA644" s="264">
        <f t="shared" si="379"/>
        <v>0</v>
      </c>
      <c r="BB644" s="262"/>
      <c r="BC644" s="262"/>
      <c r="BD644" s="265">
        <f ca="1">IFERROR(INDEX(Algorithms!$G:$G,MATCH($C644&amp;"_Therm Saved per Unit",Algorithms!$A:$A,0)),0)</f>
        <v>175.06254164158375</v>
      </c>
      <c r="BE644" s="164" t="str">
        <f ca="1">IFERROR(INDEX('v12 Revisions'!$P$29:$P$186, MATCH('Measure-Level Adj Gas'!$L644, 'v12 Revisions'!$D$29:$D$186,0)),"")</f>
        <v/>
      </c>
      <c r="BF644" s="266">
        <f t="shared" ca="1" si="380"/>
        <v>0</v>
      </c>
      <c r="BG644" s="264">
        <f t="shared" ca="1" si="381"/>
        <v>0</v>
      </c>
      <c r="BH644" s="262"/>
      <c r="BI644" s="262"/>
      <c r="BJ644" s="265">
        <f ca="1">IFERROR(INDEX(Algorithms!$G:$G,MATCH($C644&amp;"_Therm Saved per Unit",Algorithms!$A:$A,0)),0)</f>
        <v>175.06254164158375</v>
      </c>
      <c r="BK644" s="164"/>
      <c r="BL644" s="266">
        <f t="shared" ca="1" si="382"/>
        <v>0</v>
      </c>
      <c r="BM644" s="264">
        <f t="shared" ca="1" si="383"/>
        <v>0</v>
      </c>
      <c r="BN644" s="266">
        <f t="shared" si="384"/>
        <v>0</v>
      </c>
      <c r="BO644" s="266">
        <f t="shared" si="385"/>
        <v>0</v>
      </c>
      <c r="BP644" s="266">
        <f t="shared" ca="1" si="386"/>
        <v>0</v>
      </c>
      <c r="BQ644" s="266">
        <f t="shared" ca="1" si="387"/>
        <v>0</v>
      </c>
      <c r="BR644" s="268">
        <f t="shared" ca="1" si="388"/>
        <v>0</v>
      </c>
      <c r="BS644" s="262" t="s">
        <v>99</v>
      </c>
      <c r="BT644" s="277"/>
      <c r="BW644" s="266">
        <f t="shared" si="389"/>
        <v>0</v>
      </c>
      <c r="BX644" s="266">
        <f t="shared" si="390"/>
        <v>0</v>
      </c>
      <c r="BY644" s="266">
        <f t="shared" si="391"/>
        <v>0</v>
      </c>
      <c r="BZ644" s="266">
        <f t="shared" si="392"/>
        <v>0</v>
      </c>
      <c r="CA644" s="266">
        <f ca="1">N644*IFERROR(INDEX(Algorithms!$G:$G,MATCH($C644&amp;"_Therm Saved per Unit- MLA",Algorithms!$A:$A,0)),0)*X644</f>
        <v>0</v>
      </c>
      <c r="CB644" s="266">
        <f ca="1">O644*IFERROR(INDEX(Algorithms!$G:$G,MATCH($C644&amp;"_Therm Saved per Unit- MLA",Algorithms!$A:$A,0)),0)*Y644</f>
        <v>0</v>
      </c>
      <c r="CC644" s="266">
        <f ca="1">P644*IFERROR(INDEX(Algorithms!$G:$G,MATCH($C644&amp;"_Therm Saved per Unit- MLA",Algorithms!$A:$A,0)),0)*Z644</f>
        <v>0</v>
      </c>
      <c r="CD644" s="266">
        <f ca="1">Q644*IFERROR(INDEX(Algorithms!$G:$G,MATCH($C644&amp;"_Therm Saved per Unit- MLA",Algorithms!$A:$A,0)),0)*AA644</f>
        <v>0</v>
      </c>
      <c r="CE644" s="266">
        <f ca="1">IFERROR(INDEX(Algorithms!$G:$G,MATCH($C644&amp;"_Lifetime (years)",Algorithms!$A:$A,0)),0)</f>
        <v>15</v>
      </c>
      <c r="CF644" s="266">
        <f ca="1">IFERROR(INDEX(Algorithms!$G:$G,MATCH($C644&amp;"_Lifetime (years) - Remaining Years",Algorithms!$A:$A,0)),0)</f>
        <v>0</v>
      </c>
      <c r="CG644" s="266">
        <f t="shared" ca="1" si="393"/>
        <v>0</v>
      </c>
      <c r="CH644" s="266">
        <f t="shared" ca="1" si="394"/>
        <v>0</v>
      </c>
      <c r="CI644" s="266">
        <f t="shared" ca="1" si="395"/>
        <v>0</v>
      </c>
      <c r="CJ644" s="266">
        <f t="shared" ca="1" si="396"/>
        <v>0</v>
      </c>
      <c r="CK644" s="266">
        <f t="shared" si="397"/>
        <v>0</v>
      </c>
      <c r="CL644" s="266">
        <f t="shared" si="398"/>
        <v>0</v>
      </c>
      <c r="CM644" s="266">
        <f t="shared" ca="1" si="399"/>
        <v>0</v>
      </c>
      <c r="CN644" s="266">
        <f t="shared" ca="1" si="400"/>
        <v>0</v>
      </c>
      <c r="CO644" s="266">
        <f ca="1">N644*IFERROR(INDEX(Algorithms!$G:$G,MATCH($C644&amp;"_Therm Saved per Unit- MLA",Algorithms!$A:$A,0)),0)*X644</f>
        <v>0</v>
      </c>
      <c r="CP644" s="266">
        <f ca="1">O644*IFERROR(INDEX(Algorithms!$G:$G,MATCH($C644&amp;"_Therm Saved per Unit- MLA",Algorithms!$A:$A,0)),0)*Y644</f>
        <v>0</v>
      </c>
      <c r="CQ644" s="266">
        <f ca="1">P644*IFERROR(INDEX(Algorithms!$G:$G,MATCH($C644&amp;"_Therm Saved per Unit- MLA",Algorithms!$A:$A,0)),0)*Z644</f>
        <v>0</v>
      </c>
      <c r="CR644" s="266">
        <f ca="1">Q644*IFERROR(INDEX(Algorithms!$G:$G,MATCH($C644&amp;"_Therm Saved per Unit- MLA",Algorithms!$A:$A,0)),0)*AA644</f>
        <v>0</v>
      </c>
      <c r="CS644" s="266">
        <f ca="1">IFERROR(INDEX(Algorithms!$G:$G,MATCH($C644&amp;"_Lifetime (years)",Algorithms!$A:$A,0)),0)</f>
        <v>15</v>
      </c>
      <c r="CT644" s="266">
        <f ca="1">IFERROR(INDEX(Algorithms!$G:$G,MATCH($C644&amp;"_Lifetime (years) - Remaining Years",Algorithms!$A:$A,0)),0)</f>
        <v>0</v>
      </c>
      <c r="CU644" s="266">
        <f t="shared" ca="1" si="401"/>
        <v>0</v>
      </c>
      <c r="CV644" s="266">
        <f t="shared" ca="1" si="402"/>
        <v>0</v>
      </c>
      <c r="CW644" s="266">
        <f t="shared" ca="1" si="403"/>
        <v>0</v>
      </c>
      <c r="CX644" s="266">
        <f t="shared" ca="1" si="404"/>
        <v>0</v>
      </c>
    </row>
    <row r="645" spans="2:102" s="47" customFormat="1" ht="18" customHeight="1" x14ac:dyDescent="0.25">
      <c r="B645" t="str">
        <f t="shared" si="405"/>
        <v>NSG_Business_Small/Mid-Size Business_Rebates_Pre-Rinse Sprayer_0_SMB</v>
      </c>
      <c r="C645" s="47" t="str">
        <f t="shared" si="366"/>
        <v>Pre-Rinse Sprayer_0_SMB</v>
      </c>
      <c r="D645" s="270" t="s">
        <v>1787</v>
      </c>
      <c r="E645" s="270" t="s">
        <v>3</v>
      </c>
      <c r="F645" s="270" t="s">
        <v>1432</v>
      </c>
      <c r="G645" s="270" t="s">
        <v>1429</v>
      </c>
      <c r="H645" s="270" t="s">
        <v>1219</v>
      </c>
      <c r="I645" s="270">
        <v>0</v>
      </c>
      <c r="J645" s="270" t="s">
        <v>1220</v>
      </c>
      <c r="K645" s="263">
        <v>1</v>
      </c>
      <c r="L645" s="263" t="str">
        <f ca="1">IFERROR(INDEX(Algorithms!J:J,MATCH($C645&amp;"_Therm Saved per Unit",Algorithms!$A:$A,0)),"n/a")</f>
        <v>4.2.11</v>
      </c>
      <c r="M645" s="263" t="str">
        <f>IFERROR(INDEX('Measure Level Detail'!$N:$N,MATCH($B645,'Measure Level Detail'!$B:$B,0)),0)</f>
        <v>each</v>
      </c>
      <c r="N645" s="271">
        <f>IFERROR(INDEX('Measure Level Detail'!$P:$P,MATCH($B645&amp;"_"&amp;N$3,'Measure Level Detail'!$C:$C,0)),0)</f>
        <v>0</v>
      </c>
      <c r="O645" s="271">
        <f>IFERROR(INDEX('Measure Level Detail'!$P:$P,MATCH($B645&amp;"_"&amp;O$3,'Measure Level Detail'!$C:$C,0)),0)</f>
        <v>0</v>
      </c>
      <c r="P645" s="271">
        <f>IFERROR(INDEX('Measure Level Detail'!$P:$P,MATCH($B645&amp;"_"&amp;P$3,'Measure Level Detail'!$C:$C,0)),0)</f>
        <v>0</v>
      </c>
      <c r="Q645" s="271">
        <f>IFERROR(INDEX('Measure Level Detail'!$P:$P,MATCH($B645&amp;"_"&amp;Q$3,'Measure Level Detail'!$C:$C,0)),0)</f>
        <v>0</v>
      </c>
      <c r="R645" s="263" t="str">
        <f ca="1">IFERROR(INDEX(Algorithms!K:K,MATCH($C645&amp;"_Therm Saved per Unit",Algorithms!$A:$A,0)),"n/a")</f>
        <v>CI-FSE-SPRY-V08-220101</v>
      </c>
      <c r="S645" s="262"/>
      <c r="T645" s="272">
        <v>117.88882560000002</v>
      </c>
      <c r="U645" s="272">
        <v>117.88882560000002</v>
      </c>
      <c r="V645" s="272">
        <v>117.88882560000002</v>
      </c>
      <c r="W645" s="272">
        <v>117.88882560000002</v>
      </c>
      <c r="X645" s="276">
        <v>0.93</v>
      </c>
      <c r="Y645" s="276">
        <v>0.93</v>
      </c>
      <c r="Z645" s="276">
        <v>0.93</v>
      </c>
      <c r="AA645" s="276">
        <v>0.93</v>
      </c>
      <c r="AB645" s="266">
        <f t="shared" si="367"/>
        <v>0</v>
      </c>
      <c r="AC645" s="266">
        <f t="shared" si="368"/>
        <v>0</v>
      </c>
      <c r="AD645" s="266">
        <f t="shared" si="369"/>
        <v>0</v>
      </c>
      <c r="AE645" s="266">
        <f t="shared" si="370"/>
        <v>0</v>
      </c>
      <c r="AF645" s="266">
        <f t="shared" si="371"/>
        <v>0</v>
      </c>
      <c r="AG645" s="274">
        <v>0.93</v>
      </c>
      <c r="AH645" s="274">
        <v>0.93</v>
      </c>
      <c r="AI645" s="274">
        <v>0.93</v>
      </c>
      <c r="AJ645" s="274">
        <v>0.93</v>
      </c>
      <c r="AK645" s="274">
        <f t="shared" si="372"/>
        <v>0.93</v>
      </c>
      <c r="AL645" s="274">
        <f t="shared" si="373"/>
        <v>0.93</v>
      </c>
      <c r="AM645" s="274">
        <f t="shared" si="374"/>
        <v>0.93</v>
      </c>
      <c r="AN645" s="274">
        <f t="shared" si="375"/>
        <v>0.93</v>
      </c>
      <c r="AO645" s="262"/>
      <c r="AP645" s="262"/>
      <c r="AQ645" s="267">
        <v>117.88882560000002</v>
      </c>
      <c r="AR645" s="262"/>
      <c r="AS645" s="266">
        <f t="shared" si="376"/>
        <v>0</v>
      </c>
      <c r="AT645" s="264">
        <f t="shared" si="377"/>
        <v>0</v>
      </c>
      <c r="AU645" s="262"/>
      <c r="AV645" s="262"/>
      <c r="AW645" s="265">
        <v>117.88882560000002</v>
      </c>
      <c r="AX645" s="164" t="s">
        <v>1469</v>
      </c>
      <c r="AY645" s="266">
        <v>0</v>
      </c>
      <c r="AZ645" s="266">
        <f t="shared" si="378"/>
        <v>0</v>
      </c>
      <c r="BA645" s="264">
        <f t="shared" si="379"/>
        <v>0</v>
      </c>
      <c r="BB645" s="262"/>
      <c r="BC645" s="262"/>
      <c r="BD645" s="265">
        <f ca="1">IFERROR(INDEX(Algorithms!$G:$G,MATCH($C645&amp;"_Therm Saved per Unit",Algorithms!$A:$A,0)),0)</f>
        <v>117.88882560000002</v>
      </c>
      <c r="BE645" s="164" t="str">
        <f ca="1">IFERROR(INDEX('v12 Revisions'!$P$29:$P$186, MATCH('Measure-Level Adj Gas'!$L645, 'v12 Revisions'!$D$29:$D$186,0)),"")</f>
        <v/>
      </c>
      <c r="BF645" s="266">
        <f t="shared" ca="1" si="380"/>
        <v>0</v>
      </c>
      <c r="BG645" s="264">
        <f t="shared" ca="1" si="381"/>
        <v>0</v>
      </c>
      <c r="BH645" s="262"/>
      <c r="BI645" s="262"/>
      <c r="BJ645" s="265">
        <f ca="1">IFERROR(INDEX(Algorithms!$G:$G,MATCH($C645&amp;"_Therm Saved per Unit",Algorithms!$A:$A,0)),0)</f>
        <v>117.88882560000002</v>
      </c>
      <c r="BK645" s="164"/>
      <c r="BL645" s="266">
        <f t="shared" ca="1" si="382"/>
        <v>0</v>
      </c>
      <c r="BM645" s="264">
        <f t="shared" ca="1" si="383"/>
        <v>0</v>
      </c>
      <c r="BN645" s="266">
        <f t="shared" si="384"/>
        <v>0</v>
      </c>
      <c r="BO645" s="266">
        <f t="shared" si="385"/>
        <v>0</v>
      </c>
      <c r="BP645" s="266">
        <f t="shared" ca="1" si="386"/>
        <v>0</v>
      </c>
      <c r="BQ645" s="266">
        <f t="shared" ca="1" si="387"/>
        <v>0</v>
      </c>
      <c r="BR645" s="268">
        <f t="shared" ca="1" si="388"/>
        <v>0</v>
      </c>
      <c r="BS645" s="262" t="s">
        <v>99</v>
      </c>
      <c r="BT645" s="277"/>
      <c r="BW645" s="266">
        <f t="shared" si="389"/>
        <v>0</v>
      </c>
      <c r="BX645" s="266">
        <f t="shared" si="390"/>
        <v>0</v>
      </c>
      <c r="BY645" s="266">
        <f t="shared" si="391"/>
        <v>0</v>
      </c>
      <c r="BZ645" s="266">
        <f t="shared" si="392"/>
        <v>0</v>
      </c>
      <c r="CA645" s="266">
        <f ca="1">N645*IFERROR(INDEX(Algorithms!$G:$G,MATCH($C645&amp;"_Therm Saved per Unit- MLA",Algorithms!$A:$A,0)),0)*X645</f>
        <v>0</v>
      </c>
      <c r="CB645" s="266">
        <f ca="1">O645*IFERROR(INDEX(Algorithms!$G:$G,MATCH($C645&amp;"_Therm Saved per Unit- MLA",Algorithms!$A:$A,0)),0)*Y645</f>
        <v>0</v>
      </c>
      <c r="CC645" s="266">
        <f ca="1">P645*IFERROR(INDEX(Algorithms!$G:$G,MATCH($C645&amp;"_Therm Saved per Unit- MLA",Algorithms!$A:$A,0)),0)*Z645</f>
        <v>0</v>
      </c>
      <c r="CD645" s="266">
        <f ca="1">Q645*IFERROR(INDEX(Algorithms!$G:$G,MATCH($C645&amp;"_Therm Saved per Unit- MLA",Algorithms!$A:$A,0)),0)*AA645</f>
        <v>0</v>
      </c>
      <c r="CE645" s="266">
        <f ca="1">IFERROR(INDEX(Algorithms!$G:$G,MATCH($C645&amp;"_Lifetime (years)",Algorithms!$A:$A,0)),0)</f>
        <v>5</v>
      </c>
      <c r="CF645" s="266">
        <f ca="1">IFERROR(INDEX(Algorithms!$G:$G,MATCH($C645&amp;"_Lifetime (years) - Remaining Years",Algorithms!$A:$A,0)),0)</f>
        <v>0</v>
      </c>
      <c r="CG645" s="266">
        <f t="shared" ca="1" si="393"/>
        <v>0</v>
      </c>
      <c r="CH645" s="266">
        <f t="shared" ca="1" si="394"/>
        <v>0</v>
      </c>
      <c r="CI645" s="266">
        <f t="shared" ca="1" si="395"/>
        <v>0</v>
      </c>
      <c r="CJ645" s="266">
        <f t="shared" ca="1" si="396"/>
        <v>0</v>
      </c>
      <c r="CK645" s="266">
        <f t="shared" si="397"/>
        <v>0</v>
      </c>
      <c r="CL645" s="266">
        <f t="shared" si="398"/>
        <v>0</v>
      </c>
      <c r="CM645" s="266">
        <f t="shared" ca="1" si="399"/>
        <v>0</v>
      </c>
      <c r="CN645" s="266">
        <f t="shared" ca="1" si="400"/>
        <v>0</v>
      </c>
      <c r="CO645" s="266">
        <f ca="1">N645*IFERROR(INDEX(Algorithms!$G:$G,MATCH($C645&amp;"_Therm Saved per Unit- MLA",Algorithms!$A:$A,0)),0)*X645</f>
        <v>0</v>
      </c>
      <c r="CP645" s="266">
        <f ca="1">O645*IFERROR(INDEX(Algorithms!$G:$G,MATCH($C645&amp;"_Therm Saved per Unit- MLA",Algorithms!$A:$A,0)),0)*Y645</f>
        <v>0</v>
      </c>
      <c r="CQ645" s="266">
        <f ca="1">P645*IFERROR(INDEX(Algorithms!$G:$G,MATCH($C645&amp;"_Therm Saved per Unit- MLA",Algorithms!$A:$A,0)),0)*Z645</f>
        <v>0</v>
      </c>
      <c r="CR645" s="266">
        <f ca="1">Q645*IFERROR(INDEX(Algorithms!$G:$G,MATCH($C645&amp;"_Therm Saved per Unit- MLA",Algorithms!$A:$A,0)),0)*AA645</f>
        <v>0</v>
      </c>
      <c r="CS645" s="266">
        <f ca="1">IFERROR(INDEX(Algorithms!$G:$G,MATCH($C645&amp;"_Lifetime (years)",Algorithms!$A:$A,0)),0)</f>
        <v>5</v>
      </c>
      <c r="CT645" s="266">
        <f ca="1">IFERROR(INDEX(Algorithms!$G:$G,MATCH($C645&amp;"_Lifetime (years) - Remaining Years",Algorithms!$A:$A,0)),0)</f>
        <v>0</v>
      </c>
      <c r="CU645" s="266">
        <f t="shared" ca="1" si="401"/>
        <v>0</v>
      </c>
      <c r="CV645" s="266">
        <f t="shared" ca="1" si="402"/>
        <v>0</v>
      </c>
      <c r="CW645" s="266">
        <f t="shared" ca="1" si="403"/>
        <v>0</v>
      </c>
      <c r="CX645" s="266">
        <f t="shared" ca="1" si="404"/>
        <v>0</v>
      </c>
    </row>
    <row r="646" spans="2:102" s="47" customFormat="1" ht="18" customHeight="1" x14ac:dyDescent="0.25">
      <c r="B646" t="str">
        <f t="shared" si="405"/>
        <v>NSG_Business_Small/Mid-Size Business_Rebates_Steam Traps_Dry Cleaner/Industrial - No Audit_MF/CI/SMB</v>
      </c>
      <c r="C646" s="47" t="str">
        <f t="shared" si="366"/>
        <v>Steam Traps_Dry Cleaner/Industrial - No Audit_MF/CI/SMB</v>
      </c>
      <c r="D646" s="270" t="s">
        <v>1787</v>
      </c>
      <c r="E646" s="270" t="s">
        <v>3</v>
      </c>
      <c r="F646" s="270" t="s">
        <v>1432</v>
      </c>
      <c r="G646" s="270" t="s">
        <v>1429</v>
      </c>
      <c r="H646" s="270" t="s">
        <v>644</v>
      </c>
      <c r="I646" s="270" t="s">
        <v>1274</v>
      </c>
      <c r="J646" s="270" t="s">
        <v>662</v>
      </c>
      <c r="K646" s="263">
        <v>1</v>
      </c>
      <c r="L646" s="263" t="str">
        <f ca="1">IFERROR(INDEX(Algorithms!J:J,MATCH($C646&amp;"_Therm Saved per Unit",Algorithms!$A:$A,0)),"n/a")</f>
        <v>4.4.16</v>
      </c>
      <c r="M646" s="263" t="str">
        <f>IFERROR(INDEX('Measure Level Detail'!$N:$N,MATCH($B646,'Measure Level Detail'!$B:$B,0)),0)</f>
        <v>each</v>
      </c>
      <c r="N646" s="271">
        <f>IFERROR(INDEX('Measure Level Detail'!$P:$P,MATCH($B646&amp;"_"&amp;N$3,'Measure Level Detail'!$C:$C,0)),0)</f>
        <v>0</v>
      </c>
      <c r="O646" s="271">
        <f>IFERROR(INDEX('Measure Level Detail'!$P:$P,MATCH($B646&amp;"_"&amp;O$3,'Measure Level Detail'!$C:$C,0)),0)</f>
        <v>0</v>
      </c>
      <c r="P646" s="271">
        <f>IFERROR(INDEX('Measure Level Detail'!$P:$P,MATCH($B646&amp;"_"&amp;P$3,'Measure Level Detail'!$C:$C,0)),0)</f>
        <v>0</v>
      </c>
      <c r="Q646" s="271">
        <f>IFERROR(INDEX('Measure Level Detail'!$P:$P,MATCH($B646&amp;"_"&amp;Q$3,'Measure Level Detail'!$C:$C,0)),0)</f>
        <v>0</v>
      </c>
      <c r="R646" s="263" t="str">
        <f ca="1">IFERROR(INDEX(Algorithms!K:K,MATCH($C646&amp;"_Therm Saved per Unit",Algorithms!$A:$A,0)),"n/a")</f>
        <v>CI-HVC-STRE-V10-240101</v>
      </c>
      <c r="S646" s="262"/>
      <c r="T646" s="272">
        <v>174.96360308617389</v>
      </c>
      <c r="U646" s="272">
        <v>174.96360308617389</v>
      </c>
      <c r="V646" s="272">
        <v>174.96360308617389</v>
      </c>
      <c r="W646" s="272">
        <v>174.96360308617389</v>
      </c>
      <c r="X646" s="276">
        <v>0.93</v>
      </c>
      <c r="Y646" s="276">
        <v>0.93</v>
      </c>
      <c r="Z646" s="276">
        <v>0.93</v>
      </c>
      <c r="AA646" s="276">
        <v>0.93</v>
      </c>
      <c r="AB646" s="266">
        <f t="shared" si="367"/>
        <v>0</v>
      </c>
      <c r="AC646" s="266">
        <f t="shared" si="368"/>
        <v>0</v>
      </c>
      <c r="AD646" s="266">
        <f t="shared" si="369"/>
        <v>0</v>
      </c>
      <c r="AE646" s="266">
        <f t="shared" si="370"/>
        <v>0</v>
      </c>
      <c r="AF646" s="266">
        <f t="shared" si="371"/>
        <v>0</v>
      </c>
      <c r="AG646" s="274">
        <v>0.93</v>
      </c>
      <c r="AH646" s="274">
        <v>0.93</v>
      </c>
      <c r="AI646" s="274">
        <v>0.93</v>
      </c>
      <c r="AJ646" s="274">
        <v>0.93</v>
      </c>
      <c r="AK646" s="274">
        <f t="shared" si="372"/>
        <v>0.93</v>
      </c>
      <c r="AL646" s="274">
        <f t="shared" si="373"/>
        <v>0.93</v>
      </c>
      <c r="AM646" s="274">
        <f t="shared" si="374"/>
        <v>0.93</v>
      </c>
      <c r="AN646" s="274">
        <f t="shared" si="375"/>
        <v>0.93</v>
      </c>
      <c r="AO646" s="262"/>
      <c r="AP646" s="262"/>
      <c r="AQ646" s="267">
        <v>174.96360308617389</v>
      </c>
      <c r="AR646" s="262"/>
      <c r="AS646" s="266">
        <f t="shared" si="376"/>
        <v>0</v>
      </c>
      <c r="AT646" s="264">
        <f t="shared" si="377"/>
        <v>0</v>
      </c>
      <c r="AU646" s="262"/>
      <c r="AV646" s="262"/>
      <c r="AW646" s="265">
        <v>174.96360308617389</v>
      </c>
      <c r="AX646" s="164" t="s">
        <v>2397</v>
      </c>
      <c r="AY646" s="266">
        <v>0</v>
      </c>
      <c r="AZ646" s="266">
        <f t="shared" si="378"/>
        <v>0</v>
      </c>
      <c r="BA646" s="264">
        <f t="shared" si="379"/>
        <v>0</v>
      </c>
      <c r="BB646" s="262"/>
      <c r="BC646" s="262"/>
      <c r="BD646" s="265">
        <f ca="1">IFERROR(INDEX(Algorithms!$G:$G,MATCH($C646&amp;"_Therm Saved per Unit",Algorithms!$A:$A,0)),0)</f>
        <v>174.96360308617389</v>
      </c>
      <c r="BE646" s="164" t="str">
        <f ca="1">IFERROR(INDEX('v12 Revisions'!$P$29:$P$186, MATCH('Measure-Level Adj Gas'!$L646, 'v12 Revisions'!$D$29:$D$186,0)),"")</f>
        <v>n/a - costs only.</v>
      </c>
      <c r="BF646" s="266">
        <f t="shared" ca="1" si="380"/>
        <v>0</v>
      </c>
      <c r="BG646" s="264">
        <f t="shared" ca="1" si="381"/>
        <v>0</v>
      </c>
      <c r="BH646" s="262"/>
      <c r="BI646" s="262"/>
      <c r="BJ646" s="265">
        <f ca="1">IFERROR(INDEX(Algorithms!$G:$G,MATCH($C646&amp;"_Therm Saved per Unit",Algorithms!$A:$A,0)),0)</f>
        <v>174.96360308617389</v>
      </c>
      <c r="BK646" s="164"/>
      <c r="BL646" s="266">
        <f t="shared" ca="1" si="382"/>
        <v>0</v>
      </c>
      <c r="BM646" s="264">
        <f t="shared" ca="1" si="383"/>
        <v>0</v>
      </c>
      <c r="BN646" s="266">
        <f t="shared" si="384"/>
        <v>0</v>
      </c>
      <c r="BO646" s="266">
        <f t="shared" si="385"/>
        <v>0</v>
      </c>
      <c r="BP646" s="266">
        <f t="shared" ca="1" si="386"/>
        <v>0</v>
      </c>
      <c r="BQ646" s="266">
        <f t="shared" ca="1" si="387"/>
        <v>0</v>
      </c>
      <c r="BR646" s="268">
        <f t="shared" ca="1" si="388"/>
        <v>0</v>
      </c>
      <c r="BS646" s="262" t="s">
        <v>99</v>
      </c>
      <c r="BT646" s="277"/>
      <c r="BW646" s="266">
        <f t="shared" si="389"/>
        <v>0</v>
      </c>
      <c r="BX646" s="266">
        <f t="shared" si="390"/>
        <v>0</v>
      </c>
      <c r="BY646" s="266">
        <f t="shared" si="391"/>
        <v>0</v>
      </c>
      <c r="BZ646" s="266">
        <f t="shared" si="392"/>
        <v>0</v>
      </c>
      <c r="CA646" s="266">
        <f ca="1">N646*IFERROR(INDEX(Algorithms!$G:$G,MATCH($C646&amp;"_Therm Saved per Unit- MLA",Algorithms!$A:$A,0)),0)*X646</f>
        <v>0</v>
      </c>
      <c r="CB646" s="266">
        <f ca="1">O646*IFERROR(INDEX(Algorithms!$G:$G,MATCH($C646&amp;"_Therm Saved per Unit- MLA",Algorithms!$A:$A,0)),0)*Y646</f>
        <v>0</v>
      </c>
      <c r="CC646" s="266">
        <f ca="1">P646*IFERROR(INDEX(Algorithms!$G:$G,MATCH($C646&amp;"_Therm Saved per Unit- MLA",Algorithms!$A:$A,0)),0)*Z646</f>
        <v>0</v>
      </c>
      <c r="CD646" s="266">
        <f ca="1">Q646*IFERROR(INDEX(Algorithms!$G:$G,MATCH($C646&amp;"_Therm Saved per Unit- MLA",Algorithms!$A:$A,0)),0)*AA646</f>
        <v>0</v>
      </c>
      <c r="CE646" s="266">
        <f ca="1">IFERROR(INDEX(Algorithms!$G:$G,MATCH($C646&amp;"_Lifetime (years)",Algorithms!$A:$A,0)),0)</f>
        <v>6</v>
      </c>
      <c r="CF646" s="266">
        <f ca="1">IFERROR(INDEX(Algorithms!$G:$G,MATCH($C646&amp;"_Lifetime (years) - Remaining Years",Algorithms!$A:$A,0)),0)</f>
        <v>0</v>
      </c>
      <c r="CG646" s="266">
        <f t="shared" ca="1" si="393"/>
        <v>0</v>
      </c>
      <c r="CH646" s="266">
        <f t="shared" ca="1" si="394"/>
        <v>0</v>
      </c>
      <c r="CI646" s="266">
        <f t="shared" ca="1" si="395"/>
        <v>0</v>
      </c>
      <c r="CJ646" s="266">
        <f t="shared" ca="1" si="396"/>
        <v>0</v>
      </c>
      <c r="CK646" s="266">
        <f t="shared" si="397"/>
        <v>0</v>
      </c>
      <c r="CL646" s="266">
        <f t="shared" si="398"/>
        <v>0</v>
      </c>
      <c r="CM646" s="266">
        <f t="shared" ca="1" si="399"/>
        <v>0</v>
      </c>
      <c r="CN646" s="266">
        <f t="shared" ca="1" si="400"/>
        <v>0</v>
      </c>
      <c r="CO646" s="266">
        <f ca="1">N646*IFERROR(INDEX(Algorithms!$G:$G,MATCH($C646&amp;"_Therm Saved per Unit- MLA",Algorithms!$A:$A,0)),0)*X646</f>
        <v>0</v>
      </c>
      <c r="CP646" s="266">
        <f ca="1">O646*IFERROR(INDEX(Algorithms!$G:$G,MATCH($C646&amp;"_Therm Saved per Unit- MLA",Algorithms!$A:$A,0)),0)*Y646</f>
        <v>0</v>
      </c>
      <c r="CQ646" s="266">
        <f ca="1">P646*IFERROR(INDEX(Algorithms!$G:$G,MATCH($C646&amp;"_Therm Saved per Unit- MLA",Algorithms!$A:$A,0)),0)*Z646</f>
        <v>0</v>
      </c>
      <c r="CR646" s="266">
        <f ca="1">Q646*IFERROR(INDEX(Algorithms!$G:$G,MATCH($C646&amp;"_Therm Saved per Unit- MLA",Algorithms!$A:$A,0)),0)*AA646</f>
        <v>0</v>
      </c>
      <c r="CS646" s="266">
        <f ca="1">IFERROR(INDEX(Algorithms!$G:$G,MATCH($C646&amp;"_Lifetime (years)",Algorithms!$A:$A,0)),0)</f>
        <v>6</v>
      </c>
      <c r="CT646" s="266">
        <f ca="1">IFERROR(INDEX(Algorithms!$G:$G,MATCH($C646&amp;"_Lifetime (years) - Remaining Years",Algorithms!$A:$A,0)),0)</f>
        <v>0</v>
      </c>
      <c r="CU646" s="266">
        <f t="shared" ca="1" si="401"/>
        <v>0</v>
      </c>
      <c r="CV646" s="266">
        <f t="shared" ca="1" si="402"/>
        <v>0</v>
      </c>
      <c r="CW646" s="266">
        <f t="shared" ca="1" si="403"/>
        <v>0</v>
      </c>
      <c r="CX646" s="266">
        <f t="shared" ca="1" si="404"/>
        <v>0</v>
      </c>
    </row>
    <row r="647" spans="2:102" s="47" customFormat="1" ht="18" customHeight="1" x14ac:dyDescent="0.25">
      <c r="B647" t="str">
        <f t="shared" si="405"/>
        <v>NSG_Business_Small/Mid-Size Business_Rebates_Steam Traps_Dry Cleaner/Industrial - Audit_MF/CI/SMB</v>
      </c>
      <c r="C647" s="47" t="str">
        <f t="shared" si="366"/>
        <v>Steam Traps_Dry Cleaner/Industrial - Audit_MF/CI/SMB</v>
      </c>
      <c r="D647" s="270" t="s">
        <v>1787</v>
      </c>
      <c r="E647" s="270" t="s">
        <v>3</v>
      </c>
      <c r="F647" s="270" t="s">
        <v>1432</v>
      </c>
      <c r="G647" s="270" t="s">
        <v>1429</v>
      </c>
      <c r="H647" s="270" t="s">
        <v>644</v>
      </c>
      <c r="I647" s="270" t="s">
        <v>1275</v>
      </c>
      <c r="J647" s="270" t="s">
        <v>662</v>
      </c>
      <c r="K647" s="263">
        <v>1</v>
      </c>
      <c r="L647" s="263" t="str">
        <f ca="1">IFERROR(INDEX(Algorithms!J:J,MATCH($C647&amp;"_Therm Saved per Unit",Algorithms!$A:$A,0)),"n/a")</f>
        <v>4.4.16</v>
      </c>
      <c r="M647" s="263" t="str">
        <f>IFERROR(INDEX('Measure Level Detail'!$N:$N,MATCH($B647,'Measure Level Detail'!$B:$B,0)),0)</f>
        <v>each</v>
      </c>
      <c r="N647" s="271">
        <f>IFERROR(INDEX('Measure Level Detail'!$P:$P,MATCH($B647&amp;"_"&amp;N$3,'Measure Level Detail'!$C:$C,0)),0)</f>
        <v>0</v>
      </c>
      <c r="O647" s="271">
        <f>IFERROR(INDEX('Measure Level Detail'!$P:$P,MATCH($B647&amp;"_"&amp;O$3,'Measure Level Detail'!$C:$C,0)),0)</f>
        <v>0</v>
      </c>
      <c r="P647" s="271">
        <f>IFERROR(INDEX('Measure Level Detail'!$P:$P,MATCH($B647&amp;"_"&amp;P$3,'Measure Level Detail'!$C:$C,0)),0)</f>
        <v>0</v>
      </c>
      <c r="Q647" s="271">
        <f>IFERROR(INDEX('Measure Level Detail'!$P:$P,MATCH($B647&amp;"_"&amp;Q$3,'Measure Level Detail'!$C:$C,0)),0)</f>
        <v>0</v>
      </c>
      <c r="R647" s="263" t="str">
        <f ca="1">IFERROR(INDEX(Algorithms!K:K,MATCH($C647&amp;"_Therm Saved per Unit",Algorithms!$A:$A,0)),"n/a")</f>
        <v>CI-HVC-STRE-V10-240101</v>
      </c>
      <c r="S647" s="262"/>
      <c r="T647" s="272">
        <v>648.01334476360694</v>
      </c>
      <c r="U647" s="272">
        <v>648.01334476360694</v>
      </c>
      <c r="V647" s="272">
        <v>648.01334476360694</v>
      </c>
      <c r="W647" s="272">
        <v>648.01334476360694</v>
      </c>
      <c r="X647" s="276">
        <v>0.93</v>
      </c>
      <c r="Y647" s="276">
        <v>0.93</v>
      </c>
      <c r="Z647" s="276">
        <v>0.93</v>
      </c>
      <c r="AA647" s="276">
        <v>0.93</v>
      </c>
      <c r="AB647" s="266">
        <f t="shared" si="367"/>
        <v>0</v>
      </c>
      <c r="AC647" s="266">
        <f t="shared" si="368"/>
        <v>0</v>
      </c>
      <c r="AD647" s="266">
        <f t="shared" si="369"/>
        <v>0</v>
      </c>
      <c r="AE647" s="266">
        <f t="shared" si="370"/>
        <v>0</v>
      </c>
      <c r="AF647" s="266">
        <f t="shared" si="371"/>
        <v>0</v>
      </c>
      <c r="AG647" s="274">
        <v>0.93</v>
      </c>
      <c r="AH647" s="274">
        <v>0.93</v>
      </c>
      <c r="AI647" s="274">
        <v>0.93</v>
      </c>
      <c r="AJ647" s="274">
        <v>0.93</v>
      </c>
      <c r="AK647" s="274">
        <f t="shared" si="372"/>
        <v>0.93</v>
      </c>
      <c r="AL647" s="274">
        <f t="shared" si="373"/>
        <v>0.93</v>
      </c>
      <c r="AM647" s="274">
        <f t="shared" si="374"/>
        <v>0.93</v>
      </c>
      <c r="AN647" s="274">
        <f t="shared" si="375"/>
        <v>0.93</v>
      </c>
      <c r="AO647" s="262"/>
      <c r="AP647" s="262"/>
      <c r="AQ647" s="267">
        <v>648.01334476360694</v>
      </c>
      <c r="AR647" s="262"/>
      <c r="AS647" s="266">
        <f t="shared" si="376"/>
        <v>0</v>
      </c>
      <c r="AT647" s="264">
        <f t="shared" si="377"/>
        <v>0</v>
      </c>
      <c r="AU647" s="262"/>
      <c r="AV647" s="262"/>
      <c r="AW647" s="265">
        <v>648.01334476360694</v>
      </c>
      <c r="AX647" s="164" t="s">
        <v>2397</v>
      </c>
      <c r="AY647" s="266">
        <v>0</v>
      </c>
      <c r="AZ647" s="266">
        <f t="shared" si="378"/>
        <v>0</v>
      </c>
      <c r="BA647" s="264">
        <f t="shared" si="379"/>
        <v>0</v>
      </c>
      <c r="BB647" s="262"/>
      <c r="BC647" s="262"/>
      <c r="BD647" s="265">
        <f ca="1">IFERROR(INDEX(Algorithms!$G:$G,MATCH($C647&amp;"_Therm Saved per Unit",Algorithms!$A:$A,0)),0)</f>
        <v>648.01334476360694</v>
      </c>
      <c r="BE647" s="164" t="str">
        <f ca="1">IFERROR(INDEX('v12 Revisions'!$P$29:$P$186, MATCH('Measure-Level Adj Gas'!$L647, 'v12 Revisions'!$D$29:$D$186,0)),"")</f>
        <v>n/a - costs only.</v>
      </c>
      <c r="BF647" s="266">
        <f t="shared" ca="1" si="380"/>
        <v>0</v>
      </c>
      <c r="BG647" s="264">
        <f t="shared" ca="1" si="381"/>
        <v>0</v>
      </c>
      <c r="BH647" s="262"/>
      <c r="BI647" s="262"/>
      <c r="BJ647" s="265">
        <f ca="1">IFERROR(INDEX(Algorithms!$G:$G,MATCH($C647&amp;"_Therm Saved per Unit",Algorithms!$A:$A,0)),0)</f>
        <v>648.01334476360694</v>
      </c>
      <c r="BK647" s="164"/>
      <c r="BL647" s="266">
        <f t="shared" ca="1" si="382"/>
        <v>0</v>
      </c>
      <c r="BM647" s="264">
        <f t="shared" ca="1" si="383"/>
        <v>0</v>
      </c>
      <c r="BN647" s="266">
        <f t="shared" si="384"/>
        <v>0</v>
      </c>
      <c r="BO647" s="266">
        <f t="shared" si="385"/>
        <v>0</v>
      </c>
      <c r="BP647" s="266">
        <f t="shared" ca="1" si="386"/>
        <v>0</v>
      </c>
      <c r="BQ647" s="266">
        <f t="shared" ca="1" si="387"/>
        <v>0</v>
      </c>
      <c r="BR647" s="268">
        <f t="shared" ca="1" si="388"/>
        <v>0</v>
      </c>
      <c r="BS647" s="262" t="s">
        <v>99</v>
      </c>
      <c r="BT647" s="277"/>
      <c r="BW647" s="266">
        <f t="shared" si="389"/>
        <v>0</v>
      </c>
      <c r="BX647" s="266">
        <f t="shared" si="390"/>
        <v>0</v>
      </c>
      <c r="BY647" s="266">
        <f t="shared" si="391"/>
        <v>0</v>
      </c>
      <c r="BZ647" s="266">
        <f t="shared" si="392"/>
        <v>0</v>
      </c>
      <c r="CA647" s="266">
        <f ca="1">N647*IFERROR(INDEX(Algorithms!$G:$G,MATCH($C647&amp;"_Therm Saved per Unit- MLA",Algorithms!$A:$A,0)),0)*X647</f>
        <v>0</v>
      </c>
      <c r="CB647" s="266">
        <f ca="1">O647*IFERROR(INDEX(Algorithms!$G:$G,MATCH($C647&amp;"_Therm Saved per Unit- MLA",Algorithms!$A:$A,0)),0)*Y647</f>
        <v>0</v>
      </c>
      <c r="CC647" s="266">
        <f ca="1">P647*IFERROR(INDEX(Algorithms!$G:$G,MATCH($C647&amp;"_Therm Saved per Unit- MLA",Algorithms!$A:$A,0)),0)*Z647</f>
        <v>0</v>
      </c>
      <c r="CD647" s="266">
        <f ca="1">Q647*IFERROR(INDEX(Algorithms!$G:$G,MATCH($C647&amp;"_Therm Saved per Unit- MLA",Algorithms!$A:$A,0)),0)*AA647</f>
        <v>0</v>
      </c>
      <c r="CE647" s="266">
        <f ca="1">IFERROR(INDEX(Algorithms!$G:$G,MATCH($C647&amp;"_Lifetime (years)",Algorithms!$A:$A,0)),0)</f>
        <v>6</v>
      </c>
      <c r="CF647" s="266">
        <f ca="1">IFERROR(INDEX(Algorithms!$G:$G,MATCH($C647&amp;"_Lifetime (years) - Remaining Years",Algorithms!$A:$A,0)),0)</f>
        <v>0</v>
      </c>
      <c r="CG647" s="266">
        <f t="shared" ca="1" si="393"/>
        <v>0</v>
      </c>
      <c r="CH647" s="266">
        <f t="shared" ca="1" si="394"/>
        <v>0</v>
      </c>
      <c r="CI647" s="266">
        <f t="shared" ca="1" si="395"/>
        <v>0</v>
      </c>
      <c r="CJ647" s="266">
        <f t="shared" ca="1" si="396"/>
        <v>0</v>
      </c>
      <c r="CK647" s="266">
        <f t="shared" si="397"/>
        <v>0</v>
      </c>
      <c r="CL647" s="266">
        <f t="shared" si="398"/>
        <v>0</v>
      </c>
      <c r="CM647" s="266">
        <f t="shared" ca="1" si="399"/>
        <v>0</v>
      </c>
      <c r="CN647" s="266">
        <f t="shared" ca="1" si="400"/>
        <v>0</v>
      </c>
      <c r="CO647" s="266">
        <f ca="1">N647*IFERROR(INDEX(Algorithms!$G:$G,MATCH($C647&amp;"_Therm Saved per Unit- MLA",Algorithms!$A:$A,0)),0)*X647</f>
        <v>0</v>
      </c>
      <c r="CP647" s="266">
        <f ca="1">O647*IFERROR(INDEX(Algorithms!$G:$G,MATCH($C647&amp;"_Therm Saved per Unit- MLA",Algorithms!$A:$A,0)),0)*Y647</f>
        <v>0</v>
      </c>
      <c r="CQ647" s="266">
        <f ca="1">P647*IFERROR(INDEX(Algorithms!$G:$G,MATCH($C647&amp;"_Therm Saved per Unit- MLA",Algorithms!$A:$A,0)),0)*Z647</f>
        <v>0</v>
      </c>
      <c r="CR647" s="266">
        <f ca="1">Q647*IFERROR(INDEX(Algorithms!$G:$G,MATCH($C647&amp;"_Therm Saved per Unit- MLA",Algorithms!$A:$A,0)),0)*AA647</f>
        <v>0</v>
      </c>
      <c r="CS647" s="266">
        <f ca="1">IFERROR(INDEX(Algorithms!$G:$G,MATCH($C647&amp;"_Lifetime (years)",Algorithms!$A:$A,0)),0)</f>
        <v>6</v>
      </c>
      <c r="CT647" s="266">
        <f ca="1">IFERROR(INDEX(Algorithms!$G:$G,MATCH($C647&amp;"_Lifetime (years) - Remaining Years",Algorithms!$A:$A,0)),0)</f>
        <v>0</v>
      </c>
      <c r="CU647" s="266">
        <f t="shared" ca="1" si="401"/>
        <v>0</v>
      </c>
      <c r="CV647" s="266">
        <f t="shared" ca="1" si="402"/>
        <v>0</v>
      </c>
      <c r="CW647" s="266">
        <f t="shared" ca="1" si="403"/>
        <v>0</v>
      </c>
      <c r="CX647" s="266">
        <f t="shared" ca="1" si="404"/>
        <v>0</v>
      </c>
    </row>
    <row r="648" spans="2:102" s="47" customFormat="1" ht="18" customHeight="1" x14ac:dyDescent="0.25">
      <c r="B648" t="str">
        <f t="shared" si="405"/>
        <v>NSG_Business_Small/Mid-Size Business_Rebates_Steam Traps_HVAC Repair/Rep - Audit_CI</v>
      </c>
      <c r="C648" s="47" t="str">
        <f t="shared" si="366"/>
        <v>Steam Traps_HVAC Repair/Rep - Audit_CI</v>
      </c>
      <c r="D648" s="270" t="s">
        <v>1787</v>
      </c>
      <c r="E648" s="270" t="s">
        <v>3</v>
      </c>
      <c r="F648" s="270" t="s">
        <v>1432</v>
      </c>
      <c r="G648" s="270" t="s">
        <v>1429</v>
      </c>
      <c r="H648" s="270" t="s">
        <v>644</v>
      </c>
      <c r="I648" s="270" t="s">
        <v>645</v>
      </c>
      <c r="J648" s="270" t="s">
        <v>1159</v>
      </c>
      <c r="K648" s="263">
        <v>1</v>
      </c>
      <c r="L648" s="263" t="str">
        <f ca="1">IFERROR(INDEX(Algorithms!J:J,MATCH($C648&amp;"_Therm Saved per Unit",Algorithms!$A:$A,0)),"n/a")</f>
        <v>4.4.16</v>
      </c>
      <c r="M648" s="263" t="str">
        <f>IFERROR(INDEX('Measure Level Detail'!$N:$N,MATCH($B648,'Measure Level Detail'!$B:$B,0)),0)</f>
        <v>each</v>
      </c>
      <c r="N648" s="271">
        <f>IFERROR(INDEX('Measure Level Detail'!$P:$P,MATCH($B648&amp;"_"&amp;N$3,'Measure Level Detail'!$C:$C,0)),0)</f>
        <v>0</v>
      </c>
      <c r="O648" s="271">
        <f>IFERROR(INDEX('Measure Level Detail'!$P:$P,MATCH($B648&amp;"_"&amp;O$3,'Measure Level Detail'!$C:$C,0)),0)</f>
        <v>0</v>
      </c>
      <c r="P648" s="271">
        <f>IFERROR(INDEX('Measure Level Detail'!$P:$P,MATCH($B648&amp;"_"&amp;P$3,'Measure Level Detail'!$C:$C,0)),0)</f>
        <v>0</v>
      </c>
      <c r="Q648" s="271">
        <f>IFERROR(INDEX('Measure Level Detail'!$P:$P,MATCH($B648&amp;"_"&amp;Q$3,'Measure Level Detail'!$C:$C,0)),0)</f>
        <v>0</v>
      </c>
      <c r="R648" s="263" t="str">
        <f ca="1">IFERROR(INDEX(Algorithms!K:K,MATCH($C648&amp;"_Therm Saved per Unit",Algorithms!$A:$A,0)),"n/a")</f>
        <v>CI-HVC-STRE-V10-240101</v>
      </c>
      <c r="S648" s="262"/>
      <c r="T648" s="272">
        <v>383.76733095846322</v>
      </c>
      <c r="U648" s="272">
        <v>383.76733095846322</v>
      </c>
      <c r="V648" s="272">
        <v>383.76733095846322</v>
      </c>
      <c r="W648" s="272">
        <v>383.76733095846322</v>
      </c>
      <c r="X648" s="276">
        <v>0.93</v>
      </c>
      <c r="Y648" s="276">
        <v>0.93</v>
      </c>
      <c r="Z648" s="276">
        <v>0.93</v>
      </c>
      <c r="AA648" s="276">
        <v>0.93</v>
      </c>
      <c r="AB648" s="266">
        <f t="shared" si="367"/>
        <v>0</v>
      </c>
      <c r="AC648" s="266">
        <f t="shared" si="368"/>
        <v>0</v>
      </c>
      <c r="AD648" s="266">
        <f t="shared" si="369"/>
        <v>0</v>
      </c>
      <c r="AE648" s="266">
        <f t="shared" si="370"/>
        <v>0</v>
      </c>
      <c r="AF648" s="266">
        <f t="shared" si="371"/>
        <v>0</v>
      </c>
      <c r="AG648" s="274">
        <v>0.93</v>
      </c>
      <c r="AH648" s="274">
        <v>0.93</v>
      </c>
      <c r="AI648" s="274">
        <v>0.93</v>
      </c>
      <c r="AJ648" s="274">
        <v>0.93</v>
      </c>
      <c r="AK648" s="274">
        <f t="shared" si="372"/>
        <v>0.93</v>
      </c>
      <c r="AL648" s="274">
        <f t="shared" si="373"/>
        <v>0.93</v>
      </c>
      <c r="AM648" s="274">
        <f t="shared" si="374"/>
        <v>0.93</v>
      </c>
      <c r="AN648" s="274">
        <f t="shared" si="375"/>
        <v>0.93</v>
      </c>
      <c r="AO648" s="262"/>
      <c r="AP648" s="262"/>
      <c r="AQ648" s="267">
        <v>383.76733095846322</v>
      </c>
      <c r="AR648" s="262"/>
      <c r="AS648" s="266">
        <f t="shared" si="376"/>
        <v>0</v>
      </c>
      <c r="AT648" s="264">
        <f t="shared" si="377"/>
        <v>0</v>
      </c>
      <c r="AU648" s="262"/>
      <c r="AV648" s="262"/>
      <c r="AW648" s="265">
        <v>779.98158821323193</v>
      </c>
      <c r="AX648" s="164" t="s">
        <v>2397</v>
      </c>
      <c r="AY648" s="266">
        <v>0</v>
      </c>
      <c r="AZ648" s="266">
        <f t="shared" si="378"/>
        <v>0</v>
      </c>
      <c r="BA648" s="264">
        <f t="shared" si="379"/>
        <v>0</v>
      </c>
      <c r="BB648" s="262"/>
      <c r="BC648" s="262"/>
      <c r="BD648" s="265">
        <f ca="1">IFERROR(INDEX(Algorithms!$G:$G,MATCH($C648&amp;"_Therm Saved per Unit",Algorithms!$A:$A,0)),0)</f>
        <v>779.98158821323193</v>
      </c>
      <c r="BE648" s="164" t="str">
        <f ca="1">IFERROR(INDEX('v12 Revisions'!$P$29:$P$186, MATCH('Measure-Level Adj Gas'!$L648, 'v12 Revisions'!$D$29:$D$186,0)),"")</f>
        <v>n/a - costs only.</v>
      </c>
      <c r="BF648" s="266">
        <f t="shared" ca="1" si="380"/>
        <v>0</v>
      </c>
      <c r="BG648" s="264">
        <f t="shared" ca="1" si="381"/>
        <v>0</v>
      </c>
      <c r="BH648" s="262"/>
      <c r="BI648" s="262"/>
      <c r="BJ648" s="265">
        <f ca="1">IFERROR(INDEX(Algorithms!$G:$G,MATCH($C648&amp;"_Therm Saved per Unit",Algorithms!$A:$A,0)),0)</f>
        <v>779.98158821323193</v>
      </c>
      <c r="BK648" s="164"/>
      <c r="BL648" s="266">
        <f t="shared" ca="1" si="382"/>
        <v>0</v>
      </c>
      <c r="BM648" s="264">
        <f t="shared" ca="1" si="383"/>
        <v>0</v>
      </c>
      <c r="BN648" s="266">
        <f t="shared" si="384"/>
        <v>0</v>
      </c>
      <c r="BO648" s="266">
        <f t="shared" si="385"/>
        <v>0</v>
      </c>
      <c r="BP648" s="266">
        <f t="shared" ca="1" si="386"/>
        <v>0</v>
      </c>
      <c r="BQ648" s="266">
        <f t="shared" ca="1" si="387"/>
        <v>0</v>
      </c>
      <c r="BR648" s="268">
        <f t="shared" ca="1" si="388"/>
        <v>0</v>
      </c>
      <c r="BS648" s="262" t="s">
        <v>99</v>
      </c>
      <c r="BT648" s="277"/>
      <c r="BW648" s="266">
        <f t="shared" si="389"/>
        <v>0</v>
      </c>
      <c r="BX648" s="266">
        <f t="shared" si="390"/>
        <v>0</v>
      </c>
      <c r="BY648" s="266">
        <f t="shared" si="391"/>
        <v>0</v>
      </c>
      <c r="BZ648" s="266">
        <f t="shared" si="392"/>
        <v>0</v>
      </c>
      <c r="CA648" s="266">
        <f ca="1">N648*IFERROR(INDEX(Algorithms!$G:$G,MATCH($C648&amp;"_Therm Saved per Unit- MLA",Algorithms!$A:$A,0)),0)*X648</f>
        <v>0</v>
      </c>
      <c r="CB648" s="266">
        <f ca="1">O648*IFERROR(INDEX(Algorithms!$G:$G,MATCH($C648&amp;"_Therm Saved per Unit- MLA",Algorithms!$A:$A,0)),0)*Y648</f>
        <v>0</v>
      </c>
      <c r="CC648" s="266">
        <f ca="1">P648*IFERROR(INDEX(Algorithms!$G:$G,MATCH($C648&amp;"_Therm Saved per Unit- MLA",Algorithms!$A:$A,0)),0)*Z648</f>
        <v>0</v>
      </c>
      <c r="CD648" s="266">
        <f ca="1">Q648*IFERROR(INDEX(Algorithms!$G:$G,MATCH($C648&amp;"_Therm Saved per Unit- MLA",Algorithms!$A:$A,0)),0)*AA648</f>
        <v>0</v>
      </c>
      <c r="CE648" s="266">
        <f ca="1">IFERROR(INDEX(Algorithms!$G:$G,MATCH($C648&amp;"_Lifetime (years)",Algorithms!$A:$A,0)),0)</f>
        <v>6</v>
      </c>
      <c r="CF648" s="266">
        <f ca="1">IFERROR(INDEX(Algorithms!$G:$G,MATCH($C648&amp;"_Lifetime (years) - Remaining Years",Algorithms!$A:$A,0)),0)</f>
        <v>0</v>
      </c>
      <c r="CG648" s="266">
        <f t="shared" ca="1" si="393"/>
        <v>0</v>
      </c>
      <c r="CH648" s="266">
        <f t="shared" ca="1" si="394"/>
        <v>0</v>
      </c>
      <c r="CI648" s="266">
        <f t="shared" ca="1" si="395"/>
        <v>0</v>
      </c>
      <c r="CJ648" s="266">
        <f t="shared" ca="1" si="396"/>
        <v>0</v>
      </c>
      <c r="CK648" s="266">
        <f t="shared" si="397"/>
        <v>0</v>
      </c>
      <c r="CL648" s="266">
        <f t="shared" si="398"/>
        <v>0</v>
      </c>
      <c r="CM648" s="266">
        <f t="shared" ca="1" si="399"/>
        <v>0</v>
      </c>
      <c r="CN648" s="266">
        <f t="shared" ca="1" si="400"/>
        <v>0</v>
      </c>
      <c r="CO648" s="266">
        <f ca="1">N648*IFERROR(INDEX(Algorithms!$G:$G,MATCH($C648&amp;"_Therm Saved per Unit- MLA",Algorithms!$A:$A,0)),0)*X648</f>
        <v>0</v>
      </c>
      <c r="CP648" s="266">
        <f ca="1">O648*IFERROR(INDEX(Algorithms!$G:$G,MATCH($C648&amp;"_Therm Saved per Unit- MLA",Algorithms!$A:$A,0)),0)*Y648</f>
        <v>0</v>
      </c>
      <c r="CQ648" s="266">
        <f ca="1">P648*IFERROR(INDEX(Algorithms!$G:$G,MATCH($C648&amp;"_Therm Saved per Unit- MLA",Algorithms!$A:$A,0)),0)*Z648</f>
        <v>0</v>
      </c>
      <c r="CR648" s="266">
        <f ca="1">Q648*IFERROR(INDEX(Algorithms!$G:$G,MATCH($C648&amp;"_Therm Saved per Unit- MLA",Algorithms!$A:$A,0)),0)*AA648</f>
        <v>0</v>
      </c>
      <c r="CS648" s="266">
        <f ca="1">IFERROR(INDEX(Algorithms!$G:$G,MATCH($C648&amp;"_Lifetime (years)",Algorithms!$A:$A,0)),0)</f>
        <v>6</v>
      </c>
      <c r="CT648" s="266">
        <f ca="1">IFERROR(INDEX(Algorithms!$G:$G,MATCH($C648&amp;"_Lifetime (years) - Remaining Years",Algorithms!$A:$A,0)),0)</f>
        <v>0</v>
      </c>
      <c r="CU648" s="266">
        <f t="shared" ca="1" si="401"/>
        <v>0</v>
      </c>
      <c r="CV648" s="266">
        <f t="shared" ca="1" si="402"/>
        <v>0</v>
      </c>
      <c r="CW648" s="266">
        <f t="shared" ca="1" si="403"/>
        <v>0</v>
      </c>
      <c r="CX648" s="266">
        <f t="shared" ca="1" si="404"/>
        <v>0</v>
      </c>
    </row>
    <row r="649" spans="2:102" s="47" customFormat="1" ht="18" customHeight="1" x14ac:dyDescent="0.25">
      <c r="B649" t="str">
        <f t="shared" si="405"/>
        <v>NSG_Business_Small/Mid-Size Business_Rebates_Steam Traps_HVAC Repair/Rep - No Audit_CI</v>
      </c>
      <c r="C649" s="47" t="str">
        <f t="shared" si="366"/>
        <v>Steam Traps_HVAC Repair/Rep - No Audit_CI</v>
      </c>
      <c r="D649" s="270" t="s">
        <v>1787</v>
      </c>
      <c r="E649" s="270" t="s">
        <v>3</v>
      </c>
      <c r="F649" s="270" t="s">
        <v>1432</v>
      </c>
      <c r="G649" s="270" t="s">
        <v>1429</v>
      </c>
      <c r="H649" s="270" t="s">
        <v>644</v>
      </c>
      <c r="I649" s="270" t="s">
        <v>660</v>
      </c>
      <c r="J649" s="270" t="s">
        <v>1159</v>
      </c>
      <c r="K649" s="263">
        <v>1</v>
      </c>
      <c r="L649" s="263" t="str">
        <f ca="1">IFERROR(INDEX(Algorithms!J:J,MATCH($C649&amp;"_Therm Saved per Unit",Algorithms!$A:$A,0)),"n/a")</f>
        <v>4.4.16</v>
      </c>
      <c r="M649" s="263" t="str">
        <f>IFERROR(INDEX('Measure Level Detail'!$N:$N,MATCH($B649,'Measure Level Detail'!$B:$B,0)),0)</f>
        <v>each</v>
      </c>
      <c r="N649" s="271">
        <f>IFERROR(INDEX('Measure Level Detail'!$P:$P,MATCH($B649&amp;"_"&amp;N$3,'Measure Level Detail'!$C:$C,0)),0)</f>
        <v>0</v>
      </c>
      <c r="O649" s="271">
        <f>IFERROR(INDEX('Measure Level Detail'!$P:$P,MATCH($B649&amp;"_"&amp;O$3,'Measure Level Detail'!$C:$C,0)),0)</f>
        <v>0</v>
      </c>
      <c r="P649" s="271">
        <f>IFERROR(INDEX('Measure Level Detail'!$P:$P,MATCH($B649&amp;"_"&amp;P$3,'Measure Level Detail'!$C:$C,0)),0)</f>
        <v>0</v>
      </c>
      <c r="Q649" s="271">
        <f>IFERROR(INDEX('Measure Level Detail'!$P:$P,MATCH($B649&amp;"_"&amp;Q$3,'Measure Level Detail'!$C:$C,0)),0)</f>
        <v>0</v>
      </c>
      <c r="R649" s="263" t="str">
        <f ca="1">IFERROR(INDEX(Algorithms!K:K,MATCH($C649&amp;"_Therm Saved per Unit",Algorithms!$A:$A,0)),"n/a")</f>
        <v>CI-HVC-STRE-V10-240101</v>
      </c>
      <c r="S649" s="262"/>
      <c r="T649" s="272">
        <v>103.61717935878508</v>
      </c>
      <c r="U649" s="272">
        <v>103.61717935878508</v>
      </c>
      <c r="V649" s="272">
        <v>103.61717935878508</v>
      </c>
      <c r="W649" s="272">
        <v>103.61717935878508</v>
      </c>
      <c r="X649" s="276">
        <v>0.93</v>
      </c>
      <c r="Y649" s="276">
        <v>0.93</v>
      </c>
      <c r="Z649" s="276">
        <v>0.93</v>
      </c>
      <c r="AA649" s="276">
        <v>0.93</v>
      </c>
      <c r="AB649" s="266">
        <f t="shared" si="367"/>
        <v>0</v>
      </c>
      <c r="AC649" s="266">
        <f t="shared" si="368"/>
        <v>0</v>
      </c>
      <c r="AD649" s="266">
        <f t="shared" si="369"/>
        <v>0</v>
      </c>
      <c r="AE649" s="266">
        <f t="shared" si="370"/>
        <v>0</v>
      </c>
      <c r="AF649" s="266">
        <f t="shared" si="371"/>
        <v>0</v>
      </c>
      <c r="AG649" s="274">
        <v>0.93</v>
      </c>
      <c r="AH649" s="274">
        <v>0.93</v>
      </c>
      <c r="AI649" s="274">
        <v>0.93</v>
      </c>
      <c r="AJ649" s="274">
        <v>0.93</v>
      </c>
      <c r="AK649" s="274">
        <f t="shared" si="372"/>
        <v>0.93</v>
      </c>
      <c r="AL649" s="274">
        <f t="shared" si="373"/>
        <v>0.93</v>
      </c>
      <c r="AM649" s="274">
        <f t="shared" si="374"/>
        <v>0.93</v>
      </c>
      <c r="AN649" s="274">
        <f t="shared" si="375"/>
        <v>0.93</v>
      </c>
      <c r="AO649" s="262"/>
      <c r="AP649" s="262"/>
      <c r="AQ649" s="267">
        <v>103.61717935878508</v>
      </c>
      <c r="AR649" s="262"/>
      <c r="AS649" s="266">
        <f t="shared" si="376"/>
        <v>0</v>
      </c>
      <c r="AT649" s="264">
        <f t="shared" si="377"/>
        <v>0</v>
      </c>
      <c r="AU649" s="262"/>
      <c r="AV649" s="262"/>
      <c r="AW649" s="265">
        <v>210.59502881757265</v>
      </c>
      <c r="AX649" s="164" t="s">
        <v>2397</v>
      </c>
      <c r="AY649" s="266">
        <v>0</v>
      </c>
      <c r="AZ649" s="266">
        <f t="shared" si="378"/>
        <v>0</v>
      </c>
      <c r="BA649" s="264">
        <f t="shared" si="379"/>
        <v>0</v>
      </c>
      <c r="BB649" s="262"/>
      <c r="BC649" s="262"/>
      <c r="BD649" s="265">
        <f ca="1">IFERROR(INDEX(Algorithms!$G:$G,MATCH($C649&amp;"_Therm Saved per Unit",Algorithms!$A:$A,0)),0)</f>
        <v>210.59502881757265</v>
      </c>
      <c r="BE649" s="164" t="str">
        <f ca="1">IFERROR(INDEX('v12 Revisions'!$P$29:$P$186, MATCH('Measure-Level Adj Gas'!$L649, 'v12 Revisions'!$D$29:$D$186,0)),"")</f>
        <v>n/a - costs only.</v>
      </c>
      <c r="BF649" s="266">
        <f t="shared" ca="1" si="380"/>
        <v>0</v>
      </c>
      <c r="BG649" s="264">
        <f t="shared" ca="1" si="381"/>
        <v>0</v>
      </c>
      <c r="BH649" s="262"/>
      <c r="BI649" s="262"/>
      <c r="BJ649" s="265">
        <f ca="1">IFERROR(INDEX(Algorithms!$G:$G,MATCH($C649&amp;"_Therm Saved per Unit",Algorithms!$A:$A,0)),0)</f>
        <v>210.59502881757265</v>
      </c>
      <c r="BK649" s="164"/>
      <c r="BL649" s="266">
        <f t="shared" ca="1" si="382"/>
        <v>0</v>
      </c>
      <c r="BM649" s="264">
        <f t="shared" ca="1" si="383"/>
        <v>0</v>
      </c>
      <c r="BN649" s="266">
        <f t="shared" si="384"/>
        <v>0</v>
      </c>
      <c r="BO649" s="266">
        <f t="shared" si="385"/>
        <v>0</v>
      </c>
      <c r="BP649" s="266">
        <f t="shared" ca="1" si="386"/>
        <v>0</v>
      </c>
      <c r="BQ649" s="266">
        <f t="shared" ca="1" si="387"/>
        <v>0</v>
      </c>
      <c r="BR649" s="268">
        <f t="shared" ca="1" si="388"/>
        <v>0</v>
      </c>
      <c r="BS649" s="262" t="s">
        <v>99</v>
      </c>
      <c r="BT649" s="277"/>
      <c r="BW649" s="266">
        <f t="shared" si="389"/>
        <v>0</v>
      </c>
      <c r="BX649" s="266">
        <f t="shared" si="390"/>
        <v>0</v>
      </c>
      <c r="BY649" s="266">
        <f t="shared" si="391"/>
        <v>0</v>
      </c>
      <c r="BZ649" s="266">
        <f t="shared" si="392"/>
        <v>0</v>
      </c>
      <c r="CA649" s="266">
        <f ca="1">N649*IFERROR(INDEX(Algorithms!$G:$G,MATCH($C649&amp;"_Therm Saved per Unit- MLA",Algorithms!$A:$A,0)),0)*X649</f>
        <v>0</v>
      </c>
      <c r="CB649" s="266">
        <f ca="1">O649*IFERROR(INDEX(Algorithms!$G:$G,MATCH($C649&amp;"_Therm Saved per Unit- MLA",Algorithms!$A:$A,0)),0)*Y649</f>
        <v>0</v>
      </c>
      <c r="CC649" s="266">
        <f ca="1">P649*IFERROR(INDEX(Algorithms!$G:$G,MATCH($C649&amp;"_Therm Saved per Unit- MLA",Algorithms!$A:$A,0)),0)*Z649</f>
        <v>0</v>
      </c>
      <c r="CD649" s="266">
        <f ca="1">Q649*IFERROR(INDEX(Algorithms!$G:$G,MATCH($C649&amp;"_Therm Saved per Unit- MLA",Algorithms!$A:$A,0)),0)*AA649</f>
        <v>0</v>
      </c>
      <c r="CE649" s="266">
        <f ca="1">IFERROR(INDEX(Algorithms!$G:$G,MATCH($C649&amp;"_Lifetime (years)",Algorithms!$A:$A,0)),0)</f>
        <v>6</v>
      </c>
      <c r="CF649" s="266">
        <f ca="1">IFERROR(INDEX(Algorithms!$G:$G,MATCH($C649&amp;"_Lifetime (years) - Remaining Years",Algorithms!$A:$A,0)),0)</f>
        <v>0</v>
      </c>
      <c r="CG649" s="266">
        <f t="shared" ca="1" si="393"/>
        <v>0</v>
      </c>
      <c r="CH649" s="266">
        <f t="shared" ca="1" si="394"/>
        <v>0</v>
      </c>
      <c r="CI649" s="266">
        <f t="shared" ca="1" si="395"/>
        <v>0</v>
      </c>
      <c r="CJ649" s="266">
        <f t="shared" ca="1" si="396"/>
        <v>0</v>
      </c>
      <c r="CK649" s="266">
        <f t="shared" si="397"/>
        <v>0</v>
      </c>
      <c r="CL649" s="266">
        <f t="shared" si="398"/>
        <v>0</v>
      </c>
      <c r="CM649" s="266">
        <f t="shared" ca="1" si="399"/>
        <v>0</v>
      </c>
      <c r="CN649" s="266">
        <f t="shared" ca="1" si="400"/>
        <v>0</v>
      </c>
      <c r="CO649" s="266">
        <f ca="1">N649*IFERROR(INDEX(Algorithms!$G:$G,MATCH($C649&amp;"_Therm Saved per Unit- MLA",Algorithms!$A:$A,0)),0)*X649</f>
        <v>0</v>
      </c>
      <c r="CP649" s="266">
        <f ca="1">O649*IFERROR(INDEX(Algorithms!$G:$G,MATCH($C649&amp;"_Therm Saved per Unit- MLA",Algorithms!$A:$A,0)),0)*Y649</f>
        <v>0</v>
      </c>
      <c r="CQ649" s="266">
        <f ca="1">P649*IFERROR(INDEX(Algorithms!$G:$G,MATCH($C649&amp;"_Therm Saved per Unit- MLA",Algorithms!$A:$A,0)),0)*Z649</f>
        <v>0</v>
      </c>
      <c r="CR649" s="266">
        <f ca="1">Q649*IFERROR(INDEX(Algorithms!$G:$G,MATCH($C649&amp;"_Therm Saved per Unit- MLA",Algorithms!$A:$A,0)),0)*AA649</f>
        <v>0</v>
      </c>
      <c r="CS649" s="266">
        <f ca="1">IFERROR(INDEX(Algorithms!$G:$G,MATCH($C649&amp;"_Lifetime (years)",Algorithms!$A:$A,0)),0)</f>
        <v>6</v>
      </c>
      <c r="CT649" s="266">
        <f ca="1">IFERROR(INDEX(Algorithms!$G:$G,MATCH($C649&amp;"_Lifetime (years) - Remaining Years",Algorithms!$A:$A,0)),0)</f>
        <v>0</v>
      </c>
      <c r="CU649" s="266">
        <f t="shared" ca="1" si="401"/>
        <v>0</v>
      </c>
      <c r="CV649" s="266">
        <f t="shared" ca="1" si="402"/>
        <v>0</v>
      </c>
      <c r="CW649" s="266">
        <f t="shared" ca="1" si="403"/>
        <v>0</v>
      </c>
      <c r="CX649" s="266">
        <f t="shared" ca="1" si="404"/>
        <v>0</v>
      </c>
    </row>
    <row r="650" spans="2:102" s="47" customFormat="1" ht="18" customHeight="1" x14ac:dyDescent="0.25">
      <c r="B650" t="str">
        <f t="shared" si="405"/>
        <v>NSG_Business_Small/Mid-Size Business_Rebates_Steam Traps_Industrial/Process Audit - psig ≤ 15_CI/SMB</v>
      </c>
      <c r="C650" s="47" t="str">
        <f t="shared" ref="C650:C708" si="406">H650&amp;"_"&amp;I650&amp;"_"&amp;J650</f>
        <v>Steam Traps_Industrial/Process Audit - psig ≤ 15_CI/SMB</v>
      </c>
      <c r="D650" s="270" t="s">
        <v>1787</v>
      </c>
      <c r="E650" s="270" t="s">
        <v>3</v>
      </c>
      <c r="F650" s="270" t="s">
        <v>1432</v>
      </c>
      <c r="G650" s="270" t="s">
        <v>1429</v>
      </c>
      <c r="H650" s="270" t="s">
        <v>644</v>
      </c>
      <c r="I650" s="270" t="s">
        <v>1383</v>
      </c>
      <c r="J650" s="270" t="s">
        <v>970</v>
      </c>
      <c r="K650" s="263">
        <v>1</v>
      </c>
      <c r="L650" s="263" t="str">
        <f ca="1">IFERROR(INDEX(Algorithms!J:J,MATCH($C650&amp;"_Therm Saved per Unit",Algorithms!$A:$A,0)),"n/a")</f>
        <v>4.4.16</v>
      </c>
      <c r="M650" s="263" t="str">
        <f>IFERROR(INDEX('Measure Level Detail'!$N:$N,MATCH($B650,'Measure Level Detail'!$B:$B,0)),0)</f>
        <v>each</v>
      </c>
      <c r="N650" s="271">
        <f>IFERROR(INDEX('Measure Level Detail'!$P:$P,MATCH($B650&amp;"_"&amp;N$3,'Measure Level Detail'!$C:$C,0)),0)</f>
        <v>0</v>
      </c>
      <c r="O650" s="271">
        <f>IFERROR(INDEX('Measure Level Detail'!$P:$P,MATCH($B650&amp;"_"&amp;O$3,'Measure Level Detail'!$C:$C,0)),0)</f>
        <v>0</v>
      </c>
      <c r="P650" s="271">
        <f>IFERROR(INDEX('Measure Level Detail'!$P:$P,MATCH($B650&amp;"_"&amp;P$3,'Measure Level Detail'!$C:$C,0)),0)</f>
        <v>0</v>
      </c>
      <c r="Q650" s="271">
        <f>IFERROR(INDEX('Measure Level Detail'!$P:$P,MATCH($B650&amp;"_"&amp;Q$3,'Measure Level Detail'!$C:$C,0)),0)</f>
        <v>0</v>
      </c>
      <c r="R650" s="263" t="str">
        <f ca="1">IFERROR(INDEX(Algorithms!K:K,MATCH($C650&amp;"_Therm Saved per Unit",Algorithms!$A:$A,0)),"n/a")</f>
        <v>CI-HVC-STRE-V10-240101</v>
      </c>
      <c r="S650" s="262"/>
      <c r="T650" s="272">
        <v>788.87094440257943</v>
      </c>
      <c r="U650" s="272">
        <v>788.87094440257943</v>
      </c>
      <c r="V650" s="272">
        <v>788.87094440257943</v>
      </c>
      <c r="W650" s="272">
        <v>788.87094440257943</v>
      </c>
      <c r="X650" s="276">
        <v>0.93</v>
      </c>
      <c r="Y650" s="276">
        <v>0.93</v>
      </c>
      <c r="Z650" s="276">
        <v>0.93</v>
      </c>
      <c r="AA650" s="276">
        <v>0.93</v>
      </c>
      <c r="AB650" s="266">
        <f t="shared" ref="AB650:AB708" si="407">N650*T650*X650</f>
        <v>0</v>
      </c>
      <c r="AC650" s="266">
        <f t="shared" ref="AC650:AC708" si="408">O650*U650*Y650</f>
        <v>0</v>
      </c>
      <c r="AD650" s="266">
        <f t="shared" ref="AD650:AD708" si="409">P650*V650*Z650</f>
        <v>0</v>
      </c>
      <c r="AE650" s="266">
        <f t="shared" ref="AE650:AE708" si="410">Q650*W650*AA650</f>
        <v>0</v>
      </c>
      <c r="AF650" s="266">
        <f t="shared" ref="AF650:AF708" si="411">AB650+AC650+AD650+AE650</f>
        <v>0</v>
      </c>
      <c r="AG650" s="274">
        <v>0.93</v>
      </c>
      <c r="AH650" s="274">
        <v>0.93</v>
      </c>
      <c r="AI650" s="274">
        <v>0.93</v>
      </c>
      <c r="AJ650" s="274">
        <v>0.93</v>
      </c>
      <c r="AK650" s="274">
        <f t="shared" ref="AK650:AK708" si="412">IF(AG650=X650,X650,
IF(AG650&gt;X650, IF(AG650-X650&gt;IF($E650="Income Eligible",0,10%),X650+(AG650-(X650+IF($E650="Income Eligible",0,10%))),X650),
IF(X650-AG650&gt;IF($E650="Income Eligible",0,10%),X650-((X650-IF($E650="Income Eligible",0,10%))-AG650),X650)))</f>
        <v>0.93</v>
      </c>
      <c r="AL650" s="274">
        <f t="shared" ref="AL650:AL708" si="413">IF(AH650=Y650,Y650,
IF(AH650&gt;Y650, IF(AH650-Y650&gt;IF($E650="Income Eligible",0,10%),Y650+(AH650-(Y650+IF($E650="Income Eligible",0,10%))),Y650),
IF(Y650-AH650&gt;IF($E650="Income Eligible",0,10%),Y650-((Y650-IF($E650="Income Eligible",0,10%))-AH650),Y650)))</f>
        <v>0.93</v>
      </c>
      <c r="AM650" s="274">
        <f t="shared" ref="AM650:AM708" si="414">IF(AI650=Z650,Z650,
IF(AI650&gt;Z650, IF(AI650-Z650&gt;IF($E650="Income Eligible",0,10%),Z650+(AI650-(Z650+IF($E650="Income Eligible",0,10%))),Z650),
IF(Z650-AI650&gt;IF($E650="Income Eligible",0,10%),Z650-((Z650-IF($E650="Income Eligible",0,10%))-AI650),Z650)))</f>
        <v>0.93</v>
      </c>
      <c r="AN650" s="274">
        <f t="shared" ref="AN650:AN708" si="415">IF(AJ650=AA650,AA650,
IF(AJ650&gt;AA650, IF(AJ650-AA650&gt;IF($E650="Income Eligible",0,10%),AA650+(AJ650-(AA650+IF($E650="Income Eligible",0,10%))),AA650),
IF(AA650-AJ650&gt;IF($E650="Income Eligible",0,10%),AA650-((AA650-IF($E650="Income Eligible",0,10%))-AJ650),AA650)))</f>
        <v>0.93</v>
      </c>
      <c r="AO650" s="262"/>
      <c r="AP650" s="262"/>
      <c r="AQ650" s="267">
        <v>788.87094440257943</v>
      </c>
      <c r="AR650" s="262"/>
      <c r="AS650" s="266">
        <f t="shared" ref="AS650:AS708" si="416">N650*AQ650*AK650</f>
        <v>0</v>
      </c>
      <c r="AT650" s="264">
        <f t="shared" ref="AT650:AT708" si="417">IF(AS650=0,0,AS650-AB650)</f>
        <v>0</v>
      </c>
      <c r="AU650" s="262"/>
      <c r="AV650" s="262"/>
      <c r="AW650" s="265">
        <v>1603.3277521921041</v>
      </c>
      <c r="AX650" s="164" t="s">
        <v>2397</v>
      </c>
      <c r="AY650" s="266">
        <v>0</v>
      </c>
      <c r="AZ650" s="266">
        <f t="shared" ref="AZ650:AZ708" si="418">O650*AW650*AL650</f>
        <v>0</v>
      </c>
      <c r="BA650" s="264">
        <f t="shared" ref="BA650:BA708" si="419">IF(AZ650=0,0,AZ650-AC650)</f>
        <v>0</v>
      </c>
      <c r="BB650" s="262"/>
      <c r="BC650" s="262"/>
      <c r="BD650" s="265">
        <f ca="1">IFERROR(INDEX(Algorithms!$G:$G,MATCH($C650&amp;"_Therm Saved per Unit",Algorithms!$A:$A,0)),0)</f>
        <v>1603.3277521921041</v>
      </c>
      <c r="BE650" s="164" t="str">
        <f ca="1">IFERROR(INDEX('v12 Revisions'!$P$29:$P$186, MATCH('Measure-Level Adj Gas'!$L650, 'v12 Revisions'!$D$29:$D$186,0)),"")</f>
        <v>n/a - costs only.</v>
      </c>
      <c r="BF650" s="266">
        <f t="shared" ref="BF650:BF708" ca="1" si="420">P650*BD650*AM650</f>
        <v>0</v>
      </c>
      <c r="BG650" s="264">
        <f t="shared" ref="BG650:BG708" ca="1" si="421">IF(BF650=0,0,BF650-AD650)</f>
        <v>0</v>
      </c>
      <c r="BH650" s="262"/>
      <c r="BI650" s="262"/>
      <c r="BJ650" s="265">
        <f ca="1">IFERROR(INDEX(Algorithms!$G:$G,MATCH($C650&amp;"_Therm Saved per Unit",Algorithms!$A:$A,0)),0)</f>
        <v>1603.3277521921041</v>
      </c>
      <c r="BK650" s="164"/>
      <c r="BL650" s="266">
        <f t="shared" ref="BL650:BL708" ca="1" si="422">Q650*BJ650*AN650</f>
        <v>0</v>
      </c>
      <c r="BM650" s="264">
        <f t="shared" ref="BM650:BM708" ca="1" si="423">IF(BL650=0,0,BL650-AE650)</f>
        <v>0</v>
      </c>
      <c r="BN650" s="266">
        <f t="shared" ref="BN650:BN708" si="424">IF(K650=1,AS650,AB650)</f>
        <v>0</v>
      </c>
      <c r="BO650" s="266">
        <f t="shared" ref="BO650:BO708" si="425">IF(K650=1,AZ650,AC650)</f>
        <v>0</v>
      </c>
      <c r="BP650" s="266">
        <f t="shared" ref="BP650:BP708" ca="1" si="426">IF(K650=1,BF650,AD650)</f>
        <v>0</v>
      </c>
      <c r="BQ650" s="266">
        <f t="shared" ref="BQ650:BQ708" ca="1" si="427">IF(K650=1,BL650,AE650)</f>
        <v>0</v>
      </c>
      <c r="BR650" s="268">
        <f t="shared" ref="BR650:BR708" ca="1" si="428">BN650+BO650+BP650+BQ650</f>
        <v>0</v>
      </c>
      <c r="BS650" s="262" t="s">
        <v>99</v>
      </c>
      <c r="BT650" s="277"/>
      <c r="BW650" s="266">
        <f t="shared" ref="BW650:BW708" si="429">N650*T650*X650</f>
        <v>0</v>
      </c>
      <c r="BX650" s="266">
        <f t="shared" ref="BX650:BX708" si="430">O650*U650*Y650</f>
        <v>0</v>
      </c>
      <c r="BY650" s="266">
        <f t="shared" ref="BY650:BY708" si="431">P650*V650*Z650</f>
        <v>0</v>
      </c>
      <c r="BZ650" s="266">
        <f t="shared" ref="BZ650:BZ708" si="432">Q650*W650*AA650</f>
        <v>0</v>
      </c>
      <c r="CA650" s="266">
        <f ca="1">N650*IFERROR(INDEX(Algorithms!$G:$G,MATCH($C650&amp;"_Therm Saved per Unit- MLA",Algorithms!$A:$A,0)),0)*X650</f>
        <v>0</v>
      </c>
      <c r="CB650" s="266">
        <f ca="1">O650*IFERROR(INDEX(Algorithms!$G:$G,MATCH($C650&amp;"_Therm Saved per Unit- MLA",Algorithms!$A:$A,0)),0)*Y650</f>
        <v>0</v>
      </c>
      <c r="CC650" s="266">
        <f ca="1">P650*IFERROR(INDEX(Algorithms!$G:$G,MATCH($C650&amp;"_Therm Saved per Unit- MLA",Algorithms!$A:$A,0)),0)*Z650</f>
        <v>0</v>
      </c>
      <c r="CD650" s="266">
        <f ca="1">Q650*IFERROR(INDEX(Algorithms!$G:$G,MATCH($C650&amp;"_Therm Saved per Unit- MLA",Algorithms!$A:$A,0)),0)*AA650</f>
        <v>0</v>
      </c>
      <c r="CE650" s="266">
        <f ca="1">IFERROR(INDEX(Algorithms!$G:$G,MATCH($C650&amp;"_Lifetime (years)",Algorithms!$A:$A,0)),0)</f>
        <v>6</v>
      </c>
      <c r="CF650" s="266">
        <f ca="1">IFERROR(INDEX(Algorithms!$G:$G,MATCH($C650&amp;"_Lifetime (years) - Remaining Years",Algorithms!$A:$A,0)),0)</f>
        <v>0</v>
      </c>
      <c r="CG650" s="266">
        <f t="shared" ref="CG650:CG708" ca="1" si="433">IF($CF650=0,(BW650*$CE650),((BW650*$CF650)+(CA650*($CE650-$CF650))))</f>
        <v>0</v>
      </c>
      <c r="CH650" s="266">
        <f t="shared" ref="CH650:CH708" ca="1" si="434">IF($CF650=0,(BX650*$CE650),((BX650*$CF650)+(CB650*($CE650-$CF650))))</f>
        <v>0</v>
      </c>
      <c r="CI650" s="266">
        <f t="shared" ref="CI650:CI708" ca="1" si="435">IF($CF650=0,(BY650*$CE650),((BY650*$CF650)+(CC650*($CE650-$CF650))))</f>
        <v>0</v>
      </c>
      <c r="CJ650" s="266">
        <f t="shared" ref="CJ650:CJ708" ca="1" si="436">IF($CF650=0,(BZ650*$CE650),((BZ650*$CF650)+(CD650*($CE650-$CF650))))</f>
        <v>0</v>
      </c>
      <c r="CK650" s="266">
        <f t="shared" ref="CK650:CK708" si="437">N650*AQ650*X650</f>
        <v>0</v>
      </c>
      <c r="CL650" s="266">
        <f t="shared" ref="CL650:CL708" si="438">O650*AW650*Y650</f>
        <v>0</v>
      </c>
      <c r="CM650" s="266">
        <f t="shared" ref="CM650:CM708" ca="1" si="439">P650*BD650*Z650</f>
        <v>0</v>
      </c>
      <c r="CN650" s="266">
        <f t="shared" ref="CN650:CN708" ca="1" si="440">Q650*BJ650*AA650</f>
        <v>0</v>
      </c>
      <c r="CO650" s="266">
        <f ca="1">N650*IFERROR(INDEX(Algorithms!$G:$G,MATCH($C650&amp;"_Therm Saved per Unit- MLA",Algorithms!$A:$A,0)),0)*X650</f>
        <v>0</v>
      </c>
      <c r="CP650" s="266">
        <f ca="1">O650*IFERROR(INDEX(Algorithms!$G:$G,MATCH($C650&amp;"_Therm Saved per Unit- MLA",Algorithms!$A:$A,0)),0)*Y650</f>
        <v>0</v>
      </c>
      <c r="CQ650" s="266">
        <f ca="1">P650*IFERROR(INDEX(Algorithms!$G:$G,MATCH($C650&amp;"_Therm Saved per Unit- MLA",Algorithms!$A:$A,0)),0)*Z650</f>
        <v>0</v>
      </c>
      <c r="CR650" s="266">
        <f ca="1">Q650*IFERROR(INDEX(Algorithms!$G:$G,MATCH($C650&amp;"_Therm Saved per Unit- MLA",Algorithms!$A:$A,0)),0)*AA650</f>
        <v>0</v>
      </c>
      <c r="CS650" s="266">
        <f ca="1">IFERROR(INDEX(Algorithms!$G:$G,MATCH($C650&amp;"_Lifetime (years)",Algorithms!$A:$A,0)),0)</f>
        <v>6</v>
      </c>
      <c r="CT650" s="266">
        <f ca="1">IFERROR(INDEX(Algorithms!$G:$G,MATCH($C650&amp;"_Lifetime (years) - Remaining Years",Algorithms!$A:$A,0)),0)</f>
        <v>0</v>
      </c>
      <c r="CU650" s="266">
        <f t="shared" ref="CU650:CU708" ca="1" si="441">IF($CT650=0,(CK650*$CS650),((CK650*$CT650)+(CO650*($CS650-$CT650))))</f>
        <v>0</v>
      </c>
      <c r="CV650" s="266">
        <f t="shared" ref="CV650:CV708" ca="1" si="442">IF($CT650=0,(CL650*$CS650),((CL650*$CT650)+(CP650*($CS650-$CT650))))</f>
        <v>0</v>
      </c>
      <c r="CW650" s="266">
        <f t="shared" ref="CW650:CW708" ca="1" si="443">IF($CT650=0,(CM650*$CS650),((CM650*$CT650)+(CQ650*($CS650-$CT650))))</f>
        <v>0</v>
      </c>
      <c r="CX650" s="266">
        <f t="shared" ref="CX650:CX708" ca="1" si="444">IF($CT650=0,(CN650*$CS650),((CN650*$CT650)+(CR650*($CS650-$CT650))))</f>
        <v>0</v>
      </c>
    </row>
    <row r="651" spans="2:102" s="47" customFormat="1" ht="18" customHeight="1" x14ac:dyDescent="0.25">
      <c r="B651" t="str">
        <f t="shared" ref="B651:B708" si="445">D651&amp;"_"&amp;E651&amp;"_"&amp;F651&amp;"_"&amp;G651&amp;"_"&amp;H651&amp;"_"&amp;I651&amp;"_"&amp;J651</f>
        <v>NSG_Business_Small/Mid-Size Business_Rebates_Steam Traps_Industrial/Process Audit - 15 &lt; psig &lt; 30_CI/SMB</v>
      </c>
      <c r="C651" s="47" t="str">
        <f t="shared" si="406"/>
        <v>Steam Traps_Industrial/Process Audit - 15 &lt; psig &lt; 30_CI/SMB</v>
      </c>
      <c r="D651" s="270" t="s">
        <v>1787</v>
      </c>
      <c r="E651" s="270" t="s">
        <v>3</v>
      </c>
      <c r="F651" s="270" t="s">
        <v>1432</v>
      </c>
      <c r="G651" s="270" t="s">
        <v>1429</v>
      </c>
      <c r="H651" s="270" t="s">
        <v>644</v>
      </c>
      <c r="I651" s="270" t="s">
        <v>1384</v>
      </c>
      <c r="J651" s="270" t="s">
        <v>970</v>
      </c>
      <c r="K651" s="263">
        <v>1</v>
      </c>
      <c r="L651" s="263" t="str">
        <f ca="1">IFERROR(INDEX(Algorithms!J:J,MATCH($C651&amp;"_Therm Saved per Unit",Algorithms!$A:$A,0)),"n/a")</f>
        <v>4.4.16</v>
      </c>
      <c r="M651" s="263" t="str">
        <f>IFERROR(INDEX('Measure Level Detail'!$N:$N,MATCH($B651,'Measure Level Detail'!$B:$B,0)),0)</f>
        <v>each</v>
      </c>
      <c r="N651" s="271">
        <f>IFERROR(INDEX('Measure Level Detail'!$P:$P,MATCH($B651&amp;"_"&amp;N$3,'Measure Level Detail'!$C:$C,0)),0)</f>
        <v>0</v>
      </c>
      <c r="O651" s="271">
        <f>IFERROR(INDEX('Measure Level Detail'!$P:$P,MATCH($B651&amp;"_"&amp;O$3,'Measure Level Detail'!$C:$C,0)),0)</f>
        <v>0</v>
      </c>
      <c r="P651" s="271">
        <f>IFERROR(INDEX('Measure Level Detail'!$P:$P,MATCH($B651&amp;"_"&amp;P$3,'Measure Level Detail'!$C:$C,0)),0)</f>
        <v>0</v>
      </c>
      <c r="Q651" s="271">
        <f>IFERROR(INDEX('Measure Level Detail'!$P:$P,MATCH($B651&amp;"_"&amp;Q$3,'Measure Level Detail'!$C:$C,0)),0)</f>
        <v>0</v>
      </c>
      <c r="R651" s="263" t="str">
        <f ca="1">IFERROR(INDEX(Algorithms!K:K,MATCH($C651&amp;"_Therm Saved per Unit",Algorithms!$A:$A,0)),"n/a")</f>
        <v>CI-HVC-STRE-V10-240101</v>
      </c>
      <c r="S651" s="262"/>
      <c r="T651" s="272">
        <v>758.17043213559668</v>
      </c>
      <c r="U651" s="272">
        <v>758.17043213559668</v>
      </c>
      <c r="V651" s="272">
        <v>758.17043213559668</v>
      </c>
      <c r="W651" s="272">
        <v>758.17043213559668</v>
      </c>
      <c r="X651" s="276">
        <v>0.93</v>
      </c>
      <c r="Y651" s="276">
        <v>0.93</v>
      </c>
      <c r="Z651" s="276">
        <v>0.93</v>
      </c>
      <c r="AA651" s="276">
        <v>0.93</v>
      </c>
      <c r="AB651" s="266">
        <f t="shared" si="407"/>
        <v>0</v>
      </c>
      <c r="AC651" s="266">
        <f t="shared" si="408"/>
        <v>0</v>
      </c>
      <c r="AD651" s="266">
        <f t="shared" si="409"/>
        <v>0</v>
      </c>
      <c r="AE651" s="266">
        <f t="shared" si="410"/>
        <v>0</v>
      </c>
      <c r="AF651" s="266">
        <f t="shared" si="411"/>
        <v>0</v>
      </c>
      <c r="AG651" s="274">
        <v>0.93</v>
      </c>
      <c r="AH651" s="274">
        <v>0.93</v>
      </c>
      <c r="AI651" s="274">
        <v>0.93</v>
      </c>
      <c r="AJ651" s="274">
        <v>0.93</v>
      </c>
      <c r="AK651" s="274">
        <f t="shared" si="412"/>
        <v>0.93</v>
      </c>
      <c r="AL651" s="274">
        <f t="shared" si="413"/>
        <v>0.93</v>
      </c>
      <c r="AM651" s="274">
        <f t="shared" si="414"/>
        <v>0.93</v>
      </c>
      <c r="AN651" s="274">
        <f t="shared" si="415"/>
        <v>0.93</v>
      </c>
      <c r="AO651" s="262"/>
      <c r="AP651" s="262"/>
      <c r="AQ651" s="267">
        <v>758.17043213559668</v>
      </c>
      <c r="AR651" s="262"/>
      <c r="AS651" s="266">
        <f t="shared" si="416"/>
        <v>0</v>
      </c>
      <c r="AT651" s="264">
        <f t="shared" si="417"/>
        <v>0</v>
      </c>
      <c r="AU651" s="262"/>
      <c r="AV651" s="262"/>
      <c r="AW651" s="265">
        <v>758.17043213559668</v>
      </c>
      <c r="AX651" s="164" t="s">
        <v>2397</v>
      </c>
      <c r="AY651" s="266">
        <v>0</v>
      </c>
      <c r="AZ651" s="266">
        <f t="shared" si="418"/>
        <v>0</v>
      </c>
      <c r="BA651" s="264">
        <f t="shared" si="419"/>
        <v>0</v>
      </c>
      <c r="BB651" s="262"/>
      <c r="BC651" s="262"/>
      <c r="BD651" s="265">
        <f ca="1">IFERROR(INDEX(Algorithms!$G:$G,MATCH($C651&amp;"_Therm Saved per Unit",Algorithms!$A:$A,0)),0)</f>
        <v>758.17043213559668</v>
      </c>
      <c r="BE651" s="164" t="str">
        <f ca="1">IFERROR(INDEX('v12 Revisions'!$P$29:$P$186, MATCH('Measure-Level Adj Gas'!$L651, 'v12 Revisions'!$D$29:$D$186,0)),"")</f>
        <v>n/a - costs only.</v>
      </c>
      <c r="BF651" s="266">
        <f t="shared" ca="1" si="420"/>
        <v>0</v>
      </c>
      <c r="BG651" s="264">
        <f t="shared" ca="1" si="421"/>
        <v>0</v>
      </c>
      <c r="BH651" s="262"/>
      <c r="BI651" s="262"/>
      <c r="BJ651" s="265">
        <f ca="1">IFERROR(INDEX(Algorithms!$G:$G,MATCH($C651&amp;"_Therm Saved per Unit",Algorithms!$A:$A,0)),0)</f>
        <v>758.17043213559668</v>
      </c>
      <c r="BK651" s="164"/>
      <c r="BL651" s="266">
        <f t="shared" ca="1" si="422"/>
        <v>0</v>
      </c>
      <c r="BM651" s="264">
        <f t="shared" ca="1" si="423"/>
        <v>0</v>
      </c>
      <c r="BN651" s="266">
        <f t="shared" si="424"/>
        <v>0</v>
      </c>
      <c r="BO651" s="266">
        <f t="shared" si="425"/>
        <v>0</v>
      </c>
      <c r="BP651" s="266">
        <f t="shared" ca="1" si="426"/>
        <v>0</v>
      </c>
      <c r="BQ651" s="266">
        <f t="shared" ca="1" si="427"/>
        <v>0</v>
      </c>
      <c r="BR651" s="268">
        <f t="shared" ca="1" si="428"/>
        <v>0</v>
      </c>
      <c r="BS651" s="262" t="s">
        <v>99</v>
      </c>
      <c r="BT651" s="277"/>
      <c r="BW651" s="266">
        <f t="shared" si="429"/>
        <v>0</v>
      </c>
      <c r="BX651" s="266">
        <f t="shared" si="430"/>
        <v>0</v>
      </c>
      <c r="BY651" s="266">
        <f t="shared" si="431"/>
        <v>0</v>
      </c>
      <c r="BZ651" s="266">
        <f t="shared" si="432"/>
        <v>0</v>
      </c>
      <c r="CA651" s="266">
        <f ca="1">N651*IFERROR(INDEX(Algorithms!$G:$G,MATCH($C651&amp;"_Therm Saved per Unit- MLA",Algorithms!$A:$A,0)),0)*X651</f>
        <v>0</v>
      </c>
      <c r="CB651" s="266">
        <f ca="1">O651*IFERROR(INDEX(Algorithms!$G:$G,MATCH($C651&amp;"_Therm Saved per Unit- MLA",Algorithms!$A:$A,0)),0)*Y651</f>
        <v>0</v>
      </c>
      <c r="CC651" s="266">
        <f ca="1">P651*IFERROR(INDEX(Algorithms!$G:$G,MATCH($C651&amp;"_Therm Saved per Unit- MLA",Algorithms!$A:$A,0)),0)*Z651</f>
        <v>0</v>
      </c>
      <c r="CD651" s="266">
        <f ca="1">Q651*IFERROR(INDEX(Algorithms!$G:$G,MATCH($C651&amp;"_Therm Saved per Unit- MLA",Algorithms!$A:$A,0)),0)*AA651</f>
        <v>0</v>
      </c>
      <c r="CE651" s="266">
        <f ca="1">IFERROR(INDEX(Algorithms!$G:$G,MATCH($C651&amp;"_Lifetime (years)",Algorithms!$A:$A,0)),0)</f>
        <v>6</v>
      </c>
      <c r="CF651" s="266">
        <f ca="1">IFERROR(INDEX(Algorithms!$G:$G,MATCH($C651&amp;"_Lifetime (years) - Remaining Years",Algorithms!$A:$A,0)),0)</f>
        <v>0</v>
      </c>
      <c r="CG651" s="266">
        <f t="shared" ca="1" si="433"/>
        <v>0</v>
      </c>
      <c r="CH651" s="266">
        <f t="shared" ca="1" si="434"/>
        <v>0</v>
      </c>
      <c r="CI651" s="266">
        <f t="shared" ca="1" si="435"/>
        <v>0</v>
      </c>
      <c r="CJ651" s="266">
        <f t="shared" ca="1" si="436"/>
        <v>0</v>
      </c>
      <c r="CK651" s="266">
        <f t="shared" si="437"/>
        <v>0</v>
      </c>
      <c r="CL651" s="266">
        <f t="shared" si="438"/>
        <v>0</v>
      </c>
      <c r="CM651" s="266">
        <f t="shared" ca="1" si="439"/>
        <v>0</v>
      </c>
      <c r="CN651" s="266">
        <f t="shared" ca="1" si="440"/>
        <v>0</v>
      </c>
      <c r="CO651" s="266">
        <f ca="1">N651*IFERROR(INDEX(Algorithms!$G:$G,MATCH($C651&amp;"_Therm Saved per Unit- MLA",Algorithms!$A:$A,0)),0)*X651</f>
        <v>0</v>
      </c>
      <c r="CP651" s="266">
        <f ca="1">O651*IFERROR(INDEX(Algorithms!$G:$G,MATCH($C651&amp;"_Therm Saved per Unit- MLA",Algorithms!$A:$A,0)),0)*Y651</f>
        <v>0</v>
      </c>
      <c r="CQ651" s="266">
        <f ca="1">P651*IFERROR(INDEX(Algorithms!$G:$G,MATCH($C651&amp;"_Therm Saved per Unit- MLA",Algorithms!$A:$A,0)),0)*Z651</f>
        <v>0</v>
      </c>
      <c r="CR651" s="266">
        <f ca="1">Q651*IFERROR(INDEX(Algorithms!$G:$G,MATCH($C651&amp;"_Therm Saved per Unit- MLA",Algorithms!$A:$A,0)),0)*AA651</f>
        <v>0</v>
      </c>
      <c r="CS651" s="266">
        <f ca="1">IFERROR(INDEX(Algorithms!$G:$G,MATCH($C651&amp;"_Lifetime (years)",Algorithms!$A:$A,0)),0)</f>
        <v>6</v>
      </c>
      <c r="CT651" s="266">
        <f ca="1">IFERROR(INDEX(Algorithms!$G:$G,MATCH($C651&amp;"_Lifetime (years) - Remaining Years",Algorithms!$A:$A,0)),0)</f>
        <v>0</v>
      </c>
      <c r="CU651" s="266">
        <f t="shared" ca="1" si="441"/>
        <v>0</v>
      </c>
      <c r="CV651" s="266">
        <f t="shared" ca="1" si="442"/>
        <v>0</v>
      </c>
      <c r="CW651" s="266">
        <f t="shared" ca="1" si="443"/>
        <v>0</v>
      </c>
      <c r="CX651" s="266">
        <f t="shared" ca="1" si="444"/>
        <v>0</v>
      </c>
    </row>
    <row r="652" spans="2:102" s="47" customFormat="1" ht="18" customHeight="1" x14ac:dyDescent="0.25">
      <c r="B652" t="str">
        <f t="shared" si="445"/>
        <v>NSG_Business_Small/Mid-Size Business_Rebates_Steam Traps_Industrial/Process Audit - 30 ≤ psig &lt; 75_CI/SMB</v>
      </c>
      <c r="C652" s="47" t="str">
        <f t="shared" si="406"/>
        <v>Steam Traps_Industrial/Process Audit - 30 ≤ psig &lt; 75_CI/SMB</v>
      </c>
      <c r="D652" s="270" t="s">
        <v>1787</v>
      </c>
      <c r="E652" s="270" t="s">
        <v>3</v>
      </c>
      <c r="F652" s="270" t="s">
        <v>1432</v>
      </c>
      <c r="G652" s="270" t="s">
        <v>1429</v>
      </c>
      <c r="H652" s="270" t="s">
        <v>644</v>
      </c>
      <c r="I652" s="270" t="s">
        <v>1385</v>
      </c>
      <c r="J652" s="270" t="s">
        <v>970</v>
      </c>
      <c r="K652" s="263">
        <v>1</v>
      </c>
      <c r="L652" s="263" t="str">
        <f ca="1">IFERROR(INDEX(Algorithms!J:J,MATCH($C652&amp;"_Therm Saved per Unit",Algorithms!$A:$A,0)),"n/a")</f>
        <v>4.4.16</v>
      </c>
      <c r="M652" s="263" t="str">
        <f>IFERROR(INDEX('Measure Level Detail'!$N:$N,MATCH($B652,'Measure Level Detail'!$B:$B,0)),0)</f>
        <v>each</v>
      </c>
      <c r="N652" s="271">
        <f>IFERROR(INDEX('Measure Level Detail'!$P:$P,MATCH($B652&amp;"_"&amp;N$3,'Measure Level Detail'!$C:$C,0)),0)</f>
        <v>0</v>
      </c>
      <c r="O652" s="271">
        <f>IFERROR(INDEX('Measure Level Detail'!$P:$P,MATCH($B652&amp;"_"&amp;O$3,'Measure Level Detail'!$C:$C,0)),0)</f>
        <v>0</v>
      </c>
      <c r="P652" s="271">
        <f>IFERROR(INDEX('Measure Level Detail'!$P:$P,MATCH($B652&amp;"_"&amp;P$3,'Measure Level Detail'!$C:$C,0)),0)</f>
        <v>0</v>
      </c>
      <c r="Q652" s="271">
        <f>IFERROR(INDEX('Measure Level Detail'!$P:$P,MATCH($B652&amp;"_"&amp;Q$3,'Measure Level Detail'!$C:$C,0)),0)</f>
        <v>0</v>
      </c>
      <c r="R652" s="263" t="str">
        <f ca="1">IFERROR(INDEX(Algorithms!K:K,MATCH($C652&amp;"_Therm Saved per Unit",Algorithms!$A:$A,0)),"n/a")</f>
        <v>CI-HVC-STRE-V10-240101</v>
      </c>
      <c r="S652" s="262"/>
      <c r="T652" s="272">
        <v>2777.6636840634392</v>
      </c>
      <c r="U652" s="272">
        <v>2777.6636840634392</v>
      </c>
      <c r="V652" s="272">
        <v>2777.6636840634392</v>
      </c>
      <c r="W652" s="272">
        <v>2777.6636840634392</v>
      </c>
      <c r="X652" s="276">
        <v>0.93</v>
      </c>
      <c r="Y652" s="276">
        <v>0.93</v>
      </c>
      <c r="Z652" s="276">
        <v>0.93</v>
      </c>
      <c r="AA652" s="276">
        <v>0.93</v>
      </c>
      <c r="AB652" s="266">
        <f t="shared" si="407"/>
        <v>0</v>
      </c>
      <c r="AC652" s="266">
        <f t="shared" si="408"/>
        <v>0</v>
      </c>
      <c r="AD652" s="266">
        <f t="shared" si="409"/>
        <v>0</v>
      </c>
      <c r="AE652" s="266">
        <f t="shared" si="410"/>
        <v>0</v>
      </c>
      <c r="AF652" s="266">
        <f t="shared" si="411"/>
        <v>0</v>
      </c>
      <c r="AG652" s="274">
        <v>0.93</v>
      </c>
      <c r="AH652" s="274">
        <v>0.93</v>
      </c>
      <c r="AI652" s="274">
        <v>0.93</v>
      </c>
      <c r="AJ652" s="274">
        <v>0.93</v>
      </c>
      <c r="AK652" s="274">
        <f t="shared" si="412"/>
        <v>0.93</v>
      </c>
      <c r="AL652" s="274">
        <f t="shared" si="413"/>
        <v>0.93</v>
      </c>
      <c r="AM652" s="274">
        <f t="shared" si="414"/>
        <v>0.93</v>
      </c>
      <c r="AN652" s="274">
        <f t="shared" si="415"/>
        <v>0.93</v>
      </c>
      <c r="AO652" s="262"/>
      <c r="AP652" s="262"/>
      <c r="AQ652" s="267">
        <v>2777.6636840634392</v>
      </c>
      <c r="AR652" s="262"/>
      <c r="AS652" s="266">
        <f t="shared" si="416"/>
        <v>0</v>
      </c>
      <c r="AT652" s="264">
        <f t="shared" si="417"/>
        <v>0</v>
      </c>
      <c r="AU652" s="262"/>
      <c r="AV652" s="262"/>
      <c r="AW652" s="265">
        <v>2777.6636840634392</v>
      </c>
      <c r="AX652" s="164" t="s">
        <v>2397</v>
      </c>
      <c r="AY652" s="266">
        <v>0</v>
      </c>
      <c r="AZ652" s="266">
        <f t="shared" si="418"/>
        <v>0</v>
      </c>
      <c r="BA652" s="264">
        <f t="shared" si="419"/>
        <v>0</v>
      </c>
      <c r="BB652" s="262"/>
      <c r="BC652" s="262"/>
      <c r="BD652" s="265">
        <f ca="1">IFERROR(INDEX(Algorithms!$G:$G,MATCH($C652&amp;"_Therm Saved per Unit",Algorithms!$A:$A,0)),0)</f>
        <v>2777.6636840634392</v>
      </c>
      <c r="BE652" s="164" t="str">
        <f ca="1">IFERROR(INDEX('v12 Revisions'!$P$29:$P$186, MATCH('Measure-Level Adj Gas'!$L652, 'v12 Revisions'!$D$29:$D$186,0)),"")</f>
        <v>n/a - costs only.</v>
      </c>
      <c r="BF652" s="266">
        <f t="shared" ca="1" si="420"/>
        <v>0</v>
      </c>
      <c r="BG652" s="264">
        <f t="shared" ca="1" si="421"/>
        <v>0</v>
      </c>
      <c r="BH652" s="262"/>
      <c r="BI652" s="262"/>
      <c r="BJ652" s="265">
        <f ca="1">IFERROR(INDEX(Algorithms!$G:$G,MATCH($C652&amp;"_Therm Saved per Unit",Algorithms!$A:$A,0)),0)</f>
        <v>2777.6636840634392</v>
      </c>
      <c r="BK652" s="164"/>
      <c r="BL652" s="266">
        <f t="shared" ca="1" si="422"/>
        <v>0</v>
      </c>
      <c r="BM652" s="264">
        <f t="shared" ca="1" si="423"/>
        <v>0</v>
      </c>
      <c r="BN652" s="266">
        <f t="shared" si="424"/>
        <v>0</v>
      </c>
      <c r="BO652" s="266">
        <f t="shared" si="425"/>
        <v>0</v>
      </c>
      <c r="BP652" s="266">
        <f t="shared" ca="1" si="426"/>
        <v>0</v>
      </c>
      <c r="BQ652" s="266">
        <f t="shared" ca="1" si="427"/>
        <v>0</v>
      </c>
      <c r="BR652" s="268">
        <f t="shared" ca="1" si="428"/>
        <v>0</v>
      </c>
      <c r="BS652" s="262" t="s">
        <v>99</v>
      </c>
      <c r="BT652" s="277"/>
      <c r="BW652" s="266">
        <f t="shared" si="429"/>
        <v>0</v>
      </c>
      <c r="BX652" s="266">
        <f t="shared" si="430"/>
        <v>0</v>
      </c>
      <c r="BY652" s="266">
        <f t="shared" si="431"/>
        <v>0</v>
      </c>
      <c r="BZ652" s="266">
        <f t="shared" si="432"/>
        <v>0</v>
      </c>
      <c r="CA652" s="266">
        <f ca="1">N652*IFERROR(INDEX(Algorithms!$G:$G,MATCH($C652&amp;"_Therm Saved per Unit- MLA",Algorithms!$A:$A,0)),0)*X652</f>
        <v>0</v>
      </c>
      <c r="CB652" s="266">
        <f ca="1">O652*IFERROR(INDEX(Algorithms!$G:$G,MATCH($C652&amp;"_Therm Saved per Unit- MLA",Algorithms!$A:$A,0)),0)*Y652</f>
        <v>0</v>
      </c>
      <c r="CC652" s="266">
        <f ca="1">P652*IFERROR(INDEX(Algorithms!$G:$G,MATCH($C652&amp;"_Therm Saved per Unit- MLA",Algorithms!$A:$A,0)),0)*Z652</f>
        <v>0</v>
      </c>
      <c r="CD652" s="266">
        <f ca="1">Q652*IFERROR(INDEX(Algorithms!$G:$G,MATCH($C652&amp;"_Therm Saved per Unit- MLA",Algorithms!$A:$A,0)),0)*AA652</f>
        <v>0</v>
      </c>
      <c r="CE652" s="266">
        <f ca="1">IFERROR(INDEX(Algorithms!$G:$G,MATCH($C652&amp;"_Lifetime (years)",Algorithms!$A:$A,0)),0)</f>
        <v>6</v>
      </c>
      <c r="CF652" s="266">
        <f ca="1">IFERROR(INDEX(Algorithms!$G:$G,MATCH($C652&amp;"_Lifetime (years) - Remaining Years",Algorithms!$A:$A,0)),0)</f>
        <v>0</v>
      </c>
      <c r="CG652" s="266">
        <f t="shared" ca="1" si="433"/>
        <v>0</v>
      </c>
      <c r="CH652" s="266">
        <f t="shared" ca="1" si="434"/>
        <v>0</v>
      </c>
      <c r="CI652" s="266">
        <f t="shared" ca="1" si="435"/>
        <v>0</v>
      </c>
      <c r="CJ652" s="266">
        <f t="shared" ca="1" si="436"/>
        <v>0</v>
      </c>
      <c r="CK652" s="266">
        <f t="shared" si="437"/>
        <v>0</v>
      </c>
      <c r="CL652" s="266">
        <f t="shared" si="438"/>
        <v>0</v>
      </c>
      <c r="CM652" s="266">
        <f t="shared" ca="1" si="439"/>
        <v>0</v>
      </c>
      <c r="CN652" s="266">
        <f t="shared" ca="1" si="440"/>
        <v>0</v>
      </c>
      <c r="CO652" s="266">
        <f ca="1">N652*IFERROR(INDEX(Algorithms!$G:$G,MATCH($C652&amp;"_Therm Saved per Unit- MLA",Algorithms!$A:$A,0)),0)*X652</f>
        <v>0</v>
      </c>
      <c r="CP652" s="266">
        <f ca="1">O652*IFERROR(INDEX(Algorithms!$G:$G,MATCH($C652&amp;"_Therm Saved per Unit- MLA",Algorithms!$A:$A,0)),0)*Y652</f>
        <v>0</v>
      </c>
      <c r="CQ652" s="266">
        <f ca="1">P652*IFERROR(INDEX(Algorithms!$G:$G,MATCH($C652&amp;"_Therm Saved per Unit- MLA",Algorithms!$A:$A,0)),0)*Z652</f>
        <v>0</v>
      </c>
      <c r="CR652" s="266">
        <f ca="1">Q652*IFERROR(INDEX(Algorithms!$G:$G,MATCH($C652&amp;"_Therm Saved per Unit- MLA",Algorithms!$A:$A,0)),0)*AA652</f>
        <v>0</v>
      </c>
      <c r="CS652" s="266">
        <f ca="1">IFERROR(INDEX(Algorithms!$G:$G,MATCH($C652&amp;"_Lifetime (years)",Algorithms!$A:$A,0)),0)</f>
        <v>6</v>
      </c>
      <c r="CT652" s="266">
        <f ca="1">IFERROR(INDEX(Algorithms!$G:$G,MATCH($C652&amp;"_Lifetime (years) - Remaining Years",Algorithms!$A:$A,0)),0)</f>
        <v>0</v>
      </c>
      <c r="CU652" s="266">
        <f t="shared" ca="1" si="441"/>
        <v>0</v>
      </c>
      <c r="CV652" s="266">
        <f t="shared" ca="1" si="442"/>
        <v>0</v>
      </c>
      <c r="CW652" s="266">
        <f t="shared" ca="1" si="443"/>
        <v>0</v>
      </c>
      <c r="CX652" s="266">
        <f t="shared" ca="1" si="444"/>
        <v>0</v>
      </c>
    </row>
    <row r="653" spans="2:102" s="47" customFormat="1" ht="18" customHeight="1" x14ac:dyDescent="0.25">
      <c r="B653" t="str">
        <f t="shared" si="445"/>
        <v>NSG_Business_Small/Mid-Size Business_Rebates_Steam Traps_Industrial/Process Audit - 75 ≤ psig &lt; 125_CI/SMB</v>
      </c>
      <c r="C653" s="47" t="str">
        <f t="shared" si="406"/>
        <v>Steam Traps_Industrial/Process Audit - 75 ≤ psig &lt; 125_CI/SMB</v>
      </c>
      <c r="D653" s="270" t="s">
        <v>1787</v>
      </c>
      <c r="E653" s="270" t="s">
        <v>3</v>
      </c>
      <c r="F653" s="270" t="s">
        <v>1432</v>
      </c>
      <c r="G653" s="270" t="s">
        <v>1429</v>
      </c>
      <c r="H653" s="270" t="s">
        <v>644</v>
      </c>
      <c r="I653" s="270" t="s">
        <v>1386</v>
      </c>
      <c r="J653" s="270" t="s">
        <v>970</v>
      </c>
      <c r="K653" s="263">
        <v>1</v>
      </c>
      <c r="L653" s="263" t="str">
        <f ca="1">IFERROR(INDEX(Algorithms!J:J,MATCH($C653&amp;"_Therm Saved per Unit",Algorithms!$A:$A,0)),"n/a")</f>
        <v>4.4.16</v>
      </c>
      <c r="M653" s="263" t="str">
        <f>IFERROR(INDEX('Measure Level Detail'!$N:$N,MATCH($B653,'Measure Level Detail'!$B:$B,0)),0)</f>
        <v>each</v>
      </c>
      <c r="N653" s="271">
        <f>IFERROR(INDEX('Measure Level Detail'!$P:$P,MATCH($B653&amp;"_"&amp;N$3,'Measure Level Detail'!$C:$C,0)),0)</f>
        <v>0</v>
      </c>
      <c r="O653" s="271">
        <f>IFERROR(INDEX('Measure Level Detail'!$P:$P,MATCH($B653&amp;"_"&amp;O$3,'Measure Level Detail'!$C:$C,0)),0)</f>
        <v>0</v>
      </c>
      <c r="P653" s="271">
        <f>IFERROR(INDEX('Measure Level Detail'!$P:$P,MATCH($B653&amp;"_"&amp;P$3,'Measure Level Detail'!$C:$C,0)),0)</f>
        <v>0</v>
      </c>
      <c r="Q653" s="271">
        <f>IFERROR(INDEX('Measure Level Detail'!$P:$P,MATCH($B653&amp;"_"&amp;Q$3,'Measure Level Detail'!$C:$C,0)),0)</f>
        <v>0</v>
      </c>
      <c r="R653" s="263" t="str">
        <f ca="1">IFERROR(INDEX(Algorithms!K:K,MATCH($C653&amp;"_Therm Saved per Unit",Algorithms!$A:$A,0)),"n/a")</f>
        <v>CI-HVC-STRE-V10-240101</v>
      </c>
      <c r="S653" s="262"/>
      <c r="T653" s="272">
        <v>5253.732217921608</v>
      </c>
      <c r="U653" s="272">
        <v>5253.732217921608</v>
      </c>
      <c r="V653" s="272">
        <v>5253.732217921608</v>
      </c>
      <c r="W653" s="272">
        <v>5253.732217921608</v>
      </c>
      <c r="X653" s="276">
        <v>0.93</v>
      </c>
      <c r="Y653" s="276">
        <v>0.93</v>
      </c>
      <c r="Z653" s="276">
        <v>0.93</v>
      </c>
      <c r="AA653" s="276">
        <v>0.93</v>
      </c>
      <c r="AB653" s="266">
        <f t="shared" si="407"/>
        <v>0</v>
      </c>
      <c r="AC653" s="266">
        <f t="shared" si="408"/>
        <v>0</v>
      </c>
      <c r="AD653" s="266">
        <f t="shared" si="409"/>
        <v>0</v>
      </c>
      <c r="AE653" s="266">
        <f t="shared" si="410"/>
        <v>0</v>
      </c>
      <c r="AF653" s="266">
        <f t="shared" si="411"/>
        <v>0</v>
      </c>
      <c r="AG653" s="274">
        <v>0.93</v>
      </c>
      <c r="AH653" s="274">
        <v>0.93</v>
      </c>
      <c r="AI653" s="274">
        <v>0.93</v>
      </c>
      <c r="AJ653" s="274">
        <v>0.93</v>
      </c>
      <c r="AK653" s="274">
        <f t="shared" si="412"/>
        <v>0.93</v>
      </c>
      <c r="AL653" s="274">
        <f t="shared" si="413"/>
        <v>0.93</v>
      </c>
      <c r="AM653" s="274">
        <f t="shared" si="414"/>
        <v>0.93</v>
      </c>
      <c r="AN653" s="274">
        <f t="shared" si="415"/>
        <v>0.93</v>
      </c>
      <c r="AO653" s="262"/>
      <c r="AP653" s="262"/>
      <c r="AQ653" s="267">
        <v>5253.732217921608</v>
      </c>
      <c r="AR653" s="262"/>
      <c r="AS653" s="266">
        <f t="shared" si="416"/>
        <v>0</v>
      </c>
      <c r="AT653" s="264">
        <f t="shared" si="417"/>
        <v>0</v>
      </c>
      <c r="AU653" s="262"/>
      <c r="AV653" s="262"/>
      <c r="AW653" s="265">
        <v>5253.732217921608</v>
      </c>
      <c r="AX653" s="164" t="s">
        <v>2397</v>
      </c>
      <c r="AY653" s="266">
        <v>0</v>
      </c>
      <c r="AZ653" s="266">
        <f t="shared" si="418"/>
        <v>0</v>
      </c>
      <c r="BA653" s="264">
        <f t="shared" si="419"/>
        <v>0</v>
      </c>
      <c r="BB653" s="262"/>
      <c r="BC653" s="262"/>
      <c r="BD653" s="265">
        <f ca="1">IFERROR(INDEX(Algorithms!$G:$G,MATCH($C653&amp;"_Therm Saved per Unit",Algorithms!$A:$A,0)),0)</f>
        <v>5253.732217921608</v>
      </c>
      <c r="BE653" s="164" t="str">
        <f ca="1">IFERROR(INDEX('v12 Revisions'!$P$29:$P$186, MATCH('Measure-Level Adj Gas'!$L653, 'v12 Revisions'!$D$29:$D$186,0)),"")</f>
        <v>n/a - costs only.</v>
      </c>
      <c r="BF653" s="266">
        <f t="shared" ca="1" si="420"/>
        <v>0</v>
      </c>
      <c r="BG653" s="264">
        <f t="shared" ca="1" si="421"/>
        <v>0</v>
      </c>
      <c r="BH653" s="262"/>
      <c r="BI653" s="262"/>
      <c r="BJ653" s="265">
        <f ca="1">IFERROR(INDEX(Algorithms!$G:$G,MATCH($C653&amp;"_Therm Saved per Unit",Algorithms!$A:$A,0)),0)</f>
        <v>5253.732217921608</v>
      </c>
      <c r="BK653" s="164"/>
      <c r="BL653" s="266">
        <f t="shared" ca="1" si="422"/>
        <v>0</v>
      </c>
      <c r="BM653" s="264">
        <f t="shared" ca="1" si="423"/>
        <v>0</v>
      </c>
      <c r="BN653" s="266">
        <f t="shared" si="424"/>
        <v>0</v>
      </c>
      <c r="BO653" s="266">
        <f t="shared" si="425"/>
        <v>0</v>
      </c>
      <c r="BP653" s="266">
        <f t="shared" ca="1" si="426"/>
        <v>0</v>
      </c>
      <c r="BQ653" s="266">
        <f t="shared" ca="1" si="427"/>
        <v>0</v>
      </c>
      <c r="BR653" s="268">
        <f t="shared" ca="1" si="428"/>
        <v>0</v>
      </c>
      <c r="BS653" s="262" t="s">
        <v>99</v>
      </c>
      <c r="BT653" s="277"/>
      <c r="BW653" s="266">
        <f t="shared" si="429"/>
        <v>0</v>
      </c>
      <c r="BX653" s="266">
        <f t="shared" si="430"/>
        <v>0</v>
      </c>
      <c r="BY653" s="266">
        <f t="shared" si="431"/>
        <v>0</v>
      </c>
      <c r="BZ653" s="266">
        <f t="shared" si="432"/>
        <v>0</v>
      </c>
      <c r="CA653" s="266">
        <f ca="1">N653*IFERROR(INDEX(Algorithms!$G:$G,MATCH($C653&amp;"_Therm Saved per Unit- MLA",Algorithms!$A:$A,0)),0)*X653</f>
        <v>0</v>
      </c>
      <c r="CB653" s="266">
        <f ca="1">O653*IFERROR(INDEX(Algorithms!$G:$G,MATCH($C653&amp;"_Therm Saved per Unit- MLA",Algorithms!$A:$A,0)),0)*Y653</f>
        <v>0</v>
      </c>
      <c r="CC653" s="266">
        <f ca="1">P653*IFERROR(INDEX(Algorithms!$G:$G,MATCH($C653&amp;"_Therm Saved per Unit- MLA",Algorithms!$A:$A,0)),0)*Z653</f>
        <v>0</v>
      </c>
      <c r="CD653" s="266">
        <f ca="1">Q653*IFERROR(INDEX(Algorithms!$G:$G,MATCH($C653&amp;"_Therm Saved per Unit- MLA",Algorithms!$A:$A,0)),0)*AA653</f>
        <v>0</v>
      </c>
      <c r="CE653" s="266">
        <f ca="1">IFERROR(INDEX(Algorithms!$G:$G,MATCH($C653&amp;"_Lifetime (years)",Algorithms!$A:$A,0)),0)</f>
        <v>6</v>
      </c>
      <c r="CF653" s="266">
        <f ca="1">IFERROR(INDEX(Algorithms!$G:$G,MATCH($C653&amp;"_Lifetime (years) - Remaining Years",Algorithms!$A:$A,0)),0)</f>
        <v>0</v>
      </c>
      <c r="CG653" s="266">
        <f t="shared" ca="1" si="433"/>
        <v>0</v>
      </c>
      <c r="CH653" s="266">
        <f t="shared" ca="1" si="434"/>
        <v>0</v>
      </c>
      <c r="CI653" s="266">
        <f t="shared" ca="1" si="435"/>
        <v>0</v>
      </c>
      <c r="CJ653" s="266">
        <f t="shared" ca="1" si="436"/>
        <v>0</v>
      </c>
      <c r="CK653" s="266">
        <f t="shared" si="437"/>
        <v>0</v>
      </c>
      <c r="CL653" s="266">
        <f t="shared" si="438"/>
        <v>0</v>
      </c>
      <c r="CM653" s="266">
        <f t="shared" ca="1" si="439"/>
        <v>0</v>
      </c>
      <c r="CN653" s="266">
        <f t="shared" ca="1" si="440"/>
        <v>0</v>
      </c>
      <c r="CO653" s="266">
        <f ca="1">N653*IFERROR(INDEX(Algorithms!$G:$G,MATCH($C653&amp;"_Therm Saved per Unit- MLA",Algorithms!$A:$A,0)),0)*X653</f>
        <v>0</v>
      </c>
      <c r="CP653" s="266">
        <f ca="1">O653*IFERROR(INDEX(Algorithms!$G:$G,MATCH($C653&amp;"_Therm Saved per Unit- MLA",Algorithms!$A:$A,0)),0)*Y653</f>
        <v>0</v>
      </c>
      <c r="CQ653" s="266">
        <f ca="1">P653*IFERROR(INDEX(Algorithms!$G:$G,MATCH($C653&amp;"_Therm Saved per Unit- MLA",Algorithms!$A:$A,0)),0)*Z653</f>
        <v>0</v>
      </c>
      <c r="CR653" s="266">
        <f ca="1">Q653*IFERROR(INDEX(Algorithms!$G:$G,MATCH($C653&amp;"_Therm Saved per Unit- MLA",Algorithms!$A:$A,0)),0)*AA653</f>
        <v>0</v>
      </c>
      <c r="CS653" s="266">
        <f ca="1">IFERROR(INDEX(Algorithms!$G:$G,MATCH($C653&amp;"_Lifetime (years)",Algorithms!$A:$A,0)),0)</f>
        <v>6</v>
      </c>
      <c r="CT653" s="266">
        <f ca="1">IFERROR(INDEX(Algorithms!$G:$G,MATCH($C653&amp;"_Lifetime (years) - Remaining Years",Algorithms!$A:$A,0)),0)</f>
        <v>0</v>
      </c>
      <c r="CU653" s="266">
        <f t="shared" ca="1" si="441"/>
        <v>0</v>
      </c>
      <c r="CV653" s="266">
        <f t="shared" ca="1" si="442"/>
        <v>0</v>
      </c>
      <c r="CW653" s="266">
        <f t="shared" ca="1" si="443"/>
        <v>0</v>
      </c>
      <c r="CX653" s="266">
        <f t="shared" ca="1" si="444"/>
        <v>0</v>
      </c>
    </row>
    <row r="654" spans="2:102" s="47" customFormat="1" ht="18" customHeight="1" x14ac:dyDescent="0.25">
      <c r="B654" t="str">
        <f t="shared" si="445"/>
        <v>NSG_Business_Small/Mid-Size Business_Rebates_Steam Traps_Industrial/Process Audit - 125 ≤ psig &lt; 175_CI/SMB</v>
      </c>
      <c r="C654" s="47" t="str">
        <f t="shared" si="406"/>
        <v>Steam Traps_Industrial/Process Audit - 125 ≤ psig &lt; 175_CI/SMB</v>
      </c>
      <c r="D654" s="270" t="s">
        <v>1787</v>
      </c>
      <c r="E654" s="270" t="s">
        <v>3</v>
      </c>
      <c r="F654" s="270" t="s">
        <v>1432</v>
      </c>
      <c r="G654" s="270" t="s">
        <v>1429</v>
      </c>
      <c r="H654" s="270" t="s">
        <v>644</v>
      </c>
      <c r="I654" s="270" t="s">
        <v>1374</v>
      </c>
      <c r="J654" s="270" t="s">
        <v>970</v>
      </c>
      <c r="K654" s="263">
        <v>1</v>
      </c>
      <c r="L654" s="263" t="str">
        <f ca="1">IFERROR(INDEX(Algorithms!J:J,MATCH($C654&amp;"_Therm Saved per Unit",Algorithms!$A:$A,0)),"n/a")</f>
        <v>4.4.16</v>
      </c>
      <c r="M654" s="263" t="str">
        <f>IFERROR(INDEX('Measure Level Detail'!$N:$N,MATCH($B654,'Measure Level Detail'!$B:$B,0)),0)</f>
        <v>each</v>
      </c>
      <c r="N654" s="271">
        <f>IFERROR(INDEX('Measure Level Detail'!$P:$P,MATCH($B654&amp;"_"&amp;N$3,'Measure Level Detail'!$C:$C,0)),0)</f>
        <v>0</v>
      </c>
      <c r="O654" s="271">
        <f>IFERROR(INDEX('Measure Level Detail'!$P:$P,MATCH($B654&amp;"_"&amp;O$3,'Measure Level Detail'!$C:$C,0)),0)</f>
        <v>0</v>
      </c>
      <c r="P654" s="271">
        <f>IFERROR(INDEX('Measure Level Detail'!$P:$P,MATCH($B654&amp;"_"&amp;P$3,'Measure Level Detail'!$C:$C,0)),0)</f>
        <v>0</v>
      </c>
      <c r="Q654" s="271">
        <f>IFERROR(INDEX('Measure Level Detail'!$P:$P,MATCH($B654&amp;"_"&amp;Q$3,'Measure Level Detail'!$C:$C,0)),0)</f>
        <v>0</v>
      </c>
      <c r="R654" s="263" t="str">
        <f ca="1">IFERROR(INDEX(Algorithms!K:K,MATCH($C654&amp;"_Therm Saved per Unit",Algorithms!$A:$A,0)),"n/a")</f>
        <v>CI-HVC-STRE-V10-240101</v>
      </c>
      <c r="S654" s="262"/>
      <c r="T654" s="272">
        <v>7334.7468920022948</v>
      </c>
      <c r="U654" s="272">
        <v>7334.7468920022948</v>
      </c>
      <c r="V654" s="272">
        <v>7334.7468920022948</v>
      </c>
      <c r="W654" s="272">
        <v>7334.7468920022948</v>
      </c>
      <c r="X654" s="276">
        <v>0.93</v>
      </c>
      <c r="Y654" s="276">
        <v>0.93</v>
      </c>
      <c r="Z654" s="276">
        <v>0.93</v>
      </c>
      <c r="AA654" s="276">
        <v>0.93</v>
      </c>
      <c r="AB654" s="266">
        <f t="shared" si="407"/>
        <v>0</v>
      </c>
      <c r="AC654" s="266">
        <f t="shared" si="408"/>
        <v>0</v>
      </c>
      <c r="AD654" s="266">
        <f t="shared" si="409"/>
        <v>0</v>
      </c>
      <c r="AE654" s="266">
        <f t="shared" si="410"/>
        <v>0</v>
      </c>
      <c r="AF654" s="266">
        <f t="shared" si="411"/>
        <v>0</v>
      </c>
      <c r="AG654" s="274">
        <v>0.93</v>
      </c>
      <c r="AH654" s="274">
        <v>0.93</v>
      </c>
      <c r="AI654" s="274">
        <v>0.93</v>
      </c>
      <c r="AJ654" s="274">
        <v>0.93</v>
      </c>
      <c r="AK654" s="274">
        <f t="shared" si="412"/>
        <v>0.93</v>
      </c>
      <c r="AL654" s="274">
        <f t="shared" si="413"/>
        <v>0.93</v>
      </c>
      <c r="AM654" s="274">
        <f t="shared" si="414"/>
        <v>0.93</v>
      </c>
      <c r="AN654" s="274">
        <f t="shared" si="415"/>
        <v>0.93</v>
      </c>
      <c r="AO654" s="262"/>
      <c r="AP654" s="262"/>
      <c r="AQ654" s="267">
        <v>7334.7468920022948</v>
      </c>
      <c r="AR654" s="262"/>
      <c r="AS654" s="266">
        <f t="shared" si="416"/>
        <v>0</v>
      </c>
      <c r="AT654" s="264">
        <f t="shared" si="417"/>
        <v>0</v>
      </c>
      <c r="AU654" s="262"/>
      <c r="AV654" s="262"/>
      <c r="AW654" s="265">
        <v>7334.7468920022948</v>
      </c>
      <c r="AX654" s="164" t="s">
        <v>2397</v>
      </c>
      <c r="AY654" s="266">
        <v>0</v>
      </c>
      <c r="AZ654" s="266">
        <f t="shared" si="418"/>
        <v>0</v>
      </c>
      <c r="BA654" s="264">
        <f t="shared" si="419"/>
        <v>0</v>
      </c>
      <c r="BB654" s="262"/>
      <c r="BC654" s="262"/>
      <c r="BD654" s="265">
        <f ca="1">IFERROR(INDEX(Algorithms!$G:$G,MATCH($C654&amp;"_Therm Saved per Unit",Algorithms!$A:$A,0)),0)</f>
        <v>7334.7468920022948</v>
      </c>
      <c r="BE654" s="164" t="str">
        <f ca="1">IFERROR(INDEX('v12 Revisions'!$P$29:$P$186, MATCH('Measure-Level Adj Gas'!$L654, 'v12 Revisions'!$D$29:$D$186,0)),"")</f>
        <v>n/a - costs only.</v>
      </c>
      <c r="BF654" s="266">
        <f t="shared" ca="1" si="420"/>
        <v>0</v>
      </c>
      <c r="BG654" s="264">
        <f t="shared" ca="1" si="421"/>
        <v>0</v>
      </c>
      <c r="BH654" s="262"/>
      <c r="BI654" s="262"/>
      <c r="BJ654" s="265">
        <f ca="1">IFERROR(INDEX(Algorithms!$G:$G,MATCH($C654&amp;"_Therm Saved per Unit",Algorithms!$A:$A,0)),0)</f>
        <v>7334.7468920022948</v>
      </c>
      <c r="BK654" s="164"/>
      <c r="BL654" s="266">
        <f t="shared" ca="1" si="422"/>
        <v>0</v>
      </c>
      <c r="BM654" s="264">
        <f t="shared" ca="1" si="423"/>
        <v>0</v>
      </c>
      <c r="BN654" s="266">
        <f t="shared" si="424"/>
        <v>0</v>
      </c>
      <c r="BO654" s="266">
        <f t="shared" si="425"/>
        <v>0</v>
      </c>
      <c r="BP654" s="266">
        <f t="shared" ca="1" si="426"/>
        <v>0</v>
      </c>
      <c r="BQ654" s="266">
        <f t="shared" ca="1" si="427"/>
        <v>0</v>
      </c>
      <c r="BR654" s="268">
        <f t="shared" ca="1" si="428"/>
        <v>0</v>
      </c>
      <c r="BS654" s="262" t="s">
        <v>99</v>
      </c>
      <c r="BT654" s="277"/>
      <c r="BW654" s="266">
        <f t="shared" si="429"/>
        <v>0</v>
      </c>
      <c r="BX654" s="266">
        <f t="shared" si="430"/>
        <v>0</v>
      </c>
      <c r="BY654" s="266">
        <f t="shared" si="431"/>
        <v>0</v>
      </c>
      <c r="BZ654" s="266">
        <f t="shared" si="432"/>
        <v>0</v>
      </c>
      <c r="CA654" s="266">
        <f ca="1">N654*IFERROR(INDEX(Algorithms!$G:$G,MATCH($C654&amp;"_Therm Saved per Unit- MLA",Algorithms!$A:$A,0)),0)*X654</f>
        <v>0</v>
      </c>
      <c r="CB654" s="266">
        <f ca="1">O654*IFERROR(INDEX(Algorithms!$G:$G,MATCH($C654&amp;"_Therm Saved per Unit- MLA",Algorithms!$A:$A,0)),0)*Y654</f>
        <v>0</v>
      </c>
      <c r="CC654" s="266">
        <f ca="1">P654*IFERROR(INDEX(Algorithms!$G:$G,MATCH($C654&amp;"_Therm Saved per Unit- MLA",Algorithms!$A:$A,0)),0)*Z654</f>
        <v>0</v>
      </c>
      <c r="CD654" s="266">
        <f ca="1">Q654*IFERROR(INDEX(Algorithms!$G:$G,MATCH($C654&amp;"_Therm Saved per Unit- MLA",Algorithms!$A:$A,0)),0)*AA654</f>
        <v>0</v>
      </c>
      <c r="CE654" s="266">
        <f ca="1">IFERROR(INDEX(Algorithms!$G:$G,MATCH($C654&amp;"_Lifetime (years)",Algorithms!$A:$A,0)),0)</f>
        <v>6</v>
      </c>
      <c r="CF654" s="266">
        <f ca="1">IFERROR(INDEX(Algorithms!$G:$G,MATCH($C654&amp;"_Lifetime (years) - Remaining Years",Algorithms!$A:$A,0)),0)</f>
        <v>0</v>
      </c>
      <c r="CG654" s="266">
        <f t="shared" ca="1" si="433"/>
        <v>0</v>
      </c>
      <c r="CH654" s="266">
        <f t="shared" ca="1" si="434"/>
        <v>0</v>
      </c>
      <c r="CI654" s="266">
        <f t="shared" ca="1" si="435"/>
        <v>0</v>
      </c>
      <c r="CJ654" s="266">
        <f t="shared" ca="1" si="436"/>
        <v>0</v>
      </c>
      <c r="CK654" s="266">
        <f t="shared" si="437"/>
        <v>0</v>
      </c>
      <c r="CL654" s="266">
        <f t="shared" si="438"/>
        <v>0</v>
      </c>
      <c r="CM654" s="266">
        <f t="shared" ca="1" si="439"/>
        <v>0</v>
      </c>
      <c r="CN654" s="266">
        <f t="shared" ca="1" si="440"/>
        <v>0</v>
      </c>
      <c r="CO654" s="266">
        <f ca="1">N654*IFERROR(INDEX(Algorithms!$G:$G,MATCH($C654&amp;"_Therm Saved per Unit- MLA",Algorithms!$A:$A,0)),0)*X654</f>
        <v>0</v>
      </c>
      <c r="CP654" s="266">
        <f ca="1">O654*IFERROR(INDEX(Algorithms!$G:$G,MATCH($C654&amp;"_Therm Saved per Unit- MLA",Algorithms!$A:$A,0)),0)*Y654</f>
        <v>0</v>
      </c>
      <c r="CQ654" s="266">
        <f ca="1">P654*IFERROR(INDEX(Algorithms!$G:$G,MATCH($C654&amp;"_Therm Saved per Unit- MLA",Algorithms!$A:$A,0)),0)*Z654</f>
        <v>0</v>
      </c>
      <c r="CR654" s="266">
        <f ca="1">Q654*IFERROR(INDEX(Algorithms!$G:$G,MATCH($C654&amp;"_Therm Saved per Unit- MLA",Algorithms!$A:$A,0)),0)*AA654</f>
        <v>0</v>
      </c>
      <c r="CS654" s="266">
        <f ca="1">IFERROR(INDEX(Algorithms!$G:$G,MATCH($C654&amp;"_Lifetime (years)",Algorithms!$A:$A,0)),0)</f>
        <v>6</v>
      </c>
      <c r="CT654" s="266">
        <f ca="1">IFERROR(INDEX(Algorithms!$G:$G,MATCH($C654&amp;"_Lifetime (years) - Remaining Years",Algorithms!$A:$A,0)),0)</f>
        <v>0</v>
      </c>
      <c r="CU654" s="266">
        <f t="shared" ca="1" si="441"/>
        <v>0</v>
      </c>
      <c r="CV654" s="266">
        <f t="shared" ca="1" si="442"/>
        <v>0</v>
      </c>
      <c r="CW654" s="266">
        <f t="shared" ca="1" si="443"/>
        <v>0</v>
      </c>
      <c r="CX654" s="266">
        <f t="shared" ca="1" si="444"/>
        <v>0</v>
      </c>
    </row>
    <row r="655" spans="2:102" s="47" customFormat="1" ht="18" customHeight="1" x14ac:dyDescent="0.25">
      <c r="B655" t="str">
        <f t="shared" si="445"/>
        <v>NSG_Business_Small/Mid-Size Business_Rebates_Steam Traps_Industrial/Process Audit - 175 ≤ psig &lt; 250_CI/SMB</v>
      </c>
      <c r="C655" s="47" t="str">
        <f t="shared" si="406"/>
        <v>Steam Traps_Industrial/Process Audit - 175 ≤ psig &lt; 250_CI/SMB</v>
      </c>
      <c r="D655" s="270" t="s">
        <v>1787</v>
      </c>
      <c r="E655" s="270" t="s">
        <v>3</v>
      </c>
      <c r="F655" s="270" t="s">
        <v>1432</v>
      </c>
      <c r="G655" s="270" t="s">
        <v>1429</v>
      </c>
      <c r="H655" s="270" t="s">
        <v>644</v>
      </c>
      <c r="I655" s="270" t="s">
        <v>1375</v>
      </c>
      <c r="J655" s="270" t="s">
        <v>970</v>
      </c>
      <c r="K655" s="263">
        <v>1</v>
      </c>
      <c r="L655" s="263" t="str">
        <f ca="1">IFERROR(INDEX(Algorithms!J:J,MATCH($C655&amp;"_Therm Saved per Unit",Algorithms!$A:$A,0)),"n/a")</f>
        <v>4.4.16</v>
      </c>
      <c r="M655" s="263" t="str">
        <f>IFERROR(INDEX('Measure Level Detail'!$N:$N,MATCH($B655,'Measure Level Detail'!$B:$B,0)),0)</f>
        <v>each</v>
      </c>
      <c r="N655" s="271">
        <f>IFERROR(INDEX('Measure Level Detail'!$P:$P,MATCH($B655&amp;"_"&amp;N$3,'Measure Level Detail'!$C:$C,0)),0)</f>
        <v>0</v>
      </c>
      <c r="O655" s="271">
        <f>IFERROR(INDEX('Measure Level Detail'!$P:$P,MATCH($B655&amp;"_"&amp;O$3,'Measure Level Detail'!$C:$C,0)),0)</f>
        <v>0</v>
      </c>
      <c r="P655" s="271">
        <f>IFERROR(INDEX('Measure Level Detail'!$P:$P,MATCH($B655&amp;"_"&amp;P$3,'Measure Level Detail'!$C:$C,0)),0)</f>
        <v>0</v>
      </c>
      <c r="Q655" s="271">
        <f>IFERROR(INDEX('Measure Level Detail'!$P:$P,MATCH($B655&amp;"_"&amp;Q$3,'Measure Level Detail'!$C:$C,0)),0)</f>
        <v>0</v>
      </c>
      <c r="R655" s="263" t="str">
        <f ca="1">IFERROR(INDEX(Algorithms!K:K,MATCH($C655&amp;"_Therm Saved per Unit",Algorithms!$A:$A,0)),"n/a")</f>
        <v>CI-HVC-STRE-V10-240101</v>
      </c>
      <c r="S655" s="262"/>
      <c r="T655" s="272">
        <v>9906.4466256306805</v>
      </c>
      <c r="U655" s="272">
        <v>9906.4466256306805</v>
      </c>
      <c r="V655" s="272">
        <v>9906.4466256306805</v>
      </c>
      <c r="W655" s="272">
        <v>9906.4466256306805</v>
      </c>
      <c r="X655" s="276">
        <v>0.93</v>
      </c>
      <c r="Y655" s="276">
        <v>0.93</v>
      </c>
      <c r="Z655" s="276">
        <v>0.93</v>
      </c>
      <c r="AA655" s="276">
        <v>0.93</v>
      </c>
      <c r="AB655" s="266">
        <f t="shared" si="407"/>
        <v>0</v>
      </c>
      <c r="AC655" s="266">
        <f t="shared" si="408"/>
        <v>0</v>
      </c>
      <c r="AD655" s="266">
        <f t="shared" si="409"/>
        <v>0</v>
      </c>
      <c r="AE655" s="266">
        <f t="shared" si="410"/>
        <v>0</v>
      </c>
      <c r="AF655" s="266">
        <f t="shared" si="411"/>
        <v>0</v>
      </c>
      <c r="AG655" s="274">
        <v>0.93</v>
      </c>
      <c r="AH655" s="274">
        <v>0.93</v>
      </c>
      <c r="AI655" s="274">
        <v>0.93</v>
      </c>
      <c r="AJ655" s="274">
        <v>0.93</v>
      </c>
      <c r="AK655" s="274">
        <f t="shared" si="412"/>
        <v>0.93</v>
      </c>
      <c r="AL655" s="274">
        <f t="shared" si="413"/>
        <v>0.93</v>
      </c>
      <c r="AM655" s="274">
        <f t="shared" si="414"/>
        <v>0.93</v>
      </c>
      <c r="AN655" s="274">
        <f t="shared" si="415"/>
        <v>0.93</v>
      </c>
      <c r="AO655" s="262"/>
      <c r="AP655" s="262"/>
      <c r="AQ655" s="267">
        <v>9906.4466256306805</v>
      </c>
      <c r="AR655" s="262"/>
      <c r="AS655" s="266">
        <f t="shared" si="416"/>
        <v>0</v>
      </c>
      <c r="AT655" s="264">
        <f t="shared" si="417"/>
        <v>0</v>
      </c>
      <c r="AU655" s="262"/>
      <c r="AV655" s="262"/>
      <c r="AW655" s="265">
        <v>9906.4466256306805</v>
      </c>
      <c r="AX655" s="164" t="s">
        <v>2397</v>
      </c>
      <c r="AY655" s="266">
        <v>0</v>
      </c>
      <c r="AZ655" s="266">
        <f t="shared" si="418"/>
        <v>0</v>
      </c>
      <c r="BA655" s="264">
        <f t="shared" si="419"/>
        <v>0</v>
      </c>
      <c r="BB655" s="262"/>
      <c r="BC655" s="262"/>
      <c r="BD655" s="265">
        <f ca="1">IFERROR(INDEX(Algorithms!$G:$G,MATCH($C655&amp;"_Therm Saved per Unit",Algorithms!$A:$A,0)),0)</f>
        <v>9906.4466256306805</v>
      </c>
      <c r="BE655" s="164" t="str">
        <f ca="1">IFERROR(INDEX('v12 Revisions'!$P$29:$P$186, MATCH('Measure-Level Adj Gas'!$L655, 'v12 Revisions'!$D$29:$D$186,0)),"")</f>
        <v>n/a - costs only.</v>
      </c>
      <c r="BF655" s="266">
        <f t="shared" ca="1" si="420"/>
        <v>0</v>
      </c>
      <c r="BG655" s="264">
        <f t="shared" ca="1" si="421"/>
        <v>0</v>
      </c>
      <c r="BH655" s="262"/>
      <c r="BI655" s="262"/>
      <c r="BJ655" s="265">
        <f ca="1">IFERROR(INDEX(Algorithms!$G:$G,MATCH($C655&amp;"_Therm Saved per Unit",Algorithms!$A:$A,0)),0)</f>
        <v>9906.4466256306805</v>
      </c>
      <c r="BK655" s="164"/>
      <c r="BL655" s="266">
        <f t="shared" ca="1" si="422"/>
        <v>0</v>
      </c>
      <c r="BM655" s="264">
        <f t="shared" ca="1" si="423"/>
        <v>0</v>
      </c>
      <c r="BN655" s="266">
        <f t="shared" si="424"/>
        <v>0</v>
      </c>
      <c r="BO655" s="266">
        <f t="shared" si="425"/>
        <v>0</v>
      </c>
      <c r="BP655" s="266">
        <f t="shared" ca="1" si="426"/>
        <v>0</v>
      </c>
      <c r="BQ655" s="266">
        <f t="shared" ca="1" si="427"/>
        <v>0</v>
      </c>
      <c r="BR655" s="268">
        <f t="shared" ca="1" si="428"/>
        <v>0</v>
      </c>
      <c r="BS655" s="262" t="s">
        <v>99</v>
      </c>
      <c r="BT655" s="277"/>
      <c r="BW655" s="266">
        <f t="shared" si="429"/>
        <v>0</v>
      </c>
      <c r="BX655" s="266">
        <f t="shared" si="430"/>
        <v>0</v>
      </c>
      <c r="BY655" s="266">
        <f t="shared" si="431"/>
        <v>0</v>
      </c>
      <c r="BZ655" s="266">
        <f t="shared" si="432"/>
        <v>0</v>
      </c>
      <c r="CA655" s="266">
        <f ca="1">N655*IFERROR(INDEX(Algorithms!$G:$G,MATCH($C655&amp;"_Therm Saved per Unit- MLA",Algorithms!$A:$A,0)),0)*X655</f>
        <v>0</v>
      </c>
      <c r="CB655" s="266">
        <f ca="1">O655*IFERROR(INDEX(Algorithms!$G:$G,MATCH($C655&amp;"_Therm Saved per Unit- MLA",Algorithms!$A:$A,0)),0)*Y655</f>
        <v>0</v>
      </c>
      <c r="CC655" s="266">
        <f ca="1">P655*IFERROR(INDEX(Algorithms!$G:$G,MATCH($C655&amp;"_Therm Saved per Unit- MLA",Algorithms!$A:$A,0)),0)*Z655</f>
        <v>0</v>
      </c>
      <c r="CD655" s="266">
        <f ca="1">Q655*IFERROR(INDEX(Algorithms!$G:$G,MATCH($C655&amp;"_Therm Saved per Unit- MLA",Algorithms!$A:$A,0)),0)*AA655</f>
        <v>0</v>
      </c>
      <c r="CE655" s="266">
        <f ca="1">IFERROR(INDEX(Algorithms!$G:$G,MATCH($C655&amp;"_Lifetime (years)",Algorithms!$A:$A,0)),0)</f>
        <v>6</v>
      </c>
      <c r="CF655" s="266">
        <f ca="1">IFERROR(INDEX(Algorithms!$G:$G,MATCH($C655&amp;"_Lifetime (years) - Remaining Years",Algorithms!$A:$A,0)),0)</f>
        <v>0</v>
      </c>
      <c r="CG655" s="266">
        <f t="shared" ca="1" si="433"/>
        <v>0</v>
      </c>
      <c r="CH655" s="266">
        <f t="shared" ca="1" si="434"/>
        <v>0</v>
      </c>
      <c r="CI655" s="266">
        <f t="shared" ca="1" si="435"/>
        <v>0</v>
      </c>
      <c r="CJ655" s="266">
        <f t="shared" ca="1" si="436"/>
        <v>0</v>
      </c>
      <c r="CK655" s="266">
        <f t="shared" si="437"/>
        <v>0</v>
      </c>
      <c r="CL655" s="266">
        <f t="shared" si="438"/>
        <v>0</v>
      </c>
      <c r="CM655" s="266">
        <f t="shared" ca="1" si="439"/>
        <v>0</v>
      </c>
      <c r="CN655" s="266">
        <f t="shared" ca="1" si="440"/>
        <v>0</v>
      </c>
      <c r="CO655" s="266">
        <f ca="1">N655*IFERROR(INDEX(Algorithms!$G:$G,MATCH($C655&amp;"_Therm Saved per Unit- MLA",Algorithms!$A:$A,0)),0)*X655</f>
        <v>0</v>
      </c>
      <c r="CP655" s="266">
        <f ca="1">O655*IFERROR(INDEX(Algorithms!$G:$G,MATCH($C655&amp;"_Therm Saved per Unit- MLA",Algorithms!$A:$A,0)),0)*Y655</f>
        <v>0</v>
      </c>
      <c r="CQ655" s="266">
        <f ca="1">P655*IFERROR(INDEX(Algorithms!$G:$G,MATCH($C655&amp;"_Therm Saved per Unit- MLA",Algorithms!$A:$A,0)),0)*Z655</f>
        <v>0</v>
      </c>
      <c r="CR655" s="266">
        <f ca="1">Q655*IFERROR(INDEX(Algorithms!$G:$G,MATCH($C655&amp;"_Therm Saved per Unit- MLA",Algorithms!$A:$A,0)),0)*AA655</f>
        <v>0</v>
      </c>
      <c r="CS655" s="266">
        <f ca="1">IFERROR(INDEX(Algorithms!$G:$G,MATCH($C655&amp;"_Lifetime (years)",Algorithms!$A:$A,0)),0)</f>
        <v>6</v>
      </c>
      <c r="CT655" s="266">
        <f ca="1">IFERROR(INDEX(Algorithms!$G:$G,MATCH($C655&amp;"_Lifetime (years) - Remaining Years",Algorithms!$A:$A,0)),0)</f>
        <v>0</v>
      </c>
      <c r="CU655" s="266">
        <f t="shared" ca="1" si="441"/>
        <v>0</v>
      </c>
      <c r="CV655" s="266">
        <f t="shared" ca="1" si="442"/>
        <v>0</v>
      </c>
      <c r="CW655" s="266">
        <f t="shared" ca="1" si="443"/>
        <v>0</v>
      </c>
      <c r="CX655" s="266">
        <f t="shared" ca="1" si="444"/>
        <v>0</v>
      </c>
    </row>
    <row r="656" spans="2:102" s="47" customFormat="1" ht="18" customHeight="1" x14ac:dyDescent="0.25">
      <c r="B656" t="str">
        <f t="shared" si="445"/>
        <v>NSG_Business_Small/Mid-Size Business_Rebates_Steam Traps_Industrial/Process Audit - 250 ≤ psig_CI/SMB</v>
      </c>
      <c r="C656" s="47" t="str">
        <f t="shared" si="406"/>
        <v>Steam Traps_Industrial/Process Audit - 250 ≤ psig_CI/SMB</v>
      </c>
      <c r="D656" s="270" t="s">
        <v>1787</v>
      </c>
      <c r="E656" s="270" t="s">
        <v>3</v>
      </c>
      <c r="F656" s="270" t="s">
        <v>1432</v>
      </c>
      <c r="G656" s="270" t="s">
        <v>1429</v>
      </c>
      <c r="H656" s="270" t="s">
        <v>644</v>
      </c>
      <c r="I656" s="270" t="s">
        <v>1376</v>
      </c>
      <c r="J656" s="270" t="s">
        <v>970</v>
      </c>
      <c r="K656" s="263">
        <v>1</v>
      </c>
      <c r="L656" s="263" t="str">
        <f ca="1">IFERROR(INDEX(Algorithms!J:J,MATCH($C656&amp;"_Therm Saved per Unit",Algorithms!$A:$A,0)),"n/a")</f>
        <v>4.4.16</v>
      </c>
      <c r="M656" s="263" t="str">
        <f>IFERROR(INDEX('Measure Level Detail'!$N:$N,MATCH($B656,'Measure Level Detail'!$B:$B,0)),0)</f>
        <v>each</v>
      </c>
      <c r="N656" s="271">
        <f>IFERROR(INDEX('Measure Level Detail'!$P:$P,MATCH($B656&amp;"_"&amp;N$3,'Measure Level Detail'!$C:$C,0)),0)</f>
        <v>0</v>
      </c>
      <c r="O656" s="271">
        <f>IFERROR(INDEX('Measure Level Detail'!$P:$P,MATCH($B656&amp;"_"&amp;O$3,'Measure Level Detail'!$C:$C,0)),0)</f>
        <v>0</v>
      </c>
      <c r="P656" s="271">
        <f>IFERROR(INDEX('Measure Level Detail'!$P:$P,MATCH($B656&amp;"_"&amp;P$3,'Measure Level Detail'!$C:$C,0)),0)</f>
        <v>0</v>
      </c>
      <c r="Q656" s="271">
        <f>IFERROR(INDEX('Measure Level Detail'!$P:$P,MATCH($B656&amp;"_"&amp;Q$3,'Measure Level Detail'!$C:$C,0)),0)</f>
        <v>0</v>
      </c>
      <c r="R656" s="263" t="str">
        <f ca="1">IFERROR(INDEX(Algorithms!K:K,MATCH($C656&amp;"_Therm Saved per Unit",Algorithms!$A:$A,0)),"n/a")</f>
        <v>CI-HVC-STRE-V10-240101</v>
      </c>
      <c r="S656" s="262"/>
      <c r="T656" s="272">
        <v>12689.405899537758</v>
      </c>
      <c r="U656" s="272">
        <v>12689.405899537758</v>
      </c>
      <c r="V656" s="272">
        <v>12689.405899537758</v>
      </c>
      <c r="W656" s="272">
        <v>12689.405899537758</v>
      </c>
      <c r="X656" s="276">
        <v>0.93</v>
      </c>
      <c r="Y656" s="276">
        <v>0.93</v>
      </c>
      <c r="Z656" s="276">
        <v>0.93</v>
      </c>
      <c r="AA656" s="276">
        <v>0.93</v>
      </c>
      <c r="AB656" s="266">
        <f t="shared" si="407"/>
        <v>0</v>
      </c>
      <c r="AC656" s="266">
        <f t="shared" si="408"/>
        <v>0</v>
      </c>
      <c r="AD656" s="266">
        <f t="shared" si="409"/>
        <v>0</v>
      </c>
      <c r="AE656" s="266">
        <f t="shared" si="410"/>
        <v>0</v>
      </c>
      <c r="AF656" s="266">
        <f t="shared" si="411"/>
        <v>0</v>
      </c>
      <c r="AG656" s="274">
        <v>0.93</v>
      </c>
      <c r="AH656" s="274">
        <v>0.93</v>
      </c>
      <c r="AI656" s="274">
        <v>0.93</v>
      </c>
      <c r="AJ656" s="274">
        <v>0.93</v>
      </c>
      <c r="AK656" s="274">
        <f t="shared" si="412"/>
        <v>0.93</v>
      </c>
      <c r="AL656" s="274">
        <f t="shared" si="413"/>
        <v>0.93</v>
      </c>
      <c r="AM656" s="274">
        <f t="shared" si="414"/>
        <v>0.93</v>
      </c>
      <c r="AN656" s="274">
        <f t="shared" si="415"/>
        <v>0.93</v>
      </c>
      <c r="AO656" s="262"/>
      <c r="AP656" s="262"/>
      <c r="AQ656" s="267">
        <v>12689.405899537758</v>
      </c>
      <c r="AR656" s="262"/>
      <c r="AS656" s="266">
        <f t="shared" si="416"/>
        <v>0</v>
      </c>
      <c r="AT656" s="264">
        <f t="shared" si="417"/>
        <v>0</v>
      </c>
      <c r="AU656" s="262"/>
      <c r="AV656" s="262"/>
      <c r="AW656" s="265">
        <v>12689.405899537758</v>
      </c>
      <c r="AX656" s="164" t="s">
        <v>2397</v>
      </c>
      <c r="AY656" s="266">
        <v>0</v>
      </c>
      <c r="AZ656" s="266">
        <f t="shared" si="418"/>
        <v>0</v>
      </c>
      <c r="BA656" s="264">
        <f t="shared" si="419"/>
        <v>0</v>
      </c>
      <c r="BB656" s="262"/>
      <c r="BC656" s="262"/>
      <c r="BD656" s="265">
        <f ca="1">IFERROR(INDEX(Algorithms!$G:$G,MATCH($C656&amp;"_Therm Saved per Unit",Algorithms!$A:$A,0)),0)</f>
        <v>12689.405899537758</v>
      </c>
      <c r="BE656" s="164" t="str">
        <f ca="1">IFERROR(INDEX('v12 Revisions'!$P$29:$P$186, MATCH('Measure-Level Adj Gas'!$L656, 'v12 Revisions'!$D$29:$D$186,0)),"")</f>
        <v>n/a - costs only.</v>
      </c>
      <c r="BF656" s="266">
        <f t="shared" ca="1" si="420"/>
        <v>0</v>
      </c>
      <c r="BG656" s="264">
        <f t="shared" ca="1" si="421"/>
        <v>0</v>
      </c>
      <c r="BH656" s="262"/>
      <c r="BI656" s="262"/>
      <c r="BJ656" s="265">
        <f ca="1">IFERROR(INDEX(Algorithms!$G:$G,MATCH($C656&amp;"_Therm Saved per Unit",Algorithms!$A:$A,0)),0)</f>
        <v>12689.405899537758</v>
      </c>
      <c r="BK656" s="164"/>
      <c r="BL656" s="266">
        <f t="shared" ca="1" si="422"/>
        <v>0</v>
      </c>
      <c r="BM656" s="264">
        <f t="shared" ca="1" si="423"/>
        <v>0</v>
      </c>
      <c r="BN656" s="266">
        <f t="shared" si="424"/>
        <v>0</v>
      </c>
      <c r="BO656" s="266">
        <f t="shared" si="425"/>
        <v>0</v>
      </c>
      <c r="BP656" s="266">
        <f t="shared" ca="1" si="426"/>
        <v>0</v>
      </c>
      <c r="BQ656" s="266">
        <f t="shared" ca="1" si="427"/>
        <v>0</v>
      </c>
      <c r="BR656" s="268">
        <f t="shared" ca="1" si="428"/>
        <v>0</v>
      </c>
      <c r="BS656" s="262" t="s">
        <v>99</v>
      </c>
      <c r="BT656" s="277"/>
      <c r="BW656" s="266">
        <f t="shared" si="429"/>
        <v>0</v>
      </c>
      <c r="BX656" s="266">
        <f t="shared" si="430"/>
        <v>0</v>
      </c>
      <c r="BY656" s="266">
        <f t="shared" si="431"/>
        <v>0</v>
      </c>
      <c r="BZ656" s="266">
        <f t="shared" si="432"/>
        <v>0</v>
      </c>
      <c r="CA656" s="266">
        <f ca="1">N656*IFERROR(INDEX(Algorithms!$G:$G,MATCH($C656&amp;"_Therm Saved per Unit- MLA",Algorithms!$A:$A,0)),0)*X656</f>
        <v>0</v>
      </c>
      <c r="CB656" s="266">
        <f ca="1">O656*IFERROR(INDEX(Algorithms!$G:$G,MATCH($C656&amp;"_Therm Saved per Unit- MLA",Algorithms!$A:$A,0)),0)*Y656</f>
        <v>0</v>
      </c>
      <c r="CC656" s="266">
        <f ca="1">P656*IFERROR(INDEX(Algorithms!$G:$G,MATCH($C656&amp;"_Therm Saved per Unit- MLA",Algorithms!$A:$A,0)),0)*Z656</f>
        <v>0</v>
      </c>
      <c r="CD656" s="266">
        <f ca="1">Q656*IFERROR(INDEX(Algorithms!$G:$G,MATCH($C656&amp;"_Therm Saved per Unit- MLA",Algorithms!$A:$A,0)),0)*AA656</f>
        <v>0</v>
      </c>
      <c r="CE656" s="266">
        <f ca="1">IFERROR(INDEX(Algorithms!$G:$G,MATCH($C656&amp;"_Lifetime (years)",Algorithms!$A:$A,0)),0)</f>
        <v>6</v>
      </c>
      <c r="CF656" s="266">
        <f ca="1">IFERROR(INDEX(Algorithms!$G:$G,MATCH($C656&amp;"_Lifetime (years) - Remaining Years",Algorithms!$A:$A,0)),0)</f>
        <v>0</v>
      </c>
      <c r="CG656" s="266">
        <f t="shared" ca="1" si="433"/>
        <v>0</v>
      </c>
      <c r="CH656" s="266">
        <f t="shared" ca="1" si="434"/>
        <v>0</v>
      </c>
      <c r="CI656" s="266">
        <f t="shared" ca="1" si="435"/>
        <v>0</v>
      </c>
      <c r="CJ656" s="266">
        <f t="shared" ca="1" si="436"/>
        <v>0</v>
      </c>
      <c r="CK656" s="266">
        <f t="shared" si="437"/>
        <v>0</v>
      </c>
      <c r="CL656" s="266">
        <f t="shared" si="438"/>
        <v>0</v>
      </c>
      <c r="CM656" s="266">
        <f t="shared" ca="1" si="439"/>
        <v>0</v>
      </c>
      <c r="CN656" s="266">
        <f t="shared" ca="1" si="440"/>
        <v>0</v>
      </c>
      <c r="CO656" s="266">
        <f ca="1">N656*IFERROR(INDEX(Algorithms!$G:$G,MATCH($C656&amp;"_Therm Saved per Unit- MLA",Algorithms!$A:$A,0)),0)*X656</f>
        <v>0</v>
      </c>
      <c r="CP656" s="266">
        <f ca="1">O656*IFERROR(INDEX(Algorithms!$G:$G,MATCH($C656&amp;"_Therm Saved per Unit- MLA",Algorithms!$A:$A,0)),0)*Y656</f>
        <v>0</v>
      </c>
      <c r="CQ656" s="266">
        <f ca="1">P656*IFERROR(INDEX(Algorithms!$G:$G,MATCH($C656&amp;"_Therm Saved per Unit- MLA",Algorithms!$A:$A,0)),0)*Z656</f>
        <v>0</v>
      </c>
      <c r="CR656" s="266">
        <f ca="1">Q656*IFERROR(INDEX(Algorithms!$G:$G,MATCH($C656&amp;"_Therm Saved per Unit- MLA",Algorithms!$A:$A,0)),0)*AA656</f>
        <v>0</v>
      </c>
      <c r="CS656" s="266">
        <f ca="1">IFERROR(INDEX(Algorithms!$G:$G,MATCH($C656&amp;"_Lifetime (years)",Algorithms!$A:$A,0)),0)</f>
        <v>6</v>
      </c>
      <c r="CT656" s="266">
        <f ca="1">IFERROR(INDEX(Algorithms!$G:$G,MATCH($C656&amp;"_Lifetime (years) - Remaining Years",Algorithms!$A:$A,0)),0)</f>
        <v>0</v>
      </c>
      <c r="CU656" s="266">
        <f t="shared" ca="1" si="441"/>
        <v>0</v>
      </c>
      <c r="CV656" s="266">
        <f t="shared" ca="1" si="442"/>
        <v>0</v>
      </c>
      <c r="CW656" s="266">
        <f t="shared" ca="1" si="443"/>
        <v>0</v>
      </c>
      <c r="CX656" s="266">
        <f t="shared" ca="1" si="444"/>
        <v>0</v>
      </c>
    </row>
    <row r="657" spans="2:102" s="47" customFormat="1" ht="18" customHeight="1" x14ac:dyDescent="0.25">
      <c r="B657" t="str">
        <f t="shared" si="445"/>
        <v>NSG_Business_Small/Mid-Size Business_Rebates_Steam Traps_Test_CI</v>
      </c>
      <c r="C657" s="47" t="str">
        <f t="shared" si="406"/>
        <v>Steam Traps_Test_CI</v>
      </c>
      <c r="D657" s="270" t="s">
        <v>1787</v>
      </c>
      <c r="E657" s="270" t="s">
        <v>3</v>
      </c>
      <c r="F657" s="270" t="s">
        <v>1432</v>
      </c>
      <c r="G657" s="270" t="s">
        <v>1429</v>
      </c>
      <c r="H657" s="270" t="s">
        <v>644</v>
      </c>
      <c r="I657" s="270" t="s">
        <v>1097</v>
      </c>
      <c r="J657" s="270" t="s">
        <v>1159</v>
      </c>
      <c r="K657" s="263">
        <v>1</v>
      </c>
      <c r="L657" s="263">
        <f ca="1">IFERROR(INDEX(Algorithms!J:J,MATCH($C657&amp;"_Therm Saved per Unit",Algorithms!$A:$A,0)),"n/a")</f>
        <v>0</v>
      </c>
      <c r="M657" s="263" t="str">
        <f>IFERROR(INDEX('Measure Level Detail'!$N:$N,MATCH($B657,'Measure Level Detail'!$B:$B,0)),0)</f>
        <v>each</v>
      </c>
      <c r="N657" s="271">
        <f>IFERROR(INDEX('Measure Level Detail'!$P:$P,MATCH($B657&amp;"_"&amp;N$3,'Measure Level Detail'!$C:$C,0)),0)</f>
        <v>0</v>
      </c>
      <c r="O657" s="271">
        <f>IFERROR(INDEX('Measure Level Detail'!$P:$P,MATCH($B657&amp;"_"&amp;O$3,'Measure Level Detail'!$C:$C,0)),0)</f>
        <v>0</v>
      </c>
      <c r="P657" s="271">
        <f>IFERROR(INDEX('Measure Level Detail'!$P:$P,MATCH($B657&amp;"_"&amp;P$3,'Measure Level Detail'!$C:$C,0)),0)</f>
        <v>0</v>
      </c>
      <c r="Q657" s="271">
        <f>IFERROR(INDEX('Measure Level Detail'!$P:$P,MATCH($B657&amp;"_"&amp;Q$3,'Measure Level Detail'!$C:$C,0)),0)</f>
        <v>0</v>
      </c>
      <c r="R657" s="263">
        <f ca="1">IFERROR(INDEX(Algorithms!K:K,MATCH($C657&amp;"_Therm Saved per Unit",Algorithms!$A:$A,0)),"n/a")</f>
        <v>0</v>
      </c>
      <c r="S657" s="262"/>
      <c r="T657" s="272">
        <v>0</v>
      </c>
      <c r="U657" s="272">
        <v>0</v>
      </c>
      <c r="V657" s="272">
        <v>0</v>
      </c>
      <c r="W657" s="272">
        <v>0</v>
      </c>
      <c r="X657" s="276">
        <v>0.93</v>
      </c>
      <c r="Y657" s="276">
        <v>0.93</v>
      </c>
      <c r="Z657" s="276">
        <v>0.93</v>
      </c>
      <c r="AA657" s="276">
        <v>0.93</v>
      </c>
      <c r="AB657" s="266">
        <f t="shared" si="407"/>
        <v>0</v>
      </c>
      <c r="AC657" s="266">
        <f t="shared" si="408"/>
        <v>0</v>
      </c>
      <c r="AD657" s="266">
        <f t="shared" si="409"/>
        <v>0</v>
      </c>
      <c r="AE657" s="266">
        <f t="shared" si="410"/>
        <v>0</v>
      </c>
      <c r="AF657" s="266">
        <f t="shared" si="411"/>
        <v>0</v>
      </c>
      <c r="AG657" s="274">
        <v>0.93</v>
      </c>
      <c r="AH657" s="274">
        <v>0.93</v>
      </c>
      <c r="AI657" s="274">
        <v>0.93</v>
      </c>
      <c r="AJ657" s="274">
        <v>0.93</v>
      </c>
      <c r="AK657" s="274">
        <f t="shared" si="412"/>
        <v>0.93</v>
      </c>
      <c r="AL657" s="274">
        <f t="shared" si="413"/>
        <v>0.93</v>
      </c>
      <c r="AM657" s="274">
        <f t="shared" si="414"/>
        <v>0.93</v>
      </c>
      <c r="AN657" s="274">
        <f t="shared" si="415"/>
        <v>0.93</v>
      </c>
      <c r="AO657" s="262"/>
      <c r="AP657" s="262"/>
      <c r="AQ657" s="267">
        <v>0</v>
      </c>
      <c r="AR657" s="262"/>
      <c r="AS657" s="266">
        <f t="shared" si="416"/>
        <v>0</v>
      </c>
      <c r="AT657" s="264">
        <f t="shared" si="417"/>
        <v>0</v>
      </c>
      <c r="AU657" s="262"/>
      <c r="AV657" s="262"/>
      <c r="AW657" s="265">
        <v>0</v>
      </c>
      <c r="AX657" s="164" t="s">
        <v>1469</v>
      </c>
      <c r="AY657" s="266">
        <v>0</v>
      </c>
      <c r="AZ657" s="266">
        <f t="shared" si="418"/>
        <v>0</v>
      </c>
      <c r="BA657" s="264">
        <f t="shared" si="419"/>
        <v>0</v>
      </c>
      <c r="BB657" s="262"/>
      <c r="BC657" s="262"/>
      <c r="BD657" s="265">
        <f ca="1">IFERROR(INDEX(Algorithms!$G:$G,MATCH($C657&amp;"_Therm Saved per Unit",Algorithms!$A:$A,0)),0)</f>
        <v>0</v>
      </c>
      <c r="BE657" s="164" t="str">
        <f ca="1">IFERROR(INDEX('v12 Revisions'!$P$29:$P$186, MATCH('Measure-Level Adj Gas'!$L657, 'v12 Revisions'!$D$29:$D$186,0)),"")</f>
        <v/>
      </c>
      <c r="BF657" s="266">
        <f t="shared" ca="1" si="420"/>
        <v>0</v>
      </c>
      <c r="BG657" s="264">
        <f t="shared" ca="1" si="421"/>
        <v>0</v>
      </c>
      <c r="BH657" s="262"/>
      <c r="BI657" s="262"/>
      <c r="BJ657" s="265">
        <f ca="1">IFERROR(INDEX(Algorithms!$G:$G,MATCH($C657&amp;"_Therm Saved per Unit",Algorithms!$A:$A,0)),0)</f>
        <v>0</v>
      </c>
      <c r="BK657" s="164"/>
      <c r="BL657" s="266">
        <f t="shared" ca="1" si="422"/>
        <v>0</v>
      </c>
      <c r="BM657" s="264">
        <f t="shared" ca="1" si="423"/>
        <v>0</v>
      </c>
      <c r="BN657" s="266">
        <f t="shared" si="424"/>
        <v>0</v>
      </c>
      <c r="BO657" s="266">
        <f t="shared" si="425"/>
        <v>0</v>
      </c>
      <c r="BP657" s="266">
        <f t="shared" ca="1" si="426"/>
        <v>0</v>
      </c>
      <c r="BQ657" s="266">
        <f t="shared" ca="1" si="427"/>
        <v>0</v>
      </c>
      <c r="BR657" s="268">
        <f t="shared" ca="1" si="428"/>
        <v>0</v>
      </c>
      <c r="BS657" s="262" t="s">
        <v>99</v>
      </c>
      <c r="BT657" s="277"/>
      <c r="BW657" s="266">
        <f t="shared" si="429"/>
        <v>0</v>
      </c>
      <c r="BX657" s="266">
        <f t="shared" si="430"/>
        <v>0</v>
      </c>
      <c r="BY657" s="266">
        <f t="shared" si="431"/>
        <v>0</v>
      </c>
      <c r="BZ657" s="266">
        <f t="shared" si="432"/>
        <v>0</v>
      </c>
      <c r="CA657" s="266">
        <f ca="1">N657*IFERROR(INDEX(Algorithms!$G:$G,MATCH($C657&amp;"_Therm Saved per Unit- MLA",Algorithms!$A:$A,0)),0)*X657</f>
        <v>0</v>
      </c>
      <c r="CB657" s="266">
        <f ca="1">O657*IFERROR(INDEX(Algorithms!$G:$G,MATCH($C657&amp;"_Therm Saved per Unit- MLA",Algorithms!$A:$A,0)),0)*Y657</f>
        <v>0</v>
      </c>
      <c r="CC657" s="266">
        <f ca="1">P657*IFERROR(INDEX(Algorithms!$G:$G,MATCH($C657&amp;"_Therm Saved per Unit- MLA",Algorithms!$A:$A,0)),0)*Z657</f>
        <v>0</v>
      </c>
      <c r="CD657" s="266">
        <f ca="1">Q657*IFERROR(INDEX(Algorithms!$G:$G,MATCH($C657&amp;"_Therm Saved per Unit- MLA",Algorithms!$A:$A,0)),0)*AA657</f>
        <v>0</v>
      </c>
      <c r="CE657" s="266">
        <f ca="1">IFERROR(INDEX(Algorithms!$G:$G,MATCH($C657&amp;"_Lifetime (years)",Algorithms!$A:$A,0)),0)</f>
        <v>3</v>
      </c>
      <c r="CF657" s="266">
        <f ca="1">IFERROR(INDEX(Algorithms!$G:$G,MATCH($C657&amp;"_Lifetime (years) - Remaining Years",Algorithms!$A:$A,0)),0)</f>
        <v>0</v>
      </c>
      <c r="CG657" s="266">
        <f t="shared" ca="1" si="433"/>
        <v>0</v>
      </c>
      <c r="CH657" s="266">
        <f t="shared" ca="1" si="434"/>
        <v>0</v>
      </c>
      <c r="CI657" s="266">
        <f t="shared" ca="1" si="435"/>
        <v>0</v>
      </c>
      <c r="CJ657" s="266">
        <f t="shared" ca="1" si="436"/>
        <v>0</v>
      </c>
      <c r="CK657" s="266">
        <f t="shared" si="437"/>
        <v>0</v>
      </c>
      <c r="CL657" s="266">
        <f t="shared" si="438"/>
        <v>0</v>
      </c>
      <c r="CM657" s="266">
        <f t="shared" ca="1" si="439"/>
        <v>0</v>
      </c>
      <c r="CN657" s="266">
        <f t="shared" ca="1" si="440"/>
        <v>0</v>
      </c>
      <c r="CO657" s="266">
        <f ca="1">N657*IFERROR(INDEX(Algorithms!$G:$G,MATCH($C657&amp;"_Therm Saved per Unit- MLA",Algorithms!$A:$A,0)),0)*X657</f>
        <v>0</v>
      </c>
      <c r="CP657" s="266">
        <f ca="1">O657*IFERROR(INDEX(Algorithms!$G:$G,MATCH($C657&amp;"_Therm Saved per Unit- MLA",Algorithms!$A:$A,0)),0)*Y657</f>
        <v>0</v>
      </c>
      <c r="CQ657" s="266">
        <f ca="1">P657*IFERROR(INDEX(Algorithms!$G:$G,MATCH($C657&amp;"_Therm Saved per Unit- MLA",Algorithms!$A:$A,0)),0)*Z657</f>
        <v>0</v>
      </c>
      <c r="CR657" s="266">
        <f ca="1">Q657*IFERROR(INDEX(Algorithms!$G:$G,MATCH($C657&amp;"_Therm Saved per Unit- MLA",Algorithms!$A:$A,0)),0)*AA657</f>
        <v>0</v>
      </c>
      <c r="CS657" s="266">
        <f ca="1">IFERROR(INDEX(Algorithms!$G:$G,MATCH($C657&amp;"_Lifetime (years)",Algorithms!$A:$A,0)),0)</f>
        <v>3</v>
      </c>
      <c r="CT657" s="266">
        <f ca="1">IFERROR(INDEX(Algorithms!$G:$G,MATCH($C657&amp;"_Lifetime (years) - Remaining Years",Algorithms!$A:$A,0)),0)</f>
        <v>0</v>
      </c>
      <c r="CU657" s="266">
        <f t="shared" ca="1" si="441"/>
        <v>0</v>
      </c>
      <c r="CV657" s="266">
        <f t="shared" ca="1" si="442"/>
        <v>0</v>
      </c>
      <c r="CW657" s="266">
        <f t="shared" ca="1" si="443"/>
        <v>0</v>
      </c>
      <c r="CX657" s="266">
        <f t="shared" ca="1" si="444"/>
        <v>0</v>
      </c>
    </row>
    <row r="658" spans="2:102" s="47" customFormat="1" ht="18" customHeight="1" x14ac:dyDescent="0.25">
      <c r="B658" t="str">
        <f t="shared" si="445"/>
        <v>NSG_Business_Small/Mid-Size Business_Rebates_Water Heater_Storage 88% TE ≥75MBh_CI</v>
      </c>
      <c r="C658" s="47" t="str">
        <f t="shared" si="406"/>
        <v>Water Heater_Storage 88% TE ≥75MBh_CI</v>
      </c>
      <c r="D658" s="270" t="s">
        <v>1787</v>
      </c>
      <c r="E658" s="270" t="s">
        <v>3</v>
      </c>
      <c r="F658" s="270" t="s">
        <v>1432</v>
      </c>
      <c r="G658" s="270" t="s">
        <v>1429</v>
      </c>
      <c r="H658" s="270" t="s">
        <v>8</v>
      </c>
      <c r="I658" s="270" t="s">
        <v>1262</v>
      </c>
      <c r="J658" s="270" t="s">
        <v>1159</v>
      </c>
      <c r="K658" s="263">
        <v>1</v>
      </c>
      <c r="L658" s="263" t="str">
        <f ca="1">IFERROR(INDEX(Algorithms!J:J,MATCH($C658&amp;"_Therm Saved per Unit",Algorithms!$A:$A,0)),"n/a")</f>
        <v>4.3.1</v>
      </c>
      <c r="M658" s="263" t="str">
        <f>IFERROR(INDEX('Measure Level Detail'!$N:$N,MATCH($B658,'Measure Level Detail'!$B:$B,0)),0)</f>
        <v>each</v>
      </c>
      <c r="N658" s="271">
        <f>IFERROR(INDEX('Measure Level Detail'!$P:$P,MATCH($B658&amp;"_"&amp;N$3,'Measure Level Detail'!$C:$C,0)),0)</f>
        <v>0</v>
      </c>
      <c r="O658" s="271">
        <f>IFERROR(INDEX('Measure Level Detail'!$P:$P,MATCH($B658&amp;"_"&amp;O$3,'Measure Level Detail'!$C:$C,0)),0)</f>
        <v>0</v>
      </c>
      <c r="P658" s="271">
        <f>IFERROR(INDEX('Measure Level Detail'!$P:$P,MATCH($B658&amp;"_"&amp;P$3,'Measure Level Detail'!$C:$C,0)),0)</f>
        <v>0</v>
      </c>
      <c r="Q658" s="271">
        <f>IFERROR(INDEX('Measure Level Detail'!$P:$P,MATCH($B658&amp;"_"&amp;Q$3,'Measure Level Detail'!$C:$C,0)),0)</f>
        <v>0</v>
      </c>
      <c r="R658" s="263" t="str">
        <f ca="1">IFERROR(INDEX(Algorithms!K:K,MATCH($C658&amp;"_Therm Saved per Unit",Algorithms!$A:$A,0)),"n/a")</f>
        <v>CI-HWE-STWH-V10-240101</v>
      </c>
      <c r="S658" s="262"/>
      <c r="T658" s="272">
        <v>135.66827090062347</v>
      </c>
      <c r="U658" s="272">
        <v>135.66827090062347</v>
      </c>
      <c r="V658" s="272">
        <v>135.66827090062347</v>
      </c>
      <c r="W658" s="272">
        <v>135.66827090062347</v>
      </c>
      <c r="X658" s="276">
        <v>0.93</v>
      </c>
      <c r="Y658" s="276">
        <v>0.93</v>
      </c>
      <c r="Z658" s="276">
        <v>0.93</v>
      </c>
      <c r="AA658" s="276">
        <v>0.93</v>
      </c>
      <c r="AB658" s="266">
        <f t="shared" si="407"/>
        <v>0</v>
      </c>
      <c r="AC658" s="266">
        <f t="shared" si="408"/>
        <v>0</v>
      </c>
      <c r="AD658" s="266">
        <f t="shared" si="409"/>
        <v>0</v>
      </c>
      <c r="AE658" s="266">
        <f t="shared" si="410"/>
        <v>0</v>
      </c>
      <c r="AF658" s="266">
        <f t="shared" si="411"/>
        <v>0</v>
      </c>
      <c r="AG658" s="274">
        <v>0.93</v>
      </c>
      <c r="AH658" s="274">
        <v>0.93</v>
      </c>
      <c r="AI658" s="274">
        <v>0.93</v>
      </c>
      <c r="AJ658" s="274">
        <v>0.93</v>
      </c>
      <c r="AK658" s="274">
        <f t="shared" si="412"/>
        <v>0.93</v>
      </c>
      <c r="AL658" s="274">
        <f t="shared" si="413"/>
        <v>0.93</v>
      </c>
      <c r="AM658" s="274">
        <f t="shared" si="414"/>
        <v>0.93</v>
      </c>
      <c r="AN658" s="274">
        <f t="shared" si="415"/>
        <v>0.93</v>
      </c>
      <c r="AO658" s="262"/>
      <c r="AP658" s="262"/>
      <c r="AQ658" s="267">
        <v>139.65886152562348</v>
      </c>
      <c r="AR658" s="262"/>
      <c r="AS658" s="266">
        <f t="shared" si="416"/>
        <v>0</v>
      </c>
      <c r="AT658" s="264">
        <f t="shared" si="417"/>
        <v>0</v>
      </c>
      <c r="AU658" s="262"/>
      <c r="AV658" s="262"/>
      <c r="AW658" s="265">
        <v>139.65886152562348</v>
      </c>
      <c r="AX658" s="164" t="s">
        <v>1469</v>
      </c>
      <c r="AY658" s="266">
        <v>0</v>
      </c>
      <c r="AZ658" s="266">
        <f t="shared" si="418"/>
        <v>0</v>
      </c>
      <c r="BA658" s="264">
        <f t="shared" si="419"/>
        <v>0</v>
      </c>
      <c r="BB658" s="262"/>
      <c r="BC658" s="262"/>
      <c r="BD658" s="265">
        <f ca="1">IFERROR(INDEX(Algorithms!$G:$G,MATCH($C658&amp;"_Therm Saved per Unit",Algorithms!$A:$A,0)),0)</f>
        <v>139.65886152562348</v>
      </c>
      <c r="BE658" s="164" t="str">
        <f ca="1">IFERROR(INDEX('v12 Revisions'!$P$29:$P$186, MATCH('Measure-Level Adj Gas'!$L658, 'v12 Revisions'!$D$29:$D$186,0)),"")</f>
        <v>n/a - language only.</v>
      </c>
      <c r="BF658" s="266">
        <f t="shared" ca="1" si="420"/>
        <v>0</v>
      </c>
      <c r="BG658" s="264">
        <f t="shared" ca="1" si="421"/>
        <v>0</v>
      </c>
      <c r="BH658" s="262"/>
      <c r="BI658" s="262"/>
      <c r="BJ658" s="265">
        <f ca="1">IFERROR(INDEX(Algorithms!$G:$G,MATCH($C658&amp;"_Therm Saved per Unit",Algorithms!$A:$A,0)),0)</f>
        <v>139.65886152562348</v>
      </c>
      <c r="BK658" s="164"/>
      <c r="BL658" s="266">
        <f t="shared" ca="1" si="422"/>
        <v>0</v>
      </c>
      <c r="BM658" s="264">
        <f t="shared" ca="1" si="423"/>
        <v>0</v>
      </c>
      <c r="BN658" s="266">
        <f t="shared" si="424"/>
        <v>0</v>
      </c>
      <c r="BO658" s="266">
        <f t="shared" si="425"/>
        <v>0</v>
      </c>
      <c r="BP658" s="266">
        <f t="shared" ca="1" si="426"/>
        <v>0</v>
      </c>
      <c r="BQ658" s="266">
        <f t="shared" ca="1" si="427"/>
        <v>0</v>
      </c>
      <c r="BR658" s="268">
        <f t="shared" ca="1" si="428"/>
        <v>0</v>
      </c>
      <c r="BS658" s="262" t="s">
        <v>99</v>
      </c>
      <c r="BT658" s="277"/>
      <c r="BW658" s="266">
        <f t="shared" si="429"/>
        <v>0</v>
      </c>
      <c r="BX658" s="266">
        <f t="shared" si="430"/>
        <v>0</v>
      </c>
      <c r="BY658" s="266">
        <f t="shared" si="431"/>
        <v>0</v>
      </c>
      <c r="BZ658" s="266">
        <f t="shared" si="432"/>
        <v>0</v>
      </c>
      <c r="CA658" s="266">
        <f ca="1">N658*IFERROR(INDEX(Algorithms!$G:$G,MATCH($C658&amp;"_Therm Saved per Unit- MLA",Algorithms!$A:$A,0)),0)*X658</f>
        <v>0</v>
      </c>
      <c r="CB658" s="266">
        <f ca="1">O658*IFERROR(INDEX(Algorithms!$G:$G,MATCH($C658&amp;"_Therm Saved per Unit- MLA",Algorithms!$A:$A,0)),0)*Y658</f>
        <v>0</v>
      </c>
      <c r="CC658" s="266">
        <f ca="1">P658*IFERROR(INDEX(Algorithms!$G:$G,MATCH($C658&amp;"_Therm Saved per Unit- MLA",Algorithms!$A:$A,0)),0)*Z658</f>
        <v>0</v>
      </c>
      <c r="CD658" s="266">
        <f ca="1">Q658*IFERROR(INDEX(Algorithms!$G:$G,MATCH($C658&amp;"_Therm Saved per Unit- MLA",Algorithms!$A:$A,0)),0)*AA658</f>
        <v>0</v>
      </c>
      <c r="CE658" s="266">
        <f ca="1">IFERROR(INDEX(Algorithms!$G:$G,MATCH($C658&amp;"_Lifetime (years)",Algorithms!$A:$A,0)),0)</f>
        <v>15</v>
      </c>
      <c r="CF658" s="266">
        <f ca="1">IFERROR(INDEX(Algorithms!$G:$G,MATCH($C658&amp;"_Lifetime (years) - Remaining Years",Algorithms!$A:$A,0)),0)</f>
        <v>0</v>
      </c>
      <c r="CG658" s="266">
        <f t="shared" ca="1" si="433"/>
        <v>0</v>
      </c>
      <c r="CH658" s="266">
        <f t="shared" ca="1" si="434"/>
        <v>0</v>
      </c>
      <c r="CI658" s="266">
        <f t="shared" ca="1" si="435"/>
        <v>0</v>
      </c>
      <c r="CJ658" s="266">
        <f t="shared" ca="1" si="436"/>
        <v>0</v>
      </c>
      <c r="CK658" s="266">
        <f t="shared" si="437"/>
        <v>0</v>
      </c>
      <c r="CL658" s="266">
        <f t="shared" si="438"/>
        <v>0</v>
      </c>
      <c r="CM658" s="266">
        <f t="shared" ca="1" si="439"/>
        <v>0</v>
      </c>
      <c r="CN658" s="266">
        <f t="shared" ca="1" si="440"/>
        <v>0</v>
      </c>
      <c r="CO658" s="266">
        <f ca="1">N658*IFERROR(INDEX(Algorithms!$G:$G,MATCH($C658&amp;"_Therm Saved per Unit- MLA",Algorithms!$A:$A,0)),0)*X658</f>
        <v>0</v>
      </c>
      <c r="CP658" s="266">
        <f ca="1">O658*IFERROR(INDEX(Algorithms!$G:$G,MATCH($C658&amp;"_Therm Saved per Unit- MLA",Algorithms!$A:$A,0)),0)*Y658</f>
        <v>0</v>
      </c>
      <c r="CQ658" s="266">
        <f ca="1">P658*IFERROR(INDEX(Algorithms!$G:$G,MATCH($C658&amp;"_Therm Saved per Unit- MLA",Algorithms!$A:$A,0)),0)*Z658</f>
        <v>0</v>
      </c>
      <c r="CR658" s="266">
        <f ca="1">Q658*IFERROR(INDEX(Algorithms!$G:$G,MATCH($C658&amp;"_Therm Saved per Unit- MLA",Algorithms!$A:$A,0)),0)*AA658</f>
        <v>0</v>
      </c>
      <c r="CS658" s="266">
        <f ca="1">IFERROR(INDEX(Algorithms!$G:$G,MATCH($C658&amp;"_Lifetime (years)",Algorithms!$A:$A,0)),0)</f>
        <v>15</v>
      </c>
      <c r="CT658" s="266">
        <f ca="1">IFERROR(INDEX(Algorithms!$G:$G,MATCH($C658&amp;"_Lifetime (years) - Remaining Years",Algorithms!$A:$A,0)),0)</f>
        <v>0</v>
      </c>
      <c r="CU658" s="266">
        <f t="shared" ca="1" si="441"/>
        <v>0</v>
      </c>
      <c r="CV658" s="266">
        <f t="shared" ca="1" si="442"/>
        <v>0</v>
      </c>
      <c r="CW658" s="266">
        <f t="shared" ca="1" si="443"/>
        <v>0</v>
      </c>
      <c r="CX658" s="266">
        <f t="shared" ca="1" si="444"/>
        <v>0</v>
      </c>
    </row>
    <row r="659" spans="2:102" s="47" customFormat="1" ht="18" customHeight="1" x14ac:dyDescent="0.25">
      <c r="B659" t="str">
        <f t="shared" si="445"/>
        <v>NSG_Business_Small/Mid-Size Business_Partner Trade Ally Rebate_Boiler Reset Controls_0_CI</v>
      </c>
      <c r="C659" s="47" t="str">
        <f t="shared" si="406"/>
        <v>Boiler Reset Controls_0_CI</v>
      </c>
      <c r="D659" s="270" t="s">
        <v>1787</v>
      </c>
      <c r="E659" s="270" t="s">
        <v>3</v>
      </c>
      <c r="F659" s="270" t="s">
        <v>1432</v>
      </c>
      <c r="G659" s="270" t="s">
        <v>1799</v>
      </c>
      <c r="H659" s="270" t="s">
        <v>978</v>
      </c>
      <c r="I659" s="270">
        <v>0</v>
      </c>
      <c r="J659" s="270" t="s">
        <v>1159</v>
      </c>
      <c r="K659" s="263">
        <v>1</v>
      </c>
      <c r="L659" s="263" t="str">
        <f ca="1">IFERROR(INDEX(Algorithms!J:J,MATCH($C659&amp;"_Therm Saved per Unit",Algorithms!$A:$A,0)),"n/a")</f>
        <v>4.4.4</v>
      </c>
      <c r="M659" s="263" t="str">
        <f>IFERROR(INDEX('Measure Level Detail'!$N:$N,MATCH($B659,'Measure Level Detail'!$B:$B,0)),0)</f>
        <v>MBH</v>
      </c>
      <c r="N659" s="271">
        <f>IFERROR(INDEX('Measure Level Detail'!$P:$P,MATCH($B659&amp;"_"&amp;N$3,'Measure Level Detail'!$C:$C,0)),0)</f>
        <v>0</v>
      </c>
      <c r="O659" s="271">
        <f>IFERROR(INDEX('Measure Level Detail'!$P:$P,MATCH($B659&amp;"_"&amp;O$3,'Measure Level Detail'!$C:$C,0)),0)</f>
        <v>0</v>
      </c>
      <c r="P659" s="271">
        <f>IFERROR(INDEX('Measure Level Detail'!$P:$P,MATCH($B659&amp;"_"&amp;P$3,'Measure Level Detail'!$C:$C,0)),0)</f>
        <v>0</v>
      </c>
      <c r="Q659" s="271">
        <f>IFERROR(INDEX('Measure Level Detail'!$P:$P,MATCH($B659&amp;"_"&amp;Q$3,'Measure Level Detail'!$C:$C,0)),0)</f>
        <v>0</v>
      </c>
      <c r="R659" s="263" t="str">
        <f ca="1">IFERROR(INDEX(Algorithms!K:K,MATCH($C659&amp;"_Therm Saved per Unit",Algorithms!$A:$A,0)),"n/a")</f>
        <v>CI-HVC-BLRC-V05-240101</v>
      </c>
      <c r="S659" s="262"/>
      <c r="T659" s="272">
        <v>1.3424</v>
      </c>
      <c r="U659" s="272">
        <v>1.3424</v>
      </c>
      <c r="V659" s="272">
        <v>1.3424</v>
      </c>
      <c r="W659" s="272">
        <v>1.3424</v>
      </c>
      <c r="X659" s="276">
        <v>0.93</v>
      </c>
      <c r="Y659" s="276">
        <v>0.93</v>
      </c>
      <c r="Z659" s="276">
        <v>0.93</v>
      </c>
      <c r="AA659" s="276">
        <v>0.93</v>
      </c>
      <c r="AB659" s="266">
        <f t="shared" si="407"/>
        <v>0</v>
      </c>
      <c r="AC659" s="266">
        <f t="shared" si="408"/>
        <v>0</v>
      </c>
      <c r="AD659" s="266">
        <f t="shared" si="409"/>
        <v>0</v>
      </c>
      <c r="AE659" s="266">
        <f t="shared" si="410"/>
        <v>0</v>
      </c>
      <c r="AF659" s="266">
        <f t="shared" si="411"/>
        <v>0</v>
      </c>
      <c r="AG659" s="274">
        <v>0.93</v>
      </c>
      <c r="AH659" s="274">
        <v>0.93</v>
      </c>
      <c r="AI659" s="274">
        <v>0.93</v>
      </c>
      <c r="AJ659" s="274">
        <v>0.93</v>
      </c>
      <c r="AK659" s="274">
        <f t="shared" si="412"/>
        <v>0.93</v>
      </c>
      <c r="AL659" s="274">
        <f t="shared" si="413"/>
        <v>0.93</v>
      </c>
      <c r="AM659" s="274">
        <f t="shared" si="414"/>
        <v>0.93</v>
      </c>
      <c r="AN659" s="274">
        <f t="shared" si="415"/>
        <v>0.93</v>
      </c>
      <c r="AO659" s="262"/>
      <c r="AP659" s="262"/>
      <c r="AQ659" s="267">
        <v>1.3424</v>
      </c>
      <c r="AR659" s="262"/>
      <c r="AS659" s="266">
        <f t="shared" si="416"/>
        <v>0</v>
      </c>
      <c r="AT659" s="264">
        <f t="shared" si="417"/>
        <v>0</v>
      </c>
      <c r="AU659" s="262"/>
      <c r="AV659" s="262"/>
      <c r="AW659" s="265">
        <v>1.3424</v>
      </c>
      <c r="AX659" s="164" t="s">
        <v>1469</v>
      </c>
      <c r="AY659" s="266">
        <v>0</v>
      </c>
      <c r="AZ659" s="266">
        <f t="shared" si="418"/>
        <v>0</v>
      </c>
      <c r="BA659" s="264">
        <f t="shared" si="419"/>
        <v>0</v>
      </c>
      <c r="BB659" s="262"/>
      <c r="BC659" s="262"/>
      <c r="BD659" s="265">
        <f ca="1">IFERROR(INDEX(Algorithms!$G:$G,MATCH($C659&amp;"_Therm Saved per Unit",Algorithms!$A:$A,0)),0)</f>
        <v>1.3424</v>
      </c>
      <c r="BE659" s="164" t="str">
        <f ca="1">IFERROR(INDEX('v12 Revisions'!$P$29:$P$186, MATCH('Measure-Level Adj Gas'!$L659, 'v12 Revisions'!$D$29:$D$186,0)),"")</f>
        <v/>
      </c>
      <c r="BF659" s="266">
        <f t="shared" ca="1" si="420"/>
        <v>0</v>
      </c>
      <c r="BG659" s="264">
        <f t="shared" ca="1" si="421"/>
        <v>0</v>
      </c>
      <c r="BH659" s="262"/>
      <c r="BI659" s="262"/>
      <c r="BJ659" s="265">
        <f ca="1">IFERROR(INDEX(Algorithms!$G:$G,MATCH($C659&amp;"_Therm Saved per Unit",Algorithms!$A:$A,0)),0)</f>
        <v>1.3424</v>
      </c>
      <c r="BK659" s="164"/>
      <c r="BL659" s="266">
        <f t="shared" ca="1" si="422"/>
        <v>0</v>
      </c>
      <c r="BM659" s="264">
        <f t="shared" ca="1" si="423"/>
        <v>0</v>
      </c>
      <c r="BN659" s="266">
        <f t="shared" si="424"/>
        <v>0</v>
      </c>
      <c r="BO659" s="266">
        <f t="shared" si="425"/>
        <v>0</v>
      </c>
      <c r="BP659" s="266">
        <f t="shared" ca="1" si="426"/>
        <v>0</v>
      </c>
      <c r="BQ659" s="266">
        <f t="shared" ca="1" si="427"/>
        <v>0</v>
      </c>
      <c r="BR659" s="268">
        <f t="shared" ca="1" si="428"/>
        <v>0</v>
      </c>
      <c r="BS659" s="262" t="s">
        <v>99</v>
      </c>
      <c r="BT659" s="277"/>
      <c r="BW659" s="266">
        <f t="shared" si="429"/>
        <v>0</v>
      </c>
      <c r="BX659" s="266">
        <f t="shared" si="430"/>
        <v>0</v>
      </c>
      <c r="BY659" s="266">
        <f t="shared" si="431"/>
        <v>0</v>
      </c>
      <c r="BZ659" s="266">
        <f t="shared" si="432"/>
        <v>0</v>
      </c>
      <c r="CA659" s="266">
        <f ca="1">N659*IFERROR(INDEX(Algorithms!$G:$G,MATCH($C659&amp;"_Therm Saved per Unit- MLA",Algorithms!$A:$A,0)),0)*X659</f>
        <v>0</v>
      </c>
      <c r="CB659" s="266">
        <f ca="1">O659*IFERROR(INDEX(Algorithms!$G:$G,MATCH($C659&amp;"_Therm Saved per Unit- MLA",Algorithms!$A:$A,0)),0)*Y659</f>
        <v>0</v>
      </c>
      <c r="CC659" s="266">
        <f ca="1">P659*IFERROR(INDEX(Algorithms!$G:$G,MATCH($C659&amp;"_Therm Saved per Unit- MLA",Algorithms!$A:$A,0)),0)*Z659</f>
        <v>0</v>
      </c>
      <c r="CD659" s="266">
        <f ca="1">Q659*IFERROR(INDEX(Algorithms!$G:$G,MATCH($C659&amp;"_Therm Saved per Unit- MLA",Algorithms!$A:$A,0)),0)*AA659</f>
        <v>0</v>
      </c>
      <c r="CE659" s="266">
        <f ca="1">IFERROR(INDEX(Algorithms!$G:$G,MATCH($C659&amp;"_Lifetime (years)",Algorithms!$A:$A,0)),0)</f>
        <v>16</v>
      </c>
      <c r="CF659" s="266">
        <f ca="1">IFERROR(INDEX(Algorithms!$G:$G,MATCH($C659&amp;"_Lifetime (years) - Remaining Years",Algorithms!$A:$A,0)),0)</f>
        <v>0</v>
      </c>
      <c r="CG659" s="266">
        <f t="shared" ca="1" si="433"/>
        <v>0</v>
      </c>
      <c r="CH659" s="266">
        <f t="shared" ca="1" si="434"/>
        <v>0</v>
      </c>
      <c r="CI659" s="266">
        <f t="shared" ca="1" si="435"/>
        <v>0</v>
      </c>
      <c r="CJ659" s="266">
        <f t="shared" ca="1" si="436"/>
        <v>0</v>
      </c>
      <c r="CK659" s="266">
        <f t="shared" si="437"/>
        <v>0</v>
      </c>
      <c r="CL659" s="266">
        <f t="shared" si="438"/>
        <v>0</v>
      </c>
      <c r="CM659" s="266">
        <f t="shared" ca="1" si="439"/>
        <v>0</v>
      </c>
      <c r="CN659" s="266">
        <f t="shared" ca="1" si="440"/>
        <v>0</v>
      </c>
      <c r="CO659" s="266">
        <f ca="1">N659*IFERROR(INDEX(Algorithms!$G:$G,MATCH($C659&amp;"_Therm Saved per Unit- MLA",Algorithms!$A:$A,0)),0)*X659</f>
        <v>0</v>
      </c>
      <c r="CP659" s="266">
        <f ca="1">O659*IFERROR(INDEX(Algorithms!$G:$G,MATCH($C659&amp;"_Therm Saved per Unit- MLA",Algorithms!$A:$A,0)),0)*Y659</f>
        <v>0</v>
      </c>
      <c r="CQ659" s="266">
        <f ca="1">P659*IFERROR(INDEX(Algorithms!$G:$G,MATCH($C659&amp;"_Therm Saved per Unit- MLA",Algorithms!$A:$A,0)),0)*Z659</f>
        <v>0</v>
      </c>
      <c r="CR659" s="266">
        <f ca="1">Q659*IFERROR(INDEX(Algorithms!$G:$G,MATCH($C659&amp;"_Therm Saved per Unit- MLA",Algorithms!$A:$A,0)),0)*AA659</f>
        <v>0</v>
      </c>
      <c r="CS659" s="266">
        <f ca="1">IFERROR(INDEX(Algorithms!$G:$G,MATCH($C659&amp;"_Lifetime (years)",Algorithms!$A:$A,0)),0)</f>
        <v>16</v>
      </c>
      <c r="CT659" s="266">
        <f ca="1">IFERROR(INDEX(Algorithms!$G:$G,MATCH($C659&amp;"_Lifetime (years) - Remaining Years",Algorithms!$A:$A,0)),0)</f>
        <v>0</v>
      </c>
      <c r="CU659" s="266">
        <f t="shared" ca="1" si="441"/>
        <v>0</v>
      </c>
      <c r="CV659" s="266">
        <f t="shared" ca="1" si="442"/>
        <v>0</v>
      </c>
      <c r="CW659" s="266">
        <f t="shared" ca="1" si="443"/>
        <v>0</v>
      </c>
      <c r="CX659" s="266">
        <f t="shared" ca="1" si="444"/>
        <v>0</v>
      </c>
    </row>
    <row r="660" spans="2:102" s="47" customFormat="1" ht="18" customHeight="1" x14ac:dyDescent="0.25">
      <c r="B660" t="str">
        <f t="shared" si="445"/>
        <v>NSG_Business_Small/Mid-Size Business_Partner Trade Ally Rebate_Condensing Unit Heater_0_MF/CI</v>
      </c>
      <c r="C660" s="47" t="str">
        <f t="shared" si="406"/>
        <v>Condensing Unit Heater_0_MF/CI</v>
      </c>
      <c r="D660" s="270" t="s">
        <v>1787</v>
      </c>
      <c r="E660" s="270" t="s">
        <v>3</v>
      </c>
      <c r="F660" s="270" t="s">
        <v>1432</v>
      </c>
      <c r="G660" s="270" t="s">
        <v>1799</v>
      </c>
      <c r="H660" s="270" t="s">
        <v>13</v>
      </c>
      <c r="I660" s="270">
        <v>0</v>
      </c>
      <c r="J660" s="270" t="s">
        <v>587</v>
      </c>
      <c r="K660" s="263">
        <v>1</v>
      </c>
      <c r="L660" s="263" t="str">
        <f ca="1">IFERROR(INDEX(Algorithms!J:J,MATCH($C660&amp;"_Therm Saved per Unit",Algorithms!$A:$A,0)),"n/a")</f>
        <v>4.4.5</v>
      </c>
      <c r="M660" s="263" t="str">
        <f>IFERROR(INDEX('Measure Level Detail'!$N:$N,MATCH($B660,'Measure Level Detail'!$B:$B,0)),0)</f>
        <v>MBH</v>
      </c>
      <c r="N660" s="271">
        <f>IFERROR(INDEX('Measure Level Detail'!$P:$P,MATCH($B660&amp;"_"&amp;N$3,'Measure Level Detail'!$C:$C,0)),0)</f>
        <v>0</v>
      </c>
      <c r="O660" s="271">
        <f>IFERROR(INDEX('Measure Level Detail'!$P:$P,MATCH($B660&amp;"_"&amp;O$3,'Measure Level Detail'!$C:$C,0)),0)</f>
        <v>0</v>
      </c>
      <c r="P660" s="271">
        <f>IFERROR(INDEX('Measure Level Detail'!$P:$P,MATCH($B660&amp;"_"&amp;P$3,'Measure Level Detail'!$C:$C,0)),0)</f>
        <v>0</v>
      </c>
      <c r="Q660" s="271">
        <f>IFERROR(INDEX('Measure Level Detail'!$P:$P,MATCH($B660&amp;"_"&amp;Q$3,'Measure Level Detail'!$C:$C,0)),0)</f>
        <v>0</v>
      </c>
      <c r="R660" s="263" t="str">
        <f ca="1">IFERROR(INDEX(Algorithms!K:K,MATCH($C660&amp;"_Therm Saved per Unit",Algorithms!$A:$A,0)),"n/a")</f>
        <v>CI-HVC-CUHT-V03-230101</v>
      </c>
      <c r="S660" s="262"/>
      <c r="T660" s="272">
        <v>1.7733333333333334</v>
      </c>
      <c r="U660" s="272">
        <v>1.7733333333333334</v>
      </c>
      <c r="V660" s="272">
        <v>1.7733333333333334</v>
      </c>
      <c r="W660" s="272">
        <v>1.7733333333333334</v>
      </c>
      <c r="X660" s="276">
        <v>0.93</v>
      </c>
      <c r="Y660" s="276">
        <v>0.93</v>
      </c>
      <c r="Z660" s="276">
        <v>0.93</v>
      </c>
      <c r="AA660" s="276">
        <v>0.93</v>
      </c>
      <c r="AB660" s="266">
        <f t="shared" si="407"/>
        <v>0</v>
      </c>
      <c r="AC660" s="266">
        <f t="shared" si="408"/>
        <v>0</v>
      </c>
      <c r="AD660" s="266">
        <f t="shared" si="409"/>
        <v>0</v>
      </c>
      <c r="AE660" s="266">
        <f t="shared" si="410"/>
        <v>0</v>
      </c>
      <c r="AF660" s="266">
        <f t="shared" si="411"/>
        <v>0</v>
      </c>
      <c r="AG660" s="274">
        <v>0.93</v>
      </c>
      <c r="AH660" s="274">
        <v>0.93</v>
      </c>
      <c r="AI660" s="274">
        <v>0.93</v>
      </c>
      <c r="AJ660" s="274">
        <v>0.93</v>
      </c>
      <c r="AK660" s="274">
        <f t="shared" si="412"/>
        <v>0.93</v>
      </c>
      <c r="AL660" s="274">
        <f t="shared" si="413"/>
        <v>0.93</v>
      </c>
      <c r="AM660" s="274">
        <f t="shared" si="414"/>
        <v>0.93</v>
      </c>
      <c r="AN660" s="274">
        <f t="shared" si="415"/>
        <v>0.93</v>
      </c>
      <c r="AO660" s="262"/>
      <c r="AP660" s="262"/>
      <c r="AQ660" s="267">
        <v>1.6896527777777772</v>
      </c>
      <c r="AR660" s="262"/>
      <c r="AS660" s="266">
        <f t="shared" si="416"/>
        <v>0</v>
      </c>
      <c r="AT660" s="264">
        <f t="shared" si="417"/>
        <v>0</v>
      </c>
      <c r="AU660" s="262"/>
      <c r="AV660" s="262"/>
      <c r="AW660" s="265">
        <v>1.6896527777777772</v>
      </c>
      <c r="AX660" s="164" t="s">
        <v>1469</v>
      </c>
      <c r="AY660" s="266">
        <v>0</v>
      </c>
      <c r="AZ660" s="266">
        <f t="shared" si="418"/>
        <v>0</v>
      </c>
      <c r="BA660" s="264">
        <f t="shared" si="419"/>
        <v>0</v>
      </c>
      <c r="BB660" s="262"/>
      <c r="BC660" s="262"/>
      <c r="BD660" s="265">
        <f ca="1">IFERROR(INDEX(Algorithms!$G:$G,MATCH($C660&amp;"_Therm Saved per Unit",Algorithms!$A:$A,0)),0)</f>
        <v>1.6896527777777772</v>
      </c>
      <c r="BE660" s="164" t="str">
        <f ca="1">IFERROR(INDEX('v12 Revisions'!$P$29:$P$186, MATCH('Measure-Level Adj Gas'!$L660, 'v12 Revisions'!$D$29:$D$186,0)),"")</f>
        <v/>
      </c>
      <c r="BF660" s="266">
        <f t="shared" ca="1" si="420"/>
        <v>0</v>
      </c>
      <c r="BG660" s="264">
        <f t="shared" ca="1" si="421"/>
        <v>0</v>
      </c>
      <c r="BH660" s="262"/>
      <c r="BI660" s="262"/>
      <c r="BJ660" s="265">
        <f ca="1">IFERROR(INDEX(Algorithms!$G:$G,MATCH($C660&amp;"_Therm Saved per Unit",Algorithms!$A:$A,0)),0)</f>
        <v>1.6896527777777772</v>
      </c>
      <c r="BK660" s="164"/>
      <c r="BL660" s="266">
        <f t="shared" ca="1" si="422"/>
        <v>0</v>
      </c>
      <c r="BM660" s="264">
        <f t="shared" ca="1" si="423"/>
        <v>0</v>
      </c>
      <c r="BN660" s="266">
        <f t="shared" si="424"/>
        <v>0</v>
      </c>
      <c r="BO660" s="266">
        <f t="shared" si="425"/>
        <v>0</v>
      </c>
      <c r="BP660" s="266">
        <f t="shared" ca="1" si="426"/>
        <v>0</v>
      </c>
      <c r="BQ660" s="266">
        <f t="shared" ca="1" si="427"/>
        <v>0</v>
      </c>
      <c r="BR660" s="268">
        <f t="shared" ca="1" si="428"/>
        <v>0</v>
      </c>
      <c r="BS660" s="262" t="s">
        <v>99</v>
      </c>
      <c r="BT660" s="277"/>
      <c r="BW660" s="266">
        <f t="shared" si="429"/>
        <v>0</v>
      </c>
      <c r="BX660" s="266">
        <f t="shared" si="430"/>
        <v>0</v>
      </c>
      <c r="BY660" s="266">
        <f t="shared" si="431"/>
        <v>0</v>
      </c>
      <c r="BZ660" s="266">
        <f t="shared" si="432"/>
        <v>0</v>
      </c>
      <c r="CA660" s="266">
        <f ca="1">N660*IFERROR(INDEX(Algorithms!$G:$G,MATCH($C660&amp;"_Therm Saved per Unit- MLA",Algorithms!$A:$A,0)),0)*X660</f>
        <v>0</v>
      </c>
      <c r="CB660" s="266">
        <f ca="1">O660*IFERROR(INDEX(Algorithms!$G:$G,MATCH($C660&amp;"_Therm Saved per Unit- MLA",Algorithms!$A:$A,0)),0)*Y660</f>
        <v>0</v>
      </c>
      <c r="CC660" s="266">
        <f ca="1">P660*IFERROR(INDEX(Algorithms!$G:$G,MATCH($C660&amp;"_Therm Saved per Unit- MLA",Algorithms!$A:$A,0)),0)*Z660</f>
        <v>0</v>
      </c>
      <c r="CD660" s="266">
        <f ca="1">Q660*IFERROR(INDEX(Algorithms!$G:$G,MATCH($C660&amp;"_Therm Saved per Unit- MLA",Algorithms!$A:$A,0)),0)*AA660</f>
        <v>0</v>
      </c>
      <c r="CE660" s="266">
        <f ca="1">IFERROR(INDEX(Algorithms!$G:$G,MATCH($C660&amp;"_Lifetime (years)",Algorithms!$A:$A,0)),0)</f>
        <v>12</v>
      </c>
      <c r="CF660" s="266">
        <f ca="1">IFERROR(INDEX(Algorithms!$G:$G,MATCH($C660&amp;"_Lifetime (years) - Remaining Years",Algorithms!$A:$A,0)),0)</f>
        <v>0</v>
      </c>
      <c r="CG660" s="266">
        <f t="shared" ca="1" si="433"/>
        <v>0</v>
      </c>
      <c r="CH660" s="266">
        <f t="shared" ca="1" si="434"/>
        <v>0</v>
      </c>
      <c r="CI660" s="266">
        <f t="shared" ca="1" si="435"/>
        <v>0</v>
      </c>
      <c r="CJ660" s="266">
        <f t="shared" ca="1" si="436"/>
        <v>0</v>
      </c>
      <c r="CK660" s="266">
        <f t="shared" si="437"/>
        <v>0</v>
      </c>
      <c r="CL660" s="266">
        <f t="shared" si="438"/>
        <v>0</v>
      </c>
      <c r="CM660" s="266">
        <f t="shared" ca="1" si="439"/>
        <v>0</v>
      </c>
      <c r="CN660" s="266">
        <f t="shared" ca="1" si="440"/>
        <v>0</v>
      </c>
      <c r="CO660" s="266">
        <f ca="1">N660*IFERROR(INDEX(Algorithms!$G:$G,MATCH($C660&amp;"_Therm Saved per Unit- MLA",Algorithms!$A:$A,0)),0)*X660</f>
        <v>0</v>
      </c>
      <c r="CP660" s="266">
        <f ca="1">O660*IFERROR(INDEX(Algorithms!$G:$G,MATCH($C660&amp;"_Therm Saved per Unit- MLA",Algorithms!$A:$A,0)),0)*Y660</f>
        <v>0</v>
      </c>
      <c r="CQ660" s="266">
        <f ca="1">P660*IFERROR(INDEX(Algorithms!$G:$G,MATCH($C660&amp;"_Therm Saved per Unit- MLA",Algorithms!$A:$A,0)),0)*Z660</f>
        <v>0</v>
      </c>
      <c r="CR660" s="266">
        <f ca="1">Q660*IFERROR(INDEX(Algorithms!$G:$G,MATCH($C660&amp;"_Therm Saved per Unit- MLA",Algorithms!$A:$A,0)),0)*AA660</f>
        <v>0</v>
      </c>
      <c r="CS660" s="266">
        <f ca="1">IFERROR(INDEX(Algorithms!$G:$G,MATCH($C660&amp;"_Lifetime (years)",Algorithms!$A:$A,0)),0)</f>
        <v>12</v>
      </c>
      <c r="CT660" s="266">
        <f ca="1">IFERROR(INDEX(Algorithms!$G:$G,MATCH($C660&amp;"_Lifetime (years) - Remaining Years",Algorithms!$A:$A,0)),0)</f>
        <v>0</v>
      </c>
      <c r="CU660" s="266">
        <f t="shared" ca="1" si="441"/>
        <v>0</v>
      </c>
      <c r="CV660" s="266">
        <f t="shared" ca="1" si="442"/>
        <v>0</v>
      </c>
      <c r="CW660" s="266">
        <f t="shared" ca="1" si="443"/>
        <v>0</v>
      </c>
      <c r="CX660" s="266">
        <f t="shared" ca="1" si="444"/>
        <v>0</v>
      </c>
    </row>
    <row r="661" spans="2:102" s="47" customFormat="1" ht="18" customHeight="1" x14ac:dyDescent="0.25">
      <c r="B661" t="str">
        <f t="shared" si="445"/>
        <v>NSG_Business_Small/Mid-Size Business_Partner Trade Ally Rebate_Direct Fired Heaters_0_MF/CI</v>
      </c>
      <c r="C661" s="47" t="str">
        <f t="shared" si="406"/>
        <v>Direct Fired Heaters_0_MF/CI</v>
      </c>
      <c r="D661" s="270" t="s">
        <v>1787</v>
      </c>
      <c r="E661" s="270" t="s">
        <v>3</v>
      </c>
      <c r="F661" s="270" t="s">
        <v>1432</v>
      </c>
      <c r="G661" s="270" t="s">
        <v>1799</v>
      </c>
      <c r="H661" s="270" t="s">
        <v>666</v>
      </c>
      <c r="I661" s="270">
        <v>0</v>
      </c>
      <c r="J661" s="270" t="s">
        <v>587</v>
      </c>
      <c r="K661" s="263">
        <v>1</v>
      </c>
      <c r="L661" s="263" t="str">
        <f ca="1">IFERROR(INDEX(Algorithms!J:J,MATCH($C661&amp;"_Therm Saved per Unit",Algorithms!$A:$A,0)),"n/a")</f>
        <v>4.4.39</v>
      </c>
      <c r="M661" s="263" t="str">
        <f>IFERROR(INDEX('Measure Level Detail'!$N:$N,MATCH($B661,'Measure Level Detail'!$B:$B,0)),0)</f>
        <v>MBH</v>
      </c>
      <c r="N661" s="271">
        <f>IFERROR(INDEX('Measure Level Detail'!$P:$P,MATCH($B661&amp;"_"&amp;N$3,'Measure Level Detail'!$C:$C,0)),0)</f>
        <v>0</v>
      </c>
      <c r="O661" s="271">
        <f>IFERROR(INDEX('Measure Level Detail'!$P:$P,MATCH($B661&amp;"_"&amp;O$3,'Measure Level Detail'!$C:$C,0)),0)</f>
        <v>0</v>
      </c>
      <c r="P661" s="271">
        <f>IFERROR(INDEX('Measure Level Detail'!$P:$P,MATCH($B661&amp;"_"&amp;P$3,'Measure Level Detail'!$C:$C,0)),0)</f>
        <v>0</v>
      </c>
      <c r="Q661" s="271">
        <f>IFERROR(INDEX('Measure Level Detail'!$P:$P,MATCH($B661&amp;"_"&amp;Q$3,'Measure Level Detail'!$C:$C,0)),0)</f>
        <v>0</v>
      </c>
      <c r="R661" s="263" t="str">
        <f ca="1">IFERROR(INDEX(Algorithms!K:K,MATCH($C661&amp;"_Therm Saved per Unit",Algorithms!$A:$A,0)),"n/a")</f>
        <v>CI-HVC-HTHV-V02-230101</v>
      </c>
      <c r="S661" s="262"/>
      <c r="T661" s="272">
        <v>3.72</v>
      </c>
      <c r="U661" s="272">
        <v>3.72</v>
      </c>
      <c r="V661" s="272">
        <v>3.72</v>
      </c>
      <c r="W661" s="272">
        <v>3.72</v>
      </c>
      <c r="X661" s="276">
        <v>0.93</v>
      </c>
      <c r="Y661" s="276">
        <v>0.93</v>
      </c>
      <c r="Z661" s="276">
        <v>0.93</v>
      </c>
      <c r="AA661" s="276">
        <v>0.93</v>
      </c>
      <c r="AB661" s="266">
        <f t="shared" si="407"/>
        <v>0</v>
      </c>
      <c r="AC661" s="266">
        <f t="shared" si="408"/>
        <v>0</v>
      </c>
      <c r="AD661" s="266">
        <f t="shared" si="409"/>
        <v>0</v>
      </c>
      <c r="AE661" s="266">
        <f t="shared" si="410"/>
        <v>0</v>
      </c>
      <c r="AF661" s="266">
        <f t="shared" si="411"/>
        <v>0</v>
      </c>
      <c r="AG661" s="274">
        <v>0.93</v>
      </c>
      <c r="AH661" s="274">
        <v>0.93</v>
      </c>
      <c r="AI661" s="274">
        <v>0.93</v>
      </c>
      <c r="AJ661" s="274">
        <v>0.93</v>
      </c>
      <c r="AK661" s="274">
        <f t="shared" si="412"/>
        <v>0.93</v>
      </c>
      <c r="AL661" s="274">
        <f t="shared" si="413"/>
        <v>0.93</v>
      </c>
      <c r="AM661" s="274">
        <f t="shared" si="414"/>
        <v>0.93</v>
      </c>
      <c r="AN661" s="274">
        <f t="shared" si="415"/>
        <v>0.93</v>
      </c>
      <c r="AO661" s="262"/>
      <c r="AP661" s="262"/>
      <c r="AQ661" s="267">
        <v>3.72</v>
      </c>
      <c r="AR661" s="262"/>
      <c r="AS661" s="266">
        <f t="shared" si="416"/>
        <v>0</v>
      </c>
      <c r="AT661" s="264">
        <f t="shared" si="417"/>
        <v>0</v>
      </c>
      <c r="AU661" s="262"/>
      <c r="AV661" s="262"/>
      <c r="AW661" s="265">
        <v>3.72</v>
      </c>
      <c r="AX661" s="164" t="s">
        <v>1469</v>
      </c>
      <c r="AY661" s="266">
        <v>0</v>
      </c>
      <c r="AZ661" s="266">
        <f t="shared" si="418"/>
        <v>0</v>
      </c>
      <c r="BA661" s="264">
        <f t="shared" si="419"/>
        <v>0</v>
      </c>
      <c r="BB661" s="262"/>
      <c r="BC661" s="262"/>
      <c r="BD661" s="265">
        <f ca="1">IFERROR(INDEX(Algorithms!$G:$G,MATCH($C661&amp;"_Therm Saved per Unit",Algorithms!$A:$A,0)),0)</f>
        <v>3.72</v>
      </c>
      <c r="BE661" s="164" t="str">
        <f ca="1">IFERROR(INDEX('v12 Revisions'!$P$29:$P$186, MATCH('Measure-Level Adj Gas'!$L661, 'v12 Revisions'!$D$29:$D$186,0)),"")</f>
        <v/>
      </c>
      <c r="BF661" s="266">
        <f t="shared" ca="1" si="420"/>
        <v>0</v>
      </c>
      <c r="BG661" s="264">
        <f t="shared" ca="1" si="421"/>
        <v>0</v>
      </c>
      <c r="BH661" s="262"/>
      <c r="BI661" s="262"/>
      <c r="BJ661" s="265">
        <f ca="1">IFERROR(INDEX(Algorithms!$G:$G,MATCH($C661&amp;"_Therm Saved per Unit",Algorithms!$A:$A,0)),0)</f>
        <v>3.72</v>
      </c>
      <c r="BK661" s="164"/>
      <c r="BL661" s="266">
        <f t="shared" ca="1" si="422"/>
        <v>0</v>
      </c>
      <c r="BM661" s="264">
        <f t="shared" ca="1" si="423"/>
        <v>0</v>
      </c>
      <c r="BN661" s="266">
        <f t="shared" si="424"/>
        <v>0</v>
      </c>
      <c r="BO661" s="266">
        <f t="shared" si="425"/>
        <v>0</v>
      </c>
      <c r="BP661" s="266">
        <f t="shared" ca="1" si="426"/>
        <v>0</v>
      </c>
      <c r="BQ661" s="266">
        <f t="shared" ca="1" si="427"/>
        <v>0</v>
      </c>
      <c r="BR661" s="268">
        <f t="shared" ca="1" si="428"/>
        <v>0</v>
      </c>
      <c r="BS661" s="262" t="s">
        <v>99</v>
      </c>
      <c r="BT661" s="277"/>
      <c r="BW661" s="266">
        <f t="shared" si="429"/>
        <v>0</v>
      </c>
      <c r="BX661" s="266">
        <f t="shared" si="430"/>
        <v>0</v>
      </c>
      <c r="BY661" s="266">
        <f t="shared" si="431"/>
        <v>0</v>
      </c>
      <c r="BZ661" s="266">
        <f t="shared" si="432"/>
        <v>0</v>
      </c>
      <c r="CA661" s="266">
        <f ca="1">N661*IFERROR(INDEX(Algorithms!$G:$G,MATCH($C661&amp;"_Therm Saved per Unit- MLA",Algorithms!$A:$A,0)),0)*X661</f>
        <v>0</v>
      </c>
      <c r="CB661" s="266">
        <f ca="1">O661*IFERROR(INDEX(Algorithms!$G:$G,MATCH($C661&amp;"_Therm Saved per Unit- MLA",Algorithms!$A:$A,0)),0)*Y661</f>
        <v>0</v>
      </c>
      <c r="CC661" s="266">
        <f ca="1">P661*IFERROR(INDEX(Algorithms!$G:$G,MATCH($C661&amp;"_Therm Saved per Unit- MLA",Algorithms!$A:$A,0)),0)*Z661</f>
        <v>0</v>
      </c>
      <c r="CD661" s="266">
        <f ca="1">Q661*IFERROR(INDEX(Algorithms!$G:$G,MATCH($C661&amp;"_Therm Saved per Unit- MLA",Algorithms!$A:$A,0)),0)*AA661</f>
        <v>0</v>
      </c>
      <c r="CE661" s="266">
        <f ca="1">IFERROR(INDEX(Algorithms!$G:$G,MATCH($C661&amp;"_Lifetime (years)",Algorithms!$A:$A,0)),0)</f>
        <v>15</v>
      </c>
      <c r="CF661" s="266">
        <f ca="1">IFERROR(INDEX(Algorithms!$G:$G,MATCH($C661&amp;"_Lifetime (years) - Remaining Years",Algorithms!$A:$A,0)),0)</f>
        <v>0</v>
      </c>
      <c r="CG661" s="266">
        <f t="shared" ca="1" si="433"/>
        <v>0</v>
      </c>
      <c r="CH661" s="266">
        <f t="shared" ca="1" si="434"/>
        <v>0</v>
      </c>
      <c r="CI661" s="266">
        <f t="shared" ca="1" si="435"/>
        <v>0</v>
      </c>
      <c r="CJ661" s="266">
        <f t="shared" ca="1" si="436"/>
        <v>0</v>
      </c>
      <c r="CK661" s="266">
        <f t="shared" si="437"/>
        <v>0</v>
      </c>
      <c r="CL661" s="266">
        <f t="shared" si="438"/>
        <v>0</v>
      </c>
      <c r="CM661" s="266">
        <f t="shared" ca="1" si="439"/>
        <v>0</v>
      </c>
      <c r="CN661" s="266">
        <f t="shared" ca="1" si="440"/>
        <v>0</v>
      </c>
      <c r="CO661" s="266">
        <f ca="1">N661*IFERROR(INDEX(Algorithms!$G:$G,MATCH($C661&amp;"_Therm Saved per Unit- MLA",Algorithms!$A:$A,0)),0)*X661</f>
        <v>0</v>
      </c>
      <c r="CP661" s="266">
        <f ca="1">O661*IFERROR(INDEX(Algorithms!$G:$G,MATCH($C661&amp;"_Therm Saved per Unit- MLA",Algorithms!$A:$A,0)),0)*Y661</f>
        <v>0</v>
      </c>
      <c r="CQ661" s="266">
        <f ca="1">P661*IFERROR(INDEX(Algorithms!$G:$G,MATCH($C661&amp;"_Therm Saved per Unit- MLA",Algorithms!$A:$A,0)),0)*Z661</f>
        <v>0</v>
      </c>
      <c r="CR661" s="266">
        <f ca="1">Q661*IFERROR(INDEX(Algorithms!$G:$G,MATCH($C661&amp;"_Therm Saved per Unit- MLA",Algorithms!$A:$A,0)),0)*AA661</f>
        <v>0</v>
      </c>
      <c r="CS661" s="266">
        <f ca="1">IFERROR(INDEX(Algorithms!$G:$G,MATCH($C661&amp;"_Lifetime (years)",Algorithms!$A:$A,0)),0)</f>
        <v>15</v>
      </c>
      <c r="CT661" s="266">
        <f ca="1">IFERROR(INDEX(Algorithms!$G:$G,MATCH($C661&amp;"_Lifetime (years) - Remaining Years",Algorithms!$A:$A,0)),0)</f>
        <v>0</v>
      </c>
      <c r="CU661" s="266">
        <f t="shared" ca="1" si="441"/>
        <v>0</v>
      </c>
      <c r="CV661" s="266">
        <f t="shared" ca="1" si="442"/>
        <v>0</v>
      </c>
      <c r="CW661" s="266">
        <f t="shared" ca="1" si="443"/>
        <v>0</v>
      </c>
      <c r="CX661" s="266">
        <f t="shared" ca="1" si="444"/>
        <v>0</v>
      </c>
    </row>
    <row r="662" spans="2:102" s="47" customFormat="1" ht="18" customHeight="1" x14ac:dyDescent="0.25">
      <c r="B662" t="str">
        <f t="shared" si="445"/>
        <v>NSG_Business_Small/Mid-Size Business_Partner Trade Ally Rebate_High Speed Washer_Hotel/Motel/Hospital_CI</v>
      </c>
      <c r="C662" s="47" t="str">
        <f t="shared" si="406"/>
        <v>High Speed Washer_Hotel/Motel/Hospital_CI</v>
      </c>
      <c r="D662" s="270" t="s">
        <v>1787</v>
      </c>
      <c r="E662" s="270" t="s">
        <v>3</v>
      </c>
      <c r="F662" s="270" t="s">
        <v>1432</v>
      </c>
      <c r="G662" s="270" t="s">
        <v>1799</v>
      </c>
      <c r="H662" s="270" t="s">
        <v>725</v>
      </c>
      <c r="I662" s="270" t="s">
        <v>1162</v>
      </c>
      <c r="J662" s="270" t="s">
        <v>1159</v>
      </c>
      <c r="K662" s="263">
        <v>1</v>
      </c>
      <c r="L662" s="263" t="str">
        <f ca="1">IFERROR(INDEX(Algorithms!J:J,MATCH($C662&amp;"_Therm Saved per Unit",Algorithms!$A:$A,0)),"n/a")</f>
        <v>4.8.5</v>
      </c>
      <c r="M662" s="263" t="str">
        <f>IFERROR(INDEX('Measure Level Detail'!$N:$N,MATCH($B662,'Measure Level Detail'!$B:$B,0)),0)</f>
        <v>lb-capacity</v>
      </c>
      <c r="N662" s="271">
        <f>IFERROR(INDEX('Measure Level Detail'!$P:$P,MATCH($B662&amp;"_"&amp;N$3,'Measure Level Detail'!$C:$C,0)),0)</f>
        <v>0</v>
      </c>
      <c r="O662" s="271">
        <f>IFERROR(INDEX('Measure Level Detail'!$P:$P,MATCH($B662&amp;"_"&amp;O$3,'Measure Level Detail'!$C:$C,0)),0)</f>
        <v>0</v>
      </c>
      <c r="P662" s="271">
        <f>IFERROR(INDEX('Measure Level Detail'!$P:$P,MATCH($B662&amp;"_"&amp;P$3,'Measure Level Detail'!$C:$C,0)),0)</f>
        <v>0</v>
      </c>
      <c r="Q662" s="271">
        <f>IFERROR(INDEX('Measure Level Detail'!$P:$P,MATCH($B662&amp;"_"&amp;Q$3,'Measure Level Detail'!$C:$C,0)),0)</f>
        <v>0</v>
      </c>
      <c r="R662" s="263" t="str">
        <f ca="1">IFERROR(INDEX(Algorithms!K:K,MATCH($C662&amp;"_Therm Saved per Unit",Algorithms!$A:$A,0)),"n/a")</f>
        <v>CI-MSC-HSCW-V03-240101</v>
      </c>
      <c r="S662" s="262"/>
      <c r="T662" s="272">
        <v>6.7459391999999996</v>
      </c>
      <c r="U662" s="272">
        <v>6.7459391999999996</v>
      </c>
      <c r="V662" s="272">
        <v>6.7459391999999996</v>
      </c>
      <c r="W662" s="272">
        <v>6.7459391999999996</v>
      </c>
      <c r="X662" s="276">
        <v>0.93</v>
      </c>
      <c r="Y662" s="276">
        <v>0.93</v>
      </c>
      <c r="Z662" s="276">
        <v>0.93</v>
      </c>
      <c r="AA662" s="276">
        <v>0.93</v>
      </c>
      <c r="AB662" s="266">
        <f t="shared" si="407"/>
        <v>0</v>
      </c>
      <c r="AC662" s="266">
        <f t="shared" si="408"/>
        <v>0</v>
      </c>
      <c r="AD662" s="266">
        <f t="shared" si="409"/>
        <v>0</v>
      </c>
      <c r="AE662" s="266">
        <f t="shared" si="410"/>
        <v>0</v>
      </c>
      <c r="AF662" s="266">
        <f t="shared" si="411"/>
        <v>0</v>
      </c>
      <c r="AG662" s="274">
        <v>0.93</v>
      </c>
      <c r="AH662" s="274">
        <v>0.93</v>
      </c>
      <c r="AI662" s="274">
        <v>0.93</v>
      </c>
      <c r="AJ662" s="274">
        <v>0.93</v>
      </c>
      <c r="AK662" s="274">
        <f t="shared" si="412"/>
        <v>0.93</v>
      </c>
      <c r="AL662" s="274">
        <f t="shared" si="413"/>
        <v>0.93</v>
      </c>
      <c r="AM662" s="274">
        <f t="shared" si="414"/>
        <v>0.93</v>
      </c>
      <c r="AN662" s="274">
        <f t="shared" si="415"/>
        <v>0.93</v>
      </c>
      <c r="AO662" s="262"/>
      <c r="AP662" s="262"/>
      <c r="AQ662" s="267">
        <v>6.7459391999999996</v>
      </c>
      <c r="AR662" s="262"/>
      <c r="AS662" s="266">
        <f t="shared" si="416"/>
        <v>0</v>
      </c>
      <c r="AT662" s="264">
        <f t="shared" si="417"/>
        <v>0</v>
      </c>
      <c r="AU662" s="262"/>
      <c r="AV662" s="262"/>
      <c r="AW662" s="265">
        <v>6.7459391999999996</v>
      </c>
      <c r="AX662" s="164" t="s">
        <v>1469</v>
      </c>
      <c r="AY662" s="266">
        <v>0</v>
      </c>
      <c r="AZ662" s="266">
        <f t="shared" si="418"/>
        <v>0</v>
      </c>
      <c r="BA662" s="264">
        <f t="shared" si="419"/>
        <v>0</v>
      </c>
      <c r="BB662" s="262"/>
      <c r="BC662" s="262"/>
      <c r="BD662" s="265">
        <f ca="1">IFERROR(INDEX(Algorithms!$G:$G,MATCH($C662&amp;"_Therm Saved per Unit",Algorithms!$A:$A,0)),0)</f>
        <v>6.7459391999999996</v>
      </c>
      <c r="BE662" s="164" t="str">
        <f ca="1">IFERROR(INDEX('v12 Revisions'!$P$29:$P$186, MATCH('Measure-Level Adj Gas'!$L662, 'v12 Revisions'!$D$29:$D$186,0)),"")</f>
        <v>n/a - costs only.</v>
      </c>
      <c r="BF662" s="266">
        <f t="shared" ca="1" si="420"/>
        <v>0</v>
      </c>
      <c r="BG662" s="264">
        <f t="shared" ca="1" si="421"/>
        <v>0</v>
      </c>
      <c r="BH662" s="262"/>
      <c r="BI662" s="262"/>
      <c r="BJ662" s="265">
        <f ca="1">IFERROR(INDEX(Algorithms!$G:$G,MATCH($C662&amp;"_Therm Saved per Unit",Algorithms!$A:$A,0)),0)</f>
        <v>6.7459391999999996</v>
      </c>
      <c r="BK662" s="164"/>
      <c r="BL662" s="266">
        <f t="shared" ca="1" si="422"/>
        <v>0</v>
      </c>
      <c r="BM662" s="264">
        <f t="shared" ca="1" si="423"/>
        <v>0</v>
      </c>
      <c r="BN662" s="266">
        <f t="shared" si="424"/>
        <v>0</v>
      </c>
      <c r="BO662" s="266">
        <f t="shared" si="425"/>
        <v>0</v>
      </c>
      <c r="BP662" s="266">
        <f t="shared" ca="1" si="426"/>
        <v>0</v>
      </c>
      <c r="BQ662" s="266">
        <f t="shared" ca="1" si="427"/>
        <v>0</v>
      </c>
      <c r="BR662" s="268">
        <f t="shared" ca="1" si="428"/>
        <v>0</v>
      </c>
      <c r="BS662" s="262" t="s">
        <v>99</v>
      </c>
      <c r="BT662" s="277"/>
      <c r="BW662" s="266">
        <f t="shared" si="429"/>
        <v>0</v>
      </c>
      <c r="BX662" s="266">
        <f t="shared" si="430"/>
        <v>0</v>
      </c>
      <c r="BY662" s="266">
        <f t="shared" si="431"/>
        <v>0</v>
      </c>
      <c r="BZ662" s="266">
        <f t="shared" si="432"/>
        <v>0</v>
      </c>
      <c r="CA662" s="266">
        <f ca="1">N662*IFERROR(INDEX(Algorithms!$G:$G,MATCH($C662&amp;"_Therm Saved per Unit- MLA",Algorithms!$A:$A,0)),0)*X662</f>
        <v>0</v>
      </c>
      <c r="CB662" s="266">
        <f ca="1">O662*IFERROR(INDEX(Algorithms!$G:$G,MATCH($C662&amp;"_Therm Saved per Unit- MLA",Algorithms!$A:$A,0)),0)*Y662</f>
        <v>0</v>
      </c>
      <c r="CC662" s="266">
        <f ca="1">P662*IFERROR(INDEX(Algorithms!$G:$G,MATCH($C662&amp;"_Therm Saved per Unit- MLA",Algorithms!$A:$A,0)),0)*Z662</f>
        <v>0</v>
      </c>
      <c r="CD662" s="266">
        <f ca="1">Q662*IFERROR(INDEX(Algorithms!$G:$G,MATCH($C662&amp;"_Therm Saved per Unit- MLA",Algorithms!$A:$A,0)),0)*AA662</f>
        <v>0</v>
      </c>
      <c r="CE662" s="266">
        <f ca="1">IFERROR(INDEX(Algorithms!$G:$G,MATCH($C662&amp;"_Lifetime (years)",Algorithms!$A:$A,0)),0)</f>
        <v>7</v>
      </c>
      <c r="CF662" s="266">
        <f ca="1">IFERROR(INDEX(Algorithms!$G:$G,MATCH($C662&amp;"_Lifetime (years) - Remaining Years",Algorithms!$A:$A,0)),0)</f>
        <v>0</v>
      </c>
      <c r="CG662" s="266">
        <f t="shared" ca="1" si="433"/>
        <v>0</v>
      </c>
      <c r="CH662" s="266">
        <f t="shared" ca="1" si="434"/>
        <v>0</v>
      </c>
      <c r="CI662" s="266">
        <f t="shared" ca="1" si="435"/>
        <v>0</v>
      </c>
      <c r="CJ662" s="266">
        <f t="shared" ca="1" si="436"/>
        <v>0</v>
      </c>
      <c r="CK662" s="266">
        <f t="shared" si="437"/>
        <v>0</v>
      </c>
      <c r="CL662" s="266">
        <f t="shared" si="438"/>
        <v>0</v>
      </c>
      <c r="CM662" s="266">
        <f t="shared" ca="1" si="439"/>
        <v>0</v>
      </c>
      <c r="CN662" s="266">
        <f t="shared" ca="1" si="440"/>
        <v>0</v>
      </c>
      <c r="CO662" s="266">
        <f ca="1">N662*IFERROR(INDEX(Algorithms!$G:$G,MATCH($C662&amp;"_Therm Saved per Unit- MLA",Algorithms!$A:$A,0)),0)*X662</f>
        <v>0</v>
      </c>
      <c r="CP662" s="266">
        <f ca="1">O662*IFERROR(INDEX(Algorithms!$G:$G,MATCH($C662&amp;"_Therm Saved per Unit- MLA",Algorithms!$A:$A,0)),0)*Y662</f>
        <v>0</v>
      </c>
      <c r="CQ662" s="266">
        <f ca="1">P662*IFERROR(INDEX(Algorithms!$G:$G,MATCH($C662&amp;"_Therm Saved per Unit- MLA",Algorithms!$A:$A,0)),0)*Z662</f>
        <v>0</v>
      </c>
      <c r="CR662" s="266">
        <f ca="1">Q662*IFERROR(INDEX(Algorithms!$G:$G,MATCH($C662&amp;"_Therm Saved per Unit- MLA",Algorithms!$A:$A,0)),0)*AA662</f>
        <v>0</v>
      </c>
      <c r="CS662" s="266">
        <f ca="1">IFERROR(INDEX(Algorithms!$G:$G,MATCH($C662&amp;"_Lifetime (years)",Algorithms!$A:$A,0)),0)</f>
        <v>7</v>
      </c>
      <c r="CT662" s="266">
        <f ca="1">IFERROR(INDEX(Algorithms!$G:$G,MATCH($C662&amp;"_Lifetime (years) - Remaining Years",Algorithms!$A:$A,0)),0)</f>
        <v>0</v>
      </c>
      <c r="CU662" s="266">
        <f t="shared" ca="1" si="441"/>
        <v>0</v>
      </c>
      <c r="CV662" s="266">
        <f t="shared" ca="1" si="442"/>
        <v>0</v>
      </c>
      <c r="CW662" s="266">
        <f t="shared" ca="1" si="443"/>
        <v>0</v>
      </c>
      <c r="CX662" s="266">
        <f t="shared" ca="1" si="444"/>
        <v>0</v>
      </c>
    </row>
    <row r="663" spans="2:102" s="47" customFormat="1" ht="18" customHeight="1" x14ac:dyDescent="0.25">
      <c r="B663" t="str">
        <f t="shared" si="445"/>
        <v>NSG_Business_Small/Mid-Size Business_Partner Trade Ally Rebate_High Speed Washer_Laundromat_SMB</v>
      </c>
      <c r="C663" s="47" t="str">
        <f t="shared" si="406"/>
        <v>High Speed Washer_Laundromat_SMB</v>
      </c>
      <c r="D663" s="270" t="s">
        <v>1787</v>
      </c>
      <c r="E663" s="270" t="s">
        <v>3</v>
      </c>
      <c r="F663" s="270" t="s">
        <v>1432</v>
      </c>
      <c r="G663" s="270" t="s">
        <v>1799</v>
      </c>
      <c r="H663" s="270" t="s">
        <v>725</v>
      </c>
      <c r="I663" s="270" t="s">
        <v>1356</v>
      </c>
      <c r="J663" s="270" t="s">
        <v>1220</v>
      </c>
      <c r="K663" s="263">
        <v>1</v>
      </c>
      <c r="L663" s="263" t="str">
        <f ca="1">IFERROR(INDEX(Algorithms!J:J,MATCH($C663&amp;"_Therm Saved per Unit",Algorithms!$A:$A,0)),"n/a")</f>
        <v>4.8.5</v>
      </c>
      <c r="M663" s="263" t="str">
        <f>IFERROR(INDEX('Measure Level Detail'!$N:$N,MATCH($B663,'Measure Level Detail'!$B:$B,0)),0)</f>
        <v>lb-capacity</v>
      </c>
      <c r="N663" s="271">
        <f>IFERROR(INDEX('Measure Level Detail'!$P:$P,MATCH($B663&amp;"_"&amp;N$3,'Measure Level Detail'!$C:$C,0)),0)</f>
        <v>0</v>
      </c>
      <c r="O663" s="271">
        <f>IFERROR(INDEX('Measure Level Detail'!$P:$P,MATCH($B663&amp;"_"&amp;O$3,'Measure Level Detail'!$C:$C,0)),0)</f>
        <v>0</v>
      </c>
      <c r="P663" s="271">
        <f>IFERROR(INDEX('Measure Level Detail'!$P:$P,MATCH($B663&amp;"_"&amp;P$3,'Measure Level Detail'!$C:$C,0)),0)</f>
        <v>0</v>
      </c>
      <c r="Q663" s="271">
        <f>IFERROR(INDEX('Measure Level Detail'!$P:$P,MATCH($B663&amp;"_"&amp;Q$3,'Measure Level Detail'!$C:$C,0)),0)</f>
        <v>0</v>
      </c>
      <c r="R663" s="263" t="str">
        <f ca="1">IFERROR(INDEX(Algorithms!K:K,MATCH($C663&amp;"_Therm Saved per Unit",Algorithms!$A:$A,0)),"n/a")</f>
        <v>CI-MSC-HSCW-V03-240101</v>
      </c>
      <c r="S663" s="262"/>
      <c r="T663" s="272">
        <v>2.7891864000000002</v>
      </c>
      <c r="U663" s="272">
        <v>2.7891864000000002</v>
      </c>
      <c r="V663" s="272">
        <v>2.7891864000000002</v>
      </c>
      <c r="W663" s="272">
        <v>2.7891864000000002</v>
      </c>
      <c r="X663" s="276">
        <v>0.93</v>
      </c>
      <c r="Y663" s="276">
        <v>0.93</v>
      </c>
      <c r="Z663" s="276">
        <v>0.93</v>
      </c>
      <c r="AA663" s="276">
        <v>0.93</v>
      </c>
      <c r="AB663" s="266">
        <f t="shared" si="407"/>
        <v>0</v>
      </c>
      <c r="AC663" s="266">
        <f t="shared" si="408"/>
        <v>0</v>
      </c>
      <c r="AD663" s="266">
        <f t="shared" si="409"/>
        <v>0</v>
      </c>
      <c r="AE663" s="266">
        <f t="shared" si="410"/>
        <v>0</v>
      </c>
      <c r="AF663" s="266">
        <f t="shared" si="411"/>
        <v>0</v>
      </c>
      <c r="AG663" s="274">
        <v>0.93</v>
      </c>
      <c r="AH663" s="274">
        <v>0.93</v>
      </c>
      <c r="AI663" s="274">
        <v>0.93</v>
      </c>
      <c r="AJ663" s="274">
        <v>0.93</v>
      </c>
      <c r="AK663" s="274">
        <f t="shared" si="412"/>
        <v>0.93</v>
      </c>
      <c r="AL663" s="274">
        <f t="shared" si="413"/>
        <v>0.93</v>
      </c>
      <c r="AM663" s="274">
        <f t="shared" si="414"/>
        <v>0.93</v>
      </c>
      <c r="AN663" s="274">
        <f t="shared" si="415"/>
        <v>0.93</v>
      </c>
      <c r="AO663" s="262"/>
      <c r="AP663" s="262"/>
      <c r="AQ663" s="267">
        <v>2.7891864000000002</v>
      </c>
      <c r="AR663" s="262"/>
      <c r="AS663" s="266">
        <f t="shared" si="416"/>
        <v>0</v>
      </c>
      <c r="AT663" s="264">
        <f t="shared" si="417"/>
        <v>0</v>
      </c>
      <c r="AU663" s="262"/>
      <c r="AV663" s="262"/>
      <c r="AW663" s="265">
        <v>2.7891864000000002</v>
      </c>
      <c r="AX663" s="164" t="s">
        <v>1469</v>
      </c>
      <c r="AY663" s="266">
        <v>0</v>
      </c>
      <c r="AZ663" s="266">
        <f t="shared" si="418"/>
        <v>0</v>
      </c>
      <c r="BA663" s="264">
        <f t="shared" si="419"/>
        <v>0</v>
      </c>
      <c r="BB663" s="262"/>
      <c r="BC663" s="262"/>
      <c r="BD663" s="265">
        <f ca="1">IFERROR(INDEX(Algorithms!$G:$G,MATCH($C663&amp;"_Therm Saved per Unit",Algorithms!$A:$A,0)),0)</f>
        <v>2.7891864000000002</v>
      </c>
      <c r="BE663" s="164" t="str">
        <f ca="1">IFERROR(INDEX('v12 Revisions'!$P$29:$P$186, MATCH('Measure-Level Adj Gas'!$L663, 'v12 Revisions'!$D$29:$D$186,0)),"")</f>
        <v>n/a - costs only.</v>
      </c>
      <c r="BF663" s="266">
        <f t="shared" ca="1" si="420"/>
        <v>0</v>
      </c>
      <c r="BG663" s="264">
        <f t="shared" ca="1" si="421"/>
        <v>0</v>
      </c>
      <c r="BH663" s="262"/>
      <c r="BI663" s="262"/>
      <c r="BJ663" s="265">
        <f ca="1">IFERROR(INDEX(Algorithms!$G:$G,MATCH($C663&amp;"_Therm Saved per Unit",Algorithms!$A:$A,0)),0)</f>
        <v>2.7891864000000002</v>
      </c>
      <c r="BK663" s="164"/>
      <c r="BL663" s="266">
        <f t="shared" ca="1" si="422"/>
        <v>0</v>
      </c>
      <c r="BM663" s="264">
        <f t="shared" ca="1" si="423"/>
        <v>0</v>
      </c>
      <c r="BN663" s="266">
        <f t="shared" si="424"/>
        <v>0</v>
      </c>
      <c r="BO663" s="266">
        <f t="shared" si="425"/>
        <v>0</v>
      </c>
      <c r="BP663" s="266">
        <f t="shared" ca="1" si="426"/>
        <v>0</v>
      </c>
      <c r="BQ663" s="266">
        <f t="shared" ca="1" si="427"/>
        <v>0</v>
      </c>
      <c r="BR663" s="268">
        <f t="shared" ca="1" si="428"/>
        <v>0</v>
      </c>
      <c r="BS663" s="262" t="s">
        <v>99</v>
      </c>
      <c r="BT663" s="277"/>
      <c r="BW663" s="266">
        <f t="shared" si="429"/>
        <v>0</v>
      </c>
      <c r="BX663" s="266">
        <f t="shared" si="430"/>
        <v>0</v>
      </c>
      <c r="BY663" s="266">
        <f t="shared" si="431"/>
        <v>0</v>
      </c>
      <c r="BZ663" s="266">
        <f t="shared" si="432"/>
        <v>0</v>
      </c>
      <c r="CA663" s="266">
        <f ca="1">N663*IFERROR(INDEX(Algorithms!$G:$G,MATCH($C663&amp;"_Therm Saved per Unit- MLA",Algorithms!$A:$A,0)),0)*X663</f>
        <v>0</v>
      </c>
      <c r="CB663" s="266">
        <f ca="1">O663*IFERROR(INDEX(Algorithms!$G:$G,MATCH($C663&amp;"_Therm Saved per Unit- MLA",Algorithms!$A:$A,0)),0)*Y663</f>
        <v>0</v>
      </c>
      <c r="CC663" s="266">
        <f ca="1">P663*IFERROR(INDEX(Algorithms!$G:$G,MATCH($C663&amp;"_Therm Saved per Unit- MLA",Algorithms!$A:$A,0)),0)*Z663</f>
        <v>0</v>
      </c>
      <c r="CD663" s="266">
        <f ca="1">Q663*IFERROR(INDEX(Algorithms!$G:$G,MATCH($C663&amp;"_Therm Saved per Unit- MLA",Algorithms!$A:$A,0)),0)*AA663</f>
        <v>0</v>
      </c>
      <c r="CE663" s="266">
        <f ca="1">IFERROR(INDEX(Algorithms!$G:$G,MATCH($C663&amp;"_Lifetime (years)",Algorithms!$A:$A,0)),0)</f>
        <v>7</v>
      </c>
      <c r="CF663" s="266">
        <f ca="1">IFERROR(INDEX(Algorithms!$G:$G,MATCH($C663&amp;"_Lifetime (years) - Remaining Years",Algorithms!$A:$A,0)),0)</f>
        <v>0</v>
      </c>
      <c r="CG663" s="266">
        <f t="shared" ca="1" si="433"/>
        <v>0</v>
      </c>
      <c r="CH663" s="266">
        <f t="shared" ca="1" si="434"/>
        <v>0</v>
      </c>
      <c r="CI663" s="266">
        <f t="shared" ca="1" si="435"/>
        <v>0</v>
      </c>
      <c r="CJ663" s="266">
        <f t="shared" ca="1" si="436"/>
        <v>0</v>
      </c>
      <c r="CK663" s="266">
        <f t="shared" si="437"/>
        <v>0</v>
      </c>
      <c r="CL663" s="266">
        <f t="shared" si="438"/>
        <v>0</v>
      </c>
      <c r="CM663" s="266">
        <f t="shared" ca="1" si="439"/>
        <v>0</v>
      </c>
      <c r="CN663" s="266">
        <f t="shared" ca="1" si="440"/>
        <v>0</v>
      </c>
      <c r="CO663" s="266">
        <f ca="1">N663*IFERROR(INDEX(Algorithms!$G:$G,MATCH($C663&amp;"_Therm Saved per Unit- MLA",Algorithms!$A:$A,0)),0)*X663</f>
        <v>0</v>
      </c>
      <c r="CP663" s="266">
        <f ca="1">O663*IFERROR(INDEX(Algorithms!$G:$G,MATCH($C663&amp;"_Therm Saved per Unit- MLA",Algorithms!$A:$A,0)),0)*Y663</f>
        <v>0</v>
      </c>
      <c r="CQ663" s="266">
        <f ca="1">P663*IFERROR(INDEX(Algorithms!$G:$G,MATCH($C663&amp;"_Therm Saved per Unit- MLA",Algorithms!$A:$A,0)),0)*Z663</f>
        <v>0</v>
      </c>
      <c r="CR663" s="266">
        <f ca="1">Q663*IFERROR(INDEX(Algorithms!$G:$G,MATCH($C663&amp;"_Therm Saved per Unit- MLA",Algorithms!$A:$A,0)),0)*AA663</f>
        <v>0</v>
      </c>
      <c r="CS663" s="266">
        <f ca="1">IFERROR(INDEX(Algorithms!$G:$G,MATCH($C663&amp;"_Lifetime (years)",Algorithms!$A:$A,0)),0)</f>
        <v>7</v>
      </c>
      <c r="CT663" s="266">
        <f ca="1">IFERROR(INDEX(Algorithms!$G:$G,MATCH($C663&amp;"_Lifetime (years) - Remaining Years",Algorithms!$A:$A,0)),0)</f>
        <v>0</v>
      </c>
      <c r="CU663" s="266">
        <f t="shared" ca="1" si="441"/>
        <v>0</v>
      </c>
      <c r="CV663" s="266">
        <f t="shared" ca="1" si="442"/>
        <v>0</v>
      </c>
      <c r="CW663" s="266">
        <f t="shared" ca="1" si="443"/>
        <v>0</v>
      </c>
      <c r="CX663" s="266">
        <f t="shared" ca="1" si="444"/>
        <v>0</v>
      </c>
    </row>
    <row r="664" spans="2:102" s="47" customFormat="1" ht="18" customHeight="1" x14ac:dyDescent="0.25">
      <c r="B664" t="str">
        <f t="shared" si="445"/>
        <v>NSG_Business_Small/Mid-Size Business_Partner Trade Ally Rebate_Demand Controlled Ventilation_0_MF/CI/SMB</v>
      </c>
      <c r="C664" s="47" t="str">
        <f t="shared" si="406"/>
        <v>Demand Controlled Ventilation_0_MF/CI/SMB</v>
      </c>
      <c r="D664" s="270" t="s">
        <v>1787</v>
      </c>
      <c r="E664" s="270" t="s">
        <v>3</v>
      </c>
      <c r="F664" s="270" t="s">
        <v>1432</v>
      </c>
      <c r="G664" s="270" t="s">
        <v>1799</v>
      </c>
      <c r="H664" s="270" t="s">
        <v>14</v>
      </c>
      <c r="I664" s="270">
        <v>0</v>
      </c>
      <c r="J664" s="270" t="s">
        <v>662</v>
      </c>
      <c r="K664" s="263">
        <v>1</v>
      </c>
      <c r="L664" s="263" t="str">
        <f ca="1">IFERROR(INDEX(Algorithms!J:J,MATCH($C664&amp;"_Therm Saved per Unit",Algorithms!$A:$A,0)),"n/a")</f>
        <v>4.4.19</v>
      </c>
      <c r="M664" s="263" t="str">
        <f>IFERROR(INDEX('Measure Level Detail'!$N:$N,MATCH($B664,'Measure Level Detail'!$B:$B,0)),0)</f>
        <v>sqft</v>
      </c>
      <c r="N664" s="271">
        <f>IFERROR(INDEX('Measure Level Detail'!$P:$P,MATCH($B664&amp;"_"&amp;N$3,'Measure Level Detail'!$C:$C,0)),0)</f>
        <v>0</v>
      </c>
      <c r="O664" s="271">
        <f>IFERROR(INDEX('Measure Level Detail'!$P:$P,MATCH($B664&amp;"_"&amp;O$3,'Measure Level Detail'!$C:$C,0)),0)</f>
        <v>0</v>
      </c>
      <c r="P664" s="271">
        <f>IFERROR(INDEX('Measure Level Detail'!$P:$P,MATCH($B664&amp;"_"&amp;P$3,'Measure Level Detail'!$C:$C,0)),0)</f>
        <v>0</v>
      </c>
      <c r="Q664" s="271">
        <f>IFERROR(INDEX('Measure Level Detail'!$P:$P,MATCH($B664&amp;"_"&amp;Q$3,'Measure Level Detail'!$C:$C,0)),0)</f>
        <v>0</v>
      </c>
      <c r="R664" s="263" t="str">
        <f ca="1">IFERROR(INDEX(Algorithms!K:K,MATCH($C664&amp;"_Therm Saved per Unit",Algorithms!$A:$A,0)),"n/a")</f>
        <v>CI-HVC-DCV-V07-240101</v>
      </c>
      <c r="S664" s="262"/>
      <c r="T664" s="272">
        <v>6.8000000000000005E-2</v>
      </c>
      <c r="U664" s="272">
        <v>6.8000000000000005E-2</v>
      </c>
      <c r="V664" s="272">
        <v>6.8000000000000005E-2</v>
      </c>
      <c r="W664" s="272">
        <v>6.8000000000000005E-2</v>
      </c>
      <c r="X664" s="276">
        <v>0.93</v>
      </c>
      <c r="Y664" s="276">
        <v>0.93</v>
      </c>
      <c r="Z664" s="276">
        <v>0.93</v>
      </c>
      <c r="AA664" s="276">
        <v>0.93</v>
      </c>
      <c r="AB664" s="266">
        <f t="shared" si="407"/>
        <v>0</v>
      </c>
      <c r="AC664" s="266">
        <f t="shared" si="408"/>
        <v>0</v>
      </c>
      <c r="AD664" s="266">
        <f t="shared" si="409"/>
        <v>0</v>
      </c>
      <c r="AE664" s="266">
        <f t="shared" si="410"/>
        <v>0</v>
      </c>
      <c r="AF664" s="266">
        <f t="shared" si="411"/>
        <v>0</v>
      </c>
      <c r="AG664" s="274">
        <v>0.93</v>
      </c>
      <c r="AH664" s="274">
        <v>0.93</v>
      </c>
      <c r="AI664" s="274">
        <v>0.93</v>
      </c>
      <c r="AJ664" s="274">
        <v>0.93</v>
      </c>
      <c r="AK664" s="274">
        <f t="shared" si="412"/>
        <v>0.93</v>
      </c>
      <c r="AL664" s="274">
        <f t="shared" si="413"/>
        <v>0.93</v>
      </c>
      <c r="AM664" s="274">
        <f t="shared" si="414"/>
        <v>0.93</v>
      </c>
      <c r="AN664" s="274">
        <f t="shared" si="415"/>
        <v>0.93</v>
      </c>
      <c r="AO664" s="262"/>
      <c r="AP664" s="262"/>
      <c r="AQ664" s="267">
        <v>6.8000000000000005E-2</v>
      </c>
      <c r="AR664" s="262"/>
      <c r="AS664" s="266">
        <f t="shared" si="416"/>
        <v>0</v>
      </c>
      <c r="AT664" s="264">
        <f t="shared" si="417"/>
        <v>0</v>
      </c>
      <c r="AU664" s="262"/>
      <c r="AV664" s="262"/>
      <c r="AW664" s="265">
        <v>6.8000000000000005E-2</v>
      </c>
      <c r="AX664" s="164" t="s">
        <v>1469</v>
      </c>
      <c r="AY664" s="266">
        <v>0</v>
      </c>
      <c r="AZ664" s="266">
        <f t="shared" si="418"/>
        <v>0</v>
      </c>
      <c r="BA664" s="264">
        <f t="shared" si="419"/>
        <v>0</v>
      </c>
      <c r="BB664" s="262"/>
      <c r="BC664" s="262"/>
      <c r="BD664" s="265">
        <f ca="1">IFERROR(INDEX(Algorithms!$G:$G,MATCH($C664&amp;"_Therm Saved per Unit",Algorithms!$A:$A,0)),0)</f>
        <v>6.8000000000000005E-2</v>
      </c>
      <c r="BE664" s="164" t="str">
        <f ca="1">IFERROR(INDEX('v12 Revisions'!$P$29:$P$186, MATCH('Measure-Level Adj Gas'!$L664, 'v12 Revisions'!$D$29:$D$186,0)),"")</f>
        <v>n/a - language and costs.</v>
      </c>
      <c r="BF664" s="266">
        <f t="shared" ca="1" si="420"/>
        <v>0</v>
      </c>
      <c r="BG664" s="264">
        <f t="shared" ca="1" si="421"/>
        <v>0</v>
      </c>
      <c r="BH664" s="262"/>
      <c r="BI664" s="262"/>
      <c r="BJ664" s="265">
        <f ca="1">IFERROR(INDEX(Algorithms!$G:$G,MATCH($C664&amp;"_Therm Saved per Unit",Algorithms!$A:$A,0)),0)</f>
        <v>6.8000000000000005E-2</v>
      </c>
      <c r="BK664" s="164"/>
      <c r="BL664" s="266">
        <f t="shared" ca="1" si="422"/>
        <v>0</v>
      </c>
      <c r="BM664" s="264">
        <f t="shared" ca="1" si="423"/>
        <v>0</v>
      </c>
      <c r="BN664" s="266">
        <f t="shared" si="424"/>
        <v>0</v>
      </c>
      <c r="BO664" s="266">
        <f t="shared" si="425"/>
        <v>0</v>
      </c>
      <c r="BP664" s="266">
        <f t="shared" ca="1" si="426"/>
        <v>0</v>
      </c>
      <c r="BQ664" s="266">
        <f t="shared" ca="1" si="427"/>
        <v>0</v>
      </c>
      <c r="BR664" s="268">
        <f t="shared" ca="1" si="428"/>
        <v>0</v>
      </c>
      <c r="BS664" s="262" t="s">
        <v>99</v>
      </c>
      <c r="BT664" s="277"/>
      <c r="BW664" s="266">
        <f t="shared" si="429"/>
        <v>0</v>
      </c>
      <c r="BX664" s="266">
        <f t="shared" si="430"/>
        <v>0</v>
      </c>
      <c r="BY664" s="266">
        <f t="shared" si="431"/>
        <v>0</v>
      </c>
      <c r="BZ664" s="266">
        <f t="shared" si="432"/>
        <v>0</v>
      </c>
      <c r="CA664" s="266">
        <f ca="1">N664*IFERROR(INDEX(Algorithms!$G:$G,MATCH($C664&amp;"_Therm Saved per Unit- MLA",Algorithms!$A:$A,0)),0)*X664</f>
        <v>0</v>
      </c>
      <c r="CB664" s="266">
        <f ca="1">O664*IFERROR(INDEX(Algorithms!$G:$G,MATCH($C664&amp;"_Therm Saved per Unit- MLA",Algorithms!$A:$A,0)),0)*Y664</f>
        <v>0</v>
      </c>
      <c r="CC664" s="266">
        <f ca="1">P664*IFERROR(INDEX(Algorithms!$G:$G,MATCH($C664&amp;"_Therm Saved per Unit- MLA",Algorithms!$A:$A,0)),0)*Z664</f>
        <v>0</v>
      </c>
      <c r="CD664" s="266">
        <f ca="1">Q664*IFERROR(INDEX(Algorithms!$G:$G,MATCH($C664&amp;"_Therm Saved per Unit- MLA",Algorithms!$A:$A,0)),0)*AA664</f>
        <v>0</v>
      </c>
      <c r="CE664" s="266">
        <f ca="1">IFERROR(INDEX(Algorithms!$G:$G,MATCH($C664&amp;"_Lifetime (years)",Algorithms!$A:$A,0)),0)</f>
        <v>10</v>
      </c>
      <c r="CF664" s="266">
        <f ca="1">IFERROR(INDEX(Algorithms!$G:$G,MATCH($C664&amp;"_Lifetime (years) - Remaining Years",Algorithms!$A:$A,0)),0)</f>
        <v>0</v>
      </c>
      <c r="CG664" s="266">
        <f t="shared" ca="1" si="433"/>
        <v>0</v>
      </c>
      <c r="CH664" s="266">
        <f t="shared" ca="1" si="434"/>
        <v>0</v>
      </c>
      <c r="CI664" s="266">
        <f t="shared" ca="1" si="435"/>
        <v>0</v>
      </c>
      <c r="CJ664" s="266">
        <f t="shared" ca="1" si="436"/>
        <v>0</v>
      </c>
      <c r="CK664" s="266">
        <f t="shared" si="437"/>
        <v>0</v>
      </c>
      <c r="CL664" s="266">
        <f t="shared" si="438"/>
        <v>0</v>
      </c>
      <c r="CM664" s="266">
        <f t="shared" ca="1" si="439"/>
        <v>0</v>
      </c>
      <c r="CN664" s="266">
        <f t="shared" ca="1" si="440"/>
        <v>0</v>
      </c>
      <c r="CO664" s="266">
        <f ca="1">N664*IFERROR(INDEX(Algorithms!$G:$G,MATCH($C664&amp;"_Therm Saved per Unit- MLA",Algorithms!$A:$A,0)),0)*X664</f>
        <v>0</v>
      </c>
      <c r="CP664" s="266">
        <f ca="1">O664*IFERROR(INDEX(Algorithms!$G:$G,MATCH($C664&amp;"_Therm Saved per Unit- MLA",Algorithms!$A:$A,0)),0)*Y664</f>
        <v>0</v>
      </c>
      <c r="CQ664" s="266">
        <f ca="1">P664*IFERROR(INDEX(Algorithms!$G:$G,MATCH($C664&amp;"_Therm Saved per Unit- MLA",Algorithms!$A:$A,0)),0)*Z664</f>
        <v>0</v>
      </c>
      <c r="CR664" s="266">
        <f ca="1">Q664*IFERROR(INDEX(Algorithms!$G:$G,MATCH($C664&amp;"_Therm Saved per Unit- MLA",Algorithms!$A:$A,0)),0)*AA664</f>
        <v>0</v>
      </c>
      <c r="CS664" s="266">
        <f ca="1">IFERROR(INDEX(Algorithms!$G:$G,MATCH($C664&amp;"_Lifetime (years)",Algorithms!$A:$A,0)),0)</f>
        <v>10</v>
      </c>
      <c r="CT664" s="266">
        <f ca="1">IFERROR(INDEX(Algorithms!$G:$G,MATCH($C664&amp;"_Lifetime (years) - Remaining Years",Algorithms!$A:$A,0)),0)</f>
        <v>0</v>
      </c>
      <c r="CU664" s="266">
        <f t="shared" ca="1" si="441"/>
        <v>0</v>
      </c>
      <c r="CV664" s="266">
        <f t="shared" ca="1" si="442"/>
        <v>0</v>
      </c>
      <c r="CW664" s="266">
        <f t="shared" ca="1" si="443"/>
        <v>0</v>
      </c>
      <c r="CX664" s="266">
        <f t="shared" ca="1" si="444"/>
        <v>0</v>
      </c>
    </row>
    <row r="665" spans="2:102" s="47" customFormat="1" ht="18" customHeight="1" x14ac:dyDescent="0.25">
      <c r="B665" t="str">
        <f t="shared" si="445"/>
        <v>NSG_Business_Small/Mid-Size Business_Partner Trade Ally Rebate_Dock Door Seals_0_CI</v>
      </c>
      <c r="C665" s="47" t="str">
        <f t="shared" si="406"/>
        <v>Dock Door Seals_0_CI</v>
      </c>
      <c r="D665" s="270" t="s">
        <v>1787</v>
      </c>
      <c r="E665" s="270" t="s">
        <v>3</v>
      </c>
      <c r="F665" s="270" t="s">
        <v>1432</v>
      </c>
      <c r="G665" s="270" t="s">
        <v>1799</v>
      </c>
      <c r="H665" s="270" t="s">
        <v>1291</v>
      </c>
      <c r="I665" s="270">
        <v>0</v>
      </c>
      <c r="J665" s="270" t="s">
        <v>1159</v>
      </c>
      <c r="K665" s="263">
        <v>1</v>
      </c>
      <c r="L665" s="263">
        <f ca="1">IFERROR(INDEX(Algorithms!J:J,MATCH($C665&amp;"_Therm Saved per Unit",Algorithms!$A:$A,0)),"n/a")</f>
        <v>0</v>
      </c>
      <c r="M665" s="263" t="str">
        <f>IFERROR(INDEX('Measure Level Detail'!$N:$N,MATCH($B665,'Measure Level Detail'!$B:$B,0)),0)</f>
        <v>each</v>
      </c>
      <c r="N665" s="271">
        <f>IFERROR(INDEX('Measure Level Detail'!$P:$P,MATCH($B665&amp;"_"&amp;N$3,'Measure Level Detail'!$C:$C,0)),0)</f>
        <v>0</v>
      </c>
      <c r="O665" s="271">
        <f>IFERROR(INDEX('Measure Level Detail'!$P:$P,MATCH($B665&amp;"_"&amp;O$3,'Measure Level Detail'!$C:$C,0)),0)</f>
        <v>0</v>
      </c>
      <c r="P665" s="271">
        <f>IFERROR(INDEX('Measure Level Detail'!$P:$P,MATCH($B665&amp;"_"&amp;P$3,'Measure Level Detail'!$C:$C,0)),0)</f>
        <v>0</v>
      </c>
      <c r="Q665" s="271">
        <f>IFERROR(INDEX('Measure Level Detail'!$P:$P,MATCH($B665&amp;"_"&amp;Q$3,'Measure Level Detail'!$C:$C,0)),0)</f>
        <v>0</v>
      </c>
      <c r="R665" s="263">
        <f ca="1">IFERROR(INDEX(Algorithms!K:K,MATCH($C665&amp;"_Therm Saved per Unit",Algorithms!$A:$A,0)),"n/a")</f>
        <v>0</v>
      </c>
      <c r="S665" s="262"/>
      <c r="T665" s="272">
        <v>234.94825714285713</v>
      </c>
      <c r="U665" s="272">
        <v>234.94825714285713</v>
      </c>
      <c r="V665" s="272">
        <v>234.94825714285713</v>
      </c>
      <c r="W665" s="272">
        <v>234.94825714285713</v>
      </c>
      <c r="X665" s="276">
        <v>0.93</v>
      </c>
      <c r="Y665" s="276">
        <v>0.93</v>
      </c>
      <c r="Z665" s="276">
        <v>0.93</v>
      </c>
      <c r="AA665" s="276">
        <v>0.93</v>
      </c>
      <c r="AB665" s="266">
        <f t="shared" si="407"/>
        <v>0</v>
      </c>
      <c r="AC665" s="266">
        <f t="shared" si="408"/>
        <v>0</v>
      </c>
      <c r="AD665" s="266">
        <f t="shared" si="409"/>
        <v>0</v>
      </c>
      <c r="AE665" s="266">
        <f t="shared" si="410"/>
        <v>0</v>
      </c>
      <c r="AF665" s="266">
        <f t="shared" si="411"/>
        <v>0</v>
      </c>
      <c r="AG665" s="274">
        <v>0.93</v>
      </c>
      <c r="AH665" s="274">
        <v>0.93</v>
      </c>
      <c r="AI665" s="274">
        <v>0.93</v>
      </c>
      <c r="AJ665" s="274">
        <v>0.93</v>
      </c>
      <c r="AK665" s="274">
        <f t="shared" si="412"/>
        <v>0.93</v>
      </c>
      <c r="AL665" s="274">
        <f t="shared" si="413"/>
        <v>0.93</v>
      </c>
      <c r="AM665" s="274">
        <f t="shared" si="414"/>
        <v>0.93</v>
      </c>
      <c r="AN665" s="274">
        <f t="shared" si="415"/>
        <v>0.93</v>
      </c>
      <c r="AO665" s="262"/>
      <c r="AP665" s="262"/>
      <c r="AQ665" s="267">
        <v>234.94825714285713</v>
      </c>
      <c r="AR665" s="262"/>
      <c r="AS665" s="266">
        <f t="shared" si="416"/>
        <v>0</v>
      </c>
      <c r="AT665" s="264">
        <f t="shared" si="417"/>
        <v>0</v>
      </c>
      <c r="AU665" s="262"/>
      <c r="AV665" s="262"/>
      <c r="AW665" s="265">
        <v>234.94825714285713</v>
      </c>
      <c r="AX665" s="164" t="s">
        <v>1469</v>
      </c>
      <c r="AY665" s="266">
        <v>0</v>
      </c>
      <c r="AZ665" s="266">
        <f t="shared" si="418"/>
        <v>0</v>
      </c>
      <c r="BA665" s="264">
        <f t="shared" si="419"/>
        <v>0</v>
      </c>
      <c r="BB665" s="262"/>
      <c r="BC665" s="262"/>
      <c r="BD665" s="265">
        <f ca="1">IFERROR(INDEX(Algorithms!$G:$G,MATCH($C665&amp;"_Therm Saved per Unit",Algorithms!$A:$A,0)),0)</f>
        <v>234.94825714285713</v>
      </c>
      <c r="BE665" s="164" t="str">
        <f ca="1">IFERROR(INDEX('v12 Revisions'!$P$29:$P$186, MATCH('Measure-Level Adj Gas'!$L665, 'v12 Revisions'!$D$29:$D$186,0)),"")</f>
        <v/>
      </c>
      <c r="BF665" s="266">
        <f t="shared" ca="1" si="420"/>
        <v>0</v>
      </c>
      <c r="BG665" s="264">
        <f t="shared" ca="1" si="421"/>
        <v>0</v>
      </c>
      <c r="BH665" s="262"/>
      <c r="BI665" s="262"/>
      <c r="BJ665" s="265">
        <f ca="1">IFERROR(INDEX(Algorithms!$G:$G,MATCH($C665&amp;"_Therm Saved per Unit",Algorithms!$A:$A,0)),0)</f>
        <v>234.94825714285713</v>
      </c>
      <c r="BK665" s="164"/>
      <c r="BL665" s="266">
        <f t="shared" ca="1" si="422"/>
        <v>0</v>
      </c>
      <c r="BM665" s="264">
        <f t="shared" ca="1" si="423"/>
        <v>0</v>
      </c>
      <c r="BN665" s="266">
        <f t="shared" si="424"/>
        <v>0</v>
      </c>
      <c r="BO665" s="266">
        <f t="shared" si="425"/>
        <v>0</v>
      </c>
      <c r="BP665" s="266">
        <f t="shared" ca="1" si="426"/>
        <v>0</v>
      </c>
      <c r="BQ665" s="266">
        <f t="shared" ca="1" si="427"/>
        <v>0</v>
      </c>
      <c r="BR665" s="268">
        <f t="shared" ca="1" si="428"/>
        <v>0</v>
      </c>
      <c r="BS665" s="262" t="s">
        <v>99</v>
      </c>
      <c r="BT665" s="277"/>
      <c r="BW665" s="266">
        <f t="shared" si="429"/>
        <v>0</v>
      </c>
      <c r="BX665" s="266">
        <f t="shared" si="430"/>
        <v>0</v>
      </c>
      <c r="BY665" s="266">
        <f t="shared" si="431"/>
        <v>0</v>
      </c>
      <c r="BZ665" s="266">
        <f t="shared" si="432"/>
        <v>0</v>
      </c>
      <c r="CA665" s="266">
        <f ca="1">N665*IFERROR(INDEX(Algorithms!$G:$G,MATCH($C665&amp;"_Therm Saved per Unit- MLA",Algorithms!$A:$A,0)),0)*X665</f>
        <v>0</v>
      </c>
      <c r="CB665" s="266">
        <f ca="1">O665*IFERROR(INDEX(Algorithms!$G:$G,MATCH($C665&amp;"_Therm Saved per Unit- MLA",Algorithms!$A:$A,0)),0)*Y665</f>
        <v>0</v>
      </c>
      <c r="CC665" s="266">
        <f ca="1">P665*IFERROR(INDEX(Algorithms!$G:$G,MATCH($C665&amp;"_Therm Saved per Unit- MLA",Algorithms!$A:$A,0)),0)*Z665</f>
        <v>0</v>
      </c>
      <c r="CD665" s="266">
        <f ca="1">Q665*IFERROR(INDEX(Algorithms!$G:$G,MATCH($C665&amp;"_Therm Saved per Unit- MLA",Algorithms!$A:$A,0)),0)*AA665</f>
        <v>0</v>
      </c>
      <c r="CE665" s="266">
        <f ca="1">IFERROR(INDEX(Algorithms!$G:$G,MATCH($C665&amp;"_Lifetime (years)",Algorithms!$A:$A,0)),0)</f>
        <v>20</v>
      </c>
      <c r="CF665" s="266">
        <f ca="1">IFERROR(INDEX(Algorithms!$G:$G,MATCH($C665&amp;"_Lifetime (years) - Remaining Years",Algorithms!$A:$A,0)),0)</f>
        <v>0</v>
      </c>
      <c r="CG665" s="266">
        <f t="shared" ca="1" si="433"/>
        <v>0</v>
      </c>
      <c r="CH665" s="266">
        <f t="shared" ca="1" si="434"/>
        <v>0</v>
      </c>
      <c r="CI665" s="266">
        <f t="shared" ca="1" si="435"/>
        <v>0</v>
      </c>
      <c r="CJ665" s="266">
        <f t="shared" ca="1" si="436"/>
        <v>0</v>
      </c>
      <c r="CK665" s="266">
        <f t="shared" si="437"/>
        <v>0</v>
      </c>
      <c r="CL665" s="266">
        <f t="shared" si="438"/>
        <v>0</v>
      </c>
      <c r="CM665" s="266">
        <f t="shared" ca="1" si="439"/>
        <v>0</v>
      </c>
      <c r="CN665" s="266">
        <f t="shared" ca="1" si="440"/>
        <v>0</v>
      </c>
      <c r="CO665" s="266">
        <f ca="1">N665*IFERROR(INDEX(Algorithms!$G:$G,MATCH($C665&amp;"_Therm Saved per Unit- MLA",Algorithms!$A:$A,0)),0)*X665</f>
        <v>0</v>
      </c>
      <c r="CP665" s="266">
        <f ca="1">O665*IFERROR(INDEX(Algorithms!$G:$G,MATCH($C665&amp;"_Therm Saved per Unit- MLA",Algorithms!$A:$A,0)),0)*Y665</f>
        <v>0</v>
      </c>
      <c r="CQ665" s="266">
        <f ca="1">P665*IFERROR(INDEX(Algorithms!$G:$G,MATCH($C665&amp;"_Therm Saved per Unit- MLA",Algorithms!$A:$A,0)),0)*Z665</f>
        <v>0</v>
      </c>
      <c r="CR665" s="266">
        <f ca="1">Q665*IFERROR(INDEX(Algorithms!$G:$G,MATCH($C665&amp;"_Therm Saved per Unit- MLA",Algorithms!$A:$A,0)),0)*AA665</f>
        <v>0</v>
      </c>
      <c r="CS665" s="266">
        <f ca="1">IFERROR(INDEX(Algorithms!$G:$G,MATCH($C665&amp;"_Lifetime (years)",Algorithms!$A:$A,0)),0)</f>
        <v>20</v>
      </c>
      <c r="CT665" s="266">
        <f ca="1">IFERROR(INDEX(Algorithms!$G:$G,MATCH($C665&amp;"_Lifetime (years) - Remaining Years",Algorithms!$A:$A,0)),0)</f>
        <v>0</v>
      </c>
      <c r="CU665" s="266">
        <f t="shared" ca="1" si="441"/>
        <v>0</v>
      </c>
      <c r="CV665" s="266">
        <f t="shared" ca="1" si="442"/>
        <v>0</v>
      </c>
      <c r="CW665" s="266">
        <f t="shared" ca="1" si="443"/>
        <v>0</v>
      </c>
      <c r="CX665" s="266">
        <f t="shared" ca="1" si="444"/>
        <v>0</v>
      </c>
    </row>
    <row r="666" spans="2:102" s="47" customFormat="1" ht="18" customHeight="1" x14ac:dyDescent="0.25">
      <c r="B666" t="str">
        <f t="shared" si="445"/>
        <v>NSG_Business_Small/Mid-Size Business_Partner Trade Ally Rebate_Water Heater_Central Lodging 88% TE_CI</v>
      </c>
      <c r="C666" s="47" t="str">
        <f t="shared" si="406"/>
        <v>Water Heater_Central Lodging 88% TE_CI</v>
      </c>
      <c r="D666" s="270" t="s">
        <v>1787</v>
      </c>
      <c r="E666" s="270" t="s">
        <v>3</v>
      </c>
      <c r="F666" s="270" t="s">
        <v>1432</v>
      </c>
      <c r="G666" s="270" t="s">
        <v>1799</v>
      </c>
      <c r="H666" s="270" t="s">
        <v>8</v>
      </c>
      <c r="I666" s="270" t="s">
        <v>1304</v>
      </c>
      <c r="J666" s="270" t="s">
        <v>1159</v>
      </c>
      <c r="K666" s="263">
        <v>1</v>
      </c>
      <c r="L666" s="263" t="str">
        <f ca="1">IFERROR(INDEX(Algorithms!J:J,MATCH($C666&amp;"_Therm Saved per Unit",Algorithms!$A:$A,0)),"n/a")</f>
        <v>4.3.7</v>
      </c>
      <c r="M666" s="263" t="str">
        <f>IFERROR(INDEX('Measure Level Detail'!$N:$N,MATCH($B666,'Measure Level Detail'!$B:$B,0)),0)</f>
        <v>MBH</v>
      </c>
      <c r="N666" s="271">
        <f>IFERROR(INDEX('Measure Level Detail'!$P:$P,MATCH($B666&amp;"_"&amp;N$3,'Measure Level Detail'!$C:$C,0)),0)</f>
        <v>0</v>
      </c>
      <c r="O666" s="271">
        <f>IFERROR(INDEX('Measure Level Detail'!$P:$P,MATCH($B666&amp;"_"&amp;O$3,'Measure Level Detail'!$C:$C,0)),0)</f>
        <v>0</v>
      </c>
      <c r="P666" s="271">
        <f>IFERROR(INDEX('Measure Level Detail'!$P:$P,MATCH($B666&amp;"_"&amp;P$3,'Measure Level Detail'!$C:$C,0)),0)</f>
        <v>0</v>
      </c>
      <c r="Q666" s="271">
        <f>IFERROR(INDEX('Measure Level Detail'!$P:$P,MATCH($B666&amp;"_"&amp;Q$3,'Measure Level Detail'!$C:$C,0)),0)</f>
        <v>0</v>
      </c>
      <c r="R666" s="263" t="str">
        <f ca="1">IFERROR(INDEX(Algorithms!K:K,MATCH($C666&amp;"_Therm Saved per Unit",Algorithms!$A:$A,0)),"n/a")</f>
        <v>CI-HWE-MDHW-V07-240101</v>
      </c>
      <c r="S666" s="262"/>
      <c r="T666" s="272">
        <v>9.31628800262075</v>
      </c>
      <c r="U666" s="272">
        <v>9.31628800262075</v>
      </c>
      <c r="V666" s="272">
        <v>9.31628800262075</v>
      </c>
      <c r="W666" s="272">
        <v>9.31628800262075</v>
      </c>
      <c r="X666" s="276">
        <v>0.93</v>
      </c>
      <c r="Y666" s="276">
        <v>0.93</v>
      </c>
      <c r="Z666" s="276">
        <v>0.93</v>
      </c>
      <c r="AA666" s="276">
        <v>0.93</v>
      </c>
      <c r="AB666" s="266">
        <f t="shared" si="407"/>
        <v>0</v>
      </c>
      <c r="AC666" s="266">
        <f t="shared" si="408"/>
        <v>0</v>
      </c>
      <c r="AD666" s="266">
        <f t="shared" si="409"/>
        <v>0</v>
      </c>
      <c r="AE666" s="266">
        <f t="shared" si="410"/>
        <v>0</v>
      </c>
      <c r="AF666" s="266">
        <f t="shared" si="411"/>
        <v>0</v>
      </c>
      <c r="AG666" s="274">
        <v>0.93</v>
      </c>
      <c r="AH666" s="274">
        <v>0.93</v>
      </c>
      <c r="AI666" s="274">
        <v>0.93</v>
      </c>
      <c r="AJ666" s="274">
        <v>0.93</v>
      </c>
      <c r="AK666" s="274">
        <f t="shared" si="412"/>
        <v>0.93</v>
      </c>
      <c r="AL666" s="274">
        <f t="shared" si="413"/>
        <v>0.93</v>
      </c>
      <c r="AM666" s="274">
        <f t="shared" si="414"/>
        <v>0.93</v>
      </c>
      <c r="AN666" s="274">
        <f t="shared" si="415"/>
        <v>0.93</v>
      </c>
      <c r="AO666" s="262"/>
      <c r="AP666" s="262"/>
      <c r="AQ666" s="267">
        <v>9.7379830071207483</v>
      </c>
      <c r="AR666" s="262"/>
      <c r="AS666" s="266">
        <f t="shared" si="416"/>
        <v>0</v>
      </c>
      <c r="AT666" s="264">
        <f t="shared" si="417"/>
        <v>0</v>
      </c>
      <c r="AU666" s="262"/>
      <c r="AV666" s="262"/>
      <c r="AW666" s="265">
        <v>9.7379830071207483</v>
      </c>
      <c r="AX666" s="164" t="s">
        <v>1469</v>
      </c>
      <c r="AY666" s="266">
        <v>0</v>
      </c>
      <c r="AZ666" s="266">
        <f t="shared" si="418"/>
        <v>0</v>
      </c>
      <c r="BA666" s="264">
        <f t="shared" si="419"/>
        <v>0</v>
      </c>
      <c r="BB666" s="262"/>
      <c r="BC666" s="262"/>
      <c r="BD666" s="265">
        <f ca="1">IFERROR(INDEX(Algorithms!$G:$G,MATCH($C666&amp;"_Therm Saved per Unit",Algorithms!$A:$A,0)),0)</f>
        <v>9.7379830071207483</v>
      </c>
      <c r="BE666" s="164" t="str">
        <f ca="1">IFERROR(INDEX('v12 Revisions'!$P$29:$P$186, MATCH('Measure-Level Adj Gas'!$L666, 'v12 Revisions'!$D$29:$D$186,0)),"")</f>
        <v>n/a - language only.</v>
      </c>
      <c r="BF666" s="266">
        <f t="shared" ca="1" si="420"/>
        <v>0</v>
      </c>
      <c r="BG666" s="264">
        <f t="shared" ca="1" si="421"/>
        <v>0</v>
      </c>
      <c r="BH666" s="262"/>
      <c r="BI666" s="262"/>
      <c r="BJ666" s="265">
        <f ca="1">IFERROR(INDEX(Algorithms!$G:$G,MATCH($C666&amp;"_Therm Saved per Unit",Algorithms!$A:$A,0)),0)</f>
        <v>9.7379830071207483</v>
      </c>
      <c r="BK666" s="164"/>
      <c r="BL666" s="266">
        <f t="shared" ca="1" si="422"/>
        <v>0</v>
      </c>
      <c r="BM666" s="264">
        <f t="shared" ca="1" si="423"/>
        <v>0</v>
      </c>
      <c r="BN666" s="266">
        <f t="shared" si="424"/>
        <v>0</v>
      </c>
      <c r="BO666" s="266">
        <f t="shared" si="425"/>
        <v>0</v>
      </c>
      <c r="BP666" s="266">
        <f t="shared" ca="1" si="426"/>
        <v>0</v>
      </c>
      <c r="BQ666" s="266">
        <f t="shared" ca="1" si="427"/>
        <v>0</v>
      </c>
      <c r="BR666" s="268">
        <f t="shared" ca="1" si="428"/>
        <v>0</v>
      </c>
      <c r="BS666" s="262" t="s">
        <v>99</v>
      </c>
      <c r="BT666" s="277"/>
      <c r="BW666" s="266">
        <f t="shared" si="429"/>
        <v>0</v>
      </c>
      <c r="BX666" s="266">
        <f t="shared" si="430"/>
        <v>0</v>
      </c>
      <c r="BY666" s="266">
        <f t="shared" si="431"/>
        <v>0</v>
      </c>
      <c r="BZ666" s="266">
        <f t="shared" si="432"/>
        <v>0</v>
      </c>
      <c r="CA666" s="266">
        <f ca="1">N666*IFERROR(INDEX(Algorithms!$G:$G,MATCH($C666&amp;"_Therm Saved per Unit- MLA",Algorithms!$A:$A,0)),0)*X666</f>
        <v>0</v>
      </c>
      <c r="CB666" s="266">
        <f ca="1">O666*IFERROR(INDEX(Algorithms!$G:$G,MATCH($C666&amp;"_Therm Saved per Unit- MLA",Algorithms!$A:$A,0)),0)*Y666</f>
        <v>0</v>
      </c>
      <c r="CC666" s="266">
        <f ca="1">P666*IFERROR(INDEX(Algorithms!$G:$G,MATCH($C666&amp;"_Therm Saved per Unit- MLA",Algorithms!$A:$A,0)),0)*Z666</f>
        <v>0</v>
      </c>
      <c r="CD666" s="266">
        <f ca="1">Q666*IFERROR(INDEX(Algorithms!$G:$G,MATCH($C666&amp;"_Therm Saved per Unit- MLA",Algorithms!$A:$A,0)),0)*AA666</f>
        <v>0</v>
      </c>
      <c r="CE666" s="266">
        <f ca="1">IFERROR(INDEX(Algorithms!$G:$G,MATCH($C666&amp;"_Lifetime (years)",Algorithms!$A:$A,0)),0)</f>
        <v>15</v>
      </c>
      <c r="CF666" s="266">
        <f ca="1">IFERROR(INDEX(Algorithms!$G:$G,MATCH($C666&amp;"_Lifetime (years) - Remaining Years",Algorithms!$A:$A,0)),0)</f>
        <v>0</v>
      </c>
      <c r="CG666" s="266">
        <f t="shared" ca="1" si="433"/>
        <v>0</v>
      </c>
      <c r="CH666" s="266">
        <f t="shared" ca="1" si="434"/>
        <v>0</v>
      </c>
      <c r="CI666" s="266">
        <f t="shared" ca="1" si="435"/>
        <v>0</v>
      </c>
      <c r="CJ666" s="266">
        <f t="shared" ca="1" si="436"/>
        <v>0</v>
      </c>
      <c r="CK666" s="266">
        <f t="shared" si="437"/>
        <v>0</v>
      </c>
      <c r="CL666" s="266">
        <f t="shared" si="438"/>
        <v>0</v>
      </c>
      <c r="CM666" s="266">
        <f t="shared" ca="1" si="439"/>
        <v>0</v>
      </c>
      <c r="CN666" s="266">
        <f t="shared" ca="1" si="440"/>
        <v>0</v>
      </c>
      <c r="CO666" s="266">
        <f ca="1">N666*IFERROR(INDEX(Algorithms!$G:$G,MATCH($C666&amp;"_Therm Saved per Unit- MLA",Algorithms!$A:$A,0)),0)*X666</f>
        <v>0</v>
      </c>
      <c r="CP666" s="266">
        <f ca="1">O666*IFERROR(INDEX(Algorithms!$G:$G,MATCH($C666&amp;"_Therm Saved per Unit- MLA",Algorithms!$A:$A,0)),0)*Y666</f>
        <v>0</v>
      </c>
      <c r="CQ666" s="266">
        <f ca="1">P666*IFERROR(INDEX(Algorithms!$G:$G,MATCH($C666&amp;"_Therm Saved per Unit- MLA",Algorithms!$A:$A,0)),0)*Z666</f>
        <v>0</v>
      </c>
      <c r="CR666" s="266">
        <f ca="1">Q666*IFERROR(INDEX(Algorithms!$G:$G,MATCH($C666&amp;"_Therm Saved per Unit- MLA",Algorithms!$A:$A,0)),0)*AA666</f>
        <v>0</v>
      </c>
      <c r="CS666" s="266">
        <f ca="1">IFERROR(INDEX(Algorithms!$G:$G,MATCH($C666&amp;"_Lifetime (years)",Algorithms!$A:$A,0)),0)</f>
        <v>15</v>
      </c>
      <c r="CT666" s="266">
        <f ca="1">IFERROR(INDEX(Algorithms!$G:$G,MATCH($C666&amp;"_Lifetime (years) - Remaining Years",Algorithms!$A:$A,0)),0)</f>
        <v>0</v>
      </c>
      <c r="CU666" s="266">
        <f t="shared" ca="1" si="441"/>
        <v>0</v>
      </c>
      <c r="CV666" s="266">
        <f t="shared" ca="1" si="442"/>
        <v>0</v>
      </c>
      <c r="CW666" s="266">
        <f t="shared" ca="1" si="443"/>
        <v>0</v>
      </c>
      <c r="CX666" s="266">
        <f t="shared" ca="1" si="444"/>
        <v>0</v>
      </c>
    </row>
    <row r="667" spans="2:102" s="47" customFormat="1" ht="18" customHeight="1" x14ac:dyDescent="0.25">
      <c r="B667" t="str">
        <f t="shared" si="445"/>
        <v>NSG_Business_Small/Mid-Size Business_Partner Trade Ally Rebate_Water Heater_Storage 0.67 EF_CI</v>
      </c>
      <c r="C667" s="47" t="str">
        <f t="shared" si="406"/>
        <v>Water Heater_Storage 0.67 EF_CI</v>
      </c>
      <c r="D667" s="270" t="s">
        <v>1787</v>
      </c>
      <c r="E667" s="270" t="s">
        <v>3</v>
      </c>
      <c r="F667" s="270" t="s">
        <v>1432</v>
      </c>
      <c r="G667" s="270" t="s">
        <v>1799</v>
      </c>
      <c r="H667" s="270" t="s">
        <v>8</v>
      </c>
      <c r="I667" s="270" t="s">
        <v>879</v>
      </c>
      <c r="J667" s="270" t="s">
        <v>1159</v>
      </c>
      <c r="K667" s="263">
        <v>1</v>
      </c>
      <c r="L667" s="263" t="str">
        <f ca="1">IFERROR(INDEX(Algorithms!J:J,MATCH($C667&amp;"_Therm Saved per Unit",Algorithms!$A:$A,0)),"n/a")</f>
        <v>4.3.1</v>
      </c>
      <c r="M667" s="263" t="str">
        <f>IFERROR(INDEX('Measure Level Detail'!$N:$N,MATCH($B667,'Measure Level Detail'!$B:$B,0)),0)</f>
        <v>each</v>
      </c>
      <c r="N667" s="271">
        <f>IFERROR(INDEX('Measure Level Detail'!$P:$P,MATCH($B667&amp;"_"&amp;N$3,'Measure Level Detail'!$C:$C,0)),0)</f>
        <v>0</v>
      </c>
      <c r="O667" s="271">
        <f>IFERROR(INDEX('Measure Level Detail'!$P:$P,MATCH($B667&amp;"_"&amp;O$3,'Measure Level Detail'!$C:$C,0)),0)</f>
        <v>0</v>
      </c>
      <c r="P667" s="271">
        <f>IFERROR(INDEX('Measure Level Detail'!$P:$P,MATCH($B667&amp;"_"&amp;P$3,'Measure Level Detail'!$C:$C,0)),0)</f>
        <v>0</v>
      </c>
      <c r="Q667" s="271">
        <f>IFERROR(INDEX('Measure Level Detail'!$P:$P,MATCH($B667&amp;"_"&amp;Q$3,'Measure Level Detail'!$C:$C,0)),0)</f>
        <v>0</v>
      </c>
      <c r="R667" s="263" t="str">
        <f ca="1">IFERROR(INDEX(Algorithms!K:K,MATCH($C667&amp;"_Therm Saved per Unit",Algorithms!$A:$A,0)),"n/a")</f>
        <v>CI-HWE-STWH-V10-240101</v>
      </c>
      <c r="S667" s="262"/>
      <c r="T667" s="272">
        <v>56.252452620818083</v>
      </c>
      <c r="U667" s="272">
        <v>56.252452620818083</v>
      </c>
      <c r="V667" s="272">
        <v>56.252452620818083</v>
      </c>
      <c r="W667" s="272">
        <v>56.252452620818083</v>
      </c>
      <c r="X667" s="276">
        <v>0.93</v>
      </c>
      <c r="Y667" s="276">
        <v>0.93</v>
      </c>
      <c r="Z667" s="276">
        <v>0.93</v>
      </c>
      <c r="AA667" s="276">
        <v>0.93</v>
      </c>
      <c r="AB667" s="266">
        <f t="shared" si="407"/>
        <v>0</v>
      </c>
      <c r="AC667" s="266">
        <f t="shared" si="408"/>
        <v>0</v>
      </c>
      <c r="AD667" s="266">
        <f t="shared" si="409"/>
        <v>0</v>
      </c>
      <c r="AE667" s="266">
        <f t="shared" si="410"/>
        <v>0</v>
      </c>
      <c r="AF667" s="266">
        <f t="shared" si="411"/>
        <v>0</v>
      </c>
      <c r="AG667" s="274">
        <v>0.93</v>
      </c>
      <c r="AH667" s="274">
        <v>0.93</v>
      </c>
      <c r="AI667" s="274">
        <v>0.93</v>
      </c>
      <c r="AJ667" s="274">
        <v>0.93</v>
      </c>
      <c r="AK667" s="274">
        <f t="shared" si="412"/>
        <v>0.93</v>
      </c>
      <c r="AL667" s="274">
        <f t="shared" si="413"/>
        <v>0.93</v>
      </c>
      <c r="AM667" s="274">
        <f t="shared" si="414"/>
        <v>0.93</v>
      </c>
      <c r="AN667" s="274">
        <f t="shared" si="415"/>
        <v>0.93</v>
      </c>
      <c r="AO667" s="262"/>
      <c r="AP667" s="262"/>
      <c r="AQ667" s="267">
        <v>58.867003235588506</v>
      </c>
      <c r="AR667" s="262"/>
      <c r="AS667" s="266">
        <f t="shared" si="416"/>
        <v>0</v>
      </c>
      <c r="AT667" s="264">
        <f t="shared" si="417"/>
        <v>0</v>
      </c>
      <c r="AU667" s="262"/>
      <c r="AV667" s="262"/>
      <c r="AW667" s="265">
        <v>58.550513970881049</v>
      </c>
      <c r="AX667" s="164" t="s">
        <v>1469</v>
      </c>
      <c r="AY667" s="266">
        <v>0</v>
      </c>
      <c r="AZ667" s="266">
        <f t="shared" si="418"/>
        <v>0</v>
      </c>
      <c r="BA667" s="264">
        <f t="shared" si="419"/>
        <v>0</v>
      </c>
      <c r="BB667" s="262"/>
      <c r="BC667" s="262"/>
      <c r="BD667" s="265">
        <f ca="1">IFERROR(INDEX(Algorithms!$G:$G,MATCH($C667&amp;"_Therm Saved per Unit",Algorithms!$A:$A,0)),0)</f>
        <v>58.550513970881049</v>
      </c>
      <c r="BE667" s="164" t="str">
        <f ca="1">IFERROR(INDEX('v12 Revisions'!$P$29:$P$186, MATCH('Measure-Level Adj Gas'!$L667, 'v12 Revisions'!$D$29:$D$186,0)),"")</f>
        <v>n/a - language only.</v>
      </c>
      <c r="BF667" s="266">
        <f t="shared" ca="1" si="420"/>
        <v>0</v>
      </c>
      <c r="BG667" s="264">
        <f t="shared" ca="1" si="421"/>
        <v>0</v>
      </c>
      <c r="BH667" s="262"/>
      <c r="BI667" s="262"/>
      <c r="BJ667" s="265">
        <f ca="1">IFERROR(INDEX(Algorithms!$G:$G,MATCH($C667&amp;"_Therm Saved per Unit",Algorithms!$A:$A,0)),0)</f>
        <v>58.550513970881049</v>
      </c>
      <c r="BK667" s="164"/>
      <c r="BL667" s="266">
        <f t="shared" ca="1" si="422"/>
        <v>0</v>
      </c>
      <c r="BM667" s="264">
        <f t="shared" ca="1" si="423"/>
        <v>0</v>
      </c>
      <c r="BN667" s="266">
        <f t="shared" si="424"/>
        <v>0</v>
      </c>
      <c r="BO667" s="266">
        <f t="shared" si="425"/>
        <v>0</v>
      </c>
      <c r="BP667" s="266">
        <f t="shared" ca="1" si="426"/>
        <v>0</v>
      </c>
      <c r="BQ667" s="266">
        <f t="shared" ca="1" si="427"/>
        <v>0</v>
      </c>
      <c r="BR667" s="268">
        <f t="shared" ca="1" si="428"/>
        <v>0</v>
      </c>
      <c r="BS667" s="262" t="s">
        <v>99</v>
      </c>
      <c r="BT667" s="277"/>
      <c r="BW667" s="266">
        <f t="shared" si="429"/>
        <v>0</v>
      </c>
      <c r="BX667" s="266">
        <f t="shared" si="430"/>
        <v>0</v>
      </c>
      <c r="BY667" s="266">
        <f t="shared" si="431"/>
        <v>0</v>
      </c>
      <c r="BZ667" s="266">
        <f t="shared" si="432"/>
        <v>0</v>
      </c>
      <c r="CA667" s="266">
        <f ca="1">N667*IFERROR(INDEX(Algorithms!$G:$G,MATCH($C667&amp;"_Therm Saved per Unit- MLA",Algorithms!$A:$A,0)),0)*X667</f>
        <v>0</v>
      </c>
      <c r="CB667" s="266">
        <f ca="1">O667*IFERROR(INDEX(Algorithms!$G:$G,MATCH($C667&amp;"_Therm Saved per Unit- MLA",Algorithms!$A:$A,0)),0)*Y667</f>
        <v>0</v>
      </c>
      <c r="CC667" s="266">
        <f ca="1">P667*IFERROR(INDEX(Algorithms!$G:$G,MATCH($C667&amp;"_Therm Saved per Unit- MLA",Algorithms!$A:$A,0)),0)*Z667</f>
        <v>0</v>
      </c>
      <c r="CD667" s="266">
        <f ca="1">Q667*IFERROR(INDEX(Algorithms!$G:$G,MATCH($C667&amp;"_Therm Saved per Unit- MLA",Algorithms!$A:$A,0)),0)*AA667</f>
        <v>0</v>
      </c>
      <c r="CE667" s="266">
        <f ca="1">IFERROR(INDEX(Algorithms!$G:$G,MATCH($C667&amp;"_Lifetime (years)",Algorithms!$A:$A,0)),0)</f>
        <v>15</v>
      </c>
      <c r="CF667" s="266">
        <f ca="1">IFERROR(INDEX(Algorithms!$G:$G,MATCH($C667&amp;"_Lifetime (years) - Remaining Years",Algorithms!$A:$A,0)),0)</f>
        <v>0</v>
      </c>
      <c r="CG667" s="266">
        <f t="shared" ca="1" si="433"/>
        <v>0</v>
      </c>
      <c r="CH667" s="266">
        <f t="shared" ca="1" si="434"/>
        <v>0</v>
      </c>
      <c r="CI667" s="266">
        <f t="shared" ca="1" si="435"/>
        <v>0</v>
      </c>
      <c r="CJ667" s="266">
        <f t="shared" ca="1" si="436"/>
        <v>0</v>
      </c>
      <c r="CK667" s="266">
        <f t="shared" si="437"/>
        <v>0</v>
      </c>
      <c r="CL667" s="266">
        <f t="shared" si="438"/>
        <v>0</v>
      </c>
      <c r="CM667" s="266">
        <f t="shared" ca="1" si="439"/>
        <v>0</v>
      </c>
      <c r="CN667" s="266">
        <f t="shared" ca="1" si="440"/>
        <v>0</v>
      </c>
      <c r="CO667" s="266">
        <f ca="1">N667*IFERROR(INDEX(Algorithms!$G:$G,MATCH($C667&amp;"_Therm Saved per Unit- MLA",Algorithms!$A:$A,0)),0)*X667</f>
        <v>0</v>
      </c>
      <c r="CP667" s="266">
        <f ca="1">O667*IFERROR(INDEX(Algorithms!$G:$G,MATCH($C667&amp;"_Therm Saved per Unit- MLA",Algorithms!$A:$A,0)),0)*Y667</f>
        <v>0</v>
      </c>
      <c r="CQ667" s="266">
        <f ca="1">P667*IFERROR(INDEX(Algorithms!$G:$G,MATCH($C667&amp;"_Therm Saved per Unit- MLA",Algorithms!$A:$A,0)),0)*Z667</f>
        <v>0</v>
      </c>
      <c r="CR667" s="266">
        <f ca="1">Q667*IFERROR(INDEX(Algorithms!$G:$G,MATCH($C667&amp;"_Therm Saved per Unit- MLA",Algorithms!$A:$A,0)),0)*AA667</f>
        <v>0</v>
      </c>
      <c r="CS667" s="266">
        <f ca="1">IFERROR(INDEX(Algorithms!$G:$G,MATCH($C667&amp;"_Lifetime (years)",Algorithms!$A:$A,0)),0)</f>
        <v>15</v>
      </c>
      <c r="CT667" s="266">
        <f ca="1">IFERROR(INDEX(Algorithms!$G:$G,MATCH($C667&amp;"_Lifetime (years) - Remaining Years",Algorithms!$A:$A,0)),0)</f>
        <v>0</v>
      </c>
      <c r="CU667" s="266">
        <f t="shared" ca="1" si="441"/>
        <v>0</v>
      </c>
      <c r="CV667" s="266">
        <f t="shared" ca="1" si="442"/>
        <v>0</v>
      </c>
      <c r="CW667" s="266">
        <f t="shared" ca="1" si="443"/>
        <v>0</v>
      </c>
      <c r="CX667" s="266">
        <f t="shared" ca="1" si="444"/>
        <v>0</v>
      </c>
    </row>
    <row r="668" spans="2:102" s="47" customFormat="1" ht="18" customHeight="1" x14ac:dyDescent="0.25">
      <c r="B668" t="str">
        <f t="shared" si="445"/>
        <v>NSG_Business_Small/Mid-Size Business_Partner Trade Ally Rebate_Infrared Heater_0_MF/CI</v>
      </c>
      <c r="C668" s="47" t="str">
        <f t="shared" si="406"/>
        <v>Infrared Heater_0_MF/CI</v>
      </c>
      <c r="D668" s="270" t="s">
        <v>1787</v>
      </c>
      <c r="E668" s="270" t="s">
        <v>3</v>
      </c>
      <c r="F668" s="270" t="s">
        <v>1432</v>
      </c>
      <c r="G668" s="270" t="s">
        <v>1799</v>
      </c>
      <c r="H668" s="270" t="s">
        <v>742</v>
      </c>
      <c r="I668" s="270">
        <v>0</v>
      </c>
      <c r="J668" s="270" t="s">
        <v>587</v>
      </c>
      <c r="K668" s="263">
        <v>1</v>
      </c>
      <c r="L668" s="263" t="str">
        <f ca="1">IFERROR(INDEX(Algorithms!J:J,MATCH($C668&amp;"_Therm Saved per Unit",Algorithms!$A:$A,0)),"n/a")</f>
        <v>4.4.12</v>
      </c>
      <c r="M668" s="263" t="str">
        <f>IFERROR(INDEX('Measure Level Detail'!$N:$N,MATCH($B668,'Measure Level Detail'!$B:$B,0)),0)</f>
        <v>MBH</v>
      </c>
      <c r="N668" s="271">
        <f>IFERROR(INDEX('Measure Level Detail'!$P:$P,MATCH($B668&amp;"_"&amp;N$3,'Measure Level Detail'!$C:$C,0)),0)</f>
        <v>0</v>
      </c>
      <c r="O668" s="271">
        <f>IFERROR(INDEX('Measure Level Detail'!$P:$P,MATCH($B668&amp;"_"&amp;O$3,'Measure Level Detail'!$C:$C,0)),0)</f>
        <v>0</v>
      </c>
      <c r="P668" s="271">
        <f>IFERROR(INDEX('Measure Level Detail'!$P:$P,MATCH($B668&amp;"_"&amp;P$3,'Measure Level Detail'!$C:$C,0)),0)</f>
        <v>0</v>
      </c>
      <c r="Q668" s="271">
        <f>IFERROR(INDEX('Measure Level Detail'!$P:$P,MATCH($B668&amp;"_"&amp;Q$3,'Measure Level Detail'!$C:$C,0)),0)</f>
        <v>0</v>
      </c>
      <c r="R668" s="263" t="str">
        <f ca="1">IFERROR(INDEX(Algorithms!K:K,MATCH($C668&amp;"_Therm Saved per Unit",Algorithms!$A:$A,0)),"n/a")</f>
        <v>CI-HVC-IRHT-V03-230101</v>
      </c>
      <c r="S668" s="262"/>
      <c r="T668" s="272">
        <v>2.9611764705882351</v>
      </c>
      <c r="U668" s="272">
        <v>2.9611764705882351</v>
      </c>
      <c r="V668" s="272">
        <v>2.9611764705882351</v>
      </c>
      <c r="W668" s="272">
        <v>2.9611764705882351</v>
      </c>
      <c r="X668" s="276">
        <v>0.93</v>
      </c>
      <c r="Y668" s="276">
        <v>0.93</v>
      </c>
      <c r="Z668" s="276">
        <v>0.93</v>
      </c>
      <c r="AA668" s="276">
        <v>0.93</v>
      </c>
      <c r="AB668" s="266">
        <f t="shared" si="407"/>
        <v>0</v>
      </c>
      <c r="AC668" s="266">
        <f t="shared" si="408"/>
        <v>0</v>
      </c>
      <c r="AD668" s="266">
        <f t="shared" si="409"/>
        <v>0</v>
      </c>
      <c r="AE668" s="266">
        <f t="shared" si="410"/>
        <v>0</v>
      </c>
      <c r="AF668" s="266">
        <f t="shared" si="411"/>
        <v>0</v>
      </c>
      <c r="AG668" s="274">
        <v>0.93</v>
      </c>
      <c r="AH668" s="274">
        <v>0.93</v>
      </c>
      <c r="AI668" s="274">
        <v>0.93</v>
      </c>
      <c r="AJ668" s="274">
        <v>0.93</v>
      </c>
      <c r="AK668" s="274">
        <f t="shared" si="412"/>
        <v>0.93</v>
      </c>
      <c r="AL668" s="274">
        <f t="shared" si="413"/>
        <v>0.93</v>
      </c>
      <c r="AM668" s="274">
        <f t="shared" si="414"/>
        <v>0.93</v>
      </c>
      <c r="AN668" s="274">
        <f t="shared" si="415"/>
        <v>0.93</v>
      </c>
      <c r="AO668" s="262"/>
      <c r="AP668" s="262"/>
      <c r="AQ668" s="267">
        <v>2.9611764705882351</v>
      </c>
      <c r="AR668" s="262"/>
      <c r="AS668" s="266">
        <f t="shared" si="416"/>
        <v>0</v>
      </c>
      <c r="AT668" s="264">
        <f t="shared" si="417"/>
        <v>0</v>
      </c>
      <c r="AU668" s="262"/>
      <c r="AV668" s="262"/>
      <c r="AW668" s="265">
        <v>2.9611764705882351</v>
      </c>
      <c r="AX668" s="164" t="s">
        <v>1469</v>
      </c>
      <c r="AY668" s="266">
        <v>0</v>
      </c>
      <c r="AZ668" s="266">
        <f t="shared" si="418"/>
        <v>0</v>
      </c>
      <c r="BA668" s="264">
        <f t="shared" si="419"/>
        <v>0</v>
      </c>
      <c r="BB668" s="262"/>
      <c r="BC668" s="262"/>
      <c r="BD668" s="265">
        <f ca="1">IFERROR(INDEX(Algorithms!$G:$G,MATCH($C668&amp;"_Therm Saved per Unit",Algorithms!$A:$A,0)),0)</f>
        <v>2.9611764705882351</v>
      </c>
      <c r="BE668" s="164" t="str">
        <f ca="1">IFERROR(INDEX('v12 Revisions'!$P$29:$P$186, MATCH('Measure-Level Adj Gas'!$L668, 'v12 Revisions'!$D$29:$D$186,0)),"")</f>
        <v/>
      </c>
      <c r="BF668" s="266">
        <f t="shared" ca="1" si="420"/>
        <v>0</v>
      </c>
      <c r="BG668" s="264">
        <f t="shared" ca="1" si="421"/>
        <v>0</v>
      </c>
      <c r="BH668" s="262"/>
      <c r="BI668" s="262"/>
      <c r="BJ668" s="265">
        <f ca="1">IFERROR(INDEX(Algorithms!$G:$G,MATCH($C668&amp;"_Therm Saved per Unit",Algorithms!$A:$A,0)),0)</f>
        <v>2.9611764705882351</v>
      </c>
      <c r="BK668" s="164"/>
      <c r="BL668" s="266">
        <f t="shared" ca="1" si="422"/>
        <v>0</v>
      </c>
      <c r="BM668" s="264">
        <f t="shared" ca="1" si="423"/>
        <v>0</v>
      </c>
      <c r="BN668" s="266">
        <f t="shared" si="424"/>
        <v>0</v>
      </c>
      <c r="BO668" s="266">
        <f t="shared" si="425"/>
        <v>0</v>
      </c>
      <c r="BP668" s="266">
        <f t="shared" ca="1" si="426"/>
        <v>0</v>
      </c>
      <c r="BQ668" s="266">
        <f t="shared" ca="1" si="427"/>
        <v>0</v>
      </c>
      <c r="BR668" s="268">
        <f t="shared" ca="1" si="428"/>
        <v>0</v>
      </c>
      <c r="BS668" s="262" t="s">
        <v>99</v>
      </c>
      <c r="BT668" s="277"/>
      <c r="BW668" s="266">
        <f t="shared" si="429"/>
        <v>0</v>
      </c>
      <c r="BX668" s="266">
        <f t="shared" si="430"/>
        <v>0</v>
      </c>
      <c r="BY668" s="266">
        <f t="shared" si="431"/>
        <v>0</v>
      </c>
      <c r="BZ668" s="266">
        <f t="shared" si="432"/>
        <v>0</v>
      </c>
      <c r="CA668" s="266">
        <f ca="1">N668*IFERROR(INDEX(Algorithms!$G:$G,MATCH($C668&amp;"_Therm Saved per Unit- MLA",Algorithms!$A:$A,0)),0)*X668</f>
        <v>0</v>
      </c>
      <c r="CB668" s="266">
        <f ca="1">O668*IFERROR(INDEX(Algorithms!$G:$G,MATCH($C668&amp;"_Therm Saved per Unit- MLA",Algorithms!$A:$A,0)),0)*Y668</f>
        <v>0</v>
      </c>
      <c r="CC668" s="266">
        <f ca="1">P668*IFERROR(INDEX(Algorithms!$G:$G,MATCH($C668&amp;"_Therm Saved per Unit- MLA",Algorithms!$A:$A,0)),0)*Z668</f>
        <v>0</v>
      </c>
      <c r="CD668" s="266">
        <f ca="1">Q668*IFERROR(INDEX(Algorithms!$G:$G,MATCH($C668&amp;"_Therm Saved per Unit- MLA",Algorithms!$A:$A,0)),0)*AA668</f>
        <v>0</v>
      </c>
      <c r="CE668" s="266">
        <f ca="1">IFERROR(INDEX(Algorithms!$G:$G,MATCH($C668&amp;"_Lifetime (years)",Algorithms!$A:$A,0)),0)</f>
        <v>15</v>
      </c>
      <c r="CF668" s="266">
        <f ca="1">IFERROR(INDEX(Algorithms!$G:$G,MATCH($C668&amp;"_Lifetime (years) - Remaining Years",Algorithms!$A:$A,0)),0)</f>
        <v>0</v>
      </c>
      <c r="CG668" s="266">
        <f t="shared" ca="1" si="433"/>
        <v>0</v>
      </c>
      <c r="CH668" s="266">
        <f t="shared" ca="1" si="434"/>
        <v>0</v>
      </c>
      <c r="CI668" s="266">
        <f t="shared" ca="1" si="435"/>
        <v>0</v>
      </c>
      <c r="CJ668" s="266">
        <f t="shared" ca="1" si="436"/>
        <v>0</v>
      </c>
      <c r="CK668" s="266">
        <f t="shared" si="437"/>
        <v>0</v>
      </c>
      <c r="CL668" s="266">
        <f t="shared" si="438"/>
        <v>0</v>
      </c>
      <c r="CM668" s="266">
        <f t="shared" ca="1" si="439"/>
        <v>0</v>
      </c>
      <c r="CN668" s="266">
        <f t="shared" ca="1" si="440"/>
        <v>0</v>
      </c>
      <c r="CO668" s="266">
        <f ca="1">N668*IFERROR(INDEX(Algorithms!$G:$G,MATCH($C668&amp;"_Therm Saved per Unit- MLA",Algorithms!$A:$A,0)),0)*X668</f>
        <v>0</v>
      </c>
      <c r="CP668" s="266">
        <f ca="1">O668*IFERROR(INDEX(Algorithms!$G:$G,MATCH($C668&amp;"_Therm Saved per Unit- MLA",Algorithms!$A:$A,0)),0)*Y668</f>
        <v>0</v>
      </c>
      <c r="CQ668" s="266">
        <f ca="1">P668*IFERROR(INDEX(Algorithms!$G:$G,MATCH($C668&amp;"_Therm Saved per Unit- MLA",Algorithms!$A:$A,0)),0)*Z668</f>
        <v>0</v>
      </c>
      <c r="CR668" s="266">
        <f ca="1">Q668*IFERROR(INDEX(Algorithms!$G:$G,MATCH($C668&amp;"_Therm Saved per Unit- MLA",Algorithms!$A:$A,0)),0)*AA668</f>
        <v>0</v>
      </c>
      <c r="CS668" s="266">
        <f ca="1">IFERROR(INDEX(Algorithms!$G:$G,MATCH($C668&amp;"_Lifetime (years)",Algorithms!$A:$A,0)),0)</f>
        <v>15</v>
      </c>
      <c r="CT668" s="266">
        <f ca="1">IFERROR(INDEX(Algorithms!$G:$G,MATCH($C668&amp;"_Lifetime (years) - Remaining Years",Algorithms!$A:$A,0)),0)</f>
        <v>0</v>
      </c>
      <c r="CU668" s="266">
        <f t="shared" ca="1" si="441"/>
        <v>0</v>
      </c>
      <c r="CV668" s="266">
        <f t="shared" ca="1" si="442"/>
        <v>0</v>
      </c>
      <c r="CW668" s="266">
        <f t="shared" ca="1" si="443"/>
        <v>0</v>
      </c>
      <c r="CX668" s="266">
        <f t="shared" ca="1" si="444"/>
        <v>0</v>
      </c>
    </row>
    <row r="669" spans="2:102" s="47" customFormat="1" ht="18" customHeight="1" x14ac:dyDescent="0.25">
      <c r="B669" t="str">
        <f t="shared" si="445"/>
        <v>NSG_Business_Small/Mid-Size Business_Partner Trade Ally Rebate_Modulating Commercial Gas Clothes Dryer_Hotels &amp; Hospitals_CI</v>
      </c>
      <c r="C669" s="47" t="str">
        <f t="shared" si="406"/>
        <v>Modulating Commercial Gas Clothes Dryer_Hotels &amp; Hospitals_CI</v>
      </c>
      <c r="D669" s="270" t="s">
        <v>1787</v>
      </c>
      <c r="E669" s="270" t="s">
        <v>3</v>
      </c>
      <c r="F669" s="270" t="s">
        <v>1432</v>
      </c>
      <c r="G669" s="270" t="s">
        <v>1799</v>
      </c>
      <c r="H669" s="270" t="s">
        <v>12</v>
      </c>
      <c r="I669" s="270" t="s">
        <v>1253</v>
      </c>
      <c r="J669" s="270" t="s">
        <v>1159</v>
      </c>
      <c r="K669" s="263">
        <v>1</v>
      </c>
      <c r="L669" s="263" t="str">
        <f ca="1">IFERROR(INDEX(Algorithms!J:J,MATCH($C669&amp;"_Therm Saved per Unit",Algorithms!$A:$A,0)),"n/a")</f>
        <v>4.8.4</v>
      </c>
      <c r="M669" s="263" t="str">
        <f>IFERROR(INDEX('Measure Level Detail'!$N:$N,MATCH($B669,'Measure Level Detail'!$B:$B,0)),0)</f>
        <v>each</v>
      </c>
      <c r="N669" s="271">
        <f>IFERROR(INDEX('Measure Level Detail'!$P:$P,MATCH($B669&amp;"_"&amp;N$3,'Measure Level Detail'!$C:$C,0)),0)</f>
        <v>0</v>
      </c>
      <c r="O669" s="271">
        <f>IFERROR(INDEX('Measure Level Detail'!$P:$P,MATCH($B669&amp;"_"&amp;O$3,'Measure Level Detail'!$C:$C,0)),0)</f>
        <v>0</v>
      </c>
      <c r="P669" s="271">
        <f>IFERROR(INDEX('Measure Level Detail'!$P:$P,MATCH($B669&amp;"_"&amp;P$3,'Measure Level Detail'!$C:$C,0)),0)</f>
        <v>0</v>
      </c>
      <c r="Q669" s="271">
        <f>IFERROR(INDEX('Measure Level Detail'!$P:$P,MATCH($B669&amp;"_"&amp;Q$3,'Measure Level Detail'!$C:$C,0)),0)</f>
        <v>0</v>
      </c>
      <c r="R669" s="263" t="str">
        <f ca="1">IFERROR(INDEX(Algorithms!K:K,MATCH($C669&amp;"_Therm Saved per Unit",Algorithms!$A:$A,0)),"n/a")</f>
        <v>CI-MSC-MODD-V02-230101</v>
      </c>
      <c r="S669" s="262"/>
      <c r="T669" s="272">
        <v>649.26</v>
      </c>
      <c r="U669" s="272">
        <v>649.26</v>
      </c>
      <c r="V669" s="272">
        <v>649.26</v>
      </c>
      <c r="W669" s="272">
        <v>649.26</v>
      </c>
      <c r="X669" s="276">
        <v>0.93</v>
      </c>
      <c r="Y669" s="276">
        <v>0.93</v>
      </c>
      <c r="Z669" s="276">
        <v>0.93</v>
      </c>
      <c r="AA669" s="276">
        <v>0.93</v>
      </c>
      <c r="AB669" s="266">
        <f t="shared" si="407"/>
        <v>0</v>
      </c>
      <c r="AC669" s="266">
        <f t="shared" si="408"/>
        <v>0</v>
      </c>
      <c r="AD669" s="266">
        <f t="shared" si="409"/>
        <v>0</v>
      </c>
      <c r="AE669" s="266">
        <f t="shared" si="410"/>
        <v>0</v>
      </c>
      <c r="AF669" s="266">
        <f t="shared" si="411"/>
        <v>0</v>
      </c>
      <c r="AG669" s="274">
        <v>0.93</v>
      </c>
      <c r="AH669" s="274">
        <v>0.93</v>
      </c>
      <c r="AI669" s="274">
        <v>0.93</v>
      </c>
      <c r="AJ669" s="274">
        <v>0.93</v>
      </c>
      <c r="AK669" s="274">
        <f t="shared" si="412"/>
        <v>0.93</v>
      </c>
      <c r="AL669" s="274">
        <f t="shared" si="413"/>
        <v>0.93</v>
      </c>
      <c r="AM669" s="274">
        <f t="shared" si="414"/>
        <v>0.93</v>
      </c>
      <c r="AN669" s="274">
        <f t="shared" si="415"/>
        <v>0.93</v>
      </c>
      <c r="AO669" s="262"/>
      <c r="AP669" s="262"/>
      <c r="AQ669" s="267">
        <v>649.26</v>
      </c>
      <c r="AR669" s="262"/>
      <c r="AS669" s="266">
        <f t="shared" si="416"/>
        <v>0</v>
      </c>
      <c r="AT669" s="264">
        <f t="shared" si="417"/>
        <v>0</v>
      </c>
      <c r="AU669" s="262"/>
      <c r="AV669" s="262"/>
      <c r="AW669" s="265">
        <v>649.26</v>
      </c>
      <c r="AX669" s="164" t="s">
        <v>2396</v>
      </c>
      <c r="AY669" s="266">
        <v>0</v>
      </c>
      <c r="AZ669" s="266">
        <f t="shared" si="418"/>
        <v>0</v>
      </c>
      <c r="BA669" s="264">
        <f t="shared" si="419"/>
        <v>0</v>
      </c>
      <c r="BB669" s="262"/>
      <c r="BC669" s="262"/>
      <c r="BD669" s="265">
        <f ca="1">IFERROR(INDEX(Algorithms!$G:$G,MATCH($C669&amp;"_Therm Saved per Unit",Algorithms!$A:$A,0)),0)</f>
        <v>649.26</v>
      </c>
      <c r="BE669" s="164" t="str">
        <f ca="1">IFERROR(INDEX('v12 Revisions'!$P$29:$P$186, MATCH('Measure-Level Adj Gas'!$L669, 'v12 Revisions'!$D$29:$D$186,0)),"")</f>
        <v/>
      </c>
      <c r="BF669" s="266">
        <f t="shared" ca="1" si="420"/>
        <v>0</v>
      </c>
      <c r="BG669" s="264">
        <f t="shared" ca="1" si="421"/>
        <v>0</v>
      </c>
      <c r="BH669" s="262"/>
      <c r="BI669" s="262"/>
      <c r="BJ669" s="265">
        <f ca="1">IFERROR(INDEX(Algorithms!$G:$G,MATCH($C669&amp;"_Therm Saved per Unit",Algorithms!$A:$A,0)),0)</f>
        <v>649.26</v>
      </c>
      <c r="BK669" s="164"/>
      <c r="BL669" s="266">
        <f t="shared" ca="1" si="422"/>
        <v>0</v>
      </c>
      <c r="BM669" s="264">
        <f t="shared" ca="1" si="423"/>
        <v>0</v>
      </c>
      <c r="BN669" s="266">
        <f t="shared" si="424"/>
        <v>0</v>
      </c>
      <c r="BO669" s="266">
        <f t="shared" si="425"/>
        <v>0</v>
      </c>
      <c r="BP669" s="266">
        <f t="shared" ca="1" si="426"/>
        <v>0</v>
      </c>
      <c r="BQ669" s="266">
        <f t="shared" ca="1" si="427"/>
        <v>0</v>
      </c>
      <c r="BR669" s="268">
        <f t="shared" ca="1" si="428"/>
        <v>0</v>
      </c>
      <c r="BS669" s="262" t="s">
        <v>99</v>
      </c>
      <c r="BT669" s="277"/>
      <c r="BW669" s="266">
        <f t="shared" si="429"/>
        <v>0</v>
      </c>
      <c r="BX669" s="266">
        <f t="shared" si="430"/>
        <v>0</v>
      </c>
      <c r="BY669" s="266">
        <f t="shared" si="431"/>
        <v>0</v>
      </c>
      <c r="BZ669" s="266">
        <f t="shared" si="432"/>
        <v>0</v>
      </c>
      <c r="CA669" s="266">
        <f ca="1">N669*IFERROR(INDEX(Algorithms!$G:$G,MATCH($C669&amp;"_Therm Saved per Unit- MLA",Algorithms!$A:$A,0)),0)*X669</f>
        <v>0</v>
      </c>
      <c r="CB669" s="266">
        <f ca="1">O669*IFERROR(INDEX(Algorithms!$G:$G,MATCH($C669&amp;"_Therm Saved per Unit- MLA",Algorithms!$A:$A,0)),0)*Y669</f>
        <v>0</v>
      </c>
      <c r="CC669" s="266">
        <f ca="1">P669*IFERROR(INDEX(Algorithms!$G:$G,MATCH($C669&amp;"_Therm Saved per Unit- MLA",Algorithms!$A:$A,0)),0)*Z669</f>
        <v>0</v>
      </c>
      <c r="CD669" s="266">
        <f ca="1">Q669*IFERROR(INDEX(Algorithms!$G:$G,MATCH($C669&amp;"_Therm Saved per Unit- MLA",Algorithms!$A:$A,0)),0)*AA669</f>
        <v>0</v>
      </c>
      <c r="CE669" s="266">
        <f ca="1">IFERROR(INDEX(Algorithms!$G:$G,MATCH($C669&amp;"_Lifetime (years)",Algorithms!$A:$A,0)),0)</f>
        <v>10</v>
      </c>
      <c r="CF669" s="266">
        <f ca="1">IFERROR(INDEX(Algorithms!$G:$G,MATCH($C669&amp;"_Lifetime (years) - Remaining Years",Algorithms!$A:$A,0)),0)</f>
        <v>0</v>
      </c>
      <c r="CG669" s="266">
        <f t="shared" ca="1" si="433"/>
        <v>0</v>
      </c>
      <c r="CH669" s="266">
        <f t="shared" ca="1" si="434"/>
        <v>0</v>
      </c>
      <c r="CI669" s="266">
        <f t="shared" ca="1" si="435"/>
        <v>0</v>
      </c>
      <c r="CJ669" s="266">
        <f t="shared" ca="1" si="436"/>
        <v>0</v>
      </c>
      <c r="CK669" s="266">
        <f t="shared" si="437"/>
        <v>0</v>
      </c>
      <c r="CL669" s="266">
        <f t="shared" si="438"/>
        <v>0</v>
      </c>
      <c r="CM669" s="266">
        <f t="shared" ca="1" si="439"/>
        <v>0</v>
      </c>
      <c r="CN669" s="266">
        <f t="shared" ca="1" si="440"/>
        <v>0</v>
      </c>
      <c r="CO669" s="266">
        <f ca="1">N669*IFERROR(INDEX(Algorithms!$G:$G,MATCH($C669&amp;"_Therm Saved per Unit- MLA",Algorithms!$A:$A,0)),0)*X669</f>
        <v>0</v>
      </c>
      <c r="CP669" s="266">
        <f ca="1">O669*IFERROR(INDEX(Algorithms!$G:$G,MATCH($C669&amp;"_Therm Saved per Unit- MLA",Algorithms!$A:$A,0)),0)*Y669</f>
        <v>0</v>
      </c>
      <c r="CQ669" s="266">
        <f ca="1">P669*IFERROR(INDEX(Algorithms!$G:$G,MATCH($C669&amp;"_Therm Saved per Unit- MLA",Algorithms!$A:$A,0)),0)*Z669</f>
        <v>0</v>
      </c>
      <c r="CR669" s="266">
        <f ca="1">Q669*IFERROR(INDEX(Algorithms!$G:$G,MATCH($C669&amp;"_Therm Saved per Unit- MLA",Algorithms!$A:$A,0)),0)*AA669</f>
        <v>0</v>
      </c>
      <c r="CS669" s="266">
        <f ca="1">IFERROR(INDEX(Algorithms!$G:$G,MATCH($C669&amp;"_Lifetime (years)",Algorithms!$A:$A,0)),0)</f>
        <v>10</v>
      </c>
      <c r="CT669" s="266">
        <f ca="1">IFERROR(INDEX(Algorithms!$G:$G,MATCH($C669&amp;"_Lifetime (years) - Remaining Years",Algorithms!$A:$A,0)),0)</f>
        <v>0</v>
      </c>
      <c r="CU669" s="266">
        <f t="shared" ca="1" si="441"/>
        <v>0</v>
      </c>
      <c r="CV669" s="266">
        <f t="shared" ca="1" si="442"/>
        <v>0</v>
      </c>
      <c r="CW669" s="266">
        <f t="shared" ca="1" si="443"/>
        <v>0</v>
      </c>
      <c r="CX669" s="266">
        <f t="shared" ca="1" si="444"/>
        <v>0</v>
      </c>
    </row>
    <row r="670" spans="2:102" s="47" customFormat="1" ht="18" customHeight="1" x14ac:dyDescent="0.25">
      <c r="B670" t="str">
        <f t="shared" si="445"/>
        <v>NSG_Business_Small/Mid-Size Business_Partner Trade Ally Rebate_Ozone Laundry_0_MF/CI</v>
      </c>
      <c r="C670" s="47" t="str">
        <f t="shared" si="406"/>
        <v>Ozone Laundry_0_MF/CI</v>
      </c>
      <c r="D670" s="270" t="s">
        <v>1787</v>
      </c>
      <c r="E670" s="270" t="s">
        <v>3</v>
      </c>
      <c r="F670" s="270" t="s">
        <v>1432</v>
      </c>
      <c r="G670" s="270" t="s">
        <v>1799</v>
      </c>
      <c r="H670" s="270" t="s">
        <v>16</v>
      </c>
      <c r="I670" s="270">
        <v>0</v>
      </c>
      <c r="J670" s="270" t="s">
        <v>587</v>
      </c>
      <c r="K670" s="263">
        <v>1</v>
      </c>
      <c r="L670" s="263" t="str">
        <f ca="1">IFERROR(INDEX(Algorithms!J:J,MATCH($C670&amp;"_Therm Saved per Unit",Algorithms!$A:$A,0)),"n/a")</f>
        <v>4.3.6</v>
      </c>
      <c r="M670" s="263" t="str">
        <f>IFERROR(INDEX('Measure Level Detail'!$N:$N,MATCH($B670,'Measure Level Detail'!$B:$B,0)),0)</f>
        <v>lb-capacity</v>
      </c>
      <c r="N670" s="271">
        <f>IFERROR(INDEX('Measure Level Detail'!$P:$P,MATCH($B670&amp;"_"&amp;N$3,'Measure Level Detail'!$C:$C,0)),0)</f>
        <v>0</v>
      </c>
      <c r="O670" s="271">
        <f>IFERROR(INDEX('Measure Level Detail'!$P:$P,MATCH($B670&amp;"_"&amp;O$3,'Measure Level Detail'!$C:$C,0)),0)</f>
        <v>0</v>
      </c>
      <c r="P670" s="271">
        <f>IFERROR(INDEX('Measure Level Detail'!$P:$P,MATCH($B670&amp;"_"&amp;P$3,'Measure Level Detail'!$C:$C,0)),0)</f>
        <v>0</v>
      </c>
      <c r="Q670" s="271">
        <f>IFERROR(INDEX('Measure Level Detail'!$P:$P,MATCH($B670&amp;"_"&amp;Q$3,'Measure Level Detail'!$C:$C,0)),0)</f>
        <v>0</v>
      </c>
      <c r="R670" s="263" t="str">
        <f ca="1">IFERROR(INDEX(Algorithms!K:K,MATCH($C670&amp;"_Therm Saved per Unit",Algorithms!$A:$A,0)),"n/a")</f>
        <v>CI-HWE-OZLD-V07-230101</v>
      </c>
      <c r="S670" s="262"/>
      <c r="T670" s="272">
        <v>30.722664192350027</v>
      </c>
      <c r="U670" s="272">
        <v>30.722664192350027</v>
      </c>
      <c r="V670" s="272">
        <v>30.722664192350027</v>
      </c>
      <c r="W670" s="272">
        <v>30.722664192350027</v>
      </c>
      <c r="X670" s="276">
        <v>0.93</v>
      </c>
      <c r="Y670" s="276">
        <v>0.93</v>
      </c>
      <c r="Z670" s="276">
        <v>0.93</v>
      </c>
      <c r="AA670" s="276">
        <v>0.93</v>
      </c>
      <c r="AB670" s="266">
        <f t="shared" si="407"/>
        <v>0</v>
      </c>
      <c r="AC670" s="266">
        <f t="shared" si="408"/>
        <v>0</v>
      </c>
      <c r="AD670" s="266">
        <f t="shared" si="409"/>
        <v>0</v>
      </c>
      <c r="AE670" s="266">
        <f t="shared" si="410"/>
        <v>0</v>
      </c>
      <c r="AF670" s="266">
        <f t="shared" si="411"/>
        <v>0</v>
      </c>
      <c r="AG670" s="274">
        <v>0.93</v>
      </c>
      <c r="AH670" s="274">
        <v>0.93</v>
      </c>
      <c r="AI670" s="274">
        <v>0.93</v>
      </c>
      <c r="AJ670" s="274">
        <v>0.93</v>
      </c>
      <c r="AK670" s="274">
        <f t="shared" si="412"/>
        <v>0.93</v>
      </c>
      <c r="AL670" s="274">
        <f t="shared" si="413"/>
        <v>0.93</v>
      </c>
      <c r="AM670" s="274">
        <f t="shared" si="414"/>
        <v>0.93</v>
      </c>
      <c r="AN670" s="274">
        <f t="shared" si="415"/>
        <v>0.93</v>
      </c>
      <c r="AO670" s="262"/>
      <c r="AP670" s="262"/>
      <c r="AQ670" s="267">
        <v>30.722664192350027</v>
      </c>
      <c r="AR670" s="262"/>
      <c r="AS670" s="266">
        <f t="shared" si="416"/>
        <v>0</v>
      </c>
      <c r="AT670" s="264">
        <f t="shared" si="417"/>
        <v>0</v>
      </c>
      <c r="AU670" s="262"/>
      <c r="AV670" s="262"/>
      <c r="AW670" s="265">
        <v>30.722664192350027</v>
      </c>
      <c r="AX670" s="164" t="s">
        <v>1469</v>
      </c>
      <c r="AY670" s="266">
        <v>0</v>
      </c>
      <c r="AZ670" s="266">
        <f t="shared" si="418"/>
        <v>0</v>
      </c>
      <c r="BA670" s="264">
        <f t="shared" si="419"/>
        <v>0</v>
      </c>
      <c r="BB670" s="262"/>
      <c r="BC670" s="262"/>
      <c r="BD670" s="265">
        <f ca="1">IFERROR(INDEX(Algorithms!$G:$G,MATCH($C670&amp;"_Therm Saved per Unit",Algorithms!$A:$A,0)),0)</f>
        <v>30.722664192350027</v>
      </c>
      <c r="BE670" s="164" t="str">
        <f ca="1">IFERROR(INDEX('v12 Revisions'!$P$29:$P$186, MATCH('Measure-Level Adj Gas'!$L670, 'v12 Revisions'!$D$29:$D$186,0)),"")</f>
        <v/>
      </c>
      <c r="BF670" s="266">
        <f t="shared" ca="1" si="420"/>
        <v>0</v>
      </c>
      <c r="BG670" s="264">
        <f t="shared" ca="1" si="421"/>
        <v>0</v>
      </c>
      <c r="BH670" s="262"/>
      <c r="BI670" s="262"/>
      <c r="BJ670" s="265">
        <f ca="1">IFERROR(INDEX(Algorithms!$G:$G,MATCH($C670&amp;"_Therm Saved per Unit",Algorithms!$A:$A,0)),0)</f>
        <v>30.722664192350027</v>
      </c>
      <c r="BK670" s="164"/>
      <c r="BL670" s="266">
        <f t="shared" ca="1" si="422"/>
        <v>0</v>
      </c>
      <c r="BM670" s="264">
        <f t="shared" ca="1" si="423"/>
        <v>0</v>
      </c>
      <c r="BN670" s="266">
        <f t="shared" si="424"/>
        <v>0</v>
      </c>
      <c r="BO670" s="266">
        <f t="shared" si="425"/>
        <v>0</v>
      </c>
      <c r="BP670" s="266">
        <f t="shared" ca="1" si="426"/>
        <v>0</v>
      </c>
      <c r="BQ670" s="266">
        <f t="shared" ca="1" si="427"/>
        <v>0</v>
      </c>
      <c r="BR670" s="268">
        <f t="shared" ca="1" si="428"/>
        <v>0</v>
      </c>
      <c r="BS670" s="262" t="s">
        <v>99</v>
      </c>
      <c r="BT670" s="277"/>
      <c r="BW670" s="266">
        <f t="shared" si="429"/>
        <v>0</v>
      </c>
      <c r="BX670" s="266">
        <f t="shared" si="430"/>
        <v>0</v>
      </c>
      <c r="BY670" s="266">
        <f t="shared" si="431"/>
        <v>0</v>
      </c>
      <c r="BZ670" s="266">
        <f t="shared" si="432"/>
        <v>0</v>
      </c>
      <c r="CA670" s="266">
        <f ca="1">N670*IFERROR(INDEX(Algorithms!$G:$G,MATCH($C670&amp;"_Therm Saved per Unit- MLA",Algorithms!$A:$A,0)),0)*X670</f>
        <v>0</v>
      </c>
      <c r="CB670" s="266">
        <f ca="1">O670*IFERROR(INDEX(Algorithms!$G:$G,MATCH($C670&amp;"_Therm Saved per Unit- MLA",Algorithms!$A:$A,0)),0)*Y670</f>
        <v>0</v>
      </c>
      <c r="CC670" s="266">
        <f ca="1">P670*IFERROR(INDEX(Algorithms!$G:$G,MATCH($C670&amp;"_Therm Saved per Unit- MLA",Algorithms!$A:$A,0)),0)*Z670</f>
        <v>0</v>
      </c>
      <c r="CD670" s="266">
        <f ca="1">Q670*IFERROR(INDEX(Algorithms!$G:$G,MATCH($C670&amp;"_Therm Saved per Unit- MLA",Algorithms!$A:$A,0)),0)*AA670</f>
        <v>0</v>
      </c>
      <c r="CE670" s="266">
        <f ca="1">IFERROR(INDEX(Algorithms!$G:$G,MATCH($C670&amp;"_Lifetime (years)",Algorithms!$A:$A,0)),0)</f>
        <v>10</v>
      </c>
      <c r="CF670" s="266">
        <f ca="1">IFERROR(INDEX(Algorithms!$G:$G,MATCH($C670&amp;"_Lifetime (years) - Remaining Years",Algorithms!$A:$A,0)),0)</f>
        <v>0</v>
      </c>
      <c r="CG670" s="266">
        <f t="shared" ca="1" si="433"/>
        <v>0</v>
      </c>
      <c r="CH670" s="266">
        <f t="shared" ca="1" si="434"/>
        <v>0</v>
      </c>
      <c r="CI670" s="266">
        <f t="shared" ca="1" si="435"/>
        <v>0</v>
      </c>
      <c r="CJ670" s="266">
        <f t="shared" ca="1" si="436"/>
        <v>0</v>
      </c>
      <c r="CK670" s="266">
        <f t="shared" si="437"/>
        <v>0</v>
      </c>
      <c r="CL670" s="266">
        <f t="shared" si="438"/>
        <v>0</v>
      </c>
      <c r="CM670" s="266">
        <f t="shared" ca="1" si="439"/>
        <v>0</v>
      </c>
      <c r="CN670" s="266">
        <f t="shared" ca="1" si="440"/>
        <v>0</v>
      </c>
      <c r="CO670" s="266">
        <f ca="1">N670*IFERROR(INDEX(Algorithms!$G:$G,MATCH($C670&amp;"_Therm Saved per Unit- MLA",Algorithms!$A:$A,0)),0)*X670</f>
        <v>0</v>
      </c>
      <c r="CP670" s="266">
        <f ca="1">O670*IFERROR(INDEX(Algorithms!$G:$G,MATCH($C670&amp;"_Therm Saved per Unit- MLA",Algorithms!$A:$A,0)),0)*Y670</f>
        <v>0</v>
      </c>
      <c r="CQ670" s="266">
        <f ca="1">P670*IFERROR(INDEX(Algorithms!$G:$G,MATCH($C670&amp;"_Therm Saved per Unit- MLA",Algorithms!$A:$A,0)),0)*Z670</f>
        <v>0</v>
      </c>
      <c r="CR670" s="266">
        <f ca="1">Q670*IFERROR(INDEX(Algorithms!$G:$G,MATCH($C670&amp;"_Therm Saved per Unit- MLA",Algorithms!$A:$A,0)),0)*AA670</f>
        <v>0</v>
      </c>
      <c r="CS670" s="266">
        <f ca="1">IFERROR(INDEX(Algorithms!$G:$G,MATCH($C670&amp;"_Lifetime (years)",Algorithms!$A:$A,0)),0)</f>
        <v>10</v>
      </c>
      <c r="CT670" s="266">
        <f ca="1">IFERROR(INDEX(Algorithms!$G:$G,MATCH($C670&amp;"_Lifetime (years) - Remaining Years",Algorithms!$A:$A,0)),0)</f>
        <v>0</v>
      </c>
      <c r="CU670" s="266">
        <f t="shared" ca="1" si="441"/>
        <v>0</v>
      </c>
      <c r="CV670" s="266">
        <f t="shared" ca="1" si="442"/>
        <v>0</v>
      </c>
      <c r="CW670" s="266">
        <f t="shared" ca="1" si="443"/>
        <v>0</v>
      </c>
      <c r="CX670" s="266">
        <f t="shared" ca="1" si="444"/>
        <v>0</v>
      </c>
    </row>
    <row r="671" spans="2:102" s="47" customFormat="1" ht="18" customHeight="1" x14ac:dyDescent="0.25">
      <c r="B671" t="str">
        <f t="shared" si="445"/>
        <v>NSG_Business_Small/Mid-Size Business_Partner Trade Ally Rebate_Pipe Insulation_HW Small 1" to 2"_MF/CI/SMB</v>
      </c>
      <c r="C671" s="47" t="str">
        <f t="shared" si="406"/>
        <v>Pipe Insulation_HW Small 1" to 2"_MF/CI/SMB</v>
      </c>
      <c r="D671" s="270" t="s">
        <v>1787</v>
      </c>
      <c r="E671" s="270" t="s">
        <v>3</v>
      </c>
      <c r="F671" s="270" t="s">
        <v>1432</v>
      </c>
      <c r="G671" s="270" t="s">
        <v>1799</v>
      </c>
      <c r="H671" s="270" t="s">
        <v>404</v>
      </c>
      <c r="I671" s="270" t="s">
        <v>953</v>
      </c>
      <c r="J671" s="270" t="s">
        <v>662</v>
      </c>
      <c r="K671" s="263">
        <v>1</v>
      </c>
      <c r="L671" s="263" t="str">
        <f ca="1">IFERROR(INDEX(Algorithms!J:J,MATCH($C671&amp;"_Therm Saved per Unit",Algorithms!$A:$A,0)),"n/a")</f>
        <v>"3 - Res Pipe Insulation" worksheet</v>
      </c>
      <c r="M671" s="263" t="str">
        <f>IFERROR(INDEX('Measure Level Detail'!$N:$N,MATCH($B671,'Measure Level Detail'!$B:$B,0)),0)</f>
        <v>ft</v>
      </c>
      <c r="N671" s="271">
        <f>IFERROR(INDEX('Measure Level Detail'!$P:$P,MATCH($B671&amp;"_"&amp;N$3,'Measure Level Detail'!$C:$C,0)),0)</f>
        <v>0</v>
      </c>
      <c r="O671" s="271">
        <f>IFERROR(INDEX('Measure Level Detail'!$P:$P,MATCH($B671&amp;"_"&amp;O$3,'Measure Level Detail'!$C:$C,0)),0)</f>
        <v>0</v>
      </c>
      <c r="P671" s="271">
        <f>IFERROR(INDEX('Measure Level Detail'!$P:$P,MATCH($B671&amp;"_"&amp;P$3,'Measure Level Detail'!$C:$C,0)),0)</f>
        <v>0</v>
      </c>
      <c r="Q671" s="271">
        <f>IFERROR(INDEX('Measure Level Detail'!$P:$P,MATCH($B671&amp;"_"&amp;Q$3,'Measure Level Detail'!$C:$C,0)),0)</f>
        <v>0</v>
      </c>
      <c r="R671" s="263">
        <f ca="1">IFERROR(INDEX(Algorithms!K:K,MATCH($C671&amp;"_Therm Saved per Unit",Algorithms!$A:$A,0)),"n/a")</f>
        <v>0</v>
      </c>
      <c r="S671" s="262"/>
      <c r="T671" s="272">
        <v>2.6588140926267867</v>
      </c>
      <c r="U671" s="272">
        <v>2.6588140926267867</v>
      </c>
      <c r="V671" s="272">
        <v>2.6588140926267867</v>
      </c>
      <c r="W671" s="272">
        <v>2.6588140926267867</v>
      </c>
      <c r="X671" s="276">
        <v>0.93</v>
      </c>
      <c r="Y671" s="276">
        <v>0.93</v>
      </c>
      <c r="Z671" s="276">
        <v>0.93</v>
      </c>
      <c r="AA671" s="276">
        <v>0.93</v>
      </c>
      <c r="AB671" s="266">
        <f t="shared" si="407"/>
        <v>0</v>
      </c>
      <c r="AC671" s="266">
        <f t="shared" si="408"/>
        <v>0</v>
      </c>
      <c r="AD671" s="266">
        <f t="shared" si="409"/>
        <v>0</v>
      </c>
      <c r="AE671" s="266">
        <f t="shared" si="410"/>
        <v>0</v>
      </c>
      <c r="AF671" s="266">
        <f t="shared" si="411"/>
        <v>0</v>
      </c>
      <c r="AG671" s="274">
        <v>0.93</v>
      </c>
      <c r="AH671" s="274">
        <v>0.93</v>
      </c>
      <c r="AI671" s="274">
        <v>0.93</v>
      </c>
      <c r="AJ671" s="274">
        <v>0.93</v>
      </c>
      <c r="AK671" s="274">
        <f t="shared" si="412"/>
        <v>0.93</v>
      </c>
      <c r="AL671" s="274">
        <f t="shared" si="413"/>
        <v>0.93</v>
      </c>
      <c r="AM671" s="274">
        <f t="shared" si="414"/>
        <v>0.93</v>
      </c>
      <c r="AN671" s="274">
        <f t="shared" si="415"/>
        <v>0.93</v>
      </c>
      <c r="AO671" s="262"/>
      <c r="AP671" s="262"/>
      <c r="AQ671" s="267">
        <v>2.6588140926267867</v>
      </c>
      <c r="AR671" s="262"/>
      <c r="AS671" s="266">
        <f t="shared" si="416"/>
        <v>0</v>
      </c>
      <c r="AT671" s="264">
        <f t="shared" si="417"/>
        <v>0</v>
      </c>
      <c r="AU671" s="262"/>
      <c r="AV671" s="262"/>
      <c r="AW671" s="265">
        <v>2.6588140926267867</v>
      </c>
      <c r="AX671" s="164" t="s">
        <v>1469</v>
      </c>
      <c r="AY671" s="266">
        <v>0</v>
      </c>
      <c r="AZ671" s="266">
        <f t="shared" si="418"/>
        <v>0</v>
      </c>
      <c r="BA671" s="264">
        <f t="shared" si="419"/>
        <v>0</v>
      </c>
      <c r="BB671" s="262"/>
      <c r="BC671" s="262"/>
      <c r="BD671" s="265">
        <f ca="1">IFERROR(INDEX(Algorithms!$G:$G,MATCH($C671&amp;"_Therm Saved per Unit",Algorithms!$A:$A,0)),0)</f>
        <v>2.6588140926267867</v>
      </c>
      <c r="BE671" s="164" t="str">
        <f ca="1">IFERROR(INDEX('v12 Revisions'!$P$29:$P$186, MATCH('Measure-Level Adj Gas'!$L671, 'v12 Revisions'!$D$29:$D$186,0)),"")</f>
        <v/>
      </c>
      <c r="BF671" s="266">
        <f t="shared" ca="1" si="420"/>
        <v>0</v>
      </c>
      <c r="BG671" s="264">
        <f t="shared" ca="1" si="421"/>
        <v>0</v>
      </c>
      <c r="BH671" s="262"/>
      <c r="BI671" s="262"/>
      <c r="BJ671" s="265">
        <f ca="1">IFERROR(INDEX(Algorithms!$G:$G,MATCH($C671&amp;"_Therm Saved per Unit",Algorithms!$A:$A,0)),0)</f>
        <v>2.6588140926267867</v>
      </c>
      <c r="BK671" s="164"/>
      <c r="BL671" s="266">
        <f t="shared" ca="1" si="422"/>
        <v>0</v>
      </c>
      <c r="BM671" s="264">
        <f t="shared" ca="1" si="423"/>
        <v>0</v>
      </c>
      <c r="BN671" s="266">
        <f t="shared" si="424"/>
        <v>0</v>
      </c>
      <c r="BO671" s="266">
        <f t="shared" si="425"/>
        <v>0</v>
      </c>
      <c r="BP671" s="266">
        <f t="shared" ca="1" si="426"/>
        <v>0</v>
      </c>
      <c r="BQ671" s="266">
        <f t="shared" ca="1" si="427"/>
        <v>0</v>
      </c>
      <c r="BR671" s="268">
        <f t="shared" ca="1" si="428"/>
        <v>0</v>
      </c>
      <c r="BS671" s="262" t="s">
        <v>99</v>
      </c>
      <c r="BT671" s="277"/>
      <c r="BW671" s="266">
        <f t="shared" si="429"/>
        <v>0</v>
      </c>
      <c r="BX671" s="266">
        <f t="shared" si="430"/>
        <v>0</v>
      </c>
      <c r="BY671" s="266">
        <f t="shared" si="431"/>
        <v>0</v>
      </c>
      <c r="BZ671" s="266">
        <f t="shared" si="432"/>
        <v>0</v>
      </c>
      <c r="CA671" s="266">
        <f ca="1">N671*IFERROR(INDEX(Algorithms!$G:$G,MATCH($C671&amp;"_Therm Saved per Unit- MLA",Algorithms!$A:$A,0)),0)*X671</f>
        <v>0</v>
      </c>
      <c r="CB671" s="266">
        <f ca="1">O671*IFERROR(INDEX(Algorithms!$G:$G,MATCH($C671&amp;"_Therm Saved per Unit- MLA",Algorithms!$A:$A,0)),0)*Y671</f>
        <v>0</v>
      </c>
      <c r="CC671" s="266">
        <f ca="1">P671*IFERROR(INDEX(Algorithms!$G:$G,MATCH($C671&amp;"_Therm Saved per Unit- MLA",Algorithms!$A:$A,0)),0)*Z671</f>
        <v>0</v>
      </c>
      <c r="CD671" s="266">
        <f ca="1">Q671*IFERROR(INDEX(Algorithms!$G:$G,MATCH($C671&amp;"_Therm Saved per Unit- MLA",Algorithms!$A:$A,0)),0)*AA671</f>
        <v>0</v>
      </c>
      <c r="CE671" s="266">
        <f ca="1">IFERROR(INDEX(Algorithms!$G:$G,MATCH($C671&amp;"_Lifetime (years)",Algorithms!$A:$A,0)),0)</f>
        <v>15</v>
      </c>
      <c r="CF671" s="266">
        <f ca="1">IFERROR(INDEX(Algorithms!$G:$G,MATCH($C671&amp;"_Lifetime (years) - Remaining Years",Algorithms!$A:$A,0)),0)</f>
        <v>0</v>
      </c>
      <c r="CG671" s="266">
        <f t="shared" ca="1" si="433"/>
        <v>0</v>
      </c>
      <c r="CH671" s="266">
        <f t="shared" ca="1" si="434"/>
        <v>0</v>
      </c>
      <c r="CI671" s="266">
        <f t="shared" ca="1" si="435"/>
        <v>0</v>
      </c>
      <c r="CJ671" s="266">
        <f t="shared" ca="1" si="436"/>
        <v>0</v>
      </c>
      <c r="CK671" s="266">
        <f t="shared" si="437"/>
        <v>0</v>
      </c>
      <c r="CL671" s="266">
        <f t="shared" si="438"/>
        <v>0</v>
      </c>
      <c r="CM671" s="266">
        <f t="shared" ca="1" si="439"/>
        <v>0</v>
      </c>
      <c r="CN671" s="266">
        <f t="shared" ca="1" si="440"/>
        <v>0</v>
      </c>
      <c r="CO671" s="266">
        <f ca="1">N671*IFERROR(INDEX(Algorithms!$G:$G,MATCH($C671&amp;"_Therm Saved per Unit- MLA",Algorithms!$A:$A,0)),0)*X671</f>
        <v>0</v>
      </c>
      <c r="CP671" s="266">
        <f ca="1">O671*IFERROR(INDEX(Algorithms!$G:$G,MATCH($C671&amp;"_Therm Saved per Unit- MLA",Algorithms!$A:$A,0)),0)*Y671</f>
        <v>0</v>
      </c>
      <c r="CQ671" s="266">
        <f ca="1">P671*IFERROR(INDEX(Algorithms!$G:$G,MATCH($C671&amp;"_Therm Saved per Unit- MLA",Algorithms!$A:$A,0)),0)*Z671</f>
        <v>0</v>
      </c>
      <c r="CR671" s="266">
        <f ca="1">Q671*IFERROR(INDEX(Algorithms!$G:$G,MATCH($C671&amp;"_Therm Saved per Unit- MLA",Algorithms!$A:$A,0)),0)*AA671</f>
        <v>0</v>
      </c>
      <c r="CS671" s="266">
        <f ca="1">IFERROR(INDEX(Algorithms!$G:$G,MATCH($C671&amp;"_Lifetime (years)",Algorithms!$A:$A,0)),0)</f>
        <v>15</v>
      </c>
      <c r="CT671" s="266">
        <f ca="1">IFERROR(INDEX(Algorithms!$G:$G,MATCH($C671&amp;"_Lifetime (years) - Remaining Years",Algorithms!$A:$A,0)),0)</f>
        <v>0</v>
      </c>
      <c r="CU671" s="266">
        <f t="shared" ca="1" si="441"/>
        <v>0</v>
      </c>
      <c r="CV671" s="266">
        <f t="shared" ca="1" si="442"/>
        <v>0</v>
      </c>
      <c r="CW671" s="266">
        <f t="shared" ca="1" si="443"/>
        <v>0</v>
      </c>
      <c r="CX671" s="266">
        <f t="shared" ca="1" si="444"/>
        <v>0</v>
      </c>
    </row>
    <row r="672" spans="2:102" s="47" customFormat="1" ht="18" customHeight="1" x14ac:dyDescent="0.25">
      <c r="B672" t="str">
        <f t="shared" si="445"/>
        <v>NSG_Business_Small/Mid-Size Business_Partner Trade Ally Rebate_Pipe Insulation_HW Large &gt;4"_MF/CI/SMB</v>
      </c>
      <c r="C672" s="47" t="str">
        <f t="shared" si="406"/>
        <v>Pipe Insulation_HW Large &gt;4"_MF/CI/SMB</v>
      </c>
      <c r="D672" s="270" t="s">
        <v>1787</v>
      </c>
      <c r="E672" s="270" t="s">
        <v>3</v>
      </c>
      <c r="F672" s="270" t="s">
        <v>1432</v>
      </c>
      <c r="G672" s="270" t="s">
        <v>1799</v>
      </c>
      <c r="H672" s="270" t="s">
        <v>404</v>
      </c>
      <c r="I672" s="270" t="s">
        <v>955</v>
      </c>
      <c r="J672" s="270" t="s">
        <v>662</v>
      </c>
      <c r="K672" s="263">
        <v>1</v>
      </c>
      <c r="L672" s="263" t="str">
        <f ca="1">IFERROR(INDEX(Algorithms!J:J,MATCH($C672&amp;"_Therm Saved per Unit",Algorithms!$A:$A,0)),"n/a")</f>
        <v>"3 - Res Pipe Insulation" worksheet</v>
      </c>
      <c r="M672" s="263" t="str">
        <f>IFERROR(INDEX('Measure Level Detail'!$N:$N,MATCH($B672,'Measure Level Detail'!$B:$B,0)),0)</f>
        <v>ft</v>
      </c>
      <c r="N672" s="271">
        <f>IFERROR(INDEX('Measure Level Detail'!$P:$P,MATCH($B672&amp;"_"&amp;N$3,'Measure Level Detail'!$C:$C,0)),0)</f>
        <v>0</v>
      </c>
      <c r="O672" s="271">
        <f>IFERROR(INDEX('Measure Level Detail'!$P:$P,MATCH($B672&amp;"_"&amp;O$3,'Measure Level Detail'!$C:$C,0)),0)</f>
        <v>0</v>
      </c>
      <c r="P672" s="271">
        <f>IFERROR(INDEX('Measure Level Detail'!$P:$P,MATCH($B672&amp;"_"&amp;P$3,'Measure Level Detail'!$C:$C,0)),0)</f>
        <v>0</v>
      </c>
      <c r="Q672" s="271">
        <f>IFERROR(INDEX('Measure Level Detail'!$P:$P,MATCH($B672&amp;"_"&amp;Q$3,'Measure Level Detail'!$C:$C,0)),0)</f>
        <v>0</v>
      </c>
      <c r="R672" s="263">
        <f ca="1">IFERROR(INDEX(Algorithms!K:K,MATCH($C672&amp;"_Therm Saved per Unit",Algorithms!$A:$A,0)),"n/a")</f>
        <v>0</v>
      </c>
      <c r="S672" s="262"/>
      <c r="T672" s="272">
        <v>9.0407613085908682</v>
      </c>
      <c r="U672" s="272">
        <v>9.0407613085908682</v>
      </c>
      <c r="V672" s="272">
        <v>9.0407613085908682</v>
      </c>
      <c r="W672" s="272">
        <v>9.0407613085908682</v>
      </c>
      <c r="X672" s="276">
        <v>0.93</v>
      </c>
      <c r="Y672" s="276">
        <v>0.93</v>
      </c>
      <c r="Z672" s="276">
        <v>0.93</v>
      </c>
      <c r="AA672" s="276">
        <v>0.93</v>
      </c>
      <c r="AB672" s="266">
        <f t="shared" si="407"/>
        <v>0</v>
      </c>
      <c r="AC672" s="266">
        <f t="shared" si="408"/>
        <v>0</v>
      </c>
      <c r="AD672" s="266">
        <f t="shared" si="409"/>
        <v>0</v>
      </c>
      <c r="AE672" s="266">
        <f t="shared" si="410"/>
        <v>0</v>
      </c>
      <c r="AF672" s="266">
        <f t="shared" si="411"/>
        <v>0</v>
      </c>
      <c r="AG672" s="274">
        <v>0.93</v>
      </c>
      <c r="AH672" s="274">
        <v>0.93</v>
      </c>
      <c r="AI672" s="274">
        <v>0.93</v>
      </c>
      <c r="AJ672" s="274">
        <v>0.93</v>
      </c>
      <c r="AK672" s="274">
        <f t="shared" si="412"/>
        <v>0.93</v>
      </c>
      <c r="AL672" s="274">
        <f t="shared" si="413"/>
        <v>0.93</v>
      </c>
      <c r="AM672" s="274">
        <f t="shared" si="414"/>
        <v>0.93</v>
      </c>
      <c r="AN672" s="274">
        <f t="shared" si="415"/>
        <v>0.93</v>
      </c>
      <c r="AO672" s="262"/>
      <c r="AP672" s="262"/>
      <c r="AQ672" s="267">
        <v>9.0407613085908682</v>
      </c>
      <c r="AR672" s="262"/>
      <c r="AS672" s="266">
        <f t="shared" si="416"/>
        <v>0</v>
      </c>
      <c r="AT672" s="264">
        <f t="shared" si="417"/>
        <v>0</v>
      </c>
      <c r="AU672" s="262"/>
      <c r="AV672" s="262"/>
      <c r="AW672" s="265">
        <v>9.0407613085908682</v>
      </c>
      <c r="AX672" s="164" t="s">
        <v>1469</v>
      </c>
      <c r="AY672" s="266">
        <v>0</v>
      </c>
      <c r="AZ672" s="266">
        <f t="shared" si="418"/>
        <v>0</v>
      </c>
      <c r="BA672" s="264">
        <f t="shared" si="419"/>
        <v>0</v>
      </c>
      <c r="BB672" s="262"/>
      <c r="BC672" s="262"/>
      <c r="BD672" s="265">
        <f ca="1">IFERROR(INDEX(Algorithms!$G:$G,MATCH($C672&amp;"_Therm Saved per Unit",Algorithms!$A:$A,0)),0)</f>
        <v>9.0407613085908682</v>
      </c>
      <c r="BE672" s="164" t="str">
        <f ca="1">IFERROR(INDEX('v12 Revisions'!$P$29:$P$186, MATCH('Measure-Level Adj Gas'!$L672, 'v12 Revisions'!$D$29:$D$186,0)),"")</f>
        <v/>
      </c>
      <c r="BF672" s="266">
        <f t="shared" ca="1" si="420"/>
        <v>0</v>
      </c>
      <c r="BG672" s="264">
        <f t="shared" ca="1" si="421"/>
        <v>0</v>
      </c>
      <c r="BH672" s="262"/>
      <c r="BI672" s="262"/>
      <c r="BJ672" s="265">
        <f ca="1">IFERROR(INDEX(Algorithms!$G:$G,MATCH($C672&amp;"_Therm Saved per Unit",Algorithms!$A:$A,0)),0)</f>
        <v>9.0407613085908682</v>
      </c>
      <c r="BK672" s="164"/>
      <c r="BL672" s="266">
        <f t="shared" ca="1" si="422"/>
        <v>0</v>
      </c>
      <c r="BM672" s="264">
        <f t="shared" ca="1" si="423"/>
        <v>0</v>
      </c>
      <c r="BN672" s="266">
        <f t="shared" si="424"/>
        <v>0</v>
      </c>
      <c r="BO672" s="266">
        <f t="shared" si="425"/>
        <v>0</v>
      </c>
      <c r="BP672" s="266">
        <f t="shared" ca="1" si="426"/>
        <v>0</v>
      </c>
      <c r="BQ672" s="266">
        <f t="shared" ca="1" si="427"/>
        <v>0</v>
      </c>
      <c r="BR672" s="268">
        <f t="shared" ca="1" si="428"/>
        <v>0</v>
      </c>
      <c r="BS672" s="262" t="s">
        <v>99</v>
      </c>
      <c r="BT672" s="277"/>
      <c r="BW672" s="266">
        <f t="shared" si="429"/>
        <v>0</v>
      </c>
      <c r="BX672" s="266">
        <f t="shared" si="430"/>
        <v>0</v>
      </c>
      <c r="BY672" s="266">
        <f t="shared" si="431"/>
        <v>0</v>
      </c>
      <c r="BZ672" s="266">
        <f t="shared" si="432"/>
        <v>0</v>
      </c>
      <c r="CA672" s="266">
        <f ca="1">N672*IFERROR(INDEX(Algorithms!$G:$G,MATCH($C672&amp;"_Therm Saved per Unit- MLA",Algorithms!$A:$A,0)),0)*X672</f>
        <v>0</v>
      </c>
      <c r="CB672" s="266">
        <f ca="1">O672*IFERROR(INDEX(Algorithms!$G:$G,MATCH($C672&amp;"_Therm Saved per Unit- MLA",Algorithms!$A:$A,0)),0)*Y672</f>
        <v>0</v>
      </c>
      <c r="CC672" s="266">
        <f ca="1">P672*IFERROR(INDEX(Algorithms!$G:$G,MATCH($C672&amp;"_Therm Saved per Unit- MLA",Algorithms!$A:$A,0)),0)*Z672</f>
        <v>0</v>
      </c>
      <c r="CD672" s="266">
        <f ca="1">Q672*IFERROR(INDEX(Algorithms!$G:$G,MATCH($C672&amp;"_Therm Saved per Unit- MLA",Algorithms!$A:$A,0)),0)*AA672</f>
        <v>0</v>
      </c>
      <c r="CE672" s="266">
        <f ca="1">IFERROR(INDEX(Algorithms!$G:$G,MATCH($C672&amp;"_Lifetime (years)",Algorithms!$A:$A,0)),0)</f>
        <v>15</v>
      </c>
      <c r="CF672" s="266">
        <f ca="1">IFERROR(INDEX(Algorithms!$G:$G,MATCH($C672&amp;"_Lifetime (years) - Remaining Years",Algorithms!$A:$A,0)),0)</f>
        <v>0</v>
      </c>
      <c r="CG672" s="266">
        <f t="shared" ca="1" si="433"/>
        <v>0</v>
      </c>
      <c r="CH672" s="266">
        <f t="shared" ca="1" si="434"/>
        <v>0</v>
      </c>
      <c r="CI672" s="266">
        <f t="shared" ca="1" si="435"/>
        <v>0</v>
      </c>
      <c r="CJ672" s="266">
        <f t="shared" ca="1" si="436"/>
        <v>0</v>
      </c>
      <c r="CK672" s="266">
        <f t="shared" si="437"/>
        <v>0</v>
      </c>
      <c r="CL672" s="266">
        <f t="shared" si="438"/>
        <v>0</v>
      </c>
      <c r="CM672" s="266">
        <f t="shared" ca="1" si="439"/>
        <v>0</v>
      </c>
      <c r="CN672" s="266">
        <f t="shared" ca="1" si="440"/>
        <v>0</v>
      </c>
      <c r="CO672" s="266">
        <f ca="1">N672*IFERROR(INDEX(Algorithms!$G:$G,MATCH($C672&amp;"_Therm Saved per Unit- MLA",Algorithms!$A:$A,0)),0)*X672</f>
        <v>0</v>
      </c>
      <c r="CP672" s="266">
        <f ca="1">O672*IFERROR(INDEX(Algorithms!$G:$G,MATCH($C672&amp;"_Therm Saved per Unit- MLA",Algorithms!$A:$A,0)),0)*Y672</f>
        <v>0</v>
      </c>
      <c r="CQ672" s="266">
        <f ca="1">P672*IFERROR(INDEX(Algorithms!$G:$G,MATCH($C672&amp;"_Therm Saved per Unit- MLA",Algorithms!$A:$A,0)),0)*Z672</f>
        <v>0</v>
      </c>
      <c r="CR672" s="266">
        <f ca="1">Q672*IFERROR(INDEX(Algorithms!$G:$G,MATCH($C672&amp;"_Therm Saved per Unit- MLA",Algorithms!$A:$A,0)),0)*AA672</f>
        <v>0</v>
      </c>
      <c r="CS672" s="266">
        <f ca="1">IFERROR(INDEX(Algorithms!$G:$G,MATCH($C672&amp;"_Lifetime (years)",Algorithms!$A:$A,0)),0)</f>
        <v>15</v>
      </c>
      <c r="CT672" s="266">
        <f ca="1">IFERROR(INDEX(Algorithms!$G:$G,MATCH($C672&amp;"_Lifetime (years) - Remaining Years",Algorithms!$A:$A,0)),0)</f>
        <v>0</v>
      </c>
      <c r="CU672" s="266">
        <f t="shared" ca="1" si="441"/>
        <v>0</v>
      </c>
      <c r="CV672" s="266">
        <f t="shared" ca="1" si="442"/>
        <v>0</v>
      </c>
      <c r="CW672" s="266">
        <f t="shared" ca="1" si="443"/>
        <v>0</v>
      </c>
      <c r="CX672" s="266">
        <f t="shared" ca="1" si="444"/>
        <v>0</v>
      </c>
    </row>
    <row r="673" spans="2:102" s="47" customFormat="1" ht="18" customHeight="1" x14ac:dyDescent="0.25">
      <c r="B673" t="str">
        <f t="shared" si="445"/>
        <v>NSG_Business_Small/Mid-Size Business_Partner Trade Ally Rebate_Pipe Insulation_Steam Med Fitting_CI</v>
      </c>
      <c r="C673" s="47" t="str">
        <f t="shared" si="406"/>
        <v>Pipe Insulation_Steam Med Fitting_CI</v>
      </c>
      <c r="D673" s="270" t="s">
        <v>1787</v>
      </c>
      <c r="E673" s="270" t="s">
        <v>3</v>
      </c>
      <c r="F673" s="270" t="s">
        <v>1432</v>
      </c>
      <c r="G673" s="270" t="s">
        <v>1799</v>
      </c>
      <c r="H673" s="270" t="s">
        <v>404</v>
      </c>
      <c r="I673" s="270" t="s">
        <v>962</v>
      </c>
      <c r="J673" s="270" t="s">
        <v>1159</v>
      </c>
      <c r="K673" s="263">
        <v>1</v>
      </c>
      <c r="L673" s="263" t="str">
        <f ca="1">IFERROR(INDEX(Algorithms!J:J,MATCH($C673&amp;"_Therm Saved per Unit",Algorithms!$A:$A,0)),"n/a")</f>
        <v>"3 - Pipe Insulation" worksheet</v>
      </c>
      <c r="M673" s="263" t="str">
        <f>IFERROR(INDEX('Measure Level Detail'!$N:$N,MATCH($B673,'Measure Level Detail'!$B:$B,0)),0)</f>
        <v>each</v>
      </c>
      <c r="N673" s="271">
        <f>IFERROR(INDEX('Measure Level Detail'!$P:$P,MATCH($B673&amp;"_"&amp;N$3,'Measure Level Detail'!$C:$C,0)),0)</f>
        <v>0</v>
      </c>
      <c r="O673" s="271">
        <f>IFERROR(INDEX('Measure Level Detail'!$P:$P,MATCH($B673&amp;"_"&amp;O$3,'Measure Level Detail'!$C:$C,0)),0)</f>
        <v>0</v>
      </c>
      <c r="P673" s="271">
        <f>IFERROR(INDEX('Measure Level Detail'!$P:$P,MATCH($B673&amp;"_"&amp;P$3,'Measure Level Detail'!$C:$C,0)),0)</f>
        <v>0</v>
      </c>
      <c r="Q673" s="271">
        <f>IFERROR(INDEX('Measure Level Detail'!$P:$P,MATCH($B673&amp;"_"&amp;Q$3,'Measure Level Detail'!$C:$C,0)),0)</f>
        <v>0</v>
      </c>
      <c r="R673" s="263">
        <f ca="1">IFERROR(INDEX(Algorithms!K:K,MATCH($C673&amp;"_Therm Saved per Unit",Algorithms!$A:$A,0)),"n/a")</f>
        <v>0</v>
      </c>
      <c r="S673" s="262"/>
      <c r="T673" s="272">
        <v>16.16754015857342</v>
      </c>
      <c r="U673" s="272">
        <v>16.16754015857342</v>
      </c>
      <c r="V673" s="272">
        <v>16.16754015857342</v>
      </c>
      <c r="W673" s="272">
        <v>16.16754015857342</v>
      </c>
      <c r="X673" s="276">
        <v>0.93</v>
      </c>
      <c r="Y673" s="276">
        <v>0.93</v>
      </c>
      <c r="Z673" s="276">
        <v>0.93</v>
      </c>
      <c r="AA673" s="276">
        <v>0.93</v>
      </c>
      <c r="AB673" s="266">
        <f t="shared" si="407"/>
        <v>0</v>
      </c>
      <c r="AC673" s="266">
        <f t="shared" si="408"/>
        <v>0</v>
      </c>
      <c r="AD673" s="266">
        <f t="shared" si="409"/>
        <v>0</v>
      </c>
      <c r="AE673" s="266">
        <f t="shared" si="410"/>
        <v>0</v>
      </c>
      <c r="AF673" s="266">
        <f t="shared" si="411"/>
        <v>0</v>
      </c>
      <c r="AG673" s="274">
        <v>0.93</v>
      </c>
      <c r="AH673" s="274">
        <v>0.93</v>
      </c>
      <c r="AI673" s="274">
        <v>0.93</v>
      </c>
      <c r="AJ673" s="274">
        <v>0.93</v>
      </c>
      <c r="AK673" s="274">
        <f t="shared" si="412"/>
        <v>0.93</v>
      </c>
      <c r="AL673" s="274">
        <f t="shared" si="413"/>
        <v>0.93</v>
      </c>
      <c r="AM673" s="274">
        <f t="shared" si="414"/>
        <v>0.93</v>
      </c>
      <c r="AN673" s="274">
        <f t="shared" si="415"/>
        <v>0.93</v>
      </c>
      <c r="AO673" s="262"/>
      <c r="AP673" s="262"/>
      <c r="AQ673" s="267">
        <v>16.16754015857342</v>
      </c>
      <c r="AR673" s="262"/>
      <c r="AS673" s="266">
        <f t="shared" si="416"/>
        <v>0</v>
      </c>
      <c r="AT673" s="264">
        <f t="shared" si="417"/>
        <v>0</v>
      </c>
      <c r="AU673" s="262"/>
      <c r="AV673" s="262"/>
      <c r="AW673" s="265">
        <v>16.16754015857342</v>
      </c>
      <c r="AX673" s="164" t="s">
        <v>1469</v>
      </c>
      <c r="AY673" s="266">
        <v>0</v>
      </c>
      <c r="AZ673" s="266">
        <f t="shared" si="418"/>
        <v>0</v>
      </c>
      <c r="BA673" s="264">
        <f t="shared" si="419"/>
        <v>0</v>
      </c>
      <c r="BB673" s="262"/>
      <c r="BC673" s="262"/>
      <c r="BD673" s="265">
        <f ca="1">IFERROR(INDEX(Algorithms!$G:$G,MATCH($C673&amp;"_Therm Saved per Unit",Algorithms!$A:$A,0)),0)</f>
        <v>16.16754015857342</v>
      </c>
      <c r="BE673" s="164" t="str">
        <f ca="1">IFERROR(INDEX('v12 Revisions'!$P$29:$P$186, MATCH('Measure-Level Adj Gas'!$L673, 'v12 Revisions'!$D$29:$D$186,0)),"")</f>
        <v/>
      </c>
      <c r="BF673" s="266">
        <f t="shared" ca="1" si="420"/>
        <v>0</v>
      </c>
      <c r="BG673" s="264">
        <f t="shared" ca="1" si="421"/>
        <v>0</v>
      </c>
      <c r="BH673" s="262"/>
      <c r="BI673" s="262"/>
      <c r="BJ673" s="265">
        <f ca="1">IFERROR(INDEX(Algorithms!$G:$G,MATCH($C673&amp;"_Therm Saved per Unit",Algorithms!$A:$A,0)),0)</f>
        <v>16.16754015857342</v>
      </c>
      <c r="BK673" s="164"/>
      <c r="BL673" s="266">
        <f t="shared" ca="1" si="422"/>
        <v>0</v>
      </c>
      <c r="BM673" s="264">
        <f t="shared" ca="1" si="423"/>
        <v>0</v>
      </c>
      <c r="BN673" s="266">
        <f t="shared" si="424"/>
        <v>0</v>
      </c>
      <c r="BO673" s="266">
        <f t="shared" si="425"/>
        <v>0</v>
      </c>
      <c r="BP673" s="266">
        <f t="shared" ca="1" si="426"/>
        <v>0</v>
      </c>
      <c r="BQ673" s="266">
        <f t="shared" ca="1" si="427"/>
        <v>0</v>
      </c>
      <c r="BR673" s="268">
        <f t="shared" ca="1" si="428"/>
        <v>0</v>
      </c>
      <c r="BS673" s="262" t="s">
        <v>99</v>
      </c>
      <c r="BT673" s="277"/>
      <c r="BW673" s="266">
        <f t="shared" si="429"/>
        <v>0</v>
      </c>
      <c r="BX673" s="266">
        <f t="shared" si="430"/>
        <v>0</v>
      </c>
      <c r="BY673" s="266">
        <f t="shared" si="431"/>
        <v>0</v>
      </c>
      <c r="BZ673" s="266">
        <f t="shared" si="432"/>
        <v>0</v>
      </c>
      <c r="CA673" s="266">
        <f ca="1">N673*IFERROR(INDEX(Algorithms!$G:$G,MATCH($C673&amp;"_Therm Saved per Unit- MLA",Algorithms!$A:$A,0)),0)*X673</f>
        <v>0</v>
      </c>
      <c r="CB673" s="266">
        <f ca="1">O673*IFERROR(INDEX(Algorithms!$G:$G,MATCH($C673&amp;"_Therm Saved per Unit- MLA",Algorithms!$A:$A,0)),0)*Y673</f>
        <v>0</v>
      </c>
      <c r="CC673" s="266">
        <f ca="1">P673*IFERROR(INDEX(Algorithms!$G:$G,MATCH($C673&amp;"_Therm Saved per Unit- MLA",Algorithms!$A:$A,0)),0)*Z673</f>
        <v>0</v>
      </c>
      <c r="CD673" s="266">
        <f ca="1">Q673*IFERROR(INDEX(Algorithms!$G:$G,MATCH($C673&amp;"_Therm Saved per Unit- MLA",Algorithms!$A:$A,0)),0)*AA673</f>
        <v>0</v>
      </c>
      <c r="CE673" s="266">
        <f ca="1">IFERROR(INDEX(Algorithms!$G:$G,MATCH($C673&amp;"_Lifetime (years)",Algorithms!$A:$A,0)),0)</f>
        <v>15</v>
      </c>
      <c r="CF673" s="266">
        <f ca="1">IFERROR(INDEX(Algorithms!$G:$G,MATCH($C673&amp;"_Lifetime (years) - Remaining Years",Algorithms!$A:$A,0)),0)</f>
        <v>0</v>
      </c>
      <c r="CG673" s="266">
        <f t="shared" ca="1" si="433"/>
        <v>0</v>
      </c>
      <c r="CH673" s="266">
        <f t="shared" ca="1" si="434"/>
        <v>0</v>
      </c>
      <c r="CI673" s="266">
        <f t="shared" ca="1" si="435"/>
        <v>0</v>
      </c>
      <c r="CJ673" s="266">
        <f t="shared" ca="1" si="436"/>
        <v>0</v>
      </c>
      <c r="CK673" s="266">
        <f t="shared" si="437"/>
        <v>0</v>
      </c>
      <c r="CL673" s="266">
        <f t="shared" si="438"/>
        <v>0</v>
      </c>
      <c r="CM673" s="266">
        <f t="shared" ca="1" si="439"/>
        <v>0</v>
      </c>
      <c r="CN673" s="266">
        <f t="shared" ca="1" si="440"/>
        <v>0</v>
      </c>
      <c r="CO673" s="266">
        <f ca="1">N673*IFERROR(INDEX(Algorithms!$G:$G,MATCH($C673&amp;"_Therm Saved per Unit- MLA",Algorithms!$A:$A,0)),0)*X673</f>
        <v>0</v>
      </c>
      <c r="CP673" s="266">
        <f ca="1">O673*IFERROR(INDEX(Algorithms!$G:$G,MATCH($C673&amp;"_Therm Saved per Unit- MLA",Algorithms!$A:$A,0)),0)*Y673</f>
        <v>0</v>
      </c>
      <c r="CQ673" s="266">
        <f ca="1">P673*IFERROR(INDEX(Algorithms!$G:$G,MATCH($C673&amp;"_Therm Saved per Unit- MLA",Algorithms!$A:$A,0)),0)*Z673</f>
        <v>0</v>
      </c>
      <c r="CR673" s="266">
        <f ca="1">Q673*IFERROR(INDEX(Algorithms!$G:$G,MATCH($C673&amp;"_Therm Saved per Unit- MLA",Algorithms!$A:$A,0)),0)*AA673</f>
        <v>0</v>
      </c>
      <c r="CS673" s="266">
        <f ca="1">IFERROR(INDEX(Algorithms!$G:$G,MATCH($C673&amp;"_Lifetime (years)",Algorithms!$A:$A,0)),0)</f>
        <v>15</v>
      </c>
      <c r="CT673" s="266">
        <f ca="1">IFERROR(INDEX(Algorithms!$G:$G,MATCH($C673&amp;"_Lifetime (years) - Remaining Years",Algorithms!$A:$A,0)),0)</f>
        <v>0</v>
      </c>
      <c r="CU673" s="266">
        <f t="shared" ca="1" si="441"/>
        <v>0</v>
      </c>
      <c r="CV673" s="266">
        <f t="shared" ca="1" si="442"/>
        <v>0</v>
      </c>
      <c r="CW673" s="266">
        <f t="shared" ca="1" si="443"/>
        <v>0</v>
      </c>
      <c r="CX673" s="266">
        <f t="shared" ca="1" si="444"/>
        <v>0</v>
      </c>
    </row>
    <row r="674" spans="2:102" s="47" customFormat="1" ht="18" customHeight="1" x14ac:dyDescent="0.25">
      <c r="B674" t="str">
        <f t="shared" si="445"/>
        <v>NSG_Business_Small/Mid-Size Business_Partner Trade Ally Rebate_Pipe Insulation_Steam Large Fitting_CI</v>
      </c>
      <c r="C674" s="47" t="str">
        <f t="shared" si="406"/>
        <v>Pipe Insulation_Steam Large Fitting_CI</v>
      </c>
      <c r="D674" s="270" t="s">
        <v>1787</v>
      </c>
      <c r="E674" s="270" t="s">
        <v>3</v>
      </c>
      <c r="F674" s="270" t="s">
        <v>1432</v>
      </c>
      <c r="G674" s="270" t="s">
        <v>1799</v>
      </c>
      <c r="H674" s="270" t="s">
        <v>404</v>
      </c>
      <c r="I674" s="270" t="s">
        <v>963</v>
      </c>
      <c r="J674" s="270" t="s">
        <v>1159</v>
      </c>
      <c r="K674" s="263">
        <v>1</v>
      </c>
      <c r="L674" s="263" t="str">
        <f ca="1">IFERROR(INDEX(Algorithms!J:J,MATCH($C674&amp;"_Therm Saved per Unit",Algorithms!$A:$A,0)),"n/a")</f>
        <v>"3 - Pipe Insulation" worksheet</v>
      </c>
      <c r="M674" s="263" t="str">
        <f>IFERROR(INDEX('Measure Level Detail'!$N:$N,MATCH($B674,'Measure Level Detail'!$B:$B,0)),0)</f>
        <v>each</v>
      </c>
      <c r="N674" s="271">
        <f>IFERROR(INDEX('Measure Level Detail'!$P:$P,MATCH($B674&amp;"_"&amp;N$3,'Measure Level Detail'!$C:$C,0)),0)</f>
        <v>0</v>
      </c>
      <c r="O674" s="271">
        <f>IFERROR(INDEX('Measure Level Detail'!$P:$P,MATCH($B674&amp;"_"&amp;O$3,'Measure Level Detail'!$C:$C,0)),0)</f>
        <v>0</v>
      </c>
      <c r="P674" s="271">
        <f>IFERROR(INDEX('Measure Level Detail'!$P:$P,MATCH($B674&amp;"_"&amp;P$3,'Measure Level Detail'!$C:$C,0)),0)</f>
        <v>0</v>
      </c>
      <c r="Q674" s="271">
        <f>IFERROR(INDEX('Measure Level Detail'!$P:$P,MATCH($B674&amp;"_"&amp;Q$3,'Measure Level Detail'!$C:$C,0)),0)</f>
        <v>0</v>
      </c>
      <c r="R674" s="263">
        <f ca="1">IFERROR(INDEX(Algorithms!K:K,MATCH($C674&amp;"_Therm Saved per Unit",Algorithms!$A:$A,0)),"n/a")</f>
        <v>0</v>
      </c>
      <c r="S674" s="262"/>
      <c r="T674" s="272">
        <v>44.895855334511324</v>
      </c>
      <c r="U674" s="272">
        <v>44.895855334511324</v>
      </c>
      <c r="V674" s="272">
        <v>44.895855334511324</v>
      </c>
      <c r="W674" s="272">
        <v>44.895855334511324</v>
      </c>
      <c r="X674" s="276">
        <v>0.93</v>
      </c>
      <c r="Y674" s="276">
        <v>0.93</v>
      </c>
      <c r="Z674" s="276">
        <v>0.93</v>
      </c>
      <c r="AA674" s="276">
        <v>0.93</v>
      </c>
      <c r="AB674" s="266">
        <f t="shared" si="407"/>
        <v>0</v>
      </c>
      <c r="AC674" s="266">
        <f t="shared" si="408"/>
        <v>0</v>
      </c>
      <c r="AD674" s="266">
        <f t="shared" si="409"/>
        <v>0</v>
      </c>
      <c r="AE674" s="266">
        <f t="shared" si="410"/>
        <v>0</v>
      </c>
      <c r="AF674" s="266">
        <f t="shared" si="411"/>
        <v>0</v>
      </c>
      <c r="AG674" s="274">
        <v>0.93</v>
      </c>
      <c r="AH674" s="274">
        <v>0.93</v>
      </c>
      <c r="AI674" s="274">
        <v>0.93</v>
      </c>
      <c r="AJ674" s="274">
        <v>0.93</v>
      </c>
      <c r="AK674" s="274">
        <f t="shared" si="412"/>
        <v>0.93</v>
      </c>
      <c r="AL674" s="274">
        <f t="shared" si="413"/>
        <v>0.93</v>
      </c>
      <c r="AM674" s="274">
        <f t="shared" si="414"/>
        <v>0.93</v>
      </c>
      <c r="AN674" s="274">
        <f t="shared" si="415"/>
        <v>0.93</v>
      </c>
      <c r="AO674" s="262"/>
      <c r="AP674" s="262"/>
      <c r="AQ674" s="267">
        <v>44.895855334511324</v>
      </c>
      <c r="AR674" s="262"/>
      <c r="AS674" s="266">
        <f t="shared" si="416"/>
        <v>0</v>
      </c>
      <c r="AT674" s="264">
        <f t="shared" si="417"/>
        <v>0</v>
      </c>
      <c r="AU674" s="262"/>
      <c r="AV674" s="262"/>
      <c r="AW674" s="265">
        <v>44.895855334511324</v>
      </c>
      <c r="AX674" s="164" t="s">
        <v>1469</v>
      </c>
      <c r="AY674" s="266">
        <v>0</v>
      </c>
      <c r="AZ674" s="266">
        <f t="shared" si="418"/>
        <v>0</v>
      </c>
      <c r="BA674" s="264">
        <f t="shared" si="419"/>
        <v>0</v>
      </c>
      <c r="BB674" s="262"/>
      <c r="BC674" s="262"/>
      <c r="BD674" s="265">
        <f ca="1">IFERROR(INDEX(Algorithms!$G:$G,MATCH($C674&amp;"_Therm Saved per Unit",Algorithms!$A:$A,0)),0)</f>
        <v>44.895855334511324</v>
      </c>
      <c r="BE674" s="164" t="str">
        <f ca="1">IFERROR(INDEX('v12 Revisions'!$P$29:$P$186, MATCH('Measure-Level Adj Gas'!$L674, 'v12 Revisions'!$D$29:$D$186,0)),"")</f>
        <v/>
      </c>
      <c r="BF674" s="266">
        <f t="shared" ca="1" si="420"/>
        <v>0</v>
      </c>
      <c r="BG674" s="264">
        <f t="shared" ca="1" si="421"/>
        <v>0</v>
      </c>
      <c r="BH674" s="262"/>
      <c r="BI674" s="262"/>
      <c r="BJ674" s="265">
        <f ca="1">IFERROR(INDEX(Algorithms!$G:$G,MATCH($C674&amp;"_Therm Saved per Unit",Algorithms!$A:$A,0)),0)</f>
        <v>44.895855334511324</v>
      </c>
      <c r="BK674" s="164"/>
      <c r="BL674" s="266">
        <f t="shared" ca="1" si="422"/>
        <v>0</v>
      </c>
      <c r="BM674" s="264">
        <f t="shared" ca="1" si="423"/>
        <v>0</v>
      </c>
      <c r="BN674" s="266">
        <f t="shared" si="424"/>
        <v>0</v>
      </c>
      <c r="BO674" s="266">
        <f t="shared" si="425"/>
        <v>0</v>
      </c>
      <c r="BP674" s="266">
        <f t="shared" ca="1" si="426"/>
        <v>0</v>
      </c>
      <c r="BQ674" s="266">
        <f t="shared" ca="1" si="427"/>
        <v>0</v>
      </c>
      <c r="BR674" s="268">
        <f t="shared" ca="1" si="428"/>
        <v>0</v>
      </c>
      <c r="BS674" s="262" t="s">
        <v>99</v>
      </c>
      <c r="BT674" s="277"/>
      <c r="BW674" s="266">
        <f t="shared" si="429"/>
        <v>0</v>
      </c>
      <c r="BX674" s="266">
        <f t="shared" si="430"/>
        <v>0</v>
      </c>
      <c r="BY674" s="266">
        <f t="shared" si="431"/>
        <v>0</v>
      </c>
      <c r="BZ674" s="266">
        <f t="shared" si="432"/>
        <v>0</v>
      </c>
      <c r="CA674" s="266">
        <f ca="1">N674*IFERROR(INDEX(Algorithms!$G:$G,MATCH($C674&amp;"_Therm Saved per Unit- MLA",Algorithms!$A:$A,0)),0)*X674</f>
        <v>0</v>
      </c>
      <c r="CB674" s="266">
        <f ca="1">O674*IFERROR(INDEX(Algorithms!$G:$G,MATCH($C674&amp;"_Therm Saved per Unit- MLA",Algorithms!$A:$A,0)),0)*Y674</f>
        <v>0</v>
      </c>
      <c r="CC674" s="266">
        <f ca="1">P674*IFERROR(INDEX(Algorithms!$G:$G,MATCH($C674&amp;"_Therm Saved per Unit- MLA",Algorithms!$A:$A,0)),0)*Z674</f>
        <v>0</v>
      </c>
      <c r="CD674" s="266">
        <f ca="1">Q674*IFERROR(INDEX(Algorithms!$G:$G,MATCH($C674&amp;"_Therm Saved per Unit- MLA",Algorithms!$A:$A,0)),0)*AA674</f>
        <v>0</v>
      </c>
      <c r="CE674" s="266">
        <f ca="1">IFERROR(INDEX(Algorithms!$G:$G,MATCH($C674&amp;"_Lifetime (years)",Algorithms!$A:$A,0)),0)</f>
        <v>15</v>
      </c>
      <c r="CF674" s="266">
        <f ca="1">IFERROR(INDEX(Algorithms!$G:$G,MATCH($C674&amp;"_Lifetime (years) - Remaining Years",Algorithms!$A:$A,0)),0)</f>
        <v>0</v>
      </c>
      <c r="CG674" s="266">
        <f t="shared" ca="1" si="433"/>
        <v>0</v>
      </c>
      <c r="CH674" s="266">
        <f t="shared" ca="1" si="434"/>
        <v>0</v>
      </c>
      <c r="CI674" s="266">
        <f t="shared" ca="1" si="435"/>
        <v>0</v>
      </c>
      <c r="CJ674" s="266">
        <f t="shared" ca="1" si="436"/>
        <v>0</v>
      </c>
      <c r="CK674" s="266">
        <f t="shared" si="437"/>
        <v>0</v>
      </c>
      <c r="CL674" s="266">
        <f t="shared" si="438"/>
        <v>0</v>
      </c>
      <c r="CM674" s="266">
        <f t="shared" ca="1" si="439"/>
        <v>0</v>
      </c>
      <c r="CN674" s="266">
        <f t="shared" ca="1" si="440"/>
        <v>0</v>
      </c>
      <c r="CO674" s="266">
        <f ca="1">N674*IFERROR(INDEX(Algorithms!$G:$G,MATCH($C674&amp;"_Therm Saved per Unit- MLA",Algorithms!$A:$A,0)),0)*X674</f>
        <v>0</v>
      </c>
      <c r="CP674" s="266">
        <f ca="1">O674*IFERROR(INDEX(Algorithms!$G:$G,MATCH($C674&amp;"_Therm Saved per Unit- MLA",Algorithms!$A:$A,0)),0)*Y674</f>
        <v>0</v>
      </c>
      <c r="CQ674" s="266">
        <f ca="1">P674*IFERROR(INDEX(Algorithms!$G:$G,MATCH($C674&amp;"_Therm Saved per Unit- MLA",Algorithms!$A:$A,0)),0)*Z674</f>
        <v>0</v>
      </c>
      <c r="CR674" s="266">
        <f ca="1">Q674*IFERROR(INDEX(Algorithms!$G:$G,MATCH($C674&amp;"_Therm Saved per Unit- MLA",Algorithms!$A:$A,0)),0)*AA674</f>
        <v>0</v>
      </c>
      <c r="CS674" s="266">
        <f ca="1">IFERROR(INDEX(Algorithms!$G:$G,MATCH($C674&amp;"_Lifetime (years)",Algorithms!$A:$A,0)),0)</f>
        <v>15</v>
      </c>
      <c r="CT674" s="266">
        <f ca="1">IFERROR(INDEX(Algorithms!$G:$G,MATCH($C674&amp;"_Lifetime (years) - Remaining Years",Algorithms!$A:$A,0)),0)</f>
        <v>0</v>
      </c>
      <c r="CU674" s="266">
        <f t="shared" ca="1" si="441"/>
        <v>0</v>
      </c>
      <c r="CV674" s="266">
        <f t="shared" ca="1" si="442"/>
        <v>0</v>
      </c>
      <c r="CW674" s="266">
        <f t="shared" ca="1" si="443"/>
        <v>0</v>
      </c>
      <c r="CX674" s="266">
        <f t="shared" ca="1" si="444"/>
        <v>0</v>
      </c>
    </row>
    <row r="675" spans="2:102" s="47" customFormat="1" ht="18" customHeight="1" x14ac:dyDescent="0.25">
      <c r="B675" t="str">
        <f t="shared" si="445"/>
        <v>NSG_Business_Small/Mid-Size Business_Partner Trade Ally Rebate_Pipe Insulation_Steam X-Large Fitting_CI</v>
      </c>
      <c r="C675" s="47" t="str">
        <f t="shared" si="406"/>
        <v>Pipe Insulation_Steam X-Large Fitting_CI</v>
      </c>
      <c r="D675" s="270" t="s">
        <v>1787</v>
      </c>
      <c r="E675" s="270" t="s">
        <v>3</v>
      </c>
      <c r="F675" s="270" t="s">
        <v>1432</v>
      </c>
      <c r="G675" s="270" t="s">
        <v>1799</v>
      </c>
      <c r="H675" s="270" t="s">
        <v>404</v>
      </c>
      <c r="I675" s="270" t="s">
        <v>964</v>
      </c>
      <c r="J675" s="270" t="s">
        <v>1159</v>
      </c>
      <c r="K675" s="263">
        <v>1</v>
      </c>
      <c r="L675" s="263" t="str">
        <f ca="1">IFERROR(INDEX(Algorithms!J:J,MATCH($C675&amp;"_Therm Saved per Unit",Algorithms!$A:$A,0)),"n/a")</f>
        <v>"3 - Pipe Insulation" worksheet</v>
      </c>
      <c r="M675" s="263" t="str">
        <f>IFERROR(INDEX('Measure Level Detail'!$N:$N,MATCH($B675,'Measure Level Detail'!$B:$B,0)),0)</f>
        <v>each</v>
      </c>
      <c r="N675" s="271">
        <f>IFERROR(INDEX('Measure Level Detail'!$P:$P,MATCH($B675&amp;"_"&amp;N$3,'Measure Level Detail'!$C:$C,0)),0)</f>
        <v>0</v>
      </c>
      <c r="O675" s="271">
        <f>IFERROR(INDEX('Measure Level Detail'!$P:$P,MATCH($B675&amp;"_"&amp;O$3,'Measure Level Detail'!$C:$C,0)),0)</f>
        <v>0</v>
      </c>
      <c r="P675" s="271">
        <f>IFERROR(INDEX('Measure Level Detail'!$P:$P,MATCH($B675&amp;"_"&amp;P$3,'Measure Level Detail'!$C:$C,0)),0)</f>
        <v>0</v>
      </c>
      <c r="Q675" s="271">
        <f>IFERROR(INDEX('Measure Level Detail'!$P:$P,MATCH($B675&amp;"_"&amp;Q$3,'Measure Level Detail'!$C:$C,0)),0)</f>
        <v>0</v>
      </c>
      <c r="R675" s="263">
        <f ca="1">IFERROR(INDEX(Algorithms!K:K,MATCH($C675&amp;"_Therm Saved per Unit",Algorithms!$A:$A,0)),"n/a")</f>
        <v>0</v>
      </c>
      <c r="S675" s="262"/>
      <c r="T675" s="272">
        <v>80.577400496643122</v>
      </c>
      <c r="U675" s="272">
        <v>80.577400496643122</v>
      </c>
      <c r="V675" s="272">
        <v>80.577400496643122</v>
      </c>
      <c r="W675" s="272">
        <v>80.577400496643122</v>
      </c>
      <c r="X675" s="276">
        <v>0.93</v>
      </c>
      <c r="Y675" s="276">
        <v>0.93</v>
      </c>
      <c r="Z675" s="276">
        <v>0.93</v>
      </c>
      <c r="AA675" s="276">
        <v>0.93</v>
      </c>
      <c r="AB675" s="266">
        <f t="shared" si="407"/>
        <v>0</v>
      </c>
      <c r="AC675" s="266">
        <f t="shared" si="408"/>
        <v>0</v>
      </c>
      <c r="AD675" s="266">
        <f t="shared" si="409"/>
        <v>0</v>
      </c>
      <c r="AE675" s="266">
        <f t="shared" si="410"/>
        <v>0</v>
      </c>
      <c r="AF675" s="266">
        <f t="shared" si="411"/>
        <v>0</v>
      </c>
      <c r="AG675" s="274">
        <v>0.93</v>
      </c>
      <c r="AH675" s="274">
        <v>0.93</v>
      </c>
      <c r="AI675" s="274">
        <v>0.93</v>
      </c>
      <c r="AJ675" s="274">
        <v>0.93</v>
      </c>
      <c r="AK675" s="274">
        <f t="shared" si="412"/>
        <v>0.93</v>
      </c>
      <c r="AL675" s="274">
        <f t="shared" si="413"/>
        <v>0.93</v>
      </c>
      <c r="AM675" s="274">
        <f t="shared" si="414"/>
        <v>0.93</v>
      </c>
      <c r="AN675" s="274">
        <f t="shared" si="415"/>
        <v>0.93</v>
      </c>
      <c r="AO675" s="262"/>
      <c r="AP675" s="262"/>
      <c r="AQ675" s="267">
        <v>80.577400496643122</v>
      </c>
      <c r="AR675" s="262"/>
      <c r="AS675" s="266">
        <f t="shared" si="416"/>
        <v>0</v>
      </c>
      <c r="AT675" s="264">
        <f t="shared" si="417"/>
        <v>0</v>
      </c>
      <c r="AU675" s="262"/>
      <c r="AV675" s="262"/>
      <c r="AW675" s="265">
        <v>80.577400496643122</v>
      </c>
      <c r="AX675" s="164" t="s">
        <v>1469</v>
      </c>
      <c r="AY675" s="266">
        <v>0</v>
      </c>
      <c r="AZ675" s="266">
        <f t="shared" si="418"/>
        <v>0</v>
      </c>
      <c r="BA675" s="264">
        <f t="shared" si="419"/>
        <v>0</v>
      </c>
      <c r="BB675" s="262"/>
      <c r="BC675" s="262"/>
      <c r="BD675" s="265">
        <f ca="1">IFERROR(INDEX(Algorithms!$G:$G,MATCH($C675&amp;"_Therm Saved per Unit",Algorithms!$A:$A,0)),0)</f>
        <v>80.577400496643122</v>
      </c>
      <c r="BE675" s="164" t="str">
        <f ca="1">IFERROR(INDEX('v12 Revisions'!$P$29:$P$186, MATCH('Measure-Level Adj Gas'!$L675, 'v12 Revisions'!$D$29:$D$186,0)),"")</f>
        <v/>
      </c>
      <c r="BF675" s="266">
        <f t="shared" ca="1" si="420"/>
        <v>0</v>
      </c>
      <c r="BG675" s="264">
        <f t="shared" ca="1" si="421"/>
        <v>0</v>
      </c>
      <c r="BH675" s="262"/>
      <c r="BI675" s="262"/>
      <c r="BJ675" s="265">
        <f ca="1">IFERROR(INDEX(Algorithms!$G:$G,MATCH($C675&amp;"_Therm Saved per Unit",Algorithms!$A:$A,0)),0)</f>
        <v>80.577400496643122</v>
      </c>
      <c r="BK675" s="164"/>
      <c r="BL675" s="266">
        <f t="shared" ca="1" si="422"/>
        <v>0</v>
      </c>
      <c r="BM675" s="264">
        <f t="shared" ca="1" si="423"/>
        <v>0</v>
      </c>
      <c r="BN675" s="266">
        <f t="shared" si="424"/>
        <v>0</v>
      </c>
      <c r="BO675" s="266">
        <f t="shared" si="425"/>
        <v>0</v>
      </c>
      <c r="BP675" s="266">
        <f t="shared" ca="1" si="426"/>
        <v>0</v>
      </c>
      <c r="BQ675" s="266">
        <f t="shared" ca="1" si="427"/>
        <v>0</v>
      </c>
      <c r="BR675" s="268">
        <f t="shared" ca="1" si="428"/>
        <v>0</v>
      </c>
      <c r="BS675" s="262" t="s">
        <v>99</v>
      </c>
      <c r="BT675" s="277"/>
      <c r="BW675" s="266">
        <f t="shared" si="429"/>
        <v>0</v>
      </c>
      <c r="BX675" s="266">
        <f t="shared" si="430"/>
        <v>0</v>
      </c>
      <c r="BY675" s="266">
        <f t="shared" si="431"/>
        <v>0</v>
      </c>
      <c r="BZ675" s="266">
        <f t="shared" si="432"/>
        <v>0</v>
      </c>
      <c r="CA675" s="266">
        <f ca="1">N675*IFERROR(INDEX(Algorithms!$G:$G,MATCH($C675&amp;"_Therm Saved per Unit- MLA",Algorithms!$A:$A,0)),0)*X675</f>
        <v>0</v>
      </c>
      <c r="CB675" s="266">
        <f ca="1">O675*IFERROR(INDEX(Algorithms!$G:$G,MATCH($C675&amp;"_Therm Saved per Unit- MLA",Algorithms!$A:$A,0)),0)*Y675</f>
        <v>0</v>
      </c>
      <c r="CC675" s="266">
        <f ca="1">P675*IFERROR(INDEX(Algorithms!$G:$G,MATCH($C675&amp;"_Therm Saved per Unit- MLA",Algorithms!$A:$A,0)),0)*Z675</f>
        <v>0</v>
      </c>
      <c r="CD675" s="266">
        <f ca="1">Q675*IFERROR(INDEX(Algorithms!$G:$G,MATCH($C675&amp;"_Therm Saved per Unit- MLA",Algorithms!$A:$A,0)),0)*AA675</f>
        <v>0</v>
      </c>
      <c r="CE675" s="266">
        <f ca="1">IFERROR(INDEX(Algorithms!$G:$G,MATCH($C675&amp;"_Lifetime (years)",Algorithms!$A:$A,0)),0)</f>
        <v>15</v>
      </c>
      <c r="CF675" s="266">
        <f ca="1">IFERROR(INDEX(Algorithms!$G:$G,MATCH($C675&amp;"_Lifetime (years) - Remaining Years",Algorithms!$A:$A,0)),0)</f>
        <v>0</v>
      </c>
      <c r="CG675" s="266">
        <f t="shared" ca="1" si="433"/>
        <v>0</v>
      </c>
      <c r="CH675" s="266">
        <f t="shared" ca="1" si="434"/>
        <v>0</v>
      </c>
      <c r="CI675" s="266">
        <f t="shared" ca="1" si="435"/>
        <v>0</v>
      </c>
      <c r="CJ675" s="266">
        <f t="shared" ca="1" si="436"/>
        <v>0</v>
      </c>
      <c r="CK675" s="266">
        <f t="shared" si="437"/>
        <v>0</v>
      </c>
      <c r="CL675" s="266">
        <f t="shared" si="438"/>
        <v>0</v>
      </c>
      <c r="CM675" s="266">
        <f t="shared" ca="1" si="439"/>
        <v>0</v>
      </c>
      <c r="CN675" s="266">
        <f t="shared" ca="1" si="440"/>
        <v>0</v>
      </c>
      <c r="CO675" s="266">
        <f ca="1">N675*IFERROR(INDEX(Algorithms!$G:$G,MATCH($C675&amp;"_Therm Saved per Unit- MLA",Algorithms!$A:$A,0)),0)*X675</f>
        <v>0</v>
      </c>
      <c r="CP675" s="266">
        <f ca="1">O675*IFERROR(INDEX(Algorithms!$G:$G,MATCH($C675&amp;"_Therm Saved per Unit- MLA",Algorithms!$A:$A,0)),0)*Y675</f>
        <v>0</v>
      </c>
      <c r="CQ675" s="266">
        <f ca="1">P675*IFERROR(INDEX(Algorithms!$G:$G,MATCH($C675&amp;"_Therm Saved per Unit- MLA",Algorithms!$A:$A,0)),0)*Z675</f>
        <v>0</v>
      </c>
      <c r="CR675" s="266">
        <f ca="1">Q675*IFERROR(INDEX(Algorithms!$G:$G,MATCH($C675&amp;"_Therm Saved per Unit- MLA",Algorithms!$A:$A,0)),0)*AA675</f>
        <v>0</v>
      </c>
      <c r="CS675" s="266">
        <f ca="1">IFERROR(INDEX(Algorithms!$G:$G,MATCH($C675&amp;"_Lifetime (years)",Algorithms!$A:$A,0)),0)</f>
        <v>15</v>
      </c>
      <c r="CT675" s="266">
        <f ca="1">IFERROR(INDEX(Algorithms!$G:$G,MATCH($C675&amp;"_Lifetime (years) - Remaining Years",Algorithms!$A:$A,0)),0)</f>
        <v>0</v>
      </c>
      <c r="CU675" s="266">
        <f t="shared" ca="1" si="441"/>
        <v>0</v>
      </c>
      <c r="CV675" s="266">
        <f t="shared" ca="1" si="442"/>
        <v>0</v>
      </c>
      <c r="CW675" s="266">
        <f t="shared" ca="1" si="443"/>
        <v>0</v>
      </c>
      <c r="CX675" s="266">
        <f t="shared" ca="1" si="444"/>
        <v>0</v>
      </c>
    </row>
    <row r="676" spans="2:102" s="47" customFormat="1" ht="18" customHeight="1" x14ac:dyDescent="0.25">
      <c r="B676" t="str">
        <f t="shared" si="445"/>
        <v>NSG_Business_Small/Mid-Size Business_Partner Trade Ally Rebate_Pipe Insulation_Steam Med Valve_CI</v>
      </c>
      <c r="C676" s="47" t="str">
        <f t="shared" si="406"/>
        <v>Pipe Insulation_Steam Med Valve_CI</v>
      </c>
      <c r="D676" s="270" t="s">
        <v>1787</v>
      </c>
      <c r="E676" s="270" t="s">
        <v>3</v>
      </c>
      <c r="F676" s="270" t="s">
        <v>1432</v>
      </c>
      <c r="G676" s="270" t="s">
        <v>1799</v>
      </c>
      <c r="H676" s="270" t="s">
        <v>404</v>
      </c>
      <c r="I676" s="270" t="s">
        <v>966</v>
      </c>
      <c r="J676" s="270" t="s">
        <v>1159</v>
      </c>
      <c r="K676" s="263">
        <v>1</v>
      </c>
      <c r="L676" s="263" t="str">
        <f ca="1">IFERROR(INDEX(Algorithms!J:J,MATCH($C676&amp;"_Therm Saved per Unit",Algorithms!$A:$A,0)),"n/a")</f>
        <v>"3 - Pipe Insulation" worksheet</v>
      </c>
      <c r="M676" s="263" t="str">
        <f>IFERROR(INDEX('Measure Level Detail'!$N:$N,MATCH($B676,'Measure Level Detail'!$B:$B,0)),0)</f>
        <v>each</v>
      </c>
      <c r="N676" s="271">
        <f>IFERROR(INDEX('Measure Level Detail'!$P:$P,MATCH($B676&amp;"_"&amp;N$3,'Measure Level Detail'!$C:$C,0)),0)</f>
        <v>0</v>
      </c>
      <c r="O676" s="271">
        <f>IFERROR(INDEX('Measure Level Detail'!$P:$P,MATCH($B676&amp;"_"&amp;O$3,'Measure Level Detail'!$C:$C,0)),0)</f>
        <v>0</v>
      </c>
      <c r="P676" s="271">
        <f>IFERROR(INDEX('Measure Level Detail'!$P:$P,MATCH($B676&amp;"_"&amp;P$3,'Measure Level Detail'!$C:$C,0)),0)</f>
        <v>0</v>
      </c>
      <c r="Q676" s="271">
        <f>IFERROR(INDEX('Measure Level Detail'!$P:$P,MATCH($B676&amp;"_"&amp;Q$3,'Measure Level Detail'!$C:$C,0)),0)</f>
        <v>0</v>
      </c>
      <c r="R676" s="263">
        <f ca="1">IFERROR(INDEX(Algorithms!K:K,MATCH($C676&amp;"_Therm Saved per Unit",Algorithms!$A:$A,0)),"n/a")</f>
        <v>0</v>
      </c>
      <c r="S676" s="262"/>
      <c r="T676" s="272">
        <v>49.002251273013741</v>
      </c>
      <c r="U676" s="272">
        <v>49.002251273013741</v>
      </c>
      <c r="V676" s="272">
        <v>49.002251273013741</v>
      </c>
      <c r="W676" s="272">
        <v>49.002251273013741</v>
      </c>
      <c r="X676" s="276">
        <v>0.93</v>
      </c>
      <c r="Y676" s="276">
        <v>0.93</v>
      </c>
      <c r="Z676" s="276">
        <v>0.93</v>
      </c>
      <c r="AA676" s="276">
        <v>0.93</v>
      </c>
      <c r="AB676" s="266">
        <f t="shared" si="407"/>
        <v>0</v>
      </c>
      <c r="AC676" s="266">
        <f t="shared" si="408"/>
        <v>0</v>
      </c>
      <c r="AD676" s="266">
        <f t="shared" si="409"/>
        <v>0</v>
      </c>
      <c r="AE676" s="266">
        <f t="shared" si="410"/>
        <v>0</v>
      </c>
      <c r="AF676" s="266">
        <f t="shared" si="411"/>
        <v>0</v>
      </c>
      <c r="AG676" s="274">
        <v>0.93</v>
      </c>
      <c r="AH676" s="274">
        <v>0.93</v>
      </c>
      <c r="AI676" s="274">
        <v>0.93</v>
      </c>
      <c r="AJ676" s="274">
        <v>0.93</v>
      </c>
      <c r="AK676" s="274">
        <f t="shared" si="412"/>
        <v>0.93</v>
      </c>
      <c r="AL676" s="274">
        <f t="shared" si="413"/>
        <v>0.93</v>
      </c>
      <c r="AM676" s="274">
        <f t="shared" si="414"/>
        <v>0.93</v>
      </c>
      <c r="AN676" s="274">
        <f t="shared" si="415"/>
        <v>0.93</v>
      </c>
      <c r="AO676" s="262"/>
      <c r="AP676" s="262"/>
      <c r="AQ676" s="267">
        <v>49.002251273013741</v>
      </c>
      <c r="AR676" s="262"/>
      <c r="AS676" s="266">
        <f t="shared" si="416"/>
        <v>0</v>
      </c>
      <c r="AT676" s="264">
        <f t="shared" si="417"/>
        <v>0</v>
      </c>
      <c r="AU676" s="262"/>
      <c r="AV676" s="262"/>
      <c r="AW676" s="265">
        <v>49.002251273013741</v>
      </c>
      <c r="AX676" s="164" t="s">
        <v>1469</v>
      </c>
      <c r="AY676" s="266">
        <v>0</v>
      </c>
      <c r="AZ676" s="266">
        <f t="shared" si="418"/>
        <v>0</v>
      </c>
      <c r="BA676" s="264">
        <f t="shared" si="419"/>
        <v>0</v>
      </c>
      <c r="BB676" s="262"/>
      <c r="BC676" s="262"/>
      <c r="BD676" s="265">
        <f ca="1">IFERROR(INDEX(Algorithms!$G:$G,MATCH($C676&amp;"_Therm Saved per Unit",Algorithms!$A:$A,0)),0)</f>
        <v>49.002251273013741</v>
      </c>
      <c r="BE676" s="164" t="str">
        <f ca="1">IFERROR(INDEX('v12 Revisions'!$P$29:$P$186, MATCH('Measure-Level Adj Gas'!$L676, 'v12 Revisions'!$D$29:$D$186,0)),"")</f>
        <v/>
      </c>
      <c r="BF676" s="266">
        <f t="shared" ca="1" si="420"/>
        <v>0</v>
      </c>
      <c r="BG676" s="264">
        <f t="shared" ca="1" si="421"/>
        <v>0</v>
      </c>
      <c r="BH676" s="262"/>
      <c r="BI676" s="262"/>
      <c r="BJ676" s="265">
        <f ca="1">IFERROR(INDEX(Algorithms!$G:$G,MATCH($C676&amp;"_Therm Saved per Unit",Algorithms!$A:$A,0)),0)</f>
        <v>49.002251273013741</v>
      </c>
      <c r="BK676" s="164"/>
      <c r="BL676" s="266">
        <f t="shared" ca="1" si="422"/>
        <v>0</v>
      </c>
      <c r="BM676" s="264">
        <f t="shared" ca="1" si="423"/>
        <v>0</v>
      </c>
      <c r="BN676" s="266">
        <f t="shared" si="424"/>
        <v>0</v>
      </c>
      <c r="BO676" s="266">
        <f t="shared" si="425"/>
        <v>0</v>
      </c>
      <c r="BP676" s="266">
        <f t="shared" ca="1" si="426"/>
        <v>0</v>
      </c>
      <c r="BQ676" s="266">
        <f t="shared" ca="1" si="427"/>
        <v>0</v>
      </c>
      <c r="BR676" s="268">
        <f t="shared" ca="1" si="428"/>
        <v>0</v>
      </c>
      <c r="BS676" s="262" t="s">
        <v>99</v>
      </c>
      <c r="BT676" s="277"/>
      <c r="BW676" s="266">
        <f t="shared" si="429"/>
        <v>0</v>
      </c>
      <c r="BX676" s="266">
        <f t="shared" si="430"/>
        <v>0</v>
      </c>
      <c r="BY676" s="266">
        <f t="shared" si="431"/>
        <v>0</v>
      </c>
      <c r="BZ676" s="266">
        <f t="shared" si="432"/>
        <v>0</v>
      </c>
      <c r="CA676" s="266">
        <f ca="1">N676*IFERROR(INDEX(Algorithms!$G:$G,MATCH($C676&amp;"_Therm Saved per Unit- MLA",Algorithms!$A:$A,0)),0)*X676</f>
        <v>0</v>
      </c>
      <c r="CB676" s="266">
        <f ca="1">O676*IFERROR(INDEX(Algorithms!$G:$G,MATCH($C676&amp;"_Therm Saved per Unit- MLA",Algorithms!$A:$A,0)),0)*Y676</f>
        <v>0</v>
      </c>
      <c r="CC676" s="266">
        <f ca="1">P676*IFERROR(INDEX(Algorithms!$G:$G,MATCH($C676&amp;"_Therm Saved per Unit- MLA",Algorithms!$A:$A,0)),0)*Z676</f>
        <v>0</v>
      </c>
      <c r="CD676" s="266">
        <f ca="1">Q676*IFERROR(INDEX(Algorithms!$G:$G,MATCH($C676&amp;"_Therm Saved per Unit- MLA",Algorithms!$A:$A,0)),0)*AA676</f>
        <v>0</v>
      </c>
      <c r="CE676" s="266">
        <f ca="1">IFERROR(INDEX(Algorithms!$G:$G,MATCH($C676&amp;"_Lifetime (years)",Algorithms!$A:$A,0)),0)</f>
        <v>15</v>
      </c>
      <c r="CF676" s="266">
        <f ca="1">IFERROR(INDEX(Algorithms!$G:$G,MATCH($C676&amp;"_Lifetime (years) - Remaining Years",Algorithms!$A:$A,0)),0)</f>
        <v>0</v>
      </c>
      <c r="CG676" s="266">
        <f t="shared" ca="1" si="433"/>
        <v>0</v>
      </c>
      <c r="CH676" s="266">
        <f t="shared" ca="1" si="434"/>
        <v>0</v>
      </c>
      <c r="CI676" s="266">
        <f t="shared" ca="1" si="435"/>
        <v>0</v>
      </c>
      <c r="CJ676" s="266">
        <f t="shared" ca="1" si="436"/>
        <v>0</v>
      </c>
      <c r="CK676" s="266">
        <f t="shared" si="437"/>
        <v>0</v>
      </c>
      <c r="CL676" s="266">
        <f t="shared" si="438"/>
        <v>0</v>
      </c>
      <c r="CM676" s="266">
        <f t="shared" ca="1" si="439"/>
        <v>0</v>
      </c>
      <c r="CN676" s="266">
        <f t="shared" ca="1" si="440"/>
        <v>0</v>
      </c>
      <c r="CO676" s="266">
        <f ca="1">N676*IFERROR(INDEX(Algorithms!$G:$G,MATCH($C676&amp;"_Therm Saved per Unit- MLA",Algorithms!$A:$A,0)),0)*X676</f>
        <v>0</v>
      </c>
      <c r="CP676" s="266">
        <f ca="1">O676*IFERROR(INDEX(Algorithms!$G:$G,MATCH($C676&amp;"_Therm Saved per Unit- MLA",Algorithms!$A:$A,0)),0)*Y676</f>
        <v>0</v>
      </c>
      <c r="CQ676" s="266">
        <f ca="1">P676*IFERROR(INDEX(Algorithms!$G:$G,MATCH($C676&amp;"_Therm Saved per Unit- MLA",Algorithms!$A:$A,0)),0)*Z676</f>
        <v>0</v>
      </c>
      <c r="CR676" s="266">
        <f ca="1">Q676*IFERROR(INDEX(Algorithms!$G:$G,MATCH($C676&amp;"_Therm Saved per Unit- MLA",Algorithms!$A:$A,0)),0)*AA676</f>
        <v>0</v>
      </c>
      <c r="CS676" s="266">
        <f ca="1">IFERROR(INDEX(Algorithms!$G:$G,MATCH($C676&amp;"_Lifetime (years)",Algorithms!$A:$A,0)),0)</f>
        <v>15</v>
      </c>
      <c r="CT676" s="266">
        <f ca="1">IFERROR(INDEX(Algorithms!$G:$G,MATCH($C676&amp;"_Lifetime (years) - Remaining Years",Algorithms!$A:$A,0)),0)</f>
        <v>0</v>
      </c>
      <c r="CU676" s="266">
        <f t="shared" ca="1" si="441"/>
        <v>0</v>
      </c>
      <c r="CV676" s="266">
        <f t="shared" ca="1" si="442"/>
        <v>0</v>
      </c>
      <c r="CW676" s="266">
        <f t="shared" ca="1" si="443"/>
        <v>0</v>
      </c>
      <c r="CX676" s="266">
        <f t="shared" ca="1" si="444"/>
        <v>0</v>
      </c>
    </row>
    <row r="677" spans="2:102" s="47" customFormat="1" ht="18" customHeight="1" x14ac:dyDescent="0.25">
      <c r="B677" t="str">
        <f t="shared" si="445"/>
        <v>NSG_Business_Small/Mid-Size Business_Partner Trade Ally Rebate_Pipe Insulation_Steam Large Valve_CI</v>
      </c>
      <c r="C677" s="47" t="str">
        <f t="shared" si="406"/>
        <v>Pipe Insulation_Steam Large Valve_CI</v>
      </c>
      <c r="D677" s="270" t="s">
        <v>1787</v>
      </c>
      <c r="E677" s="270" t="s">
        <v>3</v>
      </c>
      <c r="F677" s="270" t="s">
        <v>1432</v>
      </c>
      <c r="G677" s="270" t="s">
        <v>1799</v>
      </c>
      <c r="H677" s="270" t="s">
        <v>404</v>
      </c>
      <c r="I677" s="270" t="s">
        <v>967</v>
      </c>
      <c r="J677" s="270" t="s">
        <v>1159</v>
      </c>
      <c r="K677" s="263">
        <v>1</v>
      </c>
      <c r="L677" s="263" t="str">
        <f ca="1">IFERROR(INDEX(Algorithms!J:J,MATCH($C677&amp;"_Therm Saved per Unit",Algorithms!$A:$A,0)),"n/a")</f>
        <v>"3 - Pipe Insulation" worksheet</v>
      </c>
      <c r="M677" s="263" t="str">
        <f>IFERROR(INDEX('Measure Level Detail'!$N:$N,MATCH($B677,'Measure Level Detail'!$B:$B,0)),0)</f>
        <v>each</v>
      </c>
      <c r="N677" s="271">
        <f>IFERROR(INDEX('Measure Level Detail'!$P:$P,MATCH($B677&amp;"_"&amp;N$3,'Measure Level Detail'!$C:$C,0)),0)</f>
        <v>0</v>
      </c>
      <c r="O677" s="271">
        <f>IFERROR(INDEX('Measure Level Detail'!$P:$P,MATCH($B677&amp;"_"&amp;O$3,'Measure Level Detail'!$C:$C,0)),0)</f>
        <v>0</v>
      </c>
      <c r="P677" s="271">
        <f>IFERROR(INDEX('Measure Level Detail'!$P:$P,MATCH($B677&amp;"_"&amp;P$3,'Measure Level Detail'!$C:$C,0)),0)</f>
        <v>0</v>
      </c>
      <c r="Q677" s="271">
        <f>IFERROR(INDEX('Measure Level Detail'!$P:$P,MATCH($B677&amp;"_"&amp;Q$3,'Measure Level Detail'!$C:$C,0)),0)</f>
        <v>0</v>
      </c>
      <c r="R677" s="263">
        <f ca="1">IFERROR(INDEX(Algorithms!K:K,MATCH($C677&amp;"_Therm Saved per Unit",Algorithms!$A:$A,0)),"n/a")</f>
        <v>0</v>
      </c>
      <c r="S677" s="262"/>
      <c r="T677" s="272">
        <v>107.52607289087437</v>
      </c>
      <c r="U677" s="272">
        <v>107.52607289087437</v>
      </c>
      <c r="V677" s="272">
        <v>107.52607289087437</v>
      </c>
      <c r="W677" s="272">
        <v>107.52607289087437</v>
      </c>
      <c r="X677" s="276">
        <v>0.93</v>
      </c>
      <c r="Y677" s="276">
        <v>0.93</v>
      </c>
      <c r="Z677" s="276">
        <v>0.93</v>
      </c>
      <c r="AA677" s="276">
        <v>0.93</v>
      </c>
      <c r="AB677" s="266">
        <f t="shared" si="407"/>
        <v>0</v>
      </c>
      <c r="AC677" s="266">
        <f t="shared" si="408"/>
        <v>0</v>
      </c>
      <c r="AD677" s="266">
        <f t="shared" si="409"/>
        <v>0</v>
      </c>
      <c r="AE677" s="266">
        <f t="shared" si="410"/>
        <v>0</v>
      </c>
      <c r="AF677" s="266">
        <f t="shared" si="411"/>
        <v>0</v>
      </c>
      <c r="AG677" s="274">
        <v>0.93</v>
      </c>
      <c r="AH677" s="274">
        <v>0.93</v>
      </c>
      <c r="AI677" s="274">
        <v>0.93</v>
      </c>
      <c r="AJ677" s="274">
        <v>0.93</v>
      </c>
      <c r="AK677" s="274">
        <f t="shared" si="412"/>
        <v>0.93</v>
      </c>
      <c r="AL677" s="274">
        <f t="shared" si="413"/>
        <v>0.93</v>
      </c>
      <c r="AM677" s="274">
        <f t="shared" si="414"/>
        <v>0.93</v>
      </c>
      <c r="AN677" s="274">
        <f t="shared" si="415"/>
        <v>0.93</v>
      </c>
      <c r="AO677" s="262"/>
      <c r="AP677" s="262"/>
      <c r="AQ677" s="267">
        <v>107.52607289087437</v>
      </c>
      <c r="AR677" s="262"/>
      <c r="AS677" s="266">
        <f t="shared" si="416"/>
        <v>0</v>
      </c>
      <c r="AT677" s="264">
        <f t="shared" si="417"/>
        <v>0</v>
      </c>
      <c r="AU677" s="262"/>
      <c r="AV677" s="262"/>
      <c r="AW677" s="265">
        <v>107.52607289087437</v>
      </c>
      <c r="AX677" s="164" t="s">
        <v>1469</v>
      </c>
      <c r="AY677" s="266">
        <v>0</v>
      </c>
      <c r="AZ677" s="266">
        <f t="shared" si="418"/>
        <v>0</v>
      </c>
      <c r="BA677" s="264">
        <f t="shared" si="419"/>
        <v>0</v>
      </c>
      <c r="BB677" s="262"/>
      <c r="BC677" s="262"/>
      <c r="BD677" s="265">
        <f ca="1">IFERROR(INDEX(Algorithms!$G:$G,MATCH($C677&amp;"_Therm Saved per Unit",Algorithms!$A:$A,0)),0)</f>
        <v>107.52607289087437</v>
      </c>
      <c r="BE677" s="164" t="str">
        <f ca="1">IFERROR(INDEX('v12 Revisions'!$P$29:$P$186, MATCH('Measure-Level Adj Gas'!$L677, 'v12 Revisions'!$D$29:$D$186,0)),"")</f>
        <v/>
      </c>
      <c r="BF677" s="266">
        <f t="shared" ca="1" si="420"/>
        <v>0</v>
      </c>
      <c r="BG677" s="264">
        <f t="shared" ca="1" si="421"/>
        <v>0</v>
      </c>
      <c r="BH677" s="262"/>
      <c r="BI677" s="262"/>
      <c r="BJ677" s="265">
        <f ca="1">IFERROR(INDEX(Algorithms!$G:$G,MATCH($C677&amp;"_Therm Saved per Unit",Algorithms!$A:$A,0)),0)</f>
        <v>107.52607289087437</v>
      </c>
      <c r="BK677" s="164"/>
      <c r="BL677" s="266">
        <f t="shared" ca="1" si="422"/>
        <v>0</v>
      </c>
      <c r="BM677" s="264">
        <f t="shared" ca="1" si="423"/>
        <v>0</v>
      </c>
      <c r="BN677" s="266">
        <f t="shared" si="424"/>
        <v>0</v>
      </c>
      <c r="BO677" s="266">
        <f t="shared" si="425"/>
        <v>0</v>
      </c>
      <c r="BP677" s="266">
        <f t="shared" ca="1" si="426"/>
        <v>0</v>
      </c>
      <c r="BQ677" s="266">
        <f t="shared" ca="1" si="427"/>
        <v>0</v>
      </c>
      <c r="BR677" s="268">
        <f t="shared" ca="1" si="428"/>
        <v>0</v>
      </c>
      <c r="BS677" s="262" t="s">
        <v>99</v>
      </c>
      <c r="BT677" s="277"/>
      <c r="BW677" s="266">
        <f t="shared" si="429"/>
        <v>0</v>
      </c>
      <c r="BX677" s="266">
        <f t="shared" si="430"/>
        <v>0</v>
      </c>
      <c r="BY677" s="266">
        <f t="shared" si="431"/>
        <v>0</v>
      </c>
      <c r="BZ677" s="266">
        <f t="shared" si="432"/>
        <v>0</v>
      </c>
      <c r="CA677" s="266">
        <f ca="1">N677*IFERROR(INDEX(Algorithms!$G:$G,MATCH($C677&amp;"_Therm Saved per Unit- MLA",Algorithms!$A:$A,0)),0)*X677</f>
        <v>0</v>
      </c>
      <c r="CB677" s="266">
        <f ca="1">O677*IFERROR(INDEX(Algorithms!$G:$G,MATCH($C677&amp;"_Therm Saved per Unit- MLA",Algorithms!$A:$A,0)),0)*Y677</f>
        <v>0</v>
      </c>
      <c r="CC677" s="266">
        <f ca="1">P677*IFERROR(INDEX(Algorithms!$G:$G,MATCH($C677&amp;"_Therm Saved per Unit- MLA",Algorithms!$A:$A,0)),0)*Z677</f>
        <v>0</v>
      </c>
      <c r="CD677" s="266">
        <f ca="1">Q677*IFERROR(INDEX(Algorithms!$G:$G,MATCH($C677&amp;"_Therm Saved per Unit- MLA",Algorithms!$A:$A,0)),0)*AA677</f>
        <v>0</v>
      </c>
      <c r="CE677" s="266">
        <f ca="1">IFERROR(INDEX(Algorithms!$G:$G,MATCH($C677&amp;"_Lifetime (years)",Algorithms!$A:$A,0)),0)</f>
        <v>15</v>
      </c>
      <c r="CF677" s="266">
        <f ca="1">IFERROR(INDEX(Algorithms!$G:$G,MATCH($C677&amp;"_Lifetime (years) - Remaining Years",Algorithms!$A:$A,0)),0)</f>
        <v>0</v>
      </c>
      <c r="CG677" s="266">
        <f t="shared" ca="1" si="433"/>
        <v>0</v>
      </c>
      <c r="CH677" s="266">
        <f t="shared" ca="1" si="434"/>
        <v>0</v>
      </c>
      <c r="CI677" s="266">
        <f t="shared" ca="1" si="435"/>
        <v>0</v>
      </c>
      <c r="CJ677" s="266">
        <f t="shared" ca="1" si="436"/>
        <v>0</v>
      </c>
      <c r="CK677" s="266">
        <f t="shared" si="437"/>
        <v>0</v>
      </c>
      <c r="CL677" s="266">
        <f t="shared" si="438"/>
        <v>0</v>
      </c>
      <c r="CM677" s="266">
        <f t="shared" ca="1" si="439"/>
        <v>0</v>
      </c>
      <c r="CN677" s="266">
        <f t="shared" ca="1" si="440"/>
        <v>0</v>
      </c>
      <c r="CO677" s="266">
        <f ca="1">N677*IFERROR(INDEX(Algorithms!$G:$G,MATCH($C677&amp;"_Therm Saved per Unit- MLA",Algorithms!$A:$A,0)),0)*X677</f>
        <v>0</v>
      </c>
      <c r="CP677" s="266">
        <f ca="1">O677*IFERROR(INDEX(Algorithms!$G:$G,MATCH($C677&amp;"_Therm Saved per Unit- MLA",Algorithms!$A:$A,0)),0)*Y677</f>
        <v>0</v>
      </c>
      <c r="CQ677" s="266">
        <f ca="1">P677*IFERROR(INDEX(Algorithms!$G:$G,MATCH($C677&amp;"_Therm Saved per Unit- MLA",Algorithms!$A:$A,0)),0)*Z677</f>
        <v>0</v>
      </c>
      <c r="CR677" s="266">
        <f ca="1">Q677*IFERROR(INDEX(Algorithms!$G:$G,MATCH($C677&amp;"_Therm Saved per Unit- MLA",Algorithms!$A:$A,0)),0)*AA677</f>
        <v>0</v>
      </c>
      <c r="CS677" s="266">
        <f ca="1">IFERROR(INDEX(Algorithms!$G:$G,MATCH($C677&amp;"_Lifetime (years)",Algorithms!$A:$A,0)),0)</f>
        <v>15</v>
      </c>
      <c r="CT677" s="266">
        <f ca="1">IFERROR(INDEX(Algorithms!$G:$G,MATCH($C677&amp;"_Lifetime (years) - Remaining Years",Algorithms!$A:$A,0)),0)</f>
        <v>0</v>
      </c>
      <c r="CU677" s="266">
        <f t="shared" ca="1" si="441"/>
        <v>0</v>
      </c>
      <c r="CV677" s="266">
        <f t="shared" ca="1" si="442"/>
        <v>0</v>
      </c>
      <c r="CW677" s="266">
        <f t="shared" ca="1" si="443"/>
        <v>0</v>
      </c>
      <c r="CX677" s="266">
        <f t="shared" ca="1" si="444"/>
        <v>0</v>
      </c>
    </row>
    <row r="678" spans="2:102" s="47" customFormat="1" ht="18" customHeight="1" x14ac:dyDescent="0.25">
      <c r="B678" t="str">
        <f t="shared" si="445"/>
        <v>NSG_Business_Small/Mid-Size Business_Partner Trade Ally Rebate_Pipe Insulation_Steam X-Large Valve_CI</v>
      </c>
      <c r="C678" s="47" t="str">
        <f t="shared" si="406"/>
        <v>Pipe Insulation_Steam X-Large Valve_CI</v>
      </c>
      <c r="D678" s="270" t="s">
        <v>1787</v>
      </c>
      <c r="E678" s="270" t="s">
        <v>3</v>
      </c>
      <c r="F678" s="270" t="s">
        <v>1432</v>
      </c>
      <c r="G678" s="270" t="s">
        <v>1799</v>
      </c>
      <c r="H678" s="270" t="s">
        <v>404</v>
      </c>
      <c r="I678" s="270" t="s">
        <v>968</v>
      </c>
      <c r="J678" s="270" t="s">
        <v>1159</v>
      </c>
      <c r="K678" s="263">
        <v>1</v>
      </c>
      <c r="L678" s="263" t="str">
        <f ca="1">IFERROR(INDEX(Algorithms!J:J,MATCH($C678&amp;"_Therm Saved per Unit",Algorithms!$A:$A,0)),"n/a")</f>
        <v>"3 - Pipe Insulation" worksheet</v>
      </c>
      <c r="M678" s="263" t="str">
        <f>IFERROR(INDEX('Measure Level Detail'!$N:$N,MATCH($B678,'Measure Level Detail'!$B:$B,0)),0)</f>
        <v>each</v>
      </c>
      <c r="N678" s="271">
        <f>IFERROR(INDEX('Measure Level Detail'!$P:$P,MATCH($B678&amp;"_"&amp;N$3,'Measure Level Detail'!$C:$C,0)),0)</f>
        <v>0</v>
      </c>
      <c r="O678" s="271">
        <f>IFERROR(INDEX('Measure Level Detail'!$P:$P,MATCH($B678&amp;"_"&amp;O$3,'Measure Level Detail'!$C:$C,0)),0)</f>
        <v>0</v>
      </c>
      <c r="P678" s="271">
        <f>IFERROR(INDEX('Measure Level Detail'!$P:$P,MATCH($B678&amp;"_"&amp;P$3,'Measure Level Detail'!$C:$C,0)),0)</f>
        <v>0</v>
      </c>
      <c r="Q678" s="271">
        <f>IFERROR(INDEX('Measure Level Detail'!$P:$P,MATCH($B678&amp;"_"&amp;Q$3,'Measure Level Detail'!$C:$C,0)),0)</f>
        <v>0</v>
      </c>
      <c r="R678" s="263">
        <f ca="1">IFERROR(INDEX(Algorithms!K:K,MATCH($C678&amp;"_Therm Saved per Unit",Algorithms!$A:$A,0)),"n/a")</f>
        <v>0</v>
      </c>
      <c r="S678" s="262"/>
      <c r="T678" s="272">
        <v>175.06254164158375</v>
      </c>
      <c r="U678" s="272">
        <v>175.06254164158375</v>
      </c>
      <c r="V678" s="272">
        <v>175.06254164158375</v>
      </c>
      <c r="W678" s="272">
        <v>175.06254164158375</v>
      </c>
      <c r="X678" s="276">
        <v>0.93</v>
      </c>
      <c r="Y678" s="276">
        <v>0.93</v>
      </c>
      <c r="Z678" s="276">
        <v>0.93</v>
      </c>
      <c r="AA678" s="276">
        <v>0.93</v>
      </c>
      <c r="AB678" s="266">
        <f t="shared" si="407"/>
        <v>0</v>
      </c>
      <c r="AC678" s="266">
        <f t="shared" si="408"/>
        <v>0</v>
      </c>
      <c r="AD678" s="266">
        <f t="shared" si="409"/>
        <v>0</v>
      </c>
      <c r="AE678" s="266">
        <f t="shared" si="410"/>
        <v>0</v>
      </c>
      <c r="AF678" s="266">
        <f t="shared" si="411"/>
        <v>0</v>
      </c>
      <c r="AG678" s="274">
        <v>0.93</v>
      </c>
      <c r="AH678" s="274">
        <v>0.93</v>
      </c>
      <c r="AI678" s="274">
        <v>0.93</v>
      </c>
      <c r="AJ678" s="274">
        <v>0.93</v>
      </c>
      <c r="AK678" s="274">
        <f t="shared" si="412"/>
        <v>0.93</v>
      </c>
      <c r="AL678" s="274">
        <f t="shared" si="413"/>
        <v>0.93</v>
      </c>
      <c r="AM678" s="274">
        <f t="shared" si="414"/>
        <v>0.93</v>
      </c>
      <c r="AN678" s="274">
        <f t="shared" si="415"/>
        <v>0.93</v>
      </c>
      <c r="AO678" s="262"/>
      <c r="AP678" s="262"/>
      <c r="AQ678" s="267">
        <v>175.06254164158375</v>
      </c>
      <c r="AR678" s="262"/>
      <c r="AS678" s="266">
        <f t="shared" si="416"/>
        <v>0</v>
      </c>
      <c r="AT678" s="264">
        <f t="shared" si="417"/>
        <v>0</v>
      </c>
      <c r="AU678" s="262"/>
      <c r="AV678" s="262"/>
      <c r="AW678" s="265">
        <v>175.06254164158375</v>
      </c>
      <c r="AX678" s="164" t="s">
        <v>1469</v>
      </c>
      <c r="AY678" s="266">
        <v>0</v>
      </c>
      <c r="AZ678" s="266">
        <f t="shared" si="418"/>
        <v>0</v>
      </c>
      <c r="BA678" s="264">
        <f t="shared" si="419"/>
        <v>0</v>
      </c>
      <c r="BB678" s="262"/>
      <c r="BC678" s="262"/>
      <c r="BD678" s="265">
        <f ca="1">IFERROR(INDEX(Algorithms!$G:$G,MATCH($C678&amp;"_Therm Saved per Unit",Algorithms!$A:$A,0)),0)</f>
        <v>175.06254164158375</v>
      </c>
      <c r="BE678" s="164" t="str">
        <f ca="1">IFERROR(INDEX('v12 Revisions'!$P$29:$P$186, MATCH('Measure-Level Adj Gas'!$L678, 'v12 Revisions'!$D$29:$D$186,0)),"")</f>
        <v/>
      </c>
      <c r="BF678" s="266">
        <f t="shared" ca="1" si="420"/>
        <v>0</v>
      </c>
      <c r="BG678" s="264">
        <f t="shared" ca="1" si="421"/>
        <v>0</v>
      </c>
      <c r="BH678" s="262"/>
      <c r="BI678" s="262"/>
      <c r="BJ678" s="265">
        <f ca="1">IFERROR(INDEX(Algorithms!$G:$G,MATCH($C678&amp;"_Therm Saved per Unit",Algorithms!$A:$A,0)),0)</f>
        <v>175.06254164158375</v>
      </c>
      <c r="BK678" s="164"/>
      <c r="BL678" s="266">
        <f t="shared" ca="1" si="422"/>
        <v>0</v>
      </c>
      <c r="BM678" s="264">
        <f t="shared" ca="1" si="423"/>
        <v>0</v>
      </c>
      <c r="BN678" s="266">
        <f t="shared" si="424"/>
        <v>0</v>
      </c>
      <c r="BO678" s="266">
        <f t="shared" si="425"/>
        <v>0</v>
      </c>
      <c r="BP678" s="266">
        <f t="shared" ca="1" si="426"/>
        <v>0</v>
      </c>
      <c r="BQ678" s="266">
        <f t="shared" ca="1" si="427"/>
        <v>0</v>
      </c>
      <c r="BR678" s="268">
        <f t="shared" ca="1" si="428"/>
        <v>0</v>
      </c>
      <c r="BS678" s="262" t="s">
        <v>99</v>
      </c>
      <c r="BT678" s="277"/>
      <c r="BW678" s="266">
        <f t="shared" si="429"/>
        <v>0</v>
      </c>
      <c r="BX678" s="266">
        <f t="shared" si="430"/>
        <v>0</v>
      </c>
      <c r="BY678" s="266">
        <f t="shared" si="431"/>
        <v>0</v>
      </c>
      <c r="BZ678" s="266">
        <f t="shared" si="432"/>
        <v>0</v>
      </c>
      <c r="CA678" s="266">
        <f ca="1">N678*IFERROR(INDEX(Algorithms!$G:$G,MATCH($C678&amp;"_Therm Saved per Unit- MLA",Algorithms!$A:$A,0)),0)*X678</f>
        <v>0</v>
      </c>
      <c r="CB678" s="266">
        <f ca="1">O678*IFERROR(INDEX(Algorithms!$G:$G,MATCH($C678&amp;"_Therm Saved per Unit- MLA",Algorithms!$A:$A,0)),0)*Y678</f>
        <v>0</v>
      </c>
      <c r="CC678" s="266">
        <f ca="1">P678*IFERROR(INDEX(Algorithms!$G:$G,MATCH($C678&amp;"_Therm Saved per Unit- MLA",Algorithms!$A:$A,0)),0)*Z678</f>
        <v>0</v>
      </c>
      <c r="CD678" s="266">
        <f ca="1">Q678*IFERROR(INDEX(Algorithms!$G:$G,MATCH($C678&amp;"_Therm Saved per Unit- MLA",Algorithms!$A:$A,0)),0)*AA678</f>
        <v>0</v>
      </c>
      <c r="CE678" s="266">
        <f ca="1">IFERROR(INDEX(Algorithms!$G:$G,MATCH($C678&amp;"_Lifetime (years)",Algorithms!$A:$A,0)),0)</f>
        <v>15</v>
      </c>
      <c r="CF678" s="266">
        <f ca="1">IFERROR(INDEX(Algorithms!$G:$G,MATCH($C678&amp;"_Lifetime (years) - Remaining Years",Algorithms!$A:$A,0)),0)</f>
        <v>0</v>
      </c>
      <c r="CG678" s="266">
        <f t="shared" ca="1" si="433"/>
        <v>0</v>
      </c>
      <c r="CH678" s="266">
        <f t="shared" ca="1" si="434"/>
        <v>0</v>
      </c>
      <c r="CI678" s="266">
        <f t="shared" ca="1" si="435"/>
        <v>0</v>
      </c>
      <c r="CJ678" s="266">
        <f t="shared" ca="1" si="436"/>
        <v>0</v>
      </c>
      <c r="CK678" s="266">
        <f t="shared" si="437"/>
        <v>0</v>
      </c>
      <c r="CL678" s="266">
        <f t="shared" si="438"/>
        <v>0</v>
      </c>
      <c r="CM678" s="266">
        <f t="shared" ca="1" si="439"/>
        <v>0</v>
      </c>
      <c r="CN678" s="266">
        <f t="shared" ca="1" si="440"/>
        <v>0</v>
      </c>
      <c r="CO678" s="266">
        <f ca="1">N678*IFERROR(INDEX(Algorithms!$G:$G,MATCH($C678&amp;"_Therm Saved per Unit- MLA",Algorithms!$A:$A,0)),0)*X678</f>
        <v>0</v>
      </c>
      <c r="CP678" s="266">
        <f ca="1">O678*IFERROR(INDEX(Algorithms!$G:$G,MATCH($C678&amp;"_Therm Saved per Unit- MLA",Algorithms!$A:$A,0)),0)*Y678</f>
        <v>0</v>
      </c>
      <c r="CQ678" s="266">
        <f ca="1">P678*IFERROR(INDEX(Algorithms!$G:$G,MATCH($C678&amp;"_Therm Saved per Unit- MLA",Algorithms!$A:$A,0)),0)*Z678</f>
        <v>0</v>
      </c>
      <c r="CR678" s="266">
        <f ca="1">Q678*IFERROR(INDEX(Algorithms!$G:$G,MATCH($C678&amp;"_Therm Saved per Unit- MLA",Algorithms!$A:$A,0)),0)*AA678</f>
        <v>0</v>
      </c>
      <c r="CS678" s="266">
        <f ca="1">IFERROR(INDEX(Algorithms!$G:$G,MATCH($C678&amp;"_Lifetime (years)",Algorithms!$A:$A,0)),0)</f>
        <v>15</v>
      </c>
      <c r="CT678" s="266">
        <f ca="1">IFERROR(INDEX(Algorithms!$G:$G,MATCH($C678&amp;"_Lifetime (years) - Remaining Years",Algorithms!$A:$A,0)),0)</f>
        <v>0</v>
      </c>
      <c r="CU678" s="266">
        <f t="shared" ca="1" si="441"/>
        <v>0</v>
      </c>
      <c r="CV678" s="266">
        <f t="shared" ca="1" si="442"/>
        <v>0</v>
      </c>
      <c r="CW678" s="266">
        <f t="shared" ca="1" si="443"/>
        <v>0</v>
      </c>
      <c r="CX678" s="266">
        <f t="shared" ca="1" si="444"/>
        <v>0</v>
      </c>
    </row>
    <row r="679" spans="2:102" s="47" customFormat="1" ht="18" customHeight="1" x14ac:dyDescent="0.25">
      <c r="B679" t="str">
        <f t="shared" si="445"/>
        <v>NSG_Business_Small/Mid-Size Business_Partner Trade Ally Rebate_Pre-Rinse Sprayer_0_CI</v>
      </c>
      <c r="C679" s="47" t="str">
        <f t="shared" si="406"/>
        <v>Pre-Rinse Sprayer_0_CI</v>
      </c>
      <c r="D679" s="270" t="s">
        <v>1787</v>
      </c>
      <c r="E679" s="270" t="s">
        <v>3</v>
      </c>
      <c r="F679" s="270" t="s">
        <v>1432</v>
      </c>
      <c r="G679" s="270" t="s">
        <v>1799</v>
      </c>
      <c r="H679" s="270" t="s">
        <v>1219</v>
      </c>
      <c r="I679" s="270">
        <v>0</v>
      </c>
      <c r="J679" s="270" t="s">
        <v>1159</v>
      </c>
      <c r="K679" s="263">
        <v>1</v>
      </c>
      <c r="L679" s="263" t="str">
        <f ca="1">IFERROR(INDEX(Algorithms!J:J,MATCH($C679&amp;"_Therm Saved per Unit",Algorithms!$A:$A,0)),"n/a")</f>
        <v>4.2.11</v>
      </c>
      <c r="M679" s="263" t="str">
        <f>IFERROR(INDEX('Measure Level Detail'!$N:$N,MATCH($B679,'Measure Level Detail'!$B:$B,0)),0)</f>
        <v>each</v>
      </c>
      <c r="N679" s="271">
        <f>IFERROR(INDEX('Measure Level Detail'!$P:$P,MATCH($B679&amp;"_"&amp;N$3,'Measure Level Detail'!$C:$C,0)),0)</f>
        <v>0</v>
      </c>
      <c r="O679" s="271">
        <f>IFERROR(INDEX('Measure Level Detail'!$P:$P,MATCH($B679&amp;"_"&amp;O$3,'Measure Level Detail'!$C:$C,0)),0)</f>
        <v>0</v>
      </c>
      <c r="P679" s="271">
        <f>IFERROR(INDEX('Measure Level Detail'!$P:$P,MATCH($B679&amp;"_"&amp;P$3,'Measure Level Detail'!$C:$C,0)),0)</f>
        <v>0</v>
      </c>
      <c r="Q679" s="271">
        <f>IFERROR(INDEX('Measure Level Detail'!$P:$P,MATCH($B679&amp;"_"&amp;Q$3,'Measure Level Detail'!$C:$C,0)),0)</f>
        <v>0</v>
      </c>
      <c r="R679" s="263" t="str">
        <f ca="1">IFERROR(INDEX(Algorithms!K:K,MATCH($C679&amp;"_Therm Saved per Unit",Algorithms!$A:$A,0)),"n/a")</f>
        <v>CI-FSE-SPRY-V08-220101</v>
      </c>
      <c r="S679" s="262"/>
      <c r="T679" s="272">
        <v>235.77765120000004</v>
      </c>
      <c r="U679" s="272">
        <v>235.77765120000004</v>
      </c>
      <c r="V679" s="272">
        <v>235.77765120000004</v>
      </c>
      <c r="W679" s="272">
        <v>235.77765120000004</v>
      </c>
      <c r="X679" s="276">
        <v>0.93</v>
      </c>
      <c r="Y679" s="276">
        <v>0.93</v>
      </c>
      <c r="Z679" s="276">
        <v>0.93</v>
      </c>
      <c r="AA679" s="276">
        <v>0.93</v>
      </c>
      <c r="AB679" s="266">
        <f t="shared" si="407"/>
        <v>0</v>
      </c>
      <c r="AC679" s="266">
        <f t="shared" si="408"/>
        <v>0</v>
      </c>
      <c r="AD679" s="266">
        <f t="shared" si="409"/>
        <v>0</v>
      </c>
      <c r="AE679" s="266">
        <f t="shared" si="410"/>
        <v>0</v>
      </c>
      <c r="AF679" s="266">
        <f t="shared" si="411"/>
        <v>0</v>
      </c>
      <c r="AG679" s="274">
        <v>0.93</v>
      </c>
      <c r="AH679" s="274">
        <v>0.93</v>
      </c>
      <c r="AI679" s="274">
        <v>0.93</v>
      </c>
      <c r="AJ679" s="274">
        <v>0.93</v>
      </c>
      <c r="AK679" s="274">
        <f t="shared" si="412"/>
        <v>0.93</v>
      </c>
      <c r="AL679" s="274">
        <f t="shared" si="413"/>
        <v>0.93</v>
      </c>
      <c r="AM679" s="274">
        <f t="shared" si="414"/>
        <v>0.93</v>
      </c>
      <c r="AN679" s="274">
        <f t="shared" si="415"/>
        <v>0.93</v>
      </c>
      <c r="AO679" s="262"/>
      <c r="AP679" s="262"/>
      <c r="AQ679" s="267">
        <v>247.22970854399998</v>
      </c>
      <c r="AR679" s="262"/>
      <c r="AS679" s="266">
        <f t="shared" si="416"/>
        <v>0</v>
      </c>
      <c r="AT679" s="264">
        <f t="shared" si="417"/>
        <v>0</v>
      </c>
      <c r="AU679" s="262"/>
      <c r="AV679" s="262"/>
      <c r="AW679" s="265">
        <v>247.22970854399998</v>
      </c>
      <c r="AX679" s="164" t="s">
        <v>1469</v>
      </c>
      <c r="AY679" s="266">
        <v>0</v>
      </c>
      <c r="AZ679" s="266">
        <f t="shared" si="418"/>
        <v>0</v>
      </c>
      <c r="BA679" s="264">
        <f t="shared" si="419"/>
        <v>0</v>
      </c>
      <c r="BB679" s="262"/>
      <c r="BC679" s="262"/>
      <c r="BD679" s="265">
        <f ca="1">IFERROR(INDEX(Algorithms!$G:$G,MATCH($C679&amp;"_Therm Saved per Unit",Algorithms!$A:$A,0)),0)</f>
        <v>247.22970854399998</v>
      </c>
      <c r="BE679" s="164" t="str">
        <f ca="1">IFERROR(INDEX('v12 Revisions'!$P$29:$P$186, MATCH('Measure-Level Adj Gas'!$L679, 'v12 Revisions'!$D$29:$D$186,0)),"")</f>
        <v/>
      </c>
      <c r="BF679" s="266">
        <f t="shared" ca="1" si="420"/>
        <v>0</v>
      </c>
      <c r="BG679" s="264">
        <f t="shared" ca="1" si="421"/>
        <v>0</v>
      </c>
      <c r="BH679" s="262"/>
      <c r="BI679" s="262"/>
      <c r="BJ679" s="265">
        <f ca="1">IFERROR(INDEX(Algorithms!$G:$G,MATCH($C679&amp;"_Therm Saved per Unit",Algorithms!$A:$A,0)),0)</f>
        <v>247.22970854399998</v>
      </c>
      <c r="BK679" s="164"/>
      <c r="BL679" s="266">
        <f t="shared" ca="1" si="422"/>
        <v>0</v>
      </c>
      <c r="BM679" s="264">
        <f t="shared" ca="1" si="423"/>
        <v>0</v>
      </c>
      <c r="BN679" s="266">
        <f t="shared" si="424"/>
        <v>0</v>
      </c>
      <c r="BO679" s="266">
        <f t="shared" si="425"/>
        <v>0</v>
      </c>
      <c r="BP679" s="266">
        <f t="shared" ca="1" si="426"/>
        <v>0</v>
      </c>
      <c r="BQ679" s="266">
        <f t="shared" ca="1" si="427"/>
        <v>0</v>
      </c>
      <c r="BR679" s="268">
        <f t="shared" ca="1" si="428"/>
        <v>0</v>
      </c>
      <c r="BS679" s="262" t="s">
        <v>99</v>
      </c>
      <c r="BT679" s="277"/>
      <c r="BW679" s="266">
        <f t="shared" si="429"/>
        <v>0</v>
      </c>
      <c r="BX679" s="266">
        <f t="shared" si="430"/>
        <v>0</v>
      </c>
      <c r="BY679" s="266">
        <f t="shared" si="431"/>
        <v>0</v>
      </c>
      <c r="BZ679" s="266">
        <f t="shared" si="432"/>
        <v>0</v>
      </c>
      <c r="CA679" s="266">
        <f ca="1">N679*IFERROR(INDEX(Algorithms!$G:$G,MATCH($C679&amp;"_Therm Saved per Unit- MLA",Algorithms!$A:$A,0)),0)*X679</f>
        <v>0</v>
      </c>
      <c r="CB679" s="266">
        <f ca="1">O679*IFERROR(INDEX(Algorithms!$G:$G,MATCH($C679&amp;"_Therm Saved per Unit- MLA",Algorithms!$A:$A,0)),0)*Y679</f>
        <v>0</v>
      </c>
      <c r="CC679" s="266">
        <f ca="1">P679*IFERROR(INDEX(Algorithms!$G:$G,MATCH($C679&amp;"_Therm Saved per Unit- MLA",Algorithms!$A:$A,0)),0)*Z679</f>
        <v>0</v>
      </c>
      <c r="CD679" s="266">
        <f ca="1">Q679*IFERROR(INDEX(Algorithms!$G:$G,MATCH($C679&amp;"_Therm Saved per Unit- MLA",Algorithms!$A:$A,0)),0)*AA679</f>
        <v>0</v>
      </c>
      <c r="CE679" s="266">
        <f ca="1">IFERROR(INDEX(Algorithms!$G:$G,MATCH($C679&amp;"_Lifetime (years)",Algorithms!$A:$A,0)),0)</f>
        <v>5</v>
      </c>
      <c r="CF679" s="266">
        <f ca="1">IFERROR(INDEX(Algorithms!$G:$G,MATCH($C679&amp;"_Lifetime (years) - Remaining Years",Algorithms!$A:$A,0)),0)</f>
        <v>0</v>
      </c>
      <c r="CG679" s="266">
        <f t="shared" ca="1" si="433"/>
        <v>0</v>
      </c>
      <c r="CH679" s="266">
        <f t="shared" ca="1" si="434"/>
        <v>0</v>
      </c>
      <c r="CI679" s="266">
        <f t="shared" ca="1" si="435"/>
        <v>0</v>
      </c>
      <c r="CJ679" s="266">
        <f t="shared" ca="1" si="436"/>
        <v>0</v>
      </c>
      <c r="CK679" s="266">
        <f t="shared" si="437"/>
        <v>0</v>
      </c>
      <c r="CL679" s="266">
        <f t="shared" si="438"/>
        <v>0</v>
      </c>
      <c r="CM679" s="266">
        <f t="shared" ca="1" si="439"/>
        <v>0</v>
      </c>
      <c r="CN679" s="266">
        <f t="shared" ca="1" si="440"/>
        <v>0</v>
      </c>
      <c r="CO679" s="266">
        <f ca="1">N679*IFERROR(INDEX(Algorithms!$G:$G,MATCH($C679&amp;"_Therm Saved per Unit- MLA",Algorithms!$A:$A,0)),0)*X679</f>
        <v>0</v>
      </c>
      <c r="CP679" s="266">
        <f ca="1">O679*IFERROR(INDEX(Algorithms!$G:$G,MATCH($C679&amp;"_Therm Saved per Unit- MLA",Algorithms!$A:$A,0)),0)*Y679</f>
        <v>0</v>
      </c>
      <c r="CQ679" s="266">
        <f ca="1">P679*IFERROR(INDEX(Algorithms!$G:$G,MATCH($C679&amp;"_Therm Saved per Unit- MLA",Algorithms!$A:$A,0)),0)*Z679</f>
        <v>0</v>
      </c>
      <c r="CR679" s="266">
        <f ca="1">Q679*IFERROR(INDEX(Algorithms!$G:$G,MATCH($C679&amp;"_Therm Saved per Unit- MLA",Algorithms!$A:$A,0)),0)*AA679</f>
        <v>0</v>
      </c>
      <c r="CS679" s="266">
        <f ca="1">IFERROR(INDEX(Algorithms!$G:$G,MATCH($C679&amp;"_Lifetime (years)",Algorithms!$A:$A,0)),0)</f>
        <v>5</v>
      </c>
      <c r="CT679" s="266">
        <f ca="1">IFERROR(INDEX(Algorithms!$G:$G,MATCH($C679&amp;"_Lifetime (years) - Remaining Years",Algorithms!$A:$A,0)),0)</f>
        <v>0</v>
      </c>
      <c r="CU679" s="266">
        <f t="shared" ca="1" si="441"/>
        <v>0</v>
      </c>
      <c r="CV679" s="266">
        <f t="shared" ca="1" si="442"/>
        <v>0</v>
      </c>
      <c r="CW679" s="266">
        <f t="shared" ca="1" si="443"/>
        <v>0</v>
      </c>
      <c r="CX679" s="266">
        <f t="shared" ca="1" si="444"/>
        <v>0</v>
      </c>
    </row>
    <row r="680" spans="2:102" s="47" customFormat="1" ht="18" customHeight="1" x14ac:dyDescent="0.25">
      <c r="B680" t="str">
        <f t="shared" si="445"/>
        <v>NSG_Business_Small/Mid-Size Business_Partner Trade Ally Rebate_Steam Traps_Industrial/Process Audit - psig ≤ 15_CI/SMB</v>
      </c>
      <c r="C680" s="47" t="str">
        <f t="shared" si="406"/>
        <v>Steam Traps_Industrial/Process Audit - psig ≤ 15_CI/SMB</v>
      </c>
      <c r="D680" s="270" t="s">
        <v>1787</v>
      </c>
      <c r="E680" s="270" t="s">
        <v>3</v>
      </c>
      <c r="F680" s="270" t="s">
        <v>1432</v>
      </c>
      <c r="G680" s="270" t="s">
        <v>1799</v>
      </c>
      <c r="H680" s="270" t="s">
        <v>644</v>
      </c>
      <c r="I680" s="270" t="s">
        <v>1383</v>
      </c>
      <c r="J680" s="270" t="s">
        <v>970</v>
      </c>
      <c r="K680" s="263">
        <v>1</v>
      </c>
      <c r="L680" s="263" t="str">
        <f ca="1">IFERROR(INDEX(Algorithms!J:J,MATCH($C680&amp;"_Therm Saved per Unit",Algorithms!$A:$A,0)),"n/a")</f>
        <v>4.4.16</v>
      </c>
      <c r="M680" s="263" t="str">
        <f>IFERROR(INDEX('Measure Level Detail'!$N:$N,MATCH($B680,'Measure Level Detail'!$B:$B,0)),0)</f>
        <v>each</v>
      </c>
      <c r="N680" s="271">
        <f>IFERROR(INDEX('Measure Level Detail'!$P:$P,MATCH($B680&amp;"_"&amp;N$3,'Measure Level Detail'!$C:$C,0)),0)</f>
        <v>0</v>
      </c>
      <c r="O680" s="271">
        <f>IFERROR(INDEX('Measure Level Detail'!$P:$P,MATCH($B680&amp;"_"&amp;O$3,'Measure Level Detail'!$C:$C,0)),0)</f>
        <v>0</v>
      </c>
      <c r="P680" s="271">
        <f>IFERROR(INDEX('Measure Level Detail'!$P:$P,MATCH($B680&amp;"_"&amp;P$3,'Measure Level Detail'!$C:$C,0)),0)</f>
        <v>0</v>
      </c>
      <c r="Q680" s="271">
        <f>IFERROR(INDEX('Measure Level Detail'!$P:$P,MATCH($B680&amp;"_"&amp;Q$3,'Measure Level Detail'!$C:$C,0)),0)</f>
        <v>0</v>
      </c>
      <c r="R680" s="263" t="str">
        <f ca="1">IFERROR(INDEX(Algorithms!K:K,MATCH($C680&amp;"_Therm Saved per Unit",Algorithms!$A:$A,0)),"n/a")</f>
        <v>CI-HVC-STRE-V10-240101</v>
      </c>
      <c r="S680" s="262"/>
      <c r="T680" s="272">
        <v>788.87094440257943</v>
      </c>
      <c r="U680" s="272">
        <v>788.87094440257943</v>
      </c>
      <c r="V680" s="272">
        <v>788.87094440257943</v>
      </c>
      <c r="W680" s="272">
        <v>788.87094440257943</v>
      </c>
      <c r="X680" s="276">
        <v>0.93</v>
      </c>
      <c r="Y680" s="276">
        <v>0.93</v>
      </c>
      <c r="Z680" s="276">
        <v>0.93</v>
      </c>
      <c r="AA680" s="276">
        <v>0.93</v>
      </c>
      <c r="AB680" s="266">
        <f t="shared" si="407"/>
        <v>0</v>
      </c>
      <c r="AC680" s="266">
        <f t="shared" si="408"/>
        <v>0</v>
      </c>
      <c r="AD680" s="266">
        <f t="shared" si="409"/>
        <v>0</v>
      </c>
      <c r="AE680" s="266">
        <f t="shared" si="410"/>
        <v>0</v>
      </c>
      <c r="AF680" s="266">
        <f t="shared" si="411"/>
        <v>0</v>
      </c>
      <c r="AG680" s="274">
        <v>0.93</v>
      </c>
      <c r="AH680" s="274">
        <v>0.93</v>
      </c>
      <c r="AI680" s="274">
        <v>0.93</v>
      </c>
      <c r="AJ680" s="274">
        <v>0.93</v>
      </c>
      <c r="AK680" s="274">
        <f t="shared" si="412"/>
        <v>0.93</v>
      </c>
      <c r="AL680" s="274">
        <f t="shared" si="413"/>
        <v>0.93</v>
      </c>
      <c r="AM680" s="274">
        <f t="shared" si="414"/>
        <v>0.93</v>
      </c>
      <c r="AN680" s="274">
        <f t="shared" si="415"/>
        <v>0.93</v>
      </c>
      <c r="AO680" s="262"/>
      <c r="AP680" s="262"/>
      <c r="AQ680" s="267">
        <v>788.87094440257943</v>
      </c>
      <c r="AR680" s="262"/>
      <c r="AS680" s="266">
        <f t="shared" si="416"/>
        <v>0</v>
      </c>
      <c r="AT680" s="264">
        <f t="shared" si="417"/>
        <v>0</v>
      </c>
      <c r="AU680" s="262"/>
      <c r="AV680" s="262"/>
      <c r="AW680" s="265">
        <v>1603.3277521921041</v>
      </c>
      <c r="AX680" s="164" t="s">
        <v>2397</v>
      </c>
      <c r="AY680" s="266">
        <v>0</v>
      </c>
      <c r="AZ680" s="266">
        <f t="shared" si="418"/>
        <v>0</v>
      </c>
      <c r="BA680" s="264">
        <f t="shared" si="419"/>
        <v>0</v>
      </c>
      <c r="BB680" s="262"/>
      <c r="BC680" s="262"/>
      <c r="BD680" s="265">
        <f ca="1">IFERROR(INDEX(Algorithms!$G:$G,MATCH($C680&amp;"_Therm Saved per Unit",Algorithms!$A:$A,0)),0)</f>
        <v>1603.3277521921041</v>
      </c>
      <c r="BE680" s="164" t="str">
        <f ca="1">IFERROR(INDEX('v12 Revisions'!$P$29:$P$186, MATCH('Measure-Level Adj Gas'!$L680, 'v12 Revisions'!$D$29:$D$186,0)),"")</f>
        <v>n/a - costs only.</v>
      </c>
      <c r="BF680" s="266">
        <f t="shared" ca="1" si="420"/>
        <v>0</v>
      </c>
      <c r="BG680" s="264">
        <f t="shared" ca="1" si="421"/>
        <v>0</v>
      </c>
      <c r="BH680" s="262"/>
      <c r="BI680" s="262"/>
      <c r="BJ680" s="265">
        <f ca="1">IFERROR(INDEX(Algorithms!$G:$G,MATCH($C680&amp;"_Therm Saved per Unit",Algorithms!$A:$A,0)),0)</f>
        <v>1603.3277521921041</v>
      </c>
      <c r="BK680" s="164"/>
      <c r="BL680" s="266">
        <f t="shared" ca="1" si="422"/>
        <v>0</v>
      </c>
      <c r="BM680" s="264">
        <f t="shared" ca="1" si="423"/>
        <v>0</v>
      </c>
      <c r="BN680" s="266">
        <f t="shared" si="424"/>
        <v>0</v>
      </c>
      <c r="BO680" s="266">
        <f t="shared" si="425"/>
        <v>0</v>
      </c>
      <c r="BP680" s="266">
        <f t="shared" ca="1" si="426"/>
        <v>0</v>
      </c>
      <c r="BQ680" s="266">
        <f t="shared" ca="1" si="427"/>
        <v>0</v>
      </c>
      <c r="BR680" s="268">
        <f t="shared" ca="1" si="428"/>
        <v>0</v>
      </c>
      <c r="BS680" s="262" t="s">
        <v>99</v>
      </c>
      <c r="BT680" s="277"/>
      <c r="BW680" s="266">
        <f t="shared" si="429"/>
        <v>0</v>
      </c>
      <c r="BX680" s="266">
        <f t="shared" si="430"/>
        <v>0</v>
      </c>
      <c r="BY680" s="266">
        <f t="shared" si="431"/>
        <v>0</v>
      </c>
      <c r="BZ680" s="266">
        <f t="shared" si="432"/>
        <v>0</v>
      </c>
      <c r="CA680" s="266">
        <f ca="1">N680*IFERROR(INDEX(Algorithms!$G:$G,MATCH($C680&amp;"_Therm Saved per Unit- MLA",Algorithms!$A:$A,0)),0)*X680</f>
        <v>0</v>
      </c>
      <c r="CB680" s="266">
        <f ca="1">O680*IFERROR(INDEX(Algorithms!$G:$G,MATCH($C680&amp;"_Therm Saved per Unit- MLA",Algorithms!$A:$A,0)),0)*Y680</f>
        <v>0</v>
      </c>
      <c r="CC680" s="266">
        <f ca="1">P680*IFERROR(INDEX(Algorithms!$G:$G,MATCH($C680&amp;"_Therm Saved per Unit- MLA",Algorithms!$A:$A,0)),0)*Z680</f>
        <v>0</v>
      </c>
      <c r="CD680" s="266">
        <f ca="1">Q680*IFERROR(INDEX(Algorithms!$G:$G,MATCH($C680&amp;"_Therm Saved per Unit- MLA",Algorithms!$A:$A,0)),0)*AA680</f>
        <v>0</v>
      </c>
      <c r="CE680" s="266">
        <f ca="1">IFERROR(INDEX(Algorithms!$G:$G,MATCH($C680&amp;"_Lifetime (years)",Algorithms!$A:$A,0)),0)</f>
        <v>6</v>
      </c>
      <c r="CF680" s="266">
        <f ca="1">IFERROR(INDEX(Algorithms!$G:$G,MATCH($C680&amp;"_Lifetime (years) - Remaining Years",Algorithms!$A:$A,0)),0)</f>
        <v>0</v>
      </c>
      <c r="CG680" s="266">
        <f t="shared" ca="1" si="433"/>
        <v>0</v>
      </c>
      <c r="CH680" s="266">
        <f t="shared" ca="1" si="434"/>
        <v>0</v>
      </c>
      <c r="CI680" s="266">
        <f t="shared" ca="1" si="435"/>
        <v>0</v>
      </c>
      <c r="CJ680" s="266">
        <f t="shared" ca="1" si="436"/>
        <v>0</v>
      </c>
      <c r="CK680" s="266">
        <f t="shared" si="437"/>
        <v>0</v>
      </c>
      <c r="CL680" s="266">
        <f t="shared" si="438"/>
        <v>0</v>
      </c>
      <c r="CM680" s="266">
        <f t="shared" ca="1" si="439"/>
        <v>0</v>
      </c>
      <c r="CN680" s="266">
        <f t="shared" ca="1" si="440"/>
        <v>0</v>
      </c>
      <c r="CO680" s="266">
        <f ca="1">N680*IFERROR(INDEX(Algorithms!$G:$G,MATCH($C680&amp;"_Therm Saved per Unit- MLA",Algorithms!$A:$A,0)),0)*X680</f>
        <v>0</v>
      </c>
      <c r="CP680" s="266">
        <f ca="1">O680*IFERROR(INDEX(Algorithms!$G:$G,MATCH($C680&amp;"_Therm Saved per Unit- MLA",Algorithms!$A:$A,0)),0)*Y680</f>
        <v>0</v>
      </c>
      <c r="CQ680" s="266">
        <f ca="1">P680*IFERROR(INDEX(Algorithms!$G:$G,MATCH($C680&amp;"_Therm Saved per Unit- MLA",Algorithms!$A:$A,0)),0)*Z680</f>
        <v>0</v>
      </c>
      <c r="CR680" s="266">
        <f ca="1">Q680*IFERROR(INDEX(Algorithms!$G:$G,MATCH($C680&amp;"_Therm Saved per Unit- MLA",Algorithms!$A:$A,0)),0)*AA680</f>
        <v>0</v>
      </c>
      <c r="CS680" s="266">
        <f ca="1">IFERROR(INDEX(Algorithms!$G:$G,MATCH($C680&amp;"_Lifetime (years)",Algorithms!$A:$A,0)),0)</f>
        <v>6</v>
      </c>
      <c r="CT680" s="266">
        <f ca="1">IFERROR(INDEX(Algorithms!$G:$G,MATCH($C680&amp;"_Lifetime (years) - Remaining Years",Algorithms!$A:$A,0)),0)</f>
        <v>0</v>
      </c>
      <c r="CU680" s="266">
        <f t="shared" ca="1" si="441"/>
        <v>0</v>
      </c>
      <c r="CV680" s="266">
        <f t="shared" ca="1" si="442"/>
        <v>0</v>
      </c>
      <c r="CW680" s="266">
        <f t="shared" ca="1" si="443"/>
        <v>0</v>
      </c>
      <c r="CX680" s="266">
        <f t="shared" ca="1" si="444"/>
        <v>0</v>
      </c>
    </row>
    <row r="681" spans="2:102" s="47" customFormat="1" ht="18" customHeight="1" x14ac:dyDescent="0.25">
      <c r="B681" t="str">
        <f t="shared" si="445"/>
        <v>NSG_Business_Small/Mid-Size Business_Partner Trade Ally Rebate_Steam Traps_Industrial/Process Audit - 15 &lt; psig &lt; 30_CI/SMB</v>
      </c>
      <c r="C681" s="47" t="str">
        <f t="shared" si="406"/>
        <v>Steam Traps_Industrial/Process Audit - 15 &lt; psig &lt; 30_CI/SMB</v>
      </c>
      <c r="D681" s="270" t="s">
        <v>1787</v>
      </c>
      <c r="E681" s="270" t="s">
        <v>3</v>
      </c>
      <c r="F681" s="270" t="s">
        <v>1432</v>
      </c>
      <c r="G681" s="270" t="s">
        <v>1799</v>
      </c>
      <c r="H681" s="270" t="s">
        <v>644</v>
      </c>
      <c r="I681" s="270" t="s">
        <v>1384</v>
      </c>
      <c r="J681" s="270" t="s">
        <v>970</v>
      </c>
      <c r="K681" s="263">
        <v>1</v>
      </c>
      <c r="L681" s="263" t="str">
        <f ca="1">IFERROR(INDEX(Algorithms!J:J,MATCH($C681&amp;"_Therm Saved per Unit",Algorithms!$A:$A,0)),"n/a")</f>
        <v>4.4.16</v>
      </c>
      <c r="M681" s="263" t="str">
        <f>IFERROR(INDEX('Measure Level Detail'!$N:$N,MATCH($B681,'Measure Level Detail'!$B:$B,0)),0)</f>
        <v>each</v>
      </c>
      <c r="N681" s="271">
        <f>IFERROR(INDEX('Measure Level Detail'!$P:$P,MATCH($B681&amp;"_"&amp;N$3,'Measure Level Detail'!$C:$C,0)),0)</f>
        <v>0</v>
      </c>
      <c r="O681" s="271">
        <f>IFERROR(INDEX('Measure Level Detail'!$P:$P,MATCH($B681&amp;"_"&amp;O$3,'Measure Level Detail'!$C:$C,0)),0)</f>
        <v>0</v>
      </c>
      <c r="P681" s="271">
        <f>IFERROR(INDEX('Measure Level Detail'!$P:$P,MATCH($B681&amp;"_"&amp;P$3,'Measure Level Detail'!$C:$C,0)),0)</f>
        <v>0</v>
      </c>
      <c r="Q681" s="271">
        <f>IFERROR(INDEX('Measure Level Detail'!$P:$P,MATCH($B681&amp;"_"&amp;Q$3,'Measure Level Detail'!$C:$C,0)),0)</f>
        <v>0</v>
      </c>
      <c r="R681" s="263" t="str">
        <f ca="1">IFERROR(INDEX(Algorithms!K:K,MATCH($C681&amp;"_Therm Saved per Unit",Algorithms!$A:$A,0)),"n/a")</f>
        <v>CI-HVC-STRE-V10-240101</v>
      </c>
      <c r="S681" s="262"/>
      <c r="T681" s="272">
        <v>758.17043213559668</v>
      </c>
      <c r="U681" s="272">
        <v>758.17043213559668</v>
      </c>
      <c r="V681" s="272">
        <v>758.17043213559668</v>
      </c>
      <c r="W681" s="272">
        <v>758.17043213559668</v>
      </c>
      <c r="X681" s="276">
        <v>0.93</v>
      </c>
      <c r="Y681" s="276">
        <v>0.93</v>
      </c>
      <c r="Z681" s="276">
        <v>0.93</v>
      </c>
      <c r="AA681" s="276">
        <v>0.93</v>
      </c>
      <c r="AB681" s="266">
        <f t="shared" si="407"/>
        <v>0</v>
      </c>
      <c r="AC681" s="266">
        <f t="shared" si="408"/>
        <v>0</v>
      </c>
      <c r="AD681" s="266">
        <f t="shared" si="409"/>
        <v>0</v>
      </c>
      <c r="AE681" s="266">
        <f t="shared" si="410"/>
        <v>0</v>
      </c>
      <c r="AF681" s="266">
        <f t="shared" si="411"/>
        <v>0</v>
      </c>
      <c r="AG681" s="274">
        <v>0.93</v>
      </c>
      <c r="AH681" s="274">
        <v>0.93</v>
      </c>
      <c r="AI681" s="274">
        <v>0.93</v>
      </c>
      <c r="AJ681" s="274">
        <v>0.93</v>
      </c>
      <c r="AK681" s="274">
        <f t="shared" si="412"/>
        <v>0.93</v>
      </c>
      <c r="AL681" s="274">
        <f t="shared" si="413"/>
        <v>0.93</v>
      </c>
      <c r="AM681" s="274">
        <f t="shared" si="414"/>
        <v>0.93</v>
      </c>
      <c r="AN681" s="274">
        <f t="shared" si="415"/>
        <v>0.93</v>
      </c>
      <c r="AO681" s="262"/>
      <c r="AP681" s="262"/>
      <c r="AQ681" s="267">
        <v>758.17043213559668</v>
      </c>
      <c r="AR681" s="262"/>
      <c r="AS681" s="266">
        <f t="shared" si="416"/>
        <v>0</v>
      </c>
      <c r="AT681" s="264">
        <f t="shared" si="417"/>
        <v>0</v>
      </c>
      <c r="AU681" s="262"/>
      <c r="AV681" s="262"/>
      <c r="AW681" s="265">
        <v>758.17043213559668</v>
      </c>
      <c r="AX681" s="164" t="s">
        <v>2397</v>
      </c>
      <c r="AY681" s="266">
        <v>0</v>
      </c>
      <c r="AZ681" s="266">
        <f t="shared" si="418"/>
        <v>0</v>
      </c>
      <c r="BA681" s="264">
        <f t="shared" si="419"/>
        <v>0</v>
      </c>
      <c r="BB681" s="262"/>
      <c r="BC681" s="262"/>
      <c r="BD681" s="265">
        <f ca="1">IFERROR(INDEX(Algorithms!$G:$G,MATCH($C681&amp;"_Therm Saved per Unit",Algorithms!$A:$A,0)),0)</f>
        <v>758.17043213559668</v>
      </c>
      <c r="BE681" s="164" t="str">
        <f ca="1">IFERROR(INDEX('v12 Revisions'!$P$29:$P$186, MATCH('Measure-Level Adj Gas'!$L681, 'v12 Revisions'!$D$29:$D$186,0)),"")</f>
        <v>n/a - costs only.</v>
      </c>
      <c r="BF681" s="266">
        <f t="shared" ca="1" si="420"/>
        <v>0</v>
      </c>
      <c r="BG681" s="264">
        <f t="shared" ca="1" si="421"/>
        <v>0</v>
      </c>
      <c r="BH681" s="262"/>
      <c r="BI681" s="262"/>
      <c r="BJ681" s="265">
        <f ca="1">IFERROR(INDEX(Algorithms!$G:$G,MATCH($C681&amp;"_Therm Saved per Unit",Algorithms!$A:$A,0)),0)</f>
        <v>758.17043213559668</v>
      </c>
      <c r="BK681" s="164"/>
      <c r="BL681" s="266">
        <f t="shared" ca="1" si="422"/>
        <v>0</v>
      </c>
      <c r="BM681" s="264">
        <f t="shared" ca="1" si="423"/>
        <v>0</v>
      </c>
      <c r="BN681" s="266">
        <f t="shared" si="424"/>
        <v>0</v>
      </c>
      <c r="BO681" s="266">
        <f t="shared" si="425"/>
        <v>0</v>
      </c>
      <c r="BP681" s="266">
        <f t="shared" ca="1" si="426"/>
        <v>0</v>
      </c>
      <c r="BQ681" s="266">
        <f t="shared" ca="1" si="427"/>
        <v>0</v>
      </c>
      <c r="BR681" s="268">
        <f t="shared" ca="1" si="428"/>
        <v>0</v>
      </c>
      <c r="BS681" s="262" t="s">
        <v>99</v>
      </c>
      <c r="BT681" s="277"/>
      <c r="BW681" s="266">
        <f t="shared" si="429"/>
        <v>0</v>
      </c>
      <c r="BX681" s="266">
        <f t="shared" si="430"/>
        <v>0</v>
      </c>
      <c r="BY681" s="266">
        <f t="shared" si="431"/>
        <v>0</v>
      </c>
      <c r="BZ681" s="266">
        <f t="shared" si="432"/>
        <v>0</v>
      </c>
      <c r="CA681" s="266">
        <f ca="1">N681*IFERROR(INDEX(Algorithms!$G:$G,MATCH($C681&amp;"_Therm Saved per Unit- MLA",Algorithms!$A:$A,0)),0)*X681</f>
        <v>0</v>
      </c>
      <c r="CB681" s="266">
        <f ca="1">O681*IFERROR(INDEX(Algorithms!$G:$G,MATCH($C681&amp;"_Therm Saved per Unit- MLA",Algorithms!$A:$A,0)),0)*Y681</f>
        <v>0</v>
      </c>
      <c r="CC681" s="266">
        <f ca="1">P681*IFERROR(INDEX(Algorithms!$G:$G,MATCH($C681&amp;"_Therm Saved per Unit- MLA",Algorithms!$A:$A,0)),0)*Z681</f>
        <v>0</v>
      </c>
      <c r="CD681" s="266">
        <f ca="1">Q681*IFERROR(INDEX(Algorithms!$G:$G,MATCH($C681&amp;"_Therm Saved per Unit- MLA",Algorithms!$A:$A,0)),0)*AA681</f>
        <v>0</v>
      </c>
      <c r="CE681" s="266">
        <f ca="1">IFERROR(INDEX(Algorithms!$G:$G,MATCH($C681&amp;"_Lifetime (years)",Algorithms!$A:$A,0)),0)</f>
        <v>6</v>
      </c>
      <c r="CF681" s="266">
        <f ca="1">IFERROR(INDEX(Algorithms!$G:$G,MATCH($C681&amp;"_Lifetime (years) - Remaining Years",Algorithms!$A:$A,0)),0)</f>
        <v>0</v>
      </c>
      <c r="CG681" s="266">
        <f t="shared" ca="1" si="433"/>
        <v>0</v>
      </c>
      <c r="CH681" s="266">
        <f t="shared" ca="1" si="434"/>
        <v>0</v>
      </c>
      <c r="CI681" s="266">
        <f t="shared" ca="1" si="435"/>
        <v>0</v>
      </c>
      <c r="CJ681" s="266">
        <f t="shared" ca="1" si="436"/>
        <v>0</v>
      </c>
      <c r="CK681" s="266">
        <f t="shared" si="437"/>
        <v>0</v>
      </c>
      <c r="CL681" s="266">
        <f t="shared" si="438"/>
        <v>0</v>
      </c>
      <c r="CM681" s="266">
        <f t="shared" ca="1" si="439"/>
        <v>0</v>
      </c>
      <c r="CN681" s="266">
        <f t="shared" ca="1" si="440"/>
        <v>0</v>
      </c>
      <c r="CO681" s="266">
        <f ca="1">N681*IFERROR(INDEX(Algorithms!$G:$G,MATCH($C681&amp;"_Therm Saved per Unit- MLA",Algorithms!$A:$A,0)),0)*X681</f>
        <v>0</v>
      </c>
      <c r="CP681" s="266">
        <f ca="1">O681*IFERROR(INDEX(Algorithms!$G:$G,MATCH($C681&amp;"_Therm Saved per Unit- MLA",Algorithms!$A:$A,0)),0)*Y681</f>
        <v>0</v>
      </c>
      <c r="CQ681" s="266">
        <f ca="1">P681*IFERROR(INDEX(Algorithms!$G:$G,MATCH($C681&amp;"_Therm Saved per Unit- MLA",Algorithms!$A:$A,0)),0)*Z681</f>
        <v>0</v>
      </c>
      <c r="CR681" s="266">
        <f ca="1">Q681*IFERROR(INDEX(Algorithms!$G:$G,MATCH($C681&amp;"_Therm Saved per Unit- MLA",Algorithms!$A:$A,0)),0)*AA681</f>
        <v>0</v>
      </c>
      <c r="CS681" s="266">
        <f ca="1">IFERROR(INDEX(Algorithms!$G:$G,MATCH($C681&amp;"_Lifetime (years)",Algorithms!$A:$A,0)),0)</f>
        <v>6</v>
      </c>
      <c r="CT681" s="266">
        <f ca="1">IFERROR(INDEX(Algorithms!$G:$G,MATCH($C681&amp;"_Lifetime (years) - Remaining Years",Algorithms!$A:$A,0)),0)</f>
        <v>0</v>
      </c>
      <c r="CU681" s="266">
        <f t="shared" ca="1" si="441"/>
        <v>0</v>
      </c>
      <c r="CV681" s="266">
        <f t="shared" ca="1" si="442"/>
        <v>0</v>
      </c>
      <c r="CW681" s="266">
        <f t="shared" ca="1" si="443"/>
        <v>0</v>
      </c>
      <c r="CX681" s="266">
        <f t="shared" ca="1" si="444"/>
        <v>0</v>
      </c>
    </row>
    <row r="682" spans="2:102" s="47" customFormat="1" ht="18" customHeight="1" x14ac:dyDescent="0.25">
      <c r="B682" t="str">
        <f t="shared" si="445"/>
        <v>NSG_Business_Small/Mid-Size Business_Partner Trade Ally Rebate_Steam Traps_Industrial/Process Audit - 30 ≤ psig &lt; 75_CI/SMB</v>
      </c>
      <c r="C682" s="47" t="str">
        <f t="shared" si="406"/>
        <v>Steam Traps_Industrial/Process Audit - 30 ≤ psig &lt; 75_CI/SMB</v>
      </c>
      <c r="D682" s="270" t="s">
        <v>1787</v>
      </c>
      <c r="E682" s="270" t="s">
        <v>3</v>
      </c>
      <c r="F682" s="270" t="s">
        <v>1432</v>
      </c>
      <c r="G682" s="270" t="s">
        <v>1799</v>
      </c>
      <c r="H682" s="270" t="s">
        <v>644</v>
      </c>
      <c r="I682" s="270" t="s">
        <v>1385</v>
      </c>
      <c r="J682" s="270" t="s">
        <v>970</v>
      </c>
      <c r="K682" s="263">
        <v>1</v>
      </c>
      <c r="L682" s="263" t="str">
        <f ca="1">IFERROR(INDEX(Algorithms!J:J,MATCH($C682&amp;"_Therm Saved per Unit",Algorithms!$A:$A,0)),"n/a")</f>
        <v>4.4.16</v>
      </c>
      <c r="M682" s="263" t="str">
        <f>IFERROR(INDEX('Measure Level Detail'!$N:$N,MATCH($B682,'Measure Level Detail'!$B:$B,0)),0)</f>
        <v>each</v>
      </c>
      <c r="N682" s="271">
        <f>IFERROR(INDEX('Measure Level Detail'!$P:$P,MATCH($B682&amp;"_"&amp;N$3,'Measure Level Detail'!$C:$C,0)),0)</f>
        <v>0</v>
      </c>
      <c r="O682" s="271">
        <f>IFERROR(INDEX('Measure Level Detail'!$P:$P,MATCH($B682&amp;"_"&amp;O$3,'Measure Level Detail'!$C:$C,0)),0)</f>
        <v>0</v>
      </c>
      <c r="P682" s="271">
        <f>IFERROR(INDEX('Measure Level Detail'!$P:$P,MATCH($B682&amp;"_"&amp;P$3,'Measure Level Detail'!$C:$C,0)),0)</f>
        <v>0</v>
      </c>
      <c r="Q682" s="271">
        <f>IFERROR(INDEX('Measure Level Detail'!$P:$P,MATCH($B682&amp;"_"&amp;Q$3,'Measure Level Detail'!$C:$C,0)),0)</f>
        <v>0</v>
      </c>
      <c r="R682" s="263" t="str">
        <f ca="1">IFERROR(INDEX(Algorithms!K:K,MATCH($C682&amp;"_Therm Saved per Unit",Algorithms!$A:$A,0)),"n/a")</f>
        <v>CI-HVC-STRE-V10-240101</v>
      </c>
      <c r="S682" s="262"/>
      <c r="T682" s="272">
        <v>2777.6636840634392</v>
      </c>
      <c r="U682" s="272">
        <v>2777.6636840634392</v>
      </c>
      <c r="V682" s="272">
        <v>2777.6636840634392</v>
      </c>
      <c r="W682" s="272">
        <v>2777.6636840634392</v>
      </c>
      <c r="X682" s="276">
        <v>0.93</v>
      </c>
      <c r="Y682" s="276">
        <v>0.93</v>
      </c>
      <c r="Z682" s="276">
        <v>0.93</v>
      </c>
      <c r="AA682" s="276">
        <v>0.93</v>
      </c>
      <c r="AB682" s="266">
        <f t="shared" si="407"/>
        <v>0</v>
      </c>
      <c r="AC682" s="266">
        <f t="shared" si="408"/>
        <v>0</v>
      </c>
      <c r="AD682" s="266">
        <f t="shared" si="409"/>
        <v>0</v>
      </c>
      <c r="AE682" s="266">
        <f t="shared" si="410"/>
        <v>0</v>
      </c>
      <c r="AF682" s="266">
        <f t="shared" si="411"/>
        <v>0</v>
      </c>
      <c r="AG682" s="274">
        <v>0.93</v>
      </c>
      <c r="AH682" s="274">
        <v>0.93</v>
      </c>
      <c r="AI682" s="274">
        <v>0.93</v>
      </c>
      <c r="AJ682" s="274">
        <v>0.93</v>
      </c>
      <c r="AK682" s="274">
        <f t="shared" si="412"/>
        <v>0.93</v>
      </c>
      <c r="AL682" s="274">
        <f t="shared" si="413"/>
        <v>0.93</v>
      </c>
      <c r="AM682" s="274">
        <f t="shared" si="414"/>
        <v>0.93</v>
      </c>
      <c r="AN682" s="274">
        <f t="shared" si="415"/>
        <v>0.93</v>
      </c>
      <c r="AO682" s="262"/>
      <c r="AP682" s="262"/>
      <c r="AQ682" s="267">
        <v>2777.6636840634392</v>
      </c>
      <c r="AR682" s="262"/>
      <c r="AS682" s="266">
        <f t="shared" si="416"/>
        <v>0</v>
      </c>
      <c r="AT682" s="264">
        <f t="shared" si="417"/>
        <v>0</v>
      </c>
      <c r="AU682" s="262"/>
      <c r="AV682" s="262"/>
      <c r="AW682" s="265">
        <v>2777.6636840634392</v>
      </c>
      <c r="AX682" s="164" t="s">
        <v>2397</v>
      </c>
      <c r="AY682" s="266">
        <v>0</v>
      </c>
      <c r="AZ682" s="266">
        <f t="shared" si="418"/>
        <v>0</v>
      </c>
      <c r="BA682" s="264">
        <f t="shared" si="419"/>
        <v>0</v>
      </c>
      <c r="BB682" s="262"/>
      <c r="BC682" s="262"/>
      <c r="BD682" s="265">
        <f ca="1">IFERROR(INDEX(Algorithms!$G:$G,MATCH($C682&amp;"_Therm Saved per Unit",Algorithms!$A:$A,0)),0)</f>
        <v>2777.6636840634392</v>
      </c>
      <c r="BE682" s="164" t="str">
        <f ca="1">IFERROR(INDEX('v12 Revisions'!$P$29:$P$186, MATCH('Measure-Level Adj Gas'!$L682, 'v12 Revisions'!$D$29:$D$186,0)),"")</f>
        <v>n/a - costs only.</v>
      </c>
      <c r="BF682" s="266">
        <f t="shared" ca="1" si="420"/>
        <v>0</v>
      </c>
      <c r="BG682" s="264">
        <f t="shared" ca="1" si="421"/>
        <v>0</v>
      </c>
      <c r="BH682" s="262"/>
      <c r="BI682" s="262"/>
      <c r="BJ682" s="265">
        <f ca="1">IFERROR(INDEX(Algorithms!$G:$G,MATCH($C682&amp;"_Therm Saved per Unit",Algorithms!$A:$A,0)),0)</f>
        <v>2777.6636840634392</v>
      </c>
      <c r="BK682" s="164"/>
      <c r="BL682" s="266">
        <f t="shared" ca="1" si="422"/>
        <v>0</v>
      </c>
      <c r="BM682" s="264">
        <f t="shared" ca="1" si="423"/>
        <v>0</v>
      </c>
      <c r="BN682" s="266">
        <f t="shared" si="424"/>
        <v>0</v>
      </c>
      <c r="BO682" s="266">
        <f t="shared" si="425"/>
        <v>0</v>
      </c>
      <c r="BP682" s="266">
        <f t="shared" ca="1" si="426"/>
        <v>0</v>
      </c>
      <c r="BQ682" s="266">
        <f t="shared" ca="1" si="427"/>
        <v>0</v>
      </c>
      <c r="BR682" s="268">
        <f t="shared" ca="1" si="428"/>
        <v>0</v>
      </c>
      <c r="BS682" s="262" t="s">
        <v>99</v>
      </c>
      <c r="BT682" s="277"/>
      <c r="BW682" s="266">
        <f t="shared" si="429"/>
        <v>0</v>
      </c>
      <c r="BX682" s="266">
        <f t="shared" si="430"/>
        <v>0</v>
      </c>
      <c r="BY682" s="266">
        <f t="shared" si="431"/>
        <v>0</v>
      </c>
      <c r="BZ682" s="266">
        <f t="shared" si="432"/>
        <v>0</v>
      </c>
      <c r="CA682" s="266">
        <f ca="1">N682*IFERROR(INDEX(Algorithms!$G:$G,MATCH($C682&amp;"_Therm Saved per Unit- MLA",Algorithms!$A:$A,0)),0)*X682</f>
        <v>0</v>
      </c>
      <c r="CB682" s="266">
        <f ca="1">O682*IFERROR(INDEX(Algorithms!$G:$G,MATCH($C682&amp;"_Therm Saved per Unit- MLA",Algorithms!$A:$A,0)),0)*Y682</f>
        <v>0</v>
      </c>
      <c r="CC682" s="266">
        <f ca="1">P682*IFERROR(INDEX(Algorithms!$G:$G,MATCH($C682&amp;"_Therm Saved per Unit- MLA",Algorithms!$A:$A,0)),0)*Z682</f>
        <v>0</v>
      </c>
      <c r="CD682" s="266">
        <f ca="1">Q682*IFERROR(INDEX(Algorithms!$G:$G,MATCH($C682&amp;"_Therm Saved per Unit- MLA",Algorithms!$A:$A,0)),0)*AA682</f>
        <v>0</v>
      </c>
      <c r="CE682" s="266">
        <f ca="1">IFERROR(INDEX(Algorithms!$G:$G,MATCH($C682&amp;"_Lifetime (years)",Algorithms!$A:$A,0)),0)</f>
        <v>6</v>
      </c>
      <c r="CF682" s="266">
        <f ca="1">IFERROR(INDEX(Algorithms!$G:$G,MATCH($C682&amp;"_Lifetime (years) - Remaining Years",Algorithms!$A:$A,0)),0)</f>
        <v>0</v>
      </c>
      <c r="CG682" s="266">
        <f t="shared" ca="1" si="433"/>
        <v>0</v>
      </c>
      <c r="CH682" s="266">
        <f t="shared" ca="1" si="434"/>
        <v>0</v>
      </c>
      <c r="CI682" s="266">
        <f t="shared" ca="1" si="435"/>
        <v>0</v>
      </c>
      <c r="CJ682" s="266">
        <f t="shared" ca="1" si="436"/>
        <v>0</v>
      </c>
      <c r="CK682" s="266">
        <f t="shared" si="437"/>
        <v>0</v>
      </c>
      <c r="CL682" s="266">
        <f t="shared" si="438"/>
        <v>0</v>
      </c>
      <c r="CM682" s="266">
        <f t="shared" ca="1" si="439"/>
        <v>0</v>
      </c>
      <c r="CN682" s="266">
        <f t="shared" ca="1" si="440"/>
        <v>0</v>
      </c>
      <c r="CO682" s="266">
        <f ca="1">N682*IFERROR(INDEX(Algorithms!$G:$G,MATCH($C682&amp;"_Therm Saved per Unit- MLA",Algorithms!$A:$A,0)),0)*X682</f>
        <v>0</v>
      </c>
      <c r="CP682" s="266">
        <f ca="1">O682*IFERROR(INDEX(Algorithms!$G:$G,MATCH($C682&amp;"_Therm Saved per Unit- MLA",Algorithms!$A:$A,0)),0)*Y682</f>
        <v>0</v>
      </c>
      <c r="CQ682" s="266">
        <f ca="1">P682*IFERROR(INDEX(Algorithms!$G:$G,MATCH($C682&amp;"_Therm Saved per Unit- MLA",Algorithms!$A:$A,0)),0)*Z682</f>
        <v>0</v>
      </c>
      <c r="CR682" s="266">
        <f ca="1">Q682*IFERROR(INDEX(Algorithms!$G:$G,MATCH($C682&amp;"_Therm Saved per Unit- MLA",Algorithms!$A:$A,0)),0)*AA682</f>
        <v>0</v>
      </c>
      <c r="CS682" s="266">
        <f ca="1">IFERROR(INDEX(Algorithms!$G:$G,MATCH($C682&amp;"_Lifetime (years)",Algorithms!$A:$A,0)),0)</f>
        <v>6</v>
      </c>
      <c r="CT682" s="266">
        <f ca="1">IFERROR(INDEX(Algorithms!$G:$G,MATCH($C682&amp;"_Lifetime (years) - Remaining Years",Algorithms!$A:$A,0)),0)</f>
        <v>0</v>
      </c>
      <c r="CU682" s="266">
        <f t="shared" ca="1" si="441"/>
        <v>0</v>
      </c>
      <c r="CV682" s="266">
        <f t="shared" ca="1" si="442"/>
        <v>0</v>
      </c>
      <c r="CW682" s="266">
        <f t="shared" ca="1" si="443"/>
        <v>0</v>
      </c>
      <c r="CX682" s="266">
        <f t="shared" ca="1" si="444"/>
        <v>0</v>
      </c>
    </row>
    <row r="683" spans="2:102" s="47" customFormat="1" ht="18" customHeight="1" x14ac:dyDescent="0.25">
      <c r="B683" t="str">
        <f t="shared" si="445"/>
        <v>NSG_Business_Small/Mid-Size Business_Partner Trade Ally Rebate_Steam Traps_Industrial/Process Audit - 75 ≤ psig &lt; 125_CI/SMB</v>
      </c>
      <c r="C683" s="47" t="str">
        <f t="shared" si="406"/>
        <v>Steam Traps_Industrial/Process Audit - 75 ≤ psig &lt; 125_CI/SMB</v>
      </c>
      <c r="D683" s="270" t="s">
        <v>1787</v>
      </c>
      <c r="E683" s="270" t="s">
        <v>3</v>
      </c>
      <c r="F683" s="270" t="s">
        <v>1432</v>
      </c>
      <c r="G683" s="270" t="s">
        <v>1799</v>
      </c>
      <c r="H683" s="270" t="s">
        <v>644</v>
      </c>
      <c r="I683" s="270" t="s">
        <v>1386</v>
      </c>
      <c r="J683" s="270" t="s">
        <v>970</v>
      </c>
      <c r="K683" s="263">
        <v>1</v>
      </c>
      <c r="L683" s="263" t="str">
        <f ca="1">IFERROR(INDEX(Algorithms!J:J,MATCH($C683&amp;"_Therm Saved per Unit",Algorithms!$A:$A,0)),"n/a")</f>
        <v>4.4.16</v>
      </c>
      <c r="M683" s="263" t="str">
        <f>IFERROR(INDEX('Measure Level Detail'!$N:$N,MATCH($B683,'Measure Level Detail'!$B:$B,0)),0)</f>
        <v>each</v>
      </c>
      <c r="N683" s="271">
        <f>IFERROR(INDEX('Measure Level Detail'!$P:$P,MATCH($B683&amp;"_"&amp;N$3,'Measure Level Detail'!$C:$C,0)),0)</f>
        <v>0</v>
      </c>
      <c r="O683" s="271">
        <f>IFERROR(INDEX('Measure Level Detail'!$P:$P,MATCH($B683&amp;"_"&amp;O$3,'Measure Level Detail'!$C:$C,0)),0)</f>
        <v>0</v>
      </c>
      <c r="P683" s="271">
        <f>IFERROR(INDEX('Measure Level Detail'!$P:$P,MATCH($B683&amp;"_"&amp;P$3,'Measure Level Detail'!$C:$C,0)),0)</f>
        <v>0</v>
      </c>
      <c r="Q683" s="271">
        <f>IFERROR(INDEX('Measure Level Detail'!$P:$P,MATCH($B683&amp;"_"&amp;Q$3,'Measure Level Detail'!$C:$C,0)),0)</f>
        <v>0</v>
      </c>
      <c r="R683" s="263" t="str">
        <f ca="1">IFERROR(INDEX(Algorithms!K:K,MATCH($C683&amp;"_Therm Saved per Unit",Algorithms!$A:$A,0)),"n/a")</f>
        <v>CI-HVC-STRE-V10-240101</v>
      </c>
      <c r="S683" s="262"/>
      <c r="T683" s="272">
        <v>5253.732217921608</v>
      </c>
      <c r="U683" s="272">
        <v>5253.732217921608</v>
      </c>
      <c r="V683" s="272">
        <v>5253.732217921608</v>
      </c>
      <c r="W683" s="272">
        <v>5253.732217921608</v>
      </c>
      <c r="X683" s="276">
        <v>0.93</v>
      </c>
      <c r="Y683" s="276">
        <v>0.93</v>
      </c>
      <c r="Z683" s="276">
        <v>0.93</v>
      </c>
      <c r="AA683" s="276">
        <v>0.93</v>
      </c>
      <c r="AB683" s="266">
        <f t="shared" si="407"/>
        <v>0</v>
      </c>
      <c r="AC683" s="266">
        <f t="shared" si="408"/>
        <v>0</v>
      </c>
      <c r="AD683" s="266">
        <f t="shared" si="409"/>
        <v>0</v>
      </c>
      <c r="AE683" s="266">
        <f t="shared" si="410"/>
        <v>0</v>
      </c>
      <c r="AF683" s="266">
        <f t="shared" si="411"/>
        <v>0</v>
      </c>
      <c r="AG683" s="274">
        <v>0.93</v>
      </c>
      <c r="AH683" s="274">
        <v>0.93</v>
      </c>
      <c r="AI683" s="274">
        <v>0.93</v>
      </c>
      <c r="AJ683" s="274">
        <v>0.93</v>
      </c>
      <c r="AK683" s="274">
        <f t="shared" si="412"/>
        <v>0.93</v>
      </c>
      <c r="AL683" s="274">
        <f t="shared" si="413"/>
        <v>0.93</v>
      </c>
      <c r="AM683" s="274">
        <f t="shared" si="414"/>
        <v>0.93</v>
      </c>
      <c r="AN683" s="274">
        <f t="shared" si="415"/>
        <v>0.93</v>
      </c>
      <c r="AO683" s="262"/>
      <c r="AP683" s="262"/>
      <c r="AQ683" s="267">
        <v>5253.732217921608</v>
      </c>
      <c r="AR683" s="262"/>
      <c r="AS683" s="266">
        <f t="shared" si="416"/>
        <v>0</v>
      </c>
      <c r="AT683" s="264">
        <f t="shared" si="417"/>
        <v>0</v>
      </c>
      <c r="AU683" s="262"/>
      <c r="AV683" s="262"/>
      <c r="AW683" s="265">
        <v>5253.732217921608</v>
      </c>
      <c r="AX683" s="164" t="s">
        <v>2397</v>
      </c>
      <c r="AY683" s="266">
        <v>0</v>
      </c>
      <c r="AZ683" s="266">
        <f t="shared" si="418"/>
        <v>0</v>
      </c>
      <c r="BA683" s="264">
        <f t="shared" si="419"/>
        <v>0</v>
      </c>
      <c r="BB683" s="262"/>
      <c r="BC683" s="262"/>
      <c r="BD683" s="265">
        <f ca="1">IFERROR(INDEX(Algorithms!$G:$G,MATCH($C683&amp;"_Therm Saved per Unit",Algorithms!$A:$A,0)),0)</f>
        <v>5253.732217921608</v>
      </c>
      <c r="BE683" s="164" t="str">
        <f ca="1">IFERROR(INDEX('v12 Revisions'!$P$29:$P$186, MATCH('Measure-Level Adj Gas'!$L683, 'v12 Revisions'!$D$29:$D$186,0)),"")</f>
        <v>n/a - costs only.</v>
      </c>
      <c r="BF683" s="266">
        <f t="shared" ca="1" si="420"/>
        <v>0</v>
      </c>
      <c r="BG683" s="264">
        <f t="shared" ca="1" si="421"/>
        <v>0</v>
      </c>
      <c r="BH683" s="262"/>
      <c r="BI683" s="262"/>
      <c r="BJ683" s="265">
        <f ca="1">IFERROR(INDEX(Algorithms!$G:$G,MATCH($C683&amp;"_Therm Saved per Unit",Algorithms!$A:$A,0)),0)</f>
        <v>5253.732217921608</v>
      </c>
      <c r="BK683" s="164"/>
      <c r="BL683" s="266">
        <f t="shared" ca="1" si="422"/>
        <v>0</v>
      </c>
      <c r="BM683" s="264">
        <f t="shared" ca="1" si="423"/>
        <v>0</v>
      </c>
      <c r="BN683" s="266">
        <f t="shared" si="424"/>
        <v>0</v>
      </c>
      <c r="BO683" s="266">
        <f t="shared" si="425"/>
        <v>0</v>
      </c>
      <c r="BP683" s="266">
        <f t="shared" ca="1" si="426"/>
        <v>0</v>
      </c>
      <c r="BQ683" s="266">
        <f t="shared" ca="1" si="427"/>
        <v>0</v>
      </c>
      <c r="BR683" s="268">
        <f t="shared" ca="1" si="428"/>
        <v>0</v>
      </c>
      <c r="BS683" s="262" t="s">
        <v>99</v>
      </c>
      <c r="BT683" s="277"/>
      <c r="BW683" s="266">
        <f t="shared" si="429"/>
        <v>0</v>
      </c>
      <c r="BX683" s="266">
        <f t="shared" si="430"/>
        <v>0</v>
      </c>
      <c r="BY683" s="266">
        <f t="shared" si="431"/>
        <v>0</v>
      </c>
      <c r="BZ683" s="266">
        <f t="shared" si="432"/>
        <v>0</v>
      </c>
      <c r="CA683" s="266">
        <f ca="1">N683*IFERROR(INDEX(Algorithms!$G:$G,MATCH($C683&amp;"_Therm Saved per Unit- MLA",Algorithms!$A:$A,0)),0)*X683</f>
        <v>0</v>
      </c>
      <c r="CB683" s="266">
        <f ca="1">O683*IFERROR(INDEX(Algorithms!$G:$G,MATCH($C683&amp;"_Therm Saved per Unit- MLA",Algorithms!$A:$A,0)),0)*Y683</f>
        <v>0</v>
      </c>
      <c r="CC683" s="266">
        <f ca="1">P683*IFERROR(INDEX(Algorithms!$G:$G,MATCH($C683&amp;"_Therm Saved per Unit- MLA",Algorithms!$A:$A,0)),0)*Z683</f>
        <v>0</v>
      </c>
      <c r="CD683" s="266">
        <f ca="1">Q683*IFERROR(INDEX(Algorithms!$G:$G,MATCH($C683&amp;"_Therm Saved per Unit- MLA",Algorithms!$A:$A,0)),0)*AA683</f>
        <v>0</v>
      </c>
      <c r="CE683" s="266">
        <f ca="1">IFERROR(INDEX(Algorithms!$G:$G,MATCH($C683&amp;"_Lifetime (years)",Algorithms!$A:$A,0)),0)</f>
        <v>6</v>
      </c>
      <c r="CF683" s="266">
        <f ca="1">IFERROR(INDEX(Algorithms!$G:$G,MATCH($C683&amp;"_Lifetime (years) - Remaining Years",Algorithms!$A:$A,0)),0)</f>
        <v>0</v>
      </c>
      <c r="CG683" s="266">
        <f t="shared" ca="1" si="433"/>
        <v>0</v>
      </c>
      <c r="CH683" s="266">
        <f t="shared" ca="1" si="434"/>
        <v>0</v>
      </c>
      <c r="CI683" s="266">
        <f t="shared" ca="1" si="435"/>
        <v>0</v>
      </c>
      <c r="CJ683" s="266">
        <f t="shared" ca="1" si="436"/>
        <v>0</v>
      </c>
      <c r="CK683" s="266">
        <f t="shared" si="437"/>
        <v>0</v>
      </c>
      <c r="CL683" s="266">
        <f t="shared" si="438"/>
        <v>0</v>
      </c>
      <c r="CM683" s="266">
        <f t="shared" ca="1" si="439"/>
        <v>0</v>
      </c>
      <c r="CN683" s="266">
        <f t="shared" ca="1" si="440"/>
        <v>0</v>
      </c>
      <c r="CO683" s="266">
        <f ca="1">N683*IFERROR(INDEX(Algorithms!$G:$G,MATCH($C683&amp;"_Therm Saved per Unit- MLA",Algorithms!$A:$A,0)),0)*X683</f>
        <v>0</v>
      </c>
      <c r="CP683" s="266">
        <f ca="1">O683*IFERROR(INDEX(Algorithms!$G:$G,MATCH($C683&amp;"_Therm Saved per Unit- MLA",Algorithms!$A:$A,0)),0)*Y683</f>
        <v>0</v>
      </c>
      <c r="CQ683" s="266">
        <f ca="1">P683*IFERROR(INDEX(Algorithms!$G:$G,MATCH($C683&amp;"_Therm Saved per Unit- MLA",Algorithms!$A:$A,0)),0)*Z683</f>
        <v>0</v>
      </c>
      <c r="CR683" s="266">
        <f ca="1">Q683*IFERROR(INDEX(Algorithms!$G:$G,MATCH($C683&amp;"_Therm Saved per Unit- MLA",Algorithms!$A:$A,0)),0)*AA683</f>
        <v>0</v>
      </c>
      <c r="CS683" s="266">
        <f ca="1">IFERROR(INDEX(Algorithms!$G:$G,MATCH($C683&amp;"_Lifetime (years)",Algorithms!$A:$A,0)),0)</f>
        <v>6</v>
      </c>
      <c r="CT683" s="266">
        <f ca="1">IFERROR(INDEX(Algorithms!$G:$G,MATCH($C683&amp;"_Lifetime (years) - Remaining Years",Algorithms!$A:$A,0)),0)</f>
        <v>0</v>
      </c>
      <c r="CU683" s="266">
        <f t="shared" ca="1" si="441"/>
        <v>0</v>
      </c>
      <c r="CV683" s="266">
        <f t="shared" ca="1" si="442"/>
        <v>0</v>
      </c>
      <c r="CW683" s="266">
        <f t="shared" ca="1" si="443"/>
        <v>0</v>
      </c>
      <c r="CX683" s="266">
        <f t="shared" ca="1" si="444"/>
        <v>0</v>
      </c>
    </row>
    <row r="684" spans="2:102" s="47" customFormat="1" ht="18" customHeight="1" x14ac:dyDescent="0.25">
      <c r="B684" t="str">
        <f t="shared" si="445"/>
        <v>NSG_Business_Small/Mid-Size Business_Partner Trade Ally Rebate_Steam Traps_Industrial/Process Audit - 125 ≤ psig &lt; 175_CI/SMB</v>
      </c>
      <c r="C684" s="47" t="str">
        <f t="shared" si="406"/>
        <v>Steam Traps_Industrial/Process Audit - 125 ≤ psig &lt; 175_CI/SMB</v>
      </c>
      <c r="D684" s="270" t="s">
        <v>1787</v>
      </c>
      <c r="E684" s="270" t="s">
        <v>3</v>
      </c>
      <c r="F684" s="270" t="s">
        <v>1432</v>
      </c>
      <c r="G684" s="270" t="s">
        <v>1799</v>
      </c>
      <c r="H684" s="270" t="s">
        <v>644</v>
      </c>
      <c r="I684" s="270" t="s">
        <v>1374</v>
      </c>
      <c r="J684" s="270" t="s">
        <v>970</v>
      </c>
      <c r="K684" s="263">
        <v>1</v>
      </c>
      <c r="L684" s="263" t="str">
        <f ca="1">IFERROR(INDEX(Algorithms!J:J,MATCH($C684&amp;"_Therm Saved per Unit",Algorithms!$A:$A,0)),"n/a")</f>
        <v>4.4.16</v>
      </c>
      <c r="M684" s="263" t="str">
        <f>IFERROR(INDEX('Measure Level Detail'!$N:$N,MATCH($B684,'Measure Level Detail'!$B:$B,0)),0)</f>
        <v>each</v>
      </c>
      <c r="N684" s="271">
        <f>IFERROR(INDEX('Measure Level Detail'!$P:$P,MATCH($B684&amp;"_"&amp;N$3,'Measure Level Detail'!$C:$C,0)),0)</f>
        <v>0</v>
      </c>
      <c r="O684" s="271">
        <f>IFERROR(INDEX('Measure Level Detail'!$P:$P,MATCH($B684&amp;"_"&amp;O$3,'Measure Level Detail'!$C:$C,0)),0)</f>
        <v>0</v>
      </c>
      <c r="P684" s="271">
        <f>IFERROR(INDEX('Measure Level Detail'!$P:$P,MATCH($B684&amp;"_"&amp;P$3,'Measure Level Detail'!$C:$C,0)),0)</f>
        <v>0</v>
      </c>
      <c r="Q684" s="271">
        <f>IFERROR(INDEX('Measure Level Detail'!$P:$P,MATCH($B684&amp;"_"&amp;Q$3,'Measure Level Detail'!$C:$C,0)),0)</f>
        <v>0</v>
      </c>
      <c r="R684" s="263" t="str">
        <f ca="1">IFERROR(INDEX(Algorithms!K:K,MATCH($C684&amp;"_Therm Saved per Unit",Algorithms!$A:$A,0)),"n/a")</f>
        <v>CI-HVC-STRE-V10-240101</v>
      </c>
      <c r="S684" s="262"/>
      <c r="T684" s="272">
        <v>7334.7468920022948</v>
      </c>
      <c r="U684" s="272">
        <v>7334.7468920022948</v>
      </c>
      <c r="V684" s="272">
        <v>7334.7468920022948</v>
      </c>
      <c r="W684" s="272">
        <v>7334.7468920022948</v>
      </c>
      <c r="X684" s="276">
        <v>0.93</v>
      </c>
      <c r="Y684" s="276">
        <v>0.93</v>
      </c>
      <c r="Z684" s="276">
        <v>0.93</v>
      </c>
      <c r="AA684" s="276">
        <v>0.93</v>
      </c>
      <c r="AB684" s="266">
        <f t="shared" si="407"/>
        <v>0</v>
      </c>
      <c r="AC684" s="266">
        <f t="shared" si="408"/>
        <v>0</v>
      </c>
      <c r="AD684" s="266">
        <f t="shared" si="409"/>
        <v>0</v>
      </c>
      <c r="AE684" s="266">
        <f t="shared" si="410"/>
        <v>0</v>
      </c>
      <c r="AF684" s="266">
        <f t="shared" si="411"/>
        <v>0</v>
      </c>
      <c r="AG684" s="274">
        <v>0.93</v>
      </c>
      <c r="AH684" s="274">
        <v>0.93</v>
      </c>
      <c r="AI684" s="274">
        <v>0.93</v>
      </c>
      <c r="AJ684" s="274">
        <v>0.93</v>
      </c>
      <c r="AK684" s="274">
        <f t="shared" si="412"/>
        <v>0.93</v>
      </c>
      <c r="AL684" s="274">
        <f t="shared" si="413"/>
        <v>0.93</v>
      </c>
      <c r="AM684" s="274">
        <f t="shared" si="414"/>
        <v>0.93</v>
      </c>
      <c r="AN684" s="274">
        <f t="shared" si="415"/>
        <v>0.93</v>
      </c>
      <c r="AO684" s="262"/>
      <c r="AP684" s="262"/>
      <c r="AQ684" s="267">
        <v>7334.7468920022948</v>
      </c>
      <c r="AR684" s="262"/>
      <c r="AS684" s="266">
        <f t="shared" si="416"/>
        <v>0</v>
      </c>
      <c r="AT684" s="264">
        <f t="shared" si="417"/>
        <v>0</v>
      </c>
      <c r="AU684" s="262"/>
      <c r="AV684" s="262"/>
      <c r="AW684" s="265">
        <v>7334.7468920022948</v>
      </c>
      <c r="AX684" s="164" t="s">
        <v>2397</v>
      </c>
      <c r="AY684" s="266">
        <v>0</v>
      </c>
      <c r="AZ684" s="266">
        <f t="shared" si="418"/>
        <v>0</v>
      </c>
      <c r="BA684" s="264">
        <f t="shared" si="419"/>
        <v>0</v>
      </c>
      <c r="BB684" s="262"/>
      <c r="BC684" s="262"/>
      <c r="BD684" s="265">
        <f ca="1">IFERROR(INDEX(Algorithms!$G:$G,MATCH($C684&amp;"_Therm Saved per Unit",Algorithms!$A:$A,0)),0)</f>
        <v>7334.7468920022948</v>
      </c>
      <c r="BE684" s="164" t="str">
        <f ca="1">IFERROR(INDEX('v12 Revisions'!$P$29:$P$186, MATCH('Measure-Level Adj Gas'!$L684, 'v12 Revisions'!$D$29:$D$186,0)),"")</f>
        <v>n/a - costs only.</v>
      </c>
      <c r="BF684" s="266">
        <f t="shared" ca="1" si="420"/>
        <v>0</v>
      </c>
      <c r="BG684" s="264">
        <f t="shared" ca="1" si="421"/>
        <v>0</v>
      </c>
      <c r="BH684" s="262"/>
      <c r="BI684" s="262"/>
      <c r="BJ684" s="265">
        <f ca="1">IFERROR(INDEX(Algorithms!$G:$G,MATCH($C684&amp;"_Therm Saved per Unit",Algorithms!$A:$A,0)),0)</f>
        <v>7334.7468920022948</v>
      </c>
      <c r="BK684" s="164"/>
      <c r="BL684" s="266">
        <f t="shared" ca="1" si="422"/>
        <v>0</v>
      </c>
      <c r="BM684" s="264">
        <f t="shared" ca="1" si="423"/>
        <v>0</v>
      </c>
      <c r="BN684" s="266">
        <f t="shared" si="424"/>
        <v>0</v>
      </c>
      <c r="BO684" s="266">
        <f t="shared" si="425"/>
        <v>0</v>
      </c>
      <c r="BP684" s="266">
        <f t="shared" ca="1" si="426"/>
        <v>0</v>
      </c>
      <c r="BQ684" s="266">
        <f t="shared" ca="1" si="427"/>
        <v>0</v>
      </c>
      <c r="BR684" s="268">
        <f t="shared" ca="1" si="428"/>
        <v>0</v>
      </c>
      <c r="BS684" s="262" t="s">
        <v>99</v>
      </c>
      <c r="BT684" s="277"/>
      <c r="BW684" s="266">
        <f t="shared" si="429"/>
        <v>0</v>
      </c>
      <c r="BX684" s="266">
        <f t="shared" si="430"/>
        <v>0</v>
      </c>
      <c r="BY684" s="266">
        <f t="shared" si="431"/>
        <v>0</v>
      </c>
      <c r="BZ684" s="266">
        <f t="shared" si="432"/>
        <v>0</v>
      </c>
      <c r="CA684" s="266">
        <f ca="1">N684*IFERROR(INDEX(Algorithms!$G:$G,MATCH($C684&amp;"_Therm Saved per Unit- MLA",Algorithms!$A:$A,0)),0)*X684</f>
        <v>0</v>
      </c>
      <c r="CB684" s="266">
        <f ca="1">O684*IFERROR(INDEX(Algorithms!$G:$G,MATCH($C684&amp;"_Therm Saved per Unit- MLA",Algorithms!$A:$A,0)),0)*Y684</f>
        <v>0</v>
      </c>
      <c r="CC684" s="266">
        <f ca="1">P684*IFERROR(INDEX(Algorithms!$G:$G,MATCH($C684&amp;"_Therm Saved per Unit- MLA",Algorithms!$A:$A,0)),0)*Z684</f>
        <v>0</v>
      </c>
      <c r="CD684" s="266">
        <f ca="1">Q684*IFERROR(INDEX(Algorithms!$G:$G,MATCH($C684&amp;"_Therm Saved per Unit- MLA",Algorithms!$A:$A,0)),0)*AA684</f>
        <v>0</v>
      </c>
      <c r="CE684" s="266">
        <f ca="1">IFERROR(INDEX(Algorithms!$G:$G,MATCH($C684&amp;"_Lifetime (years)",Algorithms!$A:$A,0)),0)</f>
        <v>6</v>
      </c>
      <c r="CF684" s="266">
        <f ca="1">IFERROR(INDEX(Algorithms!$G:$G,MATCH($C684&amp;"_Lifetime (years) - Remaining Years",Algorithms!$A:$A,0)),0)</f>
        <v>0</v>
      </c>
      <c r="CG684" s="266">
        <f t="shared" ca="1" si="433"/>
        <v>0</v>
      </c>
      <c r="CH684" s="266">
        <f t="shared" ca="1" si="434"/>
        <v>0</v>
      </c>
      <c r="CI684" s="266">
        <f t="shared" ca="1" si="435"/>
        <v>0</v>
      </c>
      <c r="CJ684" s="266">
        <f t="shared" ca="1" si="436"/>
        <v>0</v>
      </c>
      <c r="CK684" s="266">
        <f t="shared" si="437"/>
        <v>0</v>
      </c>
      <c r="CL684" s="266">
        <f t="shared" si="438"/>
        <v>0</v>
      </c>
      <c r="CM684" s="266">
        <f t="shared" ca="1" si="439"/>
        <v>0</v>
      </c>
      <c r="CN684" s="266">
        <f t="shared" ca="1" si="440"/>
        <v>0</v>
      </c>
      <c r="CO684" s="266">
        <f ca="1">N684*IFERROR(INDEX(Algorithms!$G:$G,MATCH($C684&amp;"_Therm Saved per Unit- MLA",Algorithms!$A:$A,0)),0)*X684</f>
        <v>0</v>
      </c>
      <c r="CP684" s="266">
        <f ca="1">O684*IFERROR(INDEX(Algorithms!$G:$G,MATCH($C684&amp;"_Therm Saved per Unit- MLA",Algorithms!$A:$A,0)),0)*Y684</f>
        <v>0</v>
      </c>
      <c r="CQ684" s="266">
        <f ca="1">P684*IFERROR(INDEX(Algorithms!$G:$G,MATCH($C684&amp;"_Therm Saved per Unit- MLA",Algorithms!$A:$A,0)),0)*Z684</f>
        <v>0</v>
      </c>
      <c r="CR684" s="266">
        <f ca="1">Q684*IFERROR(INDEX(Algorithms!$G:$G,MATCH($C684&amp;"_Therm Saved per Unit- MLA",Algorithms!$A:$A,0)),0)*AA684</f>
        <v>0</v>
      </c>
      <c r="CS684" s="266">
        <f ca="1">IFERROR(INDEX(Algorithms!$G:$G,MATCH($C684&amp;"_Lifetime (years)",Algorithms!$A:$A,0)),0)</f>
        <v>6</v>
      </c>
      <c r="CT684" s="266">
        <f ca="1">IFERROR(INDEX(Algorithms!$G:$G,MATCH($C684&amp;"_Lifetime (years) - Remaining Years",Algorithms!$A:$A,0)),0)</f>
        <v>0</v>
      </c>
      <c r="CU684" s="266">
        <f t="shared" ca="1" si="441"/>
        <v>0</v>
      </c>
      <c r="CV684" s="266">
        <f t="shared" ca="1" si="442"/>
        <v>0</v>
      </c>
      <c r="CW684" s="266">
        <f t="shared" ca="1" si="443"/>
        <v>0</v>
      </c>
      <c r="CX684" s="266">
        <f t="shared" ca="1" si="444"/>
        <v>0</v>
      </c>
    </row>
    <row r="685" spans="2:102" s="47" customFormat="1" ht="18" customHeight="1" x14ac:dyDescent="0.25">
      <c r="B685" t="str">
        <f t="shared" si="445"/>
        <v>NSG_Business_Small/Mid-Size Business_Partner Trade Ally Rebate_Steam Traps_Industrial/Process Audit - 175 ≤ psig &lt; 250_CI/SMB</v>
      </c>
      <c r="C685" s="47" t="str">
        <f t="shared" si="406"/>
        <v>Steam Traps_Industrial/Process Audit - 175 ≤ psig &lt; 250_CI/SMB</v>
      </c>
      <c r="D685" s="270" t="s">
        <v>1787</v>
      </c>
      <c r="E685" s="270" t="s">
        <v>3</v>
      </c>
      <c r="F685" s="270" t="s">
        <v>1432</v>
      </c>
      <c r="G685" s="270" t="s">
        <v>1799</v>
      </c>
      <c r="H685" s="270" t="s">
        <v>644</v>
      </c>
      <c r="I685" s="270" t="s">
        <v>1375</v>
      </c>
      <c r="J685" s="270" t="s">
        <v>970</v>
      </c>
      <c r="K685" s="263">
        <v>1</v>
      </c>
      <c r="L685" s="263" t="str">
        <f ca="1">IFERROR(INDEX(Algorithms!J:J,MATCH($C685&amp;"_Therm Saved per Unit",Algorithms!$A:$A,0)),"n/a")</f>
        <v>4.4.16</v>
      </c>
      <c r="M685" s="263" t="str">
        <f>IFERROR(INDEX('Measure Level Detail'!$N:$N,MATCH($B685,'Measure Level Detail'!$B:$B,0)),0)</f>
        <v>each</v>
      </c>
      <c r="N685" s="271">
        <f>IFERROR(INDEX('Measure Level Detail'!$P:$P,MATCH($B685&amp;"_"&amp;N$3,'Measure Level Detail'!$C:$C,0)),0)</f>
        <v>0</v>
      </c>
      <c r="O685" s="271">
        <f>IFERROR(INDEX('Measure Level Detail'!$P:$P,MATCH($B685&amp;"_"&amp;O$3,'Measure Level Detail'!$C:$C,0)),0)</f>
        <v>0</v>
      </c>
      <c r="P685" s="271">
        <f>IFERROR(INDEX('Measure Level Detail'!$P:$P,MATCH($B685&amp;"_"&amp;P$3,'Measure Level Detail'!$C:$C,0)),0)</f>
        <v>0</v>
      </c>
      <c r="Q685" s="271">
        <f>IFERROR(INDEX('Measure Level Detail'!$P:$P,MATCH($B685&amp;"_"&amp;Q$3,'Measure Level Detail'!$C:$C,0)),0)</f>
        <v>0</v>
      </c>
      <c r="R685" s="263" t="str">
        <f ca="1">IFERROR(INDEX(Algorithms!K:K,MATCH($C685&amp;"_Therm Saved per Unit",Algorithms!$A:$A,0)),"n/a")</f>
        <v>CI-HVC-STRE-V10-240101</v>
      </c>
      <c r="S685" s="262"/>
      <c r="T685" s="272">
        <v>9906.4466256306805</v>
      </c>
      <c r="U685" s="272">
        <v>9906.4466256306805</v>
      </c>
      <c r="V685" s="272">
        <v>9906.4466256306805</v>
      </c>
      <c r="W685" s="272">
        <v>9906.4466256306805</v>
      </c>
      <c r="X685" s="276">
        <v>0.93</v>
      </c>
      <c r="Y685" s="276">
        <v>0.93</v>
      </c>
      <c r="Z685" s="276">
        <v>0.93</v>
      </c>
      <c r="AA685" s="276">
        <v>0.93</v>
      </c>
      <c r="AB685" s="266">
        <f t="shared" si="407"/>
        <v>0</v>
      </c>
      <c r="AC685" s="266">
        <f t="shared" si="408"/>
        <v>0</v>
      </c>
      <c r="AD685" s="266">
        <f t="shared" si="409"/>
        <v>0</v>
      </c>
      <c r="AE685" s="266">
        <f t="shared" si="410"/>
        <v>0</v>
      </c>
      <c r="AF685" s="266">
        <f t="shared" si="411"/>
        <v>0</v>
      </c>
      <c r="AG685" s="274">
        <v>0.93</v>
      </c>
      <c r="AH685" s="274">
        <v>0.93</v>
      </c>
      <c r="AI685" s="274">
        <v>0.93</v>
      </c>
      <c r="AJ685" s="274">
        <v>0.93</v>
      </c>
      <c r="AK685" s="274">
        <f t="shared" si="412"/>
        <v>0.93</v>
      </c>
      <c r="AL685" s="274">
        <f t="shared" si="413"/>
        <v>0.93</v>
      </c>
      <c r="AM685" s="274">
        <f t="shared" si="414"/>
        <v>0.93</v>
      </c>
      <c r="AN685" s="274">
        <f t="shared" si="415"/>
        <v>0.93</v>
      </c>
      <c r="AO685" s="262"/>
      <c r="AP685" s="262"/>
      <c r="AQ685" s="267">
        <v>9906.4466256306805</v>
      </c>
      <c r="AR685" s="262"/>
      <c r="AS685" s="266">
        <f t="shared" si="416"/>
        <v>0</v>
      </c>
      <c r="AT685" s="264">
        <f t="shared" si="417"/>
        <v>0</v>
      </c>
      <c r="AU685" s="262"/>
      <c r="AV685" s="262"/>
      <c r="AW685" s="265">
        <v>9906.4466256306805</v>
      </c>
      <c r="AX685" s="164" t="s">
        <v>2397</v>
      </c>
      <c r="AY685" s="266">
        <v>0</v>
      </c>
      <c r="AZ685" s="266">
        <f t="shared" si="418"/>
        <v>0</v>
      </c>
      <c r="BA685" s="264">
        <f t="shared" si="419"/>
        <v>0</v>
      </c>
      <c r="BB685" s="262"/>
      <c r="BC685" s="262"/>
      <c r="BD685" s="265">
        <f ca="1">IFERROR(INDEX(Algorithms!$G:$G,MATCH($C685&amp;"_Therm Saved per Unit",Algorithms!$A:$A,0)),0)</f>
        <v>9906.4466256306805</v>
      </c>
      <c r="BE685" s="164" t="str">
        <f ca="1">IFERROR(INDEX('v12 Revisions'!$P$29:$P$186, MATCH('Measure-Level Adj Gas'!$L685, 'v12 Revisions'!$D$29:$D$186,0)),"")</f>
        <v>n/a - costs only.</v>
      </c>
      <c r="BF685" s="266">
        <f t="shared" ca="1" si="420"/>
        <v>0</v>
      </c>
      <c r="BG685" s="264">
        <f t="shared" ca="1" si="421"/>
        <v>0</v>
      </c>
      <c r="BH685" s="262"/>
      <c r="BI685" s="262"/>
      <c r="BJ685" s="265">
        <f ca="1">IFERROR(INDEX(Algorithms!$G:$G,MATCH($C685&amp;"_Therm Saved per Unit",Algorithms!$A:$A,0)),0)</f>
        <v>9906.4466256306805</v>
      </c>
      <c r="BK685" s="164"/>
      <c r="BL685" s="266">
        <f t="shared" ca="1" si="422"/>
        <v>0</v>
      </c>
      <c r="BM685" s="264">
        <f t="shared" ca="1" si="423"/>
        <v>0</v>
      </c>
      <c r="BN685" s="266">
        <f t="shared" si="424"/>
        <v>0</v>
      </c>
      <c r="BO685" s="266">
        <f t="shared" si="425"/>
        <v>0</v>
      </c>
      <c r="BP685" s="266">
        <f t="shared" ca="1" si="426"/>
        <v>0</v>
      </c>
      <c r="BQ685" s="266">
        <f t="shared" ca="1" si="427"/>
        <v>0</v>
      </c>
      <c r="BR685" s="268">
        <f t="shared" ca="1" si="428"/>
        <v>0</v>
      </c>
      <c r="BS685" s="262" t="s">
        <v>99</v>
      </c>
      <c r="BT685" s="277"/>
      <c r="BW685" s="266">
        <f t="shared" si="429"/>
        <v>0</v>
      </c>
      <c r="BX685" s="266">
        <f t="shared" si="430"/>
        <v>0</v>
      </c>
      <c r="BY685" s="266">
        <f t="shared" si="431"/>
        <v>0</v>
      </c>
      <c r="BZ685" s="266">
        <f t="shared" si="432"/>
        <v>0</v>
      </c>
      <c r="CA685" s="266">
        <f ca="1">N685*IFERROR(INDEX(Algorithms!$G:$G,MATCH($C685&amp;"_Therm Saved per Unit- MLA",Algorithms!$A:$A,0)),0)*X685</f>
        <v>0</v>
      </c>
      <c r="CB685" s="266">
        <f ca="1">O685*IFERROR(INDEX(Algorithms!$G:$G,MATCH($C685&amp;"_Therm Saved per Unit- MLA",Algorithms!$A:$A,0)),0)*Y685</f>
        <v>0</v>
      </c>
      <c r="CC685" s="266">
        <f ca="1">P685*IFERROR(INDEX(Algorithms!$G:$G,MATCH($C685&amp;"_Therm Saved per Unit- MLA",Algorithms!$A:$A,0)),0)*Z685</f>
        <v>0</v>
      </c>
      <c r="CD685" s="266">
        <f ca="1">Q685*IFERROR(INDEX(Algorithms!$G:$G,MATCH($C685&amp;"_Therm Saved per Unit- MLA",Algorithms!$A:$A,0)),0)*AA685</f>
        <v>0</v>
      </c>
      <c r="CE685" s="266">
        <f ca="1">IFERROR(INDEX(Algorithms!$G:$G,MATCH($C685&amp;"_Lifetime (years)",Algorithms!$A:$A,0)),0)</f>
        <v>6</v>
      </c>
      <c r="CF685" s="266">
        <f ca="1">IFERROR(INDEX(Algorithms!$G:$G,MATCH($C685&amp;"_Lifetime (years) - Remaining Years",Algorithms!$A:$A,0)),0)</f>
        <v>0</v>
      </c>
      <c r="CG685" s="266">
        <f t="shared" ca="1" si="433"/>
        <v>0</v>
      </c>
      <c r="CH685" s="266">
        <f t="shared" ca="1" si="434"/>
        <v>0</v>
      </c>
      <c r="CI685" s="266">
        <f t="shared" ca="1" si="435"/>
        <v>0</v>
      </c>
      <c r="CJ685" s="266">
        <f t="shared" ca="1" si="436"/>
        <v>0</v>
      </c>
      <c r="CK685" s="266">
        <f t="shared" si="437"/>
        <v>0</v>
      </c>
      <c r="CL685" s="266">
        <f t="shared" si="438"/>
        <v>0</v>
      </c>
      <c r="CM685" s="266">
        <f t="shared" ca="1" si="439"/>
        <v>0</v>
      </c>
      <c r="CN685" s="266">
        <f t="shared" ca="1" si="440"/>
        <v>0</v>
      </c>
      <c r="CO685" s="266">
        <f ca="1">N685*IFERROR(INDEX(Algorithms!$G:$G,MATCH($C685&amp;"_Therm Saved per Unit- MLA",Algorithms!$A:$A,0)),0)*X685</f>
        <v>0</v>
      </c>
      <c r="CP685" s="266">
        <f ca="1">O685*IFERROR(INDEX(Algorithms!$G:$G,MATCH($C685&amp;"_Therm Saved per Unit- MLA",Algorithms!$A:$A,0)),0)*Y685</f>
        <v>0</v>
      </c>
      <c r="CQ685" s="266">
        <f ca="1">P685*IFERROR(INDEX(Algorithms!$G:$G,MATCH($C685&amp;"_Therm Saved per Unit- MLA",Algorithms!$A:$A,0)),0)*Z685</f>
        <v>0</v>
      </c>
      <c r="CR685" s="266">
        <f ca="1">Q685*IFERROR(INDEX(Algorithms!$G:$G,MATCH($C685&amp;"_Therm Saved per Unit- MLA",Algorithms!$A:$A,0)),0)*AA685</f>
        <v>0</v>
      </c>
      <c r="CS685" s="266">
        <f ca="1">IFERROR(INDEX(Algorithms!$G:$G,MATCH($C685&amp;"_Lifetime (years)",Algorithms!$A:$A,0)),0)</f>
        <v>6</v>
      </c>
      <c r="CT685" s="266">
        <f ca="1">IFERROR(INDEX(Algorithms!$G:$G,MATCH($C685&amp;"_Lifetime (years) - Remaining Years",Algorithms!$A:$A,0)),0)</f>
        <v>0</v>
      </c>
      <c r="CU685" s="266">
        <f t="shared" ca="1" si="441"/>
        <v>0</v>
      </c>
      <c r="CV685" s="266">
        <f t="shared" ca="1" si="442"/>
        <v>0</v>
      </c>
      <c r="CW685" s="266">
        <f t="shared" ca="1" si="443"/>
        <v>0</v>
      </c>
      <c r="CX685" s="266">
        <f t="shared" ca="1" si="444"/>
        <v>0</v>
      </c>
    </row>
    <row r="686" spans="2:102" s="47" customFormat="1" ht="18" customHeight="1" x14ac:dyDescent="0.25">
      <c r="B686" t="str">
        <f t="shared" si="445"/>
        <v>NSG_Business_Small/Mid-Size Business_Partner Trade Ally Rebate_Steam Traps_Industrial/Process Audit - 250 ≤ psig_CI/SMB</v>
      </c>
      <c r="C686" s="47" t="str">
        <f t="shared" si="406"/>
        <v>Steam Traps_Industrial/Process Audit - 250 ≤ psig_CI/SMB</v>
      </c>
      <c r="D686" s="270" t="s">
        <v>1787</v>
      </c>
      <c r="E686" s="270" t="s">
        <v>3</v>
      </c>
      <c r="F686" s="270" t="s">
        <v>1432</v>
      </c>
      <c r="G686" s="270" t="s">
        <v>1799</v>
      </c>
      <c r="H686" s="270" t="s">
        <v>644</v>
      </c>
      <c r="I686" s="270" t="s">
        <v>1376</v>
      </c>
      <c r="J686" s="270" t="s">
        <v>970</v>
      </c>
      <c r="K686" s="263">
        <v>1</v>
      </c>
      <c r="L686" s="263" t="str">
        <f ca="1">IFERROR(INDEX(Algorithms!J:J,MATCH($C686&amp;"_Therm Saved per Unit",Algorithms!$A:$A,0)),"n/a")</f>
        <v>4.4.16</v>
      </c>
      <c r="M686" s="263" t="str">
        <f>IFERROR(INDEX('Measure Level Detail'!$N:$N,MATCH($B686,'Measure Level Detail'!$B:$B,0)),0)</f>
        <v>each</v>
      </c>
      <c r="N686" s="271">
        <f>IFERROR(INDEX('Measure Level Detail'!$P:$P,MATCH($B686&amp;"_"&amp;N$3,'Measure Level Detail'!$C:$C,0)),0)</f>
        <v>0</v>
      </c>
      <c r="O686" s="271">
        <f>IFERROR(INDEX('Measure Level Detail'!$P:$P,MATCH($B686&amp;"_"&amp;O$3,'Measure Level Detail'!$C:$C,0)),0)</f>
        <v>0</v>
      </c>
      <c r="P686" s="271">
        <f>IFERROR(INDEX('Measure Level Detail'!$P:$P,MATCH($B686&amp;"_"&amp;P$3,'Measure Level Detail'!$C:$C,0)),0)</f>
        <v>0</v>
      </c>
      <c r="Q686" s="271">
        <f>IFERROR(INDEX('Measure Level Detail'!$P:$P,MATCH($B686&amp;"_"&amp;Q$3,'Measure Level Detail'!$C:$C,0)),0)</f>
        <v>0</v>
      </c>
      <c r="R686" s="263" t="str">
        <f ca="1">IFERROR(INDEX(Algorithms!K:K,MATCH($C686&amp;"_Therm Saved per Unit",Algorithms!$A:$A,0)),"n/a")</f>
        <v>CI-HVC-STRE-V10-240101</v>
      </c>
      <c r="S686" s="262"/>
      <c r="T686" s="272">
        <v>12689.405899537758</v>
      </c>
      <c r="U686" s="272">
        <v>12689.405899537758</v>
      </c>
      <c r="V686" s="272">
        <v>12689.405899537758</v>
      </c>
      <c r="W686" s="272">
        <v>12689.405899537758</v>
      </c>
      <c r="X686" s="276">
        <v>0.93</v>
      </c>
      <c r="Y686" s="276">
        <v>0.93</v>
      </c>
      <c r="Z686" s="276">
        <v>0.93</v>
      </c>
      <c r="AA686" s="276">
        <v>0.93</v>
      </c>
      <c r="AB686" s="266">
        <f t="shared" si="407"/>
        <v>0</v>
      </c>
      <c r="AC686" s="266">
        <f t="shared" si="408"/>
        <v>0</v>
      </c>
      <c r="AD686" s="266">
        <f t="shared" si="409"/>
        <v>0</v>
      </c>
      <c r="AE686" s="266">
        <f t="shared" si="410"/>
        <v>0</v>
      </c>
      <c r="AF686" s="266">
        <f t="shared" si="411"/>
        <v>0</v>
      </c>
      <c r="AG686" s="274">
        <v>0.93</v>
      </c>
      <c r="AH686" s="274">
        <v>0.93</v>
      </c>
      <c r="AI686" s="274">
        <v>0.93</v>
      </c>
      <c r="AJ686" s="274">
        <v>0.93</v>
      </c>
      <c r="AK686" s="274">
        <f t="shared" si="412"/>
        <v>0.93</v>
      </c>
      <c r="AL686" s="274">
        <f t="shared" si="413"/>
        <v>0.93</v>
      </c>
      <c r="AM686" s="274">
        <f t="shared" si="414"/>
        <v>0.93</v>
      </c>
      <c r="AN686" s="274">
        <f t="shared" si="415"/>
        <v>0.93</v>
      </c>
      <c r="AO686" s="262"/>
      <c r="AP686" s="262"/>
      <c r="AQ686" s="267">
        <v>12689.405899537758</v>
      </c>
      <c r="AR686" s="262"/>
      <c r="AS686" s="266">
        <f t="shared" si="416"/>
        <v>0</v>
      </c>
      <c r="AT686" s="264">
        <f t="shared" si="417"/>
        <v>0</v>
      </c>
      <c r="AU686" s="262"/>
      <c r="AV686" s="262"/>
      <c r="AW686" s="265">
        <v>12689.405899537758</v>
      </c>
      <c r="AX686" s="164" t="s">
        <v>2397</v>
      </c>
      <c r="AY686" s="266">
        <v>0</v>
      </c>
      <c r="AZ686" s="266">
        <f t="shared" si="418"/>
        <v>0</v>
      </c>
      <c r="BA686" s="264">
        <f t="shared" si="419"/>
        <v>0</v>
      </c>
      <c r="BB686" s="262"/>
      <c r="BC686" s="262"/>
      <c r="BD686" s="265">
        <f ca="1">IFERROR(INDEX(Algorithms!$G:$G,MATCH($C686&amp;"_Therm Saved per Unit",Algorithms!$A:$A,0)),0)</f>
        <v>12689.405899537758</v>
      </c>
      <c r="BE686" s="164" t="str">
        <f ca="1">IFERROR(INDEX('v12 Revisions'!$P$29:$P$186, MATCH('Measure-Level Adj Gas'!$L686, 'v12 Revisions'!$D$29:$D$186,0)),"")</f>
        <v>n/a - costs only.</v>
      </c>
      <c r="BF686" s="266">
        <f t="shared" ca="1" si="420"/>
        <v>0</v>
      </c>
      <c r="BG686" s="264">
        <f t="shared" ca="1" si="421"/>
        <v>0</v>
      </c>
      <c r="BH686" s="262"/>
      <c r="BI686" s="262"/>
      <c r="BJ686" s="265">
        <f ca="1">IFERROR(INDEX(Algorithms!$G:$G,MATCH($C686&amp;"_Therm Saved per Unit",Algorithms!$A:$A,0)),0)</f>
        <v>12689.405899537758</v>
      </c>
      <c r="BK686" s="164"/>
      <c r="BL686" s="266">
        <f t="shared" ca="1" si="422"/>
        <v>0</v>
      </c>
      <c r="BM686" s="264">
        <f t="shared" ca="1" si="423"/>
        <v>0</v>
      </c>
      <c r="BN686" s="266">
        <f t="shared" si="424"/>
        <v>0</v>
      </c>
      <c r="BO686" s="266">
        <f t="shared" si="425"/>
        <v>0</v>
      </c>
      <c r="BP686" s="266">
        <f t="shared" ca="1" si="426"/>
        <v>0</v>
      </c>
      <c r="BQ686" s="266">
        <f t="shared" ca="1" si="427"/>
        <v>0</v>
      </c>
      <c r="BR686" s="268">
        <f t="shared" ca="1" si="428"/>
        <v>0</v>
      </c>
      <c r="BS686" s="262" t="s">
        <v>99</v>
      </c>
      <c r="BT686" s="277"/>
      <c r="BW686" s="266">
        <f t="shared" si="429"/>
        <v>0</v>
      </c>
      <c r="BX686" s="266">
        <f t="shared" si="430"/>
        <v>0</v>
      </c>
      <c r="BY686" s="266">
        <f t="shared" si="431"/>
        <v>0</v>
      </c>
      <c r="BZ686" s="266">
        <f t="shared" si="432"/>
        <v>0</v>
      </c>
      <c r="CA686" s="266">
        <f ca="1">N686*IFERROR(INDEX(Algorithms!$G:$G,MATCH($C686&amp;"_Therm Saved per Unit- MLA",Algorithms!$A:$A,0)),0)*X686</f>
        <v>0</v>
      </c>
      <c r="CB686" s="266">
        <f ca="1">O686*IFERROR(INDEX(Algorithms!$G:$G,MATCH($C686&amp;"_Therm Saved per Unit- MLA",Algorithms!$A:$A,0)),0)*Y686</f>
        <v>0</v>
      </c>
      <c r="CC686" s="266">
        <f ca="1">P686*IFERROR(INDEX(Algorithms!$G:$G,MATCH($C686&amp;"_Therm Saved per Unit- MLA",Algorithms!$A:$A,0)),0)*Z686</f>
        <v>0</v>
      </c>
      <c r="CD686" s="266">
        <f ca="1">Q686*IFERROR(INDEX(Algorithms!$G:$G,MATCH($C686&amp;"_Therm Saved per Unit- MLA",Algorithms!$A:$A,0)),0)*AA686</f>
        <v>0</v>
      </c>
      <c r="CE686" s="266">
        <f ca="1">IFERROR(INDEX(Algorithms!$G:$G,MATCH($C686&amp;"_Lifetime (years)",Algorithms!$A:$A,0)),0)</f>
        <v>6</v>
      </c>
      <c r="CF686" s="266">
        <f ca="1">IFERROR(INDEX(Algorithms!$G:$G,MATCH($C686&amp;"_Lifetime (years) - Remaining Years",Algorithms!$A:$A,0)),0)</f>
        <v>0</v>
      </c>
      <c r="CG686" s="266">
        <f t="shared" ca="1" si="433"/>
        <v>0</v>
      </c>
      <c r="CH686" s="266">
        <f t="shared" ca="1" si="434"/>
        <v>0</v>
      </c>
      <c r="CI686" s="266">
        <f t="shared" ca="1" si="435"/>
        <v>0</v>
      </c>
      <c r="CJ686" s="266">
        <f t="shared" ca="1" si="436"/>
        <v>0</v>
      </c>
      <c r="CK686" s="266">
        <f t="shared" si="437"/>
        <v>0</v>
      </c>
      <c r="CL686" s="266">
        <f t="shared" si="438"/>
        <v>0</v>
      </c>
      <c r="CM686" s="266">
        <f t="shared" ca="1" si="439"/>
        <v>0</v>
      </c>
      <c r="CN686" s="266">
        <f t="shared" ca="1" si="440"/>
        <v>0</v>
      </c>
      <c r="CO686" s="266">
        <f ca="1">N686*IFERROR(INDEX(Algorithms!$G:$G,MATCH($C686&amp;"_Therm Saved per Unit- MLA",Algorithms!$A:$A,0)),0)*X686</f>
        <v>0</v>
      </c>
      <c r="CP686" s="266">
        <f ca="1">O686*IFERROR(INDEX(Algorithms!$G:$G,MATCH($C686&amp;"_Therm Saved per Unit- MLA",Algorithms!$A:$A,0)),0)*Y686</f>
        <v>0</v>
      </c>
      <c r="CQ686" s="266">
        <f ca="1">P686*IFERROR(INDEX(Algorithms!$G:$G,MATCH($C686&amp;"_Therm Saved per Unit- MLA",Algorithms!$A:$A,0)),0)*Z686</f>
        <v>0</v>
      </c>
      <c r="CR686" s="266">
        <f ca="1">Q686*IFERROR(INDEX(Algorithms!$G:$G,MATCH($C686&amp;"_Therm Saved per Unit- MLA",Algorithms!$A:$A,0)),0)*AA686</f>
        <v>0</v>
      </c>
      <c r="CS686" s="266">
        <f ca="1">IFERROR(INDEX(Algorithms!$G:$G,MATCH($C686&amp;"_Lifetime (years)",Algorithms!$A:$A,0)),0)</f>
        <v>6</v>
      </c>
      <c r="CT686" s="266">
        <f ca="1">IFERROR(INDEX(Algorithms!$G:$G,MATCH($C686&amp;"_Lifetime (years) - Remaining Years",Algorithms!$A:$A,0)),0)</f>
        <v>0</v>
      </c>
      <c r="CU686" s="266">
        <f t="shared" ca="1" si="441"/>
        <v>0</v>
      </c>
      <c r="CV686" s="266">
        <f t="shared" ca="1" si="442"/>
        <v>0</v>
      </c>
      <c r="CW686" s="266">
        <f t="shared" ca="1" si="443"/>
        <v>0</v>
      </c>
      <c r="CX686" s="266">
        <f t="shared" ca="1" si="444"/>
        <v>0</v>
      </c>
    </row>
    <row r="687" spans="2:102" s="47" customFormat="1" ht="18" customHeight="1" x14ac:dyDescent="0.25">
      <c r="B687" t="str">
        <f t="shared" si="445"/>
        <v>NSG_Business_Small/Mid-Size Business_Partner Trade Ally Rebate_Programmable Thermostat_0_CI</v>
      </c>
      <c r="C687" s="47" t="str">
        <f t="shared" si="406"/>
        <v>Programmable Thermostat_0_CI</v>
      </c>
      <c r="D687" s="270" t="s">
        <v>1787</v>
      </c>
      <c r="E687" s="270" t="s">
        <v>3</v>
      </c>
      <c r="F687" s="270" t="s">
        <v>1432</v>
      </c>
      <c r="G687" s="270" t="s">
        <v>1799</v>
      </c>
      <c r="H687" s="270" t="s">
        <v>224</v>
      </c>
      <c r="I687" s="270">
        <v>0</v>
      </c>
      <c r="J687" s="270" t="s">
        <v>1159</v>
      </c>
      <c r="K687" s="263">
        <v>1</v>
      </c>
      <c r="L687" s="263" t="str">
        <f ca="1">IFERROR(INDEX(Algorithms!J:J,MATCH($C687&amp;"_Therm Saved per Unit",Algorithms!$A:$A,0)),"n/a")</f>
        <v>4.4.48</v>
      </c>
      <c r="M687" s="263" t="str">
        <f>IFERROR(INDEX('Measure Level Detail'!$N:$N,MATCH($B687,'Measure Level Detail'!$B:$B,0)),0)</f>
        <v>each</v>
      </c>
      <c r="N687" s="271">
        <f>IFERROR(INDEX('Measure Level Detail'!$P:$P,MATCH($B687&amp;"_"&amp;N$3,'Measure Level Detail'!$C:$C,0)),0)</f>
        <v>0</v>
      </c>
      <c r="O687" s="271">
        <f>IFERROR(INDEX('Measure Level Detail'!$P:$P,MATCH($B687&amp;"_"&amp;O$3,'Measure Level Detail'!$C:$C,0)),0)</f>
        <v>0</v>
      </c>
      <c r="P687" s="271">
        <f>IFERROR(INDEX('Measure Level Detail'!$P:$P,MATCH($B687&amp;"_"&amp;P$3,'Measure Level Detail'!$C:$C,0)),0)</f>
        <v>0</v>
      </c>
      <c r="Q687" s="271">
        <f>IFERROR(INDEX('Measure Level Detail'!$P:$P,MATCH($B687&amp;"_"&amp;Q$3,'Measure Level Detail'!$C:$C,0)),0)</f>
        <v>0</v>
      </c>
      <c r="R687" s="263" t="str">
        <f ca="1">IFERROR(INDEX(Algorithms!K:K,MATCH($C687&amp;"_Therm Saved per Unit",Algorithms!$A:$A,0)),"n/a")</f>
        <v>CI-HVC-THST-V06-240101</v>
      </c>
      <c r="S687" s="262"/>
      <c r="T687" s="272">
        <v>159.30512500000003</v>
      </c>
      <c r="U687" s="272">
        <v>159.30512500000003</v>
      </c>
      <c r="V687" s="272">
        <v>159.30512500000003</v>
      </c>
      <c r="W687" s="272">
        <v>159.30512500000003</v>
      </c>
      <c r="X687" s="275">
        <v>0.96</v>
      </c>
      <c r="Y687" s="275">
        <v>0.96</v>
      </c>
      <c r="Z687" s="275">
        <v>0.96</v>
      </c>
      <c r="AA687" s="275">
        <v>0.96</v>
      </c>
      <c r="AB687" s="266">
        <f t="shared" si="407"/>
        <v>0</v>
      </c>
      <c r="AC687" s="266">
        <f t="shared" si="408"/>
        <v>0</v>
      </c>
      <c r="AD687" s="266">
        <f t="shared" si="409"/>
        <v>0</v>
      </c>
      <c r="AE687" s="266">
        <f t="shared" si="410"/>
        <v>0</v>
      </c>
      <c r="AF687" s="266">
        <f t="shared" si="411"/>
        <v>0</v>
      </c>
      <c r="AG687" s="274">
        <v>0.96</v>
      </c>
      <c r="AH687" s="274">
        <v>0.97</v>
      </c>
      <c r="AI687" s="274">
        <v>0.97</v>
      </c>
      <c r="AJ687" s="274">
        <v>0.97</v>
      </c>
      <c r="AK687" s="274">
        <f t="shared" si="412"/>
        <v>0.96</v>
      </c>
      <c r="AL687" s="274">
        <f t="shared" si="413"/>
        <v>0.96</v>
      </c>
      <c r="AM687" s="274">
        <f t="shared" si="414"/>
        <v>0.96</v>
      </c>
      <c r="AN687" s="274">
        <f t="shared" si="415"/>
        <v>0.96</v>
      </c>
      <c r="AO687" s="262"/>
      <c r="AP687" s="262"/>
      <c r="AQ687" s="267">
        <v>200.26929999999999</v>
      </c>
      <c r="AR687" s="262"/>
      <c r="AS687" s="266">
        <f t="shared" si="416"/>
        <v>0</v>
      </c>
      <c r="AT687" s="264">
        <f t="shared" si="417"/>
        <v>0</v>
      </c>
      <c r="AU687" s="262"/>
      <c r="AV687" s="262"/>
      <c r="AW687" s="265">
        <v>200.26929999999999</v>
      </c>
      <c r="AX687" s="164" t="s">
        <v>1469</v>
      </c>
      <c r="AY687" s="266">
        <v>0</v>
      </c>
      <c r="AZ687" s="266">
        <f t="shared" si="418"/>
        <v>0</v>
      </c>
      <c r="BA687" s="264">
        <f t="shared" si="419"/>
        <v>0</v>
      </c>
      <c r="BB687" s="262"/>
      <c r="BC687" s="262"/>
      <c r="BD687" s="265">
        <f ca="1">IFERROR(INDEX(Algorithms!$G:$G,MATCH($C687&amp;"_Therm Saved per Unit",Algorithms!$A:$A,0)),0)</f>
        <v>200.26929999999999</v>
      </c>
      <c r="BE687" s="164" t="str">
        <f ca="1">IFERROR(INDEX('v12 Revisions'!$P$29:$P$186, MATCH('Measure-Level Adj Gas'!$L687, 'v12 Revisions'!$D$29:$D$186,0)),"")</f>
        <v>n/a - only affects electric energy savings algorithm.</v>
      </c>
      <c r="BF687" s="266">
        <f t="shared" ca="1" si="420"/>
        <v>0</v>
      </c>
      <c r="BG687" s="264">
        <f t="shared" ca="1" si="421"/>
        <v>0</v>
      </c>
      <c r="BH687" s="262"/>
      <c r="BI687" s="262"/>
      <c r="BJ687" s="265">
        <f ca="1">IFERROR(INDEX(Algorithms!$G:$G,MATCH($C687&amp;"_Therm Saved per Unit",Algorithms!$A:$A,0)),0)</f>
        <v>200.26929999999999</v>
      </c>
      <c r="BK687" s="164"/>
      <c r="BL687" s="266">
        <f t="shared" ca="1" si="422"/>
        <v>0</v>
      </c>
      <c r="BM687" s="264">
        <f t="shared" ca="1" si="423"/>
        <v>0</v>
      </c>
      <c r="BN687" s="266">
        <f t="shared" si="424"/>
        <v>0</v>
      </c>
      <c r="BO687" s="266">
        <f t="shared" si="425"/>
        <v>0</v>
      </c>
      <c r="BP687" s="266">
        <f t="shared" ca="1" si="426"/>
        <v>0</v>
      </c>
      <c r="BQ687" s="266">
        <f t="shared" ca="1" si="427"/>
        <v>0</v>
      </c>
      <c r="BR687" s="268">
        <f t="shared" ca="1" si="428"/>
        <v>0</v>
      </c>
      <c r="BS687" s="262" t="s">
        <v>99</v>
      </c>
      <c r="BT687" s="277"/>
      <c r="BW687" s="266">
        <f t="shared" si="429"/>
        <v>0</v>
      </c>
      <c r="BX687" s="266">
        <f t="shared" si="430"/>
        <v>0</v>
      </c>
      <c r="BY687" s="266">
        <f t="shared" si="431"/>
        <v>0</v>
      </c>
      <c r="BZ687" s="266">
        <f t="shared" si="432"/>
        <v>0</v>
      </c>
      <c r="CA687" s="266">
        <f ca="1">N687*IFERROR(INDEX(Algorithms!$G:$G,MATCH($C687&amp;"_Therm Saved per Unit- MLA",Algorithms!$A:$A,0)),0)*X687</f>
        <v>0</v>
      </c>
      <c r="CB687" s="266">
        <f ca="1">O687*IFERROR(INDEX(Algorithms!$G:$G,MATCH($C687&amp;"_Therm Saved per Unit- MLA",Algorithms!$A:$A,0)),0)*Y687</f>
        <v>0</v>
      </c>
      <c r="CC687" s="266">
        <f ca="1">P687*IFERROR(INDEX(Algorithms!$G:$G,MATCH($C687&amp;"_Therm Saved per Unit- MLA",Algorithms!$A:$A,0)),0)*Z687</f>
        <v>0</v>
      </c>
      <c r="CD687" s="266">
        <f ca="1">Q687*IFERROR(INDEX(Algorithms!$G:$G,MATCH($C687&amp;"_Therm Saved per Unit- MLA",Algorithms!$A:$A,0)),0)*AA687</f>
        <v>0</v>
      </c>
      <c r="CE687" s="266">
        <f ca="1">IFERROR(INDEX(Algorithms!$G:$G,MATCH($C687&amp;"_Lifetime (years)",Algorithms!$A:$A,0)),0)</f>
        <v>11</v>
      </c>
      <c r="CF687" s="266">
        <f ca="1">IFERROR(INDEX(Algorithms!$G:$G,MATCH($C687&amp;"_Lifetime (years) - Remaining Years",Algorithms!$A:$A,0)),0)</f>
        <v>0</v>
      </c>
      <c r="CG687" s="266">
        <f t="shared" ca="1" si="433"/>
        <v>0</v>
      </c>
      <c r="CH687" s="266">
        <f t="shared" ca="1" si="434"/>
        <v>0</v>
      </c>
      <c r="CI687" s="266">
        <f t="shared" ca="1" si="435"/>
        <v>0</v>
      </c>
      <c r="CJ687" s="266">
        <f t="shared" ca="1" si="436"/>
        <v>0</v>
      </c>
      <c r="CK687" s="266">
        <f t="shared" si="437"/>
        <v>0</v>
      </c>
      <c r="CL687" s="266">
        <f t="shared" si="438"/>
        <v>0</v>
      </c>
      <c r="CM687" s="266">
        <f t="shared" ca="1" si="439"/>
        <v>0</v>
      </c>
      <c r="CN687" s="266">
        <f t="shared" ca="1" si="440"/>
        <v>0</v>
      </c>
      <c r="CO687" s="266">
        <f ca="1">N687*IFERROR(INDEX(Algorithms!$G:$G,MATCH($C687&amp;"_Therm Saved per Unit- MLA",Algorithms!$A:$A,0)),0)*X687</f>
        <v>0</v>
      </c>
      <c r="CP687" s="266">
        <f ca="1">O687*IFERROR(INDEX(Algorithms!$G:$G,MATCH($C687&amp;"_Therm Saved per Unit- MLA",Algorithms!$A:$A,0)),0)*Y687</f>
        <v>0</v>
      </c>
      <c r="CQ687" s="266">
        <f ca="1">P687*IFERROR(INDEX(Algorithms!$G:$G,MATCH($C687&amp;"_Therm Saved per Unit- MLA",Algorithms!$A:$A,0)),0)*Z687</f>
        <v>0</v>
      </c>
      <c r="CR687" s="266">
        <f ca="1">Q687*IFERROR(INDEX(Algorithms!$G:$G,MATCH($C687&amp;"_Therm Saved per Unit- MLA",Algorithms!$A:$A,0)),0)*AA687</f>
        <v>0</v>
      </c>
      <c r="CS687" s="266">
        <f ca="1">IFERROR(INDEX(Algorithms!$G:$G,MATCH($C687&amp;"_Lifetime (years)",Algorithms!$A:$A,0)),0)</f>
        <v>11</v>
      </c>
      <c r="CT687" s="266">
        <f ca="1">IFERROR(INDEX(Algorithms!$G:$G,MATCH($C687&amp;"_Lifetime (years) - Remaining Years",Algorithms!$A:$A,0)),0)</f>
        <v>0</v>
      </c>
      <c r="CU687" s="266">
        <f t="shared" ca="1" si="441"/>
        <v>0</v>
      </c>
      <c r="CV687" s="266">
        <f t="shared" ca="1" si="442"/>
        <v>0</v>
      </c>
      <c r="CW687" s="266">
        <f t="shared" ca="1" si="443"/>
        <v>0</v>
      </c>
      <c r="CX687" s="266">
        <f t="shared" ca="1" si="444"/>
        <v>0</v>
      </c>
    </row>
    <row r="688" spans="2:102" s="47" customFormat="1" ht="18" customHeight="1" x14ac:dyDescent="0.25">
      <c r="B688" t="str">
        <f t="shared" si="445"/>
        <v>NSG_Business_Small/Mid-Size Business_Partner Trade Ally Rebate_Water Heater_Storage 88% TE ≥75MBh_CI</v>
      </c>
      <c r="C688" s="47" t="str">
        <f t="shared" si="406"/>
        <v>Water Heater_Storage 88% TE ≥75MBh_CI</v>
      </c>
      <c r="D688" s="270" t="s">
        <v>1787</v>
      </c>
      <c r="E688" s="270" t="s">
        <v>3</v>
      </c>
      <c r="F688" s="270" t="s">
        <v>1432</v>
      </c>
      <c r="G688" s="270" t="s">
        <v>1799</v>
      </c>
      <c r="H688" s="270" t="s">
        <v>8</v>
      </c>
      <c r="I688" s="270" t="s">
        <v>1262</v>
      </c>
      <c r="J688" s="270" t="s">
        <v>1159</v>
      </c>
      <c r="K688" s="263">
        <v>1</v>
      </c>
      <c r="L688" s="263" t="str">
        <f ca="1">IFERROR(INDEX(Algorithms!J:J,MATCH($C688&amp;"_Therm Saved per Unit",Algorithms!$A:$A,0)),"n/a")</f>
        <v>4.3.1</v>
      </c>
      <c r="M688" s="263" t="str">
        <f>IFERROR(INDEX('Measure Level Detail'!$N:$N,MATCH($B688,'Measure Level Detail'!$B:$B,0)),0)</f>
        <v>each</v>
      </c>
      <c r="N688" s="271">
        <f>IFERROR(INDEX('Measure Level Detail'!$P:$P,MATCH($B688&amp;"_"&amp;N$3,'Measure Level Detail'!$C:$C,0)),0)</f>
        <v>0</v>
      </c>
      <c r="O688" s="271">
        <f>IFERROR(INDEX('Measure Level Detail'!$P:$P,MATCH($B688&amp;"_"&amp;O$3,'Measure Level Detail'!$C:$C,0)),0)</f>
        <v>0</v>
      </c>
      <c r="P688" s="271">
        <f>IFERROR(INDEX('Measure Level Detail'!$P:$P,MATCH($B688&amp;"_"&amp;P$3,'Measure Level Detail'!$C:$C,0)),0)</f>
        <v>0</v>
      </c>
      <c r="Q688" s="271">
        <f>IFERROR(INDEX('Measure Level Detail'!$P:$P,MATCH($B688&amp;"_"&amp;Q$3,'Measure Level Detail'!$C:$C,0)),0)</f>
        <v>0</v>
      </c>
      <c r="R688" s="263" t="str">
        <f ca="1">IFERROR(INDEX(Algorithms!K:K,MATCH($C688&amp;"_Therm Saved per Unit",Algorithms!$A:$A,0)),"n/a")</f>
        <v>CI-HWE-STWH-V10-240101</v>
      </c>
      <c r="S688" s="262"/>
      <c r="T688" s="272">
        <v>135.66827090062347</v>
      </c>
      <c r="U688" s="272">
        <v>135.66827090062347</v>
      </c>
      <c r="V688" s="272">
        <v>135.66827090062347</v>
      </c>
      <c r="W688" s="272">
        <v>135.66827090062347</v>
      </c>
      <c r="X688" s="276">
        <v>0.93</v>
      </c>
      <c r="Y688" s="276">
        <v>0.93</v>
      </c>
      <c r="Z688" s="276">
        <v>0.93</v>
      </c>
      <c r="AA688" s="276">
        <v>0.93</v>
      </c>
      <c r="AB688" s="266">
        <f t="shared" si="407"/>
        <v>0</v>
      </c>
      <c r="AC688" s="266">
        <f t="shared" si="408"/>
        <v>0</v>
      </c>
      <c r="AD688" s="266">
        <f t="shared" si="409"/>
        <v>0</v>
      </c>
      <c r="AE688" s="266">
        <f t="shared" si="410"/>
        <v>0</v>
      </c>
      <c r="AF688" s="266">
        <f t="shared" si="411"/>
        <v>0</v>
      </c>
      <c r="AG688" s="274">
        <v>0.93</v>
      </c>
      <c r="AH688" s="274">
        <v>0.93</v>
      </c>
      <c r="AI688" s="274">
        <v>0.93</v>
      </c>
      <c r="AJ688" s="274">
        <v>0.93</v>
      </c>
      <c r="AK688" s="274">
        <f t="shared" si="412"/>
        <v>0.93</v>
      </c>
      <c r="AL688" s="274">
        <f t="shared" si="413"/>
        <v>0.93</v>
      </c>
      <c r="AM688" s="274">
        <f t="shared" si="414"/>
        <v>0.93</v>
      </c>
      <c r="AN688" s="274">
        <f t="shared" si="415"/>
        <v>0.93</v>
      </c>
      <c r="AO688" s="262"/>
      <c r="AP688" s="262"/>
      <c r="AQ688" s="267">
        <v>139.65886152562348</v>
      </c>
      <c r="AR688" s="262"/>
      <c r="AS688" s="266">
        <f t="shared" si="416"/>
        <v>0</v>
      </c>
      <c r="AT688" s="264">
        <f t="shared" si="417"/>
        <v>0</v>
      </c>
      <c r="AU688" s="262"/>
      <c r="AV688" s="262"/>
      <c r="AW688" s="265">
        <v>139.65886152562348</v>
      </c>
      <c r="AX688" s="164" t="s">
        <v>1469</v>
      </c>
      <c r="AY688" s="266">
        <v>0</v>
      </c>
      <c r="AZ688" s="266">
        <f t="shared" si="418"/>
        <v>0</v>
      </c>
      <c r="BA688" s="264">
        <f t="shared" si="419"/>
        <v>0</v>
      </c>
      <c r="BB688" s="262"/>
      <c r="BC688" s="262"/>
      <c r="BD688" s="265">
        <f ca="1">IFERROR(INDEX(Algorithms!$G:$G,MATCH($C688&amp;"_Therm Saved per Unit",Algorithms!$A:$A,0)),0)</f>
        <v>139.65886152562348</v>
      </c>
      <c r="BE688" s="164" t="str">
        <f ca="1">IFERROR(INDEX('v12 Revisions'!$P$29:$P$186, MATCH('Measure-Level Adj Gas'!$L688, 'v12 Revisions'!$D$29:$D$186,0)),"")</f>
        <v>n/a - language only.</v>
      </c>
      <c r="BF688" s="266">
        <f t="shared" ca="1" si="420"/>
        <v>0</v>
      </c>
      <c r="BG688" s="264">
        <f t="shared" ca="1" si="421"/>
        <v>0</v>
      </c>
      <c r="BH688" s="262"/>
      <c r="BI688" s="262"/>
      <c r="BJ688" s="265">
        <f ca="1">IFERROR(INDEX(Algorithms!$G:$G,MATCH($C688&amp;"_Therm Saved per Unit",Algorithms!$A:$A,0)),0)</f>
        <v>139.65886152562348</v>
      </c>
      <c r="BK688" s="164"/>
      <c r="BL688" s="266">
        <f t="shared" ca="1" si="422"/>
        <v>0</v>
      </c>
      <c r="BM688" s="264">
        <f t="shared" ca="1" si="423"/>
        <v>0</v>
      </c>
      <c r="BN688" s="266">
        <f t="shared" si="424"/>
        <v>0</v>
      </c>
      <c r="BO688" s="266">
        <f t="shared" si="425"/>
        <v>0</v>
      </c>
      <c r="BP688" s="266">
        <f t="shared" ca="1" si="426"/>
        <v>0</v>
      </c>
      <c r="BQ688" s="266">
        <f t="shared" ca="1" si="427"/>
        <v>0</v>
      </c>
      <c r="BR688" s="268">
        <f t="shared" ca="1" si="428"/>
        <v>0</v>
      </c>
      <c r="BS688" s="262" t="s">
        <v>99</v>
      </c>
      <c r="BT688" s="277"/>
      <c r="BW688" s="266">
        <f t="shared" si="429"/>
        <v>0</v>
      </c>
      <c r="BX688" s="266">
        <f t="shared" si="430"/>
        <v>0</v>
      </c>
      <c r="BY688" s="266">
        <f t="shared" si="431"/>
        <v>0</v>
      </c>
      <c r="BZ688" s="266">
        <f t="shared" si="432"/>
        <v>0</v>
      </c>
      <c r="CA688" s="266">
        <f ca="1">N688*IFERROR(INDEX(Algorithms!$G:$G,MATCH($C688&amp;"_Therm Saved per Unit- MLA",Algorithms!$A:$A,0)),0)*X688</f>
        <v>0</v>
      </c>
      <c r="CB688" s="266">
        <f ca="1">O688*IFERROR(INDEX(Algorithms!$G:$G,MATCH($C688&amp;"_Therm Saved per Unit- MLA",Algorithms!$A:$A,0)),0)*Y688</f>
        <v>0</v>
      </c>
      <c r="CC688" s="266">
        <f ca="1">P688*IFERROR(INDEX(Algorithms!$G:$G,MATCH($C688&amp;"_Therm Saved per Unit- MLA",Algorithms!$A:$A,0)),0)*Z688</f>
        <v>0</v>
      </c>
      <c r="CD688" s="266">
        <f ca="1">Q688*IFERROR(INDEX(Algorithms!$G:$G,MATCH($C688&amp;"_Therm Saved per Unit- MLA",Algorithms!$A:$A,0)),0)*AA688</f>
        <v>0</v>
      </c>
      <c r="CE688" s="266">
        <f ca="1">IFERROR(INDEX(Algorithms!$G:$G,MATCH($C688&amp;"_Lifetime (years)",Algorithms!$A:$A,0)),0)</f>
        <v>15</v>
      </c>
      <c r="CF688" s="266">
        <f ca="1">IFERROR(INDEX(Algorithms!$G:$G,MATCH($C688&amp;"_Lifetime (years) - Remaining Years",Algorithms!$A:$A,0)),0)</f>
        <v>0</v>
      </c>
      <c r="CG688" s="266">
        <f t="shared" ca="1" si="433"/>
        <v>0</v>
      </c>
      <c r="CH688" s="266">
        <f t="shared" ca="1" si="434"/>
        <v>0</v>
      </c>
      <c r="CI688" s="266">
        <f t="shared" ca="1" si="435"/>
        <v>0</v>
      </c>
      <c r="CJ688" s="266">
        <f t="shared" ca="1" si="436"/>
        <v>0</v>
      </c>
      <c r="CK688" s="266">
        <f t="shared" si="437"/>
        <v>0</v>
      </c>
      <c r="CL688" s="266">
        <f t="shared" si="438"/>
        <v>0</v>
      </c>
      <c r="CM688" s="266">
        <f t="shared" ca="1" si="439"/>
        <v>0</v>
      </c>
      <c r="CN688" s="266">
        <f t="shared" ca="1" si="440"/>
        <v>0</v>
      </c>
      <c r="CO688" s="266">
        <f ca="1">N688*IFERROR(INDEX(Algorithms!$G:$G,MATCH($C688&amp;"_Therm Saved per Unit- MLA",Algorithms!$A:$A,0)),0)*X688</f>
        <v>0</v>
      </c>
      <c r="CP688" s="266">
        <f ca="1">O688*IFERROR(INDEX(Algorithms!$G:$G,MATCH($C688&amp;"_Therm Saved per Unit- MLA",Algorithms!$A:$A,0)),0)*Y688</f>
        <v>0</v>
      </c>
      <c r="CQ688" s="266">
        <f ca="1">P688*IFERROR(INDEX(Algorithms!$G:$G,MATCH($C688&amp;"_Therm Saved per Unit- MLA",Algorithms!$A:$A,0)),0)*Z688</f>
        <v>0</v>
      </c>
      <c r="CR688" s="266">
        <f ca="1">Q688*IFERROR(INDEX(Algorithms!$G:$G,MATCH($C688&amp;"_Therm Saved per Unit- MLA",Algorithms!$A:$A,0)),0)*AA688</f>
        <v>0</v>
      </c>
      <c r="CS688" s="266">
        <f ca="1">IFERROR(INDEX(Algorithms!$G:$G,MATCH($C688&amp;"_Lifetime (years)",Algorithms!$A:$A,0)),0)</f>
        <v>15</v>
      </c>
      <c r="CT688" s="266">
        <f ca="1">IFERROR(INDEX(Algorithms!$G:$G,MATCH($C688&amp;"_Lifetime (years) - Remaining Years",Algorithms!$A:$A,0)),0)</f>
        <v>0</v>
      </c>
      <c r="CU688" s="266">
        <f t="shared" ca="1" si="441"/>
        <v>0</v>
      </c>
      <c r="CV688" s="266">
        <f t="shared" ca="1" si="442"/>
        <v>0</v>
      </c>
      <c r="CW688" s="266">
        <f t="shared" ca="1" si="443"/>
        <v>0</v>
      </c>
      <c r="CX688" s="266">
        <f t="shared" ca="1" si="444"/>
        <v>0</v>
      </c>
    </row>
    <row r="689" spans="2:102" s="47" customFormat="1" ht="18" customHeight="1" x14ac:dyDescent="0.25">
      <c r="B689" t="str">
        <f t="shared" si="445"/>
        <v>NSG_Income Eligible_Multi-Family_Whole Building - DI_Advanced Thermostat_Furnace (Replace Manual)_MF</v>
      </c>
      <c r="C689" s="47" t="str">
        <f t="shared" si="406"/>
        <v>Advanced Thermostat_Furnace (Replace Manual)_MF</v>
      </c>
      <c r="D689" s="270" t="s">
        <v>1787</v>
      </c>
      <c r="E689" s="270" t="s">
        <v>325</v>
      </c>
      <c r="F689" s="270" t="s">
        <v>1422</v>
      </c>
      <c r="G689" s="270" t="s">
        <v>1812</v>
      </c>
      <c r="H689" s="270" t="s">
        <v>7</v>
      </c>
      <c r="I689" s="270" t="s">
        <v>1047</v>
      </c>
      <c r="J689" s="270" t="s">
        <v>553</v>
      </c>
      <c r="K689" s="263">
        <v>1</v>
      </c>
      <c r="L689" s="263" t="str">
        <f ca="1">IFERROR(INDEX(Algorithms!J:J,MATCH($C689&amp;"_Therm Saved per Unit",Algorithms!$A:$A,0)),"n/a")</f>
        <v>5.3.16</v>
      </c>
      <c r="M689" s="263" t="str">
        <f>IFERROR(INDEX('Measure Level Detail'!$N:$N,MATCH($B689,'Measure Level Detail'!$B:$B,0)),0)</f>
        <v>each</v>
      </c>
      <c r="N689" s="271">
        <f>IFERROR(INDEX('Measure Level Detail'!$P:$P,MATCH($B689&amp;"_"&amp;N$3,'Measure Level Detail'!$C:$C,0)),0)</f>
        <v>1</v>
      </c>
      <c r="O689" s="271">
        <f>IFERROR(INDEX('Measure Level Detail'!$P:$P,MATCH($B689&amp;"_"&amp;O$3,'Measure Level Detail'!$C:$C,0)),0)</f>
        <v>1</v>
      </c>
      <c r="P689" s="271">
        <f>IFERROR(INDEX('Measure Level Detail'!$P:$P,MATCH($B689&amp;"_"&amp;P$3,'Measure Level Detail'!$C:$C,0)),0)</f>
        <v>1</v>
      </c>
      <c r="Q689" s="271">
        <f>IFERROR(INDEX('Measure Level Detail'!$P:$P,MATCH($B689&amp;"_"&amp;Q$3,'Measure Level Detail'!$C:$C,0)),0)</f>
        <v>1</v>
      </c>
      <c r="R689" s="263" t="str">
        <f ca="1">IFERROR(INDEX(Algorithms!K:K,MATCH($C689&amp;"_Therm Saved per Unit",Algorithms!$A:$A,0)),"n/a")</f>
        <v>RS-HVC-ADTH-V09-240101</v>
      </c>
      <c r="S689" s="262"/>
      <c r="T689" s="272">
        <v>67.938000000000002</v>
      </c>
      <c r="U689" s="272">
        <v>67.938000000000002</v>
      </c>
      <c r="V689" s="272">
        <v>67.938000000000002</v>
      </c>
      <c r="W689" s="272">
        <v>67.938000000000002</v>
      </c>
      <c r="X689" s="273">
        <f>IFERROR(INDEX('Measure Level Detail'!$R:$R,MATCH($B689&amp;"_"&amp;X$3,'Measure Level Detail'!$C:$C,0)),0)</f>
        <v>1</v>
      </c>
      <c r="Y689" s="273">
        <f>IFERROR(INDEX('Measure Level Detail'!$R:$R,MATCH($B689&amp;"_"&amp;Y$3,'Measure Level Detail'!$C:$C,0)),0)</f>
        <v>1</v>
      </c>
      <c r="Z689" s="273">
        <f>IFERROR(INDEX('Measure Level Detail'!$R:$R,MATCH($B689&amp;"_"&amp;Z$3,'Measure Level Detail'!$C:$C,0)),0)</f>
        <v>1</v>
      </c>
      <c r="AA689" s="273">
        <f>IFERROR(INDEX('Measure Level Detail'!$R:$R,MATCH($B689&amp;"_"&amp;AA$3,'Measure Level Detail'!$C:$C,0)),0)</f>
        <v>1</v>
      </c>
      <c r="AB689" s="266">
        <f t="shared" si="407"/>
        <v>67.938000000000002</v>
      </c>
      <c r="AC689" s="266">
        <f t="shared" si="408"/>
        <v>67.938000000000002</v>
      </c>
      <c r="AD689" s="266">
        <f t="shared" si="409"/>
        <v>67.938000000000002</v>
      </c>
      <c r="AE689" s="266">
        <f t="shared" si="410"/>
        <v>67.938000000000002</v>
      </c>
      <c r="AF689" s="266">
        <f t="shared" si="411"/>
        <v>271.75200000000001</v>
      </c>
      <c r="AG689" s="274">
        <v>1</v>
      </c>
      <c r="AH689" s="274">
        <v>1</v>
      </c>
      <c r="AI689" s="274">
        <v>1</v>
      </c>
      <c r="AJ689" s="274">
        <v>1</v>
      </c>
      <c r="AK689" s="274">
        <f t="shared" si="412"/>
        <v>1</v>
      </c>
      <c r="AL689" s="274">
        <f t="shared" si="413"/>
        <v>1</v>
      </c>
      <c r="AM689" s="274">
        <f t="shared" si="414"/>
        <v>1</v>
      </c>
      <c r="AN689" s="274">
        <f t="shared" si="415"/>
        <v>1</v>
      </c>
      <c r="AO689" s="262"/>
      <c r="AP689" s="262"/>
      <c r="AQ689" s="267">
        <v>66.631500000000003</v>
      </c>
      <c r="AR689" s="262"/>
      <c r="AS689" s="266">
        <f t="shared" si="416"/>
        <v>66.631500000000003</v>
      </c>
      <c r="AT689" s="264">
        <f t="shared" si="417"/>
        <v>-1.3064999999999998</v>
      </c>
      <c r="AU689" s="262"/>
      <c r="AV689" s="262"/>
      <c r="AW689" s="265">
        <v>66.631500000000003</v>
      </c>
      <c r="AX689" s="164" t="s">
        <v>1469</v>
      </c>
      <c r="AY689" s="266">
        <v>66.631500000000003</v>
      </c>
      <c r="AZ689" s="266">
        <f t="shared" si="418"/>
        <v>66.631500000000003</v>
      </c>
      <c r="BA689" s="264">
        <f t="shared" si="419"/>
        <v>-1.3064999999999998</v>
      </c>
      <c r="BB689" s="262"/>
      <c r="BC689" s="262"/>
      <c r="BD689" s="265">
        <f ca="1">IFERROR(INDEX(Algorithms!$G:$G,MATCH($C689&amp;"_Therm Saved per Unit",Algorithms!$A:$A,0)),0)</f>
        <v>66.631500000000003</v>
      </c>
      <c r="BE689" s="164" t="str">
        <f ca="1">IFERROR(INDEX('v12 Revisions'!$P$29:$P$186, MATCH('Measure-Level Adj Gas'!$L689, 'v12 Revisions'!$D$29:$D$186,0)),"")</f>
        <v>n/a - FLH not in fossil fuel energy savings algorithm.</v>
      </c>
      <c r="BF689" s="266">
        <f t="shared" ca="1" si="420"/>
        <v>66.631500000000003</v>
      </c>
      <c r="BG689" s="264">
        <f t="shared" ca="1" si="421"/>
        <v>-1.3064999999999998</v>
      </c>
      <c r="BH689" s="262"/>
      <c r="BI689" s="262"/>
      <c r="BJ689" s="265">
        <f ca="1">IFERROR(INDEX(Algorithms!$G:$G,MATCH($C689&amp;"_Therm Saved per Unit",Algorithms!$A:$A,0)),0)</f>
        <v>66.631500000000003</v>
      </c>
      <c r="BK689" s="164"/>
      <c r="BL689" s="266">
        <f t="shared" ca="1" si="422"/>
        <v>66.631500000000003</v>
      </c>
      <c r="BM689" s="264">
        <f t="shared" ca="1" si="423"/>
        <v>-1.3064999999999998</v>
      </c>
      <c r="BN689" s="266">
        <f t="shared" si="424"/>
        <v>66.631500000000003</v>
      </c>
      <c r="BO689" s="266">
        <f t="shared" si="425"/>
        <v>66.631500000000003</v>
      </c>
      <c r="BP689" s="266">
        <f t="shared" ca="1" si="426"/>
        <v>66.631500000000003</v>
      </c>
      <c r="BQ689" s="266">
        <f t="shared" ca="1" si="427"/>
        <v>66.631500000000003</v>
      </c>
      <c r="BR689" s="268">
        <f t="shared" ca="1" si="428"/>
        <v>266.52600000000001</v>
      </c>
      <c r="BS689" s="262" t="s">
        <v>99</v>
      </c>
      <c r="BT689" s="277"/>
      <c r="BW689" s="266">
        <f t="shared" si="429"/>
        <v>67.938000000000002</v>
      </c>
      <c r="BX689" s="266">
        <f t="shared" si="430"/>
        <v>67.938000000000002</v>
      </c>
      <c r="BY689" s="266">
        <f t="shared" si="431"/>
        <v>67.938000000000002</v>
      </c>
      <c r="BZ689" s="266">
        <f t="shared" si="432"/>
        <v>67.938000000000002</v>
      </c>
      <c r="CA689" s="266">
        <f ca="1">N689*IFERROR(INDEX(Algorithms!$G:$G,MATCH($C689&amp;"_Therm Saved per Unit- MLA",Algorithms!$A:$A,0)),0)*X689</f>
        <v>0</v>
      </c>
      <c r="CB689" s="266">
        <f ca="1">O689*IFERROR(INDEX(Algorithms!$G:$G,MATCH($C689&amp;"_Therm Saved per Unit- MLA",Algorithms!$A:$A,0)),0)*Y689</f>
        <v>0</v>
      </c>
      <c r="CC689" s="266">
        <f ca="1">P689*IFERROR(INDEX(Algorithms!$G:$G,MATCH($C689&amp;"_Therm Saved per Unit- MLA",Algorithms!$A:$A,0)),0)*Z689</f>
        <v>0</v>
      </c>
      <c r="CD689" s="266">
        <f ca="1">Q689*IFERROR(INDEX(Algorithms!$G:$G,MATCH($C689&amp;"_Therm Saved per Unit- MLA",Algorithms!$A:$A,0)),0)*AA689</f>
        <v>0</v>
      </c>
      <c r="CE689" s="266">
        <f ca="1">IFERROR(INDEX(Algorithms!$G:$G,MATCH($C689&amp;"_Lifetime (years)",Algorithms!$A:$A,0)),0)</f>
        <v>11</v>
      </c>
      <c r="CF689" s="266">
        <f ca="1">IFERROR(INDEX(Algorithms!$G:$G,MATCH($C689&amp;"_Lifetime (years) - Remaining Years",Algorithms!$A:$A,0)),0)</f>
        <v>0</v>
      </c>
      <c r="CG689" s="266">
        <f t="shared" ca="1" si="433"/>
        <v>747.31799999999998</v>
      </c>
      <c r="CH689" s="266">
        <f t="shared" ca="1" si="434"/>
        <v>747.31799999999998</v>
      </c>
      <c r="CI689" s="266">
        <f t="shared" ca="1" si="435"/>
        <v>747.31799999999998</v>
      </c>
      <c r="CJ689" s="266">
        <f t="shared" ca="1" si="436"/>
        <v>747.31799999999998</v>
      </c>
      <c r="CK689" s="266">
        <f t="shared" si="437"/>
        <v>66.631500000000003</v>
      </c>
      <c r="CL689" s="266">
        <f t="shared" si="438"/>
        <v>66.631500000000003</v>
      </c>
      <c r="CM689" s="266">
        <f t="shared" ca="1" si="439"/>
        <v>66.631500000000003</v>
      </c>
      <c r="CN689" s="266">
        <f t="shared" ca="1" si="440"/>
        <v>66.631500000000003</v>
      </c>
      <c r="CO689" s="266">
        <f ca="1">N689*IFERROR(INDEX(Algorithms!$G:$G,MATCH($C689&amp;"_Therm Saved per Unit- MLA",Algorithms!$A:$A,0)),0)*X689</f>
        <v>0</v>
      </c>
      <c r="CP689" s="266">
        <f ca="1">O689*IFERROR(INDEX(Algorithms!$G:$G,MATCH($C689&amp;"_Therm Saved per Unit- MLA",Algorithms!$A:$A,0)),0)*Y689</f>
        <v>0</v>
      </c>
      <c r="CQ689" s="266">
        <f ca="1">P689*IFERROR(INDEX(Algorithms!$G:$G,MATCH($C689&amp;"_Therm Saved per Unit- MLA",Algorithms!$A:$A,0)),0)*Z689</f>
        <v>0</v>
      </c>
      <c r="CR689" s="266">
        <f ca="1">Q689*IFERROR(INDEX(Algorithms!$G:$G,MATCH($C689&amp;"_Therm Saved per Unit- MLA",Algorithms!$A:$A,0)),0)*AA689</f>
        <v>0</v>
      </c>
      <c r="CS689" s="266">
        <f ca="1">IFERROR(INDEX(Algorithms!$G:$G,MATCH($C689&amp;"_Lifetime (years)",Algorithms!$A:$A,0)),0)</f>
        <v>11</v>
      </c>
      <c r="CT689" s="266">
        <f ca="1">IFERROR(INDEX(Algorithms!$G:$G,MATCH($C689&amp;"_Lifetime (years) - Remaining Years",Algorithms!$A:$A,0)),0)</f>
        <v>0</v>
      </c>
      <c r="CU689" s="266">
        <f t="shared" ca="1" si="441"/>
        <v>732.94650000000001</v>
      </c>
      <c r="CV689" s="266">
        <f t="shared" ca="1" si="442"/>
        <v>732.94650000000001</v>
      </c>
      <c r="CW689" s="266">
        <f t="shared" ca="1" si="443"/>
        <v>732.94650000000001</v>
      </c>
      <c r="CX689" s="266">
        <f t="shared" ca="1" si="444"/>
        <v>732.94650000000001</v>
      </c>
    </row>
    <row r="690" spans="2:102" s="47" customFormat="1" ht="18" customHeight="1" x14ac:dyDescent="0.25">
      <c r="B690" t="str">
        <f t="shared" si="445"/>
        <v>NSG_Residential_Multi-Family_Partner Trade Ally Rebate_Advanced Thermostat_Furnace (Replace Unknown)_MF</v>
      </c>
      <c r="C690" s="47" t="str">
        <f t="shared" si="406"/>
        <v>Advanced Thermostat_Furnace (Replace Unknown)_MF</v>
      </c>
      <c r="D690" s="270" t="s">
        <v>1787</v>
      </c>
      <c r="E690" s="270" t="s">
        <v>2</v>
      </c>
      <c r="F690" s="270" t="s">
        <v>1422</v>
      </c>
      <c r="G690" s="270" t="s">
        <v>1799</v>
      </c>
      <c r="H690" s="270" t="s">
        <v>7</v>
      </c>
      <c r="I690" s="270" t="s">
        <v>1050</v>
      </c>
      <c r="J690" s="270" t="s">
        <v>553</v>
      </c>
      <c r="K690" s="263">
        <v>1</v>
      </c>
      <c r="L690" s="263" t="str">
        <f ca="1">IFERROR(INDEX(Algorithms!J:J,MATCH($C690&amp;"_Therm Saved per Unit",Algorithms!$A:$A,0)),"n/a")</f>
        <v>5.3.16</v>
      </c>
      <c r="M690" s="263" t="str">
        <f>IFERROR(INDEX('Measure Level Detail'!$N:$N,MATCH($B690,'Measure Level Detail'!$B:$B,0)),0)</f>
        <v>each</v>
      </c>
      <c r="N690" s="271">
        <f>IFERROR(INDEX('Measure Level Detail'!$P:$P,MATCH($B690&amp;"_"&amp;N$3,'Measure Level Detail'!$C:$C,0)),0)</f>
        <v>4</v>
      </c>
      <c r="O690" s="271">
        <f>IFERROR(INDEX('Measure Level Detail'!$P:$P,MATCH($B690&amp;"_"&amp;O$3,'Measure Level Detail'!$C:$C,0)),0)</f>
        <v>4</v>
      </c>
      <c r="P690" s="271">
        <f>IFERROR(INDEX('Measure Level Detail'!$P:$P,MATCH($B690&amp;"_"&amp;P$3,'Measure Level Detail'!$C:$C,0)),0)</f>
        <v>4</v>
      </c>
      <c r="Q690" s="271">
        <f>IFERROR(INDEX('Measure Level Detail'!$P:$P,MATCH($B690&amp;"_"&amp;Q$3,'Measure Level Detail'!$C:$C,0)),0)</f>
        <v>4</v>
      </c>
      <c r="R690" s="263" t="str">
        <f ca="1">IFERROR(INDEX(Algorithms!K:K,MATCH($C690&amp;"_Therm Saved per Unit",Algorithms!$A:$A,0)),"n/a")</f>
        <v>RS-HVC-ADTH-V09-240101</v>
      </c>
      <c r="S690" s="262"/>
      <c r="T690" s="272">
        <v>56.179499999999997</v>
      </c>
      <c r="U690" s="272">
        <v>56.179499999999997</v>
      </c>
      <c r="V690" s="272">
        <v>56.179499999999997</v>
      </c>
      <c r="W690" s="272">
        <v>56.179499999999997</v>
      </c>
      <c r="X690" s="275">
        <v>0.9</v>
      </c>
      <c r="Y690" s="275">
        <v>0.9</v>
      </c>
      <c r="Z690" s="275">
        <v>0.9</v>
      </c>
      <c r="AA690" s="275">
        <v>0.9</v>
      </c>
      <c r="AB690" s="266">
        <f t="shared" si="407"/>
        <v>202.24619999999999</v>
      </c>
      <c r="AC690" s="266">
        <f t="shared" si="408"/>
        <v>202.24619999999999</v>
      </c>
      <c r="AD690" s="266">
        <f t="shared" si="409"/>
        <v>202.24619999999999</v>
      </c>
      <c r="AE690" s="266">
        <f t="shared" si="410"/>
        <v>202.24619999999999</v>
      </c>
      <c r="AF690" s="266">
        <f t="shared" si="411"/>
        <v>808.98479999999995</v>
      </c>
      <c r="AG690" s="274">
        <v>0.9</v>
      </c>
      <c r="AH690" s="274">
        <v>0.9</v>
      </c>
      <c r="AI690" s="710">
        <v>0.88</v>
      </c>
      <c r="AJ690" s="710">
        <v>0.88</v>
      </c>
      <c r="AK690" s="274">
        <f t="shared" si="412"/>
        <v>0.9</v>
      </c>
      <c r="AL690" s="274">
        <f t="shared" si="413"/>
        <v>0.9</v>
      </c>
      <c r="AM690" s="274">
        <f t="shared" si="414"/>
        <v>0.9</v>
      </c>
      <c r="AN690" s="274">
        <f t="shared" si="415"/>
        <v>0.9</v>
      </c>
      <c r="AO690" s="262"/>
      <c r="AP690" s="262"/>
      <c r="AQ690" s="267">
        <v>55.526250000000012</v>
      </c>
      <c r="AR690" s="262"/>
      <c r="AS690" s="266">
        <f t="shared" si="416"/>
        <v>199.89450000000005</v>
      </c>
      <c r="AT690" s="264">
        <f t="shared" si="417"/>
        <v>-2.3516999999999371</v>
      </c>
      <c r="AU690" s="262"/>
      <c r="AV690" s="262"/>
      <c r="AW690" s="265">
        <v>55.526250000000012</v>
      </c>
      <c r="AX690" s="164" t="s">
        <v>1469</v>
      </c>
      <c r="AY690" s="266">
        <v>199.89450000000005</v>
      </c>
      <c r="AZ690" s="266">
        <f t="shared" si="418"/>
        <v>199.89450000000005</v>
      </c>
      <c r="BA690" s="264">
        <f t="shared" si="419"/>
        <v>-2.3516999999999371</v>
      </c>
      <c r="BB690" s="262"/>
      <c r="BC690" s="262"/>
      <c r="BD690" s="265">
        <f ca="1">IFERROR(INDEX(Algorithms!$G:$G,MATCH($C690&amp;"_Therm Saved per Unit",Algorithms!$A:$A,0)),0)</f>
        <v>55.526250000000012</v>
      </c>
      <c r="BE690" s="164" t="str">
        <f ca="1">IFERROR(INDEX('v12 Revisions'!$P$29:$P$186, MATCH('Measure-Level Adj Gas'!$L690, 'v12 Revisions'!$D$29:$D$186,0)),"")</f>
        <v>n/a - FLH not in fossil fuel energy savings algorithm.</v>
      </c>
      <c r="BF690" s="266">
        <f t="shared" ca="1" si="420"/>
        <v>199.89450000000005</v>
      </c>
      <c r="BG690" s="264">
        <f t="shared" ca="1" si="421"/>
        <v>-2.3516999999999371</v>
      </c>
      <c r="BH690" s="262"/>
      <c r="BI690" s="262"/>
      <c r="BJ690" s="265">
        <f ca="1">IFERROR(INDEX(Algorithms!$G:$G,MATCH($C690&amp;"_Therm Saved per Unit",Algorithms!$A:$A,0)),0)</f>
        <v>55.526250000000012</v>
      </c>
      <c r="BK690" s="164"/>
      <c r="BL690" s="266">
        <f t="shared" ca="1" si="422"/>
        <v>199.89450000000005</v>
      </c>
      <c r="BM690" s="264">
        <f t="shared" ca="1" si="423"/>
        <v>-2.3516999999999371</v>
      </c>
      <c r="BN690" s="266">
        <f t="shared" si="424"/>
        <v>199.89450000000005</v>
      </c>
      <c r="BO690" s="266">
        <f t="shared" si="425"/>
        <v>199.89450000000005</v>
      </c>
      <c r="BP690" s="266">
        <f t="shared" ca="1" si="426"/>
        <v>199.89450000000005</v>
      </c>
      <c r="BQ690" s="266">
        <f t="shared" ca="1" si="427"/>
        <v>199.89450000000005</v>
      </c>
      <c r="BR690" s="268">
        <f t="shared" ca="1" si="428"/>
        <v>799.5780000000002</v>
      </c>
      <c r="BS690" s="262" t="s">
        <v>99</v>
      </c>
      <c r="BT690" s="277"/>
      <c r="BW690" s="266">
        <f t="shared" si="429"/>
        <v>202.24619999999999</v>
      </c>
      <c r="BX690" s="266">
        <f t="shared" si="430"/>
        <v>202.24619999999999</v>
      </c>
      <c r="BY690" s="266">
        <f t="shared" si="431"/>
        <v>202.24619999999999</v>
      </c>
      <c r="BZ690" s="266">
        <f t="shared" si="432"/>
        <v>202.24619999999999</v>
      </c>
      <c r="CA690" s="266">
        <f ca="1">N690*IFERROR(INDEX(Algorithms!$G:$G,MATCH($C690&amp;"_Therm Saved per Unit- MLA",Algorithms!$A:$A,0)),0)*X690</f>
        <v>0</v>
      </c>
      <c r="CB690" s="266">
        <f ca="1">O690*IFERROR(INDEX(Algorithms!$G:$G,MATCH($C690&amp;"_Therm Saved per Unit- MLA",Algorithms!$A:$A,0)),0)*Y690</f>
        <v>0</v>
      </c>
      <c r="CC690" s="266">
        <f ca="1">P690*IFERROR(INDEX(Algorithms!$G:$G,MATCH($C690&amp;"_Therm Saved per Unit- MLA",Algorithms!$A:$A,0)),0)*Z690</f>
        <v>0</v>
      </c>
      <c r="CD690" s="266">
        <f ca="1">Q690*IFERROR(INDEX(Algorithms!$G:$G,MATCH($C690&amp;"_Therm Saved per Unit- MLA",Algorithms!$A:$A,0)),0)*AA690</f>
        <v>0</v>
      </c>
      <c r="CE690" s="266">
        <f ca="1">IFERROR(INDEX(Algorithms!$G:$G,MATCH($C690&amp;"_Lifetime (years)",Algorithms!$A:$A,0)),0)</f>
        <v>11</v>
      </c>
      <c r="CF690" s="266">
        <f ca="1">IFERROR(INDEX(Algorithms!$G:$G,MATCH($C690&amp;"_Lifetime (years) - Remaining Years",Algorithms!$A:$A,0)),0)</f>
        <v>0</v>
      </c>
      <c r="CG690" s="266">
        <f t="shared" ca="1" si="433"/>
        <v>2224.7082</v>
      </c>
      <c r="CH690" s="266">
        <f t="shared" ca="1" si="434"/>
        <v>2224.7082</v>
      </c>
      <c r="CI690" s="266">
        <f t="shared" ca="1" si="435"/>
        <v>2224.7082</v>
      </c>
      <c r="CJ690" s="266">
        <f t="shared" ca="1" si="436"/>
        <v>2224.7082</v>
      </c>
      <c r="CK690" s="266">
        <f t="shared" si="437"/>
        <v>199.89450000000005</v>
      </c>
      <c r="CL690" s="266">
        <f t="shared" si="438"/>
        <v>199.89450000000005</v>
      </c>
      <c r="CM690" s="266">
        <f t="shared" ca="1" si="439"/>
        <v>199.89450000000005</v>
      </c>
      <c r="CN690" s="266">
        <f t="shared" ca="1" si="440"/>
        <v>199.89450000000005</v>
      </c>
      <c r="CO690" s="266">
        <f ca="1">N690*IFERROR(INDEX(Algorithms!$G:$G,MATCH($C690&amp;"_Therm Saved per Unit- MLA",Algorithms!$A:$A,0)),0)*X690</f>
        <v>0</v>
      </c>
      <c r="CP690" s="266">
        <f ca="1">O690*IFERROR(INDEX(Algorithms!$G:$G,MATCH($C690&amp;"_Therm Saved per Unit- MLA",Algorithms!$A:$A,0)),0)*Y690</f>
        <v>0</v>
      </c>
      <c r="CQ690" s="266">
        <f ca="1">P690*IFERROR(INDEX(Algorithms!$G:$G,MATCH($C690&amp;"_Therm Saved per Unit- MLA",Algorithms!$A:$A,0)),0)*Z690</f>
        <v>0</v>
      </c>
      <c r="CR690" s="266">
        <f ca="1">Q690*IFERROR(INDEX(Algorithms!$G:$G,MATCH($C690&amp;"_Therm Saved per Unit- MLA",Algorithms!$A:$A,0)),0)*AA690</f>
        <v>0</v>
      </c>
      <c r="CS690" s="266">
        <f ca="1">IFERROR(INDEX(Algorithms!$G:$G,MATCH($C690&amp;"_Lifetime (years)",Algorithms!$A:$A,0)),0)</f>
        <v>11</v>
      </c>
      <c r="CT690" s="266">
        <f ca="1">IFERROR(INDEX(Algorithms!$G:$G,MATCH($C690&amp;"_Lifetime (years) - Remaining Years",Algorithms!$A:$A,0)),0)</f>
        <v>0</v>
      </c>
      <c r="CU690" s="266">
        <f t="shared" ca="1" si="441"/>
        <v>2198.8395000000005</v>
      </c>
      <c r="CV690" s="266">
        <f t="shared" ca="1" si="442"/>
        <v>2198.8395000000005</v>
      </c>
      <c r="CW690" s="266">
        <f t="shared" ca="1" si="443"/>
        <v>2198.8395000000005</v>
      </c>
      <c r="CX690" s="266">
        <f t="shared" ca="1" si="444"/>
        <v>2198.8395000000005</v>
      </c>
    </row>
    <row r="691" spans="2:102" s="47" customFormat="1" ht="18" customHeight="1" x14ac:dyDescent="0.25">
      <c r="B691" t="str">
        <f t="shared" si="445"/>
        <v>NSG_Income Eligible_Home Energy Jumpstart_Core_Advanced Thermostat_Furnace (Replace Manual)_SF</v>
      </c>
      <c r="C691" s="47" t="str">
        <f t="shared" si="406"/>
        <v>Advanced Thermostat_Furnace (Replace Manual)_SF</v>
      </c>
      <c r="D691" s="270" t="s">
        <v>1787</v>
      </c>
      <c r="E691" s="270" t="s">
        <v>325</v>
      </c>
      <c r="F691" s="270" t="s">
        <v>1414</v>
      </c>
      <c r="G691" s="270" t="s">
        <v>1415</v>
      </c>
      <c r="H691" s="270" t="s">
        <v>7</v>
      </c>
      <c r="I691" s="270" t="s">
        <v>1047</v>
      </c>
      <c r="J691" s="270" t="s">
        <v>409</v>
      </c>
      <c r="K691" s="263">
        <v>1</v>
      </c>
      <c r="L691" s="263" t="str">
        <f ca="1">IFERROR(INDEX(Algorithms!J:J,MATCH($C691&amp;"_Therm Saved per Unit",Algorithms!$A:$A,0)),"n/a")</f>
        <v>5.3.16</v>
      </c>
      <c r="M691" s="263" t="str">
        <f>IFERROR(INDEX('Measure Level Detail'!$N:$N,MATCH($B691,'Measure Level Detail'!$B:$B,0)),0)</f>
        <v>Each</v>
      </c>
      <c r="N691" s="271">
        <f>IFERROR(INDEX('Measure Level Detail'!$P:$P,MATCH($B691&amp;"_"&amp;N$3,'Measure Level Detail'!$C:$C,0)),0)</f>
        <v>2</v>
      </c>
      <c r="O691" s="271">
        <f>IFERROR(INDEX('Measure Level Detail'!$P:$P,MATCH($B691&amp;"_"&amp;O$3,'Measure Level Detail'!$C:$C,0)),0)</f>
        <v>4</v>
      </c>
      <c r="P691" s="271">
        <f>IFERROR(INDEX('Measure Level Detail'!$P:$P,MATCH($B691&amp;"_"&amp;P$3,'Measure Level Detail'!$C:$C,0)),0)</f>
        <v>8</v>
      </c>
      <c r="Q691" s="271">
        <f>IFERROR(INDEX('Measure Level Detail'!$P:$P,MATCH($B691&amp;"_"&amp;Q$3,'Measure Level Detail'!$C:$C,0)),0)</f>
        <v>9</v>
      </c>
      <c r="R691" s="263" t="str">
        <f ca="1">IFERROR(INDEX(Algorithms!K:K,MATCH($C691&amp;"_Therm Saved per Unit",Algorithms!$A:$A,0)),"n/a")</f>
        <v>RS-HVC-ADTH-V09-240101</v>
      </c>
      <c r="S691" s="262"/>
      <c r="T691" s="272">
        <v>104.52</v>
      </c>
      <c r="U691" s="272">
        <v>104.52</v>
      </c>
      <c r="V691" s="272">
        <v>104.52</v>
      </c>
      <c r="W691" s="272">
        <v>104.52</v>
      </c>
      <c r="X691" s="273">
        <f>IFERROR(INDEX('Measure Level Detail'!$R:$R,MATCH($B691&amp;"_"&amp;X$3,'Measure Level Detail'!$C:$C,0)),0)</f>
        <v>1</v>
      </c>
      <c r="Y691" s="273">
        <f>IFERROR(INDEX('Measure Level Detail'!$R:$R,MATCH($B691&amp;"_"&amp;Y$3,'Measure Level Detail'!$C:$C,0)),0)</f>
        <v>1</v>
      </c>
      <c r="Z691" s="273">
        <f>IFERROR(INDEX('Measure Level Detail'!$R:$R,MATCH($B691&amp;"_"&amp;Z$3,'Measure Level Detail'!$C:$C,0)),0)</f>
        <v>1</v>
      </c>
      <c r="AA691" s="273">
        <f>IFERROR(INDEX('Measure Level Detail'!$R:$R,MATCH($B691&amp;"_"&amp;AA$3,'Measure Level Detail'!$C:$C,0)),0)</f>
        <v>1</v>
      </c>
      <c r="AB691" s="266">
        <f t="shared" si="407"/>
        <v>209.04</v>
      </c>
      <c r="AC691" s="266">
        <f t="shared" si="408"/>
        <v>418.08</v>
      </c>
      <c r="AD691" s="266">
        <f t="shared" si="409"/>
        <v>836.16</v>
      </c>
      <c r="AE691" s="266">
        <f t="shared" si="410"/>
        <v>940.68</v>
      </c>
      <c r="AF691" s="266">
        <f t="shared" si="411"/>
        <v>2403.96</v>
      </c>
      <c r="AG691" s="274">
        <v>1</v>
      </c>
      <c r="AH691" s="274">
        <v>1</v>
      </c>
      <c r="AI691" s="274">
        <v>1</v>
      </c>
      <c r="AJ691" s="274">
        <v>1</v>
      </c>
      <c r="AK691" s="274">
        <f t="shared" si="412"/>
        <v>1</v>
      </c>
      <c r="AL691" s="274">
        <f t="shared" si="413"/>
        <v>1</v>
      </c>
      <c r="AM691" s="274">
        <f t="shared" si="414"/>
        <v>1</v>
      </c>
      <c r="AN691" s="274">
        <f t="shared" si="415"/>
        <v>1</v>
      </c>
      <c r="AO691" s="262"/>
      <c r="AP691" s="262"/>
      <c r="AQ691" s="267">
        <v>102.50999999999999</v>
      </c>
      <c r="AR691" s="262"/>
      <c r="AS691" s="266">
        <f t="shared" si="416"/>
        <v>205.01999999999998</v>
      </c>
      <c r="AT691" s="264">
        <f t="shared" si="417"/>
        <v>-4.0200000000000102</v>
      </c>
      <c r="AU691" s="262"/>
      <c r="AV691" s="262"/>
      <c r="AW691" s="265">
        <v>102.50999999999999</v>
      </c>
      <c r="AX691" s="164" t="s">
        <v>1469</v>
      </c>
      <c r="AY691" s="266">
        <v>410.03999999999996</v>
      </c>
      <c r="AZ691" s="266">
        <f t="shared" si="418"/>
        <v>410.03999999999996</v>
      </c>
      <c r="BA691" s="264">
        <f t="shared" si="419"/>
        <v>-8.0400000000000205</v>
      </c>
      <c r="BB691" s="262"/>
      <c r="BC691" s="262"/>
      <c r="BD691" s="265">
        <f ca="1">IFERROR(INDEX(Algorithms!$G:$G,MATCH($C691&amp;"_Therm Saved per Unit",Algorithms!$A:$A,0)),0)</f>
        <v>102.50999999999999</v>
      </c>
      <c r="BE691" s="164" t="str">
        <f ca="1">IFERROR(INDEX('v12 Revisions'!$P$29:$P$186, MATCH('Measure-Level Adj Gas'!$L691, 'v12 Revisions'!$D$29:$D$186,0)),"")</f>
        <v>n/a - FLH not in fossil fuel energy savings algorithm.</v>
      </c>
      <c r="BF691" s="266">
        <f t="shared" ca="1" si="420"/>
        <v>820.07999999999993</v>
      </c>
      <c r="BG691" s="264">
        <f t="shared" ca="1" si="421"/>
        <v>-16.080000000000041</v>
      </c>
      <c r="BH691" s="262"/>
      <c r="BI691" s="262"/>
      <c r="BJ691" s="265">
        <f ca="1">IFERROR(INDEX(Algorithms!$G:$G,MATCH($C691&amp;"_Therm Saved per Unit",Algorithms!$A:$A,0)),0)</f>
        <v>102.50999999999999</v>
      </c>
      <c r="BK691" s="164"/>
      <c r="BL691" s="266">
        <f t="shared" ca="1" si="422"/>
        <v>922.58999999999992</v>
      </c>
      <c r="BM691" s="264">
        <f t="shared" ca="1" si="423"/>
        <v>-18.090000000000032</v>
      </c>
      <c r="BN691" s="266">
        <f t="shared" si="424"/>
        <v>205.01999999999998</v>
      </c>
      <c r="BO691" s="266">
        <f t="shared" si="425"/>
        <v>410.03999999999996</v>
      </c>
      <c r="BP691" s="266">
        <f t="shared" ca="1" si="426"/>
        <v>820.07999999999993</v>
      </c>
      <c r="BQ691" s="266">
        <f t="shared" ca="1" si="427"/>
        <v>922.58999999999992</v>
      </c>
      <c r="BR691" s="268">
        <f t="shared" ca="1" si="428"/>
        <v>2357.7299999999996</v>
      </c>
      <c r="BS691" s="262" t="s">
        <v>99</v>
      </c>
      <c r="BT691" s="277"/>
      <c r="BW691" s="266">
        <f t="shared" si="429"/>
        <v>209.04</v>
      </c>
      <c r="BX691" s="266">
        <f t="shared" si="430"/>
        <v>418.08</v>
      </c>
      <c r="BY691" s="266">
        <f t="shared" si="431"/>
        <v>836.16</v>
      </c>
      <c r="BZ691" s="266">
        <f t="shared" si="432"/>
        <v>940.68</v>
      </c>
      <c r="CA691" s="266">
        <f ca="1">N691*IFERROR(INDEX(Algorithms!$G:$G,MATCH($C691&amp;"_Therm Saved per Unit- MLA",Algorithms!$A:$A,0)),0)*X691</f>
        <v>0</v>
      </c>
      <c r="CB691" s="266">
        <f ca="1">O691*IFERROR(INDEX(Algorithms!$G:$G,MATCH($C691&amp;"_Therm Saved per Unit- MLA",Algorithms!$A:$A,0)),0)*Y691</f>
        <v>0</v>
      </c>
      <c r="CC691" s="266">
        <f ca="1">P691*IFERROR(INDEX(Algorithms!$G:$G,MATCH($C691&amp;"_Therm Saved per Unit- MLA",Algorithms!$A:$A,0)),0)*Z691</f>
        <v>0</v>
      </c>
      <c r="CD691" s="266">
        <f ca="1">Q691*IFERROR(INDEX(Algorithms!$G:$G,MATCH($C691&amp;"_Therm Saved per Unit- MLA",Algorithms!$A:$A,0)),0)*AA691</f>
        <v>0</v>
      </c>
      <c r="CE691" s="266">
        <f ca="1">IFERROR(INDEX(Algorithms!$G:$G,MATCH($C691&amp;"_Lifetime (years)",Algorithms!$A:$A,0)),0)</f>
        <v>11</v>
      </c>
      <c r="CF691" s="266">
        <f ca="1">IFERROR(INDEX(Algorithms!$G:$G,MATCH($C691&amp;"_Lifetime (years) - Remaining Years",Algorithms!$A:$A,0)),0)</f>
        <v>0</v>
      </c>
      <c r="CG691" s="266">
        <f t="shared" ca="1" si="433"/>
        <v>2299.44</v>
      </c>
      <c r="CH691" s="266">
        <f t="shared" ca="1" si="434"/>
        <v>4598.88</v>
      </c>
      <c r="CI691" s="266">
        <f t="shared" ca="1" si="435"/>
        <v>9197.76</v>
      </c>
      <c r="CJ691" s="266">
        <f t="shared" ca="1" si="436"/>
        <v>10347.48</v>
      </c>
      <c r="CK691" s="266">
        <f t="shared" si="437"/>
        <v>205.01999999999998</v>
      </c>
      <c r="CL691" s="266">
        <f t="shared" si="438"/>
        <v>410.03999999999996</v>
      </c>
      <c r="CM691" s="266">
        <f t="shared" ca="1" si="439"/>
        <v>820.07999999999993</v>
      </c>
      <c r="CN691" s="266">
        <f t="shared" ca="1" si="440"/>
        <v>922.58999999999992</v>
      </c>
      <c r="CO691" s="266">
        <f ca="1">N691*IFERROR(INDEX(Algorithms!$G:$G,MATCH($C691&amp;"_Therm Saved per Unit- MLA",Algorithms!$A:$A,0)),0)*X691</f>
        <v>0</v>
      </c>
      <c r="CP691" s="266">
        <f ca="1">O691*IFERROR(INDEX(Algorithms!$G:$G,MATCH($C691&amp;"_Therm Saved per Unit- MLA",Algorithms!$A:$A,0)),0)*Y691</f>
        <v>0</v>
      </c>
      <c r="CQ691" s="266">
        <f ca="1">P691*IFERROR(INDEX(Algorithms!$G:$G,MATCH($C691&amp;"_Therm Saved per Unit- MLA",Algorithms!$A:$A,0)),0)*Z691</f>
        <v>0</v>
      </c>
      <c r="CR691" s="266">
        <f ca="1">Q691*IFERROR(INDEX(Algorithms!$G:$G,MATCH($C691&amp;"_Therm Saved per Unit- MLA",Algorithms!$A:$A,0)),0)*AA691</f>
        <v>0</v>
      </c>
      <c r="CS691" s="266">
        <f ca="1">IFERROR(INDEX(Algorithms!$G:$G,MATCH($C691&amp;"_Lifetime (years)",Algorithms!$A:$A,0)),0)</f>
        <v>11</v>
      </c>
      <c r="CT691" s="266">
        <f ca="1">IFERROR(INDEX(Algorithms!$G:$G,MATCH($C691&amp;"_Lifetime (years) - Remaining Years",Algorithms!$A:$A,0)),0)</f>
        <v>0</v>
      </c>
      <c r="CU691" s="266">
        <f t="shared" ca="1" si="441"/>
        <v>2255.2199999999998</v>
      </c>
      <c r="CV691" s="266">
        <f t="shared" ca="1" si="442"/>
        <v>4510.4399999999996</v>
      </c>
      <c r="CW691" s="266">
        <f t="shared" ca="1" si="443"/>
        <v>9020.8799999999992</v>
      </c>
      <c r="CX691" s="266">
        <f t="shared" ca="1" si="444"/>
        <v>10148.49</v>
      </c>
    </row>
    <row r="692" spans="2:102" s="47" customFormat="1" ht="18" customHeight="1" x14ac:dyDescent="0.25">
      <c r="B692" t="str">
        <f t="shared" si="445"/>
        <v>NSG_Income Eligible_Multi-Family_MF IHWAP_Advanced Thermostat_Boiler (Replace Programmable)_MF</v>
      </c>
      <c r="C692" s="47" t="str">
        <f t="shared" si="406"/>
        <v>Advanced Thermostat_Boiler (Replace Programmable)_MF</v>
      </c>
      <c r="D692" s="270" t="s">
        <v>1787</v>
      </c>
      <c r="E692" s="270" t="s">
        <v>325</v>
      </c>
      <c r="F692" s="270" t="s">
        <v>1422</v>
      </c>
      <c r="G692" s="270" t="s">
        <v>1441</v>
      </c>
      <c r="H692" s="270" t="s">
        <v>7</v>
      </c>
      <c r="I692" s="270" t="s">
        <v>1052</v>
      </c>
      <c r="J692" s="270" t="s">
        <v>553</v>
      </c>
      <c r="K692" s="263">
        <v>1</v>
      </c>
      <c r="L692" s="263" t="str">
        <f ca="1">IFERROR(INDEX(Algorithms!J:J,MATCH($C692&amp;"_Therm Saved per Unit",Algorithms!$A:$A,0)),"n/a")</f>
        <v>5.3.16</v>
      </c>
      <c r="M692" s="263" t="str">
        <f>IFERROR(INDEX('Measure Level Detail'!$N:$N,MATCH($B692,'Measure Level Detail'!$B:$B,0)),0)</f>
        <v>each</v>
      </c>
      <c r="N692" s="271">
        <f>IFERROR(INDEX('Measure Level Detail'!$P:$P,MATCH($B692&amp;"_"&amp;N$3,'Measure Level Detail'!$C:$C,0)),0)</f>
        <v>3</v>
      </c>
      <c r="O692" s="271">
        <f>IFERROR(INDEX('Measure Level Detail'!$P:$P,MATCH($B692&amp;"_"&amp;O$3,'Measure Level Detail'!$C:$C,0)),0)</f>
        <v>4</v>
      </c>
      <c r="P692" s="271">
        <f>IFERROR(INDEX('Measure Level Detail'!$P:$P,MATCH($B692&amp;"_"&amp;P$3,'Measure Level Detail'!$C:$C,0)),0)</f>
        <v>7</v>
      </c>
      <c r="Q692" s="271">
        <f>IFERROR(INDEX('Measure Level Detail'!$P:$P,MATCH($B692&amp;"_"&amp;Q$3,'Measure Level Detail'!$C:$C,0)),0)</f>
        <v>8</v>
      </c>
      <c r="R692" s="263" t="str">
        <f ca="1">IFERROR(INDEX(Algorithms!K:K,MATCH($C692&amp;"_Therm Saved per Unit",Algorithms!$A:$A,0)),"n/a")</f>
        <v>RS-HVC-ADTH-V09-240101</v>
      </c>
      <c r="S692" s="262"/>
      <c r="T692" s="272">
        <v>70.463249999999988</v>
      </c>
      <c r="U692" s="272">
        <v>70.463249999999988</v>
      </c>
      <c r="V692" s="272">
        <v>70.463249999999988</v>
      </c>
      <c r="W692" s="272">
        <v>70.463249999999988</v>
      </c>
      <c r="X692" s="273">
        <f>IFERROR(INDEX('Measure Level Detail'!$R:$R,MATCH($B692&amp;"_"&amp;X$3,'Measure Level Detail'!$C:$C,0)),0)</f>
        <v>1</v>
      </c>
      <c r="Y692" s="273">
        <f>IFERROR(INDEX('Measure Level Detail'!$R:$R,MATCH($B692&amp;"_"&amp;Y$3,'Measure Level Detail'!$C:$C,0)),0)</f>
        <v>1</v>
      </c>
      <c r="Z692" s="273">
        <f>IFERROR(INDEX('Measure Level Detail'!$R:$R,MATCH($B692&amp;"_"&amp;Z$3,'Measure Level Detail'!$C:$C,0)),0)</f>
        <v>1</v>
      </c>
      <c r="AA692" s="273">
        <f>IFERROR(INDEX('Measure Level Detail'!$R:$R,MATCH($B692&amp;"_"&amp;AA$3,'Measure Level Detail'!$C:$C,0)),0)</f>
        <v>1</v>
      </c>
      <c r="AB692" s="266">
        <f t="shared" si="407"/>
        <v>211.38974999999996</v>
      </c>
      <c r="AC692" s="266">
        <f t="shared" si="408"/>
        <v>281.85299999999995</v>
      </c>
      <c r="AD692" s="266">
        <f t="shared" si="409"/>
        <v>493.24274999999989</v>
      </c>
      <c r="AE692" s="266">
        <f t="shared" si="410"/>
        <v>563.7059999999999</v>
      </c>
      <c r="AF692" s="266">
        <f t="shared" si="411"/>
        <v>1550.1914999999997</v>
      </c>
      <c r="AG692" s="274">
        <v>1</v>
      </c>
      <c r="AH692" s="274">
        <v>1</v>
      </c>
      <c r="AI692" s="274">
        <v>1</v>
      </c>
      <c r="AJ692" s="274">
        <v>1</v>
      </c>
      <c r="AK692" s="274">
        <f t="shared" si="412"/>
        <v>1</v>
      </c>
      <c r="AL692" s="274">
        <f t="shared" si="413"/>
        <v>1</v>
      </c>
      <c r="AM692" s="274">
        <f t="shared" si="414"/>
        <v>1</v>
      </c>
      <c r="AN692" s="274">
        <f t="shared" si="415"/>
        <v>1</v>
      </c>
      <c r="AO692" s="262"/>
      <c r="AP692" s="262"/>
      <c r="AQ692" s="267">
        <v>68.532749999999993</v>
      </c>
      <c r="AR692" s="262"/>
      <c r="AS692" s="266">
        <f t="shared" si="416"/>
        <v>205.59824999999998</v>
      </c>
      <c r="AT692" s="264">
        <f t="shared" si="417"/>
        <v>-5.791499999999985</v>
      </c>
      <c r="AU692" s="262"/>
      <c r="AV692" s="262"/>
      <c r="AW692" s="265">
        <v>68.532749999999993</v>
      </c>
      <c r="AX692" s="164" t="s">
        <v>1469</v>
      </c>
      <c r="AY692" s="266">
        <v>274.13099999999997</v>
      </c>
      <c r="AZ692" s="266">
        <f t="shared" si="418"/>
        <v>274.13099999999997</v>
      </c>
      <c r="BA692" s="264">
        <f t="shared" si="419"/>
        <v>-7.72199999999998</v>
      </c>
      <c r="BB692" s="262"/>
      <c r="BC692" s="262"/>
      <c r="BD692" s="265">
        <f ca="1">IFERROR(INDEX(Algorithms!$G:$G,MATCH($C692&amp;"_Therm Saved per Unit",Algorithms!$A:$A,0)),0)</f>
        <v>68.532749999999993</v>
      </c>
      <c r="BE692" s="164" t="str">
        <f ca="1">IFERROR(INDEX('v12 Revisions'!$P$29:$P$186, MATCH('Measure-Level Adj Gas'!$L692, 'v12 Revisions'!$D$29:$D$186,0)),"")</f>
        <v>n/a - FLH not in fossil fuel energy savings algorithm.</v>
      </c>
      <c r="BF692" s="266">
        <f t="shared" ca="1" si="420"/>
        <v>479.72924999999998</v>
      </c>
      <c r="BG692" s="264">
        <f t="shared" ca="1" si="421"/>
        <v>-13.513499999999908</v>
      </c>
      <c r="BH692" s="262"/>
      <c r="BI692" s="262"/>
      <c r="BJ692" s="265">
        <f ca="1">IFERROR(INDEX(Algorithms!$G:$G,MATCH($C692&amp;"_Therm Saved per Unit",Algorithms!$A:$A,0)),0)</f>
        <v>68.532749999999993</v>
      </c>
      <c r="BK692" s="164"/>
      <c r="BL692" s="266">
        <f t="shared" ca="1" si="422"/>
        <v>548.26199999999994</v>
      </c>
      <c r="BM692" s="264">
        <f t="shared" ca="1" si="423"/>
        <v>-15.44399999999996</v>
      </c>
      <c r="BN692" s="266">
        <f t="shared" si="424"/>
        <v>205.59824999999998</v>
      </c>
      <c r="BO692" s="266">
        <f t="shared" si="425"/>
        <v>274.13099999999997</v>
      </c>
      <c r="BP692" s="266">
        <f t="shared" ca="1" si="426"/>
        <v>479.72924999999998</v>
      </c>
      <c r="BQ692" s="266">
        <f t="shared" ca="1" si="427"/>
        <v>548.26199999999994</v>
      </c>
      <c r="BR692" s="268">
        <f t="shared" ca="1" si="428"/>
        <v>1507.7204999999999</v>
      </c>
      <c r="BS692" s="262" t="s">
        <v>99</v>
      </c>
      <c r="BT692" s="277"/>
      <c r="BW692" s="266">
        <f t="shared" si="429"/>
        <v>211.38974999999996</v>
      </c>
      <c r="BX692" s="266">
        <f t="shared" si="430"/>
        <v>281.85299999999995</v>
      </c>
      <c r="BY692" s="266">
        <f t="shared" si="431"/>
        <v>493.24274999999989</v>
      </c>
      <c r="BZ692" s="266">
        <f t="shared" si="432"/>
        <v>563.7059999999999</v>
      </c>
      <c r="CA692" s="266">
        <f ca="1">N692*IFERROR(INDEX(Algorithms!$G:$G,MATCH($C692&amp;"_Therm Saved per Unit- MLA",Algorithms!$A:$A,0)),0)*X692</f>
        <v>0</v>
      </c>
      <c r="CB692" s="266">
        <f ca="1">O692*IFERROR(INDEX(Algorithms!$G:$G,MATCH($C692&amp;"_Therm Saved per Unit- MLA",Algorithms!$A:$A,0)),0)*Y692</f>
        <v>0</v>
      </c>
      <c r="CC692" s="266">
        <f ca="1">P692*IFERROR(INDEX(Algorithms!$G:$G,MATCH($C692&amp;"_Therm Saved per Unit- MLA",Algorithms!$A:$A,0)),0)*Z692</f>
        <v>0</v>
      </c>
      <c r="CD692" s="266">
        <f ca="1">Q692*IFERROR(INDEX(Algorithms!$G:$G,MATCH($C692&amp;"_Therm Saved per Unit- MLA",Algorithms!$A:$A,0)),0)*AA692</f>
        <v>0</v>
      </c>
      <c r="CE692" s="266">
        <f ca="1">IFERROR(INDEX(Algorithms!$G:$G,MATCH($C692&amp;"_Lifetime (years)",Algorithms!$A:$A,0)),0)</f>
        <v>11</v>
      </c>
      <c r="CF692" s="266">
        <f ca="1">IFERROR(INDEX(Algorithms!$G:$G,MATCH($C692&amp;"_Lifetime (years) - Remaining Years",Algorithms!$A:$A,0)),0)</f>
        <v>0</v>
      </c>
      <c r="CG692" s="266">
        <f t="shared" ca="1" si="433"/>
        <v>2325.2872499999994</v>
      </c>
      <c r="CH692" s="266">
        <f t="shared" ca="1" si="434"/>
        <v>3100.3829999999994</v>
      </c>
      <c r="CI692" s="266">
        <f t="shared" ca="1" si="435"/>
        <v>5425.6702499999992</v>
      </c>
      <c r="CJ692" s="266">
        <f t="shared" ca="1" si="436"/>
        <v>6200.7659999999987</v>
      </c>
      <c r="CK692" s="266">
        <f t="shared" si="437"/>
        <v>205.59824999999998</v>
      </c>
      <c r="CL692" s="266">
        <f t="shared" si="438"/>
        <v>274.13099999999997</v>
      </c>
      <c r="CM692" s="266">
        <f t="shared" ca="1" si="439"/>
        <v>479.72924999999998</v>
      </c>
      <c r="CN692" s="266">
        <f t="shared" ca="1" si="440"/>
        <v>548.26199999999994</v>
      </c>
      <c r="CO692" s="266">
        <f ca="1">N692*IFERROR(INDEX(Algorithms!$G:$G,MATCH($C692&amp;"_Therm Saved per Unit- MLA",Algorithms!$A:$A,0)),0)*X692</f>
        <v>0</v>
      </c>
      <c r="CP692" s="266">
        <f ca="1">O692*IFERROR(INDEX(Algorithms!$G:$G,MATCH($C692&amp;"_Therm Saved per Unit- MLA",Algorithms!$A:$A,0)),0)*Y692</f>
        <v>0</v>
      </c>
      <c r="CQ692" s="266">
        <f ca="1">P692*IFERROR(INDEX(Algorithms!$G:$G,MATCH($C692&amp;"_Therm Saved per Unit- MLA",Algorithms!$A:$A,0)),0)*Z692</f>
        <v>0</v>
      </c>
      <c r="CR692" s="266">
        <f ca="1">Q692*IFERROR(INDEX(Algorithms!$G:$G,MATCH($C692&amp;"_Therm Saved per Unit- MLA",Algorithms!$A:$A,0)),0)*AA692</f>
        <v>0</v>
      </c>
      <c r="CS692" s="266">
        <f ca="1">IFERROR(INDEX(Algorithms!$G:$G,MATCH($C692&amp;"_Lifetime (years)",Algorithms!$A:$A,0)),0)</f>
        <v>11</v>
      </c>
      <c r="CT692" s="266">
        <f ca="1">IFERROR(INDEX(Algorithms!$G:$G,MATCH($C692&amp;"_Lifetime (years) - Remaining Years",Algorithms!$A:$A,0)),0)</f>
        <v>0</v>
      </c>
      <c r="CU692" s="266">
        <f t="shared" ca="1" si="441"/>
        <v>2261.5807499999996</v>
      </c>
      <c r="CV692" s="266">
        <f t="shared" ca="1" si="442"/>
        <v>3015.4409999999998</v>
      </c>
      <c r="CW692" s="266">
        <f t="shared" ca="1" si="443"/>
        <v>5277.0217499999999</v>
      </c>
      <c r="CX692" s="266">
        <f t="shared" ca="1" si="444"/>
        <v>6030.8819999999996</v>
      </c>
    </row>
    <row r="693" spans="2:102" s="47" customFormat="1" ht="18" customHeight="1" x14ac:dyDescent="0.25">
      <c r="B693" t="str">
        <f t="shared" si="445"/>
        <v>NSG_Income Eligible_Home Energy Jumpstart_Core_Advanced Thermostat_Furnace (Replace Programmable)_SF</v>
      </c>
      <c r="C693" s="47" t="str">
        <f t="shared" si="406"/>
        <v>Advanced Thermostat_Furnace (Replace Programmable)_SF</v>
      </c>
      <c r="D693" s="270" t="s">
        <v>1787</v>
      </c>
      <c r="E693" s="270" t="s">
        <v>325</v>
      </c>
      <c r="F693" s="270" t="s">
        <v>1414</v>
      </c>
      <c r="G693" s="270" t="s">
        <v>1415</v>
      </c>
      <c r="H693" s="270" t="s">
        <v>7</v>
      </c>
      <c r="I693" s="270" t="s">
        <v>1049</v>
      </c>
      <c r="J693" s="270" t="s">
        <v>409</v>
      </c>
      <c r="K693" s="263">
        <v>1</v>
      </c>
      <c r="L693" s="263" t="str">
        <f ca="1">IFERROR(INDEX(Algorithms!J:J,MATCH($C693&amp;"_Therm Saved per Unit",Algorithms!$A:$A,0)),"n/a")</f>
        <v>5.3.16</v>
      </c>
      <c r="M693" s="263" t="str">
        <f>IFERROR(INDEX('Measure Level Detail'!$N:$N,MATCH($B693,'Measure Level Detail'!$B:$B,0)),0)</f>
        <v>Each</v>
      </c>
      <c r="N693" s="271">
        <f>IFERROR(INDEX('Measure Level Detail'!$P:$P,MATCH($B693&amp;"_"&amp;N$3,'Measure Level Detail'!$C:$C,0)),0)</f>
        <v>3</v>
      </c>
      <c r="O693" s="271">
        <f>IFERROR(INDEX('Measure Level Detail'!$P:$P,MATCH($B693&amp;"_"&amp;O$3,'Measure Level Detail'!$C:$C,0)),0)</f>
        <v>7</v>
      </c>
      <c r="P693" s="271">
        <f>IFERROR(INDEX('Measure Level Detail'!$P:$P,MATCH($B693&amp;"_"&amp;P$3,'Measure Level Detail'!$C:$C,0)),0)</f>
        <v>14</v>
      </c>
      <c r="Q693" s="271">
        <f>IFERROR(INDEX('Measure Level Detail'!$P:$P,MATCH($B693&amp;"_"&amp;Q$3,'Measure Level Detail'!$C:$C,0)),0)</f>
        <v>17</v>
      </c>
      <c r="R693" s="263" t="str">
        <f ca="1">IFERROR(INDEX(Algorithms!K:K,MATCH($C693&amp;"_Therm Saved per Unit",Algorithms!$A:$A,0)),"n/a")</f>
        <v>RS-HVC-ADTH-V09-240101</v>
      </c>
      <c r="S693" s="262"/>
      <c r="T693" s="272">
        <v>73.364999999999995</v>
      </c>
      <c r="U693" s="272">
        <v>73.364999999999995</v>
      </c>
      <c r="V693" s="272">
        <v>73.364999999999995</v>
      </c>
      <c r="W693" s="272">
        <v>73.364999999999995</v>
      </c>
      <c r="X693" s="273">
        <f>IFERROR(INDEX('Measure Level Detail'!$R:$R,MATCH($B693&amp;"_"&amp;X$3,'Measure Level Detail'!$C:$C,0)),0)</f>
        <v>1</v>
      </c>
      <c r="Y693" s="273">
        <f>IFERROR(INDEX('Measure Level Detail'!$R:$R,MATCH($B693&amp;"_"&amp;Y$3,'Measure Level Detail'!$C:$C,0)),0)</f>
        <v>1</v>
      </c>
      <c r="Z693" s="273">
        <f>IFERROR(INDEX('Measure Level Detail'!$R:$R,MATCH($B693&amp;"_"&amp;Z$3,'Measure Level Detail'!$C:$C,0)),0)</f>
        <v>1</v>
      </c>
      <c r="AA693" s="273">
        <f>IFERROR(INDEX('Measure Level Detail'!$R:$R,MATCH($B693&amp;"_"&amp;AA$3,'Measure Level Detail'!$C:$C,0)),0)</f>
        <v>1</v>
      </c>
      <c r="AB693" s="266">
        <f t="shared" si="407"/>
        <v>220.09499999999997</v>
      </c>
      <c r="AC693" s="266">
        <f t="shared" si="408"/>
        <v>513.55499999999995</v>
      </c>
      <c r="AD693" s="266">
        <f t="shared" si="409"/>
        <v>1027.1099999999999</v>
      </c>
      <c r="AE693" s="266">
        <f t="shared" si="410"/>
        <v>1247.2049999999999</v>
      </c>
      <c r="AF693" s="266">
        <f t="shared" si="411"/>
        <v>3007.9649999999997</v>
      </c>
      <c r="AG693" s="274">
        <v>1</v>
      </c>
      <c r="AH693" s="274">
        <v>1</v>
      </c>
      <c r="AI693" s="274">
        <v>1</v>
      </c>
      <c r="AJ693" s="274">
        <v>1</v>
      </c>
      <c r="AK693" s="274">
        <f t="shared" si="412"/>
        <v>1</v>
      </c>
      <c r="AL693" s="274">
        <f t="shared" si="413"/>
        <v>1</v>
      </c>
      <c r="AM693" s="274">
        <f t="shared" si="414"/>
        <v>1</v>
      </c>
      <c r="AN693" s="274">
        <f t="shared" si="415"/>
        <v>1</v>
      </c>
      <c r="AO693" s="262"/>
      <c r="AP693" s="262"/>
      <c r="AQ693" s="267">
        <v>71.35499999999999</v>
      </c>
      <c r="AR693" s="262"/>
      <c r="AS693" s="266">
        <f t="shared" si="416"/>
        <v>214.06499999999997</v>
      </c>
      <c r="AT693" s="264">
        <f t="shared" si="417"/>
        <v>-6.0300000000000011</v>
      </c>
      <c r="AU693" s="262"/>
      <c r="AV693" s="262"/>
      <c r="AW693" s="265">
        <v>71.35499999999999</v>
      </c>
      <c r="AX693" s="164" t="s">
        <v>1469</v>
      </c>
      <c r="AY693" s="266">
        <v>499.4849999999999</v>
      </c>
      <c r="AZ693" s="266">
        <f t="shared" si="418"/>
        <v>499.4849999999999</v>
      </c>
      <c r="BA693" s="264">
        <f t="shared" si="419"/>
        <v>-14.07000000000005</v>
      </c>
      <c r="BB693" s="262"/>
      <c r="BC693" s="262"/>
      <c r="BD693" s="265">
        <f ca="1">IFERROR(INDEX(Algorithms!$G:$G,MATCH($C693&amp;"_Therm Saved per Unit",Algorithms!$A:$A,0)),0)</f>
        <v>71.35499999999999</v>
      </c>
      <c r="BE693" s="164" t="str">
        <f ca="1">IFERROR(INDEX('v12 Revisions'!$P$29:$P$186, MATCH('Measure-Level Adj Gas'!$L693, 'v12 Revisions'!$D$29:$D$186,0)),"")</f>
        <v>n/a - FLH not in fossil fuel energy savings algorithm.</v>
      </c>
      <c r="BF693" s="266">
        <f t="shared" ca="1" si="420"/>
        <v>998.9699999999998</v>
      </c>
      <c r="BG693" s="264">
        <f t="shared" ca="1" si="421"/>
        <v>-28.1400000000001</v>
      </c>
      <c r="BH693" s="262"/>
      <c r="BI693" s="262"/>
      <c r="BJ693" s="265">
        <f ca="1">IFERROR(INDEX(Algorithms!$G:$G,MATCH($C693&amp;"_Therm Saved per Unit",Algorithms!$A:$A,0)),0)</f>
        <v>71.35499999999999</v>
      </c>
      <c r="BK693" s="164"/>
      <c r="BL693" s="266">
        <f t="shared" ca="1" si="422"/>
        <v>1213.0349999999999</v>
      </c>
      <c r="BM693" s="264">
        <f t="shared" ca="1" si="423"/>
        <v>-34.170000000000073</v>
      </c>
      <c r="BN693" s="266">
        <f t="shared" si="424"/>
        <v>214.06499999999997</v>
      </c>
      <c r="BO693" s="266">
        <f t="shared" si="425"/>
        <v>499.4849999999999</v>
      </c>
      <c r="BP693" s="266">
        <f t="shared" ca="1" si="426"/>
        <v>998.9699999999998</v>
      </c>
      <c r="BQ693" s="266">
        <f t="shared" ca="1" si="427"/>
        <v>1213.0349999999999</v>
      </c>
      <c r="BR693" s="268">
        <f t="shared" ca="1" si="428"/>
        <v>2925.5549999999994</v>
      </c>
      <c r="BS693" s="262" t="s">
        <v>99</v>
      </c>
      <c r="BT693" s="277"/>
      <c r="BW693" s="266">
        <f t="shared" si="429"/>
        <v>220.09499999999997</v>
      </c>
      <c r="BX693" s="266">
        <f t="shared" si="430"/>
        <v>513.55499999999995</v>
      </c>
      <c r="BY693" s="266">
        <f t="shared" si="431"/>
        <v>1027.1099999999999</v>
      </c>
      <c r="BZ693" s="266">
        <f t="shared" si="432"/>
        <v>1247.2049999999999</v>
      </c>
      <c r="CA693" s="266">
        <f ca="1">N693*IFERROR(INDEX(Algorithms!$G:$G,MATCH($C693&amp;"_Therm Saved per Unit- MLA",Algorithms!$A:$A,0)),0)*X693</f>
        <v>0</v>
      </c>
      <c r="CB693" s="266">
        <f ca="1">O693*IFERROR(INDEX(Algorithms!$G:$G,MATCH($C693&amp;"_Therm Saved per Unit- MLA",Algorithms!$A:$A,0)),0)*Y693</f>
        <v>0</v>
      </c>
      <c r="CC693" s="266">
        <f ca="1">P693*IFERROR(INDEX(Algorithms!$G:$G,MATCH($C693&amp;"_Therm Saved per Unit- MLA",Algorithms!$A:$A,0)),0)*Z693</f>
        <v>0</v>
      </c>
      <c r="CD693" s="266">
        <f ca="1">Q693*IFERROR(INDEX(Algorithms!$G:$G,MATCH($C693&amp;"_Therm Saved per Unit- MLA",Algorithms!$A:$A,0)),0)*AA693</f>
        <v>0</v>
      </c>
      <c r="CE693" s="266">
        <f ca="1">IFERROR(INDEX(Algorithms!$G:$G,MATCH($C693&amp;"_Lifetime (years)",Algorithms!$A:$A,0)),0)</f>
        <v>11</v>
      </c>
      <c r="CF693" s="266">
        <f ca="1">IFERROR(INDEX(Algorithms!$G:$G,MATCH($C693&amp;"_Lifetime (years) - Remaining Years",Algorithms!$A:$A,0)),0)</f>
        <v>0</v>
      </c>
      <c r="CG693" s="266">
        <f t="shared" ca="1" si="433"/>
        <v>2421.0449999999996</v>
      </c>
      <c r="CH693" s="266">
        <f t="shared" ca="1" si="434"/>
        <v>5649.1049999999996</v>
      </c>
      <c r="CI693" s="266">
        <f t="shared" ca="1" si="435"/>
        <v>11298.21</v>
      </c>
      <c r="CJ693" s="266">
        <f t="shared" ca="1" si="436"/>
        <v>13719.254999999999</v>
      </c>
      <c r="CK693" s="266">
        <f t="shared" si="437"/>
        <v>214.06499999999997</v>
      </c>
      <c r="CL693" s="266">
        <f t="shared" si="438"/>
        <v>499.4849999999999</v>
      </c>
      <c r="CM693" s="266">
        <f t="shared" ca="1" si="439"/>
        <v>998.9699999999998</v>
      </c>
      <c r="CN693" s="266">
        <f t="shared" ca="1" si="440"/>
        <v>1213.0349999999999</v>
      </c>
      <c r="CO693" s="266">
        <f ca="1">N693*IFERROR(INDEX(Algorithms!$G:$G,MATCH($C693&amp;"_Therm Saved per Unit- MLA",Algorithms!$A:$A,0)),0)*X693</f>
        <v>0</v>
      </c>
      <c r="CP693" s="266">
        <f ca="1">O693*IFERROR(INDEX(Algorithms!$G:$G,MATCH($C693&amp;"_Therm Saved per Unit- MLA",Algorithms!$A:$A,0)),0)*Y693</f>
        <v>0</v>
      </c>
      <c r="CQ693" s="266">
        <f ca="1">P693*IFERROR(INDEX(Algorithms!$G:$G,MATCH($C693&amp;"_Therm Saved per Unit- MLA",Algorithms!$A:$A,0)),0)*Z693</f>
        <v>0</v>
      </c>
      <c r="CR693" s="266">
        <f ca="1">Q693*IFERROR(INDEX(Algorithms!$G:$G,MATCH($C693&amp;"_Therm Saved per Unit- MLA",Algorithms!$A:$A,0)),0)*AA693</f>
        <v>0</v>
      </c>
      <c r="CS693" s="266">
        <f ca="1">IFERROR(INDEX(Algorithms!$G:$G,MATCH($C693&amp;"_Lifetime (years)",Algorithms!$A:$A,0)),0)</f>
        <v>11</v>
      </c>
      <c r="CT693" s="266">
        <f ca="1">IFERROR(INDEX(Algorithms!$G:$G,MATCH($C693&amp;"_Lifetime (years) - Remaining Years",Algorithms!$A:$A,0)),0)</f>
        <v>0</v>
      </c>
      <c r="CU693" s="266">
        <f t="shared" ca="1" si="441"/>
        <v>2354.7149999999997</v>
      </c>
      <c r="CV693" s="266">
        <f t="shared" ca="1" si="442"/>
        <v>5494.3349999999991</v>
      </c>
      <c r="CW693" s="266">
        <f t="shared" ca="1" si="443"/>
        <v>10988.669999999998</v>
      </c>
      <c r="CX693" s="266">
        <f t="shared" ca="1" si="444"/>
        <v>13343.384999999998</v>
      </c>
    </row>
    <row r="694" spans="2:102" s="47" customFormat="1" ht="18" customHeight="1" x14ac:dyDescent="0.25">
      <c r="B694" t="str">
        <f t="shared" si="445"/>
        <v>NSG_Residential_Multi-Family_Partner Trade Ally Rebate_Advanced Thermostat_Boiler (Replace Unknown)_MF</v>
      </c>
      <c r="C694" s="47" t="str">
        <f t="shared" si="406"/>
        <v>Advanced Thermostat_Boiler (Replace Unknown)_MF</v>
      </c>
      <c r="D694" s="270" t="s">
        <v>1787</v>
      </c>
      <c r="E694" s="270" t="s">
        <v>2</v>
      </c>
      <c r="F694" s="270" t="s">
        <v>1422</v>
      </c>
      <c r="G694" s="270" t="s">
        <v>1799</v>
      </c>
      <c r="H694" s="270" t="s">
        <v>7</v>
      </c>
      <c r="I694" s="270" t="s">
        <v>1054</v>
      </c>
      <c r="J694" s="270" t="s">
        <v>553</v>
      </c>
      <c r="K694" s="263">
        <v>1</v>
      </c>
      <c r="L694" s="263" t="str">
        <f ca="1">IFERROR(INDEX(Algorithms!J:J,MATCH($C694&amp;"_Therm Saved per Unit",Algorithms!$A:$A,0)),"n/a")</f>
        <v>5.3.16</v>
      </c>
      <c r="M694" s="263" t="str">
        <f>IFERROR(INDEX('Measure Level Detail'!$N:$N,MATCH($B694,'Measure Level Detail'!$B:$B,0)),0)</f>
        <v>each</v>
      </c>
      <c r="N694" s="271">
        <f>IFERROR(INDEX('Measure Level Detail'!$P:$P,MATCH($B694&amp;"_"&amp;N$3,'Measure Level Detail'!$C:$C,0)),0)</f>
        <v>8</v>
      </c>
      <c r="O694" s="271">
        <f>IFERROR(INDEX('Measure Level Detail'!$P:$P,MATCH($B694&amp;"_"&amp;O$3,'Measure Level Detail'!$C:$C,0)),0)</f>
        <v>8</v>
      </c>
      <c r="P694" s="271">
        <f>IFERROR(INDEX('Measure Level Detail'!$P:$P,MATCH($B694&amp;"_"&amp;P$3,'Measure Level Detail'!$C:$C,0)),0)</f>
        <v>8</v>
      </c>
      <c r="Q694" s="271">
        <f>IFERROR(INDEX('Measure Level Detail'!$P:$P,MATCH($B694&amp;"_"&amp;Q$3,'Measure Level Detail'!$C:$C,0)),0)</f>
        <v>8</v>
      </c>
      <c r="R694" s="263" t="str">
        <f ca="1">IFERROR(INDEX(Algorithms!K:K,MATCH($C694&amp;"_Therm Saved per Unit",Algorithms!$A:$A,0)),"n/a")</f>
        <v>RS-HVC-ADTH-V09-240101</v>
      </c>
      <c r="S694" s="262"/>
      <c r="T694" s="272">
        <v>83.011499999999998</v>
      </c>
      <c r="U694" s="272">
        <v>83.011499999999998</v>
      </c>
      <c r="V694" s="272">
        <v>83.011499999999998</v>
      </c>
      <c r="W694" s="272">
        <v>83.011499999999998</v>
      </c>
      <c r="X694" s="275">
        <v>0.9</v>
      </c>
      <c r="Y694" s="275">
        <v>0.9</v>
      </c>
      <c r="Z694" s="275">
        <v>0.9</v>
      </c>
      <c r="AA694" s="275">
        <v>0.9</v>
      </c>
      <c r="AB694" s="266">
        <f t="shared" si="407"/>
        <v>597.68280000000004</v>
      </c>
      <c r="AC694" s="266">
        <f t="shared" si="408"/>
        <v>597.68280000000004</v>
      </c>
      <c r="AD694" s="266">
        <f t="shared" si="409"/>
        <v>597.68280000000004</v>
      </c>
      <c r="AE694" s="266">
        <f t="shared" si="410"/>
        <v>597.68280000000004</v>
      </c>
      <c r="AF694" s="266">
        <f t="shared" si="411"/>
        <v>2390.7312000000002</v>
      </c>
      <c r="AG694" s="274">
        <v>0.9</v>
      </c>
      <c r="AH694" s="274">
        <v>0.9</v>
      </c>
      <c r="AI694" s="710">
        <v>0.88</v>
      </c>
      <c r="AJ694" s="710">
        <v>0.88</v>
      </c>
      <c r="AK694" s="274">
        <f t="shared" si="412"/>
        <v>0.9</v>
      </c>
      <c r="AL694" s="274">
        <f t="shared" si="413"/>
        <v>0.9</v>
      </c>
      <c r="AM694" s="274">
        <f t="shared" si="414"/>
        <v>0.9</v>
      </c>
      <c r="AN694" s="274">
        <f t="shared" si="415"/>
        <v>0.9</v>
      </c>
      <c r="AO694" s="262"/>
      <c r="AP694" s="262"/>
      <c r="AQ694" s="267">
        <v>82.046250000000015</v>
      </c>
      <c r="AR694" s="262"/>
      <c r="AS694" s="266">
        <f t="shared" si="416"/>
        <v>590.73300000000017</v>
      </c>
      <c r="AT694" s="264">
        <f t="shared" si="417"/>
        <v>-6.9497999999998683</v>
      </c>
      <c r="AU694" s="262"/>
      <c r="AV694" s="262"/>
      <c r="AW694" s="265">
        <v>82.046250000000015</v>
      </c>
      <c r="AX694" s="164" t="s">
        <v>1469</v>
      </c>
      <c r="AY694" s="266">
        <v>590.73300000000017</v>
      </c>
      <c r="AZ694" s="266">
        <f t="shared" si="418"/>
        <v>590.73300000000017</v>
      </c>
      <c r="BA694" s="264">
        <f t="shared" si="419"/>
        <v>-6.9497999999998683</v>
      </c>
      <c r="BB694" s="262"/>
      <c r="BC694" s="262"/>
      <c r="BD694" s="265">
        <f ca="1">IFERROR(INDEX(Algorithms!$G:$G,MATCH($C694&amp;"_Therm Saved per Unit",Algorithms!$A:$A,0)),0)</f>
        <v>82.046250000000015</v>
      </c>
      <c r="BE694" s="164" t="str">
        <f ca="1">IFERROR(INDEX('v12 Revisions'!$P$29:$P$186, MATCH('Measure-Level Adj Gas'!$L694, 'v12 Revisions'!$D$29:$D$186,0)),"")</f>
        <v>n/a - FLH not in fossil fuel energy savings algorithm.</v>
      </c>
      <c r="BF694" s="266">
        <f t="shared" ca="1" si="420"/>
        <v>590.73300000000017</v>
      </c>
      <c r="BG694" s="264">
        <f t="shared" ca="1" si="421"/>
        <v>-6.9497999999998683</v>
      </c>
      <c r="BH694" s="262"/>
      <c r="BI694" s="262"/>
      <c r="BJ694" s="265">
        <f ca="1">IFERROR(INDEX(Algorithms!$G:$G,MATCH($C694&amp;"_Therm Saved per Unit",Algorithms!$A:$A,0)),0)</f>
        <v>82.046250000000015</v>
      </c>
      <c r="BK694" s="164"/>
      <c r="BL694" s="266">
        <f t="shared" ca="1" si="422"/>
        <v>590.73300000000017</v>
      </c>
      <c r="BM694" s="264">
        <f t="shared" ca="1" si="423"/>
        <v>-6.9497999999998683</v>
      </c>
      <c r="BN694" s="266">
        <f t="shared" si="424"/>
        <v>590.73300000000017</v>
      </c>
      <c r="BO694" s="266">
        <f t="shared" si="425"/>
        <v>590.73300000000017</v>
      </c>
      <c r="BP694" s="266">
        <f t="shared" ca="1" si="426"/>
        <v>590.73300000000017</v>
      </c>
      <c r="BQ694" s="266">
        <f t="shared" ca="1" si="427"/>
        <v>590.73300000000017</v>
      </c>
      <c r="BR694" s="268">
        <f t="shared" ca="1" si="428"/>
        <v>2362.9320000000007</v>
      </c>
      <c r="BS694" s="262" t="s">
        <v>99</v>
      </c>
      <c r="BT694" s="277"/>
      <c r="BW694" s="266">
        <f t="shared" si="429"/>
        <v>597.68280000000004</v>
      </c>
      <c r="BX694" s="266">
        <f t="shared" si="430"/>
        <v>597.68280000000004</v>
      </c>
      <c r="BY694" s="266">
        <f t="shared" si="431"/>
        <v>597.68280000000004</v>
      </c>
      <c r="BZ694" s="266">
        <f t="shared" si="432"/>
        <v>597.68280000000004</v>
      </c>
      <c r="CA694" s="266">
        <f ca="1">N694*IFERROR(INDEX(Algorithms!$G:$G,MATCH($C694&amp;"_Therm Saved per Unit- MLA",Algorithms!$A:$A,0)),0)*X694</f>
        <v>0</v>
      </c>
      <c r="CB694" s="266">
        <f ca="1">O694*IFERROR(INDEX(Algorithms!$G:$G,MATCH($C694&amp;"_Therm Saved per Unit- MLA",Algorithms!$A:$A,0)),0)*Y694</f>
        <v>0</v>
      </c>
      <c r="CC694" s="266">
        <f ca="1">P694*IFERROR(INDEX(Algorithms!$G:$G,MATCH($C694&amp;"_Therm Saved per Unit- MLA",Algorithms!$A:$A,0)),0)*Z694</f>
        <v>0</v>
      </c>
      <c r="CD694" s="266">
        <f ca="1">Q694*IFERROR(INDEX(Algorithms!$G:$G,MATCH($C694&amp;"_Therm Saved per Unit- MLA",Algorithms!$A:$A,0)),0)*AA694</f>
        <v>0</v>
      </c>
      <c r="CE694" s="266">
        <f ca="1">IFERROR(INDEX(Algorithms!$G:$G,MATCH($C694&amp;"_Lifetime (years)",Algorithms!$A:$A,0)),0)</f>
        <v>11</v>
      </c>
      <c r="CF694" s="266">
        <f ca="1">IFERROR(INDEX(Algorithms!$G:$G,MATCH($C694&amp;"_Lifetime (years) - Remaining Years",Algorithms!$A:$A,0)),0)</f>
        <v>0</v>
      </c>
      <c r="CG694" s="266">
        <f t="shared" ca="1" si="433"/>
        <v>6574.5108</v>
      </c>
      <c r="CH694" s="266">
        <f t="shared" ca="1" si="434"/>
        <v>6574.5108</v>
      </c>
      <c r="CI694" s="266">
        <f t="shared" ca="1" si="435"/>
        <v>6574.5108</v>
      </c>
      <c r="CJ694" s="266">
        <f t="shared" ca="1" si="436"/>
        <v>6574.5108</v>
      </c>
      <c r="CK694" s="266">
        <f t="shared" si="437"/>
        <v>590.73300000000017</v>
      </c>
      <c r="CL694" s="266">
        <f t="shared" si="438"/>
        <v>590.73300000000017</v>
      </c>
      <c r="CM694" s="266">
        <f t="shared" ca="1" si="439"/>
        <v>590.73300000000017</v>
      </c>
      <c r="CN694" s="266">
        <f t="shared" ca="1" si="440"/>
        <v>590.73300000000017</v>
      </c>
      <c r="CO694" s="266">
        <f ca="1">N694*IFERROR(INDEX(Algorithms!$G:$G,MATCH($C694&amp;"_Therm Saved per Unit- MLA",Algorithms!$A:$A,0)),0)*X694</f>
        <v>0</v>
      </c>
      <c r="CP694" s="266">
        <f ca="1">O694*IFERROR(INDEX(Algorithms!$G:$G,MATCH($C694&amp;"_Therm Saved per Unit- MLA",Algorithms!$A:$A,0)),0)*Y694</f>
        <v>0</v>
      </c>
      <c r="CQ694" s="266">
        <f ca="1">P694*IFERROR(INDEX(Algorithms!$G:$G,MATCH($C694&amp;"_Therm Saved per Unit- MLA",Algorithms!$A:$A,0)),0)*Z694</f>
        <v>0</v>
      </c>
      <c r="CR694" s="266">
        <f ca="1">Q694*IFERROR(INDEX(Algorithms!$G:$G,MATCH($C694&amp;"_Therm Saved per Unit- MLA",Algorithms!$A:$A,0)),0)*AA694</f>
        <v>0</v>
      </c>
      <c r="CS694" s="266">
        <f ca="1">IFERROR(INDEX(Algorithms!$G:$G,MATCH($C694&amp;"_Lifetime (years)",Algorithms!$A:$A,0)),0)</f>
        <v>11</v>
      </c>
      <c r="CT694" s="266">
        <f ca="1">IFERROR(INDEX(Algorithms!$G:$G,MATCH($C694&amp;"_Lifetime (years) - Remaining Years",Algorithms!$A:$A,0)),0)</f>
        <v>0</v>
      </c>
      <c r="CU694" s="266">
        <f t="shared" ca="1" si="441"/>
        <v>6498.0630000000019</v>
      </c>
      <c r="CV694" s="266">
        <f t="shared" ca="1" si="442"/>
        <v>6498.0630000000019</v>
      </c>
      <c r="CW694" s="266">
        <f t="shared" ca="1" si="443"/>
        <v>6498.0630000000019</v>
      </c>
      <c r="CX694" s="266">
        <f t="shared" ca="1" si="444"/>
        <v>6498.0630000000019</v>
      </c>
    </row>
    <row r="695" spans="2:102" s="47" customFormat="1" ht="18" customHeight="1" x14ac:dyDescent="0.25">
      <c r="B695" t="str">
        <f t="shared" si="445"/>
        <v>NSG_Income Eligible_Multi-Family_MF IHWAP_Advanced Thermostat_Furnace (Replace Programmable)_MF</v>
      </c>
      <c r="C695" s="47" t="str">
        <f t="shared" si="406"/>
        <v>Advanced Thermostat_Furnace (Replace Programmable)_MF</v>
      </c>
      <c r="D695" s="270" t="s">
        <v>1787</v>
      </c>
      <c r="E695" s="270" t="s">
        <v>325</v>
      </c>
      <c r="F695" s="270" t="s">
        <v>1422</v>
      </c>
      <c r="G695" s="270" t="s">
        <v>1441</v>
      </c>
      <c r="H695" s="270" t="s">
        <v>7</v>
      </c>
      <c r="I695" s="270" t="s">
        <v>1049</v>
      </c>
      <c r="J695" s="270" t="s">
        <v>553</v>
      </c>
      <c r="K695" s="263">
        <v>1</v>
      </c>
      <c r="L695" s="263" t="str">
        <f ca="1">IFERROR(INDEX(Algorithms!J:J,MATCH($C695&amp;"_Therm Saved per Unit",Algorithms!$A:$A,0)),"n/a")</f>
        <v>5.3.16</v>
      </c>
      <c r="M695" s="263" t="str">
        <f>IFERROR(INDEX('Measure Level Detail'!$N:$N,MATCH($B695,'Measure Level Detail'!$B:$B,0)),0)</f>
        <v>each</v>
      </c>
      <c r="N695" s="271">
        <f>IFERROR(INDEX('Measure Level Detail'!$P:$P,MATCH($B695&amp;"_"&amp;N$3,'Measure Level Detail'!$C:$C,0)),0)</f>
        <v>6</v>
      </c>
      <c r="O695" s="271">
        <f>IFERROR(INDEX('Measure Level Detail'!$P:$P,MATCH($B695&amp;"_"&amp;O$3,'Measure Level Detail'!$C:$C,0)),0)</f>
        <v>8</v>
      </c>
      <c r="P695" s="271">
        <f>IFERROR(INDEX('Measure Level Detail'!$P:$P,MATCH($B695&amp;"_"&amp;P$3,'Measure Level Detail'!$C:$C,0)),0)</f>
        <v>14</v>
      </c>
      <c r="Q695" s="271">
        <f>IFERROR(INDEX('Measure Level Detail'!$P:$P,MATCH($B695&amp;"_"&amp;Q$3,'Measure Level Detail'!$C:$C,0)),0)</f>
        <v>15</v>
      </c>
      <c r="R695" s="263" t="str">
        <f ca="1">IFERROR(INDEX(Algorithms!K:K,MATCH($C695&amp;"_Therm Saved per Unit",Algorithms!$A:$A,0)),"n/a")</f>
        <v>RS-HVC-ADTH-V09-240101</v>
      </c>
      <c r="S695" s="262"/>
      <c r="T695" s="272">
        <v>47.687249999999999</v>
      </c>
      <c r="U695" s="272">
        <v>47.687249999999999</v>
      </c>
      <c r="V695" s="272">
        <v>47.687249999999999</v>
      </c>
      <c r="W695" s="272">
        <v>47.687249999999999</v>
      </c>
      <c r="X695" s="273">
        <f>IFERROR(INDEX('Measure Level Detail'!$R:$R,MATCH($B695&amp;"_"&amp;X$3,'Measure Level Detail'!$C:$C,0)),0)</f>
        <v>1</v>
      </c>
      <c r="Y695" s="273">
        <f>IFERROR(INDEX('Measure Level Detail'!$R:$R,MATCH($B695&amp;"_"&amp;Y$3,'Measure Level Detail'!$C:$C,0)),0)</f>
        <v>1</v>
      </c>
      <c r="Z695" s="273">
        <f>IFERROR(INDEX('Measure Level Detail'!$R:$R,MATCH($B695&amp;"_"&amp;Z$3,'Measure Level Detail'!$C:$C,0)),0)</f>
        <v>1</v>
      </c>
      <c r="AA695" s="273">
        <f>IFERROR(INDEX('Measure Level Detail'!$R:$R,MATCH($B695&amp;"_"&amp;AA$3,'Measure Level Detail'!$C:$C,0)),0)</f>
        <v>1</v>
      </c>
      <c r="AB695" s="266">
        <f t="shared" si="407"/>
        <v>286.12349999999998</v>
      </c>
      <c r="AC695" s="266">
        <f t="shared" si="408"/>
        <v>381.49799999999999</v>
      </c>
      <c r="AD695" s="266">
        <f t="shared" si="409"/>
        <v>667.62149999999997</v>
      </c>
      <c r="AE695" s="266">
        <f t="shared" si="410"/>
        <v>715.30875000000003</v>
      </c>
      <c r="AF695" s="266">
        <f t="shared" si="411"/>
        <v>2050.5517500000001</v>
      </c>
      <c r="AG695" s="274">
        <v>1</v>
      </c>
      <c r="AH695" s="274">
        <v>1</v>
      </c>
      <c r="AI695" s="274">
        <v>1</v>
      </c>
      <c r="AJ695" s="274">
        <v>1</v>
      </c>
      <c r="AK695" s="274">
        <f t="shared" si="412"/>
        <v>1</v>
      </c>
      <c r="AL695" s="274">
        <f t="shared" si="413"/>
        <v>1</v>
      </c>
      <c r="AM695" s="274">
        <f t="shared" si="414"/>
        <v>1</v>
      </c>
      <c r="AN695" s="274">
        <f t="shared" si="415"/>
        <v>1</v>
      </c>
      <c r="AO695" s="262"/>
      <c r="AP695" s="262"/>
      <c r="AQ695" s="267">
        <v>46.380749999999992</v>
      </c>
      <c r="AR695" s="262"/>
      <c r="AS695" s="266">
        <f t="shared" si="416"/>
        <v>278.28449999999998</v>
      </c>
      <c r="AT695" s="264">
        <f t="shared" si="417"/>
        <v>-7.8389999999999986</v>
      </c>
      <c r="AU695" s="262"/>
      <c r="AV695" s="262"/>
      <c r="AW695" s="265">
        <v>46.380749999999992</v>
      </c>
      <c r="AX695" s="164" t="s">
        <v>1469</v>
      </c>
      <c r="AY695" s="266">
        <v>371.04599999999994</v>
      </c>
      <c r="AZ695" s="266">
        <f t="shared" si="418"/>
        <v>371.04599999999994</v>
      </c>
      <c r="BA695" s="264">
        <f t="shared" si="419"/>
        <v>-10.452000000000055</v>
      </c>
      <c r="BB695" s="262"/>
      <c r="BC695" s="262"/>
      <c r="BD695" s="265">
        <f ca="1">IFERROR(INDEX(Algorithms!$G:$G,MATCH($C695&amp;"_Therm Saved per Unit",Algorithms!$A:$A,0)),0)</f>
        <v>46.380749999999992</v>
      </c>
      <c r="BE695" s="164" t="str">
        <f ca="1">IFERROR(INDEX('v12 Revisions'!$P$29:$P$186, MATCH('Measure-Level Adj Gas'!$L695, 'v12 Revisions'!$D$29:$D$186,0)),"")</f>
        <v>n/a - FLH not in fossil fuel energy savings algorithm.</v>
      </c>
      <c r="BF695" s="266">
        <f t="shared" ca="1" si="420"/>
        <v>649.33049999999992</v>
      </c>
      <c r="BG695" s="264">
        <f t="shared" ca="1" si="421"/>
        <v>-18.291000000000054</v>
      </c>
      <c r="BH695" s="262"/>
      <c r="BI695" s="262"/>
      <c r="BJ695" s="265">
        <f ca="1">IFERROR(INDEX(Algorithms!$G:$G,MATCH($C695&amp;"_Therm Saved per Unit",Algorithms!$A:$A,0)),0)</f>
        <v>46.380749999999992</v>
      </c>
      <c r="BK695" s="164"/>
      <c r="BL695" s="266">
        <f t="shared" ca="1" si="422"/>
        <v>695.71124999999984</v>
      </c>
      <c r="BM695" s="264">
        <f t="shared" ca="1" si="423"/>
        <v>-19.597500000000196</v>
      </c>
      <c r="BN695" s="266">
        <f t="shared" si="424"/>
        <v>278.28449999999998</v>
      </c>
      <c r="BO695" s="266">
        <f t="shared" si="425"/>
        <v>371.04599999999994</v>
      </c>
      <c r="BP695" s="266">
        <f t="shared" ca="1" si="426"/>
        <v>649.33049999999992</v>
      </c>
      <c r="BQ695" s="266">
        <f t="shared" ca="1" si="427"/>
        <v>695.71124999999984</v>
      </c>
      <c r="BR695" s="268">
        <f t="shared" ca="1" si="428"/>
        <v>1994.3722499999997</v>
      </c>
      <c r="BS695" s="262" t="s">
        <v>99</v>
      </c>
      <c r="BT695" s="277"/>
      <c r="BW695" s="266">
        <f t="shared" si="429"/>
        <v>286.12349999999998</v>
      </c>
      <c r="BX695" s="266">
        <f t="shared" si="430"/>
        <v>381.49799999999999</v>
      </c>
      <c r="BY695" s="266">
        <f t="shared" si="431"/>
        <v>667.62149999999997</v>
      </c>
      <c r="BZ695" s="266">
        <f t="shared" si="432"/>
        <v>715.30875000000003</v>
      </c>
      <c r="CA695" s="266">
        <f ca="1">N695*IFERROR(INDEX(Algorithms!$G:$G,MATCH($C695&amp;"_Therm Saved per Unit- MLA",Algorithms!$A:$A,0)),0)*X695</f>
        <v>0</v>
      </c>
      <c r="CB695" s="266">
        <f ca="1">O695*IFERROR(INDEX(Algorithms!$G:$G,MATCH($C695&amp;"_Therm Saved per Unit- MLA",Algorithms!$A:$A,0)),0)*Y695</f>
        <v>0</v>
      </c>
      <c r="CC695" s="266">
        <f ca="1">P695*IFERROR(INDEX(Algorithms!$G:$G,MATCH($C695&amp;"_Therm Saved per Unit- MLA",Algorithms!$A:$A,0)),0)*Z695</f>
        <v>0</v>
      </c>
      <c r="CD695" s="266">
        <f ca="1">Q695*IFERROR(INDEX(Algorithms!$G:$G,MATCH($C695&amp;"_Therm Saved per Unit- MLA",Algorithms!$A:$A,0)),0)*AA695</f>
        <v>0</v>
      </c>
      <c r="CE695" s="266">
        <f ca="1">IFERROR(INDEX(Algorithms!$G:$G,MATCH($C695&amp;"_Lifetime (years)",Algorithms!$A:$A,0)),0)</f>
        <v>11</v>
      </c>
      <c r="CF695" s="266">
        <f ca="1">IFERROR(INDEX(Algorithms!$G:$G,MATCH($C695&amp;"_Lifetime (years) - Remaining Years",Algorithms!$A:$A,0)),0)</f>
        <v>0</v>
      </c>
      <c r="CG695" s="266">
        <f t="shared" ca="1" si="433"/>
        <v>3147.3584999999998</v>
      </c>
      <c r="CH695" s="266">
        <f t="shared" ca="1" si="434"/>
        <v>4196.4780000000001</v>
      </c>
      <c r="CI695" s="266">
        <f t="shared" ca="1" si="435"/>
        <v>7343.8364999999994</v>
      </c>
      <c r="CJ695" s="266">
        <f t="shared" ca="1" si="436"/>
        <v>7868.3962500000007</v>
      </c>
      <c r="CK695" s="266">
        <f t="shared" si="437"/>
        <v>278.28449999999998</v>
      </c>
      <c r="CL695" s="266">
        <f t="shared" si="438"/>
        <v>371.04599999999994</v>
      </c>
      <c r="CM695" s="266">
        <f t="shared" ca="1" si="439"/>
        <v>649.33049999999992</v>
      </c>
      <c r="CN695" s="266">
        <f t="shared" ca="1" si="440"/>
        <v>695.71124999999984</v>
      </c>
      <c r="CO695" s="266">
        <f ca="1">N695*IFERROR(INDEX(Algorithms!$G:$G,MATCH($C695&amp;"_Therm Saved per Unit- MLA",Algorithms!$A:$A,0)),0)*X695</f>
        <v>0</v>
      </c>
      <c r="CP695" s="266">
        <f ca="1">O695*IFERROR(INDEX(Algorithms!$G:$G,MATCH($C695&amp;"_Therm Saved per Unit- MLA",Algorithms!$A:$A,0)),0)*Y695</f>
        <v>0</v>
      </c>
      <c r="CQ695" s="266">
        <f ca="1">P695*IFERROR(INDEX(Algorithms!$G:$G,MATCH($C695&amp;"_Therm Saved per Unit- MLA",Algorithms!$A:$A,0)),0)*Z695</f>
        <v>0</v>
      </c>
      <c r="CR695" s="266">
        <f ca="1">Q695*IFERROR(INDEX(Algorithms!$G:$G,MATCH($C695&amp;"_Therm Saved per Unit- MLA",Algorithms!$A:$A,0)),0)*AA695</f>
        <v>0</v>
      </c>
      <c r="CS695" s="266">
        <f ca="1">IFERROR(INDEX(Algorithms!$G:$G,MATCH($C695&amp;"_Lifetime (years)",Algorithms!$A:$A,0)),0)</f>
        <v>11</v>
      </c>
      <c r="CT695" s="266">
        <f ca="1">IFERROR(INDEX(Algorithms!$G:$G,MATCH($C695&amp;"_Lifetime (years) - Remaining Years",Algorithms!$A:$A,0)),0)</f>
        <v>0</v>
      </c>
      <c r="CU695" s="266">
        <f t="shared" ca="1" si="441"/>
        <v>3061.1295</v>
      </c>
      <c r="CV695" s="266">
        <f t="shared" ca="1" si="442"/>
        <v>4081.5059999999994</v>
      </c>
      <c r="CW695" s="266">
        <f t="shared" ca="1" si="443"/>
        <v>7142.6354999999994</v>
      </c>
      <c r="CX695" s="266">
        <f t="shared" ca="1" si="444"/>
        <v>7652.8237499999977</v>
      </c>
    </row>
    <row r="696" spans="2:102" s="47" customFormat="1" ht="18" customHeight="1" x14ac:dyDescent="0.25">
      <c r="B696" t="str">
        <f t="shared" si="445"/>
        <v>NSG_Residential_Multi-Family_Direct Install_Advanced Thermostat_Furnace (Replace Manual)_MF</v>
      </c>
      <c r="C696" s="47" t="str">
        <f t="shared" si="406"/>
        <v>Advanced Thermostat_Furnace (Replace Manual)_MF</v>
      </c>
      <c r="D696" s="270" t="s">
        <v>1787</v>
      </c>
      <c r="E696" s="270" t="s">
        <v>2</v>
      </c>
      <c r="F696" s="270" t="s">
        <v>1422</v>
      </c>
      <c r="G696" s="270" t="s">
        <v>4</v>
      </c>
      <c r="H696" s="270" t="s">
        <v>7</v>
      </c>
      <c r="I696" s="270" t="s">
        <v>1047</v>
      </c>
      <c r="J696" s="270" t="s">
        <v>553</v>
      </c>
      <c r="K696" s="263">
        <v>1</v>
      </c>
      <c r="L696" s="263" t="str">
        <f ca="1">IFERROR(INDEX(Algorithms!J:J,MATCH($C696&amp;"_Therm Saved per Unit",Algorithms!$A:$A,0)),"n/a")</f>
        <v>5.3.16</v>
      </c>
      <c r="M696" s="263" t="str">
        <f>IFERROR(INDEX('Measure Level Detail'!$N:$N,MATCH($B696,'Measure Level Detail'!$B:$B,0)),0)</f>
        <v>each</v>
      </c>
      <c r="N696" s="271">
        <f>IFERROR(INDEX('Measure Level Detail'!$P:$P,MATCH($B696&amp;"_"&amp;N$3,'Measure Level Detail'!$C:$C,0)),0)</f>
        <v>8</v>
      </c>
      <c r="O696" s="271">
        <f>IFERROR(INDEX('Measure Level Detail'!$P:$P,MATCH($B696&amp;"_"&amp;O$3,'Measure Level Detail'!$C:$C,0)),0)</f>
        <v>8</v>
      </c>
      <c r="P696" s="271">
        <f>IFERROR(INDEX('Measure Level Detail'!$P:$P,MATCH($B696&amp;"_"&amp;P$3,'Measure Level Detail'!$C:$C,0)),0)</f>
        <v>8</v>
      </c>
      <c r="Q696" s="271">
        <f>IFERROR(INDEX('Measure Level Detail'!$P:$P,MATCH($B696&amp;"_"&amp;Q$3,'Measure Level Detail'!$C:$C,0)),0)</f>
        <v>8</v>
      </c>
      <c r="R696" s="263" t="str">
        <f ca="1">IFERROR(INDEX(Algorithms!K:K,MATCH($C696&amp;"_Therm Saved per Unit",Algorithms!$A:$A,0)),"n/a")</f>
        <v>RS-HVC-ADTH-V09-240101</v>
      </c>
      <c r="S696" s="262"/>
      <c r="T696" s="272">
        <v>67.938000000000002</v>
      </c>
      <c r="U696" s="272">
        <v>67.938000000000002</v>
      </c>
      <c r="V696" s="272">
        <v>67.938000000000002</v>
      </c>
      <c r="W696" s="272">
        <v>67.938000000000002</v>
      </c>
      <c r="X696" s="275">
        <v>0.9</v>
      </c>
      <c r="Y696" s="275">
        <v>0.9</v>
      </c>
      <c r="Z696" s="275">
        <v>0.9</v>
      </c>
      <c r="AA696" s="275">
        <v>0.9</v>
      </c>
      <c r="AB696" s="266">
        <f t="shared" si="407"/>
        <v>489.15360000000004</v>
      </c>
      <c r="AC696" s="266">
        <f t="shared" si="408"/>
        <v>489.15360000000004</v>
      </c>
      <c r="AD696" s="266">
        <f t="shared" si="409"/>
        <v>489.15360000000004</v>
      </c>
      <c r="AE696" s="266">
        <f t="shared" si="410"/>
        <v>489.15360000000004</v>
      </c>
      <c r="AF696" s="266">
        <f t="shared" si="411"/>
        <v>1956.6144000000002</v>
      </c>
      <c r="AG696" s="274">
        <v>0.9</v>
      </c>
      <c r="AH696" s="274">
        <v>0.9</v>
      </c>
      <c r="AI696" s="274">
        <v>0.9</v>
      </c>
      <c r="AJ696" s="274">
        <v>0.9</v>
      </c>
      <c r="AK696" s="274">
        <f t="shared" si="412"/>
        <v>0.9</v>
      </c>
      <c r="AL696" s="274">
        <f t="shared" si="413"/>
        <v>0.9</v>
      </c>
      <c r="AM696" s="274">
        <f t="shared" si="414"/>
        <v>0.9</v>
      </c>
      <c r="AN696" s="274">
        <f t="shared" si="415"/>
        <v>0.9</v>
      </c>
      <c r="AO696" s="262"/>
      <c r="AP696" s="262"/>
      <c r="AQ696" s="267">
        <v>66.631500000000003</v>
      </c>
      <c r="AR696" s="262"/>
      <c r="AS696" s="266">
        <f t="shared" si="416"/>
        <v>479.74680000000001</v>
      </c>
      <c r="AT696" s="264">
        <f t="shared" si="417"/>
        <v>-9.4068000000000325</v>
      </c>
      <c r="AU696" s="262"/>
      <c r="AV696" s="262"/>
      <c r="AW696" s="265">
        <v>66.631500000000003</v>
      </c>
      <c r="AX696" s="164" t="s">
        <v>1469</v>
      </c>
      <c r="AY696" s="266">
        <v>479.74680000000001</v>
      </c>
      <c r="AZ696" s="266">
        <f t="shared" si="418"/>
        <v>479.74680000000001</v>
      </c>
      <c r="BA696" s="264">
        <f t="shared" si="419"/>
        <v>-9.4068000000000325</v>
      </c>
      <c r="BB696" s="262"/>
      <c r="BC696" s="262"/>
      <c r="BD696" s="265">
        <f ca="1">IFERROR(INDEX(Algorithms!$G:$G,MATCH($C696&amp;"_Therm Saved per Unit",Algorithms!$A:$A,0)),0)</f>
        <v>66.631500000000003</v>
      </c>
      <c r="BE696" s="164" t="str">
        <f ca="1">IFERROR(INDEX('v12 Revisions'!$P$29:$P$186, MATCH('Measure-Level Adj Gas'!$L696, 'v12 Revisions'!$D$29:$D$186,0)),"")</f>
        <v>n/a - FLH not in fossil fuel energy savings algorithm.</v>
      </c>
      <c r="BF696" s="266">
        <f t="shared" ca="1" si="420"/>
        <v>479.74680000000001</v>
      </c>
      <c r="BG696" s="264">
        <f t="shared" ca="1" si="421"/>
        <v>-9.4068000000000325</v>
      </c>
      <c r="BH696" s="262"/>
      <c r="BI696" s="262"/>
      <c r="BJ696" s="265">
        <f ca="1">IFERROR(INDEX(Algorithms!$G:$G,MATCH($C696&amp;"_Therm Saved per Unit",Algorithms!$A:$A,0)),0)</f>
        <v>66.631500000000003</v>
      </c>
      <c r="BK696" s="164"/>
      <c r="BL696" s="266">
        <f t="shared" ca="1" si="422"/>
        <v>479.74680000000001</v>
      </c>
      <c r="BM696" s="264">
        <f t="shared" ca="1" si="423"/>
        <v>-9.4068000000000325</v>
      </c>
      <c r="BN696" s="266">
        <f t="shared" si="424"/>
        <v>479.74680000000001</v>
      </c>
      <c r="BO696" s="266">
        <f t="shared" si="425"/>
        <v>479.74680000000001</v>
      </c>
      <c r="BP696" s="266">
        <f t="shared" ca="1" si="426"/>
        <v>479.74680000000001</v>
      </c>
      <c r="BQ696" s="266">
        <f t="shared" ca="1" si="427"/>
        <v>479.74680000000001</v>
      </c>
      <c r="BR696" s="268">
        <f t="shared" ca="1" si="428"/>
        <v>1918.9872</v>
      </c>
      <c r="BS696" s="262" t="s">
        <v>99</v>
      </c>
      <c r="BT696" s="277"/>
      <c r="BW696" s="266">
        <f t="shared" si="429"/>
        <v>489.15360000000004</v>
      </c>
      <c r="BX696" s="266">
        <f t="shared" si="430"/>
        <v>489.15360000000004</v>
      </c>
      <c r="BY696" s="266">
        <f t="shared" si="431"/>
        <v>489.15360000000004</v>
      </c>
      <c r="BZ696" s="266">
        <f t="shared" si="432"/>
        <v>489.15360000000004</v>
      </c>
      <c r="CA696" s="266">
        <f ca="1">N696*IFERROR(INDEX(Algorithms!$G:$G,MATCH($C696&amp;"_Therm Saved per Unit- MLA",Algorithms!$A:$A,0)),0)*X696</f>
        <v>0</v>
      </c>
      <c r="CB696" s="266">
        <f ca="1">O696*IFERROR(INDEX(Algorithms!$G:$G,MATCH($C696&amp;"_Therm Saved per Unit- MLA",Algorithms!$A:$A,0)),0)*Y696</f>
        <v>0</v>
      </c>
      <c r="CC696" s="266">
        <f ca="1">P696*IFERROR(INDEX(Algorithms!$G:$G,MATCH($C696&amp;"_Therm Saved per Unit- MLA",Algorithms!$A:$A,0)),0)*Z696</f>
        <v>0</v>
      </c>
      <c r="CD696" s="266">
        <f ca="1">Q696*IFERROR(INDEX(Algorithms!$G:$G,MATCH($C696&amp;"_Therm Saved per Unit- MLA",Algorithms!$A:$A,0)),0)*AA696</f>
        <v>0</v>
      </c>
      <c r="CE696" s="266">
        <f ca="1">IFERROR(INDEX(Algorithms!$G:$G,MATCH($C696&amp;"_Lifetime (years)",Algorithms!$A:$A,0)),0)</f>
        <v>11</v>
      </c>
      <c r="CF696" s="266">
        <f ca="1">IFERROR(INDEX(Algorithms!$G:$G,MATCH($C696&amp;"_Lifetime (years) - Remaining Years",Algorithms!$A:$A,0)),0)</f>
        <v>0</v>
      </c>
      <c r="CG696" s="266">
        <f t="shared" ca="1" si="433"/>
        <v>5380.6896000000006</v>
      </c>
      <c r="CH696" s="266">
        <f t="shared" ca="1" si="434"/>
        <v>5380.6896000000006</v>
      </c>
      <c r="CI696" s="266">
        <f t="shared" ca="1" si="435"/>
        <v>5380.6896000000006</v>
      </c>
      <c r="CJ696" s="266">
        <f t="shared" ca="1" si="436"/>
        <v>5380.6896000000006</v>
      </c>
      <c r="CK696" s="266">
        <f t="shared" si="437"/>
        <v>479.74680000000001</v>
      </c>
      <c r="CL696" s="266">
        <f t="shared" si="438"/>
        <v>479.74680000000001</v>
      </c>
      <c r="CM696" s="266">
        <f t="shared" ca="1" si="439"/>
        <v>479.74680000000001</v>
      </c>
      <c r="CN696" s="266">
        <f t="shared" ca="1" si="440"/>
        <v>479.74680000000001</v>
      </c>
      <c r="CO696" s="266">
        <f ca="1">N696*IFERROR(INDEX(Algorithms!$G:$G,MATCH($C696&amp;"_Therm Saved per Unit- MLA",Algorithms!$A:$A,0)),0)*X696</f>
        <v>0</v>
      </c>
      <c r="CP696" s="266">
        <f ca="1">O696*IFERROR(INDEX(Algorithms!$G:$G,MATCH($C696&amp;"_Therm Saved per Unit- MLA",Algorithms!$A:$A,0)),0)*Y696</f>
        <v>0</v>
      </c>
      <c r="CQ696" s="266">
        <f ca="1">P696*IFERROR(INDEX(Algorithms!$G:$G,MATCH($C696&amp;"_Therm Saved per Unit- MLA",Algorithms!$A:$A,0)),0)*Z696</f>
        <v>0</v>
      </c>
      <c r="CR696" s="266">
        <f ca="1">Q696*IFERROR(INDEX(Algorithms!$G:$G,MATCH($C696&amp;"_Therm Saved per Unit- MLA",Algorithms!$A:$A,0)),0)*AA696</f>
        <v>0</v>
      </c>
      <c r="CS696" s="266">
        <f ca="1">IFERROR(INDEX(Algorithms!$G:$G,MATCH($C696&amp;"_Lifetime (years)",Algorithms!$A:$A,0)),0)</f>
        <v>11</v>
      </c>
      <c r="CT696" s="266">
        <f ca="1">IFERROR(INDEX(Algorithms!$G:$G,MATCH($C696&amp;"_Lifetime (years) - Remaining Years",Algorithms!$A:$A,0)),0)</f>
        <v>0</v>
      </c>
      <c r="CU696" s="266">
        <f t="shared" ca="1" si="441"/>
        <v>5277.2147999999997</v>
      </c>
      <c r="CV696" s="266">
        <f t="shared" ca="1" si="442"/>
        <v>5277.2147999999997</v>
      </c>
      <c r="CW696" s="266">
        <f t="shared" ca="1" si="443"/>
        <v>5277.2147999999997</v>
      </c>
      <c r="CX696" s="266">
        <f t="shared" ca="1" si="444"/>
        <v>5277.2147999999997</v>
      </c>
    </row>
    <row r="697" spans="2:102" s="47" customFormat="1" ht="18" customHeight="1" x14ac:dyDescent="0.25">
      <c r="B697" t="str">
        <f t="shared" si="445"/>
        <v>NSG_Residential_Multi-Family_Direct Install_Advanced Thermostat_Boiler (Replace Manual)_MF</v>
      </c>
      <c r="C697" s="47" t="str">
        <f t="shared" si="406"/>
        <v>Advanced Thermostat_Boiler (Replace Manual)_MF</v>
      </c>
      <c r="D697" s="270" t="s">
        <v>1787</v>
      </c>
      <c r="E697" s="270" t="s">
        <v>2</v>
      </c>
      <c r="F697" s="270" t="s">
        <v>1422</v>
      </c>
      <c r="G697" s="270" t="s">
        <v>4</v>
      </c>
      <c r="H697" s="270" t="s">
        <v>7</v>
      </c>
      <c r="I697" s="270" t="s">
        <v>1051</v>
      </c>
      <c r="J697" s="270" t="s">
        <v>553</v>
      </c>
      <c r="K697" s="263">
        <v>1</v>
      </c>
      <c r="L697" s="263" t="str">
        <f ca="1">IFERROR(INDEX(Algorithms!J:J,MATCH($C697&amp;"_Therm Saved per Unit",Algorithms!$A:$A,0)),"n/a")</f>
        <v>5.3.16</v>
      </c>
      <c r="M697" s="263" t="str">
        <f>IFERROR(INDEX('Measure Level Detail'!$N:$N,MATCH($B697,'Measure Level Detail'!$B:$B,0)),0)</f>
        <v>each</v>
      </c>
      <c r="N697" s="271">
        <f>IFERROR(INDEX('Measure Level Detail'!$P:$P,MATCH($B697&amp;"_"&amp;N$3,'Measure Level Detail'!$C:$C,0)),0)</f>
        <v>6</v>
      </c>
      <c r="O697" s="271">
        <f>IFERROR(INDEX('Measure Level Detail'!$P:$P,MATCH($B697&amp;"_"&amp;O$3,'Measure Level Detail'!$C:$C,0)),0)</f>
        <v>6</v>
      </c>
      <c r="P697" s="271">
        <f>IFERROR(INDEX('Measure Level Detail'!$P:$P,MATCH($B697&amp;"_"&amp;P$3,'Measure Level Detail'!$C:$C,0)),0)</f>
        <v>6</v>
      </c>
      <c r="Q697" s="271">
        <f>IFERROR(INDEX('Measure Level Detail'!$P:$P,MATCH($B697&amp;"_"&amp;Q$3,'Measure Level Detail'!$C:$C,0)),0)</f>
        <v>6</v>
      </c>
      <c r="R697" s="263" t="str">
        <f ca="1">IFERROR(INDEX(Algorithms!K:K,MATCH($C697&amp;"_Therm Saved per Unit",Algorithms!$A:$A,0)),"n/a")</f>
        <v>RS-HVC-ADTH-V09-240101</v>
      </c>
      <c r="S697" s="262"/>
      <c r="T697" s="272">
        <v>100.386</v>
      </c>
      <c r="U697" s="272">
        <v>100.386</v>
      </c>
      <c r="V697" s="272">
        <v>100.386</v>
      </c>
      <c r="W697" s="272">
        <v>100.386</v>
      </c>
      <c r="X697" s="275">
        <v>0.9</v>
      </c>
      <c r="Y697" s="275">
        <v>0.9</v>
      </c>
      <c r="Z697" s="275">
        <v>0.9</v>
      </c>
      <c r="AA697" s="275">
        <v>0.9</v>
      </c>
      <c r="AB697" s="266">
        <f t="shared" si="407"/>
        <v>542.08440000000007</v>
      </c>
      <c r="AC697" s="266">
        <f t="shared" si="408"/>
        <v>542.08440000000007</v>
      </c>
      <c r="AD697" s="266">
        <f t="shared" si="409"/>
        <v>542.08440000000007</v>
      </c>
      <c r="AE697" s="266">
        <f t="shared" si="410"/>
        <v>542.08440000000007</v>
      </c>
      <c r="AF697" s="266">
        <f t="shared" si="411"/>
        <v>2168.3376000000003</v>
      </c>
      <c r="AG697" s="274">
        <v>0.9</v>
      </c>
      <c r="AH697" s="274">
        <v>0.9</v>
      </c>
      <c r="AI697" s="274">
        <v>0.9</v>
      </c>
      <c r="AJ697" s="274">
        <v>0.9</v>
      </c>
      <c r="AK697" s="274">
        <f t="shared" si="412"/>
        <v>0.9</v>
      </c>
      <c r="AL697" s="274">
        <f t="shared" si="413"/>
        <v>0.9</v>
      </c>
      <c r="AM697" s="274">
        <f t="shared" si="414"/>
        <v>0.9</v>
      </c>
      <c r="AN697" s="274">
        <f t="shared" si="415"/>
        <v>0.9</v>
      </c>
      <c r="AO697" s="262"/>
      <c r="AP697" s="262"/>
      <c r="AQ697" s="267">
        <v>98.455500000000001</v>
      </c>
      <c r="AR697" s="262"/>
      <c r="AS697" s="266">
        <f t="shared" si="416"/>
        <v>531.65969999999993</v>
      </c>
      <c r="AT697" s="264">
        <f t="shared" si="417"/>
        <v>-10.424700000000144</v>
      </c>
      <c r="AU697" s="262"/>
      <c r="AV697" s="262"/>
      <c r="AW697" s="265">
        <v>98.455500000000001</v>
      </c>
      <c r="AX697" s="164" t="s">
        <v>1469</v>
      </c>
      <c r="AY697" s="266">
        <v>531.65969999999993</v>
      </c>
      <c r="AZ697" s="266">
        <f t="shared" si="418"/>
        <v>531.65969999999993</v>
      </c>
      <c r="BA697" s="264">
        <f t="shared" si="419"/>
        <v>-10.424700000000144</v>
      </c>
      <c r="BB697" s="262"/>
      <c r="BC697" s="262"/>
      <c r="BD697" s="265">
        <f ca="1">IFERROR(INDEX(Algorithms!$G:$G,MATCH($C697&amp;"_Therm Saved per Unit",Algorithms!$A:$A,0)),0)</f>
        <v>98.455500000000001</v>
      </c>
      <c r="BE697" s="164" t="str">
        <f ca="1">IFERROR(INDEX('v12 Revisions'!$P$29:$P$186, MATCH('Measure-Level Adj Gas'!$L697, 'v12 Revisions'!$D$29:$D$186,0)),"")</f>
        <v>n/a - FLH not in fossil fuel energy savings algorithm.</v>
      </c>
      <c r="BF697" s="266">
        <f t="shared" ca="1" si="420"/>
        <v>531.65969999999993</v>
      </c>
      <c r="BG697" s="264">
        <f t="shared" ca="1" si="421"/>
        <v>-10.424700000000144</v>
      </c>
      <c r="BH697" s="262"/>
      <c r="BI697" s="262"/>
      <c r="BJ697" s="265">
        <f ca="1">IFERROR(INDEX(Algorithms!$G:$G,MATCH($C697&amp;"_Therm Saved per Unit",Algorithms!$A:$A,0)),0)</f>
        <v>98.455500000000001</v>
      </c>
      <c r="BK697" s="164"/>
      <c r="BL697" s="266">
        <f t="shared" ca="1" si="422"/>
        <v>531.65969999999993</v>
      </c>
      <c r="BM697" s="264">
        <f t="shared" ca="1" si="423"/>
        <v>-10.424700000000144</v>
      </c>
      <c r="BN697" s="266">
        <f t="shared" si="424"/>
        <v>531.65969999999993</v>
      </c>
      <c r="BO697" s="266">
        <f t="shared" si="425"/>
        <v>531.65969999999993</v>
      </c>
      <c r="BP697" s="266">
        <f t="shared" ca="1" si="426"/>
        <v>531.65969999999993</v>
      </c>
      <c r="BQ697" s="266">
        <f t="shared" ca="1" si="427"/>
        <v>531.65969999999993</v>
      </c>
      <c r="BR697" s="268">
        <f t="shared" ca="1" si="428"/>
        <v>2126.6387999999997</v>
      </c>
      <c r="BS697" s="262" t="s">
        <v>99</v>
      </c>
      <c r="BT697" s="277"/>
      <c r="BW697" s="266">
        <f t="shared" si="429"/>
        <v>542.08440000000007</v>
      </c>
      <c r="BX697" s="266">
        <f t="shared" si="430"/>
        <v>542.08440000000007</v>
      </c>
      <c r="BY697" s="266">
        <f t="shared" si="431"/>
        <v>542.08440000000007</v>
      </c>
      <c r="BZ697" s="266">
        <f t="shared" si="432"/>
        <v>542.08440000000007</v>
      </c>
      <c r="CA697" s="266">
        <f ca="1">N697*IFERROR(INDEX(Algorithms!$G:$G,MATCH($C697&amp;"_Therm Saved per Unit- MLA",Algorithms!$A:$A,0)),0)*X697</f>
        <v>0</v>
      </c>
      <c r="CB697" s="266">
        <f ca="1">O697*IFERROR(INDEX(Algorithms!$G:$G,MATCH($C697&amp;"_Therm Saved per Unit- MLA",Algorithms!$A:$A,0)),0)*Y697</f>
        <v>0</v>
      </c>
      <c r="CC697" s="266">
        <f ca="1">P697*IFERROR(INDEX(Algorithms!$G:$G,MATCH($C697&amp;"_Therm Saved per Unit- MLA",Algorithms!$A:$A,0)),0)*Z697</f>
        <v>0</v>
      </c>
      <c r="CD697" s="266">
        <f ca="1">Q697*IFERROR(INDEX(Algorithms!$G:$G,MATCH($C697&amp;"_Therm Saved per Unit- MLA",Algorithms!$A:$A,0)),0)*AA697</f>
        <v>0</v>
      </c>
      <c r="CE697" s="266">
        <f ca="1">IFERROR(INDEX(Algorithms!$G:$G,MATCH($C697&amp;"_Lifetime (years)",Algorithms!$A:$A,0)),0)</f>
        <v>11</v>
      </c>
      <c r="CF697" s="266">
        <f ca="1">IFERROR(INDEX(Algorithms!$G:$G,MATCH($C697&amp;"_Lifetime (years) - Remaining Years",Algorithms!$A:$A,0)),0)</f>
        <v>0</v>
      </c>
      <c r="CG697" s="266">
        <f t="shared" ca="1" si="433"/>
        <v>5962.9284000000007</v>
      </c>
      <c r="CH697" s="266">
        <f t="shared" ca="1" si="434"/>
        <v>5962.9284000000007</v>
      </c>
      <c r="CI697" s="266">
        <f t="shared" ca="1" si="435"/>
        <v>5962.9284000000007</v>
      </c>
      <c r="CJ697" s="266">
        <f t="shared" ca="1" si="436"/>
        <v>5962.9284000000007</v>
      </c>
      <c r="CK697" s="266">
        <f t="shared" si="437"/>
        <v>531.65969999999993</v>
      </c>
      <c r="CL697" s="266">
        <f t="shared" si="438"/>
        <v>531.65969999999993</v>
      </c>
      <c r="CM697" s="266">
        <f t="shared" ca="1" si="439"/>
        <v>531.65969999999993</v>
      </c>
      <c r="CN697" s="266">
        <f t="shared" ca="1" si="440"/>
        <v>531.65969999999993</v>
      </c>
      <c r="CO697" s="266">
        <f ca="1">N697*IFERROR(INDEX(Algorithms!$G:$G,MATCH($C697&amp;"_Therm Saved per Unit- MLA",Algorithms!$A:$A,0)),0)*X697</f>
        <v>0</v>
      </c>
      <c r="CP697" s="266">
        <f ca="1">O697*IFERROR(INDEX(Algorithms!$G:$G,MATCH($C697&amp;"_Therm Saved per Unit- MLA",Algorithms!$A:$A,0)),0)*Y697</f>
        <v>0</v>
      </c>
      <c r="CQ697" s="266">
        <f ca="1">P697*IFERROR(INDEX(Algorithms!$G:$G,MATCH($C697&amp;"_Therm Saved per Unit- MLA",Algorithms!$A:$A,0)),0)*Z697</f>
        <v>0</v>
      </c>
      <c r="CR697" s="266">
        <f ca="1">Q697*IFERROR(INDEX(Algorithms!$G:$G,MATCH($C697&amp;"_Therm Saved per Unit- MLA",Algorithms!$A:$A,0)),0)*AA697</f>
        <v>0</v>
      </c>
      <c r="CS697" s="266">
        <f ca="1">IFERROR(INDEX(Algorithms!$G:$G,MATCH($C697&amp;"_Lifetime (years)",Algorithms!$A:$A,0)),0)</f>
        <v>11</v>
      </c>
      <c r="CT697" s="266">
        <f ca="1">IFERROR(INDEX(Algorithms!$G:$G,MATCH($C697&amp;"_Lifetime (years) - Remaining Years",Algorithms!$A:$A,0)),0)</f>
        <v>0</v>
      </c>
      <c r="CU697" s="266">
        <f t="shared" ca="1" si="441"/>
        <v>5848.256699999999</v>
      </c>
      <c r="CV697" s="266">
        <f t="shared" ca="1" si="442"/>
        <v>5848.256699999999</v>
      </c>
      <c r="CW697" s="266">
        <f t="shared" ca="1" si="443"/>
        <v>5848.256699999999</v>
      </c>
      <c r="CX697" s="266">
        <f t="shared" ca="1" si="444"/>
        <v>5848.256699999999</v>
      </c>
    </row>
    <row r="698" spans="2:102" s="47" customFormat="1" ht="18" customHeight="1" x14ac:dyDescent="0.25">
      <c r="B698" t="str">
        <f t="shared" si="445"/>
        <v>NSG_Income Eligible_Multi-Family_MF IHWAP_Advanced Thermostat_Boiler (Replace Manual)_MF</v>
      </c>
      <c r="C698" s="47" t="str">
        <f t="shared" si="406"/>
        <v>Advanced Thermostat_Boiler (Replace Manual)_MF</v>
      </c>
      <c r="D698" s="270" t="s">
        <v>1787</v>
      </c>
      <c r="E698" s="270" t="s">
        <v>325</v>
      </c>
      <c r="F698" s="270" t="s">
        <v>1422</v>
      </c>
      <c r="G698" s="270" t="s">
        <v>1441</v>
      </c>
      <c r="H698" s="270" t="s">
        <v>7</v>
      </c>
      <c r="I698" s="270" t="s">
        <v>1051</v>
      </c>
      <c r="J698" s="270" t="s">
        <v>553</v>
      </c>
      <c r="K698" s="263">
        <v>1</v>
      </c>
      <c r="L698" s="263" t="str">
        <f ca="1">IFERROR(INDEX(Algorithms!J:J,MATCH($C698&amp;"_Therm Saved per Unit",Algorithms!$A:$A,0)),"n/a")</f>
        <v>5.3.16</v>
      </c>
      <c r="M698" s="263" t="str">
        <f>IFERROR(INDEX('Measure Level Detail'!$N:$N,MATCH($B698,'Measure Level Detail'!$B:$B,0)),0)</f>
        <v>each</v>
      </c>
      <c r="N698" s="271">
        <f>IFERROR(INDEX('Measure Level Detail'!$P:$P,MATCH($B698&amp;"_"&amp;N$3,'Measure Level Detail'!$C:$C,0)),0)</f>
        <v>6</v>
      </c>
      <c r="O698" s="271">
        <f>IFERROR(INDEX('Measure Level Detail'!$P:$P,MATCH($B698&amp;"_"&amp;O$3,'Measure Level Detail'!$C:$C,0)),0)</f>
        <v>8</v>
      </c>
      <c r="P698" s="271">
        <f>IFERROR(INDEX('Measure Level Detail'!$P:$P,MATCH($B698&amp;"_"&amp;P$3,'Measure Level Detail'!$C:$C,0)),0)</f>
        <v>14</v>
      </c>
      <c r="Q698" s="271">
        <f>IFERROR(INDEX('Measure Level Detail'!$P:$P,MATCH($B698&amp;"_"&amp;Q$3,'Measure Level Detail'!$C:$C,0)),0)</f>
        <v>15</v>
      </c>
      <c r="R698" s="263" t="str">
        <f ca="1">IFERROR(INDEX(Algorithms!K:K,MATCH($C698&amp;"_Therm Saved per Unit",Algorithms!$A:$A,0)),"n/a")</f>
        <v>RS-HVC-ADTH-V09-240101</v>
      </c>
      <c r="S698" s="262"/>
      <c r="T698" s="272">
        <v>100.386</v>
      </c>
      <c r="U698" s="272">
        <v>100.386</v>
      </c>
      <c r="V698" s="272">
        <v>100.386</v>
      </c>
      <c r="W698" s="272">
        <v>100.386</v>
      </c>
      <c r="X698" s="273">
        <f>IFERROR(INDEX('Measure Level Detail'!$R:$R,MATCH($B698&amp;"_"&amp;X$3,'Measure Level Detail'!$C:$C,0)),0)</f>
        <v>1</v>
      </c>
      <c r="Y698" s="273">
        <f>IFERROR(INDEX('Measure Level Detail'!$R:$R,MATCH($B698&amp;"_"&amp;Y$3,'Measure Level Detail'!$C:$C,0)),0)</f>
        <v>1</v>
      </c>
      <c r="Z698" s="273">
        <f>IFERROR(INDEX('Measure Level Detail'!$R:$R,MATCH($B698&amp;"_"&amp;Z$3,'Measure Level Detail'!$C:$C,0)),0)</f>
        <v>1</v>
      </c>
      <c r="AA698" s="273">
        <f>IFERROR(INDEX('Measure Level Detail'!$R:$R,MATCH($B698&amp;"_"&amp;AA$3,'Measure Level Detail'!$C:$C,0)),0)</f>
        <v>1</v>
      </c>
      <c r="AB698" s="266">
        <f t="shared" si="407"/>
        <v>602.31600000000003</v>
      </c>
      <c r="AC698" s="266">
        <f t="shared" si="408"/>
        <v>803.08799999999997</v>
      </c>
      <c r="AD698" s="266">
        <f t="shared" si="409"/>
        <v>1405.404</v>
      </c>
      <c r="AE698" s="266">
        <f t="shared" si="410"/>
        <v>1505.79</v>
      </c>
      <c r="AF698" s="266">
        <f t="shared" si="411"/>
        <v>4316.598</v>
      </c>
      <c r="AG698" s="274">
        <v>1</v>
      </c>
      <c r="AH698" s="274">
        <v>1</v>
      </c>
      <c r="AI698" s="274">
        <v>1</v>
      </c>
      <c r="AJ698" s="274">
        <v>1</v>
      </c>
      <c r="AK698" s="274">
        <f t="shared" si="412"/>
        <v>1</v>
      </c>
      <c r="AL698" s="274">
        <f t="shared" si="413"/>
        <v>1</v>
      </c>
      <c r="AM698" s="274">
        <f t="shared" si="414"/>
        <v>1</v>
      </c>
      <c r="AN698" s="274">
        <f t="shared" si="415"/>
        <v>1</v>
      </c>
      <c r="AO698" s="262"/>
      <c r="AP698" s="262"/>
      <c r="AQ698" s="267">
        <v>98.455500000000001</v>
      </c>
      <c r="AR698" s="262"/>
      <c r="AS698" s="266">
        <f t="shared" si="416"/>
        <v>590.73299999999995</v>
      </c>
      <c r="AT698" s="264">
        <f t="shared" si="417"/>
        <v>-11.583000000000084</v>
      </c>
      <c r="AU698" s="262"/>
      <c r="AV698" s="262"/>
      <c r="AW698" s="265">
        <v>98.455500000000001</v>
      </c>
      <c r="AX698" s="164" t="s">
        <v>1469</v>
      </c>
      <c r="AY698" s="266">
        <v>787.64400000000001</v>
      </c>
      <c r="AZ698" s="266">
        <f t="shared" si="418"/>
        <v>787.64400000000001</v>
      </c>
      <c r="BA698" s="264">
        <f t="shared" si="419"/>
        <v>-15.44399999999996</v>
      </c>
      <c r="BB698" s="262"/>
      <c r="BC698" s="262"/>
      <c r="BD698" s="265">
        <f ca="1">IFERROR(INDEX(Algorithms!$G:$G,MATCH($C698&amp;"_Therm Saved per Unit",Algorithms!$A:$A,0)),0)</f>
        <v>98.455500000000001</v>
      </c>
      <c r="BE698" s="164" t="str">
        <f ca="1">IFERROR(INDEX('v12 Revisions'!$P$29:$P$186, MATCH('Measure-Level Adj Gas'!$L698, 'v12 Revisions'!$D$29:$D$186,0)),"")</f>
        <v>n/a - FLH not in fossil fuel energy savings algorithm.</v>
      </c>
      <c r="BF698" s="266">
        <f t="shared" ca="1" si="420"/>
        <v>1378.377</v>
      </c>
      <c r="BG698" s="264">
        <f t="shared" ca="1" si="421"/>
        <v>-27.027000000000044</v>
      </c>
      <c r="BH698" s="262"/>
      <c r="BI698" s="262"/>
      <c r="BJ698" s="265">
        <f ca="1">IFERROR(INDEX(Algorithms!$G:$G,MATCH($C698&amp;"_Therm Saved per Unit",Algorithms!$A:$A,0)),0)</f>
        <v>98.455500000000001</v>
      </c>
      <c r="BK698" s="164"/>
      <c r="BL698" s="266">
        <f t="shared" ca="1" si="422"/>
        <v>1476.8325</v>
      </c>
      <c r="BM698" s="264">
        <f t="shared" ca="1" si="423"/>
        <v>-28.957499999999982</v>
      </c>
      <c r="BN698" s="266">
        <f t="shared" si="424"/>
        <v>590.73299999999995</v>
      </c>
      <c r="BO698" s="266">
        <f t="shared" si="425"/>
        <v>787.64400000000001</v>
      </c>
      <c r="BP698" s="266">
        <f t="shared" ca="1" si="426"/>
        <v>1378.377</v>
      </c>
      <c r="BQ698" s="266">
        <f t="shared" ca="1" si="427"/>
        <v>1476.8325</v>
      </c>
      <c r="BR698" s="268">
        <f t="shared" ca="1" si="428"/>
        <v>4233.5864999999994</v>
      </c>
      <c r="BS698" s="262" t="s">
        <v>99</v>
      </c>
      <c r="BT698" s="277"/>
      <c r="BW698" s="266">
        <f t="shared" si="429"/>
        <v>602.31600000000003</v>
      </c>
      <c r="BX698" s="266">
        <f t="shared" si="430"/>
        <v>803.08799999999997</v>
      </c>
      <c r="BY698" s="266">
        <f t="shared" si="431"/>
        <v>1405.404</v>
      </c>
      <c r="BZ698" s="266">
        <f t="shared" si="432"/>
        <v>1505.79</v>
      </c>
      <c r="CA698" s="266">
        <f ca="1">N698*IFERROR(INDEX(Algorithms!$G:$G,MATCH($C698&amp;"_Therm Saved per Unit- MLA",Algorithms!$A:$A,0)),0)*X698</f>
        <v>0</v>
      </c>
      <c r="CB698" s="266">
        <f ca="1">O698*IFERROR(INDEX(Algorithms!$G:$G,MATCH($C698&amp;"_Therm Saved per Unit- MLA",Algorithms!$A:$A,0)),0)*Y698</f>
        <v>0</v>
      </c>
      <c r="CC698" s="266">
        <f ca="1">P698*IFERROR(INDEX(Algorithms!$G:$G,MATCH($C698&amp;"_Therm Saved per Unit- MLA",Algorithms!$A:$A,0)),0)*Z698</f>
        <v>0</v>
      </c>
      <c r="CD698" s="266">
        <f ca="1">Q698*IFERROR(INDEX(Algorithms!$G:$G,MATCH($C698&amp;"_Therm Saved per Unit- MLA",Algorithms!$A:$A,0)),0)*AA698</f>
        <v>0</v>
      </c>
      <c r="CE698" s="266">
        <f ca="1">IFERROR(INDEX(Algorithms!$G:$G,MATCH($C698&amp;"_Lifetime (years)",Algorithms!$A:$A,0)),0)</f>
        <v>11</v>
      </c>
      <c r="CF698" s="266">
        <f ca="1">IFERROR(INDEX(Algorithms!$G:$G,MATCH($C698&amp;"_Lifetime (years) - Remaining Years",Algorithms!$A:$A,0)),0)</f>
        <v>0</v>
      </c>
      <c r="CG698" s="266">
        <f t="shared" ca="1" si="433"/>
        <v>6625.4760000000006</v>
      </c>
      <c r="CH698" s="266">
        <f t="shared" ca="1" si="434"/>
        <v>8833.9679999999989</v>
      </c>
      <c r="CI698" s="266">
        <f t="shared" ca="1" si="435"/>
        <v>15459.444</v>
      </c>
      <c r="CJ698" s="266">
        <f t="shared" ca="1" si="436"/>
        <v>16563.689999999999</v>
      </c>
      <c r="CK698" s="266">
        <f t="shared" si="437"/>
        <v>590.73299999999995</v>
      </c>
      <c r="CL698" s="266">
        <f t="shared" si="438"/>
        <v>787.64400000000001</v>
      </c>
      <c r="CM698" s="266">
        <f t="shared" ca="1" si="439"/>
        <v>1378.377</v>
      </c>
      <c r="CN698" s="266">
        <f t="shared" ca="1" si="440"/>
        <v>1476.8325</v>
      </c>
      <c r="CO698" s="266">
        <f ca="1">N698*IFERROR(INDEX(Algorithms!$G:$G,MATCH($C698&amp;"_Therm Saved per Unit- MLA",Algorithms!$A:$A,0)),0)*X698</f>
        <v>0</v>
      </c>
      <c r="CP698" s="266">
        <f ca="1">O698*IFERROR(INDEX(Algorithms!$G:$G,MATCH($C698&amp;"_Therm Saved per Unit- MLA",Algorithms!$A:$A,0)),0)*Y698</f>
        <v>0</v>
      </c>
      <c r="CQ698" s="266">
        <f ca="1">P698*IFERROR(INDEX(Algorithms!$G:$G,MATCH($C698&amp;"_Therm Saved per Unit- MLA",Algorithms!$A:$A,0)),0)*Z698</f>
        <v>0</v>
      </c>
      <c r="CR698" s="266">
        <f ca="1">Q698*IFERROR(INDEX(Algorithms!$G:$G,MATCH($C698&amp;"_Therm Saved per Unit- MLA",Algorithms!$A:$A,0)),0)*AA698</f>
        <v>0</v>
      </c>
      <c r="CS698" s="266">
        <f ca="1">IFERROR(INDEX(Algorithms!$G:$G,MATCH($C698&amp;"_Lifetime (years)",Algorithms!$A:$A,0)),0)</f>
        <v>11</v>
      </c>
      <c r="CT698" s="266">
        <f ca="1">IFERROR(INDEX(Algorithms!$G:$G,MATCH($C698&amp;"_Lifetime (years) - Remaining Years",Algorithms!$A:$A,0)),0)</f>
        <v>0</v>
      </c>
      <c r="CU698" s="266">
        <f t="shared" ca="1" si="441"/>
        <v>6498.0629999999992</v>
      </c>
      <c r="CV698" s="266">
        <f t="shared" ca="1" si="442"/>
        <v>8664.0840000000007</v>
      </c>
      <c r="CW698" s="266">
        <f t="shared" ca="1" si="443"/>
        <v>15162.146999999999</v>
      </c>
      <c r="CX698" s="266">
        <f t="shared" ca="1" si="444"/>
        <v>16245.157499999999</v>
      </c>
    </row>
    <row r="699" spans="2:102" s="47" customFormat="1" ht="18" customHeight="1" x14ac:dyDescent="0.25">
      <c r="B699" t="str">
        <f t="shared" si="445"/>
        <v>NSG_Income Eligible_Multi-Family_MF IHWAP_Advanced Thermostat_Furnace (Replace Manual)_MF</v>
      </c>
      <c r="C699" s="47" t="str">
        <f>H699&amp;"_"&amp;I699&amp;"_"&amp;J699</f>
        <v>Advanced Thermostat_Furnace (Replace Manual)_MF</v>
      </c>
      <c r="D699" s="270" t="s">
        <v>1787</v>
      </c>
      <c r="E699" s="270" t="s">
        <v>325</v>
      </c>
      <c r="F699" s="270" t="s">
        <v>1422</v>
      </c>
      <c r="G699" s="270" t="s">
        <v>1441</v>
      </c>
      <c r="H699" s="270" t="s">
        <v>7</v>
      </c>
      <c r="I699" s="270" t="s">
        <v>1047</v>
      </c>
      <c r="J699" s="270" t="s">
        <v>553</v>
      </c>
      <c r="K699" s="263">
        <v>1</v>
      </c>
      <c r="L699" s="263" t="str">
        <f ca="1">IFERROR(INDEX(Algorithms!J:J,MATCH($C699&amp;"_Therm Saved per Unit",Algorithms!$A:$A,0)),"n/a")</f>
        <v>5.3.16</v>
      </c>
      <c r="M699" s="263" t="str">
        <f>IFERROR(INDEX('Measure Level Detail'!$N:$N,MATCH($B699,'Measure Level Detail'!$B:$B,0)),0)</f>
        <v>each</v>
      </c>
      <c r="N699" s="271">
        <f>IFERROR(INDEX('Measure Level Detail'!$P:$P,MATCH($B699&amp;"_"&amp;N$3,'Measure Level Detail'!$C:$C,0)),0)</f>
        <v>9</v>
      </c>
      <c r="O699" s="271">
        <f>IFERROR(INDEX('Measure Level Detail'!$P:$P,MATCH($B699&amp;"_"&amp;O$3,'Measure Level Detail'!$C:$C,0)),0)</f>
        <v>11</v>
      </c>
      <c r="P699" s="271">
        <f>IFERROR(INDEX('Measure Level Detail'!$P:$P,MATCH($B699&amp;"_"&amp;P$3,'Measure Level Detail'!$C:$C,0)),0)</f>
        <v>20</v>
      </c>
      <c r="Q699" s="271">
        <f>IFERROR(INDEX('Measure Level Detail'!$P:$P,MATCH($B699&amp;"_"&amp;Q$3,'Measure Level Detail'!$C:$C,0)),0)</f>
        <v>23</v>
      </c>
      <c r="R699" s="263" t="str">
        <f ca="1">IFERROR(INDEX(Algorithms!K:K,MATCH($C699&amp;"_Therm Saved per Unit",Algorithms!$A:$A,0)),"n/a")</f>
        <v>RS-HVC-ADTH-V09-240101</v>
      </c>
      <c r="S699" s="262"/>
      <c r="T699" s="272">
        <v>67.938000000000002</v>
      </c>
      <c r="U699" s="272">
        <v>67.938000000000002</v>
      </c>
      <c r="V699" s="272">
        <v>67.938000000000002</v>
      </c>
      <c r="W699" s="272">
        <v>67.938000000000002</v>
      </c>
      <c r="X699" s="273">
        <f>IFERROR(INDEX('Measure Level Detail'!$R:$R,MATCH($B699&amp;"_"&amp;X$3,'Measure Level Detail'!$C:$C,0)),0)</f>
        <v>1</v>
      </c>
      <c r="Y699" s="273">
        <f>IFERROR(INDEX('Measure Level Detail'!$R:$R,MATCH($B699&amp;"_"&amp;Y$3,'Measure Level Detail'!$C:$C,0)),0)</f>
        <v>1</v>
      </c>
      <c r="Z699" s="273">
        <f>IFERROR(INDEX('Measure Level Detail'!$R:$R,MATCH($B699&amp;"_"&amp;Z$3,'Measure Level Detail'!$C:$C,0)),0)</f>
        <v>1</v>
      </c>
      <c r="AA699" s="273">
        <f>IFERROR(INDEX('Measure Level Detail'!$R:$R,MATCH($B699&amp;"_"&amp;AA$3,'Measure Level Detail'!$C:$C,0)),0)</f>
        <v>1</v>
      </c>
      <c r="AB699" s="266">
        <f t="shared" si="407"/>
        <v>611.44200000000001</v>
      </c>
      <c r="AC699" s="266">
        <f t="shared" si="408"/>
        <v>747.31799999999998</v>
      </c>
      <c r="AD699" s="266">
        <f t="shared" si="409"/>
        <v>1358.76</v>
      </c>
      <c r="AE699" s="266">
        <f t="shared" si="410"/>
        <v>1562.5740000000001</v>
      </c>
      <c r="AF699" s="266">
        <f t="shared" si="411"/>
        <v>4280.0940000000001</v>
      </c>
      <c r="AG699" s="274">
        <v>1</v>
      </c>
      <c r="AH699" s="274">
        <v>1</v>
      </c>
      <c r="AI699" s="274">
        <v>1</v>
      </c>
      <c r="AJ699" s="274">
        <v>1</v>
      </c>
      <c r="AK699" s="274">
        <f t="shared" si="412"/>
        <v>1</v>
      </c>
      <c r="AL699" s="274">
        <f t="shared" si="413"/>
        <v>1</v>
      </c>
      <c r="AM699" s="274">
        <f t="shared" si="414"/>
        <v>1</v>
      </c>
      <c r="AN699" s="274">
        <f t="shared" si="415"/>
        <v>1</v>
      </c>
      <c r="AO699" s="262"/>
      <c r="AP699" s="262"/>
      <c r="AQ699" s="267">
        <v>66.631500000000003</v>
      </c>
      <c r="AR699" s="262"/>
      <c r="AS699" s="266">
        <f t="shared" si="416"/>
        <v>599.68349999999998</v>
      </c>
      <c r="AT699" s="264">
        <f t="shared" si="417"/>
        <v>-11.758500000000026</v>
      </c>
      <c r="AU699" s="262"/>
      <c r="AV699" s="262"/>
      <c r="AW699" s="265">
        <v>66.631500000000003</v>
      </c>
      <c r="AX699" s="164" t="s">
        <v>1469</v>
      </c>
      <c r="AY699" s="266">
        <v>732.94650000000001</v>
      </c>
      <c r="AZ699" s="266">
        <f t="shared" si="418"/>
        <v>732.94650000000001</v>
      </c>
      <c r="BA699" s="264">
        <f t="shared" si="419"/>
        <v>-14.371499999999969</v>
      </c>
      <c r="BB699" s="262"/>
      <c r="BC699" s="262"/>
      <c r="BD699" s="265">
        <f ca="1">IFERROR(INDEX(Algorithms!$G:$G,MATCH($C699&amp;"_Therm Saved per Unit",Algorithms!$A:$A,0)),0)</f>
        <v>66.631500000000003</v>
      </c>
      <c r="BE699" s="164" t="str">
        <f ca="1">IFERROR(INDEX('v12 Revisions'!$P$29:$P$186, MATCH('Measure-Level Adj Gas'!$L699, 'v12 Revisions'!$D$29:$D$186,0)),"")</f>
        <v>n/a - FLH not in fossil fuel energy savings algorithm.</v>
      </c>
      <c r="BF699" s="266">
        <f t="shared" ca="1" si="420"/>
        <v>1332.63</v>
      </c>
      <c r="BG699" s="264">
        <f t="shared" ca="1" si="421"/>
        <v>-26.129999999999882</v>
      </c>
      <c r="BH699" s="262"/>
      <c r="BI699" s="262"/>
      <c r="BJ699" s="265">
        <f ca="1">IFERROR(INDEX(Algorithms!$G:$G,MATCH($C699&amp;"_Therm Saved per Unit",Algorithms!$A:$A,0)),0)</f>
        <v>66.631500000000003</v>
      </c>
      <c r="BK699" s="164"/>
      <c r="BL699" s="266">
        <f t="shared" ca="1" si="422"/>
        <v>1532.5245</v>
      </c>
      <c r="BM699" s="264">
        <f t="shared" ca="1" si="423"/>
        <v>-30.04950000000008</v>
      </c>
      <c r="BN699" s="266">
        <f t="shared" si="424"/>
        <v>599.68349999999998</v>
      </c>
      <c r="BO699" s="266">
        <f t="shared" si="425"/>
        <v>732.94650000000001</v>
      </c>
      <c r="BP699" s="266">
        <f t="shared" ca="1" si="426"/>
        <v>1332.63</v>
      </c>
      <c r="BQ699" s="266">
        <f t="shared" ca="1" si="427"/>
        <v>1532.5245</v>
      </c>
      <c r="BR699" s="268">
        <f t="shared" ca="1" si="428"/>
        <v>4197.7844999999998</v>
      </c>
      <c r="BS699" s="262" t="s">
        <v>99</v>
      </c>
      <c r="BT699" s="277"/>
      <c r="BW699" s="266">
        <f t="shared" si="429"/>
        <v>611.44200000000001</v>
      </c>
      <c r="BX699" s="266">
        <f t="shared" si="430"/>
        <v>747.31799999999998</v>
      </c>
      <c r="BY699" s="266">
        <f t="shared" si="431"/>
        <v>1358.76</v>
      </c>
      <c r="BZ699" s="266">
        <f t="shared" si="432"/>
        <v>1562.5740000000001</v>
      </c>
      <c r="CA699" s="266">
        <f ca="1">N699*IFERROR(INDEX(Algorithms!$G:$G,MATCH($C699&amp;"_Therm Saved per Unit- MLA",Algorithms!$A:$A,0)),0)*X699</f>
        <v>0</v>
      </c>
      <c r="CB699" s="266">
        <f ca="1">O699*IFERROR(INDEX(Algorithms!$G:$G,MATCH($C699&amp;"_Therm Saved per Unit- MLA",Algorithms!$A:$A,0)),0)*Y699</f>
        <v>0</v>
      </c>
      <c r="CC699" s="266">
        <f ca="1">P699*IFERROR(INDEX(Algorithms!$G:$G,MATCH($C699&amp;"_Therm Saved per Unit- MLA",Algorithms!$A:$A,0)),0)*Z699</f>
        <v>0</v>
      </c>
      <c r="CD699" s="266">
        <f ca="1">Q699*IFERROR(INDEX(Algorithms!$G:$G,MATCH($C699&amp;"_Therm Saved per Unit- MLA",Algorithms!$A:$A,0)),0)*AA699</f>
        <v>0</v>
      </c>
      <c r="CE699" s="266">
        <f ca="1">IFERROR(INDEX(Algorithms!$G:$G,MATCH($C699&amp;"_Lifetime (years)",Algorithms!$A:$A,0)),0)</f>
        <v>11</v>
      </c>
      <c r="CF699" s="266">
        <f ca="1">IFERROR(INDEX(Algorithms!$G:$G,MATCH($C699&amp;"_Lifetime (years) - Remaining Years",Algorithms!$A:$A,0)),0)</f>
        <v>0</v>
      </c>
      <c r="CG699" s="266">
        <f t="shared" ca="1" si="433"/>
        <v>6725.8620000000001</v>
      </c>
      <c r="CH699" s="266">
        <f t="shared" ca="1" si="434"/>
        <v>8220.4979999999996</v>
      </c>
      <c r="CI699" s="266">
        <f t="shared" ca="1" si="435"/>
        <v>14946.36</v>
      </c>
      <c r="CJ699" s="266">
        <f t="shared" ca="1" si="436"/>
        <v>17188.314000000002</v>
      </c>
      <c r="CK699" s="266">
        <f t="shared" si="437"/>
        <v>599.68349999999998</v>
      </c>
      <c r="CL699" s="266">
        <f t="shared" si="438"/>
        <v>732.94650000000001</v>
      </c>
      <c r="CM699" s="266">
        <f t="shared" ca="1" si="439"/>
        <v>1332.63</v>
      </c>
      <c r="CN699" s="266">
        <f t="shared" ca="1" si="440"/>
        <v>1532.5245</v>
      </c>
      <c r="CO699" s="266">
        <f ca="1">N699*IFERROR(INDEX(Algorithms!$G:$G,MATCH($C699&amp;"_Therm Saved per Unit- MLA",Algorithms!$A:$A,0)),0)*X699</f>
        <v>0</v>
      </c>
      <c r="CP699" s="266">
        <f ca="1">O699*IFERROR(INDEX(Algorithms!$G:$G,MATCH($C699&amp;"_Therm Saved per Unit- MLA",Algorithms!$A:$A,0)),0)*Y699</f>
        <v>0</v>
      </c>
      <c r="CQ699" s="266">
        <f ca="1">P699*IFERROR(INDEX(Algorithms!$G:$G,MATCH($C699&amp;"_Therm Saved per Unit- MLA",Algorithms!$A:$A,0)),0)*Z699</f>
        <v>0</v>
      </c>
      <c r="CR699" s="266">
        <f ca="1">Q699*IFERROR(INDEX(Algorithms!$G:$G,MATCH($C699&amp;"_Therm Saved per Unit- MLA",Algorithms!$A:$A,0)),0)*AA699</f>
        <v>0</v>
      </c>
      <c r="CS699" s="266">
        <f ca="1">IFERROR(INDEX(Algorithms!$G:$G,MATCH($C699&amp;"_Lifetime (years)",Algorithms!$A:$A,0)),0)</f>
        <v>11</v>
      </c>
      <c r="CT699" s="266">
        <f ca="1">IFERROR(INDEX(Algorithms!$G:$G,MATCH($C699&amp;"_Lifetime (years) - Remaining Years",Algorithms!$A:$A,0)),0)</f>
        <v>0</v>
      </c>
      <c r="CU699" s="266">
        <f t="shared" ca="1" si="441"/>
        <v>6596.5185000000001</v>
      </c>
      <c r="CV699" s="266">
        <f t="shared" ca="1" si="442"/>
        <v>8062.4115000000002</v>
      </c>
      <c r="CW699" s="266">
        <f t="shared" ca="1" si="443"/>
        <v>14658.93</v>
      </c>
      <c r="CX699" s="266">
        <f t="shared" ca="1" si="444"/>
        <v>16857.769499999999</v>
      </c>
    </row>
    <row r="700" spans="2:102" s="47" customFormat="1" ht="18" customHeight="1" x14ac:dyDescent="0.25">
      <c r="B700" t="str">
        <f t="shared" si="445"/>
        <v>NSG_Residential_Multi-Family_Direct Install_Advanced Thermostat_Furnace (Replace Programmable)_MF</v>
      </c>
      <c r="C700" s="47" t="str">
        <f t="shared" si="406"/>
        <v>Advanced Thermostat_Furnace (Replace Programmable)_MF</v>
      </c>
      <c r="D700" s="270" t="s">
        <v>1787</v>
      </c>
      <c r="E700" s="270" t="s">
        <v>2</v>
      </c>
      <c r="F700" s="270" t="s">
        <v>1422</v>
      </c>
      <c r="G700" s="270" t="s">
        <v>4</v>
      </c>
      <c r="H700" s="270" t="s">
        <v>7</v>
      </c>
      <c r="I700" s="270" t="s">
        <v>1049</v>
      </c>
      <c r="J700" s="270" t="s">
        <v>553</v>
      </c>
      <c r="K700" s="263">
        <v>1</v>
      </c>
      <c r="L700" s="263" t="str">
        <f ca="1">IFERROR(INDEX(Algorithms!J:J,MATCH($C700&amp;"_Therm Saved per Unit",Algorithms!$A:$A,0)),"n/a")</f>
        <v>5.3.16</v>
      </c>
      <c r="M700" s="263" t="str">
        <f>IFERROR(INDEX('Measure Level Detail'!$N:$N,MATCH($B700,'Measure Level Detail'!$B:$B,0)),0)</f>
        <v>each</v>
      </c>
      <c r="N700" s="271">
        <f>IFERROR(INDEX('Measure Level Detail'!$P:$P,MATCH($B700&amp;"_"&amp;N$3,'Measure Level Detail'!$C:$C,0)),0)</f>
        <v>11</v>
      </c>
      <c r="O700" s="271">
        <f>IFERROR(INDEX('Measure Level Detail'!$P:$P,MATCH($B700&amp;"_"&amp;O$3,'Measure Level Detail'!$C:$C,0)),0)</f>
        <v>11</v>
      </c>
      <c r="P700" s="271">
        <f>IFERROR(INDEX('Measure Level Detail'!$P:$P,MATCH($B700&amp;"_"&amp;P$3,'Measure Level Detail'!$C:$C,0)),0)</f>
        <v>11</v>
      </c>
      <c r="Q700" s="271">
        <f>IFERROR(INDEX('Measure Level Detail'!$P:$P,MATCH($B700&amp;"_"&amp;Q$3,'Measure Level Detail'!$C:$C,0)),0)</f>
        <v>11</v>
      </c>
      <c r="R700" s="263" t="str">
        <f ca="1">IFERROR(INDEX(Algorithms!K:K,MATCH($C700&amp;"_Therm Saved per Unit",Algorithms!$A:$A,0)),"n/a")</f>
        <v>RS-HVC-ADTH-V09-240101</v>
      </c>
      <c r="S700" s="262"/>
      <c r="T700" s="272">
        <v>47.687249999999999</v>
      </c>
      <c r="U700" s="272">
        <v>47.687249999999999</v>
      </c>
      <c r="V700" s="272">
        <v>47.687249999999999</v>
      </c>
      <c r="W700" s="272">
        <v>47.687249999999999</v>
      </c>
      <c r="X700" s="275">
        <v>0.9</v>
      </c>
      <c r="Y700" s="275">
        <v>0.9</v>
      </c>
      <c r="Z700" s="275">
        <v>0.9</v>
      </c>
      <c r="AA700" s="275">
        <v>0.9</v>
      </c>
      <c r="AB700" s="266">
        <f t="shared" si="407"/>
        <v>472.10377500000004</v>
      </c>
      <c r="AC700" s="266">
        <f t="shared" si="408"/>
        <v>472.10377500000004</v>
      </c>
      <c r="AD700" s="266">
        <f t="shared" si="409"/>
        <v>472.10377500000004</v>
      </c>
      <c r="AE700" s="266">
        <f t="shared" si="410"/>
        <v>472.10377500000004</v>
      </c>
      <c r="AF700" s="266">
        <f t="shared" si="411"/>
        <v>1888.4151000000002</v>
      </c>
      <c r="AG700" s="274">
        <v>0.9</v>
      </c>
      <c r="AH700" s="274">
        <v>0.9</v>
      </c>
      <c r="AI700" s="274">
        <v>0.9</v>
      </c>
      <c r="AJ700" s="274">
        <v>0.9</v>
      </c>
      <c r="AK700" s="274">
        <f t="shared" si="412"/>
        <v>0.9</v>
      </c>
      <c r="AL700" s="274">
        <f t="shared" si="413"/>
        <v>0.9</v>
      </c>
      <c r="AM700" s="274">
        <f t="shared" si="414"/>
        <v>0.9</v>
      </c>
      <c r="AN700" s="274">
        <f t="shared" si="415"/>
        <v>0.9</v>
      </c>
      <c r="AO700" s="262"/>
      <c r="AP700" s="262"/>
      <c r="AQ700" s="267">
        <v>46.380749999999992</v>
      </c>
      <c r="AR700" s="262"/>
      <c r="AS700" s="266">
        <f t="shared" si="416"/>
        <v>459.16942499999993</v>
      </c>
      <c r="AT700" s="264">
        <f t="shared" si="417"/>
        <v>-12.934350000000109</v>
      </c>
      <c r="AU700" s="262"/>
      <c r="AV700" s="262"/>
      <c r="AW700" s="265">
        <v>46.380749999999992</v>
      </c>
      <c r="AX700" s="164" t="s">
        <v>1469</v>
      </c>
      <c r="AY700" s="266">
        <v>459.16942499999993</v>
      </c>
      <c r="AZ700" s="266">
        <f t="shared" si="418"/>
        <v>459.16942499999993</v>
      </c>
      <c r="BA700" s="264">
        <f t="shared" si="419"/>
        <v>-12.934350000000109</v>
      </c>
      <c r="BB700" s="262"/>
      <c r="BC700" s="262"/>
      <c r="BD700" s="265">
        <f ca="1">IFERROR(INDEX(Algorithms!$G:$G,MATCH($C700&amp;"_Therm Saved per Unit",Algorithms!$A:$A,0)),0)</f>
        <v>46.380749999999992</v>
      </c>
      <c r="BE700" s="164" t="str">
        <f ca="1">IFERROR(INDEX('v12 Revisions'!$P$29:$P$186, MATCH('Measure-Level Adj Gas'!$L700, 'v12 Revisions'!$D$29:$D$186,0)),"")</f>
        <v>n/a - FLH not in fossil fuel energy savings algorithm.</v>
      </c>
      <c r="BF700" s="266">
        <f t="shared" ca="1" si="420"/>
        <v>459.16942499999993</v>
      </c>
      <c r="BG700" s="264">
        <f t="shared" ca="1" si="421"/>
        <v>-12.934350000000109</v>
      </c>
      <c r="BH700" s="262"/>
      <c r="BI700" s="262"/>
      <c r="BJ700" s="265">
        <f ca="1">IFERROR(INDEX(Algorithms!$G:$G,MATCH($C700&amp;"_Therm Saved per Unit",Algorithms!$A:$A,0)),0)</f>
        <v>46.380749999999992</v>
      </c>
      <c r="BK700" s="164"/>
      <c r="BL700" s="266">
        <f t="shared" ca="1" si="422"/>
        <v>459.16942499999993</v>
      </c>
      <c r="BM700" s="264">
        <f t="shared" ca="1" si="423"/>
        <v>-12.934350000000109</v>
      </c>
      <c r="BN700" s="266">
        <f t="shared" si="424"/>
        <v>459.16942499999993</v>
      </c>
      <c r="BO700" s="266">
        <f t="shared" si="425"/>
        <v>459.16942499999993</v>
      </c>
      <c r="BP700" s="266">
        <f t="shared" ca="1" si="426"/>
        <v>459.16942499999993</v>
      </c>
      <c r="BQ700" s="266">
        <f t="shared" ca="1" si="427"/>
        <v>459.16942499999993</v>
      </c>
      <c r="BR700" s="268">
        <f t="shared" ca="1" si="428"/>
        <v>1836.6776999999997</v>
      </c>
      <c r="BS700" s="262" t="s">
        <v>99</v>
      </c>
      <c r="BT700" s="277"/>
      <c r="BW700" s="266">
        <f t="shared" si="429"/>
        <v>472.10377500000004</v>
      </c>
      <c r="BX700" s="266">
        <f t="shared" si="430"/>
        <v>472.10377500000004</v>
      </c>
      <c r="BY700" s="266">
        <f t="shared" si="431"/>
        <v>472.10377500000004</v>
      </c>
      <c r="BZ700" s="266">
        <f t="shared" si="432"/>
        <v>472.10377500000004</v>
      </c>
      <c r="CA700" s="266">
        <f ca="1">N700*IFERROR(INDEX(Algorithms!$G:$G,MATCH($C700&amp;"_Therm Saved per Unit- MLA",Algorithms!$A:$A,0)),0)*X700</f>
        <v>0</v>
      </c>
      <c r="CB700" s="266">
        <f ca="1">O700*IFERROR(INDEX(Algorithms!$G:$G,MATCH($C700&amp;"_Therm Saved per Unit- MLA",Algorithms!$A:$A,0)),0)*Y700</f>
        <v>0</v>
      </c>
      <c r="CC700" s="266">
        <f ca="1">P700*IFERROR(INDEX(Algorithms!$G:$G,MATCH($C700&amp;"_Therm Saved per Unit- MLA",Algorithms!$A:$A,0)),0)*Z700</f>
        <v>0</v>
      </c>
      <c r="CD700" s="266">
        <f ca="1">Q700*IFERROR(INDEX(Algorithms!$G:$G,MATCH($C700&amp;"_Therm Saved per Unit- MLA",Algorithms!$A:$A,0)),0)*AA700</f>
        <v>0</v>
      </c>
      <c r="CE700" s="266">
        <f ca="1">IFERROR(INDEX(Algorithms!$G:$G,MATCH($C700&amp;"_Lifetime (years)",Algorithms!$A:$A,0)),0)</f>
        <v>11</v>
      </c>
      <c r="CF700" s="266">
        <f ca="1">IFERROR(INDEX(Algorithms!$G:$G,MATCH($C700&amp;"_Lifetime (years) - Remaining Years",Algorithms!$A:$A,0)),0)</f>
        <v>0</v>
      </c>
      <c r="CG700" s="266">
        <f t="shared" ca="1" si="433"/>
        <v>5193.1415250000009</v>
      </c>
      <c r="CH700" s="266">
        <f t="shared" ca="1" si="434"/>
        <v>5193.1415250000009</v>
      </c>
      <c r="CI700" s="266">
        <f t="shared" ca="1" si="435"/>
        <v>5193.1415250000009</v>
      </c>
      <c r="CJ700" s="266">
        <f t="shared" ca="1" si="436"/>
        <v>5193.1415250000009</v>
      </c>
      <c r="CK700" s="266">
        <f t="shared" si="437"/>
        <v>459.16942499999993</v>
      </c>
      <c r="CL700" s="266">
        <f t="shared" si="438"/>
        <v>459.16942499999993</v>
      </c>
      <c r="CM700" s="266">
        <f t="shared" ca="1" si="439"/>
        <v>459.16942499999993</v>
      </c>
      <c r="CN700" s="266">
        <f t="shared" ca="1" si="440"/>
        <v>459.16942499999993</v>
      </c>
      <c r="CO700" s="266">
        <f ca="1">N700*IFERROR(INDEX(Algorithms!$G:$G,MATCH($C700&amp;"_Therm Saved per Unit- MLA",Algorithms!$A:$A,0)),0)*X700</f>
        <v>0</v>
      </c>
      <c r="CP700" s="266">
        <f ca="1">O700*IFERROR(INDEX(Algorithms!$G:$G,MATCH($C700&amp;"_Therm Saved per Unit- MLA",Algorithms!$A:$A,0)),0)*Y700</f>
        <v>0</v>
      </c>
      <c r="CQ700" s="266">
        <f ca="1">P700*IFERROR(INDEX(Algorithms!$G:$G,MATCH($C700&amp;"_Therm Saved per Unit- MLA",Algorithms!$A:$A,0)),0)*Z700</f>
        <v>0</v>
      </c>
      <c r="CR700" s="266">
        <f ca="1">Q700*IFERROR(INDEX(Algorithms!$G:$G,MATCH($C700&amp;"_Therm Saved per Unit- MLA",Algorithms!$A:$A,0)),0)*AA700</f>
        <v>0</v>
      </c>
      <c r="CS700" s="266">
        <f ca="1">IFERROR(INDEX(Algorithms!$G:$G,MATCH($C700&amp;"_Lifetime (years)",Algorithms!$A:$A,0)),0)</f>
        <v>11</v>
      </c>
      <c r="CT700" s="266">
        <f ca="1">IFERROR(INDEX(Algorithms!$G:$G,MATCH($C700&amp;"_Lifetime (years) - Remaining Years",Algorithms!$A:$A,0)),0)</f>
        <v>0</v>
      </c>
      <c r="CU700" s="266">
        <f t="shared" ca="1" si="441"/>
        <v>5050.8636749999996</v>
      </c>
      <c r="CV700" s="266">
        <f t="shared" ca="1" si="442"/>
        <v>5050.8636749999996</v>
      </c>
      <c r="CW700" s="266">
        <f t="shared" ca="1" si="443"/>
        <v>5050.8636749999996</v>
      </c>
      <c r="CX700" s="266">
        <f t="shared" ca="1" si="444"/>
        <v>5050.8636749999996</v>
      </c>
    </row>
    <row r="701" spans="2:102" s="47" customFormat="1" ht="18" customHeight="1" x14ac:dyDescent="0.25">
      <c r="B701" t="str">
        <f t="shared" si="445"/>
        <v>NSG_Residential_Multi-Family_Direct Install_Advanced Thermostat_Boiler (Replace Programmable)_MF</v>
      </c>
      <c r="C701" s="47" t="str">
        <f t="shared" si="406"/>
        <v>Advanced Thermostat_Boiler (Replace Programmable)_MF</v>
      </c>
      <c r="D701" s="270" t="s">
        <v>1787</v>
      </c>
      <c r="E701" s="270" t="s">
        <v>2</v>
      </c>
      <c r="F701" s="270" t="s">
        <v>1422</v>
      </c>
      <c r="G701" s="270" t="s">
        <v>4</v>
      </c>
      <c r="H701" s="270" t="s">
        <v>7</v>
      </c>
      <c r="I701" s="270" t="s">
        <v>1052</v>
      </c>
      <c r="J701" s="270" t="s">
        <v>553</v>
      </c>
      <c r="K701" s="263">
        <v>1</v>
      </c>
      <c r="L701" s="263" t="str">
        <f ca="1">IFERROR(INDEX(Algorithms!J:J,MATCH($C701&amp;"_Therm Saved per Unit",Algorithms!$A:$A,0)),"n/a")</f>
        <v>5.3.16</v>
      </c>
      <c r="M701" s="263" t="str">
        <f>IFERROR(INDEX('Measure Level Detail'!$N:$N,MATCH($B701,'Measure Level Detail'!$B:$B,0)),0)</f>
        <v>each</v>
      </c>
      <c r="N701" s="271">
        <f>IFERROR(INDEX('Measure Level Detail'!$P:$P,MATCH($B701&amp;"_"&amp;N$3,'Measure Level Detail'!$C:$C,0)),0)</f>
        <v>10</v>
      </c>
      <c r="O701" s="271">
        <f>IFERROR(INDEX('Measure Level Detail'!$P:$P,MATCH($B701&amp;"_"&amp;O$3,'Measure Level Detail'!$C:$C,0)),0)</f>
        <v>10</v>
      </c>
      <c r="P701" s="271">
        <f>IFERROR(INDEX('Measure Level Detail'!$P:$P,MATCH($B701&amp;"_"&amp;P$3,'Measure Level Detail'!$C:$C,0)),0)</f>
        <v>10</v>
      </c>
      <c r="Q701" s="271">
        <f>IFERROR(INDEX('Measure Level Detail'!$P:$P,MATCH($B701&amp;"_"&amp;Q$3,'Measure Level Detail'!$C:$C,0)),0)</f>
        <v>10</v>
      </c>
      <c r="R701" s="263" t="str">
        <f ca="1">IFERROR(INDEX(Algorithms!K:K,MATCH($C701&amp;"_Therm Saved per Unit",Algorithms!$A:$A,0)),"n/a")</f>
        <v>RS-HVC-ADTH-V09-240101</v>
      </c>
      <c r="S701" s="262"/>
      <c r="T701" s="272">
        <v>70.463249999999988</v>
      </c>
      <c r="U701" s="272">
        <v>70.463249999999988</v>
      </c>
      <c r="V701" s="272">
        <v>70.463249999999988</v>
      </c>
      <c r="W701" s="272">
        <v>70.463249999999988</v>
      </c>
      <c r="X701" s="275">
        <v>0.9</v>
      </c>
      <c r="Y701" s="275">
        <v>0.9</v>
      </c>
      <c r="Z701" s="275">
        <v>0.9</v>
      </c>
      <c r="AA701" s="275">
        <v>0.9</v>
      </c>
      <c r="AB701" s="266">
        <f t="shared" si="407"/>
        <v>634.16924999999992</v>
      </c>
      <c r="AC701" s="266">
        <f t="shared" si="408"/>
        <v>634.16924999999992</v>
      </c>
      <c r="AD701" s="266">
        <f t="shared" si="409"/>
        <v>634.16924999999992</v>
      </c>
      <c r="AE701" s="266">
        <f t="shared" si="410"/>
        <v>634.16924999999992</v>
      </c>
      <c r="AF701" s="266">
        <f t="shared" si="411"/>
        <v>2536.6769999999997</v>
      </c>
      <c r="AG701" s="274">
        <v>0.9</v>
      </c>
      <c r="AH701" s="274">
        <v>0.9</v>
      </c>
      <c r="AI701" s="274">
        <v>0.9</v>
      </c>
      <c r="AJ701" s="274">
        <v>0.9</v>
      </c>
      <c r="AK701" s="274">
        <f t="shared" si="412"/>
        <v>0.9</v>
      </c>
      <c r="AL701" s="274">
        <f t="shared" si="413"/>
        <v>0.9</v>
      </c>
      <c r="AM701" s="274">
        <f t="shared" si="414"/>
        <v>0.9</v>
      </c>
      <c r="AN701" s="274">
        <f t="shared" si="415"/>
        <v>0.9</v>
      </c>
      <c r="AO701" s="262"/>
      <c r="AP701" s="262"/>
      <c r="AQ701" s="267">
        <v>68.532749999999993</v>
      </c>
      <c r="AR701" s="262"/>
      <c r="AS701" s="266">
        <f t="shared" si="416"/>
        <v>616.79474999999991</v>
      </c>
      <c r="AT701" s="264">
        <f t="shared" si="417"/>
        <v>-17.374500000000012</v>
      </c>
      <c r="AU701" s="262"/>
      <c r="AV701" s="262"/>
      <c r="AW701" s="265">
        <v>68.532749999999993</v>
      </c>
      <c r="AX701" s="164" t="s">
        <v>1469</v>
      </c>
      <c r="AY701" s="266">
        <v>616.79474999999991</v>
      </c>
      <c r="AZ701" s="266">
        <f t="shared" si="418"/>
        <v>616.79474999999991</v>
      </c>
      <c r="BA701" s="264">
        <f t="shared" si="419"/>
        <v>-17.374500000000012</v>
      </c>
      <c r="BB701" s="262"/>
      <c r="BC701" s="262"/>
      <c r="BD701" s="265">
        <f ca="1">IFERROR(INDEX(Algorithms!$G:$G,MATCH($C701&amp;"_Therm Saved per Unit",Algorithms!$A:$A,0)),0)</f>
        <v>68.532749999999993</v>
      </c>
      <c r="BE701" s="164" t="str">
        <f ca="1">IFERROR(INDEX('v12 Revisions'!$P$29:$P$186, MATCH('Measure-Level Adj Gas'!$L701, 'v12 Revisions'!$D$29:$D$186,0)),"")</f>
        <v>n/a - FLH not in fossil fuel energy savings algorithm.</v>
      </c>
      <c r="BF701" s="266">
        <f t="shared" ca="1" si="420"/>
        <v>616.79474999999991</v>
      </c>
      <c r="BG701" s="264">
        <f t="shared" ca="1" si="421"/>
        <v>-17.374500000000012</v>
      </c>
      <c r="BH701" s="262"/>
      <c r="BI701" s="262"/>
      <c r="BJ701" s="265">
        <f ca="1">IFERROR(INDEX(Algorithms!$G:$G,MATCH($C701&amp;"_Therm Saved per Unit",Algorithms!$A:$A,0)),0)</f>
        <v>68.532749999999993</v>
      </c>
      <c r="BK701" s="164"/>
      <c r="BL701" s="266">
        <f t="shared" ca="1" si="422"/>
        <v>616.79474999999991</v>
      </c>
      <c r="BM701" s="264">
        <f t="shared" ca="1" si="423"/>
        <v>-17.374500000000012</v>
      </c>
      <c r="BN701" s="266">
        <f t="shared" si="424"/>
        <v>616.79474999999991</v>
      </c>
      <c r="BO701" s="266">
        <f t="shared" si="425"/>
        <v>616.79474999999991</v>
      </c>
      <c r="BP701" s="266">
        <f t="shared" ca="1" si="426"/>
        <v>616.79474999999991</v>
      </c>
      <c r="BQ701" s="266">
        <f t="shared" ca="1" si="427"/>
        <v>616.79474999999991</v>
      </c>
      <c r="BR701" s="268">
        <f t="shared" ca="1" si="428"/>
        <v>2467.1789999999996</v>
      </c>
      <c r="BS701" s="262" t="s">
        <v>99</v>
      </c>
      <c r="BT701" s="277"/>
      <c r="BW701" s="266">
        <f t="shared" si="429"/>
        <v>634.16924999999992</v>
      </c>
      <c r="BX701" s="266">
        <f t="shared" si="430"/>
        <v>634.16924999999992</v>
      </c>
      <c r="BY701" s="266">
        <f t="shared" si="431"/>
        <v>634.16924999999992</v>
      </c>
      <c r="BZ701" s="266">
        <f t="shared" si="432"/>
        <v>634.16924999999992</v>
      </c>
      <c r="CA701" s="266">
        <f ca="1">N701*IFERROR(INDEX(Algorithms!$G:$G,MATCH($C701&amp;"_Therm Saved per Unit- MLA",Algorithms!$A:$A,0)),0)*X701</f>
        <v>0</v>
      </c>
      <c r="CB701" s="266">
        <f ca="1">O701*IFERROR(INDEX(Algorithms!$G:$G,MATCH($C701&amp;"_Therm Saved per Unit- MLA",Algorithms!$A:$A,0)),0)*Y701</f>
        <v>0</v>
      </c>
      <c r="CC701" s="266">
        <f ca="1">P701*IFERROR(INDEX(Algorithms!$G:$G,MATCH($C701&amp;"_Therm Saved per Unit- MLA",Algorithms!$A:$A,0)),0)*Z701</f>
        <v>0</v>
      </c>
      <c r="CD701" s="266">
        <f ca="1">Q701*IFERROR(INDEX(Algorithms!$G:$G,MATCH($C701&amp;"_Therm Saved per Unit- MLA",Algorithms!$A:$A,0)),0)*AA701</f>
        <v>0</v>
      </c>
      <c r="CE701" s="266">
        <f ca="1">IFERROR(INDEX(Algorithms!$G:$G,MATCH($C701&amp;"_Lifetime (years)",Algorithms!$A:$A,0)),0)</f>
        <v>11</v>
      </c>
      <c r="CF701" s="266">
        <f ca="1">IFERROR(INDEX(Algorithms!$G:$G,MATCH($C701&amp;"_Lifetime (years) - Remaining Years",Algorithms!$A:$A,0)),0)</f>
        <v>0</v>
      </c>
      <c r="CG701" s="266">
        <f t="shared" ca="1" si="433"/>
        <v>6975.8617499999991</v>
      </c>
      <c r="CH701" s="266">
        <f t="shared" ca="1" si="434"/>
        <v>6975.8617499999991</v>
      </c>
      <c r="CI701" s="266">
        <f t="shared" ca="1" si="435"/>
        <v>6975.8617499999991</v>
      </c>
      <c r="CJ701" s="266">
        <f t="shared" ca="1" si="436"/>
        <v>6975.8617499999991</v>
      </c>
      <c r="CK701" s="266">
        <f t="shared" si="437"/>
        <v>616.79474999999991</v>
      </c>
      <c r="CL701" s="266">
        <f t="shared" si="438"/>
        <v>616.79474999999991</v>
      </c>
      <c r="CM701" s="266">
        <f t="shared" ca="1" si="439"/>
        <v>616.79474999999991</v>
      </c>
      <c r="CN701" s="266">
        <f t="shared" ca="1" si="440"/>
        <v>616.79474999999991</v>
      </c>
      <c r="CO701" s="266">
        <f ca="1">N701*IFERROR(INDEX(Algorithms!$G:$G,MATCH($C701&amp;"_Therm Saved per Unit- MLA",Algorithms!$A:$A,0)),0)*X701</f>
        <v>0</v>
      </c>
      <c r="CP701" s="266">
        <f ca="1">O701*IFERROR(INDEX(Algorithms!$G:$G,MATCH($C701&amp;"_Therm Saved per Unit- MLA",Algorithms!$A:$A,0)),0)*Y701</f>
        <v>0</v>
      </c>
      <c r="CQ701" s="266">
        <f ca="1">P701*IFERROR(INDEX(Algorithms!$G:$G,MATCH($C701&amp;"_Therm Saved per Unit- MLA",Algorithms!$A:$A,0)),0)*Z701</f>
        <v>0</v>
      </c>
      <c r="CR701" s="266">
        <f ca="1">Q701*IFERROR(INDEX(Algorithms!$G:$G,MATCH($C701&amp;"_Therm Saved per Unit- MLA",Algorithms!$A:$A,0)),0)*AA701</f>
        <v>0</v>
      </c>
      <c r="CS701" s="266">
        <f ca="1">IFERROR(INDEX(Algorithms!$G:$G,MATCH($C701&amp;"_Lifetime (years)",Algorithms!$A:$A,0)),0)</f>
        <v>11</v>
      </c>
      <c r="CT701" s="266">
        <f ca="1">IFERROR(INDEX(Algorithms!$G:$G,MATCH($C701&amp;"_Lifetime (years) - Remaining Years",Algorithms!$A:$A,0)),0)</f>
        <v>0</v>
      </c>
      <c r="CU701" s="266">
        <f t="shared" ca="1" si="441"/>
        <v>6784.7422499999993</v>
      </c>
      <c r="CV701" s="266">
        <f t="shared" ca="1" si="442"/>
        <v>6784.7422499999993</v>
      </c>
      <c r="CW701" s="266">
        <f t="shared" ca="1" si="443"/>
        <v>6784.7422499999993</v>
      </c>
      <c r="CX701" s="266">
        <f t="shared" ca="1" si="444"/>
        <v>6784.7422499999993</v>
      </c>
    </row>
    <row r="702" spans="2:102" s="47" customFormat="1" ht="18" customHeight="1" x14ac:dyDescent="0.25">
      <c r="B702" t="str">
        <f t="shared" si="445"/>
        <v>NSG_Income Eligible_Single Family_IHWAP_Advanced Thermostat_Furnace (Replace Programmable)_SF</v>
      </c>
      <c r="C702" s="47" t="str">
        <f t="shared" si="406"/>
        <v>Advanced Thermostat_Furnace (Replace Programmable)_SF</v>
      </c>
      <c r="D702" s="270" t="s">
        <v>1787</v>
      </c>
      <c r="E702" s="270" t="s">
        <v>325</v>
      </c>
      <c r="F702" s="270" t="s">
        <v>375</v>
      </c>
      <c r="G702" s="270" t="s">
        <v>1439</v>
      </c>
      <c r="H702" s="270" t="s">
        <v>7</v>
      </c>
      <c r="I702" s="270" t="s">
        <v>1049</v>
      </c>
      <c r="J702" s="270" t="s">
        <v>409</v>
      </c>
      <c r="K702" s="263">
        <v>1</v>
      </c>
      <c r="L702" s="263" t="str">
        <f ca="1">IFERROR(INDEX(Algorithms!J:J,MATCH($C702&amp;"_Therm Saved per Unit",Algorithms!$A:$A,0)),"n/a")</f>
        <v>5.3.16</v>
      </c>
      <c r="M702" s="263" t="str">
        <f>IFERROR(INDEX('Measure Level Detail'!$N:$N,MATCH($B702,'Measure Level Detail'!$B:$B,0)),0)</f>
        <v>Each</v>
      </c>
      <c r="N702" s="271">
        <f>IFERROR(INDEX('Measure Level Detail'!$P:$P,MATCH($B702&amp;"_"&amp;N$3,'Measure Level Detail'!$C:$C,0)),0)</f>
        <v>10</v>
      </c>
      <c r="O702" s="271">
        <f>IFERROR(INDEX('Measure Level Detail'!$P:$P,MATCH($B702&amp;"_"&amp;O$3,'Measure Level Detail'!$C:$C,0)),0)</f>
        <v>11</v>
      </c>
      <c r="P702" s="271">
        <f>IFERROR(INDEX('Measure Level Detail'!$P:$P,MATCH($B702&amp;"_"&amp;P$3,'Measure Level Detail'!$C:$C,0)),0)</f>
        <v>14</v>
      </c>
      <c r="Q702" s="271">
        <f>IFERROR(INDEX('Measure Level Detail'!$P:$P,MATCH($B702&amp;"_"&amp;Q$3,'Measure Level Detail'!$C:$C,0)),0)</f>
        <v>15</v>
      </c>
      <c r="R702" s="263" t="str">
        <f ca="1">IFERROR(INDEX(Algorithms!K:K,MATCH($C702&amp;"_Therm Saved per Unit",Algorithms!$A:$A,0)),"n/a")</f>
        <v>RS-HVC-ADTH-V09-240101</v>
      </c>
      <c r="S702" s="262"/>
      <c r="T702" s="272">
        <v>73.364999999999995</v>
      </c>
      <c r="U702" s="272">
        <v>73.364999999999995</v>
      </c>
      <c r="V702" s="272">
        <v>73.364999999999995</v>
      </c>
      <c r="W702" s="272">
        <v>73.364999999999995</v>
      </c>
      <c r="X702" s="273">
        <f>IFERROR(INDEX('Measure Level Detail'!$R:$R,MATCH($B702&amp;"_"&amp;X$3,'Measure Level Detail'!$C:$C,0)),0)</f>
        <v>1</v>
      </c>
      <c r="Y702" s="273">
        <f>IFERROR(INDEX('Measure Level Detail'!$R:$R,MATCH($B702&amp;"_"&amp;Y$3,'Measure Level Detail'!$C:$C,0)),0)</f>
        <v>1</v>
      </c>
      <c r="Z702" s="273">
        <f>IFERROR(INDEX('Measure Level Detail'!$R:$R,MATCH($B702&amp;"_"&amp;Z$3,'Measure Level Detail'!$C:$C,0)),0)</f>
        <v>1</v>
      </c>
      <c r="AA702" s="273">
        <f>IFERROR(INDEX('Measure Level Detail'!$R:$R,MATCH($B702&amp;"_"&amp;AA$3,'Measure Level Detail'!$C:$C,0)),0)</f>
        <v>1</v>
      </c>
      <c r="AB702" s="266">
        <f t="shared" si="407"/>
        <v>733.65</v>
      </c>
      <c r="AC702" s="266">
        <f t="shared" si="408"/>
        <v>807.01499999999999</v>
      </c>
      <c r="AD702" s="266">
        <f t="shared" si="409"/>
        <v>1027.1099999999999</v>
      </c>
      <c r="AE702" s="266">
        <f t="shared" si="410"/>
        <v>1100.4749999999999</v>
      </c>
      <c r="AF702" s="266">
        <f t="shared" si="411"/>
        <v>3668.2499999999995</v>
      </c>
      <c r="AG702" s="274">
        <v>1</v>
      </c>
      <c r="AH702" s="274">
        <v>1</v>
      </c>
      <c r="AI702" s="274">
        <v>1</v>
      </c>
      <c r="AJ702" s="274">
        <v>1</v>
      </c>
      <c r="AK702" s="274">
        <f t="shared" si="412"/>
        <v>1</v>
      </c>
      <c r="AL702" s="274">
        <f t="shared" si="413"/>
        <v>1</v>
      </c>
      <c r="AM702" s="274">
        <f t="shared" si="414"/>
        <v>1</v>
      </c>
      <c r="AN702" s="274">
        <f t="shared" si="415"/>
        <v>1</v>
      </c>
      <c r="AO702" s="262"/>
      <c r="AP702" s="262"/>
      <c r="AQ702" s="267">
        <v>71.35499999999999</v>
      </c>
      <c r="AR702" s="262"/>
      <c r="AS702" s="266">
        <f t="shared" si="416"/>
        <v>713.55</v>
      </c>
      <c r="AT702" s="264">
        <f t="shared" si="417"/>
        <v>-20.100000000000023</v>
      </c>
      <c r="AU702" s="262"/>
      <c r="AV702" s="262"/>
      <c r="AW702" s="265">
        <v>71.35499999999999</v>
      </c>
      <c r="AX702" s="164" t="s">
        <v>1469</v>
      </c>
      <c r="AY702" s="266">
        <v>784.90499999999986</v>
      </c>
      <c r="AZ702" s="266">
        <f t="shared" si="418"/>
        <v>784.90499999999986</v>
      </c>
      <c r="BA702" s="264">
        <f t="shared" si="419"/>
        <v>-22.110000000000127</v>
      </c>
      <c r="BB702" s="262"/>
      <c r="BC702" s="262"/>
      <c r="BD702" s="265">
        <f ca="1">IFERROR(INDEX(Algorithms!$G:$G,MATCH($C702&amp;"_Therm Saved per Unit",Algorithms!$A:$A,0)),0)</f>
        <v>71.35499999999999</v>
      </c>
      <c r="BE702" s="164" t="str">
        <f ca="1">IFERROR(INDEX('v12 Revisions'!$P$29:$P$186, MATCH('Measure-Level Adj Gas'!$L702, 'v12 Revisions'!$D$29:$D$186,0)),"")</f>
        <v>n/a - FLH not in fossil fuel energy savings algorithm.</v>
      </c>
      <c r="BF702" s="266">
        <f t="shared" ca="1" si="420"/>
        <v>998.9699999999998</v>
      </c>
      <c r="BG702" s="264">
        <f t="shared" ca="1" si="421"/>
        <v>-28.1400000000001</v>
      </c>
      <c r="BH702" s="262"/>
      <c r="BI702" s="262"/>
      <c r="BJ702" s="265">
        <f ca="1">IFERROR(INDEX(Algorithms!$G:$G,MATCH($C702&amp;"_Therm Saved per Unit",Algorithms!$A:$A,0)),0)</f>
        <v>71.35499999999999</v>
      </c>
      <c r="BK702" s="164"/>
      <c r="BL702" s="266">
        <f t="shared" ca="1" si="422"/>
        <v>1070.3249999999998</v>
      </c>
      <c r="BM702" s="264">
        <f t="shared" ca="1" si="423"/>
        <v>-30.150000000000091</v>
      </c>
      <c r="BN702" s="266">
        <f t="shared" si="424"/>
        <v>713.55</v>
      </c>
      <c r="BO702" s="266">
        <f t="shared" si="425"/>
        <v>784.90499999999986</v>
      </c>
      <c r="BP702" s="266">
        <f t="shared" ca="1" si="426"/>
        <v>998.9699999999998</v>
      </c>
      <c r="BQ702" s="266">
        <f t="shared" ca="1" si="427"/>
        <v>1070.3249999999998</v>
      </c>
      <c r="BR702" s="268">
        <f t="shared" ca="1" si="428"/>
        <v>3567.7499999999995</v>
      </c>
      <c r="BS702" s="262" t="s">
        <v>99</v>
      </c>
      <c r="BT702" s="277"/>
      <c r="BW702" s="266">
        <f t="shared" si="429"/>
        <v>733.65</v>
      </c>
      <c r="BX702" s="266">
        <f t="shared" si="430"/>
        <v>807.01499999999999</v>
      </c>
      <c r="BY702" s="266">
        <f t="shared" si="431"/>
        <v>1027.1099999999999</v>
      </c>
      <c r="BZ702" s="266">
        <f t="shared" si="432"/>
        <v>1100.4749999999999</v>
      </c>
      <c r="CA702" s="266">
        <f ca="1">N702*IFERROR(INDEX(Algorithms!$G:$G,MATCH($C702&amp;"_Therm Saved per Unit- MLA",Algorithms!$A:$A,0)),0)*X702</f>
        <v>0</v>
      </c>
      <c r="CB702" s="266">
        <f ca="1">O702*IFERROR(INDEX(Algorithms!$G:$G,MATCH($C702&amp;"_Therm Saved per Unit- MLA",Algorithms!$A:$A,0)),0)*Y702</f>
        <v>0</v>
      </c>
      <c r="CC702" s="266">
        <f ca="1">P702*IFERROR(INDEX(Algorithms!$G:$G,MATCH($C702&amp;"_Therm Saved per Unit- MLA",Algorithms!$A:$A,0)),0)*Z702</f>
        <v>0</v>
      </c>
      <c r="CD702" s="266">
        <f ca="1">Q702*IFERROR(INDEX(Algorithms!$G:$G,MATCH($C702&amp;"_Therm Saved per Unit- MLA",Algorithms!$A:$A,0)),0)*AA702</f>
        <v>0</v>
      </c>
      <c r="CE702" s="266">
        <f ca="1">IFERROR(INDEX(Algorithms!$G:$G,MATCH($C702&amp;"_Lifetime (years)",Algorithms!$A:$A,0)),0)</f>
        <v>11</v>
      </c>
      <c r="CF702" s="266">
        <f ca="1">IFERROR(INDEX(Algorithms!$G:$G,MATCH($C702&amp;"_Lifetime (years) - Remaining Years",Algorithms!$A:$A,0)),0)</f>
        <v>0</v>
      </c>
      <c r="CG702" s="266">
        <f t="shared" ca="1" si="433"/>
        <v>8070.15</v>
      </c>
      <c r="CH702" s="266">
        <f t="shared" ca="1" si="434"/>
        <v>8877.1649999999991</v>
      </c>
      <c r="CI702" s="266">
        <f t="shared" ca="1" si="435"/>
        <v>11298.21</v>
      </c>
      <c r="CJ702" s="266">
        <f t="shared" ca="1" si="436"/>
        <v>12105.224999999999</v>
      </c>
      <c r="CK702" s="266">
        <f t="shared" si="437"/>
        <v>713.55</v>
      </c>
      <c r="CL702" s="266">
        <f t="shared" si="438"/>
        <v>784.90499999999986</v>
      </c>
      <c r="CM702" s="266">
        <f t="shared" ca="1" si="439"/>
        <v>998.9699999999998</v>
      </c>
      <c r="CN702" s="266">
        <f t="shared" ca="1" si="440"/>
        <v>1070.3249999999998</v>
      </c>
      <c r="CO702" s="266">
        <f ca="1">N702*IFERROR(INDEX(Algorithms!$G:$G,MATCH($C702&amp;"_Therm Saved per Unit- MLA",Algorithms!$A:$A,0)),0)*X702</f>
        <v>0</v>
      </c>
      <c r="CP702" s="266">
        <f ca="1">O702*IFERROR(INDEX(Algorithms!$G:$G,MATCH($C702&amp;"_Therm Saved per Unit- MLA",Algorithms!$A:$A,0)),0)*Y702</f>
        <v>0</v>
      </c>
      <c r="CQ702" s="266">
        <f ca="1">P702*IFERROR(INDEX(Algorithms!$G:$G,MATCH($C702&amp;"_Therm Saved per Unit- MLA",Algorithms!$A:$A,0)),0)*Z702</f>
        <v>0</v>
      </c>
      <c r="CR702" s="266">
        <f ca="1">Q702*IFERROR(INDEX(Algorithms!$G:$G,MATCH($C702&amp;"_Therm Saved per Unit- MLA",Algorithms!$A:$A,0)),0)*AA702</f>
        <v>0</v>
      </c>
      <c r="CS702" s="266">
        <f ca="1">IFERROR(INDEX(Algorithms!$G:$G,MATCH($C702&amp;"_Lifetime (years)",Algorithms!$A:$A,0)),0)</f>
        <v>11</v>
      </c>
      <c r="CT702" s="266">
        <f ca="1">IFERROR(INDEX(Algorithms!$G:$G,MATCH($C702&amp;"_Lifetime (years) - Remaining Years",Algorithms!$A:$A,0)),0)</f>
        <v>0</v>
      </c>
      <c r="CU702" s="266">
        <f t="shared" ca="1" si="441"/>
        <v>7849.0499999999993</v>
      </c>
      <c r="CV702" s="266">
        <f t="shared" ca="1" si="442"/>
        <v>8633.9549999999981</v>
      </c>
      <c r="CW702" s="266">
        <f t="shared" ca="1" si="443"/>
        <v>10988.669999999998</v>
      </c>
      <c r="CX702" s="266">
        <f t="shared" ca="1" si="444"/>
        <v>11773.574999999997</v>
      </c>
    </row>
    <row r="703" spans="2:102" s="47" customFormat="1" ht="18" customHeight="1" x14ac:dyDescent="0.25">
      <c r="B703" t="str">
        <f t="shared" si="445"/>
        <v>NSG_Income Eligible_Single Family_IHWAP_Advanced Thermostat_Furnace (Replace Manual)_SF</v>
      </c>
      <c r="C703" s="47" t="str">
        <f t="shared" si="406"/>
        <v>Advanced Thermostat_Furnace (Replace Manual)_SF</v>
      </c>
      <c r="D703" s="270" t="s">
        <v>1787</v>
      </c>
      <c r="E703" s="270" t="s">
        <v>325</v>
      </c>
      <c r="F703" s="270" t="s">
        <v>375</v>
      </c>
      <c r="G703" s="270" t="s">
        <v>1439</v>
      </c>
      <c r="H703" s="270" t="s">
        <v>7</v>
      </c>
      <c r="I703" s="270" t="s">
        <v>1047</v>
      </c>
      <c r="J703" s="270" t="s">
        <v>409</v>
      </c>
      <c r="K703" s="263">
        <v>1</v>
      </c>
      <c r="L703" s="263" t="str">
        <f ca="1">IFERROR(INDEX(Algorithms!J:J,MATCH($C703&amp;"_Therm Saved per Unit",Algorithms!$A:$A,0)),"n/a")</f>
        <v>5.3.16</v>
      </c>
      <c r="M703" s="263" t="str">
        <f>IFERROR(INDEX('Measure Level Detail'!$N:$N,MATCH($B703,'Measure Level Detail'!$B:$B,0)),0)</f>
        <v>Each</v>
      </c>
      <c r="N703" s="271">
        <f>IFERROR(INDEX('Measure Level Detail'!$P:$P,MATCH($B703&amp;"_"&amp;N$3,'Measure Level Detail'!$C:$C,0)),0)</f>
        <v>10</v>
      </c>
      <c r="O703" s="271">
        <f>IFERROR(INDEX('Measure Level Detail'!$P:$P,MATCH($B703&amp;"_"&amp;O$3,'Measure Level Detail'!$C:$C,0)),0)</f>
        <v>11</v>
      </c>
      <c r="P703" s="271">
        <f>IFERROR(INDEX('Measure Level Detail'!$P:$P,MATCH($B703&amp;"_"&amp;P$3,'Measure Level Detail'!$C:$C,0)),0)</f>
        <v>14</v>
      </c>
      <c r="Q703" s="271">
        <f>IFERROR(INDEX('Measure Level Detail'!$P:$P,MATCH($B703&amp;"_"&amp;Q$3,'Measure Level Detail'!$C:$C,0)),0)</f>
        <v>15</v>
      </c>
      <c r="R703" s="263" t="str">
        <f ca="1">IFERROR(INDEX(Algorithms!K:K,MATCH($C703&amp;"_Therm Saved per Unit",Algorithms!$A:$A,0)),"n/a")</f>
        <v>RS-HVC-ADTH-V09-240101</v>
      </c>
      <c r="S703" s="262"/>
      <c r="T703" s="272">
        <v>104.52</v>
      </c>
      <c r="U703" s="272">
        <v>104.52</v>
      </c>
      <c r="V703" s="272">
        <v>104.52</v>
      </c>
      <c r="W703" s="272">
        <v>104.52</v>
      </c>
      <c r="X703" s="273">
        <f>IFERROR(INDEX('Measure Level Detail'!$R:$R,MATCH($B703&amp;"_"&amp;X$3,'Measure Level Detail'!$C:$C,0)),0)</f>
        <v>1</v>
      </c>
      <c r="Y703" s="273">
        <f>IFERROR(INDEX('Measure Level Detail'!$R:$R,MATCH($B703&amp;"_"&amp;Y$3,'Measure Level Detail'!$C:$C,0)),0)</f>
        <v>1</v>
      </c>
      <c r="Z703" s="273">
        <f>IFERROR(INDEX('Measure Level Detail'!$R:$R,MATCH($B703&amp;"_"&amp;Z$3,'Measure Level Detail'!$C:$C,0)),0)</f>
        <v>1</v>
      </c>
      <c r="AA703" s="273">
        <f>IFERROR(INDEX('Measure Level Detail'!$R:$R,MATCH($B703&amp;"_"&amp;AA$3,'Measure Level Detail'!$C:$C,0)),0)</f>
        <v>1</v>
      </c>
      <c r="AB703" s="266">
        <f t="shared" si="407"/>
        <v>1045.2</v>
      </c>
      <c r="AC703" s="266">
        <f t="shared" si="408"/>
        <v>1149.72</v>
      </c>
      <c r="AD703" s="266">
        <f t="shared" si="409"/>
        <v>1463.28</v>
      </c>
      <c r="AE703" s="266">
        <f t="shared" si="410"/>
        <v>1567.8</v>
      </c>
      <c r="AF703" s="266">
        <f t="shared" si="411"/>
        <v>5226</v>
      </c>
      <c r="AG703" s="274">
        <v>1</v>
      </c>
      <c r="AH703" s="274">
        <v>1</v>
      </c>
      <c r="AI703" s="274">
        <v>1</v>
      </c>
      <c r="AJ703" s="274">
        <v>1</v>
      </c>
      <c r="AK703" s="274">
        <f t="shared" si="412"/>
        <v>1</v>
      </c>
      <c r="AL703" s="274">
        <f t="shared" si="413"/>
        <v>1</v>
      </c>
      <c r="AM703" s="274">
        <f t="shared" si="414"/>
        <v>1</v>
      </c>
      <c r="AN703" s="274">
        <f t="shared" si="415"/>
        <v>1</v>
      </c>
      <c r="AO703" s="262"/>
      <c r="AP703" s="262"/>
      <c r="AQ703" s="267">
        <v>102.50999999999999</v>
      </c>
      <c r="AR703" s="262"/>
      <c r="AS703" s="266">
        <f t="shared" si="416"/>
        <v>1025.0999999999999</v>
      </c>
      <c r="AT703" s="264">
        <f t="shared" si="417"/>
        <v>-20.100000000000136</v>
      </c>
      <c r="AU703" s="262"/>
      <c r="AV703" s="262"/>
      <c r="AW703" s="265">
        <v>102.50999999999999</v>
      </c>
      <c r="AX703" s="164" t="s">
        <v>1469</v>
      </c>
      <c r="AY703" s="266">
        <v>1127.6099999999999</v>
      </c>
      <c r="AZ703" s="266">
        <f t="shared" si="418"/>
        <v>1127.6099999999999</v>
      </c>
      <c r="BA703" s="264">
        <f t="shared" si="419"/>
        <v>-22.110000000000127</v>
      </c>
      <c r="BB703" s="262"/>
      <c r="BC703" s="262"/>
      <c r="BD703" s="265">
        <f ca="1">IFERROR(INDEX(Algorithms!$G:$G,MATCH($C703&amp;"_Therm Saved per Unit",Algorithms!$A:$A,0)),0)</f>
        <v>102.50999999999999</v>
      </c>
      <c r="BE703" s="164" t="str">
        <f ca="1">IFERROR(INDEX('v12 Revisions'!$P$29:$P$186, MATCH('Measure-Level Adj Gas'!$L703, 'v12 Revisions'!$D$29:$D$186,0)),"")</f>
        <v>n/a - FLH not in fossil fuel energy savings algorithm.</v>
      </c>
      <c r="BF703" s="266">
        <f t="shared" ca="1" si="420"/>
        <v>1435.1399999999999</v>
      </c>
      <c r="BG703" s="264">
        <f t="shared" ca="1" si="421"/>
        <v>-28.1400000000001</v>
      </c>
      <c r="BH703" s="262"/>
      <c r="BI703" s="262"/>
      <c r="BJ703" s="265">
        <f ca="1">IFERROR(INDEX(Algorithms!$G:$G,MATCH($C703&amp;"_Therm Saved per Unit",Algorithms!$A:$A,0)),0)</f>
        <v>102.50999999999999</v>
      </c>
      <c r="BK703" s="164"/>
      <c r="BL703" s="266">
        <f t="shared" ca="1" si="422"/>
        <v>1537.6499999999999</v>
      </c>
      <c r="BM703" s="264">
        <f t="shared" ca="1" si="423"/>
        <v>-30.150000000000091</v>
      </c>
      <c r="BN703" s="266">
        <f t="shared" si="424"/>
        <v>1025.0999999999999</v>
      </c>
      <c r="BO703" s="266">
        <f t="shared" si="425"/>
        <v>1127.6099999999999</v>
      </c>
      <c r="BP703" s="266">
        <f t="shared" ca="1" si="426"/>
        <v>1435.1399999999999</v>
      </c>
      <c r="BQ703" s="266">
        <f t="shared" ca="1" si="427"/>
        <v>1537.6499999999999</v>
      </c>
      <c r="BR703" s="268">
        <f t="shared" ca="1" si="428"/>
        <v>5125.5</v>
      </c>
      <c r="BS703" s="262" t="s">
        <v>99</v>
      </c>
      <c r="BT703" s="277"/>
      <c r="BW703" s="266">
        <f t="shared" si="429"/>
        <v>1045.2</v>
      </c>
      <c r="BX703" s="266">
        <f t="shared" si="430"/>
        <v>1149.72</v>
      </c>
      <c r="BY703" s="266">
        <f t="shared" si="431"/>
        <v>1463.28</v>
      </c>
      <c r="BZ703" s="266">
        <f t="shared" si="432"/>
        <v>1567.8</v>
      </c>
      <c r="CA703" s="266">
        <f ca="1">N703*IFERROR(INDEX(Algorithms!$G:$G,MATCH($C703&amp;"_Therm Saved per Unit- MLA",Algorithms!$A:$A,0)),0)*X703</f>
        <v>0</v>
      </c>
      <c r="CB703" s="266">
        <f ca="1">O703*IFERROR(INDEX(Algorithms!$G:$G,MATCH($C703&amp;"_Therm Saved per Unit- MLA",Algorithms!$A:$A,0)),0)*Y703</f>
        <v>0</v>
      </c>
      <c r="CC703" s="266">
        <f ca="1">P703*IFERROR(INDEX(Algorithms!$G:$G,MATCH($C703&amp;"_Therm Saved per Unit- MLA",Algorithms!$A:$A,0)),0)*Z703</f>
        <v>0</v>
      </c>
      <c r="CD703" s="266">
        <f ca="1">Q703*IFERROR(INDEX(Algorithms!$G:$G,MATCH($C703&amp;"_Therm Saved per Unit- MLA",Algorithms!$A:$A,0)),0)*AA703</f>
        <v>0</v>
      </c>
      <c r="CE703" s="266">
        <f ca="1">IFERROR(INDEX(Algorithms!$G:$G,MATCH($C703&amp;"_Lifetime (years)",Algorithms!$A:$A,0)),0)</f>
        <v>11</v>
      </c>
      <c r="CF703" s="266">
        <f ca="1">IFERROR(INDEX(Algorithms!$G:$G,MATCH($C703&amp;"_Lifetime (years) - Remaining Years",Algorithms!$A:$A,0)),0)</f>
        <v>0</v>
      </c>
      <c r="CG703" s="266">
        <f t="shared" ca="1" si="433"/>
        <v>11497.2</v>
      </c>
      <c r="CH703" s="266">
        <f t="shared" ca="1" si="434"/>
        <v>12646.92</v>
      </c>
      <c r="CI703" s="266">
        <f t="shared" ca="1" si="435"/>
        <v>16096.08</v>
      </c>
      <c r="CJ703" s="266">
        <f t="shared" ca="1" si="436"/>
        <v>17245.8</v>
      </c>
      <c r="CK703" s="266">
        <f t="shared" si="437"/>
        <v>1025.0999999999999</v>
      </c>
      <c r="CL703" s="266">
        <f t="shared" si="438"/>
        <v>1127.6099999999999</v>
      </c>
      <c r="CM703" s="266">
        <f t="shared" ca="1" si="439"/>
        <v>1435.1399999999999</v>
      </c>
      <c r="CN703" s="266">
        <f t="shared" ca="1" si="440"/>
        <v>1537.6499999999999</v>
      </c>
      <c r="CO703" s="266">
        <f ca="1">N703*IFERROR(INDEX(Algorithms!$G:$G,MATCH($C703&amp;"_Therm Saved per Unit- MLA",Algorithms!$A:$A,0)),0)*X703</f>
        <v>0</v>
      </c>
      <c r="CP703" s="266">
        <f ca="1">O703*IFERROR(INDEX(Algorithms!$G:$G,MATCH($C703&amp;"_Therm Saved per Unit- MLA",Algorithms!$A:$A,0)),0)*Y703</f>
        <v>0</v>
      </c>
      <c r="CQ703" s="266">
        <f ca="1">P703*IFERROR(INDEX(Algorithms!$G:$G,MATCH($C703&amp;"_Therm Saved per Unit- MLA",Algorithms!$A:$A,0)),0)*Z703</f>
        <v>0</v>
      </c>
      <c r="CR703" s="266">
        <f ca="1">Q703*IFERROR(INDEX(Algorithms!$G:$G,MATCH($C703&amp;"_Therm Saved per Unit- MLA",Algorithms!$A:$A,0)),0)*AA703</f>
        <v>0</v>
      </c>
      <c r="CS703" s="266">
        <f ca="1">IFERROR(INDEX(Algorithms!$G:$G,MATCH($C703&amp;"_Lifetime (years)",Algorithms!$A:$A,0)),0)</f>
        <v>11</v>
      </c>
      <c r="CT703" s="266">
        <f ca="1">IFERROR(INDEX(Algorithms!$G:$G,MATCH($C703&amp;"_Lifetime (years) - Remaining Years",Algorithms!$A:$A,0)),0)</f>
        <v>0</v>
      </c>
      <c r="CU703" s="266">
        <f t="shared" ca="1" si="441"/>
        <v>11276.099999999999</v>
      </c>
      <c r="CV703" s="266">
        <f t="shared" ca="1" si="442"/>
        <v>12403.71</v>
      </c>
      <c r="CW703" s="266">
        <f t="shared" ca="1" si="443"/>
        <v>15786.539999999999</v>
      </c>
      <c r="CX703" s="266">
        <f t="shared" ca="1" si="444"/>
        <v>16914.149999999998</v>
      </c>
    </row>
    <row r="704" spans="2:102" s="47" customFormat="1" ht="18" customHeight="1" x14ac:dyDescent="0.25">
      <c r="B704" t="str">
        <f t="shared" si="445"/>
        <v>NSG_Income Eligible_Single Family_IHWAP_Advanced Thermostat_Boiler (Replace Manual)_SF</v>
      </c>
      <c r="C704" s="47" t="str">
        <f t="shared" si="406"/>
        <v>Advanced Thermostat_Boiler (Replace Manual)_SF</v>
      </c>
      <c r="D704" s="270" t="s">
        <v>1787</v>
      </c>
      <c r="E704" s="270" t="s">
        <v>325</v>
      </c>
      <c r="F704" s="270" t="s">
        <v>375</v>
      </c>
      <c r="G704" s="270" t="s">
        <v>1439</v>
      </c>
      <c r="H704" s="270" t="s">
        <v>7</v>
      </c>
      <c r="I704" s="270" t="s">
        <v>1051</v>
      </c>
      <c r="J704" s="270" t="s">
        <v>409</v>
      </c>
      <c r="K704" s="263">
        <v>1</v>
      </c>
      <c r="L704" s="263" t="str">
        <f ca="1">IFERROR(INDEX(Algorithms!J:J,MATCH($C704&amp;"_Therm Saved per Unit",Algorithms!$A:$A,0)),"n/a")</f>
        <v>5.3.16</v>
      </c>
      <c r="M704" s="263" t="str">
        <f>IFERROR(INDEX('Measure Level Detail'!$N:$N,MATCH($B704,'Measure Level Detail'!$B:$B,0)),0)</f>
        <v>Each</v>
      </c>
      <c r="N704" s="271">
        <f>IFERROR(INDEX('Measure Level Detail'!$P:$P,MATCH($B704&amp;"_"&amp;N$3,'Measure Level Detail'!$C:$C,0)),0)</f>
        <v>10</v>
      </c>
      <c r="O704" s="271">
        <f>IFERROR(INDEX('Measure Level Detail'!$P:$P,MATCH($B704&amp;"_"&amp;O$3,'Measure Level Detail'!$C:$C,0)),0)</f>
        <v>11</v>
      </c>
      <c r="P704" s="271">
        <f>IFERROR(INDEX('Measure Level Detail'!$P:$P,MATCH($B704&amp;"_"&amp;P$3,'Measure Level Detail'!$C:$C,0)),0)</f>
        <v>14</v>
      </c>
      <c r="Q704" s="271">
        <f>IFERROR(INDEX('Measure Level Detail'!$P:$P,MATCH($B704&amp;"_"&amp;Q$3,'Measure Level Detail'!$C:$C,0)),0)</f>
        <v>15</v>
      </c>
      <c r="R704" s="263" t="str">
        <f ca="1">IFERROR(INDEX(Algorithms!K:K,MATCH($C704&amp;"_Therm Saved per Unit",Algorithms!$A:$A,0)),"n/a")</f>
        <v>RS-HVC-ADTH-V09-240101</v>
      </c>
      <c r="S704" s="262"/>
      <c r="T704" s="272">
        <v>154.44</v>
      </c>
      <c r="U704" s="272">
        <v>154.44</v>
      </c>
      <c r="V704" s="272">
        <v>154.44</v>
      </c>
      <c r="W704" s="272">
        <v>154.44</v>
      </c>
      <c r="X704" s="273">
        <f>IFERROR(INDEX('Measure Level Detail'!$R:$R,MATCH($B704&amp;"_"&amp;X$3,'Measure Level Detail'!$C:$C,0)),0)</f>
        <v>1</v>
      </c>
      <c r="Y704" s="273">
        <f>IFERROR(INDEX('Measure Level Detail'!$R:$R,MATCH($B704&amp;"_"&amp;Y$3,'Measure Level Detail'!$C:$C,0)),0)</f>
        <v>1</v>
      </c>
      <c r="Z704" s="273">
        <f>IFERROR(INDEX('Measure Level Detail'!$R:$R,MATCH($B704&amp;"_"&amp;Z$3,'Measure Level Detail'!$C:$C,0)),0)</f>
        <v>1</v>
      </c>
      <c r="AA704" s="273">
        <f>IFERROR(INDEX('Measure Level Detail'!$R:$R,MATCH($B704&amp;"_"&amp;AA$3,'Measure Level Detail'!$C:$C,0)),0)</f>
        <v>1</v>
      </c>
      <c r="AB704" s="266">
        <f t="shared" si="407"/>
        <v>1544.4</v>
      </c>
      <c r="AC704" s="266">
        <f t="shared" si="408"/>
        <v>1698.84</v>
      </c>
      <c r="AD704" s="266">
        <f t="shared" si="409"/>
        <v>2162.16</v>
      </c>
      <c r="AE704" s="266">
        <f t="shared" si="410"/>
        <v>2316.6</v>
      </c>
      <c r="AF704" s="266">
        <f t="shared" si="411"/>
        <v>7722</v>
      </c>
      <c r="AG704" s="274">
        <v>1</v>
      </c>
      <c r="AH704" s="274">
        <v>1</v>
      </c>
      <c r="AI704" s="274">
        <v>1</v>
      </c>
      <c r="AJ704" s="274">
        <v>1</v>
      </c>
      <c r="AK704" s="274">
        <f t="shared" si="412"/>
        <v>1</v>
      </c>
      <c r="AL704" s="274">
        <f t="shared" si="413"/>
        <v>1</v>
      </c>
      <c r="AM704" s="274">
        <f t="shared" si="414"/>
        <v>1</v>
      </c>
      <c r="AN704" s="274">
        <f t="shared" si="415"/>
        <v>1</v>
      </c>
      <c r="AO704" s="262"/>
      <c r="AP704" s="262"/>
      <c r="AQ704" s="267">
        <v>151.47</v>
      </c>
      <c r="AR704" s="262"/>
      <c r="AS704" s="266">
        <f t="shared" si="416"/>
        <v>1514.7</v>
      </c>
      <c r="AT704" s="264">
        <f t="shared" si="417"/>
        <v>-29.700000000000045</v>
      </c>
      <c r="AU704" s="262"/>
      <c r="AV704" s="262"/>
      <c r="AW704" s="265">
        <v>151.47</v>
      </c>
      <c r="AX704" s="164" t="s">
        <v>1469</v>
      </c>
      <c r="AY704" s="266">
        <v>1666.17</v>
      </c>
      <c r="AZ704" s="266">
        <f t="shared" si="418"/>
        <v>1666.17</v>
      </c>
      <c r="BA704" s="264">
        <f t="shared" si="419"/>
        <v>-32.669999999999845</v>
      </c>
      <c r="BB704" s="262"/>
      <c r="BC704" s="262"/>
      <c r="BD704" s="265">
        <f ca="1">IFERROR(INDEX(Algorithms!$G:$G,MATCH($C704&amp;"_Therm Saved per Unit",Algorithms!$A:$A,0)),0)</f>
        <v>151.47</v>
      </c>
      <c r="BE704" s="164" t="str">
        <f ca="1">IFERROR(INDEX('v12 Revisions'!$P$29:$P$186, MATCH('Measure-Level Adj Gas'!$L704, 'v12 Revisions'!$D$29:$D$186,0)),"")</f>
        <v>n/a - FLH not in fossil fuel energy savings algorithm.</v>
      </c>
      <c r="BF704" s="266">
        <f t="shared" ca="1" si="420"/>
        <v>2120.58</v>
      </c>
      <c r="BG704" s="264">
        <f t="shared" ca="1" si="421"/>
        <v>-41.579999999999927</v>
      </c>
      <c r="BH704" s="262"/>
      <c r="BI704" s="262"/>
      <c r="BJ704" s="265">
        <f ca="1">IFERROR(INDEX(Algorithms!$G:$G,MATCH($C704&amp;"_Therm Saved per Unit",Algorithms!$A:$A,0)),0)</f>
        <v>151.47</v>
      </c>
      <c r="BK704" s="164"/>
      <c r="BL704" s="266">
        <f t="shared" ca="1" si="422"/>
        <v>2272.0500000000002</v>
      </c>
      <c r="BM704" s="264">
        <f t="shared" ca="1" si="423"/>
        <v>-44.549999999999727</v>
      </c>
      <c r="BN704" s="266">
        <f t="shared" si="424"/>
        <v>1514.7</v>
      </c>
      <c r="BO704" s="266">
        <f t="shared" si="425"/>
        <v>1666.17</v>
      </c>
      <c r="BP704" s="266">
        <f t="shared" ca="1" si="426"/>
        <v>2120.58</v>
      </c>
      <c r="BQ704" s="266">
        <f t="shared" ca="1" si="427"/>
        <v>2272.0500000000002</v>
      </c>
      <c r="BR704" s="268">
        <f t="shared" ca="1" si="428"/>
        <v>7573.5</v>
      </c>
      <c r="BS704" s="262" t="s">
        <v>99</v>
      </c>
      <c r="BT704" s="277"/>
      <c r="BW704" s="266">
        <f t="shared" si="429"/>
        <v>1544.4</v>
      </c>
      <c r="BX704" s="266">
        <f t="shared" si="430"/>
        <v>1698.84</v>
      </c>
      <c r="BY704" s="266">
        <f t="shared" si="431"/>
        <v>2162.16</v>
      </c>
      <c r="BZ704" s="266">
        <f t="shared" si="432"/>
        <v>2316.6</v>
      </c>
      <c r="CA704" s="266">
        <f ca="1">N704*IFERROR(INDEX(Algorithms!$G:$G,MATCH($C704&amp;"_Therm Saved per Unit- MLA",Algorithms!$A:$A,0)),0)*X704</f>
        <v>0</v>
      </c>
      <c r="CB704" s="266">
        <f ca="1">O704*IFERROR(INDEX(Algorithms!$G:$G,MATCH($C704&amp;"_Therm Saved per Unit- MLA",Algorithms!$A:$A,0)),0)*Y704</f>
        <v>0</v>
      </c>
      <c r="CC704" s="266">
        <f ca="1">P704*IFERROR(INDEX(Algorithms!$G:$G,MATCH($C704&amp;"_Therm Saved per Unit- MLA",Algorithms!$A:$A,0)),0)*Z704</f>
        <v>0</v>
      </c>
      <c r="CD704" s="266">
        <f ca="1">Q704*IFERROR(INDEX(Algorithms!$G:$G,MATCH($C704&amp;"_Therm Saved per Unit- MLA",Algorithms!$A:$A,0)),0)*AA704</f>
        <v>0</v>
      </c>
      <c r="CE704" s="266">
        <f ca="1">IFERROR(INDEX(Algorithms!$G:$G,MATCH($C704&amp;"_Lifetime (years)",Algorithms!$A:$A,0)),0)</f>
        <v>11</v>
      </c>
      <c r="CF704" s="266">
        <f ca="1">IFERROR(INDEX(Algorithms!$G:$G,MATCH($C704&amp;"_Lifetime (years) - Remaining Years",Algorithms!$A:$A,0)),0)</f>
        <v>0</v>
      </c>
      <c r="CG704" s="266">
        <f t="shared" ca="1" si="433"/>
        <v>16988.400000000001</v>
      </c>
      <c r="CH704" s="266">
        <f t="shared" ca="1" si="434"/>
        <v>18687.239999999998</v>
      </c>
      <c r="CI704" s="266">
        <f t="shared" ca="1" si="435"/>
        <v>23783.759999999998</v>
      </c>
      <c r="CJ704" s="266">
        <f t="shared" ca="1" si="436"/>
        <v>25482.6</v>
      </c>
      <c r="CK704" s="266">
        <f t="shared" si="437"/>
        <v>1514.7</v>
      </c>
      <c r="CL704" s="266">
        <f t="shared" si="438"/>
        <v>1666.17</v>
      </c>
      <c r="CM704" s="266">
        <f t="shared" ca="1" si="439"/>
        <v>2120.58</v>
      </c>
      <c r="CN704" s="266">
        <f t="shared" ca="1" si="440"/>
        <v>2272.0500000000002</v>
      </c>
      <c r="CO704" s="266">
        <f ca="1">N704*IFERROR(INDEX(Algorithms!$G:$G,MATCH($C704&amp;"_Therm Saved per Unit- MLA",Algorithms!$A:$A,0)),0)*X704</f>
        <v>0</v>
      </c>
      <c r="CP704" s="266">
        <f ca="1">O704*IFERROR(INDEX(Algorithms!$G:$G,MATCH($C704&amp;"_Therm Saved per Unit- MLA",Algorithms!$A:$A,0)),0)*Y704</f>
        <v>0</v>
      </c>
      <c r="CQ704" s="266">
        <f ca="1">P704*IFERROR(INDEX(Algorithms!$G:$G,MATCH($C704&amp;"_Therm Saved per Unit- MLA",Algorithms!$A:$A,0)),0)*Z704</f>
        <v>0</v>
      </c>
      <c r="CR704" s="266">
        <f ca="1">Q704*IFERROR(INDEX(Algorithms!$G:$G,MATCH($C704&amp;"_Therm Saved per Unit- MLA",Algorithms!$A:$A,0)),0)*AA704</f>
        <v>0</v>
      </c>
      <c r="CS704" s="266">
        <f ca="1">IFERROR(INDEX(Algorithms!$G:$G,MATCH($C704&amp;"_Lifetime (years)",Algorithms!$A:$A,0)),0)</f>
        <v>11</v>
      </c>
      <c r="CT704" s="266">
        <f ca="1">IFERROR(INDEX(Algorithms!$G:$G,MATCH($C704&amp;"_Lifetime (years) - Remaining Years",Algorithms!$A:$A,0)),0)</f>
        <v>0</v>
      </c>
      <c r="CU704" s="266">
        <f t="shared" ca="1" si="441"/>
        <v>16661.7</v>
      </c>
      <c r="CV704" s="266">
        <f t="shared" ca="1" si="442"/>
        <v>18327.870000000003</v>
      </c>
      <c r="CW704" s="266">
        <f t="shared" ca="1" si="443"/>
        <v>23326.379999999997</v>
      </c>
      <c r="CX704" s="266">
        <f t="shared" ca="1" si="444"/>
        <v>24992.550000000003</v>
      </c>
    </row>
    <row r="705" spans="2:102" s="47" customFormat="1" ht="18" customHeight="1" x14ac:dyDescent="0.25">
      <c r="B705" t="str">
        <f t="shared" si="445"/>
        <v>NSG_Income Eligible_Single Family_IHWAP_Advanced Thermostat_Boiler (Replace Programmable)_SF</v>
      </c>
      <c r="C705" s="47" t="str">
        <f t="shared" si="406"/>
        <v>Advanced Thermostat_Boiler (Replace Programmable)_SF</v>
      </c>
      <c r="D705" s="270" t="s">
        <v>1787</v>
      </c>
      <c r="E705" s="270" t="s">
        <v>325</v>
      </c>
      <c r="F705" s="270" t="s">
        <v>375</v>
      </c>
      <c r="G705" s="270" t="s">
        <v>1439</v>
      </c>
      <c r="H705" s="270" t="s">
        <v>7</v>
      </c>
      <c r="I705" s="270" t="s">
        <v>1052</v>
      </c>
      <c r="J705" s="270" t="s">
        <v>409</v>
      </c>
      <c r="K705" s="263">
        <v>1</v>
      </c>
      <c r="L705" s="263" t="str">
        <f ca="1">IFERROR(INDEX(Algorithms!J:J,MATCH($C705&amp;"_Therm Saved per Unit",Algorithms!$A:$A,0)),"n/a")</f>
        <v>5.3.16</v>
      </c>
      <c r="M705" s="263" t="str">
        <f>IFERROR(INDEX('Measure Level Detail'!$N:$N,MATCH($B705,'Measure Level Detail'!$B:$B,0)),0)</f>
        <v>Each</v>
      </c>
      <c r="N705" s="271">
        <f>IFERROR(INDEX('Measure Level Detail'!$P:$P,MATCH($B705&amp;"_"&amp;N$3,'Measure Level Detail'!$C:$C,0)),0)</f>
        <v>10</v>
      </c>
      <c r="O705" s="271">
        <f>IFERROR(INDEX('Measure Level Detail'!$P:$P,MATCH($B705&amp;"_"&amp;O$3,'Measure Level Detail'!$C:$C,0)),0)</f>
        <v>11</v>
      </c>
      <c r="P705" s="271">
        <f>IFERROR(INDEX('Measure Level Detail'!$P:$P,MATCH($B705&amp;"_"&amp;P$3,'Measure Level Detail'!$C:$C,0)),0)</f>
        <v>14</v>
      </c>
      <c r="Q705" s="271">
        <f>IFERROR(INDEX('Measure Level Detail'!$P:$P,MATCH($B705&amp;"_"&amp;Q$3,'Measure Level Detail'!$C:$C,0)),0)</f>
        <v>15</v>
      </c>
      <c r="R705" s="263" t="str">
        <f ca="1">IFERROR(INDEX(Algorithms!K:K,MATCH($C705&amp;"_Therm Saved per Unit",Algorithms!$A:$A,0)),"n/a")</f>
        <v>RS-HVC-ADTH-V09-240101</v>
      </c>
      <c r="S705" s="262"/>
      <c r="T705" s="272">
        <v>108.40499999999999</v>
      </c>
      <c r="U705" s="272">
        <v>108.40499999999999</v>
      </c>
      <c r="V705" s="272">
        <v>108.40499999999999</v>
      </c>
      <c r="W705" s="272">
        <v>108.40499999999999</v>
      </c>
      <c r="X705" s="273">
        <f>IFERROR(INDEX('Measure Level Detail'!$R:$R,MATCH($B705&amp;"_"&amp;X$3,'Measure Level Detail'!$C:$C,0)),0)</f>
        <v>1</v>
      </c>
      <c r="Y705" s="273">
        <f>IFERROR(INDEX('Measure Level Detail'!$R:$R,MATCH($B705&amp;"_"&amp;Y$3,'Measure Level Detail'!$C:$C,0)),0)</f>
        <v>1</v>
      </c>
      <c r="Z705" s="273">
        <f>IFERROR(INDEX('Measure Level Detail'!$R:$R,MATCH($B705&amp;"_"&amp;Z$3,'Measure Level Detail'!$C:$C,0)),0)</f>
        <v>1</v>
      </c>
      <c r="AA705" s="273">
        <f>IFERROR(INDEX('Measure Level Detail'!$R:$R,MATCH($B705&amp;"_"&amp;AA$3,'Measure Level Detail'!$C:$C,0)),0)</f>
        <v>1</v>
      </c>
      <c r="AB705" s="266">
        <f t="shared" si="407"/>
        <v>1084.05</v>
      </c>
      <c r="AC705" s="266">
        <f t="shared" si="408"/>
        <v>1192.4549999999999</v>
      </c>
      <c r="AD705" s="266">
        <f t="shared" si="409"/>
        <v>1517.6699999999998</v>
      </c>
      <c r="AE705" s="266">
        <f t="shared" si="410"/>
        <v>1626.0749999999998</v>
      </c>
      <c r="AF705" s="266">
        <f t="shared" si="411"/>
        <v>5420.25</v>
      </c>
      <c r="AG705" s="274">
        <v>1</v>
      </c>
      <c r="AH705" s="274">
        <v>1</v>
      </c>
      <c r="AI705" s="274">
        <v>1</v>
      </c>
      <c r="AJ705" s="274">
        <v>1</v>
      </c>
      <c r="AK705" s="274">
        <f t="shared" si="412"/>
        <v>1</v>
      </c>
      <c r="AL705" s="274">
        <f t="shared" si="413"/>
        <v>1</v>
      </c>
      <c r="AM705" s="274">
        <f t="shared" si="414"/>
        <v>1</v>
      </c>
      <c r="AN705" s="274">
        <f t="shared" si="415"/>
        <v>1</v>
      </c>
      <c r="AO705" s="262"/>
      <c r="AP705" s="262"/>
      <c r="AQ705" s="267">
        <v>105.43499999999999</v>
      </c>
      <c r="AR705" s="262"/>
      <c r="AS705" s="266">
        <f t="shared" si="416"/>
        <v>1054.3499999999999</v>
      </c>
      <c r="AT705" s="264">
        <f t="shared" si="417"/>
        <v>-29.700000000000045</v>
      </c>
      <c r="AU705" s="262"/>
      <c r="AV705" s="262"/>
      <c r="AW705" s="265">
        <v>105.43499999999999</v>
      </c>
      <c r="AX705" s="164" t="s">
        <v>1469</v>
      </c>
      <c r="AY705" s="266">
        <v>1159.7849999999999</v>
      </c>
      <c r="AZ705" s="266">
        <f t="shared" si="418"/>
        <v>1159.7849999999999</v>
      </c>
      <c r="BA705" s="264">
        <f t="shared" si="419"/>
        <v>-32.670000000000073</v>
      </c>
      <c r="BB705" s="262"/>
      <c r="BC705" s="262"/>
      <c r="BD705" s="265">
        <f ca="1">IFERROR(INDEX(Algorithms!$G:$G,MATCH($C705&amp;"_Therm Saved per Unit",Algorithms!$A:$A,0)),0)</f>
        <v>105.43499999999999</v>
      </c>
      <c r="BE705" s="164" t="str">
        <f ca="1">IFERROR(INDEX('v12 Revisions'!$P$29:$P$186, MATCH('Measure-Level Adj Gas'!$L705, 'v12 Revisions'!$D$29:$D$186,0)),"")</f>
        <v>n/a - FLH not in fossil fuel energy savings algorithm.</v>
      </c>
      <c r="BF705" s="266">
        <f t="shared" ca="1" si="420"/>
        <v>1476.09</v>
      </c>
      <c r="BG705" s="264">
        <f t="shared" ca="1" si="421"/>
        <v>-41.579999999999927</v>
      </c>
      <c r="BH705" s="262"/>
      <c r="BI705" s="262"/>
      <c r="BJ705" s="265">
        <f ca="1">IFERROR(INDEX(Algorithms!$G:$G,MATCH($C705&amp;"_Therm Saved per Unit",Algorithms!$A:$A,0)),0)</f>
        <v>105.43499999999999</v>
      </c>
      <c r="BK705" s="164"/>
      <c r="BL705" s="266">
        <f t="shared" ca="1" si="422"/>
        <v>1581.5249999999999</v>
      </c>
      <c r="BM705" s="264">
        <f t="shared" ca="1" si="423"/>
        <v>-44.549999999999955</v>
      </c>
      <c r="BN705" s="266">
        <f t="shared" si="424"/>
        <v>1054.3499999999999</v>
      </c>
      <c r="BO705" s="266">
        <f t="shared" si="425"/>
        <v>1159.7849999999999</v>
      </c>
      <c r="BP705" s="266">
        <f t="shared" ca="1" si="426"/>
        <v>1476.09</v>
      </c>
      <c r="BQ705" s="266">
        <f t="shared" ca="1" si="427"/>
        <v>1581.5249999999999</v>
      </c>
      <c r="BR705" s="268">
        <f t="shared" ca="1" si="428"/>
        <v>5271.7499999999991</v>
      </c>
      <c r="BS705" s="262" t="s">
        <v>99</v>
      </c>
      <c r="BT705" s="277"/>
      <c r="BW705" s="266">
        <f t="shared" si="429"/>
        <v>1084.05</v>
      </c>
      <c r="BX705" s="266">
        <f t="shared" si="430"/>
        <v>1192.4549999999999</v>
      </c>
      <c r="BY705" s="266">
        <f t="shared" si="431"/>
        <v>1517.6699999999998</v>
      </c>
      <c r="BZ705" s="266">
        <f t="shared" si="432"/>
        <v>1626.0749999999998</v>
      </c>
      <c r="CA705" s="266">
        <f ca="1">N705*IFERROR(INDEX(Algorithms!$G:$G,MATCH($C705&amp;"_Therm Saved per Unit- MLA",Algorithms!$A:$A,0)),0)*X705</f>
        <v>0</v>
      </c>
      <c r="CB705" s="266">
        <f ca="1">O705*IFERROR(INDEX(Algorithms!$G:$G,MATCH($C705&amp;"_Therm Saved per Unit- MLA",Algorithms!$A:$A,0)),0)*Y705</f>
        <v>0</v>
      </c>
      <c r="CC705" s="266">
        <f ca="1">P705*IFERROR(INDEX(Algorithms!$G:$G,MATCH($C705&amp;"_Therm Saved per Unit- MLA",Algorithms!$A:$A,0)),0)*Z705</f>
        <v>0</v>
      </c>
      <c r="CD705" s="266">
        <f ca="1">Q705*IFERROR(INDEX(Algorithms!$G:$G,MATCH($C705&amp;"_Therm Saved per Unit- MLA",Algorithms!$A:$A,0)),0)*AA705</f>
        <v>0</v>
      </c>
      <c r="CE705" s="266">
        <f ca="1">IFERROR(INDEX(Algorithms!$G:$G,MATCH($C705&amp;"_Lifetime (years)",Algorithms!$A:$A,0)),0)</f>
        <v>11</v>
      </c>
      <c r="CF705" s="266">
        <f ca="1">IFERROR(INDEX(Algorithms!$G:$G,MATCH($C705&amp;"_Lifetime (years) - Remaining Years",Algorithms!$A:$A,0)),0)</f>
        <v>0</v>
      </c>
      <c r="CG705" s="266">
        <f t="shared" ca="1" si="433"/>
        <v>11924.55</v>
      </c>
      <c r="CH705" s="266">
        <f t="shared" ca="1" si="434"/>
        <v>13117.004999999999</v>
      </c>
      <c r="CI705" s="266">
        <f t="shared" ca="1" si="435"/>
        <v>16694.37</v>
      </c>
      <c r="CJ705" s="266">
        <f t="shared" ca="1" si="436"/>
        <v>17886.824999999997</v>
      </c>
      <c r="CK705" s="266">
        <f t="shared" si="437"/>
        <v>1054.3499999999999</v>
      </c>
      <c r="CL705" s="266">
        <f t="shared" si="438"/>
        <v>1159.7849999999999</v>
      </c>
      <c r="CM705" s="266">
        <f t="shared" ca="1" si="439"/>
        <v>1476.09</v>
      </c>
      <c r="CN705" s="266">
        <f t="shared" ca="1" si="440"/>
        <v>1581.5249999999999</v>
      </c>
      <c r="CO705" s="266">
        <f ca="1">N705*IFERROR(INDEX(Algorithms!$G:$G,MATCH($C705&amp;"_Therm Saved per Unit- MLA",Algorithms!$A:$A,0)),0)*X705</f>
        <v>0</v>
      </c>
      <c r="CP705" s="266">
        <f ca="1">O705*IFERROR(INDEX(Algorithms!$G:$G,MATCH($C705&amp;"_Therm Saved per Unit- MLA",Algorithms!$A:$A,0)),0)*Y705</f>
        <v>0</v>
      </c>
      <c r="CQ705" s="266">
        <f ca="1">P705*IFERROR(INDEX(Algorithms!$G:$G,MATCH($C705&amp;"_Therm Saved per Unit- MLA",Algorithms!$A:$A,0)),0)*Z705</f>
        <v>0</v>
      </c>
      <c r="CR705" s="266">
        <f ca="1">Q705*IFERROR(INDEX(Algorithms!$G:$G,MATCH($C705&amp;"_Therm Saved per Unit- MLA",Algorithms!$A:$A,0)),0)*AA705</f>
        <v>0</v>
      </c>
      <c r="CS705" s="266">
        <f ca="1">IFERROR(INDEX(Algorithms!$G:$G,MATCH($C705&amp;"_Lifetime (years)",Algorithms!$A:$A,0)),0)</f>
        <v>11</v>
      </c>
      <c r="CT705" s="266">
        <f ca="1">IFERROR(INDEX(Algorithms!$G:$G,MATCH($C705&amp;"_Lifetime (years) - Remaining Years",Algorithms!$A:$A,0)),0)</f>
        <v>0</v>
      </c>
      <c r="CU705" s="266">
        <f t="shared" ca="1" si="441"/>
        <v>11597.849999999999</v>
      </c>
      <c r="CV705" s="266">
        <f t="shared" ca="1" si="442"/>
        <v>12757.634999999998</v>
      </c>
      <c r="CW705" s="266">
        <f t="shared" ca="1" si="443"/>
        <v>16236.99</v>
      </c>
      <c r="CX705" s="266">
        <f t="shared" ca="1" si="444"/>
        <v>17396.774999999998</v>
      </c>
    </row>
    <row r="706" spans="2:102" s="47" customFormat="1" ht="18" customHeight="1" x14ac:dyDescent="0.25">
      <c r="B706" t="str">
        <f t="shared" si="445"/>
        <v>NSG_Residential_Home Energy Jumpstart_Core_Advanced Thermostat_Furnace (Replace Manual)_SF</v>
      </c>
      <c r="C706" s="47" t="str">
        <f t="shared" si="406"/>
        <v>Advanced Thermostat_Furnace (Replace Manual)_SF</v>
      </c>
      <c r="D706" s="270" t="s">
        <v>1787</v>
      </c>
      <c r="E706" s="270" t="s">
        <v>2</v>
      </c>
      <c r="F706" s="270" t="s">
        <v>1414</v>
      </c>
      <c r="G706" s="270" t="s">
        <v>1415</v>
      </c>
      <c r="H706" s="270" t="s">
        <v>7</v>
      </c>
      <c r="I706" s="270" t="s">
        <v>1047</v>
      </c>
      <c r="J706" s="270" t="s">
        <v>409</v>
      </c>
      <c r="K706" s="263">
        <v>1</v>
      </c>
      <c r="L706" s="263" t="str">
        <f ca="1">IFERROR(INDEX(Algorithms!J:J,MATCH($C706&amp;"_Therm Saved per Unit",Algorithms!$A:$A,0)),"n/a")</f>
        <v>5.3.16</v>
      </c>
      <c r="M706" s="263" t="str">
        <f>IFERROR(INDEX('Measure Level Detail'!$N:$N,MATCH($B706,'Measure Level Detail'!$B:$B,0)),0)</f>
        <v>Each</v>
      </c>
      <c r="N706" s="271">
        <f>IFERROR(INDEX('Measure Level Detail'!$P:$P,MATCH($B706&amp;"_"&amp;N$3,'Measure Level Detail'!$C:$C,0)),0)</f>
        <v>61</v>
      </c>
      <c r="O706" s="271">
        <f>IFERROR(INDEX('Measure Level Detail'!$P:$P,MATCH($B706&amp;"_"&amp;O$3,'Measure Level Detail'!$C:$C,0)),0)</f>
        <v>55</v>
      </c>
      <c r="P706" s="271">
        <f>IFERROR(INDEX('Measure Level Detail'!$P:$P,MATCH($B706&amp;"_"&amp;P$3,'Measure Level Detail'!$C:$C,0)),0)</f>
        <v>49</v>
      </c>
      <c r="Q706" s="271">
        <f>IFERROR(INDEX('Measure Level Detail'!$P:$P,MATCH($B706&amp;"_"&amp;Q$3,'Measure Level Detail'!$C:$C,0)),0)</f>
        <v>43</v>
      </c>
      <c r="R706" s="263" t="str">
        <f ca="1">IFERROR(INDEX(Algorithms!K:K,MATCH($C706&amp;"_Therm Saved per Unit",Algorithms!$A:$A,0)),"n/a")</f>
        <v>RS-HVC-ADTH-V09-240101</v>
      </c>
      <c r="S706" s="262"/>
      <c r="T706" s="272">
        <v>104.52</v>
      </c>
      <c r="U706" s="272">
        <v>104.52</v>
      </c>
      <c r="V706" s="272">
        <v>104.52</v>
      </c>
      <c r="W706" s="272">
        <v>104.52</v>
      </c>
      <c r="X706" s="273">
        <f>IFERROR(INDEX('Measure Level Detail'!$R:$R,MATCH($B706&amp;"_"&amp;X$3,'Measure Level Detail'!$C:$C,0)),0)</f>
        <v>0.9</v>
      </c>
      <c r="Y706" s="273">
        <f>IFERROR(INDEX('Measure Level Detail'!$R:$R,MATCH($B706&amp;"_"&amp;Y$3,'Measure Level Detail'!$C:$C,0)),0)</f>
        <v>0.9</v>
      </c>
      <c r="Z706" s="273">
        <f>IFERROR(INDEX('Measure Level Detail'!$R:$R,MATCH($B706&amp;"_"&amp;Z$3,'Measure Level Detail'!$C:$C,0)),0)</f>
        <v>0.9</v>
      </c>
      <c r="AA706" s="273">
        <f>IFERROR(INDEX('Measure Level Detail'!$R:$R,MATCH($B706&amp;"_"&amp;AA$3,'Measure Level Detail'!$C:$C,0)),0)</f>
        <v>0.9</v>
      </c>
      <c r="AB706" s="266">
        <f t="shared" si="407"/>
        <v>5738.1479999999992</v>
      </c>
      <c r="AC706" s="266">
        <f t="shared" si="408"/>
        <v>5173.74</v>
      </c>
      <c r="AD706" s="266">
        <f t="shared" si="409"/>
        <v>4609.3319999999994</v>
      </c>
      <c r="AE706" s="266">
        <f t="shared" si="410"/>
        <v>4044.924</v>
      </c>
      <c r="AF706" s="266">
        <f t="shared" si="411"/>
        <v>19566.143999999997</v>
      </c>
      <c r="AG706" s="274">
        <v>0.9</v>
      </c>
      <c r="AH706" s="274">
        <v>0.9</v>
      </c>
      <c r="AI706" s="710">
        <v>0.94</v>
      </c>
      <c r="AJ706" s="710">
        <v>0.94</v>
      </c>
      <c r="AK706" s="274">
        <f t="shared" si="412"/>
        <v>0.9</v>
      </c>
      <c r="AL706" s="274">
        <f t="shared" si="413"/>
        <v>0.9</v>
      </c>
      <c r="AM706" s="274">
        <f t="shared" si="414"/>
        <v>0.9</v>
      </c>
      <c r="AN706" s="274">
        <f t="shared" si="415"/>
        <v>0.9</v>
      </c>
      <c r="AO706" s="262"/>
      <c r="AP706" s="262"/>
      <c r="AQ706" s="267">
        <v>102.50999999999999</v>
      </c>
      <c r="AR706" s="262"/>
      <c r="AS706" s="266">
        <f t="shared" si="416"/>
        <v>5627.799</v>
      </c>
      <c r="AT706" s="264">
        <f t="shared" si="417"/>
        <v>-110.34899999999925</v>
      </c>
      <c r="AU706" s="262"/>
      <c r="AV706" s="262"/>
      <c r="AW706" s="265">
        <v>102.50999999999999</v>
      </c>
      <c r="AX706" s="164" t="s">
        <v>1469</v>
      </c>
      <c r="AY706" s="266">
        <v>5074.2449999999999</v>
      </c>
      <c r="AZ706" s="266">
        <f t="shared" si="418"/>
        <v>5074.2449999999999</v>
      </c>
      <c r="BA706" s="264">
        <f t="shared" si="419"/>
        <v>-99.494999999999891</v>
      </c>
      <c r="BB706" s="262"/>
      <c r="BC706" s="262"/>
      <c r="BD706" s="265">
        <f ca="1">IFERROR(INDEX(Algorithms!$G:$G,MATCH($C706&amp;"_Therm Saved per Unit",Algorithms!$A:$A,0)),0)</f>
        <v>102.50999999999999</v>
      </c>
      <c r="BE706" s="164" t="str">
        <f ca="1">IFERROR(INDEX('v12 Revisions'!$P$29:$P$186, MATCH('Measure-Level Adj Gas'!$L706, 'v12 Revisions'!$D$29:$D$186,0)),"")</f>
        <v>n/a - FLH not in fossil fuel energy savings algorithm.</v>
      </c>
      <c r="BF706" s="266">
        <f t="shared" ca="1" si="420"/>
        <v>4520.6909999999998</v>
      </c>
      <c r="BG706" s="264">
        <f t="shared" ca="1" si="421"/>
        <v>-88.640999999999622</v>
      </c>
      <c r="BH706" s="262"/>
      <c r="BI706" s="262"/>
      <c r="BJ706" s="265">
        <f ca="1">IFERROR(INDEX(Algorithms!$G:$G,MATCH($C706&amp;"_Therm Saved per Unit",Algorithms!$A:$A,0)),0)</f>
        <v>102.50999999999999</v>
      </c>
      <c r="BK706" s="164"/>
      <c r="BL706" s="266">
        <f t="shared" ca="1" si="422"/>
        <v>3967.1369999999997</v>
      </c>
      <c r="BM706" s="264">
        <f t="shared" ca="1" si="423"/>
        <v>-77.787000000000262</v>
      </c>
      <c r="BN706" s="266">
        <f t="shared" si="424"/>
        <v>5627.799</v>
      </c>
      <c r="BO706" s="266">
        <f t="shared" si="425"/>
        <v>5074.2449999999999</v>
      </c>
      <c r="BP706" s="266">
        <f t="shared" ca="1" si="426"/>
        <v>4520.6909999999998</v>
      </c>
      <c r="BQ706" s="266">
        <f t="shared" ca="1" si="427"/>
        <v>3967.1369999999997</v>
      </c>
      <c r="BR706" s="268">
        <f t="shared" ca="1" si="428"/>
        <v>19189.871999999999</v>
      </c>
      <c r="BS706" s="262" t="s">
        <v>99</v>
      </c>
      <c r="BT706" s="277"/>
      <c r="BW706" s="266">
        <f t="shared" si="429"/>
        <v>5738.1479999999992</v>
      </c>
      <c r="BX706" s="266">
        <f t="shared" si="430"/>
        <v>5173.74</v>
      </c>
      <c r="BY706" s="266">
        <f t="shared" si="431"/>
        <v>4609.3319999999994</v>
      </c>
      <c r="BZ706" s="266">
        <f t="shared" si="432"/>
        <v>4044.924</v>
      </c>
      <c r="CA706" s="266">
        <f ca="1">N706*IFERROR(INDEX(Algorithms!$G:$G,MATCH($C706&amp;"_Therm Saved per Unit- MLA",Algorithms!$A:$A,0)),0)*X706</f>
        <v>0</v>
      </c>
      <c r="CB706" s="266">
        <f ca="1">O706*IFERROR(INDEX(Algorithms!$G:$G,MATCH($C706&amp;"_Therm Saved per Unit- MLA",Algorithms!$A:$A,0)),0)*Y706</f>
        <v>0</v>
      </c>
      <c r="CC706" s="266">
        <f ca="1">P706*IFERROR(INDEX(Algorithms!$G:$G,MATCH($C706&amp;"_Therm Saved per Unit- MLA",Algorithms!$A:$A,0)),0)*Z706</f>
        <v>0</v>
      </c>
      <c r="CD706" s="266">
        <f ca="1">Q706*IFERROR(INDEX(Algorithms!$G:$G,MATCH($C706&amp;"_Therm Saved per Unit- MLA",Algorithms!$A:$A,0)),0)*AA706</f>
        <v>0</v>
      </c>
      <c r="CE706" s="266">
        <f ca="1">IFERROR(INDEX(Algorithms!$G:$G,MATCH($C706&amp;"_Lifetime (years)",Algorithms!$A:$A,0)),0)</f>
        <v>11</v>
      </c>
      <c r="CF706" s="266">
        <f ca="1">IFERROR(INDEX(Algorithms!$G:$G,MATCH($C706&amp;"_Lifetime (years) - Remaining Years",Algorithms!$A:$A,0)),0)</f>
        <v>0</v>
      </c>
      <c r="CG706" s="266">
        <f t="shared" ca="1" si="433"/>
        <v>63119.62799999999</v>
      </c>
      <c r="CH706" s="266">
        <f t="shared" ca="1" si="434"/>
        <v>56911.14</v>
      </c>
      <c r="CI706" s="266">
        <f t="shared" ca="1" si="435"/>
        <v>50702.651999999995</v>
      </c>
      <c r="CJ706" s="266">
        <f t="shared" ca="1" si="436"/>
        <v>44494.163999999997</v>
      </c>
      <c r="CK706" s="266">
        <f t="shared" si="437"/>
        <v>5627.799</v>
      </c>
      <c r="CL706" s="266">
        <f t="shared" si="438"/>
        <v>5074.2449999999999</v>
      </c>
      <c r="CM706" s="266">
        <f t="shared" ca="1" si="439"/>
        <v>4520.6909999999998</v>
      </c>
      <c r="CN706" s="266">
        <f t="shared" ca="1" si="440"/>
        <v>3967.1369999999997</v>
      </c>
      <c r="CO706" s="266">
        <f ca="1">N706*IFERROR(INDEX(Algorithms!$G:$G,MATCH($C706&amp;"_Therm Saved per Unit- MLA",Algorithms!$A:$A,0)),0)*X706</f>
        <v>0</v>
      </c>
      <c r="CP706" s="266">
        <f ca="1">O706*IFERROR(INDEX(Algorithms!$G:$G,MATCH($C706&amp;"_Therm Saved per Unit- MLA",Algorithms!$A:$A,0)),0)*Y706</f>
        <v>0</v>
      </c>
      <c r="CQ706" s="266">
        <f ca="1">P706*IFERROR(INDEX(Algorithms!$G:$G,MATCH($C706&amp;"_Therm Saved per Unit- MLA",Algorithms!$A:$A,0)),0)*Z706</f>
        <v>0</v>
      </c>
      <c r="CR706" s="266">
        <f ca="1">Q706*IFERROR(INDEX(Algorithms!$G:$G,MATCH($C706&amp;"_Therm Saved per Unit- MLA",Algorithms!$A:$A,0)),0)*AA706</f>
        <v>0</v>
      </c>
      <c r="CS706" s="266">
        <f ca="1">IFERROR(INDEX(Algorithms!$G:$G,MATCH($C706&amp;"_Lifetime (years)",Algorithms!$A:$A,0)),0)</f>
        <v>11</v>
      </c>
      <c r="CT706" s="266">
        <f ca="1">IFERROR(INDEX(Algorithms!$G:$G,MATCH($C706&amp;"_Lifetime (years) - Remaining Years",Algorithms!$A:$A,0)),0)</f>
        <v>0</v>
      </c>
      <c r="CU706" s="266">
        <f t="shared" ca="1" si="441"/>
        <v>61905.788999999997</v>
      </c>
      <c r="CV706" s="266">
        <f t="shared" ca="1" si="442"/>
        <v>55816.695</v>
      </c>
      <c r="CW706" s="266">
        <f t="shared" ca="1" si="443"/>
        <v>49727.600999999995</v>
      </c>
      <c r="CX706" s="266">
        <f t="shared" ca="1" si="444"/>
        <v>43638.506999999998</v>
      </c>
    </row>
    <row r="707" spans="2:102" s="47" customFormat="1" ht="18" customHeight="1" x14ac:dyDescent="0.25">
      <c r="B707" t="str">
        <f t="shared" si="445"/>
        <v>NSG_Business_Small/Mid-Size Business_Partner Trade Ally Rebate_Small Commercial Advanced Thermostat_0_CI</v>
      </c>
      <c r="C707" s="47" t="str">
        <f t="shared" si="406"/>
        <v>Small Commercial Advanced Thermostat_0_CI</v>
      </c>
      <c r="D707" s="270" t="s">
        <v>1787</v>
      </c>
      <c r="E707" s="270" t="s">
        <v>3</v>
      </c>
      <c r="F707" s="270" t="s">
        <v>1432</v>
      </c>
      <c r="G707" s="270" t="s">
        <v>1799</v>
      </c>
      <c r="H707" s="270" t="s">
        <v>1302</v>
      </c>
      <c r="I707" s="270">
        <v>0</v>
      </c>
      <c r="J707" s="270" t="s">
        <v>1159</v>
      </c>
      <c r="K707" s="263">
        <v>1</v>
      </c>
      <c r="L707" s="263" t="str">
        <f ca="1">IFERROR(INDEX(Algorithms!J:J,MATCH($C707&amp;"_Therm Saved per Unit",Algorithms!$A:$A,0)),"n/a")</f>
        <v>4.4.48</v>
      </c>
      <c r="M707" s="263" t="str">
        <f>IFERROR(INDEX('Measure Level Detail'!$N:$N,MATCH($B707,'Measure Level Detail'!$B:$B,0)),0)</f>
        <v>each</v>
      </c>
      <c r="N707" s="271">
        <f>IFERROR(INDEX('Measure Level Detail'!$P:$P,MATCH($B707&amp;"_"&amp;N$3,'Measure Level Detail'!$C:$C,0)),0)</f>
        <v>5</v>
      </c>
      <c r="O707" s="271">
        <f>IFERROR(INDEX('Measure Level Detail'!$P:$P,MATCH($B707&amp;"_"&amp;O$3,'Measure Level Detail'!$C:$C,0)),0)</f>
        <v>4</v>
      </c>
      <c r="P707" s="271">
        <f>IFERROR(INDEX('Measure Level Detail'!$P:$P,MATCH($B707&amp;"_"&amp;P$3,'Measure Level Detail'!$C:$C,0)),0)</f>
        <v>4</v>
      </c>
      <c r="Q707" s="271">
        <f>IFERROR(INDEX('Measure Level Detail'!$P:$P,MATCH($B707&amp;"_"&amp;Q$3,'Measure Level Detail'!$C:$C,0)),0)</f>
        <v>4</v>
      </c>
      <c r="R707" s="263" t="str">
        <f ca="1">IFERROR(INDEX(Algorithms!K:K,MATCH($C707&amp;"_Therm Saved per Unit",Algorithms!$A:$A,0)),"n/a")</f>
        <v>CI-HVC-THST-V06-240101</v>
      </c>
      <c r="S707" s="262"/>
      <c r="T707" s="272">
        <v>196.26391399999997</v>
      </c>
      <c r="U707" s="272">
        <v>196.26391399999997</v>
      </c>
      <c r="V707" s="272">
        <v>196.26391399999997</v>
      </c>
      <c r="W707" s="272">
        <v>196.26391399999997</v>
      </c>
      <c r="X707" s="276">
        <v>0.97</v>
      </c>
      <c r="Y707" s="276">
        <v>0.97</v>
      </c>
      <c r="Z707" s="276">
        <v>0.97</v>
      </c>
      <c r="AA707" s="276">
        <v>0.97</v>
      </c>
      <c r="AB707" s="266">
        <f t="shared" si="407"/>
        <v>951.87998289999985</v>
      </c>
      <c r="AC707" s="266">
        <f t="shared" si="408"/>
        <v>761.50398631999985</v>
      </c>
      <c r="AD707" s="266">
        <f t="shared" si="409"/>
        <v>761.50398631999985</v>
      </c>
      <c r="AE707" s="266">
        <f t="shared" si="410"/>
        <v>761.50398631999985</v>
      </c>
      <c r="AF707" s="266">
        <f t="shared" si="411"/>
        <v>3236.3919418599994</v>
      </c>
      <c r="AG707" s="274">
        <v>0.97</v>
      </c>
      <c r="AH707" s="274">
        <v>0.97</v>
      </c>
      <c r="AI707" s="274">
        <v>0.97</v>
      </c>
      <c r="AJ707" s="274">
        <v>0.97</v>
      </c>
      <c r="AK707" s="274">
        <f t="shared" si="412"/>
        <v>0.97</v>
      </c>
      <c r="AL707" s="274">
        <f t="shared" si="413"/>
        <v>0.97</v>
      </c>
      <c r="AM707" s="274">
        <f t="shared" si="414"/>
        <v>0.97</v>
      </c>
      <c r="AN707" s="274">
        <f t="shared" si="415"/>
        <v>0.97</v>
      </c>
      <c r="AO707" s="262"/>
      <c r="AP707" s="262"/>
      <c r="AQ707" s="267">
        <v>157.01113119999999</v>
      </c>
      <c r="AR707" s="262"/>
      <c r="AS707" s="266">
        <f t="shared" si="416"/>
        <v>761.50398631999997</v>
      </c>
      <c r="AT707" s="264">
        <f t="shared" si="417"/>
        <v>-190.37599657999988</v>
      </c>
      <c r="AU707" s="262"/>
      <c r="AV707" s="262"/>
      <c r="AW707" s="265">
        <v>157.01113119999999</v>
      </c>
      <c r="AX707" s="164" t="s">
        <v>1469</v>
      </c>
      <c r="AY707" s="266">
        <v>609.20318905599993</v>
      </c>
      <c r="AZ707" s="266">
        <f t="shared" si="418"/>
        <v>609.20318905599993</v>
      </c>
      <c r="BA707" s="264">
        <f t="shared" si="419"/>
        <v>-152.30079726399993</v>
      </c>
      <c r="BB707" s="262"/>
      <c r="BC707" s="262"/>
      <c r="BD707" s="265">
        <f ca="1">IFERROR(INDEX(Algorithms!$G:$G,MATCH($C707&amp;"_Therm Saved per Unit",Algorithms!$A:$A,0)),0)</f>
        <v>157.01113119999999</v>
      </c>
      <c r="BE707" s="164" t="str">
        <f ca="1">IFERROR(INDEX('v12 Revisions'!$P$29:$P$186, MATCH('Measure-Level Adj Gas'!$L707, 'v12 Revisions'!$D$29:$D$186,0)),"")</f>
        <v>n/a - only affects electric energy savings algorithm.</v>
      </c>
      <c r="BF707" s="266">
        <f t="shared" ca="1" si="420"/>
        <v>609.20318905599993</v>
      </c>
      <c r="BG707" s="264">
        <f t="shared" ca="1" si="421"/>
        <v>-152.30079726399993</v>
      </c>
      <c r="BH707" s="262"/>
      <c r="BI707" s="262"/>
      <c r="BJ707" s="265">
        <f ca="1">IFERROR(INDEX(Algorithms!$G:$G,MATCH($C707&amp;"_Therm Saved per Unit",Algorithms!$A:$A,0)),0)</f>
        <v>157.01113119999999</v>
      </c>
      <c r="BK707" s="164"/>
      <c r="BL707" s="266">
        <f t="shared" ca="1" si="422"/>
        <v>609.20318905599993</v>
      </c>
      <c r="BM707" s="264">
        <f t="shared" ca="1" si="423"/>
        <v>-152.30079726399993</v>
      </c>
      <c r="BN707" s="266">
        <f t="shared" si="424"/>
        <v>761.50398631999997</v>
      </c>
      <c r="BO707" s="266">
        <f t="shared" si="425"/>
        <v>609.20318905599993</v>
      </c>
      <c r="BP707" s="266">
        <f t="shared" ca="1" si="426"/>
        <v>609.20318905599993</v>
      </c>
      <c r="BQ707" s="266">
        <f t="shared" ca="1" si="427"/>
        <v>609.20318905599993</v>
      </c>
      <c r="BR707" s="268">
        <f t="shared" ca="1" si="428"/>
        <v>2589.1135534879995</v>
      </c>
      <c r="BS707" s="262" t="s">
        <v>99</v>
      </c>
      <c r="BT707" s="277"/>
      <c r="BW707" s="266">
        <f t="shared" si="429"/>
        <v>951.87998289999985</v>
      </c>
      <c r="BX707" s="266">
        <f t="shared" si="430"/>
        <v>761.50398631999985</v>
      </c>
      <c r="BY707" s="266">
        <f t="shared" si="431"/>
        <v>761.50398631999985</v>
      </c>
      <c r="BZ707" s="266">
        <f t="shared" si="432"/>
        <v>761.50398631999985</v>
      </c>
      <c r="CA707" s="266">
        <f ca="1">N707*IFERROR(INDEX(Algorithms!$G:$G,MATCH($C707&amp;"_Therm Saved per Unit- MLA",Algorithms!$A:$A,0)),0)*X707</f>
        <v>0</v>
      </c>
      <c r="CB707" s="266">
        <f ca="1">O707*IFERROR(INDEX(Algorithms!$G:$G,MATCH($C707&amp;"_Therm Saved per Unit- MLA",Algorithms!$A:$A,0)),0)*Y707</f>
        <v>0</v>
      </c>
      <c r="CC707" s="266">
        <f ca="1">P707*IFERROR(INDEX(Algorithms!$G:$G,MATCH($C707&amp;"_Therm Saved per Unit- MLA",Algorithms!$A:$A,0)),0)*Z707</f>
        <v>0</v>
      </c>
      <c r="CD707" s="266">
        <f ca="1">Q707*IFERROR(INDEX(Algorithms!$G:$G,MATCH($C707&amp;"_Therm Saved per Unit- MLA",Algorithms!$A:$A,0)),0)*AA707</f>
        <v>0</v>
      </c>
      <c r="CE707" s="266">
        <f ca="1">IFERROR(INDEX(Algorithms!$G:$G,MATCH($C707&amp;"_Lifetime (years)",Algorithms!$A:$A,0)),0)</f>
        <v>11</v>
      </c>
      <c r="CF707" s="266">
        <f ca="1">IFERROR(INDEX(Algorithms!$G:$G,MATCH($C707&amp;"_Lifetime (years) - Remaining Years",Algorithms!$A:$A,0)),0)</f>
        <v>0</v>
      </c>
      <c r="CG707" s="266">
        <f t="shared" ca="1" si="433"/>
        <v>10470.679811899998</v>
      </c>
      <c r="CH707" s="266">
        <f t="shared" ca="1" si="434"/>
        <v>8376.5438495199978</v>
      </c>
      <c r="CI707" s="266">
        <f t="shared" ca="1" si="435"/>
        <v>8376.5438495199978</v>
      </c>
      <c r="CJ707" s="266">
        <f t="shared" ca="1" si="436"/>
        <v>8376.5438495199978</v>
      </c>
      <c r="CK707" s="266">
        <f t="shared" si="437"/>
        <v>761.50398631999997</v>
      </c>
      <c r="CL707" s="266">
        <f t="shared" si="438"/>
        <v>609.20318905599993</v>
      </c>
      <c r="CM707" s="266">
        <f t="shared" ca="1" si="439"/>
        <v>609.20318905599993</v>
      </c>
      <c r="CN707" s="266">
        <f t="shared" ca="1" si="440"/>
        <v>609.20318905599993</v>
      </c>
      <c r="CO707" s="266">
        <f ca="1">N707*IFERROR(INDEX(Algorithms!$G:$G,MATCH($C707&amp;"_Therm Saved per Unit- MLA",Algorithms!$A:$A,0)),0)*X707</f>
        <v>0</v>
      </c>
      <c r="CP707" s="266">
        <f ca="1">O707*IFERROR(INDEX(Algorithms!$G:$G,MATCH($C707&amp;"_Therm Saved per Unit- MLA",Algorithms!$A:$A,0)),0)*Y707</f>
        <v>0</v>
      </c>
      <c r="CQ707" s="266">
        <f ca="1">P707*IFERROR(INDEX(Algorithms!$G:$G,MATCH($C707&amp;"_Therm Saved per Unit- MLA",Algorithms!$A:$A,0)),0)*Z707</f>
        <v>0</v>
      </c>
      <c r="CR707" s="266">
        <f ca="1">Q707*IFERROR(INDEX(Algorithms!$G:$G,MATCH($C707&amp;"_Therm Saved per Unit- MLA",Algorithms!$A:$A,0)),0)*AA707</f>
        <v>0</v>
      </c>
      <c r="CS707" s="266">
        <f ca="1">IFERROR(INDEX(Algorithms!$G:$G,MATCH($C707&amp;"_Lifetime (years)",Algorithms!$A:$A,0)),0)</f>
        <v>11</v>
      </c>
      <c r="CT707" s="266">
        <f ca="1">IFERROR(INDEX(Algorithms!$G:$G,MATCH($C707&amp;"_Lifetime (years) - Remaining Years",Algorithms!$A:$A,0)),0)</f>
        <v>0</v>
      </c>
      <c r="CU707" s="266">
        <f t="shared" ca="1" si="441"/>
        <v>8376.5438495199996</v>
      </c>
      <c r="CV707" s="266">
        <f t="shared" ca="1" si="442"/>
        <v>6701.235079615999</v>
      </c>
      <c r="CW707" s="266">
        <f t="shared" ca="1" si="443"/>
        <v>6701.235079615999</v>
      </c>
      <c r="CX707" s="266">
        <f t="shared" ca="1" si="444"/>
        <v>6701.235079615999</v>
      </c>
    </row>
    <row r="708" spans="2:102" s="47" customFormat="1" ht="18" customHeight="1" x14ac:dyDescent="0.25">
      <c r="B708" t="str">
        <f t="shared" si="445"/>
        <v>NSG_Residential_Home Energy Jumpstart_Core_Advanced Thermostat_Furnace (Replace Programmable)_SF</v>
      </c>
      <c r="C708" s="47" t="str">
        <f t="shared" si="406"/>
        <v>Advanced Thermostat_Furnace (Replace Programmable)_SF</v>
      </c>
      <c r="D708" s="270" t="s">
        <v>1787</v>
      </c>
      <c r="E708" s="270" t="s">
        <v>2</v>
      </c>
      <c r="F708" s="270" t="s">
        <v>1414</v>
      </c>
      <c r="G708" s="270" t="s">
        <v>1415</v>
      </c>
      <c r="H708" s="270" t="s">
        <v>7</v>
      </c>
      <c r="I708" s="270" t="s">
        <v>1049</v>
      </c>
      <c r="J708" s="270" t="s">
        <v>409</v>
      </c>
      <c r="K708" s="263">
        <v>1</v>
      </c>
      <c r="L708" s="263" t="str">
        <f ca="1">IFERROR(INDEX(Algorithms!J:J,MATCH($C708&amp;"_Therm Saved per Unit",Algorithms!$A:$A,0)),"n/a")</f>
        <v>5.3.16</v>
      </c>
      <c r="M708" s="263" t="str">
        <f>IFERROR(INDEX('Measure Level Detail'!$N:$N,MATCH($B708,'Measure Level Detail'!$B:$B,0)),0)</f>
        <v>Each</v>
      </c>
      <c r="N708" s="271">
        <f>IFERROR(INDEX('Measure Level Detail'!$P:$P,MATCH($B708&amp;"_"&amp;N$3,'Measure Level Detail'!$C:$C,0)),0)</f>
        <v>111</v>
      </c>
      <c r="O708" s="271">
        <f>IFERROR(INDEX('Measure Level Detail'!$P:$P,MATCH($B708&amp;"_"&amp;O$3,'Measure Level Detail'!$C:$C,0)),0)</f>
        <v>100</v>
      </c>
      <c r="P708" s="271">
        <f>IFERROR(INDEX('Measure Level Detail'!$P:$P,MATCH($B708&amp;"_"&amp;P$3,'Measure Level Detail'!$C:$C,0)),0)</f>
        <v>89</v>
      </c>
      <c r="Q708" s="271">
        <f>IFERROR(INDEX('Measure Level Detail'!$P:$P,MATCH($B708&amp;"_"&amp;Q$3,'Measure Level Detail'!$C:$C,0)),0)</f>
        <v>77</v>
      </c>
      <c r="R708" s="263" t="str">
        <f ca="1">IFERROR(INDEX(Algorithms!K:K,MATCH($C708&amp;"_Therm Saved per Unit",Algorithms!$A:$A,0)),"n/a")</f>
        <v>RS-HVC-ADTH-V09-240101</v>
      </c>
      <c r="S708" s="262"/>
      <c r="T708" s="272">
        <v>73.364999999999995</v>
      </c>
      <c r="U708" s="272">
        <v>73.364999999999995</v>
      </c>
      <c r="V708" s="272">
        <v>73.364999999999995</v>
      </c>
      <c r="W708" s="272">
        <v>73.364999999999995</v>
      </c>
      <c r="X708" s="273">
        <f>IFERROR(INDEX('Measure Level Detail'!$R:$R,MATCH($B708&amp;"_"&amp;X$3,'Measure Level Detail'!$C:$C,0)),0)</f>
        <v>0.9</v>
      </c>
      <c r="Y708" s="273">
        <f>IFERROR(INDEX('Measure Level Detail'!$R:$R,MATCH($B708&amp;"_"&amp;Y$3,'Measure Level Detail'!$C:$C,0)),0)</f>
        <v>0.9</v>
      </c>
      <c r="Z708" s="273">
        <f>IFERROR(INDEX('Measure Level Detail'!$R:$R,MATCH($B708&amp;"_"&amp;Z$3,'Measure Level Detail'!$C:$C,0)),0)</f>
        <v>0.9</v>
      </c>
      <c r="AA708" s="273">
        <f>IFERROR(INDEX('Measure Level Detail'!$R:$R,MATCH($B708&amp;"_"&amp;AA$3,'Measure Level Detail'!$C:$C,0)),0)</f>
        <v>0.9</v>
      </c>
      <c r="AB708" s="266">
        <f t="shared" si="407"/>
        <v>7329.1634999999997</v>
      </c>
      <c r="AC708" s="266">
        <f t="shared" si="408"/>
        <v>6602.8499999999995</v>
      </c>
      <c r="AD708" s="266">
        <f t="shared" si="409"/>
        <v>5876.5365000000002</v>
      </c>
      <c r="AE708" s="266">
        <f t="shared" si="410"/>
        <v>5084.1944999999996</v>
      </c>
      <c r="AF708" s="266">
        <f t="shared" si="411"/>
        <v>24892.744500000001</v>
      </c>
      <c r="AG708" s="274">
        <v>0.9</v>
      </c>
      <c r="AH708" s="274">
        <v>0.9</v>
      </c>
      <c r="AI708" s="710">
        <v>0.94</v>
      </c>
      <c r="AJ708" s="710">
        <v>0.94</v>
      </c>
      <c r="AK708" s="274">
        <f t="shared" si="412"/>
        <v>0.9</v>
      </c>
      <c r="AL708" s="274">
        <f t="shared" si="413"/>
        <v>0.9</v>
      </c>
      <c r="AM708" s="274">
        <f t="shared" si="414"/>
        <v>0.9</v>
      </c>
      <c r="AN708" s="274">
        <f t="shared" si="415"/>
        <v>0.9</v>
      </c>
      <c r="AO708" s="262"/>
      <c r="AP708" s="262"/>
      <c r="AQ708" s="267">
        <v>71.35499999999999</v>
      </c>
      <c r="AR708" s="262"/>
      <c r="AS708" s="266">
        <f t="shared" si="416"/>
        <v>7128.3644999999988</v>
      </c>
      <c r="AT708" s="264">
        <f t="shared" si="417"/>
        <v>-200.79900000000089</v>
      </c>
      <c r="AU708" s="262"/>
      <c r="AV708" s="262"/>
      <c r="AW708" s="265">
        <v>71.35499999999999</v>
      </c>
      <c r="AX708" s="164" t="s">
        <v>1469</v>
      </c>
      <c r="AY708" s="266">
        <v>6421.9499999999989</v>
      </c>
      <c r="AZ708" s="266">
        <f t="shared" si="418"/>
        <v>6421.9499999999989</v>
      </c>
      <c r="BA708" s="264">
        <f t="shared" si="419"/>
        <v>-180.90000000000055</v>
      </c>
      <c r="BB708" s="262"/>
      <c r="BC708" s="262"/>
      <c r="BD708" s="265">
        <f ca="1">IFERROR(INDEX(Algorithms!$G:$G,MATCH($C708&amp;"_Therm Saved per Unit",Algorithms!$A:$A,0)),0)</f>
        <v>71.35499999999999</v>
      </c>
      <c r="BE708" s="164" t="str">
        <f ca="1">IFERROR(INDEX('v12 Revisions'!$P$29:$P$186, MATCH('Measure-Level Adj Gas'!$L708, 'v12 Revisions'!$D$29:$D$186,0)),"")</f>
        <v>n/a - FLH not in fossil fuel energy savings algorithm.</v>
      </c>
      <c r="BF708" s="266">
        <f t="shared" ca="1" si="420"/>
        <v>5715.5355</v>
      </c>
      <c r="BG708" s="264">
        <f t="shared" ca="1" si="421"/>
        <v>-161.0010000000002</v>
      </c>
      <c r="BH708" s="262"/>
      <c r="BI708" s="262"/>
      <c r="BJ708" s="265">
        <f ca="1">IFERROR(INDEX(Algorithms!$G:$G,MATCH($C708&amp;"_Therm Saved per Unit",Algorithms!$A:$A,0)),0)</f>
        <v>71.35499999999999</v>
      </c>
      <c r="BK708" s="164"/>
      <c r="BL708" s="266">
        <f t="shared" ca="1" si="422"/>
        <v>4944.901499999999</v>
      </c>
      <c r="BM708" s="264">
        <f t="shared" ca="1" si="423"/>
        <v>-139.29300000000057</v>
      </c>
      <c r="BN708" s="266">
        <f t="shared" si="424"/>
        <v>7128.3644999999988</v>
      </c>
      <c r="BO708" s="266">
        <f t="shared" si="425"/>
        <v>6421.9499999999989</v>
      </c>
      <c r="BP708" s="266">
        <f t="shared" ca="1" si="426"/>
        <v>5715.5355</v>
      </c>
      <c r="BQ708" s="266">
        <f t="shared" ca="1" si="427"/>
        <v>4944.901499999999</v>
      </c>
      <c r="BR708" s="268">
        <f t="shared" ca="1" si="428"/>
        <v>24210.751499999998</v>
      </c>
      <c r="BS708" s="262" t="s">
        <v>99</v>
      </c>
      <c r="BT708" s="277"/>
      <c r="BW708" s="266">
        <f t="shared" si="429"/>
        <v>7329.1634999999997</v>
      </c>
      <c r="BX708" s="266">
        <f t="shared" si="430"/>
        <v>6602.8499999999995</v>
      </c>
      <c r="BY708" s="266">
        <f t="shared" si="431"/>
        <v>5876.5365000000002</v>
      </c>
      <c r="BZ708" s="266">
        <f t="shared" si="432"/>
        <v>5084.1944999999996</v>
      </c>
      <c r="CA708" s="266">
        <f ca="1">N708*IFERROR(INDEX(Algorithms!$G:$G,MATCH($C708&amp;"_Therm Saved per Unit- MLA",Algorithms!$A:$A,0)),0)*X708</f>
        <v>0</v>
      </c>
      <c r="CB708" s="266">
        <f ca="1">O708*IFERROR(INDEX(Algorithms!$G:$G,MATCH($C708&amp;"_Therm Saved per Unit- MLA",Algorithms!$A:$A,0)),0)*Y708</f>
        <v>0</v>
      </c>
      <c r="CC708" s="266">
        <f ca="1">P708*IFERROR(INDEX(Algorithms!$G:$G,MATCH($C708&amp;"_Therm Saved per Unit- MLA",Algorithms!$A:$A,0)),0)*Z708</f>
        <v>0</v>
      </c>
      <c r="CD708" s="266">
        <f ca="1">Q708*IFERROR(INDEX(Algorithms!$G:$G,MATCH($C708&amp;"_Therm Saved per Unit- MLA",Algorithms!$A:$A,0)),0)*AA708</f>
        <v>0</v>
      </c>
      <c r="CE708" s="266">
        <f ca="1">IFERROR(INDEX(Algorithms!$G:$G,MATCH($C708&amp;"_Lifetime (years)",Algorithms!$A:$A,0)),0)</f>
        <v>11</v>
      </c>
      <c r="CF708" s="266">
        <f ca="1">IFERROR(INDEX(Algorithms!$G:$G,MATCH($C708&amp;"_Lifetime (years) - Remaining Years",Algorithms!$A:$A,0)),0)</f>
        <v>0</v>
      </c>
      <c r="CG708" s="266">
        <f t="shared" ca="1" si="433"/>
        <v>80620.79849999999</v>
      </c>
      <c r="CH708" s="266">
        <f t="shared" ca="1" si="434"/>
        <v>72631.349999999991</v>
      </c>
      <c r="CI708" s="266">
        <f t="shared" ca="1" si="435"/>
        <v>64641.9015</v>
      </c>
      <c r="CJ708" s="266">
        <f t="shared" ca="1" si="436"/>
        <v>55926.139499999997</v>
      </c>
      <c r="CK708" s="266">
        <f t="shared" si="437"/>
        <v>7128.3644999999988</v>
      </c>
      <c r="CL708" s="266">
        <f t="shared" si="438"/>
        <v>6421.9499999999989</v>
      </c>
      <c r="CM708" s="266">
        <f t="shared" ca="1" si="439"/>
        <v>5715.5355</v>
      </c>
      <c r="CN708" s="266">
        <f t="shared" ca="1" si="440"/>
        <v>4944.901499999999</v>
      </c>
      <c r="CO708" s="266">
        <f ca="1">N708*IFERROR(INDEX(Algorithms!$G:$G,MATCH($C708&amp;"_Therm Saved per Unit- MLA",Algorithms!$A:$A,0)),0)*X708</f>
        <v>0</v>
      </c>
      <c r="CP708" s="266">
        <f ca="1">O708*IFERROR(INDEX(Algorithms!$G:$G,MATCH($C708&amp;"_Therm Saved per Unit- MLA",Algorithms!$A:$A,0)),0)*Y708</f>
        <v>0</v>
      </c>
      <c r="CQ708" s="266">
        <f ca="1">P708*IFERROR(INDEX(Algorithms!$G:$G,MATCH($C708&amp;"_Therm Saved per Unit- MLA",Algorithms!$A:$A,0)),0)*Z708</f>
        <v>0</v>
      </c>
      <c r="CR708" s="266">
        <f ca="1">Q708*IFERROR(INDEX(Algorithms!$G:$G,MATCH($C708&amp;"_Therm Saved per Unit- MLA",Algorithms!$A:$A,0)),0)*AA708</f>
        <v>0</v>
      </c>
      <c r="CS708" s="266">
        <f ca="1">IFERROR(INDEX(Algorithms!$G:$G,MATCH($C708&amp;"_Lifetime (years)",Algorithms!$A:$A,0)),0)</f>
        <v>11</v>
      </c>
      <c r="CT708" s="266">
        <f ca="1">IFERROR(INDEX(Algorithms!$G:$G,MATCH($C708&amp;"_Lifetime (years) - Remaining Years",Algorithms!$A:$A,0)),0)</f>
        <v>0</v>
      </c>
      <c r="CU708" s="266">
        <f t="shared" ca="1" si="441"/>
        <v>78412.009499999986</v>
      </c>
      <c r="CV708" s="266">
        <f t="shared" ca="1" si="442"/>
        <v>70641.449999999983</v>
      </c>
      <c r="CW708" s="266">
        <f t="shared" ca="1" si="443"/>
        <v>62870.890500000001</v>
      </c>
      <c r="CX708" s="266">
        <f t="shared" ca="1" si="444"/>
        <v>54393.916499999992</v>
      </c>
    </row>
    <row r="709" spans="2:102" ht="18" customHeight="1" x14ac:dyDescent="0.25">
      <c r="C709" s="47"/>
      <c r="D709" s="270"/>
      <c r="E709" s="270"/>
      <c r="F709" s="270"/>
      <c r="G709" s="270"/>
      <c r="H709" s="270"/>
      <c r="I709" s="270"/>
      <c r="J709" s="270"/>
      <c r="K709" s="263"/>
      <c r="L709" s="263"/>
      <c r="M709" s="263"/>
      <c r="N709" s="271"/>
      <c r="O709" s="271"/>
      <c r="P709" s="271"/>
      <c r="Q709" s="271"/>
      <c r="R709" s="263"/>
      <c r="S709" s="262"/>
      <c r="T709" s="272"/>
      <c r="U709" s="272"/>
      <c r="V709" s="272"/>
      <c r="W709" s="272"/>
      <c r="X709" s="273"/>
      <c r="Y709" s="273"/>
      <c r="Z709" s="273"/>
      <c r="AA709" s="273"/>
      <c r="AB709" s="266"/>
      <c r="AC709" s="266"/>
      <c r="AD709" s="266"/>
      <c r="AE709" s="266"/>
      <c r="AF709" s="266"/>
      <c r="AG709" s="274"/>
      <c r="AH709" s="274"/>
      <c r="AI709" s="274"/>
      <c r="AJ709" s="274"/>
      <c r="AK709" s="274"/>
      <c r="AL709" s="274"/>
      <c r="AM709" s="274"/>
      <c r="AN709" s="274"/>
      <c r="AO709" s="262"/>
      <c r="AP709" s="262"/>
      <c r="AQ709" s="267"/>
      <c r="AR709" s="262"/>
      <c r="AS709" s="266"/>
      <c r="AT709" s="264"/>
      <c r="AU709" s="262"/>
      <c r="AV709" s="262"/>
      <c r="AW709" s="265"/>
      <c r="AX709" s="164"/>
      <c r="AY709" s="266"/>
      <c r="AZ709" s="266"/>
      <c r="BA709" s="264"/>
      <c r="BB709" s="262"/>
      <c r="BC709" s="262"/>
      <c r="BD709" s="265"/>
      <c r="BE709" s="164"/>
      <c r="BF709" s="266"/>
      <c r="BG709" s="264"/>
      <c r="BH709" s="262"/>
      <c r="BI709" s="262"/>
      <c r="BJ709" s="265"/>
      <c r="BK709" s="164"/>
      <c r="BL709" s="266"/>
      <c r="BM709" s="264"/>
      <c r="BN709" s="266"/>
      <c r="BO709" s="266"/>
      <c r="BP709" s="266"/>
      <c r="BQ709" s="266"/>
      <c r="BR709" s="268"/>
      <c r="BS709" s="262"/>
      <c r="BT709" s="164"/>
      <c r="BW709" s="266"/>
      <c r="BX709" s="266"/>
      <c r="BY709" s="266"/>
      <c r="BZ709" s="266"/>
      <c r="CA709" s="266"/>
      <c r="CB709" s="266"/>
      <c r="CC709" s="266"/>
      <c r="CD709" s="266"/>
      <c r="CE709" s="266"/>
      <c r="CF709" s="266"/>
      <c r="CG709" s="266"/>
      <c r="CH709" s="266"/>
      <c r="CI709" s="266"/>
      <c r="CJ709" s="266"/>
      <c r="CK709" s="266"/>
      <c r="CL709" s="266"/>
      <c r="CM709" s="266"/>
      <c r="CN709" s="266"/>
      <c r="CO709" s="266"/>
      <c r="CP709" s="266"/>
      <c r="CQ709" s="266"/>
      <c r="CR709" s="266"/>
      <c r="CS709" s="266"/>
      <c r="CT709" s="266"/>
      <c r="CU709" s="266"/>
      <c r="CV709" s="266"/>
      <c r="CW709" s="266"/>
      <c r="CX709" s="266"/>
    </row>
    <row r="710" spans="2:102" ht="15.75" thickBot="1" x14ac:dyDescent="0.3">
      <c r="BT710" s="279"/>
    </row>
    <row r="711" spans="2:102" ht="15.75" thickTop="1" x14ac:dyDescent="0.25">
      <c r="D711" s="280" t="s">
        <v>69</v>
      </c>
      <c r="E711" s="280"/>
      <c r="F711" s="280"/>
      <c r="G711" s="281"/>
      <c r="H711" s="282"/>
      <c r="I711" s="282"/>
      <c r="J711" s="282"/>
      <c r="K711" s="283"/>
      <c r="L711" s="284"/>
      <c r="M711" s="284"/>
      <c r="N711" s="284"/>
      <c r="O711" s="284"/>
      <c r="P711" s="284"/>
      <c r="Q711" s="284"/>
      <c r="R711" s="284"/>
      <c r="S711" s="284"/>
      <c r="T711" s="284"/>
      <c r="U711" s="284"/>
      <c r="V711" s="284"/>
      <c r="W711" s="284"/>
      <c r="X711" s="284"/>
      <c r="Y711" s="284"/>
      <c r="Z711" s="285"/>
      <c r="AA711" s="285"/>
      <c r="AB711" s="286">
        <f>SUM(AB10:AB709)</f>
        <v>1664852.6997827382</v>
      </c>
      <c r="AC711" s="286">
        <f>SUM(AC10:AC709)</f>
        <v>1612312.8214387703</v>
      </c>
      <c r="AD711" s="286">
        <f>SUM(AD10:AD709)</f>
        <v>1504589.1260986596</v>
      </c>
      <c r="AE711" s="286">
        <f>SUM(AE10:AE709)</f>
        <v>1466711.7263261187</v>
      </c>
      <c r="AF711" s="287">
        <f>SUM(AB711:AE711)</f>
        <v>6248466.3736462872</v>
      </c>
      <c r="AG711" s="284"/>
      <c r="AH711" s="284"/>
      <c r="AI711" s="285"/>
      <c r="AJ711" s="285"/>
      <c r="AK711" s="284"/>
      <c r="AL711" s="284"/>
      <c r="AM711" s="285"/>
      <c r="AN711" s="285"/>
      <c r="AO711" s="288"/>
      <c r="AP711" s="289"/>
      <c r="AQ711" s="289"/>
      <c r="AR711" s="289"/>
      <c r="AS711" s="290"/>
      <c r="AT711" s="291">
        <f>SUM(AT10:AT709)</f>
        <v>35295.011291189818</v>
      </c>
      <c r="AU711" s="288"/>
      <c r="AV711" s="289"/>
      <c r="AW711" s="289"/>
      <c r="AX711" s="289"/>
      <c r="AY711" s="290"/>
      <c r="AZ711" s="290"/>
      <c r="BA711" s="291">
        <f>SUM(BA10:BA709)</f>
        <v>132090.66072475287</v>
      </c>
      <c r="BB711" s="288"/>
      <c r="BC711" s="289"/>
      <c r="BD711" s="289"/>
      <c r="BE711" s="289"/>
      <c r="BF711" s="290"/>
      <c r="BG711" s="291">
        <f ca="1">SUM(BG10:BG709)</f>
        <v>95422.539044197314</v>
      </c>
      <c r="BH711" s="288"/>
      <c r="BI711" s="289"/>
      <c r="BJ711" s="289"/>
      <c r="BK711" s="289"/>
      <c r="BL711" s="290"/>
      <c r="BM711" s="291">
        <f t="shared" ref="BM711:BR711" ca="1" si="446">SUM(BM10:BM709)</f>
        <v>94123.84144135</v>
      </c>
      <c r="BN711" s="292">
        <f t="shared" si="446"/>
        <v>1700147.7110739278</v>
      </c>
      <c r="BO711" s="293">
        <f t="shared" si="446"/>
        <v>1744403.4821635229</v>
      </c>
      <c r="BP711" s="294">
        <f t="shared" ca="1" si="446"/>
        <v>1600011.6651428568</v>
      </c>
      <c r="BQ711" s="295">
        <f t="shared" ca="1" si="446"/>
        <v>1560835.567767468</v>
      </c>
      <c r="BR711" s="296">
        <f t="shared" ca="1" si="446"/>
        <v>6605398.4261477729</v>
      </c>
      <c r="BS711" s="288"/>
      <c r="BT711" s="290"/>
      <c r="BW711" s="288"/>
      <c r="BX711" s="289"/>
      <c r="BY711" s="289"/>
      <c r="BZ711" s="289"/>
      <c r="CA711" s="289"/>
      <c r="CB711" s="289"/>
      <c r="CC711" s="289"/>
      <c r="CD711" s="289"/>
      <c r="CE711" s="289"/>
      <c r="CF711" s="290"/>
      <c r="CG711" s="286">
        <f ca="1">SUM(CG10:CG709)</f>
        <v>18876511.680685647</v>
      </c>
      <c r="CH711" s="286">
        <f ca="1">SUM(CH10:CH709)</f>
        <v>18213076.506448351</v>
      </c>
      <c r="CI711" s="286">
        <f ca="1">SUM(CI10:CI709)</f>
        <v>17089796.038186625</v>
      </c>
      <c r="CJ711" s="286">
        <f ca="1">SUM(CJ10:CJ709)</f>
        <v>16531243.44992814</v>
      </c>
      <c r="CK711" s="288"/>
      <c r="CL711" s="289"/>
      <c r="CM711" s="289"/>
      <c r="CN711" s="289"/>
      <c r="CO711" s="289"/>
      <c r="CP711" s="289"/>
      <c r="CQ711" s="289"/>
      <c r="CR711" s="289"/>
      <c r="CS711" s="289"/>
      <c r="CT711" s="290"/>
      <c r="CU711" s="292">
        <f ca="1">SUM(CU10:CU709)</f>
        <v>19315199.704454165</v>
      </c>
      <c r="CV711" s="293">
        <f ca="1">SUM(CV10:CV709)</f>
        <v>19238429.734809574</v>
      </c>
      <c r="CW711" s="294">
        <f ca="1">SUM(CW10:CW709)</f>
        <v>17425656.39059924</v>
      </c>
      <c r="CX711" s="295">
        <f ca="1">SUM(CX10:CX709)</f>
        <v>16872344.362763051</v>
      </c>
    </row>
    <row r="712" spans="2:102" x14ac:dyDescent="0.25">
      <c r="AB712" s="163">
        <f>ROUND('Program-Level Adj Gas'!F25,2)</f>
        <v>1664852.7</v>
      </c>
      <c r="AC712" s="163">
        <f>ROUND('Program-Level Adj Gas'!J25,2)</f>
        <v>1612312.82</v>
      </c>
      <c r="AD712" s="163">
        <f>ROUND('Program-Level Adj Gas'!Q25,2)</f>
        <v>1504589.13</v>
      </c>
      <c r="AE712" s="163">
        <f>ROUND('Program-Level Adj Gas'!Z25,2)</f>
        <v>1466711.73</v>
      </c>
      <c r="BN712" s="163">
        <f>ROUND('Program-Level Adj Gas'!G25,2)</f>
        <v>1700147.71</v>
      </c>
      <c r="BO712" s="163">
        <f>ROUND('Program-Level Adj Gas'!L25,2)</f>
        <v>1744403.48</v>
      </c>
      <c r="BP712" s="163">
        <f ca="1">ROUND('Program-Level Adj Gas'!T25,2)</f>
        <v>1600011.67</v>
      </c>
      <c r="BQ712" s="163">
        <f ca="1">ROUND('Program-Level Adj Gas'!AD25,2)</f>
        <v>1560835.57</v>
      </c>
      <c r="BW712" s="163"/>
      <c r="BX712" s="163"/>
      <c r="BY712" s="163"/>
      <c r="BZ712" s="163"/>
      <c r="CA712" s="163"/>
      <c r="CB712" s="163"/>
      <c r="CC712" s="163"/>
      <c r="CD712" s="163"/>
      <c r="CE712" s="163"/>
      <c r="CF712" s="163"/>
      <c r="CG712" s="163">
        <f ca="1">ROUND('Program-Level Adj Gas'!AO25,2)</f>
        <v>18876511.68</v>
      </c>
      <c r="CH712" s="163">
        <f ca="1">ROUND('Program-Level Adj Gas'!AP25,2)</f>
        <v>18213076.510000002</v>
      </c>
      <c r="CI712" s="163">
        <f ca="1">ROUND('Program-Level Adj Gas'!AQ25,2)</f>
        <v>17089796.039999999</v>
      </c>
      <c r="CJ712" s="163">
        <f ca="1">ROUND('Program-Level Adj Gas'!AR25,2)</f>
        <v>16531243.449999999</v>
      </c>
      <c r="CK712" s="163"/>
      <c r="CL712" s="163"/>
      <c r="CM712" s="163"/>
      <c r="CN712" s="163"/>
      <c r="CO712" s="163"/>
      <c r="CP712" s="163"/>
      <c r="CQ712" s="163"/>
      <c r="CR712" s="163"/>
      <c r="CS712" s="163"/>
      <c r="CT712" s="163"/>
      <c r="CU712" s="163">
        <f ca="1">ROUND('Program-Level Adj Gas'!AT25,2)</f>
        <v>19315199.699999999</v>
      </c>
      <c r="CV712" s="163">
        <f ca="1">ROUND('Program-Level Adj Gas'!AU25,2)</f>
        <v>19238429.73</v>
      </c>
      <c r="CW712" s="163">
        <f ca="1">ROUND('Program-Level Adj Gas'!AV25,2)</f>
        <v>17425656.390000001</v>
      </c>
      <c r="CX712" s="163">
        <f ca="1">ROUND('Program-Level Adj Gas'!AW25,2)</f>
        <v>16872344.359999999</v>
      </c>
    </row>
    <row r="713" spans="2:102" x14ac:dyDescent="0.25">
      <c r="AB713" t="b">
        <f>ROUND(AB711,2)=AB712</f>
        <v>1</v>
      </c>
      <c r="AC713" t="b">
        <f t="shared" ref="AC713:AE713" si="447">ROUND(AC711,2)=AC712</f>
        <v>1</v>
      </c>
      <c r="AD713" t="b">
        <f t="shared" si="447"/>
        <v>1</v>
      </c>
      <c r="AE713" t="b">
        <f t="shared" si="447"/>
        <v>1</v>
      </c>
      <c r="BN713" t="b">
        <f>ROUND(BN711,2)=BN712</f>
        <v>1</v>
      </c>
      <c r="BO713" t="b">
        <f t="shared" ref="BO713:BQ713" si="448">ROUND(BO711,2)=BO712</f>
        <v>1</v>
      </c>
      <c r="BP713" t="b">
        <f t="shared" ca="1" si="448"/>
        <v>1</v>
      </c>
      <c r="BQ713" t="b">
        <f t="shared" ca="1" si="448"/>
        <v>1</v>
      </c>
      <c r="CG713" t="b">
        <f ca="1">ROUND(CG711,2)=CG712</f>
        <v>1</v>
      </c>
      <c r="CH713" t="b">
        <f t="shared" ref="CH713:CJ713" ca="1" si="449">ROUND(CH711,2)=CH712</f>
        <v>1</v>
      </c>
      <c r="CI713" t="b">
        <f t="shared" ca="1" si="449"/>
        <v>1</v>
      </c>
      <c r="CJ713" t="b">
        <f t="shared" ca="1" si="449"/>
        <v>1</v>
      </c>
      <c r="CU713" t="b">
        <f ca="1">ROUND(CU711,2)=CU712</f>
        <v>1</v>
      </c>
      <c r="CV713" t="b">
        <f t="shared" ref="CV713:CX713" ca="1" si="450">ROUND(CV711,2)=CV712</f>
        <v>1</v>
      </c>
      <c r="CW713" t="b">
        <f t="shared" ca="1" si="450"/>
        <v>1</v>
      </c>
      <c r="CX713" t="b">
        <f t="shared" ca="1" si="450"/>
        <v>1</v>
      </c>
    </row>
    <row r="714" spans="2:102" x14ac:dyDescent="0.25">
      <c r="N714" s="297"/>
      <c r="O714" s="297"/>
      <c r="P714" s="297"/>
      <c r="Q714" s="297"/>
      <c r="AB714" s="163"/>
      <c r="AC714" s="163"/>
      <c r="AD714" s="163"/>
      <c r="AE714" s="163"/>
      <c r="BW714" s="163"/>
      <c r="BX714" s="163"/>
      <c r="BY714" s="163"/>
      <c r="BZ714" s="163"/>
      <c r="CA714" s="163"/>
      <c r="CB714" s="163"/>
      <c r="CC714" s="163"/>
      <c r="CD714" s="163"/>
      <c r="CE714" s="163"/>
      <c r="CF714" s="163"/>
      <c r="CG714" s="163"/>
      <c r="CH714" s="163"/>
      <c r="CI714" s="163"/>
      <c r="CJ714" s="163"/>
      <c r="CK714" s="163"/>
      <c r="CL714" s="163"/>
      <c r="CM714" s="163"/>
      <c r="CN714" s="163"/>
      <c r="CO714" s="163"/>
      <c r="CP714" s="163"/>
      <c r="CQ714" s="163"/>
      <c r="CR714" s="163"/>
      <c r="CS714" s="163"/>
      <c r="CT714" s="163"/>
      <c r="CU714" s="163"/>
      <c r="CV714" s="163"/>
      <c r="CW714" s="163"/>
      <c r="CX714" s="163"/>
    </row>
  </sheetData>
  <autoFilter ref="D9:BT708" xr:uid="{AE9C0DA0-86ED-4203-89D5-C128AD0A546D}"/>
  <printOptions headings="1" gridLines="1"/>
  <pageMargins left="0.25" right="0.25" top="0.75" bottom="0.75" header="0.3" footer="0.3"/>
  <pageSetup scale="30" fitToHeight="0" orientation="landscape" r:id="rId1"/>
  <headerFooter>
    <oddHeader>&amp;LAppendix G (Rev.)&amp;CProgram-Level Adj Gas</oddHeader>
    <oddFooter>&amp;L&amp;"Arial,Regular"&amp;14&amp;A
&amp;F&amp;C&amp;"Arial,Regular"&amp;14&amp;P</oddFooter>
  </headerFooter>
  <colBreaks count="1" manualBreakCount="1">
    <brk id="65"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99619-15F4-455D-BA8B-4AB3C6198252}">
  <sheetPr codeName="Sheet6">
    <pageSetUpPr autoPageBreaks="0"/>
  </sheetPr>
  <dimension ref="B2:Y5484"/>
  <sheetViews>
    <sheetView showGridLines="0" zoomScaleNormal="100" zoomScaleSheetLayoutView="80" workbookViewId="0"/>
  </sheetViews>
  <sheetFormatPr defaultColWidth="9.140625" defaultRowHeight="15" customHeight="1" x14ac:dyDescent="0.25"/>
  <cols>
    <col min="1" max="1" width="9.140625" style="2" customWidth="1"/>
    <col min="2" max="3" width="7" style="2" customWidth="1"/>
    <col min="4" max="4" width="8.5703125" style="2" customWidth="1"/>
    <col min="5" max="5" width="14" style="2" customWidth="1"/>
    <col min="6" max="6" width="29.42578125" style="2" bestFit="1" customWidth="1"/>
    <col min="7" max="7" width="26.85546875" style="2" bestFit="1" customWidth="1"/>
    <col min="8" max="9" width="14" style="2" customWidth="1"/>
    <col min="10" max="16" width="14" style="12" customWidth="1"/>
    <col min="17" max="18" width="14" style="2" customWidth="1"/>
    <col min="19" max="19" width="14" style="11" customWidth="1"/>
    <col min="20" max="21" width="9.140625" style="2"/>
    <col min="22" max="25" width="14.85546875" style="2" customWidth="1"/>
    <col min="26" max="16384" width="9.140625" style="2"/>
  </cols>
  <sheetData>
    <row r="2" spans="2:25" ht="15" customHeight="1" x14ac:dyDescent="0.25">
      <c r="D2" s="13" t="s">
        <v>240</v>
      </c>
      <c r="E2" s="14"/>
      <c r="F2" s="14"/>
      <c r="G2" s="14"/>
      <c r="H2" s="14"/>
      <c r="I2" s="14"/>
      <c r="J2" s="15"/>
      <c r="K2" s="15"/>
      <c r="L2" s="15"/>
      <c r="M2" s="15"/>
      <c r="N2" s="15"/>
      <c r="O2" s="15"/>
      <c r="P2" s="15"/>
      <c r="Q2" s="14"/>
      <c r="R2" s="14"/>
      <c r="S2" s="16"/>
    </row>
    <row r="4" spans="2:25" ht="30.6" customHeight="1" x14ac:dyDescent="0.25">
      <c r="B4" s="2" t="s">
        <v>528</v>
      </c>
      <c r="C4" s="2" t="s">
        <v>1468</v>
      </c>
      <c r="D4" s="17" t="s">
        <v>1449</v>
      </c>
      <c r="E4" s="17" t="s">
        <v>0</v>
      </c>
      <c r="F4" s="17" t="s">
        <v>526</v>
      </c>
      <c r="G4" s="17" t="s">
        <v>1413</v>
      </c>
      <c r="H4" s="17" t="s">
        <v>80</v>
      </c>
      <c r="I4" s="17" t="s">
        <v>246</v>
      </c>
      <c r="J4" s="17" t="s">
        <v>1790</v>
      </c>
      <c r="K4" s="17" t="s">
        <v>1</v>
      </c>
      <c r="L4" s="17" t="s">
        <v>1471</v>
      </c>
      <c r="M4" s="17" t="s">
        <v>1465</v>
      </c>
      <c r="N4" s="17" t="s">
        <v>1464</v>
      </c>
      <c r="O4" s="17" t="s">
        <v>1466</v>
      </c>
      <c r="P4" s="17" t="s">
        <v>1467</v>
      </c>
      <c r="Q4" s="17" t="s">
        <v>1791</v>
      </c>
      <c r="R4" s="17" t="s">
        <v>1792</v>
      </c>
      <c r="S4" s="17" t="s">
        <v>1793</v>
      </c>
      <c r="V4" s="18"/>
      <c r="W4" s="18"/>
      <c r="X4" s="18"/>
      <c r="Y4" s="18"/>
    </row>
    <row r="5" spans="2:25" ht="15" customHeight="1" x14ac:dyDescent="0.25">
      <c r="B5" s="2" t="str">
        <f>D5&amp;"_"&amp;E5&amp;"_"&amp;F5&amp;"_"&amp;G5&amp;"_"&amp;H5&amp;"_"&amp;I5&amp;"_"&amp;K5</f>
        <v>PGL_Residential_Home Energy Jumpstart_Core_Unit Visit_0_SF</v>
      </c>
      <c r="C5" s="2" t="str">
        <f>D5&amp;"_"&amp;E5&amp;"_"&amp;F5&amp;"_"&amp;G5&amp;"_"&amp;H5&amp;"_"&amp;I5&amp;"_"&amp;K5&amp;"_"&amp;L5</f>
        <v>PGL_Residential_Home Energy Jumpstart_Core_Unit Visit_0_SF_2022</v>
      </c>
      <c r="D5" s="19" t="s">
        <v>1794</v>
      </c>
      <c r="E5" s="19" t="s">
        <v>2</v>
      </c>
      <c r="F5" s="19" t="s">
        <v>1414</v>
      </c>
      <c r="G5" s="19" t="s">
        <v>1415</v>
      </c>
      <c r="H5" s="19" t="s">
        <v>1090</v>
      </c>
      <c r="I5" s="19">
        <v>0</v>
      </c>
      <c r="J5" s="19" t="s">
        <v>1469</v>
      </c>
      <c r="K5" s="19" t="s">
        <v>409</v>
      </c>
      <c r="L5" s="19">
        <v>2022</v>
      </c>
      <c r="M5" s="20">
        <v>1</v>
      </c>
      <c r="N5" s="19" t="s">
        <v>505</v>
      </c>
      <c r="O5" s="20">
        <v>3800</v>
      </c>
      <c r="P5" s="20">
        <v>3800</v>
      </c>
      <c r="Q5" s="20">
        <v>0</v>
      </c>
      <c r="R5" s="21">
        <v>1</v>
      </c>
      <c r="S5" s="20">
        <v>0</v>
      </c>
      <c r="V5" s="10"/>
      <c r="W5" s="10"/>
      <c r="X5" s="10"/>
      <c r="Y5" s="10"/>
    </row>
    <row r="6" spans="2:25" ht="15" customHeight="1" x14ac:dyDescent="0.25">
      <c r="B6" s="2" t="str">
        <f t="shared" ref="B6:B69" si="0">D6&amp;"_"&amp;E6&amp;"_"&amp;F6&amp;"_"&amp;G6&amp;"_"&amp;H6&amp;"_"&amp;I6&amp;"_"&amp;K6</f>
        <v>PGL_Residential_Home Energy Jumpstart_Core_Unit Visit_0_SF</v>
      </c>
      <c r="C6" s="2" t="str">
        <f t="shared" ref="C6:C69" si="1">D6&amp;"_"&amp;E6&amp;"_"&amp;F6&amp;"_"&amp;G6&amp;"_"&amp;H6&amp;"_"&amp;I6&amp;"_"&amp;K6&amp;"_"&amp;L6</f>
        <v>PGL_Residential_Home Energy Jumpstart_Core_Unit Visit_0_SF_2023</v>
      </c>
      <c r="D6" s="19" t="s">
        <v>1794</v>
      </c>
      <c r="E6" s="19" t="s">
        <v>2</v>
      </c>
      <c r="F6" s="19" t="s">
        <v>1414</v>
      </c>
      <c r="G6" s="19" t="s">
        <v>1415</v>
      </c>
      <c r="H6" s="19" t="s">
        <v>1090</v>
      </c>
      <c r="I6" s="19">
        <v>0</v>
      </c>
      <c r="J6" s="19" t="s">
        <v>1469</v>
      </c>
      <c r="K6" s="19" t="s">
        <v>409</v>
      </c>
      <c r="L6" s="19">
        <v>2023</v>
      </c>
      <c r="M6" s="20">
        <v>1</v>
      </c>
      <c r="N6" s="19" t="s">
        <v>505</v>
      </c>
      <c r="O6" s="20">
        <v>3400</v>
      </c>
      <c r="P6" s="20">
        <v>3400</v>
      </c>
      <c r="Q6" s="20">
        <v>0</v>
      </c>
      <c r="R6" s="21">
        <v>1</v>
      </c>
      <c r="S6" s="20">
        <v>0</v>
      </c>
    </row>
    <row r="7" spans="2:25" ht="15" customHeight="1" x14ac:dyDescent="0.25">
      <c r="B7" s="2" t="str">
        <f t="shared" si="0"/>
        <v>PGL_Residential_Home Energy Jumpstart_Core_Unit Visit_0_SF</v>
      </c>
      <c r="C7" s="2" t="str">
        <f t="shared" si="1"/>
        <v>PGL_Residential_Home Energy Jumpstart_Core_Unit Visit_0_SF_2024</v>
      </c>
      <c r="D7" s="19" t="s">
        <v>1794</v>
      </c>
      <c r="E7" s="19" t="s">
        <v>2</v>
      </c>
      <c r="F7" s="19" t="s">
        <v>1414</v>
      </c>
      <c r="G7" s="19" t="s">
        <v>1415</v>
      </c>
      <c r="H7" s="19" t="s">
        <v>1090</v>
      </c>
      <c r="I7" s="19">
        <v>0</v>
      </c>
      <c r="J7" s="19" t="s">
        <v>1469</v>
      </c>
      <c r="K7" s="19" t="s">
        <v>409</v>
      </c>
      <c r="L7" s="19">
        <v>2024</v>
      </c>
      <c r="M7" s="20">
        <v>1</v>
      </c>
      <c r="N7" s="19" t="s">
        <v>505</v>
      </c>
      <c r="O7" s="20">
        <v>3000</v>
      </c>
      <c r="P7" s="20">
        <v>3000</v>
      </c>
      <c r="Q7" s="20">
        <v>0</v>
      </c>
      <c r="R7" s="21">
        <v>1</v>
      </c>
      <c r="S7" s="20">
        <v>0</v>
      </c>
    </row>
    <row r="8" spans="2:25" ht="15" customHeight="1" x14ac:dyDescent="0.25">
      <c r="B8" s="2" t="str">
        <f t="shared" si="0"/>
        <v>PGL_Residential_Home Energy Jumpstart_Core_Unit Visit_0_SF</v>
      </c>
      <c r="C8" s="2" t="str">
        <f t="shared" si="1"/>
        <v>PGL_Residential_Home Energy Jumpstart_Core_Unit Visit_0_SF_2025</v>
      </c>
      <c r="D8" s="19" t="s">
        <v>1794</v>
      </c>
      <c r="E8" s="19" t="s">
        <v>2</v>
      </c>
      <c r="F8" s="19" t="s">
        <v>1414</v>
      </c>
      <c r="G8" s="19" t="s">
        <v>1415</v>
      </c>
      <c r="H8" s="19" t="s">
        <v>1090</v>
      </c>
      <c r="I8" s="19">
        <v>0</v>
      </c>
      <c r="J8" s="19" t="s">
        <v>1469</v>
      </c>
      <c r="K8" s="19" t="s">
        <v>409</v>
      </c>
      <c r="L8" s="19">
        <v>2025</v>
      </c>
      <c r="M8" s="20">
        <v>1</v>
      </c>
      <c r="N8" s="19" t="s">
        <v>505</v>
      </c>
      <c r="O8" s="20">
        <v>2600</v>
      </c>
      <c r="P8" s="20">
        <v>2600</v>
      </c>
      <c r="Q8" s="20">
        <v>0</v>
      </c>
      <c r="R8" s="21">
        <v>1</v>
      </c>
      <c r="S8" s="20">
        <v>0</v>
      </c>
    </row>
    <row r="9" spans="2:25" ht="15" customHeight="1" x14ac:dyDescent="0.25">
      <c r="B9" s="2" t="str">
        <f t="shared" si="0"/>
        <v>PGL_Residential_Home Energy Jumpstart_Core_Low Flow Bathroom Aerator_0_SF</v>
      </c>
      <c r="C9" s="2" t="str">
        <f t="shared" si="1"/>
        <v>PGL_Residential_Home Energy Jumpstart_Core_Low Flow Bathroom Aerator_0_SF_2022</v>
      </c>
      <c r="D9" s="19" t="s">
        <v>1794</v>
      </c>
      <c r="E9" s="19" t="s">
        <v>2</v>
      </c>
      <c r="F9" s="19" t="s">
        <v>1414</v>
      </c>
      <c r="G9" s="19" t="s">
        <v>1415</v>
      </c>
      <c r="H9" s="19" t="s">
        <v>555</v>
      </c>
      <c r="I9" s="19">
        <v>0</v>
      </c>
      <c r="J9" s="19" t="s">
        <v>534</v>
      </c>
      <c r="K9" s="19" t="s">
        <v>409</v>
      </c>
      <c r="L9" s="19">
        <v>2022</v>
      </c>
      <c r="M9" s="20">
        <v>1</v>
      </c>
      <c r="N9" s="19" t="s">
        <v>1795</v>
      </c>
      <c r="O9" s="20">
        <v>1571</v>
      </c>
      <c r="P9" s="20">
        <v>1571</v>
      </c>
      <c r="Q9" s="20">
        <v>1457.1779779629919</v>
      </c>
      <c r="R9" s="21">
        <v>1.02</v>
      </c>
      <c r="S9" s="20">
        <v>1457.1779779629919</v>
      </c>
    </row>
    <row r="10" spans="2:25" ht="15" customHeight="1" x14ac:dyDescent="0.25">
      <c r="B10" s="2" t="str">
        <f t="shared" si="0"/>
        <v>PGL_Residential_Home Energy Jumpstart_Core_Low Flow Bathroom Aerator_0_SF</v>
      </c>
      <c r="C10" s="2" t="str">
        <f t="shared" si="1"/>
        <v>PGL_Residential_Home Energy Jumpstart_Core_Low Flow Bathroom Aerator_0_SF_2023</v>
      </c>
      <c r="D10" s="19" t="s">
        <v>1794</v>
      </c>
      <c r="E10" s="19" t="s">
        <v>2</v>
      </c>
      <c r="F10" s="19" t="s">
        <v>1414</v>
      </c>
      <c r="G10" s="19" t="s">
        <v>1415</v>
      </c>
      <c r="H10" s="19" t="s">
        <v>555</v>
      </c>
      <c r="I10" s="19">
        <v>0</v>
      </c>
      <c r="J10" s="19" t="s">
        <v>534</v>
      </c>
      <c r="K10" s="19" t="s">
        <v>409</v>
      </c>
      <c r="L10" s="19">
        <v>2023</v>
      </c>
      <c r="M10" s="20">
        <v>1</v>
      </c>
      <c r="N10" s="19" t="s">
        <v>1795</v>
      </c>
      <c r="O10" s="20">
        <v>1405</v>
      </c>
      <c r="P10" s="20">
        <v>1405</v>
      </c>
      <c r="Q10" s="20">
        <v>1303.2050025703397</v>
      </c>
      <c r="R10" s="21">
        <v>1.02</v>
      </c>
      <c r="S10" s="20">
        <v>1303.2050025703397</v>
      </c>
    </row>
    <row r="11" spans="2:25" ht="15" customHeight="1" x14ac:dyDescent="0.25">
      <c r="B11" s="2" t="str">
        <f t="shared" si="0"/>
        <v>PGL_Residential_Home Energy Jumpstart_Core_Low Flow Bathroom Aerator_0_SF</v>
      </c>
      <c r="C11" s="2" t="str">
        <f t="shared" si="1"/>
        <v>PGL_Residential_Home Energy Jumpstart_Core_Low Flow Bathroom Aerator_0_SF_2024</v>
      </c>
      <c r="D11" s="19" t="s">
        <v>1794</v>
      </c>
      <c r="E11" s="19" t="s">
        <v>2</v>
      </c>
      <c r="F11" s="19" t="s">
        <v>1414</v>
      </c>
      <c r="G11" s="19" t="s">
        <v>1415</v>
      </c>
      <c r="H11" s="19" t="s">
        <v>555</v>
      </c>
      <c r="I11" s="19">
        <v>0</v>
      </c>
      <c r="J11" s="19" t="s">
        <v>534</v>
      </c>
      <c r="K11" s="19" t="s">
        <v>409</v>
      </c>
      <c r="L11" s="19">
        <v>2024</v>
      </c>
      <c r="M11" s="20">
        <v>1</v>
      </c>
      <c r="N11" s="19" t="s">
        <v>1795</v>
      </c>
      <c r="O11" s="20">
        <v>1240</v>
      </c>
      <c r="P11" s="20">
        <v>1240</v>
      </c>
      <c r="Q11" s="20">
        <v>1150.1595752222215</v>
      </c>
      <c r="R11" s="21">
        <v>1.02</v>
      </c>
      <c r="S11" s="20">
        <v>1150.1595752222215</v>
      </c>
    </row>
    <row r="12" spans="2:25" ht="15" customHeight="1" x14ac:dyDescent="0.25">
      <c r="B12" s="2" t="str">
        <f t="shared" si="0"/>
        <v>PGL_Residential_Home Energy Jumpstart_Core_Low Flow Bathroom Aerator_0_SF</v>
      </c>
      <c r="C12" s="2" t="str">
        <f t="shared" si="1"/>
        <v>PGL_Residential_Home Energy Jumpstart_Core_Low Flow Bathroom Aerator_0_SF_2025</v>
      </c>
      <c r="D12" s="19" t="s">
        <v>1794</v>
      </c>
      <c r="E12" s="19" t="s">
        <v>2</v>
      </c>
      <c r="F12" s="19" t="s">
        <v>1414</v>
      </c>
      <c r="G12" s="19" t="s">
        <v>1415</v>
      </c>
      <c r="H12" s="19" t="s">
        <v>555</v>
      </c>
      <c r="I12" s="19">
        <v>0</v>
      </c>
      <c r="J12" s="19" t="s">
        <v>534</v>
      </c>
      <c r="K12" s="19" t="s">
        <v>409</v>
      </c>
      <c r="L12" s="19">
        <v>2025</v>
      </c>
      <c r="M12" s="20">
        <v>1</v>
      </c>
      <c r="N12" s="19" t="s">
        <v>1795</v>
      </c>
      <c r="O12" s="20">
        <v>1075</v>
      </c>
      <c r="P12" s="20">
        <v>1075</v>
      </c>
      <c r="Q12" s="20">
        <v>997.11414787410331</v>
      </c>
      <c r="R12" s="21">
        <v>1.02</v>
      </c>
      <c r="S12" s="20">
        <v>997.11414787410331</v>
      </c>
    </row>
    <row r="13" spans="2:25" ht="15" customHeight="1" x14ac:dyDescent="0.25">
      <c r="B13" s="2" t="str">
        <f t="shared" si="0"/>
        <v>PGL_Residential_Home Energy Jumpstart_Core_Low Flow Kitchen Aerator_0_SF</v>
      </c>
      <c r="C13" s="2" t="str">
        <f t="shared" si="1"/>
        <v>PGL_Residential_Home Energy Jumpstart_Core_Low Flow Kitchen Aerator_0_SF_2022</v>
      </c>
      <c r="D13" s="19" t="s">
        <v>1794</v>
      </c>
      <c r="E13" s="19" t="s">
        <v>2</v>
      </c>
      <c r="F13" s="19" t="s">
        <v>1414</v>
      </c>
      <c r="G13" s="19" t="s">
        <v>1415</v>
      </c>
      <c r="H13" s="19" t="s">
        <v>533</v>
      </c>
      <c r="I13" s="19">
        <v>0</v>
      </c>
      <c r="J13" s="19" t="s">
        <v>534</v>
      </c>
      <c r="K13" s="19" t="s">
        <v>409</v>
      </c>
      <c r="L13" s="19">
        <v>2022</v>
      </c>
      <c r="M13" s="20">
        <v>1</v>
      </c>
      <c r="N13" s="19" t="s">
        <v>1795</v>
      </c>
      <c r="O13" s="20">
        <v>1055</v>
      </c>
      <c r="P13" s="20">
        <v>1055</v>
      </c>
      <c r="Q13" s="20">
        <v>9247.6054988518772</v>
      </c>
      <c r="R13" s="21">
        <v>1.02</v>
      </c>
      <c r="S13" s="20">
        <v>9247.6054988518772</v>
      </c>
    </row>
    <row r="14" spans="2:25" ht="15" customHeight="1" x14ac:dyDescent="0.25">
      <c r="B14" s="2" t="str">
        <f t="shared" si="0"/>
        <v>PGL_Residential_Home Energy Jumpstart_Core_Low Flow Kitchen Aerator_0_SF</v>
      </c>
      <c r="C14" s="2" t="str">
        <f t="shared" si="1"/>
        <v>PGL_Residential_Home Energy Jumpstart_Core_Low Flow Kitchen Aerator_0_SF_2023</v>
      </c>
      <c r="D14" s="19" t="s">
        <v>1794</v>
      </c>
      <c r="E14" s="19" t="s">
        <v>2</v>
      </c>
      <c r="F14" s="19" t="s">
        <v>1414</v>
      </c>
      <c r="G14" s="19" t="s">
        <v>1415</v>
      </c>
      <c r="H14" s="19" t="s">
        <v>533</v>
      </c>
      <c r="I14" s="19">
        <v>0</v>
      </c>
      <c r="J14" s="19" t="s">
        <v>534</v>
      </c>
      <c r="K14" s="19" t="s">
        <v>409</v>
      </c>
      <c r="L14" s="19">
        <v>2023</v>
      </c>
      <c r="M14" s="20">
        <v>1</v>
      </c>
      <c r="N14" s="19" t="s">
        <v>1795</v>
      </c>
      <c r="O14" s="20">
        <v>944</v>
      </c>
      <c r="P14" s="20">
        <v>944</v>
      </c>
      <c r="Q14" s="20">
        <v>8274.6346833328644</v>
      </c>
      <c r="R14" s="21">
        <v>1.02</v>
      </c>
      <c r="S14" s="20">
        <v>8274.6346833328644</v>
      </c>
    </row>
    <row r="15" spans="2:25" ht="15" customHeight="1" x14ac:dyDescent="0.25">
      <c r="B15" s="2" t="str">
        <f t="shared" si="0"/>
        <v>PGL_Residential_Home Energy Jumpstart_Core_Low Flow Kitchen Aerator_0_SF</v>
      </c>
      <c r="C15" s="2" t="str">
        <f t="shared" si="1"/>
        <v>PGL_Residential_Home Energy Jumpstart_Core_Low Flow Kitchen Aerator_0_SF_2024</v>
      </c>
      <c r="D15" s="19" t="s">
        <v>1794</v>
      </c>
      <c r="E15" s="19" t="s">
        <v>2</v>
      </c>
      <c r="F15" s="19" t="s">
        <v>1414</v>
      </c>
      <c r="G15" s="19" t="s">
        <v>1415</v>
      </c>
      <c r="H15" s="19" t="s">
        <v>533</v>
      </c>
      <c r="I15" s="19">
        <v>0</v>
      </c>
      <c r="J15" s="19" t="s">
        <v>534</v>
      </c>
      <c r="K15" s="19" t="s">
        <v>409</v>
      </c>
      <c r="L15" s="19">
        <v>2024</v>
      </c>
      <c r="M15" s="20">
        <v>1</v>
      </c>
      <c r="N15" s="19" t="s">
        <v>1795</v>
      </c>
      <c r="O15" s="20">
        <v>833</v>
      </c>
      <c r="P15" s="20">
        <v>833</v>
      </c>
      <c r="Q15" s="20">
        <v>7301.6638678138524</v>
      </c>
      <c r="R15" s="21">
        <v>1.02</v>
      </c>
      <c r="S15" s="20">
        <v>7301.6638678138524</v>
      </c>
    </row>
    <row r="16" spans="2:25" ht="15" customHeight="1" x14ac:dyDescent="0.25">
      <c r="B16" s="2" t="str">
        <f t="shared" si="0"/>
        <v>PGL_Residential_Home Energy Jumpstart_Core_Low Flow Kitchen Aerator_0_SF</v>
      </c>
      <c r="C16" s="2" t="str">
        <f t="shared" si="1"/>
        <v>PGL_Residential_Home Energy Jumpstart_Core_Low Flow Kitchen Aerator_0_SF_2025</v>
      </c>
      <c r="D16" s="19" t="s">
        <v>1794</v>
      </c>
      <c r="E16" s="19" t="s">
        <v>2</v>
      </c>
      <c r="F16" s="19" t="s">
        <v>1414</v>
      </c>
      <c r="G16" s="19" t="s">
        <v>1415</v>
      </c>
      <c r="H16" s="19" t="s">
        <v>533</v>
      </c>
      <c r="I16" s="19">
        <v>0</v>
      </c>
      <c r="J16" s="19" t="s">
        <v>534</v>
      </c>
      <c r="K16" s="19" t="s">
        <v>409</v>
      </c>
      <c r="L16" s="19">
        <v>2025</v>
      </c>
      <c r="M16" s="20">
        <v>1</v>
      </c>
      <c r="N16" s="19" t="s">
        <v>1795</v>
      </c>
      <c r="O16" s="20">
        <v>722</v>
      </c>
      <c r="P16" s="20">
        <v>722</v>
      </c>
      <c r="Q16" s="20">
        <v>6328.6930522948396</v>
      </c>
      <c r="R16" s="21">
        <v>1.02</v>
      </c>
      <c r="S16" s="20">
        <v>6328.6930522948396</v>
      </c>
    </row>
    <row r="17" spans="2:19" ht="15" customHeight="1" x14ac:dyDescent="0.25">
      <c r="B17" s="2" t="str">
        <f t="shared" si="0"/>
        <v>PGL_Residential_Home Energy Jumpstart_Core_Low Flow Showerhead_0_SF</v>
      </c>
      <c r="C17" s="2" t="str">
        <f t="shared" si="1"/>
        <v>PGL_Residential_Home Energy Jumpstart_Core_Low Flow Showerhead_0_SF_2022</v>
      </c>
      <c r="D17" s="19" t="s">
        <v>1794</v>
      </c>
      <c r="E17" s="19" t="s">
        <v>2</v>
      </c>
      <c r="F17" s="19" t="s">
        <v>1414</v>
      </c>
      <c r="G17" s="19" t="s">
        <v>1415</v>
      </c>
      <c r="H17" s="19" t="s">
        <v>15</v>
      </c>
      <c r="I17" s="19">
        <v>0</v>
      </c>
      <c r="J17" s="19" t="s">
        <v>23</v>
      </c>
      <c r="K17" s="19" t="s">
        <v>409</v>
      </c>
      <c r="L17" s="19">
        <v>2022</v>
      </c>
      <c r="M17" s="20">
        <v>1</v>
      </c>
      <c r="N17" s="19" t="s">
        <v>1795</v>
      </c>
      <c r="O17" s="20">
        <v>3376</v>
      </c>
      <c r="P17" s="20">
        <v>3376</v>
      </c>
      <c r="Q17" s="20">
        <v>30265.811100037306</v>
      </c>
      <c r="R17" s="21">
        <v>1.02</v>
      </c>
      <c r="S17" s="20">
        <v>30265.811100037306</v>
      </c>
    </row>
    <row r="18" spans="2:19" ht="15" customHeight="1" x14ac:dyDescent="0.25">
      <c r="B18" s="2" t="str">
        <f t="shared" si="0"/>
        <v>PGL_Residential_Home Energy Jumpstart_Core_Low Flow Showerhead_0_SF</v>
      </c>
      <c r="C18" s="2" t="str">
        <f t="shared" si="1"/>
        <v>PGL_Residential_Home Energy Jumpstart_Core_Low Flow Showerhead_0_SF_2023</v>
      </c>
      <c r="D18" s="19" t="s">
        <v>1794</v>
      </c>
      <c r="E18" s="19" t="s">
        <v>2</v>
      </c>
      <c r="F18" s="19" t="s">
        <v>1414</v>
      </c>
      <c r="G18" s="19" t="s">
        <v>1415</v>
      </c>
      <c r="H18" s="19" t="s">
        <v>15</v>
      </c>
      <c r="I18" s="19">
        <v>0</v>
      </c>
      <c r="J18" s="19" t="s">
        <v>23</v>
      </c>
      <c r="K18" s="19" t="s">
        <v>409</v>
      </c>
      <c r="L18" s="19">
        <v>2023</v>
      </c>
      <c r="M18" s="20">
        <v>1</v>
      </c>
      <c r="N18" s="19" t="s">
        <v>1795</v>
      </c>
      <c r="O18" s="20">
        <v>3021</v>
      </c>
      <c r="P18" s="20">
        <v>3021</v>
      </c>
      <c r="Q18" s="20">
        <v>27083.239138984802</v>
      </c>
      <c r="R18" s="21">
        <v>1.02</v>
      </c>
      <c r="S18" s="20">
        <v>27083.239138984802</v>
      </c>
    </row>
    <row r="19" spans="2:19" ht="15" customHeight="1" x14ac:dyDescent="0.25">
      <c r="B19" s="2" t="str">
        <f t="shared" si="0"/>
        <v>PGL_Residential_Home Energy Jumpstart_Core_Low Flow Showerhead_0_SF</v>
      </c>
      <c r="C19" s="2" t="str">
        <f t="shared" si="1"/>
        <v>PGL_Residential_Home Energy Jumpstart_Core_Low Flow Showerhead_0_SF_2024</v>
      </c>
      <c r="D19" s="19" t="s">
        <v>1794</v>
      </c>
      <c r="E19" s="19" t="s">
        <v>2</v>
      </c>
      <c r="F19" s="19" t="s">
        <v>1414</v>
      </c>
      <c r="G19" s="19" t="s">
        <v>1415</v>
      </c>
      <c r="H19" s="19" t="s">
        <v>15</v>
      </c>
      <c r="I19" s="19">
        <v>0</v>
      </c>
      <c r="J19" s="19" t="s">
        <v>23</v>
      </c>
      <c r="K19" s="19" t="s">
        <v>409</v>
      </c>
      <c r="L19" s="19">
        <v>2024</v>
      </c>
      <c r="M19" s="20">
        <v>1</v>
      </c>
      <c r="N19" s="19" t="s">
        <v>1795</v>
      </c>
      <c r="O19" s="20">
        <v>2665</v>
      </c>
      <c r="P19" s="20">
        <v>2665</v>
      </c>
      <c r="Q19" s="20">
        <v>23891.702186492719</v>
      </c>
      <c r="R19" s="21">
        <v>1.02</v>
      </c>
      <c r="S19" s="20">
        <v>23891.702186492719</v>
      </c>
    </row>
    <row r="20" spans="2:19" ht="15" customHeight="1" x14ac:dyDescent="0.25">
      <c r="B20" s="2" t="str">
        <f t="shared" si="0"/>
        <v>PGL_Residential_Home Energy Jumpstart_Core_Low Flow Showerhead_0_SF</v>
      </c>
      <c r="C20" s="2" t="str">
        <f t="shared" si="1"/>
        <v>PGL_Residential_Home Energy Jumpstart_Core_Low Flow Showerhead_0_SF_2025</v>
      </c>
      <c r="D20" s="19" t="s">
        <v>1794</v>
      </c>
      <c r="E20" s="19" t="s">
        <v>2</v>
      </c>
      <c r="F20" s="19" t="s">
        <v>1414</v>
      </c>
      <c r="G20" s="19" t="s">
        <v>1415</v>
      </c>
      <c r="H20" s="19" t="s">
        <v>15</v>
      </c>
      <c r="I20" s="19">
        <v>0</v>
      </c>
      <c r="J20" s="19" t="s">
        <v>23</v>
      </c>
      <c r="K20" s="19" t="s">
        <v>409</v>
      </c>
      <c r="L20" s="19">
        <v>2025</v>
      </c>
      <c r="M20" s="20">
        <v>1</v>
      </c>
      <c r="N20" s="19" t="s">
        <v>1795</v>
      </c>
      <c r="O20" s="20">
        <v>2310</v>
      </c>
      <c r="P20" s="20">
        <v>2310</v>
      </c>
      <c r="Q20" s="20">
        <v>20709.130225440218</v>
      </c>
      <c r="R20" s="21">
        <v>1.02</v>
      </c>
      <c r="S20" s="20">
        <v>20709.130225440218</v>
      </c>
    </row>
    <row r="21" spans="2:19" ht="15" customHeight="1" x14ac:dyDescent="0.25">
      <c r="B21" s="2" t="str">
        <f t="shared" si="0"/>
        <v>PGL_Residential_Home Energy Jumpstart_Core_Pipe Insulation_DHW_SF</v>
      </c>
      <c r="C21" s="2" t="str">
        <f t="shared" si="1"/>
        <v>PGL_Residential_Home Energy Jumpstart_Core_Pipe Insulation_DHW_SF_2022</v>
      </c>
      <c r="D21" s="19" t="s">
        <v>1794</v>
      </c>
      <c r="E21" s="19" t="s">
        <v>2</v>
      </c>
      <c r="F21" s="19" t="s">
        <v>1414</v>
      </c>
      <c r="G21" s="19" t="s">
        <v>1415</v>
      </c>
      <c r="H21" s="19" t="s">
        <v>404</v>
      </c>
      <c r="I21" s="19" t="s">
        <v>1019</v>
      </c>
      <c r="J21" s="19" t="s">
        <v>1008</v>
      </c>
      <c r="K21" s="19" t="s">
        <v>409</v>
      </c>
      <c r="L21" s="19">
        <v>2022</v>
      </c>
      <c r="M21" s="20">
        <v>3</v>
      </c>
      <c r="N21" s="19" t="s">
        <v>1796</v>
      </c>
      <c r="O21" s="20">
        <v>3293</v>
      </c>
      <c r="P21" s="20">
        <v>9879</v>
      </c>
      <c r="Q21" s="20">
        <v>7673.4806547473663</v>
      </c>
      <c r="R21" s="21">
        <v>0.88</v>
      </c>
      <c r="S21" s="20">
        <v>7673.4806547473663</v>
      </c>
    </row>
    <row r="22" spans="2:19" ht="15" customHeight="1" x14ac:dyDescent="0.25">
      <c r="B22" s="2" t="str">
        <f t="shared" si="0"/>
        <v>PGL_Residential_Home Energy Jumpstart_Core_Pipe Insulation_DHW_SF</v>
      </c>
      <c r="C22" s="2" t="str">
        <f t="shared" si="1"/>
        <v>PGL_Residential_Home Energy Jumpstart_Core_Pipe Insulation_DHW_SF_2023</v>
      </c>
      <c r="D22" s="19" t="s">
        <v>1794</v>
      </c>
      <c r="E22" s="19" t="s">
        <v>2</v>
      </c>
      <c r="F22" s="19" t="s">
        <v>1414</v>
      </c>
      <c r="G22" s="19" t="s">
        <v>1415</v>
      </c>
      <c r="H22" s="19" t="s">
        <v>404</v>
      </c>
      <c r="I22" s="19" t="s">
        <v>1019</v>
      </c>
      <c r="J22" s="19" t="s">
        <v>1008</v>
      </c>
      <c r="K22" s="19" t="s">
        <v>409</v>
      </c>
      <c r="L22" s="19">
        <v>2023</v>
      </c>
      <c r="M22" s="20">
        <v>3</v>
      </c>
      <c r="N22" s="19" t="s">
        <v>1796</v>
      </c>
      <c r="O22" s="20">
        <v>2947</v>
      </c>
      <c r="P22" s="20">
        <v>8841</v>
      </c>
      <c r="Q22" s="20">
        <v>6867.2175795750045</v>
      </c>
      <c r="R22" s="21">
        <v>0.88</v>
      </c>
      <c r="S22" s="20">
        <v>6867.2175795750045</v>
      </c>
    </row>
    <row r="23" spans="2:19" ht="15" customHeight="1" x14ac:dyDescent="0.25">
      <c r="B23" s="2" t="str">
        <f t="shared" si="0"/>
        <v>PGL_Residential_Home Energy Jumpstart_Core_Pipe Insulation_DHW_SF</v>
      </c>
      <c r="C23" s="2" t="str">
        <f t="shared" si="1"/>
        <v>PGL_Residential_Home Energy Jumpstart_Core_Pipe Insulation_DHW_SF_2024</v>
      </c>
      <c r="D23" s="19" t="s">
        <v>1794</v>
      </c>
      <c r="E23" s="19" t="s">
        <v>2</v>
      </c>
      <c r="F23" s="19" t="s">
        <v>1414</v>
      </c>
      <c r="G23" s="19" t="s">
        <v>1415</v>
      </c>
      <c r="H23" s="19" t="s">
        <v>404</v>
      </c>
      <c r="I23" s="19" t="s">
        <v>1019</v>
      </c>
      <c r="J23" s="19" t="s">
        <v>1008</v>
      </c>
      <c r="K23" s="19" t="s">
        <v>409</v>
      </c>
      <c r="L23" s="19">
        <v>2024</v>
      </c>
      <c r="M23" s="20">
        <v>3</v>
      </c>
      <c r="N23" s="19" t="s">
        <v>1796</v>
      </c>
      <c r="O23" s="20">
        <v>2600</v>
      </c>
      <c r="P23" s="20">
        <v>7800</v>
      </c>
      <c r="Q23" s="20">
        <v>6058.6242643009882</v>
      </c>
      <c r="R23" s="21">
        <v>0.88</v>
      </c>
      <c r="S23" s="20">
        <v>6058.6242643009882</v>
      </c>
    </row>
    <row r="24" spans="2:19" ht="15" customHeight="1" x14ac:dyDescent="0.25">
      <c r="B24" s="2" t="str">
        <f t="shared" si="0"/>
        <v>PGL_Residential_Home Energy Jumpstart_Core_Pipe Insulation_DHW_SF</v>
      </c>
      <c r="C24" s="2" t="str">
        <f t="shared" si="1"/>
        <v>PGL_Residential_Home Energy Jumpstart_Core_Pipe Insulation_DHW_SF_2025</v>
      </c>
      <c r="D24" s="19" t="s">
        <v>1794</v>
      </c>
      <c r="E24" s="19" t="s">
        <v>2</v>
      </c>
      <c r="F24" s="19" t="s">
        <v>1414</v>
      </c>
      <c r="G24" s="19" t="s">
        <v>1415</v>
      </c>
      <c r="H24" s="19" t="s">
        <v>404</v>
      </c>
      <c r="I24" s="19" t="s">
        <v>1019</v>
      </c>
      <c r="J24" s="19" t="s">
        <v>1008</v>
      </c>
      <c r="K24" s="19" t="s">
        <v>409</v>
      </c>
      <c r="L24" s="19">
        <v>2025</v>
      </c>
      <c r="M24" s="20">
        <v>3</v>
      </c>
      <c r="N24" s="19" t="s">
        <v>1796</v>
      </c>
      <c r="O24" s="20">
        <v>2253</v>
      </c>
      <c r="P24" s="20">
        <v>6759</v>
      </c>
      <c r="Q24" s="20">
        <v>5250.030949026971</v>
      </c>
      <c r="R24" s="21">
        <v>0.88</v>
      </c>
      <c r="S24" s="20">
        <v>5250.030949026971</v>
      </c>
    </row>
    <row r="25" spans="2:19" ht="15" customHeight="1" x14ac:dyDescent="0.25">
      <c r="B25" s="2" t="str">
        <f t="shared" si="0"/>
        <v>PGL_Residential_Home Energy Jumpstart_Core_Pipe Insulation_Boiler_SF</v>
      </c>
      <c r="C25" s="2" t="str">
        <f t="shared" si="1"/>
        <v>PGL_Residential_Home Energy Jumpstart_Core_Pipe Insulation_Boiler_SF_2022</v>
      </c>
      <c r="D25" s="19" t="s">
        <v>1794</v>
      </c>
      <c r="E25" s="19" t="s">
        <v>2</v>
      </c>
      <c r="F25" s="19" t="s">
        <v>1414</v>
      </c>
      <c r="G25" s="19" t="s">
        <v>1415</v>
      </c>
      <c r="H25" s="19" t="s">
        <v>404</v>
      </c>
      <c r="I25" s="19" t="s">
        <v>944</v>
      </c>
      <c r="J25" s="19" t="s">
        <v>1008</v>
      </c>
      <c r="K25" s="19" t="s">
        <v>409</v>
      </c>
      <c r="L25" s="19">
        <v>2022</v>
      </c>
      <c r="M25" s="20">
        <v>3</v>
      </c>
      <c r="N25" s="19" t="s">
        <v>1796</v>
      </c>
      <c r="O25" s="20">
        <v>166</v>
      </c>
      <c r="P25" s="20">
        <v>498</v>
      </c>
      <c r="Q25" s="20">
        <v>2.8500863846940319</v>
      </c>
      <c r="R25" s="21">
        <v>0.88</v>
      </c>
      <c r="S25" s="20">
        <v>2.8500863846940319</v>
      </c>
    </row>
    <row r="26" spans="2:19" ht="15" customHeight="1" x14ac:dyDescent="0.25">
      <c r="B26" s="2" t="str">
        <f t="shared" si="0"/>
        <v>PGL_Residential_Home Energy Jumpstart_Core_Pipe Insulation_Boiler_SF</v>
      </c>
      <c r="C26" s="2" t="str">
        <f t="shared" si="1"/>
        <v>PGL_Residential_Home Energy Jumpstart_Core_Pipe Insulation_Boiler_SF_2023</v>
      </c>
      <c r="D26" s="19" t="s">
        <v>1794</v>
      </c>
      <c r="E26" s="19" t="s">
        <v>2</v>
      </c>
      <c r="F26" s="19" t="s">
        <v>1414</v>
      </c>
      <c r="G26" s="19" t="s">
        <v>1415</v>
      </c>
      <c r="H26" s="19" t="s">
        <v>404</v>
      </c>
      <c r="I26" s="19" t="s">
        <v>944</v>
      </c>
      <c r="J26" s="19" t="s">
        <v>1008</v>
      </c>
      <c r="K26" s="19" t="s">
        <v>409</v>
      </c>
      <c r="L26" s="19">
        <v>2023</v>
      </c>
      <c r="M26" s="20">
        <v>3</v>
      </c>
      <c r="N26" s="19" t="s">
        <v>1796</v>
      </c>
      <c r="O26" s="20">
        <v>148</v>
      </c>
      <c r="P26" s="20">
        <v>444</v>
      </c>
      <c r="Q26" s="20">
        <v>2.541040873100703</v>
      </c>
      <c r="R26" s="21">
        <v>0.88</v>
      </c>
      <c r="S26" s="20">
        <v>2.541040873100703</v>
      </c>
    </row>
    <row r="27" spans="2:19" ht="15" customHeight="1" x14ac:dyDescent="0.25">
      <c r="B27" s="2" t="str">
        <f t="shared" si="0"/>
        <v>PGL_Residential_Home Energy Jumpstart_Core_Pipe Insulation_Boiler_SF</v>
      </c>
      <c r="C27" s="2" t="str">
        <f t="shared" si="1"/>
        <v>PGL_Residential_Home Energy Jumpstart_Core_Pipe Insulation_Boiler_SF_2024</v>
      </c>
      <c r="D27" s="19" t="s">
        <v>1794</v>
      </c>
      <c r="E27" s="19" t="s">
        <v>2</v>
      </c>
      <c r="F27" s="19" t="s">
        <v>1414</v>
      </c>
      <c r="G27" s="19" t="s">
        <v>1415</v>
      </c>
      <c r="H27" s="19" t="s">
        <v>404</v>
      </c>
      <c r="I27" s="19" t="s">
        <v>944</v>
      </c>
      <c r="J27" s="19" t="s">
        <v>1008</v>
      </c>
      <c r="K27" s="19" t="s">
        <v>409</v>
      </c>
      <c r="L27" s="19">
        <v>2024</v>
      </c>
      <c r="M27" s="20">
        <v>3</v>
      </c>
      <c r="N27" s="19" t="s">
        <v>1796</v>
      </c>
      <c r="O27" s="20">
        <v>131</v>
      </c>
      <c r="P27" s="20">
        <v>393</v>
      </c>
      <c r="Q27" s="20">
        <v>2.2491645565958924</v>
      </c>
      <c r="R27" s="21">
        <v>0.88</v>
      </c>
      <c r="S27" s="20">
        <v>2.2491645565958924</v>
      </c>
    </row>
    <row r="28" spans="2:19" ht="15" customHeight="1" x14ac:dyDescent="0.25">
      <c r="B28" s="2" t="str">
        <f t="shared" si="0"/>
        <v>PGL_Residential_Home Energy Jumpstart_Core_Pipe Insulation_Boiler_SF</v>
      </c>
      <c r="C28" s="2" t="str">
        <f t="shared" si="1"/>
        <v>PGL_Residential_Home Energy Jumpstart_Core_Pipe Insulation_Boiler_SF_2025</v>
      </c>
      <c r="D28" s="19" t="s">
        <v>1794</v>
      </c>
      <c r="E28" s="19" t="s">
        <v>2</v>
      </c>
      <c r="F28" s="19" t="s">
        <v>1414</v>
      </c>
      <c r="G28" s="19" t="s">
        <v>1415</v>
      </c>
      <c r="H28" s="19" t="s">
        <v>404</v>
      </c>
      <c r="I28" s="19" t="s">
        <v>944</v>
      </c>
      <c r="J28" s="19" t="s">
        <v>1008</v>
      </c>
      <c r="K28" s="19" t="s">
        <v>409</v>
      </c>
      <c r="L28" s="19">
        <v>2025</v>
      </c>
      <c r="M28" s="20">
        <v>3</v>
      </c>
      <c r="N28" s="19" t="s">
        <v>1796</v>
      </c>
      <c r="O28" s="20">
        <v>113</v>
      </c>
      <c r="P28" s="20">
        <v>339</v>
      </c>
      <c r="Q28" s="20">
        <v>1.9401190450025638</v>
      </c>
      <c r="R28" s="21">
        <v>0.88</v>
      </c>
      <c r="S28" s="20">
        <v>1.9401190450025638</v>
      </c>
    </row>
    <row r="29" spans="2:19" ht="15" customHeight="1" x14ac:dyDescent="0.25">
      <c r="B29" s="2" t="str">
        <f t="shared" si="0"/>
        <v>PGL_Residential_Home Energy Jumpstart_Core_Programmable Thermostat_Furnace (DI)_SF</v>
      </c>
      <c r="C29" s="2" t="str">
        <f t="shared" si="1"/>
        <v>PGL_Residential_Home Energy Jumpstart_Core_Programmable Thermostat_Furnace (DI)_SF_2022</v>
      </c>
      <c r="D29" s="19" t="s">
        <v>1794</v>
      </c>
      <c r="E29" s="19" t="s">
        <v>2</v>
      </c>
      <c r="F29" s="19" t="s">
        <v>1414</v>
      </c>
      <c r="G29" s="19" t="s">
        <v>1415</v>
      </c>
      <c r="H29" s="19" t="s">
        <v>224</v>
      </c>
      <c r="I29" s="19" t="s">
        <v>1038</v>
      </c>
      <c r="J29" s="19" t="s">
        <v>24</v>
      </c>
      <c r="K29" s="19" t="s">
        <v>409</v>
      </c>
      <c r="L29" s="19">
        <v>2022</v>
      </c>
      <c r="M29" s="20">
        <v>1</v>
      </c>
      <c r="N29" s="19" t="s">
        <v>1795</v>
      </c>
      <c r="O29" s="20">
        <v>831</v>
      </c>
      <c r="P29" s="20">
        <v>831</v>
      </c>
      <c r="Q29" s="20">
        <v>45566.056799999998</v>
      </c>
      <c r="R29" s="21">
        <v>0.88</v>
      </c>
      <c r="S29" s="20">
        <v>45566.056799999998</v>
      </c>
    </row>
    <row r="30" spans="2:19" ht="15" customHeight="1" x14ac:dyDescent="0.25">
      <c r="B30" s="2" t="str">
        <f t="shared" si="0"/>
        <v>PGL_Residential_Home Energy Jumpstart_Core_Programmable Thermostat_Furnace (DI)_SF</v>
      </c>
      <c r="C30" s="2" t="str">
        <f t="shared" si="1"/>
        <v>PGL_Residential_Home Energy Jumpstart_Core_Programmable Thermostat_Furnace (DI)_SF_2023</v>
      </c>
      <c r="D30" s="19" t="s">
        <v>1794</v>
      </c>
      <c r="E30" s="19" t="s">
        <v>2</v>
      </c>
      <c r="F30" s="19" t="s">
        <v>1414</v>
      </c>
      <c r="G30" s="19" t="s">
        <v>1415</v>
      </c>
      <c r="H30" s="19" t="s">
        <v>224</v>
      </c>
      <c r="I30" s="19" t="s">
        <v>1038</v>
      </c>
      <c r="J30" s="19" t="s">
        <v>24</v>
      </c>
      <c r="K30" s="19" t="s">
        <v>409</v>
      </c>
      <c r="L30" s="19">
        <v>2023</v>
      </c>
      <c r="M30" s="20">
        <v>1</v>
      </c>
      <c r="N30" s="19" t="s">
        <v>1795</v>
      </c>
      <c r="O30" s="20">
        <v>744</v>
      </c>
      <c r="P30" s="20">
        <v>744</v>
      </c>
      <c r="Q30" s="20">
        <v>40795.603199999998</v>
      </c>
      <c r="R30" s="21">
        <v>0.88</v>
      </c>
      <c r="S30" s="20">
        <v>40795.603199999998</v>
      </c>
    </row>
    <row r="31" spans="2:19" ht="15" customHeight="1" x14ac:dyDescent="0.25">
      <c r="B31" s="2" t="str">
        <f t="shared" si="0"/>
        <v>PGL_Residential_Home Energy Jumpstart_Core_Programmable Thermostat_Furnace (DI)_SF</v>
      </c>
      <c r="C31" s="2" t="str">
        <f t="shared" si="1"/>
        <v>PGL_Residential_Home Energy Jumpstart_Core_Programmable Thermostat_Furnace (DI)_SF_2024</v>
      </c>
      <c r="D31" s="19" t="s">
        <v>1794</v>
      </c>
      <c r="E31" s="19" t="s">
        <v>2</v>
      </c>
      <c r="F31" s="19" t="s">
        <v>1414</v>
      </c>
      <c r="G31" s="19" t="s">
        <v>1415</v>
      </c>
      <c r="H31" s="19" t="s">
        <v>224</v>
      </c>
      <c r="I31" s="19" t="s">
        <v>1038</v>
      </c>
      <c r="J31" s="19" t="s">
        <v>24</v>
      </c>
      <c r="K31" s="19" t="s">
        <v>409</v>
      </c>
      <c r="L31" s="19">
        <v>2024</v>
      </c>
      <c r="M31" s="20">
        <v>1</v>
      </c>
      <c r="N31" s="19" t="s">
        <v>1795</v>
      </c>
      <c r="O31" s="20">
        <v>656</v>
      </c>
      <c r="P31" s="20">
        <v>656</v>
      </c>
      <c r="Q31" s="20">
        <v>35970.316800000001</v>
      </c>
      <c r="R31" s="21">
        <v>0.88</v>
      </c>
      <c r="S31" s="20">
        <v>35970.316800000001</v>
      </c>
    </row>
    <row r="32" spans="2:19" ht="15" customHeight="1" x14ac:dyDescent="0.25">
      <c r="B32" s="2" t="str">
        <f t="shared" si="0"/>
        <v>PGL_Residential_Home Energy Jumpstart_Core_Programmable Thermostat_Furnace (DI)_SF</v>
      </c>
      <c r="C32" s="2" t="str">
        <f t="shared" si="1"/>
        <v>PGL_Residential_Home Energy Jumpstart_Core_Programmable Thermostat_Furnace (DI)_SF_2025</v>
      </c>
      <c r="D32" s="19" t="s">
        <v>1794</v>
      </c>
      <c r="E32" s="19" t="s">
        <v>2</v>
      </c>
      <c r="F32" s="19" t="s">
        <v>1414</v>
      </c>
      <c r="G32" s="19" t="s">
        <v>1415</v>
      </c>
      <c r="H32" s="19" t="s">
        <v>224</v>
      </c>
      <c r="I32" s="19" t="s">
        <v>1038</v>
      </c>
      <c r="J32" s="19" t="s">
        <v>24</v>
      </c>
      <c r="K32" s="19" t="s">
        <v>409</v>
      </c>
      <c r="L32" s="19">
        <v>2025</v>
      </c>
      <c r="M32" s="20">
        <v>1</v>
      </c>
      <c r="N32" s="19" t="s">
        <v>1795</v>
      </c>
      <c r="O32" s="20">
        <v>569</v>
      </c>
      <c r="P32" s="20">
        <v>569</v>
      </c>
      <c r="Q32" s="20">
        <v>31199.8632</v>
      </c>
      <c r="R32" s="21">
        <v>0.88</v>
      </c>
      <c r="S32" s="20">
        <v>31199.8632</v>
      </c>
    </row>
    <row r="33" spans="2:19" ht="15" customHeight="1" x14ac:dyDescent="0.25">
      <c r="B33" s="2" t="str">
        <f t="shared" si="0"/>
        <v>PGL_Residential_Home Energy Jumpstart_Core_Programmable Thermostat_Boiler (DI)_SF</v>
      </c>
      <c r="C33" s="2" t="str">
        <f t="shared" si="1"/>
        <v>PGL_Residential_Home Energy Jumpstart_Core_Programmable Thermostat_Boiler (DI)_SF_2022</v>
      </c>
      <c r="D33" s="19" t="s">
        <v>1794</v>
      </c>
      <c r="E33" s="19" t="s">
        <v>2</v>
      </c>
      <c r="F33" s="19" t="s">
        <v>1414</v>
      </c>
      <c r="G33" s="19" t="s">
        <v>1415</v>
      </c>
      <c r="H33" s="19" t="s">
        <v>224</v>
      </c>
      <c r="I33" s="19" t="s">
        <v>1045</v>
      </c>
      <c r="J33" s="19" t="s">
        <v>24</v>
      </c>
      <c r="K33" s="19" t="s">
        <v>409</v>
      </c>
      <c r="L33" s="19">
        <v>2022</v>
      </c>
      <c r="M33" s="20">
        <v>1</v>
      </c>
      <c r="N33" s="19" t="s">
        <v>1795</v>
      </c>
      <c r="O33" s="20">
        <v>166</v>
      </c>
      <c r="P33" s="20">
        <v>166</v>
      </c>
      <c r="Q33" s="20">
        <v>13467.69952</v>
      </c>
      <c r="R33" s="21">
        <v>0.88</v>
      </c>
      <c r="S33" s="20">
        <v>13467.69952</v>
      </c>
    </row>
    <row r="34" spans="2:19" ht="15" customHeight="1" x14ac:dyDescent="0.25">
      <c r="B34" s="2" t="str">
        <f t="shared" si="0"/>
        <v>PGL_Residential_Home Energy Jumpstart_Core_Programmable Thermostat_Boiler (DI)_SF</v>
      </c>
      <c r="C34" s="2" t="str">
        <f t="shared" si="1"/>
        <v>PGL_Residential_Home Energy Jumpstart_Core_Programmable Thermostat_Boiler (DI)_SF_2023</v>
      </c>
      <c r="D34" s="19" t="s">
        <v>1794</v>
      </c>
      <c r="E34" s="19" t="s">
        <v>2</v>
      </c>
      <c r="F34" s="19" t="s">
        <v>1414</v>
      </c>
      <c r="G34" s="19" t="s">
        <v>1415</v>
      </c>
      <c r="H34" s="19" t="s">
        <v>224</v>
      </c>
      <c r="I34" s="19" t="s">
        <v>1045</v>
      </c>
      <c r="J34" s="19" t="s">
        <v>24</v>
      </c>
      <c r="K34" s="19" t="s">
        <v>409</v>
      </c>
      <c r="L34" s="19">
        <v>2023</v>
      </c>
      <c r="M34" s="20">
        <v>1</v>
      </c>
      <c r="N34" s="19" t="s">
        <v>1795</v>
      </c>
      <c r="O34" s="20">
        <v>149</v>
      </c>
      <c r="P34" s="20">
        <v>149</v>
      </c>
      <c r="Q34" s="20">
        <v>12088.477280000001</v>
      </c>
      <c r="R34" s="21">
        <v>0.88</v>
      </c>
      <c r="S34" s="20">
        <v>12088.477280000001</v>
      </c>
    </row>
    <row r="35" spans="2:19" ht="15" customHeight="1" x14ac:dyDescent="0.25">
      <c r="B35" s="2" t="str">
        <f t="shared" si="0"/>
        <v>PGL_Residential_Home Energy Jumpstart_Core_Programmable Thermostat_Boiler (DI)_SF</v>
      </c>
      <c r="C35" s="2" t="str">
        <f t="shared" si="1"/>
        <v>PGL_Residential_Home Energy Jumpstart_Core_Programmable Thermostat_Boiler (DI)_SF_2024</v>
      </c>
      <c r="D35" s="19" t="s">
        <v>1794</v>
      </c>
      <c r="E35" s="19" t="s">
        <v>2</v>
      </c>
      <c r="F35" s="19" t="s">
        <v>1414</v>
      </c>
      <c r="G35" s="19" t="s">
        <v>1415</v>
      </c>
      <c r="H35" s="19" t="s">
        <v>224</v>
      </c>
      <c r="I35" s="19" t="s">
        <v>1045</v>
      </c>
      <c r="J35" s="19" t="s">
        <v>24</v>
      </c>
      <c r="K35" s="19" t="s">
        <v>409</v>
      </c>
      <c r="L35" s="19">
        <v>2024</v>
      </c>
      <c r="M35" s="20">
        <v>1</v>
      </c>
      <c r="N35" s="19" t="s">
        <v>1795</v>
      </c>
      <c r="O35" s="20">
        <v>131</v>
      </c>
      <c r="P35" s="20">
        <v>131</v>
      </c>
      <c r="Q35" s="20">
        <v>10628.124320000001</v>
      </c>
      <c r="R35" s="21">
        <v>0.88</v>
      </c>
      <c r="S35" s="20">
        <v>10628.124320000001</v>
      </c>
    </row>
    <row r="36" spans="2:19" ht="15" customHeight="1" x14ac:dyDescent="0.25">
      <c r="B36" s="2" t="str">
        <f t="shared" si="0"/>
        <v>PGL_Residential_Home Energy Jumpstart_Core_Programmable Thermostat_Boiler (DI)_SF</v>
      </c>
      <c r="C36" s="2" t="str">
        <f t="shared" si="1"/>
        <v>PGL_Residential_Home Energy Jumpstart_Core_Programmable Thermostat_Boiler (DI)_SF_2025</v>
      </c>
      <c r="D36" s="19" t="s">
        <v>1794</v>
      </c>
      <c r="E36" s="19" t="s">
        <v>2</v>
      </c>
      <c r="F36" s="19" t="s">
        <v>1414</v>
      </c>
      <c r="G36" s="19" t="s">
        <v>1415</v>
      </c>
      <c r="H36" s="19" t="s">
        <v>224</v>
      </c>
      <c r="I36" s="19" t="s">
        <v>1045</v>
      </c>
      <c r="J36" s="19" t="s">
        <v>24</v>
      </c>
      <c r="K36" s="19" t="s">
        <v>409</v>
      </c>
      <c r="L36" s="19">
        <v>2025</v>
      </c>
      <c r="M36" s="20">
        <v>1</v>
      </c>
      <c r="N36" s="19" t="s">
        <v>1795</v>
      </c>
      <c r="O36" s="20">
        <v>114</v>
      </c>
      <c r="P36" s="20">
        <v>114</v>
      </c>
      <c r="Q36" s="20">
        <v>9248.9020799999998</v>
      </c>
      <c r="R36" s="21">
        <v>0.88</v>
      </c>
      <c r="S36" s="20">
        <v>9248.9020799999998</v>
      </c>
    </row>
    <row r="37" spans="2:19" ht="15" customHeight="1" x14ac:dyDescent="0.25">
      <c r="B37" s="2" t="str">
        <f t="shared" si="0"/>
        <v>PGL_Residential_Home Energy Jumpstart_Core_Advanced Thermostat_Furnace (Replace Manual)_SF</v>
      </c>
      <c r="C37" s="2" t="str">
        <f t="shared" si="1"/>
        <v>PGL_Residential_Home Energy Jumpstart_Core_Advanced Thermostat_Furnace (Replace Manual)_SF_2022</v>
      </c>
      <c r="D37" s="19" t="s">
        <v>1794</v>
      </c>
      <c r="E37" s="19" t="s">
        <v>2</v>
      </c>
      <c r="F37" s="19" t="s">
        <v>1414</v>
      </c>
      <c r="G37" s="19" t="s">
        <v>1415</v>
      </c>
      <c r="H37" s="19" t="s">
        <v>7</v>
      </c>
      <c r="I37" s="19" t="s">
        <v>1047</v>
      </c>
      <c r="J37" s="19" t="s">
        <v>24</v>
      </c>
      <c r="K37" s="19" t="s">
        <v>409</v>
      </c>
      <c r="L37" s="19">
        <v>2022</v>
      </c>
      <c r="M37" s="20">
        <v>1</v>
      </c>
      <c r="N37" s="19" t="s">
        <v>1795</v>
      </c>
      <c r="O37" s="20">
        <v>18</v>
      </c>
      <c r="P37" s="20">
        <v>18</v>
      </c>
      <c r="Q37" s="20">
        <v>1693.2239999999999</v>
      </c>
      <c r="R37" s="21">
        <v>0.9</v>
      </c>
      <c r="S37" s="20">
        <v>1693.2239999999999</v>
      </c>
    </row>
    <row r="38" spans="2:19" ht="15" customHeight="1" x14ac:dyDescent="0.25">
      <c r="B38" s="2" t="str">
        <f t="shared" si="0"/>
        <v>PGL_Residential_Home Energy Jumpstart_Core_Advanced Thermostat_Furnace (Replace Manual)_SF</v>
      </c>
      <c r="C38" s="2" t="str">
        <f t="shared" si="1"/>
        <v>PGL_Residential_Home Energy Jumpstart_Core_Advanced Thermostat_Furnace (Replace Manual)_SF_2023</v>
      </c>
      <c r="D38" s="19" t="s">
        <v>1794</v>
      </c>
      <c r="E38" s="19" t="s">
        <v>2</v>
      </c>
      <c r="F38" s="19" t="s">
        <v>1414</v>
      </c>
      <c r="G38" s="19" t="s">
        <v>1415</v>
      </c>
      <c r="H38" s="19" t="s">
        <v>7</v>
      </c>
      <c r="I38" s="19" t="s">
        <v>1047</v>
      </c>
      <c r="J38" s="19" t="s">
        <v>24</v>
      </c>
      <c r="K38" s="19" t="s">
        <v>409</v>
      </c>
      <c r="L38" s="19">
        <v>2023</v>
      </c>
      <c r="M38" s="20">
        <v>1</v>
      </c>
      <c r="N38" s="19" t="s">
        <v>1795</v>
      </c>
      <c r="O38" s="20">
        <v>16</v>
      </c>
      <c r="P38" s="20">
        <v>16</v>
      </c>
      <c r="Q38" s="20">
        <v>1505.088</v>
      </c>
      <c r="R38" s="21">
        <v>0.9</v>
      </c>
      <c r="S38" s="20">
        <v>1505.088</v>
      </c>
    </row>
    <row r="39" spans="2:19" ht="15" customHeight="1" x14ac:dyDescent="0.25">
      <c r="B39" s="2" t="str">
        <f t="shared" si="0"/>
        <v>PGL_Residential_Home Energy Jumpstart_Core_Advanced Thermostat_Furnace (Replace Manual)_SF</v>
      </c>
      <c r="C39" s="2" t="str">
        <f t="shared" si="1"/>
        <v>PGL_Residential_Home Energy Jumpstart_Core_Advanced Thermostat_Furnace (Replace Manual)_SF_2024</v>
      </c>
      <c r="D39" s="19" t="s">
        <v>1794</v>
      </c>
      <c r="E39" s="19" t="s">
        <v>2</v>
      </c>
      <c r="F39" s="19" t="s">
        <v>1414</v>
      </c>
      <c r="G39" s="19" t="s">
        <v>1415</v>
      </c>
      <c r="H39" s="19" t="s">
        <v>7</v>
      </c>
      <c r="I39" s="19" t="s">
        <v>1047</v>
      </c>
      <c r="J39" s="19" t="s">
        <v>24</v>
      </c>
      <c r="K39" s="19" t="s">
        <v>409</v>
      </c>
      <c r="L39" s="19">
        <v>2024</v>
      </c>
      <c r="M39" s="20">
        <v>1</v>
      </c>
      <c r="N39" s="19" t="s">
        <v>1795</v>
      </c>
      <c r="O39" s="20">
        <v>14</v>
      </c>
      <c r="P39" s="20">
        <v>14</v>
      </c>
      <c r="Q39" s="20">
        <v>1316.952</v>
      </c>
      <c r="R39" s="21">
        <v>0.9</v>
      </c>
      <c r="S39" s="20">
        <v>1316.952</v>
      </c>
    </row>
    <row r="40" spans="2:19" ht="15" customHeight="1" x14ac:dyDescent="0.25">
      <c r="B40" s="2" t="str">
        <f t="shared" si="0"/>
        <v>PGL_Residential_Home Energy Jumpstart_Core_Advanced Thermostat_Furnace (Replace Manual)_SF</v>
      </c>
      <c r="C40" s="2" t="str">
        <f t="shared" si="1"/>
        <v>PGL_Residential_Home Energy Jumpstart_Core_Advanced Thermostat_Furnace (Replace Manual)_SF_2025</v>
      </c>
      <c r="D40" s="19" t="s">
        <v>1794</v>
      </c>
      <c r="E40" s="19" t="s">
        <v>2</v>
      </c>
      <c r="F40" s="19" t="s">
        <v>1414</v>
      </c>
      <c r="G40" s="19" t="s">
        <v>1415</v>
      </c>
      <c r="H40" s="19" t="s">
        <v>7</v>
      </c>
      <c r="I40" s="19" t="s">
        <v>1047</v>
      </c>
      <c r="J40" s="19" t="s">
        <v>24</v>
      </c>
      <c r="K40" s="19" t="s">
        <v>409</v>
      </c>
      <c r="L40" s="19">
        <v>2025</v>
      </c>
      <c r="M40" s="20">
        <v>1</v>
      </c>
      <c r="N40" s="19" t="s">
        <v>1795</v>
      </c>
      <c r="O40" s="20">
        <v>12</v>
      </c>
      <c r="P40" s="20">
        <v>12</v>
      </c>
      <c r="Q40" s="20">
        <v>1128.816</v>
      </c>
      <c r="R40" s="21">
        <v>0.9</v>
      </c>
      <c r="S40" s="20">
        <v>1128.816</v>
      </c>
    </row>
    <row r="41" spans="2:19" ht="15" customHeight="1" x14ac:dyDescent="0.25">
      <c r="B41" s="2" t="str">
        <f t="shared" si="0"/>
        <v>PGL_Residential_Home Energy Jumpstart_Core_Advanced Thermostat_Boiler (Replace Manual)_SF</v>
      </c>
      <c r="C41" s="2" t="str">
        <f t="shared" si="1"/>
        <v>PGL_Residential_Home Energy Jumpstart_Core_Advanced Thermostat_Boiler (Replace Manual)_SF_2022</v>
      </c>
      <c r="D41" s="19" t="s">
        <v>1794</v>
      </c>
      <c r="E41" s="19" t="s">
        <v>2</v>
      </c>
      <c r="F41" s="19" t="s">
        <v>1414</v>
      </c>
      <c r="G41" s="19" t="s">
        <v>1415</v>
      </c>
      <c r="H41" s="19" t="s">
        <v>7</v>
      </c>
      <c r="I41" s="19" t="s">
        <v>1051</v>
      </c>
      <c r="J41" s="19" t="s">
        <v>24</v>
      </c>
      <c r="K41" s="19" t="s">
        <v>409</v>
      </c>
      <c r="L41" s="19">
        <v>2022</v>
      </c>
      <c r="M41" s="20">
        <v>1</v>
      </c>
      <c r="N41" s="19" t="s">
        <v>1795</v>
      </c>
      <c r="O41" s="20">
        <v>160</v>
      </c>
      <c r="P41" s="20">
        <v>160</v>
      </c>
      <c r="Q41" s="20">
        <v>22239.360000000001</v>
      </c>
      <c r="R41" s="21">
        <v>0.9</v>
      </c>
      <c r="S41" s="20">
        <v>22239.360000000001</v>
      </c>
    </row>
    <row r="42" spans="2:19" ht="15" customHeight="1" x14ac:dyDescent="0.25">
      <c r="B42" s="2" t="str">
        <f t="shared" si="0"/>
        <v>PGL_Residential_Home Energy Jumpstart_Core_Advanced Thermostat_Boiler (Replace Manual)_SF</v>
      </c>
      <c r="C42" s="2" t="str">
        <f t="shared" si="1"/>
        <v>PGL_Residential_Home Energy Jumpstart_Core_Advanced Thermostat_Boiler (Replace Manual)_SF_2023</v>
      </c>
      <c r="D42" s="19" t="s">
        <v>1794</v>
      </c>
      <c r="E42" s="19" t="s">
        <v>2</v>
      </c>
      <c r="F42" s="19" t="s">
        <v>1414</v>
      </c>
      <c r="G42" s="19" t="s">
        <v>1415</v>
      </c>
      <c r="H42" s="19" t="s">
        <v>7</v>
      </c>
      <c r="I42" s="19" t="s">
        <v>1051</v>
      </c>
      <c r="J42" s="19" t="s">
        <v>24</v>
      </c>
      <c r="K42" s="19" t="s">
        <v>409</v>
      </c>
      <c r="L42" s="19">
        <v>2023</v>
      </c>
      <c r="M42" s="20">
        <v>1</v>
      </c>
      <c r="N42" s="19" t="s">
        <v>1795</v>
      </c>
      <c r="O42" s="20">
        <v>143</v>
      </c>
      <c r="P42" s="20">
        <v>143</v>
      </c>
      <c r="Q42" s="20">
        <v>19876.428</v>
      </c>
      <c r="R42" s="21">
        <v>0.9</v>
      </c>
      <c r="S42" s="20">
        <v>19876.428</v>
      </c>
    </row>
    <row r="43" spans="2:19" ht="15" customHeight="1" x14ac:dyDescent="0.25">
      <c r="B43" s="2" t="str">
        <f t="shared" si="0"/>
        <v>PGL_Residential_Home Energy Jumpstart_Core_Advanced Thermostat_Boiler (Replace Manual)_SF</v>
      </c>
      <c r="C43" s="2" t="str">
        <f t="shared" si="1"/>
        <v>PGL_Residential_Home Energy Jumpstart_Core_Advanced Thermostat_Boiler (Replace Manual)_SF_2024</v>
      </c>
      <c r="D43" s="19" t="s">
        <v>1794</v>
      </c>
      <c r="E43" s="19" t="s">
        <v>2</v>
      </c>
      <c r="F43" s="19" t="s">
        <v>1414</v>
      </c>
      <c r="G43" s="19" t="s">
        <v>1415</v>
      </c>
      <c r="H43" s="19" t="s">
        <v>7</v>
      </c>
      <c r="I43" s="19" t="s">
        <v>1051</v>
      </c>
      <c r="J43" s="19" t="s">
        <v>24</v>
      </c>
      <c r="K43" s="19" t="s">
        <v>409</v>
      </c>
      <c r="L43" s="19">
        <v>2024</v>
      </c>
      <c r="M43" s="20">
        <v>1</v>
      </c>
      <c r="N43" s="19" t="s">
        <v>1795</v>
      </c>
      <c r="O43" s="20">
        <v>126</v>
      </c>
      <c r="P43" s="20">
        <v>126</v>
      </c>
      <c r="Q43" s="20">
        <v>17513.495999999999</v>
      </c>
      <c r="R43" s="21">
        <v>0.9</v>
      </c>
      <c r="S43" s="20">
        <v>17513.495999999999</v>
      </c>
    </row>
    <row r="44" spans="2:19" ht="15" customHeight="1" x14ac:dyDescent="0.25">
      <c r="B44" s="2" t="str">
        <f t="shared" si="0"/>
        <v>PGL_Residential_Home Energy Jumpstart_Core_Advanced Thermostat_Boiler (Replace Manual)_SF</v>
      </c>
      <c r="C44" s="2" t="str">
        <f t="shared" si="1"/>
        <v>PGL_Residential_Home Energy Jumpstart_Core_Advanced Thermostat_Boiler (Replace Manual)_SF_2025</v>
      </c>
      <c r="D44" s="19" t="s">
        <v>1794</v>
      </c>
      <c r="E44" s="19" t="s">
        <v>2</v>
      </c>
      <c r="F44" s="19" t="s">
        <v>1414</v>
      </c>
      <c r="G44" s="19" t="s">
        <v>1415</v>
      </c>
      <c r="H44" s="19" t="s">
        <v>7</v>
      </c>
      <c r="I44" s="19" t="s">
        <v>1051</v>
      </c>
      <c r="J44" s="19" t="s">
        <v>24</v>
      </c>
      <c r="K44" s="19" t="s">
        <v>409</v>
      </c>
      <c r="L44" s="19">
        <v>2025</v>
      </c>
      <c r="M44" s="20">
        <v>1</v>
      </c>
      <c r="N44" s="19" t="s">
        <v>1795</v>
      </c>
      <c r="O44" s="20">
        <v>110</v>
      </c>
      <c r="P44" s="20">
        <v>110</v>
      </c>
      <c r="Q44" s="20">
        <v>15289.560000000001</v>
      </c>
      <c r="R44" s="21">
        <v>0.9</v>
      </c>
      <c r="S44" s="20">
        <v>15289.560000000001</v>
      </c>
    </row>
    <row r="45" spans="2:19" ht="15" customHeight="1" x14ac:dyDescent="0.25">
      <c r="B45" s="2" t="str">
        <f t="shared" si="0"/>
        <v>PGL_Residential_Home Energy Jumpstart_Core_Advanced Thermostat_Furnace (Replace Programmable)_SF</v>
      </c>
      <c r="C45" s="2" t="str">
        <f t="shared" si="1"/>
        <v>PGL_Residential_Home Energy Jumpstart_Core_Advanced Thermostat_Furnace (Replace Programmable)_SF_2022</v>
      </c>
      <c r="D45" s="19" t="s">
        <v>1794</v>
      </c>
      <c r="E45" s="19" t="s">
        <v>2</v>
      </c>
      <c r="F45" s="19" t="s">
        <v>1414</v>
      </c>
      <c r="G45" s="19" t="s">
        <v>1415</v>
      </c>
      <c r="H45" s="19" t="s">
        <v>7</v>
      </c>
      <c r="I45" s="19" t="s">
        <v>1049</v>
      </c>
      <c r="J45" s="19" t="s">
        <v>24</v>
      </c>
      <c r="K45" s="19" t="s">
        <v>409</v>
      </c>
      <c r="L45" s="19">
        <v>2022</v>
      </c>
      <c r="M45" s="20">
        <v>1</v>
      </c>
      <c r="N45" s="19" t="s">
        <v>1795</v>
      </c>
      <c r="O45" s="20">
        <v>35</v>
      </c>
      <c r="P45" s="20">
        <v>35</v>
      </c>
      <c r="Q45" s="20">
        <v>2310.9974999999999</v>
      </c>
      <c r="R45" s="21">
        <v>0.9</v>
      </c>
      <c r="S45" s="20">
        <v>2310.9974999999999</v>
      </c>
    </row>
    <row r="46" spans="2:19" ht="15" customHeight="1" x14ac:dyDescent="0.25">
      <c r="B46" s="2" t="str">
        <f t="shared" si="0"/>
        <v>PGL_Residential_Home Energy Jumpstart_Core_Advanced Thermostat_Furnace (Replace Programmable)_SF</v>
      </c>
      <c r="C46" s="2" t="str">
        <f t="shared" si="1"/>
        <v>PGL_Residential_Home Energy Jumpstart_Core_Advanced Thermostat_Furnace (Replace Programmable)_SF_2023</v>
      </c>
      <c r="D46" s="19" t="s">
        <v>1794</v>
      </c>
      <c r="E46" s="19" t="s">
        <v>2</v>
      </c>
      <c r="F46" s="19" t="s">
        <v>1414</v>
      </c>
      <c r="G46" s="19" t="s">
        <v>1415</v>
      </c>
      <c r="H46" s="19" t="s">
        <v>7</v>
      </c>
      <c r="I46" s="19" t="s">
        <v>1049</v>
      </c>
      <c r="J46" s="19" t="s">
        <v>24</v>
      </c>
      <c r="K46" s="19" t="s">
        <v>409</v>
      </c>
      <c r="L46" s="19">
        <v>2023</v>
      </c>
      <c r="M46" s="20">
        <v>1</v>
      </c>
      <c r="N46" s="19" t="s">
        <v>1795</v>
      </c>
      <c r="O46" s="20">
        <v>31</v>
      </c>
      <c r="P46" s="20">
        <v>31</v>
      </c>
      <c r="Q46" s="20">
        <v>2046.8835000000001</v>
      </c>
      <c r="R46" s="21">
        <v>0.9</v>
      </c>
      <c r="S46" s="20">
        <v>2046.8835000000001</v>
      </c>
    </row>
    <row r="47" spans="2:19" ht="15" customHeight="1" x14ac:dyDescent="0.25">
      <c r="B47" s="2" t="str">
        <f t="shared" si="0"/>
        <v>PGL_Residential_Home Energy Jumpstart_Core_Advanced Thermostat_Furnace (Replace Programmable)_SF</v>
      </c>
      <c r="C47" s="2" t="str">
        <f t="shared" si="1"/>
        <v>PGL_Residential_Home Energy Jumpstart_Core_Advanced Thermostat_Furnace (Replace Programmable)_SF_2024</v>
      </c>
      <c r="D47" s="19" t="s">
        <v>1794</v>
      </c>
      <c r="E47" s="19" t="s">
        <v>2</v>
      </c>
      <c r="F47" s="19" t="s">
        <v>1414</v>
      </c>
      <c r="G47" s="19" t="s">
        <v>1415</v>
      </c>
      <c r="H47" s="19" t="s">
        <v>7</v>
      </c>
      <c r="I47" s="19" t="s">
        <v>1049</v>
      </c>
      <c r="J47" s="19" t="s">
        <v>24</v>
      </c>
      <c r="K47" s="19" t="s">
        <v>409</v>
      </c>
      <c r="L47" s="19">
        <v>2024</v>
      </c>
      <c r="M47" s="20">
        <v>1</v>
      </c>
      <c r="N47" s="19" t="s">
        <v>1795</v>
      </c>
      <c r="O47" s="20">
        <v>27</v>
      </c>
      <c r="P47" s="20">
        <v>27</v>
      </c>
      <c r="Q47" s="20">
        <v>1782.7694999999999</v>
      </c>
      <c r="R47" s="21">
        <v>0.9</v>
      </c>
      <c r="S47" s="20">
        <v>1782.7694999999999</v>
      </c>
    </row>
    <row r="48" spans="2:19" ht="15" customHeight="1" x14ac:dyDescent="0.25">
      <c r="B48" s="2" t="str">
        <f t="shared" si="0"/>
        <v>PGL_Residential_Home Energy Jumpstart_Core_Advanced Thermostat_Furnace (Replace Programmable)_SF</v>
      </c>
      <c r="C48" s="2" t="str">
        <f t="shared" si="1"/>
        <v>PGL_Residential_Home Energy Jumpstart_Core_Advanced Thermostat_Furnace (Replace Programmable)_SF_2025</v>
      </c>
      <c r="D48" s="19" t="s">
        <v>1794</v>
      </c>
      <c r="E48" s="19" t="s">
        <v>2</v>
      </c>
      <c r="F48" s="19" t="s">
        <v>1414</v>
      </c>
      <c r="G48" s="19" t="s">
        <v>1415</v>
      </c>
      <c r="H48" s="19" t="s">
        <v>7</v>
      </c>
      <c r="I48" s="19" t="s">
        <v>1049</v>
      </c>
      <c r="J48" s="19" t="s">
        <v>24</v>
      </c>
      <c r="K48" s="19" t="s">
        <v>409</v>
      </c>
      <c r="L48" s="19">
        <v>2025</v>
      </c>
      <c r="M48" s="20">
        <v>1</v>
      </c>
      <c r="N48" s="19" t="s">
        <v>1795</v>
      </c>
      <c r="O48" s="20">
        <v>24</v>
      </c>
      <c r="P48" s="20">
        <v>24</v>
      </c>
      <c r="Q48" s="20">
        <v>1584.6839999999997</v>
      </c>
      <c r="R48" s="21">
        <v>0.9</v>
      </c>
      <c r="S48" s="20">
        <v>1584.6839999999997</v>
      </c>
    </row>
    <row r="49" spans="2:19" ht="15" customHeight="1" x14ac:dyDescent="0.25">
      <c r="B49" s="2" t="str">
        <f t="shared" si="0"/>
        <v>PGL_Residential_Home Energy Jumpstart_Core_Advanced Thermostat_Boiler (Replace Programmable)_SF</v>
      </c>
      <c r="C49" s="2" t="str">
        <f t="shared" si="1"/>
        <v>PGL_Residential_Home Energy Jumpstart_Core_Advanced Thermostat_Boiler (Replace Programmable)_SF_2022</v>
      </c>
      <c r="D49" s="19" t="s">
        <v>1794</v>
      </c>
      <c r="E49" s="19" t="s">
        <v>2</v>
      </c>
      <c r="F49" s="19" t="s">
        <v>1414</v>
      </c>
      <c r="G49" s="19" t="s">
        <v>1415</v>
      </c>
      <c r="H49" s="19" t="s">
        <v>7</v>
      </c>
      <c r="I49" s="19" t="s">
        <v>1052</v>
      </c>
      <c r="J49" s="19" t="s">
        <v>24</v>
      </c>
      <c r="K49" s="19" t="s">
        <v>409</v>
      </c>
      <c r="L49" s="19">
        <v>2022</v>
      </c>
      <c r="M49" s="20">
        <v>1</v>
      </c>
      <c r="N49" s="19" t="s">
        <v>1795</v>
      </c>
      <c r="O49" s="20">
        <v>307</v>
      </c>
      <c r="P49" s="20">
        <v>307</v>
      </c>
      <c r="Q49" s="20">
        <v>29952.301500000001</v>
      </c>
      <c r="R49" s="21">
        <v>0.9</v>
      </c>
      <c r="S49" s="20">
        <v>29952.301500000001</v>
      </c>
    </row>
    <row r="50" spans="2:19" ht="15" customHeight="1" x14ac:dyDescent="0.25">
      <c r="B50" s="2" t="str">
        <f t="shared" si="0"/>
        <v>PGL_Residential_Home Energy Jumpstart_Core_Advanced Thermostat_Boiler (Replace Programmable)_SF</v>
      </c>
      <c r="C50" s="2" t="str">
        <f t="shared" si="1"/>
        <v>PGL_Residential_Home Energy Jumpstart_Core_Advanced Thermostat_Boiler (Replace Programmable)_SF_2023</v>
      </c>
      <c r="D50" s="19" t="s">
        <v>1794</v>
      </c>
      <c r="E50" s="19" t="s">
        <v>2</v>
      </c>
      <c r="F50" s="19" t="s">
        <v>1414</v>
      </c>
      <c r="G50" s="19" t="s">
        <v>1415</v>
      </c>
      <c r="H50" s="19" t="s">
        <v>7</v>
      </c>
      <c r="I50" s="19" t="s">
        <v>1052</v>
      </c>
      <c r="J50" s="19" t="s">
        <v>24</v>
      </c>
      <c r="K50" s="19" t="s">
        <v>409</v>
      </c>
      <c r="L50" s="19">
        <v>2023</v>
      </c>
      <c r="M50" s="20">
        <v>1</v>
      </c>
      <c r="N50" s="19" t="s">
        <v>1795</v>
      </c>
      <c r="O50" s="20">
        <v>275</v>
      </c>
      <c r="P50" s="20">
        <v>275</v>
      </c>
      <c r="Q50" s="20">
        <v>26830.237499999996</v>
      </c>
      <c r="R50" s="21">
        <v>0.9</v>
      </c>
      <c r="S50" s="20">
        <v>26830.237499999996</v>
      </c>
    </row>
    <row r="51" spans="2:19" ht="15" customHeight="1" x14ac:dyDescent="0.25">
      <c r="B51" s="2" t="str">
        <f t="shared" si="0"/>
        <v>PGL_Residential_Home Energy Jumpstart_Core_Advanced Thermostat_Boiler (Replace Programmable)_SF</v>
      </c>
      <c r="C51" s="2" t="str">
        <f t="shared" si="1"/>
        <v>PGL_Residential_Home Energy Jumpstart_Core_Advanced Thermostat_Boiler (Replace Programmable)_SF_2024</v>
      </c>
      <c r="D51" s="19" t="s">
        <v>1794</v>
      </c>
      <c r="E51" s="19" t="s">
        <v>2</v>
      </c>
      <c r="F51" s="19" t="s">
        <v>1414</v>
      </c>
      <c r="G51" s="19" t="s">
        <v>1415</v>
      </c>
      <c r="H51" s="19" t="s">
        <v>7</v>
      </c>
      <c r="I51" s="19" t="s">
        <v>1052</v>
      </c>
      <c r="J51" s="19" t="s">
        <v>24</v>
      </c>
      <c r="K51" s="19" t="s">
        <v>409</v>
      </c>
      <c r="L51" s="19">
        <v>2024</v>
      </c>
      <c r="M51" s="20">
        <v>1</v>
      </c>
      <c r="N51" s="19" t="s">
        <v>1795</v>
      </c>
      <c r="O51" s="20">
        <v>243</v>
      </c>
      <c r="P51" s="20">
        <v>243</v>
      </c>
      <c r="Q51" s="20">
        <v>23708.173499999997</v>
      </c>
      <c r="R51" s="21">
        <v>0.9</v>
      </c>
      <c r="S51" s="20">
        <v>23708.173499999997</v>
      </c>
    </row>
    <row r="52" spans="2:19" ht="15" customHeight="1" x14ac:dyDescent="0.25">
      <c r="B52" s="2" t="str">
        <f t="shared" si="0"/>
        <v>PGL_Residential_Home Energy Jumpstart_Core_Advanced Thermostat_Boiler (Replace Programmable)_SF</v>
      </c>
      <c r="C52" s="2" t="str">
        <f t="shared" si="1"/>
        <v>PGL_Residential_Home Energy Jumpstart_Core_Advanced Thermostat_Boiler (Replace Programmable)_SF_2025</v>
      </c>
      <c r="D52" s="19" t="s">
        <v>1794</v>
      </c>
      <c r="E52" s="19" t="s">
        <v>2</v>
      </c>
      <c r="F52" s="19" t="s">
        <v>1414</v>
      </c>
      <c r="G52" s="19" t="s">
        <v>1415</v>
      </c>
      <c r="H52" s="19" t="s">
        <v>7</v>
      </c>
      <c r="I52" s="19" t="s">
        <v>1052</v>
      </c>
      <c r="J52" s="19" t="s">
        <v>24</v>
      </c>
      <c r="K52" s="19" t="s">
        <v>409</v>
      </c>
      <c r="L52" s="19">
        <v>2025</v>
      </c>
      <c r="M52" s="20">
        <v>1</v>
      </c>
      <c r="N52" s="19" t="s">
        <v>1795</v>
      </c>
      <c r="O52" s="20">
        <v>210</v>
      </c>
      <c r="P52" s="20">
        <v>210</v>
      </c>
      <c r="Q52" s="20">
        <v>20488.544999999998</v>
      </c>
      <c r="R52" s="21">
        <v>0.9</v>
      </c>
      <c r="S52" s="20">
        <v>20488.544999999998</v>
      </c>
    </row>
    <row r="53" spans="2:19" ht="15" customHeight="1" x14ac:dyDescent="0.25">
      <c r="B53" s="2" t="str">
        <f t="shared" si="0"/>
        <v>PGL_Residential_Home Energy Jumpstart_Core_Thermostat - Reprogram_Furnace (DI)_SF</v>
      </c>
      <c r="C53" s="2" t="str">
        <f t="shared" si="1"/>
        <v>PGL_Residential_Home Energy Jumpstart_Core_Thermostat - Reprogram_Furnace (DI)_SF_2022</v>
      </c>
      <c r="D53" s="19" t="s">
        <v>1794</v>
      </c>
      <c r="E53" s="19" t="s">
        <v>2</v>
      </c>
      <c r="F53" s="19" t="s">
        <v>1414</v>
      </c>
      <c r="G53" s="19" t="s">
        <v>1415</v>
      </c>
      <c r="H53" s="19" t="s">
        <v>1055</v>
      </c>
      <c r="I53" s="19" t="s">
        <v>1038</v>
      </c>
      <c r="J53" s="19" t="s">
        <v>24</v>
      </c>
      <c r="K53" s="19" t="s">
        <v>409</v>
      </c>
      <c r="L53" s="19">
        <v>2022</v>
      </c>
      <c r="M53" s="20">
        <v>1</v>
      </c>
      <c r="N53" s="19" t="s">
        <v>1795</v>
      </c>
      <c r="O53" s="20">
        <v>698</v>
      </c>
      <c r="P53" s="20">
        <v>698</v>
      </c>
      <c r="Q53" s="20">
        <v>34793.904000000002</v>
      </c>
      <c r="R53" s="21">
        <v>0.8</v>
      </c>
      <c r="S53" s="20">
        <v>34793.904000000002</v>
      </c>
    </row>
    <row r="54" spans="2:19" ht="15" customHeight="1" x14ac:dyDescent="0.25">
      <c r="B54" s="2" t="str">
        <f t="shared" si="0"/>
        <v>PGL_Residential_Home Energy Jumpstart_Core_Thermostat - Reprogram_Furnace (DI)_SF</v>
      </c>
      <c r="C54" s="2" t="str">
        <f t="shared" si="1"/>
        <v>PGL_Residential_Home Energy Jumpstart_Core_Thermostat - Reprogram_Furnace (DI)_SF_2023</v>
      </c>
      <c r="D54" s="19" t="s">
        <v>1794</v>
      </c>
      <c r="E54" s="19" t="s">
        <v>2</v>
      </c>
      <c r="F54" s="19" t="s">
        <v>1414</v>
      </c>
      <c r="G54" s="19" t="s">
        <v>1415</v>
      </c>
      <c r="H54" s="19" t="s">
        <v>1055</v>
      </c>
      <c r="I54" s="19" t="s">
        <v>1038</v>
      </c>
      <c r="J54" s="19" t="s">
        <v>24</v>
      </c>
      <c r="K54" s="19" t="s">
        <v>409</v>
      </c>
      <c r="L54" s="19">
        <v>2023</v>
      </c>
      <c r="M54" s="20">
        <v>1</v>
      </c>
      <c r="N54" s="19" t="s">
        <v>1795</v>
      </c>
      <c r="O54" s="20">
        <v>624</v>
      </c>
      <c r="P54" s="20">
        <v>624</v>
      </c>
      <c r="Q54" s="20">
        <v>31105.152000000002</v>
      </c>
      <c r="R54" s="21">
        <v>0.8</v>
      </c>
      <c r="S54" s="20">
        <v>31105.152000000002</v>
      </c>
    </row>
    <row r="55" spans="2:19" ht="15" customHeight="1" x14ac:dyDescent="0.25">
      <c r="B55" s="2" t="str">
        <f t="shared" si="0"/>
        <v>PGL_Residential_Home Energy Jumpstart_Core_Thermostat - Reprogram_Furnace (DI)_SF</v>
      </c>
      <c r="C55" s="2" t="str">
        <f t="shared" si="1"/>
        <v>PGL_Residential_Home Energy Jumpstart_Core_Thermostat - Reprogram_Furnace (DI)_SF_2024</v>
      </c>
      <c r="D55" s="19" t="s">
        <v>1794</v>
      </c>
      <c r="E55" s="19" t="s">
        <v>2</v>
      </c>
      <c r="F55" s="19" t="s">
        <v>1414</v>
      </c>
      <c r="G55" s="19" t="s">
        <v>1415</v>
      </c>
      <c r="H55" s="19" t="s">
        <v>1055</v>
      </c>
      <c r="I55" s="19" t="s">
        <v>1038</v>
      </c>
      <c r="J55" s="19" t="s">
        <v>24</v>
      </c>
      <c r="K55" s="19" t="s">
        <v>409</v>
      </c>
      <c r="L55" s="19">
        <v>2024</v>
      </c>
      <c r="M55" s="20">
        <v>1</v>
      </c>
      <c r="N55" s="19" t="s">
        <v>1795</v>
      </c>
      <c r="O55" s="20">
        <v>551</v>
      </c>
      <c r="P55" s="20">
        <v>551</v>
      </c>
      <c r="Q55" s="20">
        <v>27466.248</v>
      </c>
      <c r="R55" s="21">
        <v>0.8</v>
      </c>
      <c r="S55" s="20">
        <v>27466.248</v>
      </c>
    </row>
    <row r="56" spans="2:19" ht="15" customHeight="1" x14ac:dyDescent="0.25">
      <c r="B56" s="2" t="str">
        <f t="shared" si="0"/>
        <v>PGL_Residential_Home Energy Jumpstart_Core_Thermostat - Reprogram_Furnace (DI)_SF</v>
      </c>
      <c r="C56" s="2" t="str">
        <f t="shared" si="1"/>
        <v>PGL_Residential_Home Energy Jumpstart_Core_Thermostat - Reprogram_Furnace (DI)_SF_2025</v>
      </c>
      <c r="D56" s="19" t="s">
        <v>1794</v>
      </c>
      <c r="E56" s="19" t="s">
        <v>2</v>
      </c>
      <c r="F56" s="19" t="s">
        <v>1414</v>
      </c>
      <c r="G56" s="19" t="s">
        <v>1415</v>
      </c>
      <c r="H56" s="19" t="s">
        <v>1055</v>
      </c>
      <c r="I56" s="19" t="s">
        <v>1038</v>
      </c>
      <c r="J56" s="19" t="s">
        <v>24</v>
      </c>
      <c r="K56" s="19" t="s">
        <v>409</v>
      </c>
      <c r="L56" s="19">
        <v>2025</v>
      </c>
      <c r="M56" s="20">
        <v>1</v>
      </c>
      <c r="N56" s="19" t="s">
        <v>1795</v>
      </c>
      <c r="O56" s="20">
        <v>478</v>
      </c>
      <c r="P56" s="20">
        <v>478</v>
      </c>
      <c r="Q56" s="20">
        <v>23827.344000000001</v>
      </c>
      <c r="R56" s="21">
        <v>0.8</v>
      </c>
      <c r="S56" s="20">
        <v>23827.344000000001</v>
      </c>
    </row>
    <row r="57" spans="2:19" ht="15" customHeight="1" x14ac:dyDescent="0.25">
      <c r="B57" s="2" t="str">
        <f t="shared" si="0"/>
        <v>PGL_Residential_Home Energy Jumpstart_Core_Thermostat - Reprogram_Boiler (DI)_SF</v>
      </c>
      <c r="C57" s="2" t="str">
        <f t="shared" si="1"/>
        <v>PGL_Residential_Home Energy Jumpstart_Core_Thermostat - Reprogram_Boiler (DI)_SF_2022</v>
      </c>
      <c r="D57" s="19" t="s">
        <v>1794</v>
      </c>
      <c r="E57" s="19" t="s">
        <v>2</v>
      </c>
      <c r="F57" s="19" t="s">
        <v>1414</v>
      </c>
      <c r="G57" s="19" t="s">
        <v>1415</v>
      </c>
      <c r="H57" s="19" t="s">
        <v>1055</v>
      </c>
      <c r="I57" s="19" t="s">
        <v>1045</v>
      </c>
      <c r="J57" s="19" t="s">
        <v>24</v>
      </c>
      <c r="K57" s="19" t="s">
        <v>409</v>
      </c>
      <c r="L57" s="19">
        <v>2022</v>
      </c>
      <c r="M57" s="20">
        <v>1</v>
      </c>
      <c r="N57" s="19" t="s">
        <v>1795</v>
      </c>
      <c r="O57" s="20">
        <v>465</v>
      </c>
      <c r="P57" s="20">
        <v>465</v>
      </c>
      <c r="Q57" s="20">
        <v>34296.167999999998</v>
      </c>
      <c r="R57" s="21">
        <v>0.8</v>
      </c>
      <c r="S57" s="20">
        <v>34296.167999999998</v>
      </c>
    </row>
    <row r="58" spans="2:19" ht="15" customHeight="1" x14ac:dyDescent="0.25">
      <c r="B58" s="2" t="str">
        <f t="shared" si="0"/>
        <v>PGL_Residential_Home Energy Jumpstart_Core_Thermostat - Reprogram_Boiler (DI)_SF</v>
      </c>
      <c r="C58" s="2" t="str">
        <f t="shared" si="1"/>
        <v>PGL_Residential_Home Energy Jumpstart_Core_Thermostat - Reprogram_Boiler (DI)_SF_2023</v>
      </c>
      <c r="D58" s="19" t="s">
        <v>1794</v>
      </c>
      <c r="E58" s="19" t="s">
        <v>2</v>
      </c>
      <c r="F58" s="19" t="s">
        <v>1414</v>
      </c>
      <c r="G58" s="19" t="s">
        <v>1415</v>
      </c>
      <c r="H58" s="19" t="s">
        <v>1055</v>
      </c>
      <c r="I58" s="19" t="s">
        <v>1045</v>
      </c>
      <c r="J58" s="19" t="s">
        <v>24</v>
      </c>
      <c r="K58" s="19" t="s">
        <v>409</v>
      </c>
      <c r="L58" s="19">
        <v>2023</v>
      </c>
      <c r="M58" s="20">
        <v>1</v>
      </c>
      <c r="N58" s="19" t="s">
        <v>1795</v>
      </c>
      <c r="O58" s="20">
        <v>416</v>
      </c>
      <c r="P58" s="20">
        <v>416</v>
      </c>
      <c r="Q58" s="20">
        <v>30682.163199999999</v>
      </c>
      <c r="R58" s="21">
        <v>0.8</v>
      </c>
      <c r="S58" s="20">
        <v>30682.163199999999</v>
      </c>
    </row>
    <row r="59" spans="2:19" ht="15" customHeight="1" x14ac:dyDescent="0.25">
      <c r="B59" s="2" t="str">
        <f t="shared" si="0"/>
        <v>PGL_Residential_Home Energy Jumpstart_Core_Thermostat - Reprogram_Boiler (DI)_SF</v>
      </c>
      <c r="C59" s="2" t="str">
        <f t="shared" si="1"/>
        <v>PGL_Residential_Home Energy Jumpstart_Core_Thermostat - Reprogram_Boiler (DI)_SF_2024</v>
      </c>
      <c r="D59" s="19" t="s">
        <v>1794</v>
      </c>
      <c r="E59" s="19" t="s">
        <v>2</v>
      </c>
      <c r="F59" s="19" t="s">
        <v>1414</v>
      </c>
      <c r="G59" s="19" t="s">
        <v>1415</v>
      </c>
      <c r="H59" s="19" t="s">
        <v>1055</v>
      </c>
      <c r="I59" s="19" t="s">
        <v>1045</v>
      </c>
      <c r="J59" s="19" t="s">
        <v>24</v>
      </c>
      <c r="K59" s="19" t="s">
        <v>409</v>
      </c>
      <c r="L59" s="19">
        <v>2024</v>
      </c>
      <c r="M59" s="20">
        <v>1</v>
      </c>
      <c r="N59" s="19" t="s">
        <v>1795</v>
      </c>
      <c r="O59" s="20">
        <v>367</v>
      </c>
      <c r="P59" s="20">
        <v>367</v>
      </c>
      <c r="Q59" s="20">
        <v>27068.158400000004</v>
      </c>
      <c r="R59" s="21">
        <v>0.8</v>
      </c>
      <c r="S59" s="20">
        <v>27068.158400000004</v>
      </c>
    </row>
    <row r="60" spans="2:19" ht="15" customHeight="1" x14ac:dyDescent="0.25">
      <c r="B60" s="2" t="str">
        <f t="shared" si="0"/>
        <v>PGL_Residential_Home Energy Jumpstart_Core_Thermostat - Reprogram_Boiler (DI)_SF</v>
      </c>
      <c r="C60" s="2" t="str">
        <f t="shared" si="1"/>
        <v>PGL_Residential_Home Energy Jumpstart_Core_Thermostat - Reprogram_Boiler (DI)_SF_2025</v>
      </c>
      <c r="D60" s="19" t="s">
        <v>1794</v>
      </c>
      <c r="E60" s="19" t="s">
        <v>2</v>
      </c>
      <c r="F60" s="19" t="s">
        <v>1414</v>
      </c>
      <c r="G60" s="19" t="s">
        <v>1415</v>
      </c>
      <c r="H60" s="19" t="s">
        <v>1055</v>
      </c>
      <c r="I60" s="19" t="s">
        <v>1045</v>
      </c>
      <c r="J60" s="19" t="s">
        <v>24</v>
      </c>
      <c r="K60" s="19" t="s">
        <v>409</v>
      </c>
      <c r="L60" s="19">
        <v>2025</v>
      </c>
      <c r="M60" s="20">
        <v>1</v>
      </c>
      <c r="N60" s="19" t="s">
        <v>1795</v>
      </c>
      <c r="O60" s="20">
        <v>318</v>
      </c>
      <c r="P60" s="20">
        <v>318</v>
      </c>
      <c r="Q60" s="20">
        <v>23454.153600000001</v>
      </c>
      <c r="R60" s="21">
        <v>0.8</v>
      </c>
      <c r="S60" s="20">
        <v>23454.153600000001</v>
      </c>
    </row>
    <row r="61" spans="2:19" ht="15" customHeight="1" x14ac:dyDescent="0.25">
      <c r="B61" s="2" t="str">
        <f t="shared" si="0"/>
        <v>PGL_Residential_Home Energy Jumpstart_Leave Behind Kit_Shower Timer_0_SF</v>
      </c>
      <c r="C61" s="2" t="str">
        <f t="shared" si="1"/>
        <v>PGL_Residential_Home Energy Jumpstart_Leave Behind Kit_Shower Timer_0_SF_2022</v>
      </c>
      <c r="D61" s="19" t="s">
        <v>1794</v>
      </c>
      <c r="E61" s="19" t="s">
        <v>2</v>
      </c>
      <c r="F61" s="19" t="s">
        <v>1414</v>
      </c>
      <c r="G61" s="19" t="s">
        <v>1416</v>
      </c>
      <c r="H61" s="19" t="s">
        <v>1031</v>
      </c>
      <c r="I61" s="19">
        <v>0</v>
      </c>
      <c r="J61" s="19" t="s">
        <v>1033</v>
      </c>
      <c r="K61" s="19" t="s">
        <v>409</v>
      </c>
      <c r="L61" s="19">
        <v>2022</v>
      </c>
      <c r="M61" s="20">
        <v>1</v>
      </c>
      <c r="N61" s="19" t="s">
        <v>1795</v>
      </c>
      <c r="O61" s="20">
        <v>3800</v>
      </c>
      <c r="P61" s="20">
        <v>3800</v>
      </c>
      <c r="Q61" s="20">
        <v>11270.028991585074</v>
      </c>
      <c r="R61" s="21">
        <v>0.8</v>
      </c>
      <c r="S61" s="20">
        <v>11270.028991585074</v>
      </c>
    </row>
    <row r="62" spans="2:19" ht="15" customHeight="1" x14ac:dyDescent="0.25">
      <c r="B62" s="2" t="str">
        <f t="shared" si="0"/>
        <v>PGL_Residential_Home Energy Jumpstart_Leave Behind Kit_Shower Timer_0_SF</v>
      </c>
      <c r="C62" s="2" t="str">
        <f t="shared" si="1"/>
        <v>PGL_Residential_Home Energy Jumpstart_Leave Behind Kit_Shower Timer_0_SF_2023</v>
      </c>
      <c r="D62" s="19" t="s">
        <v>1794</v>
      </c>
      <c r="E62" s="19" t="s">
        <v>2</v>
      </c>
      <c r="F62" s="19" t="s">
        <v>1414</v>
      </c>
      <c r="G62" s="19" t="s">
        <v>1416</v>
      </c>
      <c r="H62" s="19" t="s">
        <v>1031</v>
      </c>
      <c r="I62" s="19">
        <v>0</v>
      </c>
      <c r="J62" s="19" t="s">
        <v>1033</v>
      </c>
      <c r="K62" s="19" t="s">
        <v>409</v>
      </c>
      <c r="L62" s="19">
        <v>2023</v>
      </c>
      <c r="M62" s="20">
        <v>1</v>
      </c>
      <c r="N62" s="19" t="s">
        <v>1795</v>
      </c>
      <c r="O62" s="20">
        <v>3400</v>
      </c>
      <c r="P62" s="20">
        <v>3400</v>
      </c>
      <c r="Q62" s="20">
        <v>10083.710150365594</v>
      </c>
      <c r="R62" s="21">
        <v>0.8</v>
      </c>
      <c r="S62" s="20">
        <v>10083.710150365594</v>
      </c>
    </row>
    <row r="63" spans="2:19" ht="15" customHeight="1" x14ac:dyDescent="0.25">
      <c r="B63" s="2" t="str">
        <f t="shared" si="0"/>
        <v>PGL_Residential_Home Energy Jumpstart_Leave Behind Kit_Shower Timer_0_SF</v>
      </c>
      <c r="C63" s="2" t="str">
        <f t="shared" si="1"/>
        <v>PGL_Residential_Home Energy Jumpstart_Leave Behind Kit_Shower Timer_0_SF_2024</v>
      </c>
      <c r="D63" s="19" t="s">
        <v>1794</v>
      </c>
      <c r="E63" s="19" t="s">
        <v>2</v>
      </c>
      <c r="F63" s="19" t="s">
        <v>1414</v>
      </c>
      <c r="G63" s="19" t="s">
        <v>1416</v>
      </c>
      <c r="H63" s="19" t="s">
        <v>1031</v>
      </c>
      <c r="I63" s="19">
        <v>0</v>
      </c>
      <c r="J63" s="19" t="s">
        <v>1033</v>
      </c>
      <c r="K63" s="19" t="s">
        <v>409</v>
      </c>
      <c r="L63" s="19">
        <v>2024</v>
      </c>
      <c r="M63" s="20">
        <v>1</v>
      </c>
      <c r="N63" s="19" t="s">
        <v>1795</v>
      </c>
      <c r="O63" s="20">
        <v>3000</v>
      </c>
      <c r="P63" s="20">
        <v>3000</v>
      </c>
      <c r="Q63" s="20">
        <v>8897.3913091461127</v>
      </c>
      <c r="R63" s="21">
        <v>0.8</v>
      </c>
      <c r="S63" s="20">
        <v>8897.3913091461127</v>
      </c>
    </row>
    <row r="64" spans="2:19" ht="15" customHeight="1" x14ac:dyDescent="0.25">
      <c r="B64" s="2" t="str">
        <f t="shared" si="0"/>
        <v>PGL_Residential_Home Energy Jumpstart_Leave Behind Kit_Shower Timer_0_SF</v>
      </c>
      <c r="C64" s="2" t="str">
        <f t="shared" si="1"/>
        <v>PGL_Residential_Home Energy Jumpstart_Leave Behind Kit_Shower Timer_0_SF_2025</v>
      </c>
      <c r="D64" s="19" t="s">
        <v>1794</v>
      </c>
      <c r="E64" s="19" t="s">
        <v>2</v>
      </c>
      <c r="F64" s="19" t="s">
        <v>1414</v>
      </c>
      <c r="G64" s="19" t="s">
        <v>1416</v>
      </c>
      <c r="H64" s="19" t="s">
        <v>1031</v>
      </c>
      <c r="I64" s="19">
        <v>0</v>
      </c>
      <c r="J64" s="19" t="s">
        <v>1033</v>
      </c>
      <c r="K64" s="19" t="s">
        <v>409</v>
      </c>
      <c r="L64" s="19">
        <v>2025</v>
      </c>
      <c r="M64" s="20">
        <v>1</v>
      </c>
      <c r="N64" s="19" t="s">
        <v>1795</v>
      </c>
      <c r="O64" s="20">
        <v>2600</v>
      </c>
      <c r="P64" s="20">
        <v>2600</v>
      </c>
      <c r="Q64" s="20">
        <v>7711.0724679266295</v>
      </c>
      <c r="R64" s="21">
        <v>0.8</v>
      </c>
      <c r="S64" s="20">
        <v>7711.0724679266295</v>
      </c>
    </row>
    <row r="65" spans="2:19" ht="15" customHeight="1" x14ac:dyDescent="0.25">
      <c r="B65" s="2" t="str">
        <f t="shared" si="0"/>
        <v>PGL_Residential_Home Energy Jumpstart_Leave Behind Kit_Weatherstripping_0_SF</v>
      </c>
      <c r="C65" s="2" t="str">
        <f t="shared" si="1"/>
        <v>PGL_Residential_Home Energy Jumpstart_Leave Behind Kit_Weatherstripping_0_SF_2022</v>
      </c>
      <c r="D65" s="19" t="s">
        <v>1794</v>
      </c>
      <c r="E65" s="19" t="s">
        <v>2</v>
      </c>
      <c r="F65" s="19" t="s">
        <v>1414</v>
      </c>
      <c r="G65" s="19" t="s">
        <v>1416</v>
      </c>
      <c r="H65" s="19" t="s">
        <v>576</v>
      </c>
      <c r="I65" s="19">
        <v>0</v>
      </c>
      <c r="J65" s="19" t="s">
        <v>573</v>
      </c>
      <c r="K65" s="19" t="s">
        <v>409</v>
      </c>
      <c r="L65" s="19">
        <v>2022</v>
      </c>
      <c r="M65" s="20">
        <v>16</v>
      </c>
      <c r="N65" s="19" t="s">
        <v>1797</v>
      </c>
      <c r="O65" s="20">
        <v>3800</v>
      </c>
      <c r="P65" s="20">
        <v>60800</v>
      </c>
      <c r="Q65" s="20">
        <v>20650.598400000003</v>
      </c>
      <c r="R65" s="21">
        <v>0.8</v>
      </c>
      <c r="S65" s="20">
        <v>20650.598400000003</v>
      </c>
    </row>
    <row r="66" spans="2:19" ht="15" customHeight="1" x14ac:dyDescent="0.25">
      <c r="B66" s="2" t="str">
        <f t="shared" si="0"/>
        <v>PGL_Residential_Home Energy Jumpstart_Leave Behind Kit_Weatherstripping_0_SF</v>
      </c>
      <c r="C66" s="2" t="str">
        <f t="shared" si="1"/>
        <v>PGL_Residential_Home Energy Jumpstart_Leave Behind Kit_Weatherstripping_0_SF_2023</v>
      </c>
      <c r="D66" s="19" t="s">
        <v>1794</v>
      </c>
      <c r="E66" s="19" t="s">
        <v>2</v>
      </c>
      <c r="F66" s="19" t="s">
        <v>1414</v>
      </c>
      <c r="G66" s="19" t="s">
        <v>1416</v>
      </c>
      <c r="H66" s="19" t="s">
        <v>576</v>
      </c>
      <c r="I66" s="19">
        <v>0</v>
      </c>
      <c r="J66" s="19" t="s">
        <v>573</v>
      </c>
      <c r="K66" s="19" t="s">
        <v>409</v>
      </c>
      <c r="L66" s="19">
        <v>2023</v>
      </c>
      <c r="M66" s="20">
        <v>16</v>
      </c>
      <c r="N66" s="19" t="s">
        <v>1797</v>
      </c>
      <c r="O66" s="20">
        <v>3400</v>
      </c>
      <c r="P66" s="20">
        <v>54400</v>
      </c>
      <c r="Q66" s="20">
        <v>18476.851200000001</v>
      </c>
      <c r="R66" s="21">
        <v>0.8</v>
      </c>
      <c r="S66" s="20">
        <v>18476.851200000001</v>
      </c>
    </row>
    <row r="67" spans="2:19" ht="15" customHeight="1" x14ac:dyDescent="0.25">
      <c r="B67" s="2" t="str">
        <f t="shared" si="0"/>
        <v>PGL_Residential_Home Energy Jumpstart_Leave Behind Kit_Weatherstripping_0_SF</v>
      </c>
      <c r="C67" s="2" t="str">
        <f t="shared" si="1"/>
        <v>PGL_Residential_Home Energy Jumpstart_Leave Behind Kit_Weatherstripping_0_SF_2024</v>
      </c>
      <c r="D67" s="19" t="s">
        <v>1794</v>
      </c>
      <c r="E67" s="19" t="s">
        <v>2</v>
      </c>
      <c r="F67" s="19" t="s">
        <v>1414</v>
      </c>
      <c r="G67" s="19" t="s">
        <v>1416</v>
      </c>
      <c r="H67" s="19" t="s">
        <v>576</v>
      </c>
      <c r="I67" s="19">
        <v>0</v>
      </c>
      <c r="J67" s="19" t="s">
        <v>573</v>
      </c>
      <c r="K67" s="19" t="s">
        <v>409</v>
      </c>
      <c r="L67" s="19">
        <v>2024</v>
      </c>
      <c r="M67" s="20">
        <v>16</v>
      </c>
      <c r="N67" s="19" t="s">
        <v>1797</v>
      </c>
      <c r="O67" s="20">
        <v>3000</v>
      </c>
      <c r="P67" s="20">
        <v>48000</v>
      </c>
      <c r="Q67" s="20">
        <v>16303.104000000001</v>
      </c>
      <c r="R67" s="21">
        <v>0.8</v>
      </c>
      <c r="S67" s="20">
        <v>16303.104000000001</v>
      </c>
    </row>
    <row r="68" spans="2:19" ht="15" customHeight="1" x14ac:dyDescent="0.25">
      <c r="B68" s="2" t="str">
        <f t="shared" si="0"/>
        <v>PGL_Residential_Home Energy Jumpstart_Leave Behind Kit_Weatherstripping_0_SF</v>
      </c>
      <c r="C68" s="2" t="str">
        <f t="shared" si="1"/>
        <v>PGL_Residential_Home Energy Jumpstart_Leave Behind Kit_Weatherstripping_0_SF_2025</v>
      </c>
      <c r="D68" s="19" t="s">
        <v>1794</v>
      </c>
      <c r="E68" s="19" t="s">
        <v>2</v>
      </c>
      <c r="F68" s="19" t="s">
        <v>1414</v>
      </c>
      <c r="G68" s="19" t="s">
        <v>1416</v>
      </c>
      <c r="H68" s="19" t="s">
        <v>576</v>
      </c>
      <c r="I68" s="19">
        <v>0</v>
      </c>
      <c r="J68" s="19" t="s">
        <v>573</v>
      </c>
      <c r="K68" s="19" t="s">
        <v>409</v>
      </c>
      <c r="L68" s="19">
        <v>2025</v>
      </c>
      <c r="M68" s="20">
        <v>16</v>
      </c>
      <c r="N68" s="19" t="s">
        <v>1797</v>
      </c>
      <c r="O68" s="20">
        <v>2600</v>
      </c>
      <c r="P68" s="20">
        <v>41600</v>
      </c>
      <c r="Q68" s="20">
        <v>14129.356800000001</v>
      </c>
      <c r="R68" s="21">
        <v>0.8</v>
      </c>
      <c r="S68" s="20">
        <v>14129.356800000001</v>
      </c>
    </row>
    <row r="69" spans="2:19" ht="15" customHeight="1" x14ac:dyDescent="0.25">
      <c r="B69" s="2" t="str">
        <f t="shared" si="0"/>
        <v>PGL_Residential_Home Energy Jumpstart_Leave Behind Kit_Door Sweep_0_SF</v>
      </c>
      <c r="C69" s="2" t="str">
        <f t="shared" si="1"/>
        <v>PGL_Residential_Home Energy Jumpstart_Leave Behind Kit_Door Sweep_0_SF_2022</v>
      </c>
      <c r="D69" s="19" t="s">
        <v>1794</v>
      </c>
      <c r="E69" s="19" t="s">
        <v>2</v>
      </c>
      <c r="F69" s="19" t="s">
        <v>1414</v>
      </c>
      <c r="G69" s="19" t="s">
        <v>1416</v>
      </c>
      <c r="H69" s="19" t="s">
        <v>6</v>
      </c>
      <c r="I69" s="19">
        <v>0</v>
      </c>
      <c r="J69" s="19" t="s">
        <v>573</v>
      </c>
      <c r="K69" s="19" t="s">
        <v>409</v>
      </c>
      <c r="L69" s="19">
        <v>2022</v>
      </c>
      <c r="M69" s="20">
        <v>1</v>
      </c>
      <c r="N69" s="19" t="s">
        <v>1798</v>
      </c>
      <c r="O69" s="20">
        <v>3800</v>
      </c>
      <c r="P69" s="20">
        <v>3800</v>
      </c>
      <c r="Q69" s="20">
        <v>19317.619200000001</v>
      </c>
      <c r="R69" s="21">
        <v>0.8</v>
      </c>
      <c r="S69" s="20">
        <v>19317.619200000001</v>
      </c>
    </row>
    <row r="70" spans="2:19" ht="15" customHeight="1" x14ac:dyDescent="0.25">
      <c r="B70" s="2" t="str">
        <f t="shared" ref="B70:B133" si="2">D70&amp;"_"&amp;E70&amp;"_"&amp;F70&amp;"_"&amp;G70&amp;"_"&amp;H70&amp;"_"&amp;I70&amp;"_"&amp;K70</f>
        <v>PGL_Residential_Home Energy Jumpstart_Leave Behind Kit_Door Sweep_0_SF</v>
      </c>
      <c r="C70" s="2" t="str">
        <f t="shared" ref="C70:C133" si="3">D70&amp;"_"&amp;E70&amp;"_"&amp;F70&amp;"_"&amp;G70&amp;"_"&amp;H70&amp;"_"&amp;I70&amp;"_"&amp;K70&amp;"_"&amp;L70</f>
        <v>PGL_Residential_Home Energy Jumpstart_Leave Behind Kit_Door Sweep_0_SF_2023</v>
      </c>
      <c r="D70" s="19" t="s">
        <v>1794</v>
      </c>
      <c r="E70" s="19" t="s">
        <v>2</v>
      </c>
      <c r="F70" s="19" t="s">
        <v>1414</v>
      </c>
      <c r="G70" s="19" t="s">
        <v>1416</v>
      </c>
      <c r="H70" s="19" t="s">
        <v>6</v>
      </c>
      <c r="I70" s="19">
        <v>0</v>
      </c>
      <c r="J70" s="19" t="s">
        <v>573</v>
      </c>
      <c r="K70" s="19" t="s">
        <v>409</v>
      </c>
      <c r="L70" s="19">
        <v>2023</v>
      </c>
      <c r="M70" s="20">
        <v>1</v>
      </c>
      <c r="N70" s="19" t="s">
        <v>1798</v>
      </c>
      <c r="O70" s="20">
        <v>3400</v>
      </c>
      <c r="P70" s="20">
        <v>3400</v>
      </c>
      <c r="Q70" s="20">
        <v>17284.185600000004</v>
      </c>
      <c r="R70" s="21">
        <v>0.8</v>
      </c>
      <c r="S70" s="20">
        <v>17284.185600000004</v>
      </c>
    </row>
    <row r="71" spans="2:19" ht="15" customHeight="1" x14ac:dyDescent="0.25">
      <c r="B71" s="2" t="str">
        <f t="shared" si="2"/>
        <v>PGL_Residential_Home Energy Jumpstart_Leave Behind Kit_Door Sweep_0_SF</v>
      </c>
      <c r="C71" s="2" t="str">
        <f t="shared" si="3"/>
        <v>PGL_Residential_Home Energy Jumpstart_Leave Behind Kit_Door Sweep_0_SF_2024</v>
      </c>
      <c r="D71" s="19" t="s">
        <v>1794</v>
      </c>
      <c r="E71" s="19" t="s">
        <v>2</v>
      </c>
      <c r="F71" s="19" t="s">
        <v>1414</v>
      </c>
      <c r="G71" s="19" t="s">
        <v>1416</v>
      </c>
      <c r="H71" s="19" t="s">
        <v>6</v>
      </c>
      <c r="I71" s="19">
        <v>0</v>
      </c>
      <c r="J71" s="19" t="s">
        <v>573</v>
      </c>
      <c r="K71" s="19" t="s">
        <v>409</v>
      </c>
      <c r="L71" s="19">
        <v>2024</v>
      </c>
      <c r="M71" s="20">
        <v>1</v>
      </c>
      <c r="N71" s="19" t="s">
        <v>1798</v>
      </c>
      <c r="O71" s="20">
        <v>3000</v>
      </c>
      <c r="P71" s="20">
        <v>3000</v>
      </c>
      <c r="Q71" s="20">
        <v>15250.752000000002</v>
      </c>
      <c r="R71" s="21">
        <v>0.8</v>
      </c>
      <c r="S71" s="20">
        <v>15250.752000000002</v>
      </c>
    </row>
    <row r="72" spans="2:19" ht="15" customHeight="1" x14ac:dyDescent="0.25">
      <c r="B72" s="2" t="str">
        <f t="shared" si="2"/>
        <v>PGL_Residential_Home Energy Jumpstart_Leave Behind Kit_Door Sweep_0_SF</v>
      </c>
      <c r="C72" s="2" t="str">
        <f t="shared" si="3"/>
        <v>PGL_Residential_Home Energy Jumpstart_Leave Behind Kit_Door Sweep_0_SF_2025</v>
      </c>
      <c r="D72" s="19" t="s">
        <v>1794</v>
      </c>
      <c r="E72" s="19" t="s">
        <v>2</v>
      </c>
      <c r="F72" s="19" t="s">
        <v>1414</v>
      </c>
      <c r="G72" s="19" t="s">
        <v>1416</v>
      </c>
      <c r="H72" s="19" t="s">
        <v>6</v>
      </c>
      <c r="I72" s="19">
        <v>0</v>
      </c>
      <c r="J72" s="19" t="s">
        <v>573</v>
      </c>
      <c r="K72" s="19" t="s">
        <v>409</v>
      </c>
      <c r="L72" s="19">
        <v>2025</v>
      </c>
      <c r="M72" s="20">
        <v>1</v>
      </c>
      <c r="N72" s="19" t="s">
        <v>1798</v>
      </c>
      <c r="O72" s="20">
        <v>2600</v>
      </c>
      <c r="P72" s="20">
        <v>2600</v>
      </c>
      <c r="Q72" s="20">
        <v>13217.318400000002</v>
      </c>
      <c r="R72" s="21">
        <v>0.8</v>
      </c>
      <c r="S72" s="20">
        <v>13217.318400000002</v>
      </c>
    </row>
    <row r="73" spans="2:19" ht="15" customHeight="1" x14ac:dyDescent="0.25">
      <c r="B73" s="2" t="str">
        <f t="shared" si="2"/>
        <v>NSG_Residential_Home Energy Jumpstart_Core_Unit Visit_0_SF</v>
      </c>
      <c r="C73" s="2" t="str">
        <f t="shared" si="3"/>
        <v>NSG_Residential_Home Energy Jumpstart_Core_Unit Visit_0_SF_2022</v>
      </c>
      <c r="D73" s="19" t="s">
        <v>1787</v>
      </c>
      <c r="E73" s="19" t="s">
        <v>2</v>
      </c>
      <c r="F73" s="19" t="s">
        <v>1414</v>
      </c>
      <c r="G73" s="19" t="s">
        <v>1415</v>
      </c>
      <c r="H73" s="19" t="s">
        <v>1090</v>
      </c>
      <c r="I73" s="19">
        <v>0</v>
      </c>
      <c r="J73" s="19" t="s">
        <v>1469</v>
      </c>
      <c r="K73" s="19" t="s">
        <v>409</v>
      </c>
      <c r="L73" s="19">
        <v>2022</v>
      </c>
      <c r="M73" s="20">
        <v>1</v>
      </c>
      <c r="N73" s="19" t="s">
        <v>505</v>
      </c>
      <c r="O73" s="20">
        <v>1000</v>
      </c>
      <c r="P73" s="20">
        <v>1000</v>
      </c>
      <c r="Q73" s="20">
        <v>0</v>
      </c>
      <c r="R73" s="21">
        <v>1</v>
      </c>
      <c r="S73" s="20">
        <v>0</v>
      </c>
    </row>
    <row r="74" spans="2:19" ht="15" customHeight="1" x14ac:dyDescent="0.25">
      <c r="B74" s="2" t="str">
        <f t="shared" si="2"/>
        <v>NSG_Residential_Home Energy Jumpstart_Core_Unit Visit_0_SF</v>
      </c>
      <c r="C74" s="2" t="str">
        <f t="shared" si="3"/>
        <v>NSG_Residential_Home Energy Jumpstart_Core_Unit Visit_0_SF_2023</v>
      </c>
      <c r="D74" s="19" t="s">
        <v>1787</v>
      </c>
      <c r="E74" s="19" t="s">
        <v>2</v>
      </c>
      <c r="F74" s="19" t="s">
        <v>1414</v>
      </c>
      <c r="G74" s="19" t="s">
        <v>1415</v>
      </c>
      <c r="H74" s="19" t="s">
        <v>1090</v>
      </c>
      <c r="I74" s="19">
        <v>0</v>
      </c>
      <c r="J74" s="19" t="s">
        <v>1469</v>
      </c>
      <c r="K74" s="19" t="s">
        <v>409</v>
      </c>
      <c r="L74" s="19">
        <v>2023</v>
      </c>
      <c r="M74" s="20">
        <v>1</v>
      </c>
      <c r="N74" s="19" t="s">
        <v>505</v>
      </c>
      <c r="O74" s="20">
        <v>900</v>
      </c>
      <c r="P74" s="20">
        <v>900</v>
      </c>
      <c r="Q74" s="20">
        <v>0</v>
      </c>
      <c r="R74" s="21">
        <v>1</v>
      </c>
      <c r="S74" s="20">
        <v>0</v>
      </c>
    </row>
    <row r="75" spans="2:19" ht="15" customHeight="1" x14ac:dyDescent="0.25">
      <c r="B75" s="2" t="str">
        <f t="shared" si="2"/>
        <v>NSG_Residential_Home Energy Jumpstart_Core_Unit Visit_0_SF</v>
      </c>
      <c r="C75" s="2" t="str">
        <f t="shared" si="3"/>
        <v>NSG_Residential_Home Energy Jumpstart_Core_Unit Visit_0_SF_2024</v>
      </c>
      <c r="D75" s="19" t="s">
        <v>1787</v>
      </c>
      <c r="E75" s="19" t="s">
        <v>2</v>
      </c>
      <c r="F75" s="19" t="s">
        <v>1414</v>
      </c>
      <c r="G75" s="19" t="s">
        <v>1415</v>
      </c>
      <c r="H75" s="19" t="s">
        <v>1090</v>
      </c>
      <c r="I75" s="19">
        <v>0</v>
      </c>
      <c r="J75" s="19" t="s">
        <v>1469</v>
      </c>
      <c r="K75" s="19" t="s">
        <v>409</v>
      </c>
      <c r="L75" s="19">
        <v>2024</v>
      </c>
      <c r="M75" s="20">
        <v>1</v>
      </c>
      <c r="N75" s="19" t="s">
        <v>505</v>
      </c>
      <c r="O75" s="20">
        <v>800</v>
      </c>
      <c r="P75" s="20">
        <v>800</v>
      </c>
      <c r="Q75" s="20">
        <v>0</v>
      </c>
      <c r="R75" s="21">
        <v>1</v>
      </c>
      <c r="S75" s="20">
        <v>0</v>
      </c>
    </row>
    <row r="76" spans="2:19" ht="15" customHeight="1" x14ac:dyDescent="0.25">
      <c r="B76" s="2" t="str">
        <f t="shared" si="2"/>
        <v>NSG_Residential_Home Energy Jumpstart_Core_Unit Visit_0_SF</v>
      </c>
      <c r="C76" s="2" t="str">
        <f t="shared" si="3"/>
        <v>NSG_Residential_Home Energy Jumpstart_Core_Unit Visit_0_SF_2025</v>
      </c>
      <c r="D76" s="19" t="s">
        <v>1787</v>
      </c>
      <c r="E76" s="19" t="s">
        <v>2</v>
      </c>
      <c r="F76" s="19" t="s">
        <v>1414</v>
      </c>
      <c r="G76" s="19" t="s">
        <v>1415</v>
      </c>
      <c r="H76" s="19" t="s">
        <v>1090</v>
      </c>
      <c r="I76" s="19">
        <v>0</v>
      </c>
      <c r="J76" s="19" t="s">
        <v>1469</v>
      </c>
      <c r="K76" s="19" t="s">
        <v>409</v>
      </c>
      <c r="L76" s="19">
        <v>2025</v>
      </c>
      <c r="M76" s="20">
        <v>1</v>
      </c>
      <c r="N76" s="19" t="s">
        <v>505</v>
      </c>
      <c r="O76" s="20">
        <v>700</v>
      </c>
      <c r="P76" s="20">
        <v>700</v>
      </c>
      <c r="Q76" s="20">
        <v>0</v>
      </c>
      <c r="R76" s="21">
        <v>1</v>
      </c>
      <c r="S76" s="20">
        <v>0</v>
      </c>
    </row>
    <row r="77" spans="2:19" ht="15" customHeight="1" x14ac:dyDescent="0.25">
      <c r="B77" s="2" t="str">
        <f t="shared" si="2"/>
        <v>NSG_Residential_Home Energy Jumpstart_Core_Low Flow Bathroom Aerator_0_SF</v>
      </c>
      <c r="C77" s="2" t="str">
        <f t="shared" si="3"/>
        <v>NSG_Residential_Home Energy Jumpstart_Core_Low Flow Bathroom Aerator_0_SF_2022</v>
      </c>
      <c r="D77" s="19" t="s">
        <v>1787</v>
      </c>
      <c r="E77" s="19" t="s">
        <v>2</v>
      </c>
      <c r="F77" s="19" t="s">
        <v>1414</v>
      </c>
      <c r="G77" s="19" t="s">
        <v>1415</v>
      </c>
      <c r="H77" s="19" t="s">
        <v>555</v>
      </c>
      <c r="I77" s="19">
        <v>0</v>
      </c>
      <c r="J77" s="19" t="s">
        <v>534</v>
      </c>
      <c r="K77" s="19" t="s">
        <v>409</v>
      </c>
      <c r="L77" s="19">
        <v>2022</v>
      </c>
      <c r="M77" s="20">
        <v>1</v>
      </c>
      <c r="N77" s="19" t="s">
        <v>1795</v>
      </c>
      <c r="O77" s="20">
        <v>797</v>
      </c>
      <c r="P77" s="20">
        <v>797</v>
      </c>
      <c r="Q77" s="20">
        <v>739.2557914936375</v>
      </c>
      <c r="R77" s="21">
        <v>1.02</v>
      </c>
      <c r="S77" s="20">
        <v>739.2557914936375</v>
      </c>
    </row>
    <row r="78" spans="2:19" ht="15" customHeight="1" x14ac:dyDescent="0.25">
      <c r="B78" s="2" t="str">
        <f t="shared" si="2"/>
        <v>NSG_Residential_Home Energy Jumpstart_Core_Low Flow Bathroom Aerator_0_SF</v>
      </c>
      <c r="C78" s="2" t="str">
        <f t="shared" si="3"/>
        <v>NSG_Residential_Home Energy Jumpstart_Core_Low Flow Bathroom Aerator_0_SF_2023</v>
      </c>
      <c r="D78" s="19" t="s">
        <v>1787</v>
      </c>
      <c r="E78" s="19" t="s">
        <v>2</v>
      </c>
      <c r="F78" s="19" t="s">
        <v>1414</v>
      </c>
      <c r="G78" s="19" t="s">
        <v>1415</v>
      </c>
      <c r="H78" s="19" t="s">
        <v>555</v>
      </c>
      <c r="I78" s="19">
        <v>0</v>
      </c>
      <c r="J78" s="19" t="s">
        <v>534</v>
      </c>
      <c r="K78" s="19" t="s">
        <v>409</v>
      </c>
      <c r="L78" s="19">
        <v>2023</v>
      </c>
      <c r="M78" s="20">
        <v>1</v>
      </c>
      <c r="N78" s="19" t="s">
        <v>1795</v>
      </c>
      <c r="O78" s="20">
        <v>717</v>
      </c>
      <c r="P78" s="20">
        <v>717</v>
      </c>
      <c r="Q78" s="20">
        <v>665.05194793091357</v>
      </c>
      <c r="R78" s="21">
        <v>1.02</v>
      </c>
      <c r="S78" s="20">
        <v>665.05194793091357</v>
      </c>
    </row>
    <row r="79" spans="2:19" ht="15" customHeight="1" x14ac:dyDescent="0.25">
      <c r="B79" s="2" t="str">
        <f t="shared" si="2"/>
        <v>NSG_Residential_Home Energy Jumpstart_Core_Low Flow Bathroom Aerator_0_SF</v>
      </c>
      <c r="C79" s="2" t="str">
        <f t="shared" si="3"/>
        <v>NSG_Residential_Home Energy Jumpstart_Core_Low Flow Bathroom Aerator_0_SF_2024</v>
      </c>
      <c r="D79" s="19" t="s">
        <v>1787</v>
      </c>
      <c r="E79" s="19" t="s">
        <v>2</v>
      </c>
      <c r="F79" s="19" t="s">
        <v>1414</v>
      </c>
      <c r="G79" s="19" t="s">
        <v>1415</v>
      </c>
      <c r="H79" s="19" t="s">
        <v>555</v>
      </c>
      <c r="I79" s="19">
        <v>0</v>
      </c>
      <c r="J79" s="19" t="s">
        <v>534</v>
      </c>
      <c r="K79" s="19" t="s">
        <v>409</v>
      </c>
      <c r="L79" s="19">
        <v>2024</v>
      </c>
      <c r="M79" s="20">
        <v>1</v>
      </c>
      <c r="N79" s="19" t="s">
        <v>1795</v>
      </c>
      <c r="O79" s="20">
        <v>637</v>
      </c>
      <c r="P79" s="20">
        <v>637</v>
      </c>
      <c r="Q79" s="20">
        <v>590.84810436818964</v>
      </c>
      <c r="R79" s="21">
        <v>1.02</v>
      </c>
      <c r="S79" s="20">
        <v>590.84810436818964</v>
      </c>
    </row>
    <row r="80" spans="2:19" ht="15" customHeight="1" x14ac:dyDescent="0.25">
      <c r="B80" s="2" t="str">
        <f t="shared" si="2"/>
        <v>NSG_Residential_Home Energy Jumpstart_Core_Low Flow Bathroom Aerator_0_SF</v>
      </c>
      <c r="C80" s="2" t="str">
        <f t="shared" si="3"/>
        <v>NSG_Residential_Home Energy Jumpstart_Core_Low Flow Bathroom Aerator_0_SF_2025</v>
      </c>
      <c r="D80" s="19" t="s">
        <v>1787</v>
      </c>
      <c r="E80" s="19" t="s">
        <v>2</v>
      </c>
      <c r="F80" s="19" t="s">
        <v>1414</v>
      </c>
      <c r="G80" s="19" t="s">
        <v>1415</v>
      </c>
      <c r="H80" s="19" t="s">
        <v>555</v>
      </c>
      <c r="I80" s="19">
        <v>0</v>
      </c>
      <c r="J80" s="19" t="s">
        <v>534</v>
      </c>
      <c r="K80" s="19" t="s">
        <v>409</v>
      </c>
      <c r="L80" s="19">
        <v>2025</v>
      </c>
      <c r="M80" s="20">
        <v>1</v>
      </c>
      <c r="N80" s="19" t="s">
        <v>1795</v>
      </c>
      <c r="O80" s="20">
        <v>558</v>
      </c>
      <c r="P80" s="20">
        <v>558</v>
      </c>
      <c r="Q80" s="20">
        <v>517.57180884999968</v>
      </c>
      <c r="R80" s="21">
        <v>1.02</v>
      </c>
      <c r="S80" s="20">
        <v>517.57180884999968</v>
      </c>
    </row>
    <row r="81" spans="2:19" ht="15" customHeight="1" x14ac:dyDescent="0.25">
      <c r="B81" s="2" t="str">
        <f t="shared" si="2"/>
        <v>NSG_Residential_Home Energy Jumpstart_Core_Low Flow Kitchen Aerator_0_SF</v>
      </c>
      <c r="C81" s="2" t="str">
        <f t="shared" si="3"/>
        <v>NSG_Residential_Home Energy Jumpstart_Core_Low Flow Kitchen Aerator_0_SF_2022</v>
      </c>
      <c r="D81" s="19" t="s">
        <v>1787</v>
      </c>
      <c r="E81" s="19" t="s">
        <v>2</v>
      </c>
      <c r="F81" s="19" t="s">
        <v>1414</v>
      </c>
      <c r="G81" s="19" t="s">
        <v>1415</v>
      </c>
      <c r="H81" s="19" t="s">
        <v>533</v>
      </c>
      <c r="I81" s="19">
        <v>0</v>
      </c>
      <c r="J81" s="19" t="s">
        <v>534</v>
      </c>
      <c r="K81" s="19" t="s">
        <v>409</v>
      </c>
      <c r="L81" s="19">
        <v>2022</v>
      </c>
      <c r="M81" s="20">
        <v>1</v>
      </c>
      <c r="N81" s="19" t="s">
        <v>1795</v>
      </c>
      <c r="O81" s="20">
        <v>99</v>
      </c>
      <c r="P81" s="20">
        <v>99</v>
      </c>
      <c r="Q81" s="20">
        <v>867.7847814088492</v>
      </c>
      <c r="R81" s="21">
        <v>1.02</v>
      </c>
      <c r="S81" s="20">
        <v>867.7847814088492</v>
      </c>
    </row>
    <row r="82" spans="2:19" ht="15" customHeight="1" x14ac:dyDescent="0.25">
      <c r="B82" s="2" t="str">
        <f t="shared" si="2"/>
        <v>NSG_Residential_Home Energy Jumpstart_Core_Low Flow Kitchen Aerator_0_SF</v>
      </c>
      <c r="C82" s="2" t="str">
        <f t="shared" si="3"/>
        <v>NSG_Residential_Home Energy Jumpstart_Core_Low Flow Kitchen Aerator_0_SF_2023</v>
      </c>
      <c r="D82" s="19" t="s">
        <v>1787</v>
      </c>
      <c r="E82" s="19" t="s">
        <v>2</v>
      </c>
      <c r="F82" s="19" t="s">
        <v>1414</v>
      </c>
      <c r="G82" s="19" t="s">
        <v>1415</v>
      </c>
      <c r="H82" s="19" t="s">
        <v>533</v>
      </c>
      <c r="I82" s="19">
        <v>0</v>
      </c>
      <c r="J82" s="19" t="s">
        <v>534</v>
      </c>
      <c r="K82" s="19" t="s">
        <v>409</v>
      </c>
      <c r="L82" s="19">
        <v>2023</v>
      </c>
      <c r="M82" s="20">
        <v>1</v>
      </c>
      <c r="N82" s="19" t="s">
        <v>1795</v>
      </c>
      <c r="O82" s="20">
        <v>89</v>
      </c>
      <c r="P82" s="20">
        <v>89</v>
      </c>
      <c r="Q82" s="20">
        <v>780.12975298371293</v>
      </c>
      <c r="R82" s="21">
        <v>1.02</v>
      </c>
      <c r="S82" s="20">
        <v>780.12975298371293</v>
      </c>
    </row>
    <row r="83" spans="2:19" ht="15" customHeight="1" x14ac:dyDescent="0.25">
      <c r="B83" s="2" t="str">
        <f t="shared" si="2"/>
        <v>NSG_Residential_Home Energy Jumpstart_Core_Low Flow Kitchen Aerator_0_SF</v>
      </c>
      <c r="C83" s="2" t="str">
        <f t="shared" si="3"/>
        <v>NSG_Residential_Home Energy Jumpstart_Core_Low Flow Kitchen Aerator_0_SF_2024</v>
      </c>
      <c r="D83" s="19" t="s">
        <v>1787</v>
      </c>
      <c r="E83" s="19" t="s">
        <v>2</v>
      </c>
      <c r="F83" s="19" t="s">
        <v>1414</v>
      </c>
      <c r="G83" s="19" t="s">
        <v>1415</v>
      </c>
      <c r="H83" s="19" t="s">
        <v>533</v>
      </c>
      <c r="I83" s="19">
        <v>0</v>
      </c>
      <c r="J83" s="19" t="s">
        <v>534</v>
      </c>
      <c r="K83" s="19" t="s">
        <v>409</v>
      </c>
      <c r="L83" s="19">
        <v>2024</v>
      </c>
      <c r="M83" s="20">
        <v>1</v>
      </c>
      <c r="N83" s="19" t="s">
        <v>1795</v>
      </c>
      <c r="O83" s="20">
        <v>79</v>
      </c>
      <c r="P83" s="20">
        <v>79</v>
      </c>
      <c r="Q83" s="20">
        <v>692.47472455857667</v>
      </c>
      <c r="R83" s="21">
        <v>1.02</v>
      </c>
      <c r="S83" s="20">
        <v>692.47472455857667</v>
      </c>
    </row>
    <row r="84" spans="2:19" ht="15" customHeight="1" x14ac:dyDescent="0.25">
      <c r="B84" s="2" t="str">
        <f t="shared" si="2"/>
        <v>NSG_Residential_Home Energy Jumpstart_Core_Low Flow Kitchen Aerator_0_SF</v>
      </c>
      <c r="C84" s="2" t="str">
        <f t="shared" si="3"/>
        <v>NSG_Residential_Home Energy Jumpstart_Core_Low Flow Kitchen Aerator_0_SF_2025</v>
      </c>
      <c r="D84" s="19" t="s">
        <v>1787</v>
      </c>
      <c r="E84" s="19" t="s">
        <v>2</v>
      </c>
      <c r="F84" s="19" t="s">
        <v>1414</v>
      </c>
      <c r="G84" s="19" t="s">
        <v>1415</v>
      </c>
      <c r="H84" s="19" t="s">
        <v>533</v>
      </c>
      <c r="I84" s="19">
        <v>0</v>
      </c>
      <c r="J84" s="19" t="s">
        <v>534</v>
      </c>
      <c r="K84" s="19" t="s">
        <v>409</v>
      </c>
      <c r="L84" s="19">
        <v>2025</v>
      </c>
      <c r="M84" s="20">
        <v>1</v>
      </c>
      <c r="N84" s="19" t="s">
        <v>1795</v>
      </c>
      <c r="O84" s="20">
        <v>69</v>
      </c>
      <c r="P84" s="20">
        <v>69</v>
      </c>
      <c r="Q84" s="20">
        <v>604.81969613344029</v>
      </c>
      <c r="R84" s="21">
        <v>1.02</v>
      </c>
      <c r="S84" s="20">
        <v>604.81969613344029</v>
      </c>
    </row>
    <row r="85" spans="2:19" ht="15" customHeight="1" x14ac:dyDescent="0.25">
      <c r="B85" s="2" t="str">
        <f t="shared" si="2"/>
        <v>NSG_Residential_Home Energy Jumpstart_Core_Low Flow Showerhead_0_SF</v>
      </c>
      <c r="C85" s="2" t="str">
        <f t="shared" si="3"/>
        <v>NSG_Residential_Home Energy Jumpstart_Core_Low Flow Showerhead_0_SF_2022</v>
      </c>
      <c r="D85" s="19" t="s">
        <v>1787</v>
      </c>
      <c r="E85" s="19" t="s">
        <v>2</v>
      </c>
      <c r="F85" s="19" t="s">
        <v>1414</v>
      </c>
      <c r="G85" s="19" t="s">
        <v>1415</v>
      </c>
      <c r="H85" s="19" t="s">
        <v>15</v>
      </c>
      <c r="I85" s="19">
        <v>0</v>
      </c>
      <c r="J85" s="19" t="s">
        <v>23</v>
      </c>
      <c r="K85" s="19" t="s">
        <v>409</v>
      </c>
      <c r="L85" s="19">
        <v>2022</v>
      </c>
      <c r="M85" s="20">
        <v>1</v>
      </c>
      <c r="N85" s="19" t="s">
        <v>1795</v>
      </c>
      <c r="O85" s="20">
        <v>1155</v>
      </c>
      <c r="P85" s="20">
        <v>1155</v>
      </c>
      <c r="Q85" s="20">
        <v>10354.565112720109</v>
      </c>
      <c r="R85" s="21">
        <v>1.02</v>
      </c>
      <c r="S85" s="20">
        <v>10354.565112720109</v>
      </c>
    </row>
    <row r="86" spans="2:19" ht="15" customHeight="1" x14ac:dyDescent="0.25">
      <c r="B86" s="2" t="str">
        <f t="shared" si="2"/>
        <v>NSG_Residential_Home Energy Jumpstart_Core_Low Flow Showerhead_0_SF</v>
      </c>
      <c r="C86" s="2" t="str">
        <f t="shared" si="3"/>
        <v>NSG_Residential_Home Energy Jumpstart_Core_Low Flow Showerhead_0_SF_2023</v>
      </c>
      <c r="D86" s="19" t="s">
        <v>1787</v>
      </c>
      <c r="E86" s="19" t="s">
        <v>2</v>
      </c>
      <c r="F86" s="19" t="s">
        <v>1414</v>
      </c>
      <c r="G86" s="19" t="s">
        <v>1415</v>
      </c>
      <c r="H86" s="19" t="s">
        <v>15</v>
      </c>
      <c r="I86" s="19">
        <v>0</v>
      </c>
      <c r="J86" s="19" t="s">
        <v>23</v>
      </c>
      <c r="K86" s="19" t="s">
        <v>409</v>
      </c>
      <c r="L86" s="19">
        <v>2023</v>
      </c>
      <c r="M86" s="20">
        <v>1</v>
      </c>
      <c r="N86" s="19" t="s">
        <v>1795</v>
      </c>
      <c r="O86" s="20">
        <v>1039</v>
      </c>
      <c r="P86" s="20">
        <v>1039</v>
      </c>
      <c r="Q86" s="20">
        <v>9314.6261057283064</v>
      </c>
      <c r="R86" s="21">
        <v>1.02</v>
      </c>
      <c r="S86" s="20">
        <v>9314.6261057283064</v>
      </c>
    </row>
    <row r="87" spans="2:19" ht="15" customHeight="1" x14ac:dyDescent="0.25">
      <c r="B87" s="2" t="str">
        <f t="shared" si="2"/>
        <v>NSG_Residential_Home Energy Jumpstart_Core_Low Flow Showerhead_0_SF</v>
      </c>
      <c r="C87" s="2" t="str">
        <f t="shared" si="3"/>
        <v>NSG_Residential_Home Energy Jumpstart_Core_Low Flow Showerhead_0_SF_2024</v>
      </c>
      <c r="D87" s="19" t="s">
        <v>1787</v>
      </c>
      <c r="E87" s="19" t="s">
        <v>2</v>
      </c>
      <c r="F87" s="19" t="s">
        <v>1414</v>
      </c>
      <c r="G87" s="19" t="s">
        <v>1415</v>
      </c>
      <c r="H87" s="19" t="s">
        <v>15</v>
      </c>
      <c r="I87" s="19">
        <v>0</v>
      </c>
      <c r="J87" s="19" t="s">
        <v>23</v>
      </c>
      <c r="K87" s="19" t="s">
        <v>409</v>
      </c>
      <c r="L87" s="19">
        <v>2024</v>
      </c>
      <c r="M87" s="20">
        <v>1</v>
      </c>
      <c r="N87" s="19" t="s">
        <v>1795</v>
      </c>
      <c r="O87" s="20">
        <v>924</v>
      </c>
      <c r="P87" s="20">
        <v>924</v>
      </c>
      <c r="Q87" s="20">
        <v>8283.6520901760869</v>
      </c>
      <c r="R87" s="21">
        <v>1.02</v>
      </c>
      <c r="S87" s="20">
        <v>8283.6520901760869</v>
      </c>
    </row>
    <row r="88" spans="2:19" ht="15" customHeight="1" x14ac:dyDescent="0.25">
      <c r="B88" s="2" t="str">
        <f t="shared" si="2"/>
        <v>NSG_Residential_Home Energy Jumpstart_Core_Low Flow Showerhead_0_SF</v>
      </c>
      <c r="C88" s="2" t="str">
        <f t="shared" si="3"/>
        <v>NSG_Residential_Home Energy Jumpstart_Core_Low Flow Showerhead_0_SF_2025</v>
      </c>
      <c r="D88" s="19" t="s">
        <v>1787</v>
      </c>
      <c r="E88" s="19" t="s">
        <v>2</v>
      </c>
      <c r="F88" s="19" t="s">
        <v>1414</v>
      </c>
      <c r="G88" s="19" t="s">
        <v>1415</v>
      </c>
      <c r="H88" s="19" t="s">
        <v>15</v>
      </c>
      <c r="I88" s="19">
        <v>0</v>
      </c>
      <c r="J88" s="19" t="s">
        <v>23</v>
      </c>
      <c r="K88" s="19" t="s">
        <v>409</v>
      </c>
      <c r="L88" s="19">
        <v>2025</v>
      </c>
      <c r="M88" s="20">
        <v>1</v>
      </c>
      <c r="N88" s="19" t="s">
        <v>1795</v>
      </c>
      <c r="O88" s="20">
        <v>808</v>
      </c>
      <c r="P88" s="20">
        <v>808</v>
      </c>
      <c r="Q88" s="20">
        <v>7243.7130831842842</v>
      </c>
      <c r="R88" s="21">
        <v>1.02</v>
      </c>
      <c r="S88" s="20">
        <v>7243.7130831842842</v>
      </c>
    </row>
    <row r="89" spans="2:19" ht="15" customHeight="1" x14ac:dyDescent="0.25">
      <c r="B89" s="2" t="str">
        <f t="shared" si="2"/>
        <v>NSG_Residential_Home Energy Jumpstart_Core_Pipe Insulation_DHW_SF</v>
      </c>
      <c r="C89" s="2" t="str">
        <f t="shared" si="3"/>
        <v>NSG_Residential_Home Energy Jumpstart_Core_Pipe Insulation_DHW_SF_2022</v>
      </c>
      <c r="D89" s="19" t="s">
        <v>1787</v>
      </c>
      <c r="E89" s="19" t="s">
        <v>2</v>
      </c>
      <c r="F89" s="19" t="s">
        <v>1414</v>
      </c>
      <c r="G89" s="19" t="s">
        <v>1415</v>
      </c>
      <c r="H89" s="19" t="s">
        <v>404</v>
      </c>
      <c r="I89" s="19" t="s">
        <v>1019</v>
      </c>
      <c r="J89" s="19" t="s">
        <v>1008</v>
      </c>
      <c r="K89" s="19" t="s">
        <v>409</v>
      </c>
      <c r="L89" s="19">
        <v>2022</v>
      </c>
      <c r="M89" s="20">
        <v>3</v>
      </c>
      <c r="N89" s="19" t="s">
        <v>1796</v>
      </c>
      <c r="O89" s="20">
        <v>1736</v>
      </c>
      <c r="P89" s="20">
        <v>5208</v>
      </c>
      <c r="Q89" s="20">
        <v>4045.2968164717367</v>
      </c>
      <c r="R89" s="21">
        <v>0.88</v>
      </c>
      <c r="S89" s="20">
        <v>4045.2968164717367</v>
      </c>
    </row>
    <row r="90" spans="2:19" ht="15" customHeight="1" x14ac:dyDescent="0.25">
      <c r="B90" s="2" t="str">
        <f t="shared" si="2"/>
        <v>NSG_Residential_Home Energy Jumpstart_Core_Pipe Insulation_DHW_SF</v>
      </c>
      <c r="C90" s="2" t="str">
        <f t="shared" si="3"/>
        <v>NSG_Residential_Home Energy Jumpstart_Core_Pipe Insulation_DHW_SF_2023</v>
      </c>
      <c r="D90" s="19" t="s">
        <v>1787</v>
      </c>
      <c r="E90" s="19" t="s">
        <v>2</v>
      </c>
      <c r="F90" s="19" t="s">
        <v>1414</v>
      </c>
      <c r="G90" s="19" t="s">
        <v>1415</v>
      </c>
      <c r="H90" s="19" t="s">
        <v>404</v>
      </c>
      <c r="I90" s="19" t="s">
        <v>1019</v>
      </c>
      <c r="J90" s="19" t="s">
        <v>1008</v>
      </c>
      <c r="K90" s="19" t="s">
        <v>409</v>
      </c>
      <c r="L90" s="19">
        <v>2023</v>
      </c>
      <c r="M90" s="20">
        <v>3</v>
      </c>
      <c r="N90" s="19" t="s">
        <v>1796</v>
      </c>
      <c r="O90" s="20">
        <v>1562</v>
      </c>
      <c r="P90" s="20">
        <v>4686</v>
      </c>
      <c r="Q90" s="20">
        <v>3639.8350387839014</v>
      </c>
      <c r="R90" s="21">
        <v>0.88</v>
      </c>
      <c r="S90" s="20">
        <v>3639.8350387839014</v>
      </c>
    </row>
    <row r="91" spans="2:19" ht="15" customHeight="1" x14ac:dyDescent="0.25">
      <c r="B91" s="2" t="str">
        <f t="shared" si="2"/>
        <v>NSG_Residential_Home Energy Jumpstart_Core_Pipe Insulation_DHW_SF</v>
      </c>
      <c r="C91" s="2" t="str">
        <f t="shared" si="3"/>
        <v>NSG_Residential_Home Energy Jumpstart_Core_Pipe Insulation_DHW_SF_2024</v>
      </c>
      <c r="D91" s="19" t="s">
        <v>1787</v>
      </c>
      <c r="E91" s="19" t="s">
        <v>2</v>
      </c>
      <c r="F91" s="19" t="s">
        <v>1414</v>
      </c>
      <c r="G91" s="19" t="s">
        <v>1415</v>
      </c>
      <c r="H91" s="19" t="s">
        <v>404</v>
      </c>
      <c r="I91" s="19" t="s">
        <v>1019</v>
      </c>
      <c r="J91" s="19" t="s">
        <v>1008</v>
      </c>
      <c r="K91" s="19" t="s">
        <v>409</v>
      </c>
      <c r="L91" s="19">
        <v>2024</v>
      </c>
      <c r="M91" s="20">
        <v>3</v>
      </c>
      <c r="N91" s="19" t="s">
        <v>1796</v>
      </c>
      <c r="O91" s="20">
        <v>1389</v>
      </c>
      <c r="P91" s="20">
        <v>4167</v>
      </c>
      <c r="Q91" s="20">
        <v>3236.7035011977205</v>
      </c>
      <c r="R91" s="21">
        <v>0.88</v>
      </c>
      <c r="S91" s="20">
        <v>3236.7035011977205</v>
      </c>
    </row>
    <row r="92" spans="2:19" ht="15" customHeight="1" x14ac:dyDescent="0.25">
      <c r="B92" s="2" t="str">
        <f t="shared" si="2"/>
        <v>NSG_Residential_Home Energy Jumpstart_Core_Pipe Insulation_DHW_SF</v>
      </c>
      <c r="C92" s="2" t="str">
        <f t="shared" si="3"/>
        <v>NSG_Residential_Home Energy Jumpstart_Core_Pipe Insulation_DHW_SF_2025</v>
      </c>
      <c r="D92" s="19" t="s">
        <v>1787</v>
      </c>
      <c r="E92" s="19" t="s">
        <v>2</v>
      </c>
      <c r="F92" s="19" t="s">
        <v>1414</v>
      </c>
      <c r="G92" s="19" t="s">
        <v>1415</v>
      </c>
      <c r="H92" s="19" t="s">
        <v>404</v>
      </c>
      <c r="I92" s="19" t="s">
        <v>1019</v>
      </c>
      <c r="J92" s="19" t="s">
        <v>1008</v>
      </c>
      <c r="K92" s="19" t="s">
        <v>409</v>
      </c>
      <c r="L92" s="19">
        <v>2025</v>
      </c>
      <c r="M92" s="20">
        <v>3</v>
      </c>
      <c r="N92" s="19" t="s">
        <v>1796</v>
      </c>
      <c r="O92" s="20">
        <v>1215</v>
      </c>
      <c r="P92" s="20">
        <v>3645</v>
      </c>
      <c r="Q92" s="20">
        <v>2831.2417235098847</v>
      </c>
      <c r="R92" s="21">
        <v>0.88</v>
      </c>
      <c r="S92" s="20">
        <v>2831.2417235098847</v>
      </c>
    </row>
    <row r="93" spans="2:19" ht="15" customHeight="1" x14ac:dyDescent="0.25">
      <c r="B93" s="2" t="str">
        <f t="shared" si="2"/>
        <v>NSG_Residential_Home Energy Jumpstart_Core_Pipe Insulation_Boiler_SF</v>
      </c>
      <c r="C93" s="2" t="str">
        <f t="shared" si="3"/>
        <v>NSG_Residential_Home Energy Jumpstart_Core_Pipe Insulation_Boiler_SF_2022</v>
      </c>
      <c r="D93" s="19" t="s">
        <v>1787</v>
      </c>
      <c r="E93" s="19" t="s">
        <v>2</v>
      </c>
      <c r="F93" s="19" t="s">
        <v>1414</v>
      </c>
      <c r="G93" s="19" t="s">
        <v>1415</v>
      </c>
      <c r="H93" s="19" t="s">
        <v>404</v>
      </c>
      <c r="I93" s="19" t="s">
        <v>944</v>
      </c>
      <c r="J93" s="19" t="s">
        <v>1008</v>
      </c>
      <c r="K93" s="19" t="s">
        <v>409</v>
      </c>
      <c r="L93" s="19">
        <v>2022</v>
      </c>
      <c r="M93" s="20">
        <v>3</v>
      </c>
      <c r="N93" s="19" t="s">
        <v>1796</v>
      </c>
      <c r="O93" s="20">
        <v>31</v>
      </c>
      <c r="P93" s="20">
        <v>93</v>
      </c>
      <c r="Q93" s="20">
        <v>0.53224504774406622</v>
      </c>
      <c r="R93" s="21">
        <v>0.88</v>
      </c>
      <c r="S93" s="20">
        <v>0.53224504774406622</v>
      </c>
    </row>
    <row r="94" spans="2:19" ht="15" customHeight="1" x14ac:dyDescent="0.25">
      <c r="B94" s="2" t="str">
        <f t="shared" si="2"/>
        <v>NSG_Residential_Home Energy Jumpstart_Core_Pipe Insulation_Boiler_SF</v>
      </c>
      <c r="C94" s="2" t="str">
        <f t="shared" si="3"/>
        <v>NSG_Residential_Home Energy Jumpstart_Core_Pipe Insulation_Boiler_SF_2023</v>
      </c>
      <c r="D94" s="19" t="s">
        <v>1787</v>
      </c>
      <c r="E94" s="19" t="s">
        <v>2</v>
      </c>
      <c r="F94" s="19" t="s">
        <v>1414</v>
      </c>
      <c r="G94" s="19" t="s">
        <v>1415</v>
      </c>
      <c r="H94" s="19" t="s">
        <v>404</v>
      </c>
      <c r="I94" s="19" t="s">
        <v>944</v>
      </c>
      <c r="J94" s="19" t="s">
        <v>1008</v>
      </c>
      <c r="K94" s="19" t="s">
        <v>409</v>
      </c>
      <c r="L94" s="19">
        <v>2023</v>
      </c>
      <c r="M94" s="20">
        <v>3</v>
      </c>
      <c r="N94" s="19" t="s">
        <v>1796</v>
      </c>
      <c r="O94" s="20">
        <v>28</v>
      </c>
      <c r="P94" s="20">
        <v>84</v>
      </c>
      <c r="Q94" s="20">
        <v>0.4807374624785114</v>
      </c>
      <c r="R94" s="21">
        <v>0.88</v>
      </c>
      <c r="S94" s="20">
        <v>0.4807374624785114</v>
      </c>
    </row>
    <row r="95" spans="2:19" ht="15" customHeight="1" x14ac:dyDescent="0.25">
      <c r="B95" s="2" t="str">
        <f t="shared" si="2"/>
        <v>NSG_Residential_Home Energy Jumpstart_Core_Pipe Insulation_Boiler_SF</v>
      </c>
      <c r="C95" s="2" t="str">
        <f t="shared" si="3"/>
        <v>NSG_Residential_Home Energy Jumpstart_Core_Pipe Insulation_Boiler_SF_2024</v>
      </c>
      <c r="D95" s="19" t="s">
        <v>1787</v>
      </c>
      <c r="E95" s="19" t="s">
        <v>2</v>
      </c>
      <c r="F95" s="19" t="s">
        <v>1414</v>
      </c>
      <c r="G95" s="19" t="s">
        <v>1415</v>
      </c>
      <c r="H95" s="19" t="s">
        <v>404</v>
      </c>
      <c r="I95" s="19" t="s">
        <v>944</v>
      </c>
      <c r="J95" s="19" t="s">
        <v>1008</v>
      </c>
      <c r="K95" s="19" t="s">
        <v>409</v>
      </c>
      <c r="L95" s="19">
        <v>2024</v>
      </c>
      <c r="M95" s="20">
        <v>3</v>
      </c>
      <c r="N95" s="19" t="s">
        <v>1796</v>
      </c>
      <c r="O95" s="20">
        <v>25</v>
      </c>
      <c r="P95" s="20">
        <v>75</v>
      </c>
      <c r="Q95" s="20">
        <v>0.42922987721295658</v>
      </c>
      <c r="R95" s="21">
        <v>0.88</v>
      </c>
      <c r="S95" s="20">
        <v>0.42922987721295658</v>
      </c>
    </row>
    <row r="96" spans="2:19" ht="15" customHeight="1" x14ac:dyDescent="0.25">
      <c r="B96" s="2" t="str">
        <f t="shared" si="2"/>
        <v>NSG_Residential_Home Energy Jumpstart_Core_Pipe Insulation_Boiler_SF</v>
      </c>
      <c r="C96" s="2" t="str">
        <f t="shared" si="3"/>
        <v>NSG_Residential_Home Energy Jumpstart_Core_Pipe Insulation_Boiler_SF_2025</v>
      </c>
      <c r="D96" s="19" t="s">
        <v>1787</v>
      </c>
      <c r="E96" s="19" t="s">
        <v>2</v>
      </c>
      <c r="F96" s="19" t="s">
        <v>1414</v>
      </c>
      <c r="G96" s="19" t="s">
        <v>1415</v>
      </c>
      <c r="H96" s="19" t="s">
        <v>404</v>
      </c>
      <c r="I96" s="19" t="s">
        <v>944</v>
      </c>
      <c r="J96" s="19" t="s">
        <v>1008</v>
      </c>
      <c r="K96" s="19" t="s">
        <v>409</v>
      </c>
      <c r="L96" s="19">
        <v>2025</v>
      </c>
      <c r="M96" s="20">
        <v>3</v>
      </c>
      <c r="N96" s="19" t="s">
        <v>1796</v>
      </c>
      <c r="O96" s="20">
        <v>22</v>
      </c>
      <c r="P96" s="20">
        <v>66</v>
      </c>
      <c r="Q96" s="20">
        <v>0.37772229194740181</v>
      </c>
      <c r="R96" s="21">
        <v>0.88</v>
      </c>
      <c r="S96" s="20">
        <v>0.37772229194740181</v>
      </c>
    </row>
    <row r="97" spans="2:19" ht="15" customHeight="1" x14ac:dyDescent="0.25">
      <c r="B97" s="2" t="str">
        <f t="shared" si="2"/>
        <v>NSG_Residential_Home Energy Jumpstart_Core_Programmable Thermostat_Furnace (DI)_SF</v>
      </c>
      <c r="C97" s="2" t="str">
        <f t="shared" si="3"/>
        <v>NSG_Residential_Home Energy Jumpstart_Core_Programmable Thermostat_Furnace (DI)_SF_2022</v>
      </c>
      <c r="D97" s="19" t="s">
        <v>1787</v>
      </c>
      <c r="E97" s="19" t="s">
        <v>2</v>
      </c>
      <c r="F97" s="19" t="s">
        <v>1414</v>
      </c>
      <c r="G97" s="19" t="s">
        <v>1415</v>
      </c>
      <c r="H97" s="19" t="s">
        <v>224</v>
      </c>
      <c r="I97" s="19" t="s">
        <v>1038</v>
      </c>
      <c r="J97" s="19" t="s">
        <v>24</v>
      </c>
      <c r="K97" s="19" t="s">
        <v>409</v>
      </c>
      <c r="L97" s="19">
        <v>2022</v>
      </c>
      <c r="M97" s="20">
        <v>1</v>
      </c>
      <c r="N97" s="19" t="s">
        <v>1795</v>
      </c>
      <c r="O97" s="20">
        <v>92</v>
      </c>
      <c r="P97" s="20">
        <v>92</v>
      </c>
      <c r="Q97" s="20">
        <v>5044.6176000000005</v>
      </c>
      <c r="R97" s="21">
        <v>0.88</v>
      </c>
      <c r="S97" s="20">
        <v>5044.6176000000005</v>
      </c>
    </row>
    <row r="98" spans="2:19" ht="15" customHeight="1" x14ac:dyDescent="0.25">
      <c r="B98" s="2" t="str">
        <f t="shared" si="2"/>
        <v>NSG_Residential_Home Energy Jumpstart_Core_Programmable Thermostat_Furnace (DI)_SF</v>
      </c>
      <c r="C98" s="2" t="str">
        <f t="shared" si="3"/>
        <v>NSG_Residential_Home Energy Jumpstart_Core_Programmable Thermostat_Furnace (DI)_SF_2023</v>
      </c>
      <c r="D98" s="19" t="s">
        <v>1787</v>
      </c>
      <c r="E98" s="19" t="s">
        <v>2</v>
      </c>
      <c r="F98" s="19" t="s">
        <v>1414</v>
      </c>
      <c r="G98" s="19" t="s">
        <v>1415</v>
      </c>
      <c r="H98" s="19" t="s">
        <v>224</v>
      </c>
      <c r="I98" s="19" t="s">
        <v>1038</v>
      </c>
      <c r="J98" s="19" t="s">
        <v>24</v>
      </c>
      <c r="K98" s="19" t="s">
        <v>409</v>
      </c>
      <c r="L98" s="19">
        <v>2023</v>
      </c>
      <c r="M98" s="20">
        <v>1</v>
      </c>
      <c r="N98" s="19" t="s">
        <v>1795</v>
      </c>
      <c r="O98" s="20">
        <v>82</v>
      </c>
      <c r="P98" s="20">
        <v>82</v>
      </c>
      <c r="Q98" s="20">
        <v>4496.2896000000001</v>
      </c>
      <c r="R98" s="21">
        <v>0.88</v>
      </c>
      <c r="S98" s="20">
        <v>4496.2896000000001</v>
      </c>
    </row>
    <row r="99" spans="2:19" ht="15" customHeight="1" x14ac:dyDescent="0.25">
      <c r="B99" s="2" t="str">
        <f t="shared" si="2"/>
        <v>NSG_Residential_Home Energy Jumpstart_Core_Programmable Thermostat_Furnace (DI)_SF</v>
      </c>
      <c r="C99" s="2" t="str">
        <f t="shared" si="3"/>
        <v>NSG_Residential_Home Energy Jumpstart_Core_Programmable Thermostat_Furnace (DI)_SF_2024</v>
      </c>
      <c r="D99" s="19" t="s">
        <v>1787</v>
      </c>
      <c r="E99" s="19" t="s">
        <v>2</v>
      </c>
      <c r="F99" s="19" t="s">
        <v>1414</v>
      </c>
      <c r="G99" s="19" t="s">
        <v>1415</v>
      </c>
      <c r="H99" s="19" t="s">
        <v>224</v>
      </c>
      <c r="I99" s="19" t="s">
        <v>1038</v>
      </c>
      <c r="J99" s="19" t="s">
        <v>24</v>
      </c>
      <c r="K99" s="19" t="s">
        <v>409</v>
      </c>
      <c r="L99" s="19">
        <v>2024</v>
      </c>
      <c r="M99" s="20">
        <v>1</v>
      </c>
      <c r="N99" s="19" t="s">
        <v>1795</v>
      </c>
      <c r="O99" s="20">
        <v>73</v>
      </c>
      <c r="P99" s="20">
        <v>73</v>
      </c>
      <c r="Q99" s="20">
        <v>4002.7944000000002</v>
      </c>
      <c r="R99" s="21">
        <v>0.88</v>
      </c>
      <c r="S99" s="20">
        <v>4002.7944000000002</v>
      </c>
    </row>
    <row r="100" spans="2:19" ht="15" customHeight="1" x14ac:dyDescent="0.25">
      <c r="B100" s="2" t="str">
        <f t="shared" si="2"/>
        <v>NSG_Residential_Home Energy Jumpstart_Core_Programmable Thermostat_Furnace (DI)_SF</v>
      </c>
      <c r="C100" s="2" t="str">
        <f t="shared" si="3"/>
        <v>NSG_Residential_Home Energy Jumpstart_Core_Programmable Thermostat_Furnace (DI)_SF_2025</v>
      </c>
      <c r="D100" s="19" t="s">
        <v>1787</v>
      </c>
      <c r="E100" s="19" t="s">
        <v>2</v>
      </c>
      <c r="F100" s="19" t="s">
        <v>1414</v>
      </c>
      <c r="G100" s="19" t="s">
        <v>1415</v>
      </c>
      <c r="H100" s="19" t="s">
        <v>224</v>
      </c>
      <c r="I100" s="19" t="s">
        <v>1038</v>
      </c>
      <c r="J100" s="19" t="s">
        <v>24</v>
      </c>
      <c r="K100" s="19" t="s">
        <v>409</v>
      </c>
      <c r="L100" s="19">
        <v>2025</v>
      </c>
      <c r="M100" s="20">
        <v>1</v>
      </c>
      <c r="N100" s="19" t="s">
        <v>1795</v>
      </c>
      <c r="O100" s="20">
        <v>64</v>
      </c>
      <c r="P100" s="20">
        <v>64</v>
      </c>
      <c r="Q100" s="20">
        <v>3509.2991999999999</v>
      </c>
      <c r="R100" s="21">
        <v>0.88</v>
      </c>
      <c r="S100" s="20">
        <v>3509.2991999999999</v>
      </c>
    </row>
    <row r="101" spans="2:19" ht="15" customHeight="1" x14ac:dyDescent="0.25">
      <c r="B101" s="2" t="str">
        <f t="shared" si="2"/>
        <v>NSG_Residential_Home Energy Jumpstart_Core_Programmable Thermostat_Boiler (DI)_SF</v>
      </c>
      <c r="C101" s="2" t="str">
        <f t="shared" si="3"/>
        <v>NSG_Residential_Home Energy Jumpstart_Core_Programmable Thermostat_Boiler (DI)_SF_2022</v>
      </c>
      <c r="D101" s="19" t="s">
        <v>1787</v>
      </c>
      <c r="E101" s="19" t="s">
        <v>2</v>
      </c>
      <c r="F101" s="19" t="s">
        <v>1414</v>
      </c>
      <c r="G101" s="19" t="s">
        <v>1415</v>
      </c>
      <c r="H101" s="19" t="s">
        <v>224</v>
      </c>
      <c r="I101" s="19" t="s">
        <v>1045</v>
      </c>
      <c r="J101" s="19" t="s">
        <v>24</v>
      </c>
      <c r="K101" s="19" t="s">
        <v>409</v>
      </c>
      <c r="L101" s="19">
        <v>2022</v>
      </c>
      <c r="M101" s="20">
        <v>1</v>
      </c>
      <c r="N101" s="19" t="s">
        <v>1795</v>
      </c>
      <c r="O101" s="20">
        <v>0</v>
      </c>
      <c r="P101" s="20">
        <v>0</v>
      </c>
      <c r="Q101" s="20">
        <v>0</v>
      </c>
      <c r="R101" s="21">
        <v>0.88</v>
      </c>
      <c r="S101" s="20">
        <v>0</v>
      </c>
    </row>
    <row r="102" spans="2:19" ht="15" customHeight="1" x14ac:dyDescent="0.25">
      <c r="B102" s="2" t="str">
        <f t="shared" si="2"/>
        <v>NSG_Residential_Home Energy Jumpstart_Core_Programmable Thermostat_Boiler (DI)_SF</v>
      </c>
      <c r="C102" s="2" t="str">
        <f t="shared" si="3"/>
        <v>NSG_Residential_Home Energy Jumpstart_Core_Programmable Thermostat_Boiler (DI)_SF_2023</v>
      </c>
      <c r="D102" s="19" t="s">
        <v>1787</v>
      </c>
      <c r="E102" s="19" t="s">
        <v>2</v>
      </c>
      <c r="F102" s="19" t="s">
        <v>1414</v>
      </c>
      <c r="G102" s="19" t="s">
        <v>1415</v>
      </c>
      <c r="H102" s="19" t="s">
        <v>224</v>
      </c>
      <c r="I102" s="19" t="s">
        <v>1045</v>
      </c>
      <c r="J102" s="19" t="s">
        <v>24</v>
      </c>
      <c r="K102" s="19" t="s">
        <v>409</v>
      </c>
      <c r="L102" s="19">
        <v>2023</v>
      </c>
      <c r="M102" s="20">
        <v>1</v>
      </c>
      <c r="N102" s="19" t="s">
        <v>1795</v>
      </c>
      <c r="O102" s="20">
        <v>0</v>
      </c>
      <c r="P102" s="20">
        <v>0</v>
      </c>
      <c r="Q102" s="20">
        <v>0</v>
      </c>
      <c r="R102" s="21">
        <v>0.88</v>
      </c>
      <c r="S102" s="20">
        <v>0</v>
      </c>
    </row>
    <row r="103" spans="2:19" ht="15" customHeight="1" x14ac:dyDescent="0.25">
      <c r="B103" s="2" t="str">
        <f t="shared" si="2"/>
        <v>NSG_Residential_Home Energy Jumpstart_Core_Programmable Thermostat_Boiler (DI)_SF</v>
      </c>
      <c r="C103" s="2" t="str">
        <f t="shared" si="3"/>
        <v>NSG_Residential_Home Energy Jumpstart_Core_Programmable Thermostat_Boiler (DI)_SF_2024</v>
      </c>
      <c r="D103" s="19" t="s">
        <v>1787</v>
      </c>
      <c r="E103" s="19" t="s">
        <v>2</v>
      </c>
      <c r="F103" s="19" t="s">
        <v>1414</v>
      </c>
      <c r="G103" s="19" t="s">
        <v>1415</v>
      </c>
      <c r="H103" s="19" t="s">
        <v>224</v>
      </c>
      <c r="I103" s="19" t="s">
        <v>1045</v>
      </c>
      <c r="J103" s="19" t="s">
        <v>24</v>
      </c>
      <c r="K103" s="19" t="s">
        <v>409</v>
      </c>
      <c r="L103" s="19">
        <v>2024</v>
      </c>
      <c r="M103" s="20">
        <v>1</v>
      </c>
      <c r="N103" s="19" t="s">
        <v>1795</v>
      </c>
      <c r="O103" s="20">
        <v>0</v>
      </c>
      <c r="P103" s="20">
        <v>0</v>
      </c>
      <c r="Q103" s="20">
        <v>0</v>
      </c>
      <c r="R103" s="21">
        <v>0.88</v>
      </c>
      <c r="S103" s="20">
        <v>0</v>
      </c>
    </row>
    <row r="104" spans="2:19" ht="15" customHeight="1" x14ac:dyDescent="0.25">
      <c r="B104" s="2" t="str">
        <f t="shared" si="2"/>
        <v>NSG_Residential_Home Energy Jumpstart_Core_Programmable Thermostat_Boiler (DI)_SF</v>
      </c>
      <c r="C104" s="2" t="str">
        <f t="shared" si="3"/>
        <v>NSG_Residential_Home Energy Jumpstart_Core_Programmable Thermostat_Boiler (DI)_SF_2025</v>
      </c>
      <c r="D104" s="19" t="s">
        <v>1787</v>
      </c>
      <c r="E104" s="19" t="s">
        <v>2</v>
      </c>
      <c r="F104" s="19" t="s">
        <v>1414</v>
      </c>
      <c r="G104" s="19" t="s">
        <v>1415</v>
      </c>
      <c r="H104" s="19" t="s">
        <v>224</v>
      </c>
      <c r="I104" s="19" t="s">
        <v>1045</v>
      </c>
      <c r="J104" s="19" t="s">
        <v>24</v>
      </c>
      <c r="K104" s="19" t="s">
        <v>409</v>
      </c>
      <c r="L104" s="19">
        <v>2025</v>
      </c>
      <c r="M104" s="20">
        <v>1</v>
      </c>
      <c r="N104" s="19" t="s">
        <v>1795</v>
      </c>
      <c r="O104" s="20">
        <v>0</v>
      </c>
      <c r="P104" s="20">
        <v>0</v>
      </c>
      <c r="Q104" s="20">
        <v>0</v>
      </c>
      <c r="R104" s="21">
        <v>0.88</v>
      </c>
      <c r="S104" s="20">
        <v>0</v>
      </c>
    </row>
    <row r="105" spans="2:19" ht="15" customHeight="1" x14ac:dyDescent="0.25">
      <c r="B105" s="2" t="str">
        <f t="shared" si="2"/>
        <v>NSG_Residential_Home Energy Jumpstart_Core_Advanced Thermostat_Furnace (Replace Manual)_SF</v>
      </c>
      <c r="C105" s="2" t="str">
        <f t="shared" si="3"/>
        <v>NSG_Residential_Home Energy Jumpstart_Core_Advanced Thermostat_Furnace (Replace Manual)_SF_2022</v>
      </c>
      <c r="D105" s="19" t="s">
        <v>1787</v>
      </c>
      <c r="E105" s="19" t="s">
        <v>2</v>
      </c>
      <c r="F105" s="19" t="s">
        <v>1414</v>
      </c>
      <c r="G105" s="19" t="s">
        <v>1415</v>
      </c>
      <c r="H105" s="19" t="s">
        <v>7</v>
      </c>
      <c r="I105" s="19" t="s">
        <v>1047</v>
      </c>
      <c r="J105" s="19" t="s">
        <v>24</v>
      </c>
      <c r="K105" s="19" t="s">
        <v>409</v>
      </c>
      <c r="L105" s="19">
        <v>2022</v>
      </c>
      <c r="M105" s="20">
        <v>1</v>
      </c>
      <c r="N105" s="19" t="s">
        <v>1795</v>
      </c>
      <c r="O105" s="20">
        <v>61</v>
      </c>
      <c r="P105" s="20">
        <v>61</v>
      </c>
      <c r="Q105" s="20">
        <v>5738.1479999999992</v>
      </c>
      <c r="R105" s="21">
        <v>0.9</v>
      </c>
      <c r="S105" s="20">
        <v>5738.1479999999992</v>
      </c>
    </row>
    <row r="106" spans="2:19" ht="15" customHeight="1" x14ac:dyDescent="0.25">
      <c r="B106" s="2" t="str">
        <f t="shared" si="2"/>
        <v>NSG_Residential_Home Energy Jumpstart_Core_Advanced Thermostat_Furnace (Replace Manual)_SF</v>
      </c>
      <c r="C106" s="2" t="str">
        <f t="shared" si="3"/>
        <v>NSG_Residential_Home Energy Jumpstart_Core_Advanced Thermostat_Furnace (Replace Manual)_SF_2023</v>
      </c>
      <c r="D106" s="19" t="s">
        <v>1787</v>
      </c>
      <c r="E106" s="19" t="s">
        <v>2</v>
      </c>
      <c r="F106" s="19" t="s">
        <v>1414</v>
      </c>
      <c r="G106" s="19" t="s">
        <v>1415</v>
      </c>
      <c r="H106" s="19" t="s">
        <v>7</v>
      </c>
      <c r="I106" s="19" t="s">
        <v>1047</v>
      </c>
      <c r="J106" s="19" t="s">
        <v>24</v>
      </c>
      <c r="K106" s="19" t="s">
        <v>409</v>
      </c>
      <c r="L106" s="19">
        <v>2023</v>
      </c>
      <c r="M106" s="20">
        <v>1</v>
      </c>
      <c r="N106" s="19" t="s">
        <v>1795</v>
      </c>
      <c r="O106" s="20">
        <v>55</v>
      </c>
      <c r="P106" s="20">
        <v>55</v>
      </c>
      <c r="Q106" s="20">
        <v>5173.74</v>
      </c>
      <c r="R106" s="21">
        <v>0.9</v>
      </c>
      <c r="S106" s="20">
        <v>5173.74</v>
      </c>
    </row>
    <row r="107" spans="2:19" ht="15" customHeight="1" x14ac:dyDescent="0.25">
      <c r="B107" s="2" t="str">
        <f t="shared" si="2"/>
        <v>NSG_Residential_Home Energy Jumpstart_Core_Advanced Thermostat_Furnace (Replace Manual)_SF</v>
      </c>
      <c r="C107" s="2" t="str">
        <f t="shared" si="3"/>
        <v>NSG_Residential_Home Energy Jumpstart_Core_Advanced Thermostat_Furnace (Replace Manual)_SF_2024</v>
      </c>
      <c r="D107" s="19" t="s">
        <v>1787</v>
      </c>
      <c r="E107" s="19" t="s">
        <v>2</v>
      </c>
      <c r="F107" s="19" t="s">
        <v>1414</v>
      </c>
      <c r="G107" s="19" t="s">
        <v>1415</v>
      </c>
      <c r="H107" s="19" t="s">
        <v>7</v>
      </c>
      <c r="I107" s="19" t="s">
        <v>1047</v>
      </c>
      <c r="J107" s="19" t="s">
        <v>24</v>
      </c>
      <c r="K107" s="19" t="s">
        <v>409</v>
      </c>
      <c r="L107" s="19">
        <v>2024</v>
      </c>
      <c r="M107" s="20">
        <v>1</v>
      </c>
      <c r="N107" s="19" t="s">
        <v>1795</v>
      </c>
      <c r="O107" s="20">
        <v>49</v>
      </c>
      <c r="P107" s="20">
        <v>49</v>
      </c>
      <c r="Q107" s="20">
        <v>4609.3319999999994</v>
      </c>
      <c r="R107" s="21">
        <v>0.9</v>
      </c>
      <c r="S107" s="20">
        <v>4609.3319999999994</v>
      </c>
    </row>
    <row r="108" spans="2:19" ht="15" customHeight="1" x14ac:dyDescent="0.25">
      <c r="B108" s="2" t="str">
        <f t="shared" si="2"/>
        <v>NSG_Residential_Home Energy Jumpstart_Core_Advanced Thermostat_Furnace (Replace Manual)_SF</v>
      </c>
      <c r="C108" s="2" t="str">
        <f t="shared" si="3"/>
        <v>NSG_Residential_Home Energy Jumpstart_Core_Advanced Thermostat_Furnace (Replace Manual)_SF_2025</v>
      </c>
      <c r="D108" s="19" t="s">
        <v>1787</v>
      </c>
      <c r="E108" s="19" t="s">
        <v>2</v>
      </c>
      <c r="F108" s="19" t="s">
        <v>1414</v>
      </c>
      <c r="G108" s="19" t="s">
        <v>1415</v>
      </c>
      <c r="H108" s="19" t="s">
        <v>7</v>
      </c>
      <c r="I108" s="19" t="s">
        <v>1047</v>
      </c>
      <c r="J108" s="19" t="s">
        <v>24</v>
      </c>
      <c r="K108" s="19" t="s">
        <v>409</v>
      </c>
      <c r="L108" s="19">
        <v>2025</v>
      </c>
      <c r="M108" s="20">
        <v>1</v>
      </c>
      <c r="N108" s="19" t="s">
        <v>1795</v>
      </c>
      <c r="O108" s="20">
        <v>43</v>
      </c>
      <c r="P108" s="20">
        <v>43</v>
      </c>
      <c r="Q108" s="20">
        <v>4044.924</v>
      </c>
      <c r="R108" s="21">
        <v>0.9</v>
      </c>
      <c r="S108" s="20">
        <v>4044.924</v>
      </c>
    </row>
    <row r="109" spans="2:19" ht="15" customHeight="1" x14ac:dyDescent="0.25">
      <c r="B109" s="2" t="str">
        <f t="shared" si="2"/>
        <v>NSG_Residential_Home Energy Jumpstart_Core_Advanced Thermostat_Boiler (Replace Manual)_SF</v>
      </c>
      <c r="C109" s="2" t="str">
        <f t="shared" si="3"/>
        <v>NSG_Residential_Home Energy Jumpstart_Core_Advanced Thermostat_Boiler (Replace Manual)_SF_2022</v>
      </c>
      <c r="D109" s="19" t="s">
        <v>1787</v>
      </c>
      <c r="E109" s="19" t="s">
        <v>2</v>
      </c>
      <c r="F109" s="19" t="s">
        <v>1414</v>
      </c>
      <c r="G109" s="19" t="s">
        <v>1415</v>
      </c>
      <c r="H109" s="19" t="s">
        <v>7</v>
      </c>
      <c r="I109" s="19" t="s">
        <v>1051</v>
      </c>
      <c r="J109" s="19" t="s">
        <v>24</v>
      </c>
      <c r="K109" s="19" t="s">
        <v>409</v>
      </c>
      <c r="L109" s="19">
        <v>2022</v>
      </c>
      <c r="M109" s="20">
        <v>1</v>
      </c>
      <c r="N109" s="19" t="s">
        <v>1795</v>
      </c>
      <c r="O109" s="20">
        <v>0</v>
      </c>
      <c r="P109" s="20">
        <v>0</v>
      </c>
      <c r="Q109" s="20">
        <v>0</v>
      </c>
      <c r="R109" s="21">
        <v>0.9</v>
      </c>
      <c r="S109" s="20">
        <v>0</v>
      </c>
    </row>
    <row r="110" spans="2:19" ht="15" customHeight="1" x14ac:dyDescent="0.25">
      <c r="B110" s="2" t="str">
        <f t="shared" si="2"/>
        <v>NSG_Residential_Home Energy Jumpstart_Core_Advanced Thermostat_Boiler (Replace Manual)_SF</v>
      </c>
      <c r="C110" s="2" t="str">
        <f t="shared" si="3"/>
        <v>NSG_Residential_Home Energy Jumpstart_Core_Advanced Thermostat_Boiler (Replace Manual)_SF_2023</v>
      </c>
      <c r="D110" s="19" t="s">
        <v>1787</v>
      </c>
      <c r="E110" s="19" t="s">
        <v>2</v>
      </c>
      <c r="F110" s="19" t="s">
        <v>1414</v>
      </c>
      <c r="G110" s="19" t="s">
        <v>1415</v>
      </c>
      <c r="H110" s="19" t="s">
        <v>7</v>
      </c>
      <c r="I110" s="19" t="s">
        <v>1051</v>
      </c>
      <c r="J110" s="19" t="s">
        <v>24</v>
      </c>
      <c r="K110" s="19" t="s">
        <v>409</v>
      </c>
      <c r="L110" s="19">
        <v>2023</v>
      </c>
      <c r="M110" s="20">
        <v>1</v>
      </c>
      <c r="N110" s="19" t="s">
        <v>1795</v>
      </c>
      <c r="O110" s="20">
        <v>0</v>
      </c>
      <c r="P110" s="20">
        <v>0</v>
      </c>
      <c r="Q110" s="20">
        <v>0</v>
      </c>
      <c r="R110" s="21">
        <v>0.9</v>
      </c>
      <c r="S110" s="20">
        <v>0</v>
      </c>
    </row>
    <row r="111" spans="2:19" ht="15" customHeight="1" x14ac:dyDescent="0.25">
      <c r="B111" s="2" t="str">
        <f t="shared" si="2"/>
        <v>NSG_Residential_Home Energy Jumpstart_Core_Advanced Thermostat_Boiler (Replace Manual)_SF</v>
      </c>
      <c r="C111" s="2" t="str">
        <f t="shared" si="3"/>
        <v>NSG_Residential_Home Energy Jumpstart_Core_Advanced Thermostat_Boiler (Replace Manual)_SF_2024</v>
      </c>
      <c r="D111" s="19" t="s">
        <v>1787</v>
      </c>
      <c r="E111" s="19" t="s">
        <v>2</v>
      </c>
      <c r="F111" s="19" t="s">
        <v>1414</v>
      </c>
      <c r="G111" s="19" t="s">
        <v>1415</v>
      </c>
      <c r="H111" s="19" t="s">
        <v>7</v>
      </c>
      <c r="I111" s="19" t="s">
        <v>1051</v>
      </c>
      <c r="J111" s="19" t="s">
        <v>24</v>
      </c>
      <c r="K111" s="19" t="s">
        <v>409</v>
      </c>
      <c r="L111" s="19">
        <v>2024</v>
      </c>
      <c r="M111" s="20">
        <v>1</v>
      </c>
      <c r="N111" s="19" t="s">
        <v>1795</v>
      </c>
      <c r="O111" s="20">
        <v>0</v>
      </c>
      <c r="P111" s="20">
        <v>0</v>
      </c>
      <c r="Q111" s="20">
        <v>0</v>
      </c>
      <c r="R111" s="21">
        <v>0.9</v>
      </c>
      <c r="S111" s="20">
        <v>0</v>
      </c>
    </row>
    <row r="112" spans="2:19" ht="15" customHeight="1" x14ac:dyDescent="0.25">
      <c r="B112" s="2" t="str">
        <f t="shared" si="2"/>
        <v>NSG_Residential_Home Energy Jumpstart_Core_Advanced Thermostat_Boiler (Replace Manual)_SF</v>
      </c>
      <c r="C112" s="2" t="str">
        <f t="shared" si="3"/>
        <v>NSG_Residential_Home Energy Jumpstart_Core_Advanced Thermostat_Boiler (Replace Manual)_SF_2025</v>
      </c>
      <c r="D112" s="19" t="s">
        <v>1787</v>
      </c>
      <c r="E112" s="19" t="s">
        <v>2</v>
      </c>
      <c r="F112" s="19" t="s">
        <v>1414</v>
      </c>
      <c r="G112" s="19" t="s">
        <v>1415</v>
      </c>
      <c r="H112" s="19" t="s">
        <v>7</v>
      </c>
      <c r="I112" s="19" t="s">
        <v>1051</v>
      </c>
      <c r="J112" s="19" t="s">
        <v>24</v>
      </c>
      <c r="K112" s="19" t="s">
        <v>409</v>
      </c>
      <c r="L112" s="19">
        <v>2025</v>
      </c>
      <c r="M112" s="20">
        <v>1</v>
      </c>
      <c r="N112" s="19" t="s">
        <v>1795</v>
      </c>
      <c r="O112" s="20">
        <v>0</v>
      </c>
      <c r="P112" s="20">
        <v>0</v>
      </c>
      <c r="Q112" s="20">
        <v>0</v>
      </c>
      <c r="R112" s="21">
        <v>0.9</v>
      </c>
      <c r="S112" s="20">
        <v>0</v>
      </c>
    </row>
    <row r="113" spans="2:19" ht="15" customHeight="1" x14ac:dyDescent="0.25">
      <c r="B113" s="2" t="str">
        <f t="shared" si="2"/>
        <v>NSG_Residential_Home Energy Jumpstart_Core_Advanced Thermostat_Furnace (Replace Programmable)_SF</v>
      </c>
      <c r="C113" s="2" t="str">
        <f t="shared" si="3"/>
        <v>NSG_Residential_Home Energy Jumpstart_Core_Advanced Thermostat_Furnace (Replace Programmable)_SF_2022</v>
      </c>
      <c r="D113" s="19" t="s">
        <v>1787</v>
      </c>
      <c r="E113" s="19" t="s">
        <v>2</v>
      </c>
      <c r="F113" s="19" t="s">
        <v>1414</v>
      </c>
      <c r="G113" s="19" t="s">
        <v>1415</v>
      </c>
      <c r="H113" s="19" t="s">
        <v>7</v>
      </c>
      <c r="I113" s="19" t="s">
        <v>1049</v>
      </c>
      <c r="J113" s="19" t="s">
        <v>24</v>
      </c>
      <c r="K113" s="19" t="s">
        <v>409</v>
      </c>
      <c r="L113" s="19">
        <v>2022</v>
      </c>
      <c r="M113" s="20">
        <v>1</v>
      </c>
      <c r="N113" s="19" t="s">
        <v>1795</v>
      </c>
      <c r="O113" s="20">
        <v>111</v>
      </c>
      <c r="P113" s="20">
        <v>111</v>
      </c>
      <c r="Q113" s="20">
        <v>7329.1634999999997</v>
      </c>
      <c r="R113" s="21">
        <v>0.9</v>
      </c>
      <c r="S113" s="20">
        <v>7329.1634999999997</v>
      </c>
    </row>
    <row r="114" spans="2:19" ht="15" customHeight="1" x14ac:dyDescent="0.25">
      <c r="B114" s="2" t="str">
        <f t="shared" si="2"/>
        <v>NSG_Residential_Home Energy Jumpstart_Core_Advanced Thermostat_Furnace (Replace Programmable)_SF</v>
      </c>
      <c r="C114" s="2" t="str">
        <f t="shared" si="3"/>
        <v>NSG_Residential_Home Energy Jumpstart_Core_Advanced Thermostat_Furnace (Replace Programmable)_SF_2023</v>
      </c>
      <c r="D114" s="19" t="s">
        <v>1787</v>
      </c>
      <c r="E114" s="19" t="s">
        <v>2</v>
      </c>
      <c r="F114" s="19" t="s">
        <v>1414</v>
      </c>
      <c r="G114" s="19" t="s">
        <v>1415</v>
      </c>
      <c r="H114" s="19" t="s">
        <v>7</v>
      </c>
      <c r="I114" s="19" t="s">
        <v>1049</v>
      </c>
      <c r="J114" s="19" t="s">
        <v>24</v>
      </c>
      <c r="K114" s="19" t="s">
        <v>409</v>
      </c>
      <c r="L114" s="19">
        <v>2023</v>
      </c>
      <c r="M114" s="20">
        <v>1</v>
      </c>
      <c r="N114" s="19" t="s">
        <v>1795</v>
      </c>
      <c r="O114" s="20">
        <v>100</v>
      </c>
      <c r="P114" s="20">
        <v>100</v>
      </c>
      <c r="Q114" s="20">
        <v>6602.8499999999995</v>
      </c>
      <c r="R114" s="21">
        <v>0.9</v>
      </c>
      <c r="S114" s="20">
        <v>6602.8499999999995</v>
      </c>
    </row>
    <row r="115" spans="2:19" ht="15" customHeight="1" x14ac:dyDescent="0.25">
      <c r="B115" s="2" t="str">
        <f t="shared" si="2"/>
        <v>NSG_Residential_Home Energy Jumpstart_Core_Advanced Thermostat_Furnace (Replace Programmable)_SF</v>
      </c>
      <c r="C115" s="2" t="str">
        <f t="shared" si="3"/>
        <v>NSG_Residential_Home Energy Jumpstart_Core_Advanced Thermostat_Furnace (Replace Programmable)_SF_2024</v>
      </c>
      <c r="D115" s="19" t="s">
        <v>1787</v>
      </c>
      <c r="E115" s="19" t="s">
        <v>2</v>
      </c>
      <c r="F115" s="19" t="s">
        <v>1414</v>
      </c>
      <c r="G115" s="19" t="s">
        <v>1415</v>
      </c>
      <c r="H115" s="19" t="s">
        <v>7</v>
      </c>
      <c r="I115" s="19" t="s">
        <v>1049</v>
      </c>
      <c r="J115" s="19" t="s">
        <v>24</v>
      </c>
      <c r="K115" s="19" t="s">
        <v>409</v>
      </c>
      <c r="L115" s="19">
        <v>2024</v>
      </c>
      <c r="M115" s="20">
        <v>1</v>
      </c>
      <c r="N115" s="19" t="s">
        <v>1795</v>
      </c>
      <c r="O115" s="20">
        <v>89</v>
      </c>
      <c r="P115" s="20">
        <v>89</v>
      </c>
      <c r="Q115" s="20">
        <v>5876.5365000000002</v>
      </c>
      <c r="R115" s="21">
        <v>0.9</v>
      </c>
      <c r="S115" s="20">
        <v>5876.5365000000002</v>
      </c>
    </row>
    <row r="116" spans="2:19" ht="15" customHeight="1" x14ac:dyDescent="0.25">
      <c r="B116" s="2" t="str">
        <f t="shared" si="2"/>
        <v>NSG_Residential_Home Energy Jumpstart_Core_Advanced Thermostat_Furnace (Replace Programmable)_SF</v>
      </c>
      <c r="C116" s="2" t="str">
        <f t="shared" si="3"/>
        <v>NSG_Residential_Home Energy Jumpstart_Core_Advanced Thermostat_Furnace (Replace Programmable)_SF_2025</v>
      </c>
      <c r="D116" s="19" t="s">
        <v>1787</v>
      </c>
      <c r="E116" s="19" t="s">
        <v>2</v>
      </c>
      <c r="F116" s="19" t="s">
        <v>1414</v>
      </c>
      <c r="G116" s="19" t="s">
        <v>1415</v>
      </c>
      <c r="H116" s="19" t="s">
        <v>7</v>
      </c>
      <c r="I116" s="19" t="s">
        <v>1049</v>
      </c>
      <c r="J116" s="19" t="s">
        <v>24</v>
      </c>
      <c r="K116" s="19" t="s">
        <v>409</v>
      </c>
      <c r="L116" s="19">
        <v>2025</v>
      </c>
      <c r="M116" s="20">
        <v>1</v>
      </c>
      <c r="N116" s="19" t="s">
        <v>1795</v>
      </c>
      <c r="O116" s="20">
        <v>77</v>
      </c>
      <c r="P116" s="20">
        <v>77</v>
      </c>
      <c r="Q116" s="20">
        <v>5084.1944999999996</v>
      </c>
      <c r="R116" s="21">
        <v>0.9</v>
      </c>
      <c r="S116" s="20">
        <v>5084.1944999999996</v>
      </c>
    </row>
    <row r="117" spans="2:19" ht="15" customHeight="1" x14ac:dyDescent="0.25">
      <c r="B117" s="2" t="str">
        <f t="shared" si="2"/>
        <v>NSG_Residential_Home Energy Jumpstart_Core_Advanced Thermostat_Boiler (Replace Programmable)_SF</v>
      </c>
      <c r="C117" s="2" t="str">
        <f t="shared" si="3"/>
        <v>NSG_Residential_Home Energy Jumpstart_Core_Advanced Thermostat_Boiler (Replace Programmable)_SF_2022</v>
      </c>
      <c r="D117" s="19" t="s">
        <v>1787</v>
      </c>
      <c r="E117" s="19" t="s">
        <v>2</v>
      </c>
      <c r="F117" s="19" t="s">
        <v>1414</v>
      </c>
      <c r="G117" s="19" t="s">
        <v>1415</v>
      </c>
      <c r="H117" s="19" t="s">
        <v>7</v>
      </c>
      <c r="I117" s="19" t="s">
        <v>1052</v>
      </c>
      <c r="J117" s="19" t="s">
        <v>24</v>
      </c>
      <c r="K117" s="19" t="s">
        <v>409</v>
      </c>
      <c r="L117" s="19">
        <v>2022</v>
      </c>
      <c r="M117" s="20">
        <v>1</v>
      </c>
      <c r="N117" s="19" t="s">
        <v>1795</v>
      </c>
      <c r="O117" s="20">
        <v>0</v>
      </c>
      <c r="P117" s="20">
        <v>0</v>
      </c>
      <c r="Q117" s="20">
        <v>0</v>
      </c>
      <c r="R117" s="21">
        <v>0.9</v>
      </c>
      <c r="S117" s="20">
        <v>0</v>
      </c>
    </row>
    <row r="118" spans="2:19" ht="15" customHeight="1" x14ac:dyDescent="0.25">
      <c r="B118" s="2" t="str">
        <f t="shared" si="2"/>
        <v>NSG_Residential_Home Energy Jumpstart_Core_Advanced Thermostat_Boiler (Replace Programmable)_SF</v>
      </c>
      <c r="C118" s="2" t="str">
        <f t="shared" si="3"/>
        <v>NSG_Residential_Home Energy Jumpstart_Core_Advanced Thermostat_Boiler (Replace Programmable)_SF_2023</v>
      </c>
      <c r="D118" s="19" t="s">
        <v>1787</v>
      </c>
      <c r="E118" s="19" t="s">
        <v>2</v>
      </c>
      <c r="F118" s="19" t="s">
        <v>1414</v>
      </c>
      <c r="G118" s="19" t="s">
        <v>1415</v>
      </c>
      <c r="H118" s="19" t="s">
        <v>7</v>
      </c>
      <c r="I118" s="19" t="s">
        <v>1052</v>
      </c>
      <c r="J118" s="19" t="s">
        <v>24</v>
      </c>
      <c r="K118" s="19" t="s">
        <v>409</v>
      </c>
      <c r="L118" s="19">
        <v>2023</v>
      </c>
      <c r="M118" s="20">
        <v>1</v>
      </c>
      <c r="N118" s="19" t="s">
        <v>1795</v>
      </c>
      <c r="O118" s="20">
        <v>0</v>
      </c>
      <c r="P118" s="20">
        <v>0</v>
      </c>
      <c r="Q118" s="20">
        <v>0</v>
      </c>
      <c r="R118" s="21">
        <v>0.9</v>
      </c>
      <c r="S118" s="20">
        <v>0</v>
      </c>
    </row>
    <row r="119" spans="2:19" ht="15" customHeight="1" x14ac:dyDescent="0.25">
      <c r="B119" s="2" t="str">
        <f t="shared" si="2"/>
        <v>NSG_Residential_Home Energy Jumpstart_Core_Advanced Thermostat_Boiler (Replace Programmable)_SF</v>
      </c>
      <c r="C119" s="2" t="str">
        <f t="shared" si="3"/>
        <v>NSG_Residential_Home Energy Jumpstart_Core_Advanced Thermostat_Boiler (Replace Programmable)_SF_2024</v>
      </c>
      <c r="D119" s="19" t="s">
        <v>1787</v>
      </c>
      <c r="E119" s="19" t="s">
        <v>2</v>
      </c>
      <c r="F119" s="19" t="s">
        <v>1414</v>
      </c>
      <c r="G119" s="19" t="s">
        <v>1415</v>
      </c>
      <c r="H119" s="19" t="s">
        <v>7</v>
      </c>
      <c r="I119" s="19" t="s">
        <v>1052</v>
      </c>
      <c r="J119" s="19" t="s">
        <v>24</v>
      </c>
      <c r="K119" s="19" t="s">
        <v>409</v>
      </c>
      <c r="L119" s="19">
        <v>2024</v>
      </c>
      <c r="M119" s="20">
        <v>1</v>
      </c>
      <c r="N119" s="19" t="s">
        <v>1795</v>
      </c>
      <c r="O119" s="20">
        <v>0</v>
      </c>
      <c r="P119" s="20">
        <v>0</v>
      </c>
      <c r="Q119" s="20">
        <v>0</v>
      </c>
      <c r="R119" s="21">
        <v>0.9</v>
      </c>
      <c r="S119" s="20">
        <v>0</v>
      </c>
    </row>
    <row r="120" spans="2:19" ht="15" customHeight="1" x14ac:dyDescent="0.25">
      <c r="B120" s="2" t="str">
        <f t="shared" si="2"/>
        <v>NSG_Residential_Home Energy Jumpstart_Core_Advanced Thermostat_Boiler (Replace Programmable)_SF</v>
      </c>
      <c r="C120" s="2" t="str">
        <f t="shared" si="3"/>
        <v>NSG_Residential_Home Energy Jumpstart_Core_Advanced Thermostat_Boiler (Replace Programmable)_SF_2025</v>
      </c>
      <c r="D120" s="19" t="s">
        <v>1787</v>
      </c>
      <c r="E120" s="19" t="s">
        <v>2</v>
      </c>
      <c r="F120" s="19" t="s">
        <v>1414</v>
      </c>
      <c r="G120" s="19" t="s">
        <v>1415</v>
      </c>
      <c r="H120" s="19" t="s">
        <v>7</v>
      </c>
      <c r="I120" s="19" t="s">
        <v>1052</v>
      </c>
      <c r="J120" s="19" t="s">
        <v>24</v>
      </c>
      <c r="K120" s="19" t="s">
        <v>409</v>
      </c>
      <c r="L120" s="19">
        <v>2025</v>
      </c>
      <c r="M120" s="20">
        <v>1</v>
      </c>
      <c r="N120" s="19" t="s">
        <v>1795</v>
      </c>
      <c r="O120" s="20">
        <v>0</v>
      </c>
      <c r="P120" s="20">
        <v>0</v>
      </c>
      <c r="Q120" s="20">
        <v>0</v>
      </c>
      <c r="R120" s="21">
        <v>0.9</v>
      </c>
      <c r="S120" s="20">
        <v>0</v>
      </c>
    </row>
    <row r="121" spans="2:19" ht="15" customHeight="1" x14ac:dyDescent="0.25">
      <c r="B121" s="2" t="str">
        <f t="shared" si="2"/>
        <v>NSG_Residential_Home Energy Jumpstart_Core_Thermostat - Reprogram_Furnace (DI)_SF</v>
      </c>
      <c r="C121" s="2" t="str">
        <f t="shared" si="3"/>
        <v>NSG_Residential_Home Energy Jumpstart_Core_Thermostat - Reprogram_Furnace (DI)_SF_2022</v>
      </c>
      <c r="D121" s="19" t="s">
        <v>1787</v>
      </c>
      <c r="E121" s="19" t="s">
        <v>2</v>
      </c>
      <c r="F121" s="19" t="s">
        <v>1414</v>
      </c>
      <c r="G121" s="19" t="s">
        <v>1415</v>
      </c>
      <c r="H121" s="19" t="s">
        <v>1055</v>
      </c>
      <c r="I121" s="19" t="s">
        <v>1038</v>
      </c>
      <c r="J121" s="19" t="s">
        <v>24</v>
      </c>
      <c r="K121" s="19" t="s">
        <v>409</v>
      </c>
      <c r="L121" s="19">
        <v>2022</v>
      </c>
      <c r="M121" s="20">
        <v>1</v>
      </c>
      <c r="N121" s="19" t="s">
        <v>1795</v>
      </c>
      <c r="O121" s="20">
        <v>178</v>
      </c>
      <c r="P121" s="20">
        <v>178</v>
      </c>
      <c r="Q121" s="20">
        <v>8872.9440000000013</v>
      </c>
      <c r="R121" s="21">
        <v>0.8</v>
      </c>
      <c r="S121" s="20">
        <v>8872.9440000000013</v>
      </c>
    </row>
    <row r="122" spans="2:19" ht="15" customHeight="1" x14ac:dyDescent="0.25">
      <c r="B122" s="2" t="str">
        <f t="shared" si="2"/>
        <v>NSG_Residential_Home Energy Jumpstart_Core_Thermostat - Reprogram_Furnace (DI)_SF</v>
      </c>
      <c r="C122" s="2" t="str">
        <f t="shared" si="3"/>
        <v>NSG_Residential_Home Energy Jumpstart_Core_Thermostat - Reprogram_Furnace (DI)_SF_2023</v>
      </c>
      <c r="D122" s="19" t="s">
        <v>1787</v>
      </c>
      <c r="E122" s="19" t="s">
        <v>2</v>
      </c>
      <c r="F122" s="19" t="s">
        <v>1414</v>
      </c>
      <c r="G122" s="19" t="s">
        <v>1415</v>
      </c>
      <c r="H122" s="19" t="s">
        <v>1055</v>
      </c>
      <c r="I122" s="19" t="s">
        <v>1038</v>
      </c>
      <c r="J122" s="19" t="s">
        <v>24</v>
      </c>
      <c r="K122" s="19" t="s">
        <v>409</v>
      </c>
      <c r="L122" s="19">
        <v>2023</v>
      </c>
      <c r="M122" s="20">
        <v>1</v>
      </c>
      <c r="N122" s="19" t="s">
        <v>1795</v>
      </c>
      <c r="O122" s="20">
        <v>160</v>
      </c>
      <c r="P122" s="20">
        <v>160</v>
      </c>
      <c r="Q122" s="20">
        <v>7975.68</v>
      </c>
      <c r="R122" s="21">
        <v>0.8</v>
      </c>
      <c r="S122" s="20">
        <v>7975.68</v>
      </c>
    </row>
    <row r="123" spans="2:19" ht="15" customHeight="1" x14ac:dyDescent="0.25">
      <c r="B123" s="2" t="str">
        <f t="shared" si="2"/>
        <v>NSG_Residential_Home Energy Jumpstart_Core_Thermostat - Reprogram_Furnace (DI)_SF</v>
      </c>
      <c r="C123" s="2" t="str">
        <f t="shared" si="3"/>
        <v>NSG_Residential_Home Energy Jumpstart_Core_Thermostat - Reprogram_Furnace (DI)_SF_2024</v>
      </c>
      <c r="D123" s="19" t="s">
        <v>1787</v>
      </c>
      <c r="E123" s="19" t="s">
        <v>2</v>
      </c>
      <c r="F123" s="19" t="s">
        <v>1414</v>
      </c>
      <c r="G123" s="19" t="s">
        <v>1415</v>
      </c>
      <c r="H123" s="19" t="s">
        <v>1055</v>
      </c>
      <c r="I123" s="19" t="s">
        <v>1038</v>
      </c>
      <c r="J123" s="19" t="s">
        <v>24</v>
      </c>
      <c r="K123" s="19" t="s">
        <v>409</v>
      </c>
      <c r="L123" s="19">
        <v>2024</v>
      </c>
      <c r="M123" s="20">
        <v>1</v>
      </c>
      <c r="N123" s="19" t="s">
        <v>1795</v>
      </c>
      <c r="O123" s="20">
        <v>142</v>
      </c>
      <c r="P123" s="20">
        <v>142</v>
      </c>
      <c r="Q123" s="20">
        <v>7078.4160000000011</v>
      </c>
      <c r="R123" s="21">
        <v>0.8</v>
      </c>
      <c r="S123" s="20">
        <v>7078.4160000000011</v>
      </c>
    </row>
    <row r="124" spans="2:19" ht="15" customHeight="1" x14ac:dyDescent="0.25">
      <c r="B124" s="2" t="str">
        <f t="shared" si="2"/>
        <v>NSG_Residential_Home Energy Jumpstart_Core_Thermostat - Reprogram_Furnace (DI)_SF</v>
      </c>
      <c r="C124" s="2" t="str">
        <f t="shared" si="3"/>
        <v>NSG_Residential_Home Energy Jumpstart_Core_Thermostat - Reprogram_Furnace (DI)_SF_2025</v>
      </c>
      <c r="D124" s="19" t="s">
        <v>1787</v>
      </c>
      <c r="E124" s="19" t="s">
        <v>2</v>
      </c>
      <c r="F124" s="19" t="s">
        <v>1414</v>
      </c>
      <c r="G124" s="19" t="s">
        <v>1415</v>
      </c>
      <c r="H124" s="19" t="s">
        <v>1055</v>
      </c>
      <c r="I124" s="19" t="s">
        <v>1038</v>
      </c>
      <c r="J124" s="19" t="s">
        <v>24</v>
      </c>
      <c r="K124" s="19" t="s">
        <v>409</v>
      </c>
      <c r="L124" s="19">
        <v>2025</v>
      </c>
      <c r="M124" s="20">
        <v>1</v>
      </c>
      <c r="N124" s="19" t="s">
        <v>1795</v>
      </c>
      <c r="O124" s="20">
        <v>125</v>
      </c>
      <c r="P124" s="20">
        <v>125</v>
      </c>
      <c r="Q124" s="20">
        <v>6231</v>
      </c>
      <c r="R124" s="21">
        <v>0.8</v>
      </c>
      <c r="S124" s="20">
        <v>6231</v>
      </c>
    </row>
    <row r="125" spans="2:19" ht="15" customHeight="1" x14ac:dyDescent="0.25">
      <c r="B125" s="2" t="str">
        <f t="shared" si="2"/>
        <v>NSG_Residential_Home Energy Jumpstart_Core_Thermostat - Reprogram_Boiler (DI)_SF</v>
      </c>
      <c r="C125" s="2" t="str">
        <f t="shared" si="3"/>
        <v>NSG_Residential_Home Energy Jumpstart_Core_Thermostat - Reprogram_Boiler (DI)_SF_2022</v>
      </c>
      <c r="D125" s="19" t="s">
        <v>1787</v>
      </c>
      <c r="E125" s="19" t="s">
        <v>2</v>
      </c>
      <c r="F125" s="19" t="s">
        <v>1414</v>
      </c>
      <c r="G125" s="19" t="s">
        <v>1415</v>
      </c>
      <c r="H125" s="19" t="s">
        <v>1055</v>
      </c>
      <c r="I125" s="19" t="s">
        <v>1045</v>
      </c>
      <c r="J125" s="19" t="s">
        <v>24</v>
      </c>
      <c r="K125" s="19" t="s">
        <v>409</v>
      </c>
      <c r="L125" s="19">
        <v>2022</v>
      </c>
      <c r="M125" s="20">
        <v>1</v>
      </c>
      <c r="N125" s="19" t="s">
        <v>1795</v>
      </c>
      <c r="O125" s="20">
        <v>119</v>
      </c>
      <c r="P125" s="20">
        <v>119</v>
      </c>
      <c r="Q125" s="20">
        <v>8776.868800000002</v>
      </c>
      <c r="R125" s="21">
        <v>0.8</v>
      </c>
      <c r="S125" s="20">
        <v>8776.868800000002</v>
      </c>
    </row>
    <row r="126" spans="2:19" ht="15" customHeight="1" x14ac:dyDescent="0.25">
      <c r="B126" s="2" t="str">
        <f t="shared" si="2"/>
        <v>NSG_Residential_Home Energy Jumpstart_Core_Thermostat - Reprogram_Boiler (DI)_SF</v>
      </c>
      <c r="C126" s="2" t="str">
        <f t="shared" si="3"/>
        <v>NSG_Residential_Home Energy Jumpstart_Core_Thermostat - Reprogram_Boiler (DI)_SF_2023</v>
      </c>
      <c r="D126" s="19" t="s">
        <v>1787</v>
      </c>
      <c r="E126" s="19" t="s">
        <v>2</v>
      </c>
      <c r="F126" s="19" t="s">
        <v>1414</v>
      </c>
      <c r="G126" s="19" t="s">
        <v>1415</v>
      </c>
      <c r="H126" s="19" t="s">
        <v>1055</v>
      </c>
      <c r="I126" s="19" t="s">
        <v>1045</v>
      </c>
      <c r="J126" s="19" t="s">
        <v>24</v>
      </c>
      <c r="K126" s="19" t="s">
        <v>409</v>
      </c>
      <c r="L126" s="19">
        <v>2023</v>
      </c>
      <c r="M126" s="20">
        <v>1</v>
      </c>
      <c r="N126" s="19" t="s">
        <v>1795</v>
      </c>
      <c r="O126" s="20">
        <v>107</v>
      </c>
      <c r="P126" s="20">
        <v>107</v>
      </c>
      <c r="Q126" s="20">
        <v>7891.8064000000004</v>
      </c>
      <c r="R126" s="21">
        <v>0.8</v>
      </c>
      <c r="S126" s="20">
        <v>7891.8064000000004</v>
      </c>
    </row>
    <row r="127" spans="2:19" ht="15" customHeight="1" x14ac:dyDescent="0.25">
      <c r="B127" s="2" t="str">
        <f t="shared" si="2"/>
        <v>NSG_Residential_Home Energy Jumpstart_Core_Thermostat - Reprogram_Boiler (DI)_SF</v>
      </c>
      <c r="C127" s="2" t="str">
        <f t="shared" si="3"/>
        <v>NSG_Residential_Home Energy Jumpstart_Core_Thermostat - Reprogram_Boiler (DI)_SF_2024</v>
      </c>
      <c r="D127" s="19" t="s">
        <v>1787</v>
      </c>
      <c r="E127" s="19" t="s">
        <v>2</v>
      </c>
      <c r="F127" s="19" t="s">
        <v>1414</v>
      </c>
      <c r="G127" s="19" t="s">
        <v>1415</v>
      </c>
      <c r="H127" s="19" t="s">
        <v>1055</v>
      </c>
      <c r="I127" s="19" t="s">
        <v>1045</v>
      </c>
      <c r="J127" s="19" t="s">
        <v>24</v>
      </c>
      <c r="K127" s="19" t="s">
        <v>409</v>
      </c>
      <c r="L127" s="19">
        <v>2024</v>
      </c>
      <c r="M127" s="20">
        <v>1</v>
      </c>
      <c r="N127" s="19" t="s">
        <v>1795</v>
      </c>
      <c r="O127" s="20">
        <v>95</v>
      </c>
      <c r="P127" s="20">
        <v>95</v>
      </c>
      <c r="Q127" s="20">
        <v>7006.7440000000006</v>
      </c>
      <c r="R127" s="21">
        <v>0.8</v>
      </c>
      <c r="S127" s="20">
        <v>7006.7440000000006</v>
      </c>
    </row>
    <row r="128" spans="2:19" ht="15" customHeight="1" x14ac:dyDescent="0.25">
      <c r="B128" s="2" t="str">
        <f t="shared" si="2"/>
        <v>NSG_Residential_Home Energy Jumpstart_Core_Thermostat - Reprogram_Boiler (DI)_SF</v>
      </c>
      <c r="C128" s="2" t="str">
        <f t="shared" si="3"/>
        <v>NSG_Residential_Home Energy Jumpstart_Core_Thermostat - Reprogram_Boiler (DI)_SF_2025</v>
      </c>
      <c r="D128" s="19" t="s">
        <v>1787</v>
      </c>
      <c r="E128" s="19" t="s">
        <v>2</v>
      </c>
      <c r="F128" s="19" t="s">
        <v>1414</v>
      </c>
      <c r="G128" s="19" t="s">
        <v>1415</v>
      </c>
      <c r="H128" s="19" t="s">
        <v>1055</v>
      </c>
      <c r="I128" s="19" t="s">
        <v>1045</v>
      </c>
      <c r="J128" s="19" t="s">
        <v>24</v>
      </c>
      <c r="K128" s="19" t="s">
        <v>409</v>
      </c>
      <c r="L128" s="19">
        <v>2025</v>
      </c>
      <c r="M128" s="20">
        <v>1</v>
      </c>
      <c r="N128" s="19" t="s">
        <v>1795</v>
      </c>
      <c r="O128" s="20">
        <v>83</v>
      </c>
      <c r="P128" s="20">
        <v>83</v>
      </c>
      <c r="Q128" s="20">
        <v>6121.6815999999999</v>
      </c>
      <c r="R128" s="21">
        <v>0.8</v>
      </c>
      <c r="S128" s="20">
        <v>6121.6815999999999</v>
      </c>
    </row>
    <row r="129" spans="2:19" ht="15" customHeight="1" x14ac:dyDescent="0.25">
      <c r="B129" s="2" t="str">
        <f t="shared" si="2"/>
        <v>NSG_Residential_Home Energy Jumpstart_Leave Behind Kit_Shower Timer_0_SF</v>
      </c>
      <c r="C129" s="2" t="str">
        <f t="shared" si="3"/>
        <v>NSG_Residential_Home Energy Jumpstart_Leave Behind Kit_Shower Timer_0_SF_2022</v>
      </c>
      <c r="D129" s="19" t="s">
        <v>1787</v>
      </c>
      <c r="E129" s="19" t="s">
        <v>2</v>
      </c>
      <c r="F129" s="19" t="s">
        <v>1414</v>
      </c>
      <c r="G129" s="19" t="s">
        <v>1416</v>
      </c>
      <c r="H129" s="19" t="s">
        <v>1031</v>
      </c>
      <c r="I129" s="19">
        <v>0</v>
      </c>
      <c r="J129" s="19" t="s">
        <v>1033</v>
      </c>
      <c r="K129" s="19" t="s">
        <v>409</v>
      </c>
      <c r="L129" s="19">
        <v>2022</v>
      </c>
      <c r="M129" s="20">
        <v>1</v>
      </c>
      <c r="N129" s="19" t="s">
        <v>1795</v>
      </c>
      <c r="O129" s="20">
        <v>1000</v>
      </c>
      <c r="P129" s="20">
        <v>1000</v>
      </c>
      <c r="Q129" s="20">
        <v>2965.7971030487038</v>
      </c>
      <c r="R129" s="21">
        <v>0.8</v>
      </c>
      <c r="S129" s="20">
        <v>2965.7971030487038</v>
      </c>
    </row>
    <row r="130" spans="2:19" ht="15" customHeight="1" x14ac:dyDescent="0.25">
      <c r="B130" s="2" t="str">
        <f t="shared" si="2"/>
        <v>NSG_Residential_Home Energy Jumpstart_Leave Behind Kit_Shower Timer_0_SF</v>
      </c>
      <c r="C130" s="2" t="str">
        <f t="shared" si="3"/>
        <v>NSG_Residential_Home Energy Jumpstart_Leave Behind Kit_Shower Timer_0_SF_2023</v>
      </c>
      <c r="D130" s="19" t="s">
        <v>1787</v>
      </c>
      <c r="E130" s="19" t="s">
        <v>2</v>
      </c>
      <c r="F130" s="19" t="s">
        <v>1414</v>
      </c>
      <c r="G130" s="19" t="s">
        <v>1416</v>
      </c>
      <c r="H130" s="19" t="s">
        <v>1031</v>
      </c>
      <c r="I130" s="19">
        <v>0</v>
      </c>
      <c r="J130" s="19" t="s">
        <v>1033</v>
      </c>
      <c r="K130" s="19" t="s">
        <v>409</v>
      </c>
      <c r="L130" s="19">
        <v>2023</v>
      </c>
      <c r="M130" s="20">
        <v>1</v>
      </c>
      <c r="N130" s="19" t="s">
        <v>1795</v>
      </c>
      <c r="O130" s="20">
        <v>900</v>
      </c>
      <c r="P130" s="20">
        <v>900</v>
      </c>
      <c r="Q130" s="20">
        <v>2669.2173927438334</v>
      </c>
      <c r="R130" s="21">
        <v>0.8</v>
      </c>
      <c r="S130" s="20">
        <v>2669.2173927438334</v>
      </c>
    </row>
    <row r="131" spans="2:19" ht="15" customHeight="1" x14ac:dyDescent="0.25">
      <c r="B131" s="2" t="str">
        <f t="shared" si="2"/>
        <v>NSG_Residential_Home Energy Jumpstart_Leave Behind Kit_Shower Timer_0_SF</v>
      </c>
      <c r="C131" s="2" t="str">
        <f t="shared" si="3"/>
        <v>NSG_Residential_Home Energy Jumpstart_Leave Behind Kit_Shower Timer_0_SF_2024</v>
      </c>
      <c r="D131" s="19" t="s">
        <v>1787</v>
      </c>
      <c r="E131" s="19" t="s">
        <v>2</v>
      </c>
      <c r="F131" s="19" t="s">
        <v>1414</v>
      </c>
      <c r="G131" s="19" t="s">
        <v>1416</v>
      </c>
      <c r="H131" s="19" t="s">
        <v>1031</v>
      </c>
      <c r="I131" s="19">
        <v>0</v>
      </c>
      <c r="J131" s="19" t="s">
        <v>1033</v>
      </c>
      <c r="K131" s="19" t="s">
        <v>409</v>
      </c>
      <c r="L131" s="19">
        <v>2024</v>
      </c>
      <c r="M131" s="20">
        <v>1</v>
      </c>
      <c r="N131" s="19" t="s">
        <v>1795</v>
      </c>
      <c r="O131" s="20">
        <v>800</v>
      </c>
      <c r="P131" s="20">
        <v>800</v>
      </c>
      <c r="Q131" s="20">
        <v>2372.6376824389631</v>
      </c>
      <c r="R131" s="21">
        <v>0.8</v>
      </c>
      <c r="S131" s="20">
        <v>2372.6376824389631</v>
      </c>
    </row>
    <row r="132" spans="2:19" ht="15" customHeight="1" x14ac:dyDescent="0.25">
      <c r="B132" s="2" t="str">
        <f t="shared" si="2"/>
        <v>NSG_Residential_Home Energy Jumpstart_Leave Behind Kit_Shower Timer_0_SF</v>
      </c>
      <c r="C132" s="2" t="str">
        <f t="shared" si="3"/>
        <v>NSG_Residential_Home Energy Jumpstart_Leave Behind Kit_Shower Timer_0_SF_2025</v>
      </c>
      <c r="D132" s="19" t="s">
        <v>1787</v>
      </c>
      <c r="E132" s="19" t="s">
        <v>2</v>
      </c>
      <c r="F132" s="19" t="s">
        <v>1414</v>
      </c>
      <c r="G132" s="19" t="s">
        <v>1416</v>
      </c>
      <c r="H132" s="19" t="s">
        <v>1031</v>
      </c>
      <c r="I132" s="19">
        <v>0</v>
      </c>
      <c r="J132" s="19" t="s">
        <v>1033</v>
      </c>
      <c r="K132" s="19" t="s">
        <v>409</v>
      </c>
      <c r="L132" s="19">
        <v>2025</v>
      </c>
      <c r="M132" s="20">
        <v>1</v>
      </c>
      <c r="N132" s="19" t="s">
        <v>1795</v>
      </c>
      <c r="O132" s="20">
        <v>700</v>
      </c>
      <c r="P132" s="20">
        <v>700</v>
      </c>
      <c r="Q132" s="20">
        <v>2076.0579721340923</v>
      </c>
      <c r="R132" s="21">
        <v>0.8</v>
      </c>
      <c r="S132" s="20">
        <v>2076.0579721340923</v>
      </c>
    </row>
    <row r="133" spans="2:19" ht="15" customHeight="1" x14ac:dyDescent="0.25">
      <c r="B133" s="2" t="str">
        <f t="shared" si="2"/>
        <v>NSG_Residential_Home Energy Jumpstart_Leave Behind Kit_Weatherstripping_0_SF</v>
      </c>
      <c r="C133" s="2" t="str">
        <f t="shared" si="3"/>
        <v>NSG_Residential_Home Energy Jumpstart_Leave Behind Kit_Weatherstripping_0_SF_2022</v>
      </c>
      <c r="D133" s="19" t="s">
        <v>1787</v>
      </c>
      <c r="E133" s="19" t="s">
        <v>2</v>
      </c>
      <c r="F133" s="19" t="s">
        <v>1414</v>
      </c>
      <c r="G133" s="19" t="s">
        <v>1416</v>
      </c>
      <c r="H133" s="19" t="s">
        <v>576</v>
      </c>
      <c r="I133" s="19">
        <v>0</v>
      </c>
      <c r="J133" s="19" t="s">
        <v>573</v>
      </c>
      <c r="K133" s="19" t="s">
        <v>409</v>
      </c>
      <c r="L133" s="19">
        <v>2022</v>
      </c>
      <c r="M133" s="20">
        <v>16</v>
      </c>
      <c r="N133" s="19" t="s">
        <v>1797</v>
      </c>
      <c r="O133" s="20">
        <v>1000</v>
      </c>
      <c r="P133" s="20">
        <v>16000</v>
      </c>
      <c r="Q133" s="20">
        <v>5434.3680000000004</v>
      </c>
      <c r="R133" s="21">
        <v>0.8</v>
      </c>
      <c r="S133" s="20">
        <v>5434.3680000000004</v>
      </c>
    </row>
    <row r="134" spans="2:19" ht="15" customHeight="1" x14ac:dyDescent="0.25">
      <c r="B134" s="2" t="str">
        <f t="shared" ref="B134:B197" si="4">D134&amp;"_"&amp;E134&amp;"_"&amp;F134&amp;"_"&amp;G134&amp;"_"&amp;H134&amp;"_"&amp;I134&amp;"_"&amp;K134</f>
        <v>NSG_Residential_Home Energy Jumpstart_Leave Behind Kit_Weatherstripping_0_SF</v>
      </c>
      <c r="C134" s="2" t="str">
        <f t="shared" ref="C134:C197" si="5">D134&amp;"_"&amp;E134&amp;"_"&amp;F134&amp;"_"&amp;G134&amp;"_"&amp;H134&amp;"_"&amp;I134&amp;"_"&amp;K134&amp;"_"&amp;L134</f>
        <v>NSG_Residential_Home Energy Jumpstart_Leave Behind Kit_Weatherstripping_0_SF_2023</v>
      </c>
      <c r="D134" s="19" t="s">
        <v>1787</v>
      </c>
      <c r="E134" s="19" t="s">
        <v>2</v>
      </c>
      <c r="F134" s="19" t="s">
        <v>1414</v>
      </c>
      <c r="G134" s="19" t="s">
        <v>1416</v>
      </c>
      <c r="H134" s="19" t="s">
        <v>576</v>
      </c>
      <c r="I134" s="19">
        <v>0</v>
      </c>
      <c r="J134" s="19" t="s">
        <v>573</v>
      </c>
      <c r="K134" s="19" t="s">
        <v>409</v>
      </c>
      <c r="L134" s="19">
        <v>2023</v>
      </c>
      <c r="M134" s="20">
        <v>16</v>
      </c>
      <c r="N134" s="19" t="s">
        <v>1797</v>
      </c>
      <c r="O134" s="20">
        <v>900</v>
      </c>
      <c r="P134" s="20">
        <v>14400</v>
      </c>
      <c r="Q134" s="20">
        <v>4890.9312</v>
      </c>
      <c r="R134" s="21">
        <v>0.8</v>
      </c>
      <c r="S134" s="20">
        <v>4890.9312</v>
      </c>
    </row>
    <row r="135" spans="2:19" ht="15" customHeight="1" x14ac:dyDescent="0.25">
      <c r="B135" s="2" t="str">
        <f t="shared" si="4"/>
        <v>NSG_Residential_Home Energy Jumpstart_Leave Behind Kit_Weatherstripping_0_SF</v>
      </c>
      <c r="C135" s="2" t="str">
        <f t="shared" si="5"/>
        <v>NSG_Residential_Home Energy Jumpstart_Leave Behind Kit_Weatherstripping_0_SF_2024</v>
      </c>
      <c r="D135" s="19" t="s">
        <v>1787</v>
      </c>
      <c r="E135" s="19" t="s">
        <v>2</v>
      </c>
      <c r="F135" s="19" t="s">
        <v>1414</v>
      </c>
      <c r="G135" s="19" t="s">
        <v>1416</v>
      </c>
      <c r="H135" s="19" t="s">
        <v>576</v>
      </c>
      <c r="I135" s="19">
        <v>0</v>
      </c>
      <c r="J135" s="19" t="s">
        <v>573</v>
      </c>
      <c r="K135" s="19" t="s">
        <v>409</v>
      </c>
      <c r="L135" s="19">
        <v>2024</v>
      </c>
      <c r="M135" s="20">
        <v>16</v>
      </c>
      <c r="N135" s="19" t="s">
        <v>1797</v>
      </c>
      <c r="O135" s="20">
        <v>800</v>
      </c>
      <c r="P135" s="20">
        <v>12800</v>
      </c>
      <c r="Q135" s="20">
        <v>4347.4943999999996</v>
      </c>
      <c r="R135" s="21">
        <v>0.8</v>
      </c>
      <c r="S135" s="20">
        <v>4347.4943999999996</v>
      </c>
    </row>
    <row r="136" spans="2:19" ht="15" customHeight="1" x14ac:dyDescent="0.25">
      <c r="B136" s="2" t="str">
        <f t="shared" si="4"/>
        <v>NSG_Residential_Home Energy Jumpstart_Leave Behind Kit_Weatherstripping_0_SF</v>
      </c>
      <c r="C136" s="2" t="str">
        <f t="shared" si="5"/>
        <v>NSG_Residential_Home Energy Jumpstart_Leave Behind Kit_Weatherstripping_0_SF_2025</v>
      </c>
      <c r="D136" s="19" t="s">
        <v>1787</v>
      </c>
      <c r="E136" s="19" t="s">
        <v>2</v>
      </c>
      <c r="F136" s="19" t="s">
        <v>1414</v>
      </c>
      <c r="G136" s="19" t="s">
        <v>1416</v>
      </c>
      <c r="H136" s="19" t="s">
        <v>576</v>
      </c>
      <c r="I136" s="19">
        <v>0</v>
      </c>
      <c r="J136" s="19" t="s">
        <v>573</v>
      </c>
      <c r="K136" s="19" t="s">
        <v>409</v>
      </c>
      <c r="L136" s="19">
        <v>2025</v>
      </c>
      <c r="M136" s="20">
        <v>16</v>
      </c>
      <c r="N136" s="19" t="s">
        <v>1797</v>
      </c>
      <c r="O136" s="20">
        <v>700</v>
      </c>
      <c r="P136" s="20">
        <v>11200</v>
      </c>
      <c r="Q136" s="20">
        <v>3804.0576000000001</v>
      </c>
      <c r="R136" s="21">
        <v>0.8</v>
      </c>
      <c r="S136" s="20">
        <v>3804.0576000000001</v>
      </c>
    </row>
    <row r="137" spans="2:19" ht="15" customHeight="1" x14ac:dyDescent="0.25">
      <c r="B137" s="2" t="str">
        <f t="shared" si="4"/>
        <v>NSG_Residential_Home Energy Jumpstart_Leave Behind Kit_Door Sweep_0_SF</v>
      </c>
      <c r="C137" s="2" t="str">
        <f t="shared" si="5"/>
        <v>NSG_Residential_Home Energy Jumpstart_Leave Behind Kit_Door Sweep_0_SF_2022</v>
      </c>
      <c r="D137" s="19" t="s">
        <v>1787</v>
      </c>
      <c r="E137" s="19" t="s">
        <v>2</v>
      </c>
      <c r="F137" s="19" t="s">
        <v>1414</v>
      </c>
      <c r="G137" s="19" t="s">
        <v>1416</v>
      </c>
      <c r="H137" s="19" t="s">
        <v>6</v>
      </c>
      <c r="I137" s="19">
        <v>0</v>
      </c>
      <c r="J137" s="19" t="s">
        <v>573</v>
      </c>
      <c r="K137" s="19" t="s">
        <v>409</v>
      </c>
      <c r="L137" s="19">
        <v>2022</v>
      </c>
      <c r="M137" s="20">
        <v>1</v>
      </c>
      <c r="N137" s="19" t="s">
        <v>1798</v>
      </c>
      <c r="O137" s="20">
        <v>1000</v>
      </c>
      <c r="P137" s="20">
        <v>1000</v>
      </c>
      <c r="Q137" s="20">
        <v>5083.5840000000007</v>
      </c>
      <c r="R137" s="21">
        <v>0.8</v>
      </c>
      <c r="S137" s="20">
        <v>5083.5840000000007</v>
      </c>
    </row>
    <row r="138" spans="2:19" ht="15" customHeight="1" x14ac:dyDescent="0.25">
      <c r="B138" s="2" t="str">
        <f t="shared" si="4"/>
        <v>NSG_Residential_Home Energy Jumpstart_Leave Behind Kit_Door Sweep_0_SF</v>
      </c>
      <c r="C138" s="2" t="str">
        <f t="shared" si="5"/>
        <v>NSG_Residential_Home Energy Jumpstart_Leave Behind Kit_Door Sweep_0_SF_2023</v>
      </c>
      <c r="D138" s="19" t="s">
        <v>1787</v>
      </c>
      <c r="E138" s="19" t="s">
        <v>2</v>
      </c>
      <c r="F138" s="19" t="s">
        <v>1414</v>
      </c>
      <c r="G138" s="19" t="s">
        <v>1416</v>
      </c>
      <c r="H138" s="19" t="s">
        <v>6</v>
      </c>
      <c r="I138" s="19">
        <v>0</v>
      </c>
      <c r="J138" s="19" t="s">
        <v>573</v>
      </c>
      <c r="K138" s="19" t="s">
        <v>409</v>
      </c>
      <c r="L138" s="19">
        <v>2023</v>
      </c>
      <c r="M138" s="20">
        <v>1</v>
      </c>
      <c r="N138" s="19" t="s">
        <v>1798</v>
      </c>
      <c r="O138" s="20">
        <v>900</v>
      </c>
      <c r="P138" s="20">
        <v>900</v>
      </c>
      <c r="Q138" s="20">
        <v>4575.2256000000007</v>
      </c>
      <c r="R138" s="21">
        <v>0.8</v>
      </c>
      <c r="S138" s="20">
        <v>4575.2256000000007</v>
      </c>
    </row>
    <row r="139" spans="2:19" ht="15" customHeight="1" x14ac:dyDescent="0.25">
      <c r="B139" s="2" t="str">
        <f t="shared" si="4"/>
        <v>NSG_Residential_Home Energy Jumpstart_Leave Behind Kit_Door Sweep_0_SF</v>
      </c>
      <c r="C139" s="2" t="str">
        <f t="shared" si="5"/>
        <v>NSG_Residential_Home Energy Jumpstart_Leave Behind Kit_Door Sweep_0_SF_2024</v>
      </c>
      <c r="D139" s="19" t="s">
        <v>1787</v>
      </c>
      <c r="E139" s="19" t="s">
        <v>2</v>
      </c>
      <c r="F139" s="19" t="s">
        <v>1414</v>
      </c>
      <c r="G139" s="19" t="s">
        <v>1416</v>
      </c>
      <c r="H139" s="19" t="s">
        <v>6</v>
      </c>
      <c r="I139" s="19">
        <v>0</v>
      </c>
      <c r="J139" s="19" t="s">
        <v>573</v>
      </c>
      <c r="K139" s="19" t="s">
        <v>409</v>
      </c>
      <c r="L139" s="19">
        <v>2024</v>
      </c>
      <c r="M139" s="20">
        <v>1</v>
      </c>
      <c r="N139" s="19" t="s">
        <v>1798</v>
      </c>
      <c r="O139" s="20">
        <v>800</v>
      </c>
      <c r="P139" s="20">
        <v>800</v>
      </c>
      <c r="Q139" s="20">
        <v>4066.8672000000006</v>
      </c>
      <c r="R139" s="21">
        <v>0.8</v>
      </c>
      <c r="S139" s="20">
        <v>4066.8672000000006</v>
      </c>
    </row>
    <row r="140" spans="2:19" ht="15" customHeight="1" x14ac:dyDescent="0.25">
      <c r="B140" s="2" t="str">
        <f t="shared" si="4"/>
        <v>NSG_Residential_Home Energy Jumpstart_Leave Behind Kit_Door Sweep_0_SF</v>
      </c>
      <c r="C140" s="2" t="str">
        <f t="shared" si="5"/>
        <v>NSG_Residential_Home Energy Jumpstart_Leave Behind Kit_Door Sweep_0_SF_2025</v>
      </c>
      <c r="D140" s="19" t="s">
        <v>1787</v>
      </c>
      <c r="E140" s="19" t="s">
        <v>2</v>
      </c>
      <c r="F140" s="19" t="s">
        <v>1414</v>
      </c>
      <c r="G140" s="19" t="s">
        <v>1416</v>
      </c>
      <c r="H140" s="19" t="s">
        <v>6</v>
      </c>
      <c r="I140" s="19">
        <v>0</v>
      </c>
      <c r="J140" s="19" t="s">
        <v>573</v>
      </c>
      <c r="K140" s="19" t="s">
        <v>409</v>
      </c>
      <c r="L140" s="19">
        <v>2025</v>
      </c>
      <c r="M140" s="20">
        <v>1</v>
      </c>
      <c r="N140" s="19" t="s">
        <v>1798</v>
      </c>
      <c r="O140" s="20">
        <v>700</v>
      </c>
      <c r="P140" s="20">
        <v>700</v>
      </c>
      <c r="Q140" s="20">
        <v>3558.5088000000005</v>
      </c>
      <c r="R140" s="21">
        <v>0.8</v>
      </c>
      <c r="S140" s="20">
        <v>3558.5088000000005</v>
      </c>
    </row>
    <row r="141" spans="2:19" ht="15" customHeight="1" x14ac:dyDescent="0.25">
      <c r="B141" s="2" t="str">
        <f t="shared" si="4"/>
        <v>PGL_Residential_Home Energy Rebate_Standard Rebate_Boiler - DHW Two-in-One_0_SF</v>
      </c>
      <c r="C141" s="2" t="str">
        <f t="shared" si="5"/>
        <v>PGL_Residential_Home Energy Rebate_Standard Rebate_Boiler - DHW Two-in-One_0_SF_2022</v>
      </c>
      <c r="D141" s="19" t="s">
        <v>1794</v>
      </c>
      <c r="E141" s="19" t="s">
        <v>2</v>
      </c>
      <c r="F141" s="19" t="s">
        <v>1417</v>
      </c>
      <c r="G141" s="19" t="s">
        <v>1418</v>
      </c>
      <c r="H141" s="19" t="s">
        <v>897</v>
      </c>
      <c r="I141" s="19">
        <v>0</v>
      </c>
      <c r="J141" s="19" t="s">
        <v>866</v>
      </c>
      <c r="K141" s="19" t="s">
        <v>409</v>
      </c>
      <c r="L141" s="19">
        <v>2022</v>
      </c>
      <c r="M141" s="20">
        <v>1</v>
      </c>
      <c r="N141" s="19" t="s">
        <v>1798</v>
      </c>
      <c r="O141" s="20">
        <v>32</v>
      </c>
      <c r="P141" s="20">
        <v>32</v>
      </c>
      <c r="Q141" s="20">
        <v>1279.9759326849608</v>
      </c>
      <c r="R141" s="21">
        <v>0.63</v>
      </c>
      <c r="S141" s="20">
        <v>1279.9759326849608</v>
      </c>
    </row>
    <row r="142" spans="2:19" ht="15" customHeight="1" x14ac:dyDescent="0.25">
      <c r="B142" s="2" t="str">
        <f t="shared" si="4"/>
        <v>PGL_Residential_Home Energy Rebate_Standard Rebate_Boiler - DHW Two-in-One_0_SF</v>
      </c>
      <c r="C142" s="2" t="str">
        <f t="shared" si="5"/>
        <v>PGL_Residential_Home Energy Rebate_Standard Rebate_Boiler - DHW Two-in-One_0_SF_2023</v>
      </c>
      <c r="D142" s="19" t="s">
        <v>1794</v>
      </c>
      <c r="E142" s="19" t="s">
        <v>2</v>
      </c>
      <c r="F142" s="19" t="s">
        <v>1417</v>
      </c>
      <c r="G142" s="19" t="s">
        <v>1418</v>
      </c>
      <c r="H142" s="19" t="s">
        <v>897</v>
      </c>
      <c r="I142" s="19">
        <v>0</v>
      </c>
      <c r="J142" s="19" t="s">
        <v>866</v>
      </c>
      <c r="K142" s="19" t="s">
        <v>409</v>
      </c>
      <c r="L142" s="19">
        <v>2023</v>
      </c>
      <c r="M142" s="20">
        <v>1</v>
      </c>
      <c r="N142" s="19" t="s">
        <v>1798</v>
      </c>
      <c r="O142" s="20">
        <v>30</v>
      </c>
      <c r="P142" s="20">
        <v>30</v>
      </c>
      <c r="Q142" s="20">
        <v>1199.9774368921505</v>
      </c>
      <c r="R142" s="21">
        <v>0.63</v>
      </c>
      <c r="S142" s="20">
        <v>1199.9774368921505</v>
      </c>
    </row>
    <row r="143" spans="2:19" ht="15" customHeight="1" x14ac:dyDescent="0.25">
      <c r="B143" s="2" t="str">
        <f t="shared" si="4"/>
        <v>PGL_Residential_Home Energy Rebate_Standard Rebate_Boiler - DHW Two-in-One_0_SF</v>
      </c>
      <c r="C143" s="2" t="str">
        <f t="shared" si="5"/>
        <v>PGL_Residential_Home Energy Rebate_Standard Rebate_Boiler - DHW Two-in-One_0_SF_2024</v>
      </c>
      <c r="D143" s="19" t="s">
        <v>1794</v>
      </c>
      <c r="E143" s="19" t="s">
        <v>2</v>
      </c>
      <c r="F143" s="19" t="s">
        <v>1417</v>
      </c>
      <c r="G143" s="19" t="s">
        <v>1418</v>
      </c>
      <c r="H143" s="19" t="s">
        <v>897</v>
      </c>
      <c r="I143" s="19">
        <v>0</v>
      </c>
      <c r="J143" s="19" t="s">
        <v>866</v>
      </c>
      <c r="K143" s="19" t="s">
        <v>409</v>
      </c>
      <c r="L143" s="19">
        <v>2024</v>
      </c>
      <c r="M143" s="20">
        <v>1</v>
      </c>
      <c r="N143" s="19" t="s">
        <v>1798</v>
      </c>
      <c r="O143" s="20">
        <v>28</v>
      </c>
      <c r="P143" s="20">
        <v>28</v>
      </c>
      <c r="Q143" s="20">
        <v>1119.9789410993405</v>
      </c>
      <c r="R143" s="21">
        <v>0.63</v>
      </c>
      <c r="S143" s="20">
        <v>1119.9789410993405</v>
      </c>
    </row>
    <row r="144" spans="2:19" ht="15" customHeight="1" x14ac:dyDescent="0.25">
      <c r="B144" s="2" t="str">
        <f t="shared" si="4"/>
        <v>PGL_Residential_Home Energy Rebate_Standard Rebate_Boiler - DHW Two-in-One_0_SF</v>
      </c>
      <c r="C144" s="2" t="str">
        <f t="shared" si="5"/>
        <v>PGL_Residential_Home Energy Rebate_Standard Rebate_Boiler - DHW Two-in-One_0_SF_2025</v>
      </c>
      <c r="D144" s="19" t="s">
        <v>1794</v>
      </c>
      <c r="E144" s="19" t="s">
        <v>2</v>
      </c>
      <c r="F144" s="19" t="s">
        <v>1417</v>
      </c>
      <c r="G144" s="19" t="s">
        <v>1418</v>
      </c>
      <c r="H144" s="19" t="s">
        <v>897</v>
      </c>
      <c r="I144" s="19">
        <v>0</v>
      </c>
      <c r="J144" s="19" t="s">
        <v>866</v>
      </c>
      <c r="K144" s="19" t="s">
        <v>409</v>
      </c>
      <c r="L144" s="19">
        <v>2025</v>
      </c>
      <c r="M144" s="20">
        <v>1</v>
      </c>
      <c r="N144" s="19" t="s">
        <v>1798</v>
      </c>
      <c r="O144" s="20">
        <v>25</v>
      </c>
      <c r="P144" s="20">
        <v>25</v>
      </c>
      <c r="Q144" s="20">
        <v>999.98119741012567</v>
      </c>
      <c r="R144" s="21">
        <v>0.63</v>
      </c>
      <c r="S144" s="20">
        <v>999.98119741012567</v>
      </c>
    </row>
    <row r="145" spans="2:19" ht="15" customHeight="1" x14ac:dyDescent="0.25">
      <c r="B145" s="2" t="str">
        <f t="shared" si="4"/>
        <v>PGL_Residential_Home Energy Rebate_Standard Rebate_Boiler_≥88% AFUE, &lt;300MBh_SF</v>
      </c>
      <c r="C145" s="2" t="str">
        <f t="shared" si="5"/>
        <v>PGL_Residential_Home Energy Rebate_Standard Rebate_Boiler_≥88% AFUE, &lt;300MBh_SF_2022</v>
      </c>
      <c r="D145" s="19" t="s">
        <v>1794</v>
      </c>
      <c r="E145" s="19" t="s">
        <v>2</v>
      </c>
      <c r="F145" s="19" t="s">
        <v>1417</v>
      </c>
      <c r="G145" s="19" t="s">
        <v>1418</v>
      </c>
      <c r="H145" s="19" t="s">
        <v>944</v>
      </c>
      <c r="I145" s="19" t="s">
        <v>945</v>
      </c>
      <c r="J145" s="19" t="s">
        <v>1057</v>
      </c>
      <c r="K145" s="19" t="s">
        <v>409</v>
      </c>
      <c r="L145" s="19">
        <v>2022</v>
      </c>
      <c r="M145" s="20">
        <v>1</v>
      </c>
      <c r="N145" s="19" t="s">
        <v>1798</v>
      </c>
      <c r="O145" s="20">
        <v>32</v>
      </c>
      <c r="P145" s="20">
        <v>32</v>
      </c>
      <c r="Q145" s="20">
        <v>2971.25632</v>
      </c>
      <c r="R145" s="21">
        <v>0.63</v>
      </c>
      <c r="S145" s="20">
        <v>2971.25632</v>
      </c>
    </row>
    <row r="146" spans="2:19" ht="15" customHeight="1" x14ac:dyDescent="0.25">
      <c r="B146" s="2" t="str">
        <f t="shared" si="4"/>
        <v>PGL_Residential_Home Energy Rebate_Standard Rebate_Boiler_≥88% AFUE, &lt;300MBh_SF</v>
      </c>
      <c r="C146" s="2" t="str">
        <f t="shared" si="5"/>
        <v>PGL_Residential_Home Energy Rebate_Standard Rebate_Boiler_≥88% AFUE, &lt;300MBh_SF_2023</v>
      </c>
      <c r="D146" s="19" t="s">
        <v>1794</v>
      </c>
      <c r="E146" s="19" t="s">
        <v>2</v>
      </c>
      <c r="F146" s="19" t="s">
        <v>1417</v>
      </c>
      <c r="G146" s="19" t="s">
        <v>1418</v>
      </c>
      <c r="H146" s="19" t="s">
        <v>944</v>
      </c>
      <c r="I146" s="19" t="s">
        <v>945</v>
      </c>
      <c r="J146" s="19" t="s">
        <v>1057</v>
      </c>
      <c r="K146" s="19" t="s">
        <v>409</v>
      </c>
      <c r="L146" s="19">
        <v>2023</v>
      </c>
      <c r="M146" s="20">
        <v>1</v>
      </c>
      <c r="N146" s="19" t="s">
        <v>1798</v>
      </c>
      <c r="O146" s="20">
        <v>30</v>
      </c>
      <c r="P146" s="20">
        <v>30</v>
      </c>
      <c r="Q146" s="20">
        <v>2785.5527999999999</v>
      </c>
      <c r="R146" s="21">
        <v>0.63</v>
      </c>
      <c r="S146" s="20">
        <v>2785.5527999999999</v>
      </c>
    </row>
    <row r="147" spans="2:19" ht="15" customHeight="1" x14ac:dyDescent="0.25">
      <c r="B147" s="2" t="str">
        <f t="shared" si="4"/>
        <v>PGL_Residential_Home Energy Rebate_Standard Rebate_Boiler_≥88% AFUE, &lt;300MBh_SF</v>
      </c>
      <c r="C147" s="2" t="str">
        <f t="shared" si="5"/>
        <v>PGL_Residential_Home Energy Rebate_Standard Rebate_Boiler_≥88% AFUE, &lt;300MBh_SF_2024</v>
      </c>
      <c r="D147" s="19" t="s">
        <v>1794</v>
      </c>
      <c r="E147" s="19" t="s">
        <v>2</v>
      </c>
      <c r="F147" s="19" t="s">
        <v>1417</v>
      </c>
      <c r="G147" s="19" t="s">
        <v>1418</v>
      </c>
      <c r="H147" s="19" t="s">
        <v>944</v>
      </c>
      <c r="I147" s="19" t="s">
        <v>945</v>
      </c>
      <c r="J147" s="19" t="s">
        <v>1057</v>
      </c>
      <c r="K147" s="19" t="s">
        <v>409</v>
      </c>
      <c r="L147" s="19">
        <v>2024</v>
      </c>
      <c r="M147" s="20">
        <v>1</v>
      </c>
      <c r="N147" s="19" t="s">
        <v>1798</v>
      </c>
      <c r="O147" s="20">
        <v>28</v>
      </c>
      <c r="P147" s="20">
        <v>28</v>
      </c>
      <c r="Q147" s="20">
        <v>2599.8492799999999</v>
      </c>
      <c r="R147" s="21">
        <v>0.63</v>
      </c>
      <c r="S147" s="20">
        <v>2599.8492799999999</v>
      </c>
    </row>
    <row r="148" spans="2:19" ht="15" customHeight="1" x14ac:dyDescent="0.25">
      <c r="B148" s="2" t="str">
        <f t="shared" si="4"/>
        <v>PGL_Residential_Home Energy Rebate_Standard Rebate_Boiler_≥88% AFUE, &lt;300MBh_SF</v>
      </c>
      <c r="C148" s="2" t="str">
        <f t="shared" si="5"/>
        <v>PGL_Residential_Home Energy Rebate_Standard Rebate_Boiler_≥88% AFUE, &lt;300MBh_SF_2025</v>
      </c>
      <c r="D148" s="19" t="s">
        <v>1794</v>
      </c>
      <c r="E148" s="19" t="s">
        <v>2</v>
      </c>
      <c r="F148" s="19" t="s">
        <v>1417</v>
      </c>
      <c r="G148" s="19" t="s">
        <v>1418</v>
      </c>
      <c r="H148" s="19" t="s">
        <v>944</v>
      </c>
      <c r="I148" s="19" t="s">
        <v>945</v>
      </c>
      <c r="J148" s="19" t="s">
        <v>1057</v>
      </c>
      <c r="K148" s="19" t="s">
        <v>409</v>
      </c>
      <c r="L148" s="19">
        <v>2025</v>
      </c>
      <c r="M148" s="20">
        <v>1</v>
      </c>
      <c r="N148" s="19" t="s">
        <v>1798</v>
      </c>
      <c r="O148" s="20">
        <v>25</v>
      </c>
      <c r="P148" s="20">
        <v>25</v>
      </c>
      <c r="Q148" s="20">
        <v>2321.2939999999999</v>
      </c>
      <c r="R148" s="21">
        <v>0.63</v>
      </c>
      <c r="S148" s="20">
        <v>2321.2939999999999</v>
      </c>
    </row>
    <row r="149" spans="2:19" ht="15" customHeight="1" x14ac:dyDescent="0.25">
      <c r="B149" s="2" t="str">
        <f t="shared" si="4"/>
        <v>PGL_Residential_Home Energy Rebate_Standard Rebate_Steam Boiler_≥82% AFUE, &lt;300MBh_SF</v>
      </c>
      <c r="C149" s="2" t="str">
        <f t="shared" si="5"/>
        <v>PGL_Residential_Home Energy Rebate_Standard Rebate_Steam Boiler_≥82% AFUE, &lt;300MBh_SF_2022</v>
      </c>
      <c r="D149" s="19" t="s">
        <v>1794</v>
      </c>
      <c r="E149" s="19" t="s">
        <v>2</v>
      </c>
      <c r="F149" s="19" t="s">
        <v>1417</v>
      </c>
      <c r="G149" s="19" t="s">
        <v>1418</v>
      </c>
      <c r="H149" s="19" t="s">
        <v>938</v>
      </c>
      <c r="I149" s="19" t="s">
        <v>1061</v>
      </c>
      <c r="J149" s="19" t="s">
        <v>1057</v>
      </c>
      <c r="K149" s="19" t="s">
        <v>409</v>
      </c>
      <c r="L149" s="19">
        <v>2022</v>
      </c>
      <c r="M149" s="20">
        <v>1</v>
      </c>
      <c r="N149" s="19" t="s">
        <v>1798</v>
      </c>
      <c r="O149" s="20">
        <v>5</v>
      </c>
      <c r="P149" s="20">
        <v>5</v>
      </c>
      <c r="Q149" s="20">
        <v>22.43312195121953</v>
      </c>
      <c r="R149" s="21">
        <v>0.63</v>
      </c>
      <c r="S149" s="20">
        <v>22.43312195121953</v>
      </c>
    </row>
    <row r="150" spans="2:19" ht="15" customHeight="1" x14ac:dyDescent="0.25">
      <c r="B150" s="2" t="str">
        <f t="shared" si="4"/>
        <v>PGL_Residential_Home Energy Rebate_Standard Rebate_Steam Boiler_≥82% AFUE, &lt;300MBh_SF</v>
      </c>
      <c r="C150" s="2" t="str">
        <f t="shared" si="5"/>
        <v>PGL_Residential_Home Energy Rebate_Standard Rebate_Steam Boiler_≥82% AFUE, &lt;300MBh_SF_2023</v>
      </c>
      <c r="D150" s="19" t="s">
        <v>1794</v>
      </c>
      <c r="E150" s="19" t="s">
        <v>2</v>
      </c>
      <c r="F150" s="19" t="s">
        <v>1417</v>
      </c>
      <c r="G150" s="19" t="s">
        <v>1418</v>
      </c>
      <c r="H150" s="19" t="s">
        <v>938</v>
      </c>
      <c r="I150" s="19" t="s">
        <v>1061</v>
      </c>
      <c r="J150" s="19" t="s">
        <v>1057</v>
      </c>
      <c r="K150" s="19" t="s">
        <v>409</v>
      </c>
      <c r="L150" s="19">
        <v>2023</v>
      </c>
      <c r="M150" s="20">
        <v>1</v>
      </c>
      <c r="N150" s="19" t="s">
        <v>1798</v>
      </c>
      <c r="O150" s="20">
        <v>4</v>
      </c>
      <c r="P150" s="20">
        <v>4</v>
      </c>
      <c r="Q150" s="20">
        <v>17.946497560975626</v>
      </c>
      <c r="R150" s="21">
        <v>0.63</v>
      </c>
      <c r="S150" s="20">
        <v>17.946497560975626</v>
      </c>
    </row>
    <row r="151" spans="2:19" ht="15" customHeight="1" x14ac:dyDescent="0.25">
      <c r="B151" s="2" t="str">
        <f t="shared" si="4"/>
        <v>PGL_Residential_Home Energy Rebate_Standard Rebate_Steam Boiler_≥82% AFUE, &lt;300MBh_SF</v>
      </c>
      <c r="C151" s="2" t="str">
        <f t="shared" si="5"/>
        <v>PGL_Residential_Home Energy Rebate_Standard Rebate_Steam Boiler_≥82% AFUE, &lt;300MBh_SF_2024</v>
      </c>
      <c r="D151" s="19" t="s">
        <v>1794</v>
      </c>
      <c r="E151" s="19" t="s">
        <v>2</v>
      </c>
      <c r="F151" s="19" t="s">
        <v>1417</v>
      </c>
      <c r="G151" s="19" t="s">
        <v>1418</v>
      </c>
      <c r="H151" s="19" t="s">
        <v>938</v>
      </c>
      <c r="I151" s="19" t="s">
        <v>1061</v>
      </c>
      <c r="J151" s="19" t="s">
        <v>1057</v>
      </c>
      <c r="K151" s="19" t="s">
        <v>409</v>
      </c>
      <c r="L151" s="19">
        <v>2024</v>
      </c>
      <c r="M151" s="20">
        <v>1</v>
      </c>
      <c r="N151" s="19" t="s">
        <v>1798</v>
      </c>
      <c r="O151" s="20">
        <v>4</v>
      </c>
      <c r="P151" s="20">
        <v>4</v>
      </c>
      <c r="Q151" s="20">
        <v>17.946497560975626</v>
      </c>
      <c r="R151" s="21">
        <v>0.63</v>
      </c>
      <c r="S151" s="20">
        <v>17.946497560975626</v>
      </c>
    </row>
    <row r="152" spans="2:19" ht="15" customHeight="1" x14ac:dyDescent="0.25">
      <c r="B152" s="2" t="str">
        <f t="shared" si="4"/>
        <v>PGL_Residential_Home Energy Rebate_Standard Rebate_Steam Boiler_≥82% AFUE, &lt;300MBh_SF</v>
      </c>
      <c r="C152" s="2" t="str">
        <f t="shared" si="5"/>
        <v>PGL_Residential_Home Energy Rebate_Standard Rebate_Steam Boiler_≥82% AFUE, &lt;300MBh_SF_2025</v>
      </c>
      <c r="D152" s="19" t="s">
        <v>1794</v>
      </c>
      <c r="E152" s="19" t="s">
        <v>2</v>
      </c>
      <c r="F152" s="19" t="s">
        <v>1417</v>
      </c>
      <c r="G152" s="19" t="s">
        <v>1418</v>
      </c>
      <c r="H152" s="19" t="s">
        <v>938</v>
      </c>
      <c r="I152" s="19" t="s">
        <v>1061</v>
      </c>
      <c r="J152" s="19" t="s">
        <v>1057</v>
      </c>
      <c r="K152" s="19" t="s">
        <v>409</v>
      </c>
      <c r="L152" s="19">
        <v>2025</v>
      </c>
      <c r="M152" s="20">
        <v>1</v>
      </c>
      <c r="N152" s="19" t="s">
        <v>1798</v>
      </c>
      <c r="O152" s="20">
        <v>4</v>
      </c>
      <c r="P152" s="20">
        <v>4</v>
      </c>
      <c r="Q152" s="20">
        <v>17.946497560975626</v>
      </c>
      <c r="R152" s="21">
        <v>0.63</v>
      </c>
      <c r="S152" s="20">
        <v>17.946497560975626</v>
      </c>
    </row>
    <row r="153" spans="2:19" ht="15" customHeight="1" x14ac:dyDescent="0.25">
      <c r="B153" s="2" t="str">
        <f t="shared" si="4"/>
        <v>PGL_Residential_Home Energy Rebate_Standard Rebate_Furnace_&gt;95% AFUE_SF</v>
      </c>
      <c r="C153" s="2" t="str">
        <f t="shared" si="5"/>
        <v>PGL_Residential_Home Energy Rebate_Standard Rebate_Furnace_&gt;95% AFUE_SF_2022</v>
      </c>
      <c r="D153" s="19" t="s">
        <v>1794</v>
      </c>
      <c r="E153" s="19" t="s">
        <v>2</v>
      </c>
      <c r="F153" s="19" t="s">
        <v>1417</v>
      </c>
      <c r="G153" s="19" t="s">
        <v>1418</v>
      </c>
      <c r="H153" s="19" t="s">
        <v>490</v>
      </c>
      <c r="I153" s="19" t="s">
        <v>982</v>
      </c>
      <c r="J153" s="19" t="s">
        <v>990</v>
      </c>
      <c r="K153" s="19" t="s">
        <v>409</v>
      </c>
      <c r="L153" s="19">
        <v>2022</v>
      </c>
      <c r="M153" s="20">
        <v>1</v>
      </c>
      <c r="N153" s="19" t="s">
        <v>1798</v>
      </c>
      <c r="O153" s="20">
        <v>1260</v>
      </c>
      <c r="P153" s="20">
        <v>1260</v>
      </c>
      <c r="Q153" s="20">
        <v>147353.67634615378</v>
      </c>
      <c r="R153" s="21">
        <v>0.63</v>
      </c>
      <c r="S153" s="20">
        <v>147353.67634615378</v>
      </c>
    </row>
    <row r="154" spans="2:19" ht="15" customHeight="1" x14ac:dyDescent="0.25">
      <c r="B154" s="2" t="str">
        <f t="shared" si="4"/>
        <v>PGL_Residential_Home Energy Rebate_Standard Rebate_Furnace_&gt;95% AFUE_SF</v>
      </c>
      <c r="C154" s="2" t="str">
        <f t="shared" si="5"/>
        <v>PGL_Residential_Home Energy Rebate_Standard Rebate_Furnace_&gt;95% AFUE_SF_2023</v>
      </c>
      <c r="D154" s="19" t="s">
        <v>1794</v>
      </c>
      <c r="E154" s="19" t="s">
        <v>2</v>
      </c>
      <c r="F154" s="19" t="s">
        <v>1417</v>
      </c>
      <c r="G154" s="19" t="s">
        <v>1418</v>
      </c>
      <c r="H154" s="19" t="s">
        <v>490</v>
      </c>
      <c r="I154" s="19" t="s">
        <v>982</v>
      </c>
      <c r="J154" s="19" t="s">
        <v>990</v>
      </c>
      <c r="K154" s="19" t="s">
        <v>409</v>
      </c>
      <c r="L154" s="19">
        <v>2023</v>
      </c>
      <c r="M154" s="20">
        <v>1</v>
      </c>
      <c r="N154" s="19" t="s">
        <v>1798</v>
      </c>
      <c r="O154" s="20">
        <v>1190</v>
      </c>
      <c r="P154" s="20">
        <v>1190</v>
      </c>
      <c r="Q154" s="20">
        <v>139167.36099358968</v>
      </c>
      <c r="R154" s="21">
        <v>0.63</v>
      </c>
      <c r="S154" s="20">
        <v>139167.36099358968</v>
      </c>
    </row>
    <row r="155" spans="2:19" ht="15" customHeight="1" x14ac:dyDescent="0.25">
      <c r="B155" s="2" t="str">
        <f t="shared" si="4"/>
        <v>PGL_Residential_Home Energy Rebate_Standard Rebate_Furnace_&gt;95% AFUE_SF</v>
      </c>
      <c r="C155" s="2" t="str">
        <f t="shared" si="5"/>
        <v>PGL_Residential_Home Energy Rebate_Standard Rebate_Furnace_&gt;95% AFUE_SF_2024</v>
      </c>
      <c r="D155" s="19" t="s">
        <v>1794</v>
      </c>
      <c r="E155" s="19" t="s">
        <v>2</v>
      </c>
      <c r="F155" s="19" t="s">
        <v>1417</v>
      </c>
      <c r="G155" s="19" t="s">
        <v>1418</v>
      </c>
      <c r="H155" s="19" t="s">
        <v>490</v>
      </c>
      <c r="I155" s="19" t="s">
        <v>982</v>
      </c>
      <c r="J155" s="19" t="s">
        <v>990</v>
      </c>
      <c r="K155" s="19" t="s">
        <v>409</v>
      </c>
      <c r="L155" s="19">
        <v>2024</v>
      </c>
      <c r="M155" s="20">
        <v>1</v>
      </c>
      <c r="N155" s="19" t="s">
        <v>1798</v>
      </c>
      <c r="O155" s="20">
        <v>1120</v>
      </c>
      <c r="P155" s="20">
        <v>1120</v>
      </c>
      <c r="Q155" s="20">
        <v>130981.04564102559</v>
      </c>
      <c r="R155" s="21">
        <v>0.63</v>
      </c>
      <c r="S155" s="20">
        <v>130981.04564102559</v>
      </c>
    </row>
    <row r="156" spans="2:19" ht="15" customHeight="1" x14ac:dyDescent="0.25">
      <c r="B156" s="2" t="str">
        <f t="shared" si="4"/>
        <v>PGL_Residential_Home Energy Rebate_Standard Rebate_Furnace_&gt;95% AFUE_SF</v>
      </c>
      <c r="C156" s="2" t="str">
        <f t="shared" si="5"/>
        <v>PGL_Residential_Home Energy Rebate_Standard Rebate_Furnace_&gt;95% AFUE_SF_2025</v>
      </c>
      <c r="D156" s="19" t="s">
        <v>1794</v>
      </c>
      <c r="E156" s="19" t="s">
        <v>2</v>
      </c>
      <c r="F156" s="19" t="s">
        <v>1417</v>
      </c>
      <c r="G156" s="19" t="s">
        <v>1418</v>
      </c>
      <c r="H156" s="19" t="s">
        <v>490</v>
      </c>
      <c r="I156" s="19" t="s">
        <v>982</v>
      </c>
      <c r="J156" s="19" t="s">
        <v>990</v>
      </c>
      <c r="K156" s="19" t="s">
        <v>409</v>
      </c>
      <c r="L156" s="19">
        <v>2025</v>
      </c>
      <c r="M156" s="20">
        <v>1</v>
      </c>
      <c r="N156" s="19" t="s">
        <v>1798</v>
      </c>
      <c r="O156" s="20">
        <v>980</v>
      </c>
      <c r="P156" s="20">
        <v>980</v>
      </c>
      <c r="Q156" s="20">
        <v>114608.41493589738</v>
      </c>
      <c r="R156" s="21">
        <v>0.63</v>
      </c>
      <c r="S156" s="20">
        <v>114608.41493589738</v>
      </c>
    </row>
    <row r="157" spans="2:19" ht="15" customHeight="1" x14ac:dyDescent="0.25">
      <c r="B157" s="2" t="str">
        <f t="shared" si="4"/>
        <v>PGL_Residential_Home Energy Rebate_Standard Rebate_Furnace_&gt;97% AFUE_SF</v>
      </c>
      <c r="C157" s="2" t="str">
        <f t="shared" si="5"/>
        <v>PGL_Residential_Home Energy Rebate_Standard Rebate_Furnace_&gt;97% AFUE_SF_2022</v>
      </c>
      <c r="D157" s="19" t="s">
        <v>1794</v>
      </c>
      <c r="E157" s="19" t="s">
        <v>2</v>
      </c>
      <c r="F157" s="19" t="s">
        <v>1417</v>
      </c>
      <c r="G157" s="19" t="s">
        <v>1418</v>
      </c>
      <c r="H157" s="19" t="s">
        <v>490</v>
      </c>
      <c r="I157" s="19" t="s">
        <v>1000</v>
      </c>
      <c r="J157" s="19" t="s">
        <v>990</v>
      </c>
      <c r="K157" s="19" t="s">
        <v>409</v>
      </c>
      <c r="L157" s="19">
        <v>2022</v>
      </c>
      <c r="M157" s="20">
        <v>1</v>
      </c>
      <c r="N157" s="19" t="s">
        <v>1798</v>
      </c>
      <c r="O157" s="20">
        <v>135</v>
      </c>
      <c r="P157" s="20">
        <v>135</v>
      </c>
      <c r="Q157" s="20">
        <v>17002.347270710059</v>
      </c>
      <c r="R157" s="21">
        <v>0.63</v>
      </c>
      <c r="S157" s="20">
        <v>17002.347270710059</v>
      </c>
    </row>
    <row r="158" spans="2:19" ht="15" customHeight="1" x14ac:dyDescent="0.25">
      <c r="B158" s="2" t="str">
        <f t="shared" si="4"/>
        <v>PGL_Residential_Home Energy Rebate_Standard Rebate_Furnace_&gt;97% AFUE_SF</v>
      </c>
      <c r="C158" s="2" t="str">
        <f t="shared" si="5"/>
        <v>PGL_Residential_Home Energy Rebate_Standard Rebate_Furnace_&gt;97% AFUE_SF_2023</v>
      </c>
      <c r="D158" s="19" t="s">
        <v>1794</v>
      </c>
      <c r="E158" s="19" t="s">
        <v>2</v>
      </c>
      <c r="F158" s="19" t="s">
        <v>1417</v>
      </c>
      <c r="G158" s="19" t="s">
        <v>1418</v>
      </c>
      <c r="H158" s="19" t="s">
        <v>490</v>
      </c>
      <c r="I158" s="19" t="s">
        <v>1000</v>
      </c>
      <c r="J158" s="19" t="s">
        <v>990</v>
      </c>
      <c r="K158" s="19" t="s">
        <v>409</v>
      </c>
      <c r="L158" s="19">
        <v>2023</v>
      </c>
      <c r="M158" s="20">
        <v>1</v>
      </c>
      <c r="N158" s="19" t="s">
        <v>1798</v>
      </c>
      <c r="O158" s="20">
        <v>128</v>
      </c>
      <c r="P158" s="20">
        <v>128</v>
      </c>
      <c r="Q158" s="20">
        <v>16120.744078895463</v>
      </c>
      <c r="R158" s="21">
        <v>0.63</v>
      </c>
      <c r="S158" s="20">
        <v>16120.744078895463</v>
      </c>
    </row>
    <row r="159" spans="2:19" ht="15" customHeight="1" x14ac:dyDescent="0.25">
      <c r="B159" s="2" t="str">
        <f t="shared" si="4"/>
        <v>PGL_Residential_Home Energy Rebate_Standard Rebate_Furnace_&gt;97% AFUE_SF</v>
      </c>
      <c r="C159" s="2" t="str">
        <f t="shared" si="5"/>
        <v>PGL_Residential_Home Energy Rebate_Standard Rebate_Furnace_&gt;97% AFUE_SF_2024</v>
      </c>
      <c r="D159" s="19" t="s">
        <v>1794</v>
      </c>
      <c r="E159" s="19" t="s">
        <v>2</v>
      </c>
      <c r="F159" s="19" t="s">
        <v>1417</v>
      </c>
      <c r="G159" s="19" t="s">
        <v>1418</v>
      </c>
      <c r="H159" s="19" t="s">
        <v>490</v>
      </c>
      <c r="I159" s="19" t="s">
        <v>1000</v>
      </c>
      <c r="J159" s="19" t="s">
        <v>990</v>
      </c>
      <c r="K159" s="19" t="s">
        <v>409</v>
      </c>
      <c r="L159" s="19">
        <v>2024</v>
      </c>
      <c r="M159" s="20">
        <v>1</v>
      </c>
      <c r="N159" s="19" t="s">
        <v>1798</v>
      </c>
      <c r="O159" s="20">
        <v>120</v>
      </c>
      <c r="P159" s="20">
        <v>120</v>
      </c>
      <c r="Q159" s="20">
        <v>15113.197573964499</v>
      </c>
      <c r="R159" s="21">
        <v>0.63</v>
      </c>
      <c r="S159" s="20">
        <v>15113.197573964499</v>
      </c>
    </row>
    <row r="160" spans="2:19" ht="15" customHeight="1" x14ac:dyDescent="0.25">
      <c r="B160" s="2" t="str">
        <f t="shared" si="4"/>
        <v>PGL_Residential_Home Energy Rebate_Standard Rebate_Furnace_&gt;97% AFUE_SF</v>
      </c>
      <c r="C160" s="2" t="str">
        <f t="shared" si="5"/>
        <v>PGL_Residential_Home Energy Rebate_Standard Rebate_Furnace_&gt;97% AFUE_SF_2025</v>
      </c>
      <c r="D160" s="19" t="s">
        <v>1794</v>
      </c>
      <c r="E160" s="19" t="s">
        <v>2</v>
      </c>
      <c r="F160" s="19" t="s">
        <v>1417</v>
      </c>
      <c r="G160" s="19" t="s">
        <v>1418</v>
      </c>
      <c r="H160" s="19" t="s">
        <v>490</v>
      </c>
      <c r="I160" s="19" t="s">
        <v>1000</v>
      </c>
      <c r="J160" s="19" t="s">
        <v>990</v>
      </c>
      <c r="K160" s="19" t="s">
        <v>409</v>
      </c>
      <c r="L160" s="19">
        <v>2025</v>
      </c>
      <c r="M160" s="20">
        <v>1</v>
      </c>
      <c r="N160" s="19" t="s">
        <v>1798</v>
      </c>
      <c r="O160" s="20">
        <v>105</v>
      </c>
      <c r="P160" s="20">
        <v>105</v>
      </c>
      <c r="Q160" s="20">
        <v>13224.047877218936</v>
      </c>
      <c r="R160" s="21">
        <v>0.63</v>
      </c>
      <c r="S160" s="20">
        <v>13224.047877218936</v>
      </c>
    </row>
    <row r="161" spans="2:19" ht="15" customHeight="1" x14ac:dyDescent="0.25">
      <c r="B161" s="2" t="str">
        <f t="shared" si="4"/>
        <v>PGL_Residential_Home Energy Rebate_Standard Rebate_Furnace Tune Up_Space Heating_SF</v>
      </c>
      <c r="C161" s="2" t="str">
        <f t="shared" si="5"/>
        <v>PGL_Residential_Home Energy Rebate_Standard Rebate_Furnace Tune Up_Space Heating_SF_2022</v>
      </c>
      <c r="D161" s="19" t="s">
        <v>1794</v>
      </c>
      <c r="E161" s="19" t="s">
        <v>2</v>
      </c>
      <c r="F161" s="19" t="s">
        <v>1417</v>
      </c>
      <c r="G161" s="19" t="s">
        <v>1418</v>
      </c>
      <c r="H161" s="19" t="s">
        <v>914</v>
      </c>
      <c r="I161" s="19" t="s">
        <v>907</v>
      </c>
      <c r="J161" s="19" t="s">
        <v>916</v>
      </c>
      <c r="K161" s="19" t="s">
        <v>409</v>
      </c>
      <c r="L161" s="19">
        <v>2022</v>
      </c>
      <c r="M161" s="20">
        <v>1</v>
      </c>
      <c r="N161" s="19" t="s">
        <v>1798</v>
      </c>
      <c r="O161" s="20">
        <v>0</v>
      </c>
      <c r="P161" s="20">
        <v>0</v>
      </c>
      <c r="Q161" s="20">
        <v>0</v>
      </c>
      <c r="R161" s="21">
        <v>0.63</v>
      </c>
      <c r="S161" s="20">
        <v>0</v>
      </c>
    </row>
    <row r="162" spans="2:19" ht="15" customHeight="1" x14ac:dyDescent="0.25">
      <c r="B162" s="2" t="str">
        <f t="shared" si="4"/>
        <v>PGL_Residential_Home Energy Rebate_Standard Rebate_Furnace Tune Up_Space Heating_SF</v>
      </c>
      <c r="C162" s="2" t="str">
        <f t="shared" si="5"/>
        <v>PGL_Residential_Home Energy Rebate_Standard Rebate_Furnace Tune Up_Space Heating_SF_2023</v>
      </c>
      <c r="D162" s="19" t="s">
        <v>1794</v>
      </c>
      <c r="E162" s="19" t="s">
        <v>2</v>
      </c>
      <c r="F162" s="19" t="s">
        <v>1417</v>
      </c>
      <c r="G162" s="19" t="s">
        <v>1418</v>
      </c>
      <c r="H162" s="19" t="s">
        <v>914</v>
      </c>
      <c r="I162" s="19" t="s">
        <v>907</v>
      </c>
      <c r="J162" s="19" t="s">
        <v>916</v>
      </c>
      <c r="K162" s="19" t="s">
        <v>409</v>
      </c>
      <c r="L162" s="19">
        <v>2023</v>
      </c>
      <c r="M162" s="20">
        <v>1</v>
      </c>
      <c r="N162" s="19" t="s">
        <v>1798</v>
      </c>
      <c r="O162" s="20">
        <v>0</v>
      </c>
      <c r="P162" s="20">
        <v>0</v>
      </c>
      <c r="Q162" s="20">
        <v>0</v>
      </c>
      <c r="R162" s="21">
        <v>0.63</v>
      </c>
      <c r="S162" s="20">
        <v>0</v>
      </c>
    </row>
    <row r="163" spans="2:19" ht="15" customHeight="1" x14ac:dyDescent="0.25">
      <c r="B163" s="2" t="str">
        <f t="shared" si="4"/>
        <v>PGL_Residential_Home Energy Rebate_Standard Rebate_Furnace Tune Up_Space Heating_SF</v>
      </c>
      <c r="C163" s="2" t="str">
        <f t="shared" si="5"/>
        <v>PGL_Residential_Home Energy Rebate_Standard Rebate_Furnace Tune Up_Space Heating_SF_2024</v>
      </c>
      <c r="D163" s="19" t="s">
        <v>1794</v>
      </c>
      <c r="E163" s="19" t="s">
        <v>2</v>
      </c>
      <c r="F163" s="19" t="s">
        <v>1417</v>
      </c>
      <c r="G163" s="19" t="s">
        <v>1418</v>
      </c>
      <c r="H163" s="19" t="s">
        <v>914</v>
      </c>
      <c r="I163" s="19" t="s">
        <v>907</v>
      </c>
      <c r="J163" s="19" t="s">
        <v>916</v>
      </c>
      <c r="K163" s="19" t="s">
        <v>409</v>
      </c>
      <c r="L163" s="19">
        <v>2024</v>
      </c>
      <c r="M163" s="20">
        <v>1</v>
      </c>
      <c r="N163" s="19" t="s">
        <v>1798</v>
      </c>
      <c r="O163" s="20">
        <v>0</v>
      </c>
      <c r="P163" s="20">
        <v>0</v>
      </c>
      <c r="Q163" s="20">
        <v>0</v>
      </c>
      <c r="R163" s="21">
        <v>0.63</v>
      </c>
      <c r="S163" s="20">
        <v>0</v>
      </c>
    </row>
    <row r="164" spans="2:19" ht="15" customHeight="1" x14ac:dyDescent="0.25">
      <c r="B164" s="2" t="str">
        <f t="shared" si="4"/>
        <v>PGL_Residential_Home Energy Rebate_Standard Rebate_Furnace Tune Up_Space Heating_SF</v>
      </c>
      <c r="C164" s="2" t="str">
        <f t="shared" si="5"/>
        <v>PGL_Residential_Home Energy Rebate_Standard Rebate_Furnace Tune Up_Space Heating_SF_2025</v>
      </c>
      <c r="D164" s="19" t="s">
        <v>1794</v>
      </c>
      <c r="E164" s="19" t="s">
        <v>2</v>
      </c>
      <c r="F164" s="19" t="s">
        <v>1417</v>
      </c>
      <c r="G164" s="19" t="s">
        <v>1418</v>
      </c>
      <c r="H164" s="19" t="s">
        <v>914</v>
      </c>
      <c r="I164" s="19" t="s">
        <v>907</v>
      </c>
      <c r="J164" s="19" t="s">
        <v>916</v>
      </c>
      <c r="K164" s="19" t="s">
        <v>409</v>
      </c>
      <c r="L164" s="19">
        <v>2025</v>
      </c>
      <c r="M164" s="20">
        <v>1</v>
      </c>
      <c r="N164" s="19" t="s">
        <v>1798</v>
      </c>
      <c r="O164" s="20">
        <v>0</v>
      </c>
      <c r="P164" s="20">
        <v>0</v>
      </c>
      <c r="Q164" s="20">
        <v>0</v>
      </c>
      <c r="R164" s="21">
        <v>0.63</v>
      </c>
      <c r="S164" s="20">
        <v>0</v>
      </c>
    </row>
    <row r="165" spans="2:19" ht="15" customHeight="1" x14ac:dyDescent="0.25">
      <c r="B165" s="2" t="str">
        <f t="shared" si="4"/>
        <v>PGL_Residential_Home Energy Rebate_Standard Rebate_Advanced Thermostat_Furnace (Replace Manual) - Non DI_SF</v>
      </c>
      <c r="C165" s="2" t="str">
        <f t="shared" si="5"/>
        <v>PGL_Residential_Home Energy Rebate_Standard Rebate_Advanced Thermostat_Furnace (Replace Manual) - Non DI_SF_2022</v>
      </c>
      <c r="D165" s="19" t="s">
        <v>1794</v>
      </c>
      <c r="E165" s="19" t="s">
        <v>2</v>
      </c>
      <c r="F165" s="19" t="s">
        <v>1417</v>
      </c>
      <c r="G165" s="19" t="s">
        <v>1418</v>
      </c>
      <c r="H165" s="19" t="s">
        <v>7</v>
      </c>
      <c r="I165" s="19" t="s">
        <v>1407</v>
      </c>
      <c r="J165" s="19" t="s">
        <v>1469</v>
      </c>
      <c r="K165" s="19" t="s">
        <v>409</v>
      </c>
      <c r="L165" s="19">
        <v>2022</v>
      </c>
      <c r="M165" s="20">
        <v>1</v>
      </c>
      <c r="N165" s="19" t="s">
        <v>1798</v>
      </c>
      <c r="O165" s="20">
        <v>1500</v>
      </c>
      <c r="P165" s="20">
        <v>1500</v>
      </c>
      <c r="Q165" s="20">
        <v>126991.8</v>
      </c>
      <c r="R165" s="21">
        <v>0.9</v>
      </c>
      <c r="S165" s="20">
        <v>126991.8</v>
      </c>
    </row>
    <row r="166" spans="2:19" ht="15" customHeight="1" x14ac:dyDescent="0.25">
      <c r="B166" s="2" t="str">
        <f t="shared" si="4"/>
        <v>PGL_Residential_Home Energy Rebate_Standard Rebate_Advanced Thermostat_Furnace (Replace Manual) - Non DI_SF</v>
      </c>
      <c r="C166" s="2" t="str">
        <f t="shared" si="5"/>
        <v>PGL_Residential_Home Energy Rebate_Standard Rebate_Advanced Thermostat_Furnace (Replace Manual) - Non DI_SF_2023</v>
      </c>
      <c r="D166" s="19" t="s">
        <v>1794</v>
      </c>
      <c r="E166" s="19" t="s">
        <v>2</v>
      </c>
      <c r="F166" s="19" t="s">
        <v>1417</v>
      </c>
      <c r="G166" s="19" t="s">
        <v>1418</v>
      </c>
      <c r="H166" s="19" t="s">
        <v>7</v>
      </c>
      <c r="I166" s="19" t="s">
        <v>1407</v>
      </c>
      <c r="J166" s="19" t="s">
        <v>1469</v>
      </c>
      <c r="K166" s="19" t="s">
        <v>409</v>
      </c>
      <c r="L166" s="19">
        <v>2023</v>
      </c>
      <c r="M166" s="20">
        <v>1</v>
      </c>
      <c r="N166" s="19" t="s">
        <v>1798</v>
      </c>
      <c r="O166" s="20">
        <v>1500</v>
      </c>
      <c r="P166" s="20">
        <v>1500</v>
      </c>
      <c r="Q166" s="20">
        <v>126991.8</v>
      </c>
      <c r="R166" s="21">
        <v>0.9</v>
      </c>
      <c r="S166" s="20">
        <v>126991.8</v>
      </c>
    </row>
    <row r="167" spans="2:19" ht="15" customHeight="1" x14ac:dyDescent="0.25">
      <c r="B167" s="2" t="str">
        <f t="shared" si="4"/>
        <v>PGL_Residential_Home Energy Rebate_Standard Rebate_Advanced Thermostat_Furnace (Replace Manual) - Non DI_SF</v>
      </c>
      <c r="C167" s="2" t="str">
        <f t="shared" si="5"/>
        <v>PGL_Residential_Home Energy Rebate_Standard Rebate_Advanced Thermostat_Furnace (Replace Manual) - Non DI_SF_2024</v>
      </c>
      <c r="D167" s="19" t="s">
        <v>1794</v>
      </c>
      <c r="E167" s="19" t="s">
        <v>2</v>
      </c>
      <c r="F167" s="19" t="s">
        <v>1417</v>
      </c>
      <c r="G167" s="19" t="s">
        <v>1418</v>
      </c>
      <c r="H167" s="19" t="s">
        <v>7</v>
      </c>
      <c r="I167" s="19" t="s">
        <v>1407</v>
      </c>
      <c r="J167" s="19" t="s">
        <v>1469</v>
      </c>
      <c r="K167" s="19" t="s">
        <v>409</v>
      </c>
      <c r="L167" s="19">
        <v>2024</v>
      </c>
      <c r="M167" s="20">
        <v>1</v>
      </c>
      <c r="N167" s="19" t="s">
        <v>1798</v>
      </c>
      <c r="O167" s="20">
        <v>1500</v>
      </c>
      <c r="P167" s="20">
        <v>1500</v>
      </c>
      <c r="Q167" s="20">
        <v>126991.8</v>
      </c>
      <c r="R167" s="21">
        <v>0.9</v>
      </c>
      <c r="S167" s="20">
        <v>126991.8</v>
      </c>
    </row>
    <row r="168" spans="2:19" ht="15" customHeight="1" x14ac:dyDescent="0.25">
      <c r="B168" s="2" t="str">
        <f t="shared" si="4"/>
        <v>PGL_Residential_Home Energy Rebate_Standard Rebate_Advanced Thermostat_Furnace (Replace Manual) - Non DI_SF</v>
      </c>
      <c r="C168" s="2" t="str">
        <f t="shared" si="5"/>
        <v>PGL_Residential_Home Energy Rebate_Standard Rebate_Advanced Thermostat_Furnace (Replace Manual) - Non DI_SF_2025</v>
      </c>
      <c r="D168" s="19" t="s">
        <v>1794</v>
      </c>
      <c r="E168" s="19" t="s">
        <v>2</v>
      </c>
      <c r="F168" s="19" t="s">
        <v>1417</v>
      </c>
      <c r="G168" s="19" t="s">
        <v>1418</v>
      </c>
      <c r="H168" s="19" t="s">
        <v>7</v>
      </c>
      <c r="I168" s="19" t="s">
        <v>1407</v>
      </c>
      <c r="J168" s="19" t="s">
        <v>1469</v>
      </c>
      <c r="K168" s="19" t="s">
        <v>409</v>
      </c>
      <c r="L168" s="19">
        <v>2025</v>
      </c>
      <c r="M168" s="20">
        <v>1</v>
      </c>
      <c r="N168" s="19" t="s">
        <v>1798</v>
      </c>
      <c r="O168" s="20">
        <v>1500</v>
      </c>
      <c r="P168" s="20">
        <v>1500</v>
      </c>
      <c r="Q168" s="20">
        <v>126991.8</v>
      </c>
      <c r="R168" s="21">
        <v>0.9</v>
      </c>
      <c r="S168" s="20">
        <v>126991.8</v>
      </c>
    </row>
    <row r="169" spans="2:19" ht="15" customHeight="1" x14ac:dyDescent="0.25">
      <c r="B169" s="2" t="str">
        <f t="shared" si="4"/>
        <v>PGL_Residential_Home Energy Rebate_Standard Rebate_Advanced Thermostat_Boiler (Replace Manual) - Non DI_SF</v>
      </c>
      <c r="C169" s="2" t="str">
        <f t="shared" si="5"/>
        <v>PGL_Residential_Home Energy Rebate_Standard Rebate_Advanced Thermostat_Boiler (Replace Manual) - Non DI_SF_2022</v>
      </c>
      <c r="D169" s="19" t="s">
        <v>1794</v>
      </c>
      <c r="E169" s="19" t="s">
        <v>2</v>
      </c>
      <c r="F169" s="19" t="s">
        <v>1417</v>
      </c>
      <c r="G169" s="19" t="s">
        <v>1418</v>
      </c>
      <c r="H169" s="19" t="s">
        <v>7</v>
      </c>
      <c r="I169" s="19" t="s">
        <v>1410</v>
      </c>
      <c r="J169" s="19" t="s">
        <v>1469</v>
      </c>
      <c r="K169" s="19" t="s">
        <v>409</v>
      </c>
      <c r="L169" s="19">
        <v>2022</v>
      </c>
      <c r="M169" s="20">
        <v>1</v>
      </c>
      <c r="N169" s="19" t="s">
        <v>1798</v>
      </c>
      <c r="O169" s="20">
        <v>2000</v>
      </c>
      <c r="P169" s="20">
        <v>2000</v>
      </c>
      <c r="Q169" s="20">
        <v>277992</v>
      </c>
      <c r="R169" s="21">
        <v>0.9</v>
      </c>
      <c r="S169" s="20">
        <v>277992</v>
      </c>
    </row>
    <row r="170" spans="2:19" ht="15" customHeight="1" x14ac:dyDescent="0.25">
      <c r="B170" s="2" t="str">
        <f t="shared" si="4"/>
        <v>PGL_Residential_Home Energy Rebate_Standard Rebate_Advanced Thermostat_Boiler (Replace Manual) - Non DI_SF</v>
      </c>
      <c r="C170" s="2" t="str">
        <f t="shared" si="5"/>
        <v>PGL_Residential_Home Energy Rebate_Standard Rebate_Advanced Thermostat_Boiler (Replace Manual) - Non DI_SF_2023</v>
      </c>
      <c r="D170" s="19" t="s">
        <v>1794</v>
      </c>
      <c r="E170" s="19" t="s">
        <v>2</v>
      </c>
      <c r="F170" s="19" t="s">
        <v>1417</v>
      </c>
      <c r="G170" s="19" t="s">
        <v>1418</v>
      </c>
      <c r="H170" s="19" t="s">
        <v>7</v>
      </c>
      <c r="I170" s="19" t="s">
        <v>1410</v>
      </c>
      <c r="J170" s="19" t="s">
        <v>1469</v>
      </c>
      <c r="K170" s="19" t="s">
        <v>409</v>
      </c>
      <c r="L170" s="19">
        <v>2023</v>
      </c>
      <c r="M170" s="20">
        <v>1</v>
      </c>
      <c r="N170" s="19" t="s">
        <v>1798</v>
      </c>
      <c r="O170" s="20">
        <v>2000</v>
      </c>
      <c r="P170" s="20">
        <v>2000</v>
      </c>
      <c r="Q170" s="20">
        <v>277992</v>
      </c>
      <c r="R170" s="21">
        <v>0.9</v>
      </c>
      <c r="S170" s="20">
        <v>277992</v>
      </c>
    </row>
    <row r="171" spans="2:19" ht="15" customHeight="1" x14ac:dyDescent="0.25">
      <c r="B171" s="2" t="str">
        <f t="shared" si="4"/>
        <v>PGL_Residential_Home Energy Rebate_Standard Rebate_Advanced Thermostat_Boiler (Replace Manual) - Non DI_SF</v>
      </c>
      <c r="C171" s="2" t="str">
        <f t="shared" si="5"/>
        <v>PGL_Residential_Home Energy Rebate_Standard Rebate_Advanced Thermostat_Boiler (Replace Manual) - Non DI_SF_2024</v>
      </c>
      <c r="D171" s="19" t="s">
        <v>1794</v>
      </c>
      <c r="E171" s="19" t="s">
        <v>2</v>
      </c>
      <c r="F171" s="19" t="s">
        <v>1417</v>
      </c>
      <c r="G171" s="19" t="s">
        <v>1418</v>
      </c>
      <c r="H171" s="19" t="s">
        <v>7</v>
      </c>
      <c r="I171" s="19" t="s">
        <v>1410</v>
      </c>
      <c r="J171" s="19" t="s">
        <v>1469</v>
      </c>
      <c r="K171" s="19" t="s">
        <v>409</v>
      </c>
      <c r="L171" s="19">
        <v>2024</v>
      </c>
      <c r="M171" s="20">
        <v>1</v>
      </c>
      <c r="N171" s="19" t="s">
        <v>1798</v>
      </c>
      <c r="O171" s="20">
        <v>2000</v>
      </c>
      <c r="P171" s="20">
        <v>2000</v>
      </c>
      <c r="Q171" s="20">
        <v>277992</v>
      </c>
      <c r="R171" s="21">
        <v>0.9</v>
      </c>
      <c r="S171" s="20">
        <v>277992</v>
      </c>
    </row>
    <row r="172" spans="2:19" ht="15" customHeight="1" x14ac:dyDescent="0.25">
      <c r="B172" s="2" t="str">
        <f t="shared" si="4"/>
        <v>PGL_Residential_Home Energy Rebate_Standard Rebate_Advanced Thermostat_Boiler (Replace Manual) - Non DI_SF</v>
      </c>
      <c r="C172" s="2" t="str">
        <f t="shared" si="5"/>
        <v>PGL_Residential_Home Energy Rebate_Standard Rebate_Advanced Thermostat_Boiler (Replace Manual) - Non DI_SF_2025</v>
      </c>
      <c r="D172" s="19" t="s">
        <v>1794</v>
      </c>
      <c r="E172" s="19" t="s">
        <v>2</v>
      </c>
      <c r="F172" s="19" t="s">
        <v>1417</v>
      </c>
      <c r="G172" s="19" t="s">
        <v>1418</v>
      </c>
      <c r="H172" s="19" t="s">
        <v>7</v>
      </c>
      <c r="I172" s="19" t="s">
        <v>1410</v>
      </c>
      <c r="J172" s="19" t="s">
        <v>1469</v>
      </c>
      <c r="K172" s="19" t="s">
        <v>409</v>
      </c>
      <c r="L172" s="19">
        <v>2025</v>
      </c>
      <c r="M172" s="20">
        <v>1</v>
      </c>
      <c r="N172" s="19" t="s">
        <v>1798</v>
      </c>
      <c r="O172" s="20">
        <v>2000</v>
      </c>
      <c r="P172" s="20">
        <v>2000</v>
      </c>
      <c r="Q172" s="20">
        <v>277992</v>
      </c>
      <c r="R172" s="21">
        <v>0.9</v>
      </c>
      <c r="S172" s="20">
        <v>277992</v>
      </c>
    </row>
    <row r="173" spans="2:19" ht="15" customHeight="1" x14ac:dyDescent="0.25">
      <c r="B173" s="2" t="str">
        <f t="shared" si="4"/>
        <v>PGL_Residential_Home Energy Rebate_Standard Rebate_Advanced Thermostat_Furnace (Replace Programmable) - Non DI_SF</v>
      </c>
      <c r="C173" s="2" t="str">
        <f t="shared" si="5"/>
        <v>PGL_Residential_Home Energy Rebate_Standard Rebate_Advanced Thermostat_Furnace (Replace Programmable) - Non DI_SF_2022</v>
      </c>
      <c r="D173" s="19" t="s">
        <v>1794</v>
      </c>
      <c r="E173" s="19" t="s">
        <v>2</v>
      </c>
      <c r="F173" s="19" t="s">
        <v>1417</v>
      </c>
      <c r="G173" s="19" t="s">
        <v>1418</v>
      </c>
      <c r="H173" s="19" t="s">
        <v>7</v>
      </c>
      <c r="I173" s="19" t="s">
        <v>1408</v>
      </c>
      <c r="J173" s="19" t="s">
        <v>1469</v>
      </c>
      <c r="K173" s="19" t="s">
        <v>409</v>
      </c>
      <c r="L173" s="19">
        <v>2022</v>
      </c>
      <c r="M173" s="20">
        <v>1</v>
      </c>
      <c r="N173" s="19" t="s">
        <v>1798</v>
      </c>
      <c r="O173" s="20">
        <v>500</v>
      </c>
      <c r="P173" s="20">
        <v>500</v>
      </c>
      <c r="Q173" s="20">
        <v>29712.825000000001</v>
      </c>
      <c r="R173" s="21">
        <v>0.9</v>
      </c>
      <c r="S173" s="20">
        <v>29712.825000000001</v>
      </c>
    </row>
    <row r="174" spans="2:19" ht="15" customHeight="1" x14ac:dyDescent="0.25">
      <c r="B174" s="2" t="str">
        <f t="shared" si="4"/>
        <v>PGL_Residential_Home Energy Rebate_Standard Rebate_Advanced Thermostat_Furnace (Replace Programmable) - Non DI_SF</v>
      </c>
      <c r="C174" s="2" t="str">
        <f t="shared" si="5"/>
        <v>PGL_Residential_Home Energy Rebate_Standard Rebate_Advanced Thermostat_Furnace (Replace Programmable) - Non DI_SF_2023</v>
      </c>
      <c r="D174" s="19" t="s">
        <v>1794</v>
      </c>
      <c r="E174" s="19" t="s">
        <v>2</v>
      </c>
      <c r="F174" s="19" t="s">
        <v>1417</v>
      </c>
      <c r="G174" s="19" t="s">
        <v>1418</v>
      </c>
      <c r="H174" s="19" t="s">
        <v>7</v>
      </c>
      <c r="I174" s="19" t="s">
        <v>1408</v>
      </c>
      <c r="J174" s="19" t="s">
        <v>1469</v>
      </c>
      <c r="K174" s="19" t="s">
        <v>409</v>
      </c>
      <c r="L174" s="19">
        <v>2023</v>
      </c>
      <c r="M174" s="20">
        <v>1</v>
      </c>
      <c r="N174" s="19" t="s">
        <v>1798</v>
      </c>
      <c r="O174" s="20">
        <v>500</v>
      </c>
      <c r="P174" s="20">
        <v>500</v>
      </c>
      <c r="Q174" s="20">
        <v>29712.825000000001</v>
      </c>
      <c r="R174" s="21">
        <v>0.9</v>
      </c>
      <c r="S174" s="20">
        <v>29712.825000000001</v>
      </c>
    </row>
    <row r="175" spans="2:19" ht="15" customHeight="1" x14ac:dyDescent="0.25">
      <c r="B175" s="2" t="str">
        <f t="shared" si="4"/>
        <v>PGL_Residential_Home Energy Rebate_Standard Rebate_Advanced Thermostat_Furnace (Replace Programmable) - Non DI_SF</v>
      </c>
      <c r="C175" s="2" t="str">
        <f t="shared" si="5"/>
        <v>PGL_Residential_Home Energy Rebate_Standard Rebate_Advanced Thermostat_Furnace (Replace Programmable) - Non DI_SF_2024</v>
      </c>
      <c r="D175" s="19" t="s">
        <v>1794</v>
      </c>
      <c r="E175" s="19" t="s">
        <v>2</v>
      </c>
      <c r="F175" s="19" t="s">
        <v>1417</v>
      </c>
      <c r="G175" s="19" t="s">
        <v>1418</v>
      </c>
      <c r="H175" s="19" t="s">
        <v>7</v>
      </c>
      <c r="I175" s="19" t="s">
        <v>1408</v>
      </c>
      <c r="J175" s="19" t="s">
        <v>1469</v>
      </c>
      <c r="K175" s="19" t="s">
        <v>409</v>
      </c>
      <c r="L175" s="19">
        <v>2024</v>
      </c>
      <c r="M175" s="20">
        <v>1</v>
      </c>
      <c r="N175" s="19" t="s">
        <v>1798</v>
      </c>
      <c r="O175" s="20">
        <v>500</v>
      </c>
      <c r="P175" s="20">
        <v>500</v>
      </c>
      <c r="Q175" s="20">
        <v>29712.825000000001</v>
      </c>
      <c r="R175" s="21">
        <v>0.9</v>
      </c>
      <c r="S175" s="20">
        <v>29712.825000000001</v>
      </c>
    </row>
    <row r="176" spans="2:19" ht="15" customHeight="1" x14ac:dyDescent="0.25">
      <c r="B176" s="2" t="str">
        <f t="shared" si="4"/>
        <v>PGL_Residential_Home Energy Rebate_Standard Rebate_Advanced Thermostat_Furnace (Replace Programmable) - Non DI_SF</v>
      </c>
      <c r="C176" s="2" t="str">
        <f t="shared" si="5"/>
        <v>PGL_Residential_Home Energy Rebate_Standard Rebate_Advanced Thermostat_Furnace (Replace Programmable) - Non DI_SF_2025</v>
      </c>
      <c r="D176" s="19" t="s">
        <v>1794</v>
      </c>
      <c r="E176" s="19" t="s">
        <v>2</v>
      </c>
      <c r="F176" s="19" t="s">
        <v>1417</v>
      </c>
      <c r="G176" s="19" t="s">
        <v>1418</v>
      </c>
      <c r="H176" s="19" t="s">
        <v>7</v>
      </c>
      <c r="I176" s="19" t="s">
        <v>1408</v>
      </c>
      <c r="J176" s="19" t="s">
        <v>1469</v>
      </c>
      <c r="K176" s="19" t="s">
        <v>409</v>
      </c>
      <c r="L176" s="19">
        <v>2025</v>
      </c>
      <c r="M176" s="20">
        <v>1</v>
      </c>
      <c r="N176" s="19" t="s">
        <v>1798</v>
      </c>
      <c r="O176" s="20">
        <v>500</v>
      </c>
      <c r="P176" s="20">
        <v>500</v>
      </c>
      <c r="Q176" s="20">
        <v>29712.825000000001</v>
      </c>
      <c r="R176" s="21">
        <v>0.9</v>
      </c>
      <c r="S176" s="20">
        <v>29712.825000000001</v>
      </c>
    </row>
    <row r="177" spans="2:19" ht="15" customHeight="1" x14ac:dyDescent="0.25">
      <c r="B177" s="2" t="str">
        <f t="shared" si="4"/>
        <v>PGL_Residential_Home Energy Rebate_Standard Rebate_Advanced Thermostat_Boiler (Replace Programmable) - Non DI_SF</v>
      </c>
      <c r="C177" s="2" t="str">
        <f t="shared" si="5"/>
        <v>PGL_Residential_Home Energy Rebate_Standard Rebate_Advanced Thermostat_Boiler (Replace Programmable) - Non DI_SF_2022</v>
      </c>
      <c r="D177" s="19" t="s">
        <v>1794</v>
      </c>
      <c r="E177" s="19" t="s">
        <v>2</v>
      </c>
      <c r="F177" s="19" t="s">
        <v>1417</v>
      </c>
      <c r="G177" s="19" t="s">
        <v>1418</v>
      </c>
      <c r="H177" s="19" t="s">
        <v>7</v>
      </c>
      <c r="I177" s="19" t="s">
        <v>1411</v>
      </c>
      <c r="J177" s="19" t="s">
        <v>1469</v>
      </c>
      <c r="K177" s="19" t="s">
        <v>409</v>
      </c>
      <c r="L177" s="19">
        <v>2022</v>
      </c>
      <c r="M177" s="20">
        <v>1</v>
      </c>
      <c r="N177" s="19" t="s">
        <v>1798</v>
      </c>
      <c r="O177" s="20">
        <v>1000</v>
      </c>
      <c r="P177" s="20">
        <v>1000</v>
      </c>
      <c r="Q177" s="20">
        <v>87808.05</v>
      </c>
      <c r="R177" s="21">
        <v>0.9</v>
      </c>
      <c r="S177" s="20">
        <v>87808.05</v>
      </c>
    </row>
    <row r="178" spans="2:19" ht="15" customHeight="1" x14ac:dyDescent="0.25">
      <c r="B178" s="2" t="str">
        <f t="shared" si="4"/>
        <v>PGL_Residential_Home Energy Rebate_Standard Rebate_Advanced Thermostat_Boiler (Replace Programmable) - Non DI_SF</v>
      </c>
      <c r="C178" s="2" t="str">
        <f t="shared" si="5"/>
        <v>PGL_Residential_Home Energy Rebate_Standard Rebate_Advanced Thermostat_Boiler (Replace Programmable) - Non DI_SF_2023</v>
      </c>
      <c r="D178" s="19" t="s">
        <v>1794</v>
      </c>
      <c r="E178" s="19" t="s">
        <v>2</v>
      </c>
      <c r="F178" s="19" t="s">
        <v>1417</v>
      </c>
      <c r="G178" s="19" t="s">
        <v>1418</v>
      </c>
      <c r="H178" s="19" t="s">
        <v>7</v>
      </c>
      <c r="I178" s="19" t="s">
        <v>1411</v>
      </c>
      <c r="J178" s="19" t="s">
        <v>1469</v>
      </c>
      <c r="K178" s="19" t="s">
        <v>409</v>
      </c>
      <c r="L178" s="19">
        <v>2023</v>
      </c>
      <c r="M178" s="20">
        <v>1</v>
      </c>
      <c r="N178" s="19" t="s">
        <v>1798</v>
      </c>
      <c r="O178" s="20">
        <v>1000</v>
      </c>
      <c r="P178" s="20">
        <v>1000</v>
      </c>
      <c r="Q178" s="20">
        <v>87808.05</v>
      </c>
      <c r="R178" s="21">
        <v>0.9</v>
      </c>
      <c r="S178" s="20">
        <v>87808.05</v>
      </c>
    </row>
    <row r="179" spans="2:19" ht="15" customHeight="1" x14ac:dyDescent="0.25">
      <c r="B179" s="2" t="str">
        <f t="shared" si="4"/>
        <v>PGL_Residential_Home Energy Rebate_Standard Rebate_Advanced Thermostat_Boiler (Replace Programmable) - Non DI_SF</v>
      </c>
      <c r="C179" s="2" t="str">
        <f t="shared" si="5"/>
        <v>PGL_Residential_Home Energy Rebate_Standard Rebate_Advanced Thermostat_Boiler (Replace Programmable) - Non DI_SF_2024</v>
      </c>
      <c r="D179" s="19" t="s">
        <v>1794</v>
      </c>
      <c r="E179" s="19" t="s">
        <v>2</v>
      </c>
      <c r="F179" s="19" t="s">
        <v>1417</v>
      </c>
      <c r="G179" s="19" t="s">
        <v>1418</v>
      </c>
      <c r="H179" s="19" t="s">
        <v>7</v>
      </c>
      <c r="I179" s="19" t="s">
        <v>1411</v>
      </c>
      <c r="J179" s="19" t="s">
        <v>1469</v>
      </c>
      <c r="K179" s="19" t="s">
        <v>409</v>
      </c>
      <c r="L179" s="19">
        <v>2024</v>
      </c>
      <c r="M179" s="20">
        <v>1</v>
      </c>
      <c r="N179" s="19" t="s">
        <v>1798</v>
      </c>
      <c r="O179" s="20">
        <v>1000</v>
      </c>
      <c r="P179" s="20">
        <v>1000</v>
      </c>
      <c r="Q179" s="20">
        <v>87808.05</v>
      </c>
      <c r="R179" s="21">
        <v>0.9</v>
      </c>
      <c r="S179" s="20">
        <v>87808.05</v>
      </c>
    </row>
    <row r="180" spans="2:19" ht="15" customHeight="1" x14ac:dyDescent="0.25">
      <c r="B180" s="2" t="str">
        <f t="shared" si="4"/>
        <v>PGL_Residential_Home Energy Rebate_Standard Rebate_Advanced Thermostat_Boiler (Replace Programmable) - Non DI_SF</v>
      </c>
      <c r="C180" s="2" t="str">
        <f t="shared" si="5"/>
        <v>PGL_Residential_Home Energy Rebate_Standard Rebate_Advanced Thermostat_Boiler (Replace Programmable) - Non DI_SF_2025</v>
      </c>
      <c r="D180" s="19" t="s">
        <v>1794</v>
      </c>
      <c r="E180" s="19" t="s">
        <v>2</v>
      </c>
      <c r="F180" s="19" t="s">
        <v>1417</v>
      </c>
      <c r="G180" s="19" t="s">
        <v>1418</v>
      </c>
      <c r="H180" s="19" t="s">
        <v>7</v>
      </c>
      <c r="I180" s="19" t="s">
        <v>1411</v>
      </c>
      <c r="J180" s="19" t="s">
        <v>1469</v>
      </c>
      <c r="K180" s="19" t="s">
        <v>409</v>
      </c>
      <c r="L180" s="19">
        <v>2025</v>
      </c>
      <c r="M180" s="20">
        <v>1</v>
      </c>
      <c r="N180" s="19" t="s">
        <v>1798</v>
      </c>
      <c r="O180" s="20">
        <v>1000</v>
      </c>
      <c r="P180" s="20">
        <v>1000</v>
      </c>
      <c r="Q180" s="20">
        <v>87808.05</v>
      </c>
      <c r="R180" s="21">
        <v>0.9</v>
      </c>
      <c r="S180" s="20">
        <v>87808.05</v>
      </c>
    </row>
    <row r="181" spans="2:19" ht="15" customHeight="1" x14ac:dyDescent="0.25">
      <c r="B181" s="2" t="str">
        <f t="shared" si="4"/>
        <v>PGL_Residential_Home Energy Rebate_Standard Rebate_Advanced Thermostat_Furnace (Replace Unknown) - Non DI_SF</v>
      </c>
      <c r="C181" s="2" t="str">
        <f t="shared" si="5"/>
        <v>PGL_Residential_Home Energy Rebate_Standard Rebate_Advanced Thermostat_Furnace (Replace Unknown) - Non DI_SF_2022</v>
      </c>
      <c r="D181" s="19" t="s">
        <v>1794</v>
      </c>
      <c r="E181" s="19" t="s">
        <v>2</v>
      </c>
      <c r="F181" s="19" t="s">
        <v>1417</v>
      </c>
      <c r="G181" s="19" t="s">
        <v>1418</v>
      </c>
      <c r="H181" s="19" t="s">
        <v>7</v>
      </c>
      <c r="I181" s="19" t="s">
        <v>1409</v>
      </c>
      <c r="J181" s="19" t="s">
        <v>1469</v>
      </c>
      <c r="K181" s="19" t="s">
        <v>409</v>
      </c>
      <c r="L181" s="19">
        <v>2022</v>
      </c>
      <c r="M181" s="20">
        <v>1</v>
      </c>
      <c r="N181" s="19" t="s">
        <v>1798</v>
      </c>
      <c r="O181" s="20">
        <v>0</v>
      </c>
      <c r="P181" s="20">
        <v>0</v>
      </c>
      <c r="Q181" s="20">
        <v>0</v>
      </c>
      <c r="R181" s="21">
        <v>0.9</v>
      </c>
      <c r="S181" s="20">
        <v>0</v>
      </c>
    </row>
    <row r="182" spans="2:19" ht="15" customHeight="1" x14ac:dyDescent="0.25">
      <c r="B182" s="2" t="str">
        <f t="shared" si="4"/>
        <v>PGL_Residential_Home Energy Rebate_Standard Rebate_Advanced Thermostat_Furnace (Replace Unknown) - Non DI_SF</v>
      </c>
      <c r="C182" s="2" t="str">
        <f t="shared" si="5"/>
        <v>PGL_Residential_Home Energy Rebate_Standard Rebate_Advanced Thermostat_Furnace (Replace Unknown) - Non DI_SF_2023</v>
      </c>
      <c r="D182" s="19" t="s">
        <v>1794</v>
      </c>
      <c r="E182" s="19" t="s">
        <v>2</v>
      </c>
      <c r="F182" s="19" t="s">
        <v>1417</v>
      </c>
      <c r="G182" s="19" t="s">
        <v>1418</v>
      </c>
      <c r="H182" s="19" t="s">
        <v>7</v>
      </c>
      <c r="I182" s="19" t="s">
        <v>1409</v>
      </c>
      <c r="J182" s="19" t="s">
        <v>1469</v>
      </c>
      <c r="K182" s="19" t="s">
        <v>409</v>
      </c>
      <c r="L182" s="19">
        <v>2023</v>
      </c>
      <c r="M182" s="20">
        <v>1</v>
      </c>
      <c r="N182" s="19" t="s">
        <v>1798</v>
      </c>
      <c r="O182" s="20">
        <v>0</v>
      </c>
      <c r="P182" s="20">
        <v>0</v>
      </c>
      <c r="Q182" s="20">
        <v>0</v>
      </c>
      <c r="R182" s="21">
        <v>0.9</v>
      </c>
      <c r="S182" s="20">
        <v>0</v>
      </c>
    </row>
    <row r="183" spans="2:19" ht="15" customHeight="1" x14ac:dyDescent="0.25">
      <c r="B183" s="2" t="str">
        <f t="shared" si="4"/>
        <v>PGL_Residential_Home Energy Rebate_Standard Rebate_Advanced Thermostat_Furnace (Replace Unknown) - Non DI_SF</v>
      </c>
      <c r="C183" s="2" t="str">
        <f t="shared" si="5"/>
        <v>PGL_Residential_Home Energy Rebate_Standard Rebate_Advanced Thermostat_Furnace (Replace Unknown) - Non DI_SF_2024</v>
      </c>
      <c r="D183" s="19" t="s">
        <v>1794</v>
      </c>
      <c r="E183" s="19" t="s">
        <v>2</v>
      </c>
      <c r="F183" s="19" t="s">
        <v>1417</v>
      </c>
      <c r="G183" s="19" t="s">
        <v>1418</v>
      </c>
      <c r="H183" s="19" t="s">
        <v>7</v>
      </c>
      <c r="I183" s="19" t="s">
        <v>1409</v>
      </c>
      <c r="J183" s="19" t="s">
        <v>1469</v>
      </c>
      <c r="K183" s="19" t="s">
        <v>409</v>
      </c>
      <c r="L183" s="19">
        <v>2024</v>
      </c>
      <c r="M183" s="20">
        <v>1</v>
      </c>
      <c r="N183" s="19" t="s">
        <v>1798</v>
      </c>
      <c r="O183" s="20">
        <v>0</v>
      </c>
      <c r="P183" s="20">
        <v>0</v>
      </c>
      <c r="Q183" s="20">
        <v>0</v>
      </c>
      <c r="R183" s="21">
        <v>0.9</v>
      </c>
      <c r="S183" s="20">
        <v>0</v>
      </c>
    </row>
    <row r="184" spans="2:19" ht="15" customHeight="1" x14ac:dyDescent="0.25">
      <c r="B184" s="2" t="str">
        <f t="shared" si="4"/>
        <v>PGL_Residential_Home Energy Rebate_Standard Rebate_Advanced Thermostat_Furnace (Replace Unknown) - Non DI_SF</v>
      </c>
      <c r="C184" s="2" t="str">
        <f t="shared" si="5"/>
        <v>PGL_Residential_Home Energy Rebate_Standard Rebate_Advanced Thermostat_Furnace (Replace Unknown) - Non DI_SF_2025</v>
      </c>
      <c r="D184" s="19" t="s">
        <v>1794</v>
      </c>
      <c r="E184" s="19" t="s">
        <v>2</v>
      </c>
      <c r="F184" s="19" t="s">
        <v>1417</v>
      </c>
      <c r="G184" s="19" t="s">
        <v>1418</v>
      </c>
      <c r="H184" s="19" t="s">
        <v>7</v>
      </c>
      <c r="I184" s="19" t="s">
        <v>1409</v>
      </c>
      <c r="J184" s="19" t="s">
        <v>1469</v>
      </c>
      <c r="K184" s="19" t="s">
        <v>409</v>
      </c>
      <c r="L184" s="19">
        <v>2025</v>
      </c>
      <c r="M184" s="20">
        <v>1</v>
      </c>
      <c r="N184" s="19" t="s">
        <v>1798</v>
      </c>
      <c r="O184" s="20">
        <v>0</v>
      </c>
      <c r="P184" s="20">
        <v>0</v>
      </c>
      <c r="Q184" s="20">
        <v>0</v>
      </c>
      <c r="R184" s="21">
        <v>0.9</v>
      </c>
      <c r="S184" s="20">
        <v>0</v>
      </c>
    </row>
    <row r="185" spans="2:19" ht="15" customHeight="1" x14ac:dyDescent="0.25">
      <c r="B185" s="2" t="str">
        <f t="shared" si="4"/>
        <v>PGL_Residential_Home Energy Rebate_Standard Rebate_Advanced Thermostat_Boiler (Replace Unknown) - Non DI_SF</v>
      </c>
      <c r="C185" s="2" t="str">
        <f t="shared" si="5"/>
        <v>PGL_Residential_Home Energy Rebate_Standard Rebate_Advanced Thermostat_Boiler (Replace Unknown) - Non DI_SF_2022</v>
      </c>
      <c r="D185" s="19" t="s">
        <v>1794</v>
      </c>
      <c r="E185" s="19" t="s">
        <v>2</v>
      </c>
      <c r="F185" s="19" t="s">
        <v>1417</v>
      </c>
      <c r="G185" s="19" t="s">
        <v>1418</v>
      </c>
      <c r="H185" s="19" t="s">
        <v>7</v>
      </c>
      <c r="I185" s="19" t="s">
        <v>1412</v>
      </c>
      <c r="J185" s="19" t="s">
        <v>1469</v>
      </c>
      <c r="K185" s="19" t="s">
        <v>409</v>
      </c>
      <c r="L185" s="19">
        <v>2022</v>
      </c>
      <c r="M185" s="20">
        <v>1</v>
      </c>
      <c r="N185" s="19" t="s">
        <v>1798</v>
      </c>
      <c r="O185" s="20">
        <v>0</v>
      </c>
      <c r="P185" s="20">
        <v>0</v>
      </c>
      <c r="Q185" s="20">
        <v>0</v>
      </c>
      <c r="R185" s="21">
        <v>0.9</v>
      </c>
      <c r="S185" s="20">
        <v>0</v>
      </c>
    </row>
    <row r="186" spans="2:19" ht="15" customHeight="1" x14ac:dyDescent="0.25">
      <c r="B186" s="2" t="str">
        <f t="shared" si="4"/>
        <v>PGL_Residential_Home Energy Rebate_Standard Rebate_Advanced Thermostat_Boiler (Replace Unknown) - Non DI_SF</v>
      </c>
      <c r="C186" s="2" t="str">
        <f t="shared" si="5"/>
        <v>PGL_Residential_Home Energy Rebate_Standard Rebate_Advanced Thermostat_Boiler (Replace Unknown) - Non DI_SF_2023</v>
      </c>
      <c r="D186" s="19" t="s">
        <v>1794</v>
      </c>
      <c r="E186" s="19" t="s">
        <v>2</v>
      </c>
      <c r="F186" s="19" t="s">
        <v>1417</v>
      </c>
      <c r="G186" s="19" t="s">
        <v>1418</v>
      </c>
      <c r="H186" s="19" t="s">
        <v>7</v>
      </c>
      <c r="I186" s="19" t="s">
        <v>1412</v>
      </c>
      <c r="J186" s="19" t="s">
        <v>1469</v>
      </c>
      <c r="K186" s="19" t="s">
        <v>409</v>
      </c>
      <c r="L186" s="19">
        <v>2023</v>
      </c>
      <c r="M186" s="20">
        <v>1</v>
      </c>
      <c r="N186" s="19" t="s">
        <v>1798</v>
      </c>
      <c r="O186" s="20">
        <v>0</v>
      </c>
      <c r="P186" s="20">
        <v>0</v>
      </c>
      <c r="Q186" s="20">
        <v>0</v>
      </c>
      <c r="R186" s="21">
        <v>0.9</v>
      </c>
      <c r="S186" s="20">
        <v>0</v>
      </c>
    </row>
    <row r="187" spans="2:19" ht="15" customHeight="1" x14ac:dyDescent="0.25">
      <c r="B187" s="2" t="str">
        <f t="shared" si="4"/>
        <v>PGL_Residential_Home Energy Rebate_Standard Rebate_Advanced Thermostat_Boiler (Replace Unknown) - Non DI_SF</v>
      </c>
      <c r="C187" s="2" t="str">
        <f t="shared" si="5"/>
        <v>PGL_Residential_Home Energy Rebate_Standard Rebate_Advanced Thermostat_Boiler (Replace Unknown) - Non DI_SF_2024</v>
      </c>
      <c r="D187" s="19" t="s">
        <v>1794</v>
      </c>
      <c r="E187" s="19" t="s">
        <v>2</v>
      </c>
      <c r="F187" s="19" t="s">
        <v>1417</v>
      </c>
      <c r="G187" s="19" t="s">
        <v>1418</v>
      </c>
      <c r="H187" s="19" t="s">
        <v>7</v>
      </c>
      <c r="I187" s="19" t="s">
        <v>1412</v>
      </c>
      <c r="J187" s="19" t="s">
        <v>1469</v>
      </c>
      <c r="K187" s="19" t="s">
        <v>409</v>
      </c>
      <c r="L187" s="19">
        <v>2024</v>
      </c>
      <c r="M187" s="20">
        <v>1</v>
      </c>
      <c r="N187" s="19" t="s">
        <v>1798</v>
      </c>
      <c r="O187" s="20">
        <v>0</v>
      </c>
      <c r="P187" s="20">
        <v>0</v>
      </c>
      <c r="Q187" s="20">
        <v>0</v>
      </c>
      <c r="R187" s="21">
        <v>0.9</v>
      </c>
      <c r="S187" s="20">
        <v>0</v>
      </c>
    </row>
    <row r="188" spans="2:19" ht="15" customHeight="1" x14ac:dyDescent="0.25">
      <c r="B188" s="2" t="str">
        <f t="shared" si="4"/>
        <v>PGL_Residential_Home Energy Rebate_Standard Rebate_Advanced Thermostat_Boiler (Replace Unknown) - Non DI_SF</v>
      </c>
      <c r="C188" s="2" t="str">
        <f t="shared" si="5"/>
        <v>PGL_Residential_Home Energy Rebate_Standard Rebate_Advanced Thermostat_Boiler (Replace Unknown) - Non DI_SF_2025</v>
      </c>
      <c r="D188" s="19" t="s">
        <v>1794</v>
      </c>
      <c r="E188" s="19" t="s">
        <v>2</v>
      </c>
      <c r="F188" s="19" t="s">
        <v>1417</v>
      </c>
      <c r="G188" s="19" t="s">
        <v>1418</v>
      </c>
      <c r="H188" s="19" t="s">
        <v>7</v>
      </c>
      <c r="I188" s="19" t="s">
        <v>1412</v>
      </c>
      <c r="J188" s="19" t="s">
        <v>1469</v>
      </c>
      <c r="K188" s="19" t="s">
        <v>409</v>
      </c>
      <c r="L188" s="19">
        <v>2025</v>
      </c>
      <c r="M188" s="20">
        <v>1</v>
      </c>
      <c r="N188" s="19" t="s">
        <v>1798</v>
      </c>
      <c r="O188" s="20">
        <v>0</v>
      </c>
      <c r="P188" s="20">
        <v>0</v>
      </c>
      <c r="Q188" s="20">
        <v>0</v>
      </c>
      <c r="R188" s="21">
        <v>0.9</v>
      </c>
      <c r="S188" s="20">
        <v>0</v>
      </c>
    </row>
    <row r="189" spans="2:19" ht="15" customHeight="1" x14ac:dyDescent="0.25">
      <c r="B189" s="2" t="str">
        <f t="shared" si="4"/>
        <v>PGL_Residential_Home Energy Rebate_Partner Trade Ally Rebate_Air Sealing_0_SF</v>
      </c>
      <c r="C189" s="2" t="str">
        <f t="shared" si="5"/>
        <v>PGL_Residential_Home Energy Rebate_Partner Trade Ally Rebate_Air Sealing_0_SF_2022</v>
      </c>
      <c r="D189" s="19" t="s">
        <v>1794</v>
      </c>
      <c r="E189" s="19" t="s">
        <v>2</v>
      </c>
      <c r="F189" s="19" t="s">
        <v>1417</v>
      </c>
      <c r="G189" s="19" t="s">
        <v>1799</v>
      </c>
      <c r="H189" s="19" t="s">
        <v>221</v>
      </c>
      <c r="I189" s="19">
        <v>0</v>
      </c>
      <c r="J189" s="19" t="s">
        <v>881</v>
      </c>
      <c r="K189" s="19" t="s">
        <v>409</v>
      </c>
      <c r="L189" s="19">
        <v>2022</v>
      </c>
      <c r="M189" s="20">
        <v>743.2399999999999</v>
      </c>
      <c r="N189" s="19" t="s">
        <v>1800</v>
      </c>
      <c r="O189" s="20">
        <v>155</v>
      </c>
      <c r="P189" s="20">
        <v>115202.19999999998</v>
      </c>
      <c r="Q189" s="20">
        <v>7738.3316034085292</v>
      </c>
      <c r="R189" s="21">
        <v>0.77</v>
      </c>
      <c r="S189" s="20">
        <v>7738.3316034085292</v>
      </c>
    </row>
    <row r="190" spans="2:19" ht="15" customHeight="1" x14ac:dyDescent="0.25">
      <c r="B190" s="2" t="str">
        <f t="shared" si="4"/>
        <v>PGL_Residential_Home Energy Rebate_Partner Trade Ally Rebate_Air Sealing_0_SF</v>
      </c>
      <c r="C190" s="2" t="str">
        <f t="shared" si="5"/>
        <v>PGL_Residential_Home Energy Rebate_Partner Trade Ally Rebate_Air Sealing_0_SF_2023</v>
      </c>
      <c r="D190" s="19" t="s">
        <v>1794</v>
      </c>
      <c r="E190" s="19" t="s">
        <v>2</v>
      </c>
      <c r="F190" s="19" t="s">
        <v>1417</v>
      </c>
      <c r="G190" s="19" t="s">
        <v>1799</v>
      </c>
      <c r="H190" s="19" t="s">
        <v>221</v>
      </c>
      <c r="I190" s="19">
        <v>0</v>
      </c>
      <c r="J190" s="19" t="s">
        <v>881</v>
      </c>
      <c r="K190" s="19" t="s">
        <v>409</v>
      </c>
      <c r="L190" s="19">
        <v>2023</v>
      </c>
      <c r="M190" s="20">
        <v>743.2399999999999</v>
      </c>
      <c r="N190" s="19" t="s">
        <v>1800</v>
      </c>
      <c r="O190" s="20">
        <v>155</v>
      </c>
      <c r="P190" s="20">
        <v>115202.19999999998</v>
      </c>
      <c r="Q190" s="20">
        <v>7738.3316034085292</v>
      </c>
      <c r="R190" s="21">
        <v>0.77</v>
      </c>
      <c r="S190" s="20">
        <v>7738.3316034085292</v>
      </c>
    </row>
    <row r="191" spans="2:19" ht="15" customHeight="1" x14ac:dyDescent="0.25">
      <c r="B191" s="2" t="str">
        <f t="shared" si="4"/>
        <v>PGL_Residential_Home Energy Rebate_Partner Trade Ally Rebate_Air Sealing_0_SF</v>
      </c>
      <c r="C191" s="2" t="str">
        <f t="shared" si="5"/>
        <v>PGL_Residential_Home Energy Rebate_Partner Trade Ally Rebate_Air Sealing_0_SF_2024</v>
      </c>
      <c r="D191" s="19" t="s">
        <v>1794</v>
      </c>
      <c r="E191" s="19" t="s">
        <v>2</v>
      </c>
      <c r="F191" s="19" t="s">
        <v>1417</v>
      </c>
      <c r="G191" s="19" t="s">
        <v>1799</v>
      </c>
      <c r="H191" s="19" t="s">
        <v>221</v>
      </c>
      <c r="I191" s="19">
        <v>0</v>
      </c>
      <c r="J191" s="19" t="s">
        <v>881</v>
      </c>
      <c r="K191" s="19" t="s">
        <v>409</v>
      </c>
      <c r="L191" s="19">
        <v>2024</v>
      </c>
      <c r="M191" s="20">
        <v>743.2399999999999</v>
      </c>
      <c r="N191" s="19" t="s">
        <v>1800</v>
      </c>
      <c r="O191" s="20">
        <v>155</v>
      </c>
      <c r="P191" s="20">
        <v>115202.19999999998</v>
      </c>
      <c r="Q191" s="20">
        <v>7738.3316034085292</v>
      </c>
      <c r="R191" s="21">
        <v>0.77</v>
      </c>
      <c r="S191" s="20">
        <v>7738.3316034085292</v>
      </c>
    </row>
    <row r="192" spans="2:19" ht="15" customHeight="1" x14ac:dyDescent="0.25">
      <c r="B192" s="2" t="str">
        <f t="shared" si="4"/>
        <v>PGL_Residential_Home Energy Rebate_Partner Trade Ally Rebate_Air Sealing_0_SF</v>
      </c>
      <c r="C192" s="2" t="str">
        <f t="shared" si="5"/>
        <v>PGL_Residential_Home Energy Rebate_Partner Trade Ally Rebate_Air Sealing_0_SF_2025</v>
      </c>
      <c r="D192" s="19" t="s">
        <v>1794</v>
      </c>
      <c r="E192" s="19" t="s">
        <v>2</v>
      </c>
      <c r="F192" s="19" t="s">
        <v>1417</v>
      </c>
      <c r="G192" s="19" t="s">
        <v>1799</v>
      </c>
      <c r="H192" s="19" t="s">
        <v>221</v>
      </c>
      <c r="I192" s="19">
        <v>0</v>
      </c>
      <c r="J192" s="19" t="s">
        <v>881</v>
      </c>
      <c r="K192" s="19" t="s">
        <v>409</v>
      </c>
      <c r="L192" s="19">
        <v>2025</v>
      </c>
      <c r="M192" s="20">
        <v>743.2399999999999</v>
      </c>
      <c r="N192" s="19" t="s">
        <v>1800</v>
      </c>
      <c r="O192" s="20">
        <v>155</v>
      </c>
      <c r="P192" s="20">
        <v>115202.19999999998</v>
      </c>
      <c r="Q192" s="20">
        <v>7738.3316034085292</v>
      </c>
      <c r="R192" s="21">
        <v>0.77</v>
      </c>
      <c r="S192" s="20">
        <v>7738.3316034085292</v>
      </c>
    </row>
    <row r="193" spans="2:19" ht="15" customHeight="1" x14ac:dyDescent="0.25">
      <c r="B193" s="2" t="str">
        <f t="shared" si="4"/>
        <v>PGL_Residential_Home Energy Rebate_Partner Trade Ally Rebate_Attic Insulation_0_SF</v>
      </c>
      <c r="C193" s="2" t="str">
        <f t="shared" si="5"/>
        <v>PGL_Residential_Home Energy Rebate_Partner Trade Ally Rebate_Attic Insulation_0_SF_2022</v>
      </c>
      <c r="D193" s="19" t="s">
        <v>1794</v>
      </c>
      <c r="E193" s="19" t="s">
        <v>2</v>
      </c>
      <c r="F193" s="19" t="s">
        <v>1417</v>
      </c>
      <c r="G193" s="19" t="s">
        <v>1799</v>
      </c>
      <c r="H193" s="19" t="s">
        <v>631</v>
      </c>
      <c r="I193" s="19">
        <v>0</v>
      </c>
      <c r="J193" s="19" t="s">
        <v>632</v>
      </c>
      <c r="K193" s="19" t="s">
        <v>409</v>
      </c>
      <c r="L193" s="19">
        <v>2022</v>
      </c>
      <c r="M193" s="20">
        <v>800</v>
      </c>
      <c r="N193" s="19" t="s">
        <v>751</v>
      </c>
      <c r="O193" s="20">
        <v>220</v>
      </c>
      <c r="P193" s="20">
        <v>176000</v>
      </c>
      <c r="Q193" s="20">
        <v>11186.766508408164</v>
      </c>
      <c r="R193" s="21">
        <v>0.79</v>
      </c>
      <c r="S193" s="20">
        <v>11186.766508408164</v>
      </c>
    </row>
    <row r="194" spans="2:19" ht="15" customHeight="1" x14ac:dyDescent="0.25">
      <c r="B194" s="2" t="str">
        <f t="shared" si="4"/>
        <v>PGL_Residential_Home Energy Rebate_Partner Trade Ally Rebate_Attic Insulation_0_SF</v>
      </c>
      <c r="C194" s="2" t="str">
        <f t="shared" si="5"/>
        <v>PGL_Residential_Home Energy Rebate_Partner Trade Ally Rebate_Attic Insulation_0_SF_2023</v>
      </c>
      <c r="D194" s="19" t="s">
        <v>1794</v>
      </c>
      <c r="E194" s="19" t="s">
        <v>2</v>
      </c>
      <c r="F194" s="19" t="s">
        <v>1417</v>
      </c>
      <c r="G194" s="19" t="s">
        <v>1799</v>
      </c>
      <c r="H194" s="19" t="s">
        <v>631</v>
      </c>
      <c r="I194" s="19">
        <v>0</v>
      </c>
      <c r="J194" s="19" t="s">
        <v>632</v>
      </c>
      <c r="K194" s="19" t="s">
        <v>409</v>
      </c>
      <c r="L194" s="19">
        <v>2023</v>
      </c>
      <c r="M194" s="20">
        <v>800</v>
      </c>
      <c r="N194" s="19" t="s">
        <v>751</v>
      </c>
      <c r="O194" s="20">
        <v>220</v>
      </c>
      <c r="P194" s="20">
        <v>176000</v>
      </c>
      <c r="Q194" s="20">
        <v>11186.766508408164</v>
      </c>
      <c r="R194" s="21">
        <v>0.79</v>
      </c>
      <c r="S194" s="20">
        <v>11186.766508408164</v>
      </c>
    </row>
    <row r="195" spans="2:19" ht="15" customHeight="1" x14ac:dyDescent="0.25">
      <c r="B195" s="2" t="str">
        <f t="shared" si="4"/>
        <v>PGL_Residential_Home Energy Rebate_Partner Trade Ally Rebate_Attic Insulation_0_SF</v>
      </c>
      <c r="C195" s="2" t="str">
        <f t="shared" si="5"/>
        <v>PGL_Residential_Home Energy Rebate_Partner Trade Ally Rebate_Attic Insulation_0_SF_2024</v>
      </c>
      <c r="D195" s="19" t="s">
        <v>1794</v>
      </c>
      <c r="E195" s="19" t="s">
        <v>2</v>
      </c>
      <c r="F195" s="19" t="s">
        <v>1417</v>
      </c>
      <c r="G195" s="19" t="s">
        <v>1799</v>
      </c>
      <c r="H195" s="19" t="s">
        <v>631</v>
      </c>
      <c r="I195" s="19">
        <v>0</v>
      </c>
      <c r="J195" s="19" t="s">
        <v>632</v>
      </c>
      <c r="K195" s="19" t="s">
        <v>409</v>
      </c>
      <c r="L195" s="19">
        <v>2024</v>
      </c>
      <c r="M195" s="20">
        <v>800</v>
      </c>
      <c r="N195" s="19" t="s">
        <v>751</v>
      </c>
      <c r="O195" s="20">
        <v>220</v>
      </c>
      <c r="P195" s="20">
        <v>176000</v>
      </c>
      <c r="Q195" s="20">
        <v>11186.766508408164</v>
      </c>
      <c r="R195" s="21">
        <v>0.79</v>
      </c>
      <c r="S195" s="20">
        <v>11186.766508408164</v>
      </c>
    </row>
    <row r="196" spans="2:19" ht="15" customHeight="1" x14ac:dyDescent="0.25">
      <c r="B196" s="2" t="str">
        <f t="shared" si="4"/>
        <v>PGL_Residential_Home Energy Rebate_Partner Trade Ally Rebate_Attic Insulation_0_SF</v>
      </c>
      <c r="C196" s="2" t="str">
        <f t="shared" si="5"/>
        <v>PGL_Residential_Home Energy Rebate_Partner Trade Ally Rebate_Attic Insulation_0_SF_2025</v>
      </c>
      <c r="D196" s="19" t="s">
        <v>1794</v>
      </c>
      <c r="E196" s="19" t="s">
        <v>2</v>
      </c>
      <c r="F196" s="19" t="s">
        <v>1417</v>
      </c>
      <c r="G196" s="19" t="s">
        <v>1799</v>
      </c>
      <c r="H196" s="19" t="s">
        <v>631</v>
      </c>
      <c r="I196" s="19">
        <v>0</v>
      </c>
      <c r="J196" s="19" t="s">
        <v>632</v>
      </c>
      <c r="K196" s="19" t="s">
        <v>409</v>
      </c>
      <c r="L196" s="19">
        <v>2025</v>
      </c>
      <c r="M196" s="20">
        <v>800</v>
      </c>
      <c r="N196" s="19" t="s">
        <v>751</v>
      </c>
      <c r="O196" s="20">
        <v>220</v>
      </c>
      <c r="P196" s="20">
        <v>176000</v>
      </c>
      <c r="Q196" s="20">
        <v>11186.766508408164</v>
      </c>
      <c r="R196" s="21">
        <v>0.79</v>
      </c>
      <c r="S196" s="20">
        <v>11186.766508408164</v>
      </c>
    </row>
    <row r="197" spans="2:19" ht="15" customHeight="1" x14ac:dyDescent="0.25">
      <c r="B197" s="2" t="str">
        <f t="shared" si="4"/>
        <v>PGL_Residential_Home Energy Rebate_Partner Trade Ally Rebate_Duct Sealing_0_SF</v>
      </c>
      <c r="C197" s="2" t="str">
        <f t="shared" si="5"/>
        <v>PGL_Residential_Home Energy Rebate_Partner Trade Ally Rebate_Duct Sealing_0_SF_2022</v>
      </c>
      <c r="D197" s="19" t="s">
        <v>1794</v>
      </c>
      <c r="E197" s="19" t="s">
        <v>2</v>
      </c>
      <c r="F197" s="19" t="s">
        <v>1417</v>
      </c>
      <c r="G197" s="19" t="s">
        <v>1799</v>
      </c>
      <c r="H197" s="19" t="s">
        <v>680</v>
      </c>
      <c r="I197" s="19">
        <v>0</v>
      </c>
      <c r="J197" s="19" t="s">
        <v>684</v>
      </c>
      <c r="K197" s="19" t="s">
        <v>409</v>
      </c>
      <c r="L197" s="19">
        <v>2022</v>
      </c>
      <c r="M197" s="20">
        <v>120</v>
      </c>
      <c r="N197" s="19" t="s">
        <v>1801</v>
      </c>
      <c r="O197" s="20">
        <v>20</v>
      </c>
      <c r="P197" s="20">
        <v>2400</v>
      </c>
      <c r="Q197" s="20">
        <v>1469.8880918220948</v>
      </c>
      <c r="R197" s="21">
        <v>0.87</v>
      </c>
      <c r="S197" s="20">
        <v>1469.8880918220948</v>
      </c>
    </row>
    <row r="198" spans="2:19" ht="15" customHeight="1" x14ac:dyDescent="0.25">
      <c r="B198" s="2" t="str">
        <f t="shared" ref="B198:B261" si="6">D198&amp;"_"&amp;E198&amp;"_"&amp;F198&amp;"_"&amp;G198&amp;"_"&amp;H198&amp;"_"&amp;I198&amp;"_"&amp;K198</f>
        <v>PGL_Residential_Home Energy Rebate_Partner Trade Ally Rebate_Duct Sealing_0_SF</v>
      </c>
      <c r="C198" s="2" t="str">
        <f t="shared" ref="C198:C261" si="7">D198&amp;"_"&amp;E198&amp;"_"&amp;F198&amp;"_"&amp;G198&amp;"_"&amp;H198&amp;"_"&amp;I198&amp;"_"&amp;K198&amp;"_"&amp;L198</f>
        <v>PGL_Residential_Home Energy Rebate_Partner Trade Ally Rebate_Duct Sealing_0_SF_2023</v>
      </c>
      <c r="D198" s="19" t="s">
        <v>1794</v>
      </c>
      <c r="E198" s="19" t="s">
        <v>2</v>
      </c>
      <c r="F198" s="19" t="s">
        <v>1417</v>
      </c>
      <c r="G198" s="19" t="s">
        <v>1799</v>
      </c>
      <c r="H198" s="19" t="s">
        <v>680</v>
      </c>
      <c r="I198" s="19">
        <v>0</v>
      </c>
      <c r="J198" s="19" t="s">
        <v>684</v>
      </c>
      <c r="K198" s="19" t="s">
        <v>409</v>
      </c>
      <c r="L198" s="19">
        <v>2023</v>
      </c>
      <c r="M198" s="20">
        <v>120</v>
      </c>
      <c r="N198" s="19" t="s">
        <v>1801</v>
      </c>
      <c r="O198" s="20">
        <v>20</v>
      </c>
      <c r="P198" s="20">
        <v>2400</v>
      </c>
      <c r="Q198" s="20">
        <v>1469.8880918220948</v>
      </c>
      <c r="R198" s="21">
        <v>0.87</v>
      </c>
      <c r="S198" s="20">
        <v>1469.8880918220948</v>
      </c>
    </row>
    <row r="199" spans="2:19" ht="15" customHeight="1" x14ac:dyDescent="0.25">
      <c r="B199" s="2" t="str">
        <f t="shared" si="6"/>
        <v>PGL_Residential_Home Energy Rebate_Partner Trade Ally Rebate_Duct Sealing_0_SF</v>
      </c>
      <c r="C199" s="2" t="str">
        <f t="shared" si="7"/>
        <v>PGL_Residential_Home Energy Rebate_Partner Trade Ally Rebate_Duct Sealing_0_SF_2024</v>
      </c>
      <c r="D199" s="19" t="s">
        <v>1794</v>
      </c>
      <c r="E199" s="19" t="s">
        <v>2</v>
      </c>
      <c r="F199" s="19" t="s">
        <v>1417</v>
      </c>
      <c r="G199" s="19" t="s">
        <v>1799</v>
      </c>
      <c r="H199" s="19" t="s">
        <v>680</v>
      </c>
      <c r="I199" s="19">
        <v>0</v>
      </c>
      <c r="J199" s="19" t="s">
        <v>684</v>
      </c>
      <c r="K199" s="19" t="s">
        <v>409</v>
      </c>
      <c r="L199" s="19">
        <v>2024</v>
      </c>
      <c r="M199" s="20">
        <v>120</v>
      </c>
      <c r="N199" s="19" t="s">
        <v>1801</v>
      </c>
      <c r="O199" s="20">
        <v>20</v>
      </c>
      <c r="P199" s="20">
        <v>2400</v>
      </c>
      <c r="Q199" s="20">
        <v>1469.8880918220948</v>
      </c>
      <c r="R199" s="21">
        <v>0.87</v>
      </c>
      <c r="S199" s="20">
        <v>1469.8880918220948</v>
      </c>
    </row>
    <row r="200" spans="2:19" ht="15" customHeight="1" x14ac:dyDescent="0.25">
      <c r="B200" s="2" t="str">
        <f t="shared" si="6"/>
        <v>PGL_Residential_Home Energy Rebate_Partner Trade Ally Rebate_Duct Sealing_0_SF</v>
      </c>
      <c r="C200" s="2" t="str">
        <f t="shared" si="7"/>
        <v>PGL_Residential_Home Energy Rebate_Partner Trade Ally Rebate_Duct Sealing_0_SF_2025</v>
      </c>
      <c r="D200" s="19" t="s">
        <v>1794</v>
      </c>
      <c r="E200" s="19" t="s">
        <v>2</v>
      </c>
      <c r="F200" s="19" t="s">
        <v>1417</v>
      </c>
      <c r="G200" s="19" t="s">
        <v>1799</v>
      </c>
      <c r="H200" s="19" t="s">
        <v>680</v>
      </c>
      <c r="I200" s="19">
        <v>0</v>
      </c>
      <c r="J200" s="19" t="s">
        <v>684</v>
      </c>
      <c r="K200" s="19" t="s">
        <v>409</v>
      </c>
      <c r="L200" s="19">
        <v>2025</v>
      </c>
      <c r="M200" s="20">
        <v>120</v>
      </c>
      <c r="N200" s="19" t="s">
        <v>1801</v>
      </c>
      <c r="O200" s="20">
        <v>20</v>
      </c>
      <c r="P200" s="20">
        <v>2400</v>
      </c>
      <c r="Q200" s="20">
        <v>1469.8880918220948</v>
      </c>
      <c r="R200" s="21">
        <v>0.87</v>
      </c>
      <c r="S200" s="20">
        <v>1469.8880918220948</v>
      </c>
    </row>
    <row r="201" spans="2:19" ht="15" customHeight="1" x14ac:dyDescent="0.25">
      <c r="B201" s="2" t="str">
        <f t="shared" si="6"/>
        <v>PGL_Residential_Home Energy Rebate_Partner Trade Ally Rebate_Wall Insulation_0_SF</v>
      </c>
      <c r="C201" s="2" t="str">
        <f t="shared" si="7"/>
        <v>PGL_Residential_Home Energy Rebate_Partner Trade Ally Rebate_Wall Insulation_0_SF_2022</v>
      </c>
      <c r="D201" s="19" t="s">
        <v>1794</v>
      </c>
      <c r="E201" s="19" t="s">
        <v>2</v>
      </c>
      <c r="F201" s="19" t="s">
        <v>1417</v>
      </c>
      <c r="G201" s="19" t="s">
        <v>1799</v>
      </c>
      <c r="H201" s="19" t="s">
        <v>222</v>
      </c>
      <c r="I201" s="19">
        <v>0</v>
      </c>
      <c r="J201" s="19" t="s">
        <v>783</v>
      </c>
      <c r="K201" s="19" t="s">
        <v>409</v>
      </c>
      <c r="L201" s="19">
        <v>2022</v>
      </c>
      <c r="M201" s="20">
        <v>500</v>
      </c>
      <c r="N201" s="19" t="s">
        <v>751</v>
      </c>
      <c r="O201" s="20">
        <v>50</v>
      </c>
      <c r="P201" s="20">
        <v>25000</v>
      </c>
      <c r="Q201" s="20">
        <v>2138.4370588235292</v>
      </c>
      <c r="R201" s="21">
        <v>0.79</v>
      </c>
      <c r="S201" s="20">
        <v>2138.4370588235292</v>
      </c>
    </row>
    <row r="202" spans="2:19" ht="15" customHeight="1" x14ac:dyDescent="0.25">
      <c r="B202" s="2" t="str">
        <f t="shared" si="6"/>
        <v>PGL_Residential_Home Energy Rebate_Partner Trade Ally Rebate_Wall Insulation_0_SF</v>
      </c>
      <c r="C202" s="2" t="str">
        <f t="shared" si="7"/>
        <v>PGL_Residential_Home Energy Rebate_Partner Trade Ally Rebate_Wall Insulation_0_SF_2023</v>
      </c>
      <c r="D202" s="19" t="s">
        <v>1794</v>
      </c>
      <c r="E202" s="19" t="s">
        <v>2</v>
      </c>
      <c r="F202" s="19" t="s">
        <v>1417</v>
      </c>
      <c r="G202" s="19" t="s">
        <v>1799</v>
      </c>
      <c r="H202" s="19" t="s">
        <v>222</v>
      </c>
      <c r="I202" s="19">
        <v>0</v>
      </c>
      <c r="J202" s="19" t="s">
        <v>783</v>
      </c>
      <c r="K202" s="19" t="s">
        <v>409</v>
      </c>
      <c r="L202" s="19">
        <v>2023</v>
      </c>
      <c r="M202" s="20">
        <v>500</v>
      </c>
      <c r="N202" s="19" t="s">
        <v>751</v>
      </c>
      <c r="O202" s="20">
        <v>50</v>
      </c>
      <c r="P202" s="20">
        <v>25000</v>
      </c>
      <c r="Q202" s="20">
        <v>2138.4370588235292</v>
      </c>
      <c r="R202" s="21">
        <v>0.79</v>
      </c>
      <c r="S202" s="20">
        <v>2138.4370588235292</v>
      </c>
    </row>
    <row r="203" spans="2:19" ht="15" customHeight="1" x14ac:dyDescent="0.25">
      <c r="B203" s="2" t="str">
        <f t="shared" si="6"/>
        <v>PGL_Residential_Home Energy Rebate_Partner Trade Ally Rebate_Wall Insulation_0_SF</v>
      </c>
      <c r="C203" s="2" t="str">
        <f t="shared" si="7"/>
        <v>PGL_Residential_Home Energy Rebate_Partner Trade Ally Rebate_Wall Insulation_0_SF_2024</v>
      </c>
      <c r="D203" s="19" t="s">
        <v>1794</v>
      </c>
      <c r="E203" s="19" t="s">
        <v>2</v>
      </c>
      <c r="F203" s="19" t="s">
        <v>1417</v>
      </c>
      <c r="G203" s="19" t="s">
        <v>1799</v>
      </c>
      <c r="H203" s="19" t="s">
        <v>222</v>
      </c>
      <c r="I203" s="19">
        <v>0</v>
      </c>
      <c r="J203" s="19" t="s">
        <v>783</v>
      </c>
      <c r="K203" s="19" t="s">
        <v>409</v>
      </c>
      <c r="L203" s="19">
        <v>2024</v>
      </c>
      <c r="M203" s="20">
        <v>500</v>
      </c>
      <c r="N203" s="19" t="s">
        <v>751</v>
      </c>
      <c r="O203" s="20">
        <v>50</v>
      </c>
      <c r="P203" s="20">
        <v>25000</v>
      </c>
      <c r="Q203" s="20">
        <v>2138.4370588235292</v>
      </c>
      <c r="R203" s="21">
        <v>0.79</v>
      </c>
      <c r="S203" s="20">
        <v>2138.4370588235292</v>
      </c>
    </row>
    <row r="204" spans="2:19" ht="15" customHeight="1" x14ac:dyDescent="0.25">
      <c r="B204" s="2" t="str">
        <f t="shared" si="6"/>
        <v>PGL_Residential_Home Energy Rebate_Partner Trade Ally Rebate_Wall Insulation_0_SF</v>
      </c>
      <c r="C204" s="2" t="str">
        <f t="shared" si="7"/>
        <v>PGL_Residential_Home Energy Rebate_Partner Trade Ally Rebate_Wall Insulation_0_SF_2025</v>
      </c>
      <c r="D204" s="19" t="s">
        <v>1794</v>
      </c>
      <c r="E204" s="19" t="s">
        <v>2</v>
      </c>
      <c r="F204" s="19" t="s">
        <v>1417</v>
      </c>
      <c r="G204" s="19" t="s">
        <v>1799</v>
      </c>
      <c r="H204" s="19" t="s">
        <v>222</v>
      </c>
      <c r="I204" s="19">
        <v>0</v>
      </c>
      <c r="J204" s="19" t="s">
        <v>783</v>
      </c>
      <c r="K204" s="19" t="s">
        <v>409</v>
      </c>
      <c r="L204" s="19">
        <v>2025</v>
      </c>
      <c r="M204" s="20">
        <v>500</v>
      </c>
      <c r="N204" s="19" t="s">
        <v>751</v>
      </c>
      <c r="O204" s="20">
        <v>50</v>
      </c>
      <c r="P204" s="20">
        <v>25000</v>
      </c>
      <c r="Q204" s="20">
        <v>2138.4370588235292</v>
      </c>
      <c r="R204" s="21">
        <v>0.79</v>
      </c>
      <c r="S204" s="20">
        <v>2138.4370588235292</v>
      </c>
    </row>
    <row r="205" spans="2:19" ht="15" customHeight="1" x14ac:dyDescent="0.25">
      <c r="B205" s="2" t="str">
        <f t="shared" si="6"/>
        <v>PGL_Residential_Home Energy Rebate_Partner Trade Ally Rebate_Foundation Insulation_0_SF</v>
      </c>
      <c r="C205" s="2" t="str">
        <f t="shared" si="7"/>
        <v>PGL_Residential_Home Energy Rebate_Partner Trade Ally Rebate_Foundation Insulation_0_SF_2022</v>
      </c>
      <c r="D205" s="19" t="s">
        <v>1794</v>
      </c>
      <c r="E205" s="19" t="s">
        <v>2</v>
      </c>
      <c r="F205" s="19" t="s">
        <v>1417</v>
      </c>
      <c r="G205" s="19" t="s">
        <v>1799</v>
      </c>
      <c r="H205" s="19" t="s">
        <v>608</v>
      </c>
      <c r="I205" s="19">
        <v>0</v>
      </c>
      <c r="J205" s="19" t="s">
        <v>610</v>
      </c>
      <c r="K205" s="19" t="s">
        <v>409</v>
      </c>
      <c r="L205" s="19">
        <v>2022</v>
      </c>
      <c r="M205" s="20">
        <v>140</v>
      </c>
      <c r="N205" s="19" t="s">
        <v>751</v>
      </c>
      <c r="O205" s="20">
        <v>5</v>
      </c>
      <c r="P205" s="20">
        <v>700</v>
      </c>
      <c r="Q205" s="20">
        <v>75.736312499999997</v>
      </c>
      <c r="R205" s="21">
        <v>0.79</v>
      </c>
      <c r="S205" s="20">
        <v>75.736312499999997</v>
      </c>
    </row>
    <row r="206" spans="2:19" ht="15" customHeight="1" x14ac:dyDescent="0.25">
      <c r="B206" s="2" t="str">
        <f t="shared" si="6"/>
        <v>PGL_Residential_Home Energy Rebate_Partner Trade Ally Rebate_Foundation Insulation_0_SF</v>
      </c>
      <c r="C206" s="2" t="str">
        <f t="shared" si="7"/>
        <v>PGL_Residential_Home Energy Rebate_Partner Trade Ally Rebate_Foundation Insulation_0_SF_2023</v>
      </c>
      <c r="D206" s="19" t="s">
        <v>1794</v>
      </c>
      <c r="E206" s="19" t="s">
        <v>2</v>
      </c>
      <c r="F206" s="19" t="s">
        <v>1417</v>
      </c>
      <c r="G206" s="19" t="s">
        <v>1799</v>
      </c>
      <c r="H206" s="19" t="s">
        <v>608</v>
      </c>
      <c r="I206" s="19">
        <v>0</v>
      </c>
      <c r="J206" s="19" t="s">
        <v>610</v>
      </c>
      <c r="K206" s="19" t="s">
        <v>409</v>
      </c>
      <c r="L206" s="19">
        <v>2023</v>
      </c>
      <c r="M206" s="20">
        <v>140</v>
      </c>
      <c r="N206" s="19" t="s">
        <v>751</v>
      </c>
      <c r="O206" s="20">
        <v>5</v>
      </c>
      <c r="P206" s="20">
        <v>700</v>
      </c>
      <c r="Q206" s="20">
        <v>75.736312499999997</v>
      </c>
      <c r="R206" s="21">
        <v>0.79</v>
      </c>
      <c r="S206" s="20">
        <v>75.736312499999997</v>
      </c>
    </row>
    <row r="207" spans="2:19" ht="15" customHeight="1" x14ac:dyDescent="0.25">
      <c r="B207" s="2" t="str">
        <f t="shared" si="6"/>
        <v>PGL_Residential_Home Energy Rebate_Partner Trade Ally Rebate_Foundation Insulation_0_SF</v>
      </c>
      <c r="C207" s="2" t="str">
        <f t="shared" si="7"/>
        <v>PGL_Residential_Home Energy Rebate_Partner Trade Ally Rebate_Foundation Insulation_0_SF_2024</v>
      </c>
      <c r="D207" s="19" t="s">
        <v>1794</v>
      </c>
      <c r="E207" s="19" t="s">
        <v>2</v>
      </c>
      <c r="F207" s="19" t="s">
        <v>1417</v>
      </c>
      <c r="G207" s="19" t="s">
        <v>1799</v>
      </c>
      <c r="H207" s="19" t="s">
        <v>608</v>
      </c>
      <c r="I207" s="19">
        <v>0</v>
      </c>
      <c r="J207" s="19" t="s">
        <v>610</v>
      </c>
      <c r="K207" s="19" t="s">
        <v>409</v>
      </c>
      <c r="L207" s="19">
        <v>2024</v>
      </c>
      <c r="M207" s="20">
        <v>140</v>
      </c>
      <c r="N207" s="19" t="s">
        <v>751</v>
      </c>
      <c r="O207" s="20">
        <v>5</v>
      </c>
      <c r="P207" s="20">
        <v>700</v>
      </c>
      <c r="Q207" s="20">
        <v>75.736312499999997</v>
      </c>
      <c r="R207" s="21">
        <v>0.79</v>
      </c>
      <c r="S207" s="20">
        <v>75.736312499999997</v>
      </c>
    </row>
    <row r="208" spans="2:19" ht="15" customHeight="1" x14ac:dyDescent="0.25">
      <c r="B208" s="2" t="str">
        <f t="shared" si="6"/>
        <v>PGL_Residential_Home Energy Rebate_Partner Trade Ally Rebate_Foundation Insulation_0_SF</v>
      </c>
      <c r="C208" s="2" t="str">
        <f t="shared" si="7"/>
        <v>PGL_Residential_Home Energy Rebate_Partner Trade Ally Rebate_Foundation Insulation_0_SF_2025</v>
      </c>
      <c r="D208" s="19" t="s">
        <v>1794</v>
      </c>
      <c r="E208" s="19" t="s">
        <v>2</v>
      </c>
      <c r="F208" s="19" t="s">
        <v>1417</v>
      </c>
      <c r="G208" s="19" t="s">
        <v>1799</v>
      </c>
      <c r="H208" s="19" t="s">
        <v>608</v>
      </c>
      <c r="I208" s="19">
        <v>0</v>
      </c>
      <c r="J208" s="19" t="s">
        <v>610</v>
      </c>
      <c r="K208" s="19" t="s">
        <v>409</v>
      </c>
      <c r="L208" s="19">
        <v>2025</v>
      </c>
      <c r="M208" s="20">
        <v>140</v>
      </c>
      <c r="N208" s="19" t="s">
        <v>751</v>
      </c>
      <c r="O208" s="20">
        <v>5</v>
      </c>
      <c r="P208" s="20">
        <v>700</v>
      </c>
      <c r="Q208" s="20">
        <v>75.736312499999997</v>
      </c>
      <c r="R208" s="21">
        <v>0.79</v>
      </c>
      <c r="S208" s="20">
        <v>75.736312499999997</v>
      </c>
    </row>
    <row r="209" spans="2:19" ht="15" customHeight="1" x14ac:dyDescent="0.25">
      <c r="B209" s="2" t="str">
        <f t="shared" si="6"/>
        <v>PGL_Residential_Home Energy Rebate_Partner Trade Ally Rebate_Air Sealing w/ Attic Insulation_0_SF</v>
      </c>
      <c r="C209" s="2" t="str">
        <f t="shared" si="7"/>
        <v>PGL_Residential_Home Energy Rebate_Partner Trade Ally Rebate_Air Sealing w/ Attic Insulation_0_SF_2022</v>
      </c>
      <c r="D209" s="19" t="s">
        <v>1794</v>
      </c>
      <c r="E209" s="19" t="s">
        <v>2</v>
      </c>
      <c r="F209" s="19" t="s">
        <v>1417</v>
      </c>
      <c r="G209" s="19" t="s">
        <v>1799</v>
      </c>
      <c r="H209" s="19" t="s">
        <v>890</v>
      </c>
      <c r="I209" s="19">
        <v>0</v>
      </c>
      <c r="J209" s="19" t="s">
        <v>881</v>
      </c>
      <c r="K209" s="19" t="s">
        <v>409</v>
      </c>
      <c r="L209" s="19">
        <v>2022</v>
      </c>
      <c r="M209" s="20">
        <v>743.2399999999999</v>
      </c>
      <c r="N209" s="19" t="s">
        <v>1800</v>
      </c>
      <c r="O209" s="20">
        <v>220</v>
      </c>
      <c r="P209" s="20">
        <v>163512.79999999999</v>
      </c>
      <c r="Q209" s="20">
        <v>8113.4802138594869</v>
      </c>
      <c r="R209" s="21">
        <v>0.79</v>
      </c>
      <c r="S209" s="20">
        <v>8113.4802138594869</v>
      </c>
    </row>
    <row r="210" spans="2:19" ht="15" customHeight="1" x14ac:dyDescent="0.25">
      <c r="B210" s="2" t="str">
        <f t="shared" si="6"/>
        <v>PGL_Residential_Home Energy Rebate_Partner Trade Ally Rebate_Air Sealing w/ Attic Insulation_0_SF</v>
      </c>
      <c r="C210" s="2" t="str">
        <f t="shared" si="7"/>
        <v>PGL_Residential_Home Energy Rebate_Partner Trade Ally Rebate_Air Sealing w/ Attic Insulation_0_SF_2023</v>
      </c>
      <c r="D210" s="19" t="s">
        <v>1794</v>
      </c>
      <c r="E210" s="19" t="s">
        <v>2</v>
      </c>
      <c r="F210" s="19" t="s">
        <v>1417</v>
      </c>
      <c r="G210" s="19" t="s">
        <v>1799</v>
      </c>
      <c r="H210" s="19" t="s">
        <v>890</v>
      </c>
      <c r="I210" s="19">
        <v>0</v>
      </c>
      <c r="J210" s="19" t="s">
        <v>881</v>
      </c>
      <c r="K210" s="19" t="s">
        <v>409</v>
      </c>
      <c r="L210" s="19">
        <v>2023</v>
      </c>
      <c r="M210" s="20">
        <v>743.2399999999999</v>
      </c>
      <c r="N210" s="19" t="s">
        <v>1800</v>
      </c>
      <c r="O210" s="20">
        <v>220</v>
      </c>
      <c r="P210" s="20">
        <v>163512.79999999999</v>
      </c>
      <c r="Q210" s="20">
        <v>8113.4802138594869</v>
      </c>
      <c r="R210" s="21">
        <v>0.79</v>
      </c>
      <c r="S210" s="20">
        <v>8113.4802138594869</v>
      </c>
    </row>
    <row r="211" spans="2:19" ht="15" customHeight="1" x14ac:dyDescent="0.25">
      <c r="B211" s="2" t="str">
        <f t="shared" si="6"/>
        <v>PGL_Residential_Home Energy Rebate_Partner Trade Ally Rebate_Air Sealing w/ Attic Insulation_0_SF</v>
      </c>
      <c r="C211" s="2" t="str">
        <f t="shared" si="7"/>
        <v>PGL_Residential_Home Energy Rebate_Partner Trade Ally Rebate_Air Sealing w/ Attic Insulation_0_SF_2024</v>
      </c>
      <c r="D211" s="19" t="s">
        <v>1794</v>
      </c>
      <c r="E211" s="19" t="s">
        <v>2</v>
      </c>
      <c r="F211" s="19" t="s">
        <v>1417</v>
      </c>
      <c r="G211" s="19" t="s">
        <v>1799</v>
      </c>
      <c r="H211" s="19" t="s">
        <v>890</v>
      </c>
      <c r="I211" s="19">
        <v>0</v>
      </c>
      <c r="J211" s="19" t="s">
        <v>881</v>
      </c>
      <c r="K211" s="19" t="s">
        <v>409</v>
      </c>
      <c r="L211" s="19">
        <v>2024</v>
      </c>
      <c r="M211" s="20">
        <v>743.2399999999999</v>
      </c>
      <c r="N211" s="19" t="s">
        <v>1800</v>
      </c>
      <c r="O211" s="20">
        <v>220</v>
      </c>
      <c r="P211" s="20">
        <v>163512.79999999999</v>
      </c>
      <c r="Q211" s="20">
        <v>8113.4802138594869</v>
      </c>
      <c r="R211" s="21">
        <v>0.79</v>
      </c>
      <c r="S211" s="20">
        <v>8113.4802138594869</v>
      </c>
    </row>
    <row r="212" spans="2:19" ht="15" customHeight="1" x14ac:dyDescent="0.25">
      <c r="B212" s="2" t="str">
        <f t="shared" si="6"/>
        <v>PGL_Residential_Home Energy Rebate_Partner Trade Ally Rebate_Air Sealing w/ Attic Insulation_0_SF</v>
      </c>
      <c r="C212" s="2" t="str">
        <f t="shared" si="7"/>
        <v>PGL_Residential_Home Energy Rebate_Partner Trade Ally Rebate_Air Sealing w/ Attic Insulation_0_SF_2025</v>
      </c>
      <c r="D212" s="19" t="s">
        <v>1794</v>
      </c>
      <c r="E212" s="19" t="s">
        <v>2</v>
      </c>
      <c r="F212" s="19" t="s">
        <v>1417</v>
      </c>
      <c r="G212" s="19" t="s">
        <v>1799</v>
      </c>
      <c r="H212" s="19" t="s">
        <v>890</v>
      </c>
      <c r="I212" s="19">
        <v>0</v>
      </c>
      <c r="J212" s="19" t="s">
        <v>881</v>
      </c>
      <c r="K212" s="19" t="s">
        <v>409</v>
      </c>
      <c r="L212" s="19">
        <v>2025</v>
      </c>
      <c r="M212" s="20">
        <v>743.2399999999999</v>
      </c>
      <c r="N212" s="19" t="s">
        <v>1800</v>
      </c>
      <c r="O212" s="20">
        <v>220</v>
      </c>
      <c r="P212" s="20">
        <v>163512.79999999999</v>
      </c>
      <c r="Q212" s="20">
        <v>8113.4802138594869</v>
      </c>
      <c r="R212" s="21">
        <v>0.79</v>
      </c>
      <c r="S212" s="20">
        <v>8113.4802138594869</v>
      </c>
    </row>
    <row r="213" spans="2:19" ht="15" customHeight="1" x14ac:dyDescent="0.25">
      <c r="B213" s="2" t="str">
        <f t="shared" si="6"/>
        <v>PGL_Residential_Home Energy Rebate_Standard Rebate_Water Heater_Storage 0.67 EF_SF</v>
      </c>
      <c r="C213" s="2" t="str">
        <f t="shared" si="7"/>
        <v>PGL_Residential_Home Energy Rebate_Standard Rebate_Water Heater_Storage 0.67 EF_SF_2022</v>
      </c>
      <c r="D213" s="19" t="s">
        <v>1794</v>
      </c>
      <c r="E213" s="19" t="s">
        <v>2</v>
      </c>
      <c r="F213" s="19" t="s">
        <v>1417</v>
      </c>
      <c r="G213" s="19" t="s">
        <v>1418</v>
      </c>
      <c r="H213" s="19" t="s">
        <v>8</v>
      </c>
      <c r="I213" s="19" t="s">
        <v>879</v>
      </c>
      <c r="J213" s="19" t="s">
        <v>866</v>
      </c>
      <c r="K213" s="19" t="s">
        <v>409</v>
      </c>
      <c r="L213" s="19">
        <v>2022</v>
      </c>
      <c r="M213" s="20">
        <v>1</v>
      </c>
      <c r="N213" s="19" t="s">
        <v>1798</v>
      </c>
      <c r="O213" s="20">
        <v>0</v>
      </c>
      <c r="P213" s="20">
        <v>0</v>
      </c>
      <c r="Q213" s="20">
        <v>0</v>
      </c>
      <c r="R213" s="21">
        <v>0.63</v>
      </c>
      <c r="S213" s="20">
        <v>0</v>
      </c>
    </row>
    <row r="214" spans="2:19" ht="15" customHeight="1" x14ac:dyDescent="0.25">
      <c r="B214" s="2" t="str">
        <f t="shared" si="6"/>
        <v>PGL_Residential_Home Energy Rebate_Standard Rebate_Water Heater_Storage 0.67 EF_SF</v>
      </c>
      <c r="C214" s="2" t="str">
        <f t="shared" si="7"/>
        <v>PGL_Residential_Home Energy Rebate_Standard Rebate_Water Heater_Storage 0.67 EF_SF_2023</v>
      </c>
      <c r="D214" s="19" t="s">
        <v>1794</v>
      </c>
      <c r="E214" s="19" t="s">
        <v>2</v>
      </c>
      <c r="F214" s="19" t="s">
        <v>1417</v>
      </c>
      <c r="G214" s="19" t="s">
        <v>1418</v>
      </c>
      <c r="H214" s="19" t="s">
        <v>8</v>
      </c>
      <c r="I214" s="19" t="s">
        <v>879</v>
      </c>
      <c r="J214" s="19" t="s">
        <v>866</v>
      </c>
      <c r="K214" s="19" t="s">
        <v>409</v>
      </c>
      <c r="L214" s="19">
        <v>2023</v>
      </c>
      <c r="M214" s="20">
        <v>1</v>
      </c>
      <c r="N214" s="19" t="s">
        <v>1798</v>
      </c>
      <c r="O214" s="20">
        <v>0</v>
      </c>
      <c r="P214" s="20">
        <v>0</v>
      </c>
      <c r="Q214" s="20">
        <v>0</v>
      </c>
      <c r="R214" s="21">
        <v>0.63</v>
      </c>
      <c r="S214" s="20">
        <v>0</v>
      </c>
    </row>
    <row r="215" spans="2:19" ht="15" customHeight="1" x14ac:dyDescent="0.25">
      <c r="B215" s="2" t="str">
        <f t="shared" si="6"/>
        <v>PGL_Residential_Home Energy Rebate_Standard Rebate_Water Heater_Storage 0.67 EF_SF</v>
      </c>
      <c r="C215" s="2" t="str">
        <f t="shared" si="7"/>
        <v>PGL_Residential_Home Energy Rebate_Standard Rebate_Water Heater_Storage 0.67 EF_SF_2024</v>
      </c>
      <c r="D215" s="19" t="s">
        <v>1794</v>
      </c>
      <c r="E215" s="19" t="s">
        <v>2</v>
      </c>
      <c r="F215" s="19" t="s">
        <v>1417</v>
      </c>
      <c r="G215" s="19" t="s">
        <v>1418</v>
      </c>
      <c r="H215" s="19" t="s">
        <v>8</v>
      </c>
      <c r="I215" s="19" t="s">
        <v>879</v>
      </c>
      <c r="J215" s="19" t="s">
        <v>866</v>
      </c>
      <c r="K215" s="19" t="s">
        <v>409</v>
      </c>
      <c r="L215" s="19">
        <v>2024</v>
      </c>
      <c r="M215" s="20">
        <v>1</v>
      </c>
      <c r="N215" s="19" t="s">
        <v>1798</v>
      </c>
      <c r="O215" s="20">
        <v>0</v>
      </c>
      <c r="P215" s="20">
        <v>0</v>
      </c>
      <c r="Q215" s="20">
        <v>0</v>
      </c>
      <c r="R215" s="21">
        <v>0.63</v>
      </c>
      <c r="S215" s="20">
        <v>0</v>
      </c>
    </row>
    <row r="216" spans="2:19" ht="15" customHeight="1" x14ac:dyDescent="0.25">
      <c r="B216" s="2" t="str">
        <f t="shared" si="6"/>
        <v>PGL_Residential_Home Energy Rebate_Standard Rebate_Water Heater_Storage 0.67 EF_SF</v>
      </c>
      <c r="C216" s="2" t="str">
        <f t="shared" si="7"/>
        <v>PGL_Residential_Home Energy Rebate_Standard Rebate_Water Heater_Storage 0.67 EF_SF_2025</v>
      </c>
      <c r="D216" s="19" t="s">
        <v>1794</v>
      </c>
      <c r="E216" s="19" t="s">
        <v>2</v>
      </c>
      <c r="F216" s="19" t="s">
        <v>1417</v>
      </c>
      <c r="G216" s="19" t="s">
        <v>1418</v>
      </c>
      <c r="H216" s="19" t="s">
        <v>8</v>
      </c>
      <c r="I216" s="19" t="s">
        <v>879</v>
      </c>
      <c r="J216" s="19" t="s">
        <v>866</v>
      </c>
      <c r="K216" s="19" t="s">
        <v>409</v>
      </c>
      <c r="L216" s="19">
        <v>2025</v>
      </c>
      <c r="M216" s="20">
        <v>1</v>
      </c>
      <c r="N216" s="19" t="s">
        <v>1798</v>
      </c>
      <c r="O216" s="20">
        <v>0</v>
      </c>
      <c r="P216" s="20">
        <v>0</v>
      </c>
      <c r="Q216" s="20">
        <v>0</v>
      </c>
      <c r="R216" s="21">
        <v>0.63</v>
      </c>
      <c r="S216" s="20">
        <v>0</v>
      </c>
    </row>
    <row r="217" spans="2:19" ht="15" customHeight="1" x14ac:dyDescent="0.25">
      <c r="B217" s="2" t="str">
        <f t="shared" si="6"/>
        <v>PGL_Residential_Home Energy Rebate_Standard Rebate_Thermostat - Reprogram_Furnace (P)_SF</v>
      </c>
      <c r="C217" s="2" t="str">
        <f t="shared" si="7"/>
        <v>PGL_Residential_Home Energy Rebate_Standard Rebate_Thermostat - Reprogram_Furnace (P)_SF_2022</v>
      </c>
      <c r="D217" s="19" t="s">
        <v>1794</v>
      </c>
      <c r="E217" s="19" t="s">
        <v>2</v>
      </c>
      <c r="F217" s="19" t="s">
        <v>1417</v>
      </c>
      <c r="G217" s="19" t="s">
        <v>1418</v>
      </c>
      <c r="H217" s="19" t="s">
        <v>1055</v>
      </c>
      <c r="I217" s="19" t="s">
        <v>1042</v>
      </c>
      <c r="J217" s="19" t="s">
        <v>24</v>
      </c>
      <c r="K217" s="19" t="s">
        <v>409</v>
      </c>
      <c r="L217" s="19">
        <v>2022</v>
      </c>
      <c r="M217" s="20">
        <v>1</v>
      </c>
      <c r="N217" s="19" t="s">
        <v>1798</v>
      </c>
      <c r="O217" s="20">
        <v>0</v>
      </c>
      <c r="P217" s="20">
        <v>0</v>
      </c>
      <c r="Q217" s="20">
        <v>0</v>
      </c>
      <c r="R217" s="21">
        <v>0.63</v>
      </c>
      <c r="S217" s="20">
        <v>0</v>
      </c>
    </row>
    <row r="218" spans="2:19" ht="15" customHeight="1" x14ac:dyDescent="0.25">
      <c r="B218" s="2" t="str">
        <f t="shared" si="6"/>
        <v>PGL_Residential_Home Energy Rebate_Standard Rebate_Thermostat - Reprogram_Furnace (P)_SF</v>
      </c>
      <c r="C218" s="2" t="str">
        <f t="shared" si="7"/>
        <v>PGL_Residential_Home Energy Rebate_Standard Rebate_Thermostat - Reprogram_Furnace (P)_SF_2023</v>
      </c>
      <c r="D218" s="19" t="s">
        <v>1794</v>
      </c>
      <c r="E218" s="19" t="s">
        <v>2</v>
      </c>
      <c r="F218" s="19" t="s">
        <v>1417</v>
      </c>
      <c r="G218" s="19" t="s">
        <v>1418</v>
      </c>
      <c r="H218" s="19" t="s">
        <v>1055</v>
      </c>
      <c r="I218" s="19" t="s">
        <v>1042</v>
      </c>
      <c r="J218" s="19" t="s">
        <v>24</v>
      </c>
      <c r="K218" s="19" t="s">
        <v>409</v>
      </c>
      <c r="L218" s="19">
        <v>2023</v>
      </c>
      <c r="M218" s="20">
        <v>1</v>
      </c>
      <c r="N218" s="19" t="s">
        <v>1798</v>
      </c>
      <c r="O218" s="20">
        <v>0</v>
      </c>
      <c r="P218" s="20">
        <v>0</v>
      </c>
      <c r="Q218" s="20">
        <v>0</v>
      </c>
      <c r="R218" s="21">
        <v>0.63</v>
      </c>
      <c r="S218" s="20">
        <v>0</v>
      </c>
    </row>
    <row r="219" spans="2:19" ht="15" customHeight="1" x14ac:dyDescent="0.25">
      <c r="B219" s="2" t="str">
        <f t="shared" si="6"/>
        <v>PGL_Residential_Home Energy Rebate_Standard Rebate_Thermostat - Reprogram_Furnace (P)_SF</v>
      </c>
      <c r="C219" s="2" t="str">
        <f t="shared" si="7"/>
        <v>PGL_Residential_Home Energy Rebate_Standard Rebate_Thermostat - Reprogram_Furnace (P)_SF_2024</v>
      </c>
      <c r="D219" s="19" t="s">
        <v>1794</v>
      </c>
      <c r="E219" s="19" t="s">
        <v>2</v>
      </c>
      <c r="F219" s="19" t="s">
        <v>1417</v>
      </c>
      <c r="G219" s="19" t="s">
        <v>1418</v>
      </c>
      <c r="H219" s="19" t="s">
        <v>1055</v>
      </c>
      <c r="I219" s="19" t="s">
        <v>1042</v>
      </c>
      <c r="J219" s="19" t="s">
        <v>24</v>
      </c>
      <c r="K219" s="19" t="s">
        <v>409</v>
      </c>
      <c r="L219" s="19">
        <v>2024</v>
      </c>
      <c r="M219" s="20">
        <v>1</v>
      </c>
      <c r="N219" s="19" t="s">
        <v>1798</v>
      </c>
      <c r="O219" s="20">
        <v>0</v>
      </c>
      <c r="P219" s="20">
        <v>0</v>
      </c>
      <c r="Q219" s="20">
        <v>0</v>
      </c>
      <c r="R219" s="21">
        <v>0.63</v>
      </c>
      <c r="S219" s="20">
        <v>0</v>
      </c>
    </row>
    <row r="220" spans="2:19" ht="15" customHeight="1" x14ac:dyDescent="0.25">
      <c r="B220" s="2" t="str">
        <f t="shared" si="6"/>
        <v>PGL_Residential_Home Energy Rebate_Standard Rebate_Thermostat - Reprogram_Furnace (P)_SF</v>
      </c>
      <c r="C220" s="2" t="str">
        <f t="shared" si="7"/>
        <v>PGL_Residential_Home Energy Rebate_Standard Rebate_Thermostat - Reprogram_Furnace (P)_SF_2025</v>
      </c>
      <c r="D220" s="19" t="s">
        <v>1794</v>
      </c>
      <c r="E220" s="19" t="s">
        <v>2</v>
      </c>
      <c r="F220" s="19" t="s">
        <v>1417</v>
      </c>
      <c r="G220" s="19" t="s">
        <v>1418</v>
      </c>
      <c r="H220" s="19" t="s">
        <v>1055</v>
      </c>
      <c r="I220" s="19" t="s">
        <v>1042</v>
      </c>
      <c r="J220" s="19" t="s">
        <v>24</v>
      </c>
      <c r="K220" s="19" t="s">
        <v>409</v>
      </c>
      <c r="L220" s="19">
        <v>2025</v>
      </c>
      <c r="M220" s="20">
        <v>1</v>
      </c>
      <c r="N220" s="19" t="s">
        <v>1798</v>
      </c>
      <c r="O220" s="20">
        <v>0</v>
      </c>
      <c r="P220" s="20">
        <v>0</v>
      </c>
      <c r="Q220" s="20">
        <v>0</v>
      </c>
      <c r="R220" s="21">
        <v>0.63</v>
      </c>
      <c r="S220" s="20">
        <v>0</v>
      </c>
    </row>
    <row r="221" spans="2:19" ht="15" customHeight="1" x14ac:dyDescent="0.25">
      <c r="B221" s="2" t="str">
        <f t="shared" si="6"/>
        <v>PGL_Residential_Home Energy Rebate_Standard Rebate_Thermostat - Reprogram_Boiler (P)_SF</v>
      </c>
      <c r="C221" s="2" t="str">
        <f t="shared" si="7"/>
        <v>PGL_Residential_Home Energy Rebate_Standard Rebate_Thermostat - Reprogram_Boiler (P)_SF_2022</v>
      </c>
      <c r="D221" s="19" t="s">
        <v>1794</v>
      </c>
      <c r="E221" s="19" t="s">
        <v>2</v>
      </c>
      <c r="F221" s="19" t="s">
        <v>1417</v>
      </c>
      <c r="G221" s="19" t="s">
        <v>1418</v>
      </c>
      <c r="H221" s="19" t="s">
        <v>1055</v>
      </c>
      <c r="I221" s="19" t="s">
        <v>1046</v>
      </c>
      <c r="J221" s="19" t="s">
        <v>24</v>
      </c>
      <c r="K221" s="19" t="s">
        <v>409</v>
      </c>
      <c r="L221" s="19">
        <v>2022</v>
      </c>
      <c r="M221" s="20">
        <v>1</v>
      </c>
      <c r="N221" s="19" t="s">
        <v>1798</v>
      </c>
      <c r="O221" s="20">
        <v>0</v>
      </c>
      <c r="P221" s="20">
        <v>0</v>
      </c>
      <c r="Q221" s="20">
        <v>0</v>
      </c>
      <c r="R221" s="21">
        <v>0.63</v>
      </c>
      <c r="S221" s="20">
        <v>0</v>
      </c>
    </row>
    <row r="222" spans="2:19" ht="15" customHeight="1" x14ac:dyDescent="0.25">
      <c r="B222" s="2" t="str">
        <f t="shared" si="6"/>
        <v>PGL_Residential_Home Energy Rebate_Standard Rebate_Thermostat - Reprogram_Boiler (P)_SF</v>
      </c>
      <c r="C222" s="2" t="str">
        <f t="shared" si="7"/>
        <v>PGL_Residential_Home Energy Rebate_Standard Rebate_Thermostat - Reprogram_Boiler (P)_SF_2023</v>
      </c>
      <c r="D222" s="19" t="s">
        <v>1794</v>
      </c>
      <c r="E222" s="19" t="s">
        <v>2</v>
      </c>
      <c r="F222" s="19" t="s">
        <v>1417</v>
      </c>
      <c r="G222" s="19" t="s">
        <v>1418</v>
      </c>
      <c r="H222" s="19" t="s">
        <v>1055</v>
      </c>
      <c r="I222" s="19" t="s">
        <v>1046</v>
      </c>
      <c r="J222" s="19" t="s">
        <v>24</v>
      </c>
      <c r="K222" s="19" t="s">
        <v>409</v>
      </c>
      <c r="L222" s="19">
        <v>2023</v>
      </c>
      <c r="M222" s="20">
        <v>1</v>
      </c>
      <c r="N222" s="19" t="s">
        <v>1798</v>
      </c>
      <c r="O222" s="20">
        <v>0</v>
      </c>
      <c r="P222" s="20">
        <v>0</v>
      </c>
      <c r="Q222" s="20">
        <v>0</v>
      </c>
      <c r="R222" s="21">
        <v>0.63</v>
      </c>
      <c r="S222" s="20">
        <v>0</v>
      </c>
    </row>
    <row r="223" spans="2:19" ht="15" customHeight="1" x14ac:dyDescent="0.25">
      <c r="B223" s="2" t="str">
        <f t="shared" si="6"/>
        <v>PGL_Residential_Home Energy Rebate_Standard Rebate_Thermostat - Reprogram_Boiler (P)_SF</v>
      </c>
      <c r="C223" s="2" t="str">
        <f t="shared" si="7"/>
        <v>PGL_Residential_Home Energy Rebate_Standard Rebate_Thermostat - Reprogram_Boiler (P)_SF_2024</v>
      </c>
      <c r="D223" s="19" t="s">
        <v>1794</v>
      </c>
      <c r="E223" s="19" t="s">
        <v>2</v>
      </c>
      <c r="F223" s="19" t="s">
        <v>1417</v>
      </c>
      <c r="G223" s="19" t="s">
        <v>1418</v>
      </c>
      <c r="H223" s="19" t="s">
        <v>1055</v>
      </c>
      <c r="I223" s="19" t="s">
        <v>1046</v>
      </c>
      <c r="J223" s="19" t="s">
        <v>24</v>
      </c>
      <c r="K223" s="19" t="s">
        <v>409</v>
      </c>
      <c r="L223" s="19">
        <v>2024</v>
      </c>
      <c r="M223" s="20">
        <v>1</v>
      </c>
      <c r="N223" s="19" t="s">
        <v>1798</v>
      </c>
      <c r="O223" s="20">
        <v>0</v>
      </c>
      <c r="P223" s="20">
        <v>0</v>
      </c>
      <c r="Q223" s="20">
        <v>0</v>
      </c>
      <c r="R223" s="21">
        <v>0.63</v>
      </c>
      <c r="S223" s="20">
        <v>0</v>
      </c>
    </row>
    <row r="224" spans="2:19" ht="15" customHeight="1" x14ac:dyDescent="0.25">
      <c r="B224" s="2" t="str">
        <f t="shared" si="6"/>
        <v>PGL_Residential_Home Energy Rebate_Standard Rebate_Thermostat - Reprogram_Boiler (P)_SF</v>
      </c>
      <c r="C224" s="2" t="str">
        <f t="shared" si="7"/>
        <v>PGL_Residential_Home Energy Rebate_Standard Rebate_Thermostat - Reprogram_Boiler (P)_SF_2025</v>
      </c>
      <c r="D224" s="19" t="s">
        <v>1794</v>
      </c>
      <c r="E224" s="19" t="s">
        <v>2</v>
      </c>
      <c r="F224" s="19" t="s">
        <v>1417</v>
      </c>
      <c r="G224" s="19" t="s">
        <v>1418</v>
      </c>
      <c r="H224" s="19" t="s">
        <v>1055</v>
      </c>
      <c r="I224" s="19" t="s">
        <v>1046</v>
      </c>
      <c r="J224" s="19" t="s">
        <v>24</v>
      </c>
      <c r="K224" s="19" t="s">
        <v>409</v>
      </c>
      <c r="L224" s="19">
        <v>2025</v>
      </c>
      <c r="M224" s="20">
        <v>1</v>
      </c>
      <c r="N224" s="19" t="s">
        <v>1798</v>
      </c>
      <c r="O224" s="20">
        <v>0</v>
      </c>
      <c r="P224" s="20">
        <v>0</v>
      </c>
      <c r="Q224" s="20">
        <v>0</v>
      </c>
      <c r="R224" s="21">
        <v>0.63</v>
      </c>
      <c r="S224" s="20">
        <v>0</v>
      </c>
    </row>
    <row r="225" spans="2:19" ht="15" customHeight="1" x14ac:dyDescent="0.25">
      <c r="B225" s="2" t="str">
        <f t="shared" si="6"/>
        <v>PGL_Residential_Home Energy Rebate_Standard Rebate_Programmable Thermostat_Furnace (P)_SF</v>
      </c>
      <c r="C225" s="2" t="str">
        <f t="shared" si="7"/>
        <v>PGL_Residential_Home Energy Rebate_Standard Rebate_Programmable Thermostat_Furnace (P)_SF_2022</v>
      </c>
      <c r="D225" s="19" t="s">
        <v>1794</v>
      </c>
      <c r="E225" s="19" t="s">
        <v>2</v>
      </c>
      <c r="F225" s="19" t="s">
        <v>1417</v>
      </c>
      <c r="G225" s="19" t="s">
        <v>1418</v>
      </c>
      <c r="H225" s="19" t="s">
        <v>224</v>
      </c>
      <c r="I225" s="19" t="s">
        <v>1042</v>
      </c>
      <c r="J225" s="19" t="s">
        <v>24</v>
      </c>
      <c r="K225" s="19" t="s">
        <v>409</v>
      </c>
      <c r="L225" s="19">
        <v>2022</v>
      </c>
      <c r="M225" s="20">
        <v>1</v>
      </c>
      <c r="N225" s="19" t="s">
        <v>1798</v>
      </c>
      <c r="O225" s="20">
        <v>9</v>
      </c>
      <c r="P225" s="20">
        <v>9</v>
      </c>
      <c r="Q225" s="20">
        <v>197.84671200000003</v>
      </c>
      <c r="R225" s="21">
        <v>0.63</v>
      </c>
      <c r="S225" s="20">
        <v>197.84671200000003</v>
      </c>
    </row>
    <row r="226" spans="2:19" ht="15" customHeight="1" x14ac:dyDescent="0.25">
      <c r="B226" s="2" t="str">
        <f t="shared" si="6"/>
        <v>PGL_Residential_Home Energy Rebate_Standard Rebate_Programmable Thermostat_Furnace (P)_SF</v>
      </c>
      <c r="C226" s="2" t="str">
        <f t="shared" si="7"/>
        <v>PGL_Residential_Home Energy Rebate_Standard Rebate_Programmable Thermostat_Furnace (P)_SF_2023</v>
      </c>
      <c r="D226" s="19" t="s">
        <v>1794</v>
      </c>
      <c r="E226" s="19" t="s">
        <v>2</v>
      </c>
      <c r="F226" s="19" t="s">
        <v>1417</v>
      </c>
      <c r="G226" s="19" t="s">
        <v>1418</v>
      </c>
      <c r="H226" s="19" t="s">
        <v>224</v>
      </c>
      <c r="I226" s="19" t="s">
        <v>1042</v>
      </c>
      <c r="J226" s="19" t="s">
        <v>24</v>
      </c>
      <c r="K226" s="19" t="s">
        <v>409</v>
      </c>
      <c r="L226" s="19">
        <v>2023</v>
      </c>
      <c r="M226" s="20">
        <v>1</v>
      </c>
      <c r="N226" s="19" t="s">
        <v>1798</v>
      </c>
      <c r="O226" s="20">
        <v>9</v>
      </c>
      <c r="P226" s="20">
        <v>9</v>
      </c>
      <c r="Q226" s="20">
        <v>197.84671200000003</v>
      </c>
      <c r="R226" s="21">
        <v>0.63</v>
      </c>
      <c r="S226" s="20">
        <v>197.84671200000003</v>
      </c>
    </row>
    <row r="227" spans="2:19" ht="15" customHeight="1" x14ac:dyDescent="0.25">
      <c r="B227" s="2" t="str">
        <f t="shared" si="6"/>
        <v>PGL_Residential_Home Energy Rebate_Standard Rebate_Programmable Thermostat_Furnace (P)_SF</v>
      </c>
      <c r="C227" s="2" t="str">
        <f t="shared" si="7"/>
        <v>PGL_Residential_Home Energy Rebate_Standard Rebate_Programmable Thermostat_Furnace (P)_SF_2024</v>
      </c>
      <c r="D227" s="19" t="s">
        <v>1794</v>
      </c>
      <c r="E227" s="19" t="s">
        <v>2</v>
      </c>
      <c r="F227" s="19" t="s">
        <v>1417</v>
      </c>
      <c r="G227" s="19" t="s">
        <v>1418</v>
      </c>
      <c r="H227" s="19" t="s">
        <v>224</v>
      </c>
      <c r="I227" s="19" t="s">
        <v>1042</v>
      </c>
      <c r="J227" s="19" t="s">
        <v>24</v>
      </c>
      <c r="K227" s="19" t="s">
        <v>409</v>
      </c>
      <c r="L227" s="19">
        <v>2024</v>
      </c>
      <c r="M227" s="20">
        <v>1</v>
      </c>
      <c r="N227" s="19" t="s">
        <v>1798</v>
      </c>
      <c r="O227" s="20">
        <v>8</v>
      </c>
      <c r="P227" s="20">
        <v>8</v>
      </c>
      <c r="Q227" s="20">
        <v>175.86374400000003</v>
      </c>
      <c r="R227" s="21">
        <v>0.63</v>
      </c>
      <c r="S227" s="20">
        <v>175.86374400000003</v>
      </c>
    </row>
    <row r="228" spans="2:19" ht="15" customHeight="1" x14ac:dyDescent="0.25">
      <c r="B228" s="2" t="str">
        <f t="shared" si="6"/>
        <v>PGL_Residential_Home Energy Rebate_Standard Rebate_Programmable Thermostat_Furnace (P)_SF</v>
      </c>
      <c r="C228" s="2" t="str">
        <f t="shared" si="7"/>
        <v>PGL_Residential_Home Energy Rebate_Standard Rebate_Programmable Thermostat_Furnace (P)_SF_2025</v>
      </c>
      <c r="D228" s="19" t="s">
        <v>1794</v>
      </c>
      <c r="E228" s="19" t="s">
        <v>2</v>
      </c>
      <c r="F228" s="19" t="s">
        <v>1417</v>
      </c>
      <c r="G228" s="19" t="s">
        <v>1418</v>
      </c>
      <c r="H228" s="19" t="s">
        <v>224</v>
      </c>
      <c r="I228" s="19" t="s">
        <v>1042</v>
      </c>
      <c r="J228" s="19" t="s">
        <v>24</v>
      </c>
      <c r="K228" s="19" t="s">
        <v>409</v>
      </c>
      <c r="L228" s="19">
        <v>2025</v>
      </c>
      <c r="M228" s="20">
        <v>1</v>
      </c>
      <c r="N228" s="19" t="s">
        <v>1798</v>
      </c>
      <c r="O228" s="20">
        <v>7</v>
      </c>
      <c r="P228" s="20">
        <v>7</v>
      </c>
      <c r="Q228" s="20">
        <v>153.88077600000003</v>
      </c>
      <c r="R228" s="21">
        <v>0.63</v>
      </c>
      <c r="S228" s="20">
        <v>153.88077600000003</v>
      </c>
    </row>
    <row r="229" spans="2:19" ht="15" customHeight="1" x14ac:dyDescent="0.25">
      <c r="B229" s="2" t="str">
        <f t="shared" si="6"/>
        <v>PGL_Residential_Home Energy Rebate_Standard Rebate_Programmable Thermostat_Boiler (P)_SF</v>
      </c>
      <c r="C229" s="2" t="str">
        <f t="shared" si="7"/>
        <v>PGL_Residential_Home Energy Rebate_Standard Rebate_Programmable Thermostat_Boiler (P)_SF_2022</v>
      </c>
      <c r="D229" s="19" t="s">
        <v>1794</v>
      </c>
      <c r="E229" s="19" t="s">
        <v>2</v>
      </c>
      <c r="F229" s="19" t="s">
        <v>1417</v>
      </c>
      <c r="G229" s="19" t="s">
        <v>1418</v>
      </c>
      <c r="H229" s="19" t="s">
        <v>224</v>
      </c>
      <c r="I229" s="19" t="s">
        <v>1046</v>
      </c>
      <c r="J229" s="19" t="s">
        <v>24</v>
      </c>
      <c r="K229" s="19" t="s">
        <v>409</v>
      </c>
      <c r="L229" s="19">
        <v>2022</v>
      </c>
      <c r="M229" s="20">
        <v>1</v>
      </c>
      <c r="N229" s="19" t="s">
        <v>1798</v>
      </c>
      <c r="O229" s="20">
        <v>0</v>
      </c>
      <c r="P229" s="20">
        <v>0</v>
      </c>
      <c r="Q229" s="20">
        <v>0</v>
      </c>
      <c r="R229" s="21">
        <v>0.63</v>
      </c>
      <c r="S229" s="20">
        <v>0</v>
      </c>
    </row>
    <row r="230" spans="2:19" ht="15" customHeight="1" x14ac:dyDescent="0.25">
      <c r="B230" s="2" t="str">
        <f t="shared" si="6"/>
        <v>PGL_Residential_Home Energy Rebate_Standard Rebate_Programmable Thermostat_Boiler (P)_SF</v>
      </c>
      <c r="C230" s="2" t="str">
        <f t="shared" si="7"/>
        <v>PGL_Residential_Home Energy Rebate_Standard Rebate_Programmable Thermostat_Boiler (P)_SF_2023</v>
      </c>
      <c r="D230" s="19" t="s">
        <v>1794</v>
      </c>
      <c r="E230" s="19" t="s">
        <v>2</v>
      </c>
      <c r="F230" s="19" t="s">
        <v>1417</v>
      </c>
      <c r="G230" s="19" t="s">
        <v>1418</v>
      </c>
      <c r="H230" s="19" t="s">
        <v>224</v>
      </c>
      <c r="I230" s="19" t="s">
        <v>1046</v>
      </c>
      <c r="J230" s="19" t="s">
        <v>24</v>
      </c>
      <c r="K230" s="19" t="s">
        <v>409</v>
      </c>
      <c r="L230" s="19">
        <v>2023</v>
      </c>
      <c r="M230" s="20">
        <v>1</v>
      </c>
      <c r="N230" s="19" t="s">
        <v>1798</v>
      </c>
      <c r="O230" s="20">
        <v>0</v>
      </c>
      <c r="P230" s="20">
        <v>0</v>
      </c>
      <c r="Q230" s="20">
        <v>0</v>
      </c>
      <c r="R230" s="21">
        <v>0.63</v>
      </c>
      <c r="S230" s="20">
        <v>0</v>
      </c>
    </row>
    <row r="231" spans="2:19" ht="15" customHeight="1" x14ac:dyDescent="0.25">
      <c r="B231" s="2" t="str">
        <f t="shared" si="6"/>
        <v>PGL_Residential_Home Energy Rebate_Standard Rebate_Programmable Thermostat_Boiler (P)_SF</v>
      </c>
      <c r="C231" s="2" t="str">
        <f t="shared" si="7"/>
        <v>PGL_Residential_Home Energy Rebate_Standard Rebate_Programmable Thermostat_Boiler (P)_SF_2024</v>
      </c>
      <c r="D231" s="19" t="s">
        <v>1794</v>
      </c>
      <c r="E231" s="19" t="s">
        <v>2</v>
      </c>
      <c r="F231" s="19" t="s">
        <v>1417</v>
      </c>
      <c r="G231" s="19" t="s">
        <v>1418</v>
      </c>
      <c r="H231" s="19" t="s">
        <v>224</v>
      </c>
      <c r="I231" s="19" t="s">
        <v>1046</v>
      </c>
      <c r="J231" s="19" t="s">
        <v>24</v>
      </c>
      <c r="K231" s="19" t="s">
        <v>409</v>
      </c>
      <c r="L231" s="19">
        <v>2024</v>
      </c>
      <c r="M231" s="20">
        <v>1</v>
      </c>
      <c r="N231" s="19" t="s">
        <v>1798</v>
      </c>
      <c r="O231" s="20">
        <v>0</v>
      </c>
      <c r="P231" s="20">
        <v>0</v>
      </c>
      <c r="Q231" s="20">
        <v>0</v>
      </c>
      <c r="R231" s="21">
        <v>0.63</v>
      </c>
      <c r="S231" s="20">
        <v>0</v>
      </c>
    </row>
    <row r="232" spans="2:19" ht="15" customHeight="1" x14ac:dyDescent="0.25">
      <c r="B232" s="2" t="str">
        <f t="shared" si="6"/>
        <v>PGL_Residential_Home Energy Rebate_Standard Rebate_Programmable Thermostat_Boiler (P)_SF</v>
      </c>
      <c r="C232" s="2" t="str">
        <f t="shared" si="7"/>
        <v>PGL_Residential_Home Energy Rebate_Standard Rebate_Programmable Thermostat_Boiler (P)_SF_2025</v>
      </c>
      <c r="D232" s="19" t="s">
        <v>1794</v>
      </c>
      <c r="E232" s="19" t="s">
        <v>2</v>
      </c>
      <c r="F232" s="19" t="s">
        <v>1417</v>
      </c>
      <c r="G232" s="19" t="s">
        <v>1418</v>
      </c>
      <c r="H232" s="19" t="s">
        <v>224</v>
      </c>
      <c r="I232" s="19" t="s">
        <v>1046</v>
      </c>
      <c r="J232" s="19" t="s">
        <v>24</v>
      </c>
      <c r="K232" s="19" t="s">
        <v>409</v>
      </c>
      <c r="L232" s="19">
        <v>2025</v>
      </c>
      <c r="M232" s="20">
        <v>1</v>
      </c>
      <c r="N232" s="19" t="s">
        <v>1798</v>
      </c>
      <c r="O232" s="20">
        <v>0</v>
      </c>
      <c r="P232" s="20">
        <v>0</v>
      </c>
      <c r="Q232" s="20">
        <v>0</v>
      </c>
      <c r="R232" s="21">
        <v>0.63</v>
      </c>
      <c r="S232" s="20">
        <v>0</v>
      </c>
    </row>
    <row r="233" spans="2:19" ht="15" customHeight="1" x14ac:dyDescent="0.25">
      <c r="B233" s="2" t="str">
        <f t="shared" si="6"/>
        <v>PGL_Residential_Home Energy Rebate_Standard Rebate_Indirect Water Heater_≥88% AFUE_SF</v>
      </c>
      <c r="C233" s="2" t="str">
        <f t="shared" si="7"/>
        <v>PGL_Residential_Home Energy Rebate_Standard Rebate_Indirect Water Heater_≥88% AFUE_SF_2022</v>
      </c>
      <c r="D233" s="19" t="s">
        <v>1794</v>
      </c>
      <c r="E233" s="19" t="s">
        <v>2</v>
      </c>
      <c r="F233" s="19" t="s">
        <v>1417</v>
      </c>
      <c r="G233" s="19" t="s">
        <v>1418</v>
      </c>
      <c r="H233" s="19" t="s">
        <v>1362</v>
      </c>
      <c r="I233" s="19" t="s">
        <v>1363</v>
      </c>
      <c r="J233" s="19" t="s">
        <v>866</v>
      </c>
      <c r="K233" s="19" t="s">
        <v>409</v>
      </c>
      <c r="L233" s="19">
        <v>2022</v>
      </c>
      <c r="M233" s="20">
        <v>1</v>
      </c>
      <c r="N233" s="19" t="s">
        <v>1798</v>
      </c>
      <c r="O233" s="20">
        <v>0</v>
      </c>
      <c r="P233" s="20">
        <v>0</v>
      </c>
      <c r="Q233" s="20">
        <v>0</v>
      </c>
      <c r="R233" s="21">
        <v>0.63</v>
      </c>
      <c r="S233" s="20">
        <v>0</v>
      </c>
    </row>
    <row r="234" spans="2:19" ht="15" customHeight="1" x14ac:dyDescent="0.25">
      <c r="B234" s="2" t="str">
        <f t="shared" si="6"/>
        <v>PGL_Residential_Home Energy Rebate_Standard Rebate_Indirect Water Heater_≥88% AFUE_SF</v>
      </c>
      <c r="C234" s="2" t="str">
        <f t="shared" si="7"/>
        <v>PGL_Residential_Home Energy Rebate_Standard Rebate_Indirect Water Heater_≥88% AFUE_SF_2023</v>
      </c>
      <c r="D234" s="19" t="s">
        <v>1794</v>
      </c>
      <c r="E234" s="19" t="s">
        <v>2</v>
      </c>
      <c r="F234" s="19" t="s">
        <v>1417</v>
      </c>
      <c r="G234" s="19" t="s">
        <v>1418</v>
      </c>
      <c r="H234" s="19" t="s">
        <v>1362</v>
      </c>
      <c r="I234" s="19" t="s">
        <v>1363</v>
      </c>
      <c r="J234" s="19" t="s">
        <v>866</v>
      </c>
      <c r="K234" s="19" t="s">
        <v>409</v>
      </c>
      <c r="L234" s="19">
        <v>2023</v>
      </c>
      <c r="M234" s="20">
        <v>1</v>
      </c>
      <c r="N234" s="19" t="s">
        <v>1798</v>
      </c>
      <c r="O234" s="20">
        <v>0</v>
      </c>
      <c r="P234" s="20">
        <v>0</v>
      </c>
      <c r="Q234" s="20">
        <v>0</v>
      </c>
      <c r="R234" s="21">
        <v>0.63</v>
      </c>
      <c r="S234" s="20">
        <v>0</v>
      </c>
    </row>
    <row r="235" spans="2:19" ht="15" customHeight="1" x14ac:dyDescent="0.25">
      <c r="B235" s="2" t="str">
        <f t="shared" si="6"/>
        <v>PGL_Residential_Home Energy Rebate_Standard Rebate_Indirect Water Heater_≥88% AFUE_SF</v>
      </c>
      <c r="C235" s="2" t="str">
        <f t="shared" si="7"/>
        <v>PGL_Residential_Home Energy Rebate_Standard Rebate_Indirect Water Heater_≥88% AFUE_SF_2024</v>
      </c>
      <c r="D235" s="19" t="s">
        <v>1794</v>
      </c>
      <c r="E235" s="19" t="s">
        <v>2</v>
      </c>
      <c r="F235" s="19" t="s">
        <v>1417</v>
      </c>
      <c r="G235" s="19" t="s">
        <v>1418</v>
      </c>
      <c r="H235" s="19" t="s">
        <v>1362</v>
      </c>
      <c r="I235" s="19" t="s">
        <v>1363</v>
      </c>
      <c r="J235" s="19" t="s">
        <v>866</v>
      </c>
      <c r="K235" s="19" t="s">
        <v>409</v>
      </c>
      <c r="L235" s="19">
        <v>2024</v>
      </c>
      <c r="M235" s="20">
        <v>1</v>
      </c>
      <c r="N235" s="19" t="s">
        <v>1798</v>
      </c>
      <c r="O235" s="20">
        <v>0</v>
      </c>
      <c r="P235" s="20">
        <v>0</v>
      </c>
      <c r="Q235" s="20">
        <v>0</v>
      </c>
      <c r="R235" s="21">
        <v>0.63</v>
      </c>
      <c r="S235" s="20">
        <v>0</v>
      </c>
    </row>
    <row r="236" spans="2:19" ht="15" customHeight="1" x14ac:dyDescent="0.25">
      <c r="B236" s="2" t="str">
        <f t="shared" si="6"/>
        <v>PGL_Residential_Home Energy Rebate_Standard Rebate_Indirect Water Heater_≥88% AFUE_SF</v>
      </c>
      <c r="C236" s="2" t="str">
        <f t="shared" si="7"/>
        <v>PGL_Residential_Home Energy Rebate_Standard Rebate_Indirect Water Heater_≥88% AFUE_SF_2025</v>
      </c>
      <c r="D236" s="19" t="s">
        <v>1794</v>
      </c>
      <c r="E236" s="19" t="s">
        <v>2</v>
      </c>
      <c r="F236" s="19" t="s">
        <v>1417</v>
      </c>
      <c r="G236" s="19" t="s">
        <v>1418</v>
      </c>
      <c r="H236" s="19" t="s">
        <v>1362</v>
      </c>
      <c r="I236" s="19" t="s">
        <v>1363</v>
      </c>
      <c r="J236" s="19" t="s">
        <v>866</v>
      </c>
      <c r="K236" s="19" t="s">
        <v>409</v>
      </c>
      <c r="L236" s="19">
        <v>2025</v>
      </c>
      <c r="M236" s="20">
        <v>1</v>
      </c>
      <c r="N236" s="19" t="s">
        <v>1798</v>
      </c>
      <c r="O236" s="20">
        <v>0</v>
      </c>
      <c r="P236" s="20">
        <v>0</v>
      </c>
      <c r="Q236" s="20">
        <v>0</v>
      </c>
      <c r="R236" s="21">
        <v>0.63</v>
      </c>
      <c r="S236" s="20">
        <v>0</v>
      </c>
    </row>
    <row r="237" spans="2:19" ht="15" customHeight="1" x14ac:dyDescent="0.25">
      <c r="B237" s="2" t="str">
        <f t="shared" si="6"/>
        <v>PGL_Residential_Home Energy Rebate_Standard Rebate_Tankless Water Heater_0_SF</v>
      </c>
      <c r="C237" s="2" t="str">
        <f t="shared" si="7"/>
        <v>PGL_Residential_Home Energy Rebate_Standard Rebate_Tankless Water Heater_0_SF_2022</v>
      </c>
      <c r="D237" s="19" t="s">
        <v>1794</v>
      </c>
      <c r="E237" s="19" t="s">
        <v>2</v>
      </c>
      <c r="F237" s="19" t="s">
        <v>1417</v>
      </c>
      <c r="G237" s="19" t="s">
        <v>1418</v>
      </c>
      <c r="H237" s="19" t="s">
        <v>865</v>
      </c>
      <c r="I237" s="19">
        <v>0</v>
      </c>
      <c r="J237" s="19" t="s">
        <v>866</v>
      </c>
      <c r="K237" s="19" t="s">
        <v>409</v>
      </c>
      <c r="L237" s="19">
        <v>2022</v>
      </c>
      <c r="M237" s="20">
        <v>1</v>
      </c>
      <c r="N237" s="19" t="s">
        <v>1798</v>
      </c>
      <c r="O237" s="20">
        <v>63</v>
      </c>
      <c r="P237" s="20">
        <v>63</v>
      </c>
      <c r="Q237" s="20">
        <v>2543.1343087805881</v>
      </c>
      <c r="R237" s="21">
        <v>0.63</v>
      </c>
      <c r="S237" s="20">
        <v>2543.1343087805881</v>
      </c>
    </row>
    <row r="238" spans="2:19" ht="15" customHeight="1" x14ac:dyDescent="0.25">
      <c r="B238" s="2" t="str">
        <f t="shared" si="6"/>
        <v>PGL_Residential_Home Energy Rebate_Standard Rebate_Tankless Water Heater_0_SF</v>
      </c>
      <c r="C238" s="2" t="str">
        <f t="shared" si="7"/>
        <v>PGL_Residential_Home Energy Rebate_Standard Rebate_Tankless Water Heater_0_SF_2023</v>
      </c>
      <c r="D238" s="19" t="s">
        <v>1794</v>
      </c>
      <c r="E238" s="19" t="s">
        <v>2</v>
      </c>
      <c r="F238" s="19" t="s">
        <v>1417</v>
      </c>
      <c r="G238" s="19" t="s">
        <v>1418</v>
      </c>
      <c r="H238" s="19" t="s">
        <v>865</v>
      </c>
      <c r="I238" s="19">
        <v>0</v>
      </c>
      <c r="J238" s="19" t="s">
        <v>866</v>
      </c>
      <c r="K238" s="19" t="s">
        <v>409</v>
      </c>
      <c r="L238" s="19">
        <v>2023</v>
      </c>
      <c r="M238" s="20">
        <v>1</v>
      </c>
      <c r="N238" s="19" t="s">
        <v>1798</v>
      </c>
      <c r="O238" s="20">
        <v>60</v>
      </c>
      <c r="P238" s="20">
        <v>60</v>
      </c>
      <c r="Q238" s="20">
        <v>2422.0326750291315</v>
      </c>
      <c r="R238" s="21">
        <v>0.63</v>
      </c>
      <c r="S238" s="20">
        <v>2422.0326750291315</v>
      </c>
    </row>
    <row r="239" spans="2:19" ht="15" customHeight="1" x14ac:dyDescent="0.25">
      <c r="B239" s="2" t="str">
        <f t="shared" si="6"/>
        <v>PGL_Residential_Home Energy Rebate_Standard Rebate_Tankless Water Heater_0_SF</v>
      </c>
      <c r="C239" s="2" t="str">
        <f t="shared" si="7"/>
        <v>PGL_Residential_Home Energy Rebate_Standard Rebate_Tankless Water Heater_0_SF_2024</v>
      </c>
      <c r="D239" s="19" t="s">
        <v>1794</v>
      </c>
      <c r="E239" s="19" t="s">
        <v>2</v>
      </c>
      <c r="F239" s="19" t="s">
        <v>1417</v>
      </c>
      <c r="G239" s="19" t="s">
        <v>1418</v>
      </c>
      <c r="H239" s="19" t="s">
        <v>865</v>
      </c>
      <c r="I239" s="19">
        <v>0</v>
      </c>
      <c r="J239" s="19" t="s">
        <v>866</v>
      </c>
      <c r="K239" s="19" t="s">
        <v>409</v>
      </c>
      <c r="L239" s="19">
        <v>2024</v>
      </c>
      <c r="M239" s="20">
        <v>1</v>
      </c>
      <c r="N239" s="19" t="s">
        <v>1798</v>
      </c>
      <c r="O239" s="20">
        <v>56</v>
      </c>
      <c r="P239" s="20">
        <v>56</v>
      </c>
      <c r="Q239" s="20">
        <v>2260.5638300271894</v>
      </c>
      <c r="R239" s="21">
        <v>0.63</v>
      </c>
      <c r="S239" s="20">
        <v>2260.5638300271894</v>
      </c>
    </row>
    <row r="240" spans="2:19" ht="15" customHeight="1" x14ac:dyDescent="0.25">
      <c r="B240" s="2" t="str">
        <f t="shared" si="6"/>
        <v>PGL_Residential_Home Energy Rebate_Standard Rebate_Tankless Water Heater_0_SF</v>
      </c>
      <c r="C240" s="2" t="str">
        <f t="shared" si="7"/>
        <v>PGL_Residential_Home Energy Rebate_Standard Rebate_Tankless Water Heater_0_SF_2025</v>
      </c>
      <c r="D240" s="19" t="s">
        <v>1794</v>
      </c>
      <c r="E240" s="19" t="s">
        <v>2</v>
      </c>
      <c r="F240" s="19" t="s">
        <v>1417</v>
      </c>
      <c r="G240" s="19" t="s">
        <v>1418</v>
      </c>
      <c r="H240" s="19" t="s">
        <v>865</v>
      </c>
      <c r="I240" s="19">
        <v>0</v>
      </c>
      <c r="J240" s="19" t="s">
        <v>866</v>
      </c>
      <c r="K240" s="19" t="s">
        <v>409</v>
      </c>
      <c r="L240" s="19">
        <v>2025</v>
      </c>
      <c r="M240" s="20">
        <v>1</v>
      </c>
      <c r="N240" s="19" t="s">
        <v>1798</v>
      </c>
      <c r="O240" s="20">
        <v>49</v>
      </c>
      <c r="P240" s="20">
        <v>49</v>
      </c>
      <c r="Q240" s="20">
        <v>1977.9933512737907</v>
      </c>
      <c r="R240" s="21">
        <v>0.63</v>
      </c>
      <c r="S240" s="20">
        <v>1977.9933512737907</v>
      </c>
    </row>
    <row r="241" spans="2:19" ht="15" customHeight="1" x14ac:dyDescent="0.25">
      <c r="B241" s="2" t="str">
        <f t="shared" si="6"/>
        <v>NSG_Residential_Home Energy Rebate_Standard Rebate_Boiler - DHW Two-in-One_0_SF</v>
      </c>
      <c r="C241" s="2" t="str">
        <f t="shared" si="7"/>
        <v>NSG_Residential_Home Energy Rebate_Standard Rebate_Boiler - DHW Two-in-One_0_SF_2022</v>
      </c>
      <c r="D241" s="19" t="s">
        <v>1787</v>
      </c>
      <c r="E241" s="19" t="s">
        <v>2</v>
      </c>
      <c r="F241" s="19" t="s">
        <v>1417</v>
      </c>
      <c r="G241" s="19" t="s">
        <v>1418</v>
      </c>
      <c r="H241" s="19" t="s">
        <v>897</v>
      </c>
      <c r="I241" s="19">
        <v>0</v>
      </c>
      <c r="J241" s="19" t="s">
        <v>866</v>
      </c>
      <c r="K241" s="19" t="s">
        <v>409</v>
      </c>
      <c r="L241" s="19">
        <v>2022</v>
      </c>
      <c r="M241" s="20">
        <v>1</v>
      </c>
      <c r="N241" s="19" t="s">
        <v>1798</v>
      </c>
      <c r="O241" s="20">
        <v>15</v>
      </c>
      <c r="P241" s="20">
        <v>15</v>
      </c>
      <c r="Q241" s="20">
        <v>599.98871844607527</v>
      </c>
      <c r="R241" s="21">
        <v>0.63</v>
      </c>
      <c r="S241" s="20">
        <v>599.98871844607527</v>
      </c>
    </row>
    <row r="242" spans="2:19" ht="15" customHeight="1" x14ac:dyDescent="0.25">
      <c r="B242" s="2" t="str">
        <f t="shared" si="6"/>
        <v>NSG_Residential_Home Energy Rebate_Standard Rebate_Boiler - DHW Two-in-One_0_SF</v>
      </c>
      <c r="C242" s="2" t="str">
        <f t="shared" si="7"/>
        <v>NSG_Residential_Home Energy Rebate_Standard Rebate_Boiler - DHW Two-in-One_0_SF_2023</v>
      </c>
      <c r="D242" s="19" t="s">
        <v>1787</v>
      </c>
      <c r="E242" s="19" t="s">
        <v>2</v>
      </c>
      <c r="F242" s="19" t="s">
        <v>1417</v>
      </c>
      <c r="G242" s="19" t="s">
        <v>1418</v>
      </c>
      <c r="H242" s="19" t="s">
        <v>897</v>
      </c>
      <c r="I242" s="19">
        <v>0</v>
      </c>
      <c r="J242" s="19" t="s">
        <v>866</v>
      </c>
      <c r="K242" s="19" t="s">
        <v>409</v>
      </c>
      <c r="L242" s="19">
        <v>2023</v>
      </c>
      <c r="M242" s="20">
        <v>1</v>
      </c>
      <c r="N242" s="19" t="s">
        <v>1798</v>
      </c>
      <c r="O242" s="20">
        <v>15</v>
      </c>
      <c r="P242" s="20">
        <v>15</v>
      </c>
      <c r="Q242" s="20">
        <v>599.98871844607527</v>
      </c>
      <c r="R242" s="21">
        <v>0.63</v>
      </c>
      <c r="S242" s="20">
        <v>599.98871844607527</v>
      </c>
    </row>
    <row r="243" spans="2:19" ht="15" customHeight="1" x14ac:dyDescent="0.25">
      <c r="B243" s="2" t="str">
        <f t="shared" si="6"/>
        <v>NSG_Residential_Home Energy Rebate_Standard Rebate_Boiler - DHW Two-in-One_0_SF</v>
      </c>
      <c r="C243" s="2" t="str">
        <f t="shared" si="7"/>
        <v>NSG_Residential_Home Energy Rebate_Standard Rebate_Boiler - DHW Two-in-One_0_SF_2024</v>
      </c>
      <c r="D243" s="19" t="s">
        <v>1787</v>
      </c>
      <c r="E243" s="19" t="s">
        <v>2</v>
      </c>
      <c r="F243" s="19" t="s">
        <v>1417</v>
      </c>
      <c r="G243" s="19" t="s">
        <v>1418</v>
      </c>
      <c r="H243" s="19" t="s">
        <v>897</v>
      </c>
      <c r="I243" s="19">
        <v>0</v>
      </c>
      <c r="J243" s="19" t="s">
        <v>866</v>
      </c>
      <c r="K243" s="19" t="s">
        <v>409</v>
      </c>
      <c r="L243" s="19">
        <v>2024</v>
      </c>
      <c r="M243" s="20">
        <v>1</v>
      </c>
      <c r="N243" s="19" t="s">
        <v>1798</v>
      </c>
      <c r="O243" s="20">
        <v>15</v>
      </c>
      <c r="P243" s="20">
        <v>15</v>
      </c>
      <c r="Q243" s="20">
        <v>599.98871844607527</v>
      </c>
      <c r="R243" s="21">
        <v>0.63</v>
      </c>
      <c r="S243" s="20">
        <v>599.98871844607527</v>
      </c>
    </row>
    <row r="244" spans="2:19" ht="15" customHeight="1" x14ac:dyDescent="0.25">
      <c r="B244" s="2" t="str">
        <f t="shared" si="6"/>
        <v>NSG_Residential_Home Energy Rebate_Standard Rebate_Boiler - DHW Two-in-One_0_SF</v>
      </c>
      <c r="C244" s="2" t="str">
        <f t="shared" si="7"/>
        <v>NSG_Residential_Home Energy Rebate_Standard Rebate_Boiler - DHW Two-in-One_0_SF_2025</v>
      </c>
      <c r="D244" s="19" t="s">
        <v>1787</v>
      </c>
      <c r="E244" s="19" t="s">
        <v>2</v>
      </c>
      <c r="F244" s="19" t="s">
        <v>1417</v>
      </c>
      <c r="G244" s="19" t="s">
        <v>1418</v>
      </c>
      <c r="H244" s="19" t="s">
        <v>897</v>
      </c>
      <c r="I244" s="19">
        <v>0</v>
      </c>
      <c r="J244" s="19" t="s">
        <v>866</v>
      </c>
      <c r="K244" s="19" t="s">
        <v>409</v>
      </c>
      <c r="L244" s="19">
        <v>2025</v>
      </c>
      <c r="M244" s="20">
        <v>1</v>
      </c>
      <c r="N244" s="19" t="s">
        <v>1798</v>
      </c>
      <c r="O244" s="20">
        <v>15</v>
      </c>
      <c r="P244" s="20">
        <v>15</v>
      </c>
      <c r="Q244" s="20">
        <v>599.98871844607527</v>
      </c>
      <c r="R244" s="21">
        <v>0.63</v>
      </c>
      <c r="S244" s="20">
        <v>599.98871844607527</v>
      </c>
    </row>
    <row r="245" spans="2:19" ht="15" customHeight="1" x14ac:dyDescent="0.25">
      <c r="B245" s="2" t="str">
        <f t="shared" si="6"/>
        <v>NSG_Residential_Home Energy Rebate_Standard Rebate_Boiler_≥88% AFUE, &lt;300MBh_SF</v>
      </c>
      <c r="C245" s="2" t="str">
        <f t="shared" si="7"/>
        <v>NSG_Residential_Home Energy Rebate_Standard Rebate_Boiler_≥88% AFUE, &lt;300MBh_SF_2022</v>
      </c>
      <c r="D245" s="19" t="s">
        <v>1787</v>
      </c>
      <c r="E245" s="19" t="s">
        <v>2</v>
      </c>
      <c r="F245" s="19" t="s">
        <v>1417</v>
      </c>
      <c r="G245" s="19" t="s">
        <v>1418</v>
      </c>
      <c r="H245" s="19" t="s">
        <v>944</v>
      </c>
      <c r="I245" s="19" t="s">
        <v>945</v>
      </c>
      <c r="J245" s="19" t="s">
        <v>1057</v>
      </c>
      <c r="K245" s="19" t="s">
        <v>409</v>
      </c>
      <c r="L245" s="19">
        <v>2022</v>
      </c>
      <c r="M245" s="20">
        <v>1</v>
      </c>
      <c r="N245" s="19" t="s">
        <v>1798</v>
      </c>
      <c r="O245" s="20">
        <v>25</v>
      </c>
      <c r="P245" s="20">
        <v>25</v>
      </c>
      <c r="Q245" s="20">
        <v>2321.2939999999999</v>
      </c>
      <c r="R245" s="21">
        <v>0.63</v>
      </c>
      <c r="S245" s="20">
        <v>2321.2939999999999</v>
      </c>
    </row>
    <row r="246" spans="2:19" ht="15" customHeight="1" x14ac:dyDescent="0.25">
      <c r="B246" s="2" t="str">
        <f t="shared" si="6"/>
        <v>NSG_Residential_Home Energy Rebate_Standard Rebate_Boiler_≥88% AFUE, &lt;300MBh_SF</v>
      </c>
      <c r="C246" s="2" t="str">
        <f t="shared" si="7"/>
        <v>NSG_Residential_Home Energy Rebate_Standard Rebate_Boiler_≥88% AFUE, &lt;300MBh_SF_2023</v>
      </c>
      <c r="D246" s="19" t="s">
        <v>1787</v>
      </c>
      <c r="E246" s="19" t="s">
        <v>2</v>
      </c>
      <c r="F246" s="19" t="s">
        <v>1417</v>
      </c>
      <c r="G246" s="19" t="s">
        <v>1418</v>
      </c>
      <c r="H246" s="19" t="s">
        <v>944</v>
      </c>
      <c r="I246" s="19" t="s">
        <v>945</v>
      </c>
      <c r="J246" s="19" t="s">
        <v>1057</v>
      </c>
      <c r="K246" s="19" t="s">
        <v>409</v>
      </c>
      <c r="L246" s="19">
        <v>2023</v>
      </c>
      <c r="M246" s="20">
        <v>1</v>
      </c>
      <c r="N246" s="19" t="s">
        <v>1798</v>
      </c>
      <c r="O246" s="20">
        <v>25</v>
      </c>
      <c r="P246" s="20">
        <v>25</v>
      </c>
      <c r="Q246" s="20">
        <v>2321.2939999999999</v>
      </c>
      <c r="R246" s="21">
        <v>0.63</v>
      </c>
      <c r="S246" s="20">
        <v>2321.2939999999999</v>
      </c>
    </row>
    <row r="247" spans="2:19" ht="15" customHeight="1" x14ac:dyDescent="0.25">
      <c r="B247" s="2" t="str">
        <f t="shared" si="6"/>
        <v>NSG_Residential_Home Energy Rebate_Standard Rebate_Boiler_≥88% AFUE, &lt;300MBh_SF</v>
      </c>
      <c r="C247" s="2" t="str">
        <f t="shared" si="7"/>
        <v>NSG_Residential_Home Energy Rebate_Standard Rebate_Boiler_≥88% AFUE, &lt;300MBh_SF_2024</v>
      </c>
      <c r="D247" s="19" t="s">
        <v>1787</v>
      </c>
      <c r="E247" s="19" t="s">
        <v>2</v>
      </c>
      <c r="F247" s="19" t="s">
        <v>1417</v>
      </c>
      <c r="G247" s="19" t="s">
        <v>1418</v>
      </c>
      <c r="H247" s="19" t="s">
        <v>944</v>
      </c>
      <c r="I247" s="19" t="s">
        <v>945</v>
      </c>
      <c r="J247" s="19" t="s">
        <v>1057</v>
      </c>
      <c r="K247" s="19" t="s">
        <v>409</v>
      </c>
      <c r="L247" s="19">
        <v>2024</v>
      </c>
      <c r="M247" s="20">
        <v>1</v>
      </c>
      <c r="N247" s="19" t="s">
        <v>1798</v>
      </c>
      <c r="O247" s="20">
        <v>25</v>
      </c>
      <c r="P247" s="20">
        <v>25</v>
      </c>
      <c r="Q247" s="20">
        <v>2321.2939999999999</v>
      </c>
      <c r="R247" s="21">
        <v>0.63</v>
      </c>
      <c r="S247" s="20">
        <v>2321.2939999999999</v>
      </c>
    </row>
    <row r="248" spans="2:19" ht="15" customHeight="1" x14ac:dyDescent="0.25">
      <c r="B248" s="2" t="str">
        <f t="shared" si="6"/>
        <v>NSG_Residential_Home Energy Rebate_Standard Rebate_Boiler_≥88% AFUE, &lt;300MBh_SF</v>
      </c>
      <c r="C248" s="2" t="str">
        <f t="shared" si="7"/>
        <v>NSG_Residential_Home Energy Rebate_Standard Rebate_Boiler_≥88% AFUE, &lt;300MBh_SF_2025</v>
      </c>
      <c r="D248" s="19" t="s">
        <v>1787</v>
      </c>
      <c r="E248" s="19" t="s">
        <v>2</v>
      </c>
      <c r="F248" s="19" t="s">
        <v>1417</v>
      </c>
      <c r="G248" s="19" t="s">
        <v>1418</v>
      </c>
      <c r="H248" s="19" t="s">
        <v>944</v>
      </c>
      <c r="I248" s="19" t="s">
        <v>945</v>
      </c>
      <c r="J248" s="19" t="s">
        <v>1057</v>
      </c>
      <c r="K248" s="19" t="s">
        <v>409</v>
      </c>
      <c r="L248" s="19">
        <v>2025</v>
      </c>
      <c r="M248" s="20">
        <v>1</v>
      </c>
      <c r="N248" s="19" t="s">
        <v>1798</v>
      </c>
      <c r="O248" s="20">
        <v>25</v>
      </c>
      <c r="P248" s="20">
        <v>25</v>
      </c>
      <c r="Q248" s="20">
        <v>2321.2939999999999</v>
      </c>
      <c r="R248" s="21">
        <v>0.63</v>
      </c>
      <c r="S248" s="20">
        <v>2321.2939999999999</v>
      </c>
    </row>
    <row r="249" spans="2:19" ht="15" customHeight="1" x14ac:dyDescent="0.25">
      <c r="B249" s="2" t="str">
        <f t="shared" si="6"/>
        <v>NSG_Residential_Home Energy Rebate_Standard Rebate_Steam Boiler_≥82% AFUE, &lt;300MBh_SF</v>
      </c>
      <c r="C249" s="2" t="str">
        <f t="shared" si="7"/>
        <v>NSG_Residential_Home Energy Rebate_Standard Rebate_Steam Boiler_≥82% AFUE, &lt;300MBh_SF_2022</v>
      </c>
      <c r="D249" s="19" t="s">
        <v>1787</v>
      </c>
      <c r="E249" s="19" t="s">
        <v>2</v>
      </c>
      <c r="F249" s="19" t="s">
        <v>1417</v>
      </c>
      <c r="G249" s="19" t="s">
        <v>1418</v>
      </c>
      <c r="H249" s="19" t="s">
        <v>938</v>
      </c>
      <c r="I249" s="19" t="s">
        <v>1061</v>
      </c>
      <c r="J249" s="19" t="s">
        <v>1057</v>
      </c>
      <c r="K249" s="19" t="s">
        <v>409</v>
      </c>
      <c r="L249" s="19">
        <v>2022</v>
      </c>
      <c r="M249" s="20">
        <v>1</v>
      </c>
      <c r="N249" s="19" t="s">
        <v>1798</v>
      </c>
      <c r="O249" s="20">
        <v>4</v>
      </c>
      <c r="P249" s="20">
        <v>4</v>
      </c>
      <c r="Q249" s="20">
        <v>17.946497560975626</v>
      </c>
      <c r="R249" s="21">
        <v>0.63</v>
      </c>
      <c r="S249" s="20">
        <v>17.946497560975626</v>
      </c>
    </row>
    <row r="250" spans="2:19" ht="15" customHeight="1" x14ac:dyDescent="0.25">
      <c r="B250" s="2" t="str">
        <f t="shared" si="6"/>
        <v>NSG_Residential_Home Energy Rebate_Standard Rebate_Steam Boiler_≥82% AFUE, &lt;300MBh_SF</v>
      </c>
      <c r="C250" s="2" t="str">
        <f t="shared" si="7"/>
        <v>NSG_Residential_Home Energy Rebate_Standard Rebate_Steam Boiler_≥82% AFUE, &lt;300MBh_SF_2023</v>
      </c>
      <c r="D250" s="19" t="s">
        <v>1787</v>
      </c>
      <c r="E250" s="19" t="s">
        <v>2</v>
      </c>
      <c r="F250" s="19" t="s">
        <v>1417</v>
      </c>
      <c r="G250" s="19" t="s">
        <v>1418</v>
      </c>
      <c r="H250" s="19" t="s">
        <v>938</v>
      </c>
      <c r="I250" s="19" t="s">
        <v>1061</v>
      </c>
      <c r="J250" s="19" t="s">
        <v>1057</v>
      </c>
      <c r="K250" s="19" t="s">
        <v>409</v>
      </c>
      <c r="L250" s="19">
        <v>2023</v>
      </c>
      <c r="M250" s="20">
        <v>1</v>
      </c>
      <c r="N250" s="19" t="s">
        <v>1798</v>
      </c>
      <c r="O250" s="20">
        <v>4</v>
      </c>
      <c r="P250" s="20">
        <v>4</v>
      </c>
      <c r="Q250" s="20">
        <v>17.946497560975626</v>
      </c>
      <c r="R250" s="21">
        <v>0.63</v>
      </c>
      <c r="S250" s="20">
        <v>17.946497560975626</v>
      </c>
    </row>
    <row r="251" spans="2:19" ht="15" customHeight="1" x14ac:dyDescent="0.25">
      <c r="B251" s="2" t="str">
        <f t="shared" si="6"/>
        <v>NSG_Residential_Home Energy Rebate_Standard Rebate_Steam Boiler_≥82% AFUE, &lt;300MBh_SF</v>
      </c>
      <c r="C251" s="2" t="str">
        <f t="shared" si="7"/>
        <v>NSG_Residential_Home Energy Rebate_Standard Rebate_Steam Boiler_≥82% AFUE, &lt;300MBh_SF_2024</v>
      </c>
      <c r="D251" s="19" t="s">
        <v>1787</v>
      </c>
      <c r="E251" s="19" t="s">
        <v>2</v>
      </c>
      <c r="F251" s="19" t="s">
        <v>1417</v>
      </c>
      <c r="G251" s="19" t="s">
        <v>1418</v>
      </c>
      <c r="H251" s="19" t="s">
        <v>938</v>
      </c>
      <c r="I251" s="19" t="s">
        <v>1061</v>
      </c>
      <c r="J251" s="19" t="s">
        <v>1057</v>
      </c>
      <c r="K251" s="19" t="s">
        <v>409</v>
      </c>
      <c r="L251" s="19">
        <v>2024</v>
      </c>
      <c r="M251" s="20">
        <v>1</v>
      </c>
      <c r="N251" s="19" t="s">
        <v>1798</v>
      </c>
      <c r="O251" s="20">
        <v>4</v>
      </c>
      <c r="P251" s="20">
        <v>4</v>
      </c>
      <c r="Q251" s="20">
        <v>17.946497560975626</v>
      </c>
      <c r="R251" s="21">
        <v>0.63</v>
      </c>
      <c r="S251" s="20">
        <v>17.946497560975626</v>
      </c>
    </row>
    <row r="252" spans="2:19" ht="15" customHeight="1" x14ac:dyDescent="0.25">
      <c r="B252" s="2" t="str">
        <f t="shared" si="6"/>
        <v>NSG_Residential_Home Energy Rebate_Standard Rebate_Steam Boiler_≥82% AFUE, &lt;300MBh_SF</v>
      </c>
      <c r="C252" s="2" t="str">
        <f t="shared" si="7"/>
        <v>NSG_Residential_Home Energy Rebate_Standard Rebate_Steam Boiler_≥82% AFUE, &lt;300MBh_SF_2025</v>
      </c>
      <c r="D252" s="19" t="s">
        <v>1787</v>
      </c>
      <c r="E252" s="19" t="s">
        <v>2</v>
      </c>
      <c r="F252" s="19" t="s">
        <v>1417</v>
      </c>
      <c r="G252" s="19" t="s">
        <v>1418</v>
      </c>
      <c r="H252" s="19" t="s">
        <v>938</v>
      </c>
      <c r="I252" s="19" t="s">
        <v>1061</v>
      </c>
      <c r="J252" s="19" t="s">
        <v>1057</v>
      </c>
      <c r="K252" s="19" t="s">
        <v>409</v>
      </c>
      <c r="L252" s="19">
        <v>2025</v>
      </c>
      <c r="M252" s="20">
        <v>1</v>
      </c>
      <c r="N252" s="19" t="s">
        <v>1798</v>
      </c>
      <c r="O252" s="20">
        <v>4</v>
      </c>
      <c r="P252" s="20">
        <v>4</v>
      </c>
      <c r="Q252" s="20">
        <v>17.946497560975626</v>
      </c>
      <c r="R252" s="21">
        <v>0.63</v>
      </c>
      <c r="S252" s="20">
        <v>17.946497560975626</v>
      </c>
    </row>
    <row r="253" spans="2:19" ht="15" customHeight="1" x14ac:dyDescent="0.25">
      <c r="B253" s="2" t="str">
        <f t="shared" si="6"/>
        <v>NSG_Residential_Home Energy Rebate_Standard Rebate_Furnace_&gt;95% AFUE_SF</v>
      </c>
      <c r="C253" s="2" t="str">
        <f t="shared" si="7"/>
        <v>NSG_Residential_Home Energy Rebate_Standard Rebate_Furnace_&gt;95% AFUE_SF_2022</v>
      </c>
      <c r="D253" s="19" t="s">
        <v>1787</v>
      </c>
      <c r="E253" s="19" t="s">
        <v>2</v>
      </c>
      <c r="F253" s="19" t="s">
        <v>1417</v>
      </c>
      <c r="G253" s="19" t="s">
        <v>1418</v>
      </c>
      <c r="H253" s="19" t="s">
        <v>490</v>
      </c>
      <c r="I253" s="19" t="s">
        <v>982</v>
      </c>
      <c r="J253" s="19" t="s">
        <v>990</v>
      </c>
      <c r="K253" s="19" t="s">
        <v>409</v>
      </c>
      <c r="L253" s="19">
        <v>2022</v>
      </c>
      <c r="M253" s="20">
        <v>1</v>
      </c>
      <c r="N253" s="19" t="s">
        <v>1798</v>
      </c>
      <c r="O253" s="20">
        <v>1200</v>
      </c>
      <c r="P253" s="20">
        <v>1200</v>
      </c>
      <c r="Q253" s="20">
        <v>140336.83461538455</v>
      </c>
      <c r="R253" s="21">
        <v>0.63</v>
      </c>
      <c r="S253" s="20">
        <v>140336.83461538455</v>
      </c>
    </row>
    <row r="254" spans="2:19" ht="15" customHeight="1" x14ac:dyDescent="0.25">
      <c r="B254" s="2" t="str">
        <f t="shared" si="6"/>
        <v>NSG_Residential_Home Energy Rebate_Standard Rebate_Furnace_&gt;95% AFUE_SF</v>
      </c>
      <c r="C254" s="2" t="str">
        <f t="shared" si="7"/>
        <v>NSG_Residential_Home Energy Rebate_Standard Rebate_Furnace_&gt;95% AFUE_SF_2023</v>
      </c>
      <c r="D254" s="19" t="s">
        <v>1787</v>
      </c>
      <c r="E254" s="19" t="s">
        <v>2</v>
      </c>
      <c r="F254" s="19" t="s">
        <v>1417</v>
      </c>
      <c r="G254" s="19" t="s">
        <v>1418</v>
      </c>
      <c r="H254" s="19" t="s">
        <v>490</v>
      </c>
      <c r="I254" s="19" t="s">
        <v>982</v>
      </c>
      <c r="J254" s="19" t="s">
        <v>990</v>
      </c>
      <c r="K254" s="19" t="s">
        <v>409</v>
      </c>
      <c r="L254" s="19">
        <v>2023</v>
      </c>
      <c r="M254" s="20">
        <v>1</v>
      </c>
      <c r="N254" s="19" t="s">
        <v>1798</v>
      </c>
      <c r="O254" s="20">
        <v>1000</v>
      </c>
      <c r="P254" s="20">
        <v>1000</v>
      </c>
      <c r="Q254" s="20">
        <v>116947.36217948713</v>
      </c>
      <c r="R254" s="21">
        <v>0.63</v>
      </c>
      <c r="S254" s="20">
        <v>116947.36217948713</v>
      </c>
    </row>
    <row r="255" spans="2:19" ht="15" customHeight="1" x14ac:dyDescent="0.25">
      <c r="B255" s="2" t="str">
        <f t="shared" si="6"/>
        <v>NSG_Residential_Home Energy Rebate_Standard Rebate_Furnace_&gt;95% AFUE_SF</v>
      </c>
      <c r="C255" s="2" t="str">
        <f t="shared" si="7"/>
        <v>NSG_Residential_Home Energy Rebate_Standard Rebate_Furnace_&gt;95% AFUE_SF_2024</v>
      </c>
      <c r="D255" s="19" t="s">
        <v>1787</v>
      </c>
      <c r="E255" s="19" t="s">
        <v>2</v>
      </c>
      <c r="F255" s="19" t="s">
        <v>1417</v>
      </c>
      <c r="G255" s="19" t="s">
        <v>1418</v>
      </c>
      <c r="H255" s="19" t="s">
        <v>490</v>
      </c>
      <c r="I255" s="19" t="s">
        <v>982</v>
      </c>
      <c r="J255" s="19" t="s">
        <v>990</v>
      </c>
      <c r="K255" s="19" t="s">
        <v>409</v>
      </c>
      <c r="L255" s="19">
        <v>2024</v>
      </c>
      <c r="M255" s="20">
        <v>1</v>
      </c>
      <c r="N255" s="19" t="s">
        <v>1798</v>
      </c>
      <c r="O255" s="20">
        <v>800</v>
      </c>
      <c r="P255" s="20">
        <v>800</v>
      </c>
      <c r="Q255" s="20">
        <v>93557.889743589709</v>
      </c>
      <c r="R255" s="21">
        <v>0.63</v>
      </c>
      <c r="S255" s="20">
        <v>93557.889743589709</v>
      </c>
    </row>
    <row r="256" spans="2:19" ht="15" customHeight="1" x14ac:dyDescent="0.25">
      <c r="B256" s="2" t="str">
        <f t="shared" si="6"/>
        <v>NSG_Residential_Home Energy Rebate_Standard Rebate_Furnace_&gt;95% AFUE_SF</v>
      </c>
      <c r="C256" s="2" t="str">
        <f t="shared" si="7"/>
        <v>NSG_Residential_Home Energy Rebate_Standard Rebate_Furnace_&gt;95% AFUE_SF_2025</v>
      </c>
      <c r="D256" s="19" t="s">
        <v>1787</v>
      </c>
      <c r="E256" s="19" t="s">
        <v>2</v>
      </c>
      <c r="F256" s="19" t="s">
        <v>1417</v>
      </c>
      <c r="G256" s="19" t="s">
        <v>1418</v>
      </c>
      <c r="H256" s="19" t="s">
        <v>490</v>
      </c>
      <c r="I256" s="19" t="s">
        <v>982</v>
      </c>
      <c r="J256" s="19" t="s">
        <v>990</v>
      </c>
      <c r="K256" s="19" t="s">
        <v>409</v>
      </c>
      <c r="L256" s="19">
        <v>2025</v>
      </c>
      <c r="M256" s="20">
        <v>1</v>
      </c>
      <c r="N256" s="19" t="s">
        <v>1798</v>
      </c>
      <c r="O256" s="20">
        <v>600</v>
      </c>
      <c r="P256" s="20">
        <v>600</v>
      </c>
      <c r="Q256" s="20">
        <v>70168.417307692274</v>
      </c>
      <c r="R256" s="21">
        <v>0.63</v>
      </c>
      <c r="S256" s="20">
        <v>70168.417307692274</v>
      </c>
    </row>
    <row r="257" spans="2:19" ht="15" customHeight="1" x14ac:dyDescent="0.25">
      <c r="B257" s="2" t="str">
        <f t="shared" si="6"/>
        <v>NSG_Residential_Home Energy Rebate_Standard Rebate_Furnace_&gt;97% AFUE_SF</v>
      </c>
      <c r="C257" s="2" t="str">
        <f t="shared" si="7"/>
        <v>NSG_Residential_Home Energy Rebate_Standard Rebate_Furnace_&gt;97% AFUE_SF_2022</v>
      </c>
      <c r="D257" s="19" t="s">
        <v>1787</v>
      </c>
      <c r="E257" s="19" t="s">
        <v>2</v>
      </c>
      <c r="F257" s="19" t="s">
        <v>1417</v>
      </c>
      <c r="G257" s="19" t="s">
        <v>1418</v>
      </c>
      <c r="H257" s="19" t="s">
        <v>490</v>
      </c>
      <c r="I257" s="19" t="s">
        <v>1000</v>
      </c>
      <c r="J257" s="19" t="s">
        <v>990</v>
      </c>
      <c r="K257" s="19" t="s">
        <v>409</v>
      </c>
      <c r="L257" s="19">
        <v>2022</v>
      </c>
      <c r="M257" s="20">
        <v>1</v>
      </c>
      <c r="N257" s="19" t="s">
        <v>1798</v>
      </c>
      <c r="O257" s="20">
        <v>200</v>
      </c>
      <c r="P257" s="20">
        <v>200</v>
      </c>
      <c r="Q257" s="20">
        <v>25188.662623274162</v>
      </c>
      <c r="R257" s="21">
        <v>0.63</v>
      </c>
      <c r="S257" s="20">
        <v>25188.662623274162</v>
      </c>
    </row>
    <row r="258" spans="2:19" ht="15" customHeight="1" x14ac:dyDescent="0.25">
      <c r="B258" s="2" t="str">
        <f t="shared" si="6"/>
        <v>NSG_Residential_Home Energy Rebate_Standard Rebate_Furnace_&gt;97% AFUE_SF</v>
      </c>
      <c r="C258" s="2" t="str">
        <f t="shared" si="7"/>
        <v>NSG_Residential_Home Energy Rebate_Standard Rebate_Furnace_&gt;97% AFUE_SF_2023</v>
      </c>
      <c r="D258" s="19" t="s">
        <v>1787</v>
      </c>
      <c r="E258" s="19" t="s">
        <v>2</v>
      </c>
      <c r="F258" s="19" t="s">
        <v>1417</v>
      </c>
      <c r="G258" s="19" t="s">
        <v>1418</v>
      </c>
      <c r="H258" s="19" t="s">
        <v>490</v>
      </c>
      <c r="I258" s="19" t="s">
        <v>1000</v>
      </c>
      <c r="J258" s="19" t="s">
        <v>990</v>
      </c>
      <c r="K258" s="19" t="s">
        <v>409</v>
      </c>
      <c r="L258" s="19">
        <v>2023</v>
      </c>
      <c r="M258" s="20">
        <v>1</v>
      </c>
      <c r="N258" s="19" t="s">
        <v>1798</v>
      </c>
      <c r="O258" s="20">
        <v>100</v>
      </c>
      <c r="P258" s="20">
        <v>100</v>
      </c>
      <c r="Q258" s="20">
        <v>12594.331311637081</v>
      </c>
      <c r="R258" s="21">
        <v>0.63</v>
      </c>
      <c r="S258" s="20">
        <v>12594.331311637081</v>
      </c>
    </row>
    <row r="259" spans="2:19" ht="15" customHeight="1" x14ac:dyDescent="0.25">
      <c r="B259" s="2" t="str">
        <f t="shared" si="6"/>
        <v>NSG_Residential_Home Energy Rebate_Standard Rebate_Furnace_&gt;97% AFUE_SF</v>
      </c>
      <c r="C259" s="2" t="str">
        <f t="shared" si="7"/>
        <v>NSG_Residential_Home Energy Rebate_Standard Rebate_Furnace_&gt;97% AFUE_SF_2024</v>
      </c>
      <c r="D259" s="19" t="s">
        <v>1787</v>
      </c>
      <c r="E259" s="19" t="s">
        <v>2</v>
      </c>
      <c r="F259" s="19" t="s">
        <v>1417</v>
      </c>
      <c r="G259" s="19" t="s">
        <v>1418</v>
      </c>
      <c r="H259" s="19" t="s">
        <v>490</v>
      </c>
      <c r="I259" s="19" t="s">
        <v>1000</v>
      </c>
      <c r="J259" s="19" t="s">
        <v>990</v>
      </c>
      <c r="K259" s="19" t="s">
        <v>409</v>
      </c>
      <c r="L259" s="19">
        <v>2024</v>
      </c>
      <c r="M259" s="20">
        <v>1</v>
      </c>
      <c r="N259" s="19" t="s">
        <v>1798</v>
      </c>
      <c r="O259" s="20">
        <v>50</v>
      </c>
      <c r="P259" s="20">
        <v>50</v>
      </c>
      <c r="Q259" s="20">
        <v>6297.1656558185405</v>
      </c>
      <c r="R259" s="21">
        <v>0.63</v>
      </c>
      <c r="S259" s="20">
        <v>6297.1656558185405</v>
      </c>
    </row>
    <row r="260" spans="2:19" ht="15" customHeight="1" x14ac:dyDescent="0.25">
      <c r="B260" s="2" t="str">
        <f t="shared" si="6"/>
        <v>NSG_Residential_Home Energy Rebate_Standard Rebate_Furnace_&gt;97% AFUE_SF</v>
      </c>
      <c r="C260" s="2" t="str">
        <f t="shared" si="7"/>
        <v>NSG_Residential_Home Energy Rebate_Standard Rebate_Furnace_&gt;97% AFUE_SF_2025</v>
      </c>
      <c r="D260" s="19" t="s">
        <v>1787</v>
      </c>
      <c r="E260" s="19" t="s">
        <v>2</v>
      </c>
      <c r="F260" s="19" t="s">
        <v>1417</v>
      </c>
      <c r="G260" s="19" t="s">
        <v>1418</v>
      </c>
      <c r="H260" s="19" t="s">
        <v>490</v>
      </c>
      <c r="I260" s="19" t="s">
        <v>1000</v>
      </c>
      <c r="J260" s="19" t="s">
        <v>990</v>
      </c>
      <c r="K260" s="19" t="s">
        <v>409</v>
      </c>
      <c r="L260" s="19">
        <v>2025</v>
      </c>
      <c r="M260" s="20">
        <v>1</v>
      </c>
      <c r="N260" s="19" t="s">
        <v>1798</v>
      </c>
      <c r="O260" s="20">
        <v>25</v>
      </c>
      <c r="P260" s="20">
        <v>25</v>
      </c>
      <c r="Q260" s="20">
        <v>3148.5828279092702</v>
      </c>
      <c r="R260" s="21">
        <v>0.63</v>
      </c>
      <c r="S260" s="20">
        <v>3148.5828279092702</v>
      </c>
    </row>
    <row r="261" spans="2:19" ht="15" customHeight="1" x14ac:dyDescent="0.25">
      <c r="B261" s="2" t="str">
        <f t="shared" si="6"/>
        <v>NSG_Residential_Home Energy Rebate_Standard Rebate_Furnace Tune Up_Space Heating_SF</v>
      </c>
      <c r="C261" s="2" t="str">
        <f t="shared" si="7"/>
        <v>NSG_Residential_Home Energy Rebate_Standard Rebate_Furnace Tune Up_Space Heating_SF_2022</v>
      </c>
      <c r="D261" s="19" t="s">
        <v>1787</v>
      </c>
      <c r="E261" s="19" t="s">
        <v>2</v>
      </c>
      <c r="F261" s="19" t="s">
        <v>1417</v>
      </c>
      <c r="G261" s="19" t="s">
        <v>1418</v>
      </c>
      <c r="H261" s="19" t="s">
        <v>914</v>
      </c>
      <c r="I261" s="19" t="s">
        <v>907</v>
      </c>
      <c r="J261" s="19" t="s">
        <v>916</v>
      </c>
      <c r="K261" s="19" t="s">
        <v>409</v>
      </c>
      <c r="L261" s="19">
        <v>2022</v>
      </c>
      <c r="M261" s="20">
        <v>1</v>
      </c>
      <c r="N261" s="19" t="s">
        <v>1798</v>
      </c>
      <c r="O261" s="20">
        <v>0</v>
      </c>
      <c r="P261" s="20">
        <v>0</v>
      </c>
      <c r="Q261" s="20">
        <v>0</v>
      </c>
      <c r="R261" s="21">
        <v>0.63</v>
      </c>
      <c r="S261" s="20">
        <v>0</v>
      </c>
    </row>
    <row r="262" spans="2:19" ht="15" customHeight="1" x14ac:dyDescent="0.25">
      <c r="B262" s="2" t="str">
        <f t="shared" ref="B262:B325" si="8">D262&amp;"_"&amp;E262&amp;"_"&amp;F262&amp;"_"&amp;G262&amp;"_"&amp;H262&amp;"_"&amp;I262&amp;"_"&amp;K262</f>
        <v>NSG_Residential_Home Energy Rebate_Standard Rebate_Furnace Tune Up_Space Heating_SF</v>
      </c>
      <c r="C262" s="2" t="str">
        <f t="shared" ref="C262:C325" si="9">D262&amp;"_"&amp;E262&amp;"_"&amp;F262&amp;"_"&amp;G262&amp;"_"&amp;H262&amp;"_"&amp;I262&amp;"_"&amp;K262&amp;"_"&amp;L262</f>
        <v>NSG_Residential_Home Energy Rebate_Standard Rebate_Furnace Tune Up_Space Heating_SF_2023</v>
      </c>
      <c r="D262" s="19" t="s">
        <v>1787</v>
      </c>
      <c r="E262" s="19" t="s">
        <v>2</v>
      </c>
      <c r="F262" s="19" t="s">
        <v>1417</v>
      </c>
      <c r="G262" s="19" t="s">
        <v>1418</v>
      </c>
      <c r="H262" s="19" t="s">
        <v>914</v>
      </c>
      <c r="I262" s="19" t="s">
        <v>907</v>
      </c>
      <c r="J262" s="19" t="s">
        <v>916</v>
      </c>
      <c r="K262" s="19" t="s">
        <v>409</v>
      </c>
      <c r="L262" s="19">
        <v>2023</v>
      </c>
      <c r="M262" s="20">
        <v>1</v>
      </c>
      <c r="N262" s="19" t="s">
        <v>1798</v>
      </c>
      <c r="O262" s="20">
        <v>0</v>
      </c>
      <c r="P262" s="20">
        <v>0</v>
      </c>
      <c r="Q262" s="20">
        <v>0</v>
      </c>
      <c r="R262" s="21">
        <v>0.63</v>
      </c>
      <c r="S262" s="20">
        <v>0</v>
      </c>
    </row>
    <row r="263" spans="2:19" ht="15" customHeight="1" x14ac:dyDescent="0.25">
      <c r="B263" s="2" t="str">
        <f t="shared" si="8"/>
        <v>NSG_Residential_Home Energy Rebate_Standard Rebate_Furnace Tune Up_Space Heating_SF</v>
      </c>
      <c r="C263" s="2" t="str">
        <f t="shared" si="9"/>
        <v>NSG_Residential_Home Energy Rebate_Standard Rebate_Furnace Tune Up_Space Heating_SF_2024</v>
      </c>
      <c r="D263" s="19" t="s">
        <v>1787</v>
      </c>
      <c r="E263" s="19" t="s">
        <v>2</v>
      </c>
      <c r="F263" s="19" t="s">
        <v>1417</v>
      </c>
      <c r="G263" s="19" t="s">
        <v>1418</v>
      </c>
      <c r="H263" s="19" t="s">
        <v>914</v>
      </c>
      <c r="I263" s="19" t="s">
        <v>907</v>
      </c>
      <c r="J263" s="19" t="s">
        <v>916</v>
      </c>
      <c r="K263" s="19" t="s">
        <v>409</v>
      </c>
      <c r="L263" s="19">
        <v>2024</v>
      </c>
      <c r="M263" s="20">
        <v>1</v>
      </c>
      <c r="N263" s="19" t="s">
        <v>1798</v>
      </c>
      <c r="O263" s="20">
        <v>0</v>
      </c>
      <c r="P263" s="20">
        <v>0</v>
      </c>
      <c r="Q263" s="20">
        <v>0</v>
      </c>
      <c r="R263" s="21">
        <v>0.63</v>
      </c>
      <c r="S263" s="20">
        <v>0</v>
      </c>
    </row>
    <row r="264" spans="2:19" ht="15" customHeight="1" x14ac:dyDescent="0.25">
      <c r="B264" s="2" t="str">
        <f t="shared" si="8"/>
        <v>NSG_Residential_Home Energy Rebate_Standard Rebate_Furnace Tune Up_Space Heating_SF</v>
      </c>
      <c r="C264" s="2" t="str">
        <f t="shared" si="9"/>
        <v>NSG_Residential_Home Energy Rebate_Standard Rebate_Furnace Tune Up_Space Heating_SF_2025</v>
      </c>
      <c r="D264" s="19" t="s">
        <v>1787</v>
      </c>
      <c r="E264" s="19" t="s">
        <v>2</v>
      </c>
      <c r="F264" s="19" t="s">
        <v>1417</v>
      </c>
      <c r="G264" s="19" t="s">
        <v>1418</v>
      </c>
      <c r="H264" s="19" t="s">
        <v>914</v>
      </c>
      <c r="I264" s="19" t="s">
        <v>907</v>
      </c>
      <c r="J264" s="19" t="s">
        <v>916</v>
      </c>
      <c r="K264" s="19" t="s">
        <v>409</v>
      </c>
      <c r="L264" s="19">
        <v>2025</v>
      </c>
      <c r="M264" s="20">
        <v>1</v>
      </c>
      <c r="N264" s="19" t="s">
        <v>1798</v>
      </c>
      <c r="O264" s="20">
        <v>0</v>
      </c>
      <c r="P264" s="20">
        <v>0</v>
      </c>
      <c r="Q264" s="20">
        <v>0</v>
      </c>
      <c r="R264" s="21">
        <v>0.63</v>
      </c>
      <c r="S264" s="20">
        <v>0</v>
      </c>
    </row>
    <row r="265" spans="2:19" ht="15" customHeight="1" x14ac:dyDescent="0.25">
      <c r="B265" s="2" t="str">
        <f t="shared" si="8"/>
        <v>NSG_Residential_Home Energy Rebate_Standard Rebate_Advanced Thermostat_Furnace (Replace Manual) - Non DI_SF</v>
      </c>
      <c r="C265" s="2" t="str">
        <f t="shared" si="9"/>
        <v>NSG_Residential_Home Energy Rebate_Standard Rebate_Advanced Thermostat_Furnace (Replace Manual) - Non DI_SF_2022</v>
      </c>
      <c r="D265" s="19" t="s">
        <v>1787</v>
      </c>
      <c r="E265" s="19" t="s">
        <v>2</v>
      </c>
      <c r="F265" s="19" t="s">
        <v>1417</v>
      </c>
      <c r="G265" s="19" t="s">
        <v>1418</v>
      </c>
      <c r="H265" s="19" t="s">
        <v>7</v>
      </c>
      <c r="I265" s="19" t="s">
        <v>1407</v>
      </c>
      <c r="J265" s="19" t="s">
        <v>1469</v>
      </c>
      <c r="K265" s="19" t="s">
        <v>409</v>
      </c>
      <c r="L265" s="19">
        <v>2022</v>
      </c>
      <c r="M265" s="20">
        <v>1</v>
      </c>
      <c r="N265" s="19" t="s">
        <v>1798</v>
      </c>
      <c r="O265" s="20">
        <v>600</v>
      </c>
      <c r="P265" s="20">
        <v>600</v>
      </c>
      <c r="Q265" s="20">
        <v>50796.719999999994</v>
      </c>
      <c r="R265" s="21">
        <v>0.9</v>
      </c>
      <c r="S265" s="20">
        <v>50796.719999999994</v>
      </c>
    </row>
    <row r="266" spans="2:19" ht="15" customHeight="1" x14ac:dyDescent="0.25">
      <c r="B266" s="2" t="str">
        <f t="shared" si="8"/>
        <v>NSG_Residential_Home Energy Rebate_Standard Rebate_Advanced Thermostat_Furnace (Replace Manual) - Non DI_SF</v>
      </c>
      <c r="C266" s="2" t="str">
        <f t="shared" si="9"/>
        <v>NSG_Residential_Home Energy Rebate_Standard Rebate_Advanced Thermostat_Furnace (Replace Manual) - Non DI_SF_2023</v>
      </c>
      <c r="D266" s="19" t="s">
        <v>1787</v>
      </c>
      <c r="E266" s="19" t="s">
        <v>2</v>
      </c>
      <c r="F266" s="19" t="s">
        <v>1417</v>
      </c>
      <c r="G266" s="19" t="s">
        <v>1418</v>
      </c>
      <c r="H266" s="19" t="s">
        <v>7</v>
      </c>
      <c r="I266" s="19" t="s">
        <v>1407</v>
      </c>
      <c r="J266" s="19" t="s">
        <v>1469</v>
      </c>
      <c r="K266" s="19" t="s">
        <v>409</v>
      </c>
      <c r="L266" s="19">
        <v>2023</v>
      </c>
      <c r="M266" s="20">
        <v>1</v>
      </c>
      <c r="N266" s="19" t="s">
        <v>1798</v>
      </c>
      <c r="O266" s="20">
        <v>600</v>
      </c>
      <c r="P266" s="20">
        <v>600</v>
      </c>
      <c r="Q266" s="20">
        <v>50796.719999999994</v>
      </c>
      <c r="R266" s="21">
        <v>0.9</v>
      </c>
      <c r="S266" s="20">
        <v>50796.719999999994</v>
      </c>
    </row>
    <row r="267" spans="2:19" ht="15" customHeight="1" x14ac:dyDescent="0.25">
      <c r="B267" s="2" t="str">
        <f t="shared" si="8"/>
        <v>NSG_Residential_Home Energy Rebate_Standard Rebate_Advanced Thermostat_Furnace (Replace Manual) - Non DI_SF</v>
      </c>
      <c r="C267" s="2" t="str">
        <f t="shared" si="9"/>
        <v>NSG_Residential_Home Energy Rebate_Standard Rebate_Advanced Thermostat_Furnace (Replace Manual) - Non DI_SF_2024</v>
      </c>
      <c r="D267" s="19" t="s">
        <v>1787</v>
      </c>
      <c r="E267" s="19" t="s">
        <v>2</v>
      </c>
      <c r="F267" s="19" t="s">
        <v>1417</v>
      </c>
      <c r="G267" s="19" t="s">
        <v>1418</v>
      </c>
      <c r="H267" s="19" t="s">
        <v>7</v>
      </c>
      <c r="I267" s="19" t="s">
        <v>1407</v>
      </c>
      <c r="J267" s="19" t="s">
        <v>1469</v>
      </c>
      <c r="K267" s="19" t="s">
        <v>409</v>
      </c>
      <c r="L267" s="19">
        <v>2024</v>
      </c>
      <c r="M267" s="20">
        <v>1</v>
      </c>
      <c r="N267" s="19" t="s">
        <v>1798</v>
      </c>
      <c r="O267" s="20">
        <v>600</v>
      </c>
      <c r="P267" s="20">
        <v>600</v>
      </c>
      <c r="Q267" s="20">
        <v>50796.719999999994</v>
      </c>
      <c r="R267" s="21">
        <v>0.9</v>
      </c>
      <c r="S267" s="20">
        <v>50796.719999999994</v>
      </c>
    </row>
    <row r="268" spans="2:19" ht="15" customHeight="1" x14ac:dyDescent="0.25">
      <c r="B268" s="2" t="str">
        <f t="shared" si="8"/>
        <v>NSG_Residential_Home Energy Rebate_Standard Rebate_Advanced Thermostat_Furnace (Replace Manual) - Non DI_SF</v>
      </c>
      <c r="C268" s="2" t="str">
        <f t="shared" si="9"/>
        <v>NSG_Residential_Home Energy Rebate_Standard Rebate_Advanced Thermostat_Furnace (Replace Manual) - Non DI_SF_2025</v>
      </c>
      <c r="D268" s="19" t="s">
        <v>1787</v>
      </c>
      <c r="E268" s="19" t="s">
        <v>2</v>
      </c>
      <c r="F268" s="19" t="s">
        <v>1417</v>
      </c>
      <c r="G268" s="19" t="s">
        <v>1418</v>
      </c>
      <c r="H268" s="19" t="s">
        <v>7</v>
      </c>
      <c r="I268" s="19" t="s">
        <v>1407</v>
      </c>
      <c r="J268" s="19" t="s">
        <v>1469</v>
      </c>
      <c r="K268" s="19" t="s">
        <v>409</v>
      </c>
      <c r="L268" s="19">
        <v>2025</v>
      </c>
      <c r="M268" s="20">
        <v>1</v>
      </c>
      <c r="N268" s="19" t="s">
        <v>1798</v>
      </c>
      <c r="O268" s="20">
        <v>600</v>
      </c>
      <c r="P268" s="20">
        <v>600</v>
      </c>
      <c r="Q268" s="20">
        <v>50796.719999999994</v>
      </c>
      <c r="R268" s="21">
        <v>0.9</v>
      </c>
      <c r="S268" s="20">
        <v>50796.719999999994</v>
      </c>
    </row>
    <row r="269" spans="2:19" ht="15" customHeight="1" x14ac:dyDescent="0.25">
      <c r="B269" s="2" t="str">
        <f t="shared" si="8"/>
        <v>NSG_Residential_Home Energy Rebate_Standard Rebate_Advanced Thermostat_Boiler (Replace Manual) - Non DI_SF</v>
      </c>
      <c r="C269" s="2" t="str">
        <f t="shared" si="9"/>
        <v>NSG_Residential_Home Energy Rebate_Standard Rebate_Advanced Thermostat_Boiler (Replace Manual) - Non DI_SF_2022</v>
      </c>
      <c r="D269" s="19" t="s">
        <v>1787</v>
      </c>
      <c r="E269" s="19" t="s">
        <v>2</v>
      </c>
      <c r="F269" s="19" t="s">
        <v>1417</v>
      </c>
      <c r="G269" s="19" t="s">
        <v>1418</v>
      </c>
      <c r="H269" s="19" t="s">
        <v>7</v>
      </c>
      <c r="I269" s="19" t="s">
        <v>1410</v>
      </c>
      <c r="J269" s="19" t="s">
        <v>1469</v>
      </c>
      <c r="K269" s="19" t="s">
        <v>409</v>
      </c>
      <c r="L269" s="19">
        <v>2022</v>
      </c>
      <c r="M269" s="20">
        <v>1</v>
      </c>
      <c r="N269" s="19" t="s">
        <v>1798</v>
      </c>
      <c r="O269" s="20">
        <v>800</v>
      </c>
      <c r="P269" s="20">
        <v>800</v>
      </c>
      <c r="Q269" s="20">
        <v>111196.8</v>
      </c>
      <c r="R269" s="21">
        <v>0.9</v>
      </c>
      <c r="S269" s="20">
        <v>111196.8</v>
      </c>
    </row>
    <row r="270" spans="2:19" ht="15" customHeight="1" x14ac:dyDescent="0.25">
      <c r="B270" s="2" t="str">
        <f t="shared" si="8"/>
        <v>NSG_Residential_Home Energy Rebate_Standard Rebate_Advanced Thermostat_Boiler (Replace Manual) - Non DI_SF</v>
      </c>
      <c r="C270" s="2" t="str">
        <f t="shared" si="9"/>
        <v>NSG_Residential_Home Energy Rebate_Standard Rebate_Advanced Thermostat_Boiler (Replace Manual) - Non DI_SF_2023</v>
      </c>
      <c r="D270" s="19" t="s">
        <v>1787</v>
      </c>
      <c r="E270" s="19" t="s">
        <v>2</v>
      </c>
      <c r="F270" s="19" t="s">
        <v>1417</v>
      </c>
      <c r="G270" s="19" t="s">
        <v>1418</v>
      </c>
      <c r="H270" s="19" t="s">
        <v>7</v>
      </c>
      <c r="I270" s="19" t="s">
        <v>1410</v>
      </c>
      <c r="J270" s="19" t="s">
        <v>1469</v>
      </c>
      <c r="K270" s="19" t="s">
        <v>409</v>
      </c>
      <c r="L270" s="19">
        <v>2023</v>
      </c>
      <c r="M270" s="20">
        <v>1</v>
      </c>
      <c r="N270" s="19" t="s">
        <v>1798</v>
      </c>
      <c r="O270" s="20">
        <v>800</v>
      </c>
      <c r="P270" s="20">
        <v>800</v>
      </c>
      <c r="Q270" s="20">
        <v>111196.8</v>
      </c>
      <c r="R270" s="21">
        <v>0.9</v>
      </c>
      <c r="S270" s="20">
        <v>111196.8</v>
      </c>
    </row>
    <row r="271" spans="2:19" ht="15" customHeight="1" x14ac:dyDescent="0.25">
      <c r="B271" s="2" t="str">
        <f t="shared" si="8"/>
        <v>NSG_Residential_Home Energy Rebate_Standard Rebate_Advanced Thermostat_Boiler (Replace Manual) - Non DI_SF</v>
      </c>
      <c r="C271" s="2" t="str">
        <f t="shared" si="9"/>
        <v>NSG_Residential_Home Energy Rebate_Standard Rebate_Advanced Thermostat_Boiler (Replace Manual) - Non DI_SF_2024</v>
      </c>
      <c r="D271" s="19" t="s">
        <v>1787</v>
      </c>
      <c r="E271" s="19" t="s">
        <v>2</v>
      </c>
      <c r="F271" s="19" t="s">
        <v>1417</v>
      </c>
      <c r="G271" s="19" t="s">
        <v>1418</v>
      </c>
      <c r="H271" s="19" t="s">
        <v>7</v>
      </c>
      <c r="I271" s="19" t="s">
        <v>1410</v>
      </c>
      <c r="J271" s="19" t="s">
        <v>1469</v>
      </c>
      <c r="K271" s="19" t="s">
        <v>409</v>
      </c>
      <c r="L271" s="19">
        <v>2024</v>
      </c>
      <c r="M271" s="20">
        <v>1</v>
      </c>
      <c r="N271" s="19" t="s">
        <v>1798</v>
      </c>
      <c r="O271" s="20">
        <v>800</v>
      </c>
      <c r="P271" s="20">
        <v>800</v>
      </c>
      <c r="Q271" s="20">
        <v>111196.8</v>
      </c>
      <c r="R271" s="21">
        <v>0.9</v>
      </c>
      <c r="S271" s="20">
        <v>111196.8</v>
      </c>
    </row>
    <row r="272" spans="2:19" ht="15" customHeight="1" x14ac:dyDescent="0.25">
      <c r="B272" s="2" t="str">
        <f t="shared" si="8"/>
        <v>NSG_Residential_Home Energy Rebate_Standard Rebate_Advanced Thermostat_Boiler (Replace Manual) - Non DI_SF</v>
      </c>
      <c r="C272" s="2" t="str">
        <f t="shared" si="9"/>
        <v>NSG_Residential_Home Energy Rebate_Standard Rebate_Advanced Thermostat_Boiler (Replace Manual) - Non DI_SF_2025</v>
      </c>
      <c r="D272" s="19" t="s">
        <v>1787</v>
      </c>
      <c r="E272" s="19" t="s">
        <v>2</v>
      </c>
      <c r="F272" s="19" t="s">
        <v>1417</v>
      </c>
      <c r="G272" s="19" t="s">
        <v>1418</v>
      </c>
      <c r="H272" s="19" t="s">
        <v>7</v>
      </c>
      <c r="I272" s="19" t="s">
        <v>1410</v>
      </c>
      <c r="J272" s="19" t="s">
        <v>1469</v>
      </c>
      <c r="K272" s="19" t="s">
        <v>409</v>
      </c>
      <c r="L272" s="19">
        <v>2025</v>
      </c>
      <c r="M272" s="20">
        <v>1</v>
      </c>
      <c r="N272" s="19" t="s">
        <v>1798</v>
      </c>
      <c r="O272" s="20">
        <v>800</v>
      </c>
      <c r="P272" s="20">
        <v>800</v>
      </c>
      <c r="Q272" s="20">
        <v>111196.8</v>
      </c>
      <c r="R272" s="21">
        <v>0.9</v>
      </c>
      <c r="S272" s="20">
        <v>111196.8</v>
      </c>
    </row>
    <row r="273" spans="2:19" ht="15" customHeight="1" x14ac:dyDescent="0.25">
      <c r="B273" s="2" t="str">
        <f t="shared" si="8"/>
        <v>NSG_Residential_Home Energy Rebate_Standard Rebate_Advanced Thermostat_Furnace (Replace Programmable) - Non DI_SF</v>
      </c>
      <c r="C273" s="2" t="str">
        <f t="shared" si="9"/>
        <v>NSG_Residential_Home Energy Rebate_Standard Rebate_Advanced Thermostat_Furnace (Replace Programmable) - Non DI_SF_2022</v>
      </c>
      <c r="D273" s="19" t="s">
        <v>1787</v>
      </c>
      <c r="E273" s="19" t="s">
        <v>2</v>
      </c>
      <c r="F273" s="19" t="s">
        <v>1417</v>
      </c>
      <c r="G273" s="19" t="s">
        <v>1418</v>
      </c>
      <c r="H273" s="19" t="s">
        <v>7</v>
      </c>
      <c r="I273" s="19" t="s">
        <v>1408</v>
      </c>
      <c r="J273" s="19" t="s">
        <v>1469</v>
      </c>
      <c r="K273" s="19" t="s">
        <v>409</v>
      </c>
      <c r="L273" s="19">
        <v>2022</v>
      </c>
      <c r="M273" s="20">
        <v>1</v>
      </c>
      <c r="N273" s="19" t="s">
        <v>1798</v>
      </c>
      <c r="O273" s="20">
        <v>200</v>
      </c>
      <c r="P273" s="20">
        <v>200</v>
      </c>
      <c r="Q273" s="20">
        <v>11885.13</v>
      </c>
      <c r="R273" s="21">
        <v>0.9</v>
      </c>
      <c r="S273" s="20">
        <v>11885.13</v>
      </c>
    </row>
    <row r="274" spans="2:19" ht="15" customHeight="1" x14ac:dyDescent="0.25">
      <c r="B274" s="2" t="str">
        <f t="shared" si="8"/>
        <v>NSG_Residential_Home Energy Rebate_Standard Rebate_Advanced Thermostat_Furnace (Replace Programmable) - Non DI_SF</v>
      </c>
      <c r="C274" s="2" t="str">
        <f t="shared" si="9"/>
        <v>NSG_Residential_Home Energy Rebate_Standard Rebate_Advanced Thermostat_Furnace (Replace Programmable) - Non DI_SF_2023</v>
      </c>
      <c r="D274" s="19" t="s">
        <v>1787</v>
      </c>
      <c r="E274" s="19" t="s">
        <v>2</v>
      </c>
      <c r="F274" s="19" t="s">
        <v>1417</v>
      </c>
      <c r="G274" s="19" t="s">
        <v>1418</v>
      </c>
      <c r="H274" s="19" t="s">
        <v>7</v>
      </c>
      <c r="I274" s="19" t="s">
        <v>1408</v>
      </c>
      <c r="J274" s="19" t="s">
        <v>1469</v>
      </c>
      <c r="K274" s="19" t="s">
        <v>409</v>
      </c>
      <c r="L274" s="19">
        <v>2023</v>
      </c>
      <c r="M274" s="20">
        <v>1</v>
      </c>
      <c r="N274" s="19" t="s">
        <v>1798</v>
      </c>
      <c r="O274" s="20">
        <v>600</v>
      </c>
      <c r="P274" s="20">
        <v>600</v>
      </c>
      <c r="Q274" s="20">
        <v>35655.39</v>
      </c>
      <c r="R274" s="21">
        <v>0.9</v>
      </c>
      <c r="S274" s="20">
        <v>35655.39</v>
      </c>
    </row>
    <row r="275" spans="2:19" ht="15" customHeight="1" x14ac:dyDescent="0.25">
      <c r="B275" s="2" t="str">
        <f t="shared" si="8"/>
        <v>NSG_Residential_Home Energy Rebate_Standard Rebate_Advanced Thermostat_Furnace (Replace Programmable) - Non DI_SF</v>
      </c>
      <c r="C275" s="2" t="str">
        <f t="shared" si="9"/>
        <v>NSG_Residential_Home Energy Rebate_Standard Rebate_Advanced Thermostat_Furnace (Replace Programmable) - Non DI_SF_2024</v>
      </c>
      <c r="D275" s="19" t="s">
        <v>1787</v>
      </c>
      <c r="E275" s="19" t="s">
        <v>2</v>
      </c>
      <c r="F275" s="19" t="s">
        <v>1417</v>
      </c>
      <c r="G275" s="19" t="s">
        <v>1418</v>
      </c>
      <c r="H275" s="19" t="s">
        <v>7</v>
      </c>
      <c r="I275" s="19" t="s">
        <v>1408</v>
      </c>
      <c r="J275" s="19" t="s">
        <v>1469</v>
      </c>
      <c r="K275" s="19" t="s">
        <v>409</v>
      </c>
      <c r="L275" s="19">
        <v>2024</v>
      </c>
      <c r="M275" s="20">
        <v>1</v>
      </c>
      <c r="N275" s="19" t="s">
        <v>1798</v>
      </c>
      <c r="O275" s="20">
        <v>650</v>
      </c>
      <c r="P275" s="20">
        <v>650</v>
      </c>
      <c r="Q275" s="20">
        <v>38626.672499999993</v>
      </c>
      <c r="R275" s="21">
        <v>0.9</v>
      </c>
      <c r="S275" s="20">
        <v>38626.672499999993</v>
      </c>
    </row>
    <row r="276" spans="2:19" ht="15" customHeight="1" x14ac:dyDescent="0.25">
      <c r="B276" s="2" t="str">
        <f t="shared" si="8"/>
        <v>NSG_Residential_Home Energy Rebate_Standard Rebate_Advanced Thermostat_Furnace (Replace Programmable) - Non DI_SF</v>
      </c>
      <c r="C276" s="2" t="str">
        <f t="shared" si="9"/>
        <v>NSG_Residential_Home Energy Rebate_Standard Rebate_Advanced Thermostat_Furnace (Replace Programmable) - Non DI_SF_2025</v>
      </c>
      <c r="D276" s="19" t="s">
        <v>1787</v>
      </c>
      <c r="E276" s="19" t="s">
        <v>2</v>
      </c>
      <c r="F276" s="19" t="s">
        <v>1417</v>
      </c>
      <c r="G276" s="19" t="s">
        <v>1418</v>
      </c>
      <c r="H276" s="19" t="s">
        <v>7</v>
      </c>
      <c r="I276" s="19" t="s">
        <v>1408</v>
      </c>
      <c r="J276" s="19" t="s">
        <v>1469</v>
      </c>
      <c r="K276" s="19" t="s">
        <v>409</v>
      </c>
      <c r="L276" s="19">
        <v>2025</v>
      </c>
      <c r="M276" s="20">
        <v>1</v>
      </c>
      <c r="N276" s="19" t="s">
        <v>1798</v>
      </c>
      <c r="O276" s="20">
        <v>650</v>
      </c>
      <c r="P276" s="20">
        <v>650</v>
      </c>
      <c r="Q276" s="20">
        <v>38626.672499999993</v>
      </c>
      <c r="R276" s="21">
        <v>0.9</v>
      </c>
      <c r="S276" s="20">
        <v>38626.672499999993</v>
      </c>
    </row>
    <row r="277" spans="2:19" ht="15" customHeight="1" x14ac:dyDescent="0.25">
      <c r="B277" s="2" t="str">
        <f t="shared" si="8"/>
        <v>NSG_Residential_Home Energy Rebate_Standard Rebate_Advanced Thermostat_Boiler (Replace Programmable) - Non DI_SF</v>
      </c>
      <c r="C277" s="2" t="str">
        <f t="shared" si="9"/>
        <v>NSG_Residential_Home Energy Rebate_Standard Rebate_Advanced Thermostat_Boiler (Replace Programmable) - Non DI_SF_2022</v>
      </c>
      <c r="D277" s="19" t="s">
        <v>1787</v>
      </c>
      <c r="E277" s="19" t="s">
        <v>2</v>
      </c>
      <c r="F277" s="19" t="s">
        <v>1417</v>
      </c>
      <c r="G277" s="19" t="s">
        <v>1418</v>
      </c>
      <c r="H277" s="19" t="s">
        <v>7</v>
      </c>
      <c r="I277" s="19" t="s">
        <v>1411</v>
      </c>
      <c r="J277" s="19" t="s">
        <v>1469</v>
      </c>
      <c r="K277" s="19" t="s">
        <v>409</v>
      </c>
      <c r="L277" s="19">
        <v>2022</v>
      </c>
      <c r="M277" s="20">
        <v>1</v>
      </c>
      <c r="N277" s="19" t="s">
        <v>1798</v>
      </c>
      <c r="O277" s="20">
        <v>400</v>
      </c>
      <c r="P277" s="20">
        <v>400</v>
      </c>
      <c r="Q277" s="20">
        <v>35123.219999999994</v>
      </c>
      <c r="R277" s="21">
        <v>0.9</v>
      </c>
      <c r="S277" s="20">
        <v>35123.219999999994</v>
      </c>
    </row>
    <row r="278" spans="2:19" ht="15" customHeight="1" x14ac:dyDescent="0.25">
      <c r="B278" s="2" t="str">
        <f t="shared" si="8"/>
        <v>NSG_Residential_Home Energy Rebate_Standard Rebate_Advanced Thermostat_Boiler (Replace Programmable) - Non DI_SF</v>
      </c>
      <c r="C278" s="2" t="str">
        <f t="shared" si="9"/>
        <v>NSG_Residential_Home Energy Rebate_Standard Rebate_Advanced Thermostat_Boiler (Replace Programmable) - Non DI_SF_2023</v>
      </c>
      <c r="D278" s="19" t="s">
        <v>1787</v>
      </c>
      <c r="E278" s="19" t="s">
        <v>2</v>
      </c>
      <c r="F278" s="19" t="s">
        <v>1417</v>
      </c>
      <c r="G278" s="19" t="s">
        <v>1418</v>
      </c>
      <c r="H278" s="19" t="s">
        <v>7</v>
      </c>
      <c r="I278" s="19" t="s">
        <v>1411</v>
      </c>
      <c r="J278" s="19" t="s">
        <v>1469</v>
      </c>
      <c r="K278" s="19" t="s">
        <v>409</v>
      </c>
      <c r="L278" s="19">
        <v>2023</v>
      </c>
      <c r="M278" s="20">
        <v>1</v>
      </c>
      <c r="N278" s="19" t="s">
        <v>1798</v>
      </c>
      <c r="O278" s="20">
        <v>400</v>
      </c>
      <c r="P278" s="20">
        <v>400</v>
      </c>
      <c r="Q278" s="20">
        <v>35123.219999999994</v>
      </c>
      <c r="R278" s="21">
        <v>0.9</v>
      </c>
      <c r="S278" s="20">
        <v>35123.219999999994</v>
      </c>
    </row>
    <row r="279" spans="2:19" ht="15" customHeight="1" x14ac:dyDescent="0.25">
      <c r="B279" s="2" t="str">
        <f t="shared" si="8"/>
        <v>NSG_Residential_Home Energy Rebate_Standard Rebate_Advanced Thermostat_Boiler (Replace Programmable) - Non DI_SF</v>
      </c>
      <c r="C279" s="2" t="str">
        <f t="shared" si="9"/>
        <v>NSG_Residential_Home Energy Rebate_Standard Rebate_Advanced Thermostat_Boiler (Replace Programmable) - Non DI_SF_2024</v>
      </c>
      <c r="D279" s="19" t="s">
        <v>1787</v>
      </c>
      <c r="E279" s="19" t="s">
        <v>2</v>
      </c>
      <c r="F279" s="19" t="s">
        <v>1417</v>
      </c>
      <c r="G279" s="19" t="s">
        <v>1418</v>
      </c>
      <c r="H279" s="19" t="s">
        <v>7</v>
      </c>
      <c r="I279" s="19" t="s">
        <v>1411</v>
      </c>
      <c r="J279" s="19" t="s">
        <v>1469</v>
      </c>
      <c r="K279" s="19" t="s">
        <v>409</v>
      </c>
      <c r="L279" s="19">
        <v>2024</v>
      </c>
      <c r="M279" s="20">
        <v>1</v>
      </c>
      <c r="N279" s="19" t="s">
        <v>1798</v>
      </c>
      <c r="O279" s="20">
        <v>400</v>
      </c>
      <c r="P279" s="20">
        <v>400</v>
      </c>
      <c r="Q279" s="20">
        <v>35123.219999999994</v>
      </c>
      <c r="R279" s="21">
        <v>0.9</v>
      </c>
      <c r="S279" s="20">
        <v>35123.219999999994</v>
      </c>
    </row>
    <row r="280" spans="2:19" ht="15" customHeight="1" x14ac:dyDescent="0.25">
      <c r="B280" s="2" t="str">
        <f t="shared" si="8"/>
        <v>NSG_Residential_Home Energy Rebate_Standard Rebate_Advanced Thermostat_Boiler (Replace Programmable) - Non DI_SF</v>
      </c>
      <c r="C280" s="2" t="str">
        <f t="shared" si="9"/>
        <v>NSG_Residential_Home Energy Rebate_Standard Rebate_Advanced Thermostat_Boiler (Replace Programmable) - Non DI_SF_2025</v>
      </c>
      <c r="D280" s="19" t="s">
        <v>1787</v>
      </c>
      <c r="E280" s="19" t="s">
        <v>2</v>
      </c>
      <c r="F280" s="19" t="s">
        <v>1417</v>
      </c>
      <c r="G280" s="19" t="s">
        <v>1418</v>
      </c>
      <c r="H280" s="19" t="s">
        <v>7</v>
      </c>
      <c r="I280" s="19" t="s">
        <v>1411</v>
      </c>
      <c r="J280" s="19" t="s">
        <v>1469</v>
      </c>
      <c r="K280" s="19" t="s">
        <v>409</v>
      </c>
      <c r="L280" s="19">
        <v>2025</v>
      </c>
      <c r="M280" s="20">
        <v>1</v>
      </c>
      <c r="N280" s="19" t="s">
        <v>1798</v>
      </c>
      <c r="O280" s="20">
        <v>400</v>
      </c>
      <c r="P280" s="20">
        <v>400</v>
      </c>
      <c r="Q280" s="20">
        <v>35123.219999999994</v>
      </c>
      <c r="R280" s="21">
        <v>0.9</v>
      </c>
      <c r="S280" s="20">
        <v>35123.219999999994</v>
      </c>
    </row>
    <row r="281" spans="2:19" ht="15" customHeight="1" x14ac:dyDescent="0.25">
      <c r="B281" s="2" t="str">
        <f t="shared" si="8"/>
        <v>NSG_Residential_Home Energy Rebate_Standard Rebate_Advanced Thermostat_Furnace (Replace Unknown) - Non DI_SF</v>
      </c>
      <c r="C281" s="2" t="str">
        <f t="shared" si="9"/>
        <v>NSG_Residential_Home Energy Rebate_Standard Rebate_Advanced Thermostat_Furnace (Replace Unknown) - Non DI_SF_2022</v>
      </c>
      <c r="D281" s="19" t="s">
        <v>1787</v>
      </c>
      <c r="E281" s="19" t="s">
        <v>2</v>
      </c>
      <c r="F281" s="19" t="s">
        <v>1417</v>
      </c>
      <c r="G281" s="19" t="s">
        <v>1418</v>
      </c>
      <c r="H281" s="19" t="s">
        <v>7</v>
      </c>
      <c r="I281" s="19" t="s">
        <v>1409</v>
      </c>
      <c r="J281" s="19" t="s">
        <v>1469</v>
      </c>
      <c r="K281" s="19" t="s">
        <v>409</v>
      </c>
      <c r="L281" s="19">
        <v>2022</v>
      </c>
      <c r="M281" s="20">
        <v>1</v>
      </c>
      <c r="N281" s="19" t="s">
        <v>1798</v>
      </c>
      <c r="O281" s="20">
        <v>0</v>
      </c>
      <c r="P281" s="20">
        <v>0</v>
      </c>
      <c r="Q281" s="20">
        <v>0</v>
      </c>
      <c r="R281" s="21">
        <v>0.9</v>
      </c>
      <c r="S281" s="20">
        <v>0</v>
      </c>
    </row>
    <row r="282" spans="2:19" ht="15" customHeight="1" x14ac:dyDescent="0.25">
      <c r="B282" s="2" t="str">
        <f t="shared" si="8"/>
        <v>NSG_Residential_Home Energy Rebate_Standard Rebate_Advanced Thermostat_Furnace (Replace Unknown) - Non DI_SF</v>
      </c>
      <c r="C282" s="2" t="str">
        <f t="shared" si="9"/>
        <v>NSG_Residential_Home Energy Rebate_Standard Rebate_Advanced Thermostat_Furnace (Replace Unknown) - Non DI_SF_2023</v>
      </c>
      <c r="D282" s="19" t="s">
        <v>1787</v>
      </c>
      <c r="E282" s="19" t="s">
        <v>2</v>
      </c>
      <c r="F282" s="19" t="s">
        <v>1417</v>
      </c>
      <c r="G282" s="19" t="s">
        <v>1418</v>
      </c>
      <c r="H282" s="19" t="s">
        <v>7</v>
      </c>
      <c r="I282" s="19" t="s">
        <v>1409</v>
      </c>
      <c r="J282" s="19" t="s">
        <v>1469</v>
      </c>
      <c r="K282" s="19" t="s">
        <v>409</v>
      </c>
      <c r="L282" s="19">
        <v>2023</v>
      </c>
      <c r="M282" s="20">
        <v>1</v>
      </c>
      <c r="N282" s="19" t="s">
        <v>1798</v>
      </c>
      <c r="O282" s="20">
        <v>0</v>
      </c>
      <c r="P282" s="20">
        <v>0</v>
      </c>
      <c r="Q282" s="20">
        <v>0</v>
      </c>
      <c r="R282" s="21">
        <v>0.9</v>
      </c>
      <c r="S282" s="20">
        <v>0</v>
      </c>
    </row>
    <row r="283" spans="2:19" ht="15" customHeight="1" x14ac:dyDescent="0.25">
      <c r="B283" s="2" t="str">
        <f t="shared" si="8"/>
        <v>NSG_Residential_Home Energy Rebate_Standard Rebate_Advanced Thermostat_Furnace (Replace Unknown) - Non DI_SF</v>
      </c>
      <c r="C283" s="2" t="str">
        <f t="shared" si="9"/>
        <v>NSG_Residential_Home Energy Rebate_Standard Rebate_Advanced Thermostat_Furnace (Replace Unknown) - Non DI_SF_2024</v>
      </c>
      <c r="D283" s="19" t="s">
        <v>1787</v>
      </c>
      <c r="E283" s="19" t="s">
        <v>2</v>
      </c>
      <c r="F283" s="19" t="s">
        <v>1417</v>
      </c>
      <c r="G283" s="19" t="s">
        <v>1418</v>
      </c>
      <c r="H283" s="19" t="s">
        <v>7</v>
      </c>
      <c r="I283" s="19" t="s">
        <v>1409</v>
      </c>
      <c r="J283" s="19" t="s">
        <v>1469</v>
      </c>
      <c r="K283" s="19" t="s">
        <v>409</v>
      </c>
      <c r="L283" s="19">
        <v>2024</v>
      </c>
      <c r="M283" s="20">
        <v>1</v>
      </c>
      <c r="N283" s="19" t="s">
        <v>1798</v>
      </c>
      <c r="O283" s="20">
        <v>0</v>
      </c>
      <c r="P283" s="20">
        <v>0</v>
      </c>
      <c r="Q283" s="20">
        <v>0</v>
      </c>
      <c r="R283" s="21">
        <v>0.9</v>
      </c>
      <c r="S283" s="20">
        <v>0</v>
      </c>
    </row>
    <row r="284" spans="2:19" ht="15" customHeight="1" x14ac:dyDescent="0.25">
      <c r="B284" s="2" t="str">
        <f t="shared" si="8"/>
        <v>NSG_Residential_Home Energy Rebate_Standard Rebate_Advanced Thermostat_Furnace (Replace Unknown) - Non DI_SF</v>
      </c>
      <c r="C284" s="2" t="str">
        <f t="shared" si="9"/>
        <v>NSG_Residential_Home Energy Rebate_Standard Rebate_Advanced Thermostat_Furnace (Replace Unknown) - Non DI_SF_2025</v>
      </c>
      <c r="D284" s="19" t="s">
        <v>1787</v>
      </c>
      <c r="E284" s="19" t="s">
        <v>2</v>
      </c>
      <c r="F284" s="19" t="s">
        <v>1417</v>
      </c>
      <c r="G284" s="19" t="s">
        <v>1418</v>
      </c>
      <c r="H284" s="19" t="s">
        <v>7</v>
      </c>
      <c r="I284" s="19" t="s">
        <v>1409</v>
      </c>
      <c r="J284" s="19" t="s">
        <v>1469</v>
      </c>
      <c r="K284" s="19" t="s">
        <v>409</v>
      </c>
      <c r="L284" s="19">
        <v>2025</v>
      </c>
      <c r="M284" s="20">
        <v>1</v>
      </c>
      <c r="N284" s="19" t="s">
        <v>1798</v>
      </c>
      <c r="O284" s="20">
        <v>0</v>
      </c>
      <c r="P284" s="20">
        <v>0</v>
      </c>
      <c r="Q284" s="20">
        <v>0</v>
      </c>
      <c r="R284" s="21">
        <v>0.9</v>
      </c>
      <c r="S284" s="20">
        <v>0</v>
      </c>
    </row>
    <row r="285" spans="2:19" ht="15" customHeight="1" x14ac:dyDescent="0.25">
      <c r="B285" s="2" t="str">
        <f t="shared" si="8"/>
        <v>NSG_Residential_Home Energy Rebate_Standard Rebate_Advanced Thermostat_Boiler (Replace Unknown) - Non DI_SF</v>
      </c>
      <c r="C285" s="2" t="str">
        <f t="shared" si="9"/>
        <v>NSG_Residential_Home Energy Rebate_Standard Rebate_Advanced Thermostat_Boiler (Replace Unknown) - Non DI_SF_2022</v>
      </c>
      <c r="D285" s="19" t="s">
        <v>1787</v>
      </c>
      <c r="E285" s="19" t="s">
        <v>2</v>
      </c>
      <c r="F285" s="19" t="s">
        <v>1417</v>
      </c>
      <c r="G285" s="19" t="s">
        <v>1418</v>
      </c>
      <c r="H285" s="19" t="s">
        <v>7</v>
      </c>
      <c r="I285" s="19" t="s">
        <v>1412</v>
      </c>
      <c r="J285" s="19" t="s">
        <v>1469</v>
      </c>
      <c r="K285" s="19" t="s">
        <v>409</v>
      </c>
      <c r="L285" s="19">
        <v>2022</v>
      </c>
      <c r="M285" s="20">
        <v>1</v>
      </c>
      <c r="N285" s="19" t="s">
        <v>1798</v>
      </c>
      <c r="O285" s="20">
        <v>0</v>
      </c>
      <c r="P285" s="20">
        <v>0</v>
      </c>
      <c r="Q285" s="20">
        <v>0</v>
      </c>
      <c r="R285" s="21">
        <v>0.9</v>
      </c>
      <c r="S285" s="20">
        <v>0</v>
      </c>
    </row>
    <row r="286" spans="2:19" ht="15" customHeight="1" x14ac:dyDescent="0.25">
      <c r="B286" s="2" t="str">
        <f t="shared" si="8"/>
        <v>NSG_Residential_Home Energy Rebate_Standard Rebate_Advanced Thermostat_Boiler (Replace Unknown) - Non DI_SF</v>
      </c>
      <c r="C286" s="2" t="str">
        <f t="shared" si="9"/>
        <v>NSG_Residential_Home Energy Rebate_Standard Rebate_Advanced Thermostat_Boiler (Replace Unknown) - Non DI_SF_2023</v>
      </c>
      <c r="D286" s="19" t="s">
        <v>1787</v>
      </c>
      <c r="E286" s="19" t="s">
        <v>2</v>
      </c>
      <c r="F286" s="19" t="s">
        <v>1417</v>
      </c>
      <c r="G286" s="19" t="s">
        <v>1418</v>
      </c>
      <c r="H286" s="19" t="s">
        <v>7</v>
      </c>
      <c r="I286" s="19" t="s">
        <v>1412</v>
      </c>
      <c r="J286" s="19" t="s">
        <v>1469</v>
      </c>
      <c r="K286" s="19" t="s">
        <v>409</v>
      </c>
      <c r="L286" s="19">
        <v>2023</v>
      </c>
      <c r="M286" s="20">
        <v>1</v>
      </c>
      <c r="N286" s="19" t="s">
        <v>1798</v>
      </c>
      <c r="O286" s="20">
        <v>0</v>
      </c>
      <c r="P286" s="20">
        <v>0</v>
      </c>
      <c r="Q286" s="20">
        <v>0</v>
      </c>
      <c r="R286" s="21">
        <v>0.9</v>
      </c>
      <c r="S286" s="20">
        <v>0</v>
      </c>
    </row>
    <row r="287" spans="2:19" ht="15" customHeight="1" x14ac:dyDescent="0.25">
      <c r="B287" s="2" t="str">
        <f t="shared" si="8"/>
        <v>NSG_Residential_Home Energy Rebate_Standard Rebate_Advanced Thermostat_Boiler (Replace Unknown) - Non DI_SF</v>
      </c>
      <c r="C287" s="2" t="str">
        <f t="shared" si="9"/>
        <v>NSG_Residential_Home Energy Rebate_Standard Rebate_Advanced Thermostat_Boiler (Replace Unknown) - Non DI_SF_2024</v>
      </c>
      <c r="D287" s="19" t="s">
        <v>1787</v>
      </c>
      <c r="E287" s="19" t="s">
        <v>2</v>
      </c>
      <c r="F287" s="19" t="s">
        <v>1417</v>
      </c>
      <c r="G287" s="19" t="s">
        <v>1418</v>
      </c>
      <c r="H287" s="19" t="s">
        <v>7</v>
      </c>
      <c r="I287" s="19" t="s">
        <v>1412</v>
      </c>
      <c r="J287" s="19" t="s">
        <v>1469</v>
      </c>
      <c r="K287" s="19" t="s">
        <v>409</v>
      </c>
      <c r="L287" s="19">
        <v>2024</v>
      </c>
      <c r="M287" s="20">
        <v>1</v>
      </c>
      <c r="N287" s="19" t="s">
        <v>1798</v>
      </c>
      <c r="O287" s="20">
        <v>0</v>
      </c>
      <c r="P287" s="20">
        <v>0</v>
      </c>
      <c r="Q287" s="20">
        <v>0</v>
      </c>
      <c r="R287" s="21">
        <v>0.9</v>
      </c>
      <c r="S287" s="20">
        <v>0</v>
      </c>
    </row>
    <row r="288" spans="2:19" ht="15" customHeight="1" x14ac:dyDescent="0.25">
      <c r="B288" s="2" t="str">
        <f t="shared" si="8"/>
        <v>NSG_Residential_Home Energy Rebate_Standard Rebate_Advanced Thermostat_Boiler (Replace Unknown) - Non DI_SF</v>
      </c>
      <c r="C288" s="2" t="str">
        <f t="shared" si="9"/>
        <v>NSG_Residential_Home Energy Rebate_Standard Rebate_Advanced Thermostat_Boiler (Replace Unknown) - Non DI_SF_2025</v>
      </c>
      <c r="D288" s="19" t="s">
        <v>1787</v>
      </c>
      <c r="E288" s="19" t="s">
        <v>2</v>
      </c>
      <c r="F288" s="19" t="s">
        <v>1417</v>
      </c>
      <c r="G288" s="19" t="s">
        <v>1418</v>
      </c>
      <c r="H288" s="19" t="s">
        <v>7</v>
      </c>
      <c r="I288" s="19" t="s">
        <v>1412</v>
      </c>
      <c r="J288" s="19" t="s">
        <v>1469</v>
      </c>
      <c r="K288" s="19" t="s">
        <v>409</v>
      </c>
      <c r="L288" s="19">
        <v>2025</v>
      </c>
      <c r="M288" s="20">
        <v>1</v>
      </c>
      <c r="N288" s="19" t="s">
        <v>1798</v>
      </c>
      <c r="O288" s="20">
        <v>0</v>
      </c>
      <c r="P288" s="20">
        <v>0</v>
      </c>
      <c r="Q288" s="20">
        <v>0</v>
      </c>
      <c r="R288" s="21">
        <v>0.9</v>
      </c>
      <c r="S288" s="20">
        <v>0</v>
      </c>
    </row>
    <row r="289" spans="2:19" ht="15" customHeight="1" x14ac:dyDescent="0.25">
      <c r="B289" s="2" t="str">
        <f t="shared" si="8"/>
        <v>NSG_Residential_Home Energy Rebate_Partner Trade Ally Rebate_Air Sealing_0_SF</v>
      </c>
      <c r="C289" s="2" t="str">
        <f t="shared" si="9"/>
        <v>NSG_Residential_Home Energy Rebate_Partner Trade Ally Rebate_Air Sealing_0_SF_2022</v>
      </c>
      <c r="D289" s="19" t="s">
        <v>1787</v>
      </c>
      <c r="E289" s="19" t="s">
        <v>2</v>
      </c>
      <c r="F289" s="19" t="s">
        <v>1417</v>
      </c>
      <c r="G289" s="19" t="s">
        <v>1799</v>
      </c>
      <c r="H289" s="19" t="s">
        <v>221</v>
      </c>
      <c r="I289" s="19">
        <v>0</v>
      </c>
      <c r="J289" s="19" t="s">
        <v>881</v>
      </c>
      <c r="K289" s="19" t="s">
        <v>409</v>
      </c>
      <c r="L289" s="19">
        <v>2022</v>
      </c>
      <c r="M289" s="20">
        <v>891.88799999999981</v>
      </c>
      <c r="N289" s="19" t="s">
        <v>1800</v>
      </c>
      <c r="O289" s="20">
        <v>128</v>
      </c>
      <c r="P289" s="20">
        <v>114161.66399999998</v>
      </c>
      <c r="Q289" s="20">
        <v>7668.4369953777423</v>
      </c>
      <c r="R289" s="21">
        <v>0.77</v>
      </c>
      <c r="S289" s="20">
        <v>7668.4369953777423</v>
      </c>
    </row>
    <row r="290" spans="2:19" ht="15" customHeight="1" x14ac:dyDescent="0.25">
      <c r="B290" s="2" t="str">
        <f t="shared" si="8"/>
        <v>NSG_Residential_Home Energy Rebate_Partner Trade Ally Rebate_Air Sealing_0_SF</v>
      </c>
      <c r="C290" s="2" t="str">
        <f t="shared" si="9"/>
        <v>NSG_Residential_Home Energy Rebate_Partner Trade Ally Rebate_Air Sealing_0_SF_2023</v>
      </c>
      <c r="D290" s="19" t="s">
        <v>1787</v>
      </c>
      <c r="E290" s="19" t="s">
        <v>2</v>
      </c>
      <c r="F290" s="19" t="s">
        <v>1417</v>
      </c>
      <c r="G290" s="19" t="s">
        <v>1799</v>
      </c>
      <c r="H290" s="19" t="s">
        <v>221</v>
      </c>
      <c r="I290" s="19">
        <v>0</v>
      </c>
      <c r="J290" s="19" t="s">
        <v>881</v>
      </c>
      <c r="K290" s="19" t="s">
        <v>409</v>
      </c>
      <c r="L290" s="19">
        <v>2023</v>
      </c>
      <c r="M290" s="20">
        <v>891.88799999999981</v>
      </c>
      <c r="N290" s="19" t="s">
        <v>1800</v>
      </c>
      <c r="O290" s="20">
        <v>128</v>
      </c>
      <c r="P290" s="20">
        <v>114161.66399999998</v>
      </c>
      <c r="Q290" s="20">
        <v>7668.4369953777423</v>
      </c>
      <c r="R290" s="21">
        <v>0.77</v>
      </c>
      <c r="S290" s="20">
        <v>7668.4369953777423</v>
      </c>
    </row>
    <row r="291" spans="2:19" ht="15" customHeight="1" x14ac:dyDescent="0.25">
      <c r="B291" s="2" t="str">
        <f t="shared" si="8"/>
        <v>NSG_Residential_Home Energy Rebate_Partner Trade Ally Rebate_Air Sealing_0_SF</v>
      </c>
      <c r="C291" s="2" t="str">
        <f t="shared" si="9"/>
        <v>NSG_Residential_Home Energy Rebate_Partner Trade Ally Rebate_Air Sealing_0_SF_2024</v>
      </c>
      <c r="D291" s="19" t="s">
        <v>1787</v>
      </c>
      <c r="E291" s="19" t="s">
        <v>2</v>
      </c>
      <c r="F291" s="19" t="s">
        <v>1417</v>
      </c>
      <c r="G291" s="19" t="s">
        <v>1799</v>
      </c>
      <c r="H291" s="19" t="s">
        <v>221</v>
      </c>
      <c r="I291" s="19">
        <v>0</v>
      </c>
      <c r="J291" s="19" t="s">
        <v>881</v>
      </c>
      <c r="K291" s="19" t="s">
        <v>409</v>
      </c>
      <c r="L291" s="19">
        <v>2024</v>
      </c>
      <c r="M291" s="20">
        <v>891.88799999999981</v>
      </c>
      <c r="N291" s="19" t="s">
        <v>1800</v>
      </c>
      <c r="O291" s="20">
        <v>128</v>
      </c>
      <c r="P291" s="20">
        <v>114161.66399999998</v>
      </c>
      <c r="Q291" s="20">
        <v>7668.4369953777423</v>
      </c>
      <c r="R291" s="21">
        <v>0.77</v>
      </c>
      <c r="S291" s="20">
        <v>7668.4369953777423</v>
      </c>
    </row>
    <row r="292" spans="2:19" ht="15" customHeight="1" x14ac:dyDescent="0.25">
      <c r="B292" s="2" t="str">
        <f t="shared" si="8"/>
        <v>NSG_Residential_Home Energy Rebate_Partner Trade Ally Rebate_Air Sealing_0_SF</v>
      </c>
      <c r="C292" s="2" t="str">
        <f t="shared" si="9"/>
        <v>NSG_Residential_Home Energy Rebate_Partner Trade Ally Rebate_Air Sealing_0_SF_2025</v>
      </c>
      <c r="D292" s="19" t="s">
        <v>1787</v>
      </c>
      <c r="E292" s="19" t="s">
        <v>2</v>
      </c>
      <c r="F292" s="19" t="s">
        <v>1417</v>
      </c>
      <c r="G292" s="19" t="s">
        <v>1799</v>
      </c>
      <c r="H292" s="19" t="s">
        <v>221</v>
      </c>
      <c r="I292" s="19">
        <v>0</v>
      </c>
      <c r="J292" s="19" t="s">
        <v>881</v>
      </c>
      <c r="K292" s="19" t="s">
        <v>409</v>
      </c>
      <c r="L292" s="19">
        <v>2025</v>
      </c>
      <c r="M292" s="20">
        <v>891.88799999999981</v>
      </c>
      <c r="N292" s="19" t="s">
        <v>1800</v>
      </c>
      <c r="O292" s="20">
        <v>128</v>
      </c>
      <c r="P292" s="20">
        <v>114161.66399999998</v>
      </c>
      <c r="Q292" s="20">
        <v>7668.4369953777423</v>
      </c>
      <c r="R292" s="21">
        <v>0.77</v>
      </c>
      <c r="S292" s="20">
        <v>7668.4369953777423</v>
      </c>
    </row>
    <row r="293" spans="2:19" ht="15" customHeight="1" x14ac:dyDescent="0.25">
      <c r="B293" s="2" t="str">
        <f t="shared" si="8"/>
        <v>NSG_Residential_Home Energy Rebate_Partner Trade Ally Rebate_Attic Insulation_0_SF</v>
      </c>
      <c r="C293" s="2" t="str">
        <f t="shared" si="9"/>
        <v>NSG_Residential_Home Energy Rebate_Partner Trade Ally Rebate_Attic Insulation_0_SF_2022</v>
      </c>
      <c r="D293" s="19" t="s">
        <v>1787</v>
      </c>
      <c r="E293" s="19" t="s">
        <v>2</v>
      </c>
      <c r="F293" s="19" t="s">
        <v>1417</v>
      </c>
      <c r="G293" s="19" t="s">
        <v>1799</v>
      </c>
      <c r="H293" s="19" t="s">
        <v>631</v>
      </c>
      <c r="I293" s="19">
        <v>0</v>
      </c>
      <c r="J293" s="19" t="s">
        <v>632</v>
      </c>
      <c r="K293" s="19" t="s">
        <v>409</v>
      </c>
      <c r="L293" s="19">
        <v>2022</v>
      </c>
      <c r="M293" s="20">
        <v>1200</v>
      </c>
      <c r="N293" s="19" t="s">
        <v>751</v>
      </c>
      <c r="O293" s="20">
        <v>200</v>
      </c>
      <c r="P293" s="20">
        <v>240000</v>
      </c>
      <c r="Q293" s="20">
        <v>15254.681602374769</v>
      </c>
      <c r="R293" s="21">
        <v>0.79</v>
      </c>
      <c r="S293" s="20">
        <v>15254.681602374769</v>
      </c>
    </row>
    <row r="294" spans="2:19" ht="15" customHeight="1" x14ac:dyDescent="0.25">
      <c r="B294" s="2" t="str">
        <f t="shared" si="8"/>
        <v>NSG_Residential_Home Energy Rebate_Partner Trade Ally Rebate_Attic Insulation_0_SF</v>
      </c>
      <c r="C294" s="2" t="str">
        <f t="shared" si="9"/>
        <v>NSG_Residential_Home Energy Rebate_Partner Trade Ally Rebate_Attic Insulation_0_SF_2023</v>
      </c>
      <c r="D294" s="19" t="s">
        <v>1787</v>
      </c>
      <c r="E294" s="19" t="s">
        <v>2</v>
      </c>
      <c r="F294" s="19" t="s">
        <v>1417</v>
      </c>
      <c r="G294" s="19" t="s">
        <v>1799</v>
      </c>
      <c r="H294" s="19" t="s">
        <v>631</v>
      </c>
      <c r="I294" s="19">
        <v>0</v>
      </c>
      <c r="J294" s="19" t="s">
        <v>632</v>
      </c>
      <c r="K294" s="19" t="s">
        <v>409</v>
      </c>
      <c r="L294" s="19">
        <v>2023</v>
      </c>
      <c r="M294" s="20">
        <v>1200</v>
      </c>
      <c r="N294" s="19" t="s">
        <v>751</v>
      </c>
      <c r="O294" s="20">
        <v>200</v>
      </c>
      <c r="P294" s="20">
        <v>240000</v>
      </c>
      <c r="Q294" s="20">
        <v>15254.681602374769</v>
      </c>
      <c r="R294" s="21">
        <v>0.79</v>
      </c>
      <c r="S294" s="20">
        <v>15254.681602374769</v>
      </c>
    </row>
    <row r="295" spans="2:19" ht="15" customHeight="1" x14ac:dyDescent="0.25">
      <c r="B295" s="2" t="str">
        <f t="shared" si="8"/>
        <v>NSG_Residential_Home Energy Rebate_Partner Trade Ally Rebate_Attic Insulation_0_SF</v>
      </c>
      <c r="C295" s="2" t="str">
        <f t="shared" si="9"/>
        <v>NSG_Residential_Home Energy Rebate_Partner Trade Ally Rebate_Attic Insulation_0_SF_2024</v>
      </c>
      <c r="D295" s="19" t="s">
        <v>1787</v>
      </c>
      <c r="E295" s="19" t="s">
        <v>2</v>
      </c>
      <c r="F295" s="19" t="s">
        <v>1417</v>
      </c>
      <c r="G295" s="19" t="s">
        <v>1799</v>
      </c>
      <c r="H295" s="19" t="s">
        <v>631</v>
      </c>
      <c r="I295" s="19">
        <v>0</v>
      </c>
      <c r="J295" s="19" t="s">
        <v>632</v>
      </c>
      <c r="K295" s="19" t="s">
        <v>409</v>
      </c>
      <c r="L295" s="19">
        <v>2024</v>
      </c>
      <c r="M295" s="20">
        <v>1200</v>
      </c>
      <c r="N295" s="19" t="s">
        <v>751</v>
      </c>
      <c r="O295" s="20">
        <v>200</v>
      </c>
      <c r="P295" s="20">
        <v>240000</v>
      </c>
      <c r="Q295" s="20">
        <v>15254.681602374769</v>
      </c>
      <c r="R295" s="21">
        <v>0.79</v>
      </c>
      <c r="S295" s="20">
        <v>15254.681602374769</v>
      </c>
    </row>
    <row r="296" spans="2:19" ht="15" customHeight="1" x14ac:dyDescent="0.25">
      <c r="B296" s="2" t="str">
        <f t="shared" si="8"/>
        <v>NSG_Residential_Home Energy Rebate_Partner Trade Ally Rebate_Attic Insulation_0_SF</v>
      </c>
      <c r="C296" s="2" t="str">
        <f t="shared" si="9"/>
        <v>NSG_Residential_Home Energy Rebate_Partner Trade Ally Rebate_Attic Insulation_0_SF_2025</v>
      </c>
      <c r="D296" s="19" t="s">
        <v>1787</v>
      </c>
      <c r="E296" s="19" t="s">
        <v>2</v>
      </c>
      <c r="F296" s="19" t="s">
        <v>1417</v>
      </c>
      <c r="G296" s="19" t="s">
        <v>1799</v>
      </c>
      <c r="H296" s="19" t="s">
        <v>631</v>
      </c>
      <c r="I296" s="19">
        <v>0</v>
      </c>
      <c r="J296" s="19" t="s">
        <v>632</v>
      </c>
      <c r="K296" s="19" t="s">
        <v>409</v>
      </c>
      <c r="L296" s="19">
        <v>2025</v>
      </c>
      <c r="M296" s="20">
        <v>1200</v>
      </c>
      <c r="N296" s="19" t="s">
        <v>751</v>
      </c>
      <c r="O296" s="20">
        <v>200</v>
      </c>
      <c r="P296" s="20">
        <v>240000</v>
      </c>
      <c r="Q296" s="20">
        <v>15254.681602374769</v>
      </c>
      <c r="R296" s="21">
        <v>0.79</v>
      </c>
      <c r="S296" s="20">
        <v>15254.681602374769</v>
      </c>
    </row>
    <row r="297" spans="2:19" ht="15" customHeight="1" x14ac:dyDescent="0.25">
      <c r="B297" s="2" t="str">
        <f t="shared" si="8"/>
        <v>NSG_Residential_Home Energy Rebate_Partner Trade Ally Rebate_Duct Sealing_0_SF</v>
      </c>
      <c r="C297" s="2" t="str">
        <f t="shared" si="9"/>
        <v>NSG_Residential_Home Energy Rebate_Partner Trade Ally Rebate_Duct Sealing_0_SF_2022</v>
      </c>
      <c r="D297" s="19" t="s">
        <v>1787</v>
      </c>
      <c r="E297" s="19" t="s">
        <v>2</v>
      </c>
      <c r="F297" s="19" t="s">
        <v>1417</v>
      </c>
      <c r="G297" s="19" t="s">
        <v>1799</v>
      </c>
      <c r="H297" s="19" t="s">
        <v>680</v>
      </c>
      <c r="I297" s="19">
        <v>0</v>
      </c>
      <c r="J297" s="19" t="s">
        <v>684</v>
      </c>
      <c r="K297" s="19" t="s">
        <v>409</v>
      </c>
      <c r="L297" s="19">
        <v>2022</v>
      </c>
      <c r="M297" s="20">
        <v>120</v>
      </c>
      <c r="N297" s="19" t="s">
        <v>1801</v>
      </c>
      <c r="O297" s="20">
        <v>50</v>
      </c>
      <c r="P297" s="20">
        <v>6000</v>
      </c>
      <c r="Q297" s="20">
        <v>3674.720229555237</v>
      </c>
      <c r="R297" s="21">
        <v>0.87</v>
      </c>
      <c r="S297" s="20">
        <v>3674.720229555237</v>
      </c>
    </row>
    <row r="298" spans="2:19" ht="15" customHeight="1" x14ac:dyDescent="0.25">
      <c r="B298" s="2" t="str">
        <f t="shared" si="8"/>
        <v>NSG_Residential_Home Energy Rebate_Partner Trade Ally Rebate_Duct Sealing_0_SF</v>
      </c>
      <c r="C298" s="2" t="str">
        <f t="shared" si="9"/>
        <v>NSG_Residential_Home Energy Rebate_Partner Trade Ally Rebate_Duct Sealing_0_SF_2023</v>
      </c>
      <c r="D298" s="19" t="s">
        <v>1787</v>
      </c>
      <c r="E298" s="19" t="s">
        <v>2</v>
      </c>
      <c r="F298" s="19" t="s">
        <v>1417</v>
      </c>
      <c r="G298" s="19" t="s">
        <v>1799</v>
      </c>
      <c r="H298" s="19" t="s">
        <v>680</v>
      </c>
      <c r="I298" s="19">
        <v>0</v>
      </c>
      <c r="J298" s="19" t="s">
        <v>684</v>
      </c>
      <c r="K298" s="19" t="s">
        <v>409</v>
      </c>
      <c r="L298" s="19">
        <v>2023</v>
      </c>
      <c r="M298" s="20">
        <v>120</v>
      </c>
      <c r="N298" s="19" t="s">
        <v>1801</v>
      </c>
      <c r="O298" s="20">
        <v>50</v>
      </c>
      <c r="P298" s="20">
        <v>6000</v>
      </c>
      <c r="Q298" s="20">
        <v>3674.720229555237</v>
      </c>
      <c r="R298" s="21">
        <v>0.87</v>
      </c>
      <c r="S298" s="20">
        <v>3674.720229555237</v>
      </c>
    </row>
    <row r="299" spans="2:19" ht="15" customHeight="1" x14ac:dyDescent="0.25">
      <c r="B299" s="2" t="str">
        <f t="shared" si="8"/>
        <v>NSG_Residential_Home Energy Rebate_Partner Trade Ally Rebate_Duct Sealing_0_SF</v>
      </c>
      <c r="C299" s="2" t="str">
        <f t="shared" si="9"/>
        <v>NSG_Residential_Home Energy Rebate_Partner Trade Ally Rebate_Duct Sealing_0_SF_2024</v>
      </c>
      <c r="D299" s="19" t="s">
        <v>1787</v>
      </c>
      <c r="E299" s="19" t="s">
        <v>2</v>
      </c>
      <c r="F299" s="19" t="s">
        <v>1417</v>
      </c>
      <c r="G299" s="19" t="s">
        <v>1799</v>
      </c>
      <c r="H299" s="19" t="s">
        <v>680</v>
      </c>
      <c r="I299" s="19">
        <v>0</v>
      </c>
      <c r="J299" s="19" t="s">
        <v>684</v>
      </c>
      <c r="K299" s="19" t="s">
        <v>409</v>
      </c>
      <c r="L299" s="19">
        <v>2024</v>
      </c>
      <c r="M299" s="20">
        <v>120</v>
      </c>
      <c r="N299" s="19" t="s">
        <v>1801</v>
      </c>
      <c r="O299" s="20">
        <v>50</v>
      </c>
      <c r="P299" s="20">
        <v>6000</v>
      </c>
      <c r="Q299" s="20">
        <v>3674.720229555237</v>
      </c>
      <c r="R299" s="21">
        <v>0.87</v>
      </c>
      <c r="S299" s="20">
        <v>3674.720229555237</v>
      </c>
    </row>
    <row r="300" spans="2:19" ht="15" customHeight="1" x14ac:dyDescent="0.25">
      <c r="B300" s="2" t="str">
        <f t="shared" si="8"/>
        <v>NSG_Residential_Home Energy Rebate_Partner Trade Ally Rebate_Duct Sealing_0_SF</v>
      </c>
      <c r="C300" s="2" t="str">
        <f t="shared" si="9"/>
        <v>NSG_Residential_Home Energy Rebate_Partner Trade Ally Rebate_Duct Sealing_0_SF_2025</v>
      </c>
      <c r="D300" s="19" t="s">
        <v>1787</v>
      </c>
      <c r="E300" s="19" t="s">
        <v>2</v>
      </c>
      <c r="F300" s="19" t="s">
        <v>1417</v>
      </c>
      <c r="G300" s="19" t="s">
        <v>1799</v>
      </c>
      <c r="H300" s="19" t="s">
        <v>680</v>
      </c>
      <c r="I300" s="19">
        <v>0</v>
      </c>
      <c r="J300" s="19" t="s">
        <v>684</v>
      </c>
      <c r="K300" s="19" t="s">
        <v>409</v>
      </c>
      <c r="L300" s="19">
        <v>2025</v>
      </c>
      <c r="M300" s="20">
        <v>120</v>
      </c>
      <c r="N300" s="19" t="s">
        <v>1801</v>
      </c>
      <c r="O300" s="20">
        <v>50</v>
      </c>
      <c r="P300" s="20">
        <v>6000</v>
      </c>
      <c r="Q300" s="20">
        <v>3674.720229555237</v>
      </c>
      <c r="R300" s="21">
        <v>0.87</v>
      </c>
      <c r="S300" s="20">
        <v>3674.720229555237</v>
      </c>
    </row>
    <row r="301" spans="2:19" ht="15" customHeight="1" x14ac:dyDescent="0.25">
      <c r="B301" s="2" t="str">
        <f t="shared" si="8"/>
        <v>NSG_Residential_Home Energy Rebate_Partner Trade Ally Rebate_Wall Insulation_0_SF</v>
      </c>
      <c r="C301" s="2" t="str">
        <f t="shared" si="9"/>
        <v>NSG_Residential_Home Energy Rebate_Partner Trade Ally Rebate_Wall Insulation_0_SF_2022</v>
      </c>
      <c r="D301" s="19" t="s">
        <v>1787</v>
      </c>
      <c r="E301" s="19" t="s">
        <v>2</v>
      </c>
      <c r="F301" s="19" t="s">
        <v>1417</v>
      </c>
      <c r="G301" s="19" t="s">
        <v>1799</v>
      </c>
      <c r="H301" s="19" t="s">
        <v>222</v>
      </c>
      <c r="I301" s="19">
        <v>0</v>
      </c>
      <c r="J301" s="19" t="s">
        <v>783</v>
      </c>
      <c r="K301" s="19" t="s">
        <v>409</v>
      </c>
      <c r="L301" s="19">
        <v>2022</v>
      </c>
      <c r="M301" s="20">
        <v>500</v>
      </c>
      <c r="N301" s="19" t="s">
        <v>751</v>
      </c>
      <c r="O301" s="20">
        <v>7</v>
      </c>
      <c r="P301" s="20">
        <v>3500</v>
      </c>
      <c r="Q301" s="20">
        <v>299.38118823529413</v>
      </c>
      <c r="R301" s="21">
        <v>0.79</v>
      </c>
      <c r="S301" s="20">
        <v>299.38118823529413</v>
      </c>
    </row>
    <row r="302" spans="2:19" ht="15" customHeight="1" x14ac:dyDescent="0.25">
      <c r="B302" s="2" t="str">
        <f t="shared" si="8"/>
        <v>NSG_Residential_Home Energy Rebate_Partner Trade Ally Rebate_Wall Insulation_0_SF</v>
      </c>
      <c r="C302" s="2" t="str">
        <f t="shared" si="9"/>
        <v>NSG_Residential_Home Energy Rebate_Partner Trade Ally Rebate_Wall Insulation_0_SF_2023</v>
      </c>
      <c r="D302" s="19" t="s">
        <v>1787</v>
      </c>
      <c r="E302" s="19" t="s">
        <v>2</v>
      </c>
      <c r="F302" s="19" t="s">
        <v>1417</v>
      </c>
      <c r="G302" s="19" t="s">
        <v>1799</v>
      </c>
      <c r="H302" s="19" t="s">
        <v>222</v>
      </c>
      <c r="I302" s="19">
        <v>0</v>
      </c>
      <c r="J302" s="19" t="s">
        <v>783</v>
      </c>
      <c r="K302" s="19" t="s">
        <v>409</v>
      </c>
      <c r="L302" s="19">
        <v>2023</v>
      </c>
      <c r="M302" s="20">
        <v>500</v>
      </c>
      <c r="N302" s="19" t="s">
        <v>751</v>
      </c>
      <c r="O302" s="20">
        <v>7</v>
      </c>
      <c r="P302" s="20">
        <v>3500</v>
      </c>
      <c r="Q302" s="20">
        <v>299.38118823529413</v>
      </c>
      <c r="R302" s="21">
        <v>0.79</v>
      </c>
      <c r="S302" s="20">
        <v>299.38118823529413</v>
      </c>
    </row>
    <row r="303" spans="2:19" ht="15" customHeight="1" x14ac:dyDescent="0.25">
      <c r="B303" s="2" t="str">
        <f t="shared" si="8"/>
        <v>NSG_Residential_Home Energy Rebate_Partner Trade Ally Rebate_Wall Insulation_0_SF</v>
      </c>
      <c r="C303" s="2" t="str">
        <f t="shared" si="9"/>
        <v>NSG_Residential_Home Energy Rebate_Partner Trade Ally Rebate_Wall Insulation_0_SF_2024</v>
      </c>
      <c r="D303" s="19" t="s">
        <v>1787</v>
      </c>
      <c r="E303" s="19" t="s">
        <v>2</v>
      </c>
      <c r="F303" s="19" t="s">
        <v>1417</v>
      </c>
      <c r="G303" s="19" t="s">
        <v>1799</v>
      </c>
      <c r="H303" s="19" t="s">
        <v>222</v>
      </c>
      <c r="I303" s="19">
        <v>0</v>
      </c>
      <c r="J303" s="19" t="s">
        <v>783</v>
      </c>
      <c r="K303" s="19" t="s">
        <v>409</v>
      </c>
      <c r="L303" s="19">
        <v>2024</v>
      </c>
      <c r="M303" s="20">
        <v>500</v>
      </c>
      <c r="N303" s="19" t="s">
        <v>751</v>
      </c>
      <c r="O303" s="20">
        <v>7</v>
      </c>
      <c r="P303" s="20">
        <v>3500</v>
      </c>
      <c r="Q303" s="20">
        <v>299.38118823529413</v>
      </c>
      <c r="R303" s="21">
        <v>0.79</v>
      </c>
      <c r="S303" s="20">
        <v>299.38118823529413</v>
      </c>
    </row>
    <row r="304" spans="2:19" ht="15" customHeight="1" x14ac:dyDescent="0.25">
      <c r="B304" s="2" t="str">
        <f t="shared" si="8"/>
        <v>NSG_Residential_Home Energy Rebate_Partner Trade Ally Rebate_Wall Insulation_0_SF</v>
      </c>
      <c r="C304" s="2" t="str">
        <f t="shared" si="9"/>
        <v>NSG_Residential_Home Energy Rebate_Partner Trade Ally Rebate_Wall Insulation_0_SF_2025</v>
      </c>
      <c r="D304" s="19" t="s">
        <v>1787</v>
      </c>
      <c r="E304" s="19" t="s">
        <v>2</v>
      </c>
      <c r="F304" s="19" t="s">
        <v>1417</v>
      </c>
      <c r="G304" s="19" t="s">
        <v>1799</v>
      </c>
      <c r="H304" s="19" t="s">
        <v>222</v>
      </c>
      <c r="I304" s="19">
        <v>0</v>
      </c>
      <c r="J304" s="19" t="s">
        <v>783</v>
      </c>
      <c r="K304" s="19" t="s">
        <v>409</v>
      </c>
      <c r="L304" s="19">
        <v>2025</v>
      </c>
      <c r="M304" s="20">
        <v>500</v>
      </c>
      <c r="N304" s="19" t="s">
        <v>751</v>
      </c>
      <c r="O304" s="20">
        <v>7</v>
      </c>
      <c r="P304" s="20">
        <v>3500</v>
      </c>
      <c r="Q304" s="20">
        <v>299.38118823529413</v>
      </c>
      <c r="R304" s="21">
        <v>0.79</v>
      </c>
      <c r="S304" s="20">
        <v>299.38118823529413</v>
      </c>
    </row>
    <row r="305" spans="2:19" ht="15" customHeight="1" x14ac:dyDescent="0.25">
      <c r="B305" s="2" t="str">
        <f t="shared" si="8"/>
        <v>NSG_Residential_Home Energy Rebate_Partner Trade Ally Rebate_Foundation Insulation_0_SF</v>
      </c>
      <c r="C305" s="2" t="str">
        <f t="shared" si="9"/>
        <v>NSG_Residential_Home Energy Rebate_Partner Trade Ally Rebate_Foundation Insulation_0_SF_2022</v>
      </c>
      <c r="D305" s="19" t="s">
        <v>1787</v>
      </c>
      <c r="E305" s="19" t="s">
        <v>2</v>
      </c>
      <c r="F305" s="19" t="s">
        <v>1417</v>
      </c>
      <c r="G305" s="19" t="s">
        <v>1799</v>
      </c>
      <c r="H305" s="19" t="s">
        <v>608</v>
      </c>
      <c r="I305" s="19">
        <v>0</v>
      </c>
      <c r="J305" s="19" t="s">
        <v>610</v>
      </c>
      <c r="K305" s="19" t="s">
        <v>409</v>
      </c>
      <c r="L305" s="19">
        <v>2022</v>
      </c>
      <c r="M305" s="20">
        <v>140</v>
      </c>
      <c r="N305" s="19" t="s">
        <v>751</v>
      </c>
      <c r="O305" s="20">
        <v>1</v>
      </c>
      <c r="P305" s="20">
        <v>140</v>
      </c>
      <c r="Q305" s="20">
        <v>15.1472625</v>
      </c>
      <c r="R305" s="21">
        <v>0.79</v>
      </c>
      <c r="S305" s="20">
        <v>15.1472625</v>
      </c>
    </row>
    <row r="306" spans="2:19" ht="15" customHeight="1" x14ac:dyDescent="0.25">
      <c r="B306" s="2" t="str">
        <f t="shared" si="8"/>
        <v>NSG_Residential_Home Energy Rebate_Partner Trade Ally Rebate_Foundation Insulation_0_SF</v>
      </c>
      <c r="C306" s="2" t="str">
        <f t="shared" si="9"/>
        <v>NSG_Residential_Home Energy Rebate_Partner Trade Ally Rebate_Foundation Insulation_0_SF_2023</v>
      </c>
      <c r="D306" s="19" t="s">
        <v>1787</v>
      </c>
      <c r="E306" s="19" t="s">
        <v>2</v>
      </c>
      <c r="F306" s="19" t="s">
        <v>1417</v>
      </c>
      <c r="G306" s="19" t="s">
        <v>1799</v>
      </c>
      <c r="H306" s="19" t="s">
        <v>608</v>
      </c>
      <c r="I306" s="19">
        <v>0</v>
      </c>
      <c r="J306" s="19" t="s">
        <v>610</v>
      </c>
      <c r="K306" s="19" t="s">
        <v>409</v>
      </c>
      <c r="L306" s="19">
        <v>2023</v>
      </c>
      <c r="M306" s="20">
        <v>140</v>
      </c>
      <c r="N306" s="19" t="s">
        <v>751</v>
      </c>
      <c r="O306" s="20">
        <v>1</v>
      </c>
      <c r="P306" s="20">
        <v>140</v>
      </c>
      <c r="Q306" s="20">
        <v>15.1472625</v>
      </c>
      <c r="R306" s="21">
        <v>0.79</v>
      </c>
      <c r="S306" s="20">
        <v>15.1472625</v>
      </c>
    </row>
    <row r="307" spans="2:19" ht="15" customHeight="1" x14ac:dyDescent="0.25">
      <c r="B307" s="2" t="str">
        <f t="shared" si="8"/>
        <v>NSG_Residential_Home Energy Rebate_Partner Trade Ally Rebate_Foundation Insulation_0_SF</v>
      </c>
      <c r="C307" s="2" t="str">
        <f t="shared" si="9"/>
        <v>NSG_Residential_Home Energy Rebate_Partner Trade Ally Rebate_Foundation Insulation_0_SF_2024</v>
      </c>
      <c r="D307" s="19" t="s">
        <v>1787</v>
      </c>
      <c r="E307" s="19" t="s">
        <v>2</v>
      </c>
      <c r="F307" s="19" t="s">
        <v>1417</v>
      </c>
      <c r="G307" s="19" t="s">
        <v>1799</v>
      </c>
      <c r="H307" s="19" t="s">
        <v>608</v>
      </c>
      <c r="I307" s="19">
        <v>0</v>
      </c>
      <c r="J307" s="19" t="s">
        <v>610</v>
      </c>
      <c r="K307" s="19" t="s">
        <v>409</v>
      </c>
      <c r="L307" s="19">
        <v>2024</v>
      </c>
      <c r="M307" s="20">
        <v>140</v>
      </c>
      <c r="N307" s="19" t="s">
        <v>751</v>
      </c>
      <c r="O307" s="20">
        <v>1</v>
      </c>
      <c r="P307" s="20">
        <v>140</v>
      </c>
      <c r="Q307" s="20">
        <v>15.1472625</v>
      </c>
      <c r="R307" s="21">
        <v>0.79</v>
      </c>
      <c r="S307" s="20">
        <v>15.1472625</v>
      </c>
    </row>
    <row r="308" spans="2:19" ht="15" customHeight="1" x14ac:dyDescent="0.25">
      <c r="B308" s="2" t="str">
        <f t="shared" si="8"/>
        <v>NSG_Residential_Home Energy Rebate_Partner Trade Ally Rebate_Foundation Insulation_0_SF</v>
      </c>
      <c r="C308" s="2" t="str">
        <f t="shared" si="9"/>
        <v>NSG_Residential_Home Energy Rebate_Partner Trade Ally Rebate_Foundation Insulation_0_SF_2025</v>
      </c>
      <c r="D308" s="19" t="s">
        <v>1787</v>
      </c>
      <c r="E308" s="19" t="s">
        <v>2</v>
      </c>
      <c r="F308" s="19" t="s">
        <v>1417</v>
      </c>
      <c r="G308" s="19" t="s">
        <v>1799</v>
      </c>
      <c r="H308" s="19" t="s">
        <v>608</v>
      </c>
      <c r="I308" s="19">
        <v>0</v>
      </c>
      <c r="J308" s="19" t="s">
        <v>610</v>
      </c>
      <c r="K308" s="19" t="s">
        <v>409</v>
      </c>
      <c r="L308" s="19">
        <v>2025</v>
      </c>
      <c r="M308" s="20">
        <v>140</v>
      </c>
      <c r="N308" s="19" t="s">
        <v>751</v>
      </c>
      <c r="O308" s="20">
        <v>1</v>
      </c>
      <c r="P308" s="20">
        <v>140</v>
      </c>
      <c r="Q308" s="20">
        <v>15.1472625</v>
      </c>
      <c r="R308" s="21">
        <v>0.79</v>
      </c>
      <c r="S308" s="20">
        <v>15.1472625</v>
      </c>
    </row>
    <row r="309" spans="2:19" ht="15" customHeight="1" x14ac:dyDescent="0.25">
      <c r="B309" s="2" t="str">
        <f t="shared" si="8"/>
        <v>NSG_Residential_Home Energy Rebate_Partner Trade Ally Rebate_Air Sealing w/ Attic Insulation_0_SF</v>
      </c>
      <c r="C309" s="2" t="str">
        <f t="shared" si="9"/>
        <v>NSG_Residential_Home Energy Rebate_Partner Trade Ally Rebate_Air Sealing w/ Attic Insulation_0_SF_2022</v>
      </c>
      <c r="D309" s="19" t="s">
        <v>1787</v>
      </c>
      <c r="E309" s="19" t="s">
        <v>2</v>
      </c>
      <c r="F309" s="19" t="s">
        <v>1417</v>
      </c>
      <c r="G309" s="19" t="s">
        <v>1799</v>
      </c>
      <c r="H309" s="19" t="s">
        <v>890</v>
      </c>
      <c r="I309" s="19">
        <v>0</v>
      </c>
      <c r="J309" s="19" t="s">
        <v>881</v>
      </c>
      <c r="K309" s="19" t="s">
        <v>409</v>
      </c>
      <c r="L309" s="19">
        <v>2022</v>
      </c>
      <c r="M309" s="20">
        <v>891.88799999999981</v>
      </c>
      <c r="N309" s="19" t="s">
        <v>1800</v>
      </c>
      <c r="O309" s="20">
        <v>200</v>
      </c>
      <c r="P309" s="20">
        <v>178377.59999999995</v>
      </c>
      <c r="Q309" s="20">
        <v>8851.069324210348</v>
      </c>
      <c r="R309" s="21">
        <v>0.79</v>
      </c>
      <c r="S309" s="20">
        <v>8851.069324210348</v>
      </c>
    </row>
    <row r="310" spans="2:19" ht="15" customHeight="1" x14ac:dyDescent="0.25">
      <c r="B310" s="2" t="str">
        <f t="shared" si="8"/>
        <v>NSG_Residential_Home Energy Rebate_Partner Trade Ally Rebate_Air Sealing w/ Attic Insulation_0_SF</v>
      </c>
      <c r="C310" s="2" t="str">
        <f t="shared" si="9"/>
        <v>NSG_Residential_Home Energy Rebate_Partner Trade Ally Rebate_Air Sealing w/ Attic Insulation_0_SF_2023</v>
      </c>
      <c r="D310" s="19" t="s">
        <v>1787</v>
      </c>
      <c r="E310" s="19" t="s">
        <v>2</v>
      </c>
      <c r="F310" s="19" t="s">
        <v>1417</v>
      </c>
      <c r="G310" s="19" t="s">
        <v>1799</v>
      </c>
      <c r="H310" s="19" t="s">
        <v>890</v>
      </c>
      <c r="I310" s="19">
        <v>0</v>
      </c>
      <c r="J310" s="19" t="s">
        <v>881</v>
      </c>
      <c r="K310" s="19" t="s">
        <v>409</v>
      </c>
      <c r="L310" s="19">
        <v>2023</v>
      </c>
      <c r="M310" s="20">
        <v>891.88799999999981</v>
      </c>
      <c r="N310" s="19" t="s">
        <v>1800</v>
      </c>
      <c r="O310" s="20">
        <v>200</v>
      </c>
      <c r="P310" s="20">
        <v>178377.59999999995</v>
      </c>
      <c r="Q310" s="20">
        <v>8851.069324210348</v>
      </c>
      <c r="R310" s="21">
        <v>0.79</v>
      </c>
      <c r="S310" s="20">
        <v>8851.069324210348</v>
      </c>
    </row>
    <row r="311" spans="2:19" ht="15" customHeight="1" x14ac:dyDescent="0.25">
      <c r="B311" s="2" t="str">
        <f t="shared" si="8"/>
        <v>NSG_Residential_Home Energy Rebate_Partner Trade Ally Rebate_Air Sealing w/ Attic Insulation_0_SF</v>
      </c>
      <c r="C311" s="2" t="str">
        <f t="shared" si="9"/>
        <v>NSG_Residential_Home Energy Rebate_Partner Trade Ally Rebate_Air Sealing w/ Attic Insulation_0_SF_2024</v>
      </c>
      <c r="D311" s="19" t="s">
        <v>1787</v>
      </c>
      <c r="E311" s="19" t="s">
        <v>2</v>
      </c>
      <c r="F311" s="19" t="s">
        <v>1417</v>
      </c>
      <c r="G311" s="19" t="s">
        <v>1799</v>
      </c>
      <c r="H311" s="19" t="s">
        <v>890</v>
      </c>
      <c r="I311" s="19">
        <v>0</v>
      </c>
      <c r="J311" s="19" t="s">
        <v>881</v>
      </c>
      <c r="K311" s="19" t="s">
        <v>409</v>
      </c>
      <c r="L311" s="19">
        <v>2024</v>
      </c>
      <c r="M311" s="20">
        <v>891.88799999999981</v>
      </c>
      <c r="N311" s="19" t="s">
        <v>1800</v>
      </c>
      <c r="O311" s="20">
        <v>200</v>
      </c>
      <c r="P311" s="20">
        <v>178377.59999999995</v>
      </c>
      <c r="Q311" s="20">
        <v>8851.069324210348</v>
      </c>
      <c r="R311" s="21">
        <v>0.79</v>
      </c>
      <c r="S311" s="20">
        <v>8851.069324210348</v>
      </c>
    </row>
    <row r="312" spans="2:19" ht="15" customHeight="1" x14ac:dyDescent="0.25">
      <c r="B312" s="2" t="str">
        <f t="shared" si="8"/>
        <v>NSG_Residential_Home Energy Rebate_Partner Trade Ally Rebate_Air Sealing w/ Attic Insulation_0_SF</v>
      </c>
      <c r="C312" s="2" t="str">
        <f t="shared" si="9"/>
        <v>NSG_Residential_Home Energy Rebate_Partner Trade Ally Rebate_Air Sealing w/ Attic Insulation_0_SF_2025</v>
      </c>
      <c r="D312" s="19" t="s">
        <v>1787</v>
      </c>
      <c r="E312" s="19" t="s">
        <v>2</v>
      </c>
      <c r="F312" s="19" t="s">
        <v>1417</v>
      </c>
      <c r="G312" s="19" t="s">
        <v>1799</v>
      </c>
      <c r="H312" s="19" t="s">
        <v>890</v>
      </c>
      <c r="I312" s="19">
        <v>0</v>
      </c>
      <c r="J312" s="19" t="s">
        <v>881</v>
      </c>
      <c r="K312" s="19" t="s">
        <v>409</v>
      </c>
      <c r="L312" s="19">
        <v>2025</v>
      </c>
      <c r="M312" s="20">
        <v>891.88799999999981</v>
      </c>
      <c r="N312" s="19" t="s">
        <v>1800</v>
      </c>
      <c r="O312" s="20">
        <v>200</v>
      </c>
      <c r="P312" s="20">
        <v>178377.59999999995</v>
      </c>
      <c r="Q312" s="20">
        <v>8851.069324210348</v>
      </c>
      <c r="R312" s="21">
        <v>0.79</v>
      </c>
      <c r="S312" s="20">
        <v>8851.069324210348</v>
      </c>
    </row>
    <row r="313" spans="2:19" ht="15" customHeight="1" x14ac:dyDescent="0.25">
      <c r="B313" s="2" t="str">
        <f t="shared" si="8"/>
        <v>NSG_Residential_Home Energy Rebate_Standard Rebate_Water Heater_Storage 0.67 EF_SF</v>
      </c>
      <c r="C313" s="2" t="str">
        <f t="shared" si="9"/>
        <v>NSG_Residential_Home Energy Rebate_Standard Rebate_Water Heater_Storage 0.67 EF_SF_2022</v>
      </c>
      <c r="D313" s="19" t="s">
        <v>1787</v>
      </c>
      <c r="E313" s="19" t="s">
        <v>2</v>
      </c>
      <c r="F313" s="19" t="s">
        <v>1417</v>
      </c>
      <c r="G313" s="19" t="s">
        <v>1418</v>
      </c>
      <c r="H313" s="19" t="s">
        <v>8</v>
      </c>
      <c r="I313" s="19" t="s">
        <v>879</v>
      </c>
      <c r="J313" s="19" t="s">
        <v>866</v>
      </c>
      <c r="K313" s="19" t="s">
        <v>409</v>
      </c>
      <c r="L313" s="19">
        <v>2022</v>
      </c>
      <c r="M313" s="20">
        <v>1</v>
      </c>
      <c r="N313" s="19" t="s">
        <v>1798</v>
      </c>
      <c r="O313" s="20">
        <v>0</v>
      </c>
      <c r="P313" s="20">
        <v>0</v>
      </c>
      <c r="Q313" s="20">
        <v>0</v>
      </c>
      <c r="R313" s="21">
        <v>0.63</v>
      </c>
      <c r="S313" s="20">
        <v>0</v>
      </c>
    </row>
    <row r="314" spans="2:19" ht="15" customHeight="1" x14ac:dyDescent="0.25">
      <c r="B314" s="2" t="str">
        <f t="shared" si="8"/>
        <v>NSG_Residential_Home Energy Rebate_Standard Rebate_Water Heater_Storage 0.67 EF_SF</v>
      </c>
      <c r="C314" s="2" t="str">
        <f t="shared" si="9"/>
        <v>NSG_Residential_Home Energy Rebate_Standard Rebate_Water Heater_Storage 0.67 EF_SF_2023</v>
      </c>
      <c r="D314" s="19" t="s">
        <v>1787</v>
      </c>
      <c r="E314" s="19" t="s">
        <v>2</v>
      </c>
      <c r="F314" s="19" t="s">
        <v>1417</v>
      </c>
      <c r="G314" s="19" t="s">
        <v>1418</v>
      </c>
      <c r="H314" s="19" t="s">
        <v>8</v>
      </c>
      <c r="I314" s="19" t="s">
        <v>879</v>
      </c>
      <c r="J314" s="19" t="s">
        <v>866</v>
      </c>
      <c r="K314" s="19" t="s">
        <v>409</v>
      </c>
      <c r="L314" s="19">
        <v>2023</v>
      </c>
      <c r="M314" s="20">
        <v>1</v>
      </c>
      <c r="N314" s="19" t="s">
        <v>1798</v>
      </c>
      <c r="O314" s="20">
        <v>0</v>
      </c>
      <c r="P314" s="20">
        <v>0</v>
      </c>
      <c r="Q314" s="20">
        <v>0</v>
      </c>
      <c r="R314" s="21">
        <v>0.63</v>
      </c>
      <c r="S314" s="20">
        <v>0</v>
      </c>
    </row>
    <row r="315" spans="2:19" ht="15" customHeight="1" x14ac:dyDescent="0.25">
      <c r="B315" s="2" t="str">
        <f t="shared" si="8"/>
        <v>NSG_Residential_Home Energy Rebate_Standard Rebate_Water Heater_Storage 0.67 EF_SF</v>
      </c>
      <c r="C315" s="2" t="str">
        <f t="shared" si="9"/>
        <v>NSG_Residential_Home Energy Rebate_Standard Rebate_Water Heater_Storage 0.67 EF_SF_2024</v>
      </c>
      <c r="D315" s="19" t="s">
        <v>1787</v>
      </c>
      <c r="E315" s="19" t="s">
        <v>2</v>
      </c>
      <c r="F315" s="19" t="s">
        <v>1417</v>
      </c>
      <c r="G315" s="19" t="s">
        <v>1418</v>
      </c>
      <c r="H315" s="19" t="s">
        <v>8</v>
      </c>
      <c r="I315" s="19" t="s">
        <v>879</v>
      </c>
      <c r="J315" s="19" t="s">
        <v>866</v>
      </c>
      <c r="K315" s="19" t="s">
        <v>409</v>
      </c>
      <c r="L315" s="19">
        <v>2024</v>
      </c>
      <c r="M315" s="20">
        <v>1</v>
      </c>
      <c r="N315" s="19" t="s">
        <v>1798</v>
      </c>
      <c r="O315" s="20">
        <v>0</v>
      </c>
      <c r="P315" s="20">
        <v>0</v>
      </c>
      <c r="Q315" s="20">
        <v>0</v>
      </c>
      <c r="R315" s="21">
        <v>0.63</v>
      </c>
      <c r="S315" s="20">
        <v>0</v>
      </c>
    </row>
    <row r="316" spans="2:19" ht="15" customHeight="1" x14ac:dyDescent="0.25">
      <c r="B316" s="2" t="str">
        <f t="shared" si="8"/>
        <v>NSG_Residential_Home Energy Rebate_Standard Rebate_Water Heater_Storage 0.67 EF_SF</v>
      </c>
      <c r="C316" s="2" t="str">
        <f t="shared" si="9"/>
        <v>NSG_Residential_Home Energy Rebate_Standard Rebate_Water Heater_Storage 0.67 EF_SF_2025</v>
      </c>
      <c r="D316" s="19" t="s">
        <v>1787</v>
      </c>
      <c r="E316" s="19" t="s">
        <v>2</v>
      </c>
      <c r="F316" s="19" t="s">
        <v>1417</v>
      </c>
      <c r="G316" s="19" t="s">
        <v>1418</v>
      </c>
      <c r="H316" s="19" t="s">
        <v>8</v>
      </c>
      <c r="I316" s="19" t="s">
        <v>879</v>
      </c>
      <c r="J316" s="19" t="s">
        <v>866</v>
      </c>
      <c r="K316" s="19" t="s">
        <v>409</v>
      </c>
      <c r="L316" s="19">
        <v>2025</v>
      </c>
      <c r="M316" s="20">
        <v>1</v>
      </c>
      <c r="N316" s="19" t="s">
        <v>1798</v>
      </c>
      <c r="O316" s="20">
        <v>0</v>
      </c>
      <c r="P316" s="20">
        <v>0</v>
      </c>
      <c r="Q316" s="20">
        <v>0</v>
      </c>
      <c r="R316" s="21">
        <v>0.63</v>
      </c>
      <c r="S316" s="20">
        <v>0</v>
      </c>
    </row>
    <row r="317" spans="2:19" ht="15" customHeight="1" x14ac:dyDescent="0.25">
      <c r="B317" s="2" t="str">
        <f t="shared" si="8"/>
        <v>NSG_Residential_Home Energy Rebate_Standard Rebate_Thermostat - Reprogram_Furnace (P)_SF</v>
      </c>
      <c r="C317" s="2" t="str">
        <f t="shared" si="9"/>
        <v>NSG_Residential_Home Energy Rebate_Standard Rebate_Thermostat - Reprogram_Furnace (P)_SF_2022</v>
      </c>
      <c r="D317" s="19" t="s">
        <v>1787</v>
      </c>
      <c r="E317" s="19" t="s">
        <v>2</v>
      </c>
      <c r="F317" s="19" t="s">
        <v>1417</v>
      </c>
      <c r="G317" s="19" t="s">
        <v>1418</v>
      </c>
      <c r="H317" s="19" t="s">
        <v>1055</v>
      </c>
      <c r="I317" s="19" t="s">
        <v>1042</v>
      </c>
      <c r="J317" s="19" t="s">
        <v>24</v>
      </c>
      <c r="K317" s="19" t="s">
        <v>409</v>
      </c>
      <c r="L317" s="19">
        <v>2022</v>
      </c>
      <c r="M317" s="20">
        <v>1</v>
      </c>
      <c r="N317" s="19" t="s">
        <v>1798</v>
      </c>
      <c r="O317" s="20">
        <v>0</v>
      </c>
      <c r="P317" s="20">
        <v>0</v>
      </c>
      <c r="Q317" s="20">
        <v>0</v>
      </c>
      <c r="R317" s="21">
        <v>0.63</v>
      </c>
      <c r="S317" s="20">
        <v>0</v>
      </c>
    </row>
    <row r="318" spans="2:19" ht="15" customHeight="1" x14ac:dyDescent="0.25">
      <c r="B318" s="2" t="str">
        <f t="shared" si="8"/>
        <v>NSG_Residential_Home Energy Rebate_Standard Rebate_Thermostat - Reprogram_Furnace (P)_SF</v>
      </c>
      <c r="C318" s="2" t="str">
        <f t="shared" si="9"/>
        <v>NSG_Residential_Home Energy Rebate_Standard Rebate_Thermostat - Reprogram_Furnace (P)_SF_2023</v>
      </c>
      <c r="D318" s="19" t="s">
        <v>1787</v>
      </c>
      <c r="E318" s="19" t="s">
        <v>2</v>
      </c>
      <c r="F318" s="19" t="s">
        <v>1417</v>
      </c>
      <c r="G318" s="19" t="s">
        <v>1418</v>
      </c>
      <c r="H318" s="19" t="s">
        <v>1055</v>
      </c>
      <c r="I318" s="19" t="s">
        <v>1042</v>
      </c>
      <c r="J318" s="19" t="s">
        <v>24</v>
      </c>
      <c r="K318" s="19" t="s">
        <v>409</v>
      </c>
      <c r="L318" s="19">
        <v>2023</v>
      </c>
      <c r="M318" s="20">
        <v>1</v>
      </c>
      <c r="N318" s="19" t="s">
        <v>1798</v>
      </c>
      <c r="O318" s="20">
        <v>0</v>
      </c>
      <c r="P318" s="20">
        <v>0</v>
      </c>
      <c r="Q318" s="20">
        <v>0</v>
      </c>
      <c r="R318" s="21">
        <v>0.63</v>
      </c>
      <c r="S318" s="20">
        <v>0</v>
      </c>
    </row>
    <row r="319" spans="2:19" ht="15" customHeight="1" x14ac:dyDescent="0.25">
      <c r="B319" s="2" t="str">
        <f t="shared" si="8"/>
        <v>NSG_Residential_Home Energy Rebate_Standard Rebate_Thermostat - Reprogram_Furnace (P)_SF</v>
      </c>
      <c r="C319" s="2" t="str">
        <f t="shared" si="9"/>
        <v>NSG_Residential_Home Energy Rebate_Standard Rebate_Thermostat - Reprogram_Furnace (P)_SF_2024</v>
      </c>
      <c r="D319" s="19" t="s">
        <v>1787</v>
      </c>
      <c r="E319" s="19" t="s">
        <v>2</v>
      </c>
      <c r="F319" s="19" t="s">
        <v>1417</v>
      </c>
      <c r="G319" s="19" t="s">
        <v>1418</v>
      </c>
      <c r="H319" s="19" t="s">
        <v>1055</v>
      </c>
      <c r="I319" s="19" t="s">
        <v>1042</v>
      </c>
      <c r="J319" s="19" t="s">
        <v>24</v>
      </c>
      <c r="K319" s="19" t="s">
        <v>409</v>
      </c>
      <c r="L319" s="19">
        <v>2024</v>
      </c>
      <c r="M319" s="20">
        <v>1</v>
      </c>
      <c r="N319" s="19" t="s">
        <v>1798</v>
      </c>
      <c r="O319" s="20">
        <v>0</v>
      </c>
      <c r="P319" s="20">
        <v>0</v>
      </c>
      <c r="Q319" s="20">
        <v>0</v>
      </c>
      <c r="R319" s="21">
        <v>0.63</v>
      </c>
      <c r="S319" s="20">
        <v>0</v>
      </c>
    </row>
    <row r="320" spans="2:19" ht="15" customHeight="1" x14ac:dyDescent="0.25">
      <c r="B320" s="2" t="str">
        <f t="shared" si="8"/>
        <v>NSG_Residential_Home Energy Rebate_Standard Rebate_Thermostat - Reprogram_Furnace (P)_SF</v>
      </c>
      <c r="C320" s="2" t="str">
        <f t="shared" si="9"/>
        <v>NSG_Residential_Home Energy Rebate_Standard Rebate_Thermostat - Reprogram_Furnace (P)_SF_2025</v>
      </c>
      <c r="D320" s="19" t="s">
        <v>1787</v>
      </c>
      <c r="E320" s="19" t="s">
        <v>2</v>
      </c>
      <c r="F320" s="19" t="s">
        <v>1417</v>
      </c>
      <c r="G320" s="19" t="s">
        <v>1418</v>
      </c>
      <c r="H320" s="19" t="s">
        <v>1055</v>
      </c>
      <c r="I320" s="19" t="s">
        <v>1042</v>
      </c>
      <c r="J320" s="19" t="s">
        <v>24</v>
      </c>
      <c r="K320" s="19" t="s">
        <v>409</v>
      </c>
      <c r="L320" s="19">
        <v>2025</v>
      </c>
      <c r="M320" s="20">
        <v>1</v>
      </c>
      <c r="N320" s="19" t="s">
        <v>1798</v>
      </c>
      <c r="O320" s="20">
        <v>0</v>
      </c>
      <c r="P320" s="20">
        <v>0</v>
      </c>
      <c r="Q320" s="20">
        <v>0</v>
      </c>
      <c r="R320" s="21">
        <v>0.63</v>
      </c>
      <c r="S320" s="20">
        <v>0</v>
      </c>
    </row>
    <row r="321" spans="2:19" ht="15" customHeight="1" x14ac:dyDescent="0.25">
      <c r="B321" s="2" t="str">
        <f t="shared" si="8"/>
        <v>NSG_Residential_Home Energy Rebate_Standard Rebate_Thermostat - Reprogram_Boiler (P)_SF</v>
      </c>
      <c r="C321" s="2" t="str">
        <f t="shared" si="9"/>
        <v>NSG_Residential_Home Energy Rebate_Standard Rebate_Thermostat - Reprogram_Boiler (P)_SF_2022</v>
      </c>
      <c r="D321" s="19" t="s">
        <v>1787</v>
      </c>
      <c r="E321" s="19" t="s">
        <v>2</v>
      </c>
      <c r="F321" s="19" t="s">
        <v>1417</v>
      </c>
      <c r="G321" s="19" t="s">
        <v>1418</v>
      </c>
      <c r="H321" s="19" t="s">
        <v>1055</v>
      </c>
      <c r="I321" s="19" t="s">
        <v>1046</v>
      </c>
      <c r="J321" s="19" t="s">
        <v>24</v>
      </c>
      <c r="K321" s="19" t="s">
        <v>409</v>
      </c>
      <c r="L321" s="19">
        <v>2022</v>
      </c>
      <c r="M321" s="20">
        <v>1</v>
      </c>
      <c r="N321" s="19" t="s">
        <v>1798</v>
      </c>
      <c r="O321" s="20">
        <v>0</v>
      </c>
      <c r="P321" s="20">
        <v>0</v>
      </c>
      <c r="Q321" s="20">
        <v>0</v>
      </c>
      <c r="R321" s="21">
        <v>0.63</v>
      </c>
      <c r="S321" s="20">
        <v>0</v>
      </c>
    </row>
    <row r="322" spans="2:19" ht="15" customHeight="1" x14ac:dyDescent="0.25">
      <c r="B322" s="2" t="str">
        <f t="shared" si="8"/>
        <v>NSG_Residential_Home Energy Rebate_Standard Rebate_Thermostat - Reprogram_Boiler (P)_SF</v>
      </c>
      <c r="C322" s="2" t="str">
        <f t="shared" si="9"/>
        <v>NSG_Residential_Home Energy Rebate_Standard Rebate_Thermostat - Reprogram_Boiler (P)_SF_2023</v>
      </c>
      <c r="D322" s="19" t="s">
        <v>1787</v>
      </c>
      <c r="E322" s="19" t="s">
        <v>2</v>
      </c>
      <c r="F322" s="19" t="s">
        <v>1417</v>
      </c>
      <c r="G322" s="19" t="s">
        <v>1418</v>
      </c>
      <c r="H322" s="19" t="s">
        <v>1055</v>
      </c>
      <c r="I322" s="19" t="s">
        <v>1046</v>
      </c>
      <c r="J322" s="19" t="s">
        <v>24</v>
      </c>
      <c r="K322" s="19" t="s">
        <v>409</v>
      </c>
      <c r="L322" s="19">
        <v>2023</v>
      </c>
      <c r="M322" s="20">
        <v>1</v>
      </c>
      <c r="N322" s="19" t="s">
        <v>1798</v>
      </c>
      <c r="O322" s="20">
        <v>0</v>
      </c>
      <c r="P322" s="20">
        <v>0</v>
      </c>
      <c r="Q322" s="20">
        <v>0</v>
      </c>
      <c r="R322" s="21">
        <v>0.63</v>
      </c>
      <c r="S322" s="20">
        <v>0</v>
      </c>
    </row>
    <row r="323" spans="2:19" ht="15" customHeight="1" x14ac:dyDescent="0.25">
      <c r="B323" s="2" t="str">
        <f t="shared" si="8"/>
        <v>NSG_Residential_Home Energy Rebate_Standard Rebate_Thermostat - Reprogram_Boiler (P)_SF</v>
      </c>
      <c r="C323" s="2" t="str">
        <f t="shared" si="9"/>
        <v>NSG_Residential_Home Energy Rebate_Standard Rebate_Thermostat - Reprogram_Boiler (P)_SF_2024</v>
      </c>
      <c r="D323" s="19" t="s">
        <v>1787</v>
      </c>
      <c r="E323" s="19" t="s">
        <v>2</v>
      </c>
      <c r="F323" s="19" t="s">
        <v>1417</v>
      </c>
      <c r="G323" s="19" t="s">
        <v>1418</v>
      </c>
      <c r="H323" s="19" t="s">
        <v>1055</v>
      </c>
      <c r="I323" s="19" t="s">
        <v>1046</v>
      </c>
      <c r="J323" s="19" t="s">
        <v>24</v>
      </c>
      <c r="K323" s="19" t="s">
        <v>409</v>
      </c>
      <c r="L323" s="19">
        <v>2024</v>
      </c>
      <c r="M323" s="20">
        <v>1</v>
      </c>
      <c r="N323" s="19" t="s">
        <v>1798</v>
      </c>
      <c r="O323" s="20">
        <v>0</v>
      </c>
      <c r="P323" s="20">
        <v>0</v>
      </c>
      <c r="Q323" s="20">
        <v>0</v>
      </c>
      <c r="R323" s="21">
        <v>0.63</v>
      </c>
      <c r="S323" s="20">
        <v>0</v>
      </c>
    </row>
    <row r="324" spans="2:19" ht="15" customHeight="1" x14ac:dyDescent="0.25">
      <c r="B324" s="2" t="str">
        <f t="shared" si="8"/>
        <v>NSG_Residential_Home Energy Rebate_Standard Rebate_Thermostat - Reprogram_Boiler (P)_SF</v>
      </c>
      <c r="C324" s="2" t="str">
        <f t="shared" si="9"/>
        <v>NSG_Residential_Home Energy Rebate_Standard Rebate_Thermostat - Reprogram_Boiler (P)_SF_2025</v>
      </c>
      <c r="D324" s="19" t="s">
        <v>1787</v>
      </c>
      <c r="E324" s="19" t="s">
        <v>2</v>
      </c>
      <c r="F324" s="19" t="s">
        <v>1417</v>
      </c>
      <c r="G324" s="19" t="s">
        <v>1418</v>
      </c>
      <c r="H324" s="19" t="s">
        <v>1055</v>
      </c>
      <c r="I324" s="19" t="s">
        <v>1046</v>
      </c>
      <c r="J324" s="19" t="s">
        <v>24</v>
      </c>
      <c r="K324" s="19" t="s">
        <v>409</v>
      </c>
      <c r="L324" s="19">
        <v>2025</v>
      </c>
      <c r="M324" s="20">
        <v>1</v>
      </c>
      <c r="N324" s="19" t="s">
        <v>1798</v>
      </c>
      <c r="O324" s="20">
        <v>0</v>
      </c>
      <c r="P324" s="20">
        <v>0</v>
      </c>
      <c r="Q324" s="20">
        <v>0</v>
      </c>
      <c r="R324" s="21">
        <v>0.63</v>
      </c>
      <c r="S324" s="20">
        <v>0</v>
      </c>
    </row>
    <row r="325" spans="2:19" ht="15" customHeight="1" x14ac:dyDescent="0.25">
      <c r="B325" s="2" t="str">
        <f t="shared" si="8"/>
        <v>NSG_Residential_Home Energy Rebate_Standard Rebate_Programmable Thermostat_Furnace (P)_SF</v>
      </c>
      <c r="C325" s="2" t="str">
        <f t="shared" si="9"/>
        <v>NSG_Residential_Home Energy Rebate_Standard Rebate_Programmable Thermostat_Furnace (P)_SF_2022</v>
      </c>
      <c r="D325" s="19" t="s">
        <v>1787</v>
      </c>
      <c r="E325" s="19" t="s">
        <v>2</v>
      </c>
      <c r="F325" s="19" t="s">
        <v>1417</v>
      </c>
      <c r="G325" s="19" t="s">
        <v>1418</v>
      </c>
      <c r="H325" s="19" t="s">
        <v>224</v>
      </c>
      <c r="I325" s="19" t="s">
        <v>1042</v>
      </c>
      <c r="J325" s="19" t="s">
        <v>24</v>
      </c>
      <c r="K325" s="19" t="s">
        <v>409</v>
      </c>
      <c r="L325" s="19">
        <v>2022</v>
      </c>
      <c r="M325" s="20">
        <v>1</v>
      </c>
      <c r="N325" s="19" t="s">
        <v>1798</v>
      </c>
      <c r="O325" s="20">
        <v>6</v>
      </c>
      <c r="P325" s="20">
        <v>6</v>
      </c>
      <c r="Q325" s="20">
        <v>131.89780800000003</v>
      </c>
      <c r="R325" s="21">
        <v>0.63</v>
      </c>
      <c r="S325" s="20">
        <v>131.89780800000003</v>
      </c>
    </row>
    <row r="326" spans="2:19" ht="15" customHeight="1" x14ac:dyDescent="0.25">
      <c r="B326" s="2" t="str">
        <f t="shared" ref="B326:B389" si="10">D326&amp;"_"&amp;E326&amp;"_"&amp;F326&amp;"_"&amp;G326&amp;"_"&amp;H326&amp;"_"&amp;I326&amp;"_"&amp;K326</f>
        <v>NSG_Residential_Home Energy Rebate_Standard Rebate_Programmable Thermostat_Furnace (P)_SF</v>
      </c>
      <c r="C326" s="2" t="str">
        <f t="shared" ref="C326:C389" si="11">D326&amp;"_"&amp;E326&amp;"_"&amp;F326&amp;"_"&amp;G326&amp;"_"&amp;H326&amp;"_"&amp;I326&amp;"_"&amp;K326&amp;"_"&amp;L326</f>
        <v>NSG_Residential_Home Energy Rebate_Standard Rebate_Programmable Thermostat_Furnace (P)_SF_2023</v>
      </c>
      <c r="D326" s="19" t="s">
        <v>1787</v>
      </c>
      <c r="E326" s="19" t="s">
        <v>2</v>
      </c>
      <c r="F326" s="19" t="s">
        <v>1417</v>
      </c>
      <c r="G326" s="19" t="s">
        <v>1418</v>
      </c>
      <c r="H326" s="19" t="s">
        <v>224</v>
      </c>
      <c r="I326" s="19" t="s">
        <v>1042</v>
      </c>
      <c r="J326" s="19" t="s">
        <v>24</v>
      </c>
      <c r="K326" s="19" t="s">
        <v>409</v>
      </c>
      <c r="L326" s="19">
        <v>2023</v>
      </c>
      <c r="M326" s="20">
        <v>1</v>
      </c>
      <c r="N326" s="19" t="s">
        <v>1798</v>
      </c>
      <c r="O326" s="20">
        <v>6</v>
      </c>
      <c r="P326" s="20">
        <v>6</v>
      </c>
      <c r="Q326" s="20">
        <v>131.89780800000003</v>
      </c>
      <c r="R326" s="21">
        <v>0.63</v>
      </c>
      <c r="S326" s="20">
        <v>131.89780800000003</v>
      </c>
    </row>
    <row r="327" spans="2:19" ht="15" customHeight="1" x14ac:dyDescent="0.25">
      <c r="B327" s="2" t="str">
        <f t="shared" si="10"/>
        <v>NSG_Residential_Home Energy Rebate_Standard Rebate_Programmable Thermostat_Furnace (P)_SF</v>
      </c>
      <c r="C327" s="2" t="str">
        <f t="shared" si="11"/>
        <v>NSG_Residential_Home Energy Rebate_Standard Rebate_Programmable Thermostat_Furnace (P)_SF_2024</v>
      </c>
      <c r="D327" s="19" t="s">
        <v>1787</v>
      </c>
      <c r="E327" s="19" t="s">
        <v>2</v>
      </c>
      <c r="F327" s="19" t="s">
        <v>1417</v>
      </c>
      <c r="G327" s="19" t="s">
        <v>1418</v>
      </c>
      <c r="H327" s="19" t="s">
        <v>224</v>
      </c>
      <c r="I327" s="19" t="s">
        <v>1042</v>
      </c>
      <c r="J327" s="19" t="s">
        <v>24</v>
      </c>
      <c r="K327" s="19" t="s">
        <v>409</v>
      </c>
      <c r="L327" s="19">
        <v>2024</v>
      </c>
      <c r="M327" s="20">
        <v>1</v>
      </c>
      <c r="N327" s="19" t="s">
        <v>1798</v>
      </c>
      <c r="O327" s="20">
        <v>6</v>
      </c>
      <c r="P327" s="20">
        <v>6</v>
      </c>
      <c r="Q327" s="20">
        <v>131.89780800000003</v>
      </c>
      <c r="R327" s="21">
        <v>0.63</v>
      </c>
      <c r="S327" s="20">
        <v>131.89780800000003</v>
      </c>
    </row>
    <row r="328" spans="2:19" ht="15" customHeight="1" x14ac:dyDescent="0.25">
      <c r="B328" s="2" t="str">
        <f t="shared" si="10"/>
        <v>NSG_Residential_Home Energy Rebate_Standard Rebate_Programmable Thermostat_Furnace (P)_SF</v>
      </c>
      <c r="C328" s="2" t="str">
        <f t="shared" si="11"/>
        <v>NSG_Residential_Home Energy Rebate_Standard Rebate_Programmable Thermostat_Furnace (P)_SF_2025</v>
      </c>
      <c r="D328" s="19" t="s">
        <v>1787</v>
      </c>
      <c r="E328" s="19" t="s">
        <v>2</v>
      </c>
      <c r="F328" s="19" t="s">
        <v>1417</v>
      </c>
      <c r="G328" s="19" t="s">
        <v>1418</v>
      </c>
      <c r="H328" s="19" t="s">
        <v>224</v>
      </c>
      <c r="I328" s="19" t="s">
        <v>1042</v>
      </c>
      <c r="J328" s="19" t="s">
        <v>24</v>
      </c>
      <c r="K328" s="19" t="s">
        <v>409</v>
      </c>
      <c r="L328" s="19">
        <v>2025</v>
      </c>
      <c r="M328" s="20">
        <v>1</v>
      </c>
      <c r="N328" s="19" t="s">
        <v>1798</v>
      </c>
      <c r="O328" s="20">
        <v>6</v>
      </c>
      <c r="P328" s="20">
        <v>6</v>
      </c>
      <c r="Q328" s="20">
        <v>131.89780800000003</v>
      </c>
      <c r="R328" s="21">
        <v>0.63</v>
      </c>
      <c r="S328" s="20">
        <v>131.89780800000003</v>
      </c>
    </row>
    <row r="329" spans="2:19" ht="15" customHeight="1" x14ac:dyDescent="0.25">
      <c r="B329" s="2" t="str">
        <f t="shared" si="10"/>
        <v>NSG_Residential_Home Energy Rebate_Standard Rebate_Programmable Thermostat_Boiler (P)_SF</v>
      </c>
      <c r="C329" s="2" t="str">
        <f t="shared" si="11"/>
        <v>NSG_Residential_Home Energy Rebate_Standard Rebate_Programmable Thermostat_Boiler (P)_SF_2022</v>
      </c>
      <c r="D329" s="19" t="s">
        <v>1787</v>
      </c>
      <c r="E329" s="19" t="s">
        <v>2</v>
      </c>
      <c r="F329" s="19" t="s">
        <v>1417</v>
      </c>
      <c r="G329" s="19" t="s">
        <v>1418</v>
      </c>
      <c r="H329" s="19" t="s">
        <v>224</v>
      </c>
      <c r="I329" s="19" t="s">
        <v>1046</v>
      </c>
      <c r="J329" s="19" t="s">
        <v>24</v>
      </c>
      <c r="K329" s="19" t="s">
        <v>409</v>
      </c>
      <c r="L329" s="19">
        <v>2022</v>
      </c>
      <c r="M329" s="20">
        <v>1</v>
      </c>
      <c r="N329" s="19" t="s">
        <v>1798</v>
      </c>
      <c r="O329" s="20">
        <v>4</v>
      </c>
      <c r="P329" s="20">
        <v>4</v>
      </c>
      <c r="Q329" s="20">
        <v>130.10417280000001</v>
      </c>
      <c r="R329" s="21">
        <v>0.63</v>
      </c>
      <c r="S329" s="20">
        <v>130.10417280000001</v>
      </c>
    </row>
    <row r="330" spans="2:19" ht="15" customHeight="1" x14ac:dyDescent="0.25">
      <c r="B330" s="2" t="str">
        <f t="shared" si="10"/>
        <v>NSG_Residential_Home Energy Rebate_Standard Rebate_Programmable Thermostat_Boiler (P)_SF</v>
      </c>
      <c r="C330" s="2" t="str">
        <f t="shared" si="11"/>
        <v>NSG_Residential_Home Energy Rebate_Standard Rebate_Programmable Thermostat_Boiler (P)_SF_2023</v>
      </c>
      <c r="D330" s="19" t="s">
        <v>1787</v>
      </c>
      <c r="E330" s="19" t="s">
        <v>2</v>
      </c>
      <c r="F330" s="19" t="s">
        <v>1417</v>
      </c>
      <c r="G330" s="19" t="s">
        <v>1418</v>
      </c>
      <c r="H330" s="19" t="s">
        <v>224</v>
      </c>
      <c r="I330" s="19" t="s">
        <v>1046</v>
      </c>
      <c r="J330" s="19" t="s">
        <v>24</v>
      </c>
      <c r="K330" s="19" t="s">
        <v>409</v>
      </c>
      <c r="L330" s="19">
        <v>2023</v>
      </c>
      <c r="M330" s="20">
        <v>1</v>
      </c>
      <c r="N330" s="19" t="s">
        <v>1798</v>
      </c>
      <c r="O330" s="20">
        <v>4</v>
      </c>
      <c r="P330" s="20">
        <v>4</v>
      </c>
      <c r="Q330" s="20">
        <v>130.10417280000001</v>
      </c>
      <c r="R330" s="21">
        <v>0.63</v>
      </c>
      <c r="S330" s="20">
        <v>130.10417280000001</v>
      </c>
    </row>
    <row r="331" spans="2:19" ht="15" customHeight="1" x14ac:dyDescent="0.25">
      <c r="B331" s="2" t="str">
        <f t="shared" si="10"/>
        <v>NSG_Residential_Home Energy Rebate_Standard Rebate_Programmable Thermostat_Boiler (P)_SF</v>
      </c>
      <c r="C331" s="2" t="str">
        <f t="shared" si="11"/>
        <v>NSG_Residential_Home Energy Rebate_Standard Rebate_Programmable Thermostat_Boiler (P)_SF_2024</v>
      </c>
      <c r="D331" s="19" t="s">
        <v>1787</v>
      </c>
      <c r="E331" s="19" t="s">
        <v>2</v>
      </c>
      <c r="F331" s="19" t="s">
        <v>1417</v>
      </c>
      <c r="G331" s="19" t="s">
        <v>1418</v>
      </c>
      <c r="H331" s="19" t="s">
        <v>224</v>
      </c>
      <c r="I331" s="19" t="s">
        <v>1046</v>
      </c>
      <c r="J331" s="19" t="s">
        <v>24</v>
      </c>
      <c r="K331" s="19" t="s">
        <v>409</v>
      </c>
      <c r="L331" s="19">
        <v>2024</v>
      </c>
      <c r="M331" s="20">
        <v>1</v>
      </c>
      <c r="N331" s="19" t="s">
        <v>1798</v>
      </c>
      <c r="O331" s="20">
        <v>4</v>
      </c>
      <c r="P331" s="20">
        <v>4</v>
      </c>
      <c r="Q331" s="20">
        <v>130.10417280000001</v>
      </c>
      <c r="R331" s="21">
        <v>0.63</v>
      </c>
      <c r="S331" s="20">
        <v>130.10417280000001</v>
      </c>
    </row>
    <row r="332" spans="2:19" ht="15" customHeight="1" x14ac:dyDescent="0.25">
      <c r="B332" s="2" t="str">
        <f t="shared" si="10"/>
        <v>NSG_Residential_Home Energy Rebate_Standard Rebate_Programmable Thermostat_Boiler (P)_SF</v>
      </c>
      <c r="C332" s="2" t="str">
        <f t="shared" si="11"/>
        <v>NSG_Residential_Home Energy Rebate_Standard Rebate_Programmable Thermostat_Boiler (P)_SF_2025</v>
      </c>
      <c r="D332" s="19" t="s">
        <v>1787</v>
      </c>
      <c r="E332" s="19" t="s">
        <v>2</v>
      </c>
      <c r="F332" s="19" t="s">
        <v>1417</v>
      </c>
      <c r="G332" s="19" t="s">
        <v>1418</v>
      </c>
      <c r="H332" s="19" t="s">
        <v>224</v>
      </c>
      <c r="I332" s="19" t="s">
        <v>1046</v>
      </c>
      <c r="J332" s="19" t="s">
        <v>24</v>
      </c>
      <c r="K332" s="19" t="s">
        <v>409</v>
      </c>
      <c r="L332" s="19">
        <v>2025</v>
      </c>
      <c r="M332" s="20">
        <v>1</v>
      </c>
      <c r="N332" s="19" t="s">
        <v>1798</v>
      </c>
      <c r="O332" s="20">
        <v>4</v>
      </c>
      <c r="P332" s="20">
        <v>4</v>
      </c>
      <c r="Q332" s="20">
        <v>130.10417280000001</v>
      </c>
      <c r="R332" s="21">
        <v>0.63</v>
      </c>
      <c r="S332" s="20">
        <v>130.10417280000001</v>
      </c>
    </row>
    <row r="333" spans="2:19" ht="15" customHeight="1" x14ac:dyDescent="0.25">
      <c r="B333" s="2" t="str">
        <f t="shared" si="10"/>
        <v>NSG_Residential_Home Energy Rebate_Standard Rebate_Indirect Water Heater_≥88% AFUE_SF</v>
      </c>
      <c r="C333" s="2" t="str">
        <f t="shared" si="11"/>
        <v>NSG_Residential_Home Energy Rebate_Standard Rebate_Indirect Water Heater_≥88% AFUE_SF_2022</v>
      </c>
      <c r="D333" s="19" t="s">
        <v>1787</v>
      </c>
      <c r="E333" s="19" t="s">
        <v>2</v>
      </c>
      <c r="F333" s="19" t="s">
        <v>1417</v>
      </c>
      <c r="G333" s="19" t="s">
        <v>1418</v>
      </c>
      <c r="H333" s="19" t="s">
        <v>1362</v>
      </c>
      <c r="I333" s="19" t="s">
        <v>1363</v>
      </c>
      <c r="J333" s="19" t="s">
        <v>866</v>
      </c>
      <c r="K333" s="19" t="s">
        <v>409</v>
      </c>
      <c r="L333" s="19">
        <v>2022</v>
      </c>
      <c r="M333" s="20">
        <v>1</v>
      </c>
      <c r="N333" s="19" t="s">
        <v>1798</v>
      </c>
      <c r="O333" s="20">
        <v>1</v>
      </c>
      <c r="P333" s="20">
        <v>1</v>
      </c>
      <c r="Q333" s="20">
        <v>13.103554328108009</v>
      </c>
      <c r="R333" s="21">
        <v>0.63</v>
      </c>
      <c r="S333" s="20">
        <v>13.103554328108009</v>
      </c>
    </row>
    <row r="334" spans="2:19" ht="15" customHeight="1" x14ac:dyDescent="0.25">
      <c r="B334" s="2" t="str">
        <f t="shared" si="10"/>
        <v>NSG_Residential_Home Energy Rebate_Standard Rebate_Indirect Water Heater_≥88% AFUE_SF</v>
      </c>
      <c r="C334" s="2" t="str">
        <f t="shared" si="11"/>
        <v>NSG_Residential_Home Energy Rebate_Standard Rebate_Indirect Water Heater_≥88% AFUE_SF_2023</v>
      </c>
      <c r="D334" s="19" t="s">
        <v>1787</v>
      </c>
      <c r="E334" s="19" t="s">
        <v>2</v>
      </c>
      <c r="F334" s="19" t="s">
        <v>1417</v>
      </c>
      <c r="G334" s="19" t="s">
        <v>1418</v>
      </c>
      <c r="H334" s="19" t="s">
        <v>1362</v>
      </c>
      <c r="I334" s="19" t="s">
        <v>1363</v>
      </c>
      <c r="J334" s="19" t="s">
        <v>866</v>
      </c>
      <c r="K334" s="19" t="s">
        <v>409</v>
      </c>
      <c r="L334" s="19">
        <v>2023</v>
      </c>
      <c r="M334" s="20">
        <v>1</v>
      </c>
      <c r="N334" s="19" t="s">
        <v>1798</v>
      </c>
      <c r="O334" s="20">
        <v>1</v>
      </c>
      <c r="P334" s="20">
        <v>1</v>
      </c>
      <c r="Q334" s="20">
        <v>13.103554328108009</v>
      </c>
      <c r="R334" s="21">
        <v>0.63</v>
      </c>
      <c r="S334" s="20">
        <v>13.103554328108009</v>
      </c>
    </row>
    <row r="335" spans="2:19" ht="15" customHeight="1" x14ac:dyDescent="0.25">
      <c r="B335" s="2" t="str">
        <f t="shared" si="10"/>
        <v>NSG_Residential_Home Energy Rebate_Standard Rebate_Indirect Water Heater_≥88% AFUE_SF</v>
      </c>
      <c r="C335" s="2" t="str">
        <f t="shared" si="11"/>
        <v>NSG_Residential_Home Energy Rebate_Standard Rebate_Indirect Water Heater_≥88% AFUE_SF_2024</v>
      </c>
      <c r="D335" s="19" t="s">
        <v>1787</v>
      </c>
      <c r="E335" s="19" t="s">
        <v>2</v>
      </c>
      <c r="F335" s="19" t="s">
        <v>1417</v>
      </c>
      <c r="G335" s="19" t="s">
        <v>1418</v>
      </c>
      <c r="H335" s="19" t="s">
        <v>1362</v>
      </c>
      <c r="I335" s="19" t="s">
        <v>1363</v>
      </c>
      <c r="J335" s="19" t="s">
        <v>866</v>
      </c>
      <c r="K335" s="19" t="s">
        <v>409</v>
      </c>
      <c r="L335" s="19">
        <v>2024</v>
      </c>
      <c r="M335" s="20">
        <v>1</v>
      </c>
      <c r="N335" s="19" t="s">
        <v>1798</v>
      </c>
      <c r="O335" s="20">
        <v>1</v>
      </c>
      <c r="P335" s="20">
        <v>1</v>
      </c>
      <c r="Q335" s="20">
        <v>13.103554328108009</v>
      </c>
      <c r="R335" s="21">
        <v>0.63</v>
      </c>
      <c r="S335" s="20">
        <v>13.103554328108009</v>
      </c>
    </row>
    <row r="336" spans="2:19" ht="15" customHeight="1" x14ac:dyDescent="0.25">
      <c r="B336" s="2" t="str">
        <f t="shared" si="10"/>
        <v>NSG_Residential_Home Energy Rebate_Standard Rebate_Indirect Water Heater_≥88% AFUE_SF</v>
      </c>
      <c r="C336" s="2" t="str">
        <f t="shared" si="11"/>
        <v>NSG_Residential_Home Energy Rebate_Standard Rebate_Indirect Water Heater_≥88% AFUE_SF_2025</v>
      </c>
      <c r="D336" s="19" t="s">
        <v>1787</v>
      </c>
      <c r="E336" s="19" t="s">
        <v>2</v>
      </c>
      <c r="F336" s="19" t="s">
        <v>1417</v>
      </c>
      <c r="G336" s="19" t="s">
        <v>1418</v>
      </c>
      <c r="H336" s="19" t="s">
        <v>1362</v>
      </c>
      <c r="I336" s="19" t="s">
        <v>1363</v>
      </c>
      <c r="J336" s="19" t="s">
        <v>866</v>
      </c>
      <c r="K336" s="19" t="s">
        <v>409</v>
      </c>
      <c r="L336" s="19">
        <v>2025</v>
      </c>
      <c r="M336" s="20">
        <v>1</v>
      </c>
      <c r="N336" s="19" t="s">
        <v>1798</v>
      </c>
      <c r="O336" s="20">
        <v>1</v>
      </c>
      <c r="P336" s="20">
        <v>1</v>
      </c>
      <c r="Q336" s="20">
        <v>13.103554328108009</v>
      </c>
      <c r="R336" s="21">
        <v>0.63</v>
      </c>
      <c r="S336" s="20">
        <v>13.103554328108009</v>
      </c>
    </row>
    <row r="337" spans="2:19" ht="15" customHeight="1" x14ac:dyDescent="0.25">
      <c r="B337" s="2" t="str">
        <f t="shared" si="10"/>
        <v>NSG_Residential_Home Energy Rebate_Standard Rebate_Tankless Water Heater_0_SF</v>
      </c>
      <c r="C337" s="2" t="str">
        <f t="shared" si="11"/>
        <v>NSG_Residential_Home Energy Rebate_Standard Rebate_Tankless Water Heater_0_SF_2022</v>
      </c>
      <c r="D337" s="19" t="s">
        <v>1787</v>
      </c>
      <c r="E337" s="19" t="s">
        <v>2</v>
      </c>
      <c r="F337" s="19" t="s">
        <v>1417</v>
      </c>
      <c r="G337" s="19" t="s">
        <v>1418</v>
      </c>
      <c r="H337" s="19" t="s">
        <v>865</v>
      </c>
      <c r="I337" s="19">
        <v>0</v>
      </c>
      <c r="J337" s="19" t="s">
        <v>866</v>
      </c>
      <c r="K337" s="19" t="s">
        <v>409</v>
      </c>
      <c r="L337" s="19">
        <v>2022</v>
      </c>
      <c r="M337" s="20">
        <v>1</v>
      </c>
      <c r="N337" s="19" t="s">
        <v>1798</v>
      </c>
      <c r="O337" s="20">
        <v>30</v>
      </c>
      <c r="P337" s="20">
        <v>30</v>
      </c>
      <c r="Q337" s="20">
        <v>1211.0163375145657</v>
      </c>
      <c r="R337" s="21">
        <v>0.63</v>
      </c>
      <c r="S337" s="20">
        <v>1211.0163375145657</v>
      </c>
    </row>
    <row r="338" spans="2:19" ht="15" customHeight="1" x14ac:dyDescent="0.25">
      <c r="B338" s="2" t="str">
        <f t="shared" si="10"/>
        <v>NSG_Residential_Home Energy Rebate_Standard Rebate_Tankless Water Heater_0_SF</v>
      </c>
      <c r="C338" s="2" t="str">
        <f t="shared" si="11"/>
        <v>NSG_Residential_Home Energy Rebate_Standard Rebate_Tankless Water Heater_0_SF_2023</v>
      </c>
      <c r="D338" s="19" t="s">
        <v>1787</v>
      </c>
      <c r="E338" s="19" t="s">
        <v>2</v>
      </c>
      <c r="F338" s="19" t="s">
        <v>1417</v>
      </c>
      <c r="G338" s="19" t="s">
        <v>1418</v>
      </c>
      <c r="H338" s="19" t="s">
        <v>865</v>
      </c>
      <c r="I338" s="19">
        <v>0</v>
      </c>
      <c r="J338" s="19" t="s">
        <v>866</v>
      </c>
      <c r="K338" s="19" t="s">
        <v>409</v>
      </c>
      <c r="L338" s="19">
        <v>2023</v>
      </c>
      <c r="M338" s="20">
        <v>1</v>
      </c>
      <c r="N338" s="19" t="s">
        <v>1798</v>
      </c>
      <c r="O338" s="20">
        <v>20</v>
      </c>
      <c r="P338" s="20">
        <v>20</v>
      </c>
      <c r="Q338" s="20">
        <v>807.3442250097105</v>
      </c>
      <c r="R338" s="21">
        <v>0.63</v>
      </c>
      <c r="S338" s="20">
        <v>807.3442250097105</v>
      </c>
    </row>
    <row r="339" spans="2:19" ht="15" customHeight="1" x14ac:dyDescent="0.25">
      <c r="B339" s="2" t="str">
        <f t="shared" si="10"/>
        <v>NSG_Residential_Home Energy Rebate_Standard Rebate_Tankless Water Heater_0_SF</v>
      </c>
      <c r="C339" s="2" t="str">
        <f t="shared" si="11"/>
        <v>NSG_Residential_Home Energy Rebate_Standard Rebate_Tankless Water Heater_0_SF_2024</v>
      </c>
      <c r="D339" s="19" t="s">
        <v>1787</v>
      </c>
      <c r="E339" s="19" t="s">
        <v>2</v>
      </c>
      <c r="F339" s="19" t="s">
        <v>1417</v>
      </c>
      <c r="G339" s="19" t="s">
        <v>1418</v>
      </c>
      <c r="H339" s="19" t="s">
        <v>865</v>
      </c>
      <c r="I339" s="19">
        <v>0</v>
      </c>
      <c r="J339" s="19" t="s">
        <v>866</v>
      </c>
      <c r="K339" s="19" t="s">
        <v>409</v>
      </c>
      <c r="L339" s="19">
        <v>2024</v>
      </c>
      <c r="M339" s="20">
        <v>1</v>
      </c>
      <c r="N339" s="19" t="s">
        <v>1798</v>
      </c>
      <c r="O339" s="20">
        <v>10</v>
      </c>
      <c r="P339" s="20">
        <v>10</v>
      </c>
      <c r="Q339" s="20">
        <v>403.67211250485525</v>
      </c>
      <c r="R339" s="21">
        <v>0.63</v>
      </c>
      <c r="S339" s="20">
        <v>403.67211250485525</v>
      </c>
    </row>
    <row r="340" spans="2:19" ht="15" customHeight="1" x14ac:dyDescent="0.25">
      <c r="B340" s="2" t="str">
        <f t="shared" si="10"/>
        <v>NSG_Residential_Home Energy Rebate_Standard Rebate_Tankless Water Heater_0_SF</v>
      </c>
      <c r="C340" s="2" t="str">
        <f t="shared" si="11"/>
        <v>NSG_Residential_Home Energy Rebate_Standard Rebate_Tankless Water Heater_0_SF_2025</v>
      </c>
      <c r="D340" s="19" t="s">
        <v>1787</v>
      </c>
      <c r="E340" s="19" t="s">
        <v>2</v>
      </c>
      <c r="F340" s="19" t="s">
        <v>1417</v>
      </c>
      <c r="G340" s="19" t="s">
        <v>1418</v>
      </c>
      <c r="H340" s="19" t="s">
        <v>865</v>
      </c>
      <c r="I340" s="19">
        <v>0</v>
      </c>
      <c r="J340" s="19" t="s">
        <v>866</v>
      </c>
      <c r="K340" s="19" t="s">
        <v>409</v>
      </c>
      <c r="L340" s="19">
        <v>2025</v>
      </c>
      <c r="M340" s="20">
        <v>1</v>
      </c>
      <c r="N340" s="19" t="s">
        <v>1798</v>
      </c>
      <c r="O340" s="20">
        <v>5</v>
      </c>
      <c r="P340" s="20">
        <v>5</v>
      </c>
      <c r="Q340" s="20">
        <v>201.83605625242762</v>
      </c>
      <c r="R340" s="21">
        <v>0.63</v>
      </c>
      <c r="S340" s="20">
        <v>201.83605625242762</v>
      </c>
    </row>
    <row r="341" spans="2:19" ht="15" customHeight="1" x14ac:dyDescent="0.25">
      <c r="B341" s="2" t="str">
        <f t="shared" si="10"/>
        <v>PGL_Residential_Outreach and Education_Elementary Energy Education_Energy Education Kits_0_SF</v>
      </c>
      <c r="C341" s="2" t="str">
        <f t="shared" si="11"/>
        <v>PGL_Residential_Outreach and Education_Elementary Energy Education_Energy Education Kits_0_SF_2022</v>
      </c>
      <c r="D341" s="19" t="s">
        <v>1794</v>
      </c>
      <c r="E341" s="19" t="s">
        <v>2</v>
      </c>
      <c r="F341" s="19" t="s">
        <v>1419</v>
      </c>
      <c r="G341" s="19" t="s">
        <v>1420</v>
      </c>
      <c r="H341" s="19" t="s">
        <v>1421</v>
      </c>
      <c r="I341" s="19">
        <v>0</v>
      </c>
      <c r="J341" s="19" t="s">
        <v>1469</v>
      </c>
      <c r="K341" s="19" t="s">
        <v>409</v>
      </c>
      <c r="L341" s="19">
        <v>2022</v>
      </c>
      <c r="M341" s="20">
        <v>1</v>
      </c>
      <c r="N341" s="19" t="s">
        <v>505</v>
      </c>
      <c r="O341" s="20">
        <v>800</v>
      </c>
      <c r="P341" s="20">
        <v>800</v>
      </c>
      <c r="Q341" s="20">
        <v>13254.061592097616</v>
      </c>
      <c r="R341" s="21">
        <v>1</v>
      </c>
      <c r="S341" s="20">
        <v>13254.061592097616</v>
      </c>
    </row>
    <row r="342" spans="2:19" ht="15" customHeight="1" x14ac:dyDescent="0.25">
      <c r="B342" s="2" t="str">
        <f t="shared" si="10"/>
        <v>PGL_Residential_Outreach and Education_Elementary Energy Education_Energy Education Kits_0_SF</v>
      </c>
      <c r="C342" s="2" t="str">
        <f t="shared" si="11"/>
        <v>PGL_Residential_Outreach and Education_Elementary Energy Education_Energy Education Kits_0_SF_2023</v>
      </c>
      <c r="D342" s="19" t="s">
        <v>1794</v>
      </c>
      <c r="E342" s="19" t="s">
        <v>2</v>
      </c>
      <c r="F342" s="19" t="s">
        <v>1419</v>
      </c>
      <c r="G342" s="19" t="s">
        <v>1420</v>
      </c>
      <c r="H342" s="19" t="s">
        <v>1421</v>
      </c>
      <c r="I342" s="19">
        <v>0</v>
      </c>
      <c r="J342" s="19" t="s">
        <v>1469</v>
      </c>
      <c r="K342" s="19" t="s">
        <v>409</v>
      </c>
      <c r="L342" s="19">
        <v>2023</v>
      </c>
      <c r="M342" s="20">
        <v>1</v>
      </c>
      <c r="N342" s="19" t="s">
        <v>505</v>
      </c>
      <c r="O342" s="20">
        <v>800</v>
      </c>
      <c r="P342" s="20">
        <v>800</v>
      </c>
      <c r="Q342" s="20">
        <v>13254.061592097616</v>
      </c>
      <c r="R342" s="21">
        <v>1</v>
      </c>
      <c r="S342" s="20">
        <v>13254.061592097616</v>
      </c>
    </row>
    <row r="343" spans="2:19" ht="15" customHeight="1" x14ac:dyDescent="0.25">
      <c r="B343" s="2" t="str">
        <f t="shared" si="10"/>
        <v>PGL_Residential_Outreach and Education_Elementary Energy Education_Energy Education Kits_0_SF</v>
      </c>
      <c r="C343" s="2" t="str">
        <f t="shared" si="11"/>
        <v>PGL_Residential_Outreach and Education_Elementary Energy Education_Energy Education Kits_0_SF_2024</v>
      </c>
      <c r="D343" s="19" t="s">
        <v>1794</v>
      </c>
      <c r="E343" s="19" t="s">
        <v>2</v>
      </c>
      <c r="F343" s="19" t="s">
        <v>1419</v>
      </c>
      <c r="G343" s="19" t="s">
        <v>1420</v>
      </c>
      <c r="H343" s="19" t="s">
        <v>1421</v>
      </c>
      <c r="I343" s="19">
        <v>0</v>
      </c>
      <c r="J343" s="19" t="s">
        <v>1469</v>
      </c>
      <c r="K343" s="19" t="s">
        <v>409</v>
      </c>
      <c r="L343" s="19">
        <v>2024</v>
      </c>
      <c r="M343" s="20">
        <v>1</v>
      </c>
      <c r="N343" s="19" t="s">
        <v>505</v>
      </c>
      <c r="O343" s="20">
        <v>800</v>
      </c>
      <c r="P343" s="20">
        <v>800</v>
      </c>
      <c r="Q343" s="20">
        <v>13254.061592097616</v>
      </c>
      <c r="R343" s="21">
        <v>1</v>
      </c>
      <c r="S343" s="20">
        <v>13254.061592097616</v>
      </c>
    </row>
    <row r="344" spans="2:19" ht="15" customHeight="1" x14ac:dyDescent="0.25">
      <c r="B344" s="2" t="str">
        <f t="shared" si="10"/>
        <v>PGL_Residential_Outreach and Education_Elementary Energy Education_Energy Education Kits_0_SF</v>
      </c>
      <c r="C344" s="2" t="str">
        <f t="shared" si="11"/>
        <v>PGL_Residential_Outreach and Education_Elementary Energy Education_Energy Education Kits_0_SF_2025</v>
      </c>
      <c r="D344" s="19" t="s">
        <v>1794</v>
      </c>
      <c r="E344" s="19" t="s">
        <v>2</v>
      </c>
      <c r="F344" s="19" t="s">
        <v>1419</v>
      </c>
      <c r="G344" s="19" t="s">
        <v>1420</v>
      </c>
      <c r="H344" s="19" t="s">
        <v>1421</v>
      </c>
      <c r="I344" s="19">
        <v>0</v>
      </c>
      <c r="J344" s="19" t="s">
        <v>1469</v>
      </c>
      <c r="K344" s="19" t="s">
        <v>409</v>
      </c>
      <c r="L344" s="19">
        <v>2025</v>
      </c>
      <c r="M344" s="20">
        <v>1</v>
      </c>
      <c r="N344" s="19" t="s">
        <v>505</v>
      </c>
      <c r="O344" s="20">
        <v>800</v>
      </c>
      <c r="P344" s="20">
        <v>800</v>
      </c>
      <c r="Q344" s="20">
        <v>13254.061592097616</v>
      </c>
      <c r="R344" s="21">
        <v>1</v>
      </c>
      <c r="S344" s="20">
        <v>13254.061592097616</v>
      </c>
    </row>
    <row r="345" spans="2:19" ht="15" customHeight="1" x14ac:dyDescent="0.25">
      <c r="B345" s="2" t="str">
        <f t="shared" si="10"/>
        <v>NSG_Residential_Outreach and Education_Elementary Energy Education_Energy Education Kits_0_SF</v>
      </c>
      <c r="C345" s="2" t="str">
        <f t="shared" si="11"/>
        <v>NSG_Residential_Outreach and Education_Elementary Energy Education_Energy Education Kits_0_SF_2022</v>
      </c>
      <c r="D345" s="19" t="s">
        <v>1787</v>
      </c>
      <c r="E345" s="19" t="s">
        <v>2</v>
      </c>
      <c r="F345" s="19" t="s">
        <v>1419</v>
      </c>
      <c r="G345" s="19" t="s">
        <v>1420</v>
      </c>
      <c r="H345" s="19" t="s">
        <v>1421</v>
      </c>
      <c r="I345" s="19">
        <v>0</v>
      </c>
      <c r="J345" s="19" t="s">
        <v>1469</v>
      </c>
      <c r="K345" s="19" t="s">
        <v>409</v>
      </c>
      <c r="L345" s="19">
        <v>2022</v>
      </c>
      <c r="M345" s="20">
        <v>1</v>
      </c>
      <c r="N345" s="19" t="s">
        <v>505</v>
      </c>
      <c r="O345" s="20">
        <v>1240</v>
      </c>
      <c r="P345" s="20">
        <v>1240</v>
      </c>
      <c r="Q345" s="20">
        <v>22394.47265625</v>
      </c>
      <c r="R345" s="21">
        <v>1</v>
      </c>
      <c r="S345" s="20">
        <v>22394.47265625</v>
      </c>
    </row>
    <row r="346" spans="2:19" ht="15" customHeight="1" x14ac:dyDescent="0.25">
      <c r="B346" s="2" t="str">
        <f t="shared" si="10"/>
        <v>NSG_Residential_Outreach and Education_Elementary Energy Education_Energy Education Kits_0_SF</v>
      </c>
      <c r="C346" s="2" t="str">
        <f t="shared" si="11"/>
        <v>NSG_Residential_Outreach and Education_Elementary Energy Education_Energy Education Kits_0_SF_2023</v>
      </c>
      <c r="D346" s="19" t="s">
        <v>1787</v>
      </c>
      <c r="E346" s="19" t="s">
        <v>2</v>
      </c>
      <c r="F346" s="19" t="s">
        <v>1419</v>
      </c>
      <c r="G346" s="19" t="s">
        <v>1420</v>
      </c>
      <c r="H346" s="19" t="s">
        <v>1421</v>
      </c>
      <c r="I346" s="19">
        <v>0</v>
      </c>
      <c r="J346" s="19" t="s">
        <v>1469</v>
      </c>
      <c r="K346" s="19" t="s">
        <v>409</v>
      </c>
      <c r="L346" s="19">
        <v>2023</v>
      </c>
      <c r="M346" s="20">
        <v>1</v>
      </c>
      <c r="N346" s="19" t="s">
        <v>505</v>
      </c>
      <c r="O346" s="20">
        <v>1240</v>
      </c>
      <c r="P346" s="20">
        <v>1240</v>
      </c>
      <c r="Q346" s="20">
        <v>22394.47265625</v>
      </c>
      <c r="R346" s="21">
        <v>1</v>
      </c>
      <c r="S346" s="20">
        <v>22394.47265625</v>
      </c>
    </row>
    <row r="347" spans="2:19" ht="15" customHeight="1" x14ac:dyDescent="0.25">
      <c r="B347" s="2" t="str">
        <f t="shared" si="10"/>
        <v>NSG_Residential_Outreach and Education_Elementary Energy Education_Energy Education Kits_0_SF</v>
      </c>
      <c r="C347" s="2" t="str">
        <f t="shared" si="11"/>
        <v>NSG_Residential_Outreach and Education_Elementary Energy Education_Energy Education Kits_0_SF_2024</v>
      </c>
      <c r="D347" s="19" t="s">
        <v>1787</v>
      </c>
      <c r="E347" s="19" t="s">
        <v>2</v>
      </c>
      <c r="F347" s="19" t="s">
        <v>1419</v>
      </c>
      <c r="G347" s="19" t="s">
        <v>1420</v>
      </c>
      <c r="H347" s="19" t="s">
        <v>1421</v>
      </c>
      <c r="I347" s="19">
        <v>0</v>
      </c>
      <c r="J347" s="19" t="s">
        <v>1469</v>
      </c>
      <c r="K347" s="19" t="s">
        <v>409</v>
      </c>
      <c r="L347" s="19">
        <v>2024</v>
      </c>
      <c r="M347" s="20">
        <v>1</v>
      </c>
      <c r="N347" s="19" t="s">
        <v>505</v>
      </c>
      <c r="O347" s="20">
        <v>1240</v>
      </c>
      <c r="P347" s="20">
        <v>1240</v>
      </c>
      <c r="Q347" s="20">
        <v>22394.47265625</v>
      </c>
      <c r="R347" s="21">
        <v>1</v>
      </c>
      <c r="S347" s="20">
        <v>22394.47265625</v>
      </c>
    </row>
    <row r="348" spans="2:19" ht="15" customHeight="1" x14ac:dyDescent="0.25">
      <c r="B348" s="2" t="str">
        <f t="shared" si="10"/>
        <v>NSG_Residential_Outreach and Education_Elementary Energy Education_Energy Education Kits_0_SF</v>
      </c>
      <c r="C348" s="2" t="str">
        <f t="shared" si="11"/>
        <v>NSG_Residential_Outreach and Education_Elementary Energy Education_Energy Education Kits_0_SF_2025</v>
      </c>
      <c r="D348" s="19" t="s">
        <v>1787</v>
      </c>
      <c r="E348" s="19" t="s">
        <v>2</v>
      </c>
      <c r="F348" s="19" t="s">
        <v>1419</v>
      </c>
      <c r="G348" s="19" t="s">
        <v>1420</v>
      </c>
      <c r="H348" s="19" t="s">
        <v>1421</v>
      </c>
      <c r="I348" s="19">
        <v>0</v>
      </c>
      <c r="J348" s="19" t="s">
        <v>1469</v>
      </c>
      <c r="K348" s="19" t="s">
        <v>409</v>
      </c>
      <c r="L348" s="19">
        <v>2025</v>
      </c>
      <c r="M348" s="20">
        <v>1</v>
      </c>
      <c r="N348" s="19" t="s">
        <v>505</v>
      </c>
      <c r="O348" s="20">
        <v>1240</v>
      </c>
      <c r="P348" s="20">
        <v>1240</v>
      </c>
      <c r="Q348" s="20">
        <v>22394.47265625</v>
      </c>
      <c r="R348" s="21">
        <v>1</v>
      </c>
      <c r="S348" s="20">
        <v>22394.47265625</v>
      </c>
    </row>
    <row r="349" spans="2:19" ht="15" customHeight="1" x14ac:dyDescent="0.25">
      <c r="B349" s="2" t="str">
        <f t="shared" si="10"/>
        <v>PGL_Residential_Multi-Family_Direct Install_Unit Visit_0_MF</v>
      </c>
      <c r="C349" s="2" t="str">
        <f t="shared" si="11"/>
        <v>PGL_Residential_Multi-Family_Direct Install_Unit Visit_0_MF_2022</v>
      </c>
      <c r="D349" s="19" t="s">
        <v>1794</v>
      </c>
      <c r="E349" s="19" t="s">
        <v>2</v>
      </c>
      <c r="F349" s="19" t="s">
        <v>1422</v>
      </c>
      <c r="G349" s="19" t="s">
        <v>4</v>
      </c>
      <c r="H349" s="19" t="s">
        <v>1090</v>
      </c>
      <c r="I349" s="19">
        <v>0</v>
      </c>
      <c r="J349" s="19">
        <v>0</v>
      </c>
      <c r="K349" s="19" t="s">
        <v>553</v>
      </c>
      <c r="L349" s="19">
        <v>2022</v>
      </c>
      <c r="M349" s="20">
        <v>1</v>
      </c>
      <c r="N349" s="19" t="s">
        <v>1798</v>
      </c>
      <c r="O349" s="20">
        <v>3563</v>
      </c>
      <c r="P349" s="20">
        <v>3563</v>
      </c>
      <c r="Q349" s="20">
        <v>0</v>
      </c>
      <c r="R349" s="21">
        <v>0.96</v>
      </c>
      <c r="S349" s="20">
        <v>0</v>
      </c>
    </row>
    <row r="350" spans="2:19" ht="15" customHeight="1" x14ac:dyDescent="0.25">
      <c r="B350" s="2" t="str">
        <f t="shared" si="10"/>
        <v>PGL_Residential_Multi-Family_Direct Install_Unit Visit_0_MF</v>
      </c>
      <c r="C350" s="2" t="str">
        <f t="shared" si="11"/>
        <v>PGL_Residential_Multi-Family_Direct Install_Unit Visit_0_MF_2023</v>
      </c>
      <c r="D350" s="19" t="s">
        <v>1794</v>
      </c>
      <c r="E350" s="19" t="s">
        <v>2</v>
      </c>
      <c r="F350" s="19" t="s">
        <v>1422</v>
      </c>
      <c r="G350" s="19" t="s">
        <v>4</v>
      </c>
      <c r="H350" s="19" t="s">
        <v>1090</v>
      </c>
      <c r="I350" s="19">
        <v>0</v>
      </c>
      <c r="J350" s="19">
        <v>0</v>
      </c>
      <c r="K350" s="19" t="s">
        <v>553</v>
      </c>
      <c r="L350" s="19">
        <v>2023</v>
      </c>
      <c r="M350" s="20">
        <v>1</v>
      </c>
      <c r="N350" s="19" t="s">
        <v>1798</v>
      </c>
      <c r="O350" s="20">
        <v>3188</v>
      </c>
      <c r="P350" s="20">
        <v>3188</v>
      </c>
      <c r="Q350" s="20">
        <v>0</v>
      </c>
      <c r="R350" s="21">
        <v>0.96</v>
      </c>
      <c r="S350" s="20">
        <v>0</v>
      </c>
    </row>
    <row r="351" spans="2:19" ht="15" customHeight="1" x14ac:dyDescent="0.25">
      <c r="B351" s="2" t="str">
        <f t="shared" si="10"/>
        <v>PGL_Residential_Multi-Family_Direct Install_Unit Visit_0_MF</v>
      </c>
      <c r="C351" s="2" t="str">
        <f t="shared" si="11"/>
        <v>PGL_Residential_Multi-Family_Direct Install_Unit Visit_0_MF_2024</v>
      </c>
      <c r="D351" s="19" t="s">
        <v>1794</v>
      </c>
      <c r="E351" s="19" t="s">
        <v>2</v>
      </c>
      <c r="F351" s="19" t="s">
        <v>1422</v>
      </c>
      <c r="G351" s="19" t="s">
        <v>4</v>
      </c>
      <c r="H351" s="19" t="s">
        <v>1090</v>
      </c>
      <c r="I351" s="19">
        <v>0</v>
      </c>
      <c r="J351" s="19">
        <v>0</v>
      </c>
      <c r="K351" s="19" t="s">
        <v>553</v>
      </c>
      <c r="L351" s="19">
        <v>2024</v>
      </c>
      <c r="M351" s="20">
        <v>1</v>
      </c>
      <c r="N351" s="19" t="s">
        <v>1798</v>
      </c>
      <c r="O351" s="20">
        <v>2813</v>
      </c>
      <c r="P351" s="20">
        <v>2813</v>
      </c>
      <c r="Q351" s="20">
        <v>0</v>
      </c>
      <c r="R351" s="21">
        <v>0.96</v>
      </c>
      <c r="S351" s="20">
        <v>0</v>
      </c>
    </row>
    <row r="352" spans="2:19" ht="15" customHeight="1" x14ac:dyDescent="0.25">
      <c r="B352" s="2" t="str">
        <f t="shared" si="10"/>
        <v>PGL_Residential_Multi-Family_Direct Install_Unit Visit_0_MF</v>
      </c>
      <c r="C352" s="2" t="str">
        <f t="shared" si="11"/>
        <v>PGL_Residential_Multi-Family_Direct Install_Unit Visit_0_MF_2025</v>
      </c>
      <c r="D352" s="19" t="s">
        <v>1794</v>
      </c>
      <c r="E352" s="19" t="s">
        <v>2</v>
      </c>
      <c r="F352" s="19" t="s">
        <v>1422</v>
      </c>
      <c r="G352" s="19" t="s">
        <v>4</v>
      </c>
      <c r="H352" s="19" t="s">
        <v>1090</v>
      </c>
      <c r="I352" s="19">
        <v>0</v>
      </c>
      <c r="J352" s="19">
        <v>0</v>
      </c>
      <c r="K352" s="19" t="s">
        <v>553</v>
      </c>
      <c r="L352" s="19">
        <v>2025</v>
      </c>
      <c r="M352" s="20">
        <v>1</v>
      </c>
      <c r="N352" s="19" t="s">
        <v>1798</v>
      </c>
      <c r="O352" s="20">
        <v>2063</v>
      </c>
      <c r="P352" s="20">
        <v>2063</v>
      </c>
      <c r="Q352" s="20">
        <v>0</v>
      </c>
      <c r="R352" s="21">
        <v>0.96</v>
      </c>
      <c r="S352" s="20">
        <v>0</v>
      </c>
    </row>
    <row r="353" spans="2:19" ht="15" customHeight="1" x14ac:dyDescent="0.25">
      <c r="B353" s="2" t="str">
        <f t="shared" si="10"/>
        <v>PGL_Residential_Multi-Family_Direct Install_Unit Visit_CA_MF</v>
      </c>
      <c r="C353" s="2" t="str">
        <f t="shared" si="11"/>
        <v>PGL_Residential_Multi-Family_Direct Install_Unit Visit_CA_MF_2022</v>
      </c>
      <c r="D353" s="19" t="s">
        <v>1794</v>
      </c>
      <c r="E353" s="19" t="s">
        <v>2</v>
      </c>
      <c r="F353" s="19" t="s">
        <v>1422</v>
      </c>
      <c r="G353" s="19" t="s">
        <v>4</v>
      </c>
      <c r="H353" s="19" t="s">
        <v>1090</v>
      </c>
      <c r="I353" s="19" t="s">
        <v>1423</v>
      </c>
      <c r="J353" s="19" t="s">
        <v>1469</v>
      </c>
      <c r="K353" s="19" t="s">
        <v>553</v>
      </c>
      <c r="L353" s="19">
        <v>2022</v>
      </c>
      <c r="M353" s="20">
        <v>1</v>
      </c>
      <c r="N353" s="19" t="s">
        <v>1798</v>
      </c>
      <c r="O353" s="20">
        <v>95</v>
      </c>
      <c r="P353" s="20">
        <v>95</v>
      </c>
      <c r="Q353" s="20">
        <v>0</v>
      </c>
      <c r="R353" s="21">
        <v>0.96</v>
      </c>
      <c r="S353" s="20">
        <v>0</v>
      </c>
    </row>
    <row r="354" spans="2:19" ht="15" customHeight="1" x14ac:dyDescent="0.25">
      <c r="B354" s="2" t="str">
        <f t="shared" si="10"/>
        <v>PGL_Residential_Multi-Family_Direct Install_Unit Visit_CA_MF</v>
      </c>
      <c r="C354" s="2" t="str">
        <f t="shared" si="11"/>
        <v>PGL_Residential_Multi-Family_Direct Install_Unit Visit_CA_MF_2023</v>
      </c>
      <c r="D354" s="19" t="s">
        <v>1794</v>
      </c>
      <c r="E354" s="19" t="s">
        <v>2</v>
      </c>
      <c r="F354" s="19" t="s">
        <v>1422</v>
      </c>
      <c r="G354" s="19" t="s">
        <v>4</v>
      </c>
      <c r="H354" s="19" t="s">
        <v>1090</v>
      </c>
      <c r="I354" s="19" t="s">
        <v>1423</v>
      </c>
      <c r="J354" s="19" t="s">
        <v>1469</v>
      </c>
      <c r="K354" s="19" t="s">
        <v>553</v>
      </c>
      <c r="L354" s="19">
        <v>2023</v>
      </c>
      <c r="M354" s="20">
        <v>1</v>
      </c>
      <c r="N354" s="19" t="s">
        <v>1798</v>
      </c>
      <c r="O354" s="20">
        <v>85</v>
      </c>
      <c r="P354" s="20">
        <v>85</v>
      </c>
      <c r="Q354" s="20">
        <v>0</v>
      </c>
      <c r="R354" s="21">
        <v>0.96</v>
      </c>
      <c r="S354" s="20">
        <v>0</v>
      </c>
    </row>
    <row r="355" spans="2:19" ht="15" customHeight="1" x14ac:dyDescent="0.25">
      <c r="B355" s="2" t="str">
        <f t="shared" si="10"/>
        <v>PGL_Residential_Multi-Family_Direct Install_Unit Visit_CA_MF</v>
      </c>
      <c r="C355" s="2" t="str">
        <f t="shared" si="11"/>
        <v>PGL_Residential_Multi-Family_Direct Install_Unit Visit_CA_MF_2024</v>
      </c>
      <c r="D355" s="19" t="s">
        <v>1794</v>
      </c>
      <c r="E355" s="19" t="s">
        <v>2</v>
      </c>
      <c r="F355" s="19" t="s">
        <v>1422</v>
      </c>
      <c r="G355" s="19" t="s">
        <v>4</v>
      </c>
      <c r="H355" s="19" t="s">
        <v>1090</v>
      </c>
      <c r="I355" s="19" t="s">
        <v>1423</v>
      </c>
      <c r="J355" s="19" t="s">
        <v>1469</v>
      </c>
      <c r="K355" s="19" t="s">
        <v>553</v>
      </c>
      <c r="L355" s="19">
        <v>2024</v>
      </c>
      <c r="M355" s="20">
        <v>1</v>
      </c>
      <c r="N355" s="19" t="s">
        <v>1798</v>
      </c>
      <c r="O355" s="20">
        <v>75</v>
      </c>
      <c r="P355" s="20">
        <v>75</v>
      </c>
      <c r="Q355" s="20">
        <v>0</v>
      </c>
      <c r="R355" s="21">
        <v>0.96</v>
      </c>
      <c r="S355" s="20">
        <v>0</v>
      </c>
    </row>
    <row r="356" spans="2:19" ht="15" customHeight="1" x14ac:dyDescent="0.25">
      <c r="B356" s="2" t="str">
        <f t="shared" si="10"/>
        <v>PGL_Residential_Multi-Family_Direct Install_Unit Visit_CA_MF</v>
      </c>
      <c r="C356" s="2" t="str">
        <f t="shared" si="11"/>
        <v>PGL_Residential_Multi-Family_Direct Install_Unit Visit_CA_MF_2025</v>
      </c>
      <c r="D356" s="19" t="s">
        <v>1794</v>
      </c>
      <c r="E356" s="19" t="s">
        <v>2</v>
      </c>
      <c r="F356" s="19" t="s">
        <v>1422</v>
      </c>
      <c r="G356" s="19" t="s">
        <v>4</v>
      </c>
      <c r="H356" s="19" t="s">
        <v>1090</v>
      </c>
      <c r="I356" s="19" t="s">
        <v>1423</v>
      </c>
      <c r="J356" s="19" t="s">
        <v>1469</v>
      </c>
      <c r="K356" s="19" t="s">
        <v>553</v>
      </c>
      <c r="L356" s="19">
        <v>2025</v>
      </c>
      <c r="M356" s="20">
        <v>1</v>
      </c>
      <c r="N356" s="19" t="s">
        <v>1798</v>
      </c>
      <c r="O356" s="20">
        <v>55</v>
      </c>
      <c r="P356" s="20">
        <v>55</v>
      </c>
      <c r="Q356" s="20">
        <v>0</v>
      </c>
      <c r="R356" s="21">
        <v>0.96</v>
      </c>
      <c r="S356" s="20">
        <v>0</v>
      </c>
    </row>
    <row r="357" spans="2:19" ht="15" customHeight="1" x14ac:dyDescent="0.25">
      <c r="B357" s="2" t="str">
        <f t="shared" si="10"/>
        <v>PGL_Residential_Multi-Family_Direct Install_Large Building Assessment Fee (35+ units)_0_MF</v>
      </c>
      <c r="C357" s="2" t="str">
        <f t="shared" si="11"/>
        <v>PGL_Residential_Multi-Family_Direct Install_Large Building Assessment Fee (35+ units)_0_MF_2022</v>
      </c>
      <c r="D357" s="19" t="s">
        <v>1794</v>
      </c>
      <c r="E357" s="19" t="s">
        <v>2</v>
      </c>
      <c r="F357" s="19" t="s">
        <v>1422</v>
      </c>
      <c r="G357" s="19" t="s">
        <v>4</v>
      </c>
      <c r="H357" s="19" t="s">
        <v>1424</v>
      </c>
      <c r="I357" s="19">
        <v>0</v>
      </c>
      <c r="J357" s="19" t="s">
        <v>1469</v>
      </c>
      <c r="K357" s="19" t="s">
        <v>553</v>
      </c>
      <c r="L357" s="19">
        <v>2022</v>
      </c>
      <c r="M357" s="20">
        <v>1</v>
      </c>
      <c r="N357" s="19" t="s">
        <v>1798</v>
      </c>
      <c r="O357" s="20">
        <v>190</v>
      </c>
      <c r="P357" s="20">
        <v>190</v>
      </c>
      <c r="Q357" s="20">
        <v>0</v>
      </c>
      <c r="R357" s="21">
        <v>0.96</v>
      </c>
      <c r="S357" s="20">
        <v>0</v>
      </c>
    </row>
    <row r="358" spans="2:19" ht="15" customHeight="1" x14ac:dyDescent="0.25">
      <c r="B358" s="2" t="str">
        <f t="shared" si="10"/>
        <v>PGL_Residential_Multi-Family_Direct Install_Large Building Assessment Fee (35+ units)_0_MF</v>
      </c>
      <c r="C358" s="2" t="str">
        <f t="shared" si="11"/>
        <v>PGL_Residential_Multi-Family_Direct Install_Large Building Assessment Fee (35+ units)_0_MF_2023</v>
      </c>
      <c r="D358" s="19" t="s">
        <v>1794</v>
      </c>
      <c r="E358" s="19" t="s">
        <v>2</v>
      </c>
      <c r="F358" s="19" t="s">
        <v>1422</v>
      </c>
      <c r="G358" s="19" t="s">
        <v>4</v>
      </c>
      <c r="H358" s="19" t="s">
        <v>1424</v>
      </c>
      <c r="I358" s="19">
        <v>0</v>
      </c>
      <c r="J358" s="19" t="s">
        <v>1469</v>
      </c>
      <c r="K358" s="19" t="s">
        <v>553</v>
      </c>
      <c r="L358" s="19">
        <v>2023</v>
      </c>
      <c r="M358" s="20">
        <v>1</v>
      </c>
      <c r="N358" s="19" t="s">
        <v>1798</v>
      </c>
      <c r="O358" s="20">
        <v>170</v>
      </c>
      <c r="P358" s="20">
        <v>170</v>
      </c>
      <c r="Q358" s="20">
        <v>0</v>
      </c>
      <c r="R358" s="21">
        <v>0.96</v>
      </c>
      <c r="S358" s="20">
        <v>0</v>
      </c>
    </row>
    <row r="359" spans="2:19" ht="15" customHeight="1" x14ac:dyDescent="0.25">
      <c r="B359" s="2" t="str">
        <f t="shared" si="10"/>
        <v>PGL_Residential_Multi-Family_Direct Install_Large Building Assessment Fee (35+ units)_0_MF</v>
      </c>
      <c r="C359" s="2" t="str">
        <f t="shared" si="11"/>
        <v>PGL_Residential_Multi-Family_Direct Install_Large Building Assessment Fee (35+ units)_0_MF_2024</v>
      </c>
      <c r="D359" s="19" t="s">
        <v>1794</v>
      </c>
      <c r="E359" s="19" t="s">
        <v>2</v>
      </c>
      <c r="F359" s="19" t="s">
        <v>1422</v>
      </c>
      <c r="G359" s="19" t="s">
        <v>4</v>
      </c>
      <c r="H359" s="19" t="s">
        <v>1424</v>
      </c>
      <c r="I359" s="19">
        <v>0</v>
      </c>
      <c r="J359" s="19" t="s">
        <v>1469</v>
      </c>
      <c r="K359" s="19" t="s">
        <v>553</v>
      </c>
      <c r="L359" s="19">
        <v>2024</v>
      </c>
      <c r="M359" s="20">
        <v>1</v>
      </c>
      <c r="N359" s="19" t="s">
        <v>1798</v>
      </c>
      <c r="O359" s="20">
        <v>150</v>
      </c>
      <c r="P359" s="20">
        <v>150</v>
      </c>
      <c r="Q359" s="20">
        <v>0</v>
      </c>
      <c r="R359" s="21">
        <v>0.96</v>
      </c>
      <c r="S359" s="20">
        <v>0</v>
      </c>
    </row>
    <row r="360" spans="2:19" ht="15" customHeight="1" x14ac:dyDescent="0.25">
      <c r="B360" s="2" t="str">
        <f t="shared" si="10"/>
        <v>PGL_Residential_Multi-Family_Direct Install_Large Building Assessment Fee (35+ units)_0_MF</v>
      </c>
      <c r="C360" s="2" t="str">
        <f t="shared" si="11"/>
        <v>PGL_Residential_Multi-Family_Direct Install_Large Building Assessment Fee (35+ units)_0_MF_2025</v>
      </c>
      <c r="D360" s="19" t="s">
        <v>1794</v>
      </c>
      <c r="E360" s="19" t="s">
        <v>2</v>
      </c>
      <c r="F360" s="19" t="s">
        <v>1422</v>
      </c>
      <c r="G360" s="19" t="s">
        <v>4</v>
      </c>
      <c r="H360" s="19" t="s">
        <v>1424</v>
      </c>
      <c r="I360" s="19">
        <v>0</v>
      </c>
      <c r="J360" s="19" t="s">
        <v>1469</v>
      </c>
      <c r="K360" s="19" t="s">
        <v>553</v>
      </c>
      <c r="L360" s="19">
        <v>2025</v>
      </c>
      <c r="M360" s="20">
        <v>1</v>
      </c>
      <c r="N360" s="19" t="s">
        <v>1798</v>
      </c>
      <c r="O360" s="20">
        <v>110</v>
      </c>
      <c r="P360" s="20">
        <v>110</v>
      </c>
      <c r="Q360" s="20">
        <v>0</v>
      </c>
      <c r="R360" s="21">
        <v>0.96</v>
      </c>
      <c r="S360" s="20">
        <v>0</v>
      </c>
    </row>
    <row r="361" spans="2:19" ht="15" customHeight="1" x14ac:dyDescent="0.25">
      <c r="B361" s="2" t="str">
        <f t="shared" si="10"/>
        <v>PGL_Residential_Multi-Family_Direct Install_Small Building Assessment Fee (3-34 units)_0_MF</v>
      </c>
      <c r="C361" s="2" t="str">
        <f t="shared" si="11"/>
        <v>PGL_Residential_Multi-Family_Direct Install_Small Building Assessment Fee (3-34 units)_0_MF_2022</v>
      </c>
      <c r="D361" s="19" t="s">
        <v>1794</v>
      </c>
      <c r="E361" s="19" t="s">
        <v>2</v>
      </c>
      <c r="F361" s="19" t="s">
        <v>1422</v>
      </c>
      <c r="G361" s="19" t="s">
        <v>4</v>
      </c>
      <c r="H361" s="19" t="s">
        <v>1425</v>
      </c>
      <c r="I361" s="19">
        <v>0</v>
      </c>
      <c r="J361" s="19" t="s">
        <v>1469</v>
      </c>
      <c r="K361" s="19" t="s">
        <v>553</v>
      </c>
      <c r="L361" s="19">
        <v>2022</v>
      </c>
      <c r="M361" s="20">
        <v>1</v>
      </c>
      <c r="N361" s="19" t="s">
        <v>1798</v>
      </c>
      <c r="O361" s="20">
        <v>48</v>
      </c>
      <c r="P361" s="20">
        <v>48</v>
      </c>
      <c r="Q361" s="20">
        <v>0</v>
      </c>
      <c r="R361" s="21">
        <v>0.96</v>
      </c>
      <c r="S361" s="20">
        <v>0</v>
      </c>
    </row>
    <row r="362" spans="2:19" ht="15" customHeight="1" x14ac:dyDescent="0.25">
      <c r="B362" s="2" t="str">
        <f t="shared" si="10"/>
        <v>PGL_Residential_Multi-Family_Direct Install_Small Building Assessment Fee (3-34 units)_0_MF</v>
      </c>
      <c r="C362" s="2" t="str">
        <f t="shared" si="11"/>
        <v>PGL_Residential_Multi-Family_Direct Install_Small Building Assessment Fee (3-34 units)_0_MF_2023</v>
      </c>
      <c r="D362" s="19" t="s">
        <v>1794</v>
      </c>
      <c r="E362" s="19" t="s">
        <v>2</v>
      </c>
      <c r="F362" s="19" t="s">
        <v>1422</v>
      </c>
      <c r="G362" s="19" t="s">
        <v>4</v>
      </c>
      <c r="H362" s="19" t="s">
        <v>1425</v>
      </c>
      <c r="I362" s="19">
        <v>0</v>
      </c>
      <c r="J362" s="19" t="s">
        <v>1469</v>
      </c>
      <c r="K362" s="19" t="s">
        <v>553</v>
      </c>
      <c r="L362" s="19">
        <v>2023</v>
      </c>
      <c r="M362" s="20">
        <v>1</v>
      </c>
      <c r="N362" s="19" t="s">
        <v>1798</v>
      </c>
      <c r="O362" s="20">
        <v>43</v>
      </c>
      <c r="P362" s="20">
        <v>43</v>
      </c>
      <c r="Q362" s="20">
        <v>0</v>
      </c>
      <c r="R362" s="21">
        <v>0.96</v>
      </c>
      <c r="S362" s="20">
        <v>0</v>
      </c>
    </row>
    <row r="363" spans="2:19" ht="15" customHeight="1" x14ac:dyDescent="0.25">
      <c r="B363" s="2" t="str">
        <f t="shared" si="10"/>
        <v>PGL_Residential_Multi-Family_Direct Install_Small Building Assessment Fee (3-34 units)_0_MF</v>
      </c>
      <c r="C363" s="2" t="str">
        <f t="shared" si="11"/>
        <v>PGL_Residential_Multi-Family_Direct Install_Small Building Assessment Fee (3-34 units)_0_MF_2024</v>
      </c>
      <c r="D363" s="19" t="s">
        <v>1794</v>
      </c>
      <c r="E363" s="19" t="s">
        <v>2</v>
      </c>
      <c r="F363" s="19" t="s">
        <v>1422</v>
      </c>
      <c r="G363" s="19" t="s">
        <v>4</v>
      </c>
      <c r="H363" s="19" t="s">
        <v>1425</v>
      </c>
      <c r="I363" s="19">
        <v>0</v>
      </c>
      <c r="J363" s="19" t="s">
        <v>1469</v>
      </c>
      <c r="K363" s="19" t="s">
        <v>553</v>
      </c>
      <c r="L363" s="19">
        <v>2024</v>
      </c>
      <c r="M363" s="20">
        <v>1</v>
      </c>
      <c r="N363" s="19" t="s">
        <v>1798</v>
      </c>
      <c r="O363" s="20">
        <v>38</v>
      </c>
      <c r="P363" s="20">
        <v>38</v>
      </c>
      <c r="Q363" s="20">
        <v>0</v>
      </c>
      <c r="R363" s="21">
        <v>0.96</v>
      </c>
      <c r="S363" s="20">
        <v>0</v>
      </c>
    </row>
    <row r="364" spans="2:19" ht="15" customHeight="1" x14ac:dyDescent="0.25">
      <c r="B364" s="2" t="str">
        <f t="shared" si="10"/>
        <v>PGL_Residential_Multi-Family_Direct Install_Small Building Assessment Fee (3-34 units)_0_MF</v>
      </c>
      <c r="C364" s="2" t="str">
        <f t="shared" si="11"/>
        <v>PGL_Residential_Multi-Family_Direct Install_Small Building Assessment Fee (3-34 units)_0_MF_2025</v>
      </c>
      <c r="D364" s="19" t="s">
        <v>1794</v>
      </c>
      <c r="E364" s="19" t="s">
        <v>2</v>
      </c>
      <c r="F364" s="19" t="s">
        <v>1422</v>
      </c>
      <c r="G364" s="19" t="s">
        <v>4</v>
      </c>
      <c r="H364" s="19" t="s">
        <v>1425</v>
      </c>
      <c r="I364" s="19">
        <v>0</v>
      </c>
      <c r="J364" s="19" t="s">
        <v>1469</v>
      </c>
      <c r="K364" s="19" t="s">
        <v>553</v>
      </c>
      <c r="L364" s="19">
        <v>2025</v>
      </c>
      <c r="M364" s="20">
        <v>1</v>
      </c>
      <c r="N364" s="19" t="s">
        <v>1798</v>
      </c>
      <c r="O364" s="20">
        <v>28</v>
      </c>
      <c r="P364" s="20">
        <v>28</v>
      </c>
      <c r="Q364" s="20">
        <v>0</v>
      </c>
      <c r="R364" s="21">
        <v>0.96</v>
      </c>
      <c r="S364" s="20">
        <v>0</v>
      </c>
    </row>
    <row r="365" spans="2:19" ht="15" customHeight="1" x14ac:dyDescent="0.25">
      <c r="B365" s="2" t="str">
        <f t="shared" si="10"/>
        <v>PGL_Residential_Multi-Family_Direct Install_Low Flow Bathroom Aerator_0_MF</v>
      </c>
      <c r="C365" s="2" t="str">
        <f t="shared" si="11"/>
        <v>PGL_Residential_Multi-Family_Direct Install_Low Flow Bathroom Aerator_0_MF_2022</v>
      </c>
      <c r="D365" s="19" t="s">
        <v>1794</v>
      </c>
      <c r="E365" s="19" t="s">
        <v>2</v>
      </c>
      <c r="F365" s="19" t="s">
        <v>1422</v>
      </c>
      <c r="G365" s="19" t="s">
        <v>4</v>
      </c>
      <c r="H365" s="19" t="s">
        <v>555</v>
      </c>
      <c r="I365" s="19">
        <v>0</v>
      </c>
      <c r="J365" s="19" t="s">
        <v>534</v>
      </c>
      <c r="K365" s="19" t="s">
        <v>553</v>
      </c>
      <c r="L365" s="19">
        <v>2022</v>
      </c>
      <c r="M365" s="20">
        <v>1</v>
      </c>
      <c r="N365" s="19" t="s">
        <v>1798</v>
      </c>
      <c r="O365" s="20">
        <v>3146</v>
      </c>
      <c r="P365" s="20">
        <v>3146</v>
      </c>
      <c r="Q365" s="20">
        <v>4987.0618587753179</v>
      </c>
      <c r="R365" s="21">
        <v>1.01</v>
      </c>
      <c r="S365" s="20">
        <v>4987.0618587753179</v>
      </c>
    </row>
    <row r="366" spans="2:19" ht="15" customHeight="1" x14ac:dyDescent="0.25">
      <c r="B366" s="2" t="str">
        <f t="shared" si="10"/>
        <v>PGL_Residential_Multi-Family_Direct Install_Low Flow Bathroom Aerator_0_MF</v>
      </c>
      <c r="C366" s="2" t="str">
        <f t="shared" si="11"/>
        <v>PGL_Residential_Multi-Family_Direct Install_Low Flow Bathroom Aerator_0_MF_2023</v>
      </c>
      <c r="D366" s="19" t="s">
        <v>1794</v>
      </c>
      <c r="E366" s="19" t="s">
        <v>2</v>
      </c>
      <c r="F366" s="19" t="s">
        <v>1422</v>
      </c>
      <c r="G366" s="19" t="s">
        <v>4</v>
      </c>
      <c r="H366" s="19" t="s">
        <v>555</v>
      </c>
      <c r="I366" s="19">
        <v>0</v>
      </c>
      <c r="J366" s="19" t="s">
        <v>534</v>
      </c>
      <c r="K366" s="19" t="s">
        <v>553</v>
      </c>
      <c r="L366" s="19">
        <v>2023</v>
      </c>
      <c r="M366" s="20">
        <v>1</v>
      </c>
      <c r="N366" s="19" t="s">
        <v>1798</v>
      </c>
      <c r="O366" s="20">
        <v>2815</v>
      </c>
      <c r="P366" s="20">
        <v>2815</v>
      </c>
      <c r="Q366" s="20">
        <v>4462.3582747782957</v>
      </c>
      <c r="R366" s="21">
        <v>1.01</v>
      </c>
      <c r="S366" s="20">
        <v>4462.3582747782957</v>
      </c>
    </row>
    <row r="367" spans="2:19" ht="15" customHeight="1" x14ac:dyDescent="0.25">
      <c r="B367" s="2" t="str">
        <f t="shared" si="10"/>
        <v>PGL_Residential_Multi-Family_Direct Install_Low Flow Bathroom Aerator_0_MF</v>
      </c>
      <c r="C367" s="2" t="str">
        <f t="shared" si="11"/>
        <v>PGL_Residential_Multi-Family_Direct Install_Low Flow Bathroom Aerator_0_MF_2024</v>
      </c>
      <c r="D367" s="19" t="s">
        <v>1794</v>
      </c>
      <c r="E367" s="19" t="s">
        <v>2</v>
      </c>
      <c r="F367" s="19" t="s">
        <v>1422</v>
      </c>
      <c r="G367" s="19" t="s">
        <v>4</v>
      </c>
      <c r="H367" s="19" t="s">
        <v>555</v>
      </c>
      <c r="I367" s="19">
        <v>0</v>
      </c>
      <c r="J367" s="19" t="s">
        <v>534</v>
      </c>
      <c r="K367" s="19" t="s">
        <v>553</v>
      </c>
      <c r="L367" s="19">
        <v>2024</v>
      </c>
      <c r="M367" s="20">
        <v>1</v>
      </c>
      <c r="N367" s="19" t="s">
        <v>1798</v>
      </c>
      <c r="O367" s="20">
        <v>2484</v>
      </c>
      <c r="P367" s="20">
        <v>2484</v>
      </c>
      <c r="Q367" s="20">
        <v>3937.654690781274</v>
      </c>
      <c r="R367" s="21">
        <v>1.01</v>
      </c>
      <c r="S367" s="20">
        <v>3937.654690781274</v>
      </c>
    </row>
    <row r="368" spans="2:19" ht="15" customHeight="1" x14ac:dyDescent="0.25">
      <c r="B368" s="2" t="str">
        <f t="shared" si="10"/>
        <v>PGL_Residential_Multi-Family_Direct Install_Low Flow Bathroom Aerator_0_MF</v>
      </c>
      <c r="C368" s="2" t="str">
        <f t="shared" si="11"/>
        <v>PGL_Residential_Multi-Family_Direct Install_Low Flow Bathroom Aerator_0_MF_2025</v>
      </c>
      <c r="D368" s="19" t="s">
        <v>1794</v>
      </c>
      <c r="E368" s="19" t="s">
        <v>2</v>
      </c>
      <c r="F368" s="19" t="s">
        <v>1422</v>
      </c>
      <c r="G368" s="19" t="s">
        <v>4</v>
      </c>
      <c r="H368" s="19" t="s">
        <v>555</v>
      </c>
      <c r="I368" s="19">
        <v>0</v>
      </c>
      <c r="J368" s="19" t="s">
        <v>534</v>
      </c>
      <c r="K368" s="19" t="s">
        <v>553</v>
      </c>
      <c r="L368" s="19">
        <v>2025</v>
      </c>
      <c r="M368" s="20">
        <v>1</v>
      </c>
      <c r="N368" s="19" t="s">
        <v>1798</v>
      </c>
      <c r="O368" s="20">
        <v>1821</v>
      </c>
      <c r="P368" s="20">
        <v>1821</v>
      </c>
      <c r="Q368" s="20">
        <v>2886.6623155848229</v>
      </c>
      <c r="R368" s="21">
        <v>1.01</v>
      </c>
      <c r="S368" s="20">
        <v>2886.6623155848229</v>
      </c>
    </row>
    <row r="369" spans="2:19" ht="15" customHeight="1" x14ac:dyDescent="0.25">
      <c r="B369" s="2" t="str">
        <f t="shared" si="10"/>
        <v>PGL_Residential_Multi-Family_Direct Install_Low Flow Kitchen Aerator_0_MF</v>
      </c>
      <c r="C369" s="2" t="str">
        <f t="shared" si="11"/>
        <v>PGL_Residential_Multi-Family_Direct Install_Low Flow Kitchen Aerator_0_MF_2022</v>
      </c>
      <c r="D369" s="19" t="s">
        <v>1794</v>
      </c>
      <c r="E369" s="19" t="s">
        <v>2</v>
      </c>
      <c r="F369" s="19" t="s">
        <v>1422</v>
      </c>
      <c r="G369" s="19" t="s">
        <v>4</v>
      </c>
      <c r="H369" s="19" t="s">
        <v>533</v>
      </c>
      <c r="I369" s="19">
        <v>0</v>
      </c>
      <c r="J369" s="19" t="s">
        <v>534</v>
      </c>
      <c r="K369" s="19" t="s">
        <v>553</v>
      </c>
      <c r="L369" s="19">
        <v>2022</v>
      </c>
      <c r="M369" s="20">
        <v>1</v>
      </c>
      <c r="N369" s="19" t="s">
        <v>1798</v>
      </c>
      <c r="O369" s="20">
        <v>4495</v>
      </c>
      <c r="P369" s="20">
        <v>4495</v>
      </c>
      <c r="Q369" s="20">
        <v>35689.843982481689</v>
      </c>
      <c r="R369" s="21">
        <v>1.01</v>
      </c>
      <c r="S369" s="20">
        <v>35689.843982481689</v>
      </c>
    </row>
    <row r="370" spans="2:19" ht="15" customHeight="1" x14ac:dyDescent="0.25">
      <c r="B370" s="2" t="str">
        <f t="shared" si="10"/>
        <v>PGL_Residential_Multi-Family_Direct Install_Low Flow Kitchen Aerator_0_MF</v>
      </c>
      <c r="C370" s="2" t="str">
        <f t="shared" si="11"/>
        <v>PGL_Residential_Multi-Family_Direct Install_Low Flow Kitchen Aerator_0_MF_2023</v>
      </c>
      <c r="D370" s="19" t="s">
        <v>1794</v>
      </c>
      <c r="E370" s="19" t="s">
        <v>2</v>
      </c>
      <c r="F370" s="19" t="s">
        <v>1422</v>
      </c>
      <c r="G370" s="19" t="s">
        <v>4</v>
      </c>
      <c r="H370" s="19" t="s">
        <v>533</v>
      </c>
      <c r="I370" s="19">
        <v>0</v>
      </c>
      <c r="J370" s="19" t="s">
        <v>534</v>
      </c>
      <c r="K370" s="19" t="s">
        <v>553</v>
      </c>
      <c r="L370" s="19">
        <v>2023</v>
      </c>
      <c r="M370" s="20">
        <v>1</v>
      </c>
      <c r="N370" s="19" t="s">
        <v>1798</v>
      </c>
      <c r="O370" s="20">
        <v>4022</v>
      </c>
      <c r="P370" s="20">
        <v>4022</v>
      </c>
      <c r="Q370" s="20">
        <v>31934.271968307308</v>
      </c>
      <c r="R370" s="21">
        <v>1.01</v>
      </c>
      <c r="S370" s="20">
        <v>31934.271968307308</v>
      </c>
    </row>
    <row r="371" spans="2:19" ht="15" customHeight="1" x14ac:dyDescent="0.25">
      <c r="B371" s="2" t="str">
        <f t="shared" si="10"/>
        <v>PGL_Residential_Multi-Family_Direct Install_Low Flow Kitchen Aerator_0_MF</v>
      </c>
      <c r="C371" s="2" t="str">
        <f t="shared" si="11"/>
        <v>PGL_Residential_Multi-Family_Direct Install_Low Flow Kitchen Aerator_0_MF_2024</v>
      </c>
      <c r="D371" s="19" t="s">
        <v>1794</v>
      </c>
      <c r="E371" s="19" t="s">
        <v>2</v>
      </c>
      <c r="F371" s="19" t="s">
        <v>1422</v>
      </c>
      <c r="G371" s="19" t="s">
        <v>4</v>
      </c>
      <c r="H371" s="19" t="s">
        <v>533</v>
      </c>
      <c r="I371" s="19">
        <v>0</v>
      </c>
      <c r="J371" s="19" t="s">
        <v>534</v>
      </c>
      <c r="K371" s="19" t="s">
        <v>553</v>
      </c>
      <c r="L371" s="19">
        <v>2024</v>
      </c>
      <c r="M371" s="20">
        <v>1</v>
      </c>
      <c r="N371" s="19" t="s">
        <v>1798</v>
      </c>
      <c r="O371" s="20">
        <v>3549</v>
      </c>
      <c r="P371" s="20">
        <v>3549</v>
      </c>
      <c r="Q371" s="20">
        <v>28178.699954132928</v>
      </c>
      <c r="R371" s="21">
        <v>1.01</v>
      </c>
      <c r="S371" s="20">
        <v>28178.699954132928</v>
      </c>
    </row>
    <row r="372" spans="2:19" ht="15" customHeight="1" x14ac:dyDescent="0.25">
      <c r="B372" s="2" t="str">
        <f t="shared" si="10"/>
        <v>PGL_Residential_Multi-Family_Direct Install_Low Flow Kitchen Aerator_0_MF</v>
      </c>
      <c r="C372" s="2" t="str">
        <f t="shared" si="11"/>
        <v>PGL_Residential_Multi-Family_Direct Install_Low Flow Kitchen Aerator_0_MF_2025</v>
      </c>
      <c r="D372" s="19" t="s">
        <v>1794</v>
      </c>
      <c r="E372" s="19" t="s">
        <v>2</v>
      </c>
      <c r="F372" s="19" t="s">
        <v>1422</v>
      </c>
      <c r="G372" s="19" t="s">
        <v>4</v>
      </c>
      <c r="H372" s="19" t="s">
        <v>533</v>
      </c>
      <c r="I372" s="19">
        <v>0</v>
      </c>
      <c r="J372" s="19" t="s">
        <v>534</v>
      </c>
      <c r="K372" s="19" t="s">
        <v>553</v>
      </c>
      <c r="L372" s="19">
        <v>2025</v>
      </c>
      <c r="M372" s="20">
        <v>1</v>
      </c>
      <c r="N372" s="19" t="s">
        <v>1798</v>
      </c>
      <c r="O372" s="20">
        <v>2602</v>
      </c>
      <c r="P372" s="20">
        <v>2602</v>
      </c>
      <c r="Q372" s="20">
        <v>20659.616027234115</v>
      </c>
      <c r="R372" s="21">
        <v>1.01</v>
      </c>
      <c r="S372" s="20">
        <v>20659.616027234115</v>
      </c>
    </row>
    <row r="373" spans="2:19" ht="15" customHeight="1" x14ac:dyDescent="0.25">
      <c r="B373" s="2" t="str">
        <f t="shared" si="10"/>
        <v>PGL_Residential_Multi-Family_Direct Install_Low Flow Showerhead_0_MF</v>
      </c>
      <c r="C373" s="2" t="str">
        <f t="shared" si="11"/>
        <v>PGL_Residential_Multi-Family_Direct Install_Low Flow Showerhead_0_MF_2022</v>
      </c>
      <c r="D373" s="19" t="s">
        <v>1794</v>
      </c>
      <c r="E373" s="19" t="s">
        <v>2</v>
      </c>
      <c r="F373" s="19" t="s">
        <v>1422</v>
      </c>
      <c r="G373" s="19" t="s">
        <v>4</v>
      </c>
      <c r="H373" s="19" t="s">
        <v>15</v>
      </c>
      <c r="I373" s="19">
        <v>0</v>
      </c>
      <c r="J373" s="19" t="s">
        <v>23</v>
      </c>
      <c r="K373" s="19" t="s">
        <v>553</v>
      </c>
      <c r="L373" s="19">
        <v>2022</v>
      </c>
      <c r="M373" s="20">
        <v>1</v>
      </c>
      <c r="N373" s="19" t="s">
        <v>1798</v>
      </c>
      <c r="O373" s="20">
        <v>6527</v>
      </c>
      <c r="P373" s="20">
        <v>6527</v>
      </c>
      <c r="Q373" s="20">
        <v>74618.303878462757</v>
      </c>
      <c r="R373" s="21">
        <v>1.01</v>
      </c>
      <c r="S373" s="20">
        <v>74618.303878462757</v>
      </c>
    </row>
    <row r="374" spans="2:19" ht="15" customHeight="1" x14ac:dyDescent="0.25">
      <c r="B374" s="2" t="str">
        <f t="shared" si="10"/>
        <v>PGL_Residential_Multi-Family_Direct Install_Low Flow Showerhead_0_MF</v>
      </c>
      <c r="C374" s="2" t="str">
        <f t="shared" si="11"/>
        <v>PGL_Residential_Multi-Family_Direct Install_Low Flow Showerhead_0_MF_2023</v>
      </c>
      <c r="D374" s="19" t="s">
        <v>1794</v>
      </c>
      <c r="E374" s="19" t="s">
        <v>2</v>
      </c>
      <c r="F374" s="19" t="s">
        <v>1422</v>
      </c>
      <c r="G374" s="19" t="s">
        <v>4</v>
      </c>
      <c r="H374" s="19" t="s">
        <v>15</v>
      </c>
      <c r="I374" s="19">
        <v>0</v>
      </c>
      <c r="J374" s="19" t="s">
        <v>23</v>
      </c>
      <c r="K374" s="19" t="s">
        <v>553</v>
      </c>
      <c r="L374" s="19">
        <v>2023</v>
      </c>
      <c r="M374" s="20">
        <v>1</v>
      </c>
      <c r="N374" s="19" t="s">
        <v>1798</v>
      </c>
      <c r="O374" s="20">
        <v>5840</v>
      </c>
      <c r="P374" s="20">
        <v>5840</v>
      </c>
      <c r="Q374" s="20">
        <v>66764.347272900632</v>
      </c>
      <c r="R374" s="21">
        <v>1.01</v>
      </c>
      <c r="S374" s="20">
        <v>66764.347272900632</v>
      </c>
    </row>
    <row r="375" spans="2:19" ht="15" customHeight="1" x14ac:dyDescent="0.25">
      <c r="B375" s="2" t="str">
        <f t="shared" si="10"/>
        <v>PGL_Residential_Multi-Family_Direct Install_Low Flow Showerhead_0_MF</v>
      </c>
      <c r="C375" s="2" t="str">
        <f t="shared" si="11"/>
        <v>PGL_Residential_Multi-Family_Direct Install_Low Flow Showerhead_0_MF_2024</v>
      </c>
      <c r="D375" s="19" t="s">
        <v>1794</v>
      </c>
      <c r="E375" s="19" t="s">
        <v>2</v>
      </c>
      <c r="F375" s="19" t="s">
        <v>1422</v>
      </c>
      <c r="G375" s="19" t="s">
        <v>4</v>
      </c>
      <c r="H375" s="19" t="s">
        <v>15</v>
      </c>
      <c r="I375" s="19">
        <v>0</v>
      </c>
      <c r="J375" s="19" t="s">
        <v>23</v>
      </c>
      <c r="K375" s="19" t="s">
        <v>553</v>
      </c>
      <c r="L375" s="19">
        <v>2024</v>
      </c>
      <c r="M375" s="20">
        <v>1</v>
      </c>
      <c r="N375" s="19" t="s">
        <v>1798</v>
      </c>
      <c r="O375" s="20">
        <v>5153</v>
      </c>
      <c r="P375" s="20">
        <v>5153</v>
      </c>
      <c r="Q375" s="20">
        <v>58910.390667338535</v>
      </c>
      <c r="R375" s="21">
        <v>1.01</v>
      </c>
      <c r="S375" s="20">
        <v>58910.390667338535</v>
      </c>
    </row>
    <row r="376" spans="2:19" ht="15" customHeight="1" x14ac:dyDescent="0.25">
      <c r="B376" s="2" t="str">
        <f t="shared" si="10"/>
        <v>PGL_Residential_Multi-Family_Direct Install_Low Flow Showerhead_0_MF</v>
      </c>
      <c r="C376" s="2" t="str">
        <f t="shared" si="11"/>
        <v>PGL_Residential_Multi-Family_Direct Install_Low Flow Showerhead_0_MF_2025</v>
      </c>
      <c r="D376" s="19" t="s">
        <v>1794</v>
      </c>
      <c r="E376" s="19" t="s">
        <v>2</v>
      </c>
      <c r="F376" s="19" t="s">
        <v>1422</v>
      </c>
      <c r="G376" s="19" t="s">
        <v>4</v>
      </c>
      <c r="H376" s="19" t="s">
        <v>15</v>
      </c>
      <c r="I376" s="19">
        <v>0</v>
      </c>
      <c r="J376" s="19" t="s">
        <v>23</v>
      </c>
      <c r="K376" s="19" t="s">
        <v>553</v>
      </c>
      <c r="L376" s="19">
        <v>2025</v>
      </c>
      <c r="M376" s="20">
        <v>1</v>
      </c>
      <c r="N376" s="19" t="s">
        <v>1798</v>
      </c>
      <c r="O376" s="20">
        <v>3779</v>
      </c>
      <c r="P376" s="20">
        <v>3779</v>
      </c>
      <c r="Q376" s="20">
        <v>43202.477456214299</v>
      </c>
      <c r="R376" s="21">
        <v>1.01</v>
      </c>
      <c r="S376" s="20">
        <v>43202.477456214299</v>
      </c>
    </row>
    <row r="377" spans="2:19" ht="15" customHeight="1" x14ac:dyDescent="0.25">
      <c r="B377" s="2" t="str">
        <f t="shared" si="10"/>
        <v>PGL_Residential_Multi-Family_Direct Install_Pipe Insulation_DHW_MF</v>
      </c>
      <c r="C377" s="2" t="str">
        <f t="shared" si="11"/>
        <v>PGL_Residential_Multi-Family_Direct Install_Pipe Insulation_DHW_MF_2022</v>
      </c>
      <c r="D377" s="19" t="s">
        <v>1794</v>
      </c>
      <c r="E377" s="19" t="s">
        <v>2</v>
      </c>
      <c r="F377" s="19" t="s">
        <v>1422</v>
      </c>
      <c r="G377" s="19" t="s">
        <v>4</v>
      </c>
      <c r="H377" s="19" t="s">
        <v>404</v>
      </c>
      <c r="I377" s="19" t="s">
        <v>1019</v>
      </c>
      <c r="J377" s="19" t="s">
        <v>1008</v>
      </c>
      <c r="K377" s="19" t="s">
        <v>553</v>
      </c>
      <c r="L377" s="19">
        <v>2022</v>
      </c>
      <c r="M377" s="20">
        <v>3</v>
      </c>
      <c r="N377" s="19" t="s">
        <v>1802</v>
      </c>
      <c r="O377" s="20">
        <v>5146</v>
      </c>
      <c r="P377" s="20">
        <v>15438</v>
      </c>
      <c r="Q377" s="20">
        <v>13081.544250668341</v>
      </c>
      <c r="R377" s="21">
        <v>0.96</v>
      </c>
      <c r="S377" s="20">
        <v>13081.544250668341</v>
      </c>
    </row>
    <row r="378" spans="2:19" ht="15" customHeight="1" x14ac:dyDescent="0.25">
      <c r="B378" s="2" t="str">
        <f t="shared" si="10"/>
        <v>PGL_Residential_Multi-Family_Direct Install_Pipe Insulation_DHW_MF</v>
      </c>
      <c r="C378" s="2" t="str">
        <f t="shared" si="11"/>
        <v>PGL_Residential_Multi-Family_Direct Install_Pipe Insulation_DHW_MF_2023</v>
      </c>
      <c r="D378" s="19" t="s">
        <v>1794</v>
      </c>
      <c r="E378" s="19" t="s">
        <v>2</v>
      </c>
      <c r="F378" s="19" t="s">
        <v>1422</v>
      </c>
      <c r="G378" s="19" t="s">
        <v>4</v>
      </c>
      <c r="H378" s="19" t="s">
        <v>404</v>
      </c>
      <c r="I378" s="19" t="s">
        <v>1019</v>
      </c>
      <c r="J378" s="19" t="s">
        <v>1008</v>
      </c>
      <c r="K378" s="19" t="s">
        <v>553</v>
      </c>
      <c r="L378" s="19">
        <v>2023</v>
      </c>
      <c r="M378" s="20">
        <v>3</v>
      </c>
      <c r="N378" s="19" t="s">
        <v>1802</v>
      </c>
      <c r="O378" s="20">
        <v>4604</v>
      </c>
      <c r="P378" s="20">
        <v>13812</v>
      </c>
      <c r="Q378" s="20">
        <v>11703.736830562972</v>
      </c>
      <c r="R378" s="21">
        <v>0.96</v>
      </c>
      <c r="S378" s="20">
        <v>11703.736830562972</v>
      </c>
    </row>
    <row r="379" spans="2:19" ht="15" customHeight="1" x14ac:dyDescent="0.25">
      <c r="B379" s="2" t="str">
        <f t="shared" si="10"/>
        <v>PGL_Residential_Multi-Family_Direct Install_Pipe Insulation_DHW_MF</v>
      </c>
      <c r="C379" s="2" t="str">
        <f t="shared" si="11"/>
        <v>PGL_Residential_Multi-Family_Direct Install_Pipe Insulation_DHW_MF_2024</v>
      </c>
      <c r="D379" s="19" t="s">
        <v>1794</v>
      </c>
      <c r="E379" s="19" t="s">
        <v>2</v>
      </c>
      <c r="F379" s="19" t="s">
        <v>1422</v>
      </c>
      <c r="G379" s="19" t="s">
        <v>4</v>
      </c>
      <c r="H379" s="19" t="s">
        <v>404</v>
      </c>
      <c r="I379" s="19" t="s">
        <v>1019</v>
      </c>
      <c r="J379" s="19" t="s">
        <v>1008</v>
      </c>
      <c r="K379" s="19" t="s">
        <v>553</v>
      </c>
      <c r="L379" s="19">
        <v>2024</v>
      </c>
      <c r="M379" s="20">
        <v>3</v>
      </c>
      <c r="N379" s="19" t="s">
        <v>1802</v>
      </c>
      <c r="O379" s="20">
        <v>4063</v>
      </c>
      <c r="P379" s="20">
        <v>12189</v>
      </c>
      <c r="Q379" s="20">
        <v>10328.471490568494</v>
      </c>
      <c r="R379" s="21">
        <v>0.96</v>
      </c>
      <c r="S379" s="20">
        <v>10328.471490568494</v>
      </c>
    </row>
    <row r="380" spans="2:19" ht="15" customHeight="1" x14ac:dyDescent="0.25">
      <c r="B380" s="2" t="str">
        <f t="shared" si="10"/>
        <v>PGL_Residential_Multi-Family_Direct Install_Pipe Insulation_DHW_MF</v>
      </c>
      <c r="C380" s="2" t="str">
        <f t="shared" si="11"/>
        <v>PGL_Residential_Multi-Family_Direct Install_Pipe Insulation_DHW_MF_2025</v>
      </c>
      <c r="D380" s="19" t="s">
        <v>1794</v>
      </c>
      <c r="E380" s="19" t="s">
        <v>2</v>
      </c>
      <c r="F380" s="19" t="s">
        <v>1422</v>
      </c>
      <c r="G380" s="19" t="s">
        <v>4</v>
      </c>
      <c r="H380" s="19" t="s">
        <v>404</v>
      </c>
      <c r="I380" s="19" t="s">
        <v>1019</v>
      </c>
      <c r="J380" s="19" t="s">
        <v>1008</v>
      </c>
      <c r="K380" s="19" t="s">
        <v>553</v>
      </c>
      <c r="L380" s="19">
        <v>2025</v>
      </c>
      <c r="M380" s="20">
        <v>3</v>
      </c>
      <c r="N380" s="19" t="s">
        <v>1802</v>
      </c>
      <c r="O380" s="20">
        <v>2979</v>
      </c>
      <c r="P380" s="20">
        <v>8937</v>
      </c>
      <c r="Q380" s="20">
        <v>7572.8566503577522</v>
      </c>
      <c r="R380" s="21">
        <v>0.96</v>
      </c>
      <c r="S380" s="20">
        <v>7572.8566503577522</v>
      </c>
    </row>
    <row r="381" spans="2:19" ht="15" customHeight="1" x14ac:dyDescent="0.25">
      <c r="B381" s="2" t="str">
        <f t="shared" si="10"/>
        <v>PGL_Residential_Multi-Family_Direct Install_Pipe Insulation_Boiler_MF</v>
      </c>
      <c r="C381" s="2" t="str">
        <f t="shared" si="11"/>
        <v>PGL_Residential_Multi-Family_Direct Install_Pipe Insulation_Boiler_MF_2022</v>
      </c>
      <c r="D381" s="19" t="s">
        <v>1794</v>
      </c>
      <c r="E381" s="19" t="s">
        <v>2</v>
      </c>
      <c r="F381" s="19" t="s">
        <v>1422</v>
      </c>
      <c r="G381" s="19" t="s">
        <v>4</v>
      </c>
      <c r="H381" s="19" t="s">
        <v>404</v>
      </c>
      <c r="I381" s="19" t="s">
        <v>944</v>
      </c>
      <c r="J381" s="19" t="s">
        <v>1008</v>
      </c>
      <c r="K381" s="19" t="s">
        <v>553</v>
      </c>
      <c r="L381" s="19">
        <v>2022</v>
      </c>
      <c r="M381" s="20">
        <v>3</v>
      </c>
      <c r="N381" s="19" t="s">
        <v>1802</v>
      </c>
      <c r="O381" s="20">
        <v>3484</v>
      </c>
      <c r="P381" s="20">
        <v>10452</v>
      </c>
      <c r="Q381" s="20">
        <v>6373.7780681343047</v>
      </c>
      <c r="R381" s="21">
        <v>0.96</v>
      </c>
      <c r="S381" s="20">
        <v>6373.7780681343047</v>
      </c>
    </row>
    <row r="382" spans="2:19" ht="15" customHeight="1" x14ac:dyDescent="0.25">
      <c r="B382" s="2" t="str">
        <f t="shared" si="10"/>
        <v>PGL_Residential_Multi-Family_Direct Install_Pipe Insulation_Boiler_MF</v>
      </c>
      <c r="C382" s="2" t="str">
        <f t="shared" si="11"/>
        <v>PGL_Residential_Multi-Family_Direct Install_Pipe Insulation_Boiler_MF_2023</v>
      </c>
      <c r="D382" s="19" t="s">
        <v>1794</v>
      </c>
      <c r="E382" s="19" t="s">
        <v>2</v>
      </c>
      <c r="F382" s="19" t="s">
        <v>1422</v>
      </c>
      <c r="G382" s="19" t="s">
        <v>4</v>
      </c>
      <c r="H382" s="19" t="s">
        <v>404</v>
      </c>
      <c r="I382" s="19" t="s">
        <v>944</v>
      </c>
      <c r="J382" s="19" t="s">
        <v>1008</v>
      </c>
      <c r="K382" s="19" t="s">
        <v>553</v>
      </c>
      <c r="L382" s="19">
        <v>2023</v>
      </c>
      <c r="M382" s="20">
        <v>3</v>
      </c>
      <c r="N382" s="19" t="s">
        <v>1802</v>
      </c>
      <c r="O382" s="20">
        <v>3117</v>
      </c>
      <c r="P382" s="20">
        <v>9351</v>
      </c>
      <c r="Q382" s="20">
        <v>5702.372628695357</v>
      </c>
      <c r="R382" s="21">
        <v>0.96</v>
      </c>
      <c r="S382" s="20">
        <v>5702.372628695357</v>
      </c>
    </row>
    <row r="383" spans="2:19" ht="15" customHeight="1" x14ac:dyDescent="0.25">
      <c r="B383" s="2" t="str">
        <f t="shared" si="10"/>
        <v>PGL_Residential_Multi-Family_Direct Install_Pipe Insulation_Boiler_MF</v>
      </c>
      <c r="C383" s="2" t="str">
        <f t="shared" si="11"/>
        <v>PGL_Residential_Multi-Family_Direct Install_Pipe Insulation_Boiler_MF_2024</v>
      </c>
      <c r="D383" s="19" t="s">
        <v>1794</v>
      </c>
      <c r="E383" s="19" t="s">
        <v>2</v>
      </c>
      <c r="F383" s="19" t="s">
        <v>1422</v>
      </c>
      <c r="G383" s="19" t="s">
        <v>4</v>
      </c>
      <c r="H383" s="19" t="s">
        <v>404</v>
      </c>
      <c r="I383" s="19" t="s">
        <v>944</v>
      </c>
      <c r="J383" s="19" t="s">
        <v>1008</v>
      </c>
      <c r="K383" s="19" t="s">
        <v>553</v>
      </c>
      <c r="L383" s="19">
        <v>2024</v>
      </c>
      <c r="M383" s="20">
        <v>3</v>
      </c>
      <c r="N383" s="19" t="s">
        <v>1802</v>
      </c>
      <c r="O383" s="20">
        <v>2750</v>
      </c>
      <c r="P383" s="20">
        <v>8250</v>
      </c>
      <c r="Q383" s="20">
        <v>5030.9671892564111</v>
      </c>
      <c r="R383" s="21">
        <v>0.96</v>
      </c>
      <c r="S383" s="20">
        <v>5030.9671892564111</v>
      </c>
    </row>
    <row r="384" spans="2:19" ht="15" customHeight="1" x14ac:dyDescent="0.25">
      <c r="B384" s="2" t="str">
        <f t="shared" si="10"/>
        <v>PGL_Residential_Multi-Family_Direct Install_Pipe Insulation_Boiler_MF</v>
      </c>
      <c r="C384" s="2" t="str">
        <f t="shared" si="11"/>
        <v>PGL_Residential_Multi-Family_Direct Install_Pipe Insulation_Boiler_MF_2025</v>
      </c>
      <c r="D384" s="19" t="s">
        <v>1794</v>
      </c>
      <c r="E384" s="19" t="s">
        <v>2</v>
      </c>
      <c r="F384" s="19" t="s">
        <v>1422</v>
      </c>
      <c r="G384" s="19" t="s">
        <v>4</v>
      </c>
      <c r="H384" s="19" t="s">
        <v>404</v>
      </c>
      <c r="I384" s="19" t="s">
        <v>944</v>
      </c>
      <c r="J384" s="19" t="s">
        <v>1008</v>
      </c>
      <c r="K384" s="19" t="s">
        <v>553</v>
      </c>
      <c r="L384" s="19">
        <v>2025</v>
      </c>
      <c r="M384" s="20">
        <v>3</v>
      </c>
      <c r="N384" s="19" t="s">
        <v>1802</v>
      </c>
      <c r="O384" s="20">
        <v>2017</v>
      </c>
      <c r="P384" s="20">
        <v>6051</v>
      </c>
      <c r="Q384" s="20">
        <v>3689.9857529927931</v>
      </c>
      <c r="R384" s="21">
        <v>0.96</v>
      </c>
      <c r="S384" s="20">
        <v>3689.9857529927931</v>
      </c>
    </row>
    <row r="385" spans="2:19" ht="15" customHeight="1" x14ac:dyDescent="0.25">
      <c r="B385" s="2" t="str">
        <f t="shared" si="10"/>
        <v>PGL_Residential_Multi-Family_Direct Install_Programmable Thermostat_Furnace (DI)_MF</v>
      </c>
      <c r="C385" s="2" t="str">
        <f t="shared" si="11"/>
        <v>PGL_Residential_Multi-Family_Direct Install_Programmable Thermostat_Furnace (DI)_MF_2022</v>
      </c>
      <c r="D385" s="19" t="s">
        <v>1794</v>
      </c>
      <c r="E385" s="19" t="s">
        <v>2</v>
      </c>
      <c r="F385" s="19" t="s">
        <v>1422</v>
      </c>
      <c r="G385" s="19" t="s">
        <v>4</v>
      </c>
      <c r="H385" s="19" t="s">
        <v>224</v>
      </c>
      <c r="I385" s="19" t="s">
        <v>1038</v>
      </c>
      <c r="J385" s="19" t="s">
        <v>24</v>
      </c>
      <c r="K385" s="19" t="s">
        <v>553</v>
      </c>
      <c r="L385" s="19">
        <v>2022</v>
      </c>
      <c r="M385" s="20">
        <v>1</v>
      </c>
      <c r="N385" s="19" t="s">
        <v>1798</v>
      </c>
      <c r="O385" s="20">
        <v>916</v>
      </c>
      <c r="P385" s="20">
        <v>916</v>
      </c>
      <c r="Q385" s="20">
        <v>35615.399040000004</v>
      </c>
      <c r="R385" s="21">
        <v>0.96</v>
      </c>
      <c r="S385" s="20">
        <v>35615.399040000004</v>
      </c>
    </row>
    <row r="386" spans="2:19" ht="15" customHeight="1" x14ac:dyDescent="0.25">
      <c r="B386" s="2" t="str">
        <f t="shared" si="10"/>
        <v>PGL_Residential_Multi-Family_Direct Install_Programmable Thermostat_Furnace (DI)_MF</v>
      </c>
      <c r="C386" s="2" t="str">
        <f t="shared" si="11"/>
        <v>PGL_Residential_Multi-Family_Direct Install_Programmable Thermostat_Furnace (DI)_MF_2023</v>
      </c>
      <c r="D386" s="19" t="s">
        <v>1794</v>
      </c>
      <c r="E386" s="19" t="s">
        <v>2</v>
      </c>
      <c r="F386" s="19" t="s">
        <v>1422</v>
      </c>
      <c r="G386" s="19" t="s">
        <v>4</v>
      </c>
      <c r="H386" s="19" t="s">
        <v>224</v>
      </c>
      <c r="I386" s="19" t="s">
        <v>1038</v>
      </c>
      <c r="J386" s="19" t="s">
        <v>24</v>
      </c>
      <c r="K386" s="19" t="s">
        <v>553</v>
      </c>
      <c r="L386" s="19">
        <v>2023</v>
      </c>
      <c r="M386" s="20">
        <v>1</v>
      </c>
      <c r="N386" s="19" t="s">
        <v>1798</v>
      </c>
      <c r="O386" s="20">
        <v>820</v>
      </c>
      <c r="P386" s="20">
        <v>820</v>
      </c>
      <c r="Q386" s="20">
        <v>31882.7808</v>
      </c>
      <c r="R386" s="21">
        <v>0.96</v>
      </c>
      <c r="S386" s="20">
        <v>31882.7808</v>
      </c>
    </row>
    <row r="387" spans="2:19" ht="15" customHeight="1" x14ac:dyDescent="0.25">
      <c r="B387" s="2" t="str">
        <f t="shared" si="10"/>
        <v>PGL_Residential_Multi-Family_Direct Install_Programmable Thermostat_Furnace (DI)_MF</v>
      </c>
      <c r="C387" s="2" t="str">
        <f t="shared" si="11"/>
        <v>PGL_Residential_Multi-Family_Direct Install_Programmable Thermostat_Furnace (DI)_MF_2024</v>
      </c>
      <c r="D387" s="19" t="s">
        <v>1794</v>
      </c>
      <c r="E387" s="19" t="s">
        <v>2</v>
      </c>
      <c r="F387" s="19" t="s">
        <v>1422</v>
      </c>
      <c r="G387" s="19" t="s">
        <v>4</v>
      </c>
      <c r="H387" s="19" t="s">
        <v>224</v>
      </c>
      <c r="I387" s="19" t="s">
        <v>1038</v>
      </c>
      <c r="J387" s="19" t="s">
        <v>24</v>
      </c>
      <c r="K387" s="19" t="s">
        <v>553</v>
      </c>
      <c r="L387" s="19">
        <v>2024</v>
      </c>
      <c r="M387" s="20">
        <v>1</v>
      </c>
      <c r="N387" s="19" t="s">
        <v>1798</v>
      </c>
      <c r="O387" s="20">
        <v>723</v>
      </c>
      <c r="P387" s="20">
        <v>723</v>
      </c>
      <c r="Q387" s="20">
        <v>28111.28112</v>
      </c>
      <c r="R387" s="21">
        <v>0.96</v>
      </c>
      <c r="S387" s="20">
        <v>28111.28112</v>
      </c>
    </row>
    <row r="388" spans="2:19" ht="15" customHeight="1" x14ac:dyDescent="0.25">
      <c r="B388" s="2" t="str">
        <f t="shared" si="10"/>
        <v>PGL_Residential_Multi-Family_Direct Install_Programmable Thermostat_Furnace (DI)_MF</v>
      </c>
      <c r="C388" s="2" t="str">
        <f t="shared" si="11"/>
        <v>PGL_Residential_Multi-Family_Direct Install_Programmable Thermostat_Furnace (DI)_MF_2025</v>
      </c>
      <c r="D388" s="19" t="s">
        <v>1794</v>
      </c>
      <c r="E388" s="19" t="s">
        <v>2</v>
      </c>
      <c r="F388" s="19" t="s">
        <v>1422</v>
      </c>
      <c r="G388" s="19" t="s">
        <v>4</v>
      </c>
      <c r="H388" s="19" t="s">
        <v>224</v>
      </c>
      <c r="I388" s="19" t="s">
        <v>1038</v>
      </c>
      <c r="J388" s="19" t="s">
        <v>24</v>
      </c>
      <c r="K388" s="19" t="s">
        <v>553</v>
      </c>
      <c r="L388" s="19">
        <v>2025</v>
      </c>
      <c r="M388" s="20">
        <v>1</v>
      </c>
      <c r="N388" s="19" t="s">
        <v>1798</v>
      </c>
      <c r="O388" s="20">
        <v>530</v>
      </c>
      <c r="P388" s="20">
        <v>530</v>
      </c>
      <c r="Q388" s="20">
        <v>20607.163199999999</v>
      </c>
      <c r="R388" s="21">
        <v>0.96</v>
      </c>
      <c r="S388" s="20">
        <v>20607.163199999999</v>
      </c>
    </row>
    <row r="389" spans="2:19" ht="15" customHeight="1" x14ac:dyDescent="0.25">
      <c r="B389" s="2" t="str">
        <f t="shared" si="10"/>
        <v>PGL_Residential_Multi-Family_Direct Install_Programmable Thermostat_Boiler (DI)_MF</v>
      </c>
      <c r="C389" s="2" t="str">
        <f t="shared" si="11"/>
        <v>PGL_Residential_Multi-Family_Direct Install_Programmable Thermostat_Boiler (DI)_MF_2022</v>
      </c>
      <c r="D389" s="19" t="s">
        <v>1794</v>
      </c>
      <c r="E389" s="19" t="s">
        <v>2</v>
      </c>
      <c r="F389" s="19" t="s">
        <v>1422</v>
      </c>
      <c r="G389" s="19" t="s">
        <v>4</v>
      </c>
      <c r="H389" s="19" t="s">
        <v>224</v>
      </c>
      <c r="I389" s="19" t="s">
        <v>1045</v>
      </c>
      <c r="J389" s="19" t="s">
        <v>24</v>
      </c>
      <c r="K389" s="19" t="s">
        <v>553</v>
      </c>
      <c r="L389" s="19">
        <v>2022</v>
      </c>
      <c r="M389" s="20">
        <v>1</v>
      </c>
      <c r="N389" s="19" t="s">
        <v>1798</v>
      </c>
      <c r="O389" s="20">
        <v>179</v>
      </c>
      <c r="P389" s="20">
        <v>179</v>
      </c>
      <c r="Q389" s="20">
        <v>10283.850719999999</v>
      </c>
      <c r="R389" s="21">
        <v>0.96</v>
      </c>
      <c r="S389" s="20">
        <v>10283.850719999999</v>
      </c>
    </row>
    <row r="390" spans="2:19" ht="15" customHeight="1" x14ac:dyDescent="0.25">
      <c r="B390" s="2" t="str">
        <f t="shared" ref="B390:B453" si="12">D390&amp;"_"&amp;E390&amp;"_"&amp;F390&amp;"_"&amp;G390&amp;"_"&amp;H390&amp;"_"&amp;I390&amp;"_"&amp;K390</f>
        <v>PGL_Residential_Multi-Family_Direct Install_Programmable Thermostat_Boiler (DI)_MF</v>
      </c>
      <c r="C390" s="2" t="str">
        <f t="shared" ref="C390:C453" si="13">D390&amp;"_"&amp;E390&amp;"_"&amp;F390&amp;"_"&amp;G390&amp;"_"&amp;H390&amp;"_"&amp;I390&amp;"_"&amp;K390&amp;"_"&amp;L390</f>
        <v>PGL_Residential_Multi-Family_Direct Install_Programmable Thermostat_Boiler (DI)_MF_2023</v>
      </c>
      <c r="D390" s="19" t="s">
        <v>1794</v>
      </c>
      <c r="E390" s="19" t="s">
        <v>2</v>
      </c>
      <c r="F390" s="19" t="s">
        <v>1422</v>
      </c>
      <c r="G390" s="19" t="s">
        <v>4</v>
      </c>
      <c r="H390" s="19" t="s">
        <v>224</v>
      </c>
      <c r="I390" s="19" t="s">
        <v>1045</v>
      </c>
      <c r="J390" s="19" t="s">
        <v>24</v>
      </c>
      <c r="K390" s="19" t="s">
        <v>553</v>
      </c>
      <c r="L390" s="19">
        <v>2023</v>
      </c>
      <c r="M390" s="20">
        <v>1</v>
      </c>
      <c r="N390" s="19" t="s">
        <v>1798</v>
      </c>
      <c r="O390" s="20">
        <v>160</v>
      </c>
      <c r="P390" s="20">
        <v>160</v>
      </c>
      <c r="Q390" s="20">
        <v>9192.268799999998</v>
      </c>
      <c r="R390" s="21">
        <v>0.96</v>
      </c>
      <c r="S390" s="20">
        <v>9192.268799999998</v>
      </c>
    </row>
    <row r="391" spans="2:19" ht="15" customHeight="1" x14ac:dyDescent="0.25">
      <c r="B391" s="2" t="str">
        <f t="shared" si="12"/>
        <v>PGL_Residential_Multi-Family_Direct Install_Programmable Thermostat_Boiler (DI)_MF</v>
      </c>
      <c r="C391" s="2" t="str">
        <f t="shared" si="13"/>
        <v>PGL_Residential_Multi-Family_Direct Install_Programmable Thermostat_Boiler (DI)_MF_2024</v>
      </c>
      <c r="D391" s="19" t="s">
        <v>1794</v>
      </c>
      <c r="E391" s="19" t="s">
        <v>2</v>
      </c>
      <c r="F391" s="19" t="s">
        <v>1422</v>
      </c>
      <c r="G391" s="19" t="s">
        <v>4</v>
      </c>
      <c r="H391" s="19" t="s">
        <v>224</v>
      </c>
      <c r="I391" s="19" t="s">
        <v>1045</v>
      </c>
      <c r="J391" s="19" t="s">
        <v>24</v>
      </c>
      <c r="K391" s="19" t="s">
        <v>553</v>
      </c>
      <c r="L391" s="19">
        <v>2024</v>
      </c>
      <c r="M391" s="20">
        <v>1</v>
      </c>
      <c r="N391" s="19" t="s">
        <v>1798</v>
      </c>
      <c r="O391" s="20">
        <v>141</v>
      </c>
      <c r="P391" s="20">
        <v>141</v>
      </c>
      <c r="Q391" s="20">
        <v>8100.6868799999984</v>
      </c>
      <c r="R391" s="21">
        <v>0.96</v>
      </c>
      <c r="S391" s="20">
        <v>8100.6868799999984</v>
      </c>
    </row>
    <row r="392" spans="2:19" ht="15" customHeight="1" x14ac:dyDescent="0.25">
      <c r="B392" s="2" t="str">
        <f t="shared" si="12"/>
        <v>PGL_Residential_Multi-Family_Direct Install_Programmable Thermostat_Boiler (DI)_MF</v>
      </c>
      <c r="C392" s="2" t="str">
        <f t="shared" si="13"/>
        <v>PGL_Residential_Multi-Family_Direct Install_Programmable Thermostat_Boiler (DI)_MF_2025</v>
      </c>
      <c r="D392" s="19" t="s">
        <v>1794</v>
      </c>
      <c r="E392" s="19" t="s">
        <v>2</v>
      </c>
      <c r="F392" s="19" t="s">
        <v>1422</v>
      </c>
      <c r="G392" s="19" t="s">
        <v>4</v>
      </c>
      <c r="H392" s="19" t="s">
        <v>224</v>
      </c>
      <c r="I392" s="19" t="s">
        <v>1045</v>
      </c>
      <c r="J392" s="19" t="s">
        <v>24</v>
      </c>
      <c r="K392" s="19" t="s">
        <v>553</v>
      </c>
      <c r="L392" s="19">
        <v>2025</v>
      </c>
      <c r="M392" s="20">
        <v>1</v>
      </c>
      <c r="N392" s="19" t="s">
        <v>1798</v>
      </c>
      <c r="O392" s="20">
        <v>104</v>
      </c>
      <c r="P392" s="20">
        <v>104</v>
      </c>
      <c r="Q392" s="20">
        <v>5974.9747199999993</v>
      </c>
      <c r="R392" s="21">
        <v>0.96</v>
      </c>
      <c r="S392" s="20">
        <v>5974.9747199999993</v>
      </c>
    </row>
    <row r="393" spans="2:19" ht="15" customHeight="1" x14ac:dyDescent="0.25">
      <c r="B393" s="2" t="str">
        <f t="shared" si="12"/>
        <v>PGL_Residential_Multi-Family_Direct Install_Advanced Thermostat_Furnace (Replace Manual)_MF</v>
      </c>
      <c r="C393" s="2" t="str">
        <f t="shared" si="13"/>
        <v>PGL_Residential_Multi-Family_Direct Install_Advanced Thermostat_Furnace (Replace Manual)_MF_2022</v>
      </c>
      <c r="D393" s="19" t="s">
        <v>1794</v>
      </c>
      <c r="E393" s="19" t="s">
        <v>2</v>
      </c>
      <c r="F393" s="19" t="s">
        <v>1422</v>
      </c>
      <c r="G393" s="19" t="s">
        <v>4</v>
      </c>
      <c r="H393" s="19" t="s">
        <v>7</v>
      </c>
      <c r="I393" s="19" t="s">
        <v>1047</v>
      </c>
      <c r="J393" s="19" t="s">
        <v>24</v>
      </c>
      <c r="K393" s="19" t="s">
        <v>553</v>
      </c>
      <c r="L393" s="19">
        <v>2022</v>
      </c>
      <c r="M393" s="20">
        <v>1</v>
      </c>
      <c r="N393" s="19" t="s">
        <v>1798</v>
      </c>
      <c r="O393" s="20">
        <v>37</v>
      </c>
      <c r="P393" s="20">
        <v>37</v>
      </c>
      <c r="Q393" s="20">
        <v>2413.1577600000001</v>
      </c>
      <c r="R393" s="21">
        <v>0.96</v>
      </c>
      <c r="S393" s="20">
        <v>2413.1577600000001</v>
      </c>
    </row>
    <row r="394" spans="2:19" ht="15" customHeight="1" x14ac:dyDescent="0.25">
      <c r="B394" s="2" t="str">
        <f t="shared" si="12"/>
        <v>PGL_Residential_Multi-Family_Direct Install_Advanced Thermostat_Furnace (Replace Manual)_MF</v>
      </c>
      <c r="C394" s="2" t="str">
        <f t="shared" si="13"/>
        <v>PGL_Residential_Multi-Family_Direct Install_Advanced Thermostat_Furnace (Replace Manual)_MF_2023</v>
      </c>
      <c r="D394" s="19" t="s">
        <v>1794</v>
      </c>
      <c r="E394" s="19" t="s">
        <v>2</v>
      </c>
      <c r="F394" s="19" t="s">
        <v>1422</v>
      </c>
      <c r="G394" s="19" t="s">
        <v>4</v>
      </c>
      <c r="H394" s="19" t="s">
        <v>7</v>
      </c>
      <c r="I394" s="19" t="s">
        <v>1047</v>
      </c>
      <c r="J394" s="19" t="s">
        <v>24</v>
      </c>
      <c r="K394" s="19" t="s">
        <v>553</v>
      </c>
      <c r="L394" s="19">
        <v>2023</v>
      </c>
      <c r="M394" s="20">
        <v>1</v>
      </c>
      <c r="N394" s="19" t="s">
        <v>1798</v>
      </c>
      <c r="O394" s="20">
        <v>33</v>
      </c>
      <c r="P394" s="20">
        <v>33</v>
      </c>
      <c r="Q394" s="20">
        <v>2152.2758400000002</v>
      </c>
      <c r="R394" s="21">
        <v>0.96</v>
      </c>
      <c r="S394" s="20">
        <v>2152.2758400000002</v>
      </c>
    </row>
    <row r="395" spans="2:19" ht="15" customHeight="1" x14ac:dyDescent="0.25">
      <c r="B395" s="2" t="str">
        <f t="shared" si="12"/>
        <v>PGL_Residential_Multi-Family_Direct Install_Advanced Thermostat_Furnace (Replace Manual)_MF</v>
      </c>
      <c r="C395" s="2" t="str">
        <f t="shared" si="13"/>
        <v>PGL_Residential_Multi-Family_Direct Install_Advanced Thermostat_Furnace (Replace Manual)_MF_2024</v>
      </c>
      <c r="D395" s="19" t="s">
        <v>1794</v>
      </c>
      <c r="E395" s="19" t="s">
        <v>2</v>
      </c>
      <c r="F395" s="19" t="s">
        <v>1422</v>
      </c>
      <c r="G395" s="19" t="s">
        <v>4</v>
      </c>
      <c r="H395" s="19" t="s">
        <v>7</v>
      </c>
      <c r="I395" s="19" t="s">
        <v>1047</v>
      </c>
      <c r="J395" s="19" t="s">
        <v>24</v>
      </c>
      <c r="K395" s="19" t="s">
        <v>553</v>
      </c>
      <c r="L395" s="19">
        <v>2024</v>
      </c>
      <c r="M395" s="20">
        <v>1</v>
      </c>
      <c r="N395" s="19" t="s">
        <v>1798</v>
      </c>
      <c r="O395" s="20">
        <v>30</v>
      </c>
      <c r="P395" s="20">
        <v>30</v>
      </c>
      <c r="Q395" s="20">
        <v>1956.6143999999999</v>
      </c>
      <c r="R395" s="21">
        <v>0.96</v>
      </c>
      <c r="S395" s="20">
        <v>1956.6143999999999</v>
      </c>
    </row>
    <row r="396" spans="2:19" ht="15" customHeight="1" x14ac:dyDescent="0.25">
      <c r="B396" s="2" t="str">
        <f t="shared" si="12"/>
        <v>PGL_Residential_Multi-Family_Direct Install_Advanced Thermostat_Furnace (Replace Manual)_MF</v>
      </c>
      <c r="C396" s="2" t="str">
        <f t="shared" si="13"/>
        <v>PGL_Residential_Multi-Family_Direct Install_Advanced Thermostat_Furnace (Replace Manual)_MF_2025</v>
      </c>
      <c r="D396" s="19" t="s">
        <v>1794</v>
      </c>
      <c r="E396" s="19" t="s">
        <v>2</v>
      </c>
      <c r="F396" s="19" t="s">
        <v>1422</v>
      </c>
      <c r="G396" s="19" t="s">
        <v>4</v>
      </c>
      <c r="H396" s="19" t="s">
        <v>7</v>
      </c>
      <c r="I396" s="19" t="s">
        <v>1047</v>
      </c>
      <c r="J396" s="19" t="s">
        <v>24</v>
      </c>
      <c r="K396" s="19" t="s">
        <v>553</v>
      </c>
      <c r="L396" s="19">
        <v>2025</v>
      </c>
      <c r="M396" s="20">
        <v>1</v>
      </c>
      <c r="N396" s="19" t="s">
        <v>1798</v>
      </c>
      <c r="O396" s="20">
        <v>22</v>
      </c>
      <c r="P396" s="20">
        <v>22</v>
      </c>
      <c r="Q396" s="20">
        <v>1434.8505599999999</v>
      </c>
      <c r="R396" s="21">
        <v>0.96</v>
      </c>
      <c r="S396" s="20">
        <v>1434.8505599999999</v>
      </c>
    </row>
    <row r="397" spans="2:19" ht="15" customHeight="1" x14ac:dyDescent="0.25">
      <c r="B397" s="2" t="str">
        <f t="shared" si="12"/>
        <v>PGL_Residential_Multi-Family_Direct Install_Advanced Thermostat_Boiler (Replace Manual)_MF</v>
      </c>
      <c r="C397" s="2" t="str">
        <f t="shared" si="13"/>
        <v>PGL_Residential_Multi-Family_Direct Install_Advanced Thermostat_Boiler (Replace Manual)_MF_2022</v>
      </c>
      <c r="D397" s="19" t="s">
        <v>1794</v>
      </c>
      <c r="E397" s="19" t="s">
        <v>2</v>
      </c>
      <c r="F397" s="19" t="s">
        <v>1422</v>
      </c>
      <c r="G397" s="19" t="s">
        <v>4</v>
      </c>
      <c r="H397" s="19" t="s">
        <v>7</v>
      </c>
      <c r="I397" s="19" t="s">
        <v>1051</v>
      </c>
      <c r="J397" s="19" t="s">
        <v>24</v>
      </c>
      <c r="K397" s="19" t="s">
        <v>553</v>
      </c>
      <c r="L397" s="19">
        <v>2022</v>
      </c>
      <c r="M397" s="20">
        <v>1</v>
      </c>
      <c r="N397" s="19" t="s">
        <v>1798</v>
      </c>
      <c r="O397" s="20">
        <v>36</v>
      </c>
      <c r="P397" s="20">
        <v>36</v>
      </c>
      <c r="Q397" s="20">
        <v>3469.3401599999997</v>
      </c>
      <c r="R397" s="21">
        <v>0.96</v>
      </c>
      <c r="S397" s="20">
        <v>3469.3401599999997</v>
      </c>
    </row>
    <row r="398" spans="2:19" ht="15" customHeight="1" x14ac:dyDescent="0.25">
      <c r="B398" s="2" t="str">
        <f t="shared" si="12"/>
        <v>PGL_Residential_Multi-Family_Direct Install_Advanced Thermostat_Boiler (Replace Manual)_MF</v>
      </c>
      <c r="C398" s="2" t="str">
        <f t="shared" si="13"/>
        <v>PGL_Residential_Multi-Family_Direct Install_Advanced Thermostat_Boiler (Replace Manual)_MF_2023</v>
      </c>
      <c r="D398" s="19" t="s">
        <v>1794</v>
      </c>
      <c r="E398" s="19" t="s">
        <v>2</v>
      </c>
      <c r="F398" s="19" t="s">
        <v>1422</v>
      </c>
      <c r="G398" s="19" t="s">
        <v>4</v>
      </c>
      <c r="H398" s="19" t="s">
        <v>7</v>
      </c>
      <c r="I398" s="19" t="s">
        <v>1051</v>
      </c>
      <c r="J398" s="19" t="s">
        <v>24</v>
      </c>
      <c r="K398" s="19" t="s">
        <v>553</v>
      </c>
      <c r="L398" s="19">
        <v>2023</v>
      </c>
      <c r="M398" s="20">
        <v>1</v>
      </c>
      <c r="N398" s="19" t="s">
        <v>1798</v>
      </c>
      <c r="O398" s="20">
        <v>32</v>
      </c>
      <c r="P398" s="20">
        <v>32</v>
      </c>
      <c r="Q398" s="20">
        <v>3083.8579199999999</v>
      </c>
      <c r="R398" s="21">
        <v>0.96</v>
      </c>
      <c r="S398" s="20">
        <v>3083.8579199999999</v>
      </c>
    </row>
    <row r="399" spans="2:19" ht="15" customHeight="1" x14ac:dyDescent="0.25">
      <c r="B399" s="2" t="str">
        <f t="shared" si="12"/>
        <v>PGL_Residential_Multi-Family_Direct Install_Advanced Thermostat_Boiler (Replace Manual)_MF</v>
      </c>
      <c r="C399" s="2" t="str">
        <f t="shared" si="13"/>
        <v>PGL_Residential_Multi-Family_Direct Install_Advanced Thermostat_Boiler (Replace Manual)_MF_2024</v>
      </c>
      <c r="D399" s="19" t="s">
        <v>1794</v>
      </c>
      <c r="E399" s="19" t="s">
        <v>2</v>
      </c>
      <c r="F399" s="19" t="s">
        <v>1422</v>
      </c>
      <c r="G399" s="19" t="s">
        <v>4</v>
      </c>
      <c r="H399" s="19" t="s">
        <v>7</v>
      </c>
      <c r="I399" s="19" t="s">
        <v>1051</v>
      </c>
      <c r="J399" s="19" t="s">
        <v>24</v>
      </c>
      <c r="K399" s="19" t="s">
        <v>553</v>
      </c>
      <c r="L399" s="19">
        <v>2024</v>
      </c>
      <c r="M399" s="20">
        <v>1</v>
      </c>
      <c r="N399" s="19" t="s">
        <v>1798</v>
      </c>
      <c r="O399" s="20">
        <v>28</v>
      </c>
      <c r="P399" s="20">
        <v>28</v>
      </c>
      <c r="Q399" s="20">
        <v>2698.3756800000001</v>
      </c>
      <c r="R399" s="21">
        <v>0.96</v>
      </c>
      <c r="S399" s="20">
        <v>2698.3756800000001</v>
      </c>
    </row>
    <row r="400" spans="2:19" ht="15" customHeight="1" x14ac:dyDescent="0.25">
      <c r="B400" s="2" t="str">
        <f t="shared" si="12"/>
        <v>PGL_Residential_Multi-Family_Direct Install_Advanced Thermostat_Boiler (Replace Manual)_MF</v>
      </c>
      <c r="C400" s="2" t="str">
        <f t="shared" si="13"/>
        <v>PGL_Residential_Multi-Family_Direct Install_Advanced Thermostat_Boiler (Replace Manual)_MF_2025</v>
      </c>
      <c r="D400" s="19" t="s">
        <v>1794</v>
      </c>
      <c r="E400" s="19" t="s">
        <v>2</v>
      </c>
      <c r="F400" s="19" t="s">
        <v>1422</v>
      </c>
      <c r="G400" s="19" t="s">
        <v>4</v>
      </c>
      <c r="H400" s="19" t="s">
        <v>7</v>
      </c>
      <c r="I400" s="19" t="s">
        <v>1051</v>
      </c>
      <c r="J400" s="19" t="s">
        <v>24</v>
      </c>
      <c r="K400" s="19" t="s">
        <v>553</v>
      </c>
      <c r="L400" s="19">
        <v>2025</v>
      </c>
      <c r="M400" s="20">
        <v>1</v>
      </c>
      <c r="N400" s="19" t="s">
        <v>1798</v>
      </c>
      <c r="O400" s="20">
        <v>21</v>
      </c>
      <c r="P400" s="20">
        <v>21</v>
      </c>
      <c r="Q400" s="20">
        <v>2023.7817599999996</v>
      </c>
      <c r="R400" s="21">
        <v>0.96</v>
      </c>
      <c r="S400" s="20">
        <v>2023.7817599999996</v>
      </c>
    </row>
    <row r="401" spans="2:19" ht="15" customHeight="1" x14ac:dyDescent="0.25">
      <c r="B401" s="2" t="str">
        <f t="shared" si="12"/>
        <v>PGL_Residential_Multi-Family_Direct Install_Advanced Thermostat_Furnace (Replace Programmable)_MF</v>
      </c>
      <c r="C401" s="2" t="str">
        <f t="shared" si="13"/>
        <v>PGL_Residential_Multi-Family_Direct Install_Advanced Thermostat_Furnace (Replace Programmable)_MF_2022</v>
      </c>
      <c r="D401" s="19" t="s">
        <v>1794</v>
      </c>
      <c r="E401" s="19" t="s">
        <v>2</v>
      </c>
      <c r="F401" s="19" t="s">
        <v>1422</v>
      </c>
      <c r="G401" s="19" t="s">
        <v>4</v>
      </c>
      <c r="H401" s="19" t="s">
        <v>7</v>
      </c>
      <c r="I401" s="19" t="s">
        <v>1049</v>
      </c>
      <c r="J401" s="19" t="s">
        <v>24</v>
      </c>
      <c r="K401" s="19" t="s">
        <v>553</v>
      </c>
      <c r="L401" s="19">
        <v>2022</v>
      </c>
      <c r="M401" s="20">
        <v>1</v>
      </c>
      <c r="N401" s="19" t="s">
        <v>1798</v>
      </c>
      <c r="O401" s="20">
        <v>72</v>
      </c>
      <c r="P401" s="20">
        <v>72</v>
      </c>
      <c r="Q401" s="20">
        <v>3296.1427199999998</v>
      </c>
      <c r="R401" s="21">
        <v>0.96</v>
      </c>
      <c r="S401" s="20">
        <v>3296.1427199999998</v>
      </c>
    </row>
    <row r="402" spans="2:19" ht="15" customHeight="1" x14ac:dyDescent="0.25">
      <c r="B402" s="2" t="str">
        <f t="shared" si="12"/>
        <v>PGL_Residential_Multi-Family_Direct Install_Advanced Thermostat_Furnace (Replace Programmable)_MF</v>
      </c>
      <c r="C402" s="2" t="str">
        <f t="shared" si="13"/>
        <v>PGL_Residential_Multi-Family_Direct Install_Advanced Thermostat_Furnace (Replace Programmable)_MF_2023</v>
      </c>
      <c r="D402" s="19" t="s">
        <v>1794</v>
      </c>
      <c r="E402" s="19" t="s">
        <v>2</v>
      </c>
      <c r="F402" s="19" t="s">
        <v>1422</v>
      </c>
      <c r="G402" s="19" t="s">
        <v>4</v>
      </c>
      <c r="H402" s="19" t="s">
        <v>7</v>
      </c>
      <c r="I402" s="19" t="s">
        <v>1049</v>
      </c>
      <c r="J402" s="19" t="s">
        <v>24</v>
      </c>
      <c r="K402" s="19" t="s">
        <v>553</v>
      </c>
      <c r="L402" s="19">
        <v>2023</v>
      </c>
      <c r="M402" s="20">
        <v>1</v>
      </c>
      <c r="N402" s="19" t="s">
        <v>1798</v>
      </c>
      <c r="O402" s="20">
        <v>64</v>
      </c>
      <c r="P402" s="20">
        <v>64</v>
      </c>
      <c r="Q402" s="20">
        <v>2929.9046399999997</v>
      </c>
      <c r="R402" s="21">
        <v>0.96</v>
      </c>
      <c r="S402" s="20">
        <v>2929.9046399999997</v>
      </c>
    </row>
    <row r="403" spans="2:19" ht="15" customHeight="1" x14ac:dyDescent="0.25">
      <c r="B403" s="2" t="str">
        <f t="shared" si="12"/>
        <v>PGL_Residential_Multi-Family_Direct Install_Advanced Thermostat_Furnace (Replace Programmable)_MF</v>
      </c>
      <c r="C403" s="2" t="str">
        <f t="shared" si="13"/>
        <v>PGL_Residential_Multi-Family_Direct Install_Advanced Thermostat_Furnace (Replace Programmable)_MF_2024</v>
      </c>
      <c r="D403" s="19" t="s">
        <v>1794</v>
      </c>
      <c r="E403" s="19" t="s">
        <v>2</v>
      </c>
      <c r="F403" s="19" t="s">
        <v>1422</v>
      </c>
      <c r="G403" s="19" t="s">
        <v>4</v>
      </c>
      <c r="H403" s="19" t="s">
        <v>7</v>
      </c>
      <c r="I403" s="19" t="s">
        <v>1049</v>
      </c>
      <c r="J403" s="19" t="s">
        <v>24</v>
      </c>
      <c r="K403" s="19" t="s">
        <v>553</v>
      </c>
      <c r="L403" s="19">
        <v>2024</v>
      </c>
      <c r="M403" s="20">
        <v>1</v>
      </c>
      <c r="N403" s="19" t="s">
        <v>1798</v>
      </c>
      <c r="O403" s="20">
        <v>57</v>
      </c>
      <c r="P403" s="20">
        <v>57</v>
      </c>
      <c r="Q403" s="20">
        <v>2609.4463199999996</v>
      </c>
      <c r="R403" s="21">
        <v>0.96</v>
      </c>
      <c r="S403" s="20">
        <v>2609.4463199999996</v>
      </c>
    </row>
    <row r="404" spans="2:19" ht="15" customHeight="1" x14ac:dyDescent="0.25">
      <c r="B404" s="2" t="str">
        <f t="shared" si="12"/>
        <v>PGL_Residential_Multi-Family_Direct Install_Advanced Thermostat_Furnace (Replace Programmable)_MF</v>
      </c>
      <c r="C404" s="2" t="str">
        <f t="shared" si="13"/>
        <v>PGL_Residential_Multi-Family_Direct Install_Advanced Thermostat_Furnace (Replace Programmable)_MF_2025</v>
      </c>
      <c r="D404" s="19" t="s">
        <v>1794</v>
      </c>
      <c r="E404" s="19" t="s">
        <v>2</v>
      </c>
      <c r="F404" s="19" t="s">
        <v>1422</v>
      </c>
      <c r="G404" s="19" t="s">
        <v>4</v>
      </c>
      <c r="H404" s="19" t="s">
        <v>7</v>
      </c>
      <c r="I404" s="19" t="s">
        <v>1049</v>
      </c>
      <c r="J404" s="19" t="s">
        <v>24</v>
      </c>
      <c r="K404" s="19" t="s">
        <v>553</v>
      </c>
      <c r="L404" s="19">
        <v>2025</v>
      </c>
      <c r="M404" s="20">
        <v>1</v>
      </c>
      <c r="N404" s="19" t="s">
        <v>1798</v>
      </c>
      <c r="O404" s="20">
        <v>42</v>
      </c>
      <c r="P404" s="20">
        <v>42</v>
      </c>
      <c r="Q404" s="20">
        <v>1922.7499199999997</v>
      </c>
      <c r="R404" s="21">
        <v>0.96</v>
      </c>
      <c r="S404" s="20">
        <v>1922.7499199999997</v>
      </c>
    </row>
    <row r="405" spans="2:19" ht="15" customHeight="1" x14ac:dyDescent="0.25">
      <c r="B405" s="2" t="str">
        <f t="shared" si="12"/>
        <v>PGL_Residential_Multi-Family_Direct Install_Advanced Thermostat_Boiler (Replace Programmable)_MF</v>
      </c>
      <c r="C405" s="2" t="str">
        <f t="shared" si="13"/>
        <v>PGL_Residential_Multi-Family_Direct Install_Advanced Thermostat_Boiler (Replace Programmable)_MF_2022</v>
      </c>
      <c r="D405" s="19" t="s">
        <v>1794</v>
      </c>
      <c r="E405" s="19" t="s">
        <v>2</v>
      </c>
      <c r="F405" s="19" t="s">
        <v>1422</v>
      </c>
      <c r="G405" s="19" t="s">
        <v>4</v>
      </c>
      <c r="H405" s="19" t="s">
        <v>7</v>
      </c>
      <c r="I405" s="19" t="s">
        <v>1052</v>
      </c>
      <c r="J405" s="19" t="s">
        <v>24</v>
      </c>
      <c r="K405" s="19" t="s">
        <v>553</v>
      </c>
      <c r="L405" s="19">
        <v>2022</v>
      </c>
      <c r="M405" s="20">
        <v>1</v>
      </c>
      <c r="N405" s="19" t="s">
        <v>1798</v>
      </c>
      <c r="O405" s="20">
        <v>73</v>
      </c>
      <c r="P405" s="20">
        <v>73</v>
      </c>
      <c r="Q405" s="20">
        <v>4938.0645599999989</v>
      </c>
      <c r="R405" s="21">
        <v>0.96</v>
      </c>
      <c r="S405" s="20">
        <v>4938.0645599999989</v>
      </c>
    </row>
    <row r="406" spans="2:19" ht="15" customHeight="1" x14ac:dyDescent="0.25">
      <c r="B406" s="2" t="str">
        <f t="shared" si="12"/>
        <v>PGL_Residential_Multi-Family_Direct Install_Advanced Thermostat_Boiler (Replace Programmable)_MF</v>
      </c>
      <c r="C406" s="2" t="str">
        <f t="shared" si="13"/>
        <v>PGL_Residential_Multi-Family_Direct Install_Advanced Thermostat_Boiler (Replace Programmable)_MF_2023</v>
      </c>
      <c r="D406" s="19" t="s">
        <v>1794</v>
      </c>
      <c r="E406" s="19" t="s">
        <v>2</v>
      </c>
      <c r="F406" s="19" t="s">
        <v>1422</v>
      </c>
      <c r="G406" s="19" t="s">
        <v>4</v>
      </c>
      <c r="H406" s="19" t="s">
        <v>7</v>
      </c>
      <c r="I406" s="19" t="s">
        <v>1052</v>
      </c>
      <c r="J406" s="19" t="s">
        <v>24</v>
      </c>
      <c r="K406" s="19" t="s">
        <v>553</v>
      </c>
      <c r="L406" s="19">
        <v>2023</v>
      </c>
      <c r="M406" s="20">
        <v>1</v>
      </c>
      <c r="N406" s="19" t="s">
        <v>1798</v>
      </c>
      <c r="O406" s="20">
        <v>65</v>
      </c>
      <c r="P406" s="20">
        <v>65</v>
      </c>
      <c r="Q406" s="20">
        <v>4396.9067999999988</v>
      </c>
      <c r="R406" s="21">
        <v>0.96</v>
      </c>
      <c r="S406" s="20">
        <v>4396.9067999999988</v>
      </c>
    </row>
    <row r="407" spans="2:19" ht="15" customHeight="1" x14ac:dyDescent="0.25">
      <c r="B407" s="2" t="str">
        <f t="shared" si="12"/>
        <v>PGL_Residential_Multi-Family_Direct Install_Advanced Thermostat_Boiler (Replace Programmable)_MF</v>
      </c>
      <c r="C407" s="2" t="str">
        <f t="shared" si="13"/>
        <v>PGL_Residential_Multi-Family_Direct Install_Advanced Thermostat_Boiler (Replace Programmable)_MF_2024</v>
      </c>
      <c r="D407" s="19" t="s">
        <v>1794</v>
      </c>
      <c r="E407" s="19" t="s">
        <v>2</v>
      </c>
      <c r="F407" s="19" t="s">
        <v>1422</v>
      </c>
      <c r="G407" s="19" t="s">
        <v>4</v>
      </c>
      <c r="H407" s="19" t="s">
        <v>7</v>
      </c>
      <c r="I407" s="19" t="s">
        <v>1052</v>
      </c>
      <c r="J407" s="19" t="s">
        <v>24</v>
      </c>
      <c r="K407" s="19" t="s">
        <v>553</v>
      </c>
      <c r="L407" s="19">
        <v>2024</v>
      </c>
      <c r="M407" s="20">
        <v>1</v>
      </c>
      <c r="N407" s="19" t="s">
        <v>1798</v>
      </c>
      <c r="O407" s="20">
        <v>57</v>
      </c>
      <c r="P407" s="20">
        <v>57</v>
      </c>
      <c r="Q407" s="20">
        <v>3855.7490399999992</v>
      </c>
      <c r="R407" s="21">
        <v>0.96</v>
      </c>
      <c r="S407" s="20">
        <v>3855.7490399999992</v>
      </c>
    </row>
    <row r="408" spans="2:19" ht="15" customHeight="1" x14ac:dyDescent="0.25">
      <c r="B408" s="2" t="str">
        <f t="shared" si="12"/>
        <v>PGL_Residential_Multi-Family_Direct Install_Advanced Thermostat_Boiler (Replace Programmable)_MF</v>
      </c>
      <c r="C408" s="2" t="str">
        <f t="shared" si="13"/>
        <v>PGL_Residential_Multi-Family_Direct Install_Advanced Thermostat_Boiler (Replace Programmable)_MF_2025</v>
      </c>
      <c r="D408" s="19" t="s">
        <v>1794</v>
      </c>
      <c r="E408" s="19" t="s">
        <v>2</v>
      </c>
      <c r="F408" s="19" t="s">
        <v>1422</v>
      </c>
      <c r="G408" s="19" t="s">
        <v>4</v>
      </c>
      <c r="H408" s="19" t="s">
        <v>7</v>
      </c>
      <c r="I408" s="19" t="s">
        <v>1052</v>
      </c>
      <c r="J408" s="19" t="s">
        <v>24</v>
      </c>
      <c r="K408" s="19" t="s">
        <v>553</v>
      </c>
      <c r="L408" s="19">
        <v>2025</v>
      </c>
      <c r="M408" s="20">
        <v>1</v>
      </c>
      <c r="N408" s="19" t="s">
        <v>1798</v>
      </c>
      <c r="O408" s="20">
        <v>42</v>
      </c>
      <c r="P408" s="20">
        <v>42</v>
      </c>
      <c r="Q408" s="20">
        <v>2841.0782399999994</v>
      </c>
      <c r="R408" s="21">
        <v>0.96</v>
      </c>
      <c r="S408" s="20">
        <v>2841.0782399999994</v>
      </c>
    </row>
    <row r="409" spans="2:19" ht="15" customHeight="1" x14ac:dyDescent="0.25">
      <c r="B409" s="2" t="str">
        <f t="shared" si="12"/>
        <v>PGL_Residential_Multi-Family_Direct Install_Thermostat - Reprogram_Boiler (DI)_MF</v>
      </c>
      <c r="C409" s="2" t="str">
        <f t="shared" si="13"/>
        <v>PGL_Residential_Multi-Family_Direct Install_Thermostat - Reprogram_Boiler (DI)_MF_2022</v>
      </c>
      <c r="D409" s="19" t="s">
        <v>1794</v>
      </c>
      <c r="E409" s="19" t="s">
        <v>2</v>
      </c>
      <c r="F409" s="19" t="s">
        <v>1422</v>
      </c>
      <c r="G409" s="19" t="s">
        <v>4</v>
      </c>
      <c r="H409" s="19" t="s">
        <v>1055</v>
      </c>
      <c r="I409" s="19" t="s">
        <v>1045</v>
      </c>
      <c r="J409" s="19" t="s">
        <v>24</v>
      </c>
      <c r="K409" s="19" t="s">
        <v>553</v>
      </c>
      <c r="L409" s="19">
        <v>2022</v>
      </c>
      <c r="M409" s="20">
        <v>1</v>
      </c>
      <c r="N409" s="19" t="s">
        <v>1798</v>
      </c>
      <c r="O409" s="20">
        <v>2</v>
      </c>
      <c r="P409" s="20">
        <v>2</v>
      </c>
      <c r="Q409" s="20">
        <v>115.05811200000001</v>
      </c>
      <c r="R409" s="21">
        <v>0.96</v>
      </c>
      <c r="S409" s="20">
        <v>115.05811200000001</v>
      </c>
    </row>
    <row r="410" spans="2:19" ht="15" customHeight="1" x14ac:dyDescent="0.25">
      <c r="B410" s="2" t="str">
        <f t="shared" si="12"/>
        <v>PGL_Residential_Multi-Family_Direct Install_Thermostat - Reprogram_Boiler (DI)_MF</v>
      </c>
      <c r="C410" s="2" t="str">
        <f t="shared" si="13"/>
        <v>PGL_Residential_Multi-Family_Direct Install_Thermostat - Reprogram_Boiler (DI)_MF_2023</v>
      </c>
      <c r="D410" s="19" t="s">
        <v>1794</v>
      </c>
      <c r="E410" s="19" t="s">
        <v>2</v>
      </c>
      <c r="F410" s="19" t="s">
        <v>1422</v>
      </c>
      <c r="G410" s="19" t="s">
        <v>4</v>
      </c>
      <c r="H410" s="19" t="s">
        <v>1055</v>
      </c>
      <c r="I410" s="19" t="s">
        <v>1045</v>
      </c>
      <c r="J410" s="19" t="s">
        <v>24</v>
      </c>
      <c r="K410" s="19" t="s">
        <v>553</v>
      </c>
      <c r="L410" s="19">
        <v>2023</v>
      </c>
      <c r="M410" s="20">
        <v>1</v>
      </c>
      <c r="N410" s="19" t="s">
        <v>1798</v>
      </c>
      <c r="O410" s="20">
        <v>2</v>
      </c>
      <c r="P410" s="20">
        <v>2</v>
      </c>
      <c r="Q410" s="20">
        <v>115.05811200000001</v>
      </c>
      <c r="R410" s="21">
        <v>0.96</v>
      </c>
      <c r="S410" s="20">
        <v>115.05811200000001</v>
      </c>
    </row>
    <row r="411" spans="2:19" ht="15" customHeight="1" x14ac:dyDescent="0.25">
      <c r="B411" s="2" t="str">
        <f t="shared" si="12"/>
        <v>PGL_Residential_Multi-Family_Direct Install_Thermostat - Reprogram_Boiler (DI)_MF</v>
      </c>
      <c r="C411" s="2" t="str">
        <f t="shared" si="13"/>
        <v>PGL_Residential_Multi-Family_Direct Install_Thermostat - Reprogram_Boiler (DI)_MF_2024</v>
      </c>
      <c r="D411" s="19" t="s">
        <v>1794</v>
      </c>
      <c r="E411" s="19" t="s">
        <v>2</v>
      </c>
      <c r="F411" s="19" t="s">
        <v>1422</v>
      </c>
      <c r="G411" s="19" t="s">
        <v>4</v>
      </c>
      <c r="H411" s="19" t="s">
        <v>1055</v>
      </c>
      <c r="I411" s="19" t="s">
        <v>1045</v>
      </c>
      <c r="J411" s="19" t="s">
        <v>24</v>
      </c>
      <c r="K411" s="19" t="s">
        <v>553</v>
      </c>
      <c r="L411" s="19">
        <v>2024</v>
      </c>
      <c r="M411" s="20">
        <v>1</v>
      </c>
      <c r="N411" s="19" t="s">
        <v>1798</v>
      </c>
      <c r="O411" s="20">
        <v>1</v>
      </c>
      <c r="P411" s="20">
        <v>1</v>
      </c>
      <c r="Q411" s="20">
        <v>57.529056000000004</v>
      </c>
      <c r="R411" s="21">
        <v>0.96</v>
      </c>
      <c r="S411" s="20">
        <v>57.529056000000004</v>
      </c>
    </row>
    <row r="412" spans="2:19" ht="15" customHeight="1" x14ac:dyDescent="0.25">
      <c r="B412" s="2" t="str">
        <f t="shared" si="12"/>
        <v>PGL_Residential_Multi-Family_Direct Install_Thermostat - Reprogram_Boiler (DI)_MF</v>
      </c>
      <c r="C412" s="2" t="str">
        <f t="shared" si="13"/>
        <v>PGL_Residential_Multi-Family_Direct Install_Thermostat - Reprogram_Boiler (DI)_MF_2025</v>
      </c>
      <c r="D412" s="19" t="s">
        <v>1794</v>
      </c>
      <c r="E412" s="19" t="s">
        <v>2</v>
      </c>
      <c r="F412" s="19" t="s">
        <v>1422</v>
      </c>
      <c r="G412" s="19" t="s">
        <v>4</v>
      </c>
      <c r="H412" s="19" t="s">
        <v>1055</v>
      </c>
      <c r="I412" s="19" t="s">
        <v>1045</v>
      </c>
      <c r="J412" s="19" t="s">
        <v>24</v>
      </c>
      <c r="K412" s="19" t="s">
        <v>553</v>
      </c>
      <c r="L412" s="19">
        <v>2025</v>
      </c>
      <c r="M412" s="20">
        <v>1</v>
      </c>
      <c r="N412" s="19" t="s">
        <v>1798</v>
      </c>
      <c r="O412" s="20">
        <v>1</v>
      </c>
      <c r="P412" s="20">
        <v>1</v>
      </c>
      <c r="Q412" s="20">
        <v>57.529056000000004</v>
      </c>
      <c r="R412" s="21">
        <v>0.96</v>
      </c>
      <c r="S412" s="20">
        <v>57.529056000000004</v>
      </c>
    </row>
    <row r="413" spans="2:19" ht="15" customHeight="1" x14ac:dyDescent="0.25">
      <c r="B413" s="2" t="str">
        <f t="shared" si="12"/>
        <v>PGL_Residential_Multi-Family_Direct Install_Thermostat - Reprogram_Furnace (DI)_MF</v>
      </c>
      <c r="C413" s="2" t="str">
        <f t="shared" si="13"/>
        <v>PGL_Residential_Multi-Family_Direct Install_Thermostat - Reprogram_Furnace (DI)_MF_2022</v>
      </c>
      <c r="D413" s="19" t="s">
        <v>1794</v>
      </c>
      <c r="E413" s="19" t="s">
        <v>2</v>
      </c>
      <c r="F413" s="19" t="s">
        <v>1422</v>
      </c>
      <c r="G413" s="19" t="s">
        <v>4</v>
      </c>
      <c r="H413" s="19" t="s">
        <v>1055</v>
      </c>
      <c r="I413" s="19" t="s">
        <v>1038</v>
      </c>
      <c r="J413" s="19" t="s">
        <v>24</v>
      </c>
      <c r="K413" s="19" t="s">
        <v>553</v>
      </c>
      <c r="L413" s="19">
        <v>2022</v>
      </c>
      <c r="M413" s="20">
        <v>1</v>
      </c>
      <c r="N413" s="19" t="s">
        <v>1798</v>
      </c>
      <c r="O413" s="20">
        <v>2</v>
      </c>
      <c r="P413" s="20">
        <v>2</v>
      </c>
      <c r="Q413" s="20">
        <v>77.762879999999996</v>
      </c>
      <c r="R413" s="21">
        <v>0.96</v>
      </c>
      <c r="S413" s="20">
        <v>77.762879999999996</v>
      </c>
    </row>
    <row r="414" spans="2:19" ht="15" customHeight="1" x14ac:dyDescent="0.25">
      <c r="B414" s="2" t="str">
        <f t="shared" si="12"/>
        <v>PGL_Residential_Multi-Family_Direct Install_Thermostat - Reprogram_Furnace (DI)_MF</v>
      </c>
      <c r="C414" s="2" t="str">
        <f t="shared" si="13"/>
        <v>PGL_Residential_Multi-Family_Direct Install_Thermostat - Reprogram_Furnace (DI)_MF_2023</v>
      </c>
      <c r="D414" s="19" t="s">
        <v>1794</v>
      </c>
      <c r="E414" s="19" t="s">
        <v>2</v>
      </c>
      <c r="F414" s="19" t="s">
        <v>1422</v>
      </c>
      <c r="G414" s="19" t="s">
        <v>4</v>
      </c>
      <c r="H414" s="19" t="s">
        <v>1055</v>
      </c>
      <c r="I414" s="19" t="s">
        <v>1038</v>
      </c>
      <c r="J414" s="19" t="s">
        <v>24</v>
      </c>
      <c r="K414" s="19" t="s">
        <v>553</v>
      </c>
      <c r="L414" s="19">
        <v>2023</v>
      </c>
      <c r="M414" s="20">
        <v>1</v>
      </c>
      <c r="N414" s="19" t="s">
        <v>1798</v>
      </c>
      <c r="O414" s="20">
        <v>2</v>
      </c>
      <c r="P414" s="20">
        <v>2</v>
      </c>
      <c r="Q414" s="20">
        <v>77.762879999999996</v>
      </c>
      <c r="R414" s="21">
        <v>0.96</v>
      </c>
      <c r="S414" s="20">
        <v>77.762879999999996</v>
      </c>
    </row>
    <row r="415" spans="2:19" ht="15" customHeight="1" x14ac:dyDescent="0.25">
      <c r="B415" s="2" t="str">
        <f t="shared" si="12"/>
        <v>PGL_Residential_Multi-Family_Direct Install_Thermostat - Reprogram_Furnace (DI)_MF</v>
      </c>
      <c r="C415" s="2" t="str">
        <f t="shared" si="13"/>
        <v>PGL_Residential_Multi-Family_Direct Install_Thermostat - Reprogram_Furnace (DI)_MF_2024</v>
      </c>
      <c r="D415" s="19" t="s">
        <v>1794</v>
      </c>
      <c r="E415" s="19" t="s">
        <v>2</v>
      </c>
      <c r="F415" s="19" t="s">
        <v>1422</v>
      </c>
      <c r="G415" s="19" t="s">
        <v>4</v>
      </c>
      <c r="H415" s="19" t="s">
        <v>1055</v>
      </c>
      <c r="I415" s="19" t="s">
        <v>1038</v>
      </c>
      <c r="J415" s="19" t="s">
        <v>24</v>
      </c>
      <c r="K415" s="19" t="s">
        <v>553</v>
      </c>
      <c r="L415" s="19">
        <v>2024</v>
      </c>
      <c r="M415" s="20">
        <v>1</v>
      </c>
      <c r="N415" s="19" t="s">
        <v>1798</v>
      </c>
      <c r="O415" s="20">
        <v>1</v>
      </c>
      <c r="P415" s="20">
        <v>1</v>
      </c>
      <c r="Q415" s="20">
        <v>38.881439999999998</v>
      </c>
      <c r="R415" s="21">
        <v>0.96</v>
      </c>
      <c r="S415" s="20">
        <v>38.881439999999998</v>
      </c>
    </row>
    <row r="416" spans="2:19" ht="15" customHeight="1" x14ac:dyDescent="0.25">
      <c r="B416" s="2" t="str">
        <f t="shared" si="12"/>
        <v>PGL_Residential_Multi-Family_Direct Install_Thermostat - Reprogram_Furnace (DI)_MF</v>
      </c>
      <c r="C416" s="2" t="str">
        <f t="shared" si="13"/>
        <v>PGL_Residential_Multi-Family_Direct Install_Thermostat - Reprogram_Furnace (DI)_MF_2025</v>
      </c>
      <c r="D416" s="19" t="s">
        <v>1794</v>
      </c>
      <c r="E416" s="19" t="s">
        <v>2</v>
      </c>
      <c r="F416" s="19" t="s">
        <v>1422</v>
      </c>
      <c r="G416" s="19" t="s">
        <v>4</v>
      </c>
      <c r="H416" s="19" t="s">
        <v>1055</v>
      </c>
      <c r="I416" s="19" t="s">
        <v>1038</v>
      </c>
      <c r="J416" s="19" t="s">
        <v>24</v>
      </c>
      <c r="K416" s="19" t="s">
        <v>553</v>
      </c>
      <c r="L416" s="19">
        <v>2025</v>
      </c>
      <c r="M416" s="20">
        <v>1</v>
      </c>
      <c r="N416" s="19" t="s">
        <v>1798</v>
      </c>
      <c r="O416" s="20">
        <v>1</v>
      </c>
      <c r="P416" s="20">
        <v>1</v>
      </c>
      <c r="Q416" s="20">
        <v>38.881439999999998</v>
      </c>
      <c r="R416" s="21">
        <v>0.96</v>
      </c>
      <c r="S416" s="20">
        <v>38.881439999999998</v>
      </c>
    </row>
    <row r="417" spans="2:19" ht="15" customHeight="1" x14ac:dyDescent="0.25">
      <c r="B417" s="2" t="str">
        <f t="shared" si="12"/>
        <v>PGL_Residential_Multi-Family_Direct Install_Shower Timer_0_MF</v>
      </c>
      <c r="C417" s="2" t="str">
        <f t="shared" si="13"/>
        <v>PGL_Residential_Multi-Family_Direct Install_Shower Timer_0_MF_2022</v>
      </c>
      <c r="D417" s="19" t="s">
        <v>1794</v>
      </c>
      <c r="E417" s="19" t="s">
        <v>2</v>
      </c>
      <c r="F417" s="19" t="s">
        <v>1422</v>
      </c>
      <c r="G417" s="19" t="s">
        <v>4</v>
      </c>
      <c r="H417" s="19" t="s">
        <v>1031</v>
      </c>
      <c r="I417" s="19">
        <v>0</v>
      </c>
      <c r="J417" s="19" t="s">
        <v>1033</v>
      </c>
      <c r="K417" s="19" t="s">
        <v>553</v>
      </c>
      <c r="L417" s="19">
        <v>2022</v>
      </c>
      <c r="M417" s="20">
        <v>1</v>
      </c>
      <c r="N417" s="19" t="s">
        <v>1798</v>
      </c>
      <c r="O417" s="20">
        <v>0</v>
      </c>
      <c r="P417" s="20">
        <v>0</v>
      </c>
      <c r="Q417" s="20">
        <v>0</v>
      </c>
      <c r="R417" s="21">
        <v>0.96</v>
      </c>
      <c r="S417" s="20">
        <v>0</v>
      </c>
    </row>
    <row r="418" spans="2:19" ht="15" customHeight="1" x14ac:dyDescent="0.25">
      <c r="B418" s="2" t="str">
        <f t="shared" si="12"/>
        <v>PGL_Residential_Multi-Family_Direct Install_Shower Timer_0_MF</v>
      </c>
      <c r="C418" s="2" t="str">
        <f t="shared" si="13"/>
        <v>PGL_Residential_Multi-Family_Direct Install_Shower Timer_0_MF_2023</v>
      </c>
      <c r="D418" s="19" t="s">
        <v>1794</v>
      </c>
      <c r="E418" s="19" t="s">
        <v>2</v>
      </c>
      <c r="F418" s="19" t="s">
        <v>1422</v>
      </c>
      <c r="G418" s="19" t="s">
        <v>4</v>
      </c>
      <c r="H418" s="19" t="s">
        <v>1031</v>
      </c>
      <c r="I418" s="19">
        <v>0</v>
      </c>
      <c r="J418" s="19" t="s">
        <v>1033</v>
      </c>
      <c r="K418" s="19" t="s">
        <v>553</v>
      </c>
      <c r="L418" s="19">
        <v>2023</v>
      </c>
      <c r="M418" s="20">
        <v>1</v>
      </c>
      <c r="N418" s="19" t="s">
        <v>1798</v>
      </c>
      <c r="O418" s="20">
        <v>0</v>
      </c>
      <c r="P418" s="20">
        <v>0</v>
      </c>
      <c r="Q418" s="20">
        <v>0</v>
      </c>
      <c r="R418" s="21">
        <v>0.96</v>
      </c>
      <c r="S418" s="20">
        <v>0</v>
      </c>
    </row>
    <row r="419" spans="2:19" ht="15" customHeight="1" x14ac:dyDescent="0.25">
      <c r="B419" s="2" t="str">
        <f t="shared" si="12"/>
        <v>PGL_Residential_Multi-Family_Direct Install_Shower Timer_0_MF</v>
      </c>
      <c r="C419" s="2" t="str">
        <f t="shared" si="13"/>
        <v>PGL_Residential_Multi-Family_Direct Install_Shower Timer_0_MF_2024</v>
      </c>
      <c r="D419" s="19" t="s">
        <v>1794</v>
      </c>
      <c r="E419" s="19" t="s">
        <v>2</v>
      </c>
      <c r="F419" s="19" t="s">
        <v>1422</v>
      </c>
      <c r="G419" s="19" t="s">
        <v>4</v>
      </c>
      <c r="H419" s="19" t="s">
        <v>1031</v>
      </c>
      <c r="I419" s="19">
        <v>0</v>
      </c>
      <c r="J419" s="19" t="s">
        <v>1033</v>
      </c>
      <c r="K419" s="19" t="s">
        <v>553</v>
      </c>
      <c r="L419" s="19">
        <v>2024</v>
      </c>
      <c r="M419" s="20">
        <v>1</v>
      </c>
      <c r="N419" s="19" t="s">
        <v>1798</v>
      </c>
      <c r="O419" s="20">
        <v>0</v>
      </c>
      <c r="P419" s="20">
        <v>0</v>
      </c>
      <c r="Q419" s="20">
        <v>0</v>
      </c>
      <c r="R419" s="21">
        <v>0.96</v>
      </c>
      <c r="S419" s="20">
        <v>0</v>
      </c>
    </row>
    <row r="420" spans="2:19" ht="15" customHeight="1" x14ac:dyDescent="0.25">
      <c r="B420" s="2" t="str">
        <f t="shared" si="12"/>
        <v>PGL_Residential_Multi-Family_Direct Install_Shower Timer_0_MF</v>
      </c>
      <c r="C420" s="2" t="str">
        <f t="shared" si="13"/>
        <v>PGL_Residential_Multi-Family_Direct Install_Shower Timer_0_MF_2025</v>
      </c>
      <c r="D420" s="19" t="s">
        <v>1794</v>
      </c>
      <c r="E420" s="19" t="s">
        <v>2</v>
      </c>
      <c r="F420" s="19" t="s">
        <v>1422</v>
      </c>
      <c r="G420" s="19" t="s">
        <v>4</v>
      </c>
      <c r="H420" s="19" t="s">
        <v>1031</v>
      </c>
      <c r="I420" s="19">
        <v>0</v>
      </c>
      <c r="J420" s="19" t="s">
        <v>1033</v>
      </c>
      <c r="K420" s="19" t="s">
        <v>553</v>
      </c>
      <c r="L420" s="19">
        <v>2025</v>
      </c>
      <c r="M420" s="20">
        <v>1</v>
      </c>
      <c r="N420" s="19" t="s">
        <v>1798</v>
      </c>
      <c r="O420" s="20">
        <v>0</v>
      </c>
      <c r="P420" s="20">
        <v>0</v>
      </c>
      <c r="Q420" s="20">
        <v>0</v>
      </c>
      <c r="R420" s="21">
        <v>0.96</v>
      </c>
      <c r="S420" s="20">
        <v>0</v>
      </c>
    </row>
    <row r="421" spans="2:19" ht="15" customHeight="1" x14ac:dyDescent="0.25">
      <c r="B421" s="2" t="str">
        <f t="shared" si="12"/>
        <v>PGL_Residential_Multi-Family_Gas Optimization_Gas Optimization_0_MF</v>
      </c>
      <c r="C421" s="2" t="str">
        <f t="shared" si="13"/>
        <v>PGL_Residential_Multi-Family_Gas Optimization_Gas Optimization_0_MF_2022</v>
      </c>
      <c r="D421" s="19" t="s">
        <v>1794</v>
      </c>
      <c r="E421" s="19" t="s">
        <v>2</v>
      </c>
      <c r="F421" s="19" t="s">
        <v>1422</v>
      </c>
      <c r="G421" s="19" t="s">
        <v>1098</v>
      </c>
      <c r="H421" s="19" t="s">
        <v>1098</v>
      </c>
      <c r="I421" s="19">
        <v>0</v>
      </c>
      <c r="J421" s="19">
        <v>0</v>
      </c>
      <c r="K421" s="19" t="s">
        <v>553</v>
      </c>
      <c r="L421" s="19">
        <v>2022</v>
      </c>
      <c r="M421" s="20">
        <v>3921</v>
      </c>
      <c r="N421" s="19" t="s">
        <v>609</v>
      </c>
      <c r="O421" s="20">
        <v>8</v>
      </c>
      <c r="P421" s="20">
        <v>31368</v>
      </c>
      <c r="Q421" s="20">
        <v>28544.880000000001</v>
      </c>
      <c r="R421" s="21">
        <v>0.91</v>
      </c>
      <c r="S421" s="20">
        <v>28544.880000000001</v>
      </c>
    </row>
    <row r="422" spans="2:19" ht="15" customHeight="1" x14ac:dyDescent="0.25">
      <c r="B422" s="2" t="str">
        <f t="shared" si="12"/>
        <v>PGL_Residential_Multi-Family_Gas Optimization_Gas Optimization_0_MF</v>
      </c>
      <c r="C422" s="2" t="str">
        <f t="shared" si="13"/>
        <v>PGL_Residential_Multi-Family_Gas Optimization_Gas Optimization_0_MF_2023</v>
      </c>
      <c r="D422" s="19" t="s">
        <v>1794</v>
      </c>
      <c r="E422" s="19" t="s">
        <v>2</v>
      </c>
      <c r="F422" s="19" t="s">
        <v>1422</v>
      </c>
      <c r="G422" s="19" t="s">
        <v>1098</v>
      </c>
      <c r="H422" s="19" t="s">
        <v>1098</v>
      </c>
      <c r="I422" s="19">
        <v>0</v>
      </c>
      <c r="J422" s="19">
        <v>0</v>
      </c>
      <c r="K422" s="19" t="s">
        <v>553</v>
      </c>
      <c r="L422" s="19">
        <v>2023</v>
      </c>
      <c r="M422" s="20">
        <v>3921</v>
      </c>
      <c r="N422" s="19" t="s">
        <v>609</v>
      </c>
      <c r="O422" s="20">
        <v>7</v>
      </c>
      <c r="P422" s="20">
        <v>27447</v>
      </c>
      <c r="Q422" s="20">
        <v>24976.77</v>
      </c>
      <c r="R422" s="21">
        <v>0.91</v>
      </c>
      <c r="S422" s="20">
        <v>24976.77</v>
      </c>
    </row>
    <row r="423" spans="2:19" ht="15" customHeight="1" x14ac:dyDescent="0.25">
      <c r="B423" s="2" t="str">
        <f t="shared" si="12"/>
        <v>PGL_Residential_Multi-Family_Gas Optimization_Gas Optimization_0_MF</v>
      </c>
      <c r="C423" s="2" t="str">
        <f t="shared" si="13"/>
        <v>PGL_Residential_Multi-Family_Gas Optimization_Gas Optimization_0_MF_2024</v>
      </c>
      <c r="D423" s="19" t="s">
        <v>1794</v>
      </c>
      <c r="E423" s="19" t="s">
        <v>2</v>
      </c>
      <c r="F423" s="19" t="s">
        <v>1422</v>
      </c>
      <c r="G423" s="19" t="s">
        <v>1098</v>
      </c>
      <c r="H423" s="19" t="s">
        <v>1098</v>
      </c>
      <c r="I423" s="19">
        <v>0</v>
      </c>
      <c r="J423" s="19">
        <v>0</v>
      </c>
      <c r="K423" s="19" t="s">
        <v>553</v>
      </c>
      <c r="L423" s="19">
        <v>2024</v>
      </c>
      <c r="M423" s="20">
        <v>3921</v>
      </c>
      <c r="N423" s="19" t="s">
        <v>609</v>
      </c>
      <c r="O423" s="20">
        <v>6</v>
      </c>
      <c r="P423" s="20">
        <v>23526</v>
      </c>
      <c r="Q423" s="20">
        <v>21408.66</v>
      </c>
      <c r="R423" s="21">
        <v>0.91</v>
      </c>
      <c r="S423" s="20">
        <v>21408.66</v>
      </c>
    </row>
    <row r="424" spans="2:19" ht="15" customHeight="1" x14ac:dyDescent="0.25">
      <c r="B424" s="2" t="str">
        <f t="shared" si="12"/>
        <v>PGL_Residential_Multi-Family_Gas Optimization_Gas Optimization_0_MF</v>
      </c>
      <c r="C424" s="2" t="str">
        <f t="shared" si="13"/>
        <v>PGL_Residential_Multi-Family_Gas Optimization_Gas Optimization_0_MF_2025</v>
      </c>
      <c r="D424" s="19" t="s">
        <v>1794</v>
      </c>
      <c r="E424" s="19" t="s">
        <v>2</v>
      </c>
      <c r="F424" s="19" t="s">
        <v>1422</v>
      </c>
      <c r="G424" s="19" t="s">
        <v>1098</v>
      </c>
      <c r="H424" s="19" t="s">
        <v>1098</v>
      </c>
      <c r="I424" s="19">
        <v>0</v>
      </c>
      <c r="J424" s="19">
        <v>0</v>
      </c>
      <c r="K424" s="19" t="s">
        <v>553</v>
      </c>
      <c r="L424" s="19">
        <v>2025</v>
      </c>
      <c r="M424" s="20">
        <v>3921</v>
      </c>
      <c r="N424" s="19" t="s">
        <v>609</v>
      </c>
      <c r="O424" s="20">
        <v>4</v>
      </c>
      <c r="P424" s="20">
        <v>15684</v>
      </c>
      <c r="Q424" s="20">
        <v>14272.44</v>
      </c>
      <c r="R424" s="21">
        <v>0.91</v>
      </c>
      <c r="S424" s="20">
        <v>14272.44</v>
      </c>
    </row>
    <row r="425" spans="2:19" ht="15" customHeight="1" x14ac:dyDescent="0.25">
      <c r="B425" s="2" t="str">
        <f t="shared" si="12"/>
        <v>PGL_Residential_Multi-Family_Standard Rebate_Boiler_≥88% AFUE, &lt;300MBh_MF</v>
      </c>
      <c r="C425" s="2" t="str">
        <f t="shared" si="13"/>
        <v>PGL_Residential_Multi-Family_Standard Rebate_Boiler_≥88% AFUE, &lt;300MBh_MF_2022</v>
      </c>
      <c r="D425" s="19" t="s">
        <v>1794</v>
      </c>
      <c r="E425" s="19" t="s">
        <v>2</v>
      </c>
      <c r="F425" s="19" t="s">
        <v>1422</v>
      </c>
      <c r="G425" s="19" t="s">
        <v>1418</v>
      </c>
      <c r="H425" s="19" t="s">
        <v>944</v>
      </c>
      <c r="I425" s="19" t="s">
        <v>945</v>
      </c>
      <c r="J425" s="19" t="s">
        <v>942</v>
      </c>
      <c r="K425" s="19" t="s">
        <v>553</v>
      </c>
      <c r="L425" s="19">
        <v>2022</v>
      </c>
      <c r="M425" s="20">
        <v>100</v>
      </c>
      <c r="N425" s="19" t="s">
        <v>667</v>
      </c>
      <c r="O425" s="20">
        <v>5</v>
      </c>
      <c r="P425" s="20">
        <v>500</v>
      </c>
      <c r="Q425" s="20">
        <v>344.06428571428603</v>
      </c>
      <c r="R425" s="21">
        <v>0.87</v>
      </c>
      <c r="S425" s="20">
        <v>344.06428571428603</v>
      </c>
    </row>
    <row r="426" spans="2:19" ht="15" customHeight="1" x14ac:dyDescent="0.25">
      <c r="B426" s="2" t="str">
        <f t="shared" si="12"/>
        <v>PGL_Residential_Multi-Family_Standard Rebate_Boiler_≥88% AFUE, &lt;300MBh_MF</v>
      </c>
      <c r="C426" s="2" t="str">
        <f t="shared" si="13"/>
        <v>PGL_Residential_Multi-Family_Standard Rebate_Boiler_≥88% AFUE, &lt;300MBh_MF_2023</v>
      </c>
      <c r="D426" s="19" t="s">
        <v>1794</v>
      </c>
      <c r="E426" s="19" t="s">
        <v>2</v>
      </c>
      <c r="F426" s="19" t="s">
        <v>1422</v>
      </c>
      <c r="G426" s="19" t="s">
        <v>1418</v>
      </c>
      <c r="H426" s="19" t="s">
        <v>944</v>
      </c>
      <c r="I426" s="19" t="s">
        <v>945</v>
      </c>
      <c r="J426" s="19" t="s">
        <v>942</v>
      </c>
      <c r="K426" s="19" t="s">
        <v>553</v>
      </c>
      <c r="L426" s="19">
        <v>2023</v>
      </c>
      <c r="M426" s="20">
        <v>100</v>
      </c>
      <c r="N426" s="19" t="s">
        <v>667</v>
      </c>
      <c r="O426" s="20">
        <v>4</v>
      </c>
      <c r="P426" s="20">
        <v>400</v>
      </c>
      <c r="Q426" s="20">
        <v>275.25142857142879</v>
      </c>
      <c r="R426" s="21">
        <v>0.87</v>
      </c>
      <c r="S426" s="20">
        <v>275.25142857142879</v>
      </c>
    </row>
    <row r="427" spans="2:19" ht="15" customHeight="1" x14ac:dyDescent="0.25">
      <c r="B427" s="2" t="str">
        <f t="shared" si="12"/>
        <v>PGL_Residential_Multi-Family_Standard Rebate_Boiler_≥88% AFUE, &lt;300MBh_MF</v>
      </c>
      <c r="C427" s="2" t="str">
        <f t="shared" si="13"/>
        <v>PGL_Residential_Multi-Family_Standard Rebate_Boiler_≥88% AFUE, &lt;300MBh_MF_2024</v>
      </c>
      <c r="D427" s="19" t="s">
        <v>1794</v>
      </c>
      <c r="E427" s="19" t="s">
        <v>2</v>
      </c>
      <c r="F427" s="19" t="s">
        <v>1422</v>
      </c>
      <c r="G427" s="19" t="s">
        <v>1418</v>
      </c>
      <c r="H427" s="19" t="s">
        <v>944</v>
      </c>
      <c r="I427" s="19" t="s">
        <v>945</v>
      </c>
      <c r="J427" s="19" t="s">
        <v>942</v>
      </c>
      <c r="K427" s="19" t="s">
        <v>553</v>
      </c>
      <c r="L427" s="19">
        <v>2024</v>
      </c>
      <c r="M427" s="20">
        <v>100</v>
      </c>
      <c r="N427" s="19" t="s">
        <v>667</v>
      </c>
      <c r="O427" s="20">
        <v>4</v>
      </c>
      <c r="P427" s="20">
        <v>400</v>
      </c>
      <c r="Q427" s="20">
        <v>275.25142857142879</v>
      </c>
      <c r="R427" s="21">
        <v>0.87</v>
      </c>
      <c r="S427" s="20">
        <v>275.25142857142879</v>
      </c>
    </row>
    <row r="428" spans="2:19" ht="15" customHeight="1" x14ac:dyDescent="0.25">
      <c r="B428" s="2" t="str">
        <f t="shared" si="12"/>
        <v>PGL_Residential_Multi-Family_Standard Rebate_Boiler_≥88% AFUE, &lt;300MBh_MF</v>
      </c>
      <c r="C428" s="2" t="str">
        <f t="shared" si="13"/>
        <v>PGL_Residential_Multi-Family_Standard Rebate_Boiler_≥88% AFUE, &lt;300MBh_MF_2025</v>
      </c>
      <c r="D428" s="19" t="s">
        <v>1794</v>
      </c>
      <c r="E428" s="19" t="s">
        <v>2</v>
      </c>
      <c r="F428" s="19" t="s">
        <v>1422</v>
      </c>
      <c r="G428" s="19" t="s">
        <v>1418</v>
      </c>
      <c r="H428" s="19" t="s">
        <v>944</v>
      </c>
      <c r="I428" s="19" t="s">
        <v>945</v>
      </c>
      <c r="J428" s="19" t="s">
        <v>942</v>
      </c>
      <c r="K428" s="19" t="s">
        <v>553</v>
      </c>
      <c r="L428" s="19">
        <v>2025</v>
      </c>
      <c r="M428" s="20">
        <v>100</v>
      </c>
      <c r="N428" s="19" t="s">
        <v>667</v>
      </c>
      <c r="O428" s="20">
        <v>3</v>
      </c>
      <c r="P428" s="20">
        <v>300</v>
      </c>
      <c r="Q428" s="20">
        <v>206.43857142857161</v>
      </c>
      <c r="R428" s="21">
        <v>0.87</v>
      </c>
      <c r="S428" s="20">
        <v>206.43857142857161</v>
      </c>
    </row>
    <row r="429" spans="2:19" ht="15" customHeight="1" x14ac:dyDescent="0.25">
      <c r="B429" s="2" t="str">
        <f t="shared" si="12"/>
        <v>PGL_Residential_Multi-Family_Standard Rebate_Boiler_≥88% AFUE, ≥300MBh TE_MF</v>
      </c>
      <c r="C429" s="2" t="str">
        <f t="shared" si="13"/>
        <v>PGL_Residential_Multi-Family_Standard Rebate_Boiler_≥88% AFUE, ≥300MBh TE_MF_2022</v>
      </c>
      <c r="D429" s="19" t="s">
        <v>1794</v>
      </c>
      <c r="E429" s="19" t="s">
        <v>2</v>
      </c>
      <c r="F429" s="19" t="s">
        <v>1422</v>
      </c>
      <c r="G429" s="19" t="s">
        <v>1418</v>
      </c>
      <c r="H429" s="19" t="s">
        <v>944</v>
      </c>
      <c r="I429" s="19" t="s">
        <v>946</v>
      </c>
      <c r="J429" s="19" t="s">
        <v>942</v>
      </c>
      <c r="K429" s="19" t="s">
        <v>553</v>
      </c>
      <c r="L429" s="19">
        <v>2022</v>
      </c>
      <c r="M429" s="20">
        <v>5000</v>
      </c>
      <c r="N429" s="19" t="s">
        <v>667</v>
      </c>
      <c r="O429" s="20">
        <v>10</v>
      </c>
      <c r="P429" s="20">
        <v>50000</v>
      </c>
      <c r="Q429" s="20">
        <v>72253.499999999971</v>
      </c>
      <c r="R429" s="21">
        <v>0.87</v>
      </c>
      <c r="S429" s="20">
        <v>72253.499999999971</v>
      </c>
    </row>
    <row r="430" spans="2:19" ht="15" customHeight="1" x14ac:dyDescent="0.25">
      <c r="B430" s="2" t="str">
        <f t="shared" si="12"/>
        <v>PGL_Residential_Multi-Family_Standard Rebate_Boiler_≥88% AFUE, ≥300MBh TE_MF</v>
      </c>
      <c r="C430" s="2" t="str">
        <f t="shared" si="13"/>
        <v>PGL_Residential_Multi-Family_Standard Rebate_Boiler_≥88% AFUE, ≥300MBh TE_MF_2023</v>
      </c>
      <c r="D430" s="19" t="s">
        <v>1794</v>
      </c>
      <c r="E430" s="19" t="s">
        <v>2</v>
      </c>
      <c r="F430" s="19" t="s">
        <v>1422</v>
      </c>
      <c r="G430" s="19" t="s">
        <v>1418</v>
      </c>
      <c r="H430" s="19" t="s">
        <v>944</v>
      </c>
      <c r="I430" s="19" t="s">
        <v>946</v>
      </c>
      <c r="J430" s="19" t="s">
        <v>942</v>
      </c>
      <c r="K430" s="19" t="s">
        <v>553</v>
      </c>
      <c r="L430" s="19">
        <v>2023</v>
      </c>
      <c r="M430" s="20">
        <v>5000</v>
      </c>
      <c r="N430" s="19" t="s">
        <v>667</v>
      </c>
      <c r="O430" s="20">
        <v>9</v>
      </c>
      <c r="P430" s="20">
        <v>45000</v>
      </c>
      <c r="Q430" s="20">
        <v>65028.149999999972</v>
      </c>
      <c r="R430" s="21">
        <v>0.87</v>
      </c>
      <c r="S430" s="20">
        <v>65028.149999999972</v>
      </c>
    </row>
    <row r="431" spans="2:19" ht="15" customHeight="1" x14ac:dyDescent="0.25">
      <c r="B431" s="2" t="str">
        <f t="shared" si="12"/>
        <v>PGL_Residential_Multi-Family_Standard Rebate_Boiler_≥88% AFUE, ≥300MBh TE_MF</v>
      </c>
      <c r="C431" s="2" t="str">
        <f t="shared" si="13"/>
        <v>PGL_Residential_Multi-Family_Standard Rebate_Boiler_≥88% AFUE, ≥300MBh TE_MF_2024</v>
      </c>
      <c r="D431" s="19" t="s">
        <v>1794</v>
      </c>
      <c r="E431" s="19" t="s">
        <v>2</v>
      </c>
      <c r="F431" s="19" t="s">
        <v>1422</v>
      </c>
      <c r="G431" s="19" t="s">
        <v>1418</v>
      </c>
      <c r="H431" s="19" t="s">
        <v>944</v>
      </c>
      <c r="I431" s="19" t="s">
        <v>946</v>
      </c>
      <c r="J431" s="19" t="s">
        <v>942</v>
      </c>
      <c r="K431" s="19" t="s">
        <v>553</v>
      </c>
      <c r="L431" s="19">
        <v>2024</v>
      </c>
      <c r="M431" s="20">
        <v>5000</v>
      </c>
      <c r="N431" s="19" t="s">
        <v>667</v>
      </c>
      <c r="O431" s="20">
        <v>8</v>
      </c>
      <c r="P431" s="20">
        <v>40000</v>
      </c>
      <c r="Q431" s="20">
        <v>57802.799999999974</v>
      </c>
      <c r="R431" s="21">
        <v>0.87</v>
      </c>
      <c r="S431" s="20">
        <v>57802.799999999974</v>
      </c>
    </row>
    <row r="432" spans="2:19" ht="15" customHeight="1" x14ac:dyDescent="0.25">
      <c r="B432" s="2" t="str">
        <f t="shared" si="12"/>
        <v>PGL_Residential_Multi-Family_Standard Rebate_Boiler_≥88% AFUE, ≥300MBh TE_MF</v>
      </c>
      <c r="C432" s="2" t="str">
        <f t="shared" si="13"/>
        <v>PGL_Residential_Multi-Family_Standard Rebate_Boiler_≥88% AFUE, ≥300MBh TE_MF_2025</v>
      </c>
      <c r="D432" s="19" t="s">
        <v>1794</v>
      </c>
      <c r="E432" s="19" t="s">
        <v>2</v>
      </c>
      <c r="F432" s="19" t="s">
        <v>1422</v>
      </c>
      <c r="G432" s="19" t="s">
        <v>1418</v>
      </c>
      <c r="H432" s="19" t="s">
        <v>944</v>
      </c>
      <c r="I432" s="19" t="s">
        <v>946</v>
      </c>
      <c r="J432" s="19" t="s">
        <v>942</v>
      </c>
      <c r="K432" s="19" t="s">
        <v>553</v>
      </c>
      <c r="L432" s="19">
        <v>2025</v>
      </c>
      <c r="M432" s="20">
        <v>5000</v>
      </c>
      <c r="N432" s="19" t="s">
        <v>667</v>
      </c>
      <c r="O432" s="20">
        <v>6</v>
      </c>
      <c r="P432" s="20">
        <v>30000</v>
      </c>
      <c r="Q432" s="20">
        <v>43352.099999999984</v>
      </c>
      <c r="R432" s="21">
        <v>0.87</v>
      </c>
      <c r="S432" s="20">
        <v>43352.099999999984</v>
      </c>
    </row>
    <row r="433" spans="2:19" ht="15" customHeight="1" x14ac:dyDescent="0.25">
      <c r="B433" s="2" t="str">
        <f t="shared" si="12"/>
        <v>PGL_Residential_Multi-Family_Standard Rebate_Boiler Reset Controls_0_MF</v>
      </c>
      <c r="C433" s="2" t="str">
        <f t="shared" si="13"/>
        <v>PGL_Residential_Multi-Family_Standard Rebate_Boiler Reset Controls_0_MF_2022</v>
      </c>
      <c r="D433" s="19" t="s">
        <v>1794</v>
      </c>
      <c r="E433" s="19" t="s">
        <v>2</v>
      </c>
      <c r="F433" s="19" t="s">
        <v>1422</v>
      </c>
      <c r="G433" s="19" t="s">
        <v>1418</v>
      </c>
      <c r="H433" s="19" t="s">
        <v>978</v>
      </c>
      <c r="I433" s="19">
        <v>0</v>
      </c>
      <c r="J433" s="19" t="s">
        <v>25</v>
      </c>
      <c r="K433" s="19" t="s">
        <v>553</v>
      </c>
      <c r="L433" s="19">
        <v>2022</v>
      </c>
      <c r="M433" s="20">
        <v>1200</v>
      </c>
      <c r="N433" s="19" t="s">
        <v>667</v>
      </c>
      <c r="O433" s="20">
        <v>14</v>
      </c>
      <c r="P433" s="20">
        <v>16800</v>
      </c>
      <c r="Q433" s="20">
        <v>19421.7408</v>
      </c>
      <c r="R433" s="21">
        <v>0.87</v>
      </c>
      <c r="S433" s="20">
        <v>19421.7408</v>
      </c>
    </row>
    <row r="434" spans="2:19" ht="15" customHeight="1" x14ac:dyDescent="0.25">
      <c r="B434" s="2" t="str">
        <f t="shared" si="12"/>
        <v>PGL_Residential_Multi-Family_Standard Rebate_Boiler Reset Controls_0_MF</v>
      </c>
      <c r="C434" s="2" t="str">
        <f t="shared" si="13"/>
        <v>PGL_Residential_Multi-Family_Standard Rebate_Boiler Reset Controls_0_MF_2023</v>
      </c>
      <c r="D434" s="19" t="s">
        <v>1794</v>
      </c>
      <c r="E434" s="19" t="s">
        <v>2</v>
      </c>
      <c r="F434" s="19" t="s">
        <v>1422</v>
      </c>
      <c r="G434" s="19" t="s">
        <v>1418</v>
      </c>
      <c r="H434" s="19" t="s">
        <v>978</v>
      </c>
      <c r="I434" s="19">
        <v>0</v>
      </c>
      <c r="J434" s="19" t="s">
        <v>25</v>
      </c>
      <c r="K434" s="19" t="s">
        <v>553</v>
      </c>
      <c r="L434" s="19">
        <v>2023</v>
      </c>
      <c r="M434" s="20">
        <v>1200</v>
      </c>
      <c r="N434" s="19" t="s">
        <v>667</v>
      </c>
      <c r="O434" s="20">
        <v>13</v>
      </c>
      <c r="P434" s="20">
        <v>15600</v>
      </c>
      <c r="Q434" s="20">
        <v>18034.473599999998</v>
      </c>
      <c r="R434" s="21">
        <v>0.87</v>
      </c>
      <c r="S434" s="20">
        <v>18034.473599999998</v>
      </c>
    </row>
    <row r="435" spans="2:19" ht="15" customHeight="1" x14ac:dyDescent="0.25">
      <c r="B435" s="2" t="str">
        <f t="shared" si="12"/>
        <v>PGL_Residential_Multi-Family_Standard Rebate_Boiler Reset Controls_0_MF</v>
      </c>
      <c r="C435" s="2" t="str">
        <f t="shared" si="13"/>
        <v>PGL_Residential_Multi-Family_Standard Rebate_Boiler Reset Controls_0_MF_2024</v>
      </c>
      <c r="D435" s="19" t="s">
        <v>1794</v>
      </c>
      <c r="E435" s="19" t="s">
        <v>2</v>
      </c>
      <c r="F435" s="19" t="s">
        <v>1422</v>
      </c>
      <c r="G435" s="19" t="s">
        <v>1418</v>
      </c>
      <c r="H435" s="19" t="s">
        <v>978</v>
      </c>
      <c r="I435" s="19">
        <v>0</v>
      </c>
      <c r="J435" s="19" t="s">
        <v>25</v>
      </c>
      <c r="K435" s="19" t="s">
        <v>553</v>
      </c>
      <c r="L435" s="19">
        <v>2024</v>
      </c>
      <c r="M435" s="20">
        <v>1200</v>
      </c>
      <c r="N435" s="19" t="s">
        <v>667</v>
      </c>
      <c r="O435" s="20">
        <v>11</v>
      </c>
      <c r="P435" s="20">
        <v>13200</v>
      </c>
      <c r="Q435" s="20">
        <v>15259.939199999999</v>
      </c>
      <c r="R435" s="21">
        <v>0.87</v>
      </c>
      <c r="S435" s="20">
        <v>15259.939199999999</v>
      </c>
    </row>
    <row r="436" spans="2:19" ht="15" customHeight="1" x14ac:dyDescent="0.25">
      <c r="B436" s="2" t="str">
        <f t="shared" si="12"/>
        <v>PGL_Residential_Multi-Family_Standard Rebate_Boiler Reset Controls_0_MF</v>
      </c>
      <c r="C436" s="2" t="str">
        <f t="shared" si="13"/>
        <v>PGL_Residential_Multi-Family_Standard Rebate_Boiler Reset Controls_0_MF_2025</v>
      </c>
      <c r="D436" s="19" t="s">
        <v>1794</v>
      </c>
      <c r="E436" s="19" t="s">
        <v>2</v>
      </c>
      <c r="F436" s="19" t="s">
        <v>1422</v>
      </c>
      <c r="G436" s="19" t="s">
        <v>1418</v>
      </c>
      <c r="H436" s="19" t="s">
        <v>978</v>
      </c>
      <c r="I436" s="19">
        <v>0</v>
      </c>
      <c r="J436" s="19" t="s">
        <v>25</v>
      </c>
      <c r="K436" s="19" t="s">
        <v>553</v>
      </c>
      <c r="L436" s="19">
        <v>2025</v>
      </c>
      <c r="M436" s="20">
        <v>1200</v>
      </c>
      <c r="N436" s="19" t="s">
        <v>667</v>
      </c>
      <c r="O436" s="20">
        <v>8</v>
      </c>
      <c r="P436" s="20">
        <v>9600</v>
      </c>
      <c r="Q436" s="20">
        <v>11098.1376</v>
      </c>
      <c r="R436" s="21">
        <v>0.87</v>
      </c>
      <c r="S436" s="20">
        <v>11098.1376</v>
      </c>
    </row>
    <row r="437" spans="2:19" ht="15" customHeight="1" x14ac:dyDescent="0.25">
      <c r="B437" s="2" t="str">
        <f t="shared" si="12"/>
        <v>PGL_Residential_Multi-Family_Standard Rebate_Boiler Tune Up_Process_MF/CI</v>
      </c>
      <c r="C437" s="2" t="str">
        <f t="shared" si="13"/>
        <v>PGL_Residential_Multi-Family_Standard Rebate_Boiler Tune Up_Process_MF/CI_2022</v>
      </c>
      <c r="D437" s="19" t="s">
        <v>1794</v>
      </c>
      <c r="E437" s="19" t="s">
        <v>2</v>
      </c>
      <c r="F437" s="19" t="s">
        <v>1422</v>
      </c>
      <c r="G437" s="19" t="s">
        <v>1418</v>
      </c>
      <c r="H437" s="19" t="s">
        <v>906</v>
      </c>
      <c r="I437" s="19" t="s">
        <v>924</v>
      </c>
      <c r="J437" s="19" t="s">
        <v>927</v>
      </c>
      <c r="K437" s="19" t="s">
        <v>587</v>
      </c>
      <c r="L437" s="19">
        <v>2022</v>
      </c>
      <c r="M437" s="20">
        <v>200</v>
      </c>
      <c r="N437" s="19" t="s">
        <v>667</v>
      </c>
      <c r="O437" s="20">
        <v>10</v>
      </c>
      <c r="P437" s="20">
        <v>2000</v>
      </c>
      <c r="Q437" s="20">
        <v>1779.5595530266246</v>
      </c>
      <c r="R437" s="21">
        <v>0.87</v>
      </c>
      <c r="S437" s="20">
        <v>1779.5595530266246</v>
      </c>
    </row>
    <row r="438" spans="2:19" ht="15" customHeight="1" x14ac:dyDescent="0.25">
      <c r="B438" s="2" t="str">
        <f t="shared" si="12"/>
        <v>PGL_Residential_Multi-Family_Standard Rebate_Boiler Tune Up_Process_MF/CI</v>
      </c>
      <c r="C438" s="2" t="str">
        <f t="shared" si="13"/>
        <v>PGL_Residential_Multi-Family_Standard Rebate_Boiler Tune Up_Process_MF/CI_2023</v>
      </c>
      <c r="D438" s="19" t="s">
        <v>1794</v>
      </c>
      <c r="E438" s="19" t="s">
        <v>2</v>
      </c>
      <c r="F438" s="19" t="s">
        <v>1422</v>
      </c>
      <c r="G438" s="19" t="s">
        <v>1418</v>
      </c>
      <c r="H438" s="19" t="s">
        <v>906</v>
      </c>
      <c r="I438" s="19" t="s">
        <v>924</v>
      </c>
      <c r="J438" s="19" t="s">
        <v>927</v>
      </c>
      <c r="K438" s="19" t="s">
        <v>587</v>
      </c>
      <c r="L438" s="19">
        <v>2023</v>
      </c>
      <c r="M438" s="20">
        <v>200</v>
      </c>
      <c r="N438" s="19" t="s">
        <v>667</v>
      </c>
      <c r="O438" s="20">
        <v>9</v>
      </c>
      <c r="P438" s="20">
        <v>1800</v>
      </c>
      <c r="Q438" s="20">
        <v>1601.6035977239621</v>
      </c>
      <c r="R438" s="21">
        <v>0.87</v>
      </c>
      <c r="S438" s="20">
        <v>1601.6035977239621</v>
      </c>
    </row>
    <row r="439" spans="2:19" ht="15" customHeight="1" x14ac:dyDescent="0.25">
      <c r="B439" s="2" t="str">
        <f t="shared" si="12"/>
        <v>PGL_Residential_Multi-Family_Standard Rebate_Boiler Tune Up_Process_MF/CI</v>
      </c>
      <c r="C439" s="2" t="str">
        <f t="shared" si="13"/>
        <v>PGL_Residential_Multi-Family_Standard Rebate_Boiler Tune Up_Process_MF/CI_2024</v>
      </c>
      <c r="D439" s="19" t="s">
        <v>1794</v>
      </c>
      <c r="E439" s="19" t="s">
        <v>2</v>
      </c>
      <c r="F439" s="19" t="s">
        <v>1422</v>
      </c>
      <c r="G439" s="19" t="s">
        <v>1418</v>
      </c>
      <c r="H439" s="19" t="s">
        <v>906</v>
      </c>
      <c r="I439" s="19" t="s">
        <v>924</v>
      </c>
      <c r="J439" s="19" t="s">
        <v>927</v>
      </c>
      <c r="K439" s="19" t="s">
        <v>587</v>
      </c>
      <c r="L439" s="19">
        <v>2024</v>
      </c>
      <c r="M439" s="20">
        <v>200</v>
      </c>
      <c r="N439" s="19" t="s">
        <v>667</v>
      </c>
      <c r="O439" s="20">
        <v>8</v>
      </c>
      <c r="P439" s="20">
        <v>1600</v>
      </c>
      <c r="Q439" s="20">
        <v>1423.6476424212997</v>
      </c>
      <c r="R439" s="21">
        <v>0.87</v>
      </c>
      <c r="S439" s="20">
        <v>1423.6476424212997</v>
      </c>
    </row>
    <row r="440" spans="2:19" ht="15" customHeight="1" x14ac:dyDescent="0.25">
      <c r="B440" s="2" t="str">
        <f t="shared" si="12"/>
        <v>PGL_Residential_Multi-Family_Standard Rebate_Boiler Tune Up_Process_MF/CI</v>
      </c>
      <c r="C440" s="2" t="str">
        <f t="shared" si="13"/>
        <v>PGL_Residential_Multi-Family_Standard Rebate_Boiler Tune Up_Process_MF/CI_2025</v>
      </c>
      <c r="D440" s="19" t="s">
        <v>1794</v>
      </c>
      <c r="E440" s="19" t="s">
        <v>2</v>
      </c>
      <c r="F440" s="19" t="s">
        <v>1422</v>
      </c>
      <c r="G440" s="19" t="s">
        <v>1418</v>
      </c>
      <c r="H440" s="19" t="s">
        <v>906</v>
      </c>
      <c r="I440" s="19" t="s">
        <v>924</v>
      </c>
      <c r="J440" s="19" t="s">
        <v>927</v>
      </c>
      <c r="K440" s="19" t="s">
        <v>587</v>
      </c>
      <c r="L440" s="19">
        <v>2025</v>
      </c>
      <c r="M440" s="20">
        <v>200</v>
      </c>
      <c r="N440" s="19" t="s">
        <v>667</v>
      </c>
      <c r="O440" s="20">
        <v>6</v>
      </c>
      <c r="P440" s="20">
        <v>1200</v>
      </c>
      <c r="Q440" s="20">
        <v>1067.7357318159748</v>
      </c>
      <c r="R440" s="21">
        <v>0.87</v>
      </c>
      <c r="S440" s="20">
        <v>1067.7357318159748</v>
      </c>
    </row>
    <row r="441" spans="2:19" ht="15" customHeight="1" x14ac:dyDescent="0.25">
      <c r="B441" s="2" t="str">
        <f t="shared" si="12"/>
        <v>PGL_Residential_Multi-Family_Standard Rebate_Boiler Tune Up_Space Heating_MF</v>
      </c>
      <c r="C441" s="2" t="str">
        <f t="shared" si="13"/>
        <v>PGL_Residential_Multi-Family_Standard Rebate_Boiler Tune Up_Space Heating_MF_2022</v>
      </c>
      <c r="D441" s="19" t="s">
        <v>1794</v>
      </c>
      <c r="E441" s="19" t="s">
        <v>2</v>
      </c>
      <c r="F441" s="19" t="s">
        <v>1422</v>
      </c>
      <c r="G441" s="19" t="s">
        <v>1418</v>
      </c>
      <c r="H441" s="19" t="s">
        <v>906</v>
      </c>
      <c r="I441" s="19" t="s">
        <v>907</v>
      </c>
      <c r="J441" s="19" t="s">
        <v>909</v>
      </c>
      <c r="K441" s="19" t="s">
        <v>553</v>
      </c>
      <c r="L441" s="19">
        <v>2022</v>
      </c>
      <c r="M441" s="20">
        <v>200</v>
      </c>
      <c r="N441" s="19" t="s">
        <v>667</v>
      </c>
      <c r="O441" s="20">
        <v>19</v>
      </c>
      <c r="P441" s="20">
        <v>3800</v>
      </c>
      <c r="Q441" s="20">
        <v>1549.6824294478561</v>
      </c>
      <c r="R441" s="21">
        <v>0.87</v>
      </c>
      <c r="S441" s="20">
        <v>1549.6824294478561</v>
      </c>
    </row>
    <row r="442" spans="2:19" ht="15" customHeight="1" x14ac:dyDescent="0.25">
      <c r="B442" s="2" t="str">
        <f t="shared" si="12"/>
        <v>PGL_Residential_Multi-Family_Standard Rebate_Boiler Tune Up_Space Heating_MF</v>
      </c>
      <c r="C442" s="2" t="str">
        <f t="shared" si="13"/>
        <v>PGL_Residential_Multi-Family_Standard Rebate_Boiler Tune Up_Space Heating_MF_2023</v>
      </c>
      <c r="D442" s="19" t="s">
        <v>1794</v>
      </c>
      <c r="E442" s="19" t="s">
        <v>2</v>
      </c>
      <c r="F442" s="19" t="s">
        <v>1422</v>
      </c>
      <c r="G442" s="19" t="s">
        <v>1418</v>
      </c>
      <c r="H442" s="19" t="s">
        <v>906</v>
      </c>
      <c r="I442" s="19" t="s">
        <v>907</v>
      </c>
      <c r="J442" s="19" t="s">
        <v>909</v>
      </c>
      <c r="K442" s="19" t="s">
        <v>553</v>
      </c>
      <c r="L442" s="19">
        <v>2023</v>
      </c>
      <c r="M442" s="20">
        <v>200</v>
      </c>
      <c r="N442" s="19" t="s">
        <v>667</v>
      </c>
      <c r="O442" s="20">
        <v>17</v>
      </c>
      <c r="P442" s="20">
        <v>3400</v>
      </c>
      <c r="Q442" s="20">
        <v>1386.5579631901869</v>
      </c>
      <c r="R442" s="21">
        <v>0.87</v>
      </c>
      <c r="S442" s="20">
        <v>1386.5579631901869</v>
      </c>
    </row>
    <row r="443" spans="2:19" ht="15" customHeight="1" x14ac:dyDescent="0.25">
      <c r="B443" s="2" t="str">
        <f t="shared" si="12"/>
        <v>PGL_Residential_Multi-Family_Standard Rebate_Boiler Tune Up_Space Heating_MF</v>
      </c>
      <c r="C443" s="2" t="str">
        <f t="shared" si="13"/>
        <v>PGL_Residential_Multi-Family_Standard Rebate_Boiler Tune Up_Space Heating_MF_2024</v>
      </c>
      <c r="D443" s="19" t="s">
        <v>1794</v>
      </c>
      <c r="E443" s="19" t="s">
        <v>2</v>
      </c>
      <c r="F443" s="19" t="s">
        <v>1422</v>
      </c>
      <c r="G443" s="19" t="s">
        <v>1418</v>
      </c>
      <c r="H443" s="19" t="s">
        <v>906</v>
      </c>
      <c r="I443" s="19" t="s">
        <v>907</v>
      </c>
      <c r="J443" s="19" t="s">
        <v>909</v>
      </c>
      <c r="K443" s="19" t="s">
        <v>553</v>
      </c>
      <c r="L443" s="19">
        <v>2024</v>
      </c>
      <c r="M443" s="20">
        <v>200</v>
      </c>
      <c r="N443" s="19" t="s">
        <v>667</v>
      </c>
      <c r="O443" s="20">
        <v>15</v>
      </c>
      <c r="P443" s="20">
        <v>3000</v>
      </c>
      <c r="Q443" s="20">
        <v>1223.433496932518</v>
      </c>
      <c r="R443" s="21">
        <v>0.87</v>
      </c>
      <c r="S443" s="20">
        <v>1223.433496932518</v>
      </c>
    </row>
    <row r="444" spans="2:19" ht="15" customHeight="1" x14ac:dyDescent="0.25">
      <c r="B444" s="2" t="str">
        <f t="shared" si="12"/>
        <v>PGL_Residential_Multi-Family_Standard Rebate_Boiler Tune Up_Space Heating_MF</v>
      </c>
      <c r="C444" s="2" t="str">
        <f t="shared" si="13"/>
        <v>PGL_Residential_Multi-Family_Standard Rebate_Boiler Tune Up_Space Heating_MF_2025</v>
      </c>
      <c r="D444" s="19" t="s">
        <v>1794</v>
      </c>
      <c r="E444" s="19" t="s">
        <v>2</v>
      </c>
      <c r="F444" s="19" t="s">
        <v>1422</v>
      </c>
      <c r="G444" s="19" t="s">
        <v>1418</v>
      </c>
      <c r="H444" s="19" t="s">
        <v>906</v>
      </c>
      <c r="I444" s="19" t="s">
        <v>907</v>
      </c>
      <c r="J444" s="19" t="s">
        <v>909</v>
      </c>
      <c r="K444" s="19" t="s">
        <v>553</v>
      </c>
      <c r="L444" s="19">
        <v>2025</v>
      </c>
      <c r="M444" s="20">
        <v>200</v>
      </c>
      <c r="N444" s="19" t="s">
        <v>667</v>
      </c>
      <c r="O444" s="20">
        <v>11</v>
      </c>
      <c r="P444" s="20">
        <v>2200</v>
      </c>
      <c r="Q444" s="20">
        <v>897.1845644171799</v>
      </c>
      <c r="R444" s="21">
        <v>0.87</v>
      </c>
      <c r="S444" s="20">
        <v>897.1845644171799</v>
      </c>
    </row>
    <row r="445" spans="2:19" ht="15" customHeight="1" x14ac:dyDescent="0.25">
      <c r="B445" s="2" t="str">
        <f t="shared" si="12"/>
        <v>PGL_Residential_Multi-Family_Standard Rebate_Condensing Unit Heater_0_MF/CI</v>
      </c>
      <c r="C445" s="2" t="str">
        <f t="shared" si="13"/>
        <v>PGL_Residential_Multi-Family_Standard Rebate_Condensing Unit Heater_0_MF/CI_2022</v>
      </c>
      <c r="D445" s="19" t="s">
        <v>1794</v>
      </c>
      <c r="E445" s="19" t="s">
        <v>2</v>
      </c>
      <c r="F445" s="19" t="s">
        <v>1422</v>
      </c>
      <c r="G445" s="19" t="s">
        <v>1418</v>
      </c>
      <c r="H445" s="19" t="s">
        <v>13</v>
      </c>
      <c r="I445" s="19">
        <v>0</v>
      </c>
      <c r="J445" s="19" t="s">
        <v>32</v>
      </c>
      <c r="K445" s="19" t="s">
        <v>587</v>
      </c>
      <c r="L445" s="19">
        <v>2022</v>
      </c>
      <c r="M445" s="20">
        <v>150</v>
      </c>
      <c r="N445" s="19" t="s">
        <v>667</v>
      </c>
      <c r="O445" s="20">
        <v>3</v>
      </c>
      <c r="P445" s="20">
        <v>450</v>
      </c>
      <c r="Q445" s="20">
        <v>694.26</v>
      </c>
      <c r="R445" s="21">
        <v>0.87</v>
      </c>
      <c r="S445" s="20">
        <v>694.26</v>
      </c>
    </row>
    <row r="446" spans="2:19" ht="15" customHeight="1" x14ac:dyDescent="0.25">
      <c r="B446" s="2" t="str">
        <f t="shared" si="12"/>
        <v>PGL_Residential_Multi-Family_Standard Rebate_Condensing Unit Heater_0_MF/CI</v>
      </c>
      <c r="C446" s="2" t="str">
        <f t="shared" si="13"/>
        <v>PGL_Residential_Multi-Family_Standard Rebate_Condensing Unit Heater_0_MF/CI_2023</v>
      </c>
      <c r="D446" s="19" t="s">
        <v>1794</v>
      </c>
      <c r="E446" s="19" t="s">
        <v>2</v>
      </c>
      <c r="F446" s="19" t="s">
        <v>1422</v>
      </c>
      <c r="G446" s="19" t="s">
        <v>1418</v>
      </c>
      <c r="H446" s="19" t="s">
        <v>13</v>
      </c>
      <c r="I446" s="19">
        <v>0</v>
      </c>
      <c r="J446" s="19" t="s">
        <v>32</v>
      </c>
      <c r="K446" s="19" t="s">
        <v>587</v>
      </c>
      <c r="L446" s="19">
        <v>2023</v>
      </c>
      <c r="M446" s="20">
        <v>150</v>
      </c>
      <c r="N446" s="19" t="s">
        <v>667</v>
      </c>
      <c r="O446" s="20">
        <v>3</v>
      </c>
      <c r="P446" s="20">
        <v>450</v>
      </c>
      <c r="Q446" s="20">
        <v>694.26</v>
      </c>
      <c r="R446" s="21">
        <v>0.87</v>
      </c>
      <c r="S446" s="20">
        <v>694.26</v>
      </c>
    </row>
    <row r="447" spans="2:19" ht="15" customHeight="1" x14ac:dyDescent="0.25">
      <c r="B447" s="2" t="str">
        <f t="shared" si="12"/>
        <v>PGL_Residential_Multi-Family_Standard Rebate_Condensing Unit Heater_0_MF/CI</v>
      </c>
      <c r="C447" s="2" t="str">
        <f t="shared" si="13"/>
        <v>PGL_Residential_Multi-Family_Standard Rebate_Condensing Unit Heater_0_MF/CI_2024</v>
      </c>
      <c r="D447" s="19" t="s">
        <v>1794</v>
      </c>
      <c r="E447" s="19" t="s">
        <v>2</v>
      </c>
      <c r="F447" s="19" t="s">
        <v>1422</v>
      </c>
      <c r="G447" s="19" t="s">
        <v>1418</v>
      </c>
      <c r="H447" s="19" t="s">
        <v>13</v>
      </c>
      <c r="I447" s="19">
        <v>0</v>
      </c>
      <c r="J447" s="19" t="s">
        <v>32</v>
      </c>
      <c r="K447" s="19" t="s">
        <v>587</v>
      </c>
      <c r="L447" s="19">
        <v>2024</v>
      </c>
      <c r="M447" s="20">
        <v>150</v>
      </c>
      <c r="N447" s="19" t="s">
        <v>667</v>
      </c>
      <c r="O447" s="20">
        <v>2</v>
      </c>
      <c r="P447" s="20">
        <v>300</v>
      </c>
      <c r="Q447" s="20">
        <v>462.84</v>
      </c>
      <c r="R447" s="21">
        <v>0.87</v>
      </c>
      <c r="S447" s="20">
        <v>462.84</v>
      </c>
    </row>
    <row r="448" spans="2:19" ht="15" customHeight="1" x14ac:dyDescent="0.25">
      <c r="B448" s="2" t="str">
        <f t="shared" si="12"/>
        <v>PGL_Residential_Multi-Family_Standard Rebate_Condensing Unit Heater_0_MF/CI</v>
      </c>
      <c r="C448" s="2" t="str">
        <f t="shared" si="13"/>
        <v>PGL_Residential_Multi-Family_Standard Rebate_Condensing Unit Heater_0_MF/CI_2025</v>
      </c>
      <c r="D448" s="19" t="s">
        <v>1794</v>
      </c>
      <c r="E448" s="19" t="s">
        <v>2</v>
      </c>
      <c r="F448" s="19" t="s">
        <v>1422</v>
      </c>
      <c r="G448" s="19" t="s">
        <v>1418</v>
      </c>
      <c r="H448" s="19" t="s">
        <v>13</v>
      </c>
      <c r="I448" s="19">
        <v>0</v>
      </c>
      <c r="J448" s="19" t="s">
        <v>32</v>
      </c>
      <c r="K448" s="19" t="s">
        <v>587</v>
      </c>
      <c r="L448" s="19">
        <v>2025</v>
      </c>
      <c r="M448" s="20">
        <v>150</v>
      </c>
      <c r="N448" s="19" t="s">
        <v>667</v>
      </c>
      <c r="O448" s="20">
        <v>2</v>
      </c>
      <c r="P448" s="20">
        <v>300</v>
      </c>
      <c r="Q448" s="20">
        <v>462.84</v>
      </c>
      <c r="R448" s="21">
        <v>0.87</v>
      </c>
      <c r="S448" s="20">
        <v>462.84</v>
      </c>
    </row>
    <row r="449" spans="2:19" ht="15" customHeight="1" x14ac:dyDescent="0.25">
      <c r="B449" s="2" t="str">
        <f t="shared" si="12"/>
        <v>PGL_Residential_Multi-Family_Standard Rebate_Direct Fired Heaters_0_MF/CI</v>
      </c>
      <c r="C449" s="2" t="str">
        <f t="shared" si="13"/>
        <v>PGL_Residential_Multi-Family_Standard Rebate_Direct Fired Heaters_0_MF/CI_2022</v>
      </c>
      <c r="D449" s="19" t="s">
        <v>1794</v>
      </c>
      <c r="E449" s="19" t="s">
        <v>2</v>
      </c>
      <c r="F449" s="19" t="s">
        <v>1422</v>
      </c>
      <c r="G449" s="19" t="s">
        <v>1418</v>
      </c>
      <c r="H449" s="19" t="s">
        <v>666</v>
      </c>
      <c r="I449" s="19">
        <v>0</v>
      </c>
      <c r="J449" s="19" t="s">
        <v>673</v>
      </c>
      <c r="K449" s="19" t="s">
        <v>587</v>
      </c>
      <c r="L449" s="19">
        <v>2022</v>
      </c>
      <c r="M449" s="20">
        <v>400</v>
      </c>
      <c r="N449" s="19" t="s">
        <v>667</v>
      </c>
      <c r="O449" s="20">
        <v>2</v>
      </c>
      <c r="P449" s="20">
        <v>800</v>
      </c>
      <c r="Q449" s="20">
        <v>2589.12</v>
      </c>
      <c r="R449" s="21">
        <v>0.87</v>
      </c>
      <c r="S449" s="20">
        <v>2589.12</v>
      </c>
    </row>
    <row r="450" spans="2:19" ht="15" customHeight="1" x14ac:dyDescent="0.25">
      <c r="B450" s="2" t="str">
        <f t="shared" si="12"/>
        <v>PGL_Residential_Multi-Family_Standard Rebate_Direct Fired Heaters_0_MF/CI</v>
      </c>
      <c r="C450" s="2" t="str">
        <f t="shared" si="13"/>
        <v>PGL_Residential_Multi-Family_Standard Rebate_Direct Fired Heaters_0_MF/CI_2023</v>
      </c>
      <c r="D450" s="19" t="s">
        <v>1794</v>
      </c>
      <c r="E450" s="19" t="s">
        <v>2</v>
      </c>
      <c r="F450" s="19" t="s">
        <v>1422</v>
      </c>
      <c r="G450" s="19" t="s">
        <v>1418</v>
      </c>
      <c r="H450" s="19" t="s">
        <v>666</v>
      </c>
      <c r="I450" s="19">
        <v>0</v>
      </c>
      <c r="J450" s="19" t="s">
        <v>673</v>
      </c>
      <c r="K450" s="19" t="s">
        <v>587</v>
      </c>
      <c r="L450" s="19">
        <v>2023</v>
      </c>
      <c r="M450" s="20">
        <v>400</v>
      </c>
      <c r="N450" s="19" t="s">
        <v>667</v>
      </c>
      <c r="O450" s="20">
        <v>2</v>
      </c>
      <c r="P450" s="20">
        <v>800</v>
      </c>
      <c r="Q450" s="20">
        <v>2589.12</v>
      </c>
      <c r="R450" s="21">
        <v>0.87</v>
      </c>
      <c r="S450" s="20">
        <v>2589.12</v>
      </c>
    </row>
    <row r="451" spans="2:19" ht="15" customHeight="1" x14ac:dyDescent="0.25">
      <c r="B451" s="2" t="str">
        <f t="shared" si="12"/>
        <v>PGL_Residential_Multi-Family_Standard Rebate_Direct Fired Heaters_0_MF/CI</v>
      </c>
      <c r="C451" s="2" t="str">
        <f t="shared" si="13"/>
        <v>PGL_Residential_Multi-Family_Standard Rebate_Direct Fired Heaters_0_MF/CI_2024</v>
      </c>
      <c r="D451" s="19" t="s">
        <v>1794</v>
      </c>
      <c r="E451" s="19" t="s">
        <v>2</v>
      </c>
      <c r="F451" s="19" t="s">
        <v>1422</v>
      </c>
      <c r="G451" s="19" t="s">
        <v>1418</v>
      </c>
      <c r="H451" s="19" t="s">
        <v>666</v>
      </c>
      <c r="I451" s="19">
        <v>0</v>
      </c>
      <c r="J451" s="19" t="s">
        <v>673</v>
      </c>
      <c r="K451" s="19" t="s">
        <v>587</v>
      </c>
      <c r="L451" s="19">
        <v>2024</v>
      </c>
      <c r="M451" s="20">
        <v>400</v>
      </c>
      <c r="N451" s="19" t="s">
        <v>667</v>
      </c>
      <c r="O451" s="20">
        <v>2</v>
      </c>
      <c r="P451" s="20">
        <v>800</v>
      </c>
      <c r="Q451" s="20">
        <v>2589.12</v>
      </c>
      <c r="R451" s="21">
        <v>0.87</v>
      </c>
      <c r="S451" s="20">
        <v>2589.12</v>
      </c>
    </row>
    <row r="452" spans="2:19" ht="15" customHeight="1" x14ac:dyDescent="0.25">
      <c r="B452" s="2" t="str">
        <f t="shared" si="12"/>
        <v>PGL_Residential_Multi-Family_Standard Rebate_Direct Fired Heaters_0_MF/CI</v>
      </c>
      <c r="C452" s="2" t="str">
        <f t="shared" si="13"/>
        <v>PGL_Residential_Multi-Family_Standard Rebate_Direct Fired Heaters_0_MF/CI_2025</v>
      </c>
      <c r="D452" s="19" t="s">
        <v>1794</v>
      </c>
      <c r="E452" s="19" t="s">
        <v>2</v>
      </c>
      <c r="F452" s="19" t="s">
        <v>1422</v>
      </c>
      <c r="G452" s="19" t="s">
        <v>1418</v>
      </c>
      <c r="H452" s="19" t="s">
        <v>666</v>
      </c>
      <c r="I452" s="19">
        <v>0</v>
      </c>
      <c r="J452" s="19" t="s">
        <v>673</v>
      </c>
      <c r="K452" s="19" t="s">
        <v>587</v>
      </c>
      <c r="L452" s="19">
        <v>2025</v>
      </c>
      <c r="M452" s="20">
        <v>400</v>
      </c>
      <c r="N452" s="19" t="s">
        <v>667</v>
      </c>
      <c r="O452" s="20">
        <v>1</v>
      </c>
      <c r="P452" s="20">
        <v>400</v>
      </c>
      <c r="Q452" s="20">
        <v>1294.56</v>
      </c>
      <c r="R452" s="21">
        <v>0.87</v>
      </c>
      <c r="S452" s="20">
        <v>1294.56</v>
      </c>
    </row>
    <row r="453" spans="2:19" ht="15" customHeight="1" x14ac:dyDescent="0.25">
      <c r="B453" s="2" t="str">
        <f t="shared" si="12"/>
        <v>PGL_Residential_Multi-Family_Standard Rebate_Furnace_&gt;95% AFUE_MF</v>
      </c>
      <c r="C453" s="2" t="str">
        <f t="shared" si="13"/>
        <v>PGL_Residential_Multi-Family_Standard Rebate_Furnace_&gt;95% AFUE_MF_2022</v>
      </c>
      <c r="D453" s="19" t="s">
        <v>1794</v>
      </c>
      <c r="E453" s="19" t="s">
        <v>2</v>
      </c>
      <c r="F453" s="19" t="s">
        <v>1422</v>
      </c>
      <c r="G453" s="19" t="s">
        <v>1418</v>
      </c>
      <c r="H453" s="19" t="s">
        <v>490</v>
      </c>
      <c r="I453" s="19" t="s">
        <v>982</v>
      </c>
      <c r="J453" s="19" t="s">
        <v>983</v>
      </c>
      <c r="K453" s="19" t="s">
        <v>553</v>
      </c>
      <c r="L453" s="19">
        <v>2022</v>
      </c>
      <c r="M453" s="20">
        <v>1</v>
      </c>
      <c r="N453" s="19" t="s">
        <v>1798</v>
      </c>
      <c r="O453" s="20">
        <v>29</v>
      </c>
      <c r="P453" s="20">
        <v>29</v>
      </c>
      <c r="Q453" s="20">
        <v>5971.7517749999961</v>
      </c>
      <c r="R453" s="21">
        <v>0.87</v>
      </c>
      <c r="S453" s="20">
        <v>5971.7517749999961</v>
      </c>
    </row>
    <row r="454" spans="2:19" ht="15" customHeight="1" x14ac:dyDescent="0.25">
      <c r="B454" s="2" t="str">
        <f t="shared" ref="B454:B517" si="14">D454&amp;"_"&amp;E454&amp;"_"&amp;F454&amp;"_"&amp;G454&amp;"_"&amp;H454&amp;"_"&amp;I454&amp;"_"&amp;K454</f>
        <v>PGL_Residential_Multi-Family_Standard Rebate_Furnace_&gt;95% AFUE_MF</v>
      </c>
      <c r="C454" s="2" t="str">
        <f t="shared" ref="C454:C517" si="15">D454&amp;"_"&amp;E454&amp;"_"&amp;F454&amp;"_"&amp;G454&amp;"_"&amp;H454&amp;"_"&amp;I454&amp;"_"&amp;K454&amp;"_"&amp;L454</f>
        <v>PGL_Residential_Multi-Family_Standard Rebate_Furnace_&gt;95% AFUE_MF_2023</v>
      </c>
      <c r="D454" s="19" t="s">
        <v>1794</v>
      </c>
      <c r="E454" s="19" t="s">
        <v>2</v>
      </c>
      <c r="F454" s="19" t="s">
        <v>1422</v>
      </c>
      <c r="G454" s="19" t="s">
        <v>1418</v>
      </c>
      <c r="H454" s="19" t="s">
        <v>490</v>
      </c>
      <c r="I454" s="19" t="s">
        <v>982</v>
      </c>
      <c r="J454" s="19" t="s">
        <v>983</v>
      </c>
      <c r="K454" s="19" t="s">
        <v>553</v>
      </c>
      <c r="L454" s="19">
        <v>2023</v>
      </c>
      <c r="M454" s="20">
        <v>1</v>
      </c>
      <c r="N454" s="19" t="s">
        <v>1798</v>
      </c>
      <c r="O454" s="20">
        <v>26</v>
      </c>
      <c r="P454" s="20">
        <v>26</v>
      </c>
      <c r="Q454" s="20">
        <v>5353.984349999997</v>
      </c>
      <c r="R454" s="21">
        <v>0.87</v>
      </c>
      <c r="S454" s="20">
        <v>5353.984349999997</v>
      </c>
    </row>
    <row r="455" spans="2:19" ht="15" customHeight="1" x14ac:dyDescent="0.25">
      <c r="B455" s="2" t="str">
        <f t="shared" si="14"/>
        <v>PGL_Residential_Multi-Family_Standard Rebate_Furnace_&gt;95% AFUE_MF</v>
      </c>
      <c r="C455" s="2" t="str">
        <f t="shared" si="15"/>
        <v>PGL_Residential_Multi-Family_Standard Rebate_Furnace_&gt;95% AFUE_MF_2024</v>
      </c>
      <c r="D455" s="19" t="s">
        <v>1794</v>
      </c>
      <c r="E455" s="19" t="s">
        <v>2</v>
      </c>
      <c r="F455" s="19" t="s">
        <v>1422</v>
      </c>
      <c r="G455" s="19" t="s">
        <v>1418</v>
      </c>
      <c r="H455" s="19" t="s">
        <v>490</v>
      </c>
      <c r="I455" s="19" t="s">
        <v>982</v>
      </c>
      <c r="J455" s="19" t="s">
        <v>983</v>
      </c>
      <c r="K455" s="19" t="s">
        <v>553</v>
      </c>
      <c r="L455" s="19">
        <v>2024</v>
      </c>
      <c r="M455" s="20">
        <v>1</v>
      </c>
      <c r="N455" s="19" t="s">
        <v>1798</v>
      </c>
      <c r="O455" s="20">
        <v>23</v>
      </c>
      <c r="P455" s="20">
        <v>23</v>
      </c>
      <c r="Q455" s="20">
        <v>4736.216924999997</v>
      </c>
      <c r="R455" s="21">
        <v>0.87</v>
      </c>
      <c r="S455" s="20">
        <v>4736.216924999997</v>
      </c>
    </row>
    <row r="456" spans="2:19" ht="15" customHeight="1" x14ac:dyDescent="0.25">
      <c r="B456" s="2" t="str">
        <f t="shared" si="14"/>
        <v>PGL_Residential_Multi-Family_Standard Rebate_Furnace_&gt;95% AFUE_MF</v>
      </c>
      <c r="C456" s="2" t="str">
        <f t="shared" si="15"/>
        <v>PGL_Residential_Multi-Family_Standard Rebate_Furnace_&gt;95% AFUE_MF_2025</v>
      </c>
      <c r="D456" s="19" t="s">
        <v>1794</v>
      </c>
      <c r="E456" s="19" t="s">
        <v>2</v>
      </c>
      <c r="F456" s="19" t="s">
        <v>1422</v>
      </c>
      <c r="G456" s="19" t="s">
        <v>1418</v>
      </c>
      <c r="H456" s="19" t="s">
        <v>490</v>
      </c>
      <c r="I456" s="19" t="s">
        <v>982</v>
      </c>
      <c r="J456" s="19" t="s">
        <v>983</v>
      </c>
      <c r="K456" s="19" t="s">
        <v>553</v>
      </c>
      <c r="L456" s="19">
        <v>2025</v>
      </c>
      <c r="M456" s="20">
        <v>1</v>
      </c>
      <c r="N456" s="19" t="s">
        <v>1798</v>
      </c>
      <c r="O456" s="20">
        <v>17</v>
      </c>
      <c r="P456" s="20">
        <v>17</v>
      </c>
      <c r="Q456" s="20">
        <v>3500.6820749999974</v>
      </c>
      <c r="R456" s="21">
        <v>0.87</v>
      </c>
      <c r="S456" s="20">
        <v>3500.6820749999974</v>
      </c>
    </row>
    <row r="457" spans="2:19" ht="15" customHeight="1" x14ac:dyDescent="0.25">
      <c r="B457" s="2" t="str">
        <f t="shared" si="14"/>
        <v>PGL_Residential_Multi-Family_Standard Rebate_High Speed Washer_0_MF</v>
      </c>
      <c r="C457" s="2" t="str">
        <f t="shared" si="15"/>
        <v>PGL_Residential_Multi-Family_Standard Rebate_High Speed Washer_0_MF_2022</v>
      </c>
      <c r="D457" s="19" t="s">
        <v>1794</v>
      </c>
      <c r="E457" s="19" t="s">
        <v>2</v>
      </c>
      <c r="F457" s="19" t="s">
        <v>1422</v>
      </c>
      <c r="G457" s="19" t="s">
        <v>1418</v>
      </c>
      <c r="H457" s="19" t="s">
        <v>725</v>
      </c>
      <c r="I457" s="19">
        <v>0</v>
      </c>
      <c r="J457" s="19" t="s">
        <v>730</v>
      </c>
      <c r="K457" s="19" t="s">
        <v>553</v>
      </c>
      <c r="L457" s="19">
        <v>2022</v>
      </c>
      <c r="M457" s="20">
        <v>250</v>
      </c>
      <c r="N457" s="19" t="s">
        <v>1803</v>
      </c>
      <c r="O457" s="20">
        <v>10</v>
      </c>
      <c r="P457" s="20">
        <v>2500</v>
      </c>
      <c r="Q457" s="20">
        <v>4796.7519600000005</v>
      </c>
      <c r="R457" s="21">
        <v>0.87</v>
      </c>
      <c r="S457" s="20">
        <v>4796.7519600000005</v>
      </c>
    </row>
    <row r="458" spans="2:19" ht="15" customHeight="1" x14ac:dyDescent="0.25">
      <c r="B458" s="2" t="str">
        <f t="shared" si="14"/>
        <v>PGL_Residential_Multi-Family_Standard Rebate_High Speed Washer_0_MF</v>
      </c>
      <c r="C458" s="2" t="str">
        <f t="shared" si="15"/>
        <v>PGL_Residential_Multi-Family_Standard Rebate_High Speed Washer_0_MF_2023</v>
      </c>
      <c r="D458" s="19" t="s">
        <v>1794</v>
      </c>
      <c r="E458" s="19" t="s">
        <v>2</v>
      </c>
      <c r="F458" s="19" t="s">
        <v>1422</v>
      </c>
      <c r="G458" s="19" t="s">
        <v>1418</v>
      </c>
      <c r="H458" s="19" t="s">
        <v>725</v>
      </c>
      <c r="I458" s="19">
        <v>0</v>
      </c>
      <c r="J458" s="19" t="s">
        <v>730</v>
      </c>
      <c r="K458" s="19" t="s">
        <v>553</v>
      </c>
      <c r="L458" s="19">
        <v>2023</v>
      </c>
      <c r="M458" s="20">
        <v>250</v>
      </c>
      <c r="N458" s="19" t="s">
        <v>1803</v>
      </c>
      <c r="O458" s="20">
        <v>9</v>
      </c>
      <c r="P458" s="20">
        <v>2250</v>
      </c>
      <c r="Q458" s="20">
        <v>4317.0767640000004</v>
      </c>
      <c r="R458" s="21">
        <v>0.87</v>
      </c>
      <c r="S458" s="20">
        <v>4317.0767640000004</v>
      </c>
    </row>
    <row r="459" spans="2:19" ht="15" customHeight="1" x14ac:dyDescent="0.25">
      <c r="B459" s="2" t="str">
        <f t="shared" si="14"/>
        <v>PGL_Residential_Multi-Family_Standard Rebate_High Speed Washer_0_MF</v>
      </c>
      <c r="C459" s="2" t="str">
        <f t="shared" si="15"/>
        <v>PGL_Residential_Multi-Family_Standard Rebate_High Speed Washer_0_MF_2024</v>
      </c>
      <c r="D459" s="19" t="s">
        <v>1794</v>
      </c>
      <c r="E459" s="19" t="s">
        <v>2</v>
      </c>
      <c r="F459" s="19" t="s">
        <v>1422</v>
      </c>
      <c r="G459" s="19" t="s">
        <v>1418</v>
      </c>
      <c r="H459" s="19" t="s">
        <v>725</v>
      </c>
      <c r="I459" s="19">
        <v>0</v>
      </c>
      <c r="J459" s="19" t="s">
        <v>730</v>
      </c>
      <c r="K459" s="19" t="s">
        <v>553</v>
      </c>
      <c r="L459" s="19">
        <v>2024</v>
      </c>
      <c r="M459" s="20">
        <v>250</v>
      </c>
      <c r="N459" s="19" t="s">
        <v>1803</v>
      </c>
      <c r="O459" s="20">
        <v>8</v>
      </c>
      <c r="P459" s="20">
        <v>2000</v>
      </c>
      <c r="Q459" s="20">
        <v>3837.4015680000002</v>
      </c>
      <c r="R459" s="21">
        <v>0.87</v>
      </c>
      <c r="S459" s="20">
        <v>3837.4015680000002</v>
      </c>
    </row>
    <row r="460" spans="2:19" ht="15" customHeight="1" x14ac:dyDescent="0.25">
      <c r="B460" s="2" t="str">
        <f t="shared" si="14"/>
        <v>PGL_Residential_Multi-Family_Standard Rebate_High Speed Washer_0_MF</v>
      </c>
      <c r="C460" s="2" t="str">
        <f t="shared" si="15"/>
        <v>PGL_Residential_Multi-Family_Standard Rebate_High Speed Washer_0_MF_2025</v>
      </c>
      <c r="D460" s="19" t="s">
        <v>1794</v>
      </c>
      <c r="E460" s="19" t="s">
        <v>2</v>
      </c>
      <c r="F460" s="19" t="s">
        <v>1422</v>
      </c>
      <c r="G460" s="19" t="s">
        <v>1418</v>
      </c>
      <c r="H460" s="19" t="s">
        <v>725</v>
      </c>
      <c r="I460" s="19">
        <v>0</v>
      </c>
      <c r="J460" s="19" t="s">
        <v>730</v>
      </c>
      <c r="K460" s="19" t="s">
        <v>553</v>
      </c>
      <c r="L460" s="19">
        <v>2025</v>
      </c>
      <c r="M460" s="20">
        <v>250</v>
      </c>
      <c r="N460" s="19" t="s">
        <v>1803</v>
      </c>
      <c r="O460" s="20">
        <v>6</v>
      </c>
      <c r="P460" s="20">
        <v>1500</v>
      </c>
      <c r="Q460" s="20">
        <v>2878.0511759999999</v>
      </c>
      <c r="R460" s="21">
        <v>0.87</v>
      </c>
      <c r="S460" s="20">
        <v>2878.0511759999999</v>
      </c>
    </row>
    <row r="461" spans="2:19" ht="15" customHeight="1" x14ac:dyDescent="0.25">
      <c r="B461" s="2" t="str">
        <f t="shared" si="14"/>
        <v>PGL_Residential_Multi-Family_Standard Rebate_Infrared Heater_0_MF/CI</v>
      </c>
      <c r="C461" s="2" t="str">
        <f t="shared" si="15"/>
        <v>PGL_Residential_Multi-Family_Standard Rebate_Infrared Heater_0_MF/CI_2022</v>
      </c>
      <c r="D461" s="19" t="s">
        <v>1794</v>
      </c>
      <c r="E461" s="19" t="s">
        <v>2</v>
      </c>
      <c r="F461" s="19" t="s">
        <v>1422</v>
      </c>
      <c r="G461" s="19" t="s">
        <v>1418</v>
      </c>
      <c r="H461" s="19" t="s">
        <v>742</v>
      </c>
      <c r="I461" s="19">
        <v>0</v>
      </c>
      <c r="J461" s="19" t="s">
        <v>33</v>
      </c>
      <c r="K461" s="19" t="s">
        <v>587</v>
      </c>
      <c r="L461" s="19">
        <v>2022</v>
      </c>
      <c r="M461" s="20">
        <v>150</v>
      </c>
      <c r="N461" s="19" t="s">
        <v>667</v>
      </c>
      <c r="O461" s="20">
        <v>0</v>
      </c>
      <c r="P461" s="20">
        <v>0</v>
      </c>
      <c r="Q461" s="20">
        <v>0</v>
      </c>
      <c r="R461" s="21">
        <v>0.87</v>
      </c>
      <c r="S461" s="20">
        <v>0</v>
      </c>
    </row>
    <row r="462" spans="2:19" ht="15" customHeight="1" x14ac:dyDescent="0.25">
      <c r="B462" s="2" t="str">
        <f t="shared" si="14"/>
        <v>PGL_Residential_Multi-Family_Standard Rebate_Infrared Heater_0_MF/CI</v>
      </c>
      <c r="C462" s="2" t="str">
        <f t="shared" si="15"/>
        <v>PGL_Residential_Multi-Family_Standard Rebate_Infrared Heater_0_MF/CI_2023</v>
      </c>
      <c r="D462" s="19" t="s">
        <v>1794</v>
      </c>
      <c r="E462" s="19" t="s">
        <v>2</v>
      </c>
      <c r="F462" s="19" t="s">
        <v>1422</v>
      </c>
      <c r="G462" s="19" t="s">
        <v>1418</v>
      </c>
      <c r="H462" s="19" t="s">
        <v>742</v>
      </c>
      <c r="I462" s="19">
        <v>0</v>
      </c>
      <c r="J462" s="19" t="s">
        <v>33</v>
      </c>
      <c r="K462" s="19" t="s">
        <v>587</v>
      </c>
      <c r="L462" s="19">
        <v>2023</v>
      </c>
      <c r="M462" s="20">
        <v>150</v>
      </c>
      <c r="N462" s="19" t="s">
        <v>667</v>
      </c>
      <c r="O462" s="20">
        <v>0</v>
      </c>
      <c r="P462" s="20">
        <v>0</v>
      </c>
      <c r="Q462" s="20">
        <v>0</v>
      </c>
      <c r="R462" s="21">
        <v>0.87</v>
      </c>
      <c r="S462" s="20">
        <v>0</v>
      </c>
    </row>
    <row r="463" spans="2:19" ht="15" customHeight="1" x14ac:dyDescent="0.25">
      <c r="B463" s="2" t="str">
        <f t="shared" si="14"/>
        <v>PGL_Residential_Multi-Family_Standard Rebate_Infrared Heater_0_MF/CI</v>
      </c>
      <c r="C463" s="2" t="str">
        <f t="shared" si="15"/>
        <v>PGL_Residential_Multi-Family_Standard Rebate_Infrared Heater_0_MF/CI_2024</v>
      </c>
      <c r="D463" s="19" t="s">
        <v>1794</v>
      </c>
      <c r="E463" s="19" t="s">
        <v>2</v>
      </c>
      <c r="F463" s="19" t="s">
        <v>1422</v>
      </c>
      <c r="G463" s="19" t="s">
        <v>1418</v>
      </c>
      <c r="H463" s="19" t="s">
        <v>742</v>
      </c>
      <c r="I463" s="19">
        <v>0</v>
      </c>
      <c r="J463" s="19" t="s">
        <v>33</v>
      </c>
      <c r="K463" s="19" t="s">
        <v>587</v>
      </c>
      <c r="L463" s="19">
        <v>2024</v>
      </c>
      <c r="M463" s="20">
        <v>150</v>
      </c>
      <c r="N463" s="19" t="s">
        <v>667</v>
      </c>
      <c r="O463" s="20">
        <v>0</v>
      </c>
      <c r="P463" s="20">
        <v>0</v>
      </c>
      <c r="Q463" s="20">
        <v>0</v>
      </c>
      <c r="R463" s="21">
        <v>0.87</v>
      </c>
      <c r="S463" s="20">
        <v>0</v>
      </c>
    </row>
    <row r="464" spans="2:19" ht="15" customHeight="1" x14ac:dyDescent="0.25">
      <c r="B464" s="2" t="str">
        <f t="shared" si="14"/>
        <v>PGL_Residential_Multi-Family_Standard Rebate_Infrared Heater_0_MF/CI</v>
      </c>
      <c r="C464" s="2" t="str">
        <f t="shared" si="15"/>
        <v>PGL_Residential_Multi-Family_Standard Rebate_Infrared Heater_0_MF/CI_2025</v>
      </c>
      <c r="D464" s="19" t="s">
        <v>1794</v>
      </c>
      <c r="E464" s="19" t="s">
        <v>2</v>
      </c>
      <c r="F464" s="19" t="s">
        <v>1422</v>
      </c>
      <c r="G464" s="19" t="s">
        <v>1418</v>
      </c>
      <c r="H464" s="19" t="s">
        <v>742</v>
      </c>
      <c r="I464" s="19">
        <v>0</v>
      </c>
      <c r="J464" s="19" t="s">
        <v>33</v>
      </c>
      <c r="K464" s="19" t="s">
        <v>587</v>
      </c>
      <c r="L464" s="19">
        <v>2025</v>
      </c>
      <c r="M464" s="20">
        <v>150</v>
      </c>
      <c r="N464" s="19" t="s">
        <v>667</v>
      </c>
      <c r="O464" s="20">
        <v>0</v>
      </c>
      <c r="P464" s="20">
        <v>0</v>
      </c>
      <c r="Q464" s="20">
        <v>0</v>
      </c>
      <c r="R464" s="21">
        <v>0.87</v>
      </c>
      <c r="S464" s="20">
        <v>0</v>
      </c>
    </row>
    <row r="465" spans="2:19" ht="15" customHeight="1" x14ac:dyDescent="0.25">
      <c r="B465" s="2" t="str">
        <f t="shared" si="14"/>
        <v>PGL_Residential_Multi-Family_Standard Rebate_Ozone Laundry_0_MF/CI</v>
      </c>
      <c r="C465" s="2" t="str">
        <f t="shared" si="15"/>
        <v>PGL_Residential_Multi-Family_Standard Rebate_Ozone Laundry_0_MF/CI_2022</v>
      </c>
      <c r="D465" s="19" t="s">
        <v>1794</v>
      </c>
      <c r="E465" s="19" t="s">
        <v>2</v>
      </c>
      <c r="F465" s="19" t="s">
        <v>1422</v>
      </c>
      <c r="G465" s="19" t="s">
        <v>1418</v>
      </c>
      <c r="H465" s="19" t="s">
        <v>16</v>
      </c>
      <c r="I465" s="19">
        <v>0</v>
      </c>
      <c r="J465" s="19" t="s">
        <v>592</v>
      </c>
      <c r="K465" s="19" t="s">
        <v>587</v>
      </c>
      <c r="L465" s="19">
        <v>2022</v>
      </c>
      <c r="M465" s="20">
        <v>250</v>
      </c>
      <c r="N465" s="19" t="s">
        <v>1803</v>
      </c>
      <c r="O465" s="20">
        <v>0</v>
      </c>
      <c r="P465" s="20">
        <v>0</v>
      </c>
      <c r="Q465" s="20">
        <v>0</v>
      </c>
      <c r="R465" s="21">
        <v>0.87</v>
      </c>
      <c r="S465" s="20">
        <v>0</v>
      </c>
    </row>
    <row r="466" spans="2:19" ht="15" customHeight="1" x14ac:dyDescent="0.25">
      <c r="B466" s="2" t="str">
        <f t="shared" si="14"/>
        <v>PGL_Residential_Multi-Family_Standard Rebate_Ozone Laundry_0_MF/CI</v>
      </c>
      <c r="C466" s="2" t="str">
        <f t="shared" si="15"/>
        <v>PGL_Residential_Multi-Family_Standard Rebate_Ozone Laundry_0_MF/CI_2023</v>
      </c>
      <c r="D466" s="19" t="s">
        <v>1794</v>
      </c>
      <c r="E466" s="19" t="s">
        <v>2</v>
      </c>
      <c r="F466" s="19" t="s">
        <v>1422</v>
      </c>
      <c r="G466" s="19" t="s">
        <v>1418</v>
      </c>
      <c r="H466" s="19" t="s">
        <v>16</v>
      </c>
      <c r="I466" s="19">
        <v>0</v>
      </c>
      <c r="J466" s="19" t="s">
        <v>592</v>
      </c>
      <c r="K466" s="19" t="s">
        <v>587</v>
      </c>
      <c r="L466" s="19">
        <v>2023</v>
      </c>
      <c r="M466" s="20">
        <v>250</v>
      </c>
      <c r="N466" s="19" t="s">
        <v>1803</v>
      </c>
      <c r="O466" s="20">
        <v>0</v>
      </c>
      <c r="P466" s="20">
        <v>0</v>
      </c>
      <c r="Q466" s="20">
        <v>0</v>
      </c>
      <c r="R466" s="21">
        <v>0.87</v>
      </c>
      <c r="S466" s="20">
        <v>0</v>
      </c>
    </row>
    <row r="467" spans="2:19" ht="15" customHeight="1" x14ac:dyDescent="0.25">
      <c r="B467" s="2" t="str">
        <f t="shared" si="14"/>
        <v>PGL_Residential_Multi-Family_Standard Rebate_Ozone Laundry_0_MF/CI</v>
      </c>
      <c r="C467" s="2" t="str">
        <f t="shared" si="15"/>
        <v>PGL_Residential_Multi-Family_Standard Rebate_Ozone Laundry_0_MF/CI_2024</v>
      </c>
      <c r="D467" s="19" t="s">
        <v>1794</v>
      </c>
      <c r="E467" s="19" t="s">
        <v>2</v>
      </c>
      <c r="F467" s="19" t="s">
        <v>1422</v>
      </c>
      <c r="G467" s="19" t="s">
        <v>1418</v>
      </c>
      <c r="H467" s="19" t="s">
        <v>16</v>
      </c>
      <c r="I467" s="19">
        <v>0</v>
      </c>
      <c r="J467" s="19" t="s">
        <v>592</v>
      </c>
      <c r="K467" s="19" t="s">
        <v>587</v>
      </c>
      <c r="L467" s="19">
        <v>2024</v>
      </c>
      <c r="M467" s="20">
        <v>250</v>
      </c>
      <c r="N467" s="19" t="s">
        <v>1803</v>
      </c>
      <c r="O467" s="20">
        <v>0</v>
      </c>
      <c r="P467" s="20">
        <v>0</v>
      </c>
      <c r="Q467" s="20">
        <v>0</v>
      </c>
      <c r="R467" s="21">
        <v>0.87</v>
      </c>
      <c r="S467" s="20">
        <v>0</v>
      </c>
    </row>
    <row r="468" spans="2:19" ht="15" customHeight="1" x14ac:dyDescent="0.25">
      <c r="B468" s="2" t="str">
        <f t="shared" si="14"/>
        <v>PGL_Residential_Multi-Family_Standard Rebate_Ozone Laundry_0_MF/CI</v>
      </c>
      <c r="C468" s="2" t="str">
        <f t="shared" si="15"/>
        <v>PGL_Residential_Multi-Family_Standard Rebate_Ozone Laundry_0_MF/CI_2025</v>
      </c>
      <c r="D468" s="19" t="s">
        <v>1794</v>
      </c>
      <c r="E468" s="19" t="s">
        <v>2</v>
      </c>
      <c r="F468" s="19" t="s">
        <v>1422</v>
      </c>
      <c r="G468" s="19" t="s">
        <v>1418</v>
      </c>
      <c r="H468" s="19" t="s">
        <v>16</v>
      </c>
      <c r="I468" s="19">
        <v>0</v>
      </c>
      <c r="J468" s="19" t="s">
        <v>592</v>
      </c>
      <c r="K468" s="19" t="s">
        <v>587</v>
      </c>
      <c r="L468" s="19">
        <v>2025</v>
      </c>
      <c r="M468" s="20">
        <v>250</v>
      </c>
      <c r="N468" s="19" t="s">
        <v>1803</v>
      </c>
      <c r="O468" s="20">
        <v>0</v>
      </c>
      <c r="P468" s="20">
        <v>0</v>
      </c>
      <c r="Q468" s="20">
        <v>0</v>
      </c>
      <c r="R468" s="21">
        <v>0.87</v>
      </c>
      <c r="S468" s="20">
        <v>0</v>
      </c>
    </row>
    <row r="469" spans="2:19" ht="15" customHeight="1" x14ac:dyDescent="0.25">
      <c r="B469" s="2" t="str">
        <f t="shared" si="14"/>
        <v>PGL_Residential_Multi-Family_Standard Rebate_Pipe Insulation_Hyd. Boiler Sm ≤1.25"_MF</v>
      </c>
      <c r="C469" s="2" t="str">
        <f t="shared" si="15"/>
        <v>PGL_Residential_Multi-Family_Standard Rebate_Pipe Insulation_Hyd. Boiler Sm ≤1.25"_MF_2022</v>
      </c>
      <c r="D469" s="19" t="s">
        <v>1794</v>
      </c>
      <c r="E469" s="19" t="s">
        <v>2</v>
      </c>
      <c r="F469" s="19" t="s">
        <v>1422</v>
      </c>
      <c r="G469" s="19" t="s">
        <v>1418</v>
      </c>
      <c r="H469" s="19" t="s">
        <v>404</v>
      </c>
      <c r="I469" s="19" t="s">
        <v>947</v>
      </c>
      <c r="J469" s="19">
        <v>0</v>
      </c>
      <c r="K469" s="19" t="s">
        <v>553</v>
      </c>
      <c r="L469" s="19">
        <v>2022</v>
      </c>
      <c r="M469" s="20">
        <v>75</v>
      </c>
      <c r="N469" s="19" t="s">
        <v>616</v>
      </c>
      <c r="O469" s="20">
        <v>29</v>
      </c>
      <c r="P469" s="20">
        <v>2175</v>
      </c>
      <c r="Q469" s="20">
        <v>3913.6173148557696</v>
      </c>
      <c r="R469" s="21">
        <v>0.87</v>
      </c>
      <c r="S469" s="20">
        <v>3913.6173148557696</v>
      </c>
    </row>
    <row r="470" spans="2:19" ht="15" customHeight="1" x14ac:dyDescent="0.25">
      <c r="B470" s="2" t="str">
        <f t="shared" si="14"/>
        <v>PGL_Residential_Multi-Family_Standard Rebate_Pipe Insulation_Hyd. Boiler Sm ≤1.25"_MF</v>
      </c>
      <c r="C470" s="2" t="str">
        <f t="shared" si="15"/>
        <v>PGL_Residential_Multi-Family_Standard Rebate_Pipe Insulation_Hyd. Boiler Sm ≤1.25"_MF_2023</v>
      </c>
      <c r="D470" s="19" t="s">
        <v>1794</v>
      </c>
      <c r="E470" s="19" t="s">
        <v>2</v>
      </c>
      <c r="F470" s="19" t="s">
        <v>1422</v>
      </c>
      <c r="G470" s="19" t="s">
        <v>1418</v>
      </c>
      <c r="H470" s="19" t="s">
        <v>404</v>
      </c>
      <c r="I470" s="19" t="s">
        <v>947</v>
      </c>
      <c r="J470" s="19">
        <v>0</v>
      </c>
      <c r="K470" s="19" t="s">
        <v>553</v>
      </c>
      <c r="L470" s="19">
        <v>2023</v>
      </c>
      <c r="M470" s="20">
        <v>75</v>
      </c>
      <c r="N470" s="19" t="s">
        <v>616</v>
      </c>
      <c r="O470" s="20">
        <v>26</v>
      </c>
      <c r="P470" s="20">
        <v>1950</v>
      </c>
      <c r="Q470" s="20">
        <v>3508.7603512500004</v>
      </c>
      <c r="R470" s="21">
        <v>0.87</v>
      </c>
      <c r="S470" s="20">
        <v>3508.7603512500004</v>
      </c>
    </row>
    <row r="471" spans="2:19" ht="15" customHeight="1" x14ac:dyDescent="0.25">
      <c r="B471" s="2" t="str">
        <f t="shared" si="14"/>
        <v>PGL_Residential_Multi-Family_Standard Rebate_Pipe Insulation_Hyd. Boiler Sm ≤1.25"_MF</v>
      </c>
      <c r="C471" s="2" t="str">
        <f t="shared" si="15"/>
        <v>PGL_Residential_Multi-Family_Standard Rebate_Pipe Insulation_Hyd. Boiler Sm ≤1.25"_MF_2024</v>
      </c>
      <c r="D471" s="19" t="s">
        <v>1794</v>
      </c>
      <c r="E471" s="19" t="s">
        <v>2</v>
      </c>
      <c r="F471" s="19" t="s">
        <v>1422</v>
      </c>
      <c r="G471" s="19" t="s">
        <v>1418</v>
      </c>
      <c r="H471" s="19" t="s">
        <v>404</v>
      </c>
      <c r="I471" s="19" t="s">
        <v>947</v>
      </c>
      <c r="J471" s="19">
        <v>0</v>
      </c>
      <c r="K471" s="19" t="s">
        <v>553</v>
      </c>
      <c r="L471" s="19">
        <v>2024</v>
      </c>
      <c r="M471" s="20">
        <v>75</v>
      </c>
      <c r="N471" s="19" t="s">
        <v>616</v>
      </c>
      <c r="O471" s="20">
        <v>23</v>
      </c>
      <c r="P471" s="20">
        <v>1725</v>
      </c>
      <c r="Q471" s="20">
        <v>3103.9033876442309</v>
      </c>
      <c r="R471" s="21">
        <v>0.87</v>
      </c>
      <c r="S471" s="20">
        <v>3103.9033876442309</v>
      </c>
    </row>
    <row r="472" spans="2:19" ht="15" customHeight="1" x14ac:dyDescent="0.25">
      <c r="B472" s="2" t="str">
        <f t="shared" si="14"/>
        <v>PGL_Residential_Multi-Family_Standard Rebate_Pipe Insulation_Hyd. Boiler Sm ≤1.25"_MF</v>
      </c>
      <c r="C472" s="2" t="str">
        <f t="shared" si="15"/>
        <v>PGL_Residential_Multi-Family_Standard Rebate_Pipe Insulation_Hyd. Boiler Sm ≤1.25"_MF_2025</v>
      </c>
      <c r="D472" s="19" t="s">
        <v>1794</v>
      </c>
      <c r="E472" s="19" t="s">
        <v>2</v>
      </c>
      <c r="F472" s="19" t="s">
        <v>1422</v>
      </c>
      <c r="G472" s="19" t="s">
        <v>1418</v>
      </c>
      <c r="H472" s="19" t="s">
        <v>404</v>
      </c>
      <c r="I472" s="19" t="s">
        <v>947</v>
      </c>
      <c r="J472" s="19">
        <v>0</v>
      </c>
      <c r="K472" s="19" t="s">
        <v>553</v>
      </c>
      <c r="L472" s="19">
        <v>2025</v>
      </c>
      <c r="M472" s="20">
        <v>75</v>
      </c>
      <c r="N472" s="19" t="s">
        <v>616</v>
      </c>
      <c r="O472" s="20">
        <v>17</v>
      </c>
      <c r="P472" s="20">
        <v>1275</v>
      </c>
      <c r="Q472" s="20">
        <v>2294.1894604326926</v>
      </c>
      <c r="R472" s="21">
        <v>0.87</v>
      </c>
      <c r="S472" s="20">
        <v>2294.1894604326926</v>
      </c>
    </row>
    <row r="473" spans="2:19" ht="15" customHeight="1" x14ac:dyDescent="0.25">
      <c r="B473" s="2" t="str">
        <f t="shared" si="14"/>
        <v>PGL_Residential_Multi-Family_Standard Rebate_Pipe Insulation_Hyd. Boiler Med 1.25-2"_MF</v>
      </c>
      <c r="C473" s="2" t="str">
        <f t="shared" si="15"/>
        <v>PGL_Residential_Multi-Family_Standard Rebate_Pipe Insulation_Hyd. Boiler Med 1.25-2"_MF_2022</v>
      </c>
      <c r="D473" s="19" t="s">
        <v>1794</v>
      </c>
      <c r="E473" s="19" t="s">
        <v>2</v>
      </c>
      <c r="F473" s="19" t="s">
        <v>1422</v>
      </c>
      <c r="G473" s="19" t="s">
        <v>1418</v>
      </c>
      <c r="H473" s="19" t="s">
        <v>404</v>
      </c>
      <c r="I473" s="19" t="s">
        <v>951</v>
      </c>
      <c r="J473" s="19">
        <v>0</v>
      </c>
      <c r="K473" s="19" t="s">
        <v>553</v>
      </c>
      <c r="L473" s="19">
        <v>2022</v>
      </c>
      <c r="M473" s="20">
        <v>75</v>
      </c>
      <c r="N473" s="19" t="s">
        <v>616</v>
      </c>
      <c r="O473" s="20">
        <v>95</v>
      </c>
      <c r="P473" s="20">
        <v>7125</v>
      </c>
      <c r="Q473" s="20">
        <v>22337.055225961536</v>
      </c>
      <c r="R473" s="21">
        <v>0.87</v>
      </c>
      <c r="S473" s="20">
        <v>22337.055225961536</v>
      </c>
    </row>
    <row r="474" spans="2:19" ht="15" customHeight="1" x14ac:dyDescent="0.25">
      <c r="B474" s="2" t="str">
        <f t="shared" si="14"/>
        <v>PGL_Residential_Multi-Family_Standard Rebate_Pipe Insulation_Hyd. Boiler Med 1.25-2"_MF</v>
      </c>
      <c r="C474" s="2" t="str">
        <f t="shared" si="15"/>
        <v>PGL_Residential_Multi-Family_Standard Rebate_Pipe Insulation_Hyd. Boiler Med 1.25-2"_MF_2023</v>
      </c>
      <c r="D474" s="19" t="s">
        <v>1794</v>
      </c>
      <c r="E474" s="19" t="s">
        <v>2</v>
      </c>
      <c r="F474" s="19" t="s">
        <v>1422</v>
      </c>
      <c r="G474" s="19" t="s">
        <v>1418</v>
      </c>
      <c r="H474" s="19" t="s">
        <v>404</v>
      </c>
      <c r="I474" s="19" t="s">
        <v>951</v>
      </c>
      <c r="J474" s="19">
        <v>0</v>
      </c>
      <c r="K474" s="19" t="s">
        <v>553</v>
      </c>
      <c r="L474" s="19">
        <v>2023</v>
      </c>
      <c r="M474" s="20">
        <v>75</v>
      </c>
      <c r="N474" s="19" t="s">
        <v>616</v>
      </c>
      <c r="O474" s="20">
        <v>85</v>
      </c>
      <c r="P474" s="20">
        <v>6375</v>
      </c>
      <c r="Q474" s="20">
        <v>19985.786254807692</v>
      </c>
      <c r="R474" s="21">
        <v>0.87</v>
      </c>
      <c r="S474" s="20">
        <v>19985.786254807692</v>
      </c>
    </row>
    <row r="475" spans="2:19" ht="15" customHeight="1" x14ac:dyDescent="0.25">
      <c r="B475" s="2" t="str">
        <f t="shared" si="14"/>
        <v>PGL_Residential_Multi-Family_Standard Rebate_Pipe Insulation_Hyd. Boiler Med 1.25-2"_MF</v>
      </c>
      <c r="C475" s="2" t="str">
        <f t="shared" si="15"/>
        <v>PGL_Residential_Multi-Family_Standard Rebate_Pipe Insulation_Hyd. Boiler Med 1.25-2"_MF_2024</v>
      </c>
      <c r="D475" s="19" t="s">
        <v>1794</v>
      </c>
      <c r="E475" s="19" t="s">
        <v>2</v>
      </c>
      <c r="F475" s="19" t="s">
        <v>1422</v>
      </c>
      <c r="G475" s="19" t="s">
        <v>1418</v>
      </c>
      <c r="H475" s="19" t="s">
        <v>404</v>
      </c>
      <c r="I475" s="19" t="s">
        <v>951</v>
      </c>
      <c r="J475" s="19">
        <v>0</v>
      </c>
      <c r="K475" s="19" t="s">
        <v>553</v>
      </c>
      <c r="L475" s="19">
        <v>2024</v>
      </c>
      <c r="M475" s="20">
        <v>75</v>
      </c>
      <c r="N475" s="19" t="s">
        <v>616</v>
      </c>
      <c r="O475" s="20">
        <v>75</v>
      </c>
      <c r="P475" s="20">
        <v>5625</v>
      </c>
      <c r="Q475" s="20">
        <v>17634.517283653844</v>
      </c>
      <c r="R475" s="21">
        <v>0.87</v>
      </c>
      <c r="S475" s="20">
        <v>17634.517283653844</v>
      </c>
    </row>
    <row r="476" spans="2:19" ht="15" customHeight="1" x14ac:dyDescent="0.25">
      <c r="B476" s="2" t="str">
        <f t="shared" si="14"/>
        <v>PGL_Residential_Multi-Family_Standard Rebate_Pipe Insulation_Hyd. Boiler Med 1.25-2"_MF</v>
      </c>
      <c r="C476" s="2" t="str">
        <f t="shared" si="15"/>
        <v>PGL_Residential_Multi-Family_Standard Rebate_Pipe Insulation_Hyd. Boiler Med 1.25-2"_MF_2025</v>
      </c>
      <c r="D476" s="19" t="s">
        <v>1794</v>
      </c>
      <c r="E476" s="19" t="s">
        <v>2</v>
      </c>
      <c r="F476" s="19" t="s">
        <v>1422</v>
      </c>
      <c r="G476" s="19" t="s">
        <v>1418</v>
      </c>
      <c r="H476" s="19" t="s">
        <v>404</v>
      </c>
      <c r="I476" s="19" t="s">
        <v>951</v>
      </c>
      <c r="J476" s="19">
        <v>0</v>
      </c>
      <c r="K476" s="19" t="s">
        <v>553</v>
      </c>
      <c r="L476" s="19">
        <v>2025</v>
      </c>
      <c r="M476" s="20">
        <v>75</v>
      </c>
      <c r="N476" s="19" t="s">
        <v>616</v>
      </c>
      <c r="O476" s="20">
        <v>55</v>
      </c>
      <c r="P476" s="20">
        <v>4125</v>
      </c>
      <c r="Q476" s="20">
        <v>12931.979341346154</v>
      </c>
      <c r="R476" s="21">
        <v>0.87</v>
      </c>
      <c r="S476" s="20">
        <v>12931.979341346154</v>
      </c>
    </row>
    <row r="477" spans="2:19" ht="15" customHeight="1" x14ac:dyDescent="0.25">
      <c r="B477" s="2" t="str">
        <f t="shared" si="14"/>
        <v>PGL_Residential_Multi-Family_Standard Rebate_Pipe Insulation_Hyd. Boiler Large ≥2"_MF</v>
      </c>
      <c r="C477" s="2" t="str">
        <f t="shared" si="15"/>
        <v>PGL_Residential_Multi-Family_Standard Rebate_Pipe Insulation_Hyd. Boiler Large ≥2"_MF_2022</v>
      </c>
      <c r="D477" s="19" t="s">
        <v>1794</v>
      </c>
      <c r="E477" s="19" t="s">
        <v>2</v>
      </c>
      <c r="F477" s="19" t="s">
        <v>1422</v>
      </c>
      <c r="G477" s="19" t="s">
        <v>1418</v>
      </c>
      <c r="H477" s="19" t="s">
        <v>404</v>
      </c>
      <c r="I477" s="19" t="s">
        <v>952</v>
      </c>
      <c r="J477" s="19">
        <v>0</v>
      </c>
      <c r="K477" s="19" t="s">
        <v>553</v>
      </c>
      <c r="L477" s="19">
        <v>2022</v>
      </c>
      <c r="M477" s="20">
        <v>75</v>
      </c>
      <c r="N477" s="19" t="s">
        <v>616</v>
      </c>
      <c r="O477" s="20">
        <v>10</v>
      </c>
      <c r="P477" s="20">
        <v>750</v>
      </c>
      <c r="Q477" s="20">
        <v>4036.8755673076921</v>
      </c>
      <c r="R477" s="21">
        <v>0.87</v>
      </c>
      <c r="S477" s="20">
        <v>4036.8755673076921</v>
      </c>
    </row>
    <row r="478" spans="2:19" ht="15" customHeight="1" x14ac:dyDescent="0.25">
      <c r="B478" s="2" t="str">
        <f t="shared" si="14"/>
        <v>PGL_Residential_Multi-Family_Standard Rebate_Pipe Insulation_Hyd. Boiler Large ≥2"_MF</v>
      </c>
      <c r="C478" s="2" t="str">
        <f t="shared" si="15"/>
        <v>PGL_Residential_Multi-Family_Standard Rebate_Pipe Insulation_Hyd. Boiler Large ≥2"_MF_2023</v>
      </c>
      <c r="D478" s="19" t="s">
        <v>1794</v>
      </c>
      <c r="E478" s="19" t="s">
        <v>2</v>
      </c>
      <c r="F478" s="19" t="s">
        <v>1422</v>
      </c>
      <c r="G478" s="19" t="s">
        <v>1418</v>
      </c>
      <c r="H478" s="19" t="s">
        <v>404</v>
      </c>
      <c r="I478" s="19" t="s">
        <v>952</v>
      </c>
      <c r="J478" s="19">
        <v>0</v>
      </c>
      <c r="K478" s="19" t="s">
        <v>553</v>
      </c>
      <c r="L478" s="19">
        <v>2023</v>
      </c>
      <c r="M478" s="20">
        <v>75</v>
      </c>
      <c r="N478" s="19" t="s">
        <v>616</v>
      </c>
      <c r="O478" s="20">
        <v>9</v>
      </c>
      <c r="P478" s="20">
        <v>675</v>
      </c>
      <c r="Q478" s="20">
        <v>3633.1880105769233</v>
      </c>
      <c r="R478" s="21">
        <v>0.87</v>
      </c>
      <c r="S478" s="20">
        <v>3633.1880105769233</v>
      </c>
    </row>
    <row r="479" spans="2:19" ht="15" customHeight="1" x14ac:dyDescent="0.25">
      <c r="B479" s="2" t="str">
        <f t="shared" si="14"/>
        <v>PGL_Residential_Multi-Family_Standard Rebate_Pipe Insulation_Hyd. Boiler Large ≥2"_MF</v>
      </c>
      <c r="C479" s="2" t="str">
        <f t="shared" si="15"/>
        <v>PGL_Residential_Multi-Family_Standard Rebate_Pipe Insulation_Hyd. Boiler Large ≥2"_MF_2024</v>
      </c>
      <c r="D479" s="19" t="s">
        <v>1794</v>
      </c>
      <c r="E479" s="19" t="s">
        <v>2</v>
      </c>
      <c r="F479" s="19" t="s">
        <v>1422</v>
      </c>
      <c r="G479" s="19" t="s">
        <v>1418</v>
      </c>
      <c r="H479" s="19" t="s">
        <v>404</v>
      </c>
      <c r="I479" s="19" t="s">
        <v>952</v>
      </c>
      <c r="J479" s="19">
        <v>0</v>
      </c>
      <c r="K479" s="19" t="s">
        <v>553</v>
      </c>
      <c r="L479" s="19">
        <v>2024</v>
      </c>
      <c r="M479" s="20">
        <v>75</v>
      </c>
      <c r="N479" s="19" t="s">
        <v>616</v>
      </c>
      <c r="O479" s="20">
        <v>8</v>
      </c>
      <c r="P479" s="20">
        <v>600</v>
      </c>
      <c r="Q479" s="20">
        <v>3229.500453846154</v>
      </c>
      <c r="R479" s="21">
        <v>0.87</v>
      </c>
      <c r="S479" s="20">
        <v>3229.500453846154</v>
      </c>
    </row>
    <row r="480" spans="2:19" ht="15" customHeight="1" x14ac:dyDescent="0.25">
      <c r="B480" s="2" t="str">
        <f t="shared" si="14"/>
        <v>PGL_Residential_Multi-Family_Standard Rebate_Pipe Insulation_Hyd. Boiler Large ≥2"_MF</v>
      </c>
      <c r="C480" s="2" t="str">
        <f t="shared" si="15"/>
        <v>PGL_Residential_Multi-Family_Standard Rebate_Pipe Insulation_Hyd. Boiler Large ≥2"_MF_2025</v>
      </c>
      <c r="D480" s="19" t="s">
        <v>1794</v>
      </c>
      <c r="E480" s="19" t="s">
        <v>2</v>
      </c>
      <c r="F480" s="19" t="s">
        <v>1422</v>
      </c>
      <c r="G480" s="19" t="s">
        <v>1418</v>
      </c>
      <c r="H480" s="19" t="s">
        <v>404</v>
      </c>
      <c r="I480" s="19" t="s">
        <v>952</v>
      </c>
      <c r="J480" s="19">
        <v>0</v>
      </c>
      <c r="K480" s="19" t="s">
        <v>553</v>
      </c>
      <c r="L480" s="19">
        <v>2025</v>
      </c>
      <c r="M480" s="20">
        <v>75</v>
      </c>
      <c r="N480" s="19" t="s">
        <v>616</v>
      </c>
      <c r="O480" s="20">
        <v>6</v>
      </c>
      <c r="P480" s="20">
        <v>450</v>
      </c>
      <c r="Q480" s="20">
        <v>2422.1253403846154</v>
      </c>
      <c r="R480" s="21">
        <v>0.87</v>
      </c>
      <c r="S480" s="20">
        <v>2422.1253403846154</v>
      </c>
    </row>
    <row r="481" spans="2:19" ht="15" customHeight="1" x14ac:dyDescent="0.25">
      <c r="B481" s="2" t="str">
        <f t="shared" si="14"/>
        <v>PGL_Residential_Multi-Family_Standard Rebate_Pipe Insulation_HW Small 1" to 2"_MF/CI/SMB</v>
      </c>
      <c r="C481" s="2" t="str">
        <f t="shared" si="15"/>
        <v>PGL_Residential_Multi-Family_Standard Rebate_Pipe Insulation_HW Small 1" to 2"_MF/CI/SMB_2022</v>
      </c>
      <c r="D481" s="19" t="s">
        <v>1794</v>
      </c>
      <c r="E481" s="19" t="s">
        <v>2</v>
      </c>
      <c r="F481" s="19" t="s">
        <v>1422</v>
      </c>
      <c r="G481" s="19" t="s">
        <v>1418</v>
      </c>
      <c r="H481" s="19" t="s">
        <v>404</v>
      </c>
      <c r="I481" s="19" t="s">
        <v>953</v>
      </c>
      <c r="J481" s="19">
        <v>0</v>
      </c>
      <c r="K481" s="19" t="s">
        <v>662</v>
      </c>
      <c r="L481" s="19">
        <v>2022</v>
      </c>
      <c r="M481" s="20">
        <v>75</v>
      </c>
      <c r="N481" s="19" t="s">
        <v>616</v>
      </c>
      <c r="O481" s="20">
        <v>10</v>
      </c>
      <c r="P481" s="20">
        <v>750</v>
      </c>
      <c r="Q481" s="20">
        <v>1734.8761954389784</v>
      </c>
      <c r="R481" s="21">
        <v>0.87</v>
      </c>
      <c r="S481" s="20">
        <v>1734.8761954389784</v>
      </c>
    </row>
    <row r="482" spans="2:19" ht="15" customHeight="1" x14ac:dyDescent="0.25">
      <c r="B482" s="2" t="str">
        <f t="shared" si="14"/>
        <v>PGL_Residential_Multi-Family_Standard Rebate_Pipe Insulation_HW Small 1" to 2"_MF/CI/SMB</v>
      </c>
      <c r="C482" s="2" t="str">
        <f t="shared" si="15"/>
        <v>PGL_Residential_Multi-Family_Standard Rebate_Pipe Insulation_HW Small 1" to 2"_MF/CI/SMB_2023</v>
      </c>
      <c r="D482" s="19" t="s">
        <v>1794</v>
      </c>
      <c r="E482" s="19" t="s">
        <v>2</v>
      </c>
      <c r="F482" s="19" t="s">
        <v>1422</v>
      </c>
      <c r="G482" s="19" t="s">
        <v>1418</v>
      </c>
      <c r="H482" s="19" t="s">
        <v>404</v>
      </c>
      <c r="I482" s="19" t="s">
        <v>953</v>
      </c>
      <c r="J482" s="19">
        <v>0</v>
      </c>
      <c r="K482" s="19" t="s">
        <v>662</v>
      </c>
      <c r="L482" s="19">
        <v>2023</v>
      </c>
      <c r="M482" s="20">
        <v>75</v>
      </c>
      <c r="N482" s="19" t="s">
        <v>616</v>
      </c>
      <c r="O482" s="20">
        <v>9</v>
      </c>
      <c r="P482" s="20">
        <v>675</v>
      </c>
      <c r="Q482" s="20">
        <v>1561.3885758950805</v>
      </c>
      <c r="R482" s="21">
        <v>0.87</v>
      </c>
      <c r="S482" s="20">
        <v>1561.3885758950805</v>
      </c>
    </row>
    <row r="483" spans="2:19" ht="15" customHeight="1" x14ac:dyDescent="0.25">
      <c r="B483" s="2" t="str">
        <f t="shared" si="14"/>
        <v>PGL_Residential_Multi-Family_Standard Rebate_Pipe Insulation_HW Small 1" to 2"_MF/CI/SMB</v>
      </c>
      <c r="C483" s="2" t="str">
        <f t="shared" si="15"/>
        <v>PGL_Residential_Multi-Family_Standard Rebate_Pipe Insulation_HW Small 1" to 2"_MF/CI/SMB_2024</v>
      </c>
      <c r="D483" s="19" t="s">
        <v>1794</v>
      </c>
      <c r="E483" s="19" t="s">
        <v>2</v>
      </c>
      <c r="F483" s="19" t="s">
        <v>1422</v>
      </c>
      <c r="G483" s="19" t="s">
        <v>1418</v>
      </c>
      <c r="H483" s="19" t="s">
        <v>404</v>
      </c>
      <c r="I483" s="19" t="s">
        <v>953</v>
      </c>
      <c r="J483" s="19">
        <v>0</v>
      </c>
      <c r="K483" s="19" t="s">
        <v>662</v>
      </c>
      <c r="L483" s="19">
        <v>2024</v>
      </c>
      <c r="M483" s="20">
        <v>75</v>
      </c>
      <c r="N483" s="19" t="s">
        <v>616</v>
      </c>
      <c r="O483" s="20">
        <v>8</v>
      </c>
      <c r="P483" s="20">
        <v>600</v>
      </c>
      <c r="Q483" s="20">
        <v>1387.9009563511827</v>
      </c>
      <c r="R483" s="21">
        <v>0.87</v>
      </c>
      <c r="S483" s="20">
        <v>1387.9009563511827</v>
      </c>
    </row>
    <row r="484" spans="2:19" ht="15" customHeight="1" x14ac:dyDescent="0.25">
      <c r="B484" s="2" t="str">
        <f t="shared" si="14"/>
        <v>PGL_Residential_Multi-Family_Standard Rebate_Pipe Insulation_HW Small 1" to 2"_MF/CI/SMB</v>
      </c>
      <c r="C484" s="2" t="str">
        <f t="shared" si="15"/>
        <v>PGL_Residential_Multi-Family_Standard Rebate_Pipe Insulation_HW Small 1" to 2"_MF/CI/SMB_2025</v>
      </c>
      <c r="D484" s="19" t="s">
        <v>1794</v>
      </c>
      <c r="E484" s="19" t="s">
        <v>2</v>
      </c>
      <c r="F484" s="19" t="s">
        <v>1422</v>
      </c>
      <c r="G484" s="19" t="s">
        <v>1418</v>
      </c>
      <c r="H484" s="19" t="s">
        <v>404</v>
      </c>
      <c r="I484" s="19" t="s">
        <v>953</v>
      </c>
      <c r="J484" s="19">
        <v>0</v>
      </c>
      <c r="K484" s="19" t="s">
        <v>662</v>
      </c>
      <c r="L484" s="19">
        <v>2025</v>
      </c>
      <c r="M484" s="20">
        <v>75</v>
      </c>
      <c r="N484" s="19" t="s">
        <v>616</v>
      </c>
      <c r="O484" s="20">
        <v>6</v>
      </c>
      <c r="P484" s="20">
        <v>450</v>
      </c>
      <c r="Q484" s="20">
        <v>1040.925717263387</v>
      </c>
      <c r="R484" s="21">
        <v>0.87</v>
      </c>
      <c r="S484" s="20">
        <v>1040.925717263387</v>
      </c>
    </row>
    <row r="485" spans="2:19" ht="15" customHeight="1" x14ac:dyDescent="0.25">
      <c r="B485" s="2" t="str">
        <f t="shared" si="14"/>
        <v>PGL_Residential_Multi-Family_Standard Rebate_Pipe Insulation_HW Medium 2.1" to 4"_MF/CI/SMB</v>
      </c>
      <c r="C485" s="2" t="str">
        <f t="shared" si="15"/>
        <v>PGL_Residential_Multi-Family_Standard Rebate_Pipe Insulation_HW Medium 2.1" to 4"_MF/CI/SMB_2022</v>
      </c>
      <c r="D485" s="19" t="s">
        <v>1794</v>
      </c>
      <c r="E485" s="19" t="s">
        <v>2</v>
      </c>
      <c r="F485" s="19" t="s">
        <v>1422</v>
      </c>
      <c r="G485" s="19" t="s">
        <v>1418</v>
      </c>
      <c r="H485" s="19" t="s">
        <v>404</v>
      </c>
      <c r="I485" s="19" t="s">
        <v>954</v>
      </c>
      <c r="J485" s="19">
        <v>0</v>
      </c>
      <c r="K485" s="19" t="s">
        <v>662</v>
      </c>
      <c r="L485" s="19">
        <v>2022</v>
      </c>
      <c r="M485" s="20">
        <v>75</v>
      </c>
      <c r="N485" s="19" t="s">
        <v>616</v>
      </c>
      <c r="O485" s="20">
        <v>4</v>
      </c>
      <c r="P485" s="20">
        <v>300</v>
      </c>
      <c r="Q485" s="20">
        <v>1370.0420219872408</v>
      </c>
      <c r="R485" s="21">
        <v>0.87</v>
      </c>
      <c r="S485" s="20">
        <v>1370.0420219872408</v>
      </c>
    </row>
    <row r="486" spans="2:19" ht="15" customHeight="1" x14ac:dyDescent="0.25">
      <c r="B486" s="2" t="str">
        <f t="shared" si="14"/>
        <v>PGL_Residential_Multi-Family_Standard Rebate_Pipe Insulation_HW Medium 2.1" to 4"_MF/CI/SMB</v>
      </c>
      <c r="C486" s="2" t="str">
        <f t="shared" si="15"/>
        <v>PGL_Residential_Multi-Family_Standard Rebate_Pipe Insulation_HW Medium 2.1" to 4"_MF/CI/SMB_2023</v>
      </c>
      <c r="D486" s="19" t="s">
        <v>1794</v>
      </c>
      <c r="E486" s="19" t="s">
        <v>2</v>
      </c>
      <c r="F486" s="19" t="s">
        <v>1422</v>
      </c>
      <c r="G486" s="19" t="s">
        <v>1418</v>
      </c>
      <c r="H486" s="19" t="s">
        <v>404</v>
      </c>
      <c r="I486" s="19" t="s">
        <v>954</v>
      </c>
      <c r="J486" s="19">
        <v>0</v>
      </c>
      <c r="K486" s="19" t="s">
        <v>662</v>
      </c>
      <c r="L486" s="19">
        <v>2023</v>
      </c>
      <c r="M486" s="20">
        <v>75</v>
      </c>
      <c r="N486" s="19" t="s">
        <v>616</v>
      </c>
      <c r="O486" s="20">
        <v>3</v>
      </c>
      <c r="P486" s="20">
        <v>225</v>
      </c>
      <c r="Q486" s="20">
        <v>1027.5315164904307</v>
      </c>
      <c r="R486" s="21">
        <v>0.87</v>
      </c>
      <c r="S486" s="20">
        <v>1027.5315164904307</v>
      </c>
    </row>
    <row r="487" spans="2:19" ht="15" customHeight="1" x14ac:dyDescent="0.25">
      <c r="B487" s="2" t="str">
        <f t="shared" si="14"/>
        <v>PGL_Residential_Multi-Family_Standard Rebate_Pipe Insulation_HW Medium 2.1" to 4"_MF/CI/SMB</v>
      </c>
      <c r="C487" s="2" t="str">
        <f t="shared" si="15"/>
        <v>PGL_Residential_Multi-Family_Standard Rebate_Pipe Insulation_HW Medium 2.1" to 4"_MF/CI/SMB_2024</v>
      </c>
      <c r="D487" s="19" t="s">
        <v>1794</v>
      </c>
      <c r="E487" s="19" t="s">
        <v>2</v>
      </c>
      <c r="F487" s="19" t="s">
        <v>1422</v>
      </c>
      <c r="G487" s="19" t="s">
        <v>1418</v>
      </c>
      <c r="H487" s="19" t="s">
        <v>404</v>
      </c>
      <c r="I487" s="19" t="s">
        <v>954</v>
      </c>
      <c r="J487" s="19">
        <v>0</v>
      </c>
      <c r="K487" s="19" t="s">
        <v>662</v>
      </c>
      <c r="L487" s="19">
        <v>2024</v>
      </c>
      <c r="M487" s="20">
        <v>75</v>
      </c>
      <c r="N487" s="19" t="s">
        <v>616</v>
      </c>
      <c r="O487" s="20">
        <v>3</v>
      </c>
      <c r="P487" s="20">
        <v>225</v>
      </c>
      <c r="Q487" s="20">
        <v>1027.5315164904307</v>
      </c>
      <c r="R487" s="21">
        <v>0.87</v>
      </c>
      <c r="S487" s="20">
        <v>1027.5315164904307</v>
      </c>
    </row>
    <row r="488" spans="2:19" ht="15" customHeight="1" x14ac:dyDescent="0.25">
      <c r="B488" s="2" t="str">
        <f t="shared" si="14"/>
        <v>PGL_Residential_Multi-Family_Standard Rebate_Pipe Insulation_HW Medium 2.1" to 4"_MF/CI/SMB</v>
      </c>
      <c r="C488" s="2" t="str">
        <f t="shared" si="15"/>
        <v>PGL_Residential_Multi-Family_Standard Rebate_Pipe Insulation_HW Medium 2.1" to 4"_MF/CI/SMB_2025</v>
      </c>
      <c r="D488" s="19" t="s">
        <v>1794</v>
      </c>
      <c r="E488" s="19" t="s">
        <v>2</v>
      </c>
      <c r="F488" s="19" t="s">
        <v>1422</v>
      </c>
      <c r="G488" s="19" t="s">
        <v>1418</v>
      </c>
      <c r="H488" s="19" t="s">
        <v>404</v>
      </c>
      <c r="I488" s="19" t="s">
        <v>954</v>
      </c>
      <c r="J488" s="19">
        <v>0</v>
      </c>
      <c r="K488" s="19" t="s">
        <v>662</v>
      </c>
      <c r="L488" s="19">
        <v>2025</v>
      </c>
      <c r="M488" s="20">
        <v>75</v>
      </c>
      <c r="N488" s="19" t="s">
        <v>616</v>
      </c>
      <c r="O488" s="20">
        <v>2</v>
      </c>
      <c r="P488" s="20">
        <v>150</v>
      </c>
      <c r="Q488" s="20">
        <v>685.02101099362039</v>
      </c>
      <c r="R488" s="21">
        <v>0.87</v>
      </c>
      <c r="S488" s="20">
        <v>685.02101099362039</v>
      </c>
    </row>
    <row r="489" spans="2:19" ht="15" customHeight="1" x14ac:dyDescent="0.25">
      <c r="B489" s="2" t="str">
        <f t="shared" si="14"/>
        <v>PGL_Residential_Multi-Family_Standard Rebate_Pipe Insulation_HW Large &gt;4"_MF/CI/SMB</v>
      </c>
      <c r="C489" s="2" t="str">
        <f t="shared" si="15"/>
        <v>PGL_Residential_Multi-Family_Standard Rebate_Pipe Insulation_HW Large &gt;4"_MF/CI/SMB_2022</v>
      </c>
      <c r="D489" s="19" t="s">
        <v>1794</v>
      </c>
      <c r="E489" s="19" t="s">
        <v>2</v>
      </c>
      <c r="F489" s="19" t="s">
        <v>1422</v>
      </c>
      <c r="G489" s="19" t="s">
        <v>1418</v>
      </c>
      <c r="H489" s="19" t="s">
        <v>404</v>
      </c>
      <c r="I489" s="19" t="s">
        <v>955</v>
      </c>
      <c r="J489" s="19">
        <v>0</v>
      </c>
      <c r="K489" s="19" t="s">
        <v>662</v>
      </c>
      <c r="L489" s="19">
        <v>2022</v>
      </c>
      <c r="M489" s="20">
        <v>75</v>
      </c>
      <c r="N489" s="19" t="s">
        <v>616</v>
      </c>
      <c r="O489" s="20">
        <v>2</v>
      </c>
      <c r="P489" s="20">
        <v>150</v>
      </c>
      <c r="Q489" s="20">
        <v>1179.8193507711082</v>
      </c>
      <c r="R489" s="21">
        <v>0.87</v>
      </c>
      <c r="S489" s="20">
        <v>1179.8193507711082</v>
      </c>
    </row>
    <row r="490" spans="2:19" ht="15" customHeight="1" x14ac:dyDescent="0.25">
      <c r="B490" s="2" t="str">
        <f t="shared" si="14"/>
        <v>PGL_Residential_Multi-Family_Standard Rebate_Pipe Insulation_HW Large &gt;4"_MF/CI/SMB</v>
      </c>
      <c r="C490" s="2" t="str">
        <f t="shared" si="15"/>
        <v>PGL_Residential_Multi-Family_Standard Rebate_Pipe Insulation_HW Large &gt;4"_MF/CI/SMB_2023</v>
      </c>
      <c r="D490" s="19" t="s">
        <v>1794</v>
      </c>
      <c r="E490" s="19" t="s">
        <v>2</v>
      </c>
      <c r="F490" s="19" t="s">
        <v>1422</v>
      </c>
      <c r="G490" s="19" t="s">
        <v>1418</v>
      </c>
      <c r="H490" s="19" t="s">
        <v>404</v>
      </c>
      <c r="I490" s="19" t="s">
        <v>955</v>
      </c>
      <c r="J490" s="19">
        <v>0</v>
      </c>
      <c r="K490" s="19" t="s">
        <v>662</v>
      </c>
      <c r="L490" s="19">
        <v>2023</v>
      </c>
      <c r="M490" s="20">
        <v>75</v>
      </c>
      <c r="N490" s="19" t="s">
        <v>616</v>
      </c>
      <c r="O490" s="20">
        <v>2</v>
      </c>
      <c r="P490" s="20">
        <v>150</v>
      </c>
      <c r="Q490" s="20">
        <v>1179.8193507711082</v>
      </c>
      <c r="R490" s="21">
        <v>0.87</v>
      </c>
      <c r="S490" s="20">
        <v>1179.8193507711082</v>
      </c>
    </row>
    <row r="491" spans="2:19" ht="15" customHeight="1" x14ac:dyDescent="0.25">
      <c r="B491" s="2" t="str">
        <f t="shared" si="14"/>
        <v>PGL_Residential_Multi-Family_Standard Rebate_Pipe Insulation_HW Large &gt;4"_MF/CI/SMB</v>
      </c>
      <c r="C491" s="2" t="str">
        <f t="shared" si="15"/>
        <v>PGL_Residential_Multi-Family_Standard Rebate_Pipe Insulation_HW Large &gt;4"_MF/CI/SMB_2024</v>
      </c>
      <c r="D491" s="19" t="s">
        <v>1794</v>
      </c>
      <c r="E491" s="19" t="s">
        <v>2</v>
      </c>
      <c r="F491" s="19" t="s">
        <v>1422</v>
      </c>
      <c r="G491" s="19" t="s">
        <v>1418</v>
      </c>
      <c r="H491" s="19" t="s">
        <v>404</v>
      </c>
      <c r="I491" s="19" t="s">
        <v>955</v>
      </c>
      <c r="J491" s="19">
        <v>0</v>
      </c>
      <c r="K491" s="19" t="s">
        <v>662</v>
      </c>
      <c r="L491" s="19">
        <v>2024</v>
      </c>
      <c r="M491" s="20">
        <v>75</v>
      </c>
      <c r="N491" s="19" t="s">
        <v>616</v>
      </c>
      <c r="O491" s="20">
        <v>2</v>
      </c>
      <c r="P491" s="20">
        <v>150</v>
      </c>
      <c r="Q491" s="20">
        <v>1179.8193507711082</v>
      </c>
      <c r="R491" s="21">
        <v>0.87</v>
      </c>
      <c r="S491" s="20">
        <v>1179.8193507711082</v>
      </c>
    </row>
    <row r="492" spans="2:19" ht="15" customHeight="1" x14ac:dyDescent="0.25">
      <c r="B492" s="2" t="str">
        <f t="shared" si="14"/>
        <v>PGL_Residential_Multi-Family_Standard Rebate_Pipe Insulation_HW Large &gt;4"_MF/CI/SMB</v>
      </c>
      <c r="C492" s="2" t="str">
        <f t="shared" si="15"/>
        <v>PGL_Residential_Multi-Family_Standard Rebate_Pipe Insulation_HW Large &gt;4"_MF/CI/SMB_2025</v>
      </c>
      <c r="D492" s="19" t="s">
        <v>1794</v>
      </c>
      <c r="E492" s="19" t="s">
        <v>2</v>
      </c>
      <c r="F492" s="19" t="s">
        <v>1422</v>
      </c>
      <c r="G492" s="19" t="s">
        <v>1418</v>
      </c>
      <c r="H492" s="19" t="s">
        <v>404</v>
      </c>
      <c r="I492" s="19" t="s">
        <v>955</v>
      </c>
      <c r="J492" s="19">
        <v>0</v>
      </c>
      <c r="K492" s="19" t="s">
        <v>662</v>
      </c>
      <c r="L492" s="19">
        <v>2025</v>
      </c>
      <c r="M492" s="20">
        <v>75</v>
      </c>
      <c r="N492" s="19" t="s">
        <v>616</v>
      </c>
      <c r="O492" s="20">
        <v>1</v>
      </c>
      <c r="P492" s="20">
        <v>75</v>
      </c>
      <c r="Q492" s="20">
        <v>589.90967538555412</v>
      </c>
      <c r="R492" s="21">
        <v>0.87</v>
      </c>
      <c r="S492" s="20">
        <v>589.90967538555412</v>
      </c>
    </row>
    <row r="493" spans="2:19" ht="15" customHeight="1" x14ac:dyDescent="0.25">
      <c r="B493" s="2" t="str">
        <f t="shared" si="14"/>
        <v>PGL_Residential_Multi-Family_Standard Rebate_Pipe Insulation_Steam - Small 1" to 2"_MF</v>
      </c>
      <c r="C493" s="2" t="str">
        <f t="shared" si="15"/>
        <v>PGL_Residential_Multi-Family_Standard Rebate_Pipe Insulation_Steam - Small 1" to 2"_MF_2022</v>
      </c>
      <c r="D493" s="19" t="s">
        <v>1794</v>
      </c>
      <c r="E493" s="19" t="s">
        <v>2</v>
      </c>
      <c r="F493" s="19" t="s">
        <v>1422</v>
      </c>
      <c r="G493" s="19" t="s">
        <v>1418</v>
      </c>
      <c r="H493" s="19" t="s">
        <v>404</v>
      </c>
      <c r="I493" s="19" t="s">
        <v>956</v>
      </c>
      <c r="J493" s="19">
        <v>0</v>
      </c>
      <c r="K493" s="19" t="s">
        <v>553</v>
      </c>
      <c r="L493" s="19">
        <v>2022</v>
      </c>
      <c r="M493" s="20">
        <v>75</v>
      </c>
      <c r="N493" s="19" t="s">
        <v>616</v>
      </c>
      <c r="O493" s="20">
        <v>38</v>
      </c>
      <c r="P493" s="20">
        <v>2850</v>
      </c>
      <c r="Q493" s="20">
        <v>9836.4171560263585</v>
      </c>
      <c r="R493" s="21">
        <v>0.87</v>
      </c>
      <c r="S493" s="20">
        <v>9836.4171560263585</v>
      </c>
    </row>
    <row r="494" spans="2:19" ht="15" customHeight="1" x14ac:dyDescent="0.25">
      <c r="B494" s="2" t="str">
        <f t="shared" si="14"/>
        <v>PGL_Residential_Multi-Family_Standard Rebate_Pipe Insulation_Steam - Small 1" to 2"_MF</v>
      </c>
      <c r="C494" s="2" t="str">
        <f t="shared" si="15"/>
        <v>PGL_Residential_Multi-Family_Standard Rebate_Pipe Insulation_Steam - Small 1" to 2"_MF_2023</v>
      </c>
      <c r="D494" s="19" t="s">
        <v>1794</v>
      </c>
      <c r="E494" s="19" t="s">
        <v>2</v>
      </c>
      <c r="F494" s="19" t="s">
        <v>1422</v>
      </c>
      <c r="G494" s="19" t="s">
        <v>1418</v>
      </c>
      <c r="H494" s="19" t="s">
        <v>404</v>
      </c>
      <c r="I494" s="19" t="s">
        <v>956</v>
      </c>
      <c r="J494" s="19">
        <v>0</v>
      </c>
      <c r="K494" s="19" t="s">
        <v>553</v>
      </c>
      <c r="L494" s="19">
        <v>2023</v>
      </c>
      <c r="M494" s="20">
        <v>75</v>
      </c>
      <c r="N494" s="19" t="s">
        <v>616</v>
      </c>
      <c r="O494" s="20">
        <v>34</v>
      </c>
      <c r="P494" s="20">
        <v>2550</v>
      </c>
      <c r="Q494" s="20">
        <v>8801.0048238130585</v>
      </c>
      <c r="R494" s="21">
        <v>0.87</v>
      </c>
      <c r="S494" s="20">
        <v>8801.0048238130585</v>
      </c>
    </row>
    <row r="495" spans="2:19" ht="15" customHeight="1" x14ac:dyDescent="0.25">
      <c r="B495" s="2" t="str">
        <f t="shared" si="14"/>
        <v>PGL_Residential_Multi-Family_Standard Rebate_Pipe Insulation_Steam - Small 1" to 2"_MF</v>
      </c>
      <c r="C495" s="2" t="str">
        <f t="shared" si="15"/>
        <v>PGL_Residential_Multi-Family_Standard Rebate_Pipe Insulation_Steam - Small 1" to 2"_MF_2024</v>
      </c>
      <c r="D495" s="19" t="s">
        <v>1794</v>
      </c>
      <c r="E495" s="19" t="s">
        <v>2</v>
      </c>
      <c r="F495" s="19" t="s">
        <v>1422</v>
      </c>
      <c r="G495" s="19" t="s">
        <v>1418</v>
      </c>
      <c r="H495" s="19" t="s">
        <v>404</v>
      </c>
      <c r="I495" s="19" t="s">
        <v>956</v>
      </c>
      <c r="J495" s="19">
        <v>0</v>
      </c>
      <c r="K495" s="19" t="s">
        <v>553</v>
      </c>
      <c r="L495" s="19">
        <v>2024</v>
      </c>
      <c r="M495" s="20">
        <v>75</v>
      </c>
      <c r="N495" s="19" t="s">
        <v>616</v>
      </c>
      <c r="O495" s="20">
        <v>30</v>
      </c>
      <c r="P495" s="20">
        <v>2250</v>
      </c>
      <c r="Q495" s="20">
        <v>7765.5924915997557</v>
      </c>
      <c r="R495" s="21">
        <v>0.87</v>
      </c>
      <c r="S495" s="20">
        <v>7765.5924915997557</v>
      </c>
    </row>
    <row r="496" spans="2:19" ht="15" customHeight="1" x14ac:dyDescent="0.25">
      <c r="B496" s="2" t="str">
        <f t="shared" si="14"/>
        <v>PGL_Residential_Multi-Family_Standard Rebate_Pipe Insulation_Steam - Small 1" to 2"_MF</v>
      </c>
      <c r="C496" s="2" t="str">
        <f t="shared" si="15"/>
        <v>PGL_Residential_Multi-Family_Standard Rebate_Pipe Insulation_Steam - Small 1" to 2"_MF_2025</v>
      </c>
      <c r="D496" s="19" t="s">
        <v>1794</v>
      </c>
      <c r="E496" s="19" t="s">
        <v>2</v>
      </c>
      <c r="F496" s="19" t="s">
        <v>1422</v>
      </c>
      <c r="G496" s="19" t="s">
        <v>1418</v>
      </c>
      <c r="H496" s="19" t="s">
        <v>404</v>
      </c>
      <c r="I496" s="19" t="s">
        <v>956</v>
      </c>
      <c r="J496" s="19">
        <v>0</v>
      </c>
      <c r="K496" s="19" t="s">
        <v>553</v>
      </c>
      <c r="L496" s="19">
        <v>2025</v>
      </c>
      <c r="M496" s="20">
        <v>75</v>
      </c>
      <c r="N496" s="19" t="s">
        <v>616</v>
      </c>
      <c r="O496" s="20">
        <v>22</v>
      </c>
      <c r="P496" s="20">
        <v>1650</v>
      </c>
      <c r="Q496" s="20">
        <v>5694.7678271731547</v>
      </c>
      <c r="R496" s="21">
        <v>0.87</v>
      </c>
      <c r="S496" s="20">
        <v>5694.7678271731547</v>
      </c>
    </row>
    <row r="497" spans="2:19" ht="15" customHeight="1" x14ac:dyDescent="0.25">
      <c r="B497" s="2" t="str">
        <f t="shared" si="14"/>
        <v>PGL_Residential_Multi-Family_Standard Rebate_Pipe Insulation_Steam - Med 2.1" to 5"_MF</v>
      </c>
      <c r="C497" s="2" t="str">
        <f t="shared" si="15"/>
        <v>PGL_Residential_Multi-Family_Standard Rebate_Pipe Insulation_Steam - Med 2.1" to 5"_MF_2022</v>
      </c>
      <c r="D497" s="19" t="s">
        <v>1794</v>
      </c>
      <c r="E497" s="19" t="s">
        <v>2</v>
      </c>
      <c r="F497" s="19" t="s">
        <v>1422</v>
      </c>
      <c r="G497" s="19" t="s">
        <v>1418</v>
      </c>
      <c r="H497" s="19" t="s">
        <v>404</v>
      </c>
      <c r="I497" s="19" t="s">
        <v>957</v>
      </c>
      <c r="J497" s="19">
        <v>0</v>
      </c>
      <c r="K497" s="19" t="s">
        <v>553</v>
      </c>
      <c r="L497" s="19">
        <v>2022</v>
      </c>
      <c r="M497" s="20">
        <v>75</v>
      </c>
      <c r="N497" s="19" t="s">
        <v>616</v>
      </c>
      <c r="O497" s="20">
        <v>57</v>
      </c>
      <c r="P497" s="20">
        <v>4275</v>
      </c>
      <c r="Q497" s="20">
        <v>59338.763737212605</v>
      </c>
      <c r="R497" s="21">
        <v>0.87</v>
      </c>
      <c r="S497" s="20">
        <v>59338.763737212605</v>
      </c>
    </row>
    <row r="498" spans="2:19" ht="15" customHeight="1" x14ac:dyDescent="0.25">
      <c r="B498" s="2" t="str">
        <f t="shared" si="14"/>
        <v>PGL_Residential_Multi-Family_Standard Rebate_Pipe Insulation_Steam - Med 2.1" to 5"_MF</v>
      </c>
      <c r="C498" s="2" t="str">
        <f t="shared" si="15"/>
        <v>PGL_Residential_Multi-Family_Standard Rebate_Pipe Insulation_Steam - Med 2.1" to 5"_MF_2023</v>
      </c>
      <c r="D498" s="19" t="s">
        <v>1794</v>
      </c>
      <c r="E498" s="19" t="s">
        <v>2</v>
      </c>
      <c r="F498" s="19" t="s">
        <v>1422</v>
      </c>
      <c r="G498" s="19" t="s">
        <v>1418</v>
      </c>
      <c r="H498" s="19" t="s">
        <v>404</v>
      </c>
      <c r="I498" s="19" t="s">
        <v>957</v>
      </c>
      <c r="J498" s="19">
        <v>0</v>
      </c>
      <c r="K498" s="19" t="s">
        <v>553</v>
      </c>
      <c r="L498" s="19">
        <v>2023</v>
      </c>
      <c r="M498" s="20">
        <v>75</v>
      </c>
      <c r="N498" s="19" t="s">
        <v>616</v>
      </c>
      <c r="O498" s="20">
        <v>51</v>
      </c>
      <c r="P498" s="20">
        <v>3825</v>
      </c>
      <c r="Q498" s="20">
        <v>53092.578080663909</v>
      </c>
      <c r="R498" s="21">
        <v>0.87</v>
      </c>
      <c r="S498" s="20">
        <v>53092.578080663909</v>
      </c>
    </row>
    <row r="499" spans="2:19" ht="15" customHeight="1" x14ac:dyDescent="0.25">
      <c r="B499" s="2" t="str">
        <f t="shared" si="14"/>
        <v>PGL_Residential_Multi-Family_Standard Rebate_Pipe Insulation_Steam - Med 2.1" to 5"_MF</v>
      </c>
      <c r="C499" s="2" t="str">
        <f t="shared" si="15"/>
        <v>PGL_Residential_Multi-Family_Standard Rebate_Pipe Insulation_Steam - Med 2.1" to 5"_MF_2024</v>
      </c>
      <c r="D499" s="19" t="s">
        <v>1794</v>
      </c>
      <c r="E499" s="19" t="s">
        <v>2</v>
      </c>
      <c r="F499" s="19" t="s">
        <v>1422</v>
      </c>
      <c r="G499" s="19" t="s">
        <v>1418</v>
      </c>
      <c r="H499" s="19" t="s">
        <v>404</v>
      </c>
      <c r="I499" s="19" t="s">
        <v>957</v>
      </c>
      <c r="J499" s="19">
        <v>0</v>
      </c>
      <c r="K499" s="19" t="s">
        <v>553</v>
      </c>
      <c r="L499" s="19">
        <v>2024</v>
      </c>
      <c r="M499" s="20">
        <v>75</v>
      </c>
      <c r="N499" s="19" t="s">
        <v>616</v>
      </c>
      <c r="O499" s="20">
        <v>45</v>
      </c>
      <c r="P499" s="20">
        <v>3375</v>
      </c>
      <c r="Q499" s="20">
        <v>46846.392424115205</v>
      </c>
      <c r="R499" s="21">
        <v>0.87</v>
      </c>
      <c r="S499" s="20">
        <v>46846.392424115205</v>
      </c>
    </row>
    <row r="500" spans="2:19" ht="15" customHeight="1" x14ac:dyDescent="0.25">
      <c r="B500" s="2" t="str">
        <f t="shared" si="14"/>
        <v>PGL_Residential_Multi-Family_Standard Rebate_Pipe Insulation_Steam - Med 2.1" to 5"_MF</v>
      </c>
      <c r="C500" s="2" t="str">
        <f t="shared" si="15"/>
        <v>PGL_Residential_Multi-Family_Standard Rebate_Pipe Insulation_Steam - Med 2.1" to 5"_MF_2025</v>
      </c>
      <c r="D500" s="19" t="s">
        <v>1794</v>
      </c>
      <c r="E500" s="19" t="s">
        <v>2</v>
      </c>
      <c r="F500" s="19" t="s">
        <v>1422</v>
      </c>
      <c r="G500" s="19" t="s">
        <v>1418</v>
      </c>
      <c r="H500" s="19" t="s">
        <v>404</v>
      </c>
      <c r="I500" s="19" t="s">
        <v>957</v>
      </c>
      <c r="J500" s="19">
        <v>0</v>
      </c>
      <c r="K500" s="19" t="s">
        <v>553</v>
      </c>
      <c r="L500" s="19">
        <v>2025</v>
      </c>
      <c r="M500" s="20">
        <v>75</v>
      </c>
      <c r="N500" s="19" t="s">
        <v>616</v>
      </c>
      <c r="O500" s="20">
        <v>33</v>
      </c>
      <c r="P500" s="20">
        <v>2475</v>
      </c>
      <c r="Q500" s="20">
        <v>34354.021111017821</v>
      </c>
      <c r="R500" s="21">
        <v>0.87</v>
      </c>
      <c r="S500" s="20">
        <v>34354.021111017821</v>
      </c>
    </row>
    <row r="501" spans="2:19" ht="15" customHeight="1" x14ac:dyDescent="0.25">
      <c r="B501" s="2" t="str">
        <f t="shared" si="14"/>
        <v>PGL_Residential_Multi-Family_Standard Rebate_Pipe Insulation_Steam - Large 5.1" to 8"_MF</v>
      </c>
      <c r="C501" s="2" t="str">
        <f t="shared" si="15"/>
        <v>PGL_Residential_Multi-Family_Standard Rebate_Pipe Insulation_Steam - Large 5.1" to 8"_MF_2022</v>
      </c>
      <c r="D501" s="19" t="s">
        <v>1794</v>
      </c>
      <c r="E501" s="19" t="s">
        <v>2</v>
      </c>
      <c r="F501" s="19" t="s">
        <v>1422</v>
      </c>
      <c r="G501" s="19" t="s">
        <v>1418</v>
      </c>
      <c r="H501" s="19" t="s">
        <v>404</v>
      </c>
      <c r="I501" s="19" t="s">
        <v>958</v>
      </c>
      <c r="J501" s="19">
        <v>0</v>
      </c>
      <c r="K501" s="19" t="s">
        <v>553</v>
      </c>
      <c r="L501" s="19">
        <v>2022</v>
      </c>
      <c r="M501" s="20">
        <v>75</v>
      </c>
      <c r="N501" s="19" t="s">
        <v>616</v>
      </c>
      <c r="O501" s="20">
        <v>10</v>
      </c>
      <c r="P501" s="20">
        <v>750</v>
      </c>
      <c r="Q501" s="20">
        <v>20314.912067302528</v>
      </c>
      <c r="R501" s="21">
        <v>0.87</v>
      </c>
      <c r="S501" s="20">
        <v>20314.912067302528</v>
      </c>
    </row>
    <row r="502" spans="2:19" ht="15" customHeight="1" x14ac:dyDescent="0.25">
      <c r="B502" s="2" t="str">
        <f t="shared" si="14"/>
        <v>PGL_Residential_Multi-Family_Standard Rebate_Pipe Insulation_Steam - Large 5.1" to 8"_MF</v>
      </c>
      <c r="C502" s="2" t="str">
        <f t="shared" si="15"/>
        <v>PGL_Residential_Multi-Family_Standard Rebate_Pipe Insulation_Steam - Large 5.1" to 8"_MF_2023</v>
      </c>
      <c r="D502" s="19" t="s">
        <v>1794</v>
      </c>
      <c r="E502" s="19" t="s">
        <v>2</v>
      </c>
      <c r="F502" s="19" t="s">
        <v>1422</v>
      </c>
      <c r="G502" s="19" t="s">
        <v>1418</v>
      </c>
      <c r="H502" s="19" t="s">
        <v>404</v>
      </c>
      <c r="I502" s="19" t="s">
        <v>958</v>
      </c>
      <c r="J502" s="19">
        <v>0</v>
      </c>
      <c r="K502" s="19" t="s">
        <v>553</v>
      </c>
      <c r="L502" s="19">
        <v>2023</v>
      </c>
      <c r="M502" s="20">
        <v>75</v>
      </c>
      <c r="N502" s="19" t="s">
        <v>616</v>
      </c>
      <c r="O502" s="20">
        <v>9</v>
      </c>
      <c r="P502" s="20">
        <v>675</v>
      </c>
      <c r="Q502" s="20">
        <v>18283.420860572278</v>
      </c>
      <c r="R502" s="21">
        <v>0.87</v>
      </c>
      <c r="S502" s="20">
        <v>18283.420860572278</v>
      </c>
    </row>
    <row r="503" spans="2:19" ht="15" customHeight="1" x14ac:dyDescent="0.25">
      <c r="B503" s="2" t="str">
        <f t="shared" si="14"/>
        <v>PGL_Residential_Multi-Family_Standard Rebate_Pipe Insulation_Steam - Large 5.1" to 8"_MF</v>
      </c>
      <c r="C503" s="2" t="str">
        <f t="shared" si="15"/>
        <v>PGL_Residential_Multi-Family_Standard Rebate_Pipe Insulation_Steam - Large 5.1" to 8"_MF_2024</v>
      </c>
      <c r="D503" s="19" t="s">
        <v>1794</v>
      </c>
      <c r="E503" s="19" t="s">
        <v>2</v>
      </c>
      <c r="F503" s="19" t="s">
        <v>1422</v>
      </c>
      <c r="G503" s="19" t="s">
        <v>1418</v>
      </c>
      <c r="H503" s="19" t="s">
        <v>404</v>
      </c>
      <c r="I503" s="19" t="s">
        <v>958</v>
      </c>
      <c r="J503" s="19">
        <v>0</v>
      </c>
      <c r="K503" s="19" t="s">
        <v>553</v>
      </c>
      <c r="L503" s="19">
        <v>2024</v>
      </c>
      <c r="M503" s="20">
        <v>75</v>
      </c>
      <c r="N503" s="19" t="s">
        <v>616</v>
      </c>
      <c r="O503" s="20">
        <v>8</v>
      </c>
      <c r="P503" s="20">
        <v>600</v>
      </c>
      <c r="Q503" s="20">
        <v>16251.929653842024</v>
      </c>
      <c r="R503" s="21">
        <v>0.87</v>
      </c>
      <c r="S503" s="20">
        <v>16251.929653842024</v>
      </c>
    </row>
    <row r="504" spans="2:19" ht="15" customHeight="1" x14ac:dyDescent="0.25">
      <c r="B504" s="2" t="str">
        <f t="shared" si="14"/>
        <v>PGL_Residential_Multi-Family_Standard Rebate_Pipe Insulation_Steam - Large 5.1" to 8"_MF</v>
      </c>
      <c r="C504" s="2" t="str">
        <f t="shared" si="15"/>
        <v>PGL_Residential_Multi-Family_Standard Rebate_Pipe Insulation_Steam - Large 5.1" to 8"_MF_2025</v>
      </c>
      <c r="D504" s="19" t="s">
        <v>1794</v>
      </c>
      <c r="E504" s="19" t="s">
        <v>2</v>
      </c>
      <c r="F504" s="19" t="s">
        <v>1422</v>
      </c>
      <c r="G504" s="19" t="s">
        <v>1418</v>
      </c>
      <c r="H504" s="19" t="s">
        <v>404</v>
      </c>
      <c r="I504" s="19" t="s">
        <v>958</v>
      </c>
      <c r="J504" s="19">
        <v>0</v>
      </c>
      <c r="K504" s="19" t="s">
        <v>553</v>
      </c>
      <c r="L504" s="19">
        <v>2025</v>
      </c>
      <c r="M504" s="20">
        <v>75</v>
      </c>
      <c r="N504" s="19" t="s">
        <v>616</v>
      </c>
      <c r="O504" s="20">
        <v>6</v>
      </c>
      <c r="P504" s="20">
        <v>450</v>
      </c>
      <c r="Q504" s="20">
        <v>12188.947240381518</v>
      </c>
      <c r="R504" s="21">
        <v>0.87</v>
      </c>
      <c r="S504" s="20">
        <v>12188.947240381518</v>
      </c>
    </row>
    <row r="505" spans="2:19" ht="15" customHeight="1" x14ac:dyDescent="0.25">
      <c r="B505" s="2" t="str">
        <f t="shared" si="14"/>
        <v>PGL_Residential_Multi-Family_Standard Rebate_Pipe Insulation_Steam - X-Large &gt;8"_MF</v>
      </c>
      <c r="C505" s="2" t="str">
        <f t="shared" si="15"/>
        <v>PGL_Residential_Multi-Family_Standard Rebate_Pipe Insulation_Steam - X-Large &gt;8"_MF_2022</v>
      </c>
      <c r="D505" s="19" t="s">
        <v>1794</v>
      </c>
      <c r="E505" s="19" t="s">
        <v>2</v>
      </c>
      <c r="F505" s="19" t="s">
        <v>1422</v>
      </c>
      <c r="G505" s="19" t="s">
        <v>1418</v>
      </c>
      <c r="H505" s="19" t="s">
        <v>404</v>
      </c>
      <c r="I505" s="19" t="s">
        <v>960</v>
      </c>
      <c r="J505" s="19">
        <v>0</v>
      </c>
      <c r="K505" s="19" t="s">
        <v>553</v>
      </c>
      <c r="L505" s="19">
        <v>2022</v>
      </c>
      <c r="M505" s="20">
        <v>75</v>
      </c>
      <c r="N505" s="19" t="s">
        <v>616</v>
      </c>
      <c r="O505" s="20">
        <v>5</v>
      </c>
      <c r="P505" s="20">
        <v>375</v>
      </c>
      <c r="Q505" s="20">
        <v>14620.698382225739</v>
      </c>
      <c r="R505" s="21">
        <v>0.87</v>
      </c>
      <c r="S505" s="20">
        <v>14620.698382225739</v>
      </c>
    </row>
    <row r="506" spans="2:19" ht="15" customHeight="1" x14ac:dyDescent="0.25">
      <c r="B506" s="2" t="str">
        <f t="shared" si="14"/>
        <v>PGL_Residential_Multi-Family_Standard Rebate_Pipe Insulation_Steam - X-Large &gt;8"_MF</v>
      </c>
      <c r="C506" s="2" t="str">
        <f t="shared" si="15"/>
        <v>PGL_Residential_Multi-Family_Standard Rebate_Pipe Insulation_Steam - X-Large &gt;8"_MF_2023</v>
      </c>
      <c r="D506" s="19" t="s">
        <v>1794</v>
      </c>
      <c r="E506" s="19" t="s">
        <v>2</v>
      </c>
      <c r="F506" s="19" t="s">
        <v>1422</v>
      </c>
      <c r="G506" s="19" t="s">
        <v>1418</v>
      </c>
      <c r="H506" s="19" t="s">
        <v>404</v>
      </c>
      <c r="I506" s="19" t="s">
        <v>960</v>
      </c>
      <c r="J506" s="19">
        <v>0</v>
      </c>
      <c r="K506" s="19" t="s">
        <v>553</v>
      </c>
      <c r="L506" s="19">
        <v>2023</v>
      </c>
      <c r="M506" s="20">
        <v>75</v>
      </c>
      <c r="N506" s="19" t="s">
        <v>616</v>
      </c>
      <c r="O506" s="20">
        <v>4</v>
      </c>
      <c r="P506" s="20">
        <v>300</v>
      </c>
      <c r="Q506" s="20">
        <v>11696.558705780591</v>
      </c>
      <c r="R506" s="21">
        <v>0.87</v>
      </c>
      <c r="S506" s="20">
        <v>11696.558705780591</v>
      </c>
    </row>
    <row r="507" spans="2:19" ht="15" customHeight="1" x14ac:dyDescent="0.25">
      <c r="B507" s="2" t="str">
        <f t="shared" si="14"/>
        <v>PGL_Residential_Multi-Family_Standard Rebate_Pipe Insulation_Steam - X-Large &gt;8"_MF</v>
      </c>
      <c r="C507" s="2" t="str">
        <f t="shared" si="15"/>
        <v>PGL_Residential_Multi-Family_Standard Rebate_Pipe Insulation_Steam - X-Large &gt;8"_MF_2024</v>
      </c>
      <c r="D507" s="19" t="s">
        <v>1794</v>
      </c>
      <c r="E507" s="19" t="s">
        <v>2</v>
      </c>
      <c r="F507" s="19" t="s">
        <v>1422</v>
      </c>
      <c r="G507" s="19" t="s">
        <v>1418</v>
      </c>
      <c r="H507" s="19" t="s">
        <v>404</v>
      </c>
      <c r="I507" s="19" t="s">
        <v>960</v>
      </c>
      <c r="J507" s="19">
        <v>0</v>
      </c>
      <c r="K507" s="19" t="s">
        <v>553</v>
      </c>
      <c r="L507" s="19">
        <v>2024</v>
      </c>
      <c r="M507" s="20">
        <v>75</v>
      </c>
      <c r="N507" s="19" t="s">
        <v>616</v>
      </c>
      <c r="O507" s="20">
        <v>4</v>
      </c>
      <c r="P507" s="20">
        <v>300</v>
      </c>
      <c r="Q507" s="20">
        <v>11696.558705780591</v>
      </c>
      <c r="R507" s="21">
        <v>0.87</v>
      </c>
      <c r="S507" s="20">
        <v>11696.558705780591</v>
      </c>
    </row>
    <row r="508" spans="2:19" ht="15" customHeight="1" x14ac:dyDescent="0.25">
      <c r="B508" s="2" t="str">
        <f t="shared" si="14"/>
        <v>PGL_Residential_Multi-Family_Standard Rebate_Pipe Insulation_Steam - X-Large &gt;8"_MF</v>
      </c>
      <c r="C508" s="2" t="str">
        <f t="shared" si="15"/>
        <v>PGL_Residential_Multi-Family_Standard Rebate_Pipe Insulation_Steam - X-Large &gt;8"_MF_2025</v>
      </c>
      <c r="D508" s="19" t="s">
        <v>1794</v>
      </c>
      <c r="E508" s="19" t="s">
        <v>2</v>
      </c>
      <c r="F508" s="19" t="s">
        <v>1422</v>
      </c>
      <c r="G508" s="19" t="s">
        <v>1418</v>
      </c>
      <c r="H508" s="19" t="s">
        <v>404</v>
      </c>
      <c r="I508" s="19" t="s">
        <v>960</v>
      </c>
      <c r="J508" s="19">
        <v>0</v>
      </c>
      <c r="K508" s="19" t="s">
        <v>553</v>
      </c>
      <c r="L508" s="19">
        <v>2025</v>
      </c>
      <c r="M508" s="20">
        <v>75</v>
      </c>
      <c r="N508" s="19" t="s">
        <v>616</v>
      </c>
      <c r="O508" s="20">
        <v>3</v>
      </c>
      <c r="P508" s="20">
        <v>225</v>
      </c>
      <c r="Q508" s="20">
        <v>8772.4190293354441</v>
      </c>
      <c r="R508" s="21">
        <v>0.87</v>
      </c>
      <c r="S508" s="20">
        <v>8772.4190293354441</v>
      </c>
    </row>
    <row r="509" spans="2:19" ht="15" customHeight="1" x14ac:dyDescent="0.25">
      <c r="B509" s="2" t="str">
        <f t="shared" si="14"/>
        <v>PGL_Residential_Multi-Family_Standard Rebate_Pipe Insulation_Steam Med Fitting_MF</v>
      </c>
      <c r="C509" s="2" t="str">
        <f t="shared" si="15"/>
        <v>PGL_Residential_Multi-Family_Standard Rebate_Pipe Insulation_Steam Med Fitting_MF_2022</v>
      </c>
      <c r="D509" s="19" t="s">
        <v>1794</v>
      </c>
      <c r="E509" s="19" t="s">
        <v>2</v>
      </c>
      <c r="F509" s="19" t="s">
        <v>1422</v>
      </c>
      <c r="G509" s="19" t="s">
        <v>1418</v>
      </c>
      <c r="H509" s="19" t="s">
        <v>404</v>
      </c>
      <c r="I509" s="19" t="s">
        <v>962</v>
      </c>
      <c r="J509" s="19">
        <v>0</v>
      </c>
      <c r="K509" s="19" t="s">
        <v>553</v>
      </c>
      <c r="L509" s="19">
        <v>2022</v>
      </c>
      <c r="M509" s="20">
        <v>1</v>
      </c>
      <c r="N509" s="19" t="s">
        <v>1798</v>
      </c>
      <c r="O509" s="20">
        <v>19</v>
      </c>
      <c r="P509" s="20">
        <v>19</v>
      </c>
      <c r="Q509" s="20">
        <v>332.82453260605467</v>
      </c>
      <c r="R509" s="21">
        <v>0.87</v>
      </c>
      <c r="S509" s="20">
        <v>332.82453260605467</v>
      </c>
    </row>
    <row r="510" spans="2:19" ht="15" customHeight="1" x14ac:dyDescent="0.25">
      <c r="B510" s="2" t="str">
        <f t="shared" si="14"/>
        <v>PGL_Residential_Multi-Family_Standard Rebate_Pipe Insulation_Steam Med Fitting_MF</v>
      </c>
      <c r="C510" s="2" t="str">
        <f t="shared" si="15"/>
        <v>PGL_Residential_Multi-Family_Standard Rebate_Pipe Insulation_Steam Med Fitting_MF_2023</v>
      </c>
      <c r="D510" s="19" t="s">
        <v>1794</v>
      </c>
      <c r="E510" s="19" t="s">
        <v>2</v>
      </c>
      <c r="F510" s="19" t="s">
        <v>1422</v>
      </c>
      <c r="G510" s="19" t="s">
        <v>1418</v>
      </c>
      <c r="H510" s="19" t="s">
        <v>404</v>
      </c>
      <c r="I510" s="19" t="s">
        <v>962</v>
      </c>
      <c r="J510" s="19">
        <v>0</v>
      </c>
      <c r="K510" s="19" t="s">
        <v>553</v>
      </c>
      <c r="L510" s="19">
        <v>2023</v>
      </c>
      <c r="M510" s="20">
        <v>1</v>
      </c>
      <c r="N510" s="19" t="s">
        <v>1798</v>
      </c>
      <c r="O510" s="20">
        <v>17</v>
      </c>
      <c r="P510" s="20">
        <v>17</v>
      </c>
      <c r="Q510" s="20">
        <v>297.79037127910158</v>
      </c>
      <c r="R510" s="21">
        <v>0.87</v>
      </c>
      <c r="S510" s="20">
        <v>297.79037127910158</v>
      </c>
    </row>
    <row r="511" spans="2:19" ht="15" customHeight="1" x14ac:dyDescent="0.25">
      <c r="B511" s="2" t="str">
        <f t="shared" si="14"/>
        <v>PGL_Residential_Multi-Family_Standard Rebate_Pipe Insulation_Steam Med Fitting_MF</v>
      </c>
      <c r="C511" s="2" t="str">
        <f t="shared" si="15"/>
        <v>PGL_Residential_Multi-Family_Standard Rebate_Pipe Insulation_Steam Med Fitting_MF_2024</v>
      </c>
      <c r="D511" s="19" t="s">
        <v>1794</v>
      </c>
      <c r="E511" s="19" t="s">
        <v>2</v>
      </c>
      <c r="F511" s="19" t="s">
        <v>1422</v>
      </c>
      <c r="G511" s="19" t="s">
        <v>1418</v>
      </c>
      <c r="H511" s="19" t="s">
        <v>404</v>
      </c>
      <c r="I511" s="19" t="s">
        <v>962</v>
      </c>
      <c r="J511" s="19">
        <v>0</v>
      </c>
      <c r="K511" s="19" t="s">
        <v>553</v>
      </c>
      <c r="L511" s="19">
        <v>2024</v>
      </c>
      <c r="M511" s="20">
        <v>1</v>
      </c>
      <c r="N511" s="19" t="s">
        <v>1798</v>
      </c>
      <c r="O511" s="20">
        <v>15</v>
      </c>
      <c r="P511" s="20">
        <v>15</v>
      </c>
      <c r="Q511" s="20">
        <v>262.75620995214842</v>
      </c>
      <c r="R511" s="21">
        <v>0.87</v>
      </c>
      <c r="S511" s="20">
        <v>262.75620995214842</v>
      </c>
    </row>
    <row r="512" spans="2:19" ht="15" customHeight="1" x14ac:dyDescent="0.25">
      <c r="B512" s="2" t="str">
        <f t="shared" si="14"/>
        <v>PGL_Residential_Multi-Family_Standard Rebate_Pipe Insulation_Steam Med Fitting_MF</v>
      </c>
      <c r="C512" s="2" t="str">
        <f t="shared" si="15"/>
        <v>PGL_Residential_Multi-Family_Standard Rebate_Pipe Insulation_Steam Med Fitting_MF_2025</v>
      </c>
      <c r="D512" s="19" t="s">
        <v>1794</v>
      </c>
      <c r="E512" s="19" t="s">
        <v>2</v>
      </c>
      <c r="F512" s="19" t="s">
        <v>1422</v>
      </c>
      <c r="G512" s="19" t="s">
        <v>1418</v>
      </c>
      <c r="H512" s="19" t="s">
        <v>404</v>
      </c>
      <c r="I512" s="19" t="s">
        <v>962</v>
      </c>
      <c r="J512" s="19">
        <v>0</v>
      </c>
      <c r="K512" s="19" t="s">
        <v>553</v>
      </c>
      <c r="L512" s="19">
        <v>2025</v>
      </c>
      <c r="M512" s="20">
        <v>1</v>
      </c>
      <c r="N512" s="19" t="s">
        <v>1798</v>
      </c>
      <c r="O512" s="20">
        <v>11</v>
      </c>
      <c r="P512" s="20">
        <v>11</v>
      </c>
      <c r="Q512" s="20">
        <v>192.68788729824217</v>
      </c>
      <c r="R512" s="21">
        <v>0.87</v>
      </c>
      <c r="S512" s="20">
        <v>192.68788729824217</v>
      </c>
    </row>
    <row r="513" spans="2:19" ht="15" customHeight="1" x14ac:dyDescent="0.25">
      <c r="B513" s="2" t="str">
        <f t="shared" si="14"/>
        <v>PGL_Residential_Multi-Family_Standard Rebate_Pipe Insulation_Steam Large Fitting_MF</v>
      </c>
      <c r="C513" s="2" t="str">
        <f t="shared" si="15"/>
        <v>PGL_Residential_Multi-Family_Standard Rebate_Pipe Insulation_Steam Large Fitting_MF_2022</v>
      </c>
      <c r="D513" s="19" t="s">
        <v>1794</v>
      </c>
      <c r="E513" s="19" t="s">
        <v>2</v>
      </c>
      <c r="F513" s="19" t="s">
        <v>1422</v>
      </c>
      <c r="G513" s="19" t="s">
        <v>1418</v>
      </c>
      <c r="H513" s="19" t="s">
        <v>404</v>
      </c>
      <c r="I513" s="19" t="s">
        <v>963</v>
      </c>
      <c r="J513" s="19">
        <v>0</v>
      </c>
      <c r="K513" s="19" t="s">
        <v>553</v>
      </c>
      <c r="L513" s="19">
        <v>2022</v>
      </c>
      <c r="M513" s="20">
        <v>1</v>
      </c>
      <c r="N513" s="19" t="s">
        <v>1798</v>
      </c>
      <c r="O513" s="20">
        <v>29</v>
      </c>
      <c r="P513" s="20">
        <v>29</v>
      </c>
      <c r="Q513" s="20">
        <v>1672.3522136692127</v>
      </c>
      <c r="R513" s="21">
        <v>0.87</v>
      </c>
      <c r="S513" s="20">
        <v>1672.3522136692127</v>
      </c>
    </row>
    <row r="514" spans="2:19" ht="15" customHeight="1" x14ac:dyDescent="0.25">
      <c r="B514" s="2" t="str">
        <f t="shared" si="14"/>
        <v>PGL_Residential_Multi-Family_Standard Rebate_Pipe Insulation_Steam Large Fitting_MF</v>
      </c>
      <c r="C514" s="2" t="str">
        <f t="shared" si="15"/>
        <v>PGL_Residential_Multi-Family_Standard Rebate_Pipe Insulation_Steam Large Fitting_MF_2023</v>
      </c>
      <c r="D514" s="19" t="s">
        <v>1794</v>
      </c>
      <c r="E514" s="19" t="s">
        <v>2</v>
      </c>
      <c r="F514" s="19" t="s">
        <v>1422</v>
      </c>
      <c r="G514" s="19" t="s">
        <v>1418</v>
      </c>
      <c r="H514" s="19" t="s">
        <v>404</v>
      </c>
      <c r="I514" s="19" t="s">
        <v>963</v>
      </c>
      <c r="J514" s="19">
        <v>0</v>
      </c>
      <c r="K514" s="19" t="s">
        <v>553</v>
      </c>
      <c r="L514" s="19">
        <v>2023</v>
      </c>
      <c r="M514" s="20">
        <v>1</v>
      </c>
      <c r="N514" s="19" t="s">
        <v>1798</v>
      </c>
      <c r="O514" s="20">
        <v>26</v>
      </c>
      <c r="P514" s="20">
        <v>26</v>
      </c>
      <c r="Q514" s="20">
        <v>1499.3502605310182</v>
      </c>
      <c r="R514" s="21">
        <v>0.87</v>
      </c>
      <c r="S514" s="20">
        <v>1499.3502605310182</v>
      </c>
    </row>
    <row r="515" spans="2:19" ht="15" customHeight="1" x14ac:dyDescent="0.25">
      <c r="B515" s="2" t="str">
        <f t="shared" si="14"/>
        <v>PGL_Residential_Multi-Family_Standard Rebate_Pipe Insulation_Steam Large Fitting_MF</v>
      </c>
      <c r="C515" s="2" t="str">
        <f t="shared" si="15"/>
        <v>PGL_Residential_Multi-Family_Standard Rebate_Pipe Insulation_Steam Large Fitting_MF_2024</v>
      </c>
      <c r="D515" s="19" t="s">
        <v>1794</v>
      </c>
      <c r="E515" s="19" t="s">
        <v>2</v>
      </c>
      <c r="F515" s="19" t="s">
        <v>1422</v>
      </c>
      <c r="G515" s="19" t="s">
        <v>1418</v>
      </c>
      <c r="H515" s="19" t="s">
        <v>404</v>
      </c>
      <c r="I515" s="19" t="s">
        <v>963</v>
      </c>
      <c r="J515" s="19">
        <v>0</v>
      </c>
      <c r="K515" s="19" t="s">
        <v>553</v>
      </c>
      <c r="L515" s="19">
        <v>2024</v>
      </c>
      <c r="M515" s="20">
        <v>1</v>
      </c>
      <c r="N515" s="19" t="s">
        <v>1798</v>
      </c>
      <c r="O515" s="20">
        <v>23</v>
      </c>
      <c r="P515" s="20">
        <v>23</v>
      </c>
      <c r="Q515" s="20">
        <v>1326.3483073928237</v>
      </c>
      <c r="R515" s="21">
        <v>0.87</v>
      </c>
      <c r="S515" s="20">
        <v>1326.3483073928237</v>
      </c>
    </row>
    <row r="516" spans="2:19" ht="15" customHeight="1" x14ac:dyDescent="0.25">
      <c r="B516" s="2" t="str">
        <f t="shared" si="14"/>
        <v>PGL_Residential_Multi-Family_Standard Rebate_Pipe Insulation_Steam Large Fitting_MF</v>
      </c>
      <c r="C516" s="2" t="str">
        <f t="shared" si="15"/>
        <v>PGL_Residential_Multi-Family_Standard Rebate_Pipe Insulation_Steam Large Fitting_MF_2025</v>
      </c>
      <c r="D516" s="19" t="s">
        <v>1794</v>
      </c>
      <c r="E516" s="19" t="s">
        <v>2</v>
      </c>
      <c r="F516" s="19" t="s">
        <v>1422</v>
      </c>
      <c r="G516" s="19" t="s">
        <v>1418</v>
      </c>
      <c r="H516" s="19" t="s">
        <v>404</v>
      </c>
      <c r="I516" s="19" t="s">
        <v>963</v>
      </c>
      <c r="J516" s="19">
        <v>0</v>
      </c>
      <c r="K516" s="19" t="s">
        <v>553</v>
      </c>
      <c r="L516" s="19">
        <v>2025</v>
      </c>
      <c r="M516" s="20">
        <v>1</v>
      </c>
      <c r="N516" s="19" t="s">
        <v>1798</v>
      </c>
      <c r="O516" s="20">
        <v>17</v>
      </c>
      <c r="P516" s="20">
        <v>17</v>
      </c>
      <c r="Q516" s="20">
        <v>980.34440111643494</v>
      </c>
      <c r="R516" s="21">
        <v>0.87</v>
      </c>
      <c r="S516" s="20">
        <v>980.34440111643494</v>
      </c>
    </row>
    <row r="517" spans="2:19" ht="15" customHeight="1" x14ac:dyDescent="0.25">
      <c r="B517" s="2" t="str">
        <f t="shared" si="14"/>
        <v>PGL_Residential_Multi-Family_Standard Rebate_Pipe Insulation_Steam X-Large Fitting_MF</v>
      </c>
      <c r="C517" s="2" t="str">
        <f t="shared" si="15"/>
        <v>PGL_Residential_Multi-Family_Standard Rebate_Pipe Insulation_Steam X-Large Fitting_MF_2022</v>
      </c>
      <c r="D517" s="19" t="s">
        <v>1794</v>
      </c>
      <c r="E517" s="19" t="s">
        <v>2</v>
      </c>
      <c r="F517" s="19" t="s">
        <v>1422</v>
      </c>
      <c r="G517" s="19" t="s">
        <v>1418</v>
      </c>
      <c r="H517" s="19" t="s">
        <v>404</v>
      </c>
      <c r="I517" s="19" t="s">
        <v>964</v>
      </c>
      <c r="J517" s="19">
        <v>0</v>
      </c>
      <c r="K517" s="19" t="s">
        <v>553</v>
      </c>
      <c r="L517" s="19">
        <v>2022</v>
      </c>
      <c r="M517" s="20">
        <v>1</v>
      </c>
      <c r="N517" s="19" t="s">
        <v>1798</v>
      </c>
      <c r="O517" s="20">
        <v>10</v>
      </c>
      <c r="P517" s="20">
        <v>10</v>
      </c>
      <c r="Q517" s="20">
        <v>990.82898123142991</v>
      </c>
      <c r="R517" s="21">
        <v>0.87</v>
      </c>
      <c r="S517" s="20">
        <v>990.82898123142991</v>
      </c>
    </row>
    <row r="518" spans="2:19" ht="15" customHeight="1" x14ac:dyDescent="0.25">
      <c r="B518" s="2" t="str">
        <f t="shared" ref="B518:B581" si="16">D518&amp;"_"&amp;E518&amp;"_"&amp;F518&amp;"_"&amp;G518&amp;"_"&amp;H518&amp;"_"&amp;I518&amp;"_"&amp;K518</f>
        <v>PGL_Residential_Multi-Family_Standard Rebate_Pipe Insulation_Steam X-Large Fitting_MF</v>
      </c>
      <c r="C518" s="2" t="str">
        <f t="shared" ref="C518:C581" si="17">D518&amp;"_"&amp;E518&amp;"_"&amp;F518&amp;"_"&amp;G518&amp;"_"&amp;H518&amp;"_"&amp;I518&amp;"_"&amp;K518&amp;"_"&amp;L518</f>
        <v>PGL_Residential_Multi-Family_Standard Rebate_Pipe Insulation_Steam X-Large Fitting_MF_2023</v>
      </c>
      <c r="D518" s="19" t="s">
        <v>1794</v>
      </c>
      <c r="E518" s="19" t="s">
        <v>2</v>
      </c>
      <c r="F518" s="19" t="s">
        <v>1422</v>
      </c>
      <c r="G518" s="19" t="s">
        <v>1418</v>
      </c>
      <c r="H518" s="19" t="s">
        <v>404</v>
      </c>
      <c r="I518" s="19" t="s">
        <v>964</v>
      </c>
      <c r="J518" s="19">
        <v>0</v>
      </c>
      <c r="K518" s="19" t="s">
        <v>553</v>
      </c>
      <c r="L518" s="19">
        <v>2023</v>
      </c>
      <c r="M518" s="20">
        <v>1</v>
      </c>
      <c r="N518" s="19" t="s">
        <v>1798</v>
      </c>
      <c r="O518" s="20">
        <v>9</v>
      </c>
      <c r="P518" s="20">
        <v>9</v>
      </c>
      <c r="Q518" s="20">
        <v>891.74608310828694</v>
      </c>
      <c r="R518" s="21">
        <v>0.87</v>
      </c>
      <c r="S518" s="20">
        <v>891.74608310828694</v>
      </c>
    </row>
    <row r="519" spans="2:19" ht="15" customHeight="1" x14ac:dyDescent="0.25">
      <c r="B519" s="2" t="str">
        <f t="shared" si="16"/>
        <v>PGL_Residential_Multi-Family_Standard Rebate_Pipe Insulation_Steam X-Large Fitting_MF</v>
      </c>
      <c r="C519" s="2" t="str">
        <f t="shared" si="17"/>
        <v>PGL_Residential_Multi-Family_Standard Rebate_Pipe Insulation_Steam X-Large Fitting_MF_2024</v>
      </c>
      <c r="D519" s="19" t="s">
        <v>1794</v>
      </c>
      <c r="E519" s="19" t="s">
        <v>2</v>
      </c>
      <c r="F519" s="19" t="s">
        <v>1422</v>
      </c>
      <c r="G519" s="19" t="s">
        <v>1418</v>
      </c>
      <c r="H519" s="19" t="s">
        <v>404</v>
      </c>
      <c r="I519" s="19" t="s">
        <v>964</v>
      </c>
      <c r="J519" s="19">
        <v>0</v>
      </c>
      <c r="K519" s="19" t="s">
        <v>553</v>
      </c>
      <c r="L519" s="19">
        <v>2024</v>
      </c>
      <c r="M519" s="20">
        <v>1</v>
      </c>
      <c r="N519" s="19" t="s">
        <v>1798</v>
      </c>
      <c r="O519" s="20">
        <v>8</v>
      </c>
      <c r="P519" s="20">
        <v>8</v>
      </c>
      <c r="Q519" s="20">
        <v>792.66318498514397</v>
      </c>
      <c r="R519" s="21">
        <v>0.87</v>
      </c>
      <c r="S519" s="20">
        <v>792.66318498514397</v>
      </c>
    </row>
    <row r="520" spans="2:19" ht="15" customHeight="1" x14ac:dyDescent="0.25">
      <c r="B520" s="2" t="str">
        <f t="shared" si="16"/>
        <v>PGL_Residential_Multi-Family_Standard Rebate_Pipe Insulation_Steam X-Large Fitting_MF</v>
      </c>
      <c r="C520" s="2" t="str">
        <f t="shared" si="17"/>
        <v>PGL_Residential_Multi-Family_Standard Rebate_Pipe Insulation_Steam X-Large Fitting_MF_2025</v>
      </c>
      <c r="D520" s="19" t="s">
        <v>1794</v>
      </c>
      <c r="E520" s="19" t="s">
        <v>2</v>
      </c>
      <c r="F520" s="19" t="s">
        <v>1422</v>
      </c>
      <c r="G520" s="19" t="s">
        <v>1418</v>
      </c>
      <c r="H520" s="19" t="s">
        <v>404</v>
      </c>
      <c r="I520" s="19" t="s">
        <v>964</v>
      </c>
      <c r="J520" s="19">
        <v>0</v>
      </c>
      <c r="K520" s="19" t="s">
        <v>553</v>
      </c>
      <c r="L520" s="19">
        <v>2025</v>
      </c>
      <c r="M520" s="20">
        <v>1</v>
      </c>
      <c r="N520" s="19" t="s">
        <v>1798</v>
      </c>
      <c r="O520" s="20">
        <v>6</v>
      </c>
      <c r="P520" s="20">
        <v>6</v>
      </c>
      <c r="Q520" s="20">
        <v>594.49738873885792</v>
      </c>
      <c r="R520" s="21">
        <v>0.87</v>
      </c>
      <c r="S520" s="20">
        <v>594.49738873885792</v>
      </c>
    </row>
    <row r="521" spans="2:19" ht="15" customHeight="1" x14ac:dyDescent="0.25">
      <c r="B521" s="2" t="str">
        <f t="shared" si="16"/>
        <v>PGL_Residential_Multi-Family_Standard Rebate_Pipe Insulation_Steam Med Valve_MF</v>
      </c>
      <c r="C521" s="2" t="str">
        <f t="shared" si="17"/>
        <v>PGL_Residential_Multi-Family_Standard Rebate_Pipe Insulation_Steam Med Valve_MF_2022</v>
      </c>
      <c r="D521" s="19" t="s">
        <v>1794</v>
      </c>
      <c r="E521" s="19" t="s">
        <v>2</v>
      </c>
      <c r="F521" s="19" t="s">
        <v>1422</v>
      </c>
      <c r="G521" s="19" t="s">
        <v>1418</v>
      </c>
      <c r="H521" s="19" t="s">
        <v>404</v>
      </c>
      <c r="I521" s="19" t="s">
        <v>966</v>
      </c>
      <c r="J521" s="19">
        <v>0</v>
      </c>
      <c r="K521" s="19" t="s">
        <v>553</v>
      </c>
      <c r="L521" s="19">
        <v>2022</v>
      </c>
      <c r="M521" s="20">
        <v>1</v>
      </c>
      <c r="N521" s="19" t="s">
        <v>1798</v>
      </c>
      <c r="O521" s="20">
        <v>48</v>
      </c>
      <c r="P521" s="20">
        <v>48</v>
      </c>
      <c r="Q521" s="20">
        <v>2838.1198568019113</v>
      </c>
      <c r="R521" s="21">
        <v>0.87</v>
      </c>
      <c r="S521" s="20">
        <v>2838.1198568019113</v>
      </c>
    </row>
    <row r="522" spans="2:19" ht="15" customHeight="1" x14ac:dyDescent="0.25">
      <c r="B522" s="2" t="str">
        <f t="shared" si="16"/>
        <v>PGL_Residential_Multi-Family_Standard Rebate_Pipe Insulation_Steam Med Valve_MF</v>
      </c>
      <c r="C522" s="2" t="str">
        <f t="shared" si="17"/>
        <v>PGL_Residential_Multi-Family_Standard Rebate_Pipe Insulation_Steam Med Valve_MF_2023</v>
      </c>
      <c r="D522" s="19" t="s">
        <v>1794</v>
      </c>
      <c r="E522" s="19" t="s">
        <v>2</v>
      </c>
      <c r="F522" s="19" t="s">
        <v>1422</v>
      </c>
      <c r="G522" s="19" t="s">
        <v>1418</v>
      </c>
      <c r="H522" s="19" t="s">
        <v>404</v>
      </c>
      <c r="I522" s="19" t="s">
        <v>966</v>
      </c>
      <c r="J522" s="19">
        <v>0</v>
      </c>
      <c r="K522" s="19" t="s">
        <v>553</v>
      </c>
      <c r="L522" s="19">
        <v>2023</v>
      </c>
      <c r="M522" s="20">
        <v>1</v>
      </c>
      <c r="N522" s="19" t="s">
        <v>1798</v>
      </c>
      <c r="O522" s="20">
        <v>43</v>
      </c>
      <c r="P522" s="20">
        <v>43</v>
      </c>
      <c r="Q522" s="20">
        <v>2542.482371718379</v>
      </c>
      <c r="R522" s="21">
        <v>0.87</v>
      </c>
      <c r="S522" s="20">
        <v>2542.482371718379</v>
      </c>
    </row>
    <row r="523" spans="2:19" ht="15" customHeight="1" x14ac:dyDescent="0.25">
      <c r="B523" s="2" t="str">
        <f t="shared" si="16"/>
        <v>PGL_Residential_Multi-Family_Standard Rebate_Pipe Insulation_Steam Med Valve_MF</v>
      </c>
      <c r="C523" s="2" t="str">
        <f t="shared" si="17"/>
        <v>PGL_Residential_Multi-Family_Standard Rebate_Pipe Insulation_Steam Med Valve_MF_2024</v>
      </c>
      <c r="D523" s="19" t="s">
        <v>1794</v>
      </c>
      <c r="E523" s="19" t="s">
        <v>2</v>
      </c>
      <c r="F523" s="19" t="s">
        <v>1422</v>
      </c>
      <c r="G523" s="19" t="s">
        <v>1418</v>
      </c>
      <c r="H523" s="19" t="s">
        <v>404</v>
      </c>
      <c r="I523" s="19" t="s">
        <v>966</v>
      </c>
      <c r="J523" s="19">
        <v>0</v>
      </c>
      <c r="K523" s="19" t="s">
        <v>553</v>
      </c>
      <c r="L523" s="19">
        <v>2024</v>
      </c>
      <c r="M523" s="20">
        <v>1</v>
      </c>
      <c r="N523" s="19" t="s">
        <v>1798</v>
      </c>
      <c r="O523" s="20">
        <v>38</v>
      </c>
      <c r="P523" s="20">
        <v>38</v>
      </c>
      <c r="Q523" s="20">
        <v>2246.8448866348463</v>
      </c>
      <c r="R523" s="21">
        <v>0.87</v>
      </c>
      <c r="S523" s="20">
        <v>2246.8448866348463</v>
      </c>
    </row>
    <row r="524" spans="2:19" ht="15" customHeight="1" x14ac:dyDescent="0.25">
      <c r="B524" s="2" t="str">
        <f t="shared" si="16"/>
        <v>PGL_Residential_Multi-Family_Standard Rebate_Pipe Insulation_Steam Med Valve_MF</v>
      </c>
      <c r="C524" s="2" t="str">
        <f t="shared" si="17"/>
        <v>PGL_Residential_Multi-Family_Standard Rebate_Pipe Insulation_Steam Med Valve_MF_2025</v>
      </c>
      <c r="D524" s="19" t="s">
        <v>1794</v>
      </c>
      <c r="E524" s="19" t="s">
        <v>2</v>
      </c>
      <c r="F524" s="19" t="s">
        <v>1422</v>
      </c>
      <c r="G524" s="19" t="s">
        <v>1418</v>
      </c>
      <c r="H524" s="19" t="s">
        <v>404</v>
      </c>
      <c r="I524" s="19" t="s">
        <v>966</v>
      </c>
      <c r="J524" s="19">
        <v>0</v>
      </c>
      <c r="K524" s="19" t="s">
        <v>553</v>
      </c>
      <c r="L524" s="19">
        <v>2025</v>
      </c>
      <c r="M524" s="20">
        <v>1</v>
      </c>
      <c r="N524" s="19" t="s">
        <v>1798</v>
      </c>
      <c r="O524" s="20">
        <v>28</v>
      </c>
      <c r="P524" s="20">
        <v>28</v>
      </c>
      <c r="Q524" s="20">
        <v>1655.5699164677815</v>
      </c>
      <c r="R524" s="21">
        <v>0.87</v>
      </c>
      <c r="S524" s="20">
        <v>1655.5699164677815</v>
      </c>
    </row>
    <row r="525" spans="2:19" ht="15" customHeight="1" x14ac:dyDescent="0.25">
      <c r="B525" s="2" t="str">
        <f t="shared" si="16"/>
        <v>PGL_Residential_Multi-Family_Standard Rebate_Pipe Insulation_Steam Large Valve_MF</v>
      </c>
      <c r="C525" s="2" t="str">
        <f t="shared" si="17"/>
        <v>PGL_Residential_Multi-Family_Standard Rebate_Pipe Insulation_Steam Large Valve_MF_2022</v>
      </c>
      <c r="D525" s="19" t="s">
        <v>1794</v>
      </c>
      <c r="E525" s="19" t="s">
        <v>2</v>
      </c>
      <c r="F525" s="19" t="s">
        <v>1422</v>
      </c>
      <c r="G525" s="19" t="s">
        <v>1418</v>
      </c>
      <c r="H525" s="19" t="s">
        <v>404</v>
      </c>
      <c r="I525" s="19" t="s">
        <v>967</v>
      </c>
      <c r="J525" s="19">
        <v>0</v>
      </c>
      <c r="K525" s="19" t="s">
        <v>553</v>
      </c>
      <c r="L525" s="19">
        <v>2022</v>
      </c>
      <c r="M525" s="20">
        <v>1</v>
      </c>
      <c r="N525" s="19" t="s">
        <v>1798</v>
      </c>
      <c r="O525" s="20">
        <v>19</v>
      </c>
      <c r="P525" s="20">
        <v>19</v>
      </c>
      <c r="Q525" s="20">
        <v>2213.5287496961814</v>
      </c>
      <c r="R525" s="21">
        <v>0.87</v>
      </c>
      <c r="S525" s="20">
        <v>2213.5287496961814</v>
      </c>
    </row>
    <row r="526" spans="2:19" ht="15" customHeight="1" x14ac:dyDescent="0.25">
      <c r="B526" s="2" t="str">
        <f t="shared" si="16"/>
        <v>PGL_Residential_Multi-Family_Standard Rebate_Pipe Insulation_Steam Large Valve_MF</v>
      </c>
      <c r="C526" s="2" t="str">
        <f t="shared" si="17"/>
        <v>PGL_Residential_Multi-Family_Standard Rebate_Pipe Insulation_Steam Large Valve_MF_2023</v>
      </c>
      <c r="D526" s="19" t="s">
        <v>1794</v>
      </c>
      <c r="E526" s="19" t="s">
        <v>2</v>
      </c>
      <c r="F526" s="19" t="s">
        <v>1422</v>
      </c>
      <c r="G526" s="19" t="s">
        <v>1418</v>
      </c>
      <c r="H526" s="19" t="s">
        <v>404</v>
      </c>
      <c r="I526" s="19" t="s">
        <v>967</v>
      </c>
      <c r="J526" s="19">
        <v>0</v>
      </c>
      <c r="K526" s="19" t="s">
        <v>553</v>
      </c>
      <c r="L526" s="19">
        <v>2023</v>
      </c>
      <c r="M526" s="20">
        <v>1</v>
      </c>
      <c r="N526" s="19" t="s">
        <v>1798</v>
      </c>
      <c r="O526" s="20">
        <v>17</v>
      </c>
      <c r="P526" s="20">
        <v>17</v>
      </c>
      <c r="Q526" s="20">
        <v>1980.5257234123728</v>
      </c>
      <c r="R526" s="21">
        <v>0.87</v>
      </c>
      <c r="S526" s="20">
        <v>1980.5257234123728</v>
      </c>
    </row>
    <row r="527" spans="2:19" ht="15" customHeight="1" x14ac:dyDescent="0.25">
      <c r="B527" s="2" t="str">
        <f t="shared" si="16"/>
        <v>PGL_Residential_Multi-Family_Standard Rebate_Pipe Insulation_Steam Large Valve_MF</v>
      </c>
      <c r="C527" s="2" t="str">
        <f t="shared" si="17"/>
        <v>PGL_Residential_Multi-Family_Standard Rebate_Pipe Insulation_Steam Large Valve_MF_2024</v>
      </c>
      <c r="D527" s="19" t="s">
        <v>1794</v>
      </c>
      <c r="E527" s="19" t="s">
        <v>2</v>
      </c>
      <c r="F527" s="19" t="s">
        <v>1422</v>
      </c>
      <c r="G527" s="19" t="s">
        <v>1418</v>
      </c>
      <c r="H527" s="19" t="s">
        <v>404</v>
      </c>
      <c r="I527" s="19" t="s">
        <v>967</v>
      </c>
      <c r="J527" s="19">
        <v>0</v>
      </c>
      <c r="K527" s="19" t="s">
        <v>553</v>
      </c>
      <c r="L527" s="19">
        <v>2024</v>
      </c>
      <c r="M527" s="20">
        <v>1</v>
      </c>
      <c r="N527" s="19" t="s">
        <v>1798</v>
      </c>
      <c r="O527" s="20">
        <v>15</v>
      </c>
      <c r="P527" s="20">
        <v>15</v>
      </c>
      <c r="Q527" s="20">
        <v>1747.5226971285642</v>
      </c>
      <c r="R527" s="21">
        <v>0.87</v>
      </c>
      <c r="S527" s="20">
        <v>1747.5226971285642</v>
      </c>
    </row>
    <row r="528" spans="2:19" ht="15" customHeight="1" x14ac:dyDescent="0.25">
      <c r="B528" s="2" t="str">
        <f t="shared" si="16"/>
        <v>PGL_Residential_Multi-Family_Standard Rebate_Pipe Insulation_Steam Large Valve_MF</v>
      </c>
      <c r="C528" s="2" t="str">
        <f t="shared" si="17"/>
        <v>PGL_Residential_Multi-Family_Standard Rebate_Pipe Insulation_Steam Large Valve_MF_2025</v>
      </c>
      <c r="D528" s="19" t="s">
        <v>1794</v>
      </c>
      <c r="E528" s="19" t="s">
        <v>2</v>
      </c>
      <c r="F528" s="19" t="s">
        <v>1422</v>
      </c>
      <c r="G528" s="19" t="s">
        <v>1418</v>
      </c>
      <c r="H528" s="19" t="s">
        <v>404</v>
      </c>
      <c r="I528" s="19" t="s">
        <v>967</v>
      </c>
      <c r="J528" s="19">
        <v>0</v>
      </c>
      <c r="K528" s="19" t="s">
        <v>553</v>
      </c>
      <c r="L528" s="19">
        <v>2025</v>
      </c>
      <c r="M528" s="20">
        <v>1</v>
      </c>
      <c r="N528" s="19" t="s">
        <v>1798</v>
      </c>
      <c r="O528" s="20">
        <v>11</v>
      </c>
      <c r="P528" s="20">
        <v>11</v>
      </c>
      <c r="Q528" s="20">
        <v>1281.5166445609473</v>
      </c>
      <c r="R528" s="21">
        <v>0.87</v>
      </c>
      <c r="S528" s="20">
        <v>1281.5166445609473</v>
      </c>
    </row>
    <row r="529" spans="2:19" ht="15" customHeight="1" x14ac:dyDescent="0.25">
      <c r="B529" s="2" t="str">
        <f t="shared" si="16"/>
        <v>PGL_Residential_Multi-Family_Standard Rebate_Pipe Insulation_Steam X-Large Valve_MF</v>
      </c>
      <c r="C529" s="2" t="str">
        <f t="shared" si="17"/>
        <v>PGL_Residential_Multi-Family_Standard Rebate_Pipe Insulation_Steam X-Large Valve_MF_2022</v>
      </c>
      <c r="D529" s="19" t="s">
        <v>1794</v>
      </c>
      <c r="E529" s="19" t="s">
        <v>2</v>
      </c>
      <c r="F529" s="19" t="s">
        <v>1422</v>
      </c>
      <c r="G529" s="19" t="s">
        <v>1418</v>
      </c>
      <c r="H529" s="19" t="s">
        <v>404</v>
      </c>
      <c r="I529" s="19" t="s">
        <v>968</v>
      </c>
      <c r="J529" s="19">
        <v>0</v>
      </c>
      <c r="K529" s="19" t="s">
        <v>553</v>
      </c>
      <c r="L529" s="19">
        <v>2022</v>
      </c>
      <c r="M529" s="20">
        <v>1</v>
      </c>
      <c r="N529" s="19" t="s">
        <v>1798</v>
      </c>
      <c r="O529" s="20">
        <v>5</v>
      </c>
      <c r="P529" s="20">
        <v>5</v>
      </c>
      <c r="Q529" s="20">
        <v>295.63748508353245</v>
      </c>
      <c r="R529" s="21">
        <v>0.87</v>
      </c>
      <c r="S529" s="20">
        <v>295.63748508353245</v>
      </c>
    </row>
    <row r="530" spans="2:19" ht="15" customHeight="1" x14ac:dyDescent="0.25">
      <c r="B530" s="2" t="str">
        <f t="shared" si="16"/>
        <v>PGL_Residential_Multi-Family_Standard Rebate_Pipe Insulation_Steam X-Large Valve_MF</v>
      </c>
      <c r="C530" s="2" t="str">
        <f t="shared" si="17"/>
        <v>PGL_Residential_Multi-Family_Standard Rebate_Pipe Insulation_Steam X-Large Valve_MF_2023</v>
      </c>
      <c r="D530" s="19" t="s">
        <v>1794</v>
      </c>
      <c r="E530" s="19" t="s">
        <v>2</v>
      </c>
      <c r="F530" s="19" t="s">
        <v>1422</v>
      </c>
      <c r="G530" s="19" t="s">
        <v>1418</v>
      </c>
      <c r="H530" s="19" t="s">
        <v>404</v>
      </c>
      <c r="I530" s="19" t="s">
        <v>968</v>
      </c>
      <c r="J530" s="19">
        <v>0</v>
      </c>
      <c r="K530" s="19" t="s">
        <v>553</v>
      </c>
      <c r="L530" s="19">
        <v>2023</v>
      </c>
      <c r="M530" s="20">
        <v>1</v>
      </c>
      <c r="N530" s="19" t="s">
        <v>1798</v>
      </c>
      <c r="O530" s="20">
        <v>4</v>
      </c>
      <c r="P530" s="20">
        <v>4</v>
      </c>
      <c r="Q530" s="20">
        <v>236.50998806682594</v>
      </c>
      <c r="R530" s="21">
        <v>0.87</v>
      </c>
      <c r="S530" s="20">
        <v>236.50998806682594</v>
      </c>
    </row>
    <row r="531" spans="2:19" ht="15" customHeight="1" x14ac:dyDescent="0.25">
      <c r="B531" s="2" t="str">
        <f t="shared" si="16"/>
        <v>PGL_Residential_Multi-Family_Standard Rebate_Pipe Insulation_Steam X-Large Valve_MF</v>
      </c>
      <c r="C531" s="2" t="str">
        <f t="shared" si="17"/>
        <v>PGL_Residential_Multi-Family_Standard Rebate_Pipe Insulation_Steam X-Large Valve_MF_2024</v>
      </c>
      <c r="D531" s="19" t="s">
        <v>1794</v>
      </c>
      <c r="E531" s="19" t="s">
        <v>2</v>
      </c>
      <c r="F531" s="19" t="s">
        <v>1422</v>
      </c>
      <c r="G531" s="19" t="s">
        <v>1418</v>
      </c>
      <c r="H531" s="19" t="s">
        <v>404</v>
      </c>
      <c r="I531" s="19" t="s">
        <v>968</v>
      </c>
      <c r="J531" s="19">
        <v>0</v>
      </c>
      <c r="K531" s="19" t="s">
        <v>553</v>
      </c>
      <c r="L531" s="19">
        <v>2024</v>
      </c>
      <c r="M531" s="20">
        <v>1</v>
      </c>
      <c r="N531" s="19" t="s">
        <v>1798</v>
      </c>
      <c r="O531" s="20">
        <v>4</v>
      </c>
      <c r="P531" s="20">
        <v>4</v>
      </c>
      <c r="Q531" s="20">
        <v>236.50998806682594</v>
      </c>
      <c r="R531" s="21">
        <v>0.87</v>
      </c>
      <c r="S531" s="20">
        <v>236.50998806682594</v>
      </c>
    </row>
    <row r="532" spans="2:19" ht="15" customHeight="1" x14ac:dyDescent="0.25">
      <c r="B532" s="2" t="str">
        <f t="shared" si="16"/>
        <v>PGL_Residential_Multi-Family_Standard Rebate_Pipe Insulation_Steam X-Large Valve_MF</v>
      </c>
      <c r="C532" s="2" t="str">
        <f t="shared" si="17"/>
        <v>PGL_Residential_Multi-Family_Standard Rebate_Pipe Insulation_Steam X-Large Valve_MF_2025</v>
      </c>
      <c r="D532" s="19" t="s">
        <v>1794</v>
      </c>
      <c r="E532" s="19" t="s">
        <v>2</v>
      </c>
      <c r="F532" s="19" t="s">
        <v>1422</v>
      </c>
      <c r="G532" s="19" t="s">
        <v>1418</v>
      </c>
      <c r="H532" s="19" t="s">
        <v>404</v>
      </c>
      <c r="I532" s="19" t="s">
        <v>968</v>
      </c>
      <c r="J532" s="19">
        <v>0</v>
      </c>
      <c r="K532" s="19" t="s">
        <v>553</v>
      </c>
      <c r="L532" s="19">
        <v>2025</v>
      </c>
      <c r="M532" s="20">
        <v>1</v>
      </c>
      <c r="N532" s="19" t="s">
        <v>1798</v>
      </c>
      <c r="O532" s="20">
        <v>3</v>
      </c>
      <c r="P532" s="20">
        <v>3</v>
      </c>
      <c r="Q532" s="20">
        <v>177.38249105011946</v>
      </c>
      <c r="R532" s="21">
        <v>0.87</v>
      </c>
      <c r="S532" s="20">
        <v>177.38249105011946</v>
      </c>
    </row>
    <row r="533" spans="2:19" ht="15" customHeight="1" x14ac:dyDescent="0.25">
      <c r="B533" s="2" t="str">
        <f t="shared" si="16"/>
        <v>PGL_Residential_Multi-Family_Standard Rebate_Steam Boiler_ &gt;=1500MBH, &gt;=82% TE_MF</v>
      </c>
      <c r="C533" s="2" t="str">
        <f t="shared" si="17"/>
        <v>PGL_Residential_Multi-Family_Standard Rebate_Steam Boiler_ &gt;=1500MBH, &gt;=82% TE_MF_2022</v>
      </c>
      <c r="D533" s="19" t="s">
        <v>1794</v>
      </c>
      <c r="E533" s="19" t="s">
        <v>2</v>
      </c>
      <c r="F533" s="19" t="s">
        <v>1422</v>
      </c>
      <c r="G533" s="19" t="s">
        <v>1418</v>
      </c>
      <c r="H533" s="19" t="s">
        <v>938</v>
      </c>
      <c r="I533" s="19" t="s">
        <v>939</v>
      </c>
      <c r="J533" s="19" t="s">
        <v>942</v>
      </c>
      <c r="K533" s="19" t="s">
        <v>553</v>
      </c>
      <c r="L533" s="19">
        <v>2022</v>
      </c>
      <c r="M533" s="20">
        <v>1500</v>
      </c>
      <c r="N533" s="19" t="s">
        <v>667</v>
      </c>
      <c r="O533" s="20">
        <v>10</v>
      </c>
      <c r="P533" s="20">
        <v>15000</v>
      </c>
      <c r="Q533" s="20">
        <v>11115.923076923054</v>
      </c>
      <c r="R533" s="21">
        <v>0.87</v>
      </c>
      <c r="S533" s="20">
        <v>11115.923076923054</v>
      </c>
    </row>
    <row r="534" spans="2:19" ht="15" customHeight="1" x14ac:dyDescent="0.25">
      <c r="B534" s="2" t="str">
        <f t="shared" si="16"/>
        <v>PGL_Residential_Multi-Family_Standard Rebate_Steam Boiler_ &gt;=1500MBH, &gt;=82% TE_MF</v>
      </c>
      <c r="C534" s="2" t="str">
        <f t="shared" si="17"/>
        <v>PGL_Residential_Multi-Family_Standard Rebate_Steam Boiler_ &gt;=1500MBH, &gt;=82% TE_MF_2023</v>
      </c>
      <c r="D534" s="19" t="s">
        <v>1794</v>
      </c>
      <c r="E534" s="19" t="s">
        <v>2</v>
      </c>
      <c r="F534" s="19" t="s">
        <v>1422</v>
      </c>
      <c r="G534" s="19" t="s">
        <v>1418</v>
      </c>
      <c r="H534" s="19" t="s">
        <v>938</v>
      </c>
      <c r="I534" s="19" t="s">
        <v>939</v>
      </c>
      <c r="J534" s="19" t="s">
        <v>942</v>
      </c>
      <c r="K534" s="19" t="s">
        <v>553</v>
      </c>
      <c r="L534" s="19">
        <v>2023</v>
      </c>
      <c r="M534" s="20">
        <v>1500</v>
      </c>
      <c r="N534" s="19" t="s">
        <v>667</v>
      </c>
      <c r="O534" s="20">
        <v>9</v>
      </c>
      <c r="P534" s="20">
        <v>13500</v>
      </c>
      <c r="Q534" s="20">
        <v>10004.330769230748</v>
      </c>
      <c r="R534" s="21">
        <v>0.87</v>
      </c>
      <c r="S534" s="20">
        <v>10004.330769230748</v>
      </c>
    </row>
    <row r="535" spans="2:19" ht="15" customHeight="1" x14ac:dyDescent="0.25">
      <c r="B535" s="2" t="str">
        <f t="shared" si="16"/>
        <v>PGL_Residential_Multi-Family_Standard Rebate_Steam Boiler_ &gt;=1500MBH, &gt;=82% TE_MF</v>
      </c>
      <c r="C535" s="2" t="str">
        <f t="shared" si="17"/>
        <v>PGL_Residential_Multi-Family_Standard Rebate_Steam Boiler_ &gt;=1500MBH, &gt;=82% TE_MF_2024</v>
      </c>
      <c r="D535" s="19" t="s">
        <v>1794</v>
      </c>
      <c r="E535" s="19" t="s">
        <v>2</v>
      </c>
      <c r="F535" s="19" t="s">
        <v>1422</v>
      </c>
      <c r="G535" s="19" t="s">
        <v>1418</v>
      </c>
      <c r="H535" s="19" t="s">
        <v>938</v>
      </c>
      <c r="I535" s="19" t="s">
        <v>939</v>
      </c>
      <c r="J535" s="19" t="s">
        <v>942</v>
      </c>
      <c r="K535" s="19" t="s">
        <v>553</v>
      </c>
      <c r="L535" s="19">
        <v>2024</v>
      </c>
      <c r="M535" s="20">
        <v>1500</v>
      </c>
      <c r="N535" s="19" t="s">
        <v>667</v>
      </c>
      <c r="O535" s="20">
        <v>8</v>
      </c>
      <c r="P535" s="20">
        <v>12000</v>
      </c>
      <c r="Q535" s="20">
        <v>8892.7384615384435</v>
      </c>
      <c r="R535" s="21">
        <v>0.87</v>
      </c>
      <c r="S535" s="20">
        <v>8892.7384615384435</v>
      </c>
    </row>
    <row r="536" spans="2:19" ht="15" customHeight="1" x14ac:dyDescent="0.25">
      <c r="B536" s="2" t="str">
        <f t="shared" si="16"/>
        <v>PGL_Residential_Multi-Family_Standard Rebate_Steam Boiler_ &gt;=1500MBH, &gt;=82% TE_MF</v>
      </c>
      <c r="C536" s="2" t="str">
        <f t="shared" si="17"/>
        <v>PGL_Residential_Multi-Family_Standard Rebate_Steam Boiler_ &gt;=1500MBH, &gt;=82% TE_MF_2025</v>
      </c>
      <c r="D536" s="19" t="s">
        <v>1794</v>
      </c>
      <c r="E536" s="19" t="s">
        <v>2</v>
      </c>
      <c r="F536" s="19" t="s">
        <v>1422</v>
      </c>
      <c r="G536" s="19" t="s">
        <v>1418</v>
      </c>
      <c r="H536" s="19" t="s">
        <v>938</v>
      </c>
      <c r="I536" s="19" t="s">
        <v>939</v>
      </c>
      <c r="J536" s="19" t="s">
        <v>942</v>
      </c>
      <c r="K536" s="19" t="s">
        <v>553</v>
      </c>
      <c r="L536" s="19">
        <v>2025</v>
      </c>
      <c r="M536" s="20">
        <v>1500</v>
      </c>
      <c r="N536" s="19" t="s">
        <v>667</v>
      </c>
      <c r="O536" s="20">
        <v>6</v>
      </c>
      <c r="P536" s="20">
        <v>9000</v>
      </c>
      <c r="Q536" s="20">
        <v>6669.5538461538335</v>
      </c>
      <c r="R536" s="21">
        <v>0.87</v>
      </c>
      <c r="S536" s="20">
        <v>6669.5538461538335</v>
      </c>
    </row>
    <row r="537" spans="2:19" ht="15" customHeight="1" x14ac:dyDescent="0.25">
      <c r="B537" s="2" t="str">
        <f t="shared" si="16"/>
        <v>PGL_Residential_Multi-Family_Standard Rebate_Steam Boiler_&gt;=300MBH, &lt;1,500, &gt;=81% AFUE_MF</v>
      </c>
      <c r="C537" s="2" t="str">
        <f t="shared" si="17"/>
        <v>PGL_Residential_Multi-Family_Standard Rebate_Steam Boiler_&gt;=300MBH, &lt;1,500, &gt;=81% AFUE_MF_2022</v>
      </c>
      <c r="D537" s="19" t="s">
        <v>1794</v>
      </c>
      <c r="E537" s="19" t="s">
        <v>2</v>
      </c>
      <c r="F537" s="19" t="s">
        <v>1422</v>
      </c>
      <c r="G537" s="19" t="s">
        <v>1418</v>
      </c>
      <c r="H537" s="19" t="s">
        <v>938</v>
      </c>
      <c r="I537" s="19" t="s">
        <v>1300</v>
      </c>
      <c r="J537" s="19" t="s">
        <v>942</v>
      </c>
      <c r="K537" s="19" t="s">
        <v>553</v>
      </c>
      <c r="L537" s="19">
        <v>2022</v>
      </c>
      <c r="M537" s="20">
        <v>500</v>
      </c>
      <c r="N537" s="19" t="s">
        <v>667</v>
      </c>
      <c r="O537" s="20">
        <v>4</v>
      </c>
      <c r="P537" s="20">
        <v>2000</v>
      </c>
      <c r="Q537" s="20">
        <v>1111.5923076923084</v>
      </c>
      <c r="R537" s="21">
        <v>0.87</v>
      </c>
      <c r="S537" s="20">
        <v>1111.5923076923084</v>
      </c>
    </row>
    <row r="538" spans="2:19" ht="15" customHeight="1" x14ac:dyDescent="0.25">
      <c r="B538" s="2" t="str">
        <f t="shared" si="16"/>
        <v>PGL_Residential_Multi-Family_Standard Rebate_Steam Boiler_&gt;=300MBH, &lt;1,500, &gt;=81% AFUE_MF</v>
      </c>
      <c r="C538" s="2" t="str">
        <f t="shared" si="17"/>
        <v>PGL_Residential_Multi-Family_Standard Rebate_Steam Boiler_&gt;=300MBH, &lt;1,500, &gt;=81% AFUE_MF_2023</v>
      </c>
      <c r="D538" s="19" t="s">
        <v>1794</v>
      </c>
      <c r="E538" s="19" t="s">
        <v>2</v>
      </c>
      <c r="F538" s="19" t="s">
        <v>1422</v>
      </c>
      <c r="G538" s="19" t="s">
        <v>1418</v>
      </c>
      <c r="H538" s="19" t="s">
        <v>938</v>
      </c>
      <c r="I538" s="19" t="s">
        <v>1300</v>
      </c>
      <c r="J538" s="19" t="s">
        <v>942</v>
      </c>
      <c r="K538" s="19" t="s">
        <v>553</v>
      </c>
      <c r="L538" s="19">
        <v>2023</v>
      </c>
      <c r="M538" s="20">
        <v>500</v>
      </c>
      <c r="N538" s="19" t="s">
        <v>667</v>
      </c>
      <c r="O538" s="20">
        <v>3</v>
      </c>
      <c r="P538" s="20">
        <v>1500</v>
      </c>
      <c r="Q538" s="20">
        <v>833.69423076923135</v>
      </c>
      <c r="R538" s="21">
        <v>0.87</v>
      </c>
      <c r="S538" s="20">
        <v>833.69423076923135</v>
      </c>
    </row>
    <row r="539" spans="2:19" ht="15" customHeight="1" x14ac:dyDescent="0.25">
      <c r="B539" s="2" t="str">
        <f t="shared" si="16"/>
        <v>PGL_Residential_Multi-Family_Standard Rebate_Steam Boiler_&gt;=300MBH, &lt;1,500, &gt;=81% AFUE_MF</v>
      </c>
      <c r="C539" s="2" t="str">
        <f t="shared" si="17"/>
        <v>PGL_Residential_Multi-Family_Standard Rebate_Steam Boiler_&gt;=300MBH, &lt;1,500, &gt;=81% AFUE_MF_2024</v>
      </c>
      <c r="D539" s="19" t="s">
        <v>1794</v>
      </c>
      <c r="E539" s="19" t="s">
        <v>2</v>
      </c>
      <c r="F539" s="19" t="s">
        <v>1422</v>
      </c>
      <c r="G539" s="19" t="s">
        <v>1418</v>
      </c>
      <c r="H539" s="19" t="s">
        <v>938</v>
      </c>
      <c r="I539" s="19" t="s">
        <v>1300</v>
      </c>
      <c r="J539" s="19" t="s">
        <v>942</v>
      </c>
      <c r="K539" s="19" t="s">
        <v>553</v>
      </c>
      <c r="L539" s="19">
        <v>2024</v>
      </c>
      <c r="M539" s="20">
        <v>500</v>
      </c>
      <c r="N539" s="19" t="s">
        <v>667</v>
      </c>
      <c r="O539" s="20">
        <v>3</v>
      </c>
      <c r="P539" s="20">
        <v>1500</v>
      </c>
      <c r="Q539" s="20">
        <v>833.69423076923135</v>
      </c>
      <c r="R539" s="21">
        <v>0.87</v>
      </c>
      <c r="S539" s="20">
        <v>833.69423076923135</v>
      </c>
    </row>
    <row r="540" spans="2:19" ht="15" customHeight="1" x14ac:dyDescent="0.25">
      <c r="B540" s="2" t="str">
        <f t="shared" si="16"/>
        <v>PGL_Residential_Multi-Family_Standard Rebate_Steam Boiler_&gt;=300MBH, &lt;1,500, &gt;=81% AFUE_MF</v>
      </c>
      <c r="C540" s="2" t="str">
        <f t="shared" si="17"/>
        <v>PGL_Residential_Multi-Family_Standard Rebate_Steam Boiler_&gt;=300MBH, &lt;1,500, &gt;=81% AFUE_MF_2025</v>
      </c>
      <c r="D540" s="19" t="s">
        <v>1794</v>
      </c>
      <c r="E540" s="19" t="s">
        <v>2</v>
      </c>
      <c r="F540" s="19" t="s">
        <v>1422</v>
      </c>
      <c r="G540" s="19" t="s">
        <v>1418</v>
      </c>
      <c r="H540" s="19" t="s">
        <v>938</v>
      </c>
      <c r="I540" s="19" t="s">
        <v>1300</v>
      </c>
      <c r="J540" s="19" t="s">
        <v>942</v>
      </c>
      <c r="K540" s="19" t="s">
        <v>553</v>
      </c>
      <c r="L540" s="19">
        <v>2025</v>
      </c>
      <c r="M540" s="20">
        <v>500</v>
      </c>
      <c r="N540" s="19" t="s">
        <v>667</v>
      </c>
      <c r="O540" s="20">
        <v>2</v>
      </c>
      <c r="P540" s="20">
        <v>1000</v>
      </c>
      <c r="Q540" s="20">
        <v>555.7961538461542</v>
      </c>
      <c r="R540" s="21">
        <v>0.87</v>
      </c>
      <c r="S540" s="20">
        <v>555.7961538461542</v>
      </c>
    </row>
    <row r="541" spans="2:19" ht="15" customHeight="1" x14ac:dyDescent="0.25">
      <c r="B541" s="2" t="str">
        <f t="shared" si="16"/>
        <v>PGL_Residential_Multi-Family_Standard Rebate_Steam Boiler Averaging Controls_0_MF</v>
      </c>
      <c r="C541" s="2" t="str">
        <f t="shared" si="17"/>
        <v>PGL_Residential_Multi-Family_Standard Rebate_Steam Boiler Averaging Controls_0_MF_2022</v>
      </c>
      <c r="D541" s="19" t="s">
        <v>1794</v>
      </c>
      <c r="E541" s="19" t="s">
        <v>2</v>
      </c>
      <c r="F541" s="19" t="s">
        <v>1422</v>
      </c>
      <c r="G541" s="19" t="s">
        <v>1418</v>
      </c>
      <c r="H541" s="19" t="s">
        <v>934</v>
      </c>
      <c r="I541" s="19">
        <v>0</v>
      </c>
      <c r="J541" s="19" t="s">
        <v>937</v>
      </c>
      <c r="K541" s="19" t="s">
        <v>553</v>
      </c>
      <c r="L541" s="19">
        <v>2022</v>
      </c>
      <c r="M541" s="20">
        <v>1</v>
      </c>
      <c r="N541" s="19" t="s">
        <v>1804</v>
      </c>
      <c r="O541" s="20">
        <v>950</v>
      </c>
      <c r="P541" s="20">
        <v>950</v>
      </c>
      <c r="Q541" s="20">
        <v>68640.824999999997</v>
      </c>
      <c r="R541" s="21">
        <v>0.87</v>
      </c>
      <c r="S541" s="20">
        <v>68640.824999999997</v>
      </c>
    </row>
    <row r="542" spans="2:19" ht="15" customHeight="1" x14ac:dyDescent="0.25">
      <c r="B542" s="2" t="str">
        <f t="shared" si="16"/>
        <v>PGL_Residential_Multi-Family_Standard Rebate_Steam Boiler Averaging Controls_0_MF</v>
      </c>
      <c r="C542" s="2" t="str">
        <f t="shared" si="17"/>
        <v>PGL_Residential_Multi-Family_Standard Rebate_Steam Boiler Averaging Controls_0_MF_2023</v>
      </c>
      <c r="D542" s="19" t="s">
        <v>1794</v>
      </c>
      <c r="E542" s="19" t="s">
        <v>2</v>
      </c>
      <c r="F542" s="19" t="s">
        <v>1422</v>
      </c>
      <c r="G542" s="19" t="s">
        <v>1418</v>
      </c>
      <c r="H542" s="19" t="s">
        <v>934</v>
      </c>
      <c r="I542" s="19">
        <v>0</v>
      </c>
      <c r="J542" s="19" t="s">
        <v>937</v>
      </c>
      <c r="K542" s="19" t="s">
        <v>553</v>
      </c>
      <c r="L542" s="19">
        <v>2023</v>
      </c>
      <c r="M542" s="20">
        <v>1</v>
      </c>
      <c r="N542" s="19" t="s">
        <v>1804</v>
      </c>
      <c r="O542" s="20">
        <v>850</v>
      </c>
      <c r="P542" s="20">
        <v>850</v>
      </c>
      <c r="Q542" s="20">
        <v>61415.474999999999</v>
      </c>
      <c r="R542" s="21">
        <v>0.87</v>
      </c>
      <c r="S542" s="20">
        <v>61415.474999999999</v>
      </c>
    </row>
    <row r="543" spans="2:19" ht="15" customHeight="1" x14ac:dyDescent="0.25">
      <c r="B543" s="2" t="str">
        <f t="shared" si="16"/>
        <v>PGL_Residential_Multi-Family_Standard Rebate_Steam Boiler Averaging Controls_0_MF</v>
      </c>
      <c r="C543" s="2" t="str">
        <f t="shared" si="17"/>
        <v>PGL_Residential_Multi-Family_Standard Rebate_Steam Boiler Averaging Controls_0_MF_2024</v>
      </c>
      <c r="D543" s="19" t="s">
        <v>1794</v>
      </c>
      <c r="E543" s="19" t="s">
        <v>2</v>
      </c>
      <c r="F543" s="19" t="s">
        <v>1422</v>
      </c>
      <c r="G543" s="19" t="s">
        <v>1418</v>
      </c>
      <c r="H543" s="19" t="s">
        <v>934</v>
      </c>
      <c r="I543" s="19">
        <v>0</v>
      </c>
      <c r="J543" s="19" t="s">
        <v>937</v>
      </c>
      <c r="K543" s="19" t="s">
        <v>553</v>
      </c>
      <c r="L543" s="19">
        <v>2024</v>
      </c>
      <c r="M543" s="20">
        <v>1</v>
      </c>
      <c r="N543" s="19" t="s">
        <v>1804</v>
      </c>
      <c r="O543" s="20">
        <v>750</v>
      </c>
      <c r="P543" s="20">
        <v>750</v>
      </c>
      <c r="Q543" s="20">
        <v>54190.125</v>
      </c>
      <c r="R543" s="21">
        <v>0.87</v>
      </c>
      <c r="S543" s="20">
        <v>54190.125</v>
      </c>
    </row>
    <row r="544" spans="2:19" ht="15" customHeight="1" x14ac:dyDescent="0.25">
      <c r="B544" s="2" t="str">
        <f t="shared" si="16"/>
        <v>PGL_Residential_Multi-Family_Standard Rebate_Steam Boiler Averaging Controls_0_MF</v>
      </c>
      <c r="C544" s="2" t="str">
        <f t="shared" si="17"/>
        <v>PGL_Residential_Multi-Family_Standard Rebate_Steam Boiler Averaging Controls_0_MF_2025</v>
      </c>
      <c r="D544" s="19" t="s">
        <v>1794</v>
      </c>
      <c r="E544" s="19" t="s">
        <v>2</v>
      </c>
      <c r="F544" s="19" t="s">
        <v>1422</v>
      </c>
      <c r="G544" s="19" t="s">
        <v>1418</v>
      </c>
      <c r="H544" s="19" t="s">
        <v>934</v>
      </c>
      <c r="I544" s="19">
        <v>0</v>
      </c>
      <c r="J544" s="19" t="s">
        <v>937</v>
      </c>
      <c r="K544" s="19" t="s">
        <v>553</v>
      </c>
      <c r="L544" s="19">
        <v>2025</v>
      </c>
      <c r="M544" s="20">
        <v>1</v>
      </c>
      <c r="N544" s="19" t="s">
        <v>1804</v>
      </c>
      <c r="O544" s="20">
        <v>550</v>
      </c>
      <c r="P544" s="20">
        <v>550</v>
      </c>
      <c r="Q544" s="20">
        <v>39739.425000000003</v>
      </c>
      <c r="R544" s="21">
        <v>0.87</v>
      </c>
      <c r="S544" s="20">
        <v>39739.425000000003</v>
      </c>
    </row>
    <row r="545" spans="2:19" ht="15" customHeight="1" x14ac:dyDescent="0.25">
      <c r="B545" s="2" t="str">
        <f t="shared" si="16"/>
        <v>PGL_Residential_Multi-Family_Standard Rebate_Steam Traps_HVAC Repair/Rep - Audit_MF</v>
      </c>
      <c r="C545" s="2" t="str">
        <f t="shared" si="17"/>
        <v>PGL_Residential_Multi-Family_Standard Rebate_Steam Traps_HVAC Repair/Rep - Audit_MF_2022</v>
      </c>
      <c r="D545" s="19" t="s">
        <v>1794</v>
      </c>
      <c r="E545" s="19" t="s">
        <v>2</v>
      </c>
      <c r="F545" s="19" t="s">
        <v>1422</v>
      </c>
      <c r="G545" s="19" t="s">
        <v>1418</v>
      </c>
      <c r="H545" s="19" t="s">
        <v>644</v>
      </c>
      <c r="I545" s="19" t="s">
        <v>645</v>
      </c>
      <c r="J545" s="19" t="s">
        <v>37</v>
      </c>
      <c r="K545" s="19" t="s">
        <v>553</v>
      </c>
      <c r="L545" s="19">
        <v>2022</v>
      </c>
      <c r="M545" s="20">
        <v>1</v>
      </c>
      <c r="N545" s="19" t="s">
        <v>1798</v>
      </c>
      <c r="O545" s="20">
        <v>95</v>
      </c>
      <c r="P545" s="20">
        <v>95</v>
      </c>
      <c r="Q545" s="20">
        <v>13076.25028793098</v>
      </c>
      <c r="R545" s="21">
        <v>0.87</v>
      </c>
      <c r="S545" s="20">
        <v>13076.25028793098</v>
      </c>
    </row>
    <row r="546" spans="2:19" ht="15" customHeight="1" x14ac:dyDescent="0.25">
      <c r="B546" s="2" t="str">
        <f t="shared" si="16"/>
        <v>PGL_Residential_Multi-Family_Standard Rebate_Steam Traps_HVAC Repair/Rep - Audit_MF</v>
      </c>
      <c r="C546" s="2" t="str">
        <f t="shared" si="17"/>
        <v>PGL_Residential_Multi-Family_Standard Rebate_Steam Traps_HVAC Repair/Rep - Audit_MF_2023</v>
      </c>
      <c r="D546" s="19" t="s">
        <v>1794</v>
      </c>
      <c r="E546" s="19" t="s">
        <v>2</v>
      </c>
      <c r="F546" s="19" t="s">
        <v>1422</v>
      </c>
      <c r="G546" s="19" t="s">
        <v>1418</v>
      </c>
      <c r="H546" s="19" t="s">
        <v>644</v>
      </c>
      <c r="I546" s="19" t="s">
        <v>645</v>
      </c>
      <c r="J546" s="19" t="s">
        <v>37</v>
      </c>
      <c r="K546" s="19" t="s">
        <v>553</v>
      </c>
      <c r="L546" s="19">
        <v>2023</v>
      </c>
      <c r="M546" s="20">
        <v>1</v>
      </c>
      <c r="N546" s="19" t="s">
        <v>1798</v>
      </c>
      <c r="O546" s="20">
        <v>85</v>
      </c>
      <c r="P546" s="20">
        <v>85</v>
      </c>
      <c r="Q546" s="20">
        <v>11699.802889201403</v>
      </c>
      <c r="R546" s="21">
        <v>0.87</v>
      </c>
      <c r="S546" s="20">
        <v>11699.802889201403</v>
      </c>
    </row>
    <row r="547" spans="2:19" ht="15" customHeight="1" x14ac:dyDescent="0.25">
      <c r="B547" s="2" t="str">
        <f t="shared" si="16"/>
        <v>PGL_Residential_Multi-Family_Standard Rebate_Steam Traps_HVAC Repair/Rep - Audit_MF</v>
      </c>
      <c r="C547" s="2" t="str">
        <f t="shared" si="17"/>
        <v>PGL_Residential_Multi-Family_Standard Rebate_Steam Traps_HVAC Repair/Rep - Audit_MF_2024</v>
      </c>
      <c r="D547" s="19" t="s">
        <v>1794</v>
      </c>
      <c r="E547" s="19" t="s">
        <v>2</v>
      </c>
      <c r="F547" s="19" t="s">
        <v>1422</v>
      </c>
      <c r="G547" s="19" t="s">
        <v>1418</v>
      </c>
      <c r="H547" s="19" t="s">
        <v>644</v>
      </c>
      <c r="I547" s="19" t="s">
        <v>645</v>
      </c>
      <c r="J547" s="19" t="s">
        <v>37</v>
      </c>
      <c r="K547" s="19" t="s">
        <v>553</v>
      </c>
      <c r="L547" s="19">
        <v>2024</v>
      </c>
      <c r="M547" s="20">
        <v>1</v>
      </c>
      <c r="N547" s="19" t="s">
        <v>1798</v>
      </c>
      <c r="O547" s="20">
        <v>75</v>
      </c>
      <c r="P547" s="20">
        <v>75</v>
      </c>
      <c r="Q547" s="20">
        <v>10323.355490471826</v>
      </c>
      <c r="R547" s="21">
        <v>0.87</v>
      </c>
      <c r="S547" s="20">
        <v>10323.355490471826</v>
      </c>
    </row>
    <row r="548" spans="2:19" ht="15" customHeight="1" x14ac:dyDescent="0.25">
      <c r="B548" s="2" t="str">
        <f t="shared" si="16"/>
        <v>PGL_Residential_Multi-Family_Standard Rebate_Steam Traps_HVAC Repair/Rep - Audit_MF</v>
      </c>
      <c r="C548" s="2" t="str">
        <f t="shared" si="17"/>
        <v>PGL_Residential_Multi-Family_Standard Rebate_Steam Traps_HVAC Repair/Rep - Audit_MF_2025</v>
      </c>
      <c r="D548" s="19" t="s">
        <v>1794</v>
      </c>
      <c r="E548" s="19" t="s">
        <v>2</v>
      </c>
      <c r="F548" s="19" t="s">
        <v>1422</v>
      </c>
      <c r="G548" s="19" t="s">
        <v>1418</v>
      </c>
      <c r="H548" s="19" t="s">
        <v>644</v>
      </c>
      <c r="I548" s="19" t="s">
        <v>645</v>
      </c>
      <c r="J548" s="19" t="s">
        <v>37</v>
      </c>
      <c r="K548" s="19" t="s">
        <v>553</v>
      </c>
      <c r="L548" s="19">
        <v>2025</v>
      </c>
      <c r="M548" s="20">
        <v>1</v>
      </c>
      <c r="N548" s="19" t="s">
        <v>1798</v>
      </c>
      <c r="O548" s="20">
        <v>55</v>
      </c>
      <c r="P548" s="20">
        <v>55</v>
      </c>
      <c r="Q548" s="20">
        <v>7570.460693012672</v>
      </c>
      <c r="R548" s="21">
        <v>0.87</v>
      </c>
      <c r="S548" s="20">
        <v>7570.460693012672</v>
      </c>
    </row>
    <row r="549" spans="2:19" ht="15" customHeight="1" x14ac:dyDescent="0.25">
      <c r="B549" s="2" t="str">
        <f t="shared" si="16"/>
        <v>PGL_Residential_Multi-Family_Standard Rebate_Steam Traps_HVAC Repair/Rep - No Audit_MF</v>
      </c>
      <c r="C549" s="2" t="str">
        <f t="shared" si="17"/>
        <v>PGL_Residential_Multi-Family_Standard Rebate_Steam Traps_HVAC Repair/Rep - No Audit_MF_2022</v>
      </c>
      <c r="D549" s="19" t="s">
        <v>1794</v>
      </c>
      <c r="E549" s="19" t="s">
        <v>2</v>
      </c>
      <c r="F549" s="19" t="s">
        <v>1422</v>
      </c>
      <c r="G549" s="19" t="s">
        <v>1418</v>
      </c>
      <c r="H549" s="19" t="s">
        <v>644</v>
      </c>
      <c r="I549" s="19" t="s">
        <v>660</v>
      </c>
      <c r="J549" s="19" t="s">
        <v>37</v>
      </c>
      <c r="K549" s="19" t="s">
        <v>553</v>
      </c>
      <c r="L549" s="19">
        <v>2022</v>
      </c>
      <c r="M549" s="20">
        <v>1</v>
      </c>
      <c r="N549" s="19" t="s">
        <v>1798</v>
      </c>
      <c r="O549" s="20">
        <v>95</v>
      </c>
      <c r="P549" s="20">
        <v>95</v>
      </c>
      <c r="Q549" s="20">
        <v>3530.5875777413648</v>
      </c>
      <c r="R549" s="21">
        <v>0.87</v>
      </c>
      <c r="S549" s="20">
        <v>3530.5875777413648</v>
      </c>
    </row>
    <row r="550" spans="2:19" ht="15" customHeight="1" x14ac:dyDescent="0.25">
      <c r="B550" s="2" t="str">
        <f t="shared" si="16"/>
        <v>PGL_Residential_Multi-Family_Standard Rebate_Steam Traps_HVAC Repair/Rep - No Audit_MF</v>
      </c>
      <c r="C550" s="2" t="str">
        <f t="shared" si="17"/>
        <v>PGL_Residential_Multi-Family_Standard Rebate_Steam Traps_HVAC Repair/Rep - No Audit_MF_2023</v>
      </c>
      <c r="D550" s="19" t="s">
        <v>1794</v>
      </c>
      <c r="E550" s="19" t="s">
        <v>2</v>
      </c>
      <c r="F550" s="19" t="s">
        <v>1422</v>
      </c>
      <c r="G550" s="19" t="s">
        <v>1418</v>
      </c>
      <c r="H550" s="19" t="s">
        <v>644</v>
      </c>
      <c r="I550" s="19" t="s">
        <v>660</v>
      </c>
      <c r="J550" s="19" t="s">
        <v>37</v>
      </c>
      <c r="K550" s="19" t="s">
        <v>553</v>
      </c>
      <c r="L550" s="19">
        <v>2023</v>
      </c>
      <c r="M550" s="20">
        <v>1</v>
      </c>
      <c r="N550" s="19" t="s">
        <v>1798</v>
      </c>
      <c r="O550" s="20">
        <v>85</v>
      </c>
      <c r="P550" s="20">
        <v>85</v>
      </c>
      <c r="Q550" s="20">
        <v>3158.946780084379</v>
      </c>
      <c r="R550" s="21">
        <v>0.87</v>
      </c>
      <c r="S550" s="20">
        <v>3158.946780084379</v>
      </c>
    </row>
    <row r="551" spans="2:19" ht="15" customHeight="1" x14ac:dyDescent="0.25">
      <c r="B551" s="2" t="str">
        <f t="shared" si="16"/>
        <v>PGL_Residential_Multi-Family_Standard Rebate_Steam Traps_HVAC Repair/Rep - No Audit_MF</v>
      </c>
      <c r="C551" s="2" t="str">
        <f t="shared" si="17"/>
        <v>PGL_Residential_Multi-Family_Standard Rebate_Steam Traps_HVAC Repair/Rep - No Audit_MF_2024</v>
      </c>
      <c r="D551" s="19" t="s">
        <v>1794</v>
      </c>
      <c r="E551" s="19" t="s">
        <v>2</v>
      </c>
      <c r="F551" s="19" t="s">
        <v>1422</v>
      </c>
      <c r="G551" s="19" t="s">
        <v>1418</v>
      </c>
      <c r="H551" s="19" t="s">
        <v>644</v>
      </c>
      <c r="I551" s="19" t="s">
        <v>660</v>
      </c>
      <c r="J551" s="19" t="s">
        <v>37</v>
      </c>
      <c r="K551" s="19" t="s">
        <v>553</v>
      </c>
      <c r="L551" s="19">
        <v>2024</v>
      </c>
      <c r="M551" s="20">
        <v>1</v>
      </c>
      <c r="N551" s="19" t="s">
        <v>1798</v>
      </c>
      <c r="O551" s="20">
        <v>75</v>
      </c>
      <c r="P551" s="20">
        <v>75</v>
      </c>
      <c r="Q551" s="20">
        <v>2787.3059824273932</v>
      </c>
      <c r="R551" s="21">
        <v>0.87</v>
      </c>
      <c r="S551" s="20">
        <v>2787.3059824273932</v>
      </c>
    </row>
    <row r="552" spans="2:19" ht="15" customHeight="1" x14ac:dyDescent="0.25">
      <c r="B552" s="2" t="str">
        <f t="shared" si="16"/>
        <v>PGL_Residential_Multi-Family_Standard Rebate_Steam Traps_HVAC Repair/Rep - No Audit_MF</v>
      </c>
      <c r="C552" s="2" t="str">
        <f t="shared" si="17"/>
        <v>PGL_Residential_Multi-Family_Standard Rebate_Steam Traps_HVAC Repair/Rep - No Audit_MF_2025</v>
      </c>
      <c r="D552" s="19" t="s">
        <v>1794</v>
      </c>
      <c r="E552" s="19" t="s">
        <v>2</v>
      </c>
      <c r="F552" s="19" t="s">
        <v>1422</v>
      </c>
      <c r="G552" s="19" t="s">
        <v>1418</v>
      </c>
      <c r="H552" s="19" t="s">
        <v>644</v>
      </c>
      <c r="I552" s="19" t="s">
        <v>660</v>
      </c>
      <c r="J552" s="19" t="s">
        <v>37</v>
      </c>
      <c r="K552" s="19" t="s">
        <v>553</v>
      </c>
      <c r="L552" s="19">
        <v>2025</v>
      </c>
      <c r="M552" s="20">
        <v>1</v>
      </c>
      <c r="N552" s="19" t="s">
        <v>1798</v>
      </c>
      <c r="O552" s="20">
        <v>55</v>
      </c>
      <c r="P552" s="20">
        <v>55</v>
      </c>
      <c r="Q552" s="20">
        <v>2044.0243871134217</v>
      </c>
      <c r="R552" s="21">
        <v>0.87</v>
      </c>
      <c r="S552" s="20">
        <v>2044.0243871134217</v>
      </c>
    </row>
    <row r="553" spans="2:19" ht="15" customHeight="1" x14ac:dyDescent="0.25">
      <c r="B553" s="2" t="str">
        <f t="shared" si="16"/>
        <v>PGL_Residential_Multi-Family_Standard Rebate_Steam Traps_Industrial/Process Audit - psig ≤ 15_MF</v>
      </c>
      <c r="C553" s="2" t="str">
        <f t="shared" si="17"/>
        <v>PGL_Residential_Multi-Family_Standard Rebate_Steam Traps_Industrial/Process Audit - psig ≤ 15_MF_2022</v>
      </c>
      <c r="D553" s="19" t="s">
        <v>1794</v>
      </c>
      <c r="E553" s="19" t="s">
        <v>2</v>
      </c>
      <c r="F553" s="19" t="s">
        <v>1422</v>
      </c>
      <c r="G553" s="19" t="s">
        <v>1418</v>
      </c>
      <c r="H553" s="19" t="s">
        <v>644</v>
      </c>
      <c r="I553" s="19" t="s">
        <v>1383</v>
      </c>
      <c r="J553" s="19" t="s">
        <v>37</v>
      </c>
      <c r="K553" s="19" t="s">
        <v>553</v>
      </c>
      <c r="L553" s="19">
        <v>2022</v>
      </c>
      <c r="M553" s="20">
        <v>1</v>
      </c>
      <c r="N553" s="19" t="s">
        <v>1798</v>
      </c>
      <c r="O553" s="20">
        <v>0</v>
      </c>
      <c r="P553" s="20">
        <v>0</v>
      </c>
      <c r="Q553" s="20">
        <v>0</v>
      </c>
      <c r="R553" s="21">
        <v>0.87</v>
      </c>
      <c r="S553" s="20">
        <v>0</v>
      </c>
    </row>
    <row r="554" spans="2:19" ht="15" customHeight="1" x14ac:dyDescent="0.25">
      <c r="B554" s="2" t="str">
        <f t="shared" si="16"/>
        <v>PGL_Residential_Multi-Family_Standard Rebate_Steam Traps_Industrial/Process Audit - psig ≤ 15_MF</v>
      </c>
      <c r="C554" s="2" t="str">
        <f t="shared" si="17"/>
        <v>PGL_Residential_Multi-Family_Standard Rebate_Steam Traps_Industrial/Process Audit - psig ≤ 15_MF_2023</v>
      </c>
      <c r="D554" s="19" t="s">
        <v>1794</v>
      </c>
      <c r="E554" s="19" t="s">
        <v>2</v>
      </c>
      <c r="F554" s="19" t="s">
        <v>1422</v>
      </c>
      <c r="G554" s="19" t="s">
        <v>1418</v>
      </c>
      <c r="H554" s="19" t="s">
        <v>644</v>
      </c>
      <c r="I554" s="19" t="s">
        <v>1383</v>
      </c>
      <c r="J554" s="19" t="s">
        <v>37</v>
      </c>
      <c r="K554" s="19" t="s">
        <v>553</v>
      </c>
      <c r="L554" s="19">
        <v>2023</v>
      </c>
      <c r="M554" s="20">
        <v>1</v>
      </c>
      <c r="N554" s="19" t="s">
        <v>1798</v>
      </c>
      <c r="O554" s="20">
        <v>0</v>
      </c>
      <c r="P554" s="20">
        <v>0</v>
      </c>
      <c r="Q554" s="20">
        <v>0</v>
      </c>
      <c r="R554" s="21">
        <v>0.87</v>
      </c>
      <c r="S554" s="20">
        <v>0</v>
      </c>
    </row>
    <row r="555" spans="2:19" ht="15" customHeight="1" x14ac:dyDescent="0.25">
      <c r="B555" s="2" t="str">
        <f t="shared" si="16"/>
        <v>PGL_Residential_Multi-Family_Standard Rebate_Steam Traps_Industrial/Process Audit - psig ≤ 15_MF</v>
      </c>
      <c r="C555" s="2" t="str">
        <f t="shared" si="17"/>
        <v>PGL_Residential_Multi-Family_Standard Rebate_Steam Traps_Industrial/Process Audit - psig ≤ 15_MF_2024</v>
      </c>
      <c r="D555" s="19" t="s">
        <v>1794</v>
      </c>
      <c r="E555" s="19" t="s">
        <v>2</v>
      </c>
      <c r="F555" s="19" t="s">
        <v>1422</v>
      </c>
      <c r="G555" s="19" t="s">
        <v>1418</v>
      </c>
      <c r="H555" s="19" t="s">
        <v>644</v>
      </c>
      <c r="I555" s="19" t="s">
        <v>1383</v>
      </c>
      <c r="J555" s="19" t="s">
        <v>37</v>
      </c>
      <c r="K555" s="19" t="s">
        <v>553</v>
      </c>
      <c r="L555" s="19">
        <v>2024</v>
      </c>
      <c r="M555" s="20">
        <v>1</v>
      </c>
      <c r="N555" s="19" t="s">
        <v>1798</v>
      </c>
      <c r="O555" s="20">
        <v>0</v>
      </c>
      <c r="P555" s="20">
        <v>0</v>
      </c>
      <c r="Q555" s="20">
        <v>0</v>
      </c>
      <c r="R555" s="21">
        <v>0.87</v>
      </c>
      <c r="S555" s="20">
        <v>0</v>
      </c>
    </row>
    <row r="556" spans="2:19" ht="15" customHeight="1" x14ac:dyDescent="0.25">
      <c r="B556" s="2" t="str">
        <f t="shared" si="16"/>
        <v>PGL_Residential_Multi-Family_Standard Rebate_Steam Traps_Industrial/Process Audit - psig ≤ 15_MF</v>
      </c>
      <c r="C556" s="2" t="str">
        <f t="shared" si="17"/>
        <v>PGL_Residential_Multi-Family_Standard Rebate_Steam Traps_Industrial/Process Audit - psig ≤ 15_MF_2025</v>
      </c>
      <c r="D556" s="19" t="s">
        <v>1794</v>
      </c>
      <c r="E556" s="19" t="s">
        <v>2</v>
      </c>
      <c r="F556" s="19" t="s">
        <v>1422</v>
      </c>
      <c r="G556" s="19" t="s">
        <v>1418</v>
      </c>
      <c r="H556" s="19" t="s">
        <v>644</v>
      </c>
      <c r="I556" s="19" t="s">
        <v>1383</v>
      </c>
      <c r="J556" s="19" t="s">
        <v>37</v>
      </c>
      <c r="K556" s="19" t="s">
        <v>553</v>
      </c>
      <c r="L556" s="19">
        <v>2025</v>
      </c>
      <c r="M556" s="20">
        <v>1</v>
      </c>
      <c r="N556" s="19" t="s">
        <v>1798</v>
      </c>
      <c r="O556" s="20">
        <v>0</v>
      </c>
      <c r="P556" s="20">
        <v>0</v>
      </c>
      <c r="Q556" s="20">
        <v>0</v>
      </c>
      <c r="R556" s="21">
        <v>0.87</v>
      </c>
      <c r="S556" s="20">
        <v>0</v>
      </c>
    </row>
    <row r="557" spans="2:19" ht="15" customHeight="1" x14ac:dyDescent="0.25">
      <c r="B557" s="2" t="str">
        <f t="shared" si="16"/>
        <v>PGL_Residential_Multi-Family_Standard Rebate_Steam Traps_Industrial/Process Audit - 15 &lt; psig &lt; 30_MF</v>
      </c>
      <c r="C557" s="2" t="str">
        <f t="shared" si="17"/>
        <v>PGL_Residential_Multi-Family_Standard Rebate_Steam Traps_Industrial/Process Audit - 15 &lt; psig &lt; 30_MF_2022</v>
      </c>
      <c r="D557" s="19" t="s">
        <v>1794</v>
      </c>
      <c r="E557" s="19" t="s">
        <v>2</v>
      </c>
      <c r="F557" s="19" t="s">
        <v>1422</v>
      </c>
      <c r="G557" s="19" t="s">
        <v>1418</v>
      </c>
      <c r="H557" s="19" t="s">
        <v>644</v>
      </c>
      <c r="I557" s="19" t="s">
        <v>1384</v>
      </c>
      <c r="J557" s="19" t="s">
        <v>37</v>
      </c>
      <c r="K557" s="19" t="s">
        <v>553</v>
      </c>
      <c r="L557" s="19">
        <v>2022</v>
      </c>
      <c r="M557" s="20">
        <v>1</v>
      </c>
      <c r="N557" s="19" t="s">
        <v>1798</v>
      </c>
      <c r="O557" s="20">
        <v>0</v>
      </c>
      <c r="P557" s="20">
        <v>0</v>
      </c>
      <c r="Q557" s="20">
        <v>0</v>
      </c>
      <c r="R557" s="21">
        <v>0.87</v>
      </c>
      <c r="S557" s="20">
        <v>0</v>
      </c>
    </row>
    <row r="558" spans="2:19" ht="15" customHeight="1" x14ac:dyDescent="0.25">
      <c r="B558" s="2" t="str">
        <f t="shared" si="16"/>
        <v>PGL_Residential_Multi-Family_Standard Rebate_Steam Traps_Industrial/Process Audit - 15 &lt; psig &lt; 30_MF</v>
      </c>
      <c r="C558" s="2" t="str">
        <f t="shared" si="17"/>
        <v>PGL_Residential_Multi-Family_Standard Rebate_Steam Traps_Industrial/Process Audit - 15 &lt; psig &lt; 30_MF_2023</v>
      </c>
      <c r="D558" s="19" t="s">
        <v>1794</v>
      </c>
      <c r="E558" s="19" t="s">
        <v>2</v>
      </c>
      <c r="F558" s="19" t="s">
        <v>1422</v>
      </c>
      <c r="G558" s="19" t="s">
        <v>1418</v>
      </c>
      <c r="H558" s="19" t="s">
        <v>644</v>
      </c>
      <c r="I558" s="19" t="s">
        <v>1384</v>
      </c>
      <c r="J558" s="19" t="s">
        <v>37</v>
      </c>
      <c r="K558" s="19" t="s">
        <v>553</v>
      </c>
      <c r="L558" s="19">
        <v>2023</v>
      </c>
      <c r="M558" s="20">
        <v>1</v>
      </c>
      <c r="N558" s="19" t="s">
        <v>1798</v>
      </c>
      <c r="O558" s="20">
        <v>0</v>
      </c>
      <c r="P558" s="20">
        <v>0</v>
      </c>
      <c r="Q558" s="20">
        <v>0</v>
      </c>
      <c r="R558" s="21">
        <v>0.87</v>
      </c>
      <c r="S558" s="20">
        <v>0</v>
      </c>
    </row>
    <row r="559" spans="2:19" ht="15" customHeight="1" x14ac:dyDescent="0.25">
      <c r="B559" s="2" t="str">
        <f t="shared" si="16"/>
        <v>PGL_Residential_Multi-Family_Standard Rebate_Steam Traps_Industrial/Process Audit - 15 &lt; psig &lt; 30_MF</v>
      </c>
      <c r="C559" s="2" t="str">
        <f t="shared" si="17"/>
        <v>PGL_Residential_Multi-Family_Standard Rebate_Steam Traps_Industrial/Process Audit - 15 &lt; psig &lt; 30_MF_2024</v>
      </c>
      <c r="D559" s="19" t="s">
        <v>1794</v>
      </c>
      <c r="E559" s="19" t="s">
        <v>2</v>
      </c>
      <c r="F559" s="19" t="s">
        <v>1422</v>
      </c>
      <c r="G559" s="19" t="s">
        <v>1418</v>
      </c>
      <c r="H559" s="19" t="s">
        <v>644</v>
      </c>
      <c r="I559" s="19" t="s">
        <v>1384</v>
      </c>
      <c r="J559" s="19" t="s">
        <v>37</v>
      </c>
      <c r="K559" s="19" t="s">
        <v>553</v>
      </c>
      <c r="L559" s="19">
        <v>2024</v>
      </c>
      <c r="M559" s="20">
        <v>1</v>
      </c>
      <c r="N559" s="19" t="s">
        <v>1798</v>
      </c>
      <c r="O559" s="20">
        <v>0</v>
      </c>
      <c r="P559" s="20">
        <v>0</v>
      </c>
      <c r="Q559" s="20">
        <v>0</v>
      </c>
      <c r="R559" s="21">
        <v>0.87</v>
      </c>
      <c r="S559" s="20">
        <v>0</v>
      </c>
    </row>
    <row r="560" spans="2:19" ht="15" customHeight="1" x14ac:dyDescent="0.25">
      <c r="B560" s="2" t="str">
        <f t="shared" si="16"/>
        <v>PGL_Residential_Multi-Family_Standard Rebate_Steam Traps_Industrial/Process Audit - 15 &lt; psig &lt; 30_MF</v>
      </c>
      <c r="C560" s="2" t="str">
        <f t="shared" si="17"/>
        <v>PGL_Residential_Multi-Family_Standard Rebate_Steam Traps_Industrial/Process Audit - 15 &lt; psig &lt; 30_MF_2025</v>
      </c>
      <c r="D560" s="19" t="s">
        <v>1794</v>
      </c>
      <c r="E560" s="19" t="s">
        <v>2</v>
      </c>
      <c r="F560" s="19" t="s">
        <v>1422</v>
      </c>
      <c r="G560" s="19" t="s">
        <v>1418</v>
      </c>
      <c r="H560" s="19" t="s">
        <v>644</v>
      </c>
      <c r="I560" s="19" t="s">
        <v>1384</v>
      </c>
      <c r="J560" s="19" t="s">
        <v>37</v>
      </c>
      <c r="K560" s="19" t="s">
        <v>553</v>
      </c>
      <c r="L560" s="19">
        <v>2025</v>
      </c>
      <c r="M560" s="20">
        <v>1</v>
      </c>
      <c r="N560" s="19" t="s">
        <v>1798</v>
      </c>
      <c r="O560" s="20">
        <v>0</v>
      </c>
      <c r="P560" s="20">
        <v>0</v>
      </c>
      <c r="Q560" s="20">
        <v>0</v>
      </c>
      <c r="R560" s="21">
        <v>0.87</v>
      </c>
      <c r="S560" s="20">
        <v>0</v>
      </c>
    </row>
    <row r="561" spans="2:19" ht="15" customHeight="1" x14ac:dyDescent="0.25">
      <c r="B561" s="2" t="str">
        <f t="shared" si="16"/>
        <v>PGL_Residential_Multi-Family_Standard Rebate_Steam Traps_Industrial/Process Audit - 30 ≤ psig &lt; 75_MF</v>
      </c>
      <c r="C561" s="2" t="str">
        <f t="shared" si="17"/>
        <v>PGL_Residential_Multi-Family_Standard Rebate_Steam Traps_Industrial/Process Audit - 30 ≤ psig &lt; 75_MF_2022</v>
      </c>
      <c r="D561" s="19" t="s">
        <v>1794</v>
      </c>
      <c r="E561" s="19" t="s">
        <v>2</v>
      </c>
      <c r="F561" s="19" t="s">
        <v>1422</v>
      </c>
      <c r="G561" s="19" t="s">
        <v>1418</v>
      </c>
      <c r="H561" s="19" t="s">
        <v>644</v>
      </c>
      <c r="I561" s="19" t="s">
        <v>1385</v>
      </c>
      <c r="J561" s="19" t="s">
        <v>37</v>
      </c>
      <c r="K561" s="19" t="s">
        <v>553</v>
      </c>
      <c r="L561" s="19">
        <v>2022</v>
      </c>
      <c r="M561" s="20">
        <v>1</v>
      </c>
      <c r="N561" s="19" t="s">
        <v>1798</v>
      </c>
      <c r="O561" s="20">
        <v>0</v>
      </c>
      <c r="P561" s="20">
        <v>0</v>
      </c>
      <c r="Q561" s="20">
        <v>0</v>
      </c>
      <c r="R561" s="21">
        <v>0.87</v>
      </c>
      <c r="S561" s="20">
        <v>0</v>
      </c>
    </row>
    <row r="562" spans="2:19" ht="15" customHeight="1" x14ac:dyDescent="0.25">
      <c r="B562" s="2" t="str">
        <f t="shared" si="16"/>
        <v>PGL_Residential_Multi-Family_Standard Rebate_Steam Traps_Industrial/Process Audit - 30 ≤ psig &lt; 75_MF</v>
      </c>
      <c r="C562" s="2" t="str">
        <f t="shared" si="17"/>
        <v>PGL_Residential_Multi-Family_Standard Rebate_Steam Traps_Industrial/Process Audit - 30 ≤ psig &lt; 75_MF_2023</v>
      </c>
      <c r="D562" s="19" t="s">
        <v>1794</v>
      </c>
      <c r="E562" s="19" t="s">
        <v>2</v>
      </c>
      <c r="F562" s="19" t="s">
        <v>1422</v>
      </c>
      <c r="G562" s="19" t="s">
        <v>1418</v>
      </c>
      <c r="H562" s="19" t="s">
        <v>644</v>
      </c>
      <c r="I562" s="19" t="s">
        <v>1385</v>
      </c>
      <c r="J562" s="19" t="s">
        <v>37</v>
      </c>
      <c r="K562" s="19" t="s">
        <v>553</v>
      </c>
      <c r="L562" s="19">
        <v>2023</v>
      </c>
      <c r="M562" s="20">
        <v>1</v>
      </c>
      <c r="N562" s="19" t="s">
        <v>1798</v>
      </c>
      <c r="O562" s="20">
        <v>0</v>
      </c>
      <c r="P562" s="20">
        <v>0</v>
      </c>
      <c r="Q562" s="20">
        <v>0</v>
      </c>
      <c r="R562" s="21">
        <v>0.87</v>
      </c>
      <c r="S562" s="20">
        <v>0</v>
      </c>
    </row>
    <row r="563" spans="2:19" ht="15" customHeight="1" x14ac:dyDescent="0.25">
      <c r="B563" s="2" t="str">
        <f t="shared" si="16"/>
        <v>PGL_Residential_Multi-Family_Standard Rebate_Steam Traps_Industrial/Process Audit - 30 ≤ psig &lt; 75_MF</v>
      </c>
      <c r="C563" s="2" t="str">
        <f t="shared" si="17"/>
        <v>PGL_Residential_Multi-Family_Standard Rebate_Steam Traps_Industrial/Process Audit - 30 ≤ psig &lt; 75_MF_2024</v>
      </c>
      <c r="D563" s="19" t="s">
        <v>1794</v>
      </c>
      <c r="E563" s="19" t="s">
        <v>2</v>
      </c>
      <c r="F563" s="19" t="s">
        <v>1422</v>
      </c>
      <c r="G563" s="19" t="s">
        <v>1418</v>
      </c>
      <c r="H563" s="19" t="s">
        <v>644</v>
      </c>
      <c r="I563" s="19" t="s">
        <v>1385</v>
      </c>
      <c r="J563" s="19" t="s">
        <v>37</v>
      </c>
      <c r="K563" s="19" t="s">
        <v>553</v>
      </c>
      <c r="L563" s="19">
        <v>2024</v>
      </c>
      <c r="M563" s="20">
        <v>1</v>
      </c>
      <c r="N563" s="19" t="s">
        <v>1798</v>
      </c>
      <c r="O563" s="20">
        <v>0</v>
      </c>
      <c r="P563" s="20">
        <v>0</v>
      </c>
      <c r="Q563" s="20">
        <v>0</v>
      </c>
      <c r="R563" s="21">
        <v>0.87</v>
      </c>
      <c r="S563" s="20">
        <v>0</v>
      </c>
    </row>
    <row r="564" spans="2:19" ht="15" customHeight="1" x14ac:dyDescent="0.25">
      <c r="B564" s="2" t="str">
        <f t="shared" si="16"/>
        <v>PGL_Residential_Multi-Family_Standard Rebate_Steam Traps_Industrial/Process Audit - 30 ≤ psig &lt; 75_MF</v>
      </c>
      <c r="C564" s="2" t="str">
        <f t="shared" si="17"/>
        <v>PGL_Residential_Multi-Family_Standard Rebate_Steam Traps_Industrial/Process Audit - 30 ≤ psig &lt; 75_MF_2025</v>
      </c>
      <c r="D564" s="19" t="s">
        <v>1794</v>
      </c>
      <c r="E564" s="19" t="s">
        <v>2</v>
      </c>
      <c r="F564" s="19" t="s">
        <v>1422</v>
      </c>
      <c r="G564" s="19" t="s">
        <v>1418</v>
      </c>
      <c r="H564" s="19" t="s">
        <v>644</v>
      </c>
      <c r="I564" s="19" t="s">
        <v>1385</v>
      </c>
      <c r="J564" s="19" t="s">
        <v>37</v>
      </c>
      <c r="K564" s="19" t="s">
        <v>553</v>
      </c>
      <c r="L564" s="19">
        <v>2025</v>
      </c>
      <c r="M564" s="20">
        <v>1</v>
      </c>
      <c r="N564" s="19" t="s">
        <v>1798</v>
      </c>
      <c r="O564" s="20">
        <v>0</v>
      </c>
      <c r="P564" s="20">
        <v>0</v>
      </c>
      <c r="Q564" s="20">
        <v>0</v>
      </c>
      <c r="R564" s="21">
        <v>0.87</v>
      </c>
      <c r="S564" s="20">
        <v>0</v>
      </c>
    </row>
    <row r="565" spans="2:19" ht="15" customHeight="1" x14ac:dyDescent="0.25">
      <c r="B565" s="2" t="str">
        <f t="shared" si="16"/>
        <v>PGL_Residential_Multi-Family_Standard Rebate_Steam Traps_Industrial/Process Audit - 75 ≤ psig &lt; 125_MF</v>
      </c>
      <c r="C565" s="2" t="str">
        <f t="shared" si="17"/>
        <v>PGL_Residential_Multi-Family_Standard Rebate_Steam Traps_Industrial/Process Audit - 75 ≤ psig &lt; 125_MF_2022</v>
      </c>
      <c r="D565" s="19" t="s">
        <v>1794</v>
      </c>
      <c r="E565" s="19" t="s">
        <v>2</v>
      </c>
      <c r="F565" s="19" t="s">
        <v>1422</v>
      </c>
      <c r="G565" s="19" t="s">
        <v>1418</v>
      </c>
      <c r="H565" s="19" t="s">
        <v>644</v>
      </c>
      <c r="I565" s="19" t="s">
        <v>1386</v>
      </c>
      <c r="J565" s="19" t="s">
        <v>37</v>
      </c>
      <c r="K565" s="19" t="s">
        <v>553</v>
      </c>
      <c r="L565" s="19">
        <v>2022</v>
      </c>
      <c r="M565" s="20">
        <v>1</v>
      </c>
      <c r="N565" s="19" t="s">
        <v>1798</v>
      </c>
      <c r="O565" s="20">
        <v>0</v>
      </c>
      <c r="P565" s="20">
        <v>0</v>
      </c>
      <c r="Q565" s="20">
        <v>0</v>
      </c>
      <c r="R565" s="21">
        <v>0.87</v>
      </c>
      <c r="S565" s="20">
        <v>0</v>
      </c>
    </row>
    <row r="566" spans="2:19" ht="15" customHeight="1" x14ac:dyDescent="0.25">
      <c r="B566" s="2" t="str">
        <f t="shared" si="16"/>
        <v>PGL_Residential_Multi-Family_Standard Rebate_Steam Traps_Industrial/Process Audit - 75 ≤ psig &lt; 125_MF</v>
      </c>
      <c r="C566" s="2" t="str">
        <f t="shared" si="17"/>
        <v>PGL_Residential_Multi-Family_Standard Rebate_Steam Traps_Industrial/Process Audit - 75 ≤ psig &lt; 125_MF_2023</v>
      </c>
      <c r="D566" s="19" t="s">
        <v>1794</v>
      </c>
      <c r="E566" s="19" t="s">
        <v>2</v>
      </c>
      <c r="F566" s="19" t="s">
        <v>1422</v>
      </c>
      <c r="G566" s="19" t="s">
        <v>1418</v>
      </c>
      <c r="H566" s="19" t="s">
        <v>644</v>
      </c>
      <c r="I566" s="19" t="s">
        <v>1386</v>
      </c>
      <c r="J566" s="19" t="s">
        <v>37</v>
      </c>
      <c r="K566" s="19" t="s">
        <v>553</v>
      </c>
      <c r="L566" s="19">
        <v>2023</v>
      </c>
      <c r="M566" s="20">
        <v>1</v>
      </c>
      <c r="N566" s="19" t="s">
        <v>1798</v>
      </c>
      <c r="O566" s="20">
        <v>0</v>
      </c>
      <c r="P566" s="20">
        <v>0</v>
      </c>
      <c r="Q566" s="20">
        <v>0</v>
      </c>
      <c r="R566" s="21">
        <v>0.87</v>
      </c>
      <c r="S566" s="20">
        <v>0</v>
      </c>
    </row>
    <row r="567" spans="2:19" ht="15" customHeight="1" x14ac:dyDescent="0.25">
      <c r="B567" s="2" t="str">
        <f t="shared" si="16"/>
        <v>PGL_Residential_Multi-Family_Standard Rebate_Steam Traps_Industrial/Process Audit - 75 ≤ psig &lt; 125_MF</v>
      </c>
      <c r="C567" s="2" t="str">
        <f t="shared" si="17"/>
        <v>PGL_Residential_Multi-Family_Standard Rebate_Steam Traps_Industrial/Process Audit - 75 ≤ psig &lt; 125_MF_2024</v>
      </c>
      <c r="D567" s="19" t="s">
        <v>1794</v>
      </c>
      <c r="E567" s="19" t="s">
        <v>2</v>
      </c>
      <c r="F567" s="19" t="s">
        <v>1422</v>
      </c>
      <c r="G567" s="19" t="s">
        <v>1418</v>
      </c>
      <c r="H567" s="19" t="s">
        <v>644</v>
      </c>
      <c r="I567" s="19" t="s">
        <v>1386</v>
      </c>
      <c r="J567" s="19" t="s">
        <v>37</v>
      </c>
      <c r="K567" s="19" t="s">
        <v>553</v>
      </c>
      <c r="L567" s="19">
        <v>2024</v>
      </c>
      <c r="M567" s="20">
        <v>1</v>
      </c>
      <c r="N567" s="19" t="s">
        <v>1798</v>
      </c>
      <c r="O567" s="20">
        <v>0</v>
      </c>
      <c r="P567" s="20">
        <v>0</v>
      </c>
      <c r="Q567" s="20">
        <v>0</v>
      </c>
      <c r="R567" s="21">
        <v>0.87</v>
      </c>
      <c r="S567" s="20">
        <v>0</v>
      </c>
    </row>
    <row r="568" spans="2:19" ht="15" customHeight="1" x14ac:dyDescent="0.25">
      <c r="B568" s="2" t="str">
        <f t="shared" si="16"/>
        <v>PGL_Residential_Multi-Family_Standard Rebate_Steam Traps_Industrial/Process Audit - 75 ≤ psig &lt; 125_MF</v>
      </c>
      <c r="C568" s="2" t="str">
        <f t="shared" si="17"/>
        <v>PGL_Residential_Multi-Family_Standard Rebate_Steam Traps_Industrial/Process Audit - 75 ≤ psig &lt; 125_MF_2025</v>
      </c>
      <c r="D568" s="19" t="s">
        <v>1794</v>
      </c>
      <c r="E568" s="19" t="s">
        <v>2</v>
      </c>
      <c r="F568" s="19" t="s">
        <v>1422</v>
      </c>
      <c r="G568" s="19" t="s">
        <v>1418</v>
      </c>
      <c r="H568" s="19" t="s">
        <v>644</v>
      </c>
      <c r="I568" s="19" t="s">
        <v>1386</v>
      </c>
      <c r="J568" s="19" t="s">
        <v>37</v>
      </c>
      <c r="K568" s="19" t="s">
        <v>553</v>
      </c>
      <c r="L568" s="19">
        <v>2025</v>
      </c>
      <c r="M568" s="20">
        <v>1</v>
      </c>
      <c r="N568" s="19" t="s">
        <v>1798</v>
      </c>
      <c r="O568" s="20">
        <v>0</v>
      </c>
      <c r="P568" s="20">
        <v>0</v>
      </c>
      <c r="Q568" s="20">
        <v>0</v>
      </c>
      <c r="R568" s="21">
        <v>0.87</v>
      </c>
      <c r="S568" s="20">
        <v>0</v>
      </c>
    </row>
    <row r="569" spans="2:19" ht="15" customHeight="1" x14ac:dyDescent="0.25">
      <c r="B569" s="2" t="str">
        <f t="shared" si="16"/>
        <v>PGL_Residential_Multi-Family_Standard Rebate_Steam Traps_Industrial/Process Audit - 125 ≤ psig &lt; 175_MF</v>
      </c>
      <c r="C569" s="2" t="str">
        <f t="shared" si="17"/>
        <v>PGL_Residential_Multi-Family_Standard Rebate_Steam Traps_Industrial/Process Audit - 125 ≤ psig &lt; 175_MF_2022</v>
      </c>
      <c r="D569" s="19" t="s">
        <v>1794</v>
      </c>
      <c r="E569" s="19" t="s">
        <v>2</v>
      </c>
      <c r="F569" s="19" t="s">
        <v>1422</v>
      </c>
      <c r="G569" s="19" t="s">
        <v>1418</v>
      </c>
      <c r="H569" s="19" t="s">
        <v>644</v>
      </c>
      <c r="I569" s="19" t="s">
        <v>1374</v>
      </c>
      <c r="J569" s="19" t="s">
        <v>37</v>
      </c>
      <c r="K569" s="19" t="s">
        <v>553</v>
      </c>
      <c r="L569" s="19">
        <v>2022</v>
      </c>
      <c r="M569" s="20">
        <v>1</v>
      </c>
      <c r="N569" s="19" t="s">
        <v>1798</v>
      </c>
      <c r="O569" s="20">
        <v>0</v>
      </c>
      <c r="P569" s="20">
        <v>0</v>
      </c>
      <c r="Q569" s="20">
        <v>0</v>
      </c>
      <c r="R569" s="21">
        <v>0.87</v>
      </c>
      <c r="S569" s="20">
        <v>0</v>
      </c>
    </row>
    <row r="570" spans="2:19" ht="15" customHeight="1" x14ac:dyDescent="0.25">
      <c r="B570" s="2" t="str">
        <f t="shared" si="16"/>
        <v>PGL_Residential_Multi-Family_Standard Rebate_Steam Traps_Industrial/Process Audit - 125 ≤ psig &lt; 175_MF</v>
      </c>
      <c r="C570" s="2" t="str">
        <f t="shared" si="17"/>
        <v>PGL_Residential_Multi-Family_Standard Rebate_Steam Traps_Industrial/Process Audit - 125 ≤ psig &lt; 175_MF_2023</v>
      </c>
      <c r="D570" s="19" t="s">
        <v>1794</v>
      </c>
      <c r="E570" s="19" t="s">
        <v>2</v>
      </c>
      <c r="F570" s="19" t="s">
        <v>1422</v>
      </c>
      <c r="G570" s="19" t="s">
        <v>1418</v>
      </c>
      <c r="H570" s="19" t="s">
        <v>644</v>
      </c>
      <c r="I570" s="19" t="s">
        <v>1374</v>
      </c>
      <c r="J570" s="19" t="s">
        <v>37</v>
      </c>
      <c r="K570" s="19" t="s">
        <v>553</v>
      </c>
      <c r="L570" s="19">
        <v>2023</v>
      </c>
      <c r="M570" s="20">
        <v>1</v>
      </c>
      <c r="N570" s="19" t="s">
        <v>1798</v>
      </c>
      <c r="O570" s="20">
        <v>0</v>
      </c>
      <c r="P570" s="20">
        <v>0</v>
      </c>
      <c r="Q570" s="20">
        <v>0</v>
      </c>
      <c r="R570" s="21">
        <v>0.87</v>
      </c>
      <c r="S570" s="20">
        <v>0</v>
      </c>
    </row>
    <row r="571" spans="2:19" ht="15" customHeight="1" x14ac:dyDescent="0.25">
      <c r="B571" s="2" t="str">
        <f t="shared" si="16"/>
        <v>PGL_Residential_Multi-Family_Standard Rebate_Steam Traps_Industrial/Process Audit - 125 ≤ psig &lt; 175_MF</v>
      </c>
      <c r="C571" s="2" t="str">
        <f t="shared" si="17"/>
        <v>PGL_Residential_Multi-Family_Standard Rebate_Steam Traps_Industrial/Process Audit - 125 ≤ psig &lt; 175_MF_2024</v>
      </c>
      <c r="D571" s="19" t="s">
        <v>1794</v>
      </c>
      <c r="E571" s="19" t="s">
        <v>2</v>
      </c>
      <c r="F571" s="19" t="s">
        <v>1422</v>
      </c>
      <c r="G571" s="19" t="s">
        <v>1418</v>
      </c>
      <c r="H571" s="19" t="s">
        <v>644</v>
      </c>
      <c r="I571" s="19" t="s">
        <v>1374</v>
      </c>
      <c r="J571" s="19" t="s">
        <v>37</v>
      </c>
      <c r="K571" s="19" t="s">
        <v>553</v>
      </c>
      <c r="L571" s="19">
        <v>2024</v>
      </c>
      <c r="M571" s="20">
        <v>1</v>
      </c>
      <c r="N571" s="19" t="s">
        <v>1798</v>
      </c>
      <c r="O571" s="20">
        <v>0</v>
      </c>
      <c r="P571" s="20">
        <v>0</v>
      </c>
      <c r="Q571" s="20">
        <v>0</v>
      </c>
      <c r="R571" s="21">
        <v>0.87</v>
      </c>
      <c r="S571" s="20">
        <v>0</v>
      </c>
    </row>
    <row r="572" spans="2:19" ht="15" customHeight="1" x14ac:dyDescent="0.25">
      <c r="B572" s="2" t="str">
        <f t="shared" si="16"/>
        <v>PGL_Residential_Multi-Family_Standard Rebate_Steam Traps_Industrial/Process Audit - 125 ≤ psig &lt; 175_MF</v>
      </c>
      <c r="C572" s="2" t="str">
        <f t="shared" si="17"/>
        <v>PGL_Residential_Multi-Family_Standard Rebate_Steam Traps_Industrial/Process Audit - 125 ≤ psig &lt; 175_MF_2025</v>
      </c>
      <c r="D572" s="19" t="s">
        <v>1794</v>
      </c>
      <c r="E572" s="19" t="s">
        <v>2</v>
      </c>
      <c r="F572" s="19" t="s">
        <v>1422</v>
      </c>
      <c r="G572" s="19" t="s">
        <v>1418</v>
      </c>
      <c r="H572" s="19" t="s">
        <v>644</v>
      </c>
      <c r="I572" s="19" t="s">
        <v>1374</v>
      </c>
      <c r="J572" s="19" t="s">
        <v>37</v>
      </c>
      <c r="K572" s="19" t="s">
        <v>553</v>
      </c>
      <c r="L572" s="19">
        <v>2025</v>
      </c>
      <c r="M572" s="20">
        <v>1</v>
      </c>
      <c r="N572" s="19" t="s">
        <v>1798</v>
      </c>
      <c r="O572" s="20">
        <v>0</v>
      </c>
      <c r="P572" s="20">
        <v>0</v>
      </c>
      <c r="Q572" s="20">
        <v>0</v>
      </c>
      <c r="R572" s="21">
        <v>0.87</v>
      </c>
      <c r="S572" s="20">
        <v>0</v>
      </c>
    </row>
    <row r="573" spans="2:19" ht="15" customHeight="1" x14ac:dyDescent="0.25">
      <c r="B573" s="2" t="str">
        <f t="shared" si="16"/>
        <v>PGL_Residential_Multi-Family_Standard Rebate_Steam Traps_Industrial/Process Audit - 175 ≤ psig &lt; 250_MF</v>
      </c>
      <c r="C573" s="2" t="str">
        <f t="shared" si="17"/>
        <v>PGL_Residential_Multi-Family_Standard Rebate_Steam Traps_Industrial/Process Audit - 175 ≤ psig &lt; 250_MF_2022</v>
      </c>
      <c r="D573" s="19" t="s">
        <v>1794</v>
      </c>
      <c r="E573" s="19" t="s">
        <v>2</v>
      </c>
      <c r="F573" s="19" t="s">
        <v>1422</v>
      </c>
      <c r="G573" s="19" t="s">
        <v>1418</v>
      </c>
      <c r="H573" s="19" t="s">
        <v>644</v>
      </c>
      <c r="I573" s="19" t="s">
        <v>1375</v>
      </c>
      <c r="J573" s="19" t="s">
        <v>37</v>
      </c>
      <c r="K573" s="19" t="s">
        <v>553</v>
      </c>
      <c r="L573" s="19">
        <v>2022</v>
      </c>
      <c r="M573" s="20">
        <v>1</v>
      </c>
      <c r="N573" s="19" t="s">
        <v>1798</v>
      </c>
      <c r="O573" s="20">
        <v>0</v>
      </c>
      <c r="P573" s="20">
        <v>0</v>
      </c>
      <c r="Q573" s="20">
        <v>0</v>
      </c>
      <c r="R573" s="21">
        <v>0.87</v>
      </c>
      <c r="S573" s="20">
        <v>0</v>
      </c>
    </row>
    <row r="574" spans="2:19" ht="15" customHeight="1" x14ac:dyDescent="0.25">
      <c r="B574" s="2" t="str">
        <f t="shared" si="16"/>
        <v>PGL_Residential_Multi-Family_Standard Rebate_Steam Traps_Industrial/Process Audit - 175 ≤ psig &lt; 250_MF</v>
      </c>
      <c r="C574" s="2" t="str">
        <f t="shared" si="17"/>
        <v>PGL_Residential_Multi-Family_Standard Rebate_Steam Traps_Industrial/Process Audit - 175 ≤ psig &lt; 250_MF_2023</v>
      </c>
      <c r="D574" s="19" t="s">
        <v>1794</v>
      </c>
      <c r="E574" s="19" t="s">
        <v>2</v>
      </c>
      <c r="F574" s="19" t="s">
        <v>1422</v>
      </c>
      <c r="G574" s="19" t="s">
        <v>1418</v>
      </c>
      <c r="H574" s="19" t="s">
        <v>644</v>
      </c>
      <c r="I574" s="19" t="s">
        <v>1375</v>
      </c>
      <c r="J574" s="19" t="s">
        <v>37</v>
      </c>
      <c r="K574" s="19" t="s">
        <v>553</v>
      </c>
      <c r="L574" s="19">
        <v>2023</v>
      </c>
      <c r="M574" s="20">
        <v>1</v>
      </c>
      <c r="N574" s="19" t="s">
        <v>1798</v>
      </c>
      <c r="O574" s="20">
        <v>0</v>
      </c>
      <c r="P574" s="20">
        <v>0</v>
      </c>
      <c r="Q574" s="20">
        <v>0</v>
      </c>
      <c r="R574" s="21">
        <v>0.87</v>
      </c>
      <c r="S574" s="20">
        <v>0</v>
      </c>
    </row>
    <row r="575" spans="2:19" ht="15" customHeight="1" x14ac:dyDescent="0.25">
      <c r="B575" s="2" t="str">
        <f t="shared" si="16"/>
        <v>PGL_Residential_Multi-Family_Standard Rebate_Steam Traps_Industrial/Process Audit - 175 ≤ psig &lt; 250_MF</v>
      </c>
      <c r="C575" s="2" t="str">
        <f t="shared" si="17"/>
        <v>PGL_Residential_Multi-Family_Standard Rebate_Steam Traps_Industrial/Process Audit - 175 ≤ psig &lt; 250_MF_2024</v>
      </c>
      <c r="D575" s="19" t="s">
        <v>1794</v>
      </c>
      <c r="E575" s="19" t="s">
        <v>2</v>
      </c>
      <c r="F575" s="19" t="s">
        <v>1422</v>
      </c>
      <c r="G575" s="19" t="s">
        <v>1418</v>
      </c>
      <c r="H575" s="19" t="s">
        <v>644</v>
      </c>
      <c r="I575" s="19" t="s">
        <v>1375</v>
      </c>
      <c r="J575" s="19" t="s">
        <v>37</v>
      </c>
      <c r="K575" s="19" t="s">
        <v>553</v>
      </c>
      <c r="L575" s="19">
        <v>2024</v>
      </c>
      <c r="M575" s="20">
        <v>1</v>
      </c>
      <c r="N575" s="19" t="s">
        <v>1798</v>
      </c>
      <c r="O575" s="20">
        <v>0</v>
      </c>
      <c r="P575" s="20">
        <v>0</v>
      </c>
      <c r="Q575" s="20">
        <v>0</v>
      </c>
      <c r="R575" s="21">
        <v>0.87</v>
      </c>
      <c r="S575" s="20">
        <v>0</v>
      </c>
    </row>
    <row r="576" spans="2:19" ht="15" customHeight="1" x14ac:dyDescent="0.25">
      <c r="B576" s="2" t="str">
        <f t="shared" si="16"/>
        <v>PGL_Residential_Multi-Family_Standard Rebate_Steam Traps_Industrial/Process Audit - 175 ≤ psig &lt; 250_MF</v>
      </c>
      <c r="C576" s="2" t="str">
        <f t="shared" si="17"/>
        <v>PGL_Residential_Multi-Family_Standard Rebate_Steam Traps_Industrial/Process Audit - 175 ≤ psig &lt; 250_MF_2025</v>
      </c>
      <c r="D576" s="19" t="s">
        <v>1794</v>
      </c>
      <c r="E576" s="19" t="s">
        <v>2</v>
      </c>
      <c r="F576" s="19" t="s">
        <v>1422</v>
      </c>
      <c r="G576" s="19" t="s">
        <v>1418</v>
      </c>
      <c r="H576" s="19" t="s">
        <v>644</v>
      </c>
      <c r="I576" s="19" t="s">
        <v>1375</v>
      </c>
      <c r="J576" s="19" t="s">
        <v>37</v>
      </c>
      <c r="K576" s="19" t="s">
        <v>553</v>
      </c>
      <c r="L576" s="19">
        <v>2025</v>
      </c>
      <c r="M576" s="20">
        <v>1</v>
      </c>
      <c r="N576" s="19" t="s">
        <v>1798</v>
      </c>
      <c r="O576" s="20">
        <v>0</v>
      </c>
      <c r="P576" s="20">
        <v>0</v>
      </c>
      <c r="Q576" s="20">
        <v>0</v>
      </c>
      <c r="R576" s="21">
        <v>0.87</v>
      </c>
      <c r="S576" s="20">
        <v>0</v>
      </c>
    </row>
    <row r="577" spans="2:19" ht="15" customHeight="1" x14ac:dyDescent="0.25">
      <c r="B577" s="2" t="str">
        <f t="shared" si="16"/>
        <v>PGL_Residential_Multi-Family_Standard Rebate_Steam Traps_Industrial/Process Audit - 250 ≤ psig_MF</v>
      </c>
      <c r="C577" s="2" t="str">
        <f t="shared" si="17"/>
        <v>PGL_Residential_Multi-Family_Standard Rebate_Steam Traps_Industrial/Process Audit - 250 ≤ psig_MF_2022</v>
      </c>
      <c r="D577" s="19" t="s">
        <v>1794</v>
      </c>
      <c r="E577" s="19" t="s">
        <v>2</v>
      </c>
      <c r="F577" s="19" t="s">
        <v>1422</v>
      </c>
      <c r="G577" s="19" t="s">
        <v>1418</v>
      </c>
      <c r="H577" s="19" t="s">
        <v>644</v>
      </c>
      <c r="I577" s="19" t="s">
        <v>1376</v>
      </c>
      <c r="J577" s="19" t="s">
        <v>37</v>
      </c>
      <c r="K577" s="19" t="s">
        <v>553</v>
      </c>
      <c r="L577" s="19">
        <v>2022</v>
      </c>
      <c r="M577" s="20">
        <v>1</v>
      </c>
      <c r="N577" s="19" t="s">
        <v>1798</v>
      </c>
      <c r="O577" s="20">
        <v>0</v>
      </c>
      <c r="P577" s="20">
        <v>0</v>
      </c>
      <c r="Q577" s="20">
        <v>0</v>
      </c>
      <c r="R577" s="21">
        <v>0.87</v>
      </c>
      <c r="S577" s="20">
        <v>0</v>
      </c>
    </row>
    <row r="578" spans="2:19" ht="15" customHeight="1" x14ac:dyDescent="0.25">
      <c r="B578" s="2" t="str">
        <f t="shared" si="16"/>
        <v>PGL_Residential_Multi-Family_Standard Rebate_Steam Traps_Industrial/Process Audit - 250 ≤ psig_MF</v>
      </c>
      <c r="C578" s="2" t="str">
        <f t="shared" si="17"/>
        <v>PGL_Residential_Multi-Family_Standard Rebate_Steam Traps_Industrial/Process Audit - 250 ≤ psig_MF_2023</v>
      </c>
      <c r="D578" s="19" t="s">
        <v>1794</v>
      </c>
      <c r="E578" s="19" t="s">
        <v>2</v>
      </c>
      <c r="F578" s="19" t="s">
        <v>1422</v>
      </c>
      <c r="G578" s="19" t="s">
        <v>1418</v>
      </c>
      <c r="H578" s="19" t="s">
        <v>644</v>
      </c>
      <c r="I578" s="19" t="s">
        <v>1376</v>
      </c>
      <c r="J578" s="19" t="s">
        <v>37</v>
      </c>
      <c r="K578" s="19" t="s">
        <v>553</v>
      </c>
      <c r="L578" s="19">
        <v>2023</v>
      </c>
      <c r="M578" s="20">
        <v>1</v>
      </c>
      <c r="N578" s="19" t="s">
        <v>1798</v>
      </c>
      <c r="O578" s="20">
        <v>0</v>
      </c>
      <c r="P578" s="20">
        <v>0</v>
      </c>
      <c r="Q578" s="20">
        <v>0</v>
      </c>
      <c r="R578" s="21">
        <v>0.87</v>
      </c>
      <c r="S578" s="20">
        <v>0</v>
      </c>
    </row>
    <row r="579" spans="2:19" ht="15" customHeight="1" x14ac:dyDescent="0.25">
      <c r="B579" s="2" t="str">
        <f t="shared" si="16"/>
        <v>PGL_Residential_Multi-Family_Standard Rebate_Steam Traps_Industrial/Process Audit - 250 ≤ psig_MF</v>
      </c>
      <c r="C579" s="2" t="str">
        <f t="shared" si="17"/>
        <v>PGL_Residential_Multi-Family_Standard Rebate_Steam Traps_Industrial/Process Audit - 250 ≤ psig_MF_2024</v>
      </c>
      <c r="D579" s="19" t="s">
        <v>1794</v>
      </c>
      <c r="E579" s="19" t="s">
        <v>2</v>
      </c>
      <c r="F579" s="19" t="s">
        <v>1422</v>
      </c>
      <c r="G579" s="19" t="s">
        <v>1418</v>
      </c>
      <c r="H579" s="19" t="s">
        <v>644</v>
      </c>
      <c r="I579" s="19" t="s">
        <v>1376</v>
      </c>
      <c r="J579" s="19" t="s">
        <v>37</v>
      </c>
      <c r="K579" s="19" t="s">
        <v>553</v>
      </c>
      <c r="L579" s="19">
        <v>2024</v>
      </c>
      <c r="M579" s="20">
        <v>1</v>
      </c>
      <c r="N579" s="19" t="s">
        <v>1798</v>
      </c>
      <c r="O579" s="20">
        <v>0</v>
      </c>
      <c r="P579" s="20">
        <v>0</v>
      </c>
      <c r="Q579" s="20">
        <v>0</v>
      </c>
      <c r="R579" s="21">
        <v>0.87</v>
      </c>
      <c r="S579" s="20">
        <v>0</v>
      </c>
    </row>
    <row r="580" spans="2:19" ht="15" customHeight="1" x14ac:dyDescent="0.25">
      <c r="B580" s="2" t="str">
        <f t="shared" si="16"/>
        <v>PGL_Residential_Multi-Family_Standard Rebate_Steam Traps_Industrial/Process Audit - 250 ≤ psig_MF</v>
      </c>
      <c r="C580" s="2" t="str">
        <f t="shared" si="17"/>
        <v>PGL_Residential_Multi-Family_Standard Rebate_Steam Traps_Industrial/Process Audit - 250 ≤ psig_MF_2025</v>
      </c>
      <c r="D580" s="19" t="s">
        <v>1794</v>
      </c>
      <c r="E580" s="19" t="s">
        <v>2</v>
      </c>
      <c r="F580" s="19" t="s">
        <v>1422</v>
      </c>
      <c r="G580" s="19" t="s">
        <v>1418</v>
      </c>
      <c r="H580" s="19" t="s">
        <v>644</v>
      </c>
      <c r="I580" s="19" t="s">
        <v>1376</v>
      </c>
      <c r="J580" s="19" t="s">
        <v>37</v>
      </c>
      <c r="K580" s="19" t="s">
        <v>553</v>
      </c>
      <c r="L580" s="19">
        <v>2025</v>
      </c>
      <c r="M580" s="20">
        <v>1</v>
      </c>
      <c r="N580" s="19" t="s">
        <v>1798</v>
      </c>
      <c r="O580" s="20">
        <v>0</v>
      </c>
      <c r="P580" s="20">
        <v>0</v>
      </c>
      <c r="Q580" s="20">
        <v>0</v>
      </c>
      <c r="R580" s="21">
        <v>0.87</v>
      </c>
      <c r="S580" s="20">
        <v>0</v>
      </c>
    </row>
    <row r="581" spans="2:19" ht="15" customHeight="1" x14ac:dyDescent="0.25">
      <c r="B581" s="2" t="str">
        <f t="shared" si="16"/>
        <v>PGL_Residential_Multi-Family_Standard Rebate_Steam Traps_Test_MF</v>
      </c>
      <c r="C581" s="2" t="str">
        <f t="shared" si="17"/>
        <v>PGL_Residential_Multi-Family_Standard Rebate_Steam Traps_Test_MF_2022</v>
      </c>
      <c r="D581" s="19" t="s">
        <v>1794</v>
      </c>
      <c r="E581" s="19" t="s">
        <v>2</v>
      </c>
      <c r="F581" s="19" t="s">
        <v>1422</v>
      </c>
      <c r="G581" s="19" t="s">
        <v>1418</v>
      </c>
      <c r="H581" s="19" t="s">
        <v>644</v>
      </c>
      <c r="I581" s="19" t="s">
        <v>1097</v>
      </c>
      <c r="J581" s="19">
        <v>0</v>
      </c>
      <c r="K581" s="19" t="s">
        <v>553</v>
      </c>
      <c r="L581" s="19">
        <v>2022</v>
      </c>
      <c r="M581" s="20">
        <v>1</v>
      </c>
      <c r="N581" s="19" t="s">
        <v>1798</v>
      </c>
      <c r="O581" s="20">
        <v>0</v>
      </c>
      <c r="P581" s="20">
        <v>0</v>
      </c>
      <c r="Q581" s="20">
        <v>0</v>
      </c>
      <c r="R581" s="21">
        <v>0.87</v>
      </c>
      <c r="S581" s="20">
        <v>0</v>
      </c>
    </row>
    <row r="582" spans="2:19" ht="15" customHeight="1" x14ac:dyDescent="0.25">
      <c r="B582" s="2" t="str">
        <f t="shared" ref="B582:B645" si="18">D582&amp;"_"&amp;E582&amp;"_"&amp;F582&amp;"_"&amp;G582&amp;"_"&amp;H582&amp;"_"&amp;I582&amp;"_"&amp;K582</f>
        <v>PGL_Residential_Multi-Family_Standard Rebate_Steam Traps_Test_MF</v>
      </c>
      <c r="C582" s="2" t="str">
        <f t="shared" ref="C582:C645" si="19">D582&amp;"_"&amp;E582&amp;"_"&amp;F582&amp;"_"&amp;G582&amp;"_"&amp;H582&amp;"_"&amp;I582&amp;"_"&amp;K582&amp;"_"&amp;L582</f>
        <v>PGL_Residential_Multi-Family_Standard Rebate_Steam Traps_Test_MF_2023</v>
      </c>
      <c r="D582" s="19" t="s">
        <v>1794</v>
      </c>
      <c r="E582" s="19" t="s">
        <v>2</v>
      </c>
      <c r="F582" s="19" t="s">
        <v>1422</v>
      </c>
      <c r="G582" s="19" t="s">
        <v>1418</v>
      </c>
      <c r="H582" s="19" t="s">
        <v>644</v>
      </c>
      <c r="I582" s="19" t="s">
        <v>1097</v>
      </c>
      <c r="J582" s="19">
        <v>0</v>
      </c>
      <c r="K582" s="19" t="s">
        <v>553</v>
      </c>
      <c r="L582" s="19">
        <v>2023</v>
      </c>
      <c r="M582" s="20">
        <v>1</v>
      </c>
      <c r="N582" s="19" t="s">
        <v>1798</v>
      </c>
      <c r="O582" s="20">
        <v>0</v>
      </c>
      <c r="P582" s="20">
        <v>0</v>
      </c>
      <c r="Q582" s="20">
        <v>0</v>
      </c>
      <c r="R582" s="21">
        <v>0.87</v>
      </c>
      <c r="S582" s="20">
        <v>0</v>
      </c>
    </row>
    <row r="583" spans="2:19" ht="15" customHeight="1" x14ac:dyDescent="0.25">
      <c r="B583" s="2" t="str">
        <f t="shared" si="18"/>
        <v>PGL_Residential_Multi-Family_Standard Rebate_Steam Traps_Test_MF</v>
      </c>
      <c r="C583" s="2" t="str">
        <f t="shared" si="19"/>
        <v>PGL_Residential_Multi-Family_Standard Rebate_Steam Traps_Test_MF_2024</v>
      </c>
      <c r="D583" s="19" t="s">
        <v>1794</v>
      </c>
      <c r="E583" s="19" t="s">
        <v>2</v>
      </c>
      <c r="F583" s="19" t="s">
        <v>1422</v>
      </c>
      <c r="G583" s="19" t="s">
        <v>1418</v>
      </c>
      <c r="H583" s="19" t="s">
        <v>644</v>
      </c>
      <c r="I583" s="19" t="s">
        <v>1097</v>
      </c>
      <c r="J583" s="19">
        <v>0</v>
      </c>
      <c r="K583" s="19" t="s">
        <v>553</v>
      </c>
      <c r="L583" s="19">
        <v>2024</v>
      </c>
      <c r="M583" s="20">
        <v>1</v>
      </c>
      <c r="N583" s="19" t="s">
        <v>1798</v>
      </c>
      <c r="O583" s="20">
        <v>0</v>
      </c>
      <c r="P583" s="20">
        <v>0</v>
      </c>
      <c r="Q583" s="20">
        <v>0</v>
      </c>
      <c r="R583" s="21">
        <v>0.87</v>
      </c>
      <c r="S583" s="20">
        <v>0</v>
      </c>
    </row>
    <row r="584" spans="2:19" ht="15" customHeight="1" x14ac:dyDescent="0.25">
      <c r="B584" s="2" t="str">
        <f t="shared" si="18"/>
        <v>PGL_Residential_Multi-Family_Standard Rebate_Steam Traps_Test_MF</v>
      </c>
      <c r="C584" s="2" t="str">
        <f t="shared" si="19"/>
        <v>PGL_Residential_Multi-Family_Standard Rebate_Steam Traps_Test_MF_2025</v>
      </c>
      <c r="D584" s="19" t="s">
        <v>1794</v>
      </c>
      <c r="E584" s="19" t="s">
        <v>2</v>
      </c>
      <c r="F584" s="19" t="s">
        <v>1422</v>
      </c>
      <c r="G584" s="19" t="s">
        <v>1418</v>
      </c>
      <c r="H584" s="19" t="s">
        <v>644</v>
      </c>
      <c r="I584" s="19" t="s">
        <v>1097</v>
      </c>
      <c r="J584" s="19">
        <v>0</v>
      </c>
      <c r="K584" s="19" t="s">
        <v>553</v>
      </c>
      <c r="L584" s="19">
        <v>2025</v>
      </c>
      <c r="M584" s="20">
        <v>1</v>
      </c>
      <c r="N584" s="19" t="s">
        <v>1798</v>
      </c>
      <c r="O584" s="20">
        <v>0</v>
      </c>
      <c r="P584" s="20">
        <v>0</v>
      </c>
      <c r="Q584" s="20">
        <v>0</v>
      </c>
      <c r="R584" s="21">
        <v>0.87</v>
      </c>
      <c r="S584" s="20">
        <v>0</v>
      </c>
    </row>
    <row r="585" spans="2:19" ht="15" customHeight="1" x14ac:dyDescent="0.25">
      <c r="B585" s="2" t="str">
        <f t="shared" si="18"/>
        <v>PGL_Residential_Multi-Family_Standard Rebate_Condensate Tank Insulation_0_MF/CI/SMB</v>
      </c>
      <c r="C585" s="2" t="str">
        <f t="shared" si="19"/>
        <v>PGL_Residential_Multi-Family_Standard Rebate_Condensate Tank Insulation_0_MF/CI/SMB_2022</v>
      </c>
      <c r="D585" s="19" t="s">
        <v>1794</v>
      </c>
      <c r="E585" s="19" t="s">
        <v>2</v>
      </c>
      <c r="F585" s="19" t="s">
        <v>1422</v>
      </c>
      <c r="G585" s="19" t="s">
        <v>1418</v>
      </c>
      <c r="H585" s="19" t="s">
        <v>806</v>
      </c>
      <c r="I585" s="19">
        <v>0</v>
      </c>
      <c r="J585" s="19" t="s">
        <v>810</v>
      </c>
      <c r="K585" s="19" t="s">
        <v>662</v>
      </c>
      <c r="L585" s="19">
        <v>2022</v>
      </c>
      <c r="M585" s="20">
        <v>550</v>
      </c>
      <c r="N585" s="19" t="s">
        <v>634</v>
      </c>
      <c r="O585" s="20">
        <v>1</v>
      </c>
      <c r="P585" s="20">
        <v>550</v>
      </c>
      <c r="Q585" s="20">
        <v>8013.0555227268187</v>
      </c>
      <c r="R585" s="21">
        <v>0.87</v>
      </c>
      <c r="S585" s="20">
        <v>8013.0555227268187</v>
      </c>
    </row>
    <row r="586" spans="2:19" ht="15" customHeight="1" x14ac:dyDescent="0.25">
      <c r="B586" s="2" t="str">
        <f t="shared" si="18"/>
        <v>PGL_Residential_Multi-Family_Standard Rebate_Condensate Tank Insulation_0_MF/CI/SMB</v>
      </c>
      <c r="C586" s="2" t="str">
        <f t="shared" si="19"/>
        <v>PGL_Residential_Multi-Family_Standard Rebate_Condensate Tank Insulation_0_MF/CI/SMB_2023</v>
      </c>
      <c r="D586" s="19" t="s">
        <v>1794</v>
      </c>
      <c r="E586" s="19" t="s">
        <v>2</v>
      </c>
      <c r="F586" s="19" t="s">
        <v>1422</v>
      </c>
      <c r="G586" s="19" t="s">
        <v>1418</v>
      </c>
      <c r="H586" s="19" t="s">
        <v>806</v>
      </c>
      <c r="I586" s="19">
        <v>0</v>
      </c>
      <c r="J586" s="19" t="s">
        <v>810</v>
      </c>
      <c r="K586" s="19" t="s">
        <v>662</v>
      </c>
      <c r="L586" s="19">
        <v>2023</v>
      </c>
      <c r="M586" s="20">
        <v>550</v>
      </c>
      <c r="N586" s="19" t="s">
        <v>634</v>
      </c>
      <c r="O586" s="20">
        <v>1</v>
      </c>
      <c r="P586" s="20">
        <v>550</v>
      </c>
      <c r="Q586" s="20">
        <v>8013.0555227268187</v>
      </c>
      <c r="R586" s="21">
        <v>0.87</v>
      </c>
      <c r="S586" s="20">
        <v>8013.0555227268187</v>
      </c>
    </row>
    <row r="587" spans="2:19" ht="15" customHeight="1" x14ac:dyDescent="0.25">
      <c r="B587" s="2" t="str">
        <f t="shared" si="18"/>
        <v>PGL_Residential_Multi-Family_Standard Rebate_Condensate Tank Insulation_0_MF/CI/SMB</v>
      </c>
      <c r="C587" s="2" t="str">
        <f t="shared" si="19"/>
        <v>PGL_Residential_Multi-Family_Standard Rebate_Condensate Tank Insulation_0_MF/CI/SMB_2024</v>
      </c>
      <c r="D587" s="19" t="s">
        <v>1794</v>
      </c>
      <c r="E587" s="19" t="s">
        <v>2</v>
      </c>
      <c r="F587" s="19" t="s">
        <v>1422</v>
      </c>
      <c r="G587" s="19" t="s">
        <v>1418</v>
      </c>
      <c r="H587" s="19" t="s">
        <v>806</v>
      </c>
      <c r="I587" s="19">
        <v>0</v>
      </c>
      <c r="J587" s="19" t="s">
        <v>810</v>
      </c>
      <c r="K587" s="19" t="s">
        <v>662</v>
      </c>
      <c r="L587" s="19">
        <v>2024</v>
      </c>
      <c r="M587" s="20">
        <v>550</v>
      </c>
      <c r="N587" s="19" t="s">
        <v>634</v>
      </c>
      <c r="O587" s="20">
        <v>1</v>
      </c>
      <c r="P587" s="20">
        <v>550</v>
      </c>
      <c r="Q587" s="20">
        <v>8013.0555227268187</v>
      </c>
      <c r="R587" s="21">
        <v>0.87</v>
      </c>
      <c r="S587" s="20">
        <v>8013.0555227268187</v>
      </c>
    </row>
    <row r="588" spans="2:19" ht="15" customHeight="1" x14ac:dyDescent="0.25">
      <c r="B588" s="2" t="str">
        <f t="shared" si="18"/>
        <v>PGL_Residential_Multi-Family_Standard Rebate_Condensate Tank Insulation_0_MF/CI/SMB</v>
      </c>
      <c r="C588" s="2" t="str">
        <f t="shared" si="19"/>
        <v>PGL_Residential_Multi-Family_Standard Rebate_Condensate Tank Insulation_0_MF/CI/SMB_2025</v>
      </c>
      <c r="D588" s="19" t="s">
        <v>1794</v>
      </c>
      <c r="E588" s="19" t="s">
        <v>2</v>
      </c>
      <c r="F588" s="19" t="s">
        <v>1422</v>
      </c>
      <c r="G588" s="19" t="s">
        <v>1418</v>
      </c>
      <c r="H588" s="19" t="s">
        <v>806</v>
      </c>
      <c r="I588" s="19">
        <v>0</v>
      </c>
      <c r="J588" s="19" t="s">
        <v>810</v>
      </c>
      <c r="K588" s="19" t="s">
        <v>662</v>
      </c>
      <c r="L588" s="19">
        <v>2025</v>
      </c>
      <c r="M588" s="20">
        <v>550</v>
      </c>
      <c r="N588" s="19" t="s">
        <v>634</v>
      </c>
      <c r="O588" s="20">
        <v>1</v>
      </c>
      <c r="P588" s="20">
        <v>550</v>
      </c>
      <c r="Q588" s="20">
        <v>8013.0555227268187</v>
      </c>
      <c r="R588" s="21">
        <v>0.87</v>
      </c>
      <c r="S588" s="20">
        <v>8013.0555227268187</v>
      </c>
    </row>
    <row r="589" spans="2:19" ht="15" customHeight="1" x14ac:dyDescent="0.25">
      <c r="B589" s="2" t="str">
        <f t="shared" si="18"/>
        <v>PGL_Residential_Multi-Family_Standard Rebate_DHW Storage Tank Insulation_0_MF/CI/SMB</v>
      </c>
      <c r="C589" s="2" t="str">
        <f t="shared" si="19"/>
        <v>PGL_Residential_Multi-Family_Standard Rebate_DHW Storage Tank Insulation_0_MF/CI/SMB_2022</v>
      </c>
      <c r="D589" s="19" t="s">
        <v>1794</v>
      </c>
      <c r="E589" s="19" t="s">
        <v>2</v>
      </c>
      <c r="F589" s="19" t="s">
        <v>1422</v>
      </c>
      <c r="G589" s="19" t="s">
        <v>1418</v>
      </c>
      <c r="H589" s="19" t="s">
        <v>832</v>
      </c>
      <c r="I589" s="19">
        <v>0</v>
      </c>
      <c r="J589" s="19" t="s">
        <v>810</v>
      </c>
      <c r="K589" s="19" t="s">
        <v>662</v>
      </c>
      <c r="L589" s="19">
        <v>2022</v>
      </c>
      <c r="M589" s="20">
        <v>56</v>
      </c>
      <c r="N589" s="19" t="s">
        <v>634</v>
      </c>
      <c r="O589" s="20">
        <v>1</v>
      </c>
      <c r="P589" s="20">
        <v>56</v>
      </c>
      <c r="Q589" s="20">
        <v>338.86576837285122</v>
      </c>
      <c r="R589" s="21">
        <v>0.87</v>
      </c>
      <c r="S589" s="20">
        <v>338.86576837285122</v>
      </c>
    </row>
    <row r="590" spans="2:19" ht="15" customHeight="1" x14ac:dyDescent="0.25">
      <c r="B590" s="2" t="str">
        <f t="shared" si="18"/>
        <v>PGL_Residential_Multi-Family_Standard Rebate_DHW Storage Tank Insulation_0_MF/CI/SMB</v>
      </c>
      <c r="C590" s="2" t="str">
        <f t="shared" si="19"/>
        <v>PGL_Residential_Multi-Family_Standard Rebate_DHW Storage Tank Insulation_0_MF/CI/SMB_2023</v>
      </c>
      <c r="D590" s="19" t="s">
        <v>1794</v>
      </c>
      <c r="E590" s="19" t="s">
        <v>2</v>
      </c>
      <c r="F590" s="19" t="s">
        <v>1422</v>
      </c>
      <c r="G590" s="19" t="s">
        <v>1418</v>
      </c>
      <c r="H590" s="19" t="s">
        <v>832</v>
      </c>
      <c r="I590" s="19">
        <v>0</v>
      </c>
      <c r="J590" s="19" t="s">
        <v>810</v>
      </c>
      <c r="K590" s="19" t="s">
        <v>662</v>
      </c>
      <c r="L590" s="19">
        <v>2023</v>
      </c>
      <c r="M590" s="20">
        <v>56</v>
      </c>
      <c r="N590" s="19" t="s">
        <v>634</v>
      </c>
      <c r="O590" s="20">
        <v>1</v>
      </c>
      <c r="P590" s="20">
        <v>56</v>
      </c>
      <c r="Q590" s="20">
        <v>338.86576837285122</v>
      </c>
      <c r="R590" s="21">
        <v>0.87</v>
      </c>
      <c r="S590" s="20">
        <v>338.86576837285122</v>
      </c>
    </row>
    <row r="591" spans="2:19" ht="15" customHeight="1" x14ac:dyDescent="0.25">
      <c r="B591" s="2" t="str">
        <f t="shared" si="18"/>
        <v>PGL_Residential_Multi-Family_Standard Rebate_DHW Storage Tank Insulation_0_MF/CI/SMB</v>
      </c>
      <c r="C591" s="2" t="str">
        <f t="shared" si="19"/>
        <v>PGL_Residential_Multi-Family_Standard Rebate_DHW Storage Tank Insulation_0_MF/CI/SMB_2024</v>
      </c>
      <c r="D591" s="19" t="s">
        <v>1794</v>
      </c>
      <c r="E591" s="19" t="s">
        <v>2</v>
      </c>
      <c r="F591" s="19" t="s">
        <v>1422</v>
      </c>
      <c r="G591" s="19" t="s">
        <v>1418</v>
      </c>
      <c r="H591" s="19" t="s">
        <v>832</v>
      </c>
      <c r="I591" s="19">
        <v>0</v>
      </c>
      <c r="J591" s="19" t="s">
        <v>810</v>
      </c>
      <c r="K591" s="19" t="s">
        <v>662</v>
      </c>
      <c r="L591" s="19">
        <v>2024</v>
      </c>
      <c r="M591" s="20">
        <v>56</v>
      </c>
      <c r="N591" s="19" t="s">
        <v>634</v>
      </c>
      <c r="O591" s="20">
        <v>1</v>
      </c>
      <c r="P591" s="20">
        <v>56</v>
      </c>
      <c r="Q591" s="20">
        <v>338.86576837285122</v>
      </c>
      <c r="R591" s="21">
        <v>0.87</v>
      </c>
      <c r="S591" s="20">
        <v>338.86576837285122</v>
      </c>
    </row>
    <row r="592" spans="2:19" ht="15" customHeight="1" x14ac:dyDescent="0.25">
      <c r="B592" s="2" t="str">
        <f t="shared" si="18"/>
        <v>PGL_Residential_Multi-Family_Standard Rebate_DHW Storage Tank Insulation_0_MF/CI/SMB</v>
      </c>
      <c r="C592" s="2" t="str">
        <f t="shared" si="19"/>
        <v>PGL_Residential_Multi-Family_Standard Rebate_DHW Storage Tank Insulation_0_MF/CI/SMB_2025</v>
      </c>
      <c r="D592" s="19" t="s">
        <v>1794</v>
      </c>
      <c r="E592" s="19" t="s">
        <v>2</v>
      </c>
      <c r="F592" s="19" t="s">
        <v>1422</v>
      </c>
      <c r="G592" s="19" t="s">
        <v>1418</v>
      </c>
      <c r="H592" s="19" t="s">
        <v>832</v>
      </c>
      <c r="I592" s="19">
        <v>0</v>
      </c>
      <c r="J592" s="19" t="s">
        <v>810</v>
      </c>
      <c r="K592" s="19" t="s">
        <v>662</v>
      </c>
      <c r="L592" s="19">
        <v>2025</v>
      </c>
      <c r="M592" s="20">
        <v>56</v>
      </c>
      <c r="N592" s="19" t="s">
        <v>634</v>
      </c>
      <c r="O592" s="20">
        <v>1</v>
      </c>
      <c r="P592" s="20">
        <v>56</v>
      </c>
      <c r="Q592" s="20">
        <v>338.86576837285122</v>
      </c>
      <c r="R592" s="21">
        <v>0.87</v>
      </c>
      <c r="S592" s="20">
        <v>338.86576837285122</v>
      </c>
    </row>
    <row r="593" spans="2:19" ht="15" customHeight="1" x14ac:dyDescent="0.25">
      <c r="B593" s="2" t="str">
        <f t="shared" si="18"/>
        <v>PGL_Residential_Multi-Family_Standard Rebate_Linkageless Controls_0_MF</v>
      </c>
      <c r="C593" s="2" t="str">
        <f t="shared" si="19"/>
        <v>PGL_Residential_Multi-Family_Standard Rebate_Linkageless Controls_0_MF_2022</v>
      </c>
      <c r="D593" s="19" t="s">
        <v>1794</v>
      </c>
      <c r="E593" s="19" t="s">
        <v>2</v>
      </c>
      <c r="F593" s="19" t="s">
        <v>1422</v>
      </c>
      <c r="G593" s="19" t="s">
        <v>1418</v>
      </c>
      <c r="H593" s="19" t="s">
        <v>1287</v>
      </c>
      <c r="I593" s="19">
        <v>0</v>
      </c>
      <c r="J593" s="19" t="s">
        <v>28</v>
      </c>
      <c r="K593" s="19" t="s">
        <v>553</v>
      </c>
      <c r="L593" s="19">
        <v>2022</v>
      </c>
      <c r="M593" s="20">
        <v>5000</v>
      </c>
      <c r="N593" s="19" t="s">
        <v>667</v>
      </c>
      <c r="O593" s="20">
        <v>1</v>
      </c>
      <c r="P593" s="20">
        <v>5000</v>
      </c>
      <c r="Q593" s="20">
        <v>2748.3879999999999</v>
      </c>
      <c r="R593" s="21">
        <v>0.87</v>
      </c>
      <c r="S593" s="20">
        <v>2748.3879999999999</v>
      </c>
    </row>
    <row r="594" spans="2:19" ht="15" customHeight="1" x14ac:dyDescent="0.25">
      <c r="B594" s="2" t="str">
        <f t="shared" si="18"/>
        <v>PGL_Residential_Multi-Family_Standard Rebate_Linkageless Controls_0_MF</v>
      </c>
      <c r="C594" s="2" t="str">
        <f t="shared" si="19"/>
        <v>PGL_Residential_Multi-Family_Standard Rebate_Linkageless Controls_0_MF_2023</v>
      </c>
      <c r="D594" s="19" t="s">
        <v>1794</v>
      </c>
      <c r="E594" s="19" t="s">
        <v>2</v>
      </c>
      <c r="F594" s="19" t="s">
        <v>1422</v>
      </c>
      <c r="G594" s="19" t="s">
        <v>1418</v>
      </c>
      <c r="H594" s="19" t="s">
        <v>1287</v>
      </c>
      <c r="I594" s="19">
        <v>0</v>
      </c>
      <c r="J594" s="19" t="s">
        <v>28</v>
      </c>
      <c r="K594" s="19" t="s">
        <v>553</v>
      </c>
      <c r="L594" s="19">
        <v>2023</v>
      </c>
      <c r="M594" s="20">
        <v>5000</v>
      </c>
      <c r="N594" s="19" t="s">
        <v>667</v>
      </c>
      <c r="O594" s="20">
        <v>1</v>
      </c>
      <c r="P594" s="20">
        <v>5000</v>
      </c>
      <c r="Q594" s="20">
        <v>2748.3879999999999</v>
      </c>
      <c r="R594" s="21">
        <v>0.87</v>
      </c>
      <c r="S594" s="20">
        <v>2748.3879999999999</v>
      </c>
    </row>
    <row r="595" spans="2:19" ht="15" customHeight="1" x14ac:dyDescent="0.25">
      <c r="B595" s="2" t="str">
        <f t="shared" si="18"/>
        <v>PGL_Residential_Multi-Family_Standard Rebate_Linkageless Controls_0_MF</v>
      </c>
      <c r="C595" s="2" t="str">
        <f t="shared" si="19"/>
        <v>PGL_Residential_Multi-Family_Standard Rebate_Linkageless Controls_0_MF_2024</v>
      </c>
      <c r="D595" s="19" t="s">
        <v>1794</v>
      </c>
      <c r="E595" s="19" t="s">
        <v>2</v>
      </c>
      <c r="F595" s="19" t="s">
        <v>1422</v>
      </c>
      <c r="G595" s="19" t="s">
        <v>1418</v>
      </c>
      <c r="H595" s="19" t="s">
        <v>1287</v>
      </c>
      <c r="I595" s="19">
        <v>0</v>
      </c>
      <c r="J595" s="19" t="s">
        <v>28</v>
      </c>
      <c r="K595" s="19" t="s">
        <v>553</v>
      </c>
      <c r="L595" s="19">
        <v>2024</v>
      </c>
      <c r="M595" s="20">
        <v>5000</v>
      </c>
      <c r="N595" s="19" t="s">
        <v>667</v>
      </c>
      <c r="O595" s="20">
        <v>1</v>
      </c>
      <c r="P595" s="20">
        <v>5000</v>
      </c>
      <c r="Q595" s="20">
        <v>2748.3879999999999</v>
      </c>
      <c r="R595" s="21">
        <v>0.87</v>
      </c>
      <c r="S595" s="20">
        <v>2748.3879999999999</v>
      </c>
    </row>
    <row r="596" spans="2:19" ht="15" customHeight="1" x14ac:dyDescent="0.25">
      <c r="B596" s="2" t="str">
        <f t="shared" si="18"/>
        <v>PGL_Residential_Multi-Family_Standard Rebate_Linkageless Controls_0_MF</v>
      </c>
      <c r="C596" s="2" t="str">
        <f t="shared" si="19"/>
        <v>PGL_Residential_Multi-Family_Standard Rebate_Linkageless Controls_0_MF_2025</v>
      </c>
      <c r="D596" s="19" t="s">
        <v>1794</v>
      </c>
      <c r="E596" s="19" t="s">
        <v>2</v>
      </c>
      <c r="F596" s="19" t="s">
        <v>1422</v>
      </c>
      <c r="G596" s="19" t="s">
        <v>1418</v>
      </c>
      <c r="H596" s="19" t="s">
        <v>1287</v>
      </c>
      <c r="I596" s="19">
        <v>0</v>
      </c>
      <c r="J596" s="19" t="s">
        <v>28</v>
      </c>
      <c r="K596" s="19" t="s">
        <v>553</v>
      </c>
      <c r="L596" s="19">
        <v>2025</v>
      </c>
      <c r="M596" s="20">
        <v>5000</v>
      </c>
      <c r="N596" s="19" t="s">
        <v>667</v>
      </c>
      <c r="O596" s="20">
        <v>1</v>
      </c>
      <c r="P596" s="20">
        <v>5000</v>
      </c>
      <c r="Q596" s="20">
        <v>2748.3879999999999</v>
      </c>
      <c r="R596" s="21">
        <v>0.87</v>
      </c>
      <c r="S596" s="20">
        <v>2748.3879999999999</v>
      </c>
    </row>
    <row r="597" spans="2:19" ht="15" customHeight="1" x14ac:dyDescent="0.25">
      <c r="B597" s="2" t="str">
        <f t="shared" si="18"/>
        <v>PGL_Residential_Multi-Family_Standard Rebate_On Demand DHW Circulation System_0_MF</v>
      </c>
      <c r="C597" s="2" t="str">
        <f t="shared" si="19"/>
        <v>PGL_Residential_Multi-Family_Standard Rebate_On Demand DHW Circulation System_0_MF_2022</v>
      </c>
      <c r="D597" s="19" t="s">
        <v>1794</v>
      </c>
      <c r="E597" s="19" t="s">
        <v>2</v>
      </c>
      <c r="F597" s="19" t="s">
        <v>1422</v>
      </c>
      <c r="G597" s="19" t="s">
        <v>1418</v>
      </c>
      <c r="H597" s="19" t="s">
        <v>1075</v>
      </c>
      <c r="I597" s="19">
        <v>0</v>
      </c>
      <c r="J597" s="19" t="s">
        <v>26</v>
      </c>
      <c r="K597" s="19" t="s">
        <v>553</v>
      </c>
      <c r="L597" s="19">
        <v>2022</v>
      </c>
      <c r="M597" s="20">
        <v>1</v>
      </c>
      <c r="N597" s="19" t="s">
        <v>1804</v>
      </c>
      <c r="O597" s="20">
        <v>1</v>
      </c>
      <c r="P597" s="20">
        <v>1</v>
      </c>
      <c r="Q597" s="20">
        <v>54.537777481979994</v>
      </c>
      <c r="R597" s="21">
        <v>0.87</v>
      </c>
      <c r="S597" s="20">
        <v>54.537777481979994</v>
      </c>
    </row>
    <row r="598" spans="2:19" ht="15" customHeight="1" x14ac:dyDescent="0.25">
      <c r="B598" s="2" t="str">
        <f t="shared" si="18"/>
        <v>PGL_Residential_Multi-Family_Standard Rebate_On Demand DHW Circulation System_0_MF</v>
      </c>
      <c r="C598" s="2" t="str">
        <f t="shared" si="19"/>
        <v>PGL_Residential_Multi-Family_Standard Rebate_On Demand DHW Circulation System_0_MF_2023</v>
      </c>
      <c r="D598" s="19" t="s">
        <v>1794</v>
      </c>
      <c r="E598" s="19" t="s">
        <v>2</v>
      </c>
      <c r="F598" s="19" t="s">
        <v>1422</v>
      </c>
      <c r="G598" s="19" t="s">
        <v>1418</v>
      </c>
      <c r="H598" s="19" t="s">
        <v>1075</v>
      </c>
      <c r="I598" s="19">
        <v>0</v>
      </c>
      <c r="J598" s="19" t="s">
        <v>26</v>
      </c>
      <c r="K598" s="19" t="s">
        <v>553</v>
      </c>
      <c r="L598" s="19">
        <v>2023</v>
      </c>
      <c r="M598" s="20">
        <v>1</v>
      </c>
      <c r="N598" s="19" t="s">
        <v>1804</v>
      </c>
      <c r="O598" s="20">
        <v>1</v>
      </c>
      <c r="P598" s="20">
        <v>1</v>
      </c>
      <c r="Q598" s="20">
        <v>54.537777481979994</v>
      </c>
      <c r="R598" s="21">
        <v>0.87</v>
      </c>
      <c r="S598" s="20">
        <v>54.537777481979994</v>
      </c>
    </row>
    <row r="599" spans="2:19" ht="15" customHeight="1" x14ac:dyDescent="0.25">
      <c r="B599" s="2" t="str">
        <f t="shared" si="18"/>
        <v>PGL_Residential_Multi-Family_Standard Rebate_On Demand DHW Circulation System_0_MF</v>
      </c>
      <c r="C599" s="2" t="str">
        <f t="shared" si="19"/>
        <v>PGL_Residential_Multi-Family_Standard Rebate_On Demand DHW Circulation System_0_MF_2024</v>
      </c>
      <c r="D599" s="19" t="s">
        <v>1794</v>
      </c>
      <c r="E599" s="19" t="s">
        <v>2</v>
      </c>
      <c r="F599" s="19" t="s">
        <v>1422</v>
      </c>
      <c r="G599" s="19" t="s">
        <v>1418</v>
      </c>
      <c r="H599" s="19" t="s">
        <v>1075</v>
      </c>
      <c r="I599" s="19">
        <v>0</v>
      </c>
      <c r="J599" s="19" t="s">
        <v>26</v>
      </c>
      <c r="K599" s="19" t="s">
        <v>553</v>
      </c>
      <c r="L599" s="19">
        <v>2024</v>
      </c>
      <c r="M599" s="20">
        <v>1</v>
      </c>
      <c r="N599" s="19" t="s">
        <v>1804</v>
      </c>
      <c r="O599" s="20">
        <v>1</v>
      </c>
      <c r="P599" s="20">
        <v>1</v>
      </c>
      <c r="Q599" s="20">
        <v>54.537777481979994</v>
      </c>
      <c r="R599" s="21">
        <v>0.87</v>
      </c>
      <c r="S599" s="20">
        <v>54.537777481979994</v>
      </c>
    </row>
    <row r="600" spans="2:19" ht="15" customHeight="1" x14ac:dyDescent="0.25">
      <c r="B600" s="2" t="str">
        <f t="shared" si="18"/>
        <v>PGL_Residential_Multi-Family_Standard Rebate_On Demand DHW Circulation System_0_MF</v>
      </c>
      <c r="C600" s="2" t="str">
        <f t="shared" si="19"/>
        <v>PGL_Residential_Multi-Family_Standard Rebate_On Demand DHW Circulation System_0_MF_2025</v>
      </c>
      <c r="D600" s="19" t="s">
        <v>1794</v>
      </c>
      <c r="E600" s="19" t="s">
        <v>2</v>
      </c>
      <c r="F600" s="19" t="s">
        <v>1422</v>
      </c>
      <c r="G600" s="19" t="s">
        <v>1418</v>
      </c>
      <c r="H600" s="19" t="s">
        <v>1075</v>
      </c>
      <c r="I600" s="19">
        <v>0</v>
      </c>
      <c r="J600" s="19" t="s">
        <v>26</v>
      </c>
      <c r="K600" s="19" t="s">
        <v>553</v>
      </c>
      <c r="L600" s="19">
        <v>2025</v>
      </c>
      <c r="M600" s="20">
        <v>1</v>
      </c>
      <c r="N600" s="19" t="s">
        <v>1804</v>
      </c>
      <c r="O600" s="20">
        <v>1</v>
      </c>
      <c r="P600" s="20">
        <v>1</v>
      </c>
      <c r="Q600" s="20">
        <v>54.537777481979994</v>
      </c>
      <c r="R600" s="21">
        <v>0.87</v>
      </c>
      <c r="S600" s="20">
        <v>54.537777481979994</v>
      </c>
    </row>
    <row r="601" spans="2:19" ht="15" customHeight="1" x14ac:dyDescent="0.25">
      <c r="B601" s="2" t="str">
        <f t="shared" si="18"/>
        <v>PGL_Residential_Multi-Family_Standard Rebate_Demand Controlled Ventilation_0_MF/CI/SMB</v>
      </c>
      <c r="C601" s="2" t="str">
        <f t="shared" si="19"/>
        <v>PGL_Residential_Multi-Family_Standard Rebate_Demand Controlled Ventilation_0_MF/CI/SMB_2022</v>
      </c>
      <c r="D601" s="19" t="s">
        <v>1794</v>
      </c>
      <c r="E601" s="19" t="s">
        <v>2</v>
      </c>
      <c r="F601" s="19" t="s">
        <v>1422</v>
      </c>
      <c r="G601" s="19" t="s">
        <v>1418</v>
      </c>
      <c r="H601" s="19" t="s">
        <v>14</v>
      </c>
      <c r="I601" s="19">
        <v>0</v>
      </c>
      <c r="J601" s="19" t="s">
        <v>34</v>
      </c>
      <c r="K601" s="19" t="s">
        <v>662</v>
      </c>
      <c r="L601" s="19">
        <v>2022</v>
      </c>
      <c r="M601" s="20">
        <v>7500</v>
      </c>
      <c r="N601" s="19" t="s">
        <v>634</v>
      </c>
      <c r="O601" s="20">
        <v>1</v>
      </c>
      <c r="P601" s="20">
        <v>7500</v>
      </c>
      <c r="Q601" s="20">
        <v>443.70000000000005</v>
      </c>
      <c r="R601" s="21">
        <v>0.87</v>
      </c>
      <c r="S601" s="20">
        <v>443.70000000000005</v>
      </c>
    </row>
    <row r="602" spans="2:19" ht="15" customHeight="1" x14ac:dyDescent="0.25">
      <c r="B602" s="2" t="str">
        <f t="shared" si="18"/>
        <v>PGL_Residential_Multi-Family_Standard Rebate_Demand Controlled Ventilation_0_MF/CI/SMB</v>
      </c>
      <c r="C602" s="2" t="str">
        <f t="shared" si="19"/>
        <v>PGL_Residential_Multi-Family_Standard Rebate_Demand Controlled Ventilation_0_MF/CI/SMB_2023</v>
      </c>
      <c r="D602" s="19" t="s">
        <v>1794</v>
      </c>
      <c r="E602" s="19" t="s">
        <v>2</v>
      </c>
      <c r="F602" s="19" t="s">
        <v>1422</v>
      </c>
      <c r="G602" s="19" t="s">
        <v>1418</v>
      </c>
      <c r="H602" s="19" t="s">
        <v>14</v>
      </c>
      <c r="I602" s="19">
        <v>0</v>
      </c>
      <c r="J602" s="19" t="s">
        <v>34</v>
      </c>
      <c r="K602" s="19" t="s">
        <v>662</v>
      </c>
      <c r="L602" s="19">
        <v>2023</v>
      </c>
      <c r="M602" s="20">
        <v>7500</v>
      </c>
      <c r="N602" s="19" t="s">
        <v>634</v>
      </c>
      <c r="O602" s="20">
        <v>1</v>
      </c>
      <c r="P602" s="20">
        <v>7500</v>
      </c>
      <c r="Q602" s="20">
        <v>443.70000000000005</v>
      </c>
      <c r="R602" s="21">
        <v>0.87</v>
      </c>
      <c r="S602" s="20">
        <v>443.70000000000005</v>
      </c>
    </row>
    <row r="603" spans="2:19" ht="15" customHeight="1" x14ac:dyDescent="0.25">
      <c r="B603" s="2" t="str">
        <f t="shared" si="18"/>
        <v>PGL_Residential_Multi-Family_Standard Rebate_Demand Controlled Ventilation_0_MF/CI/SMB</v>
      </c>
      <c r="C603" s="2" t="str">
        <f t="shared" si="19"/>
        <v>PGL_Residential_Multi-Family_Standard Rebate_Demand Controlled Ventilation_0_MF/CI/SMB_2024</v>
      </c>
      <c r="D603" s="19" t="s">
        <v>1794</v>
      </c>
      <c r="E603" s="19" t="s">
        <v>2</v>
      </c>
      <c r="F603" s="19" t="s">
        <v>1422</v>
      </c>
      <c r="G603" s="19" t="s">
        <v>1418</v>
      </c>
      <c r="H603" s="19" t="s">
        <v>14</v>
      </c>
      <c r="I603" s="19">
        <v>0</v>
      </c>
      <c r="J603" s="19" t="s">
        <v>34</v>
      </c>
      <c r="K603" s="19" t="s">
        <v>662</v>
      </c>
      <c r="L603" s="19">
        <v>2024</v>
      </c>
      <c r="M603" s="20">
        <v>7500</v>
      </c>
      <c r="N603" s="19" t="s">
        <v>634</v>
      </c>
      <c r="O603" s="20">
        <v>1</v>
      </c>
      <c r="P603" s="20">
        <v>7500</v>
      </c>
      <c r="Q603" s="20">
        <v>443.70000000000005</v>
      </c>
      <c r="R603" s="21">
        <v>0.87</v>
      </c>
      <c r="S603" s="20">
        <v>443.70000000000005</v>
      </c>
    </row>
    <row r="604" spans="2:19" ht="15" customHeight="1" x14ac:dyDescent="0.25">
      <c r="B604" s="2" t="str">
        <f t="shared" si="18"/>
        <v>PGL_Residential_Multi-Family_Standard Rebate_Demand Controlled Ventilation_0_MF/CI/SMB</v>
      </c>
      <c r="C604" s="2" t="str">
        <f t="shared" si="19"/>
        <v>PGL_Residential_Multi-Family_Standard Rebate_Demand Controlled Ventilation_0_MF/CI/SMB_2025</v>
      </c>
      <c r="D604" s="19" t="s">
        <v>1794</v>
      </c>
      <c r="E604" s="19" t="s">
        <v>2</v>
      </c>
      <c r="F604" s="19" t="s">
        <v>1422</v>
      </c>
      <c r="G604" s="19" t="s">
        <v>1418</v>
      </c>
      <c r="H604" s="19" t="s">
        <v>14</v>
      </c>
      <c r="I604" s="19">
        <v>0</v>
      </c>
      <c r="J604" s="19" t="s">
        <v>34</v>
      </c>
      <c r="K604" s="19" t="s">
        <v>662</v>
      </c>
      <c r="L604" s="19">
        <v>2025</v>
      </c>
      <c r="M604" s="20">
        <v>7500</v>
      </c>
      <c r="N604" s="19" t="s">
        <v>634</v>
      </c>
      <c r="O604" s="20">
        <v>1</v>
      </c>
      <c r="P604" s="20">
        <v>7500</v>
      </c>
      <c r="Q604" s="20">
        <v>443.70000000000005</v>
      </c>
      <c r="R604" s="21">
        <v>0.87</v>
      </c>
      <c r="S604" s="20">
        <v>443.70000000000005</v>
      </c>
    </row>
    <row r="605" spans="2:19" ht="15" customHeight="1" x14ac:dyDescent="0.25">
      <c r="B605" s="2" t="str">
        <f t="shared" si="18"/>
        <v>PGL_Residential_Multi-Family_Standard Rebate_Modulating Commercial Gas Clothes Dryer_Hotels &amp; Hospitals_CI</v>
      </c>
      <c r="C605" s="2" t="str">
        <f t="shared" si="19"/>
        <v>PGL_Residential_Multi-Family_Standard Rebate_Modulating Commercial Gas Clothes Dryer_Hotels &amp; Hospitals_CI_2022</v>
      </c>
      <c r="D605" s="19" t="s">
        <v>1794</v>
      </c>
      <c r="E605" s="19" t="s">
        <v>2</v>
      </c>
      <c r="F605" s="19" t="s">
        <v>1422</v>
      </c>
      <c r="G605" s="19" t="s">
        <v>1418</v>
      </c>
      <c r="H605" s="19" t="s">
        <v>12</v>
      </c>
      <c r="I605" s="19" t="s">
        <v>1253</v>
      </c>
      <c r="J605" s="19" t="s">
        <v>29</v>
      </c>
      <c r="K605" s="19" t="s">
        <v>1159</v>
      </c>
      <c r="L605" s="19">
        <v>2022</v>
      </c>
      <c r="M605" s="20">
        <v>1</v>
      </c>
      <c r="N605" s="19" t="s">
        <v>1798</v>
      </c>
      <c r="O605" s="20">
        <v>1</v>
      </c>
      <c r="P605" s="20">
        <v>1</v>
      </c>
      <c r="Q605" s="20">
        <v>564.85619999999994</v>
      </c>
      <c r="R605" s="21">
        <v>0.87</v>
      </c>
      <c r="S605" s="20">
        <v>564.85619999999994</v>
      </c>
    </row>
    <row r="606" spans="2:19" ht="15" customHeight="1" x14ac:dyDescent="0.25">
      <c r="B606" s="2" t="str">
        <f t="shared" si="18"/>
        <v>PGL_Residential_Multi-Family_Standard Rebate_Modulating Commercial Gas Clothes Dryer_Hotels &amp; Hospitals_CI</v>
      </c>
      <c r="C606" s="2" t="str">
        <f t="shared" si="19"/>
        <v>PGL_Residential_Multi-Family_Standard Rebate_Modulating Commercial Gas Clothes Dryer_Hotels &amp; Hospitals_CI_2023</v>
      </c>
      <c r="D606" s="19" t="s">
        <v>1794</v>
      </c>
      <c r="E606" s="19" t="s">
        <v>2</v>
      </c>
      <c r="F606" s="19" t="s">
        <v>1422</v>
      </c>
      <c r="G606" s="19" t="s">
        <v>1418</v>
      </c>
      <c r="H606" s="19" t="s">
        <v>12</v>
      </c>
      <c r="I606" s="19" t="s">
        <v>1253</v>
      </c>
      <c r="J606" s="19" t="s">
        <v>29</v>
      </c>
      <c r="K606" s="19" t="s">
        <v>1159</v>
      </c>
      <c r="L606" s="19">
        <v>2023</v>
      </c>
      <c r="M606" s="20">
        <v>1</v>
      </c>
      <c r="N606" s="19" t="s">
        <v>1798</v>
      </c>
      <c r="O606" s="20">
        <v>1</v>
      </c>
      <c r="P606" s="20">
        <v>1</v>
      </c>
      <c r="Q606" s="20">
        <v>564.85619999999994</v>
      </c>
      <c r="R606" s="21">
        <v>0.87</v>
      </c>
      <c r="S606" s="20">
        <v>564.85619999999994</v>
      </c>
    </row>
    <row r="607" spans="2:19" ht="15" customHeight="1" x14ac:dyDescent="0.25">
      <c r="B607" s="2" t="str">
        <f t="shared" si="18"/>
        <v>PGL_Residential_Multi-Family_Standard Rebate_Modulating Commercial Gas Clothes Dryer_Hotels &amp; Hospitals_CI</v>
      </c>
      <c r="C607" s="2" t="str">
        <f t="shared" si="19"/>
        <v>PGL_Residential_Multi-Family_Standard Rebate_Modulating Commercial Gas Clothes Dryer_Hotels &amp; Hospitals_CI_2024</v>
      </c>
      <c r="D607" s="19" t="s">
        <v>1794</v>
      </c>
      <c r="E607" s="19" t="s">
        <v>2</v>
      </c>
      <c r="F607" s="19" t="s">
        <v>1422</v>
      </c>
      <c r="G607" s="19" t="s">
        <v>1418</v>
      </c>
      <c r="H607" s="19" t="s">
        <v>12</v>
      </c>
      <c r="I607" s="19" t="s">
        <v>1253</v>
      </c>
      <c r="J607" s="19" t="s">
        <v>29</v>
      </c>
      <c r="K607" s="19" t="s">
        <v>1159</v>
      </c>
      <c r="L607" s="19">
        <v>2024</v>
      </c>
      <c r="M607" s="20">
        <v>1</v>
      </c>
      <c r="N607" s="19" t="s">
        <v>1798</v>
      </c>
      <c r="O607" s="20">
        <v>1</v>
      </c>
      <c r="P607" s="20">
        <v>1</v>
      </c>
      <c r="Q607" s="20">
        <v>564.85619999999994</v>
      </c>
      <c r="R607" s="21">
        <v>0.87</v>
      </c>
      <c r="S607" s="20">
        <v>564.85619999999994</v>
      </c>
    </row>
    <row r="608" spans="2:19" ht="15" customHeight="1" x14ac:dyDescent="0.25">
      <c r="B608" s="2" t="str">
        <f t="shared" si="18"/>
        <v>PGL_Residential_Multi-Family_Standard Rebate_Modulating Commercial Gas Clothes Dryer_Hotels &amp; Hospitals_CI</v>
      </c>
      <c r="C608" s="2" t="str">
        <f t="shared" si="19"/>
        <v>PGL_Residential_Multi-Family_Standard Rebate_Modulating Commercial Gas Clothes Dryer_Hotels &amp; Hospitals_CI_2025</v>
      </c>
      <c r="D608" s="19" t="s">
        <v>1794</v>
      </c>
      <c r="E608" s="19" t="s">
        <v>2</v>
      </c>
      <c r="F608" s="19" t="s">
        <v>1422</v>
      </c>
      <c r="G608" s="19" t="s">
        <v>1418</v>
      </c>
      <c r="H608" s="19" t="s">
        <v>12</v>
      </c>
      <c r="I608" s="19" t="s">
        <v>1253</v>
      </c>
      <c r="J608" s="19" t="s">
        <v>29</v>
      </c>
      <c r="K608" s="19" t="s">
        <v>1159</v>
      </c>
      <c r="L608" s="19">
        <v>2025</v>
      </c>
      <c r="M608" s="20">
        <v>1</v>
      </c>
      <c r="N608" s="19" t="s">
        <v>1798</v>
      </c>
      <c r="O608" s="20">
        <v>1</v>
      </c>
      <c r="P608" s="20">
        <v>1</v>
      </c>
      <c r="Q608" s="20">
        <v>564.85619999999994</v>
      </c>
      <c r="R608" s="21">
        <v>0.87</v>
      </c>
      <c r="S608" s="20">
        <v>564.85619999999994</v>
      </c>
    </row>
    <row r="609" spans="2:19" ht="15" customHeight="1" x14ac:dyDescent="0.25">
      <c r="B609" s="2" t="str">
        <f t="shared" si="18"/>
        <v>PGL_Residential_Multi-Family_Standard Rebate_Modulating Commercial Gas Clothes Dryer_Laundromat &amp; MF Dorms_MF/SMB</v>
      </c>
      <c r="C609" s="2" t="str">
        <f t="shared" si="19"/>
        <v>PGL_Residential_Multi-Family_Standard Rebate_Modulating Commercial Gas Clothes Dryer_Laundromat &amp; MF Dorms_MF/SMB_2022</v>
      </c>
      <c r="D609" s="19" t="s">
        <v>1794</v>
      </c>
      <c r="E609" s="19" t="s">
        <v>2</v>
      </c>
      <c r="F609" s="19" t="s">
        <v>1422</v>
      </c>
      <c r="G609" s="19" t="s">
        <v>1418</v>
      </c>
      <c r="H609" s="19" t="s">
        <v>12</v>
      </c>
      <c r="I609" s="19" t="s">
        <v>1255</v>
      </c>
      <c r="J609" s="19" t="s">
        <v>29</v>
      </c>
      <c r="K609" s="19" t="s">
        <v>1256</v>
      </c>
      <c r="L609" s="19">
        <v>2022</v>
      </c>
      <c r="M609" s="20">
        <v>1</v>
      </c>
      <c r="N609" s="19" t="s">
        <v>1798</v>
      </c>
      <c r="O609" s="20">
        <v>1</v>
      </c>
      <c r="P609" s="20">
        <v>1</v>
      </c>
      <c r="Q609" s="20">
        <v>200.2131</v>
      </c>
      <c r="R609" s="21">
        <v>0.87</v>
      </c>
      <c r="S609" s="20">
        <v>200.2131</v>
      </c>
    </row>
    <row r="610" spans="2:19" ht="15" customHeight="1" x14ac:dyDescent="0.25">
      <c r="B610" s="2" t="str">
        <f t="shared" si="18"/>
        <v>PGL_Residential_Multi-Family_Standard Rebate_Modulating Commercial Gas Clothes Dryer_Laundromat &amp; MF Dorms_MF/SMB</v>
      </c>
      <c r="C610" s="2" t="str">
        <f t="shared" si="19"/>
        <v>PGL_Residential_Multi-Family_Standard Rebate_Modulating Commercial Gas Clothes Dryer_Laundromat &amp; MF Dorms_MF/SMB_2023</v>
      </c>
      <c r="D610" s="19" t="s">
        <v>1794</v>
      </c>
      <c r="E610" s="19" t="s">
        <v>2</v>
      </c>
      <c r="F610" s="19" t="s">
        <v>1422</v>
      </c>
      <c r="G610" s="19" t="s">
        <v>1418</v>
      </c>
      <c r="H610" s="19" t="s">
        <v>12</v>
      </c>
      <c r="I610" s="19" t="s">
        <v>1255</v>
      </c>
      <c r="J610" s="19" t="s">
        <v>29</v>
      </c>
      <c r="K610" s="19" t="s">
        <v>1256</v>
      </c>
      <c r="L610" s="19">
        <v>2023</v>
      </c>
      <c r="M610" s="20">
        <v>1</v>
      </c>
      <c r="N610" s="19" t="s">
        <v>1798</v>
      </c>
      <c r="O610" s="20">
        <v>1</v>
      </c>
      <c r="P610" s="20">
        <v>1</v>
      </c>
      <c r="Q610" s="20">
        <v>200.2131</v>
      </c>
      <c r="R610" s="21">
        <v>0.87</v>
      </c>
      <c r="S610" s="20">
        <v>200.2131</v>
      </c>
    </row>
    <row r="611" spans="2:19" ht="15" customHeight="1" x14ac:dyDescent="0.25">
      <c r="B611" s="2" t="str">
        <f t="shared" si="18"/>
        <v>PGL_Residential_Multi-Family_Standard Rebate_Modulating Commercial Gas Clothes Dryer_Laundromat &amp; MF Dorms_MF/SMB</v>
      </c>
      <c r="C611" s="2" t="str">
        <f t="shared" si="19"/>
        <v>PGL_Residential_Multi-Family_Standard Rebate_Modulating Commercial Gas Clothes Dryer_Laundromat &amp; MF Dorms_MF/SMB_2024</v>
      </c>
      <c r="D611" s="19" t="s">
        <v>1794</v>
      </c>
      <c r="E611" s="19" t="s">
        <v>2</v>
      </c>
      <c r="F611" s="19" t="s">
        <v>1422</v>
      </c>
      <c r="G611" s="19" t="s">
        <v>1418</v>
      </c>
      <c r="H611" s="19" t="s">
        <v>12</v>
      </c>
      <c r="I611" s="19" t="s">
        <v>1255</v>
      </c>
      <c r="J611" s="19" t="s">
        <v>29</v>
      </c>
      <c r="K611" s="19" t="s">
        <v>1256</v>
      </c>
      <c r="L611" s="19">
        <v>2024</v>
      </c>
      <c r="M611" s="20">
        <v>1</v>
      </c>
      <c r="N611" s="19" t="s">
        <v>1798</v>
      </c>
      <c r="O611" s="20">
        <v>1</v>
      </c>
      <c r="P611" s="20">
        <v>1</v>
      </c>
      <c r="Q611" s="20">
        <v>200.2131</v>
      </c>
      <c r="R611" s="21">
        <v>0.87</v>
      </c>
      <c r="S611" s="20">
        <v>200.2131</v>
      </c>
    </row>
    <row r="612" spans="2:19" ht="15" customHeight="1" x14ac:dyDescent="0.25">
      <c r="B612" s="2" t="str">
        <f t="shared" si="18"/>
        <v>PGL_Residential_Multi-Family_Standard Rebate_Modulating Commercial Gas Clothes Dryer_Laundromat &amp; MF Dorms_MF/SMB</v>
      </c>
      <c r="C612" s="2" t="str">
        <f t="shared" si="19"/>
        <v>PGL_Residential_Multi-Family_Standard Rebate_Modulating Commercial Gas Clothes Dryer_Laundromat &amp; MF Dorms_MF/SMB_2025</v>
      </c>
      <c r="D612" s="19" t="s">
        <v>1794</v>
      </c>
      <c r="E612" s="19" t="s">
        <v>2</v>
      </c>
      <c r="F612" s="19" t="s">
        <v>1422</v>
      </c>
      <c r="G612" s="19" t="s">
        <v>1418</v>
      </c>
      <c r="H612" s="19" t="s">
        <v>12</v>
      </c>
      <c r="I612" s="19" t="s">
        <v>1255</v>
      </c>
      <c r="J612" s="19" t="s">
        <v>29</v>
      </c>
      <c r="K612" s="19" t="s">
        <v>1256</v>
      </c>
      <c r="L612" s="19">
        <v>2025</v>
      </c>
      <c r="M612" s="20">
        <v>1</v>
      </c>
      <c r="N612" s="19" t="s">
        <v>1798</v>
      </c>
      <c r="O612" s="20">
        <v>1</v>
      </c>
      <c r="P612" s="20">
        <v>1</v>
      </c>
      <c r="Q612" s="20">
        <v>200.2131</v>
      </c>
      <c r="R612" s="21">
        <v>0.87</v>
      </c>
      <c r="S612" s="20">
        <v>200.2131</v>
      </c>
    </row>
    <row r="613" spans="2:19" ht="15" customHeight="1" x14ac:dyDescent="0.25">
      <c r="B613" s="2" t="str">
        <f t="shared" si="18"/>
        <v>PGL_Residential_Multi-Family_Standard Rebate_Water Heater_Central/Indirect MF ≥88% TE_MF</v>
      </c>
      <c r="C613" s="2" t="str">
        <f t="shared" si="19"/>
        <v>PGL_Residential_Multi-Family_Standard Rebate_Water Heater_Central/Indirect MF ≥88% TE_MF_2022</v>
      </c>
      <c r="D613" s="19" t="s">
        <v>1794</v>
      </c>
      <c r="E613" s="19" t="s">
        <v>2</v>
      </c>
      <c r="F613" s="19" t="s">
        <v>1422</v>
      </c>
      <c r="G613" s="19" t="s">
        <v>1418</v>
      </c>
      <c r="H613" s="19" t="s">
        <v>8</v>
      </c>
      <c r="I613" s="19" t="s">
        <v>1066</v>
      </c>
      <c r="J613" s="19" t="s">
        <v>30</v>
      </c>
      <c r="K613" s="19" t="s">
        <v>553</v>
      </c>
      <c r="L613" s="19">
        <v>2022</v>
      </c>
      <c r="M613" s="20">
        <v>1</v>
      </c>
      <c r="N613" s="19" t="s">
        <v>1798</v>
      </c>
      <c r="O613" s="20">
        <v>0</v>
      </c>
      <c r="P613" s="20">
        <v>0</v>
      </c>
      <c r="Q613" s="20">
        <v>0</v>
      </c>
      <c r="R613" s="21">
        <v>0.87</v>
      </c>
      <c r="S613" s="20">
        <v>0</v>
      </c>
    </row>
    <row r="614" spans="2:19" ht="15" customHeight="1" x14ac:dyDescent="0.25">
      <c r="B614" s="2" t="str">
        <f t="shared" si="18"/>
        <v>PGL_Residential_Multi-Family_Standard Rebate_Water Heater_Central/Indirect MF ≥88% TE_MF</v>
      </c>
      <c r="C614" s="2" t="str">
        <f t="shared" si="19"/>
        <v>PGL_Residential_Multi-Family_Standard Rebate_Water Heater_Central/Indirect MF ≥88% TE_MF_2023</v>
      </c>
      <c r="D614" s="19" t="s">
        <v>1794</v>
      </c>
      <c r="E614" s="19" t="s">
        <v>2</v>
      </c>
      <c r="F614" s="19" t="s">
        <v>1422</v>
      </c>
      <c r="G614" s="19" t="s">
        <v>1418</v>
      </c>
      <c r="H614" s="19" t="s">
        <v>8</v>
      </c>
      <c r="I614" s="19" t="s">
        <v>1066</v>
      </c>
      <c r="J614" s="19" t="s">
        <v>30</v>
      </c>
      <c r="K614" s="19" t="s">
        <v>553</v>
      </c>
      <c r="L614" s="19">
        <v>2023</v>
      </c>
      <c r="M614" s="20">
        <v>1</v>
      </c>
      <c r="N614" s="19" t="s">
        <v>1798</v>
      </c>
      <c r="O614" s="20">
        <v>0</v>
      </c>
      <c r="P614" s="20">
        <v>0</v>
      </c>
      <c r="Q614" s="20">
        <v>0</v>
      </c>
      <c r="R614" s="21">
        <v>0.87</v>
      </c>
      <c r="S614" s="20">
        <v>0</v>
      </c>
    </row>
    <row r="615" spans="2:19" ht="15" customHeight="1" x14ac:dyDescent="0.25">
      <c r="B615" s="2" t="str">
        <f t="shared" si="18"/>
        <v>PGL_Residential_Multi-Family_Standard Rebate_Water Heater_Central/Indirect MF ≥88% TE_MF</v>
      </c>
      <c r="C615" s="2" t="str">
        <f t="shared" si="19"/>
        <v>PGL_Residential_Multi-Family_Standard Rebate_Water Heater_Central/Indirect MF ≥88% TE_MF_2024</v>
      </c>
      <c r="D615" s="19" t="s">
        <v>1794</v>
      </c>
      <c r="E615" s="19" t="s">
        <v>2</v>
      </c>
      <c r="F615" s="19" t="s">
        <v>1422</v>
      </c>
      <c r="G615" s="19" t="s">
        <v>1418</v>
      </c>
      <c r="H615" s="19" t="s">
        <v>8</v>
      </c>
      <c r="I615" s="19" t="s">
        <v>1066</v>
      </c>
      <c r="J615" s="19" t="s">
        <v>30</v>
      </c>
      <c r="K615" s="19" t="s">
        <v>553</v>
      </c>
      <c r="L615" s="19">
        <v>2024</v>
      </c>
      <c r="M615" s="20">
        <v>1</v>
      </c>
      <c r="N615" s="19" t="s">
        <v>1798</v>
      </c>
      <c r="O615" s="20">
        <v>0</v>
      </c>
      <c r="P615" s="20">
        <v>0</v>
      </c>
      <c r="Q615" s="20">
        <v>0</v>
      </c>
      <c r="R615" s="21">
        <v>0.87</v>
      </c>
      <c r="S615" s="20">
        <v>0</v>
      </c>
    </row>
    <row r="616" spans="2:19" ht="15" customHeight="1" x14ac:dyDescent="0.25">
      <c r="B616" s="2" t="str">
        <f t="shared" si="18"/>
        <v>PGL_Residential_Multi-Family_Standard Rebate_Water Heater_Central/Indirect MF ≥88% TE_MF</v>
      </c>
      <c r="C616" s="2" t="str">
        <f t="shared" si="19"/>
        <v>PGL_Residential_Multi-Family_Standard Rebate_Water Heater_Central/Indirect MF ≥88% TE_MF_2025</v>
      </c>
      <c r="D616" s="19" t="s">
        <v>1794</v>
      </c>
      <c r="E616" s="19" t="s">
        <v>2</v>
      </c>
      <c r="F616" s="19" t="s">
        <v>1422</v>
      </c>
      <c r="G616" s="19" t="s">
        <v>1418</v>
      </c>
      <c r="H616" s="19" t="s">
        <v>8</v>
      </c>
      <c r="I616" s="19" t="s">
        <v>1066</v>
      </c>
      <c r="J616" s="19" t="s">
        <v>30</v>
      </c>
      <c r="K616" s="19" t="s">
        <v>553</v>
      </c>
      <c r="L616" s="19">
        <v>2025</v>
      </c>
      <c r="M616" s="20">
        <v>1</v>
      </c>
      <c r="N616" s="19" t="s">
        <v>1798</v>
      </c>
      <c r="O616" s="20">
        <v>0</v>
      </c>
      <c r="P616" s="20">
        <v>0</v>
      </c>
      <c r="Q616" s="20">
        <v>0</v>
      </c>
      <c r="R616" s="21">
        <v>0.87</v>
      </c>
      <c r="S616" s="20">
        <v>0</v>
      </c>
    </row>
    <row r="617" spans="2:19" ht="15" customHeight="1" x14ac:dyDescent="0.25">
      <c r="B617" s="2" t="str">
        <f t="shared" si="18"/>
        <v>PGL_Residential_Multi-Family_Standard Rebate_Water Heater_Storage 0.67 EF_MF</v>
      </c>
      <c r="C617" s="2" t="str">
        <f t="shared" si="19"/>
        <v>PGL_Residential_Multi-Family_Standard Rebate_Water Heater_Storage 0.67 EF_MF_2022</v>
      </c>
      <c r="D617" s="19" t="s">
        <v>1794</v>
      </c>
      <c r="E617" s="19" t="s">
        <v>2</v>
      </c>
      <c r="F617" s="19" t="s">
        <v>1422</v>
      </c>
      <c r="G617" s="19" t="s">
        <v>1418</v>
      </c>
      <c r="H617" s="19" t="s">
        <v>8</v>
      </c>
      <c r="I617" s="19" t="s">
        <v>879</v>
      </c>
      <c r="J617" s="19" t="s">
        <v>1263</v>
      </c>
      <c r="K617" s="19" t="s">
        <v>553</v>
      </c>
      <c r="L617" s="19">
        <v>2022</v>
      </c>
      <c r="M617" s="20">
        <v>1</v>
      </c>
      <c r="N617" s="19" t="s">
        <v>1798</v>
      </c>
      <c r="O617" s="20">
        <v>190</v>
      </c>
      <c r="P617" s="20">
        <v>190</v>
      </c>
      <c r="Q617" s="20">
        <v>5857.4910981050434</v>
      </c>
      <c r="R617" s="21">
        <v>0.87</v>
      </c>
      <c r="S617" s="20">
        <v>5857.4910981050434</v>
      </c>
    </row>
    <row r="618" spans="2:19" ht="15" customHeight="1" x14ac:dyDescent="0.25">
      <c r="B618" s="2" t="str">
        <f t="shared" si="18"/>
        <v>PGL_Residential_Multi-Family_Standard Rebate_Water Heater_Storage 0.67 EF_MF</v>
      </c>
      <c r="C618" s="2" t="str">
        <f t="shared" si="19"/>
        <v>PGL_Residential_Multi-Family_Standard Rebate_Water Heater_Storage 0.67 EF_MF_2023</v>
      </c>
      <c r="D618" s="19" t="s">
        <v>1794</v>
      </c>
      <c r="E618" s="19" t="s">
        <v>2</v>
      </c>
      <c r="F618" s="19" t="s">
        <v>1422</v>
      </c>
      <c r="G618" s="19" t="s">
        <v>1418</v>
      </c>
      <c r="H618" s="19" t="s">
        <v>8</v>
      </c>
      <c r="I618" s="19" t="s">
        <v>879</v>
      </c>
      <c r="J618" s="19" t="s">
        <v>1263</v>
      </c>
      <c r="K618" s="19" t="s">
        <v>553</v>
      </c>
      <c r="L618" s="19">
        <v>2023</v>
      </c>
      <c r="M618" s="20">
        <v>1</v>
      </c>
      <c r="N618" s="19" t="s">
        <v>1798</v>
      </c>
      <c r="O618" s="20">
        <v>170</v>
      </c>
      <c r="P618" s="20">
        <v>170</v>
      </c>
      <c r="Q618" s="20">
        <v>5240.9130877781963</v>
      </c>
      <c r="R618" s="21">
        <v>0.87</v>
      </c>
      <c r="S618" s="20">
        <v>5240.9130877781963</v>
      </c>
    </row>
    <row r="619" spans="2:19" ht="15" customHeight="1" x14ac:dyDescent="0.25">
      <c r="B619" s="2" t="str">
        <f t="shared" si="18"/>
        <v>PGL_Residential_Multi-Family_Standard Rebate_Water Heater_Storage 0.67 EF_MF</v>
      </c>
      <c r="C619" s="2" t="str">
        <f t="shared" si="19"/>
        <v>PGL_Residential_Multi-Family_Standard Rebate_Water Heater_Storage 0.67 EF_MF_2024</v>
      </c>
      <c r="D619" s="19" t="s">
        <v>1794</v>
      </c>
      <c r="E619" s="19" t="s">
        <v>2</v>
      </c>
      <c r="F619" s="19" t="s">
        <v>1422</v>
      </c>
      <c r="G619" s="19" t="s">
        <v>1418</v>
      </c>
      <c r="H619" s="19" t="s">
        <v>8</v>
      </c>
      <c r="I619" s="19" t="s">
        <v>879</v>
      </c>
      <c r="J619" s="19" t="s">
        <v>1263</v>
      </c>
      <c r="K619" s="19" t="s">
        <v>553</v>
      </c>
      <c r="L619" s="19">
        <v>2024</v>
      </c>
      <c r="M619" s="20">
        <v>1</v>
      </c>
      <c r="N619" s="19" t="s">
        <v>1798</v>
      </c>
      <c r="O619" s="20">
        <v>150</v>
      </c>
      <c r="P619" s="20">
        <v>150</v>
      </c>
      <c r="Q619" s="20">
        <v>4624.3350774513501</v>
      </c>
      <c r="R619" s="21">
        <v>0.87</v>
      </c>
      <c r="S619" s="20">
        <v>4624.3350774513501</v>
      </c>
    </row>
    <row r="620" spans="2:19" ht="15" customHeight="1" x14ac:dyDescent="0.25">
      <c r="B620" s="2" t="str">
        <f t="shared" si="18"/>
        <v>PGL_Residential_Multi-Family_Standard Rebate_Water Heater_Storage 0.67 EF_MF</v>
      </c>
      <c r="C620" s="2" t="str">
        <f t="shared" si="19"/>
        <v>PGL_Residential_Multi-Family_Standard Rebate_Water Heater_Storage 0.67 EF_MF_2025</v>
      </c>
      <c r="D620" s="19" t="s">
        <v>1794</v>
      </c>
      <c r="E620" s="19" t="s">
        <v>2</v>
      </c>
      <c r="F620" s="19" t="s">
        <v>1422</v>
      </c>
      <c r="G620" s="19" t="s">
        <v>1418</v>
      </c>
      <c r="H620" s="19" t="s">
        <v>8</v>
      </c>
      <c r="I620" s="19" t="s">
        <v>879</v>
      </c>
      <c r="J620" s="19" t="s">
        <v>1263</v>
      </c>
      <c r="K620" s="19" t="s">
        <v>553</v>
      </c>
      <c r="L620" s="19">
        <v>2025</v>
      </c>
      <c r="M620" s="20">
        <v>1</v>
      </c>
      <c r="N620" s="19" t="s">
        <v>1798</v>
      </c>
      <c r="O620" s="20">
        <v>110</v>
      </c>
      <c r="P620" s="20">
        <v>110</v>
      </c>
      <c r="Q620" s="20">
        <v>3391.1790567976568</v>
      </c>
      <c r="R620" s="21">
        <v>0.87</v>
      </c>
      <c r="S620" s="20">
        <v>3391.1790567976568</v>
      </c>
    </row>
    <row r="621" spans="2:19" ht="15" customHeight="1" x14ac:dyDescent="0.25">
      <c r="B621" s="2" t="str">
        <f t="shared" si="18"/>
        <v>PGL_Residential_Multi-Family_Standard Rebate_Dock Door Seals_0_CI</v>
      </c>
      <c r="C621" s="2" t="str">
        <f t="shared" si="19"/>
        <v>PGL_Residential_Multi-Family_Standard Rebate_Dock Door Seals_0_CI_2022</v>
      </c>
      <c r="D621" s="19" t="s">
        <v>1794</v>
      </c>
      <c r="E621" s="19" t="s">
        <v>2</v>
      </c>
      <c r="F621" s="19" t="s">
        <v>1422</v>
      </c>
      <c r="G621" s="19" t="s">
        <v>1418</v>
      </c>
      <c r="H621" s="19" t="s">
        <v>1291</v>
      </c>
      <c r="I621" s="19">
        <v>0</v>
      </c>
      <c r="J621" s="19">
        <v>0</v>
      </c>
      <c r="K621" s="19" t="s">
        <v>1159</v>
      </c>
      <c r="L621" s="19">
        <v>2022</v>
      </c>
      <c r="M621" s="20">
        <v>1</v>
      </c>
      <c r="N621" s="19" t="s">
        <v>1798</v>
      </c>
      <c r="O621" s="20">
        <v>1</v>
      </c>
      <c r="P621" s="20">
        <v>1</v>
      </c>
      <c r="Q621" s="20">
        <v>204.40498371428569</v>
      </c>
      <c r="R621" s="21">
        <v>0.87</v>
      </c>
      <c r="S621" s="20">
        <v>204.40498371428569</v>
      </c>
    </row>
    <row r="622" spans="2:19" ht="15" customHeight="1" x14ac:dyDescent="0.25">
      <c r="B622" s="2" t="str">
        <f t="shared" si="18"/>
        <v>PGL_Residential_Multi-Family_Standard Rebate_Dock Door Seals_0_CI</v>
      </c>
      <c r="C622" s="2" t="str">
        <f t="shared" si="19"/>
        <v>PGL_Residential_Multi-Family_Standard Rebate_Dock Door Seals_0_CI_2023</v>
      </c>
      <c r="D622" s="19" t="s">
        <v>1794</v>
      </c>
      <c r="E622" s="19" t="s">
        <v>2</v>
      </c>
      <c r="F622" s="19" t="s">
        <v>1422</v>
      </c>
      <c r="G622" s="19" t="s">
        <v>1418</v>
      </c>
      <c r="H622" s="19" t="s">
        <v>1291</v>
      </c>
      <c r="I622" s="19">
        <v>0</v>
      </c>
      <c r="J622" s="19">
        <v>0</v>
      </c>
      <c r="K622" s="19" t="s">
        <v>1159</v>
      </c>
      <c r="L622" s="19">
        <v>2023</v>
      </c>
      <c r="M622" s="20">
        <v>1</v>
      </c>
      <c r="N622" s="19" t="s">
        <v>1798</v>
      </c>
      <c r="O622" s="20">
        <v>1</v>
      </c>
      <c r="P622" s="20">
        <v>1</v>
      </c>
      <c r="Q622" s="20">
        <v>204.40498371428569</v>
      </c>
      <c r="R622" s="21">
        <v>0.87</v>
      </c>
      <c r="S622" s="20">
        <v>204.40498371428569</v>
      </c>
    </row>
    <row r="623" spans="2:19" ht="15" customHeight="1" x14ac:dyDescent="0.25">
      <c r="B623" s="2" t="str">
        <f t="shared" si="18"/>
        <v>PGL_Residential_Multi-Family_Standard Rebate_Dock Door Seals_0_CI</v>
      </c>
      <c r="C623" s="2" t="str">
        <f t="shared" si="19"/>
        <v>PGL_Residential_Multi-Family_Standard Rebate_Dock Door Seals_0_CI_2024</v>
      </c>
      <c r="D623" s="19" t="s">
        <v>1794</v>
      </c>
      <c r="E623" s="19" t="s">
        <v>2</v>
      </c>
      <c r="F623" s="19" t="s">
        <v>1422</v>
      </c>
      <c r="G623" s="19" t="s">
        <v>1418</v>
      </c>
      <c r="H623" s="19" t="s">
        <v>1291</v>
      </c>
      <c r="I623" s="19">
        <v>0</v>
      </c>
      <c r="J623" s="19">
        <v>0</v>
      </c>
      <c r="K623" s="19" t="s">
        <v>1159</v>
      </c>
      <c r="L623" s="19">
        <v>2024</v>
      </c>
      <c r="M623" s="20">
        <v>1</v>
      </c>
      <c r="N623" s="19" t="s">
        <v>1798</v>
      </c>
      <c r="O623" s="20">
        <v>1</v>
      </c>
      <c r="P623" s="20">
        <v>1</v>
      </c>
      <c r="Q623" s="20">
        <v>204.40498371428569</v>
      </c>
      <c r="R623" s="21">
        <v>0.87</v>
      </c>
      <c r="S623" s="20">
        <v>204.40498371428569</v>
      </c>
    </row>
    <row r="624" spans="2:19" ht="15" customHeight="1" x14ac:dyDescent="0.25">
      <c r="B624" s="2" t="str">
        <f t="shared" si="18"/>
        <v>PGL_Residential_Multi-Family_Standard Rebate_Dock Door Seals_0_CI</v>
      </c>
      <c r="C624" s="2" t="str">
        <f t="shared" si="19"/>
        <v>PGL_Residential_Multi-Family_Standard Rebate_Dock Door Seals_0_CI_2025</v>
      </c>
      <c r="D624" s="19" t="s">
        <v>1794</v>
      </c>
      <c r="E624" s="19" t="s">
        <v>2</v>
      </c>
      <c r="F624" s="19" t="s">
        <v>1422</v>
      </c>
      <c r="G624" s="19" t="s">
        <v>1418</v>
      </c>
      <c r="H624" s="19" t="s">
        <v>1291</v>
      </c>
      <c r="I624" s="19">
        <v>0</v>
      </c>
      <c r="J624" s="19">
        <v>0</v>
      </c>
      <c r="K624" s="19" t="s">
        <v>1159</v>
      </c>
      <c r="L624" s="19">
        <v>2025</v>
      </c>
      <c r="M624" s="20">
        <v>1</v>
      </c>
      <c r="N624" s="19" t="s">
        <v>1798</v>
      </c>
      <c r="O624" s="20">
        <v>1</v>
      </c>
      <c r="P624" s="20">
        <v>1</v>
      </c>
      <c r="Q624" s="20">
        <v>204.40498371428569</v>
      </c>
      <c r="R624" s="21">
        <v>0.87</v>
      </c>
      <c r="S624" s="20">
        <v>204.40498371428569</v>
      </c>
    </row>
    <row r="625" spans="2:19" ht="15" customHeight="1" x14ac:dyDescent="0.25">
      <c r="B625" s="2" t="str">
        <f t="shared" si="18"/>
        <v>PGL_Residential_Multi-Family_Standard Rebate_DCV - Kitchen_0_MF/CI</v>
      </c>
      <c r="C625" s="2" t="str">
        <f t="shared" si="19"/>
        <v>PGL_Residential_Multi-Family_Standard Rebate_DCV - Kitchen_0_MF/CI_2022</v>
      </c>
      <c r="D625" s="19" t="s">
        <v>1794</v>
      </c>
      <c r="E625" s="19" t="s">
        <v>2</v>
      </c>
      <c r="F625" s="19" t="s">
        <v>1422</v>
      </c>
      <c r="G625" s="19" t="s">
        <v>1418</v>
      </c>
      <c r="H625" s="19" t="s">
        <v>1077</v>
      </c>
      <c r="I625" s="19">
        <v>0</v>
      </c>
      <c r="J625" s="19" t="s">
        <v>48</v>
      </c>
      <c r="K625" s="19" t="s">
        <v>587</v>
      </c>
      <c r="L625" s="19">
        <v>2022</v>
      </c>
      <c r="M625" s="20">
        <v>7.75</v>
      </c>
      <c r="N625" s="19" t="s">
        <v>333</v>
      </c>
      <c r="O625" s="20">
        <v>4</v>
      </c>
      <c r="P625" s="20">
        <v>31</v>
      </c>
      <c r="Q625" s="20">
        <v>20874.78</v>
      </c>
      <c r="R625" s="21">
        <v>0.87</v>
      </c>
      <c r="S625" s="20">
        <v>20874.78</v>
      </c>
    </row>
    <row r="626" spans="2:19" ht="15" customHeight="1" x14ac:dyDescent="0.25">
      <c r="B626" s="2" t="str">
        <f t="shared" si="18"/>
        <v>PGL_Residential_Multi-Family_Standard Rebate_DCV - Kitchen_0_MF/CI</v>
      </c>
      <c r="C626" s="2" t="str">
        <f t="shared" si="19"/>
        <v>PGL_Residential_Multi-Family_Standard Rebate_DCV - Kitchen_0_MF/CI_2023</v>
      </c>
      <c r="D626" s="19" t="s">
        <v>1794</v>
      </c>
      <c r="E626" s="19" t="s">
        <v>2</v>
      </c>
      <c r="F626" s="19" t="s">
        <v>1422</v>
      </c>
      <c r="G626" s="19" t="s">
        <v>1418</v>
      </c>
      <c r="H626" s="19" t="s">
        <v>1077</v>
      </c>
      <c r="I626" s="19">
        <v>0</v>
      </c>
      <c r="J626" s="19" t="s">
        <v>48</v>
      </c>
      <c r="K626" s="19" t="s">
        <v>587</v>
      </c>
      <c r="L626" s="19">
        <v>2023</v>
      </c>
      <c r="M626" s="20">
        <v>7.75</v>
      </c>
      <c r="N626" s="19" t="s">
        <v>333</v>
      </c>
      <c r="O626" s="20">
        <v>3</v>
      </c>
      <c r="P626" s="20">
        <v>23.25</v>
      </c>
      <c r="Q626" s="20">
        <v>15656.084999999999</v>
      </c>
      <c r="R626" s="21">
        <v>0.87</v>
      </c>
      <c r="S626" s="20">
        <v>15656.084999999999</v>
      </c>
    </row>
    <row r="627" spans="2:19" ht="15" customHeight="1" x14ac:dyDescent="0.25">
      <c r="B627" s="2" t="str">
        <f t="shared" si="18"/>
        <v>PGL_Residential_Multi-Family_Standard Rebate_DCV - Kitchen_0_MF/CI</v>
      </c>
      <c r="C627" s="2" t="str">
        <f t="shared" si="19"/>
        <v>PGL_Residential_Multi-Family_Standard Rebate_DCV - Kitchen_0_MF/CI_2024</v>
      </c>
      <c r="D627" s="19" t="s">
        <v>1794</v>
      </c>
      <c r="E627" s="19" t="s">
        <v>2</v>
      </c>
      <c r="F627" s="19" t="s">
        <v>1422</v>
      </c>
      <c r="G627" s="19" t="s">
        <v>1418</v>
      </c>
      <c r="H627" s="19" t="s">
        <v>1077</v>
      </c>
      <c r="I627" s="19">
        <v>0</v>
      </c>
      <c r="J627" s="19" t="s">
        <v>48</v>
      </c>
      <c r="K627" s="19" t="s">
        <v>587</v>
      </c>
      <c r="L627" s="19">
        <v>2024</v>
      </c>
      <c r="M627" s="20">
        <v>7.75</v>
      </c>
      <c r="N627" s="19" t="s">
        <v>333</v>
      </c>
      <c r="O627" s="20">
        <v>3</v>
      </c>
      <c r="P627" s="20">
        <v>23.25</v>
      </c>
      <c r="Q627" s="20">
        <v>15656.084999999999</v>
      </c>
      <c r="R627" s="21">
        <v>0.87</v>
      </c>
      <c r="S627" s="20">
        <v>15656.084999999999</v>
      </c>
    </row>
    <row r="628" spans="2:19" ht="15" customHeight="1" x14ac:dyDescent="0.25">
      <c r="B628" s="2" t="str">
        <f t="shared" si="18"/>
        <v>PGL_Residential_Multi-Family_Standard Rebate_DCV - Kitchen_0_MF/CI</v>
      </c>
      <c r="C628" s="2" t="str">
        <f t="shared" si="19"/>
        <v>PGL_Residential_Multi-Family_Standard Rebate_DCV - Kitchen_0_MF/CI_2025</v>
      </c>
      <c r="D628" s="19" t="s">
        <v>1794</v>
      </c>
      <c r="E628" s="19" t="s">
        <v>2</v>
      </c>
      <c r="F628" s="19" t="s">
        <v>1422</v>
      </c>
      <c r="G628" s="19" t="s">
        <v>1418</v>
      </c>
      <c r="H628" s="19" t="s">
        <v>1077</v>
      </c>
      <c r="I628" s="19">
        <v>0</v>
      </c>
      <c r="J628" s="19" t="s">
        <v>48</v>
      </c>
      <c r="K628" s="19" t="s">
        <v>587</v>
      </c>
      <c r="L628" s="19">
        <v>2025</v>
      </c>
      <c r="M628" s="20">
        <v>7.75</v>
      </c>
      <c r="N628" s="19" t="s">
        <v>333</v>
      </c>
      <c r="O628" s="20">
        <v>2</v>
      </c>
      <c r="P628" s="20">
        <v>15.5</v>
      </c>
      <c r="Q628" s="20">
        <v>10437.39</v>
      </c>
      <c r="R628" s="21">
        <v>0.87</v>
      </c>
      <c r="S628" s="20">
        <v>10437.39</v>
      </c>
    </row>
    <row r="629" spans="2:19" ht="15" customHeight="1" x14ac:dyDescent="0.25">
      <c r="B629" s="2" t="str">
        <f t="shared" si="18"/>
        <v>PGL_Residential_Multi-Family_Partner Trade Ally Rebate_Air Sealing_0_MF</v>
      </c>
      <c r="C629" s="2" t="str">
        <f t="shared" si="19"/>
        <v>PGL_Residential_Multi-Family_Partner Trade Ally Rebate_Air Sealing_0_MF_2022</v>
      </c>
      <c r="D629" s="19" t="s">
        <v>1794</v>
      </c>
      <c r="E629" s="19" t="s">
        <v>2</v>
      </c>
      <c r="F629" s="19" t="s">
        <v>1422</v>
      </c>
      <c r="G629" s="19" t="s">
        <v>1799</v>
      </c>
      <c r="H629" s="19" t="s">
        <v>221</v>
      </c>
      <c r="I629" s="19">
        <v>0</v>
      </c>
      <c r="J629" s="19" t="s">
        <v>881</v>
      </c>
      <c r="K629" s="19" t="s">
        <v>553</v>
      </c>
      <c r="L629" s="19">
        <v>2022</v>
      </c>
      <c r="M629" s="20">
        <v>434.85999999999996</v>
      </c>
      <c r="N629" s="19" t="s">
        <v>1800</v>
      </c>
      <c r="O629" s="20">
        <v>0</v>
      </c>
      <c r="P629" s="20">
        <v>0</v>
      </c>
      <c r="Q629" s="20">
        <v>0</v>
      </c>
      <c r="R629" s="21">
        <v>0.87</v>
      </c>
      <c r="S629" s="20">
        <v>0</v>
      </c>
    </row>
    <row r="630" spans="2:19" ht="15" customHeight="1" x14ac:dyDescent="0.25">
      <c r="B630" s="2" t="str">
        <f t="shared" si="18"/>
        <v>PGL_Residential_Multi-Family_Partner Trade Ally Rebate_Air Sealing_0_MF</v>
      </c>
      <c r="C630" s="2" t="str">
        <f t="shared" si="19"/>
        <v>PGL_Residential_Multi-Family_Partner Trade Ally Rebate_Air Sealing_0_MF_2023</v>
      </c>
      <c r="D630" s="19" t="s">
        <v>1794</v>
      </c>
      <c r="E630" s="19" t="s">
        <v>2</v>
      </c>
      <c r="F630" s="19" t="s">
        <v>1422</v>
      </c>
      <c r="G630" s="19" t="s">
        <v>1799</v>
      </c>
      <c r="H630" s="19" t="s">
        <v>221</v>
      </c>
      <c r="I630" s="19">
        <v>0</v>
      </c>
      <c r="J630" s="19" t="s">
        <v>881</v>
      </c>
      <c r="K630" s="19" t="s">
        <v>553</v>
      </c>
      <c r="L630" s="19">
        <v>2023</v>
      </c>
      <c r="M630" s="20">
        <v>434.85999999999996</v>
      </c>
      <c r="N630" s="19" t="s">
        <v>1800</v>
      </c>
      <c r="O630" s="20">
        <v>0</v>
      </c>
      <c r="P630" s="20">
        <v>0</v>
      </c>
      <c r="Q630" s="20">
        <v>0</v>
      </c>
      <c r="R630" s="21">
        <v>0.87</v>
      </c>
      <c r="S630" s="20">
        <v>0</v>
      </c>
    </row>
    <row r="631" spans="2:19" ht="15" customHeight="1" x14ac:dyDescent="0.25">
      <c r="B631" s="2" t="str">
        <f t="shared" si="18"/>
        <v>PGL_Residential_Multi-Family_Partner Trade Ally Rebate_Air Sealing_0_MF</v>
      </c>
      <c r="C631" s="2" t="str">
        <f t="shared" si="19"/>
        <v>PGL_Residential_Multi-Family_Partner Trade Ally Rebate_Air Sealing_0_MF_2024</v>
      </c>
      <c r="D631" s="19" t="s">
        <v>1794</v>
      </c>
      <c r="E631" s="19" t="s">
        <v>2</v>
      </c>
      <c r="F631" s="19" t="s">
        <v>1422</v>
      </c>
      <c r="G631" s="19" t="s">
        <v>1799</v>
      </c>
      <c r="H631" s="19" t="s">
        <v>221</v>
      </c>
      <c r="I631" s="19">
        <v>0</v>
      </c>
      <c r="J631" s="19" t="s">
        <v>881</v>
      </c>
      <c r="K631" s="19" t="s">
        <v>553</v>
      </c>
      <c r="L631" s="19">
        <v>2024</v>
      </c>
      <c r="M631" s="20">
        <v>434.85999999999996</v>
      </c>
      <c r="N631" s="19" t="s">
        <v>1800</v>
      </c>
      <c r="O631" s="20">
        <v>0</v>
      </c>
      <c r="P631" s="20">
        <v>0</v>
      </c>
      <c r="Q631" s="20">
        <v>0</v>
      </c>
      <c r="R631" s="21">
        <v>0.87</v>
      </c>
      <c r="S631" s="20">
        <v>0</v>
      </c>
    </row>
    <row r="632" spans="2:19" ht="15" customHeight="1" x14ac:dyDescent="0.25">
      <c r="B632" s="2" t="str">
        <f t="shared" si="18"/>
        <v>PGL_Residential_Multi-Family_Partner Trade Ally Rebate_Air Sealing_0_MF</v>
      </c>
      <c r="C632" s="2" t="str">
        <f t="shared" si="19"/>
        <v>PGL_Residential_Multi-Family_Partner Trade Ally Rebate_Air Sealing_0_MF_2025</v>
      </c>
      <c r="D632" s="19" t="s">
        <v>1794</v>
      </c>
      <c r="E632" s="19" t="s">
        <v>2</v>
      </c>
      <c r="F632" s="19" t="s">
        <v>1422</v>
      </c>
      <c r="G632" s="19" t="s">
        <v>1799</v>
      </c>
      <c r="H632" s="19" t="s">
        <v>221</v>
      </c>
      <c r="I632" s="19">
        <v>0</v>
      </c>
      <c r="J632" s="19" t="s">
        <v>881</v>
      </c>
      <c r="K632" s="19" t="s">
        <v>553</v>
      </c>
      <c r="L632" s="19">
        <v>2025</v>
      </c>
      <c r="M632" s="20">
        <v>434.85999999999996</v>
      </c>
      <c r="N632" s="19" t="s">
        <v>1800</v>
      </c>
      <c r="O632" s="20">
        <v>0</v>
      </c>
      <c r="P632" s="20">
        <v>0</v>
      </c>
      <c r="Q632" s="20">
        <v>0</v>
      </c>
      <c r="R632" s="21">
        <v>0.87</v>
      </c>
      <c r="S632" s="20">
        <v>0</v>
      </c>
    </row>
    <row r="633" spans="2:19" ht="15" customHeight="1" x14ac:dyDescent="0.25">
      <c r="B633" s="2" t="str">
        <f t="shared" si="18"/>
        <v>PGL_Residential_Multi-Family_Partner Trade Ally Rebate_Duct Sealing_0_MF</v>
      </c>
      <c r="C633" s="2" t="str">
        <f t="shared" si="19"/>
        <v>PGL_Residential_Multi-Family_Partner Trade Ally Rebate_Duct Sealing_0_MF_2022</v>
      </c>
      <c r="D633" s="19" t="s">
        <v>1794</v>
      </c>
      <c r="E633" s="19" t="s">
        <v>2</v>
      </c>
      <c r="F633" s="19" t="s">
        <v>1422</v>
      </c>
      <c r="G633" s="19" t="s">
        <v>1799</v>
      </c>
      <c r="H633" s="19" t="s">
        <v>680</v>
      </c>
      <c r="I633" s="19">
        <v>0</v>
      </c>
      <c r="J633" s="19" t="s">
        <v>684</v>
      </c>
      <c r="K633" s="19" t="s">
        <v>553</v>
      </c>
      <c r="L633" s="19">
        <v>2022</v>
      </c>
      <c r="M633" s="20">
        <v>120</v>
      </c>
      <c r="N633" s="19" t="s">
        <v>1801</v>
      </c>
      <c r="O633" s="20">
        <v>0</v>
      </c>
      <c r="P633" s="20">
        <v>0</v>
      </c>
      <c r="Q633" s="20">
        <v>0</v>
      </c>
      <c r="R633" s="21">
        <v>0.87</v>
      </c>
      <c r="S633" s="20">
        <v>0</v>
      </c>
    </row>
    <row r="634" spans="2:19" ht="15" customHeight="1" x14ac:dyDescent="0.25">
      <c r="B634" s="2" t="str">
        <f t="shared" si="18"/>
        <v>PGL_Residential_Multi-Family_Partner Trade Ally Rebate_Duct Sealing_0_MF</v>
      </c>
      <c r="C634" s="2" t="str">
        <f t="shared" si="19"/>
        <v>PGL_Residential_Multi-Family_Partner Trade Ally Rebate_Duct Sealing_0_MF_2023</v>
      </c>
      <c r="D634" s="19" t="s">
        <v>1794</v>
      </c>
      <c r="E634" s="19" t="s">
        <v>2</v>
      </c>
      <c r="F634" s="19" t="s">
        <v>1422</v>
      </c>
      <c r="G634" s="19" t="s">
        <v>1799</v>
      </c>
      <c r="H634" s="19" t="s">
        <v>680</v>
      </c>
      <c r="I634" s="19">
        <v>0</v>
      </c>
      <c r="J634" s="19" t="s">
        <v>684</v>
      </c>
      <c r="K634" s="19" t="s">
        <v>553</v>
      </c>
      <c r="L634" s="19">
        <v>2023</v>
      </c>
      <c r="M634" s="20">
        <v>120</v>
      </c>
      <c r="N634" s="19" t="s">
        <v>1801</v>
      </c>
      <c r="O634" s="20">
        <v>0</v>
      </c>
      <c r="P634" s="20">
        <v>0</v>
      </c>
      <c r="Q634" s="20">
        <v>0</v>
      </c>
      <c r="R634" s="21">
        <v>0.87</v>
      </c>
      <c r="S634" s="20">
        <v>0</v>
      </c>
    </row>
    <row r="635" spans="2:19" ht="15" customHeight="1" x14ac:dyDescent="0.25">
      <c r="B635" s="2" t="str">
        <f t="shared" si="18"/>
        <v>PGL_Residential_Multi-Family_Partner Trade Ally Rebate_Duct Sealing_0_MF</v>
      </c>
      <c r="C635" s="2" t="str">
        <f t="shared" si="19"/>
        <v>PGL_Residential_Multi-Family_Partner Trade Ally Rebate_Duct Sealing_0_MF_2024</v>
      </c>
      <c r="D635" s="19" t="s">
        <v>1794</v>
      </c>
      <c r="E635" s="19" t="s">
        <v>2</v>
      </c>
      <c r="F635" s="19" t="s">
        <v>1422</v>
      </c>
      <c r="G635" s="19" t="s">
        <v>1799</v>
      </c>
      <c r="H635" s="19" t="s">
        <v>680</v>
      </c>
      <c r="I635" s="19">
        <v>0</v>
      </c>
      <c r="J635" s="19" t="s">
        <v>684</v>
      </c>
      <c r="K635" s="19" t="s">
        <v>553</v>
      </c>
      <c r="L635" s="19">
        <v>2024</v>
      </c>
      <c r="M635" s="20">
        <v>120</v>
      </c>
      <c r="N635" s="19" t="s">
        <v>1801</v>
      </c>
      <c r="O635" s="20">
        <v>0</v>
      </c>
      <c r="P635" s="20">
        <v>0</v>
      </c>
      <c r="Q635" s="20">
        <v>0</v>
      </c>
      <c r="R635" s="21">
        <v>0.87</v>
      </c>
      <c r="S635" s="20">
        <v>0</v>
      </c>
    </row>
    <row r="636" spans="2:19" ht="15" customHeight="1" x14ac:dyDescent="0.25">
      <c r="B636" s="2" t="str">
        <f t="shared" si="18"/>
        <v>PGL_Residential_Multi-Family_Partner Trade Ally Rebate_Duct Sealing_0_MF</v>
      </c>
      <c r="C636" s="2" t="str">
        <f t="shared" si="19"/>
        <v>PGL_Residential_Multi-Family_Partner Trade Ally Rebate_Duct Sealing_0_MF_2025</v>
      </c>
      <c r="D636" s="19" t="s">
        <v>1794</v>
      </c>
      <c r="E636" s="19" t="s">
        <v>2</v>
      </c>
      <c r="F636" s="19" t="s">
        <v>1422</v>
      </c>
      <c r="G636" s="19" t="s">
        <v>1799</v>
      </c>
      <c r="H636" s="19" t="s">
        <v>680</v>
      </c>
      <c r="I636" s="19">
        <v>0</v>
      </c>
      <c r="J636" s="19" t="s">
        <v>684</v>
      </c>
      <c r="K636" s="19" t="s">
        <v>553</v>
      </c>
      <c r="L636" s="19">
        <v>2025</v>
      </c>
      <c r="M636" s="20">
        <v>120</v>
      </c>
      <c r="N636" s="19" t="s">
        <v>1801</v>
      </c>
      <c r="O636" s="20">
        <v>0</v>
      </c>
      <c r="P636" s="20">
        <v>0</v>
      </c>
      <c r="Q636" s="20">
        <v>0</v>
      </c>
      <c r="R636" s="21">
        <v>0.87</v>
      </c>
      <c r="S636" s="20">
        <v>0</v>
      </c>
    </row>
    <row r="637" spans="2:19" ht="15" customHeight="1" x14ac:dyDescent="0.25">
      <c r="B637" s="2" t="str">
        <f t="shared" si="18"/>
        <v>PGL_Residential_Multi-Family_Partner Trade Ally Rebate_Programmable Thermostat_Furnace (P)_MF</v>
      </c>
      <c r="C637" s="2" t="str">
        <f t="shared" si="19"/>
        <v>PGL_Residential_Multi-Family_Partner Trade Ally Rebate_Programmable Thermostat_Furnace (P)_MF_2022</v>
      </c>
      <c r="D637" s="19" t="s">
        <v>1794</v>
      </c>
      <c r="E637" s="19" t="s">
        <v>2</v>
      </c>
      <c r="F637" s="19" t="s">
        <v>1422</v>
      </c>
      <c r="G637" s="19" t="s">
        <v>1799</v>
      </c>
      <c r="H637" s="19" t="s">
        <v>224</v>
      </c>
      <c r="I637" s="19" t="s">
        <v>1042</v>
      </c>
      <c r="J637" s="19" t="s">
        <v>24</v>
      </c>
      <c r="K637" s="19" t="s">
        <v>553</v>
      </c>
      <c r="L637" s="19">
        <v>2022</v>
      </c>
      <c r="M637" s="20">
        <v>1</v>
      </c>
      <c r="N637" s="19" t="s">
        <v>1798</v>
      </c>
      <c r="O637" s="20">
        <v>19</v>
      </c>
      <c r="P637" s="20">
        <v>19</v>
      </c>
      <c r="Q637" s="20">
        <v>374.91428520000005</v>
      </c>
      <c r="R637" s="21">
        <v>0.87</v>
      </c>
      <c r="S637" s="20">
        <v>374.91428520000005</v>
      </c>
    </row>
    <row r="638" spans="2:19" ht="15" customHeight="1" x14ac:dyDescent="0.25">
      <c r="B638" s="2" t="str">
        <f t="shared" si="18"/>
        <v>PGL_Residential_Multi-Family_Partner Trade Ally Rebate_Programmable Thermostat_Furnace (P)_MF</v>
      </c>
      <c r="C638" s="2" t="str">
        <f t="shared" si="19"/>
        <v>PGL_Residential_Multi-Family_Partner Trade Ally Rebate_Programmable Thermostat_Furnace (P)_MF_2023</v>
      </c>
      <c r="D638" s="19" t="s">
        <v>1794</v>
      </c>
      <c r="E638" s="19" t="s">
        <v>2</v>
      </c>
      <c r="F638" s="19" t="s">
        <v>1422</v>
      </c>
      <c r="G638" s="19" t="s">
        <v>1799</v>
      </c>
      <c r="H638" s="19" t="s">
        <v>224</v>
      </c>
      <c r="I638" s="19" t="s">
        <v>1042</v>
      </c>
      <c r="J638" s="19" t="s">
        <v>24</v>
      </c>
      <c r="K638" s="19" t="s">
        <v>553</v>
      </c>
      <c r="L638" s="19">
        <v>2023</v>
      </c>
      <c r="M638" s="20">
        <v>1</v>
      </c>
      <c r="N638" s="19" t="s">
        <v>1798</v>
      </c>
      <c r="O638" s="20">
        <v>17</v>
      </c>
      <c r="P638" s="20">
        <v>17</v>
      </c>
      <c r="Q638" s="20">
        <v>335.44962360000005</v>
      </c>
      <c r="R638" s="21">
        <v>0.87</v>
      </c>
      <c r="S638" s="20">
        <v>335.44962360000005</v>
      </c>
    </row>
    <row r="639" spans="2:19" ht="15" customHeight="1" x14ac:dyDescent="0.25">
      <c r="B639" s="2" t="str">
        <f t="shared" si="18"/>
        <v>PGL_Residential_Multi-Family_Partner Trade Ally Rebate_Programmable Thermostat_Furnace (P)_MF</v>
      </c>
      <c r="C639" s="2" t="str">
        <f t="shared" si="19"/>
        <v>PGL_Residential_Multi-Family_Partner Trade Ally Rebate_Programmable Thermostat_Furnace (P)_MF_2024</v>
      </c>
      <c r="D639" s="19" t="s">
        <v>1794</v>
      </c>
      <c r="E639" s="19" t="s">
        <v>2</v>
      </c>
      <c r="F639" s="19" t="s">
        <v>1422</v>
      </c>
      <c r="G639" s="19" t="s">
        <v>1799</v>
      </c>
      <c r="H639" s="19" t="s">
        <v>224</v>
      </c>
      <c r="I639" s="19" t="s">
        <v>1042</v>
      </c>
      <c r="J639" s="19" t="s">
        <v>24</v>
      </c>
      <c r="K639" s="19" t="s">
        <v>553</v>
      </c>
      <c r="L639" s="19">
        <v>2024</v>
      </c>
      <c r="M639" s="20">
        <v>1</v>
      </c>
      <c r="N639" s="19" t="s">
        <v>1798</v>
      </c>
      <c r="O639" s="20">
        <v>15</v>
      </c>
      <c r="P639" s="20">
        <v>15</v>
      </c>
      <c r="Q639" s="20">
        <v>295.98496200000005</v>
      </c>
      <c r="R639" s="21">
        <v>0.87</v>
      </c>
      <c r="S639" s="20">
        <v>295.98496200000005</v>
      </c>
    </row>
    <row r="640" spans="2:19" ht="15" customHeight="1" x14ac:dyDescent="0.25">
      <c r="B640" s="2" t="str">
        <f t="shared" si="18"/>
        <v>PGL_Residential_Multi-Family_Partner Trade Ally Rebate_Programmable Thermostat_Furnace (P)_MF</v>
      </c>
      <c r="C640" s="2" t="str">
        <f t="shared" si="19"/>
        <v>PGL_Residential_Multi-Family_Partner Trade Ally Rebate_Programmable Thermostat_Furnace (P)_MF_2025</v>
      </c>
      <c r="D640" s="19" t="s">
        <v>1794</v>
      </c>
      <c r="E640" s="19" t="s">
        <v>2</v>
      </c>
      <c r="F640" s="19" t="s">
        <v>1422</v>
      </c>
      <c r="G640" s="19" t="s">
        <v>1799</v>
      </c>
      <c r="H640" s="19" t="s">
        <v>224</v>
      </c>
      <c r="I640" s="19" t="s">
        <v>1042</v>
      </c>
      <c r="J640" s="19" t="s">
        <v>24</v>
      </c>
      <c r="K640" s="19" t="s">
        <v>553</v>
      </c>
      <c r="L640" s="19">
        <v>2025</v>
      </c>
      <c r="M640" s="20">
        <v>1</v>
      </c>
      <c r="N640" s="19" t="s">
        <v>1798</v>
      </c>
      <c r="O640" s="20">
        <v>11</v>
      </c>
      <c r="P640" s="20">
        <v>11</v>
      </c>
      <c r="Q640" s="20">
        <v>217.05563880000005</v>
      </c>
      <c r="R640" s="21">
        <v>0.87</v>
      </c>
      <c r="S640" s="20">
        <v>217.05563880000005</v>
      </c>
    </row>
    <row r="641" spans="2:19" ht="15" customHeight="1" x14ac:dyDescent="0.25">
      <c r="B641" s="2" t="str">
        <f t="shared" si="18"/>
        <v>PGL_Residential_Multi-Family_Partner Trade Ally Rebate_Programmable Thermostat_Boiler (P)_MF</v>
      </c>
      <c r="C641" s="2" t="str">
        <f t="shared" si="19"/>
        <v>PGL_Residential_Multi-Family_Partner Trade Ally Rebate_Programmable Thermostat_Boiler (P)_MF_2022</v>
      </c>
      <c r="D641" s="19" t="s">
        <v>1794</v>
      </c>
      <c r="E641" s="19" t="s">
        <v>2</v>
      </c>
      <c r="F641" s="19" t="s">
        <v>1422</v>
      </c>
      <c r="G641" s="19" t="s">
        <v>1799</v>
      </c>
      <c r="H641" s="19" t="s">
        <v>224</v>
      </c>
      <c r="I641" s="19" t="s">
        <v>1046</v>
      </c>
      <c r="J641" s="19" t="s">
        <v>24</v>
      </c>
      <c r="K641" s="19" t="s">
        <v>553</v>
      </c>
      <c r="L641" s="19">
        <v>2022</v>
      </c>
      <c r="M641" s="20">
        <v>1</v>
      </c>
      <c r="N641" s="19" t="s">
        <v>1798</v>
      </c>
      <c r="O641" s="20">
        <v>10</v>
      </c>
      <c r="P641" s="20">
        <v>10</v>
      </c>
      <c r="Q641" s="20">
        <v>291.56727600000005</v>
      </c>
      <c r="R641" s="21">
        <v>0.87</v>
      </c>
      <c r="S641" s="20">
        <v>291.56727600000005</v>
      </c>
    </row>
    <row r="642" spans="2:19" ht="15" customHeight="1" x14ac:dyDescent="0.25">
      <c r="B642" s="2" t="str">
        <f t="shared" si="18"/>
        <v>PGL_Residential_Multi-Family_Partner Trade Ally Rebate_Programmable Thermostat_Boiler (P)_MF</v>
      </c>
      <c r="C642" s="2" t="str">
        <f t="shared" si="19"/>
        <v>PGL_Residential_Multi-Family_Partner Trade Ally Rebate_Programmable Thermostat_Boiler (P)_MF_2023</v>
      </c>
      <c r="D642" s="19" t="s">
        <v>1794</v>
      </c>
      <c r="E642" s="19" t="s">
        <v>2</v>
      </c>
      <c r="F642" s="19" t="s">
        <v>1422</v>
      </c>
      <c r="G642" s="19" t="s">
        <v>1799</v>
      </c>
      <c r="H642" s="19" t="s">
        <v>224</v>
      </c>
      <c r="I642" s="19" t="s">
        <v>1046</v>
      </c>
      <c r="J642" s="19" t="s">
        <v>24</v>
      </c>
      <c r="K642" s="19" t="s">
        <v>553</v>
      </c>
      <c r="L642" s="19">
        <v>2023</v>
      </c>
      <c r="M642" s="20">
        <v>1</v>
      </c>
      <c r="N642" s="19" t="s">
        <v>1798</v>
      </c>
      <c r="O642" s="20">
        <v>9</v>
      </c>
      <c r="P642" s="20">
        <v>9</v>
      </c>
      <c r="Q642" s="20">
        <v>262.41054840000004</v>
      </c>
      <c r="R642" s="21">
        <v>0.87</v>
      </c>
      <c r="S642" s="20">
        <v>262.41054840000004</v>
      </c>
    </row>
    <row r="643" spans="2:19" ht="15" customHeight="1" x14ac:dyDescent="0.25">
      <c r="B643" s="2" t="str">
        <f t="shared" si="18"/>
        <v>PGL_Residential_Multi-Family_Partner Trade Ally Rebate_Programmable Thermostat_Boiler (P)_MF</v>
      </c>
      <c r="C643" s="2" t="str">
        <f t="shared" si="19"/>
        <v>PGL_Residential_Multi-Family_Partner Trade Ally Rebate_Programmable Thermostat_Boiler (P)_MF_2024</v>
      </c>
      <c r="D643" s="19" t="s">
        <v>1794</v>
      </c>
      <c r="E643" s="19" t="s">
        <v>2</v>
      </c>
      <c r="F643" s="19" t="s">
        <v>1422</v>
      </c>
      <c r="G643" s="19" t="s">
        <v>1799</v>
      </c>
      <c r="H643" s="19" t="s">
        <v>224</v>
      </c>
      <c r="I643" s="19" t="s">
        <v>1046</v>
      </c>
      <c r="J643" s="19" t="s">
        <v>24</v>
      </c>
      <c r="K643" s="19" t="s">
        <v>553</v>
      </c>
      <c r="L643" s="19">
        <v>2024</v>
      </c>
      <c r="M643" s="20">
        <v>1</v>
      </c>
      <c r="N643" s="19" t="s">
        <v>1798</v>
      </c>
      <c r="O643" s="20">
        <v>8</v>
      </c>
      <c r="P643" s="20">
        <v>8</v>
      </c>
      <c r="Q643" s="20">
        <v>233.2538208</v>
      </c>
      <c r="R643" s="21">
        <v>0.87</v>
      </c>
      <c r="S643" s="20">
        <v>233.2538208</v>
      </c>
    </row>
    <row r="644" spans="2:19" ht="15" customHeight="1" x14ac:dyDescent="0.25">
      <c r="B644" s="2" t="str">
        <f t="shared" si="18"/>
        <v>PGL_Residential_Multi-Family_Partner Trade Ally Rebate_Programmable Thermostat_Boiler (P)_MF</v>
      </c>
      <c r="C644" s="2" t="str">
        <f t="shared" si="19"/>
        <v>PGL_Residential_Multi-Family_Partner Trade Ally Rebate_Programmable Thermostat_Boiler (P)_MF_2025</v>
      </c>
      <c r="D644" s="19" t="s">
        <v>1794</v>
      </c>
      <c r="E644" s="19" t="s">
        <v>2</v>
      </c>
      <c r="F644" s="19" t="s">
        <v>1422</v>
      </c>
      <c r="G644" s="19" t="s">
        <v>1799</v>
      </c>
      <c r="H644" s="19" t="s">
        <v>224</v>
      </c>
      <c r="I644" s="19" t="s">
        <v>1046</v>
      </c>
      <c r="J644" s="19" t="s">
        <v>24</v>
      </c>
      <c r="K644" s="19" t="s">
        <v>553</v>
      </c>
      <c r="L644" s="19">
        <v>2025</v>
      </c>
      <c r="M644" s="20">
        <v>1</v>
      </c>
      <c r="N644" s="19" t="s">
        <v>1798</v>
      </c>
      <c r="O644" s="20">
        <v>6</v>
      </c>
      <c r="P644" s="20">
        <v>6</v>
      </c>
      <c r="Q644" s="20">
        <v>174.94036560000001</v>
      </c>
      <c r="R644" s="21">
        <v>0.87</v>
      </c>
      <c r="S644" s="20">
        <v>174.94036560000001</v>
      </c>
    </row>
    <row r="645" spans="2:19" ht="15" customHeight="1" x14ac:dyDescent="0.25">
      <c r="B645" s="2" t="str">
        <f t="shared" si="18"/>
        <v>PGL_Residential_Multi-Family_Partner Trade Ally Rebate_Advanced Thermostat_Furnace (Replace Unknown)_MF</v>
      </c>
      <c r="C645" s="2" t="str">
        <f t="shared" si="19"/>
        <v>PGL_Residential_Multi-Family_Partner Trade Ally Rebate_Advanced Thermostat_Furnace (Replace Unknown)_MF_2022</v>
      </c>
      <c r="D645" s="19" t="s">
        <v>1794</v>
      </c>
      <c r="E645" s="19" t="s">
        <v>2</v>
      </c>
      <c r="F645" s="19" t="s">
        <v>1422</v>
      </c>
      <c r="G645" s="19" t="s">
        <v>1799</v>
      </c>
      <c r="H645" s="19" t="s">
        <v>7</v>
      </c>
      <c r="I645" s="19" t="s">
        <v>1050</v>
      </c>
      <c r="J645" s="19" t="s">
        <v>24</v>
      </c>
      <c r="K645" s="19" t="s">
        <v>553</v>
      </c>
      <c r="L645" s="19">
        <v>2022</v>
      </c>
      <c r="M645" s="20">
        <v>1</v>
      </c>
      <c r="N645" s="19" t="s">
        <v>1798</v>
      </c>
      <c r="O645" s="20">
        <v>38</v>
      </c>
      <c r="P645" s="20">
        <v>38</v>
      </c>
      <c r="Q645" s="20">
        <v>1857.2942699999999</v>
      </c>
      <c r="R645" s="21">
        <v>0.87</v>
      </c>
      <c r="S645" s="20">
        <v>1857.2942699999999</v>
      </c>
    </row>
    <row r="646" spans="2:19" ht="15" customHeight="1" x14ac:dyDescent="0.25">
      <c r="B646" s="2" t="str">
        <f t="shared" ref="B646:B709" si="20">D646&amp;"_"&amp;E646&amp;"_"&amp;F646&amp;"_"&amp;G646&amp;"_"&amp;H646&amp;"_"&amp;I646&amp;"_"&amp;K646</f>
        <v>PGL_Residential_Multi-Family_Partner Trade Ally Rebate_Advanced Thermostat_Furnace (Replace Unknown)_MF</v>
      </c>
      <c r="C646" s="2" t="str">
        <f t="shared" ref="C646:C709" si="21">D646&amp;"_"&amp;E646&amp;"_"&amp;F646&amp;"_"&amp;G646&amp;"_"&amp;H646&amp;"_"&amp;I646&amp;"_"&amp;K646&amp;"_"&amp;L646</f>
        <v>PGL_Residential_Multi-Family_Partner Trade Ally Rebate_Advanced Thermostat_Furnace (Replace Unknown)_MF_2023</v>
      </c>
      <c r="D646" s="19" t="s">
        <v>1794</v>
      </c>
      <c r="E646" s="19" t="s">
        <v>2</v>
      </c>
      <c r="F646" s="19" t="s">
        <v>1422</v>
      </c>
      <c r="G646" s="19" t="s">
        <v>1799</v>
      </c>
      <c r="H646" s="19" t="s">
        <v>7</v>
      </c>
      <c r="I646" s="19" t="s">
        <v>1050</v>
      </c>
      <c r="J646" s="19" t="s">
        <v>24</v>
      </c>
      <c r="K646" s="19" t="s">
        <v>553</v>
      </c>
      <c r="L646" s="19">
        <v>2023</v>
      </c>
      <c r="M646" s="20">
        <v>1</v>
      </c>
      <c r="N646" s="19" t="s">
        <v>1798</v>
      </c>
      <c r="O646" s="20">
        <v>34</v>
      </c>
      <c r="P646" s="20">
        <v>34</v>
      </c>
      <c r="Q646" s="20">
        <v>1661.7896099999998</v>
      </c>
      <c r="R646" s="21">
        <v>0.87</v>
      </c>
      <c r="S646" s="20">
        <v>1661.7896099999998</v>
      </c>
    </row>
    <row r="647" spans="2:19" ht="15" customHeight="1" x14ac:dyDescent="0.25">
      <c r="B647" s="2" t="str">
        <f t="shared" si="20"/>
        <v>PGL_Residential_Multi-Family_Partner Trade Ally Rebate_Advanced Thermostat_Furnace (Replace Unknown)_MF</v>
      </c>
      <c r="C647" s="2" t="str">
        <f t="shared" si="21"/>
        <v>PGL_Residential_Multi-Family_Partner Trade Ally Rebate_Advanced Thermostat_Furnace (Replace Unknown)_MF_2024</v>
      </c>
      <c r="D647" s="19" t="s">
        <v>1794</v>
      </c>
      <c r="E647" s="19" t="s">
        <v>2</v>
      </c>
      <c r="F647" s="19" t="s">
        <v>1422</v>
      </c>
      <c r="G647" s="19" t="s">
        <v>1799</v>
      </c>
      <c r="H647" s="19" t="s">
        <v>7</v>
      </c>
      <c r="I647" s="19" t="s">
        <v>1050</v>
      </c>
      <c r="J647" s="19" t="s">
        <v>24</v>
      </c>
      <c r="K647" s="19" t="s">
        <v>553</v>
      </c>
      <c r="L647" s="19">
        <v>2024</v>
      </c>
      <c r="M647" s="20">
        <v>1</v>
      </c>
      <c r="N647" s="19" t="s">
        <v>1798</v>
      </c>
      <c r="O647" s="20">
        <v>30</v>
      </c>
      <c r="P647" s="20">
        <v>30</v>
      </c>
      <c r="Q647" s="20">
        <v>1466.28495</v>
      </c>
      <c r="R647" s="21">
        <v>0.87</v>
      </c>
      <c r="S647" s="20">
        <v>1466.28495</v>
      </c>
    </row>
    <row r="648" spans="2:19" ht="15" customHeight="1" x14ac:dyDescent="0.25">
      <c r="B648" s="2" t="str">
        <f t="shared" si="20"/>
        <v>PGL_Residential_Multi-Family_Partner Trade Ally Rebate_Advanced Thermostat_Furnace (Replace Unknown)_MF</v>
      </c>
      <c r="C648" s="2" t="str">
        <f t="shared" si="21"/>
        <v>PGL_Residential_Multi-Family_Partner Trade Ally Rebate_Advanced Thermostat_Furnace (Replace Unknown)_MF_2025</v>
      </c>
      <c r="D648" s="19" t="s">
        <v>1794</v>
      </c>
      <c r="E648" s="19" t="s">
        <v>2</v>
      </c>
      <c r="F648" s="19" t="s">
        <v>1422</v>
      </c>
      <c r="G648" s="19" t="s">
        <v>1799</v>
      </c>
      <c r="H648" s="19" t="s">
        <v>7</v>
      </c>
      <c r="I648" s="19" t="s">
        <v>1050</v>
      </c>
      <c r="J648" s="19" t="s">
        <v>24</v>
      </c>
      <c r="K648" s="19" t="s">
        <v>553</v>
      </c>
      <c r="L648" s="19">
        <v>2025</v>
      </c>
      <c r="M648" s="20">
        <v>1</v>
      </c>
      <c r="N648" s="19" t="s">
        <v>1798</v>
      </c>
      <c r="O648" s="20">
        <v>22</v>
      </c>
      <c r="P648" s="20">
        <v>22</v>
      </c>
      <c r="Q648" s="20">
        <v>1075.2756299999999</v>
      </c>
      <c r="R648" s="21">
        <v>0.87</v>
      </c>
      <c r="S648" s="20">
        <v>1075.2756299999999</v>
      </c>
    </row>
    <row r="649" spans="2:19" ht="15" customHeight="1" x14ac:dyDescent="0.25">
      <c r="B649" s="2" t="str">
        <f t="shared" si="20"/>
        <v>PGL_Residential_Multi-Family_Partner Trade Ally Rebate_Advanced Thermostat_Boiler (Replace Unknown)_MF</v>
      </c>
      <c r="C649" s="2" t="str">
        <f t="shared" si="21"/>
        <v>PGL_Residential_Multi-Family_Partner Trade Ally Rebate_Advanced Thermostat_Boiler (Replace Unknown)_MF_2022</v>
      </c>
      <c r="D649" s="19" t="s">
        <v>1794</v>
      </c>
      <c r="E649" s="19" t="s">
        <v>2</v>
      </c>
      <c r="F649" s="19" t="s">
        <v>1422</v>
      </c>
      <c r="G649" s="19" t="s">
        <v>1799</v>
      </c>
      <c r="H649" s="19" t="s">
        <v>7</v>
      </c>
      <c r="I649" s="19" t="s">
        <v>1054</v>
      </c>
      <c r="J649" s="19" t="s">
        <v>24</v>
      </c>
      <c r="K649" s="19" t="s">
        <v>553</v>
      </c>
      <c r="L649" s="19">
        <v>2022</v>
      </c>
      <c r="M649" s="20">
        <v>1</v>
      </c>
      <c r="N649" s="19" t="s">
        <v>1798</v>
      </c>
      <c r="O649" s="20">
        <v>19</v>
      </c>
      <c r="P649" s="20">
        <v>19</v>
      </c>
      <c r="Q649" s="20">
        <v>1372.1800949999999</v>
      </c>
      <c r="R649" s="21">
        <v>0.87</v>
      </c>
      <c r="S649" s="20">
        <v>1372.1800949999999</v>
      </c>
    </row>
    <row r="650" spans="2:19" ht="15" customHeight="1" x14ac:dyDescent="0.25">
      <c r="B650" s="2" t="str">
        <f t="shared" si="20"/>
        <v>PGL_Residential_Multi-Family_Partner Trade Ally Rebate_Advanced Thermostat_Boiler (Replace Unknown)_MF</v>
      </c>
      <c r="C650" s="2" t="str">
        <f t="shared" si="21"/>
        <v>PGL_Residential_Multi-Family_Partner Trade Ally Rebate_Advanced Thermostat_Boiler (Replace Unknown)_MF_2023</v>
      </c>
      <c r="D650" s="19" t="s">
        <v>1794</v>
      </c>
      <c r="E650" s="19" t="s">
        <v>2</v>
      </c>
      <c r="F650" s="19" t="s">
        <v>1422</v>
      </c>
      <c r="G650" s="19" t="s">
        <v>1799</v>
      </c>
      <c r="H650" s="19" t="s">
        <v>7</v>
      </c>
      <c r="I650" s="19" t="s">
        <v>1054</v>
      </c>
      <c r="J650" s="19" t="s">
        <v>24</v>
      </c>
      <c r="K650" s="19" t="s">
        <v>553</v>
      </c>
      <c r="L650" s="19">
        <v>2023</v>
      </c>
      <c r="M650" s="20">
        <v>1</v>
      </c>
      <c r="N650" s="19" t="s">
        <v>1798</v>
      </c>
      <c r="O650" s="20">
        <v>17</v>
      </c>
      <c r="P650" s="20">
        <v>17</v>
      </c>
      <c r="Q650" s="20">
        <v>1227.7400850000001</v>
      </c>
      <c r="R650" s="21">
        <v>0.87</v>
      </c>
      <c r="S650" s="20">
        <v>1227.7400850000001</v>
      </c>
    </row>
    <row r="651" spans="2:19" ht="15" customHeight="1" x14ac:dyDescent="0.25">
      <c r="B651" s="2" t="str">
        <f t="shared" si="20"/>
        <v>PGL_Residential_Multi-Family_Partner Trade Ally Rebate_Advanced Thermostat_Boiler (Replace Unknown)_MF</v>
      </c>
      <c r="C651" s="2" t="str">
        <f t="shared" si="21"/>
        <v>PGL_Residential_Multi-Family_Partner Trade Ally Rebate_Advanced Thermostat_Boiler (Replace Unknown)_MF_2024</v>
      </c>
      <c r="D651" s="19" t="s">
        <v>1794</v>
      </c>
      <c r="E651" s="19" t="s">
        <v>2</v>
      </c>
      <c r="F651" s="19" t="s">
        <v>1422</v>
      </c>
      <c r="G651" s="19" t="s">
        <v>1799</v>
      </c>
      <c r="H651" s="19" t="s">
        <v>7</v>
      </c>
      <c r="I651" s="19" t="s">
        <v>1054</v>
      </c>
      <c r="J651" s="19" t="s">
        <v>24</v>
      </c>
      <c r="K651" s="19" t="s">
        <v>553</v>
      </c>
      <c r="L651" s="19">
        <v>2024</v>
      </c>
      <c r="M651" s="20">
        <v>1</v>
      </c>
      <c r="N651" s="19" t="s">
        <v>1798</v>
      </c>
      <c r="O651" s="20">
        <v>15</v>
      </c>
      <c r="P651" s="20">
        <v>15</v>
      </c>
      <c r="Q651" s="20">
        <v>1083.3000749999999</v>
      </c>
      <c r="R651" s="21">
        <v>0.87</v>
      </c>
      <c r="S651" s="20">
        <v>1083.3000749999999</v>
      </c>
    </row>
    <row r="652" spans="2:19" ht="15" customHeight="1" x14ac:dyDescent="0.25">
      <c r="B652" s="2" t="str">
        <f t="shared" si="20"/>
        <v>PGL_Residential_Multi-Family_Partner Trade Ally Rebate_Advanced Thermostat_Boiler (Replace Unknown)_MF</v>
      </c>
      <c r="C652" s="2" t="str">
        <f t="shared" si="21"/>
        <v>PGL_Residential_Multi-Family_Partner Trade Ally Rebate_Advanced Thermostat_Boiler (Replace Unknown)_MF_2025</v>
      </c>
      <c r="D652" s="19" t="s">
        <v>1794</v>
      </c>
      <c r="E652" s="19" t="s">
        <v>2</v>
      </c>
      <c r="F652" s="19" t="s">
        <v>1422</v>
      </c>
      <c r="G652" s="19" t="s">
        <v>1799</v>
      </c>
      <c r="H652" s="19" t="s">
        <v>7</v>
      </c>
      <c r="I652" s="19" t="s">
        <v>1054</v>
      </c>
      <c r="J652" s="19" t="s">
        <v>24</v>
      </c>
      <c r="K652" s="19" t="s">
        <v>553</v>
      </c>
      <c r="L652" s="19">
        <v>2025</v>
      </c>
      <c r="M652" s="20">
        <v>1</v>
      </c>
      <c r="N652" s="19" t="s">
        <v>1798</v>
      </c>
      <c r="O652" s="20">
        <v>11</v>
      </c>
      <c r="P652" s="20">
        <v>11</v>
      </c>
      <c r="Q652" s="20">
        <v>794.42005499999993</v>
      </c>
      <c r="R652" s="21">
        <v>0.87</v>
      </c>
      <c r="S652" s="20">
        <v>794.42005499999993</v>
      </c>
    </row>
    <row r="653" spans="2:19" ht="15" customHeight="1" x14ac:dyDescent="0.25">
      <c r="B653" s="2" t="str">
        <f t="shared" si="20"/>
        <v>PGL_Residential_Multi-Family_Partner Trade Ally Rebate_Boiler_≥88% AFUE, &lt;300MBh_MF</v>
      </c>
      <c r="C653" s="2" t="str">
        <f t="shared" si="21"/>
        <v>PGL_Residential_Multi-Family_Partner Trade Ally Rebate_Boiler_≥88% AFUE, &lt;300MBh_MF_2022</v>
      </c>
      <c r="D653" s="19" t="s">
        <v>1794</v>
      </c>
      <c r="E653" s="19" t="s">
        <v>2</v>
      </c>
      <c r="F653" s="19" t="s">
        <v>1422</v>
      </c>
      <c r="G653" s="19" t="s">
        <v>1799</v>
      </c>
      <c r="H653" s="19" t="s">
        <v>944</v>
      </c>
      <c r="I653" s="19" t="s">
        <v>945</v>
      </c>
      <c r="J653" s="19" t="s">
        <v>942</v>
      </c>
      <c r="K653" s="19" t="s">
        <v>553</v>
      </c>
      <c r="L653" s="19">
        <v>2022</v>
      </c>
      <c r="M653" s="20">
        <v>100</v>
      </c>
      <c r="N653" s="19" t="s">
        <v>667</v>
      </c>
      <c r="O653" s="20">
        <v>1</v>
      </c>
      <c r="P653" s="20">
        <v>100</v>
      </c>
      <c r="Q653" s="20">
        <v>68.812857142857197</v>
      </c>
      <c r="R653" s="21">
        <v>0.87</v>
      </c>
      <c r="S653" s="20">
        <v>68.812857142857197</v>
      </c>
    </row>
    <row r="654" spans="2:19" ht="15" customHeight="1" x14ac:dyDescent="0.25">
      <c r="B654" s="2" t="str">
        <f t="shared" si="20"/>
        <v>PGL_Residential_Multi-Family_Partner Trade Ally Rebate_Boiler_≥88% AFUE, &lt;300MBh_MF</v>
      </c>
      <c r="C654" s="2" t="str">
        <f t="shared" si="21"/>
        <v>PGL_Residential_Multi-Family_Partner Trade Ally Rebate_Boiler_≥88% AFUE, &lt;300MBh_MF_2023</v>
      </c>
      <c r="D654" s="19" t="s">
        <v>1794</v>
      </c>
      <c r="E654" s="19" t="s">
        <v>2</v>
      </c>
      <c r="F654" s="19" t="s">
        <v>1422</v>
      </c>
      <c r="G654" s="19" t="s">
        <v>1799</v>
      </c>
      <c r="H654" s="19" t="s">
        <v>944</v>
      </c>
      <c r="I654" s="19" t="s">
        <v>945</v>
      </c>
      <c r="J654" s="19" t="s">
        <v>942</v>
      </c>
      <c r="K654" s="19" t="s">
        <v>553</v>
      </c>
      <c r="L654" s="19">
        <v>2023</v>
      </c>
      <c r="M654" s="20">
        <v>100</v>
      </c>
      <c r="N654" s="19" t="s">
        <v>667</v>
      </c>
      <c r="O654" s="20">
        <v>1</v>
      </c>
      <c r="P654" s="20">
        <v>100</v>
      </c>
      <c r="Q654" s="20">
        <v>68.812857142857197</v>
      </c>
      <c r="R654" s="21">
        <v>0.87</v>
      </c>
      <c r="S654" s="20">
        <v>68.812857142857197</v>
      </c>
    </row>
    <row r="655" spans="2:19" ht="15" customHeight="1" x14ac:dyDescent="0.25">
      <c r="B655" s="2" t="str">
        <f t="shared" si="20"/>
        <v>PGL_Residential_Multi-Family_Partner Trade Ally Rebate_Boiler_≥88% AFUE, &lt;300MBh_MF</v>
      </c>
      <c r="C655" s="2" t="str">
        <f t="shared" si="21"/>
        <v>PGL_Residential_Multi-Family_Partner Trade Ally Rebate_Boiler_≥88% AFUE, &lt;300MBh_MF_2024</v>
      </c>
      <c r="D655" s="19" t="s">
        <v>1794</v>
      </c>
      <c r="E655" s="19" t="s">
        <v>2</v>
      </c>
      <c r="F655" s="19" t="s">
        <v>1422</v>
      </c>
      <c r="G655" s="19" t="s">
        <v>1799</v>
      </c>
      <c r="H655" s="19" t="s">
        <v>944</v>
      </c>
      <c r="I655" s="19" t="s">
        <v>945</v>
      </c>
      <c r="J655" s="19" t="s">
        <v>942</v>
      </c>
      <c r="K655" s="19" t="s">
        <v>553</v>
      </c>
      <c r="L655" s="19">
        <v>2024</v>
      </c>
      <c r="M655" s="20">
        <v>100</v>
      </c>
      <c r="N655" s="19" t="s">
        <v>667</v>
      </c>
      <c r="O655" s="20">
        <v>1</v>
      </c>
      <c r="P655" s="20">
        <v>100</v>
      </c>
      <c r="Q655" s="20">
        <v>68.812857142857197</v>
      </c>
      <c r="R655" s="21">
        <v>0.87</v>
      </c>
      <c r="S655" s="20">
        <v>68.812857142857197</v>
      </c>
    </row>
    <row r="656" spans="2:19" ht="15" customHeight="1" x14ac:dyDescent="0.25">
      <c r="B656" s="2" t="str">
        <f t="shared" si="20"/>
        <v>PGL_Residential_Multi-Family_Partner Trade Ally Rebate_Boiler_≥88% AFUE, &lt;300MBh_MF</v>
      </c>
      <c r="C656" s="2" t="str">
        <f t="shared" si="21"/>
        <v>PGL_Residential_Multi-Family_Partner Trade Ally Rebate_Boiler_≥88% AFUE, &lt;300MBh_MF_2025</v>
      </c>
      <c r="D656" s="19" t="s">
        <v>1794</v>
      </c>
      <c r="E656" s="19" t="s">
        <v>2</v>
      </c>
      <c r="F656" s="19" t="s">
        <v>1422</v>
      </c>
      <c r="G656" s="19" t="s">
        <v>1799</v>
      </c>
      <c r="H656" s="19" t="s">
        <v>944</v>
      </c>
      <c r="I656" s="19" t="s">
        <v>945</v>
      </c>
      <c r="J656" s="19" t="s">
        <v>942</v>
      </c>
      <c r="K656" s="19" t="s">
        <v>553</v>
      </c>
      <c r="L656" s="19">
        <v>2025</v>
      </c>
      <c r="M656" s="20">
        <v>100</v>
      </c>
      <c r="N656" s="19" t="s">
        <v>667</v>
      </c>
      <c r="O656" s="20">
        <v>1</v>
      </c>
      <c r="P656" s="20">
        <v>100</v>
      </c>
      <c r="Q656" s="20">
        <v>68.812857142857197</v>
      </c>
      <c r="R656" s="21">
        <v>0.87</v>
      </c>
      <c r="S656" s="20">
        <v>68.812857142857197</v>
      </c>
    </row>
    <row r="657" spans="2:19" ht="15" customHeight="1" x14ac:dyDescent="0.25">
      <c r="B657" s="2" t="str">
        <f t="shared" si="20"/>
        <v>PGL_Residential_Multi-Family_Partner Trade Ally Rebate_Boiler_≥88% AFUE, ≥300MBh TE_MF</v>
      </c>
      <c r="C657" s="2" t="str">
        <f t="shared" si="21"/>
        <v>PGL_Residential_Multi-Family_Partner Trade Ally Rebate_Boiler_≥88% AFUE, ≥300MBh TE_MF_2022</v>
      </c>
      <c r="D657" s="19" t="s">
        <v>1794</v>
      </c>
      <c r="E657" s="19" t="s">
        <v>2</v>
      </c>
      <c r="F657" s="19" t="s">
        <v>1422</v>
      </c>
      <c r="G657" s="19" t="s">
        <v>1799</v>
      </c>
      <c r="H657" s="19" t="s">
        <v>944</v>
      </c>
      <c r="I657" s="19" t="s">
        <v>946</v>
      </c>
      <c r="J657" s="19" t="s">
        <v>942</v>
      </c>
      <c r="K657" s="19" t="s">
        <v>553</v>
      </c>
      <c r="L657" s="19">
        <v>2022</v>
      </c>
      <c r="M657" s="20">
        <v>5000</v>
      </c>
      <c r="N657" s="19" t="s">
        <v>667</v>
      </c>
      <c r="O657" s="20">
        <v>5</v>
      </c>
      <c r="P657" s="20">
        <v>25000</v>
      </c>
      <c r="Q657" s="20">
        <v>36126.749999999985</v>
      </c>
      <c r="R657" s="21">
        <v>0.87</v>
      </c>
      <c r="S657" s="20">
        <v>36126.749999999985</v>
      </c>
    </row>
    <row r="658" spans="2:19" ht="15" customHeight="1" x14ac:dyDescent="0.25">
      <c r="B658" s="2" t="str">
        <f t="shared" si="20"/>
        <v>PGL_Residential_Multi-Family_Partner Trade Ally Rebate_Boiler_≥88% AFUE, ≥300MBh TE_MF</v>
      </c>
      <c r="C658" s="2" t="str">
        <f t="shared" si="21"/>
        <v>PGL_Residential_Multi-Family_Partner Trade Ally Rebate_Boiler_≥88% AFUE, ≥300MBh TE_MF_2023</v>
      </c>
      <c r="D658" s="19" t="s">
        <v>1794</v>
      </c>
      <c r="E658" s="19" t="s">
        <v>2</v>
      </c>
      <c r="F658" s="19" t="s">
        <v>1422</v>
      </c>
      <c r="G658" s="19" t="s">
        <v>1799</v>
      </c>
      <c r="H658" s="19" t="s">
        <v>944</v>
      </c>
      <c r="I658" s="19" t="s">
        <v>946</v>
      </c>
      <c r="J658" s="19" t="s">
        <v>942</v>
      </c>
      <c r="K658" s="19" t="s">
        <v>553</v>
      </c>
      <c r="L658" s="19">
        <v>2023</v>
      </c>
      <c r="M658" s="20">
        <v>5000</v>
      </c>
      <c r="N658" s="19" t="s">
        <v>667</v>
      </c>
      <c r="O658" s="20">
        <v>4</v>
      </c>
      <c r="P658" s="20">
        <v>20000</v>
      </c>
      <c r="Q658" s="20">
        <v>28901.399999999987</v>
      </c>
      <c r="R658" s="21">
        <v>0.87</v>
      </c>
      <c r="S658" s="20">
        <v>28901.399999999987</v>
      </c>
    </row>
    <row r="659" spans="2:19" ht="15" customHeight="1" x14ac:dyDescent="0.25">
      <c r="B659" s="2" t="str">
        <f t="shared" si="20"/>
        <v>PGL_Residential_Multi-Family_Partner Trade Ally Rebate_Boiler_≥88% AFUE, ≥300MBh TE_MF</v>
      </c>
      <c r="C659" s="2" t="str">
        <f t="shared" si="21"/>
        <v>PGL_Residential_Multi-Family_Partner Trade Ally Rebate_Boiler_≥88% AFUE, ≥300MBh TE_MF_2024</v>
      </c>
      <c r="D659" s="19" t="s">
        <v>1794</v>
      </c>
      <c r="E659" s="19" t="s">
        <v>2</v>
      </c>
      <c r="F659" s="19" t="s">
        <v>1422</v>
      </c>
      <c r="G659" s="19" t="s">
        <v>1799</v>
      </c>
      <c r="H659" s="19" t="s">
        <v>944</v>
      </c>
      <c r="I659" s="19" t="s">
        <v>946</v>
      </c>
      <c r="J659" s="19" t="s">
        <v>942</v>
      </c>
      <c r="K659" s="19" t="s">
        <v>553</v>
      </c>
      <c r="L659" s="19">
        <v>2024</v>
      </c>
      <c r="M659" s="20">
        <v>5000</v>
      </c>
      <c r="N659" s="19" t="s">
        <v>667</v>
      </c>
      <c r="O659" s="20">
        <v>4</v>
      </c>
      <c r="P659" s="20">
        <v>20000</v>
      </c>
      <c r="Q659" s="20">
        <v>28901.399999999987</v>
      </c>
      <c r="R659" s="21">
        <v>0.87</v>
      </c>
      <c r="S659" s="20">
        <v>28901.399999999987</v>
      </c>
    </row>
    <row r="660" spans="2:19" ht="15" customHeight="1" x14ac:dyDescent="0.25">
      <c r="B660" s="2" t="str">
        <f t="shared" si="20"/>
        <v>PGL_Residential_Multi-Family_Partner Trade Ally Rebate_Boiler_≥88% AFUE, ≥300MBh TE_MF</v>
      </c>
      <c r="C660" s="2" t="str">
        <f t="shared" si="21"/>
        <v>PGL_Residential_Multi-Family_Partner Trade Ally Rebate_Boiler_≥88% AFUE, ≥300MBh TE_MF_2025</v>
      </c>
      <c r="D660" s="19" t="s">
        <v>1794</v>
      </c>
      <c r="E660" s="19" t="s">
        <v>2</v>
      </c>
      <c r="F660" s="19" t="s">
        <v>1422</v>
      </c>
      <c r="G660" s="19" t="s">
        <v>1799</v>
      </c>
      <c r="H660" s="19" t="s">
        <v>944</v>
      </c>
      <c r="I660" s="19" t="s">
        <v>946</v>
      </c>
      <c r="J660" s="19" t="s">
        <v>942</v>
      </c>
      <c r="K660" s="19" t="s">
        <v>553</v>
      </c>
      <c r="L660" s="19">
        <v>2025</v>
      </c>
      <c r="M660" s="20">
        <v>5000</v>
      </c>
      <c r="N660" s="19" t="s">
        <v>667</v>
      </c>
      <c r="O660" s="20">
        <v>3</v>
      </c>
      <c r="P660" s="20">
        <v>15000</v>
      </c>
      <c r="Q660" s="20">
        <v>21676.049999999992</v>
      </c>
      <c r="R660" s="21">
        <v>0.87</v>
      </c>
      <c r="S660" s="20">
        <v>21676.049999999992</v>
      </c>
    </row>
    <row r="661" spans="2:19" ht="15" customHeight="1" x14ac:dyDescent="0.25">
      <c r="B661" s="2" t="str">
        <f t="shared" si="20"/>
        <v>PGL_Residential_Multi-Family_Partner Trade Ally Rebate_Boiler Reset Controls_0_MF</v>
      </c>
      <c r="C661" s="2" t="str">
        <f t="shared" si="21"/>
        <v>PGL_Residential_Multi-Family_Partner Trade Ally Rebate_Boiler Reset Controls_0_MF_2022</v>
      </c>
      <c r="D661" s="19" t="s">
        <v>1794</v>
      </c>
      <c r="E661" s="19" t="s">
        <v>2</v>
      </c>
      <c r="F661" s="19" t="s">
        <v>1422</v>
      </c>
      <c r="G661" s="19" t="s">
        <v>1799</v>
      </c>
      <c r="H661" s="19" t="s">
        <v>978</v>
      </c>
      <c r="I661" s="19">
        <v>0</v>
      </c>
      <c r="J661" s="19" t="s">
        <v>25</v>
      </c>
      <c r="K661" s="19" t="s">
        <v>553</v>
      </c>
      <c r="L661" s="19">
        <v>2022</v>
      </c>
      <c r="M661" s="20">
        <v>1200</v>
      </c>
      <c r="N661" s="19" t="s">
        <v>667</v>
      </c>
      <c r="O661" s="20">
        <v>10</v>
      </c>
      <c r="P661" s="20">
        <v>12000</v>
      </c>
      <c r="Q661" s="20">
        <v>13872.671999999999</v>
      </c>
      <c r="R661" s="21">
        <v>0.87</v>
      </c>
      <c r="S661" s="20">
        <v>13872.671999999999</v>
      </c>
    </row>
    <row r="662" spans="2:19" ht="15" customHeight="1" x14ac:dyDescent="0.25">
      <c r="B662" s="2" t="str">
        <f t="shared" si="20"/>
        <v>PGL_Residential_Multi-Family_Partner Trade Ally Rebate_Boiler Reset Controls_0_MF</v>
      </c>
      <c r="C662" s="2" t="str">
        <f t="shared" si="21"/>
        <v>PGL_Residential_Multi-Family_Partner Trade Ally Rebate_Boiler Reset Controls_0_MF_2023</v>
      </c>
      <c r="D662" s="19" t="s">
        <v>1794</v>
      </c>
      <c r="E662" s="19" t="s">
        <v>2</v>
      </c>
      <c r="F662" s="19" t="s">
        <v>1422</v>
      </c>
      <c r="G662" s="19" t="s">
        <v>1799</v>
      </c>
      <c r="H662" s="19" t="s">
        <v>978</v>
      </c>
      <c r="I662" s="19">
        <v>0</v>
      </c>
      <c r="J662" s="19" t="s">
        <v>25</v>
      </c>
      <c r="K662" s="19" t="s">
        <v>553</v>
      </c>
      <c r="L662" s="19">
        <v>2023</v>
      </c>
      <c r="M662" s="20">
        <v>1200</v>
      </c>
      <c r="N662" s="19" t="s">
        <v>667</v>
      </c>
      <c r="O662" s="20">
        <v>9</v>
      </c>
      <c r="P662" s="20">
        <v>10800</v>
      </c>
      <c r="Q662" s="20">
        <v>12485.404799999998</v>
      </c>
      <c r="R662" s="21">
        <v>0.87</v>
      </c>
      <c r="S662" s="20">
        <v>12485.404799999998</v>
      </c>
    </row>
    <row r="663" spans="2:19" ht="15" customHeight="1" x14ac:dyDescent="0.25">
      <c r="B663" s="2" t="str">
        <f t="shared" si="20"/>
        <v>PGL_Residential_Multi-Family_Partner Trade Ally Rebate_Boiler Reset Controls_0_MF</v>
      </c>
      <c r="C663" s="2" t="str">
        <f t="shared" si="21"/>
        <v>PGL_Residential_Multi-Family_Partner Trade Ally Rebate_Boiler Reset Controls_0_MF_2024</v>
      </c>
      <c r="D663" s="19" t="s">
        <v>1794</v>
      </c>
      <c r="E663" s="19" t="s">
        <v>2</v>
      </c>
      <c r="F663" s="19" t="s">
        <v>1422</v>
      </c>
      <c r="G663" s="19" t="s">
        <v>1799</v>
      </c>
      <c r="H663" s="19" t="s">
        <v>978</v>
      </c>
      <c r="I663" s="19">
        <v>0</v>
      </c>
      <c r="J663" s="19" t="s">
        <v>25</v>
      </c>
      <c r="K663" s="19" t="s">
        <v>553</v>
      </c>
      <c r="L663" s="19">
        <v>2024</v>
      </c>
      <c r="M663" s="20">
        <v>1200</v>
      </c>
      <c r="N663" s="19" t="s">
        <v>667</v>
      </c>
      <c r="O663" s="20">
        <v>8</v>
      </c>
      <c r="P663" s="20">
        <v>9600</v>
      </c>
      <c r="Q663" s="20">
        <v>11098.1376</v>
      </c>
      <c r="R663" s="21">
        <v>0.87</v>
      </c>
      <c r="S663" s="20">
        <v>11098.1376</v>
      </c>
    </row>
    <row r="664" spans="2:19" ht="15" customHeight="1" x14ac:dyDescent="0.25">
      <c r="B664" s="2" t="str">
        <f t="shared" si="20"/>
        <v>PGL_Residential_Multi-Family_Partner Trade Ally Rebate_Boiler Reset Controls_0_MF</v>
      </c>
      <c r="C664" s="2" t="str">
        <f t="shared" si="21"/>
        <v>PGL_Residential_Multi-Family_Partner Trade Ally Rebate_Boiler Reset Controls_0_MF_2025</v>
      </c>
      <c r="D664" s="19" t="s">
        <v>1794</v>
      </c>
      <c r="E664" s="19" t="s">
        <v>2</v>
      </c>
      <c r="F664" s="19" t="s">
        <v>1422</v>
      </c>
      <c r="G664" s="19" t="s">
        <v>1799</v>
      </c>
      <c r="H664" s="19" t="s">
        <v>978</v>
      </c>
      <c r="I664" s="19">
        <v>0</v>
      </c>
      <c r="J664" s="19" t="s">
        <v>25</v>
      </c>
      <c r="K664" s="19" t="s">
        <v>553</v>
      </c>
      <c r="L664" s="19">
        <v>2025</v>
      </c>
      <c r="M664" s="20">
        <v>1200</v>
      </c>
      <c r="N664" s="19" t="s">
        <v>667</v>
      </c>
      <c r="O664" s="20">
        <v>6</v>
      </c>
      <c r="P664" s="20">
        <v>7200</v>
      </c>
      <c r="Q664" s="20">
        <v>8323.6031999999996</v>
      </c>
      <c r="R664" s="21">
        <v>0.87</v>
      </c>
      <c r="S664" s="20">
        <v>8323.6031999999996</v>
      </c>
    </row>
    <row r="665" spans="2:19" ht="15" customHeight="1" x14ac:dyDescent="0.25">
      <c r="B665" s="2" t="str">
        <f t="shared" si="20"/>
        <v>PGL_Residential_Multi-Family_Partner Trade Ally Rebate_Boiler Tune Up_Process_MF/CI</v>
      </c>
      <c r="C665" s="2" t="str">
        <f t="shared" si="21"/>
        <v>PGL_Residential_Multi-Family_Partner Trade Ally Rebate_Boiler Tune Up_Process_MF/CI_2022</v>
      </c>
      <c r="D665" s="19" t="s">
        <v>1794</v>
      </c>
      <c r="E665" s="19" t="s">
        <v>2</v>
      </c>
      <c r="F665" s="19" t="s">
        <v>1422</v>
      </c>
      <c r="G665" s="19" t="s">
        <v>1799</v>
      </c>
      <c r="H665" s="19" t="s">
        <v>906</v>
      </c>
      <c r="I665" s="19" t="s">
        <v>924</v>
      </c>
      <c r="J665" s="19" t="s">
        <v>927</v>
      </c>
      <c r="K665" s="19" t="s">
        <v>587</v>
      </c>
      <c r="L665" s="19">
        <v>2022</v>
      </c>
      <c r="M665" s="20">
        <v>2000</v>
      </c>
      <c r="N665" s="19" t="s">
        <v>667</v>
      </c>
      <c r="O665" s="20">
        <v>285</v>
      </c>
      <c r="P665" s="20">
        <v>570000</v>
      </c>
      <c r="Q665" s="20">
        <v>507174.47261258797</v>
      </c>
      <c r="R665" s="21">
        <v>0.87</v>
      </c>
      <c r="S665" s="20">
        <v>507174.47261258797</v>
      </c>
    </row>
    <row r="666" spans="2:19" ht="15" customHeight="1" x14ac:dyDescent="0.25">
      <c r="B666" s="2" t="str">
        <f t="shared" si="20"/>
        <v>PGL_Residential_Multi-Family_Partner Trade Ally Rebate_Boiler Tune Up_Process_MF/CI</v>
      </c>
      <c r="C666" s="2" t="str">
        <f t="shared" si="21"/>
        <v>PGL_Residential_Multi-Family_Partner Trade Ally Rebate_Boiler Tune Up_Process_MF/CI_2023</v>
      </c>
      <c r="D666" s="19" t="s">
        <v>1794</v>
      </c>
      <c r="E666" s="19" t="s">
        <v>2</v>
      </c>
      <c r="F666" s="19" t="s">
        <v>1422</v>
      </c>
      <c r="G666" s="19" t="s">
        <v>1799</v>
      </c>
      <c r="H666" s="19" t="s">
        <v>906</v>
      </c>
      <c r="I666" s="19" t="s">
        <v>924</v>
      </c>
      <c r="J666" s="19" t="s">
        <v>927</v>
      </c>
      <c r="K666" s="19" t="s">
        <v>587</v>
      </c>
      <c r="L666" s="19">
        <v>2023</v>
      </c>
      <c r="M666" s="20">
        <v>2000</v>
      </c>
      <c r="N666" s="19" t="s">
        <v>667</v>
      </c>
      <c r="O666" s="20">
        <v>255</v>
      </c>
      <c r="P666" s="20">
        <v>510000</v>
      </c>
      <c r="Q666" s="20">
        <v>453787.68602178921</v>
      </c>
      <c r="R666" s="21">
        <v>0.87</v>
      </c>
      <c r="S666" s="20">
        <v>453787.68602178921</v>
      </c>
    </row>
    <row r="667" spans="2:19" ht="15" customHeight="1" x14ac:dyDescent="0.25">
      <c r="B667" s="2" t="str">
        <f t="shared" si="20"/>
        <v>PGL_Residential_Multi-Family_Partner Trade Ally Rebate_Boiler Tune Up_Process_MF/CI</v>
      </c>
      <c r="C667" s="2" t="str">
        <f t="shared" si="21"/>
        <v>PGL_Residential_Multi-Family_Partner Trade Ally Rebate_Boiler Tune Up_Process_MF/CI_2024</v>
      </c>
      <c r="D667" s="19" t="s">
        <v>1794</v>
      </c>
      <c r="E667" s="19" t="s">
        <v>2</v>
      </c>
      <c r="F667" s="19" t="s">
        <v>1422</v>
      </c>
      <c r="G667" s="19" t="s">
        <v>1799</v>
      </c>
      <c r="H667" s="19" t="s">
        <v>906</v>
      </c>
      <c r="I667" s="19" t="s">
        <v>924</v>
      </c>
      <c r="J667" s="19" t="s">
        <v>927</v>
      </c>
      <c r="K667" s="19" t="s">
        <v>587</v>
      </c>
      <c r="L667" s="19">
        <v>2024</v>
      </c>
      <c r="M667" s="20">
        <v>2000</v>
      </c>
      <c r="N667" s="19" t="s">
        <v>667</v>
      </c>
      <c r="O667" s="20">
        <v>225</v>
      </c>
      <c r="P667" s="20">
        <v>450000</v>
      </c>
      <c r="Q667" s="20">
        <v>400400.89943099051</v>
      </c>
      <c r="R667" s="21">
        <v>0.87</v>
      </c>
      <c r="S667" s="20">
        <v>400400.89943099051</v>
      </c>
    </row>
    <row r="668" spans="2:19" ht="15" customHeight="1" x14ac:dyDescent="0.25">
      <c r="B668" s="2" t="str">
        <f t="shared" si="20"/>
        <v>PGL_Residential_Multi-Family_Partner Trade Ally Rebate_Boiler Tune Up_Process_MF/CI</v>
      </c>
      <c r="C668" s="2" t="str">
        <f t="shared" si="21"/>
        <v>PGL_Residential_Multi-Family_Partner Trade Ally Rebate_Boiler Tune Up_Process_MF/CI_2025</v>
      </c>
      <c r="D668" s="19" t="s">
        <v>1794</v>
      </c>
      <c r="E668" s="19" t="s">
        <v>2</v>
      </c>
      <c r="F668" s="19" t="s">
        <v>1422</v>
      </c>
      <c r="G668" s="19" t="s">
        <v>1799</v>
      </c>
      <c r="H668" s="19" t="s">
        <v>906</v>
      </c>
      <c r="I668" s="19" t="s">
        <v>924</v>
      </c>
      <c r="J668" s="19" t="s">
        <v>927</v>
      </c>
      <c r="K668" s="19" t="s">
        <v>587</v>
      </c>
      <c r="L668" s="19">
        <v>2025</v>
      </c>
      <c r="M668" s="20">
        <v>2000</v>
      </c>
      <c r="N668" s="19" t="s">
        <v>667</v>
      </c>
      <c r="O668" s="20">
        <v>165</v>
      </c>
      <c r="P668" s="20">
        <v>330000</v>
      </c>
      <c r="Q668" s="20">
        <v>293627.32624939305</v>
      </c>
      <c r="R668" s="21">
        <v>0.87</v>
      </c>
      <c r="S668" s="20">
        <v>293627.32624939305</v>
      </c>
    </row>
    <row r="669" spans="2:19" ht="15" customHeight="1" x14ac:dyDescent="0.25">
      <c r="B669" s="2" t="str">
        <f t="shared" si="20"/>
        <v>PGL_Residential_Multi-Family_Partner Trade Ally Rebate_Boiler Tune Up_Space Heating_MF</v>
      </c>
      <c r="C669" s="2" t="str">
        <f t="shared" si="21"/>
        <v>PGL_Residential_Multi-Family_Partner Trade Ally Rebate_Boiler Tune Up_Space Heating_MF_2022</v>
      </c>
      <c r="D669" s="19" t="s">
        <v>1794</v>
      </c>
      <c r="E669" s="19" t="s">
        <v>2</v>
      </c>
      <c r="F669" s="19" t="s">
        <v>1422</v>
      </c>
      <c r="G669" s="19" t="s">
        <v>1799</v>
      </c>
      <c r="H669" s="19" t="s">
        <v>906</v>
      </c>
      <c r="I669" s="19" t="s">
        <v>907</v>
      </c>
      <c r="J669" s="19" t="s">
        <v>909</v>
      </c>
      <c r="K669" s="19" t="s">
        <v>553</v>
      </c>
      <c r="L669" s="19">
        <v>2022</v>
      </c>
      <c r="M669" s="20">
        <v>800</v>
      </c>
      <c r="N669" s="19" t="s">
        <v>667</v>
      </c>
      <c r="O669" s="20">
        <v>380</v>
      </c>
      <c r="P669" s="20">
        <v>304000</v>
      </c>
      <c r="Q669" s="20">
        <v>123974.59435582848</v>
      </c>
      <c r="R669" s="21">
        <v>0.87</v>
      </c>
      <c r="S669" s="20">
        <v>123974.59435582848</v>
      </c>
    </row>
    <row r="670" spans="2:19" ht="15" customHeight="1" x14ac:dyDescent="0.25">
      <c r="B670" s="2" t="str">
        <f t="shared" si="20"/>
        <v>PGL_Residential_Multi-Family_Partner Trade Ally Rebate_Boiler Tune Up_Space Heating_MF</v>
      </c>
      <c r="C670" s="2" t="str">
        <f t="shared" si="21"/>
        <v>PGL_Residential_Multi-Family_Partner Trade Ally Rebate_Boiler Tune Up_Space Heating_MF_2023</v>
      </c>
      <c r="D670" s="19" t="s">
        <v>1794</v>
      </c>
      <c r="E670" s="19" t="s">
        <v>2</v>
      </c>
      <c r="F670" s="19" t="s">
        <v>1422</v>
      </c>
      <c r="G670" s="19" t="s">
        <v>1799</v>
      </c>
      <c r="H670" s="19" t="s">
        <v>906</v>
      </c>
      <c r="I670" s="19" t="s">
        <v>907</v>
      </c>
      <c r="J670" s="19" t="s">
        <v>909</v>
      </c>
      <c r="K670" s="19" t="s">
        <v>553</v>
      </c>
      <c r="L670" s="19">
        <v>2023</v>
      </c>
      <c r="M670" s="20">
        <v>800</v>
      </c>
      <c r="N670" s="19" t="s">
        <v>667</v>
      </c>
      <c r="O670" s="20">
        <v>340</v>
      </c>
      <c r="P670" s="20">
        <v>272000</v>
      </c>
      <c r="Q670" s="20">
        <v>110924.63705521496</v>
      </c>
      <c r="R670" s="21">
        <v>0.87</v>
      </c>
      <c r="S670" s="20">
        <v>110924.63705521496</v>
      </c>
    </row>
    <row r="671" spans="2:19" ht="15" customHeight="1" x14ac:dyDescent="0.25">
      <c r="B671" s="2" t="str">
        <f t="shared" si="20"/>
        <v>PGL_Residential_Multi-Family_Partner Trade Ally Rebate_Boiler Tune Up_Space Heating_MF</v>
      </c>
      <c r="C671" s="2" t="str">
        <f t="shared" si="21"/>
        <v>PGL_Residential_Multi-Family_Partner Trade Ally Rebate_Boiler Tune Up_Space Heating_MF_2024</v>
      </c>
      <c r="D671" s="19" t="s">
        <v>1794</v>
      </c>
      <c r="E671" s="19" t="s">
        <v>2</v>
      </c>
      <c r="F671" s="19" t="s">
        <v>1422</v>
      </c>
      <c r="G671" s="19" t="s">
        <v>1799</v>
      </c>
      <c r="H671" s="19" t="s">
        <v>906</v>
      </c>
      <c r="I671" s="19" t="s">
        <v>907</v>
      </c>
      <c r="J671" s="19" t="s">
        <v>909</v>
      </c>
      <c r="K671" s="19" t="s">
        <v>553</v>
      </c>
      <c r="L671" s="19">
        <v>2024</v>
      </c>
      <c r="M671" s="20">
        <v>800</v>
      </c>
      <c r="N671" s="19" t="s">
        <v>667</v>
      </c>
      <c r="O671" s="20">
        <v>300</v>
      </c>
      <c r="P671" s="20">
        <v>240000</v>
      </c>
      <c r="Q671" s="20">
        <v>97874.679754601428</v>
      </c>
      <c r="R671" s="21">
        <v>0.87</v>
      </c>
      <c r="S671" s="20">
        <v>97874.679754601428</v>
      </c>
    </row>
    <row r="672" spans="2:19" ht="15" customHeight="1" x14ac:dyDescent="0.25">
      <c r="B672" s="2" t="str">
        <f t="shared" si="20"/>
        <v>PGL_Residential_Multi-Family_Partner Trade Ally Rebate_Boiler Tune Up_Space Heating_MF</v>
      </c>
      <c r="C672" s="2" t="str">
        <f t="shared" si="21"/>
        <v>PGL_Residential_Multi-Family_Partner Trade Ally Rebate_Boiler Tune Up_Space Heating_MF_2025</v>
      </c>
      <c r="D672" s="19" t="s">
        <v>1794</v>
      </c>
      <c r="E672" s="19" t="s">
        <v>2</v>
      </c>
      <c r="F672" s="19" t="s">
        <v>1422</v>
      </c>
      <c r="G672" s="19" t="s">
        <v>1799</v>
      </c>
      <c r="H672" s="19" t="s">
        <v>906</v>
      </c>
      <c r="I672" s="19" t="s">
        <v>907</v>
      </c>
      <c r="J672" s="19" t="s">
        <v>909</v>
      </c>
      <c r="K672" s="19" t="s">
        <v>553</v>
      </c>
      <c r="L672" s="19">
        <v>2025</v>
      </c>
      <c r="M672" s="20">
        <v>800</v>
      </c>
      <c r="N672" s="19" t="s">
        <v>667</v>
      </c>
      <c r="O672" s="20">
        <v>220</v>
      </c>
      <c r="P672" s="20">
        <v>176000</v>
      </c>
      <c r="Q672" s="20">
        <v>71774.765153374377</v>
      </c>
      <c r="R672" s="21">
        <v>0.87</v>
      </c>
      <c r="S672" s="20">
        <v>71774.765153374377</v>
      </c>
    </row>
    <row r="673" spans="2:19" ht="15" customHeight="1" x14ac:dyDescent="0.25">
      <c r="B673" s="2" t="str">
        <f t="shared" si="20"/>
        <v>PGL_Residential_Multi-Family_Partner Trade Ally Rebate_Condensing Unit Heater_0_MF/CI</v>
      </c>
      <c r="C673" s="2" t="str">
        <f t="shared" si="21"/>
        <v>PGL_Residential_Multi-Family_Partner Trade Ally Rebate_Condensing Unit Heater_0_MF/CI_2022</v>
      </c>
      <c r="D673" s="19" t="s">
        <v>1794</v>
      </c>
      <c r="E673" s="19" t="s">
        <v>2</v>
      </c>
      <c r="F673" s="19" t="s">
        <v>1422</v>
      </c>
      <c r="G673" s="19" t="s">
        <v>1799</v>
      </c>
      <c r="H673" s="19" t="s">
        <v>13</v>
      </c>
      <c r="I673" s="19">
        <v>0</v>
      </c>
      <c r="J673" s="19" t="s">
        <v>32</v>
      </c>
      <c r="K673" s="19" t="s">
        <v>587</v>
      </c>
      <c r="L673" s="19">
        <v>2022</v>
      </c>
      <c r="M673" s="20">
        <v>150</v>
      </c>
      <c r="N673" s="19" t="s">
        <v>667</v>
      </c>
      <c r="O673" s="20">
        <v>3</v>
      </c>
      <c r="P673" s="20">
        <v>450</v>
      </c>
      <c r="Q673" s="20">
        <v>694.26</v>
      </c>
      <c r="R673" s="21">
        <v>0.87</v>
      </c>
      <c r="S673" s="20">
        <v>694.26</v>
      </c>
    </row>
    <row r="674" spans="2:19" ht="15" customHeight="1" x14ac:dyDescent="0.25">
      <c r="B674" s="2" t="str">
        <f t="shared" si="20"/>
        <v>PGL_Residential_Multi-Family_Partner Trade Ally Rebate_Condensing Unit Heater_0_MF/CI</v>
      </c>
      <c r="C674" s="2" t="str">
        <f t="shared" si="21"/>
        <v>PGL_Residential_Multi-Family_Partner Trade Ally Rebate_Condensing Unit Heater_0_MF/CI_2023</v>
      </c>
      <c r="D674" s="19" t="s">
        <v>1794</v>
      </c>
      <c r="E674" s="19" t="s">
        <v>2</v>
      </c>
      <c r="F674" s="19" t="s">
        <v>1422</v>
      </c>
      <c r="G674" s="19" t="s">
        <v>1799</v>
      </c>
      <c r="H674" s="19" t="s">
        <v>13</v>
      </c>
      <c r="I674" s="19">
        <v>0</v>
      </c>
      <c r="J674" s="19" t="s">
        <v>32</v>
      </c>
      <c r="K674" s="19" t="s">
        <v>587</v>
      </c>
      <c r="L674" s="19">
        <v>2023</v>
      </c>
      <c r="M674" s="20">
        <v>150</v>
      </c>
      <c r="N674" s="19" t="s">
        <v>667</v>
      </c>
      <c r="O674" s="20">
        <v>3</v>
      </c>
      <c r="P674" s="20">
        <v>450</v>
      </c>
      <c r="Q674" s="20">
        <v>694.26</v>
      </c>
      <c r="R674" s="21">
        <v>0.87</v>
      </c>
      <c r="S674" s="20">
        <v>694.26</v>
      </c>
    </row>
    <row r="675" spans="2:19" ht="15" customHeight="1" x14ac:dyDescent="0.25">
      <c r="B675" s="2" t="str">
        <f t="shared" si="20"/>
        <v>PGL_Residential_Multi-Family_Partner Trade Ally Rebate_Condensing Unit Heater_0_MF/CI</v>
      </c>
      <c r="C675" s="2" t="str">
        <f t="shared" si="21"/>
        <v>PGL_Residential_Multi-Family_Partner Trade Ally Rebate_Condensing Unit Heater_0_MF/CI_2024</v>
      </c>
      <c r="D675" s="19" t="s">
        <v>1794</v>
      </c>
      <c r="E675" s="19" t="s">
        <v>2</v>
      </c>
      <c r="F675" s="19" t="s">
        <v>1422</v>
      </c>
      <c r="G675" s="19" t="s">
        <v>1799</v>
      </c>
      <c r="H675" s="19" t="s">
        <v>13</v>
      </c>
      <c r="I675" s="19">
        <v>0</v>
      </c>
      <c r="J675" s="19" t="s">
        <v>32</v>
      </c>
      <c r="K675" s="19" t="s">
        <v>587</v>
      </c>
      <c r="L675" s="19">
        <v>2024</v>
      </c>
      <c r="M675" s="20">
        <v>150</v>
      </c>
      <c r="N675" s="19" t="s">
        <v>667</v>
      </c>
      <c r="O675" s="20">
        <v>2</v>
      </c>
      <c r="P675" s="20">
        <v>300</v>
      </c>
      <c r="Q675" s="20">
        <v>462.84</v>
      </c>
      <c r="R675" s="21">
        <v>0.87</v>
      </c>
      <c r="S675" s="20">
        <v>462.84</v>
      </c>
    </row>
    <row r="676" spans="2:19" ht="15" customHeight="1" x14ac:dyDescent="0.25">
      <c r="B676" s="2" t="str">
        <f t="shared" si="20"/>
        <v>PGL_Residential_Multi-Family_Partner Trade Ally Rebate_Condensing Unit Heater_0_MF/CI</v>
      </c>
      <c r="C676" s="2" t="str">
        <f t="shared" si="21"/>
        <v>PGL_Residential_Multi-Family_Partner Trade Ally Rebate_Condensing Unit Heater_0_MF/CI_2025</v>
      </c>
      <c r="D676" s="19" t="s">
        <v>1794</v>
      </c>
      <c r="E676" s="19" t="s">
        <v>2</v>
      </c>
      <c r="F676" s="19" t="s">
        <v>1422</v>
      </c>
      <c r="G676" s="19" t="s">
        <v>1799</v>
      </c>
      <c r="H676" s="19" t="s">
        <v>13</v>
      </c>
      <c r="I676" s="19">
        <v>0</v>
      </c>
      <c r="J676" s="19" t="s">
        <v>32</v>
      </c>
      <c r="K676" s="19" t="s">
        <v>587</v>
      </c>
      <c r="L676" s="19">
        <v>2025</v>
      </c>
      <c r="M676" s="20">
        <v>150</v>
      </c>
      <c r="N676" s="19" t="s">
        <v>667</v>
      </c>
      <c r="O676" s="20">
        <v>2</v>
      </c>
      <c r="P676" s="20">
        <v>300</v>
      </c>
      <c r="Q676" s="20">
        <v>462.84</v>
      </c>
      <c r="R676" s="21">
        <v>0.87</v>
      </c>
      <c r="S676" s="20">
        <v>462.84</v>
      </c>
    </row>
    <row r="677" spans="2:19" ht="15" customHeight="1" x14ac:dyDescent="0.25">
      <c r="B677" s="2" t="str">
        <f t="shared" si="20"/>
        <v>PGL_Residential_Multi-Family_Partner Trade Ally Rebate_Direct Fired Heaters_0_MF/CI</v>
      </c>
      <c r="C677" s="2" t="str">
        <f t="shared" si="21"/>
        <v>PGL_Residential_Multi-Family_Partner Trade Ally Rebate_Direct Fired Heaters_0_MF/CI_2022</v>
      </c>
      <c r="D677" s="19" t="s">
        <v>1794</v>
      </c>
      <c r="E677" s="19" t="s">
        <v>2</v>
      </c>
      <c r="F677" s="19" t="s">
        <v>1422</v>
      </c>
      <c r="G677" s="19" t="s">
        <v>1799</v>
      </c>
      <c r="H677" s="19" t="s">
        <v>666</v>
      </c>
      <c r="I677" s="19">
        <v>0</v>
      </c>
      <c r="J677" s="19" t="s">
        <v>673</v>
      </c>
      <c r="K677" s="19" t="s">
        <v>587</v>
      </c>
      <c r="L677" s="19">
        <v>2022</v>
      </c>
      <c r="M677" s="20">
        <v>400</v>
      </c>
      <c r="N677" s="19" t="s">
        <v>667</v>
      </c>
      <c r="O677" s="20">
        <v>4</v>
      </c>
      <c r="P677" s="20">
        <v>1600</v>
      </c>
      <c r="Q677" s="20">
        <v>5178.24</v>
      </c>
      <c r="R677" s="21">
        <v>0.87</v>
      </c>
      <c r="S677" s="20">
        <v>5178.24</v>
      </c>
    </row>
    <row r="678" spans="2:19" ht="15" customHeight="1" x14ac:dyDescent="0.25">
      <c r="B678" s="2" t="str">
        <f t="shared" si="20"/>
        <v>PGL_Residential_Multi-Family_Partner Trade Ally Rebate_Direct Fired Heaters_0_MF/CI</v>
      </c>
      <c r="C678" s="2" t="str">
        <f t="shared" si="21"/>
        <v>PGL_Residential_Multi-Family_Partner Trade Ally Rebate_Direct Fired Heaters_0_MF/CI_2023</v>
      </c>
      <c r="D678" s="19" t="s">
        <v>1794</v>
      </c>
      <c r="E678" s="19" t="s">
        <v>2</v>
      </c>
      <c r="F678" s="19" t="s">
        <v>1422</v>
      </c>
      <c r="G678" s="19" t="s">
        <v>1799</v>
      </c>
      <c r="H678" s="19" t="s">
        <v>666</v>
      </c>
      <c r="I678" s="19">
        <v>0</v>
      </c>
      <c r="J678" s="19" t="s">
        <v>673</v>
      </c>
      <c r="K678" s="19" t="s">
        <v>587</v>
      </c>
      <c r="L678" s="19">
        <v>2023</v>
      </c>
      <c r="M678" s="20">
        <v>400</v>
      </c>
      <c r="N678" s="19" t="s">
        <v>667</v>
      </c>
      <c r="O678" s="20">
        <v>3</v>
      </c>
      <c r="P678" s="20">
        <v>1200</v>
      </c>
      <c r="Q678" s="20">
        <v>3883.68</v>
      </c>
      <c r="R678" s="21">
        <v>0.87</v>
      </c>
      <c r="S678" s="20">
        <v>3883.68</v>
      </c>
    </row>
    <row r="679" spans="2:19" ht="15" customHeight="1" x14ac:dyDescent="0.25">
      <c r="B679" s="2" t="str">
        <f t="shared" si="20"/>
        <v>PGL_Residential_Multi-Family_Partner Trade Ally Rebate_Direct Fired Heaters_0_MF/CI</v>
      </c>
      <c r="C679" s="2" t="str">
        <f t="shared" si="21"/>
        <v>PGL_Residential_Multi-Family_Partner Trade Ally Rebate_Direct Fired Heaters_0_MF/CI_2024</v>
      </c>
      <c r="D679" s="19" t="s">
        <v>1794</v>
      </c>
      <c r="E679" s="19" t="s">
        <v>2</v>
      </c>
      <c r="F679" s="19" t="s">
        <v>1422</v>
      </c>
      <c r="G679" s="19" t="s">
        <v>1799</v>
      </c>
      <c r="H679" s="19" t="s">
        <v>666</v>
      </c>
      <c r="I679" s="19">
        <v>0</v>
      </c>
      <c r="J679" s="19" t="s">
        <v>673</v>
      </c>
      <c r="K679" s="19" t="s">
        <v>587</v>
      </c>
      <c r="L679" s="19">
        <v>2024</v>
      </c>
      <c r="M679" s="20">
        <v>400</v>
      </c>
      <c r="N679" s="19" t="s">
        <v>667</v>
      </c>
      <c r="O679" s="20">
        <v>3</v>
      </c>
      <c r="P679" s="20">
        <v>1200</v>
      </c>
      <c r="Q679" s="20">
        <v>3883.68</v>
      </c>
      <c r="R679" s="21">
        <v>0.87</v>
      </c>
      <c r="S679" s="20">
        <v>3883.68</v>
      </c>
    </row>
    <row r="680" spans="2:19" ht="15" customHeight="1" x14ac:dyDescent="0.25">
      <c r="B680" s="2" t="str">
        <f t="shared" si="20"/>
        <v>PGL_Residential_Multi-Family_Partner Trade Ally Rebate_Direct Fired Heaters_0_MF/CI</v>
      </c>
      <c r="C680" s="2" t="str">
        <f t="shared" si="21"/>
        <v>PGL_Residential_Multi-Family_Partner Trade Ally Rebate_Direct Fired Heaters_0_MF/CI_2025</v>
      </c>
      <c r="D680" s="19" t="s">
        <v>1794</v>
      </c>
      <c r="E680" s="19" t="s">
        <v>2</v>
      </c>
      <c r="F680" s="19" t="s">
        <v>1422</v>
      </c>
      <c r="G680" s="19" t="s">
        <v>1799</v>
      </c>
      <c r="H680" s="19" t="s">
        <v>666</v>
      </c>
      <c r="I680" s="19">
        <v>0</v>
      </c>
      <c r="J680" s="19" t="s">
        <v>673</v>
      </c>
      <c r="K680" s="19" t="s">
        <v>587</v>
      </c>
      <c r="L680" s="19">
        <v>2025</v>
      </c>
      <c r="M680" s="20">
        <v>400</v>
      </c>
      <c r="N680" s="19" t="s">
        <v>667</v>
      </c>
      <c r="O680" s="20">
        <v>2</v>
      </c>
      <c r="P680" s="20">
        <v>800</v>
      </c>
      <c r="Q680" s="20">
        <v>2589.12</v>
      </c>
      <c r="R680" s="21">
        <v>0.87</v>
      </c>
      <c r="S680" s="20">
        <v>2589.12</v>
      </c>
    </row>
    <row r="681" spans="2:19" ht="15" customHeight="1" x14ac:dyDescent="0.25">
      <c r="B681" s="2" t="str">
        <f t="shared" si="20"/>
        <v>PGL_Residential_Multi-Family_Partner Trade Ally Rebate_Furnace_&gt;95% AFUE_MF</v>
      </c>
      <c r="C681" s="2" t="str">
        <f t="shared" si="21"/>
        <v>PGL_Residential_Multi-Family_Partner Trade Ally Rebate_Furnace_&gt;95% AFUE_MF_2022</v>
      </c>
      <c r="D681" s="19" t="s">
        <v>1794</v>
      </c>
      <c r="E681" s="19" t="s">
        <v>2</v>
      </c>
      <c r="F681" s="19" t="s">
        <v>1422</v>
      </c>
      <c r="G681" s="19" t="s">
        <v>1799</v>
      </c>
      <c r="H681" s="19" t="s">
        <v>490</v>
      </c>
      <c r="I681" s="19" t="s">
        <v>982</v>
      </c>
      <c r="J681" s="19" t="s">
        <v>983</v>
      </c>
      <c r="K681" s="19" t="s">
        <v>553</v>
      </c>
      <c r="L681" s="19">
        <v>2022</v>
      </c>
      <c r="M681" s="20">
        <v>1</v>
      </c>
      <c r="N681" s="19" t="s">
        <v>1798</v>
      </c>
      <c r="O681" s="20">
        <v>190</v>
      </c>
      <c r="P681" s="20">
        <v>190</v>
      </c>
      <c r="Q681" s="20">
        <v>39125.27024999998</v>
      </c>
      <c r="R681" s="21">
        <v>0.87</v>
      </c>
      <c r="S681" s="20">
        <v>39125.27024999998</v>
      </c>
    </row>
    <row r="682" spans="2:19" ht="15" customHeight="1" x14ac:dyDescent="0.25">
      <c r="B682" s="2" t="str">
        <f t="shared" si="20"/>
        <v>PGL_Residential_Multi-Family_Partner Trade Ally Rebate_Furnace_&gt;95% AFUE_MF</v>
      </c>
      <c r="C682" s="2" t="str">
        <f t="shared" si="21"/>
        <v>PGL_Residential_Multi-Family_Partner Trade Ally Rebate_Furnace_&gt;95% AFUE_MF_2023</v>
      </c>
      <c r="D682" s="19" t="s">
        <v>1794</v>
      </c>
      <c r="E682" s="19" t="s">
        <v>2</v>
      </c>
      <c r="F682" s="19" t="s">
        <v>1422</v>
      </c>
      <c r="G682" s="19" t="s">
        <v>1799</v>
      </c>
      <c r="H682" s="19" t="s">
        <v>490</v>
      </c>
      <c r="I682" s="19" t="s">
        <v>982</v>
      </c>
      <c r="J682" s="19" t="s">
        <v>983</v>
      </c>
      <c r="K682" s="19" t="s">
        <v>553</v>
      </c>
      <c r="L682" s="19">
        <v>2023</v>
      </c>
      <c r="M682" s="20">
        <v>1</v>
      </c>
      <c r="N682" s="19" t="s">
        <v>1798</v>
      </c>
      <c r="O682" s="20">
        <v>170</v>
      </c>
      <c r="P682" s="20">
        <v>170</v>
      </c>
      <c r="Q682" s="20">
        <v>35006.820749999977</v>
      </c>
      <c r="R682" s="21">
        <v>0.87</v>
      </c>
      <c r="S682" s="20">
        <v>35006.820749999977</v>
      </c>
    </row>
    <row r="683" spans="2:19" ht="15" customHeight="1" x14ac:dyDescent="0.25">
      <c r="B683" s="2" t="str">
        <f t="shared" si="20"/>
        <v>PGL_Residential_Multi-Family_Partner Trade Ally Rebate_Furnace_&gt;95% AFUE_MF</v>
      </c>
      <c r="C683" s="2" t="str">
        <f t="shared" si="21"/>
        <v>PGL_Residential_Multi-Family_Partner Trade Ally Rebate_Furnace_&gt;95% AFUE_MF_2024</v>
      </c>
      <c r="D683" s="19" t="s">
        <v>1794</v>
      </c>
      <c r="E683" s="19" t="s">
        <v>2</v>
      </c>
      <c r="F683" s="19" t="s">
        <v>1422</v>
      </c>
      <c r="G683" s="19" t="s">
        <v>1799</v>
      </c>
      <c r="H683" s="19" t="s">
        <v>490</v>
      </c>
      <c r="I683" s="19" t="s">
        <v>982</v>
      </c>
      <c r="J683" s="19" t="s">
        <v>983</v>
      </c>
      <c r="K683" s="19" t="s">
        <v>553</v>
      </c>
      <c r="L683" s="19">
        <v>2024</v>
      </c>
      <c r="M683" s="20">
        <v>1</v>
      </c>
      <c r="N683" s="19" t="s">
        <v>1798</v>
      </c>
      <c r="O683" s="20">
        <v>150</v>
      </c>
      <c r="P683" s="20">
        <v>150</v>
      </c>
      <c r="Q683" s="20">
        <v>30888.371249999982</v>
      </c>
      <c r="R683" s="21">
        <v>0.87</v>
      </c>
      <c r="S683" s="20">
        <v>30888.371249999982</v>
      </c>
    </row>
    <row r="684" spans="2:19" ht="15" customHeight="1" x14ac:dyDescent="0.25">
      <c r="B684" s="2" t="str">
        <f t="shared" si="20"/>
        <v>PGL_Residential_Multi-Family_Partner Trade Ally Rebate_Furnace_&gt;95% AFUE_MF</v>
      </c>
      <c r="C684" s="2" t="str">
        <f t="shared" si="21"/>
        <v>PGL_Residential_Multi-Family_Partner Trade Ally Rebate_Furnace_&gt;95% AFUE_MF_2025</v>
      </c>
      <c r="D684" s="19" t="s">
        <v>1794</v>
      </c>
      <c r="E684" s="19" t="s">
        <v>2</v>
      </c>
      <c r="F684" s="19" t="s">
        <v>1422</v>
      </c>
      <c r="G684" s="19" t="s">
        <v>1799</v>
      </c>
      <c r="H684" s="19" t="s">
        <v>490</v>
      </c>
      <c r="I684" s="19" t="s">
        <v>982</v>
      </c>
      <c r="J684" s="19" t="s">
        <v>983</v>
      </c>
      <c r="K684" s="19" t="s">
        <v>553</v>
      </c>
      <c r="L684" s="19">
        <v>2025</v>
      </c>
      <c r="M684" s="20">
        <v>1</v>
      </c>
      <c r="N684" s="19" t="s">
        <v>1798</v>
      </c>
      <c r="O684" s="20">
        <v>110</v>
      </c>
      <c r="P684" s="20">
        <v>110</v>
      </c>
      <c r="Q684" s="20">
        <v>22651.472249999988</v>
      </c>
      <c r="R684" s="21">
        <v>0.87</v>
      </c>
      <c r="S684" s="20">
        <v>22651.472249999988</v>
      </c>
    </row>
    <row r="685" spans="2:19" ht="15" customHeight="1" x14ac:dyDescent="0.25">
      <c r="B685" s="2" t="str">
        <f t="shared" si="20"/>
        <v>PGL_Residential_Multi-Family_Partner Trade Ally Rebate_Furnace (In Unit)_&gt;95% AFUE_MF</v>
      </c>
      <c r="C685" s="2" t="str">
        <f t="shared" si="21"/>
        <v>PGL_Residential_Multi-Family_Partner Trade Ally Rebate_Furnace (In Unit)_&gt;95% AFUE_MF_2022</v>
      </c>
      <c r="D685" s="19" t="s">
        <v>1794</v>
      </c>
      <c r="E685" s="19" t="s">
        <v>2</v>
      </c>
      <c r="F685" s="19" t="s">
        <v>1422</v>
      </c>
      <c r="G685" s="19" t="s">
        <v>1799</v>
      </c>
      <c r="H685" s="19" t="s">
        <v>988</v>
      </c>
      <c r="I685" s="19" t="s">
        <v>982</v>
      </c>
      <c r="J685" s="19" t="s">
        <v>990</v>
      </c>
      <c r="K685" s="19" t="s">
        <v>553</v>
      </c>
      <c r="L685" s="19">
        <v>2022</v>
      </c>
      <c r="M685" s="20">
        <v>1</v>
      </c>
      <c r="N685" s="19" t="s">
        <v>1798</v>
      </c>
      <c r="O685" s="20">
        <v>95</v>
      </c>
      <c r="P685" s="20">
        <v>95</v>
      </c>
      <c r="Q685" s="20">
        <v>15342.380133547002</v>
      </c>
      <c r="R685" s="21">
        <v>0.87</v>
      </c>
      <c r="S685" s="20">
        <v>15342.380133547002</v>
      </c>
    </row>
    <row r="686" spans="2:19" ht="15" customHeight="1" x14ac:dyDescent="0.25">
      <c r="B686" s="2" t="str">
        <f t="shared" si="20"/>
        <v>PGL_Residential_Multi-Family_Partner Trade Ally Rebate_Furnace (In Unit)_&gt;95% AFUE_MF</v>
      </c>
      <c r="C686" s="2" t="str">
        <f t="shared" si="21"/>
        <v>PGL_Residential_Multi-Family_Partner Trade Ally Rebate_Furnace (In Unit)_&gt;95% AFUE_MF_2023</v>
      </c>
      <c r="D686" s="19" t="s">
        <v>1794</v>
      </c>
      <c r="E686" s="19" t="s">
        <v>2</v>
      </c>
      <c r="F686" s="19" t="s">
        <v>1422</v>
      </c>
      <c r="G686" s="19" t="s">
        <v>1799</v>
      </c>
      <c r="H686" s="19" t="s">
        <v>988</v>
      </c>
      <c r="I686" s="19" t="s">
        <v>982</v>
      </c>
      <c r="J686" s="19" t="s">
        <v>990</v>
      </c>
      <c r="K686" s="19" t="s">
        <v>553</v>
      </c>
      <c r="L686" s="19">
        <v>2023</v>
      </c>
      <c r="M686" s="20">
        <v>1</v>
      </c>
      <c r="N686" s="19" t="s">
        <v>1798</v>
      </c>
      <c r="O686" s="20">
        <v>85</v>
      </c>
      <c r="P686" s="20">
        <v>85</v>
      </c>
      <c r="Q686" s="20">
        <v>13727.39275106837</v>
      </c>
      <c r="R686" s="21">
        <v>0.87</v>
      </c>
      <c r="S686" s="20">
        <v>13727.39275106837</v>
      </c>
    </row>
    <row r="687" spans="2:19" ht="15" customHeight="1" x14ac:dyDescent="0.25">
      <c r="B687" s="2" t="str">
        <f t="shared" si="20"/>
        <v>PGL_Residential_Multi-Family_Partner Trade Ally Rebate_Furnace (In Unit)_&gt;95% AFUE_MF</v>
      </c>
      <c r="C687" s="2" t="str">
        <f t="shared" si="21"/>
        <v>PGL_Residential_Multi-Family_Partner Trade Ally Rebate_Furnace (In Unit)_&gt;95% AFUE_MF_2024</v>
      </c>
      <c r="D687" s="19" t="s">
        <v>1794</v>
      </c>
      <c r="E687" s="19" t="s">
        <v>2</v>
      </c>
      <c r="F687" s="19" t="s">
        <v>1422</v>
      </c>
      <c r="G687" s="19" t="s">
        <v>1799</v>
      </c>
      <c r="H687" s="19" t="s">
        <v>988</v>
      </c>
      <c r="I687" s="19" t="s">
        <v>982</v>
      </c>
      <c r="J687" s="19" t="s">
        <v>990</v>
      </c>
      <c r="K687" s="19" t="s">
        <v>553</v>
      </c>
      <c r="L687" s="19">
        <v>2024</v>
      </c>
      <c r="M687" s="20">
        <v>1</v>
      </c>
      <c r="N687" s="19" t="s">
        <v>1798</v>
      </c>
      <c r="O687" s="20">
        <v>75</v>
      </c>
      <c r="P687" s="20">
        <v>75</v>
      </c>
      <c r="Q687" s="20">
        <v>12112.40536858974</v>
      </c>
      <c r="R687" s="21">
        <v>0.87</v>
      </c>
      <c r="S687" s="20">
        <v>12112.40536858974</v>
      </c>
    </row>
    <row r="688" spans="2:19" ht="15" customHeight="1" x14ac:dyDescent="0.25">
      <c r="B688" s="2" t="str">
        <f t="shared" si="20"/>
        <v>PGL_Residential_Multi-Family_Partner Trade Ally Rebate_Furnace (In Unit)_&gt;95% AFUE_MF</v>
      </c>
      <c r="C688" s="2" t="str">
        <f t="shared" si="21"/>
        <v>PGL_Residential_Multi-Family_Partner Trade Ally Rebate_Furnace (In Unit)_&gt;95% AFUE_MF_2025</v>
      </c>
      <c r="D688" s="19" t="s">
        <v>1794</v>
      </c>
      <c r="E688" s="19" t="s">
        <v>2</v>
      </c>
      <c r="F688" s="19" t="s">
        <v>1422</v>
      </c>
      <c r="G688" s="19" t="s">
        <v>1799</v>
      </c>
      <c r="H688" s="19" t="s">
        <v>988</v>
      </c>
      <c r="I688" s="19" t="s">
        <v>982</v>
      </c>
      <c r="J688" s="19" t="s">
        <v>990</v>
      </c>
      <c r="K688" s="19" t="s">
        <v>553</v>
      </c>
      <c r="L688" s="19">
        <v>2025</v>
      </c>
      <c r="M688" s="20">
        <v>1</v>
      </c>
      <c r="N688" s="19" t="s">
        <v>1798</v>
      </c>
      <c r="O688" s="20">
        <v>55</v>
      </c>
      <c r="P688" s="20">
        <v>55</v>
      </c>
      <c r="Q688" s="20">
        <v>8882.430603632476</v>
      </c>
      <c r="R688" s="21">
        <v>0.87</v>
      </c>
      <c r="S688" s="20">
        <v>8882.430603632476</v>
      </c>
    </row>
    <row r="689" spans="2:19" ht="15" customHeight="1" x14ac:dyDescent="0.25">
      <c r="B689" s="2" t="str">
        <f t="shared" si="20"/>
        <v>PGL_Residential_Multi-Family_Partner Trade Ally Rebate_High Speed Washer_0_MF</v>
      </c>
      <c r="C689" s="2" t="str">
        <f t="shared" si="21"/>
        <v>PGL_Residential_Multi-Family_Partner Trade Ally Rebate_High Speed Washer_0_MF_2022</v>
      </c>
      <c r="D689" s="19" t="s">
        <v>1794</v>
      </c>
      <c r="E689" s="19" t="s">
        <v>2</v>
      </c>
      <c r="F689" s="19" t="s">
        <v>1422</v>
      </c>
      <c r="G689" s="19" t="s">
        <v>1799</v>
      </c>
      <c r="H689" s="19" t="s">
        <v>725</v>
      </c>
      <c r="I689" s="19">
        <v>0</v>
      </c>
      <c r="J689" s="19" t="s">
        <v>730</v>
      </c>
      <c r="K689" s="19" t="s">
        <v>553</v>
      </c>
      <c r="L689" s="19">
        <v>2022</v>
      </c>
      <c r="M689" s="20">
        <v>250</v>
      </c>
      <c r="N689" s="19" t="s">
        <v>1803</v>
      </c>
      <c r="O689" s="20">
        <v>24</v>
      </c>
      <c r="P689" s="20">
        <v>6000</v>
      </c>
      <c r="Q689" s="20">
        <v>11512.204704</v>
      </c>
      <c r="R689" s="21">
        <v>0.87</v>
      </c>
      <c r="S689" s="20">
        <v>11512.204704</v>
      </c>
    </row>
    <row r="690" spans="2:19" ht="15" customHeight="1" x14ac:dyDescent="0.25">
      <c r="B690" s="2" t="str">
        <f t="shared" si="20"/>
        <v>PGL_Residential_Multi-Family_Partner Trade Ally Rebate_High Speed Washer_0_MF</v>
      </c>
      <c r="C690" s="2" t="str">
        <f t="shared" si="21"/>
        <v>PGL_Residential_Multi-Family_Partner Trade Ally Rebate_High Speed Washer_0_MF_2023</v>
      </c>
      <c r="D690" s="19" t="s">
        <v>1794</v>
      </c>
      <c r="E690" s="19" t="s">
        <v>2</v>
      </c>
      <c r="F690" s="19" t="s">
        <v>1422</v>
      </c>
      <c r="G690" s="19" t="s">
        <v>1799</v>
      </c>
      <c r="H690" s="19" t="s">
        <v>725</v>
      </c>
      <c r="I690" s="19">
        <v>0</v>
      </c>
      <c r="J690" s="19" t="s">
        <v>730</v>
      </c>
      <c r="K690" s="19" t="s">
        <v>553</v>
      </c>
      <c r="L690" s="19">
        <v>2023</v>
      </c>
      <c r="M690" s="20">
        <v>250</v>
      </c>
      <c r="N690" s="19" t="s">
        <v>1803</v>
      </c>
      <c r="O690" s="20">
        <v>21</v>
      </c>
      <c r="P690" s="20">
        <v>5250</v>
      </c>
      <c r="Q690" s="20">
        <v>10073.179116000001</v>
      </c>
      <c r="R690" s="21">
        <v>0.87</v>
      </c>
      <c r="S690" s="20">
        <v>10073.179116000001</v>
      </c>
    </row>
    <row r="691" spans="2:19" ht="15" customHeight="1" x14ac:dyDescent="0.25">
      <c r="B691" s="2" t="str">
        <f t="shared" si="20"/>
        <v>PGL_Residential_Multi-Family_Partner Trade Ally Rebate_High Speed Washer_0_MF</v>
      </c>
      <c r="C691" s="2" t="str">
        <f t="shared" si="21"/>
        <v>PGL_Residential_Multi-Family_Partner Trade Ally Rebate_High Speed Washer_0_MF_2024</v>
      </c>
      <c r="D691" s="19" t="s">
        <v>1794</v>
      </c>
      <c r="E691" s="19" t="s">
        <v>2</v>
      </c>
      <c r="F691" s="19" t="s">
        <v>1422</v>
      </c>
      <c r="G691" s="19" t="s">
        <v>1799</v>
      </c>
      <c r="H691" s="19" t="s">
        <v>725</v>
      </c>
      <c r="I691" s="19">
        <v>0</v>
      </c>
      <c r="J691" s="19" t="s">
        <v>730</v>
      </c>
      <c r="K691" s="19" t="s">
        <v>553</v>
      </c>
      <c r="L691" s="19">
        <v>2024</v>
      </c>
      <c r="M691" s="20">
        <v>250</v>
      </c>
      <c r="N691" s="19" t="s">
        <v>1803</v>
      </c>
      <c r="O691" s="20">
        <v>19</v>
      </c>
      <c r="P691" s="20">
        <v>4750</v>
      </c>
      <c r="Q691" s="20">
        <v>9113.8287240000009</v>
      </c>
      <c r="R691" s="21">
        <v>0.87</v>
      </c>
      <c r="S691" s="20">
        <v>9113.8287240000009</v>
      </c>
    </row>
    <row r="692" spans="2:19" ht="15" customHeight="1" x14ac:dyDescent="0.25">
      <c r="B692" s="2" t="str">
        <f t="shared" si="20"/>
        <v>PGL_Residential_Multi-Family_Partner Trade Ally Rebate_High Speed Washer_0_MF</v>
      </c>
      <c r="C692" s="2" t="str">
        <f t="shared" si="21"/>
        <v>PGL_Residential_Multi-Family_Partner Trade Ally Rebate_High Speed Washer_0_MF_2025</v>
      </c>
      <c r="D692" s="19" t="s">
        <v>1794</v>
      </c>
      <c r="E692" s="19" t="s">
        <v>2</v>
      </c>
      <c r="F692" s="19" t="s">
        <v>1422</v>
      </c>
      <c r="G692" s="19" t="s">
        <v>1799</v>
      </c>
      <c r="H692" s="19" t="s">
        <v>725</v>
      </c>
      <c r="I692" s="19">
        <v>0</v>
      </c>
      <c r="J692" s="19" t="s">
        <v>730</v>
      </c>
      <c r="K692" s="19" t="s">
        <v>553</v>
      </c>
      <c r="L692" s="19">
        <v>2025</v>
      </c>
      <c r="M692" s="20">
        <v>250</v>
      </c>
      <c r="N692" s="19" t="s">
        <v>1803</v>
      </c>
      <c r="O692" s="20">
        <v>14</v>
      </c>
      <c r="P692" s="20">
        <v>3500</v>
      </c>
      <c r="Q692" s="20">
        <v>6715.4527440000002</v>
      </c>
      <c r="R692" s="21">
        <v>0.87</v>
      </c>
      <c r="S692" s="20">
        <v>6715.4527440000002</v>
      </c>
    </row>
    <row r="693" spans="2:19" ht="15" customHeight="1" x14ac:dyDescent="0.25">
      <c r="B693" s="2" t="str">
        <f t="shared" si="20"/>
        <v>PGL_Residential_Multi-Family_Partner Trade Ally Rebate_Infrared Heater_0_MF/CI</v>
      </c>
      <c r="C693" s="2" t="str">
        <f t="shared" si="21"/>
        <v>PGL_Residential_Multi-Family_Partner Trade Ally Rebate_Infrared Heater_0_MF/CI_2022</v>
      </c>
      <c r="D693" s="19" t="s">
        <v>1794</v>
      </c>
      <c r="E693" s="19" t="s">
        <v>2</v>
      </c>
      <c r="F693" s="19" t="s">
        <v>1422</v>
      </c>
      <c r="G693" s="19" t="s">
        <v>1799</v>
      </c>
      <c r="H693" s="19" t="s">
        <v>742</v>
      </c>
      <c r="I693" s="19">
        <v>0</v>
      </c>
      <c r="J693" s="19" t="s">
        <v>33</v>
      </c>
      <c r="K693" s="19" t="s">
        <v>587</v>
      </c>
      <c r="L693" s="19">
        <v>2022</v>
      </c>
      <c r="M693" s="20">
        <v>150</v>
      </c>
      <c r="N693" s="19" t="s">
        <v>667</v>
      </c>
      <c r="O693" s="20">
        <v>2</v>
      </c>
      <c r="P693" s="20">
        <v>300</v>
      </c>
      <c r="Q693" s="20">
        <v>772.86705882352931</v>
      </c>
      <c r="R693" s="21">
        <v>0.87</v>
      </c>
      <c r="S693" s="20">
        <v>772.86705882352931</v>
      </c>
    </row>
    <row r="694" spans="2:19" ht="15" customHeight="1" x14ac:dyDescent="0.25">
      <c r="B694" s="2" t="str">
        <f t="shared" si="20"/>
        <v>PGL_Residential_Multi-Family_Partner Trade Ally Rebate_Infrared Heater_0_MF/CI</v>
      </c>
      <c r="C694" s="2" t="str">
        <f t="shared" si="21"/>
        <v>PGL_Residential_Multi-Family_Partner Trade Ally Rebate_Infrared Heater_0_MF/CI_2023</v>
      </c>
      <c r="D694" s="19" t="s">
        <v>1794</v>
      </c>
      <c r="E694" s="19" t="s">
        <v>2</v>
      </c>
      <c r="F694" s="19" t="s">
        <v>1422</v>
      </c>
      <c r="G694" s="19" t="s">
        <v>1799</v>
      </c>
      <c r="H694" s="19" t="s">
        <v>742</v>
      </c>
      <c r="I694" s="19">
        <v>0</v>
      </c>
      <c r="J694" s="19" t="s">
        <v>33</v>
      </c>
      <c r="K694" s="19" t="s">
        <v>587</v>
      </c>
      <c r="L694" s="19">
        <v>2023</v>
      </c>
      <c r="M694" s="20">
        <v>150</v>
      </c>
      <c r="N694" s="19" t="s">
        <v>667</v>
      </c>
      <c r="O694" s="20">
        <v>2</v>
      </c>
      <c r="P694" s="20">
        <v>300</v>
      </c>
      <c r="Q694" s="20">
        <v>772.86705882352931</v>
      </c>
      <c r="R694" s="21">
        <v>0.87</v>
      </c>
      <c r="S694" s="20">
        <v>772.86705882352931</v>
      </c>
    </row>
    <row r="695" spans="2:19" ht="15" customHeight="1" x14ac:dyDescent="0.25">
      <c r="B695" s="2" t="str">
        <f t="shared" si="20"/>
        <v>PGL_Residential_Multi-Family_Partner Trade Ally Rebate_Infrared Heater_0_MF/CI</v>
      </c>
      <c r="C695" s="2" t="str">
        <f t="shared" si="21"/>
        <v>PGL_Residential_Multi-Family_Partner Trade Ally Rebate_Infrared Heater_0_MF/CI_2024</v>
      </c>
      <c r="D695" s="19" t="s">
        <v>1794</v>
      </c>
      <c r="E695" s="19" t="s">
        <v>2</v>
      </c>
      <c r="F695" s="19" t="s">
        <v>1422</v>
      </c>
      <c r="G695" s="19" t="s">
        <v>1799</v>
      </c>
      <c r="H695" s="19" t="s">
        <v>742</v>
      </c>
      <c r="I695" s="19">
        <v>0</v>
      </c>
      <c r="J695" s="19" t="s">
        <v>33</v>
      </c>
      <c r="K695" s="19" t="s">
        <v>587</v>
      </c>
      <c r="L695" s="19">
        <v>2024</v>
      </c>
      <c r="M695" s="20">
        <v>150</v>
      </c>
      <c r="N695" s="19" t="s">
        <v>667</v>
      </c>
      <c r="O695" s="20">
        <v>2</v>
      </c>
      <c r="P695" s="20">
        <v>300</v>
      </c>
      <c r="Q695" s="20">
        <v>772.86705882352931</v>
      </c>
      <c r="R695" s="21">
        <v>0.87</v>
      </c>
      <c r="S695" s="20">
        <v>772.86705882352931</v>
      </c>
    </row>
    <row r="696" spans="2:19" ht="15" customHeight="1" x14ac:dyDescent="0.25">
      <c r="B696" s="2" t="str">
        <f t="shared" si="20"/>
        <v>PGL_Residential_Multi-Family_Partner Trade Ally Rebate_Infrared Heater_0_MF/CI</v>
      </c>
      <c r="C696" s="2" t="str">
        <f t="shared" si="21"/>
        <v>PGL_Residential_Multi-Family_Partner Trade Ally Rebate_Infrared Heater_0_MF/CI_2025</v>
      </c>
      <c r="D696" s="19" t="s">
        <v>1794</v>
      </c>
      <c r="E696" s="19" t="s">
        <v>2</v>
      </c>
      <c r="F696" s="19" t="s">
        <v>1422</v>
      </c>
      <c r="G696" s="19" t="s">
        <v>1799</v>
      </c>
      <c r="H696" s="19" t="s">
        <v>742</v>
      </c>
      <c r="I696" s="19">
        <v>0</v>
      </c>
      <c r="J696" s="19" t="s">
        <v>33</v>
      </c>
      <c r="K696" s="19" t="s">
        <v>587</v>
      </c>
      <c r="L696" s="19">
        <v>2025</v>
      </c>
      <c r="M696" s="20">
        <v>150</v>
      </c>
      <c r="N696" s="19" t="s">
        <v>667</v>
      </c>
      <c r="O696" s="20">
        <v>1</v>
      </c>
      <c r="P696" s="20">
        <v>150</v>
      </c>
      <c r="Q696" s="20">
        <v>386.43352941176465</v>
      </c>
      <c r="R696" s="21">
        <v>0.87</v>
      </c>
      <c r="S696" s="20">
        <v>386.43352941176465</v>
      </c>
    </row>
    <row r="697" spans="2:19" ht="15" customHeight="1" x14ac:dyDescent="0.25">
      <c r="B697" s="2" t="str">
        <f t="shared" si="20"/>
        <v>PGL_Residential_Multi-Family_Partner Trade Ally Rebate_Ozone Laundry_0_MF/CI</v>
      </c>
      <c r="C697" s="2" t="str">
        <f t="shared" si="21"/>
        <v>PGL_Residential_Multi-Family_Partner Trade Ally Rebate_Ozone Laundry_0_MF/CI_2022</v>
      </c>
      <c r="D697" s="19" t="s">
        <v>1794</v>
      </c>
      <c r="E697" s="19" t="s">
        <v>2</v>
      </c>
      <c r="F697" s="19" t="s">
        <v>1422</v>
      </c>
      <c r="G697" s="19" t="s">
        <v>1799</v>
      </c>
      <c r="H697" s="19" t="s">
        <v>16</v>
      </c>
      <c r="I697" s="19">
        <v>0</v>
      </c>
      <c r="J697" s="19" t="s">
        <v>592</v>
      </c>
      <c r="K697" s="19" t="s">
        <v>587</v>
      </c>
      <c r="L697" s="19">
        <v>2022</v>
      </c>
      <c r="M697" s="20">
        <v>250</v>
      </c>
      <c r="N697" s="19" t="s">
        <v>1803</v>
      </c>
      <c r="O697" s="20">
        <v>0</v>
      </c>
      <c r="P697" s="20">
        <v>0</v>
      </c>
      <c r="Q697" s="20">
        <v>0</v>
      </c>
      <c r="R697" s="21">
        <v>0.87</v>
      </c>
      <c r="S697" s="20">
        <v>0</v>
      </c>
    </row>
    <row r="698" spans="2:19" ht="15" customHeight="1" x14ac:dyDescent="0.25">
      <c r="B698" s="2" t="str">
        <f t="shared" si="20"/>
        <v>PGL_Residential_Multi-Family_Partner Trade Ally Rebate_Ozone Laundry_0_MF/CI</v>
      </c>
      <c r="C698" s="2" t="str">
        <f t="shared" si="21"/>
        <v>PGL_Residential_Multi-Family_Partner Trade Ally Rebate_Ozone Laundry_0_MF/CI_2023</v>
      </c>
      <c r="D698" s="19" t="s">
        <v>1794</v>
      </c>
      <c r="E698" s="19" t="s">
        <v>2</v>
      </c>
      <c r="F698" s="19" t="s">
        <v>1422</v>
      </c>
      <c r="G698" s="19" t="s">
        <v>1799</v>
      </c>
      <c r="H698" s="19" t="s">
        <v>16</v>
      </c>
      <c r="I698" s="19">
        <v>0</v>
      </c>
      <c r="J698" s="19" t="s">
        <v>592</v>
      </c>
      <c r="K698" s="19" t="s">
        <v>587</v>
      </c>
      <c r="L698" s="19">
        <v>2023</v>
      </c>
      <c r="M698" s="20">
        <v>250</v>
      </c>
      <c r="N698" s="19" t="s">
        <v>1803</v>
      </c>
      <c r="O698" s="20">
        <v>0</v>
      </c>
      <c r="P698" s="20">
        <v>0</v>
      </c>
      <c r="Q698" s="20">
        <v>0</v>
      </c>
      <c r="R698" s="21">
        <v>0.87</v>
      </c>
      <c r="S698" s="20">
        <v>0</v>
      </c>
    </row>
    <row r="699" spans="2:19" ht="15" customHeight="1" x14ac:dyDescent="0.25">
      <c r="B699" s="2" t="str">
        <f t="shared" si="20"/>
        <v>PGL_Residential_Multi-Family_Partner Trade Ally Rebate_Ozone Laundry_0_MF/CI</v>
      </c>
      <c r="C699" s="2" t="str">
        <f t="shared" si="21"/>
        <v>PGL_Residential_Multi-Family_Partner Trade Ally Rebate_Ozone Laundry_0_MF/CI_2024</v>
      </c>
      <c r="D699" s="19" t="s">
        <v>1794</v>
      </c>
      <c r="E699" s="19" t="s">
        <v>2</v>
      </c>
      <c r="F699" s="19" t="s">
        <v>1422</v>
      </c>
      <c r="G699" s="19" t="s">
        <v>1799</v>
      </c>
      <c r="H699" s="19" t="s">
        <v>16</v>
      </c>
      <c r="I699" s="19">
        <v>0</v>
      </c>
      <c r="J699" s="19" t="s">
        <v>592</v>
      </c>
      <c r="K699" s="19" t="s">
        <v>587</v>
      </c>
      <c r="L699" s="19">
        <v>2024</v>
      </c>
      <c r="M699" s="20">
        <v>250</v>
      </c>
      <c r="N699" s="19" t="s">
        <v>1803</v>
      </c>
      <c r="O699" s="20">
        <v>0</v>
      </c>
      <c r="P699" s="20">
        <v>0</v>
      </c>
      <c r="Q699" s="20">
        <v>0</v>
      </c>
      <c r="R699" s="21">
        <v>0.87</v>
      </c>
      <c r="S699" s="20">
        <v>0</v>
      </c>
    </row>
    <row r="700" spans="2:19" ht="15" customHeight="1" x14ac:dyDescent="0.25">
      <c r="B700" s="2" t="str">
        <f t="shared" si="20"/>
        <v>PGL_Residential_Multi-Family_Partner Trade Ally Rebate_Ozone Laundry_0_MF/CI</v>
      </c>
      <c r="C700" s="2" t="str">
        <f t="shared" si="21"/>
        <v>PGL_Residential_Multi-Family_Partner Trade Ally Rebate_Ozone Laundry_0_MF/CI_2025</v>
      </c>
      <c r="D700" s="19" t="s">
        <v>1794</v>
      </c>
      <c r="E700" s="19" t="s">
        <v>2</v>
      </c>
      <c r="F700" s="19" t="s">
        <v>1422</v>
      </c>
      <c r="G700" s="19" t="s">
        <v>1799</v>
      </c>
      <c r="H700" s="19" t="s">
        <v>16</v>
      </c>
      <c r="I700" s="19">
        <v>0</v>
      </c>
      <c r="J700" s="19" t="s">
        <v>592</v>
      </c>
      <c r="K700" s="19" t="s">
        <v>587</v>
      </c>
      <c r="L700" s="19">
        <v>2025</v>
      </c>
      <c r="M700" s="20">
        <v>250</v>
      </c>
      <c r="N700" s="19" t="s">
        <v>1803</v>
      </c>
      <c r="O700" s="20">
        <v>0</v>
      </c>
      <c r="P700" s="20">
        <v>0</v>
      </c>
      <c r="Q700" s="20">
        <v>0</v>
      </c>
      <c r="R700" s="21">
        <v>0.87</v>
      </c>
      <c r="S700" s="20">
        <v>0</v>
      </c>
    </row>
    <row r="701" spans="2:19" ht="15" customHeight="1" x14ac:dyDescent="0.25">
      <c r="B701" s="2" t="str">
        <f t="shared" si="20"/>
        <v>PGL_Residential_Multi-Family_Partner Trade Ally Rebate_Pipe Insulation_Hyd. Boiler Sm ≤1.25"_MF</v>
      </c>
      <c r="C701" s="2" t="str">
        <f t="shared" si="21"/>
        <v>PGL_Residential_Multi-Family_Partner Trade Ally Rebate_Pipe Insulation_Hyd. Boiler Sm ≤1.25"_MF_2022</v>
      </c>
      <c r="D701" s="19" t="s">
        <v>1794</v>
      </c>
      <c r="E701" s="19" t="s">
        <v>2</v>
      </c>
      <c r="F701" s="19" t="s">
        <v>1422</v>
      </c>
      <c r="G701" s="19" t="s">
        <v>1799</v>
      </c>
      <c r="H701" s="19" t="s">
        <v>404</v>
      </c>
      <c r="I701" s="19" t="s">
        <v>947</v>
      </c>
      <c r="J701" s="19">
        <v>0</v>
      </c>
      <c r="K701" s="19" t="s">
        <v>553</v>
      </c>
      <c r="L701" s="19">
        <v>2022</v>
      </c>
      <c r="M701" s="20">
        <v>75</v>
      </c>
      <c r="N701" s="19" t="s">
        <v>616</v>
      </c>
      <c r="O701" s="20">
        <v>76</v>
      </c>
      <c r="P701" s="20">
        <v>5700</v>
      </c>
      <c r="Q701" s="20">
        <v>10256.376411346155</v>
      </c>
      <c r="R701" s="21">
        <v>0.87</v>
      </c>
      <c r="S701" s="20">
        <v>10256.376411346155</v>
      </c>
    </row>
    <row r="702" spans="2:19" ht="15" customHeight="1" x14ac:dyDescent="0.25">
      <c r="B702" s="2" t="str">
        <f t="shared" si="20"/>
        <v>PGL_Residential_Multi-Family_Partner Trade Ally Rebate_Pipe Insulation_Hyd. Boiler Sm ≤1.25"_MF</v>
      </c>
      <c r="C702" s="2" t="str">
        <f t="shared" si="21"/>
        <v>PGL_Residential_Multi-Family_Partner Trade Ally Rebate_Pipe Insulation_Hyd. Boiler Sm ≤1.25"_MF_2023</v>
      </c>
      <c r="D702" s="19" t="s">
        <v>1794</v>
      </c>
      <c r="E702" s="19" t="s">
        <v>2</v>
      </c>
      <c r="F702" s="19" t="s">
        <v>1422</v>
      </c>
      <c r="G702" s="19" t="s">
        <v>1799</v>
      </c>
      <c r="H702" s="19" t="s">
        <v>404</v>
      </c>
      <c r="I702" s="19" t="s">
        <v>947</v>
      </c>
      <c r="J702" s="19">
        <v>0</v>
      </c>
      <c r="K702" s="19" t="s">
        <v>553</v>
      </c>
      <c r="L702" s="19">
        <v>2023</v>
      </c>
      <c r="M702" s="20">
        <v>75</v>
      </c>
      <c r="N702" s="19" t="s">
        <v>616</v>
      </c>
      <c r="O702" s="20">
        <v>68</v>
      </c>
      <c r="P702" s="20">
        <v>5100</v>
      </c>
      <c r="Q702" s="20">
        <v>9176.7578417307705</v>
      </c>
      <c r="R702" s="21">
        <v>0.87</v>
      </c>
      <c r="S702" s="20">
        <v>9176.7578417307705</v>
      </c>
    </row>
    <row r="703" spans="2:19" ht="15" customHeight="1" x14ac:dyDescent="0.25">
      <c r="B703" s="2" t="str">
        <f t="shared" si="20"/>
        <v>PGL_Residential_Multi-Family_Partner Trade Ally Rebate_Pipe Insulation_Hyd. Boiler Sm ≤1.25"_MF</v>
      </c>
      <c r="C703" s="2" t="str">
        <f t="shared" si="21"/>
        <v>PGL_Residential_Multi-Family_Partner Trade Ally Rebate_Pipe Insulation_Hyd. Boiler Sm ≤1.25"_MF_2024</v>
      </c>
      <c r="D703" s="19" t="s">
        <v>1794</v>
      </c>
      <c r="E703" s="19" t="s">
        <v>2</v>
      </c>
      <c r="F703" s="19" t="s">
        <v>1422</v>
      </c>
      <c r="G703" s="19" t="s">
        <v>1799</v>
      </c>
      <c r="H703" s="19" t="s">
        <v>404</v>
      </c>
      <c r="I703" s="19" t="s">
        <v>947</v>
      </c>
      <c r="J703" s="19">
        <v>0</v>
      </c>
      <c r="K703" s="19" t="s">
        <v>553</v>
      </c>
      <c r="L703" s="19">
        <v>2024</v>
      </c>
      <c r="M703" s="20">
        <v>75</v>
      </c>
      <c r="N703" s="19" t="s">
        <v>616</v>
      </c>
      <c r="O703" s="20">
        <v>60</v>
      </c>
      <c r="P703" s="20">
        <v>4500</v>
      </c>
      <c r="Q703" s="20">
        <v>8097.1392721153843</v>
      </c>
      <c r="R703" s="21">
        <v>0.87</v>
      </c>
      <c r="S703" s="20">
        <v>8097.1392721153843</v>
      </c>
    </row>
    <row r="704" spans="2:19" ht="15" customHeight="1" x14ac:dyDescent="0.25">
      <c r="B704" s="2" t="str">
        <f t="shared" si="20"/>
        <v>PGL_Residential_Multi-Family_Partner Trade Ally Rebate_Pipe Insulation_Hyd. Boiler Sm ≤1.25"_MF</v>
      </c>
      <c r="C704" s="2" t="str">
        <f t="shared" si="21"/>
        <v>PGL_Residential_Multi-Family_Partner Trade Ally Rebate_Pipe Insulation_Hyd. Boiler Sm ≤1.25"_MF_2025</v>
      </c>
      <c r="D704" s="19" t="s">
        <v>1794</v>
      </c>
      <c r="E704" s="19" t="s">
        <v>2</v>
      </c>
      <c r="F704" s="19" t="s">
        <v>1422</v>
      </c>
      <c r="G704" s="19" t="s">
        <v>1799</v>
      </c>
      <c r="H704" s="19" t="s">
        <v>404</v>
      </c>
      <c r="I704" s="19" t="s">
        <v>947</v>
      </c>
      <c r="J704" s="19">
        <v>0</v>
      </c>
      <c r="K704" s="19" t="s">
        <v>553</v>
      </c>
      <c r="L704" s="19">
        <v>2025</v>
      </c>
      <c r="M704" s="20">
        <v>75</v>
      </c>
      <c r="N704" s="19" t="s">
        <v>616</v>
      </c>
      <c r="O704" s="20">
        <v>44</v>
      </c>
      <c r="P704" s="20">
        <v>3300</v>
      </c>
      <c r="Q704" s="20">
        <v>5937.9021328846156</v>
      </c>
      <c r="R704" s="21">
        <v>0.87</v>
      </c>
      <c r="S704" s="20">
        <v>5937.9021328846156</v>
      </c>
    </row>
    <row r="705" spans="2:19" ht="15" customHeight="1" x14ac:dyDescent="0.25">
      <c r="B705" s="2" t="str">
        <f t="shared" si="20"/>
        <v>PGL_Residential_Multi-Family_Partner Trade Ally Rebate_Pipe Insulation_Hyd. Boiler Med 1.25-2"_MF</v>
      </c>
      <c r="C705" s="2" t="str">
        <f t="shared" si="21"/>
        <v>PGL_Residential_Multi-Family_Partner Trade Ally Rebate_Pipe Insulation_Hyd. Boiler Med 1.25-2"_MF_2022</v>
      </c>
      <c r="D705" s="19" t="s">
        <v>1794</v>
      </c>
      <c r="E705" s="19" t="s">
        <v>2</v>
      </c>
      <c r="F705" s="19" t="s">
        <v>1422</v>
      </c>
      <c r="G705" s="19" t="s">
        <v>1799</v>
      </c>
      <c r="H705" s="19" t="s">
        <v>404</v>
      </c>
      <c r="I705" s="19" t="s">
        <v>951</v>
      </c>
      <c r="J705" s="19">
        <v>0</v>
      </c>
      <c r="K705" s="19" t="s">
        <v>553</v>
      </c>
      <c r="L705" s="19">
        <v>2022</v>
      </c>
      <c r="M705" s="20">
        <v>75</v>
      </c>
      <c r="N705" s="19" t="s">
        <v>616</v>
      </c>
      <c r="O705" s="20">
        <v>62</v>
      </c>
      <c r="P705" s="20">
        <v>4650</v>
      </c>
      <c r="Q705" s="20">
        <v>14577.867621153846</v>
      </c>
      <c r="R705" s="21">
        <v>0.87</v>
      </c>
      <c r="S705" s="20">
        <v>14577.867621153846</v>
      </c>
    </row>
    <row r="706" spans="2:19" ht="15" customHeight="1" x14ac:dyDescent="0.25">
      <c r="B706" s="2" t="str">
        <f t="shared" si="20"/>
        <v>PGL_Residential_Multi-Family_Partner Trade Ally Rebate_Pipe Insulation_Hyd. Boiler Med 1.25-2"_MF</v>
      </c>
      <c r="C706" s="2" t="str">
        <f t="shared" si="21"/>
        <v>PGL_Residential_Multi-Family_Partner Trade Ally Rebate_Pipe Insulation_Hyd. Boiler Med 1.25-2"_MF_2023</v>
      </c>
      <c r="D706" s="19" t="s">
        <v>1794</v>
      </c>
      <c r="E706" s="19" t="s">
        <v>2</v>
      </c>
      <c r="F706" s="19" t="s">
        <v>1422</v>
      </c>
      <c r="G706" s="19" t="s">
        <v>1799</v>
      </c>
      <c r="H706" s="19" t="s">
        <v>404</v>
      </c>
      <c r="I706" s="19" t="s">
        <v>951</v>
      </c>
      <c r="J706" s="19">
        <v>0</v>
      </c>
      <c r="K706" s="19" t="s">
        <v>553</v>
      </c>
      <c r="L706" s="19">
        <v>2023</v>
      </c>
      <c r="M706" s="20">
        <v>75</v>
      </c>
      <c r="N706" s="19" t="s">
        <v>616</v>
      </c>
      <c r="O706" s="20">
        <v>55</v>
      </c>
      <c r="P706" s="20">
        <v>4125</v>
      </c>
      <c r="Q706" s="20">
        <v>12931.979341346154</v>
      </c>
      <c r="R706" s="21">
        <v>0.87</v>
      </c>
      <c r="S706" s="20">
        <v>12931.979341346154</v>
      </c>
    </row>
    <row r="707" spans="2:19" ht="15" customHeight="1" x14ac:dyDescent="0.25">
      <c r="B707" s="2" t="str">
        <f t="shared" si="20"/>
        <v>PGL_Residential_Multi-Family_Partner Trade Ally Rebate_Pipe Insulation_Hyd. Boiler Med 1.25-2"_MF</v>
      </c>
      <c r="C707" s="2" t="str">
        <f t="shared" si="21"/>
        <v>PGL_Residential_Multi-Family_Partner Trade Ally Rebate_Pipe Insulation_Hyd. Boiler Med 1.25-2"_MF_2024</v>
      </c>
      <c r="D707" s="19" t="s">
        <v>1794</v>
      </c>
      <c r="E707" s="19" t="s">
        <v>2</v>
      </c>
      <c r="F707" s="19" t="s">
        <v>1422</v>
      </c>
      <c r="G707" s="19" t="s">
        <v>1799</v>
      </c>
      <c r="H707" s="19" t="s">
        <v>404</v>
      </c>
      <c r="I707" s="19" t="s">
        <v>951</v>
      </c>
      <c r="J707" s="19">
        <v>0</v>
      </c>
      <c r="K707" s="19" t="s">
        <v>553</v>
      </c>
      <c r="L707" s="19">
        <v>2024</v>
      </c>
      <c r="M707" s="20">
        <v>75</v>
      </c>
      <c r="N707" s="19" t="s">
        <v>616</v>
      </c>
      <c r="O707" s="20">
        <v>49</v>
      </c>
      <c r="P707" s="20">
        <v>3675</v>
      </c>
      <c r="Q707" s="20">
        <v>11521.217958653844</v>
      </c>
      <c r="R707" s="21">
        <v>0.87</v>
      </c>
      <c r="S707" s="20">
        <v>11521.217958653844</v>
      </c>
    </row>
    <row r="708" spans="2:19" ht="15" customHeight="1" x14ac:dyDescent="0.25">
      <c r="B708" s="2" t="str">
        <f t="shared" si="20"/>
        <v>PGL_Residential_Multi-Family_Partner Trade Ally Rebate_Pipe Insulation_Hyd. Boiler Med 1.25-2"_MF</v>
      </c>
      <c r="C708" s="2" t="str">
        <f t="shared" si="21"/>
        <v>PGL_Residential_Multi-Family_Partner Trade Ally Rebate_Pipe Insulation_Hyd. Boiler Med 1.25-2"_MF_2025</v>
      </c>
      <c r="D708" s="19" t="s">
        <v>1794</v>
      </c>
      <c r="E708" s="19" t="s">
        <v>2</v>
      </c>
      <c r="F708" s="19" t="s">
        <v>1422</v>
      </c>
      <c r="G708" s="19" t="s">
        <v>1799</v>
      </c>
      <c r="H708" s="19" t="s">
        <v>404</v>
      </c>
      <c r="I708" s="19" t="s">
        <v>951</v>
      </c>
      <c r="J708" s="19">
        <v>0</v>
      </c>
      <c r="K708" s="19" t="s">
        <v>553</v>
      </c>
      <c r="L708" s="19">
        <v>2025</v>
      </c>
      <c r="M708" s="20">
        <v>75</v>
      </c>
      <c r="N708" s="19" t="s">
        <v>616</v>
      </c>
      <c r="O708" s="20">
        <v>36</v>
      </c>
      <c r="P708" s="20">
        <v>2700</v>
      </c>
      <c r="Q708" s="20">
        <v>8464.5682961538441</v>
      </c>
      <c r="R708" s="21">
        <v>0.87</v>
      </c>
      <c r="S708" s="20">
        <v>8464.5682961538441</v>
      </c>
    </row>
    <row r="709" spans="2:19" ht="15" customHeight="1" x14ac:dyDescent="0.25">
      <c r="B709" s="2" t="str">
        <f t="shared" si="20"/>
        <v>PGL_Residential_Multi-Family_Partner Trade Ally Rebate_Pipe Insulation_Hyd. Boiler Large ≥2"_MF</v>
      </c>
      <c r="C709" s="2" t="str">
        <f t="shared" si="21"/>
        <v>PGL_Residential_Multi-Family_Partner Trade Ally Rebate_Pipe Insulation_Hyd. Boiler Large ≥2"_MF_2022</v>
      </c>
      <c r="D709" s="19" t="s">
        <v>1794</v>
      </c>
      <c r="E709" s="19" t="s">
        <v>2</v>
      </c>
      <c r="F709" s="19" t="s">
        <v>1422</v>
      </c>
      <c r="G709" s="19" t="s">
        <v>1799</v>
      </c>
      <c r="H709" s="19" t="s">
        <v>404</v>
      </c>
      <c r="I709" s="19" t="s">
        <v>952</v>
      </c>
      <c r="J709" s="19">
        <v>0</v>
      </c>
      <c r="K709" s="19" t="s">
        <v>553</v>
      </c>
      <c r="L709" s="19">
        <v>2022</v>
      </c>
      <c r="M709" s="20">
        <v>75</v>
      </c>
      <c r="N709" s="19" t="s">
        <v>616</v>
      </c>
      <c r="O709" s="20">
        <v>52</v>
      </c>
      <c r="P709" s="20">
        <v>3900</v>
      </c>
      <c r="Q709" s="20">
        <v>20991.752950000002</v>
      </c>
      <c r="R709" s="21">
        <v>0.87</v>
      </c>
      <c r="S709" s="20">
        <v>20991.752950000002</v>
      </c>
    </row>
    <row r="710" spans="2:19" ht="15" customHeight="1" x14ac:dyDescent="0.25">
      <c r="B710" s="2" t="str">
        <f t="shared" ref="B710:B773" si="22">D710&amp;"_"&amp;E710&amp;"_"&amp;F710&amp;"_"&amp;G710&amp;"_"&amp;H710&amp;"_"&amp;I710&amp;"_"&amp;K710</f>
        <v>PGL_Residential_Multi-Family_Partner Trade Ally Rebate_Pipe Insulation_Hyd. Boiler Large ≥2"_MF</v>
      </c>
      <c r="C710" s="2" t="str">
        <f t="shared" ref="C710:C773" si="23">D710&amp;"_"&amp;E710&amp;"_"&amp;F710&amp;"_"&amp;G710&amp;"_"&amp;H710&amp;"_"&amp;I710&amp;"_"&amp;K710&amp;"_"&amp;L710</f>
        <v>PGL_Residential_Multi-Family_Partner Trade Ally Rebate_Pipe Insulation_Hyd. Boiler Large ≥2"_MF_2023</v>
      </c>
      <c r="D710" s="19" t="s">
        <v>1794</v>
      </c>
      <c r="E710" s="19" t="s">
        <v>2</v>
      </c>
      <c r="F710" s="19" t="s">
        <v>1422</v>
      </c>
      <c r="G710" s="19" t="s">
        <v>1799</v>
      </c>
      <c r="H710" s="19" t="s">
        <v>404</v>
      </c>
      <c r="I710" s="19" t="s">
        <v>952</v>
      </c>
      <c r="J710" s="19">
        <v>0</v>
      </c>
      <c r="K710" s="19" t="s">
        <v>553</v>
      </c>
      <c r="L710" s="19">
        <v>2023</v>
      </c>
      <c r="M710" s="20">
        <v>75</v>
      </c>
      <c r="N710" s="19" t="s">
        <v>616</v>
      </c>
      <c r="O710" s="20">
        <v>47</v>
      </c>
      <c r="P710" s="20">
        <v>3525</v>
      </c>
      <c r="Q710" s="20">
        <v>18973.315166346154</v>
      </c>
      <c r="R710" s="21">
        <v>0.87</v>
      </c>
      <c r="S710" s="20">
        <v>18973.315166346154</v>
      </c>
    </row>
    <row r="711" spans="2:19" ht="15" customHeight="1" x14ac:dyDescent="0.25">
      <c r="B711" s="2" t="str">
        <f t="shared" si="22"/>
        <v>PGL_Residential_Multi-Family_Partner Trade Ally Rebate_Pipe Insulation_Hyd. Boiler Large ≥2"_MF</v>
      </c>
      <c r="C711" s="2" t="str">
        <f t="shared" si="23"/>
        <v>PGL_Residential_Multi-Family_Partner Trade Ally Rebate_Pipe Insulation_Hyd. Boiler Large ≥2"_MF_2024</v>
      </c>
      <c r="D711" s="19" t="s">
        <v>1794</v>
      </c>
      <c r="E711" s="19" t="s">
        <v>2</v>
      </c>
      <c r="F711" s="19" t="s">
        <v>1422</v>
      </c>
      <c r="G711" s="19" t="s">
        <v>1799</v>
      </c>
      <c r="H711" s="19" t="s">
        <v>404</v>
      </c>
      <c r="I711" s="19" t="s">
        <v>952</v>
      </c>
      <c r="J711" s="19">
        <v>0</v>
      </c>
      <c r="K711" s="19" t="s">
        <v>553</v>
      </c>
      <c r="L711" s="19">
        <v>2024</v>
      </c>
      <c r="M711" s="20">
        <v>75</v>
      </c>
      <c r="N711" s="19" t="s">
        <v>616</v>
      </c>
      <c r="O711" s="20">
        <v>41</v>
      </c>
      <c r="P711" s="20">
        <v>3075</v>
      </c>
      <c r="Q711" s="20">
        <v>16551.189825961537</v>
      </c>
      <c r="R711" s="21">
        <v>0.87</v>
      </c>
      <c r="S711" s="20">
        <v>16551.189825961537</v>
      </c>
    </row>
    <row r="712" spans="2:19" ht="15" customHeight="1" x14ac:dyDescent="0.25">
      <c r="B712" s="2" t="str">
        <f t="shared" si="22"/>
        <v>PGL_Residential_Multi-Family_Partner Trade Ally Rebate_Pipe Insulation_Hyd. Boiler Large ≥2"_MF</v>
      </c>
      <c r="C712" s="2" t="str">
        <f t="shared" si="23"/>
        <v>PGL_Residential_Multi-Family_Partner Trade Ally Rebate_Pipe Insulation_Hyd. Boiler Large ≥2"_MF_2025</v>
      </c>
      <c r="D712" s="19" t="s">
        <v>1794</v>
      </c>
      <c r="E712" s="19" t="s">
        <v>2</v>
      </c>
      <c r="F712" s="19" t="s">
        <v>1422</v>
      </c>
      <c r="G712" s="19" t="s">
        <v>1799</v>
      </c>
      <c r="H712" s="19" t="s">
        <v>404</v>
      </c>
      <c r="I712" s="19" t="s">
        <v>952</v>
      </c>
      <c r="J712" s="19">
        <v>0</v>
      </c>
      <c r="K712" s="19" t="s">
        <v>553</v>
      </c>
      <c r="L712" s="19">
        <v>2025</v>
      </c>
      <c r="M712" s="20">
        <v>75</v>
      </c>
      <c r="N712" s="19" t="s">
        <v>616</v>
      </c>
      <c r="O712" s="20">
        <v>30</v>
      </c>
      <c r="P712" s="20">
        <v>2250</v>
      </c>
      <c r="Q712" s="20">
        <v>12110.626701923078</v>
      </c>
      <c r="R712" s="21">
        <v>0.87</v>
      </c>
      <c r="S712" s="20">
        <v>12110.626701923078</v>
      </c>
    </row>
    <row r="713" spans="2:19" ht="15" customHeight="1" x14ac:dyDescent="0.25">
      <c r="B713" s="2" t="str">
        <f t="shared" si="22"/>
        <v>PGL_Residential_Multi-Family_Partner Trade Ally Rebate_Pipe Insulation_HW Small 1" to 2"_MF/CI/SMB</v>
      </c>
      <c r="C713" s="2" t="str">
        <f t="shared" si="23"/>
        <v>PGL_Residential_Multi-Family_Partner Trade Ally Rebate_Pipe Insulation_HW Small 1" to 2"_MF/CI/SMB_2022</v>
      </c>
      <c r="D713" s="19" t="s">
        <v>1794</v>
      </c>
      <c r="E713" s="19" t="s">
        <v>2</v>
      </c>
      <c r="F713" s="19" t="s">
        <v>1422</v>
      </c>
      <c r="G713" s="19" t="s">
        <v>1799</v>
      </c>
      <c r="H713" s="19" t="s">
        <v>404</v>
      </c>
      <c r="I713" s="19" t="s">
        <v>953</v>
      </c>
      <c r="J713" s="19">
        <v>0</v>
      </c>
      <c r="K713" s="19" t="s">
        <v>662</v>
      </c>
      <c r="L713" s="19">
        <v>2022</v>
      </c>
      <c r="M713" s="20">
        <v>75</v>
      </c>
      <c r="N713" s="19" t="s">
        <v>616</v>
      </c>
      <c r="O713" s="20">
        <v>29</v>
      </c>
      <c r="P713" s="20">
        <v>2175</v>
      </c>
      <c r="Q713" s="20">
        <v>5031.1409667730368</v>
      </c>
      <c r="R713" s="21">
        <v>0.87</v>
      </c>
      <c r="S713" s="20">
        <v>5031.1409667730368</v>
      </c>
    </row>
    <row r="714" spans="2:19" ht="15" customHeight="1" x14ac:dyDescent="0.25">
      <c r="B714" s="2" t="str">
        <f t="shared" si="22"/>
        <v>PGL_Residential_Multi-Family_Partner Trade Ally Rebate_Pipe Insulation_HW Small 1" to 2"_MF/CI/SMB</v>
      </c>
      <c r="C714" s="2" t="str">
        <f t="shared" si="23"/>
        <v>PGL_Residential_Multi-Family_Partner Trade Ally Rebate_Pipe Insulation_HW Small 1" to 2"_MF/CI/SMB_2023</v>
      </c>
      <c r="D714" s="19" t="s">
        <v>1794</v>
      </c>
      <c r="E714" s="19" t="s">
        <v>2</v>
      </c>
      <c r="F714" s="19" t="s">
        <v>1422</v>
      </c>
      <c r="G714" s="19" t="s">
        <v>1799</v>
      </c>
      <c r="H714" s="19" t="s">
        <v>404</v>
      </c>
      <c r="I714" s="19" t="s">
        <v>953</v>
      </c>
      <c r="J714" s="19">
        <v>0</v>
      </c>
      <c r="K714" s="19" t="s">
        <v>662</v>
      </c>
      <c r="L714" s="19">
        <v>2023</v>
      </c>
      <c r="M714" s="20">
        <v>75</v>
      </c>
      <c r="N714" s="19" t="s">
        <v>616</v>
      </c>
      <c r="O714" s="20">
        <v>26</v>
      </c>
      <c r="P714" s="20">
        <v>1950</v>
      </c>
      <c r="Q714" s="20">
        <v>4510.6781081413437</v>
      </c>
      <c r="R714" s="21">
        <v>0.87</v>
      </c>
      <c r="S714" s="20">
        <v>4510.6781081413437</v>
      </c>
    </row>
    <row r="715" spans="2:19" ht="15" customHeight="1" x14ac:dyDescent="0.25">
      <c r="B715" s="2" t="str">
        <f t="shared" si="22"/>
        <v>PGL_Residential_Multi-Family_Partner Trade Ally Rebate_Pipe Insulation_HW Small 1" to 2"_MF/CI/SMB</v>
      </c>
      <c r="C715" s="2" t="str">
        <f t="shared" si="23"/>
        <v>PGL_Residential_Multi-Family_Partner Trade Ally Rebate_Pipe Insulation_HW Small 1" to 2"_MF/CI/SMB_2024</v>
      </c>
      <c r="D715" s="19" t="s">
        <v>1794</v>
      </c>
      <c r="E715" s="19" t="s">
        <v>2</v>
      </c>
      <c r="F715" s="19" t="s">
        <v>1422</v>
      </c>
      <c r="G715" s="19" t="s">
        <v>1799</v>
      </c>
      <c r="H715" s="19" t="s">
        <v>404</v>
      </c>
      <c r="I715" s="19" t="s">
        <v>953</v>
      </c>
      <c r="J715" s="19">
        <v>0</v>
      </c>
      <c r="K715" s="19" t="s">
        <v>662</v>
      </c>
      <c r="L715" s="19">
        <v>2024</v>
      </c>
      <c r="M715" s="20">
        <v>75</v>
      </c>
      <c r="N715" s="19" t="s">
        <v>616</v>
      </c>
      <c r="O715" s="20">
        <v>23</v>
      </c>
      <c r="P715" s="20">
        <v>1725</v>
      </c>
      <c r="Q715" s="20">
        <v>3990.2152495096507</v>
      </c>
      <c r="R715" s="21">
        <v>0.87</v>
      </c>
      <c r="S715" s="20">
        <v>3990.2152495096507</v>
      </c>
    </row>
    <row r="716" spans="2:19" ht="15" customHeight="1" x14ac:dyDescent="0.25">
      <c r="B716" s="2" t="str">
        <f t="shared" si="22"/>
        <v>PGL_Residential_Multi-Family_Partner Trade Ally Rebate_Pipe Insulation_HW Small 1" to 2"_MF/CI/SMB</v>
      </c>
      <c r="C716" s="2" t="str">
        <f t="shared" si="23"/>
        <v>PGL_Residential_Multi-Family_Partner Trade Ally Rebate_Pipe Insulation_HW Small 1" to 2"_MF/CI/SMB_2025</v>
      </c>
      <c r="D716" s="19" t="s">
        <v>1794</v>
      </c>
      <c r="E716" s="19" t="s">
        <v>2</v>
      </c>
      <c r="F716" s="19" t="s">
        <v>1422</v>
      </c>
      <c r="G716" s="19" t="s">
        <v>1799</v>
      </c>
      <c r="H716" s="19" t="s">
        <v>404</v>
      </c>
      <c r="I716" s="19" t="s">
        <v>953</v>
      </c>
      <c r="J716" s="19">
        <v>0</v>
      </c>
      <c r="K716" s="19" t="s">
        <v>662</v>
      </c>
      <c r="L716" s="19">
        <v>2025</v>
      </c>
      <c r="M716" s="20">
        <v>75</v>
      </c>
      <c r="N716" s="19" t="s">
        <v>616</v>
      </c>
      <c r="O716" s="20">
        <v>17</v>
      </c>
      <c r="P716" s="20">
        <v>1275</v>
      </c>
      <c r="Q716" s="20">
        <v>2949.2895322462632</v>
      </c>
      <c r="R716" s="21">
        <v>0.87</v>
      </c>
      <c r="S716" s="20">
        <v>2949.2895322462632</v>
      </c>
    </row>
    <row r="717" spans="2:19" ht="15" customHeight="1" x14ac:dyDescent="0.25">
      <c r="B717" s="2" t="str">
        <f t="shared" si="22"/>
        <v>PGL_Residential_Multi-Family_Partner Trade Ally Rebate_Pipe Insulation_HW Medium 2.1" to 4"_MF/CI/SMB</v>
      </c>
      <c r="C717" s="2" t="str">
        <f t="shared" si="23"/>
        <v>PGL_Residential_Multi-Family_Partner Trade Ally Rebate_Pipe Insulation_HW Medium 2.1" to 4"_MF/CI/SMB_2022</v>
      </c>
      <c r="D717" s="19" t="s">
        <v>1794</v>
      </c>
      <c r="E717" s="19" t="s">
        <v>2</v>
      </c>
      <c r="F717" s="19" t="s">
        <v>1422</v>
      </c>
      <c r="G717" s="19" t="s">
        <v>1799</v>
      </c>
      <c r="H717" s="19" t="s">
        <v>404</v>
      </c>
      <c r="I717" s="19" t="s">
        <v>954</v>
      </c>
      <c r="J717" s="19">
        <v>0</v>
      </c>
      <c r="K717" s="19" t="s">
        <v>662</v>
      </c>
      <c r="L717" s="19">
        <v>2022</v>
      </c>
      <c r="M717" s="20">
        <v>75</v>
      </c>
      <c r="N717" s="19" t="s">
        <v>616</v>
      </c>
      <c r="O717" s="20">
        <v>33</v>
      </c>
      <c r="P717" s="20">
        <v>2475</v>
      </c>
      <c r="Q717" s="20">
        <v>11302.846681394738</v>
      </c>
      <c r="R717" s="21">
        <v>0.87</v>
      </c>
      <c r="S717" s="20">
        <v>11302.846681394738</v>
      </c>
    </row>
    <row r="718" spans="2:19" ht="15" customHeight="1" x14ac:dyDescent="0.25">
      <c r="B718" s="2" t="str">
        <f t="shared" si="22"/>
        <v>PGL_Residential_Multi-Family_Partner Trade Ally Rebate_Pipe Insulation_HW Medium 2.1" to 4"_MF/CI/SMB</v>
      </c>
      <c r="C718" s="2" t="str">
        <f t="shared" si="23"/>
        <v>PGL_Residential_Multi-Family_Partner Trade Ally Rebate_Pipe Insulation_HW Medium 2.1" to 4"_MF/CI/SMB_2023</v>
      </c>
      <c r="D718" s="19" t="s">
        <v>1794</v>
      </c>
      <c r="E718" s="19" t="s">
        <v>2</v>
      </c>
      <c r="F718" s="19" t="s">
        <v>1422</v>
      </c>
      <c r="G718" s="19" t="s">
        <v>1799</v>
      </c>
      <c r="H718" s="19" t="s">
        <v>404</v>
      </c>
      <c r="I718" s="19" t="s">
        <v>954</v>
      </c>
      <c r="J718" s="19">
        <v>0</v>
      </c>
      <c r="K718" s="19" t="s">
        <v>662</v>
      </c>
      <c r="L718" s="19">
        <v>2023</v>
      </c>
      <c r="M718" s="20">
        <v>75</v>
      </c>
      <c r="N718" s="19" t="s">
        <v>616</v>
      </c>
      <c r="O718" s="20">
        <v>30</v>
      </c>
      <c r="P718" s="20">
        <v>2250</v>
      </c>
      <c r="Q718" s="20">
        <v>10275.315164904307</v>
      </c>
      <c r="R718" s="21">
        <v>0.87</v>
      </c>
      <c r="S718" s="20">
        <v>10275.315164904307</v>
      </c>
    </row>
    <row r="719" spans="2:19" ht="15" customHeight="1" x14ac:dyDescent="0.25">
      <c r="B719" s="2" t="str">
        <f t="shared" si="22"/>
        <v>PGL_Residential_Multi-Family_Partner Trade Ally Rebate_Pipe Insulation_HW Medium 2.1" to 4"_MF/CI/SMB</v>
      </c>
      <c r="C719" s="2" t="str">
        <f t="shared" si="23"/>
        <v>PGL_Residential_Multi-Family_Partner Trade Ally Rebate_Pipe Insulation_HW Medium 2.1" to 4"_MF/CI/SMB_2024</v>
      </c>
      <c r="D719" s="19" t="s">
        <v>1794</v>
      </c>
      <c r="E719" s="19" t="s">
        <v>2</v>
      </c>
      <c r="F719" s="19" t="s">
        <v>1422</v>
      </c>
      <c r="G719" s="19" t="s">
        <v>1799</v>
      </c>
      <c r="H719" s="19" t="s">
        <v>404</v>
      </c>
      <c r="I719" s="19" t="s">
        <v>954</v>
      </c>
      <c r="J719" s="19">
        <v>0</v>
      </c>
      <c r="K719" s="19" t="s">
        <v>662</v>
      </c>
      <c r="L719" s="19">
        <v>2024</v>
      </c>
      <c r="M719" s="20">
        <v>75</v>
      </c>
      <c r="N719" s="19" t="s">
        <v>616</v>
      </c>
      <c r="O719" s="20">
        <v>26</v>
      </c>
      <c r="P719" s="20">
        <v>1950</v>
      </c>
      <c r="Q719" s="20">
        <v>8905.2731429170672</v>
      </c>
      <c r="R719" s="21">
        <v>0.87</v>
      </c>
      <c r="S719" s="20">
        <v>8905.2731429170672</v>
      </c>
    </row>
    <row r="720" spans="2:19" ht="15" customHeight="1" x14ac:dyDescent="0.25">
      <c r="B720" s="2" t="str">
        <f t="shared" si="22"/>
        <v>PGL_Residential_Multi-Family_Partner Trade Ally Rebate_Pipe Insulation_HW Medium 2.1" to 4"_MF/CI/SMB</v>
      </c>
      <c r="C720" s="2" t="str">
        <f t="shared" si="23"/>
        <v>PGL_Residential_Multi-Family_Partner Trade Ally Rebate_Pipe Insulation_HW Medium 2.1" to 4"_MF/CI/SMB_2025</v>
      </c>
      <c r="D720" s="19" t="s">
        <v>1794</v>
      </c>
      <c r="E720" s="19" t="s">
        <v>2</v>
      </c>
      <c r="F720" s="19" t="s">
        <v>1422</v>
      </c>
      <c r="G720" s="19" t="s">
        <v>1799</v>
      </c>
      <c r="H720" s="19" t="s">
        <v>404</v>
      </c>
      <c r="I720" s="19" t="s">
        <v>954</v>
      </c>
      <c r="J720" s="19">
        <v>0</v>
      </c>
      <c r="K720" s="19" t="s">
        <v>662</v>
      </c>
      <c r="L720" s="19">
        <v>2025</v>
      </c>
      <c r="M720" s="20">
        <v>75</v>
      </c>
      <c r="N720" s="19" t="s">
        <v>616</v>
      </c>
      <c r="O720" s="20">
        <v>19</v>
      </c>
      <c r="P720" s="20">
        <v>1425</v>
      </c>
      <c r="Q720" s="20">
        <v>6507.6996044393936</v>
      </c>
      <c r="R720" s="21">
        <v>0.87</v>
      </c>
      <c r="S720" s="20">
        <v>6507.6996044393936</v>
      </c>
    </row>
    <row r="721" spans="2:19" ht="15" customHeight="1" x14ac:dyDescent="0.25">
      <c r="B721" s="2" t="str">
        <f t="shared" si="22"/>
        <v>PGL_Residential_Multi-Family_Partner Trade Ally Rebate_Pipe Insulation_HW Large &gt;4"_MF/CI/SMB</v>
      </c>
      <c r="C721" s="2" t="str">
        <f t="shared" si="23"/>
        <v>PGL_Residential_Multi-Family_Partner Trade Ally Rebate_Pipe Insulation_HW Large &gt;4"_MF/CI/SMB_2022</v>
      </c>
      <c r="D721" s="19" t="s">
        <v>1794</v>
      </c>
      <c r="E721" s="19" t="s">
        <v>2</v>
      </c>
      <c r="F721" s="19" t="s">
        <v>1422</v>
      </c>
      <c r="G721" s="19" t="s">
        <v>1799</v>
      </c>
      <c r="H721" s="19" t="s">
        <v>404</v>
      </c>
      <c r="I721" s="19" t="s">
        <v>955</v>
      </c>
      <c r="J721" s="19">
        <v>0</v>
      </c>
      <c r="K721" s="19" t="s">
        <v>662</v>
      </c>
      <c r="L721" s="19">
        <v>2022</v>
      </c>
      <c r="M721" s="20">
        <v>75</v>
      </c>
      <c r="N721" s="19" t="s">
        <v>616</v>
      </c>
      <c r="O721" s="20">
        <v>43</v>
      </c>
      <c r="P721" s="20">
        <v>3225</v>
      </c>
      <c r="Q721" s="20">
        <v>25366.116041578829</v>
      </c>
      <c r="R721" s="21">
        <v>0.87</v>
      </c>
      <c r="S721" s="20">
        <v>25366.116041578829</v>
      </c>
    </row>
    <row r="722" spans="2:19" ht="15" customHeight="1" x14ac:dyDescent="0.25">
      <c r="B722" s="2" t="str">
        <f t="shared" si="22"/>
        <v>PGL_Residential_Multi-Family_Partner Trade Ally Rebate_Pipe Insulation_HW Large &gt;4"_MF/CI/SMB</v>
      </c>
      <c r="C722" s="2" t="str">
        <f t="shared" si="23"/>
        <v>PGL_Residential_Multi-Family_Partner Trade Ally Rebate_Pipe Insulation_HW Large &gt;4"_MF/CI/SMB_2023</v>
      </c>
      <c r="D722" s="19" t="s">
        <v>1794</v>
      </c>
      <c r="E722" s="19" t="s">
        <v>2</v>
      </c>
      <c r="F722" s="19" t="s">
        <v>1422</v>
      </c>
      <c r="G722" s="19" t="s">
        <v>1799</v>
      </c>
      <c r="H722" s="19" t="s">
        <v>404</v>
      </c>
      <c r="I722" s="19" t="s">
        <v>955</v>
      </c>
      <c r="J722" s="19">
        <v>0</v>
      </c>
      <c r="K722" s="19" t="s">
        <v>662</v>
      </c>
      <c r="L722" s="19">
        <v>2023</v>
      </c>
      <c r="M722" s="20">
        <v>75</v>
      </c>
      <c r="N722" s="19" t="s">
        <v>616</v>
      </c>
      <c r="O722" s="20">
        <v>38</v>
      </c>
      <c r="P722" s="20">
        <v>2850</v>
      </c>
      <c r="Q722" s="20">
        <v>22416.567664651055</v>
      </c>
      <c r="R722" s="21">
        <v>0.87</v>
      </c>
      <c r="S722" s="20">
        <v>22416.567664651055</v>
      </c>
    </row>
    <row r="723" spans="2:19" ht="15" customHeight="1" x14ac:dyDescent="0.25">
      <c r="B723" s="2" t="str">
        <f t="shared" si="22"/>
        <v>PGL_Residential_Multi-Family_Partner Trade Ally Rebate_Pipe Insulation_HW Large &gt;4"_MF/CI/SMB</v>
      </c>
      <c r="C723" s="2" t="str">
        <f t="shared" si="23"/>
        <v>PGL_Residential_Multi-Family_Partner Trade Ally Rebate_Pipe Insulation_HW Large &gt;4"_MF/CI/SMB_2024</v>
      </c>
      <c r="D723" s="19" t="s">
        <v>1794</v>
      </c>
      <c r="E723" s="19" t="s">
        <v>2</v>
      </c>
      <c r="F723" s="19" t="s">
        <v>1422</v>
      </c>
      <c r="G723" s="19" t="s">
        <v>1799</v>
      </c>
      <c r="H723" s="19" t="s">
        <v>404</v>
      </c>
      <c r="I723" s="19" t="s">
        <v>955</v>
      </c>
      <c r="J723" s="19">
        <v>0</v>
      </c>
      <c r="K723" s="19" t="s">
        <v>662</v>
      </c>
      <c r="L723" s="19">
        <v>2024</v>
      </c>
      <c r="M723" s="20">
        <v>75</v>
      </c>
      <c r="N723" s="19" t="s">
        <v>616</v>
      </c>
      <c r="O723" s="20">
        <v>34</v>
      </c>
      <c r="P723" s="20">
        <v>2550</v>
      </c>
      <c r="Q723" s="20">
        <v>20056.92896310884</v>
      </c>
      <c r="R723" s="21">
        <v>0.87</v>
      </c>
      <c r="S723" s="20">
        <v>20056.92896310884</v>
      </c>
    </row>
    <row r="724" spans="2:19" ht="15" customHeight="1" x14ac:dyDescent="0.25">
      <c r="B724" s="2" t="str">
        <f t="shared" si="22"/>
        <v>PGL_Residential_Multi-Family_Partner Trade Ally Rebate_Pipe Insulation_HW Large &gt;4"_MF/CI/SMB</v>
      </c>
      <c r="C724" s="2" t="str">
        <f t="shared" si="23"/>
        <v>PGL_Residential_Multi-Family_Partner Trade Ally Rebate_Pipe Insulation_HW Large &gt;4"_MF/CI/SMB_2025</v>
      </c>
      <c r="D724" s="19" t="s">
        <v>1794</v>
      </c>
      <c r="E724" s="19" t="s">
        <v>2</v>
      </c>
      <c r="F724" s="19" t="s">
        <v>1422</v>
      </c>
      <c r="G724" s="19" t="s">
        <v>1799</v>
      </c>
      <c r="H724" s="19" t="s">
        <v>404</v>
      </c>
      <c r="I724" s="19" t="s">
        <v>955</v>
      </c>
      <c r="J724" s="19">
        <v>0</v>
      </c>
      <c r="K724" s="19" t="s">
        <v>662</v>
      </c>
      <c r="L724" s="19">
        <v>2025</v>
      </c>
      <c r="M724" s="20">
        <v>75</v>
      </c>
      <c r="N724" s="19" t="s">
        <v>616</v>
      </c>
      <c r="O724" s="20">
        <v>25</v>
      </c>
      <c r="P724" s="20">
        <v>1875</v>
      </c>
      <c r="Q724" s="20">
        <v>14747.741884638854</v>
      </c>
      <c r="R724" s="21">
        <v>0.87</v>
      </c>
      <c r="S724" s="20">
        <v>14747.741884638854</v>
      </c>
    </row>
    <row r="725" spans="2:19" ht="15" customHeight="1" x14ac:dyDescent="0.25">
      <c r="B725" s="2" t="str">
        <f t="shared" si="22"/>
        <v>PGL_Residential_Multi-Family_Partner Trade Ally Rebate_Pipe Insulation_Steam - Small 1" to 2"_MF</v>
      </c>
      <c r="C725" s="2" t="str">
        <f t="shared" si="23"/>
        <v>PGL_Residential_Multi-Family_Partner Trade Ally Rebate_Pipe Insulation_Steam - Small 1" to 2"_MF_2022</v>
      </c>
      <c r="D725" s="19" t="s">
        <v>1794</v>
      </c>
      <c r="E725" s="19" t="s">
        <v>2</v>
      </c>
      <c r="F725" s="19" t="s">
        <v>1422</v>
      </c>
      <c r="G725" s="19" t="s">
        <v>1799</v>
      </c>
      <c r="H725" s="19" t="s">
        <v>404</v>
      </c>
      <c r="I725" s="19" t="s">
        <v>956</v>
      </c>
      <c r="J725" s="19">
        <v>0</v>
      </c>
      <c r="K725" s="19" t="s">
        <v>553</v>
      </c>
      <c r="L725" s="19">
        <v>2022</v>
      </c>
      <c r="M725" s="20">
        <v>75</v>
      </c>
      <c r="N725" s="19" t="s">
        <v>616</v>
      </c>
      <c r="O725" s="20">
        <v>190</v>
      </c>
      <c r="P725" s="20">
        <v>14250</v>
      </c>
      <c r="Q725" s="20">
        <v>49182.085780131798</v>
      </c>
      <c r="R725" s="21">
        <v>0.87</v>
      </c>
      <c r="S725" s="20">
        <v>49182.085780131798</v>
      </c>
    </row>
    <row r="726" spans="2:19" ht="15" customHeight="1" x14ac:dyDescent="0.25">
      <c r="B726" s="2" t="str">
        <f t="shared" si="22"/>
        <v>PGL_Residential_Multi-Family_Partner Trade Ally Rebate_Pipe Insulation_Steam - Small 1" to 2"_MF</v>
      </c>
      <c r="C726" s="2" t="str">
        <f t="shared" si="23"/>
        <v>PGL_Residential_Multi-Family_Partner Trade Ally Rebate_Pipe Insulation_Steam - Small 1" to 2"_MF_2023</v>
      </c>
      <c r="D726" s="19" t="s">
        <v>1794</v>
      </c>
      <c r="E726" s="19" t="s">
        <v>2</v>
      </c>
      <c r="F726" s="19" t="s">
        <v>1422</v>
      </c>
      <c r="G726" s="19" t="s">
        <v>1799</v>
      </c>
      <c r="H726" s="19" t="s">
        <v>404</v>
      </c>
      <c r="I726" s="19" t="s">
        <v>956</v>
      </c>
      <c r="J726" s="19">
        <v>0</v>
      </c>
      <c r="K726" s="19" t="s">
        <v>553</v>
      </c>
      <c r="L726" s="19">
        <v>2023</v>
      </c>
      <c r="M726" s="20">
        <v>75</v>
      </c>
      <c r="N726" s="19" t="s">
        <v>616</v>
      </c>
      <c r="O726" s="20">
        <v>170</v>
      </c>
      <c r="P726" s="20">
        <v>12750</v>
      </c>
      <c r="Q726" s="20">
        <v>44005.024119065289</v>
      </c>
      <c r="R726" s="21">
        <v>0.87</v>
      </c>
      <c r="S726" s="20">
        <v>44005.024119065289</v>
      </c>
    </row>
    <row r="727" spans="2:19" ht="15" customHeight="1" x14ac:dyDescent="0.25">
      <c r="B727" s="2" t="str">
        <f t="shared" si="22"/>
        <v>PGL_Residential_Multi-Family_Partner Trade Ally Rebate_Pipe Insulation_Steam - Small 1" to 2"_MF</v>
      </c>
      <c r="C727" s="2" t="str">
        <f t="shared" si="23"/>
        <v>PGL_Residential_Multi-Family_Partner Trade Ally Rebate_Pipe Insulation_Steam - Small 1" to 2"_MF_2024</v>
      </c>
      <c r="D727" s="19" t="s">
        <v>1794</v>
      </c>
      <c r="E727" s="19" t="s">
        <v>2</v>
      </c>
      <c r="F727" s="19" t="s">
        <v>1422</v>
      </c>
      <c r="G727" s="19" t="s">
        <v>1799</v>
      </c>
      <c r="H727" s="19" t="s">
        <v>404</v>
      </c>
      <c r="I727" s="19" t="s">
        <v>956</v>
      </c>
      <c r="J727" s="19">
        <v>0</v>
      </c>
      <c r="K727" s="19" t="s">
        <v>553</v>
      </c>
      <c r="L727" s="19">
        <v>2024</v>
      </c>
      <c r="M727" s="20">
        <v>75</v>
      </c>
      <c r="N727" s="19" t="s">
        <v>616</v>
      </c>
      <c r="O727" s="20">
        <v>150</v>
      </c>
      <c r="P727" s="20">
        <v>11250</v>
      </c>
      <c r="Q727" s="20">
        <v>38827.962457998787</v>
      </c>
      <c r="R727" s="21">
        <v>0.87</v>
      </c>
      <c r="S727" s="20">
        <v>38827.962457998787</v>
      </c>
    </row>
    <row r="728" spans="2:19" ht="15" customHeight="1" x14ac:dyDescent="0.25">
      <c r="B728" s="2" t="str">
        <f t="shared" si="22"/>
        <v>PGL_Residential_Multi-Family_Partner Trade Ally Rebate_Pipe Insulation_Steam - Small 1" to 2"_MF</v>
      </c>
      <c r="C728" s="2" t="str">
        <f t="shared" si="23"/>
        <v>PGL_Residential_Multi-Family_Partner Trade Ally Rebate_Pipe Insulation_Steam - Small 1" to 2"_MF_2025</v>
      </c>
      <c r="D728" s="19" t="s">
        <v>1794</v>
      </c>
      <c r="E728" s="19" t="s">
        <v>2</v>
      </c>
      <c r="F728" s="19" t="s">
        <v>1422</v>
      </c>
      <c r="G728" s="19" t="s">
        <v>1799</v>
      </c>
      <c r="H728" s="19" t="s">
        <v>404</v>
      </c>
      <c r="I728" s="19" t="s">
        <v>956</v>
      </c>
      <c r="J728" s="19">
        <v>0</v>
      </c>
      <c r="K728" s="19" t="s">
        <v>553</v>
      </c>
      <c r="L728" s="19">
        <v>2025</v>
      </c>
      <c r="M728" s="20">
        <v>75</v>
      </c>
      <c r="N728" s="19" t="s">
        <v>616</v>
      </c>
      <c r="O728" s="20">
        <v>110</v>
      </c>
      <c r="P728" s="20">
        <v>8250</v>
      </c>
      <c r="Q728" s="20">
        <v>28473.839135865775</v>
      </c>
      <c r="R728" s="21">
        <v>0.87</v>
      </c>
      <c r="S728" s="20">
        <v>28473.839135865775</v>
      </c>
    </row>
    <row r="729" spans="2:19" ht="15" customHeight="1" x14ac:dyDescent="0.25">
      <c r="B729" s="2" t="str">
        <f t="shared" si="22"/>
        <v>PGL_Residential_Multi-Family_Partner Trade Ally Rebate_Pipe Insulation_Steam - Med 2.1" to 5"_MF</v>
      </c>
      <c r="C729" s="2" t="str">
        <f t="shared" si="23"/>
        <v>PGL_Residential_Multi-Family_Partner Trade Ally Rebate_Pipe Insulation_Steam - Med 2.1" to 5"_MF_2022</v>
      </c>
      <c r="D729" s="19" t="s">
        <v>1794</v>
      </c>
      <c r="E729" s="19" t="s">
        <v>2</v>
      </c>
      <c r="F729" s="19" t="s">
        <v>1422</v>
      </c>
      <c r="G729" s="19" t="s">
        <v>1799</v>
      </c>
      <c r="H729" s="19" t="s">
        <v>404</v>
      </c>
      <c r="I729" s="19" t="s">
        <v>957</v>
      </c>
      <c r="J729" s="19">
        <v>0</v>
      </c>
      <c r="K729" s="19" t="s">
        <v>553</v>
      </c>
      <c r="L729" s="19">
        <v>2022</v>
      </c>
      <c r="M729" s="20">
        <v>75</v>
      </c>
      <c r="N729" s="19" t="s">
        <v>616</v>
      </c>
      <c r="O729" s="20">
        <v>48</v>
      </c>
      <c r="P729" s="20">
        <v>3600</v>
      </c>
      <c r="Q729" s="20">
        <v>49969.485252389561</v>
      </c>
      <c r="R729" s="21">
        <v>0.87</v>
      </c>
      <c r="S729" s="20">
        <v>49969.485252389561</v>
      </c>
    </row>
    <row r="730" spans="2:19" ht="15" customHeight="1" x14ac:dyDescent="0.25">
      <c r="B730" s="2" t="str">
        <f t="shared" si="22"/>
        <v>PGL_Residential_Multi-Family_Partner Trade Ally Rebate_Pipe Insulation_Steam - Med 2.1" to 5"_MF</v>
      </c>
      <c r="C730" s="2" t="str">
        <f t="shared" si="23"/>
        <v>PGL_Residential_Multi-Family_Partner Trade Ally Rebate_Pipe Insulation_Steam - Med 2.1" to 5"_MF_2023</v>
      </c>
      <c r="D730" s="19" t="s">
        <v>1794</v>
      </c>
      <c r="E730" s="19" t="s">
        <v>2</v>
      </c>
      <c r="F730" s="19" t="s">
        <v>1422</v>
      </c>
      <c r="G730" s="19" t="s">
        <v>1799</v>
      </c>
      <c r="H730" s="19" t="s">
        <v>404</v>
      </c>
      <c r="I730" s="19" t="s">
        <v>957</v>
      </c>
      <c r="J730" s="19">
        <v>0</v>
      </c>
      <c r="K730" s="19" t="s">
        <v>553</v>
      </c>
      <c r="L730" s="19">
        <v>2023</v>
      </c>
      <c r="M730" s="20">
        <v>75</v>
      </c>
      <c r="N730" s="19" t="s">
        <v>616</v>
      </c>
      <c r="O730" s="20">
        <v>43</v>
      </c>
      <c r="P730" s="20">
        <v>3225</v>
      </c>
      <c r="Q730" s="20">
        <v>44764.330538598981</v>
      </c>
      <c r="R730" s="21">
        <v>0.87</v>
      </c>
      <c r="S730" s="20">
        <v>44764.330538598981</v>
      </c>
    </row>
    <row r="731" spans="2:19" ht="15" customHeight="1" x14ac:dyDescent="0.25">
      <c r="B731" s="2" t="str">
        <f t="shared" si="22"/>
        <v>PGL_Residential_Multi-Family_Partner Trade Ally Rebate_Pipe Insulation_Steam - Med 2.1" to 5"_MF</v>
      </c>
      <c r="C731" s="2" t="str">
        <f t="shared" si="23"/>
        <v>PGL_Residential_Multi-Family_Partner Trade Ally Rebate_Pipe Insulation_Steam - Med 2.1" to 5"_MF_2024</v>
      </c>
      <c r="D731" s="19" t="s">
        <v>1794</v>
      </c>
      <c r="E731" s="19" t="s">
        <v>2</v>
      </c>
      <c r="F731" s="19" t="s">
        <v>1422</v>
      </c>
      <c r="G731" s="19" t="s">
        <v>1799</v>
      </c>
      <c r="H731" s="19" t="s">
        <v>404</v>
      </c>
      <c r="I731" s="19" t="s">
        <v>957</v>
      </c>
      <c r="J731" s="19">
        <v>0</v>
      </c>
      <c r="K731" s="19" t="s">
        <v>553</v>
      </c>
      <c r="L731" s="19">
        <v>2024</v>
      </c>
      <c r="M731" s="20">
        <v>75</v>
      </c>
      <c r="N731" s="19" t="s">
        <v>616</v>
      </c>
      <c r="O731" s="20">
        <v>38</v>
      </c>
      <c r="P731" s="20">
        <v>2850</v>
      </c>
      <c r="Q731" s="20">
        <v>39559.175824808401</v>
      </c>
      <c r="R731" s="21">
        <v>0.87</v>
      </c>
      <c r="S731" s="20">
        <v>39559.175824808401</v>
      </c>
    </row>
    <row r="732" spans="2:19" ht="15" customHeight="1" x14ac:dyDescent="0.25">
      <c r="B732" s="2" t="str">
        <f t="shared" si="22"/>
        <v>PGL_Residential_Multi-Family_Partner Trade Ally Rebate_Pipe Insulation_Steam - Med 2.1" to 5"_MF</v>
      </c>
      <c r="C732" s="2" t="str">
        <f t="shared" si="23"/>
        <v>PGL_Residential_Multi-Family_Partner Trade Ally Rebate_Pipe Insulation_Steam - Med 2.1" to 5"_MF_2025</v>
      </c>
      <c r="D732" s="19" t="s">
        <v>1794</v>
      </c>
      <c r="E732" s="19" t="s">
        <v>2</v>
      </c>
      <c r="F732" s="19" t="s">
        <v>1422</v>
      </c>
      <c r="G732" s="19" t="s">
        <v>1799</v>
      </c>
      <c r="H732" s="19" t="s">
        <v>404</v>
      </c>
      <c r="I732" s="19" t="s">
        <v>957</v>
      </c>
      <c r="J732" s="19">
        <v>0</v>
      </c>
      <c r="K732" s="19" t="s">
        <v>553</v>
      </c>
      <c r="L732" s="19">
        <v>2025</v>
      </c>
      <c r="M732" s="20">
        <v>75</v>
      </c>
      <c r="N732" s="19" t="s">
        <v>616</v>
      </c>
      <c r="O732" s="20">
        <v>28</v>
      </c>
      <c r="P732" s="20">
        <v>2100</v>
      </c>
      <c r="Q732" s="20">
        <v>29148.866397227241</v>
      </c>
      <c r="R732" s="21">
        <v>0.87</v>
      </c>
      <c r="S732" s="20">
        <v>29148.866397227241</v>
      </c>
    </row>
    <row r="733" spans="2:19" ht="15" customHeight="1" x14ac:dyDescent="0.25">
      <c r="B733" s="2" t="str">
        <f t="shared" si="22"/>
        <v>PGL_Residential_Multi-Family_Partner Trade Ally Rebate_Pipe Insulation_Steam - Large 5.1" to 8"_MF</v>
      </c>
      <c r="C733" s="2" t="str">
        <f t="shared" si="23"/>
        <v>PGL_Residential_Multi-Family_Partner Trade Ally Rebate_Pipe Insulation_Steam - Large 5.1" to 8"_MF_2022</v>
      </c>
      <c r="D733" s="19" t="s">
        <v>1794</v>
      </c>
      <c r="E733" s="19" t="s">
        <v>2</v>
      </c>
      <c r="F733" s="19" t="s">
        <v>1422</v>
      </c>
      <c r="G733" s="19" t="s">
        <v>1799</v>
      </c>
      <c r="H733" s="19" t="s">
        <v>404</v>
      </c>
      <c r="I733" s="19" t="s">
        <v>958</v>
      </c>
      <c r="J733" s="19">
        <v>0</v>
      </c>
      <c r="K733" s="19" t="s">
        <v>553</v>
      </c>
      <c r="L733" s="19">
        <v>2022</v>
      </c>
      <c r="M733" s="20">
        <v>75</v>
      </c>
      <c r="N733" s="19" t="s">
        <v>616</v>
      </c>
      <c r="O733" s="20">
        <v>19</v>
      </c>
      <c r="P733" s="20">
        <v>1425</v>
      </c>
      <c r="Q733" s="20">
        <v>38598.332927874806</v>
      </c>
      <c r="R733" s="21">
        <v>0.87</v>
      </c>
      <c r="S733" s="20">
        <v>38598.332927874806</v>
      </c>
    </row>
    <row r="734" spans="2:19" ht="15" customHeight="1" x14ac:dyDescent="0.25">
      <c r="B734" s="2" t="str">
        <f t="shared" si="22"/>
        <v>PGL_Residential_Multi-Family_Partner Trade Ally Rebate_Pipe Insulation_Steam - Large 5.1" to 8"_MF</v>
      </c>
      <c r="C734" s="2" t="str">
        <f t="shared" si="23"/>
        <v>PGL_Residential_Multi-Family_Partner Trade Ally Rebate_Pipe Insulation_Steam - Large 5.1" to 8"_MF_2023</v>
      </c>
      <c r="D734" s="19" t="s">
        <v>1794</v>
      </c>
      <c r="E734" s="19" t="s">
        <v>2</v>
      </c>
      <c r="F734" s="19" t="s">
        <v>1422</v>
      </c>
      <c r="G734" s="19" t="s">
        <v>1799</v>
      </c>
      <c r="H734" s="19" t="s">
        <v>404</v>
      </c>
      <c r="I734" s="19" t="s">
        <v>958</v>
      </c>
      <c r="J734" s="19">
        <v>0</v>
      </c>
      <c r="K734" s="19" t="s">
        <v>553</v>
      </c>
      <c r="L734" s="19">
        <v>2023</v>
      </c>
      <c r="M734" s="20">
        <v>75</v>
      </c>
      <c r="N734" s="19" t="s">
        <v>616</v>
      </c>
      <c r="O734" s="20">
        <v>17</v>
      </c>
      <c r="P734" s="20">
        <v>1275</v>
      </c>
      <c r="Q734" s="20">
        <v>34535.350514414298</v>
      </c>
      <c r="R734" s="21">
        <v>0.87</v>
      </c>
      <c r="S734" s="20">
        <v>34535.350514414298</v>
      </c>
    </row>
    <row r="735" spans="2:19" ht="15" customHeight="1" x14ac:dyDescent="0.25">
      <c r="B735" s="2" t="str">
        <f t="shared" si="22"/>
        <v>PGL_Residential_Multi-Family_Partner Trade Ally Rebate_Pipe Insulation_Steam - Large 5.1" to 8"_MF</v>
      </c>
      <c r="C735" s="2" t="str">
        <f t="shared" si="23"/>
        <v>PGL_Residential_Multi-Family_Partner Trade Ally Rebate_Pipe Insulation_Steam - Large 5.1" to 8"_MF_2024</v>
      </c>
      <c r="D735" s="19" t="s">
        <v>1794</v>
      </c>
      <c r="E735" s="19" t="s">
        <v>2</v>
      </c>
      <c r="F735" s="19" t="s">
        <v>1422</v>
      </c>
      <c r="G735" s="19" t="s">
        <v>1799</v>
      </c>
      <c r="H735" s="19" t="s">
        <v>404</v>
      </c>
      <c r="I735" s="19" t="s">
        <v>958</v>
      </c>
      <c r="J735" s="19">
        <v>0</v>
      </c>
      <c r="K735" s="19" t="s">
        <v>553</v>
      </c>
      <c r="L735" s="19">
        <v>2024</v>
      </c>
      <c r="M735" s="20">
        <v>75</v>
      </c>
      <c r="N735" s="19" t="s">
        <v>616</v>
      </c>
      <c r="O735" s="20">
        <v>15</v>
      </c>
      <c r="P735" s="20">
        <v>1125</v>
      </c>
      <c r="Q735" s="20">
        <v>30472.368100953794</v>
      </c>
      <c r="R735" s="21">
        <v>0.87</v>
      </c>
      <c r="S735" s="20">
        <v>30472.368100953794</v>
      </c>
    </row>
    <row r="736" spans="2:19" ht="15" customHeight="1" x14ac:dyDescent="0.25">
      <c r="B736" s="2" t="str">
        <f t="shared" si="22"/>
        <v>PGL_Residential_Multi-Family_Partner Trade Ally Rebate_Pipe Insulation_Steam - Large 5.1" to 8"_MF</v>
      </c>
      <c r="C736" s="2" t="str">
        <f t="shared" si="23"/>
        <v>PGL_Residential_Multi-Family_Partner Trade Ally Rebate_Pipe Insulation_Steam - Large 5.1" to 8"_MF_2025</v>
      </c>
      <c r="D736" s="19" t="s">
        <v>1794</v>
      </c>
      <c r="E736" s="19" t="s">
        <v>2</v>
      </c>
      <c r="F736" s="19" t="s">
        <v>1422</v>
      </c>
      <c r="G736" s="19" t="s">
        <v>1799</v>
      </c>
      <c r="H736" s="19" t="s">
        <v>404</v>
      </c>
      <c r="I736" s="19" t="s">
        <v>958</v>
      </c>
      <c r="J736" s="19">
        <v>0</v>
      </c>
      <c r="K736" s="19" t="s">
        <v>553</v>
      </c>
      <c r="L736" s="19">
        <v>2025</v>
      </c>
      <c r="M736" s="20">
        <v>75</v>
      </c>
      <c r="N736" s="19" t="s">
        <v>616</v>
      </c>
      <c r="O736" s="20">
        <v>11</v>
      </c>
      <c r="P736" s="20">
        <v>825</v>
      </c>
      <c r="Q736" s="20">
        <v>22346.403274032782</v>
      </c>
      <c r="R736" s="21">
        <v>0.87</v>
      </c>
      <c r="S736" s="20">
        <v>22346.403274032782</v>
      </c>
    </row>
    <row r="737" spans="2:19" ht="15" customHeight="1" x14ac:dyDescent="0.25">
      <c r="B737" s="2" t="str">
        <f t="shared" si="22"/>
        <v>PGL_Residential_Multi-Family_Partner Trade Ally Rebate_Pipe Insulation_Steam - X-Large &gt;8"_MF</v>
      </c>
      <c r="C737" s="2" t="str">
        <f t="shared" si="23"/>
        <v>PGL_Residential_Multi-Family_Partner Trade Ally Rebate_Pipe Insulation_Steam - X-Large &gt;8"_MF_2022</v>
      </c>
      <c r="D737" s="19" t="s">
        <v>1794</v>
      </c>
      <c r="E737" s="19" t="s">
        <v>2</v>
      </c>
      <c r="F737" s="19" t="s">
        <v>1422</v>
      </c>
      <c r="G737" s="19" t="s">
        <v>1799</v>
      </c>
      <c r="H737" s="19" t="s">
        <v>404</v>
      </c>
      <c r="I737" s="19" t="s">
        <v>960</v>
      </c>
      <c r="J737" s="19">
        <v>0</v>
      </c>
      <c r="K737" s="19" t="s">
        <v>553</v>
      </c>
      <c r="L737" s="19">
        <v>2022</v>
      </c>
      <c r="M737" s="20">
        <v>75</v>
      </c>
      <c r="N737" s="19" t="s">
        <v>616</v>
      </c>
      <c r="O737" s="20">
        <v>10</v>
      </c>
      <c r="P737" s="20">
        <v>750</v>
      </c>
      <c r="Q737" s="20">
        <v>29241.396764451478</v>
      </c>
      <c r="R737" s="21">
        <v>0.87</v>
      </c>
      <c r="S737" s="20">
        <v>29241.396764451478</v>
      </c>
    </row>
    <row r="738" spans="2:19" ht="15" customHeight="1" x14ac:dyDescent="0.25">
      <c r="B738" s="2" t="str">
        <f t="shared" si="22"/>
        <v>PGL_Residential_Multi-Family_Partner Trade Ally Rebate_Pipe Insulation_Steam - X-Large &gt;8"_MF</v>
      </c>
      <c r="C738" s="2" t="str">
        <f t="shared" si="23"/>
        <v>PGL_Residential_Multi-Family_Partner Trade Ally Rebate_Pipe Insulation_Steam - X-Large &gt;8"_MF_2023</v>
      </c>
      <c r="D738" s="19" t="s">
        <v>1794</v>
      </c>
      <c r="E738" s="19" t="s">
        <v>2</v>
      </c>
      <c r="F738" s="19" t="s">
        <v>1422</v>
      </c>
      <c r="G738" s="19" t="s">
        <v>1799</v>
      </c>
      <c r="H738" s="19" t="s">
        <v>404</v>
      </c>
      <c r="I738" s="19" t="s">
        <v>960</v>
      </c>
      <c r="J738" s="19">
        <v>0</v>
      </c>
      <c r="K738" s="19" t="s">
        <v>553</v>
      </c>
      <c r="L738" s="19">
        <v>2023</v>
      </c>
      <c r="M738" s="20">
        <v>75</v>
      </c>
      <c r="N738" s="19" t="s">
        <v>616</v>
      </c>
      <c r="O738" s="20">
        <v>9</v>
      </c>
      <c r="P738" s="20">
        <v>675</v>
      </c>
      <c r="Q738" s="20">
        <v>26317.257088006332</v>
      </c>
      <c r="R738" s="21">
        <v>0.87</v>
      </c>
      <c r="S738" s="20">
        <v>26317.257088006332</v>
      </c>
    </row>
    <row r="739" spans="2:19" ht="15" customHeight="1" x14ac:dyDescent="0.25">
      <c r="B739" s="2" t="str">
        <f t="shared" si="22"/>
        <v>PGL_Residential_Multi-Family_Partner Trade Ally Rebate_Pipe Insulation_Steam - X-Large &gt;8"_MF</v>
      </c>
      <c r="C739" s="2" t="str">
        <f t="shared" si="23"/>
        <v>PGL_Residential_Multi-Family_Partner Trade Ally Rebate_Pipe Insulation_Steam - X-Large &gt;8"_MF_2024</v>
      </c>
      <c r="D739" s="19" t="s">
        <v>1794</v>
      </c>
      <c r="E739" s="19" t="s">
        <v>2</v>
      </c>
      <c r="F739" s="19" t="s">
        <v>1422</v>
      </c>
      <c r="G739" s="19" t="s">
        <v>1799</v>
      </c>
      <c r="H739" s="19" t="s">
        <v>404</v>
      </c>
      <c r="I739" s="19" t="s">
        <v>960</v>
      </c>
      <c r="J739" s="19">
        <v>0</v>
      </c>
      <c r="K739" s="19" t="s">
        <v>553</v>
      </c>
      <c r="L739" s="19">
        <v>2024</v>
      </c>
      <c r="M739" s="20">
        <v>75</v>
      </c>
      <c r="N739" s="19" t="s">
        <v>616</v>
      </c>
      <c r="O739" s="20">
        <v>8</v>
      </c>
      <c r="P739" s="20">
        <v>600</v>
      </c>
      <c r="Q739" s="20">
        <v>23393.117411561183</v>
      </c>
      <c r="R739" s="21">
        <v>0.87</v>
      </c>
      <c r="S739" s="20">
        <v>23393.117411561183</v>
      </c>
    </row>
    <row r="740" spans="2:19" ht="15" customHeight="1" x14ac:dyDescent="0.25">
      <c r="B740" s="2" t="str">
        <f t="shared" si="22"/>
        <v>PGL_Residential_Multi-Family_Partner Trade Ally Rebate_Pipe Insulation_Steam - X-Large &gt;8"_MF</v>
      </c>
      <c r="C740" s="2" t="str">
        <f t="shared" si="23"/>
        <v>PGL_Residential_Multi-Family_Partner Trade Ally Rebate_Pipe Insulation_Steam - X-Large &gt;8"_MF_2025</v>
      </c>
      <c r="D740" s="19" t="s">
        <v>1794</v>
      </c>
      <c r="E740" s="19" t="s">
        <v>2</v>
      </c>
      <c r="F740" s="19" t="s">
        <v>1422</v>
      </c>
      <c r="G740" s="19" t="s">
        <v>1799</v>
      </c>
      <c r="H740" s="19" t="s">
        <v>404</v>
      </c>
      <c r="I740" s="19" t="s">
        <v>960</v>
      </c>
      <c r="J740" s="19">
        <v>0</v>
      </c>
      <c r="K740" s="19" t="s">
        <v>553</v>
      </c>
      <c r="L740" s="19">
        <v>2025</v>
      </c>
      <c r="M740" s="20">
        <v>75</v>
      </c>
      <c r="N740" s="19" t="s">
        <v>616</v>
      </c>
      <c r="O740" s="20">
        <v>6</v>
      </c>
      <c r="P740" s="20">
        <v>450</v>
      </c>
      <c r="Q740" s="20">
        <v>17544.838058670888</v>
      </c>
      <c r="R740" s="21">
        <v>0.87</v>
      </c>
      <c r="S740" s="20">
        <v>17544.838058670888</v>
      </c>
    </row>
    <row r="741" spans="2:19" ht="15" customHeight="1" x14ac:dyDescent="0.25">
      <c r="B741" s="2" t="str">
        <f t="shared" si="22"/>
        <v>PGL_Residential_Multi-Family_Partner Trade Ally Rebate_Pipe Insulation_Steam Med Fitting_MF</v>
      </c>
      <c r="C741" s="2" t="str">
        <f t="shared" si="23"/>
        <v>PGL_Residential_Multi-Family_Partner Trade Ally Rebate_Pipe Insulation_Steam Med Fitting_MF_2022</v>
      </c>
      <c r="D741" s="19" t="s">
        <v>1794</v>
      </c>
      <c r="E741" s="19" t="s">
        <v>2</v>
      </c>
      <c r="F741" s="19" t="s">
        <v>1422</v>
      </c>
      <c r="G741" s="19" t="s">
        <v>1799</v>
      </c>
      <c r="H741" s="19" t="s">
        <v>404</v>
      </c>
      <c r="I741" s="19" t="s">
        <v>962</v>
      </c>
      <c r="J741" s="19">
        <v>0</v>
      </c>
      <c r="K741" s="19" t="s">
        <v>553</v>
      </c>
      <c r="L741" s="19">
        <v>2022</v>
      </c>
      <c r="M741" s="20">
        <v>1</v>
      </c>
      <c r="N741" s="19" t="s">
        <v>1798</v>
      </c>
      <c r="O741" s="20">
        <v>190</v>
      </c>
      <c r="P741" s="20">
        <v>190</v>
      </c>
      <c r="Q741" s="20">
        <v>3328.2453260605466</v>
      </c>
      <c r="R741" s="21">
        <v>0.87</v>
      </c>
      <c r="S741" s="20">
        <v>3328.2453260605466</v>
      </c>
    </row>
    <row r="742" spans="2:19" ht="15" customHeight="1" x14ac:dyDescent="0.25">
      <c r="B742" s="2" t="str">
        <f t="shared" si="22"/>
        <v>PGL_Residential_Multi-Family_Partner Trade Ally Rebate_Pipe Insulation_Steam Med Fitting_MF</v>
      </c>
      <c r="C742" s="2" t="str">
        <f t="shared" si="23"/>
        <v>PGL_Residential_Multi-Family_Partner Trade Ally Rebate_Pipe Insulation_Steam Med Fitting_MF_2023</v>
      </c>
      <c r="D742" s="19" t="s">
        <v>1794</v>
      </c>
      <c r="E742" s="19" t="s">
        <v>2</v>
      </c>
      <c r="F742" s="19" t="s">
        <v>1422</v>
      </c>
      <c r="G742" s="19" t="s">
        <v>1799</v>
      </c>
      <c r="H742" s="19" t="s">
        <v>404</v>
      </c>
      <c r="I742" s="19" t="s">
        <v>962</v>
      </c>
      <c r="J742" s="19">
        <v>0</v>
      </c>
      <c r="K742" s="19" t="s">
        <v>553</v>
      </c>
      <c r="L742" s="19">
        <v>2023</v>
      </c>
      <c r="M742" s="20">
        <v>1</v>
      </c>
      <c r="N742" s="19" t="s">
        <v>1798</v>
      </c>
      <c r="O742" s="20">
        <v>170</v>
      </c>
      <c r="P742" s="20">
        <v>170</v>
      </c>
      <c r="Q742" s="20">
        <v>2977.9037127910156</v>
      </c>
      <c r="R742" s="21">
        <v>0.87</v>
      </c>
      <c r="S742" s="20">
        <v>2977.9037127910156</v>
      </c>
    </row>
    <row r="743" spans="2:19" ht="15" customHeight="1" x14ac:dyDescent="0.25">
      <c r="B743" s="2" t="str">
        <f t="shared" si="22"/>
        <v>PGL_Residential_Multi-Family_Partner Trade Ally Rebate_Pipe Insulation_Steam Med Fitting_MF</v>
      </c>
      <c r="C743" s="2" t="str">
        <f t="shared" si="23"/>
        <v>PGL_Residential_Multi-Family_Partner Trade Ally Rebate_Pipe Insulation_Steam Med Fitting_MF_2024</v>
      </c>
      <c r="D743" s="19" t="s">
        <v>1794</v>
      </c>
      <c r="E743" s="19" t="s">
        <v>2</v>
      </c>
      <c r="F743" s="19" t="s">
        <v>1422</v>
      </c>
      <c r="G743" s="19" t="s">
        <v>1799</v>
      </c>
      <c r="H743" s="19" t="s">
        <v>404</v>
      </c>
      <c r="I743" s="19" t="s">
        <v>962</v>
      </c>
      <c r="J743" s="19">
        <v>0</v>
      </c>
      <c r="K743" s="19" t="s">
        <v>553</v>
      </c>
      <c r="L743" s="19">
        <v>2024</v>
      </c>
      <c r="M743" s="20">
        <v>1</v>
      </c>
      <c r="N743" s="19" t="s">
        <v>1798</v>
      </c>
      <c r="O743" s="20">
        <v>150</v>
      </c>
      <c r="P743" s="20">
        <v>150</v>
      </c>
      <c r="Q743" s="20">
        <v>2627.5620995214845</v>
      </c>
      <c r="R743" s="21">
        <v>0.87</v>
      </c>
      <c r="S743" s="20">
        <v>2627.5620995214845</v>
      </c>
    </row>
    <row r="744" spans="2:19" ht="15" customHeight="1" x14ac:dyDescent="0.25">
      <c r="B744" s="2" t="str">
        <f t="shared" si="22"/>
        <v>PGL_Residential_Multi-Family_Partner Trade Ally Rebate_Pipe Insulation_Steam Med Fitting_MF</v>
      </c>
      <c r="C744" s="2" t="str">
        <f t="shared" si="23"/>
        <v>PGL_Residential_Multi-Family_Partner Trade Ally Rebate_Pipe Insulation_Steam Med Fitting_MF_2025</v>
      </c>
      <c r="D744" s="19" t="s">
        <v>1794</v>
      </c>
      <c r="E744" s="19" t="s">
        <v>2</v>
      </c>
      <c r="F744" s="19" t="s">
        <v>1422</v>
      </c>
      <c r="G744" s="19" t="s">
        <v>1799</v>
      </c>
      <c r="H744" s="19" t="s">
        <v>404</v>
      </c>
      <c r="I744" s="19" t="s">
        <v>962</v>
      </c>
      <c r="J744" s="19">
        <v>0</v>
      </c>
      <c r="K744" s="19" t="s">
        <v>553</v>
      </c>
      <c r="L744" s="19">
        <v>2025</v>
      </c>
      <c r="M744" s="20">
        <v>1</v>
      </c>
      <c r="N744" s="19" t="s">
        <v>1798</v>
      </c>
      <c r="O744" s="20">
        <v>110</v>
      </c>
      <c r="P744" s="20">
        <v>110</v>
      </c>
      <c r="Q744" s="20">
        <v>1926.8788729824219</v>
      </c>
      <c r="R744" s="21">
        <v>0.87</v>
      </c>
      <c r="S744" s="20">
        <v>1926.8788729824219</v>
      </c>
    </row>
    <row r="745" spans="2:19" ht="15" customHeight="1" x14ac:dyDescent="0.25">
      <c r="B745" s="2" t="str">
        <f t="shared" si="22"/>
        <v>PGL_Residential_Multi-Family_Partner Trade Ally Rebate_Pipe Insulation_Steam Large Fitting_MF</v>
      </c>
      <c r="C745" s="2" t="str">
        <f t="shared" si="23"/>
        <v>PGL_Residential_Multi-Family_Partner Trade Ally Rebate_Pipe Insulation_Steam Large Fitting_MF_2022</v>
      </c>
      <c r="D745" s="19" t="s">
        <v>1794</v>
      </c>
      <c r="E745" s="19" t="s">
        <v>2</v>
      </c>
      <c r="F745" s="19" t="s">
        <v>1422</v>
      </c>
      <c r="G745" s="19" t="s">
        <v>1799</v>
      </c>
      <c r="H745" s="19" t="s">
        <v>404</v>
      </c>
      <c r="I745" s="19" t="s">
        <v>963</v>
      </c>
      <c r="J745" s="19">
        <v>0</v>
      </c>
      <c r="K745" s="19" t="s">
        <v>553</v>
      </c>
      <c r="L745" s="19">
        <v>2022</v>
      </c>
      <c r="M745" s="20">
        <v>1</v>
      </c>
      <c r="N745" s="19" t="s">
        <v>1798</v>
      </c>
      <c r="O745" s="20">
        <v>143</v>
      </c>
      <c r="P745" s="20">
        <v>143</v>
      </c>
      <c r="Q745" s="20">
        <v>8246.4264329205998</v>
      </c>
      <c r="R745" s="21">
        <v>0.87</v>
      </c>
      <c r="S745" s="20">
        <v>8246.4264329205998</v>
      </c>
    </row>
    <row r="746" spans="2:19" ht="15" customHeight="1" x14ac:dyDescent="0.25">
      <c r="B746" s="2" t="str">
        <f t="shared" si="22"/>
        <v>PGL_Residential_Multi-Family_Partner Trade Ally Rebate_Pipe Insulation_Steam Large Fitting_MF</v>
      </c>
      <c r="C746" s="2" t="str">
        <f t="shared" si="23"/>
        <v>PGL_Residential_Multi-Family_Partner Trade Ally Rebate_Pipe Insulation_Steam Large Fitting_MF_2023</v>
      </c>
      <c r="D746" s="19" t="s">
        <v>1794</v>
      </c>
      <c r="E746" s="19" t="s">
        <v>2</v>
      </c>
      <c r="F746" s="19" t="s">
        <v>1422</v>
      </c>
      <c r="G746" s="19" t="s">
        <v>1799</v>
      </c>
      <c r="H746" s="19" t="s">
        <v>404</v>
      </c>
      <c r="I746" s="19" t="s">
        <v>963</v>
      </c>
      <c r="J746" s="19">
        <v>0</v>
      </c>
      <c r="K746" s="19" t="s">
        <v>553</v>
      </c>
      <c r="L746" s="19">
        <v>2023</v>
      </c>
      <c r="M746" s="20">
        <v>1</v>
      </c>
      <c r="N746" s="19" t="s">
        <v>1798</v>
      </c>
      <c r="O746" s="20">
        <v>128</v>
      </c>
      <c r="P746" s="20">
        <v>128</v>
      </c>
      <c r="Q746" s="20">
        <v>7381.4166672296278</v>
      </c>
      <c r="R746" s="21">
        <v>0.87</v>
      </c>
      <c r="S746" s="20">
        <v>7381.4166672296278</v>
      </c>
    </row>
    <row r="747" spans="2:19" ht="15" customHeight="1" x14ac:dyDescent="0.25">
      <c r="B747" s="2" t="str">
        <f t="shared" si="22"/>
        <v>PGL_Residential_Multi-Family_Partner Trade Ally Rebate_Pipe Insulation_Steam Large Fitting_MF</v>
      </c>
      <c r="C747" s="2" t="str">
        <f t="shared" si="23"/>
        <v>PGL_Residential_Multi-Family_Partner Trade Ally Rebate_Pipe Insulation_Steam Large Fitting_MF_2024</v>
      </c>
      <c r="D747" s="19" t="s">
        <v>1794</v>
      </c>
      <c r="E747" s="19" t="s">
        <v>2</v>
      </c>
      <c r="F747" s="19" t="s">
        <v>1422</v>
      </c>
      <c r="G747" s="19" t="s">
        <v>1799</v>
      </c>
      <c r="H747" s="19" t="s">
        <v>404</v>
      </c>
      <c r="I747" s="19" t="s">
        <v>963</v>
      </c>
      <c r="J747" s="19">
        <v>0</v>
      </c>
      <c r="K747" s="19" t="s">
        <v>553</v>
      </c>
      <c r="L747" s="19">
        <v>2024</v>
      </c>
      <c r="M747" s="20">
        <v>1</v>
      </c>
      <c r="N747" s="19" t="s">
        <v>1798</v>
      </c>
      <c r="O747" s="20">
        <v>113</v>
      </c>
      <c r="P747" s="20">
        <v>113</v>
      </c>
      <c r="Q747" s="20">
        <v>6516.4069015386558</v>
      </c>
      <c r="R747" s="21">
        <v>0.87</v>
      </c>
      <c r="S747" s="20">
        <v>6516.4069015386558</v>
      </c>
    </row>
    <row r="748" spans="2:19" ht="15" customHeight="1" x14ac:dyDescent="0.25">
      <c r="B748" s="2" t="str">
        <f t="shared" si="22"/>
        <v>PGL_Residential_Multi-Family_Partner Trade Ally Rebate_Pipe Insulation_Steam Large Fitting_MF</v>
      </c>
      <c r="C748" s="2" t="str">
        <f t="shared" si="23"/>
        <v>PGL_Residential_Multi-Family_Partner Trade Ally Rebate_Pipe Insulation_Steam Large Fitting_MF_2025</v>
      </c>
      <c r="D748" s="19" t="s">
        <v>1794</v>
      </c>
      <c r="E748" s="19" t="s">
        <v>2</v>
      </c>
      <c r="F748" s="19" t="s">
        <v>1422</v>
      </c>
      <c r="G748" s="19" t="s">
        <v>1799</v>
      </c>
      <c r="H748" s="19" t="s">
        <v>404</v>
      </c>
      <c r="I748" s="19" t="s">
        <v>963</v>
      </c>
      <c r="J748" s="19">
        <v>0</v>
      </c>
      <c r="K748" s="19" t="s">
        <v>553</v>
      </c>
      <c r="L748" s="19">
        <v>2025</v>
      </c>
      <c r="M748" s="20">
        <v>1</v>
      </c>
      <c r="N748" s="19" t="s">
        <v>1798</v>
      </c>
      <c r="O748" s="20">
        <v>83</v>
      </c>
      <c r="P748" s="20">
        <v>83</v>
      </c>
      <c r="Q748" s="20">
        <v>4786.3873701567118</v>
      </c>
      <c r="R748" s="21">
        <v>0.87</v>
      </c>
      <c r="S748" s="20">
        <v>4786.3873701567118</v>
      </c>
    </row>
    <row r="749" spans="2:19" ht="15" customHeight="1" x14ac:dyDescent="0.25">
      <c r="B749" s="2" t="str">
        <f t="shared" si="22"/>
        <v>PGL_Residential_Multi-Family_Partner Trade Ally Rebate_Pipe Insulation_Steam X-Large Fitting_MF</v>
      </c>
      <c r="C749" s="2" t="str">
        <f t="shared" si="23"/>
        <v>PGL_Residential_Multi-Family_Partner Trade Ally Rebate_Pipe Insulation_Steam X-Large Fitting_MF_2022</v>
      </c>
      <c r="D749" s="19" t="s">
        <v>1794</v>
      </c>
      <c r="E749" s="19" t="s">
        <v>2</v>
      </c>
      <c r="F749" s="19" t="s">
        <v>1422</v>
      </c>
      <c r="G749" s="19" t="s">
        <v>1799</v>
      </c>
      <c r="H749" s="19" t="s">
        <v>404</v>
      </c>
      <c r="I749" s="19" t="s">
        <v>964</v>
      </c>
      <c r="J749" s="19">
        <v>0</v>
      </c>
      <c r="K749" s="19" t="s">
        <v>553</v>
      </c>
      <c r="L749" s="19">
        <v>2022</v>
      </c>
      <c r="M749" s="20">
        <v>1</v>
      </c>
      <c r="N749" s="19" t="s">
        <v>1798</v>
      </c>
      <c r="O749" s="20">
        <v>48</v>
      </c>
      <c r="P749" s="20">
        <v>48</v>
      </c>
      <c r="Q749" s="20">
        <v>4755.9791099108634</v>
      </c>
      <c r="R749" s="21">
        <v>0.87</v>
      </c>
      <c r="S749" s="20">
        <v>4755.9791099108634</v>
      </c>
    </row>
    <row r="750" spans="2:19" ht="15" customHeight="1" x14ac:dyDescent="0.25">
      <c r="B750" s="2" t="str">
        <f t="shared" si="22"/>
        <v>PGL_Residential_Multi-Family_Partner Trade Ally Rebate_Pipe Insulation_Steam X-Large Fitting_MF</v>
      </c>
      <c r="C750" s="2" t="str">
        <f t="shared" si="23"/>
        <v>PGL_Residential_Multi-Family_Partner Trade Ally Rebate_Pipe Insulation_Steam X-Large Fitting_MF_2023</v>
      </c>
      <c r="D750" s="19" t="s">
        <v>1794</v>
      </c>
      <c r="E750" s="19" t="s">
        <v>2</v>
      </c>
      <c r="F750" s="19" t="s">
        <v>1422</v>
      </c>
      <c r="G750" s="19" t="s">
        <v>1799</v>
      </c>
      <c r="H750" s="19" t="s">
        <v>404</v>
      </c>
      <c r="I750" s="19" t="s">
        <v>964</v>
      </c>
      <c r="J750" s="19">
        <v>0</v>
      </c>
      <c r="K750" s="19" t="s">
        <v>553</v>
      </c>
      <c r="L750" s="19">
        <v>2023</v>
      </c>
      <c r="M750" s="20">
        <v>1</v>
      </c>
      <c r="N750" s="19" t="s">
        <v>1798</v>
      </c>
      <c r="O750" s="20">
        <v>43</v>
      </c>
      <c r="P750" s="20">
        <v>43</v>
      </c>
      <c r="Q750" s="20">
        <v>4260.564619295149</v>
      </c>
      <c r="R750" s="21">
        <v>0.87</v>
      </c>
      <c r="S750" s="20">
        <v>4260.564619295149</v>
      </c>
    </row>
    <row r="751" spans="2:19" ht="15" customHeight="1" x14ac:dyDescent="0.25">
      <c r="B751" s="2" t="str">
        <f t="shared" si="22"/>
        <v>PGL_Residential_Multi-Family_Partner Trade Ally Rebate_Pipe Insulation_Steam X-Large Fitting_MF</v>
      </c>
      <c r="C751" s="2" t="str">
        <f t="shared" si="23"/>
        <v>PGL_Residential_Multi-Family_Partner Trade Ally Rebate_Pipe Insulation_Steam X-Large Fitting_MF_2024</v>
      </c>
      <c r="D751" s="19" t="s">
        <v>1794</v>
      </c>
      <c r="E751" s="19" t="s">
        <v>2</v>
      </c>
      <c r="F751" s="19" t="s">
        <v>1422</v>
      </c>
      <c r="G751" s="19" t="s">
        <v>1799</v>
      </c>
      <c r="H751" s="19" t="s">
        <v>404</v>
      </c>
      <c r="I751" s="19" t="s">
        <v>964</v>
      </c>
      <c r="J751" s="19">
        <v>0</v>
      </c>
      <c r="K751" s="19" t="s">
        <v>553</v>
      </c>
      <c r="L751" s="19">
        <v>2024</v>
      </c>
      <c r="M751" s="20">
        <v>1</v>
      </c>
      <c r="N751" s="19" t="s">
        <v>1798</v>
      </c>
      <c r="O751" s="20">
        <v>38</v>
      </c>
      <c r="P751" s="20">
        <v>38</v>
      </c>
      <c r="Q751" s="20">
        <v>3765.1501286794337</v>
      </c>
      <c r="R751" s="21">
        <v>0.87</v>
      </c>
      <c r="S751" s="20">
        <v>3765.1501286794337</v>
      </c>
    </row>
    <row r="752" spans="2:19" ht="15" customHeight="1" x14ac:dyDescent="0.25">
      <c r="B752" s="2" t="str">
        <f t="shared" si="22"/>
        <v>PGL_Residential_Multi-Family_Partner Trade Ally Rebate_Pipe Insulation_Steam X-Large Fitting_MF</v>
      </c>
      <c r="C752" s="2" t="str">
        <f t="shared" si="23"/>
        <v>PGL_Residential_Multi-Family_Partner Trade Ally Rebate_Pipe Insulation_Steam X-Large Fitting_MF_2025</v>
      </c>
      <c r="D752" s="19" t="s">
        <v>1794</v>
      </c>
      <c r="E752" s="19" t="s">
        <v>2</v>
      </c>
      <c r="F752" s="19" t="s">
        <v>1422</v>
      </c>
      <c r="G752" s="19" t="s">
        <v>1799</v>
      </c>
      <c r="H752" s="19" t="s">
        <v>404</v>
      </c>
      <c r="I752" s="19" t="s">
        <v>964</v>
      </c>
      <c r="J752" s="19">
        <v>0</v>
      </c>
      <c r="K752" s="19" t="s">
        <v>553</v>
      </c>
      <c r="L752" s="19">
        <v>2025</v>
      </c>
      <c r="M752" s="20">
        <v>1</v>
      </c>
      <c r="N752" s="19" t="s">
        <v>1798</v>
      </c>
      <c r="O752" s="20">
        <v>28</v>
      </c>
      <c r="P752" s="20">
        <v>28</v>
      </c>
      <c r="Q752" s="20">
        <v>2774.321147448004</v>
      </c>
      <c r="R752" s="21">
        <v>0.87</v>
      </c>
      <c r="S752" s="20">
        <v>2774.321147448004</v>
      </c>
    </row>
    <row r="753" spans="2:19" ht="15" customHeight="1" x14ac:dyDescent="0.25">
      <c r="B753" s="2" t="str">
        <f t="shared" si="22"/>
        <v>PGL_Residential_Multi-Family_Partner Trade Ally Rebate_Pipe Insulation_Steam Med Valve_MF</v>
      </c>
      <c r="C753" s="2" t="str">
        <f t="shared" si="23"/>
        <v>PGL_Residential_Multi-Family_Partner Trade Ally Rebate_Pipe Insulation_Steam Med Valve_MF_2022</v>
      </c>
      <c r="D753" s="19" t="s">
        <v>1794</v>
      </c>
      <c r="E753" s="19" t="s">
        <v>2</v>
      </c>
      <c r="F753" s="19" t="s">
        <v>1422</v>
      </c>
      <c r="G753" s="19" t="s">
        <v>1799</v>
      </c>
      <c r="H753" s="19" t="s">
        <v>404</v>
      </c>
      <c r="I753" s="19" t="s">
        <v>966</v>
      </c>
      <c r="J753" s="19">
        <v>0</v>
      </c>
      <c r="K753" s="19" t="s">
        <v>553</v>
      </c>
      <c r="L753" s="19">
        <v>2022</v>
      </c>
      <c r="M753" s="20">
        <v>1</v>
      </c>
      <c r="N753" s="19" t="s">
        <v>1798</v>
      </c>
      <c r="O753" s="20">
        <v>19</v>
      </c>
      <c r="P753" s="20">
        <v>19</v>
      </c>
      <c r="Q753" s="20">
        <v>1123.4224433174231</v>
      </c>
      <c r="R753" s="21">
        <v>0.87</v>
      </c>
      <c r="S753" s="20">
        <v>1123.4224433174231</v>
      </c>
    </row>
    <row r="754" spans="2:19" ht="15" customHeight="1" x14ac:dyDescent="0.25">
      <c r="B754" s="2" t="str">
        <f t="shared" si="22"/>
        <v>PGL_Residential_Multi-Family_Partner Trade Ally Rebate_Pipe Insulation_Steam Med Valve_MF</v>
      </c>
      <c r="C754" s="2" t="str">
        <f t="shared" si="23"/>
        <v>PGL_Residential_Multi-Family_Partner Trade Ally Rebate_Pipe Insulation_Steam Med Valve_MF_2023</v>
      </c>
      <c r="D754" s="19" t="s">
        <v>1794</v>
      </c>
      <c r="E754" s="19" t="s">
        <v>2</v>
      </c>
      <c r="F754" s="19" t="s">
        <v>1422</v>
      </c>
      <c r="G754" s="19" t="s">
        <v>1799</v>
      </c>
      <c r="H754" s="19" t="s">
        <v>404</v>
      </c>
      <c r="I754" s="19" t="s">
        <v>966</v>
      </c>
      <c r="J754" s="19">
        <v>0</v>
      </c>
      <c r="K754" s="19" t="s">
        <v>553</v>
      </c>
      <c r="L754" s="19">
        <v>2023</v>
      </c>
      <c r="M754" s="20">
        <v>1</v>
      </c>
      <c r="N754" s="19" t="s">
        <v>1798</v>
      </c>
      <c r="O754" s="20">
        <v>17</v>
      </c>
      <c r="P754" s="20">
        <v>17</v>
      </c>
      <c r="Q754" s="20">
        <v>1005.1674492840101</v>
      </c>
      <c r="R754" s="21">
        <v>0.87</v>
      </c>
      <c r="S754" s="20">
        <v>1005.1674492840101</v>
      </c>
    </row>
    <row r="755" spans="2:19" ht="15" customHeight="1" x14ac:dyDescent="0.25">
      <c r="B755" s="2" t="str">
        <f t="shared" si="22"/>
        <v>PGL_Residential_Multi-Family_Partner Trade Ally Rebate_Pipe Insulation_Steam Med Valve_MF</v>
      </c>
      <c r="C755" s="2" t="str">
        <f t="shared" si="23"/>
        <v>PGL_Residential_Multi-Family_Partner Trade Ally Rebate_Pipe Insulation_Steam Med Valve_MF_2024</v>
      </c>
      <c r="D755" s="19" t="s">
        <v>1794</v>
      </c>
      <c r="E755" s="19" t="s">
        <v>2</v>
      </c>
      <c r="F755" s="19" t="s">
        <v>1422</v>
      </c>
      <c r="G755" s="19" t="s">
        <v>1799</v>
      </c>
      <c r="H755" s="19" t="s">
        <v>404</v>
      </c>
      <c r="I755" s="19" t="s">
        <v>966</v>
      </c>
      <c r="J755" s="19">
        <v>0</v>
      </c>
      <c r="K755" s="19" t="s">
        <v>553</v>
      </c>
      <c r="L755" s="19">
        <v>2024</v>
      </c>
      <c r="M755" s="20">
        <v>1</v>
      </c>
      <c r="N755" s="19" t="s">
        <v>1798</v>
      </c>
      <c r="O755" s="20">
        <v>15</v>
      </c>
      <c r="P755" s="20">
        <v>15</v>
      </c>
      <c r="Q755" s="20">
        <v>886.91245525059719</v>
      </c>
      <c r="R755" s="21">
        <v>0.87</v>
      </c>
      <c r="S755" s="20">
        <v>886.91245525059719</v>
      </c>
    </row>
    <row r="756" spans="2:19" ht="15" customHeight="1" x14ac:dyDescent="0.25">
      <c r="B756" s="2" t="str">
        <f t="shared" si="22"/>
        <v>PGL_Residential_Multi-Family_Partner Trade Ally Rebate_Pipe Insulation_Steam Med Valve_MF</v>
      </c>
      <c r="C756" s="2" t="str">
        <f t="shared" si="23"/>
        <v>PGL_Residential_Multi-Family_Partner Trade Ally Rebate_Pipe Insulation_Steam Med Valve_MF_2025</v>
      </c>
      <c r="D756" s="19" t="s">
        <v>1794</v>
      </c>
      <c r="E756" s="19" t="s">
        <v>2</v>
      </c>
      <c r="F756" s="19" t="s">
        <v>1422</v>
      </c>
      <c r="G756" s="19" t="s">
        <v>1799</v>
      </c>
      <c r="H756" s="19" t="s">
        <v>404</v>
      </c>
      <c r="I756" s="19" t="s">
        <v>966</v>
      </c>
      <c r="J756" s="19">
        <v>0</v>
      </c>
      <c r="K756" s="19" t="s">
        <v>553</v>
      </c>
      <c r="L756" s="19">
        <v>2025</v>
      </c>
      <c r="M756" s="20">
        <v>1</v>
      </c>
      <c r="N756" s="19" t="s">
        <v>1798</v>
      </c>
      <c r="O756" s="20">
        <v>11</v>
      </c>
      <c r="P756" s="20">
        <v>11</v>
      </c>
      <c r="Q756" s="20">
        <v>650.40246718377125</v>
      </c>
      <c r="R756" s="21">
        <v>0.87</v>
      </c>
      <c r="S756" s="20">
        <v>650.40246718377125</v>
      </c>
    </row>
    <row r="757" spans="2:19" ht="15" customHeight="1" x14ac:dyDescent="0.25">
      <c r="B757" s="2" t="str">
        <f t="shared" si="22"/>
        <v>PGL_Residential_Multi-Family_Partner Trade Ally Rebate_Pipe Insulation_Steam Large Valve_MF</v>
      </c>
      <c r="C757" s="2" t="str">
        <f t="shared" si="23"/>
        <v>PGL_Residential_Multi-Family_Partner Trade Ally Rebate_Pipe Insulation_Steam Large Valve_MF_2022</v>
      </c>
      <c r="D757" s="19" t="s">
        <v>1794</v>
      </c>
      <c r="E757" s="19" t="s">
        <v>2</v>
      </c>
      <c r="F757" s="19" t="s">
        <v>1422</v>
      </c>
      <c r="G757" s="19" t="s">
        <v>1799</v>
      </c>
      <c r="H757" s="19" t="s">
        <v>404</v>
      </c>
      <c r="I757" s="19" t="s">
        <v>967</v>
      </c>
      <c r="J757" s="19">
        <v>0</v>
      </c>
      <c r="K757" s="19" t="s">
        <v>553</v>
      </c>
      <c r="L757" s="19">
        <v>2022</v>
      </c>
      <c r="M757" s="20">
        <v>1</v>
      </c>
      <c r="N757" s="19" t="s">
        <v>1798</v>
      </c>
      <c r="O757" s="20">
        <v>7</v>
      </c>
      <c r="P757" s="20">
        <v>7</v>
      </c>
      <c r="Q757" s="20">
        <v>815.51059199333008</v>
      </c>
      <c r="R757" s="21">
        <v>0.87</v>
      </c>
      <c r="S757" s="20">
        <v>815.51059199333008</v>
      </c>
    </row>
    <row r="758" spans="2:19" ht="15" customHeight="1" x14ac:dyDescent="0.25">
      <c r="B758" s="2" t="str">
        <f t="shared" si="22"/>
        <v>PGL_Residential_Multi-Family_Partner Trade Ally Rebate_Pipe Insulation_Steam Large Valve_MF</v>
      </c>
      <c r="C758" s="2" t="str">
        <f t="shared" si="23"/>
        <v>PGL_Residential_Multi-Family_Partner Trade Ally Rebate_Pipe Insulation_Steam Large Valve_MF_2023</v>
      </c>
      <c r="D758" s="19" t="s">
        <v>1794</v>
      </c>
      <c r="E758" s="19" t="s">
        <v>2</v>
      </c>
      <c r="F758" s="19" t="s">
        <v>1422</v>
      </c>
      <c r="G758" s="19" t="s">
        <v>1799</v>
      </c>
      <c r="H758" s="19" t="s">
        <v>404</v>
      </c>
      <c r="I758" s="19" t="s">
        <v>967</v>
      </c>
      <c r="J758" s="19">
        <v>0</v>
      </c>
      <c r="K758" s="19" t="s">
        <v>553</v>
      </c>
      <c r="L758" s="19">
        <v>2023</v>
      </c>
      <c r="M758" s="20">
        <v>1</v>
      </c>
      <c r="N758" s="19" t="s">
        <v>1798</v>
      </c>
      <c r="O758" s="20">
        <v>6</v>
      </c>
      <c r="P758" s="20">
        <v>6</v>
      </c>
      <c r="Q758" s="20">
        <v>699.00907885142567</v>
      </c>
      <c r="R758" s="21">
        <v>0.87</v>
      </c>
      <c r="S758" s="20">
        <v>699.00907885142567</v>
      </c>
    </row>
    <row r="759" spans="2:19" ht="15" customHeight="1" x14ac:dyDescent="0.25">
      <c r="B759" s="2" t="str">
        <f t="shared" si="22"/>
        <v>PGL_Residential_Multi-Family_Partner Trade Ally Rebate_Pipe Insulation_Steam Large Valve_MF</v>
      </c>
      <c r="C759" s="2" t="str">
        <f t="shared" si="23"/>
        <v>PGL_Residential_Multi-Family_Partner Trade Ally Rebate_Pipe Insulation_Steam Large Valve_MF_2024</v>
      </c>
      <c r="D759" s="19" t="s">
        <v>1794</v>
      </c>
      <c r="E759" s="19" t="s">
        <v>2</v>
      </c>
      <c r="F759" s="19" t="s">
        <v>1422</v>
      </c>
      <c r="G759" s="19" t="s">
        <v>1799</v>
      </c>
      <c r="H759" s="19" t="s">
        <v>404</v>
      </c>
      <c r="I759" s="19" t="s">
        <v>967</v>
      </c>
      <c r="J759" s="19">
        <v>0</v>
      </c>
      <c r="K759" s="19" t="s">
        <v>553</v>
      </c>
      <c r="L759" s="19">
        <v>2024</v>
      </c>
      <c r="M759" s="20">
        <v>1</v>
      </c>
      <c r="N759" s="19" t="s">
        <v>1798</v>
      </c>
      <c r="O759" s="20">
        <v>5</v>
      </c>
      <c r="P759" s="20">
        <v>5</v>
      </c>
      <c r="Q759" s="20">
        <v>582.50756570952137</v>
      </c>
      <c r="R759" s="21">
        <v>0.87</v>
      </c>
      <c r="S759" s="20">
        <v>582.50756570952137</v>
      </c>
    </row>
    <row r="760" spans="2:19" ht="15" customHeight="1" x14ac:dyDescent="0.25">
      <c r="B760" s="2" t="str">
        <f t="shared" si="22"/>
        <v>PGL_Residential_Multi-Family_Partner Trade Ally Rebate_Pipe Insulation_Steam Large Valve_MF</v>
      </c>
      <c r="C760" s="2" t="str">
        <f t="shared" si="23"/>
        <v>PGL_Residential_Multi-Family_Partner Trade Ally Rebate_Pipe Insulation_Steam Large Valve_MF_2025</v>
      </c>
      <c r="D760" s="19" t="s">
        <v>1794</v>
      </c>
      <c r="E760" s="19" t="s">
        <v>2</v>
      </c>
      <c r="F760" s="19" t="s">
        <v>1422</v>
      </c>
      <c r="G760" s="19" t="s">
        <v>1799</v>
      </c>
      <c r="H760" s="19" t="s">
        <v>404</v>
      </c>
      <c r="I760" s="19" t="s">
        <v>967</v>
      </c>
      <c r="J760" s="19">
        <v>0</v>
      </c>
      <c r="K760" s="19" t="s">
        <v>553</v>
      </c>
      <c r="L760" s="19">
        <v>2025</v>
      </c>
      <c r="M760" s="20">
        <v>1</v>
      </c>
      <c r="N760" s="19" t="s">
        <v>1798</v>
      </c>
      <c r="O760" s="20">
        <v>4</v>
      </c>
      <c r="P760" s="20">
        <v>4</v>
      </c>
      <c r="Q760" s="20">
        <v>466.00605256761713</v>
      </c>
      <c r="R760" s="21">
        <v>0.87</v>
      </c>
      <c r="S760" s="20">
        <v>466.00605256761713</v>
      </c>
    </row>
    <row r="761" spans="2:19" ht="15" customHeight="1" x14ac:dyDescent="0.25">
      <c r="B761" s="2" t="str">
        <f t="shared" si="22"/>
        <v>PGL_Residential_Multi-Family_Partner Trade Ally Rebate_Pipe Insulation_Steam X-Large Valve_MF</v>
      </c>
      <c r="C761" s="2" t="str">
        <f t="shared" si="23"/>
        <v>PGL_Residential_Multi-Family_Partner Trade Ally Rebate_Pipe Insulation_Steam X-Large Valve_MF_2022</v>
      </c>
      <c r="D761" s="19" t="s">
        <v>1794</v>
      </c>
      <c r="E761" s="19" t="s">
        <v>2</v>
      </c>
      <c r="F761" s="19" t="s">
        <v>1422</v>
      </c>
      <c r="G761" s="19" t="s">
        <v>1799</v>
      </c>
      <c r="H761" s="19" t="s">
        <v>404</v>
      </c>
      <c r="I761" s="19" t="s">
        <v>968</v>
      </c>
      <c r="J761" s="19">
        <v>0</v>
      </c>
      <c r="K761" s="19" t="s">
        <v>553</v>
      </c>
      <c r="L761" s="19">
        <v>2022</v>
      </c>
      <c r="M761" s="20">
        <v>1</v>
      </c>
      <c r="N761" s="19" t="s">
        <v>1798</v>
      </c>
      <c r="O761" s="20">
        <v>6</v>
      </c>
      <c r="P761" s="20">
        <v>6</v>
      </c>
      <c r="Q761" s="20">
        <v>354.76498210023891</v>
      </c>
      <c r="R761" s="21">
        <v>0.87</v>
      </c>
      <c r="S761" s="20">
        <v>354.76498210023891</v>
      </c>
    </row>
    <row r="762" spans="2:19" ht="15" customHeight="1" x14ac:dyDescent="0.25">
      <c r="B762" s="2" t="str">
        <f t="shared" si="22"/>
        <v>PGL_Residential_Multi-Family_Partner Trade Ally Rebate_Pipe Insulation_Steam X-Large Valve_MF</v>
      </c>
      <c r="C762" s="2" t="str">
        <f t="shared" si="23"/>
        <v>PGL_Residential_Multi-Family_Partner Trade Ally Rebate_Pipe Insulation_Steam X-Large Valve_MF_2023</v>
      </c>
      <c r="D762" s="19" t="s">
        <v>1794</v>
      </c>
      <c r="E762" s="19" t="s">
        <v>2</v>
      </c>
      <c r="F762" s="19" t="s">
        <v>1422</v>
      </c>
      <c r="G762" s="19" t="s">
        <v>1799</v>
      </c>
      <c r="H762" s="19" t="s">
        <v>404</v>
      </c>
      <c r="I762" s="19" t="s">
        <v>968</v>
      </c>
      <c r="J762" s="19">
        <v>0</v>
      </c>
      <c r="K762" s="19" t="s">
        <v>553</v>
      </c>
      <c r="L762" s="19">
        <v>2023</v>
      </c>
      <c r="M762" s="20">
        <v>1</v>
      </c>
      <c r="N762" s="19" t="s">
        <v>1798</v>
      </c>
      <c r="O762" s="20">
        <v>5</v>
      </c>
      <c r="P762" s="20">
        <v>5</v>
      </c>
      <c r="Q762" s="20">
        <v>295.63748508353245</v>
      </c>
      <c r="R762" s="21">
        <v>0.87</v>
      </c>
      <c r="S762" s="20">
        <v>295.63748508353245</v>
      </c>
    </row>
    <row r="763" spans="2:19" ht="15" customHeight="1" x14ac:dyDescent="0.25">
      <c r="B763" s="2" t="str">
        <f t="shared" si="22"/>
        <v>PGL_Residential_Multi-Family_Partner Trade Ally Rebate_Pipe Insulation_Steam X-Large Valve_MF</v>
      </c>
      <c r="C763" s="2" t="str">
        <f t="shared" si="23"/>
        <v>PGL_Residential_Multi-Family_Partner Trade Ally Rebate_Pipe Insulation_Steam X-Large Valve_MF_2024</v>
      </c>
      <c r="D763" s="19" t="s">
        <v>1794</v>
      </c>
      <c r="E763" s="19" t="s">
        <v>2</v>
      </c>
      <c r="F763" s="19" t="s">
        <v>1422</v>
      </c>
      <c r="G763" s="19" t="s">
        <v>1799</v>
      </c>
      <c r="H763" s="19" t="s">
        <v>404</v>
      </c>
      <c r="I763" s="19" t="s">
        <v>968</v>
      </c>
      <c r="J763" s="19">
        <v>0</v>
      </c>
      <c r="K763" s="19" t="s">
        <v>553</v>
      </c>
      <c r="L763" s="19">
        <v>2024</v>
      </c>
      <c r="M763" s="20">
        <v>1</v>
      </c>
      <c r="N763" s="19" t="s">
        <v>1798</v>
      </c>
      <c r="O763" s="20">
        <v>5</v>
      </c>
      <c r="P763" s="20">
        <v>5</v>
      </c>
      <c r="Q763" s="20">
        <v>295.63748508353245</v>
      </c>
      <c r="R763" s="21">
        <v>0.87</v>
      </c>
      <c r="S763" s="20">
        <v>295.63748508353245</v>
      </c>
    </row>
    <row r="764" spans="2:19" ht="15" customHeight="1" x14ac:dyDescent="0.25">
      <c r="B764" s="2" t="str">
        <f t="shared" si="22"/>
        <v>PGL_Residential_Multi-Family_Partner Trade Ally Rebate_Pipe Insulation_Steam X-Large Valve_MF</v>
      </c>
      <c r="C764" s="2" t="str">
        <f t="shared" si="23"/>
        <v>PGL_Residential_Multi-Family_Partner Trade Ally Rebate_Pipe Insulation_Steam X-Large Valve_MF_2025</v>
      </c>
      <c r="D764" s="19" t="s">
        <v>1794</v>
      </c>
      <c r="E764" s="19" t="s">
        <v>2</v>
      </c>
      <c r="F764" s="19" t="s">
        <v>1422</v>
      </c>
      <c r="G764" s="19" t="s">
        <v>1799</v>
      </c>
      <c r="H764" s="19" t="s">
        <v>404</v>
      </c>
      <c r="I764" s="19" t="s">
        <v>968</v>
      </c>
      <c r="J764" s="19">
        <v>0</v>
      </c>
      <c r="K764" s="19" t="s">
        <v>553</v>
      </c>
      <c r="L764" s="19">
        <v>2025</v>
      </c>
      <c r="M764" s="20">
        <v>1</v>
      </c>
      <c r="N764" s="19" t="s">
        <v>1798</v>
      </c>
      <c r="O764" s="20">
        <v>3</v>
      </c>
      <c r="P764" s="20">
        <v>3</v>
      </c>
      <c r="Q764" s="20">
        <v>177.38249105011946</v>
      </c>
      <c r="R764" s="21">
        <v>0.87</v>
      </c>
      <c r="S764" s="20">
        <v>177.38249105011946</v>
      </c>
    </row>
    <row r="765" spans="2:19" ht="15" customHeight="1" x14ac:dyDescent="0.25">
      <c r="B765" s="2" t="str">
        <f t="shared" si="22"/>
        <v>PGL_Residential_Multi-Family_Partner Trade Ally Rebate_Steam Boiler_ &gt;=1500MBH, &gt;=82% TE_MF</v>
      </c>
      <c r="C765" s="2" t="str">
        <f t="shared" si="23"/>
        <v>PGL_Residential_Multi-Family_Partner Trade Ally Rebate_Steam Boiler_ &gt;=1500MBH, &gt;=82% TE_MF_2022</v>
      </c>
      <c r="D765" s="19" t="s">
        <v>1794</v>
      </c>
      <c r="E765" s="19" t="s">
        <v>2</v>
      </c>
      <c r="F765" s="19" t="s">
        <v>1422</v>
      </c>
      <c r="G765" s="19" t="s">
        <v>1799</v>
      </c>
      <c r="H765" s="19" t="s">
        <v>938</v>
      </c>
      <c r="I765" s="19" t="s">
        <v>939</v>
      </c>
      <c r="J765" s="19" t="s">
        <v>942</v>
      </c>
      <c r="K765" s="19" t="s">
        <v>553</v>
      </c>
      <c r="L765" s="19">
        <v>2022</v>
      </c>
      <c r="M765" s="20">
        <v>1500</v>
      </c>
      <c r="N765" s="19" t="s">
        <v>667</v>
      </c>
      <c r="O765" s="20">
        <v>31</v>
      </c>
      <c r="P765" s="20">
        <v>46500</v>
      </c>
      <c r="Q765" s="20">
        <v>34459.361538461468</v>
      </c>
      <c r="R765" s="21">
        <v>0.87</v>
      </c>
      <c r="S765" s="20">
        <v>34459.361538461468</v>
      </c>
    </row>
    <row r="766" spans="2:19" ht="15" customHeight="1" x14ac:dyDescent="0.25">
      <c r="B766" s="2" t="str">
        <f t="shared" si="22"/>
        <v>PGL_Residential_Multi-Family_Partner Trade Ally Rebate_Steam Boiler_ &gt;=1500MBH, &gt;=82% TE_MF</v>
      </c>
      <c r="C766" s="2" t="str">
        <f t="shared" si="23"/>
        <v>PGL_Residential_Multi-Family_Partner Trade Ally Rebate_Steam Boiler_ &gt;=1500MBH, &gt;=82% TE_MF_2023</v>
      </c>
      <c r="D766" s="19" t="s">
        <v>1794</v>
      </c>
      <c r="E766" s="19" t="s">
        <v>2</v>
      </c>
      <c r="F766" s="19" t="s">
        <v>1422</v>
      </c>
      <c r="G766" s="19" t="s">
        <v>1799</v>
      </c>
      <c r="H766" s="19" t="s">
        <v>938</v>
      </c>
      <c r="I766" s="19" t="s">
        <v>939</v>
      </c>
      <c r="J766" s="19" t="s">
        <v>942</v>
      </c>
      <c r="K766" s="19" t="s">
        <v>553</v>
      </c>
      <c r="L766" s="19">
        <v>2023</v>
      </c>
      <c r="M766" s="20">
        <v>1500</v>
      </c>
      <c r="N766" s="19" t="s">
        <v>667</v>
      </c>
      <c r="O766" s="20">
        <v>28</v>
      </c>
      <c r="P766" s="20">
        <v>42000</v>
      </c>
      <c r="Q766" s="20">
        <v>31124.584615384552</v>
      </c>
      <c r="R766" s="21">
        <v>0.87</v>
      </c>
      <c r="S766" s="20">
        <v>31124.584615384552</v>
      </c>
    </row>
    <row r="767" spans="2:19" ht="15" customHeight="1" x14ac:dyDescent="0.25">
      <c r="B767" s="2" t="str">
        <f t="shared" si="22"/>
        <v>PGL_Residential_Multi-Family_Partner Trade Ally Rebate_Steam Boiler_ &gt;=1500MBH, &gt;=82% TE_MF</v>
      </c>
      <c r="C767" s="2" t="str">
        <f t="shared" si="23"/>
        <v>PGL_Residential_Multi-Family_Partner Trade Ally Rebate_Steam Boiler_ &gt;=1500MBH, &gt;=82% TE_MF_2024</v>
      </c>
      <c r="D767" s="19" t="s">
        <v>1794</v>
      </c>
      <c r="E767" s="19" t="s">
        <v>2</v>
      </c>
      <c r="F767" s="19" t="s">
        <v>1422</v>
      </c>
      <c r="G767" s="19" t="s">
        <v>1799</v>
      </c>
      <c r="H767" s="19" t="s">
        <v>938</v>
      </c>
      <c r="I767" s="19" t="s">
        <v>939</v>
      </c>
      <c r="J767" s="19" t="s">
        <v>942</v>
      </c>
      <c r="K767" s="19" t="s">
        <v>553</v>
      </c>
      <c r="L767" s="19">
        <v>2024</v>
      </c>
      <c r="M767" s="20">
        <v>1500</v>
      </c>
      <c r="N767" s="19" t="s">
        <v>667</v>
      </c>
      <c r="O767" s="20">
        <v>25</v>
      </c>
      <c r="P767" s="20">
        <v>37500</v>
      </c>
      <c r="Q767" s="20">
        <v>27789.807692307637</v>
      </c>
      <c r="R767" s="21">
        <v>0.87</v>
      </c>
      <c r="S767" s="20">
        <v>27789.807692307637</v>
      </c>
    </row>
    <row r="768" spans="2:19" ht="15" customHeight="1" x14ac:dyDescent="0.25">
      <c r="B768" s="2" t="str">
        <f t="shared" si="22"/>
        <v>PGL_Residential_Multi-Family_Partner Trade Ally Rebate_Steam Boiler_ &gt;=1500MBH, &gt;=82% TE_MF</v>
      </c>
      <c r="C768" s="2" t="str">
        <f t="shared" si="23"/>
        <v>PGL_Residential_Multi-Family_Partner Trade Ally Rebate_Steam Boiler_ &gt;=1500MBH, &gt;=82% TE_MF_2025</v>
      </c>
      <c r="D768" s="19" t="s">
        <v>1794</v>
      </c>
      <c r="E768" s="19" t="s">
        <v>2</v>
      </c>
      <c r="F768" s="19" t="s">
        <v>1422</v>
      </c>
      <c r="G768" s="19" t="s">
        <v>1799</v>
      </c>
      <c r="H768" s="19" t="s">
        <v>938</v>
      </c>
      <c r="I768" s="19" t="s">
        <v>939</v>
      </c>
      <c r="J768" s="19" t="s">
        <v>942</v>
      </c>
      <c r="K768" s="19" t="s">
        <v>553</v>
      </c>
      <c r="L768" s="19">
        <v>2025</v>
      </c>
      <c r="M768" s="20">
        <v>1500</v>
      </c>
      <c r="N768" s="19" t="s">
        <v>667</v>
      </c>
      <c r="O768" s="20">
        <v>18</v>
      </c>
      <c r="P768" s="20">
        <v>27000</v>
      </c>
      <c r="Q768" s="20">
        <v>20008.661538461496</v>
      </c>
      <c r="R768" s="21">
        <v>0.87</v>
      </c>
      <c r="S768" s="20">
        <v>20008.661538461496</v>
      </c>
    </row>
    <row r="769" spans="2:19" ht="15" customHeight="1" x14ac:dyDescent="0.25">
      <c r="B769" s="2" t="str">
        <f t="shared" si="22"/>
        <v>PGL_Residential_Multi-Family_Partner Trade Ally Rebate_Steam Boiler_&gt;=300MBH, &lt;1,500, &gt;=81% AFUE_MF</v>
      </c>
      <c r="C769" s="2" t="str">
        <f t="shared" si="23"/>
        <v>PGL_Residential_Multi-Family_Partner Trade Ally Rebate_Steam Boiler_&gt;=300MBH, &lt;1,500, &gt;=81% AFUE_MF_2022</v>
      </c>
      <c r="D769" s="19" t="s">
        <v>1794</v>
      </c>
      <c r="E769" s="19" t="s">
        <v>2</v>
      </c>
      <c r="F769" s="19" t="s">
        <v>1422</v>
      </c>
      <c r="G769" s="19" t="s">
        <v>1799</v>
      </c>
      <c r="H769" s="19" t="s">
        <v>938</v>
      </c>
      <c r="I769" s="19" t="s">
        <v>1300</v>
      </c>
      <c r="J769" s="19" t="s">
        <v>942</v>
      </c>
      <c r="K769" s="19" t="s">
        <v>553</v>
      </c>
      <c r="L769" s="19">
        <v>2022</v>
      </c>
      <c r="M769" s="20">
        <v>500</v>
      </c>
      <c r="N769" s="19" t="s">
        <v>667</v>
      </c>
      <c r="O769" s="20">
        <v>0</v>
      </c>
      <c r="P769" s="20">
        <v>0</v>
      </c>
      <c r="Q769" s="20">
        <v>0</v>
      </c>
      <c r="R769" s="21">
        <v>0.87</v>
      </c>
      <c r="S769" s="20">
        <v>0</v>
      </c>
    </row>
    <row r="770" spans="2:19" ht="15" customHeight="1" x14ac:dyDescent="0.25">
      <c r="B770" s="2" t="str">
        <f t="shared" si="22"/>
        <v>PGL_Residential_Multi-Family_Partner Trade Ally Rebate_Steam Boiler_&gt;=300MBH, &lt;1,500, &gt;=81% AFUE_MF</v>
      </c>
      <c r="C770" s="2" t="str">
        <f t="shared" si="23"/>
        <v>PGL_Residential_Multi-Family_Partner Trade Ally Rebate_Steam Boiler_&gt;=300MBH, &lt;1,500, &gt;=81% AFUE_MF_2023</v>
      </c>
      <c r="D770" s="19" t="s">
        <v>1794</v>
      </c>
      <c r="E770" s="19" t="s">
        <v>2</v>
      </c>
      <c r="F770" s="19" t="s">
        <v>1422</v>
      </c>
      <c r="G770" s="19" t="s">
        <v>1799</v>
      </c>
      <c r="H770" s="19" t="s">
        <v>938</v>
      </c>
      <c r="I770" s="19" t="s">
        <v>1300</v>
      </c>
      <c r="J770" s="19" t="s">
        <v>942</v>
      </c>
      <c r="K770" s="19" t="s">
        <v>553</v>
      </c>
      <c r="L770" s="19">
        <v>2023</v>
      </c>
      <c r="M770" s="20">
        <v>500</v>
      </c>
      <c r="N770" s="19" t="s">
        <v>667</v>
      </c>
      <c r="O770" s="20">
        <v>0</v>
      </c>
      <c r="P770" s="20">
        <v>0</v>
      </c>
      <c r="Q770" s="20">
        <v>0</v>
      </c>
      <c r="R770" s="21">
        <v>0.87</v>
      </c>
      <c r="S770" s="20">
        <v>0</v>
      </c>
    </row>
    <row r="771" spans="2:19" ht="15" customHeight="1" x14ac:dyDescent="0.25">
      <c r="B771" s="2" t="str">
        <f t="shared" si="22"/>
        <v>PGL_Residential_Multi-Family_Partner Trade Ally Rebate_Steam Boiler_&gt;=300MBH, &lt;1,500, &gt;=81% AFUE_MF</v>
      </c>
      <c r="C771" s="2" t="str">
        <f t="shared" si="23"/>
        <v>PGL_Residential_Multi-Family_Partner Trade Ally Rebate_Steam Boiler_&gt;=300MBH, &lt;1,500, &gt;=81% AFUE_MF_2024</v>
      </c>
      <c r="D771" s="19" t="s">
        <v>1794</v>
      </c>
      <c r="E771" s="19" t="s">
        <v>2</v>
      </c>
      <c r="F771" s="19" t="s">
        <v>1422</v>
      </c>
      <c r="G771" s="19" t="s">
        <v>1799</v>
      </c>
      <c r="H771" s="19" t="s">
        <v>938</v>
      </c>
      <c r="I771" s="19" t="s">
        <v>1300</v>
      </c>
      <c r="J771" s="19" t="s">
        <v>942</v>
      </c>
      <c r="K771" s="19" t="s">
        <v>553</v>
      </c>
      <c r="L771" s="19">
        <v>2024</v>
      </c>
      <c r="M771" s="20">
        <v>500</v>
      </c>
      <c r="N771" s="19" t="s">
        <v>667</v>
      </c>
      <c r="O771" s="20">
        <v>0</v>
      </c>
      <c r="P771" s="20">
        <v>0</v>
      </c>
      <c r="Q771" s="20">
        <v>0</v>
      </c>
      <c r="R771" s="21">
        <v>0.87</v>
      </c>
      <c r="S771" s="20">
        <v>0</v>
      </c>
    </row>
    <row r="772" spans="2:19" ht="15" customHeight="1" x14ac:dyDescent="0.25">
      <c r="B772" s="2" t="str">
        <f t="shared" si="22"/>
        <v>PGL_Residential_Multi-Family_Partner Trade Ally Rebate_Steam Boiler_&gt;=300MBH, &lt;1,500, &gt;=81% AFUE_MF</v>
      </c>
      <c r="C772" s="2" t="str">
        <f t="shared" si="23"/>
        <v>PGL_Residential_Multi-Family_Partner Trade Ally Rebate_Steam Boiler_&gt;=300MBH, &lt;1,500, &gt;=81% AFUE_MF_2025</v>
      </c>
      <c r="D772" s="19" t="s">
        <v>1794</v>
      </c>
      <c r="E772" s="19" t="s">
        <v>2</v>
      </c>
      <c r="F772" s="19" t="s">
        <v>1422</v>
      </c>
      <c r="G772" s="19" t="s">
        <v>1799</v>
      </c>
      <c r="H772" s="19" t="s">
        <v>938</v>
      </c>
      <c r="I772" s="19" t="s">
        <v>1300</v>
      </c>
      <c r="J772" s="19" t="s">
        <v>942</v>
      </c>
      <c r="K772" s="19" t="s">
        <v>553</v>
      </c>
      <c r="L772" s="19">
        <v>2025</v>
      </c>
      <c r="M772" s="20">
        <v>500</v>
      </c>
      <c r="N772" s="19" t="s">
        <v>667</v>
      </c>
      <c r="O772" s="20">
        <v>0</v>
      </c>
      <c r="P772" s="20">
        <v>0</v>
      </c>
      <c r="Q772" s="20">
        <v>0</v>
      </c>
      <c r="R772" s="21">
        <v>0.87</v>
      </c>
      <c r="S772" s="20">
        <v>0</v>
      </c>
    </row>
    <row r="773" spans="2:19" ht="15" customHeight="1" x14ac:dyDescent="0.25">
      <c r="B773" s="2" t="str">
        <f t="shared" si="22"/>
        <v>PGL_Residential_Multi-Family_Partner Trade Ally Rebate_Steam Boiler Averaging Controls_0_MF</v>
      </c>
      <c r="C773" s="2" t="str">
        <f t="shared" si="23"/>
        <v>PGL_Residential_Multi-Family_Partner Trade Ally Rebate_Steam Boiler Averaging Controls_0_MF_2022</v>
      </c>
      <c r="D773" s="19" t="s">
        <v>1794</v>
      </c>
      <c r="E773" s="19" t="s">
        <v>2</v>
      </c>
      <c r="F773" s="19" t="s">
        <v>1422</v>
      </c>
      <c r="G773" s="19" t="s">
        <v>1799</v>
      </c>
      <c r="H773" s="19" t="s">
        <v>934</v>
      </c>
      <c r="I773" s="19">
        <v>0</v>
      </c>
      <c r="J773" s="19" t="s">
        <v>937</v>
      </c>
      <c r="K773" s="19" t="s">
        <v>553</v>
      </c>
      <c r="L773" s="19">
        <v>2022</v>
      </c>
      <c r="M773" s="20">
        <v>1</v>
      </c>
      <c r="N773" s="19" t="s">
        <v>1804</v>
      </c>
      <c r="O773" s="20">
        <v>950</v>
      </c>
      <c r="P773" s="20">
        <v>950</v>
      </c>
      <c r="Q773" s="20">
        <v>68640.824999999997</v>
      </c>
      <c r="R773" s="21">
        <v>0.87</v>
      </c>
      <c r="S773" s="20">
        <v>68640.824999999997</v>
      </c>
    </row>
    <row r="774" spans="2:19" ht="15" customHeight="1" x14ac:dyDescent="0.25">
      <c r="B774" s="2" t="str">
        <f t="shared" ref="B774:B837" si="24">D774&amp;"_"&amp;E774&amp;"_"&amp;F774&amp;"_"&amp;G774&amp;"_"&amp;H774&amp;"_"&amp;I774&amp;"_"&amp;K774</f>
        <v>PGL_Residential_Multi-Family_Partner Trade Ally Rebate_Steam Boiler Averaging Controls_0_MF</v>
      </c>
      <c r="C774" s="2" t="str">
        <f t="shared" ref="C774:C837" si="25">D774&amp;"_"&amp;E774&amp;"_"&amp;F774&amp;"_"&amp;G774&amp;"_"&amp;H774&amp;"_"&amp;I774&amp;"_"&amp;K774&amp;"_"&amp;L774</f>
        <v>PGL_Residential_Multi-Family_Partner Trade Ally Rebate_Steam Boiler Averaging Controls_0_MF_2023</v>
      </c>
      <c r="D774" s="19" t="s">
        <v>1794</v>
      </c>
      <c r="E774" s="19" t="s">
        <v>2</v>
      </c>
      <c r="F774" s="19" t="s">
        <v>1422</v>
      </c>
      <c r="G774" s="19" t="s">
        <v>1799</v>
      </c>
      <c r="H774" s="19" t="s">
        <v>934</v>
      </c>
      <c r="I774" s="19">
        <v>0</v>
      </c>
      <c r="J774" s="19" t="s">
        <v>937</v>
      </c>
      <c r="K774" s="19" t="s">
        <v>553</v>
      </c>
      <c r="L774" s="19">
        <v>2023</v>
      </c>
      <c r="M774" s="20">
        <v>1</v>
      </c>
      <c r="N774" s="19" t="s">
        <v>1804</v>
      </c>
      <c r="O774" s="20">
        <v>850</v>
      </c>
      <c r="P774" s="20">
        <v>850</v>
      </c>
      <c r="Q774" s="20">
        <v>61415.474999999999</v>
      </c>
      <c r="R774" s="21">
        <v>0.87</v>
      </c>
      <c r="S774" s="20">
        <v>61415.474999999999</v>
      </c>
    </row>
    <row r="775" spans="2:19" ht="15" customHeight="1" x14ac:dyDescent="0.25">
      <c r="B775" s="2" t="str">
        <f t="shared" si="24"/>
        <v>PGL_Residential_Multi-Family_Partner Trade Ally Rebate_Steam Boiler Averaging Controls_0_MF</v>
      </c>
      <c r="C775" s="2" t="str">
        <f t="shared" si="25"/>
        <v>PGL_Residential_Multi-Family_Partner Trade Ally Rebate_Steam Boiler Averaging Controls_0_MF_2024</v>
      </c>
      <c r="D775" s="19" t="s">
        <v>1794</v>
      </c>
      <c r="E775" s="19" t="s">
        <v>2</v>
      </c>
      <c r="F775" s="19" t="s">
        <v>1422</v>
      </c>
      <c r="G775" s="19" t="s">
        <v>1799</v>
      </c>
      <c r="H775" s="19" t="s">
        <v>934</v>
      </c>
      <c r="I775" s="19">
        <v>0</v>
      </c>
      <c r="J775" s="19" t="s">
        <v>937</v>
      </c>
      <c r="K775" s="19" t="s">
        <v>553</v>
      </c>
      <c r="L775" s="19">
        <v>2024</v>
      </c>
      <c r="M775" s="20">
        <v>1</v>
      </c>
      <c r="N775" s="19" t="s">
        <v>1804</v>
      </c>
      <c r="O775" s="20">
        <v>750</v>
      </c>
      <c r="P775" s="20">
        <v>750</v>
      </c>
      <c r="Q775" s="20">
        <v>54190.125</v>
      </c>
      <c r="R775" s="21">
        <v>0.87</v>
      </c>
      <c r="S775" s="20">
        <v>54190.125</v>
      </c>
    </row>
    <row r="776" spans="2:19" ht="15" customHeight="1" x14ac:dyDescent="0.25">
      <c r="B776" s="2" t="str">
        <f t="shared" si="24"/>
        <v>PGL_Residential_Multi-Family_Partner Trade Ally Rebate_Steam Boiler Averaging Controls_0_MF</v>
      </c>
      <c r="C776" s="2" t="str">
        <f t="shared" si="25"/>
        <v>PGL_Residential_Multi-Family_Partner Trade Ally Rebate_Steam Boiler Averaging Controls_0_MF_2025</v>
      </c>
      <c r="D776" s="19" t="s">
        <v>1794</v>
      </c>
      <c r="E776" s="19" t="s">
        <v>2</v>
      </c>
      <c r="F776" s="19" t="s">
        <v>1422</v>
      </c>
      <c r="G776" s="19" t="s">
        <v>1799</v>
      </c>
      <c r="H776" s="19" t="s">
        <v>934</v>
      </c>
      <c r="I776" s="19">
        <v>0</v>
      </c>
      <c r="J776" s="19" t="s">
        <v>937</v>
      </c>
      <c r="K776" s="19" t="s">
        <v>553</v>
      </c>
      <c r="L776" s="19">
        <v>2025</v>
      </c>
      <c r="M776" s="20">
        <v>1</v>
      </c>
      <c r="N776" s="19" t="s">
        <v>1804</v>
      </c>
      <c r="O776" s="20">
        <v>550</v>
      </c>
      <c r="P776" s="20">
        <v>550</v>
      </c>
      <c r="Q776" s="20">
        <v>39739.425000000003</v>
      </c>
      <c r="R776" s="21">
        <v>0.87</v>
      </c>
      <c r="S776" s="20">
        <v>39739.425000000003</v>
      </c>
    </row>
    <row r="777" spans="2:19" ht="15" customHeight="1" x14ac:dyDescent="0.25">
      <c r="B777" s="2" t="str">
        <f t="shared" si="24"/>
        <v>PGL_Residential_Multi-Family_Partner Trade Ally Rebate_Steam Traps_HVAC Repair/Rep - Audit_MF</v>
      </c>
      <c r="C777" s="2" t="str">
        <f t="shared" si="25"/>
        <v>PGL_Residential_Multi-Family_Partner Trade Ally Rebate_Steam Traps_HVAC Repair/Rep - Audit_MF_2022</v>
      </c>
      <c r="D777" s="19" t="s">
        <v>1794</v>
      </c>
      <c r="E777" s="19" t="s">
        <v>2</v>
      </c>
      <c r="F777" s="19" t="s">
        <v>1422</v>
      </c>
      <c r="G777" s="19" t="s">
        <v>1799</v>
      </c>
      <c r="H777" s="19" t="s">
        <v>644</v>
      </c>
      <c r="I777" s="19" t="s">
        <v>645</v>
      </c>
      <c r="J777" s="19" t="s">
        <v>37</v>
      </c>
      <c r="K777" s="19" t="s">
        <v>553</v>
      </c>
      <c r="L777" s="19">
        <v>2022</v>
      </c>
      <c r="M777" s="20">
        <v>1</v>
      </c>
      <c r="N777" s="19" t="s">
        <v>1798</v>
      </c>
      <c r="O777" s="20">
        <v>1140</v>
      </c>
      <c r="P777" s="20">
        <v>1140</v>
      </c>
      <c r="Q777" s="20">
        <v>156915.00345517177</v>
      </c>
      <c r="R777" s="21">
        <v>0.87</v>
      </c>
      <c r="S777" s="20">
        <v>156915.00345517177</v>
      </c>
    </row>
    <row r="778" spans="2:19" ht="15" customHeight="1" x14ac:dyDescent="0.25">
      <c r="B778" s="2" t="str">
        <f t="shared" si="24"/>
        <v>PGL_Residential_Multi-Family_Partner Trade Ally Rebate_Steam Traps_HVAC Repair/Rep - Audit_MF</v>
      </c>
      <c r="C778" s="2" t="str">
        <f t="shared" si="25"/>
        <v>PGL_Residential_Multi-Family_Partner Trade Ally Rebate_Steam Traps_HVAC Repair/Rep - Audit_MF_2023</v>
      </c>
      <c r="D778" s="19" t="s">
        <v>1794</v>
      </c>
      <c r="E778" s="19" t="s">
        <v>2</v>
      </c>
      <c r="F778" s="19" t="s">
        <v>1422</v>
      </c>
      <c r="G778" s="19" t="s">
        <v>1799</v>
      </c>
      <c r="H778" s="19" t="s">
        <v>644</v>
      </c>
      <c r="I778" s="19" t="s">
        <v>645</v>
      </c>
      <c r="J778" s="19" t="s">
        <v>37</v>
      </c>
      <c r="K778" s="19" t="s">
        <v>553</v>
      </c>
      <c r="L778" s="19">
        <v>2023</v>
      </c>
      <c r="M778" s="20">
        <v>1</v>
      </c>
      <c r="N778" s="19" t="s">
        <v>1798</v>
      </c>
      <c r="O778" s="20">
        <v>1020</v>
      </c>
      <c r="P778" s="20">
        <v>1020</v>
      </c>
      <c r="Q778" s="20">
        <v>140397.63467041682</v>
      </c>
      <c r="R778" s="21">
        <v>0.87</v>
      </c>
      <c r="S778" s="20">
        <v>140397.63467041682</v>
      </c>
    </row>
    <row r="779" spans="2:19" ht="15" customHeight="1" x14ac:dyDescent="0.25">
      <c r="B779" s="2" t="str">
        <f t="shared" si="24"/>
        <v>PGL_Residential_Multi-Family_Partner Trade Ally Rebate_Steam Traps_HVAC Repair/Rep - Audit_MF</v>
      </c>
      <c r="C779" s="2" t="str">
        <f t="shared" si="25"/>
        <v>PGL_Residential_Multi-Family_Partner Trade Ally Rebate_Steam Traps_HVAC Repair/Rep - Audit_MF_2024</v>
      </c>
      <c r="D779" s="19" t="s">
        <v>1794</v>
      </c>
      <c r="E779" s="19" t="s">
        <v>2</v>
      </c>
      <c r="F779" s="19" t="s">
        <v>1422</v>
      </c>
      <c r="G779" s="19" t="s">
        <v>1799</v>
      </c>
      <c r="H779" s="19" t="s">
        <v>644</v>
      </c>
      <c r="I779" s="19" t="s">
        <v>645</v>
      </c>
      <c r="J779" s="19" t="s">
        <v>37</v>
      </c>
      <c r="K779" s="19" t="s">
        <v>553</v>
      </c>
      <c r="L779" s="19">
        <v>2024</v>
      </c>
      <c r="M779" s="20">
        <v>1</v>
      </c>
      <c r="N779" s="19" t="s">
        <v>1798</v>
      </c>
      <c r="O779" s="20">
        <v>900</v>
      </c>
      <c r="P779" s="20">
        <v>900</v>
      </c>
      <c r="Q779" s="20">
        <v>123880.26588566191</v>
      </c>
      <c r="R779" s="21">
        <v>0.87</v>
      </c>
      <c r="S779" s="20">
        <v>123880.26588566191</v>
      </c>
    </row>
    <row r="780" spans="2:19" ht="15" customHeight="1" x14ac:dyDescent="0.25">
      <c r="B780" s="2" t="str">
        <f t="shared" si="24"/>
        <v>PGL_Residential_Multi-Family_Partner Trade Ally Rebate_Steam Traps_HVAC Repair/Rep - Audit_MF</v>
      </c>
      <c r="C780" s="2" t="str">
        <f t="shared" si="25"/>
        <v>PGL_Residential_Multi-Family_Partner Trade Ally Rebate_Steam Traps_HVAC Repair/Rep - Audit_MF_2025</v>
      </c>
      <c r="D780" s="19" t="s">
        <v>1794</v>
      </c>
      <c r="E780" s="19" t="s">
        <v>2</v>
      </c>
      <c r="F780" s="19" t="s">
        <v>1422</v>
      </c>
      <c r="G780" s="19" t="s">
        <v>1799</v>
      </c>
      <c r="H780" s="19" t="s">
        <v>644</v>
      </c>
      <c r="I780" s="19" t="s">
        <v>645</v>
      </c>
      <c r="J780" s="19" t="s">
        <v>37</v>
      </c>
      <c r="K780" s="19" t="s">
        <v>553</v>
      </c>
      <c r="L780" s="19">
        <v>2025</v>
      </c>
      <c r="M780" s="20">
        <v>1</v>
      </c>
      <c r="N780" s="19" t="s">
        <v>1798</v>
      </c>
      <c r="O780" s="20">
        <v>660</v>
      </c>
      <c r="P780" s="20">
        <v>660</v>
      </c>
      <c r="Q780" s="20">
        <v>90845.528316152064</v>
      </c>
      <c r="R780" s="21">
        <v>0.87</v>
      </c>
      <c r="S780" s="20">
        <v>90845.528316152064</v>
      </c>
    </row>
    <row r="781" spans="2:19" ht="15" customHeight="1" x14ac:dyDescent="0.25">
      <c r="B781" s="2" t="str">
        <f t="shared" si="24"/>
        <v>PGL_Residential_Multi-Family_Partner Trade Ally Rebate_Steam Traps_HVAC Repair/Rep - No Audit_MF</v>
      </c>
      <c r="C781" s="2" t="str">
        <f t="shared" si="25"/>
        <v>PGL_Residential_Multi-Family_Partner Trade Ally Rebate_Steam Traps_HVAC Repair/Rep - No Audit_MF_2022</v>
      </c>
      <c r="D781" s="19" t="s">
        <v>1794</v>
      </c>
      <c r="E781" s="19" t="s">
        <v>2</v>
      </c>
      <c r="F781" s="19" t="s">
        <v>1422</v>
      </c>
      <c r="G781" s="19" t="s">
        <v>1799</v>
      </c>
      <c r="H781" s="19" t="s">
        <v>644</v>
      </c>
      <c r="I781" s="19" t="s">
        <v>660</v>
      </c>
      <c r="J781" s="19" t="s">
        <v>37</v>
      </c>
      <c r="K781" s="19" t="s">
        <v>553</v>
      </c>
      <c r="L781" s="19">
        <v>2022</v>
      </c>
      <c r="M781" s="20">
        <v>1</v>
      </c>
      <c r="N781" s="19" t="s">
        <v>1798</v>
      </c>
      <c r="O781" s="20">
        <v>380</v>
      </c>
      <c r="P781" s="20">
        <v>380</v>
      </c>
      <c r="Q781" s="20">
        <v>14122.350310965459</v>
      </c>
      <c r="R781" s="21">
        <v>0.87</v>
      </c>
      <c r="S781" s="20">
        <v>14122.350310965459</v>
      </c>
    </row>
    <row r="782" spans="2:19" ht="15" customHeight="1" x14ac:dyDescent="0.25">
      <c r="B782" s="2" t="str">
        <f t="shared" si="24"/>
        <v>PGL_Residential_Multi-Family_Partner Trade Ally Rebate_Steam Traps_HVAC Repair/Rep - No Audit_MF</v>
      </c>
      <c r="C782" s="2" t="str">
        <f t="shared" si="25"/>
        <v>PGL_Residential_Multi-Family_Partner Trade Ally Rebate_Steam Traps_HVAC Repair/Rep - No Audit_MF_2023</v>
      </c>
      <c r="D782" s="19" t="s">
        <v>1794</v>
      </c>
      <c r="E782" s="19" t="s">
        <v>2</v>
      </c>
      <c r="F782" s="19" t="s">
        <v>1422</v>
      </c>
      <c r="G782" s="19" t="s">
        <v>1799</v>
      </c>
      <c r="H782" s="19" t="s">
        <v>644</v>
      </c>
      <c r="I782" s="19" t="s">
        <v>660</v>
      </c>
      <c r="J782" s="19" t="s">
        <v>37</v>
      </c>
      <c r="K782" s="19" t="s">
        <v>553</v>
      </c>
      <c r="L782" s="19">
        <v>2023</v>
      </c>
      <c r="M782" s="20">
        <v>1</v>
      </c>
      <c r="N782" s="19" t="s">
        <v>1798</v>
      </c>
      <c r="O782" s="20">
        <v>340</v>
      </c>
      <c r="P782" s="20">
        <v>340</v>
      </c>
      <c r="Q782" s="20">
        <v>12635.787120337516</v>
      </c>
      <c r="R782" s="21">
        <v>0.87</v>
      </c>
      <c r="S782" s="20">
        <v>12635.787120337516</v>
      </c>
    </row>
    <row r="783" spans="2:19" ht="15" customHeight="1" x14ac:dyDescent="0.25">
      <c r="B783" s="2" t="str">
        <f t="shared" si="24"/>
        <v>PGL_Residential_Multi-Family_Partner Trade Ally Rebate_Steam Traps_HVAC Repair/Rep - No Audit_MF</v>
      </c>
      <c r="C783" s="2" t="str">
        <f t="shared" si="25"/>
        <v>PGL_Residential_Multi-Family_Partner Trade Ally Rebate_Steam Traps_HVAC Repair/Rep - No Audit_MF_2024</v>
      </c>
      <c r="D783" s="19" t="s">
        <v>1794</v>
      </c>
      <c r="E783" s="19" t="s">
        <v>2</v>
      </c>
      <c r="F783" s="19" t="s">
        <v>1422</v>
      </c>
      <c r="G783" s="19" t="s">
        <v>1799</v>
      </c>
      <c r="H783" s="19" t="s">
        <v>644</v>
      </c>
      <c r="I783" s="19" t="s">
        <v>660</v>
      </c>
      <c r="J783" s="19" t="s">
        <v>37</v>
      </c>
      <c r="K783" s="19" t="s">
        <v>553</v>
      </c>
      <c r="L783" s="19">
        <v>2024</v>
      </c>
      <c r="M783" s="20">
        <v>1</v>
      </c>
      <c r="N783" s="19" t="s">
        <v>1798</v>
      </c>
      <c r="O783" s="20">
        <v>300</v>
      </c>
      <c r="P783" s="20">
        <v>300</v>
      </c>
      <c r="Q783" s="20">
        <v>11149.223929709573</v>
      </c>
      <c r="R783" s="21">
        <v>0.87</v>
      </c>
      <c r="S783" s="20">
        <v>11149.223929709573</v>
      </c>
    </row>
    <row r="784" spans="2:19" ht="15" customHeight="1" x14ac:dyDescent="0.25">
      <c r="B784" s="2" t="str">
        <f t="shared" si="24"/>
        <v>PGL_Residential_Multi-Family_Partner Trade Ally Rebate_Steam Traps_HVAC Repair/Rep - No Audit_MF</v>
      </c>
      <c r="C784" s="2" t="str">
        <f t="shared" si="25"/>
        <v>PGL_Residential_Multi-Family_Partner Trade Ally Rebate_Steam Traps_HVAC Repair/Rep - No Audit_MF_2025</v>
      </c>
      <c r="D784" s="19" t="s">
        <v>1794</v>
      </c>
      <c r="E784" s="19" t="s">
        <v>2</v>
      </c>
      <c r="F784" s="19" t="s">
        <v>1422</v>
      </c>
      <c r="G784" s="19" t="s">
        <v>1799</v>
      </c>
      <c r="H784" s="19" t="s">
        <v>644</v>
      </c>
      <c r="I784" s="19" t="s">
        <v>660</v>
      </c>
      <c r="J784" s="19" t="s">
        <v>37</v>
      </c>
      <c r="K784" s="19" t="s">
        <v>553</v>
      </c>
      <c r="L784" s="19">
        <v>2025</v>
      </c>
      <c r="M784" s="20">
        <v>1</v>
      </c>
      <c r="N784" s="19" t="s">
        <v>1798</v>
      </c>
      <c r="O784" s="20">
        <v>220</v>
      </c>
      <c r="P784" s="20">
        <v>220</v>
      </c>
      <c r="Q784" s="20">
        <v>8176.0975484536866</v>
      </c>
      <c r="R784" s="21">
        <v>0.87</v>
      </c>
      <c r="S784" s="20">
        <v>8176.0975484536866</v>
      </c>
    </row>
    <row r="785" spans="2:19" ht="15" customHeight="1" x14ac:dyDescent="0.25">
      <c r="B785" s="2" t="str">
        <f t="shared" si="24"/>
        <v>PGL_Residential_Multi-Family_Partner Trade Ally Rebate_Steam Traps_Industrial/Process Audit - psig ≤ 15_MF</v>
      </c>
      <c r="C785" s="2" t="str">
        <f t="shared" si="25"/>
        <v>PGL_Residential_Multi-Family_Partner Trade Ally Rebate_Steam Traps_Industrial/Process Audit - psig ≤ 15_MF_2022</v>
      </c>
      <c r="D785" s="19" t="s">
        <v>1794</v>
      </c>
      <c r="E785" s="19" t="s">
        <v>2</v>
      </c>
      <c r="F785" s="19" t="s">
        <v>1422</v>
      </c>
      <c r="G785" s="19" t="s">
        <v>1799</v>
      </c>
      <c r="H785" s="19" t="s">
        <v>644</v>
      </c>
      <c r="I785" s="19" t="s">
        <v>1383</v>
      </c>
      <c r="J785" s="19" t="s">
        <v>37</v>
      </c>
      <c r="K785" s="19" t="s">
        <v>553</v>
      </c>
      <c r="L785" s="19">
        <v>2022</v>
      </c>
      <c r="M785" s="20">
        <v>1</v>
      </c>
      <c r="N785" s="19" t="s">
        <v>1798</v>
      </c>
      <c r="O785" s="20">
        <v>0</v>
      </c>
      <c r="P785" s="20">
        <v>0</v>
      </c>
      <c r="Q785" s="20">
        <v>0</v>
      </c>
      <c r="R785" s="21">
        <v>0.87</v>
      </c>
      <c r="S785" s="20">
        <v>0</v>
      </c>
    </row>
    <row r="786" spans="2:19" ht="15" customHeight="1" x14ac:dyDescent="0.25">
      <c r="B786" s="2" t="str">
        <f t="shared" si="24"/>
        <v>PGL_Residential_Multi-Family_Partner Trade Ally Rebate_Steam Traps_Industrial/Process Audit - psig ≤ 15_MF</v>
      </c>
      <c r="C786" s="2" t="str">
        <f t="shared" si="25"/>
        <v>PGL_Residential_Multi-Family_Partner Trade Ally Rebate_Steam Traps_Industrial/Process Audit - psig ≤ 15_MF_2023</v>
      </c>
      <c r="D786" s="19" t="s">
        <v>1794</v>
      </c>
      <c r="E786" s="19" t="s">
        <v>2</v>
      </c>
      <c r="F786" s="19" t="s">
        <v>1422</v>
      </c>
      <c r="G786" s="19" t="s">
        <v>1799</v>
      </c>
      <c r="H786" s="19" t="s">
        <v>644</v>
      </c>
      <c r="I786" s="19" t="s">
        <v>1383</v>
      </c>
      <c r="J786" s="19" t="s">
        <v>37</v>
      </c>
      <c r="K786" s="19" t="s">
        <v>553</v>
      </c>
      <c r="L786" s="19">
        <v>2023</v>
      </c>
      <c r="M786" s="20">
        <v>1</v>
      </c>
      <c r="N786" s="19" t="s">
        <v>1798</v>
      </c>
      <c r="O786" s="20">
        <v>0</v>
      </c>
      <c r="P786" s="20">
        <v>0</v>
      </c>
      <c r="Q786" s="20">
        <v>0</v>
      </c>
      <c r="R786" s="21">
        <v>0.87</v>
      </c>
      <c r="S786" s="20">
        <v>0</v>
      </c>
    </row>
    <row r="787" spans="2:19" ht="15" customHeight="1" x14ac:dyDescent="0.25">
      <c r="B787" s="2" t="str">
        <f t="shared" si="24"/>
        <v>PGL_Residential_Multi-Family_Partner Trade Ally Rebate_Steam Traps_Industrial/Process Audit - psig ≤ 15_MF</v>
      </c>
      <c r="C787" s="2" t="str">
        <f t="shared" si="25"/>
        <v>PGL_Residential_Multi-Family_Partner Trade Ally Rebate_Steam Traps_Industrial/Process Audit - psig ≤ 15_MF_2024</v>
      </c>
      <c r="D787" s="19" t="s">
        <v>1794</v>
      </c>
      <c r="E787" s="19" t="s">
        <v>2</v>
      </c>
      <c r="F787" s="19" t="s">
        <v>1422</v>
      </c>
      <c r="G787" s="19" t="s">
        <v>1799</v>
      </c>
      <c r="H787" s="19" t="s">
        <v>644</v>
      </c>
      <c r="I787" s="19" t="s">
        <v>1383</v>
      </c>
      <c r="J787" s="19" t="s">
        <v>37</v>
      </c>
      <c r="K787" s="19" t="s">
        <v>553</v>
      </c>
      <c r="L787" s="19">
        <v>2024</v>
      </c>
      <c r="M787" s="20">
        <v>1</v>
      </c>
      <c r="N787" s="19" t="s">
        <v>1798</v>
      </c>
      <c r="O787" s="20">
        <v>0</v>
      </c>
      <c r="P787" s="20">
        <v>0</v>
      </c>
      <c r="Q787" s="20">
        <v>0</v>
      </c>
      <c r="R787" s="21">
        <v>0.87</v>
      </c>
      <c r="S787" s="20">
        <v>0</v>
      </c>
    </row>
    <row r="788" spans="2:19" ht="15" customHeight="1" x14ac:dyDescent="0.25">
      <c r="B788" s="2" t="str">
        <f t="shared" si="24"/>
        <v>PGL_Residential_Multi-Family_Partner Trade Ally Rebate_Steam Traps_Industrial/Process Audit - psig ≤ 15_MF</v>
      </c>
      <c r="C788" s="2" t="str">
        <f t="shared" si="25"/>
        <v>PGL_Residential_Multi-Family_Partner Trade Ally Rebate_Steam Traps_Industrial/Process Audit - psig ≤ 15_MF_2025</v>
      </c>
      <c r="D788" s="19" t="s">
        <v>1794</v>
      </c>
      <c r="E788" s="19" t="s">
        <v>2</v>
      </c>
      <c r="F788" s="19" t="s">
        <v>1422</v>
      </c>
      <c r="G788" s="19" t="s">
        <v>1799</v>
      </c>
      <c r="H788" s="19" t="s">
        <v>644</v>
      </c>
      <c r="I788" s="19" t="s">
        <v>1383</v>
      </c>
      <c r="J788" s="19" t="s">
        <v>37</v>
      </c>
      <c r="K788" s="19" t="s">
        <v>553</v>
      </c>
      <c r="L788" s="19">
        <v>2025</v>
      </c>
      <c r="M788" s="20">
        <v>1</v>
      </c>
      <c r="N788" s="19" t="s">
        <v>1798</v>
      </c>
      <c r="O788" s="20">
        <v>0</v>
      </c>
      <c r="P788" s="20">
        <v>0</v>
      </c>
      <c r="Q788" s="20">
        <v>0</v>
      </c>
      <c r="R788" s="21">
        <v>0.87</v>
      </c>
      <c r="S788" s="20">
        <v>0</v>
      </c>
    </row>
    <row r="789" spans="2:19" ht="15" customHeight="1" x14ac:dyDescent="0.25">
      <c r="B789" s="2" t="str">
        <f t="shared" si="24"/>
        <v>PGL_Residential_Multi-Family_Partner Trade Ally Rebate_Steam Traps_Industrial/Process Audit - 15 &lt; psig &lt; 30_MF</v>
      </c>
      <c r="C789" s="2" t="str">
        <f t="shared" si="25"/>
        <v>PGL_Residential_Multi-Family_Partner Trade Ally Rebate_Steam Traps_Industrial/Process Audit - 15 &lt; psig &lt; 30_MF_2022</v>
      </c>
      <c r="D789" s="19" t="s">
        <v>1794</v>
      </c>
      <c r="E789" s="19" t="s">
        <v>2</v>
      </c>
      <c r="F789" s="19" t="s">
        <v>1422</v>
      </c>
      <c r="G789" s="19" t="s">
        <v>1799</v>
      </c>
      <c r="H789" s="19" t="s">
        <v>644</v>
      </c>
      <c r="I789" s="19" t="s">
        <v>1384</v>
      </c>
      <c r="J789" s="19" t="s">
        <v>37</v>
      </c>
      <c r="K789" s="19" t="s">
        <v>553</v>
      </c>
      <c r="L789" s="19">
        <v>2022</v>
      </c>
      <c r="M789" s="20">
        <v>1</v>
      </c>
      <c r="N789" s="19" t="s">
        <v>1798</v>
      </c>
      <c r="O789" s="20">
        <v>0</v>
      </c>
      <c r="P789" s="20">
        <v>0</v>
      </c>
      <c r="Q789" s="20">
        <v>0</v>
      </c>
      <c r="R789" s="21">
        <v>0.87</v>
      </c>
      <c r="S789" s="20">
        <v>0</v>
      </c>
    </row>
    <row r="790" spans="2:19" ht="15" customHeight="1" x14ac:dyDescent="0.25">
      <c r="B790" s="2" t="str">
        <f t="shared" si="24"/>
        <v>PGL_Residential_Multi-Family_Partner Trade Ally Rebate_Steam Traps_Industrial/Process Audit - 15 &lt; psig &lt; 30_MF</v>
      </c>
      <c r="C790" s="2" t="str">
        <f t="shared" si="25"/>
        <v>PGL_Residential_Multi-Family_Partner Trade Ally Rebate_Steam Traps_Industrial/Process Audit - 15 &lt; psig &lt; 30_MF_2023</v>
      </c>
      <c r="D790" s="19" t="s">
        <v>1794</v>
      </c>
      <c r="E790" s="19" t="s">
        <v>2</v>
      </c>
      <c r="F790" s="19" t="s">
        <v>1422</v>
      </c>
      <c r="G790" s="19" t="s">
        <v>1799</v>
      </c>
      <c r="H790" s="19" t="s">
        <v>644</v>
      </c>
      <c r="I790" s="19" t="s">
        <v>1384</v>
      </c>
      <c r="J790" s="19" t="s">
        <v>37</v>
      </c>
      <c r="K790" s="19" t="s">
        <v>553</v>
      </c>
      <c r="L790" s="19">
        <v>2023</v>
      </c>
      <c r="M790" s="20">
        <v>1</v>
      </c>
      <c r="N790" s="19" t="s">
        <v>1798</v>
      </c>
      <c r="O790" s="20">
        <v>0</v>
      </c>
      <c r="P790" s="20">
        <v>0</v>
      </c>
      <c r="Q790" s="20">
        <v>0</v>
      </c>
      <c r="R790" s="21">
        <v>0.87</v>
      </c>
      <c r="S790" s="20">
        <v>0</v>
      </c>
    </row>
    <row r="791" spans="2:19" ht="15" customHeight="1" x14ac:dyDescent="0.25">
      <c r="B791" s="2" t="str">
        <f t="shared" si="24"/>
        <v>PGL_Residential_Multi-Family_Partner Trade Ally Rebate_Steam Traps_Industrial/Process Audit - 15 &lt; psig &lt; 30_MF</v>
      </c>
      <c r="C791" s="2" t="str">
        <f t="shared" si="25"/>
        <v>PGL_Residential_Multi-Family_Partner Trade Ally Rebate_Steam Traps_Industrial/Process Audit - 15 &lt; psig &lt; 30_MF_2024</v>
      </c>
      <c r="D791" s="19" t="s">
        <v>1794</v>
      </c>
      <c r="E791" s="19" t="s">
        <v>2</v>
      </c>
      <c r="F791" s="19" t="s">
        <v>1422</v>
      </c>
      <c r="G791" s="19" t="s">
        <v>1799</v>
      </c>
      <c r="H791" s="19" t="s">
        <v>644</v>
      </c>
      <c r="I791" s="19" t="s">
        <v>1384</v>
      </c>
      <c r="J791" s="19" t="s">
        <v>37</v>
      </c>
      <c r="K791" s="19" t="s">
        <v>553</v>
      </c>
      <c r="L791" s="19">
        <v>2024</v>
      </c>
      <c r="M791" s="20">
        <v>1</v>
      </c>
      <c r="N791" s="19" t="s">
        <v>1798</v>
      </c>
      <c r="O791" s="20">
        <v>0</v>
      </c>
      <c r="P791" s="20">
        <v>0</v>
      </c>
      <c r="Q791" s="20">
        <v>0</v>
      </c>
      <c r="R791" s="21">
        <v>0.87</v>
      </c>
      <c r="S791" s="20">
        <v>0</v>
      </c>
    </row>
    <row r="792" spans="2:19" ht="15" customHeight="1" x14ac:dyDescent="0.25">
      <c r="B792" s="2" t="str">
        <f t="shared" si="24"/>
        <v>PGL_Residential_Multi-Family_Partner Trade Ally Rebate_Steam Traps_Industrial/Process Audit - 15 &lt; psig &lt; 30_MF</v>
      </c>
      <c r="C792" s="2" t="str">
        <f t="shared" si="25"/>
        <v>PGL_Residential_Multi-Family_Partner Trade Ally Rebate_Steam Traps_Industrial/Process Audit - 15 &lt; psig &lt; 30_MF_2025</v>
      </c>
      <c r="D792" s="19" t="s">
        <v>1794</v>
      </c>
      <c r="E792" s="19" t="s">
        <v>2</v>
      </c>
      <c r="F792" s="19" t="s">
        <v>1422</v>
      </c>
      <c r="G792" s="19" t="s">
        <v>1799</v>
      </c>
      <c r="H792" s="19" t="s">
        <v>644</v>
      </c>
      <c r="I792" s="19" t="s">
        <v>1384</v>
      </c>
      <c r="J792" s="19" t="s">
        <v>37</v>
      </c>
      <c r="K792" s="19" t="s">
        <v>553</v>
      </c>
      <c r="L792" s="19">
        <v>2025</v>
      </c>
      <c r="M792" s="20">
        <v>1</v>
      </c>
      <c r="N792" s="19" t="s">
        <v>1798</v>
      </c>
      <c r="O792" s="20">
        <v>0</v>
      </c>
      <c r="P792" s="20">
        <v>0</v>
      </c>
      <c r="Q792" s="20">
        <v>0</v>
      </c>
      <c r="R792" s="21">
        <v>0.87</v>
      </c>
      <c r="S792" s="20">
        <v>0</v>
      </c>
    </row>
    <row r="793" spans="2:19" ht="15" customHeight="1" x14ac:dyDescent="0.25">
      <c r="B793" s="2" t="str">
        <f t="shared" si="24"/>
        <v>PGL_Residential_Multi-Family_Partner Trade Ally Rebate_Steam Traps_Industrial/Process Audit - 30 ≤ psig &lt; 75_MF</v>
      </c>
      <c r="C793" s="2" t="str">
        <f t="shared" si="25"/>
        <v>PGL_Residential_Multi-Family_Partner Trade Ally Rebate_Steam Traps_Industrial/Process Audit - 30 ≤ psig &lt; 75_MF_2022</v>
      </c>
      <c r="D793" s="19" t="s">
        <v>1794</v>
      </c>
      <c r="E793" s="19" t="s">
        <v>2</v>
      </c>
      <c r="F793" s="19" t="s">
        <v>1422</v>
      </c>
      <c r="G793" s="19" t="s">
        <v>1799</v>
      </c>
      <c r="H793" s="19" t="s">
        <v>644</v>
      </c>
      <c r="I793" s="19" t="s">
        <v>1385</v>
      </c>
      <c r="J793" s="19" t="s">
        <v>37</v>
      </c>
      <c r="K793" s="19" t="s">
        <v>553</v>
      </c>
      <c r="L793" s="19">
        <v>2022</v>
      </c>
      <c r="M793" s="20">
        <v>1</v>
      </c>
      <c r="N793" s="19" t="s">
        <v>1798</v>
      </c>
      <c r="O793" s="20">
        <v>0</v>
      </c>
      <c r="P793" s="20">
        <v>0</v>
      </c>
      <c r="Q793" s="20">
        <v>0</v>
      </c>
      <c r="R793" s="21">
        <v>0.87</v>
      </c>
      <c r="S793" s="20">
        <v>0</v>
      </c>
    </row>
    <row r="794" spans="2:19" ht="15" customHeight="1" x14ac:dyDescent="0.25">
      <c r="B794" s="2" t="str">
        <f t="shared" si="24"/>
        <v>PGL_Residential_Multi-Family_Partner Trade Ally Rebate_Steam Traps_Industrial/Process Audit - 30 ≤ psig &lt; 75_MF</v>
      </c>
      <c r="C794" s="2" t="str">
        <f t="shared" si="25"/>
        <v>PGL_Residential_Multi-Family_Partner Trade Ally Rebate_Steam Traps_Industrial/Process Audit - 30 ≤ psig &lt; 75_MF_2023</v>
      </c>
      <c r="D794" s="19" t="s">
        <v>1794</v>
      </c>
      <c r="E794" s="19" t="s">
        <v>2</v>
      </c>
      <c r="F794" s="19" t="s">
        <v>1422</v>
      </c>
      <c r="G794" s="19" t="s">
        <v>1799</v>
      </c>
      <c r="H794" s="19" t="s">
        <v>644</v>
      </c>
      <c r="I794" s="19" t="s">
        <v>1385</v>
      </c>
      <c r="J794" s="19" t="s">
        <v>37</v>
      </c>
      <c r="K794" s="19" t="s">
        <v>553</v>
      </c>
      <c r="L794" s="19">
        <v>2023</v>
      </c>
      <c r="M794" s="20">
        <v>1</v>
      </c>
      <c r="N794" s="19" t="s">
        <v>1798</v>
      </c>
      <c r="O794" s="20">
        <v>0</v>
      </c>
      <c r="P794" s="20">
        <v>0</v>
      </c>
      <c r="Q794" s="20">
        <v>0</v>
      </c>
      <c r="R794" s="21">
        <v>0.87</v>
      </c>
      <c r="S794" s="20">
        <v>0</v>
      </c>
    </row>
    <row r="795" spans="2:19" ht="15" customHeight="1" x14ac:dyDescent="0.25">
      <c r="B795" s="2" t="str">
        <f t="shared" si="24"/>
        <v>PGL_Residential_Multi-Family_Partner Trade Ally Rebate_Steam Traps_Industrial/Process Audit - 30 ≤ psig &lt; 75_MF</v>
      </c>
      <c r="C795" s="2" t="str">
        <f t="shared" si="25"/>
        <v>PGL_Residential_Multi-Family_Partner Trade Ally Rebate_Steam Traps_Industrial/Process Audit - 30 ≤ psig &lt; 75_MF_2024</v>
      </c>
      <c r="D795" s="19" t="s">
        <v>1794</v>
      </c>
      <c r="E795" s="19" t="s">
        <v>2</v>
      </c>
      <c r="F795" s="19" t="s">
        <v>1422</v>
      </c>
      <c r="G795" s="19" t="s">
        <v>1799</v>
      </c>
      <c r="H795" s="19" t="s">
        <v>644</v>
      </c>
      <c r="I795" s="19" t="s">
        <v>1385</v>
      </c>
      <c r="J795" s="19" t="s">
        <v>37</v>
      </c>
      <c r="K795" s="19" t="s">
        <v>553</v>
      </c>
      <c r="L795" s="19">
        <v>2024</v>
      </c>
      <c r="M795" s="20">
        <v>1</v>
      </c>
      <c r="N795" s="19" t="s">
        <v>1798</v>
      </c>
      <c r="O795" s="20">
        <v>0</v>
      </c>
      <c r="P795" s="20">
        <v>0</v>
      </c>
      <c r="Q795" s="20">
        <v>0</v>
      </c>
      <c r="R795" s="21">
        <v>0.87</v>
      </c>
      <c r="S795" s="20">
        <v>0</v>
      </c>
    </row>
    <row r="796" spans="2:19" ht="15" customHeight="1" x14ac:dyDescent="0.25">
      <c r="B796" s="2" t="str">
        <f t="shared" si="24"/>
        <v>PGL_Residential_Multi-Family_Partner Trade Ally Rebate_Steam Traps_Industrial/Process Audit - 30 ≤ psig &lt; 75_MF</v>
      </c>
      <c r="C796" s="2" t="str">
        <f t="shared" si="25"/>
        <v>PGL_Residential_Multi-Family_Partner Trade Ally Rebate_Steam Traps_Industrial/Process Audit - 30 ≤ psig &lt; 75_MF_2025</v>
      </c>
      <c r="D796" s="19" t="s">
        <v>1794</v>
      </c>
      <c r="E796" s="19" t="s">
        <v>2</v>
      </c>
      <c r="F796" s="19" t="s">
        <v>1422</v>
      </c>
      <c r="G796" s="19" t="s">
        <v>1799</v>
      </c>
      <c r="H796" s="19" t="s">
        <v>644</v>
      </c>
      <c r="I796" s="19" t="s">
        <v>1385</v>
      </c>
      <c r="J796" s="19" t="s">
        <v>37</v>
      </c>
      <c r="K796" s="19" t="s">
        <v>553</v>
      </c>
      <c r="L796" s="19">
        <v>2025</v>
      </c>
      <c r="M796" s="20">
        <v>1</v>
      </c>
      <c r="N796" s="19" t="s">
        <v>1798</v>
      </c>
      <c r="O796" s="20">
        <v>0</v>
      </c>
      <c r="P796" s="20">
        <v>0</v>
      </c>
      <c r="Q796" s="20">
        <v>0</v>
      </c>
      <c r="R796" s="21">
        <v>0.87</v>
      </c>
      <c r="S796" s="20">
        <v>0</v>
      </c>
    </row>
    <row r="797" spans="2:19" ht="15" customHeight="1" x14ac:dyDescent="0.25">
      <c r="B797" s="2" t="str">
        <f t="shared" si="24"/>
        <v>PGL_Residential_Multi-Family_Partner Trade Ally Rebate_Steam Traps_Industrial/Process Audit - 75 ≤ psig &lt; 125_MF</v>
      </c>
      <c r="C797" s="2" t="str">
        <f t="shared" si="25"/>
        <v>PGL_Residential_Multi-Family_Partner Trade Ally Rebate_Steam Traps_Industrial/Process Audit - 75 ≤ psig &lt; 125_MF_2022</v>
      </c>
      <c r="D797" s="19" t="s">
        <v>1794</v>
      </c>
      <c r="E797" s="19" t="s">
        <v>2</v>
      </c>
      <c r="F797" s="19" t="s">
        <v>1422</v>
      </c>
      <c r="G797" s="19" t="s">
        <v>1799</v>
      </c>
      <c r="H797" s="19" t="s">
        <v>644</v>
      </c>
      <c r="I797" s="19" t="s">
        <v>1386</v>
      </c>
      <c r="J797" s="19" t="s">
        <v>37</v>
      </c>
      <c r="K797" s="19" t="s">
        <v>553</v>
      </c>
      <c r="L797" s="19">
        <v>2022</v>
      </c>
      <c r="M797" s="20">
        <v>1</v>
      </c>
      <c r="N797" s="19" t="s">
        <v>1798</v>
      </c>
      <c r="O797" s="20">
        <v>0</v>
      </c>
      <c r="P797" s="20">
        <v>0</v>
      </c>
      <c r="Q797" s="20">
        <v>0</v>
      </c>
      <c r="R797" s="21">
        <v>0.87</v>
      </c>
      <c r="S797" s="20">
        <v>0</v>
      </c>
    </row>
    <row r="798" spans="2:19" ht="15" customHeight="1" x14ac:dyDescent="0.25">
      <c r="B798" s="2" t="str">
        <f t="shared" si="24"/>
        <v>PGL_Residential_Multi-Family_Partner Trade Ally Rebate_Steam Traps_Industrial/Process Audit - 75 ≤ psig &lt; 125_MF</v>
      </c>
      <c r="C798" s="2" t="str">
        <f t="shared" si="25"/>
        <v>PGL_Residential_Multi-Family_Partner Trade Ally Rebate_Steam Traps_Industrial/Process Audit - 75 ≤ psig &lt; 125_MF_2023</v>
      </c>
      <c r="D798" s="19" t="s">
        <v>1794</v>
      </c>
      <c r="E798" s="19" t="s">
        <v>2</v>
      </c>
      <c r="F798" s="19" t="s">
        <v>1422</v>
      </c>
      <c r="G798" s="19" t="s">
        <v>1799</v>
      </c>
      <c r="H798" s="19" t="s">
        <v>644</v>
      </c>
      <c r="I798" s="19" t="s">
        <v>1386</v>
      </c>
      <c r="J798" s="19" t="s">
        <v>37</v>
      </c>
      <c r="K798" s="19" t="s">
        <v>553</v>
      </c>
      <c r="L798" s="19">
        <v>2023</v>
      </c>
      <c r="M798" s="20">
        <v>1</v>
      </c>
      <c r="N798" s="19" t="s">
        <v>1798</v>
      </c>
      <c r="O798" s="20">
        <v>0</v>
      </c>
      <c r="P798" s="20">
        <v>0</v>
      </c>
      <c r="Q798" s="20">
        <v>0</v>
      </c>
      <c r="R798" s="21">
        <v>0.87</v>
      </c>
      <c r="S798" s="20">
        <v>0</v>
      </c>
    </row>
    <row r="799" spans="2:19" ht="15" customHeight="1" x14ac:dyDescent="0.25">
      <c r="B799" s="2" t="str">
        <f t="shared" si="24"/>
        <v>PGL_Residential_Multi-Family_Partner Trade Ally Rebate_Steam Traps_Industrial/Process Audit - 75 ≤ psig &lt; 125_MF</v>
      </c>
      <c r="C799" s="2" t="str">
        <f t="shared" si="25"/>
        <v>PGL_Residential_Multi-Family_Partner Trade Ally Rebate_Steam Traps_Industrial/Process Audit - 75 ≤ psig &lt; 125_MF_2024</v>
      </c>
      <c r="D799" s="19" t="s">
        <v>1794</v>
      </c>
      <c r="E799" s="19" t="s">
        <v>2</v>
      </c>
      <c r="F799" s="19" t="s">
        <v>1422</v>
      </c>
      <c r="G799" s="19" t="s">
        <v>1799</v>
      </c>
      <c r="H799" s="19" t="s">
        <v>644</v>
      </c>
      <c r="I799" s="19" t="s">
        <v>1386</v>
      </c>
      <c r="J799" s="19" t="s">
        <v>37</v>
      </c>
      <c r="K799" s="19" t="s">
        <v>553</v>
      </c>
      <c r="L799" s="19">
        <v>2024</v>
      </c>
      <c r="M799" s="20">
        <v>1</v>
      </c>
      <c r="N799" s="19" t="s">
        <v>1798</v>
      </c>
      <c r="O799" s="20">
        <v>0</v>
      </c>
      <c r="P799" s="20">
        <v>0</v>
      </c>
      <c r="Q799" s="20">
        <v>0</v>
      </c>
      <c r="R799" s="21">
        <v>0.87</v>
      </c>
      <c r="S799" s="20">
        <v>0</v>
      </c>
    </row>
    <row r="800" spans="2:19" ht="15" customHeight="1" x14ac:dyDescent="0.25">
      <c r="B800" s="2" t="str">
        <f t="shared" si="24"/>
        <v>PGL_Residential_Multi-Family_Partner Trade Ally Rebate_Steam Traps_Industrial/Process Audit - 75 ≤ psig &lt; 125_MF</v>
      </c>
      <c r="C800" s="2" t="str">
        <f t="shared" si="25"/>
        <v>PGL_Residential_Multi-Family_Partner Trade Ally Rebate_Steam Traps_Industrial/Process Audit - 75 ≤ psig &lt; 125_MF_2025</v>
      </c>
      <c r="D800" s="19" t="s">
        <v>1794</v>
      </c>
      <c r="E800" s="19" t="s">
        <v>2</v>
      </c>
      <c r="F800" s="19" t="s">
        <v>1422</v>
      </c>
      <c r="G800" s="19" t="s">
        <v>1799</v>
      </c>
      <c r="H800" s="19" t="s">
        <v>644</v>
      </c>
      <c r="I800" s="19" t="s">
        <v>1386</v>
      </c>
      <c r="J800" s="19" t="s">
        <v>37</v>
      </c>
      <c r="K800" s="19" t="s">
        <v>553</v>
      </c>
      <c r="L800" s="19">
        <v>2025</v>
      </c>
      <c r="M800" s="20">
        <v>1</v>
      </c>
      <c r="N800" s="19" t="s">
        <v>1798</v>
      </c>
      <c r="O800" s="20">
        <v>0</v>
      </c>
      <c r="P800" s="20">
        <v>0</v>
      </c>
      <c r="Q800" s="20">
        <v>0</v>
      </c>
      <c r="R800" s="21">
        <v>0.87</v>
      </c>
      <c r="S800" s="20">
        <v>0</v>
      </c>
    </row>
    <row r="801" spans="2:19" ht="15" customHeight="1" x14ac:dyDescent="0.25">
      <c r="B801" s="2" t="str">
        <f t="shared" si="24"/>
        <v>PGL_Residential_Multi-Family_Partner Trade Ally Rebate_Steam Traps_Industrial/Process Audit - 125 ≤ psig &lt; 175_MF</v>
      </c>
      <c r="C801" s="2" t="str">
        <f t="shared" si="25"/>
        <v>PGL_Residential_Multi-Family_Partner Trade Ally Rebate_Steam Traps_Industrial/Process Audit - 125 ≤ psig &lt; 175_MF_2022</v>
      </c>
      <c r="D801" s="19" t="s">
        <v>1794</v>
      </c>
      <c r="E801" s="19" t="s">
        <v>2</v>
      </c>
      <c r="F801" s="19" t="s">
        <v>1422</v>
      </c>
      <c r="G801" s="19" t="s">
        <v>1799</v>
      </c>
      <c r="H801" s="19" t="s">
        <v>644</v>
      </c>
      <c r="I801" s="19" t="s">
        <v>1374</v>
      </c>
      <c r="J801" s="19" t="s">
        <v>37</v>
      </c>
      <c r="K801" s="19" t="s">
        <v>553</v>
      </c>
      <c r="L801" s="19">
        <v>2022</v>
      </c>
      <c r="M801" s="20">
        <v>1</v>
      </c>
      <c r="N801" s="19" t="s">
        <v>1798</v>
      </c>
      <c r="O801" s="20">
        <v>0</v>
      </c>
      <c r="P801" s="20">
        <v>0</v>
      </c>
      <c r="Q801" s="20">
        <v>0</v>
      </c>
      <c r="R801" s="21">
        <v>0.87</v>
      </c>
      <c r="S801" s="20">
        <v>0</v>
      </c>
    </row>
    <row r="802" spans="2:19" ht="15" customHeight="1" x14ac:dyDescent="0.25">
      <c r="B802" s="2" t="str">
        <f t="shared" si="24"/>
        <v>PGL_Residential_Multi-Family_Partner Trade Ally Rebate_Steam Traps_Industrial/Process Audit - 125 ≤ psig &lt; 175_MF</v>
      </c>
      <c r="C802" s="2" t="str">
        <f t="shared" si="25"/>
        <v>PGL_Residential_Multi-Family_Partner Trade Ally Rebate_Steam Traps_Industrial/Process Audit - 125 ≤ psig &lt; 175_MF_2023</v>
      </c>
      <c r="D802" s="19" t="s">
        <v>1794</v>
      </c>
      <c r="E802" s="19" t="s">
        <v>2</v>
      </c>
      <c r="F802" s="19" t="s">
        <v>1422</v>
      </c>
      <c r="G802" s="19" t="s">
        <v>1799</v>
      </c>
      <c r="H802" s="19" t="s">
        <v>644</v>
      </c>
      <c r="I802" s="19" t="s">
        <v>1374</v>
      </c>
      <c r="J802" s="19" t="s">
        <v>37</v>
      </c>
      <c r="K802" s="19" t="s">
        <v>553</v>
      </c>
      <c r="L802" s="19">
        <v>2023</v>
      </c>
      <c r="M802" s="20">
        <v>1</v>
      </c>
      <c r="N802" s="19" t="s">
        <v>1798</v>
      </c>
      <c r="O802" s="20">
        <v>0</v>
      </c>
      <c r="P802" s="20">
        <v>0</v>
      </c>
      <c r="Q802" s="20">
        <v>0</v>
      </c>
      <c r="R802" s="21">
        <v>0.87</v>
      </c>
      <c r="S802" s="20">
        <v>0</v>
      </c>
    </row>
    <row r="803" spans="2:19" ht="15" customHeight="1" x14ac:dyDescent="0.25">
      <c r="B803" s="2" t="str">
        <f t="shared" si="24"/>
        <v>PGL_Residential_Multi-Family_Partner Trade Ally Rebate_Steam Traps_Industrial/Process Audit - 125 ≤ psig &lt; 175_MF</v>
      </c>
      <c r="C803" s="2" t="str">
        <f t="shared" si="25"/>
        <v>PGL_Residential_Multi-Family_Partner Trade Ally Rebate_Steam Traps_Industrial/Process Audit - 125 ≤ psig &lt; 175_MF_2024</v>
      </c>
      <c r="D803" s="19" t="s">
        <v>1794</v>
      </c>
      <c r="E803" s="19" t="s">
        <v>2</v>
      </c>
      <c r="F803" s="19" t="s">
        <v>1422</v>
      </c>
      <c r="G803" s="19" t="s">
        <v>1799</v>
      </c>
      <c r="H803" s="19" t="s">
        <v>644</v>
      </c>
      <c r="I803" s="19" t="s">
        <v>1374</v>
      </c>
      <c r="J803" s="19" t="s">
        <v>37</v>
      </c>
      <c r="K803" s="19" t="s">
        <v>553</v>
      </c>
      <c r="L803" s="19">
        <v>2024</v>
      </c>
      <c r="M803" s="20">
        <v>1</v>
      </c>
      <c r="N803" s="19" t="s">
        <v>1798</v>
      </c>
      <c r="O803" s="20">
        <v>0</v>
      </c>
      <c r="P803" s="20">
        <v>0</v>
      </c>
      <c r="Q803" s="20">
        <v>0</v>
      </c>
      <c r="R803" s="21">
        <v>0.87</v>
      </c>
      <c r="S803" s="20">
        <v>0</v>
      </c>
    </row>
    <row r="804" spans="2:19" ht="15" customHeight="1" x14ac:dyDescent="0.25">
      <c r="B804" s="2" t="str">
        <f t="shared" si="24"/>
        <v>PGL_Residential_Multi-Family_Partner Trade Ally Rebate_Steam Traps_Industrial/Process Audit - 125 ≤ psig &lt; 175_MF</v>
      </c>
      <c r="C804" s="2" t="str">
        <f t="shared" si="25"/>
        <v>PGL_Residential_Multi-Family_Partner Trade Ally Rebate_Steam Traps_Industrial/Process Audit - 125 ≤ psig &lt; 175_MF_2025</v>
      </c>
      <c r="D804" s="19" t="s">
        <v>1794</v>
      </c>
      <c r="E804" s="19" t="s">
        <v>2</v>
      </c>
      <c r="F804" s="19" t="s">
        <v>1422</v>
      </c>
      <c r="G804" s="19" t="s">
        <v>1799</v>
      </c>
      <c r="H804" s="19" t="s">
        <v>644</v>
      </c>
      <c r="I804" s="19" t="s">
        <v>1374</v>
      </c>
      <c r="J804" s="19" t="s">
        <v>37</v>
      </c>
      <c r="K804" s="19" t="s">
        <v>553</v>
      </c>
      <c r="L804" s="19">
        <v>2025</v>
      </c>
      <c r="M804" s="20">
        <v>1</v>
      </c>
      <c r="N804" s="19" t="s">
        <v>1798</v>
      </c>
      <c r="O804" s="20">
        <v>0</v>
      </c>
      <c r="P804" s="20">
        <v>0</v>
      </c>
      <c r="Q804" s="20">
        <v>0</v>
      </c>
      <c r="R804" s="21">
        <v>0.87</v>
      </c>
      <c r="S804" s="20">
        <v>0</v>
      </c>
    </row>
    <row r="805" spans="2:19" ht="15" customHeight="1" x14ac:dyDescent="0.25">
      <c r="B805" s="2" t="str">
        <f t="shared" si="24"/>
        <v>PGL_Residential_Multi-Family_Partner Trade Ally Rebate_Steam Traps_Industrial/Process Audit - 175 ≤ psig &lt; 250_MF</v>
      </c>
      <c r="C805" s="2" t="str">
        <f t="shared" si="25"/>
        <v>PGL_Residential_Multi-Family_Partner Trade Ally Rebate_Steam Traps_Industrial/Process Audit - 175 ≤ psig &lt; 250_MF_2022</v>
      </c>
      <c r="D805" s="19" t="s">
        <v>1794</v>
      </c>
      <c r="E805" s="19" t="s">
        <v>2</v>
      </c>
      <c r="F805" s="19" t="s">
        <v>1422</v>
      </c>
      <c r="G805" s="19" t="s">
        <v>1799</v>
      </c>
      <c r="H805" s="19" t="s">
        <v>644</v>
      </c>
      <c r="I805" s="19" t="s">
        <v>1375</v>
      </c>
      <c r="J805" s="19" t="s">
        <v>37</v>
      </c>
      <c r="K805" s="19" t="s">
        <v>553</v>
      </c>
      <c r="L805" s="19">
        <v>2022</v>
      </c>
      <c r="M805" s="20">
        <v>1</v>
      </c>
      <c r="N805" s="19" t="s">
        <v>1798</v>
      </c>
      <c r="O805" s="20">
        <v>0</v>
      </c>
      <c r="P805" s="20">
        <v>0</v>
      </c>
      <c r="Q805" s="20">
        <v>0</v>
      </c>
      <c r="R805" s="21">
        <v>0.87</v>
      </c>
      <c r="S805" s="20">
        <v>0</v>
      </c>
    </row>
    <row r="806" spans="2:19" ht="15" customHeight="1" x14ac:dyDescent="0.25">
      <c r="B806" s="2" t="str">
        <f t="shared" si="24"/>
        <v>PGL_Residential_Multi-Family_Partner Trade Ally Rebate_Steam Traps_Industrial/Process Audit - 175 ≤ psig &lt; 250_MF</v>
      </c>
      <c r="C806" s="2" t="str">
        <f t="shared" si="25"/>
        <v>PGL_Residential_Multi-Family_Partner Trade Ally Rebate_Steam Traps_Industrial/Process Audit - 175 ≤ psig &lt; 250_MF_2023</v>
      </c>
      <c r="D806" s="19" t="s">
        <v>1794</v>
      </c>
      <c r="E806" s="19" t="s">
        <v>2</v>
      </c>
      <c r="F806" s="19" t="s">
        <v>1422</v>
      </c>
      <c r="G806" s="19" t="s">
        <v>1799</v>
      </c>
      <c r="H806" s="19" t="s">
        <v>644</v>
      </c>
      <c r="I806" s="19" t="s">
        <v>1375</v>
      </c>
      <c r="J806" s="19" t="s">
        <v>37</v>
      </c>
      <c r="K806" s="19" t="s">
        <v>553</v>
      </c>
      <c r="L806" s="19">
        <v>2023</v>
      </c>
      <c r="M806" s="20">
        <v>1</v>
      </c>
      <c r="N806" s="19" t="s">
        <v>1798</v>
      </c>
      <c r="O806" s="20">
        <v>0</v>
      </c>
      <c r="P806" s="20">
        <v>0</v>
      </c>
      <c r="Q806" s="20">
        <v>0</v>
      </c>
      <c r="R806" s="21">
        <v>0.87</v>
      </c>
      <c r="S806" s="20">
        <v>0</v>
      </c>
    </row>
    <row r="807" spans="2:19" ht="15" customHeight="1" x14ac:dyDescent="0.25">
      <c r="B807" s="2" t="str">
        <f t="shared" si="24"/>
        <v>PGL_Residential_Multi-Family_Partner Trade Ally Rebate_Steam Traps_Industrial/Process Audit - 175 ≤ psig &lt; 250_MF</v>
      </c>
      <c r="C807" s="2" t="str">
        <f t="shared" si="25"/>
        <v>PGL_Residential_Multi-Family_Partner Trade Ally Rebate_Steam Traps_Industrial/Process Audit - 175 ≤ psig &lt; 250_MF_2024</v>
      </c>
      <c r="D807" s="19" t="s">
        <v>1794</v>
      </c>
      <c r="E807" s="19" t="s">
        <v>2</v>
      </c>
      <c r="F807" s="19" t="s">
        <v>1422</v>
      </c>
      <c r="G807" s="19" t="s">
        <v>1799</v>
      </c>
      <c r="H807" s="19" t="s">
        <v>644</v>
      </c>
      <c r="I807" s="19" t="s">
        <v>1375</v>
      </c>
      <c r="J807" s="19" t="s">
        <v>37</v>
      </c>
      <c r="K807" s="19" t="s">
        <v>553</v>
      </c>
      <c r="L807" s="19">
        <v>2024</v>
      </c>
      <c r="M807" s="20">
        <v>1</v>
      </c>
      <c r="N807" s="19" t="s">
        <v>1798</v>
      </c>
      <c r="O807" s="20">
        <v>0</v>
      </c>
      <c r="P807" s="20">
        <v>0</v>
      </c>
      <c r="Q807" s="20">
        <v>0</v>
      </c>
      <c r="R807" s="21">
        <v>0.87</v>
      </c>
      <c r="S807" s="20">
        <v>0</v>
      </c>
    </row>
    <row r="808" spans="2:19" ht="15" customHeight="1" x14ac:dyDescent="0.25">
      <c r="B808" s="2" t="str">
        <f t="shared" si="24"/>
        <v>PGL_Residential_Multi-Family_Partner Trade Ally Rebate_Steam Traps_Industrial/Process Audit - 175 ≤ psig &lt; 250_MF</v>
      </c>
      <c r="C808" s="2" t="str">
        <f t="shared" si="25"/>
        <v>PGL_Residential_Multi-Family_Partner Trade Ally Rebate_Steam Traps_Industrial/Process Audit - 175 ≤ psig &lt; 250_MF_2025</v>
      </c>
      <c r="D808" s="19" t="s">
        <v>1794</v>
      </c>
      <c r="E808" s="19" t="s">
        <v>2</v>
      </c>
      <c r="F808" s="19" t="s">
        <v>1422</v>
      </c>
      <c r="G808" s="19" t="s">
        <v>1799</v>
      </c>
      <c r="H808" s="19" t="s">
        <v>644</v>
      </c>
      <c r="I808" s="19" t="s">
        <v>1375</v>
      </c>
      <c r="J808" s="19" t="s">
        <v>37</v>
      </c>
      <c r="K808" s="19" t="s">
        <v>553</v>
      </c>
      <c r="L808" s="19">
        <v>2025</v>
      </c>
      <c r="M808" s="20">
        <v>1</v>
      </c>
      <c r="N808" s="19" t="s">
        <v>1798</v>
      </c>
      <c r="O808" s="20">
        <v>0</v>
      </c>
      <c r="P808" s="20">
        <v>0</v>
      </c>
      <c r="Q808" s="20">
        <v>0</v>
      </c>
      <c r="R808" s="21">
        <v>0.87</v>
      </c>
      <c r="S808" s="20">
        <v>0</v>
      </c>
    </row>
    <row r="809" spans="2:19" ht="15" customHeight="1" x14ac:dyDescent="0.25">
      <c r="B809" s="2" t="str">
        <f t="shared" si="24"/>
        <v>PGL_Residential_Multi-Family_Partner Trade Ally Rebate_Steam Traps_Industrial/Process Audit - 250 ≤ psig_MF</v>
      </c>
      <c r="C809" s="2" t="str">
        <f t="shared" si="25"/>
        <v>PGL_Residential_Multi-Family_Partner Trade Ally Rebate_Steam Traps_Industrial/Process Audit - 250 ≤ psig_MF_2022</v>
      </c>
      <c r="D809" s="19" t="s">
        <v>1794</v>
      </c>
      <c r="E809" s="19" t="s">
        <v>2</v>
      </c>
      <c r="F809" s="19" t="s">
        <v>1422</v>
      </c>
      <c r="G809" s="19" t="s">
        <v>1799</v>
      </c>
      <c r="H809" s="19" t="s">
        <v>644</v>
      </c>
      <c r="I809" s="19" t="s">
        <v>1376</v>
      </c>
      <c r="J809" s="19" t="s">
        <v>37</v>
      </c>
      <c r="K809" s="19" t="s">
        <v>553</v>
      </c>
      <c r="L809" s="19">
        <v>2022</v>
      </c>
      <c r="M809" s="20">
        <v>1</v>
      </c>
      <c r="N809" s="19" t="s">
        <v>1798</v>
      </c>
      <c r="O809" s="20">
        <v>0</v>
      </c>
      <c r="P809" s="20">
        <v>0</v>
      </c>
      <c r="Q809" s="20">
        <v>0</v>
      </c>
      <c r="R809" s="21">
        <v>0.87</v>
      </c>
      <c r="S809" s="20">
        <v>0</v>
      </c>
    </row>
    <row r="810" spans="2:19" ht="15" customHeight="1" x14ac:dyDescent="0.25">
      <c r="B810" s="2" t="str">
        <f t="shared" si="24"/>
        <v>PGL_Residential_Multi-Family_Partner Trade Ally Rebate_Steam Traps_Industrial/Process Audit - 250 ≤ psig_MF</v>
      </c>
      <c r="C810" s="2" t="str">
        <f t="shared" si="25"/>
        <v>PGL_Residential_Multi-Family_Partner Trade Ally Rebate_Steam Traps_Industrial/Process Audit - 250 ≤ psig_MF_2023</v>
      </c>
      <c r="D810" s="19" t="s">
        <v>1794</v>
      </c>
      <c r="E810" s="19" t="s">
        <v>2</v>
      </c>
      <c r="F810" s="19" t="s">
        <v>1422</v>
      </c>
      <c r="G810" s="19" t="s">
        <v>1799</v>
      </c>
      <c r="H810" s="19" t="s">
        <v>644</v>
      </c>
      <c r="I810" s="19" t="s">
        <v>1376</v>
      </c>
      <c r="J810" s="19" t="s">
        <v>37</v>
      </c>
      <c r="K810" s="19" t="s">
        <v>553</v>
      </c>
      <c r="L810" s="19">
        <v>2023</v>
      </c>
      <c r="M810" s="20">
        <v>1</v>
      </c>
      <c r="N810" s="19" t="s">
        <v>1798</v>
      </c>
      <c r="O810" s="20">
        <v>0</v>
      </c>
      <c r="P810" s="20">
        <v>0</v>
      </c>
      <c r="Q810" s="20">
        <v>0</v>
      </c>
      <c r="R810" s="21">
        <v>0.87</v>
      </c>
      <c r="S810" s="20">
        <v>0</v>
      </c>
    </row>
    <row r="811" spans="2:19" ht="15" customHeight="1" x14ac:dyDescent="0.25">
      <c r="B811" s="2" t="str">
        <f t="shared" si="24"/>
        <v>PGL_Residential_Multi-Family_Partner Trade Ally Rebate_Steam Traps_Industrial/Process Audit - 250 ≤ psig_MF</v>
      </c>
      <c r="C811" s="2" t="str">
        <f t="shared" si="25"/>
        <v>PGL_Residential_Multi-Family_Partner Trade Ally Rebate_Steam Traps_Industrial/Process Audit - 250 ≤ psig_MF_2024</v>
      </c>
      <c r="D811" s="19" t="s">
        <v>1794</v>
      </c>
      <c r="E811" s="19" t="s">
        <v>2</v>
      </c>
      <c r="F811" s="19" t="s">
        <v>1422</v>
      </c>
      <c r="G811" s="19" t="s">
        <v>1799</v>
      </c>
      <c r="H811" s="19" t="s">
        <v>644</v>
      </c>
      <c r="I811" s="19" t="s">
        <v>1376</v>
      </c>
      <c r="J811" s="19" t="s">
        <v>37</v>
      </c>
      <c r="K811" s="19" t="s">
        <v>553</v>
      </c>
      <c r="L811" s="19">
        <v>2024</v>
      </c>
      <c r="M811" s="20">
        <v>1</v>
      </c>
      <c r="N811" s="19" t="s">
        <v>1798</v>
      </c>
      <c r="O811" s="20">
        <v>0</v>
      </c>
      <c r="P811" s="20">
        <v>0</v>
      </c>
      <c r="Q811" s="20">
        <v>0</v>
      </c>
      <c r="R811" s="21">
        <v>0.87</v>
      </c>
      <c r="S811" s="20">
        <v>0</v>
      </c>
    </row>
    <row r="812" spans="2:19" ht="15" customHeight="1" x14ac:dyDescent="0.25">
      <c r="B812" s="2" t="str">
        <f t="shared" si="24"/>
        <v>PGL_Residential_Multi-Family_Partner Trade Ally Rebate_Steam Traps_Industrial/Process Audit - 250 ≤ psig_MF</v>
      </c>
      <c r="C812" s="2" t="str">
        <f t="shared" si="25"/>
        <v>PGL_Residential_Multi-Family_Partner Trade Ally Rebate_Steam Traps_Industrial/Process Audit - 250 ≤ psig_MF_2025</v>
      </c>
      <c r="D812" s="19" t="s">
        <v>1794</v>
      </c>
      <c r="E812" s="19" t="s">
        <v>2</v>
      </c>
      <c r="F812" s="19" t="s">
        <v>1422</v>
      </c>
      <c r="G812" s="19" t="s">
        <v>1799</v>
      </c>
      <c r="H812" s="19" t="s">
        <v>644</v>
      </c>
      <c r="I812" s="19" t="s">
        <v>1376</v>
      </c>
      <c r="J812" s="19" t="s">
        <v>37</v>
      </c>
      <c r="K812" s="19" t="s">
        <v>553</v>
      </c>
      <c r="L812" s="19">
        <v>2025</v>
      </c>
      <c r="M812" s="20">
        <v>1</v>
      </c>
      <c r="N812" s="19" t="s">
        <v>1798</v>
      </c>
      <c r="O812" s="20">
        <v>0</v>
      </c>
      <c r="P812" s="20">
        <v>0</v>
      </c>
      <c r="Q812" s="20">
        <v>0</v>
      </c>
      <c r="R812" s="21">
        <v>0.87</v>
      </c>
      <c r="S812" s="20">
        <v>0</v>
      </c>
    </row>
    <row r="813" spans="2:19" ht="15" customHeight="1" x14ac:dyDescent="0.25">
      <c r="B813" s="2" t="str">
        <f t="shared" si="24"/>
        <v>PGL_Residential_Multi-Family_Partner Trade Ally Rebate_Steam Traps_Test_MF</v>
      </c>
      <c r="C813" s="2" t="str">
        <f t="shared" si="25"/>
        <v>PGL_Residential_Multi-Family_Partner Trade Ally Rebate_Steam Traps_Test_MF_2022</v>
      </c>
      <c r="D813" s="19" t="s">
        <v>1794</v>
      </c>
      <c r="E813" s="19" t="s">
        <v>2</v>
      </c>
      <c r="F813" s="19" t="s">
        <v>1422</v>
      </c>
      <c r="G813" s="19" t="s">
        <v>1799</v>
      </c>
      <c r="H813" s="19" t="s">
        <v>644</v>
      </c>
      <c r="I813" s="19" t="s">
        <v>1097</v>
      </c>
      <c r="J813" s="19">
        <v>0</v>
      </c>
      <c r="K813" s="19" t="s">
        <v>553</v>
      </c>
      <c r="L813" s="19">
        <v>2022</v>
      </c>
      <c r="M813" s="20">
        <v>1</v>
      </c>
      <c r="N813" s="19" t="s">
        <v>1798</v>
      </c>
      <c r="O813" s="20">
        <v>38</v>
      </c>
      <c r="P813" s="20">
        <v>38</v>
      </c>
      <c r="Q813" s="20">
        <v>0</v>
      </c>
      <c r="R813" s="21">
        <v>0.87</v>
      </c>
      <c r="S813" s="20">
        <v>0</v>
      </c>
    </row>
    <row r="814" spans="2:19" ht="15" customHeight="1" x14ac:dyDescent="0.25">
      <c r="B814" s="2" t="str">
        <f t="shared" si="24"/>
        <v>PGL_Residential_Multi-Family_Partner Trade Ally Rebate_Steam Traps_Test_MF</v>
      </c>
      <c r="C814" s="2" t="str">
        <f t="shared" si="25"/>
        <v>PGL_Residential_Multi-Family_Partner Trade Ally Rebate_Steam Traps_Test_MF_2023</v>
      </c>
      <c r="D814" s="19" t="s">
        <v>1794</v>
      </c>
      <c r="E814" s="19" t="s">
        <v>2</v>
      </c>
      <c r="F814" s="19" t="s">
        <v>1422</v>
      </c>
      <c r="G814" s="19" t="s">
        <v>1799</v>
      </c>
      <c r="H814" s="19" t="s">
        <v>644</v>
      </c>
      <c r="I814" s="19" t="s">
        <v>1097</v>
      </c>
      <c r="J814" s="19">
        <v>0</v>
      </c>
      <c r="K814" s="19" t="s">
        <v>553</v>
      </c>
      <c r="L814" s="19">
        <v>2023</v>
      </c>
      <c r="M814" s="20">
        <v>1</v>
      </c>
      <c r="N814" s="19" t="s">
        <v>1798</v>
      </c>
      <c r="O814" s="20">
        <v>34</v>
      </c>
      <c r="P814" s="20">
        <v>34</v>
      </c>
      <c r="Q814" s="20">
        <v>0</v>
      </c>
      <c r="R814" s="21">
        <v>0.87</v>
      </c>
      <c r="S814" s="20">
        <v>0</v>
      </c>
    </row>
    <row r="815" spans="2:19" ht="15" customHeight="1" x14ac:dyDescent="0.25">
      <c r="B815" s="2" t="str">
        <f t="shared" si="24"/>
        <v>PGL_Residential_Multi-Family_Partner Trade Ally Rebate_Steam Traps_Test_MF</v>
      </c>
      <c r="C815" s="2" t="str">
        <f t="shared" si="25"/>
        <v>PGL_Residential_Multi-Family_Partner Trade Ally Rebate_Steam Traps_Test_MF_2024</v>
      </c>
      <c r="D815" s="19" t="s">
        <v>1794</v>
      </c>
      <c r="E815" s="19" t="s">
        <v>2</v>
      </c>
      <c r="F815" s="19" t="s">
        <v>1422</v>
      </c>
      <c r="G815" s="19" t="s">
        <v>1799</v>
      </c>
      <c r="H815" s="19" t="s">
        <v>644</v>
      </c>
      <c r="I815" s="19" t="s">
        <v>1097</v>
      </c>
      <c r="J815" s="19">
        <v>0</v>
      </c>
      <c r="K815" s="19" t="s">
        <v>553</v>
      </c>
      <c r="L815" s="19">
        <v>2024</v>
      </c>
      <c r="M815" s="20">
        <v>1</v>
      </c>
      <c r="N815" s="19" t="s">
        <v>1798</v>
      </c>
      <c r="O815" s="20">
        <v>30</v>
      </c>
      <c r="P815" s="20">
        <v>30</v>
      </c>
      <c r="Q815" s="20">
        <v>0</v>
      </c>
      <c r="R815" s="21">
        <v>0.87</v>
      </c>
      <c r="S815" s="20">
        <v>0</v>
      </c>
    </row>
    <row r="816" spans="2:19" ht="15" customHeight="1" x14ac:dyDescent="0.25">
      <c r="B816" s="2" t="str">
        <f t="shared" si="24"/>
        <v>PGL_Residential_Multi-Family_Partner Trade Ally Rebate_Steam Traps_Test_MF</v>
      </c>
      <c r="C816" s="2" t="str">
        <f t="shared" si="25"/>
        <v>PGL_Residential_Multi-Family_Partner Trade Ally Rebate_Steam Traps_Test_MF_2025</v>
      </c>
      <c r="D816" s="19" t="s">
        <v>1794</v>
      </c>
      <c r="E816" s="19" t="s">
        <v>2</v>
      </c>
      <c r="F816" s="19" t="s">
        <v>1422</v>
      </c>
      <c r="G816" s="19" t="s">
        <v>1799</v>
      </c>
      <c r="H816" s="19" t="s">
        <v>644</v>
      </c>
      <c r="I816" s="19" t="s">
        <v>1097</v>
      </c>
      <c r="J816" s="19">
        <v>0</v>
      </c>
      <c r="K816" s="19" t="s">
        <v>553</v>
      </c>
      <c r="L816" s="19">
        <v>2025</v>
      </c>
      <c r="M816" s="20">
        <v>1</v>
      </c>
      <c r="N816" s="19" t="s">
        <v>1798</v>
      </c>
      <c r="O816" s="20">
        <v>22</v>
      </c>
      <c r="P816" s="20">
        <v>22</v>
      </c>
      <c r="Q816" s="20">
        <v>0</v>
      </c>
      <c r="R816" s="21">
        <v>0.87</v>
      </c>
      <c r="S816" s="20">
        <v>0</v>
      </c>
    </row>
    <row r="817" spans="2:19" ht="15" customHeight="1" x14ac:dyDescent="0.25">
      <c r="B817" s="2" t="str">
        <f t="shared" si="24"/>
        <v>PGL_Residential_Multi-Family_Partner Trade Ally Rebate_Condensate Tank Insulation_0_MF/CI/SMB</v>
      </c>
      <c r="C817" s="2" t="str">
        <f t="shared" si="25"/>
        <v>PGL_Residential_Multi-Family_Partner Trade Ally Rebate_Condensate Tank Insulation_0_MF/CI/SMB_2022</v>
      </c>
      <c r="D817" s="19" t="s">
        <v>1794</v>
      </c>
      <c r="E817" s="19" t="s">
        <v>2</v>
      </c>
      <c r="F817" s="19" t="s">
        <v>1422</v>
      </c>
      <c r="G817" s="19" t="s">
        <v>1799</v>
      </c>
      <c r="H817" s="19" t="s">
        <v>806</v>
      </c>
      <c r="I817" s="19">
        <v>0</v>
      </c>
      <c r="J817" s="19" t="s">
        <v>810</v>
      </c>
      <c r="K817" s="19" t="s">
        <v>662</v>
      </c>
      <c r="L817" s="19">
        <v>2022</v>
      </c>
      <c r="M817" s="20">
        <v>550</v>
      </c>
      <c r="N817" s="19" t="s">
        <v>634</v>
      </c>
      <c r="O817" s="20">
        <v>1</v>
      </c>
      <c r="P817" s="20">
        <v>550</v>
      </c>
      <c r="Q817" s="20">
        <v>8013.0555227268187</v>
      </c>
      <c r="R817" s="21">
        <v>0.87</v>
      </c>
      <c r="S817" s="20">
        <v>8013.0555227268187</v>
      </c>
    </row>
    <row r="818" spans="2:19" ht="15" customHeight="1" x14ac:dyDescent="0.25">
      <c r="B818" s="2" t="str">
        <f t="shared" si="24"/>
        <v>PGL_Residential_Multi-Family_Partner Trade Ally Rebate_Condensate Tank Insulation_0_MF/CI/SMB</v>
      </c>
      <c r="C818" s="2" t="str">
        <f t="shared" si="25"/>
        <v>PGL_Residential_Multi-Family_Partner Trade Ally Rebate_Condensate Tank Insulation_0_MF/CI/SMB_2023</v>
      </c>
      <c r="D818" s="19" t="s">
        <v>1794</v>
      </c>
      <c r="E818" s="19" t="s">
        <v>2</v>
      </c>
      <c r="F818" s="19" t="s">
        <v>1422</v>
      </c>
      <c r="G818" s="19" t="s">
        <v>1799</v>
      </c>
      <c r="H818" s="19" t="s">
        <v>806</v>
      </c>
      <c r="I818" s="19">
        <v>0</v>
      </c>
      <c r="J818" s="19" t="s">
        <v>810</v>
      </c>
      <c r="K818" s="19" t="s">
        <v>662</v>
      </c>
      <c r="L818" s="19">
        <v>2023</v>
      </c>
      <c r="M818" s="20">
        <v>550</v>
      </c>
      <c r="N818" s="19" t="s">
        <v>634</v>
      </c>
      <c r="O818" s="20">
        <v>1</v>
      </c>
      <c r="P818" s="20">
        <v>550</v>
      </c>
      <c r="Q818" s="20">
        <v>8013.0555227268187</v>
      </c>
      <c r="R818" s="21">
        <v>0.87</v>
      </c>
      <c r="S818" s="20">
        <v>8013.0555227268187</v>
      </c>
    </row>
    <row r="819" spans="2:19" ht="15" customHeight="1" x14ac:dyDescent="0.25">
      <c r="B819" s="2" t="str">
        <f t="shared" si="24"/>
        <v>PGL_Residential_Multi-Family_Partner Trade Ally Rebate_Condensate Tank Insulation_0_MF/CI/SMB</v>
      </c>
      <c r="C819" s="2" t="str">
        <f t="shared" si="25"/>
        <v>PGL_Residential_Multi-Family_Partner Trade Ally Rebate_Condensate Tank Insulation_0_MF/CI/SMB_2024</v>
      </c>
      <c r="D819" s="19" t="s">
        <v>1794</v>
      </c>
      <c r="E819" s="19" t="s">
        <v>2</v>
      </c>
      <c r="F819" s="19" t="s">
        <v>1422</v>
      </c>
      <c r="G819" s="19" t="s">
        <v>1799</v>
      </c>
      <c r="H819" s="19" t="s">
        <v>806</v>
      </c>
      <c r="I819" s="19">
        <v>0</v>
      </c>
      <c r="J819" s="19" t="s">
        <v>810</v>
      </c>
      <c r="K819" s="19" t="s">
        <v>662</v>
      </c>
      <c r="L819" s="19">
        <v>2024</v>
      </c>
      <c r="M819" s="20">
        <v>550</v>
      </c>
      <c r="N819" s="19" t="s">
        <v>634</v>
      </c>
      <c r="O819" s="20">
        <v>1</v>
      </c>
      <c r="P819" s="20">
        <v>550</v>
      </c>
      <c r="Q819" s="20">
        <v>8013.0555227268187</v>
      </c>
      <c r="R819" s="21">
        <v>0.87</v>
      </c>
      <c r="S819" s="20">
        <v>8013.0555227268187</v>
      </c>
    </row>
    <row r="820" spans="2:19" ht="15" customHeight="1" x14ac:dyDescent="0.25">
      <c r="B820" s="2" t="str">
        <f t="shared" si="24"/>
        <v>PGL_Residential_Multi-Family_Partner Trade Ally Rebate_Condensate Tank Insulation_0_MF/CI/SMB</v>
      </c>
      <c r="C820" s="2" t="str">
        <f t="shared" si="25"/>
        <v>PGL_Residential_Multi-Family_Partner Trade Ally Rebate_Condensate Tank Insulation_0_MF/CI/SMB_2025</v>
      </c>
      <c r="D820" s="19" t="s">
        <v>1794</v>
      </c>
      <c r="E820" s="19" t="s">
        <v>2</v>
      </c>
      <c r="F820" s="19" t="s">
        <v>1422</v>
      </c>
      <c r="G820" s="19" t="s">
        <v>1799</v>
      </c>
      <c r="H820" s="19" t="s">
        <v>806</v>
      </c>
      <c r="I820" s="19">
        <v>0</v>
      </c>
      <c r="J820" s="19" t="s">
        <v>810</v>
      </c>
      <c r="K820" s="19" t="s">
        <v>662</v>
      </c>
      <c r="L820" s="19">
        <v>2025</v>
      </c>
      <c r="M820" s="20">
        <v>550</v>
      </c>
      <c r="N820" s="19" t="s">
        <v>634</v>
      </c>
      <c r="O820" s="20">
        <v>1</v>
      </c>
      <c r="P820" s="20">
        <v>550</v>
      </c>
      <c r="Q820" s="20">
        <v>8013.0555227268187</v>
      </c>
      <c r="R820" s="21">
        <v>0.87</v>
      </c>
      <c r="S820" s="20">
        <v>8013.0555227268187</v>
      </c>
    </row>
    <row r="821" spans="2:19" ht="15" customHeight="1" x14ac:dyDescent="0.25">
      <c r="B821" s="2" t="str">
        <f t="shared" si="24"/>
        <v>PGL_Residential_Multi-Family_Partner Trade Ally Rebate_DHW Storage Tank Insulation_0_MF/CI/SMB</v>
      </c>
      <c r="C821" s="2" t="str">
        <f t="shared" si="25"/>
        <v>PGL_Residential_Multi-Family_Partner Trade Ally Rebate_DHW Storage Tank Insulation_0_MF/CI/SMB_2022</v>
      </c>
      <c r="D821" s="19" t="s">
        <v>1794</v>
      </c>
      <c r="E821" s="19" t="s">
        <v>2</v>
      </c>
      <c r="F821" s="19" t="s">
        <v>1422</v>
      </c>
      <c r="G821" s="19" t="s">
        <v>1799</v>
      </c>
      <c r="H821" s="19" t="s">
        <v>832</v>
      </c>
      <c r="I821" s="19">
        <v>0</v>
      </c>
      <c r="J821" s="19" t="s">
        <v>810</v>
      </c>
      <c r="K821" s="19" t="s">
        <v>662</v>
      </c>
      <c r="L821" s="19">
        <v>2022</v>
      </c>
      <c r="M821" s="20">
        <v>56</v>
      </c>
      <c r="N821" s="19" t="s">
        <v>634</v>
      </c>
      <c r="O821" s="20">
        <v>1</v>
      </c>
      <c r="P821" s="20">
        <v>56</v>
      </c>
      <c r="Q821" s="20">
        <v>338.86576837285122</v>
      </c>
      <c r="R821" s="21">
        <v>0.87</v>
      </c>
      <c r="S821" s="20">
        <v>338.86576837285122</v>
      </c>
    </row>
    <row r="822" spans="2:19" ht="15" customHeight="1" x14ac:dyDescent="0.25">
      <c r="B822" s="2" t="str">
        <f t="shared" si="24"/>
        <v>PGL_Residential_Multi-Family_Partner Trade Ally Rebate_DHW Storage Tank Insulation_0_MF/CI/SMB</v>
      </c>
      <c r="C822" s="2" t="str">
        <f t="shared" si="25"/>
        <v>PGL_Residential_Multi-Family_Partner Trade Ally Rebate_DHW Storage Tank Insulation_0_MF/CI/SMB_2023</v>
      </c>
      <c r="D822" s="19" t="s">
        <v>1794</v>
      </c>
      <c r="E822" s="19" t="s">
        <v>2</v>
      </c>
      <c r="F822" s="19" t="s">
        <v>1422</v>
      </c>
      <c r="G822" s="19" t="s">
        <v>1799</v>
      </c>
      <c r="H822" s="19" t="s">
        <v>832</v>
      </c>
      <c r="I822" s="19">
        <v>0</v>
      </c>
      <c r="J822" s="19" t="s">
        <v>810</v>
      </c>
      <c r="K822" s="19" t="s">
        <v>662</v>
      </c>
      <c r="L822" s="19">
        <v>2023</v>
      </c>
      <c r="M822" s="20">
        <v>56</v>
      </c>
      <c r="N822" s="19" t="s">
        <v>634</v>
      </c>
      <c r="O822" s="20">
        <v>1</v>
      </c>
      <c r="P822" s="20">
        <v>56</v>
      </c>
      <c r="Q822" s="20">
        <v>338.86576837285122</v>
      </c>
      <c r="R822" s="21">
        <v>0.87</v>
      </c>
      <c r="S822" s="20">
        <v>338.86576837285122</v>
      </c>
    </row>
    <row r="823" spans="2:19" ht="15" customHeight="1" x14ac:dyDescent="0.25">
      <c r="B823" s="2" t="str">
        <f t="shared" si="24"/>
        <v>PGL_Residential_Multi-Family_Partner Trade Ally Rebate_DHW Storage Tank Insulation_0_MF/CI/SMB</v>
      </c>
      <c r="C823" s="2" t="str">
        <f t="shared" si="25"/>
        <v>PGL_Residential_Multi-Family_Partner Trade Ally Rebate_DHW Storage Tank Insulation_0_MF/CI/SMB_2024</v>
      </c>
      <c r="D823" s="19" t="s">
        <v>1794</v>
      </c>
      <c r="E823" s="19" t="s">
        <v>2</v>
      </c>
      <c r="F823" s="19" t="s">
        <v>1422</v>
      </c>
      <c r="G823" s="19" t="s">
        <v>1799</v>
      </c>
      <c r="H823" s="19" t="s">
        <v>832</v>
      </c>
      <c r="I823" s="19">
        <v>0</v>
      </c>
      <c r="J823" s="19" t="s">
        <v>810</v>
      </c>
      <c r="K823" s="19" t="s">
        <v>662</v>
      </c>
      <c r="L823" s="19">
        <v>2024</v>
      </c>
      <c r="M823" s="20">
        <v>56</v>
      </c>
      <c r="N823" s="19" t="s">
        <v>634</v>
      </c>
      <c r="O823" s="20">
        <v>1</v>
      </c>
      <c r="P823" s="20">
        <v>56</v>
      </c>
      <c r="Q823" s="20">
        <v>338.86576837285122</v>
      </c>
      <c r="R823" s="21">
        <v>0.87</v>
      </c>
      <c r="S823" s="20">
        <v>338.86576837285122</v>
      </c>
    </row>
    <row r="824" spans="2:19" ht="15" customHeight="1" x14ac:dyDescent="0.25">
      <c r="B824" s="2" t="str">
        <f t="shared" si="24"/>
        <v>PGL_Residential_Multi-Family_Partner Trade Ally Rebate_DHW Storage Tank Insulation_0_MF/CI/SMB</v>
      </c>
      <c r="C824" s="2" t="str">
        <f t="shared" si="25"/>
        <v>PGL_Residential_Multi-Family_Partner Trade Ally Rebate_DHW Storage Tank Insulation_0_MF/CI/SMB_2025</v>
      </c>
      <c r="D824" s="19" t="s">
        <v>1794</v>
      </c>
      <c r="E824" s="19" t="s">
        <v>2</v>
      </c>
      <c r="F824" s="19" t="s">
        <v>1422</v>
      </c>
      <c r="G824" s="19" t="s">
        <v>1799</v>
      </c>
      <c r="H824" s="19" t="s">
        <v>832</v>
      </c>
      <c r="I824" s="19">
        <v>0</v>
      </c>
      <c r="J824" s="19" t="s">
        <v>810</v>
      </c>
      <c r="K824" s="19" t="s">
        <v>662</v>
      </c>
      <c r="L824" s="19">
        <v>2025</v>
      </c>
      <c r="M824" s="20">
        <v>56</v>
      </c>
      <c r="N824" s="19" t="s">
        <v>634</v>
      </c>
      <c r="O824" s="20">
        <v>1</v>
      </c>
      <c r="P824" s="20">
        <v>56</v>
      </c>
      <c r="Q824" s="20">
        <v>338.86576837285122</v>
      </c>
      <c r="R824" s="21">
        <v>0.87</v>
      </c>
      <c r="S824" s="20">
        <v>338.86576837285122</v>
      </c>
    </row>
    <row r="825" spans="2:19" ht="15" customHeight="1" x14ac:dyDescent="0.25">
      <c r="B825" s="2" t="str">
        <f t="shared" si="24"/>
        <v>PGL_Residential_Multi-Family_Partner Trade Ally Rebate_Linkageless Controls_0_MF</v>
      </c>
      <c r="C825" s="2" t="str">
        <f t="shared" si="25"/>
        <v>PGL_Residential_Multi-Family_Partner Trade Ally Rebate_Linkageless Controls_0_MF_2022</v>
      </c>
      <c r="D825" s="19" t="s">
        <v>1794</v>
      </c>
      <c r="E825" s="19" t="s">
        <v>2</v>
      </c>
      <c r="F825" s="19" t="s">
        <v>1422</v>
      </c>
      <c r="G825" s="19" t="s">
        <v>1799</v>
      </c>
      <c r="H825" s="19" t="s">
        <v>1287</v>
      </c>
      <c r="I825" s="19">
        <v>0</v>
      </c>
      <c r="J825" s="19" t="s">
        <v>28</v>
      </c>
      <c r="K825" s="19" t="s">
        <v>553</v>
      </c>
      <c r="L825" s="19">
        <v>2022</v>
      </c>
      <c r="M825" s="20">
        <v>5000</v>
      </c>
      <c r="N825" s="19" t="s">
        <v>667</v>
      </c>
      <c r="O825" s="20">
        <v>1</v>
      </c>
      <c r="P825" s="20">
        <v>5000</v>
      </c>
      <c r="Q825" s="20">
        <v>2748.3879999999999</v>
      </c>
      <c r="R825" s="21">
        <v>0.87</v>
      </c>
      <c r="S825" s="20">
        <v>2748.3879999999999</v>
      </c>
    </row>
    <row r="826" spans="2:19" ht="15" customHeight="1" x14ac:dyDescent="0.25">
      <c r="B826" s="2" t="str">
        <f t="shared" si="24"/>
        <v>PGL_Residential_Multi-Family_Partner Trade Ally Rebate_Linkageless Controls_0_MF</v>
      </c>
      <c r="C826" s="2" t="str">
        <f t="shared" si="25"/>
        <v>PGL_Residential_Multi-Family_Partner Trade Ally Rebate_Linkageless Controls_0_MF_2023</v>
      </c>
      <c r="D826" s="19" t="s">
        <v>1794</v>
      </c>
      <c r="E826" s="19" t="s">
        <v>2</v>
      </c>
      <c r="F826" s="19" t="s">
        <v>1422</v>
      </c>
      <c r="G826" s="19" t="s">
        <v>1799</v>
      </c>
      <c r="H826" s="19" t="s">
        <v>1287</v>
      </c>
      <c r="I826" s="19">
        <v>0</v>
      </c>
      <c r="J826" s="19" t="s">
        <v>28</v>
      </c>
      <c r="K826" s="19" t="s">
        <v>553</v>
      </c>
      <c r="L826" s="19">
        <v>2023</v>
      </c>
      <c r="M826" s="20">
        <v>5000</v>
      </c>
      <c r="N826" s="19" t="s">
        <v>667</v>
      </c>
      <c r="O826" s="20">
        <v>1</v>
      </c>
      <c r="P826" s="20">
        <v>5000</v>
      </c>
      <c r="Q826" s="20">
        <v>2748.3879999999999</v>
      </c>
      <c r="R826" s="21">
        <v>0.87</v>
      </c>
      <c r="S826" s="20">
        <v>2748.3879999999999</v>
      </c>
    </row>
    <row r="827" spans="2:19" ht="15" customHeight="1" x14ac:dyDescent="0.25">
      <c r="B827" s="2" t="str">
        <f t="shared" si="24"/>
        <v>PGL_Residential_Multi-Family_Partner Trade Ally Rebate_Linkageless Controls_0_MF</v>
      </c>
      <c r="C827" s="2" t="str">
        <f t="shared" si="25"/>
        <v>PGL_Residential_Multi-Family_Partner Trade Ally Rebate_Linkageless Controls_0_MF_2024</v>
      </c>
      <c r="D827" s="19" t="s">
        <v>1794</v>
      </c>
      <c r="E827" s="19" t="s">
        <v>2</v>
      </c>
      <c r="F827" s="19" t="s">
        <v>1422</v>
      </c>
      <c r="G827" s="19" t="s">
        <v>1799</v>
      </c>
      <c r="H827" s="19" t="s">
        <v>1287</v>
      </c>
      <c r="I827" s="19">
        <v>0</v>
      </c>
      <c r="J827" s="19" t="s">
        <v>28</v>
      </c>
      <c r="K827" s="19" t="s">
        <v>553</v>
      </c>
      <c r="L827" s="19">
        <v>2024</v>
      </c>
      <c r="M827" s="20">
        <v>5000</v>
      </c>
      <c r="N827" s="19" t="s">
        <v>667</v>
      </c>
      <c r="O827" s="20">
        <v>1</v>
      </c>
      <c r="P827" s="20">
        <v>5000</v>
      </c>
      <c r="Q827" s="20">
        <v>2748.3879999999999</v>
      </c>
      <c r="R827" s="21">
        <v>0.87</v>
      </c>
      <c r="S827" s="20">
        <v>2748.3879999999999</v>
      </c>
    </row>
    <row r="828" spans="2:19" ht="15" customHeight="1" x14ac:dyDescent="0.25">
      <c r="B828" s="2" t="str">
        <f t="shared" si="24"/>
        <v>PGL_Residential_Multi-Family_Partner Trade Ally Rebate_Linkageless Controls_0_MF</v>
      </c>
      <c r="C828" s="2" t="str">
        <f t="shared" si="25"/>
        <v>PGL_Residential_Multi-Family_Partner Trade Ally Rebate_Linkageless Controls_0_MF_2025</v>
      </c>
      <c r="D828" s="19" t="s">
        <v>1794</v>
      </c>
      <c r="E828" s="19" t="s">
        <v>2</v>
      </c>
      <c r="F828" s="19" t="s">
        <v>1422</v>
      </c>
      <c r="G828" s="19" t="s">
        <v>1799</v>
      </c>
      <c r="H828" s="19" t="s">
        <v>1287</v>
      </c>
      <c r="I828" s="19">
        <v>0</v>
      </c>
      <c r="J828" s="19" t="s">
        <v>28</v>
      </c>
      <c r="K828" s="19" t="s">
        <v>553</v>
      </c>
      <c r="L828" s="19">
        <v>2025</v>
      </c>
      <c r="M828" s="20">
        <v>5000</v>
      </c>
      <c r="N828" s="19" t="s">
        <v>667</v>
      </c>
      <c r="O828" s="20">
        <v>1</v>
      </c>
      <c r="P828" s="20">
        <v>5000</v>
      </c>
      <c r="Q828" s="20">
        <v>2748.3879999999999</v>
      </c>
      <c r="R828" s="21">
        <v>0.87</v>
      </c>
      <c r="S828" s="20">
        <v>2748.3879999999999</v>
      </c>
    </row>
    <row r="829" spans="2:19" ht="15" customHeight="1" x14ac:dyDescent="0.25">
      <c r="B829" s="2" t="str">
        <f t="shared" si="24"/>
        <v>PGL_Residential_Multi-Family_Partner Trade Ally Rebate_On Demand DHW Circulation System_0_MF</v>
      </c>
      <c r="C829" s="2" t="str">
        <f t="shared" si="25"/>
        <v>PGL_Residential_Multi-Family_Partner Trade Ally Rebate_On Demand DHW Circulation System_0_MF_2022</v>
      </c>
      <c r="D829" s="19" t="s">
        <v>1794</v>
      </c>
      <c r="E829" s="19" t="s">
        <v>2</v>
      </c>
      <c r="F829" s="19" t="s">
        <v>1422</v>
      </c>
      <c r="G829" s="19" t="s">
        <v>1799</v>
      </c>
      <c r="H829" s="19" t="s">
        <v>1075</v>
      </c>
      <c r="I829" s="19">
        <v>0</v>
      </c>
      <c r="J829" s="19" t="s">
        <v>26</v>
      </c>
      <c r="K829" s="19" t="s">
        <v>553</v>
      </c>
      <c r="L829" s="19">
        <v>2022</v>
      </c>
      <c r="M829" s="20">
        <v>1</v>
      </c>
      <c r="N829" s="19" t="s">
        <v>1804</v>
      </c>
      <c r="O829" s="20">
        <v>475</v>
      </c>
      <c r="P829" s="20">
        <v>475</v>
      </c>
      <c r="Q829" s="20">
        <v>25905.444303940498</v>
      </c>
      <c r="R829" s="21">
        <v>0.87</v>
      </c>
      <c r="S829" s="20">
        <v>25905.444303940498</v>
      </c>
    </row>
    <row r="830" spans="2:19" ht="15" customHeight="1" x14ac:dyDescent="0.25">
      <c r="B830" s="2" t="str">
        <f t="shared" si="24"/>
        <v>PGL_Residential_Multi-Family_Partner Trade Ally Rebate_On Demand DHW Circulation System_0_MF</v>
      </c>
      <c r="C830" s="2" t="str">
        <f t="shared" si="25"/>
        <v>PGL_Residential_Multi-Family_Partner Trade Ally Rebate_On Demand DHW Circulation System_0_MF_2023</v>
      </c>
      <c r="D830" s="19" t="s">
        <v>1794</v>
      </c>
      <c r="E830" s="19" t="s">
        <v>2</v>
      </c>
      <c r="F830" s="19" t="s">
        <v>1422</v>
      </c>
      <c r="G830" s="19" t="s">
        <v>1799</v>
      </c>
      <c r="H830" s="19" t="s">
        <v>1075</v>
      </c>
      <c r="I830" s="19">
        <v>0</v>
      </c>
      <c r="J830" s="19" t="s">
        <v>26</v>
      </c>
      <c r="K830" s="19" t="s">
        <v>553</v>
      </c>
      <c r="L830" s="19">
        <v>2023</v>
      </c>
      <c r="M830" s="20">
        <v>1</v>
      </c>
      <c r="N830" s="19" t="s">
        <v>1804</v>
      </c>
      <c r="O830" s="20">
        <v>425</v>
      </c>
      <c r="P830" s="20">
        <v>425</v>
      </c>
      <c r="Q830" s="20">
        <v>23178.555429841497</v>
      </c>
      <c r="R830" s="21">
        <v>0.87</v>
      </c>
      <c r="S830" s="20">
        <v>23178.555429841497</v>
      </c>
    </row>
    <row r="831" spans="2:19" ht="15" customHeight="1" x14ac:dyDescent="0.25">
      <c r="B831" s="2" t="str">
        <f t="shared" si="24"/>
        <v>PGL_Residential_Multi-Family_Partner Trade Ally Rebate_On Demand DHW Circulation System_0_MF</v>
      </c>
      <c r="C831" s="2" t="str">
        <f t="shared" si="25"/>
        <v>PGL_Residential_Multi-Family_Partner Trade Ally Rebate_On Demand DHW Circulation System_0_MF_2024</v>
      </c>
      <c r="D831" s="19" t="s">
        <v>1794</v>
      </c>
      <c r="E831" s="19" t="s">
        <v>2</v>
      </c>
      <c r="F831" s="19" t="s">
        <v>1422</v>
      </c>
      <c r="G831" s="19" t="s">
        <v>1799</v>
      </c>
      <c r="H831" s="19" t="s">
        <v>1075</v>
      </c>
      <c r="I831" s="19">
        <v>0</v>
      </c>
      <c r="J831" s="19" t="s">
        <v>26</v>
      </c>
      <c r="K831" s="19" t="s">
        <v>553</v>
      </c>
      <c r="L831" s="19">
        <v>2024</v>
      </c>
      <c r="M831" s="20">
        <v>1</v>
      </c>
      <c r="N831" s="19" t="s">
        <v>1804</v>
      </c>
      <c r="O831" s="20">
        <v>375</v>
      </c>
      <c r="P831" s="20">
        <v>375</v>
      </c>
      <c r="Q831" s="20">
        <v>20451.666555742497</v>
      </c>
      <c r="R831" s="21">
        <v>0.87</v>
      </c>
      <c r="S831" s="20">
        <v>20451.666555742497</v>
      </c>
    </row>
    <row r="832" spans="2:19" ht="15" customHeight="1" x14ac:dyDescent="0.25">
      <c r="B832" s="2" t="str">
        <f t="shared" si="24"/>
        <v>PGL_Residential_Multi-Family_Partner Trade Ally Rebate_On Demand DHW Circulation System_0_MF</v>
      </c>
      <c r="C832" s="2" t="str">
        <f t="shared" si="25"/>
        <v>PGL_Residential_Multi-Family_Partner Trade Ally Rebate_On Demand DHW Circulation System_0_MF_2025</v>
      </c>
      <c r="D832" s="19" t="s">
        <v>1794</v>
      </c>
      <c r="E832" s="19" t="s">
        <v>2</v>
      </c>
      <c r="F832" s="19" t="s">
        <v>1422</v>
      </c>
      <c r="G832" s="19" t="s">
        <v>1799</v>
      </c>
      <c r="H832" s="19" t="s">
        <v>1075</v>
      </c>
      <c r="I832" s="19">
        <v>0</v>
      </c>
      <c r="J832" s="19" t="s">
        <v>26</v>
      </c>
      <c r="K832" s="19" t="s">
        <v>553</v>
      </c>
      <c r="L832" s="19">
        <v>2025</v>
      </c>
      <c r="M832" s="20">
        <v>1</v>
      </c>
      <c r="N832" s="19" t="s">
        <v>1804</v>
      </c>
      <c r="O832" s="20">
        <v>275</v>
      </c>
      <c r="P832" s="20">
        <v>275</v>
      </c>
      <c r="Q832" s="20">
        <v>14997.888807544499</v>
      </c>
      <c r="R832" s="21">
        <v>0.87</v>
      </c>
      <c r="S832" s="20">
        <v>14997.888807544499</v>
      </c>
    </row>
    <row r="833" spans="2:19" ht="15" customHeight="1" x14ac:dyDescent="0.25">
      <c r="B833" s="2" t="str">
        <f t="shared" si="24"/>
        <v>PGL_Residential_Multi-Family_Partner Trade Ally Rebate_Modulating Commercial Gas Clothes Dryer_Hotels &amp; Hospitals_CI</v>
      </c>
      <c r="C833" s="2" t="str">
        <f t="shared" si="25"/>
        <v>PGL_Residential_Multi-Family_Partner Trade Ally Rebate_Modulating Commercial Gas Clothes Dryer_Hotels &amp; Hospitals_CI_2022</v>
      </c>
      <c r="D833" s="19" t="s">
        <v>1794</v>
      </c>
      <c r="E833" s="19" t="s">
        <v>2</v>
      </c>
      <c r="F833" s="19" t="s">
        <v>1422</v>
      </c>
      <c r="G833" s="19" t="s">
        <v>1799</v>
      </c>
      <c r="H833" s="19" t="s">
        <v>12</v>
      </c>
      <c r="I833" s="19" t="s">
        <v>1253</v>
      </c>
      <c r="J833" s="19" t="s">
        <v>29</v>
      </c>
      <c r="K833" s="19" t="s">
        <v>1159</v>
      </c>
      <c r="L833" s="19">
        <v>2022</v>
      </c>
      <c r="M833" s="20">
        <v>1</v>
      </c>
      <c r="N833" s="19" t="s">
        <v>1798</v>
      </c>
      <c r="O833" s="20">
        <v>0</v>
      </c>
      <c r="P833" s="20">
        <v>0</v>
      </c>
      <c r="Q833" s="20">
        <v>0</v>
      </c>
      <c r="R833" s="21">
        <v>0.87</v>
      </c>
      <c r="S833" s="20">
        <v>0</v>
      </c>
    </row>
    <row r="834" spans="2:19" ht="15" customHeight="1" x14ac:dyDescent="0.25">
      <c r="B834" s="2" t="str">
        <f t="shared" si="24"/>
        <v>PGL_Residential_Multi-Family_Partner Trade Ally Rebate_Modulating Commercial Gas Clothes Dryer_Hotels &amp; Hospitals_CI</v>
      </c>
      <c r="C834" s="2" t="str">
        <f t="shared" si="25"/>
        <v>PGL_Residential_Multi-Family_Partner Trade Ally Rebate_Modulating Commercial Gas Clothes Dryer_Hotels &amp; Hospitals_CI_2023</v>
      </c>
      <c r="D834" s="19" t="s">
        <v>1794</v>
      </c>
      <c r="E834" s="19" t="s">
        <v>2</v>
      </c>
      <c r="F834" s="19" t="s">
        <v>1422</v>
      </c>
      <c r="G834" s="19" t="s">
        <v>1799</v>
      </c>
      <c r="H834" s="19" t="s">
        <v>12</v>
      </c>
      <c r="I834" s="19" t="s">
        <v>1253</v>
      </c>
      <c r="J834" s="19" t="s">
        <v>29</v>
      </c>
      <c r="K834" s="19" t="s">
        <v>1159</v>
      </c>
      <c r="L834" s="19">
        <v>2023</v>
      </c>
      <c r="M834" s="20">
        <v>1</v>
      </c>
      <c r="N834" s="19" t="s">
        <v>1798</v>
      </c>
      <c r="O834" s="20">
        <v>0</v>
      </c>
      <c r="P834" s="20">
        <v>0</v>
      </c>
      <c r="Q834" s="20">
        <v>0</v>
      </c>
      <c r="R834" s="21">
        <v>0.87</v>
      </c>
      <c r="S834" s="20">
        <v>0</v>
      </c>
    </row>
    <row r="835" spans="2:19" ht="15" customHeight="1" x14ac:dyDescent="0.25">
      <c r="B835" s="2" t="str">
        <f t="shared" si="24"/>
        <v>PGL_Residential_Multi-Family_Partner Trade Ally Rebate_Modulating Commercial Gas Clothes Dryer_Hotels &amp; Hospitals_CI</v>
      </c>
      <c r="C835" s="2" t="str">
        <f t="shared" si="25"/>
        <v>PGL_Residential_Multi-Family_Partner Trade Ally Rebate_Modulating Commercial Gas Clothes Dryer_Hotels &amp; Hospitals_CI_2024</v>
      </c>
      <c r="D835" s="19" t="s">
        <v>1794</v>
      </c>
      <c r="E835" s="19" t="s">
        <v>2</v>
      </c>
      <c r="F835" s="19" t="s">
        <v>1422</v>
      </c>
      <c r="G835" s="19" t="s">
        <v>1799</v>
      </c>
      <c r="H835" s="19" t="s">
        <v>12</v>
      </c>
      <c r="I835" s="19" t="s">
        <v>1253</v>
      </c>
      <c r="J835" s="19" t="s">
        <v>29</v>
      </c>
      <c r="K835" s="19" t="s">
        <v>1159</v>
      </c>
      <c r="L835" s="19">
        <v>2024</v>
      </c>
      <c r="M835" s="20">
        <v>1</v>
      </c>
      <c r="N835" s="19" t="s">
        <v>1798</v>
      </c>
      <c r="O835" s="20">
        <v>0</v>
      </c>
      <c r="P835" s="20">
        <v>0</v>
      </c>
      <c r="Q835" s="20">
        <v>0</v>
      </c>
      <c r="R835" s="21">
        <v>0.87</v>
      </c>
      <c r="S835" s="20">
        <v>0</v>
      </c>
    </row>
    <row r="836" spans="2:19" ht="15" customHeight="1" x14ac:dyDescent="0.25">
      <c r="B836" s="2" t="str">
        <f t="shared" si="24"/>
        <v>PGL_Residential_Multi-Family_Partner Trade Ally Rebate_Modulating Commercial Gas Clothes Dryer_Hotels &amp; Hospitals_CI</v>
      </c>
      <c r="C836" s="2" t="str">
        <f t="shared" si="25"/>
        <v>PGL_Residential_Multi-Family_Partner Trade Ally Rebate_Modulating Commercial Gas Clothes Dryer_Hotels &amp; Hospitals_CI_2025</v>
      </c>
      <c r="D836" s="19" t="s">
        <v>1794</v>
      </c>
      <c r="E836" s="19" t="s">
        <v>2</v>
      </c>
      <c r="F836" s="19" t="s">
        <v>1422</v>
      </c>
      <c r="G836" s="19" t="s">
        <v>1799</v>
      </c>
      <c r="H836" s="19" t="s">
        <v>12</v>
      </c>
      <c r="I836" s="19" t="s">
        <v>1253</v>
      </c>
      <c r="J836" s="19" t="s">
        <v>29</v>
      </c>
      <c r="K836" s="19" t="s">
        <v>1159</v>
      </c>
      <c r="L836" s="19">
        <v>2025</v>
      </c>
      <c r="M836" s="20">
        <v>1</v>
      </c>
      <c r="N836" s="19" t="s">
        <v>1798</v>
      </c>
      <c r="O836" s="20">
        <v>0</v>
      </c>
      <c r="P836" s="20">
        <v>0</v>
      </c>
      <c r="Q836" s="20">
        <v>0</v>
      </c>
      <c r="R836" s="21">
        <v>0.87</v>
      </c>
      <c r="S836" s="20">
        <v>0</v>
      </c>
    </row>
    <row r="837" spans="2:19" ht="15" customHeight="1" x14ac:dyDescent="0.25">
      <c r="B837" s="2" t="str">
        <f t="shared" si="24"/>
        <v>PGL_Residential_Multi-Family_Partner Trade Ally Rebate_Modulating Commercial Gas Clothes Dryer_Laundromat &amp; MF Dorms_MF/SMB</v>
      </c>
      <c r="C837" s="2" t="str">
        <f t="shared" si="25"/>
        <v>PGL_Residential_Multi-Family_Partner Trade Ally Rebate_Modulating Commercial Gas Clothes Dryer_Laundromat &amp; MF Dorms_MF/SMB_2022</v>
      </c>
      <c r="D837" s="19" t="s">
        <v>1794</v>
      </c>
      <c r="E837" s="19" t="s">
        <v>2</v>
      </c>
      <c r="F837" s="19" t="s">
        <v>1422</v>
      </c>
      <c r="G837" s="19" t="s">
        <v>1799</v>
      </c>
      <c r="H837" s="19" t="s">
        <v>12</v>
      </c>
      <c r="I837" s="19" t="s">
        <v>1255</v>
      </c>
      <c r="J837" s="19" t="s">
        <v>29</v>
      </c>
      <c r="K837" s="19" t="s">
        <v>1256</v>
      </c>
      <c r="L837" s="19">
        <v>2022</v>
      </c>
      <c r="M837" s="20">
        <v>1</v>
      </c>
      <c r="N837" s="19" t="s">
        <v>1798</v>
      </c>
      <c r="O837" s="20">
        <v>1</v>
      </c>
      <c r="P837" s="20">
        <v>1</v>
      </c>
      <c r="Q837" s="20">
        <v>200.2131</v>
      </c>
      <c r="R837" s="21">
        <v>0.87</v>
      </c>
      <c r="S837" s="20">
        <v>200.2131</v>
      </c>
    </row>
    <row r="838" spans="2:19" ht="15" customHeight="1" x14ac:dyDescent="0.25">
      <c r="B838" s="2" t="str">
        <f t="shared" ref="B838:B901" si="26">D838&amp;"_"&amp;E838&amp;"_"&amp;F838&amp;"_"&amp;G838&amp;"_"&amp;H838&amp;"_"&amp;I838&amp;"_"&amp;K838</f>
        <v>PGL_Residential_Multi-Family_Partner Trade Ally Rebate_Modulating Commercial Gas Clothes Dryer_Laundromat &amp; MF Dorms_MF/SMB</v>
      </c>
      <c r="C838" s="2" t="str">
        <f t="shared" ref="C838:C901" si="27">D838&amp;"_"&amp;E838&amp;"_"&amp;F838&amp;"_"&amp;G838&amp;"_"&amp;H838&amp;"_"&amp;I838&amp;"_"&amp;K838&amp;"_"&amp;L838</f>
        <v>PGL_Residential_Multi-Family_Partner Trade Ally Rebate_Modulating Commercial Gas Clothes Dryer_Laundromat &amp; MF Dorms_MF/SMB_2023</v>
      </c>
      <c r="D838" s="19" t="s">
        <v>1794</v>
      </c>
      <c r="E838" s="19" t="s">
        <v>2</v>
      </c>
      <c r="F838" s="19" t="s">
        <v>1422</v>
      </c>
      <c r="G838" s="19" t="s">
        <v>1799</v>
      </c>
      <c r="H838" s="19" t="s">
        <v>12</v>
      </c>
      <c r="I838" s="19" t="s">
        <v>1255</v>
      </c>
      <c r="J838" s="19" t="s">
        <v>29</v>
      </c>
      <c r="K838" s="19" t="s">
        <v>1256</v>
      </c>
      <c r="L838" s="19">
        <v>2023</v>
      </c>
      <c r="M838" s="20">
        <v>1</v>
      </c>
      <c r="N838" s="19" t="s">
        <v>1798</v>
      </c>
      <c r="O838" s="20">
        <v>1</v>
      </c>
      <c r="P838" s="20">
        <v>1</v>
      </c>
      <c r="Q838" s="20">
        <v>200.2131</v>
      </c>
      <c r="R838" s="21">
        <v>0.87</v>
      </c>
      <c r="S838" s="20">
        <v>200.2131</v>
      </c>
    </row>
    <row r="839" spans="2:19" ht="15" customHeight="1" x14ac:dyDescent="0.25">
      <c r="B839" s="2" t="str">
        <f t="shared" si="26"/>
        <v>PGL_Residential_Multi-Family_Partner Trade Ally Rebate_Modulating Commercial Gas Clothes Dryer_Laundromat &amp; MF Dorms_MF/SMB</v>
      </c>
      <c r="C839" s="2" t="str">
        <f t="shared" si="27"/>
        <v>PGL_Residential_Multi-Family_Partner Trade Ally Rebate_Modulating Commercial Gas Clothes Dryer_Laundromat &amp; MF Dorms_MF/SMB_2024</v>
      </c>
      <c r="D839" s="19" t="s">
        <v>1794</v>
      </c>
      <c r="E839" s="19" t="s">
        <v>2</v>
      </c>
      <c r="F839" s="19" t="s">
        <v>1422</v>
      </c>
      <c r="G839" s="19" t="s">
        <v>1799</v>
      </c>
      <c r="H839" s="19" t="s">
        <v>12</v>
      </c>
      <c r="I839" s="19" t="s">
        <v>1255</v>
      </c>
      <c r="J839" s="19" t="s">
        <v>29</v>
      </c>
      <c r="K839" s="19" t="s">
        <v>1256</v>
      </c>
      <c r="L839" s="19">
        <v>2024</v>
      </c>
      <c r="M839" s="20">
        <v>1</v>
      </c>
      <c r="N839" s="19" t="s">
        <v>1798</v>
      </c>
      <c r="O839" s="20">
        <v>1</v>
      </c>
      <c r="P839" s="20">
        <v>1</v>
      </c>
      <c r="Q839" s="20">
        <v>200.2131</v>
      </c>
      <c r="R839" s="21">
        <v>0.87</v>
      </c>
      <c r="S839" s="20">
        <v>200.2131</v>
      </c>
    </row>
    <row r="840" spans="2:19" ht="15" customHeight="1" x14ac:dyDescent="0.25">
      <c r="B840" s="2" t="str">
        <f t="shared" si="26"/>
        <v>PGL_Residential_Multi-Family_Partner Trade Ally Rebate_Modulating Commercial Gas Clothes Dryer_Laundromat &amp; MF Dorms_MF/SMB</v>
      </c>
      <c r="C840" s="2" t="str">
        <f t="shared" si="27"/>
        <v>PGL_Residential_Multi-Family_Partner Trade Ally Rebate_Modulating Commercial Gas Clothes Dryer_Laundromat &amp; MF Dorms_MF/SMB_2025</v>
      </c>
      <c r="D840" s="19" t="s">
        <v>1794</v>
      </c>
      <c r="E840" s="19" t="s">
        <v>2</v>
      </c>
      <c r="F840" s="19" t="s">
        <v>1422</v>
      </c>
      <c r="G840" s="19" t="s">
        <v>1799</v>
      </c>
      <c r="H840" s="19" t="s">
        <v>12</v>
      </c>
      <c r="I840" s="19" t="s">
        <v>1255</v>
      </c>
      <c r="J840" s="19" t="s">
        <v>29</v>
      </c>
      <c r="K840" s="19" t="s">
        <v>1256</v>
      </c>
      <c r="L840" s="19">
        <v>2025</v>
      </c>
      <c r="M840" s="20">
        <v>1</v>
      </c>
      <c r="N840" s="19" t="s">
        <v>1798</v>
      </c>
      <c r="O840" s="20">
        <v>1</v>
      </c>
      <c r="P840" s="20">
        <v>1</v>
      </c>
      <c r="Q840" s="20">
        <v>200.2131</v>
      </c>
      <c r="R840" s="21">
        <v>0.87</v>
      </c>
      <c r="S840" s="20">
        <v>200.2131</v>
      </c>
    </row>
    <row r="841" spans="2:19" ht="15" customHeight="1" x14ac:dyDescent="0.25">
      <c r="B841" s="2" t="str">
        <f t="shared" si="26"/>
        <v>PGL_Residential_Multi-Family_Partner Trade Ally Rebate_Water Heater_Central/Indirect MF ≥88% TE_MF</v>
      </c>
      <c r="C841" s="2" t="str">
        <f t="shared" si="27"/>
        <v>PGL_Residential_Multi-Family_Partner Trade Ally Rebate_Water Heater_Central/Indirect MF ≥88% TE_MF_2022</v>
      </c>
      <c r="D841" s="19" t="s">
        <v>1794</v>
      </c>
      <c r="E841" s="19" t="s">
        <v>2</v>
      </c>
      <c r="F841" s="19" t="s">
        <v>1422</v>
      </c>
      <c r="G841" s="19" t="s">
        <v>1799</v>
      </c>
      <c r="H841" s="19" t="s">
        <v>8</v>
      </c>
      <c r="I841" s="19" t="s">
        <v>1066</v>
      </c>
      <c r="J841" s="19" t="s">
        <v>30</v>
      </c>
      <c r="K841" s="19" t="s">
        <v>553</v>
      </c>
      <c r="L841" s="19">
        <v>2022</v>
      </c>
      <c r="M841" s="20">
        <v>1</v>
      </c>
      <c r="N841" s="19" t="s">
        <v>1798</v>
      </c>
      <c r="O841" s="20">
        <v>10</v>
      </c>
      <c r="P841" s="20">
        <v>10</v>
      </c>
      <c r="Q841" s="20">
        <v>3946.6818830249981</v>
      </c>
      <c r="R841" s="21">
        <v>0.87</v>
      </c>
      <c r="S841" s="20">
        <v>3946.6818830249981</v>
      </c>
    </row>
    <row r="842" spans="2:19" ht="15" customHeight="1" x14ac:dyDescent="0.25">
      <c r="B842" s="2" t="str">
        <f t="shared" si="26"/>
        <v>PGL_Residential_Multi-Family_Partner Trade Ally Rebate_Water Heater_Central/Indirect MF ≥88% TE_MF</v>
      </c>
      <c r="C842" s="2" t="str">
        <f t="shared" si="27"/>
        <v>PGL_Residential_Multi-Family_Partner Trade Ally Rebate_Water Heater_Central/Indirect MF ≥88% TE_MF_2023</v>
      </c>
      <c r="D842" s="19" t="s">
        <v>1794</v>
      </c>
      <c r="E842" s="19" t="s">
        <v>2</v>
      </c>
      <c r="F842" s="19" t="s">
        <v>1422</v>
      </c>
      <c r="G842" s="19" t="s">
        <v>1799</v>
      </c>
      <c r="H842" s="19" t="s">
        <v>8</v>
      </c>
      <c r="I842" s="19" t="s">
        <v>1066</v>
      </c>
      <c r="J842" s="19" t="s">
        <v>30</v>
      </c>
      <c r="K842" s="19" t="s">
        <v>553</v>
      </c>
      <c r="L842" s="19">
        <v>2023</v>
      </c>
      <c r="M842" s="20">
        <v>1</v>
      </c>
      <c r="N842" s="19" t="s">
        <v>1798</v>
      </c>
      <c r="O842" s="20">
        <v>9</v>
      </c>
      <c r="P842" s="20">
        <v>9</v>
      </c>
      <c r="Q842" s="20">
        <v>3552.0136947224978</v>
      </c>
      <c r="R842" s="21">
        <v>0.87</v>
      </c>
      <c r="S842" s="20">
        <v>3552.0136947224978</v>
      </c>
    </row>
    <row r="843" spans="2:19" ht="15" customHeight="1" x14ac:dyDescent="0.25">
      <c r="B843" s="2" t="str">
        <f t="shared" si="26"/>
        <v>PGL_Residential_Multi-Family_Partner Trade Ally Rebate_Water Heater_Central/Indirect MF ≥88% TE_MF</v>
      </c>
      <c r="C843" s="2" t="str">
        <f t="shared" si="27"/>
        <v>PGL_Residential_Multi-Family_Partner Trade Ally Rebate_Water Heater_Central/Indirect MF ≥88% TE_MF_2024</v>
      </c>
      <c r="D843" s="19" t="s">
        <v>1794</v>
      </c>
      <c r="E843" s="19" t="s">
        <v>2</v>
      </c>
      <c r="F843" s="19" t="s">
        <v>1422</v>
      </c>
      <c r="G843" s="19" t="s">
        <v>1799</v>
      </c>
      <c r="H843" s="19" t="s">
        <v>8</v>
      </c>
      <c r="I843" s="19" t="s">
        <v>1066</v>
      </c>
      <c r="J843" s="19" t="s">
        <v>30</v>
      </c>
      <c r="K843" s="19" t="s">
        <v>553</v>
      </c>
      <c r="L843" s="19">
        <v>2024</v>
      </c>
      <c r="M843" s="20">
        <v>1</v>
      </c>
      <c r="N843" s="19" t="s">
        <v>1798</v>
      </c>
      <c r="O843" s="20">
        <v>8</v>
      </c>
      <c r="P843" s="20">
        <v>8</v>
      </c>
      <c r="Q843" s="20">
        <v>3157.3455064199979</v>
      </c>
      <c r="R843" s="21">
        <v>0.87</v>
      </c>
      <c r="S843" s="20">
        <v>3157.3455064199979</v>
      </c>
    </row>
    <row r="844" spans="2:19" ht="15" customHeight="1" x14ac:dyDescent="0.25">
      <c r="B844" s="2" t="str">
        <f t="shared" si="26"/>
        <v>PGL_Residential_Multi-Family_Partner Trade Ally Rebate_Water Heater_Central/Indirect MF ≥88% TE_MF</v>
      </c>
      <c r="C844" s="2" t="str">
        <f t="shared" si="27"/>
        <v>PGL_Residential_Multi-Family_Partner Trade Ally Rebate_Water Heater_Central/Indirect MF ≥88% TE_MF_2025</v>
      </c>
      <c r="D844" s="19" t="s">
        <v>1794</v>
      </c>
      <c r="E844" s="19" t="s">
        <v>2</v>
      </c>
      <c r="F844" s="19" t="s">
        <v>1422</v>
      </c>
      <c r="G844" s="19" t="s">
        <v>1799</v>
      </c>
      <c r="H844" s="19" t="s">
        <v>8</v>
      </c>
      <c r="I844" s="19" t="s">
        <v>1066</v>
      </c>
      <c r="J844" s="19" t="s">
        <v>30</v>
      </c>
      <c r="K844" s="19" t="s">
        <v>553</v>
      </c>
      <c r="L844" s="19">
        <v>2025</v>
      </c>
      <c r="M844" s="20">
        <v>1</v>
      </c>
      <c r="N844" s="19" t="s">
        <v>1798</v>
      </c>
      <c r="O844" s="20">
        <v>6</v>
      </c>
      <c r="P844" s="20">
        <v>6</v>
      </c>
      <c r="Q844" s="20">
        <v>2368.0091298149982</v>
      </c>
      <c r="R844" s="21">
        <v>0.87</v>
      </c>
      <c r="S844" s="20">
        <v>2368.0091298149982</v>
      </c>
    </row>
    <row r="845" spans="2:19" ht="15" customHeight="1" x14ac:dyDescent="0.25">
      <c r="B845" s="2" t="str">
        <f t="shared" si="26"/>
        <v>PGL_Residential_Multi-Family_Partner Trade Ally Rebate_Water Heater_Storage 0.67 EF_MF</v>
      </c>
      <c r="C845" s="2" t="str">
        <f t="shared" si="27"/>
        <v>PGL_Residential_Multi-Family_Partner Trade Ally Rebate_Water Heater_Storage 0.67 EF_MF_2022</v>
      </c>
      <c r="D845" s="19" t="s">
        <v>1794</v>
      </c>
      <c r="E845" s="19" t="s">
        <v>2</v>
      </c>
      <c r="F845" s="19" t="s">
        <v>1422</v>
      </c>
      <c r="G845" s="19" t="s">
        <v>1799</v>
      </c>
      <c r="H845" s="19" t="s">
        <v>8</v>
      </c>
      <c r="I845" s="19" t="s">
        <v>879</v>
      </c>
      <c r="J845" s="19" t="s">
        <v>1263</v>
      </c>
      <c r="K845" s="19" t="s">
        <v>553</v>
      </c>
      <c r="L845" s="19">
        <v>2022</v>
      </c>
      <c r="M845" s="20">
        <v>1</v>
      </c>
      <c r="N845" s="19" t="s">
        <v>1798</v>
      </c>
      <c r="O845" s="20">
        <v>5</v>
      </c>
      <c r="P845" s="20">
        <v>5</v>
      </c>
      <c r="Q845" s="20">
        <v>154.14450258171166</v>
      </c>
      <c r="R845" s="21">
        <v>0.87</v>
      </c>
      <c r="S845" s="20">
        <v>154.14450258171166</v>
      </c>
    </row>
    <row r="846" spans="2:19" ht="15" customHeight="1" x14ac:dyDescent="0.25">
      <c r="B846" s="2" t="str">
        <f t="shared" si="26"/>
        <v>PGL_Residential_Multi-Family_Partner Trade Ally Rebate_Water Heater_Storage 0.67 EF_MF</v>
      </c>
      <c r="C846" s="2" t="str">
        <f t="shared" si="27"/>
        <v>PGL_Residential_Multi-Family_Partner Trade Ally Rebate_Water Heater_Storage 0.67 EF_MF_2023</v>
      </c>
      <c r="D846" s="19" t="s">
        <v>1794</v>
      </c>
      <c r="E846" s="19" t="s">
        <v>2</v>
      </c>
      <c r="F846" s="19" t="s">
        <v>1422</v>
      </c>
      <c r="G846" s="19" t="s">
        <v>1799</v>
      </c>
      <c r="H846" s="19" t="s">
        <v>8</v>
      </c>
      <c r="I846" s="19" t="s">
        <v>879</v>
      </c>
      <c r="J846" s="19" t="s">
        <v>1263</v>
      </c>
      <c r="K846" s="19" t="s">
        <v>553</v>
      </c>
      <c r="L846" s="19">
        <v>2023</v>
      </c>
      <c r="M846" s="20">
        <v>1</v>
      </c>
      <c r="N846" s="19" t="s">
        <v>1798</v>
      </c>
      <c r="O846" s="20">
        <v>4</v>
      </c>
      <c r="P846" s="20">
        <v>4</v>
      </c>
      <c r="Q846" s="20">
        <v>123.31560206536933</v>
      </c>
      <c r="R846" s="21">
        <v>0.87</v>
      </c>
      <c r="S846" s="20">
        <v>123.31560206536933</v>
      </c>
    </row>
    <row r="847" spans="2:19" ht="15" customHeight="1" x14ac:dyDescent="0.25">
      <c r="B847" s="2" t="str">
        <f t="shared" si="26"/>
        <v>PGL_Residential_Multi-Family_Partner Trade Ally Rebate_Water Heater_Storage 0.67 EF_MF</v>
      </c>
      <c r="C847" s="2" t="str">
        <f t="shared" si="27"/>
        <v>PGL_Residential_Multi-Family_Partner Trade Ally Rebate_Water Heater_Storage 0.67 EF_MF_2024</v>
      </c>
      <c r="D847" s="19" t="s">
        <v>1794</v>
      </c>
      <c r="E847" s="19" t="s">
        <v>2</v>
      </c>
      <c r="F847" s="19" t="s">
        <v>1422</v>
      </c>
      <c r="G847" s="19" t="s">
        <v>1799</v>
      </c>
      <c r="H847" s="19" t="s">
        <v>8</v>
      </c>
      <c r="I847" s="19" t="s">
        <v>879</v>
      </c>
      <c r="J847" s="19" t="s">
        <v>1263</v>
      </c>
      <c r="K847" s="19" t="s">
        <v>553</v>
      </c>
      <c r="L847" s="19">
        <v>2024</v>
      </c>
      <c r="M847" s="20">
        <v>1</v>
      </c>
      <c r="N847" s="19" t="s">
        <v>1798</v>
      </c>
      <c r="O847" s="20">
        <v>4</v>
      </c>
      <c r="P847" s="20">
        <v>4</v>
      </c>
      <c r="Q847" s="20">
        <v>123.31560206536933</v>
      </c>
      <c r="R847" s="21">
        <v>0.87</v>
      </c>
      <c r="S847" s="20">
        <v>123.31560206536933</v>
      </c>
    </row>
    <row r="848" spans="2:19" ht="15" customHeight="1" x14ac:dyDescent="0.25">
      <c r="B848" s="2" t="str">
        <f t="shared" si="26"/>
        <v>PGL_Residential_Multi-Family_Partner Trade Ally Rebate_Water Heater_Storage 0.67 EF_MF</v>
      </c>
      <c r="C848" s="2" t="str">
        <f t="shared" si="27"/>
        <v>PGL_Residential_Multi-Family_Partner Trade Ally Rebate_Water Heater_Storage 0.67 EF_MF_2025</v>
      </c>
      <c r="D848" s="19" t="s">
        <v>1794</v>
      </c>
      <c r="E848" s="19" t="s">
        <v>2</v>
      </c>
      <c r="F848" s="19" t="s">
        <v>1422</v>
      </c>
      <c r="G848" s="19" t="s">
        <v>1799</v>
      </c>
      <c r="H848" s="19" t="s">
        <v>8</v>
      </c>
      <c r="I848" s="19" t="s">
        <v>879</v>
      </c>
      <c r="J848" s="19" t="s">
        <v>1263</v>
      </c>
      <c r="K848" s="19" t="s">
        <v>553</v>
      </c>
      <c r="L848" s="19">
        <v>2025</v>
      </c>
      <c r="M848" s="20">
        <v>1</v>
      </c>
      <c r="N848" s="19" t="s">
        <v>1798</v>
      </c>
      <c r="O848" s="20">
        <v>3</v>
      </c>
      <c r="P848" s="20">
        <v>3</v>
      </c>
      <c r="Q848" s="20">
        <v>92.486701549027003</v>
      </c>
      <c r="R848" s="21">
        <v>0.87</v>
      </c>
      <c r="S848" s="20">
        <v>92.486701549027003</v>
      </c>
    </row>
    <row r="849" spans="2:19" ht="15" customHeight="1" x14ac:dyDescent="0.25">
      <c r="B849" s="2" t="str">
        <f t="shared" si="26"/>
        <v>PGL_Residential_Multi-Family_Partner Trade Ally Rebate_Dock Door Seals_0_CI</v>
      </c>
      <c r="C849" s="2" t="str">
        <f t="shared" si="27"/>
        <v>PGL_Residential_Multi-Family_Partner Trade Ally Rebate_Dock Door Seals_0_CI_2022</v>
      </c>
      <c r="D849" s="19" t="s">
        <v>1794</v>
      </c>
      <c r="E849" s="19" t="s">
        <v>2</v>
      </c>
      <c r="F849" s="19" t="s">
        <v>1422</v>
      </c>
      <c r="G849" s="19" t="s">
        <v>1799</v>
      </c>
      <c r="H849" s="19" t="s">
        <v>1291</v>
      </c>
      <c r="I849" s="19">
        <v>0</v>
      </c>
      <c r="J849" s="19">
        <v>0</v>
      </c>
      <c r="K849" s="19" t="s">
        <v>1159</v>
      </c>
      <c r="L849" s="19">
        <v>2022</v>
      </c>
      <c r="M849" s="20">
        <v>1</v>
      </c>
      <c r="N849" s="19" t="s">
        <v>1798</v>
      </c>
      <c r="O849" s="20">
        <v>8</v>
      </c>
      <c r="P849" s="20">
        <v>8</v>
      </c>
      <c r="Q849" s="20">
        <v>1635.2398697142855</v>
      </c>
      <c r="R849" s="21">
        <v>0.87</v>
      </c>
      <c r="S849" s="20">
        <v>1635.2398697142855</v>
      </c>
    </row>
    <row r="850" spans="2:19" ht="15" customHeight="1" x14ac:dyDescent="0.25">
      <c r="B850" s="2" t="str">
        <f t="shared" si="26"/>
        <v>PGL_Residential_Multi-Family_Partner Trade Ally Rebate_Dock Door Seals_0_CI</v>
      </c>
      <c r="C850" s="2" t="str">
        <f t="shared" si="27"/>
        <v>PGL_Residential_Multi-Family_Partner Trade Ally Rebate_Dock Door Seals_0_CI_2023</v>
      </c>
      <c r="D850" s="19" t="s">
        <v>1794</v>
      </c>
      <c r="E850" s="19" t="s">
        <v>2</v>
      </c>
      <c r="F850" s="19" t="s">
        <v>1422</v>
      </c>
      <c r="G850" s="19" t="s">
        <v>1799</v>
      </c>
      <c r="H850" s="19" t="s">
        <v>1291</v>
      </c>
      <c r="I850" s="19">
        <v>0</v>
      </c>
      <c r="J850" s="19">
        <v>0</v>
      </c>
      <c r="K850" s="19" t="s">
        <v>1159</v>
      </c>
      <c r="L850" s="19">
        <v>2023</v>
      </c>
      <c r="M850" s="20">
        <v>1</v>
      </c>
      <c r="N850" s="19" t="s">
        <v>1798</v>
      </c>
      <c r="O850" s="20">
        <v>7</v>
      </c>
      <c r="P850" s="20">
        <v>7</v>
      </c>
      <c r="Q850" s="20">
        <v>1430.8348859999999</v>
      </c>
      <c r="R850" s="21">
        <v>0.87</v>
      </c>
      <c r="S850" s="20">
        <v>1430.8348859999999</v>
      </c>
    </row>
    <row r="851" spans="2:19" ht="15" customHeight="1" x14ac:dyDescent="0.25">
      <c r="B851" s="2" t="str">
        <f t="shared" si="26"/>
        <v>PGL_Residential_Multi-Family_Partner Trade Ally Rebate_Dock Door Seals_0_CI</v>
      </c>
      <c r="C851" s="2" t="str">
        <f t="shared" si="27"/>
        <v>PGL_Residential_Multi-Family_Partner Trade Ally Rebate_Dock Door Seals_0_CI_2024</v>
      </c>
      <c r="D851" s="19" t="s">
        <v>1794</v>
      </c>
      <c r="E851" s="19" t="s">
        <v>2</v>
      </c>
      <c r="F851" s="19" t="s">
        <v>1422</v>
      </c>
      <c r="G851" s="19" t="s">
        <v>1799</v>
      </c>
      <c r="H851" s="19" t="s">
        <v>1291</v>
      </c>
      <c r="I851" s="19">
        <v>0</v>
      </c>
      <c r="J851" s="19">
        <v>0</v>
      </c>
      <c r="K851" s="19" t="s">
        <v>1159</v>
      </c>
      <c r="L851" s="19">
        <v>2024</v>
      </c>
      <c r="M851" s="20">
        <v>1</v>
      </c>
      <c r="N851" s="19" t="s">
        <v>1798</v>
      </c>
      <c r="O851" s="20">
        <v>6</v>
      </c>
      <c r="P851" s="20">
        <v>6</v>
      </c>
      <c r="Q851" s="20">
        <v>1226.4299022857142</v>
      </c>
      <c r="R851" s="21">
        <v>0.87</v>
      </c>
      <c r="S851" s="20">
        <v>1226.4299022857142</v>
      </c>
    </row>
    <row r="852" spans="2:19" ht="15" customHeight="1" x14ac:dyDescent="0.25">
      <c r="B852" s="2" t="str">
        <f t="shared" si="26"/>
        <v>PGL_Residential_Multi-Family_Partner Trade Ally Rebate_Dock Door Seals_0_CI</v>
      </c>
      <c r="C852" s="2" t="str">
        <f t="shared" si="27"/>
        <v>PGL_Residential_Multi-Family_Partner Trade Ally Rebate_Dock Door Seals_0_CI_2025</v>
      </c>
      <c r="D852" s="19" t="s">
        <v>1794</v>
      </c>
      <c r="E852" s="19" t="s">
        <v>2</v>
      </c>
      <c r="F852" s="19" t="s">
        <v>1422</v>
      </c>
      <c r="G852" s="19" t="s">
        <v>1799</v>
      </c>
      <c r="H852" s="19" t="s">
        <v>1291</v>
      </c>
      <c r="I852" s="19">
        <v>0</v>
      </c>
      <c r="J852" s="19">
        <v>0</v>
      </c>
      <c r="K852" s="19" t="s">
        <v>1159</v>
      </c>
      <c r="L852" s="19">
        <v>2025</v>
      </c>
      <c r="M852" s="20">
        <v>1</v>
      </c>
      <c r="N852" s="19" t="s">
        <v>1798</v>
      </c>
      <c r="O852" s="20">
        <v>4</v>
      </c>
      <c r="P852" s="20">
        <v>4</v>
      </c>
      <c r="Q852" s="20">
        <v>817.61993485714277</v>
      </c>
      <c r="R852" s="21">
        <v>0.87</v>
      </c>
      <c r="S852" s="20">
        <v>817.61993485714277</v>
      </c>
    </row>
    <row r="853" spans="2:19" ht="15" customHeight="1" x14ac:dyDescent="0.25">
      <c r="B853" s="2" t="str">
        <f t="shared" si="26"/>
        <v>PGL_Residential_Multi-Family_Partner Trade Ally Rebate_DCV - Kitchen_0_MF/CI</v>
      </c>
      <c r="C853" s="2" t="str">
        <f t="shared" si="27"/>
        <v>PGL_Residential_Multi-Family_Partner Trade Ally Rebate_DCV - Kitchen_0_MF/CI_2022</v>
      </c>
      <c r="D853" s="19" t="s">
        <v>1794</v>
      </c>
      <c r="E853" s="19" t="s">
        <v>2</v>
      </c>
      <c r="F853" s="19" t="s">
        <v>1422</v>
      </c>
      <c r="G853" s="19" t="s">
        <v>1799</v>
      </c>
      <c r="H853" s="19" t="s">
        <v>1077</v>
      </c>
      <c r="I853" s="19">
        <v>0</v>
      </c>
      <c r="J853" s="19" t="s">
        <v>48</v>
      </c>
      <c r="K853" s="19" t="s">
        <v>587</v>
      </c>
      <c r="L853" s="19">
        <v>2022</v>
      </c>
      <c r="M853" s="20">
        <v>7.75</v>
      </c>
      <c r="N853" s="19" t="s">
        <v>333</v>
      </c>
      <c r="O853" s="20">
        <v>0</v>
      </c>
      <c r="P853" s="20">
        <v>0</v>
      </c>
      <c r="Q853" s="20">
        <v>0</v>
      </c>
      <c r="R853" s="21">
        <v>0.87</v>
      </c>
      <c r="S853" s="20">
        <v>0</v>
      </c>
    </row>
    <row r="854" spans="2:19" ht="15" customHeight="1" x14ac:dyDescent="0.25">
      <c r="B854" s="2" t="str">
        <f t="shared" si="26"/>
        <v>PGL_Residential_Multi-Family_Partner Trade Ally Rebate_DCV - Kitchen_0_MF/CI</v>
      </c>
      <c r="C854" s="2" t="str">
        <f t="shared" si="27"/>
        <v>PGL_Residential_Multi-Family_Partner Trade Ally Rebate_DCV - Kitchen_0_MF/CI_2023</v>
      </c>
      <c r="D854" s="19" t="s">
        <v>1794</v>
      </c>
      <c r="E854" s="19" t="s">
        <v>2</v>
      </c>
      <c r="F854" s="19" t="s">
        <v>1422</v>
      </c>
      <c r="G854" s="19" t="s">
        <v>1799</v>
      </c>
      <c r="H854" s="19" t="s">
        <v>1077</v>
      </c>
      <c r="I854" s="19">
        <v>0</v>
      </c>
      <c r="J854" s="19" t="s">
        <v>48</v>
      </c>
      <c r="K854" s="19" t="s">
        <v>587</v>
      </c>
      <c r="L854" s="19">
        <v>2023</v>
      </c>
      <c r="M854" s="20">
        <v>7.75</v>
      </c>
      <c r="N854" s="19" t="s">
        <v>333</v>
      </c>
      <c r="O854" s="20">
        <v>0</v>
      </c>
      <c r="P854" s="20">
        <v>0</v>
      </c>
      <c r="Q854" s="20">
        <v>0</v>
      </c>
      <c r="R854" s="21">
        <v>0.87</v>
      </c>
      <c r="S854" s="20">
        <v>0</v>
      </c>
    </row>
    <row r="855" spans="2:19" ht="15" customHeight="1" x14ac:dyDescent="0.25">
      <c r="B855" s="2" t="str">
        <f t="shared" si="26"/>
        <v>PGL_Residential_Multi-Family_Partner Trade Ally Rebate_DCV - Kitchen_0_MF/CI</v>
      </c>
      <c r="C855" s="2" t="str">
        <f t="shared" si="27"/>
        <v>PGL_Residential_Multi-Family_Partner Trade Ally Rebate_DCV - Kitchen_0_MF/CI_2024</v>
      </c>
      <c r="D855" s="19" t="s">
        <v>1794</v>
      </c>
      <c r="E855" s="19" t="s">
        <v>2</v>
      </c>
      <c r="F855" s="19" t="s">
        <v>1422</v>
      </c>
      <c r="G855" s="19" t="s">
        <v>1799</v>
      </c>
      <c r="H855" s="19" t="s">
        <v>1077</v>
      </c>
      <c r="I855" s="19">
        <v>0</v>
      </c>
      <c r="J855" s="19" t="s">
        <v>48</v>
      </c>
      <c r="K855" s="19" t="s">
        <v>587</v>
      </c>
      <c r="L855" s="19">
        <v>2024</v>
      </c>
      <c r="M855" s="20">
        <v>7.75</v>
      </c>
      <c r="N855" s="19" t="s">
        <v>333</v>
      </c>
      <c r="O855" s="20">
        <v>0</v>
      </c>
      <c r="P855" s="20">
        <v>0</v>
      </c>
      <c r="Q855" s="20">
        <v>0</v>
      </c>
      <c r="R855" s="21">
        <v>0.87</v>
      </c>
      <c r="S855" s="20">
        <v>0</v>
      </c>
    </row>
    <row r="856" spans="2:19" ht="15" customHeight="1" x14ac:dyDescent="0.25">
      <c r="B856" s="2" t="str">
        <f t="shared" si="26"/>
        <v>PGL_Residential_Multi-Family_Partner Trade Ally Rebate_DCV - Kitchen_0_MF/CI</v>
      </c>
      <c r="C856" s="2" t="str">
        <f t="shared" si="27"/>
        <v>PGL_Residential_Multi-Family_Partner Trade Ally Rebate_DCV - Kitchen_0_MF/CI_2025</v>
      </c>
      <c r="D856" s="19" t="s">
        <v>1794</v>
      </c>
      <c r="E856" s="19" t="s">
        <v>2</v>
      </c>
      <c r="F856" s="19" t="s">
        <v>1422</v>
      </c>
      <c r="G856" s="19" t="s">
        <v>1799</v>
      </c>
      <c r="H856" s="19" t="s">
        <v>1077</v>
      </c>
      <c r="I856" s="19">
        <v>0</v>
      </c>
      <c r="J856" s="19" t="s">
        <v>48</v>
      </c>
      <c r="K856" s="19" t="s">
        <v>587</v>
      </c>
      <c r="L856" s="19">
        <v>2025</v>
      </c>
      <c r="M856" s="20">
        <v>7.75</v>
      </c>
      <c r="N856" s="19" t="s">
        <v>333</v>
      </c>
      <c r="O856" s="20">
        <v>0</v>
      </c>
      <c r="P856" s="20">
        <v>0</v>
      </c>
      <c r="Q856" s="20">
        <v>0</v>
      </c>
      <c r="R856" s="21">
        <v>0.87</v>
      </c>
      <c r="S856" s="20">
        <v>0</v>
      </c>
    </row>
    <row r="857" spans="2:19" ht="15" customHeight="1" x14ac:dyDescent="0.25">
      <c r="B857" s="2" t="str">
        <f t="shared" si="26"/>
        <v>PGL_Residential_Multi-Family_Custom Rebate_Custom_0_MF</v>
      </c>
      <c r="C857" s="2" t="str">
        <f t="shared" si="27"/>
        <v>PGL_Residential_Multi-Family_Custom Rebate_Custom_0_MF_2022</v>
      </c>
      <c r="D857" s="19" t="s">
        <v>1794</v>
      </c>
      <c r="E857" s="19" t="s">
        <v>2</v>
      </c>
      <c r="F857" s="19" t="s">
        <v>1422</v>
      </c>
      <c r="G857" s="19" t="s">
        <v>1426</v>
      </c>
      <c r="H857" s="19" t="s">
        <v>5</v>
      </c>
      <c r="I857" s="19">
        <v>0</v>
      </c>
      <c r="J857" s="19">
        <v>0</v>
      </c>
      <c r="K857" s="19" t="s">
        <v>553</v>
      </c>
      <c r="L857" s="19">
        <v>2022</v>
      </c>
      <c r="M857" s="20">
        <v>21037.75</v>
      </c>
      <c r="N857" s="19" t="s">
        <v>609</v>
      </c>
      <c r="O857" s="20">
        <v>4</v>
      </c>
      <c r="P857" s="20">
        <v>84151</v>
      </c>
      <c r="Q857" s="20">
        <v>73211.37</v>
      </c>
      <c r="R857" s="21">
        <v>0.87</v>
      </c>
      <c r="S857" s="20">
        <v>73211.37</v>
      </c>
    </row>
    <row r="858" spans="2:19" ht="15" customHeight="1" x14ac:dyDescent="0.25">
      <c r="B858" s="2" t="str">
        <f t="shared" si="26"/>
        <v>PGL_Residential_Multi-Family_Custom Rebate_Custom_0_MF</v>
      </c>
      <c r="C858" s="2" t="str">
        <f t="shared" si="27"/>
        <v>PGL_Residential_Multi-Family_Custom Rebate_Custom_0_MF_2023</v>
      </c>
      <c r="D858" s="19" t="s">
        <v>1794</v>
      </c>
      <c r="E858" s="19" t="s">
        <v>2</v>
      </c>
      <c r="F858" s="19" t="s">
        <v>1422</v>
      </c>
      <c r="G858" s="19" t="s">
        <v>1426</v>
      </c>
      <c r="H858" s="19" t="s">
        <v>5</v>
      </c>
      <c r="I858" s="19">
        <v>0</v>
      </c>
      <c r="J858" s="19">
        <v>0</v>
      </c>
      <c r="K858" s="19" t="s">
        <v>553</v>
      </c>
      <c r="L858" s="19">
        <v>2023</v>
      </c>
      <c r="M858" s="20">
        <v>21037.75</v>
      </c>
      <c r="N858" s="19" t="s">
        <v>609</v>
      </c>
      <c r="O858" s="20">
        <v>3</v>
      </c>
      <c r="P858" s="20">
        <v>63113.25</v>
      </c>
      <c r="Q858" s="20">
        <v>54908.527499999997</v>
      </c>
      <c r="R858" s="21">
        <v>0.87</v>
      </c>
      <c r="S858" s="20">
        <v>54908.527499999997</v>
      </c>
    </row>
    <row r="859" spans="2:19" ht="15" customHeight="1" x14ac:dyDescent="0.25">
      <c r="B859" s="2" t="str">
        <f t="shared" si="26"/>
        <v>PGL_Residential_Multi-Family_Custom Rebate_Custom_0_MF</v>
      </c>
      <c r="C859" s="2" t="str">
        <f t="shared" si="27"/>
        <v>PGL_Residential_Multi-Family_Custom Rebate_Custom_0_MF_2024</v>
      </c>
      <c r="D859" s="19" t="s">
        <v>1794</v>
      </c>
      <c r="E859" s="19" t="s">
        <v>2</v>
      </c>
      <c r="F859" s="19" t="s">
        <v>1422</v>
      </c>
      <c r="G859" s="19" t="s">
        <v>1426</v>
      </c>
      <c r="H859" s="19" t="s">
        <v>5</v>
      </c>
      <c r="I859" s="19">
        <v>0</v>
      </c>
      <c r="J859" s="19">
        <v>0</v>
      </c>
      <c r="K859" s="19" t="s">
        <v>553</v>
      </c>
      <c r="L859" s="19">
        <v>2024</v>
      </c>
      <c r="M859" s="20">
        <v>21037.75</v>
      </c>
      <c r="N859" s="19" t="s">
        <v>609</v>
      </c>
      <c r="O859" s="20">
        <v>3</v>
      </c>
      <c r="P859" s="20">
        <v>63113.25</v>
      </c>
      <c r="Q859" s="20">
        <v>54908.527499999997</v>
      </c>
      <c r="R859" s="21">
        <v>0.87</v>
      </c>
      <c r="S859" s="20">
        <v>54908.527499999997</v>
      </c>
    </row>
    <row r="860" spans="2:19" ht="15" customHeight="1" x14ac:dyDescent="0.25">
      <c r="B860" s="2" t="str">
        <f t="shared" si="26"/>
        <v>PGL_Residential_Multi-Family_Custom Rebate_Custom_0_MF</v>
      </c>
      <c r="C860" s="2" t="str">
        <f t="shared" si="27"/>
        <v>PGL_Residential_Multi-Family_Custom Rebate_Custom_0_MF_2025</v>
      </c>
      <c r="D860" s="19" t="s">
        <v>1794</v>
      </c>
      <c r="E860" s="19" t="s">
        <v>2</v>
      </c>
      <c r="F860" s="19" t="s">
        <v>1422</v>
      </c>
      <c r="G860" s="19" t="s">
        <v>1426</v>
      </c>
      <c r="H860" s="19" t="s">
        <v>5</v>
      </c>
      <c r="I860" s="19">
        <v>0</v>
      </c>
      <c r="J860" s="19">
        <v>0</v>
      </c>
      <c r="K860" s="19" t="s">
        <v>553</v>
      </c>
      <c r="L860" s="19">
        <v>2025</v>
      </c>
      <c r="M860" s="20">
        <v>21037.75</v>
      </c>
      <c r="N860" s="19" t="s">
        <v>609</v>
      </c>
      <c r="O860" s="20">
        <v>2</v>
      </c>
      <c r="P860" s="20">
        <v>42075.5</v>
      </c>
      <c r="Q860" s="20">
        <v>36605.684999999998</v>
      </c>
      <c r="R860" s="21">
        <v>0.87</v>
      </c>
      <c r="S860" s="20">
        <v>36605.684999999998</v>
      </c>
    </row>
    <row r="861" spans="2:19" ht="15" customHeight="1" x14ac:dyDescent="0.25">
      <c r="B861" s="2" t="str">
        <f t="shared" si="26"/>
        <v>NSG_Residential_Multi-Family_Direct Install_Unit Visit_0_MF</v>
      </c>
      <c r="C861" s="2" t="str">
        <f t="shared" si="27"/>
        <v>NSG_Residential_Multi-Family_Direct Install_Unit Visit_0_MF_2022</v>
      </c>
      <c r="D861" s="19" t="s">
        <v>1787</v>
      </c>
      <c r="E861" s="19" t="s">
        <v>2</v>
      </c>
      <c r="F861" s="19" t="s">
        <v>1422</v>
      </c>
      <c r="G861" s="19" t="s">
        <v>4</v>
      </c>
      <c r="H861" s="19" t="s">
        <v>1090</v>
      </c>
      <c r="I861" s="19">
        <v>0</v>
      </c>
      <c r="J861" s="19">
        <v>0</v>
      </c>
      <c r="K861" s="19" t="s">
        <v>553</v>
      </c>
      <c r="L861" s="19">
        <v>2022</v>
      </c>
      <c r="M861" s="20">
        <v>1</v>
      </c>
      <c r="N861" s="19" t="s">
        <v>1798</v>
      </c>
      <c r="O861" s="20">
        <v>500</v>
      </c>
      <c r="P861" s="20">
        <v>500</v>
      </c>
      <c r="Q861" s="20">
        <v>0</v>
      </c>
      <c r="R861" s="21">
        <v>0.96</v>
      </c>
      <c r="S861" s="20">
        <v>0</v>
      </c>
    </row>
    <row r="862" spans="2:19" ht="15" customHeight="1" x14ac:dyDescent="0.25">
      <c r="B862" s="2" t="str">
        <f t="shared" si="26"/>
        <v>NSG_Residential_Multi-Family_Direct Install_Unit Visit_0_MF</v>
      </c>
      <c r="C862" s="2" t="str">
        <f t="shared" si="27"/>
        <v>NSG_Residential_Multi-Family_Direct Install_Unit Visit_0_MF_2023</v>
      </c>
      <c r="D862" s="19" t="s">
        <v>1787</v>
      </c>
      <c r="E862" s="19" t="s">
        <v>2</v>
      </c>
      <c r="F862" s="19" t="s">
        <v>1422</v>
      </c>
      <c r="G862" s="19" t="s">
        <v>4</v>
      </c>
      <c r="H862" s="19" t="s">
        <v>1090</v>
      </c>
      <c r="I862" s="19">
        <v>0</v>
      </c>
      <c r="J862" s="19">
        <v>0</v>
      </c>
      <c r="K862" s="19" t="s">
        <v>553</v>
      </c>
      <c r="L862" s="19">
        <v>2023</v>
      </c>
      <c r="M862" s="20">
        <v>1</v>
      </c>
      <c r="N862" s="19" t="s">
        <v>1798</v>
      </c>
      <c r="O862" s="20">
        <v>500</v>
      </c>
      <c r="P862" s="20">
        <v>500</v>
      </c>
      <c r="Q862" s="20">
        <v>0</v>
      </c>
      <c r="R862" s="21">
        <v>0.96</v>
      </c>
      <c r="S862" s="20">
        <v>0</v>
      </c>
    </row>
    <row r="863" spans="2:19" ht="15" customHeight="1" x14ac:dyDescent="0.25">
      <c r="B863" s="2" t="str">
        <f t="shared" si="26"/>
        <v>NSG_Residential_Multi-Family_Direct Install_Unit Visit_0_MF</v>
      </c>
      <c r="C863" s="2" t="str">
        <f t="shared" si="27"/>
        <v>NSG_Residential_Multi-Family_Direct Install_Unit Visit_0_MF_2024</v>
      </c>
      <c r="D863" s="19" t="s">
        <v>1787</v>
      </c>
      <c r="E863" s="19" t="s">
        <v>2</v>
      </c>
      <c r="F863" s="19" t="s">
        <v>1422</v>
      </c>
      <c r="G863" s="19" t="s">
        <v>4</v>
      </c>
      <c r="H863" s="19" t="s">
        <v>1090</v>
      </c>
      <c r="I863" s="19">
        <v>0</v>
      </c>
      <c r="J863" s="19">
        <v>0</v>
      </c>
      <c r="K863" s="19" t="s">
        <v>553</v>
      </c>
      <c r="L863" s="19">
        <v>2024</v>
      </c>
      <c r="M863" s="20">
        <v>1</v>
      </c>
      <c r="N863" s="19" t="s">
        <v>1798</v>
      </c>
      <c r="O863" s="20">
        <v>500</v>
      </c>
      <c r="P863" s="20">
        <v>500</v>
      </c>
      <c r="Q863" s="20">
        <v>0</v>
      </c>
      <c r="R863" s="21">
        <v>0.96</v>
      </c>
      <c r="S863" s="20">
        <v>0</v>
      </c>
    </row>
    <row r="864" spans="2:19" ht="15" customHeight="1" x14ac:dyDescent="0.25">
      <c r="B864" s="2" t="str">
        <f t="shared" si="26"/>
        <v>NSG_Residential_Multi-Family_Direct Install_Unit Visit_0_MF</v>
      </c>
      <c r="C864" s="2" t="str">
        <f t="shared" si="27"/>
        <v>NSG_Residential_Multi-Family_Direct Install_Unit Visit_0_MF_2025</v>
      </c>
      <c r="D864" s="19" t="s">
        <v>1787</v>
      </c>
      <c r="E864" s="19" t="s">
        <v>2</v>
      </c>
      <c r="F864" s="19" t="s">
        <v>1422</v>
      </c>
      <c r="G864" s="19" t="s">
        <v>4</v>
      </c>
      <c r="H864" s="19" t="s">
        <v>1090</v>
      </c>
      <c r="I864" s="19">
        <v>0</v>
      </c>
      <c r="J864" s="19">
        <v>0</v>
      </c>
      <c r="K864" s="19" t="s">
        <v>553</v>
      </c>
      <c r="L864" s="19">
        <v>2025</v>
      </c>
      <c r="M864" s="20">
        <v>1</v>
      </c>
      <c r="N864" s="19" t="s">
        <v>1798</v>
      </c>
      <c r="O864" s="20">
        <v>500</v>
      </c>
      <c r="P864" s="20">
        <v>500</v>
      </c>
      <c r="Q864" s="20">
        <v>0</v>
      </c>
      <c r="R864" s="21">
        <v>0.96</v>
      </c>
      <c r="S864" s="20">
        <v>0</v>
      </c>
    </row>
    <row r="865" spans="2:19" ht="15" customHeight="1" x14ac:dyDescent="0.25">
      <c r="B865" s="2" t="str">
        <f t="shared" si="26"/>
        <v>NSG_Residential_Multi-Family_Direct Install_Unit Visit_CA_MF</v>
      </c>
      <c r="C865" s="2" t="str">
        <f t="shared" si="27"/>
        <v>NSG_Residential_Multi-Family_Direct Install_Unit Visit_CA_MF_2022</v>
      </c>
      <c r="D865" s="19" t="s">
        <v>1787</v>
      </c>
      <c r="E865" s="19" t="s">
        <v>2</v>
      </c>
      <c r="F865" s="19" t="s">
        <v>1422</v>
      </c>
      <c r="G865" s="19" t="s">
        <v>4</v>
      </c>
      <c r="H865" s="19" t="s">
        <v>1090</v>
      </c>
      <c r="I865" s="19" t="s">
        <v>1423</v>
      </c>
      <c r="J865" s="19" t="s">
        <v>1469</v>
      </c>
      <c r="K865" s="19" t="s">
        <v>553</v>
      </c>
      <c r="L865" s="19">
        <v>2022</v>
      </c>
      <c r="M865" s="20">
        <v>1</v>
      </c>
      <c r="N865" s="19" t="s">
        <v>1798</v>
      </c>
      <c r="O865" s="20">
        <v>20</v>
      </c>
      <c r="P865" s="20">
        <v>20</v>
      </c>
      <c r="Q865" s="20">
        <v>0</v>
      </c>
      <c r="R865" s="21">
        <v>0.96</v>
      </c>
      <c r="S865" s="20">
        <v>0</v>
      </c>
    </row>
    <row r="866" spans="2:19" ht="15" customHeight="1" x14ac:dyDescent="0.25">
      <c r="B866" s="2" t="str">
        <f t="shared" si="26"/>
        <v>NSG_Residential_Multi-Family_Direct Install_Unit Visit_CA_MF</v>
      </c>
      <c r="C866" s="2" t="str">
        <f t="shared" si="27"/>
        <v>NSG_Residential_Multi-Family_Direct Install_Unit Visit_CA_MF_2023</v>
      </c>
      <c r="D866" s="19" t="s">
        <v>1787</v>
      </c>
      <c r="E866" s="19" t="s">
        <v>2</v>
      </c>
      <c r="F866" s="19" t="s">
        <v>1422</v>
      </c>
      <c r="G866" s="19" t="s">
        <v>4</v>
      </c>
      <c r="H866" s="19" t="s">
        <v>1090</v>
      </c>
      <c r="I866" s="19" t="s">
        <v>1423</v>
      </c>
      <c r="J866" s="19" t="s">
        <v>1469</v>
      </c>
      <c r="K866" s="19" t="s">
        <v>553</v>
      </c>
      <c r="L866" s="19">
        <v>2023</v>
      </c>
      <c r="M866" s="20">
        <v>1</v>
      </c>
      <c r="N866" s="19" t="s">
        <v>1798</v>
      </c>
      <c r="O866" s="20">
        <v>20</v>
      </c>
      <c r="P866" s="20">
        <v>20</v>
      </c>
      <c r="Q866" s="20">
        <v>0</v>
      </c>
      <c r="R866" s="21">
        <v>0.96</v>
      </c>
      <c r="S866" s="20">
        <v>0</v>
      </c>
    </row>
    <row r="867" spans="2:19" ht="15" customHeight="1" x14ac:dyDescent="0.25">
      <c r="B867" s="2" t="str">
        <f t="shared" si="26"/>
        <v>NSG_Residential_Multi-Family_Direct Install_Unit Visit_CA_MF</v>
      </c>
      <c r="C867" s="2" t="str">
        <f t="shared" si="27"/>
        <v>NSG_Residential_Multi-Family_Direct Install_Unit Visit_CA_MF_2024</v>
      </c>
      <c r="D867" s="19" t="s">
        <v>1787</v>
      </c>
      <c r="E867" s="19" t="s">
        <v>2</v>
      </c>
      <c r="F867" s="19" t="s">
        <v>1422</v>
      </c>
      <c r="G867" s="19" t="s">
        <v>4</v>
      </c>
      <c r="H867" s="19" t="s">
        <v>1090</v>
      </c>
      <c r="I867" s="19" t="s">
        <v>1423</v>
      </c>
      <c r="J867" s="19" t="s">
        <v>1469</v>
      </c>
      <c r="K867" s="19" t="s">
        <v>553</v>
      </c>
      <c r="L867" s="19">
        <v>2024</v>
      </c>
      <c r="M867" s="20">
        <v>1</v>
      </c>
      <c r="N867" s="19" t="s">
        <v>1798</v>
      </c>
      <c r="O867" s="20">
        <v>20</v>
      </c>
      <c r="P867" s="20">
        <v>20</v>
      </c>
      <c r="Q867" s="20">
        <v>0</v>
      </c>
      <c r="R867" s="21">
        <v>0.96</v>
      </c>
      <c r="S867" s="20">
        <v>0</v>
      </c>
    </row>
    <row r="868" spans="2:19" ht="15" customHeight="1" x14ac:dyDescent="0.25">
      <c r="B868" s="2" t="str">
        <f t="shared" si="26"/>
        <v>NSG_Residential_Multi-Family_Direct Install_Unit Visit_CA_MF</v>
      </c>
      <c r="C868" s="2" t="str">
        <f t="shared" si="27"/>
        <v>NSG_Residential_Multi-Family_Direct Install_Unit Visit_CA_MF_2025</v>
      </c>
      <c r="D868" s="19" t="s">
        <v>1787</v>
      </c>
      <c r="E868" s="19" t="s">
        <v>2</v>
      </c>
      <c r="F868" s="19" t="s">
        <v>1422</v>
      </c>
      <c r="G868" s="19" t="s">
        <v>4</v>
      </c>
      <c r="H868" s="19" t="s">
        <v>1090</v>
      </c>
      <c r="I868" s="19" t="s">
        <v>1423</v>
      </c>
      <c r="J868" s="19" t="s">
        <v>1469</v>
      </c>
      <c r="K868" s="19" t="s">
        <v>553</v>
      </c>
      <c r="L868" s="19">
        <v>2025</v>
      </c>
      <c r="M868" s="20">
        <v>1</v>
      </c>
      <c r="N868" s="19" t="s">
        <v>1798</v>
      </c>
      <c r="O868" s="20">
        <v>20</v>
      </c>
      <c r="P868" s="20">
        <v>20</v>
      </c>
      <c r="Q868" s="20">
        <v>0</v>
      </c>
      <c r="R868" s="21">
        <v>0.96</v>
      </c>
      <c r="S868" s="20">
        <v>0</v>
      </c>
    </row>
    <row r="869" spans="2:19" ht="15" customHeight="1" x14ac:dyDescent="0.25">
      <c r="B869" s="2" t="str">
        <f t="shared" si="26"/>
        <v>NSG_Residential_Multi-Family_Direct Install_Large Building Assessment Fee (35+ units)_0_MF</v>
      </c>
      <c r="C869" s="2" t="str">
        <f t="shared" si="27"/>
        <v>NSG_Residential_Multi-Family_Direct Install_Large Building Assessment Fee (35+ units)_0_MF_2022</v>
      </c>
      <c r="D869" s="19" t="s">
        <v>1787</v>
      </c>
      <c r="E869" s="19" t="s">
        <v>2</v>
      </c>
      <c r="F869" s="19" t="s">
        <v>1422</v>
      </c>
      <c r="G869" s="19" t="s">
        <v>4</v>
      </c>
      <c r="H869" s="19" t="s">
        <v>1424</v>
      </c>
      <c r="I869" s="19">
        <v>0</v>
      </c>
      <c r="J869" s="19" t="s">
        <v>1469</v>
      </c>
      <c r="K869" s="19" t="s">
        <v>553</v>
      </c>
      <c r="L869" s="19">
        <v>2022</v>
      </c>
      <c r="M869" s="20">
        <v>1</v>
      </c>
      <c r="N869" s="19" t="s">
        <v>1798</v>
      </c>
      <c r="O869" s="20">
        <v>0</v>
      </c>
      <c r="P869" s="20">
        <v>0</v>
      </c>
      <c r="Q869" s="20">
        <v>0</v>
      </c>
      <c r="R869" s="21">
        <v>0.96</v>
      </c>
      <c r="S869" s="20">
        <v>0</v>
      </c>
    </row>
    <row r="870" spans="2:19" ht="15" customHeight="1" x14ac:dyDescent="0.25">
      <c r="B870" s="2" t="str">
        <f t="shared" si="26"/>
        <v>NSG_Residential_Multi-Family_Direct Install_Large Building Assessment Fee (35+ units)_0_MF</v>
      </c>
      <c r="C870" s="2" t="str">
        <f t="shared" si="27"/>
        <v>NSG_Residential_Multi-Family_Direct Install_Large Building Assessment Fee (35+ units)_0_MF_2023</v>
      </c>
      <c r="D870" s="19" t="s">
        <v>1787</v>
      </c>
      <c r="E870" s="19" t="s">
        <v>2</v>
      </c>
      <c r="F870" s="19" t="s">
        <v>1422</v>
      </c>
      <c r="G870" s="19" t="s">
        <v>4</v>
      </c>
      <c r="H870" s="19" t="s">
        <v>1424</v>
      </c>
      <c r="I870" s="19">
        <v>0</v>
      </c>
      <c r="J870" s="19" t="s">
        <v>1469</v>
      </c>
      <c r="K870" s="19" t="s">
        <v>553</v>
      </c>
      <c r="L870" s="19">
        <v>2023</v>
      </c>
      <c r="M870" s="20">
        <v>1</v>
      </c>
      <c r="N870" s="19" t="s">
        <v>1798</v>
      </c>
      <c r="O870" s="20">
        <v>0</v>
      </c>
      <c r="P870" s="20">
        <v>0</v>
      </c>
      <c r="Q870" s="20">
        <v>0</v>
      </c>
      <c r="R870" s="21">
        <v>0.96</v>
      </c>
      <c r="S870" s="20">
        <v>0</v>
      </c>
    </row>
    <row r="871" spans="2:19" ht="15" customHeight="1" x14ac:dyDescent="0.25">
      <c r="B871" s="2" t="str">
        <f t="shared" si="26"/>
        <v>NSG_Residential_Multi-Family_Direct Install_Large Building Assessment Fee (35+ units)_0_MF</v>
      </c>
      <c r="C871" s="2" t="str">
        <f t="shared" si="27"/>
        <v>NSG_Residential_Multi-Family_Direct Install_Large Building Assessment Fee (35+ units)_0_MF_2024</v>
      </c>
      <c r="D871" s="19" t="s">
        <v>1787</v>
      </c>
      <c r="E871" s="19" t="s">
        <v>2</v>
      </c>
      <c r="F871" s="19" t="s">
        <v>1422</v>
      </c>
      <c r="G871" s="19" t="s">
        <v>4</v>
      </c>
      <c r="H871" s="19" t="s">
        <v>1424</v>
      </c>
      <c r="I871" s="19">
        <v>0</v>
      </c>
      <c r="J871" s="19" t="s">
        <v>1469</v>
      </c>
      <c r="K871" s="19" t="s">
        <v>553</v>
      </c>
      <c r="L871" s="19">
        <v>2024</v>
      </c>
      <c r="M871" s="20">
        <v>1</v>
      </c>
      <c r="N871" s="19" t="s">
        <v>1798</v>
      </c>
      <c r="O871" s="20">
        <v>0</v>
      </c>
      <c r="P871" s="20">
        <v>0</v>
      </c>
      <c r="Q871" s="20">
        <v>0</v>
      </c>
      <c r="R871" s="21">
        <v>0.96</v>
      </c>
      <c r="S871" s="20">
        <v>0</v>
      </c>
    </row>
    <row r="872" spans="2:19" ht="15" customHeight="1" x14ac:dyDescent="0.25">
      <c r="B872" s="2" t="str">
        <f t="shared" si="26"/>
        <v>NSG_Residential_Multi-Family_Direct Install_Large Building Assessment Fee (35+ units)_0_MF</v>
      </c>
      <c r="C872" s="2" t="str">
        <f t="shared" si="27"/>
        <v>NSG_Residential_Multi-Family_Direct Install_Large Building Assessment Fee (35+ units)_0_MF_2025</v>
      </c>
      <c r="D872" s="19" t="s">
        <v>1787</v>
      </c>
      <c r="E872" s="19" t="s">
        <v>2</v>
      </c>
      <c r="F872" s="19" t="s">
        <v>1422</v>
      </c>
      <c r="G872" s="19" t="s">
        <v>4</v>
      </c>
      <c r="H872" s="19" t="s">
        <v>1424</v>
      </c>
      <c r="I872" s="19">
        <v>0</v>
      </c>
      <c r="J872" s="19" t="s">
        <v>1469</v>
      </c>
      <c r="K872" s="19" t="s">
        <v>553</v>
      </c>
      <c r="L872" s="19">
        <v>2025</v>
      </c>
      <c r="M872" s="20">
        <v>1</v>
      </c>
      <c r="N872" s="19" t="s">
        <v>1798</v>
      </c>
      <c r="O872" s="20">
        <v>0</v>
      </c>
      <c r="P872" s="20">
        <v>0</v>
      </c>
      <c r="Q872" s="20">
        <v>0</v>
      </c>
      <c r="R872" s="21">
        <v>0.96</v>
      </c>
      <c r="S872" s="20">
        <v>0</v>
      </c>
    </row>
    <row r="873" spans="2:19" ht="15" customHeight="1" x14ac:dyDescent="0.25">
      <c r="B873" s="2" t="str">
        <f t="shared" si="26"/>
        <v>NSG_Residential_Multi-Family_Direct Install_Small Building Assessment Fee (3-34 units)_0_MF</v>
      </c>
      <c r="C873" s="2" t="str">
        <f t="shared" si="27"/>
        <v>NSG_Residential_Multi-Family_Direct Install_Small Building Assessment Fee (3-34 units)_0_MF_2022</v>
      </c>
      <c r="D873" s="19" t="s">
        <v>1787</v>
      </c>
      <c r="E873" s="19" t="s">
        <v>2</v>
      </c>
      <c r="F873" s="19" t="s">
        <v>1422</v>
      </c>
      <c r="G873" s="19" t="s">
        <v>4</v>
      </c>
      <c r="H873" s="19" t="s">
        <v>1425</v>
      </c>
      <c r="I873" s="19">
        <v>0</v>
      </c>
      <c r="J873" s="19" t="s">
        <v>1469</v>
      </c>
      <c r="K873" s="19" t="s">
        <v>553</v>
      </c>
      <c r="L873" s="19">
        <v>2022</v>
      </c>
      <c r="M873" s="20">
        <v>1</v>
      </c>
      <c r="N873" s="19" t="s">
        <v>1798</v>
      </c>
      <c r="O873" s="20">
        <v>0</v>
      </c>
      <c r="P873" s="20">
        <v>0</v>
      </c>
      <c r="Q873" s="20">
        <v>0</v>
      </c>
      <c r="R873" s="21">
        <v>0.96</v>
      </c>
      <c r="S873" s="20">
        <v>0</v>
      </c>
    </row>
    <row r="874" spans="2:19" ht="15" customHeight="1" x14ac:dyDescent="0.25">
      <c r="B874" s="2" t="str">
        <f t="shared" si="26"/>
        <v>NSG_Residential_Multi-Family_Direct Install_Small Building Assessment Fee (3-34 units)_0_MF</v>
      </c>
      <c r="C874" s="2" t="str">
        <f t="shared" si="27"/>
        <v>NSG_Residential_Multi-Family_Direct Install_Small Building Assessment Fee (3-34 units)_0_MF_2023</v>
      </c>
      <c r="D874" s="19" t="s">
        <v>1787</v>
      </c>
      <c r="E874" s="19" t="s">
        <v>2</v>
      </c>
      <c r="F874" s="19" t="s">
        <v>1422</v>
      </c>
      <c r="G874" s="19" t="s">
        <v>4</v>
      </c>
      <c r="H874" s="19" t="s">
        <v>1425</v>
      </c>
      <c r="I874" s="19">
        <v>0</v>
      </c>
      <c r="J874" s="19" t="s">
        <v>1469</v>
      </c>
      <c r="K874" s="19" t="s">
        <v>553</v>
      </c>
      <c r="L874" s="19">
        <v>2023</v>
      </c>
      <c r="M874" s="20">
        <v>1</v>
      </c>
      <c r="N874" s="19" t="s">
        <v>1798</v>
      </c>
      <c r="O874" s="20">
        <v>0</v>
      </c>
      <c r="P874" s="20">
        <v>0</v>
      </c>
      <c r="Q874" s="20">
        <v>0</v>
      </c>
      <c r="R874" s="21">
        <v>0.96</v>
      </c>
      <c r="S874" s="20">
        <v>0</v>
      </c>
    </row>
    <row r="875" spans="2:19" ht="15" customHeight="1" x14ac:dyDescent="0.25">
      <c r="B875" s="2" t="str">
        <f t="shared" si="26"/>
        <v>NSG_Residential_Multi-Family_Direct Install_Small Building Assessment Fee (3-34 units)_0_MF</v>
      </c>
      <c r="C875" s="2" t="str">
        <f t="shared" si="27"/>
        <v>NSG_Residential_Multi-Family_Direct Install_Small Building Assessment Fee (3-34 units)_0_MF_2024</v>
      </c>
      <c r="D875" s="19" t="s">
        <v>1787</v>
      </c>
      <c r="E875" s="19" t="s">
        <v>2</v>
      </c>
      <c r="F875" s="19" t="s">
        <v>1422</v>
      </c>
      <c r="G875" s="19" t="s">
        <v>4</v>
      </c>
      <c r="H875" s="19" t="s">
        <v>1425</v>
      </c>
      <c r="I875" s="19">
        <v>0</v>
      </c>
      <c r="J875" s="19" t="s">
        <v>1469</v>
      </c>
      <c r="K875" s="19" t="s">
        <v>553</v>
      </c>
      <c r="L875" s="19">
        <v>2024</v>
      </c>
      <c r="M875" s="20">
        <v>1</v>
      </c>
      <c r="N875" s="19" t="s">
        <v>1798</v>
      </c>
      <c r="O875" s="20">
        <v>0</v>
      </c>
      <c r="P875" s="20">
        <v>0</v>
      </c>
      <c r="Q875" s="20">
        <v>0</v>
      </c>
      <c r="R875" s="21">
        <v>0.96</v>
      </c>
      <c r="S875" s="20">
        <v>0</v>
      </c>
    </row>
    <row r="876" spans="2:19" ht="15" customHeight="1" x14ac:dyDescent="0.25">
      <c r="B876" s="2" t="str">
        <f t="shared" si="26"/>
        <v>NSG_Residential_Multi-Family_Direct Install_Small Building Assessment Fee (3-34 units)_0_MF</v>
      </c>
      <c r="C876" s="2" t="str">
        <f t="shared" si="27"/>
        <v>NSG_Residential_Multi-Family_Direct Install_Small Building Assessment Fee (3-34 units)_0_MF_2025</v>
      </c>
      <c r="D876" s="19" t="s">
        <v>1787</v>
      </c>
      <c r="E876" s="19" t="s">
        <v>2</v>
      </c>
      <c r="F876" s="19" t="s">
        <v>1422</v>
      </c>
      <c r="G876" s="19" t="s">
        <v>4</v>
      </c>
      <c r="H876" s="19" t="s">
        <v>1425</v>
      </c>
      <c r="I876" s="19">
        <v>0</v>
      </c>
      <c r="J876" s="19" t="s">
        <v>1469</v>
      </c>
      <c r="K876" s="19" t="s">
        <v>553</v>
      </c>
      <c r="L876" s="19">
        <v>2025</v>
      </c>
      <c r="M876" s="20">
        <v>1</v>
      </c>
      <c r="N876" s="19" t="s">
        <v>1798</v>
      </c>
      <c r="O876" s="20">
        <v>0</v>
      </c>
      <c r="P876" s="20">
        <v>0</v>
      </c>
      <c r="Q876" s="20">
        <v>0</v>
      </c>
      <c r="R876" s="21">
        <v>0.96</v>
      </c>
      <c r="S876" s="20">
        <v>0</v>
      </c>
    </row>
    <row r="877" spans="2:19" ht="15" customHeight="1" x14ac:dyDescent="0.25">
      <c r="B877" s="2" t="str">
        <f t="shared" si="26"/>
        <v>NSG_Residential_Multi-Family_Direct Install_Low Flow Bathroom Aerator_0_MF</v>
      </c>
      <c r="C877" s="2" t="str">
        <f t="shared" si="27"/>
        <v>NSG_Residential_Multi-Family_Direct Install_Low Flow Bathroom Aerator_0_MF_2022</v>
      </c>
      <c r="D877" s="19" t="s">
        <v>1787</v>
      </c>
      <c r="E877" s="19" t="s">
        <v>2</v>
      </c>
      <c r="F877" s="19" t="s">
        <v>1422</v>
      </c>
      <c r="G877" s="19" t="s">
        <v>4</v>
      </c>
      <c r="H877" s="19" t="s">
        <v>555</v>
      </c>
      <c r="I877" s="19">
        <v>0</v>
      </c>
      <c r="J877" s="19" t="s">
        <v>534</v>
      </c>
      <c r="K877" s="19" t="s">
        <v>553</v>
      </c>
      <c r="L877" s="19">
        <v>2022</v>
      </c>
      <c r="M877" s="20">
        <v>1</v>
      </c>
      <c r="N877" s="19" t="s">
        <v>1798</v>
      </c>
      <c r="O877" s="20">
        <v>447</v>
      </c>
      <c r="P877" s="20">
        <v>447</v>
      </c>
      <c r="Q877" s="20">
        <v>708.58761947634036</v>
      </c>
      <c r="R877" s="21">
        <v>1.01</v>
      </c>
      <c r="S877" s="20">
        <v>708.58761947634036</v>
      </c>
    </row>
    <row r="878" spans="2:19" ht="15" customHeight="1" x14ac:dyDescent="0.25">
      <c r="B878" s="2" t="str">
        <f t="shared" si="26"/>
        <v>NSG_Residential_Multi-Family_Direct Install_Low Flow Bathroom Aerator_0_MF</v>
      </c>
      <c r="C878" s="2" t="str">
        <f t="shared" si="27"/>
        <v>NSG_Residential_Multi-Family_Direct Install_Low Flow Bathroom Aerator_0_MF_2023</v>
      </c>
      <c r="D878" s="19" t="s">
        <v>1787</v>
      </c>
      <c r="E878" s="19" t="s">
        <v>2</v>
      </c>
      <c r="F878" s="19" t="s">
        <v>1422</v>
      </c>
      <c r="G878" s="19" t="s">
        <v>4</v>
      </c>
      <c r="H878" s="19" t="s">
        <v>555</v>
      </c>
      <c r="I878" s="19">
        <v>0</v>
      </c>
      <c r="J878" s="19" t="s">
        <v>534</v>
      </c>
      <c r="K878" s="19" t="s">
        <v>553</v>
      </c>
      <c r="L878" s="19">
        <v>2023</v>
      </c>
      <c r="M878" s="20">
        <v>1</v>
      </c>
      <c r="N878" s="19" t="s">
        <v>1798</v>
      </c>
      <c r="O878" s="20">
        <v>447</v>
      </c>
      <c r="P878" s="20">
        <v>447</v>
      </c>
      <c r="Q878" s="20">
        <v>708.58761947634036</v>
      </c>
      <c r="R878" s="21">
        <v>1.01</v>
      </c>
      <c r="S878" s="20">
        <v>708.58761947634036</v>
      </c>
    </row>
    <row r="879" spans="2:19" ht="15" customHeight="1" x14ac:dyDescent="0.25">
      <c r="B879" s="2" t="str">
        <f t="shared" si="26"/>
        <v>NSG_Residential_Multi-Family_Direct Install_Low Flow Bathroom Aerator_0_MF</v>
      </c>
      <c r="C879" s="2" t="str">
        <f t="shared" si="27"/>
        <v>NSG_Residential_Multi-Family_Direct Install_Low Flow Bathroom Aerator_0_MF_2024</v>
      </c>
      <c r="D879" s="19" t="s">
        <v>1787</v>
      </c>
      <c r="E879" s="19" t="s">
        <v>2</v>
      </c>
      <c r="F879" s="19" t="s">
        <v>1422</v>
      </c>
      <c r="G879" s="19" t="s">
        <v>4</v>
      </c>
      <c r="H879" s="19" t="s">
        <v>555</v>
      </c>
      <c r="I879" s="19">
        <v>0</v>
      </c>
      <c r="J879" s="19" t="s">
        <v>534</v>
      </c>
      <c r="K879" s="19" t="s">
        <v>553</v>
      </c>
      <c r="L879" s="19">
        <v>2024</v>
      </c>
      <c r="M879" s="20">
        <v>1</v>
      </c>
      <c r="N879" s="19" t="s">
        <v>1798</v>
      </c>
      <c r="O879" s="20">
        <v>447</v>
      </c>
      <c r="P879" s="20">
        <v>447</v>
      </c>
      <c r="Q879" s="20">
        <v>708.58761947634036</v>
      </c>
      <c r="R879" s="21">
        <v>1.01</v>
      </c>
      <c r="S879" s="20">
        <v>708.58761947634036</v>
      </c>
    </row>
    <row r="880" spans="2:19" ht="15" customHeight="1" x14ac:dyDescent="0.25">
      <c r="B880" s="2" t="str">
        <f t="shared" si="26"/>
        <v>NSG_Residential_Multi-Family_Direct Install_Low Flow Bathroom Aerator_0_MF</v>
      </c>
      <c r="C880" s="2" t="str">
        <f t="shared" si="27"/>
        <v>NSG_Residential_Multi-Family_Direct Install_Low Flow Bathroom Aerator_0_MF_2025</v>
      </c>
      <c r="D880" s="19" t="s">
        <v>1787</v>
      </c>
      <c r="E880" s="19" t="s">
        <v>2</v>
      </c>
      <c r="F880" s="19" t="s">
        <v>1422</v>
      </c>
      <c r="G880" s="19" t="s">
        <v>4</v>
      </c>
      <c r="H880" s="19" t="s">
        <v>555</v>
      </c>
      <c r="I880" s="19">
        <v>0</v>
      </c>
      <c r="J880" s="19" t="s">
        <v>534</v>
      </c>
      <c r="K880" s="19" t="s">
        <v>553</v>
      </c>
      <c r="L880" s="19">
        <v>2025</v>
      </c>
      <c r="M880" s="20">
        <v>1</v>
      </c>
      <c r="N880" s="19" t="s">
        <v>1798</v>
      </c>
      <c r="O880" s="20">
        <v>447</v>
      </c>
      <c r="P880" s="20">
        <v>447</v>
      </c>
      <c r="Q880" s="20">
        <v>708.58761947634036</v>
      </c>
      <c r="R880" s="21">
        <v>1.01</v>
      </c>
      <c r="S880" s="20">
        <v>708.58761947634036</v>
      </c>
    </row>
    <row r="881" spans="2:19" ht="15" customHeight="1" x14ac:dyDescent="0.25">
      <c r="B881" s="2" t="str">
        <f t="shared" si="26"/>
        <v>NSG_Residential_Multi-Family_Direct Install_Low Flow Kitchen Aerator_0_MF</v>
      </c>
      <c r="C881" s="2" t="str">
        <f t="shared" si="27"/>
        <v>NSG_Residential_Multi-Family_Direct Install_Low Flow Kitchen Aerator_0_MF_2022</v>
      </c>
      <c r="D881" s="19" t="s">
        <v>1787</v>
      </c>
      <c r="E881" s="19" t="s">
        <v>2</v>
      </c>
      <c r="F881" s="19" t="s">
        <v>1422</v>
      </c>
      <c r="G881" s="19" t="s">
        <v>4</v>
      </c>
      <c r="H881" s="19" t="s">
        <v>533</v>
      </c>
      <c r="I881" s="19">
        <v>0</v>
      </c>
      <c r="J881" s="19" t="s">
        <v>534</v>
      </c>
      <c r="K881" s="19" t="s">
        <v>553</v>
      </c>
      <c r="L881" s="19">
        <v>2022</v>
      </c>
      <c r="M881" s="20">
        <v>1</v>
      </c>
      <c r="N881" s="19" t="s">
        <v>1798</v>
      </c>
      <c r="O881" s="20">
        <v>335</v>
      </c>
      <c r="P881" s="20">
        <v>335</v>
      </c>
      <c r="Q881" s="20">
        <v>2659.866014267267</v>
      </c>
      <c r="R881" s="21">
        <v>1.01</v>
      </c>
      <c r="S881" s="20">
        <v>2659.866014267267</v>
      </c>
    </row>
    <row r="882" spans="2:19" ht="15" customHeight="1" x14ac:dyDescent="0.25">
      <c r="B882" s="2" t="str">
        <f t="shared" si="26"/>
        <v>NSG_Residential_Multi-Family_Direct Install_Low Flow Kitchen Aerator_0_MF</v>
      </c>
      <c r="C882" s="2" t="str">
        <f t="shared" si="27"/>
        <v>NSG_Residential_Multi-Family_Direct Install_Low Flow Kitchen Aerator_0_MF_2023</v>
      </c>
      <c r="D882" s="19" t="s">
        <v>1787</v>
      </c>
      <c r="E882" s="19" t="s">
        <v>2</v>
      </c>
      <c r="F882" s="19" t="s">
        <v>1422</v>
      </c>
      <c r="G882" s="19" t="s">
        <v>4</v>
      </c>
      <c r="H882" s="19" t="s">
        <v>533</v>
      </c>
      <c r="I882" s="19">
        <v>0</v>
      </c>
      <c r="J882" s="19" t="s">
        <v>534</v>
      </c>
      <c r="K882" s="19" t="s">
        <v>553</v>
      </c>
      <c r="L882" s="19">
        <v>2023</v>
      </c>
      <c r="M882" s="20">
        <v>1</v>
      </c>
      <c r="N882" s="19" t="s">
        <v>1798</v>
      </c>
      <c r="O882" s="20">
        <v>335</v>
      </c>
      <c r="P882" s="20">
        <v>335</v>
      </c>
      <c r="Q882" s="20">
        <v>2659.866014267267</v>
      </c>
      <c r="R882" s="21">
        <v>1.01</v>
      </c>
      <c r="S882" s="20">
        <v>2659.866014267267</v>
      </c>
    </row>
    <row r="883" spans="2:19" ht="15" customHeight="1" x14ac:dyDescent="0.25">
      <c r="B883" s="2" t="str">
        <f t="shared" si="26"/>
        <v>NSG_Residential_Multi-Family_Direct Install_Low Flow Kitchen Aerator_0_MF</v>
      </c>
      <c r="C883" s="2" t="str">
        <f t="shared" si="27"/>
        <v>NSG_Residential_Multi-Family_Direct Install_Low Flow Kitchen Aerator_0_MF_2024</v>
      </c>
      <c r="D883" s="19" t="s">
        <v>1787</v>
      </c>
      <c r="E883" s="19" t="s">
        <v>2</v>
      </c>
      <c r="F883" s="19" t="s">
        <v>1422</v>
      </c>
      <c r="G883" s="19" t="s">
        <v>4</v>
      </c>
      <c r="H883" s="19" t="s">
        <v>533</v>
      </c>
      <c r="I883" s="19">
        <v>0</v>
      </c>
      <c r="J883" s="19" t="s">
        <v>534</v>
      </c>
      <c r="K883" s="19" t="s">
        <v>553</v>
      </c>
      <c r="L883" s="19">
        <v>2024</v>
      </c>
      <c r="M883" s="20">
        <v>1</v>
      </c>
      <c r="N883" s="19" t="s">
        <v>1798</v>
      </c>
      <c r="O883" s="20">
        <v>335</v>
      </c>
      <c r="P883" s="20">
        <v>335</v>
      </c>
      <c r="Q883" s="20">
        <v>2659.866014267267</v>
      </c>
      <c r="R883" s="21">
        <v>1.01</v>
      </c>
      <c r="S883" s="20">
        <v>2659.866014267267</v>
      </c>
    </row>
    <row r="884" spans="2:19" ht="15" customHeight="1" x14ac:dyDescent="0.25">
      <c r="B884" s="2" t="str">
        <f t="shared" si="26"/>
        <v>NSG_Residential_Multi-Family_Direct Install_Low Flow Kitchen Aerator_0_MF</v>
      </c>
      <c r="C884" s="2" t="str">
        <f t="shared" si="27"/>
        <v>NSG_Residential_Multi-Family_Direct Install_Low Flow Kitchen Aerator_0_MF_2025</v>
      </c>
      <c r="D884" s="19" t="s">
        <v>1787</v>
      </c>
      <c r="E884" s="19" t="s">
        <v>2</v>
      </c>
      <c r="F884" s="19" t="s">
        <v>1422</v>
      </c>
      <c r="G884" s="19" t="s">
        <v>4</v>
      </c>
      <c r="H884" s="19" t="s">
        <v>533</v>
      </c>
      <c r="I884" s="19">
        <v>0</v>
      </c>
      <c r="J884" s="19" t="s">
        <v>534</v>
      </c>
      <c r="K884" s="19" t="s">
        <v>553</v>
      </c>
      <c r="L884" s="19">
        <v>2025</v>
      </c>
      <c r="M884" s="20">
        <v>1</v>
      </c>
      <c r="N884" s="19" t="s">
        <v>1798</v>
      </c>
      <c r="O884" s="20">
        <v>335</v>
      </c>
      <c r="P884" s="20">
        <v>335</v>
      </c>
      <c r="Q884" s="20">
        <v>2659.866014267267</v>
      </c>
      <c r="R884" s="21">
        <v>1.01</v>
      </c>
      <c r="S884" s="20">
        <v>2659.866014267267</v>
      </c>
    </row>
    <row r="885" spans="2:19" ht="15" customHeight="1" x14ac:dyDescent="0.25">
      <c r="B885" s="2" t="str">
        <f t="shared" si="26"/>
        <v>NSG_Residential_Multi-Family_Direct Install_Low Flow Showerhead_0_MF</v>
      </c>
      <c r="C885" s="2" t="str">
        <f t="shared" si="27"/>
        <v>NSG_Residential_Multi-Family_Direct Install_Low Flow Showerhead_0_MF_2022</v>
      </c>
      <c r="D885" s="19" t="s">
        <v>1787</v>
      </c>
      <c r="E885" s="19" t="s">
        <v>2</v>
      </c>
      <c r="F885" s="19" t="s">
        <v>1422</v>
      </c>
      <c r="G885" s="19" t="s">
        <v>4</v>
      </c>
      <c r="H885" s="19" t="s">
        <v>15</v>
      </c>
      <c r="I885" s="19">
        <v>0</v>
      </c>
      <c r="J885" s="19" t="s">
        <v>23</v>
      </c>
      <c r="K885" s="19" t="s">
        <v>553</v>
      </c>
      <c r="L885" s="19">
        <v>2022</v>
      </c>
      <c r="M885" s="20">
        <v>1</v>
      </c>
      <c r="N885" s="19" t="s">
        <v>1798</v>
      </c>
      <c r="O885" s="20">
        <v>405</v>
      </c>
      <c r="P885" s="20">
        <v>405</v>
      </c>
      <c r="Q885" s="20">
        <v>4630.0617543706776</v>
      </c>
      <c r="R885" s="21">
        <v>1.01</v>
      </c>
      <c r="S885" s="20">
        <v>4630.0617543706776</v>
      </c>
    </row>
    <row r="886" spans="2:19" ht="15" customHeight="1" x14ac:dyDescent="0.25">
      <c r="B886" s="2" t="str">
        <f t="shared" si="26"/>
        <v>NSG_Residential_Multi-Family_Direct Install_Low Flow Showerhead_0_MF</v>
      </c>
      <c r="C886" s="2" t="str">
        <f t="shared" si="27"/>
        <v>NSG_Residential_Multi-Family_Direct Install_Low Flow Showerhead_0_MF_2023</v>
      </c>
      <c r="D886" s="19" t="s">
        <v>1787</v>
      </c>
      <c r="E886" s="19" t="s">
        <v>2</v>
      </c>
      <c r="F886" s="19" t="s">
        <v>1422</v>
      </c>
      <c r="G886" s="19" t="s">
        <v>4</v>
      </c>
      <c r="H886" s="19" t="s">
        <v>15</v>
      </c>
      <c r="I886" s="19">
        <v>0</v>
      </c>
      <c r="J886" s="19" t="s">
        <v>23</v>
      </c>
      <c r="K886" s="19" t="s">
        <v>553</v>
      </c>
      <c r="L886" s="19">
        <v>2023</v>
      </c>
      <c r="M886" s="20">
        <v>1</v>
      </c>
      <c r="N886" s="19" t="s">
        <v>1798</v>
      </c>
      <c r="O886" s="20">
        <v>405</v>
      </c>
      <c r="P886" s="20">
        <v>405</v>
      </c>
      <c r="Q886" s="20">
        <v>4630.0617543706776</v>
      </c>
      <c r="R886" s="21">
        <v>1.01</v>
      </c>
      <c r="S886" s="20">
        <v>4630.0617543706776</v>
      </c>
    </row>
    <row r="887" spans="2:19" ht="15" customHeight="1" x14ac:dyDescent="0.25">
      <c r="B887" s="2" t="str">
        <f t="shared" si="26"/>
        <v>NSG_Residential_Multi-Family_Direct Install_Low Flow Showerhead_0_MF</v>
      </c>
      <c r="C887" s="2" t="str">
        <f t="shared" si="27"/>
        <v>NSG_Residential_Multi-Family_Direct Install_Low Flow Showerhead_0_MF_2024</v>
      </c>
      <c r="D887" s="19" t="s">
        <v>1787</v>
      </c>
      <c r="E887" s="19" t="s">
        <v>2</v>
      </c>
      <c r="F887" s="19" t="s">
        <v>1422</v>
      </c>
      <c r="G887" s="19" t="s">
        <v>4</v>
      </c>
      <c r="H887" s="19" t="s">
        <v>15</v>
      </c>
      <c r="I887" s="19">
        <v>0</v>
      </c>
      <c r="J887" s="19" t="s">
        <v>23</v>
      </c>
      <c r="K887" s="19" t="s">
        <v>553</v>
      </c>
      <c r="L887" s="19">
        <v>2024</v>
      </c>
      <c r="M887" s="20">
        <v>1</v>
      </c>
      <c r="N887" s="19" t="s">
        <v>1798</v>
      </c>
      <c r="O887" s="20">
        <v>405</v>
      </c>
      <c r="P887" s="20">
        <v>405</v>
      </c>
      <c r="Q887" s="20">
        <v>4630.0617543706776</v>
      </c>
      <c r="R887" s="21">
        <v>1.01</v>
      </c>
      <c r="S887" s="20">
        <v>4630.0617543706776</v>
      </c>
    </row>
    <row r="888" spans="2:19" ht="15" customHeight="1" x14ac:dyDescent="0.25">
      <c r="B888" s="2" t="str">
        <f t="shared" si="26"/>
        <v>NSG_Residential_Multi-Family_Direct Install_Low Flow Showerhead_0_MF</v>
      </c>
      <c r="C888" s="2" t="str">
        <f t="shared" si="27"/>
        <v>NSG_Residential_Multi-Family_Direct Install_Low Flow Showerhead_0_MF_2025</v>
      </c>
      <c r="D888" s="19" t="s">
        <v>1787</v>
      </c>
      <c r="E888" s="19" t="s">
        <v>2</v>
      </c>
      <c r="F888" s="19" t="s">
        <v>1422</v>
      </c>
      <c r="G888" s="19" t="s">
        <v>4</v>
      </c>
      <c r="H888" s="19" t="s">
        <v>15</v>
      </c>
      <c r="I888" s="19">
        <v>0</v>
      </c>
      <c r="J888" s="19" t="s">
        <v>23</v>
      </c>
      <c r="K888" s="19" t="s">
        <v>553</v>
      </c>
      <c r="L888" s="19">
        <v>2025</v>
      </c>
      <c r="M888" s="20">
        <v>1</v>
      </c>
      <c r="N888" s="19" t="s">
        <v>1798</v>
      </c>
      <c r="O888" s="20">
        <v>405</v>
      </c>
      <c r="P888" s="20">
        <v>405</v>
      </c>
      <c r="Q888" s="20">
        <v>4630.0617543706776</v>
      </c>
      <c r="R888" s="21">
        <v>1.01</v>
      </c>
      <c r="S888" s="20">
        <v>4630.0617543706776</v>
      </c>
    </row>
    <row r="889" spans="2:19" ht="15" customHeight="1" x14ac:dyDescent="0.25">
      <c r="B889" s="2" t="str">
        <f t="shared" si="26"/>
        <v>NSG_Residential_Multi-Family_Direct Install_Pipe Insulation_DHW_MF</v>
      </c>
      <c r="C889" s="2" t="str">
        <f t="shared" si="27"/>
        <v>NSG_Residential_Multi-Family_Direct Install_Pipe Insulation_DHW_MF_2022</v>
      </c>
      <c r="D889" s="19" t="s">
        <v>1787</v>
      </c>
      <c r="E889" s="19" t="s">
        <v>2</v>
      </c>
      <c r="F889" s="19" t="s">
        <v>1422</v>
      </c>
      <c r="G889" s="19" t="s">
        <v>4</v>
      </c>
      <c r="H889" s="19" t="s">
        <v>404</v>
      </c>
      <c r="I889" s="19" t="s">
        <v>1019</v>
      </c>
      <c r="J889" s="19" t="s">
        <v>1008</v>
      </c>
      <c r="K889" s="19" t="s">
        <v>553</v>
      </c>
      <c r="L889" s="19">
        <v>2022</v>
      </c>
      <c r="M889" s="20">
        <v>3</v>
      </c>
      <c r="N889" s="19" t="s">
        <v>616</v>
      </c>
      <c r="O889" s="20">
        <v>483</v>
      </c>
      <c r="P889" s="20">
        <v>1449</v>
      </c>
      <c r="Q889" s="20">
        <v>1227.8246935625359</v>
      </c>
      <c r="R889" s="21">
        <v>0.96</v>
      </c>
      <c r="S889" s="20">
        <v>1227.8246935625359</v>
      </c>
    </row>
    <row r="890" spans="2:19" ht="15" customHeight="1" x14ac:dyDescent="0.25">
      <c r="B890" s="2" t="str">
        <f t="shared" si="26"/>
        <v>NSG_Residential_Multi-Family_Direct Install_Pipe Insulation_DHW_MF</v>
      </c>
      <c r="C890" s="2" t="str">
        <f t="shared" si="27"/>
        <v>NSG_Residential_Multi-Family_Direct Install_Pipe Insulation_DHW_MF_2023</v>
      </c>
      <c r="D890" s="19" t="s">
        <v>1787</v>
      </c>
      <c r="E890" s="19" t="s">
        <v>2</v>
      </c>
      <c r="F890" s="19" t="s">
        <v>1422</v>
      </c>
      <c r="G890" s="19" t="s">
        <v>4</v>
      </c>
      <c r="H890" s="19" t="s">
        <v>404</v>
      </c>
      <c r="I890" s="19" t="s">
        <v>1019</v>
      </c>
      <c r="J890" s="19" t="s">
        <v>1008</v>
      </c>
      <c r="K890" s="19" t="s">
        <v>553</v>
      </c>
      <c r="L890" s="19">
        <v>2023</v>
      </c>
      <c r="M890" s="20">
        <v>3</v>
      </c>
      <c r="N890" s="19" t="s">
        <v>616</v>
      </c>
      <c r="O890" s="20">
        <v>483</v>
      </c>
      <c r="P890" s="20">
        <v>1449</v>
      </c>
      <c r="Q890" s="20">
        <v>1227.8246935625359</v>
      </c>
      <c r="R890" s="21">
        <v>0.96</v>
      </c>
      <c r="S890" s="20">
        <v>1227.8246935625359</v>
      </c>
    </row>
    <row r="891" spans="2:19" ht="15" customHeight="1" x14ac:dyDescent="0.25">
      <c r="B891" s="2" t="str">
        <f t="shared" si="26"/>
        <v>NSG_Residential_Multi-Family_Direct Install_Pipe Insulation_DHW_MF</v>
      </c>
      <c r="C891" s="2" t="str">
        <f t="shared" si="27"/>
        <v>NSG_Residential_Multi-Family_Direct Install_Pipe Insulation_DHW_MF_2024</v>
      </c>
      <c r="D891" s="19" t="s">
        <v>1787</v>
      </c>
      <c r="E891" s="19" t="s">
        <v>2</v>
      </c>
      <c r="F891" s="19" t="s">
        <v>1422</v>
      </c>
      <c r="G891" s="19" t="s">
        <v>4</v>
      </c>
      <c r="H891" s="19" t="s">
        <v>404</v>
      </c>
      <c r="I891" s="19" t="s">
        <v>1019</v>
      </c>
      <c r="J891" s="19" t="s">
        <v>1008</v>
      </c>
      <c r="K891" s="19" t="s">
        <v>553</v>
      </c>
      <c r="L891" s="19">
        <v>2024</v>
      </c>
      <c r="M891" s="20">
        <v>3</v>
      </c>
      <c r="N891" s="19" t="s">
        <v>616</v>
      </c>
      <c r="O891" s="20">
        <v>483</v>
      </c>
      <c r="P891" s="20">
        <v>1449</v>
      </c>
      <c r="Q891" s="20">
        <v>1227.8246935625359</v>
      </c>
      <c r="R891" s="21">
        <v>0.96</v>
      </c>
      <c r="S891" s="20">
        <v>1227.8246935625359</v>
      </c>
    </row>
    <row r="892" spans="2:19" ht="15" customHeight="1" x14ac:dyDescent="0.25">
      <c r="B892" s="2" t="str">
        <f t="shared" si="26"/>
        <v>NSG_Residential_Multi-Family_Direct Install_Pipe Insulation_DHW_MF</v>
      </c>
      <c r="C892" s="2" t="str">
        <f t="shared" si="27"/>
        <v>NSG_Residential_Multi-Family_Direct Install_Pipe Insulation_DHW_MF_2025</v>
      </c>
      <c r="D892" s="19" t="s">
        <v>1787</v>
      </c>
      <c r="E892" s="19" t="s">
        <v>2</v>
      </c>
      <c r="F892" s="19" t="s">
        <v>1422</v>
      </c>
      <c r="G892" s="19" t="s">
        <v>4</v>
      </c>
      <c r="H892" s="19" t="s">
        <v>404</v>
      </c>
      <c r="I892" s="19" t="s">
        <v>1019</v>
      </c>
      <c r="J892" s="19" t="s">
        <v>1008</v>
      </c>
      <c r="K892" s="19" t="s">
        <v>553</v>
      </c>
      <c r="L892" s="19">
        <v>2025</v>
      </c>
      <c r="M892" s="20">
        <v>3</v>
      </c>
      <c r="N892" s="19" t="s">
        <v>616</v>
      </c>
      <c r="O892" s="20">
        <v>483</v>
      </c>
      <c r="P892" s="20">
        <v>1449</v>
      </c>
      <c r="Q892" s="20">
        <v>1227.8246935625359</v>
      </c>
      <c r="R892" s="21">
        <v>0.96</v>
      </c>
      <c r="S892" s="20">
        <v>1227.8246935625359</v>
      </c>
    </row>
    <row r="893" spans="2:19" ht="15" customHeight="1" x14ac:dyDescent="0.25">
      <c r="B893" s="2" t="str">
        <f t="shared" si="26"/>
        <v>NSG_Residential_Multi-Family_Direct Install_Pipe Insulation_Boiler_MF</v>
      </c>
      <c r="C893" s="2" t="str">
        <f t="shared" si="27"/>
        <v>NSG_Residential_Multi-Family_Direct Install_Pipe Insulation_Boiler_MF_2022</v>
      </c>
      <c r="D893" s="19" t="s">
        <v>1787</v>
      </c>
      <c r="E893" s="19" t="s">
        <v>2</v>
      </c>
      <c r="F893" s="19" t="s">
        <v>1422</v>
      </c>
      <c r="G893" s="19" t="s">
        <v>4</v>
      </c>
      <c r="H893" s="19" t="s">
        <v>404</v>
      </c>
      <c r="I893" s="19" t="s">
        <v>944</v>
      </c>
      <c r="J893" s="19" t="s">
        <v>1008</v>
      </c>
      <c r="K893" s="19" t="s">
        <v>553</v>
      </c>
      <c r="L893" s="19">
        <v>2022</v>
      </c>
      <c r="M893" s="20">
        <v>3</v>
      </c>
      <c r="N893" s="19" t="s">
        <v>616</v>
      </c>
      <c r="O893" s="20">
        <v>334</v>
      </c>
      <c r="P893" s="20">
        <v>1002</v>
      </c>
      <c r="Q893" s="20">
        <v>611.03383316786949</v>
      </c>
      <c r="R893" s="21">
        <v>0.96</v>
      </c>
      <c r="S893" s="20">
        <v>611.03383316786949</v>
      </c>
    </row>
    <row r="894" spans="2:19" ht="15" customHeight="1" x14ac:dyDescent="0.25">
      <c r="B894" s="2" t="str">
        <f t="shared" si="26"/>
        <v>NSG_Residential_Multi-Family_Direct Install_Pipe Insulation_Boiler_MF</v>
      </c>
      <c r="C894" s="2" t="str">
        <f t="shared" si="27"/>
        <v>NSG_Residential_Multi-Family_Direct Install_Pipe Insulation_Boiler_MF_2023</v>
      </c>
      <c r="D894" s="19" t="s">
        <v>1787</v>
      </c>
      <c r="E894" s="19" t="s">
        <v>2</v>
      </c>
      <c r="F894" s="19" t="s">
        <v>1422</v>
      </c>
      <c r="G894" s="19" t="s">
        <v>4</v>
      </c>
      <c r="H894" s="19" t="s">
        <v>404</v>
      </c>
      <c r="I894" s="19" t="s">
        <v>944</v>
      </c>
      <c r="J894" s="19" t="s">
        <v>1008</v>
      </c>
      <c r="K894" s="19" t="s">
        <v>553</v>
      </c>
      <c r="L894" s="19">
        <v>2023</v>
      </c>
      <c r="M894" s="20">
        <v>3</v>
      </c>
      <c r="N894" s="19" t="s">
        <v>616</v>
      </c>
      <c r="O894" s="20">
        <v>334</v>
      </c>
      <c r="P894" s="20">
        <v>1002</v>
      </c>
      <c r="Q894" s="20">
        <v>611.03383316786949</v>
      </c>
      <c r="R894" s="21">
        <v>0.96</v>
      </c>
      <c r="S894" s="20">
        <v>611.03383316786949</v>
      </c>
    </row>
    <row r="895" spans="2:19" ht="15" customHeight="1" x14ac:dyDescent="0.25">
      <c r="B895" s="2" t="str">
        <f t="shared" si="26"/>
        <v>NSG_Residential_Multi-Family_Direct Install_Pipe Insulation_Boiler_MF</v>
      </c>
      <c r="C895" s="2" t="str">
        <f t="shared" si="27"/>
        <v>NSG_Residential_Multi-Family_Direct Install_Pipe Insulation_Boiler_MF_2024</v>
      </c>
      <c r="D895" s="19" t="s">
        <v>1787</v>
      </c>
      <c r="E895" s="19" t="s">
        <v>2</v>
      </c>
      <c r="F895" s="19" t="s">
        <v>1422</v>
      </c>
      <c r="G895" s="19" t="s">
        <v>4</v>
      </c>
      <c r="H895" s="19" t="s">
        <v>404</v>
      </c>
      <c r="I895" s="19" t="s">
        <v>944</v>
      </c>
      <c r="J895" s="19" t="s">
        <v>1008</v>
      </c>
      <c r="K895" s="19" t="s">
        <v>553</v>
      </c>
      <c r="L895" s="19">
        <v>2024</v>
      </c>
      <c r="M895" s="20">
        <v>3</v>
      </c>
      <c r="N895" s="19" t="s">
        <v>616</v>
      </c>
      <c r="O895" s="20">
        <v>334</v>
      </c>
      <c r="P895" s="20">
        <v>1002</v>
      </c>
      <c r="Q895" s="20">
        <v>611.03383316786949</v>
      </c>
      <c r="R895" s="21">
        <v>0.96</v>
      </c>
      <c r="S895" s="20">
        <v>611.03383316786949</v>
      </c>
    </row>
    <row r="896" spans="2:19" ht="15" customHeight="1" x14ac:dyDescent="0.25">
      <c r="B896" s="2" t="str">
        <f t="shared" si="26"/>
        <v>NSG_Residential_Multi-Family_Direct Install_Pipe Insulation_Boiler_MF</v>
      </c>
      <c r="C896" s="2" t="str">
        <f t="shared" si="27"/>
        <v>NSG_Residential_Multi-Family_Direct Install_Pipe Insulation_Boiler_MF_2025</v>
      </c>
      <c r="D896" s="19" t="s">
        <v>1787</v>
      </c>
      <c r="E896" s="19" t="s">
        <v>2</v>
      </c>
      <c r="F896" s="19" t="s">
        <v>1422</v>
      </c>
      <c r="G896" s="19" t="s">
        <v>4</v>
      </c>
      <c r="H896" s="19" t="s">
        <v>404</v>
      </c>
      <c r="I896" s="19" t="s">
        <v>944</v>
      </c>
      <c r="J896" s="19" t="s">
        <v>1008</v>
      </c>
      <c r="K896" s="19" t="s">
        <v>553</v>
      </c>
      <c r="L896" s="19">
        <v>2025</v>
      </c>
      <c r="M896" s="20">
        <v>3</v>
      </c>
      <c r="N896" s="19" t="s">
        <v>616</v>
      </c>
      <c r="O896" s="20">
        <v>334</v>
      </c>
      <c r="P896" s="20">
        <v>1002</v>
      </c>
      <c r="Q896" s="20">
        <v>611.03383316786949</v>
      </c>
      <c r="R896" s="21">
        <v>0.96</v>
      </c>
      <c r="S896" s="20">
        <v>611.03383316786949</v>
      </c>
    </row>
    <row r="897" spans="2:19" ht="15" customHeight="1" x14ac:dyDescent="0.25">
      <c r="B897" s="2" t="str">
        <f t="shared" si="26"/>
        <v>NSG_Residential_Multi-Family_Direct Install_Programmable Thermostat_Furnace (DI)_MF</v>
      </c>
      <c r="C897" s="2" t="str">
        <f t="shared" si="27"/>
        <v>NSG_Residential_Multi-Family_Direct Install_Programmable Thermostat_Furnace (DI)_MF_2022</v>
      </c>
      <c r="D897" s="19" t="s">
        <v>1787</v>
      </c>
      <c r="E897" s="19" t="s">
        <v>2</v>
      </c>
      <c r="F897" s="19" t="s">
        <v>1422</v>
      </c>
      <c r="G897" s="19" t="s">
        <v>4</v>
      </c>
      <c r="H897" s="19" t="s">
        <v>224</v>
      </c>
      <c r="I897" s="19" t="s">
        <v>1038</v>
      </c>
      <c r="J897" s="19" t="s">
        <v>24</v>
      </c>
      <c r="K897" s="19" t="s">
        <v>553</v>
      </c>
      <c r="L897" s="19">
        <v>2022</v>
      </c>
      <c r="M897" s="20">
        <v>1</v>
      </c>
      <c r="N897" s="19" t="s">
        <v>1798</v>
      </c>
      <c r="O897" s="20">
        <v>118</v>
      </c>
      <c r="P897" s="20">
        <v>118</v>
      </c>
      <c r="Q897" s="20">
        <v>4588.0099199999995</v>
      </c>
      <c r="R897" s="21">
        <v>0.96</v>
      </c>
      <c r="S897" s="20">
        <v>4588.0099199999995</v>
      </c>
    </row>
    <row r="898" spans="2:19" ht="15" customHeight="1" x14ac:dyDescent="0.25">
      <c r="B898" s="2" t="str">
        <f t="shared" si="26"/>
        <v>NSG_Residential_Multi-Family_Direct Install_Programmable Thermostat_Furnace (DI)_MF</v>
      </c>
      <c r="C898" s="2" t="str">
        <f t="shared" si="27"/>
        <v>NSG_Residential_Multi-Family_Direct Install_Programmable Thermostat_Furnace (DI)_MF_2023</v>
      </c>
      <c r="D898" s="19" t="s">
        <v>1787</v>
      </c>
      <c r="E898" s="19" t="s">
        <v>2</v>
      </c>
      <c r="F898" s="19" t="s">
        <v>1422</v>
      </c>
      <c r="G898" s="19" t="s">
        <v>4</v>
      </c>
      <c r="H898" s="19" t="s">
        <v>224</v>
      </c>
      <c r="I898" s="19" t="s">
        <v>1038</v>
      </c>
      <c r="J898" s="19" t="s">
        <v>24</v>
      </c>
      <c r="K898" s="19" t="s">
        <v>553</v>
      </c>
      <c r="L898" s="19">
        <v>2023</v>
      </c>
      <c r="M898" s="20">
        <v>1</v>
      </c>
      <c r="N898" s="19" t="s">
        <v>1798</v>
      </c>
      <c r="O898" s="20">
        <v>118</v>
      </c>
      <c r="P898" s="20">
        <v>118</v>
      </c>
      <c r="Q898" s="20">
        <v>4588.0099199999995</v>
      </c>
      <c r="R898" s="21">
        <v>0.96</v>
      </c>
      <c r="S898" s="20">
        <v>4588.0099199999995</v>
      </c>
    </row>
    <row r="899" spans="2:19" ht="15" customHeight="1" x14ac:dyDescent="0.25">
      <c r="B899" s="2" t="str">
        <f t="shared" si="26"/>
        <v>NSG_Residential_Multi-Family_Direct Install_Programmable Thermostat_Furnace (DI)_MF</v>
      </c>
      <c r="C899" s="2" t="str">
        <f t="shared" si="27"/>
        <v>NSG_Residential_Multi-Family_Direct Install_Programmable Thermostat_Furnace (DI)_MF_2024</v>
      </c>
      <c r="D899" s="19" t="s">
        <v>1787</v>
      </c>
      <c r="E899" s="19" t="s">
        <v>2</v>
      </c>
      <c r="F899" s="19" t="s">
        <v>1422</v>
      </c>
      <c r="G899" s="19" t="s">
        <v>4</v>
      </c>
      <c r="H899" s="19" t="s">
        <v>224</v>
      </c>
      <c r="I899" s="19" t="s">
        <v>1038</v>
      </c>
      <c r="J899" s="19" t="s">
        <v>24</v>
      </c>
      <c r="K899" s="19" t="s">
        <v>553</v>
      </c>
      <c r="L899" s="19">
        <v>2024</v>
      </c>
      <c r="M899" s="20">
        <v>1</v>
      </c>
      <c r="N899" s="19" t="s">
        <v>1798</v>
      </c>
      <c r="O899" s="20">
        <v>118</v>
      </c>
      <c r="P899" s="20">
        <v>118</v>
      </c>
      <c r="Q899" s="20">
        <v>4588.0099199999995</v>
      </c>
      <c r="R899" s="21">
        <v>0.96</v>
      </c>
      <c r="S899" s="20">
        <v>4588.0099199999995</v>
      </c>
    </row>
    <row r="900" spans="2:19" ht="15" customHeight="1" x14ac:dyDescent="0.25">
      <c r="B900" s="2" t="str">
        <f t="shared" si="26"/>
        <v>NSG_Residential_Multi-Family_Direct Install_Programmable Thermostat_Furnace (DI)_MF</v>
      </c>
      <c r="C900" s="2" t="str">
        <f t="shared" si="27"/>
        <v>NSG_Residential_Multi-Family_Direct Install_Programmable Thermostat_Furnace (DI)_MF_2025</v>
      </c>
      <c r="D900" s="19" t="s">
        <v>1787</v>
      </c>
      <c r="E900" s="19" t="s">
        <v>2</v>
      </c>
      <c r="F900" s="19" t="s">
        <v>1422</v>
      </c>
      <c r="G900" s="19" t="s">
        <v>4</v>
      </c>
      <c r="H900" s="19" t="s">
        <v>224</v>
      </c>
      <c r="I900" s="19" t="s">
        <v>1038</v>
      </c>
      <c r="J900" s="19" t="s">
        <v>24</v>
      </c>
      <c r="K900" s="19" t="s">
        <v>553</v>
      </c>
      <c r="L900" s="19">
        <v>2025</v>
      </c>
      <c r="M900" s="20">
        <v>1</v>
      </c>
      <c r="N900" s="19" t="s">
        <v>1798</v>
      </c>
      <c r="O900" s="20">
        <v>118</v>
      </c>
      <c r="P900" s="20">
        <v>118</v>
      </c>
      <c r="Q900" s="20">
        <v>4588.0099199999995</v>
      </c>
      <c r="R900" s="21">
        <v>0.96</v>
      </c>
      <c r="S900" s="20">
        <v>4588.0099199999995</v>
      </c>
    </row>
    <row r="901" spans="2:19" ht="15" customHeight="1" x14ac:dyDescent="0.25">
      <c r="B901" s="2" t="str">
        <f t="shared" si="26"/>
        <v>NSG_Residential_Multi-Family_Direct Install_Programmable Thermostat_Boiler (DI)_MF</v>
      </c>
      <c r="C901" s="2" t="str">
        <f t="shared" si="27"/>
        <v>NSG_Residential_Multi-Family_Direct Install_Programmable Thermostat_Boiler (DI)_MF_2022</v>
      </c>
      <c r="D901" s="19" t="s">
        <v>1787</v>
      </c>
      <c r="E901" s="19" t="s">
        <v>2</v>
      </c>
      <c r="F901" s="19" t="s">
        <v>1422</v>
      </c>
      <c r="G901" s="19" t="s">
        <v>4</v>
      </c>
      <c r="H901" s="19" t="s">
        <v>224</v>
      </c>
      <c r="I901" s="19" t="s">
        <v>1045</v>
      </c>
      <c r="J901" s="19" t="s">
        <v>24</v>
      </c>
      <c r="K901" s="19" t="s">
        <v>553</v>
      </c>
      <c r="L901" s="19">
        <v>2022</v>
      </c>
      <c r="M901" s="20">
        <v>1</v>
      </c>
      <c r="N901" s="19" t="s">
        <v>1798</v>
      </c>
      <c r="O901" s="20">
        <v>39</v>
      </c>
      <c r="P901" s="20">
        <v>39</v>
      </c>
      <c r="Q901" s="20">
        <v>2240.6155199999998</v>
      </c>
      <c r="R901" s="21">
        <v>0.96</v>
      </c>
      <c r="S901" s="20">
        <v>2240.6155199999998</v>
      </c>
    </row>
    <row r="902" spans="2:19" ht="15" customHeight="1" x14ac:dyDescent="0.25">
      <c r="B902" s="2" t="str">
        <f t="shared" ref="B902:B965" si="28">D902&amp;"_"&amp;E902&amp;"_"&amp;F902&amp;"_"&amp;G902&amp;"_"&amp;H902&amp;"_"&amp;I902&amp;"_"&amp;K902</f>
        <v>NSG_Residential_Multi-Family_Direct Install_Programmable Thermostat_Boiler (DI)_MF</v>
      </c>
      <c r="C902" s="2" t="str">
        <f t="shared" ref="C902:C965" si="29">D902&amp;"_"&amp;E902&amp;"_"&amp;F902&amp;"_"&amp;G902&amp;"_"&amp;H902&amp;"_"&amp;I902&amp;"_"&amp;K902&amp;"_"&amp;L902</f>
        <v>NSG_Residential_Multi-Family_Direct Install_Programmable Thermostat_Boiler (DI)_MF_2023</v>
      </c>
      <c r="D902" s="19" t="s">
        <v>1787</v>
      </c>
      <c r="E902" s="19" t="s">
        <v>2</v>
      </c>
      <c r="F902" s="19" t="s">
        <v>1422</v>
      </c>
      <c r="G902" s="19" t="s">
        <v>4</v>
      </c>
      <c r="H902" s="19" t="s">
        <v>224</v>
      </c>
      <c r="I902" s="19" t="s">
        <v>1045</v>
      </c>
      <c r="J902" s="19" t="s">
        <v>24</v>
      </c>
      <c r="K902" s="19" t="s">
        <v>553</v>
      </c>
      <c r="L902" s="19">
        <v>2023</v>
      </c>
      <c r="M902" s="20">
        <v>1</v>
      </c>
      <c r="N902" s="19" t="s">
        <v>1798</v>
      </c>
      <c r="O902" s="20">
        <v>39</v>
      </c>
      <c r="P902" s="20">
        <v>39</v>
      </c>
      <c r="Q902" s="20">
        <v>2240.6155199999998</v>
      </c>
      <c r="R902" s="21">
        <v>0.96</v>
      </c>
      <c r="S902" s="20">
        <v>2240.6155199999998</v>
      </c>
    </row>
    <row r="903" spans="2:19" ht="15" customHeight="1" x14ac:dyDescent="0.25">
      <c r="B903" s="2" t="str">
        <f t="shared" si="28"/>
        <v>NSG_Residential_Multi-Family_Direct Install_Programmable Thermostat_Boiler (DI)_MF</v>
      </c>
      <c r="C903" s="2" t="str">
        <f t="shared" si="29"/>
        <v>NSG_Residential_Multi-Family_Direct Install_Programmable Thermostat_Boiler (DI)_MF_2024</v>
      </c>
      <c r="D903" s="19" t="s">
        <v>1787</v>
      </c>
      <c r="E903" s="19" t="s">
        <v>2</v>
      </c>
      <c r="F903" s="19" t="s">
        <v>1422</v>
      </c>
      <c r="G903" s="19" t="s">
        <v>4</v>
      </c>
      <c r="H903" s="19" t="s">
        <v>224</v>
      </c>
      <c r="I903" s="19" t="s">
        <v>1045</v>
      </c>
      <c r="J903" s="19" t="s">
        <v>24</v>
      </c>
      <c r="K903" s="19" t="s">
        <v>553</v>
      </c>
      <c r="L903" s="19">
        <v>2024</v>
      </c>
      <c r="M903" s="20">
        <v>1</v>
      </c>
      <c r="N903" s="19" t="s">
        <v>1798</v>
      </c>
      <c r="O903" s="20">
        <v>39</v>
      </c>
      <c r="P903" s="20">
        <v>39</v>
      </c>
      <c r="Q903" s="20">
        <v>2240.6155199999998</v>
      </c>
      <c r="R903" s="21">
        <v>0.96</v>
      </c>
      <c r="S903" s="20">
        <v>2240.6155199999998</v>
      </c>
    </row>
    <row r="904" spans="2:19" ht="15" customHeight="1" x14ac:dyDescent="0.25">
      <c r="B904" s="2" t="str">
        <f t="shared" si="28"/>
        <v>NSG_Residential_Multi-Family_Direct Install_Programmable Thermostat_Boiler (DI)_MF</v>
      </c>
      <c r="C904" s="2" t="str">
        <f t="shared" si="29"/>
        <v>NSG_Residential_Multi-Family_Direct Install_Programmable Thermostat_Boiler (DI)_MF_2025</v>
      </c>
      <c r="D904" s="19" t="s">
        <v>1787</v>
      </c>
      <c r="E904" s="19" t="s">
        <v>2</v>
      </c>
      <c r="F904" s="19" t="s">
        <v>1422</v>
      </c>
      <c r="G904" s="19" t="s">
        <v>4</v>
      </c>
      <c r="H904" s="19" t="s">
        <v>224</v>
      </c>
      <c r="I904" s="19" t="s">
        <v>1045</v>
      </c>
      <c r="J904" s="19" t="s">
        <v>24</v>
      </c>
      <c r="K904" s="19" t="s">
        <v>553</v>
      </c>
      <c r="L904" s="19">
        <v>2025</v>
      </c>
      <c r="M904" s="20">
        <v>1</v>
      </c>
      <c r="N904" s="19" t="s">
        <v>1798</v>
      </c>
      <c r="O904" s="20">
        <v>39</v>
      </c>
      <c r="P904" s="20">
        <v>39</v>
      </c>
      <c r="Q904" s="20">
        <v>2240.6155199999998</v>
      </c>
      <c r="R904" s="21">
        <v>0.96</v>
      </c>
      <c r="S904" s="20">
        <v>2240.6155199999998</v>
      </c>
    </row>
    <row r="905" spans="2:19" ht="15" customHeight="1" x14ac:dyDescent="0.25">
      <c r="B905" s="2" t="str">
        <f t="shared" si="28"/>
        <v>NSG_Residential_Multi-Family_Direct Install_Advanced Thermostat_Furnace (Replace Manual)_MF</v>
      </c>
      <c r="C905" s="2" t="str">
        <f t="shared" si="29"/>
        <v>NSG_Residential_Multi-Family_Direct Install_Advanced Thermostat_Furnace (Replace Manual)_MF_2022</v>
      </c>
      <c r="D905" s="19" t="s">
        <v>1787</v>
      </c>
      <c r="E905" s="19" t="s">
        <v>2</v>
      </c>
      <c r="F905" s="19" t="s">
        <v>1422</v>
      </c>
      <c r="G905" s="19" t="s">
        <v>4</v>
      </c>
      <c r="H905" s="19" t="s">
        <v>7</v>
      </c>
      <c r="I905" s="19" t="s">
        <v>1047</v>
      </c>
      <c r="J905" s="19" t="s">
        <v>24</v>
      </c>
      <c r="K905" s="19" t="s">
        <v>553</v>
      </c>
      <c r="L905" s="19">
        <v>2022</v>
      </c>
      <c r="M905" s="20">
        <v>1</v>
      </c>
      <c r="N905" s="19" t="s">
        <v>1798</v>
      </c>
      <c r="O905" s="20">
        <v>8</v>
      </c>
      <c r="P905" s="20">
        <v>8</v>
      </c>
      <c r="Q905" s="20">
        <v>521.76383999999996</v>
      </c>
      <c r="R905" s="21">
        <v>0.96</v>
      </c>
      <c r="S905" s="20">
        <v>521.76383999999996</v>
      </c>
    </row>
    <row r="906" spans="2:19" ht="15" customHeight="1" x14ac:dyDescent="0.25">
      <c r="B906" s="2" t="str">
        <f t="shared" si="28"/>
        <v>NSG_Residential_Multi-Family_Direct Install_Advanced Thermostat_Furnace (Replace Manual)_MF</v>
      </c>
      <c r="C906" s="2" t="str">
        <f t="shared" si="29"/>
        <v>NSG_Residential_Multi-Family_Direct Install_Advanced Thermostat_Furnace (Replace Manual)_MF_2023</v>
      </c>
      <c r="D906" s="19" t="s">
        <v>1787</v>
      </c>
      <c r="E906" s="19" t="s">
        <v>2</v>
      </c>
      <c r="F906" s="19" t="s">
        <v>1422</v>
      </c>
      <c r="G906" s="19" t="s">
        <v>4</v>
      </c>
      <c r="H906" s="19" t="s">
        <v>7</v>
      </c>
      <c r="I906" s="19" t="s">
        <v>1047</v>
      </c>
      <c r="J906" s="19" t="s">
        <v>24</v>
      </c>
      <c r="K906" s="19" t="s">
        <v>553</v>
      </c>
      <c r="L906" s="19">
        <v>2023</v>
      </c>
      <c r="M906" s="20">
        <v>1</v>
      </c>
      <c r="N906" s="19" t="s">
        <v>1798</v>
      </c>
      <c r="O906" s="20">
        <v>8</v>
      </c>
      <c r="P906" s="20">
        <v>8</v>
      </c>
      <c r="Q906" s="20">
        <v>521.76383999999996</v>
      </c>
      <c r="R906" s="21">
        <v>0.96</v>
      </c>
      <c r="S906" s="20">
        <v>521.76383999999996</v>
      </c>
    </row>
    <row r="907" spans="2:19" ht="15" customHeight="1" x14ac:dyDescent="0.25">
      <c r="B907" s="2" t="str">
        <f t="shared" si="28"/>
        <v>NSG_Residential_Multi-Family_Direct Install_Advanced Thermostat_Furnace (Replace Manual)_MF</v>
      </c>
      <c r="C907" s="2" t="str">
        <f t="shared" si="29"/>
        <v>NSG_Residential_Multi-Family_Direct Install_Advanced Thermostat_Furnace (Replace Manual)_MF_2024</v>
      </c>
      <c r="D907" s="19" t="s">
        <v>1787</v>
      </c>
      <c r="E907" s="19" t="s">
        <v>2</v>
      </c>
      <c r="F907" s="19" t="s">
        <v>1422</v>
      </c>
      <c r="G907" s="19" t="s">
        <v>4</v>
      </c>
      <c r="H907" s="19" t="s">
        <v>7</v>
      </c>
      <c r="I907" s="19" t="s">
        <v>1047</v>
      </c>
      <c r="J907" s="19" t="s">
        <v>24</v>
      </c>
      <c r="K907" s="19" t="s">
        <v>553</v>
      </c>
      <c r="L907" s="19">
        <v>2024</v>
      </c>
      <c r="M907" s="20">
        <v>1</v>
      </c>
      <c r="N907" s="19" t="s">
        <v>1798</v>
      </c>
      <c r="O907" s="20">
        <v>8</v>
      </c>
      <c r="P907" s="20">
        <v>8</v>
      </c>
      <c r="Q907" s="20">
        <v>521.76383999999996</v>
      </c>
      <c r="R907" s="21">
        <v>0.96</v>
      </c>
      <c r="S907" s="20">
        <v>521.76383999999996</v>
      </c>
    </row>
    <row r="908" spans="2:19" ht="15" customHeight="1" x14ac:dyDescent="0.25">
      <c r="B908" s="2" t="str">
        <f t="shared" si="28"/>
        <v>NSG_Residential_Multi-Family_Direct Install_Advanced Thermostat_Furnace (Replace Manual)_MF</v>
      </c>
      <c r="C908" s="2" t="str">
        <f t="shared" si="29"/>
        <v>NSG_Residential_Multi-Family_Direct Install_Advanced Thermostat_Furnace (Replace Manual)_MF_2025</v>
      </c>
      <c r="D908" s="19" t="s">
        <v>1787</v>
      </c>
      <c r="E908" s="19" t="s">
        <v>2</v>
      </c>
      <c r="F908" s="19" t="s">
        <v>1422</v>
      </c>
      <c r="G908" s="19" t="s">
        <v>4</v>
      </c>
      <c r="H908" s="19" t="s">
        <v>7</v>
      </c>
      <c r="I908" s="19" t="s">
        <v>1047</v>
      </c>
      <c r="J908" s="19" t="s">
        <v>24</v>
      </c>
      <c r="K908" s="19" t="s">
        <v>553</v>
      </c>
      <c r="L908" s="19">
        <v>2025</v>
      </c>
      <c r="M908" s="20">
        <v>1</v>
      </c>
      <c r="N908" s="19" t="s">
        <v>1798</v>
      </c>
      <c r="O908" s="20">
        <v>8</v>
      </c>
      <c r="P908" s="20">
        <v>8</v>
      </c>
      <c r="Q908" s="20">
        <v>521.76383999999996</v>
      </c>
      <c r="R908" s="21">
        <v>0.96</v>
      </c>
      <c r="S908" s="20">
        <v>521.76383999999996</v>
      </c>
    </row>
    <row r="909" spans="2:19" ht="15" customHeight="1" x14ac:dyDescent="0.25">
      <c r="B909" s="2" t="str">
        <f t="shared" si="28"/>
        <v>NSG_Residential_Multi-Family_Direct Install_Advanced Thermostat_Boiler (Replace Manual)_MF</v>
      </c>
      <c r="C909" s="2" t="str">
        <f t="shared" si="29"/>
        <v>NSG_Residential_Multi-Family_Direct Install_Advanced Thermostat_Boiler (Replace Manual)_MF_2022</v>
      </c>
      <c r="D909" s="19" t="s">
        <v>1787</v>
      </c>
      <c r="E909" s="19" t="s">
        <v>2</v>
      </c>
      <c r="F909" s="19" t="s">
        <v>1422</v>
      </c>
      <c r="G909" s="19" t="s">
        <v>4</v>
      </c>
      <c r="H909" s="19" t="s">
        <v>7</v>
      </c>
      <c r="I909" s="19" t="s">
        <v>1051</v>
      </c>
      <c r="J909" s="19" t="s">
        <v>24</v>
      </c>
      <c r="K909" s="19" t="s">
        <v>553</v>
      </c>
      <c r="L909" s="19">
        <v>2022</v>
      </c>
      <c r="M909" s="20">
        <v>1</v>
      </c>
      <c r="N909" s="19" t="s">
        <v>1798</v>
      </c>
      <c r="O909" s="20">
        <v>6</v>
      </c>
      <c r="P909" s="20">
        <v>6</v>
      </c>
      <c r="Q909" s="20">
        <v>578.22335999999996</v>
      </c>
      <c r="R909" s="21">
        <v>0.96</v>
      </c>
      <c r="S909" s="20">
        <v>578.22335999999996</v>
      </c>
    </row>
    <row r="910" spans="2:19" ht="15" customHeight="1" x14ac:dyDescent="0.25">
      <c r="B910" s="2" t="str">
        <f t="shared" si="28"/>
        <v>NSG_Residential_Multi-Family_Direct Install_Advanced Thermostat_Boiler (Replace Manual)_MF</v>
      </c>
      <c r="C910" s="2" t="str">
        <f t="shared" si="29"/>
        <v>NSG_Residential_Multi-Family_Direct Install_Advanced Thermostat_Boiler (Replace Manual)_MF_2023</v>
      </c>
      <c r="D910" s="19" t="s">
        <v>1787</v>
      </c>
      <c r="E910" s="19" t="s">
        <v>2</v>
      </c>
      <c r="F910" s="19" t="s">
        <v>1422</v>
      </c>
      <c r="G910" s="19" t="s">
        <v>4</v>
      </c>
      <c r="H910" s="19" t="s">
        <v>7</v>
      </c>
      <c r="I910" s="19" t="s">
        <v>1051</v>
      </c>
      <c r="J910" s="19" t="s">
        <v>24</v>
      </c>
      <c r="K910" s="19" t="s">
        <v>553</v>
      </c>
      <c r="L910" s="19">
        <v>2023</v>
      </c>
      <c r="M910" s="20">
        <v>1</v>
      </c>
      <c r="N910" s="19" t="s">
        <v>1798</v>
      </c>
      <c r="O910" s="20">
        <v>6</v>
      </c>
      <c r="P910" s="20">
        <v>6</v>
      </c>
      <c r="Q910" s="20">
        <v>578.22335999999996</v>
      </c>
      <c r="R910" s="21">
        <v>0.96</v>
      </c>
      <c r="S910" s="20">
        <v>578.22335999999996</v>
      </c>
    </row>
    <row r="911" spans="2:19" ht="15" customHeight="1" x14ac:dyDescent="0.25">
      <c r="B911" s="2" t="str">
        <f t="shared" si="28"/>
        <v>NSG_Residential_Multi-Family_Direct Install_Advanced Thermostat_Boiler (Replace Manual)_MF</v>
      </c>
      <c r="C911" s="2" t="str">
        <f t="shared" si="29"/>
        <v>NSG_Residential_Multi-Family_Direct Install_Advanced Thermostat_Boiler (Replace Manual)_MF_2024</v>
      </c>
      <c r="D911" s="19" t="s">
        <v>1787</v>
      </c>
      <c r="E911" s="19" t="s">
        <v>2</v>
      </c>
      <c r="F911" s="19" t="s">
        <v>1422</v>
      </c>
      <c r="G911" s="19" t="s">
        <v>4</v>
      </c>
      <c r="H911" s="19" t="s">
        <v>7</v>
      </c>
      <c r="I911" s="19" t="s">
        <v>1051</v>
      </c>
      <c r="J911" s="19" t="s">
        <v>24</v>
      </c>
      <c r="K911" s="19" t="s">
        <v>553</v>
      </c>
      <c r="L911" s="19">
        <v>2024</v>
      </c>
      <c r="M911" s="20">
        <v>1</v>
      </c>
      <c r="N911" s="19" t="s">
        <v>1798</v>
      </c>
      <c r="O911" s="20">
        <v>6</v>
      </c>
      <c r="P911" s="20">
        <v>6</v>
      </c>
      <c r="Q911" s="20">
        <v>578.22335999999996</v>
      </c>
      <c r="R911" s="21">
        <v>0.96</v>
      </c>
      <c r="S911" s="20">
        <v>578.22335999999996</v>
      </c>
    </row>
    <row r="912" spans="2:19" ht="15" customHeight="1" x14ac:dyDescent="0.25">
      <c r="B912" s="2" t="str">
        <f t="shared" si="28"/>
        <v>NSG_Residential_Multi-Family_Direct Install_Advanced Thermostat_Boiler (Replace Manual)_MF</v>
      </c>
      <c r="C912" s="2" t="str">
        <f t="shared" si="29"/>
        <v>NSG_Residential_Multi-Family_Direct Install_Advanced Thermostat_Boiler (Replace Manual)_MF_2025</v>
      </c>
      <c r="D912" s="19" t="s">
        <v>1787</v>
      </c>
      <c r="E912" s="19" t="s">
        <v>2</v>
      </c>
      <c r="F912" s="19" t="s">
        <v>1422</v>
      </c>
      <c r="G912" s="19" t="s">
        <v>4</v>
      </c>
      <c r="H912" s="19" t="s">
        <v>7</v>
      </c>
      <c r="I912" s="19" t="s">
        <v>1051</v>
      </c>
      <c r="J912" s="19" t="s">
        <v>24</v>
      </c>
      <c r="K912" s="19" t="s">
        <v>553</v>
      </c>
      <c r="L912" s="19">
        <v>2025</v>
      </c>
      <c r="M912" s="20">
        <v>1</v>
      </c>
      <c r="N912" s="19" t="s">
        <v>1798</v>
      </c>
      <c r="O912" s="20">
        <v>6</v>
      </c>
      <c r="P912" s="20">
        <v>6</v>
      </c>
      <c r="Q912" s="20">
        <v>578.22335999999996</v>
      </c>
      <c r="R912" s="21">
        <v>0.96</v>
      </c>
      <c r="S912" s="20">
        <v>578.22335999999996</v>
      </c>
    </row>
    <row r="913" spans="2:19" ht="15" customHeight="1" x14ac:dyDescent="0.25">
      <c r="B913" s="2" t="str">
        <f t="shared" si="28"/>
        <v>NSG_Residential_Multi-Family_Direct Install_Advanced Thermostat_Furnace (Replace Programmable)_MF</v>
      </c>
      <c r="C913" s="2" t="str">
        <f t="shared" si="29"/>
        <v>NSG_Residential_Multi-Family_Direct Install_Advanced Thermostat_Furnace (Replace Programmable)_MF_2022</v>
      </c>
      <c r="D913" s="19" t="s">
        <v>1787</v>
      </c>
      <c r="E913" s="19" t="s">
        <v>2</v>
      </c>
      <c r="F913" s="19" t="s">
        <v>1422</v>
      </c>
      <c r="G913" s="19" t="s">
        <v>4</v>
      </c>
      <c r="H913" s="19" t="s">
        <v>7</v>
      </c>
      <c r="I913" s="19" t="s">
        <v>1049</v>
      </c>
      <c r="J913" s="19" t="s">
        <v>24</v>
      </c>
      <c r="K913" s="19" t="s">
        <v>553</v>
      </c>
      <c r="L913" s="19">
        <v>2022</v>
      </c>
      <c r="M913" s="20">
        <v>1</v>
      </c>
      <c r="N913" s="19" t="s">
        <v>1798</v>
      </c>
      <c r="O913" s="20">
        <v>11</v>
      </c>
      <c r="P913" s="20">
        <v>11</v>
      </c>
      <c r="Q913" s="20">
        <v>503.57736</v>
      </c>
      <c r="R913" s="21">
        <v>0.96</v>
      </c>
      <c r="S913" s="20">
        <v>503.57736</v>
      </c>
    </row>
    <row r="914" spans="2:19" ht="15" customHeight="1" x14ac:dyDescent="0.25">
      <c r="B914" s="2" t="str">
        <f t="shared" si="28"/>
        <v>NSG_Residential_Multi-Family_Direct Install_Advanced Thermostat_Furnace (Replace Programmable)_MF</v>
      </c>
      <c r="C914" s="2" t="str">
        <f t="shared" si="29"/>
        <v>NSG_Residential_Multi-Family_Direct Install_Advanced Thermostat_Furnace (Replace Programmable)_MF_2023</v>
      </c>
      <c r="D914" s="19" t="s">
        <v>1787</v>
      </c>
      <c r="E914" s="19" t="s">
        <v>2</v>
      </c>
      <c r="F914" s="19" t="s">
        <v>1422</v>
      </c>
      <c r="G914" s="19" t="s">
        <v>4</v>
      </c>
      <c r="H914" s="19" t="s">
        <v>7</v>
      </c>
      <c r="I914" s="19" t="s">
        <v>1049</v>
      </c>
      <c r="J914" s="19" t="s">
        <v>24</v>
      </c>
      <c r="K914" s="19" t="s">
        <v>553</v>
      </c>
      <c r="L914" s="19">
        <v>2023</v>
      </c>
      <c r="M914" s="20">
        <v>1</v>
      </c>
      <c r="N914" s="19" t="s">
        <v>1798</v>
      </c>
      <c r="O914" s="20">
        <v>11</v>
      </c>
      <c r="P914" s="20">
        <v>11</v>
      </c>
      <c r="Q914" s="20">
        <v>503.57736</v>
      </c>
      <c r="R914" s="21">
        <v>0.96</v>
      </c>
      <c r="S914" s="20">
        <v>503.57736</v>
      </c>
    </row>
    <row r="915" spans="2:19" ht="15" customHeight="1" x14ac:dyDescent="0.25">
      <c r="B915" s="2" t="str">
        <f t="shared" si="28"/>
        <v>NSG_Residential_Multi-Family_Direct Install_Advanced Thermostat_Furnace (Replace Programmable)_MF</v>
      </c>
      <c r="C915" s="2" t="str">
        <f t="shared" si="29"/>
        <v>NSG_Residential_Multi-Family_Direct Install_Advanced Thermostat_Furnace (Replace Programmable)_MF_2024</v>
      </c>
      <c r="D915" s="19" t="s">
        <v>1787</v>
      </c>
      <c r="E915" s="19" t="s">
        <v>2</v>
      </c>
      <c r="F915" s="19" t="s">
        <v>1422</v>
      </c>
      <c r="G915" s="19" t="s">
        <v>4</v>
      </c>
      <c r="H915" s="19" t="s">
        <v>7</v>
      </c>
      <c r="I915" s="19" t="s">
        <v>1049</v>
      </c>
      <c r="J915" s="19" t="s">
        <v>24</v>
      </c>
      <c r="K915" s="19" t="s">
        <v>553</v>
      </c>
      <c r="L915" s="19">
        <v>2024</v>
      </c>
      <c r="M915" s="20">
        <v>1</v>
      </c>
      <c r="N915" s="19" t="s">
        <v>1798</v>
      </c>
      <c r="O915" s="20">
        <v>11</v>
      </c>
      <c r="P915" s="20">
        <v>11</v>
      </c>
      <c r="Q915" s="20">
        <v>503.57736</v>
      </c>
      <c r="R915" s="21">
        <v>0.96</v>
      </c>
      <c r="S915" s="20">
        <v>503.57736</v>
      </c>
    </row>
    <row r="916" spans="2:19" ht="15" customHeight="1" x14ac:dyDescent="0.25">
      <c r="B916" s="2" t="str">
        <f t="shared" si="28"/>
        <v>NSG_Residential_Multi-Family_Direct Install_Advanced Thermostat_Furnace (Replace Programmable)_MF</v>
      </c>
      <c r="C916" s="2" t="str">
        <f t="shared" si="29"/>
        <v>NSG_Residential_Multi-Family_Direct Install_Advanced Thermostat_Furnace (Replace Programmable)_MF_2025</v>
      </c>
      <c r="D916" s="19" t="s">
        <v>1787</v>
      </c>
      <c r="E916" s="19" t="s">
        <v>2</v>
      </c>
      <c r="F916" s="19" t="s">
        <v>1422</v>
      </c>
      <c r="G916" s="19" t="s">
        <v>4</v>
      </c>
      <c r="H916" s="19" t="s">
        <v>7</v>
      </c>
      <c r="I916" s="19" t="s">
        <v>1049</v>
      </c>
      <c r="J916" s="19" t="s">
        <v>24</v>
      </c>
      <c r="K916" s="19" t="s">
        <v>553</v>
      </c>
      <c r="L916" s="19">
        <v>2025</v>
      </c>
      <c r="M916" s="20">
        <v>1</v>
      </c>
      <c r="N916" s="19" t="s">
        <v>1798</v>
      </c>
      <c r="O916" s="20">
        <v>11</v>
      </c>
      <c r="P916" s="20">
        <v>11</v>
      </c>
      <c r="Q916" s="20">
        <v>503.57736</v>
      </c>
      <c r="R916" s="21">
        <v>0.96</v>
      </c>
      <c r="S916" s="20">
        <v>503.57736</v>
      </c>
    </row>
    <row r="917" spans="2:19" ht="15" customHeight="1" x14ac:dyDescent="0.25">
      <c r="B917" s="2" t="str">
        <f t="shared" si="28"/>
        <v>NSG_Residential_Multi-Family_Direct Install_Advanced Thermostat_Boiler (Replace Programmable)_MF</v>
      </c>
      <c r="C917" s="2" t="str">
        <f t="shared" si="29"/>
        <v>NSG_Residential_Multi-Family_Direct Install_Advanced Thermostat_Boiler (Replace Programmable)_MF_2022</v>
      </c>
      <c r="D917" s="19" t="s">
        <v>1787</v>
      </c>
      <c r="E917" s="19" t="s">
        <v>2</v>
      </c>
      <c r="F917" s="19" t="s">
        <v>1422</v>
      </c>
      <c r="G917" s="19" t="s">
        <v>4</v>
      </c>
      <c r="H917" s="19" t="s">
        <v>7</v>
      </c>
      <c r="I917" s="19" t="s">
        <v>1052</v>
      </c>
      <c r="J917" s="19" t="s">
        <v>24</v>
      </c>
      <c r="K917" s="19" t="s">
        <v>553</v>
      </c>
      <c r="L917" s="19">
        <v>2022</v>
      </c>
      <c r="M917" s="20">
        <v>1</v>
      </c>
      <c r="N917" s="19" t="s">
        <v>1798</v>
      </c>
      <c r="O917" s="20">
        <v>10</v>
      </c>
      <c r="P917" s="20">
        <v>10</v>
      </c>
      <c r="Q917" s="20">
        <v>676.44719999999995</v>
      </c>
      <c r="R917" s="21">
        <v>0.96</v>
      </c>
      <c r="S917" s="20">
        <v>676.44719999999995</v>
      </c>
    </row>
    <row r="918" spans="2:19" ht="15" customHeight="1" x14ac:dyDescent="0.25">
      <c r="B918" s="2" t="str">
        <f t="shared" si="28"/>
        <v>NSG_Residential_Multi-Family_Direct Install_Advanced Thermostat_Boiler (Replace Programmable)_MF</v>
      </c>
      <c r="C918" s="2" t="str">
        <f t="shared" si="29"/>
        <v>NSG_Residential_Multi-Family_Direct Install_Advanced Thermostat_Boiler (Replace Programmable)_MF_2023</v>
      </c>
      <c r="D918" s="19" t="s">
        <v>1787</v>
      </c>
      <c r="E918" s="19" t="s">
        <v>2</v>
      </c>
      <c r="F918" s="19" t="s">
        <v>1422</v>
      </c>
      <c r="G918" s="19" t="s">
        <v>4</v>
      </c>
      <c r="H918" s="19" t="s">
        <v>7</v>
      </c>
      <c r="I918" s="19" t="s">
        <v>1052</v>
      </c>
      <c r="J918" s="19" t="s">
        <v>24</v>
      </c>
      <c r="K918" s="19" t="s">
        <v>553</v>
      </c>
      <c r="L918" s="19">
        <v>2023</v>
      </c>
      <c r="M918" s="20">
        <v>1</v>
      </c>
      <c r="N918" s="19" t="s">
        <v>1798</v>
      </c>
      <c r="O918" s="20">
        <v>10</v>
      </c>
      <c r="P918" s="20">
        <v>10</v>
      </c>
      <c r="Q918" s="20">
        <v>676.44719999999995</v>
      </c>
      <c r="R918" s="21">
        <v>0.96</v>
      </c>
      <c r="S918" s="20">
        <v>676.44719999999995</v>
      </c>
    </row>
    <row r="919" spans="2:19" ht="15" customHeight="1" x14ac:dyDescent="0.25">
      <c r="B919" s="2" t="str">
        <f t="shared" si="28"/>
        <v>NSG_Residential_Multi-Family_Direct Install_Advanced Thermostat_Boiler (Replace Programmable)_MF</v>
      </c>
      <c r="C919" s="2" t="str">
        <f t="shared" si="29"/>
        <v>NSG_Residential_Multi-Family_Direct Install_Advanced Thermostat_Boiler (Replace Programmable)_MF_2024</v>
      </c>
      <c r="D919" s="19" t="s">
        <v>1787</v>
      </c>
      <c r="E919" s="19" t="s">
        <v>2</v>
      </c>
      <c r="F919" s="19" t="s">
        <v>1422</v>
      </c>
      <c r="G919" s="19" t="s">
        <v>4</v>
      </c>
      <c r="H919" s="19" t="s">
        <v>7</v>
      </c>
      <c r="I919" s="19" t="s">
        <v>1052</v>
      </c>
      <c r="J919" s="19" t="s">
        <v>24</v>
      </c>
      <c r="K919" s="19" t="s">
        <v>553</v>
      </c>
      <c r="L919" s="19">
        <v>2024</v>
      </c>
      <c r="M919" s="20">
        <v>1</v>
      </c>
      <c r="N919" s="19" t="s">
        <v>1798</v>
      </c>
      <c r="O919" s="20">
        <v>10</v>
      </c>
      <c r="P919" s="20">
        <v>10</v>
      </c>
      <c r="Q919" s="20">
        <v>676.44719999999995</v>
      </c>
      <c r="R919" s="21">
        <v>0.96</v>
      </c>
      <c r="S919" s="20">
        <v>676.44719999999995</v>
      </c>
    </row>
    <row r="920" spans="2:19" ht="15" customHeight="1" x14ac:dyDescent="0.25">
      <c r="B920" s="2" t="str">
        <f t="shared" si="28"/>
        <v>NSG_Residential_Multi-Family_Direct Install_Advanced Thermostat_Boiler (Replace Programmable)_MF</v>
      </c>
      <c r="C920" s="2" t="str">
        <f t="shared" si="29"/>
        <v>NSG_Residential_Multi-Family_Direct Install_Advanced Thermostat_Boiler (Replace Programmable)_MF_2025</v>
      </c>
      <c r="D920" s="19" t="s">
        <v>1787</v>
      </c>
      <c r="E920" s="19" t="s">
        <v>2</v>
      </c>
      <c r="F920" s="19" t="s">
        <v>1422</v>
      </c>
      <c r="G920" s="19" t="s">
        <v>4</v>
      </c>
      <c r="H920" s="19" t="s">
        <v>7</v>
      </c>
      <c r="I920" s="19" t="s">
        <v>1052</v>
      </c>
      <c r="J920" s="19" t="s">
        <v>24</v>
      </c>
      <c r="K920" s="19" t="s">
        <v>553</v>
      </c>
      <c r="L920" s="19">
        <v>2025</v>
      </c>
      <c r="M920" s="20">
        <v>1</v>
      </c>
      <c r="N920" s="19" t="s">
        <v>1798</v>
      </c>
      <c r="O920" s="20">
        <v>10</v>
      </c>
      <c r="P920" s="20">
        <v>10</v>
      </c>
      <c r="Q920" s="20">
        <v>676.44719999999995</v>
      </c>
      <c r="R920" s="21">
        <v>0.96</v>
      </c>
      <c r="S920" s="20">
        <v>676.44719999999995</v>
      </c>
    </row>
    <row r="921" spans="2:19" ht="15" customHeight="1" x14ac:dyDescent="0.25">
      <c r="B921" s="2" t="str">
        <f t="shared" si="28"/>
        <v>NSG_Residential_Multi-Family_Direct Install_Thermostat - Reprogram_Boiler (DI)_MF</v>
      </c>
      <c r="C921" s="2" t="str">
        <f t="shared" si="29"/>
        <v>NSG_Residential_Multi-Family_Direct Install_Thermostat - Reprogram_Boiler (DI)_MF_2022</v>
      </c>
      <c r="D921" s="19" t="s">
        <v>1787</v>
      </c>
      <c r="E921" s="19" t="s">
        <v>2</v>
      </c>
      <c r="F921" s="19" t="s">
        <v>1422</v>
      </c>
      <c r="G921" s="19" t="s">
        <v>4</v>
      </c>
      <c r="H921" s="19" t="s">
        <v>1055</v>
      </c>
      <c r="I921" s="19" t="s">
        <v>1045</v>
      </c>
      <c r="J921" s="19" t="s">
        <v>24</v>
      </c>
      <c r="K921" s="19" t="s">
        <v>553</v>
      </c>
      <c r="L921" s="19">
        <v>2022</v>
      </c>
      <c r="M921" s="20">
        <v>1</v>
      </c>
      <c r="N921" s="19" t="s">
        <v>1798</v>
      </c>
      <c r="O921" s="20">
        <v>0</v>
      </c>
      <c r="P921" s="20">
        <v>0</v>
      </c>
      <c r="Q921" s="20">
        <v>0</v>
      </c>
      <c r="R921" s="21">
        <v>0.96</v>
      </c>
      <c r="S921" s="20">
        <v>0</v>
      </c>
    </row>
    <row r="922" spans="2:19" ht="15" customHeight="1" x14ac:dyDescent="0.25">
      <c r="B922" s="2" t="str">
        <f t="shared" si="28"/>
        <v>NSG_Residential_Multi-Family_Direct Install_Thermostat - Reprogram_Boiler (DI)_MF</v>
      </c>
      <c r="C922" s="2" t="str">
        <f t="shared" si="29"/>
        <v>NSG_Residential_Multi-Family_Direct Install_Thermostat - Reprogram_Boiler (DI)_MF_2023</v>
      </c>
      <c r="D922" s="19" t="s">
        <v>1787</v>
      </c>
      <c r="E922" s="19" t="s">
        <v>2</v>
      </c>
      <c r="F922" s="19" t="s">
        <v>1422</v>
      </c>
      <c r="G922" s="19" t="s">
        <v>4</v>
      </c>
      <c r="H922" s="19" t="s">
        <v>1055</v>
      </c>
      <c r="I922" s="19" t="s">
        <v>1045</v>
      </c>
      <c r="J922" s="19" t="s">
        <v>24</v>
      </c>
      <c r="K922" s="19" t="s">
        <v>553</v>
      </c>
      <c r="L922" s="19">
        <v>2023</v>
      </c>
      <c r="M922" s="20">
        <v>1</v>
      </c>
      <c r="N922" s="19" t="s">
        <v>1798</v>
      </c>
      <c r="O922" s="20">
        <v>0</v>
      </c>
      <c r="P922" s="20">
        <v>0</v>
      </c>
      <c r="Q922" s="20">
        <v>0</v>
      </c>
      <c r="R922" s="21">
        <v>0.96</v>
      </c>
      <c r="S922" s="20">
        <v>0</v>
      </c>
    </row>
    <row r="923" spans="2:19" ht="15" customHeight="1" x14ac:dyDescent="0.25">
      <c r="B923" s="2" t="str">
        <f t="shared" si="28"/>
        <v>NSG_Residential_Multi-Family_Direct Install_Thermostat - Reprogram_Boiler (DI)_MF</v>
      </c>
      <c r="C923" s="2" t="str">
        <f t="shared" si="29"/>
        <v>NSG_Residential_Multi-Family_Direct Install_Thermostat - Reprogram_Boiler (DI)_MF_2024</v>
      </c>
      <c r="D923" s="19" t="s">
        <v>1787</v>
      </c>
      <c r="E923" s="19" t="s">
        <v>2</v>
      </c>
      <c r="F923" s="19" t="s">
        <v>1422</v>
      </c>
      <c r="G923" s="19" t="s">
        <v>4</v>
      </c>
      <c r="H923" s="19" t="s">
        <v>1055</v>
      </c>
      <c r="I923" s="19" t="s">
        <v>1045</v>
      </c>
      <c r="J923" s="19" t="s">
        <v>24</v>
      </c>
      <c r="K923" s="19" t="s">
        <v>553</v>
      </c>
      <c r="L923" s="19">
        <v>2024</v>
      </c>
      <c r="M923" s="20">
        <v>1</v>
      </c>
      <c r="N923" s="19" t="s">
        <v>1798</v>
      </c>
      <c r="O923" s="20">
        <v>0</v>
      </c>
      <c r="P923" s="20">
        <v>0</v>
      </c>
      <c r="Q923" s="20">
        <v>0</v>
      </c>
      <c r="R923" s="21">
        <v>0.96</v>
      </c>
      <c r="S923" s="20">
        <v>0</v>
      </c>
    </row>
    <row r="924" spans="2:19" ht="15" customHeight="1" x14ac:dyDescent="0.25">
      <c r="B924" s="2" t="str">
        <f t="shared" si="28"/>
        <v>NSG_Residential_Multi-Family_Direct Install_Thermostat - Reprogram_Boiler (DI)_MF</v>
      </c>
      <c r="C924" s="2" t="str">
        <f t="shared" si="29"/>
        <v>NSG_Residential_Multi-Family_Direct Install_Thermostat - Reprogram_Boiler (DI)_MF_2025</v>
      </c>
      <c r="D924" s="19" t="s">
        <v>1787</v>
      </c>
      <c r="E924" s="19" t="s">
        <v>2</v>
      </c>
      <c r="F924" s="19" t="s">
        <v>1422</v>
      </c>
      <c r="G924" s="19" t="s">
        <v>4</v>
      </c>
      <c r="H924" s="19" t="s">
        <v>1055</v>
      </c>
      <c r="I924" s="19" t="s">
        <v>1045</v>
      </c>
      <c r="J924" s="19" t="s">
        <v>24</v>
      </c>
      <c r="K924" s="19" t="s">
        <v>553</v>
      </c>
      <c r="L924" s="19">
        <v>2025</v>
      </c>
      <c r="M924" s="20">
        <v>1</v>
      </c>
      <c r="N924" s="19" t="s">
        <v>1798</v>
      </c>
      <c r="O924" s="20">
        <v>0</v>
      </c>
      <c r="P924" s="20">
        <v>0</v>
      </c>
      <c r="Q924" s="20">
        <v>0</v>
      </c>
      <c r="R924" s="21">
        <v>0.96</v>
      </c>
      <c r="S924" s="20">
        <v>0</v>
      </c>
    </row>
    <row r="925" spans="2:19" ht="15" customHeight="1" x14ac:dyDescent="0.25">
      <c r="B925" s="2" t="str">
        <f t="shared" si="28"/>
        <v>NSG_Residential_Multi-Family_Direct Install_Thermostat - Reprogram_Furnace (DI)_MF</v>
      </c>
      <c r="C925" s="2" t="str">
        <f t="shared" si="29"/>
        <v>NSG_Residential_Multi-Family_Direct Install_Thermostat - Reprogram_Furnace (DI)_MF_2022</v>
      </c>
      <c r="D925" s="19" t="s">
        <v>1787</v>
      </c>
      <c r="E925" s="19" t="s">
        <v>2</v>
      </c>
      <c r="F925" s="19" t="s">
        <v>1422</v>
      </c>
      <c r="G925" s="19" t="s">
        <v>4</v>
      </c>
      <c r="H925" s="19" t="s">
        <v>1055</v>
      </c>
      <c r="I925" s="19" t="s">
        <v>1038</v>
      </c>
      <c r="J925" s="19" t="s">
        <v>24</v>
      </c>
      <c r="K925" s="19" t="s">
        <v>553</v>
      </c>
      <c r="L925" s="19">
        <v>2022</v>
      </c>
      <c r="M925" s="20">
        <v>1</v>
      </c>
      <c r="N925" s="19" t="s">
        <v>1798</v>
      </c>
      <c r="O925" s="20">
        <v>0</v>
      </c>
      <c r="P925" s="20">
        <v>0</v>
      </c>
      <c r="Q925" s="20">
        <v>0</v>
      </c>
      <c r="R925" s="21">
        <v>0.96</v>
      </c>
      <c r="S925" s="20">
        <v>0</v>
      </c>
    </row>
    <row r="926" spans="2:19" ht="15" customHeight="1" x14ac:dyDescent="0.25">
      <c r="B926" s="2" t="str">
        <f t="shared" si="28"/>
        <v>NSG_Residential_Multi-Family_Direct Install_Thermostat - Reprogram_Furnace (DI)_MF</v>
      </c>
      <c r="C926" s="2" t="str">
        <f t="shared" si="29"/>
        <v>NSG_Residential_Multi-Family_Direct Install_Thermostat - Reprogram_Furnace (DI)_MF_2023</v>
      </c>
      <c r="D926" s="19" t="s">
        <v>1787</v>
      </c>
      <c r="E926" s="19" t="s">
        <v>2</v>
      </c>
      <c r="F926" s="19" t="s">
        <v>1422</v>
      </c>
      <c r="G926" s="19" t="s">
        <v>4</v>
      </c>
      <c r="H926" s="19" t="s">
        <v>1055</v>
      </c>
      <c r="I926" s="19" t="s">
        <v>1038</v>
      </c>
      <c r="J926" s="19" t="s">
        <v>24</v>
      </c>
      <c r="K926" s="19" t="s">
        <v>553</v>
      </c>
      <c r="L926" s="19">
        <v>2023</v>
      </c>
      <c r="M926" s="20">
        <v>1</v>
      </c>
      <c r="N926" s="19" t="s">
        <v>1798</v>
      </c>
      <c r="O926" s="20">
        <v>0</v>
      </c>
      <c r="P926" s="20">
        <v>0</v>
      </c>
      <c r="Q926" s="20">
        <v>0</v>
      </c>
      <c r="R926" s="21">
        <v>0.96</v>
      </c>
      <c r="S926" s="20">
        <v>0</v>
      </c>
    </row>
    <row r="927" spans="2:19" ht="15" customHeight="1" x14ac:dyDescent="0.25">
      <c r="B927" s="2" t="str">
        <f t="shared" si="28"/>
        <v>NSG_Residential_Multi-Family_Direct Install_Thermostat - Reprogram_Furnace (DI)_MF</v>
      </c>
      <c r="C927" s="2" t="str">
        <f t="shared" si="29"/>
        <v>NSG_Residential_Multi-Family_Direct Install_Thermostat - Reprogram_Furnace (DI)_MF_2024</v>
      </c>
      <c r="D927" s="19" t="s">
        <v>1787</v>
      </c>
      <c r="E927" s="19" t="s">
        <v>2</v>
      </c>
      <c r="F927" s="19" t="s">
        <v>1422</v>
      </c>
      <c r="G927" s="19" t="s">
        <v>4</v>
      </c>
      <c r="H927" s="19" t="s">
        <v>1055</v>
      </c>
      <c r="I927" s="19" t="s">
        <v>1038</v>
      </c>
      <c r="J927" s="19" t="s">
        <v>24</v>
      </c>
      <c r="K927" s="19" t="s">
        <v>553</v>
      </c>
      <c r="L927" s="19">
        <v>2024</v>
      </c>
      <c r="M927" s="20">
        <v>1</v>
      </c>
      <c r="N927" s="19" t="s">
        <v>1798</v>
      </c>
      <c r="O927" s="20">
        <v>0</v>
      </c>
      <c r="P927" s="20">
        <v>0</v>
      </c>
      <c r="Q927" s="20">
        <v>0</v>
      </c>
      <c r="R927" s="21">
        <v>0.96</v>
      </c>
      <c r="S927" s="20">
        <v>0</v>
      </c>
    </row>
    <row r="928" spans="2:19" ht="15" customHeight="1" x14ac:dyDescent="0.25">
      <c r="B928" s="2" t="str">
        <f t="shared" si="28"/>
        <v>NSG_Residential_Multi-Family_Direct Install_Thermostat - Reprogram_Furnace (DI)_MF</v>
      </c>
      <c r="C928" s="2" t="str">
        <f t="shared" si="29"/>
        <v>NSG_Residential_Multi-Family_Direct Install_Thermostat - Reprogram_Furnace (DI)_MF_2025</v>
      </c>
      <c r="D928" s="19" t="s">
        <v>1787</v>
      </c>
      <c r="E928" s="19" t="s">
        <v>2</v>
      </c>
      <c r="F928" s="19" t="s">
        <v>1422</v>
      </c>
      <c r="G928" s="19" t="s">
        <v>4</v>
      </c>
      <c r="H928" s="19" t="s">
        <v>1055</v>
      </c>
      <c r="I928" s="19" t="s">
        <v>1038</v>
      </c>
      <c r="J928" s="19" t="s">
        <v>24</v>
      </c>
      <c r="K928" s="19" t="s">
        <v>553</v>
      </c>
      <c r="L928" s="19">
        <v>2025</v>
      </c>
      <c r="M928" s="20">
        <v>1</v>
      </c>
      <c r="N928" s="19" t="s">
        <v>1798</v>
      </c>
      <c r="O928" s="20">
        <v>0</v>
      </c>
      <c r="P928" s="20">
        <v>0</v>
      </c>
      <c r="Q928" s="20">
        <v>0</v>
      </c>
      <c r="R928" s="21">
        <v>0.96</v>
      </c>
      <c r="S928" s="20">
        <v>0</v>
      </c>
    </row>
    <row r="929" spans="2:19" ht="15" customHeight="1" x14ac:dyDescent="0.25">
      <c r="B929" s="2" t="str">
        <f t="shared" si="28"/>
        <v>NSG_Residential_Multi-Family_Direct Install_Shower Timer_0_MF</v>
      </c>
      <c r="C929" s="2" t="str">
        <f t="shared" si="29"/>
        <v>NSG_Residential_Multi-Family_Direct Install_Shower Timer_0_MF_2022</v>
      </c>
      <c r="D929" s="19" t="s">
        <v>1787</v>
      </c>
      <c r="E929" s="19" t="s">
        <v>2</v>
      </c>
      <c r="F929" s="19" t="s">
        <v>1422</v>
      </c>
      <c r="G929" s="19" t="s">
        <v>4</v>
      </c>
      <c r="H929" s="19" t="s">
        <v>1031</v>
      </c>
      <c r="I929" s="19">
        <v>0</v>
      </c>
      <c r="J929" s="19" t="s">
        <v>1033</v>
      </c>
      <c r="K929" s="19" t="s">
        <v>553</v>
      </c>
      <c r="L929" s="19">
        <v>2022</v>
      </c>
      <c r="M929" s="20">
        <v>1</v>
      </c>
      <c r="N929" s="19" t="s">
        <v>1798</v>
      </c>
      <c r="O929" s="20">
        <v>0</v>
      </c>
      <c r="P929" s="20">
        <v>0</v>
      </c>
      <c r="Q929" s="20">
        <v>0</v>
      </c>
      <c r="R929" s="21">
        <v>0.96</v>
      </c>
      <c r="S929" s="20">
        <v>0</v>
      </c>
    </row>
    <row r="930" spans="2:19" ht="15" customHeight="1" x14ac:dyDescent="0.25">
      <c r="B930" s="2" t="str">
        <f t="shared" si="28"/>
        <v>NSG_Residential_Multi-Family_Direct Install_Shower Timer_0_MF</v>
      </c>
      <c r="C930" s="2" t="str">
        <f t="shared" si="29"/>
        <v>NSG_Residential_Multi-Family_Direct Install_Shower Timer_0_MF_2023</v>
      </c>
      <c r="D930" s="19" t="s">
        <v>1787</v>
      </c>
      <c r="E930" s="19" t="s">
        <v>2</v>
      </c>
      <c r="F930" s="19" t="s">
        <v>1422</v>
      </c>
      <c r="G930" s="19" t="s">
        <v>4</v>
      </c>
      <c r="H930" s="19" t="s">
        <v>1031</v>
      </c>
      <c r="I930" s="19">
        <v>0</v>
      </c>
      <c r="J930" s="19" t="s">
        <v>1033</v>
      </c>
      <c r="K930" s="19" t="s">
        <v>553</v>
      </c>
      <c r="L930" s="19">
        <v>2023</v>
      </c>
      <c r="M930" s="20">
        <v>1</v>
      </c>
      <c r="N930" s="19" t="s">
        <v>1798</v>
      </c>
      <c r="O930" s="20">
        <v>0</v>
      </c>
      <c r="P930" s="20">
        <v>0</v>
      </c>
      <c r="Q930" s="20">
        <v>0</v>
      </c>
      <c r="R930" s="21">
        <v>0.96</v>
      </c>
      <c r="S930" s="20">
        <v>0</v>
      </c>
    </row>
    <row r="931" spans="2:19" ht="15" customHeight="1" x14ac:dyDescent="0.25">
      <c r="B931" s="2" t="str">
        <f t="shared" si="28"/>
        <v>NSG_Residential_Multi-Family_Direct Install_Shower Timer_0_MF</v>
      </c>
      <c r="C931" s="2" t="str">
        <f t="shared" si="29"/>
        <v>NSG_Residential_Multi-Family_Direct Install_Shower Timer_0_MF_2024</v>
      </c>
      <c r="D931" s="19" t="s">
        <v>1787</v>
      </c>
      <c r="E931" s="19" t="s">
        <v>2</v>
      </c>
      <c r="F931" s="19" t="s">
        <v>1422</v>
      </c>
      <c r="G931" s="19" t="s">
        <v>4</v>
      </c>
      <c r="H931" s="19" t="s">
        <v>1031</v>
      </c>
      <c r="I931" s="19">
        <v>0</v>
      </c>
      <c r="J931" s="19" t="s">
        <v>1033</v>
      </c>
      <c r="K931" s="19" t="s">
        <v>553</v>
      </c>
      <c r="L931" s="19">
        <v>2024</v>
      </c>
      <c r="M931" s="20">
        <v>1</v>
      </c>
      <c r="N931" s="19" t="s">
        <v>1798</v>
      </c>
      <c r="O931" s="20">
        <v>0</v>
      </c>
      <c r="P931" s="20">
        <v>0</v>
      </c>
      <c r="Q931" s="20">
        <v>0</v>
      </c>
      <c r="R931" s="21">
        <v>0.96</v>
      </c>
      <c r="S931" s="20">
        <v>0</v>
      </c>
    </row>
    <row r="932" spans="2:19" ht="15" customHeight="1" x14ac:dyDescent="0.25">
      <c r="B932" s="2" t="str">
        <f t="shared" si="28"/>
        <v>NSG_Residential_Multi-Family_Direct Install_Shower Timer_0_MF</v>
      </c>
      <c r="C932" s="2" t="str">
        <f t="shared" si="29"/>
        <v>NSG_Residential_Multi-Family_Direct Install_Shower Timer_0_MF_2025</v>
      </c>
      <c r="D932" s="19" t="s">
        <v>1787</v>
      </c>
      <c r="E932" s="19" t="s">
        <v>2</v>
      </c>
      <c r="F932" s="19" t="s">
        <v>1422</v>
      </c>
      <c r="G932" s="19" t="s">
        <v>4</v>
      </c>
      <c r="H932" s="19" t="s">
        <v>1031</v>
      </c>
      <c r="I932" s="19">
        <v>0</v>
      </c>
      <c r="J932" s="19" t="s">
        <v>1033</v>
      </c>
      <c r="K932" s="19" t="s">
        <v>553</v>
      </c>
      <c r="L932" s="19">
        <v>2025</v>
      </c>
      <c r="M932" s="20">
        <v>1</v>
      </c>
      <c r="N932" s="19" t="s">
        <v>1798</v>
      </c>
      <c r="O932" s="20">
        <v>0</v>
      </c>
      <c r="P932" s="20">
        <v>0</v>
      </c>
      <c r="Q932" s="20">
        <v>0</v>
      </c>
      <c r="R932" s="21">
        <v>0.96</v>
      </c>
      <c r="S932" s="20">
        <v>0</v>
      </c>
    </row>
    <row r="933" spans="2:19" ht="15" customHeight="1" x14ac:dyDescent="0.25">
      <c r="B933" s="2" t="str">
        <f t="shared" si="28"/>
        <v>NSG_Residential_Multi-Family_Gas Optimization_Gas Optimization_0_MF</v>
      </c>
      <c r="C933" s="2" t="str">
        <f t="shared" si="29"/>
        <v>NSG_Residential_Multi-Family_Gas Optimization_Gas Optimization_0_MF_2022</v>
      </c>
      <c r="D933" s="19" t="s">
        <v>1787</v>
      </c>
      <c r="E933" s="19" t="s">
        <v>2</v>
      </c>
      <c r="F933" s="19" t="s">
        <v>1422</v>
      </c>
      <c r="G933" s="19" t="s">
        <v>1098</v>
      </c>
      <c r="H933" s="19" t="s">
        <v>1098</v>
      </c>
      <c r="I933" s="19">
        <v>0</v>
      </c>
      <c r="J933" s="19">
        <v>0</v>
      </c>
      <c r="K933" s="19" t="s">
        <v>553</v>
      </c>
      <c r="L933" s="19">
        <v>2022</v>
      </c>
      <c r="M933" s="20">
        <v>12622.65</v>
      </c>
      <c r="N933" s="19" t="s">
        <v>609</v>
      </c>
      <c r="O933" s="20">
        <v>0</v>
      </c>
      <c r="P933" s="20">
        <v>0</v>
      </c>
      <c r="Q933" s="20">
        <v>0</v>
      </c>
      <c r="R933" s="21">
        <v>0.91</v>
      </c>
      <c r="S933" s="20">
        <v>0</v>
      </c>
    </row>
    <row r="934" spans="2:19" ht="15" customHeight="1" x14ac:dyDescent="0.25">
      <c r="B934" s="2" t="str">
        <f t="shared" si="28"/>
        <v>NSG_Residential_Multi-Family_Gas Optimization_Gas Optimization_0_MF</v>
      </c>
      <c r="C934" s="2" t="str">
        <f t="shared" si="29"/>
        <v>NSG_Residential_Multi-Family_Gas Optimization_Gas Optimization_0_MF_2023</v>
      </c>
      <c r="D934" s="19" t="s">
        <v>1787</v>
      </c>
      <c r="E934" s="19" t="s">
        <v>2</v>
      </c>
      <c r="F934" s="19" t="s">
        <v>1422</v>
      </c>
      <c r="G934" s="19" t="s">
        <v>1098</v>
      </c>
      <c r="H934" s="19" t="s">
        <v>1098</v>
      </c>
      <c r="I934" s="19">
        <v>0</v>
      </c>
      <c r="J934" s="19">
        <v>0</v>
      </c>
      <c r="K934" s="19" t="s">
        <v>553</v>
      </c>
      <c r="L934" s="19">
        <v>2023</v>
      </c>
      <c r="M934" s="20">
        <v>12622.65</v>
      </c>
      <c r="N934" s="19" t="s">
        <v>609</v>
      </c>
      <c r="O934" s="20">
        <v>0</v>
      </c>
      <c r="P934" s="20">
        <v>0</v>
      </c>
      <c r="Q934" s="20">
        <v>0</v>
      </c>
      <c r="R934" s="21">
        <v>0.91</v>
      </c>
      <c r="S934" s="20">
        <v>0</v>
      </c>
    </row>
    <row r="935" spans="2:19" ht="15" customHeight="1" x14ac:dyDescent="0.25">
      <c r="B935" s="2" t="str">
        <f t="shared" si="28"/>
        <v>NSG_Residential_Multi-Family_Gas Optimization_Gas Optimization_0_MF</v>
      </c>
      <c r="C935" s="2" t="str">
        <f t="shared" si="29"/>
        <v>NSG_Residential_Multi-Family_Gas Optimization_Gas Optimization_0_MF_2024</v>
      </c>
      <c r="D935" s="19" t="s">
        <v>1787</v>
      </c>
      <c r="E935" s="19" t="s">
        <v>2</v>
      </c>
      <c r="F935" s="19" t="s">
        <v>1422</v>
      </c>
      <c r="G935" s="19" t="s">
        <v>1098</v>
      </c>
      <c r="H935" s="19" t="s">
        <v>1098</v>
      </c>
      <c r="I935" s="19">
        <v>0</v>
      </c>
      <c r="J935" s="19">
        <v>0</v>
      </c>
      <c r="K935" s="19" t="s">
        <v>553</v>
      </c>
      <c r="L935" s="19">
        <v>2024</v>
      </c>
      <c r="M935" s="20">
        <v>12622.65</v>
      </c>
      <c r="N935" s="19" t="s">
        <v>609</v>
      </c>
      <c r="O935" s="20">
        <v>0</v>
      </c>
      <c r="P935" s="20">
        <v>0</v>
      </c>
      <c r="Q935" s="20">
        <v>0</v>
      </c>
      <c r="R935" s="21">
        <v>0.91</v>
      </c>
      <c r="S935" s="20">
        <v>0</v>
      </c>
    </row>
    <row r="936" spans="2:19" ht="15" customHeight="1" x14ac:dyDescent="0.25">
      <c r="B936" s="2" t="str">
        <f t="shared" si="28"/>
        <v>NSG_Residential_Multi-Family_Gas Optimization_Gas Optimization_0_MF</v>
      </c>
      <c r="C936" s="2" t="str">
        <f t="shared" si="29"/>
        <v>NSG_Residential_Multi-Family_Gas Optimization_Gas Optimization_0_MF_2025</v>
      </c>
      <c r="D936" s="19" t="s">
        <v>1787</v>
      </c>
      <c r="E936" s="19" t="s">
        <v>2</v>
      </c>
      <c r="F936" s="19" t="s">
        <v>1422</v>
      </c>
      <c r="G936" s="19" t="s">
        <v>1098</v>
      </c>
      <c r="H936" s="19" t="s">
        <v>1098</v>
      </c>
      <c r="I936" s="19">
        <v>0</v>
      </c>
      <c r="J936" s="19">
        <v>0</v>
      </c>
      <c r="K936" s="19" t="s">
        <v>553</v>
      </c>
      <c r="L936" s="19">
        <v>2025</v>
      </c>
      <c r="M936" s="20">
        <v>12622.65</v>
      </c>
      <c r="N936" s="19" t="s">
        <v>609</v>
      </c>
      <c r="O936" s="20">
        <v>0</v>
      </c>
      <c r="P936" s="20">
        <v>0</v>
      </c>
      <c r="Q936" s="20">
        <v>0</v>
      </c>
      <c r="R936" s="21">
        <v>0.91</v>
      </c>
      <c r="S936" s="20">
        <v>0</v>
      </c>
    </row>
    <row r="937" spans="2:19" ht="15" customHeight="1" x14ac:dyDescent="0.25">
      <c r="B937" s="2" t="str">
        <f t="shared" si="28"/>
        <v>NSG_Residential_Multi-Family_Standard Rebate_Boiler_≥88% AFUE, &lt;300MBh_MF</v>
      </c>
      <c r="C937" s="2" t="str">
        <f t="shared" si="29"/>
        <v>NSG_Residential_Multi-Family_Standard Rebate_Boiler_≥88% AFUE, &lt;300MBh_MF_2022</v>
      </c>
      <c r="D937" s="19" t="s">
        <v>1787</v>
      </c>
      <c r="E937" s="19" t="s">
        <v>2</v>
      </c>
      <c r="F937" s="19" t="s">
        <v>1422</v>
      </c>
      <c r="G937" s="19" t="s">
        <v>1418</v>
      </c>
      <c r="H937" s="19" t="s">
        <v>944</v>
      </c>
      <c r="I937" s="19" t="s">
        <v>945</v>
      </c>
      <c r="J937" s="19" t="s">
        <v>942</v>
      </c>
      <c r="K937" s="19" t="s">
        <v>553</v>
      </c>
      <c r="L937" s="19">
        <v>2022</v>
      </c>
      <c r="M937" s="20">
        <v>100</v>
      </c>
      <c r="N937" s="19" t="s">
        <v>667</v>
      </c>
      <c r="O937" s="20">
        <v>2</v>
      </c>
      <c r="P937" s="20">
        <v>200</v>
      </c>
      <c r="Q937" s="20">
        <v>137.62571428571439</v>
      </c>
      <c r="R937" s="21">
        <v>0.87</v>
      </c>
      <c r="S937" s="20">
        <v>137.62571428571439</v>
      </c>
    </row>
    <row r="938" spans="2:19" ht="15" customHeight="1" x14ac:dyDescent="0.25">
      <c r="B938" s="2" t="str">
        <f t="shared" si="28"/>
        <v>NSG_Residential_Multi-Family_Standard Rebate_Boiler_≥88% AFUE, &lt;300MBh_MF</v>
      </c>
      <c r="C938" s="2" t="str">
        <f t="shared" si="29"/>
        <v>NSG_Residential_Multi-Family_Standard Rebate_Boiler_≥88% AFUE, &lt;300MBh_MF_2023</v>
      </c>
      <c r="D938" s="19" t="s">
        <v>1787</v>
      </c>
      <c r="E938" s="19" t="s">
        <v>2</v>
      </c>
      <c r="F938" s="19" t="s">
        <v>1422</v>
      </c>
      <c r="G938" s="19" t="s">
        <v>1418</v>
      </c>
      <c r="H938" s="19" t="s">
        <v>944</v>
      </c>
      <c r="I938" s="19" t="s">
        <v>945</v>
      </c>
      <c r="J938" s="19" t="s">
        <v>942</v>
      </c>
      <c r="K938" s="19" t="s">
        <v>553</v>
      </c>
      <c r="L938" s="19">
        <v>2023</v>
      </c>
      <c r="M938" s="20">
        <v>100</v>
      </c>
      <c r="N938" s="19" t="s">
        <v>667</v>
      </c>
      <c r="O938" s="20">
        <v>2</v>
      </c>
      <c r="P938" s="20">
        <v>200</v>
      </c>
      <c r="Q938" s="20">
        <v>137.62571428571439</v>
      </c>
      <c r="R938" s="21">
        <v>0.87</v>
      </c>
      <c r="S938" s="20">
        <v>137.62571428571439</v>
      </c>
    </row>
    <row r="939" spans="2:19" ht="15" customHeight="1" x14ac:dyDescent="0.25">
      <c r="B939" s="2" t="str">
        <f t="shared" si="28"/>
        <v>NSG_Residential_Multi-Family_Standard Rebate_Boiler_≥88% AFUE, &lt;300MBh_MF</v>
      </c>
      <c r="C939" s="2" t="str">
        <f t="shared" si="29"/>
        <v>NSG_Residential_Multi-Family_Standard Rebate_Boiler_≥88% AFUE, &lt;300MBh_MF_2024</v>
      </c>
      <c r="D939" s="19" t="s">
        <v>1787</v>
      </c>
      <c r="E939" s="19" t="s">
        <v>2</v>
      </c>
      <c r="F939" s="19" t="s">
        <v>1422</v>
      </c>
      <c r="G939" s="19" t="s">
        <v>1418</v>
      </c>
      <c r="H939" s="19" t="s">
        <v>944</v>
      </c>
      <c r="I939" s="19" t="s">
        <v>945</v>
      </c>
      <c r="J939" s="19" t="s">
        <v>942</v>
      </c>
      <c r="K939" s="19" t="s">
        <v>553</v>
      </c>
      <c r="L939" s="19">
        <v>2024</v>
      </c>
      <c r="M939" s="20">
        <v>100</v>
      </c>
      <c r="N939" s="19" t="s">
        <v>667</v>
      </c>
      <c r="O939" s="20">
        <v>2</v>
      </c>
      <c r="P939" s="20">
        <v>200</v>
      </c>
      <c r="Q939" s="20">
        <v>137.62571428571439</v>
      </c>
      <c r="R939" s="21">
        <v>0.87</v>
      </c>
      <c r="S939" s="20">
        <v>137.62571428571439</v>
      </c>
    </row>
    <row r="940" spans="2:19" ht="15" customHeight="1" x14ac:dyDescent="0.25">
      <c r="B940" s="2" t="str">
        <f t="shared" si="28"/>
        <v>NSG_Residential_Multi-Family_Standard Rebate_Boiler_≥88% AFUE, &lt;300MBh_MF</v>
      </c>
      <c r="C940" s="2" t="str">
        <f t="shared" si="29"/>
        <v>NSG_Residential_Multi-Family_Standard Rebate_Boiler_≥88% AFUE, &lt;300MBh_MF_2025</v>
      </c>
      <c r="D940" s="19" t="s">
        <v>1787</v>
      </c>
      <c r="E940" s="19" t="s">
        <v>2</v>
      </c>
      <c r="F940" s="19" t="s">
        <v>1422</v>
      </c>
      <c r="G940" s="19" t="s">
        <v>1418</v>
      </c>
      <c r="H940" s="19" t="s">
        <v>944</v>
      </c>
      <c r="I940" s="19" t="s">
        <v>945</v>
      </c>
      <c r="J940" s="19" t="s">
        <v>942</v>
      </c>
      <c r="K940" s="19" t="s">
        <v>553</v>
      </c>
      <c r="L940" s="19">
        <v>2025</v>
      </c>
      <c r="M940" s="20">
        <v>100</v>
      </c>
      <c r="N940" s="19" t="s">
        <v>667</v>
      </c>
      <c r="O940" s="20">
        <v>2</v>
      </c>
      <c r="P940" s="20">
        <v>200</v>
      </c>
      <c r="Q940" s="20">
        <v>137.62571428571439</v>
      </c>
      <c r="R940" s="21">
        <v>0.87</v>
      </c>
      <c r="S940" s="20">
        <v>137.62571428571439</v>
      </c>
    </row>
    <row r="941" spans="2:19" ht="15" customHeight="1" x14ac:dyDescent="0.25">
      <c r="B941" s="2" t="str">
        <f t="shared" si="28"/>
        <v>NSG_Residential_Multi-Family_Standard Rebate_Boiler_≥88% AFUE, ≥300MBh TE_MF</v>
      </c>
      <c r="C941" s="2" t="str">
        <f t="shared" si="29"/>
        <v>NSG_Residential_Multi-Family_Standard Rebate_Boiler_≥88% AFUE, ≥300MBh TE_MF_2022</v>
      </c>
      <c r="D941" s="19" t="s">
        <v>1787</v>
      </c>
      <c r="E941" s="19" t="s">
        <v>2</v>
      </c>
      <c r="F941" s="19" t="s">
        <v>1422</v>
      </c>
      <c r="G941" s="19" t="s">
        <v>1418</v>
      </c>
      <c r="H941" s="19" t="s">
        <v>944</v>
      </c>
      <c r="I941" s="19" t="s">
        <v>946</v>
      </c>
      <c r="J941" s="19" t="s">
        <v>942</v>
      </c>
      <c r="K941" s="19" t="s">
        <v>553</v>
      </c>
      <c r="L941" s="19">
        <v>2022</v>
      </c>
      <c r="M941" s="20">
        <v>5000</v>
      </c>
      <c r="N941" s="19" t="s">
        <v>667</v>
      </c>
      <c r="O941" s="20">
        <v>0</v>
      </c>
      <c r="P941" s="20">
        <v>0</v>
      </c>
      <c r="Q941" s="20">
        <v>0</v>
      </c>
      <c r="R941" s="21">
        <v>0.87</v>
      </c>
      <c r="S941" s="20">
        <v>0</v>
      </c>
    </row>
    <row r="942" spans="2:19" ht="15" customHeight="1" x14ac:dyDescent="0.25">
      <c r="B942" s="2" t="str">
        <f t="shared" si="28"/>
        <v>NSG_Residential_Multi-Family_Standard Rebate_Boiler_≥88% AFUE, ≥300MBh TE_MF</v>
      </c>
      <c r="C942" s="2" t="str">
        <f t="shared" si="29"/>
        <v>NSG_Residential_Multi-Family_Standard Rebate_Boiler_≥88% AFUE, ≥300MBh TE_MF_2023</v>
      </c>
      <c r="D942" s="19" t="s">
        <v>1787</v>
      </c>
      <c r="E942" s="19" t="s">
        <v>2</v>
      </c>
      <c r="F942" s="19" t="s">
        <v>1422</v>
      </c>
      <c r="G942" s="19" t="s">
        <v>1418</v>
      </c>
      <c r="H942" s="19" t="s">
        <v>944</v>
      </c>
      <c r="I942" s="19" t="s">
        <v>946</v>
      </c>
      <c r="J942" s="19" t="s">
        <v>942</v>
      </c>
      <c r="K942" s="19" t="s">
        <v>553</v>
      </c>
      <c r="L942" s="19">
        <v>2023</v>
      </c>
      <c r="M942" s="20">
        <v>5000</v>
      </c>
      <c r="N942" s="19" t="s">
        <v>667</v>
      </c>
      <c r="O942" s="20">
        <v>0</v>
      </c>
      <c r="P942" s="20">
        <v>0</v>
      </c>
      <c r="Q942" s="20">
        <v>0</v>
      </c>
      <c r="R942" s="21">
        <v>0.87</v>
      </c>
      <c r="S942" s="20">
        <v>0</v>
      </c>
    </row>
    <row r="943" spans="2:19" ht="15" customHeight="1" x14ac:dyDescent="0.25">
      <c r="B943" s="2" t="str">
        <f t="shared" si="28"/>
        <v>NSG_Residential_Multi-Family_Standard Rebate_Boiler_≥88% AFUE, ≥300MBh TE_MF</v>
      </c>
      <c r="C943" s="2" t="str">
        <f t="shared" si="29"/>
        <v>NSG_Residential_Multi-Family_Standard Rebate_Boiler_≥88% AFUE, ≥300MBh TE_MF_2024</v>
      </c>
      <c r="D943" s="19" t="s">
        <v>1787</v>
      </c>
      <c r="E943" s="19" t="s">
        <v>2</v>
      </c>
      <c r="F943" s="19" t="s">
        <v>1422</v>
      </c>
      <c r="G943" s="19" t="s">
        <v>1418</v>
      </c>
      <c r="H943" s="19" t="s">
        <v>944</v>
      </c>
      <c r="I943" s="19" t="s">
        <v>946</v>
      </c>
      <c r="J943" s="19" t="s">
        <v>942</v>
      </c>
      <c r="K943" s="19" t="s">
        <v>553</v>
      </c>
      <c r="L943" s="19">
        <v>2024</v>
      </c>
      <c r="M943" s="20">
        <v>5000</v>
      </c>
      <c r="N943" s="19" t="s">
        <v>667</v>
      </c>
      <c r="O943" s="20">
        <v>0</v>
      </c>
      <c r="P943" s="20">
        <v>0</v>
      </c>
      <c r="Q943" s="20">
        <v>0</v>
      </c>
      <c r="R943" s="21">
        <v>0.87</v>
      </c>
      <c r="S943" s="20">
        <v>0</v>
      </c>
    </row>
    <row r="944" spans="2:19" ht="15" customHeight="1" x14ac:dyDescent="0.25">
      <c r="B944" s="2" t="str">
        <f t="shared" si="28"/>
        <v>NSG_Residential_Multi-Family_Standard Rebate_Boiler_≥88% AFUE, ≥300MBh TE_MF</v>
      </c>
      <c r="C944" s="2" t="str">
        <f t="shared" si="29"/>
        <v>NSG_Residential_Multi-Family_Standard Rebate_Boiler_≥88% AFUE, ≥300MBh TE_MF_2025</v>
      </c>
      <c r="D944" s="19" t="s">
        <v>1787</v>
      </c>
      <c r="E944" s="19" t="s">
        <v>2</v>
      </c>
      <c r="F944" s="19" t="s">
        <v>1422</v>
      </c>
      <c r="G944" s="19" t="s">
        <v>1418</v>
      </c>
      <c r="H944" s="19" t="s">
        <v>944</v>
      </c>
      <c r="I944" s="19" t="s">
        <v>946</v>
      </c>
      <c r="J944" s="19" t="s">
        <v>942</v>
      </c>
      <c r="K944" s="19" t="s">
        <v>553</v>
      </c>
      <c r="L944" s="19">
        <v>2025</v>
      </c>
      <c r="M944" s="20">
        <v>5000</v>
      </c>
      <c r="N944" s="19" t="s">
        <v>667</v>
      </c>
      <c r="O944" s="20">
        <v>0</v>
      </c>
      <c r="P944" s="20">
        <v>0</v>
      </c>
      <c r="Q944" s="20">
        <v>0</v>
      </c>
      <c r="R944" s="21">
        <v>0.87</v>
      </c>
      <c r="S944" s="20">
        <v>0</v>
      </c>
    </row>
    <row r="945" spans="2:19" ht="15" customHeight="1" x14ac:dyDescent="0.25">
      <c r="B945" s="2" t="str">
        <f t="shared" si="28"/>
        <v>NSG_Residential_Multi-Family_Standard Rebate_Boiler Reset Controls_0_MF</v>
      </c>
      <c r="C945" s="2" t="str">
        <f t="shared" si="29"/>
        <v>NSG_Residential_Multi-Family_Standard Rebate_Boiler Reset Controls_0_MF_2022</v>
      </c>
      <c r="D945" s="19" t="s">
        <v>1787</v>
      </c>
      <c r="E945" s="19" t="s">
        <v>2</v>
      </c>
      <c r="F945" s="19" t="s">
        <v>1422</v>
      </c>
      <c r="G945" s="19" t="s">
        <v>1418</v>
      </c>
      <c r="H945" s="19" t="s">
        <v>978</v>
      </c>
      <c r="I945" s="19">
        <v>0</v>
      </c>
      <c r="J945" s="19" t="s">
        <v>25</v>
      </c>
      <c r="K945" s="19" t="s">
        <v>553</v>
      </c>
      <c r="L945" s="19">
        <v>2022</v>
      </c>
      <c r="M945" s="20">
        <v>1200</v>
      </c>
      <c r="N945" s="19" t="s">
        <v>667</v>
      </c>
      <c r="O945" s="20">
        <v>1</v>
      </c>
      <c r="P945" s="20">
        <v>1200</v>
      </c>
      <c r="Q945" s="20">
        <v>1387.2672</v>
      </c>
      <c r="R945" s="21">
        <v>0.87</v>
      </c>
      <c r="S945" s="20">
        <v>1387.2672</v>
      </c>
    </row>
    <row r="946" spans="2:19" ht="15" customHeight="1" x14ac:dyDescent="0.25">
      <c r="B946" s="2" t="str">
        <f t="shared" si="28"/>
        <v>NSG_Residential_Multi-Family_Standard Rebate_Boiler Reset Controls_0_MF</v>
      </c>
      <c r="C946" s="2" t="str">
        <f t="shared" si="29"/>
        <v>NSG_Residential_Multi-Family_Standard Rebate_Boiler Reset Controls_0_MF_2023</v>
      </c>
      <c r="D946" s="19" t="s">
        <v>1787</v>
      </c>
      <c r="E946" s="19" t="s">
        <v>2</v>
      </c>
      <c r="F946" s="19" t="s">
        <v>1422</v>
      </c>
      <c r="G946" s="19" t="s">
        <v>1418</v>
      </c>
      <c r="H946" s="19" t="s">
        <v>978</v>
      </c>
      <c r="I946" s="19">
        <v>0</v>
      </c>
      <c r="J946" s="19" t="s">
        <v>25</v>
      </c>
      <c r="K946" s="19" t="s">
        <v>553</v>
      </c>
      <c r="L946" s="19">
        <v>2023</v>
      </c>
      <c r="M946" s="20">
        <v>1200</v>
      </c>
      <c r="N946" s="19" t="s">
        <v>667</v>
      </c>
      <c r="O946" s="20">
        <v>1</v>
      </c>
      <c r="P946" s="20">
        <v>1200</v>
      </c>
      <c r="Q946" s="20">
        <v>1387.2672</v>
      </c>
      <c r="R946" s="21">
        <v>0.87</v>
      </c>
      <c r="S946" s="20">
        <v>1387.2672</v>
      </c>
    </row>
    <row r="947" spans="2:19" ht="15" customHeight="1" x14ac:dyDescent="0.25">
      <c r="B947" s="2" t="str">
        <f t="shared" si="28"/>
        <v>NSG_Residential_Multi-Family_Standard Rebate_Boiler Reset Controls_0_MF</v>
      </c>
      <c r="C947" s="2" t="str">
        <f t="shared" si="29"/>
        <v>NSG_Residential_Multi-Family_Standard Rebate_Boiler Reset Controls_0_MF_2024</v>
      </c>
      <c r="D947" s="19" t="s">
        <v>1787</v>
      </c>
      <c r="E947" s="19" t="s">
        <v>2</v>
      </c>
      <c r="F947" s="19" t="s">
        <v>1422</v>
      </c>
      <c r="G947" s="19" t="s">
        <v>1418</v>
      </c>
      <c r="H947" s="19" t="s">
        <v>978</v>
      </c>
      <c r="I947" s="19">
        <v>0</v>
      </c>
      <c r="J947" s="19" t="s">
        <v>25</v>
      </c>
      <c r="K947" s="19" t="s">
        <v>553</v>
      </c>
      <c r="L947" s="19">
        <v>2024</v>
      </c>
      <c r="M947" s="20">
        <v>1200</v>
      </c>
      <c r="N947" s="19" t="s">
        <v>667</v>
      </c>
      <c r="O947" s="20">
        <v>1</v>
      </c>
      <c r="P947" s="20">
        <v>1200</v>
      </c>
      <c r="Q947" s="20">
        <v>1387.2672</v>
      </c>
      <c r="R947" s="21">
        <v>0.87</v>
      </c>
      <c r="S947" s="20">
        <v>1387.2672</v>
      </c>
    </row>
    <row r="948" spans="2:19" ht="15" customHeight="1" x14ac:dyDescent="0.25">
      <c r="B948" s="2" t="str">
        <f t="shared" si="28"/>
        <v>NSG_Residential_Multi-Family_Standard Rebate_Boiler Reset Controls_0_MF</v>
      </c>
      <c r="C948" s="2" t="str">
        <f t="shared" si="29"/>
        <v>NSG_Residential_Multi-Family_Standard Rebate_Boiler Reset Controls_0_MF_2025</v>
      </c>
      <c r="D948" s="19" t="s">
        <v>1787</v>
      </c>
      <c r="E948" s="19" t="s">
        <v>2</v>
      </c>
      <c r="F948" s="19" t="s">
        <v>1422</v>
      </c>
      <c r="G948" s="19" t="s">
        <v>1418</v>
      </c>
      <c r="H948" s="19" t="s">
        <v>978</v>
      </c>
      <c r="I948" s="19">
        <v>0</v>
      </c>
      <c r="J948" s="19" t="s">
        <v>25</v>
      </c>
      <c r="K948" s="19" t="s">
        <v>553</v>
      </c>
      <c r="L948" s="19">
        <v>2025</v>
      </c>
      <c r="M948" s="20">
        <v>1200</v>
      </c>
      <c r="N948" s="19" t="s">
        <v>667</v>
      </c>
      <c r="O948" s="20">
        <v>1</v>
      </c>
      <c r="P948" s="20">
        <v>1200</v>
      </c>
      <c r="Q948" s="20">
        <v>1387.2672</v>
      </c>
      <c r="R948" s="21">
        <v>0.87</v>
      </c>
      <c r="S948" s="20">
        <v>1387.2672</v>
      </c>
    </row>
    <row r="949" spans="2:19" ht="15" customHeight="1" x14ac:dyDescent="0.25">
      <c r="B949" s="2" t="str">
        <f t="shared" si="28"/>
        <v>NSG_Residential_Multi-Family_Standard Rebate_Boiler Tune Up_Process_MF/CI</v>
      </c>
      <c r="C949" s="2" t="str">
        <f t="shared" si="29"/>
        <v>NSG_Residential_Multi-Family_Standard Rebate_Boiler Tune Up_Process_MF/CI_2022</v>
      </c>
      <c r="D949" s="19" t="s">
        <v>1787</v>
      </c>
      <c r="E949" s="19" t="s">
        <v>2</v>
      </c>
      <c r="F949" s="19" t="s">
        <v>1422</v>
      </c>
      <c r="G949" s="19" t="s">
        <v>1418</v>
      </c>
      <c r="H949" s="19" t="s">
        <v>906</v>
      </c>
      <c r="I949" s="19" t="s">
        <v>924</v>
      </c>
      <c r="J949" s="19" t="s">
        <v>927</v>
      </c>
      <c r="K949" s="19" t="s">
        <v>587</v>
      </c>
      <c r="L949" s="19">
        <v>2022</v>
      </c>
      <c r="M949" s="20">
        <v>200</v>
      </c>
      <c r="N949" s="19" t="s">
        <v>667</v>
      </c>
      <c r="O949" s="20">
        <v>1</v>
      </c>
      <c r="P949" s="20">
        <v>200</v>
      </c>
      <c r="Q949" s="20">
        <v>177.95595530266246</v>
      </c>
      <c r="R949" s="21">
        <v>0.87</v>
      </c>
      <c r="S949" s="20">
        <v>177.95595530266246</v>
      </c>
    </row>
    <row r="950" spans="2:19" ht="15" customHeight="1" x14ac:dyDescent="0.25">
      <c r="B950" s="2" t="str">
        <f t="shared" si="28"/>
        <v>NSG_Residential_Multi-Family_Standard Rebate_Boiler Tune Up_Process_MF/CI</v>
      </c>
      <c r="C950" s="2" t="str">
        <f t="shared" si="29"/>
        <v>NSG_Residential_Multi-Family_Standard Rebate_Boiler Tune Up_Process_MF/CI_2023</v>
      </c>
      <c r="D950" s="19" t="s">
        <v>1787</v>
      </c>
      <c r="E950" s="19" t="s">
        <v>2</v>
      </c>
      <c r="F950" s="19" t="s">
        <v>1422</v>
      </c>
      <c r="G950" s="19" t="s">
        <v>1418</v>
      </c>
      <c r="H950" s="19" t="s">
        <v>906</v>
      </c>
      <c r="I950" s="19" t="s">
        <v>924</v>
      </c>
      <c r="J950" s="19" t="s">
        <v>927</v>
      </c>
      <c r="K950" s="19" t="s">
        <v>587</v>
      </c>
      <c r="L950" s="19">
        <v>2023</v>
      </c>
      <c r="M950" s="20">
        <v>200</v>
      </c>
      <c r="N950" s="19" t="s">
        <v>667</v>
      </c>
      <c r="O950" s="20">
        <v>1</v>
      </c>
      <c r="P950" s="20">
        <v>200</v>
      </c>
      <c r="Q950" s="20">
        <v>177.95595530266246</v>
      </c>
      <c r="R950" s="21">
        <v>0.87</v>
      </c>
      <c r="S950" s="20">
        <v>177.95595530266246</v>
      </c>
    </row>
    <row r="951" spans="2:19" ht="15" customHeight="1" x14ac:dyDescent="0.25">
      <c r="B951" s="2" t="str">
        <f t="shared" si="28"/>
        <v>NSG_Residential_Multi-Family_Standard Rebate_Boiler Tune Up_Process_MF/CI</v>
      </c>
      <c r="C951" s="2" t="str">
        <f t="shared" si="29"/>
        <v>NSG_Residential_Multi-Family_Standard Rebate_Boiler Tune Up_Process_MF/CI_2024</v>
      </c>
      <c r="D951" s="19" t="s">
        <v>1787</v>
      </c>
      <c r="E951" s="19" t="s">
        <v>2</v>
      </c>
      <c r="F951" s="19" t="s">
        <v>1422</v>
      </c>
      <c r="G951" s="19" t="s">
        <v>1418</v>
      </c>
      <c r="H951" s="19" t="s">
        <v>906</v>
      </c>
      <c r="I951" s="19" t="s">
        <v>924</v>
      </c>
      <c r="J951" s="19" t="s">
        <v>927</v>
      </c>
      <c r="K951" s="19" t="s">
        <v>587</v>
      </c>
      <c r="L951" s="19">
        <v>2024</v>
      </c>
      <c r="M951" s="20">
        <v>200</v>
      </c>
      <c r="N951" s="19" t="s">
        <v>667</v>
      </c>
      <c r="O951" s="20">
        <v>1</v>
      </c>
      <c r="P951" s="20">
        <v>200</v>
      </c>
      <c r="Q951" s="20">
        <v>177.95595530266246</v>
      </c>
      <c r="R951" s="21">
        <v>0.87</v>
      </c>
      <c r="S951" s="20">
        <v>177.95595530266246</v>
      </c>
    </row>
    <row r="952" spans="2:19" ht="15" customHeight="1" x14ac:dyDescent="0.25">
      <c r="B952" s="2" t="str">
        <f t="shared" si="28"/>
        <v>NSG_Residential_Multi-Family_Standard Rebate_Boiler Tune Up_Process_MF/CI</v>
      </c>
      <c r="C952" s="2" t="str">
        <f t="shared" si="29"/>
        <v>NSG_Residential_Multi-Family_Standard Rebate_Boiler Tune Up_Process_MF/CI_2025</v>
      </c>
      <c r="D952" s="19" t="s">
        <v>1787</v>
      </c>
      <c r="E952" s="19" t="s">
        <v>2</v>
      </c>
      <c r="F952" s="19" t="s">
        <v>1422</v>
      </c>
      <c r="G952" s="19" t="s">
        <v>1418</v>
      </c>
      <c r="H952" s="19" t="s">
        <v>906</v>
      </c>
      <c r="I952" s="19" t="s">
        <v>924</v>
      </c>
      <c r="J952" s="19" t="s">
        <v>927</v>
      </c>
      <c r="K952" s="19" t="s">
        <v>587</v>
      </c>
      <c r="L952" s="19">
        <v>2025</v>
      </c>
      <c r="M952" s="20">
        <v>200</v>
      </c>
      <c r="N952" s="19" t="s">
        <v>667</v>
      </c>
      <c r="O952" s="20">
        <v>1</v>
      </c>
      <c r="P952" s="20">
        <v>200</v>
      </c>
      <c r="Q952" s="20">
        <v>177.95595530266246</v>
      </c>
      <c r="R952" s="21">
        <v>0.87</v>
      </c>
      <c r="S952" s="20">
        <v>177.95595530266246</v>
      </c>
    </row>
    <row r="953" spans="2:19" ht="15" customHeight="1" x14ac:dyDescent="0.25">
      <c r="B953" s="2" t="str">
        <f t="shared" si="28"/>
        <v>NSG_Residential_Multi-Family_Standard Rebate_Boiler Tune Up_Space Heating_MF</v>
      </c>
      <c r="C953" s="2" t="str">
        <f t="shared" si="29"/>
        <v>NSG_Residential_Multi-Family_Standard Rebate_Boiler Tune Up_Space Heating_MF_2022</v>
      </c>
      <c r="D953" s="19" t="s">
        <v>1787</v>
      </c>
      <c r="E953" s="19" t="s">
        <v>2</v>
      </c>
      <c r="F953" s="19" t="s">
        <v>1422</v>
      </c>
      <c r="G953" s="19" t="s">
        <v>1418</v>
      </c>
      <c r="H953" s="19" t="s">
        <v>906</v>
      </c>
      <c r="I953" s="19" t="s">
        <v>907</v>
      </c>
      <c r="J953" s="19" t="s">
        <v>909</v>
      </c>
      <c r="K953" s="19" t="s">
        <v>553</v>
      </c>
      <c r="L953" s="19">
        <v>2022</v>
      </c>
      <c r="M953" s="20">
        <v>200</v>
      </c>
      <c r="N953" s="19" t="s">
        <v>667</v>
      </c>
      <c r="O953" s="20">
        <v>1</v>
      </c>
      <c r="P953" s="20">
        <v>200</v>
      </c>
      <c r="Q953" s="20">
        <v>81.562233128834535</v>
      </c>
      <c r="R953" s="21">
        <v>0.87</v>
      </c>
      <c r="S953" s="20">
        <v>81.562233128834535</v>
      </c>
    </row>
    <row r="954" spans="2:19" ht="15" customHeight="1" x14ac:dyDescent="0.25">
      <c r="B954" s="2" t="str">
        <f t="shared" si="28"/>
        <v>NSG_Residential_Multi-Family_Standard Rebate_Boiler Tune Up_Space Heating_MF</v>
      </c>
      <c r="C954" s="2" t="str">
        <f t="shared" si="29"/>
        <v>NSG_Residential_Multi-Family_Standard Rebate_Boiler Tune Up_Space Heating_MF_2023</v>
      </c>
      <c r="D954" s="19" t="s">
        <v>1787</v>
      </c>
      <c r="E954" s="19" t="s">
        <v>2</v>
      </c>
      <c r="F954" s="19" t="s">
        <v>1422</v>
      </c>
      <c r="G954" s="19" t="s">
        <v>1418</v>
      </c>
      <c r="H954" s="19" t="s">
        <v>906</v>
      </c>
      <c r="I954" s="19" t="s">
        <v>907</v>
      </c>
      <c r="J954" s="19" t="s">
        <v>909</v>
      </c>
      <c r="K954" s="19" t="s">
        <v>553</v>
      </c>
      <c r="L954" s="19">
        <v>2023</v>
      </c>
      <c r="M954" s="20">
        <v>200</v>
      </c>
      <c r="N954" s="19" t="s">
        <v>667</v>
      </c>
      <c r="O954" s="20">
        <v>1</v>
      </c>
      <c r="P954" s="20">
        <v>200</v>
      </c>
      <c r="Q954" s="20">
        <v>81.562233128834535</v>
      </c>
      <c r="R954" s="21">
        <v>0.87</v>
      </c>
      <c r="S954" s="20">
        <v>81.562233128834535</v>
      </c>
    </row>
    <row r="955" spans="2:19" ht="15" customHeight="1" x14ac:dyDescent="0.25">
      <c r="B955" s="2" t="str">
        <f t="shared" si="28"/>
        <v>NSG_Residential_Multi-Family_Standard Rebate_Boiler Tune Up_Space Heating_MF</v>
      </c>
      <c r="C955" s="2" t="str">
        <f t="shared" si="29"/>
        <v>NSG_Residential_Multi-Family_Standard Rebate_Boiler Tune Up_Space Heating_MF_2024</v>
      </c>
      <c r="D955" s="19" t="s">
        <v>1787</v>
      </c>
      <c r="E955" s="19" t="s">
        <v>2</v>
      </c>
      <c r="F955" s="19" t="s">
        <v>1422</v>
      </c>
      <c r="G955" s="19" t="s">
        <v>1418</v>
      </c>
      <c r="H955" s="19" t="s">
        <v>906</v>
      </c>
      <c r="I955" s="19" t="s">
        <v>907</v>
      </c>
      <c r="J955" s="19" t="s">
        <v>909</v>
      </c>
      <c r="K955" s="19" t="s">
        <v>553</v>
      </c>
      <c r="L955" s="19">
        <v>2024</v>
      </c>
      <c r="M955" s="20">
        <v>200</v>
      </c>
      <c r="N955" s="19" t="s">
        <v>667</v>
      </c>
      <c r="O955" s="20">
        <v>1</v>
      </c>
      <c r="P955" s="20">
        <v>200</v>
      </c>
      <c r="Q955" s="20">
        <v>81.562233128834535</v>
      </c>
      <c r="R955" s="21">
        <v>0.87</v>
      </c>
      <c r="S955" s="20">
        <v>81.562233128834535</v>
      </c>
    </row>
    <row r="956" spans="2:19" ht="15" customHeight="1" x14ac:dyDescent="0.25">
      <c r="B956" s="2" t="str">
        <f t="shared" si="28"/>
        <v>NSG_Residential_Multi-Family_Standard Rebate_Boiler Tune Up_Space Heating_MF</v>
      </c>
      <c r="C956" s="2" t="str">
        <f t="shared" si="29"/>
        <v>NSG_Residential_Multi-Family_Standard Rebate_Boiler Tune Up_Space Heating_MF_2025</v>
      </c>
      <c r="D956" s="19" t="s">
        <v>1787</v>
      </c>
      <c r="E956" s="19" t="s">
        <v>2</v>
      </c>
      <c r="F956" s="19" t="s">
        <v>1422</v>
      </c>
      <c r="G956" s="19" t="s">
        <v>1418</v>
      </c>
      <c r="H956" s="19" t="s">
        <v>906</v>
      </c>
      <c r="I956" s="19" t="s">
        <v>907</v>
      </c>
      <c r="J956" s="19" t="s">
        <v>909</v>
      </c>
      <c r="K956" s="19" t="s">
        <v>553</v>
      </c>
      <c r="L956" s="19">
        <v>2025</v>
      </c>
      <c r="M956" s="20">
        <v>200</v>
      </c>
      <c r="N956" s="19" t="s">
        <v>667</v>
      </c>
      <c r="O956" s="20">
        <v>1</v>
      </c>
      <c r="P956" s="20">
        <v>200</v>
      </c>
      <c r="Q956" s="20">
        <v>81.562233128834535</v>
      </c>
      <c r="R956" s="21">
        <v>0.87</v>
      </c>
      <c r="S956" s="20">
        <v>81.562233128834535</v>
      </c>
    </row>
    <row r="957" spans="2:19" ht="15" customHeight="1" x14ac:dyDescent="0.25">
      <c r="B957" s="2" t="str">
        <f t="shared" si="28"/>
        <v>NSG_Residential_Multi-Family_Standard Rebate_Condensing Unit Heater_0_MF/CI</v>
      </c>
      <c r="C957" s="2" t="str">
        <f t="shared" si="29"/>
        <v>NSG_Residential_Multi-Family_Standard Rebate_Condensing Unit Heater_0_MF/CI_2022</v>
      </c>
      <c r="D957" s="19" t="s">
        <v>1787</v>
      </c>
      <c r="E957" s="19" t="s">
        <v>2</v>
      </c>
      <c r="F957" s="19" t="s">
        <v>1422</v>
      </c>
      <c r="G957" s="19" t="s">
        <v>1418</v>
      </c>
      <c r="H957" s="19" t="s">
        <v>13</v>
      </c>
      <c r="I957" s="19">
        <v>0</v>
      </c>
      <c r="J957" s="19" t="s">
        <v>32</v>
      </c>
      <c r="K957" s="19" t="s">
        <v>587</v>
      </c>
      <c r="L957" s="19">
        <v>2022</v>
      </c>
      <c r="M957" s="20">
        <v>150</v>
      </c>
      <c r="N957" s="19" t="s">
        <v>667</v>
      </c>
      <c r="O957" s="20">
        <v>0</v>
      </c>
      <c r="P957" s="20">
        <v>0</v>
      </c>
      <c r="Q957" s="20">
        <v>0</v>
      </c>
      <c r="R957" s="21">
        <v>0.87</v>
      </c>
      <c r="S957" s="20">
        <v>0</v>
      </c>
    </row>
    <row r="958" spans="2:19" ht="15" customHeight="1" x14ac:dyDescent="0.25">
      <c r="B958" s="2" t="str">
        <f t="shared" si="28"/>
        <v>NSG_Residential_Multi-Family_Standard Rebate_Condensing Unit Heater_0_MF/CI</v>
      </c>
      <c r="C958" s="2" t="str">
        <f t="shared" si="29"/>
        <v>NSG_Residential_Multi-Family_Standard Rebate_Condensing Unit Heater_0_MF/CI_2023</v>
      </c>
      <c r="D958" s="19" t="s">
        <v>1787</v>
      </c>
      <c r="E958" s="19" t="s">
        <v>2</v>
      </c>
      <c r="F958" s="19" t="s">
        <v>1422</v>
      </c>
      <c r="G958" s="19" t="s">
        <v>1418</v>
      </c>
      <c r="H958" s="19" t="s">
        <v>13</v>
      </c>
      <c r="I958" s="19">
        <v>0</v>
      </c>
      <c r="J958" s="19" t="s">
        <v>32</v>
      </c>
      <c r="K958" s="19" t="s">
        <v>587</v>
      </c>
      <c r="L958" s="19">
        <v>2023</v>
      </c>
      <c r="M958" s="20">
        <v>150</v>
      </c>
      <c r="N958" s="19" t="s">
        <v>667</v>
      </c>
      <c r="O958" s="20">
        <v>0</v>
      </c>
      <c r="P958" s="20">
        <v>0</v>
      </c>
      <c r="Q958" s="20">
        <v>0</v>
      </c>
      <c r="R958" s="21">
        <v>0.87</v>
      </c>
      <c r="S958" s="20">
        <v>0</v>
      </c>
    </row>
    <row r="959" spans="2:19" ht="15" customHeight="1" x14ac:dyDescent="0.25">
      <c r="B959" s="2" t="str">
        <f t="shared" si="28"/>
        <v>NSG_Residential_Multi-Family_Standard Rebate_Condensing Unit Heater_0_MF/CI</v>
      </c>
      <c r="C959" s="2" t="str">
        <f t="shared" si="29"/>
        <v>NSG_Residential_Multi-Family_Standard Rebate_Condensing Unit Heater_0_MF/CI_2024</v>
      </c>
      <c r="D959" s="19" t="s">
        <v>1787</v>
      </c>
      <c r="E959" s="19" t="s">
        <v>2</v>
      </c>
      <c r="F959" s="19" t="s">
        <v>1422</v>
      </c>
      <c r="G959" s="19" t="s">
        <v>1418</v>
      </c>
      <c r="H959" s="19" t="s">
        <v>13</v>
      </c>
      <c r="I959" s="19">
        <v>0</v>
      </c>
      <c r="J959" s="19" t="s">
        <v>32</v>
      </c>
      <c r="K959" s="19" t="s">
        <v>587</v>
      </c>
      <c r="L959" s="19">
        <v>2024</v>
      </c>
      <c r="M959" s="20">
        <v>150</v>
      </c>
      <c r="N959" s="19" t="s">
        <v>667</v>
      </c>
      <c r="O959" s="20">
        <v>0</v>
      </c>
      <c r="P959" s="20">
        <v>0</v>
      </c>
      <c r="Q959" s="20">
        <v>0</v>
      </c>
      <c r="R959" s="21">
        <v>0.87</v>
      </c>
      <c r="S959" s="20">
        <v>0</v>
      </c>
    </row>
    <row r="960" spans="2:19" ht="15" customHeight="1" x14ac:dyDescent="0.25">
      <c r="B960" s="2" t="str">
        <f t="shared" si="28"/>
        <v>NSG_Residential_Multi-Family_Standard Rebate_Condensing Unit Heater_0_MF/CI</v>
      </c>
      <c r="C960" s="2" t="str">
        <f t="shared" si="29"/>
        <v>NSG_Residential_Multi-Family_Standard Rebate_Condensing Unit Heater_0_MF/CI_2025</v>
      </c>
      <c r="D960" s="19" t="s">
        <v>1787</v>
      </c>
      <c r="E960" s="19" t="s">
        <v>2</v>
      </c>
      <c r="F960" s="19" t="s">
        <v>1422</v>
      </c>
      <c r="G960" s="19" t="s">
        <v>1418</v>
      </c>
      <c r="H960" s="19" t="s">
        <v>13</v>
      </c>
      <c r="I960" s="19">
        <v>0</v>
      </c>
      <c r="J960" s="19" t="s">
        <v>32</v>
      </c>
      <c r="K960" s="19" t="s">
        <v>587</v>
      </c>
      <c r="L960" s="19">
        <v>2025</v>
      </c>
      <c r="M960" s="20">
        <v>150</v>
      </c>
      <c r="N960" s="19" t="s">
        <v>667</v>
      </c>
      <c r="O960" s="20">
        <v>0</v>
      </c>
      <c r="P960" s="20">
        <v>0</v>
      </c>
      <c r="Q960" s="20">
        <v>0</v>
      </c>
      <c r="R960" s="21">
        <v>0.87</v>
      </c>
      <c r="S960" s="20">
        <v>0</v>
      </c>
    </row>
    <row r="961" spans="2:19" ht="15" customHeight="1" x14ac:dyDescent="0.25">
      <c r="B961" s="2" t="str">
        <f t="shared" si="28"/>
        <v>NSG_Residential_Multi-Family_Standard Rebate_Direct Fired Heaters_0_MF/CI</v>
      </c>
      <c r="C961" s="2" t="str">
        <f t="shared" si="29"/>
        <v>NSG_Residential_Multi-Family_Standard Rebate_Direct Fired Heaters_0_MF/CI_2022</v>
      </c>
      <c r="D961" s="19" t="s">
        <v>1787</v>
      </c>
      <c r="E961" s="19" t="s">
        <v>2</v>
      </c>
      <c r="F961" s="19" t="s">
        <v>1422</v>
      </c>
      <c r="G961" s="19" t="s">
        <v>1418</v>
      </c>
      <c r="H961" s="19" t="s">
        <v>666</v>
      </c>
      <c r="I961" s="19">
        <v>0</v>
      </c>
      <c r="J961" s="19" t="s">
        <v>673</v>
      </c>
      <c r="K961" s="19" t="s">
        <v>587</v>
      </c>
      <c r="L961" s="19">
        <v>2022</v>
      </c>
      <c r="M961" s="20">
        <v>400</v>
      </c>
      <c r="N961" s="19" t="s">
        <v>667</v>
      </c>
      <c r="O961" s="20">
        <v>0</v>
      </c>
      <c r="P961" s="20">
        <v>0</v>
      </c>
      <c r="Q961" s="20">
        <v>0</v>
      </c>
      <c r="R961" s="21">
        <v>0.87</v>
      </c>
      <c r="S961" s="20">
        <v>0</v>
      </c>
    </row>
    <row r="962" spans="2:19" ht="15" customHeight="1" x14ac:dyDescent="0.25">
      <c r="B962" s="2" t="str">
        <f t="shared" si="28"/>
        <v>NSG_Residential_Multi-Family_Standard Rebate_Direct Fired Heaters_0_MF/CI</v>
      </c>
      <c r="C962" s="2" t="str">
        <f t="shared" si="29"/>
        <v>NSG_Residential_Multi-Family_Standard Rebate_Direct Fired Heaters_0_MF/CI_2023</v>
      </c>
      <c r="D962" s="19" t="s">
        <v>1787</v>
      </c>
      <c r="E962" s="19" t="s">
        <v>2</v>
      </c>
      <c r="F962" s="19" t="s">
        <v>1422</v>
      </c>
      <c r="G962" s="19" t="s">
        <v>1418</v>
      </c>
      <c r="H962" s="19" t="s">
        <v>666</v>
      </c>
      <c r="I962" s="19">
        <v>0</v>
      </c>
      <c r="J962" s="19" t="s">
        <v>673</v>
      </c>
      <c r="K962" s="19" t="s">
        <v>587</v>
      </c>
      <c r="L962" s="19">
        <v>2023</v>
      </c>
      <c r="M962" s="20">
        <v>400</v>
      </c>
      <c r="N962" s="19" t="s">
        <v>667</v>
      </c>
      <c r="O962" s="20">
        <v>0</v>
      </c>
      <c r="P962" s="20">
        <v>0</v>
      </c>
      <c r="Q962" s="20">
        <v>0</v>
      </c>
      <c r="R962" s="21">
        <v>0.87</v>
      </c>
      <c r="S962" s="20">
        <v>0</v>
      </c>
    </row>
    <row r="963" spans="2:19" ht="15" customHeight="1" x14ac:dyDescent="0.25">
      <c r="B963" s="2" t="str">
        <f t="shared" si="28"/>
        <v>NSG_Residential_Multi-Family_Standard Rebate_Direct Fired Heaters_0_MF/CI</v>
      </c>
      <c r="C963" s="2" t="str">
        <f t="shared" si="29"/>
        <v>NSG_Residential_Multi-Family_Standard Rebate_Direct Fired Heaters_0_MF/CI_2024</v>
      </c>
      <c r="D963" s="19" t="s">
        <v>1787</v>
      </c>
      <c r="E963" s="19" t="s">
        <v>2</v>
      </c>
      <c r="F963" s="19" t="s">
        <v>1422</v>
      </c>
      <c r="G963" s="19" t="s">
        <v>1418</v>
      </c>
      <c r="H963" s="19" t="s">
        <v>666</v>
      </c>
      <c r="I963" s="19">
        <v>0</v>
      </c>
      <c r="J963" s="19" t="s">
        <v>673</v>
      </c>
      <c r="K963" s="19" t="s">
        <v>587</v>
      </c>
      <c r="L963" s="19">
        <v>2024</v>
      </c>
      <c r="M963" s="20">
        <v>400</v>
      </c>
      <c r="N963" s="19" t="s">
        <v>667</v>
      </c>
      <c r="O963" s="20">
        <v>0</v>
      </c>
      <c r="P963" s="20">
        <v>0</v>
      </c>
      <c r="Q963" s="20">
        <v>0</v>
      </c>
      <c r="R963" s="21">
        <v>0.87</v>
      </c>
      <c r="S963" s="20">
        <v>0</v>
      </c>
    </row>
    <row r="964" spans="2:19" ht="15" customHeight="1" x14ac:dyDescent="0.25">
      <c r="B964" s="2" t="str">
        <f t="shared" si="28"/>
        <v>NSG_Residential_Multi-Family_Standard Rebate_Direct Fired Heaters_0_MF/CI</v>
      </c>
      <c r="C964" s="2" t="str">
        <f t="shared" si="29"/>
        <v>NSG_Residential_Multi-Family_Standard Rebate_Direct Fired Heaters_0_MF/CI_2025</v>
      </c>
      <c r="D964" s="19" t="s">
        <v>1787</v>
      </c>
      <c r="E964" s="19" t="s">
        <v>2</v>
      </c>
      <c r="F964" s="19" t="s">
        <v>1422</v>
      </c>
      <c r="G964" s="19" t="s">
        <v>1418</v>
      </c>
      <c r="H964" s="19" t="s">
        <v>666</v>
      </c>
      <c r="I964" s="19">
        <v>0</v>
      </c>
      <c r="J964" s="19" t="s">
        <v>673</v>
      </c>
      <c r="K964" s="19" t="s">
        <v>587</v>
      </c>
      <c r="L964" s="19">
        <v>2025</v>
      </c>
      <c r="M964" s="20">
        <v>400</v>
      </c>
      <c r="N964" s="19" t="s">
        <v>667</v>
      </c>
      <c r="O964" s="20">
        <v>0</v>
      </c>
      <c r="P964" s="20">
        <v>0</v>
      </c>
      <c r="Q964" s="20">
        <v>0</v>
      </c>
      <c r="R964" s="21">
        <v>0.87</v>
      </c>
      <c r="S964" s="20">
        <v>0</v>
      </c>
    </row>
    <row r="965" spans="2:19" ht="15" customHeight="1" x14ac:dyDescent="0.25">
      <c r="B965" s="2" t="str">
        <f t="shared" si="28"/>
        <v>NSG_Residential_Multi-Family_Standard Rebate_Furnace_&gt;95% AFUE_MF</v>
      </c>
      <c r="C965" s="2" t="str">
        <f t="shared" si="29"/>
        <v>NSG_Residential_Multi-Family_Standard Rebate_Furnace_&gt;95% AFUE_MF_2022</v>
      </c>
      <c r="D965" s="19" t="s">
        <v>1787</v>
      </c>
      <c r="E965" s="19" t="s">
        <v>2</v>
      </c>
      <c r="F965" s="19" t="s">
        <v>1422</v>
      </c>
      <c r="G965" s="19" t="s">
        <v>1418</v>
      </c>
      <c r="H965" s="19" t="s">
        <v>490</v>
      </c>
      <c r="I965" s="19" t="s">
        <v>982</v>
      </c>
      <c r="J965" s="19" t="s">
        <v>983</v>
      </c>
      <c r="K965" s="19" t="s">
        <v>553</v>
      </c>
      <c r="L965" s="19">
        <v>2022</v>
      </c>
      <c r="M965" s="20">
        <v>1</v>
      </c>
      <c r="N965" s="19" t="s">
        <v>1798</v>
      </c>
      <c r="O965" s="20">
        <v>1</v>
      </c>
      <c r="P965" s="20">
        <v>1</v>
      </c>
      <c r="Q965" s="20">
        <v>205.92247499999988</v>
      </c>
      <c r="R965" s="21">
        <v>0.87</v>
      </c>
      <c r="S965" s="20">
        <v>205.92247499999988</v>
      </c>
    </row>
    <row r="966" spans="2:19" ht="15" customHeight="1" x14ac:dyDescent="0.25">
      <c r="B966" s="2" t="str">
        <f t="shared" ref="B966:B1029" si="30">D966&amp;"_"&amp;E966&amp;"_"&amp;F966&amp;"_"&amp;G966&amp;"_"&amp;H966&amp;"_"&amp;I966&amp;"_"&amp;K966</f>
        <v>NSG_Residential_Multi-Family_Standard Rebate_Furnace_&gt;95% AFUE_MF</v>
      </c>
      <c r="C966" s="2" t="str">
        <f t="shared" ref="C966:C1029" si="31">D966&amp;"_"&amp;E966&amp;"_"&amp;F966&amp;"_"&amp;G966&amp;"_"&amp;H966&amp;"_"&amp;I966&amp;"_"&amp;K966&amp;"_"&amp;L966</f>
        <v>NSG_Residential_Multi-Family_Standard Rebate_Furnace_&gt;95% AFUE_MF_2023</v>
      </c>
      <c r="D966" s="19" t="s">
        <v>1787</v>
      </c>
      <c r="E966" s="19" t="s">
        <v>2</v>
      </c>
      <c r="F966" s="19" t="s">
        <v>1422</v>
      </c>
      <c r="G966" s="19" t="s">
        <v>1418</v>
      </c>
      <c r="H966" s="19" t="s">
        <v>490</v>
      </c>
      <c r="I966" s="19" t="s">
        <v>982</v>
      </c>
      <c r="J966" s="19" t="s">
        <v>983</v>
      </c>
      <c r="K966" s="19" t="s">
        <v>553</v>
      </c>
      <c r="L966" s="19">
        <v>2023</v>
      </c>
      <c r="M966" s="20">
        <v>1</v>
      </c>
      <c r="N966" s="19" t="s">
        <v>1798</v>
      </c>
      <c r="O966" s="20">
        <v>1</v>
      </c>
      <c r="P966" s="20">
        <v>1</v>
      </c>
      <c r="Q966" s="20">
        <v>205.92247499999988</v>
      </c>
      <c r="R966" s="21">
        <v>0.87</v>
      </c>
      <c r="S966" s="20">
        <v>205.92247499999988</v>
      </c>
    </row>
    <row r="967" spans="2:19" ht="15" customHeight="1" x14ac:dyDescent="0.25">
      <c r="B967" s="2" t="str">
        <f t="shared" si="30"/>
        <v>NSG_Residential_Multi-Family_Standard Rebate_Furnace_&gt;95% AFUE_MF</v>
      </c>
      <c r="C967" s="2" t="str">
        <f t="shared" si="31"/>
        <v>NSG_Residential_Multi-Family_Standard Rebate_Furnace_&gt;95% AFUE_MF_2024</v>
      </c>
      <c r="D967" s="19" t="s">
        <v>1787</v>
      </c>
      <c r="E967" s="19" t="s">
        <v>2</v>
      </c>
      <c r="F967" s="19" t="s">
        <v>1422</v>
      </c>
      <c r="G967" s="19" t="s">
        <v>1418</v>
      </c>
      <c r="H967" s="19" t="s">
        <v>490</v>
      </c>
      <c r="I967" s="19" t="s">
        <v>982</v>
      </c>
      <c r="J967" s="19" t="s">
        <v>983</v>
      </c>
      <c r="K967" s="19" t="s">
        <v>553</v>
      </c>
      <c r="L967" s="19">
        <v>2024</v>
      </c>
      <c r="M967" s="20">
        <v>1</v>
      </c>
      <c r="N967" s="19" t="s">
        <v>1798</v>
      </c>
      <c r="O967" s="20">
        <v>1</v>
      </c>
      <c r="P967" s="20">
        <v>1</v>
      </c>
      <c r="Q967" s="20">
        <v>205.92247499999988</v>
      </c>
      <c r="R967" s="21">
        <v>0.87</v>
      </c>
      <c r="S967" s="20">
        <v>205.92247499999988</v>
      </c>
    </row>
    <row r="968" spans="2:19" ht="15" customHeight="1" x14ac:dyDescent="0.25">
      <c r="B968" s="2" t="str">
        <f t="shared" si="30"/>
        <v>NSG_Residential_Multi-Family_Standard Rebate_Furnace_&gt;95% AFUE_MF</v>
      </c>
      <c r="C968" s="2" t="str">
        <f t="shared" si="31"/>
        <v>NSG_Residential_Multi-Family_Standard Rebate_Furnace_&gt;95% AFUE_MF_2025</v>
      </c>
      <c r="D968" s="19" t="s">
        <v>1787</v>
      </c>
      <c r="E968" s="19" t="s">
        <v>2</v>
      </c>
      <c r="F968" s="19" t="s">
        <v>1422</v>
      </c>
      <c r="G968" s="19" t="s">
        <v>1418</v>
      </c>
      <c r="H968" s="19" t="s">
        <v>490</v>
      </c>
      <c r="I968" s="19" t="s">
        <v>982</v>
      </c>
      <c r="J968" s="19" t="s">
        <v>983</v>
      </c>
      <c r="K968" s="19" t="s">
        <v>553</v>
      </c>
      <c r="L968" s="19">
        <v>2025</v>
      </c>
      <c r="M968" s="20">
        <v>1</v>
      </c>
      <c r="N968" s="19" t="s">
        <v>1798</v>
      </c>
      <c r="O968" s="20">
        <v>1</v>
      </c>
      <c r="P968" s="20">
        <v>1</v>
      </c>
      <c r="Q968" s="20">
        <v>205.92247499999988</v>
      </c>
      <c r="R968" s="21">
        <v>0.87</v>
      </c>
      <c r="S968" s="20">
        <v>205.92247499999988</v>
      </c>
    </row>
    <row r="969" spans="2:19" ht="15" customHeight="1" x14ac:dyDescent="0.25">
      <c r="B969" s="2" t="str">
        <f t="shared" si="30"/>
        <v>NSG_Residential_Multi-Family_Standard Rebate_High Speed Washer_0_MF</v>
      </c>
      <c r="C969" s="2" t="str">
        <f t="shared" si="31"/>
        <v>NSG_Residential_Multi-Family_Standard Rebate_High Speed Washer_0_MF_2022</v>
      </c>
      <c r="D969" s="19" t="s">
        <v>1787</v>
      </c>
      <c r="E969" s="19" t="s">
        <v>2</v>
      </c>
      <c r="F969" s="19" t="s">
        <v>1422</v>
      </c>
      <c r="G969" s="19" t="s">
        <v>1418</v>
      </c>
      <c r="H969" s="19" t="s">
        <v>725</v>
      </c>
      <c r="I969" s="19">
        <v>0</v>
      </c>
      <c r="J969" s="19" t="s">
        <v>730</v>
      </c>
      <c r="K969" s="19" t="s">
        <v>553</v>
      </c>
      <c r="L969" s="19">
        <v>2022</v>
      </c>
      <c r="M969" s="20">
        <v>250</v>
      </c>
      <c r="N969" s="19" t="s">
        <v>1803</v>
      </c>
      <c r="O969" s="20">
        <v>0</v>
      </c>
      <c r="P969" s="20">
        <v>0</v>
      </c>
      <c r="Q969" s="20">
        <v>0</v>
      </c>
      <c r="R969" s="21">
        <v>0.87</v>
      </c>
      <c r="S969" s="20">
        <v>0</v>
      </c>
    </row>
    <row r="970" spans="2:19" ht="15" customHeight="1" x14ac:dyDescent="0.25">
      <c r="B970" s="2" t="str">
        <f t="shared" si="30"/>
        <v>NSG_Residential_Multi-Family_Standard Rebate_High Speed Washer_0_MF</v>
      </c>
      <c r="C970" s="2" t="str">
        <f t="shared" si="31"/>
        <v>NSG_Residential_Multi-Family_Standard Rebate_High Speed Washer_0_MF_2023</v>
      </c>
      <c r="D970" s="19" t="s">
        <v>1787</v>
      </c>
      <c r="E970" s="19" t="s">
        <v>2</v>
      </c>
      <c r="F970" s="19" t="s">
        <v>1422</v>
      </c>
      <c r="G970" s="19" t="s">
        <v>1418</v>
      </c>
      <c r="H970" s="19" t="s">
        <v>725</v>
      </c>
      <c r="I970" s="19">
        <v>0</v>
      </c>
      <c r="J970" s="19" t="s">
        <v>730</v>
      </c>
      <c r="K970" s="19" t="s">
        <v>553</v>
      </c>
      <c r="L970" s="19">
        <v>2023</v>
      </c>
      <c r="M970" s="20">
        <v>250</v>
      </c>
      <c r="N970" s="19" t="s">
        <v>1803</v>
      </c>
      <c r="O970" s="20">
        <v>0</v>
      </c>
      <c r="P970" s="20">
        <v>0</v>
      </c>
      <c r="Q970" s="20">
        <v>0</v>
      </c>
      <c r="R970" s="21">
        <v>0.87</v>
      </c>
      <c r="S970" s="20">
        <v>0</v>
      </c>
    </row>
    <row r="971" spans="2:19" ht="15" customHeight="1" x14ac:dyDescent="0.25">
      <c r="B971" s="2" t="str">
        <f t="shared" si="30"/>
        <v>NSG_Residential_Multi-Family_Standard Rebate_High Speed Washer_0_MF</v>
      </c>
      <c r="C971" s="2" t="str">
        <f t="shared" si="31"/>
        <v>NSG_Residential_Multi-Family_Standard Rebate_High Speed Washer_0_MF_2024</v>
      </c>
      <c r="D971" s="19" t="s">
        <v>1787</v>
      </c>
      <c r="E971" s="19" t="s">
        <v>2</v>
      </c>
      <c r="F971" s="19" t="s">
        <v>1422</v>
      </c>
      <c r="G971" s="19" t="s">
        <v>1418</v>
      </c>
      <c r="H971" s="19" t="s">
        <v>725</v>
      </c>
      <c r="I971" s="19">
        <v>0</v>
      </c>
      <c r="J971" s="19" t="s">
        <v>730</v>
      </c>
      <c r="K971" s="19" t="s">
        <v>553</v>
      </c>
      <c r="L971" s="19">
        <v>2024</v>
      </c>
      <c r="M971" s="20">
        <v>250</v>
      </c>
      <c r="N971" s="19" t="s">
        <v>1803</v>
      </c>
      <c r="O971" s="20">
        <v>0</v>
      </c>
      <c r="P971" s="20">
        <v>0</v>
      </c>
      <c r="Q971" s="20">
        <v>0</v>
      </c>
      <c r="R971" s="21">
        <v>0.87</v>
      </c>
      <c r="S971" s="20">
        <v>0</v>
      </c>
    </row>
    <row r="972" spans="2:19" ht="15" customHeight="1" x14ac:dyDescent="0.25">
      <c r="B972" s="2" t="str">
        <f t="shared" si="30"/>
        <v>NSG_Residential_Multi-Family_Standard Rebate_High Speed Washer_0_MF</v>
      </c>
      <c r="C972" s="2" t="str">
        <f t="shared" si="31"/>
        <v>NSG_Residential_Multi-Family_Standard Rebate_High Speed Washer_0_MF_2025</v>
      </c>
      <c r="D972" s="19" t="s">
        <v>1787</v>
      </c>
      <c r="E972" s="19" t="s">
        <v>2</v>
      </c>
      <c r="F972" s="19" t="s">
        <v>1422</v>
      </c>
      <c r="G972" s="19" t="s">
        <v>1418</v>
      </c>
      <c r="H972" s="19" t="s">
        <v>725</v>
      </c>
      <c r="I972" s="19">
        <v>0</v>
      </c>
      <c r="J972" s="19" t="s">
        <v>730</v>
      </c>
      <c r="K972" s="19" t="s">
        <v>553</v>
      </c>
      <c r="L972" s="19">
        <v>2025</v>
      </c>
      <c r="M972" s="20">
        <v>250</v>
      </c>
      <c r="N972" s="19" t="s">
        <v>1803</v>
      </c>
      <c r="O972" s="20">
        <v>0</v>
      </c>
      <c r="P972" s="20">
        <v>0</v>
      </c>
      <c r="Q972" s="20">
        <v>0</v>
      </c>
      <c r="R972" s="21">
        <v>0.87</v>
      </c>
      <c r="S972" s="20">
        <v>0</v>
      </c>
    </row>
    <row r="973" spans="2:19" ht="15" customHeight="1" x14ac:dyDescent="0.25">
      <c r="B973" s="2" t="str">
        <f t="shared" si="30"/>
        <v>NSG_Residential_Multi-Family_Standard Rebate_Infrared Heater_0_MF/CI</v>
      </c>
      <c r="C973" s="2" t="str">
        <f t="shared" si="31"/>
        <v>NSG_Residential_Multi-Family_Standard Rebate_Infrared Heater_0_MF/CI_2022</v>
      </c>
      <c r="D973" s="19" t="s">
        <v>1787</v>
      </c>
      <c r="E973" s="19" t="s">
        <v>2</v>
      </c>
      <c r="F973" s="19" t="s">
        <v>1422</v>
      </c>
      <c r="G973" s="19" t="s">
        <v>1418</v>
      </c>
      <c r="H973" s="19" t="s">
        <v>742</v>
      </c>
      <c r="I973" s="19">
        <v>0</v>
      </c>
      <c r="J973" s="19" t="s">
        <v>33</v>
      </c>
      <c r="K973" s="19" t="s">
        <v>587</v>
      </c>
      <c r="L973" s="19">
        <v>2022</v>
      </c>
      <c r="M973" s="20">
        <v>150</v>
      </c>
      <c r="N973" s="19" t="s">
        <v>667</v>
      </c>
      <c r="O973" s="20">
        <v>0</v>
      </c>
      <c r="P973" s="20">
        <v>0</v>
      </c>
      <c r="Q973" s="20">
        <v>0</v>
      </c>
      <c r="R973" s="21">
        <v>0.87</v>
      </c>
      <c r="S973" s="20">
        <v>0</v>
      </c>
    </row>
    <row r="974" spans="2:19" ht="15" customHeight="1" x14ac:dyDescent="0.25">
      <c r="B974" s="2" t="str">
        <f t="shared" si="30"/>
        <v>NSG_Residential_Multi-Family_Standard Rebate_Infrared Heater_0_MF/CI</v>
      </c>
      <c r="C974" s="2" t="str">
        <f t="shared" si="31"/>
        <v>NSG_Residential_Multi-Family_Standard Rebate_Infrared Heater_0_MF/CI_2023</v>
      </c>
      <c r="D974" s="19" t="s">
        <v>1787</v>
      </c>
      <c r="E974" s="19" t="s">
        <v>2</v>
      </c>
      <c r="F974" s="19" t="s">
        <v>1422</v>
      </c>
      <c r="G974" s="19" t="s">
        <v>1418</v>
      </c>
      <c r="H974" s="19" t="s">
        <v>742</v>
      </c>
      <c r="I974" s="19">
        <v>0</v>
      </c>
      <c r="J974" s="19" t="s">
        <v>33</v>
      </c>
      <c r="K974" s="19" t="s">
        <v>587</v>
      </c>
      <c r="L974" s="19">
        <v>2023</v>
      </c>
      <c r="M974" s="20">
        <v>150</v>
      </c>
      <c r="N974" s="19" t="s">
        <v>667</v>
      </c>
      <c r="O974" s="20">
        <v>0</v>
      </c>
      <c r="P974" s="20">
        <v>0</v>
      </c>
      <c r="Q974" s="20">
        <v>0</v>
      </c>
      <c r="R974" s="21">
        <v>0.87</v>
      </c>
      <c r="S974" s="20">
        <v>0</v>
      </c>
    </row>
    <row r="975" spans="2:19" ht="15" customHeight="1" x14ac:dyDescent="0.25">
      <c r="B975" s="2" t="str">
        <f t="shared" si="30"/>
        <v>NSG_Residential_Multi-Family_Standard Rebate_Infrared Heater_0_MF/CI</v>
      </c>
      <c r="C975" s="2" t="str">
        <f t="shared" si="31"/>
        <v>NSG_Residential_Multi-Family_Standard Rebate_Infrared Heater_0_MF/CI_2024</v>
      </c>
      <c r="D975" s="19" t="s">
        <v>1787</v>
      </c>
      <c r="E975" s="19" t="s">
        <v>2</v>
      </c>
      <c r="F975" s="19" t="s">
        <v>1422</v>
      </c>
      <c r="G975" s="19" t="s">
        <v>1418</v>
      </c>
      <c r="H975" s="19" t="s">
        <v>742</v>
      </c>
      <c r="I975" s="19">
        <v>0</v>
      </c>
      <c r="J975" s="19" t="s">
        <v>33</v>
      </c>
      <c r="K975" s="19" t="s">
        <v>587</v>
      </c>
      <c r="L975" s="19">
        <v>2024</v>
      </c>
      <c r="M975" s="20">
        <v>150</v>
      </c>
      <c r="N975" s="19" t="s">
        <v>667</v>
      </c>
      <c r="O975" s="20">
        <v>0</v>
      </c>
      <c r="P975" s="20">
        <v>0</v>
      </c>
      <c r="Q975" s="20">
        <v>0</v>
      </c>
      <c r="R975" s="21">
        <v>0.87</v>
      </c>
      <c r="S975" s="20">
        <v>0</v>
      </c>
    </row>
    <row r="976" spans="2:19" ht="15" customHeight="1" x14ac:dyDescent="0.25">
      <c r="B976" s="2" t="str">
        <f t="shared" si="30"/>
        <v>NSG_Residential_Multi-Family_Standard Rebate_Infrared Heater_0_MF/CI</v>
      </c>
      <c r="C976" s="2" t="str">
        <f t="shared" si="31"/>
        <v>NSG_Residential_Multi-Family_Standard Rebate_Infrared Heater_0_MF/CI_2025</v>
      </c>
      <c r="D976" s="19" t="s">
        <v>1787</v>
      </c>
      <c r="E976" s="19" t="s">
        <v>2</v>
      </c>
      <c r="F976" s="19" t="s">
        <v>1422</v>
      </c>
      <c r="G976" s="19" t="s">
        <v>1418</v>
      </c>
      <c r="H976" s="19" t="s">
        <v>742</v>
      </c>
      <c r="I976" s="19">
        <v>0</v>
      </c>
      <c r="J976" s="19" t="s">
        <v>33</v>
      </c>
      <c r="K976" s="19" t="s">
        <v>587</v>
      </c>
      <c r="L976" s="19">
        <v>2025</v>
      </c>
      <c r="M976" s="20">
        <v>150</v>
      </c>
      <c r="N976" s="19" t="s">
        <v>667</v>
      </c>
      <c r="O976" s="20">
        <v>0</v>
      </c>
      <c r="P976" s="20">
        <v>0</v>
      </c>
      <c r="Q976" s="20">
        <v>0</v>
      </c>
      <c r="R976" s="21">
        <v>0.87</v>
      </c>
      <c r="S976" s="20">
        <v>0</v>
      </c>
    </row>
    <row r="977" spans="2:19" ht="15" customHeight="1" x14ac:dyDescent="0.25">
      <c r="B977" s="2" t="str">
        <f t="shared" si="30"/>
        <v>NSG_Residential_Multi-Family_Standard Rebate_Ozone Laundry_0_MF/CI</v>
      </c>
      <c r="C977" s="2" t="str">
        <f t="shared" si="31"/>
        <v>NSG_Residential_Multi-Family_Standard Rebate_Ozone Laundry_0_MF/CI_2022</v>
      </c>
      <c r="D977" s="19" t="s">
        <v>1787</v>
      </c>
      <c r="E977" s="19" t="s">
        <v>2</v>
      </c>
      <c r="F977" s="19" t="s">
        <v>1422</v>
      </c>
      <c r="G977" s="19" t="s">
        <v>1418</v>
      </c>
      <c r="H977" s="19" t="s">
        <v>16</v>
      </c>
      <c r="I977" s="19">
        <v>0</v>
      </c>
      <c r="J977" s="19" t="s">
        <v>592</v>
      </c>
      <c r="K977" s="19" t="s">
        <v>587</v>
      </c>
      <c r="L977" s="19">
        <v>2022</v>
      </c>
      <c r="M977" s="20">
        <v>250</v>
      </c>
      <c r="N977" s="19" t="s">
        <v>1803</v>
      </c>
      <c r="O977" s="20">
        <v>0</v>
      </c>
      <c r="P977" s="20">
        <v>0</v>
      </c>
      <c r="Q977" s="20">
        <v>0</v>
      </c>
      <c r="R977" s="21">
        <v>0.87</v>
      </c>
      <c r="S977" s="20">
        <v>0</v>
      </c>
    </row>
    <row r="978" spans="2:19" ht="15" customHeight="1" x14ac:dyDescent="0.25">
      <c r="B978" s="2" t="str">
        <f t="shared" si="30"/>
        <v>NSG_Residential_Multi-Family_Standard Rebate_Ozone Laundry_0_MF/CI</v>
      </c>
      <c r="C978" s="2" t="str">
        <f t="shared" si="31"/>
        <v>NSG_Residential_Multi-Family_Standard Rebate_Ozone Laundry_0_MF/CI_2023</v>
      </c>
      <c r="D978" s="19" t="s">
        <v>1787</v>
      </c>
      <c r="E978" s="19" t="s">
        <v>2</v>
      </c>
      <c r="F978" s="19" t="s">
        <v>1422</v>
      </c>
      <c r="G978" s="19" t="s">
        <v>1418</v>
      </c>
      <c r="H978" s="19" t="s">
        <v>16</v>
      </c>
      <c r="I978" s="19">
        <v>0</v>
      </c>
      <c r="J978" s="19" t="s">
        <v>592</v>
      </c>
      <c r="K978" s="19" t="s">
        <v>587</v>
      </c>
      <c r="L978" s="19">
        <v>2023</v>
      </c>
      <c r="M978" s="20">
        <v>250</v>
      </c>
      <c r="N978" s="19" t="s">
        <v>1803</v>
      </c>
      <c r="O978" s="20">
        <v>0</v>
      </c>
      <c r="P978" s="20">
        <v>0</v>
      </c>
      <c r="Q978" s="20">
        <v>0</v>
      </c>
      <c r="R978" s="21">
        <v>0.87</v>
      </c>
      <c r="S978" s="20">
        <v>0</v>
      </c>
    </row>
    <row r="979" spans="2:19" ht="15" customHeight="1" x14ac:dyDescent="0.25">
      <c r="B979" s="2" t="str">
        <f t="shared" si="30"/>
        <v>NSG_Residential_Multi-Family_Standard Rebate_Ozone Laundry_0_MF/CI</v>
      </c>
      <c r="C979" s="2" t="str">
        <f t="shared" si="31"/>
        <v>NSG_Residential_Multi-Family_Standard Rebate_Ozone Laundry_0_MF/CI_2024</v>
      </c>
      <c r="D979" s="19" t="s">
        <v>1787</v>
      </c>
      <c r="E979" s="19" t="s">
        <v>2</v>
      </c>
      <c r="F979" s="19" t="s">
        <v>1422</v>
      </c>
      <c r="G979" s="19" t="s">
        <v>1418</v>
      </c>
      <c r="H979" s="19" t="s">
        <v>16</v>
      </c>
      <c r="I979" s="19">
        <v>0</v>
      </c>
      <c r="J979" s="19" t="s">
        <v>592</v>
      </c>
      <c r="K979" s="19" t="s">
        <v>587</v>
      </c>
      <c r="L979" s="19">
        <v>2024</v>
      </c>
      <c r="M979" s="20">
        <v>250</v>
      </c>
      <c r="N979" s="19" t="s">
        <v>1803</v>
      </c>
      <c r="O979" s="20">
        <v>0</v>
      </c>
      <c r="P979" s="20">
        <v>0</v>
      </c>
      <c r="Q979" s="20">
        <v>0</v>
      </c>
      <c r="R979" s="21">
        <v>0.87</v>
      </c>
      <c r="S979" s="20">
        <v>0</v>
      </c>
    </row>
    <row r="980" spans="2:19" ht="15" customHeight="1" x14ac:dyDescent="0.25">
      <c r="B980" s="2" t="str">
        <f t="shared" si="30"/>
        <v>NSG_Residential_Multi-Family_Standard Rebate_Ozone Laundry_0_MF/CI</v>
      </c>
      <c r="C980" s="2" t="str">
        <f t="shared" si="31"/>
        <v>NSG_Residential_Multi-Family_Standard Rebate_Ozone Laundry_0_MF/CI_2025</v>
      </c>
      <c r="D980" s="19" t="s">
        <v>1787</v>
      </c>
      <c r="E980" s="19" t="s">
        <v>2</v>
      </c>
      <c r="F980" s="19" t="s">
        <v>1422</v>
      </c>
      <c r="G980" s="19" t="s">
        <v>1418</v>
      </c>
      <c r="H980" s="19" t="s">
        <v>16</v>
      </c>
      <c r="I980" s="19">
        <v>0</v>
      </c>
      <c r="J980" s="19" t="s">
        <v>592</v>
      </c>
      <c r="K980" s="19" t="s">
        <v>587</v>
      </c>
      <c r="L980" s="19">
        <v>2025</v>
      </c>
      <c r="M980" s="20">
        <v>250</v>
      </c>
      <c r="N980" s="19" t="s">
        <v>1803</v>
      </c>
      <c r="O980" s="20">
        <v>0</v>
      </c>
      <c r="P980" s="20">
        <v>0</v>
      </c>
      <c r="Q980" s="20">
        <v>0</v>
      </c>
      <c r="R980" s="21">
        <v>0.87</v>
      </c>
      <c r="S980" s="20">
        <v>0</v>
      </c>
    </row>
    <row r="981" spans="2:19" ht="15" customHeight="1" x14ac:dyDescent="0.25">
      <c r="B981" s="2" t="str">
        <f t="shared" si="30"/>
        <v>NSG_Residential_Multi-Family_Standard Rebate_Pipe Insulation_Hyd. Boiler Sm ≤1.25"_MF</v>
      </c>
      <c r="C981" s="2" t="str">
        <f t="shared" si="31"/>
        <v>NSG_Residential_Multi-Family_Standard Rebate_Pipe Insulation_Hyd. Boiler Sm ≤1.25"_MF_2022</v>
      </c>
      <c r="D981" s="19" t="s">
        <v>1787</v>
      </c>
      <c r="E981" s="19" t="s">
        <v>2</v>
      </c>
      <c r="F981" s="19" t="s">
        <v>1422</v>
      </c>
      <c r="G981" s="19" t="s">
        <v>1418</v>
      </c>
      <c r="H981" s="19" t="s">
        <v>404</v>
      </c>
      <c r="I981" s="19" t="s">
        <v>947</v>
      </c>
      <c r="J981" s="19">
        <v>0</v>
      </c>
      <c r="K981" s="19" t="s">
        <v>553</v>
      </c>
      <c r="L981" s="19">
        <v>2022</v>
      </c>
      <c r="M981" s="20">
        <v>75</v>
      </c>
      <c r="N981" s="19" t="s">
        <v>616</v>
      </c>
      <c r="O981" s="20">
        <v>0</v>
      </c>
      <c r="P981" s="20">
        <v>0</v>
      </c>
      <c r="Q981" s="20">
        <v>0</v>
      </c>
      <c r="R981" s="21">
        <v>0.87</v>
      </c>
      <c r="S981" s="20">
        <v>0</v>
      </c>
    </row>
    <row r="982" spans="2:19" ht="15" customHeight="1" x14ac:dyDescent="0.25">
      <c r="B982" s="2" t="str">
        <f t="shared" si="30"/>
        <v>NSG_Residential_Multi-Family_Standard Rebate_Pipe Insulation_Hyd. Boiler Sm ≤1.25"_MF</v>
      </c>
      <c r="C982" s="2" t="str">
        <f t="shared" si="31"/>
        <v>NSG_Residential_Multi-Family_Standard Rebate_Pipe Insulation_Hyd. Boiler Sm ≤1.25"_MF_2023</v>
      </c>
      <c r="D982" s="19" t="s">
        <v>1787</v>
      </c>
      <c r="E982" s="19" t="s">
        <v>2</v>
      </c>
      <c r="F982" s="19" t="s">
        <v>1422</v>
      </c>
      <c r="G982" s="19" t="s">
        <v>1418</v>
      </c>
      <c r="H982" s="19" t="s">
        <v>404</v>
      </c>
      <c r="I982" s="19" t="s">
        <v>947</v>
      </c>
      <c r="J982" s="19">
        <v>0</v>
      </c>
      <c r="K982" s="19" t="s">
        <v>553</v>
      </c>
      <c r="L982" s="19">
        <v>2023</v>
      </c>
      <c r="M982" s="20">
        <v>75</v>
      </c>
      <c r="N982" s="19" t="s">
        <v>616</v>
      </c>
      <c r="O982" s="20">
        <v>0</v>
      </c>
      <c r="P982" s="20">
        <v>0</v>
      </c>
      <c r="Q982" s="20">
        <v>0</v>
      </c>
      <c r="R982" s="21">
        <v>0.87</v>
      </c>
      <c r="S982" s="20">
        <v>0</v>
      </c>
    </row>
    <row r="983" spans="2:19" ht="15" customHeight="1" x14ac:dyDescent="0.25">
      <c r="B983" s="2" t="str">
        <f t="shared" si="30"/>
        <v>NSG_Residential_Multi-Family_Standard Rebate_Pipe Insulation_Hyd. Boiler Sm ≤1.25"_MF</v>
      </c>
      <c r="C983" s="2" t="str">
        <f t="shared" si="31"/>
        <v>NSG_Residential_Multi-Family_Standard Rebate_Pipe Insulation_Hyd. Boiler Sm ≤1.25"_MF_2024</v>
      </c>
      <c r="D983" s="19" t="s">
        <v>1787</v>
      </c>
      <c r="E983" s="19" t="s">
        <v>2</v>
      </c>
      <c r="F983" s="19" t="s">
        <v>1422</v>
      </c>
      <c r="G983" s="19" t="s">
        <v>1418</v>
      </c>
      <c r="H983" s="19" t="s">
        <v>404</v>
      </c>
      <c r="I983" s="19" t="s">
        <v>947</v>
      </c>
      <c r="J983" s="19">
        <v>0</v>
      </c>
      <c r="K983" s="19" t="s">
        <v>553</v>
      </c>
      <c r="L983" s="19">
        <v>2024</v>
      </c>
      <c r="M983" s="20">
        <v>75</v>
      </c>
      <c r="N983" s="19" t="s">
        <v>616</v>
      </c>
      <c r="O983" s="20">
        <v>0</v>
      </c>
      <c r="P983" s="20">
        <v>0</v>
      </c>
      <c r="Q983" s="20">
        <v>0</v>
      </c>
      <c r="R983" s="21">
        <v>0.87</v>
      </c>
      <c r="S983" s="20">
        <v>0</v>
      </c>
    </row>
    <row r="984" spans="2:19" ht="15" customHeight="1" x14ac:dyDescent="0.25">
      <c r="B984" s="2" t="str">
        <f t="shared" si="30"/>
        <v>NSG_Residential_Multi-Family_Standard Rebate_Pipe Insulation_Hyd. Boiler Sm ≤1.25"_MF</v>
      </c>
      <c r="C984" s="2" t="str">
        <f t="shared" si="31"/>
        <v>NSG_Residential_Multi-Family_Standard Rebate_Pipe Insulation_Hyd. Boiler Sm ≤1.25"_MF_2025</v>
      </c>
      <c r="D984" s="19" t="s">
        <v>1787</v>
      </c>
      <c r="E984" s="19" t="s">
        <v>2</v>
      </c>
      <c r="F984" s="19" t="s">
        <v>1422</v>
      </c>
      <c r="G984" s="19" t="s">
        <v>1418</v>
      </c>
      <c r="H984" s="19" t="s">
        <v>404</v>
      </c>
      <c r="I984" s="19" t="s">
        <v>947</v>
      </c>
      <c r="J984" s="19">
        <v>0</v>
      </c>
      <c r="K984" s="19" t="s">
        <v>553</v>
      </c>
      <c r="L984" s="19">
        <v>2025</v>
      </c>
      <c r="M984" s="20">
        <v>75</v>
      </c>
      <c r="N984" s="19" t="s">
        <v>616</v>
      </c>
      <c r="O984" s="20">
        <v>0</v>
      </c>
      <c r="P984" s="20">
        <v>0</v>
      </c>
      <c r="Q984" s="20">
        <v>0</v>
      </c>
      <c r="R984" s="21">
        <v>0.87</v>
      </c>
      <c r="S984" s="20">
        <v>0</v>
      </c>
    </row>
    <row r="985" spans="2:19" ht="15" customHeight="1" x14ac:dyDescent="0.25">
      <c r="B985" s="2" t="str">
        <f t="shared" si="30"/>
        <v>NSG_Residential_Multi-Family_Standard Rebate_Pipe Insulation_Hyd. Boiler Med 1.25-2"_MF</v>
      </c>
      <c r="C985" s="2" t="str">
        <f t="shared" si="31"/>
        <v>NSG_Residential_Multi-Family_Standard Rebate_Pipe Insulation_Hyd. Boiler Med 1.25-2"_MF_2022</v>
      </c>
      <c r="D985" s="19" t="s">
        <v>1787</v>
      </c>
      <c r="E985" s="19" t="s">
        <v>2</v>
      </c>
      <c r="F985" s="19" t="s">
        <v>1422</v>
      </c>
      <c r="G985" s="19" t="s">
        <v>1418</v>
      </c>
      <c r="H985" s="19" t="s">
        <v>404</v>
      </c>
      <c r="I985" s="19" t="s">
        <v>951</v>
      </c>
      <c r="J985" s="19">
        <v>0</v>
      </c>
      <c r="K985" s="19" t="s">
        <v>553</v>
      </c>
      <c r="L985" s="19">
        <v>2022</v>
      </c>
      <c r="M985" s="20">
        <v>75</v>
      </c>
      <c r="N985" s="19" t="s">
        <v>616</v>
      </c>
      <c r="O985" s="20">
        <v>0</v>
      </c>
      <c r="P985" s="20">
        <v>0</v>
      </c>
      <c r="Q985" s="20">
        <v>0</v>
      </c>
      <c r="R985" s="21">
        <v>0.87</v>
      </c>
      <c r="S985" s="20">
        <v>0</v>
      </c>
    </row>
    <row r="986" spans="2:19" ht="15" customHeight="1" x14ac:dyDescent="0.25">
      <c r="B986" s="2" t="str">
        <f t="shared" si="30"/>
        <v>NSG_Residential_Multi-Family_Standard Rebate_Pipe Insulation_Hyd. Boiler Med 1.25-2"_MF</v>
      </c>
      <c r="C986" s="2" t="str">
        <f t="shared" si="31"/>
        <v>NSG_Residential_Multi-Family_Standard Rebate_Pipe Insulation_Hyd. Boiler Med 1.25-2"_MF_2023</v>
      </c>
      <c r="D986" s="19" t="s">
        <v>1787</v>
      </c>
      <c r="E986" s="19" t="s">
        <v>2</v>
      </c>
      <c r="F986" s="19" t="s">
        <v>1422</v>
      </c>
      <c r="G986" s="19" t="s">
        <v>1418</v>
      </c>
      <c r="H986" s="19" t="s">
        <v>404</v>
      </c>
      <c r="I986" s="19" t="s">
        <v>951</v>
      </c>
      <c r="J986" s="19">
        <v>0</v>
      </c>
      <c r="K986" s="19" t="s">
        <v>553</v>
      </c>
      <c r="L986" s="19">
        <v>2023</v>
      </c>
      <c r="M986" s="20">
        <v>75</v>
      </c>
      <c r="N986" s="19" t="s">
        <v>616</v>
      </c>
      <c r="O986" s="20">
        <v>0</v>
      </c>
      <c r="P986" s="20">
        <v>0</v>
      </c>
      <c r="Q986" s="20">
        <v>0</v>
      </c>
      <c r="R986" s="21">
        <v>0.87</v>
      </c>
      <c r="S986" s="20">
        <v>0</v>
      </c>
    </row>
    <row r="987" spans="2:19" ht="15" customHeight="1" x14ac:dyDescent="0.25">
      <c r="B987" s="2" t="str">
        <f t="shared" si="30"/>
        <v>NSG_Residential_Multi-Family_Standard Rebate_Pipe Insulation_Hyd. Boiler Med 1.25-2"_MF</v>
      </c>
      <c r="C987" s="2" t="str">
        <f t="shared" si="31"/>
        <v>NSG_Residential_Multi-Family_Standard Rebate_Pipe Insulation_Hyd. Boiler Med 1.25-2"_MF_2024</v>
      </c>
      <c r="D987" s="19" t="s">
        <v>1787</v>
      </c>
      <c r="E987" s="19" t="s">
        <v>2</v>
      </c>
      <c r="F987" s="19" t="s">
        <v>1422</v>
      </c>
      <c r="G987" s="19" t="s">
        <v>1418</v>
      </c>
      <c r="H987" s="19" t="s">
        <v>404</v>
      </c>
      <c r="I987" s="19" t="s">
        <v>951</v>
      </c>
      <c r="J987" s="19">
        <v>0</v>
      </c>
      <c r="K987" s="19" t="s">
        <v>553</v>
      </c>
      <c r="L987" s="19">
        <v>2024</v>
      </c>
      <c r="M987" s="20">
        <v>75</v>
      </c>
      <c r="N987" s="19" t="s">
        <v>616</v>
      </c>
      <c r="O987" s="20">
        <v>0</v>
      </c>
      <c r="P987" s="20">
        <v>0</v>
      </c>
      <c r="Q987" s="20">
        <v>0</v>
      </c>
      <c r="R987" s="21">
        <v>0.87</v>
      </c>
      <c r="S987" s="20">
        <v>0</v>
      </c>
    </row>
    <row r="988" spans="2:19" ht="15" customHeight="1" x14ac:dyDescent="0.25">
      <c r="B988" s="2" t="str">
        <f t="shared" si="30"/>
        <v>NSG_Residential_Multi-Family_Standard Rebate_Pipe Insulation_Hyd. Boiler Med 1.25-2"_MF</v>
      </c>
      <c r="C988" s="2" t="str">
        <f t="shared" si="31"/>
        <v>NSG_Residential_Multi-Family_Standard Rebate_Pipe Insulation_Hyd. Boiler Med 1.25-2"_MF_2025</v>
      </c>
      <c r="D988" s="19" t="s">
        <v>1787</v>
      </c>
      <c r="E988" s="19" t="s">
        <v>2</v>
      </c>
      <c r="F988" s="19" t="s">
        <v>1422</v>
      </c>
      <c r="G988" s="19" t="s">
        <v>1418</v>
      </c>
      <c r="H988" s="19" t="s">
        <v>404</v>
      </c>
      <c r="I988" s="19" t="s">
        <v>951</v>
      </c>
      <c r="J988" s="19">
        <v>0</v>
      </c>
      <c r="K988" s="19" t="s">
        <v>553</v>
      </c>
      <c r="L988" s="19">
        <v>2025</v>
      </c>
      <c r="M988" s="20">
        <v>75</v>
      </c>
      <c r="N988" s="19" t="s">
        <v>616</v>
      </c>
      <c r="O988" s="20">
        <v>0</v>
      </c>
      <c r="P988" s="20">
        <v>0</v>
      </c>
      <c r="Q988" s="20">
        <v>0</v>
      </c>
      <c r="R988" s="21">
        <v>0.87</v>
      </c>
      <c r="S988" s="20">
        <v>0</v>
      </c>
    </row>
    <row r="989" spans="2:19" ht="15" customHeight="1" x14ac:dyDescent="0.25">
      <c r="B989" s="2" t="str">
        <f t="shared" si="30"/>
        <v>NSG_Residential_Multi-Family_Standard Rebate_Pipe Insulation_Hyd. Boiler Large ≥2"_MF</v>
      </c>
      <c r="C989" s="2" t="str">
        <f t="shared" si="31"/>
        <v>NSG_Residential_Multi-Family_Standard Rebate_Pipe Insulation_Hyd. Boiler Large ≥2"_MF_2022</v>
      </c>
      <c r="D989" s="19" t="s">
        <v>1787</v>
      </c>
      <c r="E989" s="19" t="s">
        <v>2</v>
      </c>
      <c r="F989" s="19" t="s">
        <v>1422</v>
      </c>
      <c r="G989" s="19" t="s">
        <v>1418</v>
      </c>
      <c r="H989" s="19" t="s">
        <v>404</v>
      </c>
      <c r="I989" s="19" t="s">
        <v>952</v>
      </c>
      <c r="J989" s="19">
        <v>0</v>
      </c>
      <c r="K989" s="19" t="s">
        <v>553</v>
      </c>
      <c r="L989" s="19">
        <v>2022</v>
      </c>
      <c r="M989" s="20">
        <v>75</v>
      </c>
      <c r="N989" s="19" t="s">
        <v>616</v>
      </c>
      <c r="O989" s="20">
        <v>1</v>
      </c>
      <c r="P989" s="20">
        <v>75</v>
      </c>
      <c r="Q989" s="20">
        <v>403.68755673076924</v>
      </c>
      <c r="R989" s="21">
        <v>0.87</v>
      </c>
      <c r="S989" s="20">
        <v>403.68755673076924</v>
      </c>
    </row>
    <row r="990" spans="2:19" ht="15" customHeight="1" x14ac:dyDescent="0.25">
      <c r="B990" s="2" t="str">
        <f t="shared" si="30"/>
        <v>NSG_Residential_Multi-Family_Standard Rebate_Pipe Insulation_Hyd. Boiler Large ≥2"_MF</v>
      </c>
      <c r="C990" s="2" t="str">
        <f t="shared" si="31"/>
        <v>NSG_Residential_Multi-Family_Standard Rebate_Pipe Insulation_Hyd. Boiler Large ≥2"_MF_2023</v>
      </c>
      <c r="D990" s="19" t="s">
        <v>1787</v>
      </c>
      <c r="E990" s="19" t="s">
        <v>2</v>
      </c>
      <c r="F990" s="19" t="s">
        <v>1422</v>
      </c>
      <c r="G990" s="19" t="s">
        <v>1418</v>
      </c>
      <c r="H990" s="19" t="s">
        <v>404</v>
      </c>
      <c r="I990" s="19" t="s">
        <v>952</v>
      </c>
      <c r="J990" s="19">
        <v>0</v>
      </c>
      <c r="K990" s="19" t="s">
        <v>553</v>
      </c>
      <c r="L990" s="19">
        <v>2023</v>
      </c>
      <c r="M990" s="20">
        <v>75</v>
      </c>
      <c r="N990" s="19" t="s">
        <v>616</v>
      </c>
      <c r="O990" s="20">
        <v>1</v>
      </c>
      <c r="P990" s="20">
        <v>75</v>
      </c>
      <c r="Q990" s="20">
        <v>403.68755673076924</v>
      </c>
      <c r="R990" s="21">
        <v>0.87</v>
      </c>
      <c r="S990" s="20">
        <v>403.68755673076924</v>
      </c>
    </row>
    <row r="991" spans="2:19" ht="15" customHeight="1" x14ac:dyDescent="0.25">
      <c r="B991" s="2" t="str">
        <f t="shared" si="30"/>
        <v>NSG_Residential_Multi-Family_Standard Rebate_Pipe Insulation_Hyd. Boiler Large ≥2"_MF</v>
      </c>
      <c r="C991" s="2" t="str">
        <f t="shared" si="31"/>
        <v>NSG_Residential_Multi-Family_Standard Rebate_Pipe Insulation_Hyd. Boiler Large ≥2"_MF_2024</v>
      </c>
      <c r="D991" s="19" t="s">
        <v>1787</v>
      </c>
      <c r="E991" s="19" t="s">
        <v>2</v>
      </c>
      <c r="F991" s="19" t="s">
        <v>1422</v>
      </c>
      <c r="G991" s="19" t="s">
        <v>1418</v>
      </c>
      <c r="H991" s="19" t="s">
        <v>404</v>
      </c>
      <c r="I991" s="19" t="s">
        <v>952</v>
      </c>
      <c r="J991" s="19">
        <v>0</v>
      </c>
      <c r="K991" s="19" t="s">
        <v>553</v>
      </c>
      <c r="L991" s="19">
        <v>2024</v>
      </c>
      <c r="M991" s="20">
        <v>75</v>
      </c>
      <c r="N991" s="19" t="s">
        <v>616</v>
      </c>
      <c r="O991" s="20">
        <v>1</v>
      </c>
      <c r="P991" s="20">
        <v>75</v>
      </c>
      <c r="Q991" s="20">
        <v>403.68755673076924</v>
      </c>
      <c r="R991" s="21">
        <v>0.87</v>
      </c>
      <c r="S991" s="20">
        <v>403.68755673076924</v>
      </c>
    </row>
    <row r="992" spans="2:19" ht="15" customHeight="1" x14ac:dyDescent="0.25">
      <c r="B992" s="2" t="str">
        <f t="shared" si="30"/>
        <v>NSG_Residential_Multi-Family_Standard Rebate_Pipe Insulation_Hyd. Boiler Large ≥2"_MF</v>
      </c>
      <c r="C992" s="2" t="str">
        <f t="shared" si="31"/>
        <v>NSG_Residential_Multi-Family_Standard Rebate_Pipe Insulation_Hyd. Boiler Large ≥2"_MF_2025</v>
      </c>
      <c r="D992" s="19" t="s">
        <v>1787</v>
      </c>
      <c r="E992" s="19" t="s">
        <v>2</v>
      </c>
      <c r="F992" s="19" t="s">
        <v>1422</v>
      </c>
      <c r="G992" s="19" t="s">
        <v>1418</v>
      </c>
      <c r="H992" s="19" t="s">
        <v>404</v>
      </c>
      <c r="I992" s="19" t="s">
        <v>952</v>
      </c>
      <c r="J992" s="19">
        <v>0</v>
      </c>
      <c r="K992" s="19" t="s">
        <v>553</v>
      </c>
      <c r="L992" s="19">
        <v>2025</v>
      </c>
      <c r="M992" s="20">
        <v>75</v>
      </c>
      <c r="N992" s="19" t="s">
        <v>616</v>
      </c>
      <c r="O992" s="20">
        <v>1</v>
      </c>
      <c r="P992" s="20">
        <v>75</v>
      </c>
      <c r="Q992" s="20">
        <v>403.68755673076924</v>
      </c>
      <c r="R992" s="21">
        <v>0.87</v>
      </c>
      <c r="S992" s="20">
        <v>403.68755673076924</v>
      </c>
    </row>
    <row r="993" spans="2:19" ht="15" customHeight="1" x14ac:dyDescent="0.25">
      <c r="B993" s="2" t="str">
        <f t="shared" si="30"/>
        <v>NSG_Residential_Multi-Family_Standard Rebate_Pipe Insulation_HW Small 1" to 2"_MF/CI/SMB</v>
      </c>
      <c r="C993" s="2" t="str">
        <f t="shared" si="31"/>
        <v>NSG_Residential_Multi-Family_Standard Rebate_Pipe Insulation_HW Small 1" to 2"_MF/CI/SMB_2022</v>
      </c>
      <c r="D993" s="19" t="s">
        <v>1787</v>
      </c>
      <c r="E993" s="19" t="s">
        <v>2</v>
      </c>
      <c r="F993" s="19" t="s">
        <v>1422</v>
      </c>
      <c r="G993" s="19" t="s">
        <v>1418</v>
      </c>
      <c r="H993" s="19" t="s">
        <v>404</v>
      </c>
      <c r="I993" s="19" t="s">
        <v>953</v>
      </c>
      <c r="J993" s="19">
        <v>0</v>
      </c>
      <c r="K993" s="19" t="s">
        <v>662</v>
      </c>
      <c r="L993" s="19">
        <v>2022</v>
      </c>
      <c r="M993" s="20">
        <v>75</v>
      </c>
      <c r="N993" s="19" t="s">
        <v>616</v>
      </c>
      <c r="O993" s="20">
        <v>1</v>
      </c>
      <c r="P993" s="20">
        <v>75</v>
      </c>
      <c r="Q993" s="20">
        <v>173.48761954389784</v>
      </c>
      <c r="R993" s="21">
        <v>0.87</v>
      </c>
      <c r="S993" s="20">
        <v>173.48761954389784</v>
      </c>
    </row>
    <row r="994" spans="2:19" ht="15" customHeight="1" x14ac:dyDescent="0.25">
      <c r="B994" s="2" t="str">
        <f t="shared" si="30"/>
        <v>NSG_Residential_Multi-Family_Standard Rebate_Pipe Insulation_HW Small 1" to 2"_MF/CI/SMB</v>
      </c>
      <c r="C994" s="2" t="str">
        <f t="shared" si="31"/>
        <v>NSG_Residential_Multi-Family_Standard Rebate_Pipe Insulation_HW Small 1" to 2"_MF/CI/SMB_2023</v>
      </c>
      <c r="D994" s="19" t="s">
        <v>1787</v>
      </c>
      <c r="E994" s="19" t="s">
        <v>2</v>
      </c>
      <c r="F994" s="19" t="s">
        <v>1422</v>
      </c>
      <c r="G994" s="19" t="s">
        <v>1418</v>
      </c>
      <c r="H994" s="19" t="s">
        <v>404</v>
      </c>
      <c r="I994" s="19" t="s">
        <v>953</v>
      </c>
      <c r="J994" s="19">
        <v>0</v>
      </c>
      <c r="K994" s="19" t="s">
        <v>662</v>
      </c>
      <c r="L994" s="19">
        <v>2023</v>
      </c>
      <c r="M994" s="20">
        <v>75</v>
      </c>
      <c r="N994" s="19" t="s">
        <v>616</v>
      </c>
      <c r="O994" s="20">
        <v>1</v>
      </c>
      <c r="P994" s="20">
        <v>75</v>
      </c>
      <c r="Q994" s="20">
        <v>173.48761954389784</v>
      </c>
      <c r="R994" s="21">
        <v>0.87</v>
      </c>
      <c r="S994" s="20">
        <v>173.48761954389784</v>
      </c>
    </row>
    <row r="995" spans="2:19" ht="15" customHeight="1" x14ac:dyDescent="0.25">
      <c r="B995" s="2" t="str">
        <f t="shared" si="30"/>
        <v>NSG_Residential_Multi-Family_Standard Rebate_Pipe Insulation_HW Small 1" to 2"_MF/CI/SMB</v>
      </c>
      <c r="C995" s="2" t="str">
        <f t="shared" si="31"/>
        <v>NSG_Residential_Multi-Family_Standard Rebate_Pipe Insulation_HW Small 1" to 2"_MF/CI/SMB_2024</v>
      </c>
      <c r="D995" s="19" t="s">
        <v>1787</v>
      </c>
      <c r="E995" s="19" t="s">
        <v>2</v>
      </c>
      <c r="F995" s="19" t="s">
        <v>1422</v>
      </c>
      <c r="G995" s="19" t="s">
        <v>1418</v>
      </c>
      <c r="H995" s="19" t="s">
        <v>404</v>
      </c>
      <c r="I995" s="19" t="s">
        <v>953</v>
      </c>
      <c r="J995" s="19">
        <v>0</v>
      </c>
      <c r="K995" s="19" t="s">
        <v>662</v>
      </c>
      <c r="L995" s="19">
        <v>2024</v>
      </c>
      <c r="M995" s="20">
        <v>75</v>
      </c>
      <c r="N995" s="19" t="s">
        <v>616</v>
      </c>
      <c r="O995" s="20">
        <v>1</v>
      </c>
      <c r="P995" s="20">
        <v>75</v>
      </c>
      <c r="Q995" s="20">
        <v>173.48761954389784</v>
      </c>
      <c r="R995" s="21">
        <v>0.87</v>
      </c>
      <c r="S995" s="20">
        <v>173.48761954389784</v>
      </c>
    </row>
    <row r="996" spans="2:19" ht="15" customHeight="1" x14ac:dyDescent="0.25">
      <c r="B996" s="2" t="str">
        <f t="shared" si="30"/>
        <v>NSG_Residential_Multi-Family_Standard Rebate_Pipe Insulation_HW Small 1" to 2"_MF/CI/SMB</v>
      </c>
      <c r="C996" s="2" t="str">
        <f t="shared" si="31"/>
        <v>NSG_Residential_Multi-Family_Standard Rebate_Pipe Insulation_HW Small 1" to 2"_MF/CI/SMB_2025</v>
      </c>
      <c r="D996" s="19" t="s">
        <v>1787</v>
      </c>
      <c r="E996" s="19" t="s">
        <v>2</v>
      </c>
      <c r="F996" s="19" t="s">
        <v>1422</v>
      </c>
      <c r="G996" s="19" t="s">
        <v>1418</v>
      </c>
      <c r="H996" s="19" t="s">
        <v>404</v>
      </c>
      <c r="I996" s="19" t="s">
        <v>953</v>
      </c>
      <c r="J996" s="19">
        <v>0</v>
      </c>
      <c r="K996" s="19" t="s">
        <v>662</v>
      </c>
      <c r="L996" s="19">
        <v>2025</v>
      </c>
      <c r="M996" s="20">
        <v>75</v>
      </c>
      <c r="N996" s="19" t="s">
        <v>616</v>
      </c>
      <c r="O996" s="20">
        <v>1</v>
      </c>
      <c r="P996" s="20">
        <v>75</v>
      </c>
      <c r="Q996" s="20">
        <v>173.48761954389784</v>
      </c>
      <c r="R996" s="21">
        <v>0.87</v>
      </c>
      <c r="S996" s="20">
        <v>173.48761954389784</v>
      </c>
    </row>
    <row r="997" spans="2:19" ht="15" customHeight="1" x14ac:dyDescent="0.25">
      <c r="B997" s="2" t="str">
        <f t="shared" si="30"/>
        <v>NSG_Residential_Multi-Family_Standard Rebate_Pipe Insulation_HW Medium 2.1" to 4"_MF/CI/SMB</v>
      </c>
      <c r="C997" s="2" t="str">
        <f t="shared" si="31"/>
        <v>NSG_Residential_Multi-Family_Standard Rebate_Pipe Insulation_HW Medium 2.1" to 4"_MF/CI/SMB_2022</v>
      </c>
      <c r="D997" s="19" t="s">
        <v>1787</v>
      </c>
      <c r="E997" s="19" t="s">
        <v>2</v>
      </c>
      <c r="F997" s="19" t="s">
        <v>1422</v>
      </c>
      <c r="G997" s="19" t="s">
        <v>1418</v>
      </c>
      <c r="H997" s="19" t="s">
        <v>404</v>
      </c>
      <c r="I997" s="19" t="s">
        <v>954</v>
      </c>
      <c r="J997" s="19">
        <v>0</v>
      </c>
      <c r="K997" s="19" t="s">
        <v>662</v>
      </c>
      <c r="L997" s="19">
        <v>2022</v>
      </c>
      <c r="M997" s="20">
        <v>75</v>
      </c>
      <c r="N997" s="19" t="s">
        <v>616</v>
      </c>
      <c r="O997" s="20">
        <v>1</v>
      </c>
      <c r="P997" s="20">
        <v>75</v>
      </c>
      <c r="Q997" s="20">
        <v>342.5105054968102</v>
      </c>
      <c r="R997" s="21">
        <v>0.87</v>
      </c>
      <c r="S997" s="20">
        <v>342.5105054968102</v>
      </c>
    </row>
    <row r="998" spans="2:19" ht="15" customHeight="1" x14ac:dyDescent="0.25">
      <c r="B998" s="2" t="str">
        <f t="shared" si="30"/>
        <v>NSG_Residential_Multi-Family_Standard Rebate_Pipe Insulation_HW Medium 2.1" to 4"_MF/CI/SMB</v>
      </c>
      <c r="C998" s="2" t="str">
        <f t="shared" si="31"/>
        <v>NSG_Residential_Multi-Family_Standard Rebate_Pipe Insulation_HW Medium 2.1" to 4"_MF/CI/SMB_2023</v>
      </c>
      <c r="D998" s="19" t="s">
        <v>1787</v>
      </c>
      <c r="E998" s="19" t="s">
        <v>2</v>
      </c>
      <c r="F998" s="19" t="s">
        <v>1422</v>
      </c>
      <c r="G998" s="19" t="s">
        <v>1418</v>
      </c>
      <c r="H998" s="19" t="s">
        <v>404</v>
      </c>
      <c r="I998" s="19" t="s">
        <v>954</v>
      </c>
      <c r="J998" s="19">
        <v>0</v>
      </c>
      <c r="K998" s="19" t="s">
        <v>662</v>
      </c>
      <c r="L998" s="19">
        <v>2023</v>
      </c>
      <c r="M998" s="20">
        <v>75</v>
      </c>
      <c r="N998" s="19" t="s">
        <v>616</v>
      </c>
      <c r="O998" s="20">
        <v>1</v>
      </c>
      <c r="P998" s="20">
        <v>75</v>
      </c>
      <c r="Q998" s="20">
        <v>342.5105054968102</v>
      </c>
      <c r="R998" s="21">
        <v>0.87</v>
      </c>
      <c r="S998" s="20">
        <v>342.5105054968102</v>
      </c>
    </row>
    <row r="999" spans="2:19" ht="15" customHeight="1" x14ac:dyDescent="0.25">
      <c r="B999" s="2" t="str">
        <f t="shared" si="30"/>
        <v>NSG_Residential_Multi-Family_Standard Rebate_Pipe Insulation_HW Medium 2.1" to 4"_MF/CI/SMB</v>
      </c>
      <c r="C999" s="2" t="str">
        <f t="shared" si="31"/>
        <v>NSG_Residential_Multi-Family_Standard Rebate_Pipe Insulation_HW Medium 2.1" to 4"_MF/CI/SMB_2024</v>
      </c>
      <c r="D999" s="19" t="s">
        <v>1787</v>
      </c>
      <c r="E999" s="19" t="s">
        <v>2</v>
      </c>
      <c r="F999" s="19" t="s">
        <v>1422</v>
      </c>
      <c r="G999" s="19" t="s">
        <v>1418</v>
      </c>
      <c r="H999" s="19" t="s">
        <v>404</v>
      </c>
      <c r="I999" s="19" t="s">
        <v>954</v>
      </c>
      <c r="J999" s="19">
        <v>0</v>
      </c>
      <c r="K999" s="19" t="s">
        <v>662</v>
      </c>
      <c r="L999" s="19">
        <v>2024</v>
      </c>
      <c r="M999" s="20">
        <v>75</v>
      </c>
      <c r="N999" s="19" t="s">
        <v>616</v>
      </c>
      <c r="O999" s="20">
        <v>1</v>
      </c>
      <c r="P999" s="20">
        <v>75</v>
      </c>
      <c r="Q999" s="20">
        <v>342.5105054968102</v>
      </c>
      <c r="R999" s="21">
        <v>0.87</v>
      </c>
      <c r="S999" s="20">
        <v>342.5105054968102</v>
      </c>
    </row>
    <row r="1000" spans="2:19" ht="15" customHeight="1" x14ac:dyDescent="0.25">
      <c r="B1000" s="2" t="str">
        <f t="shared" si="30"/>
        <v>NSG_Residential_Multi-Family_Standard Rebate_Pipe Insulation_HW Medium 2.1" to 4"_MF/CI/SMB</v>
      </c>
      <c r="C1000" s="2" t="str">
        <f t="shared" si="31"/>
        <v>NSG_Residential_Multi-Family_Standard Rebate_Pipe Insulation_HW Medium 2.1" to 4"_MF/CI/SMB_2025</v>
      </c>
      <c r="D1000" s="19" t="s">
        <v>1787</v>
      </c>
      <c r="E1000" s="19" t="s">
        <v>2</v>
      </c>
      <c r="F1000" s="19" t="s">
        <v>1422</v>
      </c>
      <c r="G1000" s="19" t="s">
        <v>1418</v>
      </c>
      <c r="H1000" s="19" t="s">
        <v>404</v>
      </c>
      <c r="I1000" s="19" t="s">
        <v>954</v>
      </c>
      <c r="J1000" s="19">
        <v>0</v>
      </c>
      <c r="K1000" s="19" t="s">
        <v>662</v>
      </c>
      <c r="L1000" s="19">
        <v>2025</v>
      </c>
      <c r="M1000" s="20">
        <v>75</v>
      </c>
      <c r="N1000" s="19" t="s">
        <v>616</v>
      </c>
      <c r="O1000" s="20">
        <v>1</v>
      </c>
      <c r="P1000" s="20">
        <v>75</v>
      </c>
      <c r="Q1000" s="20">
        <v>342.5105054968102</v>
      </c>
      <c r="R1000" s="21">
        <v>0.87</v>
      </c>
      <c r="S1000" s="20">
        <v>342.5105054968102</v>
      </c>
    </row>
    <row r="1001" spans="2:19" ht="15" customHeight="1" x14ac:dyDescent="0.25">
      <c r="B1001" s="2" t="str">
        <f t="shared" si="30"/>
        <v>NSG_Residential_Multi-Family_Standard Rebate_Pipe Insulation_HW Large &gt;4"_MF/CI/SMB</v>
      </c>
      <c r="C1001" s="2" t="str">
        <f t="shared" si="31"/>
        <v>NSG_Residential_Multi-Family_Standard Rebate_Pipe Insulation_HW Large &gt;4"_MF/CI/SMB_2022</v>
      </c>
      <c r="D1001" s="19" t="s">
        <v>1787</v>
      </c>
      <c r="E1001" s="19" t="s">
        <v>2</v>
      </c>
      <c r="F1001" s="19" t="s">
        <v>1422</v>
      </c>
      <c r="G1001" s="19" t="s">
        <v>1418</v>
      </c>
      <c r="H1001" s="19" t="s">
        <v>404</v>
      </c>
      <c r="I1001" s="19" t="s">
        <v>955</v>
      </c>
      <c r="J1001" s="19">
        <v>0</v>
      </c>
      <c r="K1001" s="19" t="s">
        <v>662</v>
      </c>
      <c r="L1001" s="19">
        <v>2022</v>
      </c>
      <c r="M1001" s="20">
        <v>75</v>
      </c>
      <c r="N1001" s="19" t="s">
        <v>616</v>
      </c>
      <c r="O1001" s="20">
        <v>1</v>
      </c>
      <c r="P1001" s="20">
        <v>75</v>
      </c>
      <c r="Q1001" s="20">
        <v>589.90967538555412</v>
      </c>
      <c r="R1001" s="21">
        <v>0.87</v>
      </c>
      <c r="S1001" s="20">
        <v>589.90967538555412</v>
      </c>
    </row>
    <row r="1002" spans="2:19" ht="15" customHeight="1" x14ac:dyDescent="0.25">
      <c r="B1002" s="2" t="str">
        <f t="shared" si="30"/>
        <v>NSG_Residential_Multi-Family_Standard Rebate_Pipe Insulation_HW Large &gt;4"_MF/CI/SMB</v>
      </c>
      <c r="C1002" s="2" t="str">
        <f t="shared" si="31"/>
        <v>NSG_Residential_Multi-Family_Standard Rebate_Pipe Insulation_HW Large &gt;4"_MF/CI/SMB_2023</v>
      </c>
      <c r="D1002" s="19" t="s">
        <v>1787</v>
      </c>
      <c r="E1002" s="19" t="s">
        <v>2</v>
      </c>
      <c r="F1002" s="19" t="s">
        <v>1422</v>
      </c>
      <c r="G1002" s="19" t="s">
        <v>1418</v>
      </c>
      <c r="H1002" s="19" t="s">
        <v>404</v>
      </c>
      <c r="I1002" s="19" t="s">
        <v>955</v>
      </c>
      <c r="J1002" s="19">
        <v>0</v>
      </c>
      <c r="K1002" s="19" t="s">
        <v>662</v>
      </c>
      <c r="L1002" s="19">
        <v>2023</v>
      </c>
      <c r="M1002" s="20">
        <v>75</v>
      </c>
      <c r="N1002" s="19" t="s">
        <v>616</v>
      </c>
      <c r="O1002" s="20">
        <v>1</v>
      </c>
      <c r="P1002" s="20">
        <v>75</v>
      </c>
      <c r="Q1002" s="20">
        <v>589.90967538555412</v>
      </c>
      <c r="R1002" s="21">
        <v>0.87</v>
      </c>
      <c r="S1002" s="20">
        <v>589.90967538555412</v>
      </c>
    </row>
    <row r="1003" spans="2:19" ht="15" customHeight="1" x14ac:dyDescent="0.25">
      <c r="B1003" s="2" t="str">
        <f t="shared" si="30"/>
        <v>NSG_Residential_Multi-Family_Standard Rebate_Pipe Insulation_HW Large &gt;4"_MF/CI/SMB</v>
      </c>
      <c r="C1003" s="2" t="str">
        <f t="shared" si="31"/>
        <v>NSG_Residential_Multi-Family_Standard Rebate_Pipe Insulation_HW Large &gt;4"_MF/CI/SMB_2024</v>
      </c>
      <c r="D1003" s="19" t="s">
        <v>1787</v>
      </c>
      <c r="E1003" s="19" t="s">
        <v>2</v>
      </c>
      <c r="F1003" s="19" t="s">
        <v>1422</v>
      </c>
      <c r="G1003" s="19" t="s">
        <v>1418</v>
      </c>
      <c r="H1003" s="19" t="s">
        <v>404</v>
      </c>
      <c r="I1003" s="19" t="s">
        <v>955</v>
      </c>
      <c r="J1003" s="19">
        <v>0</v>
      </c>
      <c r="K1003" s="19" t="s">
        <v>662</v>
      </c>
      <c r="L1003" s="19">
        <v>2024</v>
      </c>
      <c r="M1003" s="20">
        <v>75</v>
      </c>
      <c r="N1003" s="19" t="s">
        <v>616</v>
      </c>
      <c r="O1003" s="20">
        <v>1</v>
      </c>
      <c r="P1003" s="20">
        <v>75</v>
      </c>
      <c r="Q1003" s="20">
        <v>589.90967538555412</v>
      </c>
      <c r="R1003" s="21">
        <v>0.87</v>
      </c>
      <c r="S1003" s="20">
        <v>589.90967538555412</v>
      </c>
    </row>
    <row r="1004" spans="2:19" ht="15" customHeight="1" x14ac:dyDescent="0.25">
      <c r="B1004" s="2" t="str">
        <f t="shared" si="30"/>
        <v>NSG_Residential_Multi-Family_Standard Rebate_Pipe Insulation_HW Large &gt;4"_MF/CI/SMB</v>
      </c>
      <c r="C1004" s="2" t="str">
        <f t="shared" si="31"/>
        <v>NSG_Residential_Multi-Family_Standard Rebate_Pipe Insulation_HW Large &gt;4"_MF/CI/SMB_2025</v>
      </c>
      <c r="D1004" s="19" t="s">
        <v>1787</v>
      </c>
      <c r="E1004" s="19" t="s">
        <v>2</v>
      </c>
      <c r="F1004" s="19" t="s">
        <v>1422</v>
      </c>
      <c r="G1004" s="19" t="s">
        <v>1418</v>
      </c>
      <c r="H1004" s="19" t="s">
        <v>404</v>
      </c>
      <c r="I1004" s="19" t="s">
        <v>955</v>
      </c>
      <c r="J1004" s="19">
        <v>0</v>
      </c>
      <c r="K1004" s="19" t="s">
        <v>662</v>
      </c>
      <c r="L1004" s="19">
        <v>2025</v>
      </c>
      <c r="M1004" s="20">
        <v>75</v>
      </c>
      <c r="N1004" s="19" t="s">
        <v>616</v>
      </c>
      <c r="O1004" s="20">
        <v>1</v>
      </c>
      <c r="P1004" s="20">
        <v>75</v>
      </c>
      <c r="Q1004" s="20">
        <v>589.90967538555412</v>
      </c>
      <c r="R1004" s="21">
        <v>0.87</v>
      </c>
      <c r="S1004" s="20">
        <v>589.90967538555412</v>
      </c>
    </row>
    <row r="1005" spans="2:19" ht="15" customHeight="1" x14ac:dyDescent="0.25">
      <c r="B1005" s="2" t="str">
        <f t="shared" si="30"/>
        <v>NSG_Residential_Multi-Family_Standard Rebate_Pipe Insulation_Steam - Small 1" to 2"_MF</v>
      </c>
      <c r="C1005" s="2" t="str">
        <f t="shared" si="31"/>
        <v>NSG_Residential_Multi-Family_Standard Rebate_Pipe Insulation_Steam - Small 1" to 2"_MF_2022</v>
      </c>
      <c r="D1005" s="19" t="s">
        <v>1787</v>
      </c>
      <c r="E1005" s="19" t="s">
        <v>2</v>
      </c>
      <c r="F1005" s="19" t="s">
        <v>1422</v>
      </c>
      <c r="G1005" s="19" t="s">
        <v>1418</v>
      </c>
      <c r="H1005" s="19" t="s">
        <v>404</v>
      </c>
      <c r="I1005" s="19" t="s">
        <v>956</v>
      </c>
      <c r="J1005" s="19">
        <v>0</v>
      </c>
      <c r="K1005" s="19" t="s">
        <v>553</v>
      </c>
      <c r="L1005" s="19">
        <v>2022</v>
      </c>
      <c r="M1005" s="20">
        <v>75</v>
      </c>
      <c r="N1005" s="19" t="s">
        <v>616</v>
      </c>
      <c r="O1005" s="20">
        <v>0</v>
      </c>
      <c r="P1005" s="20">
        <v>0</v>
      </c>
      <c r="Q1005" s="20">
        <v>0</v>
      </c>
      <c r="R1005" s="21">
        <v>0.87</v>
      </c>
      <c r="S1005" s="20">
        <v>0</v>
      </c>
    </row>
    <row r="1006" spans="2:19" ht="15" customHeight="1" x14ac:dyDescent="0.25">
      <c r="B1006" s="2" t="str">
        <f t="shared" si="30"/>
        <v>NSG_Residential_Multi-Family_Standard Rebate_Pipe Insulation_Steam - Small 1" to 2"_MF</v>
      </c>
      <c r="C1006" s="2" t="str">
        <f t="shared" si="31"/>
        <v>NSG_Residential_Multi-Family_Standard Rebate_Pipe Insulation_Steam - Small 1" to 2"_MF_2023</v>
      </c>
      <c r="D1006" s="19" t="s">
        <v>1787</v>
      </c>
      <c r="E1006" s="19" t="s">
        <v>2</v>
      </c>
      <c r="F1006" s="19" t="s">
        <v>1422</v>
      </c>
      <c r="G1006" s="19" t="s">
        <v>1418</v>
      </c>
      <c r="H1006" s="19" t="s">
        <v>404</v>
      </c>
      <c r="I1006" s="19" t="s">
        <v>956</v>
      </c>
      <c r="J1006" s="19">
        <v>0</v>
      </c>
      <c r="K1006" s="19" t="s">
        <v>553</v>
      </c>
      <c r="L1006" s="19">
        <v>2023</v>
      </c>
      <c r="M1006" s="20">
        <v>75</v>
      </c>
      <c r="N1006" s="19" t="s">
        <v>616</v>
      </c>
      <c r="O1006" s="20">
        <v>0</v>
      </c>
      <c r="P1006" s="20">
        <v>0</v>
      </c>
      <c r="Q1006" s="20">
        <v>0</v>
      </c>
      <c r="R1006" s="21">
        <v>0.87</v>
      </c>
      <c r="S1006" s="20">
        <v>0</v>
      </c>
    </row>
    <row r="1007" spans="2:19" ht="15" customHeight="1" x14ac:dyDescent="0.25">
      <c r="B1007" s="2" t="str">
        <f t="shared" si="30"/>
        <v>NSG_Residential_Multi-Family_Standard Rebate_Pipe Insulation_Steam - Small 1" to 2"_MF</v>
      </c>
      <c r="C1007" s="2" t="str">
        <f t="shared" si="31"/>
        <v>NSG_Residential_Multi-Family_Standard Rebate_Pipe Insulation_Steam - Small 1" to 2"_MF_2024</v>
      </c>
      <c r="D1007" s="19" t="s">
        <v>1787</v>
      </c>
      <c r="E1007" s="19" t="s">
        <v>2</v>
      </c>
      <c r="F1007" s="19" t="s">
        <v>1422</v>
      </c>
      <c r="G1007" s="19" t="s">
        <v>1418</v>
      </c>
      <c r="H1007" s="19" t="s">
        <v>404</v>
      </c>
      <c r="I1007" s="19" t="s">
        <v>956</v>
      </c>
      <c r="J1007" s="19">
        <v>0</v>
      </c>
      <c r="K1007" s="19" t="s">
        <v>553</v>
      </c>
      <c r="L1007" s="19">
        <v>2024</v>
      </c>
      <c r="M1007" s="20">
        <v>75</v>
      </c>
      <c r="N1007" s="19" t="s">
        <v>616</v>
      </c>
      <c r="O1007" s="20">
        <v>0</v>
      </c>
      <c r="P1007" s="20">
        <v>0</v>
      </c>
      <c r="Q1007" s="20">
        <v>0</v>
      </c>
      <c r="R1007" s="21">
        <v>0.87</v>
      </c>
      <c r="S1007" s="20">
        <v>0</v>
      </c>
    </row>
    <row r="1008" spans="2:19" ht="15" customHeight="1" x14ac:dyDescent="0.25">
      <c r="B1008" s="2" t="str">
        <f t="shared" si="30"/>
        <v>NSG_Residential_Multi-Family_Standard Rebate_Pipe Insulation_Steam - Small 1" to 2"_MF</v>
      </c>
      <c r="C1008" s="2" t="str">
        <f t="shared" si="31"/>
        <v>NSG_Residential_Multi-Family_Standard Rebate_Pipe Insulation_Steam - Small 1" to 2"_MF_2025</v>
      </c>
      <c r="D1008" s="19" t="s">
        <v>1787</v>
      </c>
      <c r="E1008" s="19" t="s">
        <v>2</v>
      </c>
      <c r="F1008" s="19" t="s">
        <v>1422</v>
      </c>
      <c r="G1008" s="19" t="s">
        <v>1418</v>
      </c>
      <c r="H1008" s="19" t="s">
        <v>404</v>
      </c>
      <c r="I1008" s="19" t="s">
        <v>956</v>
      </c>
      <c r="J1008" s="19">
        <v>0</v>
      </c>
      <c r="K1008" s="19" t="s">
        <v>553</v>
      </c>
      <c r="L1008" s="19">
        <v>2025</v>
      </c>
      <c r="M1008" s="20">
        <v>75</v>
      </c>
      <c r="N1008" s="19" t="s">
        <v>616</v>
      </c>
      <c r="O1008" s="20">
        <v>0</v>
      </c>
      <c r="P1008" s="20">
        <v>0</v>
      </c>
      <c r="Q1008" s="20">
        <v>0</v>
      </c>
      <c r="R1008" s="21">
        <v>0.87</v>
      </c>
      <c r="S1008" s="20">
        <v>0</v>
      </c>
    </row>
    <row r="1009" spans="2:19" ht="15" customHeight="1" x14ac:dyDescent="0.25">
      <c r="B1009" s="2" t="str">
        <f t="shared" si="30"/>
        <v>NSG_Residential_Multi-Family_Standard Rebate_Pipe Insulation_Steam - Med 2.1" to 5"_MF</v>
      </c>
      <c r="C1009" s="2" t="str">
        <f t="shared" si="31"/>
        <v>NSG_Residential_Multi-Family_Standard Rebate_Pipe Insulation_Steam - Med 2.1" to 5"_MF_2022</v>
      </c>
      <c r="D1009" s="19" t="s">
        <v>1787</v>
      </c>
      <c r="E1009" s="19" t="s">
        <v>2</v>
      </c>
      <c r="F1009" s="19" t="s">
        <v>1422</v>
      </c>
      <c r="G1009" s="19" t="s">
        <v>1418</v>
      </c>
      <c r="H1009" s="19" t="s">
        <v>404</v>
      </c>
      <c r="I1009" s="19" t="s">
        <v>957</v>
      </c>
      <c r="J1009" s="19">
        <v>0</v>
      </c>
      <c r="K1009" s="19" t="s">
        <v>553</v>
      </c>
      <c r="L1009" s="19">
        <v>2022</v>
      </c>
      <c r="M1009" s="20">
        <v>75</v>
      </c>
      <c r="N1009" s="19" t="s">
        <v>616</v>
      </c>
      <c r="O1009" s="20">
        <v>0</v>
      </c>
      <c r="P1009" s="20">
        <v>0</v>
      </c>
      <c r="Q1009" s="20">
        <v>0</v>
      </c>
      <c r="R1009" s="21">
        <v>0.87</v>
      </c>
      <c r="S1009" s="20">
        <v>0</v>
      </c>
    </row>
    <row r="1010" spans="2:19" ht="15" customHeight="1" x14ac:dyDescent="0.25">
      <c r="B1010" s="2" t="str">
        <f t="shared" si="30"/>
        <v>NSG_Residential_Multi-Family_Standard Rebate_Pipe Insulation_Steam - Med 2.1" to 5"_MF</v>
      </c>
      <c r="C1010" s="2" t="str">
        <f t="shared" si="31"/>
        <v>NSG_Residential_Multi-Family_Standard Rebate_Pipe Insulation_Steam - Med 2.1" to 5"_MF_2023</v>
      </c>
      <c r="D1010" s="19" t="s">
        <v>1787</v>
      </c>
      <c r="E1010" s="19" t="s">
        <v>2</v>
      </c>
      <c r="F1010" s="19" t="s">
        <v>1422</v>
      </c>
      <c r="G1010" s="19" t="s">
        <v>1418</v>
      </c>
      <c r="H1010" s="19" t="s">
        <v>404</v>
      </c>
      <c r="I1010" s="19" t="s">
        <v>957</v>
      </c>
      <c r="J1010" s="19">
        <v>0</v>
      </c>
      <c r="K1010" s="19" t="s">
        <v>553</v>
      </c>
      <c r="L1010" s="19">
        <v>2023</v>
      </c>
      <c r="M1010" s="20">
        <v>75</v>
      </c>
      <c r="N1010" s="19" t="s">
        <v>616</v>
      </c>
      <c r="O1010" s="20">
        <v>0</v>
      </c>
      <c r="P1010" s="20">
        <v>0</v>
      </c>
      <c r="Q1010" s="20">
        <v>0</v>
      </c>
      <c r="R1010" s="21">
        <v>0.87</v>
      </c>
      <c r="S1010" s="20">
        <v>0</v>
      </c>
    </row>
    <row r="1011" spans="2:19" ht="15" customHeight="1" x14ac:dyDescent="0.25">
      <c r="B1011" s="2" t="str">
        <f t="shared" si="30"/>
        <v>NSG_Residential_Multi-Family_Standard Rebate_Pipe Insulation_Steam - Med 2.1" to 5"_MF</v>
      </c>
      <c r="C1011" s="2" t="str">
        <f t="shared" si="31"/>
        <v>NSG_Residential_Multi-Family_Standard Rebate_Pipe Insulation_Steam - Med 2.1" to 5"_MF_2024</v>
      </c>
      <c r="D1011" s="19" t="s">
        <v>1787</v>
      </c>
      <c r="E1011" s="19" t="s">
        <v>2</v>
      </c>
      <c r="F1011" s="19" t="s">
        <v>1422</v>
      </c>
      <c r="G1011" s="19" t="s">
        <v>1418</v>
      </c>
      <c r="H1011" s="19" t="s">
        <v>404</v>
      </c>
      <c r="I1011" s="19" t="s">
        <v>957</v>
      </c>
      <c r="J1011" s="19">
        <v>0</v>
      </c>
      <c r="K1011" s="19" t="s">
        <v>553</v>
      </c>
      <c r="L1011" s="19">
        <v>2024</v>
      </c>
      <c r="M1011" s="20">
        <v>75</v>
      </c>
      <c r="N1011" s="19" t="s">
        <v>616</v>
      </c>
      <c r="O1011" s="20">
        <v>0</v>
      </c>
      <c r="P1011" s="20">
        <v>0</v>
      </c>
      <c r="Q1011" s="20">
        <v>0</v>
      </c>
      <c r="R1011" s="21">
        <v>0.87</v>
      </c>
      <c r="S1011" s="20">
        <v>0</v>
      </c>
    </row>
    <row r="1012" spans="2:19" ht="15" customHeight="1" x14ac:dyDescent="0.25">
      <c r="B1012" s="2" t="str">
        <f t="shared" si="30"/>
        <v>NSG_Residential_Multi-Family_Standard Rebate_Pipe Insulation_Steam - Med 2.1" to 5"_MF</v>
      </c>
      <c r="C1012" s="2" t="str">
        <f t="shared" si="31"/>
        <v>NSG_Residential_Multi-Family_Standard Rebate_Pipe Insulation_Steam - Med 2.1" to 5"_MF_2025</v>
      </c>
      <c r="D1012" s="19" t="s">
        <v>1787</v>
      </c>
      <c r="E1012" s="19" t="s">
        <v>2</v>
      </c>
      <c r="F1012" s="19" t="s">
        <v>1422</v>
      </c>
      <c r="G1012" s="19" t="s">
        <v>1418</v>
      </c>
      <c r="H1012" s="19" t="s">
        <v>404</v>
      </c>
      <c r="I1012" s="19" t="s">
        <v>957</v>
      </c>
      <c r="J1012" s="19">
        <v>0</v>
      </c>
      <c r="K1012" s="19" t="s">
        <v>553</v>
      </c>
      <c r="L1012" s="19">
        <v>2025</v>
      </c>
      <c r="M1012" s="20">
        <v>75</v>
      </c>
      <c r="N1012" s="19" t="s">
        <v>616</v>
      </c>
      <c r="O1012" s="20">
        <v>0</v>
      </c>
      <c r="P1012" s="20">
        <v>0</v>
      </c>
      <c r="Q1012" s="20">
        <v>0</v>
      </c>
      <c r="R1012" s="21">
        <v>0.87</v>
      </c>
      <c r="S1012" s="20">
        <v>0</v>
      </c>
    </row>
    <row r="1013" spans="2:19" ht="15" customHeight="1" x14ac:dyDescent="0.25">
      <c r="B1013" s="2" t="str">
        <f t="shared" si="30"/>
        <v>NSG_Residential_Multi-Family_Standard Rebate_Pipe Insulation_Steam - Large 5.1" to 8"_MF</v>
      </c>
      <c r="C1013" s="2" t="str">
        <f t="shared" si="31"/>
        <v>NSG_Residential_Multi-Family_Standard Rebate_Pipe Insulation_Steam - Large 5.1" to 8"_MF_2022</v>
      </c>
      <c r="D1013" s="19" t="s">
        <v>1787</v>
      </c>
      <c r="E1013" s="19" t="s">
        <v>2</v>
      </c>
      <c r="F1013" s="19" t="s">
        <v>1422</v>
      </c>
      <c r="G1013" s="19" t="s">
        <v>1418</v>
      </c>
      <c r="H1013" s="19" t="s">
        <v>404</v>
      </c>
      <c r="I1013" s="19" t="s">
        <v>958</v>
      </c>
      <c r="J1013" s="19">
        <v>0</v>
      </c>
      <c r="K1013" s="19" t="s">
        <v>553</v>
      </c>
      <c r="L1013" s="19">
        <v>2022</v>
      </c>
      <c r="M1013" s="20">
        <v>75</v>
      </c>
      <c r="N1013" s="19" t="s">
        <v>616</v>
      </c>
      <c r="O1013" s="20">
        <v>0</v>
      </c>
      <c r="P1013" s="20">
        <v>0</v>
      </c>
      <c r="Q1013" s="20">
        <v>0</v>
      </c>
      <c r="R1013" s="21">
        <v>0.87</v>
      </c>
      <c r="S1013" s="20">
        <v>0</v>
      </c>
    </row>
    <row r="1014" spans="2:19" ht="15" customHeight="1" x14ac:dyDescent="0.25">
      <c r="B1014" s="2" t="str">
        <f t="shared" si="30"/>
        <v>NSG_Residential_Multi-Family_Standard Rebate_Pipe Insulation_Steam - Large 5.1" to 8"_MF</v>
      </c>
      <c r="C1014" s="2" t="str">
        <f t="shared" si="31"/>
        <v>NSG_Residential_Multi-Family_Standard Rebate_Pipe Insulation_Steam - Large 5.1" to 8"_MF_2023</v>
      </c>
      <c r="D1014" s="19" t="s">
        <v>1787</v>
      </c>
      <c r="E1014" s="19" t="s">
        <v>2</v>
      </c>
      <c r="F1014" s="19" t="s">
        <v>1422</v>
      </c>
      <c r="G1014" s="19" t="s">
        <v>1418</v>
      </c>
      <c r="H1014" s="19" t="s">
        <v>404</v>
      </c>
      <c r="I1014" s="19" t="s">
        <v>958</v>
      </c>
      <c r="J1014" s="19">
        <v>0</v>
      </c>
      <c r="K1014" s="19" t="s">
        <v>553</v>
      </c>
      <c r="L1014" s="19">
        <v>2023</v>
      </c>
      <c r="M1014" s="20">
        <v>75</v>
      </c>
      <c r="N1014" s="19" t="s">
        <v>616</v>
      </c>
      <c r="O1014" s="20">
        <v>0</v>
      </c>
      <c r="P1014" s="20">
        <v>0</v>
      </c>
      <c r="Q1014" s="20">
        <v>0</v>
      </c>
      <c r="R1014" s="21">
        <v>0.87</v>
      </c>
      <c r="S1014" s="20">
        <v>0</v>
      </c>
    </row>
    <row r="1015" spans="2:19" ht="15" customHeight="1" x14ac:dyDescent="0.25">
      <c r="B1015" s="2" t="str">
        <f t="shared" si="30"/>
        <v>NSG_Residential_Multi-Family_Standard Rebate_Pipe Insulation_Steam - Large 5.1" to 8"_MF</v>
      </c>
      <c r="C1015" s="2" t="str">
        <f t="shared" si="31"/>
        <v>NSG_Residential_Multi-Family_Standard Rebate_Pipe Insulation_Steam - Large 5.1" to 8"_MF_2024</v>
      </c>
      <c r="D1015" s="19" t="s">
        <v>1787</v>
      </c>
      <c r="E1015" s="19" t="s">
        <v>2</v>
      </c>
      <c r="F1015" s="19" t="s">
        <v>1422</v>
      </c>
      <c r="G1015" s="19" t="s">
        <v>1418</v>
      </c>
      <c r="H1015" s="19" t="s">
        <v>404</v>
      </c>
      <c r="I1015" s="19" t="s">
        <v>958</v>
      </c>
      <c r="J1015" s="19">
        <v>0</v>
      </c>
      <c r="K1015" s="19" t="s">
        <v>553</v>
      </c>
      <c r="L1015" s="19">
        <v>2024</v>
      </c>
      <c r="M1015" s="20">
        <v>75</v>
      </c>
      <c r="N1015" s="19" t="s">
        <v>616</v>
      </c>
      <c r="O1015" s="20">
        <v>0</v>
      </c>
      <c r="P1015" s="20">
        <v>0</v>
      </c>
      <c r="Q1015" s="20">
        <v>0</v>
      </c>
      <c r="R1015" s="21">
        <v>0.87</v>
      </c>
      <c r="S1015" s="20">
        <v>0</v>
      </c>
    </row>
    <row r="1016" spans="2:19" ht="15" customHeight="1" x14ac:dyDescent="0.25">
      <c r="B1016" s="2" t="str">
        <f t="shared" si="30"/>
        <v>NSG_Residential_Multi-Family_Standard Rebate_Pipe Insulation_Steam - Large 5.1" to 8"_MF</v>
      </c>
      <c r="C1016" s="2" t="str">
        <f t="shared" si="31"/>
        <v>NSG_Residential_Multi-Family_Standard Rebate_Pipe Insulation_Steam - Large 5.1" to 8"_MF_2025</v>
      </c>
      <c r="D1016" s="19" t="s">
        <v>1787</v>
      </c>
      <c r="E1016" s="19" t="s">
        <v>2</v>
      </c>
      <c r="F1016" s="19" t="s">
        <v>1422</v>
      </c>
      <c r="G1016" s="19" t="s">
        <v>1418</v>
      </c>
      <c r="H1016" s="19" t="s">
        <v>404</v>
      </c>
      <c r="I1016" s="19" t="s">
        <v>958</v>
      </c>
      <c r="J1016" s="19">
        <v>0</v>
      </c>
      <c r="K1016" s="19" t="s">
        <v>553</v>
      </c>
      <c r="L1016" s="19">
        <v>2025</v>
      </c>
      <c r="M1016" s="20">
        <v>75</v>
      </c>
      <c r="N1016" s="19" t="s">
        <v>616</v>
      </c>
      <c r="O1016" s="20">
        <v>0</v>
      </c>
      <c r="P1016" s="20">
        <v>0</v>
      </c>
      <c r="Q1016" s="20">
        <v>0</v>
      </c>
      <c r="R1016" s="21">
        <v>0.87</v>
      </c>
      <c r="S1016" s="20">
        <v>0</v>
      </c>
    </row>
    <row r="1017" spans="2:19" ht="15" customHeight="1" x14ac:dyDescent="0.25">
      <c r="B1017" s="2" t="str">
        <f t="shared" si="30"/>
        <v>NSG_Residential_Multi-Family_Standard Rebate_Pipe Insulation_Steam - X-Large &gt;8"_MF</v>
      </c>
      <c r="C1017" s="2" t="str">
        <f t="shared" si="31"/>
        <v>NSG_Residential_Multi-Family_Standard Rebate_Pipe Insulation_Steam - X-Large &gt;8"_MF_2022</v>
      </c>
      <c r="D1017" s="19" t="s">
        <v>1787</v>
      </c>
      <c r="E1017" s="19" t="s">
        <v>2</v>
      </c>
      <c r="F1017" s="19" t="s">
        <v>1422</v>
      </c>
      <c r="G1017" s="19" t="s">
        <v>1418</v>
      </c>
      <c r="H1017" s="19" t="s">
        <v>404</v>
      </c>
      <c r="I1017" s="19" t="s">
        <v>960</v>
      </c>
      <c r="J1017" s="19">
        <v>0</v>
      </c>
      <c r="K1017" s="19" t="s">
        <v>553</v>
      </c>
      <c r="L1017" s="19">
        <v>2022</v>
      </c>
      <c r="M1017" s="20">
        <v>75</v>
      </c>
      <c r="N1017" s="19" t="s">
        <v>616</v>
      </c>
      <c r="O1017" s="20">
        <v>0</v>
      </c>
      <c r="P1017" s="20">
        <v>0</v>
      </c>
      <c r="Q1017" s="20">
        <v>0</v>
      </c>
      <c r="R1017" s="21">
        <v>0.87</v>
      </c>
      <c r="S1017" s="20">
        <v>0</v>
      </c>
    </row>
    <row r="1018" spans="2:19" ht="15" customHeight="1" x14ac:dyDescent="0.25">
      <c r="B1018" s="2" t="str">
        <f t="shared" si="30"/>
        <v>NSG_Residential_Multi-Family_Standard Rebate_Pipe Insulation_Steam - X-Large &gt;8"_MF</v>
      </c>
      <c r="C1018" s="2" t="str">
        <f t="shared" si="31"/>
        <v>NSG_Residential_Multi-Family_Standard Rebate_Pipe Insulation_Steam - X-Large &gt;8"_MF_2023</v>
      </c>
      <c r="D1018" s="19" t="s">
        <v>1787</v>
      </c>
      <c r="E1018" s="19" t="s">
        <v>2</v>
      </c>
      <c r="F1018" s="19" t="s">
        <v>1422</v>
      </c>
      <c r="G1018" s="19" t="s">
        <v>1418</v>
      </c>
      <c r="H1018" s="19" t="s">
        <v>404</v>
      </c>
      <c r="I1018" s="19" t="s">
        <v>960</v>
      </c>
      <c r="J1018" s="19">
        <v>0</v>
      </c>
      <c r="K1018" s="19" t="s">
        <v>553</v>
      </c>
      <c r="L1018" s="19">
        <v>2023</v>
      </c>
      <c r="M1018" s="20">
        <v>75</v>
      </c>
      <c r="N1018" s="19" t="s">
        <v>616</v>
      </c>
      <c r="O1018" s="20">
        <v>0</v>
      </c>
      <c r="P1018" s="20">
        <v>0</v>
      </c>
      <c r="Q1018" s="20">
        <v>0</v>
      </c>
      <c r="R1018" s="21">
        <v>0.87</v>
      </c>
      <c r="S1018" s="20">
        <v>0</v>
      </c>
    </row>
    <row r="1019" spans="2:19" ht="15" customHeight="1" x14ac:dyDescent="0.25">
      <c r="B1019" s="2" t="str">
        <f t="shared" si="30"/>
        <v>NSG_Residential_Multi-Family_Standard Rebate_Pipe Insulation_Steam - X-Large &gt;8"_MF</v>
      </c>
      <c r="C1019" s="2" t="str">
        <f t="shared" si="31"/>
        <v>NSG_Residential_Multi-Family_Standard Rebate_Pipe Insulation_Steam - X-Large &gt;8"_MF_2024</v>
      </c>
      <c r="D1019" s="19" t="s">
        <v>1787</v>
      </c>
      <c r="E1019" s="19" t="s">
        <v>2</v>
      </c>
      <c r="F1019" s="19" t="s">
        <v>1422</v>
      </c>
      <c r="G1019" s="19" t="s">
        <v>1418</v>
      </c>
      <c r="H1019" s="19" t="s">
        <v>404</v>
      </c>
      <c r="I1019" s="19" t="s">
        <v>960</v>
      </c>
      <c r="J1019" s="19">
        <v>0</v>
      </c>
      <c r="K1019" s="19" t="s">
        <v>553</v>
      </c>
      <c r="L1019" s="19">
        <v>2024</v>
      </c>
      <c r="M1019" s="20">
        <v>75</v>
      </c>
      <c r="N1019" s="19" t="s">
        <v>616</v>
      </c>
      <c r="O1019" s="20">
        <v>0</v>
      </c>
      <c r="P1019" s="20">
        <v>0</v>
      </c>
      <c r="Q1019" s="20">
        <v>0</v>
      </c>
      <c r="R1019" s="21">
        <v>0.87</v>
      </c>
      <c r="S1019" s="20">
        <v>0</v>
      </c>
    </row>
    <row r="1020" spans="2:19" ht="15" customHeight="1" x14ac:dyDescent="0.25">
      <c r="B1020" s="2" t="str">
        <f t="shared" si="30"/>
        <v>NSG_Residential_Multi-Family_Standard Rebate_Pipe Insulation_Steam - X-Large &gt;8"_MF</v>
      </c>
      <c r="C1020" s="2" t="str">
        <f t="shared" si="31"/>
        <v>NSG_Residential_Multi-Family_Standard Rebate_Pipe Insulation_Steam - X-Large &gt;8"_MF_2025</v>
      </c>
      <c r="D1020" s="19" t="s">
        <v>1787</v>
      </c>
      <c r="E1020" s="19" t="s">
        <v>2</v>
      </c>
      <c r="F1020" s="19" t="s">
        <v>1422</v>
      </c>
      <c r="G1020" s="19" t="s">
        <v>1418</v>
      </c>
      <c r="H1020" s="19" t="s">
        <v>404</v>
      </c>
      <c r="I1020" s="19" t="s">
        <v>960</v>
      </c>
      <c r="J1020" s="19">
        <v>0</v>
      </c>
      <c r="K1020" s="19" t="s">
        <v>553</v>
      </c>
      <c r="L1020" s="19">
        <v>2025</v>
      </c>
      <c r="M1020" s="20">
        <v>75</v>
      </c>
      <c r="N1020" s="19" t="s">
        <v>616</v>
      </c>
      <c r="O1020" s="20">
        <v>0</v>
      </c>
      <c r="P1020" s="20">
        <v>0</v>
      </c>
      <c r="Q1020" s="20">
        <v>0</v>
      </c>
      <c r="R1020" s="21">
        <v>0.87</v>
      </c>
      <c r="S1020" s="20">
        <v>0</v>
      </c>
    </row>
    <row r="1021" spans="2:19" ht="15" customHeight="1" x14ac:dyDescent="0.25">
      <c r="B1021" s="2" t="str">
        <f t="shared" si="30"/>
        <v>NSG_Residential_Multi-Family_Standard Rebate_Pipe Insulation_Steam Med Fitting_MF</v>
      </c>
      <c r="C1021" s="2" t="str">
        <f t="shared" si="31"/>
        <v>NSG_Residential_Multi-Family_Standard Rebate_Pipe Insulation_Steam Med Fitting_MF_2022</v>
      </c>
      <c r="D1021" s="19" t="s">
        <v>1787</v>
      </c>
      <c r="E1021" s="19" t="s">
        <v>2</v>
      </c>
      <c r="F1021" s="19" t="s">
        <v>1422</v>
      </c>
      <c r="G1021" s="19" t="s">
        <v>1418</v>
      </c>
      <c r="H1021" s="19" t="s">
        <v>404</v>
      </c>
      <c r="I1021" s="19" t="s">
        <v>962</v>
      </c>
      <c r="J1021" s="19">
        <v>0</v>
      </c>
      <c r="K1021" s="19" t="s">
        <v>553</v>
      </c>
      <c r="L1021" s="19">
        <v>2022</v>
      </c>
      <c r="M1021" s="20">
        <v>1</v>
      </c>
      <c r="N1021" s="19" t="s">
        <v>1798</v>
      </c>
      <c r="O1021" s="20">
        <v>0</v>
      </c>
      <c r="P1021" s="20">
        <v>0</v>
      </c>
      <c r="Q1021" s="20">
        <v>0</v>
      </c>
      <c r="R1021" s="21">
        <v>0.87</v>
      </c>
      <c r="S1021" s="20">
        <v>0</v>
      </c>
    </row>
    <row r="1022" spans="2:19" ht="15" customHeight="1" x14ac:dyDescent="0.25">
      <c r="B1022" s="2" t="str">
        <f t="shared" si="30"/>
        <v>NSG_Residential_Multi-Family_Standard Rebate_Pipe Insulation_Steam Med Fitting_MF</v>
      </c>
      <c r="C1022" s="2" t="str">
        <f t="shared" si="31"/>
        <v>NSG_Residential_Multi-Family_Standard Rebate_Pipe Insulation_Steam Med Fitting_MF_2023</v>
      </c>
      <c r="D1022" s="19" t="s">
        <v>1787</v>
      </c>
      <c r="E1022" s="19" t="s">
        <v>2</v>
      </c>
      <c r="F1022" s="19" t="s">
        <v>1422</v>
      </c>
      <c r="G1022" s="19" t="s">
        <v>1418</v>
      </c>
      <c r="H1022" s="19" t="s">
        <v>404</v>
      </c>
      <c r="I1022" s="19" t="s">
        <v>962</v>
      </c>
      <c r="J1022" s="19">
        <v>0</v>
      </c>
      <c r="K1022" s="19" t="s">
        <v>553</v>
      </c>
      <c r="L1022" s="19">
        <v>2023</v>
      </c>
      <c r="M1022" s="20">
        <v>1</v>
      </c>
      <c r="N1022" s="19" t="s">
        <v>1798</v>
      </c>
      <c r="O1022" s="20">
        <v>0</v>
      </c>
      <c r="P1022" s="20">
        <v>0</v>
      </c>
      <c r="Q1022" s="20">
        <v>0</v>
      </c>
      <c r="R1022" s="21">
        <v>0.87</v>
      </c>
      <c r="S1022" s="20">
        <v>0</v>
      </c>
    </row>
    <row r="1023" spans="2:19" ht="15" customHeight="1" x14ac:dyDescent="0.25">
      <c r="B1023" s="2" t="str">
        <f t="shared" si="30"/>
        <v>NSG_Residential_Multi-Family_Standard Rebate_Pipe Insulation_Steam Med Fitting_MF</v>
      </c>
      <c r="C1023" s="2" t="str">
        <f t="shared" si="31"/>
        <v>NSG_Residential_Multi-Family_Standard Rebate_Pipe Insulation_Steam Med Fitting_MF_2024</v>
      </c>
      <c r="D1023" s="19" t="s">
        <v>1787</v>
      </c>
      <c r="E1023" s="19" t="s">
        <v>2</v>
      </c>
      <c r="F1023" s="19" t="s">
        <v>1422</v>
      </c>
      <c r="G1023" s="19" t="s">
        <v>1418</v>
      </c>
      <c r="H1023" s="19" t="s">
        <v>404</v>
      </c>
      <c r="I1023" s="19" t="s">
        <v>962</v>
      </c>
      <c r="J1023" s="19">
        <v>0</v>
      </c>
      <c r="K1023" s="19" t="s">
        <v>553</v>
      </c>
      <c r="L1023" s="19">
        <v>2024</v>
      </c>
      <c r="M1023" s="20">
        <v>1</v>
      </c>
      <c r="N1023" s="19" t="s">
        <v>1798</v>
      </c>
      <c r="O1023" s="20">
        <v>0</v>
      </c>
      <c r="P1023" s="20">
        <v>0</v>
      </c>
      <c r="Q1023" s="20">
        <v>0</v>
      </c>
      <c r="R1023" s="21">
        <v>0.87</v>
      </c>
      <c r="S1023" s="20">
        <v>0</v>
      </c>
    </row>
    <row r="1024" spans="2:19" ht="15" customHeight="1" x14ac:dyDescent="0.25">
      <c r="B1024" s="2" t="str">
        <f t="shared" si="30"/>
        <v>NSG_Residential_Multi-Family_Standard Rebate_Pipe Insulation_Steam Med Fitting_MF</v>
      </c>
      <c r="C1024" s="2" t="str">
        <f t="shared" si="31"/>
        <v>NSG_Residential_Multi-Family_Standard Rebate_Pipe Insulation_Steam Med Fitting_MF_2025</v>
      </c>
      <c r="D1024" s="19" t="s">
        <v>1787</v>
      </c>
      <c r="E1024" s="19" t="s">
        <v>2</v>
      </c>
      <c r="F1024" s="19" t="s">
        <v>1422</v>
      </c>
      <c r="G1024" s="19" t="s">
        <v>1418</v>
      </c>
      <c r="H1024" s="19" t="s">
        <v>404</v>
      </c>
      <c r="I1024" s="19" t="s">
        <v>962</v>
      </c>
      <c r="J1024" s="19">
        <v>0</v>
      </c>
      <c r="K1024" s="19" t="s">
        <v>553</v>
      </c>
      <c r="L1024" s="19">
        <v>2025</v>
      </c>
      <c r="M1024" s="20">
        <v>1</v>
      </c>
      <c r="N1024" s="19" t="s">
        <v>1798</v>
      </c>
      <c r="O1024" s="20">
        <v>0</v>
      </c>
      <c r="P1024" s="20">
        <v>0</v>
      </c>
      <c r="Q1024" s="20">
        <v>0</v>
      </c>
      <c r="R1024" s="21">
        <v>0.87</v>
      </c>
      <c r="S1024" s="20">
        <v>0</v>
      </c>
    </row>
    <row r="1025" spans="2:19" ht="15" customHeight="1" x14ac:dyDescent="0.25">
      <c r="B1025" s="2" t="str">
        <f t="shared" si="30"/>
        <v>NSG_Residential_Multi-Family_Standard Rebate_Pipe Insulation_Steam Large Fitting_MF</v>
      </c>
      <c r="C1025" s="2" t="str">
        <f t="shared" si="31"/>
        <v>NSG_Residential_Multi-Family_Standard Rebate_Pipe Insulation_Steam Large Fitting_MF_2022</v>
      </c>
      <c r="D1025" s="19" t="s">
        <v>1787</v>
      </c>
      <c r="E1025" s="19" t="s">
        <v>2</v>
      </c>
      <c r="F1025" s="19" t="s">
        <v>1422</v>
      </c>
      <c r="G1025" s="19" t="s">
        <v>1418</v>
      </c>
      <c r="H1025" s="19" t="s">
        <v>404</v>
      </c>
      <c r="I1025" s="19" t="s">
        <v>963</v>
      </c>
      <c r="J1025" s="19">
        <v>0</v>
      </c>
      <c r="K1025" s="19" t="s">
        <v>553</v>
      </c>
      <c r="L1025" s="19">
        <v>2022</v>
      </c>
      <c r="M1025" s="20">
        <v>1</v>
      </c>
      <c r="N1025" s="19" t="s">
        <v>1798</v>
      </c>
      <c r="O1025" s="20">
        <v>0</v>
      </c>
      <c r="P1025" s="20">
        <v>0</v>
      </c>
      <c r="Q1025" s="20">
        <v>0</v>
      </c>
      <c r="R1025" s="21">
        <v>0.87</v>
      </c>
      <c r="S1025" s="20">
        <v>0</v>
      </c>
    </row>
    <row r="1026" spans="2:19" ht="15" customHeight="1" x14ac:dyDescent="0.25">
      <c r="B1026" s="2" t="str">
        <f t="shared" si="30"/>
        <v>NSG_Residential_Multi-Family_Standard Rebate_Pipe Insulation_Steam Large Fitting_MF</v>
      </c>
      <c r="C1026" s="2" t="str">
        <f t="shared" si="31"/>
        <v>NSG_Residential_Multi-Family_Standard Rebate_Pipe Insulation_Steam Large Fitting_MF_2023</v>
      </c>
      <c r="D1026" s="19" t="s">
        <v>1787</v>
      </c>
      <c r="E1026" s="19" t="s">
        <v>2</v>
      </c>
      <c r="F1026" s="19" t="s">
        <v>1422</v>
      </c>
      <c r="G1026" s="19" t="s">
        <v>1418</v>
      </c>
      <c r="H1026" s="19" t="s">
        <v>404</v>
      </c>
      <c r="I1026" s="19" t="s">
        <v>963</v>
      </c>
      <c r="J1026" s="19">
        <v>0</v>
      </c>
      <c r="K1026" s="19" t="s">
        <v>553</v>
      </c>
      <c r="L1026" s="19">
        <v>2023</v>
      </c>
      <c r="M1026" s="20">
        <v>1</v>
      </c>
      <c r="N1026" s="19" t="s">
        <v>1798</v>
      </c>
      <c r="O1026" s="20">
        <v>0</v>
      </c>
      <c r="P1026" s="20">
        <v>0</v>
      </c>
      <c r="Q1026" s="20">
        <v>0</v>
      </c>
      <c r="R1026" s="21">
        <v>0.87</v>
      </c>
      <c r="S1026" s="20">
        <v>0</v>
      </c>
    </row>
    <row r="1027" spans="2:19" ht="15" customHeight="1" x14ac:dyDescent="0.25">
      <c r="B1027" s="2" t="str">
        <f t="shared" si="30"/>
        <v>NSG_Residential_Multi-Family_Standard Rebate_Pipe Insulation_Steam Large Fitting_MF</v>
      </c>
      <c r="C1027" s="2" t="str">
        <f t="shared" si="31"/>
        <v>NSG_Residential_Multi-Family_Standard Rebate_Pipe Insulation_Steam Large Fitting_MF_2024</v>
      </c>
      <c r="D1027" s="19" t="s">
        <v>1787</v>
      </c>
      <c r="E1027" s="19" t="s">
        <v>2</v>
      </c>
      <c r="F1027" s="19" t="s">
        <v>1422</v>
      </c>
      <c r="G1027" s="19" t="s">
        <v>1418</v>
      </c>
      <c r="H1027" s="19" t="s">
        <v>404</v>
      </c>
      <c r="I1027" s="19" t="s">
        <v>963</v>
      </c>
      <c r="J1027" s="19">
        <v>0</v>
      </c>
      <c r="K1027" s="19" t="s">
        <v>553</v>
      </c>
      <c r="L1027" s="19">
        <v>2024</v>
      </c>
      <c r="M1027" s="20">
        <v>1</v>
      </c>
      <c r="N1027" s="19" t="s">
        <v>1798</v>
      </c>
      <c r="O1027" s="20">
        <v>0</v>
      </c>
      <c r="P1027" s="20">
        <v>0</v>
      </c>
      <c r="Q1027" s="20">
        <v>0</v>
      </c>
      <c r="R1027" s="21">
        <v>0.87</v>
      </c>
      <c r="S1027" s="20">
        <v>0</v>
      </c>
    </row>
    <row r="1028" spans="2:19" ht="15" customHeight="1" x14ac:dyDescent="0.25">
      <c r="B1028" s="2" t="str">
        <f t="shared" si="30"/>
        <v>NSG_Residential_Multi-Family_Standard Rebate_Pipe Insulation_Steam Large Fitting_MF</v>
      </c>
      <c r="C1028" s="2" t="str">
        <f t="shared" si="31"/>
        <v>NSG_Residential_Multi-Family_Standard Rebate_Pipe Insulation_Steam Large Fitting_MF_2025</v>
      </c>
      <c r="D1028" s="19" t="s">
        <v>1787</v>
      </c>
      <c r="E1028" s="19" t="s">
        <v>2</v>
      </c>
      <c r="F1028" s="19" t="s">
        <v>1422</v>
      </c>
      <c r="G1028" s="19" t="s">
        <v>1418</v>
      </c>
      <c r="H1028" s="19" t="s">
        <v>404</v>
      </c>
      <c r="I1028" s="19" t="s">
        <v>963</v>
      </c>
      <c r="J1028" s="19">
        <v>0</v>
      </c>
      <c r="K1028" s="19" t="s">
        <v>553</v>
      </c>
      <c r="L1028" s="19">
        <v>2025</v>
      </c>
      <c r="M1028" s="20">
        <v>1</v>
      </c>
      <c r="N1028" s="19" t="s">
        <v>1798</v>
      </c>
      <c r="O1028" s="20">
        <v>0</v>
      </c>
      <c r="P1028" s="20">
        <v>0</v>
      </c>
      <c r="Q1028" s="20">
        <v>0</v>
      </c>
      <c r="R1028" s="21">
        <v>0.87</v>
      </c>
      <c r="S1028" s="20">
        <v>0</v>
      </c>
    </row>
    <row r="1029" spans="2:19" ht="15" customHeight="1" x14ac:dyDescent="0.25">
      <c r="B1029" s="2" t="str">
        <f t="shared" si="30"/>
        <v>NSG_Residential_Multi-Family_Standard Rebate_Pipe Insulation_Steam X-Large Fitting_MF</v>
      </c>
      <c r="C1029" s="2" t="str">
        <f t="shared" si="31"/>
        <v>NSG_Residential_Multi-Family_Standard Rebate_Pipe Insulation_Steam X-Large Fitting_MF_2022</v>
      </c>
      <c r="D1029" s="19" t="s">
        <v>1787</v>
      </c>
      <c r="E1029" s="19" t="s">
        <v>2</v>
      </c>
      <c r="F1029" s="19" t="s">
        <v>1422</v>
      </c>
      <c r="G1029" s="19" t="s">
        <v>1418</v>
      </c>
      <c r="H1029" s="19" t="s">
        <v>404</v>
      </c>
      <c r="I1029" s="19" t="s">
        <v>964</v>
      </c>
      <c r="J1029" s="19">
        <v>0</v>
      </c>
      <c r="K1029" s="19" t="s">
        <v>553</v>
      </c>
      <c r="L1029" s="19">
        <v>2022</v>
      </c>
      <c r="M1029" s="20">
        <v>1</v>
      </c>
      <c r="N1029" s="19" t="s">
        <v>1798</v>
      </c>
      <c r="O1029" s="20">
        <v>0</v>
      </c>
      <c r="P1029" s="20">
        <v>0</v>
      </c>
      <c r="Q1029" s="20">
        <v>0</v>
      </c>
      <c r="R1029" s="21">
        <v>0.87</v>
      </c>
      <c r="S1029" s="20">
        <v>0</v>
      </c>
    </row>
    <row r="1030" spans="2:19" ht="15" customHeight="1" x14ac:dyDescent="0.25">
      <c r="B1030" s="2" t="str">
        <f t="shared" ref="B1030:B1093" si="32">D1030&amp;"_"&amp;E1030&amp;"_"&amp;F1030&amp;"_"&amp;G1030&amp;"_"&amp;H1030&amp;"_"&amp;I1030&amp;"_"&amp;K1030</f>
        <v>NSG_Residential_Multi-Family_Standard Rebate_Pipe Insulation_Steam X-Large Fitting_MF</v>
      </c>
      <c r="C1030" s="2" t="str">
        <f t="shared" ref="C1030:C1093" si="33">D1030&amp;"_"&amp;E1030&amp;"_"&amp;F1030&amp;"_"&amp;G1030&amp;"_"&amp;H1030&amp;"_"&amp;I1030&amp;"_"&amp;K1030&amp;"_"&amp;L1030</f>
        <v>NSG_Residential_Multi-Family_Standard Rebate_Pipe Insulation_Steam X-Large Fitting_MF_2023</v>
      </c>
      <c r="D1030" s="19" t="s">
        <v>1787</v>
      </c>
      <c r="E1030" s="19" t="s">
        <v>2</v>
      </c>
      <c r="F1030" s="19" t="s">
        <v>1422</v>
      </c>
      <c r="G1030" s="19" t="s">
        <v>1418</v>
      </c>
      <c r="H1030" s="19" t="s">
        <v>404</v>
      </c>
      <c r="I1030" s="19" t="s">
        <v>964</v>
      </c>
      <c r="J1030" s="19">
        <v>0</v>
      </c>
      <c r="K1030" s="19" t="s">
        <v>553</v>
      </c>
      <c r="L1030" s="19">
        <v>2023</v>
      </c>
      <c r="M1030" s="20">
        <v>1</v>
      </c>
      <c r="N1030" s="19" t="s">
        <v>1798</v>
      </c>
      <c r="O1030" s="20">
        <v>0</v>
      </c>
      <c r="P1030" s="20">
        <v>0</v>
      </c>
      <c r="Q1030" s="20">
        <v>0</v>
      </c>
      <c r="R1030" s="21">
        <v>0.87</v>
      </c>
      <c r="S1030" s="20">
        <v>0</v>
      </c>
    </row>
    <row r="1031" spans="2:19" ht="15" customHeight="1" x14ac:dyDescent="0.25">
      <c r="B1031" s="2" t="str">
        <f t="shared" si="32"/>
        <v>NSG_Residential_Multi-Family_Standard Rebate_Pipe Insulation_Steam X-Large Fitting_MF</v>
      </c>
      <c r="C1031" s="2" t="str">
        <f t="shared" si="33"/>
        <v>NSG_Residential_Multi-Family_Standard Rebate_Pipe Insulation_Steam X-Large Fitting_MF_2024</v>
      </c>
      <c r="D1031" s="19" t="s">
        <v>1787</v>
      </c>
      <c r="E1031" s="19" t="s">
        <v>2</v>
      </c>
      <c r="F1031" s="19" t="s">
        <v>1422</v>
      </c>
      <c r="G1031" s="19" t="s">
        <v>1418</v>
      </c>
      <c r="H1031" s="19" t="s">
        <v>404</v>
      </c>
      <c r="I1031" s="19" t="s">
        <v>964</v>
      </c>
      <c r="J1031" s="19">
        <v>0</v>
      </c>
      <c r="K1031" s="19" t="s">
        <v>553</v>
      </c>
      <c r="L1031" s="19">
        <v>2024</v>
      </c>
      <c r="M1031" s="20">
        <v>1</v>
      </c>
      <c r="N1031" s="19" t="s">
        <v>1798</v>
      </c>
      <c r="O1031" s="20">
        <v>0</v>
      </c>
      <c r="P1031" s="20">
        <v>0</v>
      </c>
      <c r="Q1031" s="20">
        <v>0</v>
      </c>
      <c r="R1031" s="21">
        <v>0.87</v>
      </c>
      <c r="S1031" s="20">
        <v>0</v>
      </c>
    </row>
    <row r="1032" spans="2:19" ht="15" customHeight="1" x14ac:dyDescent="0.25">
      <c r="B1032" s="2" t="str">
        <f t="shared" si="32"/>
        <v>NSG_Residential_Multi-Family_Standard Rebate_Pipe Insulation_Steam X-Large Fitting_MF</v>
      </c>
      <c r="C1032" s="2" t="str">
        <f t="shared" si="33"/>
        <v>NSG_Residential_Multi-Family_Standard Rebate_Pipe Insulation_Steam X-Large Fitting_MF_2025</v>
      </c>
      <c r="D1032" s="19" t="s">
        <v>1787</v>
      </c>
      <c r="E1032" s="19" t="s">
        <v>2</v>
      </c>
      <c r="F1032" s="19" t="s">
        <v>1422</v>
      </c>
      <c r="G1032" s="19" t="s">
        <v>1418</v>
      </c>
      <c r="H1032" s="19" t="s">
        <v>404</v>
      </c>
      <c r="I1032" s="19" t="s">
        <v>964</v>
      </c>
      <c r="J1032" s="19">
        <v>0</v>
      </c>
      <c r="K1032" s="19" t="s">
        <v>553</v>
      </c>
      <c r="L1032" s="19">
        <v>2025</v>
      </c>
      <c r="M1032" s="20">
        <v>1</v>
      </c>
      <c r="N1032" s="19" t="s">
        <v>1798</v>
      </c>
      <c r="O1032" s="20">
        <v>0</v>
      </c>
      <c r="P1032" s="20">
        <v>0</v>
      </c>
      <c r="Q1032" s="20">
        <v>0</v>
      </c>
      <c r="R1032" s="21">
        <v>0.87</v>
      </c>
      <c r="S1032" s="20">
        <v>0</v>
      </c>
    </row>
    <row r="1033" spans="2:19" ht="15" customHeight="1" x14ac:dyDescent="0.25">
      <c r="B1033" s="2" t="str">
        <f t="shared" si="32"/>
        <v>NSG_Residential_Multi-Family_Standard Rebate_Pipe Insulation_Steam Med Valve_MF</v>
      </c>
      <c r="C1033" s="2" t="str">
        <f t="shared" si="33"/>
        <v>NSG_Residential_Multi-Family_Standard Rebate_Pipe Insulation_Steam Med Valve_MF_2022</v>
      </c>
      <c r="D1033" s="19" t="s">
        <v>1787</v>
      </c>
      <c r="E1033" s="19" t="s">
        <v>2</v>
      </c>
      <c r="F1033" s="19" t="s">
        <v>1422</v>
      </c>
      <c r="G1033" s="19" t="s">
        <v>1418</v>
      </c>
      <c r="H1033" s="19" t="s">
        <v>404</v>
      </c>
      <c r="I1033" s="19" t="s">
        <v>966</v>
      </c>
      <c r="J1033" s="19">
        <v>0</v>
      </c>
      <c r="K1033" s="19" t="s">
        <v>553</v>
      </c>
      <c r="L1033" s="19">
        <v>2022</v>
      </c>
      <c r="M1033" s="20">
        <v>1</v>
      </c>
      <c r="N1033" s="19" t="s">
        <v>1798</v>
      </c>
      <c r="O1033" s="20">
        <v>0</v>
      </c>
      <c r="P1033" s="20">
        <v>0</v>
      </c>
      <c r="Q1033" s="20">
        <v>0</v>
      </c>
      <c r="R1033" s="21">
        <v>0.87</v>
      </c>
      <c r="S1033" s="20">
        <v>0</v>
      </c>
    </row>
    <row r="1034" spans="2:19" ht="15" customHeight="1" x14ac:dyDescent="0.25">
      <c r="B1034" s="2" t="str">
        <f t="shared" si="32"/>
        <v>NSG_Residential_Multi-Family_Standard Rebate_Pipe Insulation_Steam Med Valve_MF</v>
      </c>
      <c r="C1034" s="2" t="str">
        <f t="shared" si="33"/>
        <v>NSG_Residential_Multi-Family_Standard Rebate_Pipe Insulation_Steam Med Valve_MF_2023</v>
      </c>
      <c r="D1034" s="19" t="s">
        <v>1787</v>
      </c>
      <c r="E1034" s="19" t="s">
        <v>2</v>
      </c>
      <c r="F1034" s="19" t="s">
        <v>1422</v>
      </c>
      <c r="G1034" s="19" t="s">
        <v>1418</v>
      </c>
      <c r="H1034" s="19" t="s">
        <v>404</v>
      </c>
      <c r="I1034" s="19" t="s">
        <v>966</v>
      </c>
      <c r="J1034" s="19">
        <v>0</v>
      </c>
      <c r="K1034" s="19" t="s">
        <v>553</v>
      </c>
      <c r="L1034" s="19">
        <v>2023</v>
      </c>
      <c r="M1034" s="20">
        <v>1</v>
      </c>
      <c r="N1034" s="19" t="s">
        <v>1798</v>
      </c>
      <c r="O1034" s="20">
        <v>0</v>
      </c>
      <c r="P1034" s="20">
        <v>0</v>
      </c>
      <c r="Q1034" s="20">
        <v>0</v>
      </c>
      <c r="R1034" s="21">
        <v>0.87</v>
      </c>
      <c r="S1034" s="20">
        <v>0</v>
      </c>
    </row>
    <row r="1035" spans="2:19" ht="15" customHeight="1" x14ac:dyDescent="0.25">
      <c r="B1035" s="2" t="str">
        <f t="shared" si="32"/>
        <v>NSG_Residential_Multi-Family_Standard Rebate_Pipe Insulation_Steam Med Valve_MF</v>
      </c>
      <c r="C1035" s="2" t="str">
        <f t="shared" si="33"/>
        <v>NSG_Residential_Multi-Family_Standard Rebate_Pipe Insulation_Steam Med Valve_MF_2024</v>
      </c>
      <c r="D1035" s="19" t="s">
        <v>1787</v>
      </c>
      <c r="E1035" s="19" t="s">
        <v>2</v>
      </c>
      <c r="F1035" s="19" t="s">
        <v>1422</v>
      </c>
      <c r="G1035" s="19" t="s">
        <v>1418</v>
      </c>
      <c r="H1035" s="19" t="s">
        <v>404</v>
      </c>
      <c r="I1035" s="19" t="s">
        <v>966</v>
      </c>
      <c r="J1035" s="19">
        <v>0</v>
      </c>
      <c r="K1035" s="19" t="s">
        <v>553</v>
      </c>
      <c r="L1035" s="19">
        <v>2024</v>
      </c>
      <c r="M1035" s="20">
        <v>1</v>
      </c>
      <c r="N1035" s="19" t="s">
        <v>1798</v>
      </c>
      <c r="O1035" s="20">
        <v>0</v>
      </c>
      <c r="P1035" s="20">
        <v>0</v>
      </c>
      <c r="Q1035" s="20">
        <v>0</v>
      </c>
      <c r="R1035" s="21">
        <v>0.87</v>
      </c>
      <c r="S1035" s="20">
        <v>0</v>
      </c>
    </row>
    <row r="1036" spans="2:19" ht="15" customHeight="1" x14ac:dyDescent="0.25">
      <c r="B1036" s="2" t="str">
        <f t="shared" si="32"/>
        <v>NSG_Residential_Multi-Family_Standard Rebate_Pipe Insulation_Steam Med Valve_MF</v>
      </c>
      <c r="C1036" s="2" t="str">
        <f t="shared" si="33"/>
        <v>NSG_Residential_Multi-Family_Standard Rebate_Pipe Insulation_Steam Med Valve_MF_2025</v>
      </c>
      <c r="D1036" s="19" t="s">
        <v>1787</v>
      </c>
      <c r="E1036" s="19" t="s">
        <v>2</v>
      </c>
      <c r="F1036" s="19" t="s">
        <v>1422</v>
      </c>
      <c r="G1036" s="19" t="s">
        <v>1418</v>
      </c>
      <c r="H1036" s="19" t="s">
        <v>404</v>
      </c>
      <c r="I1036" s="19" t="s">
        <v>966</v>
      </c>
      <c r="J1036" s="19">
        <v>0</v>
      </c>
      <c r="K1036" s="19" t="s">
        <v>553</v>
      </c>
      <c r="L1036" s="19">
        <v>2025</v>
      </c>
      <c r="M1036" s="20">
        <v>1</v>
      </c>
      <c r="N1036" s="19" t="s">
        <v>1798</v>
      </c>
      <c r="O1036" s="20">
        <v>0</v>
      </c>
      <c r="P1036" s="20">
        <v>0</v>
      </c>
      <c r="Q1036" s="20">
        <v>0</v>
      </c>
      <c r="R1036" s="21">
        <v>0.87</v>
      </c>
      <c r="S1036" s="20">
        <v>0</v>
      </c>
    </row>
    <row r="1037" spans="2:19" ht="15" customHeight="1" x14ac:dyDescent="0.25">
      <c r="B1037" s="2" t="str">
        <f t="shared" si="32"/>
        <v>NSG_Residential_Multi-Family_Standard Rebate_Pipe Insulation_Steam Large Valve_MF</v>
      </c>
      <c r="C1037" s="2" t="str">
        <f t="shared" si="33"/>
        <v>NSG_Residential_Multi-Family_Standard Rebate_Pipe Insulation_Steam Large Valve_MF_2022</v>
      </c>
      <c r="D1037" s="19" t="s">
        <v>1787</v>
      </c>
      <c r="E1037" s="19" t="s">
        <v>2</v>
      </c>
      <c r="F1037" s="19" t="s">
        <v>1422</v>
      </c>
      <c r="G1037" s="19" t="s">
        <v>1418</v>
      </c>
      <c r="H1037" s="19" t="s">
        <v>404</v>
      </c>
      <c r="I1037" s="19" t="s">
        <v>967</v>
      </c>
      <c r="J1037" s="19">
        <v>0</v>
      </c>
      <c r="K1037" s="19" t="s">
        <v>553</v>
      </c>
      <c r="L1037" s="19">
        <v>2022</v>
      </c>
      <c r="M1037" s="20">
        <v>1</v>
      </c>
      <c r="N1037" s="19" t="s">
        <v>1798</v>
      </c>
      <c r="O1037" s="20">
        <v>0</v>
      </c>
      <c r="P1037" s="20">
        <v>0</v>
      </c>
      <c r="Q1037" s="20">
        <v>0</v>
      </c>
      <c r="R1037" s="21">
        <v>0.87</v>
      </c>
      <c r="S1037" s="20">
        <v>0</v>
      </c>
    </row>
    <row r="1038" spans="2:19" ht="15" customHeight="1" x14ac:dyDescent="0.25">
      <c r="B1038" s="2" t="str">
        <f t="shared" si="32"/>
        <v>NSG_Residential_Multi-Family_Standard Rebate_Pipe Insulation_Steam Large Valve_MF</v>
      </c>
      <c r="C1038" s="2" t="str">
        <f t="shared" si="33"/>
        <v>NSG_Residential_Multi-Family_Standard Rebate_Pipe Insulation_Steam Large Valve_MF_2023</v>
      </c>
      <c r="D1038" s="19" t="s">
        <v>1787</v>
      </c>
      <c r="E1038" s="19" t="s">
        <v>2</v>
      </c>
      <c r="F1038" s="19" t="s">
        <v>1422</v>
      </c>
      <c r="G1038" s="19" t="s">
        <v>1418</v>
      </c>
      <c r="H1038" s="19" t="s">
        <v>404</v>
      </c>
      <c r="I1038" s="19" t="s">
        <v>967</v>
      </c>
      <c r="J1038" s="19">
        <v>0</v>
      </c>
      <c r="K1038" s="19" t="s">
        <v>553</v>
      </c>
      <c r="L1038" s="19">
        <v>2023</v>
      </c>
      <c r="M1038" s="20">
        <v>1</v>
      </c>
      <c r="N1038" s="19" t="s">
        <v>1798</v>
      </c>
      <c r="O1038" s="20">
        <v>0</v>
      </c>
      <c r="P1038" s="20">
        <v>0</v>
      </c>
      <c r="Q1038" s="20">
        <v>0</v>
      </c>
      <c r="R1038" s="21">
        <v>0.87</v>
      </c>
      <c r="S1038" s="20">
        <v>0</v>
      </c>
    </row>
    <row r="1039" spans="2:19" ht="15" customHeight="1" x14ac:dyDescent="0.25">
      <c r="B1039" s="2" t="str">
        <f t="shared" si="32"/>
        <v>NSG_Residential_Multi-Family_Standard Rebate_Pipe Insulation_Steam Large Valve_MF</v>
      </c>
      <c r="C1039" s="2" t="str">
        <f t="shared" si="33"/>
        <v>NSG_Residential_Multi-Family_Standard Rebate_Pipe Insulation_Steam Large Valve_MF_2024</v>
      </c>
      <c r="D1039" s="19" t="s">
        <v>1787</v>
      </c>
      <c r="E1039" s="19" t="s">
        <v>2</v>
      </c>
      <c r="F1039" s="19" t="s">
        <v>1422</v>
      </c>
      <c r="G1039" s="19" t="s">
        <v>1418</v>
      </c>
      <c r="H1039" s="19" t="s">
        <v>404</v>
      </c>
      <c r="I1039" s="19" t="s">
        <v>967</v>
      </c>
      <c r="J1039" s="19">
        <v>0</v>
      </c>
      <c r="K1039" s="19" t="s">
        <v>553</v>
      </c>
      <c r="L1039" s="19">
        <v>2024</v>
      </c>
      <c r="M1039" s="20">
        <v>1</v>
      </c>
      <c r="N1039" s="19" t="s">
        <v>1798</v>
      </c>
      <c r="O1039" s="20">
        <v>0</v>
      </c>
      <c r="P1039" s="20">
        <v>0</v>
      </c>
      <c r="Q1039" s="20">
        <v>0</v>
      </c>
      <c r="R1039" s="21">
        <v>0.87</v>
      </c>
      <c r="S1039" s="20">
        <v>0</v>
      </c>
    </row>
    <row r="1040" spans="2:19" ht="15" customHeight="1" x14ac:dyDescent="0.25">
      <c r="B1040" s="2" t="str">
        <f t="shared" si="32"/>
        <v>NSG_Residential_Multi-Family_Standard Rebate_Pipe Insulation_Steam Large Valve_MF</v>
      </c>
      <c r="C1040" s="2" t="str">
        <f t="shared" si="33"/>
        <v>NSG_Residential_Multi-Family_Standard Rebate_Pipe Insulation_Steam Large Valve_MF_2025</v>
      </c>
      <c r="D1040" s="19" t="s">
        <v>1787</v>
      </c>
      <c r="E1040" s="19" t="s">
        <v>2</v>
      </c>
      <c r="F1040" s="19" t="s">
        <v>1422</v>
      </c>
      <c r="G1040" s="19" t="s">
        <v>1418</v>
      </c>
      <c r="H1040" s="19" t="s">
        <v>404</v>
      </c>
      <c r="I1040" s="19" t="s">
        <v>967</v>
      </c>
      <c r="J1040" s="19">
        <v>0</v>
      </c>
      <c r="K1040" s="19" t="s">
        <v>553</v>
      </c>
      <c r="L1040" s="19">
        <v>2025</v>
      </c>
      <c r="M1040" s="20">
        <v>1</v>
      </c>
      <c r="N1040" s="19" t="s">
        <v>1798</v>
      </c>
      <c r="O1040" s="20">
        <v>0</v>
      </c>
      <c r="P1040" s="20">
        <v>0</v>
      </c>
      <c r="Q1040" s="20">
        <v>0</v>
      </c>
      <c r="R1040" s="21">
        <v>0.87</v>
      </c>
      <c r="S1040" s="20">
        <v>0</v>
      </c>
    </row>
    <row r="1041" spans="2:19" ht="15" customHeight="1" x14ac:dyDescent="0.25">
      <c r="B1041" s="2" t="str">
        <f t="shared" si="32"/>
        <v>NSG_Residential_Multi-Family_Standard Rebate_Pipe Insulation_Steam X-Large Valve_MF</v>
      </c>
      <c r="C1041" s="2" t="str">
        <f t="shared" si="33"/>
        <v>NSG_Residential_Multi-Family_Standard Rebate_Pipe Insulation_Steam X-Large Valve_MF_2022</v>
      </c>
      <c r="D1041" s="19" t="s">
        <v>1787</v>
      </c>
      <c r="E1041" s="19" t="s">
        <v>2</v>
      </c>
      <c r="F1041" s="19" t="s">
        <v>1422</v>
      </c>
      <c r="G1041" s="19" t="s">
        <v>1418</v>
      </c>
      <c r="H1041" s="19" t="s">
        <v>404</v>
      </c>
      <c r="I1041" s="19" t="s">
        <v>968</v>
      </c>
      <c r="J1041" s="19">
        <v>0</v>
      </c>
      <c r="K1041" s="19" t="s">
        <v>553</v>
      </c>
      <c r="L1041" s="19">
        <v>2022</v>
      </c>
      <c r="M1041" s="20">
        <v>1</v>
      </c>
      <c r="N1041" s="19" t="s">
        <v>1798</v>
      </c>
      <c r="O1041" s="20">
        <v>0</v>
      </c>
      <c r="P1041" s="20">
        <v>0</v>
      </c>
      <c r="Q1041" s="20">
        <v>0</v>
      </c>
      <c r="R1041" s="21">
        <v>0.87</v>
      </c>
      <c r="S1041" s="20">
        <v>0</v>
      </c>
    </row>
    <row r="1042" spans="2:19" ht="15" customHeight="1" x14ac:dyDescent="0.25">
      <c r="B1042" s="2" t="str">
        <f t="shared" si="32"/>
        <v>NSG_Residential_Multi-Family_Standard Rebate_Pipe Insulation_Steam X-Large Valve_MF</v>
      </c>
      <c r="C1042" s="2" t="str">
        <f t="shared" si="33"/>
        <v>NSG_Residential_Multi-Family_Standard Rebate_Pipe Insulation_Steam X-Large Valve_MF_2023</v>
      </c>
      <c r="D1042" s="19" t="s">
        <v>1787</v>
      </c>
      <c r="E1042" s="19" t="s">
        <v>2</v>
      </c>
      <c r="F1042" s="19" t="s">
        <v>1422</v>
      </c>
      <c r="G1042" s="19" t="s">
        <v>1418</v>
      </c>
      <c r="H1042" s="19" t="s">
        <v>404</v>
      </c>
      <c r="I1042" s="19" t="s">
        <v>968</v>
      </c>
      <c r="J1042" s="19">
        <v>0</v>
      </c>
      <c r="K1042" s="19" t="s">
        <v>553</v>
      </c>
      <c r="L1042" s="19">
        <v>2023</v>
      </c>
      <c r="M1042" s="20">
        <v>1</v>
      </c>
      <c r="N1042" s="19" t="s">
        <v>1798</v>
      </c>
      <c r="O1042" s="20">
        <v>0</v>
      </c>
      <c r="P1042" s="20">
        <v>0</v>
      </c>
      <c r="Q1042" s="20">
        <v>0</v>
      </c>
      <c r="R1042" s="21">
        <v>0.87</v>
      </c>
      <c r="S1042" s="20">
        <v>0</v>
      </c>
    </row>
    <row r="1043" spans="2:19" ht="15" customHeight="1" x14ac:dyDescent="0.25">
      <c r="B1043" s="2" t="str">
        <f t="shared" si="32"/>
        <v>NSG_Residential_Multi-Family_Standard Rebate_Pipe Insulation_Steam X-Large Valve_MF</v>
      </c>
      <c r="C1043" s="2" t="str">
        <f t="shared" si="33"/>
        <v>NSG_Residential_Multi-Family_Standard Rebate_Pipe Insulation_Steam X-Large Valve_MF_2024</v>
      </c>
      <c r="D1043" s="19" t="s">
        <v>1787</v>
      </c>
      <c r="E1043" s="19" t="s">
        <v>2</v>
      </c>
      <c r="F1043" s="19" t="s">
        <v>1422</v>
      </c>
      <c r="G1043" s="19" t="s">
        <v>1418</v>
      </c>
      <c r="H1043" s="19" t="s">
        <v>404</v>
      </c>
      <c r="I1043" s="19" t="s">
        <v>968</v>
      </c>
      <c r="J1043" s="19">
        <v>0</v>
      </c>
      <c r="K1043" s="19" t="s">
        <v>553</v>
      </c>
      <c r="L1043" s="19">
        <v>2024</v>
      </c>
      <c r="M1043" s="20">
        <v>1</v>
      </c>
      <c r="N1043" s="19" t="s">
        <v>1798</v>
      </c>
      <c r="O1043" s="20">
        <v>0</v>
      </c>
      <c r="P1043" s="20">
        <v>0</v>
      </c>
      <c r="Q1043" s="20">
        <v>0</v>
      </c>
      <c r="R1043" s="21">
        <v>0.87</v>
      </c>
      <c r="S1043" s="20">
        <v>0</v>
      </c>
    </row>
    <row r="1044" spans="2:19" ht="15" customHeight="1" x14ac:dyDescent="0.25">
      <c r="B1044" s="2" t="str">
        <f t="shared" si="32"/>
        <v>NSG_Residential_Multi-Family_Standard Rebate_Pipe Insulation_Steam X-Large Valve_MF</v>
      </c>
      <c r="C1044" s="2" t="str">
        <f t="shared" si="33"/>
        <v>NSG_Residential_Multi-Family_Standard Rebate_Pipe Insulation_Steam X-Large Valve_MF_2025</v>
      </c>
      <c r="D1044" s="19" t="s">
        <v>1787</v>
      </c>
      <c r="E1044" s="19" t="s">
        <v>2</v>
      </c>
      <c r="F1044" s="19" t="s">
        <v>1422</v>
      </c>
      <c r="G1044" s="19" t="s">
        <v>1418</v>
      </c>
      <c r="H1044" s="19" t="s">
        <v>404</v>
      </c>
      <c r="I1044" s="19" t="s">
        <v>968</v>
      </c>
      <c r="J1044" s="19">
        <v>0</v>
      </c>
      <c r="K1044" s="19" t="s">
        <v>553</v>
      </c>
      <c r="L1044" s="19">
        <v>2025</v>
      </c>
      <c r="M1044" s="20">
        <v>1</v>
      </c>
      <c r="N1044" s="19" t="s">
        <v>1798</v>
      </c>
      <c r="O1044" s="20">
        <v>0</v>
      </c>
      <c r="P1044" s="20">
        <v>0</v>
      </c>
      <c r="Q1044" s="20">
        <v>0</v>
      </c>
      <c r="R1044" s="21">
        <v>0.87</v>
      </c>
      <c r="S1044" s="20">
        <v>0</v>
      </c>
    </row>
    <row r="1045" spans="2:19" ht="15" customHeight="1" x14ac:dyDescent="0.25">
      <c r="B1045" s="2" t="str">
        <f t="shared" si="32"/>
        <v>NSG_Residential_Multi-Family_Standard Rebate_Steam Boiler_ &gt;=1500MBH, &gt;=82% TE_MF</v>
      </c>
      <c r="C1045" s="2" t="str">
        <f t="shared" si="33"/>
        <v>NSG_Residential_Multi-Family_Standard Rebate_Steam Boiler_ &gt;=1500MBH, &gt;=82% TE_MF_2022</v>
      </c>
      <c r="D1045" s="19" t="s">
        <v>1787</v>
      </c>
      <c r="E1045" s="19" t="s">
        <v>2</v>
      </c>
      <c r="F1045" s="19" t="s">
        <v>1422</v>
      </c>
      <c r="G1045" s="19" t="s">
        <v>1418</v>
      </c>
      <c r="H1045" s="19" t="s">
        <v>938</v>
      </c>
      <c r="I1045" s="19" t="s">
        <v>939</v>
      </c>
      <c r="J1045" s="19" t="s">
        <v>942</v>
      </c>
      <c r="K1045" s="19" t="s">
        <v>553</v>
      </c>
      <c r="L1045" s="19">
        <v>2022</v>
      </c>
      <c r="M1045" s="20">
        <v>1500</v>
      </c>
      <c r="N1045" s="19" t="s">
        <v>667</v>
      </c>
      <c r="O1045" s="20">
        <v>0</v>
      </c>
      <c r="P1045" s="20">
        <v>0</v>
      </c>
      <c r="Q1045" s="20">
        <v>0</v>
      </c>
      <c r="R1045" s="21">
        <v>0.87</v>
      </c>
      <c r="S1045" s="20">
        <v>0</v>
      </c>
    </row>
    <row r="1046" spans="2:19" ht="15" customHeight="1" x14ac:dyDescent="0.25">
      <c r="B1046" s="2" t="str">
        <f t="shared" si="32"/>
        <v>NSG_Residential_Multi-Family_Standard Rebate_Steam Boiler_ &gt;=1500MBH, &gt;=82% TE_MF</v>
      </c>
      <c r="C1046" s="2" t="str">
        <f t="shared" si="33"/>
        <v>NSG_Residential_Multi-Family_Standard Rebate_Steam Boiler_ &gt;=1500MBH, &gt;=82% TE_MF_2023</v>
      </c>
      <c r="D1046" s="19" t="s">
        <v>1787</v>
      </c>
      <c r="E1046" s="19" t="s">
        <v>2</v>
      </c>
      <c r="F1046" s="19" t="s">
        <v>1422</v>
      </c>
      <c r="G1046" s="19" t="s">
        <v>1418</v>
      </c>
      <c r="H1046" s="19" t="s">
        <v>938</v>
      </c>
      <c r="I1046" s="19" t="s">
        <v>939</v>
      </c>
      <c r="J1046" s="19" t="s">
        <v>942</v>
      </c>
      <c r="K1046" s="19" t="s">
        <v>553</v>
      </c>
      <c r="L1046" s="19">
        <v>2023</v>
      </c>
      <c r="M1046" s="20">
        <v>1500</v>
      </c>
      <c r="N1046" s="19" t="s">
        <v>667</v>
      </c>
      <c r="O1046" s="20">
        <v>0</v>
      </c>
      <c r="P1046" s="20">
        <v>0</v>
      </c>
      <c r="Q1046" s="20">
        <v>0</v>
      </c>
      <c r="R1046" s="21">
        <v>0.87</v>
      </c>
      <c r="S1046" s="20">
        <v>0</v>
      </c>
    </row>
    <row r="1047" spans="2:19" ht="15" customHeight="1" x14ac:dyDescent="0.25">
      <c r="B1047" s="2" t="str">
        <f t="shared" si="32"/>
        <v>NSG_Residential_Multi-Family_Standard Rebate_Steam Boiler_ &gt;=1500MBH, &gt;=82% TE_MF</v>
      </c>
      <c r="C1047" s="2" t="str">
        <f t="shared" si="33"/>
        <v>NSG_Residential_Multi-Family_Standard Rebate_Steam Boiler_ &gt;=1500MBH, &gt;=82% TE_MF_2024</v>
      </c>
      <c r="D1047" s="19" t="s">
        <v>1787</v>
      </c>
      <c r="E1047" s="19" t="s">
        <v>2</v>
      </c>
      <c r="F1047" s="19" t="s">
        <v>1422</v>
      </c>
      <c r="G1047" s="19" t="s">
        <v>1418</v>
      </c>
      <c r="H1047" s="19" t="s">
        <v>938</v>
      </c>
      <c r="I1047" s="19" t="s">
        <v>939</v>
      </c>
      <c r="J1047" s="19" t="s">
        <v>942</v>
      </c>
      <c r="K1047" s="19" t="s">
        <v>553</v>
      </c>
      <c r="L1047" s="19">
        <v>2024</v>
      </c>
      <c r="M1047" s="20">
        <v>1500</v>
      </c>
      <c r="N1047" s="19" t="s">
        <v>667</v>
      </c>
      <c r="O1047" s="20">
        <v>0</v>
      </c>
      <c r="P1047" s="20">
        <v>0</v>
      </c>
      <c r="Q1047" s="20">
        <v>0</v>
      </c>
      <c r="R1047" s="21">
        <v>0.87</v>
      </c>
      <c r="S1047" s="20">
        <v>0</v>
      </c>
    </row>
    <row r="1048" spans="2:19" ht="15" customHeight="1" x14ac:dyDescent="0.25">
      <c r="B1048" s="2" t="str">
        <f t="shared" si="32"/>
        <v>NSG_Residential_Multi-Family_Standard Rebate_Steam Boiler_ &gt;=1500MBH, &gt;=82% TE_MF</v>
      </c>
      <c r="C1048" s="2" t="str">
        <f t="shared" si="33"/>
        <v>NSG_Residential_Multi-Family_Standard Rebate_Steam Boiler_ &gt;=1500MBH, &gt;=82% TE_MF_2025</v>
      </c>
      <c r="D1048" s="19" t="s">
        <v>1787</v>
      </c>
      <c r="E1048" s="19" t="s">
        <v>2</v>
      </c>
      <c r="F1048" s="19" t="s">
        <v>1422</v>
      </c>
      <c r="G1048" s="19" t="s">
        <v>1418</v>
      </c>
      <c r="H1048" s="19" t="s">
        <v>938</v>
      </c>
      <c r="I1048" s="19" t="s">
        <v>939</v>
      </c>
      <c r="J1048" s="19" t="s">
        <v>942</v>
      </c>
      <c r="K1048" s="19" t="s">
        <v>553</v>
      </c>
      <c r="L1048" s="19">
        <v>2025</v>
      </c>
      <c r="M1048" s="20">
        <v>1500</v>
      </c>
      <c r="N1048" s="19" t="s">
        <v>667</v>
      </c>
      <c r="O1048" s="20">
        <v>0</v>
      </c>
      <c r="P1048" s="20">
        <v>0</v>
      </c>
      <c r="Q1048" s="20">
        <v>0</v>
      </c>
      <c r="R1048" s="21">
        <v>0.87</v>
      </c>
      <c r="S1048" s="20">
        <v>0</v>
      </c>
    </row>
    <row r="1049" spans="2:19" ht="15" customHeight="1" x14ac:dyDescent="0.25">
      <c r="B1049" s="2" t="str">
        <f t="shared" si="32"/>
        <v>NSG_Residential_Multi-Family_Standard Rebate_Steam Boiler_&gt;=300MBH, &lt;1,500, &gt;=81% AFUE_MF</v>
      </c>
      <c r="C1049" s="2" t="str">
        <f t="shared" si="33"/>
        <v>NSG_Residential_Multi-Family_Standard Rebate_Steam Boiler_&gt;=300MBH, &lt;1,500, &gt;=81% AFUE_MF_2022</v>
      </c>
      <c r="D1049" s="19" t="s">
        <v>1787</v>
      </c>
      <c r="E1049" s="19" t="s">
        <v>2</v>
      </c>
      <c r="F1049" s="19" t="s">
        <v>1422</v>
      </c>
      <c r="G1049" s="19" t="s">
        <v>1418</v>
      </c>
      <c r="H1049" s="19" t="s">
        <v>938</v>
      </c>
      <c r="I1049" s="19" t="s">
        <v>1300</v>
      </c>
      <c r="J1049" s="19" t="s">
        <v>942</v>
      </c>
      <c r="K1049" s="19" t="s">
        <v>553</v>
      </c>
      <c r="L1049" s="19">
        <v>2022</v>
      </c>
      <c r="M1049" s="20">
        <v>500</v>
      </c>
      <c r="N1049" s="19" t="s">
        <v>667</v>
      </c>
      <c r="O1049" s="20">
        <v>0</v>
      </c>
      <c r="P1049" s="20">
        <v>0</v>
      </c>
      <c r="Q1049" s="20">
        <v>0</v>
      </c>
      <c r="R1049" s="21">
        <v>0.87</v>
      </c>
      <c r="S1049" s="20">
        <v>0</v>
      </c>
    </row>
    <row r="1050" spans="2:19" ht="15" customHeight="1" x14ac:dyDescent="0.25">
      <c r="B1050" s="2" t="str">
        <f t="shared" si="32"/>
        <v>NSG_Residential_Multi-Family_Standard Rebate_Steam Boiler_&gt;=300MBH, &lt;1,500, &gt;=81% AFUE_MF</v>
      </c>
      <c r="C1050" s="2" t="str">
        <f t="shared" si="33"/>
        <v>NSG_Residential_Multi-Family_Standard Rebate_Steam Boiler_&gt;=300MBH, &lt;1,500, &gt;=81% AFUE_MF_2023</v>
      </c>
      <c r="D1050" s="19" t="s">
        <v>1787</v>
      </c>
      <c r="E1050" s="19" t="s">
        <v>2</v>
      </c>
      <c r="F1050" s="19" t="s">
        <v>1422</v>
      </c>
      <c r="G1050" s="19" t="s">
        <v>1418</v>
      </c>
      <c r="H1050" s="19" t="s">
        <v>938</v>
      </c>
      <c r="I1050" s="19" t="s">
        <v>1300</v>
      </c>
      <c r="J1050" s="19" t="s">
        <v>942</v>
      </c>
      <c r="K1050" s="19" t="s">
        <v>553</v>
      </c>
      <c r="L1050" s="19">
        <v>2023</v>
      </c>
      <c r="M1050" s="20">
        <v>500</v>
      </c>
      <c r="N1050" s="19" t="s">
        <v>667</v>
      </c>
      <c r="O1050" s="20">
        <v>0</v>
      </c>
      <c r="P1050" s="20">
        <v>0</v>
      </c>
      <c r="Q1050" s="20">
        <v>0</v>
      </c>
      <c r="R1050" s="21">
        <v>0.87</v>
      </c>
      <c r="S1050" s="20">
        <v>0</v>
      </c>
    </row>
    <row r="1051" spans="2:19" ht="15" customHeight="1" x14ac:dyDescent="0.25">
      <c r="B1051" s="2" t="str">
        <f t="shared" si="32"/>
        <v>NSG_Residential_Multi-Family_Standard Rebate_Steam Boiler_&gt;=300MBH, &lt;1,500, &gt;=81% AFUE_MF</v>
      </c>
      <c r="C1051" s="2" t="str">
        <f t="shared" si="33"/>
        <v>NSG_Residential_Multi-Family_Standard Rebate_Steam Boiler_&gt;=300MBH, &lt;1,500, &gt;=81% AFUE_MF_2024</v>
      </c>
      <c r="D1051" s="19" t="s">
        <v>1787</v>
      </c>
      <c r="E1051" s="19" t="s">
        <v>2</v>
      </c>
      <c r="F1051" s="19" t="s">
        <v>1422</v>
      </c>
      <c r="G1051" s="19" t="s">
        <v>1418</v>
      </c>
      <c r="H1051" s="19" t="s">
        <v>938</v>
      </c>
      <c r="I1051" s="19" t="s">
        <v>1300</v>
      </c>
      <c r="J1051" s="19" t="s">
        <v>942</v>
      </c>
      <c r="K1051" s="19" t="s">
        <v>553</v>
      </c>
      <c r="L1051" s="19">
        <v>2024</v>
      </c>
      <c r="M1051" s="20">
        <v>500</v>
      </c>
      <c r="N1051" s="19" t="s">
        <v>667</v>
      </c>
      <c r="O1051" s="20">
        <v>0</v>
      </c>
      <c r="P1051" s="20">
        <v>0</v>
      </c>
      <c r="Q1051" s="20">
        <v>0</v>
      </c>
      <c r="R1051" s="21">
        <v>0.87</v>
      </c>
      <c r="S1051" s="20">
        <v>0</v>
      </c>
    </row>
    <row r="1052" spans="2:19" ht="15" customHeight="1" x14ac:dyDescent="0.25">
      <c r="B1052" s="2" t="str">
        <f t="shared" si="32"/>
        <v>NSG_Residential_Multi-Family_Standard Rebate_Steam Boiler_&gt;=300MBH, &lt;1,500, &gt;=81% AFUE_MF</v>
      </c>
      <c r="C1052" s="2" t="str">
        <f t="shared" si="33"/>
        <v>NSG_Residential_Multi-Family_Standard Rebate_Steam Boiler_&gt;=300MBH, &lt;1,500, &gt;=81% AFUE_MF_2025</v>
      </c>
      <c r="D1052" s="19" t="s">
        <v>1787</v>
      </c>
      <c r="E1052" s="19" t="s">
        <v>2</v>
      </c>
      <c r="F1052" s="19" t="s">
        <v>1422</v>
      </c>
      <c r="G1052" s="19" t="s">
        <v>1418</v>
      </c>
      <c r="H1052" s="19" t="s">
        <v>938</v>
      </c>
      <c r="I1052" s="19" t="s">
        <v>1300</v>
      </c>
      <c r="J1052" s="19" t="s">
        <v>942</v>
      </c>
      <c r="K1052" s="19" t="s">
        <v>553</v>
      </c>
      <c r="L1052" s="19">
        <v>2025</v>
      </c>
      <c r="M1052" s="20">
        <v>500</v>
      </c>
      <c r="N1052" s="19" t="s">
        <v>667</v>
      </c>
      <c r="O1052" s="20">
        <v>0</v>
      </c>
      <c r="P1052" s="20">
        <v>0</v>
      </c>
      <c r="Q1052" s="20">
        <v>0</v>
      </c>
      <c r="R1052" s="21">
        <v>0.87</v>
      </c>
      <c r="S1052" s="20">
        <v>0</v>
      </c>
    </row>
    <row r="1053" spans="2:19" ht="15" customHeight="1" x14ac:dyDescent="0.25">
      <c r="B1053" s="2" t="str">
        <f t="shared" si="32"/>
        <v>NSG_Residential_Multi-Family_Standard Rebate_Steam Boiler Averaging Controls_0_MF</v>
      </c>
      <c r="C1053" s="2" t="str">
        <f t="shared" si="33"/>
        <v>NSG_Residential_Multi-Family_Standard Rebate_Steam Boiler Averaging Controls_0_MF_2022</v>
      </c>
      <c r="D1053" s="19" t="s">
        <v>1787</v>
      </c>
      <c r="E1053" s="19" t="s">
        <v>2</v>
      </c>
      <c r="F1053" s="19" t="s">
        <v>1422</v>
      </c>
      <c r="G1053" s="19" t="s">
        <v>1418</v>
      </c>
      <c r="H1053" s="19" t="s">
        <v>934</v>
      </c>
      <c r="I1053" s="19">
        <v>0</v>
      </c>
      <c r="J1053" s="19" t="s">
        <v>937</v>
      </c>
      <c r="K1053" s="19" t="s">
        <v>553</v>
      </c>
      <c r="L1053" s="19">
        <v>2022</v>
      </c>
      <c r="M1053" s="20">
        <v>1</v>
      </c>
      <c r="N1053" s="19" t="s">
        <v>1798</v>
      </c>
      <c r="O1053" s="20">
        <v>2</v>
      </c>
      <c r="P1053" s="20">
        <v>2</v>
      </c>
      <c r="Q1053" s="20">
        <v>144.50700000000001</v>
      </c>
      <c r="R1053" s="21">
        <v>0.87</v>
      </c>
      <c r="S1053" s="20">
        <v>144.50700000000001</v>
      </c>
    </row>
    <row r="1054" spans="2:19" ht="15" customHeight="1" x14ac:dyDescent="0.25">
      <c r="B1054" s="2" t="str">
        <f t="shared" si="32"/>
        <v>NSG_Residential_Multi-Family_Standard Rebate_Steam Boiler Averaging Controls_0_MF</v>
      </c>
      <c r="C1054" s="2" t="str">
        <f t="shared" si="33"/>
        <v>NSG_Residential_Multi-Family_Standard Rebate_Steam Boiler Averaging Controls_0_MF_2023</v>
      </c>
      <c r="D1054" s="19" t="s">
        <v>1787</v>
      </c>
      <c r="E1054" s="19" t="s">
        <v>2</v>
      </c>
      <c r="F1054" s="19" t="s">
        <v>1422</v>
      </c>
      <c r="G1054" s="19" t="s">
        <v>1418</v>
      </c>
      <c r="H1054" s="19" t="s">
        <v>934</v>
      </c>
      <c r="I1054" s="19">
        <v>0</v>
      </c>
      <c r="J1054" s="19" t="s">
        <v>937</v>
      </c>
      <c r="K1054" s="19" t="s">
        <v>553</v>
      </c>
      <c r="L1054" s="19">
        <v>2023</v>
      </c>
      <c r="M1054" s="20">
        <v>1</v>
      </c>
      <c r="N1054" s="19" t="s">
        <v>1798</v>
      </c>
      <c r="O1054" s="20">
        <v>2</v>
      </c>
      <c r="P1054" s="20">
        <v>2</v>
      </c>
      <c r="Q1054" s="20">
        <v>144.50700000000001</v>
      </c>
      <c r="R1054" s="21">
        <v>0.87</v>
      </c>
      <c r="S1054" s="20">
        <v>144.50700000000001</v>
      </c>
    </row>
    <row r="1055" spans="2:19" ht="15" customHeight="1" x14ac:dyDescent="0.25">
      <c r="B1055" s="2" t="str">
        <f t="shared" si="32"/>
        <v>NSG_Residential_Multi-Family_Standard Rebate_Steam Boiler Averaging Controls_0_MF</v>
      </c>
      <c r="C1055" s="2" t="str">
        <f t="shared" si="33"/>
        <v>NSG_Residential_Multi-Family_Standard Rebate_Steam Boiler Averaging Controls_0_MF_2024</v>
      </c>
      <c r="D1055" s="19" t="s">
        <v>1787</v>
      </c>
      <c r="E1055" s="19" t="s">
        <v>2</v>
      </c>
      <c r="F1055" s="19" t="s">
        <v>1422</v>
      </c>
      <c r="G1055" s="19" t="s">
        <v>1418</v>
      </c>
      <c r="H1055" s="19" t="s">
        <v>934</v>
      </c>
      <c r="I1055" s="19">
        <v>0</v>
      </c>
      <c r="J1055" s="19" t="s">
        <v>937</v>
      </c>
      <c r="K1055" s="19" t="s">
        <v>553</v>
      </c>
      <c r="L1055" s="19">
        <v>2024</v>
      </c>
      <c r="M1055" s="20">
        <v>1</v>
      </c>
      <c r="N1055" s="19" t="s">
        <v>1798</v>
      </c>
      <c r="O1055" s="20">
        <v>2</v>
      </c>
      <c r="P1055" s="20">
        <v>2</v>
      </c>
      <c r="Q1055" s="20">
        <v>144.50700000000001</v>
      </c>
      <c r="R1055" s="21">
        <v>0.87</v>
      </c>
      <c r="S1055" s="20">
        <v>144.50700000000001</v>
      </c>
    </row>
    <row r="1056" spans="2:19" ht="15" customHeight="1" x14ac:dyDescent="0.25">
      <c r="B1056" s="2" t="str">
        <f t="shared" si="32"/>
        <v>NSG_Residential_Multi-Family_Standard Rebate_Steam Boiler Averaging Controls_0_MF</v>
      </c>
      <c r="C1056" s="2" t="str">
        <f t="shared" si="33"/>
        <v>NSG_Residential_Multi-Family_Standard Rebate_Steam Boiler Averaging Controls_0_MF_2025</v>
      </c>
      <c r="D1056" s="19" t="s">
        <v>1787</v>
      </c>
      <c r="E1056" s="19" t="s">
        <v>2</v>
      </c>
      <c r="F1056" s="19" t="s">
        <v>1422</v>
      </c>
      <c r="G1056" s="19" t="s">
        <v>1418</v>
      </c>
      <c r="H1056" s="19" t="s">
        <v>934</v>
      </c>
      <c r="I1056" s="19">
        <v>0</v>
      </c>
      <c r="J1056" s="19" t="s">
        <v>937</v>
      </c>
      <c r="K1056" s="19" t="s">
        <v>553</v>
      </c>
      <c r="L1056" s="19">
        <v>2025</v>
      </c>
      <c r="M1056" s="20">
        <v>1</v>
      </c>
      <c r="N1056" s="19" t="s">
        <v>1798</v>
      </c>
      <c r="O1056" s="20">
        <v>2</v>
      </c>
      <c r="P1056" s="20">
        <v>2</v>
      </c>
      <c r="Q1056" s="20">
        <v>144.50700000000001</v>
      </c>
      <c r="R1056" s="21">
        <v>0.87</v>
      </c>
      <c r="S1056" s="20">
        <v>144.50700000000001</v>
      </c>
    </row>
    <row r="1057" spans="2:19" ht="15" customHeight="1" x14ac:dyDescent="0.25">
      <c r="B1057" s="2" t="str">
        <f t="shared" si="32"/>
        <v>NSG_Residential_Multi-Family_Standard Rebate_Steam Traps_HVAC Repair/Rep - Audit_MF</v>
      </c>
      <c r="C1057" s="2" t="str">
        <f t="shared" si="33"/>
        <v>NSG_Residential_Multi-Family_Standard Rebate_Steam Traps_HVAC Repair/Rep - Audit_MF_2022</v>
      </c>
      <c r="D1057" s="19" t="s">
        <v>1787</v>
      </c>
      <c r="E1057" s="19" t="s">
        <v>2</v>
      </c>
      <c r="F1057" s="19" t="s">
        <v>1422</v>
      </c>
      <c r="G1057" s="19" t="s">
        <v>1418</v>
      </c>
      <c r="H1057" s="19" t="s">
        <v>644</v>
      </c>
      <c r="I1057" s="19" t="s">
        <v>645</v>
      </c>
      <c r="J1057" s="19" t="s">
        <v>37</v>
      </c>
      <c r="K1057" s="19" t="s">
        <v>553</v>
      </c>
      <c r="L1057" s="19">
        <v>2022</v>
      </c>
      <c r="M1057" s="20">
        <v>1</v>
      </c>
      <c r="N1057" s="19" t="s">
        <v>1798</v>
      </c>
      <c r="O1057" s="20">
        <v>3</v>
      </c>
      <c r="P1057" s="20">
        <v>3</v>
      </c>
      <c r="Q1057" s="20">
        <v>412.93421961887299</v>
      </c>
      <c r="R1057" s="21">
        <v>0.87</v>
      </c>
      <c r="S1057" s="20">
        <v>412.93421961887299</v>
      </c>
    </row>
    <row r="1058" spans="2:19" ht="15" customHeight="1" x14ac:dyDescent="0.25">
      <c r="B1058" s="2" t="str">
        <f t="shared" si="32"/>
        <v>NSG_Residential_Multi-Family_Standard Rebate_Steam Traps_HVAC Repair/Rep - Audit_MF</v>
      </c>
      <c r="C1058" s="2" t="str">
        <f t="shared" si="33"/>
        <v>NSG_Residential_Multi-Family_Standard Rebate_Steam Traps_HVAC Repair/Rep - Audit_MF_2023</v>
      </c>
      <c r="D1058" s="19" t="s">
        <v>1787</v>
      </c>
      <c r="E1058" s="19" t="s">
        <v>2</v>
      </c>
      <c r="F1058" s="19" t="s">
        <v>1422</v>
      </c>
      <c r="G1058" s="19" t="s">
        <v>1418</v>
      </c>
      <c r="H1058" s="19" t="s">
        <v>644</v>
      </c>
      <c r="I1058" s="19" t="s">
        <v>645</v>
      </c>
      <c r="J1058" s="19" t="s">
        <v>37</v>
      </c>
      <c r="K1058" s="19" t="s">
        <v>553</v>
      </c>
      <c r="L1058" s="19">
        <v>2023</v>
      </c>
      <c r="M1058" s="20">
        <v>1</v>
      </c>
      <c r="N1058" s="19" t="s">
        <v>1798</v>
      </c>
      <c r="O1058" s="20">
        <v>3</v>
      </c>
      <c r="P1058" s="20">
        <v>3</v>
      </c>
      <c r="Q1058" s="20">
        <v>412.93421961887299</v>
      </c>
      <c r="R1058" s="21">
        <v>0.87</v>
      </c>
      <c r="S1058" s="20">
        <v>412.93421961887299</v>
      </c>
    </row>
    <row r="1059" spans="2:19" ht="15" customHeight="1" x14ac:dyDescent="0.25">
      <c r="B1059" s="2" t="str">
        <f t="shared" si="32"/>
        <v>NSG_Residential_Multi-Family_Standard Rebate_Steam Traps_HVAC Repair/Rep - Audit_MF</v>
      </c>
      <c r="C1059" s="2" t="str">
        <f t="shared" si="33"/>
        <v>NSG_Residential_Multi-Family_Standard Rebate_Steam Traps_HVAC Repair/Rep - Audit_MF_2024</v>
      </c>
      <c r="D1059" s="19" t="s">
        <v>1787</v>
      </c>
      <c r="E1059" s="19" t="s">
        <v>2</v>
      </c>
      <c r="F1059" s="19" t="s">
        <v>1422</v>
      </c>
      <c r="G1059" s="19" t="s">
        <v>1418</v>
      </c>
      <c r="H1059" s="19" t="s">
        <v>644</v>
      </c>
      <c r="I1059" s="19" t="s">
        <v>645</v>
      </c>
      <c r="J1059" s="19" t="s">
        <v>37</v>
      </c>
      <c r="K1059" s="19" t="s">
        <v>553</v>
      </c>
      <c r="L1059" s="19">
        <v>2024</v>
      </c>
      <c r="M1059" s="20">
        <v>1</v>
      </c>
      <c r="N1059" s="19" t="s">
        <v>1798</v>
      </c>
      <c r="O1059" s="20">
        <v>3</v>
      </c>
      <c r="P1059" s="20">
        <v>3</v>
      </c>
      <c r="Q1059" s="20">
        <v>412.93421961887299</v>
      </c>
      <c r="R1059" s="21">
        <v>0.87</v>
      </c>
      <c r="S1059" s="20">
        <v>412.93421961887299</v>
      </c>
    </row>
    <row r="1060" spans="2:19" ht="15" customHeight="1" x14ac:dyDescent="0.25">
      <c r="B1060" s="2" t="str">
        <f t="shared" si="32"/>
        <v>NSG_Residential_Multi-Family_Standard Rebate_Steam Traps_HVAC Repair/Rep - Audit_MF</v>
      </c>
      <c r="C1060" s="2" t="str">
        <f t="shared" si="33"/>
        <v>NSG_Residential_Multi-Family_Standard Rebate_Steam Traps_HVAC Repair/Rep - Audit_MF_2025</v>
      </c>
      <c r="D1060" s="19" t="s">
        <v>1787</v>
      </c>
      <c r="E1060" s="19" t="s">
        <v>2</v>
      </c>
      <c r="F1060" s="19" t="s">
        <v>1422</v>
      </c>
      <c r="G1060" s="19" t="s">
        <v>1418</v>
      </c>
      <c r="H1060" s="19" t="s">
        <v>644</v>
      </c>
      <c r="I1060" s="19" t="s">
        <v>645</v>
      </c>
      <c r="J1060" s="19" t="s">
        <v>37</v>
      </c>
      <c r="K1060" s="19" t="s">
        <v>553</v>
      </c>
      <c r="L1060" s="19">
        <v>2025</v>
      </c>
      <c r="M1060" s="20">
        <v>1</v>
      </c>
      <c r="N1060" s="19" t="s">
        <v>1798</v>
      </c>
      <c r="O1060" s="20">
        <v>3</v>
      </c>
      <c r="P1060" s="20">
        <v>3</v>
      </c>
      <c r="Q1060" s="20">
        <v>412.93421961887299</v>
      </c>
      <c r="R1060" s="21">
        <v>0.87</v>
      </c>
      <c r="S1060" s="20">
        <v>412.93421961887299</v>
      </c>
    </row>
    <row r="1061" spans="2:19" ht="15" customHeight="1" x14ac:dyDescent="0.25">
      <c r="B1061" s="2" t="str">
        <f t="shared" si="32"/>
        <v>NSG_Residential_Multi-Family_Standard Rebate_Steam Traps_HVAC Repair/Rep - No Audit_MF</v>
      </c>
      <c r="C1061" s="2" t="str">
        <f t="shared" si="33"/>
        <v>NSG_Residential_Multi-Family_Standard Rebate_Steam Traps_HVAC Repair/Rep - No Audit_MF_2022</v>
      </c>
      <c r="D1061" s="19" t="s">
        <v>1787</v>
      </c>
      <c r="E1061" s="19" t="s">
        <v>2</v>
      </c>
      <c r="F1061" s="19" t="s">
        <v>1422</v>
      </c>
      <c r="G1061" s="19" t="s">
        <v>1418</v>
      </c>
      <c r="H1061" s="19" t="s">
        <v>644</v>
      </c>
      <c r="I1061" s="19" t="s">
        <v>660</v>
      </c>
      <c r="J1061" s="19" t="s">
        <v>37</v>
      </c>
      <c r="K1061" s="19" t="s">
        <v>553</v>
      </c>
      <c r="L1061" s="19">
        <v>2022</v>
      </c>
      <c r="M1061" s="20">
        <v>1</v>
      </c>
      <c r="N1061" s="19" t="s">
        <v>1798</v>
      </c>
      <c r="O1061" s="20">
        <v>2</v>
      </c>
      <c r="P1061" s="20">
        <v>2</v>
      </c>
      <c r="Q1061" s="20">
        <v>74.328159531397148</v>
      </c>
      <c r="R1061" s="21">
        <v>0.87</v>
      </c>
      <c r="S1061" s="20">
        <v>74.328159531397148</v>
      </c>
    </row>
    <row r="1062" spans="2:19" ht="15" customHeight="1" x14ac:dyDescent="0.25">
      <c r="B1062" s="2" t="str">
        <f t="shared" si="32"/>
        <v>NSG_Residential_Multi-Family_Standard Rebate_Steam Traps_HVAC Repair/Rep - No Audit_MF</v>
      </c>
      <c r="C1062" s="2" t="str">
        <f t="shared" si="33"/>
        <v>NSG_Residential_Multi-Family_Standard Rebate_Steam Traps_HVAC Repair/Rep - No Audit_MF_2023</v>
      </c>
      <c r="D1062" s="19" t="s">
        <v>1787</v>
      </c>
      <c r="E1062" s="19" t="s">
        <v>2</v>
      </c>
      <c r="F1062" s="19" t="s">
        <v>1422</v>
      </c>
      <c r="G1062" s="19" t="s">
        <v>1418</v>
      </c>
      <c r="H1062" s="19" t="s">
        <v>644</v>
      </c>
      <c r="I1062" s="19" t="s">
        <v>660</v>
      </c>
      <c r="J1062" s="19" t="s">
        <v>37</v>
      </c>
      <c r="K1062" s="19" t="s">
        <v>553</v>
      </c>
      <c r="L1062" s="19">
        <v>2023</v>
      </c>
      <c r="M1062" s="20">
        <v>1</v>
      </c>
      <c r="N1062" s="19" t="s">
        <v>1798</v>
      </c>
      <c r="O1062" s="20">
        <v>2</v>
      </c>
      <c r="P1062" s="20">
        <v>2</v>
      </c>
      <c r="Q1062" s="20">
        <v>74.328159531397148</v>
      </c>
      <c r="R1062" s="21">
        <v>0.87</v>
      </c>
      <c r="S1062" s="20">
        <v>74.328159531397148</v>
      </c>
    </row>
    <row r="1063" spans="2:19" ht="15" customHeight="1" x14ac:dyDescent="0.25">
      <c r="B1063" s="2" t="str">
        <f t="shared" si="32"/>
        <v>NSG_Residential_Multi-Family_Standard Rebate_Steam Traps_HVAC Repair/Rep - No Audit_MF</v>
      </c>
      <c r="C1063" s="2" t="str">
        <f t="shared" si="33"/>
        <v>NSG_Residential_Multi-Family_Standard Rebate_Steam Traps_HVAC Repair/Rep - No Audit_MF_2024</v>
      </c>
      <c r="D1063" s="19" t="s">
        <v>1787</v>
      </c>
      <c r="E1063" s="19" t="s">
        <v>2</v>
      </c>
      <c r="F1063" s="19" t="s">
        <v>1422</v>
      </c>
      <c r="G1063" s="19" t="s">
        <v>1418</v>
      </c>
      <c r="H1063" s="19" t="s">
        <v>644</v>
      </c>
      <c r="I1063" s="19" t="s">
        <v>660</v>
      </c>
      <c r="J1063" s="19" t="s">
        <v>37</v>
      </c>
      <c r="K1063" s="19" t="s">
        <v>553</v>
      </c>
      <c r="L1063" s="19">
        <v>2024</v>
      </c>
      <c r="M1063" s="20">
        <v>1</v>
      </c>
      <c r="N1063" s="19" t="s">
        <v>1798</v>
      </c>
      <c r="O1063" s="20">
        <v>2</v>
      </c>
      <c r="P1063" s="20">
        <v>2</v>
      </c>
      <c r="Q1063" s="20">
        <v>74.328159531397148</v>
      </c>
      <c r="R1063" s="21">
        <v>0.87</v>
      </c>
      <c r="S1063" s="20">
        <v>74.328159531397148</v>
      </c>
    </row>
    <row r="1064" spans="2:19" ht="15" customHeight="1" x14ac:dyDescent="0.25">
      <c r="B1064" s="2" t="str">
        <f t="shared" si="32"/>
        <v>NSG_Residential_Multi-Family_Standard Rebate_Steam Traps_HVAC Repair/Rep - No Audit_MF</v>
      </c>
      <c r="C1064" s="2" t="str">
        <f t="shared" si="33"/>
        <v>NSG_Residential_Multi-Family_Standard Rebate_Steam Traps_HVAC Repair/Rep - No Audit_MF_2025</v>
      </c>
      <c r="D1064" s="19" t="s">
        <v>1787</v>
      </c>
      <c r="E1064" s="19" t="s">
        <v>2</v>
      </c>
      <c r="F1064" s="19" t="s">
        <v>1422</v>
      </c>
      <c r="G1064" s="19" t="s">
        <v>1418</v>
      </c>
      <c r="H1064" s="19" t="s">
        <v>644</v>
      </c>
      <c r="I1064" s="19" t="s">
        <v>660</v>
      </c>
      <c r="J1064" s="19" t="s">
        <v>37</v>
      </c>
      <c r="K1064" s="19" t="s">
        <v>553</v>
      </c>
      <c r="L1064" s="19">
        <v>2025</v>
      </c>
      <c r="M1064" s="20">
        <v>1</v>
      </c>
      <c r="N1064" s="19" t="s">
        <v>1798</v>
      </c>
      <c r="O1064" s="20">
        <v>2</v>
      </c>
      <c r="P1064" s="20">
        <v>2</v>
      </c>
      <c r="Q1064" s="20">
        <v>74.328159531397148</v>
      </c>
      <c r="R1064" s="21">
        <v>0.87</v>
      </c>
      <c r="S1064" s="20">
        <v>74.328159531397148</v>
      </c>
    </row>
    <row r="1065" spans="2:19" ht="15" customHeight="1" x14ac:dyDescent="0.25">
      <c r="B1065" s="2" t="str">
        <f t="shared" si="32"/>
        <v>NSG_Residential_Multi-Family_Standard Rebate_Steam Traps_Industrial/Process Audit - psig ≤ 15_MF</v>
      </c>
      <c r="C1065" s="2" t="str">
        <f t="shared" si="33"/>
        <v>NSG_Residential_Multi-Family_Standard Rebate_Steam Traps_Industrial/Process Audit - psig ≤ 15_MF_2022</v>
      </c>
      <c r="D1065" s="19" t="s">
        <v>1787</v>
      </c>
      <c r="E1065" s="19" t="s">
        <v>2</v>
      </c>
      <c r="F1065" s="19" t="s">
        <v>1422</v>
      </c>
      <c r="G1065" s="19" t="s">
        <v>1418</v>
      </c>
      <c r="H1065" s="19" t="s">
        <v>644</v>
      </c>
      <c r="I1065" s="19" t="s">
        <v>1383</v>
      </c>
      <c r="J1065" s="19" t="s">
        <v>37</v>
      </c>
      <c r="K1065" s="19" t="s">
        <v>553</v>
      </c>
      <c r="L1065" s="19">
        <v>2022</v>
      </c>
      <c r="M1065" s="20">
        <v>1</v>
      </c>
      <c r="N1065" s="19" t="s">
        <v>1798</v>
      </c>
      <c r="O1065" s="20">
        <v>0</v>
      </c>
      <c r="P1065" s="20">
        <v>0</v>
      </c>
      <c r="Q1065" s="20">
        <v>0</v>
      </c>
      <c r="R1065" s="21">
        <v>0.87</v>
      </c>
      <c r="S1065" s="20">
        <v>0</v>
      </c>
    </row>
    <row r="1066" spans="2:19" ht="15" customHeight="1" x14ac:dyDescent="0.25">
      <c r="B1066" s="2" t="str">
        <f t="shared" si="32"/>
        <v>NSG_Residential_Multi-Family_Standard Rebate_Steam Traps_Industrial/Process Audit - psig ≤ 15_MF</v>
      </c>
      <c r="C1066" s="2" t="str">
        <f t="shared" si="33"/>
        <v>NSG_Residential_Multi-Family_Standard Rebate_Steam Traps_Industrial/Process Audit - psig ≤ 15_MF_2023</v>
      </c>
      <c r="D1066" s="19" t="s">
        <v>1787</v>
      </c>
      <c r="E1066" s="19" t="s">
        <v>2</v>
      </c>
      <c r="F1066" s="19" t="s">
        <v>1422</v>
      </c>
      <c r="G1066" s="19" t="s">
        <v>1418</v>
      </c>
      <c r="H1066" s="19" t="s">
        <v>644</v>
      </c>
      <c r="I1066" s="19" t="s">
        <v>1383</v>
      </c>
      <c r="J1066" s="19" t="s">
        <v>37</v>
      </c>
      <c r="K1066" s="19" t="s">
        <v>553</v>
      </c>
      <c r="L1066" s="19">
        <v>2023</v>
      </c>
      <c r="M1066" s="20">
        <v>1</v>
      </c>
      <c r="N1066" s="19" t="s">
        <v>1798</v>
      </c>
      <c r="O1066" s="20">
        <v>0</v>
      </c>
      <c r="P1066" s="20">
        <v>0</v>
      </c>
      <c r="Q1066" s="20">
        <v>0</v>
      </c>
      <c r="R1066" s="21">
        <v>0.87</v>
      </c>
      <c r="S1066" s="20">
        <v>0</v>
      </c>
    </row>
    <row r="1067" spans="2:19" ht="15" customHeight="1" x14ac:dyDescent="0.25">
      <c r="B1067" s="2" t="str">
        <f t="shared" si="32"/>
        <v>NSG_Residential_Multi-Family_Standard Rebate_Steam Traps_Industrial/Process Audit - psig ≤ 15_MF</v>
      </c>
      <c r="C1067" s="2" t="str">
        <f t="shared" si="33"/>
        <v>NSG_Residential_Multi-Family_Standard Rebate_Steam Traps_Industrial/Process Audit - psig ≤ 15_MF_2024</v>
      </c>
      <c r="D1067" s="19" t="s">
        <v>1787</v>
      </c>
      <c r="E1067" s="19" t="s">
        <v>2</v>
      </c>
      <c r="F1067" s="19" t="s">
        <v>1422</v>
      </c>
      <c r="G1067" s="19" t="s">
        <v>1418</v>
      </c>
      <c r="H1067" s="19" t="s">
        <v>644</v>
      </c>
      <c r="I1067" s="19" t="s">
        <v>1383</v>
      </c>
      <c r="J1067" s="19" t="s">
        <v>37</v>
      </c>
      <c r="K1067" s="19" t="s">
        <v>553</v>
      </c>
      <c r="L1067" s="19">
        <v>2024</v>
      </c>
      <c r="M1067" s="20">
        <v>1</v>
      </c>
      <c r="N1067" s="19" t="s">
        <v>1798</v>
      </c>
      <c r="O1067" s="20">
        <v>0</v>
      </c>
      <c r="P1067" s="20">
        <v>0</v>
      </c>
      <c r="Q1067" s="20">
        <v>0</v>
      </c>
      <c r="R1067" s="21">
        <v>0.87</v>
      </c>
      <c r="S1067" s="20">
        <v>0</v>
      </c>
    </row>
    <row r="1068" spans="2:19" ht="15" customHeight="1" x14ac:dyDescent="0.25">
      <c r="B1068" s="2" t="str">
        <f t="shared" si="32"/>
        <v>NSG_Residential_Multi-Family_Standard Rebate_Steam Traps_Industrial/Process Audit - psig ≤ 15_MF</v>
      </c>
      <c r="C1068" s="2" t="str">
        <f t="shared" si="33"/>
        <v>NSG_Residential_Multi-Family_Standard Rebate_Steam Traps_Industrial/Process Audit - psig ≤ 15_MF_2025</v>
      </c>
      <c r="D1068" s="19" t="s">
        <v>1787</v>
      </c>
      <c r="E1068" s="19" t="s">
        <v>2</v>
      </c>
      <c r="F1068" s="19" t="s">
        <v>1422</v>
      </c>
      <c r="G1068" s="19" t="s">
        <v>1418</v>
      </c>
      <c r="H1068" s="19" t="s">
        <v>644</v>
      </c>
      <c r="I1068" s="19" t="s">
        <v>1383</v>
      </c>
      <c r="J1068" s="19" t="s">
        <v>37</v>
      </c>
      <c r="K1068" s="19" t="s">
        <v>553</v>
      </c>
      <c r="L1068" s="19">
        <v>2025</v>
      </c>
      <c r="M1068" s="20">
        <v>1</v>
      </c>
      <c r="N1068" s="19" t="s">
        <v>1798</v>
      </c>
      <c r="O1068" s="20">
        <v>0</v>
      </c>
      <c r="P1068" s="20">
        <v>0</v>
      </c>
      <c r="Q1068" s="20">
        <v>0</v>
      </c>
      <c r="R1068" s="21">
        <v>0.87</v>
      </c>
      <c r="S1068" s="20">
        <v>0</v>
      </c>
    </row>
    <row r="1069" spans="2:19" ht="15" customHeight="1" x14ac:dyDescent="0.25">
      <c r="B1069" s="2" t="str">
        <f t="shared" si="32"/>
        <v>NSG_Residential_Multi-Family_Standard Rebate_Steam Traps_Industrial/Process Audit - 15 &lt; psig &lt; 30_MF</v>
      </c>
      <c r="C1069" s="2" t="str">
        <f t="shared" si="33"/>
        <v>NSG_Residential_Multi-Family_Standard Rebate_Steam Traps_Industrial/Process Audit - 15 &lt; psig &lt; 30_MF_2022</v>
      </c>
      <c r="D1069" s="19" t="s">
        <v>1787</v>
      </c>
      <c r="E1069" s="19" t="s">
        <v>2</v>
      </c>
      <c r="F1069" s="19" t="s">
        <v>1422</v>
      </c>
      <c r="G1069" s="19" t="s">
        <v>1418</v>
      </c>
      <c r="H1069" s="19" t="s">
        <v>644</v>
      </c>
      <c r="I1069" s="19" t="s">
        <v>1384</v>
      </c>
      <c r="J1069" s="19" t="s">
        <v>37</v>
      </c>
      <c r="K1069" s="19" t="s">
        <v>553</v>
      </c>
      <c r="L1069" s="19">
        <v>2022</v>
      </c>
      <c r="M1069" s="20">
        <v>1</v>
      </c>
      <c r="N1069" s="19" t="s">
        <v>1798</v>
      </c>
      <c r="O1069" s="20">
        <v>0</v>
      </c>
      <c r="P1069" s="20">
        <v>0</v>
      </c>
      <c r="Q1069" s="20">
        <v>0</v>
      </c>
      <c r="R1069" s="21">
        <v>0.87</v>
      </c>
      <c r="S1069" s="20">
        <v>0</v>
      </c>
    </row>
    <row r="1070" spans="2:19" ht="15" customHeight="1" x14ac:dyDescent="0.25">
      <c r="B1070" s="2" t="str">
        <f t="shared" si="32"/>
        <v>NSG_Residential_Multi-Family_Standard Rebate_Steam Traps_Industrial/Process Audit - 15 &lt; psig &lt; 30_MF</v>
      </c>
      <c r="C1070" s="2" t="str">
        <f t="shared" si="33"/>
        <v>NSG_Residential_Multi-Family_Standard Rebate_Steam Traps_Industrial/Process Audit - 15 &lt; psig &lt; 30_MF_2023</v>
      </c>
      <c r="D1070" s="19" t="s">
        <v>1787</v>
      </c>
      <c r="E1070" s="19" t="s">
        <v>2</v>
      </c>
      <c r="F1070" s="19" t="s">
        <v>1422</v>
      </c>
      <c r="G1070" s="19" t="s">
        <v>1418</v>
      </c>
      <c r="H1070" s="19" t="s">
        <v>644</v>
      </c>
      <c r="I1070" s="19" t="s">
        <v>1384</v>
      </c>
      <c r="J1070" s="19" t="s">
        <v>37</v>
      </c>
      <c r="K1070" s="19" t="s">
        <v>553</v>
      </c>
      <c r="L1070" s="19">
        <v>2023</v>
      </c>
      <c r="M1070" s="20">
        <v>1</v>
      </c>
      <c r="N1070" s="19" t="s">
        <v>1798</v>
      </c>
      <c r="O1070" s="20">
        <v>0</v>
      </c>
      <c r="P1070" s="20">
        <v>0</v>
      </c>
      <c r="Q1070" s="20">
        <v>0</v>
      </c>
      <c r="R1070" s="21">
        <v>0.87</v>
      </c>
      <c r="S1070" s="20">
        <v>0</v>
      </c>
    </row>
    <row r="1071" spans="2:19" ht="15" customHeight="1" x14ac:dyDescent="0.25">
      <c r="B1071" s="2" t="str">
        <f t="shared" si="32"/>
        <v>NSG_Residential_Multi-Family_Standard Rebate_Steam Traps_Industrial/Process Audit - 15 &lt; psig &lt; 30_MF</v>
      </c>
      <c r="C1071" s="2" t="str">
        <f t="shared" si="33"/>
        <v>NSG_Residential_Multi-Family_Standard Rebate_Steam Traps_Industrial/Process Audit - 15 &lt; psig &lt; 30_MF_2024</v>
      </c>
      <c r="D1071" s="19" t="s">
        <v>1787</v>
      </c>
      <c r="E1071" s="19" t="s">
        <v>2</v>
      </c>
      <c r="F1071" s="19" t="s">
        <v>1422</v>
      </c>
      <c r="G1071" s="19" t="s">
        <v>1418</v>
      </c>
      <c r="H1071" s="19" t="s">
        <v>644</v>
      </c>
      <c r="I1071" s="19" t="s">
        <v>1384</v>
      </c>
      <c r="J1071" s="19" t="s">
        <v>37</v>
      </c>
      <c r="K1071" s="19" t="s">
        <v>553</v>
      </c>
      <c r="L1071" s="19">
        <v>2024</v>
      </c>
      <c r="M1071" s="20">
        <v>1</v>
      </c>
      <c r="N1071" s="19" t="s">
        <v>1798</v>
      </c>
      <c r="O1071" s="20">
        <v>0</v>
      </c>
      <c r="P1071" s="20">
        <v>0</v>
      </c>
      <c r="Q1071" s="20">
        <v>0</v>
      </c>
      <c r="R1071" s="21">
        <v>0.87</v>
      </c>
      <c r="S1071" s="20">
        <v>0</v>
      </c>
    </row>
    <row r="1072" spans="2:19" ht="15" customHeight="1" x14ac:dyDescent="0.25">
      <c r="B1072" s="2" t="str">
        <f t="shared" si="32"/>
        <v>NSG_Residential_Multi-Family_Standard Rebate_Steam Traps_Industrial/Process Audit - 15 &lt; psig &lt; 30_MF</v>
      </c>
      <c r="C1072" s="2" t="str">
        <f t="shared" si="33"/>
        <v>NSG_Residential_Multi-Family_Standard Rebate_Steam Traps_Industrial/Process Audit - 15 &lt; psig &lt; 30_MF_2025</v>
      </c>
      <c r="D1072" s="19" t="s">
        <v>1787</v>
      </c>
      <c r="E1072" s="19" t="s">
        <v>2</v>
      </c>
      <c r="F1072" s="19" t="s">
        <v>1422</v>
      </c>
      <c r="G1072" s="19" t="s">
        <v>1418</v>
      </c>
      <c r="H1072" s="19" t="s">
        <v>644</v>
      </c>
      <c r="I1072" s="19" t="s">
        <v>1384</v>
      </c>
      <c r="J1072" s="19" t="s">
        <v>37</v>
      </c>
      <c r="K1072" s="19" t="s">
        <v>553</v>
      </c>
      <c r="L1072" s="19">
        <v>2025</v>
      </c>
      <c r="M1072" s="20">
        <v>1</v>
      </c>
      <c r="N1072" s="19" t="s">
        <v>1798</v>
      </c>
      <c r="O1072" s="20">
        <v>0</v>
      </c>
      <c r="P1072" s="20">
        <v>0</v>
      </c>
      <c r="Q1072" s="20">
        <v>0</v>
      </c>
      <c r="R1072" s="21">
        <v>0.87</v>
      </c>
      <c r="S1072" s="20">
        <v>0</v>
      </c>
    </row>
    <row r="1073" spans="2:19" ht="15" customHeight="1" x14ac:dyDescent="0.25">
      <c r="B1073" s="2" t="str">
        <f t="shared" si="32"/>
        <v>NSG_Residential_Multi-Family_Standard Rebate_Steam Traps_Industrial/Process Audit - 30 ≤ psig &lt; 75_MF</v>
      </c>
      <c r="C1073" s="2" t="str">
        <f t="shared" si="33"/>
        <v>NSG_Residential_Multi-Family_Standard Rebate_Steam Traps_Industrial/Process Audit - 30 ≤ psig &lt; 75_MF_2022</v>
      </c>
      <c r="D1073" s="19" t="s">
        <v>1787</v>
      </c>
      <c r="E1073" s="19" t="s">
        <v>2</v>
      </c>
      <c r="F1073" s="19" t="s">
        <v>1422</v>
      </c>
      <c r="G1073" s="19" t="s">
        <v>1418</v>
      </c>
      <c r="H1073" s="19" t="s">
        <v>644</v>
      </c>
      <c r="I1073" s="19" t="s">
        <v>1385</v>
      </c>
      <c r="J1073" s="19" t="s">
        <v>37</v>
      </c>
      <c r="K1073" s="19" t="s">
        <v>553</v>
      </c>
      <c r="L1073" s="19">
        <v>2022</v>
      </c>
      <c r="M1073" s="20">
        <v>1</v>
      </c>
      <c r="N1073" s="19" t="s">
        <v>1798</v>
      </c>
      <c r="O1073" s="20">
        <v>0</v>
      </c>
      <c r="P1073" s="20">
        <v>0</v>
      </c>
      <c r="Q1073" s="20">
        <v>0</v>
      </c>
      <c r="R1073" s="21">
        <v>0.87</v>
      </c>
      <c r="S1073" s="20">
        <v>0</v>
      </c>
    </row>
    <row r="1074" spans="2:19" ht="15" customHeight="1" x14ac:dyDescent="0.25">
      <c r="B1074" s="2" t="str">
        <f t="shared" si="32"/>
        <v>NSG_Residential_Multi-Family_Standard Rebate_Steam Traps_Industrial/Process Audit - 30 ≤ psig &lt; 75_MF</v>
      </c>
      <c r="C1074" s="2" t="str">
        <f t="shared" si="33"/>
        <v>NSG_Residential_Multi-Family_Standard Rebate_Steam Traps_Industrial/Process Audit - 30 ≤ psig &lt; 75_MF_2023</v>
      </c>
      <c r="D1074" s="19" t="s">
        <v>1787</v>
      </c>
      <c r="E1074" s="19" t="s">
        <v>2</v>
      </c>
      <c r="F1074" s="19" t="s">
        <v>1422</v>
      </c>
      <c r="G1074" s="19" t="s">
        <v>1418</v>
      </c>
      <c r="H1074" s="19" t="s">
        <v>644</v>
      </c>
      <c r="I1074" s="19" t="s">
        <v>1385</v>
      </c>
      <c r="J1074" s="19" t="s">
        <v>37</v>
      </c>
      <c r="K1074" s="19" t="s">
        <v>553</v>
      </c>
      <c r="L1074" s="19">
        <v>2023</v>
      </c>
      <c r="M1074" s="20">
        <v>1</v>
      </c>
      <c r="N1074" s="19" t="s">
        <v>1798</v>
      </c>
      <c r="O1074" s="20">
        <v>0</v>
      </c>
      <c r="P1074" s="20">
        <v>0</v>
      </c>
      <c r="Q1074" s="20">
        <v>0</v>
      </c>
      <c r="R1074" s="21">
        <v>0.87</v>
      </c>
      <c r="S1074" s="20">
        <v>0</v>
      </c>
    </row>
    <row r="1075" spans="2:19" ht="15" customHeight="1" x14ac:dyDescent="0.25">
      <c r="B1075" s="2" t="str">
        <f t="shared" si="32"/>
        <v>NSG_Residential_Multi-Family_Standard Rebate_Steam Traps_Industrial/Process Audit - 30 ≤ psig &lt; 75_MF</v>
      </c>
      <c r="C1075" s="2" t="str">
        <f t="shared" si="33"/>
        <v>NSG_Residential_Multi-Family_Standard Rebate_Steam Traps_Industrial/Process Audit - 30 ≤ psig &lt; 75_MF_2024</v>
      </c>
      <c r="D1075" s="19" t="s">
        <v>1787</v>
      </c>
      <c r="E1075" s="19" t="s">
        <v>2</v>
      </c>
      <c r="F1075" s="19" t="s">
        <v>1422</v>
      </c>
      <c r="G1075" s="19" t="s">
        <v>1418</v>
      </c>
      <c r="H1075" s="19" t="s">
        <v>644</v>
      </c>
      <c r="I1075" s="19" t="s">
        <v>1385</v>
      </c>
      <c r="J1075" s="19" t="s">
        <v>37</v>
      </c>
      <c r="K1075" s="19" t="s">
        <v>553</v>
      </c>
      <c r="L1075" s="19">
        <v>2024</v>
      </c>
      <c r="M1075" s="20">
        <v>1</v>
      </c>
      <c r="N1075" s="19" t="s">
        <v>1798</v>
      </c>
      <c r="O1075" s="20">
        <v>0</v>
      </c>
      <c r="P1075" s="20">
        <v>0</v>
      </c>
      <c r="Q1075" s="20">
        <v>0</v>
      </c>
      <c r="R1075" s="21">
        <v>0.87</v>
      </c>
      <c r="S1075" s="20">
        <v>0</v>
      </c>
    </row>
    <row r="1076" spans="2:19" ht="15" customHeight="1" x14ac:dyDescent="0.25">
      <c r="B1076" s="2" t="str">
        <f t="shared" si="32"/>
        <v>NSG_Residential_Multi-Family_Standard Rebate_Steam Traps_Industrial/Process Audit - 30 ≤ psig &lt; 75_MF</v>
      </c>
      <c r="C1076" s="2" t="str">
        <f t="shared" si="33"/>
        <v>NSG_Residential_Multi-Family_Standard Rebate_Steam Traps_Industrial/Process Audit - 30 ≤ psig &lt; 75_MF_2025</v>
      </c>
      <c r="D1076" s="19" t="s">
        <v>1787</v>
      </c>
      <c r="E1076" s="19" t="s">
        <v>2</v>
      </c>
      <c r="F1076" s="19" t="s">
        <v>1422</v>
      </c>
      <c r="G1076" s="19" t="s">
        <v>1418</v>
      </c>
      <c r="H1076" s="19" t="s">
        <v>644</v>
      </c>
      <c r="I1076" s="19" t="s">
        <v>1385</v>
      </c>
      <c r="J1076" s="19" t="s">
        <v>37</v>
      </c>
      <c r="K1076" s="19" t="s">
        <v>553</v>
      </c>
      <c r="L1076" s="19">
        <v>2025</v>
      </c>
      <c r="M1076" s="20">
        <v>1</v>
      </c>
      <c r="N1076" s="19" t="s">
        <v>1798</v>
      </c>
      <c r="O1076" s="20">
        <v>0</v>
      </c>
      <c r="P1076" s="20">
        <v>0</v>
      </c>
      <c r="Q1076" s="20">
        <v>0</v>
      </c>
      <c r="R1076" s="21">
        <v>0.87</v>
      </c>
      <c r="S1076" s="20">
        <v>0</v>
      </c>
    </row>
    <row r="1077" spans="2:19" ht="15" customHeight="1" x14ac:dyDescent="0.25">
      <c r="B1077" s="2" t="str">
        <f t="shared" si="32"/>
        <v>NSG_Residential_Multi-Family_Standard Rebate_Steam Traps_Industrial/Process Audit - 75 ≤ psig &lt; 125_MF</v>
      </c>
      <c r="C1077" s="2" t="str">
        <f t="shared" si="33"/>
        <v>NSG_Residential_Multi-Family_Standard Rebate_Steam Traps_Industrial/Process Audit - 75 ≤ psig &lt; 125_MF_2022</v>
      </c>
      <c r="D1077" s="19" t="s">
        <v>1787</v>
      </c>
      <c r="E1077" s="19" t="s">
        <v>2</v>
      </c>
      <c r="F1077" s="19" t="s">
        <v>1422</v>
      </c>
      <c r="G1077" s="19" t="s">
        <v>1418</v>
      </c>
      <c r="H1077" s="19" t="s">
        <v>644</v>
      </c>
      <c r="I1077" s="19" t="s">
        <v>1386</v>
      </c>
      <c r="J1077" s="19" t="s">
        <v>37</v>
      </c>
      <c r="K1077" s="19" t="s">
        <v>553</v>
      </c>
      <c r="L1077" s="19">
        <v>2022</v>
      </c>
      <c r="M1077" s="20">
        <v>1</v>
      </c>
      <c r="N1077" s="19" t="s">
        <v>1798</v>
      </c>
      <c r="O1077" s="20">
        <v>0</v>
      </c>
      <c r="P1077" s="20">
        <v>0</v>
      </c>
      <c r="Q1077" s="20">
        <v>0</v>
      </c>
      <c r="R1077" s="21">
        <v>0.87</v>
      </c>
      <c r="S1077" s="20">
        <v>0</v>
      </c>
    </row>
    <row r="1078" spans="2:19" ht="15" customHeight="1" x14ac:dyDescent="0.25">
      <c r="B1078" s="2" t="str">
        <f t="shared" si="32"/>
        <v>NSG_Residential_Multi-Family_Standard Rebate_Steam Traps_Industrial/Process Audit - 75 ≤ psig &lt; 125_MF</v>
      </c>
      <c r="C1078" s="2" t="str">
        <f t="shared" si="33"/>
        <v>NSG_Residential_Multi-Family_Standard Rebate_Steam Traps_Industrial/Process Audit - 75 ≤ psig &lt; 125_MF_2023</v>
      </c>
      <c r="D1078" s="19" t="s">
        <v>1787</v>
      </c>
      <c r="E1078" s="19" t="s">
        <v>2</v>
      </c>
      <c r="F1078" s="19" t="s">
        <v>1422</v>
      </c>
      <c r="G1078" s="19" t="s">
        <v>1418</v>
      </c>
      <c r="H1078" s="19" t="s">
        <v>644</v>
      </c>
      <c r="I1078" s="19" t="s">
        <v>1386</v>
      </c>
      <c r="J1078" s="19" t="s">
        <v>37</v>
      </c>
      <c r="K1078" s="19" t="s">
        <v>553</v>
      </c>
      <c r="L1078" s="19">
        <v>2023</v>
      </c>
      <c r="M1078" s="20">
        <v>1</v>
      </c>
      <c r="N1078" s="19" t="s">
        <v>1798</v>
      </c>
      <c r="O1078" s="20">
        <v>0</v>
      </c>
      <c r="P1078" s="20">
        <v>0</v>
      </c>
      <c r="Q1078" s="20">
        <v>0</v>
      </c>
      <c r="R1078" s="21">
        <v>0.87</v>
      </c>
      <c r="S1078" s="20">
        <v>0</v>
      </c>
    </row>
    <row r="1079" spans="2:19" ht="15" customHeight="1" x14ac:dyDescent="0.25">
      <c r="B1079" s="2" t="str">
        <f t="shared" si="32"/>
        <v>NSG_Residential_Multi-Family_Standard Rebate_Steam Traps_Industrial/Process Audit - 75 ≤ psig &lt; 125_MF</v>
      </c>
      <c r="C1079" s="2" t="str">
        <f t="shared" si="33"/>
        <v>NSG_Residential_Multi-Family_Standard Rebate_Steam Traps_Industrial/Process Audit - 75 ≤ psig &lt; 125_MF_2024</v>
      </c>
      <c r="D1079" s="19" t="s">
        <v>1787</v>
      </c>
      <c r="E1079" s="19" t="s">
        <v>2</v>
      </c>
      <c r="F1079" s="19" t="s">
        <v>1422</v>
      </c>
      <c r="G1079" s="19" t="s">
        <v>1418</v>
      </c>
      <c r="H1079" s="19" t="s">
        <v>644</v>
      </c>
      <c r="I1079" s="19" t="s">
        <v>1386</v>
      </c>
      <c r="J1079" s="19" t="s">
        <v>37</v>
      </c>
      <c r="K1079" s="19" t="s">
        <v>553</v>
      </c>
      <c r="L1079" s="19">
        <v>2024</v>
      </c>
      <c r="M1079" s="20">
        <v>1</v>
      </c>
      <c r="N1079" s="19" t="s">
        <v>1798</v>
      </c>
      <c r="O1079" s="20">
        <v>0</v>
      </c>
      <c r="P1079" s="20">
        <v>0</v>
      </c>
      <c r="Q1079" s="20">
        <v>0</v>
      </c>
      <c r="R1079" s="21">
        <v>0.87</v>
      </c>
      <c r="S1079" s="20">
        <v>0</v>
      </c>
    </row>
    <row r="1080" spans="2:19" ht="15" customHeight="1" x14ac:dyDescent="0.25">
      <c r="B1080" s="2" t="str">
        <f t="shared" si="32"/>
        <v>NSG_Residential_Multi-Family_Standard Rebate_Steam Traps_Industrial/Process Audit - 75 ≤ psig &lt; 125_MF</v>
      </c>
      <c r="C1080" s="2" t="str">
        <f t="shared" si="33"/>
        <v>NSG_Residential_Multi-Family_Standard Rebate_Steam Traps_Industrial/Process Audit - 75 ≤ psig &lt; 125_MF_2025</v>
      </c>
      <c r="D1080" s="19" t="s">
        <v>1787</v>
      </c>
      <c r="E1080" s="19" t="s">
        <v>2</v>
      </c>
      <c r="F1080" s="19" t="s">
        <v>1422</v>
      </c>
      <c r="G1080" s="19" t="s">
        <v>1418</v>
      </c>
      <c r="H1080" s="19" t="s">
        <v>644</v>
      </c>
      <c r="I1080" s="19" t="s">
        <v>1386</v>
      </c>
      <c r="J1080" s="19" t="s">
        <v>37</v>
      </c>
      <c r="K1080" s="19" t="s">
        <v>553</v>
      </c>
      <c r="L1080" s="19">
        <v>2025</v>
      </c>
      <c r="M1080" s="20">
        <v>1</v>
      </c>
      <c r="N1080" s="19" t="s">
        <v>1798</v>
      </c>
      <c r="O1080" s="20">
        <v>0</v>
      </c>
      <c r="P1080" s="20">
        <v>0</v>
      </c>
      <c r="Q1080" s="20">
        <v>0</v>
      </c>
      <c r="R1080" s="21">
        <v>0.87</v>
      </c>
      <c r="S1080" s="20">
        <v>0</v>
      </c>
    </row>
    <row r="1081" spans="2:19" ht="15" customHeight="1" x14ac:dyDescent="0.25">
      <c r="B1081" s="2" t="str">
        <f t="shared" si="32"/>
        <v>NSG_Residential_Multi-Family_Standard Rebate_Steam Traps_Industrial/Process Audit - 125 ≤ psig &lt; 175_MF</v>
      </c>
      <c r="C1081" s="2" t="str">
        <f t="shared" si="33"/>
        <v>NSG_Residential_Multi-Family_Standard Rebate_Steam Traps_Industrial/Process Audit - 125 ≤ psig &lt; 175_MF_2022</v>
      </c>
      <c r="D1081" s="19" t="s">
        <v>1787</v>
      </c>
      <c r="E1081" s="19" t="s">
        <v>2</v>
      </c>
      <c r="F1081" s="19" t="s">
        <v>1422</v>
      </c>
      <c r="G1081" s="19" t="s">
        <v>1418</v>
      </c>
      <c r="H1081" s="19" t="s">
        <v>644</v>
      </c>
      <c r="I1081" s="19" t="s">
        <v>1374</v>
      </c>
      <c r="J1081" s="19" t="s">
        <v>37</v>
      </c>
      <c r="K1081" s="19" t="s">
        <v>553</v>
      </c>
      <c r="L1081" s="19">
        <v>2022</v>
      </c>
      <c r="M1081" s="20">
        <v>1</v>
      </c>
      <c r="N1081" s="19" t="s">
        <v>1798</v>
      </c>
      <c r="O1081" s="20">
        <v>0</v>
      </c>
      <c r="P1081" s="20">
        <v>0</v>
      </c>
      <c r="Q1081" s="20">
        <v>0</v>
      </c>
      <c r="R1081" s="21">
        <v>0.87</v>
      </c>
      <c r="S1081" s="20">
        <v>0</v>
      </c>
    </row>
    <row r="1082" spans="2:19" ht="15" customHeight="1" x14ac:dyDescent="0.25">
      <c r="B1082" s="2" t="str">
        <f t="shared" si="32"/>
        <v>NSG_Residential_Multi-Family_Standard Rebate_Steam Traps_Industrial/Process Audit - 125 ≤ psig &lt; 175_MF</v>
      </c>
      <c r="C1082" s="2" t="str">
        <f t="shared" si="33"/>
        <v>NSG_Residential_Multi-Family_Standard Rebate_Steam Traps_Industrial/Process Audit - 125 ≤ psig &lt; 175_MF_2023</v>
      </c>
      <c r="D1082" s="19" t="s">
        <v>1787</v>
      </c>
      <c r="E1082" s="19" t="s">
        <v>2</v>
      </c>
      <c r="F1082" s="19" t="s">
        <v>1422</v>
      </c>
      <c r="G1082" s="19" t="s">
        <v>1418</v>
      </c>
      <c r="H1082" s="19" t="s">
        <v>644</v>
      </c>
      <c r="I1082" s="19" t="s">
        <v>1374</v>
      </c>
      <c r="J1082" s="19" t="s">
        <v>37</v>
      </c>
      <c r="K1082" s="19" t="s">
        <v>553</v>
      </c>
      <c r="L1082" s="19">
        <v>2023</v>
      </c>
      <c r="M1082" s="20">
        <v>1</v>
      </c>
      <c r="N1082" s="19" t="s">
        <v>1798</v>
      </c>
      <c r="O1082" s="20">
        <v>0</v>
      </c>
      <c r="P1082" s="20">
        <v>0</v>
      </c>
      <c r="Q1082" s="20">
        <v>0</v>
      </c>
      <c r="R1082" s="21">
        <v>0.87</v>
      </c>
      <c r="S1082" s="20">
        <v>0</v>
      </c>
    </row>
    <row r="1083" spans="2:19" ht="15" customHeight="1" x14ac:dyDescent="0.25">
      <c r="B1083" s="2" t="str">
        <f t="shared" si="32"/>
        <v>NSG_Residential_Multi-Family_Standard Rebate_Steam Traps_Industrial/Process Audit - 125 ≤ psig &lt; 175_MF</v>
      </c>
      <c r="C1083" s="2" t="str">
        <f t="shared" si="33"/>
        <v>NSG_Residential_Multi-Family_Standard Rebate_Steam Traps_Industrial/Process Audit - 125 ≤ psig &lt; 175_MF_2024</v>
      </c>
      <c r="D1083" s="19" t="s">
        <v>1787</v>
      </c>
      <c r="E1083" s="19" t="s">
        <v>2</v>
      </c>
      <c r="F1083" s="19" t="s">
        <v>1422</v>
      </c>
      <c r="G1083" s="19" t="s">
        <v>1418</v>
      </c>
      <c r="H1083" s="19" t="s">
        <v>644</v>
      </c>
      <c r="I1083" s="19" t="s">
        <v>1374</v>
      </c>
      <c r="J1083" s="19" t="s">
        <v>37</v>
      </c>
      <c r="K1083" s="19" t="s">
        <v>553</v>
      </c>
      <c r="L1083" s="19">
        <v>2024</v>
      </c>
      <c r="M1083" s="20">
        <v>1</v>
      </c>
      <c r="N1083" s="19" t="s">
        <v>1798</v>
      </c>
      <c r="O1083" s="20">
        <v>0</v>
      </c>
      <c r="P1083" s="20">
        <v>0</v>
      </c>
      <c r="Q1083" s="20">
        <v>0</v>
      </c>
      <c r="R1083" s="21">
        <v>0.87</v>
      </c>
      <c r="S1083" s="20">
        <v>0</v>
      </c>
    </row>
    <row r="1084" spans="2:19" ht="15" customHeight="1" x14ac:dyDescent="0.25">
      <c r="B1084" s="2" t="str">
        <f t="shared" si="32"/>
        <v>NSG_Residential_Multi-Family_Standard Rebate_Steam Traps_Industrial/Process Audit - 125 ≤ psig &lt; 175_MF</v>
      </c>
      <c r="C1084" s="2" t="str">
        <f t="shared" si="33"/>
        <v>NSG_Residential_Multi-Family_Standard Rebate_Steam Traps_Industrial/Process Audit - 125 ≤ psig &lt; 175_MF_2025</v>
      </c>
      <c r="D1084" s="19" t="s">
        <v>1787</v>
      </c>
      <c r="E1084" s="19" t="s">
        <v>2</v>
      </c>
      <c r="F1084" s="19" t="s">
        <v>1422</v>
      </c>
      <c r="G1084" s="19" t="s">
        <v>1418</v>
      </c>
      <c r="H1084" s="19" t="s">
        <v>644</v>
      </c>
      <c r="I1084" s="19" t="s">
        <v>1374</v>
      </c>
      <c r="J1084" s="19" t="s">
        <v>37</v>
      </c>
      <c r="K1084" s="19" t="s">
        <v>553</v>
      </c>
      <c r="L1084" s="19">
        <v>2025</v>
      </c>
      <c r="M1084" s="20">
        <v>1</v>
      </c>
      <c r="N1084" s="19" t="s">
        <v>1798</v>
      </c>
      <c r="O1084" s="20">
        <v>0</v>
      </c>
      <c r="P1084" s="20">
        <v>0</v>
      </c>
      <c r="Q1084" s="20">
        <v>0</v>
      </c>
      <c r="R1084" s="21">
        <v>0.87</v>
      </c>
      <c r="S1084" s="20">
        <v>0</v>
      </c>
    </row>
    <row r="1085" spans="2:19" ht="15" customHeight="1" x14ac:dyDescent="0.25">
      <c r="B1085" s="2" t="str">
        <f t="shared" si="32"/>
        <v>NSG_Residential_Multi-Family_Standard Rebate_Steam Traps_Industrial/Process Audit - 175 ≤ psig &lt; 250_MF</v>
      </c>
      <c r="C1085" s="2" t="str">
        <f t="shared" si="33"/>
        <v>NSG_Residential_Multi-Family_Standard Rebate_Steam Traps_Industrial/Process Audit - 175 ≤ psig &lt; 250_MF_2022</v>
      </c>
      <c r="D1085" s="19" t="s">
        <v>1787</v>
      </c>
      <c r="E1085" s="19" t="s">
        <v>2</v>
      </c>
      <c r="F1085" s="19" t="s">
        <v>1422</v>
      </c>
      <c r="G1085" s="19" t="s">
        <v>1418</v>
      </c>
      <c r="H1085" s="19" t="s">
        <v>644</v>
      </c>
      <c r="I1085" s="19" t="s">
        <v>1375</v>
      </c>
      <c r="J1085" s="19" t="s">
        <v>37</v>
      </c>
      <c r="K1085" s="19" t="s">
        <v>553</v>
      </c>
      <c r="L1085" s="19">
        <v>2022</v>
      </c>
      <c r="M1085" s="20">
        <v>1</v>
      </c>
      <c r="N1085" s="19" t="s">
        <v>1798</v>
      </c>
      <c r="O1085" s="20">
        <v>0</v>
      </c>
      <c r="P1085" s="20">
        <v>0</v>
      </c>
      <c r="Q1085" s="20">
        <v>0</v>
      </c>
      <c r="R1085" s="21">
        <v>0.87</v>
      </c>
      <c r="S1085" s="20">
        <v>0</v>
      </c>
    </row>
    <row r="1086" spans="2:19" ht="15" customHeight="1" x14ac:dyDescent="0.25">
      <c r="B1086" s="2" t="str">
        <f t="shared" si="32"/>
        <v>NSG_Residential_Multi-Family_Standard Rebate_Steam Traps_Industrial/Process Audit - 175 ≤ psig &lt; 250_MF</v>
      </c>
      <c r="C1086" s="2" t="str">
        <f t="shared" si="33"/>
        <v>NSG_Residential_Multi-Family_Standard Rebate_Steam Traps_Industrial/Process Audit - 175 ≤ psig &lt; 250_MF_2023</v>
      </c>
      <c r="D1086" s="19" t="s">
        <v>1787</v>
      </c>
      <c r="E1086" s="19" t="s">
        <v>2</v>
      </c>
      <c r="F1086" s="19" t="s">
        <v>1422</v>
      </c>
      <c r="G1086" s="19" t="s">
        <v>1418</v>
      </c>
      <c r="H1086" s="19" t="s">
        <v>644</v>
      </c>
      <c r="I1086" s="19" t="s">
        <v>1375</v>
      </c>
      <c r="J1086" s="19" t="s">
        <v>37</v>
      </c>
      <c r="K1086" s="19" t="s">
        <v>553</v>
      </c>
      <c r="L1086" s="19">
        <v>2023</v>
      </c>
      <c r="M1086" s="20">
        <v>1</v>
      </c>
      <c r="N1086" s="19" t="s">
        <v>1798</v>
      </c>
      <c r="O1086" s="20">
        <v>0</v>
      </c>
      <c r="P1086" s="20">
        <v>0</v>
      </c>
      <c r="Q1086" s="20">
        <v>0</v>
      </c>
      <c r="R1086" s="21">
        <v>0.87</v>
      </c>
      <c r="S1086" s="20">
        <v>0</v>
      </c>
    </row>
    <row r="1087" spans="2:19" ht="15" customHeight="1" x14ac:dyDescent="0.25">
      <c r="B1087" s="2" t="str">
        <f t="shared" si="32"/>
        <v>NSG_Residential_Multi-Family_Standard Rebate_Steam Traps_Industrial/Process Audit - 175 ≤ psig &lt; 250_MF</v>
      </c>
      <c r="C1087" s="2" t="str">
        <f t="shared" si="33"/>
        <v>NSG_Residential_Multi-Family_Standard Rebate_Steam Traps_Industrial/Process Audit - 175 ≤ psig &lt; 250_MF_2024</v>
      </c>
      <c r="D1087" s="19" t="s">
        <v>1787</v>
      </c>
      <c r="E1087" s="19" t="s">
        <v>2</v>
      </c>
      <c r="F1087" s="19" t="s">
        <v>1422</v>
      </c>
      <c r="G1087" s="19" t="s">
        <v>1418</v>
      </c>
      <c r="H1087" s="19" t="s">
        <v>644</v>
      </c>
      <c r="I1087" s="19" t="s">
        <v>1375</v>
      </c>
      <c r="J1087" s="19" t="s">
        <v>37</v>
      </c>
      <c r="K1087" s="19" t="s">
        <v>553</v>
      </c>
      <c r="L1087" s="19">
        <v>2024</v>
      </c>
      <c r="M1087" s="20">
        <v>1</v>
      </c>
      <c r="N1087" s="19" t="s">
        <v>1798</v>
      </c>
      <c r="O1087" s="20">
        <v>0</v>
      </c>
      <c r="P1087" s="20">
        <v>0</v>
      </c>
      <c r="Q1087" s="20">
        <v>0</v>
      </c>
      <c r="R1087" s="21">
        <v>0.87</v>
      </c>
      <c r="S1087" s="20">
        <v>0</v>
      </c>
    </row>
    <row r="1088" spans="2:19" ht="15" customHeight="1" x14ac:dyDescent="0.25">
      <c r="B1088" s="2" t="str">
        <f t="shared" si="32"/>
        <v>NSG_Residential_Multi-Family_Standard Rebate_Steam Traps_Industrial/Process Audit - 175 ≤ psig &lt; 250_MF</v>
      </c>
      <c r="C1088" s="2" t="str">
        <f t="shared" si="33"/>
        <v>NSG_Residential_Multi-Family_Standard Rebate_Steam Traps_Industrial/Process Audit - 175 ≤ psig &lt; 250_MF_2025</v>
      </c>
      <c r="D1088" s="19" t="s">
        <v>1787</v>
      </c>
      <c r="E1088" s="19" t="s">
        <v>2</v>
      </c>
      <c r="F1088" s="19" t="s">
        <v>1422</v>
      </c>
      <c r="G1088" s="19" t="s">
        <v>1418</v>
      </c>
      <c r="H1088" s="19" t="s">
        <v>644</v>
      </c>
      <c r="I1088" s="19" t="s">
        <v>1375</v>
      </c>
      <c r="J1088" s="19" t="s">
        <v>37</v>
      </c>
      <c r="K1088" s="19" t="s">
        <v>553</v>
      </c>
      <c r="L1088" s="19">
        <v>2025</v>
      </c>
      <c r="M1088" s="20">
        <v>1</v>
      </c>
      <c r="N1088" s="19" t="s">
        <v>1798</v>
      </c>
      <c r="O1088" s="20">
        <v>0</v>
      </c>
      <c r="P1088" s="20">
        <v>0</v>
      </c>
      <c r="Q1088" s="20">
        <v>0</v>
      </c>
      <c r="R1088" s="21">
        <v>0.87</v>
      </c>
      <c r="S1088" s="20">
        <v>0</v>
      </c>
    </row>
    <row r="1089" spans="2:19" ht="15" customHeight="1" x14ac:dyDescent="0.25">
      <c r="B1089" s="2" t="str">
        <f t="shared" si="32"/>
        <v>NSG_Residential_Multi-Family_Standard Rebate_Steam Traps_Industrial/Process Audit - 250 ≤ psig_MF</v>
      </c>
      <c r="C1089" s="2" t="str">
        <f t="shared" si="33"/>
        <v>NSG_Residential_Multi-Family_Standard Rebate_Steam Traps_Industrial/Process Audit - 250 ≤ psig_MF_2022</v>
      </c>
      <c r="D1089" s="19" t="s">
        <v>1787</v>
      </c>
      <c r="E1089" s="19" t="s">
        <v>2</v>
      </c>
      <c r="F1089" s="19" t="s">
        <v>1422</v>
      </c>
      <c r="G1089" s="19" t="s">
        <v>1418</v>
      </c>
      <c r="H1089" s="19" t="s">
        <v>644</v>
      </c>
      <c r="I1089" s="19" t="s">
        <v>1376</v>
      </c>
      <c r="J1089" s="19" t="s">
        <v>37</v>
      </c>
      <c r="K1089" s="19" t="s">
        <v>553</v>
      </c>
      <c r="L1089" s="19">
        <v>2022</v>
      </c>
      <c r="M1089" s="20">
        <v>1</v>
      </c>
      <c r="N1089" s="19" t="s">
        <v>1798</v>
      </c>
      <c r="O1089" s="20">
        <v>0</v>
      </c>
      <c r="P1089" s="20">
        <v>0</v>
      </c>
      <c r="Q1089" s="20">
        <v>0</v>
      </c>
      <c r="R1089" s="21">
        <v>0.87</v>
      </c>
      <c r="S1089" s="20">
        <v>0</v>
      </c>
    </row>
    <row r="1090" spans="2:19" ht="15" customHeight="1" x14ac:dyDescent="0.25">
      <c r="B1090" s="2" t="str">
        <f t="shared" si="32"/>
        <v>NSG_Residential_Multi-Family_Standard Rebate_Steam Traps_Industrial/Process Audit - 250 ≤ psig_MF</v>
      </c>
      <c r="C1090" s="2" t="str">
        <f t="shared" si="33"/>
        <v>NSG_Residential_Multi-Family_Standard Rebate_Steam Traps_Industrial/Process Audit - 250 ≤ psig_MF_2023</v>
      </c>
      <c r="D1090" s="19" t="s">
        <v>1787</v>
      </c>
      <c r="E1090" s="19" t="s">
        <v>2</v>
      </c>
      <c r="F1090" s="19" t="s">
        <v>1422</v>
      </c>
      <c r="G1090" s="19" t="s">
        <v>1418</v>
      </c>
      <c r="H1090" s="19" t="s">
        <v>644</v>
      </c>
      <c r="I1090" s="19" t="s">
        <v>1376</v>
      </c>
      <c r="J1090" s="19" t="s">
        <v>37</v>
      </c>
      <c r="K1090" s="19" t="s">
        <v>553</v>
      </c>
      <c r="L1090" s="19">
        <v>2023</v>
      </c>
      <c r="M1090" s="20">
        <v>1</v>
      </c>
      <c r="N1090" s="19" t="s">
        <v>1798</v>
      </c>
      <c r="O1090" s="20">
        <v>0</v>
      </c>
      <c r="P1090" s="20">
        <v>0</v>
      </c>
      <c r="Q1090" s="20">
        <v>0</v>
      </c>
      <c r="R1090" s="21">
        <v>0.87</v>
      </c>
      <c r="S1090" s="20">
        <v>0</v>
      </c>
    </row>
    <row r="1091" spans="2:19" ht="15" customHeight="1" x14ac:dyDescent="0.25">
      <c r="B1091" s="2" t="str">
        <f t="shared" si="32"/>
        <v>NSG_Residential_Multi-Family_Standard Rebate_Steam Traps_Industrial/Process Audit - 250 ≤ psig_MF</v>
      </c>
      <c r="C1091" s="2" t="str">
        <f t="shared" si="33"/>
        <v>NSG_Residential_Multi-Family_Standard Rebate_Steam Traps_Industrial/Process Audit - 250 ≤ psig_MF_2024</v>
      </c>
      <c r="D1091" s="19" t="s">
        <v>1787</v>
      </c>
      <c r="E1091" s="19" t="s">
        <v>2</v>
      </c>
      <c r="F1091" s="19" t="s">
        <v>1422</v>
      </c>
      <c r="G1091" s="19" t="s">
        <v>1418</v>
      </c>
      <c r="H1091" s="19" t="s">
        <v>644</v>
      </c>
      <c r="I1091" s="19" t="s">
        <v>1376</v>
      </c>
      <c r="J1091" s="19" t="s">
        <v>37</v>
      </c>
      <c r="K1091" s="19" t="s">
        <v>553</v>
      </c>
      <c r="L1091" s="19">
        <v>2024</v>
      </c>
      <c r="M1091" s="20">
        <v>1</v>
      </c>
      <c r="N1091" s="19" t="s">
        <v>1798</v>
      </c>
      <c r="O1091" s="20">
        <v>0</v>
      </c>
      <c r="P1091" s="20">
        <v>0</v>
      </c>
      <c r="Q1091" s="20">
        <v>0</v>
      </c>
      <c r="R1091" s="21">
        <v>0.87</v>
      </c>
      <c r="S1091" s="20">
        <v>0</v>
      </c>
    </row>
    <row r="1092" spans="2:19" ht="15" customHeight="1" x14ac:dyDescent="0.25">
      <c r="B1092" s="2" t="str">
        <f t="shared" si="32"/>
        <v>NSG_Residential_Multi-Family_Standard Rebate_Steam Traps_Industrial/Process Audit - 250 ≤ psig_MF</v>
      </c>
      <c r="C1092" s="2" t="str">
        <f t="shared" si="33"/>
        <v>NSG_Residential_Multi-Family_Standard Rebate_Steam Traps_Industrial/Process Audit - 250 ≤ psig_MF_2025</v>
      </c>
      <c r="D1092" s="19" t="s">
        <v>1787</v>
      </c>
      <c r="E1092" s="19" t="s">
        <v>2</v>
      </c>
      <c r="F1092" s="19" t="s">
        <v>1422</v>
      </c>
      <c r="G1092" s="19" t="s">
        <v>1418</v>
      </c>
      <c r="H1092" s="19" t="s">
        <v>644</v>
      </c>
      <c r="I1092" s="19" t="s">
        <v>1376</v>
      </c>
      <c r="J1092" s="19" t="s">
        <v>37</v>
      </c>
      <c r="K1092" s="19" t="s">
        <v>553</v>
      </c>
      <c r="L1092" s="19">
        <v>2025</v>
      </c>
      <c r="M1092" s="20">
        <v>1</v>
      </c>
      <c r="N1092" s="19" t="s">
        <v>1798</v>
      </c>
      <c r="O1092" s="20">
        <v>0</v>
      </c>
      <c r="P1092" s="20">
        <v>0</v>
      </c>
      <c r="Q1092" s="20">
        <v>0</v>
      </c>
      <c r="R1092" s="21">
        <v>0.87</v>
      </c>
      <c r="S1092" s="20">
        <v>0</v>
      </c>
    </row>
    <row r="1093" spans="2:19" ht="15" customHeight="1" x14ac:dyDescent="0.25">
      <c r="B1093" s="2" t="str">
        <f t="shared" si="32"/>
        <v>NSG_Residential_Multi-Family_Standard Rebate_Steam Traps_Test_MF</v>
      </c>
      <c r="C1093" s="2" t="str">
        <f t="shared" si="33"/>
        <v>NSG_Residential_Multi-Family_Standard Rebate_Steam Traps_Test_MF_2022</v>
      </c>
      <c r="D1093" s="19" t="s">
        <v>1787</v>
      </c>
      <c r="E1093" s="19" t="s">
        <v>2</v>
      </c>
      <c r="F1093" s="19" t="s">
        <v>1422</v>
      </c>
      <c r="G1093" s="19" t="s">
        <v>1418</v>
      </c>
      <c r="H1093" s="19" t="s">
        <v>644</v>
      </c>
      <c r="I1093" s="19" t="s">
        <v>1097</v>
      </c>
      <c r="J1093" s="19">
        <v>0</v>
      </c>
      <c r="K1093" s="19" t="s">
        <v>553</v>
      </c>
      <c r="L1093" s="19">
        <v>2022</v>
      </c>
      <c r="M1093" s="20">
        <v>1</v>
      </c>
      <c r="N1093" s="19" t="s">
        <v>1798</v>
      </c>
      <c r="O1093" s="20">
        <v>0</v>
      </c>
      <c r="P1093" s="20">
        <v>0</v>
      </c>
      <c r="Q1093" s="20">
        <v>0</v>
      </c>
      <c r="R1093" s="21">
        <v>0.87</v>
      </c>
      <c r="S1093" s="20">
        <v>0</v>
      </c>
    </row>
    <row r="1094" spans="2:19" ht="15" customHeight="1" x14ac:dyDescent="0.25">
      <c r="B1094" s="2" t="str">
        <f t="shared" ref="B1094:B1157" si="34">D1094&amp;"_"&amp;E1094&amp;"_"&amp;F1094&amp;"_"&amp;G1094&amp;"_"&amp;H1094&amp;"_"&amp;I1094&amp;"_"&amp;K1094</f>
        <v>NSG_Residential_Multi-Family_Standard Rebate_Steam Traps_Test_MF</v>
      </c>
      <c r="C1094" s="2" t="str">
        <f t="shared" ref="C1094:C1157" si="35">D1094&amp;"_"&amp;E1094&amp;"_"&amp;F1094&amp;"_"&amp;G1094&amp;"_"&amp;H1094&amp;"_"&amp;I1094&amp;"_"&amp;K1094&amp;"_"&amp;L1094</f>
        <v>NSG_Residential_Multi-Family_Standard Rebate_Steam Traps_Test_MF_2023</v>
      </c>
      <c r="D1094" s="19" t="s">
        <v>1787</v>
      </c>
      <c r="E1094" s="19" t="s">
        <v>2</v>
      </c>
      <c r="F1094" s="19" t="s">
        <v>1422</v>
      </c>
      <c r="G1094" s="19" t="s">
        <v>1418</v>
      </c>
      <c r="H1094" s="19" t="s">
        <v>644</v>
      </c>
      <c r="I1094" s="19" t="s">
        <v>1097</v>
      </c>
      <c r="J1094" s="19">
        <v>0</v>
      </c>
      <c r="K1094" s="19" t="s">
        <v>553</v>
      </c>
      <c r="L1094" s="19">
        <v>2023</v>
      </c>
      <c r="M1094" s="20">
        <v>1</v>
      </c>
      <c r="N1094" s="19" t="s">
        <v>1798</v>
      </c>
      <c r="O1094" s="20">
        <v>0</v>
      </c>
      <c r="P1094" s="20">
        <v>0</v>
      </c>
      <c r="Q1094" s="20">
        <v>0</v>
      </c>
      <c r="R1094" s="21">
        <v>0.87</v>
      </c>
      <c r="S1094" s="20">
        <v>0</v>
      </c>
    </row>
    <row r="1095" spans="2:19" ht="15" customHeight="1" x14ac:dyDescent="0.25">
      <c r="B1095" s="2" t="str">
        <f t="shared" si="34"/>
        <v>NSG_Residential_Multi-Family_Standard Rebate_Steam Traps_Test_MF</v>
      </c>
      <c r="C1095" s="2" t="str">
        <f t="shared" si="35"/>
        <v>NSG_Residential_Multi-Family_Standard Rebate_Steam Traps_Test_MF_2024</v>
      </c>
      <c r="D1095" s="19" t="s">
        <v>1787</v>
      </c>
      <c r="E1095" s="19" t="s">
        <v>2</v>
      </c>
      <c r="F1095" s="19" t="s">
        <v>1422</v>
      </c>
      <c r="G1095" s="19" t="s">
        <v>1418</v>
      </c>
      <c r="H1095" s="19" t="s">
        <v>644</v>
      </c>
      <c r="I1095" s="19" t="s">
        <v>1097</v>
      </c>
      <c r="J1095" s="19">
        <v>0</v>
      </c>
      <c r="K1095" s="19" t="s">
        <v>553</v>
      </c>
      <c r="L1095" s="19">
        <v>2024</v>
      </c>
      <c r="M1095" s="20">
        <v>1</v>
      </c>
      <c r="N1095" s="19" t="s">
        <v>1798</v>
      </c>
      <c r="O1095" s="20">
        <v>0</v>
      </c>
      <c r="P1095" s="20">
        <v>0</v>
      </c>
      <c r="Q1095" s="20">
        <v>0</v>
      </c>
      <c r="R1095" s="21">
        <v>0.87</v>
      </c>
      <c r="S1095" s="20">
        <v>0</v>
      </c>
    </row>
    <row r="1096" spans="2:19" ht="15" customHeight="1" x14ac:dyDescent="0.25">
      <c r="B1096" s="2" t="str">
        <f t="shared" si="34"/>
        <v>NSG_Residential_Multi-Family_Standard Rebate_Steam Traps_Test_MF</v>
      </c>
      <c r="C1096" s="2" t="str">
        <f t="shared" si="35"/>
        <v>NSG_Residential_Multi-Family_Standard Rebate_Steam Traps_Test_MF_2025</v>
      </c>
      <c r="D1096" s="19" t="s">
        <v>1787</v>
      </c>
      <c r="E1096" s="19" t="s">
        <v>2</v>
      </c>
      <c r="F1096" s="19" t="s">
        <v>1422</v>
      </c>
      <c r="G1096" s="19" t="s">
        <v>1418</v>
      </c>
      <c r="H1096" s="19" t="s">
        <v>644</v>
      </c>
      <c r="I1096" s="19" t="s">
        <v>1097</v>
      </c>
      <c r="J1096" s="19">
        <v>0</v>
      </c>
      <c r="K1096" s="19" t="s">
        <v>553</v>
      </c>
      <c r="L1096" s="19">
        <v>2025</v>
      </c>
      <c r="M1096" s="20">
        <v>1</v>
      </c>
      <c r="N1096" s="19" t="s">
        <v>1798</v>
      </c>
      <c r="O1096" s="20">
        <v>0</v>
      </c>
      <c r="P1096" s="20">
        <v>0</v>
      </c>
      <c r="Q1096" s="20">
        <v>0</v>
      </c>
      <c r="R1096" s="21">
        <v>0.87</v>
      </c>
      <c r="S1096" s="20">
        <v>0</v>
      </c>
    </row>
    <row r="1097" spans="2:19" ht="15" customHeight="1" x14ac:dyDescent="0.25">
      <c r="B1097" s="2" t="str">
        <f t="shared" si="34"/>
        <v>NSG_Residential_Multi-Family_Standard Rebate_Condensate Tank Insulation_0_MF/CI/SMB</v>
      </c>
      <c r="C1097" s="2" t="str">
        <f t="shared" si="35"/>
        <v>NSG_Residential_Multi-Family_Standard Rebate_Condensate Tank Insulation_0_MF/CI/SMB_2022</v>
      </c>
      <c r="D1097" s="19" t="s">
        <v>1787</v>
      </c>
      <c r="E1097" s="19" t="s">
        <v>2</v>
      </c>
      <c r="F1097" s="19" t="s">
        <v>1422</v>
      </c>
      <c r="G1097" s="19" t="s">
        <v>1418</v>
      </c>
      <c r="H1097" s="19" t="s">
        <v>806</v>
      </c>
      <c r="I1097" s="19">
        <v>0</v>
      </c>
      <c r="J1097" s="19" t="s">
        <v>810</v>
      </c>
      <c r="K1097" s="19" t="s">
        <v>662</v>
      </c>
      <c r="L1097" s="19">
        <v>2022</v>
      </c>
      <c r="M1097" s="20">
        <v>550</v>
      </c>
      <c r="N1097" s="19" t="s">
        <v>634</v>
      </c>
      <c r="O1097" s="20">
        <v>0</v>
      </c>
      <c r="P1097" s="20">
        <v>0</v>
      </c>
      <c r="Q1097" s="20">
        <v>0</v>
      </c>
      <c r="R1097" s="21">
        <v>0.87</v>
      </c>
      <c r="S1097" s="20">
        <v>0</v>
      </c>
    </row>
    <row r="1098" spans="2:19" ht="15" customHeight="1" x14ac:dyDescent="0.25">
      <c r="B1098" s="2" t="str">
        <f t="shared" si="34"/>
        <v>NSG_Residential_Multi-Family_Standard Rebate_Condensate Tank Insulation_0_MF/CI/SMB</v>
      </c>
      <c r="C1098" s="2" t="str">
        <f t="shared" si="35"/>
        <v>NSG_Residential_Multi-Family_Standard Rebate_Condensate Tank Insulation_0_MF/CI/SMB_2023</v>
      </c>
      <c r="D1098" s="19" t="s">
        <v>1787</v>
      </c>
      <c r="E1098" s="19" t="s">
        <v>2</v>
      </c>
      <c r="F1098" s="19" t="s">
        <v>1422</v>
      </c>
      <c r="G1098" s="19" t="s">
        <v>1418</v>
      </c>
      <c r="H1098" s="19" t="s">
        <v>806</v>
      </c>
      <c r="I1098" s="19">
        <v>0</v>
      </c>
      <c r="J1098" s="19" t="s">
        <v>810</v>
      </c>
      <c r="K1098" s="19" t="s">
        <v>662</v>
      </c>
      <c r="L1098" s="19">
        <v>2023</v>
      </c>
      <c r="M1098" s="20">
        <v>550</v>
      </c>
      <c r="N1098" s="19" t="s">
        <v>634</v>
      </c>
      <c r="O1098" s="20">
        <v>0</v>
      </c>
      <c r="P1098" s="20">
        <v>0</v>
      </c>
      <c r="Q1098" s="20">
        <v>0</v>
      </c>
      <c r="R1098" s="21">
        <v>0.87</v>
      </c>
      <c r="S1098" s="20">
        <v>0</v>
      </c>
    </row>
    <row r="1099" spans="2:19" ht="15" customHeight="1" x14ac:dyDescent="0.25">
      <c r="B1099" s="2" t="str">
        <f t="shared" si="34"/>
        <v>NSG_Residential_Multi-Family_Standard Rebate_Condensate Tank Insulation_0_MF/CI/SMB</v>
      </c>
      <c r="C1099" s="2" t="str">
        <f t="shared" si="35"/>
        <v>NSG_Residential_Multi-Family_Standard Rebate_Condensate Tank Insulation_0_MF/CI/SMB_2024</v>
      </c>
      <c r="D1099" s="19" t="s">
        <v>1787</v>
      </c>
      <c r="E1099" s="19" t="s">
        <v>2</v>
      </c>
      <c r="F1099" s="19" t="s">
        <v>1422</v>
      </c>
      <c r="G1099" s="19" t="s">
        <v>1418</v>
      </c>
      <c r="H1099" s="19" t="s">
        <v>806</v>
      </c>
      <c r="I1099" s="19">
        <v>0</v>
      </c>
      <c r="J1099" s="19" t="s">
        <v>810</v>
      </c>
      <c r="K1099" s="19" t="s">
        <v>662</v>
      </c>
      <c r="L1099" s="19">
        <v>2024</v>
      </c>
      <c r="M1099" s="20">
        <v>550</v>
      </c>
      <c r="N1099" s="19" t="s">
        <v>634</v>
      </c>
      <c r="O1099" s="20">
        <v>0</v>
      </c>
      <c r="P1099" s="20">
        <v>0</v>
      </c>
      <c r="Q1099" s="20">
        <v>0</v>
      </c>
      <c r="R1099" s="21">
        <v>0.87</v>
      </c>
      <c r="S1099" s="20">
        <v>0</v>
      </c>
    </row>
    <row r="1100" spans="2:19" ht="15" customHeight="1" x14ac:dyDescent="0.25">
      <c r="B1100" s="2" t="str">
        <f t="shared" si="34"/>
        <v>NSG_Residential_Multi-Family_Standard Rebate_Condensate Tank Insulation_0_MF/CI/SMB</v>
      </c>
      <c r="C1100" s="2" t="str">
        <f t="shared" si="35"/>
        <v>NSG_Residential_Multi-Family_Standard Rebate_Condensate Tank Insulation_0_MF/CI/SMB_2025</v>
      </c>
      <c r="D1100" s="19" t="s">
        <v>1787</v>
      </c>
      <c r="E1100" s="19" t="s">
        <v>2</v>
      </c>
      <c r="F1100" s="19" t="s">
        <v>1422</v>
      </c>
      <c r="G1100" s="19" t="s">
        <v>1418</v>
      </c>
      <c r="H1100" s="19" t="s">
        <v>806</v>
      </c>
      <c r="I1100" s="19">
        <v>0</v>
      </c>
      <c r="J1100" s="19" t="s">
        <v>810</v>
      </c>
      <c r="K1100" s="19" t="s">
        <v>662</v>
      </c>
      <c r="L1100" s="19">
        <v>2025</v>
      </c>
      <c r="M1100" s="20">
        <v>550</v>
      </c>
      <c r="N1100" s="19" t="s">
        <v>634</v>
      </c>
      <c r="O1100" s="20">
        <v>0</v>
      </c>
      <c r="P1100" s="20">
        <v>0</v>
      </c>
      <c r="Q1100" s="20">
        <v>0</v>
      </c>
      <c r="R1100" s="21">
        <v>0.87</v>
      </c>
      <c r="S1100" s="20">
        <v>0</v>
      </c>
    </row>
    <row r="1101" spans="2:19" ht="15" customHeight="1" x14ac:dyDescent="0.25">
      <c r="B1101" s="2" t="str">
        <f t="shared" si="34"/>
        <v>NSG_Residential_Multi-Family_Standard Rebate_DHW Storage Tank Insulation_0_MF/CI/SMB</v>
      </c>
      <c r="C1101" s="2" t="str">
        <f t="shared" si="35"/>
        <v>NSG_Residential_Multi-Family_Standard Rebate_DHW Storage Tank Insulation_0_MF/CI/SMB_2022</v>
      </c>
      <c r="D1101" s="19" t="s">
        <v>1787</v>
      </c>
      <c r="E1101" s="19" t="s">
        <v>2</v>
      </c>
      <c r="F1101" s="19" t="s">
        <v>1422</v>
      </c>
      <c r="G1101" s="19" t="s">
        <v>1418</v>
      </c>
      <c r="H1101" s="19" t="s">
        <v>832</v>
      </c>
      <c r="I1101" s="19">
        <v>0</v>
      </c>
      <c r="J1101" s="19" t="s">
        <v>810</v>
      </c>
      <c r="K1101" s="19" t="s">
        <v>662</v>
      </c>
      <c r="L1101" s="19">
        <v>2022</v>
      </c>
      <c r="M1101" s="20">
        <v>56</v>
      </c>
      <c r="N1101" s="19" t="s">
        <v>634</v>
      </c>
      <c r="O1101" s="20">
        <v>0</v>
      </c>
      <c r="P1101" s="20">
        <v>0</v>
      </c>
      <c r="Q1101" s="20">
        <v>0</v>
      </c>
      <c r="R1101" s="21">
        <v>0.87</v>
      </c>
      <c r="S1101" s="20">
        <v>0</v>
      </c>
    </row>
    <row r="1102" spans="2:19" ht="15" customHeight="1" x14ac:dyDescent="0.25">
      <c r="B1102" s="2" t="str">
        <f t="shared" si="34"/>
        <v>NSG_Residential_Multi-Family_Standard Rebate_DHW Storage Tank Insulation_0_MF/CI/SMB</v>
      </c>
      <c r="C1102" s="2" t="str">
        <f t="shared" si="35"/>
        <v>NSG_Residential_Multi-Family_Standard Rebate_DHW Storage Tank Insulation_0_MF/CI/SMB_2023</v>
      </c>
      <c r="D1102" s="19" t="s">
        <v>1787</v>
      </c>
      <c r="E1102" s="19" t="s">
        <v>2</v>
      </c>
      <c r="F1102" s="19" t="s">
        <v>1422</v>
      </c>
      <c r="G1102" s="19" t="s">
        <v>1418</v>
      </c>
      <c r="H1102" s="19" t="s">
        <v>832</v>
      </c>
      <c r="I1102" s="19">
        <v>0</v>
      </c>
      <c r="J1102" s="19" t="s">
        <v>810</v>
      </c>
      <c r="K1102" s="19" t="s">
        <v>662</v>
      </c>
      <c r="L1102" s="19">
        <v>2023</v>
      </c>
      <c r="M1102" s="20">
        <v>56</v>
      </c>
      <c r="N1102" s="19" t="s">
        <v>634</v>
      </c>
      <c r="O1102" s="20">
        <v>0</v>
      </c>
      <c r="P1102" s="20">
        <v>0</v>
      </c>
      <c r="Q1102" s="20">
        <v>0</v>
      </c>
      <c r="R1102" s="21">
        <v>0.87</v>
      </c>
      <c r="S1102" s="20">
        <v>0</v>
      </c>
    </row>
    <row r="1103" spans="2:19" ht="15" customHeight="1" x14ac:dyDescent="0.25">
      <c r="B1103" s="2" t="str">
        <f t="shared" si="34"/>
        <v>NSG_Residential_Multi-Family_Standard Rebate_DHW Storage Tank Insulation_0_MF/CI/SMB</v>
      </c>
      <c r="C1103" s="2" t="str">
        <f t="shared" si="35"/>
        <v>NSG_Residential_Multi-Family_Standard Rebate_DHW Storage Tank Insulation_0_MF/CI/SMB_2024</v>
      </c>
      <c r="D1103" s="19" t="s">
        <v>1787</v>
      </c>
      <c r="E1103" s="19" t="s">
        <v>2</v>
      </c>
      <c r="F1103" s="19" t="s">
        <v>1422</v>
      </c>
      <c r="G1103" s="19" t="s">
        <v>1418</v>
      </c>
      <c r="H1103" s="19" t="s">
        <v>832</v>
      </c>
      <c r="I1103" s="19">
        <v>0</v>
      </c>
      <c r="J1103" s="19" t="s">
        <v>810</v>
      </c>
      <c r="K1103" s="19" t="s">
        <v>662</v>
      </c>
      <c r="L1103" s="19">
        <v>2024</v>
      </c>
      <c r="M1103" s="20">
        <v>56</v>
      </c>
      <c r="N1103" s="19" t="s">
        <v>634</v>
      </c>
      <c r="O1103" s="20">
        <v>0</v>
      </c>
      <c r="P1103" s="20">
        <v>0</v>
      </c>
      <c r="Q1103" s="20">
        <v>0</v>
      </c>
      <c r="R1103" s="21">
        <v>0.87</v>
      </c>
      <c r="S1103" s="20">
        <v>0</v>
      </c>
    </row>
    <row r="1104" spans="2:19" ht="15" customHeight="1" x14ac:dyDescent="0.25">
      <c r="B1104" s="2" t="str">
        <f t="shared" si="34"/>
        <v>NSG_Residential_Multi-Family_Standard Rebate_DHW Storage Tank Insulation_0_MF/CI/SMB</v>
      </c>
      <c r="C1104" s="2" t="str">
        <f t="shared" si="35"/>
        <v>NSG_Residential_Multi-Family_Standard Rebate_DHW Storage Tank Insulation_0_MF/CI/SMB_2025</v>
      </c>
      <c r="D1104" s="19" t="s">
        <v>1787</v>
      </c>
      <c r="E1104" s="19" t="s">
        <v>2</v>
      </c>
      <c r="F1104" s="19" t="s">
        <v>1422</v>
      </c>
      <c r="G1104" s="19" t="s">
        <v>1418</v>
      </c>
      <c r="H1104" s="19" t="s">
        <v>832</v>
      </c>
      <c r="I1104" s="19">
        <v>0</v>
      </c>
      <c r="J1104" s="19" t="s">
        <v>810</v>
      </c>
      <c r="K1104" s="19" t="s">
        <v>662</v>
      </c>
      <c r="L1104" s="19">
        <v>2025</v>
      </c>
      <c r="M1104" s="20">
        <v>56</v>
      </c>
      <c r="N1104" s="19" t="s">
        <v>634</v>
      </c>
      <c r="O1104" s="20">
        <v>0</v>
      </c>
      <c r="P1104" s="20">
        <v>0</v>
      </c>
      <c r="Q1104" s="20">
        <v>0</v>
      </c>
      <c r="R1104" s="21">
        <v>0.87</v>
      </c>
      <c r="S1104" s="20">
        <v>0</v>
      </c>
    </row>
    <row r="1105" spans="2:19" ht="15" customHeight="1" x14ac:dyDescent="0.25">
      <c r="B1105" s="2" t="str">
        <f t="shared" si="34"/>
        <v>NSG_Residential_Multi-Family_Standard Rebate_Linkageless Controls_0_MF</v>
      </c>
      <c r="C1105" s="2" t="str">
        <f t="shared" si="35"/>
        <v>NSG_Residential_Multi-Family_Standard Rebate_Linkageless Controls_0_MF_2022</v>
      </c>
      <c r="D1105" s="19" t="s">
        <v>1787</v>
      </c>
      <c r="E1105" s="19" t="s">
        <v>2</v>
      </c>
      <c r="F1105" s="19" t="s">
        <v>1422</v>
      </c>
      <c r="G1105" s="19" t="s">
        <v>1418</v>
      </c>
      <c r="H1105" s="19" t="s">
        <v>1287</v>
      </c>
      <c r="I1105" s="19">
        <v>0</v>
      </c>
      <c r="J1105" s="19" t="s">
        <v>28</v>
      </c>
      <c r="K1105" s="19" t="s">
        <v>553</v>
      </c>
      <c r="L1105" s="19">
        <v>2022</v>
      </c>
      <c r="M1105" s="20">
        <v>5000</v>
      </c>
      <c r="N1105" s="19" t="s">
        <v>667</v>
      </c>
      <c r="O1105" s="20">
        <v>0</v>
      </c>
      <c r="P1105" s="20">
        <v>0</v>
      </c>
      <c r="Q1105" s="20">
        <v>0</v>
      </c>
      <c r="R1105" s="21">
        <v>0.87</v>
      </c>
      <c r="S1105" s="20">
        <v>0</v>
      </c>
    </row>
    <row r="1106" spans="2:19" ht="15" customHeight="1" x14ac:dyDescent="0.25">
      <c r="B1106" s="2" t="str">
        <f t="shared" si="34"/>
        <v>NSG_Residential_Multi-Family_Standard Rebate_Linkageless Controls_0_MF</v>
      </c>
      <c r="C1106" s="2" t="str">
        <f t="shared" si="35"/>
        <v>NSG_Residential_Multi-Family_Standard Rebate_Linkageless Controls_0_MF_2023</v>
      </c>
      <c r="D1106" s="19" t="s">
        <v>1787</v>
      </c>
      <c r="E1106" s="19" t="s">
        <v>2</v>
      </c>
      <c r="F1106" s="19" t="s">
        <v>1422</v>
      </c>
      <c r="G1106" s="19" t="s">
        <v>1418</v>
      </c>
      <c r="H1106" s="19" t="s">
        <v>1287</v>
      </c>
      <c r="I1106" s="19">
        <v>0</v>
      </c>
      <c r="J1106" s="19" t="s">
        <v>28</v>
      </c>
      <c r="K1106" s="19" t="s">
        <v>553</v>
      </c>
      <c r="L1106" s="19">
        <v>2023</v>
      </c>
      <c r="M1106" s="20">
        <v>5000</v>
      </c>
      <c r="N1106" s="19" t="s">
        <v>667</v>
      </c>
      <c r="O1106" s="20">
        <v>0</v>
      </c>
      <c r="P1106" s="20">
        <v>0</v>
      </c>
      <c r="Q1106" s="20">
        <v>0</v>
      </c>
      <c r="R1106" s="21">
        <v>0.87</v>
      </c>
      <c r="S1106" s="20">
        <v>0</v>
      </c>
    </row>
    <row r="1107" spans="2:19" ht="15" customHeight="1" x14ac:dyDescent="0.25">
      <c r="B1107" s="2" t="str">
        <f t="shared" si="34"/>
        <v>NSG_Residential_Multi-Family_Standard Rebate_Linkageless Controls_0_MF</v>
      </c>
      <c r="C1107" s="2" t="str">
        <f t="shared" si="35"/>
        <v>NSG_Residential_Multi-Family_Standard Rebate_Linkageless Controls_0_MF_2024</v>
      </c>
      <c r="D1107" s="19" t="s">
        <v>1787</v>
      </c>
      <c r="E1107" s="19" t="s">
        <v>2</v>
      </c>
      <c r="F1107" s="19" t="s">
        <v>1422</v>
      </c>
      <c r="G1107" s="19" t="s">
        <v>1418</v>
      </c>
      <c r="H1107" s="19" t="s">
        <v>1287</v>
      </c>
      <c r="I1107" s="19">
        <v>0</v>
      </c>
      <c r="J1107" s="19" t="s">
        <v>28</v>
      </c>
      <c r="K1107" s="19" t="s">
        <v>553</v>
      </c>
      <c r="L1107" s="19">
        <v>2024</v>
      </c>
      <c r="M1107" s="20">
        <v>5000</v>
      </c>
      <c r="N1107" s="19" t="s">
        <v>667</v>
      </c>
      <c r="O1107" s="20">
        <v>0</v>
      </c>
      <c r="P1107" s="20">
        <v>0</v>
      </c>
      <c r="Q1107" s="20">
        <v>0</v>
      </c>
      <c r="R1107" s="21">
        <v>0.87</v>
      </c>
      <c r="S1107" s="20">
        <v>0</v>
      </c>
    </row>
    <row r="1108" spans="2:19" ht="15" customHeight="1" x14ac:dyDescent="0.25">
      <c r="B1108" s="2" t="str">
        <f t="shared" si="34"/>
        <v>NSG_Residential_Multi-Family_Standard Rebate_Linkageless Controls_0_MF</v>
      </c>
      <c r="C1108" s="2" t="str">
        <f t="shared" si="35"/>
        <v>NSG_Residential_Multi-Family_Standard Rebate_Linkageless Controls_0_MF_2025</v>
      </c>
      <c r="D1108" s="19" t="s">
        <v>1787</v>
      </c>
      <c r="E1108" s="19" t="s">
        <v>2</v>
      </c>
      <c r="F1108" s="19" t="s">
        <v>1422</v>
      </c>
      <c r="G1108" s="19" t="s">
        <v>1418</v>
      </c>
      <c r="H1108" s="19" t="s">
        <v>1287</v>
      </c>
      <c r="I1108" s="19">
        <v>0</v>
      </c>
      <c r="J1108" s="19" t="s">
        <v>28</v>
      </c>
      <c r="K1108" s="19" t="s">
        <v>553</v>
      </c>
      <c r="L1108" s="19">
        <v>2025</v>
      </c>
      <c r="M1108" s="20">
        <v>5000</v>
      </c>
      <c r="N1108" s="19" t="s">
        <v>667</v>
      </c>
      <c r="O1108" s="20">
        <v>0</v>
      </c>
      <c r="P1108" s="20">
        <v>0</v>
      </c>
      <c r="Q1108" s="20">
        <v>0</v>
      </c>
      <c r="R1108" s="21">
        <v>0.87</v>
      </c>
      <c r="S1108" s="20">
        <v>0</v>
      </c>
    </row>
    <row r="1109" spans="2:19" ht="15" customHeight="1" x14ac:dyDescent="0.25">
      <c r="B1109" s="2" t="str">
        <f t="shared" si="34"/>
        <v>NSG_Residential_Multi-Family_Standard Rebate_On Demand DHW Circulation System_0_MF</v>
      </c>
      <c r="C1109" s="2" t="str">
        <f t="shared" si="35"/>
        <v>NSG_Residential_Multi-Family_Standard Rebate_On Demand DHW Circulation System_0_MF_2022</v>
      </c>
      <c r="D1109" s="19" t="s">
        <v>1787</v>
      </c>
      <c r="E1109" s="19" t="s">
        <v>2</v>
      </c>
      <c r="F1109" s="19" t="s">
        <v>1422</v>
      </c>
      <c r="G1109" s="19" t="s">
        <v>1418</v>
      </c>
      <c r="H1109" s="19" t="s">
        <v>1075</v>
      </c>
      <c r="I1109" s="19">
        <v>0</v>
      </c>
      <c r="J1109" s="19" t="s">
        <v>26</v>
      </c>
      <c r="K1109" s="19" t="s">
        <v>553</v>
      </c>
      <c r="L1109" s="19">
        <v>2022</v>
      </c>
      <c r="M1109" s="20">
        <v>1</v>
      </c>
      <c r="N1109" s="19" t="s">
        <v>1804</v>
      </c>
      <c r="O1109" s="20">
        <v>0</v>
      </c>
      <c r="P1109" s="20">
        <v>0</v>
      </c>
      <c r="Q1109" s="20">
        <v>0</v>
      </c>
      <c r="R1109" s="21">
        <v>0.87</v>
      </c>
      <c r="S1109" s="20">
        <v>0</v>
      </c>
    </row>
    <row r="1110" spans="2:19" ht="15" customHeight="1" x14ac:dyDescent="0.25">
      <c r="B1110" s="2" t="str">
        <f t="shared" si="34"/>
        <v>NSG_Residential_Multi-Family_Standard Rebate_On Demand DHW Circulation System_0_MF</v>
      </c>
      <c r="C1110" s="2" t="str">
        <f t="shared" si="35"/>
        <v>NSG_Residential_Multi-Family_Standard Rebate_On Demand DHW Circulation System_0_MF_2023</v>
      </c>
      <c r="D1110" s="19" t="s">
        <v>1787</v>
      </c>
      <c r="E1110" s="19" t="s">
        <v>2</v>
      </c>
      <c r="F1110" s="19" t="s">
        <v>1422</v>
      </c>
      <c r="G1110" s="19" t="s">
        <v>1418</v>
      </c>
      <c r="H1110" s="19" t="s">
        <v>1075</v>
      </c>
      <c r="I1110" s="19">
        <v>0</v>
      </c>
      <c r="J1110" s="19" t="s">
        <v>26</v>
      </c>
      <c r="K1110" s="19" t="s">
        <v>553</v>
      </c>
      <c r="L1110" s="19">
        <v>2023</v>
      </c>
      <c r="M1110" s="20">
        <v>1</v>
      </c>
      <c r="N1110" s="19" t="s">
        <v>1804</v>
      </c>
      <c r="O1110" s="20">
        <v>0</v>
      </c>
      <c r="P1110" s="20">
        <v>0</v>
      </c>
      <c r="Q1110" s="20">
        <v>0</v>
      </c>
      <c r="R1110" s="21">
        <v>0.87</v>
      </c>
      <c r="S1110" s="20">
        <v>0</v>
      </c>
    </row>
    <row r="1111" spans="2:19" ht="15" customHeight="1" x14ac:dyDescent="0.25">
      <c r="B1111" s="2" t="str">
        <f t="shared" si="34"/>
        <v>NSG_Residential_Multi-Family_Standard Rebate_On Demand DHW Circulation System_0_MF</v>
      </c>
      <c r="C1111" s="2" t="str">
        <f t="shared" si="35"/>
        <v>NSG_Residential_Multi-Family_Standard Rebate_On Demand DHW Circulation System_0_MF_2024</v>
      </c>
      <c r="D1111" s="19" t="s">
        <v>1787</v>
      </c>
      <c r="E1111" s="19" t="s">
        <v>2</v>
      </c>
      <c r="F1111" s="19" t="s">
        <v>1422</v>
      </c>
      <c r="G1111" s="19" t="s">
        <v>1418</v>
      </c>
      <c r="H1111" s="19" t="s">
        <v>1075</v>
      </c>
      <c r="I1111" s="19">
        <v>0</v>
      </c>
      <c r="J1111" s="19" t="s">
        <v>26</v>
      </c>
      <c r="K1111" s="19" t="s">
        <v>553</v>
      </c>
      <c r="L1111" s="19">
        <v>2024</v>
      </c>
      <c r="M1111" s="20">
        <v>1</v>
      </c>
      <c r="N1111" s="19" t="s">
        <v>1804</v>
      </c>
      <c r="O1111" s="20">
        <v>0</v>
      </c>
      <c r="P1111" s="20">
        <v>0</v>
      </c>
      <c r="Q1111" s="20">
        <v>0</v>
      </c>
      <c r="R1111" s="21">
        <v>0.87</v>
      </c>
      <c r="S1111" s="20">
        <v>0</v>
      </c>
    </row>
    <row r="1112" spans="2:19" ht="15" customHeight="1" x14ac:dyDescent="0.25">
      <c r="B1112" s="2" t="str">
        <f t="shared" si="34"/>
        <v>NSG_Residential_Multi-Family_Standard Rebate_On Demand DHW Circulation System_0_MF</v>
      </c>
      <c r="C1112" s="2" t="str">
        <f t="shared" si="35"/>
        <v>NSG_Residential_Multi-Family_Standard Rebate_On Demand DHW Circulation System_0_MF_2025</v>
      </c>
      <c r="D1112" s="19" t="s">
        <v>1787</v>
      </c>
      <c r="E1112" s="19" t="s">
        <v>2</v>
      </c>
      <c r="F1112" s="19" t="s">
        <v>1422</v>
      </c>
      <c r="G1112" s="19" t="s">
        <v>1418</v>
      </c>
      <c r="H1112" s="19" t="s">
        <v>1075</v>
      </c>
      <c r="I1112" s="19">
        <v>0</v>
      </c>
      <c r="J1112" s="19" t="s">
        <v>26</v>
      </c>
      <c r="K1112" s="19" t="s">
        <v>553</v>
      </c>
      <c r="L1112" s="19">
        <v>2025</v>
      </c>
      <c r="M1112" s="20">
        <v>1</v>
      </c>
      <c r="N1112" s="19" t="s">
        <v>1804</v>
      </c>
      <c r="O1112" s="20">
        <v>0</v>
      </c>
      <c r="P1112" s="20">
        <v>0</v>
      </c>
      <c r="Q1112" s="20">
        <v>0</v>
      </c>
      <c r="R1112" s="21">
        <v>0.87</v>
      </c>
      <c r="S1112" s="20">
        <v>0</v>
      </c>
    </row>
    <row r="1113" spans="2:19" ht="15" customHeight="1" x14ac:dyDescent="0.25">
      <c r="B1113" s="2" t="str">
        <f t="shared" si="34"/>
        <v>NSG_Residential_Multi-Family_Standard Rebate_Demand Controlled Ventilation_0_MF/CI/SMB</v>
      </c>
      <c r="C1113" s="2" t="str">
        <f t="shared" si="35"/>
        <v>NSG_Residential_Multi-Family_Standard Rebate_Demand Controlled Ventilation_0_MF/CI/SMB_2022</v>
      </c>
      <c r="D1113" s="19" t="s">
        <v>1787</v>
      </c>
      <c r="E1113" s="19" t="s">
        <v>2</v>
      </c>
      <c r="F1113" s="19" t="s">
        <v>1422</v>
      </c>
      <c r="G1113" s="19" t="s">
        <v>1418</v>
      </c>
      <c r="H1113" s="19" t="s">
        <v>14</v>
      </c>
      <c r="I1113" s="19">
        <v>0</v>
      </c>
      <c r="J1113" s="19" t="s">
        <v>34</v>
      </c>
      <c r="K1113" s="19" t="s">
        <v>662</v>
      </c>
      <c r="L1113" s="19">
        <v>2022</v>
      </c>
      <c r="M1113" s="20">
        <v>7500</v>
      </c>
      <c r="N1113" s="19" t="s">
        <v>634</v>
      </c>
      <c r="O1113" s="20">
        <v>0</v>
      </c>
      <c r="P1113" s="20">
        <v>0</v>
      </c>
      <c r="Q1113" s="20">
        <v>0</v>
      </c>
      <c r="R1113" s="21">
        <v>0.87</v>
      </c>
      <c r="S1113" s="20">
        <v>0</v>
      </c>
    </row>
    <row r="1114" spans="2:19" ht="15" customHeight="1" x14ac:dyDescent="0.25">
      <c r="B1114" s="2" t="str">
        <f t="shared" si="34"/>
        <v>NSG_Residential_Multi-Family_Standard Rebate_Demand Controlled Ventilation_0_MF/CI/SMB</v>
      </c>
      <c r="C1114" s="2" t="str">
        <f t="shared" si="35"/>
        <v>NSG_Residential_Multi-Family_Standard Rebate_Demand Controlled Ventilation_0_MF/CI/SMB_2023</v>
      </c>
      <c r="D1114" s="19" t="s">
        <v>1787</v>
      </c>
      <c r="E1114" s="19" t="s">
        <v>2</v>
      </c>
      <c r="F1114" s="19" t="s">
        <v>1422</v>
      </c>
      <c r="G1114" s="19" t="s">
        <v>1418</v>
      </c>
      <c r="H1114" s="19" t="s">
        <v>14</v>
      </c>
      <c r="I1114" s="19">
        <v>0</v>
      </c>
      <c r="J1114" s="19" t="s">
        <v>34</v>
      </c>
      <c r="K1114" s="19" t="s">
        <v>662</v>
      </c>
      <c r="L1114" s="19">
        <v>2023</v>
      </c>
      <c r="M1114" s="20">
        <v>7500</v>
      </c>
      <c r="N1114" s="19" t="s">
        <v>634</v>
      </c>
      <c r="O1114" s="20">
        <v>0</v>
      </c>
      <c r="P1114" s="20">
        <v>0</v>
      </c>
      <c r="Q1114" s="20">
        <v>0</v>
      </c>
      <c r="R1114" s="21">
        <v>0.87</v>
      </c>
      <c r="S1114" s="20">
        <v>0</v>
      </c>
    </row>
    <row r="1115" spans="2:19" ht="15" customHeight="1" x14ac:dyDescent="0.25">
      <c r="B1115" s="2" t="str">
        <f t="shared" si="34"/>
        <v>NSG_Residential_Multi-Family_Standard Rebate_Demand Controlled Ventilation_0_MF/CI/SMB</v>
      </c>
      <c r="C1115" s="2" t="str">
        <f t="shared" si="35"/>
        <v>NSG_Residential_Multi-Family_Standard Rebate_Demand Controlled Ventilation_0_MF/CI/SMB_2024</v>
      </c>
      <c r="D1115" s="19" t="s">
        <v>1787</v>
      </c>
      <c r="E1115" s="19" t="s">
        <v>2</v>
      </c>
      <c r="F1115" s="19" t="s">
        <v>1422</v>
      </c>
      <c r="G1115" s="19" t="s">
        <v>1418</v>
      </c>
      <c r="H1115" s="19" t="s">
        <v>14</v>
      </c>
      <c r="I1115" s="19">
        <v>0</v>
      </c>
      <c r="J1115" s="19" t="s">
        <v>34</v>
      </c>
      <c r="K1115" s="19" t="s">
        <v>662</v>
      </c>
      <c r="L1115" s="19">
        <v>2024</v>
      </c>
      <c r="M1115" s="20">
        <v>7500</v>
      </c>
      <c r="N1115" s="19" t="s">
        <v>634</v>
      </c>
      <c r="O1115" s="20">
        <v>0</v>
      </c>
      <c r="P1115" s="20">
        <v>0</v>
      </c>
      <c r="Q1115" s="20">
        <v>0</v>
      </c>
      <c r="R1115" s="21">
        <v>0.87</v>
      </c>
      <c r="S1115" s="20">
        <v>0</v>
      </c>
    </row>
    <row r="1116" spans="2:19" ht="15" customHeight="1" x14ac:dyDescent="0.25">
      <c r="B1116" s="2" t="str">
        <f t="shared" si="34"/>
        <v>NSG_Residential_Multi-Family_Standard Rebate_Demand Controlled Ventilation_0_MF/CI/SMB</v>
      </c>
      <c r="C1116" s="2" t="str">
        <f t="shared" si="35"/>
        <v>NSG_Residential_Multi-Family_Standard Rebate_Demand Controlled Ventilation_0_MF/CI/SMB_2025</v>
      </c>
      <c r="D1116" s="19" t="s">
        <v>1787</v>
      </c>
      <c r="E1116" s="19" t="s">
        <v>2</v>
      </c>
      <c r="F1116" s="19" t="s">
        <v>1422</v>
      </c>
      <c r="G1116" s="19" t="s">
        <v>1418</v>
      </c>
      <c r="H1116" s="19" t="s">
        <v>14</v>
      </c>
      <c r="I1116" s="19">
        <v>0</v>
      </c>
      <c r="J1116" s="19" t="s">
        <v>34</v>
      </c>
      <c r="K1116" s="19" t="s">
        <v>662</v>
      </c>
      <c r="L1116" s="19">
        <v>2025</v>
      </c>
      <c r="M1116" s="20">
        <v>7500</v>
      </c>
      <c r="N1116" s="19" t="s">
        <v>634</v>
      </c>
      <c r="O1116" s="20">
        <v>0</v>
      </c>
      <c r="P1116" s="20">
        <v>0</v>
      </c>
      <c r="Q1116" s="20">
        <v>0</v>
      </c>
      <c r="R1116" s="21">
        <v>0.87</v>
      </c>
      <c r="S1116" s="20">
        <v>0</v>
      </c>
    </row>
    <row r="1117" spans="2:19" ht="15" customHeight="1" x14ac:dyDescent="0.25">
      <c r="B1117" s="2" t="str">
        <f t="shared" si="34"/>
        <v>NSG_Residential_Multi-Family_Standard Rebate_Modulating Commercial Gas Clothes Dryer_Hotels &amp; Hospitals_CI</v>
      </c>
      <c r="C1117" s="2" t="str">
        <f t="shared" si="35"/>
        <v>NSG_Residential_Multi-Family_Standard Rebate_Modulating Commercial Gas Clothes Dryer_Hotels &amp; Hospitals_CI_2022</v>
      </c>
      <c r="D1117" s="19" t="s">
        <v>1787</v>
      </c>
      <c r="E1117" s="19" t="s">
        <v>2</v>
      </c>
      <c r="F1117" s="19" t="s">
        <v>1422</v>
      </c>
      <c r="G1117" s="19" t="s">
        <v>1418</v>
      </c>
      <c r="H1117" s="19" t="s">
        <v>12</v>
      </c>
      <c r="I1117" s="19" t="s">
        <v>1253</v>
      </c>
      <c r="J1117" s="19" t="s">
        <v>29</v>
      </c>
      <c r="K1117" s="19" t="s">
        <v>1159</v>
      </c>
      <c r="L1117" s="19">
        <v>2022</v>
      </c>
      <c r="M1117" s="20">
        <v>1</v>
      </c>
      <c r="N1117" s="19" t="s">
        <v>1798</v>
      </c>
      <c r="O1117" s="20">
        <v>0</v>
      </c>
      <c r="P1117" s="20">
        <v>0</v>
      </c>
      <c r="Q1117" s="20">
        <v>0</v>
      </c>
      <c r="R1117" s="21">
        <v>0.87</v>
      </c>
      <c r="S1117" s="20">
        <v>0</v>
      </c>
    </row>
    <row r="1118" spans="2:19" ht="15" customHeight="1" x14ac:dyDescent="0.25">
      <c r="B1118" s="2" t="str">
        <f t="shared" si="34"/>
        <v>NSG_Residential_Multi-Family_Standard Rebate_Modulating Commercial Gas Clothes Dryer_Hotels &amp; Hospitals_CI</v>
      </c>
      <c r="C1118" s="2" t="str">
        <f t="shared" si="35"/>
        <v>NSG_Residential_Multi-Family_Standard Rebate_Modulating Commercial Gas Clothes Dryer_Hotels &amp; Hospitals_CI_2023</v>
      </c>
      <c r="D1118" s="19" t="s">
        <v>1787</v>
      </c>
      <c r="E1118" s="19" t="s">
        <v>2</v>
      </c>
      <c r="F1118" s="19" t="s">
        <v>1422</v>
      </c>
      <c r="G1118" s="19" t="s">
        <v>1418</v>
      </c>
      <c r="H1118" s="19" t="s">
        <v>12</v>
      </c>
      <c r="I1118" s="19" t="s">
        <v>1253</v>
      </c>
      <c r="J1118" s="19" t="s">
        <v>29</v>
      </c>
      <c r="K1118" s="19" t="s">
        <v>1159</v>
      </c>
      <c r="L1118" s="19">
        <v>2023</v>
      </c>
      <c r="M1118" s="20">
        <v>1</v>
      </c>
      <c r="N1118" s="19" t="s">
        <v>1798</v>
      </c>
      <c r="O1118" s="20">
        <v>0</v>
      </c>
      <c r="P1118" s="20">
        <v>0</v>
      </c>
      <c r="Q1118" s="20">
        <v>0</v>
      </c>
      <c r="R1118" s="21">
        <v>0.87</v>
      </c>
      <c r="S1118" s="20">
        <v>0</v>
      </c>
    </row>
    <row r="1119" spans="2:19" ht="15" customHeight="1" x14ac:dyDescent="0.25">
      <c r="B1119" s="2" t="str">
        <f t="shared" si="34"/>
        <v>NSG_Residential_Multi-Family_Standard Rebate_Modulating Commercial Gas Clothes Dryer_Hotels &amp; Hospitals_CI</v>
      </c>
      <c r="C1119" s="2" t="str">
        <f t="shared" si="35"/>
        <v>NSG_Residential_Multi-Family_Standard Rebate_Modulating Commercial Gas Clothes Dryer_Hotels &amp; Hospitals_CI_2024</v>
      </c>
      <c r="D1119" s="19" t="s">
        <v>1787</v>
      </c>
      <c r="E1119" s="19" t="s">
        <v>2</v>
      </c>
      <c r="F1119" s="19" t="s">
        <v>1422</v>
      </c>
      <c r="G1119" s="19" t="s">
        <v>1418</v>
      </c>
      <c r="H1119" s="19" t="s">
        <v>12</v>
      </c>
      <c r="I1119" s="19" t="s">
        <v>1253</v>
      </c>
      <c r="J1119" s="19" t="s">
        <v>29</v>
      </c>
      <c r="K1119" s="19" t="s">
        <v>1159</v>
      </c>
      <c r="L1119" s="19">
        <v>2024</v>
      </c>
      <c r="M1119" s="20">
        <v>1</v>
      </c>
      <c r="N1119" s="19" t="s">
        <v>1798</v>
      </c>
      <c r="O1119" s="20">
        <v>0</v>
      </c>
      <c r="P1119" s="20">
        <v>0</v>
      </c>
      <c r="Q1119" s="20">
        <v>0</v>
      </c>
      <c r="R1119" s="21">
        <v>0.87</v>
      </c>
      <c r="S1119" s="20">
        <v>0</v>
      </c>
    </row>
    <row r="1120" spans="2:19" ht="15" customHeight="1" x14ac:dyDescent="0.25">
      <c r="B1120" s="2" t="str">
        <f t="shared" si="34"/>
        <v>NSG_Residential_Multi-Family_Standard Rebate_Modulating Commercial Gas Clothes Dryer_Hotels &amp; Hospitals_CI</v>
      </c>
      <c r="C1120" s="2" t="str">
        <f t="shared" si="35"/>
        <v>NSG_Residential_Multi-Family_Standard Rebate_Modulating Commercial Gas Clothes Dryer_Hotels &amp; Hospitals_CI_2025</v>
      </c>
      <c r="D1120" s="19" t="s">
        <v>1787</v>
      </c>
      <c r="E1120" s="19" t="s">
        <v>2</v>
      </c>
      <c r="F1120" s="19" t="s">
        <v>1422</v>
      </c>
      <c r="G1120" s="19" t="s">
        <v>1418</v>
      </c>
      <c r="H1120" s="19" t="s">
        <v>12</v>
      </c>
      <c r="I1120" s="19" t="s">
        <v>1253</v>
      </c>
      <c r="J1120" s="19" t="s">
        <v>29</v>
      </c>
      <c r="K1120" s="19" t="s">
        <v>1159</v>
      </c>
      <c r="L1120" s="19">
        <v>2025</v>
      </c>
      <c r="M1120" s="20">
        <v>1</v>
      </c>
      <c r="N1120" s="19" t="s">
        <v>1798</v>
      </c>
      <c r="O1120" s="20">
        <v>0</v>
      </c>
      <c r="P1120" s="20">
        <v>0</v>
      </c>
      <c r="Q1120" s="20">
        <v>0</v>
      </c>
      <c r="R1120" s="21">
        <v>0.87</v>
      </c>
      <c r="S1120" s="20">
        <v>0</v>
      </c>
    </row>
    <row r="1121" spans="2:19" ht="15" customHeight="1" x14ac:dyDescent="0.25">
      <c r="B1121" s="2" t="str">
        <f t="shared" si="34"/>
        <v>NSG_Residential_Multi-Family_Standard Rebate_Modulating Commercial Gas Clothes Dryer_Laundromat &amp; MF Dorms_MF/SMB</v>
      </c>
      <c r="C1121" s="2" t="str">
        <f t="shared" si="35"/>
        <v>NSG_Residential_Multi-Family_Standard Rebate_Modulating Commercial Gas Clothes Dryer_Laundromat &amp; MF Dorms_MF/SMB_2022</v>
      </c>
      <c r="D1121" s="19" t="s">
        <v>1787</v>
      </c>
      <c r="E1121" s="19" t="s">
        <v>2</v>
      </c>
      <c r="F1121" s="19" t="s">
        <v>1422</v>
      </c>
      <c r="G1121" s="19" t="s">
        <v>1418</v>
      </c>
      <c r="H1121" s="19" t="s">
        <v>12</v>
      </c>
      <c r="I1121" s="19" t="s">
        <v>1255</v>
      </c>
      <c r="J1121" s="19" t="s">
        <v>29</v>
      </c>
      <c r="K1121" s="19" t="s">
        <v>1256</v>
      </c>
      <c r="L1121" s="19">
        <v>2022</v>
      </c>
      <c r="M1121" s="20">
        <v>1</v>
      </c>
      <c r="N1121" s="19" t="s">
        <v>1798</v>
      </c>
      <c r="O1121" s="20">
        <v>0</v>
      </c>
      <c r="P1121" s="20">
        <v>0</v>
      </c>
      <c r="Q1121" s="20">
        <v>0</v>
      </c>
      <c r="R1121" s="21">
        <v>0.87</v>
      </c>
      <c r="S1121" s="20">
        <v>0</v>
      </c>
    </row>
    <row r="1122" spans="2:19" ht="15" customHeight="1" x14ac:dyDescent="0.25">
      <c r="B1122" s="2" t="str">
        <f t="shared" si="34"/>
        <v>NSG_Residential_Multi-Family_Standard Rebate_Modulating Commercial Gas Clothes Dryer_Laundromat &amp; MF Dorms_MF/SMB</v>
      </c>
      <c r="C1122" s="2" t="str">
        <f t="shared" si="35"/>
        <v>NSG_Residential_Multi-Family_Standard Rebate_Modulating Commercial Gas Clothes Dryer_Laundromat &amp; MF Dorms_MF/SMB_2023</v>
      </c>
      <c r="D1122" s="19" t="s">
        <v>1787</v>
      </c>
      <c r="E1122" s="19" t="s">
        <v>2</v>
      </c>
      <c r="F1122" s="19" t="s">
        <v>1422</v>
      </c>
      <c r="G1122" s="19" t="s">
        <v>1418</v>
      </c>
      <c r="H1122" s="19" t="s">
        <v>12</v>
      </c>
      <c r="I1122" s="19" t="s">
        <v>1255</v>
      </c>
      <c r="J1122" s="19" t="s">
        <v>29</v>
      </c>
      <c r="K1122" s="19" t="s">
        <v>1256</v>
      </c>
      <c r="L1122" s="19">
        <v>2023</v>
      </c>
      <c r="M1122" s="20">
        <v>1</v>
      </c>
      <c r="N1122" s="19" t="s">
        <v>1798</v>
      </c>
      <c r="O1122" s="20">
        <v>0</v>
      </c>
      <c r="P1122" s="20">
        <v>0</v>
      </c>
      <c r="Q1122" s="20">
        <v>0</v>
      </c>
      <c r="R1122" s="21">
        <v>0.87</v>
      </c>
      <c r="S1122" s="20">
        <v>0</v>
      </c>
    </row>
    <row r="1123" spans="2:19" ht="15" customHeight="1" x14ac:dyDescent="0.25">
      <c r="B1123" s="2" t="str">
        <f t="shared" si="34"/>
        <v>NSG_Residential_Multi-Family_Standard Rebate_Modulating Commercial Gas Clothes Dryer_Laundromat &amp; MF Dorms_MF/SMB</v>
      </c>
      <c r="C1123" s="2" t="str">
        <f t="shared" si="35"/>
        <v>NSG_Residential_Multi-Family_Standard Rebate_Modulating Commercial Gas Clothes Dryer_Laundromat &amp; MF Dorms_MF/SMB_2024</v>
      </c>
      <c r="D1123" s="19" t="s">
        <v>1787</v>
      </c>
      <c r="E1123" s="19" t="s">
        <v>2</v>
      </c>
      <c r="F1123" s="19" t="s">
        <v>1422</v>
      </c>
      <c r="G1123" s="19" t="s">
        <v>1418</v>
      </c>
      <c r="H1123" s="19" t="s">
        <v>12</v>
      </c>
      <c r="I1123" s="19" t="s">
        <v>1255</v>
      </c>
      <c r="J1123" s="19" t="s">
        <v>29</v>
      </c>
      <c r="K1123" s="19" t="s">
        <v>1256</v>
      </c>
      <c r="L1123" s="19">
        <v>2024</v>
      </c>
      <c r="M1123" s="20">
        <v>1</v>
      </c>
      <c r="N1123" s="19" t="s">
        <v>1798</v>
      </c>
      <c r="O1123" s="20">
        <v>0</v>
      </c>
      <c r="P1123" s="20">
        <v>0</v>
      </c>
      <c r="Q1123" s="20">
        <v>0</v>
      </c>
      <c r="R1123" s="21">
        <v>0.87</v>
      </c>
      <c r="S1123" s="20">
        <v>0</v>
      </c>
    </row>
    <row r="1124" spans="2:19" ht="15" customHeight="1" x14ac:dyDescent="0.25">
      <c r="B1124" s="2" t="str">
        <f t="shared" si="34"/>
        <v>NSG_Residential_Multi-Family_Standard Rebate_Modulating Commercial Gas Clothes Dryer_Laundromat &amp; MF Dorms_MF/SMB</v>
      </c>
      <c r="C1124" s="2" t="str">
        <f t="shared" si="35"/>
        <v>NSG_Residential_Multi-Family_Standard Rebate_Modulating Commercial Gas Clothes Dryer_Laundromat &amp; MF Dorms_MF/SMB_2025</v>
      </c>
      <c r="D1124" s="19" t="s">
        <v>1787</v>
      </c>
      <c r="E1124" s="19" t="s">
        <v>2</v>
      </c>
      <c r="F1124" s="19" t="s">
        <v>1422</v>
      </c>
      <c r="G1124" s="19" t="s">
        <v>1418</v>
      </c>
      <c r="H1124" s="19" t="s">
        <v>12</v>
      </c>
      <c r="I1124" s="19" t="s">
        <v>1255</v>
      </c>
      <c r="J1124" s="19" t="s">
        <v>29</v>
      </c>
      <c r="K1124" s="19" t="s">
        <v>1256</v>
      </c>
      <c r="L1124" s="19">
        <v>2025</v>
      </c>
      <c r="M1124" s="20">
        <v>1</v>
      </c>
      <c r="N1124" s="19" t="s">
        <v>1798</v>
      </c>
      <c r="O1124" s="20">
        <v>0</v>
      </c>
      <c r="P1124" s="20">
        <v>0</v>
      </c>
      <c r="Q1124" s="20">
        <v>0</v>
      </c>
      <c r="R1124" s="21">
        <v>0.87</v>
      </c>
      <c r="S1124" s="20">
        <v>0</v>
      </c>
    </row>
    <row r="1125" spans="2:19" ht="15" customHeight="1" x14ac:dyDescent="0.25">
      <c r="B1125" s="2" t="str">
        <f t="shared" si="34"/>
        <v>NSG_Residential_Multi-Family_Standard Rebate_Water Heater_Central/Indirect MF ≥88% TE_MF</v>
      </c>
      <c r="C1125" s="2" t="str">
        <f t="shared" si="35"/>
        <v>NSG_Residential_Multi-Family_Standard Rebate_Water Heater_Central/Indirect MF ≥88% TE_MF_2022</v>
      </c>
      <c r="D1125" s="19" t="s">
        <v>1787</v>
      </c>
      <c r="E1125" s="19" t="s">
        <v>2</v>
      </c>
      <c r="F1125" s="19" t="s">
        <v>1422</v>
      </c>
      <c r="G1125" s="19" t="s">
        <v>1418</v>
      </c>
      <c r="H1125" s="19" t="s">
        <v>8</v>
      </c>
      <c r="I1125" s="19" t="s">
        <v>1066</v>
      </c>
      <c r="J1125" s="19" t="s">
        <v>30</v>
      </c>
      <c r="K1125" s="19" t="s">
        <v>553</v>
      </c>
      <c r="L1125" s="19">
        <v>2022</v>
      </c>
      <c r="M1125" s="20">
        <v>1</v>
      </c>
      <c r="N1125" s="19" t="s">
        <v>1798</v>
      </c>
      <c r="O1125" s="20">
        <v>0</v>
      </c>
      <c r="P1125" s="20">
        <v>0</v>
      </c>
      <c r="Q1125" s="20">
        <v>0</v>
      </c>
      <c r="R1125" s="21">
        <v>0.87</v>
      </c>
      <c r="S1125" s="20">
        <v>0</v>
      </c>
    </row>
    <row r="1126" spans="2:19" ht="15" customHeight="1" x14ac:dyDescent="0.25">
      <c r="B1126" s="2" t="str">
        <f t="shared" si="34"/>
        <v>NSG_Residential_Multi-Family_Standard Rebate_Water Heater_Central/Indirect MF ≥88% TE_MF</v>
      </c>
      <c r="C1126" s="2" t="str">
        <f t="shared" si="35"/>
        <v>NSG_Residential_Multi-Family_Standard Rebate_Water Heater_Central/Indirect MF ≥88% TE_MF_2023</v>
      </c>
      <c r="D1126" s="19" t="s">
        <v>1787</v>
      </c>
      <c r="E1126" s="19" t="s">
        <v>2</v>
      </c>
      <c r="F1126" s="19" t="s">
        <v>1422</v>
      </c>
      <c r="G1126" s="19" t="s">
        <v>1418</v>
      </c>
      <c r="H1126" s="19" t="s">
        <v>8</v>
      </c>
      <c r="I1126" s="19" t="s">
        <v>1066</v>
      </c>
      <c r="J1126" s="19" t="s">
        <v>30</v>
      </c>
      <c r="K1126" s="19" t="s">
        <v>553</v>
      </c>
      <c r="L1126" s="19">
        <v>2023</v>
      </c>
      <c r="M1126" s="20">
        <v>1</v>
      </c>
      <c r="N1126" s="19" t="s">
        <v>1798</v>
      </c>
      <c r="O1126" s="20">
        <v>0</v>
      </c>
      <c r="P1126" s="20">
        <v>0</v>
      </c>
      <c r="Q1126" s="20">
        <v>0</v>
      </c>
      <c r="R1126" s="21">
        <v>0.87</v>
      </c>
      <c r="S1126" s="20">
        <v>0</v>
      </c>
    </row>
    <row r="1127" spans="2:19" ht="15" customHeight="1" x14ac:dyDescent="0.25">
      <c r="B1127" s="2" t="str">
        <f t="shared" si="34"/>
        <v>NSG_Residential_Multi-Family_Standard Rebate_Water Heater_Central/Indirect MF ≥88% TE_MF</v>
      </c>
      <c r="C1127" s="2" t="str">
        <f t="shared" si="35"/>
        <v>NSG_Residential_Multi-Family_Standard Rebate_Water Heater_Central/Indirect MF ≥88% TE_MF_2024</v>
      </c>
      <c r="D1127" s="19" t="s">
        <v>1787</v>
      </c>
      <c r="E1127" s="19" t="s">
        <v>2</v>
      </c>
      <c r="F1127" s="19" t="s">
        <v>1422</v>
      </c>
      <c r="G1127" s="19" t="s">
        <v>1418</v>
      </c>
      <c r="H1127" s="19" t="s">
        <v>8</v>
      </c>
      <c r="I1127" s="19" t="s">
        <v>1066</v>
      </c>
      <c r="J1127" s="19" t="s">
        <v>30</v>
      </c>
      <c r="K1127" s="19" t="s">
        <v>553</v>
      </c>
      <c r="L1127" s="19">
        <v>2024</v>
      </c>
      <c r="M1127" s="20">
        <v>1</v>
      </c>
      <c r="N1127" s="19" t="s">
        <v>1798</v>
      </c>
      <c r="O1127" s="20">
        <v>0</v>
      </c>
      <c r="P1127" s="20">
        <v>0</v>
      </c>
      <c r="Q1127" s="20">
        <v>0</v>
      </c>
      <c r="R1127" s="21">
        <v>0.87</v>
      </c>
      <c r="S1127" s="20">
        <v>0</v>
      </c>
    </row>
    <row r="1128" spans="2:19" ht="15" customHeight="1" x14ac:dyDescent="0.25">
      <c r="B1128" s="2" t="str">
        <f t="shared" si="34"/>
        <v>NSG_Residential_Multi-Family_Standard Rebate_Water Heater_Central/Indirect MF ≥88% TE_MF</v>
      </c>
      <c r="C1128" s="2" t="str">
        <f t="shared" si="35"/>
        <v>NSG_Residential_Multi-Family_Standard Rebate_Water Heater_Central/Indirect MF ≥88% TE_MF_2025</v>
      </c>
      <c r="D1128" s="19" t="s">
        <v>1787</v>
      </c>
      <c r="E1128" s="19" t="s">
        <v>2</v>
      </c>
      <c r="F1128" s="19" t="s">
        <v>1422</v>
      </c>
      <c r="G1128" s="19" t="s">
        <v>1418</v>
      </c>
      <c r="H1128" s="19" t="s">
        <v>8</v>
      </c>
      <c r="I1128" s="19" t="s">
        <v>1066</v>
      </c>
      <c r="J1128" s="19" t="s">
        <v>30</v>
      </c>
      <c r="K1128" s="19" t="s">
        <v>553</v>
      </c>
      <c r="L1128" s="19">
        <v>2025</v>
      </c>
      <c r="M1128" s="20">
        <v>1</v>
      </c>
      <c r="N1128" s="19" t="s">
        <v>1798</v>
      </c>
      <c r="O1128" s="20">
        <v>0</v>
      </c>
      <c r="P1128" s="20">
        <v>0</v>
      </c>
      <c r="Q1128" s="20">
        <v>0</v>
      </c>
      <c r="R1128" s="21">
        <v>0.87</v>
      </c>
      <c r="S1128" s="20">
        <v>0</v>
      </c>
    </row>
    <row r="1129" spans="2:19" ht="15" customHeight="1" x14ac:dyDescent="0.25">
      <c r="B1129" s="2" t="str">
        <f t="shared" si="34"/>
        <v>NSG_Residential_Multi-Family_Standard Rebate_Water Heater_Storage 0.67 EF_MF</v>
      </c>
      <c r="C1129" s="2" t="str">
        <f t="shared" si="35"/>
        <v>NSG_Residential_Multi-Family_Standard Rebate_Water Heater_Storage 0.67 EF_MF_2022</v>
      </c>
      <c r="D1129" s="19" t="s">
        <v>1787</v>
      </c>
      <c r="E1129" s="19" t="s">
        <v>2</v>
      </c>
      <c r="F1129" s="19" t="s">
        <v>1422</v>
      </c>
      <c r="G1129" s="19" t="s">
        <v>1418</v>
      </c>
      <c r="H1129" s="19" t="s">
        <v>8</v>
      </c>
      <c r="I1129" s="19" t="s">
        <v>879</v>
      </c>
      <c r="J1129" s="19" t="s">
        <v>1263</v>
      </c>
      <c r="K1129" s="19" t="s">
        <v>553</v>
      </c>
      <c r="L1129" s="19">
        <v>2022</v>
      </c>
      <c r="M1129" s="20">
        <v>1</v>
      </c>
      <c r="N1129" s="19" t="s">
        <v>1798</v>
      </c>
      <c r="O1129" s="20">
        <v>0</v>
      </c>
      <c r="P1129" s="20">
        <v>0</v>
      </c>
      <c r="Q1129" s="20">
        <v>0</v>
      </c>
      <c r="R1129" s="21">
        <v>0.87</v>
      </c>
      <c r="S1129" s="20">
        <v>0</v>
      </c>
    </row>
    <row r="1130" spans="2:19" ht="15" customHeight="1" x14ac:dyDescent="0.25">
      <c r="B1130" s="2" t="str">
        <f t="shared" si="34"/>
        <v>NSG_Residential_Multi-Family_Standard Rebate_Water Heater_Storage 0.67 EF_MF</v>
      </c>
      <c r="C1130" s="2" t="str">
        <f t="shared" si="35"/>
        <v>NSG_Residential_Multi-Family_Standard Rebate_Water Heater_Storage 0.67 EF_MF_2023</v>
      </c>
      <c r="D1130" s="19" t="s">
        <v>1787</v>
      </c>
      <c r="E1130" s="19" t="s">
        <v>2</v>
      </c>
      <c r="F1130" s="19" t="s">
        <v>1422</v>
      </c>
      <c r="G1130" s="19" t="s">
        <v>1418</v>
      </c>
      <c r="H1130" s="19" t="s">
        <v>8</v>
      </c>
      <c r="I1130" s="19" t="s">
        <v>879</v>
      </c>
      <c r="J1130" s="19" t="s">
        <v>1263</v>
      </c>
      <c r="K1130" s="19" t="s">
        <v>553</v>
      </c>
      <c r="L1130" s="19">
        <v>2023</v>
      </c>
      <c r="M1130" s="20">
        <v>1</v>
      </c>
      <c r="N1130" s="19" t="s">
        <v>1798</v>
      </c>
      <c r="O1130" s="20">
        <v>0</v>
      </c>
      <c r="P1130" s="20">
        <v>0</v>
      </c>
      <c r="Q1130" s="20">
        <v>0</v>
      </c>
      <c r="R1130" s="21">
        <v>0.87</v>
      </c>
      <c r="S1130" s="20">
        <v>0</v>
      </c>
    </row>
    <row r="1131" spans="2:19" ht="15" customHeight="1" x14ac:dyDescent="0.25">
      <c r="B1131" s="2" t="str">
        <f t="shared" si="34"/>
        <v>NSG_Residential_Multi-Family_Standard Rebate_Water Heater_Storage 0.67 EF_MF</v>
      </c>
      <c r="C1131" s="2" t="str">
        <f t="shared" si="35"/>
        <v>NSG_Residential_Multi-Family_Standard Rebate_Water Heater_Storage 0.67 EF_MF_2024</v>
      </c>
      <c r="D1131" s="19" t="s">
        <v>1787</v>
      </c>
      <c r="E1131" s="19" t="s">
        <v>2</v>
      </c>
      <c r="F1131" s="19" t="s">
        <v>1422</v>
      </c>
      <c r="G1131" s="19" t="s">
        <v>1418</v>
      </c>
      <c r="H1131" s="19" t="s">
        <v>8</v>
      </c>
      <c r="I1131" s="19" t="s">
        <v>879</v>
      </c>
      <c r="J1131" s="19" t="s">
        <v>1263</v>
      </c>
      <c r="K1131" s="19" t="s">
        <v>553</v>
      </c>
      <c r="L1131" s="19">
        <v>2024</v>
      </c>
      <c r="M1131" s="20">
        <v>1</v>
      </c>
      <c r="N1131" s="19" t="s">
        <v>1798</v>
      </c>
      <c r="O1131" s="20">
        <v>0</v>
      </c>
      <c r="P1131" s="20">
        <v>0</v>
      </c>
      <c r="Q1131" s="20">
        <v>0</v>
      </c>
      <c r="R1131" s="21">
        <v>0.87</v>
      </c>
      <c r="S1131" s="20">
        <v>0</v>
      </c>
    </row>
    <row r="1132" spans="2:19" ht="15" customHeight="1" x14ac:dyDescent="0.25">
      <c r="B1132" s="2" t="str">
        <f t="shared" si="34"/>
        <v>NSG_Residential_Multi-Family_Standard Rebate_Water Heater_Storage 0.67 EF_MF</v>
      </c>
      <c r="C1132" s="2" t="str">
        <f t="shared" si="35"/>
        <v>NSG_Residential_Multi-Family_Standard Rebate_Water Heater_Storage 0.67 EF_MF_2025</v>
      </c>
      <c r="D1132" s="19" t="s">
        <v>1787</v>
      </c>
      <c r="E1132" s="19" t="s">
        <v>2</v>
      </c>
      <c r="F1132" s="19" t="s">
        <v>1422</v>
      </c>
      <c r="G1132" s="19" t="s">
        <v>1418</v>
      </c>
      <c r="H1132" s="19" t="s">
        <v>8</v>
      </c>
      <c r="I1132" s="19" t="s">
        <v>879</v>
      </c>
      <c r="J1132" s="19" t="s">
        <v>1263</v>
      </c>
      <c r="K1132" s="19" t="s">
        <v>553</v>
      </c>
      <c r="L1132" s="19">
        <v>2025</v>
      </c>
      <c r="M1132" s="20">
        <v>1</v>
      </c>
      <c r="N1132" s="19" t="s">
        <v>1798</v>
      </c>
      <c r="O1132" s="20">
        <v>0</v>
      </c>
      <c r="P1132" s="20">
        <v>0</v>
      </c>
      <c r="Q1132" s="20">
        <v>0</v>
      </c>
      <c r="R1132" s="21">
        <v>0.87</v>
      </c>
      <c r="S1132" s="20">
        <v>0</v>
      </c>
    </row>
    <row r="1133" spans="2:19" ht="15" customHeight="1" x14ac:dyDescent="0.25">
      <c r="B1133" s="2" t="str">
        <f t="shared" si="34"/>
        <v>NSG_Residential_Multi-Family_Standard Rebate_Dock Door Seals_0_CI</v>
      </c>
      <c r="C1133" s="2" t="str">
        <f t="shared" si="35"/>
        <v>NSG_Residential_Multi-Family_Standard Rebate_Dock Door Seals_0_CI_2022</v>
      </c>
      <c r="D1133" s="19" t="s">
        <v>1787</v>
      </c>
      <c r="E1133" s="19" t="s">
        <v>2</v>
      </c>
      <c r="F1133" s="19" t="s">
        <v>1422</v>
      </c>
      <c r="G1133" s="19" t="s">
        <v>1418</v>
      </c>
      <c r="H1133" s="19" t="s">
        <v>1291</v>
      </c>
      <c r="I1133" s="19">
        <v>0</v>
      </c>
      <c r="J1133" s="19">
        <v>0</v>
      </c>
      <c r="K1133" s="19" t="s">
        <v>1159</v>
      </c>
      <c r="L1133" s="19">
        <v>2022</v>
      </c>
      <c r="M1133" s="20">
        <v>1</v>
      </c>
      <c r="N1133" s="19" t="s">
        <v>1798</v>
      </c>
      <c r="O1133" s="20">
        <v>0</v>
      </c>
      <c r="P1133" s="20">
        <v>0</v>
      </c>
      <c r="Q1133" s="20">
        <v>0</v>
      </c>
      <c r="R1133" s="21">
        <v>0.87</v>
      </c>
      <c r="S1133" s="20">
        <v>0</v>
      </c>
    </row>
    <row r="1134" spans="2:19" ht="15" customHeight="1" x14ac:dyDescent="0.25">
      <c r="B1134" s="2" t="str">
        <f t="shared" si="34"/>
        <v>NSG_Residential_Multi-Family_Standard Rebate_Dock Door Seals_0_CI</v>
      </c>
      <c r="C1134" s="2" t="str">
        <f t="shared" si="35"/>
        <v>NSG_Residential_Multi-Family_Standard Rebate_Dock Door Seals_0_CI_2023</v>
      </c>
      <c r="D1134" s="19" t="s">
        <v>1787</v>
      </c>
      <c r="E1134" s="19" t="s">
        <v>2</v>
      </c>
      <c r="F1134" s="19" t="s">
        <v>1422</v>
      </c>
      <c r="G1134" s="19" t="s">
        <v>1418</v>
      </c>
      <c r="H1134" s="19" t="s">
        <v>1291</v>
      </c>
      <c r="I1134" s="19">
        <v>0</v>
      </c>
      <c r="J1134" s="19">
        <v>0</v>
      </c>
      <c r="K1134" s="19" t="s">
        <v>1159</v>
      </c>
      <c r="L1134" s="19">
        <v>2023</v>
      </c>
      <c r="M1134" s="20">
        <v>1</v>
      </c>
      <c r="N1134" s="19" t="s">
        <v>1798</v>
      </c>
      <c r="O1134" s="20">
        <v>0</v>
      </c>
      <c r="P1134" s="20">
        <v>0</v>
      </c>
      <c r="Q1134" s="20">
        <v>0</v>
      </c>
      <c r="R1134" s="21">
        <v>0.87</v>
      </c>
      <c r="S1134" s="20">
        <v>0</v>
      </c>
    </row>
    <row r="1135" spans="2:19" ht="15" customHeight="1" x14ac:dyDescent="0.25">
      <c r="B1135" s="2" t="str">
        <f t="shared" si="34"/>
        <v>NSG_Residential_Multi-Family_Standard Rebate_Dock Door Seals_0_CI</v>
      </c>
      <c r="C1135" s="2" t="str">
        <f t="shared" si="35"/>
        <v>NSG_Residential_Multi-Family_Standard Rebate_Dock Door Seals_0_CI_2024</v>
      </c>
      <c r="D1135" s="19" t="s">
        <v>1787</v>
      </c>
      <c r="E1135" s="19" t="s">
        <v>2</v>
      </c>
      <c r="F1135" s="19" t="s">
        <v>1422</v>
      </c>
      <c r="G1135" s="19" t="s">
        <v>1418</v>
      </c>
      <c r="H1135" s="19" t="s">
        <v>1291</v>
      </c>
      <c r="I1135" s="19">
        <v>0</v>
      </c>
      <c r="J1135" s="19">
        <v>0</v>
      </c>
      <c r="K1135" s="19" t="s">
        <v>1159</v>
      </c>
      <c r="L1135" s="19">
        <v>2024</v>
      </c>
      <c r="M1135" s="20">
        <v>1</v>
      </c>
      <c r="N1135" s="19" t="s">
        <v>1798</v>
      </c>
      <c r="O1135" s="20">
        <v>0</v>
      </c>
      <c r="P1135" s="20">
        <v>0</v>
      </c>
      <c r="Q1135" s="20">
        <v>0</v>
      </c>
      <c r="R1135" s="21">
        <v>0.87</v>
      </c>
      <c r="S1135" s="20">
        <v>0</v>
      </c>
    </row>
    <row r="1136" spans="2:19" ht="15" customHeight="1" x14ac:dyDescent="0.25">
      <c r="B1136" s="2" t="str">
        <f t="shared" si="34"/>
        <v>NSG_Residential_Multi-Family_Standard Rebate_Dock Door Seals_0_CI</v>
      </c>
      <c r="C1136" s="2" t="str">
        <f t="shared" si="35"/>
        <v>NSG_Residential_Multi-Family_Standard Rebate_Dock Door Seals_0_CI_2025</v>
      </c>
      <c r="D1136" s="19" t="s">
        <v>1787</v>
      </c>
      <c r="E1136" s="19" t="s">
        <v>2</v>
      </c>
      <c r="F1136" s="19" t="s">
        <v>1422</v>
      </c>
      <c r="G1136" s="19" t="s">
        <v>1418</v>
      </c>
      <c r="H1136" s="19" t="s">
        <v>1291</v>
      </c>
      <c r="I1136" s="19">
        <v>0</v>
      </c>
      <c r="J1136" s="19">
        <v>0</v>
      </c>
      <c r="K1136" s="19" t="s">
        <v>1159</v>
      </c>
      <c r="L1136" s="19">
        <v>2025</v>
      </c>
      <c r="M1136" s="20">
        <v>1</v>
      </c>
      <c r="N1136" s="19" t="s">
        <v>1798</v>
      </c>
      <c r="O1136" s="20">
        <v>0</v>
      </c>
      <c r="P1136" s="20">
        <v>0</v>
      </c>
      <c r="Q1136" s="20">
        <v>0</v>
      </c>
      <c r="R1136" s="21">
        <v>0.87</v>
      </c>
      <c r="S1136" s="20">
        <v>0</v>
      </c>
    </row>
    <row r="1137" spans="2:19" ht="15" customHeight="1" x14ac:dyDescent="0.25">
      <c r="B1137" s="2" t="str">
        <f t="shared" si="34"/>
        <v>NSG_Residential_Multi-Family_Standard Rebate_DCV - Kitchen_0_MF/CI</v>
      </c>
      <c r="C1137" s="2" t="str">
        <f t="shared" si="35"/>
        <v>NSG_Residential_Multi-Family_Standard Rebate_DCV - Kitchen_0_MF/CI_2022</v>
      </c>
      <c r="D1137" s="19" t="s">
        <v>1787</v>
      </c>
      <c r="E1137" s="19" t="s">
        <v>2</v>
      </c>
      <c r="F1137" s="19" t="s">
        <v>1422</v>
      </c>
      <c r="G1137" s="19" t="s">
        <v>1418</v>
      </c>
      <c r="H1137" s="19" t="s">
        <v>1077</v>
      </c>
      <c r="I1137" s="19">
        <v>0</v>
      </c>
      <c r="J1137" s="19" t="s">
        <v>48</v>
      </c>
      <c r="K1137" s="19" t="s">
        <v>587</v>
      </c>
      <c r="L1137" s="19">
        <v>2022</v>
      </c>
      <c r="M1137" s="20">
        <v>7.75</v>
      </c>
      <c r="N1137" s="19" t="s">
        <v>333</v>
      </c>
      <c r="O1137" s="20">
        <v>1</v>
      </c>
      <c r="P1137" s="20">
        <v>7.75</v>
      </c>
      <c r="Q1137" s="20">
        <v>5218.6949999999997</v>
      </c>
      <c r="R1137" s="21">
        <v>0.87</v>
      </c>
      <c r="S1137" s="20">
        <v>5218.6949999999997</v>
      </c>
    </row>
    <row r="1138" spans="2:19" ht="15" customHeight="1" x14ac:dyDescent="0.25">
      <c r="B1138" s="2" t="str">
        <f t="shared" si="34"/>
        <v>NSG_Residential_Multi-Family_Standard Rebate_DCV - Kitchen_0_MF/CI</v>
      </c>
      <c r="C1138" s="2" t="str">
        <f t="shared" si="35"/>
        <v>NSG_Residential_Multi-Family_Standard Rebate_DCV - Kitchen_0_MF/CI_2023</v>
      </c>
      <c r="D1138" s="19" t="s">
        <v>1787</v>
      </c>
      <c r="E1138" s="19" t="s">
        <v>2</v>
      </c>
      <c r="F1138" s="19" t="s">
        <v>1422</v>
      </c>
      <c r="G1138" s="19" t="s">
        <v>1418</v>
      </c>
      <c r="H1138" s="19" t="s">
        <v>1077</v>
      </c>
      <c r="I1138" s="19">
        <v>0</v>
      </c>
      <c r="J1138" s="19" t="s">
        <v>48</v>
      </c>
      <c r="K1138" s="19" t="s">
        <v>587</v>
      </c>
      <c r="L1138" s="19">
        <v>2023</v>
      </c>
      <c r="M1138" s="20">
        <v>7.75</v>
      </c>
      <c r="N1138" s="19" t="s">
        <v>333</v>
      </c>
      <c r="O1138" s="20">
        <v>1</v>
      </c>
      <c r="P1138" s="20">
        <v>7.75</v>
      </c>
      <c r="Q1138" s="20">
        <v>5218.6949999999997</v>
      </c>
      <c r="R1138" s="21">
        <v>0.87</v>
      </c>
      <c r="S1138" s="20">
        <v>5218.6949999999997</v>
      </c>
    </row>
    <row r="1139" spans="2:19" ht="15" customHeight="1" x14ac:dyDescent="0.25">
      <c r="B1139" s="2" t="str">
        <f t="shared" si="34"/>
        <v>NSG_Residential_Multi-Family_Standard Rebate_DCV - Kitchen_0_MF/CI</v>
      </c>
      <c r="C1139" s="2" t="str">
        <f t="shared" si="35"/>
        <v>NSG_Residential_Multi-Family_Standard Rebate_DCV - Kitchen_0_MF/CI_2024</v>
      </c>
      <c r="D1139" s="19" t="s">
        <v>1787</v>
      </c>
      <c r="E1139" s="19" t="s">
        <v>2</v>
      </c>
      <c r="F1139" s="19" t="s">
        <v>1422</v>
      </c>
      <c r="G1139" s="19" t="s">
        <v>1418</v>
      </c>
      <c r="H1139" s="19" t="s">
        <v>1077</v>
      </c>
      <c r="I1139" s="19">
        <v>0</v>
      </c>
      <c r="J1139" s="19" t="s">
        <v>48</v>
      </c>
      <c r="K1139" s="19" t="s">
        <v>587</v>
      </c>
      <c r="L1139" s="19">
        <v>2024</v>
      </c>
      <c r="M1139" s="20">
        <v>7.75</v>
      </c>
      <c r="N1139" s="19" t="s">
        <v>333</v>
      </c>
      <c r="O1139" s="20">
        <v>1</v>
      </c>
      <c r="P1139" s="20">
        <v>7.75</v>
      </c>
      <c r="Q1139" s="20">
        <v>5218.6949999999997</v>
      </c>
      <c r="R1139" s="21">
        <v>0.87</v>
      </c>
      <c r="S1139" s="20">
        <v>5218.6949999999997</v>
      </c>
    </row>
    <row r="1140" spans="2:19" ht="15" customHeight="1" x14ac:dyDescent="0.25">
      <c r="B1140" s="2" t="str">
        <f t="shared" si="34"/>
        <v>NSG_Residential_Multi-Family_Standard Rebate_DCV - Kitchen_0_MF/CI</v>
      </c>
      <c r="C1140" s="2" t="str">
        <f t="shared" si="35"/>
        <v>NSG_Residential_Multi-Family_Standard Rebate_DCV - Kitchen_0_MF/CI_2025</v>
      </c>
      <c r="D1140" s="19" t="s">
        <v>1787</v>
      </c>
      <c r="E1140" s="19" t="s">
        <v>2</v>
      </c>
      <c r="F1140" s="19" t="s">
        <v>1422</v>
      </c>
      <c r="G1140" s="19" t="s">
        <v>1418</v>
      </c>
      <c r="H1140" s="19" t="s">
        <v>1077</v>
      </c>
      <c r="I1140" s="19">
        <v>0</v>
      </c>
      <c r="J1140" s="19" t="s">
        <v>48</v>
      </c>
      <c r="K1140" s="19" t="s">
        <v>587</v>
      </c>
      <c r="L1140" s="19">
        <v>2025</v>
      </c>
      <c r="M1140" s="20">
        <v>7.75</v>
      </c>
      <c r="N1140" s="19" t="s">
        <v>333</v>
      </c>
      <c r="O1140" s="20">
        <v>1</v>
      </c>
      <c r="P1140" s="20">
        <v>7.75</v>
      </c>
      <c r="Q1140" s="20">
        <v>5218.6949999999997</v>
      </c>
      <c r="R1140" s="21">
        <v>0.87</v>
      </c>
      <c r="S1140" s="20">
        <v>5218.6949999999997</v>
      </c>
    </row>
    <row r="1141" spans="2:19" ht="15" customHeight="1" x14ac:dyDescent="0.25">
      <c r="B1141" s="2" t="str">
        <f t="shared" si="34"/>
        <v>NSG_Residential_Multi-Family_Partner Trade Ally Rebate_Air Sealing_0_MF</v>
      </c>
      <c r="C1141" s="2" t="str">
        <f t="shared" si="35"/>
        <v>NSG_Residential_Multi-Family_Partner Trade Ally Rebate_Air Sealing_0_MF_2022</v>
      </c>
      <c r="D1141" s="19" t="s">
        <v>1787</v>
      </c>
      <c r="E1141" s="19" t="s">
        <v>2</v>
      </c>
      <c r="F1141" s="19" t="s">
        <v>1422</v>
      </c>
      <c r="G1141" s="19" t="s">
        <v>1799</v>
      </c>
      <c r="H1141" s="19" t="s">
        <v>221</v>
      </c>
      <c r="I1141" s="19">
        <v>0</v>
      </c>
      <c r="J1141" s="19" t="s">
        <v>881</v>
      </c>
      <c r="K1141" s="19" t="s">
        <v>553</v>
      </c>
      <c r="L1141" s="19">
        <v>2022</v>
      </c>
      <c r="M1141" s="20">
        <v>521.83199999999999</v>
      </c>
      <c r="N1141" s="19" t="s">
        <v>1800</v>
      </c>
      <c r="O1141" s="20">
        <v>0</v>
      </c>
      <c r="P1141" s="20">
        <v>0</v>
      </c>
      <c r="Q1141" s="20">
        <v>0</v>
      </c>
      <c r="R1141" s="21">
        <v>0.87</v>
      </c>
      <c r="S1141" s="20">
        <v>0</v>
      </c>
    </row>
    <row r="1142" spans="2:19" ht="15" customHeight="1" x14ac:dyDescent="0.25">
      <c r="B1142" s="2" t="str">
        <f t="shared" si="34"/>
        <v>NSG_Residential_Multi-Family_Partner Trade Ally Rebate_Air Sealing_0_MF</v>
      </c>
      <c r="C1142" s="2" t="str">
        <f t="shared" si="35"/>
        <v>NSG_Residential_Multi-Family_Partner Trade Ally Rebate_Air Sealing_0_MF_2023</v>
      </c>
      <c r="D1142" s="19" t="s">
        <v>1787</v>
      </c>
      <c r="E1142" s="19" t="s">
        <v>2</v>
      </c>
      <c r="F1142" s="19" t="s">
        <v>1422</v>
      </c>
      <c r="G1142" s="19" t="s">
        <v>1799</v>
      </c>
      <c r="H1142" s="19" t="s">
        <v>221</v>
      </c>
      <c r="I1142" s="19">
        <v>0</v>
      </c>
      <c r="J1142" s="19" t="s">
        <v>881</v>
      </c>
      <c r="K1142" s="19" t="s">
        <v>553</v>
      </c>
      <c r="L1142" s="19">
        <v>2023</v>
      </c>
      <c r="M1142" s="20">
        <v>521.83199999999999</v>
      </c>
      <c r="N1142" s="19" t="s">
        <v>1800</v>
      </c>
      <c r="O1142" s="20">
        <v>0</v>
      </c>
      <c r="P1142" s="20">
        <v>0</v>
      </c>
      <c r="Q1142" s="20">
        <v>0</v>
      </c>
      <c r="R1142" s="21">
        <v>0.87</v>
      </c>
      <c r="S1142" s="20">
        <v>0</v>
      </c>
    </row>
    <row r="1143" spans="2:19" ht="15" customHeight="1" x14ac:dyDescent="0.25">
      <c r="B1143" s="2" t="str">
        <f t="shared" si="34"/>
        <v>NSG_Residential_Multi-Family_Partner Trade Ally Rebate_Air Sealing_0_MF</v>
      </c>
      <c r="C1143" s="2" t="str">
        <f t="shared" si="35"/>
        <v>NSG_Residential_Multi-Family_Partner Trade Ally Rebate_Air Sealing_0_MF_2024</v>
      </c>
      <c r="D1143" s="19" t="s">
        <v>1787</v>
      </c>
      <c r="E1143" s="19" t="s">
        <v>2</v>
      </c>
      <c r="F1143" s="19" t="s">
        <v>1422</v>
      </c>
      <c r="G1143" s="19" t="s">
        <v>1799</v>
      </c>
      <c r="H1143" s="19" t="s">
        <v>221</v>
      </c>
      <c r="I1143" s="19">
        <v>0</v>
      </c>
      <c r="J1143" s="19" t="s">
        <v>881</v>
      </c>
      <c r="K1143" s="19" t="s">
        <v>553</v>
      </c>
      <c r="L1143" s="19">
        <v>2024</v>
      </c>
      <c r="M1143" s="20">
        <v>521.83199999999999</v>
      </c>
      <c r="N1143" s="19" t="s">
        <v>1800</v>
      </c>
      <c r="O1143" s="20">
        <v>0</v>
      </c>
      <c r="P1143" s="20">
        <v>0</v>
      </c>
      <c r="Q1143" s="20">
        <v>0</v>
      </c>
      <c r="R1143" s="21">
        <v>0.87</v>
      </c>
      <c r="S1143" s="20">
        <v>0</v>
      </c>
    </row>
    <row r="1144" spans="2:19" ht="15" customHeight="1" x14ac:dyDescent="0.25">
      <c r="B1144" s="2" t="str">
        <f t="shared" si="34"/>
        <v>NSG_Residential_Multi-Family_Partner Trade Ally Rebate_Air Sealing_0_MF</v>
      </c>
      <c r="C1144" s="2" t="str">
        <f t="shared" si="35"/>
        <v>NSG_Residential_Multi-Family_Partner Trade Ally Rebate_Air Sealing_0_MF_2025</v>
      </c>
      <c r="D1144" s="19" t="s">
        <v>1787</v>
      </c>
      <c r="E1144" s="19" t="s">
        <v>2</v>
      </c>
      <c r="F1144" s="19" t="s">
        <v>1422</v>
      </c>
      <c r="G1144" s="19" t="s">
        <v>1799</v>
      </c>
      <c r="H1144" s="19" t="s">
        <v>221</v>
      </c>
      <c r="I1144" s="19">
        <v>0</v>
      </c>
      <c r="J1144" s="19" t="s">
        <v>881</v>
      </c>
      <c r="K1144" s="19" t="s">
        <v>553</v>
      </c>
      <c r="L1144" s="19">
        <v>2025</v>
      </c>
      <c r="M1144" s="20">
        <v>521.83199999999999</v>
      </c>
      <c r="N1144" s="19" t="s">
        <v>1800</v>
      </c>
      <c r="O1144" s="20">
        <v>0</v>
      </c>
      <c r="P1144" s="20">
        <v>0</v>
      </c>
      <c r="Q1144" s="20">
        <v>0</v>
      </c>
      <c r="R1144" s="21">
        <v>0.87</v>
      </c>
      <c r="S1144" s="20">
        <v>0</v>
      </c>
    </row>
    <row r="1145" spans="2:19" ht="15" customHeight="1" x14ac:dyDescent="0.25">
      <c r="B1145" s="2" t="str">
        <f t="shared" si="34"/>
        <v>NSG_Residential_Multi-Family_Partner Trade Ally Rebate_Duct Sealing_0_MF</v>
      </c>
      <c r="C1145" s="2" t="str">
        <f t="shared" si="35"/>
        <v>NSG_Residential_Multi-Family_Partner Trade Ally Rebate_Duct Sealing_0_MF_2022</v>
      </c>
      <c r="D1145" s="19" t="s">
        <v>1787</v>
      </c>
      <c r="E1145" s="19" t="s">
        <v>2</v>
      </c>
      <c r="F1145" s="19" t="s">
        <v>1422</v>
      </c>
      <c r="G1145" s="19" t="s">
        <v>1799</v>
      </c>
      <c r="H1145" s="19" t="s">
        <v>680</v>
      </c>
      <c r="I1145" s="19">
        <v>0</v>
      </c>
      <c r="J1145" s="19" t="s">
        <v>684</v>
      </c>
      <c r="K1145" s="19" t="s">
        <v>553</v>
      </c>
      <c r="L1145" s="19">
        <v>2022</v>
      </c>
      <c r="M1145" s="20">
        <v>120</v>
      </c>
      <c r="N1145" s="19" t="s">
        <v>1801</v>
      </c>
      <c r="O1145" s="20">
        <v>0</v>
      </c>
      <c r="P1145" s="20">
        <v>0</v>
      </c>
      <c r="Q1145" s="20">
        <v>0</v>
      </c>
      <c r="R1145" s="21">
        <v>0.87</v>
      </c>
      <c r="S1145" s="20">
        <v>0</v>
      </c>
    </row>
    <row r="1146" spans="2:19" ht="15" customHeight="1" x14ac:dyDescent="0.25">
      <c r="B1146" s="2" t="str">
        <f t="shared" si="34"/>
        <v>NSG_Residential_Multi-Family_Partner Trade Ally Rebate_Duct Sealing_0_MF</v>
      </c>
      <c r="C1146" s="2" t="str">
        <f t="shared" si="35"/>
        <v>NSG_Residential_Multi-Family_Partner Trade Ally Rebate_Duct Sealing_0_MF_2023</v>
      </c>
      <c r="D1146" s="19" t="s">
        <v>1787</v>
      </c>
      <c r="E1146" s="19" t="s">
        <v>2</v>
      </c>
      <c r="F1146" s="19" t="s">
        <v>1422</v>
      </c>
      <c r="G1146" s="19" t="s">
        <v>1799</v>
      </c>
      <c r="H1146" s="19" t="s">
        <v>680</v>
      </c>
      <c r="I1146" s="19">
        <v>0</v>
      </c>
      <c r="J1146" s="19" t="s">
        <v>684</v>
      </c>
      <c r="K1146" s="19" t="s">
        <v>553</v>
      </c>
      <c r="L1146" s="19">
        <v>2023</v>
      </c>
      <c r="M1146" s="20">
        <v>120</v>
      </c>
      <c r="N1146" s="19" t="s">
        <v>1801</v>
      </c>
      <c r="O1146" s="20">
        <v>0</v>
      </c>
      <c r="P1146" s="20">
        <v>0</v>
      </c>
      <c r="Q1146" s="20">
        <v>0</v>
      </c>
      <c r="R1146" s="21">
        <v>0.87</v>
      </c>
      <c r="S1146" s="20">
        <v>0</v>
      </c>
    </row>
    <row r="1147" spans="2:19" ht="15" customHeight="1" x14ac:dyDescent="0.25">
      <c r="B1147" s="2" t="str">
        <f t="shared" si="34"/>
        <v>NSG_Residential_Multi-Family_Partner Trade Ally Rebate_Duct Sealing_0_MF</v>
      </c>
      <c r="C1147" s="2" t="str">
        <f t="shared" si="35"/>
        <v>NSG_Residential_Multi-Family_Partner Trade Ally Rebate_Duct Sealing_0_MF_2024</v>
      </c>
      <c r="D1147" s="19" t="s">
        <v>1787</v>
      </c>
      <c r="E1147" s="19" t="s">
        <v>2</v>
      </c>
      <c r="F1147" s="19" t="s">
        <v>1422</v>
      </c>
      <c r="G1147" s="19" t="s">
        <v>1799</v>
      </c>
      <c r="H1147" s="19" t="s">
        <v>680</v>
      </c>
      <c r="I1147" s="19">
        <v>0</v>
      </c>
      <c r="J1147" s="19" t="s">
        <v>684</v>
      </c>
      <c r="K1147" s="19" t="s">
        <v>553</v>
      </c>
      <c r="L1147" s="19">
        <v>2024</v>
      </c>
      <c r="M1147" s="20">
        <v>120</v>
      </c>
      <c r="N1147" s="19" t="s">
        <v>1801</v>
      </c>
      <c r="O1147" s="20">
        <v>0</v>
      </c>
      <c r="P1147" s="20">
        <v>0</v>
      </c>
      <c r="Q1147" s="20">
        <v>0</v>
      </c>
      <c r="R1147" s="21">
        <v>0.87</v>
      </c>
      <c r="S1147" s="20">
        <v>0</v>
      </c>
    </row>
    <row r="1148" spans="2:19" ht="15" customHeight="1" x14ac:dyDescent="0.25">
      <c r="B1148" s="2" t="str">
        <f t="shared" si="34"/>
        <v>NSG_Residential_Multi-Family_Partner Trade Ally Rebate_Duct Sealing_0_MF</v>
      </c>
      <c r="C1148" s="2" t="str">
        <f t="shared" si="35"/>
        <v>NSG_Residential_Multi-Family_Partner Trade Ally Rebate_Duct Sealing_0_MF_2025</v>
      </c>
      <c r="D1148" s="19" t="s">
        <v>1787</v>
      </c>
      <c r="E1148" s="19" t="s">
        <v>2</v>
      </c>
      <c r="F1148" s="19" t="s">
        <v>1422</v>
      </c>
      <c r="G1148" s="19" t="s">
        <v>1799</v>
      </c>
      <c r="H1148" s="19" t="s">
        <v>680</v>
      </c>
      <c r="I1148" s="19">
        <v>0</v>
      </c>
      <c r="J1148" s="19" t="s">
        <v>684</v>
      </c>
      <c r="K1148" s="19" t="s">
        <v>553</v>
      </c>
      <c r="L1148" s="19">
        <v>2025</v>
      </c>
      <c r="M1148" s="20">
        <v>120</v>
      </c>
      <c r="N1148" s="19" t="s">
        <v>1801</v>
      </c>
      <c r="O1148" s="20">
        <v>0</v>
      </c>
      <c r="P1148" s="20">
        <v>0</v>
      </c>
      <c r="Q1148" s="20">
        <v>0</v>
      </c>
      <c r="R1148" s="21">
        <v>0.87</v>
      </c>
      <c r="S1148" s="20">
        <v>0</v>
      </c>
    </row>
    <row r="1149" spans="2:19" ht="15" customHeight="1" x14ac:dyDescent="0.25">
      <c r="B1149" s="2" t="str">
        <f t="shared" si="34"/>
        <v>NSG_Residential_Multi-Family_Partner Trade Ally Rebate_Programmable Thermostat_Furnace (P)_MF</v>
      </c>
      <c r="C1149" s="2" t="str">
        <f t="shared" si="35"/>
        <v>NSG_Residential_Multi-Family_Partner Trade Ally Rebate_Programmable Thermostat_Furnace (P)_MF_2022</v>
      </c>
      <c r="D1149" s="19" t="s">
        <v>1787</v>
      </c>
      <c r="E1149" s="19" t="s">
        <v>2</v>
      </c>
      <c r="F1149" s="19" t="s">
        <v>1422</v>
      </c>
      <c r="G1149" s="19" t="s">
        <v>1799</v>
      </c>
      <c r="H1149" s="19" t="s">
        <v>224</v>
      </c>
      <c r="I1149" s="19" t="s">
        <v>1042</v>
      </c>
      <c r="J1149" s="19" t="s">
        <v>24</v>
      </c>
      <c r="K1149" s="19" t="s">
        <v>553</v>
      </c>
      <c r="L1149" s="19">
        <v>2022</v>
      </c>
      <c r="M1149" s="20">
        <v>1</v>
      </c>
      <c r="N1149" s="19" t="s">
        <v>1798</v>
      </c>
      <c r="O1149" s="20">
        <v>3</v>
      </c>
      <c r="P1149" s="20">
        <v>3</v>
      </c>
      <c r="Q1149" s="20">
        <v>59.196992400000006</v>
      </c>
      <c r="R1149" s="21">
        <v>0.87</v>
      </c>
      <c r="S1149" s="20">
        <v>59.196992400000006</v>
      </c>
    </row>
    <row r="1150" spans="2:19" ht="15" customHeight="1" x14ac:dyDescent="0.25">
      <c r="B1150" s="2" t="str">
        <f t="shared" si="34"/>
        <v>NSG_Residential_Multi-Family_Partner Trade Ally Rebate_Programmable Thermostat_Furnace (P)_MF</v>
      </c>
      <c r="C1150" s="2" t="str">
        <f t="shared" si="35"/>
        <v>NSG_Residential_Multi-Family_Partner Trade Ally Rebate_Programmable Thermostat_Furnace (P)_MF_2023</v>
      </c>
      <c r="D1150" s="19" t="s">
        <v>1787</v>
      </c>
      <c r="E1150" s="19" t="s">
        <v>2</v>
      </c>
      <c r="F1150" s="19" t="s">
        <v>1422</v>
      </c>
      <c r="G1150" s="19" t="s">
        <v>1799</v>
      </c>
      <c r="H1150" s="19" t="s">
        <v>224</v>
      </c>
      <c r="I1150" s="19" t="s">
        <v>1042</v>
      </c>
      <c r="J1150" s="19" t="s">
        <v>24</v>
      </c>
      <c r="K1150" s="19" t="s">
        <v>553</v>
      </c>
      <c r="L1150" s="19">
        <v>2023</v>
      </c>
      <c r="M1150" s="20">
        <v>1</v>
      </c>
      <c r="N1150" s="19" t="s">
        <v>1798</v>
      </c>
      <c r="O1150" s="20">
        <v>3</v>
      </c>
      <c r="P1150" s="20">
        <v>3</v>
      </c>
      <c r="Q1150" s="20">
        <v>59.196992400000006</v>
      </c>
      <c r="R1150" s="21">
        <v>0.87</v>
      </c>
      <c r="S1150" s="20">
        <v>59.196992400000006</v>
      </c>
    </row>
    <row r="1151" spans="2:19" ht="15" customHeight="1" x14ac:dyDescent="0.25">
      <c r="B1151" s="2" t="str">
        <f t="shared" si="34"/>
        <v>NSG_Residential_Multi-Family_Partner Trade Ally Rebate_Programmable Thermostat_Furnace (P)_MF</v>
      </c>
      <c r="C1151" s="2" t="str">
        <f t="shared" si="35"/>
        <v>NSG_Residential_Multi-Family_Partner Trade Ally Rebate_Programmable Thermostat_Furnace (P)_MF_2024</v>
      </c>
      <c r="D1151" s="19" t="s">
        <v>1787</v>
      </c>
      <c r="E1151" s="19" t="s">
        <v>2</v>
      </c>
      <c r="F1151" s="19" t="s">
        <v>1422</v>
      </c>
      <c r="G1151" s="19" t="s">
        <v>1799</v>
      </c>
      <c r="H1151" s="19" t="s">
        <v>224</v>
      </c>
      <c r="I1151" s="19" t="s">
        <v>1042</v>
      </c>
      <c r="J1151" s="19" t="s">
        <v>24</v>
      </c>
      <c r="K1151" s="19" t="s">
        <v>553</v>
      </c>
      <c r="L1151" s="19">
        <v>2024</v>
      </c>
      <c r="M1151" s="20">
        <v>1</v>
      </c>
      <c r="N1151" s="19" t="s">
        <v>1798</v>
      </c>
      <c r="O1151" s="20">
        <v>3</v>
      </c>
      <c r="P1151" s="20">
        <v>3</v>
      </c>
      <c r="Q1151" s="20">
        <v>59.196992400000006</v>
      </c>
      <c r="R1151" s="21">
        <v>0.87</v>
      </c>
      <c r="S1151" s="20">
        <v>59.196992400000006</v>
      </c>
    </row>
    <row r="1152" spans="2:19" ht="15" customHeight="1" x14ac:dyDescent="0.25">
      <c r="B1152" s="2" t="str">
        <f t="shared" si="34"/>
        <v>NSG_Residential_Multi-Family_Partner Trade Ally Rebate_Programmable Thermostat_Furnace (P)_MF</v>
      </c>
      <c r="C1152" s="2" t="str">
        <f t="shared" si="35"/>
        <v>NSG_Residential_Multi-Family_Partner Trade Ally Rebate_Programmable Thermostat_Furnace (P)_MF_2025</v>
      </c>
      <c r="D1152" s="19" t="s">
        <v>1787</v>
      </c>
      <c r="E1152" s="19" t="s">
        <v>2</v>
      </c>
      <c r="F1152" s="19" t="s">
        <v>1422</v>
      </c>
      <c r="G1152" s="19" t="s">
        <v>1799</v>
      </c>
      <c r="H1152" s="19" t="s">
        <v>224</v>
      </c>
      <c r="I1152" s="19" t="s">
        <v>1042</v>
      </c>
      <c r="J1152" s="19" t="s">
        <v>24</v>
      </c>
      <c r="K1152" s="19" t="s">
        <v>553</v>
      </c>
      <c r="L1152" s="19">
        <v>2025</v>
      </c>
      <c r="M1152" s="20">
        <v>1</v>
      </c>
      <c r="N1152" s="19" t="s">
        <v>1798</v>
      </c>
      <c r="O1152" s="20">
        <v>3</v>
      </c>
      <c r="P1152" s="20">
        <v>3</v>
      </c>
      <c r="Q1152" s="20">
        <v>59.196992400000006</v>
      </c>
      <c r="R1152" s="21">
        <v>0.87</v>
      </c>
      <c r="S1152" s="20">
        <v>59.196992400000006</v>
      </c>
    </row>
    <row r="1153" spans="2:19" ht="15" customHeight="1" x14ac:dyDescent="0.25">
      <c r="B1153" s="2" t="str">
        <f t="shared" si="34"/>
        <v>NSG_Residential_Multi-Family_Partner Trade Ally Rebate_Programmable Thermostat_Boiler (P)_MF</v>
      </c>
      <c r="C1153" s="2" t="str">
        <f t="shared" si="35"/>
        <v>NSG_Residential_Multi-Family_Partner Trade Ally Rebate_Programmable Thermostat_Boiler (P)_MF_2022</v>
      </c>
      <c r="D1153" s="19" t="s">
        <v>1787</v>
      </c>
      <c r="E1153" s="19" t="s">
        <v>2</v>
      </c>
      <c r="F1153" s="19" t="s">
        <v>1422</v>
      </c>
      <c r="G1153" s="19" t="s">
        <v>1799</v>
      </c>
      <c r="H1153" s="19" t="s">
        <v>224</v>
      </c>
      <c r="I1153" s="19" t="s">
        <v>1046</v>
      </c>
      <c r="J1153" s="19" t="s">
        <v>24</v>
      </c>
      <c r="K1153" s="19" t="s">
        <v>553</v>
      </c>
      <c r="L1153" s="19">
        <v>2022</v>
      </c>
      <c r="M1153" s="20">
        <v>1</v>
      </c>
      <c r="N1153" s="19" t="s">
        <v>1798</v>
      </c>
      <c r="O1153" s="20">
        <v>5</v>
      </c>
      <c r="P1153" s="20">
        <v>5</v>
      </c>
      <c r="Q1153" s="20">
        <v>145.78363800000002</v>
      </c>
      <c r="R1153" s="21">
        <v>0.87</v>
      </c>
      <c r="S1153" s="20">
        <v>145.78363800000002</v>
      </c>
    </row>
    <row r="1154" spans="2:19" ht="15" customHeight="1" x14ac:dyDescent="0.25">
      <c r="B1154" s="2" t="str">
        <f t="shared" si="34"/>
        <v>NSG_Residential_Multi-Family_Partner Trade Ally Rebate_Programmable Thermostat_Boiler (P)_MF</v>
      </c>
      <c r="C1154" s="2" t="str">
        <f t="shared" si="35"/>
        <v>NSG_Residential_Multi-Family_Partner Trade Ally Rebate_Programmable Thermostat_Boiler (P)_MF_2023</v>
      </c>
      <c r="D1154" s="19" t="s">
        <v>1787</v>
      </c>
      <c r="E1154" s="19" t="s">
        <v>2</v>
      </c>
      <c r="F1154" s="19" t="s">
        <v>1422</v>
      </c>
      <c r="G1154" s="19" t="s">
        <v>1799</v>
      </c>
      <c r="H1154" s="19" t="s">
        <v>224</v>
      </c>
      <c r="I1154" s="19" t="s">
        <v>1046</v>
      </c>
      <c r="J1154" s="19" t="s">
        <v>24</v>
      </c>
      <c r="K1154" s="19" t="s">
        <v>553</v>
      </c>
      <c r="L1154" s="19">
        <v>2023</v>
      </c>
      <c r="M1154" s="20">
        <v>1</v>
      </c>
      <c r="N1154" s="19" t="s">
        <v>1798</v>
      </c>
      <c r="O1154" s="20">
        <v>5</v>
      </c>
      <c r="P1154" s="20">
        <v>5</v>
      </c>
      <c r="Q1154" s="20">
        <v>145.78363800000002</v>
      </c>
      <c r="R1154" s="21">
        <v>0.87</v>
      </c>
      <c r="S1154" s="20">
        <v>145.78363800000002</v>
      </c>
    </row>
    <row r="1155" spans="2:19" ht="15" customHeight="1" x14ac:dyDescent="0.25">
      <c r="B1155" s="2" t="str">
        <f t="shared" si="34"/>
        <v>NSG_Residential_Multi-Family_Partner Trade Ally Rebate_Programmable Thermostat_Boiler (P)_MF</v>
      </c>
      <c r="C1155" s="2" t="str">
        <f t="shared" si="35"/>
        <v>NSG_Residential_Multi-Family_Partner Trade Ally Rebate_Programmable Thermostat_Boiler (P)_MF_2024</v>
      </c>
      <c r="D1155" s="19" t="s">
        <v>1787</v>
      </c>
      <c r="E1155" s="19" t="s">
        <v>2</v>
      </c>
      <c r="F1155" s="19" t="s">
        <v>1422</v>
      </c>
      <c r="G1155" s="19" t="s">
        <v>1799</v>
      </c>
      <c r="H1155" s="19" t="s">
        <v>224</v>
      </c>
      <c r="I1155" s="19" t="s">
        <v>1046</v>
      </c>
      <c r="J1155" s="19" t="s">
        <v>24</v>
      </c>
      <c r="K1155" s="19" t="s">
        <v>553</v>
      </c>
      <c r="L1155" s="19">
        <v>2024</v>
      </c>
      <c r="M1155" s="20">
        <v>1</v>
      </c>
      <c r="N1155" s="19" t="s">
        <v>1798</v>
      </c>
      <c r="O1155" s="20">
        <v>5</v>
      </c>
      <c r="P1155" s="20">
        <v>5</v>
      </c>
      <c r="Q1155" s="20">
        <v>145.78363800000002</v>
      </c>
      <c r="R1155" s="21">
        <v>0.87</v>
      </c>
      <c r="S1155" s="20">
        <v>145.78363800000002</v>
      </c>
    </row>
    <row r="1156" spans="2:19" ht="15" customHeight="1" x14ac:dyDescent="0.25">
      <c r="B1156" s="2" t="str">
        <f t="shared" si="34"/>
        <v>NSG_Residential_Multi-Family_Partner Trade Ally Rebate_Programmable Thermostat_Boiler (P)_MF</v>
      </c>
      <c r="C1156" s="2" t="str">
        <f t="shared" si="35"/>
        <v>NSG_Residential_Multi-Family_Partner Trade Ally Rebate_Programmable Thermostat_Boiler (P)_MF_2025</v>
      </c>
      <c r="D1156" s="19" t="s">
        <v>1787</v>
      </c>
      <c r="E1156" s="19" t="s">
        <v>2</v>
      </c>
      <c r="F1156" s="19" t="s">
        <v>1422</v>
      </c>
      <c r="G1156" s="19" t="s">
        <v>1799</v>
      </c>
      <c r="H1156" s="19" t="s">
        <v>224</v>
      </c>
      <c r="I1156" s="19" t="s">
        <v>1046</v>
      </c>
      <c r="J1156" s="19" t="s">
        <v>24</v>
      </c>
      <c r="K1156" s="19" t="s">
        <v>553</v>
      </c>
      <c r="L1156" s="19">
        <v>2025</v>
      </c>
      <c r="M1156" s="20">
        <v>1</v>
      </c>
      <c r="N1156" s="19" t="s">
        <v>1798</v>
      </c>
      <c r="O1156" s="20">
        <v>5</v>
      </c>
      <c r="P1156" s="20">
        <v>5</v>
      </c>
      <c r="Q1156" s="20">
        <v>145.78363800000002</v>
      </c>
      <c r="R1156" s="21">
        <v>0.87</v>
      </c>
      <c r="S1156" s="20">
        <v>145.78363800000002</v>
      </c>
    </row>
    <row r="1157" spans="2:19" ht="15" customHeight="1" x14ac:dyDescent="0.25">
      <c r="B1157" s="2" t="str">
        <f t="shared" si="34"/>
        <v>NSG_Residential_Multi-Family_Partner Trade Ally Rebate_Advanced Thermostat_Furnace (Replace Unknown)_MF</v>
      </c>
      <c r="C1157" s="2" t="str">
        <f t="shared" si="35"/>
        <v>NSG_Residential_Multi-Family_Partner Trade Ally Rebate_Advanced Thermostat_Furnace (Replace Unknown)_MF_2022</v>
      </c>
      <c r="D1157" s="19" t="s">
        <v>1787</v>
      </c>
      <c r="E1157" s="19" t="s">
        <v>2</v>
      </c>
      <c r="F1157" s="19" t="s">
        <v>1422</v>
      </c>
      <c r="G1157" s="19" t="s">
        <v>1799</v>
      </c>
      <c r="H1157" s="19" t="s">
        <v>7</v>
      </c>
      <c r="I1157" s="19" t="s">
        <v>1050</v>
      </c>
      <c r="J1157" s="19" t="s">
        <v>24</v>
      </c>
      <c r="K1157" s="19" t="s">
        <v>553</v>
      </c>
      <c r="L1157" s="19">
        <v>2022</v>
      </c>
      <c r="M1157" s="20">
        <v>1</v>
      </c>
      <c r="N1157" s="19" t="s">
        <v>1798</v>
      </c>
      <c r="O1157" s="20">
        <v>4</v>
      </c>
      <c r="P1157" s="20">
        <v>4</v>
      </c>
      <c r="Q1157" s="20">
        <v>195.50466</v>
      </c>
      <c r="R1157" s="21">
        <v>0.87</v>
      </c>
      <c r="S1157" s="20">
        <v>195.50466</v>
      </c>
    </row>
    <row r="1158" spans="2:19" ht="15" customHeight="1" x14ac:dyDescent="0.25">
      <c r="B1158" s="2" t="str">
        <f t="shared" ref="B1158:B1221" si="36">D1158&amp;"_"&amp;E1158&amp;"_"&amp;F1158&amp;"_"&amp;G1158&amp;"_"&amp;H1158&amp;"_"&amp;I1158&amp;"_"&amp;K1158</f>
        <v>NSG_Residential_Multi-Family_Partner Trade Ally Rebate_Advanced Thermostat_Furnace (Replace Unknown)_MF</v>
      </c>
      <c r="C1158" s="2" t="str">
        <f t="shared" ref="C1158:C1221" si="37">D1158&amp;"_"&amp;E1158&amp;"_"&amp;F1158&amp;"_"&amp;G1158&amp;"_"&amp;H1158&amp;"_"&amp;I1158&amp;"_"&amp;K1158&amp;"_"&amp;L1158</f>
        <v>NSG_Residential_Multi-Family_Partner Trade Ally Rebate_Advanced Thermostat_Furnace (Replace Unknown)_MF_2023</v>
      </c>
      <c r="D1158" s="19" t="s">
        <v>1787</v>
      </c>
      <c r="E1158" s="19" t="s">
        <v>2</v>
      </c>
      <c r="F1158" s="19" t="s">
        <v>1422</v>
      </c>
      <c r="G1158" s="19" t="s">
        <v>1799</v>
      </c>
      <c r="H1158" s="19" t="s">
        <v>7</v>
      </c>
      <c r="I1158" s="19" t="s">
        <v>1050</v>
      </c>
      <c r="J1158" s="19" t="s">
        <v>24</v>
      </c>
      <c r="K1158" s="19" t="s">
        <v>553</v>
      </c>
      <c r="L1158" s="19">
        <v>2023</v>
      </c>
      <c r="M1158" s="20">
        <v>1</v>
      </c>
      <c r="N1158" s="19" t="s">
        <v>1798</v>
      </c>
      <c r="O1158" s="20">
        <v>4</v>
      </c>
      <c r="P1158" s="20">
        <v>4</v>
      </c>
      <c r="Q1158" s="20">
        <v>195.50466</v>
      </c>
      <c r="R1158" s="21">
        <v>0.87</v>
      </c>
      <c r="S1158" s="20">
        <v>195.50466</v>
      </c>
    </row>
    <row r="1159" spans="2:19" ht="15" customHeight="1" x14ac:dyDescent="0.25">
      <c r="B1159" s="2" t="str">
        <f t="shared" si="36"/>
        <v>NSG_Residential_Multi-Family_Partner Trade Ally Rebate_Advanced Thermostat_Furnace (Replace Unknown)_MF</v>
      </c>
      <c r="C1159" s="2" t="str">
        <f t="shared" si="37"/>
        <v>NSG_Residential_Multi-Family_Partner Trade Ally Rebate_Advanced Thermostat_Furnace (Replace Unknown)_MF_2024</v>
      </c>
      <c r="D1159" s="19" t="s">
        <v>1787</v>
      </c>
      <c r="E1159" s="19" t="s">
        <v>2</v>
      </c>
      <c r="F1159" s="19" t="s">
        <v>1422</v>
      </c>
      <c r="G1159" s="19" t="s">
        <v>1799</v>
      </c>
      <c r="H1159" s="19" t="s">
        <v>7</v>
      </c>
      <c r="I1159" s="19" t="s">
        <v>1050</v>
      </c>
      <c r="J1159" s="19" t="s">
        <v>24</v>
      </c>
      <c r="K1159" s="19" t="s">
        <v>553</v>
      </c>
      <c r="L1159" s="19">
        <v>2024</v>
      </c>
      <c r="M1159" s="20">
        <v>1</v>
      </c>
      <c r="N1159" s="19" t="s">
        <v>1798</v>
      </c>
      <c r="O1159" s="20">
        <v>4</v>
      </c>
      <c r="P1159" s="20">
        <v>4</v>
      </c>
      <c r="Q1159" s="20">
        <v>195.50466</v>
      </c>
      <c r="R1159" s="21">
        <v>0.87</v>
      </c>
      <c r="S1159" s="20">
        <v>195.50466</v>
      </c>
    </row>
    <row r="1160" spans="2:19" ht="15" customHeight="1" x14ac:dyDescent="0.25">
      <c r="B1160" s="2" t="str">
        <f t="shared" si="36"/>
        <v>NSG_Residential_Multi-Family_Partner Trade Ally Rebate_Advanced Thermostat_Furnace (Replace Unknown)_MF</v>
      </c>
      <c r="C1160" s="2" t="str">
        <f t="shared" si="37"/>
        <v>NSG_Residential_Multi-Family_Partner Trade Ally Rebate_Advanced Thermostat_Furnace (Replace Unknown)_MF_2025</v>
      </c>
      <c r="D1160" s="19" t="s">
        <v>1787</v>
      </c>
      <c r="E1160" s="19" t="s">
        <v>2</v>
      </c>
      <c r="F1160" s="19" t="s">
        <v>1422</v>
      </c>
      <c r="G1160" s="19" t="s">
        <v>1799</v>
      </c>
      <c r="H1160" s="19" t="s">
        <v>7</v>
      </c>
      <c r="I1160" s="19" t="s">
        <v>1050</v>
      </c>
      <c r="J1160" s="19" t="s">
        <v>24</v>
      </c>
      <c r="K1160" s="19" t="s">
        <v>553</v>
      </c>
      <c r="L1160" s="19">
        <v>2025</v>
      </c>
      <c r="M1160" s="20">
        <v>1</v>
      </c>
      <c r="N1160" s="19" t="s">
        <v>1798</v>
      </c>
      <c r="O1160" s="20">
        <v>4</v>
      </c>
      <c r="P1160" s="20">
        <v>4</v>
      </c>
      <c r="Q1160" s="20">
        <v>195.50466</v>
      </c>
      <c r="R1160" s="21">
        <v>0.87</v>
      </c>
      <c r="S1160" s="20">
        <v>195.50466</v>
      </c>
    </row>
    <row r="1161" spans="2:19" ht="15" customHeight="1" x14ac:dyDescent="0.25">
      <c r="B1161" s="2" t="str">
        <f t="shared" si="36"/>
        <v>NSG_Residential_Multi-Family_Partner Trade Ally Rebate_Advanced Thermostat_Boiler (Replace Unknown)_MF</v>
      </c>
      <c r="C1161" s="2" t="str">
        <f t="shared" si="37"/>
        <v>NSG_Residential_Multi-Family_Partner Trade Ally Rebate_Advanced Thermostat_Boiler (Replace Unknown)_MF_2022</v>
      </c>
      <c r="D1161" s="19" t="s">
        <v>1787</v>
      </c>
      <c r="E1161" s="19" t="s">
        <v>2</v>
      </c>
      <c r="F1161" s="19" t="s">
        <v>1422</v>
      </c>
      <c r="G1161" s="19" t="s">
        <v>1799</v>
      </c>
      <c r="H1161" s="19" t="s">
        <v>7</v>
      </c>
      <c r="I1161" s="19" t="s">
        <v>1054</v>
      </c>
      <c r="J1161" s="19" t="s">
        <v>24</v>
      </c>
      <c r="K1161" s="19" t="s">
        <v>553</v>
      </c>
      <c r="L1161" s="19">
        <v>2022</v>
      </c>
      <c r="M1161" s="20">
        <v>1</v>
      </c>
      <c r="N1161" s="19" t="s">
        <v>1798</v>
      </c>
      <c r="O1161" s="20">
        <v>8</v>
      </c>
      <c r="P1161" s="20">
        <v>8</v>
      </c>
      <c r="Q1161" s="20">
        <v>577.76004</v>
      </c>
      <c r="R1161" s="21">
        <v>0.87</v>
      </c>
      <c r="S1161" s="20">
        <v>577.76004</v>
      </c>
    </row>
    <row r="1162" spans="2:19" ht="15" customHeight="1" x14ac:dyDescent="0.25">
      <c r="B1162" s="2" t="str">
        <f t="shared" si="36"/>
        <v>NSG_Residential_Multi-Family_Partner Trade Ally Rebate_Advanced Thermostat_Boiler (Replace Unknown)_MF</v>
      </c>
      <c r="C1162" s="2" t="str">
        <f t="shared" si="37"/>
        <v>NSG_Residential_Multi-Family_Partner Trade Ally Rebate_Advanced Thermostat_Boiler (Replace Unknown)_MF_2023</v>
      </c>
      <c r="D1162" s="19" t="s">
        <v>1787</v>
      </c>
      <c r="E1162" s="19" t="s">
        <v>2</v>
      </c>
      <c r="F1162" s="19" t="s">
        <v>1422</v>
      </c>
      <c r="G1162" s="19" t="s">
        <v>1799</v>
      </c>
      <c r="H1162" s="19" t="s">
        <v>7</v>
      </c>
      <c r="I1162" s="19" t="s">
        <v>1054</v>
      </c>
      <c r="J1162" s="19" t="s">
        <v>24</v>
      </c>
      <c r="K1162" s="19" t="s">
        <v>553</v>
      </c>
      <c r="L1162" s="19">
        <v>2023</v>
      </c>
      <c r="M1162" s="20">
        <v>1</v>
      </c>
      <c r="N1162" s="19" t="s">
        <v>1798</v>
      </c>
      <c r="O1162" s="20">
        <v>8</v>
      </c>
      <c r="P1162" s="20">
        <v>8</v>
      </c>
      <c r="Q1162" s="20">
        <v>577.76004</v>
      </c>
      <c r="R1162" s="21">
        <v>0.87</v>
      </c>
      <c r="S1162" s="20">
        <v>577.76004</v>
      </c>
    </row>
    <row r="1163" spans="2:19" ht="15" customHeight="1" x14ac:dyDescent="0.25">
      <c r="B1163" s="2" t="str">
        <f t="shared" si="36"/>
        <v>NSG_Residential_Multi-Family_Partner Trade Ally Rebate_Advanced Thermostat_Boiler (Replace Unknown)_MF</v>
      </c>
      <c r="C1163" s="2" t="str">
        <f t="shared" si="37"/>
        <v>NSG_Residential_Multi-Family_Partner Trade Ally Rebate_Advanced Thermostat_Boiler (Replace Unknown)_MF_2024</v>
      </c>
      <c r="D1163" s="19" t="s">
        <v>1787</v>
      </c>
      <c r="E1163" s="19" t="s">
        <v>2</v>
      </c>
      <c r="F1163" s="19" t="s">
        <v>1422</v>
      </c>
      <c r="G1163" s="19" t="s">
        <v>1799</v>
      </c>
      <c r="H1163" s="19" t="s">
        <v>7</v>
      </c>
      <c r="I1163" s="19" t="s">
        <v>1054</v>
      </c>
      <c r="J1163" s="19" t="s">
        <v>24</v>
      </c>
      <c r="K1163" s="19" t="s">
        <v>553</v>
      </c>
      <c r="L1163" s="19">
        <v>2024</v>
      </c>
      <c r="M1163" s="20">
        <v>1</v>
      </c>
      <c r="N1163" s="19" t="s">
        <v>1798</v>
      </c>
      <c r="O1163" s="20">
        <v>8</v>
      </c>
      <c r="P1163" s="20">
        <v>8</v>
      </c>
      <c r="Q1163" s="20">
        <v>577.76004</v>
      </c>
      <c r="R1163" s="21">
        <v>0.87</v>
      </c>
      <c r="S1163" s="20">
        <v>577.76004</v>
      </c>
    </row>
    <row r="1164" spans="2:19" ht="15" customHeight="1" x14ac:dyDescent="0.25">
      <c r="B1164" s="2" t="str">
        <f t="shared" si="36"/>
        <v>NSG_Residential_Multi-Family_Partner Trade Ally Rebate_Advanced Thermostat_Boiler (Replace Unknown)_MF</v>
      </c>
      <c r="C1164" s="2" t="str">
        <f t="shared" si="37"/>
        <v>NSG_Residential_Multi-Family_Partner Trade Ally Rebate_Advanced Thermostat_Boiler (Replace Unknown)_MF_2025</v>
      </c>
      <c r="D1164" s="19" t="s">
        <v>1787</v>
      </c>
      <c r="E1164" s="19" t="s">
        <v>2</v>
      </c>
      <c r="F1164" s="19" t="s">
        <v>1422</v>
      </c>
      <c r="G1164" s="19" t="s">
        <v>1799</v>
      </c>
      <c r="H1164" s="19" t="s">
        <v>7</v>
      </c>
      <c r="I1164" s="19" t="s">
        <v>1054</v>
      </c>
      <c r="J1164" s="19" t="s">
        <v>24</v>
      </c>
      <c r="K1164" s="19" t="s">
        <v>553</v>
      </c>
      <c r="L1164" s="19">
        <v>2025</v>
      </c>
      <c r="M1164" s="20">
        <v>1</v>
      </c>
      <c r="N1164" s="19" t="s">
        <v>1798</v>
      </c>
      <c r="O1164" s="20">
        <v>8</v>
      </c>
      <c r="P1164" s="20">
        <v>8</v>
      </c>
      <c r="Q1164" s="20">
        <v>577.76004</v>
      </c>
      <c r="R1164" s="21">
        <v>0.87</v>
      </c>
      <c r="S1164" s="20">
        <v>577.76004</v>
      </c>
    </row>
    <row r="1165" spans="2:19" ht="15" customHeight="1" x14ac:dyDescent="0.25">
      <c r="B1165" s="2" t="str">
        <f t="shared" si="36"/>
        <v>NSG_Residential_Multi-Family_Partner Trade Ally Rebate_Boiler_≥88% AFUE, &lt;300MBh_MF</v>
      </c>
      <c r="C1165" s="2" t="str">
        <f t="shared" si="37"/>
        <v>NSG_Residential_Multi-Family_Partner Trade Ally Rebate_Boiler_≥88% AFUE, &lt;300MBh_MF_2022</v>
      </c>
      <c r="D1165" s="19" t="s">
        <v>1787</v>
      </c>
      <c r="E1165" s="19" t="s">
        <v>2</v>
      </c>
      <c r="F1165" s="19" t="s">
        <v>1422</v>
      </c>
      <c r="G1165" s="19" t="s">
        <v>1799</v>
      </c>
      <c r="H1165" s="19" t="s">
        <v>944</v>
      </c>
      <c r="I1165" s="19" t="s">
        <v>945</v>
      </c>
      <c r="J1165" s="19" t="s">
        <v>942</v>
      </c>
      <c r="K1165" s="19" t="s">
        <v>553</v>
      </c>
      <c r="L1165" s="19">
        <v>2022</v>
      </c>
      <c r="M1165" s="20">
        <v>100</v>
      </c>
      <c r="N1165" s="19" t="s">
        <v>667</v>
      </c>
      <c r="O1165" s="20">
        <v>1</v>
      </c>
      <c r="P1165" s="20">
        <v>100</v>
      </c>
      <c r="Q1165" s="20">
        <v>68.812857142857197</v>
      </c>
      <c r="R1165" s="21">
        <v>0.87</v>
      </c>
      <c r="S1165" s="20">
        <v>68.812857142857197</v>
      </c>
    </row>
    <row r="1166" spans="2:19" ht="15" customHeight="1" x14ac:dyDescent="0.25">
      <c r="B1166" s="2" t="str">
        <f t="shared" si="36"/>
        <v>NSG_Residential_Multi-Family_Partner Trade Ally Rebate_Boiler_≥88% AFUE, &lt;300MBh_MF</v>
      </c>
      <c r="C1166" s="2" t="str">
        <f t="shared" si="37"/>
        <v>NSG_Residential_Multi-Family_Partner Trade Ally Rebate_Boiler_≥88% AFUE, &lt;300MBh_MF_2023</v>
      </c>
      <c r="D1166" s="19" t="s">
        <v>1787</v>
      </c>
      <c r="E1166" s="19" t="s">
        <v>2</v>
      </c>
      <c r="F1166" s="19" t="s">
        <v>1422</v>
      </c>
      <c r="G1166" s="19" t="s">
        <v>1799</v>
      </c>
      <c r="H1166" s="19" t="s">
        <v>944</v>
      </c>
      <c r="I1166" s="19" t="s">
        <v>945</v>
      </c>
      <c r="J1166" s="19" t="s">
        <v>942</v>
      </c>
      <c r="K1166" s="19" t="s">
        <v>553</v>
      </c>
      <c r="L1166" s="19">
        <v>2023</v>
      </c>
      <c r="M1166" s="20">
        <v>100</v>
      </c>
      <c r="N1166" s="19" t="s">
        <v>667</v>
      </c>
      <c r="O1166" s="20">
        <v>1</v>
      </c>
      <c r="P1166" s="20">
        <v>100</v>
      </c>
      <c r="Q1166" s="20">
        <v>68.812857142857197</v>
      </c>
      <c r="R1166" s="21">
        <v>0.87</v>
      </c>
      <c r="S1166" s="20">
        <v>68.812857142857197</v>
      </c>
    </row>
    <row r="1167" spans="2:19" ht="15" customHeight="1" x14ac:dyDescent="0.25">
      <c r="B1167" s="2" t="str">
        <f t="shared" si="36"/>
        <v>NSG_Residential_Multi-Family_Partner Trade Ally Rebate_Boiler_≥88% AFUE, &lt;300MBh_MF</v>
      </c>
      <c r="C1167" s="2" t="str">
        <f t="shared" si="37"/>
        <v>NSG_Residential_Multi-Family_Partner Trade Ally Rebate_Boiler_≥88% AFUE, &lt;300MBh_MF_2024</v>
      </c>
      <c r="D1167" s="19" t="s">
        <v>1787</v>
      </c>
      <c r="E1167" s="19" t="s">
        <v>2</v>
      </c>
      <c r="F1167" s="19" t="s">
        <v>1422</v>
      </c>
      <c r="G1167" s="19" t="s">
        <v>1799</v>
      </c>
      <c r="H1167" s="19" t="s">
        <v>944</v>
      </c>
      <c r="I1167" s="19" t="s">
        <v>945</v>
      </c>
      <c r="J1167" s="19" t="s">
        <v>942</v>
      </c>
      <c r="K1167" s="19" t="s">
        <v>553</v>
      </c>
      <c r="L1167" s="19">
        <v>2024</v>
      </c>
      <c r="M1167" s="20">
        <v>100</v>
      </c>
      <c r="N1167" s="19" t="s">
        <v>667</v>
      </c>
      <c r="O1167" s="20">
        <v>1</v>
      </c>
      <c r="P1167" s="20">
        <v>100</v>
      </c>
      <c r="Q1167" s="20">
        <v>68.812857142857197</v>
      </c>
      <c r="R1167" s="21">
        <v>0.87</v>
      </c>
      <c r="S1167" s="20">
        <v>68.812857142857197</v>
      </c>
    </row>
    <row r="1168" spans="2:19" ht="15" customHeight="1" x14ac:dyDescent="0.25">
      <c r="B1168" s="2" t="str">
        <f t="shared" si="36"/>
        <v>NSG_Residential_Multi-Family_Partner Trade Ally Rebate_Boiler_≥88% AFUE, &lt;300MBh_MF</v>
      </c>
      <c r="C1168" s="2" t="str">
        <f t="shared" si="37"/>
        <v>NSG_Residential_Multi-Family_Partner Trade Ally Rebate_Boiler_≥88% AFUE, &lt;300MBh_MF_2025</v>
      </c>
      <c r="D1168" s="19" t="s">
        <v>1787</v>
      </c>
      <c r="E1168" s="19" t="s">
        <v>2</v>
      </c>
      <c r="F1168" s="19" t="s">
        <v>1422</v>
      </c>
      <c r="G1168" s="19" t="s">
        <v>1799</v>
      </c>
      <c r="H1168" s="19" t="s">
        <v>944</v>
      </c>
      <c r="I1168" s="19" t="s">
        <v>945</v>
      </c>
      <c r="J1168" s="19" t="s">
        <v>942</v>
      </c>
      <c r="K1168" s="19" t="s">
        <v>553</v>
      </c>
      <c r="L1168" s="19">
        <v>2025</v>
      </c>
      <c r="M1168" s="20">
        <v>100</v>
      </c>
      <c r="N1168" s="19" t="s">
        <v>667</v>
      </c>
      <c r="O1168" s="20">
        <v>1</v>
      </c>
      <c r="P1168" s="20">
        <v>100</v>
      </c>
      <c r="Q1168" s="20">
        <v>68.812857142857197</v>
      </c>
      <c r="R1168" s="21">
        <v>0.87</v>
      </c>
      <c r="S1168" s="20">
        <v>68.812857142857197</v>
      </c>
    </row>
    <row r="1169" spans="2:19" ht="15" customHeight="1" x14ac:dyDescent="0.25">
      <c r="B1169" s="2" t="str">
        <f t="shared" si="36"/>
        <v>NSG_Residential_Multi-Family_Partner Trade Ally Rebate_Boiler_≥88% AFUE, ≥300MBh TE_MF</v>
      </c>
      <c r="C1169" s="2" t="str">
        <f t="shared" si="37"/>
        <v>NSG_Residential_Multi-Family_Partner Trade Ally Rebate_Boiler_≥88% AFUE, ≥300MBh TE_MF_2022</v>
      </c>
      <c r="D1169" s="19" t="s">
        <v>1787</v>
      </c>
      <c r="E1169" s="19" t="s">
        <v>2</v>
      </c>
      <c r="F1169" s="19" t="s">
        <v>1422</v>
      </c>
      <c r="G1169" s="19" t="s">
        <v>1799</v>
      </c>
      <c r="H1169" s="19" t="s">
        <v>944</v>
      </c>
      <c r="I1169" s="19" t="s">
        <v>946</v>
      </c>
      <c r="J1169" s="19" t="s">
        <v>942</v>
      </c>
      <c r="K1169" s="19" t="s">
        <v>553</v>
      </c>
      <c r="L1169" s="19">
        <v>2022</v>
      </c>
      <c r="M1169" s="20">
        <v>5000</v>
      </c>
      <c r="N1169" s="19" t="s">
        <v>667</v>
      </c>
      <c r="O1169" s="20">
        <v>0</v>
      </c>
      <c r="P1169" s="20">
        <v>0</v>
      </c>
      <c r="Q1169" s="20">
        <v>0</v>
      </c>
      <c r="R1169" s="21">
        <v>0.87</v>
      </c>
      <c r="S1169" s="20">
        <v>0</v>
      </c>
    </row>
    <row r="1170" spans="2:19" ht="15" customHeight="1" x14ac:dyDescent="0.25">
      <c r="B1170" s="2" t="str">
        <f t="shared" si="36"/>
        <v>NSG_Residential_Multi-Family_Partner Trade Ally Rebate_Boiler_≥88% AFUE, ≥300MBh TE_MF</v>
      </c>
      <c r="C1170" s="2" t="str">
        <f t="shared" si="37"/>
        <v>NSG_Residential_Multi-Family_Partner Trade Ally Rebate_Boiler_≥88% AFUE, ≥300MBh TE_MF_2023</v>
      </c>
      <c r="D1170" s="19" t="s">
        <v>1787</v>
      </c>
      <c r="E1170" s="19" t="s">
        <v>2</v>
      </c>
      <c r="F1170" s="19" t="s">
        <v>1422</v>
      </c>
      <c r="G1170" s="19" t="s">
        <v>1799</v>
      </c>
      <c r="H1170" s="19" t="s">
        <v>944</v>
      </c>
      <c r="I1170" s="19" t="s">
        <v>946</v>
      </c>
      <c r="J1170" s="19" t="s">
        <v>942</v>
      </c>
      <c r="K1170" s="19" t="s">
        <v>553</v>
      </c>
      <c r="L1170" s="19">
        <v>2023</v>
      </c>
      <c r="M1170" s="20">
        <v>5000</v>
      </c>
      <c r="N1170" s="19" t="s">
        <v>667</v>
      </c>
      <c r="O1170" s="20">
        <v>0</v>
      </c>
      <c r="P1170" s="20">
        <v>0</v>
      </c>
      <c r="Q1170" s="20">
        <v>0</v>
      </c>
      <c r="R1170" s="21">
        <v>0.87</v>
      </c>
      <c r="S1170" s="20">
        <v>0</v>
      </c>
    </row>
    <row r="1171" spans="2:19" ht="15" customHeight="1" x14ac:dyDescent="0.25">
      <c r="B1171" s="2" t="str">
        <f t="shared" si="36"/>
        <v>NSG_Residential_Multi-Family_Partner Trade Ally Rebate_Boiler_≥88% AFUE, ≥300MBh TE_MF</v>
      </c>
      <c r="C1171" s="2" t="str">
        <f t="shared" si="37"/>
        <v>NSG_Residential_Multi-Family_Partner Trade Ally Rebate_Boiler_≥88% AFUE, ≥300MBh TE_MF_2024</v>
      </c>
      <c r="D1171" s="19" t="s">
        <v>1787</v>
      </c>
      <c r="E1171" s="19" t="s">
        <v>2</v>
      </c>
      <c r="F1171" s="19" t="s">
        <v>1422</v>
      </c>
      <c r="G1171" s="19" t="s">
        <v>1799</v>
      </c>
      <c r="H1171" s="19" t="s">
        <v>944</v>
      </c>
      <c r="I1171" s="19" t="s">
        <v>946</v>
      </c>
      <c r="J1171" s="19" t="s">
        <v>942</v>
      </c>
      <c r="K1171" s="19" t="s">
        <v>553</v>
      </c>
      <c r="L1171" s="19">
        <v>2024</v>
      </c>
      <c r="M1171" s="20">
        <v>5000</v>
      </c>
      <c r="N1171" s="19" t="s">
        <v>667</v>
      </c>
      <c r="O1171" s="20">
        <v>0</v>
      </c>
      <c r="P1171" s="20">
        <v>0</v>
      </c>
      <c r="Q1171" s="20">
        <v>0</v>
      </c>
      <c r="R1171" s="21">
        <v>0.87</v>
      </c>
      <c r="S1171" s="20">
        <v>0</v>
      </c>
    </row>
    <row r="1172" spans="2:19" ht="15" customHeight="1" x14ac:dyDescent="0.25">
      <c r="B1172" s="2" t="str">
        <f t="shared" si="36"/>
        <v>NSG_Residential_Multi-Family_Partner Trade Ally Rebate_Boiler_≥88% AFUE, ≥300MBh TE_MF</v>
      </c>
      <c r="C1172" s="2" t="str">
        <f t="shared" si="37"/>
        <v>NSG_Residential_Multi-Family_Partner Trade Ally Rebate_Boiler_≥88% AFUE, ≥300MBh TE_MF_2025</v>
      </c>
      <c r="D1172" s="19" t="s">
        <v>1787</v>
      </c>
      <c r="E1172" s="19" t="s">
        <v>2</v>
      </c>
      <c r="F1172" s="19" t="s">
        <v>1422</v>
      </c>
      <c r="G1172" s="19" t="s">
        <v>1799</v>
      </c>
      <c r="H1172" s="19" t="s">
        <v>944</v>
      </c>
      <c r="I1172" s="19" t="s">
        <v>946</v>
      </c>
      <c r="J1172" s="19" t="s">
        <v>942</v>
      </c>
      <c r="K1172" s="19" t="s">
        <v>553</v>
      </c>
      <c r="L1172" s="19">
        <v>2025</v>
      </c>
      <c r="M1172" s="20">
        <v>5000</v>
      </c>
      <c r="N1172" s="19" t="s">
        <v>667</v>
      </c>
      <c r="O1172" s="20">
        <v>0</v>
      </c>
      <c r="P1172" s="20">
        <v>0</v>
      </c>
      <c r="Q1172" s="20">
        <v>0</v>
      </c>
      <c r="R1172" s="21">
        <v>0.87</v>
      </c>
      <c r="S1172" s="20">
        <v>0</v>
      </c>
    </row>
    <row r="1173" spans="2:19" ht="15" customHeight="1" x14ac:dyDescent="0.25">
      <c r="B1173" s="2" t="str">
        <f t="shared" si="36"/>
        <v>NSG_Residential_Multi-Family_Partner Trade Ally Rebate_Boiler Reset Controls_0_MF</v>
      </c>
      <c r="C1173" s="2" t="str">
        <f t="shared" si="37"/>
        <v>NSG_Residential_Multi-Family_Partner Trade Ally Rebate_Boiler Reset Controls_0_MF_2022</v>
      </c>
      <c r="D1173" s="19" t="s">
        <v>1787</v>
      </c>
      <c r="E1173" s="19" t="s">
        <v>2</v>
      </c>
      <c r="F1173" s="19" t="s">
        <v>1422</v>
      </c>
      <c r="G1173" s="19" t="s">
        <v>1799</v>
      </c>
      <c r="H1173" s="19" t="s">
        <v>978</v>
      </c>
      <c r="I1173" s="19">
        <v>0</v>
      </c>
      <c r="J1173" s="19" t="s">
        <v>25</v>
      </c>
      <c r="K1173" s="19" t="s">
        <v>553</v>
      </c>
      <c r="L1173" s="19">
        <v>2022</v>
      </c>
      <c r="M1173" s="20">
        <v>1200</v>
      </c>
      <c r="N1173" s="19" t="s">
        <v>667</v>
      </c>
      <c r="O1173" s="20">
        <v>2</v>
      </c>
      <c r="P1173" s="20">
        <v>2400</v>
      </c>
      <c r="Q1173" s="20">
        <v>2774.5344</v>
      </c>
      <c r="R1173" s="21">
        <v>0.87</v>
      </c>
      <c r="S1173" s="20">
        <v>2774.5344</v>
      </c>
    </row>
    <row r="1174" spans="2:19" ht="15" customHeight="1" x14ac:dyDescent="0.25">
      <c r="B1174" s="2" t="str">
        <f t="shared" si="36"/>
        <v>NSG_Residential_Multi-Family_Partner Trade Ally Rebate_Boiler Reset Controls_0_MF</v>
      </c>
      <c r="C1174" s="2" t="str">
        <f t="shared" si="37"/>
        <v>NSG_Residential_Multi-Family_Partner Trade Ally Rebate_Boiler Reset Controls_0_MF_2023</v>
      </c>
      <c r="D1174" s="19" t="s">
        <v>1787</v>
      </c>
      <c r="E1174" s="19" t="s">
        <v>2</v>
      </c>
      <c r="F1174" s="19" t="s">
        <v>1422</v>
      </c>
      <c r="G1174" s="19" t="s">
        <v>1799</v>
      </c>
      <c r="H1174" s="19" t="s">
        <v>978</v>
      </c>
      <c r="I1174" s="19">
        <v>0</v>
      </c>
      <c r="J1174" s="19" t="s">
        <v>25</v>
      </c>
      <c r="K1174" s="19" t="s">
        <v>553</v>
      </c>
      <c r="L1174" s="19">
        <v>2023</v>
      </c>
      <c r="M1174" s="20">
        <v>1200</v>
      </c>
      <c r="N1174" s="19" t="s">
        <v>667</v>
      </c>
      <c r="O1174" s="20">
        <v>2</v>
      </c>
      <c r="P1174" s="20">
        <v>2400</v>
      </c>
      <c r="Q1174" s="20">
        <v>2774.5344</v>
      </c>
      <c r="R1174" s="21">
        <v>0.87</v>
      </c>
      <c r="S1174" s="20">
        <v>2774.5344</v>
      </c>
    </row>
    <row r="1175" spans="2:19" ht="15" customHeight="1" x14ac:dyDescent="0.25">
      <c r="B1175" s="2" t="str">
        <f t="shared" si="36"/>
        <v>NSG_Residential_Multi-Family_Partner Trade Ally Rebate_Boiler Reset Controls_0_MF</v>
      </c>
      <c r="C1175" s="2" t="str">
        <f t="shared" si="37"/>
        <v>NSG_Residential_Multi-Family_Partner Trade Ally Rebate_Boiler Reset Controls_0_MF_2024</v>
      </c>
      <c r="D1175" s="19" t="s">
        <v>1787</v>
      </c>
      <c r="E1175" s="19" t="s">
        <v>2</v>
      </c>
      <c r="F1175" s="19" t="s">
        <v>1422</v>
      </c>
      <c r="G1175" s="19" t="s">
        <v>1799</v>
      </c>
      <c r="H1175" s="19" t="s">
        <v>978</v>
      </c>
      <c r="I1175" s="19">
        <v>0</v>
      </c>
      <c r="J1175" s="19" t="s">
        <v>25</v>
      </c>
      <c r="K1175" s="19" t="s">
        <v>553</v>
      </c>
      <c r="L1175" s="19">
        <v>2024</v>
      </c>
      <c r="M1175" s="20">
        <v>1200</v>
      </c>
      <c r="N1175" s="19" t="s">
        <v>667</v>
      </c>
      <c r="O1175" s="20">
        <v>2</v>
      </c>
      <c r="P1175" s="20">
        <v>2400</v>
      </c>
      <c r="Q1175" s="20">
        <v>2774.5344</v>
      </c>
      <c r="R1175" s="21">
        <v>0.87</v>
      </c>
      <c r="S1175" s="20">
        <v>2774.5344</v>
      </c>
    </row>
    <row r="1176" spans="2:19" ht="15" customHeight="1" x14ac:dyDescent="0.25">
      <c r="B1176" s="2" t="str">
        <f t="shared" si="36"/>
        <v>NSG_Residential_Multi-Family_Partner Trade Ally Rebate_Boiler Reset Controls_0_MF</v>
      </c>
      <c r="C1176" s="2" t="str">
        <f t="shared" si="37"/>
        <v>NSG_Residential_Multi-Family_Partner Trade Ally Rebate_Boiler Reset Controls_0_MF_2025</v>
      </c>
      <c r="D1176" s="19" t="s">
        <v>1787</v>
      </c>
      <c r="E1176" s="19" t="s">
        <v>2</v>
      </c>
      <c r="F1176" s="19" t="s">
        <v>1422</v>
      </c>
      <c r="G1176" s="19" t="s">
        <v>1799</v>
      </c>
      <c r="H1176" s="19" t="s">
        <v>978</v>
      </c>
      <c r="I1176" s="19">
        <v>0</v>
      </c>
      <c r="J1176" s="19" t="s">
        <v>25</v>
      </c>
      <c r="K1176" s="19" t="s">
        <v>553</v>
      </c>
      <c r="L1176" s="19">
        <v>2025</v>
      </c>
      <c r="M1176" s="20">
        <v>1200</v>
      </c>
      <c r="N1176" s="19" t="s">
        <v>667</v>
      </c>
      <c r="O1176" s="20">
        <v>2</v>
      </c>
      <c r="P1176" s="20">
        <v>2400</v>
      </c>
      <c r="Q1176" s="20">
        <v>2774.5344</v>
      </c>
      <c r="R1176" s="21">
        <v>0.87</v>
      </c>
      <c r="S1176" s="20">
        <v>2774.5344</v>
      </c>
    </row>
    <row r="1177" spans="2:19" ht="15" customHeight="1" x14ac:dyDescent="0.25">
      <c r="B1177" s="2" t="str">
        <f t="shared" si="36"/>
        <v>NSG_Residential_Multi-Family_Partner Trade Ally Rebate_Boiler Tune Up_Process_MF/CI</v>
      </c>
      <c r="C1177" s="2" t="str">
        <f t="shared" si="37"/>
        <v>NSG_Residential_Multi-Family_Partner Trade Ally Rebate_Boiler Tune Up_Process_MF/CI_2022</v>
      </c>
      <c r="D1177" s="19" t="s">
        <v>1787</v>
      </c>
      <c r="E1177" s="19" t="s">
        <v>2</v>
      </c>
      <c r="F1177" s="19" t="s">
        <v>1422</v>
      </c>
      <c r="G1177" s="19" t="s">
        <v>1799</v>
      </c>
      <c r="H1177" s="19" t="s">
        <v>906</v>
      </c>
      <c r="I1177" s="19" t="s">
        <v>924</v>
      </c>
      <c r="J1177" s="19" t="s">
        <v>927</v>
      </c>
      <c r="K1177" s="19" t="s">
        <v>587</v>
      </c>
      <c r="L1177" s="19">
        <v>2022</v>
      </c>
      <c r="M1177" s="20">
        <v>2000</v>
      </c>
      <c r="N1177" s="19" t="s">
        <v>667</v>
      </c>
      <c r="O1177" s="20">
        <v>5</v>
      </c>
      <c r="P1177" s="20">
        <v>10000</v>
      </c>
      <c r="Q1177" s="20">
        <v>8897.7977651331239</v>
      </c>
      <c r="R1177" s="21">
        <v>0.87</v>
      </c>
      <c r="S1177" s="20">
        <v>8897.7977651331239</v>
      </c>
    </row>
    <row r="1178" spans="2:19" ht="15" customHeight="1" x14ac:dyDescent="0.25">
      <c r="B1178" s="2" t="str">
        <f t="shared" si="36"/>
        <v>NSG_Residential_Multi-Family_Partner Trade Ally Rebate_Boiler Tune Up_Process_MF/CI</v>
      </c>
      <c r="C1178" s="2" t="str">
        <f t="shared" si="37"/>
        <v>NSG_Residential_Multi-Family_Partner Trade Ally Rebate_Boiler Tune Up_Process_MF/CI_2023</v>
      </c>
      <c r="D1178" s="19" t="s">
        <v>1787</v>
      </c>
      <c r="E1178" s="19" t="s">
        <v>2</v>
      </c>
      <c r="F1178" s="19" t="s">
        <v>1422</v>
      </c>
      <c r="G1178" s="19" t="s">
        <v>1799</v>
      </c>
      <c r="H1178" s="19" t="s">
        <v>906</v>
      </c>
      <c r="I1178" s="19" t="s">
        <v>924</v>
      </c>
      <c r="J1178" s="19" t="s">
        <v>927</v>
      </c>
      <c r="K1178" s="19" t="s">
        <v>587</v>
      </c>
      <c r="L1178" s="19">
        <v>2023</v>
      </c>
      <c r="M1178" s="20">
        <v>2000</v>
      </c>
      <c r="N1178" s="19" t="s">
        <v>667</v>
      </c>
      <c r="O1178" s="20">
        <v>5</v>
      </c>
      <c r="P1178" s="20">
        <v>10000</v>
      </c>
      <c r="Q1178" s="20">
        <v>8897.7977651331239</v>
      </c>
      <c r="R1178" s="21">
        <v>0.87</v>
      </c>
      <c r="S1178" s="20">
        <v>8897.7977651331239</v>
      </c>
    </row>
    <row r="1179" spans="2:19" ht="15" customHeight="1" x14ac:dyDescent="0.25">
      <c r="B1179" s="2" t="str">
        <f t="shared" si="36"/>
        <v>NSG_Residential_Multi-Family_Partner Trade Ally Rebate_Boiler Tune Up_Process_MF/CI</v>
      </c>
      <c r="C1179" s="2" t="str">
        <f t="shared" si="37"/>
        <v>NSG_Residential_Multi-Family_Partner Trade Ally Rebate_Boiler Tune Up_Process_MF/CI_2024</v>
      </c>
      <c r="D1179" s="19" t="s">
        <v>1787</v>
      </c>
      <c r="E1179" s="19" t="s">
        <v>2</v>
      </c>
      <c r="F1179" s="19" t="s">
        <v>1422</v>
      </c>
      <c r="G1179" s="19" t="s">
        <v>1799</v>
      </c>
      <c r="H1179" s="19" t="s">
        <v>906</v>
      </c>
      <c r="I1179" s="19" t="s">
        <v>924</v>
      </c>
      <c r="J1179" s="19" t="s">
        <v>927</v>
      </c>
      <c r="K1179" s="19" t="s">
        <v>587</v>
      </c>
      <c r="L1179" s="19">
        <v>2024</v>
      </c>
      <c r="M1179" s="20">
        <v>2000</v>
      </c>
      <c r="N1179" s="19" t="s">
        <v>667</v>
      </c>
      <c r="O1179" s="20">
        <v>5</v>
      </c>
      <c r="P1179" s="20">
        <v>10000</v>
      </c>
      <c r="Q1179" s="20">
        <v>8897.7977651331239</v>
      </c>
      <c r="R1179" s="21">
        <v>0.87</v>
      </c>
      <c r="S1179" s="20">
        <v>8897.7977651331239</v>
      </c>
    </row>
    <row r="1180" spans="2:19" ht="15" customHeight="1" x14ac:dyDescent="0.25">
      <c r="B1180" s="2" t="str">
        <f t="shared" si="36"/>
        <v>NSG_Residential_Multi-Family_Partner Trade Ally Rebate_Boiler Tune Up_Process_MF/CI</v>
      </c>
      <c r="C1180" s="2" t="str">
        <f t="shared" si="37"/>
        <v>NSG_Residential_Multi-Family_Partner Trade Ally Rebate_Boiler Tune Up_Process_MF/CI_2025</v>
      </c>
      <c r="D1180" s="19" t="s">
        <v>1787</v>
      </c>
      <c r="E1180" s="19" t="s">
        <v>2</v>
      </c>
      <c r="F1180" s="19" t="s">
        <v>1422</v>
      </c>
      <c r="G1180" s="19" t="s">
        <v>1799</v>
      </c>
      <c r="H1180" s="19" t="s">
        <v>906</v>
      </c>
      <c r="I1180" s="19" t="s">
        <v>924</v>
      </c>
      <c r="J1180" s="19" t="s">
        <v>927</v>
      </c>
      <c r="K1180" s="19" t="s">
        <v>587</v>
      </c>
      <c r="L1180" s="19">
        <v>2025</v>
      </c>
      <c r="M1180" s="20">
        <v>2000</v>
      </c>
      <c r="N1180" s="19" t="s">
        <v>667</v>
      </c>
      <c r="O1180" s="20">
        <v>5</v>
      </c>
      <c r="P1180" s="20">
        <v>10000</v>
      </c>
      <c r="Q1180" s="20">
        <v>8897.7977651331239</v>
      </c>
      <c r="R1180" s="21">
        <v>0.87</v>
      </c>
      <c r="S1180" s="20">
        <v>8897.7977651331239</v>
      </c>
    </row>
    <row r="1181" spans="2:19" ht="15" customHeight="1" x14ac:dyDescent="0.25">
      <c r="B1181" s="2" t="str">
        <f t="shared" si="36"/>
        <v>NSG_Residential_Multi-Family_Partner Trade Ally Rebate_Boiler Tune Up_Space Heating_MF</v>
      </c>
      <c r="C1181" s="2" t="str">
        <f t="shared" si="37"/>
        <v>NSG_Residential_Multi-Family_Partner Trade Ally Rebate_Boiler Tune Up_Space Heating_MF_2022</v>
      </c>
      <c r="D1181" s="19" t="s">
        <v>1787</v>
      </c>
      <c r="E1181" s="19" t="s">
        <v>2</v>
      </c>
      <c r="F1181" s="19" t="s">
        <v>1422</v>
      </c>
      <c r="G1181" s="19" t="s">
        <v>1799</v>
      </c>
      <c r="H1181" s="19" t="s">
        <v>906</v>
      </c>
      <c r="I1181" s="19" t="s">
        <v>907</v>
      </c>
      <c r="J1181" s="19" t="s">
        <v>909</v>
      </c>
      <c r="K1181" s="19" t="s">
        <v>553</v>
      </c>
      <c r="L1181" s="19">
        <v>2022</v>
      </c>
      <c r="M1181" s="20">
        <v>800</v>
      </c>
      <c r="N1181" s="19" t="s">
        <v>667</v>
      </c>
      <c r="O1181" s="20">
        <v>6</v>
      </c>
      <c r="P1181" s="20">
        <v>4800</v>
      </c>
      <c r="Q1181" s="20">
        <v>1957.4935950920287</v>
      </c>
      <c r="R1181" s="21">
        <v>0.87</v>
      </c>
      <c r="S1181" s="20">
        <v>1957.4935950920287</v>
      </c>
    </row>
    <row r="1182" spans="2:19" ht="15" customHeight="1" x14ac:dyDescent="0.25">
      <c r="B1182" s="2" t="str">
        <f t="shared" si="36"/>
        <v>NSG_Residential_Multi-Family_Partner Trade Ally Rebate_Boiler Tune Up_Space Heating_MF</v>
      </c>
      <c r="C1182" s="2" t="str">
        <f t="shared" si="37"/>
        <v>NSG_Residential_Multi-Family_Partner Trade Ally Rebate_Boiler Tune Up_Space Heating_MF_2023</v>
      </c>
      <c r="D1182" s="19" t="s">
        <v>1787</v>
      </c>
      <c r="E1182" s="19" t="s">
        <v>2</v>
      </c>
      <c r="F1182" s="19" t="s">
        <v>1422</v>
      </c>
      <c r="G1182" s="19" t="s">
        <v>1799</v>
      </c>
      <c r="H1182" s="19" t="s">
        <v>906</v>
      </c>
      <c r="I1182" s="19" t="s">
        <v>907</v>
      </c>
      <c r="J1182" s="19" t="s">
        <v>909</v>
      </c>
      <c r="K1182" s="19" t="s">
        <v>553</v>
      </c>
      <c r="L1182" s="19">
        <v>2023</v>
      </c>
      <c r="M1182" s="20">
        <v>800</v>
      </c>
      <c r="N1182" s="19" t="s">
        <v>667</v>
      </c>
      <c r="O1182" s="20">
        <v>6</v>
      </c>
      <c r="P1182" s="20">
        <v>4800</v>
      </c>
      <c r="Q1182" s="20">
        <v>1957.4935950920287</v>
      </c>
      <c r="R1182" s="21">
        <v>0.87</v>
      </c>
      <c r="S1182" s="20">
        <v>1957.4935950920287</v>
      </c>
    </row>
    <row r="1183" spans="2:19" ht="15" customHeight="1" x14ac:dyDescent="0.25">
      <c r="B1183" s="2" t="str">
        <f t="shared" si="36"/>
        <v>NSG_Residential_Multi-Family_Partner Trade Ally Rebate_Boiler Tune Up_Space Heating_MF</v>
      </c>
      <c r="C1183" s="2" t="str">
        <f t="shared" si="37"/>
        <v>NSG_Residential_Multi-Family_Partner Trade Ally Rebate_Boiler Tune Up_Space Heating_MF_2024</v>
      </c>
      <c r="D1183" s="19" t="s">
        <v>1787</v>
      </c>
      <c r="E1183" s="19" t="s">
        <v>2</v>
      </c>
      <c r="F1183" s="19" t="s">
        <v>1422</v>
      </c>
      <c r="G1183" s="19" t="s">
        <v>1799</v>
      </c>
      <c r="H1183" s="19" t="s">
        <v>906</v>
      </c>
      <c r="I1183" s="19" t="s">
        <v>907</v>
      </c>
      <c r="J1183" s="19" t="s">
        <v>909</v>
      </c>
      <c r="K1183" s="19" t="s">
        <v>553</v>
      </c>
      <c r="L1183" s="19">
        <v>2024</v>
      </c>
      <c r="M1183" s="20">
        <v>800</v>
      </c>
      <c r="N1183" s="19" t="s">
        <v>667</v>
      </c>
      <c r="O1183" s="20">
        <v>6</v>
      </c>
      <c r="P1183" s="20">
        <v>4800</v>
      </c>
      <c r="Q1183" s="20">
        <v>1957.4935950920287</v>
      </c>
      <c r="R1183" s="21">
        <v>0.87</v>
      </c>
      <c r="S1183" s="20">
        <v>1957.4935950920287</v>
      </c>
    </row>
    <row r="1184" spans="2:19" ht="15" customHeight="1" x14ac:dyDescent="0.25">
      <c r="B1184" s="2" t="str">
        <f t="shared" si="36"/>
        <v>NSG_Residential_Multi-Family_Partner Trade Ally Rebate_Boiler Tune Up_Space Heating_MF</v>
      </c>
      <c r="C1184" s="2" t="str">
        <f t="shared" si="37"/>
        <v>NSG_Residential_Multi-Family_Partner Trade Ally Rebate_Boiler Tune Up_Space Heating_MF_2025</v>
      </c>
      <c r="D1184" s="19" t="s">
        <v>1787</v>
      </c>
      <c r="E1184" s="19" t="s">
        <v>2</v>
      </c>
      <c r="F1184" s="19" t="s">
        <v>1422</v>
      </c>
      <c r="G1184" s="19" t="s">
        <v>1799</v>
      </c>
      <c r="H1184" s="19" t="s">
        <v>906</v>
      </c>
      <c r="I1184" s="19" t="s">
        <v>907</v>
      </c>
      <c r="J1184" s="19" t="s">
        <v>909</v>
      </c>
      <c r="K1184" s="19" t="s">
        <v>553</v>
      </c>
      <c r="L1184" s="19">
        <v>2025</v>
      </c>
      <c r="M1184" s="20">
        <v>800</v>
      </c>
      <c r="N1184" s="19" t="s">
        <v>667</v>
      </c>
      <c r="O1184" s="20">
        <v>6</v>
      </c>
      <c r="P1184" s="20">
        <v>4800</v>
      </c>
      <c r="Q1184" s="20">
        <v>1957.4935950920287</v>
      </c>
      <c r="R1184" s="21">
        <v>0.87</v>
      </c>
      <c r="S1184" s="20">
        <v>1957.4935950920287</v>
      </c>
    </row>
    <row r="1185" spans="2:19" ht="15" customHeight="1" x14ac:dyDescent="0.25">
      <c r="B1185" s="2" t="str">
        <f t="shared" si="36"/>
        <v>NSG_Residential_Multi-Family_Partner Trade Ally Rebate_Condensing Unit Heater_0_MF/CI</v>
      </c>
      <c r="C1185" s="2" t="str">
        <f t="shared" si="37"/>
        <v>NSG_Residential_Multi-Family_Partner Trade Ally Rebate_Condensing Unit Heater_0_MF/CI_2022</v>
      </c>
      <c r="D1185" s="19" t="s">
        <v>1787</v>
      </c>
      <c r="E1185" s="19" t="s">
        <v>2</v>
      </c>
      <c r="F1185" s="19" t="s">
        <v>1422</v>
      </c>
      <c r="G1185" s="19" t="s">
        <v>1799</v>
      </c>
      <c r="H1185" s="19" t="s">
        <v>13</v>
      </c>
      <c r="I1185" s="19">
        <v>0</v>
      </c>
      <c r="J1185" s="19" t="s">
        <v>32</v>
      </c>
      <c r="K1185" s="19" t="s">
        <v>587</v>
      </c>
      <c r="L1185" s="19">
        <v>2022</v>
      </c>
      <c r="M1185" s="20">
        <v>150</v>
      </c>
      <c r="N1185" s="19" t="s">
        <v>667</v>
      </c>
      <c r="O1185" s="20">
        <v>0</v>
      </c>
      <c r="P1185" s="20">
        <v>0</v>
      </c>
      <c r="Q1185" s="20">
        <v>0</v>
      </c>
      <c r="R1185" s="21">
        <v>0.87</v>
      </c>
      <c r="S1185" s="20">
        <v>0</v>
      </c>
    </row>
    <row r="1186" spans="2:19" ht="15" customHeight="1" x14ac:dyDescent="0.25">
      <c r="B1186" s="2" t="str">
        <f t="shared" si="36"/>
        <v>NSG_Residential_Multi-Family_Partner Trade Ally Rebate_Condensing Unit Heater_0_MF/CI</v>
      </c>
      <c r="C1186" s="2" t="str">
        <f t="shared" si="37"/>
        <v>NSG_Residential_Multi-Family_Partner Trade Ally Rebate_Condensing Unit Heater_0_MF/CI_2023</v>
      </c>
      <c r="D1186" s="19" t="s">
        <v>1787</v>
      </c>
      <c r="E1186" s="19" t="s">
        <v>2</v>
      </c>
      <c r="F1186" s="19" t="s">
        <v>1422</v>
      </c>
      <c r="G1186" s="19" t="s">
        <v>1799</v>
      </c>
      <c r="H1186" s="19" t="s">
        <v>13</v>
      </c>
      <c r="I1186" s="19">
        <v>0</v>
      </c>
      <c r="J1186" s="19" t="s">
        <v>32</v>
      </c>
      <c r="K1186" s="19" t="s">
        <v>587</v>
      </c>
      <c r="L1186" s="19">
        <v>2023</v>
      </c>
      <c r="M1186" s="20">
        <v>150</v>
      </c>
      <c r="N1186" s="19" t="s">
        <v>667</v>
      </c>
      <c r="O1186" s="20">
        <v>0</v>
      </c>
      <c r="P1186" s="20">
        <v>0</v>
      </c>
      <c r="Q1186" s="20">
        <v>0</v>
      </c>
      <c r="R1186" s="21">
        <v>0.87</v>
      </c>
      <c r="S1186" s="20">
        <v>0</v>
      </c>
    </row>
    <row r="1187" spans="2:19" ht="15" customHeight="1" x14ac:dyDescent="0.25">
      <c r="B1187" s="2" t="str">
        <f t="shared" si="36"/>
        <v>NSG_Residential_Multi-Family_Partner Trade Ally Rebate_Condensing Unit Heater_0_MF/CI</v>
      </c>
      <c r="C1187" s="2" t="str">
        <f t="shared" si="37"/>
        <v>NSG_Residential_Multi-Family_Partner Trade Ally Rebate_Condensing Unit Heater_0_MF/CI_2024</v>
      </c>
      <c r="D1187" s="19" t="s">
        <v>1787</v>
      </c>
      <c r="E1187" s="19" t="s">
        <v>2</v>
      </c>
      <c r="F1187" s="19" t="s">
        <v>1422</v>
      </c>
      <c r="G1187" s="19" t="s">
        <v>1799</v>
      </c>
      <c r="H1187" s="19" t="s">
        <v>13</v>
      </c>
      <c r="I1187" s="19">
        <v>0</v>
      </c>
      <c r="J1187" s="19" t="s">
        <v>32</v>
      </c>
      <c r="K1187" s="19" t="s">
        <v>587</v>
      </c>
      <c r="L1187" s="19">
        <v>2024</v>
      </c>
      <c r="M1187" s="20">
        <v>150</v>
      </c>
      <c r="N1187" s="19" t="s">
        <v>667</v>
      </c>
      <c r="O1187" s="20">
        <v>0</v>
      </c>
      <c r="P1187" s="20">
        <v>0</v>
      </c>
      <c r="Q1187" s="20">
        <v>0</v>
      </c>
      <c r="R1187" s="21">
        <v>0.87</v>
      </c>
      <c r="S1187" s="20">
        <v>0</v>
      </c>
    </row>
    <row r="1188" spans="2:19" ht="15" customHeight="1" x14ac:dyDescent="0.25">
      <c r="B1188" s="2" t="str">
        <f t="shared" si="36"/>
        <v>NSG_Residential_Multi-Family_Partner Trade Ally Rebate_Condensing Unit Heater_0_MF/CI</v>
      </c>
      <c r="C1188" s="2" t="str">
        <f t="shared" si="37"/>
        <v>NSG_Residential_Multi-Family_Partner Trade Ally Rebate_Condensing Unit Heater_0_MF/CI_2025</v>
      </c>
      <c r="D1188" s="19" t="s">
        <v>1787</v>
      </c>
      <c r="E1188" s="19" t="s">
        <v>2</v>
      </c>
      <c r="F1188" s="19" t="s">
        <v>1422</v>
      </c>
      <c r="G1188" s="19" t="s">
        <v>1799</v>
      </c>
      <c r="H1188" s="19" t="s">
        <v>13</v>
      </c>
      <c r="I1188" s="19">
        <v>0</v>
      </c>
      <c r="J1188" s="19" t="s">
        <v>32</v>
      </c>
      <c r="K1188" s="19" t="s">
        <v>587</v>
      </c>
      <c r="L1188" s="19">
        <v>2025</v>
      </c>
      <c r="M1188" s="20">
        <v>150</v>
      </c>
      <c r="N1188" s="19" t="s">
        <v>667</v>
      </c>
      <c r="O1188" s="20">
        <v>0</v>
      </c>
      <c r="P1188" s="20">
        <v>0</v>
      </c>
      <c r="Q1188" s="20">
        <v>0</v>
      </c>
      <c r="R1188" s="21">
        <v>0.87</v>
      </c>
      <c r="S1188" s="20">
        <v>0</v>
      </c>
    </row>
    <row r="1189" spans="2:19" ht="15" customHeight="1" x14ac:dyDescent="0.25">
      <c r="B1189" s="2" t="str">
        <f t="shared" si="36"/>
        <v>NSG_Residential_Multi-Family_Partner Trade Ally Rebate_Direct Fired Heaters_0_MF/CI</v>
      </c>
      <c r="C1189" s="2" t="str">
        <f t="shared" si="37"/>
        <v>NSG_Residential_Multi-Family_Partner Trade Ally Rebate_Direct Fired Heaters_0_MF/CI_2022</v>
      </c>
      <c r="D1189" s="19" t="s">
        <v>1787</v>
      </c>
      <c r="E1189" s="19" t="s">
        <v>2</v>
      </c>
      <c r="F1189" s="19" t="s">
        <v>1422</v>
      </c>
      <c r="G1189" s="19" t="s">
        <v>1799</v>
      </c>
      <c r="H1189" s="19" t="s">
        <v>666</v>
      </c>
      <c r="I1189" s="19">
        <v>0</v>
      </c>
      <c r="J1189" s="19" t="s">
        <v>673</v>
      </c>
      <c r="K1189" s="19" t="s">
        <v>587</v>
      </c>
      <c r="L1189" s="19">
        <v>2022</v>
      </c>
      <c r="M1189" s="20">
        <v>400</v>
      </c>
      <c r="N1189" s="19" t="s">
        <v>667</v>
      </c>
      <c r="O1189" s="20">
        <v>0</v>
      </c>
      <c r="P1189" s="20">
        <v>0</v>
      </c>
      <c r="Q1189" s="20">
        <v>0</v>
      </c>
      <c r="R1189" s="21">
        <v>0.87</v>
      </c>
      <c r="S1189" s="20">
        <v>0</v>
      </c>
    </row>
    <row r="1190" spans="2:19" ht="15" customHeight="1" x14ac:dyDescent="0.25">
      <c r="B1190" s="2" t="str">
        <f t="shared" si="36"/>
        <v>NSG_Residential_Multi-Family_Partner Trade Ally Rebate_Direct Fired Heaters_0_MF/CI</v>
      </c>
      <c r="C1190" s="2" t="str">
        <f t="shared" si="37"/>
        <v>NSG_Residential_Multi-Family_Partner Trade Ally Rebate_Direct Fired Heaters_0_MF/CI_2023</v>
      </c>
      <c r="D1190" s="19" t="s">
        <v>1787</v>
      </c>
      <c r="E1190" s="19" t="s">
        <v>2</v>
      </c>
      <c r="F1190" s="19" t="s">
        <v>1422</v>
      </c>
      <c r="G1190" s="19" t="s">
        <v>1799</v>
      </c>
      <c r="H1190" s="19" t="s">
        <v>666</v>
      </c>
      <c r="I1190" s="19">
        <v>0</v>
      </c>
      <c r="J1190" s="19" t="s">
        <v>673</v>
      </c>
      <c r="K1190" s="19" t="s">
        <v>587</v>
      </c>
      <c r="L1190" s="19">
        <v>2023</v>
      </c>
      <c r="M1190" s="20">
        <v>400</v>
      </c>
      <c r="N1190" s="19" t="s">
        <v>667</v>
      </c>
      <c r="O1190" s="20">
        <v>0</v>
      </c>
      <c r="P1190" s="20">
        <v>0</v>
      </c>
      <c r="Q1190" s="20">
        <v>0</v>
      </c>
      <c r="R1190" s="21">
        <v>0.87</v>
      </c>
      <c r="S1190" s="20">
        <v>0</v>
      </c>
    </row>
    <row r="1191" spans="2:19" ht="15" customHeight="1" x14ac:dyDescent="0.25">
      <c r="B1191" s="2" t="str">
        <f t="shared" si="36"/>
        <v>NSG_Residential_Multi-Family_Partner Trade Ally Rebate_Direct Fired Heaters_0_MF/CI</v>
      </c>
      <c r="C1191" s="2" t="str">
        <f t="shared" si="37"/>
        <v>NSG_Residential_Multi-Family_Partner Trade Ally Rebate_Direct Fired Heaters_0_MF/CI_2024</v>
      </c>
      <c r="D1191" s="19" t="s">
        <v>1787</v>
      </c>
      <c r="E1191" s="19" t="s">
        <v>2</v>
      </c>
      <c r="F1191" s="19" t="s">
        <v>1422</v>
      </c>
      <c r="G1191" s="19" t="s">
        <v>1799</v>
      </c>
      <c r="H1191" s="19" t="s">
        <v>666</v>
      </c>
      <c r="I1191" s="19">
        <v>0</v>
      </c>
      <c r="J1191" s="19" t="s">
        <v>673</v>
      </c>
      <c r="K1191" s="19" t="s">
        <v>587</v>
      </c>
      <c r="L1191" s="19">
        <v>2024</v>
      </c>
      <c r="M1191" s="20">
        <v>400</v>
      </c>
      <c r="N1191" s="19" t="s">
        <v>667</v>
      </c>
      <c r="O1191" s="20">
        <v>0</v>
      </c>
      <c r="P1191" s="20">
        <v>0</v>
      </c>
      <c r="Q1191" s="20">
        <v>0</v>
      </c>
      <c r="R1191" s="21">
        <v>0.87</v>
      </c>
      <c r="S1191" s="20">
        <v>0</v>
      </c>
    </row>
    <row r="1192" spans="2:19" ht="15" customHeight="1" x14ac:dyDescent="0.25">
      <c r="B1192" s="2" t="str">
        <f t="shared" si="36"/>
        <v>NSG_Residential_Multi-Family_Partner Trade Ally Rebate_Direct Fired Heaters_0_MF/CI</v>
      </c>
      <c r="C1192" s="2" t="str">
        <f t="shared" si="37"/>
        <v>NSG_Residential_Multi-Family_Partner Trade Ally Rebate_Direct Fired Heaters_0_MF/CI_2025</v>
      </c>
      <c r="D1192" s="19" t="s">
        <v>1787</v>
      </c>
      <c r="E1192" s="19" t="s">
        <v>2</v>
      </c>
      <c r="F1192" s="19" t="s">
        <v>1422</v>
      </c>
      <c r="G1192" s="19" t="s">
        <v>1799</v>
      </c>
      <c r="H1192" s="19" t="s">
        <v>666</v>
      </c>
      <c r="I1192" s="19">
        <v>0</v>
      </c>
      <c r="J1192" s="19" t="s">
        <v>673</v>
      </c>
      <c r="K1192" s="19" t="s">
        <v>587</v>
      </c>
      <c r="L1192" s="19">
        <v>2025</v>
      </c>
      <c r="M1192" s="20">
        <v>400</v>
      </c>
      <c r="N1192" s="19" t="s">
        <v>667</v>
      </c>
      <c r="O1192" s="20">
        <v>0</v>
      </c>
      <c r="P1192" s="20">
        <v>0</v>
      </c>
      <c r="Q1192" s="20">
        <v>0</v>
      </c>
      <c r="R1192" s="21">
        <v>0.87</v>
      </c>
      <c r="S1192" s="20">
        <v>0</v>
      </c>
    </row>
    <row r="1193" spans="2:19" ht="15" customHeight="1" x14ac:dyDescent="0.25">
      <c r="B1193" s="2" t="str">
        <f t="shared" si="36"/>
        <v>NSG_Residential_Multi-Family_Partner Trade Ally Rebate_Furnace_&gt;95% AFUE_MF</v>
      </c>
      <c r="C1193" s="2" t="str">
        <f t="shared" si="37"/>
        <v>NSG_Residential_Multi-Family_Partner Trade Ally Rebate_Furnace_&gt;95% AFUE_MF_2022</v>
      </c>
      <c r="D1193" s="19" t="s">
        <v>1787</v>
      </c>
      <c r="E1193" s="19" t="s">
        <v>2</v>
      </c>
      <c r="F1193" s="19" t="s">
        <v>1422</v>
      </c>
      <c r="G1193" s="19" t="s">
        <v>1799</v>
      </c>
      <c r="H1193" s="19" t="s">
        <v>490</v>
      </c>
      <c r="I1193" s="19" t="s">
        <v>982</v>
      </c>
      <c r="J1193" s="19" t="s">
        <v>983</v>
      </c>
      <c r="K1193" s="19" t="s">
        <v>553</v>
      </c>
      <c r="L1193" s="19">
        <v>2022</v>
      </c>
      <c r="M1193" s="20">
        <v>1</v>
      </c>
      <c r="N1193" s="19" t="s">
        <v>1798</v>
      </c>
      <c r="O1193" s="20">
        <v>2</v>
      </c>
      <c r="P1193" s="20">
        <v>2</v>
      </c>
      <c r="Q1193" s="20">
        <v>411.84494999999976</v>
      </c>
      <c r="R1193" s="21">
        <v>0.87</v>
      </c>
      <c r="S1193" s="20">
        <v>411.84494999999976</v>
      </c>
    </row>
    <row r="1194" spans="2:19" ht="15" customHeight="1" x14ac:dyDescent="0.25">
      <c r="B1194" s="2" t="str">
        <f t="shared" si="36"/>
        <v>NSG_Residential_Multi-Family_Partner Trade Ally Rebate_Furnace_&gt;95% AFUE_MF</v>
      </c>
      <c r="C1194" s="2" t="str">
        <f t="shared" si="37"/>
        <v>NSG_Residential_Multi-Family_Partner Trade Ally Rebate_Furnace_&gt;95% AFUE_MF_2023</v>
      </c>
      <c r="D1194" s="19" t="s">
        <v>1787</v>
      </c>
      <c r="E1194" s="19" t="s">
        <v>2</v>
      </c>
      <c r="F1194" s="19" t="s">
        <v>1422</v>
      </c>
      <c r="G1194" s="19" t="s">
        <v>1799</v>
      </c>
      <c r="H1194" s="19" t="s">
        <v>490</v>
      </c>
      <c r="I1194" s="19" t="s">
        <v>982</v>
      </c>
      <c r="J1194" s="19" t="s">
        <v>983</v>
      </c>
      <c r="K1194" s="19" t="s">
        <v>553</v>
      </c>
      <c r="L1194" s="19">
        <v>2023</v>
      </c>
      <c r="M1194" s="20">
        <v>1</v>
      </c>
      <c r="N1194" s="19" t="s">
        <v>1798</v>
      </c>
      <c r="O1194" s="20">
        <v>2</v>
      </c>
      <c r="P1194" s="20">
        <v>2</v>
      </c>
      <c r="Q1194" s="20">
        <v>411.84494999999976</v>
      </c>
      <c r="R1194" s="21">
        <v>0.87</v>
      </c>
      <c r="S1194" s="20">
        <v>411.84494999999976</v>
      </c>
    </row>
    <row r="1195" spans="2:19" ht="15" customHeight="1" x14ac:dyDescent="0.25">
      <c r="B1195" s="2" t="str">
        <f t="shared" si="36"/>
        <v>NSG_Residential_Multi-Family_Partner Trade Ally Rebate_Furnace_&gt;95% AFUE_MF</v>
      </c>
      <c r="C1195" s="2" t="str">
        <f t="shared" si="37"/>
        <v>NSG_Residential_Multi-Family_Partner Trade Ally Rebate_Furnace_&gt;95% AFUE_MF_2024</v>
      </c>
      <c r="D1195" s="19" t="s">
        <v>1787</v>
      </c>
      <c r="E1195" s="19" t="s">
        <v>2</v>
      </c>
      <c r="F1195" s="19" t="s">
        <v>1422</v>
      </c>
      <c r="G1195" s="19" t="s">
        <v>1799</v>
      </c>
      <c r="H1195" s="19" t="s">
        <v>490</v>
      </c>
      <c r="I1195" s="19" t="s">
        <v>982</v>
      </c>
      <c r="J1195" s="19" t="s">
        <v>983</v>
      </c>
      <c r="K1195" s="19" t="s">
        <v>553</v>
      </c>
      <c r="L1195" s="19">
        <v>2024</v>
      </c>
      <c r="M1195" s="20">
        <v>1</v>
      </c>
      <c r="N1195" s="19" t="s">
        <v>1798</v>
      </c>
      <c r="O1195" s="20">
        <v>2</v>
      </c>
      <c r="P1195" s="20">
        <v>2</v>
      </c>
      <c r="Q1195" s="20">
        <v>411.84494999999976</v>
      </c>
      <c r="R1195" s="21">
        <v>0.87</v>
      </c>
      <c r="S1195" s="20">
        <v>411.84494999999976</v>
      </c>
    </row>
    <row r="1196" spans="2:19" ht="15" customHeight="1" x14ac:dyDescent="0.25">
      <c r="B1196" s="2" t="str">
        <f t="shared" si="36"/>
        <v>NSG_Residential_Multi-Family_Partner Trade Ally Rebate_Furnace_&gt;95% AFUE_MF</v>
      </c>
      <c r="C1196" s="2" t="str">
        <f t="shared" si="37"/>
        <v>NSG_Residential_Multi-Family_Partner Trade Ally Rebate_Furnace_&gt;95% AFUE_MF_2025</v>
      </c>
      <c r="D1196" s="19" t="s">
        <v>1787</v>
      </c>
      <c r="E1196" s="19" t="s">
        <v>2</v>
      </c>
      <c r="F1196" s="19" t="s">
        <v>1422</v>
      </c>
      <c r="G1196" s="19" t="s">
        <v>1799</v>
      </c>
      <c r="H1196" s="19" t="s">
        <v>490</v>
      </c>
      <c r="I1196" s="19" t="s">
        <v>982</v>
      </c>
      <c r="J1196" s="19" t="s">
        <v>983</v>
      </c>
      <c r="K1196" s="19" t="s">
        <v>553</v>
      </c>
      <c r="L1196" s="19">
        <v>2025</v>
      </c>
      <c r="M1196" s="20">
        <v>1</v>
      </c>
      <c r="N1196" s="19" t="s">
        <v>1798</v>
      </c>
      <c r="O1196" s="20">
        <v>2</v>
      </c>
      <c r="P1196" s="20">
        <v>2</v>
      </c>
      <c r="Q1196" s="20">
        <v>411.84494999999976</v>
      </c>
      <c r="R1196" s="21">
        <v>0.87</v>
      </c>
      <c r="S1196" s="20">
        <v>411.84494999999976</v>
      </c>
    </row>
    <row r="1197" spans="2:19" ht="15" customHeight="1" x14ac:dyDescent="0.25">
      <c r="B1197" s="2" t="str">
        <f t="shared" si="36"/>
        <v>NSG_Residential_Multi-Family_Partner Trade Ally Rebate_Furnace (In Unit)_&gt;95% AFUE_MF</v>
      </c>
      <c r="C1197" s="2" t="str">
        <f t="shared" si="37"/>
        <v>NSG_Residential_Multi-Family_Partner Trade Ally Rebate_Furnace (In Unit)_&gt;95% AFUE_MF_2022</v>
      </c>
      <c r="D1197" s="19" t="s">
        <v>1787</v>
      </c>
      <c r="E1197" s="19" t="s">
        <v>2</v>
      </c>
      <c r="F1197" s="19" t="s">
        <v>1422</v>
      </c>
      <c r="G1197" s="19" t="s">
        <v>1799</v>
      </c>
      <c r="H1197" s="19" t="s">
        <v>988</v>
      </c>
      <c r="I1197" s="19" t="s">
        <v>982</v>
      </c>
      <c r="J1197" s="19" t="s">
        <v>990</v>
      </c>
      <c r="K1197" s="19" t="s">
        <v>553</v>
      </c>
      <c r="L1197" s="19">
        <v>2022</v>
      </c>
      <c r="M1197" s="20">
        <v>1</v>
      </c>
      <c r="N1197" s="19" t="s">
        <v>1798</v>
      </c>
      <c r="O1197" s="20">
        <v>1</v>
      </c>
      <c r="P1197" s="20">
        <v>1</v>
      </c>
      <c r="Q1197" s="20">
        <v>161.49873824786317</v>
      </c>
      <c r="R1197" s="21">
        <v>0.87</v>
      </c>
      <c r="S1197" s="20">
        <v>161.49873824786317</v>
      </c>
    </row>
    <row r="1198" spans="2:19" ht="15" customHeight="1" x14ac:dyDescent="0.25">
      <c r="B1198" s="2" t="str">
        <f t="shared" si="36"/>
        <v>NSG_Residential_Multi-Family_Partner Trade Ally Rebate_Furnace (In Unit)_&gt;95% AFUE_MF</v>
      </c>
      <c r="C1198" s="2" t="str">
        <f t="shared" si="37"/>
        <v>NSG_Residential_Multi-Family_Partner Trade Ally Rebate_Furnace (In Unit)_&gt;95% AFUE_MF_2023</v>
      </c>
      <c r="D1198" s="19" t="s">
        <v>1787</v>
      </c>
      <c r="E1198" s="19" t="s">
        <v>2</v>
      </c>
      <c r="F1198" s="19" t="s">
        <v>1422</v>
      </c>
      <c r="G1198" s="19" t="s">
        <v>1799</v>
      </c>
      <c r="H1198" s="19" t="s">
        <v>988</v>
      </c>
      <c r="I1198" s="19" t="s">
        <v>982</v>
      </c>
      <c r="J1198" s="19" t="s">
        <v>990</v>
      </c>
      <c r="K1198" s="19" t="s">
        <v>553</v>
      </c>
      <c r="L1198" s="19">
        <v>2023</v>
      </c>
      <c r="M1198" s="20">
        <v>1</v>
      </c>
      <c r="N1198" s="19" t="s">
        <v>1798</v>
      </c>
      <c r="O1198" s="20">
        <v>1</v>
      </c>
      <c r="P1198" s="20">
        <v>1</v>
      </c>
      <c r="Q1198" s="20">
        <v>161.49873824786317</v>
      </c>
      <c r="R1198" s="21">
        <v>0.87</v>
      </c>
      <c r="S1198" s="20">
        <v>161.49873824786317</v>
      </c>
    </row>
    <row r="1199" spans="2:19" ht="15" customHeight="1" x14ac:dyDescent="0.25">
      <c r="B1199" s="2" t="str">
        <f t="shared" si="36"/>
        <v>NSG_Residential_Multi-Family_Partner Trade Ally Rebate_Furnace (In Unit)_&gt;95% AFUE_MF</v>
      </c>
      <c r="C1199" s="2" t="str">
        <f t="shared" si="37"/>
        <v>NSG_Residential_Multi-Family_Partner Trade Ally Rebate_Furnace (In Unit)_&gt;95% AFUE_MF_2024</v>
      </c>
      <c r="D1199" s="19" t="s">
        <v>1787</v>
      </c>
      <c r="E1199" s="19" t="s">
        <v>2</v>
      </c>
      <c r="F1199" s="19" t="s">
        <v>1422</v>
      </c>
      <c r="G1199" s="19" t="s">
        <v>1799</v>
      </c>
      <c r="H1199" s="19" t="s">
        <v>988</v>
      </c>
      <c r="I1199" s="19" t="s">
        <v>982</v>
      </c>
      <c r="J1199" s="19" t="s">
        <v>990</v>
      </c>
      <c r="K1199" s="19" t="s">
        <v>553</v>
      </c>
      <c r="L1199" s="19">
        <v>2024</v>
      </c>
      <c r="M1199" s="20">
        <v>1</v>
      </c>
      <c r="N1199" s="19" t="s">
        <v>1798</v>
      </c>
      <c r="O1199" s="20">
        <v>1</v>
      </c>
      <c r="P1199" s="20">
        <v>1</v>
      </c>
      <c r="Q1199" s="20">
        <v>161.49873824786317</v>
      </c>
      <c r="R1199" s="21">
        <v>0.87</v>
      </c>
      <c r="S1199" s="20">
        <v>161.49873824786317</v>
      </c>
    </row>
    <row r="1200" spans="2:19" ht="15" customHeight="1" x14ac:dyDescent="0.25">
      <c r="B1200" s="2" t="str">
        <f t="shared" si="36"/>
        <v>NSG_Residential_Multi-Family_Partner Trade Ally Rebate_Furnace (In Unit)_&gt;95% AFUE_MF</v>
      </c>
      <c r="C1200" s="2" t="str">
        <f t="shared" si="37"/>
        <v>NSG_Residential_Multi-Family_Partner Trade Ally Rebate_Furnace (In Unit)_&gt;95% AFUE_MF_2025</v>
      </c>
      <c r="D1200" s="19" t="s">
        <v>1787</v>
      </c>
      <c r="E1200" s="19" t="s">
        <v>2</v>
      </c>
      <c r="F1200" s="19" t="s">
        <v>1422</v>
      </c>
      <c r="G1200" s="19" t="s">
        <v>1799</v>
      </c>
      <c r="H1200" s="19" t="s">
        <v>988</v>
      </c>
      <c r="I1200" s="19" t="s">
        <v>982</v>
      </c>
      <c r="J1200" s="19" t="s">
        <v>990</v>
      </c>
      <c r="K1200" s="19" t="s">
        <v>553</v>
      </c>
      <c r="L1200" s="19">
        <v>2025</v>
      </c>
      <c r="M1200" s="20">
        <v>1</v>
      </c>
      <c r="N1200" s="19" t="s">
        <v>1798</v>
      </c>
      <c r="O1200" s="20">
        <v>1</v>
      </c>
      <c r="P1200" s="20">
        <v>1</v>
      </c>
      <c r="Q1200" s="20">
        <v>161.49873824786317</v>
      </c>
      <c r="R1200" s="21">
        <v>0.87</v>
      </c>
      <c r="S1200" s="20">
        <v>161.49873824786317</v>
      </c>
    </row>
    <row r="1201" spans="2:19" ht="15" customHeight="1" x14ac:dyDescent="0.25">
      <c r="B1201" s="2" t="str">
        <f t="shared" si="36"/>
        <v>NSG_Residential_Multi-Family_Partner Trade Ally Rebate_High Speed Washer_0_MF</v>
      </c>
      <c r="C1201" s="2" t="str">
        <f t="shared" si="37"/>
        <v>NSG_Residential_Multi-Family_Partner Trade Ally Rebate_High Speed Washer_0_MF_2022</v>
      </c>
      <c r="D1201" s="19" t="s">
        <v>1787</v>
      </c>
      <c r="E1201" s="19" t="s">
        <v>2</v>
      </c>
      <c r="F1201" s="19" t="s">
        <v>1422</v>
      </c>
      <c r="G1201" s="19" t="s">
        <v>1799</v>
      </c>
      <c r="H1201" s="19" t="s">
        <v>725</v>
      </c>
      <c r="I1201" s="19">
        <v>0</v>
      </c>
      <c r="J1201" s="19" t="s">
        <v>730</v>
      </c>
      <c r="K1201" s="19" t="s">
        <v>553</v>
      </c>
      <c r="L1201" s="19">
        <v>2022</v>
      </c>
      <c r="M1201" s="20">
        <v>250</v>
      </c>
      <c r="N1201" s="19" t="s">
        <v>1803</v>
      </c>
      <c r="O1201" s="20">
        <v>0</v>
      </c>
      <c r="P1201" s="20">
        <v>0</v>
      </c>
      <c r="Q1201" s="20">
        <v>0</v>
      </c>
      <c r="R1201" s="21">
        <v>0.87</v>
      </c>
      <c r="S1201" s="20">
        <v>0</v>
      </c>
    </row>
    <row r="1202" spans="2:19" ht="15" customHeight="1" x14ac:dyDescent="0.25">
      <c r="B1202" s="2" t="str">
        <f t="shared" si="36"/>
        <v>NSG_Residential_Multi-Family_Partner Trade Ally Rebate_High Speed Washer_0_MF</v>
      </c>
      <c r="C1202" s="2" t="str">
        <f t="shared" si="37"/>
        <v>NSG_Residential_Multi-Family_Partner Trade Ally Rebate_High Speed Washer_0_MF_2023</v>
      </c>
      <c r="D1202" s="19" t="s">
        <v>1787</v>
      </c>
      <c r="E1202" s="19" t="s">
        <v>2</v>
      </c>
      <c r="F1202" s="19" t="s">
        <v>1422</v>
      </c>
      <c r="G1202" s="19" t="s">
        <v>1799</v>
      </c>
      <c r="H1202" s="19" t="s">
        <v>725</v>
      </c>
      <c r="I1202" s="19">
        <v>0</v>
      </c>
      <c r="J1202" s="19" t="s">
        <v>730</v>
      </c>
      <c r="K1202" s="19" t="s">
        <v>553</v>
      </c>
      <c r="L1202" s="19">
        <v>2023</v>
      </c>
      <c r="M1202" s="20">
        <v>250</v>
      </c>
      <c r="N1202" s="19" t="s">
        <v>1803</v>
      </c>
      <c r="O1202" s="20">
        <v>0</v>
      </c>
      <c r="P1202" s="20">
        <v>0</v>
      </c>
      <c r="Q1202" s="20">
        <v>0</v>
      </c>
      <c r="R1202" s="21">
        <v>0.87</v>
      </c>
      <c r="S1202" s="20">
        <v>0</v>
      </c>
    </row>
    <row r="1203" spans="2:19" ht="15" customHeight="1" x14ac:dyDescent="0.25">
      <c r="B1203" s="2" t="str">
        <f t="shared" si="36"/>
        <v>NSG_Residential_Multi-Family_Partner Trade Ally Rebate_High Speed Washer_0_MF</v>
      </c>
      <c r="C1203" s="2" t="str">
        <f t="shared" si="37"/>
        <v>NSG_Residential_Multi-Family_Partner Trade Ally Rebate_High Speed Washer_0_MF_2024</v>
      </c>
      <c r="D1203" s="19" t="s">
        <v>1787</v>
      </c>
      <c r="E1203" s="19" t="s">
        <v>2</v>
      </c>
      <c r="F1203" s="19" t="s">
        <v>1422</v>
      </c>
      <c r="G1203" s="19" t="s">
        <v>1799</v>
      </c>
      <c r="H1203" s="19" t="s">
        <v>725</v>
      </c>
      <c r="I1203" s="19">
        <v>0</v>
      </c>
      <c r="J1203" s="19" t="s">
        <v>730</v>
      </c>
      <c r="K1203" s="19" t="s">
        <v>553</v>
      </c>
      <c r="L1203" s="19">
        <v>2024</v>
      </c>
      <c r="M1203" s="20">
        <v>250</v>
      </c>
      <c r="N1203" s="19" t="s">
        <v>1803</v>
      </c>
      <c r="O1203" s="20">
        <v>0</v>
      </c>
      <c r="P1203" s="20">
        <v>0</v>
      </c>
      <c r="Q1203" s="20">
        <v>0</v>
      </c>
      <c r="R1203" s="21">
        <v>0.87</v>
      </c>
      <c r="S1203" s="20">
        <v>0</v>
      </c>
    </row>
    <row r="1204" spans="2:19" ht="15" customHeight="1" x14ac:dyDescent="0.25">
      <c r="B1204" s="2" t="str">
        <f t="shared" si="36"/>
        <v>NSG_Residential_Multi-Family_Partner Trade Ally Rebate_High Speed Washer_0_MF</v>
      </c>
      <c r="C1204" s="2" t="str">
        <f t="shared" si="37"/>
        <v>NSG_Residential_Multi-Family_Partner Trade Ally Rebate_High Speed Washer_0_MF_2025</v>
      </c>
      <c r="D1204" s="19" t="s">
        <v>1787</v>
      </c>
      <c r="E1204" s="19" t="s">
        <v>2</v>
      </c>
      <c r="F1204" s="19" t="s">
        <v>1422</v>
      </c>
      <c r="G1204" s="19" t="s">
        <v>1799</v>
      </c>
      <c r="H1204" s="19" t="s">
        <v>725</v>
      </c>
      <c r="I1204" s="19">
        <v>0</v>
      </c>
      <c r="J1204" s="19" t="s">
        <v>730</v>
      </c>
      <c r="K1204" s="19" t="s">
        <v>553</v>
      </c>
      <c r="L1204" s="19">
        <v>2025</v>
      </c>
      <c r="M1204" s="20">
        <v>250</v>
      </c>
      <c r="N1204" s="19" t="s">
        <v>1803</v>
      </c>
      <c r="O1204" s="20">
        <v>0</v>
      </c>
      <c r="P1204" s="20">
        <v>0</v>
      </c>
      <c r="Q1204" s="20">
        <v>0</v>
      </c>
      <c r="R1204" s="21">
        <v>0.87</v>
      </c>
      <c r="S1204" s="20">
        <v>0</v>
      </c>
    </row>
    <row r="1205" spans="2:19" ht="15" customHeight="1" x14ac:dyDescent="0.25">
      <c r="B1205" s="2" t="str">
        <f t="shared" si="36"/>
        <v>NSG_Residential_Multi-Family_Partner Trade Ally Rebate_Infrared Heater_0_MF/CI</v>
      </c>
      <c r="C1205" s="2" t="str">
        <f t="shared" si="37"/>
        <v>NSG_Residential_Multi-Family_Partner Trade Ally Rebate_Infrared Heater_0_MF/CI_2022</v>
      </c>
      <c r="D1205" s="19" t="s">
        <v>1787</v>
      </c>
      <c r="E1205" s="19" t="s">
        <v>2</v>
      </c>
      <c r="F1205" s="19" t="s">
        <v>1422</v>
      </c>
      <c r="G1205" s="19" t="s">
        <v>1799</v>
      </c>
      <c r="H1205" s="19" t="s">
        <v>742</v>
      </c>
      <c r="I1205" s="19">
        <v>0</v>
      </c>
      <c r="J1205" s="19" t="s">
        <v>33</v>
      </c>
      <c r="K1205" s="19" t="s">
        <v>587</v>
      </c>
      <c r="L1205" s="19">
        <v>2022</v>
      </c>
      <c r="M1205" s="20">
        <v>150</v>
      </c>
      <c r="N1205" s="19" t="s">
        <v>667</v>
      </c>
      <c r="O1205" s="20">
        <v>0</v>
      </c>
      <c r="P1205" s="20">
        <v>0</v>
      </c>
      <c r="Q1205" s="20">
        <v>0</v>
      </c>
      <c r="R1205" s="21">
        <v>0.87</v>
      </c>
      <c r="S1205" s="20">
        <v>0</v>
      </c>
    </row>
    <row r="1206" spans="2:19" ht="15" customHeight="1" x14ac:dyDescent="0.25">
      <c r="B1206" s="2" t="str">
        <f t="shared" si="36"/>
        <v>NSG_Residential_Multi-Family_Partner Trade Ally Rebate_Infrared Heater_0_MF/CI</v>
      </c>
      <c r="C1206" s="2" t="str">
        <f t="shared" si="37"/>
        <v>NSG_Residential_Multi-Family_Partner Trade Ally Rebate_Infrared Heater_0_MF/CI_2023</v>
      </c>
      <c r="D1206" s="19" t="s">
        <v>1787</v>
      </c>
      <c r="E1206" s="19" t="s">
        <v>2</v>
      </c>
      <c r="F1206" s="19" t="s">
        <v>1422</v>
      </c>
      <c r="G1206" s="19" t="s">
        <v>1799</v>
      </c>
      <c r="H1206" s="19" t="s">
        <v>742</v>
      </c>
      <c r="I1206" s="19">
        <v>0</v>
      </c>
      <c r="J1206" s="19" t="s">
        <v>33</v>
      </c>
      <c r="K1206" s="19" t="s">
        <v>587</v>
      </c>
      <c r="L1206" s="19">
        <v>2023</v>
      </c>
      <c r="M1206" s="20">
        <v>150</v>
      </c>
      <c r="N1206" s="19" t="s">
        <v>667</v>
      </c>
      <c r="O1206" s="20">
        <v>0</v>
      </c>
      <c r="P1206" s="20">
        <v>0</v>
      </c>
      <c r="Q1206" s="20">
        <v>0</v>
      </c>
      <c r="R1206" s="21">
        <v>0.87</v>
      </c>
      <c r="S1206" s="20">
        <v>0</v>
      </c>
    </row>
    <row r="1207" spans="2:19" ht="15" customHeight="1" x14ac:dyDescent="0.25">
      <c r="B1207" s="2" t="str">
        <f t="shared" si="36"/>
        <v>NSG_Residential_Multi-Family_Partner Trade Ally Rebate_Infrared Heater_0_MF/CI</v>
      </c>
      <c r="C1207" s="2" t="str">
        <f t="shared" si="37"/>
        <v>NSG_Residential_Multi-Family_Partner Trade Ally Rebate_Infrared Heater_0_MF/CI_2024</v>
      </c>
      <c r="D1207" s="19" t="s">
        <v>1787</v>
      </c>
      <c r="E1207" s="19" t="s">
        <v>2</v>
      </c>
      <c r="F1207" s="19" t="s">
        <v>1422</v>
      </c>
      <c r="G1207" s="19" t="s">
        <v>1799</v>
      </c>
      <c r="H1207" s="19" t="s">
        <v>742</v>
      </c>
      <c r="I1207" s="19">
        <v>0</v>
      </c>
      <c r="J1207" s="19" t="s">
        <v>33</v>
      </c>
      <c r="K1207" s="19" t="s">
        <v>587</v>
      </c>
      <c r="L1207" s="19">
        <v>2024</v>
      </c>
      <c r="M1207" s="20">
        <v>150</v>
      </c>
      <c r="N1207" s="19" t="s">
        <v>667</v>
      </c>
      <c r="O1207" s="20">
        <v>0</v>
      </c>
      <c r="P1207" s="20">
        <v>0</v>
      </c>
      <c r="Q1207" s="20">
        <v>0</v>
      </c>
      <c r="R1207" s="21">
        <v>0.87</v>
      </c>
      <c r="S1207" s="20">
        <v>0</v>
      </c>
    </row>
    <row r="1208" spans="2:19" ht="15" customHeight="1" x14ac:dyDescent="0.25">
      <c r="B1208" s="2" t="str">
        <f t="shared" si="36"/>
        <v>NSG_Residential_Multi-Family_Partner Trade Ally Rebate_Infrared Heater_0_MF/CI</v>
      </c>
      <c r="C1208" s="2" t="str">
        <f t="shared" si="37"/>
        <v>NSG_Residential_Multi-Family_Partner Trade Ally Rebate_Infrared Heater_0_MF/CI_2025</v>
      </c>
      <c r="D1208" s="19" t="s">
        <v>1787</v>
      </c>
      <c r="E1208" s="19" t="s">
        <v>2</v>
      </c>
      <c r="F1208" s="19" t="s">
        <v>1422</v>
      </c>
      <c r="G1208" s="19" t="s">
        <v>1799</v>
      </c>
      <c r="H1208" s="19" t="s">
        <v>742</v>
      </c>
      <c r="I1208" s="19">
        <v>0</v>
      </c>
      <c r="J1208" s="19" t="s">
        <v>33</v>
      </c>
      <c r="K1208" s="19" t="s">
        <v>587</v>
      </c>
      <c r="L1208" s="19">
        <v>2025</v>
      </c>
      <c r="M1208" s="20">
        <v>150</v>
      </c>
      <c r="N1208" s="19" t="s">
        <v>667</v>
      </c>
      <c r="O1208" s="20">
        <v>0</v>
      </c>
      <c r="P1208" s="20">
        <v>0</v>
      </c>
      <c r="Q1208" s="20">
        <v>0</v>
      </c>
      <c r="R1208" s="21">
        <v>0.87</v>
      </c>
      <c r="S1208" s="20">
        <v>0</v>
      </c>
    </row>
    <row r="1209" spans="2:19" ht="15" customHeight="1" x14ac:dyDescent="0.25">
      <c r="B1209" s="2" t="str">
        <f t="shared" si="36"/>
        <v>NSG_Residential_Multi-Family_Partner Trade Ally Rebate_Ozone Laundry_0_MF/CI</v>
      </c>
      <c r="C1209" s="2" t="str">
        <f t="shared" si="37"/>
        <v>NSG_Residential_Multi-Family_Partner Trade Ally Rebate_Ozone Laundry_0_MF/CI_2022</v>
      </c>
      <c r="D1209" s="19" t="s">
        <v>1787</v>
      </c>
      <c r="E1209" s="19" t="s">
        <v>2</v>
      </c>
      <c r="F1209" s="19" t="s">
        <v>1422</v>
      </c>
      <c r="G1209" s="19" t="s">
        <v>1799</v>
      </c>
      <c r="H1209" s="19" t="s">
        <v>16</v>
      </c>
      <c r="I1209" s="19">
        <v>0</v>
      </c>
      <c r="J1209" s="19" t="s">
        <v>592</v>
      </c>
      <c r="K1209" s="19" t="s">
        <v>587</v>
      </c>
      <c r="L1209" s="19">
        <v>2022</v>
      </c>
      <c r="M1209" s="20">
        <v>250</v>
      </c>
      <c r="N1209" s="19" t="s">
        <v>1803</v>
      </c>
      <c r="O1209" s="20">
        <v>0</v>
      </c>
      <c r="P1209" s="20">
        <v>0</v>
      </c>
      <c r="Q1209" s="20">
        <v>0</v>
      </c>
      <c r="R1209" s="21">
        <v>0.87</v>
      </c>
      <c r="S1209" s="20">
        <v>0</v>
      </c>
    </row>
    <row r="1210" spans="2:19" ht="15" customHeight="1" x14ac:dyDescent="0.25">
      <c r="B1210" s="2" t="str">
        <f t="shared" si="36"/>
        <v>NSG_Residential_Multi-Family_Partner Trade Ally Rebate_Ozone Laundry_0_MF/CI</v>
      </c>
      <c r="C1210" s="2" t="str">
        <f t="shared" si="37"/>
        <v>NSG_Residential_Multi-Family_Partner Trade Ally Rebate_Ozone Laundry_0_MF/CI_2023</v>
      </c>
      <c r="D1210" s="19" t="s">
        <v>1787</v>
      </c>
      <c r="E1210" s="19" t="s">
        <v>2</v>
      </c>
      <c r="F1210" s="19" t="s">
        <v>1422</v>
      </c>
      <c r="G1210" s="19" t="s">
        <v>1799</v>
      </c>
      <c r="H1210" s="19" t="s">
        <v>16</v>
      </c>
      <c r="I1210" s="19">
        <v>0</v>
      </c>
      <c r="J1210" s="19" t="s">
        <v>592</v>
      </c>
      <c r="K1210" s="19" t="s">
        <v>587</v>
      </c>
      <c r="L1210" s="19">
        <v>2023</v>
      </c>
      <c r="M1210" s="20">
        <v>250</v>
      </c>
      <c r="N1210" s="19" t="s">
        <v>1803</v>
      </c>
      <c r="O1210" s="20">
        <v>0</v>
      </c>
      <c r="P1210" s="20">
        <v>0</v>
      </c>
      <c r="Q1210" s="20">
        <v>0</v>
      </c>
      <c r="R1210" s="21">
        <v>0.87</v>
      </c>
      <c r="S1210" s="20">
        <v>0</v>
      </c>
    </row>
    <row r="1211" spans="2:19" ht="15" customHeight="1" x14ac:dyDescent="0.25">
      <c r="B1211" s="2" t="str">
        <f t="shared" si="36"/>
        <v>NSG_Residential_Multi-Family_Partner Trade Ally Rebate_Ozone Laundry_0_MF/CI</v>
      </c>
      <c r="C1211" s="2" t="str">
        <f t="shared" si="37"/>
        <v>NSG_Residential_Multi-Family_Partner Trade Ally Rebate_Ozone Laundry_0_MF/CI_2024</v>
      </c>
      <c r="D1211" s="19" t="s">
        <v>1787</v>
      </c>
      <c r="E1211" s="19" t="s">
        <v>2</v>
      </c>
      <c r="F1211" s="19" t="s">
        <v>1422</v>
      </c>
      <c r="G1211" s="19" t="s">
        <v>1799</v>
      </c>
      <c r="H1211" s="19" t="s">
        <v>16</v>
      </c>
      <c r="I1211" s="19">
        <v>0</v>
      </c>
      <c r="J1211" s="19" t="s">
        <v>592</v>
      </c>
      <c r="K1211" s="19" t="s">
        <v>587</v>
      </c>
      <c r="L1211" s="19">
        <v>2024</v>
      </c>
      <c r="M1211" s="20">
        <v>250</v>
      </c>
      <c r="N1211" s="19" t="s">
        <v>1803</v>
      </c>
      <c r="O1211" s="20">
        <v>0</v>
      </c>
      <c r="P1211" s="20">
        <v>0</v>
      </c>
      <c r="Q1211" s="20">
        <v>0</v>
      </c>
      <c r="R1211" s="21">
        <v>0.87</v>
      </c>
      <c r="S1211" s="20">
        <v>0</v>
      </c>
    </row>
    <row r="1212" spans="2:19" ht="15" customHeight="1" x14ac:dyDescent="0.25">
      <c r="B1212" s="2" t="str">
        <f t="shared" si="36"/>
        <v>NSG_Residential_Multi-Family_Partner Trade Ally Rebate_Ozone Laundry_0_MF/CI</v>
      </c>
      <c r="C1212" s="2" t="str">
        <f t="shared" si="37"/>
        <v>NSG_Residential_Multi-Family_Partner Trade Ally Rebate_Ozone Laundry_0_MF/CI_2025</v>
      </c>
      <c r="D1212" s="19" t="s">
        <v>1787</v>
      </c>
      <c r="E1212" s="19" t="s">
        <v>2</v>
      </c>
      <c r="F1212" s="19" t="s">
        <v>1422</v>
      </c>
      <c r="G1212" s="19" t="s">
        <v>1799</v>
      </c>
      <c r="H1212" s="19" t="s">
        <v>16</v>
      </c>
      <c r="I1212" s="19">
        <v>0</v>
      </c>
      <c r="J1212" s="19" t="s">
        <v>592</v>
      </c>
      <c r="K1212" s="19" t="s">
        <v>587</v>
      </c>
      <c r="L1212" s="19">
        <v>2025</v>
      </c>
      <c r="M1212" s="20">
        <v>250</v>
      </c>
      <c r="N1212" s="19" t="s">
        <v>1803</v>
      </c>
      <c r="O1212" s="20">
        <v>0</v>
      </c>
      <c r="P1212" s="20">
        <v>0</v>
      </c>
      <c r="Q1212" s="20">
        <v>0</v>
      </c>
      <c r="R1212" s="21">
        <v>0.87</v>
      </c>
      <c r="S1212" s="20">
        <v>0</v>
      </c>
    </row>
    <row r="1213" spans="2:19" ht="15" customHeight="1" x14ac:dyDescent="0.25">
      <c r="B1213" s="2" t="str">
        <f t="shared" si="36"/>
        <v>NSG_Residential_Multi-Family_Partner Trade Ally Rebate_Pipe Insulation_Hyd. Boiler Sm ≤1.25"_MF</v>
      </c>
      <c r="C1213" s="2" t="str">
        <f t="shared" si="37"/>
        <v>NSG_Residential_Multi-Family_Partner Trade Ally Rebate_Pipe Insulation_Hyd. Boiler Sm ≤1.25"_MF_2022</v>
      </c>
      <c r="D1213" s="19" t="s">
        <v>1787</v>
      </c>
      <c r="E1213" s="19" t="s">
        <v>2</v>
      </c>
      <c r="F1213" s="19" t="s">
        <v>1422</v>
      </c>
      <c r="G1213" s="19" t="s">
        <v>1799</v>
      </c>
      <c r="H1213" s="19" t="s">
        <v>404</v>
      </c>
      <c r="I1213" s="19" t="s">
        <v>947</v>
      </c>
      <c r="J1213" s="19">
        <v>0</v>
      </c>
      <c r="K1213" s="19" t="s">
        <v>553</v>
      </c>
      <c r="L1213" s="19">
        <v>2022</v>
      </c>
      <c r="M1213" s="20">
        <v>75</v>
      </c>
      <c r="N1213" s="19" t="s">
        <v>616</v>
      </c>
      <c r="O1213" s="20">
        <v>1</v>
      </c>
      <c r="P1213" s="20">
        <v>75</v>
      </c>
      <c r="Q1213" s="20">
        <v>134.95232120192307</v>
      </c>
      <c r="R1213" s="21">
        <v>0.87</v>
      </c>
      <c r="S1213" s="20">
        <v>134.95232120192307</v>
      </c>
    </row>
    <row r="1214" spans="2:19" ht="15" customHeight="1" x14ac:dyDescent="0.25">
      <c r="B1214" s="2" t="str">
        <f t="shared" si="36"/>
        <v>NSG_Residential_Multi-Family_Partner Trade Ally Rebate_Pipe Insulation_Hyd. Boiler Sm ≤1.25"_MF</v>
      </c>
      <c r="C1214" s="2" t="str">
        <f t="shared" si="37"/>
        <v>NSG_Residential_Multi-Family_Partner Trade Ally Rebate_Pipe Insulation_Hyd. Boiler Sm ≤1.25"_MF_2023</v>
      </c>
      <c r="D1214" s="19" t="s">
        <v>1787</v>
      </c>
      <c r="E1214" s="19" t="s">
        <v>2</v>
      </c>
      <c r="F1214" s="19" t="s">
        <v>1422</v>
      </c>
      <c r="G1214" s="19" t="s">
        <v>1799</v>
      </c>
      <c r="H1214" s="19" t="s">
        <v>404</v>
      </c>
      <c r="I1214" s="19" t="s">
        <v>947</v>
      </c>
      <c r="J1214" s="19">
        <v>0</v>
      </c>
      <c r="K1214" s="19" t="s">
        <v>553</v>
      </c>
      <c r="L1214" s="19">
        <v>2023</v>
      </c>
      <c r="M1214" s="20">
        <v>75</v>
      </c>
      <c r="N1214" s="19" t="s">
        <v>616</v>
      </c>
      <c r="O1214" s="20">
        <v>1</v>
      </c>
      <c r="P1214" s="20">
        <v>75</v>
      </c>
      <c r="Q1214" s="20">
        <v>134.95232120192307</v>
      </c>
      <c r="R1214" s="21">
        <v>0.87</v>
      </c>
      <c r="S1214" s="20">
        <v>134.95232120192307</v>
      </c>
    </row>
    <row r="1215" spans="2:19" ht="15" customHeight="1" x14ac:dyDescent="0.25">
      <c r="B1215" s="2" t="str">
        <f t="shared" si="36"/>
        <v>NSG_Residential_Multi-Family_Partner Trade Ally Rebate_Pipe Insulation_Hyd. Boiler Sm ≤1.25"_MF</v>
      </c>
      <c r="C1215" s="2" t="str">
        <f t="shared" si="37"/>
        <v>NSG_Residential_Multi-Family_Partner Trade Ally Rebate_Pipe Insulation_Hyd. Boiler Sm ≤1.25"_MF_2024</v>
      </c>
      <c r="D1215" s="19" t="s">
        <v>1787</v>
      </c>
      <c r="E1215" s="19" t="s">
        <v>2</v>
      </c>
      <c r="F1215" s="19" t="s">
        <v>1422</v>
      </c>
      <c r="G1215" s="19" t="s">
        <v>1799</v>
      </c>
      <c r="H1215" s="19" t="s">
        <v>404</v>
      </c>
      <c r="I1215" s="19" t="s">
        <v>947</v>
      </c>
      <c r="J1215" s="19">
        <v>0</v>
      </c>
      <c r="K1215" s="19" t="s">
        <v>553</v>
      </c>
      <c r="L1215" s="19">
        <v>2024</v>
      </c>
      <c r="M1215" s="20">
        <v>75</v>
      </c>
      <c r="N1215" s="19" t="s">
        <v>616</v>
      </c>
      <c r="O1215" s="20">
        <v>1</v>
      </c>
      <c r="P1215" s="20">
        <v>75</v>
      </c>
      <c r="Q1215" s="20">
        <v>134.95232120192307</v>
      </c>
      <c r="R1215" s="21">
        <v>0.87</v>
      </c>
      <c r="S1215" s="20">
        <v>134.95232120192307</v>
      </c>
    </row>
    <row r="1216" spans="2:19" ht="15" customHeight="1" x14ac:dyDescent="0.25">
      <c r="B1216" s="2" t="str">
        <f t="shared" si="36"/>
        <v>NSG_Residential_Multi-Family_Partner Trade Ally Rebate_Pipe Insulation_Hyd. Boiler Sm ≤1.25"_MF</v>
      </c>
      <c r="C1216" s="2" t="str">
        <f t="shared" si="37"/>
        <v>NSG_Residential_Multi-Family_Partner Trade Ally Rebate_Pipe Insulation_Hyd. Boiler Sm ≤1.25"_MF_2025</v>
      </c>
      <c r="D1216" s="19" t="s">
        <v>1787</v>
      </c>
      <c r="E1216" s="19" t="s">
        <v>2</v>
      </c>
      <c r="F1216" s="19" t="s">
        <v>1422</v>
      </c>
      <c r="G1216" s="19" t="s">
        <v>1799</v>
      </c>
      <c r="H1216" s="19" t="s">
        <v>404</v>
      </c>
      <c r="I1216" s="19" t="s">
        <v>947</v>
      </c>
      <c r="J1216" s="19">
        <v>0</v>
      </c>
      <c r="K1216" s="19" t="s">
        <v>553</v>
      </c>
      <c r="L1216" s="19">
        <v>2025</v>
      </c>
      <c r="M1216" s="20">
        <v>75</v>
      </c>
      <c r="N1216" s="19" t="s">
        <v>616</v>
      </c>
      <c r="O1216" s="20">
        <v>1</v>
      </c>
      <c r="P1216" s="20">
        <v>75</v>
      </c>
      <c r="Q1216" s="20">
        <v>134.95232120192307</v>
      </c>
      <c r="R1216" s="21">
        <v>0.87</v>
      </c>
      <c r="S1216" s="20">
        <v>134.95232120192307</v>
      </c>
    </row>
    <row r="1217" spans="2:19" ht="15" customHeight="1" x14ac:dyDescent="0.25">
      <c r="B1217" s="2" t="str">
        <f t="shared" si="36"/>
        <v>NSG_Residential_Multi-Family_Partner Trade Ally Rebate_Pipe Insulation_Hyd. Boiler Med 1.25-2"_MF</v>
      </c>
      <c r="C1217" s="2" t="str">
        <f t="shared" si="37"/>
        <v>NSG_Residential_Multi-Family_Partner Trade Ally Rebate_Pipe Insulation_Hyd. Boiler Med 1.25-2"_MF_2022</v>
      </c>
      <c r="D1217" s="19" t="s">
        <v>1787</v>
      </c>
      <c r="E1217" s="19" t="s">
        <v>2</v>
      </c>
      <c r="F1217" s="19" t="s">
        <v>1422</v>
      </c>
      <c r="G1217" s="19" t="s">
        <v>1799</v>
      </c>
      <c r="H1217" s="19" t="s">
        <v>404</v>
      </c>
      <c r="I1217" s="19" t="s">
        <v>951</v>
      </c>
      <c r="J1217" s="19">
        <v>0</v>
      </c>
      <c r="K1217" s="19" t="s">
        <v>553</v>
      </c>
      <c r="L1217" s="19">
        <v>2022</v>
      </c>
      <c r="M1217" s="20">
        <v>75</v>
      </c>
      <c r="N1217" s="19" t="s">
        <v>616</v>
      </c>
      <c r="O1217" s="20">
        <v>2</v>
      </c>
      <c r="P1217" s="20">
        <v>150</v>
      </c>
      <c r="Q1217" s="20">
        <v>470.25379423076919</v>
      </c>
      <c r="R1217" s="21">
        <v>0.87</v>
      </c>
      <c r="S1217" s="20">
        <v>470.25379423076919</v>
      </c>
    </row>
    <row r="1218" spans="2:19" ht="15" customHeight="1" x14ac:dyDescent="0.25">
      <c r="B1218" s="2" t="str">
        <f t="shared" si="36"/>
        <v>NSG_Residential_Multi-Family_Partner Trade Ally Rebate_Pipe Insulation_Hyd. Boiler Med 1.25-2"_MF</v>
      </c>
      <c r="C1218" s="2" t="str">
        <f t="shared" si="37"/>
        <v>NSG_Residential_Multi-Family_Partner Trade Ally Rebate_Pipe Insulation_Hyd. Boiler Med 1.25-2"_MF_2023</v>
      </c>
      <c r="D1218" s="19" t="s">
        <v>1787</v>
      </c>
      <c r="E1218" s="19" t="s">
        <v>2</v>
      </c>
      <c r="F1218" s="19" t="s">
        <v>1422</v>
      </c>
      <c r="G1218" s="19" t="s">
        <v>1799</v>
      </c>
      <c r="H1218" s="19" t="s">
        <v>404</v>
      </c>
      <c r="I1218" s="19" t="s">
        <v>951</v>
      </c>
      <c r="J1218" s="19">
        <v>0</v>
      </c>
      <c r="K1218" s="19" t="s">
        <v>553</v>
      </c>
      <c r="L1218" s="19">
        <v>2023</v>
      </c>
      <c r="M1218" s="20">
        <v>75</v>
      </c>
      <c r="N1218" s="19" t="s">
        <v>616</v>
      </c>
      <c r="O1218" s="20">
        <v>2</v>
      </c>
      <c r="P1218" s="20">
        <v>150</v>
      </c>
      <c r="Q1218" s="20">
        <v>470.25379423076919</v>
      </c>
      <c r="R1218" s="21">
        <v>0.87</v>
      </c>
      <c r="S1218" s="20">
        <v>470.25379423076919</v>
      </c>
    </row>
    <row r="1219" spans="2:19" ht="15" customHeight="1" x14ac:dyDescent="0.25">
      <c r="B1219" s="2" t="str">
        <f t="shared" si="36"/>
        <v>NSG_Residential_Multi-Family_Partner Trade Ally Rebate_Pipe Insulation_Hyd. Boiler Med 1.25-2"_MF</v>
      </c>
      <c r="C1219" s="2" t="str">
        <f t="shared" si="37"/>
        <v>NSG_Residential_Multi-Family_Partner Trade Ally Rebate_Pipe Insulation_Hyd. Boiler Med 1.25-2"_MF_2024</v>
      </c>
      <c r="D1219" s="19" t="s">
        <v>1787</v>
      </c>
      <c r="E1219" s="19" t="s">
        <v>2</v>
      </c>
      <c r="F1219" s="19" t="s">
        <v>1422</v>
      </c>
      <c r="G1219" s="19" t="s">
        <v>1799</v>
      </c>
      <c r="H1219" s="19" t="s">
        <v>404</v>
      </c>
      <c r="I1219" s="19" t="s">
        <v>951</v>
      </c>
      <c r="J1219" s="19">
        <v>0</v>
      </c>
      <c r="K1219" s="19" t="s">
        <v>553</v>
      </c>
      <c r="L1219" s="19">
        <v>2024</v>
      </c>
      <c r="M1219" s="20">
        <v>75</v>
      </c>
      <c r="N1219" s="19" t="s">
        <v>616</v>
      </c>
      <c r="O1219" s="20">
        <v>2</v>
      </c>
      <c r="P1219" s="20">
        <v>150</v>
      </c>
      <c r="Q1219" s="20">
        <v>470.25379423076919</v>
      </c>
      <c r="R1219" s="21">
        <v>0.87</v>
      </c>
      <c r="S1219" s="20">
        <v>470.25379423076919</v>
      </c>
    </row>
    <row r="1220" spans="2:19" ht="15" customHeight="1" x14ac:dyDescent="0.25">
      <c r="B1220" s="2" t="str">
        <f t="shared" si="36"/>
        <v>NSG_Residential_Multi-Family_Partner Trade Ally Rebate_Pipe Insulation_Hyd. Boiler Med 1.25-2"_MF</v>
      </c>
      <c r="C1220" s="2" t="str">
        <f t="shared" si="37"/>
        <v>NSG_Residential_Multi-Family_Partner Trade Ally Rebate_Pipe Insulation_Hyd. Boiler Med 1.25-2"_MF_2025</v>
      </c>
      <c r="D1220" s="19" t="s">
        <v>1787</v>
      </c>
      <c r="E1220" s="19" t="s">
        <v>2</v>
      </c>
      <c r="F1220" s="19" t="s">
        <v>1422</v>
      </c>
      <c r="G1220" s="19" t="s">
        <v>1799</v>
      </c>
      <c r="H1220" s="19" t="s">
        <v>404</v>
      </c>
      <c r="I1220" s="19" t="s">
        <v>951</v>
      </c>
      <c r="J1220" s="19">
        <v>0</v>
      </c>
      <c r="K1220" s="19" t="s">
        <v>553</v>
      </c>
      <c r="L1220" s="19">
        <v>2025</v>
      </c>
      <c r="M1220" s="20">
        <v>75</v>
      </c>
      <c r="N1220" s="19" t="s">
        <v>616</v>
      </c>
      <c r="O1220" s="20">
        <v>2</v>
      </c>
      <c r="P1220" s="20">
        <v>150</v>
      </c>
      <c r="Q1220" s="20">
        <v>470.25379423076919</v>
      </c>
      <c r="R1220" s="21">
        <v>0.87</v>
      </c>
      <c r="S1220" s="20">
        <v>470.25379423076919</v>
      </c>
    </row>
    <row r="1221" spans="2:19" ht="15" customHeight="1" x14ac:dyDescent="0.25">
      <c r="B1221" s="2" t="str">
        <f t="shared" si="36"/>
        <v>NSG_Residential_Multi-Family_Partner Trade Ally Rebate_Pipe Insulation_Hyd. Boiler Large ≥2"_MF</v>
      </c>
      <c r="C1221" s="2" t="str">
        <f t="shared" si="37"/>
        <v>NSG_Residential_Multi-Family_Partner Trade Ally Rebate_Pipe Insulation_Hyd. Boiler Large ≥2"_MF_2022</v>
      </c>
      <c r="D1221" s="19" t="s">
        <v>1787</v>
      </c>
      <c r="E1221" s="19" t="s">
        <v>2</v>
      </c>
      <c r="F1221" s="19" t="s">
        <v>1422</v>
      </c>
      <c r="G1221" s="19" t="s">
        <v>1799</v>
      </c>
      <c r="H1221" s="19" t="s">
        <v>404</v>
      </c>
      <c r="I1221" s="19" t="s">
        <v>952</v>
      </c>
      <c r="J1221" s="19">
        <v>0</v>
      </c>
      <c r="K1221" s="19" t="s">
        <v>553</v>
      </c>
      <c r="L1221" s="19">
        <v>2022</v>
      </c>
      <c r="M1221" s="20">
        <v>75</v>
      </c>
      <c r="N1221" s="19" t="s">
        <v>616</v>
      </c>
      <c r="O1221" s="20">
        <v>1</v>
      </c>
      <c r="P1221" s="20">
        <v>75</v>
      </c>
      <c r="Q1221" s="20">
        <v>403.68755673076924</v>
      </c>
      <c r="R1221" s="21">
        <v>0.87</v>
      </c>
      <c r="S1221" s="20">
        <v>403.68755673076924</v>
      </c>
    </row>
    <row r="1222" spans="2:19" ht="15" customHeight="1" x14ac:dyDescent="0.25">
      <c r="B1222" s="2" t="str">
        <f t="shared" ref="B1222:B1285" si="38">D1222&amp;"_"&amp;E1222&amp;"_"&amp;F1222&amp;"_"&amp;G1222&amp;"_"&amp;H1222&amp;"_"&amp;I1222&amp;"_"&amp;K1222</f>
        <v>NSG_Residential_Multi-Family_Partner Trade Ally Rebate_Pipe Insulation_Hyd. Boiler Large ≥2"_MF</v>
      </c>
      <c r="C1222" s="2" t="str">
        <f t="shared" ref="C1222:C1285" si="39">D1222&amp;"_"&amp;E1222&amp;"_"&amp;F1222&amp;"_"&amp;G1222&amp;"_"&amp;H1222&amp;"_"&amp;I1222&amp;"_"&amp;K1222&amp;"_"&amp;L1222</f>
        <v>NSG_Residential_Multi-Family_Partner Trade Ally Rebate_Pipe Insulation_Hyd. Boiler Large ≥2"_MF_2023</v>
      </c>
      <c r="D1222" s="19" t="s">
        <v>1787</v>
      </c>
      <c r="E1222" s="19" t="s">
        <v>2</v>
      </c>
      <c r="F1222" s="19" t="s">
        <v>1422</v>
      </c>
      <c r="G1222" s="19" t="s">
        <v>1799</v>
      </c>
      <c r="H1222" s="19" t="s">
        <v>404</v>
      </c>
      <c r="I1222" s="19" t="s">
        <v>952</v>
      </c>
      <c r="J1222" s="19">
        <v>0</v>
      </c>
      <c r="K1222" s="19" t="s">
        <v>553</v>
      </c>
      <c r="L1222" s="19">
        <v>2023</v>
      </c>
      <c r="M1222" s="20">
        <v>75</v>
      </c>
      <c r="N1222" s="19" t="s">
        <v>616</v>
      </c>
      <c r="O1222" s="20">
        <v>1</v>
      </c>
      <c r="P1222" s="20">
        <v>75</v>
      </c>
      <c r="Q1222" s="20">
        <v>403.68755673076924</v>
      </c>
      <c r="R1222" s="21">
        <v>0.87</v>
      </c>
      <c r="S1222" s="20">
        <v>403.68755673076924</v>
      </c>
    </row>
    <row r="1223" spans="2:19" ht="15" customHeight="1" x14ac:dyDescent="0.25">
      <c r="B1223" s="2" t="str">
        <f t="shared" si="38"/>
        <v>NSG_Residential_Multi-Family_Partner Trade Ally Rebate_Pipe Insulation_Hyd. Boiler Large ≥2"_MF</v>
      </c>
      <c r="C1223" s="2" t="str">
        <f t="shared" si="39"/>
        <v>NSG_Residential_Multi-Family_Partner Trade Ally Rebate_Pipe Insulation_Hyd. Boiler Large ≥2"_MF_2024</v>
      </c>
      <c r="D1223" s="19" t="s">
        <v>1787</v>
      </c>
      <c r="E1223" s="19" t="s">
        <v>2</v>
      </c>
      <c r="F1223" s="19" t="s">
        <v>1422</v>
      </c>
      <c r="G1223" s="19" t="s">
        <v>1799</v>
      </c>
      <c r="H1223" s="19" t="s">
        <v>404</v>
      </c>
      <c r="I1223" s="19" t="s">
        <v>952</v>
      </c>
      <c r="J1223" s="19">
        <v>0</v>
      </c>
      <c r="K1223" s="19" t="s">
        <v>553</v>
      </c>
      <c r="L1223" s="19">
        <v>2024</v>
      </c>
      <c r="M1223" s="20">
        <v>75</v>
      </c>
      <c r="N1223" s="19" t="s">
        <v>616</v>
      </c>
      <c r="O1223" s="20">
        <v>1</v>
      </c>
      <c r="P1223" s="20">
        <v>75</v>
      </c>
      <c r="Q1223" s="20">
        <v>403.68755673076924</v>
      </c>
      <c r="R1223" s="21">
        <v>0.87</v>
      </c>
      <c r="S1223" s="20">
        <v>403.68755673076924</v>
      </c>
    </row>
    <row r="1224" spans="2:19" ht="15" customHeight="1" x14ac:dyDescent="0.25">
      <c r="B1224" s="2" t="str">
        <f t="shared" si="38"/>
        <v>NSG_Residential_Multi-Family_Partner Trade Ally Rebate_Pipe Insulation_Hyd. Boiler Large ≥2"_MF</v>
      </c>
      <c r="C1224" s="2" t="str">
        <f t="shared" si="39"/>
        <v>NSG_Residential_Multi-Family_Partner Trade Ally Rebate_Pipe Insulation_Hyd. Boiler Large ≥2"_MF_2025</v>
      </c>
      <c r="D1224" s="19" t="s">
        <v>1787</v>
      </c>
      <c r="E1224" s="19" t="s">
        <v>2</v>
      </c>
      <c r="F1224" s="19" t="s">
        <v>1422</v>
      </c>
      <c r="G1224" s="19" t="s">
        <v>1799</v>
      </c>
      <c r="H1224" s="19" t="s">
        <v>404</v>
      </c>
      <c r="I1224" s="19" t="s">
        <v>952</v>
      </c>
      <c r="J1224" s="19">
        <v>0</v>
      </c>
      <c r="K1224" s="19" t="s">
        <v>553</v>
      </c>
      <c r="L1224" s="19">
        <v>2025</v>
      </c>
      <c r="M1224" s="20">
        <v>75</v>
      </c>
      <c r="N1224" s="19" t="s">
        <v>616</v>
      </c>
      <c r="O1224" s="20">
        <v>1</v>
      </c>
      <c r="P1224" s="20">
        <v>75</v>
      </c>
      <c r="Q1224" s="20">
        <v>403.68755673076924</v>
      </c>
      <c r="R1224" s="21">
        <v>0.87</v>
      </c>
      <c r="S1224" s="20">
        <v>403.68755673076924</v>
      </c>
    </row>
    <row r="1225" spans="2:19" ht="15" customHeight="1" x14ac:dyDescent="0.25">
      <c r="B1225" s="2" t="str">
        <f t="shared" si="38"/>
        <v>NSG_Residential_Multi-Family_Partner Trade Ally Rebate_Pipe Insulation_HW Small 1" to 2"_MF/CI/SMB</v>
      </c>
      <c r="C1225" s="2" t="str">
        <f t="shared" si="39"/>
        <v>NSG_Residential_Multi-Family_Partner Trade Ally Rebate_Pipe Insulation_HW Small 1" to 2"_MF/CI/SMB_2022</v>
      </c>
      <c r="D1225" s="19" t="s">
        <v>1787</v>
      </c>
      <c r="E1225" s="19" t="s">
        <v>2</v>
      </c>
      <c r="F1225" s="19" t="s">
        <v>1422</v>
      </c>
      <c r="G1225" s="19" t="s">
        <v>1799</v>
      </c>
      <c r="H1225" s="19" t="s">
        <v>404</v>
      </c>
      <c r="I1225" s="19" t="s">
        <v>953</v>
      </c>
      <c r="J1225" s="19">
        <v>0</v>
      </c>
      <c r="K1225" s="19" t="s">
        <v>662</v>
      </c>
      <c r="L1225" s="19">
        <v>2022</v>
      </c>
      <c r="M1225" s="20">
        <v>75</v>
      </c>
      <c r="N1225" s="19" t="s">
        <v>616</v>
      </c>
      <c r="O1225" s="20">
        <v>3</v>
      </c>
      <c r="P1225" s="20">
        <v>225</v>
      </c>
      <c r="Q1225" s="20">
        <v>520.46285863169351</v>
      </c>
      <c r="R1225" s="21">
        <v>0.87</v>
      </c>
      <c r="S1225" s="20">
        <v>520.46285863169351</v>
      </c>
    </row>
    <row r="1226" spans="2:19" ht="15" customHeight="1" x14ac:dyDescent="0.25">
      <c r="B1226" s="2" t="str">
        <f t="shared" si="38"/>
        <v>NSG_Residential_Multi-Family_Partner Trade Ally Rebate_Pipe Insulation_HW Small 1" to 2"_MF/CI/SMB</v>
      </c>
      <c r="C1226" s="2" t="str">
        <f t="shared" si="39"/>
        <v>NSG_Residential_Multi-Family_Partner Trade Ally Rebate_Pipe Insulation_HW Small 1" to 2"_MF/CI/SMB_2023</v>
      </c>
      <c r="D1226" s="19" t="s">
        <v>1787</v>
      </c>
      <c r="E1226" s="19" t="s">
        <v>2</v>
      </c>
      <c r="F1226" s="19" t="s">
        <v>1422</v>
      </c>
      <c r="G1226" s="19" t="s">
        <v>1799</v>
      </c>
      <c r="H1226" s="19" t="s">
        <v>404</v>
      </c>
      <c r="I1226" s="19" t="s">
        <v>953</v>
      </c>
      <c r="J1226" s="19">
        <v>0</v>
      </c>
      <c r="K1226" s="19" t="s">
        <v>662</v>
      </c>
      <c r="L1226" s="19">
        <v>2023</v>
      </c>
      <c r="M1226" s="20">
        <v>75</v>
      </c>
      <c r="N1226" s="19" t="s">
        <v>616</v>
      </c>
      <c r="O1226" s="20">
        <v>3</v>
      </c>
      <c r="P1226" s="20">
        <v>225</v>
      </c>
      <c r="Q1226" s="20">
        <v>520.46285863169351</v>
      </c>
      <c r="R1226" s="21">
        <v>0.87</v>
      </c>
      <c r="S1226" s="20">
        <v>520.46285863169351</v>
      </c>
    </row>
    <row r="1227" spans="2:19" ht="15" customHeight="1" x14ac:dyDescent="0.25">
      <c r="B1227" s="2" t="str">
        <f t="shared" si="38"/>
        <v>NSG_Residential_Multi-Family_Partner Trade Ally Rebate_Pipe Insulation_HW Small 1" to 2"_MF/CI/SMB</v>
      </c>
      <c r="C1227" s="2" t="str">
        <f t="shared" si="39"/>
        <v>NSG_Residential_Multi-Family_Partner Trade Ally Rebate_Pipe Insulation_HW Small 1" to 2"_MF/CI/SMB_2024</v>
      </c>
      <c r="D1227" s="19" t="s">
        <v>1787</v>
      </c>
      <c r="E1227" s="19" t="s">
        <v>2</v>
      </c>
      <c r="F1227" s="19" t="s">
        <v>1422</v>
      </c>
      <c r="G1227" s="19" t="s">
        <v>1799</v>
      </c>
      <c r="H1227" s="19" t="s">
        <v>404</v>
      </c>
      <c r="I1227" s="19" t="s">
        <v>953</v>
      </c>
      <c r="J1227" s="19">
        <v>0</v>
      </c>
      <c r="K1227" s="19" t="s">
        <v>662</v>
      </c>
      <c r="L1227" s="19">
        <v>2024</v>
      </c>
      <c r="M1227" s="20">
        <v>75</v>
      </c>
      <c r="N1227" s="19" t="s">
        <v>616</v>
      </c>
      <c r="O1227" s="20">
        <v>3</v>
      </c>
      <c r="P1227" s="20">
        <v>225</v>
      </c>
      <c r="Q1227" s="20">
        <v>520.46285863169351</v>
      </c>
      <c r="R1227" s="21">
        <v>0.87</v>
      </c>
      <c r="S1227" s="20">
        <v>520.46285863169351</v>
      </c>
    </row>
    <row r="1228" spans="2:19" ht="15" customHeight="1" x14ac:dyDescent="0.25">
      <c r="B1228" s="2" t="str">
        <f t="shared" si="38"/>
        <v>NSG_Residential_Multi-Family_Partner Trade Ally Rebate_Pipe Insulation_HW Small 1" to 2"_MF/CI/SMB</v>
      </c>
      <c r="C1228" s="2" t="str">
        <f t="shared" si="39"/>
        <v>NSG_Residential_Multi-Family_Partner Trade Ally Rebate_Pipe Insulation_HW Small 1" to 2"_MF/CI/SMB_2025</v>
      </c>
      <c r="D1228" s="19" t="s">
        <v>1787</v>
      </c>
      <c r="E1228" s="19" t="s">
        <v>2</v>
      </c>
      <c r="F1228" s="19" t="s">
        <v>1422</v>
      </c>
      <c r="G1228" s="19" t="s">
        <v>1799</v>
      </c>
      <c r="H1228" s="19" t="s">
        <v>404</v>
      </c>
      <c r="I1228" s="19" t="s">
        <v>953</v>
      </c>
      <c r="J1228" s="19">
        <v>0</v>
      </c>
      <c r="K1228" s="19" t="s">
        <v>662</v>
      </c>
      <c r="L1228" s="19">
        <v>2025</v>
      </c>
      <c r="M1228" s="20">
        <v>75</v>
      </c>
      <c r="N1228" s="19" t="s">
        <v>616</v>
      </c>
      <c r="O1228" s="20">
        <v>3</v>
      </c>
      <c r="P1228" s="20">
        <v>225</v>
      </c>
      <c r="Q1228" s="20">
        <v>520.46285863169351</v>
      </c>
      <c r="R1228" s="21">
        <v>0.87</v>
      </c>
      <c r="S1228" s="20">
        <v>520.46285863169351</v>
      </c>
    </row>
    <row r="1229" spans="2:19" ht="15" customHeight="1" x14ac:dyDescent="0.25">
      <c r="B1229" s="2" t="str">
        <f t="shared" si="38"/>
        <v>NSG_Residential_Multi-Family_Partner Trade Ally Rebate_Pipe Insulation_HW Medium 2.1" to 4"_MF/CI/SMB</v>
      </c>
      <c r="C1229" s="2" t="str">
        <f t="shared" si="39"/>
        <v>NSG_Residential_Multi-Family_Partner Trade Ally Rebate_Pipe Insulation_HW Medium 2.1" to 4"_MF/CI/SMB_2022</v>
      </c>
      <c r="D1229" s="19" t="s">
        <v>1787</v>
      </c>
      <c r="E1229" s="19" t="s">
        <v>2</v>
      </c>
      <c r="F1229" s="19" t="s">
        <v>1422</v>
      </c>
      <c r="G1229" s="19" t="s">
        <v>1799</v>
      </c>
      <c r="H1229" s="19" t="s">
        <v>404</v>
      </c>
      <c r="I1229" s="19" t="s">
        <v>954</v>
      </c>
      <c r="J1229" s="19">
        <v>0</v>
      </c>
      <c r="K1229" s="19" t="s">
        <v>662</v>
      </c>
      <c r="L1229" s="19">
        <v>2022</v>
      </c>
      <c r="M1229" s="20">
        <v>75</v>
      </c>
      <c r="N1229" s="19" t="s">
        <v>616</v>
      </c>
      <c r="O1229" s="20">
        <v>4</v>
      </c>
      <c r="P1229" s="20">
        <v>300</v>
      </c>
      <c r="Q1229" s="20">
        <v>1370.0420219872408</v>
      </c>
      <c r="R1229" s="21">
        <v>0.87</v>
      </c>
      <c r="S1229" s="20">
        <v>1370.0420219872408</v>
      </c>
    </row>
    <row r="1230" spans="2:19" ht="15" customHeight="1" x14ac:dyDescent="0.25">
      <c r="B1230" s="2" t="str">
        <f t="shared" si="38"/>
        <v>NSG_Residential_Multi-Family_Partner Trade Ally Rebate_Pipe Insulation_HW Medium 2.1" to 4"_MF/CI/SMB</v>
      </c>
      <c r="C1230" s="2" t="str">
        <f t="shared" si="39"/>
        <v>NSG_Residential_Multi-Family_Partner Trade Ally Rebate_Pipe Insulation_HW Medium 2.1" to 4"_MF/CI/SMB_2023</v>
      </c>
      <c r="D1230" s="19" t="s">
        <v>1787</v>
      </c>
      <c r="E1230" s="19" t="s">
        <v>2</v>
      </c>
      <c r="F1230" s="19" t="s">
        <v>1422</v>
      </c>
      <c r="G1230" s="19" t="s">
        <v>1799</v>
      </c>
      <c r="H1230" s="19" t="s">
        <v>404</v>
      </c>
      <c r="I1230" s="19" t="s">
        <v>954</v>
      </c>
      <c r="J1230" s="19">
        <v>0</v>
      </c>
      <c r="K1230" s="19" t="s">
        <v>662</v>
      </c>
      <c r="L1230" s="19">
        <v>2023</v>
      </c>
      <c r="M1230" s="20">
        <v>75</v>
      </c>
      <c r="N1230" s="19" t="s">
        <v>616</v>
      </c>
      <c r="O1230" s="20">
        <v>4</v>
      </c>
      <c r="P1230" s="20">
        <v>300</v>
      </c>
      <c r="Q1230" s="20">
        <v>1370.0420219872408</v>
      </c>
      <c r="R1230" s="21">
        <v>0.87</v>
      </c>
      <c r="S1230" s="20">
        <v>1370.0420219872408</v>
      </c>
    </row>
    <row r="1231" spans="2:19" ht="15" customHeight="1" x14ac:dyDescent="0.25">
      <c r="B1231" s="2" t="str">
        <f t="shared" si="38"/>
        <v>NSG_Residential_Multi-Family_Partner Trade Ally Rebate_Pipe Insulation_HW Medium 2.1" to 4"_MF/CI/SMB</v>
      </c>
      <c r="C1231" s="2" t="str">
        <f t="shared" si="39"/>
        <v>NSG_Residential_Multi-Family_Partner Trade Ally Rebate_Pipe Insulation_HW Medium 2.1" to 4"_MF/CI/SMB_2024</v>
      </c>
      <c r="D1231" s="19" t="s">
        <v>1787</v>
      </c>
      <c r="E1231" s="19" t="s">
        <v>2</v>
      </c>
      <c r="F1231" s="19" t="s">
        <v>1422</v>
      </c>
      <c r="G1231" s="19" t="s">
        <v>1799</v>
      </c>
      <c r="H1231" s="19" t="s">
        <v>404</v>
      </c>
      <c r="I1231" s="19" t="s">
        <v>954</v>
      </c>
      <c r="J1231" s="19">
        <v>0</v>
      </c>
      <c r="K1231" s="19" t="s">
        <v>662</v>
      </c>
      <c r="L1231" s="19">
        <v>2024</v>
      </c>
      <c r="M1231" s="20">
        <v>75</v>
      </c>
      <c r="N1231" s="19" t="s">
        <v>616</v>
      </c>
      <c r="O1231" s="20">
        <v>4</v>
      </c>
      <c r="P1231" s="20">
        <v>300</v>
      </c>
      <c r="Q1231" s="20">
        <v>1370.0420219872408</v>
      </c>
      <c r="R1231" s="21">
        <v>0.87</v>
      </c>
      <c r="S1231" s="20">
        <v>1370.0420219872408</v>
      </c>
    </row>
    <row r="1232" spans="2:19" ht="15" customHeight="1" x14ac:dyDescent="0.25">
      <c r="B1232" s="2" t="str">
        <f t="shared" si="38"/>
        <v>NSG_Residential_Multi-Family_Partner Trade Ally Rebate_Pipe Insulation_HW Medium 2.1" to 4"_MF/CI/SMB</v>
      </c>
      <c r="C1232" s="2" t="str">
        <f t="shared" si="39"/>
        <v>NSG_Residential_Multi-Family_Partner Trade Ally Rebate_Pipe Insulation_HW Medium 2.1" to 4"_MF/CI/SMB_2025</v>
      </c>
      <c r="D1232" s="19" t="s">
        <v>1787</v>
      </c>
      <c r="E1232" s="19" t="s">
        <v>2</v>
      </c>
      <c r="F1232" s="19" t="s">
        <v>1422</v>
      </c>
      <c r="G1232" s="19" t="s">
        <v>1799</v>
      </c>
      <c r="H1232" s="19" t="s">
        <v>404</v>
      </c>
      <c r="I1232" s="19" t="s">
        <v>954</v>
      </c>
      <c r="J1232" s="19">
        <v>0</v>
      </c>
      <c r="K1232" s="19" t="s">
        <v>662</v>
      </c>
      <c r="L1232" s="19">
        <v>2025</v>
      </c>
      <c r="M1232" s="20">
        <v>75</v>
      </c>
      <c r="N1232" s="19" t="s">
        <v>616</v>
      </c>
      <c r="O1232" s="20">
        <v>4</v>
      </c>
      <c r="P1232" s="20">
        <v>300</v>
      </c>
      <c r="Q1232" s="20">
        <v>1370.0420219872408</v>
      </c>
      <c r="R1232" s="21">
        <v>0.87</v>
      </c>
      <c r="S1232" s="20">
        <v>1370.0420219872408</v>
      </c>
    </row>
    <row r="1233" spans="2:19" ht="15" customHeight="1" x14ac:dyDescent="0.25">
      <c r="B1233" s="2" t="str">
        <f t="shared" si="38"/>
        <v>NSG_Residential_Multi-Family_Partner Trade Ally Rebate_Pipe Insulation_HW Large &gt;4"_MF/CI/SMB</v>
      </c>
      <c r="C1233" s="2" t="str">
        <f t="shared" si="39"/>
        <v>NSG_Residential_Multi-Family_Partner Trade Ally Rebate_Pipe Insulation_HW Large &gt;4"_MF/CI/SMB_2022</v>
      </c>
      <c r="D1233" s="19" t="s">
        <v>1787</v>
      </c>
      <c r="E1233" s="19" t="s">
        <v>2</v>
      </c>
      <c r="F1233" s="19" t="s">
        <v>1422</v>
      </c>
      <c r="G1233" s="19" t="s">
        <v>1799</v>
      </c>
      <c r="H1233" s="19" t="s">
        <v>404</v>
      </c>
      <c r="I1233" s="19" t="s">
        <v>955</v>
      </c>
      <c r="J1233" s="19">
        <v>0</v>
      </c>
      <c r="K1233" s="19" t="s">
        <v>662</v>
      </c>
      <c r="L1233" s="19">
        <v>2022</v>
      </c>
      <c r="M1233" s="20">
        <v>75</v>
      </c>
      <c r="N1233" s="19" t="s">
        <v>616</v>
      </c>
      <c r="O1233" s="20">
        <v>4</v>
      </c>
      <c r="P1233" s="20">
        <v>300</v>
      </c>
      <c r="Q1233" s="20">
        <v>2359.6387015422165</v>
      </c>
      <c r="R1233" s="21">
        <v>0.87</v>
      </c>
      <c r="S1233" s="20">
        <v>2359.6387015422165</v>
      </c>
    </row>
    <row r="1234" spans="2:19" ht="15" customHeight="1" x14ac:dyDescent="0.25">
      <c r="B1234" s="2" t="str">
        <f t="shared" si="38"/>
        <v>NSG_Residential_Multi-Family_Partner Trade Ally Rebate_Pipe Insulation_HW Large &gt;4"_MF/CI/SMB</v>
      </c>
      <c r="C1234" s="2" t="str">
        <f t="shared" si="39"/>
        <v>NSG_Residential_Multi-Family_Partner Trade Ally Rebate_Pipe Insulation_HW Large &gt;4"_MF/CI/SMB_2023</v>
      </c>
      <c r="D1234" s="19" t="s">
        <v>1787</v>
      </c>
      <c r="E1234" s="19" t="s">
        <v>2</v>
      </c>
      <c r="F1234" s="19" t="s">
        <v>1422</v>
      </c>
      <c r="G1234" s="19" t="s">
        <v>1799</v>
      </c>
      <c r="H1234" s="19" t="s">
        <v>404</v>
      </c>
      <c r="I1234" s="19" t="s">
        <v>955</v>
      </c>
      <c r="J1234" s="19">
        <v>0</v>
      </c>
      <c r="K1234" s="19" t="s">
        <v>662</v>
      </c>
      <c r="L1234" s="19">
        <v>2023</v>
      </c>
      <c r="M1234" s="20">
        <v>75</v>
      </c>
      <c r="N1234" s="19" t="s">
        <v>616</v>
      </c>
      <c r="O1234" s="20">
        <v>4</v>
      </c>
      <c r="P1234" s="20">
        <v>300</v>
      </c>
      <c r="Q1234" s="20">
        <v>2359.6387015422165</v>
      </c>
      <c r="R1234" s="21">
        <v>0.87</v>
      </c>
      <c r="S1234" s="20">
        <v>2359.6387015422165</v>
      </c>
    </row>
    <row r="1235" spans="2:19" ht="15" customHeight="1" x14ac:dyDescent="0.25">
      <c r="B1235" s="2" t="str">
        <f t="shared" si="38"/>
        <v>NSG_Residential_Multi-Family_Partner Trade Ally Rebate_Pipe Insulation_HW Large &gt;4"_MF/CI/SMB</v>
      </c>
      <c r="C1235" s="2" t="str">
        <f t="shared" si="39"/>
        <v>NSG_Residential_Multi-Family_Partner Trade Ally Rebate_Pipe Insulation_HW Large &gt;4"_MF/CI/SMB_2024</v>
      </c>
      <c r="D1235" s="19" t="s">
        <v>1787</v>
      </c>
      <c r="E1235" s="19" t="s">
        <v>2</v>
      </c>
      <c r="F1235" s="19" t="s">
        <v>1422</v>
      </c>
      <c r="G1235" s="19" t="s">
        <v>1799</v>
      </c>
      <c r="H1235" s="19" t="s">
        <v>404</v>
      </c>
      <c r="I1235" s="19" t="s">
        <v>955</v>
      </c>
      <c r="J1235" s="19">
        <v>0</v>
      </c>
      <c r="K1235" s="19" t="s">
        <v>662</v>
      </c>
      <c r="L1235" s="19">
        <v>2024</v>
      </c>
      <c r="M1235" s="20">
        <v>75</v>
      </c>
      <c r="N1235" s="19" t="s">
        <v>616</v>
      </c>
      <c r="O1235" s="20">
        <v>4</v>
      </c>
      <c r="P1235" s="20">
        <v>300</v>
      </c>
      <c r="Q1235" s="20">
        <v>2359.6387015422165</v>
      </c>
      <c r="R1235" s="21">
        <v>0.87</v>
      </c>
      <c r="S1235" s="20">
        <v>2359.6387015422165</v>
      </c>
    </row>
    <row r="1236" spans="2:19" ht="15" customHeight="1" x14ac:dyDescent="0.25">
      <c r="B1236" s="2" t="str">
        <f t="shared" si="38"/>
        <v>NSG_Residential_Multi-Family_Partner Trade Ally Rebate_Pipe Insulation_HW Large &gt;4"_MF/CI/SMB</v>
      </c>
      <c r="C1236" s="2" t="str">
        <f t="shared" si="39"/>
        <v>NSG_Residential_Multi-Family_Partner Trade Ally Rebate_Pipe Insulation_HW Large &gt;4"_MF/CI/SMB_2025</v>
      </c>
      <c r="D1236" s="19" t="s">
        <v>1787</v>
      </c>
      <c r="E1236" s="19" t="s">
        <v>2</v>
      </c>
      <c r="F1236" s="19" t="s">
        <v>1422</v>
      </c>
      <c r="G1236" s="19" t="s">
        <v>1799</v>
      </c>
      <c r="H1236" s="19" t="s">
        <v>404</v>
      </c>
      <c r="I1236" s="19" t="s">
        <v>955</v>
      </c>
      <c r="J1236" s="19">
        <v>0</v>
      </c>
      <c r="K1236" s="19" t="s">
        <v>662</v>
      </c>
      <c r="L1236" s="19">
        <v>2025</v>
      </c>
      <c r="M1236" s="20">
        <v>75</v>
      </c>
      <c r="N1236" s="19" t="s">
        <v>616</v>
      </c>
      <c r="O1236" s="20">
        <v>4</v>
      </c>
      <c r="P1236" s="20">
        <v>300</v>
      </c>
      <c r="Q1236" s="20">
        <v>2359.6387015422165</v>
      </c>
      <c r="R1236" s="21">
        <v>0.87</v>
      </c>
      <c r="S1236" s="20">
        <v>2359.6387015422165</v>
      </c>
    </row>
    <row r="1237" spans="2:19" ht="15" customHeight="1" x14ac:dyDescent="0.25">
      <c r="B1237" s="2" t="str">
        <f t="shared" si="38"/>
        <v>NSG_Residential_Multi-Family_Partner Trade Ally Rebate_Pipe Insulation_Steam - Small 1" to 2"_MF</v>
      </c>
      <c r="C1237" s="2" t="str">
        <f t="shared" si="39"/>
        <v>NSG_Residential_Multi-Family_Partner Trade Ally Rebate_Pipe Insulation_Steam - Small 1" to 2"_MF_2022</v>
      </c>
      <c r="D1237" s="19" t="s">
        <v>1787</v>
      </c>
      <c r="E1237" s="19" t="s">
        <v>2</v>
      </c>
      <c r="F1237" s="19" t="s">
        <v>1422</v>
      </c>
      <c r="G1237" s="19" t="s">
        <v>1799</v>
      </c>
      <c r="H1237" s="19" t="s">
        <v>404</v>
      </c>
      <c r="I1237" s="19" t="s">
        <v>956</v>
      </c>
      <c r="J1237" s="19">
        <v>0</v>
      </c>
      <c r="K1237" s="19" t="s">
        <v>553</v>
      </c>
      <c r="L1237" s="19">
        <v>2022</v>
      </c>
      <c r="M1237" s="20">
        <v>75</v>
      </c>
      <c r="N1237" s="19" t="s">
        <v>616</v>
      </c>
      <c r="O1237" s="20">
        <v>2</v>
      </c>
      <c r="P1237" s="20">
        <v>150</v>
      </c>
      <c r="Q1237" s="20">
        <v>517.70616610665047</v>
      </c>
      <c r="R1237" s="21">
        <v>0.87</v>
      </c>
      <c r="S1237" s="20">
        <v>517.70616610665047</v>
      </c>
    </row>
    <row r="1238" spans="2:19" ht="15" customHeight="1" x14ac:dyDescent="0.25">
      <c r="B1238" s="2" t="str">
        <f t="shared" si="38"/>
        <v>NSG_Residential_Multi-Family_Partner Trade Ally Rebate_Pipe Insulation_Steam - Small 1" to 2"_MF</v>
      </c>
      <c r="C1238" s="2" t="str">
        <f t="shared" si="39"/>
        <v>NSG_Residential_Multi-Family_Partner Trade Ally Rebate_Pipe Insulation_Steam - Small 1" to 2"_MF_2023</v>
      </c>
      <c r="D1238" s="19" t="s">
        <v>1787</v>
      </c>
      <c r="E1238" s="19" t="s">
        <v>2</v>
      </c>
      <c r="F1238" s="19" t="s">
        <v>1422</v>
      </c>
      <c r="G1238" s="19" t="s">
        <v>1799</v>
      </c>
      <c r="H1238" s="19" t="s">
        <v>404</v>
      </c>
      <c r="I1238" s="19" t="s">
        <v>956</v>
      </c>
      <c r="J1238" s="19">
        <v>0</v>
      </c>
      <c r="K1238" s="19" t="s">
        <v>553</v>
      </c>
      <c r="L1238" s="19">
        <v>2023</v>
      </c>
      <c r="M1238" s="20">
        <v>75</v>
      </c>
      <c r="N1238" s="19" t="s">
        <v>616</v>
      </c>
      <c r="O1238" s="20">
        <v>2</v>
      </c>
      <c r="P1238" s="20">
        <v>150</v>
      </c>
      <c r="Q1238" s="20">
        <v>517.70616610665047</v>
      </c>
      <c r="R1238" s="21">
        <v>0.87</v>
      </c>
      <c r="S1238" s="20">
        <v>517.70616610665047</v>
      </c>
    </row>
    <row r="1239" spans="2:19" ht="15" customHeight="1" x14ac:dyDescent="0.25">
      <c r="B1239" s="2" t="str">
        <f t="shared" si="38"/>
        <v>NSG_Residential_Multi-Family_Partner Trade Ally Rebate_Pipe Insulation_Steam - Small 1" to 2"_MF</v>
      </c>
      <c r="C1239" s="2" t="str">
        <f t="shared" si="39"/>
        <v>NSG_Residential_Multi-Family_Partner Trade Ally Rebate_Pipe Insulation_Steam - Small 1" to 2"_MF_2024</v>
      </c>
      <c r="D1239" s="19" t="s">
        <v>1787</v>
      </c>
      <c r="E1239" s="19" t="s">
        <v>2</v>
      </c>
      <c r="F1239" s="19" t="s">
        <v>1422</v>
      </c>
      <c r="G1239" s="19" t="s">
        <v>1799</v>
      </c>
      <c r="H1239" s="19" t="s">
        <v>404</v>
      </c>
      <c r="I1239" s="19" t="s">
        <v>956</v>
      </c>
      <c r="J1239" s="19">
        <v>0</v>
      </c>
      <c r="K1239" s="19" t="s">
        <v>553</v>
      </c>
      <c r="L1239" s="19">
        <v>2024</v>
      </c>
      <c r="M1239" s="20">
        <v>75</v>
      </c>
      <c r="N1239" s="19" t="s">
        <v>616</v>
      </c>
      <c r="O1239" s="20">
        <v>2</v>
      </c>
      <c r="P1239" s="20">
        <v>150</v>
      </c>
      <c r="Q1239" s="20">
        <v>517.70616610665047</v>
      </c>
      <c r="R1239" s="21">
        <v>0.87</v>
      </c>
      <c r="S1239" s="20">
        <v>517.70616610665047</v>
      </c>
    </row>
    <row r="1240" spans="2:19" ht="15" customHeight="1" x14ac:dyDescent="0.25">
      <c r="B1240" s="2" t="str">
        <f t="shared" si="38"/>
        <v>NSG_Residential_Multi-Family_Partner Trade Ally Rebate_Pipe Insulation_Steam - Small 1" to 2"_MF</v>
      </c>
      <c r="C1240" s="2" t="str">
        <f t="shared" si="39"/>
        <v>NSG_Residential_Multi-Family_Partner Trade Ally Rebate_Pipe Insulation_Steam - Small 1" to 2"_MF_2025</v>
      </c>
      <c r="D1240" s="19" t="s">
        <v>1787</v>
      </c>
      <c r="E1240" s="19" t="s">
        <v>2</v>
      </c>
      <c r="F1240" s="19" t="s">
        <v>1422</v>
      </c>
      <c r="G1240" s="19" t="s">
        <v>1799</v>
      </c>
      <c r="H1240" s="19" t="s">
        <v>404</v>
      </c>
      <c r="I1240" s="19" t="s">
        <v>956</v>
      </c>
      <c r="J1240" s="19">
        <v>0</v>
      </c>
      <c r="K1240" s="19" t="s">
        <v>553</v>
      </c>
      <c r="L1240" s="19">
        <v>2025</v>
      </c>
      <c r="M1240" s="20">
        <v>75</v>
      </c>
      <c r="N1240" s="19" t="s">
        <v>616</v>
      </c>
      <c r="O1240" s="20">
        <v>2</v>
      </c>
      <c r="P1240" s="20">
        <v>150</v>
      </c>
      <c r="Q1240" s="20">
        <v>517.70616610665047</v>
      </c>
      <c r="R1240" s="21">
        <v>0.87</v>
      </c>
      <c r="S1240" s="20">
        <v>517.70616610665047</v>
      </c>
    </row>
    <row r="1241" spans="2:19" ht="15" customHeight="1" x14ac:dyDescent="0.25">
      <c r="B1241" s="2" t="str">
        <f t="shared" si="38"/>
        <v>NSG_Residential_Multi-Family_Partner Trade Ally Rebate_Pipe Insulation_Steam - Med 2.1" to 5"_MF</v>
      </c>
      <c r="C1241" s="2" t="str">
        <f t="shared" si="39"/>
        <v>NSG_Residential_Multi-Family_Partner Trade Ally Rebate_Pipe Insulation_Steam - Med 2.1" to 5"_MF_2022</v>
      </c>
      <c r="D1241" s="19" t="s">
        <v>1787</v>
      </c>
      <c r="E1241" s="19" t="s">
        <v>2</v>
      </c>
      <c r="F1241" s="19" t="s">
        <v>1422</v>
      </c>
      <c r="G1241" s="19" t="s">
        <v>1799</v>
      </c>
      <c r="H1241" s="19" t="s">
        <v>404</v>
      </c>
      <c r="I1241" s="19" t="s">
        <v>957</v>
      </c>
      <c r="J1241" s="19">
        <v>0</v>
      </c>
      <c r="K1241" s="19" t="s">
        <v>553</v>
      </c>
      <c r="L1241" s="19">
        <v>2022</v>
      </c>
      <c r="M1241" s="20">
        <v>75</v>
      </c>
      <c r="N1241" s="19" t="s">
        <v>616</v>
      </c>
      <c r="O1241" s="20">
        <v>2</v>
      </c>
      <c r="P1241" s="20">
        <v>150</v>
      </c>
      <c r="Q1241" s="20">
        <v>2082.0618855162315</v>
      </c>
      <c r="R1241" s="21">
        <v>0.87</v>
      </c>
      <c r="S1241" s="20">
        <v>2082.0618855162315</v>
      </c>
    </row>
    <row r="1242" spans="2:19" ht="15" customHeight="1" x14ac:dyDescent="0.25">
      <c r="B1242" s="2" t="str">
        <f t="shared" si="38"/>
        <v>NSG_Residential_Multi-Family_Partner Trade Ally Rebate_Pipe Insulation_Steam - Med 2.1" to 5"_MF</v>
      </c>
      <c r="C1242" s="2" t="str">
        <f t="shared" si="39"/>
        <v>NSG_Residential_Multi-Family_Partner Trade Ally Rebate_Pipe Insulation_Steam - Med 2.1" to 5"_MF_2023</v>
      </c>
      <c r="D1242" s="19" t="s">
        <v>1787</v>
      </c>
      <c r="E1242" s="19" t="s">
        <v>2</v>
      </c>
      <c r="F1242" s="19" t="s">
        <v>1422</v>
      </c>
      <c r="G1242" s="19" t="s">
        <v>1799</v>
      </c>
      <c r="H1242" s="19" t="s">
        <v>404</v>
      </c>
      <c r="I1242" s="19" t="s">
        <v>957</v>
      </c>
      <c r="J1242" s="19">
        <v>0</v>
      </c>
      <c r="K1242" s="19" t="s">
        <v>553</v>
      </c>
      <c r="L1242" s="19">
        <v>2023</v>
      </c>
      <c r="M1242" s="20">
        <v>75</v>
      </c>
      <c r="N1242" s="19" t="s">
        <v>616</v>
      </c>
      <c r="O1242" s="20">
        <v>2</v>
      </c>
      <c r="P1242" s="20">
        <v>150</v>
      </c>
      <c r="Q1242" s="20">
        <v>2082.0618855162315</v>
      </c>
      <c r="R1242" s="21">
        <v>0.87</v>
      </c>
      <c r="S1242" s="20">
        <v>2082.0618855162315</v>
      </c>
    </row>
    <row r="1243" spans="2:19" ht="15" customHeight="1" x14ac:dyDescent="0.25">
      <c r="B1243" s="2" t="str">
        <f t="shared" si="38"/>
        <v>NSG_Residential_Multi-Family_Partner Trade Ally Rebate_Pipe Insulation_Steam - Med 2.1" to 5"_MF</v>
      </c>
      <c r="C1243" s="2" t="str">
        <f t="shared" si="39"/>
        <v>NSG_Residential_Multi-Family_Partner Trade Ally Rebate_Pipe Insulation_Steam - Med 2.1" to 5"_MF_2024</v>
      </c>
      <c r="D1243" s="19" t="s">
        <v>1787</v>
      </c>
      <c r="E1243" s="19" t="s">
        <v>2</v>
      </c>
      <c r="F1243" s="19" t="s">
        <v>1422</v>
      </c>
      <c r="G1243" s="19" t="s">
        <v>1799</v>
      </c>
      <c r="H1243" s="19" t="s">
        <v>404</v>
      </c>
      <c r="I1243" s="19" t="s">
        <v>957</v>
      </c>
      <c r="J1243" s="19">
        <v>0</v>
      </c>
      <c r="K1243" s="19" t="s">
        <v>553</v>
      </c>
      <c r="L1243" s="19">
        <v>2024</v>
      </c>
      <c r="M1243" s="20">
        <v>75</v>
      </c>
      <c r="N1243" s="19" t="s">
        <v>616</v>
      </c>
      <c r="O1243" s="20">
        <v>2</v>
      </c>
      <c r="P1243" s="20">
        <v>150</v>
      </c>
      <c r="Q1243" s="20">
        <v>2082.0618855162315</v>
      </c>
      <c r="R1243" s="21">
        <v>0.87</v>
      </c>
      <c r="S1243" s="20">
        <v>2082.0618855162315</v>
      </c>
    </row>
    <row r="1244" spans="2:19" ht="15" customHeight="1" x14ac:dyDescent="0.25">
      <c r="B1244" s="2" t="str">
        <f t="shared" si="38"/>
        <v>NSG_Residential_Multi-Family_Partner Trade Ally Rebate_Pipe Insulation_Steam - Med 2.1" to 5"_MF</v>
      </c>
      <c r="C1244" s="2" t="str">
        <f t="shared" si="39"/>
        <v>NSG_Residential_Multi-Family_Partner Trade Ally Rebate_Pipe Insulation_Steam - Med 2.1" to 5"_MF_2025</v>
      </c>
      <c r="D1244" s="19" t="s">
        <v>1787</v>
      </c>
      <c r="E1244" s="19" t="s">
        <v>2</v>
      </c>
      <c r="F1244" s="19" t="s">
        <v>1422</v>
      </c>
      <c r="G1244" s="19" t="s">
        <v>1799</v>
      </c>
      <c r="H1244" s="19" t="s">
        <v>404</v>
      </c>
      <c r="I1244" s="19" t="s">
        <v>957</v>
      </c>
      <c r="J1244" s="19">
        <v>0</v>
      </c>
      <c r="K1244" s="19" t="s">
        <v>553</v>
      </c>
      <c r="L1244" s="19">
        <v>2025</v>
      </c>
      <c r="M1244" s="20">
        <v>75</v>
      </c>
      <c r="N1244" s="19" t="s">
        <v>616</v>
      </c>
      <c r="O1244" s="20">
        <v>2</v>
      </c>
      <c r="P1244" s="20">
        <v>150</v>
      </c>
      <c r="Q1244" s="20">
        <v>2082.0618855162315</v>
      </c>
      <c r="R1244" s="21">
        <v>0.87</v>
      </c>
      <c r="S1244" s="20">
        <v>2082.0618855162315</v>
      </c>
    </row>
    <row r="1245" spans="2:19" ht="15" customHeight="1" x14ac:dyDescent="0.25">
      <c r="B1245" s="2" t="str">
        <f t="shared" si="38"/>
        <v>NSG_Residential_Multi-Family_Partner Trade Ally Rebate_Pipe Insulation_Steam - Large 5.1" to 8"_MF</v>
      </c>
      <c r="C1245" s="2" t="str">
        <f t="shared" si="39"/>
        <v>NSG_Residential_Multi-Family_Partner Trade Ally Rebate_Pipe Insulation_Steam - Large 5.1" to 8"_MF_2022</v>
      </c>
      <c r="D1245" s="19" t="s">
        <v>1787</v>
      </c>
      <c r="E1245" s="19" t="s">
        <v>2</v>
      </c>
      <c r="F1245" s="19" t="s">
        <v>1422</v>
      </c>
      <c r="G1245" s="19" t="s">
        <v>1799</v>
      </c>
      <c r="H1245" s="19" t="s">
        <v>404</v>
      </c>
      <c r="I1245" s="19" t="s">
        <v>958</v>
      </c>
      <c r="J1245" s="19">
        <v>0</v>
      </c>
      <c r="K1245" s="19" t="s">
        <v>553</v>
      </c>
      <c r="L1245" s="19">
        <v>2022</v>
      </c>
      <c r="M1245" s="20">
        <v>75</v>
      </c>
      <c r="N1245" s="19" t="s">
        <v>616</v>
      </c>
      <c r="O1245" s="20">
        <v>1</v>
      </c>
      <c r="P1245" s="20">
        <v>75</v>
      </c>
      <c r="Q1245" s="20">
        <v>2031.491206730253</v>
      </c>
      <c r="R1245" s="21">
        <v>0.87</v>
      </c>
      <c r="S1245" s="20">
        <v>2031.491206730253</v>
      </c>
    </row>
    <row r="1246" spans="2:19" ht="15" customHeight="1" x14ac:dyDescent="0.25">
      <c r="B1246" s="2" t="str">
        <f t="shared" si="38"/>
        <v>NSG_Residential_Multi-Family_Partner Trade Ally Rebate_Pipe Insulation_Steam - Large 5.1" to 8"_MF</v>
      </c>
      <c r="C1246" s="2" t="str">
        <f t="shared" si="39"/>
        <v>NSG_Residential_Multi-Family_Partner Trade Ally Rebate_Pipe Insulation_Steam - Large 5.1" to 8"_MF_2023</v>
      </c>
      <c r="D1246" s="19" t="s">
        <v>1787</v>
      </c>
      <c r="E1246" s="19" t="s">
        <v>2</v>
      </c>
      <c r="F1246" s="19" t="s">
        <v>1422</v>
      </c>
      <c r="G1246" s="19" t="s">
        <v>1799</v>
      </c>
      <c r="H1246" s="19" t="s">
        <v>404</v>
      </c>
      <c r="I1246" s="19" t="s">
        <v>958</v>
      </c>
      <c r="J1246" s="19">
        <v>0</v>
      </c>
      <c r="K1246" s="19" t="s">
        <v>553</v>
      </c>
      <c r="L1246" s="19">
        <v>2023</v>
      </c>
      <c r="M1246" s="20">
        <v>75</v>
      </c>
      <c r="N1246" s="19" t="s">
        <v>616</v>
      </c>
      <c r="O1246" s="20">
        <v>1</v>
      </c>
      <c r="P1246" s="20">
        <v>75</v>
      </c>
      <c r="Q1246" s="20">
        <v>2031.491206730253</v>
      </c>
      <c r="R1246" s="21">
        <v>0.87</v>
      </c>
      <c r="S1246" s="20">
        <v>2031.491206730253</v>
      </c>
    </row>
    <row r="1247" spans="2:19" ht="15" customHeight="1" x14ac:dyDescent="0.25">
      <c r="B1247" s="2" t="str">
        <f t="shared" si="38"/>
        <v>NSG_Residential_Multi-Family_Partner Trade Ally Rebate_Pipe Insulation_Steam - Large 5.1" to 8"_MF</v>
      </c>
      <c r="C1247" s="2" t="str">
        <f t="shared" si="39"/>
        <v>NSG_Residential_Multi-Family_Partner Trade Ally Rebate_Pipe Insulation_Steam - Large 5.1" to 8"_MF_2024</v>
      </c>
      <c r="D1247" s="19" t="s">
        <v>1787</v>
      </c>
      <c r="E1247" s="19" t="s">
        <v>2</v>
      </c>
      <c r="F1247" s="19" t="s">
        <v>1422</v>
      </c>
      <c r="G1247" s="19" t="s">
        <v>1799</v>
      </c>
      <c r="H1247" s="19" t="s">
        <v>404</v>
      </c>
      <c r="I1247" s="19" t="s">
        <v>958</v>
      </c>
      <c r="J1247" s="19">
        <v>0</v>
      </c>
      <c r="K1247" s="19" t="s">
        <v>553</v>
      </c>
      <c r="L1247" s="19">
        <v>2024</v>
      </c>
      <c r="M1247" s="20">
        <v>75</v>
      </c>
      <c r="N1247" s="19" t="s">
        <v>616</v>
      </c>
      <c r="O1247" s="20">
        <v>1</v>
      </c>
      <c r="P1247" s="20">
        <v>75</v>
      </c>
      <c r="Q1247" s="20">
        <v>2031.491206730253</v>
      </c>
      <c r="R1247" s="21">
        <v>0.87</v>
      </c>
      <c r="S1247" s="20">
        <v>2031.491206730253</v>
      </c>
    </row>
    <row r="1248" spans="2:19" ht="15" customHeight="1" x14ac:dyDescent="0.25">
      <c r="B1248" s="2" t="str">
        <f t="shared" si="38"/>
        <v>NSG_Residential_Multi-Family_Partner Trade Ally Rebate_Pipe Insulation_Steam - Large 5.1" to 8"_MF</v>
      </c>
      <c r="C1248" s="2" t="str">
        <f t="shared" si="39"/>
        <v>NSG_Residential_Multi-Family_Partner Trade Ally Rebate_Pipe Insulation_Steam - Large 5.1" to 8"_MF_2025</v>
      </c>
      <c r="D1248" s="19" t="s">
        <v>1787</v>
      </c>
      <c r="E1248" s="19" t="s">
        <v>2</v>
      </c>
      <c r="F1248" s="19" t="s">
        <v>1422</v>
      </c>
      <c r="G1248" s="19" t="s">
        <v>1799</v>
      </c>
      <c r="H1248" s="19" t="s">
        <v>404</v>
      </c>
      <c r="I1248" s="19" t="s">
        <v>958</v>
      </c>
      <c r="J1248" s="19">
        <v>0</v>
      </c>
      <c r="K1248" s="19" t="s">
        <v>553</v>
      </c>
      <c r="L1248" s="19">
        <v>2025</v>
      </c>
      <c r="M1248" s="20">
        <v>75</v>
      </c>
      <c r="N1248" s="19" t="s">
        <v>616</v>
      </c>
      <c r="O1248" s="20">
        <v>1</v>
      </c>
      <c r="P1248" s="20">
        <v>75</v>
      </c>
      <c r="Q1248" s="20">
        <v>2031.491206730253</v>
      </c>
      <c r="R1248" s="21">
        <v>0.87</v>
      </c>
      <c r="S1248" s="20">
        <v>2031.491206730253</v>
      </c>
    </row>
    <row r="1249" spans="2:19" ht="15" customHeight="1" x14ac:dyDescent="0.25">
      <c r="B1249" s="2" t="str">
        <f t="shared" si="38"/>
        <v>NSG_Residential_Multi-Family_Partner Trade Ally Rebate_Pipe Insulation_Steam - X-Large &gt;8"_MF</v>
      </c>
      <c r="C1249" s="2" t="str">
        <f t="shared" si="39"/>
        <v>NSG_Residential_Multi-Family_Partner Trade Ally Rebate_Pipe Insulation_Steam - X-Large &gt;8"_MF_2022</v>
      </c>
      <c r="D1249" s="19" t="s">
        <v>1787</v>
      </c>
      <c r="E1249" s="19" t="s">
        <v>2</v>
      </c>
      <c r="F1249" s="19" t="s">
        <v>1422</v>
      </c>
      <c r="G1249" s="19" t="s">
        <v>1799</v>
      </c>
      <c r="H1249" s="19" t="s">
        <v>404</v>
      </c>
      <c r="I1249" s="19" t="s">
        <v>960</v>
      </c>
      <c r="J1249" s="19">
        <v>0</v>
      </c>
      <c r="K1249" s="19" t="s">
        <v>553</v>
      </c>
      <c r="L1249" s="19">
        <v>2022</v>
      </c>
      <c r="M1249" s="20">
        <v>75</v>
      </c>
      <c r="N1249" s="19" t="s">
        <v>616</v>
      </c>
      <c r="O1249" s="20">
        <v>0</v>
      </c>
      <c r="P1249" s="20">
        <v>0</v>
      </c>
      <c r="Q1249" s="20">
        <v>0</v>
      </c>
      <c r="R1249" s="21">
        <v>0.87</v>
      </c>
      <c r="S1249" s="20">
        <v>0</v>
      </c>
    </row>
    <row r="1250" spans="2:19" ht="15" customHeight="1" x14ac:dyDescent="0.25">
      <c r="B1250" s="2" t="str">
        <f t="shared" si="38"/>
        <v>NSG_Residential_Multi-Family_Partner Trade Ally Rebate_Pipe Insulation_Steam - X-Large &gt;8"_MF</v>
      </c>
      <c r="C1250" s="2" t="str">
        <f t="shared" si="39"/>
        <v>NSG_Residential_Multi-Family_Partner Trade Ally Rebate_Pipe Insulation_Steam - X-Large &gt;8"_MF_2023</v>
      </c>
      <c r="D1250" s="19" t="s">
        <v>1787</v>
      </c>
      <c r="E1250" s="19" t="s">
        <v>2</v>
      </c>
      <c r="F1250" s="19" t="s">
        <v>1422</v>
      </c>
      <c r="G1250" s="19" t="s">
        <v>1799</v>
      </c>
      <c r="H1250" s="19" t="s">
        <v>404</v>
      </c>
      <c r="I1250" s="19" t="s">
        <v>960</v>
      </c>
      <c r="J1250" s="19">
        <v>0</v>
      </c>
      <c r="K1250" s="19" t="s">
        <v>553</v>
      </c>
      <c r="L1250" s="19">
        <v>2023</v>
      </c>
      <c r="M1250" s="20">
        <v>75</v>
      </c>
      <c r="N1250" s="19" t="s">
        <v>616</v>
      </c>
      <c r="O1250" s="20">
        <v>0</v>
      </c>
      <c r="P1250" s="20">
        <v>0</v>
      </c>
      <c r="Q1250" s="20">
        <v>0</v>
      </c>
      <c r="R1250" s="21">
        <v>0.87</v>
      </c>
      <c r="S1250" s="20">
        <v>0</v>
      </c>
    </row>
    <row r="1251" spans="2:19" ht="15" customHeight="1" x14ac:dyDescent="0.25">
      <c r="B1251" s="2" t="str">
        <f t="shared" si="38"/>
        <v>NSG_Residential_Multi-Family_Partner Trade Ally Rebate_Pipe Insulation_Steam - X-Large &gt;8"_MF</v>
      </c>
      <c r="C1251" s="2" t="str">
        <f t="shared" si="39"/>
        <v>NSG_Residential_Multi-Family_Partner Trade Ally Rebate_Pipe Insulation_Steam - X-Large &gt;8"_MF_2024</v>
      </c>
      <c r="D1251" s="19" t="s">
        <v>1787</v>
      </c>
      <c r="E1251" s="19" t="s">
        <v>2</v>
      </c>
      <c r="F1251" s="19" t="s">
        <v>1422</v>
      </c>
      <c r="G1251" s="19" t="s">
        <v>1799</v>
      </c>
      <c r="H1251" s="19" t="s">
        <v>404</v>
      </c>
      <c r="I1251" s="19" t="s">
        <v>960</v>
      </c>
      <c r="J1251" s="19">
        <v>0</v>
      </c>
      <c r="K1251" s="19" t="s">
        <v>553</v>
      </c>
      <c r="L1251" s="19">
        <v>2024</v>
      </c>
      <c r="M1251" s="20">
        <v>75</v>
      </c>
      <c r="N1251" s="19" t="s">
        <v>616</v>
      </c>
      <c r="O1251" s="20">
        <v>0</v>
      </c>
      <c r="P1251" s="20">
        <v>0</v>
      </c>
      <c r="Q1251" s="20">
        <v>0</v>
      </c>
      <c r="R1251" s="21">
        <v>0.87</v>
      </c>
      <c r="S1251" s="20">
        <v>0</v>
      </c>
    </row>
    <row r="1252" spans="2:19" ht="15" customHeight="1" x14ac:dyDescent="0.25">
      <c r="B1252" s="2" t="str">
        <f t="shared" si="38"/>
        <v>NSG_Residential_Multi-Family_Partner Trade Ally Rebate_Pipe Insulation_Steam - X-Large &gt;8"_MF</v>
      </c>
      <c r="C1252" s="2" t="str">
        <f t="shared" si="39"/>
        <v>NSG_Residential_Multi-Family_Partner Trade Ally Rebate_Pipe Insulation_Steam - X-Large &gt;8"_MF_2025</v>
      </c>
      <c r="D1252" s="19" t="s">
        <v>1787</v>
      </c>
      <c r="E1252" s="19" t="s">
        <v>2</v>
      </c>
      <c r="F1252" s="19" t="s">
        <v>1422</v>
      </c>
      <c r="G1252" s="19" t="s">
        <v>1799</v>
      </c>
      <c r="H1252" s="19" t="s">
        <v>404</v>
      </c>
      <c r="I1252" s="19" t="s">
        <v>960</v>
      </c>
      <c r="J1252" s="19">
        <v>0</v>
      </c>
      <c r="K1252" s="19" t="s">
        <v>553</v>
      </c>
      <c r="L1252" s="19">
        <v>2025</v>
      </c>
      <c r="M1252" s="20">
        <v>75</v>
      </c>
      <c r="N1252" s="19" t="s">
        <v>616</v>
      </c>
      <c r="O1252" s="20">
        <v>0</v>
      </c>
      <c r="P1252" s="20">
        <v>0</v>
      </c>
      <c r="Q1252" s="20">
        <v>0</v>
      </c>
      <c r="R1252" s="21">
        <v>0.87</v>
      </c>
      <c r="S1252" s="20">
        <v>0</v>
      </c>
    </row>
    <row r="1253" spans="2:19" ht="15" customHeight="1" x14ac:dyDescent="0.25">
      <c r="B1253" s="2" t="str">
        <f t="shared" si="38"/>
        <v>NSG_Residential_Multi-Family_Partner Trade Ally Rebate_Pipe Insulation_Steam Med Fitting_MF</v>
      </c>
      <c r="C1253" s="2" t="str">
        <f t="shared" si="39"/>
        <v>NSG_Residential_Multi-Family_Partner Trade Ally Rebate_Pipe Insulation_Steam Med Fitting_MF_2022</v>
      </c>
      <c r="D1253" s="19" t="s">
        <v>1787</v>
      </c>
      <c r="E1253" s="19" t="s">
        <v>2</v>
      </c>
      <c r="F1253" s="19" t="s">
        <v>1422</v>
      </c>
      <c r="G1253" s="19" t="s">
        <v>1799</v>
      </c>
      <c r="H1253" s="19" t="s">
        <v>404</v>
      </c>
      <c r="I1253" s="19" t="s">
        <v>962</v>
      </c>
      <c r="J1253" s="19">
        <v>0</v>
      </c>
      <c r="K1253" s="19" t="s">
        <v>553</v>
      </c>
      <c r="L1253" s="19">
        <v>2022</v>
      </c>
      <c r="M1253" s="20">
        <v>1</v>
      </c>
      <c r="N1253" s="19" t="s">
        <v>1798</v>
      </c>
      <c r="O1253" s="20">
        <v>0</v>
      </c>
      <c r="P1253" s="20">
        <v>0</v>
      </c>
      <c r="Q1253" s="20">
        <v>0</v>
      </c>
      <c r="R1253" s="21">
        <v>0.87</v>
      </c>
      <c r="S1253" s="20">
        <v>0</v>
      </c>
    </row>
    <row r="1254" spans="2:19" ht="15" customHeight="1" x14ac:dyDescent="0.25">
      <c r="B1254" s="2" t="str">
        <f t="shared" si="38"/>
        <v>NSG_Residential_Multi-Family_Partner Trade Ally Rebate_Pipe Insulation_Steam Med Fitting_MF</v>
      </c>
      <c r="C1254" s="2" t="str">
        <f t="shared" si="39"/>
        <v>NSG_Residential_Multi-Family_Partner Trade Ally Rebate_Pipe Insulation_Steam Med Fitting_MF_2023</v>
      </c>
      <c r="D1254" s="19" t="s">
        <v>1787</v>
      </c>
      <c r="E1254" s="19" t="s">
        <v>2</v>
      </c>
      <c r="F1254" s="19" t="s">
        <v>1422</v>
      </c>
      <c r="G1254" s="19" t="s">
        <v>1799</v>
      </c>
      <c r="H1254" s="19" t="s">
        <v>404</v>
      </c>
      <c r="I1254" s="19" t="s">
        <v>962</v>
      </c>
      <c r="J1254" s="19">
        <v>0</v>
      </c>
      <c r="K1254" s="19" t="s">
        <v>553</v>
      </c>
      <c r="L1254" s="19">
        <v>2023</v>
      </c>
      <c r="M1254" s="20">
        <v>1</v>
      </c>
      <c r="N1254" s="19" t="s">
        <v>1798</v>
      </c>
      <c r="O1254" s="20">
        <v>0</v>
      </c>
      <c r="P1254" s="20">
        <v>0</v>
      </c>
      <c r="Q1254" s="20">
        <v>0</v>
      </c>
      <c r="R1254" s="21">
        <v>0.87</v>
      </c>
      <c r="S1254" s="20">
        <v>0</v>
      </c>
    </row>
    <row r="1255" spans="2:19" ht="15" customHeight="1" x14ac:dyDescent="0.25">
      <c r="B1255" s="2" t="str">
        <f t="shared" si="38"/>
        <v>NSG_Residential_Multi-Family_Partner Trade Ally Rebate_Pipe Insulation_Steam Med Fitting_MF</v>
      </c>
      <c r="C1255" s="2" t="str">
        <f t="shared" si="39"/>
        <v>NSG_Residential_Multi-Family_Partner Trade Ally Rebate_Pipe Insulation_Steam Med Fitting_MF_2024</v>
      </c>
      <c r="D1255" s="19" t="s">
        <v>1787</v>
      </c>
      <c r="E1255" s="19" t="s">
        <v>2</v>
      </c>
      <c r="F1255" s="19" t="s">
        <v>1422</v>
      </c>
      <c r="G1255" s="19" t="s">
        <v>1799</v>
      </c>
      <c r="H1255" s="19" t="s">
        <v>404</v>
      </c>
      <c r="I1255" s="19" t="s">
        <v>962</v>
      </c>
      <c r="J1255" s="19">
        <v>0</v>
      </c>
      <c r="K1255" s="19" t="s">
        <v>553</v>
      </c>
      <c r="L1255" s="19">
        <v>2024</v>
      </c>
      <c r="M1255" s="20">
        <v>1</v>
      </c>
      <c r="N1255" s="19" t="s">
        <v>1798</v>
      </c>
      <c r="O1255" s="20">
        <v>0</v>
      </c>
      <c r="P1255" s="20">
        <v>0</v>
      </c>
      <c r="Q1255" s="20">
        <v>0</v>
      </c>
      <c r="R1255" s="21">
        <v>0.87</v>
      </c>
      <c r="S1255" s="20">
        <v>0</v>
      </c>
    </row>
    <row r="1256" spans="2:19" ht="15" customHeight="1" x14ac:dyDescent="0.25">
      <c r="B1256" s="2" t="str">
        <f t="shared" si="38"/>
        <v>NSG_Residential_Multi-Family_Partner Trade Ally Rebate_Pipe Insulation_Steam Med Fitting_MF</v>
      </c>
      <c r="C1256" s="2" t="str">
        <f t="shared" si="39"/>
        <v>NSG_Residential_Multi-Family_Partner Trade Ally Rebate_Pipe Insulation_Steam Med Fitting_MF_2025</v>
      </c>
      <c r="D1256" s="19" t="s">
        <v>1787</v>
      </c>
      <c r="E1256" s="19" t="s">
        <v>2</v>
      </c>
      <c r="F1256" s="19" t="s">
        <v>1422</v>
      </c>
      <c r="G1256" s="19" t="s">
        <v>1799</v>
      </c>
      <c r="H1256" s="19" t="s">
        <v>404</v>
      </c>
      <c r="I1256" s="19" t="s">
        <v>962</v>
      </c>
      <c r="J1256" s="19">
        <v>0</v>
      </c>
      <c r="K1256" s="19" t="s">
        <v>553</v>
      </c>
      <c r="L1256" s="19">
        <v>2025</v>
      </c>
      <c r="M1256" s="20">
        <v>1</v>
      </c>
      <c r="N1256" s="19" t="s">
        <v>1798</v>
      </c>
      <c r="O1256" s="20">
        <v>0</v>
      </c>
      <c r="P1256" s="20">
        <v>0</v>
      </c>
      <c r="Q1256" s="20">
        <v>0</v>
      </c>
      <c r="R1256" s="21">
        <v>0.87</v>
      </c>
      <c r="S1256" s="20">
        <v>0</v>
      </c>
    </row>
    <row r="1257" spans="2:19" ht="15" customHeight="1" x14ac:dyDescent="0.25">
      <c r="B1257" s="2" t="str">
        <f t="shared" si="38"/>
        <v>NSG_Residential_Multi-Family_Partner Trade Ally Rebate_Pipe Insulation_Steam Large Fitting_MF</v>
      </c>
      <c r="C1257" s="2" t="str">
        <f t="shared" si="39"/>
        <v>NSG_Residential_Multi-Family_Partner Trade Ally Rebate_Pipe Insulation_Steam Large Fitting_MF_2022</v>
      </c>
      <c r="D1257" s="19" t="s">
        <v>1787</v>
      </c>
      <c r="E1257" s="19" t="s">
        <v>2</v>
      </c>
      <c r="F1257" s="19" t="s">
        <v>1422</v>
      </c>
      <c r="G1257" s="19" t="s">
        <v>1799</v>
      </c>
      <c r="H1257" s="19" t="s">
        <v>404</v>
      </c>
      <c r="I1257" s="19" t="s">
        <v>963</v>
      </c>
      <c r="J1257" s="19">
        <v>0</v>
      </c>
      <c r="K1257" s="19" t="s">
        <v>553</v>
      </c>
      <c r="L1257" s="19">
        <v>2022</v>
      </c>
      <c r="M1257" s="20">
        <v>1</v>
      </c>
      <c r="N1257" s="19" t="s">
        <v>1798</v>
      </c>
      <c r="O1257" s="20">
        <v>0</v>
      </c>
      <c r="P1257" s="20">
        <v>0</v>
      </c>
      <c r="Q1257" s="20">
        <v>0</v>
      </c>
      <c r="R1257" s="21">
        <v>0.87</v>
      </c>
      <c r="S1257" s="20">
        <v>0</v>
      </c>
    </row>
    <row r="1258" spans="2:19" ht="15" customHeight="1" x14ac:dyDescent="0.25">
      <c r="B1258" s="2" t="str">
        <f t="shared" si="38"/>
        <v>NSG_Residential_Multi-Family_Partner Trade Ally Rebate_Pipe Insulation_Steam Large Fitting_MF</v>
      </c>
      <c r="C1258" s="2" t="str">
        <f t="shared" si="39"/>
        <v>NSG_Residential_Multi-Family_Partner Trade Ally Rebate_Pipe Insulation_Steam Large Fitting_MF_2023</v>
      </c>
      <c r="D1258" s="19" t="s">
        <v>1787</v>
      </c>
      <c r="E1258" s="19" t="s">
        <v>2</v>
      </c>
      <c r="F1258" s="19" t="s">
        <v>1422</v>
      </c>
      <c r="G1258" s="19" t="s">
        <v>1799</v>
      </c>
      <c r="H1258" s="19" t="s">
        <v>404</v>
      </c>
      <c r="I1258" s="19" t="s">
        <v>963</v>
      </c>
      <c r="J1258" s="19">
        <v>0</v>
      </c>
      <c r="K1258" s="19" t="s">
        <v>553</v>
      </c>
      <c r="L1258" s="19">
        <v>2023</v>
      </c>
      <c r="M1258" s="20">
        <v>1</v>
      </c>
      <c r="N1258" s="19" t="s">
        <v>1798</v>
      </c>
      <c r="O1258" s="20">
        <v>0</v>
      </c>
      <c r="P1258" s="20">
        <v>0</v>
      </c>
      <c r="Q1258" s="20">
        <v>0</v>
      </c>
      <c r="R1258" s="21">
        <v>0.87</v>
      </c>
      <c r="S1258" s="20">
        <v>0</v>
      </c>
    </row>
    <row r="1259" spans="2:19" ht="15" customHeight="1" x14ac:dyDescent="0.25">
      <c r="B1259" s="2" t="str">
        <f t="shared" si="38"/>
        <v>NSG_Residential_Multi-Family_Partner Trade Ally Rebate_Pipe Insulation_Steam Large Fitting_MF</v>
      </c>
      <c r="C1259" s="2" t="str">
        <f t="shared" si="39"/>
        <v>NSG_Residential_Multi-Family_Partner Trade Ally Rebate_Pipe Insulation_Steam Large Fitting_MF_2024</v>
      </c>
      <c r="D1259" s="19" t="s">
        <v>1787</v>
      </c>
      <c r="E1259" s="19" t="s">
        <v>2</v>
      </c>
      <c r="F1259" s="19" t="s">
        <v>1422</v>
      </c>
      <c r="G1259" s="19" t="s">
        <v>1799</v>
      </c>
      <c r="H1259" s="19" t="s">
        <v>404</v>
      </c>
      <c r="I1259" s="19" t="s">
        <v>963</v>
      </c>
      <c r="J1259" s="19">
        <v>0</v>
      </c>
      <c r="K1259" s="19" t="s">
        <v>553</v>
      </c>
      <c r="L1259" s="19">
        <v>2024</v>
      </c>
      <c r="M1259" s="20">
        <v>1</v>
      </c>
      <c r="N1259" s="19" t="s">
        <v>1798</v>
      </c>
      <c r="O1259" s="20">
        <v>0</v>
      </c>
      <c r="P1259" s="20">
        <v>0</v>
      </c>
      <c r="Q1259" s="20">
        <v>0</v>
      </c>
      <c r="R1259" s="21">
        <v>0.87</v>
      </c>
      <c r="S1259" s="20">
        <v>0</v>
      </c>
    </row>
    <row r="1260" spans="2:19" ht="15" customHeight="1" x14ac:dyDescent="0.25">
      <c r="B1260" s="2" t="str">
        <f t="shared" si="38"/>
        <v>NSG_Residential_Multi-Family_Partner Trade Ally Rebate_Pipe Insulation_Steam Large Fitting_MF</v>
      </c>
      <c r="C1260" s="2" t="str">
        <f t="shared" si="39"/>
        <v>NSG_Residential_Multi-Family_Partner Trade Ally Rebate_Pipe Insulation_Steam Large Fitting_MF_2025</v>
      </c>
      <c r="D1260" s="19" t="s">
        <v>1787</v>
      </c>
      <c r="E1260" s="19" t="s">
        <v>2</v>
      </c>
      <c r="F1260" s="19" t="s">
        <v>1422</v>
      </c>
      <c r="G1260" s="19" t="s">
        <v>1799</v>
      </c>
      <c r="H1260" s="19" t="s">
        <v>404</v>
      </c>
      <c r="I1260" s="19" t="s">
        <v>963</v>
      </c>
      <c r="J1260" s="19">
        <v>0</v>
      </c>
      <c r="K1260" s="19" t="s">
        <v>553</v>
      </c>
      <c r="L1260" s="19">
        <v>2025</v>
      </c>
      <c r="M1260" s="20">
        <v>1</v>
      </c>
      <c r="N1260" s="19" t="s">
        <v>1798</v>
      </c>
      <c r="O1260" s="20">
        <v>0</v>
      </c>
      <c r="P1260" s="20">
        <v>0</v>
      </c>
      <c r="Q1260" s="20">
        <v>0</v>
      </c>
      <c r="R1260" s="21">
        <v>0.87</v>
      </c>
      <c r="S1260" s="20">
        <v>0</v>
      </c>
    </row>
    <row r="1261" spans="2:19" ht="15" customHeight="1" x14ac:dyDescent="0.25">
      <c r="B1261" s="2" t="str">
        <f t="shared" si="38"/>
        <v>NSG_Residential_Multi-Family_Partner Trade Ally Rebate_Pipe Insulation_Steam X-Large Fitting_MF</v>
      </c>
      <c r="C1261" s="2" t="str">
        <f t="shared" si="39"/>
        <v>NSG_Residential_Multi-Family_Partner Trade Ally Rebate_Pipe Insulation_Steam X-Large Fitting_MF_2022</v>
      </c>
      <c r="D1261" s="19" t="s">
        <v>1787</v>
      </c>
      <c r="E1261" s="19" t="s">
        <v>2</v>
      </c>
      <c r="F1261" s="19" t="s">
        <v>1422</v>
      </c>
      <c r="G1261" s="19" t="s">
        <v>1799</v>
      </c>
      <c r="H1261" s="19" t="s">
        <v>404</v>
      </c>
      <c r="I1261" s="19" t="s">
        <v>964</v>
      </c>
      <c r="J1261" s="19">
        <v>0</v>
      </c>
      <c r="K1261" s="19" t="s">
        <v>553</v>
      </c>
      <c r="L1261" s="19">
        <v>2022</v>
      </c>
      <c r="M1261" s="20">
        <v>1</v>
      </c>
      <c r="N1261" s="19" t="s">
        <v>1798</v>
      </c>
      <c r="O1261" s="20">
        <v>0</v>
      </c>
      <c r="P1261" s="20">
        <v>0</v>
      </c>
      <c r="Q1261" s="20">
        <v>0</v>
      </c>
      <c r="R1261" s="21">
        <v>0.87</v>
      </c>
      <c r="S1261" s="20">
        <v>0</v>
      </c>
    </row>
    <row r="1262" spans="2:19" ht="15" customHeight="1" x14ac:dyDescent="0.25">
      <c r="B1262" s="2" t="str">
        <f t="shared" si="38"/>
        <v>NSG_Residential_Multi-Family_Partner Trade Ally Rebate_Pipe Insulation_Steam X-Large Fitting_MF</v>
      </c>
      <c r="C1262" s="2" t="str">
        <f t="shared" si="39"/>
        <v>NSG_Residential_Multi-Family_Partner Trade Ally Rebate_Pipe Insulation_Steam X-Large Fitting_MF_2023</v>
      </c>
      <c r="D1262" s="19" t="s">
        <v>1787</v>
      </c>
      <c r="E1262" s="19" t="s">
        <v>2</v>
      </c>
      <c r="F1262" s="19" t="s">
        <v>1422</v>
      </c>
      <c r="G1262" s="19" t="s">
        <v>1799</v>
      </c>
      <c r="H1262" s="19" t="s">
        <v>404</v>
      </c>
      <c r="I1262" s="19" t="s">
        <v>964</v>
      </c>
      <c r="J1262" s="19">
        <v>0</v>
      </c>
      <c r="K1262" s="19" t="s">
        <v>553</v>
      </c>
      <c r="L1262" s="19">
        <v>2023</v>
      </c>
      <c r="M1262" s="20">
        <v>1</v>
      </c>
      <c r="N1262" s="19" t="s">
        <v>1798</v>
      </c>
      <c r="O1262" s="20">
        <v>0</v>
      </c>
      <c r="P1262" s="20">
        <v>0</v>
      </c>
      <c r="Q1262" s="20">
        <v>0</v>
      </c>
      <c r="R1262" s="21">
        <v>0.87</v>
      </c>
      <c r="S1262" s="20">
        <v>0</v>
      </c>
    </row>
    <row r="1263" spans="2:19" ht="15" customHeight="1" x14ac:dyDescent="0.25">
      <c r="B1263" s="2" t="str">
        <f t="shared" si="38"/>
        <v>NSG_Residential_Multi-Family_Partner Trade Ally Rebate_Pipe Insulation_Steam X-Large Fitting_MF</v>
      </c>
      <c r="C1263" s="2" t="str">
        <f t="shared" si="39"/>
        <v>NSG_Residential_Multi-Family_Partner Trade Ally Rebate_Pipe Insulation_Steam X-Large Fitting_MF_2024</v>
      </c>
      <c r="D1263" s="19" t="s">
        <v>1787</v>
      </c>
      <c r="E1263" s="19" t="s">
        <v>2</v>
      </c>
      <c r="F1263" s="19" t="s">
        <v>1422</v>
      </c>
      <c r="G1263" s="19" t="s">
        <v>1799</v>
      </c>
      <c r="H1263" s="19" t="s">
        <v>404</v>
      </c>
      <c r="I1263" s="19" t="s">
        <v>964</v>
      </c>
      <c r="J1263" s="19">
        <v>0</v>
      </c>
      <c r="K1263" s="19" t="s">
        <v>553</v>
      </c>
      <c r="L1263" s="19">
        <v>2024</v>
      </c>
      <c r="M1263" s="20">
        <v>1</v>
      </c>
      <c r="N1263" s="19" t="s">
        <v>1798</v>
      </c>
      <c r="O1263" s="20">
        <v>0</v>
      </c>
      <c r="P1263" s="20">
        <v>0</v>
      </c>
      <c r="Q1263" s="20">
        <v>0</v>
      </c>
      <c r="R1263" s="21">
        <v>0.87</v>
      </c>
      <c r="S1263" s="20">
        <v>0</v>
      </c>
    </row>
    <row r="1264" spans="2:19" ht="15" customHeight="1" x14ac:dyDescent="0.25">
      <c r="B1264" s="2" t="str">
        <f t="shared" si="38"/>
        <v>NSG_Residential_Multi-Family_Partner Trade Ally Rebate_Pipe Insulation_Steam X-Large Fitting_MF</v>
      </c>
      <c r="C1264" s="2" t="str">
        <f t="shared" si="39"/>
        <v>NSG_Residential_Multi-Family_Partner Trade Ally Rebate_Pipe Insulation_Steam X-Large Fitting_MF_2025</v>
      </c>
      <c r="D1264" s="19" t="s">
        <v>1787</v>
      </c>
      <c r="E1264" s="19" t="s">
        <v>2</v>
      </c>
      <c r="F1264" s="19" t="s">
        <v>1422</v>
      </c>
      <c r="G1264" s="19" t="s">
        <v>1799</v>
      </c>
      <c r="H1264" s="19" t="s">
        <v>404</v>
      </c>
      <c r="I1264" s="19" t="s">
        <v>964</v>
      </c>
      <c r="J1264" s="19">
        <v>0</v>
      </c>
      <c r="K1264" s="19" t="s">
        <v>553</v>
      </c>
      <c r="L1264" s="19">
        <v>2025</v>
      </c>
      <c r="M1264" s="20">
        <v>1</v>
      </c>
      <c r="N1264" s="19" t="s">
        <v>1798</v>
      </c>
      <c r="O1264" s="20">
        <v>0</v>
      </c>
      <c r="P1264" s="20">
        <v>0</v>
      </c>
      <c r="Q1264" s="20">
        <v>0</v>
      </c>
      <c r="R1264" s="21">
        <v>0.87</v>
      </c>
      <c r="S1264" s="20">
        <v>0</v>
      </c>
    </row>
    <row r="1265" spans="2:19" ht="15" customHeight="1" x14ac:dyDescent="0.25">
      <c r="B1265" s="2" t="str">
        <f t="shared" si="38"/>
        <v>NSG_Residential_Multi-Family_Partner Trade Ally Rebate_Pipe Insulation_Steam Med Valve_MF</v>
      </c>
      <c r="C1265" s="2" t="str">
        <f t="shared" si="39"/>
        <v>NSG_Residential_Multi-Family_Partner Trade Ally Rebate_Pipe Insulation_Steam Med Valve_MF_2022</v>
      </c>
      <c r="D1265" s="19" t="s">
        <v>1787</v>
      </c>
      <c r="E1265" s="19" t="s">
        <v>2</v>
      </c>
      <c r="F1265" s="19" t="s">
        <v>1422</v>
      </c>
      <c r="G1265" s="19" t="s">
        <v>1799</v>
      </c>
      <c r="H1265" s="19" t="s">
        <v>404</v>
      </c>
      <c r="I1265" s="19" t="s">
        <v>966</v>
      </c>
      <c r="J1265" s="19">
        <v>0</v>
      </c>
      <c r="K1265" s="19" t="s">
        <v>553</v>
      </c>
      <c r="L1265" s="19">
        <v>2022</v>
      </c>
      <c r="M1265" s="20">
        <v>1</v>
      </c>
      <c r="N1265" s="19" t="s">
        <v>1798</v>
      </c>
      <c r="O1265" s="20">
        <v>0</v>
      </c>
      <c r="P1265" s="20">
        <v>0</v>
      </c>
      <c r="Q1265" s="20">
        <v>0</v>
      </c>
      <c r="R1265" s="21">
        <v>0.87</v>
      </c>
      <c r="S1265" s="20">
        <v>0</v>
      </c>
    </row>
    <row r="1266" spans="2:19" ht="15" customHeight="1" x14ac:dyDescent="0.25">
      <c r="B1266" s="2" t="str">
        <f t="shared" si="38"/>
        <v>NSG_Residential_Multi-Family_Partner Trade Ally Rebate_Pipe Insulation_Steam Med Valve_MF</v>
      </c>
      <c r="C1266" s="2" t="str">
        <f t="shared" si="39"/>
        <v>NSG_Residential_Multi-Family_Partner Trade Ally Rebate_Pipe Insulation_Steam Med Valve_MF_2023</v>
      </c>
      <c r="D1266" s="19" t="s">
        <v>1787</v>
      </c>
      <c r="E1266" s="19" t="s">
        <v>2</v>
      </c>
      <c r="F1266" s="19" t="s">
        <v>1422</v>
      </c>
      <c r="G1266" s="19" t="s">
        <v>1799</v>
      </c>
      <c r="H1266" s="19" t="s">
        <v>404</v>
      </c>
      <c r="I1266" s="19" t="s">
        <v>966</v>
      </c>
      <c r="J1266" s="19">
        <v>0</v>
      </c>
      <c r="K1266" s="19" t="s">
        <v>553</v>
      </c>
      <c r="L1266" s="19">
        <v>2023</v>
      </c>
      <c r="M1266" s="20">
        <v>1</v>
      </c>
      <c r="N1266" s="19" t="s">
        <v>1798</v>
      </c>
      <c r="O1266" s="20">
        <v>0</v>
      </c>
      <c r="P1266" s="20">
        <v>0</v>
      </c>
      <c r="Q1266" s="20">
        <v>0</v>
      </c>
      <c r="R1266" s="21">
        <v>0.87</v>
      </c>
      <c r="S1266" s="20">
        <v>0</v>
      </c>
    </row>
    <row r="1267" spans="2:19" ht="15" customHeight="1" x14ac:dyDescent="0.25">
      <c r="B1267" s="2" t="str">
        <f t="shared" si="38"/>
        <v>NSG_Residential_Multi-Family_Partner Trade Ally Rebate_Pipe Insulation_Steam Med Valve_MF</v>
      </c>
      <c r="C1267" s="2" t="str">
        <f t="shared" si="39"/>
        <v>NSG_Residential_Multi-Family_Partner Trade Ally Rebate_Pipe Insulation_Steam Med Valve_MF_2024</v>
      </c>
      <c r="D1267" s="19" t="s">
        <v>1787</v>
      </c>
      <c r="E1267" s="19" t="s">
        <v>2</v>
      </c>
      <c r="F1267" s="19" t="s">
        <v>1422</v>
      </c>
      <c r="G1267" s="19" t="s">
        <v>1799</v>
      </c>
      <c r="H1267" s="19" t="s">
        <v>404</v>
      </c>
      <c r="I1267" s="19" t="s">
        <v>966</v>
      </c>
      <c r="J1267" s="19">
        <v>0</v>
      </c>
      <c r="K1267" s="19" t="s">
        <v>553</v>
      </c>
      <c r="L1267" s="19">
        <v>2024</v>
      </c>
      <c r="M1267" s="20">
        <v>1</v>
      </c>
      <c r="N1267" s="19" t="s">
        <v>1798</v>
      </c>
      <c r="O1267" s="20">
        <v>0</v>
      </c>
      <c r="P1267" s="20">
        <v>0</v>
      </c>
      <c r="Q1267" s="20">
        <v>0</v>
      </c>
      <c r="R1267" s="21">
        <v>0.87</v>
      </c>
      <c r="S1267" s="20">
        <v>0</v>
      </c>
    </row>
    <row r="1268" spans="2:19" ht="15" customHeight="1" x14ac:dyDescent="0.25">
      <c r="B1268" s="2" t="str">
        <f t="shared" si="38"/>
        <v>NSG_Residential_Multi-Family_Partner Trade Ally Rebate_Pipe Insulation_Steam Med Valve_MF</v>
      </c>
      <c r="C1268" s="2" t="str">
        <f t="shared" si="39"/>
        <v>NSG_Residential_Multi-Family_Partner Trade Ally Rebate_Pipe Insulation_Steam Med Valve_MF_2025</v>
      </c>
      <c r="D1268" s="19" t="s">
        <v>1787</v>
      </c>
      <c r="E1268" s="19" t="s">
        <v>2</v>
      </c>
      <c r="F1268" s="19" t="s">
        <v>1422</v>
      </c>
      <c r="G1268" s="19" t="s">
        <v>1799</v>
      </c>
      <c r="H1268" s="19" t="s">
        <v>404</v>
      </c>
      <c r="I1268" s="19" t="s">
        <v>966</v>
      </c>
      <c r="J1268" s="19">
        <v>0</v>
      </c>
      <c r="K1268" s="19" t="s">
        <v>553</v>
      </c>
      <c r="L1268" s="19">
        <v>2025</v>
      </c>
      <c r="M1268" s="20">
        <v>1</v>
      </c>
      <c r="N1268" s="19" t="s">
        <v>1798</v>
      </c>
      <c r="O1268" s="20">
        <v>0</v>
      </c>
      <c r="P1268" s="20">
        <v>0</v>
      </c>
      <c r="Q1268" s="20">
        <v>0</v>
      </c>
      <c r="R1268" s="21">
        <v>0.87</v>
      </c>
      <c r="S1268" s="20">
        <v>0</v>
      </c>
    </row>
    <row r="1269" spans="2:19" ht="15" customHeight="1" x14ac:dyDescent="0.25">
      <c r="B1269" s="2" t="str">
        <f t="shared" si="38"/>
        <v>NSG_Residential_Multi-Family_Partner Trade Ally Rebate_Pipe Insulation_Steam Large Valve_MF</v>
      </c>
      <c r="C1269" s="2" t="str">
        <f t="shared" si="39"/>
        <v>NSG_Residential_Multi-Family_Partner Trade Ally Rebate_Pipe Insulation_Steam Large Valve_MF_2022</v>
      </c>
      <c r="D1269" s="19" t="s">
        <v>1787</v>
      </c>
      <c r="E1269" s="19" t="s">
        <v>2</v>
      </c>
      <c r="F1269" s="19" t="s">
        <v>1422</v>
      </c>
      <c r="G1269" s="19" t="s">
        <v>1799</v>
      </c>
      <c r="H1269" s="19" t="s">
        <v>404</v>
      </c>
      <c r="I1269" s="19" t="s">
        <v>967</v>
      </c>
      <c r="J1269" s="19">
        <v>0</v>
      </c>
      <c r="K1269" s="19" t="s">
        <v>553</v>
      </c>
      <c r="L1269" s="19">
        <v>2022</v>
      </c>
      <c r="M1269" s="20">
        <v>1</v>
      </c>
      <c r="N1269" s="19" t="s">
        <v>1798</v>
      </c>
      <c r="O1269" s="20">
        <v>0</v>
      </c>
      <c r="P1269" s="20">
        <v>0</v>
      </c>
      <c r="Q1269" s="20">
        <v>0</v>
      </c>
      <c r="R1269" s="21">
        <v>0.87</v>
      </c>
      <c r="S1269" s="20">
        <v>0</v>
      </c>
    </row>
    <row r="1270" spans="2:19" ht="15" customHeight="1" x14ac:dyDescent="0.25">
      <c r="B1270" s="2" t="str">
        <f t="shared" si="38"/>
        <v>NSG_Residential_Multi-Family_Partner Trade Ally Rebate_Pipe Insulation_Steam Large Valve_MF</v>
      </c>
      <c r="C1270" s="2" t="str">
        <f t="shared" si="39"/>
        <v>NSG_Residential_Multi-Family_Partner Trade Ally Rebate_Pipe Insulation_Steam Large Valve_MF_2023</v>
      </c>
      <c r="D1270" s="19" t="s">
        <v>1787</v>
      </c>
      <c r="E1270" s="19" t="s">
        <v>2</v>
      </c>
      <c r="F1270" s="19" t="s">
        <v>1422</v>
      </c>
      <c r="G1270" s="19" t="s">
        <v>1799</v>
      </c>
      <c r="H1270" s="19" t="s">
        <v>404</v>
      </c>
      <c r="I1270" s="19" t="s">
        <v>967</v>
      </c>
      <c r="J1270" s="19">
        <v>0</v>
      </c>
      <c r="K1270" s="19" t="s">
        <v>553</v>
      </c>
      <c r="L1270" s="19">
        <v>2023</v>
      </c>
      <c r="M1270" s="20">
        <v>1</v>
      </c>
      <c r="N1270" s="19" t="s">
        <v>1798</v>
      </c>
      <c r="O1270" s="20">
        <v>0</v>
      </c>
      <c r="P1270" s="20">
        <v>0</v>
      </c>
      <c r="Q1270" s="20">
        <v>0</v>
      </c>
      <c r="R1270" s="21">
        <v>0.87</v>
      </c>
      <c r="S1270" s="20">
        <v>0</v>
      </c>
    </row>
    <row r="1271" spans="2:19" ht="15" customHeight="1" x14ac:dyDescent="0.25">
      <c r="B1271" s="2" t="str">
        <f t="shared" si="38"/>
        <v>NSG_Residential_Multi-Family_Partner Trade Ally Rebate_Pipe Insulation_Steam Large Valve_MF</v>
      </c>
      <c r="C1271" s="2" t="str">
        <f t="shared" si="39"/>
        <v>NSG_Residential_Multi-Family_Partner Trade Ally Rebate_Pipe Insulation_Steam Large Valve_MF_2024</v>
      </c>
      <c r="D1271" s="19" t="s">
        <v>1787</v>
      </c>
      <c r="E1271" s="19" t="s">
        <v>2</v>
      </c>
      <c r="F1271" s="19" t="s">
        <v>1422</v>
      </c>
      <c r="G1271" s="19" t="s">
        <v>1799</v>
      </c>
      <c r="H1271" s="19" t="s">
        <v>404</v>
      </c>
      <c r="I1271" s="19" t="s">
        <v>967</v>
      </c>
      <c r="J1271" s="19">
        <v>0</v>
      </c>
      <c r="K1271" s="19" t="s">
        <v>553</v>
      </c>
      <c r="L1271" s="19">
        <v>2024</v>
      </c>
      <c r="M1271" s="20">
        <v>1</v>
      </c>
      <c r="N1271" s="19" t="s">
        <v>1798</v>
      </c>
      <c r="O1271" s="20">
        <v>0</v>
      </c>
      <c r="P1271" s="20">
        <v>0</v>
      </c>
      <c r="Q1271" s="20">
        <v>0</v>
      </c>
      <c r="R1271" s="21">
        <v>0.87</v>
      </c>
      <c r="S1271" s="20">
        <v>0</v>
      </c>
    </row>
    <row r="1272" spans="2:19" ht="15" customHeight="1" x14ac:dyDescent="0.25">
      <c r="B1272" s="2" t="str">
        <f t="shared" si="38"/>
        <v>NSG_Residential_Multi-Family_Partner Trade Ally Rebate_Pipe Insulation_Steam Large Valve_MF</v>
      </c>
      <c r="C1272" s="2" t="str">
        <f t="shared" si="39"/>
        <v>NSG_Residential_Multi-Family_Partner Trade Ally Rebate_Pipe Insulation_Steam Large Valve_MF_2025</v>
      </c>
      <c r="D1272" s="19" t="s">
        <v>1787</v>
      </c>
      <c r="E1272" s="19" t="s">
        <v>2</v>
      </c>
      <c r="F1272" s="19" t="s">
        <v>1422</v>
      </c>
      <c r="G1272" s="19" t="s">
        <v>1799</v>
      </c>
      <c r="H1272" s="19" t="s">
        <v>404</v>
      </c>
      <c r="I1272" s="19" t="s">
        <v>967</v>
      </c>
      <c r="J1272" s="19">
        <v>0</v>
      </c>
      <c r="K1272" s="19" t="s">
        <v>553</v>
      </c>
      <c r="L1272" s="19">
        <v>2025</v>
      </c>
      <c r="M1272" s="20">
        <v>1</v>
      </c>
      <c r="N1272" s="19" t="s">
        <v>1798</v>
      </c>
      <c r="O1272" s="20">
        <v>0</v>
      </c>
      <c r="P1272" s="20">
        <v>0</v>
      </c>
      <c r="Q1272" s="20">
        <v>0</v>
      </c>
      <c r="R1272" s="21">
        <v>0.87</v>
      </c>
      <c r="S1272" s="20">
        <v>0</v>
      </c>
    </row>
    <row r="1273" spans="2:19" ht="15" customHeight="1" x14ac:dyDescent="0.25">
      <c r="B1273" s="2" t="str">
        <f t="shared" si="38"/>
        <v>NSG_Residential_Multi-Family_Partner Trade Ally Rebate_Pipe Insulation_Steam X-Large Valve_MF</v>
      </c>
      <c r="C1273" s="2" t="str">
        <f t="shared" si="39"/>
        <v>NSG_Residential_Multi-Family_Partner Trade Ally Rebate_Pipe Insulation_Steam X-Large Valve_MF_2022</v>
      </c>
      <c r="D1273" s="19" t="s">
        <v>1787</v>
      </c>
      <c r="E1273" s="19" t="s">
        <v>2</v>
      </c>
      <c r="F1273" s="19" t="s">
        <v>1422</v>
      </c>
      <c r="G1273" s="19" t="s">
        <v>1799</v>
      </c>
      <c r="H1273" s="19" t="s">
        <v>404</v>
      </c>
      <c r="I1273" s="19" t="s">
        <v>968</v>
      </c>
      <c r="J1273" s="19">
        <v>0</v>
      </c>
      <c r="K1273" s="19" t="s">
        <v>553</v>
      </c>
      <c r="L1273" s="19">
        <v>2022</v>
      </c>
      <c r="M1273" s="20">
        <v>1</v>
      </c>
      <c r="N1273" s="19" t="s">
        <v>1798</v>
      </c>
      <c r="O1273" s="20">
        <v>0</v>
      </c>
      <c r="P1273" s="20">
        <v>0</v>
      </c>
      <c r="Q1273" s="20">
        <v>0</v>
      </c>
      <c r="R1273" s="21">
        <v>0.87</v>
      </c>
      <c r="S1273" s="20">
        <v>0</v>
      </c>
    </row>
    <row r="1274" spans="2:19" ht="15" customHeight="1" x14ac:dyDescent="0.25">
      <c r="B1274" s="2" t="str">
        <f t="shared" si="38"/>
        <v>NSG_Residential_Multi-Family_Partner Trade Ally Rebate_Pipe Insulation_Steam X-Large Valve_MF</v>
      </c>
      <c r="C1274" s="2" t="str">
        <f t="shared" si="39"/>
        <v>NSG_Residential_Multi-Family_Partner Trade Ally Rebate_Pipe Insulation_Steam X-Large Valve_MF_2023</v>
      </c>
      <c r="D1274" s="19" t="s">
        <v>1787</v>
      </c>
      <c r="E1274" s="19" t="s">
        <v>2</v>
      </c>
      <c r="F1274" s="19" t="s">
        <v>1422</v>
      </c>
      <c r="G1274" s="19" t="s">
        <v>1799</v>
      </c>
      <c r="H1274" s="19" t="s">
        <v>404</v>
      </c>
      <c r="I1274" s="19" t="s">
        <v>968</v>
      </c>
      <c r="J1274" s="19">
        <v>0</v>
      </c>
      <c r="K1274" s="19" t="s">
        <v>553</v>
      </c>
      <c r="L1274" s="19">
        <v>2023</v>
      </c>
      <c r="M1274" s="20">
        <v>1</v>
      </c>
      <c r="N1274" s="19" t="s">
        <v>1798</v>
      </c>
      <c r="O1274" s="20">
        <v>0</v>
      </c>
      <c r="P1274" s="20">
        <v>0</v>
      </c>
      <c r="Q1274" s="20">
        <v>0</v>
      </c>
      <c r="R1274" s="21">
        <v>0.87</v>
      </c>
      <c r="S1274" s="20">
        <v>0</v>
      </c>
    </row>
    <row r="1275" spans="2:19" ht="15" customHeight="1" x14ac:dyDescent="0.25">
      <c r="B1275" s="2" t="str">
        <f t="shared" si="38"/>
        <v>NSG_Residential_Multi-Family_Partner Trade Ally Rebate_Pipe Insulation_Steam X-Large Valve_MF</v>
      </c>
      <c r="C1275" s="2" t="str">
        <f t="shared" si="39"/>
        <v>NSG_Residential_Multi-Family_Partner Trade Ally Rebate_Pipe Insulation_Steam X-Large Valve_MF_2024</v>
      </c>
      <c r="D1275" s="19" t="s">
        <v>1787</v>
      </c>
      <c r="E1275" s="19" t="s">
        <v>2</v>
      </c>
      <c r="F1275" s="19" t="s">
        <v>1422</v>
      </c>
      <c r="G1275" s="19" t="s">
        <v>1799</v>
      </c>
      <c r="H1275" s="19" t="s">
        <v>404</v>
      </c>
      <c r="I1275" s="19" t="s">
        <v>968</v>
      </c>
      <c r="J1275" s="19">
        <v>0</v>
      </c>
      <c r="K1275" s="19" t="s">
        <v>553</v>
      </c>
      <c r="L1275" s="19">
        <v>2024</v>
      </c>
      <c r="M1275" s="20">
        <v>1</v>
      </c>
      <c r="N1275" s="19" t="s">
        <v>1798</v>
      </c>
      <c r="O1275" s="20">
        <v>0</v>
      </c>
      <c r="P1275" s="20">
        <v>0</v>
      </c>
      <c r="Q1275" s="20">
        <v>0</v>
      </c>
      <c r="R1275" s="21">
        <v>0.87</v>
      </c>
      <c r="S1275" s="20">
        <v>0</v>
      </c>
    </row>
    <row r="1276" spans="2:19" ht="15" customHeight="1" x14ac:dyDescent="0.25">
      <c r="B1276" s="2" t="str">
        <f t="shared" si="38"/>
        <v>NSG_Residential_Multi-Family_Partner Trade Ally Rebate_Pipe Insulation_Steam X-Large Valve_MF</v>
      </c>
      <c r="C1276" s="2" t="str">
        <f t="shared" si="39"/>
        <v>NSG_Residential_Multi-Family_Partner Trade Ally Rebate_Pipe Insulation_Steam X-Large Valve_MF_2025</v>
      </c>
      <c r="D1276" s="19" t="s">
        <v>1787</v>
      </c>
      <c r="E1276" s="19" t="s">
        <v>2</v>
      </c>
      <c r="F1276" s="19" t="s">
        <v>1422</v>
      </c>
      <c r="G1276" s="19" t="s">
        <v>1799</v>
      </c>
      <c r="H1276" s="19" t="s">
        <v>404</v>
      </c>
      <c r="I1276" s="19" t="s">
        <v>968</v>
      </c>
      <c r="J1276" s="19">
        <v>0</v>
      </c>
      <c r="K1276" s="19" t="s">
        <v>553</v>
      </c>
      <c r="L1276" s="19">
        <v>2025</v>
      </c>
      <c r="M1276" s="20">
        <v>1</v>
      </c>
      <c r="N1276" s="19" t="s">
        <v>1798</v>
      </c>
      <c r="O1276" s="20">
        <v>0</v>
      </c>
      <c r="P1276" s="20">
        <v>0</v>
      </c>
      <c r="Q1276" s="20">
        <v>0</v>
      </c>
      <c r="R1276" s="21">
        <v>0.87</v>
      </c>
      <c r="S1276" s="20">
        <v>0</v>
      </c>
    </row>
    <row r="1277" spans="2:19" ht="15" customHeight="1" x14ac:dyDescent="0.25">
      <c r="B1277" s="2" t="str">
        <f t="shared" si="38"/>
        <v>NSG_Residential_Multi-Family_Partner Trade Ally Rebate_Steam Boiler_ &gt;=1500MBH, &gt;=82% TE_MF</v>
      </c>
      <c r="C1277" s="2" t="str">
        <f t="shared" si="39"/>
        <v>NSG_Residential_Multi-Family_Partner Trade Ally Rebate_Steam Boiler_ &gt;=1500MBH, &gt;=82% TE_MF_2022</v>
      </c>
      <c r="D1277" s="19" t="s">
        <v>1787</v>
      </c>
      <c r="E1277" s="19" t="s">
        <v>2</v>
      </c>
      <c r="F1277" s="19" t="s">
        <v>1422</v>
      </c>
      <c r="G1277" s="19" t="s">
        <v>1799</v>
      </c>
      <c r="H1277" s="19" t="s">
        <v>938</v>
      </c>
      <c r="I1277" s="19" t="s">
        <v>939</v>
      </c>
      <c r="J1277" s="19" t="s">
        <v>942</v>
      </c>
      <c r="K1277" s="19" t="s">
        <v>553</v>
      </c>
      <c r="L1277" s="19">
        <v>2022</v>
      </c>
      <c r="M1277" s="20">
        <v>1500</v>
      </c>
      <c r="N1277" s="19" t="s">
        <v>667</v>
      </c>
      <c r="O1277" s="20">
        <v>2</v>
      </c>
      <c r="P1277" s="20">
        <v>3000</v>
      </c>
      <c r="Q1277" s="20">
        <v>2223.1846153846109</v>
      </c>
      <c r="R1277" s="21">
        <v>0.87</v>
      </c>
      <c r="S1277" s="20">
        <v>2223.1846153846109</v>
      </c>
    </row>
    <row r="1278" spans="2:19" ht="15" customHeight="1" x14ac:dyDescent="0.25">
      <c r="B1278" s="2" t="str">
        <f t="shared" si="38"/>
        <v>NSG_Residential_Multi-Family_Partner Trade Ally Rebate_Steam Boiler_ &gt;=1500MBH, &gt;=82% TE_MF</v>
      </c>
      <c r="C1278" s="2" t="str">
        <f t="shared" si="39"/>
        <v>NSG_Residential_Multi-Family_Partner Trade Ally Rebate_Steam Boiler_ &gt;=1500MBH, &gt;=82% TE_MF_2023</v>
      </c>
      <c r="D1278" s="19" t="s">
        <v>1787</v>
      </c>
      <c r="E1278" s="19" t="s">
        <v>2</v>
      </c>
      <c r="F1278" s="19" t="s">
        <v>1422</v>
      </c>
      <c r="G1278" s="19" t="s">
        <v>1799</v>
      </c>
      <c r="H1278" s="19" t="s">
        <v>938</v>
      </c>
      <c r="I1278" s="19" t="s">
        <v>939</v>
      </c>
      <c r="J1278" s="19" t="s">
        <v>942</v>
      </c>
      <c r="K1278" s="19" t="s">
        <v>553</v>
      </c>
      <c r="L1278" s="19">
        <v>2023</v>
      </c>
      <c r="M1278" s="20">
        <v>1500</v>
      </c>
      <c r="N1278" s="19" t="s">
        <v>667</v>
      </c>
      <c r="O1278" s="20">
        <v>2</v>
      </c>
      <c r="P1278" s="20">
        <v>3000</v>
      </c>
      <c r="Q1278" s="20">
        <v>2223.1846153846109</v>
      </c>
      <c r="R1278" s="21">
        <v>0.87</v>
      </c>
      <c r="S1278" s="20">
        <v>2223.1846153846109</v>
      </c>
    </row>
    <row r="1279" spans="2:19" ht="15" customHeight="1" x14ac:dyDescent="0.25">
      <c r="B1279" s="2" t="str">
        <f t="shared" si="38"/>
        <v>NSG_Residential_Multi-Family_Partner Trade Ally Rebate_Steam Boiler_ &gt;=1500MBH, &gt;=82% TE_MF</v>
      </c>
      <c r="C1279" s="2" t="str">
        <f t="shared" si="39"/>
        <v>NSG_Residential_Multi-Family_Partner Trade Ally Rebate_Steam Boiler_ &gt;=1500MBH, &gt;=82% TE_MF_2024</v>
      </c>
      <c r="D1279" s="19" t="s">
        <v>1787</v>
      </c>
      <c r="E1279" s="19" t="s">
        <v>2</v>
      </c>
      <c r="F1279" s="19" t="s">
        <v>1422</v>
      </c>
      <c r="G1279" s="19" t="s">
        <v>1799</v>
      </c>
      <c r="H1279" s="19" t="s">
        <v>938</v>
      </c>
      <c r="I1279" s="19" t="s">
        <v>939</v>
      </c>
      <c r="J1279" s="19" t="s">
        <v>942</v>
      </c>
      <c r="K1279" s="19" t="s">
        <v>553</v>
      </c>
      <c r="L1279" s="19">
        <v>2024</v>
      </c>
      <c r="M1279" s="20">
        <v>1500</v>
      </c>
      <c r="N1279" s="19" t="s">
        <v>667</v>
      </c>
      <c r="O1279" s="20">
        <v>2</v>
      </c>
      <c r="P1279" s="20">
        <v>3000</v>
      </c>
      <c r="Q1279" s="20">
        <v>2223.1846153846109</v>
      </c>
      <c r="R1279" s="21">
        <v>0.87</v>
      </c>
      <c r="S1279" s="20">
        <v>2223.1846153846109</v>
      </c>
    </row>
    <row r="1280" spans="2:19" ht="15" customHeight="1" x14ac:dyDescent="0.25">
      <c r="B1280" s="2" t="str">
        <f t="shared" si="38"/>
        <v>NSG_Residential_Multi-Family_Partner Trade Ally Rebate_Steam Boiler_ &gt;=1500MBH, &gt;=82% TE_MF</v>
      </c>
      <c r="C1280" s="2" t="str">
        <f t="shared" si="39"/>
        <v>NSG_Residential_Multi-Family_Partner Trade Ally Rebate_Steam Boiler_ &gt;=1500MBH, &gt;=82% TE_MF_2025</v>
      </c>
      <c r="D1280" s="19" t="s">
        <v>1787</v>
      </c>
      <c r="E1280" s="19" t="s">
        <v>2</v>
      </c>
      <c r="F1280" s="19" t="s">
        <v>1422</v>
      </c>
      <c r="G1280" s="19" t="s">
        <v>1799</v>
      </c>
      <c r="H1280" s="19" t="s">
        <v>938</v>
      </c>
      <c r="I1280" s="19" t="s">
        <v>939</v>
      </c>
      <c r="J1280" s="19" t="s">
        <v>942</v>
      </c>
      <c r="K1280" s="19" t="s">
        <v>553</v>
      </c>
      <c r="L1280" s="19">
        <v>2025</v>
      </c>
      <c r="M1280" s="20">
        <v>1500</v>
      </c>
      <c r="N1280" s="19" t="s">
        <v>667</v>
      </c>
      <c r="O1280" s="20">
        <v>2</v>
      </c>
      <c r="P1280" s="20">
        <v>3000</v>
      </c>
      <c r="Q1280" s="20">
        <v>2223.1846153846109</v>
      </c>
      <c r="R1280" s="21">
        <v>0.87</v>
      </c>
      <c r="S1280" s="20">
        <v>2223.1846153846109</v>
      </c>
    </row>
    <row r="1281" spans="2:19" ht="15" customHeight="1" x14ac:dyDescent="0.25">
      <c r="B1281" s="2" t="str">
        <f t="shared" si="38"/>
        <v>NSG_Residential_Multi-Family_Partner Trade Ally Rebate_Steam Boiler_&gt;=300MBH, &lt;1,500, &gt;=81% AFUE_MF</v>
      </c>
      <c r="C1281" s="2" t="str">
        <f t="shared" si="39"/>
        <v>NSG_Residential_Multi-Family_Partner Trade Ally Rebate_Steam Boiler_&gt;=300MBH, &lt;1,500, &gt;=81% AFUE_MF_2022</v>
      </c>
      <c r="D1281" s="19" t="s">
        <v>1787</v>
      </c>
      <c r="E1281" s="19" t="s">
        <v>2</v>
      </c>
      <c r="F1281" s="19" t="s">
        <v>1422</v>
      </c>
      <c r="G1281" s="19" t="s">
        <v>1799</v>
      </c>
      <c r="H1281" s="19" t="s">
        <v>938</v>
      </c>
      <c r="I1281" s="19" t="s">
        <v>1300</v>
      </c>
      <c r="J1281" s="19" t="s">
        <v>942</v>
      </c>
      <c r="K1281" s="19" t="s">
        <v>553</v>
      </c>
      <c r="L1281" s="19">
        <v>2022</v>
      </c>
      <c r="M1281" s="20">
        <v>500</v>
      </c>
      <c r="N1281" s="19" t="s">
        <v>667</v>
      </c>
      <c r="O1281" s="20">
        <v>1</v>
      </c>
      <c r="P1281" s="20">
        <v>500</v>
      </c>
      <c r="Q1281" s="20">
        <v>277.8980769230771</v>
      </c>
      <c r="R1281" s="21">
        <v>0.87</v>
      </c>
      <c r="S1281" s="20">
        <v>277.8980769230771</v>
      </c>
    </row>
    <row r="1282" spans="2:19" ht="15" customHeight="1" x14ac:dyDescent="0.25">
      <c r="B1282" s="2" t="str">
        <f t="shared" si="38"/>
        <v>NSG_Residential_Multi-Family_Partner Trade Ally Rebate_Steam Boiler_&gt;=300MBH, &lt;1,500, &gt;=81% AFUE_MF</v>
      </c>
      <c r="C1282" s="2" t="str">
        <f t="shared" si="39"/>
        <v>NSG_Residential_Multi-Family_Partner Trade Ally Rebate_Steam Boiler_&gt;=300MBH, &lt;1,500, &gt;=81% AFUE_MF_2023</v>
      </c>
      <c r="D1282" s="19" t="s">
        <v>1787</v>
      </c>
      <c r="E1282" s="19" t="s">
        <v>2</v>
      </c>
      <c r="F1282" s="19" t="s">
        <v>1422</v>
      </c>
      <c r="G1282" s="19" t="s">
        <v>1799</v>
      </c>
      <c r="H1282" s="19" t="s">
        <v>938</v>
      </c>
      <c r="I1282" s="19" t="s">
        <v>1300</v>
      </c>
      <c r="J1282" s="19" t="s">
        <v>942</v>
      </c>
      <c r="K1282" s="19" t="s">
        <v>553</v>
      </c>
      <c r="L1282" s="19">
        <v>2023</v>
      </c>
      <c r="M1282" s="20">
        <v>500</v>
      </c>
      <c r="N1282" s="19" t="s">
        <v>667</v>
      </c>
      <c r="O1282" s="20">
        <v>1</v>
      </c>
      <c r="P1282" s="20">
        <v>500</v>
      </c>
      <c r="Q1282" s="20">
        <v>277.8980769230771</v>
      </c>
      <c r="R1282" s="21">
        <v>0.87</v>
      </c>
      <c r="S1282" s="20">
        <v>277.8980769230771</v>
      </c>
    </row>
    <row r="1283" spans="2:19" ht="15" customHeight="1" x14ac:dyDescent="0.25">
      <c r="B1283" s="2" t="str">
        <f t="shared" si="38"/>
        <v>NSG_Residential_Multi-Family_Partner Trade Ally Rebate_Steam Boiler_&gt;=300MBH, &lt;1,500, &gt;=81% AFUE_MF</v>
      </c>
      <c r="C1283" s="2" t="str">
        <f t="shared" si="39"/>
        <v>NSG_Residential_Multi-Family_Partner Trade Ally Rebate_Steam Boiler_&gt;=300MBH, &lt;1,500, &gt;=81% AFUE_MF_2024</v>
      </c>
      <c r="D1283" s="19" t="s">
        <v>1787</v>
      </c>
      <c r="E1283" s="19" t="s">
        <v>2</v>
      </c>
      <c r="F1283" s="19" t="s">
        <v>1422</v>
      </c>
      <c r="G1283" s="19" t="s">
        <v>1799</v>
      </c>
      <c r="H1283" s="19" t="s">
        <v>938</v>
      </c>
      <c r="I1283" s="19" t="s">
        <v>1300</v>
      </c>
      <c r="J1283" s="19" t="s">
        <v>942</v>
      </c>
      <c r="K1283" s="19" t="s">
        <v>553</v>
      </c>
      <c r="L1283" s="19">
        <v>2024</v>
      </c>
      <c r="M1283" s="20">
        <v>500</v>
      </c>
      <c r="N1283" s="19" t="s">
        <v>667</v>
      </c>
      <c r="O1283" s="20">
        <v>1</v>
      </c>
      <c r="P1283" s="20">
        <v>500</v>
      </c>
      <c r="Q1283" s="20">
        <v>277.8980769230771</v>
      </c>
      <c r="R1283" s="21">
        <v>0.87</v>
      </c>
      <c r="S1283" s="20">
        <v>277.8980769230771</v>
      </c>
    </row>
    <row r="1284" spans="2:19" ht="15" customHeight="1" x14ac:dyDescent="0.25">
      <c r="B1284" s="2" t="str">
        <f t="shared" si="38"/>
        <v>NSG_Residential_Multi-Family_Partner Trade Ally Rebate_Steam Boiler_&gt;=300MBH, &lt;1,500, &gt;=81% AFUE_MF</v>
      </c>
      <c r="C1284" s="2" t="str">
        <f t="shared" si="39"/>
        <v>NSG_Residential_Multi-Family_Partner Trade Ally Rebate_Steam Boiler_&gt;=300MBH, &lt;1,500, &gt;=81% AFUE_MF_2025</v>
      </c>
      <c r="D1284" s="19" t="s">
        <v>1787</v>
      </c>
      <c r="E1284" s="19" t="s">
        <v>2</v>
      </c>
      <c r="F1284" s="19" t="s">
        <v>1422</v>
      </c>
      <c r="G1284" s="19" t="s">
        <v>1799</v>
      </c>
      <c r="H1284" s="19" t="s">
        <v>938</v>
      </c>
      <c r="I1284" s="19" t="s">
        <v>1300</v>
      </c>
      <c r="J1284" s="19" t="s">
        <v>942</v>
      </c>
      <c r="K1284" s="19" t="s">
        <v>553</v>
      </c>
      <c r="L1284" s="19">
        <v>2025</v>
      </c>
      <c r="M1284" s="20">
        <v>500</v>
      </c>
      <c r="N1284" s="19" t="s">
        <v>667</v>
      </c>
      <c r="O1284" s="20">
        <v>1</v>
      </c>
      <c r="P1284" s="20">
        <v>500</v>
      </c>
      <c r="Q1284" s="20">
        <v>277.8980769230771</v>
      </c>
      <c r="R1284" s="21">
        <v>0.87</v>
      </c>
      <c r="S1284" s="20">
        <v>277.8980769230771</v>
      </c>
    </row>
    <row r="1285" spans="2:19" ht="15" customHeight="1" x14ac:dyDescent="0.25">
      <c r="B1285" s="2" t="str">
        <f t="shared" si="38"/>
        <v>NSG_Residential_Multi-Family_Partner Trade Ally Rebate_Steam Boiler Averaging Controls_0_MF</v>
      </c>
      <c r="C1285" s="2" t="str">
        <f t="shared" si="39"/>
        <v>NSG_Residential_Multi-Family_Partner Trade Ally Rebate_Steam Boiler Averaging Controls_0_MF_2022</v>
      </c>
      <c r="D1285" s="19" t="s">
        <v>1787</v>
      </c>
      <c r="E1285" s="19" t="s">
        <v>2</v>
      </c>
      <c r="F1285" s="19" t="s">
        <v>1422</v>
      </c>
      <c r="G1285" s="19" t="s">
        <v>1799</v>
      </c>
      <c r="H1285" s="19" t="s">
        <v>934</v>
      </c>
      <c r="I1285" s="19">
        <v>0</v>
      </c>
      <c r="J1285" s="19" t="s">
        <v>937</v>
      </c>
      <c r="K1285" s="19" t="s">
        <v>553</v>
      </c>
      <c r="L1285" s="19">
        <v>2022</v>
      </c>
      <c r="M1285" s="20">
        <v>1</v>
      </c>
      <c r="N1285" s="19" t="s">
        <v>1798</v>
      </c>
      <c r="O1285" s="20">
        <v>0</v>
      </c>
      <c r="P1285" s="20">
        <v>0</v>
      </c>
      <c r="Q1285" s="20">
        <v>0</v>
      </c>
      <c r="R1285" s="21">
        <v>0.87</v>
      </c>
      <c r="S1285" s="20">
        <v>0</v>
      </c>
    </row>
    <row r="1286" spans="2:19" ht="15" customHeight="1" x14ac:dyDescent="0.25">
      <c r="B1286" s="2" t="str">
        <f t="shared" ref="B1286:B1349" si="40">D1286&amp;"_"&amp;E1286&amp;"_"&amp;F1286&amp;"_"&amp;G1286&amp;"_"&amp;H1286&amp;"_"&amp;I1286&amp;"_"&amp;K1286</f>
        <v>NSG_Residential_Multi-Family_Partner Trade Ally Rebate_Steam Boiler Averaging Controls_0_MF</v>
      </c>
      <c r="C1286" s="2" t="str">
        <f t="shared" ref="C1286:C1349" si="41">D1286&amp;"_"&amp;E1286&amp;"_"&amp;F1286&amp;"_"&amp;G1286&amp;"_"&amp;H1286&amp;"_"&amp;I1286&amp;"_"&amp;K1286&amp;"_"&amp;L1286</f>
        <v>NSG_Residential_Multi-Family_Partner Trade Ally Rebate_Steam Boiler Averaging Controls_0_MF_2023</v>
      </c>
      <c r="D1286" s="19" t="s">
        <v>1787</v>
      </c>
      <c r="E1286" s="19" t="s">
        <v>2</v>
      </c>
      <c r="F1286" s="19" t="s">
        <v>1422</v>
      </c>
      <c r="G1286" s="19" t="s">
        <v>1799</v>
      </c>
      <c r="H1286" s="19" t="s">
        <v>934</v>
      </c>
      <c r="I1286" s="19">
        <v>0</v>
      </c>
      <c r="J1286" s="19" t="s">
        <v>937</v>
      </c>
      <c r="K1286" s="19" t="s">
        <v>553</v>
      </c>
      <c r="L1286" s="19">
        <v>2023</v>
      </c>
      <c r="M1286" s="20">
        <v>1</v>
      </c>
      <c r="N1286" s="19" t="s">
        <v>1798</v>
      </c>
      <c r="O1286" s="20">
        <v>0</v>
      </c>
      <c r="P1286" s="20">
        <v>0</v>
      </c>
      <c r="Q1286" s="20">
        <v>0</v>
      </c>
      <c r="R1286" s="21">
        <v>0.87</v>
      </c>
      <c r="S1286" s="20">
        <v>0</v>
      </c>
    </row>
    <row r="1287" spans="2:19" ht="15" customHeight="1" x14ac:dyDescent="0.25">
      <c r="B1287" s="2" t="str">
        <f t="shared" si="40"/>
        <v>NSG_Residential_Multi-Family_Partner Trade Ally Rebate_Steam Boiler Averaging Controls_0_MF</v>
      </c>
      <c r="C1287" s="2" t="str">
        <f t="shared" si="41"/>
        <v>NSG_Residential_Multi-Family_Partner Trade Ally Rebate_Steam Boiler Averaging Controls_0_MF_2024</v>
      </c>
      <c r="D1287" s="19" t="s">
        <v>1787</v>
      </c>
      <c r="E1287" s="19" t="s">
        <v>2</v>
      </c>
      <c r="F1287" s="19" t="s">
        <v>1422</v>
      </c>
      <c r="G1287" s="19" t="s">
        <v>1799</v>
      </c>
      <c r="H1287" s="19" t="s">
        <v>934</v>
      </c>
      <c r="I1287" s="19">
        <v>0</v>
      </c>
      <c r="J1287" s="19" t="s">
        <v>937</v>
      </c>
      <c r="K1287" s="19" t="s">
        <v>553</v>
      </c>
      <c r="L1287" s="19">
        <v>2024</v>
      </c>
      <c r="M1287" s="20">
        <v>1</v>
      </c>
      <c r="N1287" s="19" t="s">
        <v>1798</v>
      </c>
      <c r="O1287" s="20">
        <v>0</v>
      </c>
      <c r="P1287" s="20">
        <v>0</v>
      </c>
      <c r="Q1287" s="20">
        <v>0</v>
      </c>
      <c r="R1287" s="21">
        <v>0.87</v>
      </c>
      <c r="S1287" s="20">
        <v>0</v>
      </c>
    </row>
    <row r="1288" spans="2:19" ht="15" customHeight="1" x14ac:dyDescent="0.25">
      <c r="B1288" s="2" t="str">
        <f t="shared" si="40"/>
        <v>NSG_Residential_Multi-Family_Partner Trade Ally Rebate_Steam Boiler Averaging Controls_0_MF</v>
      </c>
      <c r="C1288" s="2" t="str">
        <f t="shared" si="41"/>
        <v>NSG_Residential_Multi-Family_Partner Trade Ally Rebate_Steam Boiler Averaging Controls_0_MF_2025</v>
      </c>
      <c r="D1288" s="19" t="s">
        <v>1787</v>
      </c>
      <c r="E1288" s="19" t="s">
        <v>2</v>
      </c>
      <c r="F1288" s="19" t="s">
        <v>1422</v>
      </c>
      <c r="G1288" s="19" t="s">
        <v>1799</v>
      </c>
      <c r="H1288" s="19" t="s">
        <v>934</v>
      </c>
      <c r="I1288" s="19">
        <v>0</v>
      </c>
      <c r="J1288" s="19" t="s">
        <v>937</v>
      </c>
      <c r="K1288" s="19" t="s">
        <v>553</v>
      </c>
      <c r="L1288" s="19">
        <v>2025</v>
      </c>
      <c r="M1288" s="20">
        <v>1</v>
      </c>
      <c r="N1288" s="19" t="s">
        <v>1798</v>
      </c>
      <c r="O1288" s="20">
        <v>0</v>
      </c>
      <c r="P1288" s="20">
        <v>0</v>
      </c>
      <c r="Q1288" s="20">
        <v>0</v>
      </c>
      <c r="R1288" s="21">
        <v>0.87</v>
      </c>
      <c r="S1288" s="20">
        <v>0</v>
      </c>
    </row>
    <row r="1289" spans="2:19" ht="15" customHeight="1" x14ac:dyDescent="0.25">
      <c r="B1289" s="2" t="str">
        <f t="shared" si="40"/>
        <v>NSG_Residential_Multi-Family_Partner Trade Ally Rebate_Steam Traps_HVAC Repair/Rep - Audit_MF</v>
      </c>
      <c r="C1289" s="2" t="str">
        <f t="shared" si="41"/>
        <v>NSG_Residential_Multi-Family_Partner Trade Ally Rebate_Steam Traps_HVAC Repair/Rep - Audit_MF_2022</v>
      </c>
      <c r="D1289" s="19" t="s">
        <v>1787</v>
      </c>
      <c r="E1289" s="19" t="s">
        <v>2</v>
      </c>
      <c r="F1289" s="19" t="s">
        <v>1422</v>
      </c>
      <c r="G1289" s="19" t="s">
        <v>1799</v>
      </c>
      <c r="H1289" s="19" t="s">
        <v>644</v>
      </c>
      <c r="I1289" s="19" t="s">
        <v>645</v>
      </c>
      <c r="J1289" s="19" t="s">
        <v>37</v>
      </c>
      <c r="K1289" s="19" t="s">
        <v>553</v>
      </c>
      <c r="L1289" s="19">
        <v>2022</v>
      </c>
      <c r="M1289" s="20">
        <v>1</v>
      </c>
      <c r="N1289" s="19" t="s">
        <v>1798</v>
      </c>
      <c r="O1289" s="20">
        <v>3</v>
      </c>
      <c r="P1289" s="20">
        <v>3</v>
      </c>
      <c r="Q1289" s="20">
        <v>412.93421961887299</v>
      </c>
      <c r="R1289" s="21">
        <v>0.87</v>
      </c>
      <c r="S1289" s="20">
        <v>412.93421961887299</v>
      </c>
    </row>
    <row r="1290" spans="2:19" ht="15" customHeight="1" x14ac:dyDescent="0.25">
      <c r="B1290" s="2" t="str">
        <f t="shared" si="40"/>
        <v>NSG_Residential_Multi-Family_Partner Trade Ally Rebate_Steam Traps_HVAC Repair/Rep - Audit_MF</v>
      </c>
      <c r="C1290" s="2" t="str">
        <f t="shared" si="41"/>
        <v>NSG_Residential_Multi-Family_Partner Trade Ally Rebate_Steam Traps_HVAC Repair/Rep - Audit_MF_2023</v>
      </c>
      <c r="D1290" s="19" t="s">
        <v>1787</v>
      </c>
      <c r="E1290" s="19" t="s">
        <v>2</v>
      </c>
      <c r="F1290" s="19" t="s">
        <v>1422</v>
      </c>
      <c r="G1290" s="19" t="s">
        <v>1799</v>
      </c>
      <c r="H1290" s="19" t="s">
        <v>644</v>
      </c>
      <c r="I1290" s="19" t="s">
        <v>645</v>
      </c>
      <c r="J1290" s="19" t="s">
        <v>37</v>
      </c>
      <c r="K1290" s="19" t="s">
        <v>553</v>
      </c>
      <c r="L1290" s="19">
        <v>2023</v>
      </c>
      <c r="M1290" s="20">
        <v>1</v>
      </c>
      <c r="N1290" s="19" t="s">
        <v>1798</v>
      </c>
      <c r="O1290" s="20">
        <v>3</v>
      </c>
      <c r="P1290" s="20">
        <v>3</v>
      </c>
      <c r="Q1290" s="20">
        <v>412.93421961887299</v>
      </c>
      <c r="R1290" s="21">
        <v>0.87</v>
      </c>
      <c r="S1290" s="20">
        <v>412.93421961887299</v>
      </c>
    </row>
    <row r="1291" spans="2:19" ht="15" customHeight="1" x14ac:dyDescent="0.25">
      <c r="B1291" s="2" t="str">
        <f t="shared" si="40"/>
        <v>NSG_Residential_Multi-Family_Partner Trade Ally Rebate_Steam Traps_HVAC Repair/Rep - Audit_MF</v>
      </c>
      <c r="C1291" s="2" t="str">
        <f t="shared" si="41"/>
        <v>NSG_Residential_Multi-Family_Partner Trade Ally Rebate_Steam Traps_HVAC Repair/Rep - Audit_MF_2024</v>
      </c>
      <c r="D1291" s="19" t="s">
        <v>1787</v>
      </c>
      <c r="E1291" s="19" t="s">
        <v>2</v>
      </c>
      <c r="F1291" s="19" t="s">
        <v>1422</v>
      </c>
      <c r="G1291" s="19" t="s">
        <v>1799</v>
      </c>
      <c r="H1291" s="19" t="s">
        <v>644</v>
      </c>
      <c r="I1291" s="19" t="s">
        <v>645</v>
      </c>
      <c r="J1291" s="19" t="s">
        <v>37</v>
      </c>
      <c r="K1291" s="19" t="s">
        <v>553</v>
      </c>
      <c r="L1291" s="19">
        <v>2024</v>
      </c>
      <c r="M1291" s="20">
        <v>1</v>
      </c>
      <c r="N1291" s="19" t="s">
        <v>1798</v>
      </c>
      <c r="O1291" s="20">
        <v>3</v>
      </c>
      <c r="P1291" s="20">
        <v>3</v>
      </c>
      <c r="Q1291" s="20">
        <v>412.93421961887299</v>
      </c>
      <c r="R1291" s="21">
        <v>0.87</v>
      </c>
      <c r="S1291" s="20">
        <v>412.93421961887299</v>
      </c>
    </row>
    <row r="1292" spans="2:19" ht="15" customHeight="1" x14ac:dyDescent="0.25">
      <c r="B1292" s="2" t="str">
        <f t="shared" si="40"/>
        <v>NSG_Residential_Multi-Family_Partner Trade Ally Rebate_Steam Traps_HVAC Repair/Rep - Audit_MF</v>
      </c>
      <c r="C1292" s="2" t="str">
        <f t="shared" si="41"/>
        <v>NSG_Residential_Multi-Family_Partner Trade Ally Rebate_Steam Traps_HVAC Repair/Rep - Audit_MF_2025</v>
      </c>
      <c r="D1292" s="19" t="s">
        <v>1787</v>
      </c>
      <c r="E1292" s="19" t="s">
        <v>2</v>
      </c>
      <c r="F1292" s="19" t="s">
        <v>1422</v>
      </c>
      <c r="G1292" s="19" t="s">
        <v>1799</v>
      </c>
      <c r="H1292" s="19" t="s">
        <v>644</v>
      </c>
      <c r="I1292" s="19" t="s">
        <v>645</v>
      </c>
      <c r="J1292" s="19" t="s">
        <v>37</v>
      </c>
      <c r="K1292" s="19" t="s">
        <v>553</v>
      </c>
      <c r="L1292" s="19">
        <v>2025</v>
      </c>
      <c r="M1292" s="20">
        <v>1</v>
      </c>
      <c r="N1292" s="19" t="s">
        <v>1798</v>
      </c>
      <c r="O1292" s="20">
        <v>3</v>
      </c>
      <c r="P1292" s="20">
        <v>3</v>
      </c>
      <c r="Q1292" s="20">
        <v>412.93421961887299</v>
      </c>
      <c r="R1292" s="21">
        <v>0.87</v>
      </c>
      <c r="S1292" s="20">
        <v>412.93421961887299</v>
      </c>
    </row>
    <row r="1293" spans="2:19" ht="15" customHeight="1" x14ac:dyDescent="0.25">
      <c r="B1293" s="2" t="str">
        <f t="shared" si="40"/>
        <v>NSG_Residential_Multi-Family_Partner Trade Ally Rebate_Steam Traps_HVAC Repair/Rep - No Audit_MF</v>
      </c>
      <c r="C1293" s="2" t="str">
        <f t="shared" si="41"/>
        <v>NSG_Residential_Multi-Family_Partner Trade Ally Rebate_Steam Traps_HVAC Repair/Rep - No Audit_MF_2022</v>
      </c>
      <c r="D1293" s="19" t="s">
        <v>1787</v>
      </c>
      <c r="E1293" s="19" t="s">
        <v>2</v>
      </c>
      <c r="F1293" s="19" t="s">
        <v>1422</v>
      </c>
      <c r="G1293" s="19" t="s">
        <v>1799</v>
      </c>
      <c r="H1293" s="19" t="s">
        <v>644</v>
      </c>
      <c r="I1293" s="19" t="s">
        <v>660</v>
      </c>
      <c r="J1293" s="19" t="s">
        <v>37</v>
      </c>
      <c r="K1293" s="19" t="s">
        <v>553</v>
      </c>
      <c r="L1293" s="19">
        <v>2022</v>
      </c>
      <c r="M1293" s="20">
        <v>1</v>
      </c>
      <c r="N1293" s="19" t="s">
        <v>1798</v>
      </c>
      <c r="O1293" s="20">
        <v>8</v>
      </c>
      <c r="P1293" s="20">
        <v>8</v>
      </c>
      <c r="Q1293" s="20">
        <v>297.31263812558859</v>
      </c>
      <c r="R1293" s="21">
        <v>0.87</v>
      </c>
      <c r="S1293" s="20">
        <v>297.31263812558859</v>
      </c>
    </row>
    <row r="1294" spans="2:19" ht="15" customHeight="1" x14ac:dyDescent="0.25">
      <c r="B1294" s="2" t="str">
        <f t="shared" si="40"/>
        <v>NSG_Residential_Multi-Family_Partner Trade Ally Rebate_Steam Traps_HVAC Repair/Rep - No Audit_MF</v>
      </c>
      <c r="C1294" s="2" t="str">
        <f t="shared" si="41"/>
        <v>NSG_Residential_Multi-Family_Partner Trade Ally Rebate_Steam Traps_HVAC Repair/Rep - No Audit_MF_2023</v>
      </c>
      <c r="D1294" s="19" t="s">
        <v>1787</v>
      </c>
      <c r="E1294" s="19" t="s">
        <v>2</v>
      </c>
      <c r="F1294" s="19" t="s">
        <v>1422</v>
      </c>
      <c r="G1294" s="19" t="s">
        <v>1799</v>
      </c>
      <c r="H1294" s="19" t="s">
        <v>644</v>
      </c>
      <c r="I1294" s="19" t="s">
        <v>660</v>
      </c>
      <c r="J1294" s="19" t="s">
        <v>37</v>
      </c>
      <c r="K1294" s="19" t="s">
        <v>553</v>
      </c>
      <c r="L1294" s="19">
        <v>2023</v>
      </c>
      <c r="M1294" s="20">
        <v>1</v>
      </c>
      <c r="N1294" s="19" t="s">
        <v>1798</v>
      </c>
      <c r="O1294" s="20">
        <v>8</v>
      </c>
      <c r="P1294" s="20">
        <v>8</v>
      </c>
      <c r="Q1294" s="20">
        <v>297.31263812558859</v>
      </c>
      <c r="R1294" s="21">
        <v>0.87</v>
      </c>
      <c r="S1294" s="20">
        <v>297.31263812558859</v>
      </c>
    </row>
    <row r="1295" spans="2:19" ht="15" customHeight="1" x14ac:dyDescent="0.25">
      <c r="B1295" s="2" t="str">
        <f t="shared" si="40"/>
        <v>NSG_Residential_Multi-Family_Partner Trade Ally Rebate_Steam Traps_HVAC Repair/Rep - No Audit_MF</v>
      </c>
      <c r="C1295" s="2" t="str">
        <f t="shared" si="41"/>
        <v>NSG_Residential_Multi-Family_Partner Trade Ally Rebate_Steam Traps_HVAC Repair/Rep - No Audit_MF_2024</v>
      </c>
      <c r="D1295" s="19" t="s">
        <v>1787</v>
      </c>
      <c r="E1295" s="19" t="s">
        <v>2</v>
      </c>
      <c r="F1295" s="19" t="s">
        <v>1422</v>
      </c>
      <c r="G1295" s="19" t="s">
        <v>1799</v>
      </c>
      <c r="H1295" s="19" t="s">
        <v>644</v>
      </c>
      <c r="I1295" s="19" t="s">
        <v>660</v>
      </c>
      <c r="J1295" s="19" t="s">
        <v>37</v>
      </c>
      <c r="K1295" s="19" t="s">
        <v>553</v>
      </c>
      <c r="L1295" s="19">
        <v>2024</v>
      </c>
      <c r="M1295" s="20">
        <v>1</v>
      </c>
      <c r="N1295" s="19" t="s">
        <v>1798</v>
      </c>
      <c r="O1295" s="20">
        <v>8</v>
      </c>
      <c r="P1295" s="20">
        <v>8</v>
      </c>
      <c r="Q1295" s="20">
        <v>297.31263812558859</v>
      </c>
      <c r="R1295" s="21">
        <v>0.87</v>
      </c>
      <c r="S1295" s="20">
        <v>297.31263812558859</v>
      </c>
    </row>
    <row r="1296" spans="2:19" ht="15" customHeight="1" x14ac:dyDescent="0.25">
      <c r="B1296" s="2" t="str">
        <f t="shared" si="40"/>
        <v>NSG_Residential_Multi-Family_Partner Trade Ally Rebate_Steam Traps_HVAC Repair/Rep - No Audit_MF</v>
      </c>
      <c r="C1296" s="2" t="str">
        <f t="shared" si="41"/>
        <v>NSG_Residential_Multi-Family_Partner Trade Ally Rebate_Steam Traps_HVAC Repair/Rep - No Audit_MF_2025</v>
      </c>
      <c r="D1296" s="19" t="s">
        <v>1787</v>
      </c>
      <c r="E1296" s="19" t="s">
        <v>2</v>
      </c>
      <c r="F1296" s="19" t="s">
        <v>1422</v>
      </c>
      <c r="G1296" s="19" t="s">
        <v>1799</v>
      </c>
      <c r="H1296" s="19" t="s">
        <v>644</v>
      </c>
      <c r="I1296" s="19" t="s">
        <v>660</v>
      </c>
      <c r="J1296" s="19" t="s">
        <v>37</v>
      </c>
      <c r="K1296" s="19" t="s">
        <v>553</v>
      </c>
      <c r="L1296" s="19">
        <v>2025</v>
      </c>
      <c r="M1296" s="20">
        <v>1</v>
      </c>
      <c r="N1296" s="19" t="s">
        <v>1798</v>
      </c>
      <c r="O1296" s="20">
        <v>8</v>
      </c>
      <c r="P1296" s="20">
        <v>8</v>
      </c>
      <c r="Q1296" s="20">
        <v>297.31263812558859</v>
      </c>
      <c r="R1296" s="21">
        <v>0.87</v>
      </c>
      <c r="S1296" s="20">
        <v>297.31263812558859</v>
      </c>
    </row>
    <row r="1297" spans="2:19" ht="15" customHeight="1" x14ac:dyDescent="0.25">
      <c r="B1297" s="2" t="str">
        <f t="shared" si="40"/>
        <v>NSG_Residential_Multi-Family_Partner Trade Ally Rebate_Steam Traps_Industrial/Process Audit - psig ≤ 15_MF</v>
      </c>
      <c r="C1297" s="2" t="str">
        <f t="shared" si="41"/>
        <v>NSG_Residential_Multi-Family_Partner Trade Ally Rebate_Steam Traps_Industrial/Process Audit - psig ≤ 15_MF_2022</v>
      </c>
      <c r="D1297" s="19" t="s">
        <v>1787</v>
      </c>
      <c r="E1297" s="19" t="s">
        <v>2</v>
      </c>
      <c r="F1297" s="19" t="s">
        <v>1422</v>
      </c>
      <c r="G1297" s="19" t="s">
        <v>1799</v>
      </c>
      <c r="H1297" s="19" t="s">
        <v>644</v>
      </c>
      <c r="I1297" s="19" t="s">
        <v>1383</v>
      </c>
      <c r="J1297" s="19" t="s">
        <v>37</v>
      </c>
      <c r="K1297" s="19" t="s">
        <v>553</v>
      </c>
      <c r="L1297" s="19">
        <v>2022</v>
      </c>
      <c r="M1297" s="20">
        <v>1</v>
      </c>
      <c r="N1297" s="19" t="s">
        <v>1798</v>
      </c>
      <c r="O1297" s="20">
        <v>0</v>
      </c>
      <c r="P1297" s="20">
        <v>0</v>
      </c>
      <c r="Q1297" s="20">
        <v>0</v>
      </c>
      <c r="R1297" s="21">
        <v>0.87</v>
      </c>
      <c r="S1297" s="20">
        <v>0</v>
      </c>
    </row>
    <row r="1298" spans="2:19" ht="15" customHeight="1" x14ac:dyDescent="0.25">
      <c r="B1298" s="2" t="str">
        <f t="shared" si="40"/>
        <v>NSG_Residential_Multi-Family_Partner Trade Ally Rebate_Steam Traps_Industrial/Process Audit - psig ≤ 15_MF</v>
      </c>
      <c r="C1298" s="2" t="str">
        <f t="shared" si="41"/>
        <v>NSG_Residential_Multi-Family_Partner Trade Ally Rebate_Steam Traps_Industrial/Process Audit - psig ≤ 15_MF_2023</v>
      </c>
      <c r="D1298" s="19" t="s">
        <v>1787</v>
      </c>
      <c r="E1298" s="19" t="s">
        <v>2</v>
      </c>
      <c r="F1298" s="19" t="s">
        <v>1422</v>
      </c>
      <c r="G1298" s="19" t="s">
        <v>1799</v>
      </c>
      <c r="H1298" s="19" t="s">
        <v>644</v>
      </c>
      <c r="I1298" s="19" t="s">
        <v>1383</v>
      </c>
      <c r="J1298" s="19" t="s">
        <v>37</v>
      </c>
      <c r="K1298" s="19" t="s">
        <v>553</v>
      </c>
      <c r="L1298" s="19">
        <v>2023</v>
      </c>
      <c r="M1298" s="20">
        <v>1</v>
      </c>
      <c r="N1298" s="19" t="s">
        <v>1798</v>
      </c>
      <c r="O1298" s="20">
        <v>0</v>
      </c>
      <c r="P1298" s="20">
        <v>0</v>
      </c>
      <c r="Q1298" s="20">
        <v>0</v>
      </c>
      <c r="R1298" s="21">
        <v>0.87</v>
      </c>
      <c r="S1298" s="20">
        <v>0</v>
      </c>
    </row>
    <row r="1299" spans="2:19" ht="15" customHeight="1" x14ac:dyDescent="0.25">
      <c r="B1299" s="2" t="str">
        <f t="shared" si="40"/>
        <v>NSG_Residential_Multi-Family_Partner Trade Ally Rebate_Steam Traps_Industrial/Process Audit - psig ≤ 15_MF</v>
      </c>
      <c r="C1299" s="2" t="str">
        <f t="shared" si="41"/>
        <v>NSG_Residential_Multi-Family_Partner Trade Ally Rebate_Steam Traps_Industrial/Process Audit - psig ≤ 15_MF_2024</v>
      </c>
      <c r="D1299" s="19" t="s">
        <v>1787</v>
      </c>
      <c r="E1299" s="19" t="s">
        <v>2</v>
      </c>
      <c r="F1299" s="19" t="s">
        <v>1422</v>
      </c>
      <c r="G1299" s="19" t="s">
        <v>1799</v>
      </c>
      <c r="H1299" s="19" t="s">
        <v>644</v>
      </c>
      <c r="I1299" s="19" t="s">
        <v>1383</v>
      </c>
      <c r="J1299" s="19" t="s">
        <v>37</v>
      </c>
      <c r="K1299" s="19" t="s">
        <v>553</v>
      </c>
      <c r="L1299" s="19">
        <v>2024</v>
      </c>
      <c r="M1299" s="20">
        <v>1</v>
      </c>
      <c r="N1299" s="19" t="s">
        <v>1798</v>
      </c>
      <c r="O1299" s="20">
        <v>0</v>
      </c>
      <c r="P1299" s="20">
        <v>0</v>
      </c>
      <c r="Q1299" s="20">
        <v>0</v>
      </c>
      <c r="R1299" s="21">
        <v>0.87</v>
      </c>
      <c r="S1299" s="20">
        <v>0</v>
      </c>
    </row>
    <row r="1300" spans="2:19" ht="15" customHeight="1" x14ac:dyDescent="0.25">
      <c r="B1300" s="2" t="str">
        <f t="shared" si="40"/>
        <v>NSG_Residential_Multi-Family_Partner Trade Ally Rebate_Steam Traps_Industrial/Process Audit - psig ≤ 15_MF</v>
      </c>
      <c r="C1300" s="2" t="str">
        <f t="shared" si="41"/>
        <v>NSG_Residential_Multi-Family_Partner Trade Ally Rebate_Steam Traps_Industrial/Process Audit - psig ≤ 15_MF_2025</v>
      </c>
      <c r="D1300" s="19" t="s">
        <v>1787</v>
      </c>
      <c r="E1300" s="19" t="s">
        <v>2</v>
      </c>
      <c r="F1300" s="19" t="s">
        <v>1422</v>
      </c>
      <c r="G1300" s="19" t="s">
        <v>1799</v>
      </c>
      <c r="H1300" s="19" t="s">
        <v>644</v>
      </c>
      <c r="I1300" s="19" t="s">
        <v>1383</v>
      </c>
      <c r="J1300" s="19" t="s">
        <v>37</v>
      </c>
      <c r="K1300" s="19" t="s">
        <v>553</v>
      </c>
      <c r="L1300" s="19">
        <v>2025</v>
      </c>
      <c r="M1300" s="20">
        <v>1</v>
      </c>
      <c r="N1300" s="19" t="s">
        <v>1798</v>
      </c>
      <c r="O1300" s="20">
        <v>0</v>
      </c>
      <c r="P1300" s="20">
        <v>0</v>
      </c>
      <c r="Q1300" s="20">
        <v>0</v>
      </c>
      <c r="R1300" s="21">
        <v>0.87</v>
      </c>
      <c r="S1300" s="20">
        <v>0</v>
      </c>
    </row>
    <row r="1301" spans="2:19" ht="15" customHeight="1" x14ac:dyDescent="0.25">
      <c r="B1301" s="2" t="str">
        <f t="shared" si="40"/>
        <v>NSG_Residential_Multi-Family_Partner Trade Ally Rebate_Steam Traps_Industrial/Process Audit - 15 &lt; psig &lt; 30_MF</v>
      </c>
      <c r="C1301" s="2" t="str">
        <f t="shared" si="41"/>
        <v>NSG_Residential_Multi-Family_Partner Trade Ally Rebate_Steam Traps_Industrial/Process Audit - 15 &lt; psig &lt; 30_MF_2022</v>
      </c>
      <c r="D1301" s="19" t="s">
        <v>1787</v>
      </c>
      <c r="E1301" s="19" t="s">
        <v>2</v>
      </c>
      <c r="F1301" s="19" t="s">
        <v>1422</v>
      </c>
      <c r="G1301" s="19" t="s">
        <v>1799</v>
      </c>
      <c r="H1301" s="19" t="s">
        <v>644</v>
      </c>
      <c r="I1301" s="19" t="s">
        <v>1384</v>
      </c>
      <c r="J1301" s="19" t="s">
        <v>37</v>
      </c>
      <c r="K1301" s="19" t="s">
        <v>553</v>
      </c>
      <c r="L1301" s="19">
        <v>2022</v>
      </c>
      <c r="M1301" s="20">
        <v>1</v>
      </c>
      <c r="N1301" s="19" t="s">
        <v>1798</v>
      </c>
      <c r="O1301" s="20">
        <v>0</v>
      </c>
      <c r="P1301" s="20">
        <v>0</v>
      </c>
      <c r="Q1301" s="20">
        <v>0</v>
      </c>
      <c r="R1301" s="21">
        <v>0.87</v>
      </c>
      <c r="S1301" s="20">
        <v>0</v>
      </c>
    </row>
    <row r="1302" spans="2:19" ht="15" customHeight="1" x14ac:dyDescent="0.25">
      <c r="B1302" s="2" t="str">
        <f t="shared" si="40"/>
        <v>NSG_Residential_Multi-Family_Partner Trade Ally Rebate_Steam Traps_Industrial/Process Audit - 15 &lt; psig &lt; 30_MF</v>
      </c>
      <c r="C1302" s="2" t="str">
        <f t="shared" si="41"/>
        <v>NSG_Residential_Multi-Family_Partner Trade Ally Rebate_Steam Traps_Industrial/Process Audit - 15 &lt; psig &lt; 30_MF_2023</v>
      </c>
      <c r="D1302" s="19" t="s">
        <v>1787</v>
      </c>
      <c r="E1302" s="19" t="s">
        <v>2</v>
      </c>
      <c r="F1302" s="19" t="s">
        <v>1422</v>
      </c>
      <c r="G1302" s="19" t="s">
        <v>1799</v>
      </c>
      <c r="H1302" s="19" t="s">
        <v>644</v>
      </c>
      <c r="I1302" s="19" t="s">
        <v>1384</v>
      </c>
      <c r="J1302" s="19" t="s">
        <v>37</v>
      </c>
      <c r="K1302" s="19" t="s">
        <v>553</v>
      </c>
      <c r="L1302" s="19">
        <v>2023</v>
      </c>
      <c r="M1302" s="20">
        <v>1</v>
      </c>
      <c r="N1302" s="19" t="s">
        <v>1798</v>
      </c>
      <c r="O1302" s="20">
        <v>0</v>
      </c>
      <c r="P1302" s="20">
        <v>0</v>
      </c>
      <c r="Q1302" s="20">
        <v>0</v>
      </c>
      <c r="R1302" s="21">
        <v>0.87</v>
      </c>
      <c r="S1302" s="20">
        <v>0</v>
      </c>
    </row>
    <row r="1303" spans="2:19" ht="15" customHeight="1" x14ac:dyDescent="0.25">
      <c r="B1303" s="2" t="str">
        <f t="shared" si="40"/>
        <v>NSG_Residential_Multi-Family_Partner Trade Ally Rebate_Steam Traps_Industrial/Process Audit - 15 &lt; psig &lt; 30_MF</v>
      </c>
      <c r="C1303" s="2" t="str">
        <f t="shared" si="41"/>
        <v>NSG_Residential_Multi-Family_Partner Trade Ally Rebate_Steam Traps_Industrial/Process Audit - 15 &lt; psig &lt; 30_MF_2024</v>
      </c>
      <c r="D1303" s="19" t="s">
        <v>1787</v>
      </c>
      <c r="E1303" s="19" t="s">
        <v>2</v>
      </c>
      <c r="F1303" s="19" t="s">
        <v>1422</v>
      </c>
      <c r="G1303" s="19" t="s">
        <v>1799</v>
      </c>
      <c r="H1303" s="19" t="s">
        <v>644</v>
      </c>
      <c r="I1303" s="19" t="s">
        <v>1384</v>
      </c>
      <c r="J1303" s="19" t="s">
        <v>37</v>
      </c>
      <c r="K1303" s="19" t="s">
        <v>553</v>
      </c>
      <c r="L1303" s="19">
        <v>2024</v>
      </c>
      <c r="M1303" s="20">
        <v>1</v>
      </c>
      <c r="N1303" s="19" t="s">
        <v>1798</v>
      </c>
      <c r="O1303" s="20">
        <v>0</v>
      </c>
      <c r="P1303" s="20">
        <v>0</v>
      </c>
      <c r="Q1303" s="20">
        <v>0</v>
      </c>
      <c r="R1303" s="21">
        <v>0.87</v>
      </c>
      <c r="S1303" s="20">
        <v>0</v>
      </c>
    </row>
    <row r="1304" spans="2:19" ht="15" customHeight="1" x14ac:dyDescent="0.25">
      <c r="B1304" s="2" t="str">
        <f t="shared" si="40"/>
        <v>NSG_Residential_Multi-Family_Partner Trade Ally Rebate_Steam Traps_Industrial/Process Audit - 15 &lt; psig &lt; 30_MF</v>
      </c>
      <c r="C1304" s="2" t="str">
        <f t="shared" si="41"/>
        <v>NSG_Residential_Multi-Family_Partner Trade Ally Rebate_Steam Traps_Industrial/Process Audit - 15 &lt; psig &lt; 30_MF_2025</v>
      </c>
      <c r="D1304" s="19" t="s">
        <v>1787</v>
      </c>
      <c r="E1304" s="19" t="s">
        <v>2</v>
      </c>
      <c r="F1304" s="19" t="s">
        <v>1422</v>
      </c>
      <c r="G1304" s="19" t="s">
        <v>1799</v>
      </c>
      <c r="H1304" s="19" t="s">
        <v>644</v>
      </c>
      <c r="I1304" s="19" t="s">
        <v>1384</v>
      </c>
      <c r="J1304" s="19" t="s">
        <v>37</v>
      </c>
      <c r="K1304" s="19" t="s">
        <v>553</v>
      </c>
      <c r="L1304" s="19">
        <v>2025</v>
      </c>
      <c r="M1304" s="20">
        <v>1</v>
      </c>
      <c r="N1304" s="19" t="s">
        <v>1798</v>
      </c>
      <c r="O1304" s="20">
        <v>0</v>
      </c>
      <c r="P1304" s="20">
        <v>0</v>
      </c>
      <c r="Q1304" s="20">
        <v>0</v>
      </c>
      <c r="R1304" s="21">
        <v>0.87</v>
      </c>
      <c r="S1304" s="20">
        <v>0</v>
      </c>
    </row>
    <row r="1305" spans="2:19" ht="15" customHeight="1" x14ac:dyDescent="0.25">
      <c r="B1305" s="2" t="str">
        <f t="shared" si="40"/>
        <v>NSG_Residential_Multi-Family_Partner Trade Ally Rebate_Steam Traps_Industrial/Process Audit - 30 ≤ psig &lt; 75_MF</v>
      </c>
      <c r="C1305" s="2" t="str">
        <f t="shared" si="41"/>
        <v>NSG_Residential_Multi-Family_Partner Trade Ally Rebate_Steam Traps_Industrial/Process Audit - 30 ≤ psig &lt; 75_MF_2022</v>
      </c>
      <c r="D1305" s="19" t="s">
        <v>1787</v>
      </c>
      <c r="E1305" s="19" t="s">
        <v>2</v>
      </c>
      <c r="F1305" s="19" t="s">
        <v>1422</v>
      </c>
      <c r="G1305" s="19" t="s">
        <v>1799</v>
      </c>
      <c r="H1305" s="19" t="s">
        <v>644</v>
      </c>
      <c r="I1305" s="19" t="s">
        <v>1385</v>
      </c>
      <c r="J1305" s="19" t="s">
        <v>37</v>
      </c>
      <c r="K1305" s="19" t="s">
        <v>553</v>
      </c>
      <c r="L1305" s="19">
        <v>2022</v>
      </c>
      <c r="M1305" s="20">
        <v>1</v>
      </c>
      <c r="N1305" s="19" t="s">
        <v>1798</v>
      </c>
      <c r="O1305" s="20">
        <v>0</v>
      </c>
      <c r="P1305" s="20">
        <v>0</v>
      </c>
      <c r="Q1305" s="20">
        <v>0</v>
      </c>
      <c r="R1305" s="21">
        <v>0.87</v>
      </c>
      <c r="S1305" s="20">
        <v>0</v>
      </c>
    </row>
    <row r="1306" spans="2:19" ht="15" customHeight="1" x14ac:dyDescent="0.25">
      <c r="B1306" s="2" t="str">
        <f t="shared" si="40"/>
        <v>NSG_Residential_Multi-Family_Partner Trade Ally Rebate_Steam Traps_Industrial/Process Audit - 30 ≤ psig &lt; 75_MF</v>
      </c>
      <c r="C1306" s="2" t="str">
        <f t="shared" si="41"/>
        <v>NSG_Residential_Multi-Family_Partner Trade Ally Rebate_Steam Traps_Industrial/Process Audit - 30 ≤ psig &lt; 75_MF_2023</v>
      </c>
      <c r="D1306" s="19" t="s">
        <v>1787</v>
      </c>
      <c r="E1306" s="19" t="s">
        <v>2</v>
      </c>
      <c r="F1306" s="19" t="s">
        <v>1422</v>
      </c>
      <c r="G1306" s="19" t="s">
        <v>1799</v>
      </c>
      <c r="H1306" s="19" t="s">
        <v>644</v>
      </c>
      <c r="I1306" s="19" t="s">
        <v>1385</v>
      </c>
      <c r="J1306" s="19" t="s">
        <v>37</v>
      </c>
      <c r="K1306" s="19" t="s">
        <v>553</v>
      </c>
      <c r="L1306" s="19">
        <v>2023</v>
      </c>
      <c r="M1306" s="20">
        <v>1</v>
      </c>
      <c r="N1306" s="19" t="s">
        <v>1798</v>
      </c>
      <c r="O1306" s="20">
        <v>0</v>
      </c>
      <c r="P1306" s="20">
        <v>0</v>
      </c>
      <c r="Q1306" s="20">
        <v>0</v>
      </c>
      <c r="R1306" s="21">
        <v>0.87</v>
      </c>
      <c r="S1306" s="20">
        <v>0</v>
      </c>
    </row>
    <row r="1307" spans="2:19" ht="15" customHeight="1" x14ac:dyDescent="0.25">
      <c r="B1307" s="2" t="str">
        <f t="shared" si="40"/>
        <v>NSG_Residential_Multi-Family_Partner Trade Ally Rebate_Steam Traps_Industrial/Process Audit - 30 ≤ psig &lt; 75_MF</v>
      </c>
      <c r="C1307" s="2" t="str">
        <f t="shared" si="41"/>
        <v>NSG_Residential_Multi-Family_Partner Trade Ally Rebate_Steam Traps_Industrial/Process Audit - 30 ≤ psig &lt; 75_MF_2024</v>
      </c>
      <c r="D1307" s="19" t="s">
        <v>1787</v>
      </c>
      <c r="E1307" s="19" t="s">
        <v>2</v>
      </c>
      <c r="F1307" s="19" t="s">
        <v>1422</v>
      </c>
      <c r="G1307" s="19" t="s">
        <v>1799</v>
      </c>
      <c r="H1307" s="19" t="s">
        <v>644</v>
      </c>
      <c r="I1307" s="19" t="s">
        <v>1385</v>
      </c>
      <c r="J1307" s="19" t="s">
        <v>37</v>
      </c>
      <c r="K1307" s="19" t="s">
        <v>553</v>
      </c>
      <c r="L1307" s="19">
        <v>2024</v>
      </c>
      <c r="M1307" s="20">
        <v>1</v>
      </c>
      <c r="N1307" s="19" t="s">
        <v>1798</v>
      </c>
      <c r="O1307" s="20">
        <v>0</v>
      </c>
      <c r="P1307" s="20">
        <v>0</v>
      </c>
      <c r="Q1307" s="20">
        <v>0</v>
      </c>
      <c r="R1307" s="21">
        <v>0.87</v>
      </c>
      <c r="S1307" s="20">
        <v>0</v>
      </c>
    </row>
    <row r="1308" spans="2:19" ht="15" customHeight="1" x14ac:dyDescent="0.25">
      <c r="B1308" s="2" t="str">
        <f t="shared" si="40"/>
        <v>NSG_Residential_Multi-Family_Partner Trade Ally Rebate_Steam Traps_Industrial/Process Audit - 30 ≤ psig &lt; 75_MF</v>
      </c>
      <c r="C1308" s="2" t="str">
        <f t="shared" si="41"/>
        <v>NSG_Residential_Multi-Family_Partner Trade Ally Rebate_Steam Traps_Industrial/Process Audit - 30 ≤ psig &lt; 75_MF_2025</v>
      </c>
      <c r="D1308" s="19" t="s">
        <v>1787</v>
      </c>
      <c r="E1308" s="19" t="s">
        <v>2</v>
      </c>
      <c r="F1308" s="19" t="s">
        <v>1422</v>
      </c>
      <c r="G1308" s="19" t="s">
        <v>1799</v>
      </c>
      <c r="H1308" s="19" t="s">
        <v>644</v>
      </c>
      <c r="I1308" s="19" t="s">
        <v>1385</v>
      </c>
      <c r="J1308" s="19" t="s">
        <v>37</v>
      </c>
      <c r="K1308" s="19" t="s">
        <v>553</v>
      </c>
      <c r="L1308" s="19">
        <v>2025</v>
      </c>
      <c r="M1308" s="20">
        <v>1</v>
      </c>
      <c r="N1308" s="19" t="s">
        <v>1798</v>
      </c>
      <c r="O1308" s="20">
        <v>0</v>
      </c>
      <c r="P1308" s="20">
        <v>0</v>
      </c>
      <c r="Q1308" s="20">
        <v>0</v>
      </c>
      <c r="R1308" s="21">
        <v>0.87</v>
      </c>
      <c r="S1308" s="20">
        <v>0</v>
      </c>
    </row>
    <row r="1309" spans="2:19" ht="15" customHeight="1" x14ac:dyDescent="0.25">
      <c r="B1309" s="2" t="str">
        <f t="shared" si="40"/>
        <v>NSG_Residential_Multi-Family_Partner Trade Ally Rebate_Steam Traps_Industrial/Process Audit - 75 ≤ psig &lt; 125_MF</v>
      </c>
      <c r="C1309" s="2" t="str">
        <f t="shared" si="41"/>
        <v>NSG_Residential_Multi-Family_Partner Trade Ally Rebate_Steam Traps_Industrial/Process Audit - 75 ≤ psig &lt; 125_MF_2022</v>
      </c>
      <c r="D1309" s="19" t="s">
        <v>1787</v>
      </c>
      <c r="E1309" s="19" t="s">
        <v>2</v>
      </c>
      <c r="F1309" s="19" t="s">
        <v>1422</v>
      </c>
      <c r="G1309" s="19" t="s">
        <v>1799</v>
      </c>
      <c r="H1309" s="19" t="s">
        <v>644</v>
      </c>
      <c r="I1309" s="19" t="s">
        <v>1386</v>
      </c>
      <c r="J1309" s="19" t="s">
        <v>37</v>
      </c>
      <c r="K1309" s="19" t="s">
        <v>553</v>
      </c>
      <c r="L1309" s="19">
        <v>2022</v>
      </c>
      <c r="M1309" s="20">
        <v>1</v>
      </c>
      <c r="N1309" s="19" t="s">
        <v>1798</v>
      </c>
      <c r="O1309" s="20">
        <v>0</v>
      </c>
      <c r="P1309" s="20">
        <v>0</v>
      </c>
      <c r="Q1309" s="20">
        <v>0</v>
      </c>
      <c r="R1309" s="21">
        <v>0.87</v>
      </c>
      <c r="S1309" s="20">
        <v>0</v>
      </c>
    </row>
    <row r="1310" spans="2:19" ht="15" customHeight="1" x14ac:dyDescent="0.25">
      <c r="B1310" s="2" t="str">
        <f t="shared" si="40"/>
        <v>NSG_Residential_Multi-Family_Partner Trade Ally Rebate_Steam Traps_Industrial/Process Audit - 75 ≤ psig &lt; 125_MF</v>
      </c>
      <c r="C1310" s="2" t="str">
        <f t="shared" si="41"/>
        <v>NSG_Residential_Multi-Family_Partner Trade Ally Rebate_Steam Traps_Industrial/Process Audit - 75 ≤ psig &lt; 125_MF_2023</v>
      </c>
      <c r="D1310" s="19" t="s">
        <v>1787</v>
      </c>
      <c r="E1310" s="19" t="s">
        <v>2</v>
      </c>
      <c r="F1310" s="19" t="s">
        <v>1422</v>
      </c>
      <c r="G1310" s="19" t="s">
        <v>1799</v>
      </c>
      <c r="H1310" s="19" t="s">
        <v>644</v>
      </c>
      <c r="I1310" s="19" t="s">
        <v>1386</v>
      </c>
      <c r="J1310" s="19" t="s">
        <v>37</v>
      </c>
      <c r="K1310" s="19" t="s">
        <v>553</v>
      </c>
      <c r="L1310" s="19">
        <v>2023</v>
      </c>
      <c r="M1310" s="20">
        <v>1</v>
      </c>
      <c r="N1310" s="19" t="s">
        <v>1798</v>
      </c>
      <c r="O1310" s="20">
        <v>0</v>
      </c>
      <c r="P1310" s="20">
        <v>0</v>
      </c>
      <c r="Q1310" s="20">
        <v>0</v>
      </c>
      <c r="R1310" s="21">
        <v>0.87</v>
      </c>
      <c r="S1310" s="20">
        <v>0</v>
      </c>
    </row>
    <row r="1311" spans="2:19" ht="15" customHeight="1" x14ac:dyDescent="0.25">
      <c r="B1311" s="2" t="str">
        <f t="shared" si="40"/>
        <v>NSG_Residential_Multi-Family_Partner Trade Ally Rebate_Steam Traps_Industrial/Process Audit - 75 ≤ psig &lt; 125_MF</v>
      </c>
      <c r="C1311" s="2" t="str">
        <f t="shared" si="41"/>
        <v>NSG_Residential_Multi-Family_Partner Trade Ally Rebate_Steam Traps_Industrial/Process Audit - 75 ≤ psig &lt; 125_MF_2024</v>
      </c>
      <c r="D1311" s="19" t="s">
        <v>1787</v>
      </c>
      <c r="E1311" s="19" t="s">
        <v>2</v>
      </c>
      <c r="F1311" s="19" t="s">
        <v>1422</v>
      </c>
      <c r="G1311" s="19" t="s">
        <v>1799</v>
      </c>
      <c r="H1311" s="19" t="s">
        <v>644</v>
      </c>
      <c r="I1311" s="19" t="s">
        <v>1386</v>
      </c>
      <c r="J1311" s="19" t="s">
        <v>37</v>
      </c>
      <c r="K1311" s="19" t="s">
        <v>553</v>
      </c>
      <c r="L1311" s="19">
        <v>2024</v>
      </c>
      <c r="M1311" s="20">
        <v>1</v>
      </c>
      <c r="N1311" s="19" t="s">
        <v>1798</v>
      </c>
      <c r="O1311" s="20">
        <v>0</v>
      </c>
      <c r="P1311" s="20">
        <v>0</v>
      </c>
      <c r="Q1311" s="20">
        <v>0</v>
      </c>
      <c r="R1311" s="21">
        <v>0.87</v>
      </c>
      <c r="S1311" s="20">
        <v>0</v>
      </c>
    </row>
    <row r="1312" spans="2:19" ht="15" customHeight="1" x14ac:dyDescent="0.25">
      <c r="B1312" s="2" t="str">
        <f t="shared" si="40"/>
        <v>NSG_Residential_Multi-Family_Partner Trade Ally Rebate_Steam Traps_Industrial/Process Audit - 75 ≤ psig &lt; 125_MF</v>
      </c>
      <c r="C1312" s="2" t="str">
        <f t="shared" si="41"/>
        <v>NSG_Residential_Multi-Family_Partner Trade Ally Rebate_Steam Traps_Industrial/Process Audit - 75 ≤ psig &lt; 125_MF_2025</v>
      </c>
      <c r="D1312" s="19" t="s">
        <v>1787</v>
      </c>
      <c r="E1312" s="19" t="s">
        <v>2</v>
      </c>
      <c r="F1312" s="19" t="s">
        <v>1422</v>
      </c>
      <c r="G1312" s="19" t="s">
        <v>1799</v>
      </c>
      <c r="H1312" s="19" t="s">
        <v>644</v>
      </c>
      <c r="I1312" s="19" t="s">
        <v>1386</v>
      </c>
      <c r="J1312" s="19" t="s">
        <v>37</v>
      </c>
      <c r="K1312" s="19" t="s">
        <v>553</v>
      </c>
      <c r="L1312" s="19">
        <v>2025</v>
      </c>
      <c r="M1312" s="20">
        <v>1</v>
      </c>
      <c r="N1312" s="19" t="s">
        <v>1798</v>
      </c>
      <c r="O1312" s="20">
        <v>0</v>
      </c>
      <c r="P1312" s="20">
        <v>0</v>
      </c>
      <c r="Q1312" s="20">
        <v>0</v>
      </c>
      <c r="R1312" s="21">
        <v>0.87</v>
      </c>
      <c r="S1312" s="20">
        <v>0</v>
      </c>
    </row>
    <row r="1313" spans="2:19" ht="15" customHeight="1" x14ac:dyDescent="0.25">
      <c r="B1313" s="2" t="str">
        <f t="shared" si="40"/>
        <v>NSG_Residential_Multi-Family_Partner Trade Ally Rebate_Steam Traps_Industrial/Process Audit - 125 ≤ psig &lt; 175_MF</v>
      </c>
      <c r="C1313" s="2" t="str">
        <f t="shared" si="41"/>
        <v>NSG_Residential_Multi-Family_Partner Trade Ally Rebate_Steam Traps_Industrial/Process Audit - 125 ≤ psig &lt; 175_MF_2022</v>
      </c>
      <c r="D1313" s="19" t="s">
        <v>1787</v>
      </c>
      <c r="E1313" s="19" t="s">
        <v>2</v>
      </c>
      <c r="F1313" s="19" t="s">
        <v>1422</v>
      </c>
      <c r="G1313" s="19" t="s">
        <v>1799</v>
      </c>
      <c r="H1313" s="19" t="s">
        <v>644</v>
      </c>
      <c r="I1313" s="19" t="s">
        <v>1374</v>
      </c>
      <c r="J1313" s="19" t="s">
        <v>37</v>
      </c>
      <c r="K1313" s="19" t="s">
        <v>553</v>
      </c>
      <c r="L1313" s="19">
        <v>2022</v>
      </c>
      <c r="M1313" s="20">
        <v>1</v>
      </c>
      <c r="N1313" s="19" t="s">
        <v>1798</v>
      </c>
      <c r="O1313" s="20">
        <v>0</v>
      </c>
      <c r="P1313" s="20">
        <v>0</v>
      </c>
      <c r="Q1313" s="20">
        <v>0</v>
      </c>
      <c r="R1313" s="21">
        <v>0.87</v>
      </c>
      <c r="S1313" s="20">
        <v>0</v>
      </c>
    </row>
    <row r="1314" spans="2:19" ht="15" customHeight="1" x14ac:dyDescent="0.25">
      <c r="B1314" s="2" t="str">
        <f t="shared" si="40"/>
        <v>NSG_Residential_Multi-Family_Partner Trade Ally Rebate_Steam Traps_Industrial/Process Audit - 125 ≤ psig &lt; 175_MF</v>
      </c>
      <c r="C1314" s="2" t="str">
        <f t="shared" si="41"/>
        <v>NSG_Residential_Multi-Family_Partner Trade Ally Rebate_Steam Traps_Industrial/Process Audit - 125 ≤ psig &lt; 175_MF_2023</v>
      </c>
      <c r="D1314" s="19" t="s">
        <v>1787</v>
      </c>
      <c r="E1314" s="19" t="s">
        <v>2</v>
      </c>
      <c r="F1314" s="19" t="s">
        <v>1422</v>
      </c>
      <c r="G1314" s="19" t="s">
        <v>1799</v>
      </c>
      <c r="H1314" s="19" t="s">
        <v>644</v>
      </c>
      <c r="I1314" s="19" t="s">
        <v>1374</v>
      </c>
      <c r="J1314" s="19" t="s">
        <v>37</v>
      </c>
      <c r="K1314" s="19" t="s">
        <v>553</v>
      </c>
      <c r="L1314" s="19">
        <v>2023</v>
      </c>
      <c r="M1314" s="20">
        <v>1</v>
      </c>
      <c r="N1314" s="19" t="s">
        <v>1798</v>
      </c>
      <c r="O1314" s="20">
        <v>0</v>
      </c>
      <c r="P1314" s="20">
        <v>0</v>
      </c>
      <c r="Q1314" s="20">
        <v>0</v>
      </c>
      <c r="R1314" s="21">
        <v>0.87</v>
      </c>
      <c r="S1314" s="20">
        <v>0</v>
      </c>
    </row>
    <row r="1315" spans="2:19" ht="15" customHeight="1" x14ac:dyDescent="0.25">
      <c r="B1315" s="2" t="str">
        <f t="shared" si="40"/>
        <v>NSG_Residential_Multi-Family_Partner Trade Ally Rebate_Steam Traps_Industrial/Process Audit - 125 ≤ psig &lt; 175_MF</v>
      </c>
      <c r="C1315" s="2" t="str">
        <f t="shared" si="41"/>
        <v>NSG_Residential_Multi-Family_Partner Trade Ally Rebate_Steam Traps_Industrial/Process Audit - 125 ≤ psig &lt; 175_MF_2024</v>
      </c>
      <c r="D1315" s="19" t="s">
        <v>1787</v>
      </c>
      <c r="E1315" s="19" t="s">
        <v>2</v>
      </c>
      <c r="F1315" s="19" t="s">
        <v>1422</v>
      </c>
      <c r="G1315" s="19" t="s">
        <v>1799</v>
      </c>
      <c r="H1315" s="19" t="s">
        <v>644</v>
      </c>
      <c r="I1315" s="19" t="s">
        <v>1374</v>
      </c>
      <c r="J1315" s="19" t="s">
        <v>37</v>
      </c>
      <c r="K1315" s="19" t="s">
        <v>553</v>
      </c>
      <c r="L1315" s="19">
        <v>2024</v>
      </c>
      <c r="M1315" s="20">
        <v>1</v>
      </c>
      <c r="N1315" s="19" t="s">
        <v>1798</v>
      </c>
      <c r="O1315" s="20">
        <v>0</v>
      </c>
      <c r="P1315" s="20">
        <v>0</v>
      </c>
      <c r="Q1315" s="20">
        <v>0</v>
      </c>
      <c r="R1315" s="21">
        <v>0.87</v>
      </c>
      <c r="S1315" s="20">
        <v>0</v>
      </c>
    </row>
    <row r="1316" spans="2:19" ht="15" customHeight="1" x14ac:dyDescent="0.25">
      <c r="B1316" s="2" t="str">
        <f t="shared" si="40"/>
        <v>NSG_Residential_Multi-Family_Partner Trade Ally Rebate_Steam Traps_Industrial/Process Audit - 125 ≤ psig &lt; 175_MF</v>
      </c>
      <c r="C1316" s="2" t="str">
        <f t="shared" si="41"/>
        <v>NSG_Residential_Multi-Family_Partner Trade Ally Rebate_Steam Traps_Industrial/Process Audit - 125 ≤ psig &lt; 175_MF_2025</v>
      </c>
      <c r="D1316" s="19" t="s">
        <v>1787</v>
      </c>
      <c r="E1316" s="19" t="s">
        <v>2</v>
      </c>
      <c r="F1316" s="19" t="s">
        <v>1422</v>
      </c>
      <c r="G1316" s="19" t="s">
        <v>1799</v>
      </c>
      <c r="H1316" s="19" t="s">
        <v>644</v>
      </c>
      <c r="I1316" s="19" t="s">
        <v>1374</v>
      </c>
      <c r="J1316" s="19" t="s">
        <v>37</v>
      </c>
      <c r="K1316" s="19" t="s">
        <v>553</v>
      </c>
      <c r="L1316" s="19">
        <v>2025</v>
      </c>
      <c r="M1316" s="20">
        <v>1</v>
      </c>
      <c r="N1316" s="19" t="s">
        <v>1798</v>
      </c>
      <c r="O1316" s="20">
        <v>0</v>
      </c>
      <c r="P1316" s="20">
        <v>0</v>
      </c>
      <c r="Q1316" s="20">
        <v>0</v>
      </c>
      <c r="R1316" s="21">
        <v>0.87</v>
      </c>
      <c r="S1316" s="20">
        <v>0</v>
      </c>
    </row>
    <row r="1317" spans="2:19" ht="15" customHeight="1" x14ac:dyDescent="0.25">
      <c r="B1317" s="2" t="str">
        <f t="shared" si="40"/>
        <v>NSG_Residential_Multi-Family_Partner Trade Ally Rebate_Steam Traps_Industrial/Process Audit - 175 ≤ psig &lt; 250_MF</v>
      </c>
      <c r="C1317" s="2" t="str">
        <f t="shared" si="41"/>
        <v>NSG_Residential_Multi-Family_Partner Trade Ally Rebate_Steam Traps_Industrial/Process Audit - 175 ≤ psig &lt; 250_MF_2022</v>
      </c>
      <c r="D1317" s="19" t="s">
        <v>1787</v>
      </c>
      <c r="E1317" s="19" t="s">
        <v>2</v>
      </c>
      <c r="F1317" s="19" t="s">
        <v>1422</v>
      </c>
      <c r="G1317" s="19" t="s">
        <v>1799</v>
      </c>
      <c r="H1317" s="19" t="s">
        <v>644</v>
      </c>
      <c r="I1317" s="19" t="s">
        <v>1375</v>
      </c>
      <c r="J1317" s="19" t="s">
        <v>37</v>
      </c>
      <c r="K1317" s="19" t="s">
        <v>553</v>
      </c>
      <c r="L1317" s="19">
        <v>2022</v>
      </c>
      <c r="M1317" s="20">
        <v>1</v>
      </c>
      <c r="N1317" s="19" t="s">
        <v>1798</v>
      </c>
      <c r="O1317" s="20">
        <v>0</v>
      </c>
      <c r="P1317" s="20">
        <v>0</v>
      </c>
      <c r="Q1317" s="20">
        <v>0</v>
      </c>
      <c r="R1317" s="21">
        <v>0.87</v>
      </c>
      <c r="S1317" s="20">
        <v>0</v>
      </c>
    </row>
    <row r="1318" spans="2:19" ht="15" customHeight="1" x14ac:dyDescent="0.25">
      <c r="B1318" s="2" t="str">
        <f t="shared" si="40"/>
        <v>NSG_Residential_Multi-Family_Partner Trade Ally Rebate_Steam Traps_Industrial/Process Audit - 175 ≤ psig &lt; 250_MF</v>
      </c>
      <c r="C1318" s="2" t="str">
        <f t="shared" si="41"/>
        <v>NSG_Residential_Multi-Family_Partner Trade Ally Rebate_Steam Traps_Industrial/Process Audit - 175 ≤ psig &lt; 250_MF_2023</v>
      </c>
      <c r="D1318" s="19" t="s">
        <v>1787</v>
      </c>
      <c r="E1318" s="19" t="s">
        <v>2</v>
      </c>
      <c r="F1318" s="19" t="s">
        <v>1422</v>
      </c>
      <c r="G1318" s="19" t="s">
        <v>1799</v>
      </c>
      <c r="H1318" s="19" t="s">
        <v>644</v>
      </c>
      <c r="I1318" s="19" t="s">
        <v>1375</v>
      </c>
      <c r="J1318" s="19" t="s">
        <v>37</v>
      </c>
      <c r="K1318" s="19" t="s">
        <v>553</v>
      </c>
      <c r="L1318" s="19">
        <v>2023</v>
      </c>
      <c r="M1318" s="20">
        <v>1</v>
      </c>
      <c r="N1318" s="19" t="s">
        <v>1798</v>
      </c>
      <c r="O1318" s="20">
        <v>0</v>
      </c>
      <c r="P1318" s="20">
        <v>0</v>
      </c>
      <c r="Q1318" s="20">
        <v>0</v>
      </c>
      <c r="R1318" s="21">
        <v>0.87</v>
      </c>
      <c r="S1318" s="20">
        <v>0</v>
      </c>
    </row>
    <row r="1319" spans="2:19" ht="15" customHeight="1" x14ac:dyDescent="0.25">
      <c r="B1319" s="2" t="str">
        <f t="shared" si="40"/>
        <v>NSG_Residential_Multi-Family_Partner Trade Ally Rebate_Steam Traps_Industrial/Process Audit - 175 ≤ psig &lt; 250_MF</v>
      </c>
      <c r="C1319" s="2" t="str">
        <f t="shared" si="41"/>
        <v>NSG_Residential_Multi-Family_Partner Trade Ally Rebate_Steam Traps_Industrial/Process Audit - 175 ≤ psig &lt; 250_MF_2024</v>
      </c>
      <c r="D1319" s="19" t="s">
        <v>1787</v>
      </c>
      <c r="E1319" s="19" t="s">
        <v>2</v>
      </c>
      <c r="F1319" s="19" t="s">
        <v>1422</v>
      </c>
      <c r="G1319" s="19" t="s">
        <v>1799</v>
      </c>
      <c r="H1319" s="19" t="s">
        <v>644</v>
      </c>
      <c r="I1319" s="19" t="s">
        <v>1375</v>
      </c>
      <c r="J1319" s="19" t="s">
        <v>37</v>
      </c>
      <c r="K1319" s="19" t="s">
        <v>553</v>
      </c>
      <c r="L1319" s="19">
        <v>2024</v>
      </c>
      <c r="M1319" s="20">
        <v>1</v>
      </c>
      <c r="N1319" s="19" t="s">
        <v>1798</v>
      </c>
      <c r="O1319" s="20">
        <v>0</v>
      </c>
      <c r="P1319" s="20">
        <v>0</v>
      </c>
      <c r="Q1319" s="20">
        <v>0</v>
      </c>
      <c r="R1319" s="21">
        <v>0.87</v>
      </c>
      <c r="S1319" s="20">
        <v>0</v>
      </c>
    </row>
    <row r="1320" spans="2:19" ht="15" customHeight="1" x14ac:dyDescent="0.25">
      <c r="B1320" s="2" t="str">
        <f t="shared" si="40"/>
        <v>NSG_Residential_Multi-Family_Partner Trade Ally Rebate_Steam Traps_Industrial/Process Audit - 175 ≤ psig &lt; 250_MF</v>
      </c>
      <c r="C1320" s="2" t="str">
        <f t="shared" si="41"/>
        <v>NSG_Residential_Multi-Family_Partner Trade Ally Rebate_Steam Traps_Industrial/Process Audit - 175 ≤ psig &lt; 250_MF_2025</v>
      </c>
      <c r="D1320" s="19" t="s">
        <v>1787</v>
      </c>
      <c r="E1320" s="19" t="s">
        <v>2</v>
      </c>
      <c r="F1320" s="19" t="s">
        <v>1422</v>
      </c>
      <c r="G1320" s="19" t="s">
        <v>1799</v>
      </c>
      <c r="H1320" s="19" t="s">
        <v>644</v>
      </c>
      <c r="I1320" s="19" t="s">
        <v>1375</v>
      </c>
      <c r="J1320" s="19" t="s">
        <v>37</v>
      </c>
      <c r="K1320" s="19" t="s">
        <v>553</v>
      </c>
      <c r="L1320" s="19">
        <v>2025</v>
      </c>
      <c r="M1320" s="20">
        <v>1</v>
      </c>
      <c r="N1320" s="19" t="s">
        <v>1798</v>
      </c>
      <c r="O1320" s="20">
        <v>0</v>
      </c>
      <c r="P1320" s="20">
        <v>0</v>
      </c>
      <c r="Q1320" s="20">
        <v>0</v>
      </c>
      <c r="R1320" s="21">
        <v>0.87</v>
      </c>
      <c r="S1320" s="20">
        <v>0</v>
      </c>
    </row>
    <row r="1321" spans="2:19" ht="15" customHeight="1" x14ac:dyDescent="0.25">
      <c r="B1321" s="2" t="str">
        <f t="shared" si="40"/>
        <v>NSG_Residential_Multi-Family_Partner Trade Ally Rebate_Steam Traps_Industrial/Process Audit - 250 ≤ psig_MF</v>
      </c>
      <c r="C1321" s="2" t="str">
        <f t="shared" si="41"/>
        <v>NSG_Residential_Multi-Family_Partner Trade Ally Rebate_Steam Traps_Industrial/Process Audit - 250 ≤ psig_MF_2022</v>
      </c>
      <c r="D1321" s="19" t="s">
        <v>1787</v>
      </c>
      <c r="E1321" s="19" t="s">
        <v>2</v>
      </c>
      <c r="F1321" s="19" t="s">
        <v>1422</v>
      </c>
      <c r="G1321" s="19" t="s">
        <v>1799</v>
      </c>
      <c r="H1321" s="19" t="s">
        <v>644</v>
      </c>
      <c r="I1321" s="19" t="s">
        <v>1376</v>
      </c>
      <c r="J1321" s="19" t="s">
        <v>37</v>
      </c>
      <c r="K1321" s="19" t="s">
        <v>553</v>
      </c>
      <c r="L1321" s="19">
        <v>2022</v>
      </c>
      <c r="M1321" s="20">
        <v>1</v>
      </c>
      <c r="N1321" s="19" t="s">
        <v>1798</v>
      </c>
      <c r="O1321" s="20">
        <v>0</v>
      </c>
      <c r="P1321" s="20">
        <v>0</v>
      </c>
      <c r="Q1321" s="20">
        <v>0</v>
      </c>
      <c r="R1321" s="21">
        <v>0.87</v>
      </c>
      <c r="S1321" s="20">
        <v>0</v>
      </c>
    </row>
    <row r="1322" spans="2:19" ht="15" customHeight="1" x14ac:dyDescent="0.25">
      <c r="B1322" s="2" t="str">
        <f t="shared" si="40"/>
        <v>NSG_Residential_Multi-Family_Partner Trade Ally Rebate_Steam Traps_Industrial/Process Audit - 250 ≤ psig_MF</v>
      </c>
      <c r="C1322" s="2" t="str">
        <f t="shared" si="41"/>
        <v>NSG_Residential_Multi-Family_Partner Trade Ally Rebate_Steam Traps_Industrial/Process Audit - 250 ≤ psig_MF_2023</v>
      </c>
      <c r="D1322" s="19" t="s">
        <v>1787</v>
      </c>
      <c r="E1322" s="19" t="s">
        <v>2</v>
      </c>
      <c r="F1322" s="19" t="s">
        <v>1422</v>
      </c>
      <c r="G1322" s="19" t="s">
        <v>1799</v>
      </c>
      <c r="H1322" s="19" t="s">
        <v>644</v>
      </c>
      <c r="I1322" s="19" t="s">
        <v>1376</v>
      </c>
      <c r="J1322" s="19" t="s">
        <v>37</v>
      </c>
      <c r="K1322" s="19" t="s">
        <v>553</v>
      </c>
      <c r="L1322" s="19">
        <v>2023</v>
      </c>
      <c r="M1322" s="20">
        <v>1</v>
      </c>
      <c r="N1322" s="19" t="s">
        <v>1798</v>
      </c>
      <c r="O1322" s="20">
        <v>0</v>
      </c>
      <c r="P1322" s="20">
        <v>0</v>
      </c>
      <c r="Q1322" s="20">
        <v>0</v>
      </c>
      <c r="R1322" s="21">
        <v>0.87</v>
      </c>
      <c r="S1322" s="20">
        <v>0</v>
      </c>
    </row>
    <row r="1323" spans="2:19" ht="15" customHeight="1" x14ac:dyDescent="0.25">
      <c r="B1323" s="2" t="str">
        <f t="shared" si="40"/>
        <v>NSG_Residential_Multi-Family_Partner Trade Ally Rebate_Steam Traps_Industrial/Process Audit - 250 ≤ psig_MF</v>
      </c>
      <c r="C1323" s="2" t="str">
        <f t="shared" si="41"/>
        <v>NSG_Residential_Multi-Family_Partner Trade Ally Rebate_Steam Traps_Industrial/Process Audit - 250 ≤ psig_MF_2024</v>
      </c>
      <c r="D1323" s="19" t="s">
        <v>1787</v>
      </c>
      <c r="E1323" s="19" t="s">
        <v>2</v>
      </c>
      <c r="F1323" s="19" t="s">
        <v>1422</v>
      </c>
      <c r="G1323" s="19" t="s">
        <v>1799</v>
      </c>
      <c r="H1323" s="19" t="s">
        <v>644</v>
      </c>
      <c r="I1323" s="19" t="s">
        <v>1376</v>
      </c>
      <c r="J1323" s="19" t="s">
        <v>37</v>
      </c>
      <c r="K1323" s="19" t="s">
        <v>553</v>
      </c>
      <c r="L1323" s="19">
        <v>2024</v>
      </c>
      <c r="M1323" s="20">
        <v>1</v>
      </c>
      <c r="N1323" s="19" t="s">
        <v>1798</v>
      </c>
      <c r="O1323" s="20">
        <v>0</v>
      </c>
      <c r="P1323" s="20">
        <v>0</v>
      </c>
      <c r="Q1323" s="20">
        <v>0</v>
      </c>
      <c r="R1323" s="21">
        <v>0.87</v>
      </c>
      <c r="S1323" s="20">
        <v>0</v>
      </c>
    </row>
    <row r="1324" spans="2:19" ht="15" customHeight="1" x14ac:dyDescent="0.25">
      <c r="B1324" s="2" t="str">
        <f t="shared" si="40"/>
        <v>NSG_Residential_Multi-Family_Partner Trade Ally Rebate_Steam Traps_Industrial/Process Audit - 250 ≤ psig_MF</v>
      </c>
      <c r="C1324" s="2" t="str">
        <f t="shared" si="41"/>
        <v>NSG_Residential_Multi-Family_Partner Trade Ally Rebate_Steam Traps_Industrial/Process Audit - 250 ≤ psig_MF_2025</v>
      </c>
      <c r="D1324" s="19" t="s">
        <v>1787</v>
      </c>
      <c r="E1324" s="19" t="s">
        <v>2</v>
      </c>
      <c r="F1324" s="19" t="s">
        <v>1422</v>
      </c>
      <c r="G1324" s="19" t="s">
        <v>1799</v>
      </c>
      <c r="H1324" s="19" t="s">
        <v>644</v>
      </c>
      <c r="I1324" s="19" t="s">
        <v>1376</v>
      </c>
      <c r="J1324" s="19" t="s">
        <v>37</v>
      </c>
      <c r="K1324" s="19" t="s">
        <v>553</v>
      </c>
      <c r="L1324" s="19">
        <v>2025</v>
      </c>
      <c r="M1324" s="20">
        <v>1</v>
      </c>
      <c r="N1324" s="19" t="s">
        <v>1798</v>
      </c>
      <c r="O1324" s="20">
        <v>0</v>
      </c>
      <c r="P1324" s="20">
        <v>0</v>
      </c>
      <c r="Q1324" s="20">
        <v>0</v>
      </c>
      <c r="R1324" s="21">
        <v>0.87</v>
      </c>
      <c r="S1324" s="20">
        <v>0</v>
      </c>
    </row>
    <row r="1325" spans="2:19" ht="15" customHeight="1" x14ac:dyDescent="0.25">
      <c r="B1325" s="2" t="str">
        <f t="shared" si="40"/>
        <v>NSG_Residential_Multi-Family_Partner Trade Ally Rebate_Steam Traps_Test_MF</v>
      </c>
      <c r="C1325" s="2" t="str">
        <f t="shared" si="41"/>
        <v>NSG_Residential_Multi-Family_Partner Trade Ally Rebate_Steam Traps_Test_MF_2022</v>
      </c>
      <c r="D1325" s="19" t="s">
        <v>1787</v>
      </c>
      <c r="E1325" s="19" t="s">
        <v>2</v>
      </c>
      <c r="F1325" s="19" t="s">
        <v>1422</v>
      </c>
      <c r="G1325" s="19" t="s">
        <v>1799</v>
      </c>
      <c r="H1325" s="19" t="s">
        <v>644</v>
      </c>
      <c r="I1325" s="19" t="s">
        <v>1097</v>
      </c>
      <c r="J1325" s="19">
        <v>0</v>
      </c>
      <c r="K1325" s="19" t="s">
        <v>553</v>
      </c>
      <c r="L1325" s="19">
        <v>2022</v>
      </c>
      <c r="M1325" s="20">
        <v>1</v>
      </c>
      <c r="N1325" s="19" t="s">
        <v>1798</v>
      </c>
      <c r="O1325" s="20">
        <v>0</v>
      </c>
      <c r="P1325" s="20">
        <v>0</v>
      </c>
      <c r="Q1325" s="20">
        <v>0</v>
      </c>
      <c r="R1325" s="21">
        <v>0.87</v>
      </c>
      <c r="S1325" s="20">
        <v>0</v>
      </c>
    </row>
    <row r="1326" spans="2:19" ht="15" customHeight="1" x14ac:dyDescent="0.25">
      <c r="B1326" s="2" t="str">
        <f t="shared" si="40"/>
        <v>NSG_Residential_Multi-Family_Partner Trade Ally Rebate_Steam Traps_Test_MF</v>
      </c>
      <c r="C1326" s="2" t="str">
        <f t="shared" si="41"/>
        <v>NSG_Residential_Multi-Family_Partner Trade Ally Rebate_Steam Traps_Test_MF_2023</v>
      </c>
      <c r="D1326" s="19" t="s">
        <v>1787</v>
      </c>
      <c r="E1326" s="19" t="s">
        <v>2</v>
      </c>
      <c r="F1326" s="19" t="s">
        <v>1422</v>
      </c>
      <c r="G1326" s="19" t="s">
        <v>1799</v>
      </c>
      <c r="H1326" s="19" t="s">
        <v>644</v>
      </c>
      <c r="I1326" s="19" t="s">
        <v>1097</v>
      </c>
      <c r="J1326" s="19">
        <v>0</v>
      </c>
      <c r="K1326" s="19" t="s">
        <v>553</v>
      </c>
      <c r="L1326" s="19">
        <v>2023</v>
      </c>
      <c r="M1326" s="20">
        <v>1</v>
      </c>
      <c r="N1326" s="19" t="s">
        <v>1798</v>
      </c>
      <c r="O1326" s="20">
        <v>0</v>
      </c>
      <c r="P1326" s="20">
        <v>0</v>
      </c>
      <c r="Q1326" s="20">
        <v>0</v>
      </c>
      <c r="R1326" s="21">
        <v>0.87</v>
      </c>
      <c r="S1326" s="20">
        <v>0</v>
      </c>
    </row>
    <row r="1327" spans="2:19" ht="15" customHeight="1" x14ac:dyDescent="0.25">
      <c r="B1327" s="2" t="str">
        <f t="shared" si="40"/>
        <v>NSG_Residential_Multi-Family_Partner Trade Ally Rebate_Steam Traps_Test_MF</v>
      </c>
      <c r="C1327" s="2" t="str">
        <f t="shared" si="41"/>
        <v>NSG_Residential_Multi-Family_Partner Trade Ally Rebate_Steam Traps_Test_MF_2024</v>
      </c>
      <c r="D1327" s="19" t="s">
        <v>1787</v>
      </c>
      <c r="E1327" s="19" t="s">
        <v>2</v>
      </c>
      <c r="F1327" s="19" t="s">
        <v>1422</v>
      </c>
      <c r="G1327" s="19" t="s">
        <v>1799</v>
      </c>
      <c r="H1327" s="19" t="s">
        <v>644</v>
      </c>
      <c r="I1327" s="19" t="s">
        <v>1097</v>
      </c>
      <c r="J1327" s="19">
        <v>0</v>
      </c>
      <c r="K1327" s="19" t="s">
        <v>553</v>
      </c>
      <c r="L1327" s="19">
        <v>2024</v>
      </c>
      <c r="M1327" s="20">
        <v>1</v>
      </c>
      <c r="N1327" s="19" t="s">
        <v>1798</v>
      </c>
      <c r="O1327" s="20">
        <v>0</v>
      </c>
      <c r="P1327" s="20">
        <v>0</v>
      </c>
      <c r="Q1327" s="20">
        <v>0</v>
      </c>
      <c r="R1327" s="21">
        <v>0.87</v>
      </c>
      <c r="S1327" s="20">
        <v>0</v>
      </c>
    </row>
    <row r="1328" spans="2:19" ht="15" customHeight="1" x14ac:dyDescent="0.25">
      <c r="B1328" s="2" t="str">
        <f t="shared" si="40"/>
        <v>NSG_Residential_Multi-Family_Partner Trade Ally Rebate_Steam Traps_Test_MF</v>
      </c>
      <c r="C1328" s="2" t="str">
        <f t="shared" si="41"/>
        <v>NSG_Residential_Multi-Family_Partner Trade Ally Rebate_Steam Traps_Test_MF_2025</v>
      </c>
      <c r="D1328" s="19" t="s">
        <v>1787</v>
      </c>
      <c r="E1328" s="19" t="s">
        <v>2</v>
      </c>
      <c r="F1328" s="19" t="s">
        <v>1422</v>
      </c>
      <c r="G1328" s="19" t="s">
        <v>1799</v>
      </c>
      <c r="H1328" s="19" t="s">
        <v>644</v>
      </c>
      <c r="I1328" s="19" t="s">
        <v>1097</v>
      </c>
      <c r="J1328" s="19">
        <v>0</v>
      </c>
      <c r="K1328" s="19" t="s">
        <v>553</v>
      </c>
      <c r="L1328" s="19">
        <v>2025</v>
      </c>
      <c r="M1328" s="20">
        <v>1</v>
      </c>
      <c r="N1328" s="19" t="s">
        <v>1798</v>
      </c>
      <c r="O1328" s="20">
        <v>0</v>
      </c>
      <c r="P1328" s="20">
        <v>0</v>
      </c>
      <c r="Q1328" s="20">
        <v>0</v>
      </c>
      <c r="R1328" s="21">
        <v>0.87</v>
      </c>
      <c r="S1328" s="20">
        <v>0</v>
      </c>
    </row>
    <row r="1329" spans="2:19" ht="15" customHeight="1" x14ac:dyDescent="0.25">
      <c r="B1329" s="2" t="str">
        <f t="shared" si="40"/>
        <v>NSG_Residential_Multi-Family_Partner Trade Ally Rebate_Condensate Tank Insulation_0_MF/CI/SMB</v>
      </c>
      <c r="C1329" s="2" t="str">
        <f t="shared" si="41"/>
        <v>NSG_Residential_Multi-Family_Partner Trade Ally Rebate_Condensate Tank Insulation_0_MF/CI/SMB_2022</v>
      </c>
      <c r="D1329" s="19" t="s">
        <v>1787</v>
      </c>
      <c r="E1329" s="19" t="s">
        <v>2</v>
      </c>
      <c r="F1329" s="19" t="s">
        <v>1422</v>
      </c>
      <c r="G1329" s="19" t="s">
        <v>1799</v>
      </c>
      <c r="H1329" s="19" t="s">
        <v>806</v>
      </c>
      <c r="I1329" s="19">
        <v>0</v>
      </c>
      <c r="J1329" s="19" t="s">
        <v>810</v>
      </c>
      <c r="K1329" s="19" t="s">
        <v>662</v>
      </c>
      <c r="L1329" s="19">
        <v>2022</v>
      </c>
      <c r="M1329" s="20">
        <v>550</v>
      </c>
      <c r="N1329" s="19" t="s">
        <v>634</v>
      </c>
      <c r="O1329" s="20">
        <v>2</v>
      </c>
      <c r="P1329" s="20">
        <v>1100</v>
      </c>
      <c r="Q1329" s="20">
        <v>16026.111045453637</v>
      </c>
      <c r="R1329" s="21">
        <v>0.87</v>
      </c>
      <c r="S1329" s="20">
        <v>16026.111045453637</v>
      </c>
    </row>
    <row r="1330" spans="2:19" ht="15" customHeight="1" x14ac:dyDescent="0.25">
      <c r="B1330" s="2" t="str">
        <f t="shared" si="40"/>
        <v>NSG_Residential_Multi-Family_Partner Trade Ally Rebate_Condensate Tank Insulation_0_MF/CI/SMB</v>
      </c>
      <c r="C1330" s="2" t="str">
        <f t="shared" si="41"/>
        <v>NSG_Residential_Multi-Family_Partner Trade Ally Rebate_Condensate Tank Insulation_0_MF/CI/SMB_2023</v>
      </c>
      <c r="D1330" s="19" t="s">
        <v>1787</v>
      </c>
      <c r="E1330" s="19" t="s">
        <v>2</v>
      </c>
      <c r="F1330" s="19" t="s">
        <v>1422</v>
      </c>
      <c r="G1330" s="19" t="s">
        <v>1799</v>
      </c>
      <c r="H1330" s="19" t="s">
        <v>806</v>
      </c>
      <c r="I1330" s="19">
        <v>0</v>
      </c>
      <c r="J1330" s="19" t="s">
        <v>810</v>
      </c>
      <c r="K1330" s="19" t="s">
        <v>662</v>
      </c>
      <c r="L1330" s="19">
        <v>2023</v>
      </c>
      <c r="M1330" s="20">
        <v>550</v>
      </c>
      <c r="N1330" s="19" t="s">
        <v>634</v>
      </c>
      <c r="O1330" s="20">
        <v>2</v>
      </c>
      <c r="P1330" s="20">
        <v>1100</v>
      </c>
      <c r="Q1330" s="20">
        <v>16026.111045453637</v>
      </c>
      <c r="R1330" s="21">
        <v>0.87</v>
      </c>
      <c r="S1330" s="20">
        <v>16026.111045453637</v>
      </c>
    </row>
    <row r="1331" spans="2:19" ht="15" customHeight="1" x14ac:dyDescent="0.25">
      <c r="B1331" s="2" t="str">
        <f t="shared" si="40"/>
        <v>NSG_Residential_Multi-Family_Partner Trade Ally Rebate_Condensate Tank Insulation_0_MF/CI/SMB</v>
      </c>
      <c r="C1331" s="2" t="str">
        <f t="shared" si="41"/>
        <v>NSG_Residential_Multi-Family_Partner Trade Ally Rebate_Condensate Tank Insulation_0_MF/CI/SMB_2024</v>
      </c>
      <c r="D1331" s="19" t="s">
        <v>1787</v>
      </c>
      <c r="E1331" s="19" t="s">
        <v>2</v>
      </c>
      <c r="F1331" s="19" t="s">
        <v>1422</v>
      </c>
      <c r="G1331" s="19" t="s">
        <v>1799</v>
      </c>
      <c r="H1331" s="19" t="s">
        <v>806</v>
      </c>
      <c r="I1331" s="19">
        <v>0</v>
      </c>
      <c r="J1331" s="19" t="s">
        <v>810</v>
      </c>
      <c r="K1331" s="19" t="s">
        <v>662</v>
      </c>
      <c r="L1331" s="19">
        <v>2024</v>
      </c>
      <c r="M1331" s="20">
        <v>550</v>
      </c>
      <c r="N1331" s="19" t="s">
        <v>634</v>
      </c>
      <c r="O1331" s="20">
        <v>2</v>
      </c>
      <c r="P1331" s="20">
        <v>1100</v>
      </c>
      <c r="Q1331" s="20">
        <v>16026.111045453637</v>
      </c>
      <c r="R1331" s="21">
        <v>0.87</v>
      </c>
      <c r="S1331" s="20">
        <v>16026.111045453637</v>
      </c>
    </row>
    <row r="1332" spans="2:19" ht="15" customHeight="1" x14ac:dyDescent="0.25">
      <c r="B1332" s="2" t="str">
        <f t="shared" si="40"/>
        <v>NSG_Residential_Multi-Family_Partner Trade Ally Rebate_Condensate Tank Insulation_0_MF/CI/SMB</v>
      </c>
      <c r="C1332" s="2" t="str">
        <f t="shared" si="41"/>
        <v>NSG_Residential_Multi-Family_Partner Trade Ally Rebate_Condensate Tank Insulation_0_MF/CI/SMB_2025</v>
      </c>
      <c r="D1332" s="19" t="s">
        <v>1787</v>
      </c>
      <c r="E1332" s="19" t="s">
        <v>2</v>
      </c>
      <c r="F1332" s="19" t="s">
        <v>1422</v>
      </c>
      <c r="G1332" s="19" t="s">
        <v>1799</v>
      </c>
      <c r="H1332" s="19" t="s">
        <v>806</v>
      </c>
      <c r="I1332" s="19">
        <v>0</v>
      </c>
      <c r="J1332" s="19" t="s">
        <v>810</v>
      </c>
      <c r="K1332" s="19" t="s">
        <v>662</v>
      </c>
      <c r="L1332" s="19">
        <v>2025</v>
      </c>
      <c r="M1332" s="20">
        <v>550</v>
      </c>
      <c r="N1332" s="19" t="s">
        <v>634</v>
      </c>
      <c r="O1332" s="20">
        <v>2</v>
      </c>
      <c r="P1332" s="20">
        <v>1100</v>
      </c>
      <c r="Q1332" s="20">
        <v>16026.111045453637</v>
      </c>
      <c r="R1332" s="21">
        <v>0.87</v>
      </c>
      <c r="S1332" s="20">
        <v>16026.111045453637</v>
      </c>
    </row>
    <row r="1333" spans="2:19" ht="15" customHeight="1" x14ac:dyDescent="0.25">
      <c r="B1333" s="2" t="str">
        <f t="shared" si="40"/>
        <v>NSG_Residential_Multi-Family_Partner Trade Ally Rebate_DHW Storage Tank Insulation_0_MF/CI/SMB</v>
      </c>
      <c r="C1333" s="2" t="str">
        <f t="shared" si="41"/>
        <v>NSG_Residential_Multi-Family_Partner Trade Ally Rebate_DHW Storage Tank Insulation_0_MF/CI/SMB_2022</v>
      </c>
      <c r="D1333" s="19" t="s">
        <v>1787</v>
      </c>
      <c r="E1333" s="19" t="s">
        <v>2</v>
      </c>
      <c r="F1333" s="19" t="s">
        <v>1422</v>
      </c>
      <c r="G1333" s="19" t="s">
        <v>1799</v>
      </c>
      <c r="H1333" s="19" t="s">
        <v>832</v>
      </c>
      <c r="I1333" s="19">
        <v>0</v>
      </c>
      <c r="J1333" s="19" t="s">
        <v>810</v>
      </c>
      <c r="K1333" s="19" t="s">
        <v>662</v>
      </c>
      <c r="L1333" s="19">
        <v>2022</v>
      </c>
      <c r="M1333" s="20">
        <v>56</v>
      </c>
      <c r="N1333" s="19" t="s">
        <v>634</v>
      </c>
      <c r="O1333" s="20">
        <v>1</v>
      </c>
      <c r="P1333" s="20">
        <v>56</v>
      </c>
      <c r="Q1333" s="20">
        <v>338.86576837285122</v>
      </c>
      <c r="R1333" s="21">
        <v>0.87</v>
      </c>
      <c r="S1333" s="20">
        <v>338.86576837285122</v>
      </c>
    </row>
    <row r="1334" spans="2:19" ht="15" customHeight="1" x14ac:dyDescent="0.25">
      <c r="B1334" s="2" t="str">
        <f t="shared" si="40"/>
        <v>NSG_Residential_Multi-Family_Partner Trade Ally Rebate_DHW Storage Tank Insulation_0_MF/CI/SMB</v>
      </c>
      <c r="C1334" s="2" t="str">
        <f t="shared" si="41"/>
        <v>NSG_Residential_Multi-Family_Partner Trade Ally Rebate_DHW Storage Tank Insulation_0_MF/CI/SMB_2023</v>
      </c>
      <c r="D1334" s="19" t="s">
        <v>1787</v>
      </c>
      <c r="E1334" s="19" t="s">
        <v>2</v>
      </c>
      <c r="F1334" s="19" t="s">
        <v>1422</v>
      </c>
      <c r="G1334" s="19" t="s">
        <v>1799</v>
      </c>
      <c r="H1334" s="19" t="s">
        <v>832</v>
      </c>
      <c r="I1334" s="19">
        <v>0</v>
      </c>
      <c r="J1334" s="19" t="s">
        <v>810</v>
      </c>
      <c r="K1334" s="19" t="s">
        <v>662</v>
      </c>
      <c r="L1334" s="19">
        <v>2023</v>
      </c>
      <c r="M1334" s="20">
        <v>56</v>
      </c>
      <c r="N1334" s="19" t="s">
        <v>634</v>
      </c>
      <c r="O1334" s="20">
        <v>1</v>
      </c>
      <c r="P1334" s="20">
        <v>56</v>
      </c>
      <c r="Q1334" s="20">
        <v>338.86576837285122</v>
      </c>
      <c r="R1334" s="21">
        <v>0.87</v>
      </c>
      <c r="S1334" s="20">
        <v>338.86576837285122</v>
      </c>
    </row>
    <row r="1335" spans="2:19" ht="15" customHeight="1" x14ac:dyDescent="0.25">
      <c r="B1335" s="2" t="str">
        <f t="shared" si="40"/>
        <v>NSG_Residential_Multi-Family_Partner Trade Ally Rebate_DHW Storage Tank Insulation_0_MF/CI/SMB</v>
      </c>
      <c r="C1335" s="2" t="str">
        <f t="shared" si="41"/>
        <v>NSG_Residential_Multi-Family_Partner Trade Ally Rebate_DHW Storage Tank Insulation_0_MF/CI/SMB_2024</v>
      </c>
      <c r="D1335" s="19" t="s">
        <v>1787</v>
      </c>
      <c r="E1335" s="19" t="s">
        <v>2</v>
      </c>
      <c r="F1335" s="19" t="s">
        <v>1422</v>
      </c>
      <c r="G1335" s="19" t="s">
        <v>1799</v>
      </c>
      <c r="H1335" s="19" t="s">
        <v>832</v>
      </c>
      <c r="I1335" s="19">
        <v>0</v>
      </c>
      <c r="J1335" s="19" t="s">
        <v>810</v>
      </c>
      <c r="K1335" s="19" t="s">
        <v>662</v>
      </c>
      <c r="L1335" s="19">
        <v>2024</v>
      </c>
      <c r="M1335" s="20">
        <v>56</v>
      </c>
      <c r="N1335" s="19" t="s">
        <v>634</v>
      </c>
      <c r="O1335" s="20">
        <v>1</v>
      </c>
      <c r="P1335" s="20">
        <v>56</v>
      </c>
      <c r="Q1335" s="20">
        <v>338.86576837285122</v>
      </c>
      <c r="R1335" s="21">
        <v>0.87</v>
      </c>
      <c r="S1335" s="20">
        <v>338.86576837285122</v>
      </c>
    </row>
    <row r="1336" spans="2:19" ht="15" customHeight="1" x14ac:dyDescent="0.25">
      <c r="B1336" s="2" t="str">
        <f t="shared" si="40"/>
        <v>NSG_Residential_Multi-Family_Partner Trade Ally Rebate_DHW Storage Tank Insulation_0_MF/CI/SMB</v>
      </c>
      <c r="C1336" s="2" t="str">
        <f t="shared" si="41"/>
        <v>NSG_Residential_Multi-Family_Partner Trade Ally Rebate_DHW Storage Tank Insulation_0_MF/CI/SMB_2025</v>
      </c>
      <c r="D1336" s="19" t="s">
        <v>1787</v>
      </c>
      <c r="E1336" s="19" t="s">
        <v>2</v>
      </c>
      <c r="F1336" s="19" t="s">
        <v>1422</v>
      </c>
      <c r="G1336" s="19" t="s">
        <v>1799</v>
      </c>
      <c r="H1336" s="19" t="s">
        <v>832</v>
      </c>
      <c r="I1336" s="19">
        <v>0</v>
      </c>
      <c r="J1336" s="19" t="s">
        <v>810</v>
      </c>
      <c r="K1336" s="19" t="s">
        <v>662</v>
      </c>
      <c r="L1336" s="19">
        <v>2025</v>
      </c>
      <c r="M1336" s="20">
        <v>56</v>
      </c>
      <c r="N1336" s="19" t="s">
        <v>634</v>
      </c>
      <c r="O1336" s="20">
        <v>1</v>
      </c>
      <c r="P1336" s="20">
        <v>56</v>
      </c>
      <c r="Q1336" s="20">
        <v>338.86576837285122</v>
      </c>
      <c r="R1336" s="21">
        <v>0.87</v>
      </c>
      <c r="S1336" s="20">
        <v>338.86576837285122</v>
      </c>
    </row>
    <row r="1337" spans="2:19" ht="15" customHeight="1" x14ac:dyDescent="0.25">
      <c r="B1337" s="2" t="str">
        <f t="shared" si="40"/>
        <v>NSG_Residential_Multi-Family_Partner Trade Ally Rebate_Linkageless Controls_0_MF</v>
      </c>
      <c r="C1337" s="2" t="str">
        <f t="shared" si="41"/>
        <v>NSG_Residential_Multi-Family_Partner Trade Ally Rebate_Linkageless Controls_0_MF_2022</v>
      </c>
      <c r="D1337" s="19" t="s">
        <v>1787</v>
      </c>
      <c r="E1337" s="19" t="s">
        <v>2</v>
      </c>
      <c r="F1337" s="19" t="s">
        <v>1422</v>
      </c>
      <c r="G1337" s="19" t="s">
        <v>1799</v>
      </c>
      <c r="H1337" s="19" t="s">
        <v>1287</v>
      </c>
      <c r="I1337" s="19">
        <v>0</v>
      </c>
      <c r="J1337" s="19" t="s">
        <v>28</v>
      </c>
      <c r="K1337" s="19" t="s">
        <v>553</v>
      </c>
      <c r="L1337" s="19">
        <v>2022</v>
      </c>
      <c r="M1337" s="20">
        <v>5000</v>
      </c>
      <c r="N1337" s="19" t="s">
        <v>667</v>
      </c>
      <c r="O1337" s="20">
        <v>0</v>
      </c>
      <c r="P1337" s="20">
        <v>0</v>
      </c>
      <c r="Q1337" s="20">
        <v>0</v>
      </c>
      <c r="R1337" s="21">
        <v>0.87</v>
      </c>
      <c r="S1337" s="20">
        <v>0</v>
      </c>
    </row>
    <row r="1338" spans="2:19" ht="15" customHeight="1" x14ac:dyDescent="0.25">
      <c r="B1338" s="2" t="str">
        <f t="shared" si="40"/>
        <v>NSG_Residential_Multi-Family_Partner Trade Ally Rebate_Linkageless Controls_0_MF</v>
      </c>
      <c r="C1338" s="2" t="str">
        <f t="shared" si="41"/>
        <v>NSG_Residential_Multi-Family_Partner Trade Ally Rebate_Linkageless Controls_0_MF_2023</v>
      </c>
      <c r="D1338" s="19" t="s">
        <v>1787</v>
      </c>
      <c r="E1338" s="19" t="s">
        <v>2</v>
      </c>
      <c r="F1338" s="19" t="s">
        <v>1422</v>
      </c>
      <c r="G1338" s="19" t="s">
        <v>1799</v>
      </c>
      <c r="H1338" s="19" t="s">
        <v>1287</v>
      </c>
      <c r="I1338" s="19">
        <v>0</v>
      </c>
      <c r="J1338" s="19" t="s">
        <v>28</v>
      </c>
      <c r="K1338" s="19" t="s">
        <v>553</v>
      </c>
      <c r="L1338" s="19">
        <v>2023</v>
      </c>
      <c r="M1338" s="20">
        <v>5000</v>
      </c>
      <c r="N1338" s="19" t="s">
        <v>667</v>
      </c>
      <c r="O1338" s="20">
        <v>0</v>
      </c>
      <c r="P1338" s="20">
        <v>0</v>
      </c>
      <c r="Q1338" s="20">
        <v>0</v>
      </c>
      <c r="R1338" s="21">
        <v>0.87</v>
      </c>
      <c r="S1338" s="20">
        <v>0</v>
      </c>
    </row>
    <row r="1339" spans="2:19" ht="15" customHeight="1" x14ac:dyDescent="0.25">
      <c r="B1339" s="2" t="str">
        <f t="shared" si="40"/>
        <v>NSG_Residential_Multi-Family_Partner Trade Ally Rebate_Linkageless Controls_0_MF</v>
      </c>
      <c r="C1339" s="2" t="str">
        <f t="shared" si="41"/>
        <v>NSG_Residential_Multi-Family_Partner Trade Ally Rebate_Linkageless Controls_0_MF_2024</v>
      </c>
      <c r="D1339" s="19" t="s">
        <v>1787</v>
      </c>
      <c r="E1339" s="19" t="s">
        <v>2</v>
      </c>
      <c r="F1339" s="19" t="s">
        <v>1422</v>
      </c>
      <c r="G1339" s="19" t="s">
        <v>1799</v>
      </c>
      <c r="H1339" s="19" t="s">
        <v>1287</v>
      </c>
      <c r="I1339" s="19">
        <v>0</v>
      </c>
      <c r="J1339" s="19" t="s">
        <v>28</v>
      </c>
      <c r="K1339" s="19" t="s">
        <v>553</v>
      </c>
      <c r="L1339" s="19">
        <v>2024</v>
      </c>
      <c r="M1339" s="20">
        <v>5000</v>
      </c>
      <c r="N1339" s="19" t="s">
        <v>667</v>
      </c>
      <c r="O1339" s="20">
        <v>0</v>
      </c>
      <c r="P1339" s="20">
        <v>0</v>
      </c>
      <c r="Q1339" s="20">
        <v>0</v>
      </c>
      <c r="R1339" s="21">
        <v>0.87</v>
      </c>
      <c r="S1339" s="20">
        <v>0</v>
      </c>
    </row>
    <row r="1340" spans="2:19" ht="15" customHeight="1" x14ac:dyDescent="0.25">
      <c r="B1340" s="2" t="str">
        <f t="shared" si="40"/>
        <v>NSG_Residential_Multi-Family_Partner Trade Ally Rebate_Linkageless Controls_0_MF</v>
      </c>
      <c r="C1340" s="2" t="str">
        <f t="shared" si="41"/>
        <v>NSG_Residential_Multi-Family_Partner Trade Ally Rebate_Linkageless Controls_0_MF_2025</v>
      </c>
      <c r="D1340" s="19" t="s">
        <v>1787</v>
      </c>
      <c r="E1340" s="19" t="s">
        <v>2</v>
      </c>
      <c r="F1340" s="19" t="s">
        <v>1422</v>
      </c>
      <c r="G1340" s="19" t="s">
        <v>1799</v>
      </c>
      <c r="H1340" s="19" t="s">
        <v>1287</v>
      </c>
      <c r="I1340" s="19">
        <v>0</v>
      </c>
      <c r="J1340" s="19" t="s">
        <v>28</v>
      </c>
      <c r="K1340" s="19" t="s">
        <v>553</v>
      </c>
      <c r="L1340" s="19">
        <v>2025</v>
      </c>
      <c r="M1340" s="20">
        <v>5000</v>
      </c>
      <c r="N1340" s="19" t="s">
        <v>667</v>
      </c>
      <c r="O1340" s="20">
        <v>0</v>
      </c>
      <c r="P1340" s="20">
        <v>0</v>
      </c>
      <c r="Q1340" s="20">
        <v>0</v>
      </c>
      <c r="R1340" s="21">
        <v>0.87</v>
      </c>
      <c r="S1340" s="20">
        <v>0</v>
      </c>
    </row>
    <row r="1341" spans="2:19" ht="15" customHeight="1" x14ac:dyDescent="0.25">
      <c r="B1341" s="2" t="str">
        <f t="shared" si="40"/>
        <v>NSG_Residential_Multi-Family_Partner Trade Ally Rebate_On Demand DHW Circulation System_0_MF</v>
      </c>
      <c r="C1341" s="2" t="str">
        <f t="shared" si="41"/>
        <v>NSG_Residential_Multi-Family_Partner Trade Ally Rebate_On Demand DHW Circulation System_0_MF_2022</v>
      </c>
      <c r="D1341" s="19" t="s">
        <v>1787</v>
      </c>
      <c r="E1341" s="19" t="s">
        <v>2</v>
      </c>
      <c r="F1341" s="19" t="s">
        <v>1422</v>
      </c>
      <c r="G1341" s="19" t="s">
        <v>1799</v>
      </c>
      <c r="H1341" s="19" t="s">
        <v>1075</v>
      </c>
      <c r="I1341" s="19">
        <v>0</v>
      </c>
      <c r="J1341" s="19" t="s">
        <v>26</v>
      </c>
      <c r="K1341" s="19" t="s">
        <v>553</v>
      </c>
      <c r="L1341" s="19">
        <v>2022</v>
      </c>
      <c r="M1341" s="20">
        <v>1</v>
      </c>
      <c r="N1341" s="19" t="s">
        <v>1804</v>
      </c>
      <c r="O1341" s="20">
        <v>100</v>
      </c>
      <c r="P1341" s="20">
        <v>100</v>
      </c>
      <c r="Q1341" s="20">
        <v>5453.7777481980002</v>
      </c>
      <c r="R1341" s="21">
        <v>0.87</v>
      </c>
      <c r="S1341" s="20">
        <v>5453.7777481980002</v>
      </c>
    </row>
    <row r="1342" spans="2:19" ht="15" customHeight="1" x14ac:dyDescent="0.25">
      <c r="B1342" s="2" t="str">
        <f t="shared" si="40"/>
        <v>NSG_Residential_Multi-Family_Partner Trade Ally Rebate_On Demand DHW Circulation System_0_MF</v>
      </c>
      <c r="C1342" s="2" t="str">
        <f t="shared" si="41"/>
        <v>NSG_Residential_Multi-Family_Partner Trade Ally Rebate_On Demand DHW Circulation System_0_MF_2023</v>
      </c>
      <c r="D1342" s="19" t="s">
        <v>1787</v>
      </c>
      <c r="E1342" s="19" t="s">
        <v>2</v>
      </c>
      <c r="F1342" s="19" t="s">
        <v>1422</v>
      </c>
      <c r="G1342" s="19" t="s">
        <v>1799</v>
      </c>
      <c r="H1342" s="19" t="s">
        <v>1075</v>
      </c>
      <c r="I1342" s="19">
        <v>0</v>
      </c>
      <c r="J1342" s="19" t="s">
        <v>26</v>
      </c>
      <c r="K1342" s="19" t="s">
        <v>553</v>
      </c>
      <c r="L1342" s="19">
        <v>2023</v>
      </c>
      <c r="M1342" s="20">
        <v>1</v>
      </c>
      <c r="N1342" s="19" t="s">
        <v>1804</v>
      </c>
      <c r="O1342" s="20">
        <v>100</v>
      </c>
      <c r="P1342" s="20">
        <v>100</v>
      </c>
      <c r="Q1342" s="20">
        <v>5453.7777481980002</v>
      </c>
      <c r="R1342" s="21">
        <v>0.87</v>
      </c>
      <c r="S1342" s="20">
        <v>5453.7777481980002</v>
      </c>
    </row>
    <row r="1343" spans="2:19" ht="15" customHeight="1" x14ac:dyDescent="0.25">
      <c r="B1343" s="2" t="str">
        <f t="shared" si="40"/>
        <v>NSG_Residential_Multi-Family_Partner Trade Ally Rebate_On Demand DHW Circulation System_0_MF</v>
      </c>
      <c r="C1343" s="2" t="str">
        <f t="shared" si="41"/>
        <v>NSG_Residential_Multi-Family_Partner Trade Ally Rebate_On Demand DHW Circulation System_0_MF_2024</v>
      </c>
      <c r="D1343" s="19" t="s">
        <v>1787</v>
      </c>
      <c r="E1343" s="19" t="s">
        <v>2</v>
      </c>
      <c r="F1343" s="19" t="s">
        <v>1422</v>
      </c>
      <c r="G1343" s="19" t="s">
        <v>1799</v>
      </c>
      <c r="H1343" s="19" t="s">
        <v>1075</v>
      </c>
      <c r="I1343" s="19">
        <v>0</v>
      </c>
      <c r="J1343" s="19" t="s">
        <v>26</v>
      </c>
      <c r="K1343" s="19" t="s">
        <v>553</v>
      </c>
      <c r="L1343" s="19">
        <v>2024</v>
      </c>
      <c r="M1343" s="20">
        <v>1</v>
      </c>
      <c r="N1343" s="19" t="s">
        <v>1804</v>
      </c>
      <c r="O1343" s="20">
        <v>100</v>
      </c>
      <c r="P1343" s="20">
        <v>100</v>
      </c>
      <c r="Q1343" s="20">
        <v>5453.7777481980002</v>
      </c>
      <c r="R1343" s="21">
        <v>0.87</v>
      </c>
      <c r="S1343" s="20">
        <v>5453.7777481980002</v>
      </c>
    </row>
    <row r="1344" spans="2:19" ht="15" customHeight="1" x14ac:dyDescent="0.25">
      <c r="B1344" s="2" t="str">
        <f t="shared" si="40"/>
        <v>NSG_Residential_Multi-Family_Partner Trade Ally Rebate_On Demand DHW Circulation System_0_MF</v>
      </c>
      <c r="C1344" s="2" t="str">
        <f t="shared" si="41"/>
        <v>NSG_Residential_Multi-Family_Partner Trade Ally Rebate_On Demand DHW Circulation System_0_MF_2025</v>
      </c>
      <c r="D1344" s="19" t="s">
        <v>1787</v>
      </c>
      <c r="E1344" s="19" t="s">
        <v>2</v>
      </c>
      <c r="F1344" s="19" t="s">
        <v>1422</v>
      </c>
      <c r="G1344" s="19" t="s">
        <v>1799</v>
      </c>
      <c r="H1344" s="19" t="s">
        <v>1075</v>
      </c>
      <c r="I1344" s="19">
        <v>0</v>
      </c>
      <c r="J1344" s="19" t="s">
        <v>26</v>
      </c>
      <c r="K1344" s="19" t="s">
        <v>553</v>
      </c>
      <c r="L1344" s="19">
        <v>2025</v>
      </c>
      <c r="M1344" s="20">
        <v>1</v>
      </c>
      <c r="N1344" s="19" t="s">
        <v>1804</v>
      </c>
      <c r="O1344" s="20">
        <v>100</v>
      </c>
      <c r="P1344" s="20">
        <v>100</v>
      </c>
      <c r="Q1344" s="20">
        <v>5453.7777481980002</v>
      </c>
      <c r="R1344" s="21">
        <v>0.87</v>
      </c>
      <c r="S1344" s="20">
        <v>5453.7777481980002</v>
      </c>
    </row>
    <row r="1345" spans="2:19" ht="15" customHeight="1" x14ac:dyDescent="0.25">
      <c r="B1345" s="2" t="str">
        <f t="shared" si="40"/>
        <v>NSG_Residential_Multi-Family_Partner Trade Ally Rebate_Modulating Commercial Gas Clothes Dryer_Hotels &amp; Hospitals_CI</v>
      </c>
      <c r="C1345" s="2" t="str">
        <f t="shared" si="41"/>
        <v>NSG_Residential_Multi-Family_Partner Trade Ally Rebate_Modulating Commercial Gas Clothes Dryer_Hotels &amp; Hospitals_CI_2022</v>
      </c>
      <c r="D1345" s="19" t="s">
        <v>1787</v>
      </c>
      <c r="E1345" s="19" t="s">
        <v>2</v>
      </c>
      <c r="F1345" s="19" t="s">
        <v>1422</v>
      </c>
      <c r="G1345" s="19" t="s">
        <v>1799</v>
      </c>
      <c r="H1345" s="19" t="s">
        <v>12</v>
      </c>
      <c r="I1345" s="19" t="s">
        <v>1253</v>
      </c>
      <c r="J1345" s="19" t="s">
        <v>29</v>
      </c>
      <c r="K1345" s="19" t="s">
        <v>1159</v>
      </c>
      <c r="L1345" s="19">
        <v>2022</v>
      </c>
      <c r="M1345" s="20">
        <v>1</v>
      </c>
      <c r="N1345" s="19" t="s">
        <v>1798</v>
      </c>
      <c r="O1345" s="20">
        <v>0</v>
      </c>
      <c r="P1345" s="20">
        <v>0</v>
      </c>
      <c r="Q1345" s="20">
        <v>0</v>
      </c>
      <c r="R1345" s="21">
        <v>0.87</v>
      </c>
      <c r="S1345" s="20">
        <v>0</v>
      </c>
    </row>
    <row r="1346" spans="2:19" ht="15" customHeight="1" x14ac:dyDescent="0.25">
      <c r="B1346" s="2" t="str">
        <f t="shared" si="40"/>
        <v>NSG_Residential_Multi-Family_Partner Trade Ally Rebate_Modulating Commercial Gas Clothes Dryer_Hotels &amp; Hospitals_CI</v>
      </c>
      <c r="C1346" s="2" t="str">
        <f t="shared" si="41"/>
        <v>NSG_Residential_Multi-Family_Partner Trade Ally Rebate_Modulating Commercial Gas Clothes Dryer_Hotels &amp; Hospitals_CI_2023</v>
      </c>
      <c r="D1346" s="19" t="s">
        <v>1787</v>
      </c>
      <c r="E1346" s="19" t="s">
        <v>2</v>
      </c>
      <c r="F1346" s="19" t="s">
        <v>1422</v>
      </c>
      <c r="G1346" s="19" t="s">
        <v>1799</v>
      </c>
      <c r="H1346" s="19" t="s">
        <v>12</v>
      </c>
      <c r="I1346" s="19" t="s">
        <v>1253</v>
      </c>
      <c r="J1346" s="19" t="s">
        <v>29</v>
      </c>
      <c r="K1346" s="19" t="s">
        <v>1159</v>
      </c>
      <c r="L1346" s="19">
        <v>2023</v>
      </c>
      <c r="M1346" s="20">
        <v>1</v>
      </c>
      <c r="N1346" s="19" t="s">
        <v>1798</v>
      </c>
      <c r="O1346" s="20">
        <v>0</v>
      </c>
      <c r="P1346" s="20">
        <v>0</v>
      </c>
      <c r="Q1346" s="20">
        <v>0</v>
      </c>
      <c r="R1346" s="21">
        <v>0.87</v>
      </c>
      <c r="S1346" s="20">
        <v>0</v>
      </c>
    </row>
    <row r="1347" spans="2:19" ht="15" customHeight="1" x14ac:dyDescent="0.25">
      <c r="B1347" s="2" t="str">
        <f t="shared" si="40"/>
        <v>NSG_Residential_Multi-Family_Partner Trade Ally Rebate_Modulating Commercial Gas Clothes Dryer_Hotels &amp; Hospitals_CI</v>
      </c>
      <c r="C1347" s="2" t="str">
        <f t="shared" si="41"/>
        <v>NSG_Residential_Multi-Family_Partner Trade Ally Rebate_Modulating Commercial Gas Clothes Dryer_Hotels &amp; Hospitals_CI_2024</v>
      </c>
      <c r="D1347" s="19" t="s">
        <v>1787</v>
      </c>
      <c r="E1347" s="19" t="s">
        <v>2</v>
      </c>
      <c r="F1347" s="19" t="s">
        <v>1422</v>
      </c>
      <c r="G1347" s="19" t="s">
        <v>1799</v>
      </c>
      <c r="H1347" s="19" t="s">
        <v>12</v>
      </c>
      <c r="I1347" s="19" t="s">
        <v>1253</v>
      </c>
      <c r="J1347" s="19" t="s">
        <v>29</v>
      </c>
      <c r="K1347" s="19" t="s">
        <v>1159</v>
      </c>
      <c r="L1347" s="19">
        <v>2024</v>
      </c>
      <c r="M1347" s="20">
        <v>1</v>
      </c>
      <c r="N1347" s="19" t="s">
        <v>1798</v>
      </c>
      <c r="O1347" s="20">
        <v>0</v>
      </c>
      <c r="P1347" s="20">
        <v>0</v>
      </c>
      <c r="Q1347" s="20">
        <v>0</v>
      </c>
      <c r="R1347" s="21">
        <v>0.87</v>
      </c>
      <c r="S1347" s="20">
        <v>0</v>
      </c>
    </row>
    <row r="1348" spans="2:19" ht="15" customHeight="1" x14ac:dyDescent="0.25">
      <c r="B1348" s="2" t="str">
        <f t="shared" si="40"/>
        <v>NSG_Residential_Multi-Family_Partner Trade Ally Rebate_Modulating Commercial Gas Clothes Dryer_Hotels &amp; Hospitals_CI</v>
      </c>
      <c r="C1348" s="2" t="str">
        <f t="shared" si="41"/>
        <v>NSG_Residential_Multi-Family_Partner Trade Ally Rebate_Modulating Commercial Gas Clothes Dryer_Hotels &amp; Hospitals_CI_2025</v>
      </c>
      <c r="D1348" s="19" t="s">
        <v>1787</v>
      </c>
      <c r="E1348" s="19" t="s">
        <v>2</v>
      </c>
      <c r="F1348" s="19" t="s">
        <v>1422</v>
      </c>
      <c r="G1348" s="19" t="s">
        <v>1799</v>
      </c>
      <c r="H1348" s="19" t="s">
        <v>12</v>
      </c>
      <c r="I1348" s="19" t="s">
        <v>1253</v>
      </c>
      <c r="J1348" s="19" t="s">
        <v>29</v>
      </c>
      <c r="K1348" s="19" t="s">
        <v>1159</v>
      </c>
      <c r="L1348" s="19">
        <v>2025</v>
      </c>
      <c r="M1348" s="20">
        <v>1</v>
      </c>
      <c r="N1348" s="19" t="s">
        <v>1798</v>
      </c>
      <c r="O1348" s="20">
        <v>0</v>
      </c>
      <c r="P1348" s="20">
        <v>0</v>
      </c>
      <c r="Q1348" s="20">
        <v>0</v>
      </c>
      <c r="R1348" s="21">
        <v>0.87</v>
      </c>
      <c r="S1348" s="20">
        <v>0</v>
      </c>
    </row>
    <row r="1349" spans="2:19" ht="15" customHeight="1" x14ac:dyDescent="0.25">
      <c r="B1349" s="2" t="str">
        <f t="shared" si="40"/>
        <v>NSG_Residential_Multi-Family_Partner Trade Ally Rebate_Modulating Commercial Gas Clothes Dryer_Laundromat &amp; MF Dorms_MF/SMB</v>
      </c>
      <c r="C1349" s="2" t="str">
        <f t="shared" si="41"/>
        <v>NSG_Residential_Multi-Family_Partner Trade Ally Rebate_Modulating Commercial Gas Clothes Dryer_Laundromat &amp; MF Dorms_MF/SMB_2022</v>
      </c>
      <c r="D1349" s="19" t="s">
        <v>1787</v>
      </c>
      <c r="E1349" s="19" t="s">
        <v>2</v>
      </c>
      <c r="F1349" s="19" t="s">
        <v>1422</v>
      </c>
      <c r="G1349" s="19" t="s">
        <v>1799</v>
      </c>
      <c r="H1349" s="19" t="s">
        <v>12</v>
      </c>
      <c r="I1349" s="19" t="s">
        <v>1255</v>
      </c>
      <c r="J1349" s="19" t="s">
        <v>29</v>
      </c>
      <c r="K1349" s="19" t="s">
        <v>1256</v>
      </c>
      <c r="L1349" s="19">
        <v>2022</v>
      </c>
      <c r="M1349" s="20">
        <v>2</v>
      </c>
      <c r="N1349" s="19" t="s">
        <v>1798</v>
      </c>
      <c r="O1349" s="20">
        <v>0</v>
      </c>
      <c r="P1349" s="20">
        <v>0</v>
      </c>
      <c r="Q1349" s="20">
        <v>0</v>
      </c>
      <c r="R1349" s="21">
        <v>0.87</v>
      </c>
      <c r="S1349" s="20">
        <v>0</v>
      </c>
    </row>
    <row r="1350" spans="2:19" ht="15" customHeight="1" x14ac:dyDescent="0.25">
      <c r="B1350" s="2" t="str">
        <f t="shared" ref="B1350:B1413" si="42">D1350&amp;"_"&amp;E1350&amp;"_"&amp;F1350&amp;"_"&amp;G1350&amp;"_"&amp;H1350&amp;"_"&amp;I1350&amp;"_"&amp;K1350</f>
        <v>NSG_Residential_Multi-Family_Partner Trade Ally Rebate_Modulating Commercial Gas Clothes Dryer_Laundromat &amp; MF Dorms_MF/SMB</v>
      </c>
      <c r="C1350" s="2" t="str">
        <f t="shared" ref="C1350:C1413" si="43">D1350&amp;"_"&amp;E1350&amp;"_"&amp;F1350&amp;"_"&amp;G1350&amp;"_"&amp;H1350&amp;"_"&amp;I1350&amp;"_"&amp;K1350&amp;"_"&amp;L1350</f>
        <v>NSG_Residential_Multi-Family_Partner Trade Ally Rebate_Modulating Commercial Gas Clothes Dryer_Laundromat &amp; MF Dorms_MF/SMB_2023</v>
      </c>
      <c r="D1350" s="19" t="s">
        <v>1787</v>
      </c>
      <c r="E1350" s="19" t="s">
        <v>2</v>
      </c>
      <c r="F1350" s="19" t="s">
        <v>1422</v>
      </c>
      <c r="G1350" s="19" t="s">
        <v>1799</v>
      </c>
      <c r="H1350" s="19" t="s">
        <v>12</v>
      </c>
      <c r="I1350" s="19" t="s">
        <v>1255</v>
      </c>
      <c r="J1350" s="19" t="s">
        <v>29</v>
      </c>
      <c r="K1350" s="19" t="s">
        <v>1256</v>
      </c>
      <c r="L1350" s="19">
        <v>2023</v>
      </c>
      <c r="M1350" s="20">
        <v>2</v>
      </c>
      <c r="N1350" s="19" t="s">
        <v>1798</v>
      </c>
      <c r="O1350" s="20">
        <v>0</v>
      </c>
      <c r="P1350" s="20">
        <v>0</v>
      </c>
      <c r="Q1350" s="20">
        <v>0</v>
      </c>
      <c r="R1350" s="21">
        <v>0.87</v>
      </c>
      <c r="S1350" s="20">
        <v>0</v>
      </c>
    </row>
    <row r="1351" spans="2:19" ht="15" customHeight="1" x14ac:dyDescent="0.25">
      <c r="B1351" s="2" t="str">
        <f t="shared" si="42"/>
        <v>NSG_Residential_Multi-Family_Partner Trade Ally Rebate_Modulating Commercial Gas Clothes Dryer_Laundromat &amp; MF Dorms_MF/SMB</v>
      </c>
      <c r="C1351" s="2" t="str">
        <f t="shared" si="43"/>
        <v>NSG_Residential_Multi-Family_Partner Trade Ally Rebate_Modulating Commercial Gas Clothes Dryer_Laundromat &amp; MF Dorms_MF/SMB_2024</v>
      </c>
      <c r="D1351" s="19" t="s">
        <v>1787</v>
      </c>
      <c r="E1351" s="19" t="s">
        <v>2</v>
      </c>
      <c r="F1351" s="19" t="s">
        <v>1422</v>
      </c>
      <c r="G1351" s="19" t="s">
        <v>1799</v>
      </c>
      <c r="H1351" s="19" t="s">
        <v>12</v>
      </c>
      <c r="I1351" s="19" t="s">
        <v>1255</v>
      </c>
      <c r="J1351" s="19" t="s">
        <v>29</v>
      </c>
      <c r="K1351" s="19" t="s">
        <v>1256</v>
      </c>
      <c r="L1351" s="19">
        <v>2024</v>
      </c>
      <c r="M1351" s="20">
        <v>2</v>
      </c>
      <c r="N1351" s="19" t="s">
        <v>1798</v>
      </c>
      <c r="O1351" s="20">
        <v>0</v>
      </c>
      <c r="P1351" s="20">
        <v>0</v>
      </c>
      <c r="Q1351" s="20">
        <v>0</v>
      </c>
      <c r="R1351" s="21">
        <v>0.87</v>
      </c>
      <c r="S1351" s="20">
        <v>0</v>
      </c>
    </row>
    <row r="1352" spans="2:19" ht="15" customHeight="1" x14ac:dyDescent="0.25">
      <c r="B1352" s="2" t="str">
        <f t="shared" si="42"/>
        <v>NSG_Residential_Multi-Family_Partner Trade Ally Rebate_Modulating Commercial Gas Clothes Dryer_Laundromat &amp; MF Dorms_MF/SMB</v>
      </c>
      <c r="C1352" s="2" t="str">
        <f t="shared" si="43"/>
        <v>NSG_Residential_Multi-Family_Partner Trade Ally Rebate_Modulating Commercial Gas Clothes Dryer_Laundromat &amp; MF Dorms_MF/SMB_2025</v>
      </c>
      <c r="D1352" s="19" t="s">
        <v>1787</v>
      </c>
      <c r="E1352" s="19" t="s">
        <v>2</v>
      </c>
      <c r="F1352" s="19" t="s">
        <v>1422</v>
      </c>
      <c r="G1352" s="19" t="s">
        <v>1799</v>
      </c>
      <c r="H1352" s="19" t="s">
        <v>12</v>
      </c>
      <c r="I1352" s="19" t="s">
        <v>1255</v>
      </c>
      <c r="J1352" s="19" t="s">
        <v>29</v>
      </c>
      <c r="K1352" s="19" t="s">
        <v>1256</v>
      </c>
      <c r="L1352" s="19">
        <v>2025</v>
      </c>
      <c r="M1352" s="20">
        <v>2</v>
      </c>
      <c r="N1352" s="19" t="s">
        <v>1798</v>
      </c>
      <c r="O1352" s="20">
        <v>0</v>
      </c>
      <c r="P1352" s="20">
        <v>0</v>
      </c>
      <c r="Q1352" s="20">
        <v>0</v>
      </c>
      <c r="R1352" s="21">
        <v>0.87</v>
      </c>
      <c r="S1352" s="20">
        <v>0</v>
      </c>
    </row>
    <row r="1353" spans="2:19" ht="15" customHeight="1" x14ac:dyDescent="0.25">
      <c r="B1353" s="2" t="str">
        <f t="shared" si="42"/>
        <v>NSG_Residential_Multi-Family_Partner Trade Ally Rebate_Water Heater_Central/Indirect MF ≥88% TE_MF</v>
      </c>
      <c r="C1353" s="2" t="str">
        <f t="shared" si="43"/>
        <v>NSG_Residential_Multi-Family_Partner Trade Ally Rebate_Water Heater_Central/Indirect MF ≥88% TE_MF_2022</v>
      </c>
      <c r="D1353" s="19" t="s">
        <v>1787</v>
      </c>
      <c r="E1353" s="19" t="s">
        <v>2</v>
      </c>
      <c r="F1353" s="19" t="s">
        <v>1422</v>
      </c>
      <c r="G1353" s="19" t="s">
        <v>1799</v>
      </c>
      <c r="H1353" s="19" t="s">
        <v>8</v>
      </c>
      <c r="I1353" s="19" t="s">
        <v>1066</v>
      </c>
      <c r="J1353" s="19" t="s">
        <v>30</v>
      </c>
      <c r="K1353" s="19" t="s">
        <v>553</v>
      </c>
      <c r="L1353" s="19">
        <v>2022</v>
      </c>
      <c r="M1353" s="20">
        <v>1</v>
      </c>
      <c r="N1353" s="19" t="s">
        <v>1798</v>
      </c>
      <c r="O1353" s="20">
        <v>0</v>
      </c>
      <c r="P1353" s="20">
        <v>0</v>
      </c>
      <c r="Q1353" s="20">
        <v>0</v>
      </c>
      <c r="R1353" s="21">
        <v>0.87</v>
      </c>
      <c r="S1353" s="20">
        <v>0</v>
      </c>
    </row>
    <row r="1354" spans="2:19" ht="15" customHeight="1" x14ac:dyDescent="0.25">
      <c r="B1354" s="2" t="str">
        <f t="shared" si="42"/>
        <v>NSG_Residential_Multi-Family_Partner Trade Ally Rebate_Water Heater_Central/Indirect MF ≥88% TE_MF</v>
      </c>
      <c r="C1354" s="2" t="str">
        <f t="shared" si="43"/>
        <v>NSG_Residential_Multi-Family_Partner Trade Ally Rebate_Water Heater_Central/Indirect MF ≥88% TE_MF_2023</v>
      </c>
      <c r="D1354" s="19" t="s">
        <v>1787</v>
      </c>
      <c r="E1354" s="19" t="s">
        <v>2</v>
      </c>
      <c r="F1354" s="19" t="s">
        <v>1422</v>
      </c>
      <c r="G1354" s="19" t="s">
        <v>1799</v>
      </c>
      <c r="H1354" s="19" t="s">
        <v>8</v>
      </c>
      <c r="I1354" s="19" t="s">
        <v>1066</v>
      </c>
      <c r="J1354" s="19" t="s">
        <v>30</v>
      </c>
      <c r="K1354" s="19" t="s">
        <v>553</v>
      </c>
      <c r="L1354" s="19">
        <v>2023</v>
      </c>
      <c r="M1354" s="20">
        <v>1</v>
      </c>
      <c r="N1354" s="19" t="s">
        <v>1798</v>
      </c>
      <c r="O1354" s="20">
        <v>0</v>
      </c>
      <c r="P1354" s="20">
        <v>0</v>
      </c>
      <c r="Q1354" s="20">
        <v>0</v>
      </c>
      <c r="R1354" s="21">
        <v>0.87</v>
      </c>
      <c r="S1354" s="20">
        <v>0</v>
      </c>
    </row>
    <row r="1355" spans="2:19" ht="15" customHeight="1" x14ac:dyDescent="0.25">
      <c r="B1355" s="2" t="str">
        <f t="shared" si="42"/>
        <v>NSG_Residential_Multi-Family_Partner Trade Ally Rebate_Water Heater_Central/Indirect MF ≥88% TE_MF</v>
      </c>
      <c r="C1355" s="2" t="str">
        <f t="shared" si="43"/>
        <v>NSG_Residential_Multi-Family_Partner Trade Ally Rebate_Water Heater_Central/Indirect MF ≥88% TE_MF_2024</v>
      </c>
      <c r="D1355" s="19" t="s">
        <v>1787</v>
      </c>
      <c r="E1355" s="19" t="s">
        <v>2</v>
      </c>
      <c r="F1355" s="19" t="s">
        <v>1422</v>
      </c>
      <c r="G1355" s="19" t="s">
        <v>1799</v>
      </c>
      <c r="H1355" s="19" t="s">
        <v>8</v>
      </c>
      <c r="I1355" s="19" t="s">
        <v>1066</v>
      </c>
      <c r="J1355" s="19" t="s">
        <v>30</v>
      </c>
      <c r="K1355" s="19" t="s">
        <v>553</v>
      </c>
      <c r="L1355" s="19">
        <v>2024</v>
      </c>
      <c r="M1355" s="20">
        <v>1</v>
      </c>
      <c r="N1355" s="19" t="s">
        <v>1798</v>
      </c>
      <c r="O1355" s="20">
        <v>0</v>
      </c>
      <c r="P1355" s="20">
        <v>0</v>
      </c>
      <c r="Q1355" s="20">
        <v>0</v>
      </c>
      <c r="R1355" s="21">
        <v>0.87</v>
      </c>
      <c r="S1355" s="20">
        <v>0</v>
      </c>
    </row>
    <row r="1356" spans="2:19" ht="15" customHeight="1" x14ac:dyDescent="0.25">
      <c r="B1356" s="2" t="str">
        <f t="shared" si="42"/>
        <v>NSG_Residential_Multi-Family_Partner Trade Ally Rebate_Water Heater_Central/Indirect MF ≥88% TE_MF</v>
      </c>
      <c r="C1356" s="2" t="str">
        <f t="shared" si="43"/>
        <v>NSG_Residential_Multi-Family_Partner Trade Ally Rebate_Water Heater_Central/Indirect MF ≥88% TE_MF_2025</v>
      </c>
      <c r="D1356" s="19" t="s">
        <v>1787</v>
      </c>
      <c r="E1356" s="19" t="s">
        <v>2</v>
      </c>
      <c r="F1356" s="19" t="s">
        <v>1422</v>
      </c>
      <c r="G1356" s="19" t="s">
        <v>1799</v>
      </c>
      <c r="H1356" s="19" t="s">
        <v>8</v>
      </c>
      <c r="I1356" s="19" t="s">
        <v>1066</v>
      </c>
      <c r="J1356" s="19" t="s">
        <v>30</v>
      </c>
      <c r="K1356" s="19" t="s">
        <v>553</v>
      </c>
      <c r="L1356" s="19">
        <v>2025</v>
      </c>
      <c r="M1356" s="20">
        <v>1</v>
      </c>
      <c r="N1356" s="19" t="s">
        <v>1798</v>
      </c>
      <c r="O1356" s="20">
        <v>0</v>
      </c>
      <c r="P1356" s="20">
        <v>0</v>
      </c>
      <c r="Q1356" s="20">
        <v>0</v>
      </c>
      <c r="R1356" s="21">
        <v>0.87</v>
      </c>
      <c r="S1356" s="20">
        <v>0</v>
      </c>
    </row>
    <row r="1357" spans="2:19" ht="15" customHeight="1" x14ac:dyDescent="0.25">
      <c r="B1357" s="2" t="str">
        <f t="shared" si="42"/>
        <v>NSG_Residential_Multi-Family_Partner Trade Ally Rebate_Water Heater_Storage 0.67 EF_MF</v>
      </c>
      <c r="C1357" s="2" t="str">
        <f t="shared" si="43"/>
        <v>NSG_Residential_Multi-Family_Partner Trade Ally Rebate_Water Heater_Storage 0.67 EF_MF_2022</v>
      </c>
      <c r="D1357" s="19" t="s">
        <v>1787</v>
      </c>
      <c r="E1357" s="19" t="s">
        <v>2</v>
      </c>
      <c r="F1357" s="19" t="s">
        <v>1422</v>
      </c>
      <c r="G1357" s="19" t="s">
        <v>1799</v>
      </c>
      <c r="H1357" s="19" t="s">
        <v>8</v>
      </c>
      <c r="I1357" s="19" t="s">
        <v>879</v>
      </c>
      <c r="J1357" s="19" t="s">
        <v>1263</v>
      </c>
      <c r="K1357" s="19" t="s">
        <v>553</v>
      </c>
      <c r="L1357" s="19">
        <v>2022</v>
      </c>
      <c r="M1357" s="20">
        <v>1</v>
      </c>
      <c r="N1357" s="19" t="s">
        <v>1798</v>
      </c>
      <c r="O1357" s="20">
        <v>2</v>
      </c>
      <c r="P1357" s="20">
        <v>2</v>
      </c>
      <c r="Q1357" s="20">
        <v>61.657801032684667</v>
      </c>
      <c r="R1357" s="21">
        <v>0.87</v>
      </c>
      <c r="S1357" s="20">
        <v>61.657801032684667</v>
      </c>
    </row>
    <row r="1358" spans="2:19" ht="15" customHeight="1" x14ac:dyDescent="0.25">
      <c r="B1358" s="2" t="str">
        <f t="shared" si="42"/>
        <v>NSG_Residential_Multi-Family_Partner Trade Ally Rebate_Water Heater_Storage 0.67 EF_MF</v>
      </c>
      <c r="C1358" s="2" t="str">
        <f t="shared" si="43"/>
        <v>NSG_Residential_Multi-Family_Partner Trade Ally Rebate_Water Heater_Storage 0.67 EF_MF_2023</v>
      </c>
      <c r="D1358" s="19" t="s">
        <v>1787</v>
      </c>
      <c r="E1358" s="19" t="s">
        <v>2</v>
      </c>
      <c r="F1358" s="19" t="s">
        <v>1422</v>
      </c>
      <c r="G1358" s="19" t="s">
        <v>1799</v>
      </c>
      <c r="H1358" s="19" t="s">
        <v>8</v>
      </c>
      <c r="I1358" s="19" t="s">
        <v>879</v>
      </c>
      <c r="J1358" s="19" t="s">
        <v>1263</v>
      </c>
      <c r="K1358" s="19" t="s">
        <v>553</v>
      </c>
      <c r="L1358" s="19">
        <v>2023</v>
      </c>
      <c r="M1358" s="20">
        <v>1</v>
      </c>
      <c r="N1358" s="19" t="s">
        <v>1798</v>
      </c>
      <c r="O1358" s="20">
        <v>2</v>
      </c>
      <c r="P1358" s="20">
        <v>2</v>
      </c>
      <c r="Q1358" s="20">
        <v>61.657801032684667</v>
      </c>
      <c r="R1358" s="21">
        <v>0.87</v>
      </c>
      <c r="S1358" s="20">
        <v>61.657801032684667</v>
      </c>
    </row>
    <row r="1359" spans="2:19" ht="15" customHeight="1" x14ac:dyDescent="0.25">
      <c r="B1359" s="2" t="str">
        <f t="shared" si="42"/>
        <v>NSG_Residential_Multi-Family_Partner Trade Ally Rebate_Water Heater_Storage 0.67 EF_MF</v>
      </c>
      <c r="C1359" s="2" t="str">
        <f t="shared" si="43"/>
        <v>NSG_Residential_Multi-Family_Partner Trade Ally Rebate_Water Heater_Storage 0.67 EF_MF_2024</v>
      </c>
      <c r="D1359" s="19" t="s">
        <v>1787</v>
      </c>
      <c r="E1359" s="19" t="s">
        <v>2</v>
      </c>
      <c r="F1359" s="19" t="s">
        <v>1422</v>
      </c>
      <c r="G1359" s="19" t="s">
        <v>1799</v>
      </c>
      <c r="H1359" s="19" t="s">
        <v>8</v>
      </c>
      <c r="I1359" s="19" t="s">
        <v>879</v>
      </c>
      <c r="J1359" s="19" t="s">
        <v>1263</v>
      </c>
      <c r="K1359" s="19" t="s">
        <v>553</v>
      </c>
      <c r="L1359" s="19">
        <v>2024</v>
      </c>
      <c r="M1359" s="20">
        <v>1</v>
      </c>
      <c r="N1359" s="19" t="s">
        <v>1798</v>
      </c>
      <c r="O1359" s="20">
        <v>2</v>
      </c>
      <c r="P1359" s="20">
        <v>2</v>
      </c>
      <c r="Q1359" s="20">
        <v>61.657801032684667</v>
      </c>
      <c r="R1359" s="21">
        <v>0.87</v>
      </c>
      <c r="S1359" s="20">
        <v>61.657801032684667</v>
      </c>
    </row>
    <row r="1360" spans="2:19" ht="15" customHeight="1" x14ac:dyDescent="0.25">
      <c r="B1360" s="2" t="str">
        <f t="shared" si="42"/>
        <v>NSG_Residential_Multi-Family_Partner Trade Ally Rebate_Water Heater_Storage 0.67 EF_MF</v>
      </c>
      <c r="C1360" s="2" t="str">
        <f t="shared" si="43"/>
        <v>NSG_Residential_Multi-Family_Partner Trade Ally Rebate_Water Heater_Storage 0.67 EF_MF_2025</v>
      </c>
      <c r="D1360" s="19" t="s">
        <v>1787</v>
      </c>
      <c r="E1360" s="19" t="s">
        <v>2</v>
      </c>
      <c r="F1360" s="19" t="s">
        <v>1422</v>
      </c>
      <c r="G1360" s="19" t="s">
        <v>1799</v>
      </c>
      <c r="H1360" s="19" t="s">
        <v>8</v>
      </c>
      <c r="I1360" s="19" t="s">
        <v>879</v>
      </c>
      <c r="J1360" s="19" t="s">
        <v>1263</v>
      </c>
      <c r="K1360" s="19" t="s">
        <v>553</v>
      </c>
      <c r="L1360" s="19">
        <v>2025</v>
      </c>
      <c r="M1360" s="20">
        <v>1</v>
      </c>
      <c r="N1360" s="19" t="s">
        <v>1798</v>
      </c>
      <c r="O1360" s="20">
        <v>2</v>
      </c>
      <c r="P1360" s="20">
        <v>2</v>
      </c>
      <c r="Q1360" s="20">
        <v>61.657801032684667</v>
      </c>
      <c r="R1360" s="21">
        <v>0.87</v>
      </c>
      <c r="S1360" s="20">
        <v>61.657801032684667</v>
      </c>
    </row>
    <row r="1361" spans="2:19" ht="15" customHeight="1" x14ac:dyDescent="0.25">
      <c r="B1361" s="2" t="str">
        <f t="shared" si="42"/>
        <v>NSG_Residential_Multi-Family_Partner Trade Ally Rebate_Dock Door Seals_0_CI</v>
      </c>
      <c r="C1361" s="2" t="str">
        <f t="shared" si="43"/>
        <v>NSG_Residential_Multi-Family_Partner Trade Ally Rebate_Dock Door Seals_0_CI_2022</v>
      </c>
      <c r="D1361" s="19" t="s">
        <v>1787</v>
      </c>
      <c r="E1361" s="19" t="s">
        <v>2</v>
      </c>
      <c r="F1361" s="19" t="s">
        <v>1422</v>
      </c>
      <c r="G1361" s="19" t="s">
        <v>1799</v>
      </c>
      <c r="H1361" s="19" t="s">
        <v>1291</v>
      </c>
      <c r="I1361" s="19">
        <v>0</v>
      </c>
      <c r="J1361" s="19">
        <v>0</v>
      </c>
      <c r="K1361" s="19" t="s">
        <v>1159</v>
      </c>
      <c r="L1361" s="19">
        <v>2022</v>
      </c>
      <c r="M1361" s="20">
        <v>1</v>
      </c>
      <c r="N1361" s="19" t="s">
        <v>1798</v>
      </c>
      <c r="O1361" s="20">
        <v>0</v>
      </c>
      <c r="P1361" s="20">
        <v>0</v>
      </c>
      <c r="Q1361" s="20">
        <v>0</v>
      </c>
      <c r="R1361" s="21">
        <v>0.87</v>
      </c>
      <c r="S1361" s="20">
        <v>0</v>
      </c>
    </row>
    <row r="1362" spans="2:19" ht="15" customHeight="1" x14ac:dyDescent="0.25">
      <c r="B1362" s="2" t="str">
        <f t="shared" si="42"/>
        <v>NSG_Residential_Multi-Family_Partner Trade Ally Rebate_Dock Door Seals_0_CI</v>
      </c>
      <c r="C1362" s="2" t="str">
        <f t="shared" si="43"/>
        <v>NSG_Residential_Multi-Family_Partner Trade Ally Rebate_Dock Door Seals_0_CI_2023</v>
      </c>
      <c r="D1362" s="19" t="s">
        <v>1787</v>
      </c>
      <c r="E1362" s="19" t="s">
        <v>2</v>
      </c>
      <c r="F1362" s="19" t="s">
        <v>1422</v>
      </c>
      <c r="G1362" s="19" t="s">
        <v>1799</v>
      </c>
      <c r="H1362" s="19" t="s">
        <v>1291</v>
      </c>
      <c r="I1362" s="19">
        <v>0</v>
      </c>
      <c r="J1362" s="19">
        <v>0</v>
      </c>
      <c r="K1362" s="19" t="s">
        <v>1159</v>
      </c>
      <c r="L1362" s="19">
        <v>2023</v>
      </c>
      <c r="M1362" s="20">
        <v>1</v>
      </c>
      <c r="N1362" s="19" t="s">
        <v>1798</v>
      </c>
      <c r="O1362" s="20">
        <v>0</v>
      </c>
      <c r="P1362" s="20">
        <v>0</v>
      </c>
      <c r="Q1362" s="20">
        <v>0</v>
      </c>
      <c r="R1362" s="21">
        <v>0.87</v>
      </c>
      <c r="S1362" s="20">
        <v>0</v>
      </c>
    </row>
    <row r="1363" spans="2:19" ht="15" customHeight="1" x14ac:dyDescent="0.25">
      <c r="B1363" s="2" t="str">
        <f t="shared" si="42"/>
        <v>NSG_Residential_Multi-Family_Partner Trade Ally Rebate_Dock Door Seals_0_CI</v>
      </c>
      <c r="C1363" s="2" t="str">
        <f t="shared" si="43"/>
        <v>NSG_Residential_Multi-Family_Partner Trade Ally Rebate_Dock Door Seals_0_CI_2024</v>
      </c>
      <c r="D1363" s="19" t="s">
        <v>1787</v>
      </c>
      <c r="E1363" s="19" t="s">
        <v>2</v>
      </c>
      <c r="F1363" s="19" t="s">
        <v>1422</v>
      </c>
      <c r="G1363" s="19" t="s">
        <v>1799</v>
      </c>
      <c r="H1363" s="19" t="s">
        <v>1291</v>
      </c>
      <c r="I1363" s="19">
        <v>0</v>
      </c>
      <c r="J1363" s="19">
        <v>0</v>
      </c>
      <c r="K1363" s="19" t="s">
        <v>1159</v>
      </c>
      <c r="L1363" s="19">
        <v>2024</v>
      </c>
      <c r="M1363" s="20">
        <v>1</v>
      </c>
      <c r="N1363" s="19" t="s">
        <v>1798</v>
      </c>
      <c r="O1363" s="20">
        <v>0</v>
      </c>
      <c r="P1363" s="20">
        <v>0</v>
      </c>
      <c r="Q1363" s="20">
        <v>0</v>
      </c>
      <c r="R1363" s="21">
        <v>0.87</v>
      </c>
      <c r="S1363" s="20">
        <v>0</v>
      </c>
    </row>
    <row r="1364" spans="2:19" ht="15" customHeight="1" x14ac:dyDescent="0.25">
      <c r="B1364" s="2" t="str">
        <f t="shared" si="42"/>
        <v>NSG_Residential_Multi-Family_Partner Trade Ally Rebate_Dock Door Seals_0_CI</v>
      </c>
      <c r="C1364" s="2" t="str">
        <f t="shared" si="43"/>
        <v>NSG_Residential_Multi-Family_Partner Trade Ally Rebate_Dock Door Seals_0_CI_2025</v>
      </c>
      <c r="D1364" s="19" t="s">
        <v>1787</v>
      </c>
      <c r="E1364" s="19" t="s">
        <v>2</v>
      </c>
      <c r="F1364" s="19" t="s">
        <v>1422</v>
      </c>
      <c r="G1364" s="19" t="s">
        <v>1799</v>
      </c>
      <c r="H1364" s="19" t="s">
        <v>1291</v>
      </c>
      <c r="I1364" s="19">
        <v>0</v>
      </c>
      <c r="J1364" s="19">
        <v>0</v>
      </c>
      <c r="K1364" s="19" t="s">
        <v>1159</v>
      </c>
      <c r="L1364" s="19">
        <v>2025</v>
      </c>
      <c r="M1364" s="20">
        <v>1</v>
      </c>
      <c r="N1364" s="19" t="s">
        <v>1798</v>
      </c>
      <c r="O1364" s="20">
        <v>0</v>
      </c>
      <c r="P1364" s="20">
        <v>0</v>
      </c>
      <c r="Q1364" s="20">
        <v>0</v>
      </c>
      <c r="R1364" s="21">
        <v>0.87</v>
      </c>
      <c r="S1364" s="20">
        <v>0</v>
      </c>
    </row>
    <row r="1365" spans="2:19" ht="15" customHeight="1" x14ac:dyDescent="0.25">
      <c r="B1365" s="2" t="str">
        <f t="shared" si="42"/>
        <v>NSG_Residential_Multi-Family_Partner Trade Ally Rebate_DCV - Kitchen_0_MF/CI</v>
      </c>
      <c r="C1365" s="2" t="str">
        <f t="shared" si="43"/>
        <v>NSG_Residential_Multi-Family_Partner Trade Ally Rebate_DCV - Kitchen_0_MF/CI_2022</v>
      </c>
      <c r="D1365" s="19" t="s">
        <v>1787</v>
      </c>
      <c r="E1365" s="19" t="s">
        <v>2</v>
      </c>
      <c r="F1365" s="19" t="s">
        <v>1422</v>
      </c>
      <c r="G1365" s="19" t="s">
        <v>1799</v>
      </c>
      <c r="H1365" s="19" t="s">
        <v>1077</v>
      </c>
      <c r="I1365" s="19">
        <v>0</v>
      </c>
      <c r="J1365" s="19" t="s">
        <v>48</v>
      </c>
      <c r="K1365" s="19" t="s">
        <v>587</v>
      </c>
      <c r="L1365" s="19">
        <v>2022</v>
      </c>
      <c r="M1365" s="20">
        <v>7.75</v>
      </c>
      <c r="N1365" s="19" t="s">
        <v>333</v>
      </c>
      <c r="O1365" s="20">
        <v>0</v>
      </c>
      <c r="P1365" s="20">
        <v>0</v>
      </c>
      <c r="Q1365" s="20">
        <v>0</v>
      </c>
      <c r="R1365" s="21">
        <v>0.87</v>
      </c>
      <c r="S1365" s="20">
        <v>0</v>
      </c>
    </row>
    <row r="1366" spans="2:19" ht="15" customHeight="1" x14ac:dyDescent="0.25">
      <c r="B1366" s="2" t="str">
        <f t="shared" si="42"/>
        <v>NSG_Residential_Multi-Family_Partner Trade Ally Rebate_DCV - Kitchen_0_MF/CI</v>
      </c>
      <c r="C1366" s="2" t="str">
        <f t="shared" si="43"/>
        <v>NSG_Residential_Multi-Family_Partner Trade Ally Rebate_DCV - Kitchen_0_MF/CI_2023</v>
      </c>
      <c r="D1366" s="19" t="s">
        <v>1787</v>
      </c>
      <c r="E1366" s="19" t="s">
        <v>2</v>
      </c>
      <c r="F1366" s="19" t="s">
        <v>1422</v>
      </c>
      <c r="G1366" s="19" t="s">
        <v>1799</v>
      </c>
      <c r="H1366" s="19" t="s">
        <v>1077</v>
      </c>
      <c r="I1366" s="19">
        <v>0</v>
      </c>
      <c r="J1366" s="19" t="s">
        <v>48</v>
      </c>
      <c r="K1366" s="19" t="s">
        <v>587</v>
      </c>
      <c r="L1366" s="19">
        <v>2023</v>
      </c>
      <c r="M1366" s="20">
        <v>7.75</v>
      </c>
      <c r="N1366" s="19" t="s">
        <v>333</v>
      </c>
      <c r="O1366" s="20">
        <v>0</v>
      </c>
      <c r="P1366" s="20">
        <v>0</v>
      </c>
      <c r="Q1366" s="20">
        <v>0</v>
      </c>
      <c r="R1366" s="21">
        <v>0.87</v>
      </c>
      <c r="S1366" s="20">
        <v>0</v>
      </c>
    </row>
    <row r="1367" spans="2:19" ht="15" customHeight="1" x14ac:dyDescent="0.25">
      <c r="B1367" s="2" t="str">
        <f t="shared" si="42"/>
        <v>NSG_Residential_Multi-Family_Partner Trade Ally Rebate_DCV - Kitchen_0_MF/CI</v>
      </c>
      <c r="C1367" s="2" t="str">
        <f t="shared" si="43"/>
        <v>NSG_Residential_Multi-Family_Partner Trade Ally Rebate_DCV - Kitchen_0_MF/CI_2024</v>
      </c>
      <c r="D1367" s="19" t="s">
        <v>1787</v>
      </c>
      <c r="E1367" s="19" t="s">
        <v>2</v>
      </c>
      <c r="F1367" s="19" t="s">
        <v>1422</v>
      </c>
      <c r="G1367" s="19" t="s">
        <v>1799</v>
      </c>
      <c r="H1367" s="19" t="s">
        <v>1077</v>
      </c>
      <c r="I1367" s="19">
        <v>0</v>
      </c>
      <c r="J1367" s="19" t="s">
        <v>48</v>
      </c>
      <c r="K1367" s="19" t="s">
        <v>587</v>
      </c>
      <c r="L1367" s="19">
        <v>2024</v>
      </c>
      <c r="M1367" s="20">
        <v>7.75</v>
      </c>
      <c r="N1367" s="19" t="s">
        <v>333</v>
      </c>
      <c r="O1367" s="20">
        <v>0</v>
      </c>
      <c r="P1367" s="20">
        <v>0</v>
      </c>
      <c r="Q1367" s="20">
        <v>0</v>
      </c>
      <c r="R1367" s="21">
        <v>0.87</v>
      </c>
      <c r="S1367" s="20">
        <v>0</v>
      </c>
    </row>
    <row r="1368" spans="2:19" ht="15" customHeight="1" x14ac:dyDescent="0.25">
      <c r="B1368" s="2" t="str">
        <f t="shared" si="42"/>
        <v>NSG_Residential_Multi-Family_Partner Trade Ally Rebate_DCV - Kitchen_0_MF/CI</v>
      </c>
      <c r="C1368" s="2" t="str">
        <f t="shared" si="43"/>
        <v>NSG_Residential_Multi-Family_Partner Trade Ally Rebate_DCV - Kitchen_0_MF/CI_2025</v>
      </c>
      <c r="D1368" s="19" t="s">
        <v>1787</v>
      </c>
      <c r="E1368" s="19" t="s">
        <v>2</v>
      </c>
      <c r="F1368" s="19" t="s">
        <v>1422</v>
      </c>
      <c r="G1368" s="19" t="s">
        <v>1799</v>
      </c>
      <c r="H1368" s="19" t="s">
        <v>1077</v>
      </c>
      <c r="I1368" s="19">
        <v>0</v>
      </c>
      <c r="J1368" s="19" t="s">
        <v>48</v>
      </c>
      <c r="K1368" s="19" t="s">
        <v>587</v>
      </c>
      <c r="L1368" s="19">
        <v>2025</v>
      </c>
      <c r="M1368" s="20">
        <v>7.75</v>
      </c>
      <c r="N1368" s="19" t="s">
        <v>333</v>
      </c>
      <c r="O1368" s="20">
        <v>0</v>
      </c>
      <c r="P1368" s="20">
        <v>0</v>
      </c>
      <c r="Q1368" s="20">
        <v>0</v>
      </c>
      <c r="R1368" s="21">
        <v>0.87</v>
      </c>
      <c r="S1368" s="20">
        <v>0</v>
      </c>
    </row>
    <row r="1369" spans="2:19" ht="15" customHeight="1" x14ac:dyDescent="0.25">
      <c r="B1369" s="2" t="str">
        <f t="shared" si="42"/>
        <v>NSG_Residential_Multi-Family_Custom Rebate_Custom_0_MF</v>
      </c>
      <c r="C1369" s="2" t="str">
        <f t="shared" si="43"/>
        <v>NSG_Residential_Multi-Family_Custom Rebate_Custom_0_MF_2022</v>
      </c>
      <c r="D1369" s="19" t="s">
        <v>1787</v>
      </c>
      <c r="E1369" s="19" t="s">
        <v>2</v>
      </c>
      <c r="F1369" s="19" t="s">
        <v>1422</v>
      </c>
      <c r="G1369" s="19" t="s">
        <v>1426</v>
      </c>
      <c r="H1369" s="19" t="s">
        <v>5</v>
      </c>
      <c r="I1369" s="19">
        <v>0</v>
      </c>
      <c r="J1369" s="19">
        <v>0</v>
      </c>
      <c r="K1369" s="19" t="s">
        <v>553</v>
      </c>
      <c r="L1369" s="19">
        <v>2022</v>
      </c>
      <c r="M1369" s="20">
        <v>3921</v>
      </c>
      <c r="N1369" s="19" t="s">
        <v>609</v>
      </c>
      <c r="O1369" s="20">
        <v>1</v>
      </c>
      <c r="P1369" s="20">
        <v>3921</v>
      </c>
      <c r="Q1369" s="20">
        <v>3411.27</v>
      </c>
      <c r="R1369" s="21">
        <v>0.87</v>
      </c>
      <c r="S1369" s="20">
        <v>3411.27</v>
      </c>
    </row>
    <row r="1370" spans="2:19" ht="15" customHeight="1" x14ac:dyDescent="0.25">
      <c r="B1370" s="2" t="str">
        <f t="shared" si="42"/>
        <v>NSG_Residential_Multi-Family_Custom Rebate_Custom_0_MF</v>
      </c>
      <c r="C1370" s="2" t="str">
        <f t="shared" si="43"/>
        <v>NSG_Residential_Multi-Family_Custom Rebate_Custom_0_MF_2023</v>
      </c>
      <c r="D1370" s="19" t="s">
        <v>1787</v>
      </c>
      <c r="E1370" s="19" t="s">
        <v>2</v>
      </c>
      <c r="F1370" s="19" t="s">
        <v>1422</v>
      </c>
      <c r="G1370" s="19" t="s">
        <v>1426</v>
      </c>
      <c r="H1370" s="19" t="s">
        <v>5</v>
      </c>
      <c r="I1370" s="19">
        <v>0</v>
      </c>
      <c r="J1370" s="19">
        <v>0</v>
      </c>
      <c r="K1370" s="19" t="s">
        <v>553</v>
      </c>
      <c r="L1370" s="19">
        <v>2023</v>
      </c>
      <c r="M1370" s="20">
        <v>3921</v>
      </c>
      <c r="N1370" s="19" t="s">
        <v>609</v>
      </c>
      <c r="O1370" s="20">
        <v>1</v>
      </c>
      <c r="P1370" s="20">
        <v>3921</v>
      </c>
      <c r="Q1370" s="20">
        <v>3411.27</v>
      </c>
      <c r="R1370" s="21">
        <v>0.87</v>
      </c>
      <c r="S1370" s="20">
        <v>3411.27</v>
      </c>
    </row>
    <row r="1371" spans="2:19" ht="15" customHeight="1" x14ac:dyDescent="0.25">
      <c r="B1371" s="2" t="str">
        <f t="shared" si="42"/>
        <v>NSG_Residential_Multi-Family_Custom Rebate_Custom_0_MF</v>
      </c>
      <c r="C1371" s="2" t="str">
        <f t="shared" si="43"/>
        <v>NSG_Residential_Multi-Family_Custom Rebate_Custom_0_MF_2024</v>
      </c>
      <c r="D1371" s="19" t="s">
        <v>1787</v>
      </c>
      <c r="E1371" s="19" t="s">
        <v>2</v>
      </c>
      <c r="F1371" s="19" t="s">
        <v>1422</v>
      </c>
      <c r="G1371" s="19" t="s">
        <v>1426</v>
      </c>
      <c r="H1371" s="19" t="s">
        <v>5</v>
      </c>
      <c r="I1371" s="19">
        <v>0</v>
      </c>
      <c r="J1371" s="19">
        <v>0</v>
      </c>
      <c r="K1371" s="19" t="s">
        <v>553</v>
      </c>
      <c r="L1371" s="19">
        <v>2024</v>
      </c>
      <c r="M1371" s="20">
        <v>3921</v>
      </c>
      <c r="N1371" s="19" t="s">
        <v>609</v>
      </c>
      <c r="O1371" s="20">
        <v>1</v>
      </c>
      <c r="P1371" s="20">
        <v>3921</v>
      </c>
      <c r="Q1371" s="20">
        <v>3411.27</v>
      </c>
      <c r="R1371" s="21">
        <v>0.87</v>
      </c>
      <c r="S1371" s="20">
        <v>3411.27</v>
      </c>
    </row>
    <row r="1372" spans="2:19" ht="15" customHeight="1" x14ac:dyDescent="0.25">
      <c r="B1372" s="2" t="str">
        <f t="shared" si="42"/>
        <v>NSG_Residential_Multi-Family_Custom Rebate_Custom_0_MF</v>
      </c>
      <c r="C1372" s="2" t="str">
        <f t="shared" si="43"/>
        <v>NSG_Residential_Multi-Family_Custom Rebate_Custom_0_MF_2025</v>
      </c>
      <c r="D1372" s="19" t="s">
        <v>1787</v>
      </c>
      <c r="E1372" s="19" t="s">
        <v>2</v>
      </c>
      <c r="F1372" s="19" t="s">
        <v>1422</v>
      </c>
      <c r="G1372" s="19" t="s">
        <v>1426</v>
      </c>
      <c r="H1372" s="19" t="s">
        <v>5</v>
      </c>
      <c r="I1372" s="19">
        <v>0</v>
      </c>
      <c r="J1372" s="19">
        <v>0</v>
      </c>
      <c r="K1372" s="19" t="s">
        <v>553</v>
      </c>
      <c r="L1372" s="19">
        <v>2025</v>
      </c>
      <c r="M1372" s="20">
        <v>3921</v>
      </c>
      <c r="N1372" s="19" t="s">
        <v>609</v>
      </c>
      <c r="O1372" s="20">
        <v>1</v>
      </c>
      <c r="P1372" s="20">
        <v>3921</v>
      </c>
      <c r="Q1372" s="20">
        <v>3411.27</v>
      </c>
      <c r="R1372" s="21">
        <v>0.87</v>
      </c>
      <c r="S1372" s="20">
        <v>3411.27</v>
      </c>
    </row>
    <row r="1373" spans="2:19" ht="15" customHeight="1" x14ac:dyDescent="0.25">
      <c r="B1373" s="2" t="str">
        <f t="shared" si="42"/>
        <v>PGL_Business_C&amp;I_Gas Optimization_C&amp;I Gas Optimization_0_CI</v>
      </c>
      <c r="C1373" s="2" t="str">
        <f t="shared" si="43"/>
        <v>PGL_Business_C&amp;I_Gas Optimization_C&amp;I Gas Optimization_0_CI_2022</v>
      </c>
      <c r="D1373" s="19" t="s">
        <v>1794</v>
      </c>
      <c r="E1373" s="19" t="s">
        <v>3</v>
      </c>
      <c r="F1373" s="19" t="s">
        <v>1427</v>
      </c>
      <c r="G1373" s="19" t="s">
        <v>1098</v>
      </c>
      <c r="H1373" s="19" t="s">
        <v>1283</v>
      </c>
      <c r="I1373" s="19">
        <v>0</v>
      </c>
      <c r="J1373" s="19">
        <v>0</v>
      </c>
      <c r="K1373" s="19" t="s">
        <v>1159</v>
      </c>
      <c r="L1373" s="19">
        <v>2022</v>
      </c>
      <c r="M1373" s="20">
        <v>42991.428571428572</v>
      </c>
      <c r="N1373" s="19" t="s">
        <v>609</v>
      </c>
      <c r="O1373" s="20">
        <v>6</v>
      </c>
      <c r="P1373" s="20">
        <v>257948.57142857142</v>
      </c>
      <c r="Q1373" s="20">
        <v>234733.2</v>
      </c>
      <c r="R1373" s="21">
        <v>0.91</v>
      </c>
      <c r="S1373" s="20">
        <v>234733.2</v>
      </c>
    </row>
    <row r="1374" spans="2:19" ht="15" customHeight="1" x14ac:dyDescent="0.25">
      <c r="B1374" s="2" t="str">
        <f t="shared" si="42"/>
        <v>PGL_Business_C&amp;I_Gas Optimization_C&amp;I Gas Optimization_0_CI</v>
      </c>
      <c r="C1374" s="2" t="str">
        <f t="shared" si="43"/>
        <v>PGL_Business_C&amp;I_Gas Optimization_C&amp;I Gas Optimization_0_CI_2023</v>
      </c>
      <c r="D1374" s="19" t="s">
        <v>1794</v>
      </c>
      <c r="E1374" s="19" t="s">
        <v>3</v>
      </c>
      <c r="F1374" s="19" t="s">
        <v>1427</v>
      </c>
      <c r="G1374" s="19" t="s">
        <v>1098</v>
      </c>
      <c r="H1374" s="19" t="s">
        <v>1283</v>
      </c>
      <c r="I1374" s="19">
        <v>0</v>
      </c>
      <c r="J1374" s="19">
        <v>0</v>
      </c>
      <c r="K1374" s="19" t="s">
        <v>1159</v>
      </c>
      <c r="L1374" s="19">
        <v>2023</v>
      </c>
      <c r="M1374" s="20">
        <v>42991.428571428572</v>
      </c>
      <c r="N1374" s="19" t="s">
        <v>609</v>
      </c>
      <c r="O1374" s="20">
        <v>5</v>
      </c>
      <c r="P1374" s="20">
        <v>214957.14285714287</v>
      </c>
      <c r="Q1374" s="20">
        <v>195611.00000000003</v>
      </c>
      <c r="R1374" s="21">
        <v>0.91</v>
      </c>
      <c r="S1374" s="20">
        <v>195611.00000000003</v>
      </c>
    </row>
    <row r="1375" spans="2:19" ht="15" customHeight="1" x14ac:dyDescent="0.25">
      <c r="B1375" s="2" t="str">
        <f t="shared" si="42"/>
        <v>PGL_Business_C&amp;I_Gas Optimization_C&amp;I Gas Optimization_0_CI</v>
      </c>
      <c r="C1375" s="2" t="str">
        <f t="shared" si="43"/>
        <v>PGL_Business_C&amp;I_Gas Optimization_C&amp;I Gas Optimization_0_CI_2024</v>
      </c>
      <c r="D1375" s="19" t="s">
        <v>1794</v>
      </c>
      <c r="E1375" s="19" t="s">
        <v>3</v>
      </c>
      <c r="F1375" s="19" t="s">
        <v>1427</v>
      </c>
      <c r="G1375" s="19" t="s">
        <v>1098</v>
      </c>
      <c r="H1375" s="19" t="s">
        <v>1283</v>
      </c>
      <c r="I1375" s="19">
        <v>0</v>
      </c>
      <c r="J1375" s="19">
        <v>0</v>
      </c>
      <c r="K1375" s="19" t="s">
        <v>1159</v>
      </c>
      <c r="L1375" s="19">
        <v>2024</v>
      </c>
      <c r="M1375" s="20">
        <v>42991.428571428572</v>
      </c>
      <c r="N1375" s="19" t="s">
        <v>609</v>
      </c>
      <c r="O1375" s="20">
        <v>4</v>
      </c>
      <c r="P1375" s="20">
        <v>171965.71428571429</v>
      </c>
      <c r="Q1375" s="20">
        <v>156488.80000000002</v>
      </c>
      <c r="R1375" s="21">
        <v>0.91</v>
      </c>
      <c r="S1375" s="20">
        <v>156488.80000000002</v>
      </c>
    </row>
    <row r="1376" spans="2:19" ht="15" customHeight="1" x14ac:dyDescent="0.25">
      <c r="B1376" s="2" t="str">
        <f t="shared" si="42"/>
        <v>PGL_Business_C&amp;I_Gas Optimization_C&amp;I Gas Optimization_0_CI</v>
      </c>
      <c r="C1376" s="2" t="str">
        <f t="shared" si="43"/>
        <v>PGL_Business_C&amp;I_Gas Optimization_C&amp;I Gas Optimization_0_CI_2025</v>
      </c>
      <c r="D1376" s="19" t="s">
        <v>1794</v>
      </c>
      <c r="E1376" s="19" t="s">
        <v>3</v>
      </c>
      <c r="F1376" s="19" t="s">
        <v>1427</v>
      </c>
      <c r="G1376" s="19" t="s">
        <v>1098</v>
      </c>
      <c r="H1376" s="19" t="s">
        <v>1283</v>
      </c>
      <c r="I1376" s="19">
        <v>0</v>
      </c>
      <c r="J1376" s="19">
        <v>0</v>
      </c>
      <c r="K1376" s="19" t="s">
        <v>1159</v>
      </c>
      <c r="L1376" s="19">
        <v>2025</v>
      </c>
      <c r="M1376" s="20">
        <v>42991.428571428572</v>
      </c>
      <c r="N1376" s="19" t="s">
        <v>609</v>
      </c>
      <c r="O1376" s="20">
        <v>3</v>
      </c>
      <c r="P1376" s="20">
        <v>128974.28571428571</v>
      </c>
      <c r="Q1376" s="20">
        <v>117366.6</v>
      </c>
      <c r="R1376" s="21">
        <v>0.91</v>
      </c>
      <c r="S1376" s="20">
        <v>117366.6</v>
      </c>
    </row>
    <row r="1377" spans="2:19" ht="15" customHeight="1" x14ac:dyDescent="0.25">
      <c r="B1377" s="2" t="str">
        <f t="shared" si="42"/>
        <v>PGL_Business_C&amp;I_Retrocommissioning_C&amp;I Retrocommissioning_0_CI</v>
      </c>
      <c r="C1377" s="2" t="str">
        <f t="shared" si="43"/>
        <v>PGL_Business_C&amp;I_Retrocommissioning_C&amp;I Retrocommissioning_0_CI_2022</v>
      </c>
      <c r="D1377" s="19" t="s">
        <v>1794</v>
      </c>
      <c r="E1377" s="19" t="s">
        <v>3</v>
      </c>
      <c r="F1377" s="19" t="s">
        <v>1427</v>
      </c>
      <c r="G1377" s="19" t="s">
        <v>1428</v>
      </c>
      <c r="H1377" s="19" t="s">
        <v>1284</v>
      </c>
      <c r="I1377" s="19">
        <v>0</v>
      </c>
      <c r="J1377" s="19">
        <v>0</v>
      </c>
      <c r="K1377" s="19" t="s">
        <v>1159</v>
      </c>
      <c r="L1377" s="19">
        <v>2022</v>
      </c>
      <c r="M1377" s="20">
        <v>17051.909090909092</v>
      </c>
      <c r="N1377" s="19" t="s">
        <v>609</v>
      </c>
      <c r="O1377" s="20">
        <v>13</v>
      </c>
      <c r="P1377" s="20">
        <v>221674.81818181821</v>
      </c>
      <c r="Q1377" s="20">
        <v>207753.63960000002</v>
      </c>
      <c r="R1377" s="21">
        <v>0.93720000000000003</v>
      </c>
      <c r="S1377" s="20">
        <v>207753.63960000002</v>
      </c>
    </row>
    <row r="1378" spans="2:19" ht="15" customHeight="1" x14ac:dyDescent="0.25">
      <c r="B1378" s="2" t="str">
        <f t="shared" si="42"/>
        <v>PGL_Business_C&amp;I_Retrocommissioning_C&amp;I Retrocommissioning_0_CI</v>
      </c>
      <c r="C1378" s="2" t="str">
        <f t="shared" si="43"/>
        <v>PGL_Business_C&amp;I_Retrocommissioning_C&amp;I Retrocommissioning_0_CI_2023</v>
      </c>
      <c r="D1378" s="19" t="s">
        <v>1794</v>
      </c>
      <c r="E1378" s="19" t="s">
        <v>3</v>
      </c>
      <c r="F1378" s="19" t="s">
        <v>1427</v>
      </c>
      <c r="G1378" s="19" t="s">
        <v>1428</v>
      </c>
      <c r="H1378" s="19" t="s">
        <v>1284</v>
      </c>
      <c r="I1378" s="19">
        <v>0</v>
      </c>
      <c r="J1378" s="19">
        <v>0</v>
      </c>
      <c r="K1378" s="19" t="s">
        <v>1159</v>
      </c>
      <c r="L1378" s="19">
        <v>2023</v>
      </c>
      <c r="M1378" s="20">
        <v>17051.909090909092</v>
      </c>
      <c r="N1378" s="19" t="s">
        <v>609</v>
      </c>
      <c r="O1378" s="20">
        <v>12</v>
      </c>
      <c r="P1378" s="20">
        <v>204622.90909090912</v>
      </c>
      <c r="Q1378" s="20">
        <v>191772.59040000004</v>
      </c>
      <c r="R1378" s="21">
        <v>0.93720000000000003</v>
      </c>
      <c r="S1378" s="20">
        <v>191772.59040000004</v>
      </c>
    </row>
    <row r="1379" spans="2:19" ht="15" customHeight="1" x14ac:dyDescent="0.25">
      <c r="B1379" s="2" t="str">
        <f t="shared" si="42"/>
        <v>PGL_Business_C&amp;I_Retrocommissioning_C&amp;I Retrocommissioning_0_CI</v>
      </c>
      <c r="C1379" s="2" t="str">
        <f t="shared" si="43"/>
        <v>PGL_Business_C&amp;I_Retrocommissioning_C&amp;I Retrocommissioning_0_CI_2024</v>
      </c>
      <c r="D1379" s="19" t="s">
        <v>1794</v>
      </c>
      <c r="E1379" s="19" t="s">
        <v>3</v>
      </c>
      <c r="F1379" s="19" t="s">
        <v>1427</v>
      </c>
      <c r="G1379" s="19" t="s">
        <v>1428</v>
      </c>
      <c r="H1379" s="19" t="s">
        <v>1284</v>
      </c>
      <c r="I1379" s="19">
        <v>0</v>
      </c>
      <c r="J1379" s="19">
        <v>0</v>
      </c>
      <c r="K1379" s="19" t="s">
        <v>1159</v>
      </c>
      <c r="L1379" s="19">
        <v>2024</v>
      </c>
      <c r="M1379" s="20">
        <v>17051.909090909092</v>
      </c>
      <c r="N1379" s="19" t="s">
        <v>609</v>
      </c>
      <c r="O1379" s="20">
        <v>10</v>
      </c>
      <c r="P1379" s="20">
        <v>170519.09090909091</v>
      </c>
      <c r="Q1379" s="20">
        <v>159810.492</v>
      </c>
      <c r="R1379" s="21">
        <v>0.93720000000000003</v>
      </c>
      <c r="S1379" s="20">
        <v>159810.492</v>
      </c>
    </row>
    <row r="1380" spans="2:19" ht="15" customHeight="1" x14ac:dyDescent="0.25">
      <c r="B1380" s="2" t="str">
        <f t="shared" si="42"/>
        <v>PGL_Business_C&amp;I_Retrocommissioning_C&amp;I Retrocommissioning_0_CI</v>
      </c>
      <c r="C1380" s="2" t="str">
        <f t="shared" si="43"/>
        <v>PGL_Business_C&amp;I_Retrocommissioning_C&amp;I Retrocommissioning_0_CI_2025</v>
      </c>
      <c r="D1380" s="19" t="s">
        <v>1794</v>
      </c>
      <c r="E1380" s="19" t="s">
        <v>3</v>
      </c>
      <c r="F1380" s="19" t="s">
        <v>1427</v>
      </c>
      <c r="G1380" s="19" t="s">
        <v>1428</v>
      </c>
      <c r="H1380" s="19" t="s">
        <v>1284</v>
      </c>
      <c r="I1380" s="19">
        <v>0</v>
      </c>
      <c r="J1380" s="19">
        <v>0</v>
      </c>
      <c r="K1380" s="19" t="s">
        <v>1159</v>
      </c>
      <c r="L1380" s="19">
        <v>2025</v>
      </c>
      <c r="M1380" s="20">
        <v>17051.909090909092</v>
      </c>
      <c r="N1380" s="19" t="s">
        <v>609</v>
      </c>
      <c r="O1380" s="20">
        <v>8</v>
      </c>
      <c r="P1380" s="20">
        <v>136415.27272727274</v>
      </c>
      <c r="Q1380" s="20">
        <v>127848.39360000001</v>
      </c>
      <c r="R1380" s="21">
        <v>0.93720000000000003</v>
      </c>
      <c r="S1380" s="20">
        <v>127848.39360000001</v>
      </c>
    </row>
    <row r="1381" spans="2:19" ht="15" customHeight="1" x14ac:dyDescent="0.25">
      <c r="B1381" s="2" t="str">
        <f t="shared" si="42"/>
        <v>PGL_Business_C&amp;I_Engineering Study_Engineering Study_0_CI</v>
      </c>
      <c r="C1381" s="2" t="str">
        <f t="shared" si="43"/>
        <v>PGL_Business_C&amp;I_Engineering Study_Engineering Study_0_CI_2022</v>
      </c>
      <c r="D1381" s="19" t="s">
        <v>1794</v>
      </c>
      <c r="E1381" s="19" t="s">
        <v>3</v>
      </c>
      <c r="F1381" s="19" t="s">
        <v>1427</v>
      </c>
      <c r="G1381" s="19" t="s">
        <v>1281</v>
      </c>
      <c r="H1381" s="19" t="s">
        <v>1281</v>
      </c>
      <c r="I1381" s="19">
        <v>0</v>
      </c>
      <c r="J1381" s="19">
        <v>0</v>
      </c>
      <c r="K1381" s="19" t="s">
        <v>1159</v>
      </c>
      <c r="L1381" s="19">
        <v>2022</v>
      </c>
      <c r="M1381" s="20">
        <v>1</v>
      </c>
      <c r="N1381" s="19" t="s">
        <v>1798</v>
      </c>
      <c r="O1381" s="20">
        <v>0</v>
      </c>
      <c r="P1381" s="20">
        <v>0</v>
      </c>
      <c r="Q1381" s="20">
        <v>0</v>
      </c>
      <c r="R1381" s="21">
        <v>1.02</v>
      </c>
      <c r="S1381" s="20">
        <v>0</v>
      </c>
    </row>
    <row r="1382" spans="2:19" ht="15" customHeight="1" x14ac:dyDescent="0.25">
      <c r="B1382" s="2" t="str">
        <f t="shared" si="42"/>
        <v>PGL_Business_C&amp;I_Engineering Study_Engineering Study_0_CI</v>
      </c>
      <c r="C1382" s="2" t="str">
        <f t="shared" si="43"/>
        <v>PGL_Business_C&amp;I_Engineering Study_Engineering Study_0_CI_2023</v>
      </c>
      <c r="D1382" s="19" t="s">
        <v>1794</v>
      </c>
      <c r="E1382" s="19" t="s">
        <v>3</v>
      </c>
      <c r="F1382" s="19" t="s">
        <v>1427</v>
      </c>
      <c r="G1382" s="19" t="s">
        <v>1281</v>
      </c>
      <c r="H1382" s="19" t="s">
        <v>1281</v>
      </c>
      <c r="I1382" s="19">
        <v>0</v>
      </c>
      <c r="J1382" s="19">
        <v>0</v>
      </c>
      <c r="K1382" s="19" t="s">
        <v>1159</v>
      </c>
      <c r="L1382" s="19">
        <v>2023</v>
      </c>
      <c r="M1382" s="20">
        <v>1</v>
      </c>
      <c r="N1382" s="19" t="s">
        <v>1798</v>
      </c>
      <c r="O1382" s="20">
        <v>0</v>
      </c>
      <c r="P1382" s="20">
        <v>0</v>
      </c>
      <c r="Q1382" s="20">
        <v>0</v>
      </c>
      <c r="R1382" s="21">
        <v>1.02</v>
      </c>
      <c r="S1382" s="20">
        <v>0</v>
      </c>
    </row>
    <row r="1383" spans="2:19" ht="15" customHeight="1" x14ac:dyDescent="0.25">
      <c r="B1383" s="2" t="str">
        <f t="shared" si="42"/>
        <v>PGL_Business_C&amp;I_Engineering Study_Engineering Study_0_CI</v>
      </c>
      <c r="C1383" s="2" t="str">
        <f t="shared" si="43"/>
        <v>PGL_Business_C&amp;I_Engineering Study_Engineering Study_0_CI_2024</v>
      </c>
      <c r="D1383" s="19" t="s">
        <v>1794</v>
      </c>
      <c r="E1383" s="19" t="s">
        <v>3</v>
      </c>
      <c r="F1383" s="19" t="s">
        <v>1427</v>
      </c>
      <c r="G1383" s="19" t="s">
        <v>1281</v>
      </c>
      <c r="H1383" s="19" t="s">
        <v>1281</v>
      </c>
      <c r="I1383" s="19">
        <v>0</v>
      </c>
      <c r="J1383" s="19">
        <v>0</v>
      </c>
      <c r="K1383" s="19" t="s">
        <v>1159</v>
      </c>
      <c r="L1383" s="19">
        <v>2024</v>
      </c>
      <c r="M1383" s="20">
        <v>1</v>
      </c>
      <c r="N1383" s="19" t="s">
        <v>1798</v>
      </c>
      <c r="O1383" s="20">
        <v>0</v>
      </c>
      <c r="P1383" s="20">
        <v>0</v>
      </c>
      <c r="Q1383" s="20">
        <v>0</v>
      </c>
      <c r="R1383" s="21">
        <v>1.02</v>
      </c>
      <c r="S1383" s="20">
        <v>0</v>
      </c>
    </row>
    <row r="1384" spans="2:19" ht="15" customHeight="1" x14ac:dyDescent="0.25">
      <c r="B1384" s="2" t="str">
        <f t="shared" si="42"/>
        <v>PGL_Business_C&amp;I_Engineering Study_Engineering Study_0_CI</v>
      </c>
      <c r="C1384" s="2" t="str">
        <f t="shared" si="43"/>
        <v>PGL_Business_C&amp;I_Engineering Study_Engineering Study_0_CI_2025</v>
      </c>
      <c r="D1384" s="19" t="s">
        <v>1794</v>
      </c>
      <c r="E1384" s="19" t="s">
        <v>3</v>
      </c>
      <c r="F1384" s="19" t="s">
        <v>1427</v>
      </c>
      <c r="G1384" s="19" t="s">
        <v>1281</v>
      </c>
      <c r="H1384" s="19" t="s">
        <v>1281</v>
      </c>
      <c r="I1384" s="19">
        <v>0</v>
      </c>
      <c r="J1384" s="19">
        <v>0</v>
      </c>
      <c r="K1384" s="19" t="s">
        <v>1159</v>
      </c>
      <c r="L1384" s="19">
        <v>2025</v>
      </c>
      <c r="M1384" s="20">
        <v>1</v>
      </c>
      <c r="N1384" s="19" t="s">
        <v>1798</v>
      </c>
      <c r="O1384" s="20">
        <v>0</v>
      </c>
      <c r="P1384" s="20">
        <v>0</v>
      </c>
      <c r="Q1384" s="20">
        <v>0</v>
      </c>
      <c r="R1384" s="21">
        <v>1.02</v>
      </c>
      <c r="S1384" s="20">
        <v>0</v>
      </c>
    </row>
    <row r="1385" spans="2:19" ht="15" customHeight="1" x14ac:dyDescent="0.25">
      <c r="B1385" s="2" t="str">
        <f t="shared" si="42"/>
        <v>PGL_Business_C&amp;I_Staffing_Staffing_0_CI</v>
      </c>
      <c r="C1385" s="2" t="str">
        <f t="shared" si="43"/>
        <v>PGL_Business_C&amp;I_Staffing_Staffing_0_CI_2022</v>
      </c>
      <c r="D1385" s="19" t="s">
        <v>1794</v>
      </c>
      <c r="E1385" s="19" t="s">
        <v>3</v>
      </c>
      <c r="F1385" s="19" t="s">
        <v>1427</v>
      </c>
      <c r="G1385" s="19" t="s">
        <v>1282</v>
      </c>
      <c r="H1385" s="19" t="s">
        <v>1282</v>
      </c>
      <c r="I1385" s="19">
        <v>0</v>
      </c>
      <c r="J1385" s="19">
        <v>0</v>
      </c>
      <c r="K1385" s="19" t="s">
        <v>1159</v>
      </c>
      <c r="L1385" s="19">
        <v>2022</v>
      </c>
      <c r="M1385" s="20">
        <v>1</v>
      </c>
      <c r="N1385" s="19" t="s">
        <v>1798</v>
      </c>
      <c r="O1385" s="20">
        <v>1</v>
      </c>
      <c r="P1385" s="20">
        <v>1</v>
      </c>
      <c r="Q1385" s="20">
        <v>0</v>
      </c>
      <c r="R1385" s="21">
        <v>1.02</v>
      </c>
      <c r="S1385" s="20">
        <v>0</v>
      </c>
    </row>
    <row r="1386" spans="2:19" ht="15" customHeight="1" x14ac:dyDescent="0.25">
      <c r="B1386" s="2" t="str">
        <f t="shared" si="42"/>
        <v>PGL_Business_C&amp;I_Staffing_Staffing_0_CI</v>
      </c>
      <c r="C1386" s="2" t="str">
        <f t="shared" si="43"/>
        <v>PGL_Business_C&amp;I_Staffing_Staffing_0_CI_2023</v>
      </c>
      <c r="D1386" s="19" t="s">
        <v>1794</v>
      </c>
      <c r="E1386" s="19" t="s">
        <v>3</v>
      </c>
      <c r="F1386" s="19" t="s">
        <v>1427</v>
      </c>
      <c r="G1386" s="19" t="s">
        <v>1282</v>
      </c>
      <c r="H1386" s="19" t="s">
        <v>1282</v>
      </c>
      <c r="I1386" s="19">
        <v>0</v>
      </c>
      <c r="J1386" s="19">
        <v>0</v>
      </c>
      <c r="K1386" s="19" t="s">
        <v>1159</v>
      </c>
      <c r="L1386" s="19">
        <v>2023</v>
      </c>
      <c r="M1386" s="20">
        <v>1</v>
      </c>
      <c r="N1386" s="19" t="s">
        <v>1798</v>
      </c>
      <c r="O1386" s="20">
        <v>1</v>
      </c>
      <c r="P1386" s="20">
        <v>1</v>
      </c>
      <c r="Q1386" s="20">
        <v>0</v>
      </c>
      <c r="R1386" s="21">
        <v>1.02</v>
      </c>
      <c r="S1386" s="20">
        <v>0</v>
      </c>
    </row>
    <row r="1387" spans="2:19" ht="15" customHeight="1" x14ac:dyDescent="0.25">
      <c r="B1387" s="2" t="str">
        <f t="shared" si="42"/>
        <v>PGL_Business_C&amp;I_Staffing_Staffing_0_CI</v>
      </c>
      <c r="C1387" s="2" t="str">
        <f t="shared" si="43"/>
        <v>PGL_Business_C&amp;I_Staffing_Staffing_0_CI_2024</v>
      </c>
      <c r="D1387" s="19" t="s">
        <v>1794</v>
      </c>
      <c r="E1387" s="19" t="s">
        <v>3</v>
      </c>
      <c r="F1387" s="19" t="s">
        <v>1427</v>
      </c>
      <c r="G1387" s="19" t="s">
        <v>1282</v>
      </c>
      <c r="H1387" s="19" t="s">
        <v>1282</v>
      </c>
      <c r="I1387" s="19">
        <v>0</v>
      </c>
      <c r="J1387" s="19">
        <v>0</v>
      </c>
      <c r="K1387" s="19" t="s">
        <v>1159</v>
      </c>
      <c r="L1387" s="19">
        <v>2024</v>
      </c>
      <c r="M1387" s="20">
        <v>1</v>
      </c>
      <c r="N1387" s="19" t="s">
        <v>1798</v>
      </c>
      <c r="O1387" s="20">
        <v>1</v>
      </c>
      <c r="P1387" s="20">
        <v>1</v>
      </c>
      <c r="Q1387" s="20">
        <v>0</v>
      </c>
      <c r="R1387" s="21">
        <v>1.02</v>
      </c>
      <c r="S1387" s="20">
        <v>0</v>
      </c>
    </row>
    <row r="1388" spans="2:19" ht="15" customHeight="1" x14ac:dyDescent="0.25">
      <c r="B1388" s="2" t="str">
        <f t="shared" si="42"/>
        <v>PGL_Business_C&amp;I_Staffing_Staffing_0_CI</v>
      </c>
      <c r="C1388" s="2" t="str">
        <f t="shared" si="43"/>
        <v>PGL_Business_C&amp;I_Staffing_Staffing_0_CI_2025</v>
      </c>
      <c r="D1388" s="19" t="s">
        <v>1794</v>
      </c>
      <c r="E1388" s="19" t="s">
        <v>3</v>
      </c>
      <c r="F1388" s="19" t="s">
        <v>1427</v>
      </c>
      <c r="G1388" s="19" t="s">
        <v>1282</v>
      </c>
      <c r="H1388" s="19" t="s">
        <v>1282</v>
      </c>
      <c r="I1388" s="19">
        <v>0</v>
      </c>
      <c r="J1388" s="19">
        <v>0</v>
      </c>
      <c r="K1388" s="19" t="s">
        <v>1159</v>
      </c>
      <c r="L1388" s="19">
        <v>2025</v>
      </c>
      <c r="M1388" s="20">
        <v>1</v>
      </c>
      <c r="N1388" s="19" t="s">
        <v>1798</v>
      </c>
      <c r="O1388" s="20">
        <v>1</v>
      </c>
      <c r="P1388" s="20">
        <v>1</v>
      </c>
      <c r="Q1388" s="20">
        <v>0</v>
      </c>
      <c r="R1388" s="21">
        <v>1.02</v>
      </c>
      <c r="S1388" s="20">
        <v>0</v>
      </c>
    </row>
    <row r="1389" spans="2:19" ht="15" customHeight="1" x14ac:dyDescent="0.25">
      <c r="B1389" s="2" t="str">
        <f t="shared" si="42"/>
        <v>PGL_Business_C&amp;I_Rebates_Boiler_≥88% AFUE, &lt;300MBh_CI</v>
      </c>
      <c r="C1389" s="2" t="str">
        <f t="shared" si="43"/>
        <v>PGL_Business_C&amp;I_Rebates_Boiler_≥88% AFUE, &lt;300MBh_CI_2022</v>
      </c>
      <c r="D1389" s="19" t="s">
        <v>1794</v>
      </c>
      <c r="E1389" s="19" t="s">
        <v>3</v>
      </c>
      <c r="F1389" s="19" t="s">
        <v>1427</v>
      </c>
      <c r="G1389" s="19" t="s">
        <v>1429</v>
      </c>
      <c r="H1389" s="19" t="s">
        <v>944</v>
      </c>
      <c r="I1389" s="19" t="s">
        <v>945</v>
      </c>
      <c r="J1389" s="19" t="s">
        <v>942</v>
      </c>
      <c r="K1389" s="19" t="s">
        <v>1159</v>
      </c>
      <c r="L1389" s="19">
        <v>2022</v>
      </c>
      <c r="M1389" s="20">
        <v>200</v>
      </c>
      <c r="N1389" s="19" t="s">
        <v>667</v>
      </c>
      <c r="O1389" s="20">
        <v>2</v>
      </c>
      <c r="P1389" s="20">
        <v>400</v>
      </c>
      <c r="Q1389" s="20">
        <v>287.90666666666692</v>
      </c>
      <c r="R1389" s="21">
        <v>0.91</v>
      </c>
      <c r="S1389" s="20">
        <v>287.90666666666692</v>
      </c>
    </row>
    <row r="1390" spans="2:19" ht="15" customHeight="1" x14ac:dyDescent="0.25">
      <c r="B1390" s="2" t="str">
        <f t="shared" si="42"/>
        <v>PGL_Business_C&amp;I_Rebates_Boiler_≥88% AFUE, &lt;300MBh_CI</v>
      </c>
      <c r="C1390" s="2" t="str">
        <f t="shared" si="43"/>
        <v>PGL_Business_C&amp;I_Rebates_Boiler_≥88% AFUE, &lt;300MBh_CI_2023</v>
      </c>
      <c r="D1390" s="19" t="s">
        <v>1794</v>
      </c>
      <c r="E1390" s="19" t="s">
        <v>3</v>
      </c>
      <c r="F1390" s="19" t="s">
        <v>1427</v>
      </c>
      <c r="G1390" s="19" t="s">
        <v>1429</v>
      </c>
      <c r="H1390" s="19" t="s">
        <v>944</v>
      </c>
      <c r="I1390" s="19" t="s">
        <v>945</v>
      </c>
      <c r="J1390" s="19" t="s">
        <v>942</v>
      </c>
      <c r="K1390" s="19" t="s">
        <v>1159</v>
      </c>
      <c r="L1390" s="19">
        <v>2023</v>
      </c>
      <c r="M1390" s="20">
        <v>200</v>
      </c>
      <c r="N1390" s="19" t="s">
        <v>667</v>
      </c>
      <c r="O1390" s="20">
        <v>2</v>
      </c>
      <c r="P1390" s="20">
        <v>400</v>
      </c>
      <c r="Q1390" s="20">
        <v>287.90666666666692</v>
      </c>
      <c r="R1390" s="21">
        <v>0.91</v>
      </c>
      <c r="S1390" s="20">
        <v>287.90666666666692</v>
      </c>
    </row>
    <row r="1391" spans="2:19" ht="15" customHeight="1" x14ac:dyDescent="0.25">
      <c r="B1391" s="2" t="str">
        <f t="shared" si="42"/>
        <v>PGL_Business_C&amp;I_Rebates_Boiler_≥88% AFUE, &lt;300MBh_CI</v>
      </c>
      <c r="C1391" s="2" t="str">
        <f t="shared" si="43"/>
        <v>PGL_Business_C&amp;I_Rebates_Boiler_≥88% AFUE, &lt;300MBh_CI_2024</v>
      </c>
      <c r="D1391" s="19" t="s">
        <v>1794</v>
      </c>
      <c r="E1391" s="19" t="s">
        <v>3</v>
      </c>
      <c r="F1391" s="19" t="s">
        <v>1427</v>
      </c>
      <c r="G1391" s="19" t="s">
        <v>1429</v>
      </c>
      <c r="H1391" s="19" t="s">
        <v>944</v>
      </c>
      <c r="I1391" s="19" t="s">
        <v>945</v>
      </c>
      <c r="J1391" s="19" t="s">
        <v>942</v>
      </c>
      <c r="K1391" s="19" t="s">
        <v>1159</v>
      </c>
      <c r="L1391" s="19">
        <v>2024</v>
      </c>
      <c r="M1391" s="20">
        <v>200</v>
      </c>
      <c r="N1391" s="19" t="s">
        <v>667</v>
      </c>
      <c r="O1391" s="20">
        <v>1</v>
      </c>
      <c r="P1391" s="20">
        <v>200</v>
      </c>
      <c r="Q1391" s="20">
        <v>143.95333333333346</v>
      </c>
      <c r="R1391" s="21">
        <v>0.91</v>
      </c>
      <c r="S1391" s="20">
        <v>143.95333333333346</v>
      </c>
    </row>
    <row r="1392" spans="2:19" ht="15" customHeight="1" x14ac:dyDescent="0.25">
      <c r="B1392" s="2" t="str">
        <f t="shared" si="42"/>
        <v>PGL_Business_C&amp;I_Rebates_Boiler_≥88% AFUE, &lt;300MBh_CI</v>
      </c>
      <c r="C1392" s="2" t="str">
        <f t="shared" si="43"/>
        <v>PGL_Business_C&amp;I_Rebates_Boiler_≥88% AFUE, &lt;300MBh_CI_2025</v>
      </c>
      <c r="D1392" s="19" t="s">
        <v>1794</v>
      </c>
      <c r="E1392" s="19" t="s">
        <v>3</v>
      </c>
      <c r="F1392" s="19" t="s">
        <v>1427</v>
      </c>
      <c r="G1392" s="19" t="s">
        <v>1429</v>
      </c>
      <c r="H1392" s="19" t="s">
        <v>944</v>
      </c>
      <c r="I1392" s="19" t="s">
        <v>945</v>
      </c>
      <c r="J1392" s="19" t="s">
        <v>942</v>
      </c>
      <c r="K1392" s="19" t="s">
        <v>1159</v>
      </c>
      <c r="L1392" s="19">
        <v>2025</v>
      </c>
      <c r="M1392" s="20">
        <v>200</v>
      </c>
      <c r="N1392" s="19" t="s">
        <v>667</v>
      </c>
      <c r="O1392" s="20">
        <v>1</v>
      </c>
      <c r="P1392" s="20">
        <v>200</v>
      </c>
      <c r="Q1392" s="20">
        <v>143.95333333333346</v>
      </c>
      <c r="R1392" s="21">
        <v>0.91</v>
      </c>
      <c r="S1392" s="20">
        <v>143.95333333333346</v>
      </c>
    </row>
    <row r="1393" spans="2:19" ht="15" customHeight="1" x14ac:dyDescent="0.25">
      <c r="B1393" s="2" t="str">
        <f t="shared" si="42"/>
        <v>PGL_Business_C&amp;I_Rebates_Boiler_≥88% AFUE, ≥300MBh TE_CI</v>
      </c>
      <c r="C1393" s="2" t="str">
        <f t="shared" si="43"/>
        <v>PGL_Business_C&amp;I_Rebates_Boiler_≥88% AFUE, ≥300MBh TE_CI_2022</v>
      </c>
      <c r="D1393" s="19" t="s">
        <v>1794</v>
      </c>
      <c r="E1393" s="19" t="s">
        <v>3</v>
      </c>
      <c r="F1393" s="19" t="s">
        <v>1427</v>
      </c>
      <c r="G1393" s="19" t="s">
        <v>1429</v>
      </c>
      <c r="H1393" s="19" t="s">
        <v>944</v>
      </c>
      <c r="I1393" s="19" t="s">
        <v>946</v>
      </c>
      <c r="J1393" s="19" t="s">
        <v>942</v>
      </c>
      <c r="K1393" s="19" t="s">
        <v>1159</v>
      </c>
      <c r="L1393" s="19">
        <v>2022</v>
      </c>
      <c r="M1393" s="20">
        <v>5000</v>
      </c>
      <c r="N1393" s="19" t="s">
        <v>667</v>
      </c>
      <c r="O1393" s="20">
        <v>5</v>
      </c>
      <c r="P1393" s="20">
        <v>25000</v>
      </c>
      <c r="Q1393" s="20">
        <v>37787.749999999985</v>
      </c>
      <c r="R1393" s="21">
        <v>0.91</v>
      </c>
      <c r="S1393" s="20">
        <v>37787.749999999985</v>
      </c>
    </row>
    <row r="1394" spans="2:19" ht="15" customHeight="1" x14ac:dyDescent="0.25">
      <c r="B1394" s="2" t="str">
        <f t="shared" si="42"/>
        <v>PGL_Business_C&amp;I_Rebates_Boiler_≥88% AFUE, ≥300MBh TE_CI</v>
      </c>
      <c r="C1394" s="2" t="str">
        <f t="shared" si="43"/>
        <v>PGL_Business_C&amp;I_Rebates_Boiler_≥88% AFUE, ≥300MBh TE_CI_2023</v>
      </c>
      <c r="D1394" s="19" t="s">
        <v>1794</v>
      </c>
      <c r="E1394" s="19" t="s">
        <v>3</v>
      </c>
      <c r="F1394" s="19" t="s">
        <v>1427</v>
      </c>
      <c r="G1394" s="19" t="s">
        <v>1429</v>
      </c>
      <c r="H1394" s="19" t="s">
        <v>944</v>
      </c>
      <c r="I1394" s="19" t="s">
        <v>946</v>
      </c>
      <c r="J1394" s="19" t="s">
        <v>942</v>
      </c>
      <c r="K1394" s="19" t="s">
        <v>1159</v>
      </c>
      <c r="L1394" s="19">
        <v>2023</v>
      </c>
      <c r="M1394" s="20">
        <v>5000</v>
      </c>
      <c r="N1394" s="19" t="s">
        <v>667</v>
      </c>
      <c r="O1394" s="20">
        <v>4</v>
      </c>
      <c r="P1394" s="20">
        <v>20000</v>
      </c>
      <c r="Q1394" s="20">
        <v>30230.199999999986</v>
      </c>
      <c r="R1394" s="21">
        <v>0.91</v>
      </c>
      <c r="S1394" s="20">
        <v>30230.199999999986</v>
      </c>
    </row>
    <row r="1395" spans="2:19" ht="15" customHeight="1" x14ac:dyDescent="0.25">
      <c r="B1395" s="2" t="str">
        <f t="shared" si="42"/>
        <v>PGL_Business_C&amp;I_Rebates_Boiler_≥88% AFUE, ≥300MBh TE_CI</v>
      </c>
      <c r="C1395" s="2" t="str">
        <f t="shared" si="43"/>
        <v>PGL_Business_C&amp;I_Rebates_Boiler_≥88% AFUE, ≥300MBh TE_CI_2024</v>
      </c>
      <c r="D1395" s="19" t="s">
        <v>1794</v>
      </c>
      <c r="E1395" s="19" t="s">
        <v>3</v>
      </c>
      <c r="F1395" s="19" t="s">
        <v>1427</v>
      </c>
      <c r="G1395" s="19" t="s">
        <v>1429</v>
      </c>
      <c r="H1395" s="19" t="s">
        <v>944</v>
      </c>
      <c r="I1395" s="19" t="s">
        <v>946</v>
      </c>
      <c r="J1395" s="19" t="s">
        <v>942</v>
      </c>
      <c r="K1395" s="19" t="s">
        <v>1159</v>
      </c>
      <c r="L1395" s="19">
        <v>2024</v>
      </c>
      <c r="M1395" s="20">
        <v>5000</v>
      </c>
      <c r="N1395" s="19" t="s">
        <v>667</v>
      </c>
      <c r="O1395" s="20">
        <v>4</v>
      </c>
      <c r="P1395" s="20">
        <v>20000</v>
      </c>
      <c r="Q1395" s="20">
        <v>30230.199999999986</v>
      </c>
      <c r="R1395" s="21">
        <v>0.91</v>
      </c>
      <c r="S1395" s="20">
        <v>30230.199999999986</v>
      </c>
    </row>
    <row r="1396" spans="2:19" ht="15" customHeight="1" x14ac:dyDescent="0.25">
      <c r="B1396" s="2" t="str">
        <f t="shared" si="42"/>
        <v>PGL_Business_C&amp;I_Rebates_Boiler_≥88% AFUE, ≥300MBh TE_CI</v>
      </c>
      <c r="C1396" s="2" t="str">
        <f t="shared" si="43"/>
        <v>PGL_Business_C&amp;I_Rebates_Boiler_≥88% AFUE, ≥300MBh TE_CI_2025</v>
      </c>
      <c r="D1396" s="19" t="s">
        <v>1794</v>
      </c>
      <c r="E1396" s="19" t="s">
        <v>3</v>
      </c>
      <c r="F1396" s="19" t="s">
        <v>1427</v>
      </c>
      <c r="G1396" s="19" t="s">
        <v>1429</v>
      </c>
      <c r="H1396" s="19" t="s">
        <v>944</v>
      </c>
      <c r="I1396" s="19" t="s">
        <v>946</v>
      </c>
      <c r="J1396" s="19" t="s">
        <v>942</v>
      </c>
      <c r="K1396" s="19" t="s">
        <v>1159</v>
      </c>
      <c r="L1396" s="19">
        <v>2025</v>
      </c>
      <c r="M1396" s="20">
        <v>5000</v>
      </c>
      <c r="N1396" s="19" t="s">
        <v>667</v>
      </c>
      <c r="O1396" s="20">
        <v>3</v>
      </c>
      <c r="P1396" s="20">
        <v>15000</v>
      </c>
      <c r="Q1396" s="20">
        <v>22672.649999999991</v>
      </c>
      <c r="R1396" s="21">
        <v>0.91</v>
      </c>
      <c r="S1396" s="20">
        <v>22672.649999999991</v>
      </c>
    </row>
    <row r="1397" spans="2:19" ht="15" customHeight="1" x14ac:dyDescent="0.25">
      <c r="B1397" s="2" t="str">
        <f t="shared" si="42"/>
        <v>PGL_Business_C&amp;I_Rebates_Boiler Reset Controls_0_CI</v>
      </c>
      <c r="C1397" s="2" t="str">
        <f t="shared" si="43"/>
        <v>PGL_Business_C&amp;I_Rebates_Boiler Reset Controls_0_CI_2022</v>
      </c>
      <c r="D1397" s="19" t="s">
        <v>1794</v>
      </c>
      <c r="E1397" s="19" t="s">
        <v>3</v>
      </c>
      <c r="F1397" s="19" t="s">
        <v>1427</v>
      </c>
      <c r="G1397" s="19" t="s">
        <v>1429</v>
      </c>
      <c r="H1397" s="19" t="s">
        <v>978</v>
      </c>
      <c r="I1397" s="19">
        <v>0</v>
      </c>
      <c r="J1397" s="19" t="s">
        <v>25</v>
      </c>
      <c r="K1397" s="19" t="s">
        <v>1159</v>
      </c>
      <c r="L1397" s="19">
        <v>2022</v>
      </c>
      <c r="M1397" s="20">
        <v>1200</v>
      </c>
      <c r="N1397" s="19" t="s">
        <v>667</v>
      </c>
      <c r="O1397" s="20">
        <v>0</v>
      </c>
      <c r="P1397" s="20">
        <v>0</v>
      </c>
      <c r="Q1397" s="20">
        <v>0</v>
      </c>
      <c r="R1397" s="21">
        <v>0.91</v>
      </c>
      <c r="S1397" s="20">
        <v>0</v>
      </c>
    </row>
    <row r="1398" spans="2:19" ht="15" customHeight="1" x14ac:dyDescent="0.25">
      <c r="B1398" s="2" t="str">
        <f t="shared" si="42"/>
        <v>PGL_Business_C&amp;I_Rebates_Boiler Reset Controls_0_CI</v>
      </c>
      <c r="C1398" s="2" t="str">
        <f t="shared" si="43"/>
        <v>PGL_Business_C&amp;I_Rebates_Boiler Reset Controls_0_CI_2023</v>
      </c>
      <c r="D1398" s="19" t="s">
        <v>1794</v>
      </c>
      <c r="E1398" s="19" t="s">
        <v>3</v>
      </c>
      <c r="F1398" s="19" t="s">
        <v>1427</v>
      </c>
      <c r="G1398" s="19" t="s">
        <v>1429</v>
      </c>
      <c r="H1398" s="19" t="s">
        <v>978</v>
      </c>
      <c r="I1398" s="19">
        <v>0</v>
      </c>
      <c r="J1398" s="19" t="s">
        <v>25</v>
      </c>
      <c r="K1398" s="19" t="s">
        <v>1159</v>
      </c>
      <c r="L1398" s="19">
        <v>2023</v>
      </c>
      <c r="M1398" s="20">
        <v>1200</v>
      </c>
      <c r="N1398" s="19" t="s">
        <v>667</v>
      </c>
      <c r="O1398" s="20">
        <v>0</v>
      </c>
      <c r="P1398" s="20">
        <v>0</v>
      </c>
      <c r="Q1398" s="20">
        <v>0</v>
      </c>
      <c r="R1398" s="21">
        <v>0.91</v>
      </c>
      <c r="S1398" s="20">
        <v>0</v>
      </c>
    </row>
    <row r="1399" spans="2:19" ht="15" customHeight="1" x14ac:dyDescent="0.25">
      <c r="B1399" s="2" t="str">
        <f t="shared" si="42"/>
        <v>PGL_Business_C&amp;I_Rebates_Boiler Reset Controls_0_CI</v>
      </c>
      <c r="C1399" s="2" t="str">
        <f t="shared" si="43"/>
        <v>PGL_Business_C&amp;I_Rebates_Boiler Reset Controls_0_CI_2024</v>
      </c>
      <c r="D1399" s="19" t="s">
        <v>1794</v>
      </c>
      <c r="E1399" s="19" t="s">
        <v>3</v>
      </c>
      <c r="F1399" s="19" t="s">
        <v>1427</v>
      </c>
      <c r="G1399" s="19" t="s">
        <v>1429</v>
      </c>
      <c r="H1399" s="19" t="s">
        <v>978</v>
      </c>
      <c r="I1399" s="19">
        <v>0</v>
      </c>
      <c r="J1399" s="19" t="s">
        <v>25</v>
      </c>
      <c r="K1399" s="19" t="s">
        <v>1159</v>
      </c>
      <c r="L1399" s="19">
        <v>2024</v>
      </c>
      <c r="M1399" s="20">
        <v>1200</v>
      </c>
      <c r="N1399" s="19" t="s">
        <v>667</v>
      </c>
      <c r="O1399" s="20">
        <v>0</v>
      </c>
      <c r="P1399" s="20">
        <v>0</v>
      </c>
      <c r="Q1399" s="20">
        <v>0</v>
      </c>
      <c r="R1399" s="21">
        <v>0.91</v>
      </c>
      <c r="S1399" s="20">
        <v>0</v>
      </c>
    </row>
    <row r="1400" spans="2:19" ht="15" customHeight="1" x14ac:dyDescent="0.25">
      <c r="B1400" s="2" t="str">
        <f t="shared" si="42"/>
        <v>PGL_Business_C&amp;I_Rebates_Boiler Reset Controls_0_CI</v>
      </c>
      <c r="C1400" s="2" t="str">
        <f t="shared" si="43"/>
        <v>PGL_Business_C&amp;I_Rebates_Boiler Reset Controls_0_CI_2025</v>
      </c>
      <c r="D1400" s="19" t="s">
        <v>1794</v>
      </c>
      <c r="E1400" s="19" t="s">
        <v>3</v>
      </c>
      <c r="F1400" s="19" t="s">
        <v>1427</v>
      </c>
      <c r="G1400" s="19" t="s">
        <v>1429</v>
      </c>
      <c r="H1400" s="19" t="s">
        <v>978</v>
      </c>
      <c r="I1400" s="19">
        <v>0</v>
      </c>
      <c r="J1400" s="19" t="s">
        <v>25</v>
      </c>
      <c r="K1400" s="19" t="s">
        <v>1159</v>
      </c>
      <c r="L1400" s="19">
        <v>2025</v>
      </c>
      <c r="M1400" s="20">
        <v>1200</v>
      </c>
      <c r="N1400" s="19" t="s">
        <v>667</v>
      </c>
      <c r="O1400" s="20">
        <v>0</v>
      </c>
      <c r="P1400" s="20">
        <v>0</v>
      </c>
      <c r="Q1400" s="20">
        <v>0</v>
      </c>
      <c r="R1400" s="21">
        <v>0.91</v>
      </c>
      <c r="S1400" s="20">
        <v>0</v>
      </c>
    </row>
    <row r="1401" spans="2:19" ht="15" customHeight="1" x14ac:dyDescent="0.25">
      <c r="B1401" s="2" t="str">
        <f t="shared" si="42"/>
        <v>PGL_Business_C&amp;I_Rebates_Boiler Tune Up_Process_MF/CI</v>
      </c>
      <c r="C1401" s="2" t="str">
        <f t="shared" si="43"/>
        <v>PGL_Business_C&amp;I_Rebates_Boiler Tune Up_Process_MF/CI_2022</v>
      </c>
      <c r="D1401" s="19" t="s">
        <v>1794</v>
      </c>
      <c r="E1401" s="19" t="s">
        <v>3</v>
      </c>
      <c r="F1401" s="19" t="s">
        <v>1427</v>
      </c>
      <c r="G1401" s="19" t="s">
        <v>1429</v>
      </c>
      <c r="H1401" s="19" t="s">
        <v>906</v>
      </c>
      <c r="I1401" s="19" t="s">
        <v>924</v>
      </c>
      <c r="J1401" s="19" t="s">
        <v>927</v>
      </c>
      <c r="K1401" s="19" t="s">
        <v>587</v>
      </c>
      <c r="L1401" s="19">
        <v>2022</v>
      </c>
      <c r="M1401" s="20">
        <v>12000</v>
      </c>
      <c r="N1401" s="19" t="s">
        <v>667</v>
      </c>
      <c r="O1401" s="20">
        <v>34</v>
      </c>
      <c r="P1401" s="20">
        <v>408000</v>
      </c>
      <c r="Q1401" s="20">
        <v>379721.19014237076</v>
      </c>
      <c r="R1401" s="21">
        <v>0.91</v>
      </c>
      <c r="S1401" s="20">
        <v>379721.19014237076</v>
      </c>
    </row>
    <row r="1402" spans="2:19" ht="15" customHeight="1" x14ac:dyDescent="0.25">
      <c r="B1402" s="2" t="str">
        <f t="shared" si="42"/>
        <v>PGL_Business_C&amp;I_Rebates_Boiler Tune Up_Process_MF/CI</v>
      </c>
      <c r="C1402" s="2" t="str">
        <f t="shared" si="43"/>
        <v>PGL_Business_C&amp;I_Rebates_Boiler Tune Up_Process_MF/CI_2023</v>
      </c>
      <c r="D1402" s="19" t="s">
        <v>1794</v>
      </c>
      <c r="E1402" s="19" t="s">
        <v>3</v>
      </c>
      <c r="F1402" s="19" t="s">
        <v>1427</v>
      </c>
      <c r="G1402" s="19" t="s">
        <v>1429</v>
      </c>
      <c r="H1402" s="19" t="s">
        <v>906</v>
      </c>
      <c r="I1402" s="19" t="s">
        <v>924</v>
      </c>
      <c r="J1402" s="19" t="s">
        <v>927</v>
      </c>
      <c r="K1402" s="19" t="s">
        <v>587</v>
      </c>
      <c r="L1402" s="19">
        <v>2023</v>
      </c>
      <c r="M1402" s="20">
        <v>12000</v>
      </c>
      <c r="N1402" s="19" t="s">
        <v>667</v>
      </c>
      <c r="O1402" s="20">
        <v>32</v>
      </c>
      <c r="P1402" s="20">
        <v>384000</v>
      </c>
      <c r="Q1402" s="20">
        <v>357384.64954576077</v>
      </c>
      <c r="R1402" s="21">
        <v>0.91</v>
      </c>
      <c r="S1402" s="20">
        <v>357384.64954576077</v>
      </c>
    </row>
    <row r="1403" spans="2:19" ht="15" customHeight="1" x14ac:dyDescent="0.25">
      <c r="B1403" s="2" t="str">
        <f t="shared" si="42"/>
        <v>PGL_Business_C&amp;I_Rebates_Boiler Tune Up_Process_MF/CI</v>
      </c>
      <c r="C1403" s="2" t="str">
        <f t="shared" si="43"/>
        <v>PGL_Business_C&amp;I_Rebates_Boiler Tune Up_Process_MF/CI_2024</v>
      </c>
      <c r="D1403" s="19" t="s">
        <v>1794</v>
      </c>
      <c r="E1403" s="19" t="s">
        <v>3</v>
      </c>
      <c r="F1403" s="19" t="s">
        <v>1427</v>
      </c>
      <c r="G1403" s="19" t="s">
        <v>1429</v>
      </c>
      <c r="H1403" s="19" t="s">
        <v>906</v>
      </c>
      <c r="I1403" s="19" t="s">
        <v>924</v>
      </c>
      <c r="J1403" s="19" t="s">
        <v>927</v>
      </c>
      <c r="K1403" s="19" t="s">
        <v>587</v>
      </c>
      <c r="L1403" s="19">
        <v>2024</v>
      </c>
      <c r="M1403" s="20">
        <v>12000</v>
      </c>
      <c r="N1403" s="19" t="s">
        <v>667</v>
      </c>
      <c r="O1403" s="20">
        <v>26</v>
      </c>
      <c r="P1403" s="20">
        <v>312000</v>
      </c>
      <c r="Q1403" s="20">
        <v>290375.02775593061</v>
      </c>
      <c r="R1403" s="21">
        <v>0.91</v>
      </c>
      <c r="S1403" s="20">
        <v>290375.02775593061</v>
      </c>
    </row>
    <row r="1404" spans="2:19" ht="15" customHeight="1" x14ac:dyDescent="0.25">
      <c r="B1404" s="2" t="str">
        <f t="shared" si="42"/>
        <v>PGL_Business_C&amp;I_Rebates_Boiler Tune Up_Process_MF/CI</v>
      </c>
      <c r="C1404" s="2" t="str">
        <f t="shared" si="43"/>
        <v>PGL_Business_C&amp;I_Rebates_Boiler Tune Up_Process_MF/CI_2025</v>
      </c>
      <c r="D1404" s="19" t="s">
        <v>1794</v>
      </c>
      <c r="E1404" s="19" t="s">
        <v>3</v>
      </c>
      <c r="F1404" s="19" t="s">
        <v>1427</v>
      </c>
      <c r="G1404" s="19" t="s">
        <v>1429</v>
      </c>
      <c r="H1404" s="19" t="s">
        <v>906</v>
      </c>
      <c r="I1404" s="19" t="s">
        <v>924</v>
      </c>
      <c r="J1404" s="19" t="s">
        <v>927</v>
      </c>
      <c r="K1404" s="19" t="s">
        <v>587</v>
      </c>
      <c r="L1404" s="19">
        <v>2025</v>
      </c>
      <c r="M1404" s="20">
        <v>12000</v>
      </c>
      <c r="N1404" s="19" t="s">
        <v>667</v>
      </c>
      <c r="O1404" s="20">
        <v>20</v>
      </c>
      <c r="P1404" s="20">
        <v>240000</v>
      </c>
      <c r="Q1404" s="20">
        <v>223365.40596610046</v>
      </c>
      <c r="R1404" s="21">
        <v>0.91</v>
      </c>
      <c r="S1404" s="20">
        <v>223365.40596610046</v>
      </c>
    </row>
    <row r="1405" spans="2:19" ht="15" customHeight="1" x14ac:dyDescent="0.25">
      <c r="B1405" s="2" t="str">
        <f t="shared" si="42"/>
        <v>PGL_Business_C&amp;I_Rebates_Boiler Tune Up_Space Heating_CI</v>
      </c>
      <c r="C1405" s="2" t="str">
        <f t="shared" si="43"/>
        <v>PGL_Business_C&amp;I_Rebates_Boiler Tune Up_Space Heating_CI_2022</v>
      </c>
      <c r="D1405" s="19" t="s">
        <v>1794</v>
      </c>
      <c r="E1405" s="19" t="s">
        <v>3</v>
      </c>
      <c r="F1405" s="19" t="s">
        <v>1427</v>
      </c>
      <c r="G1405" s="19" t="s">
        <v>1429</v>
      </c>
      <c r="H1405" s="19" t="s">
        <v>906</v>
      </c>
      <c r="I1405" s="19" t="s">
        <v>907</v>
      </c>
      <c r="J1405" s="19" t="s">
        <v>909</v>
      </c>
      <c r="K1405" s="19" t="s">
        <v>1159</v>
      </c>
      <c r="L1405" s="19">
        <v>2022</v>
      </c>
      <c r="M1405" s="20">
        <v>6000</v>
      </c>
      <c r="N1405" s="19" t="s">
        <v>667</v>
      </c>
      <c r="O1405" s="20">
        <v>26</v>
      </c>
      <c r="P1405" s="20">
        <v>156000</v>
      </c>
      <c r="Q1405" s="20">
        <v>66543.532269938791</v>
      </c>
      <c r="R1405" s="21">
        <v>0.91</v>
      </c>
      <c r="S1405" s="20">
        <v>66543.532269938791</v>
      </c>
    </row>
    <row r="1406" spans="2:19" ht="15" customHeight="1" x14ac:dyDescent="0.25">
      <c r="B1406" s="2" t="str">
        <f t="shared" si="42"/>
        <v>PGL_Business_C&amp;I_Rebates_Boiler Tune Up_Space Heating_CI</v>
      </c>
      <c r="C1406" s="2" t="str">
        <f t="shared" si="43"/>
        <v>PGL_Business_C&amp;I_Rebates_Boiler Tune Up_Space Heating_CI_2023</v>
      </c>
      <c r="D1406" s="19" t="s">
        <v>1794</v>
      </c>
      <c r="E1406" s="19" t="s">
        <v>3</v>
      </c>
      <c r="F1406" s="19" t="s">
        <v>1427</v>
      </c>
      <c r="G1406" s="19" t="s">
        <v>1429</v>
      </c>
      <c r="H1406" s="19" t="s">
        <v>906</v>
      </c>
      <c r="I1406" s="19" t="s">
        <v>907</v>
      </c>
      <c r="J1406" s="19" t="s">
        <v>909</v>
      </c>
      <c r="K1406" s="19" t="s">
        <v>1159</v>
      </c>
      <c r="L1406" s="19">
        <v>2023</v>
      </c>
      <c r="M1406" s="20">
        <v>6000</v>
      </c>
      <c r="N1406" s="19" t="s">
        <v>667</v>
      </c>
      <c r="O1406" s="20">
        <v>24</v>
      </c>
      <c r="P1406" s="20">
        <v>144000</v>
      </c>
      <c r="Q1406" s="20">
        <v>61424.799018405036</v>
      </c>
      <c r="R1406" s="21">
        <v>0.91</v>
      </c>
      <c r="S1406" s="20">
        <v>61424.799018405036</v>
      </c>
    </row>
    <row r="1407" spans="2:19" ht="15" customHeight="1" x14ac:dyDescent="0.25">
      <c r="B1407" s="2" t="str">
        <f t="shared" si="42"/>
        <v>PGL_Business_C&amp;I_Rebates_Boiler Tune Up_Space Heating_CI</v>
      </c>
      <c r="C1407" s="2" t="str">
        <f t="shared" si="43"/>
        <v>PGL_Business_C&amp;I_Rebates_Boiler Tune Up_Space Heating_CI_2024</v>
      </c>
      <c r="D1407" s="19" t="s">
        <v>1794</v>
      </c>
      <c r="E1407" s="19" t="s">
        <v>3</v>
      </c>
      <c r="F1407" s="19" t="s">
        <v>1427</v>
      </c>
      <c r="G1407" s="19" t="s">
        <v>1429</v>
      </c>
      <c r="H1407" s="19" t="s">
        <v>906</v>
      </c>
      <c r="I1407" s="19" t="s">
        <v>907</v>
      </c>
      <c r="J1407" s="19" t="s">
        <v>909</v>
      </c>
      <c r="K1407" s="19" t="s">
        <v>1159</v>
      </c>
      <c r="L1407" s="19">
        <v>2024</v>
      </c>
      <c r="M1407" s="20">
        <v>6000</v>
      </c>
      <c r="N1407" s="19" t="s">
        <v>667</v>
      </c>
      <c r="O1407" s="20">
        <v>19</v>
      </c>
      <c r="P1407" s="20">
        <v>114000</v>
      </c>
      <c r="Q1407" s="20">
        <v>48627.96588957066</v>
      </c>
      <c r="R1407" s="21">
        <v>0.91</v>
      </c>
      <c r="S1407" s="20">
        <v>48627.96588957066</v>
      </c>
    </row>
    <row r="1408" spans="2:19" ht="15" customHeight="1" x14ac:dyDescent="0.25">
      <c r="B1408" s="2" t="str">
        <f t="shared" si="42"/>
        <v>PGL_Business_C&amp;I_Rebates_Boiler Tune Up_Space Heating_CI</v>
      </c>
      <c r="C1408" s="2" t="str">
        <f t="shared" si="43"/>
        <v>PGL_Business_C&amp;I_Rebates_Boiler Tune Up_Space Heating_CI_2025</v>
      </c>
      <c r="D1408" s="19" t="s">
        <v>1794</v>
      </c>
      <c r="E1408" s="19" t="s">
        <v>3</v>
      </c>
      <c r="F1408" s="19" t="s">
        <v>1427</v>
      </c>
      <c r="G1408" s="19" t="s">
        <v>1429</v>
      </c>
      <c r="H1408" s="19" t="s">
        <v>906</v>
      </c>
      <c r="I1408" s="19" t="s">
        <v>907</v>
      </c>
      <c r="J1408" s="19" t="s">
        <v>909</v>
      </c>
      <c r="K1408" s="19" t="s">
        <v>1159</v>
      </c>
      <c r="L1408" s="19">
        <v>2025</v>
      </c>
      <c r="M1408" s="20">
        <v>6000</v>
      </c>
      <c r="N1408" s="19" t="s">
        <v>667</v>
      </c>
      <c r="O1408" s="20">
        <v>15</v>
      </c>
      <c r="P1408" s="20">
        <v>90000</v>
      </c>
      <c r="Q1408" s="20">
        <v>38390.49938650315</v>
      </c>
      <c r="R1408" s="21">
        <v>0.91</v>
      </c>
      <c r="S1408" s="20">
        <v>38390.49938650315</v>
      </c>
    </row>
    <row r="1409" spans="2:19" ht="15" customHeight="1" x14ac:dyDescent="0.25">
      <c r="B1409" s="2" t="str">
        <f t="shared" si="42"/>
        <v>PGL_Business_C&amp;I_Rebates_Furnace_&gt;95% AFUE_CI</v>
      </c>
      <c r="C1409" s="2" t="str">
        <f t="shared" si="43"/>
        <v>PGL_Business_C&amp;I_Rebates_Furnace_&gt;95% AFUE_CI_2022</v>
      </c>
      <c r="D1409" s="19" t="s">
        <v>1794</v>
      </c>
      <c r="E1409" s="19" t="s">
        <v>3</v>
      </c>
      <c r="F1409" s="19" t="s">
        <v>1427</v>
      </c>
      <c r="G1409" s="19" t="s">
        <v>1429</v>
      </c>
      <c r="H1409" s="19" t="s">
        <v>490</v>
      </c>
      <c r="I1409" s="19" t="s">
        <v>982</v>
      </c>
      <c r="J1409" s="19" t="s">
        <v>983</v>
      </c>
      <c r="K1409" s="19" t="s">
        <v>1159</v>
      </c>
      <c r="L1409" s="19">
        <v>2022</v>
      </c>
      <c r="M1409" s="20">
        <v>1</v>
      </c>
      <c r="N1409" s="19" t="s">
        <v>1798</v>
      </c>
      <c r="O1409" s="20">
        <v>0</v>
      </c>
      <c r="P1409" s="20">
        <v>0</v>
      </c>
      <c r="Q1409" s="20">
        <v>0</v>
      </c>
      <c r="R1409" s="21">
        <v>0.91</v>
      </c>
      <c r="S1409" s="20">
        <v>0</v>
      </c>
    </row>
    <row r="1410" spans="2:19" ht="15" customHeight="1" x14ac:dyDescent="0.25">
      <c r="B1410" s="2" t="str">
        <f t="shared" si="42"/>
        <v>PGL_Business_C&amp;I_Rebates_Furnace_&gt;95% AFUE_CI</v>
      </c>
      <c r="C1410" s="2" t="str">
        <f t="shared" si="43"/>
        <v>PGL_Business_C&amp;I_Rebates_Furnace_&gt;95% AFUE_CI_2023</v>
      </c>
      <c r="D1410" s="19" t="s">
        <v>1794</v>
      </c>
      <c r="E1410" s="19" t="s">
        <v>3</v>
      </c>
      <c r="F1410" s="19" t="s">
        <v>1427</v>
      </c>
      <c r="G1410" s="19" t="s">
        <v>1429</v>
      </c>
      <c r="H1410" s="19" t="s">
        <v>490</v>
      </c>
      <c r="I1410" s="19" t="s">
        <v>982</v>
      </c>
      <c r="J1410" s="19" t="s">
        <v>983</v>
      </c>
      <c r="K1410" s="19" t="s">
        <v>1159</v>
      </c>
      <c r="L1410" s="19">
        <v>2023</v>
      </c>
      <c r="M1410" s="20">
        <v>1</v>
      </c>
      <c r="N1410" s="19" t="s">
        <v>1798</v>
      </c>
      <c r="O1410" s="20">
        <v>0</v>
      </c>
      <c r="P1410" s="20">
        <v>0</v>
      </c>
      <c r="Q1410" s="20">
        <v>0</v>
      </c>
      <c r="R1410" s="21">
        <v>0.91</v>
      </c>
      <c r="S1410" s="20">
        <v>0</v>
      </c>
    </row>
    <row r="1411" spans="2:19" ht="15" customHeight="1" x14ac:dyDescent="0.25">
      <c r="B1411" s="2" t="str">
        <f t="shared" si="42"/>
        <v>PGL_Business_C&amp;I_Rebates_Furnace_&gt;95% AFUE_CI</v>
      </c>
      <c r="C1411" s="2" t="str">
        <f t="shared" si="43"/>
        <v>PGL_Business_C&amp;I_Rebates_Furnace_&gt;95% AFUE_CI_2024</v>
      </c>
      <c r="D1411" s="19" t="s">
        <v>1794</v>
      </c>
      <c r="E1411" s="19" t="s">
        <v>3</v>
      </c>
      <c r="F1411" s="19" t="s">
        <v>1427</v>
      </c>
      <c r="G1411" s="19" t="s">
        <v>1429</v>
      </c>
      <c r="H1411" s="19" t="s">
        <v>490</v>
      </c>
      <c r="I1411" s="19" t="s">
        <v>982</v>
      </c>
      <c r="J1411" s="19" t="s">
        <v>983</v>
      </c>
      <c r="K1411" s="19" t="s">
        <v>1159</v>
      </c>
      <c r="L1411" s="19">
        <v>2024</v>
      </c>
      <c r="M1411" s="20">
        <v>1</v>
      </c>
      <c r="N1411" s="19" t="s">
        <v>1798</v>
      </c>
      <c r="O1411" s="20">
        <v>0</v>
      </c>
      <c r="P1411" s="20">
        <v>0</v>
      </c>
      <c r="Q1411" s="20">
        <v>0</v>
      </c>
      <c r="R1411" s="21">
        <v>0.91</v>
      </c>
      <c r="S1411" s="20">
        <v>0</v>
      </c>
    </row>
    <row r="1412" spans="2:19" ht="15" customHeight="1" x14ac:dyDescent="0.25">
      <c r="B1412" s="2" t="str">
        <f t="shared" si="42"/>
        <v>PGL_Business_C&amp;I_Rebates_Furnace_&gt;95% AFUE_CI</v>
      </c>
      <c r="C1412" s="2" t="str">
        <f t="shared" si="43"/>
        <v>PGL_Business_C&amp;I_Rebates_Furnace_&gt;95% AFUE_CI_2025</v>
      </c>
      <c r="D1412" s="19" t="s">
        <v>1794</v>
      </c>
      <c r="E1412" s="19" t="s">
        <v>3</v>
      </c>
      <c r="F1412" s="19" t="s">
        <v>1427</v>
      </c>
      <c r="G1412" s="19" t="s">
        <v>1429</v>
      </c>
      <c r="H1412" s="19" t="s">
        <v>490</v>
      </c>
      <c r="I1412" s="19" t="s">
        <v>982</v>
      </c>
      <c r="J1412" s="19" t="s">
        <v>983</v>
      </c>
      <c r="K1412" s="19" t="s">
        <v>1159</v>
      </c>
      <c r="L1412" s="19">
        <v>2025</v>
      </c>
      <c r="M1412" s="20">
        <v>1</v>
      </c>
      <c r="N1412" s="19" t="s">
        <v>1798</v>
      </c>
      <c r="O1412" s="20">
        <v>0</v>
      </c>
      <c r="P1412" s="20">
        <v>0</v>
      </c>
      <c r="Q1412" s="20">
        <v>0</v>
      </c>
      <c r="R1412" s="21">
        <v>0.91</v>
      </c>
      <c r="S1412" s="20">
        <v>0</v>
      </c>
    </row>
    <row r="1413" spans="2:19" ht="15" customHeight="1" x14ac:dyDescent="0.25">
      <c r="B1413" s="2" t="str">
        <f t="shared" si="42"/>
        <v>PGL_Business_C&amp;I_Rebates_Condensing Unit Heater_0_MF/CI</v>
      </c>
      <c r="C1413" s="2" t="str">
        <f t="shared" si="43"/>
        <v>PGL_Business_C&amp;I_Rebates_Condensing Unit Heater_0_MF/CI_2022</v>
      </c>
      <c r="D1413" s="19" t="s">
        <v>1794</v>
      </c>
      <c r="E1413" s="19" t="s">
        <v>3</v>
      </c>
      <c r="F1413" s="19" t="s">
        <v>1427</v>
      </c>
      <c r="G1413" s="19" t="s">
        <v>1429</v>
      </c>
      <c r="H1413" s="19" t="s">
        <v>13</v>
      </c>
      <c r="I1413" s="19">
        <v>0</v>
      </c>
      <c r="J1413" s="19" t="s">
        <v>32</v>
      </c>
      <c r="K1413" s="19" t="s">
        <v>587</v>
      </c>
      <c r="L1413" s="19">
        <v>2022</v>
      </c>
      <c r="M1413" s="20">
        <v>150</v>
      </c>
      <c r="N1413" s="19" t="s">
        <v>667</v>
      </c>
      <c r="O1413" s="20">
        <v>2</v>
      </c>
      <c r="P1413" s="20">
        <v>300</v>
      </c>
      <c r="Q1413" s="20">
        <v>484.12</v>
      </c>
      <c r="R1413" s="21">
        <v>0.91</v>
      </c>
      <c r="S1413" s="20">
        <v>484.12</v>
      </c>
    </row>
    <row r="1414" spans="2:19" ht="15" customHeight="1" x14ac:dyDescent="0.25">
      <c r="B1414" s="2" t="str">
        <f t="shared" ref="B1414:B1477" si="44">D1414&amp;"_"&amp;E1414&amp;"_"&amp;F1414&amp;"_"&amp;G1414&amp;"_"&amp;H1414&amp;"_"&amp;I1414&amp;"_"&amp;K1414</f>
        <v>PGL_Business_C&amp;I_Rebates_Condensing Unit Heater_0_MF/CI</v>
      </c>
      <c r="C1414" s="2" t="str">
        <f t="shared" ref="C1414:C1477" si="45">D1414&amp;"_"&amp;E1414&amp;"_"&amp;F1414&amp;"_"&amp;G1414&amp;"_"&amp;H1414&amp;"_"&amp;I1414&amp;"_"&amp;K1414&amp;"_"&amp;L1414</f>
        <v>PGL_Business_C&amp;I_Rebates_Condensing Unit Heater_0_MF/CI_2023</v>
      </c>
      <c r="D1414" s="19" t="s">
        <v>1794</v>
      </c>
      <c r="E1414" s="19" t="s">
        <v>3</v>
      </c>
      <c r="F1414" s="19" t="s">
        <v>1427</v>
      </c>
      <c r="G1414" s="19" t="s">
        <v>1429</v>
      </c>
      <c r="H1414" s="19" t="s">
        <v>13</v>
      </c>
      <c r="I1414" s="19">
        <v>0</v>
      </c>
      <c r="J1414" s="19" t="s">
        <v>32</v>
      </c>
      <c r="K1414" s="19" t="s">
        <v>587</v>
      </c>
      <c r="L1414" s="19">
        <v>2023</v>
      </c>
      <c r="M1414" s="20">
        <v>150</v>
      </c>
      <c r="N1414" s="19" t="s">
        <v>667</v>
      </c>
      <c r="O1414" s="20">
        <v>2</v>
      </c>
      <c r="P1414" s="20">
        <v>300</v>
      </c>
      <c r="Q1414" s="20">
        <v>484.12</v>
      </c>
      <c r="R1414" s="21">
        <v>0.91</v>
      </c>
      <c r="S1414" s="20">
        <v>484.12</v>
      </c>
    </row>
    <row r="1415" spans="2:19" ht="15" customHeight="1" x14ac:dyDescent="0.25">
      <c r="B1415" s="2" t="str">
        <f t="shared" si="44"/>
        <v>PGL_Business_C&amp;I_Rebates_Condensing Unit Heater_0_MF/CI</v>
      </c>
      <c r="C1415" s="2" t="str">
        <f t="shared" si="45"/>
        <v>PGL_Business_C&amp;I_Rebates_Condensing Unit Heater_0_MF/CI_2024</v>
      </c>
      <c r="D1415" s="19" t="s">
        <v>1794</v>
      </c>
      <c r="E1415" s="19" t="s">
        <v>3</v>
      </c>
      <c r="F1415" s="19" t="s">
        <v>1427</v>
      </c>
      <c r="G1415" s="19" t="s">
        <v>1429</v>
      </c>
      <c r="H1415" s="19" t="s">
        <v>13</v>
      </c>
      <c r="I1415" s="19">
        <v>0</v>
      </c>
      <c r="J1415" s="19" t="s">
        <v>32</v>
      </c>
      <c r="K1415" s="19" t="s">
        <v>587</v>
      </c>
      <c r="L1415" s="19">
        <v>2024</v>
      </c>
      <c r="M1415" s="20">
        <v>150</v>
      </c>
      <c r="N1415" s="19" t="s">
        <v>667</v>
      </c>
      <c r="O1415" s="20">
        <v>1</v>
      </c>
      <c r="P1415" s="20">
        <v>150</v>
      </c>
      <c r="Q1415" s="20">
        <v>242.06</v>
      </c>
      <c r="R1415" s="21">
        <v>0.91</v>
      </c>
      <c r="S1415" s="20">
        <v>242.06</v>
      </c>
    </row>
    <row r="1416" spans="2:19" ht="15" customHeight="1" x14ac:dyDescent="0.25">
      <c r="B1416" s="2" t="str">
        <f t="shared" si="44"/>
        <v>PGL_Business_C&amp;I_Rebates_Condensing Unit Heater_0_MF/CI</v>
      </c>
      <c r="C1416" s="2" t="str">
        <f t="shared" si="45"/>
        <v>PGL_Business_C&amp;I_Rebates_Condensing Unit Heater_0_MF/CI_2025</v>
      </c>
      <c r="D1416" s="19" t="s">
        <v>1794</v>
      </c>
      <c r="E1416" s="19" t="s">
        <v>3</v>
      </c>
      <c r="F1416" s="19" t="s">
        <v>1427</v>
      </c>
      <c r="G1416" s="19" t="s">
        <v>1429</v>
      </c>
      <c r="H1416" s="19" t="s">
        <v>13</v>
      </c>
      <c r="I1416" s="19">
        <v>0</v>
      </c>
      <c r="J1416" s="19" t="s">
        <v>32</v>
      </c>
      <c r="K1416" s="19" t="s">
        <v>587</v>
      </c>
      <c r="L1416" s="19">
        <v>2025</v>
      </c>
      <c r="M1416" s="20">
        <v>150</v>
      </c>
      <c r="N1416" s="19" t="s">
        <v>667</v>
      </c>
      <c r="O1416" s="20">
        <v>1</v>
      </c>
      <c r="P1416" s="20">
        <v>150</v>
      </c>
      <c r="Q1416" s="20">
        <v>242.06</v>
      </c>
      <c r="R1416" s="21">
        <v>0.91</v>
      </c>
      <c r="S1416" s="20">
        <v>242.06</v>
      </c>
    </row>
    <row r="1417" spans="2:19" ht="15" customHeight="1" x14ac:dyDescent="0.25">
      <c r="B1417" s="2" t="str">
        <f t="shared" si="44"/>
        <v>PGL_Business_C&amp;I_Rebates_DCV - Kitchen_0_MF/CI</v>
      </c>
      <c r="C1417" s="2" t="str">
        <f t="shared" si="45"/>
        <v>PGL_Business_C&amp;I_Rebates_DCV - Kitchen_0_MF/CI_2022</v>
      </c>
      <c r="D1417" s="19" t="s">
        <v>1794</v>
      </c>
      <c r="E1417" s="19" t="s">
        <v>3</v>
      </c>
      <c r="F1417" s="19" t="s">
        <v>1427</v>
      </c>
      <c r="G1417" s="19" t="s">
        <v>1429</v>
      </c>
      <c r="H1417" s="19" t="s">
        <v>1077</v>
      </c>
      <c r="I1417" s="19">
        <v>0</v>
      </c>
      <c r="J1417" s="19" t="s">
        <v>48</v>
      </c>
      <c r="K1417" s="19" t="s">
        <v>587</v>
      </c>
      <c r="L1417" s="19">
        <v>2022</v>
      </c>
      <c r="M1417" s="20">
        <v>7.75</v>
      </c>
      <c r="N1417" s="19" t="s">
        <v>333</v>
      </c>
      <c r="O1417" s="20">
        <v>2</v>
      </c>
      <c r="P1417" s="20">
        <v>15.5</v>
      </c>
      <c r="Q1417" s="20">
        <v>10917.27</v>
      </c>
      <c r="R1417" s="21">
        <v>0.91</v>
      </c>
      <c r="S1417" s="20">
        <v>10917.27</v>
      </c>
    </row>
    <row r="1418" spans="2:19" ht="15" customHeight="1" x14ac:dyDescent="0.25">
      <c r="B1418" s="2" t="str">
        <f t="shared" si="44"/>
        <v>PGL_Business_C&amp;I_Rebates_DCV - Kitchen_0_MF/CI</v>
      </c>
      <c r="C1418" s="2" t="str">
        <f t="shared" si="45"/>
        <v>PGL_Business_C&amp;I_Rebates_DCV - Kitchen_0_MF/CI_2023</v>
      </c>
      <c r="D1418" s="19" t="s">
        <v>1794</v>
      </c>
      <c r="E1418" s="19" t="s">
        <v>3</v>
      </c>
      <c r="F1418" s="19" t="s">
        <v>1427</v>
      </c>
      <c r="G1418" s="19" t="s">
        <v>1429</v>
      </c>
      <c r="H1418" s="19" t="s">
        <v>1077</v>
      </c>
      <c r="I1418" s="19">
        <v>0</v>
      </c>
      <c r="J1418" s="19" t="s">
        <v>48</v>
      </c>
      <c r="K1418" s="19" t="s">
        <v>587</v>
      </c>
      <c r="L1418" s="19">
        <v>2023</v>
      </c>
      <c r="M1418" s="20">
        <v>7.75</v>
      </c>
      <c r="N1418" s="19" t="s">
        <v>333</v>
      </c>
      <c r="O1418" s="20">
        <v>2</v>
      </c>
      <c r="P1418" s="20">
        <v>15.5</v>
      </c>
      <c r="Q1418" s="20">
        <v>10917.27</v>
      </c>
      <c r="R1418" s="21">
        <v>0.91</v>
      </c>
      <c r="S1418" s="20">
        <v>10917.27</v>
      </c>
    </row>
    <row r="1419" spans="2:19" ht="15" customHeight="1" x14ac:dyDescent="0.25">
      <c r="B1419" s="2" t="str">
        <f t="shared" si="44"/>
        <v>PGL_Business_C&amp;I_Rebates_DCV - Kitchen_0_MF/CI</v>
      </c>
      <c r="C1419" s="2" t="str">
        <f t="shared" si="45"/>
        <v>PGL_Business_C&amp;I_Rebates_DCV - Kitchen_0_MF/CI_2024</v>
      </c>
      <c r="D1419" s="19" t="s">
        <v>1794</v>
      </c>
      <c r="E1419" s="19" t="s">
        <v>3</v>
      </c>
      <c r="F1419" s="19" t="s">
        <v>1427</v>
      </c>
      <c r="G1419" s="19" t="s">
        <v>1429</v>
      </c>
      <c r="H1419" s="19" t="s">
        <v>1077</v>
      </c>
      <c r="I1419" s="19">
        <v>0</v>
      </c>
      <c r="J1419" s="19" t="s">
        <v>48</v>
      </c>
      <c r="K1419" s="19" t="s">
        <v>587</v>
      </c>
      <c r="L1419" s="19">
        <v>2024</v>
      </c>
      <c r="M1419" s="20">
        <v>7.75</v>
      </c>
      <c r="N1419" s="19" t="s">
        <v>333</v>
      </c>
      <c r="O1419" s="20">
        <v>1</v>
      </c>
      <c r="P1419" s="20">
        <v>7.75</v>
      </c>
      <c r="Q1419" s="20">
        <v>5458.6350000000002</v>
      </c>
      <c r="R1419" s="21">
        <v>0.91</v>
      </c>
      <c r="S1419" s="20">
        <v>5458.6350000000002</v>
      </c>
    </row>
    <row r="1420" spans="2:19" ht="15" customHeight="1" x14ac:dyDescent="0.25">
      <c r="B1420" s="2" t="str">
        <f t="shared" si="44"/>
        <v>PGL_Business_C&amp;I_Rebates_DCV - Kitchen_0_MF/CI</v>
      </c>
      <c r="C1420" s="2" t="str">
        <f t="shared" si="45"/>
        <v>PGL_Business_C&amp;I_Rebates_DCV - Kitchen_0_MF/CI_2025</v>
      </c>
      <c r="D1420" s="19" t="s">
        <v>1794</v>
      </c>
      <c r="E1420" s="19" t="s">
        <v>3</v>
      </c>
      <c r="F1420" s="19" t="s">
        <v>1427</v>
      </c>
      <c r="G1420" s="19" t="s">
        <v>1429</v>
      </c>
      <c r="H1420" s="19" t="s">
        <v>1077</v>
      </c>
      <c r="I1420" s="19">
        <v>0</v>
      </c>
      <c r="J1420" s="19" t="s">
        <v>48</v>
      </c>
      <c r="K1420" s="19" t="s">
        <v>587</v>
      </c>
      <c r="L1420" s="19">
        <v>2025</v>
      </c>
      <c r="M1420" s="20">
        <v>7.75</v>
      </c>
      <c r="N1420" s="19" t="s">
        <v>333</v>
      </c>
      <c r="O1420" s="20">
        <v>1</v>
      </c>
      <c r="P1420" s="20">
        <v>7.75</v>
      </c>
      <c r="Q1420" s="20">
        <v>5458.6350000000002</v>
      </c>
      <c r="R1420" s="21">
        <v>0.91</v>
      </c>
      <c r="S1420" s="20">
        <v>5458.6350000000002</v>
      </c>
    </row>
    <row r="1421" spans="2:19" ht="15" customHeight="1" x14ac:dyDescent="0.25">
      <c r="B1421" s="2" t="str">
        <f t="shared" si="44"/>
        <v>PGL_Business_C&amp;I_Rebates_Direct Fired Heaters_0_MF/CI</v>
      </c>
      <c r="C1421" s="2" t="str">
        <f t="shared" si="45"/>
        <v>PGL_Business_C&amp;I_Rebates_Direct Fired Heaters_0_MF/CI_2022</v>
      </c>
      <c r="D1421" s="19" t="s">
        <v>1794</v>
      </c>
      <c r="E1421" s="19" t="s">
        <v>3</v>
      </c>
      <c r="F1421" s="19" t="s">
        <v>1427</v>
      </c>
      <c r="G1421" s="19" t="s">
        <v>1429</v>
      </c>
      <c r="H1421" s="19" t="s">
        <v>666</v>
      </c>
      <c r="I1421" s="19">
        <v>0</v>
      </c>
      <c r="J1421" s="19" t="s">
        <v>673</v>
      </c>
      <c r="K1421" s="19" t="s">
        <v>587</v>
      </c>
      <c r="L1421" s="19">
        <v>2022</v>
      </c>
      <c r="M1421" s="20">
        <v>400</v>
      </c>
      <c r="N1421" s="19" t="s">
        <v>667</v>
      </c>
      <c r="O1421" s="20">
        <v>0</v>
      </c>
      <c r="P1421" s="20">
        <v>0</v>
      </c>
      <c r="Q1421" s="20">
        <v>0</v>
      </c>
      <c r="R1421" s="21">
        <v>0.91</v>
      </c>
      <c r="S1421" s="20">
        <v>0</v>
      </c>
    </row>
    <row r="1422" spans="2:19" ht="15" customHeight="1" x14ac:dyDescent="0.25">
      <c r="B1422" s="2" t="str">
        <f t="shared" si="44"/>
        <v>PGL_Business_C&amp;I_Rebates_Direct Fired Heaters_0_MF/CI</v>
      </c>
      <c r="C1422" s="2" t="str">
        <f t="shared" si="45"/>
        <v>PGL_Business_C&amp;I_Rebates_Direct Fired Heaters_0_MF/CI_2023</v>
      </c>
      <c r="D1422" s="19" t="s">
        <v>1794</v>
      </c>
      <c r="E1422" s="19" t="s">
        <v>3</v>
      </c>
      <c r="F1422" s="19" t="s">
        <v>1427</v>
      </c>
      <c r="G1422" s="19" t="s">
        <v>1429</v>
      </c>
      <c r="H1422" s="19" t="s">
        <v>666</v>
      </c>
      <c r="I1422" s="19">
        <v>0</v>
      </c>
      <c r="J1422" s="19" t="s">
        <v>673</v>
      </c>
      <c r="K1422" s="19" t="s">
        <v>587</v>
      </c>
      <c r="L1422" s="19">
        <v>2023</v>
      </c>
      <c r="M1422" s="20">
        <v>400</v>
      </c>
      <c r="N1422" s="19" t="s">
        <v>667</v>
      </c>
      <c r="O1422" s="20">
        <v>0</v>
      </c>
      <c r="P1422" s="20">
        <v>0</v>
      </c>
      <c r="Q1422" s="20">
        <v>0</v>
      </c>
      <c r="R1422" s="21">
        <v>0.91</v>
      </c>
      <c r="S1422" s="20">
        <v>0</v>
      </c>
    </row>
    <row r="1423" spans="2:19" ht="15" customHeight="1" x14ac:dyDescent="0.25">
      <c r="B1423" s="2" t="str">
        <f t="shared" si="44"/>
        <v>PGL_Business_C&amp;I_Rebates_Direct Fired Heaters_0_MF/CI</v>
      </c>
      <c r="C1423" s="2" t="str">
        <f t="shared" si="45"/>
        <v>PGL_Business_C&amp;I_Rebates_Direct Fired Heaters_0_MF/CI_2024</v>
      </c>
      <c r="D1423" s="19" t="s">
        <v>1794</v>
      </c>
      <c r="E1423" s="19" t="s">
        <v>3</v>
      </c>
      <c r="F1423" s="19" t="s">
        <v>1427</v>
      </c>
      <c r="G1423" s="19" t="s">
        <v>1429</v>
      </c>
      <c r="H1423" s="19" t="s">
        <v>666</v>
      </c>
      <c r="I1423" s="19">
        <v>0</v>
      </c>
      <c r="J1423" s="19" t="s">
        <v>673</v>
      </c>
      <c r="K1423" s="19" t="s">
        <v>587</v>
      </c>
      <c r="L1423" s="19">
        <v>2024</v>
      </c>
      <c r="M1423" s="20">
        <v>400</v>
      </c>
      <c r="N1423" s="19" t="s">
        <v>667</v>
      </c>
      <c r="O1423" s="20">
        <v>0</v>
      </c>
      <c r="P1423" s="20">
        <v>0</v>
      </c>
      <c r="Q1423" s="20">
        <v>0</v>
      </c>
      <c r="R1423" s="21">
        <v>0.91</v>
      </c>
      <c r="S1423" s="20">
        <v>0</v>
      </c>
    </row>
    <row r="1424" spans="2:19" ht="15" customHeight="1" x14ac:dyDescent="0.25">
      <c r="B1424" s="2" t="str">
        <f t="shared" si="44"/>
        <v>PGL_Business_C&amp;I_Rebates_Direct Fired Heaters_0_MF/CI</v>
      </c>
      <c r="C1424" s="2" t="str">
        <f t="shared" si="45"/>
        <v>PGL_Business_C&amp;I_Rebates_Direct Fired Heaters_0_MF/CI_2025</v>
      </c>
      <c r="D1424" s="19" t="s">
        <v>1794</v>
      </c>
      <c r="E1424" s="19" t="s">
        <v>3</v>
      </c>
      <c r="F1424" s="19" t="s">
        <v>1427</v>
      </c>
      <c r="G1424" s="19" t="s">
        <v>1429</v>
      </c>
      <c r="H1424" s="19" t="s">
        <v>666</v>
      </c>
      <c r="I1424" s="19">
        <v>0</v>
      </c>
      <c r="J1424" s="19" t="s">
        <v>673</v>
      </c>
      <c r="K1424" s="19" t="s">
        <v>587</v>
      </c>
      <c r="L1424" s="19">
        <v>2025</v>
      </c>
      <c r="M1424" s="20">
        <v>400</v>
      </c>
      <c r="N1424" s="19" t="s">
        <v>667</v>
      </c>
      <c r="O1424" s="20">
        <v>0</v>
      </c>
      <c r="P1424" s="20">
        <v>0</v>
      </c>
      <c r="Q1424" s="20">
        <v>0</v>
      </c>
      <c r="R1424" s="21">
        <v>0.91</v>
      </c>
      <c r="S1424" s="20">
        <v>0</v>
      </c>
    </row>
    <row r="1425" spans="2:19" ht="15" customHeight="1" x14ac:dyDescent="0.25">
      <c r="B1425" s="2" t="str">
        <f t="shared" si="44"/>
        <v>PGL_Business_C&amp;I_Rebates_High Speed Washer_Hotel/Motel/Hospital_CI</v>
      </c>
      <c r="C1425" s="2" t="str">
        <f t="shared" si="45"/>
        <v>PGL_Business_C&amp;I_Rebates_High Speed Washer_Hotel/Motel/Hospital_CI_2022</v>
      </c>
      <c r="D1425" s="19" t="s">
        <v>1794</v>
      </c>
      <c r="E1425" s="19" t="s">
        <v>3</v>
      </c>
      <c r="F1425" s="19" t="s">
        <v>1427</v>
      </c>
      <c r="G1425" s="19" t="s">
        <v>1429</v>
      </c>
      <c r="H1425" s="19" t="s">
        <v>725</v>
      </c>
      <c r="I1425" s="19" t="s">
        <v>1162</v>
      </c>
      <c r="J1425" s="19" t="s">
        <v>730</v>
      </c>
      <c r="K1425" s="19" t="s">
        <v>1159</v>
      </c>
      <c r="L1425" s="19">
        <v>2022</v>
      </c>
      <c r="M1425" s="20">
        <v>250</v>
      </c>
      <c r="N1425" s="19" t="s">
        <v>1803</v>
      </c>
      <c r="O1425" s="20">
        <v>4</v>
      </c>
      <c r="P1425" s="20">
        <v>1000</v>
      </c>
      <c r="Q1425" s="20">
        <v>6138.8046720000002</v>
      </c>
      <c r="R1425" s="21">
        <v>0.91</v>
      </c>
      <c r="S1425" s="20">
        <v>6138.8046720000002</v>
      </c>
    </row>
    <row r="1426" spans="2:19" ht="15" customHeight="1" x14ac:dyDescent="0.25">
      <c r="B1426" s="2" t="str">
        <f t="shared" si="44"/>
        <v>PGL_Business_C&amp;I_Rebates_High Speed Washer_Hotel/Motel/Hospital_CI</v>
      </c>
      <c r="C1426" s="2" t="str">
        <f t="shared" si="45"/>
        <v>PGL_Business_C&amp;I_Rebates_High Speed Washer_Hotel/Motel/Hospital_CI_2023</v>
      </c>
      <c r="D1426" s="19" t="s">
        <v>1794</v>
      </c>
      <c r="E1426" s="19" t="s">
        <v>3</v>
      </c>
      <c r="F1426" s="19" t="s">
        <v>1427</v>
      </c>
      <c r="G1426" s="19" t="s">
        <v>1429</v>
      </c>
      <c r="H1426" s="19" t="s">
        <v>725</v>
      </c>
      <c r="I1426" s="19" t="s">
        <v>1162</v>
      </c>
      <c r="J1426" s="19" t="s">
        <v>730</v>
      </c>
      <c r="K1426" s="19" t="s">
        <v>1159</v>
      </c>
      <c r="L1426" s="19">
        <v>2023</v>
      </c>
      <c r="M1426" s="20">
        <v>250</v>
      </c>
      <c r="N1426" s="19" t="s">
        <v>1803</v>
      </c>
      <c r="O1426" s="20">
        <v>4</v>
      </c>
      <c r="P1426" s="20">
        <v>1000</v>
      </c>
      <c r="Q1426" s="20">
        <v>6138.8046720000002</v>
      </c>
      <c r="R1426" s="21">
        <v>0.91</v>
      </c>
      <c r="S1426" s="20">
        <v>6138.8046720000002</v>
      </c>
    </row>
    <row r="1427" spans="2:19" ht="15" customHeight="1" x14ac:dyDescent="0.25">
      <c r="B1427" s="2" t="str">
        <f t="shared" si="44"/>
        <v>PGL_Business_C&amp;I_Rebates_High Speed Washer_Hotel/Motel/Hospital_CI</v>
      </c>
      <c r="C1427" s="2" t="str">
        <f t="shared" si="45"/>
        <v>PGL_Business_C&amp;I_Rebates_High Speed Washer_Hotel/Motel/Hospital_CI_2024</v>
      </c>
      <c r="D1427" s="19" t="s">
        <v>1794</v>
      </c>
      <c r="E1427" s="19" t="s">
        <v>3</v>
      </c>
      <c r="F1427" s="19" t="s">
        <v>1427</v>
      </c>
      <c r="G1427" s="19" t="s">
        <v>1429</v>
      </c>
      <c r="H1427" s="19" t="s">
        <v>725</v>
      </c>
      <c r="I1427" s="19" t="s">
        <v>1162</v>
      </c>
      <c r="J1427" s="19" t="s">
        <v>730</v>
      </c>
      <c r="K1427" s="19" t="s">
        <v>1159</v>
      </c>
      <c r="L1427" s="19">
        <v>2024</v>
      </c>
      <c r="M1427" s="20">
        <v>250</v>
      </c>
      <c r="N1427" s="19" t="s">
        <v>1803</v>
      </c>
      <c r="O1427" s="20">
        <v>3</v>
      </c>
      <c r="P1427" s="20">
        <v>750</v>
      </c>
      <c r="Q1427" s="20">
        <v>4604.1035039999997</v>
      </c>
      <c r="R1427" s="21">
        <v>0.91</v>
      </c>
      <c r="S1427" s="20">
        <v>4604.1035039999997</v>
      </c>
    </row>
    <row r="1428" spans="2:19" ht="15" customHeight="1" x14ac:dyDescent="0.25">
      <c r="B1428" s="2" t="str">
        <f t="shared" si="44"/>
        <v>PGL_Business_C&amp;I_Rebates_High Speed Washer_Hotel/Motel/Hospital_CI</v>
      </c>
      <c r="C1428" s="2" t="str">
        <f t="shared" si="45"/>
        <v>PGL_Business_C&amp;I_Rebates_High Speed Washer_Hotel/Motel/Hospital_CI_2025</v>
      </c>
      <c r="D1428" s="19" t="s">
        <v>1794</v>
      </c>
      <c r="E1428" s="19" t="s">
        <v>3</v>
      </c>
      <c r="F1428" s="19" t="s">
        <v>1427</v>
      </c>
      <c r="G1428" s="19" t="s">
        <v>1429</v>
      </c>
      <c r="H1428" s="19" t="s">
        <v>725</v>
      </c>
      <c r="I1428" s="19" t="s">
        <v>1162</v>
      </c>
      <c r="J1428" s="19" t="s">
        <v>730</v>
      </c>
      <c r="K1428" s="19" t="s">
        <v>1159</v>
      </c>
      <c r="L1428" s="19">
        <v>2025</v>
      </c>
      <c r="M1428" s="20">
        <v>250</v>
      </c>
      <c r="N1428" s="19" t="s">
        <v>1803</v>
      </c>
      <c r="O1428" s="20">
        <v>2</v>
      </c>
      <c r="P1428" s="20">
        <v>500</v>
      </c>
      <c r="Q1428" s="20">
        <v>3069.4023360000001</v>
      </c>
      <c r="R1428" s="21">
        <v>0.91</v>
      </c>
      <c r="S1428" s="20">
        <v>3069.4023360000001</v>
      </c>
    </row>
    <row r="1429" spans="2:19" ht="15" customHeight="1" x14ac:dyDescent="0.25">
      <c r="B1429" s="2" t="str">
        <f t="shared" si="44"/>
        <v>PGL_Business_C&amp;I_Rebates_High Speed Washer_Laundromat_SMB</v>
      </c>
      <c r="C1429" s="2" t="str">
        <f t="shared" si="45"/>
        <v>PGL_Business_C&amp;I_Rebates_High Speed Washer_Laundromat_SMB_2022</v>
      </c>
      <c r="D1429" s="19" t="s">
        <v>1794</v>
      </c>
      <c r="E1429" s="19" t="s">
        <v>3</v>
      </c>
      <c r="F1429" s="19" t="s">
        <v>1427</v>
      </c>
      <c r="G1429" s="19" t="s">
        <v>1429</v>
      </c>
      <c r="H1429" s="19" t="s">
        <v>725</v>
      </c>
      <c r="I1429" s="19" t="s">
        <v>1356</v>
      </c>
      <c r="J1429" s="19" t="s">
        <v>730</v>
      </c>
      <c r="K1429" s="19" t="s">
        <v>1220</v>
      </c>
      <c r="L1429" s="19">
        <v>2022</v>
      </c>
      <c r="M1429" s="20">
        <v>250</v>
      </c>
      <c r="N1429" s="19" t="s">
        <v>1803</v>
      </c>
      <c r="O1429" s="20">
        <v>1</v>
      </c>
      <c r="P1429" s="20">
        <v>250</v>
      </c>
      <c r="Q1429" s="20">
        <v>634.53990600000009</v>
      </c>
      <c r="R1429" s="21">
        <v>0.91</v>
      </c>
      <c r="S1429" s="20">
        <v>634.53990600000009</v>
      </c>
    </row>
    <row r="1430" spans="2:19" ht="15" customHeight="1" x14ac:dyDescent="0.25">
      <c r="B1430" s="2" t="str">
        <f t="shared" si="44"/>
        <v>PGL_Business_C&amp;I_Rebates_High Speed Washer_Laundromat_SMB</v>
      </c>
      <c r="C1430" s="2" t="str">
        <f t="shared" si="45"/>
        <v>PGL_Business_C&amp;I_Rebates_High Speed Washer_Laundromat_SMB_2023</v>
      </c>
      <c r="D1430" s="19" t="s">
        <v>1794</v>
      </c>
      <c r="E1430" s="19" t="s">
        <v>3</v>
      </c>
      <c r="F1430" s="19" t="s">
        <v>1427</v>
      </c>
      <c r="G1430" s="19" t="s">
        <v>1429</v>
      </c>
      <c r="H1430" s="19" t="s">
        <v>725</v>
      </c>
      <c r="I1430" s="19" t="s">
        <v>1356</v>
      </c>
      <c r="J1430" s="19" t="s">
        <v>730</v>
      </c>
      <c r="K1430" s="19" t="s">
        <v>1220</v>
      </c>
      <c r="L1430" s="19">
        <v>2023</v>
      </c>
      <c r="M1430" s="20">
        <v>250</v>
      </c>
      <c r="N1430" s="19" t="s">
        <v>1803</v>
      </c>
      <c r="O1430" s="20">
        <v>1</v>
      </c>
      <c r="P1430" s="20">
        <v>250</v>
      </c>
      <c r="Q1430" s="20">
        <v>634.53990600000009</v>
      </c>
      <c r="R1430" s="21">
        <v>0.91</v>
      </c>
      <c r="S1430" s="20">
        <v>634.53990600000009</v>
      </c>
    </row>
    <row r="1431" spans="2:19" ht="15" customHeight="1" x14ac:dyDescent="0.25">
      <c r="B1431" s="2" t="str">
        <f t="shared" si="44"/>
        <v>PGL_Business_C&amp;I_Rebates_High Speed Washer_Laundromat_SMB</v>
      </c>
      <c r="C1431" s="2" t="str">
        <f t="shared" si="45"/>
        <v>PGL_Business_C&amp;I_Rebates_High Speed Washer_Laundromat_SMB_2024</v>
      </c>
      <c r="D1431" s="19" t="s">
        <v>1794</v>
      </c>
      <c r="E1431" s="19" t="s">
        <v>3</v>
      </c>
      <c r="F1431" s="19" t="s">
        <v>1427</v>
      </c>
      <c r="G1431" s="19" t="s">
        <v>1429</v>
      </c>
      <c r="H1431" s="19" t="s">
        <v>725</v>
      </c>
      <c r="I1431" s="19" t="s">
        <v>1356</v>
      </c>
      <c r="J1431" s="19" t="s">
        <v>730</v>
      </c>
      <c r="K1431" s="19" t="s">
        <v>1220</v>
      </c>
      <c r="L1431" s="19">
        <v>2024</v>
      </c>
      <c r="M1431" s="20">
        <v>250</v>
      </c>
      <c r="N1431" s="19" t="s">
        <v>1803</v>
      </c>
      <c r="O1431" s="20">
        <v>1</v>
      </c>
      <c r="P1431" s="20">
        <v>250</v>
      </c>
      <c r="Q1431" s="20">
        <v>634.53990600000009</v>
      </c>
      <c r="R1431" s="21">
        <v>0.91</v>
      </c>
      <c r="S1431" s="20">
        <v>634.53990600000009</v>
      </c>
    </row>
    <row r="1432" spans="2:19" ht="15" customHeight="1" x14ac:dyDescent="0.25">
      <c r="B1432" s="2" t="str">
        <f t="shared" si="44"/>
        <v>PGL_Business_C&amp;I_Rebates_High Speed Washer_Laundromat_SMB</v>
      </c>
      <c r="C1432" s="2" t="str">
        <f t="shared" si="45"/>
        <v>PGL_Business_C&amp;I_Rebates_High Speed Washer_Laundromat_SMB_2025</v>
      </c>
      <c r="D1432" s="19" t="s">
        <v>1794</v>
      </c>
      <c r="E1432" s="19" t="s">
        <v>3</v>
      </c>
      <c r="F1432" s="19" t="s">
        <v>1427</v>
      </c>
      <c r="G1432" s="19" t="s">
        <v>1429</v>
      </c>
      <c r="H1432" s="19" t="s">
        <v>725</v>
      </c>
      <c r="I1432" s="19" t="s">
        <v>1356</v>
      </c>
      <c r="J1432" s="19" t="s">
        <v>730</v>
      </c>
      <c r="K1432" s="19" t="s">
        <v>1220</v>
      </c>
      <c r="L1432" s="19">
        <v>2025</v>
      </c>
      <c r="M1432" s="20">
        <v>250</v>
      </c>
      <c r="N1432" s="19" t="s">
        <v>1803</v>
      </c>
      <c r="O1432" s="20">
        <v>1</v>
      </c>
      <c r="P1432" s="20">
        <v>250</v>
      </c>
      <c r="Q1432" s="20">
        <v>634.53990600000009</v>
      </c>
      <c r="R1432" s="21">
        <v>0.91</v>
      </c>
      <c r="S1432" s="20">
        <v>634.53990600000009</v>
      </c>
    </row>
    <row r="1433" spans="2:19" ht="15" customHeight="1" x14ac:dyDescent="0.25">
      <c r="B1433" s="2" t="str">
        <f t="shared" si="44"/>
        <v>PGL_Business_C&amp;I_Rebates_Small Commercial Advanced Thermostat_0_CI</v>
      </c>
      <c r="C1433" s="2" t="str">
        <f t="shared" si="45"/>
        <v>PGL_Business_C&amp;I_Rebates_Small Commercial Advanced Thermostat_0_CI_2022</v>
      </c>
      <c r="D1433" s="19" t="s">
        <v>1794</v>
      </c>
      <c r="E1433" s="19" t="s">
        <v>3</v>
      </c>
      <c r="F1433" s="19" t="s">
        <v>1427</v>
      </c>
      <c r="G1433" s="19" t="s">
        <v>1429</v>
      </c>
      <c r="H1433" s="19" t="s">
        <v>1302</v>
      </c>
      <c r="I1433" s="19">
        <v>0</v>
      </c>
      <c r="J1433" s="19" t="s">
        <v>1183</v>
      </c>
      <c r="K1433" s="19" t="s">
        <v>1159</v>
      </c>
      <c r="L1433" s="19">
        <v>2022</v>
      </c>
      <c r="M1433" s="20">
        <v>1</v>
      </c>
      <c r="N1433" s="19" t="s">
        <v>1798</v>
      </c>
      <c r="O1433" s="20">
        <v>0</v>
      </c>
      <c r="P1433" s="20">
        <v>0</v>
      </c>
      <c r="Q1433" s="20">
        <v>0</v>
      </c>
      <c r="R1433" s="21">
        <v>0.91</v>
      </c>
      <c r="S1433" s="20">
        <v>0</v>
      </c>
    </row>
    <row r="1434" spans="2:19" ht="15" customHeight="1" x14ac:dyDescent="0.25">
      <c r="B1434" s="2" t="str">
        <f t="shared" si="44"/>
        <v>PGL_Business_C&amp;I_Rebates_Small Commercial Advanced Thermostat_0_CI</v>
      </c>
      <c r="C1434" s="2" t="str">
        <f t="shared" si="45"/>
        <v>PGL_Business_C&amp;I_Rebates_Small Commercial Advanced Thermostat_0_CI_2023</v>
      </c>
      <c r="D1434" s="19" t="s">
        <v>1794</v>
      </c>
      <c r="E1434" s="19" t="s">
        <v>3</v>
      </c>
      <c r="F1434" s="19" t="s">
        <v>1427</v>
      </c>
      <c r="G1434" s="19" t="s">
        <v>1429</v>
      </c>
      <c r="H1434" s="19" t="s">
        <v>1302</v>
      </c>
      <c r="I1434" s="19">
        <v>0</v>
      </c>
      <c r="J1434" s="19" t="s">
        <v>1183</v>
      </c>
      <c r="K1434" s="19" t="s">
        <v>1159</v>
      </c>
      <c r="L1434" s="19">
        <v>2023</v>
      </c>
      <c r="M1434" s="20">
        <v>1</v>
      </c>
      <c r="N1434" s="19" t="s">
        <v>1798</v>
      </c>
      <c r="O1434" s="20">
        <v>0</v>
      </c>
      <c r="P1434" s="20">
        <v>0</v>
      </c>
      <c r="Q1434" s="20">
        <v>0</v>
      </c>
      <c r="R1434" s="21">
        <v>0.91</v>
      </c>
      <c r="S1434" s="20">
        <v>0</v>
      </c>
    </row>
    <row r="1435" spans="2:19" ht="15" customHeight="1" x14ac:dyDescent="0.25">
      <c r="B1435" s="2" t="str">
        <f t="shared" si="44"/>
        <v>PGL_Business_C&amp;I_Rebates_Small Commercial Advanced Thermostat_0_CI</v>
      </c>
      <c r="C1435" s="2" t="str">
        <f t="shared" si="45"/>
        <v>PGL_Business_C&amp;I_Rebates_Small Commercial Advanced Thermostat_0_CI_2024</v>
      </c>
      <c r="D1435" s="19" t="s">
        <v>1794</v>
      </c>
      <c r="E1435" s="19" t="s">
        <v>3</v>
      </c>
      <c r="F1435" s="19" t="s">
        <v>1427</v>
      </c>
      <c r="G1435" s="19" t="s">
        <v>1429</v>
      </c>
      <c r="H1435" s="19" t="s">
        <v>1302</v>
      </c>
      <c r="I1435" s="19">
        <v>0</v>
      </c>
      <c r="J1435" s="19" t="s">
        <v>1183</v>
      </c>
      <c r="K1435" s="19" t="s">
        <v>1159</v>
      </c>
      <c r="L1435" s="19">
        <v>2024</v>
      </c>
      <c r="M1435" s="20">
        <v>1</v>
      </c>
      <c r="N1435" s="19" t="s">
        <v>1798</v>
      </c>
      <c r="O1435" s="20">
        <v>0</v>
      </c>
      <c r="P1435" s="20">
        <v>0</v>
      </c>
      <c r="Q1435" s="20">
        <v>0</v>
      </c>
      <c r="R1435" s="21">
        <v>0.91</v>
      </c>
      <c r="S1435" s="20">
        <v>0</v>
      </c>
    </row>
    <row r="1436" spans="2:19" ht="15" customHeight="1" x14ac:dyDescent="0.25">
      <c r="B1436" s="2" t="str">
        <f t="shared" si="44"/>
        <v>PGL_Business_C&amp;I_Rebates_Small Commercial Advanced Thermostat_0_CI</v>
      </c>
      <c r="C1436" s="2" t="str">
        <f t="shared" si="45"/>
        <v>PGL_Business_C&amp;I_Rebates_Small Commercial Advanced Thermostat_0_CI_2025</v>
      </c>
      <c r="D1436" s="19" t="s">
        <v>1794</v>
      </c>
      <c r="E1436" s="19" t="s">
        <v>3</v>
      </c>
      <c r="F1436" s="19" t="s">
        <v>1427</v>
      </c>
      <c r="G1436" s="19" t="s">
        <v>1429</v>
      </c>
      <c r="H1436" s="19" t="s">
        <v>1302</v>
      </c>
      <c r="I1436" s="19">
        <v>0</v>
      </c>
      <c r="J1436" s="19" t="s">
        <v>1183</v>
      </c>
      <c r="K1436" s="19" t="s">
        <v>1159</v>
      </c>
      <c r="L1436" s="19">
        <v>2025</v>
      </c>
      <c r="M1436" s="20">
        <v>1</v>
      </c>
      <c r="N1436" s="19" t="s">
        <v>1798</v>
      </c>
      <c r="O1436" s="20">
        <v>0</v>
      </c>
      <c r="P1436" s="20">
        <v>0</v>
      </c>
      <c r="Q1436" s="20">
        <v>0</v>
      </c>
      <c r="R1436" s="21">
        <v>0.91</v>
      </c>
      <c r="S1436" s="20">
        <v>0</v>
      </c>
    </row>
    <row r="1437" spans="2:19" ht="15" customHeight="1" x14ac:dyDescent="0.25">
      <c r="B1437" s="2" t="str">
        <f t="shared" si="44"/>
        <v>PGL_Business_C&amp;I_Rebates_Demand Controlled Ventilation_0_MF/CI/SMB</v>
      </c>
      <c r="C1437" s="2" t="str">
        <f t="shared" si="45"/>
        <v>PGL_Business_C&amp;I_Rebates_Demand Controlled Ventilation_0_MF/CI/SMB_2022</v>
      </c>
      <c r="D1437" s="19" t="s">
        <v>1794</v>
      </c>
      <c r="E1437" s="19" t="s">
        <v>3</v>
      </c>
      <c r="F1437" s="19" t="s">
        <v>1427</v>
      </c>
      <c r="G1437" s="19" t="s">
        <v>1429</v>
      </c>
      <c r="H1437" s="19" t="s">
        <v>14</v>
      </c>
      <c r="I1437" s="19">
        <v>0</v>
      </c>
      <c r="J1437" s="19" t="s">
        <v>34</v>
      </c>
      <c r="K1437" s="19" t="s">
        <v>662</v>
      </c>
      <c r="L1437" s="19">
        <v>2022</v>
      </c>
      <c r="M1437" s="20">
        <v>10000</v>
      </c>
      <c r="N1437" s="19" t="s">
        <v>634</v>
      </c>
      <c r="O1437" s="20">
        <v>0</v>
      </c>
      <c r="P1437" s="20">
        <v>0</v>
      </c>
      <c r="Q1437" s="20">
        <v>0</v>
      </c>
      <c r="R1437" s="21">
        <v>0.91</v>
      </c>
      <c r="S1437" s="20">
        <v>0</v>
      </c>
    </row>
    <row r="1438" spans="2:19" ht="15" customHeight="1" x14ac:dyDescent="0.25">
      <c r="B1438" s="2" t="str">
        <f t="shared" si="44"/>
        <v>PGL_Business_C&amp;I_Rebates_Demand Controlled Ventilation_0_MF/CI/SMB</v>
      </c>
      <c r="C1438" s="2" t="str">
        <f t="shared" si="45"/>
        <v>PGL_Business_C&amp;I_Rebates_Demand Controlled Ventilation_0_MF/CI/SMB_2023</v>
      </c>
      <c r="D1438" s="19" t="s">
        <v>1794</v>
      </c>
      <c r="E1438" s="19" t="s">
        <v>3</v>
      </c>
      <c r="F1438" s="19" t="s">
        <v>1427</v>
      </c>
      <c r="G1438" s="19" t="s">
        <v>1429</v>
      </c>
      <c r="H1438" s="19" t="s">
        <v>14</v>
      </c>
      <c r="I1438" s="19">
        <v>0</v>
      </c>
      <c r="J1438" s="19" t="s">
        <v>34</v>
      </c>
      <c r="K1438" s="19" t="s">
        <v>662</v>
      </c>
      <c r="L1438" s="19">
        <v>2023</v>
      </c>
      <c r="M1438" s="20">
        <v>10000</v>
      </c>
      <c r="N1438" s="19" t="s">
        <v>634</v>
      </c>
      <c r="O1438" s="20">
        <v>0</v>
      </c>
      <c r="P1438" s="20">
        <v>0</v>
      </c>
      <c r="Q1438" s="20">
        <v>0</v>
      </c>
      <c r="R1438" s="21">
        <v>0.91</v>
      </c>
      <c r="S1438" s="20">
        <v>0</v>
      </c>
    </row>
    <row r="1439" spans="2:19" ht="15" customHeight="1" x14ac:dyDescent="0.25">
      <c r="B1439" s="2" t="str">
        <f t="shared" si="44"/>
        <v>PGL_Business_C&amp;I_Rebates_Demand Controlled Ventilation_0_MF/CI/SMB</v>
      </c>
      <c r="C1439" s="2" t="str">
        <f t="shared" si="45"/>
        <v>PGL_Business_C&amp;I_Rebates_Demand Controlled Ventilation_0_MF/CI/SMB_2024</v>
      </c>
      <c r="D1439" s="19" t="s">
        <v>1794</v>
      </c>
      <c r="E1439" s="19" t="s">
        <v>3</v>
      </c>
      <c r="F1439" s="19" t="s">
        <v>1427</v>
      </c>
      <c r="G1439" s="19" t="s">
        <v>1429</v>
      </c>
      <c r="H1439" s="19" t="s">
        <v>14</v>
      </c>
      <c r="I1439" s="19">
        <v>0</v>
      </c>
      <c r="J1439" s="19" t="s">
        <v>34</v>
      </c>
      <c r="K1439" s="19" t="s">
        <v>662</v>
      </c>
      <c r="L1439" s="19">
        <v>2024</v>
      </c>
      <c r="M1439" s="20">
        <v>10000</v>
      </c>
      <c r="N1439" s="19" t="s">
        <v>634</v>
      </c>
      <c r="O1439" s="20">
        <v>0</v>
      </c>
      <c r="P1439" s="20">
        <v>0</v>
      </c>
      <c r="Q1439" s="20">
        <v>0</v>
      </c>
      <c r="R1439" s="21">
        <v>0.91</v>
      </c>
      <c r="S1439" s="20">
        <v>0</v>
      </c>
    </row>
    <row r="1440" spans="2:19" ht="15" customHeight="1" x14ac:dyDescent="0.25">
      <c r="B1440" s="2" t="str">
        <f t="shared" si="44"/>
        <v>PGL_Business_C&amp;I_Rebates_Demand Controlled Ventilation_0_MF/CI/SMB</v>
      </c>
      <c r="C1440" s="2" t="str">
        <f t="shared" si="45"/>
        <v>PGL_Business_C&amp;I_Rebates_Demand Controlled Ventilation_0_MF/CI/SMB_2025</v>
      </c>
      <c r="D1440" s="19" t="s">
        <v>1794</v>
      </c>
      <c r="E1440" s="19" t="s">
        <v>3</v>
      </c>
      <c r="F1440" s="19" t="s">
        <v>1427</v>
      </c>
      <c r="G1440" s="19" t="s">
        <v>1429</v>
      </c>
      <c r="H1440" s="19" t="s">
        <v>14</v>
      </c>
      <c r="I1440" s="19">
        <v>0</v>
      </c>
      <c r="J1440" s="19" t="s">
        <v>34</v>
      </c>
      <c r="K1440" s="19" t="s">
        <v>662</v>
      </c>
      <c r="L1440" s="19">
        <v>2025</v>
      </c>
      <c r="M1440" s="20">
        <v>10000</v>
      </c>
      <c r="N1440" s="19" t="s">
        <v>634</v>
      </c>
      <c r="O1440" s="20">
        <v>0</v>
      </c>
      <c r="P1440" s="20">
        <v>0</v>
      </c>
      <c r="Q1440" s="20">
        <v>0</v>
      </c>
      <c r="R1440" s="21">
        <v>0.91</v>
      </c>
      <c r="S1440" s="20">
        <v>0</v>
      </c>
    </row>
    <row r="1441" spans="2:19" ht="15" customHeight="1" x14ac:dyDescent="0.25">
      <c r="B1441" s="2" t="str">
        <f t="shared" si="44"/>
        <v>PGL_Business_C&amp;I_Rebates_Linkageless Controls_0_CI</v>
      </c>
      <c r="C1441" s="2" t="str">
        <f t="shared" si="45"/>
        <v>PGL_Business_C&amp;I_Rebates_Linkageless Controls_0_CI_2022</v>
      </c>
      <c r="D1441" s="19" t="s">
        <v>1794</v>
      </c>
      <c r="E1441" s="19" t="s">
        <v>3</v>
      </c>
      <c r="F1441" s="19" t="s">
        <v>1427</v>
      </c>
      <c r="G1441" s="19" t="s">
        <v>1429</v>
      </c>
      <c r="H1441" s="19" t="s">
        <v>1287</v>
      </c>
      <c r="I1441" s="19">
        <v>0</v>
      </c>
      <c r="J1441" s="19" t="s">
        <v>28</v>
      </c>
      <c r="K1441" s="19" t="s">
        <v>1159</v>
      </c>
      <c r="L1441" s="19">
        <v>2022</v>
      </c>
      <c r="M1441" s="20">
        <v>5000</v>
      </c>
      <c r="N1441" s="19" t="s">
        <v>667</v>
      </c>
      <c r="O1441" s="20">
        <v>1</v>
      </c>
      <c r="P1441" s="20">
        <v>5000</v>
      </c>
      <c r="Q1441" s="20">
        <v>2560.6489999999999</v>
      </c>
      <c r="R1441" s="21">
        <v>0.91</v>
      </c>
      <c r="S1441" s="20">
        <v>2560.6489999999999</v>
      </c>
    </row>
    <row r="1442" spans="2:19" ht="15" customHeight="1" x14ac:dyDescent="0.25">
      <c r="B1442" s="2" t="str">
        <f t="shared" si="44"/>
        <v>PGL_Business_C&amp;I_Rebates_Linkageless Controls_0_CI</v>
      </c>
      <c r="C1442" s="2" t="str">
        <f t="shared" si="45"/>
        <v>PGL_Business_C&amp;I_Rebates_Linkageless Controls_0_CI_2023</v>
      </c>
      <c r="D1442" s="19" t="s">
        <v>1794</v>
      </c>
      <c r="E1442" s="19" t="s">
        <v>3</v>
      </c>
      <c r="F1442" s="19" t="s">
        <v>1427</v>
      </c>
      <c r="G1442" s="19" t="s">
        <v>1429</v>
      </c>
      <c r="H1442" s="19" t="s">
        <v>1287</v>
      </c>
      <c r="I1442" s="19">
        <v>0</v>
      </c>
      <c r="J1442" s="19" t="s">
        <v>28</v>
      </c>
      <c r="K1442" s="19" t="s">
        <v>1159</v>
      </c>
      <c r="L1442" s="19">
        <v>2023</v>
      </c>
      <c r="M1442" s="20">
        <v>5000</v>
      </c>
      <c r="N1442" s="19" t="s">
        <v>667</v>
      </c>
      <c r="O1442" s="20">
        <v>1</v>
      </c>
      <c r="P1442" s="20">
        <v>5000</v>
      </c>
      <c r="Q1442" s="20">
        <v>2560.6489999999999</v>
      </c>
      <c r="R1442" s="21">
        <v>0.91</v>
      </c>
      <c r="S1442" s="20">
        <v>2560.6489999999999</v>
      </c>
    </row>
    <row r="1443" spans="2:19" ht="15" customHeight="1" x14ac:dyDescent="0.25">
      <c r="B1443" s="2" t="str">
        <f t="shared" si="44"/>
        <v>PGL_Business_C&amp;I_Rebates_Linkageless Controls_0_CI</v>
      </c>
      <c r="C1443" s="2" t="str">
        <f t="shared" si="45"/>
        <v>PGL_Business_C&amp;I_Rebates_Linkageless Controls_0_CI_2024</v>
      </c>
      <c r="D1443" s="19" t="s">
        <v>1794</v>
      </c>
      <c r="E1443" s="19" t="s">
        <v>3</v>
      </c>
      <c r="F1443" s="19" t="s">
        <v>1427</v>
      </c>
      <c r="G1443" s="19" t="s">
        <v>1429</v>
      </c>
      <c r="H1443" s="19" t="s">
        <v>1287</v>
      </c>
      <c r="I1443" s="19">
        <v>0</v>
      </c>
      <c r="J1443" s="19" t="s">
        <v>28</v>
      </c>
      <c r="K1443" s="19" t="s">
        <v>1159</v>
      </c>
      <c r="L1443" s="19">
        <v>2024</v>
      </c>
      <c r="M1443" s="20">
        <v>5000</v>
      </c>
      <c r="N1443" s="19" t="s">
        <v>667</v>
      </c>
      <c r="O1443" s="20">
        <v>1</v>
      </c>
      <c r="P1443" s="20">
        <v>5000</v>
      </c>
      <c r="Q1443" s="20">
        <v>2560.6489999999999</v>
      </c>
      <c r="R1443" s="21">
        <v>0.91</v>
      </c>
      <c r="S1443" s="20">
        <v>2560.6489999999999</v>
      </c>
    </row>
    <row r="1444" spans="2:19" ht="15" customHeight="1" x14ac:dyDescent="0.25">
      <c r="B1444" s="2" t="str">
        <f t="shared" si="44"/>
        <v>PGL_Business_C&amp;I_Rebates_Linkageless Controls_0_CI</v>
      </c>
      <c r="C1444" s="2" t="str">
        <f t="shared" si="45"/>
        <v>PGL_Business_C&amp;I_Rebates_Linkageless Controls_0_CI_2025</v>
      </c>
      <c r="D1444" s="19" t="s">
        <v>1794</v>
      </c>
      <c r="E1444" s="19" t="s">
        <v>3</v>
      </c>
      <c r="F1444" s="19" t="s">
        <v>1427</v>
      </c>
      <c r="G1444" s="19" t="s">
        <v>1429</v>
      </c>
      <c r="H1444" s="19" t="s">
        <v>1287</v>
      </c>
      <c r="I1444" s="19">
        <v>0</v>
      </c>
      <c r="J1444" s="19" t="s">
        <v>28</v>
      </c>
      <c r="K1444" s="19" t="s">
        <v>1159</v>
      </c>
      <c r="L1444" s="19">
        <v>2025</v>
      </c>
      <c r="M1444" s="20">
        <v>5000</v>
      </c>
      <c r="N1444" s="19" t="s">
        <v>667</v>
      </c>
      <c r="O1444" s="20">
        <v>1</v>
      </c>
      <c r="P1444" s="20">
        <v>5000</v>
      </c>
      <c r="Q1444" s="20">
        <v>2560.6489999999999</v>
      </c>
      <c r="R1444" s="21">
        <v>0.91</v>
      </c>
      <c r="S1444" s="20">
        <v>2560.6489999999999</v>
      </c>
    </row>
    <row r="1445" spans="2:19" ht="15" customHeight="1" x14ac:dyDescent="0.25">
      <c r="B1445" s="2" t="str">
        <f t="shared" si="44"/>
        <v>PGL_Business_C&amp;I_Rebates_Condensate Tank Insulation_0_MF/CI/SMB</v>
      </c>
      <c r="C1445" s="2" t="str">
        <f t="shared" si="45"/>
        <v>PGL_Business_C&amp;I_Rebates_Condensate Tank Insulation_0_MF/CI/SMB_2022</v>
      </c>
      <c r="D1445" s="19" t="s">
        <v>1794</v>
      </c>
      <c r="E1445" s="19" t="s">
        <v>3</v>
      </c>
      <c r="F1445" s="19" t="s">
        <v>1427</v>
      </c>
      <c r="G1445" s="19" t="s">
        <v>1429</v>
      </c>
      <c r="H1445" s="19" t="s">
        <v>806</v>
      </c>
      <c r="I1445" s="19">
        <v>0</v>
      </c>
      <c r="J1445" s="19" t="s">
        <v>810</v>
      </c>
      <c r="K1445" s="19" t="s">
        <v>662</v>
      </c>
      <c r="L1445" s="19">
        <v>2022</v>
      </c>
      <c r="M1445" s="20">
        <v>550</v>
      </c>
      <c r="N1445" s="19" t="s">
        <v>634</v>
      </c>
      <c r="O1445" s="20">
        <v>3</v>
      </c>
      <c r="P1445" s="20">
        <v>1650</v>
      </c>
      <c r="Q1445" s="20">
        <v>25144.415605797945</v>
      </c>
      <c r="R1445" s="21">
        <v>0.91</v>
      </c>
      <c r="S1445" s="20">
        <v>25144.415605797945</v>
      </c>
    </row>
    <row r="1446" spans="2:19" ht="15" customHeight="1" x14ac:dyDescent="0.25">
      <c r="B1446" s="2" t="str">
        <f t="shared" si="44"/>
        <v>PGL_Business_C&amp;I_Rebates_Condensate Tank Insulation_0_MF/CI/SMB</v>
      </c>
      <c r="C1446" s="2" t="str">
        <f t="shared" si="45"/>
        <v>PGL_Business_C&amp;I_Rebates_Condensate Tank Insulation_0_MF/CI/SMB_2023</v>
      </c>
      <c r="D1446" s="19" t="s">
        <v>1794</v>
      </c>
      <c r="E1446" s="19" t="s">
        <v>3</v>
      </c>
      <c r="F1446" s="19" t="s">
        <v>1427</v>
      </c>
      <c r="G1446" s="19" t="s">
        <v>1429</v>
      </c>
      <c r="H1446" s="19" t="s">
        <v>806</v>
      </c>
      <c r="I1446" s="19">
        <v>0</v>
      </c>
      <c r="J1446" s="19" t="s">
        <v>810</v>
      </c>
      <c r="K1446" s="19" t="s">
        <v>662</v>
      </c>
      <c r="L1446" s="19">
        <v>2023</v>
      </c>
      <c r="M1446" s="20">
        <v>550</v>
      </c>
      <c r="N1446" s="19" t="s">
        <v>634</v>
      </c>
      <c r="O1446" s="20">
        <v>3</v>
      </c>
      <c r="P1446" s="20">
        <v>1650</v>
      </c>
      <c r="Q1446" s="20">
        <v>25144.415605797945</v>
      </c>
      <c r="R1446" s="21">
        <v>0.91</v>
      </c>
      <c r="S1446" s="20">
        <v>25144.415605797945</v>
      </c>
    </row>
    <row r="1447" spans="2:19" ht="15" customHeight="1" x14ac:dyDescent="0.25">
      <c r="B1447" s="2" t="str">
        <f t="shared" si="44"/>
        <v>PGL_Business_C&amp;I_Rebates_Condensate Tank Insulation_0_MF/CI/SMB</v>
      </c>
      <c r="C1447" s="2" t="str">
        <f t="shared" si="45"/>
        <v>PGL_Business_C&amp;I_Rebates_Condensate Tank Insulation_0_MF/CI/SMB_2024</v>
      </c>
      <c r="D1447" s="19" t="s">
        <v>1794</v>
      </c>
      <c r="E1447" s="19" t="s">
        <v>3</v>
      </c>
      <c r="F1447" s="19" t="s">
        <v>1427</v>
      </c>
      <c r="G1447" s="19" t="s">
        <v>1429</v>
      </c>
      <c r="H1447" s="19" t="s">
        <v>806</v>
      </c>
      <c r="I1447" s="19">
        <v>0</v>
      </c>
      <c r="J1447" s="19" t="s">
        <v>810</v>
      </c>
      <c r="K1447" s="19" t="s">
        <v>662</v>
      </c>
      <c r="L1447" s="19">
        <v>2024</v>
      </c>
      <c r="M1447" s="20">
        <v>550</v>
      </c>
      <c r="N1447" s="19" t="s">
        <v>634</v>
      </c>
      <c r="O1447" s="20">
        <v>2</v>
      </c>
      <c r="P1447" s="20">
        <v>1100</v>
      </c>
      <c r="Q1447" s="20">
        <v>16762.943737198631</v>
      </c>
      <c r="R1447" s="21">
        <v>0.91</v>
      </c>
      <c r="S1447" s="20">
        <v>16762.943737198631</v>
      </c>
    </row>
    <row r="1448" spans="2:19" ht="15" customHeight="1" x14ac:dyDescent="0.25">
      <c r="B1448" s="2" t="str">
        <f t="shared" si="44"/>
        <v>PGL_Business_C&amp;I_Rebates_Condensate Tank Insulation_0_MF/CI/SMB</v>
      </c>
      <c r="C1448" s="2" t="str">
        <f t="shared" si="45"/>
        <v>PGL_Business_C&amp;I_Rebates_Condensate Tank Insulation_0_MF/CI/SMB_2025</v>
      </c>
      <c r="D1448" s="19" t="s">
        <v>1794</v>
      </c>
      <c r="E1448" s="19" t="s">
        <v>3</v>
      </c>
      <c r="F1448" s="19" t="s">
        <v>1427</v>
      </c>
      <c r="G1448" s="19" t="s">
        <v>1429</v>
      </c>
      <c r="H1448" s="19" t="s">
        <v>806</v>
      </c>
      <c r="I1448" s="19">
        <v>0</v>
      </c>
      <c r="J1448" s="19" t="s">
        <v>810</v>
      </c>
      <c r="K1448" s="19" t="s">
        <v>662</v>
      </c>
      <c r="L1448" s="19">
        <v>2025</v>
      </c>
      <c r="M1448" s="20">
        <v>550</v>
      </c>
      <c r="N1448" s="19" t="s">
        <v>634</v>
      </c>
      <c r="O1448" s="20">
        <v>2</v>
      </c>
      <c r="P1448" s="20">
        <v>1100</v>
      </c>
      <c r="Q1448" s="20">
        <v>16762.943737198631</v>
      </c>
      <c r="R1448" s="21">
        <v>0.91</v>
      </c>
      <c r="S1448" s="20">
        <v>16762.943737198631</v>
      </c>
    </row>
    <row r="1449" spans="2:19" ht="15" customHeight="1" x14ac:dyDescent="0.25">
      <c r="B1449" s="2" t="str">
        <f t="shared" si="44"/>
        <v>PGL_Business_C&amp;I_Rebates_DHW Storage Tank Insulation_0_MF/CI/SMB</v>
      </c>
      <c r="C1449" s="2" t="str">
        <f t="shared" si="45"/>
        <v>PGL_Business_C&amp;I_Rebates_DHW Storage Tank Insulation_0_MF/CI/SMB_2022</v>
      </c>
      <c r="D1449" s="19" t="s">
        <v>1794</v>
      </c>
      <c r="E1449" s="19" t="s">
        <v>3</v>
      </c>
      <c r="F1449" s="19" t="s">
        <v>1427</v>
      </c>
      <c r="G1449" s="19" t="s">
        <v>1429</v>
      </c>
      <c r="H1449" s="19" t="s">
        <v>832</v>
      </c>
      <c r="I1449" s="19">
        <v>0</v>
      </c>
      <c r="J1449" s="19" t="s">
        <v>810</v>
      </c>
      <c r="K1449" s="19" t="s">
        <v>662</v>
      </c>
      <c r="L1449" s="19">
        <v>2022</v>
      </c>
      <c r="M1449" s="20">
        <v>56</v>
      </c>
      <c r="N1449" s="19" t="s">
        <v>634</v>
      </c>
      <c r="O1449" s="20">
        <v>1</v>
      </c>
      <c r="P1449" s="20">
        <v>56</v>
      </c>
      <c r="Q1449" s="20">
        <v>354.44580370033862</v>
      </c>
      <c r="R1449" s="21">
        <v>0.91</v>
      </c>
      <c r="S1449" s="20">
        <v>354.44580370033862</v>
      </c>
    </row>
    <row r="1450" spans="2:19" ht="15" customHeight="1" x14ac:dyDescent="0.25">
      <c r="B1450" s="2" t="str">
        <f t="shared" si="44"/>
        <v>PGL_Business_C&amp;I_Rebates_DHW Storage Tank Insulation_0_MF/CI/SMB</v>
      </c>
      <c r="C1450" s="2" t="str">
        <f t="shared" si="45"/>
        <v>PGL_Business_C&amp;I_Rebates_DHW Storage Tank Insulation_0_MF/CI/SMB_2023</v>
      </c>
      <c r="D1450" s="19" t="s">
        <v>1794</v>
      </c>
      <c r="E1450" s="19" t="s">
        <v>3</v>
      </c>
      <c r="F1450" s="19" t="s">
        <v>1427</v>
      </c>
      <c r="G1450" s="19" t="s">
        <v>1429</v>
      </c>
      <c r="H1450" s="19" t="s">
        <v>832</v>
      </c>
      <c r="I1450" s="19">
        <v>0</v>
      </c>
      <c r="J1450" s="19" t="s">
        <v>810</v>
      </c>
      <c r="K1450" s="19" t="s">
        <v>662</v>
      </c>
      <c r="L1450" s="19">
        <v>2023</v>
      </c>
      <c r="M1450" s="20">
        <v>56</v>
      </c>
      <c r="N1450" s="19" t="s">
        <v>634</v>
      </c>
      <c r="O1450" s="20">
        <v>1</v>
      </c>
      <c r="P1450" s="20">
        <v>56</v>
      </c>
      <c r="Q1450" s="20">
        <v>354.44580370033862</v>
      </c>
      <c r="R1450" s="21">
        <v>0.91</v>
      </c>
      <c r="S1450" s="20">
        <v>354.44580370033862</v>
      </c>
    </row>
    <row r="1451" spans="2:19" ht="15" customHeight="1" x14ac:dyDescent="0.25">
      <c r="B1451" s="2" t="str">
        <f t="shared" si="44"/>
        <v>PGL_Business_C&amp;I_Rebates_DHW Storage Tank Insulation_0_MF/CI/SMB</v>
      </c>
      <c r="C1451" s="2" t="str">
        <f t="shared" si="45"/>
        <v>PGL_Business_C&amp;I_Rebates_DHW Storage Tank Insulation_0_MF/CI/SMB_2024</v>
      </c>
      <c r="D1451" s="19" t="s">
        <v>1794</v>
      </c>
      <c r="E1451" s="19" t="s">
        <v>3</v>
      </c>
      <c r="F1451" s="19" t="s">
        <v>1427</v>
      </c>
      <c r="G1451" s="19" t="s">
        <v>1429</v>
      </c>
      <c r="H1451" s="19" t="s">
        <v>832</v>
      </c>
      <c r="I1451" s="19">
        <v>0</v>
      </c>
      <c r="J1451" s="19" t="s">
        <v>810</v>
      </c>
      <c r="K1451" s="19" t="s">
        <v>662</v>
      </c>
      <c r="L1451" s="19">
        <v>2024</v>
      </c>
      <c r="M1451" s="20">
        <v>56</v>
      </c>
      <c r="N1451" s="19" t="s">
        <v>634</v>
      </c>
      <c r="O1451" s="20">
        <v>1</v>
      </c>
      <c r="P1451" s="20">
        <v>56</v>
      </c>
      <c r="Q1451" s="20">
        <v>354.44580370033862</v>
      </c>
      <c r="R1451" s="21">
        <v>0.91</v>
      </c>
      <c r="S1451" s="20">
        <v>354.44580370033862</v>
      </c>
    </row>
    <row r="1452" spans="2:19" ht="15" customHeight="1" x14ac:dyDescent="0.25">
      <c r="B1452" s="2" t="str">
        <f t="shared" si="44"/>
        <v>PGL_Business_C&amp;I_Rebates_DHW Storage Tank Insulation_0_MF/CI/SMB</v>
      </c>
      <c r="C1452" s="2" t="str">
        <f t="shared" si="45"/>
        <v>PGL_Business_C&amp;I_Rebates_DHW Storage Tank Insulation_0_MF/CI/SMB_2025</v>
      </c>
      <c r="D1452" s="19" t="s">
        <v>1794</v>
      </c>
      <c r="E1452" s="19" t="s">
        <v>3</v>
      </c>
      <c r="F1452" s="19" t="s">
        <v>1427</v>
      </c>
      <c r="G1452" s="19" t="s">
        <v>1429</v>
      </c>
      <c r="H1452" s="19" t="s">
        <v>832</v>
      </c>
      <c r="I1452" s="19">
        <v>0</v>
      </c>
      <c r="J1452" s="19" t="s">
        <v>810</v>
      </c>
      <c r="K1452" s="19" t="s">
        <v>662</v>
      </c>
      <c r="L1452" s="19">
        <v>2025</v>
      </c>
      <c r="M1452" s="20">
        <v>56</v>
      </c>
      <c r="N1452" s="19" t="s">
        <v>634</v>
      </c>
      <c r="O1452" s="20">
        <v>1</v>
      </c>
      <c r="P1452" s="20">
        <v>56</v>
      </c>
      <c r="Q1452" s="20">
        <v>354.44580370033862</v>
      </c>
      <c r="R1452" s="21">
        <v>0.91</v>
      </c>
      <c r="S1452" s="20">
        <v>354.44580370033862</v>
      </c>
    </row>
    <row r="1453" spans="2:19" ht="15" customHeight="1" x14ac:dyDescent="0.25">
      <c r="B1453" s="2" t="str">
        <f t="shared" si="44"/>
        <v>PGL_Business_C&amp;I_Rebates_Dock Door Seals_0_CI</v>
      </c>
      <c r="C1453" s="2" t="str">
        <f t="shared" si="45"/>
        <v>PGL_Business_C&amp;I_Rebates_Dock Door Seals_0_CI_2022</v>
      </c>
      <c r="D1453" s="19" t="s">
        <v>1794</v>
      </c>
      <c r="E1453" s="19" t="s">
        <v>3</v>
      </c>
      <c r="F1453" s="19" t="s">
        <v>1427</v>
      </c>
      <c r="G1453" s="19" t="s">
        <v>1429</v>
      </c>
      <c r="H1453" s="19" t="s">
        <v>1291</v>
      </c>
      <c r="I1453" s="19">
        <v>0</v>
      </c>
      <c r="J1453" s="19">
        <v>0</v>
      </c>
      <c r="K1453" s="19" t="s">
        <v>1159</v>
      </c>
      <c r="L1453" s="19">
        <v>2022</v>
      </c>
      <c r="M1453" s="20">
        <v>1</v>
      </c>
      <c r="N1453" s="19" t="s">
        <v>1798</v>
      </c>
      <c r="O1453" s="20">
        <v>5</v>
      </c>
      <c r="P1453" s="20">
        <v>5</v>
      </c>
      <c r="Q1453" s="20">
        <v>1069.0145699999998</v>
      </c>
      <c r="R1453" s="21">
        <v>0.91</v>
      </c>
      <c r="S1453" s="20">
        <v>1069.0145699999998</v>
      </c>
    </row>
    <row r="1454" spans="2:19" ht="15" customHeight="1" x14ac:dyDescent="0.25">
      <c r="B1454" s="2" t="str">
        <f t="shared" si="44"/>
        <v>PGL_Business_C&amp;I_Rebates_Dock Door Seals_0_CI</v>
      </c>
      <c r="C1454" s="2" t="str">
        <f t="shared" si="45"/>
        <v>PGL_Business_C&amp;I_Rebates_Dock Door Seals_0_CI_2023</v>
      </c>
      <c r="D1454" s="19" t="s">
        <v>1794</v>
      </c>
      <c r="E1454" s="19" t="s">
        <v>3</v>
      </c>
      <c r="F1454" s="19" t="s">
        <v>1427</v>
      </c>
      <c r="G1454" s="19" t="s">
        <v>1429</v>
      </c>
      <c r="H1454" s="19" t="s">
        <v>1291</v>
      </c>
      <c r="I1454" s="19">
        <v>0</v>
      </c>
      <c r="J1454" s="19">
        <v>0</v>
      </c>
      <c r="K1454" s="19" t="s">
        <v>1159</v>
      </c>
      <c r="L1454" s="19">
        <v>2023</v>
      </c>
      <c r="M1454" s="20">
        <v>1</v>
      </c>
      <c r="N1454" s="19" t="s">
        <v>1798</v>
      </c>
      <c r="O1454" s="20">
        <v>4</v>
      </c>
      <c r="P1454" s="20">
        <v>4</v>
      </c>
      <c r="Q1454" s="20">
        <v>855.21165599999995</v>
      </c>
      <c r="R1454" s="21">
        <v>0.91</v>
      </c>
      <c r="S1454" s="20">
        <v>855.21165599999995</v>
      </c>
    </row>
    <row r="1455" spans="2:19" ht="15" customHeight="1" x14ac:dyDescent="0.25">
      <c r="B1455" s="2" t="str">
        <f t="shared" si="44"/>
        <v>PGL_Business_C&amp;I_Rebates_Dock Door Seals_0_CI</v>
      </c>
      <c r="C1455" s="2" t="str">
        <f t="shared" si="45"/>
        <v>PGL_Business_C&amp;I_Rebates_Dock Door Seals_0_CI_2024</v>
      </c>
      <c r="D1455" s="19" t="s">
        <v>1794</v>
      </c>
      <c r="E1455" s="19" t="s">
        <v>3</v>
      </c>
      <c r="F1455" s="19" t="s">
        <v>1427</v>
      </c>
      <c r="G1455" s="19" t="s">
        <v>1429</v>
      </c>
      <c r="H1455" s="19" t="s">
        <v>1291</v>
      </c>
      <c r="I1455" s="19">
        <v>0</v>
      </c>
      <c r="J1455" s="19">
        <v>0</v>
      </c>
      <c r="K1455" s="19" t="s">
        <v>1159</v>
      </c>
      <c r="L1455" s="19">
        <v>2024</v>
      </c>
      <c r="M1455" s="20">
        <v>1</v>
      </c>
      <c r="N1455" s="19" t="s">
        <v>1798</v>
      </c>
      <c r="O1455" s="20">
        <v>4</v>
      </c>
      <c r="P1455" s="20">
        <v>4</v>
      </c>
      <c r="Q1455" s="20">
        <v>855.21165599999995</v>
      </c>
      <c r="R1455" s="21">
        <v>0.91</v>
      </c>
      <c r="S1455" s="20">
        <v>855.21165599999995</v>
      </c>
    </row>
    <row r="1456" spans="2:19" ht="15" customHeight="1" x14ac:dyDescent="0.25">
      <c r="B1456" s="2" t="str">
        <f t="shared" si="44"/>
        <v>PGL_Business_C&amp;I_Rebates_Dock Door Seals_0_CI</v>
      </c>
      <c r="C1456" s="2" t="str">
        <f t="shared" si="45"/>
        <v>PGL_Business_C&amp;I_Rebates_Dock Door Seals_0_CI_2025</v>
      </c>
      <c r="D1456" s="19" t="s">
        <v>1794</v>
      </c>
      <c r="E1456" s="19" t="s">
        <v>3</v>
      </c>
      <c r="F1456" s="19" t="s">
        <v>1427</v>
      </c>
      <c r="G1456" s="19" t="s">
        <v>1429</v>
      </c>
      <c r="H1456" s="19" t="s">
        <v>1291</v>
      </c>
      <c r="I1456" s="19">
        <v>0</v>
      </c>
      <c r="J1456" s="19">
        <v>0</v>
      </c>
      <c r="K1456" s="19" t="s">
        <v>1159</v>
      </c>
      <c r="L1456" s="19">
        <v>2025</v>
      </c>
      <c r="M1456" s="20">
        <v>1</v>
      </c>
      <c r="N1456" s="19" t="s">
        <v>1798</v>
      </c>
      <c r="O1456" s="20">
        <v>3</v>
      </c>
      <c r="P1456" s="20">
        <v>3</v>
      </c>
      <c r="Q1456" s="20">
        <v>641.40874200000007</v>
      </c>
      <c r="R1456" s="21">
        <v>0.91</v>
      </c>
      <c r="S1456" s="20">
        <v>641.40874200000007</v>
      </c>
    </row>
    <row r="1457" spans="2:19" ht="15" customHeight="1" x14ac:dyDescent="0.25">
      <c r="B1457" s="2" t="str">
        <f t="shared" si="44"/>
        <v>PGL_Business_C&amp;I_Rebates_Water Heater_≥75 MBH, ≥88% TE _CI</v>
      </c>
      <c r="C1457" s="2" t="str">
        <f t="shared" si="45"/>
        <v>PGL_Business_C&amp;I_Rebates_Water Heater_≥75 MBH, ≥88% TE _CI_2022</v>
      </c>
      <c r="D1457" s="19" t="s">
        <v>1794</v>
      </c>
      <c r="E1457" s="19" t="s">
        <v>3</v>
      </c>
      <c r="F1457" s="19" t="s">
        <v>1427</v>
      </c>
      <c r="G1457" s="19" t="s">
        <v>1429</v>
      </c>
      <c r="H1457" s="19" t="s">
        <v>8</v>
      </c>
      <c r="I1457" s="19" t="s">
        <v>1293</v>
      </c>
      <c r="J1457" s="19" t="s">
        <v>1294</v>
      </c>
      <c r="K1457" s="19" t="s">
        <v>1159</v>
      </c>
      <c r="L1457" s="19">
        <v>2022</v>
      </c>
      <c r="M1457" s="20">
        <v>250</v>
      </c>
      <c r="N1457" s="19" t="s">
        <v>667</v>
      </c>
      <c r="O1457" s="20">
        <v>4</v>
      </c>
      <c r="P1457" s="20">
        <v>1000</v>
      </c>
      <c r="Q1457" s="20">
        <v>2272.9701506521337</v>
      </c>
      <c r="R1457" s="21">
        <v>0.91</v>
      </c>
      <c r="S1457" s="20">
        <v>2272.9701506521337</v>
      </c>
    </row>
    <row r="1458" spans="2:19" ht="15" customHeight="1" x14ac:dyDescent="0.25">
      <c r="B1458" s="2" t="str">
        <f t="shared" si="44"/>
        <v>PGL_Business_C&amp;I_Rebates_Water Heater_≥75 MBH, ≥88% TE _CI</v>
      </c>
      <c r="C1458" s="2" t="str">
        <f t="shared" si="45"/>
        <v>PGL_Business_C&amp;I_Rebates_Water Heater_≥75 MBH, ≥88% TE _CI_2023</v>
      </c>
      <c r="D1458" s="19" t="s">
        <v>1794</v>
      </c>
      <c r="E1458" s="19" t="s">
        <v>3</v>
      </c>
      <c r="F1458" s="19" t="s">
        <v>1427</v>
      </c>
      <c r="G1458" s="19" t="s">
        <v>1429</v>
      </c>
      <c r="H1458" s="19" t="s">
        <v>8</v>
      </c>
      <c r="I1458" s="19" t="s">
        <v>1293</v>
      </c>
      <c r="J1458" s="19" t="s">
        <v>1294</v>
      </c>
      <c r="K1458" s="19" t="s">
        <v>1159</v>
      </c>
      <c r="L1458" s="19">
        <v>2023</v>
      </c>
      <c r="M1458" s="20">
        <v>250</v>
      </c>
      <c r="N1458" s="19" t="s">
        <v>667</v>
      </c>
      <c r="O1458" s="20">
        <v>4</v>
      </c>
      <c r="P1458" s="20">
        <v>1000</v>
      </c>
      <c r="Q1458" s="20">
        <v>2272.9701506521337</v>
      </c>
      <c r="R1458" s="21">
        <v>0.91</v>
      </c>
      <c r="S1458" s="20">
        <v>2272.9701506521337</v>
      </c>
    </row>
    <row r="1459" spans="2:19" ht="15" customHeight="1" x14ac:dyDescent="0.25">
      <c r="B1459" s="2" t="str">
        <f t="shared" si="44"/>
        <v>PGL_Business_C&amp;I_Rebates_Water Heater_≥75 MBH, ≥88% TE _CI</v>
      </c>
      <c r="C1459" s="2" t="str">
        <f t="shared" si="45"/>
        <v>PGL_Business_C&amp;I_Rebates_Water Heater_≥75 MBH, ≥88% TE _CI_2024</v>
      </c>
      <c r="D1459" s="19" t="s">
        <v>1794</v>
      </c>
      <c r="E1459" s="19" t="s">
        <v>3</v>
      </c>
      <c r="F1459" s="19" t="s">
        <v>1427</v>
      </c>
      <c r="G1459" s="19" t="s">
        <v>1429</v>
      </c>
      <c r="H1459" s="19" t="s">
        <v>8</v>
      </c>
      <c r="I1459" s="19" t="s">
        <v>1293</v>
      </c>
      <c r="J1459" s="19" t="s">
        <v>1294</v>
      </c>
      <c r="K1459" s="19" t="s">
        <v>1159</v>
      </c>
      <c r="L1459" s="19">
        <v>2024</v>
      </c>
      <c r="M1459" s="20">
        <v>250</v>
      </c>
      <c r="N1459" s="19" t="s">
        <v>667</v>
      </c>
      <c r="O1459" s="20">
        <v>3</v>
      </c>
      <c r="P1459" s="20">
        <v>750</v>
      </c>
      <c r="Q1459" s="20">
        <v>1704.7276129891002</v>
      </c>
      <c r="R1459" s="21">
        <v>0.91</v>
      </c>
      <c r="S1459" s="20">
        <v>1704.7276129891002</v>
      </c>
    </row>
    <row r="1460" spans="2:19" ht="15" customHeight="1" x14ac:dyDescent="0.25">
      <c r="B1460" s="2" t="str">
        <f t="shared" si="44"/>
        <v>PGL_Business_C&amp;I_Rebates_Water Heater_≥75 MBH, ≥88% TE _CI</v>
      </c>
      <c r="C1460" s="2" t="str">
        <f t="shared" si="45"/>
        <v>PGL_Business_C&amp;I_Rebates_Water Heater_≥75 MBH, ≥88% TE _CI_2025</v>
      </c>
      <c r="D1460" s="19" t="s">
        <v>1794</v>
      </c>
      <c r="E1460" s="19" t="s">
        <v>3</v>
      </c>
      <c r="F1460" s="19" t="s">
        <v>1427</v>
      </c>
      <c r="G1460" s="19" t="s">
        <v>1429</v>
      </c>
      <c r="H1460" s="19" t="s">
        <v>8</v>
      </c>
      <c r="I1460" s="19" t="s">
        <v>1293</v>
      </c>
      <c r="J1460" s="19" t="s">
        <v>1294</v>
      </c>
      <c r="K1460" s="19" t="s">
        <v>1159</v>
      </c>
      <c r="L1460" s="19">
        <v>2025</v>
      </c>
      <c r="M1460" s="20">
        <v>250</v>
      </c>
      <c r="N1460" s="19" t="s">
        <v>667</v>
      </c>
      <c r="O1460" s="20">
        <v>2</v>
      </c>
      <c r="P1460" s="20">
        <v>500</v>
      </c>
      <c r="Q1460" s="20">
        <v>1136.4850753260669</v>
      </c>
      <c r="R1460" s="21">
        <v>0.91</v>
      </c>
      <c r="S1460" s="20">
        <v>1136.4850753260669</v>
      </c>
    </row>
    <row r="1461" spans="2:19" ht="15" customHeight="1" x14ac:dyDescent="0.25">
      <c r="B1461" s="2" t="str">
        <f t="shared" si="44"/>
        <v>PGL_Business_C&amp;I_Rebates_Water Heater_Storage 0.67 EF_CI</v>
      </c>
      <c r="C1461" s="2" t="str">
        <f t="shared" si="45"/>
        <v>PGL_Business_C&amp;I_Rebates_Water Heater_Storage 0.67 EF_CI_2022</v>
      </c>
      <c r="D1461" s="19" t="s">
        <v>1794</v>
      </c>
      <c r="E1461" s="19" t="s">
        <v>3</v>
      </c>
      <c r="F1461" s="19" t="s">
        <v>1427</v>
      </c>
      <c r="G1461" s="19" t="s">
        <v>1429</v>
      </c>
      <c r="H1461" s="19" t="s">
        <v>8</v>
      </c>
      <c r="I1461" s="19" t="s">
        <v>879</v>
      </c>
      <c r="J1461" s="19" t="s">
        <v>1263</v>
      </c>
      <c r="K1461" s="19" t="s">
        <v>1159</v>
      </c>
      <c r="L1461" s="19">
        <v>2022</v>
      </c>
      <c r="M1461" s="20">
        <v>1</v>
      </c>
      <c r="N1461" s="19" t="s">
        <v>1798</v>
      </c>
      <c r="O1461" s="20">
        <v>0</v>
      </c>
      <c r="P1461" s="20">
        <v>0</v>
      </c>
      <c r="Q1461" s="20">
        <v>0</v>
      </c>
      <c r="R1461" s="21">
        <v>0.91</v>
      </c>
      <c r="S1461" s="20">
        <v>0</v>
      </c>
    </row>
    <row r="1462" spans="2:19" ht="15" customHeight="1" x14ac:dyDescent="0.25">
      <c r="B1462" s="2" t="str">
        <f t="shared" si="44"/>
        <v>PGL_Business_C&amp;I_Rebates_Water Heater_Storage 0.67 EF_CI</v>
      </c>
      <c r="C1462" s="2" t="str">
        <f t="shared" si="45"/>
        <v>PGL_Business_C&amp;I_Rebates_Water Heater_Storage 0.67 EF_CI_2023</v>
      </c>
      <c r="D1462" s="19" t="s">
        <v>1794</v>
      </c>
      <c r="E1462" s="19" t="s">
        <v>3</v>
      </c>
      <c r="F1462" s="19" t="s">
        <v>1427</v>
      </c>
      <c r="G1462" s="19" t="s">
        <v>1429</v>
      </c>
      <c r="H1462" s="19" t="s">
        <v>8</v>
      </c>
      <c r="I1462" s="19" t="s">
        <v>879</v>
      </c>
      <c r="J1462" s="19" t="s">
        <v>1263</v>
      </c>
      <c r="K1462" s="19" t="s">
        <v>1159</v>
      </c>
      <c r="L1462" s="19">
        <v>2023</v>
      </c>
      <c r="M1462" s="20">
        <v>1</v>
      </c>
      <c r="N1462" s="19" t="s">
        <v>1798</v>
      </c>
      <c r="O1462" s="20">
        <v>0</v>
      </c>
      <c r="P1462" s="20">
        <v>0</v>
      </c>
      <c r="Q1462" s="20">
        <v>0</v>
      </c>
      <c r="R1462" s="21">
        <v>0.91</v>
      </c>
      <c r="S1462" s="20">
        <v>0</v>
      </c>
    </row>
    <row r="1463" spans="2:19" ht="15" customHeight="1" x14ac:dyDescent="0.25">
      <c r="B1463" s="2" t="str">
        <f t="shared" si="44"/>
        <v>PGL_Business_C&amp;I_Rebates_Water Heater_Storage 0.67 EF_CI</v>
      </c>
      <c r="C1463" s="2" t="str">
        <f t="shared" si="45"/>
        <v>PGL_Business_C&amp;I_Rebates_Water Heater_Storage 0.67 EF_CI_2024</v>
      </c>
      <c r="D1463" s="19" t="s">
        <v>1794</v>
      </c>
      <c r="E1463" s="19" t="s">
        <v>3</v>
      </c>
      <c r="F1463" s="19" t="s">
        <v>1427</v>
      </c>
      <c r="G1463" s="19" t="s">
        <v>1429</v>
      </c>
      <c r="H1463" s="19" t="s">
        <v>8</v>
      </c>
      <c r="I1463" s="19" t="s">
        <v>879</v>
      </c>
      <c r="J1463" s="19" t="s">
        <v>1263</v>
      </c>
      <c r="K1463" s="19" t="s">
        <v>1159</v>
      </c>
      <c r="L1463" s="19">
        <v>2024</v>
      </c>
      <c r="M1463" s="20">
        <v>1</v>
      </c>
      <c r="N1463" s="19" t="s">
        <v>1798</v>
      </c>
      <c r="O1463" s="20">
        <v>0</v>
      </c>
      <c r="P1463" s="20">
        <v>0</v>
      </c>
      <c r="Q1463" s="20">
        <v>0</v>
      </c>
      <c r="R1463" s="21">
        <v>0.91</v>
      </c>
      <c r="S1463" s="20">
        <v>0</v>
      </c>
    </row>
    <row r="1464" spans="2:19" ht="15" customHeight="1" x14ac:dyDescent="0.25">
      <c r="B1464" s="2" t="str">
        <f t="shared" si="44"/>
        <v>PGL_Business_C&amp;I_Rebates_Water Heater_Storage 0.67 EF_CI</v>
      </c>
      <c r="C1464" s="2" t="str">
        <f t="shared" si="45"/>
        <v>PGL_Business_C&amp;I_Rebates_Water Heater_Storage 0.67 EF_CI_2025</v>
      </c>
      <c r="D1464" s="19" t="s">
        <v>1794</v>
      </c>
      <c r="E1464" s="19" t="s">
        <v>3</v>
      </c>
      <c r="F1464" s="19" t="s">
        <v>1427</v>
      </c>
      <c r="G1464" s="19" t="s">
        <v>1429</v>
      </c>
      <c r="H1464" s="19" t="s">
        <v>8</v>
      </c>
      <c r="I1464" s="19" t="s">
        <v>879</v>
      </c>
      <c r="J1464" s="19" t="s">
        <v>1263</v>
      </c>
      <c r="K1464" s="19" t="s">
        <v>1159</v>
      </c>
      <c r="L1464" s="19">
        <v>2025</v>
      </c>
      <c r="M1464" s="20">
        <v>1</v>
      </c>
      <c r="N1464" s="19" t="s">
        <v>1798</v>
      </c>
      <c r="O1464" s="20">
        <v>0</v>
      </c>
      <c r="P1464" s="20">
        <v>0</v>
      </c>
      <c r="Q1464" s="20">
        <v>0</v>
      </c>
      <c r="R1464" s="21">
        <v>0.91</v>
      </c>
      <c r="S1464" s="20">
        <v>0</v>
      </c>
    </row>
    <row r="1465" spans="2:19" ht="15" customHeight="1" x14ac:dyDescent="0.25">
      <c r="B1465" s="2" t="str">
        <f t="shared" si="44"/>
        <v>PGL_Business_C&amp;I_Rebates_Infrared Heater_0_MF/CI</v>
      </c>
      <c r="C1465" s="2" t="str">
        <f t="shared" si="45"/>
        <v>PGL_Business_C&amp;I_Rebates_Infrared Heater_0_MF/CI_2022</v>
      </c>
      <c r="D1465" s="19" t="s">
        <v>1794</v>
      </c>
      <c r="E1465" s="19" t="s">
        <v>3</v>
      </c>
      <c r="F1465" s="19" t="s">
        <v>1427</v>
      </c>
      <c r="G1465" s="19" t="s">
        <v>1429</v>
      </c>
      <c r="H1465" s="19" t="s">
        <v>742</v>
      </c>
      <c r="I1465" s="19">
        <v>0</v>
      </c>
      <c r="J1465" s="19" t="s">
        <v>33</v>
      </c>
      <c r="K1465" s="19" t="s">
        <v>587</v>
      </c>
      <c r="L1465" s="19">
        <v>2022</v>
      </c>
      <c r="M1465" s="20">
        <v>150</v>
      </c>
      <c r="N1465" s="19" t="s">
        <v>667</v>
      </c>
      <c r="O1465" s="20">
        <v>0</v>
      </c>
      <c r="P1465" s="20">
        <v>0</v>
      </c>
      <c r="Q1465" s="20">
        <v>0</v>
      </c>
      <c r="R1465" s="21">
        <v>0.91</v>
      </c>
      <c r="S1465" s="20">
        <v>0</v>
      </c>
    </row>
    <row r="1466" spans="2:19" ht="15" customHeight="1" x14ac:dyDescent="0.25">
      <c r="B1466" s="2" t="str">
        <f t="shared" si="44"/>
        <v>PGL_Business_C&amp;I_Rebates_Infrared Heater_0_MF/CI</v>
      </c>
      <c r="C1466" s="2" t="str">
        <f t="shared" si="45"/>
        <v>PGL_Business_C&amp;I_Rebates_Infrared Heater_0_MF/CI_2023</v>
      </c>
      <c r="D1466" s="19" t="s">
        <v>1794</v>
      </c>
      <c r="E1466" s="19" t="s">
        <v>3</v>
      </c>
      <c r="F1466" s="19" t="s">
        <v>1427</v>
      </c>
      <c r="G1466" s="19" t="s">
        <v>1429</v>
      </c>
      <c r="H1466" s="19" t="s">
        <v>742</v>
      </c>
      <c r="I1466" s="19">
        <v>0</v>
      </c>
      <c r="J1466" s="19" t="s">
        <v>33</v>
      </c>
      <c r="K1466" s="19" t="s">
        <v>587</v>
      </c>
      <c r="L1466" s="19">
        <v>2023</v>
      </c>
      <c r="M1466" s="20">
        <v>150</v>
      </c>
      <c r="N1466" s="19" t="s">
        <v>667</v>
      </c>
      <c r="O1466" s="20">
        <v>0</v>
      </c>
      <c r="P1466" s="20">
        <v>0</v>
      </c>
      <c r="Q1466" s="20">
        <v>0</v>
      </c>
      <c r="R1466" s="21">
        <v>0.91</v>
      </c>
      <c r="S1466" s="20">
        <v>0</v>
      </c>
    </row>
    <row r="1467" spans="2:19" ht="15" customHeight="1" x14ac:dyDescent="0.25">
      <c r="B1467" s="2" t="str">
        <f t="shared" si="44"/>
        <v>PGL_Business_C&amp;I_Rebates_Infrared Heater_0_MF/CI</v>
      </c>
      <c r="C1467" s="2" t="str">
        <f t="shared" si="45"/>
        <v>PGL_Business_C&amp;I_Rebates_Infrared Heater_0_MF/CI_2024</v>
      </c>
      <c r="D1467" s="19" t="s">
        <v>1794</v>
      </c>
      <c r="E1467" s="19" t="s">
        <v>3</v>
      </c>
      <c r="F1467" s="19" t="s">
        <v>1427</v>
      </c>
      <c r="G1467" s="19" t="s">
        <v>1429</v>
      </c>
      <c r="H1467" s="19" t="s">
        <v>742</v>
      </c>
      <c r="I1467" s="19">
        <v>0</v>
      </c>
      <c r="J1467" s="19" t="s">
        <v>33</v>
      </c>
      <c r="K1467" s="19" t="s">
        <v>587</v>
      </c>
      <c r="L1467" s="19">
        <v>2024</v>
      </c>
      <c r="M1467" s="20">
        <v>150</v>
      </c>
      <c r="N1467" s="19" t="s">
        <v>667</v>
      </c>
      <c r="O1467" s="20">
        <v>0</v>
      </c>
      <c r="P1467" s="20">
        <v>0</v>
      </c>
      <c r="Q1467" s="20">
        <v>0</v>
      </c>
      <c r="R1467" s="21">
        <v>0.91</v>
      </c>
      <c r="S1467" s="20">
        <v>0</v>
      </c>
    </row>
    <row r="1468" spans="2:19" ht="15" customHeight="1" x14ac:dyDescent="0.25">
      <c r="B1468" s="2" t="str">
        <f t="shared" si="44"/>
        <v>PGL_Business_C&amp;I_Rebates_Infrared Heater_0_MF/CI</v>
      </c>
      <c r="C1468" s="2" t="str">
        <f t="shared" si="45"/>
        <v>PGL_Business_C&amp;I_Rebates_Infrared Heater_0_MF/CI_2025</v>
      </c>
      <c r="D1468" s="19" t="s">
        <v>1794</v>
      </c>
      <c r="E1468" s="19" t="s">
        <v>3</v>
      </c>
      <c r="F1468" s="19" t="s">
        <v>1427</v>
      </c>
      <c r="G1468" s="19" t="s">
        <v>1429</v>
      </c>
      <c r="H1468" s="19" t="s">
        <v>742</v>
      </c>
      <c r="I1468" s="19">
        <v>0</v>
      </c>
      <c r="J1468" s="19" t="s">
        <v>33</v>
      </c>
      <c r="K1468" s="19" t="s">
        <v>587</v>
      </c>
      <c r="L1468" s="19">
        <v>2025</v>
      </c>
      <c r="M1468" s="20">
        <v>150</v>
      </c>
      <c r="N1468" s="19" t="s">
        <v>667</v>
      </c>
      <c r="O1468" s="20">
        <v>0</v>
      </c>
      <c r="P1468" s="20">
        <v>0</v>
      </c>
      <c r="Q1468" s="20">
        <v>0</v>
      </c>
      <c r="R1468" s="21">
        <v>0.91</v>
      </c>
      <c r="S1468" s="20">
        <v>0</v>
      </c>
    </row>
    <row r="1469" spans="2:19" ht="15" customHeight="1" x14ac:dyDescent="0.25">
      <c r="B1469" s="2" t="str">
        <f t="shared" si="44"/>
        <v>PGL_Business_C&amp;I_Rebates_Modulating Commercial Gas Clothes Dryer_Hotels &amp; Hospitals_CI</v>
      </c>
      <c r="C1469" s="2" t="str">
        <f t="shared" si="45"/>
        <v>PGL_Business_C&amp;I_Rebates_Modulating Commercial Gas Clothes Dryer_Hotels &amp; Hospitals_CI_2022</v>
      </c>
      <c r="D1469" s="19" t="s">
        <v>1794</v>
      </c>
      <c r="E1469" s="19" t="s">
        <v>3</v>
      </c>
      <c r="F1469" s="19" t="s">
        <v>1427</v>
      </c>
      <c r="G1469" s="19" t="s">
        <v>1429</v>
      </c>
      <c r="H1469" s="19" t="s">
        <v>12</v>
      </c>
      <c r="I1469" s="19" t="s">
        <v>1253</v>
      </c>
      <c r="J1469" s="19" t="s">
        <v>29</v>
      </c>
      <c r="K1469" s="19" t="s">
        <v>1159</v>
      </c>
      <c r="L1469" s="19">
        <v>2022</v>
      </c>
      <c r="M1469" s="20">
        <v>1</v>
      </c>
      <c r="N1469" s="19" t="s">
        <v>1798</v>
      </c>
      <c r="O1469" s="20">
        <v>1</v>
      </c>
      <c r="P1469" s="20">
        <v>1</v>
      </c>
      <c r="Q1469" s="20">
        <v>590.82659999999998</v>
      </c>
      <c r="R1469" s="21">
        <v>0.91</v>
      </c>
      <c r="S1469" s="20">
        <v>590.82659999999998</v>
      </c>
    </row>
    <row r="1470" spans="2:19" ht="15" customHeight="1" x14ac:dyDescent="0.25">
      <c r="B1470" s="2" t="str">
        <f t="shared" si="44"/>
        <v>PGL_Business_C&amp;I_Rebates_Modulating Commercial Gas Clothes Dryer_Hotels &amp; Hospitals_CI</v>
      </c>
      <c r="C1470" s="2" t="str">
        <f t="shared" si="45"/>
        <v>PGL_Business_C&amp;I_Rebates_Modulating Commercial Gas Clothes Dryer_Hotels &amp; Hospitals_CI_2023</v>
      </c>
      <c r="D1470" s="19" t="s">
        <v>1794</v>
      </c>
      <c r="E1470" s="19" t="s">
        <v>3</v>
      </c>
      <c r="F1470" s="19" t="s">
        <v>1427</v>
      </c>
      <c r="G1470" s="19" t="s">
        <v>1429</v>
      </c>
      <c r="H1470" s="19" t="s">
        <v>12</v>
      </c>
      <c r="I1470" s="19" t="s">
        <v>1253</v>
      </c>
      <c r="J1470" s="19" t="s">
        <v>29</v>
      </c>
      <c r="K1470" s="19" t="s">
        <v>1159</v>
      </c>
      <c r="L1470" s="19">
        <v>2023</v>
      </c>
      <c r="M1470" s="20">
        <v>1</v>
      </c>
      <c r="N1470" s="19" t="s">
        <v>1798</v>
      </c>
      <c r="O1470" s="20">
        <v>1</v>
      </c>
      <c r="P1470" s="20">
        <v>1</v>
      </c>
      <c r="Q1470" s="20">
        <v>590.82659999999998</v>
      </c>
      <c r="R1470" s="21">
        <v>0.91</v>
      </c>
      <c r="S1470" s="20">
        <v>590.82659999999998</v>
      </c>
    </row>
    <row r="1471" spans="2:19" ht="15" customHeight="1" x14ac:dyDescent="0.25">
      <c r="B1471" s="2" t="str">
        <f t="shared" si="44"/>
        <v>PGL_Business_C&amp;I_Rebates_Modulating Commercial Gas Clothes Dryer_Hotels &amp; Hospitals_CI</v>
      </c>
      <c r="C1471" s="2" t="str">
        <f t="shared" si="45"/>
        <v>PGL_Business_C&amp;I_Rebates_Modulating Commercial Gas Clothes Dryer_Hotels &amp; Hospitals_CI_2024</v>
      </c>
      <c r="D1471" s="19" t="s">
        <v>1794</v>
      </c>
      <c r="E1471" s="19" t="s">
        <v>3</v>
      </c>
      <c r="F1471" s="19" t="s">
        <v>1427</v>
      </c>
      <c r="G1471" s="19" t="s">
        <v>1429</v>
      </c>
      <c r="H1471" s="19" t="s">
        <v>12</v>
      </c>
      <c r="I1471" s="19" t="s">
        <v>1253</v>
      </c>
      <c r="J1471" s="19" t="s">
        <v>29</v>
      </c>
      <c r="K1471" s="19" t="s">
        <v>1159</v>
      </c>
      <c r="L1471" s="19">
        <v>2024</v>
      </c>
      <c r="M1471" s="20">
        <v>1</v>
      </c>
      <c r="N1471" s="19" t="s">
        <v>1798</v>
      </c>
      <c r="O1471" s="20">
        <v>1</v>
      </c>
      <c r="P1471" s="20">
        <v>1</v>
      </c>
      <c r="Q1471" s="20">
        <v>590.82659999999998</v>
      </c>
      <c r="R1471" s="21">
        <v>0.91</v>
      </c>
      <c r="S1471" s="20">
        <v>590.82659999999998</v>
      </c>
    </row>
    <row r="1472" spans="2:19" ht="15" customHeight="1" x14ac:dyDescent="0.25">
      <c r="B1472" s="2" t="str">
        <f t="shared" si="44"/>
        <v>PGL_Business_C&amp;I_Rebates_Modulating Commercial Gas Clothes Dryer_Hotels &amp; Hospitals_CI</v>
      </c>
      <c r="C1472" s="2" t="str">
        <f t="shared" si="45"/>
        <v>PGL_Business_C&amp;I_Rebates_Modulating Commercial Gas Clothes Dryer_Hotels &amp; Hospitals_CI_2025</v>
      </c>
      <c r="D1472" s="19" t="s">
        <v>1794</v>
      </c>
      <c r="E1472" s="19" t="s">
        <v>3</v>
      </c>
      <c r="F1472" s="19" t="s">
        <v>1427</v>
      </c>
      <c r="G1472" s="19" t="s">
        <v>1429</v>
      </c>
      <c r="H1472" s="19" t="s">
        <v>12</v>
      </c>
      <c r="I1472" s="19" t="s">
        <v>1253</v>
      </c>
      <c r="J1472" s="19" t="s">
        <v>29</v>
      </c>
      <c r="K1472" s="19" t="s">
        <v>1159</v>
      </c>
      <c r="L1472" s="19">
        <v>2025</v>
      </c>
      <c r="M1472" s="20">
        <v>1</v>
      </c>
      <c r="N1472" s="19" t="s">
        <v>1798</v>
      </c>
      <c r="O1472" s="20">
        <v>1</v>
      </c>
      <c r="P1472" s="20">
        <v>1</v>
      </c>
      <c r="Q1472" s="20">
        <v>590.82659999999998</v>
      </c>
      <c r="R1472" s="21">
        <v>0.91</v>
      </c>
      <c r="S1472" s="20">
        <v>590.82659999999998</v>
      </c>
    </row>
    <row r="1473" spans="2:19" ht="15" customHeight="1" x14ac:dyDescent="0.25">
      <c r="B1473" s="2" t="str">
        <f t="shared" si="44"/>
        <v>PGL_Business_C&amp;I_Rebates_Modulating Commercial Gas Clothes Dryer_Laundromat &amp; MF Dorms_MF/SMB</v>
      </c>
      <c r="C1473" s="2" t="str">
        <f t="shared" si="45"/>
        <v>PGL_Business_C&amp;I_Rebates_Modulating Commercial Gas Clothes Dryer_Laundromat &amp; MF Dorms_MF/SMB_2022</v>
      </c>
      <c r="D1473" s="19" t="s">
        <v>1794</v>
      </c>
      <c r="E1473" s="19" t="s">
        <v>3</v>
      </c>
      <c r="F1473" s="19" t="s">
        <v>1427</v>
      </c>
      <c r="G1473" s="19" t="s">
        <v>1429</v>
      </c>
      <c r="H1473" s="19" t="s">
        <v>12</v>
      </c>
      <c r="I1473" s="19" t="s">
        <v>1255</v>
      </c>
      <c r="J1473" s="19" t="s">
        <v>29</v>
      </c>
      <c r="K1473" s="19" t="s">
        <v>1256</v>
      </c>
      <c r="L1473" s="19">
        <v>2022</v>
      </c>
      <c r="M1473" s="20">
        <v>1</v>
      </c>
      <c r="N1473" s="19" t="s">
        <v>1798</v>
      </c>
      <c r="O1473" s="20">
        <v>1</v>
      </c>
      <c r="P1473" s="20">
        <v>1</v>
      </c>
      <c r="Q1473" s="20">
        <v>209.41830000000002</v>
      </c>
      <c r="R1473" s="21">
        <v>0.91</v>
      </c>
      <c r="S1473" s="20">
        <v>209.41830000000002</v>
      </c>
    </row>
    <row r="1474" spans="2:19" ht="15" customHeight="1" x14ac:dyDescent="0.25">
      <c r="B1474" s="2" t="str">
        <f t="shared" si="44"/>
        <v>PGL_Business_C&amp;I_Rebates_Modulating Commercial Gas Clothes Dryer_Laundromat &amp; MF Dorms_MF/SMB</v>
      </c>
      <c r="C1474" s="2" t="str">
        <f t="shared" si="45"/>
        <v>PGL_Business_C&amp;I_Rebates_Modulating Commercial Gas Clothes Dryer_Laundromat &amp; MF Dorms_MF/SMB_2023</v>
      </c>
      <c r="D1474" s="19" t="s">
        <v>1794</v>
      </c>
      <c r="E1474" s="19" t="s">
        <v>3</v>
      </c>
      <c r="F1474" s="19" t="s">
        <v>1427</v>
      </c>
      <c r="G1474" s="19" t="s">
        <v>1429</v>
      </c>
      <c r="H1474" s="19" t="s">
        <v>12</v>
      </c>
      <c r="I1474" s="19" t="s">
        <v>1255</v>
      </c>
      <c r="J1474" s="19" t="s">
        <v>29</v>
      </c>
      <c r="K1474" s="19" t="s">
        <v>1256</v>
      </c>
      <c r="L1474" s="19">
        <v>2023</v>
      </c>
      <c r="M1474" s="20">
        <v>1</v>
      </c>
      <c r="N1474" s="19" t="s">
        <v>1798</v>
      </c>
      <c r="O1474" s="20">
        <v>1</v>
      </c>
      <c r="P1474" s="20">
        <v>1</v>
      </c>
      <c r="Q1474" s="20">
        <v>209.41830000000002</v>
      </c>
      <c r="R1474" s="21">
        <v>0.91</v>
      </c>
      <c r="S1474" s="20">
        <v>209.41830000000002</v>
      </c>
    </row>
    <row r="1475" spans="2:19" ht="15" customHeight="1" x14ac:dyDescent="0.25">
      <c r="B1475" s="2" t="str">
        <f t="shared" si="44"/>
        <v>PGL_Business_C&amp;I_Rebates_Modulating Commercial Gas Clothes Dryer_Laundromat &amp; MF Dorms_MF/SMB</v>
      </c>
      <c r="C1475" s="2" t="str">
        <f t="shared" si="45"/>
        <v>PGL_Business_C&amp;I_Rebates_Modulating Commercial Gas Clothes Dryer_Laundromat &amp; MF Dorms_MF/SMB_2024</v>
      </c>
      <c r="D1475" s="19" t="s">
        <v>1794</v>
      </c>
      <c r="E1475" s="19" t="s">
        <v>3</v>
      </c>
      <c r="F1475" s="19" t="s">
        <v>1427</v>
      </c>
      <c r="G1475" s="19" t="s">
        <v>1429</v>
      </c>
      <c r="H1475" s="19" t="s">
        <v>12</v>
      </c>
      <c r="I1475" s="19" t="s">
        <v>1255</v>
      </c>
      <c r="J1475" s="19" t="s">
        <v>29</v>
      </c>
      <c r="K1475" s="19" t="s">
        <v>1256</v>
      </c>
      <c r="L1475" s="19">
        <v>2024</v>
      </c>
      <c r="M1475" s="20">
        <v>1</v>
      </c>
      <c r="N1475" s="19" t="s">
        <v>1798</v>
      </c>
      <c r="O1475" s="20">
        <v>1</v>
      </c>
      <c r="P1475" s="20">
        <v>1</v>
      </c>
      <c r="Q1475" s="20">
        <v>209.41830000000002</v>
      </c>
      <c r="R1475" s="21">
        <v>0.91</v>
      </c>
      <c r="S1475" s="20">
        <v>209.41830000000002</v>
      </c>
    </row>
    <row r="1476" spans="2:19" ht="15" customHeight="1" x14ac:dyDescent="0.25">
      <c r="B1476" s="2" t="str">
        <f t="shared" si="44"/>
        <v>PGL_Business_C&amp;I_Rebates_Modulating Commercial Gas Clothes Dryer_Laundromat &amp; MF Dorms_MF/SMB</v>
      </c>
      <c r="C1476" s="2" t="str">
        <f t="shared" si="45"/>
        <v>PGL_Business_C&amp;I_Rebates_Modulating Commercial Gas Clothes Dryer_Laundromat &amp; MF Dorms_MF/SMB_2025</v>
      </c>
      <c r="D1476" s="19" t="s">
        <v>1794</v>
      </c>
      <c r="E1476" s="19" t="s">
        <v>3</v>
      </c>
      <c r="F1476" s="19" t="s">
        <v>1427</v>
      </c>
      <c r="G1476" s="19" t="s">
        <v>1429</v>
      </c>
      <c r="H1476" s="19" t="s">
        <v>12</v>
      </c>
      <c r="I1476" s="19" t="s">
        <v>1255</v>
      </c>
      <c r="J1476" s="19" t="s">
        <v>29</v>
      </c>
      <c r="K1476" s="19" t="s">
        <v>1256</v>
      </c>
      <c r="L1476" s="19">
        <v>2025</v>
      </c>
      <c r="M1476" s="20">
        <v>1</v>
      </c>
      <c r="N1476" s="19" t="s">
        <v>1798</v>
      </c>
      <c r="O1476" s="20">
        <v>1</v>
      </c>
      <c r="P1476" s="20">
        <v>1</v>
      </c>
      <c r="Q1476" s="20">
        <v>209.41830000000002</v>
      </c>
      <c r="R1476" s="21">
        <v>0.91</v>
      </c>
      <c r="S1476" s="20">
        <v>209.41830000000002</v>
      </c>
    </row>
    <row r="1477" spans="2:19" ht="15" customHeight="1" x14ac:dyDescent="0.25">
      <c r="B1477" s="2" t="str">
        <f t="shared" si="44"/>
        <v>PGL_Business_C&amp;I_Rebates_Ozone Laundry_0_MF/CI</v>
      </c>
      <c r="C1477" s="2" t="str">
        <f t="shared" si="45"/>
        <v>PGL_Business_C&amp;I_Rebates_Ozone Laundry_0_MF/CI_2022</v>
      </c>
      <c r="D1477" s="19" t="s">
        <v>1794</v>
      </c>
      <c r="E1477" s="19" t="s">
        <v>3</v>
      </c>
      <c r="F1477" s="19" t="s">
        <v>1427</v>
      </c>
      <c r="G1477" s="19" t="s">
        <v>1429</v>
      </c>
      <c r="H1477" s="19" t="s">
        <v>16</v>
      </c>
      <c r="I1477" s="19">
        <v>0</v>
      </c>
      <c r="J1477" s="19" t="s">
        <v>592</v>
      </c>
      <c r="K1477" s="19" t="s">
        <v>587</v>
      </c>
      <c r="L1477" s="19">
        <v>2022</v>
      </c>
      <c r="M1477" s="20">
        <v>250</v>
      </c>
      <c r="N1477" s="19" t="s">
        <v>1803</v>
      </c>
      <c r="O1477" s="20">
        <v>0</v>
      </c>
      <c r="P1477" s="20">
        <v>0</v>
      </c>
      <c r="Q1477" s="20">
        <v>0</v>
      </c>
      <c r="R1477" s="21">
        <v>0.91</v>
      </c>
      <c r="S1477" s="20">
        <v>0</v>
      </c>
    </row>
    <row r="1478" spans="2:19" ht="15" customHeight="1" x14ac:dyDescent="0.25">
      <c r="B1478" s="2" t="str">
        <f t="shared" ref="B1478:B1541" si="46">D1478&amp;"_"&amp;E1478&amp;"_"&amp;F1478&amp;"_"&amp;G1478&amp;"_"&amp;H1478&amp;"_"&amp;I1478&amp;"_"&amp;K1478</f>
        <v>PGL_Business_C&amp;I_Rebates_Ozone Laundry_0_MF/CI</v>
      </c>
      <c r="C1478" s="2" t="str">
        <f t="shared" ref="C1478:C1541" si="47">D1478&amp;"_"&amp;E1478&amp;"_"&amp;F1478&amp;"_"&amp;G1478&amp;"_"&amp;H1478&amp;"_"&amp;I1478&amp;"_"&amp;K1478&amp;"_"&amp;L1478</f>
        <v>PGL_Business_C&amp;I_Rebates_Ozone Laundry_0_MF/CI_2023</v>
      </c>
      <c r="D1478" s="19" t="s">
        <v>1794</v>
      </c>
      <c r="E1478" s="19" t="s">
        <v>3</v>
      </c>
      <c r="F1478" s="19" t="s">
        <v>1427</v>
      </c>
      <c r="G1478" s="19" t="s">
        <v>1429</v>
      </c>
      <c r="H1478" s="19" t="s">
        <v>16</v>
      </c>
      <c r="I1478" s="19">
        <v>0</v>
      </c>
      <c r="J1478" s="19" t="s">
        <v>592</v>
      </c>
      <c r="K1478" s="19" t="s">
        <v>587</v>
      </c>
      <c r="L1478" s="19">
        <v>2023</v>
      </c>
      <c r="M1478" s="20">
        <v>250</v>
      </c>
      <c r="N1478" s="19" t="s">
        <v>1803</v>
      </c>
      <c r="O1478" s="20">
        <v>0</v>
      </c>
      <c r="P1478" s="20">
        <v>0</v>
      </c>
      <c r="Q1478" s="20">
        <v>0</v>
      </c>
      <c r="R1478" s="21">
        <v>0.91</v>
      </c>
      <c r="S1478" s="20">
        <v>0</v>
      </c>
    </row>
    <row r="1479" spans="2:19" ht="15" customHeight="1" x14ac:dyDescent="0.25">
      <c r="B1479" s="2" t="str">
        <f t="shared" si="46"/>
        <v>PGL_Business_C&amp;I_Rebates_Ozone Laundry_0_MF/CI</v>
      </c>
      <c r="C1479" s="2" t="str">
        <f t="shared" si="47"/>
        <v>PGL_Business_C&amp;I_Rebates_Ozone Laundry_0_MF/CI_2024</v>
      </c>
      <c r="D1479" s="19" t="s">
        <v>1794</v>
      </c>
      <c r="E1479" s="19" t="s">
        <v>3</v>
      </c>
      <c r="F1479" s="19" t="s">
        <v>1427</v>
      </c>
      <c r="G1479" s="19" t="s">
        <v>1429</v>
      </c>
      <c r="H1479" s="19" t="s">
        <v>16</v>
      </c>
      <c r="I1479" s="19">
        <v>0</v>
      </c>
      <c r="J1479" s="19" t="s">
        <v>592</v>
      </c>
      <c r="K1479" s="19" t="s">
        <v>587</v>
      </c>
      <c r="L1479" s="19">
        <v>2024</v>
      </c>
      <c r="M1479" s="20">
        <v>250</v>
      </c>
      <c r="N1479" s="19" t="s">
        <v>1803</v>
      </c>
      <c r="O1479" s="20">
        <v>0</v>
      </c>
      <c r="P1479" s="20">
        <v>0</v>
      </c>
      <c r="Q1479" s="20">
        <v>0</v>
      </c>
      <c r="R1479" s="21">
        <v>0.91</v>
      </c>
      <c r="S1479" s="20">
        <v>0</v>
      </c>
    </row>
    <row r="1480" spans="2:19" ht="15" customHeight="1" x14ac:dyDescent="0.25">
      <c r="B1480" s="2" t="str">
        <f t="shared" si="46"/>
        <v>PGL_Business_C&amp;I_Rebates_Ozone Laundry_0_MF/CI</v>
      </c>
      <c r="C1480" s="2" t="str">
        <f t="shared" si="47"/>
        <v>PGL_Business_C&amp;I_Rebates_Ozone Laundry_0_MF/CI_2025</v>
      </c>
      <c r="D1480" s="19" t="s">
        <v>1794</v>
      </c>
      <c r="E1480" s="19" t="s">
        <v>3</v>
      </c>
      <c r="F1480" s="19" t="s">
        <v>1427</v>
      </c>
      <c r="G1480" s="19" t="s">
        <v>1429</v>
      </c>
      <c r="H1480" s="19" t="s">
        <v>16</v>
      </c>
      <c r="I1480" s="19">
        <v>0</v>
      </c>
      <c r="J1480" s="19" t="s">
        <v>592</v>
      </c>
      <c r="K1480" s="19" t="s">
        <v>587</v>
      </c>
      <c r="L1480" s="19">
        <v>2025</v>
      </c>
      <c r="M1480" s="20">
        <v>250</v>
      </c>
      <c r="N1480" s="19" t="s">
        <v>1803</v>
      </c>
      <c r="O1480" s="20">
        <v>0</v>
      </c>
      <c r="P1480" s="20">
        <v>0</v>
      </c>
      <c r="Q1480" s="20">
        <v>0</v>
      </c>
      <c r="R1480" s="21">
        <v>0.91</v>
      </c>
      <c r="S1480" s="20">
        <v>0</v>
      </c>
    </row>
    <row r="1481" spans="2:19" ht="15" customHeight="1" x14ac:dyDescent="0.25">
      <c r="B1481" s="2" t="str">
        <f t="shared" si="46"/>
        <v>PGL_Business_C&amp;I_Rebates_Pipe Insulation_HW Small 1" to 2"_MF/CI/SMB</v>
      </c>
      <c r="C1481" s="2" t="str">
        <f t="shared" si="47"/>
        <v>PGL_Business_C&amp;I_Rebates_Pipe Insulation_HW Small 1" to 2"_MF/CI/SMB_2022</v>
      </c>
      <c r="D1481" s="19" t="s">
        <v>1794</v>
      </c>
      <c r="E1481" s="19" t="s">
        <v>3</v>
      </c>
      <c r="F1481" s="19" t="s">
        <v>1427</v>
      </c>
      <c r="G1481" s="19" t="s">
        <v>1429</v>
      </c>
      <c r="H1481" s="19" t="s">
        <v>404</v>
      </c>
      <c r="I1481" s="19" t="s">
        <v>953</v>
      </c>
      <c r="J1481" s="19">
        <v>0</v>
      </c>
      <c r="K1481" s="19" t="s">
        <v>662</v>
      </c>
      <c r="L1481" s="19">
        <v>2022</v>
      </c>
      <c r="M1481" s="20">
        <v>75</v>
      </c>
      <c r="N1481" s="19" t="s">
        <v>616</v>
      </c>
      <c r="O1481" s="20">
        <v>8</v>
      </c>
      <c r="P1481" s="20">
        <v>600</v>
      </c>
      <c r="Q1481" s="20">
        <v>1451.7124945742255</v>
      </c>
      <c r="R1481" s="21">
        <v>0.91</v>
      </c>
      <c r="S1481" s="20">
        <v>1451.7124945742255</v>
      </c>
    </row>
    <row r="1482" spans="2:19" ht="15" customHeight="1" x14ac:dyDescent="0.25">
      <c r="B1482" s="2" t="str">
        <f t="shared" si="46"/>
        <v>PGL_Business_C&amp;I_Rebates_Pipe Insulation_HW Small 1" to 2"_MF/CI/SMB</v>
      </c>
      <c r="C1482" s="2" t="str">
        <f t="shared" si="47"/>
        <v>PGL_Business_C&amp;I_Rebates_Pipe Insulation_HW Small 1" to 2"_MF/CI/SMB_2023</v>
      </c>
      <c r="D1482" s="19" t="s">
        <v>1794</v>
      </c>
      <c r="E1482" s="19" t="s">
        <v>3</v>
      </c>
      <c r="F1482" s="19" t="s">
        <v>1427</v>
      </c>
      <c r="G1482" s="19" t="s">
        <v>1429</v>
      </c>
      <c r="H1482" s="19" t="s">
        <v>404</v>
      </c>
      <c r="I1482" s="19" t="s">
        <v>953</v>
      </c>
      <c r="J1482" s="19">
        <v>0</v>
      </c>
      <c r="K1482" s="19" t="s">
        <v>662</v>
      </c>
      <c r="L1482" s="19">
        <v>2023</v>
      </c>
      <c r="M1482" s="20">
        <v>75</v>
      </c>
      <c r="N1482" s="19" t="s">
        <v>616</v>
      </c>
      <c r="O1482" s="20">
        <v>7</v>
      </c>
      <c r="P1482" s="20">
        <v>525</v>
      </c>
      <c r="Q1482" s="20">
        <v>1270.2484327524473</v>
      </c>
      <c r="R1482" s="21">
        <v>0.91</v>
      </c>
      <c r="S1482" s="20">
        <v>1270.2484327524473</v>
      </c>
    </row>
    <row r="1483" spans="2:19" ht="15" customHeight="1" x14ac:dyDescent="0.25">
      <c r="B1483" s="2" t="str">
        <f t="shared" si="46"/>
        <v>PGL_Business_C&amp;I_Rebates_Pipe Insulation_HW Small 1" to 2"_MF/CI/SMB</v>
      </c>
      <c r="C1483" s="2" t="str">
        <f t="shared" si="47"/>
        <v>PGL_Business_C&amp;I_Rebates_Pipe Insulation_HW Small 1" to 2"_MF/CI/SMB_2024</v>
      </c>
      <c r="D1483" s="19" t="s">
        <v>1794</v>
      </c>
      <c r="E1483" s="19" t="s">
        <v>3</v>
      </c>
      <c r="F1483" s="19" t="s">
        <v>1427</v>
      </c>
      <c r="G1483" s="19" t="s">
        <v>1429</v>
      </c>
      <c r="H1483" s="19" t="s">
        <v>404</v>
      </c>
      <c r="I1483" s="19" t="s">
        <v>953</v>
      </c>
      <c r="J1483" s="19">
        <v>0</v>
      </c>
      <c r="K1483" s="19" t="s">
        <v>662</v>
      </c>
      <c r="L1483" s="19">
        <v>2024</v>
      </c>
      <c r="M1483" s="20">
        <v>75</v>
      </c>
      <c r="N1483" s="19" t="s">
        <v>616</v>
      </c>
      <c r="O1483" s="20">
        <v>6</v>
      </c>
      <c r="P1483" s="20">
        <v>450</v>
      </c>
      <c r="Q1483" s="20">
        <v>1088.7843709306692</v>
      </c>
      <c r="R1483" s="21">
        <v>0.91</v>
      </c>
      <c r="S1483" s="20">
        <v>1088.7843709306692</v>
      </c>
    </row>
    <row r="1484" spans="2:19" ht="15" customHeight="1" x14ac:dyDescent="0.25">
      <c r="B1484" s="2" t="str">
        <f t="shared" si="46"/>
        <v>PGL_Business_C&amp;I_Rebates_Pipe Insulation_HW Small 1" to 2"_MF/CI/SMB</v>
      </c>
      <c r="C1484" s="2" t="str">
        <f t="shared" si="47"/>
        <v>PGL_Business_C&amp;I_Rebates_Pipe Insulation_HW Small 1" to 2"_MF/CI/SMB_2025</v>
      </c>
      <c r="D1484" s="19" t="s">
        <v>1794</v>
      </c>
      <c r="E1484" s="19" t="s">
        <v>3</v>
      </c>
      <c r="F1484" s="19" t="s">
        <v>1427</v>
      </c>
      <c r="G1484" s="19" t="s">
        <v>1429</v>
      </c>
      <c r="H1484" s="19" t="s">
        <v>404</v>
      </c>
      <c r="I1484" s="19" t="s">
        <v>953</v>
      </c>
      <c r="J1484" s="19">
        <v>0</v>
      </c>
      <c r="K1484" s="19" t="s">
        <v>662</v>
      </c>
      <c r="L1484" s="19">
        <v>2025</v>
      </c>
      <c r="M1484" s="20">
        <v>75</v>
      </c>
      <c r="N1484" s="19" t="s">
        <v>616</v>
      </c>
      <c r="O1484" s="20">
        <v>4</v>
      </c>
      <c r="P1484" s="20">
        <v>300</v>
      </c>
      <c r="Q1484" s="20">
        <v>725.85624728711275</v>
      </c>
      <c r="R1484" s="21">
        <v>0.91</v>
      </c>
      <c r="S1484" s="20">
        <v>725.85624728711275</v>
      </c>
    </row>
    <row r="1485" spans="2:19" ht="15" customHeight="1" x14ac:dyDescent="0.25">
      <c r="B1485" s="2" t="str">
        <f t="shared" si="46"/>
        <v>PGL_Business_C&amp;I_Rebates_Pipe Insulation_HW Medium 2.1" to 4"_MF/CI/SMB</v>
      </c>
      <c r="C1485" s="2" t="str">
        <f t="shared" si="47"/>
        <v>PGL_Business_C&amp;I_Rebates_Pipe Insulation_HW Medium 2.1" to 4"_MF/CI/SMB_2022</v>
      </c>
      <c r="D1485" s="19" t="s">
        <v>1794</v>
      </c>
      <c r="E1485" s="19" t="s">
        <v>3</v>
      </c>
      <c r="F1485" s="19" t="s">
        <v>1427</v>
      </c>
      <c r="G1485" s="19" t="s">
        <v>1429</v>
      </c>
      <c r="H1485" s="19" t="s">
        <v>404</v>
      </c>
      <c r="I1485" s="19" t="s">
        <v>954</v>
      </c>
      <c r="J1485" s="19">
        <v>0</v>
      </c>
      <c r="K1485" s="19" t="s">
        <v>662</v>
      </c>
      <c r="L1485" s="19">
        <v>2022</v>
      </c>
      <c r="M1485" s="20">
        <v>75</v>
      </c>
      <c r="N1485" s="19" t="s">
        <v>616</v>
      </c>
      <c r="O1485" s="20">
        <v>10</v>
      </c>
      <c r="P1485" s="20">
        <v>750</v>
      </c>
      <c r="Q1485" s="20">
        <v>3582.5811494493946</v>
      </c>
      <c r="R1485" s="21">
        <v>0.91</v>
      </c>
      <c r="S1485" s="20">
        <v>3582.5811494493946</v>
      </c>
    </row>
    <row r="1486" spans="2:19" ht="15" customHeight="1" x14ac:dyDescent="0.25">
      <c r="B1486" s="2" t="str">
        <f t="shared" si="46"/>
        <v>PGL_Business_C&amp;I_Rebates_Pipe Insulation_HW Medium 2.1" to 4"_MF/CI/SMB</v>
      </c>
      <c r="C1486" s="2" t="str">
        <f t="shared" si="47"/>
        <v>PGL_Business_C&amp;I_Rebates_Pipe Insulation_HW Medium 2.1" to 4"_MF/CI/SMB_2023</v>
      </c>
      <c r="D1486" s="19" t="s">
        <v>1794</v>
      </c>
      <c r="E1486" s="19" t="s">
        <v>3</v>
      </c>
      <c r="F1486" s="19" t="s">
        <v>1427</v>
      </c>
      <c r="G1486" s="19" t="s">
        <v>1429</v>
      </c>
      <c r="H1486" s="19" t="s">
        <v>404</v>
      </c>
      <c r="I1486" s="19" t="s">
        <v>954</v>
      </c>
      <c r="J1486" s="19">
        <v>0</v>
      </c>
      <c r="K1486" s="19" t="s">
        <v>662</v>
      </c>
      <c r="L1486" s="19">
        <v>2023</v>
      </c>
      <c r="M1486" s="20">
        <v>75</v>
      </c>
      <c r="N1486" s="19" t="s">
        <v>616</v>
      </c>
      <c r="O1486" s="20">
        <v>9</v>
      </c>
      <c r="P1486" s="20">
        <v>675</v>
      </c>
      <c r="Q1486" s="20">
        <v>3224.3230345044549</v>
      </c>
      <c r="R1486" s="21">
        <v>0.91</v>
      </c>
      <c r="S1486" s="20">
        <v>3224.3230345044549</v>
      </c>
    </row>
    <row r="1487" spans="2:19" ht="15" customHeight="1" x14ac:dyDescent="0.25">
      <c r="B1487" s="2" t="str">
        <f t="shared" si="46"/>
        <v>PGL_Business_C&amp;I_Rebates_Pipe Insulation_HW Medium 2.1" to 4"_MF/CI/SMB</v>
      </c>
      <c r="C1487" s="2" t="str">
        <f t="shared" si="47"/>
        <v>PGL_Business_C&amp;I_Rebates_Pipe Insulation_HW Medium 2.1" to 4"_MF/CI/SMB_2024</v>
      </c>
      <c r="D1487" s="19" t="s">
        <v>1794</v>
      </c>
      <c r="E1487" s="19" t="s">
        <v>3</v>
      </c>
      <c r="F1487" s="19" t="s">
        <v>1427</v>
      </c>
      <c r="G1487" s="19" t="s">
        <v>1429</v>
      </c>
      <c r="H1487" s="19" t="s">
        <v>404</v>
      </c>
      <c r="I1487" s="19" t="s">
        <v>954</v>
      </c>
      <c r="J1487" s="19">
        <v>0</v>
      </c>
      <c r="K1487" s="19" t="s">
        <v>662</v>
      </c>
      <c r="L1487" s="19">
        <v>2024</v>
      </c>
      <c r="M1487" s="20">
        <v>75</v>
      </c>
      <c r="N1487" s="19" t="s">
        <v>616</v>
      </c>
      <c r="O1487" s="20">
        <v>7</v>
      </c>
      <c r="P1487" s="20">
        <v>525</v>
      </c>
      <c r="Q1487" s="20">
        <v>2507.8068046145759</v>
      </c>
      <c r="R1487" s="21">
        <v>0.91</v>
      </c>
      <c r="S1487" s="20">
        <v>2507.8068046145759</v>
      </c>
    </row>
    <row r="1488" spans="2:19" ht="15" customHeight="1" x14ac:dyDescent="0.25">
      <c r="B1488" s="2" t="str">
        <f t="shared" si="46"/>
        <v>PGL_Business_C&amp;I_Rebates_Pipe Insulation_HW Medium 2.1" to 4"_MF/CI/SMB</v>
      </c>
      <c r="C1488" s="2" t="str">
        <f t="shared" si="47"/>
        <v>PGL_Business_C&amp;I_Rebates_Pipe Insulation_HW Medium 2.1" to 4"_MF/CI/SMB_2025</v>
      </c>
      <c r="D1488" s="19" t="s">
        <v>1794</v>
      </c>
      <c r="E1488" s="19" t="s">
        <v>3</v>
      </c>
      <c r="F1488" s="19" t="s">
        <v>1427</v>
      </c>
      <c r="G1488" s="19" t="s">
        <v>1429</v>
      </c>
      <c r="H1488" s="19" t="s">
        <v>404</v>
      </c>
      <c r="I1488" s="19" t="s">
        <v>954</v>
      </c>
      <c r="J1488" s="19">
        <v>0</v>
      </c>
      <c r="K1488" s="19" t="s">
        <v>662</v>
      </c>
      <c r="L1488" s="19">
        <v>2025</v>
      </c>
      <c r="M1488" s="20">
        <v>75</v>
      </c>
      <c r="N1488" s="19" t="s">
        <v>616</v>
      </c>
      <c r="O1488" s="20">
        <v>6</v>
      </c>
      <c r="P1488" s="20">
        <v>450</v>
      </c>
      <c r="Q1488" s="20">
        <v>2149.5486896696366</v>
      </c>
      <c r="R1488" s="21">
        <v>0.91</v>
      </c>
      <c r="S1488" s="20">
        <v>2149.5486896696366</v>
      </c>
    </row>
    <row r="1489" spans="2:19" ht="15" customHeight="1" x14ac:dyDescent="0.25">
      <c r="B1489" s="2" t="str">
        <f t="shared" si="46"/>
        <v>PGL_Business_C&amp;I_Rebates_Pipe Insulation_HW Large &gt;4"_MF/CI/SMB</v>
      </c>
      <c r="C1489" s="2" t="str">
        <f t="shared" si="47"/>
        <v>PGL_Business_C&amp;I_Rebates_Pipe Insulation_HW Large &gt;4"_MF/CI/SMB_2022</v>
      </c>
      <c r="D1489" s="19" t="s">
        <v>1794</v>
      </c>
      <c r="E1489" s="19" t="s">
        <v>3</v>
      </c>
      <c r="F1489" s="19" t="s">
        <v>1427</v>
      </c>
      <c r="G1489" s="19" t="s">
        <v>1429</v>
      </c>
      <c r="H1489" s="19" t="s">
        <v>404</v>
      </c>
      <c r="I1489" s="19" t="s">
        <v>955</v>
      </c>
      <c r="J1489" s="19">
        <v>0</v>
      </c>
      <c r="K1489" s="19" t="s">
        <v>662</v>
      </c>
      <c r="L1489" s="19">
        <v>2022</v>
      </c>
      <c r="M1489" s="20">
        <v>75</v>
      </c>
      <c r="N1489" s="19" t="s">
        <v>616</v>
      </c>
      <c r="O1489" s="20">
        <v>13</v>
      </c>
      <c r="P1489" s="20">
        <v>975</v>
      </c>
      <c r="Q1489" s="20">
        <v>8021.4154710472485</v>
      </c>
      <c r="R1489" s="21">
        <v>0.91</v>
      </c>
      <c r="S1489" s="20">
        <v>8021.4154710472485</v>
      </c>
    </row>
    <row r="1490" spans="2:19" ht="15" customHeight="1" x14ac:dyDescent="0.25">
      <c r="B1490" s="2" t="str">
        <f t="shared" si="46"/>
        <v>PGL_Business_C&amp;I_Rebates_Pipe Insulation_HW Large &gt;4"_MF/CI/SMB</v>
      </c>
      <c r="C1490" s="2" t="str">
        <f t="shared" si="47"/>
        <v>PGL_Business_C&amp;I_Rebates_Pipe Insulation_HW Large &gt;4"_MF/CI/SMB_2023</v>
      </c>
      <c r="D1490" s="19" t="s">
        <v>1794</v>
      </c>
      <c r="E1490" s="19" t="s">
        <v>3</v>
      </c>
      <c r="F1490" s="19" t="s">
        <v>1427</v>
      </c>
      <c r="G1490" s="19" t="s">
        <v>1429</v>
      </c>
      <c r="H1490" s="19" t="s">
        <v>404</v>
      </c>
      <c r="I1490" s="19" t="s">
        <v>955</v>
      </c>
      <c r="J1490" s="19">
        <v>0</v>
      </c>
      <c r="K1490" s="19" t="s">
        <v>662</v>
      </c>
      <c r="L1490" s="19">
        <v>2023</v>
      </c>
      <c r="M1490" s="20">
        <v>75</v>
      </c>
      <c r="N1490" s="19" t="s">
        <v>616</v>
      </c>
      <c r="O1490" s="20">
        <v>12</v>
      </c>
      <c r="P1490" s="20">
        <v>900</v>
      </c>
      <c r="Q1490" s="20">
        <v>7404.3835117359204</v>
      </c>
      <c r="R1490" s="21">
        <v>0.91</v>
      </c>
      <c r="S1490" s="20">
        <v>7404.3835117359204</v>
      </c>
    </row>
    <row r="1491" spans="2:19" ht="15" customHeight="1" x14ac:dyDescent="0.25">
      <c r="B1491" s="2" t="str">
        <f t="shared" si="46"/>
        <v>PGL_Business_C&amp;I_Rebates_Pipe Insulation_HW Large &gt;4"_MF/CI/SMB</v>
      </c>
      <c r="C1491" s="2" t="str">
        <f t="shared" si="47"/>
        <v>PGL_Business_C&amp;I_Rebates_Pipe Insulation_HW Large &gt;4"_MF/CI/SMB_2024</v>
      </c>
      <c r="D1491" s="19" t="s">
        <v>1794</v>
      </c>
      <c r="E1491" s="19" t="s">
        <v>3</v>
      </c>
      <c r="F1491" s="19" t="s">
        <v>1427</v>
      </c>
      <c r="G1491" s="19" t="s">
        <v>1429</v>
      </c>
      <c r="H1491" s="19" t="s">
        <v>404</v>
      </c>
      <c r="I1491" s="19" t="s">
        <v>955</v>
      </c>
      <c r="J1491" s="19">
        <v>0</v>
      </c>
      <c r="K1491" s="19" t="s">
        <v>662</v>
      </c>
      <c r="L1491" s="19">
        <v>2024</v>
      </c>
      <c r="M1491" s="20">
        <v>75</v>
      </c>
      <c r="N1491" s="19" t="s">
        <v>616</v>
      </c>
      <c r="O1491" s="20">
        <v>10</v>
      </c>
      <c r="P1491" s="20">
        <v>750</v>
      </c>
      <c r="Q1491" s="20">
        <v>6170.3195931132677</v>
      </c>
      <c r="R1491" s="21">
        <v>0.91</v>
      </c>
      <c r="S1491" s="20">
        <v>6170.3195931132677</v>
      </c>
    </row>
    <row r="1492" spans="2:19" ht="15" customHeight="1" x14ac:dyDescent="0.25">
      <c r="B1492" s="2" t="str">
        <f t="shared" si="46"/>
        <v>PGL_Business_C&amp;I_Rebates_Pipe Insulation_HW Large &gt;4"_MF/CI/SMB</v>
      </c>
      <c r="C1492" s="2" t="str">
        <f t="shared" si="47"/>
        <v>PGL_Business_C&amp;I_Rebates_Pipe Insulation_HW Large &gt;4"_MF/CI/SMB_2025</v>
      </c>
      <c r="D1492" s="19" t="s">
        <v>1794</v>
      </c>
      <c r="E1492" s="19" t="s">
        <v>3</v>
      </c>
      <c r="F1492" s="19" t="s">
        <v>1427</v>
      </c>
      <c r="G1492" s="19" t="s">
        <v>1429</v>
      </c>
      <c r="H1492" s="19" t="s">
        <v>404</v>
      </c>
      <c r="I1492" s="19" t="s">
        <v>955</v>
      </c>
      <c r="J1492" s="19">
        <v>0</v>
      </c>
      <c r="K1492" s="19" t="s">
        <v>662</v>
      </c>
      <c r="L1492" s="19">
        <v>2025</v>
      </c>
      <c r="M1492" s="20">
        <v>75</v>
      </c>
      <c r="N1492" s="19" t="s">
        <v>616</v>
      </c>
      <c r="O1492" s="20">
        <v>8</v>
      </c>
      <c r="P1492" s="20">
        <v>600</v>
      </c>
      <c r="Q1492" s="20">
        <v>4936.2556744906142</v>
      </c>
      <c r="R1492" s="21">
        <v>0.91</v>
      </c>
      <c r="S1492" s="20">
        <v>4936.2556744906142</v>
      </c>
    </row>
    <row r="1493" spans="2:19" ht="15" customHeight="1" x14ac:dyDescent="0.25">
      <c r="B1493" s="2" t="str">
        <f t="shared" si="46"/>
        <v>PGL_Business_C&amp;I_Rebates_Pipe Insulation_Steam - Small 1" to 2"_CI</v>
      </c>
      <c r="C1493" s="2" t="str">
        <f t="shared" si="47"/>
        <v>PGL_Business_C&amp;I_Rebates_Pipe Insulation_Steam - Small 1" to 2"_CI_2022</v>
      </c>
      <c r="D1493" s="19" t="s">
        <v>1794</v>
      </c>
      <c r="E1493" s="19" t="s">
        <v>3</v>
      </c>
      <c r="F1493" s="19" t="s">
        <v>1427</v>
      </c>
      <c r="G1493" s="19" t="s">
        <v>1429</v>
      </c>
      <c r="H1493" s="19" t="s">
        <v>404</v>
      </c>
      <c r="I1493" s="19" t="s">
        <v>956</v>
      </c>
      <c r="J1493" s="19">
        <v>0</v>
      </c>
      <c r="K1493" s="19" t="s">
        <v>1159</v>
      </c>
      <c r="L1493" s="19">
        <v>2022</v>
      </c>
      <c r="M1493" s="20">
        <v>75</v>
      </c>
      <c r="N1493" s="19" t="s">
        <v>616</v>
      </c>
      <c r="O1493" s="20">
        <v>0</v>
      </c>
      <c r="P1493" s="20">
        <v>0</v>
      </c>
      <c r="Q1493" s="20">
        <v>0</v>
      </c>
      <c r="R1493" s="21">
        <v>0.91</v>
      </c>
      <c r="S1493" s="20">
        <v>0</v>
      </c>
    </row>
    <row r="1494" spans="2:19" ht="15" customHeight="1" x14ac:dyDescent="0.25">
      <c r="B1494" s="2" t="str">
        <f t="shared" si="46"/>
        <v>PGL_Business_C&amp;I_Rebates_Pipe Insulation_Steam - Small 1" to 2"_CI</v>
      </c>
      <c r="C1494" s="2" t="str">
        <f t="shared" si="47"/>
        <v>PGL_Business_C&amp;I_Rebates_Pipe Insulation_Steam - Small 1" to 2"_CI_2023</v>
      </c>
      <c r="D1494" s="19" t="s">
        <v>1794</v>
      </c>
      <c r="E1494" s="19" t="s">
        <v>3</v>
      </c>
      <c r="F1494" s="19" t="s">
        <v>1427</v>
      </c>
      <c r="G1494" s="19" t="s">
        <v>1429</v>
      </c>
      <c r="H1494" s="19" t="s">
        <v>404</v>
      </c>
      <c r="I1494" s="19" t="s">
        <v>956</v>
      </c>
      <c r="J1494" s="19">
        <v>0</v>
      </c>
      <c r="K1494" s="19" t="s">
        <v>1159</v>
      </c>
      <c r="L1494" s="19">
        <v>2023</v>
      </c>
      <c r="M1494" s="20">
        <v>75</v>
      </c>
      <c r="N1494" s="19" t="s">
        <v>616</v>
      </c>
      <c r="O1494" s="20">
        <v>0</v>
      </c>
      <c r="P1494" s="20">
        <v>0</v>
      </c>
      <c r="Q1494" s="20">
        <v>0</v>
      </c>
      <c r="R1494" s="21">
        <v>0.91</v>
      </c>
      <c r="S1494" s="20">
        <v>0</v>
      </c>
    </row>
    <row r="1495" spans="2:19" ht="15" customHeight="1" x14ac:dyDescent="0.25">
      <c r="B1495" s="2" t="str">
        <f t="shared" si="46"/>
        <v>PGL_Business_C&amp;I_Rebates_Pipe Insulation_Steam - Small 1" to 2"_CI</v>
      </c>
      <c r="C1495" s="2" t="str">
        <f t="shared" si="47"/>
        <v>PGL_Business_C&amp;I_Rebates_Pipe Insulation_Steam - Small 1" to 2"_CI_2024</v>
      </c>
      <c r="D1495" s="19" t="s">
        <v>1794</v>
      </c>
      <c r="E1495" s="19" t="s">
        <v>3</v>
      </c>
      <c r="F1495" s="19" t="s">
        <v>1427</v>
      </c>
      <c r="G1495" s="19" t="s">
        <v>1429</v>
      </c>
      <c r="H1495" s="19" t="s">
        <v>404</v>
      </c>
      <c r="I1495" s="19" t="s">
        <v>956</v>
      </c>
      <c r="J1495" s="19">
        <v>0</v>
      </c>
      <c r="K1495" s="19" t="s">
        <v>1159</v>
      </c>
      <c r="L1495" s="19">
        <v>2024</v>
      </c>
      <c r="M1495" s="20">
        <v>75</v>
      </c>
      <c r="N1495" s="19" t="s">
        <v>616</v>
      </c>
      <c r="O1495" s="20">
        <v>0</v>
      </c>
      <c r="P1495" s="20">
        <v>0</v>
      </c>
      <c r="Q1495" s="20">
        <v>0</v>
      </c>
      <c r="R1495" s="21">
        <v>0.91</v>
      </c>
      <c r="S1495" s="20">
        <v>0</v>
      </c>
    </row>
    <row r="1496" spans="2:19" ht="15" customHeight="1" x14ac:dyDescent="0.25">
      <c r="B1496" s="2" t="str">
        <f t="shared" si="46"/>
        <v>PGL_Business_C&amp;I_Rebates_Pipe Insulation_Steam - Small 1" to 2"_CI</v>
      </c>
      <c r="C1496" s="2" t="str">
        <f t="shared" si="47"/>
        <v>PGL_Business_C&amp;I_Rebates_Pipe Insulation_Steam - Small 1" to 2"_CI_2025</v>
      </c>
      <c r="D1496" s="19" t="s">
        <v>1794</v>
      </c>
      <c r="E1496" s="19" t="s">
        <v>3</v>
      </c>
      <c r="F1496" s="19" t="s">
        <v>1427</v>
      </c>
      <c r="G1496" s="19" t="s">
        <v>1429</v>
      </c>
      <c r="H1496" s="19" t="s">
        <v>404</v>
      </c>
      <c r="I1496" s="19" t="s">
        <v>956</v>
      </c>
      <c r="J1496" s="19">
        <v>0</v>
      </c>
      <c r="K1496" s="19" t="s">
        <v>1159</v>
      </c>
      <c r="L1496" s="19">
        <v>2025</v>
      </c>
      <c r="M1496" s="20">
        <v>75</v>
      </c>
      <c r="N1496" s="19" t="s">
        <v>616</v>
      </c>
      <c r="O1496" s="20">
        <v>0</v>
      </c>
      <c r="P1496" s="20">
        <v>0</v>
      </c>
      <c r="Q1496" s="20">
        <v>0</v>
      </c>
      <c r="R1496" s="21">
        <v>0.91</v>
      </c>
      <c r="S1496" s="20">
        <v>0</v>
      </c>
    </row>
    <row r="1497" spans="2:19" ht="15" customHeight="1" x14ac:dyDescent="0.25">
      <c r="B1497" s="2" t="str">
        <f t="shared" si="46"/>
        <v>PGL_Business_C&amp;I_Rebates_Pipe Insulation_Steam - Med 2.1" to 5"_CI</v>
      </c>
      <c r="C1497" s="2" t="str">
        <f t="shared" si="47"/>
        <v>PGL_Business_C&amp;I_Rebates_Pipe Insulation_Steam - Med 2.1" to 5"_CI_2022</v>
      </c>
      <c r="D1497" s="19" t="s">
        <v>1794</v>
      </c>
      <c r="E1497" s="19" t="s">
        <v>3</v>
      </c>
      <c r="F1497" s="19" t="s">
        <v>1427</v>
      </c>
      <c r="G1497" s="19" t="s">
        <v>1429</v>
      </c>
      <c r="H1497" s="19" t="s">
        <v>404</v>
      </c>
      <c r="I1497" s="19" t="s">
        <v>957</v>
      </c>
      <c r="J1497" s="19">
        <v>0</v>
      </c>
      <c r="K1497" s="19" t="s">
        <v>1159</v>
      </c>
      <c r="L1497" s="19">
        <v>2022</v>
      </c>
      <c r="M1497" s="20">
        <v>75</v>
      </c>
      <c r="N1497" s="19" t="s">
        <v>616</v>
      </c>
      <c r="O1497" s="20">
        <v>10</v>
      </c>
      <c r="P1497" s="20">
        <v>750</v>
      </c>
      <c r="Q1497" s="20">
        <v>8743.5389526357849</v>
      </c>
      <c r="R1497" s="21">
        <v>0.91</v>
      </c>
      <c r="S1497" s="20">
        <v>8743.5389526357849</v>
      </c>
    </row>
    <row r="1498" spans="2:19" ht="15" customHeight="1" x14ac:dyDescent="0.25">
      <c r="B1498" s="2" t="str">
        <f t="shared" si="46"/>
        <v>PGL_Business_C&amp;I_Rebates_Pipe Insulation_Steam - Med 2.1" to 5"_CI</v>
      </c>
      <c r="C1498" s="2" t="str">
        <f t="shared" si="47"/>
        <v>PGL_Business_C&amp;I_Rebates_Pipe Insulation_Steam - Med 2.1" to 5"_CI_2023</v>
      </c>
      <c r="D1498" s="19" t="s">
        <v>1794</v>
      </c>
      <c r="E1498" s="19" t="s">
        <v>3</v>
      </c>
      <c r="F1498" s="19" t="s">
        <v>1427</v>
      </c>
      <c r="G1498" s="19" t="s">
        <v>1429</v>
      </c>
      <c r="H1498" s="19" t="s">
        <v>404</v>
      </c>
      <c r="I1498" s="19" t="s">
        <v>957</v>
      </c>
      <c r="J1498" s="19">
        <v>0</v>
      </c>
      <c r="K1498" s="19" t="s">
        <v>1159</v>
      </c>
      <c r="L1498" s="19">
        <v>2023</v>
      </c>
      <c r="M1498" s="20">
        <v>75</v>
      </c>
      <c r="N1498" s="19" t="s">
        <v>616</v>
      </c>
      <c r="O1498" s="20">
        <v>9</v>
      </c>
      <c r="P1498" s="20">
        <v>675</v>
      </c>
      <c r="Q1498" s="20">
        <v>7869.1850573722049</v>
      </c>
      <c r="R1498" s="21">
        <v>0.91</v>
      </c>
      <c r="S1498" s="20">
        <v>7869.1850573722049</v>
      </c>
    </row>
    <row r="1499" spans="2:19" ht="15" customHeight="1" x14ac:dyDescent="0.25">
      <c r="B1499" s="2" t="str">
        <f t="shared" si="46"/>
        <v>PGL_Business_C&amp;I_Rebates_Pipe Insulation_Steam - Med 2.1" to 5"_CI</v>
      </c>
      <c r="C1499" s="2" t="str">
        <f t="shared" si="47"/>
        <v>PGL_Business_C&amp;I_Rebates_Pipe Insulation_Steam - Med 2.1" to 5"_CI_2024</v>
      </c>
      <c r="D1499" s="19" t="s">
        <v>1794</v>
      </c>
      <c r="E1499" s="19" t="s">
        <v>3</v>
      </c>
      <c r="F1499" s="19" t="s">
        <v>1427</v>
      </c>
      <c r="G1499" s="19" t="s">
        <v>1429</v>
      </c>
      <c r="H1499" s="19" t="s">
        <v>404</v>
      </c>
      <c r="I1499" s="19" t="s">
        <v>957</v>
      </c>
      <c r="J1499" s="19">
        <v>0</v>
      </c>
      <c r="K1499" s="19" t="s">
        <v>1159</v>
      </c>
      <c r="L1499" s="19">
        <v>2024</v>
      </c>
      <c r="M1499" s="20">
        <v>75</v>
      </c>
      <c r="N1499" s="19" t="s">
        <v>616</v>
      </c>
      <c r="O1499" s="20">
        <v>7</v>
      </c>
      <c r="P1499" s="20">
        <v>525</v>
      </c>
      <c r="Q1499" s="20">
        <v>6120.4772668450487</v>
      </c>
      <c r="R1499" s="21">
        <v>0.91</v>
      </c>
      <c r="S1499" s="20">
        <v>6120.4772668450487</v>
      </c>
    </row>
    <row r="1500" spans="2:19" ht="15" customHeight="1" x14ac:dyDescent="0.25">
      <c r="B1500" s="2" t="str">
        <f t="shared" si="46"/>
        <v>PGL_Business_C&amp;I_Rebates_Pipe Insulation_Steam - Med 2.1" to 5"_CI</v>
      </c>
      <c r="C1500" s="2" t="str">
        <f t="shared" si="47"/>
        <v>PGL_Business_C&amp;I_Rebates_Pipe Insulation_Steam - Med 2.1" to 5"_CI_2025</v>
      </c>
      <c r="D1500" s="19" t="s">
        <v>1794</v>
      </c>
      <c r="E1500" s="19" t="s">
        <v>3</v>
      </c>
      <c r="F1500" s="19" t="s">
        <v>1427</v>
      </c>
      <c r="G1500" s="19" t="s">
        <v>1429</v>
      </c>
      <c r="H1500" s="19" t="s">
        <v>404</v>
      </c>
      <c r="I1500" s="19" t="s">
        <v>957</v>
      </c>
      <c r="J1500" s="19">
        <v>0</v>
      </c>
      <c r="K1500" s="19" t="s">
        <v>1159</v>
      </c>
      <c r="L1500" s="19">
        <v>2025</v>
      </c>
      <c r="M1500" s="20">
        <v>75</v>
      </c>
      <c r="N1500" s="19" t="s">
        <v>616</v>
      </c>
      <c r="O1500" s="20">
        <v>6</v>
      </c>
      <c r="P1500" s="20">
        <v>450</v>
      </c>
      <c r="Q1500" s="20">
        <v>5246.1233715814697</v>
      </c>
      <c r="R1500" s="21">
        <v>0.91</v>
      </c>
      <c r="S1500" s="20">
        <v>5246.1233715814697</v>
      </c>
    </row>
    <row r="1501" spans="2:19" ht="15" customHeight="1" x14ac:dyDescent="0.25">
      <c r="B1501" s="2" t="str">
        <f t="shared" si="46"/>
        <v>PGL_Business_C&amp;I_Rebates_Pipe Insulation_Steam - Large 5.1" to 8"_CI</v>
      </c>
      <c r="C1501" s="2" t="str">
        <f t="shared" si="47"/>
        <v>PGL_Business_C&amp;I_Rebates_Pipe Insulation_Steam - Large 5.1" to 8"_CI_2022</v>
      </c>
      <c r="D1501" s="19" t="s">
        <v>1794</v>
      </c>
      <c r="E1501" s="19" t="s">
        <v>3</v>
      </c>
      <c r="F1501" s="19" t="s">
        <v>1427</v>
      </c>
      <c r="G1501" s="19" t="s">
        <v>1429</v>
      </c>
      <c r="H1501" s="19" t="s">
        <v>404</v>
      </c>
      <c r="I1501" s="19" t="s">
        <v>958</v>
      </c>
      <c r="J1501" s="19">
        <v>0</v>
      </c>
      <c r="K1501" s="19" t="s">
        <v>1159</v>
      </c>
      <c r="L1501" s="19">
        <v>2022</v>
      </c>
      <c r="M1501" s="20">
        <v>75</v>
      </c>
      <c r="N1501" s="19" t="s">
        <v>616</v>
      </c>
      <c r="O1501" s="20">
        <v>8</v>
      </c>
      <c r="P1501" s="20">
        <v>600</v>
      </c>
      <c r="Q1501" s="20">
        <v>13649.87092577528</v>
      </c>
      <c r="R1501" s="21">
        <v>0.91</v>
      </c>
      <c r="S1501" s="20">
        <v>13649.87092577528</v>
      </c>
    </row>
    <row r="1502" spans="2:19" ht="15" customHeight="1" x14ac:dyDescent="0.25">
      <c r="B1502" s="2" t="str">
        <f t="shared" si="46"/>
        <v>PGL_Business_C&amp;I_Rebates_Pipe Insulation_Steam - Large 5.1" to 8"_CI</v>
      </c>
      <c r="C1502" s="2" t="str">
        <f t="shared" si="47"/>
        <v>PGL_Business_C&amp;I_Rebates_Pipe Insulation_Steam - Large 5.1" to 8"_CI_2023</v>
      </c>
      <c r="D1502" s="19" t="s">
        <v>1794</v>
      </c>
      <c r="E1502" s="19" t="s">
        <v>3</v>
      </c>
      <c r="F1502" s="19" t="s">
        <v>1427</v>
      </c>
      <c r="G1502" s="19" t="s">
        <v>1429</v>
      </c>
      <c r="H1502" s="19" t="s">
        <v>404</v>
      </c>
      <c r="I1502" s="19" t="s">
        <v>958</v>
      </c>
      <c r="J1502" s="19">
        <v>0</v>
      </c>
      <c r="K1502" s="19" t="s">
        <v>1159</v>
      </c>
      <c r="L1502" s="19">
        <v>2023</v>
      </c>
      <c r="M1502" s="20">
        <v>75</v>
      </c>
      <c r="N1502" s="19" t="s">
        <v>616</v>
      </c>
      <c r="O1502" s="20">
        <v>7</v>
      </c>
      <c r="P1502" s="20">
        <v>525</v>
      </c>
      <c r="Q1502" s="20">
        <v>11943.63706005337</v>
      </c>
      <c r="R1502" s="21">
        <v>0.91</v>
      </c>
      <c r="S1502" s="20">
        <v>11943.63706005337</v>
      </c>
    </row>
    <row r="1503" spans="2:19" ht="15" customHeight="1" x14ac:dyDescent="0.25">
      <c r="B1503" s="2" t="str">
        <f t="shared" si="46"/>
        <v>PGL_Business_C&amp;I_Rebates_Pipe Insulation_Steam - Large 5.1" to 8"_CI</v>
      </c>
      <c r="C1503" s="2" t="str">
        <f t="shared" si="47"/>
        <v>PGL_Business_C&amp;I_Rebates_Pipe Insulation_Steam - Large 5.1" to 8"_CI_2024</v>
      </c>
      <c r="D1503" s="19" t="s">
        <v>1794</v>
      </c>
      <c r="E1503" s="19" t="s">
        <v>3</v>
      </c>
      <c r="F1503" s="19" t="s">
        <v>1427</v>
      </c>
      <c r="G1503" s="19" t="s">
        <v>1429</v>
      </c>
      <c r="H1503" s="19" t="s">
        <v>404</v>
      </c>
      <c r="I1503" s="19" t="s">
        <v>958</v>
      </c>
      <c r="J1503" s="19">
        <v>0</v>
      </c>
      <c r="K1503" s="19" t="s">
        <v>1159</v>
      </c>
      <c r="L1503" s="19">
        <v>2024</v>
      </c>
      <c r="M1503" s="20">
        <v>75</v>
      </c>
      <c r="N1503" s="19" t="s">
        <v>616</v>
      </c>
      <c r="O1503" s="20">
        <v>6</v>
      </c>
      <c r="P1503" s="20">
        <v>450</v>
      </c>
      <c r="Q1503" s="20">
        <v>10237.40319433146</v>
      </c>
      <c r="R1503" s="21">
        <v>0.91</v>
      </c>
      <c r="S1503" s="20">
        <v>10237.40319433146</v>
      </c>
    </row>
    <row r="1504" spans="2:19" ht="15" customHeight="1" x14ac:dyDescent="0.25">
      <c r="B1504" s="2" t="str">
        <f t="shared" si="46"/>
        <v>PGL_Business_C&amp;I_Rebates_Pipe Insulation_Steam - Large 5.1" to 8"_CI</v>
      </c>
      <c r="C1504" s="2" t="str">
        <f t="shared" si="47"/>
        <v>PGL_Business_C&amp;I_Rebates_Pipe Insulation_Steam - Large 5.1" to 8"_CI_2025</v>
      </c>
      <c r="D1504" s="19" t="s">
        <v>1794</v>
      </c>
      <c r="E1504" s="19" t="s">
        <v>3</v>
      </c>
      <c r="F1504" s="19" t="s">
        <v>1427</v>
      </c>
      <c r="G1504" s="19" t="s">
        <v>1429</v>
      </c>
      <c r="H1504" s="19" t="s">
        <v>404</v>
      </c>
      <c r="I1504" s="19" t="s">
        <v>958</v>
      </c>
      <c r="J1504" s="19">
        <v>0</v>
      </c>
      <c r="K1504" s="19" t="s">
        <v>1159</v>
      </c>
      <c r="L1504" s="19">
        <v>2025</v>
      </c>
      <c r="M1504" s="20">
        <v>75</v>
      </c>
      <c r="N1504" s="19" t="s">
        <v>616</v>
      </c>
      <c r="O1504" s="20">
        <v>4</v>
      </c>
      <c r="P1504" s="20">
        <v>300</v>
      </c>
      <c r="Q1504" s="20">
        <v>6824.9354628876399</v>
      </c>
      <c r="R1504" s="21">
        <v>0.91</v>
      </c>
      <c r="S1504" s="20">
        <v>6824.9354628876399</v>
      </c>
    </row>
    <row r="1505" spans="2:19" ht="15" customHeight="1" x14ac:dyDescent="0.25">
      <c r="B1505" s="2" t="str">
        <f t="shared" si="46"/>
        <v>PGL_Business_C&amp;I_Rebates_Pipe Insulation_Steam - X-Large &gt;8"_CI</v>
      </c>
      <c r="C1505" s="2" t="str">
        <f t="shared" si="47"/>
        <v>PGL_Business_C&amp;I_Rebates_Pipe Insulation_Steam - X-Large &gt;8"_CI_2022</v>
      </c>
      <c r="D1505" s="19" t="s">
        <v>1794</v>
      </c>
      <c r="E1505" s="19" t="s">
        <v>3</v>
      </c>
      <c r="F1505" s="19" t="s">
        <v>1427</v>
      </c>
      <c r="G1505" s="19" t="s">
        <v>1429</v>
      </c>
      <c r="H1505" s="19" t="s">
        <v>404</v>
      </c>
      <c r="I1505" s="19" t="s">
        <v>960</v>
      </c>
      <c r="J1505" s="19">
        <v>0</v>
      </c>
      <c r="K1505" s="19" t="s">
        <v>1159</v>
      </c>
      <c r="L1505" s="19">
        <v>2022</v>
      </c>
      <c r="M1505" s="20">
        <v>75</v>
      </c>
      <c r="N1505" s="19" t="s">
        <v>616</v>
      </c>
      <c r="O1505" s="20">
        <v>0</v>
      </c>
      <c r="P1505" s="20">
        <v>0</v>
      </c>
      <c r="Q1505" s="20">
        <v>0</v>
      </c>
      <c r="R1505" s="21">
        <v>0.91</v>
      </c>
      <c r="S1505" s="20">
        <v>0</v>
      </c>
    </row>
    <row r="1506" spans="2:19" ht="15" customHeight="1" x14ac:dyDescent="0.25">
      <c r="B1506" s="2" t="str">
        <f t="shared" si="46"/>
        <v>PGL_Business_C&amp;I_Rebates_Pipe Insulation_Steam - X-Large &gt;8"_CI</v>
      </c>
      <c r="C1506" s="2" t="str">
        <f t="shared" si="47"/>
        <v>PGL_Business_C&amp;I_Rebates_Pipe Insulation_Steam - X-Large &gt;8"_CI_2023</v>
      </c>
      <c r="D1506" s="19" t="s">
        <v>1794</v>
      </c>
      <c r="E1506" s="19" t="s">
        <v>3</v>
      </c>
      <c r="F1506" s="19" t="s">
        <v>1427</v>
      </c>
      <c r="G1506" s="19" t="s">
        <v>1429</v>
      </c>
      <c r="H1506" s="19" t="s">
        <v>404</v>
      </c>
      <c r="I1506" s="19" t="s">
        <v>960</v>
      </c>
      <c r="J1506" s="19">
        <v>0</v>
      </c>
      <c r="K1506" s="19" t="s">
        <v>1159</v>
      </c>
      <c r="L1506" s="19">
        <v>2023</v>
      </c>
      <c r="M1506" s="20">
        <v>75</v>
      </c>
      <c r="N1506" s="19" t="s">
        <v>616</v>
      </c>
      <c r="O1506" s="20">
        <v>0</v>
      </c>
      <c r="P1506" s="20">
        <v>0</v>
      </c>
      <c r="Q1506" s="20">
        <v>0</v>
      </c>
      <c r="R1506" s="21">
        <v>0.91</v>
      </c>
      <c r="S1506" s="20">
        <v>0</v>
      </c>
    </row>
    <row r="1507" spans="2:19" ht="15" customHeight="1" x14ac:dyDescent="0.25">
      <c r="B1507" s="2" t="str">
        <f t="shared" si="46"/>
        <v>PGL_Business_C&amp;I_Rebates_Pipe Insulation_Steam - X-Large &gt;8"_CI</v>
      </c>
      <c r="C1507" s="2" t="str">
        <f t="shared" si="47"/>
        <v>PGL_Business_C&amp;I_Rebates_Pipe Insulation_Steam - X-Large &gt;8"_CI_2024</v>
      </c>
      <c r="D1507" s="19" t="s">
        <v>1794</v>
      </c>
      <c r="E1507" s="19" t="s">
        <v>3</v>
      </c>
      <c r="F1507" s="19" t="s">
        <v>1427</v>
      </c>
      <c r="G1507" s="19" t="s">
        <v>1429</v>
      </c>
      <c r="H1507" s="19" t="s">
        <v>404</v>
      </c>
      <c r="I1507" s="19" t="s">
        <v>960</v>
      </c>
      <c r="J1507" s="19">
        <v>0</v>
      </c>
      <c r="K1507" s="19" t="s">
        <v>1159</v>
      </c>
      <c r="L1507" s="19">
        <v>2024</v>
      </c>
      <c r="M1507" s="20">
        <v>75</v>
      </c>
      <c r="N1507" s="19" t="s">
        <v>616</v>
      </c>
      <c r="O1507" s="20">
        <v>0</v>
      </c>
      <c r="P1507" s="20">
        <v>0</v>
      </c>
      <c r="Q1507" s="20">
        <v>0</v>
      </c>
      <c r="R1507" s="21">
        <v>0.91</v>
      </c>
      <c r="S1507" s="20">
        <v>0</v>
      </c>
    </row>
    <row r="1508" spans="2:19" ht="15" customHeight="1" x14ac:dyDescent="0.25">
      <c r="B1508" s="2" t="str">
        <f t="shared" si="46"/>
        <v>PGL_Business_C&amp;I_Rebates_Pipe Insulation_Steam - X-Large &gt;8"_CI</v>
      </c>
      <c r="C1508" s="2" t="str">
        <f t="shared" si="47"/>
        <v>PGL_Business_C&amp;I_Rebates_Pipe Insulation_Steam - X-Large &gt;8"_CI_2025</v>
      </c>
      <c r="D1508" s="19" t="s">
        <v>1794</v>
      </c>
      <c r="E1508" s="19" t="s">
        <v>3</v>
      </c>
      <c r="F1508" s="19" t="s">
        <v>1427</v>
      </c>
      <c r="G1508" s="19" t="s">
        <v>1429</v>
      </c>
      <c r="H1508" s="19" t="s">
        <v>404</v>
      </c>
      <c r="I1508" s="19" t="s">
        <v>960</v>
      </c>
      <c r="J1508" s="19">
        <v>0</v>
      </c>
      <c r="K1508" s="19" t="s">
        <v>1159</v>
      </c>
      <c r="L1508" s="19">
        <v>2025</v>
      </c>
      <c r="M1508" s="20">
        <v>75</v>
      </c>
      <c r="N1508" s="19" t="s">
        <v>616</v>
      </c>
      <c r="O1508" s="20">
        <v>0</v>
      </c>
      <c r="P1508" s="20">
        <v>0</v>
      </c>
      <c r="Q1508" s="20">
        <v>0</v>
      </c>
      <c r="R1508" s="21">
        <v>0.91</v>
      </c>
      <c r="S1508" s="20">
        <v>0</v>
      </c>
    </row>
    <row r="1509" spans="2:19" ht="15" customHeight="1" x14ac:dyDescent="0.25">
      <c r="B1509" s="2" t="str">
        <f t="shared" si="46"/>
        <v>PGL_Business_C&amp;I_Rebates_Pipe Insulation_Steam Med Fitting_CI</v>
      </c>
      <c r="C1509" s="2" t="str">
        <f t="shared" si="47"/>
        <v>PGL_Business_C&amp;I_Rebates_Pipe Insulation_Steam Med Fitting_CI_2022</v>
      </c>
      <c r="D1509" s="19" t="s">
        <v>1794</v>
      </c>
      <c r="E1509" s="19" t="s">
        <v>3</v>
      </c>
      <c r="F1509" s="19" t="s">
        <v>1427</v>
      </c>
      <c r="G1509" s="19" t="s">
        <v>1429</v>
      </c>
      <c r="H1509" s="19" t="s">
        <v>404</v>
      </c>
      <c r="I1509" s="19" t="s">
        <v>962</v>
      </c>
      <c r="J1509" s="19">
        <v>0</v>
      </c>
      <c r="K1509" s="19" t="s">
        <v>1159</v>
      </c>
      <c r="L1509" s="19">
        <v>2022</v>
      </c>
      <c r="M1509" s="20">
        <v>1</v>
      </c>
      <c r="N1509" s="19" t="s">
        <v>1798</v>
      </c>
      <c r="O1509" s="20">
        <v>5</v>
      </c>
      <c r="P1509" s="20">
        <v>5</v>
      </c>
      <c r="Q1509" s="20">
        <v>73.562307721509058</v>
      </c>
      <c r="R1509" s="21">
        <v>0.91</v>
      </c>
      <c r="S1509" s="20">
        <v>73.562307721509058</v>
      </c>
    </row>
    <row r="1510" spans="2:19" ht="15" customHeight="1" x14ac:dyDescent="0.25">
      <c r="B1510" s="2" t="str">
        <f t="shared" si="46"/>
        <v>PGL_Business_C&amp;I_Rebates_Pipe Insulation_Steam Med Fitting_CI</v>
      </c>
      <c r="C1510" s="2" t="str">
        <f t="shared" si="47"/>
        <v>PGL_Business_C&amp;I_Rebates_Pipe Insulation_Steam Med Fitting_CI_2023</v>
      </c>
      <c r="D1510" s="19" t="s">
        <v>1794</v>
      </c>
      <c r="E1510" s="19" t="s">
        <v>3</v>
      </c>
      <c r="F1510" s="19" t="s">
        <v>1427</v>
      </c>
      <c r="G1510" s="19" t="s">
        <v>1429</v>
      </c>
      <c r="H1510" s="19" t="s">
        <v>404</v>
      </c>
      <c r="I1510" s="19" t="s">
        <v>962</v>
      </c>
      <c r="J1510" s="19">
        <v>0</v>
      </c>
      <c r="K1510" s="19" t="s">
        <v>1159</v>
      </c>
      <c r="L1510" s="19">
        <v>2023</v>
      </c>
      <c r="M1510" s="20">
        <v>1</v>
      </c>
      <c r="N1510" s="19" t="s">
        <v>1798</v>
      </c>
      <c r="O1510" s="20">
        <v>4</v>
      </c>
      <c r="P1510" s="20">
        <v>4</v>
      </c>
      <c r="Q1510" s="20">
        <v>58.849846177207247</v>
      </c>
      <c r="R1510" s="21">
        <v>0.91</v>
      </c>
      <c r="S1510" s="20">
        <v>58.849846177207247</v>
      </c>
    </row>
    <row r="1511" spans="2:19" ht="15" customHeight="1" x14ac:dyDescent="0.25">
      <c r="B1511" s="2" t="str">
        <f t="shared" si="46"/>
        <v>PGL_Business_C&amp;I_Rebates_Pipe Insulation_Steam Med Fitting_CI</v>
      </c>
      <c r="C1511" s="2" t="str">
        <f t="shared" si="47"/>
        <v>PGL_Business_C&amp;I_Rebates_Pipe Insulation_Steam Med Fitting_CI_2024</v>
      </c>
      <c r="D1511" s="19" t="s">
        <v>1794</v>
      </c>
      <c r="E1511" s="19" t="s">
        <v>3</v>
      </c>
      <c r="F1511" s="19" t="s">
        <v>1427</v>
      </c>
      <c r="G1511" s="19" t="s">
        <v>1429</v>
      </c>
      <c r="H1511" s="19" t="s">
        <v>404</v>
      </c>
      <c r="I1511" s="19" t="s">
        <v>962</v>
      </c>
      <c r="J1511" s="19">
        <v>0</v>
      </c>
      <c r="K1511" s="19" t="s">
        <v>1159</v>
      </c>
      <c r="L1511" s="19">
        <v>2024</v>
      </c>
      <c r="M1511" s="20">
        <v>1</v>
      </c>
      <c r="N1511" s="19" t="s">
        <v>1798</v>
      </c>
      <c r="O1511" s="20">
        <v>4</v>
      </c>
      <c r="P1511" s="20">
        <v>4</v>
      </c>
      <c r="Q1511" s="20">
        <v>58.849846177207247</v>
      </c>
      <c r="R1511" s="21">
        <v>0.91</v>
      </c>
      <c r="S1511" s="20">
        <v>58.849846177207247</v>
      </c>
    </row>
    <row r="1512" spans="2:19" ht="15" customHeight="1" x14ac:dyDescent="0.25">
      <c r="B1512" s="2" t="str">
        <f t="shared" si="46"/>
        <v>PGL_Business_C&amp;I_Rebates_Pipe Insulation_Steam Med Fitting_CI</v>
      </c>
      <c r="C1512" s="2" t="str">
        <f t="shared" si="47"/>
        <v>PGL_Business_C&amp;I_Rebates_Pipe Insulation_Steam Med Fitting_CI_2025</v>
      </c>
      <c r="D1512" s="19" t="s">
        <v>1794</v>
      </c>
      <c r="E1512" s="19" t="s">
        <v>3</v>
      </c>
      <c r="F1512" s="19" t="s">
        <v>1427</v>
      </c>
      <c r="G1512" s="19" t="s">
        <v>1429</v>
      </c>
      <c r="H1512" s="19" t="s">
        <v>404</v>
      </c>
      <c r="I1512" s="19" t="s">
        <v>962</v>
      </c>
      <c r="J1512" s="19">
        <v>0</v>
      </c>
      <c r="K1512" s="19" t="s">
        <v>1159</v>
      </c>
      <c r="L1512" s="19">
        <v>2025</v>
      </c>
      <c r="M1512" s="20">
        <v>1</v>
      </c>
      <c r="N1512" s="19" t="s">
        <v>1798</v>
      </c>
      <c r="O1512" s="20">
        <v>3</v>
      </c>
      <c r="P1512" s="20">
        <v>3</v>
      </c>
      <c r="Q1512" s="20">
        <v>44.137384632905444</v>
      </c>
      <c r="R1512" s="21">
        <v>0.91</v>
      </c>
      <c r="S1512" s="20">
        <v>44.137384632905444</v>
      </c>
    </row>
    <row r="1513" spans="2:19" ht="15" customHeight="1" x14ac:dyDescent="0.25">
      <c r="B1513" s="2" t="str">
        <f t="shared" si="46"/>
        <v>PGL_Business_C&amp;I_Rebates_Pipe Insulation_Steam Large Fitting_CI</v>
      </c>
      <c r="C1513" s="2" t="str">
        <f t="shared" si="47"/>
        <v>PGL_Business_C&amp;I_Rebates_Pipe Insulation_Steam Large Fitting_CI_2022</v>
      </c>
      <c r="D1513" s="19" t="s">
        <v>1794</v>
      </c>
      <c r="E1513" s="19" t="s">
        <v>3</v>
      </c>
      <c r="F1513" s="19" t="s">
        <v>1427</v>
      </c>
      <c r="G1513" s="19" t="s">
        <v>1429</v>
      </c>
      <c r="H1513" s="19" t="s">
        <v>404</v>
      </c>
      <c r="I1513" s="19" t="s">
        <v>963</v>
      </c>
      <c r="J1513" s="19">
        <v>0</v>
      </c>
      <c r="K1513" s="19" t="s">
        <v>1159</v>
      </c>
      <c r="L1513" s="19">
        <v>2022</v>
      </c>
      <c r="M1513" s="20">
        <v>1</v>
      </c>
      <c r="N1513" s="19" t="s">
        <v>1798</v>
      </c>
      <c r="O1513" s="20">
        <v>19</v>
      </c>
      <c r="P1513" s="20">
        <v>19</v>
      </c>
      <c r="Q1513" s="20">
        <v>710.3531707939369</v>
      </c>
      <c r="R1513" s="21">
        <v>0.91</v>
      </c>
      <c r="S1513" s="20">
        <v>710.3531707939369</v>
      </c>
    </row>
    <row r="1514" spans="2:19" ht="15" customHeight="1" x14ac:dyDescent="0.25">
      <c r="B1514" s="2" t="str">
        <f t="shared" si="46"/>
        <v>PGL_Business_C&amp;I_Rebates_Pipe Insulation_Steam Large Fitting_CI</v>
      </c>
      <c r="C1514" s="2" t="str">
        <f t="shared" si="47"/>
        <v>PGL_Business_C&amp;I_Rebates_Pipe Insulation_Steam Large Fitting_CI_2023</v>
      </c>
      <c r="D1514" s="19" t="s">
        <v>1794</v>
      </c>
      <c r="E1514" s="19" t="s">
        <v>3</v>
      </c>
      <c r="F1514" s="19" t="s">
        <v>1427</v>
      </c>
      <c r="G1514" s="19" t="s">
        <v>1429</v>
      </c>
      <c r="H1514" s="19" t="s">
        <v>404</v>
      </c>
      <c r="I1514" s="19" t="s">
        <v>963</v>
      </c>
      <c r="J1514" s="19">
        <v>0</v>
      </c>
      <c r="K1514" s="19" t="s">
        <v>1159</v>
      </c>
      <c r="L1514" s="19">
        <v>2023</v>
      </c>
      <c r="M1514" s="20">
        <v>1</v>
      </c>
      <c r="N1514" s="19" t="s">
        <v>1798</v>
      </c>
      <c r="O1514" s="20">
        <v>18</v>
      </c>
      <c r="P1514" s="20">
        <v>18</v>
      </c>
      <c r="Q1514" s="20">
        <v>672.96616180478225</v>
      </c>
      <c r="R1514" s="21">
        <v>0.91</v>
      </c>
      <c r="S1514" s="20">
        <v>672.96616180478225</v>
      </c>
    </row>
    <row r="1515" spans="2:19" ht="15" customHeight="1" x14ac:dyDescent="0.25">
      <c r="B1515" s="2" t="str">
        <f t="shared" si="46"/>
        <v>PGL_Business_C&amp;I_Rebates_Pipe Insulation_Steam Large Fitting_CI</v>
      </c>
      <c r="C1515" s="2" t="str">
        <f t="shared" si="47"/>
        <v>PGL_Business_C&amp;I_Rebates_Pipe Insulation_Steam Large Fitting_CI_2024</v>
      </c>
      <c r="D1515" s="19" t="s">
        <v>1794</v>
      </c>
      <c r="E1515" s="19" t="s">
        <v>3</v>
      </c>
      <c r="F1515" s="19" t="s">
        <v>1427</v>
      </c>
      <c r="G1515" s="19" t="s">
        <v>1429</v>
      </c>
      <c r="H1515" s="19" t="s">
        <v>404</v>
      </c>
      <c r="I1515" s="19" t="s">
        <v>963</v>
      </c>
      <c r="J1515" s="19">
        <v>0</v>
      </c>
      <c r="K1515" s="19" t="s">
        <v>1159</v>
      </c>
      <c r="L1515" s="19">
        <v>2024</v>
      </c>
      <c r="M1515" s="20">
        <v>1</v>
      </c>
      <c r="N1515" s="19" t="s">
        <v>1798</v>
      </c>
      <c r="O1515" s="20">
        <v>14</v>
      </c>
      <c r="P1515" s="20">
        <v>14</v>
      </c>
      <c r="Q1515" s="20">
        <v>523.4181258481641</v>
      </c>
      <c r="R1515" s="21">
        <v>0.91</v>
      </c>
      <c r="S1515" s="20">
        <v>523.4181258481641</v>
      </c>
    </row>
    <row r="1516" spans="2:19" ht="15" customHeight="1" x14ac:dyDescent="0.25">
      <c r="B1516" s="2" t="str">
        <f t="shared" si="46"/>
        <v>PGL_Business_C&amp;I_Rebates_Pipe Insulation_Steam Large Fitting_CI</v>
      </c>
      <c r="C1516" s="2" t="str">
        <f t="shared" si="47"/>
        <v>PGL_Business_C&amp;I_Rebates_Pipe Insulation_Steam Large Fitting_CI_2025</v>
      </c>
      <c r="D1516" s="19" t="s">
        <v>1794</v>
      </c>
      <c r="E1516" s="19" t="s">
        <v>3</v>
      </c>
      <c r="F1516" s="19" t="s">
        <v>1427</v>
      </c>
      <c r="G1516" s="19" t="s">
        <v>1429</v>
      </c>
      <c r="H1516" s="19" t="s">
        <v>404</v>
      </c>
      <c r="I1516" s="19" t="s">
        <v>963</v>
      </c>
      <c r="J1516" s="19">
        <v>0</v>
      </c>
      <c r="K1516" s="19" t="s">
        <v>1159</v>
      </c>
      <c r="L1516" s="19">
        <v>2025</v>
      </c>
      <c r="M1516" s="20">
        <v>1</v>
      </c>
      <c r="N1516" s="19" t="s">
        <v>1798</v>
      </c>
      <c r="O1516" s="20">
        <v>11</v>
      </c>
      <c r="P1516" s="20">
        <v>11</v>
      </c>
      <c r="Q1516" s="20">
        <v>411.25709888070031</v>
      </c>
      <c r="R1516" s="21">
        <v>0.91</v>
      </c>
      <c r="S1516" s="20">
        <v>411.25709888070031</v>
      </c>
    </row>
    <row r="1517" spans="2:19" ht="15" customHeight="1" x14ac:dyDescent="0.25">
      <c r="B1517" s="2" t="str">
        <f t="shared" si="46"/>
        <v>PGL_Business_C&amp;I_Rebates_Pipe Insulation_Steam X-Large Fitting_CI</v>
      </c>
      <c r="C1517" s="2" t="str">
        <f t="shared" si="47"/>
        <v>PGL_Business_C&amp;I_Rebates_Pipe Insulation_Steam X-Large Fitting_CI_2022</v>
      </c>
      <c r="D1517" s="19" t="s">
        <v>1794</v>
      </c>
      <c r="E1517" s="19" t="s">
        <v>3</v>
      </c>
      <c r="F1517" s="19" t="s">
        <v>1427</v>
      </c>
      <c r="G1517" s="19" t="s">
        <v>1429</v>
      </c>
      <c r="H1517" s="19" t="s">
        <v>404</v>
      </c>
      <c r="I1517" s="19" t="s">
        <v>964</v>
      </c>
      <c r="J1517" s="19">
        <v>0</v>
      </c>
      <c r="K1517" s="19" t="s">
        <v>1159</v>
      </c>
      <c r="L1517" s="19">
        <v>2022</v>
      </c>
      <c r="M1517" s="20">
        <v>1</v>
      </c>
      <c r="N1517" s="19" t="s">
        <v>1798</v>
      </c>
      <c r="O1517" s="20">
        <v>3</v>
      </c>
      <c r="P1517" s="20">
        <v>3</v>
      </c>
      <c r="Q1517" s="20">
        <v>197.34906499915039</v>
      </c>
      <c r="R1517" s="21">
        <v>0.91</v>
      </c>
      <c r="S1517" s="20">
        <v>197.34906499915039</v>
      </c>
    </row>
    <row r="1518" spans="2:19" ht="15" customHeight="1" x14ac:dyDescent="0.25">
      <c r="B1518" s="2" t="str">
        <f t="shared" si="46"/>
        <v>PGL_Business_C&amp;I_Rebates_Pipe Insulation_Steam X-Large Fitting_CI</v>
      </c>
      <c r="C1518" s="2" t="str">
        <f t="shared" si="47"/>
        <v>PGL_Business_C&amp;I_Rebates_Pipe Insulation_Steam X-Large Fitting_CI_2023</v>
      </c>
      <c r="D1518" s="19" t="s">
        <v>1794</v>
      </c>
      <c r="E1518" s="19" t="s">
        <v>3</v>
      </c>
      <c r="F1518" s="19" t="s">
        <v>1427</v>
      </c>
      <c r="G1518" s="19" t="s">
        <v>1429</v>
      </c>
      <c r="H1518" s="19" t="s">
        <v>404</v>
      </c>
      <c r="I1518" s="19" t="s">
        <v>964</v>
      </c>
      <c r="J1518" s="19">
        <v>0</v>
      </c>
      <c r="K1518" s="19" t="s">
        <v>1159</v>
      </c>
      <c r="L1518" s="19">
        <v>2023</v>
      </c>
      <c r="M1518" s="20">
        <v>1</v>
      </c>
      <c r="N1518" s="19" t="s">
        <v>1798</v>
      </c>
      <c r="O1518" s="20">
        <v>3</v>
      </c>
      <c r="P1518" s="20">
        <v>3</v>
      </c>
      <c r="Q1518" s="20">
        <v>197.34906499915039</v>
      </c>
      <c r="R1518" s="21">
        <v>0.91</v>
      </c>
      <c r="S1518" s="20">
        <v>197.34906499915039</v>
      </c>
    </row>
    <row r="1519" spans="2:19" ht="15" customHeight="1" x14ac:dyDescent="0.25">
      <c r="B1519" s="2" t="str">
        <f t="shared" si="46"/>
        <v>PGL_Business_C&amp;I_Rebates_Pipe Insulation_Steam X-Large Fitting_CI</v>
      </c>
      <c r="C1519" s="2" t="str">
        <f t="shared" si="47"/>
        <v>PGL_Business_C&amp;I_Rebates_Pipe Insulation_Steam X-Large Fitting_CI_2024</v>
      </c>
      <c r="D1519" s="19" t="s">
        <v>1794</v>
      </c>
      <c r="E1519" s="19" t="s">
        <v>3</v>
      </c>
      <c r="F1519" s="19" t="s">
        <v>1427</v>
      </c>
      <c r="G1519" s="19" t="s">
        <v>1429</v>
      </c>
      <c r="H1519" s="19" t="s">
        <v>404</v>
      </c>
      <c r="I1519" s="19" t="s">
        <v>964</v>
      </c>
      <c r="J1519" s="19">
        <v>0</v>
      </c>
      <c r="K1519" s="19" t="s">
        <v>1159</v>
      </c>
      <c r="L1519" s="19">
        <v>2024</v>
      </c>
      <c r="M1519" s="20">
        <v>1</v>
      </c>
      <c r="N1519" s="19" t="s">
        <v>1798</v>
      </c>
      <c r="O1519" s="20">
        <v>2</v>
      </c>
      <c r="P1519" s="20">
        <v>2</v>
      </c>
      <c r="Q1519" s="20">
        <v>131.56604333276692</v>
      </c>
      <c r="R1519" s="21">
        <v>0.91</v>
      </c>
      <c r="S1519" s="20">
        <v>131.56604333276692</v>
      </c>
    </row>
    <row r="1520" spans="2:19" ht="15" customHeight="1" x14ac:dyDescent="0.25">
      <c r="B1520" s="2" t="str">
        <f t="shared" si="46"/>
        <v>PGL_Business_C&amp;I_Rebates_Pipe Insulation_Steam X-Large Fitting_CI</v>
      </c>
      <c r="C1520" s="2" t="str">
        <f t="shared" si="47"/>
        <v>PGL_Business_C&amp;I_Rebates_Pipe Insulation_Steam X-Large Fitting_CI_2025</v>
      </c>
      <c r="D1520" s="19" t="s">
        <v>1794</v>
      </c>
      <c r="E1520" s="19" t="s">
        <v>3</v>
      </c>
      <c r="F1520" s="19" t="s">
        <v>1427</v>
      </c>
      <c r="G1520" s="19" t="s">
        <v>1429</v>
      </c>
      <c r="H1520" s="19" t="s">
        <v>404</v>
      </c>
      <c r="I1520" s="19" t="s">
        <v>964</v>
      </c>
      <c r="J1520" s="19">
        <v>0</v>
      </c>
      <c r="K1520" s="19" t="s">
        <v>1159</v>
      </c>
      <c r="L1520" s="19">
        <v>2025</v>
      </c>
      <c r="M1520" s="20">
        <v>1</v>
      </c>
      <c r="N1520" s="19" t="s">
        <v>1798</v>
      </c>
      <c r="O1520" s="20">
        <v>2</v>
      </c>
      <c r="P1520" s="20">
        <v>2</v>
      </c>
      <c r="Q1520" s="20">
        <v>131.56604333276692</v>
      </c>
      <c r="R1520" s="21">
        <v>0.91</v>
      </c>
      <c r="S1520" s="20">
        <v>131.56604333276692</v>
      </c>
    </row>
    <row r="1521" spans="2:19" ht="15" customHeight="1" x14ac:dyDescent="0.25">
      <c r="B1521" s="2" t="str">
        <f t="shared" si="46"/>
        <v>PGL_Business_C&amp;I_Rebates_Pipe Insulation_Steam Med Valve_CI</v>
      </c>
      <c r="C1521" s="2" t="str">
        <f t="shared" si="47"/>
        <v>PGL_Business_C&amp;I_Rebates_Pipe Insulation_Steam Med Valve_CI_2022</v>
      </c>
      <c r="D1521" s="19" t="s">
        <v>1794</v>
      </c>
      <c r="E1521" s="19" t="s">
        <v>3</v>
      </c>
      <c r="F1521" s="19" t="s">
        <v>1427</v>
      </c>
      <c r="G1521" s="19" t="s">
        <v>1429</v>
      </c>
      <c r="H1521" s="19" t="s">
        <v>404</v>
      </c>
      <c r="I1521" s="19" t="s">
        <v>966</v>
      </c>
      <c r="J1521" s="19">
        <v>0</v>
      </c>
      <c r="K1521" s="19" t="s">
        <v>1159</v>
      </c>
      <c r="L1521" s="19">
        <v>2022</v>
      </c>
      <c r="M1521" s="20">
        <v>1</v>
      </c>
      <c r="N1521" s="19" t="s">
        <v>1798</v>
      </c>
      <c r="O1521" s="20">
        <v>10</v>
      </c>
      <c r="P1521" s="20">
        <v>10</v>
      </c>
      <c r="Q1521" s="20">
        <v>445.92048658442508</v>
      </c>
      <c r="R1521" s="21">
        <v>0.91</v>
      </c>
      <c r="S1521" s="20">
        <v>445.92048658442508</v>
      </c>
    </row>
    <row r="1522" spans="2:19" ht="15" customHeight="1" x14ac:dyDescent="0.25">
      <c r="B1522" s="2" t="str">
        <f t="shared" si="46"/>
        <v>PGL_Business_C&amp;I_Rebates_Pipe Insulation_Steam Med Valve_CI</v>
      </c>
      <c r="C1522" s="2" t="str">
        <f t="shared" si="47"/>
        <v>PGL_Business_C&amp;I_Rebates_Pipe Insulation_Steam Med Valve_CI_2023</v>
      </c>
      <c r="D1522" s="19" t="s">
        <v>1794</v>
      </c>
      <c r="E1522" s="19" t="s">
        <v>3</v>
      </c>
      <c r="F1522" s="19" t="s">
        <v>1427</v>
      </c>
      <c r="G1522" s="19" t="s">
        <v>1429</v>
      </c>
      <c r="H1522" s="19" t="s">
        <v>404</v>
      </c>
      <c r="I1522" s="19" t="s">
        <v>966</v>
      </c>
      <c r="J1522" s="19">
        <v>0</v>
      </c>
      <c r="K1522" s="19" t="s">
        <v>1159</v>
      </c>
      <c r="L1522" s="19">
        <v>2023</v>
      </c>
      <c r="M1522" s="20">
        <v>1</v>
      </c>
      <c r="N1522" s="19" t="s">
        <v>1798</v>
      </c>
      <c r="O1522" s="20">
        <v>9</v>
      </c>
      <c r="P1522" s="20">
        <v>9</v>
      </c>
      <c r="Q1522" s="20">
        <v>401.32843792598254</v>
      </c>
      <c r="R1522" s="21">
        <v>0.91</v>
      </c>
      <c r="S1522" s="20">
        <v>401.32843792598254</v>
      </c>
    </row>
    <row r="1523" spans="2:19" ht="15" customHeight="1" x14ac:dyDescent="0.25">
      <c r="B1523" s="2" t="str">
        <f t="shared" si="46"/>
        <v>PGL_Business_C&amp;I_Rebates_Pipe Insulation_Steam Med Valve_CI</v>
      </c>
      <c r="C1523" s="2" t="str">
        <f t="shared" si="47"/>
        <v>PGL_Business_C&amp;I_Rebates_Pipe Insulation_Steam Med Valve_CI_2024</v>
      </c>
      <c r="D1523" s="19" t="s">
        <v>1794</v>
      </c>
      <c r="E1523" s="19" t="s">
        <v>3</v>
      </c>
      <c r="F1523" s="19" t="s">
        <v>1427</v>
      </c>
      <c r="G1523" s="19" t="s">
        <v>1429</v>
      </c>
      <c r="H1523" s="19" t="s">
        <v>404</v>
      </c>
      <c r="I1523" s="19" t="s">
        <v>966</v>
      </c>
      <c r="J1523" s="19">
        <v>0</v>
      </c>
      <c r="K1523" s="19" t="s">
        <v>1159</v>
      </c>
      <c r="L1523" s="19">
        <v>2024</v>
      </c>
      <c r="M1523" s="20">
        <v>1</v>
      </c>
      <c r="N1523" s="19" t="s">
        <v>1798</v>
      </c>
      <c r="O1523" s="20">
        <v>7</v>
      </c>
      <c r="P1523" s="20">
        <v>7</v>
      </c>
      <c r="Q1523" s="20">
        <v>312.14434060909758</v>
      </c>
      <c r="R1523" s="21">
        <v>0.91</v>
      </c>
      <c r="S1523" s="20">
        <v>312.14434060909758</v>
      </c>
    </row>
    <row r="1524" spans="2:19" ht="15" customHeight="1" x14ac:dyDescent="0.25">
      <c r="B1524" s="2" t="str">
        <f t="shared" si="46"/>
        <v>PGL_Business_C&amp;I_Rebates_Pipe Insulation_Steam Med Valve_CI</v>
      </c>
      <c r="C1524" s="2" t="str">
        <f t="shared" si="47"/>
        <v>PGL_Business_C&amp;I_Rebates_Pipe Insulation_Steam Med Valve_CI_2025</v>
      </c>
      <c r="D1524" s="19" t="s">
        <v>1794</v>
      </c>
      <c r="E1524" s="19" t="s">
        <v>3</v>
      </c>
      <c r="F1524" s="19" t="s">
        <v>1427</v>
      </c>
      <c r="G1524" s="19" t="s">
        <v>1429</v>
      </c>
      <c r="H1524" s="19" t="s">
        <v>404</v>
      </c>
      <c r="I1524" s="19" t="s">
        <v>966</v>
      </c>
      <c r="J1524" s="19">
        <v>0</v>
      </c>
      <c r="K1524" s="19" t="s">
        <v>1159</v>
      </c>
      <c r="L1524" s="19">
        <v>2025</v>
      </c>
      <c r="M1524" s="20">
        <v>1</v>
      </c>
      <c r="N1524" s="19" t="s">
        <v>1798</v>
      </c>
      <c r="O1524" s="20">
        <v>6</v>
      </c>
      <c r="P1524" s="20">
        <v>6</v>
      </c>
      <c r="Q1524" s="20">
        <v>267.55229195065505</v>
      </c>
      <c r="R1524" s="21">
        <v>0.91</v>
      </c>
      <c r="S1524" s="20">
        <v>267.55229195065505</v>
      </c>
    </row>
    <row r="1525" spans="2:19" ht="15" customHeight="1" x14ac:dyDescent="0.25">
      <c r="B1525" s="2" t="str">
        <f t="shared" si="46"/>
        <v>PGL_Business_C&amp;I_Rebates_Pipe Insulation_Steam Large Valve_CI</v>
      </c>
      <c r="C1525" s="2" t="str">
        <f t="shared" si="47"/>
        <v>PGL_Business_C&amp;I_Rebates_Pipe Insulation_Steam Large Valve_CI_2022</v>
      </c>
      <c r="D1525" s="19" t="s">
        <v>1794</v>
      </c>
      <c r="E1525" s="19" t="s">
        <v>3</v>
      </c>
      <c r="F1525" s="19" t="s">
        <v>1427</v>
      </c>
      <c r="G1525" s="19" t="s">
        <v>1429</v>
      </c>
      <c r="H1525" s="19" t="s">
        <v>404</v>
      </c>
      <c r="I1525" s="19" t="s">
        <v>967</v>
      </c>
      <c r="J1525" s="19">
        <v>0</v>
      </c>
      <c r="K1525" s="19" t="s">
        <v>1159</v>
      </c>
      <c r="L1525" s="19">
        <v>2022</v>
      </c>
      <c r="M1525" s="20">
        <v>1</v>
      </c>
      <c r="N1525" s="19" t="s">
        <v>1798</v>
      </c>
      <c r="O1525" s="20">
        <v>14</v>
      </c>
      <c r="P1525" s="20">
        <v>14</v>
      </c>
      <c r="Q1525" s="20">
        <v>1369.8821686297395</v>
      </c>
      <c r="R1525" s="21">
        <v>0.91</v>
      </c>
      <c r="S1525" s="20">
        <v>1369.8821686297395</v>
      </c>
    </row>
    <row r="1526" spans="2:19" ht="15" customHeight="1" x14ac:dyDescent="0.25">
      <c r="B1526" s="2" t="str">
        <f t="shared" si="46"/>
        <v>PGL_Business_C&amp;I_Rebates_Pipe Insulation_Steam Large Valve_CI</v>
      </c>
      <c r="C1526" s="2" t="str">
        <f t="shared" si="47"/>
        <v>PGL_Business_C&amp;I_Rebates_Pipe Insulation_Steam Large Valve_CI_2023</v>
      </c>
      <c r="D1526" s="19" t="s">
        <v>1794</v>
      </c>
      <c r="E1526" s="19" t="s">
        <v>3</v>
      </c>
      <c r="F1526" s="19" t="s">
        <v>1427</v>
      </c>
      <c r="G1526" s="19" t="s">
        <v>1429</v>
      </c>
      <c r="H1526" s="19" t="s">
        <v>404</v>
      </c>
      <c r="I1526" s="19" t="s">
        <v>967</v>
      </c>
      <c r="J1526" s="19">
        <v>0</v>
      </c>
      <c r="K1526" s="19" t="s">
        <v>1159</v>
      </c>
      <c r="L1526" s="19">
        <v>2023</v>
      </c>
      <c r="M1526" s="20">
        <v>1</v>
      </c>
      <c r="N1526" s="19" t="s">
        <v>1798</v>
      </c>
      <c r="O1526" s="20">
        <v>13</v>
      </c>
      <c r="P1526" s="20">
        <v>13</v>
      </c>
      <c r="Q1526" s="20">
        <v>1272.0334422990441</v>
      </c>
      <c r="R1526" s="21">
        <v>0.91</v>
      </c>
      <c r="S1526" s="20">
        <v>1272.0334422990441</v>
      </c>
    </row>
    <row r="1527" spans="2:19" ht="15" customHeight="1" x14ac:dyDescent="0.25">
      <c r="B1527" s="2" t="str">
        <f t="shared" si="46"/>
        <v>PGL_Business_C&amp;I_Rebates_Pipe Insulation_Steam Large Valve_CI</v>
      </c>
      <c r="C1527" s="2" t="str">
        <f t="shared" si="47"/>
        <v>PGL_Business_C&amp;I_Rebates_Pipe Insulation_Steam Large Valve_CI_2024</v>
      </c>
      <c r="D1527" s="19" t="s">
        <v>1794</v>
      </c>
      <c r="E1527" s="19" t="s">
        <v>3</v>
      </c>
      <c r="F1527" s="19" t="s">
        <v>1427</v>
      </c>
      <c r="G1527" s="19" t="s">
        <v>1429</v>
      </c>
      <c r="H1527" s="19" t="s">
        <v>404</v>
      </c>
      <c r="I1527" s="19" t="s">
        <v>967</v>
      </c>
      <c r="J1527" s="19">
        <v>0</v>
      </c>
      <c r="K1527" s="19" t="s">
        <v>1159</v>
      </c>
      <c r="L1527" s="19">
        <v>2024</v>
      </c>
      <c r="M1527" s="20">
        <v>1</v>
      </c>
      <c r="N1527" s="19" t="s">
        <v>1798</v>
      </c>
      <c r="O1527" s="20">
        <v>11</v>
      </c>
      <c r="P1527" s="20">
        <v>11</v>
      </c>
      <c r="Q1527" s="20">
        <v>1076.3359896376526</v>
      </c>
      <c r="R1527" s="21">
        <v>0.91</v>
      </c>
      <c r="S1527" s="20">
        <v>1076.3359896376526</v>
      </c>
    </row>
    <row r="1528" spans="2:19" ht="15" customHeight="1" x14ac:dyDescent="0.25">
      <c r="B1528" s="2" t="str">
        <f t="shared" si="46"/>
        <v>PGL_Business_C&amp;I_Rebates_Pipe Insulation_Steam Large Valve_CI</v>
      </c>
      <c r="C1528" s="2" t="str">
        <f t="shared" si="47"/>
        <v>PGL_Business_C&amp;I_Rebates_Pipe Insulation_Steam Large Valve_CI_2025</v>
      </c>
      <c r="D1528" s="19" t="s">
        <v>1794</v>
      </c>
      <c r="E1528" s="19" t="s">
        <v>3</v>
      </c>
      <c r="F1528" s="19" t="s">
        <v>1427</v>
      </c>
      <c r="G1528" s="19" t="s">
        <v>1429</v>
      </c>
      <c r="H1528" s="19" t="s">
        <v>404</v>
      </c>
      <c r="I1528" s="19" t="s">
        <v>967</v>
      </c>
      <c r="J1528" s="19">
        <v>0</v>
      </c>
      <c r="K1528" s="19" t="s">
        <v>1159</v>
      </c>
      <c r="L1528" s="19">
        <v>2025</v>
      </c>
      <c r="M1528" s="20">
        <v>1</v>
      </c>
      <c r="N1528" s="19" t="s">
        <v>1798</v>
      </c>
      <c r="O1528" s="20">
        <v>8</v>
      </c>
      <c r="P1528" s="20">
        <v>8</v>
      </c>
      <c r="Q1528" s="20">
        <v>782.78981064556547</v>
      </c>
      <c r="R1528" s="21">
        <v>0.91</v>
      </c>
      <c r="S1528" s="20">
        <v>782.78981064556547</v>
      </c>
    </row>
    <row r="1529" spans="2:19" ht="15" customHeight="1" x14ac:dyDescent="0.25">
      <c r="B1529" s="2" t="str">
        <f t="shared" si="46"/>
        <v>PGL_Business_C&amp;I_Rebates_Pipe Insulation_Steam X-Large Valve_CI</v>
      </c>
      <c r="C1529" s="2" t="str">
        <f t="shared" si="47"/>
        <v>PGL_Business_C&amp;I_Rebates_Pipe Insulation_Steam X-Large Valve_CI_2022</v>
      </c>
      <c r="D1529" s="19" t="s">
        <v>1794</v>
      </c>
      <c r="E1529" s="19" t="s">
        <v>3</v>
      </c>
      <c r="F1529" s="19" t="s">
        <v>1427</v>
      </c>
      <c r="G1529" s="19" t="s">
        <v>1429</v>
      </c>
      <c r="H1529" s="19" t="s">
        <v>404</v>
      </c>
      <c r="I1529" s="19" t="s">
        <v>968</v>
      </c>
      <c r="J1529" s="19">
        <v>0</v>
      </c>
      <c r="K1529" s="19" t="s">
        <v>1159</v>
      </c>
      <c r="L1529" s="19">
        <v>2022</v>
      </c>
      <c r="M1529" s="20">
        <v>1</v>
      </c>
      <c r="N1529" s="19" t="s">
        <v>1798</v>
      </c>
      <c r="O1529" s="20">
        <v>5</v>
      </c>
      <c r="P1529" s="20">
        <v>5</v>
      </c>
      <c r="Q1529" s="20">
        <v>796.53456446920609</v>
      </c>
      <c r="R1529" s="21">
        <v>0.91</v>
      </c>
      <c r="S1529" s="20">
        <v>796.53456446920609</v>
      </c>
    </row>
    <row r="1530" spans="2:19" ht="15" customHeight="1" x14ac:dyDescent="0.25">
      <c r="B1530" s="2" t="str">
        <f t="shared" si="46"/>
        <v>PGL_Business_C&amp;I_Rebates_Pipe Insulation_Steam X-Large Valve_CI</v>
      </c>
      <c r="C1530" s="2" t="str">
        <f t="shared" si="47"/>
        <v>PGL_Business_C&amp;I_Rebates_Pipe Insulation_Steam X-Large Valve_CI_2023</v>
      </c>
      <c r="D1530" s="19" t="s">
        <v>1794</v>
      </c>
      <c r="E1530" s="19" t="s">
        <v>3</v>
      </c>
      <c r="F1530" s="19" t="s">
        <v>1427</v>
      </c>
      <c r="G1530" s="19" t="s">
        <v>1429</v>
      </c>
      <c r="H1530" s="19" t="s">
        <v>404</v>
      </c>
      <c r="I1530" s="19" t="s">
        <v>968</v>
      </c>
      <c r="J1530" s="19">
        <v>0</v>
      </c>
      <c r="K1530" s="19" t="s">
        <v>1159</v>
      </c>
      <c r="L1530" s="19">
        <v>2023</v>
      </c>
      <c r="M1530" s="20">
        <v>1</v>
      </c>
      <c r="N1530" s="19" t="s">
        <v>1798</v>
      </c>
      <c r="O1530" s="20">
        <v>4</v>
      </c>
      <c r="P1530" s="20">
        <v>4</v>
      </c>
      <c r="Q1530" s="20">
        <v>637.22765157536492</v>
      </c>
      <c r="R1530" s="21">
        <v>0.91</v>
      </c>
      <c r="S1530" s="20">
        <v>637.22765157536492</v>
      </c>
    </row>
    <row r="1531" spans="2:19" ht="15" customHeight="1" x14ac:dyDescent="0.25">
      <c r="B1531" s="2" t="str">
        <f t="shared" si="46"/>
        <v>PGL_Business_C&amp;I_Rebates_Pipe Insulation_Steam X-Large Valve_CI</v>
      </c>
      <c r="C1531" s="2" t="str">
        <f t="shared" si="47"/>
        <v>PGL_Business_C&amp;I_Rebates_Pipe Insulation_Steam X-Large Valve_CI_2024</v>
      </c>
      <c r="D1531" s="19" t="s">
        <v>1794</v>
      </c>
      <c r="E1531" s="19" t="s">
        <v>3</v>
      </c>
      <c r="F1531" s="19" t="s">
        <v>1427</v>
      </c>
      <c r="G1531" s="19" t="s">
        <v>1429</v>
      </c>
      <c r="H1531" s="19" t="s">
        <v>404</v>
      </c>
      <c r="I1531" s="19" t="s">
        <v>968</v>
      </c>
      <c r="J1531" s="19">
        <v>0</v>
      </c>
      <c r="K1531" s="19" t="s">
        <v>1159</v>
      </c>
      <c r="L1531" s="19">
        <v>2024</v>
      </c>
      <c r="M1531" s="20">
        <v>1</v>
      </c>
      <c r="N1531" s="19" t="s">
        <v>1798</v>
      </c>
      <c r="O1531" s="20">
        <v>4</v>
      </c>
      <c r="P1531" s="20">
        <v>4</v>
      </c>
      <c r="Q1531" s="20">
        <v>637.22765157536492</v>
      </c>
      <c r="R1531" s="21">
        <v>0.91</v>
      </c>
      <c r="S1531" s="20">
        <v>637.22765157536492</v>
      </c>
    </row>
    <row r="1532" spans="2:19" ht="15" customHeight="1" x14ac:dyDescent="0.25">
      <c r="B1532" s="2" t="str">
        <f t="shared" si="46"/>
        <v>PGL_Business_C&amp;I_Rebates_Pipe Insulation_Steam X-Large Valve_CI</v>
      </c>
      <c r="C1532" s="2" t="str">
        <f t="shared" si="47"/>
        <v>PGL_Business_C&amp;I_Rebates_Pipe Insulation_Steam X-Large Valve_CI_2025</v>
      </c>
      <c r="D1532" s="19" t="s">
        <v>1794</v>
      </c>
      <c r="E1532" s="19" t="s">
        <v>3</v>
      </c>
      <c r="F1532" s="19" t="s">
        <v>1427</v>
      </c>
      <c r="G1532" s="19" t="s">
        <v>1429</v>
      </c>
      <c r="H1532" s="19" t="s">
        <v>404</v>
      </c>
      <c r="I1532" s="19" t="s">
        <v>968</v>
      </c>
      <c r="J1532" s="19">
        <v>0</v>
      </c>
      <c r="K1532" s="19" t="s">
        <v>1159</v>
      </c>
      <c r="L1532" s="19">
        <v>2025</v>
      </c>
      <c r="M1532" s="20">
        <v>1</v>
      </c>
      <c r="N1532" s="19" t="s">
        <v>1798</v>
      </c>
      <c r="O1532" s="20">
        <v>3</v>
      </c>
      <c r="P1532" s="20">
        <v>3</v>
      </c>
      <c r="Q1532" s="20">
        <v>477.92073868152369</v>
      </c>
      <c r="R1532" s="21">
        <v>0.91</v>
      </c>
      <c r="S1532" s="20">
        <v>477.92073868152369</v>
      </c>
    </row>
    <row r="1533" spans="2:19" ht="15" customHeight="1" x14ac:dyDescent="0.25">
      <c r="B1533" s="2" t="str">
        <f t="shared" si="46"/>
        <v>PGL_Business_C&amp;I_Rebates_Pre-Rinse Sprayer_0_CI</v>
      </c>
      <c r="C1533" s="2" t="str">
        <f t="shared" si="47"/>
        <v>PGL_Business_C&amp;I_Rebates_Pre-Rinse Sprayer_0_CI_2022</v>
      </c>
      <c r="D1533" s="19" t="s">
        <v>1794</v>
      </c>
      <c r="E1533" s="19" t="s">
        <v>3</v>
      </c>
      <c r="F1533" s="19" t="s">
        <v>1427</v>
      </c>
      <c r="G1533" s="19" t="s">
        <v>1429</v>
      </c>
      <c r="H1533" s="19" t="s">
        <v>1219</v>
      </c>
      <c r="I1533" s="19">
        <v>0</v>
      </c>
      <c r="J1533" s="19" t="s">
        <v>43</v>
      </c>
      <c r="K1533" s="19" t="s">
        <v>1159</v>
      </c>
      <c r="L1533" s="19">
        <v>2022</v>
      </c>
      <c r="M1533" s="20">
        <v>1</v>
      </c>
      <c r="N1533" s="19" t="s">
        <v>1798</v>
      </c>
      <c r="O1533" s="20">
        <v>0</v>
      </c>
      <c r="P1533" s="20">
        <v>0</v>
      </c>
      <c r="Q1533" s="20">
        <v>0</v>
      </c>
      <c r="R1533" s="21">
        <v>0.91</v>
      </c>
      <c r="S1533" s="20">
        <v>0</v>
      </c>
    </row>
    <row r="1534" spans="2:19" ht="15" customHeight="1" x14ac:dyDescent="0.25">
      <c r="B1534" s="2" t="str">
        <f t="shared" si="46"/>
        <v>PGL_Business_C&amp;I_Rebates_Pre-Rinse Sprayer_0_CI</v>
      </c>
      <c r="C1534" s="2" t="str">
        <f t="shared" si="47"/>
        <v>PGL_Business_C&amp;I_Rebates_Pre-Rinse Sprayer_0_CI_2023</v>
      </c>
      <c r="D1534" s="19" t="s">
        <v>1794</v>
      </c>
      <c r="E1534" s="19" t="s">
        <v>3</v>
      </c>
      <c r="F1534" s="19" t="s">
        <v>1427</v>
      </c>
      <c r="G1534" s="19" t="s">
        <v>1429</v>
      </c>
      <c r="H1534" s="19" t="s">
        <v>1219</v>
      </c>
      <c r="I1534" s="19">
        <v>0</v>
      </c>
      <c r="J1534" s="19" t="s">
        <v>43</v>
      </c>
      <c r="K1534" s="19" t="s">
        <v>1159</v>
      </c>
      <c r="L1534" s="19">
        <v>2023</v>
      </c>
      <c r="M1534" s="20">
        <v>1</v>
      </c>
      <c r="N1534" s="19" t="s">
        <v>1798</v>
      </c>
      <c r="O1534" s="20">
        <v>0</v>
      </c>
      <c r="P1534" s="20">
        <v>0</v>
      </c>
      <c r="Q1534" s="20">
        <v>0</v>
      </c>
      <c r="R1534" s="21">
        <v>0.91</v>
      </c>
      <c r="S1534" s="20">
        <v>0</v>
      </c>
    </row>
    <row r="1535" spans="2:19" ht="15" customHeight="1" x14ac:dyDescent="0.25">
      <c r="B1535" s="2" t="str">
        <f t="shared" si="46"/>
        <v>PGL_Business_C&amp;I_Rebates_Pre-Rinse Sprayer_0_CI</v>
      </c>
      <c r="C1535" s="2" t="str">
        <f t="shared" si="47"/>
        <v>PGL_Business_C&amp;I_Rebates_Pre-Rinse Sprayer_0_CI_2024</v>
      </c>
      <c r="D1535" s="19" t="s">
        <v>1794</v>
      </c>
      <c r="E1535" s="19" t="s">
        <v>3</v>
      </c>
      <c r="F1535" s="19" t="s">
        <v>1427</v>
      </c>
      <c r="G1535" s="19" t="s">
        <v>1429</v>
      </c>
      <c r="H1535" s="19" t="s">
        <v>1219</v>
      </c>
      <c r="I1535" s="19">
        <v>0</v>
      </c>
      <c r="J1535" s="19" t="s">
        <v>43</v>
      </c>
      <c r="K1535" s="19" t="s">
        <v>1159</v>
      </c>
      <c r="L1535" s="19">
        <v>2024</v>
      </c>
      <c r="M1535" s="20">
        <v>1</v>
      </c>
      <c r="N1535" s="19" t="s">
        <v>1798</v>
      </c>
      <c r="O1535" s="20">
        <v>0</v>
      </c>
      <c r="P1535" s="20">
        <v>0</v>
      </c>
      <c r="Q1535" s="20">
        <v>0</v>
      </c>
      <c r="R1535" s="21">
        <v>0.91</v>
      </c>
      <c r="S1535" s="20">
        <v>0</v>
      </c>
    </row>
    <row r="1536" spans="2:19" ht="15" customHeight="1" x14ac:dyDescent="0.25">
      <c r="B1536" s="2" t="str">
        <f t="shared" si="46"/>
        <v>PGL_Business_C&amp;I_Rebates_Pre-Rinse Sprayer_0_CI</v>
      </c>
      <c r="C1536" s="2" t="str">
        <f t="shared" si="47"/>
        <v>PGL_Business_C&amp;I_Rebates_Pre-Rinse Sprayer_0_CI_2025</v>
      </c>
      <c r="D1536" s="19" t="s">
        <v>1794</v>
      </c>
      <c r="E1536" s="19" t="s">
        <v>3</v>
      </c>
      <c r="F1536" s="19" t="s">
        <v>1427</v>
      </c>
      <c r="G1536" s="19" t="s">
        <v>1429</v>
      </c>
      <c r="H1536" s="19" t="s">
        <v>1219</v>
      </c>
      <c r="I1536" s="19">
        <v>0</v>
      </c>
      <c r="J1536" s="19" t="s">
        <v>43</v>
      </c>
      <c r="K1536" s="19" t="s">
        <v>1159</v>
      </c>
      <c r="L1536" s="19">
        <v>2025</v>
      </c>
      <c r="M1536" s="20">
        <v>1</v>
      </c>
      <c r="N1536" s="19" t="s">
        <v>1798</v>
      </c>
      <c r="O1536" s="20">
        <v>0</v>
      </c>
      <c r="P1536" s="20">
        <v>0</v>
      </c>
      <c r="Q1536" s="20">
        <v>0</v>
      </c>
      <c r="R1536" s="21">
        <v>0.91</v>
      </c>
      <c r="S1536" s="20">
        <v>0</v>
      </c>
    </row>
    <row r="1537" spans="2:19" ht="15" customHeight="1" x14ac:dyDescent="0.25">
      <c r="B1537" s="2" t="str">
        <f t="shared" si="46"/>
        <v>PGL_Business_C&amp;I_Rebates_Steam Boiler_ &gt;=1500MBH, &gt;=82% TE_CI</v>
      </c>
      <c r="C1537" s="2" t="str">
        <f t="shared" si="47"/>
        <v>PGL_Business_C&amp;I_Rebates_Steam Boiler_ &gt;=1500MBH, &gt;=82% TE_CI_2022</v>
      </c>
      <c r="D1537" s="19" t="s">
        <v>1794</v>
      </c>
      <c r="E1537" s="19" t="s">
        <v>3</v>
      </c>
      <c r="F1537" s="19" t="s">
        <v>1427</v>
      </c>
      <c r="G1537" s="19" t="s">
        <v>1429</v>
      </c>
      <c r="H1537" s="19" t="s">
        <v>938</v>
      </c>
      <c r="I1537" s="19" t="s">
        <v>939</v>
      </c>
      <c r="J1537" s="19" t="s">
        <v>942</v>
      </c>
      <c r="K1537" s="19" t="s">
        <v>1159</v>
      </c>
      <c r="L1537" s="19">
        <v>2022</v>
      </c>
      <c r="M1537" s="20">
        <v>1500</v>
      </c>
      <c r="N1537" s="19" t="s">
        <v>667</v>
      </c>
      <c r="O1537" s="20">
        <v>2</v>
      </c>
      <c r="P1537" s="20">
        <v>3000</v>
      </c>
      <c r="Q1537" s="20">
        <v>2325.3999999999955</v>
      </c>
      <c r="R1537" s="21">
        <v>0.91</v>
      </c>
      <c r="S1537" s="20">
        <v>2325.3999999999955</v>
      </c>
    </row>
    <row r="1538" spans="2:19" ht="15" customHeight="1" x14ac:dyDescent="0.25">
      <c r="B1538" s="2" t="str">
        <f t="shared" si="46"/>
        <v>PGL_Business_C&amp;I_Rebates_Steam Boiler_ &gt;=1500MBH, &gt;=82% TE_CI</v>
      </c>
      <c r="C1538" s="2" t="str">
        <f t="shared" si="47"/>
        <v>PGL_Business_C&amp;I_Rebates_Steam Boiler_ &gt;=1500MBH, &gt;=82% TE_CI_2023</v>
      </c>
      <c r="D1538" s="19" t="s">
        <v>1794</v>
      </c>
      <c r="E1538" s="19" t="s">
        <v>3</v>
      </c>
      <c r="F1538" s="19" t="s">
        <v>1427</v>
      </c>
      <c r="G1538" s="19" t="s">
        <v>1429</v>
      </c>
      <c r="H1538" s="19" t="s">
        <v>938</v>
      </c>
      <c r="I1538" s="19" t="s">
        <v>939</v>
      </c>
      <c r="J1538" s="19" t="s">
        <v>942</v>
      </c>
      <c r="K1538" s="19" t="s">
        <v>1159</v>
      </c>
      <c r="L1538" s="19">
        <v>2023</v>
      </c>
      <c r="M1538" s="20">
        <v>1500</v>
      </c>
      <c r="N1538" s="19" t="s">
        <v>667</v>
      </c>
      <c r="O1538" s="20">
        <v>2</v>
      </c>
      <c r="P1538" s="20">
        <v>3000</v>
      </c>
      <c r="Q1538" s="20">
        <v>2325.3999999999955</v>
      </c>
      <c r="R1538" s="21">
        <v>0.91</v>
      </c>
      <c r="S1538" s="20">
        <v>2325.3999999999955</v>
      </c>
    </row>
    <row r="1539" spans="2:19" ht="15" customHeight="1" x14ac:dyDescent="0.25">
      <c r="B1539" s="2" t="str">
        <f t="shared" si="46"/>
        <v>PGL_Business_C&amp;I_Rebates_Steam Boiler_ &gt;=1500MBH, &gt;=82% TE_CI</v>
      </c>
      <c r="C1539" s="2" t="str">
        <f t="shared" si="47"/>
        <v>PGL_Business_C&amp;I_Rebates_Steam Boiler_ &gt;=1500MBH, &gt;=82% TE_CI_2024</v>
      </c>
      <c r="D1539" s="19" t="s">
        <v>1794</v>
      </c>
      <c r="E1539" s="19" t="s">
        <v>3</v>
      </c>
      <c r="F1539" s="19" t="s">
        <v>1427</v>
      </c>
      <c r="G1539" s="19" t="s">
        <v>1429</v>
      </c>
      <c r="H1539" s="19" t="s">
        <v>938</v>
      </c>
      <c r="I1539" s="19" t="s">
        <v>939</v>
      </c>
      <c r="J1539" s="19" t="s">
        <v>942</v>
      </c>
      <c r="K1539" s="19" t="s">
        <v>1159</v>
      </c>
      <c r="L1539" s="19">
        <v>2024</v>
      </c>
      <c r="M1539" s="20">
        <v>1500</v>
      </c>
      <c r="N1539" s="19" t="s">
        <v>667</v>
      </c>
      <c r="O1539" s="20">
        <v>1</v>
      </c>
      <c r="P1539" s="20">
        <v>1500</v>
      </c>
      <c r="Q1539" s="20">
        <v>1162.6999999999978</v>
      </c>
      <c r="R1539" s="21">
        <v>0.91</v>
      </c>
      <c r="S1539" s="20">
        <v>1162.6999999999978</v>
      </c>
    </row>
    <row r="1540" spans="2:19" ht="15" customHeight="1" x14ac:dyDescent="0.25">
      <c r="B1540" s="2" t="str">
        <f t="shared" si="46"/>
        <v>PGL_Business_C&amp;I_Rebates_Steam Boiler_ &gt;=1500MBH, &gt;=82% TE_CI</v>
      </c>
      <c r="C1540" s="2" t="str">
        <f t="shared" si="47"/>
        <v>PGL_Business_C&amp;I_Rebates_Steam Boiler_ &gt;=1500MBH, &gt;=82% TE_CI_2025</v>
      </c>
      <c r="D1540" s="19" t="s">
        <v>1794</v>
      </c>
      <c r="E1540" s="19" t="s">
        <v>3</v>
      </c>
      <c r="F1540" s="19" t="s">
        <v>1427</v>
      </c>
      <c r="G1540" s="19" t="s">
        <v>1429</v>
      </c>
      <c r="H1540" s="19" t="s">
        <v>938</v>
      </c>
      <c r="I1540" s="19" t="s">
        <v>939</v>
      </c>
      <c r="J1540" s="19" t="s">
        <v>942</v>
      </c>
      <c r="K1540" s="19" t="s">
        <v>1159</v>
      </c>
      <c r="L1540" s="19">
        <v>2025</v>
      </c>
      <c r="M1540" s="20">
        <v>1500</v>
      </c>
      <c r="N1540" s="19" t="s">
        <v>667</v>
      </c>
      <c r="O1540" s="20">
        <v>1</v>
      </c>
      <c r="P1540" s="20">
        <v>1500</v>
      </c>
      <c r="Q1540" s="20">
        <v>1162.6999999999978</v>
      </c>
      <c r="R1540" s="21">
        <v>0.91</v>
      </c>
      <c r="S1540" s="20">
        <v>1162.6999999999978</v>
      </c>
    </row>
    <row r="1541" spans="2:19" ht="15" customHeight="1" x14ac:dyDescent="0.25">
      <c r="B1541" s="2" t="str">
        <f t="shared" si="46"/>
        <v>PGL_Business_C&amp;I_Rebates_Steam Boiler_&gt;=300MBH, &lt;1,500, &gt;=81% AFUE_CI</v>
      </c>
      <c r="C1541" s="2" t="str">
        <f t="shared" si="47"/>
        <v>PGL_Business_C&amp;I_Rebates_Steam Boiler_&gt;=300MBH, &lt;1,500, &gt;=81% AFUE_CI_2022</v>
      </c>
      <c r="D1541" s="19" t="s">
        <v>1794</v>
      </c>
      <c r="E1541" s="19" t="s">
        <v>3</v>
      </c>
      <c r="F1541" s="19" t="s">
        <v>1427</v>
      </c>
      <c r="G1541" s="19" t="s">
        <v>1429</v>
      </c>
      <c r="H1541" s="19" t="s">
        <v>938</v>
      </c>
      <c r="I1541" s="19" t="s">
        <v>1300</v>
      </c>
      <c r="J1541" s="19" t="s">
        <v>942</v>
      </c>
      <c r="K1541" s="19" t="s">
        <v>1159</v>
      </c>
      <c r="L1541" s="19">
        <v>2022</v>
      </c>
      <c r="M1541" s="20">
        <v>500</v>
      </c>
      <c r="N1541" s="19" t="s">
        <v>667</v>
      </c>
      <c r="O1541" s="20">
        <v>5</v>
      </c>
      <c r="P1541" s="20">
        <v>2500</v>
      </c>
      <c r="Q1541" s="20">
        <v>1647.1583333333292</v>
      </c>
      <c r="R1541" s="21">
        <v>0.91</v>
      </c>
      <c r="S1541" s="20">
        <v>1647.1583333333292</v>
      </c>
    </row>
    <row r="1542" spans="2:19" ht="15" customHeight="1" x14ac:dyDescent="0.25">
      <c r="B1542" s="2" t="str">
        <f t="shared" ref="B1542:B1605" si="48">D1542&amp;"_"&amp;E1542&amp;"_"&amp;F1542&amp;"_"&amp;G1542&amp;"_"&amp;H1542&amp;"_"&amp;I1542&amp;"_"&amp;K1542</f>
        <v>PGL_Business_C&amp;I_Rebates_Steam Boiler_&gt;=300MBH, &lt;1,500, &gt;=81% AFUE_CI</v>
      </c>
      <c r="C1542" s="2" t="str">
        <f t="shared" ref="C1542:C1605" si="49">D1542&amp;"_"&amp;E1542&amp;"_"&amp;F1542&amp;"_"&amp;G1542&amp;"_"&amp;H1542&amp;"_"&amp;I1542&amp;"_"&amp;K1542&amp;"_"&amp;L1542</f>
        <v>PGL_Business_C&amp;I_Rebates_Steam Boiler_&gt;=300MBH, &lt;1,500, &gt;=81% AFUE_CI_2023</v>
      </c>
      <c r="D1542" s="19" t="s">
        <v>1794</v>
      </c>
      <c r="E1542" s="19" t="s">
        <v>3</v>
      </c>
      <c r="F1542" s="19" t="s">
        <v>1427</v>
      </c>
      <c r="G1542" s="19" t="s">
        <v>1429</v>
      </c>
      <c r="H1542" s="19" t="s">
        <v>938</v>
      </c>
      <c r="I1542" s="19" t="s">
        <v>1300</v>
      </c>
      <c r="J1542" s="19" t="s">
        <v>942</v>
      </c>
      <c r="K1542" s="19" t="s">
        <v>1159</v>
      </c>
      <c r="L1542" s="19">
        <v>2023</v>
      </c>
      <c r="M1542" s="20">
        <v>500</v>
      </c>
      <c r="N1542" s="19" t="s">
        <v>667</v>
      </c>
      <c r="O1542" s="20">
        <v>4</v>
      </c>
      <c r="P1542" s="20">
        <v>2000</v>
      </c>
      <c r="Q1542" s="20">
        <v>1317.7266666666633</v>
      </c>
      <c r="R1542" s="21">
        <v>0.91</v>
      </c>
      <c r="S1542" s="20">
        <v>1317.7266666666633</v>
      </c>
    </row>
    <row r="1543" spans="2:19" ht="15" customHeight="1" x14ac:dyDescent="0.25">
      <c r="B1543" s="2" t="str">
        <f t="shared" si="48"/>
        <v>PGL_Business_C&amp;I_Rebates_Steam Boiler_&gt;=300MBH, &lt;1,500, &gt;=81% AFUE_CI</v>
      </c>
      <c r="C1543" s="2" t="str">
        <f t="shared" si="49"/>
        <v>PGL_Business_C&amp;I_Rebates_Steam Boiler_&gt;=300MBH, &lt;1,500, &gt;=81% AFUE_CI_2024</v>
      </c>
      <c r="D1543" s="19" t="s">
        <v>1794</v>
      </c>
      <c r="E1543" s="19" t="s">
        <v>3</v>
      </c>
      <c r="F1543" s="19" t="s">
        <v>1427</v>
      </c>
      <c r="G1543" s="19" t="s">
        <v>1429</v>
      </c>
      <c r="H1543" s="19" t="s">
        <v>938</v>
      </c>
      <c r="I1543" s="19" t="s">
        <v>1300</v>
      </c>
      <c r="J1543" s="19" t="s">
        <v>942</v>
      </c>
      <c r="K1543" s="19" t="s">
        <v>1159</v>
      </c>
      <c r="L1543" s="19">
        <v>2024</v>
      </c>
      <c r="M1543" s="20">
        <v>500</v>
      </c>
      <c r="N1543" s="19" t="s">
        <v>667</v>
      </c>
      <c r="O1543" s="20">
        <v>4</v>
      </c>
      <c r="P1543" s="20">
        <v>2000</v>
      </c>
      <c r="Q1543" s="20">
        <v>1317.7266666666633</v>
      </c>
      <c r="R1543" s="21">
        <v>0.91</v>
      </c>
      <c r="S1543" s="20">
        <v>1317.7266666666633</v>
      </c>
    </row>
    <row r="1544" spans="2:19" ht="15" customHeight="1" x14ac:dyDescent="0.25">
      <c r="B1544" s="2" t="str">
        <f t="shared" si="48"/>
        <v>PGL_Business_C&amp;I_Rebates_Steam Boiler_&gt;=300MBH, &lt;1,500, &gt;=81% AFUE_CI</v>
      </c>
      <c r="C1544" s="2" t="str">
        <f t="shared" si="49"/>
        <v>PGL_Business_C&amp;I_Rebates_Steam Boiler_&gt;=300MBH, &lt;1,500, &gt;=81% AFUE_CI_2025</v>
      </c>
      <c r="D1544" s="19" t="s">
        <v>1794</v>
      </c>
      <c r="E1544" s="19" t="s">
        <v>3</v>
      </c>
      <c r="F1544" s="19" t="s">
        <v>1427</v>
      </c>
      <c r="G1544" s="19" t="s">
        <v>1429</v>
      </c>
      <c r="H1544" s="19" t="s">
        <v>938</v>
      </c>
      <c r="I1544" s="19" t="s">
        <v>1300</v>
      </c>
      <c r="J1544" s="19" t="s">
        <v>942</v>
      </c>
      <c r="K1544" s="19" t="s">
        <v>1159</v>
      </c>
      <c r="L1544" s="19">
        <v>2025</v>
      </c>
      <c r="M1544" s="20">
        <v>500</v>
      </c>
      <c r="N1544" s="19" t="s">
        <v>667</v>
      </c>
      <c r="O1544" s="20">
        <v>3</v>
      </c>
      <c r="P1544" s="20">
        <v>1500</v>
      </c>
      <c r="Q1544" s="20">
        <v>988.29499999999746</v>
      </c>
      <c r="R1544" s="21">
        <v>0.91</v>
      </c>
      <c r="S1544" s="20">
        <v>988.29499999999746</v>
      </c>
    </row>
    <row r="1545" spans="2:19" ht="15" customHeight="1" x14ac:dyDescent="0.25">
      <c r="B1545" s="2" t="str">
        <f t="shared" si="48"/>
        <v>PGL_Business_C&amp;I_Rebates_Steam Traps_Dry Cleaner/Industrial - No Audit_MF/CI/SMB</v>
      </c>
      <c r="C1545" s="2" t="str">
        <f t="shared" si="49"/>
        <v>PGL_Business_C&amp;I_Rebates_Steam Traps_Dry Cleaner/Industrial - No Audit_MF/CI/SMB_2022</v>
      </c>
      <c r="D1545" s="19" t="s">
        <v>1794</v>
      </c>
      <c r="E1545" s="19" t="s">
        <v>3</v>
      </c>
      <c r="F1545" s="19" t="s">
        <v>1427</v>
      </c>
      <c r="G1545" s="19" t="s">
        <v>1429</v>
      </c>
      <c r="H1545" s="19" t="s">
        <v>644</v>
      </c>
      <c r="I1545" s="19" t="s">
        <v>1274</v>
      </c>
      <c r="J1545" s="19" t="s">
        <v>37</v>
      </c>
      <c r="K1545" s="19" t="s">
        <v>662</v>
      </c>
      <c r="L1545" s="19">
        <v>2022</v>
      </c>
      <c r="M1545" s="20">
        <v>1</v>
      </c>
      <c r="N1545" s="19" t="s">
        <v>1798</v>
      </c>
      <c r="O1545" s="20">
        <v>0</v>
      </c>
      <c r="P1545" s="20">
        <v>0</v>
      </c>
      <c r="Q1545" s="20">
        <v>0</v>
      </c>
      <c r="R1545" s="21">
        <v>0.91</v>
      </c>
      <c r="S1545" s="20">
        <v>0</v>
      </c>
    </row>
    <row r="1546" spans="2:19" ht="15" customHeight="1" x14ac:dyDescent="0.25">
      <c r="B1546" s="2" t="str">
        <f t="shared" si="48"/>
        <v>PGL_Business_C&amp;I_Rebates_Steam Traps_Dry Cleaner/Industrial - No Audit_MF/CI/SMB</v>
      </c>
      <c r="C1546" s="2" t="str">
        <f t="shared" si="49"/>
        <v>PGL_Business_C&amp;I_Rebates_Steam Traps_Dry Cleaner/Industrial - No Audit_MF/CI/SMB_2023</v>
      </c>
      <c r="D1546" s="19" t="s">
        <v>1794</v>
      </c>
      <c r="E1546" s="19" t="s">
        <v>3</v>
      </c>
      <c r="F1546" s="19" t="s">
        <v>1427</v>
      </c>
      <c r="G1546" s="19" t="s">
        <v>1429</v>
      </c>
      <c r="H1546" s="19" t="s">
        <v>644</v>
      </c>
      <c r="I1546" s="19" t="s">
        <v>1274</v>
      </c>
      <c r="J1546" s="19" t="s">
        <v>37</v>
      </c>
      <c r="K1546" s="19" t="s">
        <v>662</v>
      </c>
      <c r="L1546" s="19">
        <v>2023</v>
      </c>
      <c r="M1546" s="20">
        <v>1</v>
      </c>
      <c r="N1546" s="19" t="s">
        <v>1798</v>
      </c>
      <c r="O1546" s="20">
        <v>0</v>
      </c>
      <c r="P1546" s="20">
        <v>0</v>
      </c>
      <c r="Q1546" s="20">
        <v>0</v>
      </c>
      <c r="R1546" s="21">
        <v>0.91</v>
      </c>
      <c r="S1546" s="20">
        <v>0</v>
      </c>
    </row>
    <row r="1547" spans="2:19" ht="15" customHeight="1" x14ac:dyDescent="0.25">
      <c r="B1547" s="2" t="str">
        <f t="shared" si="48"/>
        <v>PGL_Business_C&amp;I_Rebates_Steam Traps_Dry Cleaner/Industrial - No Audit_MF/CI/SMB</v>
      </c>
      <c r="C1547" s="2" t="str">
        <f t="shared" si="49"/>
        <v>PGL_Business_C&amp;I_Rebates_Steam Traps_Dry Cleaner/Industrial - No Audit_MF/CI/SMB_2024</v>
      </c>
      <c r="D1547" s="19" t="s">
        <v>1794</v>
      </c>
      <c r="E1547" s="19" t="s">
        <v>3</v>
      </c>
      <c r="F1547" s="19" t="s">
        <v>1427</v>
      </c>
      <c r="G1547" s="19" t="s">
        <v>1429</v>
      </c>
      <c r="H1547" s="19" t="s">
        <v>644</v>
      </c>
      <c r="I1547" s="19" t="s">
        <v>1274</v>
      </c>
      <c r="J1547" s="19" t="s">
        <v>37</v>
      </c>
      <c r="K1547" s="19" t="s">
        <v>662</v>
      </c>
      <c r="L1547" s="19">
        <v>2024</v>
      </c>
      <c r="M1547" s="20">
        <v>1</v>
      </c>
      <c r="N1547" s="19" t="s">
        <v>1798</v>
      </c>
      <c r="O1547" s="20">
        <v>0</v>
      </c>
      <c r="P1547" s="20">
        <v>0</v>
      </c>
      <c r="Q1547" s="20">
        <v>0</v>
      </c>
      <c r="R1547" s="21">
        <v>0.91</v>
      </c>
      <c r="S1547" s="20">
        <v>0</v>
      </c>
    </row>
    <row r="1548" spans="2:19" ht="15" customHeight="1" x14ac:dyDescent="0.25">
      <c r="B1548" s="2" t="str">
        <f t="shared" si="48"/>
        <v>PGL_Business_C&amp;I_Rebates_Steam Traps_Dry Cleaner/Industrial - No Audit_MF/CI/SMB</v>
      </c>
      <c r="C1548" s="2" t="str">
        <f t="shared" si="49"/>
        <v>PGL_Business_C&amp;I_Rebates_Steam Traps_Dry Cleaner/Industrial - No Audit_MF/CI/SMB_2025</v>
      </c>
      <c r="D1548" s="19" t="s">
        <v>1794</v>
      </c>
      <c r="E1548" s="19" t="s">
        <v>3</v>
      </c>
      <c r="F1548" s="19" t="s">
        <v>1427</v>
      </c>
      <c r="G1548" s="19" t="s">
        <v>1429</v>
      </c>
      <c r="H1548" s="19" t="s">
        <v>644</v>
      </c>
      <c r="I1548" s="19" t="s">
        <v>1274</v>
      </c>
      <c r="J1548" s="19" t="s">
        <v>37</v>
      </c>
      <c r="K1548" s="19" t="s">
        <v>662</v>
      </c>
      <c r="L1548" s="19">
        <v>2025</v>
      </c>
      <c r="M1548" s="20">
        <v>1</v>
      </c>
      <c r="N1548" s="19" t="s">
        <v>1798</v>
      </c>
      <c r="O1548" s="20">
        <v>0</v>
      </c>
      <c r="P1548" s="20">
        <v>0</v>
      </c>
      <c r="Q1548" s="20">
        <v>0</v>
      </c>
      <c r="R1548" s="21">
        <v>0.91</v>
      </c>
      <c r="S1548" s="20">
        <v>0</v>
      </c>
    </row>
    <row r="1549" spans="2:19" ht="15" customHeight="1" x14ac:dyDescent="0.25">
      <c r="B1549" s="2" t="str">
        <f t="shared" si="48"/>
        <v>PGL_Business_C&amp;I_Rebates_Steam Traps_Dry Cleaner/Industrial - Audit_MF/CI/SMB</v>
      </c>
      <c r="C1549" s="2" t="str">
        <f t="shared" si="49"/>
        <v>PGL_Business_C&amp;I_Rebates_Steam Traps_Dry Cleaner/Industrial - Audit_MF/CI/SMB_2022</v>
      </c>
      <c r="D1549" s="19" t="s">
        <v>1794</v>
      </c>
      <c r="E1549" s="19" t="s">
        <v>3</v>
      </c>
      <c r="F1549" s="19" t="s">
        <v>1427</v>
      </c>
      <c r="G1549" s="19" t="s">
        <v>1429</v>
      </c>
      <c r="H1549" s="19" t="s">
        <v>644</v>
      </c>
      <c r="I1549" s="19" t="s">
        <v>1275</v>
      </c>
      <c r="J1549" s="19" t="s">
        <v>37</v>
      </c>
      <c r="K1549" s="19" t="s">
        <v>662</v>
      </c>
      <c r="L1549" s="19">
        <v>2022</v>
      </c>
      <c r="M1549" s="20">
        <v>1</v>
      </c>
      <c r="N1549" s="19" t="s">
        <v>1798</v>
      </c>
      <c r="O1549" s="20">
        <v>0</v>
      </c>
      <c r="P1549" s="20">
        <v>0</v>
      </c>
      <c r="Q1549" s="20">
        <v>0</v>
      </c>
      <c r="R1549" s="21">
        <v>0.91</v>
      </c>
      <c r="S1549" s="20">
        <v>0</v>
      </c>
    </row>
    <row r="1550" spans="2:19" ht="15" customHeight="1" x14ac:dyDescent="0.25">
      <c r="B1550" s="2" t="str">
        <f t="shared" si="48"/>
        <v>PGL_Business_C&amp;I_Rebates_Steam Traps_Dry Cleaner/Industrial - Audit_MF/CI/SMB</v>
      </c>
      <c r="C1550" s="2" t="str">
        <f t="shared" si="49"/>
        <v>PGL_Business_C&amp;I_Rebates_Steam Traps_Dry Cleaner/Industrial - Audit_MF/CI/SMB_2023</v>
      </c>
      <c r="D1550" s="19" t="s">
        <v>1794</v>
      </c>
      <c r="E1550" s="19" t="s">
        <v>3</v>
      </c>
      <c r="F1550" s="19" t="s">
        <v>1427</v>
      </c>
      <c r="G1550" s="19" t="s">
        <v>1429</v>
      </c>
      <c r="H1550" s="19" t="s">
        <v>644</v>
      </c>
      <c r="I1550" s="19" t="s">
        <v>1275</v>
      </c>
      <c r="J1550" s="19" t="s">
        <v>37</v>
      </c>
      <c r="K1550" s="19" t="s">
        <v>662</v>
      </c>
      <c r="L1550" s="19">
        <v>2023</v>
      </c>
      <c r="M1550" s="20">
        <v>1</v>
      </c>
      <c r="N1550" s="19" t="s">
        <v>1798</v>
      </c>
      <c r="O1550" s="20">
        <v>0</v>
      </c>
      <c r="P1550" s="20">
        <v>0</v>
      </c>
      <c r="Q1550" s="20">
        <v>0</v>
      </c>
      <c r="R1550" s="21">
        <v>0.91</v>
      </c>
      <c r="S1550" s="20">
        <v>0</v>
      </c>
    </row>
    <row r="1551" spans="2:19" ht="15" customHeight="1" x14ac:dyDescent="0.25">
      <c r="B1551" s="2" t="str">
        <f t="shared" si="48"/>
        <v>PGL_Business_C&amp;I_Rebates_Steam Traps_Dry Cleaner/Industrial - Audit_MF/CI/SMB</v>
      </c>
      <c r="C1551" s="2" t="str">
        <f t="shared" si="49"/>
        <v>PGL_Business_C&amp;I_Rebates_Steam Traps_Dry Cleaner/Industrial - Audit_MF/CI/SMB_2024</v>
      </c>
      <c r="D1551" s="19" t="s">
        <v>1794</v>
      </c>
      <c r="E1551" s="19" t="s">
        <v>3</v>
      </c>
      <c r="F1551" s="19" t="s">
        <v>1427</v>
      </c>
      <c r="G1551" s="19" t="s">
        <v>1429</v>
      </c>
      <c r="H1551" s="19" t="s">
        <v>644</v>
      </c>
      <c r="I1551" s="19" t="s">
        <v>1275</v>
      </c>
      <c r="J1551" s="19" t="s">
        <v>37</v>
      </c>
      <c r="K1551" s="19" t="s">
        <v>662</v>
      </c>
      <c r="L1551" s="19">
        <v>2024</v>
      </c>
      <c r="M1551" s="20">
        <v>1</v>
      </c>
      <c r="N1551" s="19" t="s">
        <v>1798</v>
      </c>
      <c r="O1551" s="20">
        <v>0</v>
      </c>
      <c r="P1551" s="20">
        <v>0</v>
      </c>
      <c r="Q1551" s="20">
        <v>0</v>
      </c>
      <c r="R1551" s="21">
        <v>0.91</v>
      </c>
      <c r="S1551" s="20">
        <v>0</v>
      </c>
    </row>
    <row r="1552" spans="2:19" ht="15" customHeight="1" x14ac:dyDescent="0.25">
      <c r="B1552" s="2" t="str">
        <f t="shared" si="48"/>
        <v>PGL_Business_C&amp;I_Rebates_Steam Traps_Dry Cleaner/Industrial - Audit_MF/CI/SMB</v>
      </c>
      <c r="C1552" s="2" t="str">
        <f t="shared" si="49"/>
        <v>PGL_Business_C&amp;I_Rebates_Steam Traps_Dry Cleaner/Industrial - Audit_MF/CI/SMB_2025</v>
      </c>
      <c r="D1552" s="19" t="s">
        <v>1794</v>
      </c>
      <c r="E1552" s="19" t="s">
        <v>3</v>
      </c>
      <c r="F1552" s="19" t="s">
        <v>1427</v>
      </c>
      <c r="G1552" s="19" t="s">
        <v>1429</v>
      </c>
      <c r="H1552" s="19" t="s">
        <v>644</v>
      </c>
      <c r="I1552" s="19" t="s">
        <v>1275</v>
      </c>
      <c r="J1552" s="19" t="s">
        <v>37</v>
      </c>
      <c r="K1552" s="19" t="s">
        <v>662</v>
      </c>
      <c r="L1552" s="19">
        <v>2025</v>
      </c>
      <c r="M1552" s="20">
        <v>1</v>
      </c>
      <c r="N1552" s="19" t="s">
        <v>1798</v>
      </c>
      <c r="O1552" s="20">
        <v>0</v>
      </c>
      <c r="P1552" s="20">
        <v>0</v>
      </c>
      <c r="Q1552" s="20">
        <v>0</v>
      </c>
      <c r="R1552" s="21">
        <v>0.91</v>
      </c>
      <c r="S1552" s="20">
        <v>0</v>
      </c>
    </row>
    <row r="1553" spans="2:19" ht="15" customHeight="1" x14ac:dyDescent="0.25">
      <c r="B1553" s="2" t="str">
        <f t="shared" si="48"/>
        <v>PGL_Business_C&amp;I_Rebates_Steam Traps_HVAC Repair/Rep - Audit_CI</v>
      </c>
      <c r="C1553" s="2" t="str">
        <f t="shared" si="49"/>
        <v>PGL_Business_C&amp;I_Rebates_Steam Traps_HVAC Repair/Rep - Audit_CI_2022</v>
      </c>
      <c r="D1553" s="19" t="s">
        <v>1794</v>
      </c>
      <c r="E1553" s="19" t="s">
        <v>3</v>
      </c>
      <c r="F1553" s="19" t="s">
        <v>1427</v>
      </c>
      <c r="G1553" s="19" t="s">
        <v>1429</v>
      </c>
      <c r="H1553" s="19" t="s">
        <v>644</v>
      </c>
      <c r="I1553" s="19" t="s">
        <v>645</v>
      </c>
      <c r="J1553" s="19" t="s">
        <v>37</v>
      </c>
      <c r="K1553" s="19" t="s">
        <v>1159</v>
      </c>
      <c r="L1553" s="19">
        <v>2022</v>
      </c>
      <c r="M1553" s="20">
        <v>1</v>
      </c>
      <c r="N1553" s="19" t="s">
        <v>1798</v>
      </c>
      <c r="O1553" s="20">
        <v>285</v>
      </c>
      <c r="P1553" s="20">
        <v>285</v>
      </c>
      <c r="Q1553" s="20">
        <v>99530.05728407744</v>
      </c>
      <c r="R1553" s="21">
        <v>0.91</v>
      </c>
      <c r="S1553" s="20">
        <v>99530.05728407744</v>
      </c>
    </row>
    <row r="1554" spans="2:19" ht="15" customHeight="1" x14ac:dyDescent="0.25">
      <c r="B1554" s="2" t="str">
        <f t="shared" si="48"/>
        <v>PGL_Business_C&amp;I_Rebates_Steam Traps_HVAC Repair/Rep - Audit_CI</v>
      </c>
      <c r="C1554" s="2" t="str">
        <f t="shared" si="49"/>
        <v>PGL_Business_C&amp;I_Rebates_Steam Traps_HVAC Repair/Rep - Audit_CI_2023</v>
      </c>
      <c r="D1554" s="19" t="s">
        <v>1794</v>
      </c>
      <c r="E1554" s="19" t="s">
        <v>3</v>
      </c>
      <c r="F1554" s="19" t="s">
        <v>1427</v>
      </c>
      <c r="G1554" s="19" t="s">
        <v>1429</v>
      </c>
      <c r="H1554" s="19" t="s">
        <v>644</v>
      </c>
      <c r="I1554" s="19" t="s">
        <v>645</v>
      </c>
      <c r="J1554" s="19" t="s">
        <v>37</v>
      </c>
      <c r="K1554" s="19" t="s">
        <v>1159</v>
      </c>
      <c r="L1554" s="19">
        <v>2023</v>
      </c>
      <c r="M1554" s="20">
        <v>1</v>
      </c>
      <c r="N1554" s="19" t="s">
        <v>1798</v>
      </c>
      <c r="O1554" s="20">
        <v>264</v>
      </c>
      <c r="P1554" s="20">
        <v>264</v>
      </c>
      <c r="Q1554" s="20">
        <v>92196.263589461203</v>
      </c>
      <c r="R1554" s="21">
        <v>0.91</v>
      </c>
      <c r="S1554" s="20">
        <v>92196.263589461203</v>
      </c>
    </row>
    <row r="1555" spans="2:19" ht="15" customHeight="1" x14ac:dyDescent="0.25">
      <c r="B1555" s="2" t="str">
        <f t="shared" si="48"/>
        <v>PGL_Business_C&amp;I_Rebates_Steam Traps_HVAC Repair/Rep - Audit_CI</v>
      </c>
      <c r="C1555" s="2" t="str">
        <f t="shared" si="49"/>
        <v>PGL_Business_C&amp;I_Rebates_Steam Traps_HVAC Repair/Rep - Audit_CI_2024</v>
      </c>
      <c r="D1555" s="19" t="s">
        <v>1794</v>
      </c>
      <c r="E1555" s="19" t="s">
        <v>3</v>
      </c>
      <c r="F1555" s="19" t="s">
        <v>1427</v>
      </c>
      <c r="G1555" s="19" t="s">
        <v>1429</v>
      </c>
      <c r="H1555" s="19" t="s">
        <v>644</v>
      </c>
      <c r="I1555" s="19" t="s">
        <v>645</v>
      </c>
      <c r="J1555" s="19" t="s">
        <v>37</v>
      </c>
      <c r="K1555" s="19" t="s">
        <v>1159</v>
      </c>
      <c r="L1555" s="19">
        <v>2024</v>
      </c>
      <c r="M1555" s="20">
        <v>1</v>
      </c>
      <c r="N1555" s="19" t="s">
        <v>1798</v>
      </c>
      <c r="O1555" s="20">
        <v>216</v>
      </c>
      <c r="P1555" s="20">
        <v>216</v>
      </c>
      <c r="Q1555" s="20">
        <v>75433.306573195528</v>
      </c>
      <c r="R1555" s="21">
        <v>0.91</v>
      </c>
      <c r="S1555" s="20">
        <v>75433.306573195528</v>
      </c>
    </row>
    <row r="1556" spans="2:19" ht="15" customHeight="1" x14ac:dyDescent="0.25">
      <c r="B1556" s="2" t="str">
        <f t="shared" si="48"/>
        <v>PGL_Business_C&amp;I_Rebates_Steam Traps_HVAC Repair/Rep - Audit_CI</v>
      </c>
      <c r="C1556" s="2" t="str">
        <f t="shared" si="49"/>
        <v>PGL_Business_C&amp;I_Rebates_Steam Traps_HVAC Repair/Rep - Audit_CI_2025</v>
      </c>
      <c r="D1556" s="19" t="s">
        <v>1794</v>
      </c>
      <c r="E1556" s="19" t="s">
        <v>3</v>
      </c>
      <c r="F1556" s="19" t="s">
        <v>1427</v>
      </c>
      <c r="G1556" s="19" t="s">
        <v>1429</v>
      </c>
      <c r="H1556" s="19" t="s">
        <v>644</v>
      </c>
      <c r="I1556" s="19" t="s">
        <v>645</v>
      </c>
      <c r="J1556" s="19" t="s">
        <v>37</v>
      </c>
      <c r="K1556" s="19" t="s">
        <v>1159</v>
      </c>
      <c r="L1556" s="19">
        <v>2025</v>
      </c>
      <c r="M1556" s="20">
        <v>1</v>
      </c>
      <c r="N1556" s="19" t="s">
        <v>1798</v>
      </c>
      <c r="O1556" s="20">
        <v>165</v>
      </c>
      <c r="P1556" s="20">
        <v>165</v>
      </c>
      <c r="Q1556" s="20">
        <v>57622.664743413261</v>
      </c>
      <c r="R1556" s="21">
        <v>0.91</v>
      </c>
      <c r="S1556" s="20">
        <v>57622.664743413261</v>
      </c>
    </row>
    <row r="1557" spans="2:19" ht="15" customHeight="1" x14ac:dyDescent="0.25">
      <c r="B1557" s="2" t="str">
        <f t="shared" si="48"/>
        <v>PGL_Business_C&amp;I_Rebates_Steam Traps_HVAC Repair/Rep - No Audit_CI</v>
      </c>
      <c r="C1557" s="2" t="str">
        <f t="shared" si="49"/>
        <v>PGL_Business_C&amp;I_Rebates_Steam Traps_HVAC Repair/Rep - No Audit_CI_2022</v>
      </c>
      <c r="D1557" s="19" t="s">
        <v>1794</v>
      </c>
      <c r="E1557" s="19" t="s">
        <v>3</v>
      </c>
      <c r="F1557" s="19" t="s">
        <v>1427</v>
      </c>
      <c r="G1557" s="19" t="s">
        <v>1429</v>
      </c>
      <c r="H1557" s="19" t="s">
        <v>644</v>
      </c>
      <c r="I1557" s="19" t="s">
        <v>660</v>
      </c>
      <c r="J1557" s="19" t="s">
        <v>37</v>
      </c>
      <c r="K1557" s="19" t="s">
        <v>1159</v>
      </c>
      <c r="L1557" s="19">
        <v>2022</v>
      </c>
      <c r="M1557" s="20">
        <v>1</v>
      </c>
      <c r="N1557" s="19" t="s">
        <v>1798</v>
      </c>
      <c r="O1557" s="20">
        <v>95</v>
      </c>
      <c r="P1557" s="20">
        <v>95</v>
      </c>
      <c r="Q1557" s="20">
        <v>8957.7051555669714</v>
      </c>
      <c r="R1557" s="21">
        <v>0.91</v>
      </c>
      <c r="S1557" s="20">
        <v>8957.7051555669714</v>
      </c>
    </row>
    <row r="1558" spans="2:19" ht="15" customHeight="1" x14ac:dyDescent="0.25">
      <c r="B1558" s="2" t="str">
        <f t="shared" si="48"/>
        <v>PGL_Business_C&amp;I_Rebates_Steam Traps_HVAC Repair/Rep - No Audit_CI</v>
      </c>
      <c r="C1558" s="2" t="str">
        <f t="shared" si="49"/>
        <v>PGL_Business_C&amp;I_Rebates_Steam Traps_HVAC Repair/Rep - No Audit_CI_2023</v>
      </c>
      <c r="D1558" s="19" t="s">
        <v>1794</v>
      </c>
      <c r="E1558" s="19" t="s">
        <v>3</v>
      </c>
      <c r="F1558" s="19" t="s">
        <v>1427</v>
      </c>
      <c r="G1558" s="19" t="s">
        <v>1429</v>
      </c>
      <c r="H1558" s="19" t="s">
        <v>644</v>
      </c>
      <c r="I1558" s="19" t="s">
        <v>660</v>
      </c>
      <c r="J1558" s="19" t="s">
        <v>37</v>
      </c>
      <c r="K1558" s="19" t="s">
        <v>1159</v>
      </c>
      <c r="L1558" s="19">
        <v>2023</v>
      </c>
      <c r="M1558" s="20">
        <v>1</v>
      </c>
      <c r="N1558" s="19" t="s">
        <v>1798</v>
      </c>
      <c r="O1558" s="20">
        <v>88</v>
      </c>
      <c r="P1558" s="20">
        <v>88</v>
      </c>
      <c r="Q1558" s="20">
        <v>8297.663723051508</v>
      </c>
      <c r="R1558" s="21">
        <v>0.91</v>
      </c>
      <c r="S1558" s="20">
        <v>8297.663723051508</v>
      </c>
    </row>
    <row r="1559" spans="2:19" ht="15" customHeight="1" x14ac:dyDescent="0.25">
      <c r="B1559" s="2" t="str">
        <f t="shared" si="48"/>
        <v>PGL_Business_C&amp;I_Rebates_Steam Traps_HVAC Repair/Rep - No Audit_CI</v>
      </c>
      <c r="C1559" s="2" t="str">
        <f t="shared" si="49"/>
        <v>PGL_Business_C&amp;I_Rebates_Steam Traps_HVAC Repair/Rep - No Audit_CI_2024</v>
      </c>
      <c r="D1559" s="19" t="s">
        <v>1794</v>
      </c>
      <c r="E1559" s="19" t="s">
        <v>3</v>
      </c>
      <c r="F1559" s="19" t="s">
        <v>1427</v>
      </c>
      <c r="G1559" s="19" t="s">
        <v>1429</v>
      </c>
      <c r="H1559" s="19" t="s">
        <v>644</v>
      </c>
      <c r="I1559" s="19" t="s">
        <v>660</v>
      </c>
      <c r="J1559" s="19" t="s">
        <v>37</v>
      </c>
      <c r="K1559" s="19" t="s">
        <v>1159</v>
      </c>
      <c r="L1559" s="19">
        <v>2024</v>
      </c>
      <c r="M1559" s="20">
        <v>1</v>
      </c>
      <c r="N1559" s="19" t="s">
        <v>1798</v>
      </c>
      <c r="O1559" s="20">
        <v>72</v>
      </c>
      <c r="P1559" s="20">
        <v>72</v>
      </c>
      <c r="Q1559" s="20">
        <v>6788.9975915875984</v>
      </c>
      <c r="R1559" s="21">
        <v>0.91</v>
      </c>
      <c r="S1559" s="20">
        <v>6788.9975915875984</v>
      </c>
    </row>
    <row r="1560" spans="2:19" ht="15" customHeight="1" x14ac:dyDescent="0.25">
      <c r="B1560" s="2" t="str">
        <f t="shared" si="48"/>
        <v>PGL_Business_C&amp;I_Rebates_Steam Traps_HVAC Repair/Rep - No Audit_CI</v>
      </c>
      <c r="C1560" s="2" t="str">
        <f t="shared" si="49"/>
        <v>PGL_Business_C&amp;I_Rebates_Steam Traps_HVAC Repair/Rep - No Audit_CI_2025</v>
      </c>
      <c r="D1560" s="19" t="s">
        <v>1794</v>
      </c>
      <c r="E1560" s="19" t="s">
        <v>3</v>
      </c>
      <c r="F1560" s="19" t="s">
        <v>1427</v>
      </c>
      <c r="G1560" s="19" t="s">
        <v>1429</v>
      </c>
      <c r="H1560" s="19" t="s">
        <v>644</v>
      </c>
      <c r="I1560" s="19" t="s">
        <v>660</v>
      </c>
      <c r="J1560" s="19" t="s">
        <v>37</v>
      </c>
      <c r="K1560" s="19" t="s">
        <v>1159</v>
      </c>
      <c r="L1560" s="19">
        <v>2025</v>
      </c>
      <c r="M1560" s="20">
        <v>1</v>
      </c>
      <c r="N1560" s="19" t="s">
        <v>1798</v>
      </c>
      <c r="O1560" s="20">
        <v>55</v>
      </c>
      <c r="P1560" s="20">
        <v>55</v>
      </c>
      <c r="Q1560" s="20">
        <v>5186.0398269071929</v>
      </c>
      <c r="R1560" s="21">
        <v>0.91</v>
      </c>
      <c r="S1560" s="20">
        <v>5186.0398269071929</v>
      </c>
    </row>
    <row r="1561" spans="2:19" ht="15" customHeight="1" x14ac:dyDescent="0.25">
      <c r="B1561" s="2" t="str">
        <f t="shared" si="48"/>
        <v>PGL_Business_C&amp;I_Rebates_Steam Traps_Industrial/Process Audit - psig ≤ 15_CI/SMB</v>
      </c>
      <c r="C1561" s="2" t="str">
        <f t="shared" si="49"/>
        <v>PGL_Business_C&amp;I_Rebates_Steam Traps_Industrial/Process Audit - psig ≤ 15_CI/SMB_2022</v>
      </c>
      <c r="D1561" s="19" t="s">
        <v>1794</v>
      </c>
      <c r="E1561" s="19" t="s">
        <v>3</v>
      </c>
      <c r="F1561" s="19" t="s">
        <v>1427</v>
      </c>
      <c r="G1561" s="19" t="s">
        <v>1429</v>
      </c>
      <c r="H1561" s="19" t="s">
        <v>644</v>
      </c>
      <c r="I1561" s="19" t="s">
        <v>1383</v>
      </c>
      <c r="J1561" s="19" t="s">
        <v>37</v>
      </c>
      <c r="K1561" s="19" t="s">
        <v>970</v>
      </c>
      <c r="L1561" s="19">
        <v>2022</v>
      </c>
      <c r="M1561" s="20">
        <v>1</v>
      </c>
      <c r="N1561" s="19" t="s">
        <v>1798</v>
      </c>
      <c r="O1561" s="20">
        <v>48</v>
      </c>
      <c r="P1561" s="20">
        <v>48</v>
      </c>
      <c r="Q1561" s="20">
        <v>34457.88285150467</v>
      </c>
      <c r="R1561" s="21">
        <v>0.91</v>
      </c>
      <c r="S1561" s="20">
        <v>34457.88285150467</v>
      </c>
    </row>
    <row r="1562" spans="2:19" ht="15" customHeight="1" x14ac:dyDescent="0.25">
      <c r="B1562" s="2" t="str">
        <f t="shared" si="48"/>
        <v>PGL_Business_C&amp;I_Rebates_Steam Traps_Industrial/Process Audit - psig ≤ 15_CI/SMB</v>
      </c>
      <c r="C1562" s="2" t="str">
        <f t="shared" si="49"/>
        <v>PGL_Business_C&amp;I_Rebates_Steam Traps_Industrial/Process Audit - psig ≤ 15_CI/SMB_2023</v>
      </c>
      <c r="D1562" s="19" t="s">
        <v>1794</v>
      </c>
      <c r="E1562" s="19" t="s">
        <v>3</v>
      </c>
      <c r="F1562" s="19" t="s">
        <v>1427</v>
      </c>
      <c r="G1562" s="19" t="s">
        <v>1429</v>
      </c>
      <c r="H1562" s="19" t="s">
        <v>644</v>
      </c>
      <c r="I1562" s="19" t="s">
        <v>1383</v>
      </c>
      <c r="J1562" s="19" t="s">
        <v>37</v>
      </c>
      <c r="K1562" s="19" t="s">
        <v>970</v>
      </c>
      <c r="L1562" s="19">
        <v>2023</v>
      </c>
      <c r="M1562" s="20">
        <v>1</v>
      </c>
      <c r="N1562" s="19" t="s">
        <v>1798</v>
      </c>
      <c r="O1562" s="20">
        <v>44</v>
      </c>
      <c r="P1562" s="20">
        <v>44</v>
      </c>
      <c r="Q1562" s="20">
        <v>31586.392613879281</v>
      </c>
      <c r="R1562" s="21">
        <v>0.91</v>
      </c>
      <c r="S1562" s="20">
        <v>31586.392613879281</v>
      </c>
    </row>
    <row r="1563" spans="2:19" ht="15" customHeight="1" x14ac:dyDescent="0.25">
      <c r="B1563" s="2" t="str">
        <f t="shared" si="48"/>
        <v>PGL_Business_C&amp;I_Rebates_Steam Traps_Industrial/Process Audit - psig ≤ 15_CI/SMB</v>
      </c>
      <c r="C1563" s="2" t="str">
        <f t="shared" si="49"/>
        <v>PGL_Business_C&amp;I_Rebates_Steam Traps_Industrial/Process Audit - psig ≤ 15_CI/SMB_2024</v>
      </c>
      <c r="D1563" s="19" t="s">
        <v>1794</v>
      </c>
      <c r="E1563" s="19" t="s">
        <v>3</v>
      </c>
      <c r="F1563" s="19" t="s">
        <v>1427</v>
      </c>
      <c r="G1563" s="19" t="s">
        <v>1429</v>
      </c>
      <c r="H1563" s="19" t="s">
        <v>644</v>
      </c>
      <c r="I1563" s="19" t="s">
        <v>1383</v>
      </c>
      <c r="J1563" s="19" t="s">
        <v>37</v>
      </c>
      <c r="K1563" s="19" t="s">
        <v>970</v>
      </c>
      <c r="L1563" s="19">
        <v>2024</v>
      </c>
      <c r="M1563" s="20">
        <v>1</v>
      </c>
      <c r="N1563" s="19" t="s">
        <v>1798</v>
      </c>
      <c r="O1563" s="20">
        <v>36</v>
      </c>
      <c r="P1563" s="20">
        <v>36</v>
      </c>
      <c r="Q1563" s="20">
        <v>25843.412138628501</v>
      </c>
      <c r="R1563" s="21">
        <v>0.91</v>
      </c>
      <c r="S1563" s="20">
        <v>25843.412138628501</v>
      </c>
    </row>
    <row r="1564" spans="2:19" ht="15" customHeight="1" x14ac:dyDescent="0.25">
      <c r="B1564" s="2" t="str">
        <f t="shared" si="48"/>
        <v>PGL_Business_C&amp;I_Rebates_Steam Traps_Industrial/Process Audit - psig ≤ 15_CI/SMB</v>
      </c>
      <c r="C1564" s="2" t="str">
        <f t="shared" si="49"/>
        <v>PGL_Business_C&amp;I_Rebates_Steam Traps_Industrial/Process Audit - psig ≤ 15_CI/SMB_2025</v>
      </c>
      <c r="D1564" s="19" t="s">
        <v>1794</v>
      </c>
      <c r="E1564" s="19" t="s">
        <v>3</v>
      </c>
      <c r="F1564" s="19" t="s">
        <v>1427</v>
      </c>
      <c r="G1564" s="19" t="s">
        <v>1429</v>
      </c>
      <c r="H1564" s="19" t="s">
        <v>644</v>
      </c>
      <c r="I1564" s="19" t="s">
        <v>1383</v>
      </c>
      <c r="J1564" s="19" t="s">
        <v>37</v>
      </c>
      <c r="K1564" s="19" t="s">
        <v>970</v>
      </c>
      <c r="L1564" s="19">
        <v>2025</v>
      </c>
      <c r="M1564" s="20">
        <v>1</v>
      </c>
      <c r="N1564" s="19" t="s">
        <v>1798</v>
      </c>
      <c r="O1564" s="20">
        <v>28</v>
      </c>
      <c r="P1564" s="20">
        <v>28</v>
      </c>
      <c r="Q1564" s="20">
        <v>20100.431663377727</v>
      </c>
      <c r="R1564" s="21">
        <v>0.91</v>
      </c>
      <c r="S1564" s="20">
        <v>20100.431663377727</v>
      </c>
    </row>
    <row r="1565" spans="2:19" ht="15" customHeight="1" x14ac:dyDescent="0.25">
      <c r="B1565" s="2" t="str">
        <f t="shared" si="48"/>
        <v>PGL_Business_C&amp;I_Rebates_Steam Traps_Industrial/Process Audit - 15 &lt; psig &lt; 30_CI/SMB</v>
      </c>
      <c r="C1565" s="2" t="str">
        <f t="shared" si="49"/>
        <v>PGL_Business_C&amp;I_Rebates_Steam Traps_Industrial/Process Audit - 15 &lt; psig &lt; 30_CI/SMB_2022</v>
      </c>
      <c r="D1565" s="19" t="s">
        <v>1794</v>
      </c>
      <c r="E1565" s="19" t="s">
        <v>3</v>
      </c>
      <c r="F1565" s="19" t="s">
        <v>1427</v>
      </c>
      <c r="G1565" s="19" t="s">
        <v>1429</v>
      </c>
      <c r="H1565" s="19" t="s">
        <v>644</v>
      </c>
      <c r="I1565" s="19" t="s">
        <v>1384</v>
      </c>
      <c r="J1565" s="19" t="s">
        <v>37</v>
      </c>
      <c r="K1565" s="19" t="s">
        <v>970</v>
      </c>
      <c r="L1565" s="19">
        <v>2022</v>
      </c>
      <c r="M1565" s="20">
        <v>1</v>
      </c>
      <c r="N1565" s="19" t="s">
        <v>1798</v>
      </c>
      <c r="O1565" s="20">
        <v>4</v>
      </c>
      <c r="P1565" s="20">
        <v>4</v>
      </c>
      <c r="Q1565" s="20">
        <v>2759.740372973572</v>
      </c>
      <c r="R1565" s="21">
        <v>0.91</v>
      </c>
      <c r="S1565" s="20">
        <v>2759.740372973572</v>
      </c>
    </row>
    <row r="1566" spans="2:19" ht="15" customHeight="1" x14ac:dyDescent="0.25">
      <c r="B1566" s="2" t="str">
        <f t="shared" si="48"/>
        <v>PGL_Business_C&amp;I_Rebates_Steam Traps_Industrial/Process Audit - 15 &lt; psig &lt; 30_CI/SMB</v>
      </c>
      <c r="C1566" s="2" t="str">
        <f t="shared" si="49"/>
        <v>PGL_Business_C&amp;I_Rebates_Steam Traps_Industrial/Process Audit - 15 &lt; psig &lt; 30_CI/SMB_2023</v>
      </c>
      <c r="D1566" s="19" t="s">
        <v>1794</v>
      </c>
      <c r="E1566" s="19" t="s">
        <v>3</v>
      </c>
      <c r="F1566" s="19" t="s">
        <v>1427</v>
      </c>
      <c r="G1566" s="19" t="s">
        <v>1429</v>
      </c>
      <c r="H1566" s="19" t="s">
        <v>644</v>
      </c>
      <c r="I1566" s="19" t="s">
        <v>1384</v>
      </c>
      <c r="J1566" s="19" t="s">
        <v>37</v>
      </c>
      <c r="K1566" s="19" t="s">
        <v>970</v>
      </c>
      <c r="L1566" s="19">
        <v>2023</v>
      </c>
      <c r="M1566" s="20">
        <v>1</v>
      </c>
      <c r="N1566" s="19" t="s">
        <v>1798</v>
      </c>
      <c r="O1566" s="20">
        <v>4</v>
      </c>
      <c r="P1566" s="20">
        <v>4</v>
      </c>
      <c r="Q1566" s="20">
        <v>2759.740372973572</v>
      </c>
      <c r="R1566" s="21">
        <v>0.91</v>
      </c>
      <c r="S1566" s="20">
        <v>2759.740372973572</v>
      </c>
    </row>
    <row r="1567" spans="2:19" ht="15" customHeight="1" x14ac:dyDescent="0.25">
      <c r="B1567" s="2" t="str">
        <f t="shared" si="48"/>
        <v>PGL_Business_C&amp;I_Rebates_Steam Traps_Industrial/Process Audit - 15 &lt; psig &lt; 30_CI/SMB</v>
      </c>
      <c r="C1567" s="2" t="str">
        <f t="shared" si="49"/>
        <v>PGL_Business_C&amp;I_Rebates_Steam Traps_Industrial/Process Audit - 15 &lt; psig &lt; 30_CI/SMB_2024</v>
      </c>
      <c r="D1567" s="19" t="s">
        <v>1794</v>
      </c>
      <c r="E1567" s="19" t="s">
        <v>3</v>
      </c>
      <c r="F1567" s="19" t="s">
        <v>1427</v>
      </c>
      <c r="G1567" s="19" t="s">
        <v>1429</v>
      </c>
      <c r="H1567" s="19" t="s">
        <v>644</v>
      </c>
      <c r="I1567" s="19" t="s">
        <v>1384</v>
      </c>
      <c r="J1567" s="19" t="s">
        <v>37</v>
      </c>
      <c r="K1567" s="19" t="s">
        <v>970</v>
      </c>
      <c r="L1567" s="19">
        <v>2024</v>
      </c>
      <c r="M1567" s="20">
        <v>1</v>
      </c>
      <c r="N1567" s="19" t="s">
        <v>1798</v>
      </c>
      <c r="O1567" s="20">
        <v>3</v>
      </c>
      <c r="P1567" s="20">
        <v>3</v>
      </c>
      <c r="Q1567" s="20">
        <v>2069.8052797301793</v>
      </c>
      <c r="R1567" s="21">
        <v>0.91</v>
      </c>
      <c r="S1567" s="20">
        <v>2069.8052797301793</v>
      </c>
    </row>
    <row r="1568" spans="2:19" ht="15" customHeight="1" x14ac:dyDescent="0.25">
      <c r="B1568" s="2" t="str">
        <f t="shared" si="48"/>
        <v>PGL_Business_C&amp;I_Rebates_Steam Traps_Industrial/Process Audit - 15 &lt; psig &lt; 30_CI/SMB</v>
      </c>
      <c r="C1568" s="2" t="str">
        <f t="shared" si="49"/>
        <v>PGL_Business_C&amp;I_Rebates_Steam Traps_Industrial/Process Audit - 15 &lt; psig &lt; 30_CI/SMB_2025</v>
      </c>
      <c r="D1568" s="19" t="s">
        <v>1794</v>
      </c>
      <c r="E1568" s="19" t="s">
        <v>3</v>
      </c>
      <c r="F1568" s="19" t="s">
        <v>1427</v>
      </c>
      <c r="G1568" s="19" t="s">
        <v>1429</v>
      </c>
      <c r="H1568" s="19" t="s">
        <v>644</v>
      </c>
      <c r="I1568" s="19" t="s">
        <v>1384</v>
      </c>
      <c r="J1568" s="19" t="s">
        <v>37</v>
      </c>
      <c r="K1568" s="19" t="s">
        <v>970</v>
      </c>
      <c r="L1568" s="19">
        <v>2025</v>
      </c>
      <c r="M1568" s="20">
        <v>1</v>
      </c>
      <c r="N1568" s="19" t="s">
        <v>1798</v>
      </c>
      <c r="O1568" s="20">
        <v>2</v>
      </c>
      <c r="P1568" s="20">
        <v>2</v>
      </c>
      <c r="Q1568" s="20">
        <v>1379.870186486786</v>
      </c>
      <c r="R1568" s="21">
        <v>0.91</v>
      </c>
      <c r="S1568" s="20">
        <v>1379.870186486786</v>
      </c>
    </row>
    <row r="1569" spans="2:19" ht="15" customHeight="1" x14ac:dyDescent="0.25">
      <c r="B1569" s="2" t="str">
        <f t="shared" si="48"/>
        <v>PGL_Business_C&amp;I_Rebates_Steam Traps_Industrial/Process Audit - 30 ≤ psig &lt; 75_CI/SMB</v>
      </c>
      <c r="C1569" s="2" t="str">
        <f t="shared" si="49"/>
        <v>PGL_Business_C&amp;I_Rebates_Steam Traps_Industrial/Process Audit - 30 ≤ psig &lt; 75_CI/SMB_2022</v>
      </c>
      <c r="D1569" s="19" t="s">
        <v>1794</v>
      </c>
      <c r="E1569" s="19" t="s">
        <v>3</v>
      </c>
      <c r="F1569" s="19" t="s">
        <v>1427</v>
      </c>
      <c r="G1569" s="19" t="s">
        <v>1429</v>
      </c>
      <c r="H1569" s="19" t="s">
        <v>644</v>
      </c>
      <c r="I1569" s="19" t="s">
        <v>1385</v>
      </c>
      <c r="J1569" s="19" t="s">
        <v>37</v>
      </c>
      <c r="K1569" s="19" t="s">
        <v>970</v>
      </c>
      <c r="L1569" s="19">
        <v>2022</v>
      </c>
      <c r="M1569" s="20">
        <v>1</v>
      </c>
      <c r="N1569" s="19" t="s">
        <v>1798</v>
      </c>
      <c r="O1569" s="20">
        <v>9</v>
      </c>
      <c r="P1569" s="20">
        <v>9</v>
      </c>
      <c r="Q1569" s="20">
        <v>22749.065572479565</v>
      </c>
      <c r="R1569" s="21">
        <v>0.91</v>
      </c>
      <c r="S1569" s="20">
        <v>22749.065572479565</v>
      </c>
    </row>
    <row r="1570" spans="2:19" ht="15" customHeight="1" x14ac:dyDescent="0.25">
      <c r="B1570" s="2" t="str">
        <f t="shared" si="48"/>
        <v>PGL_Business_C&amp;I_Rebates_Steam Traps_Industrial/Process Audit - 30 ≤ psig &lt; 75_CI/SMB</v>
      </c>
      <c r="C1570" s="2" t="str">
        <f t="shared" si="49"/>
        <v>PGL_Business_C&amp;I_Rebates_Steam Traps_Industrial/Process Audit - 30 ≤ psig &lt; 75_CI/SMB_2023</v>
      </c>
      <c r="D1570" s="19" t="s">
        <v>1794</v>
      </c>
      <c r="E1570" s="19" t="s">
        <v>3</v>
      </c>
      <c r="F1570" s="19" t="s">
        <v>1427</v>
      </c>
      <c r="G1570" s="19" t="s">
        <v>1429</v>
      </c>
      <c r="H1570" s="19" t="s">
        <v>644</v>
      </c>
      <c r="I1570" s="19" t="s">
        <v>1385</v>
      </c>
      <c r="J1570" s="19" t="s">
        <v>37</v>
      </c>
      <c r="K1570" s="19" t="s">
        <v>970</v>
      </c>
      <c r="L1570" s="19">
        <v>2023</v>
      </c>
      <c r="M1570" s="20">
        <v>1</v>
      </c>
      <c r="N1570" s="19" t="s">
        <v>1798</v>
      </c>
      <c r="O1570" s="20">
        <v>8</v>
      </c>
      <c r="P1570" s="20">
        <v>8</v>
      </c>
      <c r="Q1570" s="20">
        <v>20221.391619981838</v>
      </c>
      <c r="R1570" s="21">
        <v>0.91</v>
      </c>
      <c r="S1570" s="20">
        <v>20221.391619981838</v>
      </c>
    </row>
    <row r="1571" spans="2:19" ht="15" customHeight="1" x14ac:dyDescent="0.25">
      <c r="B1571" s="2" t="str">
        <f t="shared" si="48"/>
        <v>PGL_Business_C&amp;I_Rebates_Steam Traps_Industrial/Process Audit - 30 ≤ psig &lt; 75_CI/SMB</v>
      </c>
      <c r="C1571" s="2" t="str">
        <f t="shared" si="49"/>
        <v>PGL_Business_C&amp;I_Rebates_Steam Traps_Industrial/Process Audit - 30 ≤ psig &lt; 75_CI/SMB_2024</v>
      </c>
      <c r="D1571" s="19" t="s">
        <v>1794</v>
      </c>
      <c r="E1571" s="19" t="s">
        <v>3</v>
      </c>
      <c r="F1571" s="19" t="s">
        <v>1427</v>
      </c>
      <c r="G1571" s="19" t="s">
        <v>1429</v>
      </c>
      <c r="H1571" s="19" t="s">
        <v>644</v>
      </c>
      <c r="I1571" s="19" t="s">
        <v>1385</v>
      </c>
      <c r="J1571" s="19" t="s">
        <v>37</v>
      </c>
      <c r="K1571" s="19" t="s">
        <v>970</v>
      </c>
      <c r="L1571" s="19">
        <v>2024</v>
      </c>
      <c r="M1571" s="20">
        <v>1</v>
      </c>
      <c r="N1571" s="19" t="s">
        <v>1798</v>
      </c>
      <c r="O1571" s="20">
        <v>6</v>
      </c>
      <c r="P1571" s="20">
        <v>6</v>
      </c>
      <c r="Q1571" s="20">
        <v>15166.043714986379</v>
      </c>
      <c r="R1571" s="21">
        <v>0.91</v>
      </c>
      <c r="S1571" s="20">
        <v>15166.043714986379</v>
      </c>
    </row>
    <row r="1572" spans="2:19" ht="15" customHeight="1" x14ac:dyDescent="0.25">
      <c r="B1572" s="2" t="str">
        <f t="shared" si="48"/>
        <v>PGL_Business_C&amp;I_Rebates_Steam Traps_Industrial/Process Audit - 30 ≤ psig &lt; 75_CI/SMB</v>
      </c>
      <c r="C1572" s="2" t="str">
        <f t="shared" si="49"/>
        <v>PGL_Business_C&amp;I_Rebates_Steam Traps_Industrial/Process Audit - 30 ≤ psig &lt; 75_CI/SMB_2025</v>
      </c>
      <c r="D1572" s="19" t="s">
        <v>1794</v>
      </c>
      <c r="E1572" s="19" t="s">
        <v>3</v>
      </c>
      <c r="F1572" s="19" t="s">
        <v>1427</v>
      </c>
      <c r="G1572" s="19" t="s">
        <v>1429</v>
      </c>
      <c r="H1572" s="19" t="s">
        <v>644</v>
      </c>
      <c r="I1572" s="19" t="s">
        <v>1385</v>
      </c>
      <c r="J1572" s="19" t="s">
        <v>37</v>
      </c>
      <c r="K1572" s="19" t="s">
        <v>970</v>
      </c>
      <c r="L1572" s="19">
        <v>2025</v>
      </c>
      <c r="M1572" s="20">
        <v>1</v>
      </c>
      <c r="N1572" s="19" t="s">
        <v>1798</v>
      </c>
      <c r="O1572" s="20">
        <v>5</v>
      </c>
      <c r="P1572" s="20">
        <v>5</v>
      </c>
      <c r="Q1572" s="20">
        <v>12638.369762488648</v>
      </c>
      <c r="R1572" s="21">
        <v>0.91</v>
      </c>
      <c r="S1572" s="20">
        <v>12638.369762488648</v>
      </c>
    </row>
    <row r="1573" spans="2:19" ht="15" customHeight="1" x14ac:dyDescent="0.25">
      <c r="B1573" s="2" t="str">
        <f t="shared" si="48"/>
        <v>PGL_Business_C&amp;I_Rebates_Steam Traps_Industrial/Process Audit - 75 ≤ psig &lt; 125_CI/SMB</v>
      </c>
      <c r="C1573" s="2" t="str">
        <f t="shared" si="49"/>
        <v>PGL_Business_C&amp;I_Rebates_Steam Traps_Industrial/Process Audit - 75 ≤ psig &lt; 125_CI/SMB_2022</v>
      </c>
      <c r="D1573" s="19" t="s">
        <v>1794</v>
      </c>
      <c r="E1573" s="19" t="s">
        <v>3</v>
      </c>
      <c r="F1573" s="19" t="s">
        <v>1427</v>
      </c>
      <c r="G1573" s="19" t="s">
        <v>1429</v>
      </c>
      <c r="H1573" s="19" t="s">
        <v>644</v>
      </c>
      <c r="I1573" s="19" t="s">
        <v>1386</v>
      </c>
      <c r="J1573" s="19" t="s">
        <v>37</v>
      </c>
      <c r="K1573" s="19" t="s">
        <v>970</v>
      </c>
      <c r="L1573" s="19">
        <v>2022</v>
      </c>
      <c r="M1573" s="20">
        <v>1</v>
      </c>
      <c r="N1573" s="19" t="s">
        <v>1798</v>
      </c>
      <c r="O1573" s="20">
        <v>29</v>
      </c>
      <c r="P1573" s="20">
        <v>29</v>
      </c>
      <c r="Q1573" s="20">
        <v>138645.99323095125</v>
      </c>
      <c r="R1573" s="21">
        <v>0.91</v>
      </c>
      <c r="S1573" s="20">
        <v>138645.99323095125</v>
      </c>
    </row>
    <row r="1574" spans="2:19" ht="15" customHeight="1" x14ac:dyDescent="0.25">
      <c r="B1574" s="2" t="str">
        <f t="shared" si="48"/>
        <v>PGL_Business_C&amp;I_Rebates_Steam Traps_Industrial/Process Audit - 75 ≤ psig &lt; 125_CI/SMB</v>
      </c>
      <c r="C1574" s="2" t="str">
        <f t="shared" si="49"/>
        <v>PGL_Business_C&amp;I_Rebates_Steam Traps_Industrial/Process Audit - 75 ≤ psig &lt; 125_CI/SMB_2023</v>
      </c>
      <c r="D1574" s="19" t="s">
        <v>1794</v>
      </c>
      <c r="E1574" s="19" t="s">
        <v>3</v>
      </c>
      <c r="F1574" s="19" t="s">
        <v>1427</v>
      </c>
      <c r="G1574" s="19" t="s">
        <v>1429</v>
      </c>
      <c r="H1574" s="19" t="s">
        <v>644</v>
      </c>
      <c r="I1574" s="19" t="s">
        <v>1386</v>
      </c>
      <c r="J1574" s="19" t="s">
        <v>37</v>
      </c>
      <c r="K1574" s="19" t="s">
        <v>970</v>
      </c>
      <c r="L1574" s="19">
        <v>2023</v>
      </c>
      <c r="M1574" s="20">
        <v>1</v>
      </c>
      <c r="N1574" s="19" t="s">
        <v>1798</v>
      </c>
      <c r="O1574" s="20">
        <v>26</v>
      </c>
      <c r="P1574" s="20">
        <v>26</v>
      </c>
      <c r="Q1574" s="20">
        <v>124303.30427602524</v>
      </c>
      <c r="R1574" s="21">
        <v>0.91</v>
      </c>
      <c r="S1574" s="20">
        <v>124303.30427602524</v>
      </c>
    </row>
    <row r="1575" spans="2:19" ht="15" customHeight="1" x14ac:dyDescent="0.25">
      <c r="B1575" s="2" t="str">
        <f t="shared" si="48"/>
        <v>PGL_Business_C&amp;I_Rebates_Steam Traps_Industrial/Process Audit - 75 ≤ psig &lt; 125_CI/SMB</v>
      </c>
      <c r="C1575" s="2" t="str">
        <f t="shared" si="49"/>
        <v>PGL_Business_C&amp;I_Rebates_Steam Traps_Industrial/Process Audit - 75 ≤ psig &lt; 125_CI/SMB_2024</v>
      </c>
      <c r="D1575" s="19" t="s">
        <v>1794</v>
      </c>
      <c r="E1575" s="19" t="s">
        <v>3</v>
      </c>
      <c r="F1575" s="19" t="s">
        <v>1427</v>
      </c>
      <c r="G1575" s="19" t="s">
        <v>1429</v>
      </c>
      <c r="H1575" s="19" t="s">
        <v>644</v>
      </c>
      <c r="I1575" s="19" t="s">
        <v>1386</v>
      </c>
      <c r="J1575" s="19" t="s">
        <v>37</v>
      </c>
      <c r="K1575" s="19" t="s">
        <v>970</v>
      </c>
      <c r="L1575" s="19">
        <v>2024</v>
      </c>
      <c r="M1575" s="20">
        <v>1</v>
      </c>
      <c r="N1575" s="19" t="s">
        <v>1798</v>
      </c>
      <c r="O1575" s="20">
        <v>22</v>
      </c>
      <c r="P1575" s="20">
        <v>22</v>
      </c>
      <c r="Q1575" s="20">
        <v>105179.7190027906</v>
      </c>
      <c r="R1575" s="21">
        <v>0.91</v>
      </c>
      <c r="S1575" s="20">
        <v>105179.7190027906</v>
      </c>
    </row>
    <row r="1576" spans="2:19" ht="15" customHeight="1" x14ac:dyDescent="0.25">
      <c r="B1576" s="2" t="str">
        <f t="shared" si="48"/>
        <v>PGL_Business_C&amp;I_Rebates_Steam Traps_Industrial/Process Audit - 75 ≤ psig &lt; 125_CI/SMB</v>
      </c>
      <c r="C1576" s="2" t="str">
        <f t="shared" si="49"/>
        <v>PGL_Business_C&amp;I_Rebates_Steam Traps_Industrial/Process Audit - 75 ≤ psig &lt; 125_CI/SMB_2025</v>
      </c>
      <c r="D1576" s="19" t="s">
        <v>1794</v>
      </c>
      <c r="E1576" s="19" t="s">
        <v>3</v>
      </c>
      <c r="F1576" s="19" t="s">
        <v>1427</v>
      </c>
      <c r="G1576" s="19" t="s">
        <v>1429</v>
      </c>
      <c r="H1576" s="19" t="s">
        <v>644</v>
      </c>
      <c r="I1576" s="19" t="s">
        <v>1386</v>
      </c>
      <c r="J1576" s="19" t="s">
        <v>37</v>
      </c>
      <c r="K1576" s="19" t="s">
        <v>970</v>
      </c>
      <c r="L1576" s="19">
        <v>2025</v>
      </c>
      <c r="M1576" s="20">
        <v>1</v>
      </c>
      <c r="N1576" s="19" t="s">
        <v>1798</v>
      </c>
      <c r="O1576" s="20">
        <v>17</v>
      </c>
      <c r="P1576" s="20">
        <v>17</v>
      </c>
      <c r="Q1576" s="20">
        <v>81275.23741124729</v>
      </c>
      <c r="R1576" s="21">
        <v>0.91</v>
      </c>
      <c r="S1576" s="20">
        <v>81275.23741124729</v>
      </c>
    </row>
    <row r="1577" spans="2:19" ht="15" customHeight="1" x14ac:dyDescent="0.25">
      <c r="B1577" s="2" t="str">
        <f t="shared" si="48"/>
        <v>PGL_Business_C&amp;I_Rebates_Steam Traps_Industrial/Process Audit - 125 ≤ psig &lt; 175_CI/SMB</v>
      </c>
      <c r="C1577" s="2" t="str">
        <f t="shared" si="49"/>
        <v>PGL_Business_C&amp;I_Rebates_Steam Traps_Industrial/Process Audit - 125 ≤ psig &lt; 175_CI/SMB_2022</v>
      </c>
      <c r="D1577" s="19" t="s">
        <v>1794</v>
      </c>
      <c r="E1577" s="19" t="s">
        <v>3</v>
      </c>
      <c r="F1577" s="19" t="s">
        <v>1427</v>
      </c>
      <c r="G1577" s="19" t="s">
        <v>1429</v>
      </c>
      <c r="H1577" s="19" t="s">
        <v>644</v>
      </c>
      <c r="I1577" s="19" t="s">
        <v>1374</v>
      </c>
      <c r="J1577" s="19" t="s">
        <v>37</v>
      </c>
      <c r="K1577" s="19" t="s">
        <v>970</v>
      </c>
      <c r="L1577" s="19">
        <v>2022</v>
      </c>
      <c r="M1577" s="20">
        <v>1</v>
      </c>
      <c r="N1577" s="19" t="s">
        <v>1798</v>
      </c>
      <c r="O1577" s="20">
        <v>14</v>
      </c>
      <c r="P1577" s="20">
        <v>14</v>
      </c>
      <c r="Q1577" s="20">
        <v>93444.675404109235</v>
      </c>
      <c r="R1577" s="21">
        <v>0.91</v>
      </c>
      <c r="S1577" s="20">
        <v>93444.675404109235</v>
      </c>
    </row>
    <row r="1578" spans="2:19" ht="15" customHeight="1" x14ac:dyDescent="0.25">
      <c r="B1578" s="2" t="str">
        <f t="shared" si="48"/>
        <v>PGL_Business_C&amp;I_Rebates_Steam Traps_Industrial/Process Audit - 125 ≤ psig &lt; 175_CI/SMB</v>
      </c>
      <c r="C1578" s="2" t="str">
        <f t="shared" si="49"/>
        <v>PGL_Business_C&amp;I_Rebates_Steam Traps_Industrial/Process Audit - 125 ≤ psig &lt; 175_CI/SMB_2023</v>
      </c>
      <c r="D1578" s="19" t="s">
        <v>1794</v>
      </c>
      <c r="E1578" s="19" t="s">
        <v>3</v>
      </c>
      <c r="F1578" s="19" t="s">
        <v>1427</v>
      </c>
      <c r="G1578" s="19" t="s">
        <v>1429</v>
      </c>
      <c r="H1578" s="19" t="s">
        <v>644</v>
      </c>
      <c r="I1578" s="19" t="s">
        <v>1374</v>
      </c>
      <c r="J1578" s="19" t="s">
        <v>37</v>
      </c>
      <c r="K1578" s="19" t="s">
        <v>970</v>
      </c>
      <c r="L1578" s="19">
        <v>2023</v>
      </c>
      <c r="M1578" s="20">
        <v>1</v>
      </c>
      <c r="N1578" s="19" t="s">
        <v>1798</v>
      </c>
      <c r="O1578" s="20">
        <v>13</v>
      </c>
      <c r="P1578" s="20">
        <v>13</v>
      </c>
      <c r="Q1578" s="20">
        <v>86770.055732387147</v>
      </c>
      <c r="R1578" s="21">
        <v>0.91</v>
      </c>
      <c r="S1578" s="20">
        <v>86770.055732387147</v>
      </c>
    </row>
    <row r="1579" spans="2:19" ht="15" customHeight="1" x14ac:dyDescent="0.25">
      <c r="B1579" s="2" t="str">
        <f t="shared" si="48"/>
        <v>PGL_Business_C&amp;I_Rebates_Steam Traps_Industrial/Process Audit - 125 ≤ psig &lt; 175_CI/SMB</v>
      </c>
      <c r="C1579" s="2" t="str">
        <f t="shared" si="49"/>
        <v>PGL_Business_C&amp;I_Rebates_Steam Traps_Industrial/Process Audit - 125 ≤ psig &lt; 175_CI/SMB_2024</v>
      </c>
      <c r="D1579" s="19" t="s">
        <v>1794</v>
      </c>
      <c r="E1579" s="19" t="s">
        <v>3</v>
      </c>
      <c r="F1579" s="19" t="s">
        <v>1427</v>
      </c>
      <c r="G1579" s="19" t="s">
        <v>1429</v>
      </c>
      <c r="H1579" s="19" t="s">
        <v>644</v>
      </c>
      <c r="I1579" s="19" t="s">
        <v>1374</v>
      </c>
      <c r="J1579" s="19" t="s">
        <v>37</v>
      </c>
      <c r="K1579" s="19" t="s">
        <v>970</v>
      </c>
      <c r="L1579" s="19">
        <v>2024</v>
      </c>
      <c r="M1579" s="20">
        <v>1</v>
      </c>
      <c r="N1579" s="19" t="s">
        <v>1798</v>
      </c>
      <c r="O1579" s="20">
        <v>11</v>
      </c>
      <c r="P1579" s="20">
        <v>11</v>
      </c>
      <c r="Q1579" s="20">
        <v>73420.816388942971</v>
      </c>
      <c r="R1579" s="21">
        <v>0.91</v>
      </c>
      <c r="S1579" s="20">
        <v>73420.816388942971</v>
      </c>
    </row>
    <row r="1580" spans="2:19" ht="15" customHeight="1" x14ac:dyDescent="0.25">
      <c r="B1580" s="2" t="str">
        <f t="shared" si="48"/>
        <v>PGL_Business_C&amp;I_Rebates_Steam Traps_Industrial/Process Audit - 125 ≤ psig &lt; 175_CI/SMB</v>
      </c>
      <c r="C1580" s="2" t="str">
        <f t="shared" si="49"/>
        <v>PGL_Business_C&amp;I_Rebates_Steam Traps_Industrial/Process Audit - 125 ≤ psig &lt; 175_CI/SMB_2025</v>
      </c>
      <c r="D1580" s="19" t="s">
        <v>1794</v>
      </c>
      <c r="E1580" s="19" t="s">
        <v>3</v>
      </c>
      <c r="F1580" s="19" t="s">
        <v>1427</v>
      </c>
      <c r="G1580" s="19" t="s">
        <v>1429</v>
      </c>
      <c r="H1580" s="19" t="s">
        <v>644</v>
      </c>
      <c r="I1580" s="19" t="s">
        <v>1374</v>
      </c>
      <c r="J1580" s="19" t="s">
        <v>37</v>
      </c>
      <c r="K1580" s="19" t="s">
        <v>970</v>
      </c>
      <c r="L1580" s="19">
        <v>2025</v>
      </c>
      <c r="M1580" s="20">
        <v>1</v>
      </c>
      <c r="N1580" s="19" t="s">
        <v>1798</v>
      </c>
      <c r="O1580" s="20">
        <v>8</v>
      </c>
      <c r="P1580" s="20">
        <v>8</v>
      </c>
      <c r="Q1580" s="20">
        <v>53396.957373776706</v>
      </c>
      <c r="R1580" s="21">
        <v>0.91</v>
      </c>
      <c r="S1580" s="20">
        <v>53396.957373776706</v>
      </c>
    </row>
    <row r="1581" spans="2:19" ht="15" customHeight="1" x14ac:dyDescent="0.25">
      <c r="B1581" s="2" t="str">
        <f t="shared" si="48"/>
        <v>PGL_Business_C&amp;I_Rebates_Steam Traps_Industrial/Process Audit - 175 ≤ psig &lt; 250_CI/SMB</v>
      </c>
      <c r="C1581" s="2" t="str">
        <f t="shared" si="49"/>
        <v>PGL_Business_C&amp;I_Rebates_Steam Traps_Industrial/Process Audit - 175 ≤ psig &lt; 250_CI/SMB_2022</v>
      </c>
      <c r="D1581" s="19" t="s">
        <v>1794</v>
      </c>
      <c r="E1581" s="19" t="s">
        <v>3</v>
      </c>
      <c r="F1581" s="19" t="s">
        <v>1427</v>
      </c>
      <c r="G1581" s="19" t="s">
        <v>1429</v>
      </c>
      <c r="H1581" s="19" t="s">
        <v>644</v>
      </c>
      <c r="I1581" s="19" t="s">
        <v>1375</v>
      </c>
      <c r="J1581" s="19" t="s">
        <v>37</v>
      </c>
      <c r="K1581" s="19" t="s">
        <v>970</v>
      </c>
      <c r="L1581" s="19">
        <v>2022</v>
      </c>
      <c r="M1581" s="20">
        <v>1</v>
      </c>
      <c r="N1581" s="19" t="s">
        <v>1798</v>
      </c>
      <c r="O1581" s="20">
        <v>2</v>
      </c>
      <c r="P1581" s="20">
        <v>2</v>
      </c>
      <c r="Q1581" s="20">
        <v>18029.73285864784</v>
      </c>
      <c r="R1581" s="21">
        <v>0.91</v>
      </c>
      <c r="S1581" s="20">
        <v>18029.73285864784</v>
      </c>
    </row>
    <row r="1582" spans="2:19" ht="15" customHeight="1" x14ac:dyDescent="0.25">
      <c r="B1582" s="2" t="str">
        <f t="shared" si="48"/>
        <v>PGL_Business_C&amp;I_Rebates_Steam Traps_Industrial/Process Audit - 175 ≤ psig &lt; 250_CI/SMB</v>
      </c>
      <c r="C1582" s="2" t="str">
        <f t="shared" si="49"/>
        <v>PGL_Business_C&amp;I_Rebates_Steam Traps_Industrial/Process Audit - 175 ≤ psig &lt; 250_CI/SMB_2023</v>
      </c>
      <c r="D1582" s="19" t="s">
        <v>1794</v>
      </c>
      <c r="E1582" s="19" t="s">
        <v>3</v>
      </c>
      <c r="F1582" s="19" t="s">
        <v>1427</v>
      </c>
      <c r="G1582" s="19" t="s">
        <v>1429</v>
      </c>
      <c r="H1582" s="19" t="s">
        <v>644</v>
      </c>
      <c r="I1582" s="19" t="s">
        <v>1375</v>
      </c>
      <c r="J1582" s="19" t="s">
        <v>37</v>
      </c>
      <c r="K1582" s="19" t="s">
        <v>970</v>
      </c>
      <c r="L1582" s="19">
        <v>2023</v>
      </c>
      <c r="M1582" s="20">
        <v>1</v>
      </c>
      <c r="N1582" s="19" t="s">
        <v>1798</v>
      </c>
      <c r="O1582" s="20">
        <v>2</v>
      </c>
      <c r="P1582" s="20">
        <v>2</v>
      </c>
      <c r="Q1582" s="20">
        <v>18029.73285864784</v>
      </c>
      <c r="R1582" s="21">
        <v>0.91</v>
      </c>
      <c r="S1582" s="20">
        <v>18029.73285864784</v>
      </c>
    </row>
    <row r="1583" spans="2:19" ht="15" customHeight="1" x14ac:dyDescent="0.25">
      <c r="B1583" s="2" t="str">
        <f t="shared" si="48"/>
        <v>PGL_Business_C&amp;I_Rebates_Steam Traps_Industrial/Process Audit - 175 ≤ psig &lt; 250_CI/SMB</v>
      </c>
      <c r="C1583" s="2" t="str">
        <f t="shared" si="49"/>
        <v>PGL_Business_C&amp;I_Rebates_Steam Traps_Industrial/Process Audit - 175 ≤ psig &lt; 250_CI/SMB_2024</v>
      </c>
      <c r="D1583" s="19" t="s">
        <v>1794</v>
      </c>
      <c r="E1583" s="19" t="s">
        <v>3</v>
      </c>
      <c r="F1583" s="19" t="s">
        <v>1427</v>
      </c>
      <c r="G1583" s="19" t="s">
        <v>1429</v>
      </c>
      <c r="H1583" s="19" t="s">
        <v>644</v>
      </c>
      <c r="I1583" s="19" t="s">
        <v>1375</v>
      </c>
      <c r="J1583" s="19" t="s">
        <v>37</v>
      </c>
      <c r="K1583" s="19" t="s">
        <v>970</v>
      </c>
      <c r="L1583" s="19">
        <v>2024</v>
      </c>
      <c r="M1583" s="20">
        <v>1</v>
      </c>
      <c r="N1583" s="19" t="s">
        <v>1798</v>
      </c>
      <c r="O1583" s="20">
        <v>1</v>
      </c>
      <c r="P1583" s="20">
        <v>1</v>
      </c>
      <c r="Q1583" s="20">
        <v>9014.8664293239199</v>
      </c>
      <c r="R1583" s="21">
        <v>0.91</v>
      </c>
      <c r="S1583" s="20">
        <v>9014.8664293239199</v>
      </c>
    </row>
    <row r="1584" spans="2:19" ht="15" customHeight="1" x14ac:dyDescent="0.25">
      <c r="B1584" s="2" t="str">
        <f t="shared" si="48"/>
        <v>PGL_Business_C&amp;I_Rebates_Steam Traps_Industrial/Process Audit - 175 ≤ psig &lt; 250_CI/SMB</v>
      </c>
      <c r="C1584" s="2" t="str">
        <f t="shared" si="49"/>
        <v>PGL_Business_C&amp;I_Rebates_Steam Traps_Industrial/Process Audit - 175 ≤ psig &lt; 250_CI/SMB_2025</v>
      </c>
      <c r="D1584" s="19" t="s">
        <v>1794</v>
      </c>
      <c r="E1584" s="19" t="s">
        <v>3</v>
      </c>
      <c r="F1584" s="19" t="s">
        <v>1427</v>
      </c>
      <c r="G1584" s="19" t="s">
        <v>1429</v>
      </c>
      <c r="H1584" s="19" t="s">
        <v>644</v>
      </c>
      <c r="I1584" s="19" t="s">
        <v>1375</v>
      </c>
      <c r="J1584" s="19" t="s">
        <v>37</v>
      </c>
      <c r="K1584" s="19" t="s">
        <v>970</v>
      </c>
      <c r="L1584" s="19">
        <v>2025</v>
      </c>
      <c r="M1584" s="20">
        <v>1</v>
      </c>
      <c r="N1584" s="19" t="s">
        <v>1798</v>
      </c>
      <c r="O1584" s="20">
        <v>1</v>
      </c>
      <c r="P1584" s="20">
        <v>1</v>
      </c>
      <c r="Q1584" s="20">
        <v>9014.8664293239199</v>
      </c>
      <c r="R1584" s="21">
        <v>0.91</v>
      </c>
      <c r="S1584" s="20">
        <v>9014.8664293239199</v>
      </c>
    </row>
    <row r="1585" spans="2:19" ht="15" customHeight="1" x14ac:dyDescent="0.25">
      <c r="B1585" s="2" t="str">
        <f t="shared" si="48"/>
        <v>PGL_Business_C&amp;I_Rebates_Steam Traps_Industrial/Process Audit - 250 ≤ psig_CI/SMB</v>
      </c>
      <c r="C1585" s="2" t="str">
        <f t="shared" si="49"/>
        <v>PGL_Business_C&amp;I_Rebates_Steam Traps_Industrial/Process Audit - 250 ≤ psig_CI/SMB_2022</v>
      </c>
      <c r="D1585" s="19" t="s">
        <v>1794</v>
      </c>
      <c r="E1585" s="19" t="s">
        <v>3</v>
      </c>
      <c r="F1585" s="19" t="s">
        <v>1427</v>
      </c>
      <c r="G1585" s="19" t="s">
        <v>1429</v>
      </c>
      <c r="H1585" s="19" t="s">
        <v>644</v>
      </c>
      <c r="I1585" s="19" t="s">
        <v>1376</v>
      </c>
      <c r="J1585" s="19" t="s">
        <v>37</v>
      </c>
      <c r="K1585" s="19" t="s">
        <v>970</v>
      </c>
      <c r="L1585" s="19">
        <v>2022</v>
      </c>
      <c r="M1585" s="20">
        <v>1</v>
      </c>
      <c r="N1585" s="19" t="s">
        <v>1798</v>
      </c>
      <c r="O1585" s="20">
        <v>0</v>
      </c>
      <c r="P1585" s="20">
        <v>0</v>
      </c>
      <c r="Q1585" s="20">
        <v>0</v>
      </c>
      <c r="R1585" s="21">
        <v>0.91</v>
      </c>
      <c r="S1585" s="20">
        <v>0</v>
      </c>
    </row>
    <row r="1586" spans="2:19" ht="15" customHeight="1" x14ac:dyDescent="0.25">
      <c r="B1586" s="2" t="str">
        <f t="shared" si="48"/>
        <v>PGL_Business_C&amp;I_Rebates_Steam Traps_Industrial/Process Audit - 250 ≤ psig_CI/SMB</v>
      </c>
      <c r="C1586" s="2" t="str">
        <f t="shared" si="49"/>
        <v>PGL_Business_C&amp;I_Rebates_Steam Traps_Industrial/Process Audit - 250 ≤ psig_CI/SMB_2023</v>
      </c>
      <c r="D1586" s="19" t="s">
        <v>1794</v>
      </c>
      <c r="E1586" s="19" t="s">
        <v>3</v>
      </c>
      <c r="F1586" s="19" t="s">
        <v>1427</v>
      </c>
      <c r="G1586" s="19" t="s">
        <v>1429</v>
      </c>
      <c r="H1586" s="19" t="s">
        <v>644</v>
      </c>
      <c r="I1586" s="19" t="s">
        <v>1376</v>
      </c>
      <c r="J1586" s="19" t="s">
        <v>37</v>
      </c>
      <c r="K1586" s="19" t="s">
        <v>970</v>
      </c>
      <c r="L1586" s="19">
        <v>2023</v>
      </c>
      <c r="M1586" s="20">
        <v>1</v>
      </c>
      <c r="N1586" s="19" t="s">
        <v>1798</v>
      </c>
      <c r="O1586" s="20">
        <v>0</v>
      </c>
      <c r="P1586" s="20">
        <v>0</v>
      </c>
      <c r="Q1586" s="20">
        <v>0</v>
      </c>
      <c r="R1586" s="21">
        <v>0.91</v>
      </c>
      <c r="S1586" s="20">
        <v>0</v>
      </c>
    </row>
    <row r="1587" spans="2:19" ht="15" customHeight="1" x14ac:dyDescent="0.25">
      <c r="B1587" s="2" t="str">
        <f t="shared" si="48"/>
        <v>PGL_Business_C&amp;I_Rebates_Steam Traps_Industrial/Process Audit - 250 ≤ psig_CI/SMB</v>
      </c>
      <c r="C1587" s="2" t="str">
        <f t="shared" si="49"/>
        <v>PGL_Business_C&amp;I_Rebates_Steam Traps_Industrial/Process Audit - 250 ≤ psig_CI/SMB_2024</v>
      </c>
      <c r="D1587" s="19" t="s">
        <v>1794</v>
      </c>
      <c r="E1587" s="19" t="s">
        <v>3</v>
      </c>
      <c r="F1587" s="19" t="s">
        <v>1427</v>
      </c>
      <c r="G1587" s="19" t="s">
        <v>1429</v>
      </c>
      <c r="H1587" s="19" t="s">
        <v>644</v>
      </c>
      <c r="I1587" s="19" t="s">
        <v>1376</v>
      </c>
      <c r="J1587" s="19" t="s">
        <v>37</v>
      </c>
      <c r="K1587" s="19" t="s">
        <v>970</v>
      </c>
      <c r="L1587" s="19">
        <v>2024</v>
      </c>
      <c r="M1587" s="20">
        <v>1</v>
      </c>
      <c r="N1587" s="19" t="s">
        <v>1798</v>
      </c>
      <c r="O1587" s="20">
        <v>0</v>
      </c>
      <c r="P1587" s="20">
        <v>0</v>
      </c>
      <c r="Q1587" s="20">
        <v>0</v>
      </c>
      <c r="R1587" s="21">
        <v>0.91</v>
      </c>
      <c r="S1587" s="20">
        <v>0</v>
      </c>
    </row>
    <row r="1588" spans="2:19" ht="15" customHeight="1" x14ac:dyDescent="0.25">
      <c r="B1588" s="2" t="str">
        <f t="shared" si="48"/>
        <v>PGL_Business_C&amp;I_Rebates_Steam Traps_Industrial/Process Audit - 250 ≤ psig_CI/SMB</v>
      </c>
      <c r="C1588" s="2" t="str">
        <f t="shared" si="49"/>
        <v>PGL_Business_C&amp;I_Rebates_Steam Traps_Industrial/Process Audit - 250 ≤ psig_CI/SMB_2025</v>
      </c>
      <c r="D1588" s="19" t="s">
        <v>1794</v>
      </c>
      <c r="E1588" s="19" t="s">
        <v>3</v>
      </c>
      <c r="F1588" s="19" t="s">
        <v>1427</v>
      </c>
      <c r="G1588" s="19" t="s">
        <v>1429</v>
      </c>
      <c r="H1588" s="19" t="s">
        <v>644</v>
      </c>
      <c r="I1588" s="19" t="s">
        <v>1376</v>
      </c>
      <c r="J1588" s="19" t="s">
        <v>37</v>
      </c>
      <c r="K1588" s="19" t="s">
        <v>970</v>
      </c>
      <c r="L1588" s="19">
        <v>2025</v>
      </c>
      <c r="M1588" s="20">
        <v>1</v>
      </c>
      <c r="N1588" s="19" t="s">
        <v>1798</v>
      </c>
      <c r="O1588" s="20">
        <v>0</v>
      </c>
      <c r="P1588" s="20">
        <v>0</v>
      </c>
      <c r="Q1588" s="20">
        <v>0</v>
      </c>
      <c r="R1588" s="21">
        <v>0.91</v>
      </c>
      <c r="S1588" s="20">
        <v>0</v>
      </c>
    </row>
    <row r="1589" spans="2:19" ht="15" customHeight="1" x14ac:dyDescent="0.25">
      <c r="B1589" s="2" t="str">
        <f t="shared" si="48"/>
        <v>PGL_Business_C&amp;I_Rebates_Steam Traps_Test_CI</v>
      </c>
      <c r="C1589" s="2" t="str">
        <f t="shared" si="49"/>
        <v>PGL_Business_C&amp;I_Rebates_Steam Traps_Test_CI_2022</v>
      </c>
      <c r="D1589" s="19" t="s">
        <v>1794</v>
      </c>
      <c r="E1589" s="19" t="s">
        <v>3</v>
      </c>
      <c r="F1589" s="19" t="s">
        <v>1427</v>
      </c>
      <c r="G1589" s="19" t="s">
        <v>1429</v>
      </c>
      <c r="H1589" s="19" t="s">
        <v>644</v>
      </c>
      <c r="I1589" s="19" t="s">
        <v>1097</v>
      </c>
      <c r="J1589" s="19">
        <v>0</v>
      </c>
      <c r="K1589" s="19" t="s">
        <v>1159</v>
      </c>
      <c r="L1589" s="19">
        <v>2022</v>
      </c>
      <c r="M1589" s="20">
        <v>1</v>
      </c>
      <c r="N1589" s="19" t="s">
        <v>1798</v>
      </c>
      <c r="O1589" s="20">
        <v>380</v>
      </c>
      <c r="P1589" s="20">
        <v>380</v>
      </c>
      <c r="Q1589" s="20">
        <v>0</v>
      </c>
      <c r="R1589" s="21">
        <v>0.91</v>
      </c>
      <c r="S1589" s="20">
        <v>0</v>
      </c>
    </row>
    <row r="1590" spans="2:19" ht="15" customHeight="1" x14ac:dyDescent="0.25">
      <c r="B1590" s="2" t="str">
        <f t="shared" si="48"/>
        <v>PGL_Business_C&amp;I_Rebates_Steam Traps_Test_CI</v>
      </c>
      <c r="C1590" s="2" t="str">
        <f t="shared" si="49"/>
        <v>PGL_Business_C&amp;I_Rebates_Steam Traps_Test_CI_2023</v>
      </c>
      <c r="D1590" s="19" t="s">
        <v>1794</v>
      </c>
      <c r="E1590" s="19" t="s">
        <v>3</v>
      </c>
      <c r="F1590" s="19" t="s">
        <v>1427</v>
      </c>
      <c r="G1590" s="19" t="s">
        <v>1429</v>
      </c>
      <c r="H1590" s="19" t="s">
        <v>644</v>
      </c>
      <c r="I1590" s="19" t="s">
        <v>1097</v>
      </c>
      <c r="J1590" s="19">
        <v>0</v>
      </c>
      <c r="K1590" s="19" t="s">
        <v>1159</v>
      </c>
      <c r="L1590" s="19">
        <v>2023</v>
      </c>
      <c r="M1590" s="20">
        <v>1</v>
      </c>
      <c r="N1590" s="19" t="s">
        <v>1798</v>
      </c>
      <c r="O1590" s="20">
        <v>352</v>
      </c>
      <c r="P1590" s="20">
        <v>352</v>
      </c>
      <c r="Q1590" s="20">
        <v>0</v>
      </c>
      <c r="R1590" s="21">
        <v>0.91</v>
      </c>
      <c r="S1590" s="20">
        <v>0</v>
      </c>
    </row>
    <row r="1591" spans="2:19" ht="15" customHeight="1" x14ac:dyDescent="0.25">
      <c r="B1591" s="2" t="str">
        <f t="shared" si="48"/>
        <v>PGL_Business_C&amp;I_Rebates_Steam Traps_Test_CI</v>
      </c>
      <c r="C1591" s="2" t="str">
        <f t="shared" si="49"/>
        <v>PGL_Business_C&amp;I_Rebates_Steam Traps_Test_CI_2024</v>
      </c>
      <c r="D1591" s="19" t="s">
        <v>1794</v>
      </c>
      <c r="E1591" s="19" t="s">
        <v>3</v>
      </c>
      <c r="F1591" s="19" t="s">
        <v>1427</v>
      </c>
      <c r="G1591" s="19" t="s">
        <v>1429</v>
      </c>
      <c r="H1591" s="19" t="s">
        <v>644</v>
      </c>
      <c r="I1591" s="19" t="s">
        <v>1097</v>
      </c>
      <c r="J1591" s="19">
        <v>0</v>
      </c>
      <c r="K1591" s="19" t="s">
        <v>1159</v>
      </c>
      <c r="L1591" s="19">
        <v>2024</v>
      </c>
      <c r="M1591" s="20">
        <v>1</v>
      </c>
      <c r="N1591" s="19" t="s">
        <v>1798</v>
      </c>
      <c r="O1591" s="20">
        <v>288</v>
      </c>
      <c r="P1591" s="20">
        <v>288</v>
      </c>
      <c r="Q1591" s="20">
        <v>0</v>
      </c>
      <c r="R1591" s="21">
        <v>0.91</v>
      </c>
      <c r="S1591" s="20">
        <v>0</v>
      </c>
    </row>
    <row r="1592" spans="2:19" ht="15" customHeight="1" x14ac:dyDescent="0.25">
      <c r="B1592" s="2" t="str">
        <f t="shared" si="48"/>
        <v>PGL_Business_C&amp;I_Rebates_Steam Traps_Test_CI</v>
      </c>
      <c r="C1592" s="2" t="str">
        <f t="shared" si="49"/>
        <v>PGL_Business_C&amp;I_Rebates_Steam Traps_Test_CI_2025</v>
      </c>
      <c r="D1592" s="19" t="s">
        <v>1794</v>
      </c>
      <c r="E1592" s="19" t="s">
        <v>3</v>
      </c>
      <c r="F1592" s="19" t="s">
        <v>1427</v>
      </c>
      <c r="G1592" s="19" t="s">
        <v>1429</v>
      </c>
      <c r="H1592" s="19" t="s">
        <v>644</v>
      </c>
      <c r="I1592" s="19" t="s">
        <v>1097</v>
      </c>
      <c r="J1592" s="19">
        <v>0</v>
      </c>
      <c r="K1592" s="19" t="s">
        <v>1159</v>
      </c>
      <c r="L1592" s="19">
        <v>2025</v>
      </c>
      <c r="M1592" s="20">
        <v>1</v>
      </c>
      <c r="N1592" s="19" t="s">
        <v>1798</v>
      </c>
      <c r="O1592" s="20">
        <v>220</v>
      </c>
      <c r="P1592" s="20">
        <v>220</v>
      </c>
      <c r="Q1592" s="20">
        <v>0</v>
      </c>
      <c r="R1592" s="21">
        <v>0.91</v>
      </c>
      <c r="S1592" s="20">
        <v>0</v>
      </c>
    </row>
    <row r="1593" spans="2:19" ht="15" customHeight="1" x14ac:dyDescent="0.25">
      <c r="B1593" s="2" t="str">
        <f t="shared" si="48"/>
        <v>PGL_Business_C&amp;I_Rebates_Programmable Thermostat_0_CI</v>
      </c>
      <c r="C1593" s="2" t="str">
        <f t="shared" si="49"/>
        <v>PGL_Business_C&amp;I_Rebates_Programmable Thermostat_0_CI_2022</v>
      </c>
      <c r="D1593" s="19" t="s">
        <v>1794</v>
      </c>
      <c r="E1593" s="19" t="s">
        <v>3</v>
      </c>
      <c r="F1593" s="19" t="s">
        <v>1427</v>
      </c>
      <c r="G1593" s="19" t="s">
        <v>1429</v>
      </c>
      <c r="H1593" s="19" t="s">
        <v>224</v>
      </c>
      <c r="I1593" s="19">
        <v>0</v>
      </c>
      <c r="J1593" s="19" t="s">
        <v>1183</v>
      </c>
      <c r="K1593" s="19" t="s">
        <v>1159</v>
      </c>
      <c r="L1593" s="19">
        <v>2022</v>
      </c>
      <c r="M1593" s="20">
        <v>1</v>
      </c>
      <c r="N1593" s="19" t="s">
        <v>1798</v>
      </c>
      <c r="O1593" s="20">
        <v>0</v>
      </c>
      <c r="P1593" s="20">
        <v>0</v>
      </c>
      <c r="Q1593" s="20">
        <v>0</v>
      </c>
      <c r="R1593" s="21">
        <v>0.91</v>
      </c>
      <c r="S1593" s="20">
        <v>0</v>
      </c>
    </row>
    <row r="1594" spans="2:19" ht="15" customHeight="1" x14ac:dyDescent="0.25">
      <c r="B1594" s="2" t="str">
        <f t="shared" si="48"/>
        <v>PGL_Business_C&amp;I_Rebates_Programmable Thermostat_0_CI</v>
      </c>
      <c r="C1594" s="2" t="str">
        <f t="shared" si="49"/>
        <v>PGL_Business_C&amp;I_Rebates_Programmable Thermostat_0_CI_2023</v>
      </c>
      <c r="D1594" s="19" t="s">
        <v>1794</v>
      </c>
      <c r="E1594" s="19" t="s">
        <v>3</v>
      </c>
      <c r="F1594" s="19" t="s">
        <v>1427</v>
      </c>
      <c r="G1594" s="19" t="s">
        <v>1429</v>
      </c>
      <c r="H1594" s="19" t="s">
        <v>224</v>
      </c>
      <c r="I1594" s="19">
        <v>0</v>
      </c>
      <c r="J1594" s="19" t="s">
        <v>1183</v>
      </c>
      <c r="K1594" s="19" t="s">
        <v>1159</v>
      </c>
      <c r="L1594" s="19">
        <v>2023</v>
      </c>
      <c r="M1594" s="20">
        <v>1</v>
      </c>
      <c r="N1594" s="19" t="s">
        <v>1798</v>
      </c>
      <c r="O1594" s="20">
        <v>0</v>
      </c>
      <c r="P1594" s="20">
        <v>0</v>
      </c>
      <c r="Q1594" s="20">
        <v>0</v>
      </c>
      <c r="R1594" s="21">
        <v>0.91</v>
      </c>
      <c r="S1594" s="20">
        <v>0</v>
      </c>
    </row>
    <row r="1595" spans="2:19" ht="15" customHeight="1" x14ac:dyDescent="0.25">
      <c r="B1595" s="2" t="str">
        <f t="shared" si="48"/>
        <v>PGL_Business_C&amp;I_Rebates_Programmable Thermostat_0_CI</v>
      </c>
      <c r="C1595" s="2" t="str">
        <f t="shared" si="49"/>
        <v>PGL_Business_C&amp;I_Rebates_Programmable Thermostat_0_CI_2024</v>
      </c>
      <c r="D1595" s="19" t="s">
        <v>1794</v>
      </c>
      <c r="E1595" s="19" t="s">
        <v>3</v>
      </c>
      <c r="F1595" s="19" t="s">
        <v>1427</v>
      </c>
      <c r="G1595" s="19" t="s">
        <v>1429</v>
      </c>
      <c r="H1595" s="19" t="s">
        <v>224</v>
      </c>
      <c r="I1595" s="19">
        <v>0</v>
      </c>
      <c r="J1595" s="19" t="s">
        <v>1183</v>
      </c>
      <c r="K1595" s="19" t="s">
        <v>1159</v>
      </c>
      <c r="L1595" s="19">
        <v>2024</v>
      </c>
      <c r="M1595" s="20">
        <v>1</v>
      </c>
      <c r="N1595" s="19" t="s">
        <v>1798</v>
      </c>
      <c r="O1595" s="20">
        <v>0</v>
      </c>
      <c r="P1595" s="20">
        <v>0</v>
      </c>
      <c r="Q1595" s="20">
        <v>0</v>
      </c>
      <c r="R1595" s="21">
        <v>0.91</v>
      </c>
      <c r="S1595" s="20">
        <v>0</v>
      </c>
    </row>
    <row r="1596" spans="2:19" ht="15" customHeight="1" x14ac:dyDescent="0.25">
      <c r="B1596" s="2" t="str">
        <f t="shared" si="48"/>
        <v>PGL_Business_C&amp;I_Rebates_Programmable Thermostat_0_CI</v>
      </c>
      <c r="C1596" s="2" t="str">
        <f t="shared" si="49"/>
        <v>PGL_Business_C&amp;I_Rebates_Programmable Thermostat_0_CI_2025</v>
      </c>
      <c r="D1596" s="19" t="s">
        <v>1794</v>
      </c>
      <c r="E1596" s="19" t="s">
        <v>3</v>
      </c>
      <c r="F1596" s="19" t="s">
        <v>1427</v>
      </c>
      <c r="G1596" s="19" t="s">
        <v>1429</v>
      </c>
      <c r="H1596" s="19" t="s">
        <v>224</v>
      </c>
      <c r="I1596" s="19">
        <v>0</v>
      </c>
      <c r="J1596" s="19" t="s">
        <v>1183</v>
      </c>
      <c r="K1596" s="19" t="s">
        <v>1159</v>
      </c>
      <c r="L1596" s="19">
        <v>2025</v>
      </c>
      <c r="M1596" s="20">
        <v>1</v>
      </c>
      <c r="N1596" s="19" t="s">
        <v>1798</v>
      </c>
      <c r="O1596" s="20">
        <v>0</v>
      </c>
      <c r="P1596" s="20">
        <v>0</v>
      </c>
      <c r="Q1596" s="20">
        <v>0</v>
      </c>
      <c r="R1596" s="21">
        <v>0.91</v>
      </c>
      <c r="S1596" s="20">
        <v>0</v>
      </c>
    </row>
    <row r="1597" spans="2:19" ht="15" customHeight="1" x14ac:dyDescent="0.25">
      <c r="B1597" s="2" t="str">
        <f t="shared" si="48"/>
        <v>PGL_Business_C&amp;I_Rebates_Water Heater_Storage 88% TE ≥75MBh_CI</v>
      </c>
      <c r="C1597" s="2" t="str">
        <f t="shared" si="49"/>
        <v>PGL_Business_C&amp;I_Rebates_Water Heater_Storage 88% TE ≥75MBh_CI_2022</v>
      </c>
      <c r="D1597" s="19" t="s">
        <v>1794</v>
      </c>
      <c r="E1597" s="19" t="s">
        <v>3</v>
      </c>
      <c r="F1597" s="19" t="s">
        <v>1427</v>
      </c>
      <c r="G1597" s="19" t="s">
        <v>1429</v>
      </c>
      <c r="H1597" s="19" t="s">
        <v>8</v>
      </c>
      <c r="I1597" s="19" t="s">
        <v>1262</v>
      </c>
      <c r="J1597" s="19" t="s">
        <v>1263</v>
      </c>
      <c r="K1597" s="19" t="s">
        <v>1159</v>
      </c>
      <c r="L1597" s="19">
        <v>2022</v>
      </c>
      <c r="M1597" s="20">
        <v>1</v>
      </c>
      <c r="N1597" s="19" t="s">
        <v>1798</v>
      </c>
      <c r="O1597" s="20">
        <v>0</v>
      </c>
      <c r="P1597" s="20">
        <v>0</v>
      </c>
      <c r="Q1597" s="20">
        <v>0</v>
      </c>
      <c r="R1597" s="21">
        <v>0.91</v>
      </c>
      <c r="S1597" s="20">
        <v>0</v>
      </c>
    </row>
    <row r="1598" spans="2:19" ht="15" customHeight="1" x14ac:dyDescent="0.25">
      <c r="B1598" s="2" t="str">
        <f t="shared" si="48"/>
        <v>PGL_Business_C&amp;I_Rebates_Water Heater_Storage 88% TE ≥75MBh_CI</v>
      </c>
      <c r="C1598" s="2" t="str">
        <f t="shared" si="49"/>
        <v>PGL_Business_C&amp;I_Rebates_Water Heater_Storage 88% TE ≥75MBh_CI_2023</v>
      </c>
      <c r="D1598" s="19" t="s">
        <v>1794</v>
      </c>
      <c r="E1598" s="19" t="s">
        <v>3</v>
      </c>
      <c r="F1598" s="19" t="s">
        <v>1427</v>
      </c>
      <c r="G1598" s="19" t="s">
        <v>1429</v>
      </c>
      <c r="H1598" s="19" t="s">
        <v>8</v>
      </c>
      <c r="I1598" s="19" t="s">
        <v>1262</v>
      </c>
      <c r="J1598" s="19" t="s">
        <v>1263</v>
      </c>
      <c r="K1598" s="19" t="s">
        <v>1159</v>
      </c>
      <c r="L1598" s="19">
        <v>2023</v>
      </c>
      <c r="M1598" s="20">
        <v>1</v>
      </c>
      <c r="N1598" s="19" t="s">
        <v>1798</v>
      </c>
      <c r="O1598" s="20">
        <v>0</v>
      </c>
      <c r="P1598" s="20">
        <v>0</v>
      </c>
      <c r="Q1598" s="20">
        <v>0</v>
      </c>
      <c r="R1598" s="21">
        <v>0.91</v>
      </c>
      <c r="S1598" s="20">
        <v>0</v>
      </c>
    </row>
    <row r="1599" spans="2:19" ht="15" customHeight="1" x14ac:dyDescent="0.25">
      <c r="B1599" s="2" t="str">
        <f t="shared" si="48"/>
        <v>PGL_Business_C&amp;I_Rebates_Water Heater_Storage 88% TE ≥75MBh_CI</v>
      </c>
      <c r="C1599" s="2" t="str">
        <f t="shared" si="49"/>
        <v>PGL_Business_C&amp;I_Rebates_Water Heater_Storage 88% TE ≥75MBh_CI_2024</v>
      </c>
      <c r="D1599" s="19" t="s">
        <v>1794</v>
      </c>
      <c r="E1599" s="19" t="s">
        <v>3</v>
      </c>
      <c r="F1599" s="19" t="s">
        <v>1427</v>
      </c>
      <c r="G1599" s="19" t="s">
        <v>1429</v>
      </c>
      <c r="H1599" s="19" t="s">
        <v>8</v>
      </c>
      <c r="I1599" s="19" t="s">
        <v>1262</v>
      </c>
      <c r="J1599" s="19" t="s">
        <v>1263</v>
      </c>
      <c r="K1599" s="19" t="s">
        <v>1159</v>
      </c>
      <c r="L1599" s="19">
        <v>2024</v>
      </c>
      <c r="M1599" s="20">
        <v>1</v>
      </c>
      <c r="N1599" s="19" t="s">
        <v>1798</v>
      </c>
      <c r="O1599" s="20">
        <v>0</v>
      </c>
      <c r="P1599" s="20">
        <v>0</v>
      </c>
      <c r="Q1599" s="20">
        <v>0</v>
      </c>
      <c r="R1599" s="21">
        <v>0.91</v>
      </c>
      <c r="S1599" s="20">
        <v>0</v>
      </c>
    </row>
    <row r="1600" spans="2:19" ht="15" customHeight="1" x14ac:dyDescent="0.25">
      <c r="B1600" s="2" t="str">
        <f t="shared" si="48"/>
        <v>PGL_Business_C&amp;I_Rebates_Water Heater_Storage 88% TE ≥75MBh_CI</v>
      </c>
      <c r="C1600" s="2" t="str">
        <f t="shared" si="49"/>
        <v>PGL_Business_C&amp;I_Rebates_Water Heater_Storage 88% TE ≥75MBh_CI_2025</v>
      </c>
      <c r="D1600" s="19" t="s">
        <v>1794</v>
      </c>
      <c r="E1600" s="19" t="s">
        <v>3</v>
      </c>
      <c r="F1600" s="19" t="s">
        <v>1427</v>
      </c>
      <c r="G1600" s="19" t="s">
        <v>1429</v>
      </c>
      <c r="H1600" s="19" t="s">
        <v>8</v>
      </c>
      <c r="I1600" s="19" t="s">
        <v>1262</v>
      </c>
      <c r="J1600" s="19" t="s">
        <v>1263</v>
      </c>
      <c r="K1600" s="19" t="s">
        <v>1159</v>
      </c>
      <c r="L1600" s="19">
        <v>2025</v>
      </c>
      <c r="M1600" s="20">
        <v>1</v>
      </c>
      <c r="N1600" s="19" t="s">
        <v>1798</v>
      </c>
      <c r="O1600" s="20">
        <v>0</v>
      </c>
      <c r="P1600" s="20">
        <v>0</v>
      </c>
      <c r="Q1600" s="20">
        <v>0</v>
      </c>
      <c r="R1600" s="21">
        <v>0.91</v>
      </c>
      <c r="S1600" s="20">
        <v>0</v>
      </c>
    </row>
    <row r="1601" spans="2:19" ht="15" customHeight="1" x14ac:dyDescent="0.25">
      <c r="B1601" s="2" t="str">
        <f t="shared" si="48"/>
        <v>PGL_Business_C&amp;I_Rebates_Water Heater_Central Lodging 88% TE_CI</v>
      </c>
      <c r="C1601" s="2" t="str">
        <f t="shared" si="49"/>
        <v>PGL_Business_C&amp;I_Rebates_Water Heater_Central Lodging 88% TE_CI_2022</v>
      </c>
      <c r="D1601" s="19" t="s">
        <v>1794</v>
      </c>
      <c r="E1601" s="19" t="s">
        <v>3</v>
      </c>
      <c r="F1601" s="19" t="s">
        <v>1427</v>
      </c>
      <c r="G1601" s="19" t="s">
        <v>1429</v>
      </c>
      <c r="H1601" s="19" t="s">
        <v>8</v>
      </c>
      <c r="I1601" s="19" t="s">
        <v>1304</v>
      </c>
      <c r="J1601" s="19" t="s">
        <v>30</v>
      </c>
      <c r="K1601" s="19" t="s">
        <v>1159</v>
      </c>
      <c r="L1601" s="19">
        <v>2022</v>
      </c>
      <c r="M1601" s="20">
        <v>150</v>
      </c>
      <c r="N1601" s="19" t="s">
        <v>667</v>
      </c>
      <c r="O1601" s="20">
        <v>0</v>
      </c>
      <c r="P1601" s="20">
        <v>0</v>
      </c>
      <c r="Q1601" s="20">
        <v>0</v>
      </c>
      <c r="R1601" s="21">
        <v>0.91</v>
      </c>
      <c r="S1601" s="20">
        <v>0</v>
      </c>
    </row>
    <row r="1602" spans="2:19" ht="15" customHeight="1" x14ac:dyDescent="0.25">
      <c r="B1602" s="2" t="str">
        <f t="shared" si="48"/>
        <v>PGL_Business_C&amp;I_Rebates_Water Heater_Central Lodging 88% TE_CI</v>
      </c>
      <c r="C1602" s="2" t="str">
        <f t="shared" si="49"/>
        <v>PGL_Business_C&amp;I_Rebates_Water Heater_Central Lodging 88% TE_CI_2023</v>
      </c>
      <c r="D1602" s="19" t="s">
        <v>1794</v>
      </c>
      <c r="E1602" s="19" t="s">
        <v>3</v>
      </c>
      <c r="F1602" s="19" t="s">
        <v>1427</v>
      </c>
      <c r="G1602" s="19" t="s">
        <v>1429</v>
      </c>
      <c r="H1602" s="19" t="s">
        <v>8</v>
      </c>
      <c r="I1602" s="19" t="s">
        <v>1304</v>
      </c>
      <c r="J1602" s="19" t="s">
        <v>30</v>
      </c>
      <c r="K1602" s="19" t="s">
        <v>1159</v>
      </c>
      <c r="L1602" s="19">
        <v>2023</v>
      </c>
      <c r="M1602" s="20">
        <v>150</v>
      </c>
      <c r="N1602" s="19" t="s">
        <v>667</v>
      </c>
      <c r="O1602" s="20">
        <v>0</v>
      </c>
      <c r="P1602" s="20">
        <v>0</v>
      </c>
      <c r="Q1602" s="20">
        <v>0</v>
      </c>
      <c r="R1602" s="21">
        <v>0.91</v>
      </c>
      <c r="S1602" s="20">
        <v>0</v>
      </c>
    </row>
    <row r="1603" spans="2:19" ht="15" customHeight="1" x14ac:dyDescent="0.25">
      <c r="B1603" s="2" t="str">
        <f t="shared" si="48"/>
        <v>PGL_Business_C&amp;I_Rebates_Water Heater_Central Lodging 88% TE_CI</v>
      </c>
      <c r="C1603" s="2" t="str">
        <f t="shared" si="49"/>
        <v>PGL_Business_C&amp;I_Rebates_Water Heater_Central Lodging 88% TE_CI_2024</v>
      </c>
      <c r="D1603" s="19" t="s">
        <v>1794</v>
      </c>
      <c r="E1603" s="19" t="s">
        <v>3</v>
      </c>
      <c r="F1603" s="19" t="s">
        <v>1427</v>
      </c>
      <c r="G1603" s="19" t="s">
        <v>1429</v>
      </c>
      <c r="H1603" s="19" t="s">
        <v>8</v>
      </c>
      <c r="I1603" s="19" t="s">
        <v>1304</v>
      </c>
      <c r="J1603" s="19" t="s">
        <v>30</v>
      </c>
      <c r="K1603" s="19" t="s">
        <v>1159</v>
      </c>
      <c r="L1603" s="19">
        <v>2024</v>
      </c>
      <c r="M1603" s="20">
        <v>150</v>
      </c>
      <c r="N1603" s="19" t="s">
        <v>667</v>
      </c>
      <c r="O1603" s="20">
        <v>0</v>
      </c>
      <c r="P1603" s="20">
        <v>0</v>
      </c>
      <c r="Q1603" s="20">
        <v>0</v>
      </c>
      <c r="R1603" s="21">
        <v>0.91</v>
      </c>
      <c r="S1603" s="20">
        <v>0</v>
      </c>
    </row>
    <row r="1604" spans="2:19" ht="15" customHeight="1" x14ac:dyDescent="0.25">
      <c r="B1604" s="2" t="str">
        <f t="shared" si="48"/>
        <v>PGL_Business_C&amp;I_Rebates_Water Heater_Central Lodging 88% TE_CI</v>
      </c>
      <c r="C1604" s="2" t="str">
        <f t="shared" si="49"/>
        <v>PGL_Business_C&amp;I_Rebates_Water Heater_Central Lodging 88% TE_CI_2025</v>
      </c>
      <c r="D1604" s="19" t="s">
        <v>1794</v>
      </c>
      <c r="E1604" s="19" t="s">
        <v>3</v>
      </c>
      <c r="F1604" s="19" t="s">
        <v>1427</v>
      </c>
      <c r="G1604" s="19" t="s">
        <v>1429</v>
      </c>
      <c r="H1604" s="19" t="s">
        <v>8</v>
      </c>
      <c r="I1604" s="19" t="s">
        <v>1304</v>
      </c>
      <c r="J1604" s="19" t="s">
        <v>30</v>
      </c>
      <c r="K1604" s="19" t="s">
        <v>1159</v>
      </c>
      <c r="L1604" s="19">
        <v>2025</v>
      </c>
      <c r="M1604" s="20">
        <v>150</v>
      </c>
      <c r="N1604" s="19" t="s">
        <v>667</v>
      </c>
      <c r="O1604" s="20">
        <v>0</v>
      </c>
      <c r="P1604" s="20">
        <v>0</v>
      </c>
      <c r="Q1604" s="20">
        <v>0</v>
      </c>
      <c r="R1604" s="21">
        <v>0.91</v>
      </c>
      <c r="S1604" s="20">
        <v>0</v>
      </c>
    </row>
    <row r="1605" spans="2:19" ht="15" customHeight="1" x14ac:dyDescent="0.25">
      <c r="B1605" s="2" t="str">
        <f t="shared" si="48"/>
        <v>PGL_Business_C&amp;I_Rebates_Energy Recovery Ventilator_0_CI</v>
      </c>
      <c r="C1605" s="2" t="str">
        <f t="shared" si="49"/>
        <v>PGL_Business_C&amp;I_Rebates_Energy Recovery Ventilator_0_CI_2022</v>
      </c>
      <c r="D1605" s="19" t="s">
        <v>1794</v>
      </c>
      <c r="E1605" s="19" t="s">
        <v>3</v>
      </c>
      <c r="F1605" s="19" t="s">
        <v>1427</v>
      </c>
      <c r="G1605" s="19" t="s">
        <v>1429</v>
      </c>
      <c r="H1605" s="19" t="s">
        <v>11</v>
      </c>
      <c r="I1605" s="19">
        <v>0</v>
      </c>
      <c r="J1605" s="19" t="s">
        <v>27</v>
      </c>
      <c r="K1605" s="19" t="s">
        <v>1159</v>
      </c>
      <c r="L1605" s="19">
        <v>2022</v>
      </c>
      <c r="M1605" s="20">
        <v>1</v>
      </c>
      <c r="N1605" s="19" t="s">
        <v>331</v>
      </c>
      <c r="O1605" s="20">
        <v>0</v>
      </c>
      <c r="P1605" s="20">
        <v>0</v>
      </c>
      <c r="Q1605" s="20">
        <v>0</v>
      </c>
      <c r="R1605" s="21">
        <v>0.91</v>
      </c>
      <c r="S1605" s="20">
        <v>0</v>
      </c>
    </row>
    <row r="1606" spans="2:19" ht="15" customHeight="1" x14ac:dyDescent="0.25">
      <c r="B1606" s="2" t="str">
        <f t="shared" ref="B1606:B1669" si="50">D1606&amp;"_"&amp;E1606&amp;"_"&amp;F1606&amp;"_"&amp;G1606&amp;"_"&amp;H1606&amp;"_"&amp;I1606&amp;"_"&amp;K1606</f>
        <v>PGL_Business_C&amp;I_Rebates_Energy Recovery Ventilator_0_CI</v>
      </c>
      <c r="C1606" s="2" t="str">
        <f t="shared" ref="C1606:C1669" si="51">D1606&amp;"_"&amp;E1606&amp;"_"&amp;F1606&amp;"_"&amp;G1606&amp;"_"&amp;H1606&amp;"_"&amp;I1606&amp;"_"&amp;K1606&amp;"_"&amp;L1606</f>
        <v>PGL_Business_C&amp;I_Rebates_Energy Recovery Ventilator_0_CI_2023</v>
      </c>
      <c r="D1606" s="19" t="s">
        <v>1794</v>
      </c>
      <c r="E1606" s="19" t="s">
        <v>3</v>
      </c>
      <c r="F1606" s="19" t="s">
        <v>1427</v>
      </c>
      <c r="G1606" s="19" t="s">
        <v>1429</v>
      </c>
      <c r="H1606" s="19" t="s">
        <v>11</v>
      </c>
      <c r="I1606" s="19">
        <v>0</v>
      </c>
      <c r="J1606" s="19" t="s">
        <v>27</v>
      </c>
      <c r="K1606" s="19" t="s">
        <v>1159</v>
      </c>
      <c r="L1606" s="19">
        <v>2023</v>
      </c>
      <c r="M1606" s="20">
        <v>1</v>
      </c>
      <c r="N1606" s="19" t="s">
        <v>331</v>
      </c>
      <c r="O1606" s="20">
        <v>0</v>
      </c>
      <c r="P1606" s="20">
        <v>0</v>
      </c>
      <c r="Q1606" s="20">
        <v>0</v>
      </c>
      <c r="R1606" s="21">
        <v>0.91</v>
      </c>
      <c r="S1606" s="20">
        <v>0</v>
      </c>
    </row>
    <row r="1607" spans="2:19" ht="15" customHeight="1" x14ac:dyDescent="0.25">
      <c r="B1607" s="2" t="str">
        <f t="shared" si="50"/>
        <v>PGL_Business_C&amp;I_Rebates_Energy Recovery Ventilator_0_CI</v>
      </c>
      <c r="C1607" s="2" t="str">
        <f t="shared" si="51"/>
        <v>PGL_Business_C&amp;I_Rebates_Energy Recovery Ventilator_0_CI_2024</v>
      </c>
      <c r="D1607" s="19" t="s">
        <v>1794</v>
      </c>
      <c r="E1607" s="19" t="s">
        <v>3</v>
      </c>
      <c r="F1607" s="19" t="s">
        <v>1427</v>
      </c>
      <c r="G1607" s="19" t="s">
        <v>1429</v>
      </c>
      <c r="H1607" s="19" t="s">
        <v>11</v>
      </c>
      <c r="I1607" s="19">
        <v>0</v>
      </c>
      <c r="J1607" s="19" t="s">
        <v>27</v>
      </c>
      <c r="K1607" s="19" t="s">
        <v>1159</v>
      </c>
      <c r="L1607" s="19">
        <v>2024</v>
      </c>
      <c r="M1607" s="20">
        <v>1</v>
      </c>
      <c r="N1607" s="19" t="s">
        <v>331</v>
      </c>
      <c r="O1607" s="20">
        <v>0</v>
      </c>
      <c r="P1607" s="20">
        <v>0</v>
      </c>
      <c r="Q1607" s="20">
        <v>0</v>
      </c>
      <c r="R1607" s="21">
        <v>0.91</v>
      </c>
      <c r="S1607" s="20">
        <v>0</v>
      </c>
    </row>
    <row r="1608" spans="2:19" ht="15" customHeight="1" x14ac:dyDescent="0.25">
      <c r="B1608" s="2" t="str">
        <f t="shared" si="50"/>
        <v>PGL_Business_C&amp;I_Rebates_Energy Recovery Ventilator_0_CI</v>
      </c>
      <c r="C1608" s="2" t="str">
        <f t="shared" si="51"/>
        <v>PGL_Business_C&amp;I_Rebates_Energy Recovery Ventilator_0_CI_2025</v>
      </c>
      <c r="D1608" s="19" t="s">
        <v>1794</v>
      </c>
      <c r="E1608" s="19" t="s">
        <v>3</v>
      </c>
      <c r="F1608" s="19" t="s">
        <v>1427</v>
      </c>
      <c r="G1608" s="19" t="s">
        <v>1429</v>
      </c>
      <c r="H1608" s="19" t="s">
        <v>11</v>
      </c>
      <c r="I1608" s="19">
        <v>0</v>
      </c>
      <c r="J1608" s="19" t="s">
        <v>27</v>
      </c>
      <c r="K1608" s="19" t="s">
        <v>1159</v>
      </c>
      <c r="L1608" s="19">
        <v>2025</v>
      </c>
      <c r="M1608" s="20">
        <v>1</v>
      </c>
      <c r="N1608" s="19" t="s">
        <v>331</v>
      </c>
      <c r="O1608" s="20">
        <v>0</v>
      </c>
      <c r="P1608" s="20">
        <v>0</v>
      </c>
      <c r="Q1608" s="20">
        <v>0</v>
      </c>
      <c r="R1608" s="21">
        <v>0.91</v>
      </c>
      <c r="S1608" s="20">
        <v>0</v>
      </c>
    </row>
    <row r="1609" spans="2:19" ht="15" customHeight="1" x14ac:dyDescent="0.25">
      <c r="B1609" s="2" t="str">
        <f t="shared" si="50"/>
        <v>PGL_Business_C&amp;I_Strategic Energy Management_Strategic Energy Management_0_CI</v>
      </c>
      <c r="C1609" s="2" t="str">
        <f t="shared" si="51"/>
        <v>PGL_Business_C&amp;I_Strategic Energy Management_Strategic Energy Management_0_CI_2022</v>
      </c>
      <c r="D1609" s="19" t="s">
        <v>1794</v>
      </c>
      <c r="E1609" s="19" t="s">
        <v>3</v>
      </c>
      <c r="F1609" s="19" t="s">
        <v>1427</v>
      </c>
      <c r="G1609" s="19" t="s">
        <v>1397</v>
      </c>
      <c r="H1609" s="19" t="s">
        <v>1397</v>
      </c>
      <c r="I1609" s="19">
        <v>0</v>
      </c>
      <c r="J1609" s="19">
        <v>0</v>
      </c>
      <c r="K1609" s="19" t="s">
        <v>1159</v>
      </c>
      <c r="L1609" s="19">
        <v>2022</v>
      </c>
      <c r="M1609" s="20">
        <v>24824.384615384617</v>
      </c>
      <c r="N1609" s="19" t="s">
        <v>609</v>
      </c>
      <c r="O1609" s="20">
        <v>8</v>
      </c>
      <c r="P1609" s="20">
        <v>198595.07692307694</v>
      </c>
      <c r="Q1609" s="20">
        <v>198595.07692307694</v>
      </c>
      <c r="R1609" s="21">
        <v>1</v>
      </c>
      <c r="S1609" s="20">
        <v>198595.07692307694</v>
      </c>
    </row>
    <row r="1610" spans="2:19" ht="15" customHeight="1" x14ac:dyDescent="0.25">
      <c r="B1610" s="2" t="str">
        <f t="shared" si="50"/>
        <v>PGL_Business_C&amp;I_Strategic Energy Management_Strategic Energy Management_0_CI</v>
      </c>
      <c r="C1610" s="2" t="str">
        <f t="shared" si="51"/>
        <v>PGL_Business_C&amp;I_Strategic Energy Management_Strategic Energy Management_0_CI_2023</v>
      </c>
      <c r="D1610" s="19" t="s">
        <v>1794</v>
      </c>
      <c r="E1610" s="19" t="s">
        <v>3</v>
      </c>
      <c r="F1610" s="19" t="s">
        <v>1427</v>
      </c>
      <c r="G1610" s="19" t="s">
        <v>1397</v>
      </c>
      <c r="H1610" s="19" t="s">
        <v>1397</v>
      </c>
      <c r="I1610" s="19">
        <v>0</v>
      </c>
      <c r="J1610" s="19">
        <v>0</v>
      </c>
      <c r="K1610" s="19" t="s">
        <v>1159</v>
      </c>
      <c r="L1610" s="19">
        <v>2023</v>
      </c>
      <c r="M1610" s="20">
        <v>24824.384615384617</v>
      </c>
      <c r="N1610" s="19" t="s">
        <v>609</v>
      </c>
      <c r="O1610" s="20">
        <v>7</v>
      </c>
      <c r="P1610" s="20">
        <v>173770.69230769231</v>
      </c>
      <c r="Q1610" s="20">
        <v>173770.69230769231</v>
      </c>
      <c r="R1610" s="21">
        <v>1</v>
      </c>
      <c r="S1610" s="20">
        <v>173770.69230769231</v>
      </c>
    </row>
    <row r="1611" spans="2:19" ht="15" customHeight="1" x14ac:dyDescent="0.25">
      <c r="B1611" s="2" t="str">
        <f t="shared" si="50"/>
        <v>PGL_Business_C&amp;I_Strategic Energy Management_Strategic Energy Management_0_CI</v>
      </c>
      <c r="C1611" s="2" t="str">
        <f t="shared" si="51"/>
        <v>PGL_Business_C&amp;I_Strategic Energy Management_Strategic Energy Management_0_CI_2024</v>
      </c>
      <c r="D1611" s="19" t="s">
        <v>1794</v>
      </c>
      <c r="E1611" s="19" t="s">
        <v>3</v>
      </c>
      <c r="F1611" s="19" t="s">
        <v>1427</v>
      </c>
      <c r="G1611" s="19" t="s">
        <v>1397</v>
      </c>
      <c r="H1611" s="19" t="s">
        <v>1397</v>
      </c>
      <c r="I1611" s="19">
        <v>0</v>
      </c>
      <c r="J1611" s="19">
        <v>0</v>
      </c>
      <c r="K1611" s="19" t="s">
        <v>1159</v>
      </c>
      <c r="L1611" s="19">
        <v>2024</v>
      </c>
      <c r="M1611" s="20">
        <v>24824.384615384617</v>
      </c>
      <c r="N1611" s="19" t="s">
        <v>609</v>
      </c>
      <c r="O1611" s="20">
        <v>6</v>
      </c>
      <c r="P1611" s="20">
        <v>148946.30769230769</v>
      </c>
      <c r="Q1611" s="20">
        <v>148946.30769230769</v>
      </c>
      <c r="R1611" s="21">
        <v>1</v>
      </c>
      <c r="S1611" s="20">
        <v>148946.30769230769</v>
      </c>
    </row>
    <row r="1612" spans="2:19" ht="15" customHeight="1" x14ac:dyDescent="0.25">
      <c r="B1612" s="2" t="str">
        <f t="shared" si="50"/>
        <v>PGL_Business_C&amp;I_Strategic Energy Management_Strategic Energy Management_0_CI</v>
      </c>
      <c r="C1612" s="2" t="str">
        <f t="shared" si="51"/>
        <v>PGL_Business_C&amp;I_Strategic Energy Management_Strategic Energy Management_0_CI_2025</v>
      </c>
      <c r="D1612" s="19" t="s">
        <v>1794</v>
      </c>
      <c r="E1612" s="19" t="s">
        <v>3</v>
      </c>
      <c r="F1612" s="19" t="s">
        <v>1427</v>
      </c>
      <c r="G1612" s="19" t="s">
        <v>1397</v>
      </c>
      <c r="H1612" s="19" t="s">
        <v>1397</v>
      </c>
      <c r="I1612" s="19">
        <v>0</v>
      </c>
      <c r="J1612" s="19">
        <v>0</v>
      </c>
      <c r="K1612" s="19" t="s">
        <v>1159</v>
      </c>
      <c r="L1612" s="19">
        <v>2025</v>
      </c>
      <c r="M1612" s="20">
        <v>24824.384615384617</v>
      </c>
      <c r="N1612" s="19" t="s">
        <v>609</v>
      </c>
      <c r="O1612" s="20">
        <v>4</v>
      </c>
      <c r="P1612" s="20">
        <v>99297.538461538468</v>
      </c>
      <c r="Q1612" s="20">
        <v>99297.538461538468</v>
      </c>
      <c r="R1612" s="21">
        <v>1</v>
      </c>
      <c r="S1612" s="20">
        <v>99297.538461538468</v>
      </c>
    </row>
    <row r="1613" spans="2:19" ht="15" customHeight="1" x14ac:dyDescent="0.25">
      <c r="B1613" s="2" t="str">
        <f t="shared" si="50"/>
        <v>PGL_Business_C&amp;I_Custom_C&amp;I Custom_0_CI</v>
      </c>
      <c r="C1613" s="2" t="str">
        <f t="shared" si="51"/>
        <v>PGL_Business_C&amp;I_Custom_C&amp;I Custom_0_CI_2022</v>
      </c>
      <c r="D1613" s="19" t="s">
        <v>1794</v>
      </c>
      <c r="E1613" s="19" t="s">
        <v>3</v>
      </c>
      <c r="F1613" s="19" t="s">
        <v>1427</v>
      </c>
      <c r="G1613" s="19" t="s">
        <v>5</v>
      </c>
      <c r="H1613" s="19" t="s">
        <v>1285</v>
      </c>
      <c r="I1613" s="19">
        <v>0</v>
      </c>
      <c r="J1613" s="19">
        <v>0</v>
      </c>
      <c r="K1613" s="19" t="s">
        <v>1159</v>
      </c>
      <c r="L1613" s="19">
        <v>2022</v>
      </c>
      <c r="M1613" s="20">
        <v>54478.875</v>
      </c>
      <c r="N1613" s="19" t="s">
        <v>609</v>
      </c>
      <c r="O1613" s="20">
        <v>9</v>
      </c>
      <c r="P1613" s="20">
        <v>490309.875</v>
      </c>
      <c r="Q1613" s="20">
        <v>362829.3075</v>
      </c>
      <c r="R1613" s="21">
        <v>0.74</v>
      </c>
      <c r="S1613" s="20">
        <v>362829.3075</v>
      </c>
    </row>
    <row r="1614" spans="2:19" ht="15" customHeight="1" x14ac:dyDescent="0.25">
      <c r="B1614" s="2" t="str">
        <f t="shared" si="50"/>
        <v>PGL_Business_C&amp;I_Custom_C&amp;I Custom_0_CI</v>
      </c>
      <c r="C1614" s="2" t="str">
        <f t="shared" si="51"/>
        <v>PGL_Business_C&amp;I_Custom_C&amp;I Custom_0_CI_2023</v>
      </c>
      <c r="D1614" s="19" t="s">
        <v>1794</v>
      </c>
      <c r="E1614" s="19" t="s">
        <v>3</v>
      </c>
      <c r="F1614" s="19" t="s">
        <v>1427</v>
      </c>
      <c r="G1614" s="19" t="s">
        <v>5</v>
      </c>
      <c r="H1614" s="19" t="s">
        <v>1285</v>
      </c>
      <c r="I1614" s="19">
        <v>0</v>
      </c>
      <c r="J1614" s="19">
        <v>0</v>
      </c>
      <c r="K1614" s="19" t="s">
        <v>1159</v>
      </c>
      <c r="L1614" s="19">
        <v>2023</v>
      </c>
      <c r="M1614" s="20">
        <v>54478.875</v>
      </c>
      <c r="N1614" s="19" t="s">
        <v>609</v>
      </c>
      <c r="O1614" s="20">
        <v>8</v>
      </c>
      <c r="P1614" s="20">
        <v>435831</v>
      </c>
      <c r="Q1614" s="20">
        <v>322514.94</v>
      </c>
      <c r="R1614" s="21">
        <v>0.74</v>
      </c>
      <c r="S1614" s="20">
        <v>322514.94</v>
      </c>
    </row>
    <row r="1615" spans="2:19" ht="15" customHeight="1" x14ac:dyDescent="0.25">
      <c r="B1615" s="2" t="str">
        <f t="shared" si="50"/>
        <v>PGL_Business_C&amp;I_Custom_C&amp;I Custom_0_CI</v>
      </c>
      <c r="C1615" s="2" t="str">
        <f t="shared" si="51"/>
        <v>PGL_Business_C&amp;I_Custom_C&amp;I Custom_0_CI_2024</v>
      </c>
      <c r="D1615" s="19" t="s">
        <v>1794</v>
      </c>
      <c r="E1615" s="19" t="s">
        <v>3</v>
      </c>
      <c r="F1615" s="19" t="s">
        <v>1427</v>
      </c>
      <c r="G1615" s="19" t="s">
        <v>5</v>
      </c>
      <c r="H1615" s="19" t="s">
        <v>1285</v>
      </c>
      <c r="I1615" s="19">
        <v>0</v>
      </c>
      <c r="J1615" s="19">
        <v>0</v>
      </c>
      <c r="K1615" s="19" t="s">
        <v>1159</v>
      </c>
      <c r="L1615" s="19">
        <v>2024</v>
      </c>
      <c r="M1615" s="20">
        <v>54478.875</v>
      </c>
      <c r="N1615" s="19" t="s">
        <v>609</v>
      </c>
      <c r="O1615" s="20">
        <v>6</v>
      </c>
      <c r="P1615" s="20">
        <v>326873.25</v>
      </c>
      <c r="Q1615" s="20">
        <v>241886.20499999999</v>
      </c>
      <c r="R1615" s="21">
        <v>0.74</v>
      </c>
      <c r="S1615" s="20">
        <v>241886.20499999999</v>
      </c>
    </row>
    <row r="1616" spans="2:19" ht="15" customHeight="1" x14ac:dyDescent="0.25">
      <c r="B1616" s="2" t="str">
        <f t="shared" si="50"/>
        <v>PGL_Business_C&amp;I_Custom_C&amp;I Custom_0_CI</v>
      </c>
      <c r="C1616" s="2" t="str">
        <f t="shared" si="51"/>
        <v>PGL_Business_C&amp;I_Custom_C&amp;I Custom_0_CI_2025</v>
      </c>
      <c r="D1616" s="19" t="s">
        <v>1794</v>
      </c>
      <c r="E1616" s="19" t="s">
        <v>3</v>
      </c>
      <c r="F1616" s="19" t="s">
        <v>1427</v>
      </c>
      <c r="G1616" s="19" t="s">
        <v>5</v>
      </c>
      <c r="H1616" s="19" t="s">
        <v>1285</v>
      </c>
      <c r="I1616" s="19">
        <v>0</v>
      </c>
      <c r="J1616" s="19">
        <v>0</v>
      </c>
      <c r="K1616" s="19" t="s">
        <v>1159</v>
      </c>
      <c r="L1616" s="19">
        <v>2025</v>
      </c>
      <c r="M1616" s="20">
        <v>54478.875</v>
      </c>
      <c r="N1616" s="19" t="s">
        <v>609</v>
      </c>
      <c r="O1616" s="20">
        <v>5</v>
      </c>
      <c r="P1616" s="20">
        <v>272394.375</v>
      </c>
      <c r="Q1616" s="20">
        <v>201571.83749999999</v>
      </c>
      <c r="R1616" s="21">
        <v>0.74</v>
      </c>
      <c r="S1616" s="20">
        <v>201571.83749999999</v>
      </c>
    </row>
    <row r="1617" spans="2:19" ht="15" customHeight="1" x14ac:dyDescent="0.25">
      <c r="B1617" s="2" t="str">
        <f t="shared" si="50"/>
        <v>PGL_Business_C&amp;I_New Construction_C&amp;I New Construction_0_CI</v>
      </c>
      <c r="C1617" s="2" t="str">
        <f t="shared" si="51"/>
        <v>PGL_Business_C&amp;I_New Construction_C&amp;I New Construction_0_CI_2022</v>
      </c>
      <c r="D1617" s="19" t="s">
        <v>1794</v>
      </c>
      <c r="E1617" s="19" t="s">
        <v>3</v>
      </c>
      <c r="F1617" s="19" t="s">
        <v>1427</v>
      </c>
      <c r="G1617" s="19" t="s">
        <v>1092</v>
      </c>
      <c r="H1617" s="19" t="s">
        <v>1286</v>
      </c>
      <c r="I1617" s="19">
        <v>0</v>
      </c>
      <c r="J1617" s="19">
        <v>0</v>
      </c>
      <c r="K1617" s="19" t="s">
        <v>1159</v>
      </c>
      <c r="L1617" s="19">
        <v>2022</v>
      </c>
      <c r="M1617" s="20">
        <v>39181.869565217392</v>
      </c>
      <c r="N1617" s="19" t="s">
        <v>609</v>
      </c>
      <c r="O1617" s="20">
        <v>6</v>
      </c>
      <c r="P1617" s="20">
        <v>235091.21739130435</v>
      </c>
      <c r="Q1617" s="20">
        <v>126949.25739130436</v>
      </c>
      <c r="R1617" s="21">
        <v>0.54</v>
      </c>
      <c r="S1617" s="20">
        <v>126949.25739130436</v>
      </c>
    </row>
    <row r="1618" spans="2:19" ht="15" customHeight="1" x14ac:dyDescent="0.25">
      <c r="B1618" s="2" t="str">
        <f t="shared" si="50"/>
        <v>PGL_Business_C&amp;I_New Construction_C&amp;I New Construction_0_CI</v>
      </c>
      <c r="C1618" s="2" t="str">
        <f t="shared" si="51"/>
        <v>PGL_Business_C&amp;I_New Construction_C&amp;I New Construction_0_CI_2023</v>
      </c>
      <c r="D1618" s="19" t="s">
        <v>1794</v>
      </c>
      <c r="E1618" s="19" t="s">
        <v>3</v>
      </c>
      <c r="F1618" s="19" t="s">
        <v>1427</v>
      </c>
      <c r="G1618" s="19" t="s">
        <v>1092</v>
      </c>
      <c r="H1618" s="19" t="s">
        <v>1286</v>
      </c>
      <c r="I1618" s="19">
        <v>0</v>
      </c>
      <c r="J1618" s="19">
        <v>0</v>
      </c>
      <c r="K1618" s="19" t="s">
        <v>1159</v>
      </c>
      <c r="L1618" s="19">
        <v>2023</v>
      </c>
      <c r="M1618" s="20">
        <v>39181.869565217392</v>
      </c>
      <c r="N1618" s="19" t="s">
        <v>609</v>
      </c>
      <c r="O1618" s="20">
        <v>5</v>
      </c>
      <c r="P1618" s="20">
        <v>195909.34782608697</v>
      </c>
      <c r="Q1618" s="20">
        <v>105791.04782608697</v>
      </c>
      <c r="R1618" s="21">
        <v>0.54</v>
      </c>
      <c r="S1618" s="20">
        <v>105791.04782608697</v>
      </c>
    </row>
    <row r="1619" spans="2:19" ht="15" customHeight="1" x14ac:dyDescent="0.25">
      <c r="B1619" s="2" t="str">
        <f t="shared" si="50"/>
        <v>PGL_Business_C&amp;I_New Construction_C&amp;I New Construction_0_CI</v>
      </c>
      <c r="C1619" s="2" t="str">
        <f t="shared" si="51"/>
        <v>PGL_Business_C&amp;I_New Construction_C&amp;I New Construction_0_CI_2024</v>
      </c>
      <c r="D1619" s="19" t="s">
        <v>1794</v>
      </c>
      <c r="E1619" s="19" t="s">
        <v>3</v>
      </c>
      <c r="F1619" s="19" t="s">
        <v>1427</v>
      </c>
      <c r="G1619" s="19" t="s">
        <v>1092</v>
      </c>
      <c r="H1619" s="19" t="s">
        <v>1286</v>
      </c>
      <c r="I1619" s="19">
        <v>0</v>
      </c>
      <c r="J1619" s="19">
        <v>0</v>
      </c>
      <c r="K1619" s="19" t="s">
        <v>1159</v>
      </c>
      <c r="L1619" s="19">
        <v>2024</v>
      </c>
      <c r="M1619" s="20">
        <v>39181.869565217392</v>
      </c>
      <c r="N1619" s="19" t="s">
        <v>609</v>
      </c>
      <c r="O1619" s="20">
        <v>4</v>
      </c>
      <c r="P1619" s="20">
        <v>156727.47826086957</v>
      </c>
      <c r="Q1619" s="20">
        <v>84632.838260869568</v>
      </c>
      <c r="R1619" s="21">
        <v>0.54</v>
      </c>
      <c r="S1619" s="20">
        <v>84632.838260869568</v>
      </c>
    </row>
    <row r="1620" spans="2:19" ht="15" customHeight="1" x14ac:dyDescent="0.25">
      <c r="B1620" s="2" t="str">
        <f t="shared" si="50"/>
        <v>PGL_Business_C&amp;I_New Construction_C&amp;I New Construction_0_CI</v>
      </c>
      <c r="C1620" s="2" t="str">
        <f t="shared" si="51"/>
        <v>PGL_Business_C&amp;I_New Construction_C&amp;I New Construction_0_CI_2025</v>
      </c>
      <c r="D1620" s="19" t="s">
        <v>1794</v>
      </c>
      <c r="E1620" s="19" t="s">
        <v>3</v>
      </c>
      <c r="F1620" s="19" t="s">
        <v>1427</v>
      </c>
      <c r="G1620" s="19" t="s">
        <v>1092</v>
      </c>
      <c r="H1620" s="19" t="s">
        <v>1286</v>
      </c>
      <c r="I1620" s="19">
        <v>0</v>
      </c>
      <c r="J1620" s="19">
        <v>0</v>
      </c>
      <c r="K1620" s="19" t="s">
        <v>1159</v>
      </c>
      <c r="L1620" s="19">
        <v>2025</v>
      </c>
      <c r="M1620" s="20">
        <v>39181.869565217392</v>
      </c>
      <c r="N1620" s="19" t="s">
        <v>609</v>
      </c>
      <c r="O1620" s="20">
        <v>3</v>
      </c>
      <c r="P1620" s="20">
        <v>117545.60869565218</v>
      </c>
      <c r="Q1620" s="20">
        <v>63474.62869565218</v>
      </c>
      <c r="R1620" s="21">
        <v>0.54</v>
      </c>
      <c r="S1620" s="20">
        <v>63474.62869565218</v>
      </c>
    </row>
    <row r="1621" spans="2:19" ht="15" customHeight="1" x14ac:dyDescent="0.25">
      <c r="B1621" s="2" t="str">
        <f t="shared" si="50"/>
        <v>NSG_Business_C&amp;I_Gas Optimization_C&amp;I Gas Optimization_0_CI</v>
      </c>
      <c r="C1621" s="2" t="str">
        <f t="shared" si="51"/>
        <v>NSG_Business_C&amp;I_Gas Optimization_C&amp;I Gas Optimization_0_CI_2022</v>
      </c>
      <c r="D1621" s="19" t="s">
        <v>1787</v>
      </c>
      <c r="E1621" s="19" t="s">
        <v>3</v>
      </c>
      <c r="F1621" s="19" t="s">
        <v>1427</v>
      </c>
      <c r="G1621" s="19" t="s">
        <v>1098</v>
      </c>
      <c r="H1621" s="19" t="s">
        <v>1283</v>
      </c>
      <c r="I1621" s="19">
        <v>0</v>
      </c>
      <c r="J1621" s="19">
        <v>0</v>
      </c>
      <c r="K1621" s="19" t="s">
        <v>1159</v>
      </c>
      <c r="L1621" s="19">
        <v>2022</v>
      </c>
      <c r="M1621" s="20">
        <v>24286</v>
      </c>
      <c r="N1621" s="19" t="s">
        <v>609</v>
      </c>
      <c r="O1621" s="20">
        <v>3</v>
      </c>
      <c r="P1621" s="20">
        <v>72858</v>
      </c>
      <c r="Q1621" s="20">
        <v>66300.78</v>
      </c>
      <c r="R1621" s="21">
        <v>0.91</v>
      </c>
      <c r="S1621" s="20">
        <v>66300.78</v>
      </c>
    </row>
    <row r="1622" spans="2:19" ht="15" customHeight="1" x14ac:dyDescent="0.25">
      <c r="B1622" s="2" t="str">
        <f t="shared" si="50"/>
        <v>NSG_Business_C&amp;I_Gas Optimization_C&amp;I Gas Optimization_0_CI</v>
      </c>
      <c r="C1622" s="2" t="str">
        <f t="shared" si="51"/>
        <v>NSG_Business_C&amp;I_Gas Optimization_C&amp;I Gas Optimization_0_CI_2023</v>
      </c>
      <c r="D1622" s="19" t="s">
        <v>1787</v>
      </c>
      <c r="E1622" s="19" t="s">
        <v>3</v>
      </c>
      <c r="F1622" s="19" t="s">
        <v>1427</v>
      </c>
      <c r="G1622" s="19" t="s">
        <v>1098</v>
      </c>
      <c r="H1622" s="19" t="s">
        <v>1283</v>
      </c>
      <c r="I1622" s="19">
        <v>0</v>
      </c>
      <c r="J1622" s="19">
        <v>0</v>
      </c>
      <c r="K1622" s="19" t="s">
        <v>1159</v>
      </c>
      <c r="L1622" s="19">
        <v>2023</v>
      </c>
      <c r="M1622" s="20">
        <v>24286</v>
      </c>
      <c r="N1622" s="19" t="s">
        <v>609</v>
      </c>
      <c r="O1622" s="20">
        <v>3.2</v>
      </c>
      <c r="P1622" s="20">
        <v>77715.199999999997</v>
      </c>
      <c r="Q1622" s="20">
        <v>70720.831999999995</v>
      </c>
      <c r="R1622" s="21">
        <v>0.91</v>
      </c>
      <c r="S1622" s="20">
        <v>70720.831999999995</v>
      </c>
    </row>
    <row r="1623" spans="2:19" ht="15" customHeight="1" x14ac:dyDescent="0.25">
      <c r="B1623" s="2" t="str">
        <f t="shared" si="50"/>
        <v>NSG_Business_C&amp;I_Gas Optimization_C&amp;I Gas Optimization_0_CI</v>
      </c>
      <c r="C1623" s="2" t="str">
        <f t="shared" si="51"/>
        <v>NSG_Business_C&amp;I_Gas Optimization_C&amp;I Gas Optimization_0_CI_2024</v>
      </c>
      <c r="D1623" s="19" t="s">
        <v>1787</v>
      </c>
      <c r="E1623" s="19" t="s">
        <v>3</v>
      </c>
      <c r="F1623" s="19" t="s">
        <v>1427</v>
      </c>
      <c r="G1623" s="19" t="s">
        <v>1098</v>
      </c>
      <c r="H1623" s="19" t="s">
        <v>1283</v>
      </c>
      <c r="I1623" s="19">
        <v>0</v>
      </c>
      <c r="J1623" s="19">
        <v>0</v>
      </c>
      <c r="K1623" s="19" t="s">
        <v>1159</v>
      </c>
      <c r="L1623" s="19">
        <v>2024</v>
      </c>
      <c r="M1623" s="20">
        <v>24286</v>
      </c>
      <c r="N1623" s="19" t="s">
        <v>609</v>
      </c>
      <c r="O1623" s="20">
        <v>2.8</v>
      </c>
      <c r="P1623" s="20">
        <v>68000.800000000003</v>
      </c>
      <c r="Q1623" s="20">
        <v>61880.728000000003</v>
      </c>
      <c r="R1623" s="21">
        <v>0.91</v>
      </c>
      <c r="S1623" s="20">
        <v>61880.728000000003</v>
      </c>
    </row>
    <row r="1624" spans="2:19" ht="15" customHeight="1" x14ac:dyDescent="0.25">
      <c r="B1624" s="2" t="str">
        <f t="shared" si="50"/>
        <v>NSG_Business_C&amp;I_Gas Optimization_C&amp;I Gas Optimization_0_CI</v>
      </c>
      <c r="C1624" s="2" t="str">
        <f t="shared" si="51"/>
        <v>NSG_Business_C&amp;I_Gas Optimization_C&amp;I Gas Optimization_0_CI_2025</v>
      </c>
      <c r="D1624" s="19" t="s">
        <v>1787</v>
      </c>
      <c r="E1624" s="19" t="s">
        <v>3</v>
      </c>
      <c r="F1624" s="19" t="s">
        <v>1427</v>
      </c>
      <c r="G1624" s="19" t="s">
        <v>1098</v>
      </c>
      <c r="H1624" s="19" t="s">
        <v>1283</v>
      </c>
      <c r="I1624" s="19">
        <v>0</v>
      </c>
      <c r="J1624" s="19">
        <v>0</v>
      </c>
      <c r="K1624" s="19" t="s">
        <v>1159</v>
      </c>
      <c r="L1624" s="19">
        <v>2025</v>
      </c>
      <c r="M1624" s="20">
        <v>24286</v>
      </c>
      <c r="N1624" s="19" t="s">
        <v>609</v>
      </c>
      <c r="O1624" s="20">
        <v>2.72</v>
      </c>
      <c r="P1624" s="20">
        <v>66057.919999999998</v>
      </c>
      <c r="Q1624" s="20">
        <v>60112.707199999997</v>
      </c>
      <c r="R1624" s="21">
        <v>0.91</v>
      </c>
      <c r="S1624" s="20">
        <v>60112.707199999997</v>
      </c>
    </row>
    <row r="1625" spans="2:19" ht="15" customHeight="1" x14ac:dyDescent="0.25">
      <c r="B1625" s="2" t="str">
        <f t="shared" si="50"/>
        <v>NSG_Business_C&amp;I_Retrocommissioning_C&amp;I Retrocommissioning_0_CI</v>
      </c>
      <c r="C1625" s="2" t="str">
        <f t="shared" si="51"/>
        <v>NSG_Business_C&amp;I_Retrocommissioning_C&amp;I Retrocommissioning_0_CI_2022</v>
      </c>
      <c r="D1625" s="19" t="s">
        <v>1787</v>
      </c>
      <c r="E1625" s="19" t="s">
        <v>3</v>
      </c>
      <c r="F1625" s="19" t="s">
        <v>1427</v>
      </c>
      <c r="G1625" s="19" t="s">
        <v>1428</v>
      </c>
      <c r="H1625" s="19" t="s">
        <v>1284</v>
      </c>
      <c r="I1625" s="19">
        <v>0</v>
      </c>
      <c r="J1625" s="19">
        <v>0</v>
      </c>
      <c r="K1625" s="19" t="s">
        <v>1159</v>
      </c>
      <c r="L1625" s="19">
        <v>2022</v>
      </c>
      <c r="M1625" s="20">
        <v>11893.8</v>
      </c>
      <c r="N1625" s="19" t="s">
        <v>609</v>
      </c>
      <c r="O1625" s="20">
        <v>3</v>
      </c>
      <c r="P1625" s="20">
        <v>35681.399999999994</v>
      </c>
      <c r="Q1625" s="20">
        <v>33440.608079999998</v>
      </c>
      <c r="R1625" s="21">
        <v>0.93720000000000003</v>
      </c>
      <c r="S1625" s="20">
        <v>33440.608079999998</v>
      </c>
    </row>
    <row r="1626" spans="2:19" ht="15" customHeight="1" x14ac:dyDescent="0.25">
      <c r="B1626" s="2" t="str">
        <f t="shared" si="50"/>
        <v>NSG_Business_C&amp;I_Retrocommissioning_C&amp;I Retrocommissioning_0_CI</v>
      </c>
      <c r="C1626" s="2" t="str">
        <f t="shared" si="51"/>
        <v>NSG_Business_C&amp;I_Retrocommissioning_C&amp;I Retrocommissioning_0_CI_2023</v>
      </c>
      <c r="D1626" s="19" t="s">
        <v>1787</v>
      </c>
      <c r="E1626" s="19" t="s">
        <v>3</v>
      </c>
      <c r="F1626" s="19" t="s">
        <v>1427</v>
      </c>
      <c r="G1626" s="19" t="s">
        <v>1428</v>
      </c>
      <c r="H1626" s="19" t="s">
        <v>1284</v>
      </c>
      <c r="I1626" s="19">
        <v>0</v>
      </c>
      <c r="J1626" s="19">
        <v>0</v>
      </c>
      <c r="K1626" s="19" t="s">
        <v>1159</v>
      </c>
      <c r="L1626" s="19">
        <v>2023</v>
      </c>
      <c r="M1626" s="20">
        <v>11893.8</v>
      </c>
      <c r="N1626" s="19" t="s">
        <v>609</v>
      </c>
      <c r="O1626" s="20">
        <v>3.2</v>
      </c>
      <c r="P1626" s="20">
        <v>38060.159999999996</v>
      </c>
      <c r="Q1626" s="20">
        <v>35669.981951999995</v>
      </c>
      <c r="R1626" s="21">
        <v>0.93720000000000003</v>
      </c>
      <c r="S1626" s="20">
        <v>35669.981951999995</v>
      </c>
    </row>
    <row r="1627" spans="2:19" ht="15" customHeight="1" x14ac:dyDescent="0.25">
      <c r="B1627" s="2" t="str">
        <f t="shared" si="50"/>
        <v>NSG_Business_C&amp;I_Retrocommissioning_C&amp;I Retrocommissioning_0_CI</v>
      </c>
      <c r="C1627" s="2" t="str">
        <f t="shared" si="51"/>
        <v>NSG_Business_C&amp;I_Retrocommissioning_C&amp;I Retrocommissioning_0_CI_2024</v>
      </c>
      <c r="D1627" s="19" t="s">
        <v>1787</v>
      </c>
      <c r="E1627" s="19" t="s">
        <v>3</v>
      </c>
      <c r="F1627" s="19" t="s">
        <v>1427</v>
      </c>
      <c r="G1627" s="19" t="s">
        <v>1428</v>
      </c>
      <c r="H1627" s="19" t="s">
        <v>1284</v>
      </c>
      <c r="I1627" s="19">
        <v>0</v>
      </c>
      <c r="J1627" s="19">
        <v>0</v>
      </c>
      <c r="K1627" s="19" t="s">
        <v>1159</v>
      </c>
      <c r="L1627" s="19">
        <v>2024</v>
      </c>
      <c r="M1627" s="20">
        <v>11893.8</v>
      </c>
      <c r="N1627" s="19" t="s">
        <v>609</v>
      </c>
      <c r="O1627" s="20">
        <v>2.8</v>
      </c>
      <c r="P1627" s="20">
        <v>33302.639999999999</v>
      </c>
      <c r="Q1627" s="20">
        <v>31211.234208000002</v>
      </c>
      <c r="R1627" s="21">
        <v>0.93720000000000003</v>
      </c>
      <c r="S1627" s="20">
        <v>31211.234208000002</v>
      </c>
    </row>
    <row r="1628" spans="2:19" ht="15" customHeight="1" x14ac:dyDescent="0.25">
      <c r="B1628" s="2" t="str">
        <f t="shared" si="50"/>
        <v>NSG_Business_C&amp;I_Retrocommissioning_C&amp;I Retrocommissioning_0_CI</v>
      </c>
      <c r="C1628" s="2" t="str">
        <f t="shared" si="51"/>
        <v>NSG_Business_C&amp;I_Retrocommissioning_C&amp;I Retrocommissioning_0_CI_2025</v>
      </c>
      <c r="D1628" s="19" t="s">
        <v>1787</v>
      </c>
      <c r="E1628" s="19" t="s">
        <v>3</v>
      </c>
      <c r="F1628" s="19" t="s">
        <v>1427</v>
      </c>
      <c r="G1628" s="19" t="s">
        <v>1428</v>
      </c>
      <c r="H1628" s="19" t="s">
        <v>1284</v>
      </c>
      <c r="I1628" s="19">
        <v>0</v>
      </c>
      <c r="J1628" s="19">
        <v>0</v>
      </c>
      <c r="K1628" s="19" t="s">
        <v>1159</v>
      </c>
      <c r="L1628" s="19">
        <v>2025</v>
      </c>
      <c r="M1628" s="20">
        <v>11893.8</v>
      </c>
      <c r="N1628" s="19" t="s">
        <v>609</v>
      </c>
      <c r="O1628" s="20">
        <v>2.72</v>
      </c>
      <c r="P1628" s="20">
        <v>32351.135999999999</v>
      </c>
      <c r="Q1628" s="20">
        <v>30319.484659199999</v>
      </c>
      <c r="R1628" s="21">
        <v>0.93720000000000003</v>
      </c>
      <c r="S1628" s="20">
        <v>30319.484659199999</v>
      </c>
    </row>
    <row r="1629" spans="2:19" ht="15" customHeight="1" x14ac:dyDescent="0.25">
      <c r="B1629" s="2" t="str">
        <f t="shared" si="50"/>
        <v>NSG_Business_C&amp;I_Engineering Study_Engineering Study_0_CI</v>
      </c>
      <c r="C1629" s="2" t="str">
        <f t="shared" si="51"/>
        <v>NSG_Business_C&amp;I_Engineering Study_Engineering Study_0_CI_2022</v>
      </c>
      <c r="D1629" s="19" t="s">
        <v>1787</v>
      </c>
      <c r="E1629" s="19" t="s">
        <v>3</v>
      </c>
      <c r="F1629" s="19" t="s">
        <v>1427</v>
      </c>
      <c r="G1629" s="19" t="s">
        <v>1281</v>
      </c>
      <c r="H1629" s="19" t="s">
        <v>1281</v>
      </c>
      <c r="I1629" s="19">
        <v>0</v>
      </c>
      <c r="J1629" s="19">
        <v>0</v>
      </c>
      <c r="K1629" s="19" t="s">
        <v>1159</v>
      </c>
      <c r="L1629" s="19">
        <v>2022</v>
      </c>
      <c r="M1629" s="20">
        <v>1</v>
      </c>
      <c r="N1629" s="19" t="s">
        <v>1798</v>
      </c>
      <c r="O1629" s="20">
        <v>0</v>
      </c>
      <c r="P1629" s="20">
        <v>0</v>
      </c>
      <c r="Q1629" s="20">
        <v>0</v>
      </c>
      <c r="R1629" s="21">
        <v>1.02</v>
      </c>
      <c r="S1629" s="20">
        <v>0</v>
      </c>
    </row>
    <row r="1630" spans="2:19" ht="15" customHeight="1" x14ac:dyDescent="0.25">
      <c r="B1630" s="2" t="str">
        <f t="shared" si="50"/>
        <v>NSG_Business_C&amp;I_Engineering Study_Engineering Study_0_CI</v>
      </c>
      <c r="C1630" s="2" t="str">
        <f t="shared" si="51"/>
        <v>NSG_Business_C&amp;I_Engineering Study_Engineering Study_0_CI_2023</v>
      </c>
      <c r="D1630" s="19" t="s">
        <v>1787</v>
      </c>
      <c r="E1630" s="19" t="s">
        <v>3</v>
      </c>
      <c r="F1630" s="19" t="s">
        <v>1427</v>
      </c>
      <c r="G1630" s="19" t="s">
        <v>1281</v>
      </c>
      <c r="H1630" s="19" t="s">
        <v>1281</v>
      </c>
      <c r="I1630" s="19">
        <v>0</v>
      </c>
      <c r="J1630" s="19">
        <v>0</v>
      </c>
      <c r="K1630" s="19" t="s">
        <v>1159</v>
      </c>
      <c r="L1630" s="19">
        <v>2023</v>
      </c>
      <c r="M1630" s="20">
        <v>1</v>
      </c>
      <c r="N1630" s="19" t="s">
        <v>1798</v>
      </c>
      <c r="O1630" s="20">
        <v>0</v>
      </c>
      <c r="P1630" s="20">
        <v>0</v>
      </c>
      <c r="Q1630" s="20">
        <v>0</v>
      </c>
      <c r="R1630" s="21">
        <v>1.02</v>
      </c>
      <c r="S1630" s="20">
        <v>0</v>
      </c>
    </row>
    <row r="1631" spans="2:19" ht="15" customHeight="1" x14ac:dyDescent="0.25">
      <c r="B1631" s="2" t="str">
        <f t="shared" si="50"/>
        <v>NSG_Business_C&amp;I_Engineering Study_Engineering Study_0_CI</v>
      </c>
      <c r="C1631" s="2" t="str">
        <f t="shared" si="51"/>
        <v>NSG_Business_C&amp;I_Engineering Study_Engineering Study_0_CI_2024</v>
      </c>
      <c r="D1631" s="19" t="s">
        <v>1787</v>
      </c>
      <c r="E1631" s="19" t="s">
        <v>3</v>
      </c>
      <c r="F1631" s="19" t="s">
        <v>1427</v>
      </c>
      <c r="G1631" s="19" t="s">
        <v>1281</v>
      </c>
      <c r="H1631" s="19" t="s">
        <v>1281</v>
      </c>
      <c r="I1631" s="19">
        <v>0</v>
      </c>
      <c r="J1631" s="19">
        <v>0</v>
      </c>
      <c r="K1631" s="19" t="s">
        <v>1159</v>
      </c>
      <c r="L1631" s="19">
        <v>2024</v>
      </c>
      <c r="M1631" s="20">
        <v>1</v>
      </c>
      <c r="N1631" s="19" t="s">
        <v>1798</v>
      </c>
      <c r="O1631" s="20">
        <v>0</v>
      </c>
      <c r="P1631" s="20">
        <v>0</v>
      </c>
      <c r="Q1631" s="20">
        <v>0</v>
      </c>
      <c r="R1631" s="21">
        <v>1.02</v>
      </c>
      <c r="S1631" s="20">
        <v>0</v>
      </c>
    </row>
    <row r="1632" spans="2:19" ht="15" customHeight="1" x14ac:dyDescent="0.25">
      <c r="B1632" s="2" t="str">
        <f t="shared" si="50"/>
        <v>NSG_Business_C&amp;I_Engineering Study_Engineering Study_0_CI</v>
      </c>
      <c r="C1632" s="2" t="str">
        <f t="shared" si="51"/>
        <v>NSG_Business_C&amp;I_Engineering Study_Engineering Study_0_CI_2025</v>
      </c>
      <c r="D1632" s="19" t="s">
        <v>1787</v>
      </c>
      <c r="E1632" s="19" t="s">
        <v>3</v>
      </c>
      <c r="F1632" s="19" t="s">
        <v>1427</v>
      </c>
      <c r="G1632" s="19" t="s">
        <v>1281</v>
      </c>
      <c r="H1632" s="19" t="s">
        <v>1281</v>
      </c>
      <c r="I1632" s="19">
        <v>0</v>
      </c>
      <c r="J1632" s="19">
        <v>0</v>
      </c>
      <c r="K1632" s="19" t="s">
        <v>1159</v>
      </c>
      <c r="L1632" s="19">
        <v>2025</v>
      </c>
      <c r="M1632" s="20">
        <v>1</v>
      </c>
      <c r="N1632" s="19" t="s">
        <v>1798</v>
      </c>
      <c r="O1632" s="20">
        <v>0</v>
      </c>
      <c r="P1632" s="20">
        <v>0</v>
      </c>
      <c r="Q1632" s="20">
        <v>0</v>
      </c>
      <c r="R1632" s="21">
        <v>1.02</v>
      </c>
      <c r="S1632" s="20">
        <v>0</v>
      </c>
    </row>
    <row r="1633" spans="2:19" ht="15" customHeight="1" x14ac:dyDescent="0.25">
      <c r="B1633" s="2" t="str">
        <f t="shared" si="50"/>
        <v>NSG_Business_C&amp;I_Staffing_Staffing_0_CI</v>
      </c>
      <c r="C1633" s="2" t="str">
        <f t="shared" si="51"/>
        <v>NSG_Business_C&amp;I_Staffing_Staffing_0_CI_2022</v>
      </c>
      <c r="D1633" s="19" t="s">
        <v>1787</v>
      </c>
      <c r="E1633" s="19" t="s">
        <v>3</v>
      </c>
      <c r="F1633" s="19" t="s">
        <v>1427</v>
      </c>
      <c r="G1633" s="19" t="s">
        <v>1282</v>
      </c>
      <c r="H1633" s="19" t="s">
        <v>1282</v>
      </c>
      <c r="I1633" s="19">
        <v>0</v>
      </c>
      <c r="J1633" s="19">
        <v>0</v>
      </c>
      <c r="K1633" s="19" t="s">
        <v>1159</v>
      </c>
      <c r="L1633" s="19">
        <v>2022</v>
      </c>
      <c r="M1633" s="20">
        <v>1</v>
      </c>
      <c r="N1633" s="19" t="s">
        <v>1798</v>
      </c>
      <c r="O1633" s="20">
        <v>0.85</v>
      </c>
      <c r="P1633" s="20">
        <v>0.85</v>
      </c>
      <c r="Q1633" s="20">
        <v>0</v>
      </c>
      <c r="R1633" s="21">
        <v>1.02</v>
      </c>
      <c r="S1633" s="20">
        <v>0</v>
      </c>
    </row>
    <row r="1634" spans="2:19" ht="15" customHeight="1" x14ac:dyDescent="0.25">
      <c r="B1634" s="2" t="str">
        <f t="shared" si="50"/>
        <v>NSG_Business_C&amp;I_Staffing_Staffing_0_CI</v>
      </c>
      <c r="C1634" s="2" t="str">
        <f t="shared" si="51"/>
        <v>NSG_Business_C&amp;I_Staffing_Staffing_0_CI_2023</v>
      </c>
      <c r="D1634" s="19" t="s">
        <v>1787</v>
      </c>
      <c r="E1634" s="19" t="s">
        <v>3</v>
      </c>
      <c r="F1634" s="19" t="s">
        <v>1427</v>
      </c>
      <c r="G1634" s="19" t="s">
        <v>1282</v>
      </c>
      <c r="H1634" s="19" t="s">
        <v>1282</v>
      </c>
      <c r="I1634" s="19">
        <v>0</v>
      </c>
      <c r="J1634" s="19">
        <v>0</v>
      </c>
      <c r="K1634" s="19" t="s">
        <v>1159</v>
      </c>
      <c r="L1634" s="19">
        <v>2023</v>
      </c>
      <c r="M1634" s="20">
        <v>1</v>
      </c>
      <c r="N1634" s="19" t="s">
        <v>1798</v>
      </c>
      <c r="O1634" s="20">
        <v>0.8</v>
      </c>
      <c r="P1634" s="20">
        <v>0.8</v>
      </c>
      <c r="Q1634" s="20">
        <v>0</v>
      </c>
      <c r="R1634" s="21">
        <v>1.02</v>
      </c>
      <c r="S1634" s="20">
        <v>0</v>
      </c>
    </row>
    <row r="1635" spans="2:19" ht="15" customHeight="1" x14ac:dyDescent="0.25">
      <c r="B1635" s="2" t="str">
        <f t="shared" si="50"/>
        <v>NSG_Business_C&amp;I_Staffing_Staffing_0_CI</v>
      </c>
      <c r="C1635" s="2" t="str">
        <f t="shared" si="51"/>
        <v>NSG_Business_C&amp;I_Staffing_Staffing_0_CI_2024</v>
      </c>
      <c r="D1635" s="19" t="s">
        <v>1787</v>
      </c>
      <c r="E1635" s="19" t="s">
        <v>3</v>
      </c>
      <c r="F1635" s="19" t="s">
        <v>1427</v>
      </c>
      <c r="G1635" s="19" t="s">
        <v>1282</v>
      </c>
      <c r="H1635" s="19" t="s">
        <v>1282</v>
      </c>
      <c r="I1635" s="19">
        <v>0</v>
      </c>
      <c r="J1635" s="19">
        <v>0</v>
      </c>
      <c r="K1635" s="19" t="s">
        <v>1159</v>
      </c>
      <c r="L1635" s="19">
        <v>2024</v>
      </c>
      <c r="M1635" s="20">
        <v>1</v>
      </c>
      <c r="N1635" s="19" t="s">
        <v>1798</v>
      </c>
      <c r="O1635" s="20">
        <v>0.7</v>
      </c>
      <c r="P1635" s="20">
        <v>0.7</v>
      </c>
      <c r="Q1635" s="20">
        <v>0</v>
      </c>
      <c r="R1635" s="21">
        <v>1.02</v>
      </c>
      <c r="S1635" s="20">
        <v>0</v>
      </c>
    </row>
    <row r="1636" spans="2:19" ht="15" customHeight="1" x14ac:dyDescent="0.25">
      <c r="B1636" s="2" t="str">
        <f t="shared" si="50"/>
        <v>NSG_Business_C&amp;I_Staffing_Staffing_0_CI</v>
      </c>
      <c r="C1636" s="2" t="str">
        <f t="shared" si="51"/>
        <v>NSG_Business_C&amp;I_Staffing_Staffing_0_CI_2025</v>
      </c>
      <c r="D1636" s="19" t="s">
        <v>1787</v>
      </c>
      <c r="E1636" s="19" t="s">
        <v>3</v>
      </c>
      <c r="F1636" s="19" t="s">
        <v>1427</v>
      </c>
      <c r="G1636" s="19" t="s">
        <v>1282</v>
      </c>
      <c r="H1636" s="19" t="s">
        <v>1282</v>
      </c>
      <c r="I1636" s="19">
        <v>0</v>
      </c>
      <c r="J1636" s="19">
        <v>0</v>
      </c>
      <c r="K1636" s="19" t="s">
        <v>1159</v>
      </c>
      <c r="L1636" s="19">
        <v>2025</v>
      </c>
      <c r="M1636" s="20">
        <v>1</v>
      </c>
      <c r="N1636" s="19" t="s">
        <v>1798</v>
      </c>
      <c r="O1636" s="20">
        <v>0.68</v>
      </c>
      <c r="P1636" s="20">
        <v>0.68</v>
      </c>
      <c r="Q1636" s="20">
        <v>0</v>
      </c>
      <c r="R1636" s="21">
        <v>1.02</v>
      </c>
      <c r="S1636" s="20">
        <v>0</v>
      </c>
    </row>
    <row r="1637" spans="2:19" ht="15" customHeight="1" x14ac:dyDescent="0.25">
      <c r="B1637" s="2" t="str">
        <f t="shared" si="50"/>
        <v>NSG_Business_C&amp;I_Rebates_Boiler_≥88% AFUE, &lt;300MBh_CI</v>
      </c>
      <c r="C1637" s="2" t="str">
        <f t="shared" si="51"/>
        <v>NSG_Business_C&amp;I_Rebates_Boiler_≥88% AFUE, &lt;300MBh_CI_2022</v>
      </c>
      <c r="D1637" s="19" t="s">
        <v>1787</v>
      </c>
      <c r="E1637" s="19" t="s">
        <v>3</v>
      </c>
      <c r="F1637" s="19" t="s">
        <v>1427</v>
      </c>
      <c r="G1637" s="19" t="s">
        <v>1429</v>
      </c>
      <c r="H1637" s="19" t="s">
        <v>944</v>
      </c>
      <c r="I1637" s="19" t="s">
        <v>945</v>
      </c>
      <c r="J1637" s="19" t="s">
        <v>942</v>
      </c>
      <c r="K1637" s="19" t="s">
        <v>1159</v>
      </c>
      <c r="L1637" s="19">
        <v>2022</v>
      </c>
      <c r="M1637" s="20">
        <v>200</v>
      </c>
      <c r="N1637" s="19" t="s">
        <v>667</v>
      </c>
      <c r="O1637" s="20">
        <v>1.7</v>
      </c>
      <c r="P1637" s="20">
        <v>340</v>
      </c>
      <c r="Q1637" s="20">
        <v>244.72066666666686</v>
      </c>
      <c r="R1637" s="21">
        <v>0.91</v>
      </c>
      <c r="S1637" s="20">
        <v>244.72066666666686</v>
      </c>
    </row>
    <row r="1638" spans="2:19" ht="15" customHeight="1" x14ac:dyDescent="0.25">
      <c r="B1638" s="2" t="str">
        <f t="shared" si="50"/>
        <v>NSG_Business_C&amp;I_Rebates_Boiler_≥88% AFUE, &lt;300MBh_CI</v>
      </c>
      <c r="C1638" s="2" t="str">
        <f t="shared" si="51"/>
        <v>NSG_Business_C&amp;I_Rebates_Boiler_≥88% AFUE, &lt;300MBh_CI_2023</v>
      </c>
      <c r="D1638" s="19" t="s">
        <v>1787</v>
      </c>
      <c r="E1638" s="19" t="s">
        <v>3</v>
      </c>
      <c r="F1638" s="19" t="s">
        <v>1427</v>
      </c>
      <c r="G1638" s="19" t="s">
        <v>1429</v>
      </c>
      <c r="H1638" s="19" t="s">
        <v>944</v>
      </c>
      <c r="I1638" s="19" t="s">
        <v>945</v>
      </c>
      <c r="J1638" s="19" t="s">
        <v>942</v>
      </c>
      <c r="K1638" s="19" t="s">
        <v>1159</v>
      </c>
      <c r="L1638" s="19">
        <v>2023</v>
      </c>
      <c r="M1638" s="20">
        <v>200</v>
      </c>
      <c r="N1638" s="19" t="s">
        <v>667</v>
      </c>
      <c r="O1638" s="20">
        <v>1.6</v>
      </c>
      <c r="P1638" s="20">
        <v>320</v>
      </c>
      <c r="Q1638" s="20">
        <v>230.32533333333353</v>
      </c>
      <c r="R1638" s="21">
        <v>0.91</v>
      </c>
      <c r="S1638" s="20">
        <v>230.32533333333353</v>
      </c>
    </row>
    <row r="1639" spans="2:19" ht="15" customHeight="1" x14ac:dyDescent="0.25">
      <c r="B1639" s="2" t="str">
        <f t="shared" si="50"/>
        <v>NSG_Business_C&amp;I_Rebates_Boiler_≥88% AFUE, &lt;300MBh_CI</v>
      </c>
      <c r="C1639" s="2" t="str">
        <f t="shared" si="51"/>
        <v>NSG_Business_C&amp;I_Rebates_Boiler_≥88% AFUE, &lt;300MBh_CI_2024</v>
      </c>
      <c r="D1639" s="19" t="s">
        <v>1787</v>
      </c>
      <c r="E1639" s="19" t="s">
        <v>3</v>
      </c>
      <c r="F1639" s="19" t="s">
        <v>1427</v>
      </c>
      <c r="G1639" s="19" t="s">
        <v>1429</v>
      </c>
      <c r="H1639" s="19" t="s">
        <v>944</v>
      </c>
      <c r="I1639" s="19" t="s">
        <v>945</v>
      </c>
      <c r="J1639" s="19" t="s">
        <v>942</v>
      </c>
      <c r="K1639" s="19" t="s">
        <v>1159</v>
      </c>
      <c r="L1639" s="19">
        <v>2024</v>
      </c>
      <c r="M1639" s="20">
        <v>200</v>
      </c>
      <c r="N1639" s="19" t="s">
        <v>667</v>
      </c>
      <c r="O1639" s="20">
        <v>1.4</v>
      </c>
      <c r="P1639" s="20">
        <v>280</v>
      </c>
      <c r="Q1639" s="20">
        <v>201.53466666666682</v>
      </c>
      <c r="R1639" s="21">
        <v>0.91</v>
      </c>
      <c r="S1639" s="20">
        <v>201.53466666666682</v>
      </c>
    </row>
    <row r="1640" spans="2:19" ht="15" customHeight="1" x14ac:dyDescent="0.25">
      <c r="B1640" s="2" t="str">
        <f t="shared" si="50"/>
        <v>NSG_Business_C&amp;I_Rebates_Boiler_≥88% AFUE, &lt;300MBh_CI</v>
      </c>
      <c r="C1640" s="2" t="str">
        <f t="shared" si="51"/>
        <v>NSG_Business_C&amp;I_Rebates_Boiler_≥88% AFUE, &lt;300MBh_CI_2025</v>
      </c>
      <c r="D1640" s="19" t="s">
        <v>1787</v>
      </c>
      <c r="E1640" s="19" t="s">
        <v>3</v>
      </c>
      <c r="F1640" s="19" t="s">
        <v>1427</v>
      </c>
      <c r="G1640" s="19" t="s">
        <v>1429</v>
      </c>
      <c r="H1640" s="19" t="s">
        <v>944</v>
      </c>
      <c r="I1640" s="19" t="s">
        <v>945</v>
      </c>
      <c r="J1640" s="19" t="s">
        <v>942</v>
      </c>
      <c r="K1640" s="19" t="s">
        <v>1159</v>
      </c>
      <c r="L1640" s="19">
        <v>2025</v>
      </c>
      <c r="M1640" s="20">
        <v>200</v>
      </c>
      <c r="N1640" s="19" t="s">
        <v>667</v>
      </c>
      <c r="O1640" s="20">
        <v>1.36</v>
      </c>
      <c r="P1640" s="20">
        <v>272</v>
      </c>
      <c r="Q1640" s="20">
        <v>195.7765333333335</v>
      </c>
      <c r="R1640" s="21">
        <v>0.91</v>
      </c>
      <c r="S1640" s="20">
        <v>195.7765333333335</v>
      </c>
    </row>
    <row r="1641" spans="2:19" ht="15" customHeight="1" x14ac:dyDescent="0.25">
      <c r="B1641" s="2" t="str">
        <f t="shared" si="50"/>
        <v>NSG_Business_C&amp;I_Rebates_Boiler_≥88% AFUE, ≥300MBh TE_CI</v>
      </c>
      <c r="C1641" s="2" t="str">
        <f t="shared" si="51"/>
        <v>NSG_Business_C&amp;I_Rebates_Boiler_≥88% AFUE, ≥300MBh TE_CI_2022</v>
      </c>
      <c r="D1641" s="19" t="s">
        <v>1787</v>
      </c>
      <c r="E1641" s="19" t="s">
        <v>3</v>
      </c>
      <c r="F1641" s="19" t="s">
        <v>1427</v>
      </c>
      <c r="G1641" s="19" t="s">
        <v>1429</v>
      </c>
      <c r="H1641" s="19" t="s">
        <v>944</v>
      </c>
      <c r="I1641" s="19" t="s">
        <v>946</v>
      </c>
      <c r="J1641" s="19" t="s">
        <v>942</v>
      </c>
      <c r="K1641" s="19" t="s">
        <v>1159</v>
      </c>
      <c r="L1641" s="19">
        <v>2022</v>
      </c>
      <c r="M1641" s="20">
        <v>5000</v>
      </c>
      <c r="N1641" s="19" t="s">
        <v>667</v>
      </c>
      <c r="O1641" s="20">
        <v>2.5499999999999998</v>
      </c>
      <c r="P1641" s="20">
        <v>12750</v>
      </c>
      <c r="Q1641" s="20">
        <v>19271.752499999991</v>
      </c>
      <c r="R1641" s="21">
        <v>0.91</v>
      </c>
      <c r="S1641" s="20">
        <v>19271.752499999991</v>
      </c>
    </row>
    <row r="1642" spans="2:19" ht="15" customHeight="1" x14ac:dyDescent="0.25">
      <c r="B1642" s="2" t="str">
        <f t="shared" si="50"/>
        <v>NSG_Business_C&amp;I_Rebates_Boiler_≥88% AFUE, ≥300MBh TE_CI</v>
      </c>
      <c r="C1642" s="2" t="str">
        <f t="shared" si="51"/>
        <v>NSG_Business_C&amp;I_Rebates_Boiler_≥88% AFUE, ≥300MBh TE_CI_2023</v>
      </c>
      <c r="D1642" s="19" t="s">
        <v>1787</v>
      </c>
      <c r="E1642" s="19" t="s">
        <v>3</v>
      </c>
      <c r="F1642" s="19" t="s">
        <v>1427</v>
      </c>
      <c r="G1642" s="19" t="s">
        <v>1429</v>
      </c>
      <c r="H1642" s="19" t="s">
        <v>944</v>
      </c>
      <c r="I1642" s="19" t="s">
        <v>946</v>
      </c>
      <c r="J1642" s="19" t="s">
        <v>942</v>
      </c>
      <c r="K1642" s="19" t="s">
        <v>1159</v>
      </c>
      <c r="L1642" s="19">
        <v>2023</v>
      </c>
      <c r="M1642" s="20">
        <v>5000</v>
      </c>
      <c r="N1642" s="19" t="s">
        <v>667</v>
      </c>
      <c r="O1642" s="20">
        <v>2.4000000000000004</v>
      </c>
      <c r="P1642" s="20">
        <v>12000.000000000002</v>
      </c>
      <c r="Q1642" s="20">
        <v>18138.119999999995</v>
      </c>
      <c r="R1642" s="21">
        <v>0.91</v>
      </c>
      <c r="S1642" s="20">
        <v>18138.119999999995</v>
      </c>
    </row>
    <row r="1643" spans="2:19" ht="15" customHeight="1" x14ac:dyDescent="0.25">
      <c r="B1643" s="2" t="str">
        <f t="shared" si="50"/>
        <v>NSG_Business_C&amp;I_Rebates_Boiler_≥88% AFUE, ≥300MBh TE_CI</v>
      </c>
      <c r="C1643" s="2" t="str">
        <f t="shared" si="51"/>
        <v>NSG_Business_C&amp;I_Rebates_Boiler_≥88% AFUE, ≥300MBh TE_CI_2024</v>
      </c>
      <c r="D1643" s="19" t="s">
        <v>1787</v>
      </c>
      <c r="E1643" s="19" t="s">
        <v>3</v>
      </c>
      <c r="F1643" s="19" t="s">
        <v>1427</v>
      </c>
      <c r="G1643" s="19" t="s">
        <v>1429</v>
      </c>
      <c r="H1643" s="19" t="s">
        <v>944</v>
      </c>
      <c r="I1643" s="19" t="s">
        <v>946</v>
      </c>
      <c r="J1643" s="19" t="s">
        <v>942</v>
      </c>
      <c r="K1643" s="19" t="s">
        <v>1159</v>
      </c>
      <c r="L1643" s="19">
        <v>2024</v>
      </c>
      <c r="M1643" s="20">
        <v>5000</v>
      </c>
      <c r="N1643" s="19" t="s">
        <v>667</v>
      </c>
      <c r="O1643" s="20">
        <v>2.0999999999999996</v>
      </c>
      <c r="P1643" s="20">
        <v>10499.999999999998</v>
      </c>
      <c r="Q1643" s="20">
        <v>15870.85499999999</v>
      </c>
      <c r="R1643" s="21">
        <v>0.91</v>
      </c>
      <c r="S1643" s="20">
        <v>15870.85499999999</v>
      </c>
    </row>
    <row r="1644" spans="2:19" ht="15" customHeight="1" x14ac:dyDescent="0.25">
      <c r="B1644" s="2" t="str">
        <f t="shared" si="50"/>
        <v>NSG_Business_C&amp;I_Rebates_Boiler_≥88% AFUE, ≥300MBh TE_CI</v>
      </c>
      <c r="C1644" s="2" t="str">
        <f t="shared" si="51"/>
        <v>NSG_Business_C&amp;I_Rebates_Boiler_≥88% AFUE, ≥300MBh TE_CI_2025</v>
      </c>
      <c r="D1644" s="19" t="s">
        <v>1787</v>
      </c>
      <c r="E1644" s="19" t="s">
        <v>3</v>
      </c>
      <c r="F1644" s="19" t="s">
        <v>1427</v>
      </c>
      <c r="G1644" s="19" t="s">
        <v>1429</v>
      </c>
      <c r="H1644" s="19" t="s">
        <v>944</v>
      </c>
      <c r="I1644" s="19" t="s">
        <v>946</v>
      </c>
      <c r="J1644" s="19" t="s">
        <v>942</v>
      </c>
      <c r="K1644" s="19" t="s">
        <v>1159</v>
      </c>
      <c r="L1644" s="19">
        <v>2025</v>
      </c>
      <c r="M1644" s="20">
        <v>5000</v>
      </c>
      <c r="N1644" s="19" t="s">
        <v>667</v>
      </c>
      <c r="O1644" s="20">
        <v>2.04</v>
      </c>
      <c r="P1644" s="20">
        <v>10200</v>
      </c>
      <c r="Q1644" s="20">
        <v>15417.401999999995</v>
      </c>
      <c r="R1644" s="21">
        <v>0.91</v>
      </c>
      <c r="S1644" s="20">
        <v>15417.401999999995</v>
      </c>
    </row>
    <row r="1645" spans="2:19" ht="15" customHeight="1" x14ac:dyDescent="0.25">
      <c r="B1645" s="2" t="str">
        <f t="shared" si="50"/>
        <v>NSG_Business_C&amp;I_Rebates_Furnace_&gt;95% AFUE_CI</v>
      </c>
      <c r="C1645" s="2" t="str">
        <f t="shared" si="51"/>
        <v>NSG_Business_C&amp;I_Rebates_Furnace_&gt;95% AFUE_CI_2022</v>
      </c>
      <c r="D1645" s="19" t="s">
        <v>1787</v>
      </c>
      <c r="E1645" s="19" t="s">
        <v>3</v>
      </c>
      <c r="F1645" s="19" t="s">
        <v>1427</v>
      </c>
      <c r="G1645" s="19" t="s">
        <v>1429</v>
      </c>
      <c r="H1645" s="19" t="s">
        <v>490</v>
      </c>
      <c r="I1645" s="19" t="s">
        <v>982</v>
      </c>
      <c r="J1645" s="19" t="s">
        <v>983</v>
      </c>
      <c r="K1645" s="19" t="s">
        <v>1159</v>
      </c>
      <c r="L1645" s="19">
        <v>2022</v>
      </c>
      <c r="M1645" s="20">
        <v>1</v>
      </c>
      <c r="N1645" s="19" t="s">
        <v>1798</v>
      </c>
      <c r="O1645" s="20">
        <v>0</v>
      </c>
      <c r="P1645" s="20">
        <v>0</v>
      </c>
      <c r="Q1645" s="20">
        <v>0</v>
      </c>
      <c r="R1645" s="21">
        <v>0.91</v>
      </c>
      <c r="S1645" s="20">
        <v>0</v>
      </c>
    </row>
    <row r="1646" spans="2:19" ht="15" customHeight="1" x14ac:dyDescent="0.25">
      <c r="B1646" s="2" t="str">
        <f t="shared" si="50"/>
        <v>NSG_Business_C&amp;I_Rebates_Furnace_&gt;95% AFUE_CI</v>
      </c>
      <c r="C1646" s="2" t="str">
        <f t="shared" si="51"/>
        <v>NSG_Business_C&amp;I_Rebates_Furnace_&gt;95% AFUE_CI_2023</v>
      </c>
      <c r="D1646" s="19" t="s">
        <v>1787</v>
      </c>
      <c r="E1646" s="19" t="s">
        <v>3</v>
      </c>
      <c r="F1646" s="19" t="s">
        <v>1427</v>
      </c>
      <c r="G1646" s="19" t="s">
        <v>1429</v>
      </c>
      <c r="H1646" s="19" t="s">
        <v>490</v>
      </c>
      <c r="I1646" s="19" t="s">
        <v>982</v>
      </c>
      <c r="J1646" s="19" t="s">
        <v>983</v>
      </c>
      <c r="K1646" s="19" t="s">
        <v>1159</v>
      </c>
      <c r="L1646" s="19">
        <v>2023</v>
      </c>
      <c r="M1646" s="20">
        <v>1</v>
      </c>
      <c r="N1646" s="19" t="s">
        <v>1798</v>
      </c>
      <c r="O1646" s="20">
        <v>0</v>
      </c>
      <c r="P1646" s="20">
        <v>0</v>
      </c>
      <c r="Q1646" s="20">
        <v>0</v>
      </c>
      <c r="R1646" s="21">
        <v>0.91</v>
      </c>
      <c r="S1646" s="20">
        <v>0</v>
      </c>
    </row>
    <row r="1647" spans="2:19" ht="15" customHeight="1" x14ac:dyDescent="0.25">
      <c r="B1647" s="2" t="str">
        <f t="shared" si="50"/>
        <v>NSG_Business_C&amp;I_Rebates_Furnace_&gt;95% AFUE_CI</v>
      </c>
      <c r="C1647" s="2" t="str">
        <f t="shared" si="51"/>
        <v>NSG_Business_C&amp;I_Rebates_Furnace_&gt;95% AFUE_CI_2024</v>
      </c>
      <c r="D1647" s="19" t="s">
        <v>1787</v>
      </c>
      <c r="E1647" s="19" t="s">
        <v>3</v>
      </c>
      <c r="F1647" s="19" t="s">
        <v>1427</v>
      </c>
      <c r="G1647" s="19" t="s">
        <v>1429</v>
      </c>
      <c r="H1647" s="19" t="s">
        <v>490</v>
      </c>
      <c r="I1647" s="19" t="s">
        <v>982</v>
      </c>
      <c r="J1647" s="19" t="s">
        <v>983</v>
      </c>
      <c r="K1647" s="19" t="s">
        <v>1159</v>
      </c>
      <c r="L1647" s="19">
        <v>2024</v>
      </c>
      <c r="M1647" s="20">
        <v>1</v>
      </c>
      <c r="N1647" s="19" t="s">
        <v>1798</v>
      </c>
      <c r="O1647" s="20">
        <v>0</v>
      </c>
      <c r="P1647" s="20">
        <v>0</v>
      </c>
      <c r="Q1647" s="20">
        <v>0</v>
      </c>
      <c r="R1647" s="21">
        <v>0.91</v>
      </c>
      <c r="S1647" s="20">
        <v>0</v>
      </c>
    </row>
    <row r="1648" spans="2:19" ht="15" customHeight="1" x14ac:dyDescent="0.25">
      <c r="B1648" s="2" t="str">
        <f t="shared" si="50"/>
        <v>NSG_Business_C&amp;I_Rebates_Furnace_&gt;95% AFUE_CI</v>
      </c>
      <c r="C1648" s="2" t="str">
        <f t="shared" si="51"/>
        <v>NSG_Business_C&amp;I_Rebates_Furnace_&gt;95% AFUE_CI_2025</v>
      </c>
      <c r="D1648" s="19" t="s">
        <v>1787</v>
      </c>
      <c r="E1648" s="19" t="s">
        <v>3</v>
      </c>
      <c r="F1648" s="19" t="s">
        <v>1427</v>
      </c>
      <c r="G1648" s="19" t="s">
        <v>1429</v>
      </c>
      <c r="H1648" s="19" t="s">
        <v>490</v>
      </c>
      <c r="I1648" s="19" t="s">
        <v>982</v>
      </c>
      <c r="J1648" s="19" t="s">
        <v>983</v>
      </c>
      <c r="K1648" s="19" t="s">
        <v>1159</v>
      </c>
      <c r="L1648" s="19">
        <v>2025</v>
      </c>
      <c r="M1648" s="20">
        <v>1</v>
      </c>
      <c r="N1648" s="19" t="s">
        <v>1798</v>
      </c>
      <c r="O1648" s="20">
        <v>0</v>
      </c>
      <c r="P1648" s="20">
        <v>0</v>
      </c>
      <c r="Q1648" s="20">
        <v>0</v>
      </c>
      <c r="R1648" s="21">
        <v>0.91</v>
      </c>
      <c r="S1648" s="20">
        <v>0</v>
      </c>
    </row>
    <row r="1649" spans="2:19" ht="15" customHeight="1" x14ac:dyDescent="0.25">
      <c r="B1649" s="2" t="str">
        <f t="shared" si="50"/>
        <v>NSG_Business_C&amp;I_Rebates_Boiler Reset Controls_0_CI</v>
      </c>
      <c r="C1649" s="2" t="str">
        <f t="shared" si="51"/>
        <v>NSG_Business_C&amp;I_Rebates_Boiler Reset Controls_0_CI_2022</v>
      </c>
      <c r="D1649" s="19" t="s">
        <v>1787</v>
      </c>
      <c r="E1649" s="19" t="s">
        <v>3</v>
      </c>
      <c r="F1649" s="19" t="s">
        <v>1427</v>
      </c>
      <c r="G1649" s="19" t="s">
        <v>1429</v>
      </c>
      <c r="H1649" s="19" t="s">
        <v>978</v>
      </c>
      <c r="I1649" s="19">
        <v>0</v>
      </c>
      <c r="J1649" s="19" t="s">
        <v>25</v>
      </c>
      <c r="K1649" s="19" t="s">
        <v>1159</v>
      </c>
      <c r="L1649" s="19">
        <v>2022</v>
      </c>
      <c r="M1649" s="20">
        <v>1200</v>
      </c>
      <c r="N1649" s="19" t="s">
        <v>667</v>
      </c>
      <c r="O1649" s="20">
        <v>0</v>
      </c>
      <c r="P1649" s="20">
        <v>0</v>
      </c>
      <c r="Q1649" s="20">
        <v>0</v>
      </c>
      <c r="R1649" s="21">
        <v>0.91</v>
      </c>
      <c r="S1649" s="20">
        <v>0</v>
      </c>
    </row>
    <row r="1650" spans="2:19" ht="15" customHeight="1" x14ac:dyDescent="0.25">
      <c r="B1650" s="2" t="str">
        <f t="shared" si="50"/>
        <v>NSG_Business_C&amp;I_Rebates_Boiler Reset Controls_0_CI</v>
      </c>
      <c r="C1650" s="2" t="str">
        <f t="shared" si="51"/>
        <v>NSG_Business_C&amp;I_Rebates_Boiler Reset Controls_0_CI_2023</v>
      </c>
      <c r="D1650" s="19" t="s">
        <v>1787</v>
      </c>
      <c r="E1650" s="19" t="s">
        <v>3</v>
      </c>
      <c r="F1650" s="19" t="s">
        <v>1427</v>
      </c>
      <c r="G1650" s="19" t="s">
        <v>1429</v>
      </c>
      <c r="H1650" s="19" t="s">
        <v>978</v>
      </c>
      <c r="I1650" s="19">
        <v>0</v>
      </c>
      <c r="J1650" s="19" t="s">
        <v>25</v>
      </c>
      <c r="K1650" s="19" t="s">
        <v>1159</v>
      </c>
      <c r="L1650" s="19">
        <v>2023</v>
      </c>
      <c r="M1650" s="20">
        <v>1200</v>
      </c>
      <c r="N1650" s="19" t="s">
        <v>667</v>
      </c>
      <c r="O1650" s="20">
        <v>0</v>
      </c>
      <c r="P1650" s="20">
        <v>0</v>
      </c>
      <c r="Q1650" s="20">
        <v>0</v>
      </c>
      <c r="R1650" s="21">
        <v>0.91</v>
      </c>
      <c r="S1650" s="20">
        <v>0</v>
      </c>
    </row>
    <row r="1651" spans="2:19" ht="15" customHeight="1" x14ac:dyDescent="0.25">
      <c r="B1651" s="2" t="str">
        <f t="shared" si="50"/>
        <v>NSG_Business_C&amp;I_Rebates_Boiler Reset Controls_0_CI</v>
      </c>
      <c r="C1651" s="2" t="str">
        <f t="shared" si="51"/>
        <v>NSG_Business_C&amp;I_Rebates_Boiler Reset Controls_0_CI_2024</v>
      </c>
      <c r="D1651" s="19" t="s">
        <v>1787</v>
      </c>
      <c r="E1651" s="19" t="s">
        <v>3</v>
      </c>
      <c r="F1651" s="19" t="s">
        <v>1427</v>
      </c>
      <c r="G1651" s="19" t="s">
        <v>1429</v>
      </c>
      <c r="H1651" s="19" t="s">
        <v>978</v>
      </c>
      <c r="I1651" s="19">
        <v>0</v>
      </c>
      <c r="J1651" s="19" t="s">
        <v>25</v>
      </c>
      <c r="K1651" s="19" t="s">
        <v>1159</v>
      </c>
      <c r="L1651" s="19">
        <v>2024</v>
      </c>
      <c r="M1651" s="20">
        <v>1200</v>
      </c>
      <c r="N1651" s="19" t="s">
        <v>667</v>
      </c>
      <c r="O1651" s="20">
        <v>0</v>
      </c>
      <c r="P1651" s="20">
        <v>0</v>
      </c>
      <c r="Q1651" s="20">
        <v>0</v>
      </c>
      <c r="R1651" s="21">
        <v>0.91</v>
      </c>
      <c r="S1651" s="20">
        <v>0</v>
      </c>
    </row>
    <row r="1652" spans="2:19" ht="15" customHeight="1" x14ac:dyDescent="0.25">
      <c r="B1652" s="2" t="str">
        <f t="shared" si="50"/>
        <v>NSG_Business_C&amp;I_Rebates_Boiler Reset Controls_0_CI</v>
      </c>
      <c r="C1652" s="2" t="str">
        <f t="shared" si="51"/>
        <v>NSG_Business_C&amp;I_Rebates_Boiler Reset Controls_0_CI_2025</v>
      </c>
      <c r="D1652" s="19" t="s">
        <v>1787</v>
      </c>
      <c r="E1652" s="19" t="s">
        <v>3</v>
      </c>
      <c r="F1652" s="19" t="s">
        <v>1427</v>
      </c>
      <c r="G1652" s="19" t="s">
        <v>1429</v>
      </c>
      <c r="H1652" s="19" t="s">
        <v>978</v>
      </c>
      <c r="I1652" s="19">
        <v>0</v>
      </c>
      <c r="J1652" s="19" t="s">
        <v>25</v>
      </c>
      <c r="K1652" s="19" t="s">
        <v>1159</v>
      </c>
      <c r="L1652" s="19">
        <v>2025</v>
      </c>
      <c r="M1652" s="20">
        <v>1200</v>
      </c>
      <c r="N1652" s="19" t="s">
        <v>667</v>
      </c>
      <c r="O1652" s="20">
        <v>0</v>
      </c>
      <c r="P1652" s="20">
        <v>0</v>
      </c>
      <c r="Q1652" s="20">
        <v>0</v>
      </c>
      <c r="R1652" s="21">
        <v>0.91</v>
      </c>
      <c r="S1652" s="20">
        <v>0</v>
      </c>
    </row>
    <row r="1653" spans="2:19" ht="15" customHeight="1" x14ac:dyDescent="0.25">
      <c r="B1653" s="2" t="str">
        <f t="shared" si="50"/>
        <v>NSG_Business_C&amp;I_Rebates_Boiler Tune Up_Process_MF/CI</v>
      </c>
      <c r="C1653" s="2" t="str">
        <f t="shared" si="51"/>
        <v>NSG_Business_C&amp;I_Rebates_Boiler Tune Up_Process_MF/CI_2022</v>
      </c>
      <c r="D1653" s="19" t="s">
        <v>1787</v>
      </c>
      <c r="E1653" s="19" t="s">
        <v>3</v>
      </c>
      <c r="F1653" s="19" t="s">
        <v>1427</v>
      </c>
      <c r="G1653" s="19" t="s">
        <v>1429</v>
      </c>
      <c r="H1653" s="19" t="s">
        <v>906</v>
      </c>
      <c r="I1653" s="19" t="s">
        <v>924</v>
      </c>
      <c r="J1653" s="19" t="s">
        <v>927</v>
      </c>
      <c r="K1653" s="19" t="s">
        <v>587</v>
      </c>
      <c r="L1653" s="19">
        <v>2022</v>
      </c>
      <c r="M1653" s="20">
        <v>12000</v>
      </c>
      <c r="N1653" s="19" t="s">
        <v>667</v>
      </c>
      <c r="O1653" s="20">
        <v>8.5</v>
      </c>
      <c r="P1653" s="20">
        <v>102000</v>
      </c>
      <c r="Q1653" s="20">
        <v>94930.29753559269</v>
      </c>
      <c r="R1653" s="21">
        <v>0.91</v>
      </c>
      <c r="S1653" s="20">
        <v>94930.29753559269</v>
      </c>
    </row>
    <row r="1654" spans="2:19" ht="15" customHeight="1" x14ac:dyDescent="0.25">
      <c r="B1654" s="2" t="str">
        <f t="shared" si="50"/>
        <v>NSG_Business_C&amp;I_Rebates_Boiler Tune Up_Process_MF/CI</v>
      </c>
      <c r="C1654" s="2" t="str">
        <f t="shared" si="51"/>
        <v>NSG_Business_C&amp;I_Rebates_Boiler Tune Up_Process_MF/CI_2023</v>
      </c>
      <c r="D1654" s="19" t="s">
        <v>1787</v>
      </c>
      <c r="E1654" s="19" t="s">
        <v>3</v>
      </c>
      <c r="F1654" s="19" t="s">
        <v>1427</v>
      </c>
      <c r="G1654" s="19" t="s">
        <v>1429</v>
      </c>
      <c r="H1654" s="19" t="s">
        <v>906</v>
      </c>
      <c r="I1654" s="19" t="s">
        <v>924</v>
      </c>
      <c r="J1654" s="19" t="s">
        <v>927</v>
      </c>
      <c r="K1654" s="19" t="s">
        <v>587</v>
      </c>
      <c r="L1654" s="19">
        <v>2023</v>
      </c>
      <c r="M1654" s="20">
        <v>12000</v>
      </c>
      <c r="N1654" s="19" t="s">
        <v>667</v>
      </c>
      <c r="O1654" s="20">
        <v>8</v>
      </c>
      <c r="P1654" s="20">
        <v>96000</v>
      </c>
      <c r="Q1654" s="20">
        <v>89346.162386440192</v>
      </c>
      <c r="R1654" s="21">
        <v>0.91</v>
      </c>
      <c r="S1654" s="20">
        <v>89346.162386440192</v>
      </c>
    </row>
    <row r="1655" spans="2:19" ht="15" customHeight="1" x14ac:dyDescent="0.25">
      <c r="B1655" s="2" t="str">
        <f t="shared" si="50"/>
        <v>NSG_Business_C&amp;I_Rebates_Boiler Tune Up_Process_MF/CI</v>
      </c>
      <c r="C1655" s="2" t="str">
        <f t="shared" si="51"/>
        <v>NSG_Business_C&amp;I_Rebates_Boiler Tune Up_Process_MF/CI_2024</v>
      </c>
      <c r="D1655" s="19" t="s">
        <v>1787</v>
      </c>
      <c r="E1655" s="19" t="s">
        <v>3</v>
      </c>
      <c r="F1655" s="19" t="s">
        <v>1427</v>
      </c>
      <c r="G1655" s="19" t="s">
        <v>1429</v>
      </c>
      <c r="H1655" s="19" t="s">
        <v>906</v>
      </c>
      <c r="I1655" s="19" t="s">
        <v>924</v>
      </c>
      <c r="J1655" s="19" t="s">
        <v>927</v>
      </c>
      <c r="K1655" s="19" t="s">
        <v>587</v>
      </c>
      <c r="L1655" s="19">
        <v>2024</v>
      </c>
      <c r="M1655" s="20">
        <v>12000</v>
      </c>
      <c r="N1655" s="19" t="s">
        <v>667</v>
      </c>
      <c r="O1655" s="20">
        <v>7</v>
      </c>
      <c r="P1655" s="20">
        <v>84000</v>
      </c>
      <c r="Q1655" s="20">
        <v>78177.892088135151</v>
      </c>
      <c r="R1655" s="21">
        <v>0.91</v>
      </c>
      <c r="S1655" s="20">
        <v>78177.892088135151</v>
      </c>
    </row>
    <row r="1656" spans="2:19" ht="15" customHeight="1" x14ac:dyDescent="0.25">
      <c r="B1656" s="2" t="str">
        <f t="shared" si="50"/>
        <v>NSG_Business_C&amp;I_Rebates_Boiler Tune Up_Process_MF/CI</v>
      </c>
      <c r="C1656" s="2" t="str">
        <f t="shared" si="51"/>
        <v>NSG_Business_C&amp;I_Rebates_Boiler Tune Up_Process_MF/CI_2025</v>
      </c>
      <c r="D1656" s="19" t="s">
        <v>1787</v>
      </c>
      <c r="E1656" s="19" t="s">
        <v>3</v>
      </c>
      <c r="F1656" s="19" t="s">
        <v>1427</v>
      </c>
      <c r="G1656" s="19" t="s">
        <v>1429</v>
      </c>
      <c r="H1656" s="19" t="s">
        <v>906</v>
      </c>
      <c r="I1656" s="19" t="s">
        <v>924</v>
      </c>
      <c r="J1656" s="19" t="s">
        <v>927</v>
      </c>
      <c r="K1656" s="19" t="s">
        <v>587</v>
      </c>
      <c r="L1656" s="19">
        <v>2025</v>
      </c>
      <c r="M1656" s="20">
        <v>12000</v>
      </c>
      <c r="N1656" s="19" t="s">
        <v>667</v>
      </c>
      <c r="O1656" s="20">
        <v>6.8000000000000007</v>
      </c>
      <c r="P1656" s="20">
        <v>81600.000000000015</v>
      </c>
      <c r="Q1656" s="20">
        <v>75944.238028474152</v>
      </c>
      <c r="R1656" s="21">
        <v>0.91</v>
      </c>
      <c r="S1656" s="20">
        <v>75944.238028474152</v>
      </c>
    </row>
    <row r="1657" spans="2:19" ht="15" customHeight="1" x14ac:dyDescent="0.25">
      <c r="B1657" s="2" t="str">
        <f t="shared" si="50"/>
        <v>NSG_Business_C&amp;I_Rebates_Boiler Tune Up_Space Heating_CI</v>
      </c>
      <c r="C1657" s="2" t="str">
        <f t="shared" si="51"/>
        <v>NSG_Business_C&amp;I_Rebates_Boiler Tune Up_Space Heating_CI_2022</v>
      </c>
      <c r="D1657" s="19" t="s">
        <v>1787</v>
      </c>
      <c r="E1657" s="19" t="s">
        <v>3</v>
      </c>
      <c r="F1657" s="19" t="s">
        <v>1427</v>
      </c>
      <c r="G1657" s="19" t="s">
        <v>1429</v>
      </c>
      <c r="H1657" s="19" t="s">
        <v>906</v>
      </c>
      <c r="I1657" s="19" t="s">
        <v>907</v>
      </c>
      <c r="J1657" s="19" t="s">
        <v>909</v>
      </c>
      <c r="K1657" s="19" t="s">
        <v>1159</v>
      </c>
      <c r="L1657" s="19">
        <v>2022</v>
      </c>
      <c r="M1657" s="20">
        <v>6000</v>
      </c>
      <c r="N1657" s="19" t="s">
        <v>667</v>
      </c>
      <c r="O1657" s="20">
        <v>4.25</v>
      </c>
      <c r="P1657" s="20">
        <v>25500</v>
      </c>
      <c r="Q1657" s="20">
        <v>10877.308159509226</v>
      </c>
      <c r="R1657" s="21">
        <v>0.91</v>
      </c>
      <c r="S1657" s="20">
        <v>10877.308159509226</v>
      </c>
    </row>
    <row r="1658" spans="2:19" ht="15" customHeight="1" x14ac:dyDescent="0.25">
      <c r="B1658" s="2" t="str">
        <f t="shared" si="50"/>
        <v>NSG_Business_C&amp;I_Rebates_Boiler Tune Up_Space Heating_CI</v>
      </c>
      <c r="C1658" s="2" t="str">
        <f t="shared" si="51"/>
        <v>NSG_Business_C&amp;I_Rebates_Boiler Tune Up_Space Heating_CI_2023</v>
      </c>
      <c r="D1658" s="19" t="s">
        <v>1787</v>
      </c>
      <c r="E1658" s="19" t="s">
        <v>3</v>
      </c>
      <c r="F1658" s="19" t="s">
        <v>1427</v>
      </c>
      <c r="G1658" s="19" t="s">
        <v>1429</v>
      </c>
      <c r="H1658" s="19" t="s">
        <v>906</v>
      </c>
      <c r="I1658" s="19" t="s">
        <v>907</v>
      </c>
      <c r="J1658" s="19" t="s">
        <v>909</v>
      </c>
      <c r="K1658" s="19" t="s">
        <v>1159</v>
      </c>
      <c r="L1658" s="19">
        <v>2023</v>
      </c>
      <c r="M1658" s="20">
        <v>6000</v>
      </c>
      <c r="N1658" s="19" t="s">
        <v>667</v>
      </c>
      <c r="O1658" s="20">
        <v>4</v>
      </c>
      <c r="P1658" s="20">
        <v>24000</v>
      </c>
      <c r="Q1658" s="20">
        <v>10237.466503067506</v>
      </c>
      <c r="R1658" s="21">
        <v>0.91</v>
      </c>
      <c r="S1658" s="20">
        <v>10237.466503067506</v>
      </c>
    </row>
    <row r="1659" spans="2:19" ht="15" customHeight="1" x14ac:dyDescent="0.25">
      <c r="B1659" s="2" t="str">
        <f t="shared" si="50"/>
        <v>NSG_Business_C&amp;I_Rebates_Boiler Tune Up_Space Heating_CI</v>
      </c>
      <c r="C1659" s="2" t="str">
        <f t="shared" si="51"/>
        <v>NSG_Business_C&amp;I_Rebates_Boiler Tune Up_Space Heating_CI_2024</v>
      </c>
      <c r="D1659" s="19" t="s">
        <v>1787</v>
      </c>
      <c r="E1659" s="19" t="s">
        <v>3</v>
      </c>
      <c r="F1659" s="19" t="s">
        <v>1427</v>
      </c>
      <c r="G1659" s="19" t="s">
        <v>1429</v>
      </c>
      <c r="H1659" s="19" t="s">
        <v>906</v>
      </c>
      <c r="I1659" s="19" t="s">
        <v>907</v>
      </c>
      <c r="J1659" s="19" t="s">
        <v>909</v>
      </c>
      <c r="K1659" s="19" t="s">
        <v>1159</v>
      </c>
      <c r="L1659" s="19">
        <v>2024</v>
      </c>
      <c r="M1659" s="20">
        <v>6000</v>
      </c>
      <c r="N1659" s="19" t="s">
        <v>667</v>
      </c>
      <c r="O1659" s="20">
        <v>3.5</v>
      </c>
      <c r="P1659" s="20">
        <v>21000</v>
      </c>
      <c r="Q1659" s="20">
        <v>8957.7831901840673</v>
      </c>
      <c r="R1659" s="21">
        <v>0.91</v>
      </c>
      <c r="S1659" s="20">
        <v>8957.7831901840673</v>
      </c>
    </row>
    <row r="1660" spans="2:19" ht="15" customHeight="1" x14ac:dyDescent="0.25">
      <c r="B1660" s="2" t="str">
        <f t="shared" si="50"/>
        <v>NSG_Business_C&amp;I_Rebates_Boiler Tune Up_Space Heating_CI</v>
      </c>
      <c r="C1660" s="2" t="str">
        <f t="shared" si="51"/>
        <v>NSG_Business_C&amp;I_Rebates_Boiler Tune Up_Space Heating_CI_2025</v>
      </c>
      <c r="D1660" s="19" t="s">
        <v>1787</v>
      </c>
      <c r="E1660" s="19" t="s">
        <v>3</v>
      </c>
      <c r="F1660" s="19" t="s">
        <v>1427</v>
      </c>
      <c r="G1660" s="19" t="s">
        <v>1429</v>
      </c>
      <c r="H1660" s="19" t="s">
        <v>906</v>
      </c>
      <c r="I1660" s="19" t="s">
        <v>907</v>
      </c>
      <c r="J1660" s="19" t="s">
        <v>909</v>
      </c>
      <c r="K1660" s="19" t="s">
        <v>1159</v>
      </c>
      <c r="L1660" s="19">
        <v>2025</v>
      </c>
      <c r="M1660" s="20">
        <v>6000</v>
      </c>
      <c r="N1660" s="19" t="s">
        <v>667</v>
      </c>
      <c r="O1660" s="20">
        <v>3.4000000000000004</v>
      </c>
      <c r="P1660" s="20">
        <v>20400.000000000004</v>
      </c>
      <c r="Q1660" s="20">
        <v>8701.8465276073821</v>
      </c>
      <c r="R1660" s="21">
        <v>0.91</v>
      </c>
      <c r="S1660" s="20">
        <v>8701.8465276073821</v>
      </c>
    </row>
    <row r="1661" spans="2:19" ht="15" customHeight="1" x14ac:dyDescent="0.25">
      <c r="B1661" s="2" t="str">
        <f t="shared" si="50"/>
        <v>NSG_Business_C&amp;I_Rebates_Condensing Unit Heater_0_MF/CI</v>
      </c>
      <c r="C1661" s="2" t="str">
        <f t="shared" si="51"/>
        <v>NSG_Business_C&amp;I_Rebates_Condensing Unit Heater_0_MF/CI_2022</v>
      </c>
      <c r="D1661" s="19" t="s">
        <v>1787</v>
      </c>
      <c r="E1661" s="19" t="s">
        <v>3</v>
      </c>
      <c r="F1661" s="19" t="s">
        <v>1427</v>
      </c>
      <c r="G1661" s="19" t="s">
        <v>1429</v>
      </c>
      <c r="H1661" s="19" t="s">
        <v>13</v>
      </c>
      <c r="I1661" s="19">
        <v>0</v>
      </c>
      <c r="J1661" s="19" t="s">
        <v>32</v>
      </c>
      <c r="K1661" s="19" t="s">
        <v>587</v>
      </c>
      <c r="L1661" s="19">
        <v>2022</v>
      </c>
      <c r="M1661" s="20">
        <v>150</v>
      </c>
      <c r="N1661" s="19" t="s">
        <v>667</v>
      </c>
      <c r="O1661" s="20">
        <v>0</v>
      </c>
      <c r="P1661" s="20">
        <v>0</v>
      </c>
      <c r="Q1661" s="20">
        <v>0</v>
      </c>
      <c r="R1661" s="21">
        <v>0.91</v>
      </c>
      <c r="S1661" s="20">
        <v>0</v>
      </c>
    </row>
    <row r="1662" spans="2:19" ht="15" customHeight="1" x14ac:dyDescent="0.25">
      <c r="B1662" s="2" t="str">
        <f t="shared" si="50"/>
        <v>NSG_Business_C&amp;I_Rebates_Condensing Unit Heater_0_MF/CI</v>
      </c>
      <c r="C1662" s="2" t="str">
        <f t="shared" si="51"/>
        <v>NSG_Business_C&amp;I_Rebates_Condensing Unit Heater_0_MF/CI_2023</v>
      </c>
      <c r="D1662" s="19" t="s">
        <v>1787</v>
      </c>
      <c r="E1662" s="19" t="s">
        <v>3</v>
      </c>
      <c r="F1662" s="19" t="s">
        <v>1427</v>
      </c>
      <c r="G1662" s="19" t="s">
        <v>1429</v>
      </c>
      <c r="H1662" s="19" t="s">
        <v>13</v>
      </c>
      <c r="I1662" s="19">
        <v>0</v>
      </c>
      <c r="J1662" s="19" t="s">
        <v>32</v>
      </c>
      <c r="K1662" s="19" t="s">
        <v>587</v>
      </c>
      <c r="L1662" s="19">
        <v>2023</v>
      </c>
      <c r="M1662" s="20">
        <v>150</v>
      </c>
      <c r="N1662" s="19" t="s">
        <v>667</v>
      </c>
      <c r="O1662" s="20">
        <v>0</v>
      </c>
      <c r="P1662" s="20">
        <v>0</v>
      </c>
      <c r="Q1662" s="20">
        <v>0</v>
      </c>
      <c r="R1662" s="21">
        <v>0.91</v>
      </c>
      <c r="S1662" s="20">
        <v>0</v>
      </c>
    </row>
    <row r="1663" spans="2:19" ht="15" customHeight="1" x14ac:dyDescent="0.25">
      <c r="B1663" s="2" t="str">
        <f t="shared" si="50"/>
        <v>NSG_Business_C&amp;I_Rebates_Condensing Unit Heater_0_MF/CI</v>
      </c>
      <c r="C1663" s="2" t="str">
        <f t="shared" si="51"/>
        <v>NSG_Business_C&amp;I_Rebates_Condensing Unit Heater_0_MF/CI_2024</v>
      </c>
      <c r="D1663" s="19" t="s">
        <v>1787</v>
      </c>
      <c r="E1663" s="19" t="s">
        <v>3</v>
      </c>
      <c r="F1663" s="19" t="s">
        <v>1427</v>
      </c>
      <c r="G1663" s="19" t="s">
        <v>1429</v>
      </c>
      <c r="H1663" s="19" t="s">
        <v>13</v>
      </c>
      <c r="I1663" s="19">
        <v>0</v>
      </c>
      <c r="J1663" s="19" t="s">
        <v>32</v>
      </c>
      <c r="K1663" s="19" t="s">
        <v>587</v>
      </c>
      <c r="L1663" s="19">
        <v>2024</v>
      </c>
      <c r="M1663" s="20">
        <v>150</v>
      </c>
      <c r="N1663" s="19" t="s">
        <v>667</v>
      </c>
      <c r="O1663" s="20">
        <v>0</v>
      </c>
      <c r="P1663" s="20">
        <v>0</v>
      </c>
      <c r="Q1663" s="20">
        <v>0</v>
      </c>
      <c r="R1663" s="21">
        <v>0.91</v>
      </c>
      <c r="S1663" s="20">
        <v>0</v>
      </c>
    </row>
    <row r="1664" spans="2:19" ht="15" customHeight="1" x14ac:dyDescent="0.25">
      <c r="B1664" s="2" t="str">
        <f t="shared" si="50"/>
        <v>NSG_Business_C&amp;I_Rebates_Condensing Unit Heater_0_MF/CI</v>
      </c>
      <c r="C1664" s="2" t="str">
        <f t="shared" si="51"/>
        <v>NSG_Business_C&amp;I_Rebates_Condensing Unit Heater_0_MF/CI_2025</v>
      </c>
      <c r="D1664" s="19" t="s">
        <v>1787</v>
      </c>
      <c r="E1664" s="19" t="s">
        <v>3</v>
      </c>
      <c r="F1664" s="19" t="s">
        <v>1427</v>
      </c>
      <c r="G1664" s="19" t="s">
        <v>1429</v>
      </c>
      <c r="H1664" s="19" t="s">
        <v>13</v>
      </c>
      <c r="I1664" s="19">
        <v>0</v>
      </c>
      <c r="J1664" s="19" t="s">
        <v>32</v>
      </c>
      <c r="K1664" s="19" t="s">
        <v>587</v>
      </c>
      <c r="L1664" s="19">
        <v>2025</v>
      </c>
      <c r="M1664" s="20">
        <v>150</v>
      </c>
      <c r="N1664" s="19" t="s">
        <v>667</v>
      </c>
      <c r="O1664" s="20">
        <v>0</v>
      </c>
      <c r="P1664" s="20">
        <v>0</v>
      </c>
      <c r="Q1664" s="20">
        <v>0</v>
      </c>
      <c r="R1664" s="21">
        <v>0.91</v>
      </c>
      <c r="S1664" s="20">
        <v>0</v>
      </c>
    </row>
    <row r="1665" spans="2:19" ht="15" customHeight="1" x14ac:dyDescent="0.25">
      <c r="B1665" s="2" t="str">
        <f t="shared" si="50"/>
        <v>NSG_Business_C&amp;I_Rebates_DCV - Kitchen_0_MF/CI</v>
      </c>
      <c r="C1665" s="2" t="str">
        <f t="shared" si="51"/>
        <v>NSG_Business_C&amp;I_Rebates_DCV - Kitchen_0_MF/CI_2022</v>
      </c>
      <c r="D1665" s="19" t="s">
        <v>1787</v>
      </c>
      <c r="E1665" s="19" t="s">
        <v>3</v>
      </c>
      <c r="F1665" s="19" t="s">
        <v>1427</v>
      </c>
      <c r="G1665" s="19" t="s">
        <v>1429</v>
      </c>
      <c r="H1665" s="19" t="s">
        <v>1077</v>
      </c>
      <c r="I1665" s="19">
        <v>0</v>
      </c>
      <c r="J1665" s="19" t="s">
        <v>48</v>
      </c>
      <c r="K1665" s="19" t="s">
        <v>587</v>
      </c>
      <c r="L1665" s="19">
        <v>2022</v>
      </c>
      <c r="M1665" s="20">
        <v>7.75</v>
      </c>
      <c r="N1665" s="19" t="s">
        <v>333</v>
      </c>
      <c r="O1665" s="20">
        <v>0.85</v>
      </c>
      <c r="P1665" s="20">
        <v>6.5874999999999995</v>
      </c>
      <c r="Q1665" s="20">
        <v>4639.8397500000001</v>
      </c>
      <c r="R1665" s="21">
        <v>0.91</v>
      </c>
      <c r="S1665" s="20">
        <v>4639.8397500000001</v>
      </c>
    </row>
    <row r="1666" spans="2:19" ht="15" customHeight="1" x14ac:dyDescent="0.25">
      <c r="B1666" s="2" t="str">
        <f t="shared" si="50"/>
        <v>NSG_Business_C&amp;I_Rebates_DCV - Kitchen_0_MF/CI</v>
      </c>
      <c r="C1666" s="2" t="str">
        <f t="shared" si="51"/>
        <v>NSG_Business_C&amp;I_Rebates_DCV - Kitchen_0_MF/CI_2023</v>
      </c>
      <c r="D1666" s="19" t="s">
        <v>1787</v>
      </c>
      <c r="E1666" s="19" t="s">
        <v>3</v>
      </c>
      <c r="F1666" s="19" t="s">
        <v>1427</v>
      </c>
      <c r="G1666" s="19" t="s">
        <v>1429</v>
      </c>
      <c r="H1666" s="19" t="s">
        <v>1077</v>
      </c>
      <c r="I1666" s="19">
        <v>0</v>
      </c>
      <c r="J1666" s="19" t="s">
        <v>48</v>
      </c>
      <c r="K1666" s="19" t="s">
        <v>587</v>
      </c>
      <c r="L1666" s="19">
        <v>2023</v>
      </c>
      <c r="M1666" s="20">
        <v>7.75</v>
      </c>
      <c r="N1666" s="19" t="s">
        <v>333</v>
      </c>
      <c r="O1666" s="20">
        <v>0.8</v>
      </c>
      <c r="P1666" s="20">
        <v>6.2</v>
      </c>
      <c r="Q1666" s="20">
        <v>4366.9080000000004</v>
      </c>
      <c r="R1666" s="21">
        <v>0.91</v>
      </c>
      <c r="S1666" s="20">
        <v>4366.9080000000004</v>
      </c>
    </row>
    <row r="1667" spans="2:19" ht="15" customHeight="1" x14ac:dyDescent="0.25">
      <c r="B1667" s="2" t="str">
        <f t="shared" si="50"/>
        <v>NSG_Business_C&amp;I_Rebates_DCV - Kitchen_0_MF/CI</v>
      </c>
      <c r="C1667" s="2" t="str">
        <f t="shared" si="51"/>
        <v>NSG_Business_C&amp;I_Rebates_DCV - Kitchen_0_MF/CI_2024</v>
      </c>
      <c r="D1667" s="19" t="s">
        <v>1787</v>
      </c>
      <c r="E1667" s="19" t="s">
        <v>3</v>
      </c>
      <c r="F1667" s="19" t="s">
        <v>1427</v>
      </c>
      <c r="G1667" s="19" t="s">
        <v>1429</v>
      </c>
      <c r="H1667" s="19" t="s">
        <v>1077</v>
      </c>
      <c r="I1667" s="19">
        <v>0</v>
      </c>
      <c r="J1667" s="19" t="s">
        <v>48</v>
      </c>
      <c r="K1667" s="19" t="s">
        <v>587</v>
      </c>
      <c r="L1667" s="19">
        <v>2024</v>
      </c>
      <c r="M1667" s="20">
        <v>7.75</v>
      </c>
      <c r="N1667" s="19" t="s">
        <v>333</v>
      </c>
      <c r="O1667" s="20">
        <v>0.7</v>
      </c>
      <c r="P1667" s="20">
        <v>5.4249999999999998</v>
      </c>
      <c r="Q1667" s="20">
        <v>3821.0445</v>
      </c>
      <c r="R1667" s="21">
        <v>0.91</v>
      </c>
      <c r="S1667" s="20">
        <v>3821.0445</v>
      </c>
    </row>
    <row r="1668" spans="2:19" ht="15" customHeight="1" x14ac:dyDescent="0.25">
      <c r="B1668" s="2" t="str">
        <f t="shared" si="50"/>
        <v>NSG_Business_C&amp;I_Rebates_DCV - Kitchen_0_MF/CI</v>
      </c>
      <c r="C1668" s="2" t="str">
        <f t="shared" si="51"/>
        <v>NSG_Business_C&amp;I_Rebates_DCV - Kitchen_0_MF/CI_2025</v>
      </c>
      <c r="D1668" s="19" t="s">
        <v>1787</v>
      </c>
      <c r="E1668" s="19" t="s">
        <v>3</v>
      </c>
      <c r="F1668" s="19" t="s">
        <v>1427</v>
      </c>
      <c r="G1668" s="19" t="s">
        <v>1429</v>
      </c>
      <c r="H1668" s="19" t="s">
        <v>1077</v>
      </c>
      <c r="I1668" s="19">
        <v>0</v>
      </c>
      <c r="J1668" s="19" t="s">
        <v>48</v>
      </c>
      <c r="K1668" s="19" t="s">
        <v>587</v>
      </c>
      <c r="L1668" s="19">
        <v>2025</v>
      </c>
      <c r="M1668" s="20">
        <v>7.75</v>
      </c>
      <c r="N1668" s="19" t="s">
        <v>333</v>
      </c>
      <c r="O1668" s="20">
        <v>0.68</v>
      </c>
      <c r="P1668" s="20">
        <v>5.2700000000000005</v>
      </c>
      <c r="Q1668" s="20">
        <v>3711.8718000000003</v>
      </c>
      <c r="R1668" s="21">
        <v>0.91</v>
      </c>
      <c r="S1668" s="20">
        <v>3711.8718000000003</v>
      </c>
    </row>
    <row r="1669" spans="2:19" ht="15" customHeight="1" x14ac:dyDescent="0.25">
      <c r="B1669" s="2" t="str">
        <f t="shared" si="50"/>
        <v>NSG_Business_C&amp;I_Rebates_Direct Fired Heaters_0_MF/CI</v>
      </c>
      <c r="C1669" s="2" t="str">
        <f t="shared" si="51"/>
        <v>NSG_Business_C&amp;I_Rebates_Direct Fired Heaters_0_MF/CI_2022</v>
      </c>
      <c r="D1669" s="19" t="s">
        <v>1787</v>
      </c>
      <c r="E1669" s="19" t="s">
        <v>3</v>
      </c>
      <c r="F1669" s="19" t="s">
        <v>1427</v>
      </c>
      <c r="G1669" s="19" t="s">
        <v>1429</v>
      </c>
      <c r="H1669" s="19" t="s">
        <v>666</v>
      </c>
      <c r="I1669" s="19">
        <v>0</v>
      </c>
      <c r="J1669" s="19" t="s">
        <v>673</v>
      </c>
      <c r="K1669" s="19" t="s">
        <v>587</v>
      </c>
      <c r="L1669" s="19">
        <v>2022</v>
      </c>
      <c r="M1669" s="20">
        <v>400</v>
      </c>
      <c r="N1669" s="19" t="s">
        <v>667</v>
      </c>
      <c r="O1669" s="20">
        <v>0</v>
      </c>
      <c r="P1669" s="20">
        <v>0</v>
      </c>
      <c r="Q1669" s="20">
        <v>0</v>
      </c>
      <c r="R1669" s="21">
        <v>0.91</v>
      </c>
      <c r="S1669" s="20">
        <v>0</v>
      </c>
    </row>
    <row r="1670" spans="2:19" ht="15" customHeight="1" x14ac:dyDescent="0.25">
      <c r="B1670" s="2" t="str">
        <f t="shared" ref="B1670:B1733" si="52">D1670&amp;"_"&amp;E1670&amp;"_"&amp;F1670&amp;"_"&amp;G1670&amp;"_"&amp;H1670&amp;"_"&amp;I1670&amp;"_"&amp;K1670</f>
        <v>NSG_Business_C&amp;I_Rebates_Direct Fired Heaters_0_MF/CI</v>
      </c>
      <c r="C1670" s="2" t="str">
        <f t="shared" ref="C1670:C1733" si="53">D1670&amp;"_"&amp;E1670&amp;"_"&amp;F1670&amp;"_"&amp;G1670&amp;"_"&amp;H1670&amp;"_"&amp;I1670&amp;"_"&amp;K1670&amp;"_"&amp;L1670</f>
        <v>NSG_Business_C&amp;I_Rebates_Direct Fired Heaters_0_MF/CI_2023</v>
      </c>
      <c r="D1670" s="19" t="s">
        <v>1787</v>
      </c>
      <c r="E1670" s="19" t="s">
        <v>3</v>
      </c>
      <c r="F1670" s="19" t="s">
        <v>1427</v>
      </c>
      <c r="G1670" s="19" t="s">
        <v>1429</v>
      </c>
      <c r="H1670" s="19" t="s">
        <v>666</v>
      </c>
      <c r="I1670" s="19">
        <v>0</v>
      </c>
      <c r="J1670" s="19" t="s">
        <v>673</v>
      </c>
      <c r="K1670" s="19" t="s">
        <v>587</v>
      </c>
      <c r="L1670" s="19">
        <v>2023</v>
      </c>
      <c r="M1670" s="20">
        <v>400</v>
      </c>
      <c r="N1670" s="19" t="s">
        <v>667</v>
      </c>
      <c r="O1670" s="20">
        <v>0</v>
      </c>
      <c r="P1670" s="20">
        <v>0</v>
      </c>
      <c r="Q1670" s="20">
        <v>0</v>
      </c>
      <c r="R1670" s="21">
        <v>0.91</v>
      </c>
      <c r="S1670" s="20">
        <v>0</v>
      </c>
    </row>
    <row r="1671" spans="2:19" ht="15" customHeight="1" x14ac:dyDescent="0.25">
      <c r="B1671" s="2" t="str">
        <f t="shared" si="52"/>
        <v>NSG_Business_C&amp;I_Rebates_Direct Fired Heaters_0_MF/CI</v>
      </c>
      <c r="C1671" s="2" t="str">
        <f t="shared" si="53"/>
        <v>NSG_Business_C&amp;I_Rebates_Direct Fired Heaters_0_MF/CI_2024</v>
      </c>
      <c r="D1671" s="19" t="s">
        <v>1787</v>
      </c>
      <c r="E1671" s="19" t="s">
        <v>3</v>
      </c>
      <c r="F1671" s="19" t="s">
        <v>1427</v>
      </c>
      <c r="G1671" s="19" t="s">
        <v>1429</v>
      </c>
      <c r="H1671" s="19" t="s">
        <v>666</v>
      </c>
      <c r="I1671" s="19">
        <v>0</v>
      </c>
      <c r="J1671" s="19" t="s">
        <v>673</v>
      </c>
      <c r="K1671" s="19" t="s">
        <v>587</v>
      </c>
      <c r="L1671" s="19">
        <v>2024</v>
      </c>
      <c r="M1671" s="20">
        <v>400</v>
      </c>
      <c r="N1671" s="19" t="s">
        <v>667</v>
      </c>
      <c r="O1671" s="20">
        <v>0</v>
      </c>
      <c r="P1671" s="20">
        <v>0</v>
      </c>
      <c r="Q1671" s="20">
        <v>0</v>
      </c>
      <c r="R1671" s="21">
        <v>0.91</v>
      </c>
      <c r="S1671" s="20">
        <v>0</v>
      </c>
    </row>
    <row r="1672" spans="2:19" ht="15" customHeight="1" x14ac:dyDescent="0.25">
      <c r="B1672" s="2" t="str">
        <f t="shared" si="52"/>
        <v>NSG_Business_C&amp;I_Rebates_Direct Fired Heaters_0_MF/CI</v>
      </c>
      <c r="C1672" s="2" t="str">
        <f t="shared" si="53"/>
        <v>NSG_Business_C&amp;I_Rebates_Direct Fired Heaters_0_MF/CI_2025</v>
      </c>
      <c r="D1672" s="19" t="s">
        <v>1787</v>
      </c>
      <c r="E1672" s="19" t="s">
        <v>3</v>
      </c>
      <c r="F1672" s="19" t="s">
        <v>1427</v>
      </c>
      <c r="G1672" s="19" t="s">
        <v>1429</v>
      </c>
      <c r="H1672" s="19" t="s">
        <v>666</v>
      </c>
      <c r="I1672" s="19">
        <v>0</v>
      </c>
      <c r="J1672" s="19" t="s">
        <v>673</v>
      </c>
      <c r="K1672" s="19" t="s">
        <v>587</v>
      </c>
      <c r="L1672" s="19">
        <v>2025</v>
      </c>
      <c r="M1672" s="20">
        <v>400</v>
      </c>
      <c r="N1672" s="19" t="s">
        <v>667</v>
      </c>
      <c r="O1672" s="20">
        <v>0</v>
      </c>
      <c r="P1672" s="20">
        <v>0</v>
      </c>
      <c r="Q1672" s="20">
        <v>0</v>
      </c>
      <c r="R1672" s="21">
        <v>0.91</v>
      </c>
      <c r="S1672" s="20">
        <v>0</v>
      </c>
    </row>
    <row r="1673" spans="2:19" ht="15" customHeight="1" x14ac:dyDescent="0.25">
      <c r="B1673" s="2" t="str">
        <f t="shared" si="52"/>
        <v>NSG_Business_C&amp;I_Rebates_High Speed Washer_Hotel/Motel/Hospital_CI</v>
      </c>
      <c r="C1673" s="2" t="str">
        <f t="shared" si="53"/>
        <v>NSG_Business_C&amp;I_Rebates_High Speed Washer_Hotel/Motel/Hospital_CI_2022</v>
      </c>
      <c r="D1673" s="19" t="s">
        <v>1787</v>
      </c>
      <c r="E1673" s="19" t="s">
        <v>3</v>
      </c>
      <c r="F1673" s="19" t="s">
        <v>1427</v>
      </c>
      <c r="G1673" s="19" t="s">
        <v>1429</v>
      </c>
      <c r="H1673" s="19" t="s">
        <v>725</v>
      </c>
      <c r="I1673" s="19" t="s">
        <v>1162</v>
      </c>
      <c r="J1673" s="19" t="s">
        <v>730</v>
      </c>
      <c r="K1673" s="19" t="s">
        <v>1159</v>
      </c>
      <c r="L1673" s="19">
        <v>2022</v>
      </c>
      <c r="M1673" s="20">
        <v>250</v>
      </c>
      <c r="N1673" s="19" t="s">
        <v>1803</v>
      </c>
      <c r="O1673" s="20">
        <v>1.7</v>
      </c>
      <c r="P1673" s="20">
        <v>425</v>
      </c>
      <c r="Q1673" s="20">
        <v>2608.9919856000001</v>
      </c>
      <c r="R1673" s="21">
        <v>0.91</v>
      </c>
      <c r="S1673" s="20">
        <v>2608.9919856000001</v>
      </c>
    </row>
    <row r="1674" spans="2:19" ht="15" customHeight="1" x14ac:dyDescent="0.25">
      <c r="B1674" s="2" t="str">
        <f t="shared" si="52"/>
        <v>NSG_Business_C&amp;I_Rebates_High Speed Washer_Hotel/Motel/Hospital_CI</v>
      </c>
      <c r="C1674" s="2" t="str">
        <f t="shared" si="53"/>
        <v>NSG_Business_C&amp;I_Rebates_High Speed Washer_Hotel/Motel/Hospital_CI_2023</v>
      </c>
      <c r="D1674" s="19" t="s">
        <v>1787</v>
      </c>
      <c r="E1674" s="19" t="s">
        <v>3</v>
      </c>
      <c r="F1674" s="19" t="s">
        <v>1427</v>
      </c>
      <c r="G1674" s="19" t="s">
        <v>1429</v>
      </c>
      <c r="H1674" s="19" t="s">
        <v>725</v>
      </c>
      <c r="I1674" s="19" t="s">
        <v>1162</v>
      </c>
      <c r="J1674" s="19" t="s">
        <v>730</v>
      </c>
      <c r="K1674" s="19" t="s">
        <v>1159</v>
      </c>
      <c r="L1674" s="19">
        <v>2023</v>
      </c>
      <c r="M1674" s="20">
        <v>250</v>
      </c>
      <c r="N1674" s="19" t="s">
        <v>1803</v>
      </c>
      <c r="O1674" s="20">
        <v>1.6</v>
      </c>
      <c r="P1674" s="20">
        <v>400</v>
      </c>
      <c r="Q1674" s="20">
        <v>2455.5218688</v>
      </c>
      <c r="R1674" s="21">
        <v>0.91</v>
      </c>
      <c r="S1674" s="20">
        <v>2455.5218688</v>
      </c>
    </row>
    <row r="1675" spans="2:19" ht="15" customHeight="1" x14ac:dyDescent="0.25">
      <c r="B1675" s="2" t="str">
        <f t="shared" si="52"/>
        <v>NSG_Business_C&amp;I_Rebates_High Speed Washer_Hotel/Motel/Hospital_CI</v>
      </c>
      <c r="C1675" s="2" t="str">
        <f t="shared" si="53"/>
        <v>NSG_Business_C&amp;I_Rebates_High Speed Washer_Hotel/Motel/Hospital_CI_2024</v>
      </c>
      <c r="D1675" s="19" t="s">
        <v>1787</v>
      </c>
      <c r="E1675" s="19" t="s">
        <v>3</v>
      </c>
      <c r="F1675" s="19" t="s">
        <v>1427</v>
      </c>
      <c r="G1675" s="19" t="s">
        <v>1429</v>
      </c>
      <c r="H1675" s="19" t="s">
        <v>725</v>
      </c>
      <c r="I1675" s="19" t="s">
        <v>1162</v>
      </c>
      <c r="J1675" s="19" t="s">
        <v>730</v>
      </c>
      <c r="K1675" s="19" t="s">
        <v>1159</v>
      </c>
      <c r="L1675" s="19">
        <v>2024</v>
      </c>
      <c r="M1675" s="20">
        <v>250</v>
      </c>
      <c r="N1675" s="19" t="s">
        <v>1803</v>
      </c>
      <c r="O1675" s="20">
        <v>1.4</v>
      </c>
      <c r="P1675" s="20">
        <v>350</v>
      </c>
      <c r="Q1675" s="20">
        <v>2148.5816352000002</v>
      </c>
      <c r="R1675" s="21">
        <v>0.91</v>
      </c>
      <c r="S1675" s="20">
        <v>2148.5816352000002</v>
      </c>
    </row>
    <row r="1676" spans="2:19" ht="15" customHeight="1" x14ac:dyDescent="0.25">
      <c r="B1676" s="2" t="str">
        <f t="shared" si="52"/>
        <v>NSG_Business_C&amp;I_Rebates_High Speed Washer_Hotel/Motel/Hospital_CI</v>
      </c>
      <c r="C1676" s="2" t="str">
        <f t="shared" si="53"/>
        <v>NSG_Business_C&amp;I_Rebates_High Speed Washer_Hotel/Motel/Hospital_CI_2025</v>
      </c>
      <c r="D1676" s="19" t="s">
        <v>1787</v>
      </c>
      <c r="E1676" s="19" t="s">
        <v>3</v>
      </c>
      <c r="F1676" s="19" t="s">
        <v>1427</v>
      </c>
      <c r="G1676" s="19" t="s">
        <v>1429</v>
      </c>
      <c r="H1676" s="19" t="s">
        <v>725</v>
      </c>
      <c r="I1676" s="19" t="s">
        <v>1162</v>
      </c>
      <c r="J1676" s="19" t="s">
        <v>730</v>
      </c>
      <c r="K1676" s="19" t="s">
        <v>1159</v>
      </c>
      <c r="L1676" s="19">
        <v>2025</v>
      </c>
      <c r="M1676" s="20">
        <v>250</v>
      </c>
      <c r="N1676" s="19" t="s">
        <v>1803</v>
      </c>
      <c r="O1676" s="20">
        <v>1.36</v>
      </c>
      <c r="P1676" s="20">
        <v>340</v>
      </c>
      <c r="Q1676" s="20">
        <v>2087.1935884800005</v>
      </c>
      <c r="R1676" s="21">
        <v>0.91</v>
      </c>
      <c r="S1676" s="20">
        <v>2087.1935884800005</v>
      </c>
    </row>
    <row r="1677" spans="2:19" ht="15" customHeight="1" x14ac:dyDescent="0.25">
      <c r="B1677" s="2" t="str">
        <f t="shared" si="52"/>
        <v>NSG_Business_C&amp;I_Rebates_High Speed Washer_Laundromat_SMB</v>
      </c>
      <c r="C1677" s="2" t="str">
        <f t="shared" si="53"/>
        <v>NSG_Business_C&amp;I_Rebates_High Speed Washer_Laundromat_SMB_2022</v>
      </c>
      <c r="D1677" s="19" t="s">
        <v>1787</v>
      </c>
      <c r="E1677" s="19" t="s">
        <v>3</v>
      </c>
      <c r="F1677" s="19" t="s">
        <v>1427</v>
      </c>
      <c r="G1677" s="19" t="s">
        <v>1429</v>
      </c>
      <c r="H1677" s="19" t="s">
        <v>725</v>
      </c>
      <c r="I1677" s="19" t="s">
        <v>1356</v>
      </c>
      <c r="J1677" s="19" t="s">
        <v>730</v>
      </c>
      <c r="K1677" s="19" t="s">
        <v>1220</v>
      </c>
      <c r="L1677" s="19">
        <v>2022</v>
      </c>
      <c r="M1677" s="20">
        <v>250</v>
      </c>
      <c r="N1677" s="19" t="s">
        <v>1803</v>
      </c>
      <c r="O1677" s="20">
        <v>0.85</v>
      </c>
      <c r="P1677" s="20">
        <v>212.5</v>
      </c>
      <c r="Q1677" s="20">
        <v>539.35892009999998</v>
      </c>
      <c r="R1677" s="21">
        <v>0.91</v>
      </c>
      <c r="S1677" s="20">
        <v>539.35892009999998</v>
      </c>
    </row>
    <row r="1678" spans="2:19" ht="15" customHeight="1" x14ac:dyDescent="0.25">
      <c r="B1678" s="2" t="str">
        <f t="shared" si="52"/>
        <v>NSG_Business_C&amp;I_Rebates_High Speed Washer_Laundromat_SMB</v>
      </c>
      <c r="C1678" s="2" t="str">
        <f t="shared" si="53"/>
        <v>NSG_Business_C&amp;I_Rebates_High Speed Washer_Laundromat_SMB_2023</v>
      </c>
      <c r="D1678" s="19" t="s">
        <v>1787</v>
      </c>
      <c r="E1678" s="19" t="s">
        <v>3</v>
      </c>
      <c r="F1678" s="19" t="s">
        <v>1427</v>
      </c>
      <c r="G1678" s="19" t="s">
        <v>1429</v>
      </c>
      <c r="H1678" s="19" t="s">
        <v>725</v>
      </c>
      <c r="I1678" s="19" t="s">
        <v>1356</v>
      </c>
      <c r="J1678" s="19" t="s">
        <v>730</v>
      </c>
      <c r="K1678" s="19" t="s">
        <v>1220</v>
      </c>
      <c r="L1678" s="19">
        <v>2023</v>
      </c>
      <c r="M1678" s="20">
        <v>250</v>
      </c>
      <c r="N1678" s="19" t="s">
        <v>1803</v>
      </c>
      <c r="O1678" s="20">
        <v>0.8</v>
      </c>
      <c r="P1678" s="20">
        <v>200</v>
      </c>
      <c r="Q1678" s="20">
        <v>507.63192480000009</v>
      </c>
      <c r="R1678" s="21">
        <v>0.91</v>
      </c>
      <c r="S1678" s="20">
        <v>507.63192480000009</v>
      </c>
    </row>
    <row r="1679" spans="2:19" ht="15" customHeight="1" x14ac:dyDescent="0.25">
      <c r="B1679" s="2" t="str">
        <f t="shared" si="52"/>
        <v>NSG_Business_C&amp;I_Rebates_High Speed Washer_Laundromat_SMB</v>
      </c>
      <c r="C1679" s="2" t="str">
        <f t="shared" si="53"/>
        <v>NSG_Business_C&amp;I_Rebates_High Speed Washer_Laundromat_SMB_2024</v>
      </c>
      <c r="D1679" s="19" t="s">
        <v>1787</v>
      </c>
      <c r="E1679" s="19" t="s">
        <v>3</v>
      </c>
      <c r="F1679" s="19" t="s">
        <v>1427</v>
      </c>
      <c r="G1679" s="19" t="s">
        <v>1429</v>
      </c>
      <c r="H1679" s="19" t="s">
        <v>725</v>
      </c>
      <c r="I1679" s="19" t="s">
        <v>1356</v>
      </c>
      <c r="J1679" s="19" t="s">
        <v>730</v>
      </c>
      <c r="K1679" s="19" t="s">
        <v>1220</v>
      </c>
      <c r="L1679" s="19">
        <v>2024</v>
      </c>
      <c r="M1679" s="20">
        <v>250</v>
      </c>
      <c r="N1679" s="19" t="s">
        <v>1803</v>
      </c>
      <c r="O1679" s="20">
        <v>0.7</v>
      </c>
      <c r="P1679" s="20">
        <v>175</v>
      </c>
      <c r="Q1679" s="20">
        <v>444.17793420000004</v>
      </c>
      <c r="R1679" s="21">
        <v>0.91</v>
      </c>
      <c r="S1679" s="20">
        <v>444.17793420000004</v>
      </c>
    </row>
    <row r="1680" spans="2:19" ht="15" customHeight="1" x14ac:dyDescent="0.25">
      <c r="B1680" s="2" t="str">
        <f t="shared" si="52"/>
        <v>NSG_Business_C&amp;I_Rebates_High Speed Washer_Laundromat_SMB</v>
      </c>
      <c r="C1680" s="2" t="str">
        <f t="shared" si="53"/>
        <v>NSG_Business_C&amp;I_Rebates_High Speed Washer_Laundromat_SMB_2025</v>
      </c>
      <c r="D1680" s="19" t="s">
        <v>1787</v>
      </c>
      <c r="E1680" s="19" t="s">
        <v>3</v>
      </c>
      <c r="F1680" s="19" t="s">
        <v>1427</v>
      </c>
      <c r="G1680" s="19" t="s">
        <v>1429</v>
      </c>
      <c r="H1680" s="19" t="s">
        <v>725</v>
      </c>
      <c r="I1680" s="19" t="s">
        <v>1356</v>
      </c>
      <c r="J1680" s="19" t="s">
        <v>730</v>
      </c>
      <c r="K1680" s="19" t="s">
        <v>1220</v>
      </c>
      <c r="L1680" s="19">
        <v>2025</v>
      </c>
      <c r="M1680" s="20">
        <v>250</v>
      </c>
      <c r="N1680" s="19" t="s">
        <v>1803</v>
      </c>
      <c r="O1680" s="20">
        <v>0.68</v>
      </c>
      <c r="P1680" s="20">
        <v>170</v>
      </c>
      <c r="Q1680" s="20">
        <v>431.48713608000003</v>
      </c>
      <c r="R1680" s="21">
        <v>0.91</v>
      </c>
      <c r="S1680" s="20">
        <v>431.48713608000003</v>
      </c>
    </row>
    <row r="1681" spans="2:19" ht="15" customHeight="1" x14ac:dyDescent="0.25">
      <c r="B1681" s="2" t="str">
        <f t="shared" si="52"/>
        <v>NSG_Business_C&amp;I_Rebates_Small Commercial Advanced Thermostat_0_CI</v>
      </c>
      <c r="C1681" s="2" t="str">
        <f t="shared" si="53"/>
        <v>NSG_Business_C&amp;I_Rebates_Small Commercial Advanced Thermostat_0_CI_2022</v>
      </c>
      <c r="D1681" s="19" t="s">
        <v>1787</v>
      </c>
      <c r="E1681" s="19" t="s">
        <v>3</v>
      </c>
      <c r="F1681" s="19" t="s">
        <v>1427</v>
      </c>
      <c r="G1681" s="19" t="s">
        <v>1429</v>
      </c>
      <c r="H1681" s="19" t="s">
        <v>1302</v>
      </c>
      <c r="I1681" s="19">
        <v>0</v>
      </c>
      <c r="J1681" s="19" t="s">
        <v>1183</v>
      </c>
      <c r="K1681" s="19" t="s">
        <v>1159</v>
      </c>
      <c r="L1681" s="19">
        <v>2022</v>
      </c>
      <c r="M1681" s="20">
        <v>1</v>
      </c>
      <c r="N1681" s="19" t="s">
        <v>1798</v>
      </c>
      <c r="O1681" s="20">
        <v>0</v>
      </c>
      <c r="P1681" s="20">
        <v>0</v>
      </c>
      <c r="Q1681" s="20">
        <v>0</v>
      </c>
      <c r="R1681" s="21">
        <v>0.91</v>
      </c>
      <c r="S1681" s="20">
        <v>0</v>
      </c>
    </row>
    <row r="1682" spans="2:19" ht="15" customHeight="1" x14ac:dyDescent="0.25">
      <c r="B1682" s="2" t="str">
        <f t="shared" si="52"/>
        <v>NSG_Business_C&amp;I_Rebates_Small Commercial Advanced Thermostat_0_CI</v>
      </c>
      <c r="C1682" s="2" t="str">
        <f t="shared" si="53"/>
        <v>NSG_Business_C&amp;I_Rebates_Small Commercial Advanced Thermostat_0_CI_2023</v>
      </c>
      <c r="D1682" s="19" t="s">
        <v>1787</v>
      </c>
      <c r="E1682" s="19" t="s">
        <v>3</v>
      </c>
      <c r="F1682" s="19" t="s">
        <v>1427</v>
      </c>
      <c r="G1682" s="19" t="s">
        <v>1429</v>
      </c>
      <c r="H1682" s="19" t="s">
        <v>1302</v>
      </c>
      <c r="I1682" s="19">
        <v>0</v>
      </c>
      <c r="J1682" s="19" t="s">
        <v>1183</v>
      </c>
      <c r="K1682" s="19" t="s">
        <v>1159</v>
      </c>
      <c r="L1682" s="19">
        <v>2023</v>
      </c>
      <c r="M1682" s="20">
        <v>1</v>
      </c>
      <c r="N1682" s="19" t="s">
        <v>1798</v>
      </c>
      <c r="O1682" s="20">
        <v>0</v>
      </c>
      <c r="P1682" s="20">
        <v>0</v>
      </c>
      <c r="Q1682" s="20">
        <v>0</v>
      </c>
      <c r="R1682" s="21">
        <v>0.91</v>
      </c>
      <c r="S1682" s="20">
        <v>0</v>
      </c>
    </row>
    <row r="1683" spans="2:19" ht="15" customHeight="1" x14ac:dyDescent="0.25">
      <c r="B1683" s="2" t="str">
        <f t="shared" si="52"/>
        <v>NSG_Business_C&amp;I_Rebates_Small Commercial Advanced Thermostat_0_CI</v>
      </c>
      <c r="C1683" s="2" t="str">
        <f t="shared" si="53"/>
        <v>NSG_Business_C&amp;I_Rebates_Small Commercial Advanced Thermostat_0_CI_2024</v>
      </c>
      <c r="D1683" s="19" t="s">
        <v>1787</v>
      </c>
      <c r="E1683" s="19" t="s">
        <v>3</v>
      </c>
      <c r="F1683" s="19" t="s">
        <v>1427</v>
      </c>
      <c r="G1683" s="19" t="s">
        <v>1429</v>
      </c>
      <c r="H1683" s="19" t="s">
        <v>1302</v>
      </c>
      <c r="I1683" s="19">
        <v>0</v>
      </c>
      <c r="J1683" s="19" t="s">
        <v>1183</v>
      </c>
      <c r="K1683" s="19" t="s">
        <v>1159</v>
      </c>
      <c r="L1683" s="19">
        <v>2024</v>
      </c>
      <c r="M1683" s="20">
        <v>1</v>
      </c>
      <c r="N1683" s="19" t="s">
        <v>1798</v>
      </c>
      <c r="O1683" s="20">
        <v>0</v>
      </c>
      <c r="P1683" s="20">
        <v>0</v>
      </c>
      <c r="Q1683" s="20">
        <v>0</v>
      </c>
      <c r="R1683" s="21">
        <v>0.91</v>
      </c>
      <c r="S1683" s="20">
        <v>0</v>
      </c>
    </row>
    <row r="1684" spans="2:19" ht="15" customHeight="1" x14ac:dyDescent="0.25">
      <c r="B1684" s="2" t="str">
        <f t="shared" si="52"/>
        <v>NSG_Business_C&amp;I_Rebates_Small Commercial Advanced Thermostat_0_CI</v>
      </c>
      <c r="C1684" s="2" t="str">
        <f t="shared" si="53"/>
        <v>NSG_Business_C&amp;I_Rebates_Small Commercial Advanced Thermostat_0_CI_2025</v>
      </c>
      <c r="D1684" s="19" t="s">
        <v>1787</v>
      </c>
      <c r="E1684" s="19" t="s">
        <v>3</v>
      </c>
      <c r="F1684" s="19" t="s">
        <v>1427</v>
      </c>
      <c r="G1684" s="19" t="s">
        <v>1429</v>
      </c>
      <c r="H1684" s="19" t="s">
        <v>1302</v>
      </c>
      <c r="I1684" s="19">
        <v>0</v>
      </c>
      <c r="J1684" s="19" t="s">
        <v>1183</v>
      </c>
      <c r="K1684" s="19" t="s">
        <v>1159</v>
      </c>
      <c r="L1684" s="19">
        <v>2025</v>
      </c>
      <c r="M1684" s="20">
        <v>1</v>
      </c>
      <c r="N1684" s="19" t="s">
        <v>1798</v>
      </c>
      <c r="O1684" s="20">
        <v>0</v>
      </c>
      <c r="P1684" s="20">
        <v>0</v>
      </c>
      <c r="Q1684" s="20">
        <v>0</v>
      </c>
      <c r="R1684" s="21">
        <v>0.91</v>
      </c>
      <c r="S1684" s="20">
        <v>0</v>
      </c>
    </row>
    <row r="1685" spans="2:19" ht="15" customHeight="1" x14ac:dyDescent="0.25">
      <c r="B1685" s="2" t="str">
        <f t="shared" si="52"/>
        <v>NSG_Business_C&amp;I_Rebates_Demand Controlled Ventilation_0_MF/CI/SMB</v>
      </c>
      <c r="C1685" s="2" t="str">
        <f t="shared" si="53"/>
        <v>NSG_Business_C&amp;I_Rebates_Demand Controlled Ventilation_0_MF/CI/SMB_2022</v>
      </c>
      <c r="D1685" s="19" t="s">
        <v>1787</v>
      </c>
      <c r="E1685" s="19" t="s">
        <v>3</v>
      </c>
      <c r="F1685" s="19" t="s">
        <v>1427</v>
      </c>
      <c r="G1685" s="19" t="s">
        <v>1429</v>
      </c>
      <c r="H1685" s="19" t="s">
        <v>14</v>
      </c>
      <c r="I1685" s="19">
        <v>0</v>
      </c>
      <c r="J1685" s="19" t="s">
        <v>34</v>
      </c>
      <c r="K1685" s="19" t="s">
        <v>662</v>
      </c>
      <c r="L1685" s="19">
        <v>2022</v>
      </c>
      <c r="M1685" s="20">
        <v>10000</v>
      </c>
      <c r="N1685" s="19" t="s">
        <v>634</v>
      </c>
      <c r="O1685" s="20">
        <v>0.85</v>
      </c>
      <c r="P1685" s="20">
        <v>8500</v>
      </c>
      <c r="Q1685" s="20">
        <v>525.98</v>
      </c>
      <c r="R1685" s="21">
        <v>0.91</v>
      </c>
      <c r="S1685" s="20">
        <v>525.98</v>
      </c>
    </row>
    <row r="1686" spans="2:19" ht="15" customHeight="1" x14ac:dyDescent="0.25">
      <c r="B1686" s="2" t="str">
        <f t="shared" si="52"/>
        <v>NSG_Business_C&amp;I_Rebates_Demand Controlled Ventilation_0_MF/CI/SMB</v>
      </c>
      <c r="C1686" s="2" t="str">
        <f t="shared" si="53"/>
        <v>NSG_Business_C&amp;I_Rebates_Demand Controlled Ventilation_0_MF/CI/SMB_2023</v>
      </c>
      <c r="D1686" s="19" t="s">
        <v>1787</v>
      </c>
      <c r="E1686" s="19" t="s">
        <v>3</v>
      </c>
      <c r="F1686" s="19" t="s">
        <v>1427</v>
      </c>
      <c r="G1686" s="19" t="s">
        <v>1429</v>
      </c>
      <c r="H1686" s="19" t="s">
        <v>14</v>
      </c>
      <c r="I1686" s="19">
        <v>0</v>
      </c>
      <c r="J1686" s="19" t="s">
        <v>34</v>
      </c>
      <c r="K1686" s="19" t="s">
        <v>662</v>
      </c>
      <c r="L1686" s="19">
        <v>2023</v>
      </c>
      <c r="M1686" s="20">
        <v>10000</v>
      </c>
      <c r="N1686" s="19" t="s">
        <v>634</v>
      </c>
      <c r="O1686" s="20">
        <v>0.8</v>
      </c>
      <c r="P1686" s="20">
        <v>8000</v>
      </c>
      <c r="Q1686" s="20">
        <v>495.04</v>
      </c>
      <c r="R1686" s="21">
        <v>0.91</v>
      </c>
      <c r="S1686" s="20">
        <v>495.04</v>
      </c>
    </row>
    <row r="1687" spans="2:19" ht="15" customHeight="1" x14ac:dyDescent="0.25">
      <c r="B1687" s="2" t="str">
        <f t="shared" si="52"/>
        <v>NSG_Business_C&amp;I_Rebates_Demand Controlled Ventilation_0_MF/CI/SMB</v>
      </c>
      <c r="C1687" s="2" t="str">
        <f t="shared" si="53"/>
        <v>NSG_Business_C&amp;I_Rebates_Demand Controlled Ventilation_0_MF/CI/SMB_2024</v>
      </c>
      <c r="D1687" s="19" t="s">
        <v>1787</v>
      </c>
      <c r="E1687" s="19" t="s">
        <v>3</v>
      </c>
      <c r="F1687" s="19" t="s">
        <v>1427</v>
      </c>
      <c r="G1687" s="19" t="s">
        <v>1429</v>
      </c>
      <c r="H1687" s="19" t="s">
        <v>14</v>
      </c>
      <c r="I1687" s="19">
        <v>0</v>
      </c>
      <c r="J1687" s="19" t="s">
        <v>34</v>
      </c>
      <c r="K1687" s="19" t="s">
        <v>662</v>
      </c>
      <c r="L1687" s="19">
        <v>2024</v>
      </c>
      <c r="M1687" s="20">
        <v>10000</v>
      </c>
      <c r="N1687" s="19" t="s">
        <v>634</v>
      </c>
      <c r="O1687" s="20">
        <v>0.7</v>
      </c>
      <c r="P1687" s="20">
        <v>7000</v>
      </c>
      <c r="Q1687" s="20">
        <v>433.15999999999997</v>
      </c>
      <c r="R1687" s="21">
        <v>0.91</v>
      </c>
      <c r="S1687" s="20">
        <v>433.15999999999997</v>
      </c>
    </row>
    <row r="1688" spans="2:19" ht="15" customHeight="1" x14ac:dyDescent="0.25">
      <c r="B1688" s="2" t="str">
        <f t="shared" si="52"/>
        <v>NSG_Business_C&amp;I_Rebates_Demand Controlled Ventilation_0_MF/CI/SMB</v>
      </c>
      <c r="C1688" s="2" t="str">
        <f t="shared" si="53"/>
        <v>NSG_Business_C&amp;I_Rebates_Demand Controlled Ventilation_0_MF/CI/SMB_2025</v>
      </c>
      <c r="D1688" s="19" t="s">
        <v>1787</v>
      </c>
      <c r="E1688" s="19" t="s">
        <v>3</v>
      </c>
      <c r="F1688" s="19" t="s">
        <v>1427</v>
      </c>
      <c r="G1688" s="19" t="s">
        <v>1429</v>
      </c>
      <c r="H1688" s="19" t="s">
        <v>14</v>
      </c>
      <c r="I1688" s="19">
        <v>0</v>
      </c>
      <c r="J1688" s="19" t="s">
        <v>34</v>
      </c>
      <c r="K1688" s="19" t="s">
        <v>662</v>
      </c>
      <c r="L1688" s="19">
        <v>2025</v>
      </c>
      <c r="M1688" s="20">
        <v>10000</v>
      </c>
      <c r="N1688" s="19" t="s">
        <v>634</v>
      </c>
      <c r="O1688" s="20">
        <v>0.68</v>
      </c>
      <c r="P1688" s="20">
        <v>6800.0000000000009</v>
      </c>
      <c r="Q1688" s="20">
        <v>420.78400000000005</v>
      </c>
      <c r="R1688" s="21">
        <v>0.91</v>
      </c>
      <c r="S1688" s="20">
        <v>420.78400000000005</v>
      </c>
    </row>
    <row r="1689" spans="2:19" ht="15" customHeight="1" x14ac:dyDescent="0.25">
      <c r="B1689" s="2" t="str">
        <f t="shared" si="52"/>
        <v>NSG_Business_C&amp;I_Rebates_Linkageless Controls_0_CI</v>
      </c>
      <c r="C1689" s="2" t="str">
        <f t="shared" si="53"/>
        <v>NSG_Business_C&amp;I_Rebates_Linkageless Controls_0_CI_2022</v>
      </c>
      <c r="D1689" s="19" t="s">
        <v>1787</v>
      </c>
      <c r="E1689" s="19" t="s">
        <v>3</v>
      </c>
      <c r="F1689" s="19" t="s">
        <v>1427</v>
      </c>
      <c r="G1689" s="19" t="s">
        <v>1429</v>
      </c>
      <c r="H1689" s="19" t="s">
        <v>1287</v>
      </c>
      <c r="I1689" s="19">
        <v>0</v>
      </c>
      <c r="J1689" s="19" t="s">
        <v>28</v>
      </c>
      <c r="K1689" s="19" t="s">
        <v>1159</v>
      </c>
      <c r="L1689" s="19">
        <v>2022</v>
      </c>
      <c r="M1689" s="20">
        <v>5000</v>
      </c>
      <c r="N1689" s="19" t="s">
        <v>667</v>
      </c>
      <c r="O1689" s="20">
        <v>2.5499999999999998</v>
      </c>
      <c r="P1689" s="20">
        <v>12750</v>
      </c>
      <c r="Q1689" s="20">
        <v>6529.6549499999992</v>
      </c>
      <c r="R1689" s="21">
        <v>0.91</v>
      </c>
      <c r="S1689" s="20">
        <v>6529.6549499999992</v>
      </c>
    </row>
    <row r="1690" spans="2:19" ht="15" customHeight="1" x14ac:dyDescent="0.25">
      <c r="B1690" s="2" t="str">
        <f t="shared" si="52"/>
        <v>NSG_Business_C&amp;I_Rebates_Linkageless Controls_0_CI</v>
      </c>
      <c r="C1690" s="2" t="str">
        <f t="shared" si="53"/>
        <v>NSG_Business_C&amp;I_Rebates_Linkageless Controls_0_CI_2023</v>
      </c>
      <c r="D1690" s="19" t="s">
        <v>1787</v>
      </c>
      <c r="E1690" s="19" t="s">
        <v>3</v>
      </c>
      <c r="F1690" s="19" t="s">
        <v>1427</v>
      </c>
      <c r="G1690" s="19" t="s">
        <v>1429</v>
      </c>
      <c r="H1690" s="19" t="s">
        <v>1287</v>
      </c>
      <c r="I1690" s="19">
        <v>0</v>
      </c>
      <c r="J1690" s="19" t="s">
        <v>28</v>
      </c>
      <c r="K1690" s="19" t="s">
        <v>1159</v>
      </c>
      <c r="L1690" s="19">
        <v>2023</v>
      </c>
      <c r="M1690" s="20">
        <v>5000</v>
      </c>
      <c r="N1690" s="19" t="s">
        <v>667</v>
      </c>
      <c r="O1690" s="20">
        <v>2.4000000000000004</v>
      </c>
      <c r="P1690" s="20">
        <v>12000.000000000002</v>
      </c>
      <c r="Q1690" s="20">
        <v>6145.5576000000001</v>
      </c>
      <c r="R1690" s="21">
        <v>0.91</v>
      </c>
      <c r="S1690" s="20">
        <v>6145.5576000000001</v>
      </c>
    </row>
    <row r="1691" spans="2:19" ht="15" customHeight="1" x14ac:dyDescent="0.25">
      <c r="B1691" s="2" t="str">
        <f t="shared" si="52"/>
        <v>NSG_Business_C&amp;I_Rebates_Linkageless Controls_0_CI</v>
      </c>
      <c r="C1691" s="2" t="str">
        <f t="shared" si="53"/>
        <v>NSG_Business_C&amp;I_Rebates_Linkageless Controls_0_CI_2024</v>
      </c>
      <c r="D1691" s="19" t="s">
        <v>1787</v>
      </c>
      <c r="E1691" s="19" t="s">
        <v>3</v>
      </c>
      <c r="F1691" s="19" t="s">
        <v>1427</v>
      </c>
      <c r="G1691" s="19" t="s">
        <v>1429</v>
      </c>
      <c r="H1691" s="19" t="s">
        <v>1287</v>
      </c>
      <c r="I1691" s="19">
        <v>0</v>
      </c>
      <c r="J1691" s="19" t="s">
        <v>28</v>
      </c>
      <c r="K1691" s="19" t="s">
        <v>1159</v>
      </c>
      <c r="L1691" s="19">
        <v>2024</v>
      </c>
      <c r="M1691" s="20">
        <v>5000</v>
      </c>
      <c r="N1691" s="19" t="s">
        <v>667</v>
      </c>
      <c r="O1691" s="20">
        <v>2.0999999999999996</v>
      </c>
      <c r="P1691" s="20">
        <v>10499.999999999998</v>
      </c>
      <c r="Q1691" s="20">
        <v>5377.3628999999992</v>
      </c>
      <c r="R1691" s="21">
        <v>0.91</v>
      </c>
      <c r="S1691" s="20">
        <v>5377.3628999999992</v>
      </c>
    </row>
    <row r="1692" spans="2:19" ht="15" customHeight="1" x14ac:dyDescent="0.25">
      <c r="B1692" s="2" t="str">
        <f t="shared" si="52"/>
        <v>NSG_Business_C&amp;I_Rebates_Linkageless Controls_0_CI</v>
      </c>
      <c r="C1692" s="2" t="str">
        <f t="shared" si="53"/>
        <v>NSG_Business_C&amp;I_Rebates_Linkageless Controls_0_CI_2025</v>
      </c>
      <c r="D1692" s="19" t="s">
        <v>1787</v>
      </c>
      <c r="E1692" s="19" t="s">
        <v>3</v>
      </c>
      <c r="F1692" s="19" t="s">
        <v>1427</v>
      </c>
      <c r="G1692" s="19" t="s">
        <v>1429</v>
      </c>
      <c r="H1692" s="19" t="s">
        <v>1287</v>
      </c>
      <c r="I1692" s="19">
        <v>0</v>
      </c>
      <c r="J1692" s="19" t="s">
        <v>28</v>
      </c>
      <c r="K1692" s="19" t="s">
        <v>1159</v>
      </c>
      <c r="L1692" s="19">
        <v>2025</v>
      </c>
      <c r="M1692" s="20">
        <v>5000</v>
      </c>
      <c r="N1692" s="19" t="s">
        <v>667</v>
      </c>
      <c r="O1692" s="20">
        <v>2.04</v>
      </c>
      <c r="P1692" s="20">
        <v>10200</v>
      </c>
      <c r="Q1692" s="20">
        <v>5223.7239600000003</v>
      </c>
      <c r="R1692" s="21">
        <v>0.91</v>
      </c>
      <c r="S1692" s="20">
        <v>5223.7239600000003</v>
      </c>
    </row>
    <row r="1693" spans="2:19" ht="15" customHeight="1" x14ac:dyDescent="0.25">
      <c r="B1693" s="2" t="str">
        <f t="shared" si="52"/>
        <v>NSG_Business_C&amp;I_Rebates_Condensate Tank Insulation_0_MF/CI/SMB</v>
      </c>
      <c r="C1693" s="2" t="str">
        <f t="shared" si="53"/>
        <v>NSG_Business_C&amp;I_Rebates_Condensate Tank Insulation_0_MF/CI/SMB_2022</v>
      </c>
      <c r="D1693" s="19" t="s">
        <v>1787</v>
      </c>
      <c r="E1693" s="19" t="s">
        <v>3</v>
      </c>
      <c r="F1693" s="19" t="s">
        <v>1427</v>
      </c>
      <c r="G1693" s="19" t="s">
        <v>1429</v>
      </c>
      <c r="H1693" s="19" t="s">
        <v>806</v>
      </c>
      <c r="I1693" s="19">
        <v>0</v>
      </c>
      <c r="J1693" s="19" t="s">
        <v>810</v>
      </c>
      <c r="K1693" s="19" t="s">
        <v>662</v>
      </c>
      <c r="L1693" s="19">
        <v>2022</v>
      </c>
      <c r="M1693" s="20">
        <v>550</v>
      </c>
      <c r="N1693" s="19" t="s">
        <v>634</v>
      </c>
      <c r="O1693" s="20">
        <v>0.85</v>
      </c>
      <c r="P1693" s="20">
        <v>467.5</v>
      </c>
      <c r="Q1693" s="20">
        <v>7124.2510883094183</v>
      </c>
      <c r="R1693" s="21">
        <v>0.91</v>
      </c>
      <c r="S1693" s="20">
        <v>7124.2510883094183</v>
      </c>
    </row>
    <row r="1694" spans="2:19" ht="15" customHeight="1" x14ac:dyDescent="0.25">
      <c r="B1694" s="2" t="str">
        <f t="shared" si="52"/>
        <v>NSG_Business_C&amp;I_Rebates_Condensate Tank Insulation_0_MF/CI/SMB</v>
      </c>
      <c r="C1694" s="2" t="str">
        <f t="shared" si="53"/>
        <v>NSG_Business_C&amp;I_Rebates_Condensate Tank Insulation_0_MF/CI/SMB_2023</v>
      </c>
      <c r="D1694" s="19" t="s">
        <v>1787</v>
      </c>
      <c r="E1694" s="19" t="s">
        <v>3</v>
      </c>
      <c r="F1694" s="19" t="s">
        <v>1427</v>
      </c>
      <c r="G1694" s="19" t="s">
        <v>1429</v>
      </c>
      <c r="H1694" s="19" t="s">
        <v>806</v>
      </c>
      <c r="I1694" s="19">
        <v>0</v>
      </c>
      <c r="J1694" s="19" t="s">
        <v>810</v>
      </c>
      <c r="K1694" s="19" t="s">
        <v>662</v>
      </c>
      <c r="L1694" s="19">
        <v>2023</v>
      </c>
      <c r="M1694" s="20">
        <v>550</v>
      </c>
      <c r="N1694" s="19" t="s">
        <v>634</v>
      </c>
      <c r="O1694" s="20">
        <v>0.8</v>
      </c>
      <c r="P1694" s="20">
        <v>440</v>
      </c>
      <c r="Q1694" s="20">
        <v>6705.1774948794528</v>
      </c>
      <c r="R1694" s="21">
        <v>0.91</v>
      </c>
      <c r="S1694" s="20">
        <v>6705.1774948794528</v>
      </c>
    </row>
    <row r="1695" spans="2:19" ht="15" customHeight="1" x14ac:dyDescent="0.25">
      <c r="B1695" s="2" t="str">
        <f t="shared" si="52"/>
        <v>NSG_Business_C&amp;I_Rebates_Condensate Tank Insulation_0_MF/CI/SMB</v>
      </c>
      <c r="C1695" s="2" t="str">
        <f t="shared" si="53"/>
        <v>NSG_Business_C&amp;I_Rebates_Condensate Tank Insulation_0_MF/CI/SMB_2024</v>
      </c>
      <c r="D1695" s="19" t="s">
        <v>1787</v>
      </c>
      <c r="E1695" s="19" t="s">
        <v>3</v>
      </c>
      <c r="F1695" s="19" t="s">
        <v>1427</v>
      </c>
      <c r="G1695" s="19" t="s">
        <v>1429</v>
      </c>
      <c r="H1695" s="19" t="s">
        <v>806</v>
      </c>
      <c r="I1695" s="19">
        <v>0</v>
      </c>
      <c r="J1695" s="19" t="s">
        <v>810</v>
      </c>
      <c r="K1695" s="19" t="s">
        <v>662</v>
      </c>
      <c r="L1695" s="19">
        <v>2024</v>
      </c>
      <c r="M1695" s="20">
        <v>550</v>
      </c>
      <c r="N1695" s="19" t="s">
        <v>634</v>
      </c>
      <c r="O1695" s="20">
        <v>0.7</v>
      </c>
      <c r="P1695" s="20">
        <v>385</v>
      </c>
      <c r="Q1695" s="20">
        <v>5867.0303080195208</v>
      </c>
      <c r="R1695" s="21">
        <v>0.91</v>
      </c>
      <c r="S1695" s="20">
        <v>5867.0303080195208</v>
      </c>
    </row>
    <row r="1696" spans="2:19" ht="15" customHeight="1" x14ac:dyDescent="0.25">
      <c r="B1696" s="2" t="str">
        <f t="shared" si="52"/>
        <v>NSG_Business_C&amp;I_Rebates_Condensate Tank Insulation_0_MF/CI/SMB</v>
      </c>
      <c r="C1696" s="2" t="str">
        <f t="shared" si="53"/>
        <v>NSG_Business_C&amp;I_Rebates_Condensate Tank Insulation_0_MF/CI/SMB_2025</v>
      </c>
      <c r="D1696" s="19" t="s">
        <v>1787</v>
      </c>
      <c r="E1696" s="19" t="s">
        <v>3</v>
      </c>
      <c r="F1696" s="19" t="s">
        <v>1427</v>
      </c>
      <c r="G1696" s="19" t="s">
        <v>1429</v>
      </c>
      <c r="H1696" s="19" t="s">
        <v>806</v>
      </c>
      <c r="I1696" s="19">
        <v>0</v>
      </c>
      <c r="J1696" s="19" t="s">
        <v>810</v>
      </c>
      <c r="K1696" s="19" t="s">
        <v>662</v>
      </c>
      <c r="L1696" s="19">
        <v>2025</v>
      </c>
      <c r="M1696" s="20">
        <v>550</v>
      </c>
      <c r="N1696" s="19" t="s">
        <v>634</v>
      </c>
      <c r="O1696" s="20">
        <v>0.68</v>
      </c>
      <c r="P1696" s="20">
        <v>374</v>
      </c>
      <c r="Q1696" s="20">
        <v>5699.4008706475352</v>
      </c>
      <c r="R1696" s="21">
        <v>0.91</v>
      </c>
      <c r="S1696" s="20">
        <v>5699.4008706475352</v>
      </c>
    </row>
    <row r="1697" spans="2:19" ht="15" customHeight="1" x14ac:dyDescent="0.25">
      <c r="B1697" s="2" t="str">
        <f t="shared" si="52"/>
        <v>NSG_Business_C&amp;I_Rebates_DHW Storage Tank Insulation_0_MF/CI/SMB</v>
      </c>
      <c r="C1697" s="2" t="str">
        <f t="shared" si="53"/>
        <v>NSG_Business_C&amp;I_Rebates_DHW Storage Tank Insulation_0_MF/CI/SMB_2022</v>
      </c>
      <c r="D1697" s="19" t="s">
        <v>1787</v>
      </c>
      <c r="E1697" s="19" t="s">
        <v>3</v>
      </c>
      <c r="F1697" s="19" t="s">
        <v>1427</v>
      </c>
      <c r="G1697" s="19" t="s">
        <v>1429</v>
      </c>
      <c r="H1697" s="19" t="s">
        <v>832</v>
      </c>
      <c r="I1697" s="19">
        <v>0</v>
      </c>
      <c r="J1697" s="19" t="s">
        <v>810</v>
      </c>
      <c r="K1697" s="19" t="s">
        <v>662</v>
      </c>
      <c r="L1697" s="19">
        <v>2022</v>
      </c>
      <c r="M1697" s="20">
        <v>56</v>
      </c>
      <c r="N1697" s="19" t="s">
        <v>634</v>
      </c>
      <c r="O1697" s="20">
        <v>1.7</v>
      </c>
      <c r="P1697" s="20">
        <v>95.2</v>
      </c>
      <c r="Q1697" s="20">
        <v>602.5578662905757</v>
      </c>
      <c r="R1697" s="21">
        <v>0.91</v>
      </c>
      <c r="S1697" s="20">
        <v>602.5578662905757</v>
      </c>
    </row>
    <row r="1698" spans="2:19" ht="15" customHeight="1" x14ac:dyDescent="0.25">
      <c r="B1698" s="2" t="str">
        <f t="shared" si="52"/>
        <v>NSG_Business_C&amp;I_Rebates_DHW Storage Tank Insulation_0_MF/CI/SMB</v>
      </c>
      <c r="C1698" s="2" t="str">
        <f t="shared" si="53"/>
        <v>NSG_Business_C&amp;I_Rebates_DHW Storage Tank Insulation_0_MF/CI/SMB_2023</v>
      </c>
      <c r="D1698" s="19" t="s">
        <v>1787</v>
      </c>
      <c r="E1698" s="19" t="s">
        <v>3</v>
      </c>
      <c r="F1698" s="19" t="s">
        <v>1427</v>
      </c>
      <c r="G1698" s="19" t="s">
        <v>1429</v>
      </c>
      <c r="H1698" s="19" t="s">
        <v>832</v>
      </c>
      <c r="I1698" s="19">
        <v>0</v>
      </c>
      <c r="J1698" s="19" t="s">
        <v>810</v>
      </c>
      <c r="K1698" s="19" t="s">
        <v>662</v>
      </c>
      <c r="L1698" s="19">
        <v>2023</v>
      </c>
      <c r="M1698" s="20">
        <v>56</v>
      </c>
      <c r="N1698" s="19" t="s">
        <v>634</v>
      </c>
      <c r="O1698" s="20">
        <v>1.6</v>
      </c>
      <c r="P1698" s="20">
        <v>89.600000000000009</v>
      </c>
      <c r="Q1698" s="20">
        <v>567.1132859205419</v>
      </c>
      <c r="R1698" s="21">
        <v>0.91</v>
      </c>
      <c r="S1698" s="20">
        <v>567.1132859205419</v>
      </c>
    </row>
    <row r="1699" spans="2:19" ht="15" customHeight="1" x14ac:dyDescent="0.25">
      <c r="B1699" s="2" t="str">
        <f t="shared" si="52"/>
        <v>NSG_Business_C&amp;I_Rebates_DHW Storage Tank Insulation_0_MF/CI/SMB</v>
      </c>
      <c r="C1699" s="2" t="str">
        <f t="shared" si="53"/>
        <v>NSG_Business_C&amp;I_Rebates_DHW Storage Tank Insulation_0_MF/CI/SMB_2024</v>
      </c>
      <c r="D1699" s="19" t="s">
        <v>1787</v>
      </c>
      <c r="E1699" s="19" t="s">
        <v>3</v>
      </c>
      <c r="F1699" s="19" t="s">
        <v>1427</v>
      </c>
      <c r="G1699" s="19" t="s">
        <v>1429</v>
      </c>
      <c r="H1699" s="19" t="s">
        <v>832</v>
      </c>
      <c r="I1699" s="19">
        <v>0</v>
      </c>
      <c r="J1699" s="19" t="s">
        <v>810</v>
      </c>
      <c r="K1699" s="19" t="s">
        <v>662</v>
      </c>
      <c r="L1699" s="19">
        <v>2024</v>
      </c>
      <c r="M1699" s="20">
        <v>56</v>
      </c>
      <c r="N1699" s="19" t="s">
        <v>634</v>
      </c>
      <c r="O1699" s="20">
        <v>1.4</v>
      </c>
      <c r="P1699" s="20">
        <v>78.399999999999991</v>
      </c>
      <c r="Q1699" s="20">
        <v>496.22412518047406</v>
      </c>
      <c r="R1699" s="21">
        <v>0.91</v>
      </c>
      <c r="S1699" s="20">
        <v>496.22412518047406</v>
      </c>
    </row>
    <row r="1700" spans="2:19" ht="15" customHeight="1" x14ac:dyDescent="0.25">
      <c r="B1700" s="2" t="str">
        <f t="shared" si="52"/>
        <v>NSG_Business_C&amp;I_Rebates_DHW Storage Tank Insulation_0_MF/CI/SMB</v>
      </c>
      <c r="C1700" s="2" t="str">
        <f t="shared" si="53"/>
        <v>NSG_Business_C&amp;I_Rebates_DHW Storage Tank Insulation_0_MF/CI/SMB_2025</v>
      </c>
      <c r="D1700" s="19" t="s">
        <v>1787</v>
      </c>
      <c r="E1700" s="19" t="s">
        <v>3</v>
      </c>
      <c r="F1700" s="19" t="s">
        <v>1427</v>
      </c>
      <c r="G1700" s="19" t="s">
        <v>1429</v>
      </c>
      <c r="H1700" s="19" t="s">
        <v>832</v>
      </c>
      <c r="I1700" s="19">
        <v>0</v>
      </c>
      <c r="J1700" s="19" t="s">
        <v>810</v>
      </c>
      <c r="K1700" s="19" t="s">
        <v>662</v>
      </c>
      <c r="L1700" s="19">
        <v>2025</v>
      </c>
      <c r="M1700" s="20">
        <v>56</v>
      </c>
      <c r="N1700" s="19" t="s">
        <v>634</v>
      </c>
      <c r="O1700" s="20">
        <v>1.36</v>
      </c>
      <c r="P1700" s="20">
        <v>76.160000000000011</v>
      </c>
      <c r="Q1700" s="20">
        <v>482.0462930324606</v>
      </c>
      <c r="R1700" s="21">
        <v>0.91</v>
      </c>
      <c r="S1700" s="20">
        <v>482.0462930324606</v>
      </c>
    </row>
    <row r="1701" spans="2:19" ht="15" customHeight="1" x14ac:dyDescent="0.25">
      <c r="B1701" s="2" t="str">
        <f t="shared" si="52"/>
        <v>NSG_Business_C&amp;I_Rebates_Dock Door Seals_0_CI</v>
      </c>
      <c r="C1701" s="2" t="str">
        <f t="shared" si="53"/>
        <v>NSG_Business_C&amp;I_Rebates_Dock Door Seals_0_CI_2022</v>
      </c>
      <c r="D1701" s="19" t="s">
        <v>1787</v>
      </c>
      <c r="E1701" s="19" t="s">
        <v>3</v>
      </c>
      <c r="F1701" s="19" t="s">
        <v>1427</v>
      </c>
      <c r="G1701" s="19" t="s">
        <v>1429</v>
      </c>
      <c r="H1701" s="19" t="s">
        <v>1291</v>
      </c>
      <c r="I1701" s="19">
        <v>0</v>
      </c>
      <c r="J1701" s="19">
        <v>0</v>
      </c>
      <c r="K1701" s="19" t="s">
        <v>1159</v>
      </c>
      <c r="L1701" s="19">
        <v>2022</v>
      </c>
      <c r="M1701" s="20">
        <v>1</v>
      </c>
      <c r="N1701" s="19" t="s">
        <v>1798</v>
      </c>
      <c r="O1701" s="20">
        <v>0.85</v>
      </c>
      <c r="P1701" s="20">
        <v>0.85</v>
      </c>
      <c r="Q1701" s="20">
        <v>181.73247689999999</v>
      </c>
      <c r="R1701" s="21">
        <v>0.91</v>
      </c>
      <c r="S1701" s="20">
        <v>181.73247689999999</v>
      </c>
    </row>
    <row r="1702" spans="2:19" ht="15" customHeight="1" x14ac:dyDescent="0.25">
      <c r="B1702" s="2" t="str">
        <f t="shared" si="52"/>
        <v>NSG_Business_C&amp;I_Rebates_Dock Door Seals_0_CI</v>
      </c>
      <c r="C1702" s="2" t="str">
        <f t="shared" si="53"/>
        <v>NSG_Business_C&amp;I_Rebates_Dock Door Seals_0_CI_2023</v>
      </c>
      <c r="D1702" s="19" t="s">
        <v>1787</v>
      </c>
      <c r="E1702" s="19" t="s">
        <v>3</v>
      </c>
      <c r="F1702" s="19" t="s">
        <v>1427</v>
      </c>
      <c r="G1702" s="19" t="s">
        <v>1429</v>
      </c>
      <c r="H1702" s="19" t="s">
        <v>1291</v>
      </c>
      <c r="I1702" s="19">
        <v>0</v>
      </c>
      <c r="J1702" s="19">
        <v>0</v>
      </c>
      <c r="K1702" s="19" t="s">
        <v>1159</v>
      </c>
      <c r="L1702" s="19">
        <v>2023</v>
      </c>
      <c r="M1702" s="20">
        <v>1</v>
      </c>
      <c r="N1702" s="19" t="s">
        <v>1798</v>
      </c>
      <c r="O1702" s="20">
        <v>0.8</v>
      </c>
      <c r="P1702" s="20">
        <v>0.8</v>
      </c>
      <c r="Q1702" s="20">
        <v>171.04233120000001</v>
      </c>
      <c r="R1702" s="21">
        <v>0.91</v>
      </c>
      <c r="S1702" s="20">
        <v>171.04233120000001</v>
      </c>
    </row>
    <row r="1703" spans="2:19" ht="15" customHeight="1" x14ac:dyDescent="0.25">
      <c r="B1703" s="2" t="str">
        <f t="shared" si="52"/>
        <v>NSG_Business_C&amp;I_Rebates_Dock Door Seals_0_CI</v>
      </c>
      <c r="C1703" s="2" t="str">
        <f t="shared" si="53"/>
        <v>NSG_Business_C&amp;I_Rebates_Dock Door Seals_0_CI_2024</v>
      </c>
      <c r="D1703" s="19" t="s">
        <v>1787</v>
      </c>
      <c r="E1703" s="19" t="s">
        <v>3</v>
      </c>
      <c r="F1703" s="19" t="s">
        <v>1427</v>
      </c>
      <c r="G1703" s="19" t="s">
        <v>1429</v>
      </c>
      <c r="H1703" s="19" t="s">
        <v>1291</v>
      </c>
      <c r="I1703" s="19">
        <v>0</v>
      </c>
      <c r="J1703" s="19">
        <v>0</v>
      </c>
      <c r="K1703" s="19" t="s">
        <v>1159</v>
      </c>
      <c r="L1703" s="19">
        <v>2024</v>
      </c>
      <c r="M1703" s="20">
        <v>1</v>
      </c>
      <c r="N1703" s="19" t="s">
        <v>1798</v>
      </c>
      <c r="O1703" s="20">
        <v>0.7</v>
      </c>
      <c r="P1703" s="20">
        <v>0.7</v>
      </c>
      <c r="Q1703" s="20">
        <v>149.6620398</v>
      </c>
      <c r="R1703" s="21">
        <v>0.91</v>
      </c>
      <c r="S1703" s="20">
        <v>149.6620398</v>
      </c>
    </row>
    <row r="1704" spans="2:19" ht="15" customHeight="1" x14ac:dyDescent="0.25">
      <c r="B1704" s="2" t="str">
        <f t="shared" si="52"/>
        <v>NSG_Business_C&amp;I_Rebates_Dock Door Seals_0_CI</v>
      </c>
      <c r="C1704" s="2" t="str">
        <f t="shared" si="53"/>
        <v>NSG_Business_C&amp;I_Rebates_Dock Door Seals_0_CI_2025</v>
      </c>
      <c r="D1704" s="19" t="s">
        <v>1787</v>
      </c>
      <c r="E1704" s="19" t="s">
        <v>3</v>
      </c>
      <c r="F1704" s="19" t="s">
        <v>1427</v>
      </c>
      <c r="G1704" s="19" t="s">
        <v>1429</v>
      </c>
      <c r="H1704" s="19" t="s">
        <v>1291</v>
      </c>
      <c r="I1704" s="19">
        <v>0</v>
      </c>
      <c r="J1704" s="19">
        <v>0</v>
      </c>
      <c r="K1704" s="19" t="s">
        <v>1159</v>
      </c>
      <c r="L1704" s="19">
        <v>2025</v>
      </c>
      <c r="M1704" s="20">
        <v>1</v>
      </c>
      <c r="N1704" s="19" t="s">
        <v>1798</v>
      </c>
      <c r="O1704" s="20">
        <v>0.68</v>
      </c>
      <c r="P1704" s="20">
        <v>0.68</v>
      </c>
      <c r="Q1704" s="20">
        <v>145.38598152</v>
      </c>
      <c r="R1704" s="21">
        <v>0.91</v>
      </c>
      <c r="S1704" s="20">
        <v>145.38598152</v>
      </c>
    </row>
    <row r="1705" spans="2:19" ht="15" customHeight="1" x14ac:dyDescent="0.25">
      <c r="B1705" s="2" t="str">
        <f t="shared" si="52"/>
        <v>NSG_Business_C&amp;I_Rebates_Water Heater_≥75 MBH, ≥88% TE _CI</v>
      </c>
      <c r="C1705" s="2" t="str">
        <f t="shared" si="53"/>
        <v>NSG_Business_C&amp;I_Rebates_Water Heater_≥75 MBH, ≥88% TE _CI_2022</v>
      </c>
      <c r="D1705" s="19" t="s">
        <v>1787</v>
      </c>
      <c r="E1705" s="19" t="s">
        <v>3</v>
      </c>
      <c r="F1705" s="19" t="s">
        <v>1427</v>
      </c>
      <c r="G1705" s="19" t="s">
        <v>1429</v>
      </c>
      <c r="H1705" s="19" t="s">
        <v>8</v>
      </c>
      <c r="I1705" s="19" t="s">
        <v>1293</v>
      </c>
      <c r="J1705" s="19" t="s">
        <v>1294</v>
      </c>
      <c r="K1705" s="19" t="s">
        <v>1159</v>
      </c>
      <c r="L1705" s="19">
        <v>2022</v>
      </c>
      <c r="M1705" s="20">
        <v>250</v>
      </c>
      <c r="N1705" s="19" t="s">
        <v>667</v>
      </c>
      <c r="O1705" s="20">
        <v>3.4</v>
      </c>
      <c r="P1705" s="20">
        <v>850</v>
      </c>
      <c r="Q1705" s="20">
        <v>1932.0246280543133</v>
      </c>
      <c r="R1705" s="21">
        <v>0.91</v>
      </c>
      <c r="S1705" s="20">
        <v>1932.0246280543133</v>
      </c>
    </row>
    <row r="1706" spans="2:19" ht="15" customHeight="1" x14ac:dyDescent="0.25">
      <c r="B1706" s="2" t="str">
        <f t="shared" si="52"/>
        <v>NSG_Business_C&amp;I_Rebates_Water Heater_≥75 MBH, ≥88% TE _CI</v>
      </c>
      <c r="C1706" s="2" t="str">
        <f t="shared" si="53"/>
        <v>NSG_Business_C&amp;I_Rebates_Water Heater_≥75 MBH, ≥88% TE _CI_2023</v>
      </c>
      <c r="D1706" s="19" t="s">
        <v>1787</v>
      </c>
      <c r="E1706" s="19" t="s">
        <v>3</v>
      </c>
      <c r="F1706" s="19" t="s">
        <v>1427</v>
      </c>
      <c r="G1706" s="19" t="s">
        <v>1429</v>
      </c>
      <c r="H1706" s="19" t="s">
        <v>8</v>
      </c>
      <c r="I1706" s="19" t="s">
        <v>1293</v>
      </c>
      <c r="J1706" s="19" t="s">
        <v>1294</v>
      </c>
      <c r="K1706" s="19" t="s">
        <v>1159</v>
      </c>
      <c r="L1706" s="19">
        <v>2023</v>
      </c>
      <c r="M1706" s="20">
        <v>250</v>
      </c>
      <c r="N1706" s="19" t="s">
        <v>667</v>
      </c>
      <c r="O1706" s="20">
        <v>3.2</v>
      </c>
      <c r="P1706" s="20">
        <v>800</v>
      </c>
      <c r="Q1706" s="20">
        <v>1818.376120521707</v>
      </c>
      <c r="R1706" s="21">
        <v>0.91</v>
      </c>
      <c r="S1706" s="20">
        <v>1818.376120521707</v>
      </c>
    </row>
    <row r="1707" spans="2:19" ht="15" customHeight="1" x14ac:dyDescent="0.25">
      <c r="B1707" s="2" t="str">
        <f t="shared" si="52"/>
        <v>NSG_Business_C&amp;I_Rebates_Water Heater_≥75 MBH, ≥88% TE _CI</v>
      </c>
      <c r="C1707" s="2" t="str">
        <f t="shared" si="53"/>
        <v>NSG_Business_C&amp;I_Rebates_Water Heater_≥75 MBH, ≥88% TE _CI_2024</v>
      </c>
      <c r="D1707" s="19" t="s">
        <v>1787</v>
      </c>
      <c r="E1707" s="19" t="s">
        <v>3</v>
      </c>
      <c r="F1707" s="19" t="s">
        <v>1427</v>
      </c>
      <c r="G1707" s="19" t="s">
        <v>1429</v>
      </c>
      <c r="H1707" s="19" t="s">
        <v>8</v>
      </c>
      <c r="I1707" s="19" t="s">
        <v>1293</v>
      </c>
      <c r="J1707" s="19" t="s">
        <v>1294</v>
      </c>
      <c r="K1707" s="19" t="s">
        <v>1159</v>
      </c>
      <c r="L1707" s="19">
        <v>2024</v>
      </c>
      <c r="M1707" s="20">
        <v>250</v>
      </c>
      <c r="N1707" s="19" t="s">
        <v>667</v>
      </c>
      <c r="O1707" s="20">
        <v>2.8</v>
      </c>
      <c r="P1707" s="20">
        <v>700</v>
      </c>
      <c r="Q1707" s="20">
        <v>1591.0791054564934</v>
      </c>
      <c r="R1707" s="21">
        <v>0.91</v>
      </c>
      <c r="S1707" s="20">
        <v>1591.0791054564934</v>
      </c>
    </row>
    <row r="1708" spans="2:19" ht="15" customHeight="1" x14ac:dyDescent="0.25">
      <c r="B1708" s="2" t="str">
        <f t="shared" si="52"/>
        <v>NSG_Business_C&amp;I_Rebates_Water Heater_≥75 MBH, ≥88% TE _CI</v>
      </c>
      <c r="C1708" s="2" t="str">
        <f t="shared" si="53"/>
        <v>NSG_Business_C&amp;I_Rebates_Water Heater_≥75 MBH, ≥88% TE _CI_2025</v>
      </c>
      <c r="D1708" s="19" t="s">
        <v>1787</v>
      </c>
      <c r="E1708" s="19" t="s">
        <v>3</v>
      </c>
      <c r="F1708" s="19" t="s">
        <v>1427</v>
      </c>
      <c r="G1708" s="19" t="s">
        <v>1429</v>
      </c>
      <c r="H1708" s="19" t="s">
        <v>8</v>
      </c>
      <c r="I1708" s="19" t="s">
        <v>1293</v>
      </c>
      <c r="J1708" s="19" t="s">
        <v>1294</v>
      </c>
      <c r="K1708" s="19" t="s">
        <v>1159</v>
      </c>
      <c r="L1708" s="19">
        <v>2025</v>
      </c>
      <c r="M1708" s="20">
        <v>250</v>
      </c>
      <c r="N1708" s="19" t="s">
        <v>667</v>
      </c>
      <c r="O1708" s="20">
        <v>2.72</v>
      </c>
      <c r="P1708" s="20">
        <v>680</v>
      </c>
      <c r="Q1708" s="20">
        <v>1545.6197024434509</v>
      </c>
      <c r="R1708" s="21">
        <v>0.91</v>
      </c>
      <c r="S1708" s="20">
        <v>1545.6197024434509</v>
      </c>
    </row>
    <row r="1709" spans="2:19" ht="15" customHeight="1" x14ac:dyDescent="0.25">
      <c r="B1709" s="2" t="str">
        <f t="shared" si="52"/>
        <v>NSG_Business_C&amp;I_Rebates_Water Heater_Storage 0.67 EF_CI</v>
      </c>
      <c r="C1709" s="2" t="str">
        <f t="shared" si="53"/>
        <v>NSG_Business_C&amp;I_Rebates_Water Heater_Storage 0.67 EF_CI_2022</v>
      </c>
      <c r="D1709" s="19" t="s">
        <v>1787</v>
      </c>
      <c r="E1709" s="19" t="s">
        <v>3</v>
      </c>
      <c r="F1709" s="19" t="s">
        <v>1427</v>
      </c>
      <c r="G1709" s="19" t="s">
        <v>1429</v>
      </c>
      <c r="H1709" s="19" t="s">
        <v>8</v>
      </c>
      <c r="I1709" s="19" t="s">
        <v>879</v>
      </c>
      <c r="J1709" s="19" t="s">
        <v>1263</v>
      </c>
      <c r="K1709" s="19" t="s">
        <v>1159</v>
      </c>
      <c r="L1709" s="19">
        <v>2022</v>
      </c>
      <c r="M1709" s="20">
        <v>1</v>
      </c>
      <c r="N1709" s="19" t="s">
        <v>1798</v>
      </c>
      <c r="O1709" s="20">
        <v>0</v>
      </c>
      <c r="P1709" s="20">
        <v>0</v>
      </c>
      <c r="Q1709" s="20">
        <v>0</v>
      </c>
      <c r="R1709" s="21">
        <v>0.91</v>
      </c>
      <c r="S1709" s="20">
        <v>0</v>
      </c>
    </row>
    <row r="1710" spans="2:19" ht="15" customHeight="1" x14ac:dyDescent="0.25">
      <c r="B1710" s="2" t="str">
        <f t="shared" si="52"/>
        <v>NSG_Business_C&amp;I_Rebates_Water Heater_Storage 0.67 EF_CI</v>
      </c>
      <c r="C1710" s="2" t="str">
        <f t="shared" si="53"/>
        <v>NSG_Business_C&amp;I_Rebates_Water Heater_Storage 0.67 EF_CI_2023</v>
      </c>
      <c r="D1710" s="19" t="s">
        <v>1787</v>
      </c>
      <c r="E1710" s="19" t="s">
        <v>3</v>
      </c>
      <c r="F1710" s="19" t="s">
        <v>1427</v>
      </c>
      <c r="G1710" s="19" t="s">
        <v>1429</v>
      </c>
      <c r="H1710" s="19" t="s">
        <v>8</v>
      </c>
      <c r="I1710" s="19" t="s">
        <v>879</v>
      </c>
      <c r="J1710" s="19" t="s">
        <v>1263</v>
      </c>
      <c r="K1710" s="19" t="s">
        <v>1159</v>
      </c>
      <c r="L1710" s="19">
        <v>2023</v>
      </c>
      <c r="M1710" s="20">
        <v>1</v>
      </c>
      <c r="N1710" s="19" t="s">
        <v>1798</v>
      </c>
      <c r="O1710" s="20">
        <v>0</v>
      </c>
      <c r="P1710" s="20">
        <v>0</v>
      </c>
      <c r="Q1710" s="20">
        <v>0</v>
      </c>
      <c r="R1710" s="21">
        <v>0.91</v>
      </c>
      <c r="S1710" s="20">
        <v>0</v>
      </c>
    </row>
    <row r="1711" spans="2:19" ht="15" customHeight="1" x14ac:dyDescent="0.25">
      <c r="B1711" s="2" t="str">
        <f t="shared" si="52"/>
        <v>NSG_Business_C&amp;I_Rebates_Water Heater_Storage 0.67 EF_CI</v>
      </c>
      <c r="C1711" s="2" t="str">
        <f t="shared" si="53"/>
        <v>NSG_Business_C&amp;I_Rebates_Water Heater_Storage 0.67 EF_CI_2024</v>
      </c>
      <c r="D1711" s="19" t="s">
        <v>1787</v>
      </c>
      <c r="E1711" s="19" t="s">
        <v>3</v>
      </c>
      <c r="F1711" s="19" t="s">
        <v>1427</v>
      </c>
      <c r="G1711" s="19" t="s">
        <v>1429</v>
      </c>
      <c r="H1711" s="19" t="s">
        <v>8</v>
      </c>
      <c r="I1711" s="19" t="s">
        <v>879</v>
      </c>
      <c r="J1711" s="19" t="s">
        <v>1263</v>
      </c>
      <c r="K1711" s="19" t="s">
        <v>1159</v>
      </c>
      <c r="L1711" s="19">
        <v>2024</v>
      </c>
      <c r="M1711" s="20">
        <v>1</v>
      </c>
      <c r="N1711" s="19" t="s">
        <v>1798</v>
      </c>
      <c r="O1711" s="20">
        <v>0</v>
      </c>
      <c r="P1711" s="20">
        <v>0</v>
      </c>
      <c r="Q1711" s="20">
        <v>0</v>
      </c>
      <c r="R1711" s="21">
        <v>0.91</v>
      </c>
      <c r="S1711" s="20">
        <v>0</v>
      </c>
    </row>
    <row r="1712" spans="2:19" ht="15" customHeight="1" x14ac:dyDescent="0.25">
      <c r="B1712" s="2" t="str">
        <f t="shared" si="52"/>
        <v>NSG_Business_C&amp;I_Rebates_Water Heater_Storage 0.67 EF_CI</v>
      </c>
      <c r="C1712" s="2" t="str">
        <f t="shared" si="53"/>
        <v>NSG_Business_C&amp;I_Rebates_Water Heater_Storage 0.67 EF_CI_2025</v>
      </c>
      <c r="D1712" s="19" t="s">
        <v>1787</v>
      </c>
      <c r="E1712" s="19" t="s">
        <v>3</v>
      </c>
      <c r="F1712" s="19" t="s">
        <v>1427</v>
      </c>
      <c r="G1712" s="19" t="s">
        <v>1429</v>
      </c>
      <c r="H1712" s="19" t="s">
        <v>8</v>
      </c>
      <c r="I1712" s="19" t="s">
        <v>879</v>
      </c>
      <c r="J1712" s="19" t="s">
        <v>1263</v>
      </c>
      <c r="K1712" s="19" t="s">
        <v>1159</v>
      </c>
      <c r="L1712" s="19">
        <v>2025</v>
      </c>
      <c r="M1712" s="20">
        <v>1</v>
      </c>
      <c r="N1712" s="19" t="s">
        <v>1798</v>
      </c>
      <c r="O1712" s="20">
        <v>0</v>
      </c>
      <c r="P1712" s="20">
        <v>0</v>
      </c>
      <c r="Q1712" s="20">
        <v>0</v>
      </c>
      <c r="R1712" s="21">
        <v>0.91</v>
      </c>
      <c r="S1712" s="20">
        <v>0</v>
      </c>
    </row>
    <row r="1713" spans="2:19" ht="15" customHeight="1" x14ac:dyDescent="0.25">
      <c r="B1713" s="2" t="str">
        <f t="shared" si="52"/>
        <v>NSG_Business_C&amp;I_Rebates_Infrared Heater_0_MF/CI</v>
      </c>
      <c r="C1713" s="2" t="str">
        <f t="shared" si="53"/>
        <v>NSG_Business_C&amp;I_Rebates_Infrared Heater_0_MF/CI_2022</v>
      </c>
      <c r="D1713" s="19" t="s">
        <v>1787</v>
      </c>
      <c r="E1713" s="19" t="s">
        <v>3</v>
      </c>
      <c r="F1713" s="19" t="s">
        <v>1427</v>
      </c>
      <c r="G1713" s="19" t="s">
        <v>1429</v>
      </c>
      <c r="H1713" s="19" t="s">
        <v>742</v>
      </c>
      <c r="I1713" s="19">
        <v>0</v>
      </c>
      <c r="J1713" s="19" t="s">
        <v>33</v>
      </c>
      <c r="K1713" s="19" t="s">
        <v>587</v>
      </c>
      <c r="L1713" s="19">
        <v>2022</v>
      </c>
      <c r="M1713" s="20">
        <v>150</v>
      </c>
      <c r="N1713" s="19" t="s">
        <v>667</v>
      </c>
      <c r="O1713" s="20">
        <v>0</v>
      </c>
      <c r="P1713" s="20">
        <v>0</v>
      </c>
      <c r="Q1713" s="20">
        <v>0</v>
      </c>
      <c r="R1713" s="21">
        <v>0.91</v>
      </c>
      <c r="S1713" s="20">
        <v>0</v>
      </c>
    </row>
    <row r="1714" spans="2:19" ht="15" customHeight="1" x14ac:dyDescent="0.25">
      <c r="B1714" s="2" t="str">
        <f t="shared" si="52"/>
        <v>NSG_Business_C&amp;I_Rebates_Infrared Heater_0_MF/CI</v>
      </c>
      <c r="C1714" s="2" t="str">
        <f t="shared" si="53"/>
        <v>NSG_Business_C&amp;I_Rebates_Infrared Heater_0_MF/CI_2023</v>
      </c>
      <c r="D1714" s="19" t="s">
        <v>1787</v>
      </c>
      <c r="E1714" s="19" t="s">
        <v>3</v>
      </c>
      <c r="F1714" s="19" t="s">
        <v>1427</v>
      </c>
      <c r="G1714" s="19" t="s">
        <v>1429</v>
      </c>
      <c r="H1714" s="19" t="s">
        <v>742</v>
      </c>
      <c r="I1714" s="19">
        <v>0</v>
      </c>
      <c r="J1714" s="19" t="s">
        <v>33</v>
      </c>
      <c r="K1714" s="19" t="s">
        <v>587</v>
      </c>
      <c r="L1714" s="19">
        <v>2023</v>
      </c>
      <c r="M1714" s="20">
        <v>150</v>
      </c>
      <c r="N1714" s="19" t="s">
        <v>667</v>
      </c>
      <c r="O1714" s="20">
        <v>0</v>
      </c>
      <c r="P1714" s="20">
        <v>0</v>
      </c>
      <c r="Q1714" s="20">
        <v>0</v>
      </c>
      <c r="R1714" s="21">
        <v>0.91</v>
      </c>
      <c r="S1714" s="20">
        <v>0</v>
      </c>
    </row>
    <row r="1715" spans="2:19" ht="15" customHeight="1" x14ac:dyDescent="0.25">
      <c r="B1715" s="2" t="str">
        <f t="shared" si="52"/>
        <v>NSG_Business_C&amp;I_Rebates_Infrared Heater_0_MF/CI</v>
      </c>
      <c r="C1715" s="2" t="str">
        <f t="shared" si="53"/>
        <v>NSG_Business_C&amp;I_Rebates_Infrared Heater_0_MF/CI_2024</v>
      </c>
      <c r="D1715" s="19" t="s">
        <v>1787</v>
      </c>
      <c r="E1715" s="19" t="s">
        <v>3</v>
      </c>
      <c r="F1715" s="19" t="s">
        <v>1427</v>
      </c>
      <c r="G1715" s="19" t="s">
        <v>1429</v>
      </c>
      <c r="H1715" s="19" t="s">
        <v>742</v>
      </c>
      <c r="I1715" s="19">
        <v>0</v>
      </c>
      <c r="J1715" s="19" t="s">
        <v>33</v>
      </c>
      <c r="K1715" s="19" t="s">
        <v>587</v>
      </c>
      <c r="L1715" s="19">
        <v>2024</v>
      </c>
      <c r="M1715" s="20">
        <v>150</v>
      </c>
      <c r="N1715" s="19" t="s">
        <v>667</v>
      </c>
      <c r="O1715" s="20">
        <v>0</v>
      </c>
      <c r="P1715" s="20">
        <v>0</v>
      </c>
      <c r="Q1715" s="20">
        <v>0</v>
      </c>
      <c r="R1715" s="21">
        <v>0.91</v>
      </c>
      <c r="S1715" s="20">
        <v>0</v>
      </c>
    </row>
    <row r="1716" spans="2:19" ht="15" customHeight="1" x14ac:dyDescent="0.25">
      <c r="B1716" s="2" t="str">
        <f t="shared" si="52"/>
        <v>NSG_Business_C&amp;I_Rebates_Infrared Heater_0_MF/CI</v>
      </c>
      <c r="C1716" s="2" t="str">
        <f t="shared" si="53"/>
        <v>NSG_Business_C&amp;I_Rebates_Infrared Heater_0_MF/CI_2025</v>
      </c>
      <c r="D1716" s="19" t="s">
        <v>1787</v>
      </c>
      <c r="E1716" s="19" t="s">
        <v>3</v>
      </c>
      <c r="F1716" s="19" t="s">
        <v>1427</v>
      </c>
      <c r="G1716" s="19" t="s">
        <v>1429</v>
      </c>
      <c r="H1716" s="19" t="s">
        <v>742</v>
      </c>
      <c r="I1716" s="19">
        <v>0</v>
      </c>
      <c r="J1716" s="19" t="s">
        <v>33</v>
      </c>
      <c r="K1716" s="19" t="s">
        <v>587</v>
      </c>
      <c r="L1716" s="19">
        <v>2025</v>
      </c>
      <c r="M1716" s="20">
        <v>150</v>
      </c>
      <c r="N1716" s="19" t="s">
        <v>667</v>
      </c>
      <c r="O1716" s="20">
        <v>0</v>
      </c>
      <c r="P1716" s="20">
        <v>0</v>
      </c>
      <c r="Q1716" s="20">
        <v>0</v>
      </c>
      <c r="R1716" s="21">
        <v>0.91</v>
      </c>
      <c r="S1716" s="20">
        <v>0</v>
      </c>
    </row>
    <row r="1717" spans="2:19" ht="15" customHeight="1" x14ac:dyDescent="0.25">
      <c r="B1717" s="2" t="str">
        <f t="shared" si="52"/>
        <v>NSG_Business_C&amp;I_Rebates_Modulating Commercial Gas Clothes Dryer_Hotels &amp; Hospitals_CI</v>
      </c>
      <c r="C1717" s="2" t="str">
        <f t="shared" si="53"/>
        <v>NSG_Business_C&amp;I_Rebates_Modulating Commercial Gas Clothes Dryer_Hotels &amp; Hospitals_CI_2022</v>
      </c>
      <c r="D1717" s="19" t="s">
        <v>1787</v>
      </c>
      <c r="E1717" s="19" t="s">
        <v>3</v>
      </c>
      <c r="F1717" s="19" t="s">
        <v>1427</v>
      </c>
      <c r="G1717" s="19" t="s">
        <v>1429</v>
      </c>
      <c r="H1717" s="19" t="s">
        <v>12</v>
      </c>
      <c r="I1717" s="19" t="s">
        <v>1253</v>
      </c>
      <c r="J1717" s="19" t="s">
        <v>29</v>
      </c>
      <c r="K1717" s="19" t="s">
        <v>1159</v>
      </c>
      <c r="L1717" s="19">
        <v>2022</v>
      </c>
      <c r="M1717" s="20">
        <v>1</v>
      </c>
      <c r="N1717" s="19" t="s">
        <v>1798</v>
      </c>
      <c r="O1717" s="20">
        <v>0</v>
      </c>
      <c r="P1717" s="20">
        <v>0</v>
      </c>
      <c r="Q1717" s="20">
        <v>0</v>
      </c>
      <c r="R1717" s="21">
        <v>0.91</v>
      </c>
      <c r="S1717" s="20">
        <v>0</v>
      </c>
    </row>
    <row r="1718" spans="2:19" ht="15" customHeight="1" x14ac:dyDescent="0.25">
      <c r="B1718" s="2" t="str">
        <f t="shared" si="52"/>
        <v>NSG_Business_C&amp;I_Rebates_Modulating Commercial Gas Clothes Dryer_Hotels &amp; Hospitals_CI</v>
      </c>
      <c r="C1718" s="2" t="str">
        <f t="shared" si="53"/>
        <v>NSG_Business_C&amp;I_Rebates_Modulating Commercial Gas Clothes Dryer_Hotels &amp; Hospitals_CI_2023</v>
      </c>
      <c r="D1718" s="19" t="s">
        <v>1787</v>
      </c>
      <c r="E1718" s="19" t="s">
        <v>3</v>
      </c>
      <c r="F1718" s="19" t="s">
        <v>1427</v>
      </c>
      <c r="G1718" s="19" t="s">
        <v>1429</v>
      </c>
      <c r="H1718" s="19" t="s">
        <v>12</v>
      </c>
      <c r="I1718" s="19" t="s">
        <v>1253</v>
      </c>
      <c r="J1718" s="19" t="s">
        <v>29</v>
      </c>
      <c r="K1718" s="19" t="s">
        <v>1159</v>
      </c>
      <c r="L1718" s="19">
        <v>2023</v>
      </c>
      <c r="M1718" s="20">
        <v>1</v>
      </c>
      <c r="N1718" s="19" t="s">
        <v>1798</v>
      </c>
      <c r="O1718" s="20">
        <v>0</v>
      </c>
      <c r="P1718" s="20">
        <v>0</v>
      </c>
      <c r="Q1718" s="20">
        <v>0</v>
      </c>
      <c r="R1718" s="21">
        <v>0.91</v>
      </c>
      <c r="S1718" s="20">
        <v>0</v>
      </c>
    </row>
    <row r="1719" spans="2:19" ht="15" customHeight="1" x14ac:dyDescent="0.25">
      <c r="B1719" s="2" t="str">
        <f t="shared" si="52"/>
        <v>NSG_Business_C&amp;I_Rebates_Modulating Commercial Gas Clothes Dryer_Hotels &amp; Hospitals_CI</v>
      </c>
      <c r="C1719" s="2" t="str">
        <f t="shared" si="53"/>
        <v>NSG_Business_C&amp;I_Rebates_Modulating Commercial Gas Clothes Dryer_Hotels &amp; Hospitals_CI_2024</v>
      </c>
      <c r="D1719" s="19" t="s">
        <v>1787</v>
      </c>
      <c r="E1719" s="19" t="s">
        <v>3</v>
      </c>
      <c r="F1719" s="19" t="s">
        <v>1427</v>
      </c>
      <c r="G1719" s="19" t="s">
        <v>1429</v>
      </c>
      <c r="H1719" s="19" t="s">
        <v>12</v>
      </c>
      <c r="I1719" s="19" t="s">
        <v>1253</v>
      </c>
      <c r="J1719" s="19" t="s">
        <v>29</v>
      </c>
      <c r="K1719" s="19" t="s">
        <v>1159</v>
      </c>
      <c r="L1719" s="19">
        <v>2024</v>
      </c>
      <c r="M1719" s="20">
        <v>1</v>
      </c>
      <c r="N1719" s="19" t="s">
        <v>1798</v>
      </c>
      <c r="O1719" s="20">
        <v>0</v>
      </c>
      <c r="P1719" s="20">
        <v>0</v>
      </c>
      <c r="Q1719" s="20">
        <v>0</v>
      </c>
      <c r="R1719" s="21">
        <v>0.91</v>
      </c>
      <c r="S1719" s="20">
        <v>0</v>
      </c>
    </row>
    <row r="1720" spans="2:19" ht="15" customHeight="1" x14ac:dyDescent="0.25">
      <c r="B1720" s="2" t="str">
        <f t="shared" si="52"/>
        <v>NSG_Business_C&amp;I_Rebates_Modulating Commercial Gas Clothes Dryer_Hotels &amp; Hospitals_CI</v>
      </c>
      <c r="C1720" s="2" t="str">
        <f t="shared" si="53"/>
        <v>NSG_Business_C&amp;I_Rebates_Modulating Commercial Gas Clothes Dryer_Hotels &amp; Hospitals_CI_2025</v>
      </c>
      <c r="D1720" s="19" t="s">
        <v>1787</v>
      </c>
      <c r="E1720" s="19" t="s">
        <v>3</v>
      </c>
      <c r="F1720" s="19" t="s">
        <v>1427</v>
      </c>
      <c r="G1720" s="19" t="s">
        <v>1429</v>
      </c>
      <c r="H1720" s="19" t="s">
        <v>12</v>
      </c>
      <c r="I1720" s="19" t="s">
        <v>1253</v>
      </c>
      <c r="J1720" s="19" t="s">
        <v>29</v>
      </c>
      <c r="K1720" s="19" t="s">
        <v>1159</v>
      </c>
      <c r="L1720" s="19">
        <v>2025</v>
      </c>
      <c r="M1720" s="20">
        <v>1</v>
      </c>
      <c r="N1720" s="19" t="s">
        <v>1798</v>
      </c>
      <c r="O1720" s="20">
        <v>0</v>
      </c>
      <c r="P1720" s="20">
        <v>0</v>
      </c>
      <c r="Q1720" s="20">
        <v>0</v>
      </c>
      <c r="R1720" s="21">
        <v>0.91</v>
      </c>
      <c r="S1720" s="20">
        <v>0</v>
      </c>
    </row>
    <row r="1721" spans="2:19" ht="15" customHeight="1" x14ac:dyDescent="0.25">
      <c r="B1721" s="2" t="str">
        <f t="shared" si="52"/>
        <v>NSG_Business_C&amp;I_Rebates_Modulating Commercial Gas Clothes Dryer_Laundromat &amp; MF Dorms_MF/SMB</v>
      </c>
      <c r="C1721" s="2" t="str">
        <f t="shared" si="53"/>
        <v>NSG_Business_C&amp;I_Rebates_Modulating Commercial Gas Clothes Dryer_Laundromat &amp; MF Dorms_MF/SMB_2022</v>
      </c>
      <c r="D1721" s="19" t="s">
        <v>1787</v>
      </c>
      <c r="E1721" s="19" t="s">
        <v>3</v>
      </c>
      <c r="F1721" s="19" t="s">
        <v>1427</v>
      </c>
      <c r="G1721" s="19" t="s">
        <v>1429</v>
      </c>
      <c r="H1721" s="19" t="s">
        <v>12</v>
      </c>
      <c r="I1721" s="19" t="s">
        <v>1255</v>
      </c>
      <c r="J1721" s="19" t="s">
        <v>29</v>
      </c>
      <c r="K1721" s="19" t="s">
        <v>1256</v>
      </c>
      <c r="L1721" s="19">
        <v>2022</v>
      </c>
      <c r="M1721" s="20">
        <v>1</v>
      </c>
      <c r="N1721" s="19" t="s">
        <v>1798</v>
      </c>
      <c r="O1721" s="20">
        <v>0</v>
      </c>
      <c r="P1721" s="20">
        <v>0</v>
      </c>
      <c r="Q1721" s="20">
        <v>0</v>
      </c>
      <c r="R1721" s="21">
        <v>0.91</v>
      </c>
      <c r="S1721" s="20">
        <v>0</v>
      </c>
    </row>
    <row r="1722" spans="2:19" ht="15" customHeight="1" x14ac:dyDescent="0.25">
      <c r="B1722" s="2" t="str">
        <f t="shared" si="52"/>
        <v>NSG_Business_C&amp;I_Rebates_Modulating Commercial Gas Clothes Dryer_Laundromat &amp; MF Dorms_MF/SMB</v>
      </c>
      <c r="C1722" s="2" t="str">
        <f t="shared" si="53"/>
        <v>NSG_Business_C&amp;I_Rebates_Modulating Commercial Gas Clothes Dryer_Laundromat &amp; MF Dorms_MF/SMB_2023</v>
      </c>
      <c r="D1722" s="19" t="s">
        <v>1787</v>
      </c>
      <c r="E1722" s="19" t="s">
        <v>3</v>
      </c>
      <c r="F1722" s="19" t="s">
        <v>1427</v>
      </c>
      <c r="G1722" s="19" t="s">
        <v>1429</v>
      </c>
      <c r="H1722" s="19" t="s">
        <v>12</v>
      </c>
      <c r="I1722" s="19" t="s">
        <v>1255</v>
      </c>
      <c r="J1722" s="19" t="s">
        <v>29</v>
      </c>
      <c r="K1722" s="19" t="s">
        <v>1256</v>
      </c>
      <c r="L1722" s="19">
        <v>2023</v>
      </c>
      <c r="M1722" s="20">
        <v>1</v>
      </c>
      <c r="N1722" s="19" t="s">
        <v>1798</v>
      </c>
      <c r="O1722" s="20">
        <v>0</v>
      </c>
      <c r="P1722" s="20">
        <v>0</v>
      </c>
      <c r="Q1722" s="20">
        <v>0</v>
      </c>
      <c r="R1722" s="21">
        <v>0.91</v>
      </c>
      <c r="S1722" s="20">
        <v>0</v>
      </c>
    </row>
    <row r="1723" spans="2:19" ht="15" customHeight="1" x14ac:dyDescent="0.25">
      <c r="B1723" s="2" t="str">
        <f t="shared" si="52"/>
        <v>NSG_Business_C&amp;I_Rebates_Modulating Commercial Gas Clothes Dryer_Laundromat &amp; MF Dorms_MF/SMB</v>
      </c>
      <c r="C1723" s="2" t="str">
        <f t="shared" si="53"/>
        <v>NSG_Business_C&amp;I_Rebates_Modulating Commercial Gas Clothes Dryer_Laundromat &amp; MF Dorms_MF/SMB_2024</v>
      </c>
      <c r="D1723" s="19" t="s">
        <v>1787</v>
      </c>
      <c r="E1723" s="19" t="s">
        <v>3</v>
      </c>
      <c r="F1723" s="19" t="s">
        <v>1427</v>
      </c>
      <c r="G1723" s="19" t="s">
        <v>1429</v>
      </c>
      <c r="H1723" s="19" t="s">
        <v>12</v>
      </c>
      <c r="I1723" s="19" t="s">
        <v>1255</v>
      </c>
      <c r="J1723" s="19" t="s">
        <v>29</v>
      </c>
      <c r="K1723" s="19" t="s">
        <v>1256</v>
      </c>
      <c r="L1723" s="19">
        <v>2024</v>
      </c>
      <c r="M1723" s="20">
        <v>1</v>
      </c>
      <c r="N1723" s="19" t="s">
        <v>1798</v>
      </c>
      <c r="O1723" s="20">
        <v>0</v>
      </c>
      <c r="P1723" s="20">
        <v>0</v>
      </c>
      <c r="Q1723" s="20">
        <v>0</v>
      </c>
      <c r="R1723" s="21">
        <v>0.91</v>
      </c>
      <c r="S1723" s="20">
        <v>0</v>
      </c>
    </row>
    <row r="1724" spans="2:19" ht="15" customHeight="1" x14ac:dyDescent="0.25">
      <c r="B1724" s="2" t="str">
        <f t="shared" si="52"/>
        <v>NSG_Business_C&amp;I_Rebates_Modulating Commercial Gas Clothes Dryer_Laundromat &amp; MF Dorms_MF/SMB</v>
      </c>
      <c r="C1724" s="2" t="str">
        <f t="shared" si="53"/>
        <v>NSG_Business_C&amp;I_Rebates_Modulating Commercial Gas Clothes Dryer_Laundromat &amp; MF Dorms_MF/SMB_2025</v>
      </c>
      <c r="D1724" s="19" t="s">
        <v>1787</v>
      </c>
      <c r="E1724" s="19" t="s">
        <v>3</v>
      </c>
      <c r="F1724" s="19" t="s">
        <v>1427</v>
      </c>
      <c r="G1724" s="19" t="s">
        <v>1429</v>
      </c>
      <c r="H1724" s="19" t="s">
        <v>12</v>
      </c>
      <c r="I1724" s="19" t="s">
        <v>1255</v>
      </c>
      <c r="J1724" s="19" t="s">
        <v>29</v>
      </c>
      <c r="K1724" s="19" t="s">
        <v>1256</v>
      </c>
      <c r="L1724" s="19">
        <v>2025</v>
      </c>
      <c r="M1724" s="20">
        <v>1</v>
      </c>
      <c r="N1724" s="19" t="s">
        <v>1798</v>
      </c>
      <c r="O1724" s="20">
        <v>0</v>
      </c>
      <c r="P1724" s="20">
        <v>0</v>
      </c>
      <c r="Q1724" s="20">
        <v>0</v>
      </c>
      <c r="R1724" s="21">
        <v>0.91</v>
      </c>
      <c r="S1724" s="20">
        <v>0</v>
      </c>
    </row>
    <row r="1725" spans="2:19" ht="15" customHeight="1" x14ac:dyDescent="0.25">
      <c r="B1725" s="2" t="str">
        <f t="shared" si="52"/>
        <v>NSG_Business_C&amp;I_Rebates_Ozone Laundry_0_MF/CI</v>
      </c>
      <c r="C1725" s="2" t="str">
        <f t="shared" si="53"/>
        <v>NSG_Business_C&amp;I_Rebates_Ozone Laundry_0_MF/CI_2022</v>
      </c>
      <c r="D1725" s="19" t="s">
        <v>1787</v>
      </c>
      <c r="E1725" s="19" t="s">
        <v>3</v>
      </c>
      <c r="F1725" s="19" t="s">
        <v>1427</v>
      </c>
      <c r="G1725" s="19" t="s">
        <v>1429</v>
      </c>
      <c r="H1725" s="19" t="s">
        <v>16</v>
      </c>
      <c r="I1725" s="19">
        <v>0</v>
      </c>
      <c r="J1725" s="19" t="s">
        <v>592</v>
      </c>
      <c r="K1725" s="19" t="s">
        <v>587</v>
      </c>
      <c r="L1725" s="19">
        <v>2022</v>
      </c>
      <c r="M1725" s="20">
        <v>250</v>
      </c>
      <c r="N1725" s="19" t="s">
        <v>1803</v>
      </c>
      <c r="O1725" s="20">
        <v>0</v>
      </c>
      <c r="P1725" s="20">
        <v>0</v>
      </c>
      <c r="Q1725" s="20">
        <v>0</v>
      </c>
      <c r="R1725" s="21">
        <v>0.91</v>
      </c>
      <c r="S1725" s="20">
        <v>0</v>
      </c>
    </row>
    <row r="1726" spans="2:19" ht="15" customHeight="1" x14ac:dyDescent="0.25">
      <c r="B1726" s="2" t="str">
        <f t="shared" si="52"/>
        <v>NSG_Business_C&amp;I_Rebates_Ozone Laundry_0_MF/CI</v>
      </c>
      <c r="C1726" s="2" t="str">
        <f t="shared" si="53"/>
        <v>NSG_Business_C&amp;I_Rebates_Ozone Laundry_0_MF/CI_2023</v>
      </c>
      <c r="D1726" s="19" t="s">
        <v>1787</v>
      </c>
      <c r="E1726" s="19" t="s">
        <v>3</v>
      </c>
      <c r="F1726" s="19" t="s">
        <v>1427</v>
      </c>
      <c r="G1726" s="19" t="s">
        <v>1429</v>
      </c>
      <c r="H1726" s="19" t="s">
        <v>16</v>
      </c>
      <c r="I1726" s="19">
        <v>0</v>
      </c>
      <c r="J1726" s="19" t="s">
        <v>592</v>
      </c>
      <c r="K1726" s="19" t="s">
        <v>587</v>
      </c>
      <c r="L1726" s="19">
        <v>2023</v>
      </c>
      <c r="M1726" s="20">
        <v>250</v>
      </c>
      <c r="N1726" s="19" t="s">
        <v>1803</v>
      </c>
      <c r="O1726" s="20">
        <v>0</v>
      </c>
      <c r="P1726" s="20">
        <v>0</v>
      </c>
      <c r="Q1726" s="20">
        <v>0</v>
      </c>
      <c r="R1726" s="21">
        <v>0.91</v>
      </c>
      <c r="S1726" s="20">
        <v>0</v>
      </c>
    </row>
    <row r="1727" spans="2:19" ht="15" customHeight="1" x14ac:dyDescent="0.25">
      <c r="B1727" s="2" t="str">
        <f t="shared" si="52"/>
        <v>NSG_Business_C&amp;I_Rebates_Ozone Laundry_0_MF/CI</v>
      </c>
      <c r="C1727" s="2" t="str">
        <f t="shared" si="53"/>
        <v>NSG_Business_C&amp;I_Rebates_Ozone Laundry_0_MF/CI_2024</v>
      </c>
      <c r="D1727" s="19" t="s">
        <v>1787</v>
      </c>
      <c r="E1727" s="19" t="s">
        <v>3</v>
      </c>
      <c r="F1727" s="19" t="s">
        <v>1427</v>
      </c>
      <c r="G1727" s="19" t="s">
        <v>1429</v>
      </c>
      <c r="H1727" s="19" t="s">
        <v>16</v>
      </c>
      <c r="I1727" s="19">
        <v>0</v>
      </c>
      <c r="J1727" s="19" t="s">
        <v>592</v>
      </c>
      <c r="K1727" s="19" t="s">
        <v>587</v>
      </c>
      <c r="L1727" s="19">
        <v>2024</v>
      </c>
      <c r="M1727" s="20">
        <v>250</v>
      </c>
      <c r="N1727" s="19" t="s">
        <v>1803</v>
      </c>
      <c r="O1727" s="20">
        <v>0</v>
      </c>
      <c r="P1727" s="20">
        <v>0</v>
      </c>
      <c r="Q1727" s="20">
        <v>0</v>
      </c>
      <c r="R1727" s="21">
        <v>0.91</v>
      </c>
      <c r="S1727" s="20">
        <v>0</v>
      </c>
    </row>
    <row r="1728" spans="2:19" ht="15" customHeight="1" x14ac:dyDescent="0.25">
      <c r="B1728" s="2" t="str">
        <f t="shared" si="52"/>
        <v>NSG_Business_C&amp;I_Rebates_Ozone Laundry_0_MF/CI</v>
      </c>
      <c r="C1728" s="2" t="str">
        <f t="shared" si="53"/>
        <v>NSG_Business_C&amp;I_Rebates_Ozone Laundry_0_MF/CI_2025</v>
      </c>
      <c r="D1728" s="19" t="s">
        <v>1787</v>
      </c>
      <c r="E1728" s="19" t="s">
        <v>3</v>
      </c>
      <c r="F1728" s="19" t="s">
        <v>1427</v>
      </c>
      <c r="G1728" s="19" t="s">
        <v>1429</v>
      </c>
      <c r="H1728" s="19" t="s">
        <v>16</v>
      </c>
      <c r="I1728" s="19">
        <v>0</v>
      </c>
      <c r="J1728" s="19" t="s">
        <v>592</v>
      </c>
      <c r="K1728" s="19" t="s">
        <v>587</v>
      </c>
      <c r="L1728" s="19">
        <v>2025</v>
      </c>
      <c r="M1728" s="20">
        <v>250</v>
      </c>
      <c r="N1728" s="19" t="s">
        <v>1803</v>
      </c>
      <c r="O1728" s="20">
        <v>0</v>
      </c>
      <c r="P1728" s="20">
        <v>0</v>
      </c>
      <c r="Q1728" s="20">
        <v>0</v>
      </c>
      <c r="R1728" s="21">
        <v>0.91</v>
      </c>
      <c r="S1728" s="20">
        <v>0</v>
      </c>
    </row>
    <row r="1729" spans="2:19" ht="15" customHeight="1" x14ac:dyDescent="0.25">
      <c r="B1729" s="2" t="str">
        <f t="shared" si="52"/>
        <v>NSG_Business_C&amp;I_Rebates_Pipe Insulation_HW Small 1" to 2"_MF/CI/SMB</v>
      </c>
      <c r="C1729" s="2" t="str">
        <f t="shared" si="53"/>
        <v>NSG_Business_C&amp;I_Rebates_Pipe Insulation_HW Small 1" to 2"_MF/CI/SMB_2022</v>
      </c>
      <c r="D1729" s="19" t="s">
        <v>1787</v>
      </c>
      <c r="E1729" s="19" t="s">
        <v>3</v>
      </c>
      <c r="F1729" s="19" t="s">
        <v>1427</v>
      </c>
      <c r="G1729" s="19" t="s">
        <v>1429</v>
      </c>
      <c r="H1729" s="19" t="s">
        <v>404</v>
      </c>
      <c r="I1729" s="19" t="s">
        <v>953</v>
      </c>
      <c r="J1729" s="19">
        <v>0</v>
      </c>
      <c r="K1729" s="19" t="s">
        <v>662</v>
      </c>
      <c r="L1729" s="19">
        <v>2022</v>
      </c>
      <c r="M1729" s="20">
        <v>75</v>
      </c>
      <c r="N1729" s="19" t="s">
        <v>616</v>
      </c>
      <c r="O1729" s="20">
        <v>1.7</v>
      </c>
      <c r="P1729" s="20">
        <v>127.5</v>
      </c>
      <c r="Q1729" s="20">
        <v>308.48890509702295</v>
      </c>
      <c r="R1729" s="21">
        <v>0.91</v>
      </c>
      <c r="S1729" s="20">
        <v>308.48890509702295</v>
      </c>
    </row>
    <row r="1730" spans="2:19" ht="15" customHeight="1" x14ac:dyDescent="0.25">
      <c r="B1730" s="2" t="str">
        <f t="shared" si="52"/>
        <v>NSG_Business_C&amp;I_Rebates_Pipe Insulation_HW Small 1" to 2"_MF/CI/SMB</v>
      </c>
      <c r="C1730" s="2" t="str">
        <f t="shared" si="53"/>
        <v>NSG_Business_C&amp;I_Rebates_Pipe Insulation_HW Small 1" to 2"_MF/CI/SMB_2023</v>
      </c>
      <c r="D1730" s="19" t="s">
        <v>1787</v>
      </c>
      <c r="E1730" s="19" t="s">
        <v>3</v>
      </c>
      <c r="F1730" s="19" t="s">
        <v>1427</v>
      </c>
      <c r="G1730" s="19" t="s">
        <v>1429</v>
      </c>
      <c r="H1730" s="19" t="s">
        <v>404</v>
      </c>
      <c r="I1730" s="19" t="s">
        <v>953</v>
      </c>
      <c r="J1730" s="19">
        <v>0</v>
      </c>
      <c r="K1730" s="19" t="s">
        <v>662</v>
      </c>
      <c r="L1730" s="19">
        <v>2023</v>
      </c>
      <c r="M1730" s="20">
        <v>75</v>
      </c>
      <c r="N1730" s="19" t="s">
        <v>616</v>
      </c>
      <c r="O1730" s="20">
        <v>1.6</v>
      </c>
      <c r="P1730" s="20">
        <v>120</v>
      </c>
      <c r="Q1730" s="20">
        <v>290.34249891484512</v>
      </c>
      <c r="R1730" s="21">
        <v>0.91</v>
      </c>
      <c r="S1730" s="20">
        <v>290.34249891484512</v>
      </c>
    </row>
    <row r="1731" spans="2:19" ht="15" customHeight="1" x14ac:dyDescent="0.25">
      <c r="B1731" s="2" t="str">
        <f t="shared" si="52"/>
        <v>NSG_Business_C&amp;I_Rebates_Pipe Insulation_HW Small 1" to 2"_MF/CI/SMB</v>
      </c>
      <c r="C1731" s="2" t="str">
        <f t="shared" si="53"/>
        <v>NSG_Business_C&amp;I_Rebates_Pipe Insulation_HW Small 1" to 2"_MF/CI/SMB_2024</v>
      </c>
      <c r="D1731" s="19" t="s">
        <v>1787</v>
      </c>
      <c r="E1731" s="19" t="s">
        <v>3</v>
      </c>
      <c r="F1731" s="19" t="s">
        <v>1427</v>
      </c>
      <c r="G1731" s="19" t="s">
        <v>1429</v>
      </c>
      <c r="H1731" s="19" t="s">
        <v>404</v>
      </c>
      <c r="I1731" s="19" t="s">
        <v>953</v>
      </c>
      <c r="J1731" s="19">
        <v>0</v>
      </c>
      <c r="K1731" s="19" t="s">
        <v>662</v>
      </c>
      <c r="L1731" s="19">
        <v>2024</v>
      </c>
      <c r="M1731" s="20">
        <v>75</v>
      </c>
      <c r="N1731" s="19" t="s">
        <v>616</v>
      </c>
      <c r="O1731" s="20">
        <v>1.4</v>
      </c>
      <c r="P1731" s="20">
        <v>105</v>
      </c>
      <c r="Q1731" s="20">
        <v>254.04968655048947</v>
      </c>
      <c r="R1731" s="21">
        <v>0.91</v>
      </c>
      <c r="S1731" s="20">
        <v>254.04968655048947</v>
      </c>
    </row>
    <row r="1732" spans="2:19" ht="15" customHeight="1" x14ac:dyDescent="0.25">
      <c r="B1732" s="2" t="str">
        <f t="shared" si="52"/>
        <v>NSG_Business_C&amp;I_Rebates_Pipe Insulation_HW Small 1" to 2"_MF/CI/SMB</v>
      </c>
      <c r="C1732" s="2" t="str">
        <f t="shared" si="53"/>
        <v>NSG_Business_C&amp;I_Rebates_Pipe Insulation_HW Small 1" to 2"_MF/CI/SMB_2025</v>
      </c>
      <c r="D1732" s="19" t="s">
        <v>1787</v>
      </c>
      <c r="E1732" s="19" t="s">
        <v>3</v>
      </c>
      <c r="F1732" s="19" t="s">
        <v>1427</v>
      </c>
      <c r="G1732" s="19" t="s">
        <v>1429</v>
      </c>
      <c r="H1732" s="19" t="s">
        <v>404</v>
      </c>
      <c r="I1732" s="19" t="s">
        <v>953</v>
      </c>
      <c r="J1732" s="19">
        <v>0</v>
      </c>
      <c r="K1732" s="19" t="s">
        <v>662</v>
      </c>
      <c r="L1732" s="19">
        <v>2025</v>
      </c>
      <c r="M1732" s="20">
        <v>75</v>
      </c>
      <c r="N1732" s="19" t="s">
        <v>616</v>
      </c>
      <c r="O1732" s="20">
        <v>1.36</v>
      </c>
      <c r="P1732" s="20">
        <v>102.00000000000001</v>
      </c>
      <c r="Q1732" s="20">
        <v>246.79112407761835</v>
      </c>
      <c r="R1732" s="21">
        <v>0.91</v>
      </c>
      <c r="S1732" s="20">
        <v>246.79112407761835</v>
      </c>
    </row>
    <row r="1733" spans="2:19" ht="15" customHeight="1" x14ac:dyDescent="0.25">
      <c r="B1733" s="2" t="str">
        <f t="shared" si="52"/>
        <v>NSG_Business_C&amp;I_Rebates_Pipe Insulation_HW Medium 2.1" to 4"_MF/CI/SMB</v>
      </c>
      <c r="C1733" s="2" t="str">
        <f t="shared" si="53"/>
        <v>NSG_Business_C&amp;I_Rebates_Pipe Insulation_HW Medium 2.1" to 4"_MF/CI/SMB_2022</v>
      </c>
      <c r="D1733" s="19" t="s">
        <v>1787</v>
      </c>
      <c r="E1733" s="19" t="s">
        <v>3</v>
      </c>
      <c r="F1733" s="19" t="s">
        <v>1427</v>
      </c>
      <c r="G1733" s="19" t="s">
        <v>1429</v>
      </c>
      <c r="H1733" s="19" t="s">
        <v>404</v>
      </c>
      <c r="I1733" s="19" t="s">
        <v>954</v>
      </c>
      <c r="J1733" s="19">
        <v>0</v>
      </c>
      <c r="K1733" s="19" t="s">
        <v>662</v>
      </c>
      <c r="L1733" s="19">
        <v>2022</v>
      </c>
      <c r="M1733" s="20">
        <v>75</v>
      </c>
      <c r="N1733" s="19" t="s">
        <v>616</v>
      </c>
      <c r="O1733" s="20">
        <v>2.5499999999999998</v>
      </c>
      <c r="P1733" s="20">
        <v>191.25</v>
      </c>
      <c r="Q1733" s="20">
        <v>913.55819310959555</v>
      </c>
      <c r="R1733" s="21">
        <v>0.91</v>
      </c>
      <c r="S1733" s="20">
        <v>913.55819310959555</v>
      </c>
    </row>
    <row r="1734" spans="2:19" ht="15" customHeight="1" x14ac:dyDescent="0.25">
      <c r="B1734" s="2" t="str">
        <f t="shared" ref="B1734:B1797" si="54">D1734&amp;"_"&amp;E1734&amp;"_"&amp;F1734&amp;"_"&amp;G1734&amp;"_"&amp;H1734&amp;"_"&amp;I1734&amp;"_"&amp;K1734</f>
        <v>NSG_Business_C&amp;I_Rebates_Pipe Insulation_HW Medium 2.1" to 4"_MF/CI/SMB</v>
      </c>
      <c r="C1734" s="2" t="str">
        <f t="shared" ref="C1734:C1797" si="55">D1734&amp;"_"&amp;E1734&amp;"_"&amp;F1734&amp;"_"&amp;G1734&amp;"_"&amp;H1734&amp;"_"&amp;I1734&amp;"_"&amp;K1734&amp;"_"&amp;L1734</f>
        <v>NSG_Business_C&amp;I_Rebates_Pipe Insulation_HW Medium 2.1" to 4"_MF/CI/SMB_2023</v>
      </c>
      <c r="D1734" s="19" t="s">
        <v>1787</v>
      </c>
      <c r="E1734" s="19" t="s">
        <v>3</v>
      </c>
      <c r="F1734" s="19" t="s">
        <v>1427</v>
      </c>
      <c r="G1734" s="19" t="s">
        <v>1429</v>
      </c>
      <c r="H1734" s="19" t="s">
        <v>404</v>
      </c>
      <c r="I1734" s="19" t="s">
        <v>954</v>
      </c>
      <c r="J1734" s="19">
        <v>0</v>
      </c>
      <c r="K1734" s="19" t="s">
        <v>662</v>
      </c>
      <c r="L1734" s="19">
        <v>2023</v>
      </c>
      <c r="M1734" s="20">
        <v>75</v>
      </c>
      <c r="N1734" s="19" t="s">
        <v>616</v>
      </c>
      <c r="O1734" s="20">
        <v>2.4000000000000004</v>
      </c>
      <c r="P1734" s="20">
        <v>180.00000000000003</v>
      </c>
      <c r="Q1734" s="20">
        <v>859.81947586785475</v>
      </c>
      <c r="R1734" s="21">
        <v>0.91</v>
      </c>
      <c r="S1734" s="20">
        <v>859.81947586785475</v>
      </c>
    </row>
    <row r="1735" spans="2:19" ht="15" customHeight="1" x14ac:dyDescent="0.25">
      <c r="B1735" s="2" t="str">
        <f t="shared" si="54"/>
        <v>NSG_Business_C&amp;I_Rebates_Pipe Insulation_HW Medium 2.1" to 4"_MF/CI/SMB</v>
      </c>
      <c r="C1735" s="2" t="str">
        <f t="shared" si="55"/>
        <v>NSG_Business_C&amp;I_Rebates_Pipe Insulation_HW Medium 2.1" to 4"_MF/CI/SMB_2024</v>
      </c>
      <c r="D1735" s="19" t="s">
        <v>1787</v>
      </c>
      <c r="E1735" s="19" t="s">
        <v>3</v>
      </c>
      <c r="F1735" s="19" t="s">
        <v>1427</v>
      </c>
      <c r="G1735" s="19" t="s">
        <v>1429</v>
      </c>
      <c r="H1735" s="19" t="s">
        <v>404</v>
      </c>
      <c r="I1735" s="19" t="s">
        <v>954</v>
      </c>
      <c r="J1735" s="19">
        <v>0</v>
      </c>
      <c r="K1735" s="19" t="s">
        <v>662</v>
      </c>
      <c r="L1735" s="19">
        <v>2024</v>
      </c>
      <c r="M1735" s="20">
        <v>75</v>
      </c>
      <c r="N1735" s="19" t="s">
        <v>616</v>
      </c>
      <c r="O1735" s="20">
        <v>2.0999999999999996</v>
      </c>
      <c r="P1735" s="20">
        <v>157.49999999999997</v>
      </c>
      <c r="Q1735" s="20">
        <v>752.34204138437269</v>
      </c>
      <c r="R1735" s="21">
        <v>0.91</v>
      </c>
      <c r="S1735" s="20">
        <v>752.34204138437269</v>
      </c>
    </row>
    <row r="1736" spans="2:19" ht="15" customHeight="1" x14ac:dyDescent="0.25">
      <c r="B1736" s="2" t="str">
        <f t="shared" si="54"/>
        <v>NSG_Business_C&amp;I_Rebates_Pipe Insulation_HW Medium 2.1" to 4"_MF/CI/SMB</v>
      </c>
      <c r="C1736" s="2" t="str">
        <f t="shared" si="55"/>
        <v>NSG_Business_C&amp;I_Rebates_Pipe Insulation_HW Medium 2.1" to 4"_MF/CI/SMB_2025</v>
      </c>
      <c r="D1736" s="19" t="s">
        <v>1787</v>
      </c>
      <c r="E1736" s="19" t="s">
        <v>3</v>
      </c>
      <c r="F1736" s="19" t="s">
        <v>1427</v>
      </c>
      <c r="G1736" s="19" t="s">
        <v>1429</v>
      </c>
      <c r="H1736" s="19" t="s">
        <v>404</v>
      </c>
      <c r="I1736" s="19" t="s">
        <v>954</v>
      </c>
      <c r="J1736" s="19">
        <v>0</v>
      </c>
      <c r="K1736" s="19" t="s">
        <v>662</v>
      </c>
      <c r="L1736" s="19">
        <v>2025</v>
      </c>
      <c r="M1736" s="20">
        <v>75</v>
      </c>
      <c r="N1736" s="19" t="s">
        <v>616</v>
      </c>
      <c r="O1736" s="20">
        <v>2.04</v>
      </c>
      <c r="P1736" s="20">
        <v>153</v>
      </c>
      <c r="Q1736" s="20">
        <v>730.84655448767649</v>
      </c>
      <c r="R1736" s="21">
        <v>0.91</v>
      </c>
      <c r="S1736" s="20">
        <v>730.84655448767649</v>
      </c>
    </row>
    <row r="1737" spans="2:19" ht="15" customHeight="1" x14ac:dyDescent="0.25">
      <c r="B1737" s="2" t="str">
        <f t="shared" si="54"/>
        <v>NSG_Business_C&amp;I_Rebates_Pipe Insulation_HW Large &gt;4"_MF/CI/SMB</v>
      </c>
      <c r="C1737" s="2" t="str">
        <f t="shared" si="55"/>
        <v>NSG_Business_C&amp;I_Rebates_Pipe Insulation_HW Large &gt;4"_MF/CI/SMB_2022</v>
      </c>
      <c r="D1737" s="19" t="s">
        <v>1787</v>
      </c>
      <c r="E1737" s="19" t="s">
        <v>3</v>
      </c>
      <c r="F1737" s="19" t="s">
        <v>1427</v>
      </c>
      <c r="G1737" s="19" t="s">
        <v>1429</v>
      </c>
      <c r="H1737" s="19" t="s">
        <v>404</v>
      </c>
      <c r="I1737" s="19" t="s">
        <v>955</v>
      </c>
      <c r="J1737" s="19">
        <v>0</v>
      </c>
      <c r="K1737" s="19" t="s">
        <v>662</v>
      </c>
      <c r="L1737" s="19">
        <v>2022</v>
      </c>
      <c r="M1737" s="20">
        <v>75</v>
      </c>
      <c r="N1737" s="19" t="s">
        <v>616</v>
      </c>
      <c r="O1737" s="20">
        <v>4.25</v>
      </c>
      <c r="P1737" s="20">
        <v>318.75</v>
      </c>
      <c r="Q1737" s="20">
        <v>2622.3858270731384</v>
      </c>
      <c r="R1737" s="21">
        <v>0.91</v>
      </c>
      <c r="S1737" s="20">
        <v>2622.3858270731384</v>
      </c>
    </row>
    <row r="1738" spans="2:19" ht="15" customHeight="1" x14ac:dyDescent="0.25">
      <c r="B1738" s="2" t="str">
        <f t="shared" si="54"/>
        <v>NSG_Business_C&amp;I_Rebates_Pipe Insulation_HW Large &gt;4"_MF/CI/SMB</v>
      </c>
      <c r="C1738" s="2" t="str">
        <f t="shared" si="55"/>
        <v>NSG_Business_C&amp;I_Rebates_Pipe Insulation_HW Large &gt;4"_MF/CI/SMB_2023</v>
      </c>
      <c r="D1738" s="19" t="s">
        <v>1787</v>
      </c>
      <c r="E1738" s="19" t="s">
        <v>3</v>
      </c>
      <c r="F1738" s="19" t="s">
        <v>1427</v>
      </c>
      <c r="G1738" s="19" t="s">
        <v>1429</v>
      </c>
      <c r="H1738" s="19" t="s">
        <v>404</v>
      </c>
      <c r="I1738" s="19" t="s">
        <v>955</v>
      </c>
      <c r="J1738" s="19">
        <v>0</v>
      </c>
      <c r="K1738" s="19" t="s">
        <v>662</v>
      </c>
      <c r="L1738" s="19">
        <v>2023</v>
      </c>
      <c r="M1738" s="20">
        <v>75</v>
      </c>
      <c r="N1738" s="19" t="s">
        <v>616</v>
      </c>
      <c r="O1738" s="20">
        <v>4</v>
      </c>
      <c r="P1738" s="20">
        <v>300</v>
      </c>
      <c r="Q1738" s="20">
        <v>2468.1278372453071</v>
      </c>
      <c r="R1738" s="21">
        <v>0.91</v>
      </c>
      <c r="S1738" s="20">
        <v>2468.1278372453071</v>
      </c>
    </row>
    <row r="1739" spans="2:19" ht="15" customHeight="1" x14ac:dyDescent="0.25">
      <c r="B1739" s="2" t="str">
        <f t="shared" si="54"/>
        <v>NSG_Business_C&amp;I_Rebates_Pipe Insulation_HW Large &gt;4"_MF/CI/SMB</v>
      </c>
      <c r="C1739" s="2" t="str">
        <f t="shared" si="55"/>
        <v>NSG_Business_C&amp;I_Rebates_Pipe Insulation_HW Large &gt;4"_MF/CI/SMB_2024</v>
      </c>
      <c r="D1739" s="19" t="s">
        <v>1787</v>
      </c>
      <c r="E1739" s="19" t="s">
        <v>3</v>
      </c>
      <c r="F1739" s="19" t="s">
        <v>1427</v>
      </c>
      <c r="G1739" s="19" t="s">
        <v>1429</v>
      </c>
      <c r="H1739" s="19" t="s">
        <v>404</v>
      </c>
      <c r="I1739" s="19" t="s">
        <v>955</v>
      </c>
      <c r="J1739" s="19">
        <v>0</v>
      </c>
      <c r="K1739" s="19" t="s">
        <v>662</v>
      </c>
      <c r="L1739" s="19">
        <v>2024</v>
      </c>
      <c r="M1739" s="20">
        <v>75</v>
      </c>
      <c r="N1739" s="19" t="s">
        <v>616</v>
      </c>
      <c r="O1739" s="20">
        <v>3.5</v>
      </c>
      <c r="P1739" s="20">
        <v>262.5</v>
      </c>
      <c r="Q1739" s="20">
        <v>2159.6118575896435</v>
      </c>
      <c r="R1739" s="21">
        <v>0.91</v>
      </c>
      <c r="S1739" s="20">
        <v>2159.6118575896435</v>
      </c>
    </row>
    <row r="1740" spans="2:19" ht="15" customHeight="1" x14ac:dyDescent="0.25">
      <c r="B1740" s="2" t="str">
        <f t="shared" si="54"/>
        <v>NSG_Business_C&amp;I_Rebates_Pipe Insulation_HW Large &gt;4"_MF/CI/SMB</v>
      </c>
      <c r="C1740" s="2" t="str">
        <f t="shared" si="55"/>
        <v>NSG_Business_C&amp;I_Rebates_Pipe Insulation_HW Large &gt;4"_MF/CI/SMB_2025</v>
      </c>
      <c r="D1740" s="19" t="s">
        <v>1787</v>
      </c>
      <c r="E1740" s="19" t="s">
        <v>3</v>
      </c>
      <c r="F1740" s="19" t="s">
        <v>1427</v>
      </c>
      <c r="G1740" s="19" t="s">
        <v>1429</v>
      </c>
      <c r="H1740" s="19" t="s">
        <v>404</v>
      </c>
      <c r="I1740" s="19" t="s">
        <v>955</v>
      </c>
      <c r="J1740" s="19">
        <v>0</v>
      </c>
      <c r="K1740" s="19" t="s">
        <v>662</v>
      </c>
      <c r="L1740" s="19">
        <v>2025</v>
      </c>
      <c r="M1740" s="20">
        <v>75</v>
      </c>
      <c r="N1740" s="19" t="s">
        <v>616</v>
      </c>
      <c r="O1740" s="20">
        <v>3.4000000000000004</v>
      </c>
      <c r="P1740" s="20">
        <v>255.00000000000003</v>
      </c>
      <c r="Q1740" s="20">
        <v>2097.9086616585109</v>
      </c>
      <c r="R1740" s="21">
        <v>0.91</v>
      </c>
      <c r="S1740" s="20">
        <v>2097.9086616585109</v>
      </c>
    </row>
    <row r="1741" spans="2:19" ht="15" customHeight="1" x14ac:dyDescent="0.25">
      <c r="B1741" s="2" t="str">
        <f t="shared" si="54"/>
        <v>NSG_Business_C&amp;I_Rebates_Pipe Insulation_Steam - Small 1" to 2"_CI</v>
      </c>
      <c r="C1741" s="2" t="str">
        <f t="shared" si="55"/>
        <v>NSG_Business_C&amp;I_Rebates_Pipe Insulation_Steam - Small 1" to 2"_CI_2022</v>
      </c>
      <c r="D1741" s="19" t="s">
        <v>1787</v>
      </c>
      <c r="E1741" s="19" t="s">
        <v>3</v>
      </c>
      <c r="F1741" s="19" t="s">
        <v>1427</v>
      </c>
      <c r="G1741" s="19" t="s">
        <v>1429</v>
      </c>
      <c r="H1741" s="19" t="s">
        <v>404</v>
      </c>
      <c r="I1741" s="19" t="s">
        <v>956</v>
      </c>
      <c r="J1741" s="19">
        <v>0</v>
      </c>
      <c r="K1741" s="19" t="s">
        <v>1159</v>
      </c>
      <c r="L1741" s="19">
        <v>2022</v>
      </c>
      <c r="M1741" s="20">
        <v>75</v>
      </c>
      <c r="N1741" s="19" t="s">
        <v>616</v>
      </c>
      <c r="O1741" s="20">
        <v>1.7</v>
      </c>
      <c r="P1741" s="20">
        <v>127.5</v>
      </c>
      <c r="Q1741" s="20">
        <v>369.5948186490395</v>
      </c>
      <c r="R1741" s="21">
        <v>0.91</v>
      </c>
      <c r="S1741" s="20">
        <v>369.5948186490395</v>
      </c>
    </row>
    <row r="1742" spans="2:19" ht="15" customHeight="1" x14ac:dyDescent="0.25">
      <c r="B1742" s="2" t="str">
        <f t="shared" si="54"/>
        <v>NSG_Business_C&amp;I_Rebates_Pipe Insulation_Steam - Small 1" to 2"_CI</v>
      </c>
      <c r="C1742" s="2" t="str">
        <f t="shared" si="55"/>
        <v>NSG_Business_C&amp;I_Rebates_Pipe Insulation_Steam - Small 1" to 2"_CI_2023</v>
      </c>
      <c r="D1742" s="19" t="s">
        <v>1787</v>
      </c>
      <c r="E1742" s="19" t="s">
        <v>3</v>
      </c>
      <c r="F1742" s="19" t="s">
        <v>1427</v>
      </c>
      <c r="G1742" s="19" t="s">
        <v>1429</v>
      </c>
      <c r="H1742" s="19" t="s">
        <v>404</v>
      </c>
      <c r="I1742" s="19" t="s">
        <v>956</v>
      </c>
      <c r="J1742" s="19">
        <v>0</v>
      </c>
      <c r="K1742" s="19" t="s">
        <v>1159</v>
      </c>
      <c r="L1742" s="19">
        <v>2023</v>
      </c>
      <c r="M1742" s="20">
        <v>75</v>
      </c>
      <c r="N1742" s="19" t="s">
        <v>616</v>
      </c>
      <c r="O1742" s="20">
        <v>1.6</v>
      </c>
      <c r="P1742" s="20">
        <v>120</v>
      </c>
      <c r="Q1742" s="20">
        <v>347.85394696380195</v>
      </c>
      <c r="R1742" s="21">
        <v>0.91</v>
      </c>
      <c r="S1742" s="20">
        <v>347.85394696380195</v>
      </c>
    </row>
    <row r="1743" spans="2:19" ht="15" customHeight="1" x14ac:dyDescent="0.25">
      <c r="B1743" s="2" t="str">
        <f t="shared" si="54"/>
        <v>NSG_Business_C&amp;I_Rebates_Pipe Insulation_Steam - Small 1" to 2"_CI</v>
      </c>
      <c r="C1743" s="2" t="str">
        <f t="shared" si="55"/>
        <v>NSG_Business_C&amp;I_Rebates_Pipe Insulation_Steam - Small 1" to 2"_CI_2024</v>
      </c>
      <c r="D1743" s="19" t="s">
        <v>1787</v>
      </c>
      <c r="E1743" s="19" t="s">
        <v>3</v>
      </c>
      <c r="F1743" s="19" t="s">
        <v>1427</v>
      </c>
      <c r="G1743" s="19" t="s">
        <v>1429</v>
      </c>
      <c r="H1743" s="19" t="s">
        <v>404</v>
      </c>
      <c r="I1743" s="19" t="s">
        <v>956</v>
      </c>
      <c r="J1743" s="19">
        <v>0</v>
      </c>
      <c r="K1743" s="19" t="s">
        <v>1159</v>
      </c>
      <c r="L1743" s="19">
        <v>2024</v>
      </c>
      <c r="M1743" s="20">
        <v>75</v>
      </c>
      <c r="N1743" s="19" t="s">
        <v>616</v>
      </c>
      <c r="O1743" s="20">
        <v>1.4</v>
      </c>
      <c r="P1743" s="20">
        <v>105</v>
      </c>
      <c r="Q1743" s="20">
        <v>304.37220359332662</v>
      </c>
      <c r="R1743" s="21">
        <v>0.91</v>
      </c>
      <c r="S1743" s="20">
        <v>304.37220359332662</v>
      </c>
    </row>
    <row r="1744" spans="2:19" ht="15" customHeight="1" x14ac:dyDescent="0.25">
      <c r="B1744" s="2" t="str">
        <f t="shared" si="54"/>
        <v>NSG_Business_C&amp;I_Rebates_Pipe Insulation_Steam - Small 1" to 2"_CI</v>
      </c>
      <c r="C1744" s="2" t="str">
        <f t="shared" si="55"/>
        <v>NSG_Business_C&amp;I_Rebates_Pipe Insulation_Steam - Small 1" to 2"_CI_2025</v>
      </c>
      <c r="D1744" s="19" t="s">
        <v>1787</v>
      </c>
      <c r="E1744" s="19" t="s">
        <v>3</v>
      </c>
      <c r="F1744" s="19" t="s">
        <v>1427</v>
      </c>
      <c r="G1744" s="19" t="s">
        <v>1429</v>
      </c>
      <c r="H1744" s="19" t="s">
        <v>404</v>
      </c>
      <c r="I1744" s="19" t="s">
        <v>956</v>
      </c>
      <c r="J1744" s="19">
        <v>0</v>
      </c>
      <c r="K1744" s="19" t="s">
        <v>1159</v>
      </c>
      <c r="L1744" s="19">
        <v>2025</v>
      </c>
      <c r="M1744" s="20">
        <v>75</v>
      </c>
      <c r="N1744" s="19" t="s">
        <v>616</v>
      </c>
      <c r="O1744" s="20">
        <v>1.36</v>
      </c>
      <c r="P1744" s="20">
        <v>102.00000000000001</v>
      </c>
      <c r="Q1744" s="20">
        <v>295.67585491923165</v>
      </c>
      <c r="R1744" s="21">
        <v>0.91</v>
      </c>
      <c r="S1744" s="20">
        <v>295.67585491923165</v>
      </c>
    </row>
    <row r="1745" spans="2:19" ht="15" customHeight="1" x14ac:dyDescent="0.25">
      <c r="B1745" s="2" t="str">
        <f t="shared" si="54"/>
        <v>NSG_Business_C&amp;I_Rebates_Pipe Insulation_Steam - Med 2.1" to 5"_CI</v>
      </c>
      <c r="C1745" s="2" t="str">
        <f t="shared" si="55"/>
        <v>NSG_Business_C&amp;I_Rebates_Pipe Insulation_Steam - Med 2.1" to 5"_CI_2022</v>
      </c>
      <c r="D1745" s="19" t="s">
        <v>1787</v>
      </c>
      <c r="E1745" s="19" t="s">
        <v>3</v>
      </c>
      <c r="F1745" s="19" t="s">
        <v>1427</v>
      </c>
      <c r="G1745" s="19" t="s">
        <v>1429</v>
      </c>
      <c r="H1745" s="19" t="s">
        <v>404</v>
      </c>
      <c r="I1745" s="19" t="s">
        <v>957</v>
      </c>
      <c r="J1745" s="19">
        <v>0</v>
      </c>
      <c r="K1745" s="19" t="s">
        <v>1159</v>
      </c>
      <c r="L1745" s="19">
        <v>2022</v>
      </c>
      <c r="M1745" s="20">
        <v>75</v>
      </c>
      <c r="N1745" s="19" t="s">
        <v>616</v>
      </c>
      <c r="O1745" s="20">
        <v>0.85</v>
      </c>
      <c r="P1745" s="20">
        <v>63.75</v>
      </c>
      <c r="Q1745" s="20">
        <v>743.20081097404159</v>
      </c>
      <c r="R1745" s="21">
        <v>0.91</v>
      </c>
      <c r="S1745" s="20">
        <v>743.20081097404159</v>
      </c>
    </row>
    <row r="1746" spans="2:19" ht="15" customHeight="1" x14ac:dyDescent="0.25">
      <c r="B1746" s="2" t="str">
        <f t="shared" si="54"/>
        <v>NSG_Business_C&amp;I_Rebates_Pipe Insulation_Steam - Med 2.1" to 5"_CI</v>
      </c>
      <c r="C1746" s="2" t="str">
        <f t="shared" si="55"/>
        <v>NSG_Business_C&amp;I_Rebates_Pipe Insulation_Steam - Med 2.1" to 5"_CI_2023</v>
      </c>
      <c r="D1746" s="19" t="s">
        <v>1787</v>
      </c>
      <c r="E1746" s="19" t="s">
        <v>3</v>
      </c>
      <c r="F1746" s="19" t="s">
        <v>1427</v>
      </c>
      <c r="G1746" s="19" t="s">
        <v>1429</v>
      </c>
      <c r="H1746" s="19" t="s">
        <v>404</v>
      </c>
      <c r="I1746" s="19" t="s">
        <v>957</v>
      </c>
      <c r="J1746" s="19">
        <v>0</v>
      </c>
      <c r="K1746" s="19" t="s">
        <v>1159</v>
      </c>
      <c r="L1746" s="19">
        <v>2023</v>
      </c>
      <c r="M1746" s="20">
        <v>75</v>
      </c>
      <c r="N1746" s="19" t="s">
        <v>616</v>
      </c>
      <c r="O1746" s="20">
        <v>0.8</v>
      </c>
      <c r="P1746" s="20">
        <v>60</v>
      </c>
      <c r="Q1746" s="20">
        <v>699.4831162108627</v>
      </c>
      <c r="R1746" s="21">
        <v>0.91</v>
      </c>
      <c r="S1746" s="20">
        <v>699.4831162108627</v>
      </c>
    </row>
    <row r="1747" spans="2:19" ht="15" customHeight="1" x14ac:dyDescent="0.25">
      <c r="B1747" s="2" t="str">
        <f t="shared" si="54"/>
        <v>NSG_Business_C&amp;I_Rebates_Pipe Insulation_Steam - Med 2.1" to 5"_CI</v>
      </c>
      <c r="C1747" s="2" t="str">
        <f t="shared" si="55"/>
        <v>NSG_Business_C&amp;I_Rebates_Pipe Insulation_Steam - Med 2.1" to 5"_CI_2024</v>
      </c>
      <c r="D1747" s="19" t="s">
        <v>1787</v>
      </c>
      <c r="E1747" s="19" t="s">
        <v>3</v>
      </c>
      <c r="F1747" s="19" t="s">
        <v>1427</v>
      </c>
      <c r="G1747" s="19" t="s">
        <v>1429</v>
      </c>
      <c r="H1747" s="19" t="s">
        <v>404</v>
      </c>
      <c r="I1747" s="19" t="s">
        <v>957</v>
      </c>
      <c r="J1747" s="19">
        <v>0</v>
      </c>
      <c r="K1747" s="19" t="s">
        <v>1159</v>
      </c>
      <c r="L1747" s="19">
        <v>2024</v>
      </c>
      <c r="M1747" s="20">
        <v>75</v>
      </c>
      <c r="N1747" s="19" t="s">
        <v>616</v>
      </c>
      <c r="O1747" s="20">
        <v>0.7</v>
      </c>
      <c r="P1747" s="20">
        <v>52.5</v>
      </c>
      <c r="Q1747" s="20">
        <v>612.04772668450482</v>
      </c>
      <c r="R1747" s="21">
        <v>0.91</v>
      </c>
      <c r="S1747" s="20">
        <v>612.04772668450482</v>
      </c>
    </row>
    <row r="1748" spans="2:19" ht="15" customHeight="1" x14ac:dyDescent="0.25">
      <c r="B1748" s="2" t="str">
        <f t="shared" si="54"/>
        <v>NSG_Business_C&amp;I_Rebates_Pipe Insulation_Steam - Med 2.1" to 5"_CI</v>
      </c>
      <c r="C1748" s="2" t="str">
        <f t="shared" si="55"/>
        <v>NSG_Business_C&amp;I_Rebates_Pipe Insulation_Steam - Med 2.1" to 5"_CI_2025</v>
      </c>
      <c r="D1748" s="19" t="s">
        <v>1787</v>
      </c>
      <c r="E1748" s="19" t="s">
        <v>3</v>
      </c>
      <c r="F1748" s="19" t="s">
        <v>1427</v>
      </c>
      <c r="G1748" s="19" t="s">
        <v>1429</v>
      </c>
      <c r="H1748" s="19" t="s">
        <v>404</v>
      </c>
      <c r="I1748" s="19" t="s">
        <v>957</v>
      </c>
      <c r="J1748" s="19">
        <v>0</v>
      </c>
      <c r="K1748" s="19" t="s">
        <v>1159</v>
      </c>
      <c r="L1748" s="19">
        <v>2025</v>
      </c>
      <c r="M1748" s="20">
        <v>75</v>
      </c>
      <c r="N1748" s="19" t="s">
        <v>616</v>
      </c>
      <c r="O1748" s="20">
        <v>0.68</v>
      </c>
      <c r="P1748" s="20">
        <v>51.000000000000007</v>
      </c>
      <c r="Q1748" s="20">
        <v>594.56064877923336</v>
      </c>
      <c r="R1748" s="21">
        <v>0.91</v>
      </c>
      <c r="S1748" s="20">
        <v>594.56064877923336</v>
      </c>
    </row>
    <row r="1749" spans="2:19" ht="15" customHeight="1" x14ac:dyDescent="0.25">
      <c r="B1749" s="2" t="str">
        <f t="shared" si="54"/>
        <v>NSG_Business_C&amp;I_Rebates_Pipe Insulation_Steam - Large 5.1" to 8"_CI</v>
      </c>
      <c r="C1749" s="2" t="str">
        <f t="shared" si="55"/>
        <v>NSG_Business_C&amp;I_Rebates_Pipe Insulation_Steam - Large 5.1" to 8"_CI_2022</v>
      </c>
      <c r="D1749" s="19" t="s">
        <v>1787</v>
      </c>
      <c r="E1749" s="19" t="s">
        <v>3</v>
      </c>
      <c r="F1749" s="19" t="s">
        <v>1427</v>
      </c>
      <c r="G1749" s="19" t="s">
        <v>1429</v>
      </c>
      <c r="H1749" s="19" t="s">
        <v>404</v>
      </c>
      <c r="I1749" s="19" t="s">
        <v>958</v>
      </c>
      <c r="J1749" s="19">
        <v>0</v>
      </c>
      <c r="K1749" s="19" t="s">
        <v>1159</v>
      </c>
      <c r="L1749" s="19">
        <v>2022</v>
      </c>
      <c r="M1749" s="20">
        <v>75</v>
      </c>
      <c r="N1749" s="19" t="s">
        <v>616</v>
      </c>
      <c r="O1749" s="20">
        <v>0.85</v>
      </c>
      <c r="P1749" s="20">
        <v>63.75</v>
      </c>
      <c r="Q1749" s="20">
        <v>1450.2987858636234</v>
      </c>
      <c r="R1749" s="21">
        <v>0.91</v>
      </c>
      <c r="S1749" s="20">
        <v>1450.2987858636234</v>
      </c>
    </row>
    <row r="1750" spans="2:19" ht="15" customHeight="1" x14ac:dyDescent="0.25">
      <c r="B1750" s="2" t="str">
        <f t="shared" si="54"/>
        <v>NSG_Business_C&amp;I_Rebates_Pipe Insulation_Steam - Large 5.1" to 8"_CI</v>
      </c>
      <c r="C1750" s="2" t="str">
        <f t="shared" si="55"/>
        <v>NSG_Business_C&amp;I_Rebates_Pipe Insulation_Steam - Large 5.1" to 8"_CI_2023</v>
      </c>
      <c r="D1750" s="19" t="s">
        <v>1787</v>
      </c>
      <c r="E1750" s="19" t="s">
        <v>3</v>
      </c>
      <c r="F1750" s="19" t="s">
        <v>1427</v>
      </c>
      <c r="G1750" s="19" t="s">
        <v>1429</v>
      </c>
      <c r="H1750" s="19" t="s">
        <v>404</v>
      </c>
      <c r="I1750" s="19" t="s">
        <v>958</v>
      </c>
      <c r="J1750" s="19">
        <v>0</v>
      </c>
      <c r="K1750" s="19" t="s">
        <v>1159</v>
      </c>
      <c r="L1750" s="19">
        <v>2023</v>
      </c>
      <c r="M1750" s="20">
        <v>75</v>
      </c>
      <c r="N1750" s="19" t="s">
        <v>616</v>
      </c>
      <c r="O1750" s="20">
        <v>0.8</v>
      </c>
      <c r="P1750" s="20">
        <v>60</v>
      </c>
      <c r="Q1750" s="20">
        <v>1364.9870925775281</v>
      </c>
      <c r="R1750" s="21">
        <v>0.91</v>
      </c>
      <c r="S1750" s="20">
        <v>1364.9870925775281</v>
      </c>
    </row>
    <row r="1751" spans="2:19" ht="15" customHeight="1" x14ac:dyDescent="0.25">
      <c r="B1751" s="2" t="str">
        <f t="shared" si="54"/>
        <v>NSG_Business_C&amp;I_Rebates_Pipe Insulation_Steam - Large 5.1" to 8"_CI</v>
      </c>
      <c r="C1751" s="2" t="str">
        <f t="shared" si="55"/>
        <v>NSG_Business_C&amp;I_Rebates_Pipe Insulation_Steam - Large 5.1" to 8"_CI_2024</v>
      </c>
      <c r="D1751" s="19" t="s">
        <v>1787</v>
      </c>
      <c r="E1751" s="19" t="s">
        <v>3</v>
      </c>
      <c r="F1751" s="19" t="s">
        <v>1427</v>
      </c>
      <c r="G1751" s="19" t="s">
        <v>1429</v>
      </c>
      <c r="H1751" s="19" t="s">
        <v>404</v>
      </c>
      <c r="I1751" s="19" t="s">
        <v>958</v>
      </c>
      <c r="J1751" s="19">
        <v>0</v>
      </c>
      <c r="K1751" s="19" t="s">
        <v>1159</v>
      </c>
      <c r="L1751" s="19">
        <v>2024</v>
      </c>
      <c r="M1751" s="20">
        <v>75</v>
      </c>
      <c r="N1751" s="19" t="s">
        <v>616</v>
      </c>
      <c r="O1751" s="20">
        <v>0.7</v>
      </c>
      <c r="P1751" s="20">
        <v>52.5</v>
      </c>
      <c r="Q1751" s="20">
        <v>1194.363706005337</v>
      </c>
      <c r="R1751" s="21">
        <v>0.91</v>
      </c>
      <c r="S1751" s="20">
        <v>1194.363706005337</v>
      </c>
    </row>
    <row r="1752" spans="2:19" ht="15" customHeight="1" x14ac:dyDescent="0.25">
      <c r="B1752" s="2" t="str">
        <f t="shared" si="54"/>
        <v>NSG_Business_C&amp;I_Rebates_Pipe Insulation_Steam - Large 5.1" to 8"_CI</v>
      </c>
      <c r="C1752" s="2" t="str">
        <f t="shared" si="55"/>
        <v>NSG_Business_C&amp;I_Rebates_Pipe Insulation_Steam - Large 5.1" to 8"_CI_2025</v>
      </c>
      <c r="D1752" s="19" t="s">
        <v>1787</v>
      </c>
      <c r="E1752" s="19" t="s">
        <v>3</v>
      </c>
      <c r="F1752" s="19" t="s">
        <v>1427</v>
      </c>
      <c r="G1752" s="19" t="s">
        <v>1429</v>
      </c>
      <c r="H1752" s="19" t="s">
        <v>404</v>
      </c>
      <c r="I1752" s="19" t="s">
        <v>958</v>
      </c>
      <c r="J1752" s="19">
        <v>0</v>
      </c>
      <c r="K1752" s="19" t="s">
        <v>1159</v>
      </c>
      <c r="L1752" s="19">
        <v>2025</v>
      </c>
      <c r="M1752" s="20">
        <v>75</v>
      </c>
      <c r="N1752" s="19" t="s">
        <v>616</v>
      </c>
      <c r="O1752" s="20">
        <v>0.68</v>
      </c>
      <c r="P1752" s="20">
        <v>51.000000000000007</v>
      </c>
      <c r="Q1752" s="20">
        <v>1160.239028690899</v>
      </c>
      <c r="R1752" s="21">
        <v>0.91</v>
      </c>
      <c r="S1752" s="20">
        <v>1160.239028690899</v>
      </c>
    </row>
    <row r="1753" spans="2:19" ht="15" customHeight="1" x14ac:dyDescent="0.25">
      <c r="B1753" s="2" t="str">
        <f t="shared" si="54"/>
        <v>NSG_Business_C&amp;I_Rebates_Pipe Insulation_Steam - X-Large &gt;8"_CI</v>
      </c>
      <c r="C1753" s="2" t="str">
        <f t="shared" si="55"/>
        <v>NSG_Business_C&amp;I_Rebates_Pipe Insulation_Steam - X-Large &gt;8"_CI_2022</v>
      </c>
      <c r="D1753" s="19" t="s">
        <v>1787</v>
      </c>
      <c r="E1753" s="19" t="s">
        <v>3</v>
      </c>
      <c r="F1753" s="19" t="s">
        <v>1427</v>
      </c>
      <c r="G1753" s="19" t="s">
        <v>1429</v>
      </c>
      <c r="H1753" s="19" t="s">
        <v>404</v>
      </c>
      <c r="I1753" s="19" t="s">
        <v>960</v>
      </c>
      <c r="J1753" s="19">
        <v>0</v>
      </c>
      <c r="K1753" s="19" t="s">
        <v>1159</v>
      </c>
      <c r="L1753" s="19">
        <v>2022</v>
      </c>
      <c r="M1753" s="20">
        <v>75</v>
      </c>
      <c r="N1753" s="19" t="s">
        <v>616</v>
      </c>
      <c r="O1753" s="20">
        <v>0.85</v>
      </c>
      <c r="P1753" s="20">
        <v>63.75</v>
      </c>
      <c r="Q1753" s="20">
        <v>2087.5680920469581</v>
      </c>
      <c r="R1753" s="21">
        <v>0.91</v>
      </c>
      <c r="S1753" s="20">
        <v>2087.5680920469581</v>
      </c>
    </row>
    <row r="1754" spans="2:19" ht="15" customHeight="1" x14ac:dyDescent="0.25">
      <c r="B1754" s="2" t="str">
        <f t="shared" si="54"/>
        <v>NSG_Business_C&amp;I_Rebates_Pipe Insulation_Steam - X-Large &gt;8"_CI</v>
      </c>
      <c r="C1754" s="2" t="str">
        <f t="shared" si="55"/>
        <v>NSG_Business_C&amp;I_Rebates_Pipe Insulation_Steam - X-Large &gt;8"_CI_2023</v>
      </c>
      <c r="D1754" s="19" t="s">
        <v>1787</v>
      </c>
      <c r="E1754" s="19" t="s">
        <v>3</v>
      </c>
      <c r="F1754" s="19" t="s">
        <v>1427</v>
      </c>
      <c r="G1754" s="19" t="s">
        <v>1429</v>
      </c>
      <c r="H1754" s="19" t="s">
        <v>404</v>
      </c>
      <c r="I1754" s="19" t="s">
        <v>960</v>
      </c>
      <c r="J1754" s="19">
        <v>0</v>
      </c>
      <c r="K1754" s="19" t="s">
        <v>1159</v>
      </c>
      <c r="L1754" s="19">
        <v>2023</v>
      </c>
      <c r="M1754" s="20">
        <v>75</v>
      </c>
      <c r="N1754" s="19" t="s">
        <v>616</v>
      </c>
      <c r="O1754" s="20">
        <v>0.8</v>
      </c>
      <c r="P1754" s="20">
        <v>60</v>
      </c>
      <c r="Q1754" s="20">
        <v>1964.7699689853725</v>
      </c>
      <c r="R1754" s="21">
        <v>0.91</v>
      </c>
      <c r="S1754" s="20">
        <v>1964.7699689853725</v>
      </c>
    </row>
    <row r="1755" spans="2:19" ht="15" customHeight="1" x14ac:dyDescent="0.25">
      <c r="B1755" s="2" t="str">
        <f t="shared" si="54"/>
        <v>NSG_Business_C&amp;I_Rebates_Pipe Insulation_Steam - X-Large &gt;8"_CI</v>
      </c>
      <c r="C1755" s="2" t="str">
        <f t="shared" si="55"/>
        <v>NSG_Business_C&amp;I_Rebates_Pipe Insulation_Steam - X-Large &gt;8"_CI_2024</v>
      </c>
      <c r="D1755" s="19" t="s">
        <v>1787</v>
      </c>
      <c r="E1755" s="19" t="s">
        <v>3</v>
      </c>
      <c r="F1755" s="19" t="s">
        <v>1427</v>
      </c>
      <c r="G1755" s="19" t="s">
        <v>1429</v>
      </c>
      <c r="H1755" s="19" t="s">
        <v>404</v>
      </c>
      <c r="I1755" s="19" t="s">
        <v>960</v>
      </c>
      <c r="J1755" s="19">
        <v>0</v>
      </c>
      <c r="K1755" s="19" t="s">
        <v>1159</v>
      </c>
      <c r="L1755" s="19">
        <v>2024</v>
      </c>
      <c r="M1755" s="20">
        <v>75</v>
      </c>
      <c r="N1755" s="19" t="s">
        <v>616</v>
      </c>
      <c r="O1755" s="20">
        <v>0.7</v>
      </c>
      <c r="P1755" s="20">
        <v>52.5</v>
      </c>
      <c r="Q1755" s="20">
        <v>1719.1737228622007</v>
      </c>
      <c r="R1755" s="21">
        <v>0.91</v>
      </c>
      <c r="S1755" s="20">
        <v>1719.1737228622007</v>
      </c>
    </row>
    <row r="1756" spans="2:19" ht="15" customHeight="1" x14ac:dyDescent="0.25">
      <c r="B1756" s="2" t="str">
        <f t="shared" si="54"/>
        <v>NSG_Business_C&amp;I_Rebates_Pipe Insulation_Steam - X-Large &gt;8"_CI</v>
      </c>
      <c r="C1756" s="2" t="str">
        <f t="shared" si="55"/>
        <v>NSG_Business_C&amp;I_Rebates_Pipe Insulation_Steam - X-Large &gt;8"_CI_2025</v>
      </c>
      <c r="D1756" s="19" t="s">
        <v>1787</v>
      </c>
      <c r="E1756" s="19" t="s">
        <v>3</v>
      </c>
      <c r="F1756" s="19" t="s">
        <v>1427</v>
      </c>
      <c r="G1756" s="19" t="s">
        <v>1429</v>
      </c>
      <c r="H1756" s="19" t="s">
        <v>404</v>
      </c>
      <c r="I1756" s="19" t="s">
        <v>960</v>
      </c>
      <c r="J1756" s="19">
        <v>0</v>
      </c>
      <c r="K1756" s="19" t="s">
        <v>1159</v>
      </c>
      <c r="L1756" s="19">
        <v>2025</v>
      </c>
      <c r="M1756" s="20">
        <v>75</v>
      </c>
      <c r="N1756" s="19" t="s">
        <v>616</v>
      </c>
      <c r="O1756" s="20">
        <v>0.68</v>
      </c>
      <c r="P1756" s="20">
        <v>51.000000000000007</v>
      </c>
      <c r="Q1756" s="20">
        <v>1670.0544736375666</v>
      </c>
      <c r="R1756" s="21">
        <v>0.91</v>
      </c>
      <c r="S1756" s="20">
        <v>1670.0544736375666</v>
      </c>
    </row>
    <row r="1757" spans="2:19" ht="15" customHeight="1" x14ac:dyDescent="0.25">
      <c r="B1757" s="2" t="str">
        <f t="shared" si="54"/>
        <v>NSG_Business_C&amp;I_Rebates_Pipe Insulation_Steam Med Fitting_CI</v>
      </c>
      <c r="C1757" s="2" t="str">
        <f t="shared" si="55"/>
        <v>NSG_Business_C&amp;I_Rebates_Pipe Insulation_Steam Med Fitting_CI_2022</v>
      </c>
      <c r="D1757" s="19" t="s">
        <v>1787</v>
      </c>
      <c r="E1757" s="19" t="s">
        <v>3</v>
      </c>
      <c r="F1757" s="19" t="s">
        <v>1427</v>
      </c>
      <c r="G1757" s="19" t="s">
        <v>1429</v>
      </c>
      <c r="H1757" s="19" t="s">
        <v>404</v>
      </c>
      <c r="I1757" s="19" t="s">
        <v>962</v>
      </c>
      <c r="J1757" s="19">
        <v>0</v>
      </c>
      <c r="K1757" s="19" t="s">
        <v>1159</v>
      </c>
      <c r="L1757" s="19">
        <v>2022</v>
      </c>
      <c r="M1757" s="20">
        <v>1</v>
      </c>
      <c r="N1757" s="19" t="s">
        <v>1798</v>
      </c>
      <c r="O1757" s="20">
        <v>0.85</v>
      </c>
      <c r="P1757" s="20">
        <v>0.85</v>
      </c>
      <c r="Q1757" s="20">
        <v>12.505592312656541</v>
      </c>
      <c r="R1757" s="21">
        <v>0.91</v>
      </c>
      <c r="S1757" s="20">
        <v>12.505592312656541</v>
      </c>
    </row>
    <row r="1758" spans="2:19" ht="15" customHeight="1" x14ac:dyDescent="0.25">
      <c r="B1758" s="2" t="str">
        <f t="shared" si="54"/>
        <v>NSG_Business_C&amp;I_Rebates_Pipe Insulation_Steam Med Fitting_CI</v>
      </c>
      <c r="C1758" s="2" t="str">
        <f t="shared" si="55"/>
        <v>NSG_Business_C&amp;I_Rebates_Pipe Insulation_Steam Med Fitting_CI_2023</v>
      </c>
      <c r="D1758" s="19" t="s">
        <v>1787</v>
      </c>
      <c r="E1758" s="19" t="s">
        <v>3</v>
      </c>
      <c r="F1758" s="19" t="s">
        <v>1427</v>
      </c>
      <c r="G1758" s="19" t="s">
        <v>1429</v>
      </c>
      <c r="H1758" s="19" t="s">
        <v>404</v>
      </c>
      <c r="I1758" s="19" t="s">
        <v>962</v>
      </c>
      <c r="J1758" s="19">
        <v>0</v>
      </c>
      <c r="K1758" s="19" t="s">
        <v>1159</v>
      </c>
      <c r="L1758" s="19">
        <v>2023</v>
      </c>
      <c r="M1758" s="20">
        <v>1</v>
      </c>
      <c r="N1758" s="19" t="s">
        <v>1798</v>
      </c>
      <c r="O1758" s="20">
        <v>0.8</v>
      </c>
      <c r="P1758" s="20">
        <v>0.8</v>
      </c>
      <c r="Q1758" s="20">
        <v>11.769969235441451</v>
      </c>
      <c r="R1758" s="21">
        <v>0.91</v>
      </c>
      <c r="S1758" s="20">
        <v>11.769969235441451</v>
      </c>
    </row>
    <row r="1759" spans="2:19" ht="15" customHeight="1" x14ac:dyDescent="0.25">
      <c r="B1759" s="2" t="str">
        <f t="shared" si="54"/>
        <v>NSG_Business_C&amp;I_Rebates_Pipe Insulation_Steam Med Fitting_CI</v>
      </c>
      <c r="C1759" s="2" t="str">
        <f t="shared" si="55"/>
        <v>NSG_Business_C&amp;I_Rebates_Pipe Insulation_Steam Med Fitting_CI_2024</v>
      </c>
      <c r="D1759" s="19" t="s">
        <v>1787</v>
      </c>
      <c r="E1759" s="19" t="s">
        <v>3</v>
      </c>
      <c r="F1759" s="19" t="s">
        <v>1427</v>
      </c>
      <c r="G1759" s="19" t="s">
        <v>1429</v>
      </c>
      <c r="H1759" s="19" t="s">
        <v>404</v>
      </c>
      <c r="I1759" s="19" t="s">
        <v>962</v>
      </c>
      <c r="J1759" s="19">
        <v>0</v>
      </c>
      <c r="K1759" s="19" t="s">
        <v>1159</v>
      </c>
      <c r="L1759" s="19">
        <v>2024</v>
      </c>
      <c r="M1759" s="20">
        <v>1</v>
      </c>
      <c r="N1759" s="19" t="s">
        <v>1798</v>
      </c>
      <c r="O1759" s="20">
        <v>0.7</v>
      </c>
      <c r="P1759" s="20">
        <v>0.7</v>
      </c>
      <c r="Q1759" s="20">
        <v>10.298723081011268</v>
      </c>
      <c r="R1759" s="21">
        <v>0.91</v>
      </c>
      <c r="S1759" s="20">
        <v>10.298723081011268</v>
      </c>
    </row>
    <row r="1760" spans="2:19" ht="15" customHeight="1" x14ac:dyDescent="0.25">
      <c r="B1760" s="2" t="str">
        <f t="shared" si="54"/>
        <v>NSG_Business_C&amp;I_Rebates_Pipe Insulation_Steam Med Fitting_CI</v>
      </c>
      <c r="C1760" s="2" t="str">
        <f t="shared" si="55"/>
        <v>NSG_Business_C&amp;I_Rebates_Pipe Insulation_Steam Med Fitting_CI_2025</v>
      </c>
      <c r="D1760" s="19" t="s">
        <v>1787</v>
      </c>
      <c r="E1760" s="19" t="s">
        <v>3</v>
      </c>
      <c r="F1760" s="19" t="s">
        <v>1427</v>
      </c>
      <c r="G1760" s="19" t="s">
        <v>1429</v>
      </c>
      <c r="H1760" s="19" t="s">
        <v>404</v>
      </c>
      <c r="I1760" s="19" t="s">
        <v>962</v>
      </c>
      <c r="J1760" s="19">
        <v>0</v>
      </c>
      <c r="K1760" s="19" t="s">
        <v>1159</v>
      </c>
      <c r="L1760" s="19">
        <v>2025</v>
      </c>
      <c r="M1760" s="20">
        <v>1</v>
      </c>
      <c r="N1760" s="19" t="s">
        <v>1798</v>
      </c>
      <c r="O1760" s="20">
        <v>0.68</v>
      </c>
      <c r="P1760" s="20">
        <v>0.68</v>
      </c>
      <c r="Q1760" s="20">
        <v>10.004473850125233</v>
      </c>
      <c r="R1760" s="21">
        <v>0.91</v>
      </c>
      <c r="S1760" s="20">
        <v>10.004473850125233</v>
      </c>
    </row>
    <row r="1761" spans="2:19" ht="15" customHeight="1" x14ac:dyDescent="0.25">
      <c r="B1761" s="2" t="str">
        <f t="shared" si="54"/>
        <v>NSG_Business_C&amp;I_Rebates_Pipe Insulation_Steam Large Fitting_CI</v>
      </c>
      <c r="C1761" s="2" t="str">
        <f t="shared" si="55"/>
        <v>NSG_Business_C&amp;I_Rebates_Pipe Insulation_Steam Large Fitting_CI_2022</v>
      </c>
      <c r="D1761" s="19" t="s">
        <v>1787</v>
      </c>
      <c r="E1761" s="19" t="s">
        <v>3</v>
      </c>
      <c r="F1761" s="19" t="s">
        <v>1427</v>
      </c>
      <c r="G1761" s="19" t="s">
        <v>1429</v>
      </c>
      <c r="H1761" s="19" t="s">
        <v>404</v>
      </c>
      <c r="I1761" s="19" t="s">
        <v>963</v>
      </c>
      <c r="J1761" s="19">
        <v>0</v>
      </c>
      <c r="K1761" s="19" t="s">
        <v>1159</v>
      </c>
      <c r="L1761" s="19">
        <v>2022</v>
      </c>
      <c r="M1761" s="20">
        <v>1</v>
      </c>
      <c r="N1761" s="19" t="s">
        <v>1798</v>
      </c>
      <c r="O1761" s="20">
        <v>0</v>
      </c>
      <c r="P1761" s="20">
        <v>0</v>
      </c>
      <c r="Q1761" s="20">
        <v>0</v>
      </c>
      <c r="R1761" s="21">
        <v>0.91</v>
      </c>
      <c r="S1761" s="20">
        <v>0</v>
      </c>
    </row>
    <row r="1762" spans="2:19" ht="15" customHeight="1" x14ac:dyDescent="0.25">
      <c r="B1762" s="2" t="str">
        <f t="shared" si="54"/>
        <v>NSG_Business_C&amp;I_Rebates_Pipe Insulation_Steam Large Fitting_CI</v>
      </c>
      <c r="C1762" s="2" t="str">
        <f t="shared" si="55"/>
        <v>NSG_Business_C&amp;I_Rebates_Pipe Insulation_Steam Large Fitting_CI_2023</v>
      </c>
      <c r="D1762" s="19" t="s">
        <v>1787</v>
      </c>
      <c r="E1762" s="19" t="s">
        <v>3</v>
      </c>
      <c r="F1762" s="19" t="s">
        <v>1427</v>
      </c>
      <c r="G1762" s="19" t="s">
        <v>1429</v>
      </c>
      <c r="H1762" s="19" t="s">
        <v>404</v>
      </c>
      <c r="I1762" s="19" t="s">
        <v>963</v>
      </c>
      <c r="J1762" s="19">
        <v>0</v>
      </c>
      <c r="K1762" s="19" t="s">
        <v>1159</v>
      </c>
      <c r="L1762" s="19">
        <v>2023</v>
      </c>
      <c r="M1762" s="20">
        <v>1</v>
      </c>
      <c r="N1762" s="19" t="s">
        <v>1798</v>
      </c>
      <c r="O1762" s="20">
        <v>0</v>
      </c>
      <c r="P1762" s="20">
        <v>0</v>
      </c>
      <c r="Q1762" s="20">
        <v>0</v>
      </c>
      <c r="R1762" s="21">
        <v>0.91</v>
      </c>
      <c r="S1762" s="20">
        <v>0</v>
      </c>
    </row>
    <row r="1763" spans="2:19" ht="15" customHeight="1" x14ac:dyDescent="0.25">
      <c r="B1763" s="2" t="str">
        <f t="shared" si="54"/>
        <v>NSG_Business_C&amp;I_Rebates_Pipe Insulation_Steam Large Fitting_CI</v>
      </c>
      <c r="C1763" s="2" t="str">
        <f t="shared" si="55"/>
        <v>NSG_Business_C&amp;I_Rebates_Pipe Insulation_Steam Large Fitting_CI_2024</v>
      </c>
      <c r="D1763" s="19" t="s">
        <v>1787</v>
      </c>
      <c r="E1763" s="19" t="s">
        <v>3</v>
      </c>
      <c r="F1763" s="19" t="s">
        <v>1427</v>
      </c>
      <c r="G1763" s="19" t="s">
        <v>1429</v>
      </c>
      <c r="H1763" s="19" t="s">
        <v>404</v>
      </c>
      <c r="I1763" s="19" t="s">
        <v>963</v>
      </c>
      <c r="J1763" s="19">
        <v>0</v>
      </c>
      <c r="K1763" s="19" t="s">
        <v>1159</v>
      </c>
      <c r="L1763" s="19">
        <v>2024</v>
      </c>
      <c r="M1763" s="20">
        <v>1</v>
      </c>
      <c r="N1763" s="19" t="s">
        <v>1798</v>
      </c>
      <c r="O1763" s="20">
        <v>0</v>
      </c>
      <c r="P1763" s="20">
        <v>0</v>
      </c>
      <c r="Q1763" s="20">
        <v>0</v>
      </c>
      <c r="R1763" s="21">
        <v>0.91</v>
      </c>
      <c r="S1763" s="20">
        <v>0</v>
      </c>
    </row>
    <row r="1764" spans="2:19" ht="15" customHeight="1" x14ac:dyDescent="0.25">
      <c r="B1764" s="2" t="str">
        <f t="shared" si="54"/>
        <v>NSG_Business_C&amp;I_Rebates_Pipe Insulation_Steam Large Fitting_CI</v>
      </c>
      <c r="C1764" s="2" t="str">
        <f t="shared" si="55"/>
        <v>NSG_Business_C&amp;I_Rebates_Pipe Insulation_Steam Large Fitting_CI_2025</v>
      </c>
      <c r="D1764" s="19" t="s">
        <v>1787</v>
      </c>
      <c r="E1764" s="19" t="s">
        <v>3</v>
      </c>
      <c r="F1764" s="19" t="s">
        <v>1427</v>
      </c>
      <c r="G1764" s="19" t="s">
        <v>1429</v>
      </c>
      <c r="H1764" s="19" t="s">
        <v>404</v>
      </c>
      <c r="I1764" s="19" t="s">
        <v>963</v>
      </c>
      <c r="J1764" s="19">
        <v>0</v>
      </c>
      <c r="K1764" s="19" t="s">
        <v>1159</v>
      </c>
      <c r="L1764" s="19">
        <v>2025</v>
      </c>
      <c r="M1764" s="20">
        <v>1</v>
      </c>
      <c r="N1764" s="19" t="s">
        <v>1798</v>
      </c>
      <c r="O1764" s="20">
        <v>0</v>
      </c>
      <c r="P1764" s="20">
        <v>0</v>
      </c>
      <c r="Q1764" s="20">
        <v>0</v>
      </c>
      <c r="R1764" s="21">
        <v>0.91</v>
      </c>
      <c r="S1764" s="20">
        <v>0</v>
      </c>
    </row>
    <row r="1765" spans="2:19" ht="15" customHeight="1" x14ac:dyDescent="0.25">
      <c r="B1765" s="2" t="str">
        <f t="shared" si="54"/>
        <v>NSG_Business_C&amp;I_Rebates_Pipe Insulation_Steam X-Large Fitting_CI</v>
      </c>
      <c r="C1765" s="2" t="str">
        <f t="shared" si="55"/>
        <v>NSG_Business_C&amp;I_Rebates_Pipe Insulation_Steam X-Large Fitting_CI_2022</v>
      </c>
      <c r="D1765" s="19" t="s">
        <v>1787</v>
      </c>
      <c r="E1765" s="19" t="s">
        <v>3</v>
      </c>
      <c r="F1765" s="19" t="s">
        <v>1427</v>
      </c>
      <c r="G1765" s="19" t="s">
        <v>1429</v>
      </c>
      <c r="H1765" s="19" t="s">
        <v>404</v>
      </c>
      <c r="I1765" s="19" t="s">
        <v>964</v>
      </c>
      <c r="J1765" s="19">
        <v>0</v>
      </c>
      <c r="K1765" s="19" t="s">
        <v>1159</v>
      </c>
      <c r="L1765" s="19">
        <v>2022</v>
      </c>
      <c r="M1765" s="20">
        <v>1</v>
      </c>
      <c r="N1765" s="19" t="s">
        <v>1798</v>
      </c>
      <c r="O1765" s="20">
        <v>0</v>
      </c>
      <c r="P1765" s="20">
        <v>0</v>
      </c>
      <c r="Q1765" s="20">
        <v>0</v>
      </c>
      <c r="R1765" s="21">
        <v>0.91</v>
      </c>
      <c r="S1765" s="20">
        <v>0</v>
      </c>
    </row>
    <row r="1766" spans="2:19" ht="15" customHeight="1" x14ac:dyDescent="0.25">
      <c r="B1766" s="2" t="str">
        <f t="shared" si="54"/>
        <v>NSG_Business_C&amp;I_Rebates_Pipe Insulation_Steam X-Large Fitting_CI</v>
      </c>
      <c r="C1766" s="2" t="str">
        <f t="shared" si="55"/>
        <v>NSG_Business_C&amp;I_Rebates_Pipe Insulation_Steam X-Large Fitting_CI_2023</v>
      </c>
      <c r="D1766" s="19" t="s">
        <v>1787</v>
      </c>
      <c r="E1766" s="19" t="s">
        <v>3</v>
      </c>
      <c r="F1766" s="19" t="s">
        <v>1427</v>
      </c>
      <c r="G1766" s="19" t="s">
        <v>1429</v>
      </c>
      <c r="H1766" s="19" t="s">
        <v>404</v>
      </c>
      <c r="I1766" s="19" t="s">
        <v>964</v>
      </c>
      <c r="J1766" s="19">
        <v>0</v>
      </c>
      <c r="K1766" s="19" t="s">
        <v>1159</v>
      </c>
      <c r="L1766" s="19">
        <v>2023</v>
      </c>
      <c r="M1766" s="20">
        <v>1</v>
      </c>
      <c r="N1766" s="19" t="s">
        <v>1798</v>
      </c>
      <c r="O1766" s="20">
        <v>0</v>
      </c>
      <c r="P1766" s="20">
        <v>0</v>
      </c>
      <c r="Q1766" s="20">
        <v>0</v>
      </c>
      <c r="R1766" s="21">
        <v>0.91</v>
      </c>
      <c r="S1766" s="20">
        <v>0</v>
      </c>
    </row>
    <row r="1767" spans="2:19" ht="15" customHeight="1" x14ac:dyDescent="0.25">
      <c r="B1767" s="2" t="str">
        <f t="shared" si="54"/>
        <v>NSG_Business_C&amp;I_Rebates_Pipe Insulation_Steam X-Large Fitting_CI</v>
      </c>
      <c r="C1767" s="2" t="str">
        <f t="shared" si="55"/>
        <v>NSG_Business_C&amp;I_Rebates_Pipe Insulation_Steam X-Large Fitting_CI_2024</v>
      </c>
      <c r="D1767" s="19" t="s">
        <v>1787</v>
      </c>
      <c r="E1767" s="19" t="s">
        <v>3</v>
      </c>
      <c r="F1767" s="19" t="s">
        <v>1427</v>
      </c>
      <c r="G1767" s="19" t="s">
        <v>1429</v>
      </c>
      <c r="H1767" s="19" t="s">
        <v>404</v>
      </c>
      <c r="I1767" s="19" t="s">
        <v>964</v>
      </c>
      <c r="J1767" s="19">
        <v>0</v>
      </c>
      <c r="K1767" s="19" t="s">
        <v>1159</v>
      </c>
      <c r="L1767" s="19">
        <v>2024</v>
      </c>
      <c r="M1767" s="20">
        <v>1</v>
      </c>
      <c r="N1767" s="19" t="s">
        <v>1798</v>
      </c>
      <c r="O1767" s="20">
        <v>0</v>
      </c>
      <c r="P1767" s="20">
        <v>0</v>
      </c>
      <c r="Q1767" s="20">
        <v>0</v>
      </c>
      <c r="R1767" s="21">
        <v>0.91</v>
      </c>
      <c r="S1767" s="20">
        <v>0</v>
      </c>
    </row>
    <row r="1768" spans="2:19" ht="15" customHeight="1" x14ac:dyDescent="0.25">
      <c r="B1768" s="2" t="str">
        <f t="shared" si="54"/>
        <v>NSG_Business_C&amp;I_Rebates_Pipe Insulation_Steam X-Large Fitting_CI</v>
      </c>
      <c r="C1768" s="2" t="str">
        <f t="shared" si="55"/>
        <v>NSG_Business_C&amp;I_Rebates_Pipe Insulation_Steam X-Large Fitting_CI_2025</v>
      </c>
      <c r="D1768" s="19" t="s">
        <v>1787</v>
      </c>
      <c r="E1768" s="19" t="s">
        <v>3</v>
      </c>
      <c r="F1768" s="19" t="s">
        <v>1427</v>
      </c>
      <c r="G1768" s="19" t="s">
        <v>1429</v>
      </c>
      <c r="H1768" s="19" t="s">
        <v>404</v>
      </c>
      <c r="I1768" s="19" t="s">
        <v>964</v>
      </c>
      <c r="J1768" s="19">
        <v>0</v>
      </c>
      <c r="K1768" s="19" t="s">
        <v>1159</v>
      </c>
      <c r="L1768" s="19">
        <v>2025</v>
      </c>
      <c r="M1768" s="20">
        <v>1</v>
      </c>
      <c r="N1768" s="19" t="s">
        <v>1798</v>
      </c>
      <c r="O1768" s="20">
        <v>0</v>
      </c>
      <c r="P1768" s="20">
        <v>0</v>
      </c>
      <c r="Q1768" s="20">
        <v>0</v>
      </c>
      <c r="R1768" s="21">
        <v>0.91</v>
      </c>
      <c r="S1768" s="20">
        <v>0</v>
      </c>
    </row>
    <row r="1769" spans="2:19" ht="15" customHeight="1" x14ac:dyDescent="0.25">
      <c r="B1769" s="2" t="str">
        <f t="shared" si="54"/>
        <v>NSG_Business_C&amp;I_Rebates_Pipe Insulation_Steam Med Valve_CI</v>
      </c>
      <c r="C1769" s="2" t="str">
        <f t="shared" si="55"/>
        <v>NSG_Business_C&amp;I_Rebates_Pipe Insulation_Steam Med Valve_CI_2022</v>
      </c>
      <c r="D1769" s="19" t="s">
        <v>1787</v>
      </c>
      <c r="E1769" s="19" t="s">
        <v>3</v>
      </c>
      <c r="F1769" s="19" t="s">
        <v>1427</v>
      </c>
      <c r="G1769" s="19" t="s">
        <v>1429</v>
      </c>
      <c r="H1769" s="19" t="s">
        <v>404</v>
      </c>
      <c r="I1769" s="19" t="s">
        <v>966</v>
      </c>
      <c r="J1769" s="19">
        <v>0</v>
      </c>
      <c r="K1769" s="19" t="s">
        <v>1159</v>
      </c>
      <c r="L1769" s="19">
        <v>2022</v>
      </c>
      <c r="M1769" s="20">
        <v>1</v>
      </c>
      <c r="N1769" s="19" t="s">
        <v>1798</v>
      </c>
      <c r="O1769" s="20">
        <v>0</v>
      </c>
      <c r="P1769" s="20">
        <v>0</v>
      </c>
      <c r="Q1769" s="20">
        <v>0</v>
      </c>
      <c r="R1769" s="21">
        <v>0.91</v>
      </c>
      <c r="S1769" s="20">
        <v>0</v>
      </c>
    </row>
    <row r="1770" spans="2:19" ht="15" customHeight="1" x14ac:dyDescent="0.25">
      <c r="B1770" s="2" t="str">
        <f t="shared" si="54"/>
        <v>NSG_Business_C&amp;I_Rebates_Pipe Insulation_Steam Med Valve_CI</v>
      </c>
      <c r="C1770" s="2" t="str">
        <f t="shared" si="55"/>
        <v>NSG_Business_C&amp;I_Rebates_Pipe Insulation_Steam Med Valve_CI_2023</v>
      </c>
      <c r="D1770" s="19" t="s">
        <v>1787</v>
      </c>
      <c r="E1770" s="19" t="s">
        <v>3</v>
      </c>
      <c r="F1770" s="19" t="s">
        <v>1427</v>
      </c>
      <c r="G1770" s="19" t="s">
        <v>1429</v>
      </c>
      <c r="H1770" s="19" t="s">
        <v>404</v>
      </c>
      <c r="I1770" s="19" t="s">
        <v>966</v>
      </c>
      <c r="J1770" s="19">
        <v>0</v>
      </c>
      <c r="K1770" s="19" t="s">
        <v>1159</v>
      </c>
      <c r="L1770" s="19">
        <v>2023</v>
      </c>
      <c r="M1770" s="20">
        <v>1</v>
      </c>
      <c r="N1770" s="19" t="s">
        <v>1798</v>
      </c>
      <c r="O1770" s="20">
        <v>0</v>
      </c>
      <c r="P1770" s="20">
        <v>0</v>
      </c>
      <c r="Q1770" s="20">
        <v>0</v>
      </c>
      <c r="R1770" s="21">
        <v>0.91</v>
      </c>
      <c r="S1770" s="20">
        <v>0</v>
      </c>
    </row>
    <row r="1771" spans="2:19" ht="15" customHeight="1" x14ac:dyDescent="0.25">
      <c r="B1771" s="2" t="str">
        <f t="shared" si="54"/>
        <v>NSG_Business_C&amp;I_Rebates_Pipe Insulation_Steam Med Valve_CI</v>
      </c>
      <c r="C1771" s="2" t="str">
        <f t="shared" si="55"/>
        <v>NSG_Business_C&amp;I_Rebates_Pipe Insulation_Steam Med Valve_CI_2024</v>
      </c>
      <c r="D1771" s="19" t="s">
        <v>1787</v>
      </c>
      <c r="E1771" s="19" t="s">
        <v>3</v>
      </c>
      <c r="F1771" s="19" t="s">
        <v>1427</v>
      </c>
      <c r="G1771" s="19" t="s">
        <v>1429</v>
      </c>
      <c r="H1771" s="19" t="s">
        <v>404</v>
      </c>
      <c r="I1771" s="19" t="s">
        <v>966</v>
      </c>
      <c r="J1771" s="19">
        <v>0</v>
      </c>
      <c r="K1771" s="19" t="s">
        <v>1159</v>
      </c>
      <c r="L1771" s="19">
        <v>2024</v>
      </c>
      <c r="M1771" s="20">
        <v>1</v>
      </c>
      <c r="N1771" s="19" t="s">
        <v>1798</v>
      </c>
      <c r="O1771" s="20">
        <v>0</v>
      </c>
      <c r="P1771" s="20">
        <v>0</v>
      </c>
      <c r="Q1771" s="20">
        <v>0</v>
      </c>
      <c r="R1771" s="21">
        <v>0.91</v>
      </c>
      <c r="S1771" s="20">
        <v>0</v>
      </c>
    </row>
    <row r="1772" spans="2:19" ht="15" customHeight="1" x14ac:dyDescent="0.25">
      <c r="B1772" s="2" t="str">
        <f t="shared" si="54"/>
        <v>NSG_Business_C&amp;I_Rebates_Pipe Insulation_Steam Med Valve_CI</v>
      </c>
      <c r="C1772" s="2" t="str">
        <f t="shared" si="55"/>
        <v>NSG_Business_C&amp;I_Rebates_Pipe Insulation_Steam Med Valve_CI_2025</v>
      </c>
      <c r="D1772" s="19" t="s">
        <v>1787</v>
      </c>
      <c r="E1772" s="19" t="s">
        <v>3</v>
      </c>
      <c r="F1772" s="19" t="s">
        <v>1427</v>
      </c>
      <c r="G1772" s="19" t="s">
        <v>1429</v>
      </c>
      <c r="H1772" s="19" t="s">
        <v>404</v>
      </c>
      <c r="I1772" s="19" t="s">
        <v>966</v>
      </c>
      <c r="J1772" s="19">
        <v>0</v>
      </c>
      <c r="K1772" s="19" t="s">
        <v>1159</v>
      </c>
      <c r="L1772" s="19">
        <v>2025</v>
      </c>
      <c r="M1772" s="20">
        <v>1</v>
      </c>
      <c r="N1772" s="19" t="s">
        <v>1798</v>
      </c>
      <c r="O1772" s="20">
        <v>0</v>
      </c>
      <c r="P1772" s="20">
        <v>0</v>
      </c>
      <c r="Q1772" s="20">
        <v>0</v>
      </c>
      <c r="R1772" s="21">
        <v>0.91</v>
      </c>
      <c r="S1772" s="20">
        <v>0</v>
      </c>
    </row>
    <row r="1773" spans="2:19" ht="15" customHeight="1" x14ac:dyDescent="0.25">
      <c r="B1773" s="2" t="str">
        <f t="shared" si="54"/>
        <v>NSG_Business_C&amp;I_Rebates_Pipe Insulation_Steam Large Valve_CI</v>
      </c>
      <c r="C1773" s="2" t="str">
        <f t="shared" si="55"/>
        <v>NSG_Business_C&amp;I_Rebates_Pipe Insulation_Steam Large Valve_CI_2022</v>
      </c>
      <c r="D1773" s="19" t="s">
        <v>1787</v>
      </c>
      <c r="E1773" s="19" t="s">
        <v>3</v>
      </c>
      <c r="F1773" s="19" t="s">
        <v>1427</v>
      </c>
      <c r="G1773" s="19" t="s">
        <v>1429</v>
      </c>
      <c r="H1773" s="19" t="s">
        <v>404</v>
      </c>
      <c r="I1773" s="19" t="s">
        <v>967</v>
      </c>
      <c r="J1773" s="19">
        <v>0</v>
      </c>
      <c r="K1773" s="19" t="s">
        <v>1159</v>
      </c>
      <c r="L1773" s="19">
        <v>2022</v>
      </c>
      <c r="M1773" s="20">
        <v>1</v>
      </c>
      <c r="N1773" s="19" t="s">
        <v>1798</v>
      </c>
      <c r="O1773" s="20">
        <v>0</v>
      </c>
      <c r="P1773" s="20">
        <v>0</v>
      </c>
      <c r="Q1773" s="20">
        <v>0</v>
      </c>
      <c r="R1773" s="21">
        <v>0.91</v>
      </c>
      <c r="S1773" s="20">
        <v>0</v>
      </c>
    </row>
    <row r="1774" spans="2:19" ht="15" customHeight="1" x14ac:dyDescent="0.25">
      <c r="B1774" s="2" t="str">
        <f t="shared" si="54"/>
        <v>NSG_Business_C&amp;I_Rebates_Pipe Insulation_Steam Large Valve_CI</v>
      </c>
      <c r="C1774" s="2" t="str">
        <f t="shared" si="55"/>
        <v>NSG_Business_C&amp;I_Rebates_Pipe Insulation_Steam Large Valve_CI_2023</v>
      </c>
      <c r="D1774" s="19" t="s">
        <v>1787</v>
      </c>
      <c r="E1774" s="19" t="s">
        <v>3</v>
      </c>
      <c r="F1774" s="19" t="s">
        <v>1427</v>
      </c>
      <c r="G1774" s="19" t="s">
        <v>1429</v>
      </c>
      <c r="H1774" s="19" t="s">
        <v>404</v>
      </c>
      <c r="I1774" s="19" t="s">
        <v>967</v>
      </c>
      <c r="J1774" s="19">
        <v>0</v>
      </c>
      <c r="K1774" s="19" t="s">
        <v>1159</v>
      </c>
      <c r="L1774" s="19">
        <v>2023</v>
      </c>
      <c r="M1774" s="20">
        <v>1</v>
      </c>
      <c r="N1774" s="19" t="s">
        <v>1798</v>
      </c>
      <c r="O1774" s="20">
        <v>0</v>
      </c>
      <c r="P1774" s="20">
        <v>0</v>
      </c>
      <c r="Q1774" s="20">
        <v>0</v>
      </c>
      <c r="R1774" s="21">
        <v>0.91</v>
      </c>
      <c r="S1774" s="20">
        <v>0</v>
      </c>
    </row>
    <row r="1775" spans="2:19" ht="15" customHeight="1" x14ac:dyDescent="0.25">
      <c r="B1775" s="2" t="str">
        <f t="shared" si="54"/>
        <v>NSG_Business_C&amp;I_Rebates_Pipe Insulation_Steam Large Valve_CI</v>
      </c>
      <c r="C1775" s="2" t="str">
        <f t="shared" si="55"/>
        <v>NSG_Business_C&amp;I_Rebates_Pipe Insulation_Steam Large Valve_CI_2024</v>
      </c>
      <c r="D1775" s="19" t="s">
        <v>1787</v>
      </c>
      <c r="E1775" s="19" t="s">
        <v>3</v>
      </c>
      <c r="F1775" s="19" t="s">
        <v>1427</v>
      </c>
      <c r="G1775" s="19" t="s">
        <v>1429</v>
      </c>
      <c r="H1775" s="19" t="s">
        <v>404</v>
      </c>
      <c r="I1775" s="19" t="s">
        <v>967</v>
      </c>
      <c r="J1775" s="19">
        <v>0</v>
      </c>
      <c r="K1775" s="19" t="s">
        <v>1159</v>
      </c>
      <c r="L1775" s="19">
        <v>2024</v>
      </c>
      <c r="M1775" s="20">
        <v>1</v>
      </c>
      <c r="N1775" s="19" t="s">
        <v>1798</v>
      </c>
      <c r="O1775" s="20">
        <v>0</v>
      </c>
      <c r="P1775" s="20">
        <v>0</v>
      </c>
      <c r="Q1775" s="20">
        <v>0</v>
      </c>
      <c r="R1775" s="21">
        <v>0.91</v>
      </c>
      <c r="S1775" s="20">
        <v>0</v>
      </c>
    </row>
    <row r="1776" spans="2:19" ht="15" customHeight="1" x14ac:dyDescent="0.25">
      <c r="B1776" s="2" t="str">
        <f t="shared" si="54"/>
        <v>NSG_Business_C&amp;I_Rebates_Pipe Insulation_Steam Large Valve_CI</v>
      </c>
      <c r="C1776" s="2" t="str">
        <f t="shared" si="55"/>
        <v>NSG_Business_C&amp;I_Rebates_Pipe Insulation_Steam Large Valve_CI_2025</v>
      </c>
      <c r="D1776" s="19" t="s">
        <v>1787</v>
      </c>
      <c r="E1776" s="19" t="s">
        <v>3</v>
      </c>
      <c r="F1776" s="19" t="s">
        <v>1427</v>
      </c>
      <c r="G1776" s="19" t="s">
        <v>1429</v>
      </c>
      <c r="H1776" s="19" t="s">
        <v>404</v>
      </c>
      <c r="I1776" s="19" t="s">
        <v>967</v>
      </c>
      <c r="J1776" s="19">
        <v>0</v>
      </c>
      <c r="K1776" s="19" t="s">
        <v>1159</v>
      </c>
      <c r="L1776" s="19">
        <v>2025</v>
      </c>
      <c r="M1776" s="20">
        <v>1</v>
      </c>
      <c r="N1776" s="19" t="s">
        <v>1798</v>
      </c>
      <c r="O1776" s="20">
        <v>0</v>
      </c>
      <c r="P1776" s="20">
        <v>0</v>
      </c>
      <c r="Q1776" s="20">
        <v>0</v>
      </c>
      <c r="R1776" s="21">
        <v>0.91</v>
      </c>
      <c r="S1776" s="20">
        <v>0</v>
      </c>
    </row>
    <row r="1777" spans="2:19" ht="15" customHeight="1" x14ac:dyDescent="0.25">
      <c r="B1777" s="2" t="str">
        <f t="shared" si="54"/>
        <v>NSG_Business_C&amp;I_Rebates_Pipe Insulation_Steam X-Large Valve_CI</v>
      </c>
      <c r="C1777" s="2" t="str">
        <f t="shared" si="55"/>
        <v>NSG_Business_C&amp;I_Rebates_Pipe Insulation_Steam X-Large Valve_CI_2022</v>
      </c>
      <c r="D1777" s="19" t="s">
        <v>1787</v>
      </c>
      <c r="E1777" s="19" t="s">
        <v>3</v>
      </c>
      <c r="F1777" s="19" t="s">
        <v>1427</v>
      </c>
      <c r="G1777" s="19" t="s">
        <v>1429</v>
      </c>
      <c r="H1777" s="19" t="s">
        <v>404</v>
      </c>
      <c r="I1777" s="19" t="s">
        <v>968</v>
      </c>
      <c r="J1777" s="19">
        <v>0</v>
      </c>
      <c r="K1777" s="19" t="s">
        <v>1159</v>
      </c>
      <c r="L1777" s="19">
        <v>2022</v>
      </c>
      <c r="M1777" s="20">
        <v>1</v>
      </c>
      <c r="N1777" s="19" t="s">
        <v>1798</v>
      </c>
      <c r="O1777" s="20">
        <v>0</v>
      </c>
      <c r="P1777" s="20">
        <v>0</v>
      </c>
      <c r="Q1777" s="20">
        <v>0</v>
      </c>
      <c r="R1777" s="21">
        <v>0.91</v>
      </c>
      <c r="S1777" s="20">
        <v>0</v>
      </c>
    </row>
    <row r="1778" spans="2:19" ht="15" customHeight="1" x14ac:dyDescent="0.25">
      <c r="B1778" s="2" t="str">
        <f t="shared" si="54"/>
        <v>NSG_Business_C&amp;I_Rebates_Pipe Insulation_Steam X-Large Valve_CI</v>
      </c>
      <c r="C1778" s="2" t="str">
        <f t="shared" si="55"/>
        <v>NSG_Business_C&amp;I_Rebates_Pipe Insulation_Steam X-Large Valve_CI_2023</v>
      </c>
      <c r="D1778" s="19" t="s">
        <v>1787</v>
      </c>
      <c r="E1778" s="19" t="s">
        <v>3</v>
      </c>
      <c r="F1778" s="19" t="s">
        <v>1427</v>
      </c>
      <c r="G1778" s="19" t="s">
        <v>1429</v>
      </c>
      <c r="H1778" s="19" t="s">
        <v>404</v>
      </c>
      <c r="I1778" s="19" t="s">
        <v>968</v>
      </c>
      <c r="J1778" s="19">
        <v>0</v>
      </c>
      <c r="K1778" s="19" t="s">
        <v>1159</v>
      </c>
      <c r="L1778" s="19">
        <v>2023</v>
      </c>
      <c r="M1778" s="20">
        <v>1</v>
      </c>
      <c r="N1778" s="19" t="s">
        <v>1798</v>
      </c>
      <c r="O1778" s="20">
        <v>0</v>
      </c>
      <c r="P1778" s="20">
        <v>0</v>
      </c>
      <c r="Q1778" s="20">
        <v>0</v>
      </c>
      <c r="R1778" s="21">
        <v>0.91</v>
      </c>
      <c r="S1778" s="20">
        <v>0</v>
      </c>
    </row>
    <row r="1779" spans="2:19" ht="15" customHeight="1" x14ac:dyDescent="0.25">
      <c r="B1779" s="2" t="str">
        <f t="shared" si="54"/>
        <v>NSG_Business_C&amp;I_Rebates_Pipe Insulation_Steam X-Large Valve_CI</v>
      </c>
      <c r="C1779" s="2" t="str">
        <f t="shared" si="55"/>
        <v>NSG_Business_C&amp;I_Rebates_Pipe Insulation_Steam X-Large Valve_CI_2024</v>
      </c>
      <c r="D1779" s="19" t="s">
        <v>1787</v>
      </c>
      <c r="E1779" s="19" t="s">
        <v>3</v>
      </c>
      <c r="F1779" s="19" t="s">
        <v>1427</v>
      </c>
      <c r="G1779" s="19" t="s">
        <v>1429</v>
      </c>
      <c r="H1779" s="19" t="s">
        <v>404</v>
      </c>
      <c r="I1779" s="19" t="s">
        <v>968</v>
      </c>
      <c r="J1779" s="19">
        <v>0</v>
      </c>
      <c r="K1779" s="19" t="s">
        <v>1159</v>
      </c>
      <c r="L1779" s="19">
        <v>2024</v>
      </c>
      <c r="M1779" s="20">
        <v>1</v>
      </c>
      <c r="N1779" s="19" t="s">
        <v>1798</v>
      </c>
      <c r="O1779" s="20">
        <v>0</v>
      </c>
      <c r="P1779" s="20">
        <v>0</v>
      </c>
      <c r="Q1779" s="20">
        <v>0</v>
      </c>
      <c r="R1779" s="21">
        <v>0.91</v>
      </c>
      <c r="S1779" s="20">
        <v>0</v>
      </c>
    </row>
    <row r="1780" spans="2:19" ht="15" customHeight="1" x14ac:dyDescent="0.25">
      <c r="B1780" s="2" t="str">
        <f t="shared" si="54"/>
        <v>NSG_Business_C&amp;I_Rebates_Pipe Insulation_Steam X-Large Valve_CI</v>
      </c>
      <c r="C1780" s="2" t="str">
        <f t="shared" si="55"/>
        <v>NSG_Business_C&amp;I_Rebates_Pipe Insulation_Steam X-Large Valve_CI_2025</v>
      </c>
      <c r="D1780" s="19" t="s">
        <v>1787</v>
      </c>
      <c r="E1780" s="19" t="s">
        <v>3</v>
      </c>
      <c r="F1780" s="19" t="s">
        <v>1427</v>
      </c>
      <c r="G1780" s="19" t="s">
        <v>1429</v>
      </c>
      <c r="H1780" s="19" t="s">
        <v>404</v>
      </c>
      <c r="I1780" s="19" t="s">
        <v>968</v>
      </c>
      <c r="J1780" s="19">
        <v>0</v>
      </c>
      <c r="K1780" s="19" t="s">
        <v>1159</v>
      </c>
      <c r="L1780" s="19">
        <v>2025</v>
      </c>
      <c r="M1780" s="20">
        <v>1</v>
      </c>
      <c r="N1780" s="19" t="s">
        <v>1798</v>
      </c>
      <c r="O1780" s="20">
        <v>0</v>
      </c>
      <c r="P1780" s="20">
        <v>0</v>
      </c>
      <c r="Q1780" s="20">
        <v>0</v>
      </c>
      <c r="R1780" s="21">
        <v>0.91</v>
      </c>
      <c r="S1780" s="20">
        <v>0</v>
      </c>
    </row>
    <row r="1781" spans="2:19" ht="15" customHeight="1" x14ac:dyDescent="0.25">
      <c r="B1781" s="2" t="str">
        <f t="shared" si="54"/>
        <v>NSG_Business_C&amp;I_Rebates_Pre-Rinse Sprayer_0_CI</v>
      </c>
      <c r="C1781" s="2" t="str">
        <f t="shared" si="55"/>
        <v>NSG_Business_C&amp;I_Rebates_Pre-Rinse Sprayer_0_CI_2022</v>
      </c>
      <c r="D1781" s="19" t="s">
        <v>1787</v>
      </c>
      <c r="E1781" s="19" t="s">
        <v>3</v>
      </c>
      <c r="F1781" s="19" t="s">
        <v>1427</v>
      </c>
      <c r="G1781" s="19" t="s">
        <v>1429</v>
      </c>
      <c r="H1781" s="19" t="s">
        <v>1219</v>
      </c>
      <c r="I1781" s="19">
        <v>0</v>
      </c>
      <c r="J1781" s="19" t="s">
        <v>43</v>
      </c>
      <c r="K1781" s="19" t="s">
        <v>1159</v>
      </c>
      <c r="L1781" s="19">
        <v>2022</v>
      </c>
      <c r="M1781" s="20">
        <v>1</v>
      </c>
      <c r="N1781" s="19" t="s">
        <v>1798</v>
      </c>
      <c r="O1781" s="20">
        <v>0</v>
      </c>
      <c r="P1781" s="20">
        <v>0</v>
      </c>
      <c r="Q1781" s="20">
        <v>0</v>
      </c>
      <c r="R1781" s="21">
        <v>0.91</v>
      </c>
      <c r="S1781" s="20">
        <v>0</v>
      </c>
    </row>
    <row r="1782" spans="2:19" ht="15" customHeight="1" x14ac:dyDescent="0.25">
      <c r="B1782" s="2" t="str">
        <f t="shared" si="54"/>
        <v>NSG_Business_C&amp;I_Rebates_Pre-Rinse Sprayer_0_CI</v>
      </c>
      <c r="C1782" s="2" t="str">
        <f t="shared" si="55"/>
        <v>NSG_Business_C&amp;I_Rebates_Pre-Rinse Sprayer_0_CI_2023</v>
      </c>
      <c r="D1782" s="19" t="s">
        <v>1787</v>
      </c>
      <c r="E1782" s="19" t="s">
        <v>3</v>
      </c>
      <c r="F1782" s="19" t="s">
        <v>1427</v>
      </c>
      <c r="G1782" s="19" t="s">
        <v>1429</v>
      </c>
      <c r="H1782" s="19" t="s">
        <v>1219</v>
      </c>
      <c r="I1782" s="19">
        <v>0</v>
      </c>
      <c r="J1782" s="19" t="s">
        <v>43</v>
      </c>
      <c r="K1782" s="19" t="s">
        <v>1159</v>
      </c>
      <c r="L1782" s="19">
        <v>2023</v>
      </c>
      <c r="M1782" s="20">
        <v>1</v>
      </c>
      <c r="N1782" s="19" t="s">
        <v>1798</v>
      </c>
      <c r="O1782" s="20">
        <v>0</v>
      </c>
      <c r="P1782" s="20">
        <v>0</v>
      </c>
      <c r="Q1782" s="20">
        <v>0</v>
      </c>
      <c r="R1782" s="21">
        <v>0.91</v>
      </c>
      <c r="S1782" s="20">
        <v>0</v>
      </c>
    </row>
    <row r="1783" spans="2:19" ht="15" customHeight="1" x14ac:dyDescent="0.25">
      <c r="B1783" s="2" t="str">
        <f t="shared" si="54"/>
        <v>NSG_Business_C&amp;I_Rebates_Pre-Rinse Sprayer_0_CI</v>
      </c>
      <c r="C1783" s="2" t="str">
        <f t="shared" si="55"/>
        <v>NSG_Business_C&amp;I_Rebates_Pre-Rinse Sprayer_0_CI_2024</v>
      </c>
      <c r="D1783" s="19" t="s">
        <v>1787</v>
      </c>
      <c r="E1783" s="19" t="s">
        <v>3</v>
      </c>
      <c r="F1783" s="19" t="s">
        <v>1427</v>
      </c>
      <c r="G1783" s="19" t="s">
        <v>1429</v>
      </c>
      <c r="H1783" s="19" t="s">
        <v>1219</v>
      </c>
      <c r="I1783" s="19">
        <v>0</v>
      </c>
      <c r="J1783" s="19" t="s">
        <v>43</v>
      </c>
      <c r="K1783" s="19" t="s">
        <v>1159</v>
      </c>
      <c r="L1783" s="19">
        <v>2024</v>
      </c>
      <c r="M1783" s="20">
        <v>1</v>
      </c>
      <c r="N1783" s="19" t="s">
        <v>1798</v>
      </c>
      <c r="O1783" s="20">
        <v>0</v>
      </c>
      <c r="P1783" s="20">
        <v>0</v>
      </c>
      <c r="Q1783" s="20">
        <v>0</v>
      </c>
      <c r="R1783" s="21">
        <v>0.91</v>
      </c>
      <c r="S1783" s="20">
        <v>0</v>
      </c>
    </row>
    <row r="1784" spans="2:19" ht="15" customHeight="1" x14ac:dyDescent="0.25">
      <c r="B1784" s="2" t="str">
        <f t="shared" si="54"/>
        <v>NSG_Business_C&amp;I_Rebates_Pre-Rinse Sprayer_0_CI</v>
      </c>
      <c r="C1784" s="2" t="str">
        <f t="shared" si="55"/>
        <v>NSG_Business_C&amp;I_Rebates_Pre-Rinse Sprayer_0_CI_2025</v>
      </c>
      <c r="D1784" s="19" t="s">
        <v>1787</v>
      </c>
      <c r="E1784" s="19" t="s">
        <v>3</v>
      </c>
      <c r="F1784" s="19" t="s">
        <v>1427</v>
      </c>
      <c r="G1784" s="19" t="s">
        <v>1429</v>
      </c>
      <c r="H1784" s="19" t="s">
        <v>1219</v>
      </c>
      <c r="I1784" s="19">
        <v>0</v>
      </c>
      <c r="J1784" s="19" t="s">
        <v>43</v>
      </c>
      <c r="K1784" s="19" t="s">
        <v>1159</v>
      </c>
      <c r="L1784" s="19">
        <v>2025</v>
      </c>
      <c r="M1784" s="20">
        <v>1</v>
      </c>
      <c r="N1784" s="19" t="s">
        <v>1798</v>
      </c>
      <c r="O1784" s="20">
        <v>0</v>
      </c>
      <c r="P1784" s="20">
        <v>0</v>
      </c>
      <c r="Q1784" s="20">
        <v>0</v>
      </c>
      <c r="R1784" s="21">
        <v>0.91</v>
      </c>
      <c r="S1784" s="20">
        <v>0</v>
      </c>
    </row>
    <row r="1785" spans="2:19" ht="15" customHeight="1" x14ac:dyDescent="0.25">
      <c r="B1785" s="2" t="str">
        <f t="shared" si="54"/>
        <v>NSG_Business_C&amp;I_Rebates_Steam Boiler_ &gt;=1500MBH, &gt;=82% TE_CI</v>
      </c>
      <c r="C1785" s="2" t="str">
        <f t="shared" si="55"/>
        <v>NSG_Business_C&amp;I_Rebates_Steam Boiler_ &gt;=1500MBH, &gt;=82% TE_CI_2022</v>
      </c>
      <c r="D1785" s="19" t="s">
        <v>1787</v>
      </c>
      <c r="E1785" s="19" t="s">
        <v>3</v>
      </c>
      <c r="F1785" s="19" t="s">
        <v>1427</v>
      </c>
      <c r="G1785" s="19" t="s">
        <v>1429</v>
      </c>
      <c r="H1785" s="19" t="s">
        <v>938</v>
      </c>
      <c r="I1785" s="19" t="s">
        <v>939</v>
      </c>
      <c r="J1785" s="19" t="s">
        <v>942</v>
      </c>
      <c r="K1785" s="19" t="s">
        <v>1159</v>
      </c>
      <c r="L1785" s="19">
        <v>2022</v>
      </c>
      <c r="M1785" s="20">
        <v>1500</v>
      </c>
      <c r="N1785" s="19" t="s">
        <v>667</v>
      </c>
      <c r="O1785" s="20">
        <v>0.85</v>
      </c>
      <c r="P1785" s="20">
        <v>1275</v>
      </c>
      <c r="Q1785" s="20">
        <v>988.29499999999803</v>
      </c>
      <c r="R1785" s="21">
        <v>0.91</v>
      </c>
      <c r="S1785" s="20">
        <v>988.29499999999803</v>
      </c>
    </row>
    <row r="1786" spans="2:19" ht="15" customHeight="1" x14ac:dyDescent="0.25">
      <c r="B1786" s="2" t="str">
        <f t="shared" si="54"/>
        <v>NSG_Business_C&amp;I_Rebates_Steam Boiler_ &gt;=1500MBH, &gt;=82% TE_CI</v>
      </c>
      <c r="C1786" s="2" t="str">
        <f t="shared" si="55"/>
        <v>NSG_Business_C&amp;I_Rebates_Steam Boiler_ &gt;=1500MBH, &gt;=82% TE_CI_2023</v>
      </c>
      <c r="D1786" s="19" t="s">
        <v>1787</v>
      </c>
      <c r="E1786" s="19" t="s">
        <v>3</v>
      </c>
      <c r="F1786" s="19" t="s">
        <v>1427</v>
      </c>
      <c r="G1786" s="19" t="s">
        <v>1429</v>
      </c>
      <c r="H1786" s="19" t="s">
        <v>938</v>
      </c>
      <c r="I1786" s="19" t="s">
        <v>939</v>
      </c>
      <c r="J1786" s="19" t="s">
        <v>942</v>
      </c>
      <c r="K1786" s="19" t="s">
        <v>1159</v>
      </c>
      <c r="L1786" s="19">
        <v>2023</v>
      </c>
      <c r="M1786" s="20">
        <v>1500</v>
      </c>
      <c r="N1786" s="19" t="s">
        <v>667</v>
      </c>
      <c r="O1786" s="20">
        <v>0.8</v>
      </c>
      <c r="P1786" s="20">
        <v>1200</v>
      </c>
      <c r="Q1786" s="20">
        <v>930.15999999999815</v>
      </c>
      <c r="R1786" s="21">
        <v>0.91</v>
      </c>
      <c r="S1786" s="20">
        <v>930.15999999999815</v>
      </c>
    </row>
    <row r="1787" spans="2:19" ht="15" customHeight="1" x14ac:dyDescent="0.25">
      <c r="B1787" s="2" t="str">
        <f t="shared" si="54"/>
        <v>NSG_Business_C&amp;I_Rebates_Steam Boiler_ &gt;=1500MBH, &gt;=82% TE_CI</v>
      </c>
      <c r="C1787" s="2" t="str">
        <f t="shared" si="55"/>
        <v>NSG_Business_C&amp;I_Rebates_Steam Boiler_ &gt;=1500MBH, &gt;=82% TE_CI_2024</v>
      </c>
      <c r="D1787" s="19" t="s">
        <v>1787</v>
      </c>
      <c r="E1787" s="19" t="s">
        <v>3</v>
      </c>
      <c r="F1787" s="19" t="s">
        <v>1427</v>
      </c>
      <c r="G1787" s="19" t="s">
        <v>1429</v>
      </c>
      <c r="H1787" s="19" t="s">
        <v>938</v>
      </c>
      <c r="I1787" s="19" t="s">
        <v>939</v>
      </c>
      <c r="J1787" s="19" t="s">
        <v>942</v>
      </c>
      <c r="K1787" s="19" t="s">
        <v>1159</v>
      </c>
      <c r="L1787" s="19">
        <v>2024</v>
      </c>
      <c r="M1787" s="20">
        <v>1500</v>
      </c>
      <c r="N1787" s="19" t="s">
        <v>667</v>
      </c>
      <c r="O1787" s="20">
        <v>0.7</v>
      </c>
      <c r="P1787" s="20">
        <v>1050</v>
      </c>
      <c r="Q1787" s="20">
        <v>813.88999999999839</v>
      </c>
      <c r="R1787" s="21">
        <v>0.91</v>
      </c>
      <c r="S1787" s="20">
        <v>813.88999999999839</v>
      </c>
    </row>
    <row r="1788" spans="2:19" ht="15" customHeight="1" x14ac:dyDescent="0.25">
      <c r="B1788" s="2" t="str">
        <f t="shared" si="54"/>
        <v>NSG_Business_C&amp;I_Rebates_Steam Boiler_ &gt;=1500MBH, &gt;=82% TE_CI</v>
      </c>
      <c r="C1788" s="2" t="str">
        <f t="shared" si="55"/>
        <v>NSG_Business_C&amp;I_Rebates_Steam Boiler_ &gt;=1500MBH, &gt;=82% TE_CI_2025</v>
      </c>
      <c r="D1788" s="19" t="s">
        <v>1787</v>
      </c>
      <c r="E1788" s="19" t="s">
        <v>3</v>
      </c>
      <c r="F1788" s="19" t="s">
        <v>1427</v>
      </c>
      <c r="G1788" s="19" t="s">
        <v>1429</v>
      </c>
      <c r="H1788" s="19" t="s">
        <v>938</v>
      </c>
      <c r="I1788" s="19" t="s">
        <v>939</v>
      </c>
      <c r="J1788" s="19" t="s">
        <v>942</v>
      </c>
      <c r="K1788" s="19" t="s">
        <v>1159</v>
      </c>
      <c r="L1788" s="19">
        <v>2025</v>
      </c>
      <c r="M1788" s="20">
        <v>1500</v>
      </c>
      <c r="N1788" s="19" t="s">
        <v>667</v>
      </c>
      <c r="O1788" s="20">
        <v>0.68</v>
      </c>
      <c r="P1788" s="20">
        <v>1020.0000000000001</v>
      </c>
      <c r="Q1788" s="20">
        <v>790.63599999999849</v>
      </c>
      <c r="R1788" s="21">
        <v>0.91</v>
      </c>
      <c r="S1788" s="20">
        <v>790.63599999999849</v>
      </c>
    </row>
    <row r="1789" spans="2:19" ht="15" customHeight="1" x14ac:dyDescent="0.25">
      <c r="B1789" s="2" t="str">
        <f t="shared" si="54"/>
        <v>NSG_Business_C&amp;I_Rebates_Steam Boiler_&gt;=300MBH, &lt;1,500, &gt;=81% AFUE_CI</v>
      </c>
      <c r="C1789" s="2" t="str">
        <f t="shared" si="55"/>
        <v>NSG_Business_C&amp;I_Rebates_Steam Boiler_&gt;=300MBH, &lt;1,500, &gt;=81% AFUE_CI_2022</v>
      </c>
      <c r="D1789" s="19" t="s">
        <v>1787</v>
      </c>
      <c r="E1789" s="19" t="s">
        <v>3</v>
      </c>
      <c r="F1789" s="19" t="s">
        <v>1427</v>
      </c>
      <c r="G1789" s="19" t="s">
        <v>1429</v>
      </c>
      <c r="H1789" s="19" t="s">
        <v>938</v>
      </c>
      <c r="I1789" s="19" t="s">
        <v>1300</v>
      </c>
      <c r="J1789" s="19" t="s">
        <v>942</v>
      </c>
      <c r="K1789" s="19" t="s">
        <v>1159</v>
      </c>
      <c r="L1789" s="19">
        <v>2022</v>
      </c>
      <c r="M1789" s="20">
        <v>500</v>
      </c>
      <c r="N1789" s="19" t="s">
        <v>667</v>
      </c>
      <c r="O1789" s="20">
        <v>2.5499999999999998</v>
      </c>
      <c r="P1789" s="20">
        <v>1275</v>
      </c>
      <c r="Q1789" s="20">
        <v>840.05074999999783</v>
      </c>
      <c r="R1789" s="21">
        <v>0.91</v>
      </c>
      <c r="S1789" s="20">
        <v>840.05074999999783</v>
      </c>
    </row>
    <row r="1790" spans="2:19" ht="15" customHeight="1" x14ac:dyDescent="0.25">
      <c r="B1790" s="2" t="str">
        <f t="shared" si="54"/>
        <v>NSG_Business_C&amp;I_Rebates_Steam Boiler_&gt;=300MBH, &lt;1,500, &gt;=81% AFUE_CI</v>
      </c>
      <c r="C1790" s="2" t="str">
        <f t="shared" si="55"/>
        <v>NSG_Business_C&amp;I_Rebates_Steam Boiler_&gt;=300MBH, &lt;1,500, &gt;=81% AFUE_CI_2023</v>
      </c>
      <c r="D1790" s="19" t="s">
        <v>1787</v>
      </c>
      <c r="E1790" s="19" t="s">
        <v>3</v>
      </c>
      <c r="F1790" s="19" t="s">
        <v>1427</v>
      </c>
      <c r="G1790" s="19" t="s">
        <v>1429</v>
      </c>
      <c r="H1790" s="19" t="s">
        <v>938</v>
      </c>
      <c r="I1790" s="19" t="s">
        <v>1300</v>
      </c>
      <c r="J1790" s="19" t="s">
        <v>942</v>
      </c>
      <c r="K1790" s="19" t="s">
        <v>1159</v>
      </c>
      <c r="L1790" s="19">
        <v>2023</v>
      </c>
      <c r="M1790" s="20">
        <v>500</v>
      </c>
      <c r="N1790" s="19" t="s">
        <v>667</v>
      </c>
      <c r="O1790" s="20">
        <v>2.4000000000000004</v>
      </c>
      <c r="P1790" s="20">
        <v>1200.0000000000002</v>
      </c>
      <c r="Q1790" s="20">
        <v>790.63599999999815</v>
      </c>
      <c r="R1790" s="21">
        <v>0.91</v>
      </c>
      <c r="S1790" s="20">
        <v>790.63599999999815</v>
      </c>
    </row>
    <row r="1791" spans="2:19" ht="15" customHeight="1" x14ac:dyDescent="0.25">
      <c r="B1791" s="2" t="str">
        <f t="shared" si="54"/>
        <v>NSG_Business_C&amp;I_Rebates_Steam Boiler_&gt;=300MBH, &lt;1,500, &gt;=81% AFUE_CI</v>
      </c>
      <c r="C1791" s="2" t="str">
        <f t="shared" si="55"/>
        <v>NSG_Business_C&amp;I_Rebates_Steam Boiler_&gt;=300MBH, &lt;1,500, &gt;=81% AFUE_CI_2024</v>
      </c>
      <c r="D1791" s="19" t="s">
        <v>1787</v>
      </c>
      <c r="E1791" s="19" t="s">
        <v>3</v>
      </c>
      <c r="F1791" s="19" t="s">
        <v>1427</v>
      </c>
      <c r="G1791" s="19" t="s">
        <v>1429</v>
      </c>
      <c r="H1791" s="19" t="s">
        <v>938</v>
      </c>
      <c r="I1791" s="19" t="s">
        <v>1300</v>
      </c>
      <c r="J1791" s="19" t="s">
        <v>942</v>
      </c>
      <c r="K1791" s="19" t="s">
        <v>1159</v>
      </c>
      <c r="L1791" s="19">
        <v>2024</v>
      </c>
      <c r="M1791" s="20">
        <v>500</v>
      </c>
      <c r="N1791" s="19" t="s">
        <v>667</v>
      </c>
      <c r="O1791" s="20">
        <v>2.0999999999999996</v>
      </c>
      <c r="P1791" s="20">
        <v>1049.9999999999998</v>
      </c>
      <c r="Q1791" s="20">
        <v>691.80649999999821</v>
      </c>
      <c r="R1791" s="21">
        <v>0.91</v>
      </c>
      <c r="S1791" s="20">
        <v>691.80649999999821</v>
      </c>
    </row>
    <row r="1792" spans="2:19" ht="15" customHeight="1" x14ac:dyDescent="0.25">
      <c r="B1792" s="2" t="str">
        <f t="shared" si="54"/>
        <v>NSG_Business_C&amp;I_Rebates_Steam Boiler_&gt;=300MBH, &lt;1,500, &gt;=81% AFUE_CI</v>
      </c>
      <c r="C1792" s="2" t="str">
        <f t="shared" si="55"/>
        <v>NSG_Business_C&amp;I_Rebates_Steam Boiler_&gt;=300MBH, &lt;1,500, &gt;=81% AFUE_CI_2025</v>
      </c>
      <c r="D1792" s="19" t="s">
        <v>1787</v>
      </c>
      <c r="E1792" s="19" t="s">
        <v>3</v>
      </c>
      <c r="F1792" s="19" t="s">
        <v>1427</v>
      </c>
      <c r="G1792" s="19" t="s">
        <v>1429</v>
      </c>
      <c r="H1792" s="19" t="s">
        <v>938</v>
      </c>
      <c r="I1792" s="19" t="s">
        <v>1300</v>
      </c>
      <c r="J1792" s="19" t="s">
        <v>942</v>
      </c>
      <c r="K1792" s="19" t="s">
        <v>1159</v>
      </c>
      <c r="L1792" s="19">
        <v>2025</v>
      </c>
      <c r="M1792" s="20">
        <v>500</v>
      </c>
      <c r="N1792" s="19" t="s">
        <v>667</v>
      </c>
      <c r="O1792" s="20">
        <v>2.04</v>
      </c>
      <c r="P1792" s="20">
        <v>1020</v>
      </c>
      <c r="Q1792" s="20">
        <v>672.04059999999834</v>
      </c>
      <c r="R1792" s="21">
        <v>0.91</v>
      </c>
      <c r="S1792" s="20">
        <v>672.04059999999834</v>
      </c>
    </row>
    <row r="1793" spans="2:19" ht="15" customHeight="1" x14ac:dyDescent="0.25">
      <c r="B1793" s="2" t="str">
        <f t="shared" si="54"/>
        <v>NSG_Business_C&amp;I_Rebates_Steam Traps_Dry Cleaner/Industrial - No Audit_MF/CI/SMB</v>
      </c>
      <c r="C1793" s="2" t="str">
        <f t="shared" si="55"/>
        <v>NSG_Business_C&amp;I_Rebates_Steam Traps_Dry Cleaner/Industrial - No Audit_MF/CI/SMB_2022</v>
      </c>
      <c r="D1793" s="19" t="s">
        <v>1787</v>
      </c>
      <c r="E1793" s="19" t="s">
        <v>3</v>
      </c>
      <c r="F1793" s="19" t="s">
        <v>1427</v>
      </c>
      <c r="G1793" s="19" t="s">
        <v>1429</v>
      </c>
      <c r="H1793" s="19" t="s">
        <v>644</v>
      </c>
      <c r="I1793" s="19" t="s">
        <v>1274</v>
      </c>
      <c r="J1793" s="19" t="s">
        <v>37</v>
      </c>
      <c r="K1793" s="19" t="s">
        <v>662</v>
      </c>
      <c r="L1793" s="19">
        <v>2022</v>
      </c>
      <c r="M1793" s="20">
        <v>1</v>
      </c>
      <c r="N1793" s="19" t="s">
        <v>1798</v>
      </c>
      <c r="O1793" s="20">
        <v>0</v>
      </c>
      <c r="P1793" s="20">
        <v>0</v>
      </c>
      <c r="Q1793" s="20">
        <v>0</v>
      </c>
      <c r="R1793" s="21">
        <v>0.91</v>
      </c>
      <c r="S1793" s="20">
        <v>0</v>
      </c>
    </row>
    <row r="1794" spans="2:19" ht="15" customHeight="1" x14ac:dyDescent="0.25">
      <c r="B1794" s="2" t="str">
        <f t="shared" si="54"/>
        <v>NSG_Business_C&amp;I_Rebates_Steam Traps_Dry Cleaner/Industrial - No Audit_MF/CI/SMB</v>
      </c>
      <c r="C1794" s="2" t="str">
        <f t="shared" si="55"/>
        <v>NSG_Business_C&amp;I_Rebates_Steam Traps_Dry Cleaner/Industrial - No Audit_MF/CI/SMB_2023</v>
      </c>
      <c r="D1794" s="19" t="s">
        <v>1787</v>
      </c>
      <c r="E1794" s="19" t="s">
        <v>3</v>
      </c>
      <c r="F1794" s="19" t="s">
        <v>1427</v>
      </c>
      <c r="G1794" s="19" t="s">
        <v>1429</v>
      </c>
      <c r="H1794" s="19" t="s">
        <v>644</v>
      </c>
      <c r="I1794" s="19" t="s">
        <v>1274</v>
      </c>
      <c r="J1794" s="19" t="s">
        <v>37</v>
      </c>
      <c r="K1794" s="19" t="s">
        <v>662</v>
      </c>
      <c r="L1794" s="19">
        <v>2023</v>
      </c>
      <c r="M1794" s="20">
        <v>1</v>
      </c>
      <c r="N1794" s="19" t="s">
        <v>1798</v>
      </c>
      <c r="O1794" s="20">
        <v>0</v>
      </c>
      <c r="P1794" s="20">
        <v>0</v>
      </c>
      <c r="Q1794" s="20">
        <v>0</v>
      </c>
      <c r="R1794" s="21">
        <v>0.91</v>
      </c>
      <c r="S1794" s="20">
        <v>0</v>
      </c>
    </row>
    <row r="1795" spans="2:19" ht="15" customHeight="1" x14ac:dyDescent="0.25">
      <c r="B1795" s="2" t="str">
        <f t="shared" si="54"/>
        <v>NSG_Business_C&amp;I_Rebates_Steam Traps_Dry Cleaner/Industrial - No Audit_MF/CI/SMB</v>
      </c>
      <c r="C1795" s="2" t="str">
        <f t="shared" si="55"/>
        <v>NSG_Business_C&amp;I_Rebates_Steam Traps_Dry Cleaner/Industrial - No Audit_MF/CI/SMB_2024</v>
      </c>
      <c r="D1795" s="19" t="s">
        <v>1787</v>
      </c>
      <c r="E1795" s="19" t="s">
        <v>3</v>
      </c>
      <c r="F1795" s="19" t="s">
        <v>1427</v>
      </c>
      <c r="G1795" s="19" t="s">
        <v>1429</v>
      </c>
      <c r="H1795" s="19" t="s">
        <v>644</v>
      </c>
      <c r="I1795" s="19" t="s">
        <v>1274</v>
      </c>
      <c r="J1795" s="19" t="s">
        <v>37</v>
      </c>
      <c r="K1795" s="19" t="s">
        <v>662</v>
      </c>
      <c r="L1795" s="19">
        <v>2024</v>
      </c>
      <c r="M1795" s="20">
        <v>1</v>
      </c>
      <c r="N1795" s="19" t="s">
        <v>1798</v>
      </c>
      <c r="O1795" s="20">
        <v>0</v>
      </c>
      <c r="P1795" s="20">
        <v>0</v>
      </c>
      <c r="Q1795" s="20">
        <v>0</v>
      </c>
      <c r="R1795" s="21">
        <v>0.91</v>
      </c>
      <c r="S1795" s="20">
        <v>0</v>
      </c>
    </row>
    <row r="1796" spans="2:19" ht="15" customHeight="1" x14ac:dyDescent="0.25">
      <c r="B1796" s="2" t="str">
        <f t="shared" si="54"/>
        <v>NSG_Business_C&amp;I_Rebates_Steam Traps_Dry Cleaner/Industrial - No Audit_MF/CI/SMB</v>
      </c>
      <c r="C1796" s="2" t="str">
        <f t="shared" si="55"/>
        <v>NSG_Business_C&amp;I_Rebates_Steam Traps_Dry Cleaner/Industrial - No Audit_MF/CI/SMB_2025</v>
      </c>
      <c r="D1796" s="19" t="s">
        <v>1787</v>
      </c>
      <c r="E1796" s="19" t="s">
        <v>3</v>
      </c>
      <c r="F1796" s="19" t="s">
        <v>1427</v>
      </c>
      <c r="G1796" s="19" t="s">
        <v>1429</v>
      </c>
      <c r="H1796" s="19" t="s">
        <v>644</v>
      </c>
      <c r="I1796" s="19" t="s">
        <v>1274</v>
      </c>
      <c r="J1796" s="19" t="s">
        <v>37</v>
      </c>
      <c r="K1796" s="19" t="s">
        <v>662</v>
      </c>
      <c r="L1796" s="19">
        <v>2025</v>
      </c>
      <c r="M1796" s="20">
        <v>1</v>
      </c>
      <c r="N1796" s="19" t="s">
        <v>1798</v>
      </c>
      <c r="O1796" s="20">
        <v>0</v>
      </c>
      <c r="P1796" s="20">
        <v>0</v>
      </c>
      <c r="Q1796" s="20">
        <v>0</v>
      </c>
      <c r="R1796" s="21">
        <v>0.91</v>
      </c>
      <c r="S1796" s="20">
        <v>0</v>
      </c>
    </row>
    <row r="1797" spans="2:19" ht="15" customHeight="1" x14ac:dyDescent="0.25">
      <c r="B1797" s="2" t="str">
        <f t="shared" si="54"/>
        <v>NSG_Business_C&amp;I_Rebates_Steam Traps_Dry Cleaner/Industrial - Audit_MF/CI/SMB</v>
      </c>
      <c r="C1797" s="2" t="str">
        <f t="shared" si="55"/>
        <v>NSG_Business_C&amp;I_Rebates_Steam Traps_Dry Cleaner/Industrial - Audit_MF/CI/SMB_2022</v>
      </c>
      <c r="D1797" s="19" t="s">
        <v>1787</v>
      </c>
      <c r="E1797" s="19" t="s">
        <v>3</v>
      </c>
      <c r="F1797" s="19" t="s">
        <v>1427</v>
      </c>
      <c r="G1797" s="19" t="s">
        <v>1429</v>
      </c>
      <c r="H1797" s="19" t="s">
        <v>644</v>
      </c>
      <c r="I1797" s="19" t="s">
        <v>1275</v>
      </c>
      <c r="J1797" s="19" t="s">
        <v>37</v>
      </c>
      <c r="K1797" s="19" t="s">
        <v>662</v>
      </c>
      <c r="L1797" s="19">
        <v>2022</v>
      </c>
      <c r="M1797" s="20">
        <v>1</v>
      </c>
      <c r="N1797" s="19" t="s">
        <v>1798</v>
      </c>
      <c r="O1797" s="20">
        <v>0</v>
      </c>
      <c r="P1797" s="20">
        <v>0</v>
      </c>
      <c r="Q1797" s="20">
        <v>0</v>
      </c>
      <c r="R1797" s="21">
        <v>0.91</v>
      </c>
      <c r="S1797" s="20">
        <v>0</v>
      </c>
    </row>
    <row r="1798" spans="2:19" ht="15" customHeight="1" x14ac:dyDescent="0.25">
      <c r="B1798" s="2" t="str">
        <f t="shared" ref="B1798:B1861" si="56">D1798&amp;"_"&amp;E1798&amp;"_"&amp;F1798&amp;"_"&amp;G1798&amp;"_"&amp;H1798&amp;"_"&amp;I1798&amp;"_"&amp;K1798</f>
        <v>NSG_Business_C&amp;I_Rebates_Steam Traps_Dry Cleaner/Industrial - Audit_MF/CI/SMB</v>
      </c>
      <c r="C1798" s="2" t="str">
        <f t="shared" ref="C1798:C1861" si="57">D1798&amp;"_"&amp;E1798&amp;"_"&amp;F1798&amp;"_"&amp;G1798&amp;"_"&amp;H1798&amp;"_"&amp;I1798&amp;"_"&amp;K1798&amp;"_"&amp;L1798</f>
        <v>NSG_Business_C&amp;I_Rebates_Steam Traps_Dry Cleaner/Industrial - Audit_MF/CI/SMB_2023</v>
      </c>
      <c r="D1798" s="19" t="s">
        <v>1787</v>
      </c>
      <c r="E1798" s="19" t="s">
        <v>3</v>
      </c>
      <c r="F1798" s="19" t="s">
        <v>1427</v>
      </c>
      <c r="G1798" s="19" t="s">
        <v>1429</v>
      </c>
      <c r="H1798" s="19" t="s">
        <v>644</v>
      </c>
      <c r="I1798" s="19" t="s">
        <v>1275</v>
      </c>
      <c r="J1798" s="19" t="s">
        <v>37</v>
      </c>
      <c r="K1798" s="19" t="s">
        <v>662</v>
      </c>
      <c r="L1798" s="19">
        <v>2023</v>
      </c>
      <c r="M1798" s="20">
        <v>1</v>
      </c>
      <c r="N1798" s="19" t="s">
        <v>1798</v>
      </c>
      <c r="O1798" s="20">
        <v>0</v>
      </c>
      <c r="P1798" s="20">
        <v>0</v>
      </c>
      <c r="Q1798" s="20">
        <v>0</v>
      </c>
      <c r="R1798" s="21">
        <v>0.91</v>
      </c>
      <c r="S1798" s="20">
        <v>0</v>
      </c>
    </row>
    <row r="1799" spans="2:19" ht="15" customHeight="1" x14ac:dyDescent="0.25">
      <c r="B1799" s="2" t="str">
        <f t="shared" si="56"/>
        <v>NSG_Business_C&amp;I_Rebates_Steam Traps_Dry Cleaner/Industrial - Audit_MF/CI/SMB</v>
      </c>
      <c r="C1799" s="2" t="str">
        <f t="shared" si="57"/>
        <v>NSG_Business_C&amp;I_Rebates_Steam Traps_Dry Cleaner/Industrial - Audit_MF/CI/SMB_2024</v>
      </c>
      <c r="D1799" s="19" t="s">
        <v>1787</v>
      </c>
      <c r="E1799" s="19" t="s">
        <v>3</v>
      </c>
      <c r="F1799" s="19" t="s">
        <v>1427</v>
      </c>
      <c r="G1799" s="19" t="s">
        <v>1429</v>
      </c>
      <c r="H1799" s="19" t="s">
        <v>644</v>
      </c>
      <c r="I1799" s="19" t="s">
        <v>1275</v>
      </c>
      <c r="J1799" s="19" t="s">
        <v>37</v>
      </c>
      <c r="K1799" s="19" t="s">
        <v>662</v>
      </c>
      <c r="L1799" s="19">
        <v>2024</v>
      </c>
      <c r="M1799" s="20">
        <v>1</v>
      </c>
      <c r="N1799" s="19" t="s">
        <v>1798</v>
      </c>
      <c r="O1799" s="20">
        <v>0</v>
      </c>
      <c r="P1799" s="20">
        <v>0</v>
      </c>
      <c r="Q1799" s="20">
        <v>0</v>
      </c>
      <c r="R1799" s="21">
        <v>0.91</v>
      </c>
      <c r="S1799" s="20">
        <v>0</v>
      </c>
    </row>
    <row r="1800" spans="2:19" ht="15" customHeight="1" x14ac:dyDescent="0.25">
      <c r="B1800" s="2" t="str">
        <f t="shared" si="56"/>
        <v>NSG_Business_C&amp;I_Rebates_Steam Traps_Dry Cleaner/Industrial - Audit_MF/CI/SMB</v>
      </c>
      <c r="C1800" s="2" t="str">
        <f t="shared" si="57"/>
        <v>NSG_Business_C&amp;I_Rebates_Steam Traps_Dry Cleaner/Industrial - Audit_MF/CI/SMB_2025</v>
      </c>
      <c r="D1800" s="19" t="s">
        <v>1787</v>
      </c>
      <c r="E1800" s="19" t="s">
        <v>3</v>
      </c>
      <c r="F1800" s="19" t="s">
        <v>1427</v>
      </c>
      <c r="G1800" s="19" t="s">
        <v>1429</v>
      </c>
      <c r="H1800" s="19" t="s">
        <v>644</v>
      </c>
      <c r="I1800" s="19" t="s">
        <v>1275</v>
      </c>
      <c r="J1800" s="19" t="s">
        <v>37</v>
      </c>
      <c r="K1800" s="19" t="s">
        <v>662</v>
      </c>
      <c r="L1800" s="19">
        <v>2025</v>
      </c>
      <c r="M1800" s="20">
        <v>1</v>
      </c>
      <c r="N1800" s="19" t="s">
        <v>1798</v>
      </c>
      <c r="O1800" s="20">
        <v>0</v>
      </c>
      <c r="P1800" s="20">
        <v>0</v>
      </c>
      <c r="Q1800" s="20">
        <v>0</v>
      </c>
      <c r="R1800" s="21">
        <v>0.91</v>
      </c>
      <c r="S1800" s="20">
        <v>0</v>
      </c>
    </row>
    <row r="1801" spans="2:19" ht="15" customHeight="1" x14ac:dyDescent="0.25">
      <c r="B1801" s="2" t="str">
        <f t="shared" si="56"/>
        <v>NSG_Business_C&amp;I_Rebates_Steam Traps_HVAC Repair/Rep - Audit_CI</v>
      </c>
      <c r="C1801" s="2" t="str">
        <f t="shared" si="57"/>
        <v>NSG_Business_C&amp;I_Rebates_Steam Traps_HVAC Repair/Rep - Audit_CI_2022</v>
      </c>
      <c r="D1801" s="19" t="s">
        <v>1787</v>
      </c>
      <c r="E1801" s="19" t="s">
        <v>3</v>
      </c>
      <c r="F1801" s="19" t="s">
        <v>1427</v>
      </c>
      <c r="G1801" s="19" t="s">
        <v>1429</v>
      </c>
      <c r="H1801" s="19" t="s">
        <v>644</v>
      </c>
      <c r="I1801" s="19" t="s">
        <v>645</v>
      </c>
      <c r="J1801" s="19" t="s">
        <v>37</v>
      </c>
      <c r="K1801" s="19" t="s">
        <v>1159</v>
      </c>
      <c r="L1801" s="19">
        <v>2022</v>
      </c>
      <c r="M1801" s="20">
        <v>1</v>
      </c>
      <c r="N1801" s="19" t="s">
        <v>1798</v>
      </c>
      <c r="O1801" s="20">
        <v>170</v>
      </c>
      <c r="P1801" s="20">
        <v>170</v>
      </c>
      <c r="Q1801" s="20">
        <v>59368.806099274261</v>
      </c>
      <c r="R1801" s="21">
        <v>0.91</v>
      </c>
      <c r="S1801" s="20">
        <v>59368.806099274261</v>
      </c>
    </row>
    <row r="1802" spans="2:19" ht="15" customHeight="1" x14ac:dyDescent="0.25">
      <c r="B1802" s="2" t="str">
        <f t="shared" si="56"/>
        <v>NSG_Business_C&amp;I_Rebates_Steam Traps_HVAC Repair/Rep - Audit_CI</v>
      </c>
      <c r="C1802" s="2" t="str">
        <f t="shared" si="57"/>
        <v>NSG_Business_C&amp;I_Rebates_Steam Traps_HVAC Repair/Rep - Audit_CI_2023</v>
      </c>
      <c r="D1802" s="19" t="s">
        <v>1787</v>
      </c>
      <c r="E1802" s="19" t="s">
        <v>3</v>
      </c>
      <c r="F1802" s="19" t="s">
        <v>1427</v>
      </c>
      <c r="G1802" s="19" t="s">
        <v>1429</v>
      </c>
      <c r="H1802" s="19" t="s">
        <v>644</v>
      </c>
      <c r="I1802" s="19" t="s">
        <v>645</v>
      </c>
      <c r="J1802" s="19" t="s">
        <v>37</v>
      </c>
      <c r="K1802" s="19" t="s">
        <v>1159</v>
      </c>
      <c r="L1802" s="19">
        <v>2023</v>
      </c>
      <c r="M1802" s="20">
        <v>1</v>
      </c>
      <c r="N1802" s="19" t="s">
        <v>1798</v>
      </c>
      <c r="O1802" s="20">
        <v>160</v>
      </c>
      <c r="P1802" s="20">
        <v>160</v>
      </c>
      <c r="Q1802" s="20">
        <v>55876.523387552246</v>
      </c>
      <c r="R1802" s="21">
        <v>0.91</v>
      </c>
      <c r="S1802" s="20">
        <v>55876.523387552246</v>
      </c>
    </row>
    <row r="1803" spans="2:19" ht="15" customHeight="1" x14ac:dyDescent="0.25">
      <c r="B1803" s="2" t="str">
        <f t="shared" si="56"/>
        <v>NSG_Business_C&amp;I_Rebates_Steam Traps_HVAC Repair/Rep - Audit_CI</v>
      </c>
      <c r="C1803" s="2" t="str">
        <f t="shared" si="57"/>
        <v>NSG_Business_C&amp;I_Rebates_Steam Traps_HVAC Repair/Rep - Audit_CI_2024</v>
      </c>
      <c r="D1803" s="19" t="s">
        <v>1787</v>
      </c>
      <c r="E1803" s="19" t="s">
        <v>3</v>
      </c>
      <c r="F1803" s="19" t="s">
        <v>1427</v>
      </c>
      <c r="G1803" s="19" t="s">
        <v>1429</v>
      </c>
      <c r="H1803" s="19" t="s">
        <v>644</v>
      </c>
      <c r="I1803" s="19" t="s">
        <v>645</v>
      </c>
      <c r="J1803" s="19" t="s">
        <v>37</v>
      </c>
      <c r="K1803" s="19" t="s">
        <v>1159</v>
      </c>
      <c r="L1803" s="19">
        <v>2024</v>
      </c>
      <c r="M1803" s="20">
        <v>1</v>
      </c>
      <c r="N1803" s="19" t="s">
        <v>1798</v>
      </c>
      <c r="O1803" s="20">
        <v>140</v>
      </c>
      <c r="P1803" s="20">
        <v>140</v>
      </c>
      <c r="Q1803" s="20">
        <v>48891.957964108216</v>
      </c>
      <c r="R1803" s="21">
        <v>0.91</v>
      </c>
      <c r="S1803" s="20">
        <v>48891.957964108216</v>
      </c>
    </row>
    <row r="1804" spans="2:19" ht="15" customHeight="1" x14ac:dyDescent="0.25">
      <c r="B1804" s="2" t="str">
        <f t="shared" si="56"/>
        <v>NSG_Business_C&amp;I_Rebates_Steam Traps_HVAC Repair/Rep - Audit_CI</v>
      </c>
      <c r="C1804" s="2" t="str">
        <f t="shared" si="57"/>
        <v>NSG_Business_C&amp;I_Rebates_Steam Traps_HVAC Repair/Rep - Audit_CI_2025</v>
      </c>
      <c r="D1804" s="19" t="s">
        <v>1787</v>
      </c>
      <c r="E1804" s="19" t="s">
        <v>3</v>
      </c>
      <c r="F1804" s="19" t="s">
        <v>1427</v>
      </c>
      <c r="G1804" s="19" t="s">
        <v>1429</v>
      </c>
      <c r="H1804" s="19" t="s">
        <v>644</v>
      </c>
      <c r="I1804" s="19" t="s">
        <v>645</v>
      </c>
      <c r="J1804" s="19" t="s">
        <v>37</v>
      </c>
      <c r="K1804" s="19" t="s">
        <v>1159</v>
      </c>
      <c r="L1804" s="19">
        <v>2025</v>
      </c>
      <c r="M1804" s="20">
        <v>1</v>
      </c>
      <c r="N1804" s="19" t="s">
        <v>1798</v>
      </c>
      <c r="O1804" s="20">
        <v>136</v>
      </c>
      <c r="P1804" s="20">
        <v>136</v>
      </c>
      <c r="Q1804" s="20">
        <v>47495.044879419409</v>
      </c>
      <c r="R1804" s="21">
        <v>0.91</v>
      </c>
      <c r="S1804" s="20">
        <v>47495.044879419409</v>
      </c>
    </row>
    <row r="1805" spans="2:19" ht="15" customHeight="1" x14ac:dyDescent="0.25">
      <c r="B1805" s="2" t="str">
        <f t="shared" si="56"/>
        <v>NSG_Business_C&amp;I_Rebates_Steam Traps_HVAC Repair/Rep - No Audit_CI</v>
      </c>
      <c r="C1805" s="2" t="str">
        <f t="shared" si="57"/>
        <v>NSG_Business_C&amp;I_Rebates_Steam Traps_HVAC Repair/Rep - No Audit_CI_2022</v>
      </c>
      <c r="D1805" s="19" t="s">
        <v>1787</v>
      </c>
      <c r="E1805" s="19" t="s">
        <v>3</v>
      </c>
      <c r="F1805" s="19" t="s">
        <v>1427</v>
      </c>
      <c r="G1805" s="19" t="s">
        <v>1429</v>
      </c>
      <c r="H1805" s="19" t="s">
        <v>644</v>
      </c>
      <c r="I1805" s="19" t="s">
        <v>660</v>
      </c>
      <c r="J1805" s="19" t="s">
        <v>37</v>
      </c>
      <c r="K1805" s="19" t="s">
        <v>1159</v>
      </c>
      <c r="L1805" s="19">
        <v>2022</v>
      </c>
      <c r="M1805" s="20">
        <v>1</v>
      </c>
      <c r="N1805" s="19" t="s">
        <v>1798</v>
      </c>
      <c r="O1805" s="20">
        <v>0</v>
      </c>
      <c r="P1805" s="20">
        <v>0</v>
      </c>
      <c r="Q1805" s="20">
        <v>0</v>
      </c>
      <c r="R1805" s="21">
        <v>0.91</v>
      </c>
      <c r="S1805" s="20">
        <v>0</v>
      </c>
    </row>
    <row r="1806" spans="2:19" ht="15" customHeight="1" x14ac:dyDescent="0.25">
      <c r="B1806" s="2" t="str">
        <f t="shared" si="56"/>
        <v>NSG_Business_C&amp;I_Rebates_Steam Traps_HVAC Repair/Rep - No Audit_CI</v>
      </c>
      <c r="C1806" s="2" t="str">
        <f t="shared" si="57"/>
        <v>NSG_Business_C&amp;I_Rebates_Steam Traps_HVAC Repair/Rep - No Audit_CI_2023</v>
      </c>
      <c r="D1806" s="19" t="s">
        <v>1787</v>
      </c>
      <c r="E1806" s="19" t="s">
        <v>3</v>
      </c>
      <c r="F1806" s="19" t="s">
        <v>1427</v>
      </c>
      <c r="G1806" s="19" t="s">
        <v>1429</v>
      </c>
      <c r="H1806" s="19" t="s">
        <v>644</v>
      </c>
      <c r="I1806" s="19" t="s">
        <v>660</v>
      </c>
      <c r="J1806" s="19" t="s">
        <v>37</v>
      </c>
      <c r="K1806" s="19" t="s">
        <v>1159</v>
      </c>
      <c r="L1806" s="19">
        <v>2023</v>
      </c>
      <c r="M1806" s="20">
        <v>1</v>
      </c>
      <c r="N1806" s="19" t="s">
        <v>1798</v>
      </c>
      <c r="O1806" s="20">
        <v>0</v>
      </c>
      <c r="P1806" s="20">
        <v>0</v>
      </c>
      <c r="Q1806" s="20">
        <v>0</v>
      </c>
      <c r="R1806" s="21">
        <v>0.91</v>
      </c>
      <c r="S1806" s="20">
        <v>0</v>
      </c>
    </row>
    <row r="1807" spans="2:19" ht="15" customHeight="1" x14ac:dyDescent="0.25">
      <c r="B1807" s="2" t="str">
        <f t="shared" si="56"/>
        <v>NSG_Business_C&amp;I_Rebates_Steam Traps_HVAC Repair/Rep - No Audit_CI</v>
      </c>
      <c r="C1807" s="2" t="str">
        <f t="shared" si="57"/>
        <v>NSG_Business_C&amp;I_Rebates_Steam Traps_HVAC Repair/Rep - No Audit_CI_2024</v>
      </c>
      <c r="D1807" s="19" t="s">
        <v>1787</v>
      </c>
      <c r="E1807" s="19" t="s">
        <v>3</v>
      </c>
      <c r="F1807" s="19" t="s">
        <v>1427</v>
      </c>
      <c r="G1807" s="19" t="s">
        <v>1429</v>
      </c>
      <c r="H1807" s="19" t="s">
        <v>644</v>
      </c>
      <c r="I1807" s="19" t="s">
        <v>660</v>
      </c>
      <c r="J1807" s="19" t="s">
        <v>37</v>
      </c>
      <c r="K1807" s="19" t="s">
        <v>1159</v>
      </c>
      <c r="L1807" s="19">
        <v>2024</v>
      </c>
      <c r="M1807" s="20">
        <v>1</v>
      </c>
      <c r="N1807" s="19" t="s">
        <v>1798</v>
      </c>
      <c r="O1807" s="20">
        <v>0</v>
      </c>
      <c r="P1807" s="20">
        <v>0</v>
      </c>
      <c r="Q1807" s="20">
        <v>0</v>
      </c>
      <c r="R1807" s="21">
        <v>0.91</v>
      </c>
      <c r="S1807" s="20">
        <v>0</v>
      </c>
    </row>
    <row r="1808" spans="2:19" ht="15" customHeight="1" x14ac:dyDescent="0.25">
      <c r="B1808" s="2" t="str">
        <f t="shared" si="56"/>
        <v>NSG_Business_C&amp;I_Rebates_Steam Traps_HVAC Repair/Rep - No Audit_CI</v>
      </c>
      <c r="C1808" s="2" t="str">
        <f t="shared" si="57"/>
        <v>NSG_Business_C&amp;I_Rebates_Steam Traps_HVAC Repair/Rep - No Audit_CI_2025</v>
      </c>
      <c r="D1808" s="19" t="s">
        <v>1787</v>
      </c>
      <c r="E1808" s="19" t="s">
        <v>3</v>
      </c>
      <c r="F1808" s="19" t="s">
        <v>1427</v>
      </c>
      <c r="G1808" s="19" t="s">
        <v>1429</v>
      </c>
      <c r="H1808" s="19" t="s">
        <v>644</v>
      </c>
      <c r="I1808" s="19" t="s">
        <v>660</v>
      </c>
      <c r="J1808" s="19" t="s">
        <v>37</v>
      </c>
      <c r="K1808" s="19" t="s">
        <v>1159</v>
      </c>
      <c r="L1808" s="19">
        <v>2025</v>
      </c>
      <c r="M1808" s="20">
        <v>1</v>
      </c>
      <c r="N1808" s="19" t="s">
        <v>1798</v>
      </c>
      <c r="O1808" s="20">
        <v>0</v>
      </c>
      <c r="P1808" s="20">
        <v>0</v>
      </c>
      <c r="Q1808" s="20">
        <v>0</v>
      </c>
      <c r="R1808" s="21">
        <v>0.91</v>
      </c>
      <c r="S1808" s="20">
        <v>0</v>
      </c>
    </row>
    <row r="1809" spans="2:19" ht="15" customHeight="1" x14ac:dyDescent="0.25">
      <c r="B1809" s="2" t="str">
        <f t="shared" si="56"/>
        <v>NSG_Business_C&amp;I_Rebates_Steam Traps_Industrial/Process Audit - psig ≤ 15_CI/SMB</v>
      </c>
      <c r="C1809" s="2" t="str">
        <f t="shared" si="57"/>
        <v>NSG_Business_C&amp;I_Rebates_Steam Traps_Industrial/Process Audit - psig ≤ 15_CI/SMB_2022</v>
      </c>
      <c r="D1809" s="19" t="s">
        <v>1787</v>
      </c>
      <c r="E1809" s="19" t="s">
        <v>3</v>
      </c>
      <c r="F1809" s="19" t="s">
        <v>1427</v>
      </c>
      <c r="G1809" s="19" t="s">
        <v>1429</v>
      </c>
      <c r="H1809" s="19" t="s">
        <v>644</v>
      </c>
      <c r="I1809" s="19" t="s">
        <v>1383</v>
      </c>
      <c r="J1809" s="19" t="s">
        <v>37</v>
      </c>
      <c r="K1809" s="19" t="s">
        <v>970</v>
      </c>
      <c r="L1809" s="19">
        <v>2022</v>
      </c>
      <c r="M1809" s="20">
        <v>1</v>
      </c>
      <c r="N1809" s="19" t="s">
        <v>1798</v>
      </c>
      <c r="O1809" s="20">
        <v>25.5</v>
      </c>
      <c r="P1809" s="20">
        <v>25.5</v>
      </c>
      <c r="Q1809" s="20">
        <v>18305.750264861854</v>
      </c>
      <c r="R1809" s="21">
        <v>0.91</v>
      </c>
      <c r="S1809" s="20">
        <v>18305.750264861854</v>
      </c>
    </row>
    <row r="1810" spans="2:19" ht="15" customHeight="1" x14ac:dyDescent="0.25">
      <c r="B1810" s="2" t="str">
        <f t="shared" si="56"/>
        <v>NSG_Business_C&amp;I_Rebates_Steam Traps_Industrial/Process Audit - psig ≤ 15_CI/SMB</v>
      </c>
      <c r="C1810" s="2" t="str">
        <f t="shared" si="57"/>
        <v>NSG_Business_C&amp;I_Rebates_Steam Traps_Industrial/Process Audit - psig ≤ 15_CI/SMB_2023</v>
      </c>
      <c r="D1810" s="19" t="s">
        <v>1787</v>
      </c>
      <c r="E1810" s="19" t="s">
        <v>3</v>
      </c>
      <c r="F1810" s="19" t="s">
        <v>1427</v>
      </c>
      <c r="G1810" s="19" t="s">
        <v>1429</v>
      </c>
      <c r="H1810" s="19" t="s">
        <v>644</v>
      </c>
      <c r="I1810" s="19" t="s">
        <v>1383</v>
      </c>
      <c r="J1810" s="19" t="s">
        <v>37</v>
      </c>
      <c r="K1810" s="19" t="s">
        <v>970</v>
      </c>
      <c r="L1810" s="19">
        <v>2023</v>
      </c>
      <c r="M1810" s="20">
        <v>1</v>
      </c>
      <c r="N1810" s="19" t="s">
        <v>1798</v>
      </c>
      <c r="O1810" s="20">
        <v>24</v>
      </c>
      <c r="P1810" s="20">
        <v>24</v>
      </c>
      <c r="Q1810" s="20">
        <v>17228.941425752335</v>
      </c>
      <c r="R1810" s="21">
        <v>0.91</v>
      </c>
      <c r="S1810" s="20">
        <v>17228.941425752335</v>
      </c>
    </row>
    <row r="1811" spans="2:19" ht="15" customHeight="1" x14ac:dyDescent="0.25">
      <c r="B1811" s="2" t="str">
        <f t="shared" si="56"/>
        <v>NSG_Business_C&amp;I_Rebates_Steam Traps_Industrial/Process Audit - psig ≤ 15_CI/SMB</v>
      </c>
      <c r="C1811" s="2" t="str">
        <f t="shared" si="57"/>
        <v>NSG_Business_C&amp;I_Rebates_Steam Traps_Industrial/Process Audit - psig ≤ 15_CI/SMB_2024</v>
      </c>
      <c r="D1811" s="19" t="s">
        <v>1787</v>
      </c>
      <c r="E1811" s="19" t="s">
        <v>3</v>
      </c>
      <c r="F1811" s="19" t="s">
        <v>1427</v>
      </c>
      <c r="G1811" s="19" t="s">
        <v>1429</v>
      </c>
      <c r="H1811" s="19" t="s">
        <v>644</v>
      </c>
      <c r="I1811" s="19" t="s">
        <v>1383</v>
      </c>
      <c r="J1811" s="19" t="s">
        <v>37</v>
      </c>
      <c r="K1811" s="19" t="s">
        <v>970</v>
      </c>
      <c r="L1811" s="19">
        <v>2024</v>
      </c>
      <c r="M1811" s="20">
        <v>1</v>
      </c>
      <c r="N1811" s="19" t="s">
        <v>1798</v>
      </c>
      <c r="O1811" s="20">
        <v>21</v>
      </c>
      <c r="P1811" s="20">
        <v>21</v>
      </c>
      <c r="Q1811" s="20">
        <v>15075.323747533293</v>
      </c>
      <c r="R1811" s="21">
        <v>0.91</v>
      </c>
      <c r="S1811" s="20">
        <v>15075.323747533293</v>
      </c>
    </row>
    <row r="1812" spans="2:19" ht="15" customHeight="1" x14ac:dyDescent="0.25">
      <c r="B1812" s="2" t="str">
        <f t="shared" si="56"/>
        <v>NSG_Business_C&amp;I_Rebates_Steam Traps_Industrial/Process Audit - psig ≤ 15_CI/SMB</v>
      </c>
      <c r="C1812" s="2" t="str">
        <f t="shared" si="57"/>
        <v>NSG_Business_C&amp;I_Rebates_Steam Traps_Industrial/Process Audit - psig ≤ 15_CI/SMB_2025</v>
      </c>
      <c r="D1812" s="19" t="s">
        <v>1787</v>
      </c>
      <c r="E1812" s="19" t="s">
        <v>3</v>
      </c>
      <c r="F1812" s="19" t="s">
        <v>1427</v>
      </c>
      <c r="G1812" s="19" t="s">
        <v>1429</v>
      </c>
      <c r="H1812" s="19" t="s">
        <v>644</v>
      </c>
      <c r="I1812" s="19" t="s">
        <v>1383</v>
      </c>
      <c r="J1812" s="19" t="s">
        <v>37</v>
      </c>
      <c r="K1812" s="19" t="s">
        <v>970</v>
      </c>
      <c r="L1812" s="19">
        <v>2025</v>
      </c>
      <c r="M1812" s="20">
        <v>1</v>
      </c>
      <c r="N1812" s="19" t="s">
        <v>1798</v>
      </c>
      <c r="O1812" s="20">
        <v>20.400000000000002</v>
      </c>
      <c r="P1812" s="20">
        <v>20.400000000000002</v>
      </c>
      <c r="Q1812" s="20">
        <v>14644.600211889487</v>
      </c>
      <c r="R1812" s="21">
        <v>0.91</v>
      </c>
      <c r="S1812" s="20">
        <v>14644.600211889487</v>
      </c>
    </row>
    <row r="1813" spans="2:19" ht="15" customHeight="1" x14ac:dyDescent="0.25">
      <c r="B1813" s="2" t="str">
        <f t="shared" si="56"/>
        <v>NSG_Business_C&amp;I_Rebates_Steam Traps_Industrial/Process Audit - 15 &lt; psig &lt; 30_CI/SMB</v>
      </c>
      <c r="C1813" s="2" t="str">
        <f t="shared" si="57"/>
        <v>NSG_Business_C&amp;I_Rebates_Steam Traps_Industrial/Process Audit - 15 &lt; psig &lt; 30_CI/SMB_2022</v>
      </c>
      <c r="D1813" s="19" t="s">
        <v>1787</v>
      </c>
      <c r="E1813" s="19" t="s">
        <v>3</v>
      </c>
      <c r="F1813" s="19" t="s">
        <v>1427</v>
      </c>
      <c r="G1813" s="19" t="s">
        <v>1429</v>
      </c>
      <c r="H1813" s="19" t="s">
        <v>644</v>
      </c>
      <c r="I1813" s="19" t="s">
        <v>1384</v>
      </c>
      <c r="J1813" s="19" t="s">
        <v>37</v>
      </c>
      <c r="K1813" s="19" t="s">
        <v>970</v>
      </c>
      <c r="L1813" s="19">
        <v>2022</v>
      </c>
      <c r="M1813" s="20">
        <v>1</v>
      </c>
      <c r="N1813" s="19" t="s">
        <v>1798</v>
      </c>
      <c r="O1813" s="20">
        <v>6.8</v>
      </c>
      <c r="P1813" s="20">
        <v>6.8</v>
      </c>
      <c r="Q1813" s="20">
        <v>4691.5586340550726</v>
      </c>
      <c r="R1813" s="21">
        <v>0.91</v>
      </c>
      <c r="S1813" s="20">
        <v>4691.5586340550726</v>
      </c>
    </row>
    <row r="1814" spans="2:19" ht="15" customHeight="1" x14ac:dyDescent="0.25">
      <c r="B1814" s="2" t="str">
        <f t="shared" si="56"/>
        <v>NSG_Business_C&amp;I_Rebates_Steam Traps_Industrial/Process Audit - 15 &lt; psig &lt; 30_CI/SMB</v>
      </c>
      <c r="C1814" s="2" t="str">
        <f t="shared" si="57"/>
        <v>NSG_Business_C&amp;I_Rebates_Steam Traps_Industrial/Process Audit - 15 &lt; psig &lt; 30_CI/SMB_2023</v>
      </c>
      <c r="D1814" s="19" t="s">
        <v>1787</v>
      </c>
      <c r="E1814" s="19" t="s">
        <v>3</v>
      </c>
      <c r="F1814" s="19" t="s">
        <v>1427</v>
      </c>
      <c r="G1814" s="19" t="s">
        <v>1429</v>
      </c>
      <c r="H1814" s="19" t="s">
        <v>644</v>
      </c>
      <c r="I1814" s="19" t="s">
        <v>1384</v>
      </c>
      <c r="J1814" s="19" t="s">
        <v>37</v>
      </c>
      <c r="K1814" s="19" t="s">
        <v>970</v>
      </c>
      <c r="L1814" s="19">
        <v>2023</v>
      </c>
      <c r="M1814" s="20">
        <v>1</v>
      </c>
      <c r="N1814" s="19" t="s">
        <v>1798</v>
      </c>
      <c r="O1814" s="20">
        <v>6.4</v>
      </c>
      <c r="P1814" s="20">
        <v>6.4</v>
      </c>
      <c r="Q1814" s="20">
        <v>4415.5845967577152</v>
      </c>
      <c r="R1814" s="21">
        <v>0.91</v>
      </c>
      <c r="S1814" s="20">
        <v>4415.5845967577152</v>
      </c>
    </row>
    <row r="1815" spans="2:19" ht="15" customHeight="1" x14ac:dyDescent="0.25">
      <c r="B1815" s="2" t="str">
        <f t="shared" si="56"/>
        <v>NSG_Business_C&amp;I_Rebates_Steam Traps_Industrial/Process Audit - 15 &lt; psig &lt; 30_CI/SMB</v>
      </c>
      <c r="C1815" s="2" t="str">
        <f t="shared" si="57"/>
        <v>NSG_Business_C&amp;I_Rebates_Steam Traps_Industrial/Process Audit - 15 &lt; psig &lt; 30_CI/SMB_2024</v>
      </c>
      <c r="D1815" s="19" t="s">
        <v>1787</v>
      </c>
      <c r="E1815" s="19" t="s">
        <v>3</v>
      </c>
      <c r="F1815" s="19" t="s">
        <v>1427</v>
      </c>
      <c r="G1815" s="19" t="s">
        <v>1429</v>
      </c>
      <c r="H1815" s="19" t="s">
        <v>644</v>
      </c>
      <c r="I1815" s="19" t="s">
        <v>1384</v>
      </c>
      <c r="J1815" s="19" t="s">
        <v>37</v>
      </c>
      <c r="K1815" s="19" t="s">
        <v>970</v>
      </c>
      <c r="L1815" s="19">
        <v>2024</v>
      </c>
      <c r="M1815" s="20">
        <v>1</v>
      </c>
      <c r="N1815" s="19" t="s">
        <v>1798</v>
      </c>
      <c r="O1815" s="20">
        <v>5.6</v>
      </c>
      <c r="P1815" s="20">
        <v>5.6</v>
      </c>
      <c r="Q1815" s="20">
        <v>3863.6365221630008</v>
      </c>
      <c r="R1815" s="21">
        <v>0.91</v>
      </c>
      <c r="S1815" s="20">
        <v>3863.6365221630008</v>
      </c>
    </row>
    <row r="1816" spans="2:19" ht="15" customHeight="1" x14ac:dyDescent="0.25">
      <c r="B1816" s="2" t="str">
        <f t="shared" si="56"/>
        <v>NSG_Business_C&amp;I_Rebates_Steam Traps_Industrial/Process Audit - 15 &lt; psig &lt; 30_CI/SMB</v>
      </c>
      <c r="C1816" s="2" t="str">
        <f t="shared" si="57"/>
        <v>NSG_Business_C&amp;I_Rebates_Steam Traps_Industrial/Process Audit - 15 &lt; psig &lt; 30_CI/SMB_2025</v>
      </c>
      <c r="D1816" s="19" t="s">
        <v>1787</v>
      </c>
      <c r="E1816" s="19" t="s">
        <v>3</v>
      </c>
      <c r="F1816" s="19" t="s">
        <v>1427</v>
      </c>
      <c r="G1816" s="19" t="s">
        <v>1429</v>
      </c>
      <c r="H1816" s="19" t="s">
        <v>644</v>
      </c>
      <c r="I1816" s="19" t="s">
        <v>1384</v>
      </c>
      <c r="J1816" s="19" t="s">
        <v>37</v>
      </c>
      <c r="K1816" s="19" t="s">
        <v>970</v>
      </c>
      <c r="L1816" s="19">
        <v>2025</v>
      </c>
      <c r="M1816" s="20">
        <v>1</v>
      </c>
      <c r="N1816" s="19" t="s">
        <v>1798</v>
      </c>
      <c r="O1816" s="20">
        <v>5.44</v>
      </c>
      <c r="P1816" s="20">
        <v>5.44</v>
      </c>
      <c r="Q1816" s="20">
        <v>3753.2469072440585</v>
      </c>
      <c r="R1816" s="21">
        <v>0.91</v>
      </c>
      <c r="S1816" s="20">
        <v>3753.2469072440585</v>
      </c>
    </row>
    <row r="1817" spans="2:19" ht="15" customHeight="1" x14ac:dyDescent="0.25">
      <c r="B1817" s="2" t="str">
        <f t="shared" si="56"/>
        <v>NSG_Business_C&amp;I_Rebates_Steam Traps_Industrial/Process Audit - 30 ≤ psig &lt; 75_CI/SMB</v>
      </c>
      <c r="C1817" s="2" t="str">
        <f t="shared" si="57"/>
        <v>NSG_Business_C&amp;I_Rebates_Steam Traps_Industrial/Process Audit - 30 ≤ psig &lt; 75_CI/SMB_2022</v>
      </c>
      <c r="D1817" s="19" t="s">
        <v>1787</v>
      </c>
      <c r="E1817" s="19" t="s">
        <v>3</v>
      </c>
      <c r="F1817" s="19" t="s">
        <v>1427</v>
      </c>
      <c r="G1817" s="19" t="s">
        <v>1429</v>
      </c>
      <c r="H1817" s="19" t="s">
        <v>644</v>
      </c>
      <c r="I1817" s="19" t="s">
        <v>1385</v>
      </c>
      <c r="J1817" s="19" t="s">
        <v>37</v>
      </c>
      <c r="K1817" s="19" t="s">
        <v>970</v>
      </c>
      <c r="L1817" s="19">
        <v>2022</v>
      </c>
      <c r="M1817" s="20">
        <v>1</v>
      </c>
      <c r="N1817" s="19" t="s">
        <v>1798</v>
      </c>
      <c r="O1817" s="20">
        <v>34</v>
      </c>
      <c r="P1817" s="20">
        <v>34</v>
      </c>
      <c r="Q1817" s="20">
        <v>85940.914384922813</v>
      </c>
      <c r="R1817" s="21">
        <v>0.91</v>
      </c>
      <c r="S1817" s="20">
        <v>85940.914384922813</v>
      </c>
    </row>
    <row r="1818" spans="2:19" ht="15" customHeight="1" x14ac:dyDescent="0.25">
      <c r="B1818" s="2" t="str">
        <f t="shared" si="56"/>
        <v>NSG_Business_C&amp;I_Rebates_Steam Traps_Industrial/Process Audit - 30 ≤ psig &lt; 75_CI/SMB</v>
      </c>
      <c r="C1818" s="2" t="str">
        <f t="shared" si="57"/>
        <v>NSG_Business_C&amp;I_Rebates_Steam Traps_Industrial/Process Audit - 30 ≤ psig &lt; 75_CI/SMB_2023</v>
      </c>
      <c r="D1818" s="19" t="s">
        <v>1787</v>
      </c>
      <c r="E1818" s="19" t="s">
        <v>3</v>
      </c>
      <c r="F1818" s="19" t="s">
        <v>1427</v>
      </c>
      <c r="G1818" s="19" t="s">
        <v>1429</v>
      </c>
      <c r="H1818" s="19" t="s">
        <v>644</v>
      </c>
      <c r="I1818" s="19" t="s">
        <v>1385</v>
      </c>
      <c r="J1818" s="19" t="s">
        <v>37</v>
      </c>
      <c r="K1818" s="19" t="s">
        <v>970</v>
      </c>
      <c r="L1818" s="19">
        <v>2023</v>
      </c>
      <c r="M1818" s="20">
        <v>1</v>
      </c>
      <c r="N1818" s="19" t="s">
        <v>1798</v>
      </c>
      <c r="O1818" s="20">
        <v>32</v>
      </c>
      <c r="P1818" s="20">
        <v>32</v>
      </c>
      <c r="Q1818" s="20">
        <v>80885.566479927351</v>
      </c>
      <c r="R1818" s="21">
        <v>0.91</v>
      </c>
      <c r="S1818" s="20">
        <v>80885.566479927351</v>
      </c>
    </row>
    <row r="1819" spans="2:19" ht="15" customHeight="1" x14ac:dyDescent="0.25">
      <c r="B1819" s="2" t="str">
        <f t="shared" si="56"/>
        <v>NSG_Business_C&amp;I_Rebates_Steam Traps_Industrial/Process Audit - 30 ≤ psig &lt; 75_CI/SMB</v>
      </c>
      <c r="C1819" s="2" t="str">
        <f t="shared" si="57"/>
        <v>NSG_Business_C&amp;I_Rebates_Steam Traps_Industrial/Process Audit - 30 ≤ psig &lt; 75_CI/SMB_2024</v>
      </c>
      <c r="D1819" s="19" t="s">
        <v>1787</v>
      </c>
      <c r="E1819" s="19" t="s">
        <v>3</v>
      </c>
      <c r="F1819" s="19" t="s">
        <v>1427</v>
      </c>
      <c r="G1819" s="19" t="s">
        <v>1429</v>
      </c>
      <c r="H1819" s="19" t="s">
        <v>644</v>
      </c>
      <c r="I1819" s="19" t="s">
        <v>1385</v>
      </c>
      <c r="J1819" s="19" t="s">
        <v>37</v>
      </c>
      <c r="K1819" s="19" t="s">
        <v>970</v>
      </c>
      <c r="L1819" s="19">
        <v>2024</v>
      </c>
      <c r="M1819" s="20">
        <v>1</v>
      </c>
      <c r="N1819" s="19" t="s">
        <v>1798</v>
      </c>
      <c r="O1819" s="20">
        <v>28</v>
      </c>
      <c r="P1819" s="20">
        <v>28</v>
      </c>
      <c r="Q1819" s="20">
        <v>70774.870669936441</v>
      </c>
      <c r="R1819" s="21">
        <v>0.91</v>
      </c>
      <c r="S1819" s="20">
        <v>70774.870669936441</v>
      </c>
    </row>
    <row r="1820" spans="2:19" ht="15" customHeight="1" x14ac:dyDescent="0.25">
      <c r="B1820" s="2" t="str">
        <f t="shared" si="56"/>
        <v>NSG_Business_C&amp;I_Rebates_Steam Traps_Industrial/Process Audit - 30 ≤ psig &lt; 75_CI/SMB</v>
      </c>
      <c r="C1820" s="2" t="str">
        <f t="shared" si="57"/>
        <v>NSG_Business_C&amp;I_Rebates_Steam Traps_Industrial/Process Audit - 30 ≤ psig &lt; 75_CI/SMB_2025</v>
      </c>
      <c r="D1820" s="19" t="s">
        <v>1787</v>
      </c>
      <c r="E1820" s="19" t="s">
        <v>3</v>
      </c>
      <c r="F1820" s="19" t="s">
        <v>1427</v>
      </c>
      <c r="G1820" s="19" t="s">
        <v>1429</v>
      </c>
      <c r="H1820" s="19" t="s">
        <v>644</v>
      </c>
      <c r="I1820" s="19" t="s">
        <v>1385</v>
      </c>
      <c r="J1820" s="19" t="s">
        <v>37</v>
      </c>
      <c r="K1820" s="19" t="s">
        <v>970</v>
      </c>
      <c r="L1820" s="19">
        <v>2025</v>
      </c>
      <c r="M1820" s="20">
        <v>1</v>
      </c>
      <c r="N1820" s="19" t="s">
        <v>1798</v>
      </c>
      <c r="O1820" s="20">
        <v>27.200000000000003</v>
      </c>
      <c r="P1820" s="20">
        <v>27.200000000000003</v>
      </c>
      <c r="Q1820" s="20">
        <v>68752.731507938268</v>
      </c>
      <c r="R1820" s="21">
        <v>0.91</v>
      </c>
      <c r="S1820" s="20">
        <v>68752.731507938268</v>
      </c>
    </row>
    <row r="1821" spans="2:19" ht="15" customHeight="1" x14ac:dyDescent="0.25">
      <c r="B1821" s="2" t="str">
        <f t="shared" si="56"/>
        <v>NSG_Business_C&amp;I_Rebates_Steam Traps_Industrial/Process Audit - 75 ≤ psig &lt; 125_CI/SMB</v>
      </c>
      <c r="C1821" s="2" t="str">
        <f t="shared" si="57"/>
        <v>NSG_Business_C&amp;I_Rebates_Steam Traps_Industrial/Process Audit - 75 ≤ psig &lt; 125_CI/SMB_2022</v>
      </c>
      <c r="D1821" s="19" t="s">
        <v>1787</v>
      </c>
      <c r="E1821" s="19" t="s">
        <v>3</v>
      </c>
      <c r="F1821" s="19" t="s">
        <v>1427</v>
      </c>
      <c r="G1821" s="19" t="s">
        <v>1429</v>
      </c>
      <c r="H1821" s="19" t="s">
        <v>644</v>
      </c>
      <c r="I1821" s="19" t="s">
        <v>1386</v>
      </c>
      <c r="J1821" s="19" t="s">
        <v>37</v>
      </c>
      <c r="K1821" s="19" t="s">
        <v>970</v>
      </c>
      <c r="L1821" s="19">
        <v>2022</v>
      </c>
      <c r="M1821" s="20">
        <v>1</v>
      </c>
      <c r="N1821" s="19" t="s">
        <v>1798</v>
      </c>
      <c r="O1821" s="20">
        <v>12.75</v>
      </c>
      <c r="P1821" s="20">
        <v>12.75</v>
      </c>
      <c r="Q1821" s="20">
        <v>60956.428058435464</v>
      </c>
      <c r="R1821" s="21">
        <v>0.91</v>
      </c>
      <c r="S1821" s="20">
        <v>60956.428058435464</v>
      </c>
    </row>
    <row r="1822" spans="2:19" ht="15" customHeight="1" x14ac:dyDescent="0.25">
      <c r="B1822" s="2" t="str">
        <f t="shared" si="56"/>
        <v>NSG_Business_C&amp;I_Rebates_Steam Traps_Industrial/Process Audit - 75 ≤ psig &lt; 125_CI/SMB</v>
      </c>
      <c r="C1822" s="2" t="str">
        <f t="shared" si="57"/>
        <v>NSG_Business_C&amp;I_Rebates_Steam Traps_Industrial/Process Audit - 75 ≤ psig &lt; 125_CI/SMB_2023</v>
      </c>
      <c r="D1822" s="19" t="s">
        <v>1787</v>
      </c>
      <c r="E1822" s="19" t="s">
        <v>3</v>
      </c>
      <c r="F1822" s="19" t="s">
        <v>1427</v>
      </c>
      <c r="G1822" s="19" t="s">
        <v>1429</v>
      </c>
      <c r="H1822" s="19" t="s">
        <v>644</v>
      </c>
      <c r="I1822" s="19" t="s">
        <v>1386</v>
      </c>
      <c r="J1822" s="19" t="s">
        <v>37</v>
      </c>
      <c r="K1822" s="19" t="s">
        <v>970</v>
      </c>
      <c r="L1822" s="19">
        <v>2023</v>
      </c>
      <c r="M1822" s="20">
        <v>1</v>
      </c>
      <c r="N1822" s="19" t="s">
        <v>1798</v>
      </c>
      <c r="O1822" s="20">
        <v>12</v>
      </c>
      <c r="P1822" s="20">
        <v>12</v>
      </c>
      <c r="Q1822" s="20">
        <v>57370.755819703962</v>
      </c>
      <c r="R1822" s="21">
        <v>0.91</v>
      </c>
      <c r="S1822" s="20">
        <v>57370.755819703962</v>
      </c>
    </row>
    <row r="1823" spans="2:19" ht="15" customHeight="1" x14ac:dyDescent="0.25">
      <c r="B1823" s="2" t="str">
        <f t="shared" si="56"/>
        <v>NSG_Business_C&amp;I_Rebates_Steam Traps_Industrial/Process Audit - 75 ≤ psig &lt; 125_CI/SMB</v>
      </c>
      <c r="C1823" s="2" t="str">
        <f t="shared" si="57"/>
        <v>NSG_Business_C&amp;I_Rebates_Steam Traps_Industrial/Process Audit - 75 ≤ psig &lt; 125_CI/SMB_2024</v>
      </c>
      <c r="D1823" s="19" t="s">
        <v>1787</v>
      </c>
      <c r="E1823" s="19" t="s">
        <v>3</v>
      </c>
      <c r="F1823" s="19" t="s">
        <v>1427</v>
      </c>
      <c r="G1823" s="19" t="s">
        <v>1429</v>
      </c>
      <c r="H1823" s="19" t="s">
        <v>644</v>
      </c>
      <c r="I1823" s="19" t="s">
        <v>1386</v>
      </c>
      <c r="J1823" s="19" t="s">
        <v>37</v>
      </c>
      <c r="K1823" s="19" t="s">
        <v>970</v>
      </c>
      <c r="L1823" s="19">
        <v>2024</v>
      </c>
      <c r="M1823" s="20">
        <v>1</v>
      </c>
      <c r="N1823" s="19" t="s">
        <v>1798</v>
      </c>
      <c r="O1823" s="20">
        <v>10.5</v>
      </c>
      <c r="P1823" s="20">
        <v>10.5</v>
      </c>
      <c r="Q1823" s="20">
        <v>50199.411342240965</v>
      </c>
      <c r="R1823" s="21">
        <v>0.91</v>
      </c>
      <c r="S1823" s="20">
        <v>50199.411342240965</v>
      </c>
    </row>
    <row r="1824" spans="2:19" ht="15" customHeight="1" x14ac:dyDescent="0.25">
      <c r="B1824" s="2" t="str">
        <f t="shared" si="56"/>
        <v>NSG_Business_C&amp;I_Rebates_Steam Traps_Industrial/Process Audit - 75 ≤ psig &lt; 125_CI/SMB</v>
      </c>
      <c r="C1824" s="2" t="str">
        <f t="shared" si="57"/>
        <v>NSG_Business_C&amp;I_Rebates_Steam Traps_Industrial/Process Audit - 75 ≤ psig &lt; 125_CI/SMB_2025</v>
      </c>
      <c r="D1824" s="19" t="s">
        <v>1787</v>
      </c>
      <c r="E1824" s="19" t="s">
        <v>3</v>
      </c>
      <c r="F1824" s="19" t="s">
        <v>1427</v>
      </c>
      <c r="G1824" s="19" t="s">
        <v>1429</v>
      </c>
      <c r="H1824" s="19" t="s">
        <v>644</v>
      </c>
      <c r="I1824" s="19" t="s">
        <v>1386</v>
      </c>
      <c r="J1824" s="19" t="s">
        <v>37</v>
      </c>
      <c r="K1824" s="19" t="s">
        <v>970</v>
      </c>
      <c r="L1824" s="19">
        <v>2025</v>
      </c>
      <c r="M1824" s="20">
        <v>1</v>
      </c>
      <c r="N1824" s="19" t="s">
        <v>1798</v>
      </c>
      <c r="O1824" s="20">
        <v>10.200000000000001</v>
      </c>
      <c r="P1824" s="20">
        <v>10.200000000000001</v>
      </c>
      <c r="Q1824" s="20">
        <v>48765.142446748374</v>
      </c>
      <c r="R1824" s="21">
        <v>0.91</v>
      </c>
      <c r="S1824" s="20">
        <v>48765.142446748374</v>
      </c>
    </row>
    <row r="1825" spans="2:19" ht="15" customHeight="1" x14ac:dyDescent="0.25">
      <c r="B1825" s="2" t="str">
        <f t="shared" si="56"/>
        <v>NSG_Business_C&amp;I_Rebates_Steam Traps_Industrial/Process Audit - 125 ≤ psig &lt; 175_CI/SMB</v>
      </c>
      <c r="C1825" s="2" t="str">
        <f t="shared" si="57"/>
        <v>NSG_Business_C&amp;I_Rebates_Steam Traps_Industrial/Process Audit - 125 ≤ psig &lt; 175_CI/SMB_2022</v>
      </c>
      <c r="D1825" s="19" t="s">
        <v>1787</v>
      </c>
      <c r="E1825" s="19" t="s">
        <v>3</v>
      </c>
      <c r="F1825" s="19" t="s">
        <v>1427</v>
      </c>
      <c r="G1825" s="19" t="s">
        <v>1429</v>
      </c>
      <c r="H1825" s="19" t="s">
        <v>644</v>
      </c>
      <c r="I1825" s="19" t="s">
        <v>1374</v>
      </c>
      <c r="J1825" s="19" t="s">
        <v>37</v>
      </c>
      <c r="K1825" s="19" t="s">
        <v>970</v>
      </c>
      <c r="L1825" s="19">
        <v>2022</v>
      </c>
      <c r="M1825" s="20">
        <v>1</v>
      </c>
      <c r="N1825" s="19" t="s">
        <v>1798</v>
      </c>
      <c r="O1825" s="20">
        <v>8.5</v>
      </c>
      <c r="P1825" s="20">
        <v>8.5</v>
      </c>
      <c r="Q1825" s="20">
        <v>56734.26720963775</v>
      </c>
      <c r="R1825" s="21">
        <v>0.91</v>
      </c>
      <c r="S1825" s="20">
        <v>56734.26720963775</v>
      </c>
    </row>
    <row r="1826" spans="2:19" ht="15" customHeight="1" x14ac:dyDescent="0.25">
      <c r="B1826" s="2" t="str">
        <f t="shared" si="56"/>
        <v>NSG_Business_C&amp;I_Rebates_Steam Traps_Industrial/Process Audit - 125 ≤ psig &lt; 175_CI/SMB</v>
      </c>
      <c r="C1826" s="2" t="str">
        <f t="shared" si="57"/>
        <v>NSG_Business_C&amp;I_Rebates_Steam Traps_Industrial/Process Audit - 125 ≤ psig &lt; 175_CI/SMB_2023</v>
      </c>
      <c r="D1826" s="19" t="s">
        <v>1787</v>
      </c>
      <c r="E1826" s="19" t="s">
        <v>3</v>
      </c>
      <c r="F1826" s="19" t="s">
        <v>1427</v>
      </c>
      <c r="G1826" s="19" t="s">
        <v>1429</v>
      </c>
      <c r="H1826" s="19" t="s">
        <v>644</v>
      </c>
      <c r="I1826" s="19" t="s">
        <v>1374</v>
      </c>
      <c r="J1826" s="19" t="s">
        <v>37</v>
      </c>
      <c r="K1826" s="19" t="s">
        <v>970</v>
      </c>
      <c r="L1826" s="19">
        <v>2023</v>
      </c>
      <c r="M1826" s="20">
        <v>1</v>
      </c>
      <c r="N1826" s="19" t="s">
        <v>1798</v>
      </c>
      <c r="O1826" s="20">
        <v>8</v>
      </c>
      <c r="P1826" s="20">
        <v>8</v>
      </c>
      <c r="Q1826" s="20">
        <v>53396.957373776706</v>
      </c>
      <c r="R1826" s="21">
        <v>0.91</v>
      </c>
      <c r="S1826" s="20">
        <v>53396.957373776706</v>
      </c>
    </row>
    <row r="1827" spans="2:19" ht="15" customHeight="1" x14ac:dyDescent="0.25">
      <c r="B1827" s="2" t="str">
        <f t="shared" si="56"/>
        <v>NSG_Business_C&amp;I_Rebates_Steam Traps_Industrial/Process Audit - 125 ≤ psig &lt; 175_CI/SMB</v>
      </c>
      <c r="C1827" s="2" t="str">
        <f t="shared" si="57"/>
        <v>NSG_Business_C&amp;I_Rebates_Steam Traps_Industrial/Process Audit - 125 ≤ psig &lt; 175_CI/SMB_2024</v>
      </c>
      <c r="D1827" s="19" t="s">
        <v>1787</v>
      </c>
      <c r="E1827" s="19" t="s">
        <v>3</v>
      </c>
      <c r="F1827" s="19" t="s">
        <v>1427</v>
      </c>
      <c r="G1827" s="19" t="s">
        <v>1429</v>
      </c>
      <c r="H1827" s="19" t="s">
        <v>644</v>
      </c>
      <c r="I1827" s="19" t="s">
        <v>1374</v>
      </c>
      <c r="J1827" s="19" t="s">
        <v>37</v>
      </c>
      <c r="K1827" s="19" t="s">
        <v>970</v>
      </c>
      <c r="L1827" s="19">
        <v>2024</v>
      </c>
      <c r="M1827" s="20">
        <v>1</v>
      </c>
      <c r="N1827" s="19" t="s">
        <v>1798</v>
      </c>
      <c r="O1827" s="20">
        <v>7</v>
      </c>
      <c r="P1827" s="20">
        <v>7</v>
      </c>
      <c r="Q1827" s="20">
        <v>46722.337702054618</v>
      </c>
      <c r="R1827" s="21">
        <v>0.91</v>
      </c>
      <c r="S1827" s="20">
        <v>46722.337702054618</v>
      </c>
    </row>
    <row r="1828" spans="2:19" ht="15" customHeight="1" x14ac:dyDescent="0.25">
      <c r="B1828" s="2" t="str">
        <f t="shared" si="56"/>
        <v>NSG_Business_C&amp;I_Rebates_Steam Traps_Industrial/Process Audit - 125 ≤ psig &lt; 175_CI/SMB</v>
      </c>
      <c r="C1828" s="2" t="str">
        <f t="shared" si="57"/>
        <v>NSG_Business_C&amp;I_Rebates_Steam Traps_Industrial/Process Audit - 125 ≤ psig &lt; 175_CI/SMB_2025</v>
      </c>
      <c r="D1828" s="19" t="s">
        <v>1787</v>
      </c>
      <c r="E1828" s="19" t="s">
        <v>3</v>
      </c>
      <c r="F1828" s="19" t="s">
        <v>1427</v>
      </c>
      <c r="G1828" s="19" t="s">
        <v>1429</v>
      </c>
      <c r="H1828" s="19" t="s">
        <v>644</v>
      </c>
      <c r="I1828" s="19" t="s">
        <v>1374</v>
      </c>
      <c r="J1828" s="19" t="s">
        <v>37</v>
      </c>
      <c r="K1828" s="19" t="s">
        <v>970</v>
      </c>
      <c r="L1828" s="19">
        <v>2025</v>
      </c>
      <c r="M1828" s="20">
        <v>1</v>
      </c>
      <c r="N1828" s="19" t="s">
        <v>1798</v>
      </c>
      <c r="O1828" s="20">
        <v>6.8000000000000007</v>
      </c>
      <c r="P1828" s="20">
        <v>6.8000000000000007</v>
      </c>
      <c r="Q1828" s="20">
        <v>45387.413767710212</v>
      </c>
      <c r="R1828" s="21">
        <v>0.91</v>
      </c>
      <c r="S1828" s="20">
        <v>45387.413767710212</v>
      </c>
    </row>
    <row r="1829" spans="2:19" ht="15" customHeight="1" x14ac:dyDescent="0.25">
      <c r="B1829" s="2" t="str">
        <f t="shared" si="56"/>
        <v>NSG_Business_C&amp;I_Rebates_Steam Traps_Industrial/Process Audit - 175 ≤ psig &lt; 250_CI/SMB</v>
      </c>
      <c r="C1829" s="2" t="str">
        <f t="shared" si="57"/>
        <v>NSG_Business_C&amp;I_Rebates_Steam Traps_Industrial/Process Audit - 175 ≤ psig &lt; 250_CI/SMB_2022</v>
      </c>
      <c r="D1829" s="19" t="s">
        <v>1787</v>
      </c>
      <c r="E1829" s="19" t="s">
        <v>3</v>
      </c>
      <c r="F1829" s="19" t="s">
        <v>1427</v>
      </c>
      <c r="G1829" s="19" t="s">
        <v>1429</v>
      </c>
      <c r="H1829" s="19" t="s">
        <v>644</v>
      </c>
      <c r="I1829" s="19" t="s">
        <v>1375</v>
      </c>
      <c r="J1829" s="19" t="s">
        <v>37</v>
      </c>
      <c r="K1829" s="19" t="s">
        <v>970</v>
      </c>
      <c r="L1829" s="19">
        <v>2022</v>
      </c>
      <c r="M1829" s="20">
        <v>1</v>
      </c>
      <c r="N1829" s="19" t="s">
        <v>1798</v>
      </c>
      <c r="O1829" s="20">
        <v>2.5499999999999998</v>
      </c>
      <c r="P1829" s="20">
        <v>2.5499999999999998</v>
      </c>
      <c r="Q1829" s="20">
        <v>22987.909394775994</v>
      </c>
      <c r="R1829" s="21">
        <v>0.91</v>
      </c>
      <c r="S1829" s="20">
        <v>22987.909394775994</v>
      </c>
    </row>
    <row r="1830" spans="2:19" ht="15" customHeight="1" x14ac:dyDescent="0.25">
      <c r="B1830" s="2" t="str">
        <f t="shared" si="56"/>
        <v>NSG_Business_C&amp;I_Rebates_Steam Traps_Industrial/Process Audit - 175 ≤ psig &lt; 250_CI/SMB</v>
      </c>
      <c r="C1830" s="2" t="str">
        <f t="shared" si="57"/>
        <v>NSG_Business_C&amp;I_Rebates_Steam Traps_Industrial/Process Audit - 175 ≤ psig &lt; 250_CI/SMB_2023</v>
      </c>
      <c r="D1830" s="19" t="s">
        <v>1787</v>
      </c>
      <c r="E1830" s="19" t="s">
        <v>3</v>
      </c>
      <c r="F1830" s="19" t="s">
        <v>1427</v>
      </c>
      <c r="G1830" s="19" t="s">
        <v>1429</v>
      </c>
      <c r="H1830" s="19" t="s">
        <v>644</v>
      </c>
      <c r="I1830" s="19" t="s">
        <v>1375</v>
      </c>
      <c r="J1830" s="19" t="s">
        <v>37</v>
      </c>
      <c r="K1830" s="19" t="s">
        <v>970</v>
      </c>
      <c r="L1830" s="19">
        <v>2023</v>
      </c>
      <c r="M1830" s="20">
        <v>1</v>
      </c>
      <c r="N1830" s="19" t="s">
        <v>1798</v>
      </c>
      <c r="O1830" s="20">
        <v>2.4000000000000004</v>
      </c>
      <c r="P1830" s="20">
        <v>2.4000000000000004</v>
      </c>
      <c r="Q1830" s="20">
        <v>21635.679430377411</v>
      </c>
      <c r="R1830" s="21">
        <v>0.91</v>
      </c>
      <c r="S1830" s="20">
        <v>21635.679430377411</v>
      </c>
    </row>
    <row r="1831" spans="2:19" ht="15" customHeight="1" x14ac:dyDescent="0.25">
      <c r="B1831" s="2" t="str">
        <f t="shared" si="56"/>
        <v>NSG_Business_C&amp;I_Rebates_Steam Traps_Industrial/Process Audit - 175 ≤ psig &lt; 250_CI/SMB</v>
      </c>
      <c r="C1831" s="2" t="str">
        <f t="shared" si="57"/>
        <v>NSG_Business_C&amp;I_Rebates_Steam Traps_Industrial/Process Audit - 175 ≤ psig &lt; 250_CI/SMB_2024</v>
      </c>
      <c r="D1831" s="19" t="s">
        <v>1787</v>
      </c>
      <c r="E1831" s="19" t="s">
        <v>3</v>
      </c>
      <c r="F1831" s="19" t="s">
        <v>1427</v>
      </c>
      <c r="G1831" s="19" t="s">
        <v>1429</v>
      </c>
      <c r="H1831" s="19" t="s">
        <v>644</v>
      </c>
      <c r="I1831" s="19" t="s">
        <v>1375</v>
      </c>
      <c r="J1831" s="19" t="s">
        <v>37</v>
      </c>
      <c r="K1831" s="19" t="s">
        <v>970</v>
      </c>
      <c r="L1831" s="19">
        <v>2024</v>
      </c>
      <c r="M1831" s="20">
        <v>1</v>
      </c>
      <c r="N1831" s="19" t="s">
        <v>1798</v>
      </c>
      <c r="O1831" s="20">
        <v>2.0999999999999996</v>
      </c>
      <c r="P1831" s="20">
        <v>2.0999999999999996</v>
      </c>
      <c r="Q1831" s="20">
        <v>18931.219501580228</v>
      </c>
      <c r="R1831" s="21">
        <v>0.91</v>
      </c>
      <c r="S1831" s="20">
        <v>18931.219501580228</v>
      </c>
    </row>
    <row r="1832" spans="2:19" ht="15" customHeight="1" x14ac:dyDescent="0.25">
      <c r="B1832" s="2" t="str">
        <f t="shared" si="56"/>
        <v>NSG_Business_C&amp;I_Rebates_Steam Traps_Industrial/Process Audit - 175 ≤ psig &lt; 250_CI/SMB</v>
      </c>
      <c r="C1832" s="2" t="str">
        <f t="shared" si="57"/>
        <v>NSG_Business_C&amp;I_Rebates_Steam Traps_Industrial/Process Audit - 175 ≤ psig &lt; 250_CI/SMB_2025</v>
      </c>
      <c r="D1832" s="19" t="s">
        <v>1787</v>
      </c>
      <c r="E1832" s="19" t="s">
        <v>3</v>
      </c>
      <c r="F1832" s="19" t="s">
        <v>1427</v>
      </c>
      <c r="G1832" s="19" t="s">
        <v>1429</v>
      </c>
      <c r="H1832" s="19" t="s">
        <v>644</v>
      </c>
      <c r="I1832" s="19" t="s">
        <v>1375</v>
      </c>
      <c r="J1832" s="19" t="s">
        <v>37</v>
      </c>
      <c r="K1832" s="19" t="s">
        <v>970</v>
      </c>
      <c r="L1832" s="19">
        <v>2025</v>
      </c>
      <c r="M1832" s="20">
        <v>1</v>
      </c>
      <c r="N1832" s="19" t="s">
        <v>1798</v>
      </c>
      <c r="O1832" s="20">
        <v>2.04</v>
      </c>
      <c r="P1832" s="20">
        <v>2.04</v>
      </c>
      <c r="Q1832" s="20">
        <v>18390.327515820798</v>
      </c>
      <c r="R1832" s="21">
        <v>0.91</v>
      </c>
      <c r="S1832" s="20">
        <v>18390.327515820798</v>
      </c>
    </row>
    <row r="1833" spans="2:19" ht="15" customHeight="1" x14ac:dyDescent="0.25">
      <c r="B1833" s="2" t="str">
        <f t="shared" si="56"/>
        <v>NSG_Business_C&amp;I_Rebates_Steam Traps_Industrial/Process Audit - 250 ≤ psig_CI/SMB</v>
      </c>
      <c r="C1833" s="2" t="str">
        <f t="shared" si="57"/>
        <v>NSG_Business_C&amp;I_Rebates_Steam Traps_Industrial/Process Audit - 250 ≤ psig_CI/SMB_2022</v>
      </c>
      <c r="D1833" s="19" t="s">
        <v>1787</v>
      </c>
      <c r="E1833" s="19" t="s">
        <v>3</v>
      </c>
      <c r="F1833" s="19" t="s">
        <v>1427</v>
      </c>
      <c r="G1833" s="19" t="s">
        <v>1429</v>
      </c>
      <c r="H1833" s="19" t="s">
        <v>644</v>
      </c>
      <c r="I1833" s="19" t="s">
        <v>1376</v>
      </c>
      <c r="J1833" s="19" t="s">
        <v>37</v>
      </c>
      <c r="K1833" s="19" t="s">
        <v>970</v>
      </c>
      <c r="L1833" s="19">
        <v>2022</v>
      </c>
      <c r="M1833" s="20">
        <v>1</v>
      </c>
      <c r="N1833" s="19" t="s">
        <v>1798</v>
      </c>
      <c r="O1833" s="20">
        <v>0</v>
      </c>
      <c r="P1833" s="20">
        <v>0</v>
      </c>
      <c r="Q1833" s="20">
        <v>0</v>
      </c>
      <c r="R1833" s="21">
        <v>0.91</v>
      </c>
      <c r="S1833" s="20">
        <v>0</v>
      </c>
    </row>
    <row r="1834" spans="2:19" ht="15" customHeight="1" x14ac:dyDescent="0.25">
      <c r="B1834" s="2" t="str">
        <f t="shared" si="56"/>
        <v>NSG_Business_C&amp;I_Rebates_Steam Traps_Industrial/Process Audit - 250 ≤ psig_CI/SMB</v>
      </c>
      <c r="C1834" s="2" t="str">
        <f t="shared" si="57"/>
        <v>NSG_Business_C&amp;I_Rebates_Steam Traps_Industrial/Process Audit - 250 ≤ psig_CI/SMB_2023</v>
      </c>
      <c r="D1834" s="19" t="s">
        <v>1787</v>
      </c>
      <c r="E1834" s="19" t="s">
        <v>3</v>
      </c>
      <c r="F1834" s="19" t="s">
        <v>1427</v>
      </c>
      <c r="G1834" s="19" t="s">
        <v>1429</v>
      </c>
      <c r="H1834" s="19" t="s">
        <v>644</v>
      </c>
      <c r="I1834" s="19" t="s">
        <v>1376</v>
      </c>
      <c r="J1834" s="19" t="s">
        <v>37</v>
      </c>
      <c r="K1834" s="19" t="s">
        <v>970</v>
      </c>
      <c r="L1834" s="19">
        <v>2023</v>
      </c>
      <c r="M1834" s="20">
        <v>1</v>
      </c>
      <c r="N1834" s="19" t="s">
        <v>1798</v>
      </c>
      <c r="O1834" s="20">
        <v>0</v>
      </c>
      <c r="P1834" s="20">
        <v>0</v>
      </c>
      <c r="Q1834" s="20">
        <v>0</v>
      </c>
      <c r="R1834" s="21">
        <v>0.91</v>
      </c>
      <c r="S1834" s="20">
        <v>0</v>
      </c>
    </row>
    <row r="1835" spans="2:19" ht="15" customHeight="1" x14ac:dyDescent="0.25">
      <c r="B1835" s="2" t="str">
        <f t="shared" si="56"/>
        <v>NSG_Business_C&amp;I_Rebates_Steam Traps_Industrial/Process Audit - 250 ≤ psig_CI/SMB</v>
      </c>
      <c r="C1835" s="2" t="str">
        <f t="shared" si="57"/>
        <v>NSG_Business_C&amp;I_Rebates_Steam Traps_Industrial/Process Audit - 250 ≤ psig_CI/SMB_2024</v>
      </c>
      <c r="D1835" s="19" t="s">
        <v>1787</v>
      </c>
      <c r="E1835" s="19" t="s">
        <v>3</v>
      </c>
      <c r="F1835" s="19" t="s">
        <v>1427</v>
      </c>
      <c r="G1835" s="19" t="s">
        <v>1429</v>
      </c>
      <c r="H1835" s="19" t="s">
        <v>644</v>
      </c>
      <c r="I1835" s="19" t="s">
        <v>1376</v>
      </c>
      <c r="J1835" s="19" t="s">
        <v>37</v>
      </c>
      <c r="K1835" s="19" t="s">
        <v>970</v>
      </c>
      <c r="L1835" s="19">
        <v>2024</v>
      </c>
      <c r="M1835" s="20">
        <v>1</v>
      </c>
      <c r="N1835" s="19" t="s">
        <v>1798</v>
      </c>
      <c r="O1835" s="20">
        <v>0</v>
      </c>
      <c r="P1835" s="20">
        <v>0</v>
      </c>
      <c r="Q1835" s="20">
        <v>0</v>
      </c>
      <c r="R1835" s="21">
        <v>0.91</v>
      </c>
      <c r="S1835" s="20">
        <v>0</v>
      </c>
    </row>
    <row r="1836" spans="2:19" ht="15" customHeight="1" x14ac:dyDescent="0.25">
      <c r="B1836" s="2" t="str">
        <f t="shared" si="56"/>
        <v>NSG_Business_C&amp;I_Rebates_Steam Traps_Industrial/Process Audit - 250 ≤ psig_CI/SMB</v>
      </c>
      <c r="C1836" s="2" t="str">
        <f t="shared" si="57"/>
        <v>NSG_Business_C&amp;I_Rebates_Steam Traps_Industrial/Process Audit - 250 ≤ psig_CI/SMB_2025</v>
      </c>
      <c r="D1836" s="19" t="s">
        <v>1787</v>
      </c>
      <c r="E1836" s="19" t="s">
        <v>3</v>
      </c>
      <c r="F1836" s="19" t="s">
        <v>1427</v>
      </c>
      <c r="G1836" s="19" t="s">
        <v>1429</v>
      </c>
      <c r="H1836" s="19" t="s">
        <v>644</v>
      </c>
      <c r="I1836" s="19" t="s">
        <v>1376</v>
      </c>
      <c r="J1836" s="19" t="s">
        <v>37</v>
      </c>
      <c r="K1836" s="19" t="s">
        <v>970</v>
      </c>
      <c r="L1836" s="19">
        <v>2025</v>
      </c>
      <c r="M1836" s="20">
        <v>1</v>
      </c>
      <c r="N1836" s="19" t="s">
        <v>1798</v>
      </c>
      <c r="O1836" s="20">
        <v>0</v>
      </c>
      <c r="P1836" s="20">
        <v>0</v>
      </c>
      <c r="Q1836" s="20">
        <v>0</v>
      </c>
      <c r="R1836" s="21">
        <v>0.91</v>
      </c>
      <c r="S1836" s="20">
        <v>0</v>
      </c>
    </row>
    <row r="1837" spans="2:19" ht="15" customHeight="1" x14ac:dyDescent="0.25">
      <c r="B1837" s="2" t="str">
        <f t="shared" si="56"/>
        <v>NSG_Business_C&amp;I_Rebates_Steam Traps_Test_CI</v>
      </c>
      <c r="C1837" s="2" t="str">
        <f t="shared" si="57"/>
        <v>NSG_Business_C&amp;I_Rebates_Steam Traps_Test_CI_2022</v>
      </c>
      <c r="D1837" s="19" t="s">
        <v>1787</v>
      </c>
      <c r="E1837" s="19" t="s">
        <v>3</v>
      </c>
      <c r="F1837" s="19" t="s">
        <v>1427</v>
      </c>
      <c r="G1837" s="19" t="s">
        <v>1429</v>
      </c>
      <c r="H1837" s="19" t="s">
        <v>644</v>
      </c>
      <c r="I1837" s="19" t="s">
        <v>1097</v>
      </c>
      <c r="J1837" s="19">
        <v>0</v>
      </c>
      <c r="K1837" s="19" t="s">
        <v>1159</v>
      </c>
      <c r="L1837" s="19">
        <v>2022</v>
      </c>
      <c r="M1837" s="20">
        <v>1</v>
      </c>
      <c r="N1837" s="19" t="s">
        <v>1798</v>
      </c>
      <c r="O1837" s="20">
        <v>850</v>
      </c>
      <c r="P1837" s="20">
        <v>850</v>
      </c>
      <c r="Q1837" s="20">
        <v>0</v>
      </c>
      <c r="R1837" s="21">
        <v>0.91</v>
      </c>
      <c r="S1837" s="20">
        <v>0</v>
      </c>
    </row>
    <row r="1838" spans="2:19" ht="15" customHeight="1" x14ac:dyDescent="0.25">
      <c r="B1838" s="2" t="str">
        <f t="shared" si="56"/>
        <v>NSG_Business_C&amp;I_Rebates_Steam Traps_Test_CI</v>
      </c>
      <c r="C1838" s="2" t="str">
        <f t="shared" si="57"/>
        <v>NSG_Business_C&amp;I_Rebates_Steam Traps_Test_CI_2023</v>
      </c>
      <c r="D1838" s="19" t="s">
        <v>1787</v>
      </c>
      <c r="E1838" s="19" t="s">
        <v>3</v>
      </c>
      <c r="F1838" s="19" t="s">
        <v>1427</v>
      </c>
      <c r="G1838" s="19" t="s">
        <v>1429</v>
      </c>
      <c r="H1838" s="19" t="s">
        <v>644</v>
      </c>
      <c r="I1838" s="19" t="s">
        <v>1097</v>
      </c>
      <c r="J1838" s="19">
        <v>0</v>
      </c>
      <c r="K1838" s="19" t="s">
        <v>1159</v>
      </c>
      <c r="L1838" s="19">
        <v>2023</v>
      </c>
      <c r="M1838" s="20">
        <v>1</v>
      </c>
      <c r="N1838" s="19" t="s">
        <v>1798</v>
      </c>
      <c r="O1838" s="20">
        <v>800</v>
      </c>
      <c r="P1838" s="20">
        <v>800</v>
      </c>
      <c r="Q1838" s="20">
        <v>0</v>
      </c>
      <c r="R1838" s="21">
        <v>0.91</v>
      </c>
      <c r="S1838" s="20">
        <v>0</v>
      </c>
    </row>
    <row r="1839" spans="2:19" ht="15" customHeight="1" x14ac:dyDescent="0.25">
      <c r="B1839" s="2" t="str">
        <f t="shared" si="56"/>
        <v>NSG_Business_C&amp;I_Rebates_Steam Traps_Test_CI</v>
      </c>
      <c r="C1839" s="2" t="str">
        <f t="shared" si="57"/>
        <v>NSG_Business_C&amp;I_Rebates_Steam Traps_Test_CI_2024</v>
      </c>
      <c r="D1839" s="19" t="s">
        <v>1787</v>
      </c>
      <c r="E1839" s="19" t="s">
        <v>3</v>
      </c>
      <c r="F1839" s="19" t="s">
        <v>1427</v>
      </c>
      <c r="G1839" s="19" t="s">
        <v>1429</v>
      </c>
      <c r="H1839" s="19" t="s">
        <v>644</v>
      </c>
      <c r="I1839" s="19" t="s">
        <v>1097</v>
      </c>
      <c r="J1839" s="19">
        <v>0</v>
      </c>
      <c r="K1839" s="19" t="s">
        <v>1159</v>
      </c>
      <c r="L1839" s="19">
        <v>2024</v>
      </c>
      <c r="M1839" s="20">
        <v>1</v>
      </c>
      <c r="N1839" s="19" t="s">
        <v>1798</v>
      </c>
      <c r="O1839" s="20">
        <v>700</v>
      </c>
      <c r="P1839" s="20">
        <v>700</v>
      </c>
      <c r="Q1839" s="20">
        <v>0</v>
      </c>
      <c r="R1839" s="21">
        <v>0.91</v>
      </c>
      <c r="S1839" s="20">
        <v>0</v>
      </c>
    </row>
    <row r="1840" spans="2:19" ht="15" customHeight="1" x14ac:dyDescent="0.25">
      <c r="B1840" s="2" t="str">
        <f t="shared" si="56"/>
        <v>NSG_Business_C&amp;I_Rebates_Steam Traps_Test_CI</v>
      </c>
      <c r="C1840" s="2" t="str">
        <f t="shared" si="57"/>
        <v>NSG_Business_C&amp;I_Rebates_Steam Traps_Test_CI_2025</v>
      </c>
      <c r="D1840" s="19" t="s">
        <v>1787</v>
      </c>
      <c r="E1840" s="19" t="s">
        <v>3</v>
      </c>
      <c r="F1840" s="19" t="s">
        <v>1427</v>
      </c>
      <c r="G1840" s="19" t="s">
        <v>1429</v>
      </c>
      <c r="H1840" s="19" t="s">
        <v>644</v>
      </c>
      <c r="I1840" s="19" t="s">
        <v>1097</v>
      </c>
      <c r="J1840" s="19">
        <v>0</v>
      </c>
      <c r="K1840" s="19" t="s">
        <v>1159</v>
      </c>
      <c r="L1840" s="19">
        <v>2025</v>
      </c>
      <c r="M1840" s="20">
        <v>1</v>
      </c>
      <c r="N1840" s="19" t="s">
        <v>1798</v>
      </c>
      <c r="O1840" s="20">
        <v>680</v>
      </c>
      <c r="P1840" s="20">
        <v>680</v>
      </c>
      <c r="Q1840" s="20">
        <v>0</v>
      </c>
      <c r="R1840" s="21">
        <v>0.91</v>
      </c>
      <c r="S1840" s="20">
        <v>0</v>
      </c>
    </row>
    <row r="1841" spans="2:19" ht="15" customHeight="1" x14ac:dyDescent="0.25">
      <c r="B1841" s="2" t="str">
        <f t="shared" si="56"/>
        <v>NSG_Business_C&amp;I_Rebates_Programmable Thermostat_0_CI</v>
      </c>
      <c r="C1841" s="2" t="str">
        <f t="shared" si="57"/>
        <v>NSG_Business_C&amp;I_Rebates_Programmable Thermostat_0_CI_2022</v>
      </c>
      <c r="D1841" s="19" t="s">
        <v>1787</v>
      </c>
      <c r="E1841" s="19" t="s">
        <v>3</v>
      </c>
      <c r="F1841" s="19" t="s">
        <v>1427</v>
      </c>
      <c r="G1841" s="19" t="s">
        <v>1429</v>
      </c>
      <c r="H1841" s="19" t="s">
        <v>224</v>
      </c>
      <c r="I1841" s="19">
        <v>0</v>
      </c>
      <c r="J1841" s="19" t="s">
        <v>1183</v>
      </c>
      <c r="K1841" s="19" t="s">
        <v>1159</v>
      </c>
      <c r="L1841" s="19">
        <v>2022</v>
      </c>
      <c r="M1841" s="20">
        <v>1</v>
      </c>
      <c r="N1841" s="19" t="s">
        <v>1798</v>
      </c>
      <c r="O1841" s="20">
        <v>0</v>
      </c>
      <c r="P1841" s="20">
        <v>0</v>
      </c>
      <c r="Q1841" s="20">
        <v>0</v>
      </c>
      <c r="R1841" s="21">
        <v>0.91</v>
      </c>
      <c r="S1841" s="20">
        <v>0</v>
      </c>
    </row>
    <row r="1842" spans="2:19" ht="15" customHeight="1" x14ac:dyDescent="0.25">
      <c r="B1842" s="2" t="str">
        <f t="shared" si="56"/>
        <v>NSG_Business_C&amp;I_Rebates_Programmable Thermostat_0_CI</v>
      </c>
      <c r="C1842" s="2" t="str">
        <f t="shared" si="57"/>
        <v>NSG_Business_C&amp;I_Rebates_Programmable Thermostat_0_CI_2023</v>
      </c>
      <c r="D1842" s="19" t="s">
        <v>1787</v>
      </c>
      <c r="E1842" s="19" t="s">
        <v>3</v>
      </c>
      <c r="F1842" s="19" t="s">
        <v>1427</v>
      </c>
      <c r="G1842" s="19" t="s">
        <v>1429</v>
      </c>
      <c r="H1842" s="19" t="s">
        <v>224</v>
      </c>
      <c r="I1842" s="19">
        <v>0</v>
      </c>
      <c r="J1842" s="19" t="s">
        <v>1183</v>
      </c>
      <c r="K1842" s="19" t="s">
        <v>1159</v>
      </c>
      <c r="L1842" s="19">
        <v>2023</v>
      </c>
      <c r="M1842" s="20">
        <v>1</v>
      </c>
      <c r="N1842" s="19" t="s">
        <v>1798</v>
      </c>
      <c r="O1842" s="20">
        <v>0</v>
      </c>
      <c r="P1842" s="20">
        <v>0</v>
      </c>
      <c r="Q1842" s="20">
        <v>0</v>
      </c>
      <c r="R1842" s="21">
        <v>0.91</v>
      </c>
      <c r="S1842" s="20">
        <v>0</v>
      </c>
    </row>
    <row r="1843" spans="2:19" ht="15" customHeight="1" x14ac:dyDescent="0.25">
      <c r="B1843" s="2" t="str">
        <f t="shared" si="56"/>
        <v>NSG_Business_C&amp;I_Rebates_Programmable Thermostat_0_CI</v>
      </c>
      <c r="C1843" s="2" t="str">
        <f t="shared" si="57"/>
        <v>NSG_Business_C&amp;I_Rebates_Programmable Thermostat_0_CI_2024</v>
      </c>
      <c r="D1843" s="19" t="s">
        <v>1787</v>
      </c>
      <c r="E1843" s="19" t="s">
        <v>3</v>
      </c>
      <c r="F1843" s="19" t="s">
        <v>1427</v>
      </c>
      <c r="G1843" s="19" t="s">
        <v>1429</v>
      </c>
      <c r="H1843" s="19" t="s">
        <v>224</v>
      </c>
      <c r="I1843" s="19">
        <v>0</v>
      </c>
      <c r="J1843" s="19" t="s">
        <v>1183</v>
      </c>
      <c r="K1843" s="19" t="s">
        <v>1159</v>
      </c>
      <c r="L1843" s="19">
        <v>2024</v>
      </c>
      <c r="M1843" s="20">
        <v>1</v>
      </c>
      <c r="N1843" s="19" t="s">
        <v>1798</v>
      </c>
      <c r="O1843" s="20">
        <v>0</v>
      </c>
      <c r="P1843" s="20">
        <v>0</v>
      </c>
      <c r="Q1843" s="20">
        <v>0</v>
      </c>
      <c r="R1843" s="21">
        <v>0.91</v>
      </c>
      <c r="S1843" s="20">
        <v>0</v>
      </c>
    </row>
    <row r="1844" spans="2:19" ht="15" customHeight="1" x14ac:dyDescent="0.25">
      <c r="B1844" s="2" t="str">
        <f t="shared" si="56"/>
        <v>NSG_Business_C&amp;I_Rebates_Programmable Thermostat_0_CI</v>
      </c>
      <c r="C1844" s="2" t="str">
        <f t="shared" si="57"/>
        <v>NSG_Business_C&amp;I_Rebates_Programmable Thermostat_0_CI_2025</v>
      </c>
      <c r="D1844" s="19" t="s">
        <v>1787</v>
      </c>
      <c r="E1844" s="19" t="s">
        <v>3</v>
      </c>
      <c r="F1844" s="19" t="s">
        <v>1427</v>
      </c>
      <c r="G1844" s="19" t="s">
        <v>1429</v>
      </c>
      <c r="H1844" s="19" t="s">
        <v>224</v>
      </c>
      <c r="I1844" s="19">
        <v>0</v>
      </c>
      <c r="J1844" s="19" t="s">
        <v>1183</v>
      </c>
      <c r="K1844" s="19" t="s">
        <v>1159</v>
      </c>
      <c r="L1844" s="19">
        <v>2025</v>
      </c>
      <c r="M1844" s="20">
        <v>1</v>
      </c>
      <c r="N1844" s="19" t="s">
        <v>1798</v>
      </c>
      <c r="O1844" s="20">
        <v>0</v>
      </c>
      <c r="P1844" s="20">
        <v>0</v>
      </c>
      <c r="Q1844" s="20">
        <v>0</v>
      </c>
      <c r="R1844" s="21">
        <v>0.91</v>
      </c>
      <c r="S1844" s="20">
        <v>0</v>
      </c>
    </row>
    <row r="1845" spans="2:19" ht="15" customHeight="1" x14ac:dyDescent="0.25">
      <c r="B1845" s="2" t="str">
        <f t="shared" si="56"/>
        <v>NSG_Business_C&amp;I_Rebates_Water Heater_Storage 88% TE ≥75MBh_CI</v>
      </c>
      <c r="C1845" s="2" t="str">
        <f t="shared" si="57"/>
        <v>NSG_Business_C&amp;I_Rebates_Water Heater_Storage 88% TE ≥75MBh_CI_2022</v>
      </c>
      <c r="D1845" s="19" t="s">
        <v>1787</v>
      </c>
      <c r="E1845" s="19" t="s">
        <v>3</v>
      </c>
      <c r="F1845" s="19" t="s">
        <v>1427</v>
      </c>
      <c r="G1845" s="19" t="s">
        <v>1429</v>
      </c>
      <c r="H1845" s="19" t="s">
        <v>8</v>
      </c>
      <c r="I1845" s="19" t="s">
        <v>1262</v>
      </c>
      <c r="J1845" s="19" t="s">
        <v>1263</v>
      </c>
      <c r="K1845" s="19" t="s">
        <v>1159</v>
      </c>
      <c r="L1845" s="19">
        <v>2022</v>
      </c>
      <c r="M1845" s="20">
        <v>1</v>
      </c>
      <c r="N1845" s="19" t="s">
        <v>1798</v>
      </c>
      <c r="O1845" s="20">
        <v>0</v>
      </c>
      <c r="P1845" s="20">
        <v>0</v>
      </c>
      <c r="Q1845" s="20">
        <v>0</v>
      </c>
      <c r="R1845" s="21">
        <v>0.91</v>
      </c>
      <c r="S1845" s="20">
        <v>0</v>
      </c>
    </row>
    <row r="1846" spans="2:19" ht="15" customHeight="1" x14ac:dyDescent="0.25">
      <c r="B1846" s="2" t="str">
        <f t="shared" si="56"/>
        <v>NSG_Business_C&amp;I_Rebates_Water Heater_Storage 88% TE ≥75MBh_CI</v>
      </c>
      <c r="C1846" s="2" t="str">
        <f t="shared" si="57"/>
        <v>NSG_Business_C&amp;I_Rebates_Water Heater_Storage 88% TE ≥75MBh_CI_2023</v>
      </c>
      <c r="D1846" s="19" t="s">
        <v>1787</v>
      </c>
      <c r="E1846" s="19" t="s">
        <v>3</v>
      </c>
      <c r="F1846" s="19" t="s">
        <v>1427</v>
      </c>
      <c r="G1846" s="19" t="s">
        <v>1429</v>
      </c>
      <c r="H1846" s="19" t="s">
        <v>8</v>
      </c>
      <c r="I1846" s="19" t="s">
        <v>1262</v>
      </c>
      <c r="J1846" s="19" t="s">
        <v>1263</v>
      </c>
      <c r="K1846" s="19" t="s">
        <v>1159</v>
      </c>
      <c r="L1846" s="19">
        <v>2023</v>
      </c>
      <c r="M1846" s="20">
        <v>1</v>
      </c>
      <c r="N1846" s="19" t="s">
        <v>1798</v>
      </c>
      <c r="O1846" s="20">
        <v>0</v>
      </c>
      <c r="P1846" s="20">
        <v>0</v>
      </c>
      <c r="Q1846" s="20">
        <v>0</v>
      </c>
      <c r="R1846" s="21">
        <v>0.91</v>
      </c>
      <c r="S1846" s="20">
        <v>0</v>
      </c>
    </row>
    <row r="1847" spans="2:19" ht="15" customHeight="1" x14ac:dyDescent="0.25">
      <c r="B1847" s="2" t="str">
        <f t="shared" si="56"/>
        <v>NSG_Business_C&amp;I_Rebates_Water Heater_Storage 88% TE ≥75MBh_CI</v>
      </c>
      <c r="C1847" s="2" t="str">
        <f t="shared" si="57"/>
        <v>NSG_Business_C&amp;I_Rebates_Water Heater_Storage 88% TE ≥75MBh_CI_2024</v>
      </c>
      <c r="D1847" s="19" t="s">
        <v>1787</v>
      </c>
      <c r="E1847" s="19" t="s">
        <v>3</v>
      </c>
      <c r="F1847" s="19" t="s">
        <v>1427</v>
      </c>
      <c r="G1847" s="19" t="s">
        <v>1429</v>
      </c>
      <c r="H1847" s="19" t="s">
        <v>8</v>
      </c>
      <c r="I1847" s="19" t="s">
        <v>1262</v>
      </c>
      <c r="J1847" s="19" t="s">
        <v>1263</v>
      </c>
      <c r="K1847" s="19" t="s">
        <v>1159</v>
      </c>
      <c r="L1847" s="19">
        <v>2024</v>
      </c>
      <c r="M1847" s="20">
        <v>1</v>
      </c>
      <c r="N1847" s="19" t="s">
        <v>1798</v>
      </c>
      <c r="O1847" s="20">
        <v>0</v>
      </c>
      <c r="P1847" s="20">
        <v>0</v>
      </c>
      <c r="Q1847" s="20">
        <v>0</v>
      </c>
      <c r="R1847" s="21">
        <v>0.91</v>
      </c>
      <c r="S1847" s="20">
        <v>0</v>
      </c>
    </row>
    <row r="1848" spans="2:19" ht="15" customHeight="1" x14ac:dyDescent="0.25">
      <c r="B1848" s="2" t="str">
        <f t="shared" si="56"/>
        <v>NSG_Business_C&amp;I_Rebates_Water Heater_Storage 88% TE ≥75MBh_CI</v>
      </c>
      <c r="C1848" s="2" t="str">
        <f t="shared" si="57"/>
        <v>NSG_Business_C&amp;I_Rebates_Water Heater_Storage 88% TE ≥75MBh_CI_2025</v>
      </c>
      <c r="D1848" s="19" t="s">
        <v>1787</v>
      </c>
      <c r="E1848" s="19" t="s">
        <v>3</v>
      </c>
      <c r="F1848" s="19" t="s">
        <v>1427</v>
      </c>
      <c r="G1848" s="19" t="s">
        <v>1429</v>
      </c>
      <c r="H1848" s="19" t="s">
        <v>8</v>
      </c>
      <c r="I1848" s="19" t="s">
        <v>1262</v>
      </c>
      <c r="J1848" s="19" t="s">
        <v>1263</v>
      </c>
      <c r="K1848" s="19" t="s">
        <v>1159</v>
      </c>
      <c r="L1848" s="19">
        <v>2025</v>
      </c>
      <c r="M1848" s="20">
        <v>1</v>
      </c>
      <c r="N1848" s="19" t="s">
        <v>1798</v>
      </c>
      <c r="O1848" s="20">
        <v>0</v>
      </c>
      <c r="P1848" s="20">
        <v>0</v>
      </c>
      <c r="Q1848" s="20">
        <v>0</v>
      </c>
      <c r="R1848" s="21">
        <v>0.91</v>
      </c>
      <c r="S1848" s="20">
        <v>0</v>
      </c>
    </row>
    <row r="1849" spans="2:19" ht="15" customHeight="1" x14ac:dyDescent="0.25">
      <c r="B1849" s="2" t="str">
        <f t="shared" si="56"/>
        <v>NSG_Business_C&amp;I_Rebates_Water Heater_Central Lodging 88% TE_CI</v>
      </c>
      <c r="C1849" s="2" t="str">
        <f t="shared" si="57"/>
        <v>NSG_Business_C&amp;I_Rebates_Water Heater_Central Lodging 88% TE_CI_2022</v>
      </c>
      <c r="D1849" s="19" t="s">
        <v>1787</v>
      </c>
      <c r="E1849" s="19" t="s">
        <v>3</v>
      </c>
      <c r="F1849" s="19" t="s">
        <v>1427</v>
      </c>
      <c r="G1849" s="19" t="s">
        <v>1429</v>
      </c>
      <c r="H1849" s="19" t="s">
        <v>8</v>
      </c>
      <c r="I1849" s="19" t="s">
        <v>1304</v>
      </c>
      <c r="J1849" s="19" t="s">
        <v>30</v>
      </c>
      <c r="K1849" s="19" t="s">
        <v>1159</v>
      </c>
      <c r="L1849" s="19">
        <v>2022</v>
      </c>
      <c r="M1849" s="20">
        <v>150</v>
      </c>
      <c r="N1849" s="19" t="s">
        <v>667</v>
      </c>
      <c r="O1849" s="20">
        <v>0</v>
      </c>
      <c r="P1849" s="20">
        <v>0</v>
      </c>
      <c r="Q1849" s="20">
        <v>0</v>
      </c>
      <c r="R1849" s="21">
        <v>0.91</v>
      </c>
      <c r="S1849" s="20">
        <v>0</v>
      </c>
    </row>
    <row r="1850" spans="2:19" ht="15" customHeight="1" x14ac:dyDescent="0.25">
      <c r="B1850" s="2" t="str">
        <f t="shared" si="56"/>
        <v>NSG_Business_C&amp;I_Rebates_Water Heater_Central Lodging 88% TE_CI</v>
      </c>
      <c r="C1850" s="2" t="str">
        <f t="shared" si="57"/>
        <v>NSG_Business_C&amp;I_Rebates_Water Heater_Central Lodging 88% TE_CI_2023</v>
      </c>
      <c r="D1850" s="19" t="s">
        <v>1787</v>
      </c>
      <c r="E1850" s="19" t="s">
        <v>3</v>
      </c>
      <c r="F1850" s="19" t="s">
        <v>1427</v>
      </c>
      <c r="G1850" s="19" t="s">
        <v>1429</v>
      </c>
      <c r="H1850" s="19" t="s">
        <v>8</v>
      </c>
      <c r="I1850" s="19" t="s">
        <v>1304</v>
      </c>
      <c r="J1850" s="19" t="s">
        <v>30</v>
      </c>
      <c r="K1850" s="19" t="s">
        <v>1159</v>
      </c>
      <c r="L1850" s="19">
        <v>2023</v>
      </c>
      <c r="M1850" s="20">
        <v>150</v>
      </c>
      <c r="N1850" s="19" t="s">
        <v>667</v>
      </c>
      <c r="O1850" s="20">
        <v>0</v>
      </c>
      <c r="P1850" s="20">
        <v>0</v>
      </c>
      <c r="Q1850" s="20">
        <v>0</v>
      </c>
      <c r="R1850" s="21">
        <v>0.91</v>
      </c>
      <c r="S1850" s="20">
        <v>0</v>
      </c>
    </row>
    <row r="1851" spans="2:19" ht="15" customHeight="1" x14ac:dyDescent="0.25">
      <c r="B1851" s="2" t="str">
        <f t="shared" si="56"/>
        <v>NSG_Business_C&amp;I_Rebates_Water Heater_Central Lodging 88% TE_CI</v>
      </c>
      <c r="C1851" s="2" t="str">
        <f t="shared" si="57"/>
        <v>NSG_Business_C&amp;I_Rebates_Water Heater_Central Lodging 88% TE_CI_2024</v>
      </c>
      <c r="D1851" s="19" t="s">
        <v>1787</v>
      </c>
      <c r="E1851" s="19" t="s">
        <v>3</v>
      </c>
      <c r="F1851" s="19" t="s">
        <v>1427</v>
      </c>
      <c r="G1851" s="19" t="s">
        <v>1429</v>
      </c>
      <c r="H1851" s="19" t="s">
        <v>8</v>
      </c>
      <c r="I1851" s="19" t="s">
        <v>1304</v>
      </c>
      <c r="J1851" s="19" t="s">
        <v>30</v>
      </c>
      <c r="K1851" s="19" t="s">
        <v>1159</v>
      </c>
      <c r="L1851" s="19">
        <v>2024</v>
      </c>
      <c r="M1851" s="20">
        <v>150</v>
      </c>
      <c r="N1851" s="19" t="s">
        <v>667</v>
      </c>
      <c r="O1851" s="20">
        <v>0</v>
      </c>
      <c r="P1851" s="20">
        <v>0</v>
      </c>
      <c r="Q1851" s="20">
        <v>0</v>
      </c>
      <c r="R1851" s="21">
        <v>0.91</v>
      </c>
      <c r="S1851" s="20">
        <v>0</v>
      </c>
    </row>
    <row r="1852" spans="2:19" ht="15" customHeight="1" x14ac:dyDescent="0.25">
      <c r="B1852" s="2" t="str">
        <f t="shared" si="56"/>
        <v>NSG_Business_C&amp;I_Rebates_Water Heater_Central Lodging 88% TE_CI</v>
      </c>
      <c r="C1852" s="2" t="str">
        <f t="shared" si="57"/>
        <v>NSG_Business_C&amp;I_Rebates_Water Heater_Central Lodging 88% TE_CI_2025</v>
      </c>
      <c r="D1852" s="19" t="s">
        <v>1787</v>
      </c>
      <c r="E1852" s="19" t="s">
        <v>3</v>
      </c>
      <c r="F1852" s="19" t="s">
        <v>1427</v>
      </c>
      <c r="G1852" s="19" t="s">
        <v>1429</v>
      </c>
      <c r="H1852" s="19" t="s">
        <v>8</v>
      </c>
      <c r="I1852" s="19" t="s">
        <v>1304</v>
      </c>
      <c r="J1852" s="19" t="s">
        <v>30</v>
      </c>
      <c r="K1852" s="19" t="s">
        <v>1159</v>
      </c>
      <c r="L1852" s="19">
        <v>2025</v>
      </c>
      <c r="M1852" s="20">
        <v>150</v>
      </c>
      <c r="N1852" s="19" t="s">
        <v>667</v>
      </c>
      <c r="O1852" s="20">
        <v>0</v>
      </c>
      <c r="P1852" s="20">
        <v>0</v>
      </c>
      <c r="Q1852" s="20">
        <v>0</v>
      </c>
      <c r="R1852" s="21">
        <v>0.91</v>
      </c>
      <c r="S1852" s="20">
        <v>0</v>
      </c>
    </row>
    <row r="1853" spans="2:19" ht="15" customHeight="1" x14ac:dyDescent="0.25">
      <c r="B1853" s="2" t="str">
        <f t="shared" si="56"/>
        <v>NSG_Business_C&amp;I_Rebates_Energy Recovery Ventilator_0_CI</v>
      </c>
      <c r="C1853" s="2" t="str">
        <f t="shared" si="57"/>
        <v>NSG_Business_C&amp;I_Rebates_Energy Recovery Ventilator_0_CI_2022</v>
      </c>
      <c r="D1853" s="19" t="s">
        <v>1787</v>
      </c>
      <c r="E1853" s="19" t="s">
        <v>3</v>
      </c>
      <c r="F1853" s="19" t="s">
        <v>1427</v>
      </c>
      <c r="G1853" s="19" t="s">
        <v>1429</v>
      </c>
      <c r="H1853" s="19" t="s">
        <v>11</v>
      </c>
      <c r="I1853" s="19">
        <v>0</v>
      </c>
      <c r="J1853" s="19" t="s">
        <v>27</v>
      </c>
      <c r="K1853" s="19" t="s">
        <v>1159</v>
      </c>
      <c r="L1853" s="19">
        <v>2022</v>
      </c>
      <c r="M1853" s="20">
        <v>1</v>
      </c>
      <c r="N1853" s="19" t="s">
        <v>331</v>
      </c>
      <c r="O1853" s="20">
        <v>0</v>
      </c>
      <c r="P1853" s="20">
        <v>0</v>
      </c>
      <c r="Q1853" s="20">
        <v>0</v>
      </c>
      <c r="R1853" s="21">
        <v>0.91</v>
      </c>
      <c r="S1853" s="20">
        <v>0</v>
      </c>
    </row>
    <row r="1854" spans="2:19" ht="15" customHeight="1" x14ac:dyDescent="0.25">
      <c r="B1854" s="2" t="str">
        <f t="shared" si="56"/>
        <v>NSG_Business_C&amp;I_Rebates_Energy Recovery Ventilator_0_CI</v>
      </c>
      <c r="C1854" s="2" t="str">
        <f t="shared" si="57"/>
        <v>NSG_Business_C&amp;I_Rebates_Energy Recovery Ventilator_0_CI_2023</v>
      </c>
      <c r="D1854" s="19" t="s">
        <v>1787</v>
      </c>
      <c r="E1854" s="19" t="s">
        <v>3</v>
      </c>
      <c r="F1854" s="19" t="s">
        <v>1427</v>
      </c>
      <c r="G1854" s="19" t="s">
        <v>1429</v>
      </c>
      <c r="H1854" s="19" t="s">
        <v>11</v>
      </c>
      <c r="I1854" s="19">
        <v>0</v>
      </c>
      <c r="J1854" s="19" t="s">
        <v>27</v>
      </c>
      <c r="K1854" s="19" t="s">
        <v>1159</v>
      </c>
      <c r="L1854" s="19">
        <v>2023</v>
      </c>
      <c r="M1854" s="20">
        <v>1</v>
      </c>
      <c r="N1854" s="19" t="s">
        <v>331</v>
      </c>
      <c r="O1854" s="20">
        <v>0</v>
      </c>
      <c r="P1854" s="20">
        <v>0</v>
      </c>
      <c r="Q1854" s="20">
        <v>0</v>
      </c>
      <c r="R1854" s="21">
        <v>0.91</v>
      </c>
      <c r="S1854" s="20">
        <v>0</v>
      </c>
    </row>
    <row r="1855" spans="2:19" ht="15" customHeight="1" x14ac:dyDescent="0.25">
      <c r="B1855" s="2" t="str">
        <f t="shared" si="56"/>
        <v>NSG_Business_C&amp;I_Rebates_Energy Recovery Ventilator_0_CI</v>
      </c>
      <c r="C1855" s="2" t="str">
        <f t="shared" si="57"/>
        <v>NSG_Business_C&amp;I_Rebates_Energy Recovery Ventilator_0_CI_2024</v>
      </c>
      <c r="D1855" s="19" t="s">
        <v>1787</v>
      </c>
      <c r="E1855" s="19" t="s">
        <v>3</v>
      </c>
      <c r="F1855" s="19" t="s">
        <v>1427</v>
      </c>
      <c r="G1855" s="19" t="s">
        <v>1429</v>
      </c>
      <c r="H1855" s="19" t="s">
        <v>11</v>
      </c>
      <c r="I1855" s="19">
        <v>0</v>
      </c>
      <c r="J1855" s="19" t="s">
        <v>27</v>
      </c>
      <c r="K1855" s="19" t="s">
        <v>1159</v>
      </c>
      <c r="L1855" s="19">
        <v>2024</v>
      </c>
      <c r="M1855" s="20">
        <v>1</v>
      </c>
      <c r="N1855" s="19" t="s">
        <v>331</v>
      </c>
      <c r="O1855" s="20">
        <v>0</v>
      </c>
      <c r="P1855" s="20">
        <v>0</v>
      </c>
      <c r="Q1855" s="20">
        <v>0</v>
      </c>
      <c r="R1855" s="21">
        <v>0.91</v>
      </c>
      <c r="S1855" s="20">
        <v>0</v>
      </c>
    </row>
    <row r="1856" spans="2:19" ht="15" customHeight="1" x14ac:dyDescent="0.25">
      <c r="B1856" s="2" t="str">
        <f t="shared" si="56"/>
        <v>NSG_Business_C&amp;I_Rebates_Energy Recovery Ventilator_0_CI</v>
      </c>
      <c r="C1856" s="2" t="str">
        <f t="shared" si="57"/>
        <v>NSG_Business_C&amp;I_Rebates_Energy Recovery Ventilator_0_CI_2025</v>
      </c>
      <c r="D1856" s="19" t="s">
        <v>1787</v>
      </c>
      <c r="E1856" s="19" t="s">
        <v>3</v>
      </c>
      <c r="F1856" s="19" t="s">
        <v>1427</v>
      </c>
      <c r="G1856" s="19" t="s">
        <v>1429</v>
      </c>
      <c r="H1856" s="19" t="s">
        <v>11</v>
      </c>
      <c r="I1856" s="19">
        <v>0</v>
      </c>
      <c r="J1856" s="19" t="s">
        <v>27</v>
      </c>
      <c r="K1856" s="19" t="s">
        <v>1159</v>
      </c>
      <c r="L1856" s="19">
        <v>2025</v>
      </c>
      <c r="M1856" s="20">
        <v>1</v>
      </c>
      <c r="N1856" s="19" t="s">
        <v>331</v>
      </c>
      <c r="O1856" s="20">
        <v>0</v>
      </c>
      <c r="P1856" s="20">
        <v>0</v>
      </c>
      <c r="Q1856" s="20">
        <v>0</v>
      </c>
      <c r="R1856" s="21">
        <v>0.91</v>
      </c>
      <c r="S1856" s="20">
        <v>0</v>
      </c>
    </row>
    <row r="1857" spans="2:19" ht="15" customHeight="1" x14ac:dyDescent="0.25">
      <c r="B1857" s="2" t="str">
        <f t="shared" si="56"/>
        <v>NSG_Business_C&amp;I_Strategic Energy Management_Strategic Energy Management_0_CI</v>
      </c>
      <c r="C1857" s="2" t="str">
        <f t="shared" si="57"/>
        <v>NSG_Business_C&amp;I_Strategic Energy Management_Strategic Energy Management_0_CI_2022</v>
      </c>
      <c r="D1857" s="19" t="s">
        <v>1787</v>
      </c>
      <c r="E1857" s="19" t="s">
        <v>3</v>
      </c>
      <c r="F1857" s="19" t="s">
        <v>1427</v>
      </c>
      <c r="G1857" s="19" t="s">
        <v>1397</v>
      </c>
      <c r="H1857" s="19" t="s">
        <v>1397</v>
      </c>
      <c r="I1857" s="19">
        <v>0</v>
      </c>
      <c r="J1857" s="19">
        <v>0</v>
      </c>
      <c r="K1857" s="19" t="s">
        <v>1159</v>
      </c>
      <c r="L1857" s="19">
        <v>2022</v>
      </c>
      <c r="M1857" s="20">
        <v>24824.384615384617</v>
      </c>
      <c r="N1857" s="19" t="s">
        <v>609</v>
      </c>
      <c r="O1857" s="20">
        <v>4.25</v>
      </c>
      <c r="P1857" s="20">
        <v>105503.63461538462</v>
      </c>
      <c r="Q1857" s="20">
        <v>105503.63461538462</v>
      </c>
      <c r="R1857" s="21">
        <v>1</v>
      </c>
      <c r="S1857" s="20">
        <v>105503.63461538462</v>
      </c>
    </row>
    <row r="1858" spans="2:19" ht="15" customHeight="1" x14ac:dyDescent="0.25">
      <c r="B1858" s="2" t="str">
        <f t="shared" si="56"/>
        <v>NSG_Business_C&amp;I_Strategic Energy Management_Strategic Energy Management_0_CI</v>
      </c>
      <c r="C1858" s="2" t="str">
        <f t="shared" si="57"/>
        <v>NSG_Business_C&amp;I_Strategic Energy Management_Strategic Energy Management_0_CI_2023</v>
      </c>
      <c r="D1858" s="19" t="s">
        <v>1787</v>
      </c>
      <c r="E1858" s="19" t="s">
        <v>3</v>
      </c>
      <c r="F1858" s="19" t="s">
        <v>1427</v>
      </c>
      <c r="G1858" s="19" t="s">
        <v>1397</v>
      </c>
      <c r="H1858" s="19" t="s">
        <v>1397</v>
      </c>
      <c r="I1858" s="19">
        <v>0</v>
      </c>
      <c r="J1858" s="19">
        <v>0</v>
      </c>
      <c r="K1858" s="19" t="s">
        <v>1159</v>
      </c>
      <c r="L1858" s="19">
        <v>2023</v>
      </c>
      <c r="M1858" s="20">
        <v>24824.384615384617</v>
      </c>
      <c r="N1858" s="19" t="s">
        <v>609</v>
      </c>
      <c r="O1858" s="20">
        <v>4</v>
      </c>
      <c r="P1858" s="20">
        <v>99297.538461538468</v>
      </c>
      <c r="Q1858" s="20">
        <v>99297.538461538468</v>
      </c>
      <c r="R1858" s="21">
        <v>1</v>
      </c>
      <c r="S1858" s="20">
        <v>99297.538461538468</v>
      </c>
    </row>
    <row r="1859" spans="2:19" ht="15" customHeight="1" x14ac:dyDescent="0.25">
      <c r="B1859" s="2" t="str">
        <f t="shared" si="56"/>
        <v>NSG_Business_C&amp;I_Strategic Energy Management_Strategic Energy Management_0_CI</v>
      </c>
      <c r="C1859" s="2" t="str">
        <f t="shared" si="57"/>
        <v>NSG_Business_C&amp;I_Strategic Energy Management_Strategic Energy Management_0_CI_2024</v>
      </c>
      <c r="D1859" s="19" t="s">
        <v>1787</v>
      </c>
      <c r="E1859" s="19" t="s">
        <v>3</v>
      </c>
      <c r="F1859" s="19" t="s">
        <v>1427</v>
      </c>
      <c r="G1859" s="19" t="s">
        <v>1397</v>
      </c>
      <c r="H1859" s="19" t="s">
        <v>1397</v>
      </c>
      <c r="I1859" s="19">
        <v>0</v>
      </c>
      <c r="J1859" s="19">
        <v>0</v>
      </c>
      <c r="K1859" s="19" t="s">
        <v>1159</v>
      </c>
      <c r="L1859" s="19">
        <v>2024</v>
      </c>
      <c r="M1859" s="20">
        <v>24824.384615384617</v>
      </c>
      <c r="N1859" s="19" t="s">
        <v>609</v>
      </c>
      <c r="O1859" s="20">
        <v>3.5</v>
      </c>
      <c r="P1859" s="20">
        <v>86885.346153846156</v>
      </c>
      <c r="Q1859" s="20">
        <v>86885.346153846156</v>
      </c>
      <c r="R1859" s="21">
        <v>1</v>
      </c>
      <c r="S1859" s="20">
        <v>86885.346153846156</v>
      </c>
    </row>
    <row r="1860" spans="2:19" ht="15" customHeight="1" x14ac:dyDescent="0.25">
      <c r="B1860" s="2" t="str">
        <f t="shared" si="56"/>
        <v>NSG_Business_C&amp;I_Strategic Energy Management_Strategic Energy Management_0_CI</v>
      </c>
      <c r="C1860" s="2" t="str">
        <f t="shared" si="57"/>
        <v>NSG_Business_C&amp;I_Strategic Energy Management_Strategic Energy Management_0_CI_2025</v>
      </c>
      <c r="D1860" s="19" t="s">
        <v>1787</v>
      </c>
      <c r="E1860" s="19" t="s">
        <v>3</v>
      </c>
      <c r="F1860" s="19" t="s">
        <v>1427</v>
      </c>
      <c r="G1860" s="19" t="s">
        <v>1397</v>
      </c>
      <c r="H1860" s="19" t="s">
        <v>1397</v>
      </c>
      <c r="I1860" s="19">
        <v>0</v>
      </c>
      <c r="J1860" s="19">
        <v>0</v>
      </c>
      <c r="K1860" s="19" t="s">
        <v>1159</v>
      </c>
      <c r="L1860" s="19">
        <v>2025</v>
      </c>
      <c r="M1860" s="20">
        <v>24824.384615384617</v>
      </c>
      <c r="N1860" s="19" t="s">
        <v>609</v>
      </c>
      <c r="O1860" s="20">
        <v>3.4000000000000004</v>
      </c>
      <c r="P1860" s="20">
        <v>84402.907692307708</v>
      </c>
      <c r="Q1860" s="20">
        <v>84402.907692307708</v>
      </c>
      <c r="R1860" s="21">
        <v>1</v>
      </c>
      <c r="S1860" s="20">
        <v>84402.907692307708</v>
      </c>
    </row>
    <row r="1861" spans="2:19" ht="15" customHeight="1" x14ac:dyDescent="0.25">
      <c r="B1861" s="2" t="str">
        <f t="shared" si="56"/>
        <v>NSG_Business_C&amp;I_Custom_C&amp;I Custom_0_CI</v>
      </c>
      <c r="C1861" s="2" t="str">
        <f t="shared" si="57"/>
        <v>NSG_Business_C&amp;I_Custom_C&amp;I Custom_0_CI_2022</v>
      </c>
      <c r="D1861" s="19" t="s">
        <v>1787</v>
      </c>
      <c r="E1861" s="19" t="s">
        <v>3</v>
      </c>
      <c r="F1861" s="19" t="s">
        <v>1427</v>
      </c>
      <c r="G1861" s="19" t="s">
        <v>5</v>
      </c>
      <c r="H1861" s="19" t="s">
        <v>1285</v>
      </c>
      <c r="I1861" s="19">
        <v>0</v>
      </c>
      <c r="J1861" s="19">
        <v>0</v>
      </c>
      <c r="K1861" s="19" t="s">
        <v>1159</v>
      </c>
      <c r="L1861" s="19">
        <v>2022</v>
      </c>
      <c r="M1861" s="20">
        <v>16992</v>
      </c>
      <c r="N1861" s="19" t="s">
        <v>609</v>
      </c>
      <c r="O1861" s="20">
        <v>3</v>
      </c>
      <c r="P1861" s="20">
        <v>50976</v>
      </c>
      <c r="Q1861" s="20">
        <v>37722.239999999998</v>
      </c>
      <c r="R1861" s="21">
        <v>0.74</v>
      </c>
      <c r="S1861" s="20">
        <v>37722.239999999998</v>
      </c>
    </row>
    <row r="1862" spans="2:19" ht="15" customHeight="1" x14ac:dyDescent="0.25">
      <c r="B1862" s="2" t="str">
        <f t="shared" ref="B1862:B1925" si="58">D1862&amp;"_"&amp;E1862&amp;"_"&amp;F1862&amp;"_"&amp;G1862&amp;"_"&amp;H1862&amp;"_"&amp;I1862&amp;"_"&amp;K1862</f>
        <v>NSG_Business_C&amp;I_Custom_C&amp;I Custom_0_CI</v>
      </c>
      <c r="C1862" s="2" t="str">
        <f t="shared" ref="C1862:C1925" si="59">D1862&amp;"_"&amp;E1862&amp;"_"&amp;F1862&amp;"_"&amp;G1862&amp;"_"&amp;H1862&amp;"_"&amp;I1862&amp;"_"&amp;K1862&amp;"_"&amp;L1862</f>
        <v>NSG_Business_C&amp;I_Custom_C&amp;I Custom_0_CI_2023</v>
      </c>
      <c r="D1862" s="19" t="s">
        <v>1787</v>
      </c>
      <c r="E1862" s="19" t="s">
        <v>3</v>
      </c>
      <c r="F1862" s="19" t="s">
        <v>1427</v>
      </c>
      <c r="G1862" s="19" t="s">
        <v>5</v>
      </c>
      <c r="H1862" s="19" t="s">
        <v>1285</v>
      </c>
      <c r="I1862" s="19">
        <v>0</v>
      </c>
      <c r="J1862" s="19">
        <v>0</v>
      </c>
      <c r="K1862" s="19" t="s">
        <v>1159</v>
      </c>
      <c r="L1862" s="19">
        <v>2023</v>
      </c>
      <c r="M1862" s="20">
        <v>16992</v>
      </c>
      <c r="N1862" s="19" t="s">
        <v>609</v>
      </c>
      <c r="O1862" s="20">
        <v>3.2</v>
      </c>
      <c r="P1862" s="20">
        <v>54374.400000000001</v>
      </c>
      <c r="Q1862" s="20">
        <v>40237.056000000004</v>
      </c>
      <c r="R1862" s="21">
        <v>0.74</v>
      </c>
      <c r="S1862" s="20">
        <v>40237.056000000004</v>
      </c>
    </row>
    <row r="1863" spans="2:19" ht="15" customHeight="1" x14ac:dyDescent="0.25">
      <c r="B1863" s="2" t="str">
        <f t="shared" si="58"/>
        <v>NSG_Business_C&amp;I_Custom_C&amp;I Custom_0_CI</v>
      </c>
      <c r="C1863" s="2" t="str">
        <f t="shared" si="59"/>
        <v>NSG_Business_C&amp;I_Custom_C&amp;I Custom_0_CI_2024</v>
      </c>
      <c r="D1863" s="19" t="s">
        <v>1787</v>
      </c>
      <c r="E1863" s="19" t="s">
        <v>3</v>
      </c>
      <c r="F1863" s="19" t="s">
        <v>1427</v>
      </c>
      <c r="G1863" s="19" t="s">
        <v>5</v>
      </c>
      <c r="H1863" s="19" t="s">
        <v>1285</v>
      </c>
      <c r="I1863" s="19">
        <v>0</v>
      </c>
      <c r="J1863" s="19">
        <v>0</v>
      </c>
      <c r="K1863" s="19" t="s">
        <v>1159</v>
      </c>
      <c r="L1863" s="19">
        <v>2024</v>
      </c>
      <c r="M1863" s="20">
        <v>16992</v>
      </c>
      <c r="N1863" s="19" t="s">
        <v>609</v>
      </c>
      <c r="O1863" s="20">
        <v>2.8</v>
      </c>
      <c r="P1863" s="20">
        <v>47577.599999999999</v>
      </c>
      <c r="Q1863" s="20">
        <v>35207.423999999999</v>
      </c>
      <c r="R1863" s="21">
        <v>0.74</v>
      </c>
      <c r="S1863" s="20">
        <v>35207.423999999999</v>
      </c>
    </row>
    <row r="1864" spans="2:19" ht="15" customHeight="1" x14ac:dyDescent="0.25">
      <c r="B1864" s="2" t="str">
        <f t="shared" si="58"/>
        <v>NSG_Business_C&amp;I_Custom_C&amp;I Custom_0_CI</v>
      </c>
      <c r="C1864" s="2" t="str">
        <f t="shared" si="59"/>
        <v>NSG_Business_C&amp;I_Custom_C&amp;I Custom_0_CI_2025</v>
      </c>
      <c r="D1864" s="19" t="s">
        <v>1787</v>
      </c>
      <c r="E1864" s="19" t="s">
        <v>3</v>
      </c>
      <c r="F1864" s="19" t="s">
        <v>1427</v>
      </c>
      <c r="G1864" s="19" t="s">
        <v>5</v>
      </c>
      <c r="H1864" s="19" t="s">
        <v>1285</v>
      </c>
      <c r="I1864" s="19">
        <v>0</v>
      </c>
      <c r="J1864" s="19">
        <v>0</v>
      </c>
      <c r="K1864" s="19" t="s">
        <v>1159</v>
      </c>
      <c r="L1864" s="19">
        <v>2025</v>
      </c>
      <c r="M1864" s="20">
        <v>16992</v>
      </c>
      <c r="N1864" s="19" t="s">
        <v>609</v>
      </c>
      <c r="O1864" s="20">
        <v>2.72</v>
      </c>
      <c r="P1864" s="20">
        <v>46218.240000000005</v>
      </c>
      <c r="Q1864" s="20">
        <v>34201.497600000002</v>
      </c>
      <c r="R1864" s="21">
        <v>0.74</v>
      </c>
      <c r="S1864" s="20">
        <v>34201.497600000002</v>
      </c>
    </row>
    <row r="1865" spans="2:19" ht="15" customHeight="1" x14ac:dyDescent="0.25">
      <c r="B1865" s="2" t="str">
        <f t="shared" si="58"/>
        <v>NSG_Business_C&amp;I_New Construction_C&amp;I New Construction_0_CI</v>
      </c>
      <c r="C1865" s="2" t="str">
        <f t="shared" si="59"/>
        <v>NSG_Business_C&amp;I_New Construction_C&amp;I New Construction_0_CI_2022</v>
      </c>
      <c r="D1865" s="19" t="s">
        <v>1787</v>
      </c>
      <c r="E1865" s="19" t="s">
        <v>3</v>
      </c>
      <c r="F1865" s="19" t="s">
        <v>1427</v>
      </c>
      <c r="G1865" s="19" t="s">
        <v>1092</v>
      </c>
      <c r="H1865" s="19" t="s">
        <v>1286</v>
      </c>
      <c r="I1865" s="19">
        <v>0</v>
      </c>
      <c r="J1865" s="19">
        <v>0</v>
      </c>
      <c r="K1865" s="19" t="s">
        <v>1159</v>
      </c>
      <c r="L1865" s="19">
        <v>2022</v>
      </c>
      <c r="M1865" s="20">
        <v>7515.5</v>
      </c>
      <c r="N1865" s="19" t="s">
        <v>609</v>
      </c>
      <c r="O1865" s="20">
        <v>0</v>
      </c>
      <c r="P1865" s="20">
        <v>0</v>
      </c>
      <c r="Q1865" s="20">
        <v>0</v>
      </c>
      <c r="R1865" s="21">
        <v>0.54</v>
      </c>
      <c r="S1865" s="20">
        <v>0</v>
      </c>
    </row>
    <row r="1866" spans="2:19" ht="15" customHeight="1" x14ac:dyDescent="0.25">
      <c r="B1866" s="2" t="str">
        <f t="shared" si="58"/>
        <v>NSG_Business_C&amp;I_New Construction_C&amp;I New Construction_0_CI</v>
      </c>
      <c r="C1866" s="2" t="str">
        <f t="shared" si="59"/>
        <v>NSG_Business_C&amp;I_New Construction_C&amp;I New Construction_0_CI_2023</v>
      </c>
      <c r="D1866" s="19" t="s">
        <v>1787</v>
      </c>
      <c r="E1866" s="19" t="s">
        <v>3</v>
      </c>
      <c r="F1866" s="19" t="s">
        <v>1427</v>
      </c>
      <c r="G1866" s="19" t="s">
        <v>1092</v>
      </c>
      <c r="H1866" s="19" t="s">
        <v>1286</v>
      </c>
      <c r="I1866" s="19">
        <v>0</v>
      </c>
      <c r="J1866" s="19">
        <v>0</v>
      </c>
      <c r="K1866" s="19" t="s">
        <v>1159</v>
      </c>
      <c r="L1866" s="19">
        <v>2023</v>
      </c>
      <c r="M1866" s="20">
        <v>7515.5</v>
      </c>
      <c r="N1866" s="19" t="s">
        <v>609</v>
      </c>
      <c r="O1866" s="20">
        <v>0</v>
      </c>
      <c r="P1866" s="20">
        <v>0</v>
      </c>
      <c r="Q1866" s="20">
        <v>0</v>
      </c>
      <c r="R1866" s="21">
        <v>0.54</v>
      </c>
      <c r="S1866" s="20">
        <v>0</v>
      </c>
    </row>
    <row r="1867" spans="2:19" ht="15" customHeight="1" x14ac:dyDescent="0.25">
      <c r="B1867" s="2" t="str">
        <f t="shared" si="58"/>
        <v>NSG_Business_C&amp;I_New Construction_C&amp;I New Construction_0_CI</v>
      </c>
      <c r="C1867" s="2" t="str">
        <f t="shared" si="59"/>
        <v>NSG_Business_C&amp;I_New Construction_C&amp;I New Construction_0_CI_2024</v>
      </c>
      <c r="D1867" s="19" t="s">
        <v>1787</v>
      </c>
      <c r="E1867" s="19" t="s">
        <v>3</v>
      </c>
      <c r="F1867" s="19" t="s">
        <v>1427</v>
      </c>
      <c r="G1867" s="19" t="s">
        <v>1092</v>
      </c>
      <c r="H1867" s="19" t="s">
        <v>1286</v>
      </c>
      <c r="I1867" s="19">
        <v>0</v>
      </c>
      <c r="J1867" s="19">
        <v>0</v>
      </c>
      <c r="K1867" s="19" t="s">
        <v>1159</v>
      </c>
      <c r="L1867" s="19">
        <v>2024</v>
      </c>
      <c r="M1867" s="20">
        <v>7515.5</v>
      </c>
      <c r="N1867" s="19" t="s">
        <v>609</v>
      </c>
      <c r="O1867" s="20">
        <v>0</v>
      </c>
      <c r="P1867" s="20">
        <v>0</v>
      </c>
      <c r="Q1867" s="20">
        <v>0</v>
      </c>
      <c r="R1867" s="21">
        <v>0.54</v>
      </c>
      <c r="S1867" s="20">
        <v>0</v>
      </c>
    </row>
    <row r="1868" spans="2:19" ht="15" customHeight="1" x14ac:dyDescent="0.25">
      <c r="B1868" s="2" t="str">
        <f t="shared" si="58"/>
        <v>NSG_Business_C&amp;I_New Construction_C&amp;I New Construction_0_CI</v>
      </c>
      <c r="C1868" s="2" t="str">
        <f t="shared" si="59"/>
        <v>NSG_Business_C&amp;I_New Construction_C&amp;I New Construction_0_CI_2025</v>
      </c>
      <c r="D1868" s="19" t="s">
        <v>1787</v>
      </c>
      <c r="E1868" s="19" t="s">
        <v>3</v>
      </c>
      <c r="F1868" s="19" t="s">
        <v>1427</v>
      </c>
      <c r="G1868" s="19" t="s">
        <v>1092</v>
      </c>
      <c r="H1868" s="19" t="s">
        <v>1286</v>
      </c>
      <c r="I1868" s="19">
        <v>0</v>
      </c>
      <c r="J1868" s="19">
        <v>0</v>
      </c>
      <c r="K1868" s="19" t="s">
        <v>1159</v>
      </c>
      <c r="L1868" s="19">
        <v>2025</v>
      </c>
      <c r="M1868" s="20">
        <v>7515.5</v>
      </c>
      <c r="N1868" s="19" t="s">
        <v>609</v>
      </c>
      <c r="O1868" s="20">
        <v>0</v>
      </c>
      <c r="P1868" s="20">
        <v>0</v>
      </c>
      <c r="Q1868" s="20">
        <v>0</v>
      </c>
      <c r="R1868" s="21">
        <v>0.54</v>
      </c>
      <c r="S1868" s="20">
        <v>0</v>
      </c>
    </row>
    <row r="1869" spans="2:19" ht="15" customHeight="1" x14ac:dyDescent="0.25">
      <c r="B1869" s="2" t="str">
        <f t="shared" si="58"/>
        <v>00REMOVE_00REMOVE_00REMOVE_Remove_Unit Visit_0_CI</v>
      </c>
      <c r="C1869" s="2" t="str">
        <f t="shared" si="59"/>
        <v>00REMOVE_00REMOVE_00REMOVE_Remove_Unit Visit_0_CI_2022</v>
      </c>
      <c r="D1869" s="19" t="s">
        <v>1805</v>
      </c>
      <c r="E1869" s="19" t="s">
        <v>1805</v>
      </c>
      <c r="F1869" s="19" t="s">
        <v>1805</v>
      </c>
      <c r="G1869" s="19" t="s">
        <v>1806</v>
      </c>
      <c r="H1869" s="19" t="s">
        <v>1090</v>
      </c>
      <c r="I1869" s="19">
        <v>0</v>
      </c>
      <c r="J1869" s="19">
        <v>0</v>
      </c>
      <c r="K1869" s="19" t="s">
        <v>1159</v>
      </c>
      <c r="L1869" s="19">
        <v>2022</v>
      </c>
      <c r="M1869" s="20">
        <v>1</v>
      </c>
      <c r="N1869" s="19" t="s">
        <v>1798</v>
      </c>
      <c r="O1869" s="20">
        <v>0</v>
      </c>
      <c r="P1869" s="20">
        <v>0</v>
      </c>
      <c r="Q1869" s="20">
        <v>0</v>
      </c>
      <c r="R1869" s="21">
        <v>0.91</v>
      </c>
      <c r="S1869" s="20">
        <v>0</v>
      </c>
    </row>
    <row r="1870" spans="2:19" ht="15" customHeight="1" x14ac:dyDescent="0.25">
      <c r="B1870" s="2" t="str">
        <f t="shared" si="58"/>
        <v>00REMOVE_00REMOVE_00REMOVE_Remove_Unit Visit_0_CI</v>
      </c>
      <c r="C1870" s="2" t="str">
        <f t="shared" si="59"/>
        <v>00REMOVE_00REMOVE_00REMOVE_Remove_Unit Visit_0_CI_2023</v>
      </c>
      <c r="D1870" s="19" t="s">
        <v>1805</v>
      </c>
      <c r="E1870" s="19" t="s">
        <v>1805</v>
      </c>
      <c r="F1870" s="19" t="s">
        <v>1805</v>
      </c>
      <c r="G1870" s="19" t="s">
        <v>1806</v>
      </c>
      <c r="H1870" s="19" t="s">
        <v>1090</v>
      </c>
      <c r="I1870" s="19">
        <v>0</v>
      </c>
      <c r="J1870" s="19">
        <v>0</v>
      </c>
      <c r="K1870" s="19" t="s">
        <v>1159</v>
      </c>
      <c r="L1870" s="19">
        <v>2023</v>
      </c>
      <c r="M1870" s="20">
        <v>1</v>
      </c>
      <c r="N1870" s="19" t="s">
        <v>1798</v>
      </c>
      <c r="O1870" s="20">
        <v>0</v>
      </c>
      <c r="P1870" s="20">
        <v>0</v>
      </c>
      <c r="Q1870" s="20">
        <v>0</v>
      </c>
      <c r="R1870" s="21">
        <v>0.91</v>
      </c>
      <c r="S1870" s="20">
        <v>0</v>
      </c>
    </row>
    <row r="1871" spans="2:19" ht="15" customHeight="1" x14ac:dyDescent="0.25">
      <c r="B1871" s="2" t="str">
        <f t="shared" si="58"/>
        <v>00REMOVE_00REMOVE_00REMOVE_Remove_Unit Visit_0_CI</v>
      </c>
      <c r="C1871" s="2" t="str">
        <f t="shared" si="59"/>
        <v>00REMOVE_00REMOVE_00REMOVE_Remove_Unit Visit_0_CI_2024</v>
      </c>
      <c r="D1871" s="19" t="s">
        <v>1805</v>
      </c>
      <c r="E1871" s="19" t="s">
        <v>1805</v>
      </c>
      <c r="F1871" s="19" t="s">
        <v>1805</v>
      </c>
      <c r="G1871" s="19" t="s">
        <v>1806</v>
      </c>
      <c r="H1871" s="19" t="s">
        <v>1090</v>
      </c>
      <c r="I1871" s="19">
        <v>0</v>
      </c>
      <c r="J1871" s="19">
        <v>0</v>
      </c>
      <c r="K1871" s="19" t="s">
        <v>1159</v>
      </c>
      <c r="L1871" s="19">
        <v>2024</v>
      </c>
      <c r="M1871" s="20">
        <v>1</v>
      </c>
      <c r="N1871" s="19" t="s">
        <v>1798</v>
      </c>
      <c r="O1871" s="20">
        <v>0</v>
      </c>
      <c r="P1871" s="20">
        <v>0</v>
      </c>
      <c r="Q1871" s="20">
        <v>0</v>
      </c>
      <c r="R1871" s="21">
        <v>0.91</v>
      </c>
      <c r="S1871" s="20">
        <v>0</v>
      </c>
    </row>
    <row r="1872" spans="2:19" ht="15" customHeight="1" x14ac:dyDescent="0.25">
      <c r="B1872" s="2" t="str">
        <f t="shared" si="58"/>
        <v>00REMOVE_00REMOVE_00REMOVE_Remove_Unit Visit_0_CI</v>
      </c>
      <c r="C1872" s="2" t="str">
        <f t="shared" si="59"/>
        <v>00REMOVE_00REMOVE_00REMOVE_Remove_Unit Visit_0_CI_2025</v>
      </c>
      <c r="D1872" s="19" t="s">
        <v>1805</v>
      </c>
      <c r="E1872" s="19" t="s">
        <v>1805</v>
      </c>
      <c r="F1872" s="19" t="s">
        <v>1805</v>
      </c>
      <c r="G1872" s="19" t="s">
        <v>1806</v>
      </c>
      <c r="H1872" s="19" t="s">
        <v>1090</v>
      </c>
      <c r="I1872" s="19">
        <v>0</v>
      </c>
      <c r="J1872" s="19">
        <v>0</v>
      </c>
      <c r="K1872" s="19" t="s">
        <v>1159</v>
      </c>
      <c r="L1872" s="19">
        <v>2025</v>
      </c>
      <c r="M1872" s="20">
        <v>1</v>
      </c>
      <c r="N1872" s="19" t="s">
        <v>1798</v>
      </c>
      <c r="O1872" s="20">
        <v>0</v>
      </c>
      <c r="P1872" s="20">
        <v>0</v>
      </c>
      <c r="Q1872" s="20">
        <v>0</v>
      </c>
      <c r="R1872" s="21">
        <v>0.91</v>
      </c>
      <c r="S1872" s="20">
        <v>0</v>
      </c>
    </row>
    <row r="1873" spans="2:19" ht="15" customHeight="1" x14ac:dyDescent="0.25">
      <c r="B1873" s="2" t="str">
        <f t="shared" si="58"/>
        <v>00REMOVE_00REMOVE_00REMOVE_Remove_Low Flow Bathroom Aerator_0_CI</v>
      </c>
      <c r="C1873" s="2" t="str">
        <f t="shared" si="59"/>
        <v>00REMOVE_00REMOVE_00REMOVE_Remove_Low Flow Bathroom Aerator_0_CI_2022</v>
      </c>
      <c r="D1873" s="19" t="s">
        <v>1805</v>
      </c>
      <c r="E1873" s="19" t="s">
        <v>1805</v>
      </c>
      <c r="F1873" s="19" t="s">
        <v>1805</v>
      </c>
      <c r="G1873" s="19" t="s">
        <v>1806</v>
      </c>
      <c r="H1873" s="19" t="s">
        <v>555</v>
      </c>
      <c r="I1873" s="19">
        <v>0</v>
      </c>
      <c r="J1873" s="19" t="s">
        <v>35</v>
      </c>
      <c r="K1873" s="19" t="s">
        <v>1159</v>
      </c>
      <c r="L1873" s="19">
        <v>2022</v>
      </c>
      <c r="M1873" s="20">
        <v>1</v>
      </c>
      <c r="N1873" s="19" t="s">
        <v>1798</v>
      </c>
      <c r="O1873" s="20">
        <v>0</v>
      </c>
      <c r="P1873" s="20">
        <v>0</v>
      </c>
      <c r="Q1873" s="20">
        <v>0</v>
      </c>
      <c r="R1873" s="21">
        <v>0.91</v>
      </c>
      <c r="S1873" s="20">
        <v>0</v>
      </c>
    </row>
    <row r="1874" spans="2:19" ht="15" customHeight="1" x14ac:dyDescent="0.25">
      <c r="B1874" s="2" t="str">
        <f t="shared" si="58"/>
        <v>00REMOVE_00REMOVE_00REMOVE_Remove_Low Flow Bathroom Aerator_0_CI</v>
      </c>
      <c r="C1874" s="2" t="str">
        <f t="shared" si="59"/>
        <v>00REMOVE_00REMOVE_00REMOVE_Remove_Low Flow Bathroom Aerator_0_CI_2023</v>
      </c>
      <c r="D1874" s="19" t="s">
        <v>1805</v>
      </c>
      <c r="E1874" s="19" t="s">
        <v>1805</v>
      </c>
      <c r="F1874" s="19" t="s">
        <v>1805</v>
      </c>
      <c r="G1874" s="19" t="s">
        <v>1806</v>
      </c>
      <c r="H1874" s="19" t="s">
        <v>555</v>
      </c>
      <c r="I1874" s="19">
        <v>0</v>
      </c>
      <c r="J1874" s="19" t="s">
        <v>35</v>
      </c>
      <c r="K1874" s="19" t="s">
        <v>1159</v>
      </c>
      <c r="L1874" s="19">
        <v>2023</v>
      </c>
      <c r="M1874" s="20">
        <v>1</v>
      </c>
      <c r="N1874" s="19" t="s">
        <v>1798</v>
      </c>
      <c r="O1874" s="20">
        <v>0</v>
      </c>
      <c r="P1874" s="20">
        <v>0</v>
      </c>
      <c r="Q1874" s="20">
        <v>0</v>
      </c>
      <c r="R1874" s="21">
        <v>0.91</v>
      </c>
      <c r="S1874" s="20">
        <v>0</v>
      </c>
    </row>
    <row r="1875" spans="2:19" ht="15" customHeight="1" x14ac:dyDescent="0.25">
      <c r="B1875" s="2" t="str">
        <f t="shared" si="58"/>
        <v>00REMOVE_00REMOVE_00REMOVE_Remove_Low Flow Bathroom Aerator_0_CI</v>
      </c>
      <c r="C1875" s="2" t="str">
        <f t="shared" si="59"/>
        <v>00REMOVE_00REMOVE_00REMOVE_Remove_Low Flow Bathroom Aerator_0_CI_2024</v>
      </c>
      <c r="D1875" s="19" t="s">
        <v>1805</v>
      </c>
      <c r="E1875" s="19" t="s">
        <v>1805</v>
      </c>
      <c r="F1875" s="19" t="s">
        <v>1805</v>
      </c>
      <c r="G1875" s="19" t="s">
        <v>1806</v>
      </c>
      <c r="H1875" s="19" t="s">
        <v>555</v>
      </c>
      <c r="I1875" s="19">
        <v>0</v>
      </c>
      <c r="J1875" s="19" t="s">
        <v>35</v>
      </c>
      <c r="K1875" s="19" t="s">
        <v>1159</v>
      </c>
      <c r="L1875" s="19">
        <v>2024</v>
      </c>
      <c r="M1875" s="20">
        <v>1</v>
      </c>
      <c r="N1875" s="19" t="s">
        <v>1798</v>
      </c>
      <c r="O1875" s="20">
        <v>0</v>
      </c>
      <c r="P1875" s="20">
        <v>0</v>
      </c>
      <c r="Q1875" s="20">
        <v>0</v>
      </c>
      <c r="R1875" s="21">
        <v>0.91</v>
      </c>
      <c r="S1875" s="20">
        <v>0</v>
      </c>
    </row>
    <row r="1876" spans="2:19" ht="15" customHeight="1" x14ac:dyDescent="0.25">
      <c r="B1876" s="2" t="str">
        <f t="shared" si="58"/>
        <v>00REMOVE_00REMOVE_00REMOVE_Remove_Low Flow Bathroom Aerator_0_CI</v>
      </c>
      <c r="C1876" s="2" t="str">
        <f t="shared" si="59"/>
        <v>00REMOVE_00REMOVE_00REMOVE_Remove_Low Flow Bathroom Aerator_0_CI_2025</v>
      </c>
      <c r="D1876" s="19" t="s">
        <v>1805</v>
      </c>
      <c r="E1876" s="19" t="s">
        <v>1805</v>
      </c>
      <c r="F1876" s="19" t="s">
        <v>1805</v>
      </c>
      <c r="G1876" s="19" t="s">
        <v>1806</v>
      </c>
      <c r="H1876" s="19" t="s">
        <v>555</v>
      </c>
      <c r="I1876" s="19">
        <v>0</v>
      </c>
      <c r="J1876" s="19" t="s">
        <v>35</v>
      </c>
      <c r="K1876" s="19" t="s">
        <v>1159</v>
      </c>
      <c r="L1876" s="19">
        <v>2025</v>
      </c>
      <c r="M1876" s="20">
        <v>1</v>
      </c>
      <c r="N1876" s="19" t="s">
        <v>1798</v>
      </c>
      <c r="O1876" s="20">
        <v>0</v>
      </c>
      <c r="P1876" s="20">
        <v>0</v>
      </c>
      <c r="Q1876" s="20">
        <v>0</v>
      </c>
      <c r="R1876" s="21">
        <v>0.91</v>
      </c>
      <c r="S1876" s="20">
        <v>0</v>
      </c>
    </row>
    <row r="1877" spans="2:19" ht="15" customHeight="1" x14ac:dyDescent="0.25">
      <c r="B1877" s="2" t="str">
        <f t="shared" si="58"/>
        <v>00REMOVE_00REMOVE_00REMOVE_Remove_Low Flow Kitchen Aerator_0_CI</v>
      </c>
      <c r="C1877" s="2" t="str">
        <f t="shared" si="59"/>
        <v>00REMOVE_00REMOVE_00REMOVE_Remove_Low Flow Kitchen Aerator_0_CI_2022</v>
      </c>
      <c r="D1877" s="19" t="s">
        <v>1805</v>
      </c>
      <c r="E1877" s="19" t="s">
        <v>1805</v>
      </c>
      <c r="F1877" s="19" t="s">
        <v>1805</v>
      </c>
      <c r="G1877" s="19" t="s">
        <v>1806</v>
      </c>
      <c r="H1877" s="19" t="s">
        <v>533</v>
      </c>
      <c r="I1877" s="19">
        <v>0</v>
      </c>
      <c r="J1877" s="19" t="s">
        <v>35</v>
      </c>
      <c r="K1877" s="19" t="s">
        <v>1159</v>
      </c>
      <c r="L1877" s="19">
        <v>2022</v>
      </c>
      <c r="M1877" s="20">
        <v>1</v>
      </c>
      <c r="N1877" s="19" t="s">
        <v>1798</v>
      </c>
      <c r="O1877" s="20">
        <v>0</v>
      </c>
      <c r="P1877" s="20">
        <v>0</v>
      </c>
      <c r="Q1877" s="20">
        <v>0</v>
      </c>
      <c r="R1877" s="21">
        <v>0.91</v>
      </c>
      <c r="S1877" s="20">
        <v>0</v>
      </c>
    </row>
    <row r="1878" spans="2:19" ht="15" customHeight="1" x14ac:dyDescent="0.25">
      <c r="B1878" s="2" t="str">
        <f t="shared" si="58"/>
        <v>00REMOVE_00REMOVE_00REMOVE_Remove_Low Flow Kitchen Aerator_0_CI</v>
      </c>
      <c r="C1878" s="2" t="str">
        <f t="shared" si="59"/>
        <v>00REMOVE_00REMOVE_00REMOVE_Remove_Low Flow Kitchen Aerator_0_CI_2023</v>
      </c>
      <c r="D1878" s="19" t="s">
        <v>1805</v>
      </c>
      <c r="E1878" s="19" t="s">
        <v>1805</v>
      </c>
      <c r="F1878" s="19" t="s">
        <v>1805</v>
      </c>
      <c r="G1878" s="19" t="s">
        <v>1806</v>
      </c>
      <c r="H1878" s="19" t="s">
        <v>533</v>
      </c>
      <c r="I1878" s="19">
        <v>0</v>
      </c>
      <c r="J1878" s="19" t="s">
        <v>35</v>
      </c>
      <c r="K1878" s="19" t="s">
        <v>1159</v>
      </c>
      <c r="L1878" s="19">
        <v>2023</v>
      </c>
      <c r="M1878" s="20">
        <v>1</v>
      </c>
      <c r="N1878" s="19" t="s">
        <v>1798</v>
      </c>
      <c r="O1878" s="20">
        <v>0</v>
      </c>
      <c r="P1878" s="20">
        <v>0</v>
      </c>
      <c r="Q1878" s="20">
        <v>0</v>
      </c>
      <c r="R1878" s="21">
        <v>0.91</v>
      </c>
      <c r="S1878" s="20">
        <v>0</v>
      </c>
    </row>
    <row r="1879" spans="2:19" ht="15" customHeight="1" x14ac:dyDescent="0.25">
      <c r="B1879" s="2" t="str">
        <f t="shared" si="58"/>
        <v>00REMOVE_00REMOVE_00REMOVE_Remove_Low Flow Kitchen Aerator_0_CI</v>
      </c>
      <c r="C1879" s="2" t="str">
        <f t="shared" si="59"/>
        <v>00REMOVE_00REMOVE_00REMOVE_Remove_Low Flow Kitchen Aerator_0_CI_2024</v>
      </c>
      <c r="D1879" s="19" t="s">
        <v>1805</v>
      </c>
      <c r="E1879" s="19" t="s">
        <v>1805</v>
      </c>
      <c r="F1879" s="19" t="s">
        <v>1805</v>
      </c>
      <c r="G1879" s="19" t="s">
        <v>1806</v>
      </c>
      <c r="H1879" s="19" t="s">
        <v>533</v>
      </c>
      <c r="I1879" s="19">
        <v>0</v>
      </c>
      <c r="J1879" s="19" t="s">
        <v>35</v>
      </c>
      <c r="K1879" s="19" t="s">
        <v>1159</v>
      </c>
      <c r="L1879" s="19">
        <v>2024</v>
      </c>
      <c r="M1879" s="20">
        <v>1</v>
      </c>
      <c r="N1879" s="19" t="s">
        <v>1798</v>
      </c>
      <c r="O1879" s="20">
        <v>0</v>
      </c>
      <c r="P1879" s="20">
        <v>0</v>
      </c>
      <c r="Q1879" s="20">
        <v>0</v>
      </c>
      <c r="R1879" s="21">
        <v>0.91</v>
      </c>
      <c r="S1879" s="20">
        <v>0</v>
      </c>
    </row>
    <row r="1880" spans="2:19" ht="15" customHeight="1" x14ac:dyDescent="0.25">
      <c r="B1880" s="2" t="str">
        <f t="shared" si="58"/>
        <v>00REMOVE_00REMOVE_00REMOVE_Remove_Low Flow Kitchen Aerator_0_CI</v>
      </c>
      <c r="C1880" s="2" t="str">
        <f t="shared" si="59"/>
        <v>00REMOVE_00REMOVE_00REMOVE_Remove_Low Flow Kitchen Aerator_0_CI_2025</v>
      </c>
      <c r="D1880" s="19" t="s">
        <v>1805</v>
      </c>
      <c r="E1880" s="19" t="s">
        <v>1805</v>
      </c>
      <c r="F1880" s="19" t="s">
        <v>1805</v>
      </c>
      <c r="G1880" s="19" t="s">
        <v>1806</v>
      </c>
      <c r="H1880" s="19" t="s">
        <v>533</v>
      </c>
      <c r="I1880" s="19">
        <v>0</v>
      </c>
      <c r="J1880" s="19" t="s">
        <v>35</v>
      </c>
      <c r="K1880" s="19" t="s">
        <v>1159</v>
      </c>
      <c r="L1880" s="19">
        <v>2025</v>
      </c>
      <c r="M1880" s="20">
        <v>1</v>
      </c>
      <c r="N1880" s="19" t="s">
        <v>1798</v>
      </c>
      <c r="O1880" s="20">
        <v>0</v>
      </c>
      <c r="P1880" s="20">
        <v>0</v>
      </c>
      <c r="Q1880" s="20">
        <v>0</v>
      </c>
      <c r="R1880" s="21">
        <v>0.91</v>
      </c>
      <c r="S1880" s="20">
        <v>0</v>
      </c>
    </row>
    <row r="1881" spans="2:19" ht="15" customHeight="1" x14ac:dyDescent="0.25">
      <c r="B1881" s="2" t="str">
        <f t="shared" si="58"/>
        <v>00REMOVE_00REMOVE_00REMOVE_Remove_Low Flow Showerhead_0_CI</v>
      </c>
      <c r="C1881" s="2" t="str">
        <f t="shared" si="59"/>
        <v>00REMOVE_00REMOVE_00REMOVE_Remove_Low Flow Showerhead_0_CI_2022</v>
      </c>
      <c r="D1881" s="19" t="s">
        <v>1805</v>
      </c>
      <c r="E1881" s="19" t="s">
        <v>1805</v>
      </c>
      <c r="F1881" s="19" t="s">
        <v>1805</v>
      </c>
      <c r="G1881" s="19" t="s">
        <v>1806</v>
      </c>
      <c r="H1881" s="19" t="s">
        <v>15</v>
      </c>
      <c r="I1881" s="19">
        <v>0</v>
      </c>
      <c r="J1881" s="19" t="s">
        <v>36</v>
      </c>
      <c r="K1881" s="19" t="s">
        <v>1159</v>
      </c>
      <c r="L1881" s="19">
        <v>2022</v>
      </c>
      <c r="M1881" s="20">
        <v>1</v>
      </c>
      <c r="N1881" s="19" t="s">
        <v>1798</v>
      </c>
      <c r="O1881" s="20">
        <v>0</v>
      </c>
      <c r="P1881" s="20">
        <v>0</v>
      </c>
      <c r="Q1881" s="20">
        <v>0</v>
      </c>
      <c r="R1881" s="21">
        <v>0.91</v>
      </c>
      <c r="S1881" s="20">
        <v>0</v>
      </c>
    </row>
    <row r="1882" spans="2:19" ht="15" customHeight="1" x14ac:dyDescent="0.25">
      <c r="B1882" s="2" t="str">
        <f t="shared" si="58"/>
        <v>00REMOVE_00REMOVE_00REMOVE_Remove_Low Flow Showerhead_0_CI</v>
      </c>
      <c r="C1882" s="2" t="str">
        <f t="shared" si="59"/>
        <v>00REMOVE_00REMOVE_00REMOVE_Remove_Low Flow Showerhead_0_CI_2023</v>
      </c>
      <c r="D1882" s="19" t="s">
        <v>1805</v>
      </c>
      <c r="E1882" s="19" t="s">
        <v>1805</v>
      </c>
      <c r="F1882" s="19" t="s">
        <v>1805</v>
      </c>
      <c r="G1882" s="19" t="s">
        <v>1806</v>
      </c>
      <c r="H1882" s="19" t="s">
        <v>15</v>
      </c>
      <c r="I1882" s="19">
        <v>0</v>
      </c>
      <c r="J1882" s="19" t="s">
        <v>36</v>
      </c>
      <c r="K1882" s="19" t="s">
        <v>1159</v>
      </c>
      <c r="L1882" s="19">
        <v>2023</v>
      </c>
      <c r="M1882" s="20">
        <v>1</v>
      </c>
      <c r="N1882" s="19" t="s">
        <v>1798</v>
      </c>
      <c r="O1882" s="20">
        <v>0</v>
      </c>
      <c r="P1882" s="20">
        <v>0</v>
      </c>
      <c r="Q1882" s="20">
        <v>0</v>
      </c>
      <c r="R1882" s="21">
        <v>0.91</v>
      </c>
      <c r="S1882" s="20">
        <v>0</v>
      </c>
    </row>
    <row r="1883" spans="2:19" ht="15" customHeight="1" x14ac:dyDescent="0.25">
      <c r="B1883" s="2" t="str">
        <f t="shared" si="58"/>
        <v>00REMOVE_00REMOVE_00REMOVE_Remove_Low Flow Showerhead_0_CI</v>
      </c>
      <c r="C1883" s="2" t="str">
        <f t="shared" si="59"/>
        <v>00REMOVE_00REMOVE_00REMOVE_Remove_Low Flow Showerhead_0_CI_2024</v>
      </c>
      <c r="D1883" s="19" t="s">
        <v>1805</v>
      </c>
      <c r="E1883" s="19" t="s">
        <v>1805</v>
      </c>
      <c r="F1883" s="19" t="s">
        <v>1805</v>
      </c>
      <c r="G1883" s="19" t="s">
        <v>1806</v>
      </c>
      <c r="H1883" s="19" t="s">
        <v>15</v>
      </c>
      <c r="I1883" s="19">
        <v>0</v>
      </c>
      <c r="J1883" s="19" t="s">
        <v>36</v>
      </c>
      <c r="K1883" s="19" t="s">
        <v>1159</v>
      </c>
      <c r="L1883" s="19">
        <v>2024</v>
      </c>
      <c r="M1883" s="20">
        <v>1</v>
      </c>
      <c r="N1883" s="19" t="s">
        <v>1798</v>
      </c>
      <c r="O1883" s="20">
        <v>0</v>
      </c>
      <c r="P1883" s="20">
        <v>0</v>
      </c>
      <c r="Q1883" s="20">
        <v>0</v>
      </c>
      <c r="R1883" s="21">
        <v>0.91</v>
      </c>
      <c r="S1883" s="20">
        <v>0</v>
      </c>
    </row>
    <row r="1884" spans="2:19" ht="15" customHeight="1" x14ac:dyDescent="0.25">
      <c r="B1884" s="2" t="str">
        <f t="shared" si="58"/>
        <v>00REMOVE_00REMOVE_00REMOVE_Remove_Low Flow Showerhead_0_CI</v>
      </c>
      <c r="C1884" s="2" t="str">
        <f t="shared" si="59"/>
        <v>00REMOVE_00REMOVE_00REMOVE_Remove_Low Flow Showerhead_0_CI_2025</v>
      </c>
      <c r="D1884" s="19" t="s">
        <v>1805</v>
      </c>
      <c r="E1884" s="19" t="s">
        <v>1805</v>
      </c>
      <c r="F1884" s="19" t="s">
        <v>1805</v>
      </c>
      <c r="G1884" s="19" t="s">
        <v>1806</v>
      </c>
      <c r="H1884" s="19" t="s">
        <v>15</v>
      </c>
      <c r="I1884" s="19">
        <v>0</v>
      </c>
      <c r="J1884" s="19" t="s">
        <v>36</v>
      </c>
      <c r="K1884" s="19" t="s">
        <v>1159</v>
      </c>
      <c r="L1884" s="19">
        <v>2025</v>
      </c>
      <c r="M1884" s="20">
        <v>1</v>
      </c>
      <c r="N1884" s="19" t="s">
        <v>1798</v>
      </c>
      <c r="O1884" s="20">
        <v>0</v>
      </c>
      <c r="P1884" s="20">
        <v>0</v>
      </c>
      <c r="Q1884" s="20">
        <v>0</v>
      </c>
      <c r="R1884" s="21">
        <v>0.91</v>
      </c>
      <c r="S1884" s="20">
        <v>0</v>
      </c>
    </row>
    <row r="1885" spans="2:19" ht="15" customHeight="1" x14ac:dyDescent="0.25">
      <c r="B1885" s="2" t="str">
        <f t="shared" si="58"/>
        <v>00REMOVE_00REMOVE_00REMOVE_Remove_Pipe Insulation_DHW_CI</v>
      </c>
      <c r="C1885" s="2" t="str">
        <f t="shared" si="59"/>
        <v>00REMOVE_00REMOVE_00REMOVE_Remove_Pipe Insulation_DHW_CI_2022</v>
      </c>
      <c r="D1885" s="19" t="s">
        <v>1805</v>
      </c>
      <c r="E1885" s="19" t="s">
        <v>1805</v>
      </c>
      <c r="F1885" s="19" t="s">
        <v>1805</v>
      </c>
      <c r="G1885" s="19" t="s">
        <v>1806</v>
      </c>
      <c r="H1885" s="19" t="s">
        <v>404</v>
      </c>
      <c r="I1885" s="19" t="s">
        <v>1019</v>
      </c>
      <c r="J1885" s="19" t="s">
        <v>1272</v>
      </c>
      <c r="K1885" s="19" t="s">
        <v>1159</v>
      </c>
      <c r="L1885" s="19">
        <v>2022</v>
      </c>
      <c r="M1885" s="20">
        <v>1</v>
      </c>
      <c r="N1885" s="19" t="s">
        <v>616</v>
      </c>
      <c r="O1885" s="20">
        <v>0</v>
      </c>
      <c r="P1885" s="20">
        <v>0</v>
      </c>
      <c r="Q1885" s="20">
        <v>0</v>
      </c>
      <c r="R1885" s="21">
        <v>0.91</v>
      </c>
      <c r="S1885" s="20">
        <v>0</v>
      </c>
    </row>
    <row r="1886" spans="2:19" ht="15" customHeight="1" x14ac:dyDescent="0.25">
      <c r="B1886" s="2" t="str">
        <f t="shared" si="58"/>
        <v>00REMOVE_00REMOVE_00REMOVE_Remove_Pipe Insulation_DHW_CI</v>
      </c>
      <c r="C1886" s="2" t="str">
        <f t="shared" si="59"/>
        <v>00REMOVE_00REMOVE_00REMOVE_Remove_Pipe Insulation_DHW_CI_2023</v>
      </c>
      <c r="D1886" s="19" t="s">
        <v>1805</v>
      </c>
      <c r="E1886" s="19" t="s">
        <v>1805</v>
      </c>
      <c r="F1886" s="19" t="s">
        <v>1805</v>
      </c>
      <c r="G1886" s="19" t="s">
        <v>1806</v>
      </c>
      <c r="H1886" s="19" t="s">
        <v>404</v>
      </c>
      <c r="I1886" s="19" t="s">
        <v>1019</v>
      </c>
      <c r="J1886" s="19" t="s">
        <v>1272</v>
      </c>
      <c r="K1886" s="19" t="s">
        <v>1159</v>
      </c>
      <c r="L1886" s="19">
        <v>2023</v>
      </c>
      <c r="M1886" s="20">
        <v>1</v>
      </c>
      <c r="N1886" s="19" t="s">
        <v>616</v>
      </c>
      <c r="O1886" s="20">
        <v>0</v>
      </c>
      <c r="P1886" s="20">
        <v>0</v>
      </c>
      <c r="Q1886" s="20">
        <v>0</v>
      </c>
      <c r="R1886" s="21">
        <v>0.91</v>
      </c>
      <c r="S1886" s="20">
        <v>0</v>
      </c>
    </row>
    <row r="1887" spans="2:19" ht="15" customHeight="1" x14ac:dyDescent="0.25">
      <c r="B1887" s="2" t="str">
        <f t="shared" si="58"/>
        <v>00REMOVE_00REMOVE_00REMOVE_Remove_Pipe Insulation_DHW_CI</v>
      </c>
      <c r="C1887" s="2" t="str">
        <f t="shared" si="59"/>
        <v>00REMOVE_00REMOVE_00REMOVE_Remove_Pipe Insulation_DHW_CI_2024</v>
      </c>
      <c r="D1887" s="19" t="s">
        <v>1805</v>
      </c>
      <c r="E1887" s="19" t="s">
        <v>1805</v>
      </c>
      <c r="F1887" s="19" t="s">
        <v>1805</v>
      </c>
      <c r="G1887" s="19" t="s">
        <v>1806</v>
      </c>
      <c r="H1887" s="19" t="s">
        <v>404</v>
      </c>
      <c r="I1887" s="19" t="s">
        <v>1019</v>
      </c>
      <c r="J1887" s="19" t="s">
        <v>1272</v>
      </c>
      <c r="K1887" s="19" t="s">
        <v>1159</v>
      </c>
      <c r="L1887" s="19">
        <v>2024</v>
      </c>
      <c r="M1887" s="20">
        <v>1</v>
      </c>
      <c r="N1887" s="19" t="s">
        <v>616</v>
      </c>
      <c r="O1887" s="20">
        <v>0</v>
      </c>
      <c r="P1887" s="20">
        <v>0</v>
      </c>
      <c r="Q1887" s="20">
        <v>0</v>
      </c>
      <c r="R1887" s="21">
        <v>0.91</v>
      </c>
      <c r="S1887" s="20">
        <v>0</v>
      </c>
    </row>
    <row r="1888" spans="2:19" ht="15" customHeight="1" x14ac:dyDescent="0.25">
      <c r="B1888" s="2" t="str">
        <f t="shared" si="58"/>
        <v>00REMOVE_00REMOVE_00REMOVE_Remove_Pipe Insulation_DHW_CI</v>
      </c>
      <c r="C1888" s="2" t="str">
        <f t="shared" si="59"/>
        <v>00REMOVE_00REMOVE_00REMOVE_Remove_Pipe Insulation_DHW_CI_2025</v>
      </c>
      <c r="D1888" s="19" t="s">
        <v>1805</v>
      </c>
      <c r="E1888" s="19" t="s">
        <v>1805</v>
      </c>
      <c r="F1888" s="19" t="s">
        <v>1805</v>
      </c>
      <c r="G1888" s="19" t="s">
        <v>1806</v>
      </c>
      <c r="H1888" s="19" t="s">
        <v>404</v>
      </c>
      <c r="I1888" s="19" t="s">
        <v>1019</v>
      </c>
      <c r="J1888" s="19" t="s">
        <v>1272</v>
      </c>
      <c r="K1888" s="19" t="s">
        <v>1159</v>
      </c>
      <c r="L1888" s="19">
        <v>2025</v>
      </c>
      <c r="M1888" s="20">
        <v>1</v>
      </c>
      <c r="N1888" s="19" t="s">
        <v>616</v>
      </c>
      <c r="O1888" s="20">
        <v>0</v>
      </c>
      <c r="P1888" s="20">
        <v>0</v>
      </c>
      <c r="Q1888" s="20">
        <v>0</v>
      </c>
      <c r="R1888" s="21">
        <v>0.91</v>
      </c>
      <c r="S1888" s="20">
        <v>0</v>
      </c>
    </row>
    <row r="1889" spans="2:19" ht="15" customHeight="1" x14ac:dyDescent="0.25">
      <c r="B1889" s="2" t="str">
        <f t="shared" si="58"/>
        <v>00REMOVE_00REMOVE_00REMOVE_Remove_Pre-Rinse Sprayer_0_CI</v>
      </c>
      <c r="C1889" s="2" t="str">
        <f t="shared" si="59"/>
        <v>00REMOVE_00REMOVE_00REMOVE_Remove_Pre-Rinse Sprayer_0_CI_2022</v>
      </c>
      <c r="D1889" s="19" t="s">
        <v>1805</v>
      </c>
      <c r="E1889" s="19" t="s">
        <v>1805</v>
      </c>
      <c r="F1889" s="19" t="s">
        <v>1805</v>
      </c>
      <c r="G1889" s="19" t="s">
        <v>1806</v>
      </c>
      <c r="H1889" s="19" t="s">
        <v>1219</v>
      </c>
      <c r="I1889" s="19">
        <v>0</v>
      </c>
      <c r="J1889" s="19" t="s">
        <v>43</v>
      </c>
      <c r="K1889" s="19" t="s">
        <v>1159</v>
      </c>
      <c r="L1889" s="19">
        <v>2022</v>
      </c>
      <c r="M1889" s="20">
        <v>1</v>
      </c>
      <c r="N1889" s="19" t="s">
        <v>1798</v>
      </c>
      <c r="O1889" s="20">
        <v>0</v>
      </c>
      <c r="P1889" s="20">
        <v>0</v>
      </c>
      <c r="Q1889" s="20">
        <v>0</v>
      </c>
      <c r="R1889" s="21">
        <v>0.91</v>
      </c>
      <c r="S1889" s="20">
        <v>0</v>
      </c>
    </row>
    <row r="1890" spans="2:19" ht="15" customHeight="1" x14ac:dyDescent="0.25">
      <c r="B1890" s="2" t="str">
        <f t="shared" si="58"/>
        <v>00REMOVE_00REMOVE_00REMOVE_Remove_Pre-Rinse Sprayer_0_CI</v>
      </c>
      <c r="C1890" s="2" t="str">
        <f t="shared" si="59"/>
        <v>00REMOVE_00REMOVE_00REMOVE_Remove_Pre-Rinse Sprayer_0_CI_2023</v>
      </c>
      <c r="D1890" s="19" t="s">
        <v>1805</v>
      </c>
      <c r="E1890" s="19" t="s">
        <v>1805</v>
      </c>
      <c r="F1890" s="19" t="s">
        <v>1805</v>
      </c>
      <c r="G1890" s="19" t="s">
        <v>1806</v>
      </c>
      <c r="H1890" s="19" t="s">
        <v>1219</v>
      </c>
      <c r="I1890" s="19">
        <v>0</v>
      </c>
      <c r="J1890" s="19" t="s">
        <v>43</v>
      </c>
      <c r="K1890" s="19" t="s">
        <v>1159</v>
      </c>
      <c r="L1890" s="19">
        <v>2023</v>
      </c>
      <c r="M1890" s="20">
        <v>1</v>
      </c>
      <c r="N1890" s="19" t="s">
        <v>1798</v>
      </c>
      <c r="O1890" s="20">
        <v>0</v>
      </c>
      <c r="P1890" s="20">
        <v>0</v>
      </c>
      <c r="Q1890" s="20">
        <v>0</v>
      </c>
      <c r="R1890" s="21">
        <v>0.91</v>
      </c>
      <c r="S1890" s="20">
        <v>0</v>
      </c>
    </row>
    <row r="1891" spans="2:19" ht="15" customHeight="1" x14ac:dyDescent="0.25">
      <c r="B1891" s="2" t="str">
        <f t="shared" si="58"/>
        <v>00REMOVE_00REMOVE_00REMOVE_Remove_Pre-Rinse Sprayer_0_CI</v>
      </c>
      <c r="C1891" s="2" t="str">
        <f t="shared" si="59"/>
        <v>00REMOVE_00REMOVE_00REMOVE_Remove_Pre-Rinse Sprayer_0_CI_2024</v>
      </c>
      <c r="D1891" s="19" t="s">
        <v>1805</v>
      </c>
      <c r="E1891" s="19" t="s">
        <v>1805</v>
      </c>
      <c r="F1891" s="19" t="s">
        <v>1805</v>
      </c>
      <c r="G1891" s="19" t="s">
        <v>1806</v>
      </c>
      <c r="H1891" s="19" t="s">
        <v>1219</v>
      </c>
      <c r="I1891" s="19">
        <v>0</v>
      </c>
      <c r="J1891" s="19" t="s">
        <v>43</v>
      </c>
      <c r="K1891" s="19" t="s">
        <v>1159</v>
      </c>
      <c r="L1891" s="19">
        <v>2024</v>
      </c>
      <c r="M1891" s="20">
        <v>1</v>
      </c>
      <c r="N1891" s="19" t="s">
        <v>1798</v>
      </c>
      <c r="O1891" s="20">
        <v>0</v>
      </c>
      <c r="P1891" s="20">
        <v>0</v>
      </c>
      <c r="Q1891" s="20">
        <v>0</v>
      </c>
      <c r="R1891" s="21">
        <v>0.91</v>
      </c>
      <c r="S1891" s="20">
        <v>0</v>
      </c>
    </row>
    <row r="1892" spans="2:19" ht="15" customHeight="1" x14ac:dyDescent="0.25">
      <c r="B1892" s="2" t="str">
        <f t="shared" si="58"/>
        <v>00REMOVE_00REMOVE_00REMOVE_Remove_Pre-Rinse Sprayer_0_CI</v>
      </c>
      <c r="C1892" s="2" t="str">
        <f t="shared" si="59"/>
        <v>00REMOVE_00REMOVE_00REMOVE_Remove_Pre-Rinse Sprayer_0_CI_2025</v>
      </c>
      <c r="D1892" s="19" t="s">
        <v>1805</v>
      </c>
      <c r="E1892" s="19" t="s">
        <v>1805</v>
      </c>
      <c r="F1892" s="19" t="s">
        <v>1805</v>
      </c>
      <c r="G1892" s="19" t="s">
        <v>1806</v>
      </c>
      <c r="H1892" s="19" t="s">
        <v>1219</v>
      </c>
      <c r="I1892" s="19">
        <v>0</v>
      </c>
      <c r="J1892" s="19" t="s">
        <v>43</v>
      </c>
      <c r="K1892" s="19" t="s">
        <v>1159</v>
      </c>
      <c r="L1892" s="19">
        <v>2025</v>
      </c>
      <c r="M1892" s="20">
        <v>1</v>
      </c>
      <c r="N1892" s="19" t="s">
        <v>1798</v>
      </c>
      <c r="O1892" s="20">
        <v>0</v>
      </c>
      <c r="P1892" s="20">
        <v>0</v>
      </c>
      <c r="Q1892" s="20">
        <v>0</v>
      </c>
      <c r="R1892" s="21">
        <v>0.91</v>
      </c>
      <c r="S1892" s="20">
        <v>0</v>
      </c>
    </row>
    <row r="1893" spans="2:19" ht="15" customHeight="1" x14ac:dyDescent="0.25">
      <c r="B1893" s="2" t="str">
        <f t="shared" si="58"/>
        <v>PGL_Business_Public Sector_Gas Optimization_C&amp;I Gas Optimization_0_CI</v>
      </c>
      <c r="C1893" s="2" t="str">
        <f t="shared" si="59"/>
        <v>PGL_Business_Public Sector_Gas Optimization_C&amp;I Gas Optimization_0_CI_2022</v>
      </c>
      <c r="D1893" s="19" t="s">
        <v>1794</v>
      </c>
      <c r="E1893" s="19" t="s">
        <v>3</v>
      </c>
      <c r="F1893" s="19" t="s">
        <v>1430</v>
      </c>
      <c r="G1893" s="19" t="s">
        <v>1098</v>
      </c>
      <c r="H1893" s="19" t="s">
        <v>1283</v>
      </c>
      <c r="I1893" s="19">
        <v>0</v>
      </c>
      <c r="J1893" s="19">
        <v>0</v>
      </c>
      <c r="K1893" s="19" t="s">
        <v>1159</v>
      </c>
      <c r="L1893" s="19">
        <v>2022</v>
      </c>
      <c r="M1893" s="20">
        <v>42991.428571428572</v>
      </c>
      <c r="N1893" s="19" t="s">
        <v>609</v>
      </c>
      <c r="O1893" s="20">
        <v>2</v>
      </c>
      <c r="P1893" s="20">
        <v>85982.857142857145</v>
      </c>
      <c r="Q1893" s="20">
        <v>78244.400000000009</v>
      </c>
      <c r="R1893" s="21">
        <v>0.91</v>
      </c>
      <c r="S1893" s="20">
        <v>78244.400000000009</v>
      </c>
    </row>
    <row r="1894" spans="2:19" ht="15" customHeight="1" x14ac:dyDescent="0.25">
      <c r="B1894" s="2" t="str">
        <f t="shared" si="58"/>
        <v>PGL_Business_Public Sector_Gas Optimization_C&amp;I Gas Optimization_0_CI</v>
      </c>
      <c r="C1894" s="2" t="str">
        <f t="shared" si="59"/>
        <v>PGL_Business_Public Sector_Gas Optimization_C&amp;I Gas Optimization_0_CI_2023</v>
      </c>
      <c r="D1894" s="19" t="s">
        <v>1794</v>
      </c>
      <c r="E1894" s="19" t="s">
        <v>3</v>
      </c>
      <c r="F1894" s="19" t="s">
        <v>1430</v>
      </c>
      <c r="G1894" s="19" t="s">
        <v>1098</v>
      </c>
      <c r="H1894" s="19" t="s">
        <v>1283</v>
      </c>
      <c r="I1894" s="19">
        <v>0</v>
      </c>
      <c r="J1894" s="19">
        <v>0</v>
      </c>
      <c r="K1894" s="19" t="s">
        <v>1159</v>
      </c>
      <c r="L1894" s="19">
        <v>2023</v>
      </c>
      <c r="M1894" s="20">
        <v>42991.428571428572</v>
      </c>
      <c r="N1894" s="19" t="s">
        <v>609</v>
      </c>
      <c r="O1894" s="20">
        <v>2</v>
      </c>
      <c r="P1894" s="20">
        <v>85982.857142857145</v>
      </c>
      <c r="Q1894" s="20">
        <v>78244.400000000009</v>
      </c>
      <c r="R1894" s="21">
        <v>0.91</v>
      </c>
      <c r="S1894" s="20">
        <v>78244.400000000009</v>
      </c>
    </row>
    <row r="1895" spans="2:19" ht="15" customHeight="1" x14ac:dyDescent="0.25">
      <c r="B1895" s="2" t="str">
        <f t="shared" si="58"/>
        <v>PGL_Business_Public Sector_Gas Optimization_C&amp;I Gas Optimization_0_CI</v>
      </c>
      <c r="C1895" s="2" t="str">
        <f t="shared" si="59"/>
        <v>PGL_Business_Public Sector_Gas Optimization_C&amp;I Gas Optimization_0_CI_2024</v>
      </c>
      <c r="D1895" s="19" t="s">
        <v>1794</v>
      </c>
      <c r="E1895" s="19" t="s">
        <v>3</v>
      </c>
      <c r="F1895" s="19" t="s">
        <v>1430</v>
      </c>
      <c r="G1895" s="19" t="s">
        <v>1098</v>
      </c>
      <c r="H1895" s="19" t="s">
        <v>1283</v>
      </c>
      <c r="I1895" s="19">
        <v>0</v>
      </c>
      <c r="J1895" s="19">
        <v>0</v>
      </c>
      <c r="K1895" s="19" t="s">
        <v>1159</v>
      </c>
      <c r="L1895" s="19">
        <v>2024</v>
      </c>
      <c r="M1895" s="20">
        <v>42991.428571428572</v>
      </c>
      <c r="N1895" s="19" t="s">
        <v>609</v>
      </c>
      <c r="O1895" s="20">
        <v>2</v>
      </c>
      <c r="P1895" s="20">
        <v>85982.857142857145</v>
      </c>
      <c r="Q1895" s="20">
        <v>78244.400000000009</v>
      </c>
      <c r="R1895" s="21">
        <v>0.91</v>
      </c>
      <c r="S1895" s="20">
        <v>78244.400000000009</v>
      </c>
    </row>
    <row r="1896" spans="2:19" ht="15" customHeight="1" x14ac:dyDescent="0.25">
      <c r="B1896" s="2" t="str">
        <f t="shared" si="58"/>
        <v>PGL_Business_Public Sector_Gas Optimization_C&amp;I Gas Optimization_0_CI</v>
      </c>
      <c r="C1896" s="2" t="str">
        <f t="shared" si="59"/>
        <v>PGL_Business_Public Sector_Gas Optimization_C&amp;I Gas Optimization_0_CI_2025</v>
      </c>
      <c r="D1896" s="19" t="s">
        <v>1794</v>
      </c>
      <c r="E1896" s="19" t="s">
        <v>3</v>
      </c>
      <c r="F1896" s="19" t="s">
        <v>1430</v>
      </c>
      <c r="G1896" s="19" t="s">
        <v>1098</v>
      </c>
      <c r="H1896" s="19" t="s">
        <v>1283</v>
      </c>
      <c r="I1896" s="19">
        <v>0</v>
      </c>
      <c r="J1896" s="19">
        <v>0</v>
      </c>
      <c r="K1896" s="19" t="s">
        <v>1159</v>
      </c>
      <c r="L1896" s="19">
        <v>2025</v>
      </c>
      <c r="M1896" s="20">
        <v>42991.428571428572</v>
      </c>
      <c r="N1896" s="19" t="s">
        <v>609</v>
      </c>
      <c r="O1896" s="20">
        <v>2</v>
      </c>
      <c r="P1896" s="20">
        <v>85982.857142857145</v>
      </c>
      <c r="Q1896" s="20">
        <v>78244.400000000009</v>
      </c>
      <c r="R1896" s="21">
        <v>0.91</v>
      </c>
      <c r="S1896" s="20">
        <v>78244.400000000009</v>
      </c>
    </row>
    <row r="1897" spans="2:19" ht="15" customHeight="1" x14ac:dyDescent="0.25">
      <c r="B1897" s="2" t="str">
        <f t="shared" si="58"/>
        <v>PGL_Business_Public Sector_Retrocommissioning_C&amp;I Retrocommissioning_0_CI</v>
      </c>
      <c r="C1897" s="2" t="str">
        <f t="shared" si="59"/>
        <v>PGL_Business_Public Sector_Retrocommissioning_C&amp;I Retrocommissioning_0_CI_2022</v>
      </c>
      <c r="D1897" s="19" t="s">
        <v>1794</v>
      </c>
      <c r="E1897" s="19" t="s">
        <v>3</v>
      </c>
      <c r="F1897" s="19" t="s">
        <v>1430</v>
      </c>
      <c r="G1897" s="19" t="s">
        <v>1428</v>
      </c>
      <c r="H1897" s="19" t="s">
        <v>1284</v>
      </c>
      <c r="I1897" s="19">
        <v>0</v>
      </c>
      <c r="J1897" s="19">
        <v>0</v>
      </c>
      <c r="K1897" s="19" t="s">
        <v>1159</v>
      </c>
      <c r="L1897" s="19">
        <v>2022</v>
      </c>
      <c r="M1897" s="20">
        <v>3592.5735849056596</v>
      </c>
      <c r="N1897" s="19" t="s">
        <v>609</v>
      </c>
      <c r="O1897" s="20">
        <v>4</v>
      </c>
      <c r="P1897" s="20">
        <v>14370.294339622638</v>
      </c>
      <c r="Q1897" s="20">
        <v>13467.839855094337</v>
      </c>
      <c r="R1897" s="21">
        <v>0.93720000000000003</v>
      </c>
      <c r="S1897" s="20">
        <v>13467.839855094337</v>
      </c>
    </row>
    <row r="1898" spans="2:19" ht="15" customHeight="1" x14ac:dyDescent="0.25">
      <c r="B1898" s="2" t="str">
        <f t="shared" si="58"/>
        <v>PGL_Business_Public Sector_Retrocommissioning_C&amp;I Retrocommissioning_0_CI</v>
      </c>
      <c r="C1898" s="2" t="str">
        <f t="shared" si="59"/>
        <v>PGL_Business_Public Sector_Retrocommissioning_C&amp;I Retrocommissioning_0_CI_2023</v>
      </c>
      <c r="D1898" s="19" t="s">
        <v>1794</v>
      </c>
      <c r="E1898" s="19" t="s">
        <v>3</v>
      </c>
      <c r="F1898" s="19" t="s">
        <v>1430</v>
      </c>
      <c r="G1898" s="19" t="s">
        <v>1428</v>
      </c>
      <c r="H1898" s="19" t="s">
        <v>1284</v>
      </c>
      <c r="I1898" s="19">
        <v>0</v>
      </c>
      <c r="J1898" s="19">
        <v>0</v>
      </c>
      <c r="K1898" s="19" t="s">
        <v>1159</v>
      </c>
      <c r="L1898" s="19">
        <v>2023</v>
      </c>
      <c r="M1898" s="20">
        <v>3592.5735849056596</v>
      </c>
      <c r="N1898" s="19" t="s">
        <v>609</v>
      </c>
      <c r="O1898" s="20">
        <v>4</v>
      </c>
      <c r="P1898" s="20">
        <v>14370.294339622638</v>
      </c>
      <c r="Q1898" s="20">
        <v>13467.839855094337</v>
      </c>
      <c r="R1898" s="21">
        <v>0.93720000000000003</v>
      </c>
      <c r="S1898" s="20">
        <v>13467.839855094337</v>
      </c>
    </row>
    <row r="1899" spans="2:19" ht="15" customHeight="1" x14ac:dyDescent="0.25">
      <c r="B1899" s="2" t="str">
        <f t="shared" si="58"/>
        <v>PGL_Business_Public Sector_Retrocommissioning_C&amp;I Retrocommissioning_0_CI</v>
      </c>
      <c r="C1899" s="2" t="str">
        <f t="shared" si="59"/>
        <v>PGL_Business_Public Sector_Retrocommissioning_C&amp;I Retrocommissioning_0_CI_2024</v>
      </c>
      <c r="D1899" s="19" t="s">
        <v>1794</v>
      </c>
      <c r="E1899" s="19" t="s">
        <v>3</v>
      </c>
      <c r="F1899" s="19" t="s">
        <v>1430</v>
      </c>
      <c r="G1899" s="19" t="s">
        <v>1428</v>
      </c>
      <c r="H1899" s="19" t="s">
        <v>1284</v>
      </c>
      <c r="I1899" s="19">
        <v>0</v>
      </c>
      <c r="J1899" s="19">
        <v>0</v>
      </c>
      <c r="K1899" s="19" t="s">
        <v>1159</v>
      </c>
      <c r="L1899" s="19">
        <v>2024</v>
      </c>
      <c r="M1899" s="20">
        <v>3592.5735849056596</v>
      </c>
      <c r="N1899" s="19" t="s">
        <v>609</v>
      </c>
      <c r="O1899" s="20">
        <v>4</v>
      </c>
      <c r="P1899" s="20">
        <v>14370.294339622638</v>
      </c>
      <c r="Q1899" s="20">
        <v>13467.839855094337</v>
      </c>
      <c r="R1899" s="21">
        <v>0.93720000000000003</v>
      </c>
      <c r="S1899" s="20">
        <v>13467.839855094337</v>
      </c>
    </row>
    <row r="1900" spans="2:19" ht="15" customHeight="1" x14ac:dyDescent="0.25">
      <c r="B1900" s="2" t="str">
        <f t="shared" si="58"/>
        <v>PGL_Business_Public Sector_Retrocommissioning_C&amp;I Retrocommissioning_0_CI</v>
      </c>
      <c r="C1900" s="2" t="str">
        <f t="shared" si="59"/>
        <v>PGL_Business_Public Sector_Retrocommissioning_C&amp;I Retrocommissioning_0_CI_2025</v>
      </c>
      <c r="D1900" s="19" t="s">
        <v>1794</v>
      </c>
      <c r="E1900" s="19" t="s">
        <v>3</v>
      </c>
      <c r="F1900" s="19" t="s">
        <v>1430</v>
      </c>
      <c r="G1900" s="19" t="s">
        <v>1428</v>
      </c>
      <c r="H1900" s="19" t="s">
        <v>1284</v>
      </c>
      <c r="I1900" s="19">
        <v>0</v>
      </c>
      <c r="J1900" s="19">
        <v>0</v>
      </c>
      <c r="K1900" s="19" t="s">
        <v>1159</v>
      </c>
      <c r="L1900" s="19">
        <v>2025</v>
      </c>
      <c r="M1900" s="20">
        <v>3592.5735849056596</v>
      </c>
      <c r="N1900" s="19" t="s">
        <v>609</v>
      </c>
      <c r="O1900" s="20">
        <v>4</v>
      </c>
      <c r="P1900" s="20">
        <v>14370.294339622638</v>
      </c>
      <c r="Q1900" s="20">
        <v>13467.839855094337</v>
      </c>
      <c r="R1900" s="21">
        <v>0.93720000000000003</v>
      </c>
      <c r="S1900" s="20">
        <v>13467.839855094337</v>
      </c>
    </row>
    <row r="1901" spans="2:19" ht="15" customHeight="1" x14ac:dyDescent="0.25">
      <c r="B1901" s="2" t="str">
        <f t="shared" si="58"/>
        <v>PGL_Business_Public Sector_Engineering Study_Engineering Study_0_CI</v>
      </c>
      <c r="C1901" s="2" t="str">
        <f t="shared" si="59"/>
        <v>PGL_Business_Public Sector_Engineering Study_Engineering Study_0_CI_2022</v>
      </c>
      <c r="D1901" s="19" t="s">
        <v>1794</v>
      </c>
      <c r="E1901" s="19" t="s">
        <v>3</v>
      </c>
      <c r="F1901" s="19" t="s">
        <v>1430</v>
      </c>
      <c r="G1901" s="19" t="s">
        <v>1281</v>
      </c>
      <c r="H1901" s="19" t="s">
        <v>1281</v>
      </c>
      <c r="I1901" s="19">
        <v>0</v>
      </c>
      <c r="J1901" s="19">
        <v>0</v>
      </c>
      <c r="K1901" s="19" t="s">
        <v>1159</v>
      </c>
      <c r="L1901" s="19">
        <v>2022</v>
      </c>
      <c r="M1901" s="20">
        <v>0</v>
      </c>
      <c r="N1901" s="19">
        <v>0</v>
      </c>
      <c r="O1901" s="20">
        <v>0</v>
      </c>
      <c r="P1901" s="20">
        <v>0</v>
      </c>
      <c r="Q1901" s="20">
        <v>0</v>
      </c>
      <c r="R1901" s="21">
        <v>0.91</v>
      </c>
      <c r="S1901" s="20">
        <v>0</v>
      </c>
    </row>
    <row r="1902" spans="2:19" ht="15" customHeight="1" x14ac:dyDescent="0.25">
      <c r="B1902" s="2" t="str">
        <f t="shared" si="58"/>
        <v>PGL_Business_Public Sector_Engineering Study_Engineering Study_0_CI</v>
      </c>
      <c r="C1902" s="2" t="str">
        <f t="shared" si="59"/>
        <v>PGL_Business_Public Sector_Engineering Study_Engineering Study_0_CI_2023</v>
      </c>
      <c r="D1902" s="19" t="s">
        <v>1794</v>
      </c>
      <c r="E1902" s="19" t="s">
        <v>3</v>
      </c>
      <c r="F1902" s="19" t="s">
        <v>1430</v>
      </c>
      <c r="G1902" s="19" t="s">
        <v>1281</v>
      </c>
      <c r="H1902" s="19" t="s">
        <v>1281</v>
      </c>
      <c r="I1902" s="19">
        <v>0</v>
      </c>
      <c r="J1902" s="19">
        <v>0</v>
      </c>
      <c r="K1902" s="19" t="s">
        <v>1159</v>
      </c>
      <c r="L1902" s="19">
        <v>2023</v>
      </c>
      <c r="M1902" s="20">
        <v>0</v>
      </c>
      <c r="N1902" s="19">
        <v>0</v>
      </c>
      <c r="O1902" s="20">
        <v>0</v>
      </c>
      <c r="P1902" s="20">
        <v>0</v>
      </c>
      <c r="Q1902" s="20">
        <v>0</v>
      </c>
      <c r="R1902" s="21">
        <v>0.91</v>
      </c>
      <c r="S1902" s="20">
        <v>0</v>
      </c>
    </row>
    <row r="1903" spans="2:19" ht="15" customHeight="1" x14ac:dyDescent="0.25">
      <c r="B1903" s="2" t="str">
        <f t="shared" si="58"/>
        <v>PGL_Business_Public Sector_Engineering Study_Engineering Study_0_CI</v>
      </c>
      <c r="C1903" s="2" t="str">
        <f t="shared" si="59"/>
        <v>PGL_Business_Public Sector_Engineering Study_Engineering Study_0_CI_2024</v>
      </c>
      <c r="D1903" s="19" t="s">
        <v>1794</v>
      </c>
      <c r="E1903" s="19" t="s">
        <v>3</v>
      </c>
      <c r="F1903" s="19" t="s">
        <v>1430</v>
      </c>
      <c r="G1903" s="19" t="s">
        <v>1281</v>
      </c>
      <c r="H1903" s="19" t="s">
        <v>1281</v>
      </c>
      <c r="I1903" s="19">
        <v>0</v>
      </c>
      <c r="J1903" s="19">
        <v>0</v>
      </c>
      <c r="K1903" s="19" t="s">
        <v>1159</v>
      </c>
      <c r="L1903" s="19">
        <v>2024</v>
      </c>
      <c r="M1903" s="20">
        <v>0</v>
      </c>
      <c r="N1903" s="19">
        <v>0</v>
      </c>
      <c r="O1903" s="20">
        <v>0</v>
      </c>
      <c r="P1903" s="20">
        <v>0</v>
      </c>
      <c r="Q1903" s="20">
        <v>0</v>
      </c>
      <c r="R1903" s="21">
        <v>0.91</v>
      </c>
      <c r="S1903" s="20">
        <v>0</v>
      </c>
    </row>
    <row r="1904" spans="2:19" ht="15" customHeight="1" x14ac:dyDescent="0.25">
      <c r="B1904" s="2" t="str">
        <f t="shared" si="58"/>
        <v>PGL_Business_Public Sector_Engineering Study_Engineering Study_0_CI</v>
      </c>
      <c r="C1904" s="2" t="str">
        <f t="shared" si="59"/>
        <v>PGL_Business_Public Sector_Engineering Study_Engineering Study_0_CI_2025</v>
      </c>
      <c r="D1904" s="19" t="s">
        <v>1794</v>
      </c>
      <c r="E1904" s="19" t="s">
        <v>3</v>
      </c>
      <c r="F1904" s="19" t="s">
        <v>1430</v>
      </c>
      <c r="G1904" s="19" t="s">
        <v>1281</v>
      </c>
      <c r="H1904" s="19" t="s">
        <v>1281</v>
      </c>
      <c r="I1904" s="19">
        <v>0</v>
      </c>
      <c r="J1904" s="19">
        <v>0</v>
      </c>
      <c r="K1904" s="19" t="s">
        <v>1159</v>
      </c>
      <c r="L1904" s="19">
        <v>2025</v>
      </c>
      <c r="M1904" s="20">
        <v>0</v>
      </c>
      <c r="N1904" s="19">
        <v>0</v>
      </c>
      <c r="O1904" s="20">
        <v>0</v>
      </c>
      <c r="P1904" s="20">
        <v>0</v>
      </c>
      <c r="Q1904" s="20">
        <v>0</v>
      </c>
      <c r="R1904" s="21">
        <v>0.91</v>
      </c>
      <c r="S1904" s="20">
        <v>0</v>
      </c>
    </row>
    <row r="1905" spans="2:19" ht="15" customHeight="1" x14ac:dyDescent="0.25">
      <c r="B1905" s="2" t="str">
        <f t="shared" si="58"/>
        <v>PGL_Business_Public Sector_Staffing_Staffing_0_CI</v>
      </c>
      <c r="C1905" s="2" t="str">
        <f t="shared" si="59"/>
        <v>PGL_Business_Public Sector_Staffing_Staffing_0_CI_2022</v>
      </c>
      <c r="D1905" s="19" t="s">
        <v>1794</v>
      </c>
      <c r="E1905" s="19" t="s">
        <v>3</v>
      </c>
      <c r="F1905" s="19" t="s">
        <v>1430</v>
      </c>
      <c r="G1905" s="19" t="s">
        <v>1282</v>
      </c>
      <c r="H1905" s="19" t="s">
        <v>1282</v>
      </c>
      <c r="I1905" s="19">
        <v>0</v>
      </c>
      <c r="J1905" s="19">
        <v>0</v>
      </c>
      <c r="K1905" s="19" t="s">
        <v>1159</v>
      </c>
      <c r="L1905" s="19">
        <v>2022</v>
      </c>
      <c r="M1905" s="20">
        <v>1</v>
      </c>
      <c r="N1905" s="19" t="s">
        <v>1807</v>
      </c>
      <c r="O1905" s="20">
        <v>2</v>
      </c>
      <c r="P1905" s="20">
        <v>2</v>
      </c>
      <c r="Q1905" s="20">
        <v>0</v>
      </c>
      <c r="R1905" s="21">
        <v>0.91</v>
      </c>
      <c r="S1905" s="20">
        <v>0</v>
      </c>
    </row>
    <row r="1906" spans="2:19" ht="15" customHeight="1" x14ac:dyDescent="0.25">
      <c r="B1906" s="2" t="str">
        <f t="shared" si="58"/>
        <v>PGL_Business_Public Sector_Staffing_Staffing_0_CI</v>
      </c>
      <c r="C1906" s="2" t="str">
        <f t="shared" si="59"/>
        <v>PGL_Business_Public Sector_Staffing_Staffing_0_CI_2023</v>
      </c>
      <c r="D1906" s="19" t="s">
        <v>1794</v>
      </c>
      <c r="E1906" s="19" t="s">
        <v>3</v>
      </c>
      <c r="F1906" s="19" t="s">
        <v>1430</v>
      </c>
      <c r="G1906" s="19" t="s">
        <v>1282</v>
      </c>
      <c r="H1906" s="19" t="s">
        <v>1282</v>
      </c>
      <c r="I1906" s="19">
        <v>0</v>
      </c>
      <c r="J1906" s="19">
        <v>0</v>
      </c>
      <c r="K1906" s="19" t="s">
        <v>1159</v>
      </c>
      <c r="L1906" s="19">
        <v>2023</v>
      </c>
      <c r="M1906" s="20">
        <v>1</v>
      </c>
      <c r="N1906" s="19" t="s">
        <v>1807</v>
      </c>
      <c r="O1906" s="20">
        <v>2</v>
      </c>
      <c r="P1906" s="20">
        <v>2</v>
      </c>
      <c r="Q1906" s="20">
        <v>0</v>
      </c>
      <c r="R1906" s="21">
        <v>0.91</v>
      </c>
      <c r="S1906" s="20">
        <v>0</v>
      </c>
    </row>
    <row r="1907" spans="2:19" ht="15" customHeight="1" x14ac:dyDescent="0.25">
      <c r="B1907" s="2" t="str">
        <f t="shared" si="58"/>
        <v>PGL_Business_Public Sector_Staffing_Staffing_0_CI</v>
      </c>
      <c r="C1907" s="2" t="str">
        <f t="shared" si="59"/>
        <v>PGL_Business_Public Sector_Staffing_Staffing_0_CI_2024</v>
      </c>
      <c r="D1907" s="19" t="s">
        <v>1794</v>
      </c>
      <c r="E1907" s="19" t="s">
        <v>3</v>
      </c>
      <c r="F1907" s="19" t="s">
        <v>1430</v>
      </c>
      <c r="G1907" s="19" t="s">
        <v>1282</v>
      </c>
      <c r="H1907" s="19" t="s">
        <v>1282</v>
      </c>
      <c r="I1907" s="19">
        <v>0</v>
      </c>
      <c r="J1907" s="19">
        <v>0</v>
      </c>
      <c r="K1907" s="19" t="s">
        <v>1159</v>
      </c>
      <c r="L1907" s="19">
        <v>2024</v>
      </c>
      <c r="M1907" s="20">
        <v>1</v>
      </c>
      <c r="N1907" s="19" t="s">
        <v>1807</v>
      </c>
      <c r="O1907" s="20">
        <v>2</v>
      </c>
      <c r="P1907" s="20">
        <v>2</v>
      </c>
      <c r="Q1907" s="20">
        <v>0</v>
      </c>
      <c r="R1907" s="21">
        <v>0.91</v>
      </c>
      <c r="S1907" s="20">
        <v>0</v>
      </c>
    </row>
    <row r="1908" spans="2:19" ht="15" customHeight="1" x14ac:dyDescent="0.25">
      <c r="B1908" s="2" t="str">
        <f t="shared" si="58"/>
        <v>PGL_Business_Public Sector_Staffing_Staffing_0_CI</v>
      </c>
      <c r="C1908" s="2" t="str">
        <f t="shared" si="59"/>
        <v>PGL_Business_Public Sector_Staffing_Staffing_0_CI_2025</v>
      </c>
      <c r="D1908" s="19" t="s">
        <v>1794</v>
      </c>
      <c r="E1908" s="19" t="s">
        <v>3</v>
      </c>
      <c r="F1908" s="19" t="s">
        <v>1430</v>
      </c>
      <c r="G1908" s="19" t="s">
        <v>1282</v>
      </c>
      <c r="H1908" s="19" t="s">
        <v>1282</v>
      </c>
      <c r="I1908" s="19">
        <v>0</v>
      </c>
      <c r="J1908" s="19">
        <v>0</v>
      </c>
      <c r="K1908" s="19" t="s">
        <v>1159</v>
      </c>
      <c r="L1908" s="19">
        <v>2025</v>
      </c>
      <c r="M1908" s="20">
        <v>1</v>
      </c>
      <c r="N1908" s="19" t="s">
        <v>1807</v>
      </c>
      <c r="O1908" s="20">
        <v>2</v>
      </c>
      <c r="P1908" s="20">
        <v>2</v>
      </c>
      <c r="Q1908" s="20">
        <v>0</v>
      </c>
      <c r="R1908" s="21">
        <v>0.91</v>
      </c>
      <c r="S1908" s="20">
        <v>0</v>
      </c>
    </row>
    <row r="1909" spans="2:19" ht="15" customHeight="1" x14ac:dyDescent="0.25">
      <c r="B1909" s="2" t="str">
        <f t="shared" si="58"/>
        <v>PGL_Business_Public Sector_Rebates_Boiler_≥88% AFUE, &lt;300MBh_CI</v>
      </c>
      <c r="C1909" s="2" t="str">
        <f t="shared" si="59"/>
        <v>PGL_Business_Public Sector_Rebates_Boiler_≥88% AFUE, &lt;300MBh_CI_2022</v>
      </c>
      <c r="D1909" s="19" t="s">
        <v>1794</v>
      </c>
      <c r="E1909" s="19" t="s">
        <v>3</v>
      </c>
      <c r="F1909" s="19" t="s">
        <v>1430</v>
      </c>
      <c r="G1909" s="19" t="s">
        <v>1429</v>
      </c>
      <c r="H1909" s="19" t="s">
        <v>944</v>
      </c>
      <c r="I1909" s="19" t="s">
        <v>945</v>
      </c>
      <c r="J1909" s="19" t="s">
        <v>942</v>
      </c>
      <c r="K1909" s="19" t="s">
        <v>1159</v>
      </c>
      <c r="L1909" s="19">
        <v>2022</v>
      </c>
      <c r="M1909" s="20">
        <v>200</v>
      </c>
      <c r="N1909" s="19" t="s">
        <v>667</v>
      </c>
      <c r="O1909" s="20">
        <v>0</v>
      </c>
      <c r="P1909" s="20">
        <v>0</v>
      </c>
      <c r="Q1909" s="20">
        <v>0</v>
      </c>
      <c r="R1909" s="21">
        <v>0.91</v>
      </c>
      <c r="S1909" s="20">
        <v>0</v>
      </c>
    </row>
    <row r="1910" spans="2:19" ht="15" customHeight="1" x14ac:dyDescent="0.25">
      <c r="B1910" s="2" t="str">
        <f t="shared" si="58"/>
        <v>PGL_Business_Public Sector_Rebates_Boiler_≥88% AFUE, &lt;300MBh_CI</v>
      </c>
      <c r="C1910" s="2" t="str">
        <f t="shared" si="59"/>
        <v>PGL_Business_Public Sector_Rebates_Boiler_≥88% AFUE, &lt;300MBh_CI_2023</v>
      </c>
      <c r="D1910" s="19" t="s">
        <v>1794</v>
      </c>
      <c r="E1910" s="19" t="s">
        <v>3</v>
      </c>
      <c r="F1910" s="19" t="s">
        <v>1430</v>
      </c>
      <c r="G1910" s="19" t="s">
        <v>1429</v>
      </c>
      <c r="H1910" s="19" t="s">
        <v>944</v>
      </c>
      <c r="I1910" s="19" t="s">
        <v>945</v>
      </c>
      <c r="J1910" s="19" t="s">
        <v>942</v>
      </c>
      <c r="K1910" s="19" t="s">
        <v>1159</v>
      </c>
      <c r="L1910" s="19">
        <v>2023</v>
      </c>
      <c r="M1910" s="20">
        <v>200</v>
      </c>
      <c r="N1910" s="19" t="s">
        <v>667</v>
      </c>
      <c r="O1910" s="20">
        <v>0</v>
      </c>
      <c r="P1910" s="20">
        <v>0</v>
      </c>
      <c r="Q1910" s="20">
        <v>0</v>
      </c>
      <c r="R1910" s="21">
        <v>0.91</v>
      </c>
      <c r="S1910" s="20">
        <v>0</v>
      </c>
    </row>
    <row r="1911" spans="2:19" ht="15" customHeight="1" x14ac:dyDescent="0.25">
      <c r="B1911" s="2" t="str">
        <f t="shared" si="58"/>
        <v>PGL_Business_Public Sector_Rebates_Boiler_≥88% AFUE, &lt;300MBh_CI</v>
      </c>
      <c r="C1911" s="2" t="str">
        <f t="shared" si="59"/>
        <v>PGL_Business_Public Sector_Rebates_Boiler_≥88% AFUE, &lt;300MBh_CI_2024</v>
      </c>
      <c r="D1911" s="19" t="s">
        <v>1794</v>
      </c>
      <c r="E1911" s="19" t="s">
        <v>3</v>
      </c>
      <c r="F1911" s="19" t="s">
        <v>1430</v>
      </c>
      <c r="G1911" s="19" t="s">
        <v>1429</v>
      </c>
      <c r="H1911" s="19" t="s">
        <v>944</v>
      </c>
      <c r="I1911" s="19" t="s">
        <v>945</v>
      </c>
      <c r="J1911" s="19" t="s">
        <v>942</v>
      </c>
      <c r="K1911" s="19" t="s">
        <v>1159</v>
      </c>
      <c r="L1911" s="19">
        <v>2024</v>
      </c>
      <c r="M1911" s="20">
        <v>200</v>
      </c>
      <c r="N1911" s="19" t="s">
        <v>667</v>
      </c>
      <c r="O1911" s="20">
        <v>0</v>
      </c>
      <c r="P1911" s="20">
        <v>0</v>
      </c>
      <c r="Q1911" s="20">
        <v>0</v>
      </c>
      <c r="R1911" s="21">
        <v>0.91</v>
      </c>
      <c r="S1911" s="20">
        <v>0</v>
      </c>
    </row>
    <row r="1912" spans="2:19" ht="15" customHeight="1" x14ac:dyDescent="0.25">
      <c r="B1912" s="2" t="str">
        <f t="shared" si="58"/>
        <v>PGL_Business_Public Sector_Rebates_Boiler_≥88% AFUE, &lt;300MBh_CI</v>
      </c>
      <c r="C1912" s="2" t="str">
        <f t="shared" si="59"/>
        <v>PGL_Business_Public Sector_Rebates_Boiler_≥88% AFUE, &lt;300MBh_CI_2025</v>
      </c>
      <c r="D1912" s="19" t="s">
        <v>1794</v>
      </c>
      <c r="E1912" s="19" t="s">
        <v>3</v>
      </c>
      <c r="F1912" s="19" t="s">
        <v>1430</v>
      </c>
      <c r="G1912" s="19" t="s">
        <v>1429</v>
      </c>
      <c r="H1912" s="19" t="s">
        <v>944</v>
      </c>
      <c r="I1912" s="19" t="s">
        <v>945</v>
      </c>
      <c r="J1912" s="19" t="s">
        <v>942</v>
      </c>
      <c r="K1912" s="19" t="s">
        <v>1159</v>
      </c>
      <c r="L1912" s="19">
        <v>2025</v>
      </c>
      <c r="M1912" s="20">
        <v>200</v>
      </c>
      <c r="N1912" s="19" t="s">
        <v>667</v>
      </c>
      <c r="O1912" s="20">
        <v>0</v>
      </c>
      <c r="P1912" s="20">
        <v>0</v>
      </c>
      <c r="Q1912" s="20">
        <v>0</v>
      </c>
      <c r="R1912" s="21">
        <v>0.91</v>
      </c>
      <c r="S1912" s="20">
        <v>0</v>
      </c>
    </row>
    <row r="1913" spans="2:19" ht="15" customHeight="1" x14ac:dyDescent="0.25">
      <c r="B1913" s="2" t="str">
        <f t="shared" si="58"/>
        <v>PGL_Business_Public Sector_Rebates_Boiler_≥88% AFUE, ≥300MBh TE_CI</v>
      </c>
      <c r="C1913" s="2" t="str">
        <f t="shared" si="59"/>
        <v>PGL_Business_Public Sector_Rebates_Boiler_≥88% AFUE, ≥300MBh TE_CI_2022</v>
      </c>
      <c r="D1913" s="19" t="s">
        <v>1794</v>
      </c>
      <c r="E1913" s="19" t="s">
        <v>3</v>
      </c>
      <c r="F1913" s="19" t="s">
        <v>1430</v>
      </c>
      <c r="G1913" s="19" t="s">
        <v>1429</v>
      </c>
      <c r="H1913" s="19" t="s">
        <v>944</v>
      </c>
      <c r="I1913" s="19" t="s">
        <v>946</v>
      </c>
      <c r="J1913" s="19" t="s">
        <v>942</v>
      </c>
      <c r="K1913" s="19" t="s">
        <v>1159</v>
      </c>
      <c r="L1913" s="19">
        <v>2022</v>
      </c>
      <c r="M1913" s="20">
        <v>5000</v>
      </c>
      <c r="N1913" s="19" t="s">
        <v>667</v>
      </c>
      <c r="O1913" s="20">
        <v>8</v>
      </c>
      <c r="P1913" s="20">
        <v>40000</v>
      </c>
      <c r="Q1913" s="20">
        <v>60460.399999999972</v>
      </c>
      <c r="R1913" s="21">
        <v>0.91</v>
      </c>
      <c r="S1913" s="20">
        <v>60460.399999999972</v>
      </c>
    </row>
    <row r="1914" spans="2:19" ht="15" customHeight="1" x14ac:dyDescent="0.25">
      <c r="B1914" s="2" t="str">
        <f t="shared" si="58"/>
        <v>PGL_Business_Public Sector_Rebates_Boiler_≥88% AFUE, ≥300MBh TE_CI</v>
      </c>
      <c r="C1914" s="2" t="str">
        <f t="shared" si="59"/>
        <v>PGL_Business_Public Sector_Rebates_Boiler_≥88% AFUE, ≥300MBh TE_CI_2023</v>
      </c>
      <c r="D1914" s="19" t="s">
        <v>1794</v>
      </c>
      <c r="E1914" s="19" t="s">
        <v>3</v>
      </c>
      <c r="F1914" s="19" t="s">
        <v>1430</v>
      </c>
      <c r="G1914" s="19" t="s">
        <v>1429</v>
      </c>
      <c r="H1914" s="19" t="s">
        <v>944</v>
      </c>
      <c r="I1914" s="19" t="s">
        <v>946</v>
      </c>
      <c r="J1914" s="19" t="s">
        <v>942</v>
      </c>
      <c r="K1914" s="19" t="s">
        <v>1159</v>
      </c>
      <c r="L1914" s="19">
        <v>2023</v>
      </c>
      <c r="M1914" s="20">
        <v>5000</v>
      </c>
      <c r="N1914" s="19" t="s">
        <v>667</v>
      </c>
      <c r="O1914" s="20">
        <v>8</v>
      </c>
      <c r="P1914" s="20">
        <v>40000</v>
      </c>
      <c r="Q1914" s="20">
        <v>60460.399999999972</v>
      </c>
      <c r="R1914" s="21">
        <v>0.91</v>
      </c>
      <c r="S1914" s="20">
        <v>60460.399999999972</v>
      </c>
    </row>
    <row r="1915" spans="2:19" ht="15" customHeight="1" x14ac:dyDescent="0.25">
      <c r="B1915" s="2" t="str">
        <f t="shared" si="58"/>
        <v>PGL_Business_Public Sector_Rebates_Boiler_≥88% AFUE, ≥300MBh TE_CI</v>
      </c>
      <c r="C1915" s="2" t="str">
        <f t="shared" si="59"/>
        <v>PGL_Business_Public Sector_Rebates_Boiler_≥88% AFUE, ≥300MBh TE_CI_2024</v>
      </c>
      <c r="D1915" s="19" t="s">
        <v>1794</v>
      </c>
      <c r="E1915" s="19" t="s">
        <v>3</v>
      </c>
      <c r="F1915" s="19" t="s">
        <v>1430</v>
      </c>
      <c r="G1915" s="19" t="s">
        <v>1429</v>
      </c>
      <c r="H1915" s="19" t="s">
        <v>944</v>
      </c>
      <c r="I1915" s="19" t="s">
        <v>946</v>
      </c>
      <c r="J1915" s="19" t="s">
        <v>942</v>
      </c>
      <c r="K1915" s="19" t="s">
        <v>1159</v>
      </c>
      <c r="L1915" s="19">
        <v>2024</v>
      </c>
      <c r="M1915" s="20">
        <v>5000</v>
      </c>
      <c r="N1915" s="19" t="s">
        <v>667</v>
      </c>
      <c r="O1915" s="20">
        <v>8</v>
      </c>
      <c r="P1915" s="20">
        <v>40000</v>
      </c>
      <c r="Q1915" s="20">
        <v>60460.399999999972</v>
      </c>
      <c r="R1915" s="21">
        <v>0.91</v>
      </c>
      <c r="S1915" s="20">
        <v>60460.399999999972</v>
      </c>
    </row>
    <row r="1916" spans="2:19" ht="15" customHeight="1" x14ac:dyDescent="0.25">
      <c r="B1916" s="2" t="str">
        <f t="shared" si="58"/>
        <v>PGL_Business_Public Sector_Rebates_Boiler_≥88% AFUE, ≥300MBh TE_CI</v>
      </c>
      <c r="C1916" s="2" t="str">
        <f t="shared" si="59"/>
        <v>PGL_Business_Public Sector_Rebates_Boiler_≥88% AFUE, ≥300MBh TE_CI_2025</v>
      </c>
      <c r="D1916" s="19" t="s">
        <v>1794</v>
      </c>
      <c r="E1916" s="19" t="s">
        <v>3</v>
      </c>
      <c r="F1916" s="19" t="s">
        <v>1430</v>
      </c>
      <c r="G1916" s="19" t="s">
        <v>1429</v>
      </c>
      <c r="H1916" s="19" t="s">
        <v>944</v>
      </c>
      <c r="I1916" s="19" t="s">
        <v>946</v>
      </c>
      <c r="J1916" s="19" t="s">
        <v>942</v>
      </c>
      <c r="K1916" s="19" t="s">
        <v>1159</v>
      </c>
      <c r="L1916" s="19">
        <v>2025</v>
      </c>
      <c r="M1916" s="20">
        <v>5000</v>
      </c>
      <c r="N1916" s="19" t="s">
        <v>667</v>
      </c>
      <c r="O1916" s="20">
        <v>8</v>
      </c>
      <c r="P1916" s="20">
        <v>40000</v>
      </c>
      <c r="Q1916" s="20">
        <v>60460.399999999972</v>
      </c>
      <c r="R1916" s="21">
        <v>0.91</v>
      </c>
      <c r="S1916" s="20">
        <v>60460.399999999972</v>
      </c>
    </row>
    <row r="1917" spans="2:19" ht="15" customHeight="1" x14ac:dyDescent="0.25">
      <c r="B1917" s="2" t="str">
        <f t="shared" si="58"/>
        <v>PGL_Business_Public Sector_Rebates_Furnace_&gt;95% AFUE_CI</v>
      </c>
      <c r="C1917" s="2" t="str">
        <f t="shared" si="59"/>
        <v>PGL_Business_Public Sector_Rebates_Furnace_&gt;95% AFUE_CI_2022</v>
      </c>
      <c r="D1917" s="19" t="s">
        <v>1794</v>
      </c>
      <c r="E1917" s="19" t="s">
        <v>3</v>
      </c>
      <c r="F1917" s="19" t="s">
        <v>1430</v>
      </c>
      <c r="G1917" s="19" t="s">
        <v>1429</v>
      </c>
      <c r="H1917" s="19" t="s">
        <v>490</v>
      </c>
      <c r="I1917" s="19" t="s">
        <v>982</v>
      </c>
      <c r="J1917" s="19" t="s">
        <v>983</v>
      </c>
      <c r="K1917" s="19" t="s">
        <v>1159</v>
      </c>
      <c r="L1917" s="19">
        <v>2022</v>
      </c>
      <c r="M1917" s="20">
        <v>1</v>
      </c>
      <c r="N1917" s="19" t="s">
        <v>1798</v>
      </c>
      <c r="O1917" s="20">
        <v>10</v>
      </c>
      <c r="P1917" s="20">
        <v>10</v>
      </c>
      <c r="Q1917" s="20">
        <v>2248.4780499999988</v>
      </c>
      <c r="R1917" s="21">
        <v>0.91</v>
      </c>
      <c r="S1917" s="20">
        <v>2248.4780499999988</v>
      </c>
    </row>
    <row r="1918" spans="2:19" ht="15" customHeight="1" x14ac:dyDescent="0.25">
      <c r="B1918" s="2" t="str">
        <f t="shared" si="58"/>
        <v>PGL_Business_Public Sector_Rebates_Furnace_&gt;95% AFUE_CI</v>
      </c>
      <c r="C1918" s="2" t="str">
        <f t="shared" si="59"/>
        <v>PGL_Business_Public Sector_Rebates_Furnace_&gt;95% AFUE_CI_2023</v>
      </c>
      <c r="D1918" s="19" t="s">
        <v>1794</v>
      </c>
      <c r="E1918" s="19" t="s">
        <v>3</v>
      </c>
      <c r="F1918" s="19" t="s">
        <v>1430</v>
      </c>
      <c r="G1918" s="19" t="s">
        <v>1429</v>
      </c>
      <c r="H1918" s="19" t="s">
        <v>490</v>
      </c>
      <c r="I1918" s="19" t="s">
        <v>982</v>
      </c>
      <c r="J1918" s="19" t="s">
        <v>983</v>
      </c>
      <c r="K1918" s="19" t="s">
        <v>1159</v>
      </c>
      <c r="L1918" s="19">
        <v>2023</v>
      </c>
      <c r="M1918" s="20">
        <v>1</v>
      </c>
      <c r="N1918" s="19" t="s">
        <v>1798</v>
      </c>
      <c r="O1918" s="20">
        <v>10</v>
      </c>
      <c r="P1918" s="20">
        <v>10</v>
      </c>
      <c r="Q1918" s="20">
        <v>2248.4780499999988</v>
      </c>
      <c r="R1918" s="21">
        <v>0.91</v>
      </c>
      <c r="S1918" s="20">
        <v>2248.4780499999988</v>
      </c>
    </row>
    <row r="1919" spans="2:19" ht="15" customHeight="1" x14ac:dyDescent="0.25">
      <c r="B1919" s="2" t="str">
        <f t="shared" si="58"/>
        <v>PGL_Business_Public Sector_Rebates_Furnace_&gt;95% AFUE_CI</v>
      </c>
      <c r="C1919" s="2" t="str">
        <f t="shared" si="59"/>
        <v>PGL_Business_Public Sector_Rebates_Furnace_&gt;95% AFUE_CI_2024</v>
      </c>
      <c r="D1919" s="19" t="s">
        <v>1794</v>
      </c>
      <c r="E1919" s="19" t="s">
        <v>3</v>
      </c>
      <c r="F1919" s="19" t="s">
        <v>1430</v>
      </c>
      <c r="G1919" s="19" t="s">
        <v>1429</v>
      </c>
      <c r="H1919" s="19" t="s">
        <v>490</v>
      </c>
      <c r="I1919" s="19" t="s">
        <v>982</v>
      </c>
      <c r="J1919" s="19" t="s">
        <v>983</v>
      </c>
      <c r="K1919" s="19" t="s">
        <v>1159</v>
      </c>
      <c r="L1919" s="19">
        <v>2024</v>
      </c>
      <c r="M1919" s="20">
        <v>1</v>
      </c>
      <c r="N1919" s="19" t="s">
        <v>1798</v>
      </c>
      <c r="O1919" s="20">
        <v>10</v>
      </c>
      <c r="P1919" s="20">
        <v>10</v>
      </c>
      <c r="Q1919" s="20">
        <v>2248.4780499999988</v>
      </c>
      <c r="R1919" s="21">
        <v>0.91</v>
      </c>
      <c r="S1919" s="20">
        <v>2248.4780499999988</v>
      </c>
    </row>
    <row r="1920" spans="2:19" ht="15" customHeight="1" x14ac:dyDescent="0.25">
      <c r="B1920" s="2" t="str">
        <f t="shared" si="58"/>
        <v>PGL_Business_Public Sector_Rebates_Furnace_&gt;95% AFUE_CI</v>
      </c>
      <c r="C1920" s="2" t="str">
        <f t="shared" si="59"/>
        <v>PGL_Business_Public Sector_Rebates_Furnace_&gt;95% AFUE_CI_2025</v>
      </c>
      <c r="D1920" s="19" t="s">
        <v>1794</v>
      </c>
      <c r="E1920" s="19" t="s">
        <v>3</v>
      </c>
      <c r="F1920" s="19" t="s">
        <v>1430</v>
      </c>
      <c r="G1920" s="19" t="s">
        <v>1429</v>
      </c>
      <c r="H1920" s="19" t="s">
        <v>490</v>
      </c>
      <c r="I1920" s="19" t="s">
        <v>982</v>
      </c>
      <c r="J1920" s="19" t="s">
        <v>983</v>
      </c>
      <c r="K1920" s="19" t="s">
        <v>1159</v>
      </c>
      <c r="L1920" s="19">
        <v>2025</v>
      </c>
      <c r="M1920" s="20">
        <v>1</v>
      </c>
      <c r="N1920" s="19" t="s">
        <v>1798</v>
      </c>
      <c r="O1920" s="20">
        <v>10</v>
      </c>
      <c r="P1920" s="20">
        <v>10</v>
      </c>
      <c r="Q1920" s="20">
        <v>2248.4780499999988</v>
      </c>
      <c r="R1920" s="21">
        <v>0.91</v>
      </c>
      <c r="S1920" s="20">
        <v>2248.4780499999988</v>
      </c>
    </row>
    <row r="1921" spans="2:19" ht="15" customHeight="1" x14ac:dyDescent="0.25">
      <c r="B1921" s="2" t="str">
        <f t="shared" si="58"/>
        <v>PGL_Business_Public Sector_Rebates_Boiler Reset Controls_0_CI</v>
      </c>
      <c r="C1921" s="2" t="str">
        <f t="shared" si="59"/>
        <v>PGL_Business_Public Sector_Rebates_Boiler Reset Controls_0_CI_2022</v>
      </c>
      <c r="D1921" s="19" t="s">
        <v>1794</v>
      </c>
      <c r="E1921" s="19" t="s">
        <v>3</v>
      </c>
      <c r="F1921" s="19" t="s">
        <v>1430</v>
      </c>
      <c r="G1921" s="19" t="s">
        <v>1429</v>
      </c>
      <c r="H1921" s="19" t="s">
        <v>978</v>
      </c>
      <c r="I1921" s="19">
        <v>0</v>
      </c>
      <c r="J1921" s="19" t="s">
        <v>25</v>
      </c>
      <c r="K1921" s="19" t="s">
        <v>1159</v>
      </c>
      <c r="L1921" s="19">
        <v>2022</v>
      </c>
      <c r="M1921" s="20">
        <v>1200</v>
      </c>
      <c r="N1921" s="19" t="s">
        <v>667</v>
      </c>
      <c r="O1921" s="20">
        <v>20</v>
      </c>
      <c r="P1921" s="20">
        <v>24000</v>
      </c>
      <c r="Q1921" s="20">
        <v>29318.016000000003</v>
      </c>
      <c r="R1921" s="21">
        <v>0.91</v>
      </c>
      <c r="S1921" s="20">
        <v>29318.016000000003</v>
      </c>
    </row>
    <row r="1922" spans="2:19" ht="15" customHeight="1" x14ac:dyDescent="0.25">
      <c r="B1922" s="2" t="str">
        <f t="shared" si="58"/>
        <v>PGL_Business_Public Sector_Rebates_Boiler Reset Controls_0_CI</v>
      </c>
      <c r="C1922" s="2" t="str">
        <f t="shared" si="59"/>
        <v>PGL_Business_Public Sector_Rebates_Boiler Reset Controls_0_CI_2023</v>
      </c>
      <c r="D1922" s="19" t="s">
        <v>1794</v>
      </c>
      <c r="E1922" s="19" t="s">
        <v>3</v>
      </c>
      <c r="F1922" s="19" t="s">
        <v>1430</v>
      </c>
      <c r="G1922" s="19" t="s">
        <v>1429</v>
      </c>
      <c r="H1922" s="19" t="s">
        <v>978</v>
      </c>
      <c r="I1922" s="19">
        <v>0</v>
      </c>
      <c r="J1922" s="19" t="s">
        <v>25</v>
      </c>
      <c r="K1922" s="19" t="s">
        <v>1159</v>
      </c>
      <c r="L1922" s="19">
        <v>2023</v>
      </c>
      <c r="M1922" s="20">
        <v>1200</v>
      </c>
      <c r="N1922" s="19" t="s">
        <v>667</v>
      </c>
      <c r="O1922" s="20">
        <v>20</v>
      </c>
      <c r="P1922" s="20">
        <v>24000</v>
      </c>
      <c r="Q1922" s="20">
        <v>29318.016000000003</v>
      </c>
      <c r="R1922" s="21">
        <v>0.91</v>
      </c>
      <c r="S1922" s="20">
        <v>29318.016000000003</v>
      </c>
    </row>
    <row r="1923" spans="2:19" ht="15" customHeight="1" x14ac:dyDescent="0.25">
      <c r="B1923" s="2" t="str">
        <f t="shared" si="58"/>
        <v>PGL_Business_Public Sector_Rebates_Boiler Reset Controls_0_CI</v>
      </c>
      <c r="C1923" s="2" t="str">
        <f t="shared" si="59"/>
        <v>PGL_Business_Public Sector_Rebates_Boiler Reset Controls_0_CI_2024</v>
      </c>
      <c r="D1923" s="19" t="s">
        <v>1794</v>
      </c>
      <c r="E1923" s="19" t="s">
        <v>3</v>
      </c>
      <c r="F1923" s="19" t="s">
        <v>1430</v>
      </c>
      <c r="G1923" s="19" t="s">
        <v>1429</v>
      </c>
      <c r="H1923" s="19" t="s">
        <v>978</v>
      </c>
      <c r="I1923" s="19">
        <v>0</v>
      </c>
      <c r="J1923" s="19" t="s">
        <v>25</v>
      </c>
      <c r="K1923" s="19" t="s">
        <v>1159</v>
      </c>
      <c r="L1923" s="19">
        <v>2024</v>
      </c>
      <c r="M1923" s="20">
        <v>1200</v>
      </c>
      <c r="N1923" s="19" t="s">
        <v>667</v>
      </c>
      <c r="O1923" s="20">
        <v>20</v>
      </c>
      <c r="P1923" s="20">
        <v>24000</v>
      </c>
      <c r="Q1923" s="20">
        <v>29318.016000000003</v>
      </c>
      <c r="R1923" s="21">
        <v>0.91</v>
      </c>
      <c r="S1923" s="20">
        <v>29318.016000000003</v>
      </c>
    </row>
    <row r="1924" spans="2:19" ht="15" customHeight="1" x14ac:dyDescent="0.25">
      <c r="B1924" s="2" t="str">
        <f t="shared" si="58"/>
        <v>PGL_Business_Public Sector_Rebates_Boiler Reset Controls_0_CI</v>
      </c>
      <c r="C1924" s="2" t="str">
        <f t="shared" si="59"/>
        <v>PGL_Business_Public Sector_Rebates_Boiler Reset Controls_0_CI_2025</v>
      </c>
      <c r="D1924" s="19" t="s">
        <v>1794</v>
      </c>
      <c r="E1924" s="19" t="s">
        <v>3</v>
      </c>
      <c r="F1924" s="19" t="s">
        <v>1430</v>
      </c>
      <c r="G1924" s="19" t="s">
        <v>1429</v>
      </c>
      <c r="H1924" s="19" t="s">
        <v>978</v>
      </c>
      <c r="I1924" s="19">
        <v>0</v>
      </c>
      <c r="J1924" s="19" t="s">
        <v>25</v>
      </c>
      <c r="K1924" s="19" t="s">
        <v>1159</v>
      </c>
      <c r="L1924" s="19">
        <v>2025</v>
      </c>
      <c r="M1924" s="20">
        <v>1200</v>
      </c>
      <c r="N1924" s="19" t="s">
        <v>667</v>
      </c>
      <c r="O1924" s="20">
        <v>20</v>
      </c>
      <c r="P1924" s="20">
        <v>24000</v>
      </c>
      <c r="Q1924" s="20">
        <v>29318.016000000003</v>
      </c>
      <c r="R1924" s="21">
        <v>0.91</v>
      </c>
      <c r="S1924" s="20">
        <v>29318.016000000003</v>
      </c>
    </row>
    <row r="1925" spans="2:19" ht="15" customHeight="1" x14ac:dyDescent="0.25">
      <c r="B1925" s="2" t="str">
        <f t="shared" si="58"/>
        <v>PGL_Business_Public Sector_Rebates_Boiler Tune Up_Process_MF/CI</v>
      </c>
      <c r="C1925" s="2" t="str">
        <f t="shared" si="59"/>
        <v>PGL_Business_Public Sector_Rebates_Boiler Tune Up_Process_MF/CI_2022</v>
      </c>
      <c r="D1925" s="19" t="s">
        <v>1794</v>
      </c>
      <c r="E1925" s="19" t="s">
        <v>3</v>
      </c>
      <c r="F1925" s="19" t="s">
        <v>1430</v>
      </c>
      <c r="G1925" s="19" t="s">
        <v>1429</v>
      </c>
      <c r="H1925" s="19" t="s">
        <v>906</v>
      </c>
      <c r="I1925" s="19" t="s">
        <v>924</v>
      </c>
      <c r="J1925" s="19" t="s">
        <v>927</v>
      </c>
      <c r="K1925" s="19" t="s">
        <v>587</v>
      </c>
      <c r="L1925" s="19">
        <v>2022</v>
      </c>
      <c r="M1925" s="20">
        <v>12000</v>
      </c>
      <c r="N1925" s="19" t="s">
        <v>667</v>
      </c>
      <c r="O1925" s="20">
        <v>4</v>
      </c>
      <c r="P1925" s="20">
        <v>48000</v>
      </c>
      <c r="Q1925" s="20">
        <v>44673.081193220096</v>
      </c>
      <c r="R1925" s="21">
        <v>0.91</v>
      </c>
      <c r="S1925" s="20">
        <v>44673.081193220096</v>
      </c>
    </row>
    <row r="1926" spans="2:19" ht="15" customHeight="1" x14ac:dyDescent="0.25">
      <c r="B1926" s="2" t="str">
        <f t="shared" ref="B1926:B1989" si="60">D1926&amp;"_"&amp;E1926&amp;"_"&amp;F1926&amp;"_"&amp;G1926&amp;"_"&amp;H1926&amp;"_"&amp;I1926&amp;"_"&amp;K1926</f>
        <v>PGL_Business_Public Sector_Rebates_Boiler Tune Up_Process_MF/CI</v>
      </c>
      <c r="C1926" s="2" t="str">
        <f t="shared" ref="C1926:C1989" si="61">D1926&amp;"_"&amp;E1926&amp;"_"&amp;F1926&amp;"_"&amp;G1926&amp;"_"&amp;H1926&amp;"_"&amp;I1926&amp;"_"&amp;K1926&amp;"_"&amp;L1926</f>
        <v>PGL_Business_Public Sector_Rebates_Boiler Tune Up_Process_MF/CI_2023</v>
      </c>
      <c r="D1926" s="19" t="s">
        <v>1794</v>
      </c>
      <c r="E1926" s="19" t="s">
        <v>3</v>
      </c>
      <c r="F1926" s="19" t="s">
        <v>1430</v>
      </c>
      <c r="G1926" s="19" t="s">
        <v>1429</v>
      </c>
      <c r="H1926" s="19" t="s">
        <v>906</v>
      </c>
      <c r="I1926" s="19" t="s">
        <v>924</v>
      </c>
      <c r="J1926" s="19" t="s">
        <v>927</v>
      </c>
      <c r="K1926" s="19" t="s">
        <v>587</v>
      </c>
      <c r="L1926" s="19">
        <v>2023</v>
      </c>
      <c r="M1926" s="20">
        <v>12000</v>
      </c>
      <c r="N1926" s="19" t="s">
        <v>667</v>
      </c>
      <c r="O1926" s="20">
        <v>4</v>
      </c>
      <c r="P1926" s="20">
        <v>48000</v>
      </c>
      <c r="Q1926" s="20">
        <v>44673.081193220096</v>
      </c>
      <c r="R1926" s="21">
        <v>0.91</v>
      </c>
      <c r="S1926" s="20">
        <v>44673.081193220096</v>
      </c>
    </row>
    <row r="1927" spans="2:19" ht="15" customHeight="1" x14ac:dyDescent="0.25">
      <c r="B1927" s="2" t="str">
        <f t="shared" si="60"/>
        <v>PGL_Business_Public Sector_Rebates_Boiler Tune Up_Process_MF/CI</v>
      </c>
      <c r="C1927" s="2" t="str">
        <f t="shared" si="61"/>
        <v>PGL_Business_Public Sector_Rebates_Boiler Tune Up_Process_MF/CI_2024</v>
      </c>
      <c r="D1927" s="19" t="s">
        <v>1794</v>
      </c>
      <c r="E1927" s="19" t="s">
        <v>3</v>
      </c>
      <c r="F1927" s="19" t="s">
        <v>1430</v>
      </c>
      <c r="G1927" s="19" t="s">
        <v>1429</v>
      </c>
      <c r="H1927" s="19" t="s">
        <v>906</v>
      </c>
      <c r="I1927" s="19" t="s">
        <v>924</v>
      </c>
      <c r="J1927" s="19" t="s">
        <v>927</v>
      </c>
      <c r="K1927" s="19" t="s">
        <v>587</v>
      </c>
      <c r="L1927" s="19">
        <v>2024</v>
      </c>
      <c r="M1927" s="20">
        <v>12000</v>
      </c>
      <c r="N1927" s="19" t="s">
        <v>667</v>
      </c>
      <c r="O1927" s="20">
        <v>4</v>
      </c>
      <c r="P1927" s="20">
        <v>48000</v>
      </c>
      <c r="Q1927" s="20">
        <v>44673.081193220096</v>
      </c>
      <c r="R1927" s="21">
        <v>0.91</v>
      </c>
      <c r="S1927" s="20">
        <v>44673.081193220096</v>
      </c>
    </row>
    <row r="1928" spans="2:19" ht="15" customHeight="1" x14ac:dyDescent="0.25">
      <c r="B1928" s="2" t="str">
        <f t="shared" si="60"/>
        <v>PGL_Business_Public Sector_Rebates_Boiler Tune Up_Process_MF/CI</v>
      </c>
      <c r="C1928" s="2" t="str">
        <f t="shared" si="61"/>
        <v>PGL_Business_Public Sector_Rebates_Boiler Tune Up_Process_MF/CI_2025</v>
      </c>
      <c r="D1928" s="19" t="s">
        <v>1794</v>
      </c>
      <c r="E1928" s="19" t="s">
        <v>3</v>
      </c>
      <c r="F1928" s="19" t="s">
        <v>1430</v>
      </c>
      <c r="G1928" s="19" t="s">
        <v>1429</v>
      </c>
      <c r="H1928" s="19" t="s">
        <v>906</v>
      </c>
      <c r="I1928" s="19" t="s">
        <v>924</v>
      </c>
      <c r="J1928" s="19" t="s">
        <v>927</v>
      </c>
      <c r="K1928" s="19" t="s">
        <v>587</v>
      </c>
      <c r="L1928" s="19">
        <v>2025</v>
      </c>
      <c r="M1928" s="20">
        <v>12000</v>
      </c>
      <c r="N1928" s="19" t="s">
        <v>667</v>
      </c>
      <c r="O1928" s="20">
        <v>4</v>
      </c>
      <c r="P1928" s="20">
        <v>48000</v>
      </c>
      <c r="Q1928" s="20">
        <v>44673.081193220096</v>
      </c>
      <c r="R1928" s="21">
        <v>0.91</v>
      </c>
      <c r="S1928" s="20">
        <v>44673.081193220096</v>
      </c>
    </row>
    <row r="1929" spans="2:19" ht="15" customHeight="1" x14ac:dyDescent="0.25">
      <c r="B1929" s="2" t="str">
        <f t="shared" si="60"/>
        <v>PGL_Business_Public Sector_Rebates_Boiler Tune Up_Space Heating_CI</v>
      </c>
      <c r="C1929" s="2" t="str">
        <f t="shared" si="61"/>
        <v>PGL_Business_Public Sector_Rebates_Boiler Tune Up_Space Heating_CI_2022</v>
      </c>
      <c r="D1929" s="19" t="s">
        <v>1794</v>
      </c>
      <c r="E1929" s="19" t="s">
        <v>3</v>
      </c>
      <c r="F1929" s="19" t="s">
        <v>1430</v>
      </c>
      <c r="G1929" s="19" t="s">
        <v>1429</v>
      </c>
      <c r="H1929" s="19" t="s">
        <v>906</v>
      </c>
      <c r="I1929" s="19" t="s">
        <v>907</v>
      </c>
      <c r="J1929" s="19" t="s">
        <v>909</v>
      </c>
      <c r="K1929" s="19" t="s">
        <v>1159</v>
      </c>
      <c r="L1929" s="19">
        <v>2022</v>
      </c>
      <c r="M1929" s="20">
        <v>6000</v>
      </c>
      <c r="N1929" s="19" t="s">
        <v>667</v>
      </c>
      <c r="O1929" s="20">
        <v>30</v>
      </c>
      <c r="P1929" s="20">
        <v>180000</v>
      </c>
      <c r="Q1929" s="20">
        <v>76780.9987730063</v>
      </c>
      <c r="R1929" s="21">
        <v>0.91</v>
      </c>
      <c r="S1929" s="20">
        <v>76780.9987730063</v>
      </c>
    </row>
    <row r="1930" spans="2:19" ht="15" customHeight="1" x14ac:dyDescent="0.25">
      <c r="B1930" s="2" t="str">
        <f t="shared" si="60"/>
        <v>PGL_Business_Public Sector_Rebates_Boiler Tune Up_Space Heating_CI</v>
      </c>
      <c r="C1930" s="2" t="str">
        <f t="shared" si="61"/>
        <v>PGL_Business_Public Sector_Rebates_Boiler Tune Up_Space Heating_CI_2023</v>
      </c>
      <c r="D1930" s="19" t="s">
        <v>1794</v>
      </c>
      <c r="E1930" s="19" t="s">
        <v>3</v>
      </c>
      <c r="F1930" s="19" t="s">
        <v>1430</v>
      </c>
      <c r="G1930" s="19" t="s">
        <v>1429</v>
      </c>
      <c r="H1930" s="19" t="s">
        <v>906</v>
      </c>
      <c r="I1930" s="19" t="s">
        <v>907</v>
      </c>
      <c r="J1930" s="19" t="s">
        <v>909</v>
      </c>
      <c r="K1930" s="19" t="s">
        <v>1159</v>
      </c>
      <c r="L1930" s="19">
        <v>2023</v>
      </c>
      <c r="M1930" s="20">
        <v>6000</v>
      </c>
      <c r="N1930" s="19" t="s">
        <v>667</v>
      </c>
      <c r="O1930" s="20">
        <v>30</v>
      </c>
      <c r="P1930" s="20">
        <v>180000</v>
      </c>
      <c r="Q1930" s="20">
        <v>76780.9987730063</v>
      </c>
      <c r="R1930" s="21">
        <v>0.91</v>
      </c>
      <c r="S1930" s="20">
        <v>76780.9987730063</v>
      </c>
    </row>
    <row r="1931" spans="2:19" ht="15" customHeight="1" x14ac:dyDescent="0.25">
      <c r="B1931" s="2" t="str">
        <f t="shared" si="60"/>
        <v>PGL_Business_Public Sector_Rebates_Boiler Tune Up_Space Heating_CI</v>
      </c>
      <c r="C1931" s="2" t="str">
        <f t="shared" si="61"/>
        <v>PGL_Business_Public Sector_Rebates_Boiler Tune Up_Space Heating_CI_2024</v>
      </c>
      <c r="D1931" s="19" t="s">
        <v>1794</v>
      </c>
      <c r="E1931" s="19" t="s">
        <v>3</v>
      </c>
      <c r="F1931" s="19" t="s">
        <v>1430</v>
      </c>
      <c r="G1931" s="19" t="s">
        <v>1429</v>
      </c>
      <c r="H1931" s="19" t="s">
        <v>906</v>
      </c>
      <c r="I1931" s="19" t="s">
        <v>907</v>
      </c>
      <c r="J1931" s="19" t="s">
        <v>909</v>
      </c>
      <c r="K1931" s="19" t="s">
        <v>1159</v>
      </c>
      <c r="L1931" s="19">
        <v>2024</v>
      </c>
      <c r="M1931" s="20">
        <v>6000</v>
      </c>
      <c r="N1931" s="19" t="s">
        <v>667</v>
      </c>
      <c r="O1931" s="20">
        <v>30</v>
      </c>
      <c r="P1931" s="20">
        <v>180000</v>
      </c>
      <c r="Q1931" s="20">
        <v>76780.9987730063</v>
      </c>
      <c r="R1931" s="21">
        <v>0.91</v>
      </c>
      <c r="S1931" s="20">
        <v>76780.9987730063</v>
      </c>
    </row>
    <row r="1932" spans="2:19" ht="15" customHeight="1" x14ac:dyDescent="0.25">
      <c r="B1932" s="2" t="str">
        <f t="shared" si="60"/>
        <v>PGL_Business_Public Sector_Rebates_Boiler Tune Up_Space Heating_CI</v>
      </c>
      <c r="C1932" s="2" t="str">
        <f t="shared" si="61"/>
        <v>PGL_Business_Public Sector_Rebates_Boiler Tune Up_Space Heating_CI_2025</v>
      </c>
      <c r="D1932" s="19" t="s">
        <v>1794</v>
      </c>
      <c r="E1932" s="19" t="s">
        <v>3</v>
      </c>
      <c r="F1932" s="19" t="s">
        <v>1430</v>
      </c>
      <c r="G1932" s="19" t="s">
        <v>1429</v>
      </c>
      <c r="H1932" s="19" t="s">
        <v>906</v>
      </c>
      <c r="I1932" s="19" t="s">
        <v>907</v>
      </c>
      <c r="J1932" s="19" t="s">
        <v>909</v>
      </c>
      <c r="K1932" s="19" t="s">
        <v>1159</v>
      </c>
      <c r="L1932" s="19">
        <v>2025</v>
      </c>
      <c r="M1932" s="20">
        <v>6000</v>
      </c>
      <c r="N1932" s="19" t="s">
        <v>667</v>
      </c>
      <c r="O1932" s="20">
        <v>30</v>
      </c>
      <c r="P1932" s="20">
        <v>180000</v>
      </c>
      <c r="Q1932" s="20">
        <v>76780.9987730063</v>
      </c>
      <c r="R1932" s="21">
        <v>0.91</v>
      </c>
      <c r="S1932" s="20">
        <v>76780.9987730063</v>
      </c>
    </row>
    <row r="1933" spans="2:19" ht="15" customHeight="1" x14ac:dyDescent="0.25">
      <c r="B1933" s="2" t="str">
        <f t="shared" si="60"/>
        <v>PGL_Business_Public Sector_Rebates_Condensing Unit Heater_0_MF/CI</v>
      </c>
      <c r="C1933" s="2" t="str">
        <f t="shared" si="61"/>
        <v>PGL_Business_Public Sector_Rebates_Condensing Unit Heater_0_MF/CI_2022</v>
      </c>
      <c r="D1933" s="19" t="s">
        <v>1794</v>
      </c>
      <c r="E1933" s="19" t="s">
        <v>3</v>
      </c>
      <c r="F1933" s="19" t="s">
        <v>1430</v>
      </c>
      <c r="G1933" s="19" t="s">
        <v>1429</v>
      </c>
      <c r="H1933" s="19" t="s">
        <v>13</v>
      </c>
      <c r="I1933" s="19">
        <v>0</v>
      </c>
      <c r="J1933" s="19" t="s">
        <v>32</v>
      </c>
      <c r="K1933" s="19" t="s">
        <v>587</v>
      </c>
      <c r="L1933" s="19">
        <v>2022</v>
      </c>
      <c r="M1933" s="20">
        <v>150</v>
      </c>
      <c r="N1933" s="19" t="s">
        <v>667</v>
      </c>
      <c r="O1933" s="20">
        <v>1</v>
      </c>
      <c r="P1933" s="20">
        <v>150</v>
      </c>
      <c r="Q1933" s="20">
        <v>242.06</v>
      </c>
      <c r="R1933" s="21">
        <v>0.91</v>
      </c>
      <c r="S1933" s="20">
        <v>242.06</v>
      </c>
    </row>
    <row r="1934" spans="2:19" ht="15" customHeight="1" x14ac:dyDescent="0.25">
      <c r="B1934" s="2" t="str">
        <f t="shared" si="60"/>
        <v>PGL_Business_Public Sector_Rebates_Condensing Unit Heater_0_MF/CI</v>
      </c>
      <c r="C1934" s="2" t="str">
        <f t="shared" si="61"/>
        <v>PGL_Business_Public Sector_Rebates_Condensing Unit Heater_0_MF/CI_2023</v>
      </c>
      <c r="D1934" s="19" t="s">
        <v>1794</v>
      </c>
      <c r="E1934" s="19" t="s">
        <v>3</v>
      </c>
      <c r="F1934" s="19" t="s">
        <v>1430</v>
      </c>
      <c r="G1934" s="19" t="s">
        <v>1429</v>
      </c>
      <c r="H1934" s="19" t="s">
        <v>13</v>
      </c>
      <c r="I1934" s="19">
        <v>0</v>
      </c>
      <c r="J1934" s="19" t="s">
        <v>32</v>
      </c>
      <c r="K1934" s="19" t="s">
        <v>587</v>
      </c>
      <c r="L1934" s="19">
        <v>2023</v>
      </c>
      <c r="M1934" s="20">
        <v>150</v>
      </c>
      <c r="N1934" s="19" t="s">
        <v>667</v>
      </c>
      <c r="O1934" s="20">
        <v>1</v>
      </c>
      <c r="P1934" s="20">
        <v>150</v>
      </c>
      <c r="Q1934" s="20">
        <v>242.06</v>
      </c>
      <c r="R1934" s="21">
        <v>0.91</v>
      </c>
      <c r="S1934" s="20">
        <v>242.06</v>
      </c>
    </row>
    <row r="1935" spans="2:19" ht="15" customHeight="1" x14ac:dyDescent="0.25">
      <c r="B1935" s="2" t="str">
        <f t="shared" si="60"/>
        <v>PGL_Business_Public Sector_Rebates_Condensing Unit Heater_0_MF/CI</v>
      </c>
      <c r="C1935" s="2" t="str">
        <f t="shared" si="61"/>
        <v>PGL_Business_Public Sector_Rebates_Condensing Unit Heater_0_MF/CI_2024</v>
      </c>
      <c r="D1935" s="19" t="s">
        <v>1794</v>
      </c>
      <c r="E1935" s="19" t="s">
        <v>3</v>
      </c>
      <c r="F1935" s="19" t="s">
        <v>1430</v>
      </c>
      <c r="G1935" s="19" t="s">
        <v>1429</v>
      </c>
      <c r="H1935" s="19" t="s">
        <v>13</v>
      </c>
      <c r="I1935" s="19">
        <v>0</v>
      </c>
      <c r="J1935" s="19" t="s">
        <v>32</v>
      </c>
      <c r="K1935" s="19" t="s">
        <v>587</v>
      </c>
      <c r="L1935" s="19">
        <v>2024</v>
      </c>
      <c r="M1935" s="20">
        <v>150</v>
      </c>
      <c r="N1935" s="19" t="s">
        <v>667</v>
      </c>
      <c r="O1935" s="20">
        <v>1</v>
      </c>
      <c r="P1935" s="20">
        <v>150</v>
      </c>
      <c r="Q1935" s="20">
        <v>242.06</v>
      </c>
      <c r="R1935" s="21">
        <v>0.91</v>
      </c>
      <c r="S1935" s="20">
        <v>242.06</v>
      </c>
    </row>
    <row r="1936" spans="2:19" ht="15" customHeight="1" x14ac:dyDescent="0.25">
      <c r="B1936" s="2" t="str">
        <f t="shared" si="60"/>
        <v>PGL_Business_Public Sector_Rebates_Condensing Unit Heater_0_MF/CI</v>
      </c>
      <c r="C1936" s="2" t="str">
        <f t="shared" si="61"/>
        <v>PGL_Business_Public Sector_Rebates_Condensing Unit Heater_0_MF/CI_2025</v>
      </c>
      <c r="D1936" s="19" t="s">
        <v>1794</v>
      </c>
      <c r="E1936" s="19" t="s">
        <v>3</v>
      </c>
      <c r="F1936" s="19" t="s">
        <v>1430</v>
      </c>
      <c r="G1936" s="19" t="s">
        <v>1429</v>
      </c>
      <c r="H1936" s="19" t="s">
        <v>13</v>
      </c>
      <c r="I1936" s="19">
        <v>0</v>
      </c>
      <c r="J1936" s="19" t="s">
        <v>32</v>
      </c>
      <c r="K1936" s="19" t="s">
        <v>587</v>
      </c>
      <c r="L1936" s="19">
        <v>2025</v>
      </c>
      <c r="M1936" s="20">
        <v>150</v>
      </c>
      <c r="N1936" s="19" t="s">
        <v>667</v>
      </c>
      <c r="O1936" s="20">
        <v>1</v>
      </c>
      <c r="P1936" s="20">
        <v>150</v>
      </c>
      <c r="Q1936" s="20">
        <v>242.06</v>
      </c>
      <c r="R1936" s="21">
        <v>0.91</v>
      </c>
      <c r="S1936" s="20">
        <v>242.06</v>
      </c>
    </row>
    <row r="1937" spans="2:19" ht="15" customHeight="1" x14ac:dyDescent="0.25">
      <c r="B1937" s="2" t="str">
        <f t="shared" si="60"/>
        <v>PGL_Business_Public Sector_Rebates_DCV - Kitchen_0_MF/CI</v>
      </c>
      <c r="C1937" s="2" t="str">
        <f t="shared" si="61"/>
        <v>PGL_Business_Public Sector_Rebates_DCV - Kitchen_0_MF/CI_2022</v>
      </c>
      <c r="D1937" s="19" t="s">
        <v>1794</v>
      </c>
      <c r="E1937" s="19" t="s">
        <v>3</v>
      </c>
      <c r="F1937" s="19" t="s">
        <v>1430</v>
      </c>
      <c r="G1937" s="19" t="s">
        <v>1429</v>
      </c>
      <c r="H1937" s="19" t="s">
        <v>1077</v>
      </c>
      <c r="I1937" s="19">
        <v>0</v>
      </c>
      <c r="J1937" s="19" t="s">
        <v>48</v>
      </c>
      <c r="K1937" s="19" t="s">
        <v>587</v>
      </c>
      <c r="L1937" s="19">
        <v>2022</v>
      </c>
      <c r="M1937" s="20">
        <v>7.75</v>
      </c>
      <c r="N1937" s="19" t="s">
        <v>333</v>
      </c>
      <c r="O1937" s="20">
        <v>1</v>
      </c>
      <c r="P1937" s="20">
        <v>7.75</v>
      </c>
      <c r="Q1937" s="20">
        <v>5458.6350000000002</v>
      </c>
      <c r="R1937" s="21">
        <v>0.91</v>
      </c>
      <c r="S1937" s="20">
        <v>5458.6350000000002</v>
      </c>
    </row>
    <row r="1938" spans="2:19" ht="15" customHeight="1" x14ac:dyDescent="0.25">
      <c r="B1938" s="2" t="str">
        <f t="shared" si="60"/>
        <v>PGL_Business_Public Sector_Rebates_DCV - Kitchen_0_MF/CI</v>
      </c>
      <c r="C1938" s="2" t="str">
        <f t="shared" si="61"/>
        <v>PGL_Business_Public Sector_Rebates_DCV - Kitchen_0_MF/CI_2023</v>
      </c>
      <c r="D1938" s="19" t="s">
        <v>1794</v>
      </c>
      <c r="E1938" s="19" t="s">
        <v>3</v>
      </c>
      <c r="F1938" s="19" t="s">
        <v>1430</v>
      </c>
      <c r="G1938" s="19" t="s">
        <v>1429</v>
      </c>
      <c r="H1938" s="19" t="s">
        <v>1077</v>
      </c>
      <c r="I1938" s="19">
        <v>0</v>
      </c>
      <c r="J1938" s="19" t="s">
        <v>48</v>
      </c>
      <c r="K1938" s="19" t="s">
        <v>587</v>
      </c>
      <c r="L1938" s="19">
        <v>2023</v>
      </c>
      <c r="M1938" s="20">
        <v>7.75</v>
      </c>
      <c r="N1938" s="19" t="s">
        <v>333</v>
      </c>
      <c r="O1938" s="20">
        <v>1</v>
      </c>
      <c r="P1938" s="20">
        <v>7.75</v>
      </c>
      <c r="Q1938" s="20">
        <v>5458.6350000000002</v>
      </c>
      <c r="R1938" s="21">
        <v>0.91</v>
      </c>
      <c r="S1938" s="20">
        <v>5458.6350000000002</v>
      </c>
    </row>
    <row r="1939" spans="2:19" ht="15" customHeight="1" x14ac:dyDescent="0.25">
      <c r="B1939" s="2" t="str">
        <f t="shared" si="60"/>
        <v>PGL_Business_Public Sector_Rebates_DCV - Kitchen_0_MF/CI</v>
      </c>
      <c r="C1939" s="2" t="str">
        <f t="shared" si="61"/>
        <v>PGL_Business_Public Sector_Rebates_DCV - Kitchen_0_MF/CI_2024</v>
      </c>
      <c r="D1939" s="19" t="s">
        <v>1794</v>
      </c>
      <c r="E1939" s="19" t="s">
        <v>3</v>
      </c>
      <c r="F1939" s="19" t="s">
        <v>1430</v>
      </c>
      <c r="G1939" s="19" t="s">
        <v>1429</v>
      </c>
      <c r="H1939" s="19" t="s">
        <v>1077</v>
      </c>
      <c r="I1939" s="19">
        <v>0</v>
      </c>
      <c r="J1939" s="19" t="s">
        <v>48</v>
      </c>
      <c r="K1939" s="19" t="s">
        <v>587</v>
      </c>
      <c r="L1939" s="19">
        <v>2024</v>
      </c>
      <c r="M1939" s="20">
        <v>7.75</v>
      </c>
      <c r="N1939" s="19" t="s">
        <v>333</v>
      </c>
      <c r="O1939" s="20">
        <v>1</v>
      </c>
      <c r="P1939" s="20">
        <v>7.75</v>
      </c>
      <c r="Q1939" s="20">
        <v>5458.6350000000002</v>
      </c>
      <c r="R1939" s="21">
        <v>0.91</v>
      </c>
      <c r="S1939" s="20">
        <v>5458.6350000000002</v>
      </c>
    </row>
    <row r="1940" spans="2:19" ht="15" customHeight="1" x14ac:dyDescent="0.25">
      <c r="B1940" s="2" t="str">
        <f t="shared" si="60"/>
        <v>PGL_Business_Public Sector_Rebates_DCV - Kitchen_0_MF/CI</v>
      </c>
      <c r="C1940" s="2" t="str">
        <f t="shared" si="61"/>
        <v>PGL_Business_Public Sector_Rebates_DCV - Kitchen_0_MF/CI_2025</v>
      </c>
      <c r="D1940" s="19" t="s">
        <v>1794</v>
      </c>
      <c r="E1940" s="19" t="s">
        <v>3</v>
      </c>
      <c r="F1940" s="19" t="s">
        <v>1430</v>
      </c>
      <c r="G1940" s="19" t="s">
        <v>1429</v>
      </c>
      <c r="H1940" s="19" t="s">
        <v>1077</v>
      </c>
      <c r="I1940" s="19">
        <v>0</v>
      </c>
      <c r="J1940" s="19" t="s">
        <v>48</v>
      </c>
      <c r="K1940" s="19" t="s">
        <v>587</v>
      </c>
      <c r="L1940" s="19">
        <v>2025</v>
      </c>
      <c r="M1940" s="20">
        <v>7.75</v>
      </c>
      <c r="N1940" s="19" t="s">
        <v>333</v>
      </c>
      <c r="O1940" s="20">
        <v>1</v>
      </c>
      <c r="P1940" s="20">
        <v>7.75</v>
      </c>
      <c r="Q1940" s="20">
        <v>5458.6350000000002</v>
      </c>
      <c r="R1940" s="21">
        <v>0.91</v>
      </c>
      <c r="S1940" s="20">
        <v>5458.6350000000002</v>
      </c>
    </row>
    <row r="1941" spans="2:19" ht="15" customHeight="1" x14ac:dyDescent="0.25">
      <c r="B1941" s="2" t="str">
        <f t="shared" si="60"/>
        <v>PGL_Business_Public Sector_Rebates_Direct Fired Heaters_0_MF/CI</v>
      </c>
      <c r="C1941" s="2" t="str">
        <f t="shared" si="61"/>
        <v>PGL_Business_Public Sector_Rebates_Direct Fired Heaters_0_MF/CI_2022</v>
      </c>
      <c r="D1941" s="19" t="s">
        <v>1794</v>
      </c>
      <c r="E1941" s="19" t="s">
        <v>3</v>
      </c>
      <c r="F1941" s="19" t="s">
        <v>1430</v>
      </c>
      <c r="G1941" s="19" t="s">
        <v>1429</v>
      </c>
      <c r="H1941" s="19" t="s">
        <v>666</v>
      </c>
      <c r="I1941" s="19">
        <v>0</v>
      </c>
      <c r="J1941" s="19" t="s">
        <v>673</v>
      </c>
      <c r="K1941" s="19" t="s">
        <v>587</v>
      </c>
      <c r="L1941" s="19">
        <v>2022</v>
      </c>
      <c r="M1941" s="20">
        <v>400</v>
      </c>
      <c r="N1941" s="19" t="s">
        <v>667</v>
      </c>
      <c r="O1941" s="20">
        <v>2</v>
      </c>
      <c r="P1941" s="20">
        <v>800</v>
      </c>
      <c r="Q1941" s="20">
        <v>2708.1600000000003</v>
      </c>
      <c r="R1941" s="21">
        <v>0.91</v>
      </c>
      <c r="S1941" s="20">
        <v>2708.1600000000003</v>
      </c>
    </row>
    <row r="1942" spans="2:19" ht="15" customHeight="1" x14ac:dyDescent="0.25">
      <c r="B1942" s="2" t="str">
        <f t="shared" si="60"/>
        <v>PGL_Business_Public Sector_Rebates_Direct Fired Heaters_0_MF/CI</v>
      </c>
      <c r="C1942" s="2" t="str">
        <f t="shared" si="61"/>
        <v>PGL_Business_Public Sector_Rebates_Direct Fired Heaters_0_MF/CI_2023</v>
      </c>
      <c r="D1942" s="19" t="s">
        <v>1794</v>
      </c>
      <c r="E1942" s="19" t="s">
        <v>3</v>
      </c>
      <c r="F1942" s="19" t="s">
        <v>1430</v>
      </c>
      <c r="G1942" s="19" t="s">
        <v>1429</v>
      </c>
      <c r="H1942" s="19" t="s">
        <v>666</v>
      </c>
      <c r="I1942" s="19">
        <v>0</v>
      </c>
      <c r="J1942" s="19" t="s">
        <v>673</v>
      </c>
      <c r="K1942" s="19" t="s">
        <v>587</v>
      </c>
      <c r="L1942" s="19">
        <v>2023</v>
      </c>
      <c r="M1942" s="20">
        <v>400</v>
      </c>
      <c r="N1942" s="19" t="s">
        <v>667</v>
      </c>
      <c r="O1942" s="20">
        <v>2</v>
      </c>
      <c r="P1942" s="20">
        <v>800</v>
      </c>
      <c r="Q1942" s="20">
        <v>2708.1600000000003</v>
      </c>
      <c r="R1942" s="21">
        <v>0.91</v>
      </c>
      <c r="S1942" s="20">
        <v>2708.1600000000003</v>
      </c>
    </row>
    <row r="1943" spans="2:19" ht="15" customHeight="1" x14ac:dyDescent="0.25">
      <c r="B1943" s="2" t="str">
        <f t="shared" si="60"/>
        <v>PGL_Business_Public Sector_Rebates_Direct Fired Heaters_0_MF/CI</v>
      </c>
      <c r="C1943" s="2" t="str">
        <f t="shared" si="61"/>
        <v>PGL_Business_Public Sector_Rebates_Direct Fired Heaters_0_MF/CI_2024</v>
      </c>
      <c r="D1943" s="19" t="s">
        <v>1794</v>
      </c>
      <c r="E1943" s="19" t="s">
        <v>3</v>
      </c>
      <c r="F1943" s="19" t="s">
        <v>1430</v>
      </c>
      <c r="G1943" s="19" t="s">
        <v>1429</v>
      </c>
      <c r="H1943" s="19" t="s">
        <v>666</v>
      </c>
      <c r="I1943" s="19">
        <v>0</v>
      </c>
      <c r="J1943" s="19" t="s">
        <v>673</v>
      </c>
      <c r="K1943" s="19" t="s">
        <v>587</v>
      </c>
      <c r="L1943" s="19">
        <v>2024</v>
      </c>
      <c r="M1943" s="20">
        <v>400</v>
      </c>
      <c r="N1943" s="19" t="s">
        <v>667</v>
      </c>
      <c r="O1943" s="20">
        <v>2</v>
      </c>
      <c r="P1943" s="20">
        <v>800</v>
      </c>
      <c r="Q1943" s="20">
        <v>2708.1600000000003</v>
      </c>
      <c r="R1943" s="21">
        <v>0.91</v>
      </c>
      <c r="S1943" s="20">
        <v>2708.1600000000003</v>
      </c>
    </row>
    <row r="1944" spans="2:19" ht="15" customHeight="1" x14ac:dyDescent="0.25">
      <c r="B1944" s="2" t="str">
        <f t="shared" si="60"/>
        <v>PGL_Business_Public Sector_Rebates_Direct Fired Heaters_0_MF/CI</v>
      </c>
      <c r="C1944" s="2" t="str">
        <f t="shared" si="61"/>
        <v>PGL_Business_Public Sector_Rebates_Direct Fired Heaters_0_MF/CI_2025</v>
      </c>
      <c r="D1944" s="19" t="s">
        <v>1794</v>
      </c>
      <c r="E1944" s="19" t="s">
        <v>3</v>
      </c>
      <c r="F1944" s="19" t="s">
        <v>1430</v>
      </c>
      <c r="G1944" s="19" t="s">
        <v>1429</v>
      </c>
      <c r="H1944" s="19" t="s">
        <v>666</v>
      </c>
      <c r="I1944" s="19">
        <v>0</v>
      </c>
      <c r="J1944" s="19" t="s">
        <v>673</v>
      </c>
      <c r="K1944" s="19" t="s">
        <v>587</v>
      </c>
      <c r="L1944" s="19">
        <v>2025</v>
      </c>
      <c r="M1944" s="20">
        <v>400</v>
      </c>
      <c r="N1944" s="19" t="s">
        <v>667</v>
      </c>
      <c r="O1944" s="20">
        <v>2</v>
      </c>
      <c r="P1944" s="20">
        <v>800</v>
      </c>
      <c r="Q1944" s="20">
        <v>2708.1600000000003</v>
      </c>
      <c r="R1944" s="21">
        <v>0.91</v>
      </c>
      <c r="S1944" s="20">
        <v>2708.1600000000003</v>
      </c>
    </row>
    <row r="1945" spans="2:19" ht="15" customHeight="1" x14ac:dyDescent="0.25">
      <c r="B1945" s="2" t="str">
        <f t="shared" si="60"/>
        <v>PGL_Business_Public Sector_Rebates_High Speed Washer_Hotel/Motel/Hospital_CI</v>
      </c>
      <c r="C1945" s="2" t="str">
        <f t="shared" si="61"/>
        <v>PGL_Business_Public Sector_Rebates_High Speed Washer_Hotel/Motel/Hospital_CI_2022</v>
      </c>
      <c r="D1945" s="19" t="s">
        <v>1794</v>
      </c>
      <c r="E1945" s="19" t="s">
        <v>3</v>
      </c>
      <c r="F1945" s="19" t="s">
        <v>1430</v>
      </c>
      <c r="G1945" s="19" t="s">
        <v>1429</v>
      </c>
      <c r="H1945" s="19" t="s">
        <v>725</v>
      </c>
      <c r="I1945" s="19" t="s">
        <v>1162</v>
      </c>
      <c r="J1945" s="19" t="s">
        <v>730</v>
      </c>
      <c r="K1945" s="19" t="s">
        <v>1159</v>
      </c>
      <c r="L1945" s="19">
        <v>2022</v>
      </c>
      <c r="M1945" s="20">
        <v>250</v>
      </c>
      <c r="N1945" s="19" t="s">
        <v>1803</v>
      </c>
      <c r="O1945" s="20">
        <v>0</v>
      </c>
      <c r="P1945" s="20">
        <v>0</v>
      </c>
      <c r="Q1945" s="20">
        <v>0</v>
      </c>
      <c r="R1945" s="21">
        <v>0.91</v>
      </c>
      <c r="S1945" s="20">
        <v>0</v>
      </c>
    </row>
    <row r="1946" spans="2:19" ht="15" customHeight="1" x14ac:dyDescent="0.25">
      <c r="B1946" s="2" t="str">
        <f t="shared" si="60"/>
        <v>PGL_Business_Public Sector_Rebates_High Speed Washer_Hotel/Motel/Hospital_CI</v>
      </c>
      <c r="C1946" s="2" t="str">
        <f t="shared" si="61"/>
        <v>PGL_Business_Public Sector_Rebates_High Speed Washer_Hotel/Motel/Hospital_CI_2023</v>
      </c>
      <c r="D1946" s="19" t="s">
        <v>1794</v>
      </c>
      <c r="E1946" s="19" t="s">
        <v>3</v>
      </c>
      <c r="F1946" s="19" t="s">
        <v>1430</v>
      </c>
      <c r="G1946" s="19" t="s">
        <v>1429</v>
      </c>
      <c r="H1946" s="19" t="s">
        <v>725</v>
      </c>
      <c r="I1946" s="19" t="s">
        <v>1162</v>
      </c>
      <c r="J1946" s="19" t="s">
        <v>730</v>
      </c>
      <c r="K1946" s="19" t="s">
        <v>1159</v>
      </c>
      <c r="L1946" s="19">
        <v>2023</v>
      </c>
      <c r="M1946" s="20">
        <v>250</v>
      </c>
      <c r="N1946" s="19" t="s">
        <v>1803</v>
      </c>
      <c r="O1946" s="20">
        <v>0</v>
      </c>
      <c r="P1946" s="20">
        <v>0</v>
      </c>
      <c r="Q1946" s="20">
        <v>0</v>
      </c>
      <c r="R1946" s="21">
        <v>0.91</v>
      </c>
      <c r="S1946" s="20">
        <v>0</v>
      </c>
    </row>
    <row r="1947" spans="2:19" ht="15" customHeight="1" x14ac:dyDescent="0.25">
      <c r="B1947" s="2" t="str">
        <f t="shared" si="60"/>
        <v>PGL_Business_Public Sector_Rebates_High Speed Washer_Hotel/Motel/Hospital_CI</v>
      </c>
      <c r="C1947" s="2" t="str">
        <f t="shared" si="61"/>
        <v>PGL_Business_Public Sector_Rebates_High Speed Washer_Hotel/Motel/Hospital_CI_2024</v>
      </c>
      <c r="D1947" s="19" t="s">
        <v>1794</v>
      </c>
      <c r="E1947" s="19" t="s">
        <v>3</v>
      </c>
      <c r="F1947" s="19" t="s">
        <v>1430</v>
      </c>
      <c r="G1947" s="19" t="s">
        <v>1429</v>
      </c>
      <c r="H1947" s="19" t="s">
        <v>725</v>
      </c>
      <c r="I1947" s="19" t="s">
        <v>1162</v>
      </c>
      <c r="J1947" s="19" t="s">
        <v>730</v>
      </c>
      <c r="K1947" s="19" t="s">
        <v>1159</v>
      </c>
      <c r="L1947" s="19">
        <v>2024</v>
      </c>
      <c r="M1947" s="20">
        <v>250</v>
      </c>
      <c r="N1947" s="19" t="s">
        <v>1803</v>
      </c>
      <c r="O1947" s="20">
        <v>0</v>
      </c>
      <c r="P1947" s="20">
        <v>0</v>
      </c>
      <c r="Q1947" s="20">
        <v>0</v>
      </c>
      <c r="R1947" s="21">
        <v>0.91</v>
      </c>
      <c r="S1947" s="20">
        <v>0</v>
      </c>
    </row>
    <row r="1948" spans="2:19" ht="15" customHeight="1" x14ac:dyDescent="0.25">
      <c r="B1948" s="2" t="str">
        <f t="shared" si="60"/>
        <v>PGL_Business_Public Sector_Rebates_High Speed Washer_Hotel/Motel/Hospital_CI</v>
      </c>
      <c r="C1948" s="2" t="str">
        <f t="shared" si="61"/>
        <v>PGL_Business_Public Sector_Rebates_High Speed Washer_Hotel/Motel/Hospital_CI_2025</v>
      </c>
      <c r="D1948" s="19" t="s">
        <v>1794</v>
      </c>
      <c r="E1948" s="19" t="s">
        <v>3</v>
      </c>
      <c r="F1948" s="19" t="s">
        <v>1430</v>
      </c>
      <c r="G1948" s="19" t="s">
        <v>1429</v>
      </c>
      <c r="H1948" s="19" t="s">
        <v>725</v>
      </c>
      <c r="I1948" s="19" t="s">
        <v>1162</v>
      </c>
      <c r="J1948" s="19" t="s">
        <v>730</v>
      </c>
      <c r="K1948" s="19" t="s">
        <v>1159</v>
      </c>
      <c r="L1948" s="19">
        <v>2025</v>
      </c>
      <c r="M1948" s="20">
        <v>250</v>
      </c>
      <c r="N1948" s="19" t="s">
        <v>1803</v>
      </c>
      <c r="O1948" s="20">
        <v>0</v>
      </c>
      <c r="P1948" s="20">
        <v>0</v>
      </c>
      <c r="Q1948" s="20">
        <v>0</v>
      </c>
      <c r="R1948" s="21">
        <v>0.91</v>
      </c>
      <c r="S1948" s="20">
        <v>0</v>
      </c>
    </row>
    <row r="1949" spans="2:19" ht="15" customHeight="1" x14ac:dyDescent="0.25">
      <c r="B1949" s="2" t="str">
        <f t="shared" si="60"/>
        <v>PGL_Business_Public Sector_Rebates_High Speed Washer_Laundromat_SMB</v>
      </c>
      <c r="C1949" s="2" t="str">
        <f t="shared" si="61"/>
        <v>PGL_Business_Public Sector_Rebates_High Speed Washer_Laundromat_SMB_2022</v>
      </c>
      <c r="D1949" s="19" t="s">
        <v>1794</v>
      </c>
      <c r="E1949" s="19" t="s">
        <v>3</v>
      </c>
      <c r="F1949" s="19" t="s">
        <v>1430</v>
      </c>
      <c r="G1949" s="19" t="s">
        <v>1429</v>
      </c>
      <c r="H1949" s="19" t="s">
        <v>725</v>
      </c>
      <c r="I1949" s="19" t="s">
        <v>1356</v>
      </c>
      <c r="J1949" s="19" t="s">
        <v>730</v>
      </c>
      <c r="K1949" s="19" t="s">
        <v>1220</v>
      </c>
      <c r="L1949" s="19">
        <v>2022</v>
      </c>
      <c r="M1949" s="20">
        <v>250</v>
      </c>
      <c r="N1949" s="19" t="s">
        <v>1803</v>
      </c>
      <c r="O1949" s="20">
        <v>0</v>
      </c>
      <c r="P1949" s="20">
        <v>0</v>
      </c>
      <c r="Q1949" s="20">
        <v>0</v>
      </c>
      <c r="R1949" s="21">
        <v>0.91</v>
      </c>
      <c r="S1949" s="20">
        <v>0</v>
      </c>
    </row>
    <row r="1950" spans="2:19" ht="15" customHeight="1" x14ac:dyDescent="0.25">
      <c r="B1950" s="2" t="str">
        <f t="shared" si="60"/>
        <v>PGL_Business_Public Sector_Rebates_High Speed Washer_Laundromat_SMB</v>
      </c>
      <c r="C1950" s="2" t="str">
        <f t="shared" si="61"/>
        <v>PGL_Business_Public Sector_Rebates_High Speed Washer_Laundromat_SMB_2023</v>
      </c>
      <c r="D1950" s="19" t="s">
        <v>1794</v>
      </c>
      <c r="E1950" s="19" t="s">
        <v>3</v>
      </c>
      <c r="F1950" s="19" t="s">
        <v>1430</v>
      </c>
      <c r="G1950" s="19" t="s">
        <v>1429</v>
      </c>
      <c r="H1950" s="19" t="s">
        <v>725</v>
      </c>
      <c r="I1950" s="19" t="s">
        <v>1356</v>
      </c>
      <c r="J1950" s="19" t="s">
        <v>730</v>
      </c>
      <c r="K1950" s="19" t="s">
        <v>1220</v>
      </c>
      <c r="L1950" s="19">
        <v>2023</v>
      </c>
      <c r="M1950" s="20">
        <v>250</v>
      </c>
      <c r="N1950" s="19" t="s">
        <v>1803</v>
      </c>
      <c r="O1950" s="20">
        <v>0</v>
      </c>
      <c r="P1950" s="20">
        <v>0</v>
      </c>
      <c r="Q1950" s="20">
        <v>0</v>
      </c>
      <c r="R1950" s="21">
        <v>0.91</v>
      </c>
      <c r="S1950" s="20">
        <v>0</v>
      </c>
    </row>
    <row r="1951" spans="2:19" ht="15" customHeight="1" x14ac:dyDescent="0.25">
      <c r="B1951" s="2" t="str">
        <f t="shared" si="60"/>
        <v>PGL_Business_Public Sector_Rebates_High Speed Washer_Laundromat_SMB</v>
      </c>
      <c r="C1951" s="2" t="str">
        <f t="shared" si="61"/>
        <v>PGL_Business_Public Sector_Rebates_High Speed Washer_Laundromat_SMB_2024</v>
      </c>
      <c r="D1951" s="19" t="s">
        <v>1794</v>
      </c>
      <c r="E1951" s="19" t="s">
        <v>3</v>
      </c>
      <c r="F1951" s="19" t="s">
        <v>1430</v>
      </c>
      <c r="G1951" s="19" t="s">
        <v>1429</v>
      </c>
      <c r="H1951" s="19" t="s">
        <v>725</v>
      </c>
      <c r="I1951" s="19" t="s">
        <v>1356</v>
      </c>
      <c r="J1951" s="19" t="s">
        <v>730</v>
      </c>
      <c r="K1951" s="19" t="s">
        <v>1220</v>
      </c>
      <c r="L1951" s="19">
        <v>2024</v>
      </c>
      <c r="M1951" s="20">
        <v>250</v>
      </c>
      <c r="N1951" s="19" t="s">
        <v>1803</v>
      </c>
      <c r="O1951" s="20">
        <v>0</v>
      </c>
      <c r="P1951" s="20">
        <v>0</v>
      </c>
      <c r="Q1951" s="20">
        <v>0</v>
      </c>
      <c r="R1951" s="21">
        <v>0.91</v>
      </c>
      <c r="S1951" s="20">
        <v>0</v>
      </c>
    </row>
    <row r="1952" spans="2:19" ht="15" customHeight="1" x14ac:dyDescent="0.25">
      <c r="B1952" s="2" t="str">
        <f t="shared" si="60"/>
        <v>PGL_Business_Public Sector_Rebates_High Speed Washer_Laundromat_SMB</v>
      </c>
      <c r="C1952" s="2" t="str">
        <f t="shared" si="61"/>
        <v>PGL_Business_Public Sector_Rebates_High Speed Washer_Laundromat_SMB_2025</v>
      </c>
      <c r="D1952" s="19" t="s">
        <v>1794</v>
      </c>
      <c r="E1952" s="19" t="s">
        <v>3</v>
      </c>
      <c r="F1952" s="19" t="s">
        <v>1430</v>
      </c>
      <c r="G1952" s="19" t="s">
        <v>1429</v>
      </c>
      <c r="H1952" s="19" t="s">
        <v>725</v>
      </c>
      <c r="I1952" s="19" t="s">
        <v>1356</v>
      </c>
      <c r="J1952" s="19" t="s">
        <v>730</v>
      </c>
      <c r="K1952" s="19" t="s">
        <v>1220</v>
      </c>
      <c r="L1952" s="19">
        <v>2025</v>
      </c>
      <c r="M1952" s="20">
        <v>250</v>
      </c>
      <c r="N1952" s="19" t="s">
        <v>1803</v>
      </c>
      <c r="O1952" s="20">
        <v>0</v>
      </c>
      <c r="P1952" s="20">
        <v>0</v>
      </c>
      <c r="Q1952" s="20">
        <v>0</v>
      </c>
      <c r="R1952" s="21">
        <v>0.91</v>
      </c>
      <c r="S1952" s="20">
        <v>0</v>
      </c>
    </row>
    <row r="1953" spans="2:19" ht="15" customHeight="1" x14ac:dyDescent="0.25">
      <c r="B1953" s="2" t="str">
        <f t="shared" si="60"/>
        <v>PGL_Business_Public Sector_Rebates_Small Commercial Advanced Thermostat_0_CI</v>
      </c>
      <c r="C1953" s="2" t="str">
        <f t="shared" si="61"/>
        <v>PGL_Business_Public Sector_Rebates_Small Commercial Advanced Thermostat_0_CI_2022</v>
      </c>
      <c r="D1953" s="19" t="s">
        <v>1794</v>
      </c>
      <c r="E1953" s="19" t="s">
        <v>3</v>
      </c>
      <c r="F1953" s="19" t="s">
        <v>1430</v>
      </c>
      <c r="G1953" s="19" t="s">
        <v>1429</v>
      </c>
      <c r="H1953" s="19" t="s">
        <v>1302</v>
      </c>
      <c r="I1953" s="19">
        <v>0</v>
      </c>
      <c r="J1953" s="19" t="s">
        <v>1183</v>
      </c>
      <c r="K1953" s="19" t="s">
        <v>1159</v>
      </c>
      <c r="L1953" s="19">
        <v>2022</v>
      </c>
      <c r="M1953" s="20">
        <v>1</v>
      </c>
      <c r="N1953" s="19" t="s">
        <v>1798</v>
      </c>
      <c r="O1953" s="20">
        <v>60</v>
      </c>
      <c r="P1953" s="20">
        <v>60</v>
      </c>
      <c r="Q1953" s="20">
        <v>10716.009704399998</v>
      </c>
      <c r="R1953" s="21">
        <v>0.91</v>
      </c>
      <c r="S1953" s="20">
        <v>10716.009704399998</v>
      </c>
    </row>
    <row r="1954" spans="2:19" ht="15" customHeight="1" x14ac:dyDescent="0.25">
      <c r="B1954" s="2" t="str">
        <f t="shared" si="60"/>
        <v>PGL_Business_Public Sector_Rebates_Small Commercial Advanced Thermostat_0_CI</v>
      </c>
      <c r="C1954" s="2" t="str">
        <f t="shared" si="61"/>
        <v>PGL_Business_Public Sector_Rebates_Small Commercial Advanced Thermostat_0_CI_2023</v>
      </c>
      <c r="D1954" s="19" t="s">
        <v>1794</v>
      </c>
      <c r="E1954" s="19" t="s">
        <v>3</v>
      </c>
      <c r="F1954" s="19" t="s">
        <v>1430</v>
      </c>
      <c r="G1954" s="19" t="s">
        <v>1429</v>
      </c>
      <c r="H1954" s="19" t="s">
        <v>1302</v>
      </c>
      <c r="I1954" s="19">
        <v>0</v>
      </c>
      <c r="J1954" s="19" t="s">
        <v>1183</v>
      </c>
      <c r="K1954" s="19" t="s">
        <v>1159</v>
      </c>
      <c r="L1954" s="19">
        <v>2023</v>
      </c>
      <c r="M1954" s="20">
        <v>1</v>
      </c>
      <c r="N1954" s="19" t="s">
        <v>1798</v>
      </c>
      <c r="O1954" s="20">
        <v>60</v>
      </c>
      <c r="P1954" s="20">
        <v>60</v>
      </c>
      <c r="Q1954" s="20">
        <v>10716.009704399998</v>
      </c>
      <c r="R1954" s="21">
        <v>0.91</v>
      </c>
      <c r="S1954" s="20">
        <v>10716.009704399998</v>
      </c>
    </row>
    <row r="1955" spans="2:19" ht="15" customHeight="1" x14ac:dyDescent="0.25">
      <c r="B1955" s="2" t="str">
        <f t="shared" si="60"/>
        <v>PGL_Business_Public Sector_Rebates_Small Commercial Advanced Thermostat_0_CI</v>
      </c>
      <c r="C1955" s="2" t="str">
        <f t="shared" si="61"/>
        <v>PGL_Business_Public Sector_Rebates_Small Commercial Advanced Thermostat_0_CI_2024</v>
      </c>
      <c r="D1955" s="19" t="s">
        <v>1794</v>
      </c>
      <c r="E1955" s="19" t="s">
        <v>3</v>
      </c>
      <c r="F1955" s="19" t="s">
        <v>1430</v>
      </c>
      <c r="G1955" s="19" t="s">
        <v>1429</v>
      </c>
      <c r="H1955" s="19" t="s">
        <v>1302</v>
      </c>
      <c r="I1955" s="19">
        <v>0</v>
      </c>
      <c r="J1955" s="19" t="s">
        <v>1183</v>
      </c>
      <c r="K1955" s="19" t="s">
        <v>1159</v>
      </c>
      <c r="L1955" s="19">
        <v>2024</v>
      </c>
      <c r="M1955" s="20">
        <v>1</v>
      </c>
      <c r="N1955" s="19" t="s">
        <v>1798</v>
      </c>
      <c r="O1955" s="20">
        <v>60</v>
      </c>
      <c r="P1955" s="20">
        <v>60</v>
      </c>
      <c r="Q1955" s="20">
        <v>10716.009704399998</v>
      </c>
      <c r="R1955" s="21">
        <v>0.91</v>
      </c>
      <c r="S1955" s="20">
        <v>10716.009704399998</v>
      </c>
    </row>
    <row r="1956" spans="2:19" ht="15" customHeight="1" x14ac:dyDescent="0.25">
      <c r="B1956" s="2" t="str">
        <f t="shared" si="60"/>
        <v>PGL_Business_Public Sector_Rebates_Small Commercial Advanced Thermostat_0_CI</v>
      </c>
      <c r="C1956" s="2" t="str">
        <f t="shared" si="61"/>
        <v>PGL_Business_Public Sector_Rebates_Small Commercial Advanced Thermostat_0_CI_2025</v>
      </c>
      <c r="D1956" s="19" t="s">
        <v>1794</v>
      </c>
      <c r="E1956" s="19" t="s">
        <v>3</v>
      </c>
      <c r="F1956" s="19" t="s">
        <v>1430</v>
      </c>
      <c r="G1956" s="19" t="s">
        <v>1429</v>
      </c>
      <c r="H1956" s="19" t="s">
        <v>1302</v>
      </c>
      <c r="I1956" s="19">
        <v>0</v>
      </c>
      <c r="J1956" s="19" t="s">
        <v>1183</v>
      </c>
      <c r="K1956" s="19" t="s">
        <v>1159</v>
      </c>
      <c r="L1956" s="19">
        <v>2025</v>
      </c>
      <c r="M1956" s="20">
        <v>1</v>
      </c>
      <c r="N1956" s="19" t="s">
        <v>1798</v>
      </c>
      <c r="O1956" s="20">
        <v>60</v>
      </c>
      <c r="P1956" s="20">
        <v>60</v>
      </c>
      <c r="Q1956" s="20">
        <v>10716.009704399998</v>
      </c>
      <c r="R1956" s="21">
        <v>0.91</v>
      </c>
      <c r="S1956" s="20">
        <v>10716.009704399998</v>
      </c>
    </row>
    <row r="1957" spans="2:19" ht="15" customHeight="1" x14ac:dyDescent="0.25">
      <c r="B1957" s="2" t="str">
        <f t="shared" si="60"/>
        <v>PGL_Business_Public Sector_Rebates_Demand Controlled Ventilation_0_MF/CI/SMB</v>
      </c>
      <c r="C1957" s="2" t="str">
        <f t="shared" si="61"/>
        <v>PGL_Business_Public Sector_Rebates_Demand Controlled Ventilation_0_MF/CI/SMB_2022</v>
      </c>
      <c r="D1957" s="19" t="s">
        <v>1794</v>
      </c>
      <c r="E1957" s="19" t="s">
        <v>3</v>
      </c>
      <c r="F1957" s="19" t="s">
        <v>1430</v>
      </c>
      <c r="G1957" s="19" t="s">
        <v>1429</v>
      </c>
      <c r="H1957" s="19" t="s">
        <v>14</v>
      </c>
      <c r="I1957" s="19">
        <v>0</v>
      </c>
      <c r="J1957" s="19" t="s">
        <v>34</v>
      </c>
      <c r="K1957" s="19" t="s">
        <v>662</v>
      </c>
      <c r="L1957" s="19">
        <v>2022</v>
      </c>
      <c r="M1957" s="20">
        <v>5000</v>
      </c>
      <c r="N1957" s="19" t="s">
        <v>634</v>
      </c>
      <c r="O1957" s="20">
        <v>2</v>
      </c>
      <c r="P1957" s="20">
        <v>10000</v>
      </c>
      <c r="Q1957" s="20">
        <v>618.80000000000007</v>
      </c>
      <c r="R1957" s="21">
        <v>0.91</v>
      </c>
      <c r="S1957" s="20">
        <v>618.80000000000007</v>
      </c>
    </row>
    <row r="1958" spans="2:19" ht="15" customHeight="1" x14ac:dyDescent="0.25">
      <c r="B1958" s="2" t="str">
        <f t="shared" si="60"/>
        <v>PGL_Business_Public Sector_Rebates_Demand Controlled Ventilation_0_MF/CI/SMB</v>
      </c>
      <c r="C1958" s="2" t="str">
        <f t="shared" si="61"/>
        <v>PGL_Business_Public Sector_Rebates_Demand Controlled Ventilation_0_MF/CI/SMB_2023</v>
      </c>
      <c r="D1958" s="19" t="s">
        <v>1794</v>
      </c>
      <c r="E1958" s="19" t="s">
        <v>3</v>
      </c>
      <c r="F1958" s="19" t="s">
        <v>1430</v>
      </c>
      <c r="G1958" s="19" t="s">
        <v>1429</v>
      </c>
      <c r="H1958" s="19" t="s">
        <v>14</v>
      </c>
      <c r="I1958" s="19">
        <v>0</v>
      </c>
      <c r="J1958" s="19" t="s">
        <v>34</v>
      </c>
      <c r="K1958" s="19" t="s">
        <v>662</v>
      </c>
      <c r="L1958" s="19">
        <v>2023</v>
      </c>
      <c r="M1958" s="20">
        <v>5000</v>
      </c>
      <c r="N1958" s="19" t="s">
        <v>634</v>
      </c>
      <c r="O1958" s="20">
        <v>2</v>
      </c>
      <c r="P1958" s="20">
        <v>10000</v>
      </c>
      <c r="Q1958" s="20">
        <v>618.80000000000007</v>
      </c>
      <c r="R1958" s="21">
        <v>0.91</v>
      </c>
      <c r="S1958" s="20">
        <v>618.80000000000007</v>
      </c>
    </row>
    <row r="1959" spans="2:19" ht="15" customHeight="1" x14ac:dyDescent="0.25">
      <c r="B1959" s="2" t="str">
        <f t="shared" si="60"/>
        <v>PGL_Business_Public Sector_Rebates_Demand Controlled Ventilation_0_MF/CI/SMB</v>
      </c>
      <c r="C1959" s="2" t="str">
        <f t="shared" si="61"/>
        <v>PGL_Business_Public Sector_Rebates_Demand Controlled Ventilation_0_MF/CI/SMB_2024</v>
      </c>
      <c r="D1959" s="19" t="s">
        <v>1794</v>
      </c>
      <c r="E1959" s="19" t="s">
        <v>3</v>
      </c>
      <c r="F1959" s="19" t="s">
        <v>1430</v>
      </c>
      <c r="G1959" s="19" t="s">
        <v>1429</v>
      </c>
      <c r="H1959" s="19" t="s">
        <v>14</v>
      </c>
      <c r="I1959" s="19">
        <v>0</v>
      </c>
      <c r="J1959" s="19" t="s">
        <v>34</v>
      </c>
      <c r="K1959" s="19" t="s">
        <v>662</v>
      </c>
      <c r="L1959" s="19">
        <v>2024</v>
      </c>
      <c r="M1959" s="20">
        <v>5000</v>
      </c>
      <c r="N1959" s="19" t="s">
        <v>634</v>
      </c>
      <c r="O1959" s="20">
        <v>2</v>
      </c>
      <c r="P1959" s="20">
        <v>10000</v>
      </c>
      <c r="Q1959" s="20">
        <v>618.80000000000007</v>
      </c>
      <c r="R1959" s="21">
        <v>0.91</v>
      </c>
      <c r="S1959" s="20">
        <v>618.80000000000007</v>
      </c>
    </row>
    <row r="1960" spans="2:19" ht="15" customHeight="1" x14ac:dyDescent="0.25">
      <c r="B1960" s="2" t="str">
        <f t="shared" si="60"/>
        <v>PGL_Business_Public Sector_Rebates_Demand Controlled Ventilation_0_MF/CI/SMB</v>
      </c>
      <c r="C1960" s="2" t="str">
        <f t="shared" si="61"/>
        <v>PGL_Business_Public Sector_Rebates_Demand Controlled Ventilation_0_MF/CI/SMB_2025</v>
      </c>
      <c r="D1960" s="19" t="s">
        <v>1794</v>
      </c>
      <c r="E1960" s="19" t="s">
        <v>3</v>
      </c>
      <c r="F1960" s="19" t="s">
        <v>1430</v>
      </c>
      <c r="G1960" s="19" t="s">
        <v>1429</v>
      </c>
      <c r="H1960" s="19" t="s">
        <v>14</v>
      </c>
      <c r="I1960" s="19">
        <v>0</v>
      </c>
      <c r="J1960" s="19" t="s">
        <v>34</v>
      </c>
      <c r="K1960" s="19" t="s">
        <v>662</v>
      </c>
      <c r="L1960" s="19">
        <v>2025</v>
      </c>
      <c r="M1960" s="20">
        <v>5000</v>
      </c>
      <c r="N1960" s="19" t="s">
        <v>634</v>
      </c>
      <c r="O1960" s="20">
        <v>2</v>
      </c>
      <c r="P1960" s="20">
        <v>10000</v>
      </c>
      <c r="Q1960" s="20">
        <v>618.80000000000007</v>
      </c>
      <c r="R1960" s="21">
        <v>0.91</v>
      </c>
      <c r="S1960" s="20">
        <v>618.80000000000007</v>
      </c>
    </row>
    <row r="1961" spans="2:19" ht="15" customHeight="1" x14ac:dyDescent="0.25">
      <c r="B1961" s="2" t="str">
        <f t="shared" si="60"/>
        <v>PGL_Business_Public Sector_Rebates_Linkageless Controls_0_CI</v>
      </c>
      <c r="C1961" s="2" t="str">
        <f t="shared" si="61"/>
        <v>PGL_Business_Public Sector_Rebates_Linkageless Controls_0_CI_2022</v>
      </c>
      <c r="D1961" s="19" t="s">
        <v>1794</v>
      </c>
      <c r="E1961" s="19" t="s">
        <v>3</v>
      </c>
      <c r="F1961" s="19" t="s">
        <v>1430</v>
      </c>
      <c r="G1961" s="19" t="s">
        <v>1429</v>
      </c>
      <c r="H1961" s="19" t="s">
        <v>1287</v>
      </c>
      <c r="I1961" s="19">
        <v>0</v>
      </c>
      <c r="J1961" s="19" t="s">
        <v>28</v>
      </c>
      <c r="K1961" s="19" t="s">
        <v>1159</v>
      </c>
      <c r="L1961" s="19">
        <v>2022</v>
      </c>
      <c r="M1961" s="20">
        <v>5000</v>
      </c>
      <c r="N1961" s="19" t="s">
        <v>667</v>
      </c>
      <c r="O1961" s="20">
        <v>4</v>
      </c>
      <c r="P1961" s="20">
        <v>20000</v>
      </c>
      <c r="Q1961" s="20">
        <v>10242.596</v>
      </c>
      <c r="R1961" s="21">
        <v>0.91</v>
      </c>
      <c r="S1961" s="20">
        <v>10242.596</v>
      </c>
    </row>
    <row r="1962" spans="2:19" ht="15" customHeight="1" x14ac:dyDescent="0.25">
      <c r="B1962" s="2" t="str">
        <f t="shared" si="60"/>
        <v>PGL_Business_Public Sector_Rebates_Linkageless Controls_0_CI</v>
      </c>
      <c r="C1962" s="2" t="str">
        <f t="shared" si="61"/>
        <v>PGL_Business_Public Sector_Rebates_Linkageless Controls_0_CI_2023</v>
      </c>
      <c r="D1962" s="19" t="s">
        <v>1794</v>
      </c>
      <c r="E1962" s="19" t="s">
        <v>3</v>
      </c>
      <c r="F1962" s="19" t="s">
        <v>1430</v>
      </c>
      <c r="G1962" s="19" t="s">
        <v>1429</v>
      </c>
      <c r="H1962" s="19" t="s">
        <v>1287</v>
      </c>
      <c r="I1962" s="19">
        <v>0</v>
      </c>
      <c r="J1962" s="19" t="s">
        <v>28</v>
      </c>
      <c r="K1962" s="19" t="s">
        <v>1159</v>
      </c>
      <c r="L1962" s="19">
        <v>2023</v>
      </c>
      <c r="M1962" s="20">
        <v>5000</v>
      </c>
      <c r="N1962" s="19" t="s">
        <v>667</v>
      </c>
      <c r="O1962" s="20">
        <v>4</v>
      </c>
      <c r="P1962" s="20">
        <v>20000</v>
      </c>
      <c r="Q1962" s="20">
        <v>10242.596</v>
      </c>
      <c r="R1962" s="21">
        <v>0.91</v>
      </c>
      <c r="S1962" s="20">
        <v>10242.596</v>
      </c>
    </row>
    <row r="1963" spans="2:19" ht="15" customHeight="1" x14ac:dyDescent="0.25">
      <c r="B1963" s="2" t="str">
        <f t="shared" si="60"/>
        <v>PGL_Business_Public Sector_Rebates_Linkageless Controls_0_CI</v>
      </c>
      <c r="C1963" s="2" t="str">
        <f t="shared" si="61"/>
        <v>PGL_Business_Public Sector_Rebates_Linkageless Controls_0_CI_2024</v>
      </c>
      <c r="D1963" s="19" t="s">
        <v>1794</v>
      </c>
      <c r="E1963" s="19" t="s">
        <v>3</v>
      </c>
      <c r="F1963" s="19" t="s">
        <v>1430</v>
      </c>
      <c r="G1963" s="19" t="s">
        <v>1429</v>
      </c>
      <c r="H1963" s="19" t="s">
        <v>1287</v>
      </c>
      <c r="I1963" s="19">
        <v>0</v>
      </c>
      <c r="J1963" s="19" t="s">
        <v>28</v>
      </c>
      <c r="K1963" s="19" t="s">
        <v>1159</v>
      </c>
      <c r="L1963" s="19">
        <v>2024</v>
      </c>
      <c r="M1963" s="20">
        <v>5000</v>
      </c>
      <c r="N1963" s="19" t="s">
        <v>667</v>
      </c>
      <c r="O1963" s="20">
        <v>4</v>
      </c>
      <c r="P1963" s="20">
        <v>20000</v>
      </c>
      <c r="Q1963" s="20">
        <v>10242.596</v>
      </c>
      <c r="R1963" s="21">
        <v>0.91</v>
      </c>
      <c r="S1963" s="20">
        <v>10242.596</v>
      </c>
    </row>
    <row r="1964" spans="2:19" ht="15" customHeight="1" x14ac:dyDescent="0.25">
      <c r="B1964" s="2" t="str">
        <f t="shared" si="60"/>
        <v>PGL_Business_Public Sector_Rebates_Linkageless Controls_0_CI</v>
      </c>
      <c r="C1964" s="2" t="str">
        <f t="shared" si="61"/>
        <v>PGL_Business_Public Sector_Rebates_Linkageless Controls_0_CI_2025</v>
      </c>
      <c r="D1964" s="19" t="s">
        <v>1794</v>
      </c>
      <c r="E1964" s="19" t="s">
        <v>3</v>
      </c>
      <c r="F1964" s="19" t="s">
        <v>1430</v>
      </c>
      <c r="G1964" s="19" t="s">
        <v>1429</v>
      </c>
      <c r="H1964" s="19" t="s">
        <v>1287</v>
      </c>
      <c r="I1964" s="19">
        <v>0</v>
      </c>
      <c r="J1964" s="19" t="s">
        <v>28</v>
      </c>
      <c r="K1964" s="19" t="s">
        <v>1159</v>
      </c>
      <c r="L1964" s="19">
        <v>2025</v>
      </c>
      <c r="M1964" s="20">
        <v>5000</v>
      </c>
      <c r="N1964" s="19" t="s">
        <v>667</v>
      </c>
      <c r="O1964" s="20">
        <v>4</v>
      </c>
      <c r="P1964" s="20">
        <v>20000</v>
      </c>
      <c r="Q1964" s="20">
        <v>10242.596</v>
      </c>
      <c r="R1964" s="21">
        <v>0.91</v>
      </c>
      <c r="S1964" s="20">
        <v>10242.596</v>
      </c>
    </row>
    <row r="1965" spans="2:19" ht="15" customHeight="1" x14ac:dyDescent="0.25">
      <c r="B1965" s="2" t="str">
        <f t="shared" si="60"/>
        <v>PGL_Business_Public Sector_Rebates_Condensate Tank Insulation_0_MF/CI/SMB</v>
      </c>
      <c r="C1965" s="2" t="str">
        <f t="shared" si="61"/>
        <v>PGL_Business_Public Sector_Rebates_Condensate Tank Insulation_0_MF/CI/SMB_2022</v>
      </c>
      <c r="D1965" s="19" t="s">
        <v>1794</v>
      </c>
      <c r="E1965" s="19" t="s">
        <v>3</v>
      </c>
      <c r="F1965" s="19" t="s">
        <v>1430</v>
      </c>
      <c r="G1965" s="19" t="s">
        <v>1429</v>
      </c>
      <c r="H1965" s="19" t="s">
        <v>806</v>
      </c>
      <c r="I1965" s="19">
        <v>0</v>
      </c>
      <c r="J1965" s="19" t="s">
        <v>810</v>
      </c>
      <c r="K1965" s="19" t="s">
        <v>662</v>
      </c>
      <c r="L1965" s="19">
        <v>2022</v>
      </c>
      <c r="M1965" s="20">
        <v>550</v>
      </c>
      <c r="N1965" s="19" t="s">
        <v>634</v>
      </c>
      <c r="O1965" s="20">
        <v>2</v>
      </c>
      <c r="P1965" s="20">
        <v>1100</v>
      </c>
      <c r="Q1965" s="20">
        <v>16762.943737198631</v>
      </c>
      <c r="R1965" s="21">
        <v>0.91</v>
      </c>
      <c r="S1965" s="20">
        <v>16762.943737198631</v>
      </c>
    </row>
    <row r="1966" spans="2:19" ht="15" customHeight="1" x14ac:dyDescent="0.25">
      <c r="B1966" s="2" t="str">
        <f t="shared" si="60"/>
        <v>PGL_Business_Public Sector_Rebates_Condensate Tank Insulation_0_MF/CI/SMB</v>
      </c>
      <c r="C1966" s="2" t="str">
        <f t="shared" si="61"/>
        <v>PGL_Business_Public Sector_Rebates_Condensate Tank Insulation_0_MF/CI/SMB_2023</v>
      </c>
      <c r="D1966" s="19" t="s">
        <v>1794</v>
      </c>
      <c r="E1966" s="19" t="s">
        <v>3</v>
      </c>
      <c r="F1966" s="19" t="s">
        <v>1430</v>
      </c>
      <c r="G1966" s="19" t="s">
        <v>1429</v>
      </c>
      <c r="H1966" s="19" t="s">
        <v>806</v>
      </c>
      <c r="I1966" s="19">
        <v>0</v>
      </c>
      <c r="J1966" s="19" t="s">
        <v>810</v>
      </c>
      <c r="K1966" s="19" t="s">
        <v>662</v>
      </c>
      <c r="L1966" s="19">
        <v>2023</v>
      </c>
      <c r="M1966" s="20">
        <v>550</v>
      </c>
      <c r="N1966" s="19" t="s">
        <v>634</v>
      </c>
      <c r="O1966" s="20">
        <v>2</v>
      </c>
      <c r="P1966" s="20">
        <v>1100</v>
      </c>
      <c r="Q1966" s="20">
        <v>16762.943737198631</v>
      </c>
      <c r="R1966" s="21">
        <v>0.91</v>
      </c>
      <c r="S1966" s="20">
        <v>16762.943737198631</v>
      </c>
    </row>
    <row r="1967" spans="2:19" ht="15" customHeight="1" x14ac:dyDescent="0.25">
      <c r="B1967" s="2" t="str">
        <f t="shared" si="60"/>
        <v>PGL_Business_Public Sector_Rebates_Condensate Tank Insulation_0_MF/CI/SMB</v>
      </c>
      <c r="C1967" s="2" t="str">
        <f t="shared" si="61"/>
        <v>PGL_Business_Public Sector_Rebates_Condensate Tank Insulation_0_MF/CI/SMB_2024</v>
      </c>
      <c r="D1967" s="19" t="s">
        <v>1794</v>
      </c>
      <c r="E1967" s="19" t="s">
        <v>3</v>
      </c>
      <c r="F1967" s="19" t="s">
        <v>1430</v>
      </c>
      <c r="G1967" s="19" t="s">
        <v>1429</v>
      </c>
      <c r="H1967" s="19" t="s">
        <v>806</v>
      </c>
      <c r="I1967" s="19">
        <v>0</v>
      </c>
      <c r="J1967" s="19" t="s">
        <v>810</v>
      </c>
      <c r="K1967" s="19" t="s">
        <v>662</v>
      </c>
      <c r="L1967" s="19">
        <v>2024</v>
      </c>
      <c r="M1967" s="20">
        <v>550</v>
      </c>
      <c r="N1967" s="19" t="s">
        <v>634</v>
      </c>
      <c r="O1967" s="20">
        <v>2</v>
      </c>
      <c r="P1967" s="20">
        <v>1100</v>
      </c>
      <c r="Q1967" s="20">
        <v>16762.943737198631</v>
      </c>
      <c r="R1967" s="21">
        <v>0.91</v>
      </c>
      <c r="S1967" s="20">
        <v>16762.943737198631</v>
      </c>
    </row>
    <row r="1968" spans="2:19" ht="15" customHeight="1" x14ac:dyDescent="0.25">
      <c r="B1968" s="2" t="str">
        <f t="shared" si="60"/>
        <v>PGL_Business_Public Sector_Rebates_Condensate Tank Insulation_0_MF/CI/SMB</v>
      </c>
      <c r="C1968" s="2" t="str">
        <f t="shared" si="61"/>
        <v>PGL_Business_Public Sector_Rebates_Condensate Tank Insulation_0_MF/CI/SMB_2025</v>
      </c>
      <c r="D1968" s="19" t="s">
        <v>1794</v>
      </c>
      <c r="E1968" s="19" t="s">
        <v>3</v>
      </c>
      <c r="F1968" s="19" t="s">
        <v>1430</v>
      </c>
      <c r="G1968" s="19" t="s">
        <v>1429</v>
      </c>
      <c r="H1968" s="19" t="s">
        <v>806</v>
      </c>
      <c r="I1968" s="19">
        <v>0</v>
      </c>
      <c r="J1968" s="19" t="s">
        <v>810</v>
      </c>
      <c r="K1968" s="19" t="s">
        <v>662</v>
      </c>
      <c r="L1968" s="19">
        <v>2025</v>
      </c>
      <c r="M1968" s="20">
        <v>550</v>
      </c>
      <c r="N1968" s="19" t="s">
        <v>634</v>
      </c>
      <c r="O1968" s="20">
        <v>2</v>
      </c>
      <c r="P1968" s="20">
        <v>1100</v>
      </c>
      <c r="Q1968" s="20">
        <v>16762.943737198631</v>
      </c>
      <c r="R1968" s="21">
        <v>0.91</v>
      </c>
      <c r="S1968" s="20">
        <v>16762.943737198631</v>
      </c>
    </row>
    <row r="1969" spans="2:19" ht="15" customHeight="1" x14ac:dyDescent="0.25">
      <c r="B1969" s="2" t="str">
        <f t="shared" si="60"/>
        <v>PGL_Business_Public Sector_Rebates_DHW Storage Tank Insulation_0_MF/CI/SMB</v>
      </c>
      <c r="C1969" s="2" t="str">
        <f t="shared" si="61"/>
        <v>PGL_Business_Public Sector_Rebates_DHW Storage Tank Insulation_0_MF/CI/SMB_2022</v>
      </c>
      <c r="D1969" s="19" t="s">
        <v>1794</v>
      </c>
      <c r="E1969" s="19" t="s">
        <v>3</v>
      </c>
      <c r="F1969" s="19" t="s">
        <v>1430</v>
      </c>
      <c r="G1969" s="19" t="s">
        <v>1429</v>
      </c>
      <c r="H1969" s="19" t="s">
        <v>832</v>
      </c>
      <c r="I1969" s="19">
        <v>0</v>
      </c>
      <c r="J1969" s="19" t="s">
        <v>810</v>
      </c>
      <c r="K1969" s="19" t="s">
        <v>662</v>
      </c>
      <c r="L1969" s="19">
        <v>2022</v>
      </c>
      <c r="M1969" s="20">
        <v>56</v>
      </c>
      <c r="N1969" s="19" t="s">
        <v>634</v>
      </c>
      <c r="O1969" s="20">
        <v>3</v>
      </c>
      <c r="P1969" s="20">
        <v>168</v>
      </c>
      <c r="Q1969" s="20">
        <v>1063.337411101016</v>
      </c>
      <c r="R1969" s="21">
        <v>0.91</v>
      </c>
      <c r="S1969" s="20">
        <v>1063.337411101016</v>
      </c>
    </row>
    <row r="1970" spans="2:19" ht="15" customHeight="1" x14ac:dyDescent="0.25">
      <c r="B1970" s="2" t="str">
        <f t="shared" si="60"/>
        <v>PGL_Business_Public Sector_Rebates_DHW Storage Tank Insulation_0_MF/CI/SMB</v>
      </c>
      <c r="C1970" s="2" t="str">
        <f t="shared" si="61"/>
        <v>PGL_Business_Public Sector_Rebates_DHW Storage Tank Insulation_0_MF/CI/SMB_2023</v>
      </c>
      <c r="D1970" s="19" t="s">
        <v>1794</v>
      </c>
      <c r="E1970" s="19" t="s">
        <v>3</v>
      </c>
      <c r="F1970" s="19" t="s">
        <v>1430</v>
      </c>
      <c r="G1970" s="19" t="s">
        <v>1429</v>
      </c>
      <c r="H1970" s="19" t="s">
        <v>832</v>
      </c>
      <c r="I1970" s="19">
        <v>0</v>
      </c>
      <c r="J1970" s="19" t="s">
        <v>810</v>
      </c>
      <c r="K1970" s="19" t="s">
        <v>662</v>
      </c>
      <c r="L1970" s="19">
        <v>2023</v>
      </c>
      <c r="M1970" s="20">
        <v>56</v>
      </c>
      <c r="N1970" s="19" t="s">
        <v>634</v>
      </c>
      <c r="O1970" s="20">
        <v>3</v>
      </c>
      <c r="P1970" s="20">
        <v>168</v>
      </c>
      <c r="Q1970" s="20">
        <v>1063.337411101016</v>
      </c>
      <c r="R1970" s="21">
        <v>0.91</v>
      </c>
      <c r="S1970" s="20">
        <v>1063.337411101016</v>
      </c>
    </row>
    <row r="1971" spans="2:19" ht="15" customHeight="1" x14ac:dyDescent="0.25">
      <c r="B1971" s="2" t="str">
        <f t="shared" si="60"/>
        <v>PGL_Business_Public Sector_Rebates_DHW Storage Tank Insulation_0_MF/CI/SMB</v>
      </c>
      <c r="C1971" s="2" t="str">
        <f t="shared" si="61"/>
        <v>PGL_Business_Public Sector_Rebates_DHW Storage Tank Insulation_0_MF/CI/SMB_2024</v>
      </c>
      <c r="D1971" s="19" t="s">
        <v>1794</v>
      </c>
      <c r="E1971" s="19" t="s">
        <v>3</v>
      </c>
      <c r="F1971" s="19" t="s">
        <v>1430</v>
      </c>
      <c r="G1971" s="19" t="s">
        <v>1429</v>
      </c>
      <c r="H1971" s="19" t="s">
        <v>832</v>
      </c>
      <c r="I1971" s="19">
        <v>0</v>
      </c>
      <c r="J1971" s="19" t="s">
        <v>810</v>
      </c>
      <c r="K1971" s="19" t="s">
        <v>662</v>
      </c>
      <c r="L1971" s="19">
        <v>2024</v>
      </c>
      <c r="M1971" s="20">
        <v>56</v>
      </c>
      <c r="N1971" s="19" t="s">
        <v>634</v>
      </c>
      <c r="O1971" s="20">
        <v>3</v>
      </c>
      <c r="P1971" s="20">
        <v>168</v>
      </c>
      <c r="Q1971" s="20">
        <v>1063.337411101016</v>
      </c>
      <c r="R1971" s="21">
        <v>0.91</v>
      </c>
      <c r="S1971" s="20">
        <v>1063.337411101016</v>
      </c>
    </row>
    <row r="1972" spans="2:19" ht="15" customHeight="1" x14ac:dyDescent="0.25">
      <c r="B1972" s="2" t="str">
        <f t="shared" si="60"/>
        <v>PGL_Business_Public Sector_Rebates_DHW Storage Tank Insulation_0_MF/CI/SMB</v>
      </c>
      <c r="C1972" s="2" t="str">
        <f t="shared" si="61"/>
        <v>PGL_Business_Public Sector_Rebates_DHW Storage Tank Insulation_0_MF/CI/SMB_2025</v>
      </c>
      <c r="D1972" s="19" t="s">
        <v>1794</v>
      </c>
      <c r="E1972" s="19" t="s">
        <v>3</v>
      </c>
      <c r="F1972" s="19" t="s">
        <v>1430</v>
      </c>
      <c r="G1972" s="19" t="s">
        <v>1429</v>
      </c>
      <c r="H1972" s="19" t="s">
        <v>832</v>
      </c>
      <c r="I1972" s="19">
        <v>0</v>
      </c>
      <c r="J1972" s="19" t="s">
        <v>810</v>
      </c>
      <c r="K1972" s="19" t="s">
        <v>662</v>
      </c>
      <c r="L1972" s="19">
        <v>2025</v>
      </c>
      <c r="M1972" s="20">
        <v>56</v>
      </c>
      <c r="N1972" s="19" t="s">
        <v>634</v>
      </c>
      <c r="O1972" s="20">
        <v>3</v>
      </c>
      <c r="P1972" s="20">
        <v>168</v>
      </c>
      <c r="Q1972" s="20">
        <v>1063.337411101016</v>
      </c>
      <c r="R1972" s="21">
        <v>0.91</v>
      </c>
      <c r="S1972" s="20">
        <v>1063.337411101016</v>
      </c>
    </row>
    <row r="1973" spans="2:19" ht="15" customHeight="1" x14ac:dyDescent="0.25">
      <c r="B1973" s="2" t="str">
        <f t="shared" si="60"/>
        <v>PGL_Business_Public Sector_Rebates_Dock Door Seals_0_CI</v>
      </c>
      <c r="C1973" s="2" t="str">
        <f t="shared" si="61"/>
        <v>PGL_Business_Public Sector_Rebates_Dock Door Seals_0_CI_2022</v>
      </c>
      <c r="D1973" s="19" t="s">
        <v>1794</v>
      </c>
      <c r="E1973" s="19" t="s">
        <v>3</v>
      </c>
      <c r="F1973" s="19" t="s">
        <v>1430</v>
      </c>
      <c r="G1973" s="19" t="s">
        <v>1429</v>
      </c>
      <c r="H1973" s="19" t="s">
        <v>1291</v>
      </c>
      <c r="I1973" s="19">
        <v>0</v>
      </c>
      <c r="J1973" s="19">
        <v>0</v>
      </c>
      <c r="K1973" s="19" t="s">
        <v>1159</v>
      </c>
      <c r="L1973" s="19">
        <v>2022</v>
      </c>
      <c r="M1973" s="20">
        <v>1</v>
      </c>
      <c r="N1973" s="19" t="s">
        <v>1798</v>
      </c>
      <c r="O1973" s="20">
        <v>0</v>
      </c>
      <c r="P1973" s="20">
        <v>0</v>
      </c>
      <c r="Q1973" s="20">
        <v>0</v>
      </c>
      <c r="R1973" s="21">
        <v>0.91</v>
      </c>
      <c r="S1973" s="20">
        <v>0</v>
      </c>
    </row>
    <row r="1974" spans="2:19" ht="15" customHeight="1" x14ac:dyDescent="0.25">
      <c r="B1974" s="2" t="str">
        <f t="shared" si="60"/>
        <v>PGL_Business_Public Sector_Rebates_Dock Door Seals_0_CI</v>
      </c>
      <c r="C1974" s="2" t="str">
        <f t="shared" si="61"/>
        <v>PGL_Business_Public Sector_Rebates_Dock Door Seals_0_CI_2023</v>
      </c>
      <c r="D1974" s="19" t="s">
        <v>1794</v>
      </c>
      <c r="E1974" s="19" t="s">
        <v>3</v>
      </c>
      <c r="F1974" s="19" t="s">
        <v>1430</v>
      </c>
      <c r="G1974" s="19" t="s">
        <v>1429</v>
      </c>
      <c r="H1974" s="19" t="s">
        <v>1291</v>
      </c>
      <c r="I1974" s="19">
        <v>0</v>
      </c>
      <c r="J1974" s="19">
        <v>0</v>
      </c>
      <c r="K1974" s="19" t="s">
        <v>1159</v>
      </c>
      <c r="L1974" s="19">
        <v>2023</v>
      </c>
      <c r="M1974" s="20">
        <v>1</v>
      </c>
      <c r="N1974" s="19" t="s">
        <v>1798</v>
      </c>
      <c r="O1974" s="20">
        <v>0</v>
      </c>
      <c r="P1974" s="20">
        <v>0</v>
      </c>
      <c r="Q1974" s="20">
        <v>0</v>
      </c>
      <c r="R1974" s="21">
        <v>0.91</v>
      </c>
      <c r="S1974" s="20">
        <v>0</v>
      </c>
    </row>
    <row r="1975" spans="2:19" ht="15" customHeight="1" x14ac:dyDescent="0.25">
      <c r="B1975" s="2" t="str">
        <f t="shared" si="60"/>
        <v>PGL_Business_Public Sector_Rebates_Dock Door Seals_0_CI</v>
      </c>
      <c r="C1975" s="2" t="str">
        <f t="shared" si="61"/>
        <v>PGL_Business_Public Sector_Rebates_Dock Door Seals_0_CI_2024</v>
      </c>
      <c r="D1975" s="19" t="s">
        <v>1794</v>
      </c>
      <c r="E1975" s="19" t="s">
        <v>3</v>
      </c>
      <c r="F1975" s="19" t="s">
        <v>1430</v>
      </c>
      <c r="G1975" s="19" t="s">
        <v>1429</v>
      </c>
      <c r="H1975" s="19" t="s">
        <v>1291</v>
      </c>
      <c r="I1975" s="19">
        <v>0</v>
      </c>
      <c r="J1975" s="19">
        <v>0</v>
      </c>
      <c r="K1975" s="19" t="s">
        <v>1159</v>
      </c>
      <c r="L1975" s="19">
        <v>2024</v>
      </c>
      <c r="M1975" s="20">
        <v>1</v>
      </c>
      <c r="N1975" s="19" t="s">
        <v>1798</v>
      </c>
      <c r="O1975" s="20">
        <v>0</v>
      </c>
      <c r="P1975" s="20">
        <v>0</v>
      </c>
      <c r="Q1975" s="20">
        <v>0</v>
      </c>
      <c r="R1975" s="21">
        <v>0.91</v>
      </c>
      <c r="S1975" s="20">
        <v>0</v>
      </c>
    </row>
    <row r="1976" spans="2:19" ht="15" customHeight="1" x14ac:dyDescent="0.25">
      <c r="B1976" s="2" t="str">
        <f t="shared" si="60"/>
        <v>PGL_Business_Public Sector_Rebates_Dock Door Seals_0_CI</v>
      </c>
      <c r="C1976" s="2" t="str">
        <f t="shared" si="61"/>
        <v>PGL_Business_Public Sector_Rebates_Dock Door Seals_0_CI_2025</v>
      </c>
      <c r="D1976" s="19" t="s">
        <v>1794</v>
      </c>
      <c r="E1976" s="19" t="s">
        <v>3</v>
      </c>
      <c r="F1976" s="19" t="s">
        <v>1430</v>
      </c>
      <c r="G1976" s="19" t="s">
        <v>1429</v>
      </c>
      <c r="H1976" s="19" t="s">
        <v>1291</v>
      </c>
      <c r="I1976" s="19">
        <v>0</v>
      </c>
      <c r="J1976" s="19">
        <v>0</v>
      </c>
      <c r="K1976" s="19" t="s">
        <v>1159</v>
      </c>
      <c r="L1976" s="19">
        <v>2025</v>
      </c>
      <c r="M1976" s="20">
        <v>1</v>
      </c>
      <c r="N1976" s="19" t="s">
        <v>1798</v>
      </c>
      <c r="O1976" s="20">
        <v>0</v>
      </c>
      <c r="P1976" s="20">
        <v>0</v>
      </c>
      <c r="Q1976" s="20">
        <v>0</v>
      </c>
      <c r="R1976" s="21">
        <v>0.91</v>
      </c>
      <c r="S1976" s="20">
        <v>0</v>
      </c>
    </row>
    <row r="1977" spans="2:19" ht="15" customHeight="1" x14ac:dyDescent="0.25">
      <c r="B1977" s="2" t="str">
        <f t="shared" si="60"/>
        <v>PGL_Business_Public Sector_Rebates_Water Heater_≥75 MBH, ≥88% TE _CI</v>
      </c>
      <c r="C1977" s="2" t="str">
        <f t="shared" si="61"/>
        <v>PGL_Business_Public Sector_Rebates_Water Heater_≥75 MBH, ≥88% TE _CI_2022</v>
      </c>
      <c r="D1977" s="19" t="s">
        <v>1794</v>
      </c>
      <c r="E1977" s="19" t="s">
        <v>3</v>
      </c>
      <c r="F1977" s="19" t="s">
        <v>1430</v>
      </c>
      <c r="G1977" s="19" t="s">
        <v>1429</v>
      </c>
      <c r="H1977" s="19" t="s">
        <v>8</v>
      </c>
      <c r="I1977" s="19" t="s">
        <v>1293</v>
      </c>
      <c r="J1977" s="19" t="s">
        <v>1294</v>
      </c>
      <c r="K1977" s="19" t="s">
        <v>1159</v>
      </c>
      <c r="L1977" s="19">
        <v>2022</v>
      </c>
      <c r="M1977" s="20">
        <v>250</v>
      </c>
      <c r="N1977" s="19" t="s">
        <v>667</v>
      </c>
      <c r="O1977" s="20">
        <v>8</v>
      </c>
      <c r="P1977" s="20">
        <v>2000</v>
      </c>
      <c r="Q1977" s="20">
        <v>4545.9403013042675</v>
      </c>
      <c r="R1977" s="21">
        <v>0.91</v>
      </c>
      <c r="S1977" s="20">
        <v>4545.9403013042675</v>
      </c>
    </row>
    <row r="1978" spans="2:19" ht="15" customHeight="1" x14ac:dyDescent="0.25">
      <c r="B1978" s="2" t="str">
        <f t="shared" si="60"/>
        <v>PGL_Business_Public Sector_Rebates_Water Heater_≥75 MBH, ≥88% TE _CI</v>
      </c>
      <c r="C1978" s="2" t="str">
        <f t="shared" si="61"/>
        <v>PGL_Business_Public Sector_Rebates_Water Heater_≥75 MBH, ≥88% TE _CI_2023</v>
      </c>
      <c r="D1978" s="19" t="s">
        <v>1794</v>
      </c>
      <c r="E1978" s="19" t="s">
        <v>3</v>
      </c>
      <c r="F1978" s="19" t="s">
        <v>1430</v>
      </c>
      <c r="G1978" s="19" t="s">
        <v>1429</v>
      </c>
      <c r="H1978" s="19" t="s">
        <v>8</v>
      </c>
      <c r="I1978" s="19" t="s">
        <v>1293</v>
      </c>
      <c r="J1978" s="19" t="s">
        <v>1294</v>
      </c>
      <c r="K1978" s="19" t="s">
        <v>1159</v>
      </c>
      <c r="L1978" s="19">
        <v>2023</v>
      </c>
      <c r="M1978" s="20">
        <v>250</v>
      </c>
      <c r="N1978" s="19" t="s">
        <v>667</v>
      </c>
      <c r="O1978" s="20">
        <v>8</v>
      </c>
      <c r="P1978" s="20">
        <v>2000</v>
      </c>
      <c r="Q1978" s="20">
        <v>4545.9403013042675</v>
      </c>
      <c r="R1978" s="21">
        <v>0.91</v>
      </c>
      <c r="S1978" s="20">
        <v>4545.9403013042675</v>
      </c>
    </row>
    <row r="1979" spans="2:19" ht="15" customHeight="1" x14ac:dyDescent="0.25">
      <c r="B1979" s="2" t="str">
        <f t="shared" si="60"/>
        <v>PGL_Business_Public Sector_Rebates_Water Heater_≥75 MBH, ≥88% TE _CI</v>
      </c>
      <c r="C1979" s="2" t="str">
        <f t="shared" si="61"/>
        <v>PGL_Business_Public Sector_Rebates_Water Heater_≥75 MBH, ≥88% TE _CI_2024</v>
      </c>
      <c r="D1979" s="19" t="s">
        <v>1794</v>
      </c>
      <c r="E1979" s="19" t="s">
        <v>3</v>
      </c>
      <c r="F1979" s="19" t="s">
        <v>1430</v>
      </c>
      <c r="G1979" s="19" t="s">
        <v>1429</v>
      </c>
      <c r="H1979" s="19" t="s">
        <v>8</v>
      </c>
      <c r="I1979" s="19" t="s">
        <v>1293</v>
      </c>
      <c r="J1979" s="19" t="s">
        <v>1294</v>
      </c>
      <c r="K1979" s="19" t="s">
        <v>1159</v>
      </c>
      <c r="L1979" s="19">
        <v>2024</v>
      </c>
      <c r="M1979" s="20">
        <v>250</v>
      </c>
      <c r="N1979" s="19" t="s">
        <v>667</v>
      </c>
      <c r="O1979" s="20">
        <v>8</v>
      </c>
      <c r="P1979" s="20">
        <v>2000</v>
      </c>
      <c r="Q1979" s="20">
        <v>4545.9403013042675</v>
      </c>
      <c r="R1979" s="21">
        <v>0.91</v>
      </c>
      <c r="S1979" s="20">
        <v>4545.9403013042675</v>
      </c>
    </row>
    <row r="1980" spans="2:19" ht="15" customHeight="1" x14ac:dyDescent="0.25">
      <c r="B1980" s="2" t="str">
        <f t="shared" si="60"/>
        <v>PGL_Business_Public Sector_Rebates_Water Heater_≥75 MBH, ≥88% TE _CI</v>
      </c>
      <c r="C1980" s="2" t="str">
        <f t="shared" si="61"/>
        <v>PGL_Business_Public Sector_Rebates_Water Heater_≥75 MBH, ≥88% TE _CI_2025</v>
      </c>
      <c r="D1980" s="19" t="s">
        <v>1794</v>
      </c>
      <c r="E1980" s="19" t="s">
        <v>3</v>
      </c>
      <c r="F1980" s="19" t="s">
        <v>1430</v>
      </c>
      <c r="G1980" s="19" t="s">
        <v>1429</v>
      </c>
      <c r="H1980" s="19" t="s">
        <v>8</v>
      </c>
      <c r="I1980" s="19" t="s">
        <v>1293</v>
      </c>
      <c r="J1980" s="19" t="s">
        <v>1294</v>
      </c>
      <c r="K1980" s="19" t="s">
        <v>1159</v>
      </c>
      <c r="L1980" s="19">
        <v>2025</v>
      </c>
      <c r="M1980" s="20">
        <v>250</v>
      </c>
      <c r="N1980" s="19" t="s">
        <v>667</v>
      </c>
      <c r="O1980" s="20">
        <v>8</v>
      </c>
      <c r="P1980" s="20">
        <v>2000</v>
      </c>
      <c r="Q1980" s="20">
        <v>4545.9403013042675</v>
      </c>
      <c r="R1980" s="21">
        <v>0.91</v>
      </c>
      <c r="S1980" s="20">
        <v>4545.9403013042675</v>
      </c>
    </row>
    <row r="1981" spans="2:19" ht="15" customHeight="1" x14ac:dyDescent="0.25">
      <c r="B1981" s="2" t="str">
        <f t="shared" si="60"/>
        <v>PGL_Business_Public Sector_Rebates_Water Heater_Storage 0.67 EF_CI</v>
      </c>
      <c r="C1981" s="2" t="str">
        <f t="shared" si="61"/>
        <v>PGL_Business_Public Sector_Rebates_Water Heater_Storage 0.67 EF_CI_2022</v>
      </c>
      <c r="D1981" s="19" t="s">
        <v>1794</v>
      </c>
      <c r="E1981" s="19" t="s">
        <v>3</v>
      </c>
      <c r="F1981" s="19" t="s">
        <v>1430</v>
      </c>
      <c r="G1981" s="19" t="s">
        <v>1429</v>
      </c>
      <c r="H1981" s="19" t="s">
        <v>8</v>
      </c>
      <c r="I1981" s="19" t="s">
        <v>879</v>
      </c>
      <c r="J1981" s="19" t="s">
        <v>1263</v>
      </c>
      <c r="K1981" s="19" t="s">
        <v>1159</v>
      </c>
      <c r="L1981" s="19">
        <v>2022</v>
      </c>
      <c r="M1981" s="20">
        <v>1</v>
      </c>
      <c r="N1981" s="19" t="s">
        <v>1798</v>
      </c>
      <c r="O1981" s="20">
        <v>2</v>
      </c>
      <c r="P1981" s="20">
        <v>2</v>
      </c>
      <c r="Q1981" s="20">
        <v>102.37946376988891</v>
      </c>
      <c r="R1981" s="21">
        <v>0.91</v>
      </c>
      <c r="S1981" s="20">
        <v>102.37946376988891</v>
      </c>
    </row>
    <row r="1982" spans="2:19" ht="15" customHeight="1" x14ac:dyDescent="0.25">
      <c r="B1982" s="2" t="str">
        <f t="shared" si="60"/>
        <v>PGL_Business_Public Sector_Rebates_Water Heater_Storage 0.67 EF_CI</v>
      </c>
      <c r="C1982" s="2" t="str">
        <f t="shared" si="61"/>
        <v>PGL_Business_Public Sector_Rebates_Water Heater_Storage 0.67 EF_CI_2023</v>
      </c>
      <c r="D1982" s="19" t="s">
        <v>1794</v>
      </c>
      <c r="E1982" s="19" t="s">
        <v>3</v>
      </c>
      <c r="F1982" s="19" t="s">
        <v>1430</v>
      </c>
      <c r="G1982" s="19" t="s">
        <v>1429</v>
      </c>
      <c r="H1982" s="19" t="s">
        <v>8</v>
      </c>
      <c r="I1982" s="19" t="s">
        <v>879</v>
      </c>
      <c r="J1982" s="19" t="s">
        <v>1263</v>
      </c>
      <c r="K1982" s="19" t="s">
        <v>1159</v>
      </c>
      <c r="L1982" s="19">
        <v>2023</v>
      </c>
      <c r="M1982" s="20">
        <v>1</v>
      </c>
      <c r="N1982" s="19" t="s">
        <v>1798</v>
      </c>
      <c r="O1982" s="20">
        <v>2</v>
      </c>
      <c r="P1982" s="20">
        <v>2</v>
      </c>
      <c r="Q1982" s="20">
        <v>102.37946376988891</v>
      </c>
      <c r="R1982" s="21">
        <v>0.91</v>
      </c>
      <c r="S1982" s="20">
        <v>102.37946376988891</v>
      </c>
    </row>
    <row r="1983" spans="2:19" ht="15" customHeight="1" x14ac:dyDescent="0.25">
      <c r="B1983" s="2" t="str">
        <f t="shared" si="60"/>
        <v>PGL_Business_Public Sector_Rebates_Water Heater_Storage 0.67 EF_CI</v>
      </c>
      <c r="C1983" s="2" t="str">
        <f t="shared" si="61"/>
        <v>PGL_Business_Public Sector_Rebates_Water Heater_Storage 0.67 EF_CI_2024</v>
      </c>
      <c r="D1983" s="19" t="s">
        <v>1794</v>
      </c>
      <c r="E1983" s="19" t="s">
        <v>3</v>
      </c>
      <c r="F1983" s="19" t="s">
        <v>1430</v>
      </c>
      <c r="G1983" s="19" t="s">
        <v>1429</v>
      </c>
      <c r="H1983" s="19" t="s">
        <v>8</v>
      </c>
      <c r="I1983" s="19" t="s">
        <v>879</v>
      </c>
      <c r="J1983" s="19" t="s">
        <v>1263</v>
      </c>
      <c r="K1983" s="19" t="s">
        <v>1159</v>
      </c>
      <c r="L1983" s="19">
        <v>2024</v>
      </c>
      <c r="M1983" s="20">
        <v>1</v>
      </c>
      <c r="N1983" s="19" t="s">
        <v>1798</v>
      </c>
      <c r="O1983" s="20">
        <v>2</v>
      </c>
      <c r="P1983" s="20">
        <v>2</v>
      </c>
      <c r="Q1983" s="20">
        <v>102.37946376988891</v>
      </c>
      <c r="R1983" s="21">
        <v>0.91</v>
      </c>
      <c r="S1983" s="20">
        <v>102.37946376988891</v>
      </c>
    </row>
    <row r="1984" spans="2:19" ht="15" customHeight="1" x14ac:dyDescent="0.25">
      <c r="B1984" s="2" t="str">
        <f t="shared" si="60"/>
        <v>PGL_Business_Public Sector_Rebates_Water Heater_Storage 0.67 EF_CI</v>
      </c>
      <c r="C1984" s="2" t="str">
        <f t="shared" si="61"/>
        <v>PGL_Business_Public Sector_Rebates_Water Heater_Storage 0.67 EF_CI_2025</v>
      </c>
      <c r="D1984" s="19" t="s">
        <v>1794</v>
      </c>
      <c r="E1984" s="19" t="s">
        <v>3</v>
      </c>
      <c r="F1984" s="19" t="s">
        <v>1430</v>
      </c>
      <c r="G1984" s="19" t="s">
        <v>1429</v>
      </c>
      <c r="H1984" s="19" t="s">
        <v>8</v>
      </c>
      <c r="I1984" s="19" t="s">
        <v>879</v>
      </c>
      <c r="J1984" s="19" t="s">
        <v>1263</v>
      </c>
      <c r="K1984" s="19" t="s">
        <v>1159</v>
      </c>
      <c r="L1984" s="19">
        <v>2025</v>
      </c>
      <c r="M1984" s="20">
        <v>1</v>
      </c>
      <c r="N1984" s="19" t="s">
        <v>1798</v>
      </c>
      <c r="O1984" s="20">
        <v>2</v>
      </c>
      <c r="P1984" s="20">
        <v>2</v>
      </c>
      <c r="Q1984" s="20">
        <v>102.37946376988891</v>
      </c>
      <c r="R1984" s="21">
        <v>0.91</v>
      </c>
      <c r="S1984" s="20">
        <v>102.37946376988891</v>
      </c>
    </row>
    <row r="1985" spans="2:19" ht="15" customHeight="1" x14ac:dyDescent="0.25">
      <c r="B1985" s="2" t="str">
        <f t="shared" si="60"/>
        <v>PGL_Business_Public Sector_Rebates_Infrared Heater_0_MF/CI</v>
      </c>
      <c r="C1985" s="2" t="str">
        <f t="shared" si="61"/>
        <v>PGL_Business_Public Sector_Rebates_Infrared Heater_0_MF/CI_2022</v>
      </c>
      <c r="D1985" s="19" t="s">
        <v>1794</v>
      </c>
      <c r="E1985" s="19" t="s">
        <v>3</v>
      </c>
      <c r="F1985" s="19" t="s">
        <v>1430</v>
      </c>
      <c r="G1985" s="19" t="s">
        <v>1429</v>
      </c>
      <c r="H1985" s="19" t="s">
        <v>742</v>
      </c>
      <c r="I1985" s="19">
        <v>0</v>
      </c>
      <c r="J1985" s="19" t="s">
        <v>33</v>
      </c>
      <c r="K1985" s="19" t="s">
        <v>587</v>
      </c>
      <c r="L1985" s="19">
        <v>2022</v>
      </c>
      <c r="M1985" s="20">
        <v>150</v>
      </c>
      <c r="N1985" s="19" t="s">
        <v>667</v>
      </c>
      <c r="O1985" s="20">
        <v>2</v>
      </c>
      <c r="P1985" s="20">
        <v>300</v>
      </c>
      <c r="Q1985" s="20">
        <v>808.40117647058821</v>
      </c>
      <c r="R1985" s="21">
        <v>0.91</v>
      </c>
      <c r="S1985" s="20">
        <v>808.40117647058821</v>
      </c>
    </row>
    <row r="1986" spans="2:19" ht="15" customHeight="1" x14ac:dyDescent="0.25">
      <c r="B1986" s="2" t="str">
        <f t="shared" si="60"/>
        <v>PGL_Business_Public Sector_Rebates_Infrared Heater_0_MF/CI</v>
      </c>
      <c r="C1986" s="2" t="str">
        <f t="shared" si="61"/>
        <v>PGL_Business_Public Sector_Rebates_Infrared Heater_0_MF/CI_2023</v>
      </c>
      <c r="D1986" s="19" t="s">
        <v>1794</v>
      </c>
      <c r="E1986" s="19" t="s">
        <v>3</v>
      </c>
      <c r="F1986" s="19" t="s">
        <v>1430</v>
      </c>
      <c r="G1986" s="19" t="s">
        <v>1429</v>
      </c>
      <c r="H1986" s="19" t="s">
        <v>742</v>
      </c>
      <c r="I1986" s="19">
        <v>0</v>
      </c>
      <c r="J1986" s="19" t="s">
        <v>33</v>
      </c>
      <c r="K1986" s="19" t="s">
        <v>587</v>
      </c>
      <c r="L1986" s="19">
        <v>2023</v>
      </c>
      <c r="M1986" s="20">
        <v>150</v>
      </c>
      <c r="N1986" s="19" t="s">
        <v>667</v>
      </c>
      <c r="O1986" s="20">
        <v>2</v>
      </c>
      <c r="P1986" s="20">
        <v>300</v>
      </c>
      <c r="Q1986" s="20">
        <v>808.40117647058821</v>
      </c>
      <c r="R1986" s="21">
        <v>0.91</v>
      </c>
      <c r="S1986" s="20">
        <v>808.40117647058821</v>
      </c>
    </row>
    <row r="1987" spans="2:19" ht="15" customHeight="1" x14ac:dyDescent="0.25">
      <c r="B1987" s="2" t="str">
        <f t="shared" si="60"/>
        <v>PGL_Business_Public Sector_Rebates_Infrared Heater_0_MF/CI</v>
      </c>
      <c r="C1987" s="2" t="str">
        <f t="shared" si="61"/>
        <v>PGL_Business_Public Sector_Rebates_Infrared Heater_0_MF/CI_2024</v>
      </c>
      <c r="D1987" s="19" t="s">
        <v>1794</v>
      </c>
      <c r="E1987" s="19" t="s">
        <v>3</v>
      </c>
      <c r="F1987" s="19" t="s">
        <v>1430</v>
      </c>
      <c r="G1987" s="19" t="s">
        <v>1429</v>
      </c>
      <c r="H1987" s="19" t="s">
        <v>742</v>
      </c>
      <c r="I1987" s="19">
        <v>0</v>
      </c>
      <c r="J1987" s="19" t="s">
        <v>33</v>
      </c>
      <c r="K1987" s="19" t="s">
        <v>587</v>
      </c>
      <c r="L1987" s="19">
        <v>2024</v>
      </c>
      <c r="M1987" s="20">
        <v>150</v>
      </c>
      <c r="N1987" s="19" t="s">
        <v>667</v>
      </c>
      <c r="O1987" s="20">
        <v>2</v>
      </c>
      <c r="P1987" s="20">
        <v>300</v>
      </c>
      <c r="Q1987" s="20">
        <v>808.40117647058821</v>
      </c>
      <c r="R1987" s="21">
        <v>0.91</v>
      </c>
      <c r="S1987" s="20">
        <v>808.40117647058821</v>
      </c>
    </row>
    <row r="1988" spans="2:19" ht="15" customHeight="1" x14ac:dyDescent="0.25">
      <c r="B1988" s="2" t="str">
        <f t="shared" si="60"/>
        <v>PGL_Business_Public Sector_Rebates_Infrared Heater_0_MF/CI</v>
      </c>
      <c r="C1988" s="2" t="str">
        <f t="shared" si="61"/>
        <v>PGL_Business_Public Sector_Rebates_Infrared Heater_0_MF/CI_2025</v>
      </c>
      <c r="D1988" s="19" t="s">
        <v>1794</v>
      </c>
      <c r="E1988" s="19" t="s">
        <v>3</v>
      </c>
      <c r="F1988" s="19" t="s">
        <v>1430</v>
      </c>
      <c r="G1988" s="19" t="s">
        <v>1429</v>
      </c>
      <c r="H1988" s="19" t="s">
        <v>742</v>
      </c>
      <c r="I1988" s="19">
        <v>0</v>
      </c>
      <c r="J1988" s="19" t="s">
        <v>33</v>
      </c>
      <c r="K1988" s="19" t="s">
        <v>587</v>
      </c>
      <c r="L1988" s="19">
        <v>2025</v>
      </c>
      <c r="M1988" s="20">
        <v>150</v>
      </c>
      <c r="N1988" s="19" t="s">
        <v>667</v>
      </c>
      <c r="O1988" s="20">
        <v>2</v>
      </c>
      <c r="P1988" s="20">
        <v>300</v>
      </c>
      <c r="Q1988" s="20">
        <v>808.40117647058821</v>
      </c>
      <c r="R1988" s="21">
        <v>0.91</v>
      </c>
      <c r="S1988" s="20">
        <v>808.40117647058821</v>
      </c>
    </row>
    <row r="1989" spans="2:19" ht="15" customHeight="1" x14ac:dyDescent="0.25">
      <c r="B1989" s="2" t="str">
        <f t="shared" si="60"/>
        <v>PGL_Business_Public Sector_Rebates_Modulating Commercial Gas Clothes Dryer_Hotels &amp; Hospitals_CI</v>
      </c>
      <c r="C1989" s="2" t="str">
        <f t="shared" si="61"/>
        <v>PGL_Business_Public Sector_Rebates_Modulating Commercial Gas Clothes Dryer_Hotels &amp; Hospitals_CI_2022</v>
      </c>
      <c r="D1989" s="19" t="s">
        <v>1794</v>
      </c>
      <c r="E1989" s="19" t="s">
        <v>3</v>
      </c>
      <c r="F1989" s="19" t="s">
        <v>1430</v>
      </c>
      <c r="G1989" s="19" t="s">
        <v>1429</v>
      </c>
      <c r="H1989" s="19" t="s">
        <v>12</v>
      </c>
      <c r="I1989" s="19" t="s">
        <v>1253</v>
      </c>
      <c r="J1989" s="19" t="s">
        <v>29</v>
      </c>
      <c r="K1989" s="19" t="s">
        <v>1159</v>
      </c>
      <c r="L1989" s="19">
        <v>2022</v>
      </c>
      <c r="M1989" s="20">
        <v>1</v>
      </c>
      <c r="N1989" s="19" t="s">
        <v>1798</v>
      </c>
      <c r="O1989" s="20">
        <v>0</v>
      </c>
      <c r="P1989" s="20">
        <v>0</v>
      </c>
      <c r="Q1989" s="20">
        <v>0</v>
      </c>
      <c r="R1989" s="21">
        <v>0.91</v>
      </c>
      <c r="S1989" s="20">
        <v>0</v>
      </c>
    </row>
    <row r="1990" spans="2:19" ht="15" customHeight="1" x14ac:dyDescent="0.25">
      <c r="B1990" s="2" t="str">
        <f t="shared" ref="B1990:B2053" si="62">D1990&amp;"_"&amp;E1990&amp;"_"&amp;F1990&amp;"_"&amp;G1990&amp;"_"&amp;H1990&amp;"_"&amp;I1990&amp;"_"&amp;K1990</f>
        <v>PGL_Business_Public Sector_Rebates_Modulating Commercial Gas Clothes Dryer_Hotels &amp; Hospitals_CI</v>
      </c>
      <c r="C1990" s="2" t="str">
        <f t="shared" ref="C1990:C2053" si="63">D1990&amp;"_"&amp;E1990&amp;"_"&amp;F1990&amp;"_"&amp;G1990&amp;"_"&amp;H1990&amp;"_"&amp;I1990&amp;"_"&amp;K1990&amp;"_"&amp;L1990</f>
        <v>PGL_Business_Public Sector_Rebates_Modulating Commercial Gas Clothes Dryer_Hotels &amp; Hospitals_CI_2023</v>
      </c>
      <c r="D1990" s="19" t="s">
        <v>1794</v>
      </c>
      <c r="E1990" s="19" t="s">
        <v>3</v>
      </c>
      <c r="F1990" s="19" t="s">
        <v>1430</v>
      </c>
      <c r="G1990" s="19" t="s">
        <v>1429</v>
      </c>
      <c r="H1990" s="19" t="s">
        <v>12</v>
      </c>
      <c r="I1990" s="19" t="s">
        <v>1253</v>
      </c>
      <c r="J1990" s="19" t="s">
        <v>29</v>
      </c>
      <c r="K1990" s="19" t="s">
        <v>1159</v>
      </c>
      <c r="L1990" s="19">
        <v>2023</v>
      </c>
      <c r="M1990" s="20">
        <v>1</v>
      </c>
      <c r="N1990" s="19" t="s">
        <v>1798</v>
      </c>
      <c r="O1990" s="20">
        <v>0</v>
      </c>
      <c r="P1990" s="20">
        <v>0</v>
      </c>
      <c r="Q1990" s="20">
        <v>0</v>
      </c>
      <c r="R1990" s="21">
        <v>0.91</v>
      </c>
      <c r="S1990" s="20">
        <v>0</v>
      </c>
    </row>
    <row r="1991" spans="2:19" ht="15" customHeight="1" x14ac:dyDescent="0.25">
      <c r="B1991" s="2" t="str">
        <f t="shared" si="62"/>
        <v>PGL_Business_Public Sector_Rebates_Modulating Commercial Gas Clothes Dryer_Hotels &amp; Hospitals_CI</v>
      </c>
      <c r="C1991" s="2" t="str">
        <f t="shared" si="63"/>
        <v>PGL_Business_Public Sector_Rebates_Modulating Commercial Gas Clothes Dryer_Hotels &amp; Hospitals_CI_2024</v>
      </c>
      <c r="D1991" s="19" t="s">
        <v>1794</v>
      </c>
      <c r="E1991" s="19" t="s">
        <v>3</v>
      </c>
      <c r="F1991" s="19" t="s">
        <v>1430</v>
      </c>
      <c r="G1991" s="19" t="s">
        <v>1429</v>
      </c>
      <c r="H1991" s="19" t="s">
        <v>12</v>
      </c>
      <c r="I1991" s="19" t="s">
        <v>1253</v>
      </c>
      <c r="J1991" s="19" t="s">
        <v>29</v>
      </c>
      <c r="K1991" s="19" t="s">
        <v>1159</v>
      </c>
      <c r="L1991" s="19">
        <v>2024</v>
      </c>
      <c r="M1991" s="20">
        <v>1</v>
      </c>
      <c r="N1991" s="19" t="s">
        <v>1798</v>
      </c>
      <c r="O1991" s="20">
        <v>0</v>
      </c>
      <c r="P1991" s="20">
        <v>0</v>
      </c>
      <c r="Q1991" s="20">
        <v>0</v>
      </c>
      <c r="R1991" s="21">
        <v>0.91</v>
      </c>
      <c r="S1991" s="20">
        <v>0</v>
      </c>
    </row>
    <row r="1992" spans="2:19" ht="15" customHeight="1" x14ac:dyDescent="0.25">
      <c r="B1992" s="2" t="str">
        <f t="shared" si="62"/>
        <v>PGL_Business_Public Sector_Rebates_Modulating Commercial Gas Clothes Dryer_Hotels &amp; Hospitals_CI</v>
      </c>
      <c r="C1992" s="2" t="str">
        <f t="shared" si="63"/>
        <v>PGL_Business_Public Sector_Rebates_Modulating Commercial Gas Clothes Dryer_Hotels &amp; Hospitals_CI_2025</v>
      </c>
      <c r="D1992" s="19" t="s">
        <v>1794</v>
      </c>
      <c r="E1992" s="19" t="s">
        <v>3</v>
      </c>
      <c r="F1992" s="19" t="s">
        <v>1430</v>
      </c>
      <c r="G1992" s="19" t="s">
        <v>1429</v>
      </c>
      <c r="H1992" s="19" t="s">
        <v>12</v>
      </c>
      <c r="I1992" s="19" t="s">
        <v>1253</v>
      </c>
      <c r="J1992" s="19" t="s">
        <v>29</v>
      </c>
      <c r="K1992" s="19" t="s">
        <v>1159</v>
      </c>
      <c r="L1992" s="19">
        <v>2025</v>
      </c>
      <c r="M1992" s="20">
        <v>1</v>
      </c>
      <c r="N1992" s="19" t="s">
        <v>1798</v>
      </c>
      <c r="O1992" s="20">
        <v>0</v>
      </c>
      <c r="P1992" s="20">
        <v>0</v>
      </c>
      <c r="Q1992" s="20">
        <v>0</v>
      </c>
      <c r="R1992" s="21">
        <v>0.91</v>
      </c>
      <c r="S1992" s="20">
        <v>0</v>
      </c>
    </row>
    <row r="1993" spans="2:19" ht="15" customHeight="1" x14ac:dyDescent="0.25">
      <c r="B1993" s="2" t="str">
        <f t="shared" si="62"/>
        <v>PGL_Business_Public Sector_Rebates_Modulating Commercial Gas Clothes Dryer_Laundromat &amp; MF Dorms_MF/SMB</v>
      </c>
      <c r="C1993" s="2" t="str">
        <f t="shared" si="63"/>
        <v>PGL_Business_Public Sector_Rebates_Modulating Commercial Gas Clothes Dryer_Laundromat &amp; MF Dorms_MF/SMB_2022</v>
      </c>
      <c r="D1993" s="19" t="s">
        <v>1794</v>
      </c>
      <c r="E1993" s="19" t="s">
        <v>3</v>
      </c>
      <c r="F1993" s="19" t="s">
        <v>1430</v>
      </c>
      <c r="G1993" s="19" t="s">
        <v>1429</v>
      </c>
      <c r="H1993" s="19" t="s">
        <v>12</v>
      </c>
      <c r="I1993" s="19" t="s">
        <v>1255</v>
      </c>
      <c r="J1993" s="19" t="s">
        <v>29</v>
      </c>
      <c r="K1993" s="19" t="s">
        <v>1256</v>
      </c>
      <c r="L1993" s="19">
        <v>2022</v>
      </c>
      <c r="M1993" s="20">
        <v>1</v>
      </c>
      <c r="N1993" s="19" t="s">
        <v>1798</v>
      </c>
      <c r="O1993" s="20">
        <v>0</v>
      </c>
      <c r="P1993" s="20">
        <v>0</v>
      </c>
      <c r="Q1993" s="20">
        <v>0</v>
      </c>
      <c r="R1993" s="21">
        <v>0.91</v>
      </c>
      <c r="S1993" s="20">
        <v>0</v>
      </c>
    </row>
    <row r="1994" spans="2:19" ht="15" customHeight="1" x14ac:dyDescent="0.25">
      <c r="B1994" s="2" t="str">
        <f t="shared" si="62"/>
        <v>PGL_Business_Public Sector_Rebates_Modulating Commercial Gas Clothes Dryer_Laundromat &amp; MF Dorms_MF/SMB</v>
      </c>
      <c r="C1994" s="2" t="str">
        <f t="shared" si="63"/>
        <v>PGL_Business_Public Sector_Rebates_Modulating Commercial Gas Clothes Dryer_Laundromat &amp; MF Dorms_MF/SMB_2023</v>
      </c>
      <c r="D1994" s="19" t="s">
        <v>1794</v>
      </c>
      <c r="E1994" s="19" t="s">
        <v>3</v>
      </c>
      <c r="F1994" s="19" t="s">
        <v>1430</v>
      </c>
      <c r="G1994" s="19" t="s">
        <v>1429</v>
      </c>
      <c r="H1994" s="19" t="s">
        <v>12</v>
      </c>
      <c r="I1994" s="19" t="s">
        <v>1255</v>
      </c>
      <c r="J1994" s="19" t="s">
        <v>29</v>
      </c>
      <c r="K1994" s="19" t="s">
        <v>1256</v>
      </c>
      <c r="L1994" s="19">
        <v>2023</v>
      </c>
      <c r="M1994" s="20">
        <v>1</v>
      </c>
      <c r="N1994" s="19" t="s">
        <v>1798</v>
      </c>
      <c r="O1994" s="20">
        <v>0</v>
      </c>
      <c r="P1994" s="20">
        <v>0</v>
      </c>
      <c r="Q1994" s="20">
        <v>0</v>
      </c>
      <c r="R1994" s="21">
        <v>0.91</v>
      </c>
      <c r="S1994" s="20">
        <v>0</v>
      </c>
    </row>
    <row r="1995" spans="2:19" ht="15" customHeight="1" x14ac:dyDescent="0.25">
      <c r="B1995" s="2" t="str">
        <f t="shared" si="62"/>
        <v>PGL_Business_Public Sector_Rebates_Modulating Commercial Gas Clothes Dryer_Laundromat &amp; MF Dorms_MF/SMB</v>
      </c>
      <c r="C1995" s="2" t="str">
        <f t="shared" si="63"/>
        <v>PGL_Business_Public Sector_Rebates_Modulating Commercial Gas Clothes Dryer_Laundromat &amp; MF Dorms_MF/SMB_2024</v>
      </c>
      <c r="D1995" s="19" t="s">
        <v>1794</v>
      </c>
      <c r="E1995" s="19" t="s">
        <v>3</v>
      </c>
      <c r="F1995" s="19" t="s">
        <v>1430</v>
      </c>
      <c r="G1995" s="19" t="s">
        <v>1429</v>
      </c>
      <c r="H1995" s="19" t="s">
        <v>12</v>
      </c>
      <c r="I1995" s="19" t="s">
        <v>1255</v>
      </c>
      <c r="J1995" s="19" t="s">
        <v>29</v>
      </c>
      <c r="K1995" s="19" t="s">
        <v>1256</v>
      </c>
      <c r="L1995" s="19">
        <v>2024</v>
      </c>
      <c r="M1995" s="20">
        <v>1</v>
      </c>
      <c r="N1995" s="19" t="s">
        <v>1798</v>
      </c>
      <c r="O1995" s="20">
        <v>0</v>
      </c>
      <c r="P1995" s="20">
        <v>0</v>
      </c>
      <c r="Q1995" s="20">
        <v>0</v>
      </c>
      <c r="R1995" s="21">
        <v>0.91</v>
      </c>
      <c r="S1995" s="20">
        <v>0</v>
      </c>
    </row>
    <row r="1996" spans="2:19" ht="15" customHeight="1" x14ac:dyDescent="0.25">
      <c r="B1996" s="2" t="str">
        <f t="shared" si="62"/>
        <v>PGL_Business_Public Sector_Rebates_Modulating Commercial Gas Clothes Dryer_Laundromat &amp; MF Dorms_MF/SMB</v>
      </c>
      <c r="C1996" s="2" t="str">
        <f t="shared" si="63"/>
        <v>PGL_Business_Public Sector_Rebates_Modulating Commercial Gas Clothes Dryer_Laundromat &amp; MF Dorms_MF/SMB_2025</v>
      </c>
      <c r="D1996" s="19" t="s">
        <v>1794</v>
      </c>
      <c r="E1996" s="19" t="s">
        <v>3</v>
      </c>
      <c r="F1996" s="19" t="s">
        <v>1430</v>
      </c>
      <c r="G1996" s="19" t="s">
        <v>1429</v>
      </c>
      <c r="H1996" s="19" t="s">
        <v>12</v>
      </c>
      <c r="I1996" s="19" t="s">
        <v>1255</v>
      </c>
      <c r="J1996" s="19" t="s">
        <v>29</v>
      </c>
      <c r="K1996" s="19" t="s">
        <v>1256</v>
      </c>
      <c r="L1996" s="19">
        <v>2025</v>
      </c>
      <c r="M1996" s="20">
        <v>1</v>
      </c>
      <c r="N1996" s="19" t="s">
        <v>1798</v>
      </c>
      <c r="O1996" s="20">
        <v>0</v>
      </c>
      <c r="P1996" s="20">
        <v>0</v>
      </c>
      <c r="Q1996" s="20">
        <v>0</v>
      </c>
      <c r="R1996" s="21">
        <v>0.91</v>
      </c>
      <c r="S1996" s="20">
        <v>0</v>
      </c>
    </row>
    <row r="1997" spans="2:19" ht="15" customHeight="1" x14ac:dyDescent="0.25">
      <c r="B1997" s="2" t="str">
        <f t="shared" si="62"/>
        <v>PGL_Business_Public Sector_Rebates_Ozone Laundry_0_MF/CI</v>
      </c>
      <c r="C1997" s="2" t="str">
        <f t="shared" si="63"/>
        <v>PGL_Business_Public Sector_Rebates_Ozone Laundry_0_MF/CI_2022</v>
      </c>
      <c r="D1997" s="19" t="s">
        <v>1794</v>
      </c>
      <c r="E1997" s="19" t="s">
        <v>3</v>
      </c>
      <c r="F1997" s="19" t="s">
        <v>1430</v>
      </c>
      <c r="G1997" s="19" t="s">
        <v>1429</v>
      </c>
      <c r="H1997" s="19" t="s">
        <v>16</v>
      </c>
      <c r="I1997" s="19">
        <v>0</v>
      </c>
      <c r="J1997" s="19" t="s">
        <v>592</v>
      </c>
      <c r="K1997" s="19" t="s">
        <v>587</v>
      </c>
      <c r="L1997" s="19">
        <v>2022</v>
      </c>
      <c r="M1997" s="20">
        <v>250</v>
      </c>
      <c r="N1997" s="19" t="s">
        <v>1803</v>
      </c>
      <c r="O1997" s="20">
        <v>0</v>
      </c>
      <c r="P1997" s="20">
        <v>0</v>
      </c>
      <c r="Q1997" s="20">
        <v>0</v>
      </c>
      <c r="R1997" s="21">
        <v>0.91</v>
      </c>
      <c r="S1997" s="20">
        <v>0</v>
      </c>
    </row>
    <row r="1998" spans="2:19" ht="15" customHeight="1" x14ac:dyDescent="0.25">
      <c r="B1998" s="2" t="str">
        <f t="shared" si="62"/>
        <v>PGL_Business_Public Sector_Rebates_Ozone Laundry_0_MF/CI</v>
      </c>
      <c r="C1998" s="2" t="str">
        <f t="shared" si="63"/>
        <v>PGL_Business_Public Sector_Rebates_Ozone Laundry_0_MF/CI_2023</v>
      </c>
      <c r="D1998" s="19" t="s">
        <v>1794</v>
      </c>
      <c r="E1998" s="19" t="s">
        <v>3</v>
      </c>
      <c r="F1998" s="19" t="s">
        <v>1430</v>
      </c>
      <c r="G1998" s="19" t="s">
        <v>1429</v>
      </c>
      <c r="H1998" s="19" t="s">
        <v>16</v>
      </c>
      <c r="I1998" s="19">
        <v>0</v>
      </c>
      <c r="J1998" s="19" t="s">
        <v>592</v>
      </c>
      <c r="K1998" s="19" t="s">
        <v>587</v>
      </c>
      <c r="L1998" s="19">
        <v>2023</v>
      </c>
      <c r="M1998" s="20">
        <v>250</v>
      </c>
      <c r="N1998" s="19" t="s">
        <v>1803</v>
      </c>
      <c r="O1998" s="20">
        <v>0</v>
      </c>
      <c r="P1998" s="20">
        <v>0</v>
      </c>
      <c r="Q1998" s="20">
        <v>0</v>
      </c>
      <c r="R1998" s="21">
        <v>0.91</v>
      </c>
      <c r="S1998" s="20">
        <v>0</v>
      </c>
    </row>
    <row r="1999" spans="2:19" ht="15" customHeight="1" x14ac:dyDescent="0.25">
      <c r="B1999" s="2" t="str">
        <f t="shared" si="62"/>
        <v>PGL_Business_Public Sector_Rebates_Ozone Laundry_0_MF/CI</v>
      </c>
      <c r="C1999" s="2" t="str">
        <f t="shared" si="63"/>
        <v>PGL_Business_Public Sector_Rebates_Ozone Laundry_0_MF/CI_2024</v>
      </c>
      <c r="D1999" s="19" t="s">
        <v>1794</v>
      </c>
      <c r="E1999" s="19" t="s">
        <v>3</v>
      </c>
      <c r="F1999" s="19" t="s">
        <v>1430</v>
      </c>
      <c r="G1999" s="19" t="s">
        <v>1429</v>
      </c>
      <c r="H1999" s="19" t="s">
        <v>16</v>
      </c>
      <c r="I1999" s="19">
        <v>0</v>
      </c>
      <c r="J1999" s="19" t="s">
        <v>592</v>
      </c>
      <c r="K1999" s="19" t="s">
        <v>587</v>
      </c>
      <c r="L1999" s="19">
        <v>2024</v>
      </c>
      <c r="M1999" s="20">
        <v>250</v>
      </c>
      <c r="N1999" s="19" t="s">
        <v>1803</v>
      </c>
      <c r="O1999" s="20">
        <v>0</v>
      </c>
      <c r="P1999" s="20">
        <v>0</v>
      </c>
      <c r="Q1999" s="20">
        <v>0</v>
      </c>
      <c r="R1999" s="21">
        <v>0.91</v>
      </c>
      <c r="S1999" s="20">
        <v>0</v>
      </c>
    </row>
    <row r="2000" spans="2:19" ht="15" customHeight="1" x14ac:dyDescent="0.25">
      <c r="B2000" s="2" t="str">
        <f t="shared" si="62"/>
        <v>PGL_Business_Public Sector_Rebates_Ozone Laundry_0_MF/CI</v>
      </c>
      <c r="C2000" s="2" t="str">
        <f t="shared" si="63"/>
        <v>PGL_Business_Public Sector_Rebates_Ozone Laundry_0_MF/CI_2025</v>
      </c>
      <c r="D2000" s="19" t="s">
        <v>1794</v>
      </c>
      <c r="E2000" s="19" t="s">
        <v>3</v>
      </c>
      <c r="F2000" s="19" t="s">
        <v>1430</v>
      </c>
      <c r="G2000" s="19" t="s">
        <v>1429</v>
      </c>
      <c r="H2000" s="19" t="s">
        <v>16</v>
      </c>
      <c r="I2000" s="19">
        <v>0</v>
      </c>
      <c r="J2000" s="19" t="s">
        <v>592</v>
      </c>
      <c r="K2000" s="19" t="s">
        <v>587</v>
      </c>
      <c r="L2000" s="19">
        <v>2025</v>
      </c>
      <c r="M2000" s="20">
        <v>250</v>
      </c>
      <c r="N2000" s="19" t="s">
        <v>1803</v>
      </c>
      <c r="O2000" s="20">
        <v>0</v>
      </c>
      <c r="P2000" s="20">
        <v>0</v>
      </c>
      <c r="Q2000" s="20">
        <v>0</v>
      </c>
      <c r="R2000" s="21">
        <v>0.91</v>
      </c>
      <c r="S2000" s="20">
        <v>0</v>
      </c>
    </row>
    <row r="2001" spans="2:19" ht="15" customHeight="1" x14ac:dyDescent="0.25">
      <c r="B2001" s="2" t="str">
        <f t="shared" si="62"/>
        <v>PGL_Business_Public Sector_Rebates_Pipe Insulation_HW Small 1" to 2"_MF/CI/SMB</v>
      </c>
      <c r="C2001" s="2" t="str">
        <f t="shared" si="63"/>
        <v>PGL_Business_Public Sector_Rebates_Pipe Insulation_HW Small 1" to 2"_MF/CI/SMB_2022</v>
      </c>
      <c r="D2001" s="19" t="s">
        <v>1794</v>
      </c>
      <c r="E2001" s="19" t="s">
        <v>3</v>
      </c>
      <c r="F2001" s="19" t="s">
        <v>1430</v>
      </c>
      <c r="G2001" s="19" t="s">
        <v>1429</v>
      </c>
      <c r="H2001" s="19" t="s">
        <v>404</v>
      </c>
      <c r="I2001" s="19" t="s">
        <v>953</v>
      </c>
      <c r="J2001" s="19">
        <v>0</v>
      </c>
      <c r="K2001" s="19" t="s">
        <v>662</v>
      </c>
      <c r="L2001" s="19">
        <v>2022</v>
      </c>
      <c r="M2001" s="20">
        <v>75</v>
      </c>
      <c r="N2001" s="19" t="s">
        <v>616</v>
      </c>
      <c r="O2001" s="20">
        <v>15</v>
      </c>
      <c r="P2001" s="20">
        <v>1125</v>
      </c>
      <c r="Q2001" s="20">
        <v>2721.9609273266728</v>
      </c>
      <c r="R2001" s="21">
        <v>0.91</v>
      </c>
      <c r="S2001" s="20">
        <v>2721.9609273266728</v>
      </c>
    </row>
    <row r="2002" spans="2:19" ht="15" customHeight="1" x14ac:dyDescent="0.25">
      <c r="B2002" s="2" t="str">
        <f t="shared" si="62"/>
        <v>PGL_Business_Public Sector_Rebates_Pipe Insulation_HW Small 1" to 2"_MF/CI/SMB</v>
      </c>
      <c r="C2002" s="2" t="str">
        <f t="shared" si="63"/>
        <v>PGL_Business_Public Sector_Rebates_Pipe Insulation_HW Small 1" to 2"_MF/CI/SMB_2023</v>
      </c>
      <c r="D2002" s="19" t="s">
        <v>1794</v>
      </c>
      <c r="E2002" s="19" t="s">
        <v>3</v>
      </c>
      <c r="F2002" s="19" t="s">
        <v>1430</v>
      </c>
      <c r="G2002" s="19" t="s">
        <v>1429</v>
      </c>
      <c r="H2002" s="19" t="s">
        <v>404</v>
      </c>
      <c r="I2002" s="19" t="s">
        <v>953</v>
      </c>
      <c r="J2002" s="19">
        <v>0</v>
      </c>
      <c r="K2002" s="19" t="s">
        <v>662</v>
      </c>
      <c r="L2002" s="19">
        <v>2023</v>
      </c>
      <c r="M2002" s="20">
        <v>75</v>
      </c>
      <c r="N2002" s="19" t="s">
        <v>616</v>
      </c>
      <c r="O2002" s="20">
        <v>15</v>
      </c>
      <c r="P2002" s="20">
        <v>1125</v>
      </c>
      <c r="Q2002" s="20">
        <v>2721.9609273266728</v>
      </c>
      <c r="R2002" s="21">
        <v>0.91</v>
      </c>
      <c r="S2002" s="20">
        <v>2721.9609273266728</v>
      </c>
    </row>
    <row r="2003" spans="2:19" ht="15" customHeight="1" x14ac:dyDescent="0.25">
      <c r="B2003" s="2" t="str">
        <f t="shared" si="62"/>
        <v>PGL_Business_Public Sector_Rebates_Pipe Insulation_HW Small 1" to 2"_MF/CI/SMB</v>
      </c>
      <c r="C2003" s="2" t="str">
        <f t="shared" si="63"/>
        <v>PGL_Business_Public Sector_Rebates_Pipe Insulation_HW Small 1" to 2"_MF/CI/SMB_2024</v>
      </c>
      <c r="D2003" s="19" t="s">
        <v>1794</v>
      </c>
      <c r="E2003" s="19" t="s">
        <v>3</v>
      </c>
      <c r="F2003" s="19" t="s">
        <v>1430</v>
      </c>
      <c r="G2003" s="19" t="s">
        <v>1429</v>
      </c>
      <c r="H2003" s="19" t="s">
        <v>404</v>
      </c>
      <c r="I2003" s="19" t="s">
        <v>953</v>
      </c>
      <c r="J2003" s="19">
        <v>0</v>
      </c>
      <c r="K2003" s="19" t="s">
        <v>662</v>
      </c>
      <c r="L2003" s="19">
        <v>2024</v>
      </c>
      <c r="M2003" s="20">
        <v>75</v>
      </c>
      <c r="N2003" s="19" t="s">
        <v>616</v>
      </c>
      <c r="O2003" s="20">
        <v>15</v>
      </c>
      <c r="P2003" s="20">
        <v>1125</v>
      </c>
      <c r="Q2003" s="20">
        <v>2721.9609273266728</v>
      </c>
      <c r="R2003" s="21">
        <v>0.91</v>
      </c>
      <c r="S2003" s="20">
        <v>2721.9609273266728</v>
      </c>
    </row>
    <row r="2004" spans="2:19" ht="15" customHeight="1" x14ac:dyDescent="0.25">
      <c r="B2004" s="2" t="str">
        <f t="shared" si="62"/>
        <v>PGL_Business_Public Sector_Rebates_Pipe Insulation_HW Small 1" to 2"_MF/CI/SMB</v>
      </c>
      <c r="C2004" s="2" t="str">
        <f t="shared" si="63"/>
        <v>PGL_Business_Public Sector_Rebates_Pipe Insulation_HW Small 1" to 2"_MF/CI/SMB_2025</v>
      </c>
      <c r="D2004" s="19" t="s">
        <v>1794</v>
      </c>
      <c r="E2004" s="19" t="s">
        <v>3</v>
      </c>
      <c r="F2004" s="19" t="s">
        <v>1430</v>
      </c>
      <c r="G2004" s="19" t="s">
        <v>1429</v>
      </c>
      <c r="H2004" s="19" t="s">
        <v>404</v>
      </c>
      <c r="I2004" s="19" t="s">
        <v>953</v>
      </c>
      <c r="J2004" s="19">
        <v>0</v>
      </c>
      <c r="K2004" s="19" t="s">
        <v>662</v>
      </c>
      <c r="L2004" s="19">
        <v>2025</v>
      </c>
      <c r="M2004" s="20">
        <v>75</v>
      </c>
      <c r="N2004" s="19" t="s">
        <v>616</v>
      </c>
      <c r="O2004" s="20">
        <v>15</v>
      </c>
      <c r="P2004" s="20">
        <v>1125</v>
      </c>
      <c r="Q2004" s="20">
        <v>2721.9609273266728</v>
      </c>
      <c r="R2004" s="21">
        <v>0.91</v>
      </c>
      <c r="S2004" s="20">
        <v>2721.9609273266728</v>
      </c>
    </row>
    <row r="2005" spans="2:19" ht="15" customHeight="1" x14ac:dyDescent="0.25">
      <c r="B2005" s="2" t="str">
        <f t="shared" si="62"/>
        <v>PGL_Business_Public Sector_Rebates_Pipe Insulation_HW Medium 2.1" to 4"_MF/CI/SMB</v>
      </c>
      <c r="C2005" s="2" t="str">
        <f t="shared" si="63"/>
        <v>PGL_Business_Public Sector_Rebates_Pipe Insulation_HW Medium 2.1" to 4"_MF/CI/SMB_2022</v>
      </c>
      <c r="D2005" s="19" t="s">
        <v>1794</v>
      </c>
      <c r="E2005" s="19" t="s">
        <v>3</v>
      </c>
      <c r="F2005" s="19" t="s">
        <v>1430</v>
      </c>
      <c r="G2005" s="19" t="s">
        <v>1429</v>
      </c>
      <c r="H2005" s="19" t="s">
        <v>404</v>
      </c>
      <c r="I2005" s="19" t="s">
        <v>954</v>
      </c>
      <c r="J2005" s="19">
        <v>0</v>
      </c>
      <c r="K2005" s="19" t="s">
        <v>662</v>
      </c>
      <c r="L2005" s="19">
        <v>2022</v>
      </c>
      <c r="M2005" s="20">
        <v>75</v>
      </c>
      <c r="N2005" s="19" t="s">
        <v>616</v>
      </c>
      <c r="O2005" s="20">
        <v>10</v>
      </c>
      <c r="P2005" s="20">
        <v>750</v>
      </c>
      <c r="Q2005" s="20">
        <v>3582.5811494493946</v>
      </c>
      <c r="R2005" s="21">
        <v>0.91</v>
      </c>
      <c r="S2005" s="20">
        <v>3582.5811494493946</v>
      </c>
    </row>
    <row r="2006" spans="2:19" ht="15" customHeight="1" x14ac:dyDescent="0.25">
      <c r="B2006" s="2" t="str">
        <f t="shared" si="62"/>
        <v>PGL_Business_Public Sector_Rebates_Pipe Insulation_HW Medium 2.1" to 4"_MF/CI/SMB</v>
      </c>
      <c r="C2006" s="2" t="str">
        <f t="shared" si="63"/>
        <v>PGL_Business_Public Sector_Rebates_Pipe Insulation_HW Medium 2.1" to 4"_MF/CI/SMB_2023</v>
      </c>
      <c r="D2006" s="19" t="s">
        <v>1794</v>
      </c>
      <c r="E2006" s="19" t="s">
        <v>3</v>
      </c>
      <c r="F2006" s="19" t="s">
        <v>1430</v>
      </c>
      <c r="G2006" s="19" t="s">
        <v>1429</v>
      </c>
      <c r="H2006" s="19" t="s">
        <v>404</v>
      </c>
      <c r="I2006" s="19" t="s">
        <v>954</v>
      </c>
      <c r="J2006" s="19">
        <v>0</v>
      </c>
      <c r="K2006" s="19" t="s">
        <v>662</v>
      </c>
      <c r="L2006" s="19">
        <v>2023</v>
      </c>
      <c r="M2006" s="20">
        <v>75</v>
      </c>
      <c r="N2006" s="19" t="s">
        <v>616</v>
      </c>
      <c r="O2006" s="20">
        <v>10</v>
      </c>
      <c r="P2006" s="20">
        <v>750</v>
      </c>
      <c r="Q2006" s="20">
        <v>3582.5811494493946</v>
      </c>
      <c r="R2006" s="21">
        <v>0.91</v>
      </c>
      <c r="S2006" s="20">
        <v>3582.5811494493946</v>
      </c>
    </row>
    <row r="2007" spans="2:19" ht="15" customHeight="1" x14ac:dyDescent="0.25">
      <c r="B2007" s="2" t="str">
        <f t="shared" si="62"/>
        <v>PGL_Business_Public Sector_Rebates_Pipe Insulation_HW Medium 2.1" to 4"_MF/CI/SMB</v>
      </c>
      <c r="C2007" s="2" t="str">
        <f t="shared" si="63"/>
        <v>PGL_Business_Public Sector_Rebates_Pipe Insulation_HW Medium 2.1" to 4"_MF/CI/SMB_2024</v>
      </c>
      <c r="D2007" s="19" t="s">
        <v>1794</v>
      </c>
      <c r="E2007" s="19" t="s">
        <v>3</v>
      </c>
      <c r="F2007" s="19" t="s">
        <v>1430</v>
      </c>
      <c r="G2007" s="19" t="s">
        <v>1429</v>
      </c>
      <c r="H2007" s="19" t="s">
        <v>404</v>
      </c>
      <c r="I2007" s="19" t="s">
        <v>954</v>
      </c>
      <c r="J2007" s="19">
        <v>0</v>
      </c>
      <c r="K2007" s="19" t="s">
        <v>662</v>
      </c>
      <c r="L2007" s="19">
        <v>2024</v>
      </c>
      <c r="M2007" s="20">
        <v>75</v>
      </c>
      <c r="N2007" s="19" t="s">
        <v>616</v>
      </c>
      <c r="O2007" s="20">
        <v>10</v>
      </c>
      <c r="P2007" s="20">
        <v>750</v>
      </c>
      <c r="Q2007" s="20">
        <v>3582.5811494493946</v>
      </c>
      <c r="R2007" s="21">
        <v>0.91</v>
      </c>
      <c r="S2007" s="20">
        <v>3582.5811494493946</v>
      </c>
    </row>
    <row r="2008" spans="2:19" ht="15" customHeight="1" x14ac:dyDescent="0.25">
      <c r="B2008" s="2" t="str">
        <f t="shared" si="62"/>
        <v>PGL_Business_Public Sector_Rebates_Pipe Insulation_HW Medium 2.1" to 4"_MF/CI/SMB</v>
      </c>
      <c r="C2008" s="2" t="str">
        <f t="shared" si="63"/>
        <v>PGL_Business_Public Sector_Rebates_Pipe Insulation_HW Medium 2.1" to 4"_MF/CI/SMB_2025</v>
      </c>
      <c r="D2008" s="19" t="s">
        <v>1794</v>
      </c>
      <c r="E2008" s="19" t="s">
        <v>3</v>
      </c>
      <c r="F2008" s="19" t="s">
        <v>1430</v>
      </c>
      <c r="G2008" s="19" t="s">
        <v>1429</v>
      </c>
      <c r="H2008" s="19" t="s">
        <v>404</v>
      </c>
      <c r="I2008" s="19" t="s">
        <v>954</v>
      </c>
      <c r="J2008" s="19">
        <v>0</v>
      </c>
      <c r="K2008" s="19" t="s">
        <v>662</v>
      </c>
      <c r="L2008" s="19">
        <v>2025</v>
      </c>
      <c r="M2008" s="20">
        <v>75</v>
      </c>
      <c r="N2008" s="19" t="s">
        <v>616</v>
      </c>
      <c r="O2008" s="20">
        <v>10</v>
      </c>
      <c r="P2008" s="20">
        <v>750</v>
      </c>
      <c r="Q2008" s="20">
        <v>3582.5811494493946</v>
      </c>
      <c r="R2008" s="21">
        <v>0.91</v>
      </c>
      <c r="S2008" s="20">
        <v>3582.5811494493946</v>
      </c>
    </row>
    <row r="2009" spans="2:19" ht="15" customHeight="1" x14ac:dyDescent="0.25">
      <c r="B2009" s="2" t="str">
        <f t="shared" si="62"/>
        <v>PGL_Business_Public Sector_Rebates_Pipe Insulation_HW Large &gt;4"_MF/CI/SMB</v>
      </c>
      <c r="C2009" s="2" t="str">
        <f t="shared" si="63"/>
        <v>PGL_Business_Public Sector_Rebates_Pipe Insulation_HW Large &gt;4"_MF/CI/SMB_2022</v>
      </c>
      <c r="D2009" s="19" t="s">
        <v>1794</v>
      </c>
      <c r="E2009" s="19" t="s">
        <v>3</v>
      </c>
      <c r="F2009" s="19" t="s">
        <v>1430</v>
      </c>
      <c r="G2009" s="19" t="s">
        <v>1429</v>
      </c>
      <c r="H2009" s="19" t="s">
        <v>404</v>
      </c>
      <c r="I2009" s="19" t="s">
        <v>955</v>
      </c>
      <c r="J2009" s="19">
        <v>0</v>
      </c>
      <c r="K2009" s="19" t="s">
        <v>662</v>
      </c>
      <c r="L2009" s="19">
        <v>2022</v>
      </c>
      <c r="M2009" s="20">
        <v>75</v>
      </c>
      <c r="N2009" s="19" t="s">
        <v>616</v>
      </c>
      <c r="O2009" s="20">
        <v>10</v>
      </c>
      <c r="P2009" s="20">
        <v>750</v>
      </c>
      <c r="Q2009" s="20">
        <v>6170.3195931132677</v>
      </c>
      <c r="R2009" s="21">
        <v>0.91</v>
      </c>
      <c r="S2009" s="20">
        <v>6170.3195931132677</v>
      </c>
    </row>
    <row r="2010" spans="2:19" ht="15" customHeight="1" x14ac:dyDescent="0.25">
      <c r="B2010" s="2" t="str">
        <f t="shared" si="62"/>
        <v>PGL_Business_Public Sector_Rebates_Pipe Insulation_HW Large &gt;4"_MF/CI/SMB</v>
      </c>
      <c r="C2010" s="2" t="str">
        <f t="shared" si="63"/>
        <v>PGL_Business_Public Sector_Rebates_Pipe Insulation_HW Large &gt;4"_MF/CI/SMB_2023</v>
      </c>
      <c r="D2010" s="19" t="s">
        <v>1794</v>
      </c>
      <c r="E2010" s="19" t="s">
        <v>3</v>
      </c>
      <c r="F2010" s="19" t="s">
        <v>1430</v>
      </c>
      <c r="G2010" s="19" t="s">
        <v>1429</v>
      </c>
      <c r="H2010" s="19" t="s">
        <v>404</v>
      </c>
      <c r="I2010" s="19" t="s">
        <v>955</v>
      </c>
      <c r="J2010" s="19">
        <v>0</v>
      </c>
      <c r="K2010" s="19" t="s">
        <v>662</v>
      </c>
      <c r="L2010" s="19">
        <v>2023</v>
      </c>
      <c r="M2010" s="20">
        <v>75</v>
      </c>
      <c r="N2010" s="19" t="s">
        <v>616</v>
      </c>
      <c r="O2010" s="20">
        <v>10</v>
      </c>
      <c r="P2010" s="20">
        <v>750</v>
      </c>
      <c r="Q2010" s="20">
        <v>6170.3195931132677</v>
      </c>
      <c r="R2010" s="21">
        <v>0.91</v>
      </c>
      <c r="S2010" s="20">
        <v>6170.3195931132677</v>
      </c>
    </row>
    <row r="2011" spans="2:19" ht="15" customHeight="1" x14ac:dyDescent="0.25">
      <c r="B2011" s="2" t="str">
        <f t="shared" si="62"/>
        <v>PGL_Business_Public Sector_Rebates_Pipe Insulation_HW Large &gt;4"_MF/CI/SMB</v>
      </c>
      <c r="C2011" s="2" t="str">
        <f t="shared" si="63"/>
        <v>PGL_Business_Public Sector_Rebates_Pipe Insulation_HW Large &gt;4"_MF/CI/SMB_2024</v>
      </c>
      <c r="D2011" s="19" t="s">
        <v>1794</v>
      </c>
      <c r="E2011" s="19" t="s">
        <v>3</v>
      </c>
      <c r="F2011" s="19" t="s">
        <v>1430</v>
      </c>
      <c r="G2011" s="19" t="s">
        <v>1429</v>
      </c>
      <c r="H2011" s="19" t="s">
        <v>404</v>
      </c>
      <c r="I2011" s="19" t="s">
        <v>955</v>
      </c>
      <c r="J2011" s="19">
        <v>0</v>
      </c>
      <c r="K2011" s="19" t="s">
        <v>662</v>
      </c>
      <c r="L2011" s="19">
        <v>2024</v>
      </c>
      <c r="M2011" s="20">
        <v>75</v>
      </c>
      <c r="N2011" s="19" t="s">
        <v>616</v>
      </c>
      <c r="O2011" s="20">
        <v>10</v>
      </c>
      <c r="P2011" s="20">
        <v>750</v>
      </c>
      <c r="Q2011" s="20">
        <v>6170.3195931132677</v>
      </c>
      <c r="R2011" s="21">
        <v>0.91</v>
      </c>
      <c r="S2011" s="20">
        <v>6170.3195931132677</v>
      </c>
    </row>
    <row r="2012" spans="2:19" ht="15" customHeight="1" x14ac:dyDescent="0.25">
      <c r="B2012" s="2" t="str">
        <f t="shared" si="62"/>
        <v>PGL_Business_Public Sector_Rebates_Pipe Insulation_HW Large &gt;4"_MF/CI/SMB</v>
      </c>
      <c r="C2012" s="2" t="str">
        <f t="shared" si="63"/>
        <v>PGL_Business_Public Sector_Rebates_Pipe Insulation_HW Large &gt;4"_MF/CI/SMB_2025</v>
      </c>
      <c r="D2012" s="19" t="s">
        <v>1794</v>
      </c>
      <c r="E2012" s="19" t="s">
        <v>3</v>
      </c>
      <c r="F2012" s="19" t="s">
        <v>1430</v>
      </c>
      <c r="G2012" s="19" t="s">
        <v>1429</v>
      </c>
      <c r="H2012" s="19" t="s">
        <v>404</v>
      </c>
      <c r="I2012" s="19" t="s">
        <v>955</v>
      </c>
      <c r="J2012" s="19">
        <v>0</v>
      </c>
      <c r="K2012" s="19" t="s">
        <v>662</v>
      </c>
      <c r="L2012" s="19">
        <v>2025</v>
      </c>
      <c r="M2012" s="20">
        <v>75</v>
      </c>
      <c r="N2012" s="19" t="s">
        <v>616</v>
      </c>
      <c r="O2012" s="20">
        <v>10</v>
      </c>
      <c r="P2012" s="20">
        <v>750</v>
      </c>
      <c r="Q2012" s="20">
        <v>6170.3195931132677</v>
      </c>
      <c r="R2012" s="21">
        <v>0.91</v>
      </c>
      <c r="S2012" s="20">
        <v>6170.3195931132677</v>
      </c>
    </row>
    <row r="2013" spans="2:19" ht="15" customHeight="1" x14ac:dyDescent="0.25">
      <c r="B2013" s="2" t="str">
        <f t="shared" si="62"/>
        <v>PGL_Business_Public Sector_Rebates_Pipe Insulation_Steam - Small 1" to 2"_CI</v>
      </c>
      <c r="C2013" s="2" t="str">
        <f t="shared" si="63"/>
        <v>PGL_Business_Public Sector_Rebates_Pipe Insulation_Steam - Small 1" to 2"_CI_2022</v>
      </c>
      <c r="D2013" s="19" t="s">
        <v>1794</v>
      </c>
      <c r="E2013" s="19" t="s">
        <v>3</v>
      </c>
      <c r="F2013" s="19" t="s">
        <v>1430</v>
      </c>
      <c r="G2013" s="19" t="s">
        <v>1429</v>
      </c>
      <c r="H2013" s="19" t="s">
        <v>404</v>
      </c>
      <c r="I2013" s="19" t="s">
        <v>956</v>
      </c>
      <c r="J2013" s="19">
        <v>0</v>
      </c>
      <c r="K2013" s="19" t="s">
        <v>1159</v>
      </c>
      <c r="L2013" s="19">
        <v>2022</v>
      </c>
      <c r="M2013" s="20">
        <v>75</v>
      </c>
      <c r="N2013" s="19" t="s">
        <v>616</v>
      </c>
      <c r="O2013" s="20">
        <v>8</v>
      </c>
      <c r="P2013" s="20">
        <v>600</v>
      </c>
      <c r="Q2013" s="20">
        <v>1739.2697348190097</v>
      </c>
      <c r="R2013" s="21">
        <v>0.91</v>
      </c>
      <c r="S2013" s="20">
        <v>1739.2697348190097</v>
      </c>
    </row>
    <row r="2014" spans="2:19" ht="15" customHeight="1" x14ac:dyDescent="0.25">
      <c r="B2014" s="2" t="str">
        <f t="shared" si="62"/>
        <v>PGL_Business_Public Sector_Rebates_Pipe Insulation_Steam - Small 1" to 2"_CI</v>
      </c>
      <c r="C2014" s="2" t="str">
        <f t="shared" si="63"/>
        <v>PGL_Business_Public Sector_Rebates_Pipe Insulation_Steam - Small 1" to 2"_CI_2023</v>
      </c>
      <c r="D2014" s="19" t="s">
        <v>1794</v>
      </c>
      <c r="E2014" s="19" t="s">
        <v>3</v>
      </c>
      <c r="F2014" s="19" t="s">
        <v>1430</v>
      </c>
      <c r="G2014" s="19" t="s">
        <v>1429</v>
      </c>
      <c r="H2014" s="19" t="s">
        <v>404</v>
      </c>
      <c r="I2014" s="19" t="s">
        <v>956</v>
      </c>
      <c r="J2014" s="19">
        <v>0</v>
      </c>
      <c r="K2014" s="19" t="s">
        <v>1159</v>
      </c>
      <c r="L2014" s="19">
        <v>2023</v>
      </c>
      <c r="M2014" s="20">
        <v>75</v>
      </c>
      <c r="N2014" s="19" t="s">
        <v>616</v>
      </c>
      <c r="O2014" s="20">
        <v>8</v>
      </c>
      <c r="P2014" s="20">
        <v>600</v>
      </c>
      <c r="Q2014" s="20">
        <v>1739.2697348190097</v>
      </c>
      <c r="R2014" s="21">
        <v>0.91</v>
      </c>
      <c r="S2014" s="20">
        <v>1739.2697348190097</v>
      </c>
    </row>
    <row r="2015" spans="2:19" ht="15" customHeight="1" x14ac:dyDescent="0.25">
      <c r="B2015" s="2" t="str">
        <f t="shared" si="62"/>
        <v>PGL_Business_Public Sector_Rebates_Pipe Insulation_Steam - Small 1" to 2"_CI</v>
      </c>
      <c r="C2015" s="2" t="str">
        <f t="shared" si="63"/>
        <v>PGL_Business_Public Sector_Rebates_Pipe Insulation_Steam - Small 1" to 2"_CI_2024</v>
      </c>
      <c r="D2015" s="19" t="s">
        <v>1794</v>
      </c>
      <c r="E2015" s="19" t="s">
        <v>3</v>
      </c>
      <c r="F2015" s="19" t="s">
        <v>1430</v>
      </c>
      <c r="G2015" s="19" t="s">
        <v>1429</v>
      </c>
      <c r="H2015" s="19" t="s">
        <v>404</v>
      </c>
      <c r="I2015" s="19" t="s">
        <v>956</v>
      </c>
      <c r="J2015" s="19">
        <v>0</v>
      </c>
      <c r="K2015" s="19" t="s">
        <v>1159</v>
      </c>
      <c r="L2015" s="19">
        <v>2024</v>
      </c>
      <c r="M2015" s="20">
        <v>75</v>
      </c>
      <c r="N2015" s="19" t="s">
        <v>616</v>
      </c>
      <c r="O2015" s="20">
        <v>8</v>
      </c>
      <c r="P2015" s="20">
        <v>600</v>
      </c>
      <c r="Q2015" s="20">
        <v>1739.2697348190097</v>
      </c>
      <c r="R2015" s="21">
        <v>0.91</v>
      </c>
      <c r="S2015" s="20">
        <v>1739.2697348190097</v>
      </c>
    </row>
    <row r="2016" spans="2:19" ht="15" customHeight="1" x14ac:dyDescent="0.25">
      <c r="B2016" s="2" t="str">
        <f t="shared" si="62"/>
        <v>PGL_Business_Public Sector_Rebates_Pipe Insulation_Steam - Small 1" to 2"_CI</v>
      </c>
      <c r="C2016" s="2" t="str">
        <f t="shared" si="63"/>
        <v>PGL_Business_Public Sector_Rebates_Pipe Insulation_Steam - Small 1" to 2"_CI_2025</v>
      </c>
      <c r="D2016" s="19" t="s">
        <v>1794</v>
      </c>
      <c r="E2016" s="19" t="s">
        <v>3</v>
      </c>
      <c r="F2016" s="19" t="s">
        <v>1430</v>
      </c>
      <c r="G2016" s="19" t="s">
        <v>1429</v>
      </c>
      <c r="H2016" s="19" t="s">
        <v>404</v>
      </c>
      <c r="I2016" s="19" t="s">
        <v>956</v>
      </c>
      <c r="J2016" s="19">
        <v>0</v>
      </c>
      <c r="K2016" s="19" t="s">
        <v>1159</v>
      </c>
      <c r="L2016" s="19">
        <v>2025</v>
      </c>
      <c r="M2016" s="20">
        <v>75</v>
      </c>
      <c r="N2016" s="19" t="s">
        <v>616</v>
      </c>
      <c r="O2016" s="20">
        <v>8</v>
      </c>
      <c r="P2016" s="20">
        <v>600</v>
      </c>
      <c r="Q2016" s="20">
        <v>1739.2697348190097</v>
      </c>
      <c r="R2016" s="21">
        <v>0.91</v>
      </c>
      <c r="S2016" s="20">
        <v>1739.2697348190097</v>
      </c>
    </row>
    <row r="2017" spans="2:19" ht="15" customHeight="1" x14ac:dyDescent="0.25">
      <c r="B2017" s="2" t="str">
        <f t="shared" si="62"/>
        <v>PGL_Business_Public Sector_Rebates_Pipe Insulation_Steam - Med 2.1" to 5"_CI</v>
      </c>
      <c r="C2017" s="2" t="str">
        <f t="shared" si="63"/>
        <v>PGL_Business_Public Sector_Rebates_Pipe Insulation_Steam - Med 2.1" to 5"_CI_2022</v>
      </c>
      <c r="D2017" s="19" t="s">
        <v>1794</v>
      </c>
      <c r="E2017" s="19" t="s">
        <v>3</v>
      </c>
      <c r="F2017" s="19" t="s">
        <v>1430</v>
      </c>
      <c r="G2017" s="19" t="s">
        <v>1429</v>
      </c>
      <c r="H2017" s="19" t="s">
        <v>404</v>
      </c>
      <c r="I2017" s="19" t="s">
        <v>957</v>
      </c>
      <c r="J2017" s="19">
        <v>0</v>
      </c>
      <c r="K2017" s="19" t="s">
        <v>1159</v>
      </c>
      <c r="L2017" s="19">
        <v>2022</v>
      </c>
      <c r="M2017" s="20">
        <v>75</v>
      </c>
      <c r="N2017" s="19" t="s">
        <v>616</v>
      </c>
      <c r="O2017" s="20">
        <v>5</v>
      </c>
      <c r="P2017" s="20">
        <v>375</v>
      </c>
      <c r="Q2017" s="20">
        <v>4371.7694763178924</v>
      </c>
      <c r="R2017" s="21">
        <v>0.91</v>
      </c>
      <c r="S2017" s="20">
        <v>4371.7694763178924</v>
      </c>
    </row>
    <row r="2018" spans="2:19" ht="15" customHeight="1" x14ac:dyDescent="0.25">
      <c r="B2018" s="2" t="str">
        <f t="shared" si="62"/>
        <v>PGL_Business_Public Sector_Rebates_Pipe Insulation_Steam - Med 2.1" to 5"_CI</v>
      </c>
      <c r="C2018" s="2" t="str">
        <f t="shared" si="63"/>
        <v>PGL_Business_Public Sector_Rebates_Pipe Insulation_Steam - Med 2.1" to 5"_CI_2023</v>
      </c>
      <c r="D2018" s="19" t="s">
        <v>1794</v>
      </c>
      <c r="E2018" s="19" t="s">
        <v>3</v>
      </c>
      <c r="F2018" s="19" t="s">
        <v>1430</v>
      </c>
      <c r="G2018" s="19" t="s">
        <v>1429</v>
      </c>
      <c r="H2018" s="19" t="s">
        <v>404</v>
      </c>
      <c r="I2018" s="19" t="s">
        <v>957</v>
      </c>
      <c r="J2018" s="19">
        <v>0</v>
      </c>
      <c r="K2018" s="19" t="s">
        <v>1159</v>
      </c>
      <c r="L2018" s="19">
        <v>2023</v>
      </c>
      <c r="M2018" s="20">
        <v>75</v>
      </c>
      <c r="N2018" s="19" t="s">
        <v>616</v>
      </c>
      <c r="O2018" s="20">
        <v>5</v>
      </c>
      <c r="P2018" s="20">
        <v>375</v>
      </c>
      <c r="Q2018" s="20">
        <v>4371.7694763178924</v>
      </c>
      <c r="R2018" s="21">
        <v>0.91</v>
      </c>
      <c r="S2018" s="20">
        <v>4371.7694763178924</v>
      </c>
    </row>
    <row r="2019" spans="2:19" ht="15" customHeight="1" x14ac:dyDescent="0.25">
      <c r="B2019" s="2" t="str">
        <f t="shared" si="62"/>
        <v>PGL_Business_Public Sector_Rebates_Pipe Insulation_Steam - Med 2.1" to 5"_CI</v>
      </c>
      <c r="C2019" s="2" t="str">
        <f t="shared" si="63"/>
        <v>PGL_Business_Public Sector_Rebates_Pipe Insulation_Steam - Med 2.1" to 5"_CI_2024</v>
      </c>
      <c r="D2019" s="19" t="s">
        <v>1794</v>
      </c>
      <c r="E2019" s="19" t="s">
        <v>3</v>
      </c>
      <c r="F2019" s="19" t="s">
        <v>1430</v>
      </c>
      <c r="G2019" s="19" t="s">
        <v>1429</v>
      </c>
      <c r="H2019" s="19" t="s">
        <v>404</v>
      </c>
      <c r="I2019" s="19" t="s">
        <v>957</v>
      </c>
      <c r="J2019" s="19">
        <v>0</v>
      </c>
      <c r="K2019" s="19" t="s">
        <v>1159</v>
      </c>
      <c r="L2019" s="19">
        <v>2024</v>
      </c>
      <c r="M2019" s="20">
        <v>75</v>
      </c>
      <c r="N2019" s="19" t="s">
        <v>616</v>
      </c>
      <c r="O2019" s="20">
        <v>5</v>
      </c>
      <c r="P2019" s="20">
        <v>375</v>
      </c>
      <c r="Q2019" s="20">
        <v>4371.7694763178924</v>
      </c>
      <c r="R2019" s="21">
        <v>0.91</v>
      </c>
      <c r="S2019" s="20">
        <v>4371.7694763178924</v>
      </c>
    </row>
    <row r="2020" spans="2:19" ht="15" customHeight="1" x14ac:dyDescent="0.25">
      <c r="B2020" s="2" t="str">
        <f t="shared" si="62"/>
        <v>PGL_Business_Public Sector_Rebates_Pipe Insulation_Steam - Med 2.1" to 5"_CI</v>
      </c>
      <c r="C2020" s="2" t="str">
        <f t="shared" si="63"/>
        <v>PGL_Business_Public Sector_Rebates_Pipe Insulation_Steam - Med 2.1" to 5"_CI_2025</v>
      </c>
      <c r="D2020" s="19" t="s">
        <v>1794</v>
      </c>
      <c r="E2020" s="19" t="s">
        <v>3</v>
      </c>
      <c r="F2020" s="19" t="s">
        <v>1430</v>
      </c>
      <c r="G2020" s="19" t="s">
        <v>1429</v>
      </c>
      <c r="H2020" s="19" t="s">
        <v>404</v>
      </c>
      <c r="I2020" s="19" t="s">
        <v>957</v>
      </c>
      <c r="J2020" s="19">
        <v>0</v>
      </c>
      <c r="K2020" s="19" t="s">
        <v>1159</v>
      </c>
      <c r="L2020" s="19">
        <v>2025</v>
      </c>
      <c r="M2020" s="20">
        <v>75</v>
      </c>
      <c r="N2020" s="19" t="s">
        <v>616</v>
      </c>
      <c r="O2020" s="20">
        <v>5</v>
      </c>
      <c r="P2020" s="20">
        <v>375</v>
      </c>
      <c r="Q2020" s="20">
        <v>4371.7694763178924</v>
      </c>
      <c r="R2020" s="21">
        <v>0.91</v>
      </c>
      <c r="S2020" s="20">
        <v>4371.7694763178924</v>
      </c>
    </row>
    <row r="2021" spans="2:19" ht="15" customHeight="1" x14ac:dyDescent="0.25">
      <c r="B2021" s="2" t="str">
        <f t="shared" si="62"/>
        <v>PGL_Business_Public Sector_Rebates_Pipe Insulation_Steam - Large 5.1" to 8"_CI</v>
      </c>
      <c r="C2021" s="2" t="str">
        <f t="shared" si="63"/>
        <v>PGL_Business_Public Sector_Rebates_Pipe Insulation_Steam - Large 5.1" to 8"_CI_2022</v>
      </c>
      <c r="D2021" s="19" t="s">
        <v>1794</v>
      </c>
      <c r="E2021" s="19" t="s">
        <v>3</v>
      </c>
      <c r="F2021" s="19" t="s">
        <v>1430</v>
      </c>
      <c r="G2021" s="19" t="s">
        <v>1429</v>
      </c>
      <c r="H2021" s="19" t="s">
        <v>404</v>
      </c>
      <c r="I2021" s="19" t="s">
        <v>958</v>
      </c>
      <c r="J2021" s="19">
        <v>0</v>
      </c>
      <c r="K2021" s="19" t="s">
        <v>1159</v>
      </c>
      <c r="L2021" s="19">
        <v>2022</v>
      </c>
      <c r="M2021" s="20">
        <v>75</v>
      </c>
      <c r="N2021" s="19" t="s">
        <v>616</v>
      </c>
      <c r="O2021" s="20">
        <v>2</v>
      </c>
      <c r="P2021" s="20">
        <v>150</v>
      </c>
      <c r="Q2021" s="20">
        <v>3412.46773144382</v>
      </c>
      <c r="R2021" s="21">
        <v>0.91</v>
      </c>
      <c r="S2021" s="20">
        <v>3412.46773144382</v>
      </c>
    </row>
    <row r="2022" spans="2:19" ht="15" customHeight="1" x14ac:dyDescent="0.25">
      <c r="B2022" s="2" t="str">
        <f t="shared" si="62"/>
        <v>PGL_Business_Public Sector_Rebates_Pipe Insulation_Steam - Large 5.1" to 8"_CI</v>
      </c>
      <c r="C2022" s="2" t="str">
        <f t="shared" si="63"/>
        <v>PGL_Business_Public Sector_Rebates_Pipe Insulation_Steam - Large 5.1" to 8"_CI_2023</v>
      </c>
      <c r="D2022" s="19" t="s">
        <v>1794</v>
      </c>
      <c r="E2022" s="19" t="s">
        <v>3</v>
      </c>
      <c r="F2022" s="19" t="s">
        <v>1430</v>
      </c>
      <c r="G2022" s="19" t="s">
        <v>1429</v>
      </c>
      <c r="H2022" s="19" t="s">
        <v>404</v>
      </c>
      <c r="I2022" s="19" t="s">
        <v>958</v>
      </c>
      <c r="J2022" s="19">
        <v>0</v>
      </c>
      <c r="K2022" s="19" t="s">
        <v>1159</v>
      </c>
      <c r="L2022" s="19">
        <v>2023</v>
      </c>
      <c r="M2022" s="20">
        <v>75</v>
      </c>
      <c r="N2022" s="19" t="s">
        <v>616</v>
      </c>
      <c r="O2022" s="20">
        <v>2</v>
      </c>
      <c r="P2022" s="20">
        <v>150</v>
      </c>
      <c r="Q2022" s="20">
        <v>3412.46773144382</v>
      </c>
      <c r="R2022" s="21">
        <v>0.91</v>
      </c>
      <c r="S2022" s="20">
        <v>3412.46773144382</v>
      </c>
    </row>
    <row r="2023" spans="2:19" ht="15" customHeight="1" x14ac:dyDescent="0.25">
      <c r="B2023" s="2" t="str">
        <f t="shared" si="62"/>
        <v>PGL_Business_Public Sector_Rebates_Pipe Insulation_Steam - Large 5.1" to 8"_CI</v>
      </c>
      <c r="C2023" s="2" t="str">
        <f t="shared" si="63"/>
        <v>PGL_Business_Public Sector_Rebates_Pipe Insulation_Steam - Large 5.1" to 8"_CI_2024</v>
      </c>
      <c r="D2023" s="19" t="s">
        <v>1794</v>
      </c>
      <c r="E2023" s="19" t="s">
        <v>3</v>
      </c>
      <c r="F2023" s="19" t="s">
        <v>1430</v>
      </c>
      <c r="G2023" s="19" t="s">
        <v>1429</v>
      </c>
      <c r="H2023" s="19" t="s">
        <v>404</v>
      </c>
      <c r="I2023" s="19" t="s">
        <v>958</v>
      </c>
      <c r="J2023" s="19">
        <v>0</v>
      </c>
      <c r="K2023" s="19" t="s">
        <v>1159</v>
      </c>
      <c r="L2023" s="19">
        <v>2024</v>
      </c>
      <c r="M2023" s="20">
        <v>75</v>
      </c>
      <c r="N2023" s="19" t="s">
        <v>616</v>
      </c>
      <c r="O2023" s="20">
        <v>2</v>
      </c>
      <c r="P2023" s="20">
        <v>150</v>
      </c>
      <c r="Q2023" s="20">
        <v>3412.46773144382</v>
      </c>
      <c r="R2023" s="21">
        <v>0.91</v>
      </c>
      <c r="S2023" s="20">
        <v>3412.46773144382</v>
      </c>
    </row>
    <row r="2024" spans="2:19" ht="15" customHeight="1" x14ac:dyDescent="0.25">
      <c r="B2024" s="2" t="str">
        <f t="shared" si="62"/>
        <v>PGL_Business_Public Sector_Rebates_Pipe Insulation_Steam - Large 5.1" to 8"_CI</v>
      </c>
      <c r="C2024" s="2" t="str">
        <f t="shared" si="63"/>
        <v>PGL_Business_Public Sector_Rebates_Pipe Insulation_Steam - Large 5.1" to 8"_CI_2025</v>
      </c>
      <c r="D2024" s="19" t="s">
        <v>1794</v>
      </c>
      <c r="E2024" s="19" t="s">
        <v>3</v>
      </c>
      <c r="F2024" s="19" t="s">
        <v>1430</v>
      </c>
      <c r="G2024" s="19" t="s">
        <v>1429</v>
      </c>
      <c r="H2024" s="19" t="s">
        <v>404</v>
      </c>
      <c r="I2024" s="19" t="s">
        <v>958</v>
      </c>
      <c r="J2024" s="19">
        <v>0</v>
      </c>
      <c r="K2024" s="19" t="s">
        <v>1159</v>
      </c>
      <c r="L2024" s="19">
        <v>2025</v>
      </c>
      <c r="M2024" s="20">
        <v>75</v>
      </c>
      <c r="N2024" s="19" t="s">
        <v>616</v>
      </c>
      <c r="O2024" s="20">
        <v>2</v>
      </c>
      <c r="P2024" s="20">
        <v>150</v>
      </c>
      <c r="Q2024" s="20">
        <v>3412.46773144382</v>
      </c>
      <c r="R2024" s="21">
        <v>0.91</v>
      </c>
      <c r="S2024" s="20">
        <v>3412.46773144382</v>
      </c>
    </row>
    <row r="2025" spans="2:19" ht="15" customHeight="1" x14ac:dyDescent="0.25">
      <c r="B2025" s="2" t="str">
        <f t="shared" si="62"/>
        <v>PGL_Business_Public Sector_Rebates_Pipe Insulation_Steam - X-Large &gt;8"_CI</v>
      </c>
      <c r="C2025" s="2" t="str">
        <f t="shared" si="63"/>
        <v>PGL_Business_Public Sector_Rebates_Pipe Insulation_Steam - X-Large &gt;8"_CI_2022</v>
      </c>
      <c r="D2025" s="19" t="s">
        <v>1794</v>
      </c>
      <c r="E2025" s="19" t="s">
        <v>3</v>
      </c>
      <c r="F2025" s="19" t="s">
        <v>1430</v>
      </c>
      <c r="G2025" s="19" t="s">
        <v>1429</v>
      </c>
      <c r="H2025" s="19" t="s">
        <v>404</v>
      </c>
      <c r="I2025" s="19" t="s">
        <v>960</v>
      </c>
      <c r="J2025" s="19">
        <v>0</v>
      </c>
      <c r="K2025" s="19" t="s">
        <v>1159</v>
      </c>
      <c r="L2025" s="19">
        <v>2022</v>
      </c>
      <c r="M2025" s="20">
        <v>75</v>
      </c>
      <c r="N2025" s="19" t="s">
        <v>616</v>
      </c>
      <c r="O2025" s="20">
        <v>3</v>
      </c>
      <c r="P2025" s="20">
        <v>225</v>
      </c>
      <c r="Q2025" s="20">
        <v>7367.8873836951461</v>
      </c>
      <c r="R2025" s="21">
        <v>0.91</v>
      </c>
      <c r="S2025" s="20">
        <v>7367.8873836951461</v>
      </c>
    </row>
    <row r="2026" spans="2:19" ht="15" customHeight="1" x14ac:dyDescent="0.25">
      <c r="B2026" s="2" t="str">
        <f t="shared" si="62"/>
        <v>PGL_Business_Public Sector_Rebates_Pipe Insulation_Steam - X-Large &gt;8"_CI</v>
      </c>
      <c r="C2026" s="2" t="str">
        <f t="shared" si="63"/>
        <v>PGL_Business_Public Sector_Rebates_Pipe Insulation_Steam - X-Large &gt;8"_CI_2023</v>
      </c>
      <c r="D2026" s="19" t="s">
        <v>1794</v>
      </c>
      <c r="E2026" s="19" t="s">
        <v>3</v>
      </c>
      <c r="F2026" s="19" t="s">
        <v>1430</v>
      </c>
      <c r="G2026" s="19" t="s">
        <v>1429</v>
      </c>
      <c r="H2026" s="19" t="s">
        <v>404</v>
      </c>
      <c r="I2026" s="19" t="s">
        <v>960</v>
      </c>
      <c r="J2026" s="19">
        <v>0</v>
      </c>
      <c r="K2026" s="19" t="s">
        <v>1159</v>
      </c>
      <c r="L2026" s="19">
        <v>2023</v>
      </c>
      <c r="M2026" s="20">
        <v>75</v>
      </c>
      <c r="N2026" s="19" t="s">
        <v>616</v>
      </c>
      <c r="O2026" s="20">
        <v>3</v>
      </c>
      <c r="P2026" s="20">
        <v>225</v>
      </c>
      <c r="Q2026" s="20">
        <v>7367.8873836951461</v>
      </c>
      <c r="R2026" s="21">
        <v>0.91</v>
      </c>
      <c r="S2026" s="20">
        <v>7367.8873836951461</v>
      </c>
    </row>
    <row r="2027" spans="2:19" ht="15" customHeight="1" x14ac:dyDescent="0.25">
      <c r="B2027" s="2" t="str">
        <f t="shared" si="62"/>
        <v>PGL_Business_Public Sector_Rebates_Pipe Insulation_Steam - X-Large &gt;8"_CI</v>
      </c>
      <c r="C2027" s="2" t="str">
        <f t="shared" si="63"/>
        <v>PGL_Business_Public Sector_Rebates_Pipe Insulation_Steam - X-Large &gt;8"_CI_2024</v>
      </c>
      <c r="D2027" s="19" t="s">
        <v>1794</v>
      </c>
      <c r="E2027" s="19" t="s">
        <v>3</v>
      </c>
      <c r="F2027" s="19" t="s">
        <v>1430</v>
      </c>
      <c r="G2027" s="19" t="s">
        <v>1429</v>
      </c>
      <c r="H2027" s="19" t="s">
        <v>404</v>
      </c>
      <c r="I2027" s="19" t="s">
        <v>960</v>
      </c>
      <c r="J2027" s="19">
        <v>0</v>
      </c>
      <c r="K2027" s="19" t="s">
        <v>1159</v>
      </c>
      <c r="L2027" s="19">
        <v>2024</v>
      </c>
      <c r="M2027" s="20">
        <v>75</v>
      </c>
      <c r="N2027" s="19" t="s">
        <v>616</v>
      </c>
      <c r="O2027" s="20">
        <v>3</v>
      </c>
      <c r="P2027" s="20">
        <v>225</v>
      </c>
      <c r="Q2027" s="20">
        <v>7367.8873836951461</v>
      </c>
      <c r="R2027" s="21">
        <v>0.91</v>
      </c>
      <c r="S2027" s="20">
        <v>7367.8873836951461</v>
      </c>
    </row>
    <row r="2028" spans="2:19" ht="15" customHeight="1" x14ac:dyDescent="0.25">
      <c r="B2028" s="2" t="str">
        <f t="shared" si="62"/>
        <v>PGL_Business_Public Sector_Rebates_Pipe Insulation_Steam - X-Large &gt;8"_CI</v>
      </c>
      <c r="C2028" s="2" t="str">
        <f t="shared" si="63"/>
        <v>PGL_Business_Public Sector_Rebates_Pipe Insulation_Steam - X-Large &gt;8"_CI_2025</v>
      </c>
      <c r="D2028" s="19" t="s">
        <v>1794</v>
      </c>
      <c r="E2028" s="19" t="s">
        <v>3</v>
      </c>
      <c r="F2028" s="19" t="s">
        <v>1430</v>
      </c>
      <c r="G2028" s="19" t="s">
        <v>1429</v>
      </c>
      <c r="H2028" s="19" t="s">
        <v>404</v>
      </c>
      <c r="I2028" s="19" t="s">
        <v>960</v>
      </c>
      <c r="J2028" s="19">
        <v>0</v>
      </c>
      <c r="K2028" s="19" t="s">
        <v>1159</v>
      </c>
      <c r="L2028" s="19">
        <v>2025</v>
      </c>
      <c r="M2028" s="20">
        <v>75</v>
      </c>
      <c r="N2028" s="19" t="s">
        <v>616</v>
      </c>
      <c r="O2028" s="20">
        <v>3</v>
      </c>
      <c r="P2028" s="20">
        <v>225</v>
      </c>
      <c r="Q2028" s="20">
        <v>7367.8873836951461</v>
      </c>
      <c r="R2028" s="21">
        <v>0.91</v>
      </c>
      <c r="S2028" s="20">
        <v>7367.8873836951461</v>
      </c>
    </row>
    <row r="2029" spans="2:19" ht="15" customHeight="1" x14ac:dyDescent="0.25">
      <c r="B2029" s="2" t="str">
        <f t="shared" si="62"/>
        <v>PGL_Business_Public Sector_Rebates_Pipe Insulation_Steam Med Fitting_CI</v>
      </c>
      <c r="C2029" s="2" t="str">
        <f t="shared" si="63"/>
        <v>PGL_Business_Public Sector_Rebates_Pipe Insulation_Steam Med Fitting_CI_2022</v>
      </c>
      <c r="D2029" s="19" t="s">
        <v>1794</v>
      </c>
      <c r="E2029" s="19" t="s">
        <v>3</v>
      </c>
      <c r="F2029" s="19" t="s">
        <v>1430</v>
      </c>
      <c r="G2029" s="19" t="s">
        <v>1429</v>
      </c>
      <c r="H2029" s="19" t="s">
        <v>404</v>
      </c>
      <c r="I2029" s="19" t="s">
        <v>962</v>
      </c>
      <c r="J2029" s="19">
        <v>0</v>
      </c>
      <c r="K2029" s="19" t="s">
        <v>1159</v>
      </c>
      <c r="L2029" s="19">
        <v>2022</v>
      </c>
      <c r="M2029" s="20">
        <v>1</v>
      </c>
      <c r="N2029" s="19" t="s">
        <v>1798</v>
      </c>
      <c r="O2029" s="20">
        <v>5</v>
      </c>
      <c r="P2029" s="20">
        <v>5</v>
      </c>
      <c r="Q2029" s="20">
        <v>73.562307721509058</v>
      </c>
      <c r="R2029" s="21">
        <v>0.91</v>
      </c>
      <c r="S2029" s="20">
        <v>73.562307721509058</v>
      </c>
    </row>
    <row r="2030" spans="2:19" ht="15" customHeight="1" x14ac:dyDescent="0.25">
      <c r="B2030" s="2" t="str">
        <f t="shared" si="62"/>
        <v>PGL_Business_Public Sector_Rebates_Pipe Insulation_Steam Med Fitting_CI</v>
      </c>
      <c r="C2030" s="2" t="str">
        <f t="shared" si="63"/>
        <v>PGL_Business_Public Sector_Rebates_Pipe Insulation_Steam Med Fitting_CI_2023</v>
      </c>
      <c r="D2030" s="19" t="s">
        <v>1794</v>
      </c>
      <c r="E2030" s="19" t="s">
        <v>3</v>
      </c>
      <c r="F2030" s="19" t="s">
        <v>1430</v>
      </c>
      <c r="G2030" s="19" t="s">
        <v>1429</v>
      </c>
      <c r="H2030" s="19" t="s">
        <v>404</v>
      </c>
      <c r="I2030" s="19" t="s">
        <v>962</v>
      </c>
      <c r="J2030" s="19">
        <v>0</v>
      </c>
      <c r="K2030" s="19" t="s">
        <v>1159</v>
      </c>
      <c r="L2030" s="19">
        <v>2023</v>
      </c>
      <c r="M2030" s="20">
        <v>1</v>
      </c>
      <c r="N2030" s="19" t="s">
        <v>1798</v>
      </c>
      <c r="O2030" s="20">
        <v>5</v>
      </c>
      <c r="P2030" s="20">
        <v>5</v>
      </c>
      <c r="Q2030" s="20">
        <v>73.562307721509058</v>
      </c>
      <c r="R2030" s="21">
        <v>0.91</v>
      </c>
      <c r="S2030" s="20">
        <v>73.562307721509058</v>
      </c>
    </row>
    <row r="2031" spans="2:19" ht="15" customHeight="1" x14ac:dyDescent="0.25">
      <c r="B2031" s="2" t="str">
        <f t="shared" si="62"/>
        <v>PGL_Business_Public Sector_Rebates_Pipe Insulation_Steam Med Fitting_CI</v>
      </c>
      <c r="C2031" s="2" t="str">
        <f t="shared" si="63"/>
        <v>PGL_Business_Public Sector_Rebates_Pipe Insulation_Steam Med Fitting_CI_2024</v>
      </c>
      <c r="D2031" s="19" t="s">
        <v>1794</v>
      </c>
      <c r="E2031" s="19" t="s">
        <v>3</v>
      </c>
      <c r="F2031" s="19" t="s">
        <v>1430</v>
      </c>
      <c r="G2031" s="19" t="s">
        <v>1429</v>
      </c>
      <c r="H2031" s="19" t="s">
        <v>404</v>
      </c>
      <c r="I2031" s="19" t="s">
        <v>962</v>
      </c>
      <c r="J2031" s="19">
        <v>0</v>
      </c>
      <c r="K2031" s="19" t="s">
        <v>1159</v>
      </c>
      <c r="L2031" s="19">
        <v>2024</v>
      </c>
      <c r="M2031" s="20">
        <v>1</v>
      </c>
      <c r="N2031" s="19" t="s">
        <v>1798</v>
      </c>
      <c r="O2031" s="20">
        <v>5</v>
      </c>
      <c r="P2031" s="20">
        <v>5</v>
      </c>
      <c r="Q2031" s="20">
        <v>73.562307721509058</v>
      </c>
      <c r="R2031" s="21">
        <v>0.91</v>
      </c>
      <c r="S2031" s="20">
        <v>73.562307721509058</v>
      </c>
    </row>
    <row r="2032" spans="2:19" ht="15" customHeight="1" x14ac:dyDescent="0.25">
      <c r="B2032" s="2" t="str">
        <f t="shared" si="62"/>
        <v>PGL_Business_Public Sector_Rebates_Pipe Insulation_Steam Med Fitting_CI</v>
      </c>
      <c r="C2032" s="2" t="str">
        <f t="shared" si="63"/>
        <v>PGL_Business_Public Sector_Rebates_Pipe Insulation_Steam Med Fitting_CI_2025</v>
      </c>
      <c r="D2032" s="19" t="s">
        <v>1794</v>
      </c>
      <c r="E2032" s="19" t="s">
        <v>3</v>
      </c>
      <c r="F2032" s="19" t="s">
        <v>1430</v>
      </c>
      <c r="G2032" s="19" t="s">
        <v>1429</v>
      </c>
      <c r="H2032" s="19" t="s">
        <v>404</v>
      </c>
      <c r="I2032" s="19" t="s">
        <v>962</v>
      </c>
      <c r="J2032" s="19">
        <v>0</v>
      </c>
      <c r="K2032" s="19" t="s">
        <v>1159</v>
      </c>
      <c r="L2032" s="19">
        <v>2025</v>
      </c>
      <c r="M2032" s="20">
        <v>1</v>
      </c>
      <c r="N2032" s="19" t="s">
        <v>1798</v>
      </c>
      <c r="O2032" s="20">
        <v>5</v>
      </c>
      <c r="P2032" s="20">
        <v>5</v>
      </c>
      <c r="Q2032" s="20">
        <v>73.562307721509058</v>
      </c>
      <c r="R2032" s="21">
        <v>0.91</v>
      </c>
      <c r="S2032" s="20">
        <v>73.562307721509058</v>
      </c>
    </row>
    <row r="2033" spans="2:19" ht="15" customHeight="1" x14ac:dyDescent="0.25">
      <c r="B2033" s="2" t="str">
        <f t="shared" si="62"/>
        <v>PGL_Business_Public Sector_Rebates_Pipe Insulation_Steam Large Fitting_CI</v>
      </c>
      <c r="C2033" s="2" t="str">
        <f t="shared" si="63"/>
        <v>PGL_Business_Public Sector_Rebates_Pipe Insulation_Steam Large Fitting_CI_2022</v>
      </c>
      <c r="D2033" s="19" t="s">
        <v>1794</v>
      </c>
      <c r="E2033" s="19" t="s">
        <v>3</v>
      </c>
      <c r="F2033" s="19" t="s">
        <v>1430</v>
      </c>
      <c r="G2033" s="19" t="s">
        <v>1429</v>
      </c>
      <c r="H2033" s="19" t="s">
        <v>404</v>
      </c>
      <c r="I2033" s="19" t="s">
        <v>963</v>
      </c>
      <c r="J2033" s="19">
        <v>0</v>
      </c>
      <c r="K2033" s="19" t="s">
        <v>1159</v>
      </c>
      <c r="L2033" s="19">
        <v>2022</v>
      </c>
      <c r="M2033" s="20">
        <v>1</v>
      </c>
      <c r="N2033" s="19" t="s">
        <v>1798</v>
      </c>
      <c r="O2033" s="20">
        <v>10</v>
      </c>
      <c r="P2033" s="20">
        <v>10</v>
      </c>
      <c r="Q2033" s="20">
        <v>373.87008989154572</v>
      </c>
      <c r="R2033" s="21">
        <v>0.91</v>
      </c>
      <c r="S2033" s="20">
        <v>373.87008989154572</v>
      </c>
    </row>
    <row r="2034" spans="2:19" ht="15" customHeight="1" x14ac:dyDescent="0.25">
      <c r="B2034" s="2" t="str">
        <f t="shared" si="62"/>
        <v>PGL_Business_Public Sector_Rebates_Pipe Insulation_Steam Large Fitting_CI</v>
      </c>
      <c r="C2034" s="2" t="str">
        <f t="shared" si="63"/>
        <v>PGL_Business_Public Sector_Rebates_Pipe Insulation_Steam Large Fitting_CI_2023</v>
      </c>
      <c r="D2034" s="19" t="s">
        <v>1794</v>
      </c>
      <c r="E2034" s="19" t="s">
        <v>3</v>
      </c>
      <c r="F2034" s="19" t="s">
        <v>1430</v>
      </c>
      <c r="G2034" s="19" t="s">
        <v>1429</v>
      </c>
      <c r="H2034" s="19" t="s">
        <v>404</v>
      </c>
      <c r="I2034" s="19" t="s">
        <v>963</v>
      </c>
      <c r="J2034" s="19">
        <v>0</v>
      </c>
      <c r="K2034" s="19" t="s">
        <v>1159</v>
      </c>
      <c r="L2034" s="19">
        <v>2023</v>
      </c>
      <c r="M2034" s="20">
        <v>1</v>
      </c>
      <c r="N2034" s="19" t="s">
        <v>1798</v>
      </c>
      <c r="O2034" s="20">
        <v>10</v>
      </c>
      <c r="P2034" s="20">
        <v>10</v>
      </c>
      <c r="Q2034" s="20">
        <v>373.87008989154572</v>
      </c>
      <c r="R2034" s="21">
        <v>0.91</v>
      </c>
      <c r="S2034" s="20">
        <v>373.87008989154572</v>
      </c>
    </row>
    <row r="2035" spans="2:19" ht="15" customHeight="1" x14ac:dyDescent="0.25">
      <c r="B2035" s="2" t="str">
        <f t="shared" si="62"/>
        <v>PGL_Business_Public Sector_Rebates_Pipe Insulation_Steam Large Fitting_CI</v>
      </c>
      <c r="C2035" s="2" t="str">
        <f t="shared" si="63"/>
        <v>PGL_Business_Public Sector_Rebates_Pipe Insulation_Steam Large Fitting_CI_2024</v>
      </c>
      <c r="D2035" s="19" t="s">
        <v>1794</v>
      </c>
      <c r="E2035" s="19" t="s">
        <v>3</v>
      </c>
      <c r="F2035" s="19" t="s">
        <v>1430</v>
      </c>
      <c r="G2035" s="19" t="s">
        <v>1429</v>
      </c>
      <c r="H2035" s="19" t="s">
        <v>404</v>
      </c>
      <c r="I2035" s="19" t="s">
        <v>963</v>
      </c>
      <c r="J2035" s="19">
        <v>0</v>
      </c>
      <c r="K2035" s="19" t="s">
        <v>1159</v>
      </c>
      <c r="L2035" s="19">
        <v>2024</v>
      </c>
      <c r="M2035" s="20">
        <v>1</v>
      </c>
      <c r="N2035" s="19" t="s">
        <v>1798</v>
      </c>
      <c r="O2035" s="20">
        <v>10</v>
      </c>
      <c r="P2035" s="20">
        <v>10</v>
      </c>
      <c r="Q2035" s="20">
        <v>373.87008989154572</v>
      </c>
      <c r="R2035" s="21">
        <v>0.91</v>
      </c>
      <c r="S2035" s="20">
        <v>373.87008989154572</v>
      </c>
    </row>
    <row r="2036" spans="2:19" ht="15" customHeight="1" x14ac:dyDescent="0.25">
      <c r="B2036" s="2" t="str">
        <f t="shared" si="62"/>
        <v>PGL_Business_Public Sector_Rebates_Pipe Insulation_Steam Large Fitting_CI</v>
      </c>
      <c r="C2036" s="2" t="str">
        <f t="shared" si="63"/>
        <v>PGL_Business_Public Sector_Rebates_Pipe Insulation_Steam Large Fitting_CI_2025</v>
      </c>
      <c r="D2036" s="19" t="s">
        <v>1794</v>
      </c>
      <c r="E2036" s="19" t="s">
        <v>3</v>
      </c>
      <c r="F2036" s="19" t="s">
        <v>1430</v>
      </c>
      <c r="G2036" s="19" t="s">
        <v>1429</v>
      </c>
      <c r="H2036" s="19" t="s">
        <v>404</v>
      </c>
      <c r="I2036" s="19" t="s">
        <v>963</v>
      </c>
      <c r="J2036" s="19">
        <v>0</v>
      </c>
      <c r="K2036" s="19" t="s">
        <v>1159</v>
      </c>
      <c r="L2036" s="19">
        <v>2025</v>
      </c>
      <c r="M2036" s="20">
        <v>1</v>
      </c>
      <c r="N2036" s="19" t="s">
        <v>1798</v>
      </c>
      <c r="O2036" s="20">
        <v>10</v>
      </c>
      <c r="P2036" s="20">
        <v>10</v>
      </c>
      <c r="Q2036" s="20">
        <v>373.87008989154572</v>
      </c>
      <c r="R2036" s="21">
        <v>0.91</v>
      </c>
      <c r="S2036" s="20">
        <v>373.87008989154572</v>
      </c>
    </row>
    <row r="2037" spans="2:19" ht="15" customHeight="1" x14ac:dyDescent="0.25">
      <c r="B2037" s="2" t="str">
        <f t="shared" si="62"/>
        <v>PGL_Business_Public Sector_Rebates_Pipe Insulation_Steam X-Large Fitting_CI</v>
      </c>
      <c r="C2037" s="2" t="str">
        <f t="shared" si="63"/>
        <v>PGL_Business_Public Sector_Rebates_Pipe Insulation_Steam X-Large Fitting_CI_2022</v>
      </c>
      <c r="D2037" s="19" t="s">
        <v>1794</v>
      </c>
      <c r="E2037" s="19" t="s">
        <v>3</v>
      </c>
      <c r="F2037" s="19" t="s">
        <v>1430</v>
      </c>
      <c r="G2037" s="19" t="s">
        <v>1429</v>
      </c>
      <c r="H2037" s="19" t="s">
        <v>404</v>
      </c>
      <c r="I2037" s="19" t="s">
        <v>964</v>
      </c>
      <c r="J2037" s="19">
        <v>0</v>
      </c>
      <c r="K2037" s="19" t="s">
        <v>1159</v>
      </c>
      <c r="L2037" s="19">
        <v>2022</v>
      </c>
      <c r="M2037" s="20">
        <v>1</v>
      </c>
      <c r="N2037" s="19" t="s">
        <v>1798</v>
      </c>
      <c r="O2037" s="20">
        <v>0</v>
      </c>
      <c r="P2037" s="20">
        <v>0</v>
      </c>
      <c r="Q2037" s="20">
        <v>0</v>
      </c>
      <c r="R2037" s="21">
        <v>0.91</v>
      </c>
      <c r="S2037" s="20">
        <v>0</v>
      </c>
    </row>
    <row r="2038" spans="2:19" ht="15" customHeight="1" x14ac:dyDescent="0.25">
      <c r="B2038" s="2" t="str">
        <f t="shared" si="62"/>
        <v>PGL_Business_Public Sector_Rebates_Pipe Insulation_Steam X-Large Fitting_CI</v>
      </c>
      <c r="C2038" s="2" t="str">
        <f t="shared" si="63"/>
        <v>PGL_Business_Public Sector_Rebates_Pipe Insulation_Steam X-Large Fitting_CI_2023</v>
      </c>
      <c r="D2038" s="19" t="s">
        <v>1794</v>
      </c>
      <c r="E2038" s="19" t="s">
        <v>3</v>
      </c>
      <c r="F2038" s="19" t="s">
        <v>1430</v>
      </c>
      <c r="G2038" s="19" t="s">
        <v>1429</v>
      </c>
      <c r="H2038" s="19" t="s">
        <v>404</v>
      </c>
      <c r="I2038" s="19" t="s">
        <v>964</v>
      </c>
      <c r="J2038" s="19">
        <v>0</v>
      </c>
      <c r="K2038" s="19" t="s">
        <v>1159</v>
      </c>
      <c r="L2038" s="19">
        <v>2023</v>
      </c>
      <c r="M2038" s="20">
        <v>1</v>
      </c>
      <c r="N2038" s="19" t="s">
        <v>1798</v>
      </c>
      <c r="O2038" s="20">
        <v>0</v>
      </c>
      <c r="P2038" s="20">
        <v>0</v>
      </c>
      <c r="Q2038" s="20">
        <v>0</v>
      </c>
      <c r="R2038" s="21">
        <v>0.91</v>
      </c>
      <c r="S2038" s="20">
        <v>0</v>
      </c>
    </row>
    <row r="2039" spans="2:19" ht="15" customHeight="1" x14ac:dyDescent="0.25">
      <c r="B2039" s="2" t="str">
        <f t="shared" si="62"/>
        <v>PGL_Business_Public Sector_Rebates_Pipe Insulation_Steam X-Large Fitting_CI</v>
      </c>
      <c r="C2039" s="2" t="str">
        <f t="shared" si="63"/>
        <v>PGL_Business_Public Sector_Rebates_Pipe Insulation_Steam X-Large Fitting_CI_2024</v>
      </c>
      <c r="D2039" s="19" t="s">
        <v>1794</v>
      </c>
      <c r="E2039" s="19" t="s">
        <v>3</v>
      </c>
      <c r="F2039" s="19" t="s">
        <v>1430</v>
      </c>
      <c r="G2039" s="19" t="s">
        <v>1429</v>
      </c>
      <c r="H2039" s="19" t="s">
        <v>404</v>
      </c>
      <c r="I2039" s="19" t="s">
        <v>964</v>
      </c>
      <c r="J2039" s="19">
        <v>0</v>
      </c>
      <c r="K2039" s="19" t="s">
        <v>1159</v>
      </c>
      <c r="L2039" s="19">
        <v>2024</v>
      </c>
      <c r="M2039" s="20">
        <v>1</v>
      </c>
      <c r="N2039" s="19" t="s">
        <v>1798</v>
      </c>
      <c r="O2039" s="20">
        <v>0</v>
      </c>
      <c r="P2039" s="20">
        <v>0</v>
      </c>
      <c r="Q2039" s="20">
        <v>0</v>
      </c>
      <c r="R2039" s="21">
        <v>0.91</v>
      </c>
      <c r="S2039" s="20">
        <v>0</v>
      </c>
    </row>
    <row r="2040" spans="2:19" ht="15" customHeight="1" x14ac:dyDescent="0.25">
      <c r="B2040" s="2" t="str">
        <f t="shared" si="62"/>
        <v>PGL_Business_Public Sector_Rebates_Pipe Insulation_Steam X-Large Fitting_CI</v>
      </c>
      <c r="C2040" s="2" t="str">
        <f t="shared" si="63"/>
        <v>PGL_Business_Public Sector_Rebates_Pipe Insulation_Steam X-Large Fitting_CI_2025</v>
      </c>
      <c r="D2040" s="19" t="s">
        <v>1794</v>
      </c>
      <c r="E2040" s="19" t="s">
        <v>3</v>
      </c>
      <c r="F2040" s="19" t="s">
        <v>1430</v>
      </c>
      <c r="G2040" s="19" t="s">
        <v>1429</v>
      </c>
      <c r="H2040" s="19" t="s">
        <v>404</v>
      </c>
      <c r="I2040" s="19" t="s">
        <v>964</v>
      </c>
      <c r="J2040" s="19">
        <v>0</v>
      </c>
      <c r="K2040" s="19" t="s">
        <v>1159</v>
      </c>
      <c r="L2040" s="19">
        <v>2025</v>
      </c>
      <c r="M2040" s="20">
        <v>1</v>
      </c>
      <c r="N2040" s="19" t="s">
        <v>1798</v>
      </c>
      <c r="O2040" s="20">
        <v>0</v>
      </c>
      <c r="P2040" s="20">
        <v>0</v>
      </c>
      <c r="Q2040" s="20">
        <v>0</v>
      </c>
      <c r="R2040" s="21">
        <v>0.91</v>
      </c>
      <c r="S2040" s="20">
        <v>0</v>
      </c>
    </row>
    <row r="2041" spans="2:19" ht="15" customHeight="1" x14ac:dyDescent="0.25">
      <c r="B2041" s="2" t="str">
        <f t="shared" si="62"/>
        <v>PGL_Business_Public Sector_Rebates_Pipe Insulation_Steam Med Valve_CI</v>
      </c>
      <c r="C2041" s="2" t="str">
        <f t="shared" si="63"/>
        <v>PGL_Business_Public Sector_Rebates_Pipe Insulation_Steam Med Valve_CI_2022</v>
      </c>
      <c r="D2041" s="19" t="s">
        <v>1794</v>
      </c>
      <c r="E2041" s="19" t="s">
        <v>3</v>
      </c>
      <c r="F2041" s="19" t="s">
        <v>1430</v>
      </c>
      <c r="G2041" s="19" t="s">
        <v>1429</v>
      </c>
      <c r="H2041" s="19" t="s">
        <v>404</v>
      </c>
      <c r="I2041" s="19" t="s">
        <v>966</v>
      </c>
      <c r="J2041" s="19">
        <v>0</v>
      </c>
      <c r="K2041" s="19" t="s">
        <v>1159</v>
      </c>
      <c r="L2041" s="19">
        <v>2022</v>
      </c>
      <c r="M2041" s="20">
        <v>1</v>
      </c>
      <c r="N2041" s="19" t="s">
        <v>1798</v>
      </c>
      <c r="O2041" s="20">
        <v>5</v>
      </c>
      <c r="P2041" s="20">
        <v>5</v>
      </c>
      <c r="Q2041" s="20">
        <v>222.96024329221254</v>
      </c>
      <c r="R2041" s="21">
        <v>0.91</v>
      </c>
      <c r="S2041" s="20">
        <v>222.96024329221254</v>
      </c>
    </row>
    <row r="2042" spans="2:19" ht="15" customHeight="1" x14ac:dyDescent="0.25">
      <c r="B2042" s="2" t="str">
        <f t="shared" si="62"/>
        <v>PGL_Business_Public Sector_Rebates_Pipe Insulation_Steam Med Valve_CI</v>
      </c>
      <c r="C2042" s="2" t="str">
        <f t="shared" si="63"/>
        <v>PGL_Business_Public Sector_Rebates_Pipe Insulation_Steam Med Valve_CI_2023</v>
      </c>
      <c r="D2042" s="19" t="s">
        <v>1794</v>
      </c>
      <c r="E2042" s="19" t="s">
        <v>3</v>
      </c>
      <c r="F2042" s="19" t="s">
        <v>1430</v>
      </c>
      <c r="G2042" s="19" t="s">
        <v>1429</v>
      </c>
      <c r="H2042" s="19" t="s">
        <v>404</v>
      </c>
      <c r="I2042" s="19" t="s">
        <v>966</v>
      </c>
      <c r="J2042" s="19">
        <v>0</v>
      </c>
      <c r="K2042" s="19" t="s">
        <v>1159</v>
      </c>
      <c r="L2042" s="19">
        <v>2023</v>
      </c>
      <c r="M2042" s="20">
        <v>1</v>
      </c>
      <c r="N2042" s="19" t="s">
        <v>1798</v>
      </c>
      <c r="O2042" s="20">
        <v>5</v>
      </c>
      <c r="P2042" s="20">
        <v>5</v>
      </c>
      <c r="Q2042" s="20">
        <v>222.96024329221254</v>
      </c>
      <c r="R2042" s="21">
        <v>0.91</v>
      </c>
      <c r="S2042" s="20">
        <v>222.96024329221254</v>
      </c>
    </row>
    <row r="2043" spans="2:19" ht="15" customHeight="1" x14ac:dyDescent="0.25">
      <c r="B2043" s="2" t="str">
        <f t="shared" si="62"/>
        <v>PGL_Business_Public Sector_Rebates_Pipe Insulation_Steam Med Valve_CI</v>
      </c>
      <c r="C2043" s="2" t="str">
        <f t="shared" si="63"/>
        <v>PGL_Business_Public Sector_Rebates_Pipe Insulation_Steam Med Valve_CI_2024</v>
      </c>
      <c r="D2043" s="19" t="s">
        <v>1794</v>
      </c>
      <c r="E2043" s="19" t="s">
        <v>3</v>
      </c>
      <c r="F2043" s="19" t="s">
        <v>1430</v>
      </c>
      <c r="G2043" s="19" t="s">
        <v>1429</v>
      </c>
      <c r="H2043" s="19" t="s">
        <v>404</v>
      </c>
      <c r="I2043" s="19" t="s">
        <v>966</v>
      </c>
      <c r="J2043" s="19">
        <v>0</v>
      </c>
      <c r="K2043" s="19" t="s">
        <v>1159</v>
      </c>
      <c r="L2043" s="19">
        <v>2024</v>
      </c>
      <c r="M2043" s="20">
        <v>1</v>
      </c>
      <c r="N2043" s="19" t="s">
        <v>1798</v>
      </c>
      <c r="O2043" s="20">
        <v>5</v>
      </c>
      <c r="P2043" s="20">
        <v>5</v>
      </c>
      <c r="Q2043" s="20">
        <v>222.96024329221254</v>
      </c>
      <c r="R2043" s="21">
        <v>0.91</v>
      </c>
      <c r="S2043" s="20">
        <v>222.96024329221254</v>
      </c>
    </row>
    <row r="2044" spans="2:19" ht="15" customHeight="1" x14ac:dyDescent="0.25">
      <c r="B2044" s="2" t="str">
        <f t="shared" si="62"/>
        <v>PGL_Business_Public Sector_Rebates_Pipe Insulation_Steam Med Valve_CI</v>
      </c>
      <c r="C2044" s="2" t="str">
        <f t="shared" si="63"/>
        <v>PGL_Business_Public Sector_Rebates_Pipe Insulation_Steam Med Valve_CI_2025</v>
      </c>
      <c r="D2044" s="19" t="s">
        <v>1794</v>
      </c>
      <c r="E2044" s="19" t="s">
        <v>3</v>
      </c>
      <c r="F2044" s="19" t="s">
        <v>1430</v>
      </c>
      <c r="G2044" s="19" t="s">
        <v>1429</v>
      </c>
      <c r="H2044" s="19" t="s">
        <v>404</v>
      </c>
      <c r="I2044" s="19" t="s">
        <v>966</v>
      </c>
      <c r="J2044" s="19">
        <v>0</v>
      </c>
      <c r="K2044" s="19" t="s">
        <v>1159</v>
      </c>
      <c r="L2044" s="19">
        <v>2025</v>
      </c>
      <c r="M2044" s="20">
        <v>1</v>
      </c>
      <c r="N2044" s="19" t="s">
        <v>1798</v>
      </c>
      <c r="O2044" s="20">
        <v>5</v>
      </c>
      <c r="P2044" s="20">
        <v>5</v>
      </c>
      <c r="Q2044" s="20">
        <v>222.96024329221254</v>
      </c>
      <c r="R2044" s="21">
        <v>0.91</v>
      </c>
      <c r="S2044" s="20">
        <v>222.96024329221254</v>
      </c>
    </row>
    <row r="2045" spans="2:19" ht="15" customHeight="1" x14ac:dyDescent="0.25">
      <c r="B2045" s="2" t="str">
        <f t="shared" si="62"/>
        <v>PGL_Business_Public Sector_Rebates_Pipe Insulation_Steam Large Valve_CI</v>
      </c>
      <c r="C2045" s="2" t="str">
        <f t="shared" si="63"/>
        <v>PGL_Business_Public Sector_Rebates_Pipe Insulation_Steam Large Valve_CI_2022</v>
      </c>
      <c r="D2045" s="19" t="s">
        <v>1794</v>
      </c>
      <c r="E2045" s="19" t="s">
        <v>3</v>
      </c>
      <c r="F2045" s="19" t="s">
        <v>1430</v>
      </c>
      <c r="G2045" s="19" t="s">
        <v>1429</v>
      </c>
      <c r="H2045" s="19" t="s">
        <v>404</v>
      </c>
      <c r="I2045" s="19" t="s">
        <v>967</v>
      </c>
      <c r="J2045" s="19">
        <v>0</v>
      </c>
      <c r="K2045" s="19" t="s">
        <v>1159</v>
      </c>
      <c r="L2045" s="19">
        <v>2022</v>
      </c>
      <c r="M2045" s="20">
        <v>1</v>
      </c>
      <c r="N2045" s="19" t="s">
        <v>1798</v>
      </c>
      <c r="O2045" s="20">
        <v>10</v>
      </c>
      <c r="P2045" s="20">
        <v>10</v>
      </c>
      <c r="Q2045" s="20">
        <v>978.48726330695672</v>
      </c>
      <c r="R2045" s="21">
        <v>0.91</v>
      </c>
      <c r="S2045" s="20">
        <v>978.48726330695672</v>
      </c>
    </row>
    <row r="2046" spans="2:19" ht="15" customHeight="1" x14ac:dyDescent="0.25">
      <c r="B2046" s="2" t="str">
        <f t="shared" si="62"/>
        <v>PGL_Business_Public Sector_Rebates_Pipe Insulation_Steam Large Valve_CI</v>
      </c>
      <c r="C2046" s="2" t="str">
        <f t="shared" si="63"/>
        <v>PGL_Business_Public Sector_Rebates_Pipe Insulation_Steam Large Valve_CI_2023</v>
      </c>
      <c r="D2046" s="19" t="s">
        <v>1794</v>
      </c>
      <c r="E2046" s="19" t="s">
        <v>3</v>
      </c>
      <c r="F2046" s="19" t="s">
        <v>1430</v>
      </c>
      <c r="G2046" s="19" t="s">
        <v>1429</v>
      </c>
      <c r="H2046" s="19" t="s">
        <v>404</v>
      </c>
      <c r="I2046" s="19" t="s">
        <v>967</v>
      </c>
      <c r="J2046" s="19">
        <v>0</v>
      </c>
      <c r="K2046" s="19" t="s">
        <v>1159</v>
      </c>
      <c r="L2046" s="19">
        <v>2023</v>
      </c>
      <c r="M2046" s="20">
        <v>1</v>
      </c>
      <c r="N2046" s="19" t="s">
        <v>1798</v>
      </c>
      <c r="O2046" s="20">
        <v>10</v>
      </c>
      <c r="P2046" s="20">
        <v>10</v>
      </c>
      <c r="Q2046" s="20">
        <v>978.48726330695672</v>
      </c>
      <c r="R2046" s="21">
        <v>0.91</v>
      </c>
      <c r="S2046" s="20">
        <v>978.48726330695672</v>
      </c>
    </row>
    <row r="2047" spans="2:19" ht="15" customHeight="1" x14ac:dyDescent="0.25">
      <c r="B2047" s="2" t="str">
        <f t="shared" si="62"/>
        <v>PGL_Business_Public Sector_Rebates_Pipe Insulation_Steam Large Valve_CI</v>
      </c>
      <c r="C2047" s="2" t="str">
        <f t="shared" si="63"/>
        <v>PGL_Business_Public Sector_Rebates_Pipe Insulation_Steam Large Valve_CI_2024</v>
      </c>
      <c r="D2047" s="19" t="s">
        <v>1794</v>
      </c>
      <c r="E2047" s="19" t="s">
        <v>3</v>
      </c>
      <c r="F2047" s="19" t="s">
        <v>1430</v>
      </c>
      <c r="G2047" s="19" t="s">
        <v>1429</v>
      </c>
      <c r="H2047" s="19" t="s">
        <v>404</v>
      </c>
      <c r="I2047" s="19" t="s">
        <v>967</v>
      </c>
      <c r="J2047" s="19">
        <v>0</v>
      </c>
      <c r="K2047" s="19" t="s">
        <v>1159</v>
      </c>
      <c r="L2047" s="19">
        <v>2024</v>
      </c>
      <c r="M2047" s="20">
        <v>1</v>
      </c>
      <c r="N2047" s="19" t="s">
        <v>1798</v>
      </c>
      <c r="O2047" s="20">
        <v>10</v>
      </c>
      <c r="P2047" s="20">
        <v>10</v>
      </c>
      <c r="Q2047" s="20">
        <v>978.48726330695672</v>
      </c>
      <c r="R2047" s="21">
        <v>0.91</v>
      </c>
      <c r="S2047" s="20">
        <v>978.48726330695672</v>
      </c>
    </row>
    <row r="2048" spans="2:19" ht="15" customHeight="1" x14ac:dyDescent="0.25">
      <c r="B2048" s="2" t="str">
        <f t="shared" si="62"/>
        <v>PGL_Business_Public Sector_Rebates_Pipe Insulation_Steam Large Valve_CI</v>
      </c>
      <c r="C2048" s="2" t="str">
        <f t="shared" si="63"/>
        <v>PGL_Business_Public Sector_Rebates_Pipe Insulation_Steam Large Valve_CI_2025</v>
      </c>
      <c r="D2048" s="19" t="s">
        <v>1794</v>
      </c>
      <c r="E2048" s="19" t="s">
        <v>3</v>
      </c>
      <c r="F2048" s="19" t="s">
        <v>1430</v>
      </c>
      <c r="G2048" s="19" t="s">
        <v>1429</v>
      </c>
      <c r="H2048" s="19" t="s">
        <v>404</v>
      </c>
      <c r="I2048" s="19" t="s">
        <v>967</v>
      </c>
      <c r="J2048" s="19">
        <v>0</v>
      </c>
      <c r="K2048" s="19" t="s">
        <v>1159</v>
      </c>
      <c r="L2048" s="19">
        <v>2025</v>
      </c>
      <c r="M2048" s="20">
        <v>1</v>
      </c>
      <c r="N2048" s="19" t="s">
        <v>1798</v>
      </c>
      <c r="O2048" s="20">
        <v>10</v>
      </c>
      <c r="P2048" s="20">
        <v>10</v>
      </c>
      <c r="Q2048" s="20">
        <v>978.48726330695672</v>
      </c>
      <c r="R2048" s="21">
        <v>0.91</v>
      </c>
      <c r="S2048" s="20">
        <v>978.48726330695672</v>
      </c>
    </row>
    <row r="2049" spans="2:19" ht="15" customHeight="1" x14ac:dyDescent="0.25">
      <c r="B2049" s="2" t="str">
        <f t="shared" si="62"/>
        <v>PGL_Business_Public Sector_Rebates_Pipe Insulation_Steam X-Large Valve_CI</v>
      </c>
      <c r="C2049" s="2" t="str">
        <f t="shared" si="63"/>
        <v>PGL_Business_Public Sector_Rebates_Pipe Insulation_Steam X-Large Valve_CI_2022</v>
      </c>
      <c r="D2049" s="19" t="s">
        <v>1794</v>
      </c>
      <c r="E2049" s="19" t="s">
        <v>3</v>
      </c>
      <c r="F2049" s="19" t="s">
        <v>1430</v>
      </c>
      <c r="G2049" s="19" t="s">
        <v>1429</v>
      </c>
      <c r="H2049" s="19" t="s">
        <v>404</v>
      </c>
      <c r="I2049" s="19" t="s">
        <v>968</v>
      </c>
      <c r="J2049" s="19">
        <v>0</v>
      </c>
      <c r="K2049" s="19" t="s">
        <v>1159</v>
      </c>
      <c r="L2049" s="19">
        <v>2022</v>
      </c>
      <c r="M2049" s="20">
        <v>1</v>
      </c>
      <c r="N2049" s="19" t="s">
        <v>1798</v>
      </c>
      <c r="O2049" s="20">
        <v>1</v>
      </c>
      <c r="P2049" s="20">
        <v>1</v>
      </c>
      <c r="Q2049" s="20">
        <v>159.30691289384123</v>
      </c>
      <c r="R2049" s="21">
        <v>0.91</v>
      </c>
      <c r="S2049" s="20">
        <v>159.30691289384123</v>
      </c>
    </row>
    <row r="2050" spans="2:19" ht="15" customHeight="1" x14ac:dyDescent="0.25">
      <c r="B2050" s="2" t="str">
        <f t="shared" si="62"/>
        <v>PGL_Business_Public Sector_Rebates_Pipe Insulation_Steam X-Large Valve_CI</v>
      </c>
      <c r="C2050" s="2" t="str">
        <f t="shared" si="63"/>
        <v>PGL_Business_Public Sector_Rebates_Pipe Insulation_Steam X-Large Valve_CI_2023</v>
      </c>
      <c r="D2050" s="19" t="s">
        <v>1794</v>
      </c>
      <c r="E2050" s="19" t="s">
        <v>3</v>
      </c>
      <c r="F2050" s="19" t="s">
        <v>1430</v>
      </c>
      <c r="G2050" s="19" t="s">
        <v>1429</v>
      </c>
      <c r="H2050" s="19" t="s">
        <v>404</v>
      </c>
      <c r="I2050" s="19" t="s">
        <v>968</v>
      </c>
      <c r="J2050" s="19">
        <v>0</v>
      </c>
      <c r="K2050" s="19" t="s">
        <v>1159</v>
      </c>
      <c r="L2050" s="19">
        <v>2023</v>
      </c>
      <c r="M2050" s="20">
        <v>1</v>
      </c>
      <c r="N2050" s="19" t="s">
        <v>1798</v>
      </c>
      <c r="O2050" s="20">
        <v>1</v>
      </c>
      <c r="P2050" s="20">
        <v>1</v>
      </c>
      <c r="Q2050" s="20">
        <v>159.30691289384123</v>
      </c>
      <c r="R2050" s="21">
        <v>0.91</v>
      </c>
      <c r="S2050" s="20">
        <v>159.30691289384123</v>
      </c>
    </row>
    <row r="2051" spans="2:19" ht="15" customHeight="1" x14ac:dyDescent="0.25">
      <c r="B2051" s="2" t="str">
        <f t="shared" si="62"/>
        <v>PGL_Business_Public Sector_Rebates_Pipe Insulation_Steam X-Large Valve_CI</v>
      </c>
      <c r="C2051" s="2" t="str">
        <f t="shared" si="63"/>
        <v>PGL_Business_Public Sector_Rebates_Pipe Insulation_Steam X-Large Valve_CI_2024</v>
      </c>
      <c r="D2051" s="19" t="s">
        <v>1794</v>
      </c>
      <c r="E2051" s="19" t="s">
        <v>3</v>
      </c>
      <c r="F2051" s="19" t="s">
        <v>1430</v>
      </c>
      <c r="G2051" s="19" t="s">
        <v>1429</v>
      </c>
      <c r="H2051" s="19" t="s">
        <v>404</v>
      </c>
      <c r="I2051" s="19" t="s">
        <v>968</v>
      </c>
      <c r="J2051" s="19">
        <v>0</v>
      </c>
      <c r="K2051" s="19" t="s">
        <v>1159</v>
      </c>
      <c r="L2051" s="19">
        <v>2024</v>
      </c>
      <c r="M2051" s="20">
        <v>1</v>
      </c>
      <c r="N2051" s="19" t="s">
        <v>1798</v>
      </c>
      <c r="O2051" s="20">
        <v>1</v>
      </c>
      <c r="P2051" s="20">
        <v>1</v>
      </c>
      <c r="Q2051" s="20">
        <v>159.30691289384123</v>
      </c>
      <c r="R2051" s="21">
        <v>0.91</v>
      </c>
      <c r="S2051" s="20">
        <v>159.30691289384123</v>
      </c>
    </row>
    <row r="2052" spans="2:19" ht="15" customHeight="1" x14ac:dyDescent="0.25">
      <c r="B2052" s="2" t="str">
        <f t="shared" si="62"/>
        <v>PGL_Business_Public Sector_Rebates_Pipe Insulation_Steam X-Large Valve_CI</v>
      </c>
      <c r="C2052" s="2" t="str">
        <f t="shared" si="63"/>
        <v>PGL_Business_Public Sector_Rebates_Pipe Insulation_Steam X-Large Valve_CI_2025</v>
      </c>
      <c r="D2052" s="19" t="s">
        <v>1794</v>
      </c>
      <c r="E2052" s="19" t="s">
        <v>3</v>
      </c>
      <c r="F2052" s="19" t="s">
        <v>1430</v>
      </c>
      <c r="G2052" s="19" t="s">
        <v>1429</v>
      </c>
      <c r="H2052" s="19" t="s">
        <v>404</v>
      </c>
      <c r="I2052" s="19" t="s">
        <v>968</v>
      </c>
      <c r="J2052" s="19">
        <v>0</v>
      </c>
      <c r="K2052" s="19" t="s">
        <v>1159</v>
      </c>
      <c r="L2052" s="19">
        <v>2025</v>
      </c>
      <c r="M2052" s="20">
        <v>1</v>
      </c>
      <c r="N2052" s="19" t="s">
        <v>1798</v>
      </c>
      <c r="O2052" s="20">
        <v>1</v>
      </c>
      <c r="P2052" s="20">
        <v>1</v>
      </c>
      <c r="Q2052" s="20">
        <v>159.30691289384123</v>
      </c>
      <c r="R2052" s="21">
        <v>0.91</v>
      </c>
      <c r="S2052" s="20">
        <v>159.30691289384123</v>
      </c>
    </row>
    <row r="2053" spans="2:19" ht="15" customHeight="1" x14ac:dyDescent="0.25">
      <c r="B2053" s="2" t="str">
        <f t="shared" si="62"/>
        <v>PGL_Business_Public Sector_Rebates_Pre-Rinse Sprayer_0_CI</v>
      </c>
      <c r="C2053" s="2" t="str">
        <f t="shared" si="63"/>
        <v>PGL_Business_Public Sector_Rebates_Pre-Rinse Sprayer_0_CI_2022</v>
      </c>
      <c r="D2053" s="19" t="s">
        <v>1794</v>
      </c>
      <c r="E2053" s="19" t="s">
        <v>3</v>
      </c>
      <c r="F2053" s="19" t="s">
        <v>1430</v>
      </c>
      <c r="G2053" s="19" t="s">
        <v>1429</v>
      </c>
      <c r="H2053" s="19" t="s">
        <v>1219</v>
      </c>
      <c r="I2053" s="19">
        <v>0</v>
      </c>
      <c r="J2053" s="19" t="s">
        <v>43</v>
      </c>
      <c r="K2053" s="19" t="s">
        <v>1159</v>
      </c>
      <c r="L2053" s="19">
        <v>2022</v>
      </c>
      <c r="M2053" s="20">
        <v>1</v>
      </c>
      <c r="N2053" s="19" t="s">
        <v>1798</v>
      </c>
      <c r="O2053" s="20">
        <v>1</v>
      </c>
      <c r="P2053" s="20">
        <v>1</v>
      </c>
      <c r="Q2053" s="20">
        <v>214.55766259200004</v>
      </c>
      <c r="R2053" s="21">
        <v>0.91</v>
      </c>
      <c r="S2053" s="20">
        <v>214.55766259200004</v>
      </c>
    </row>
    <row r="2054" spans="2:19" ht="15" customHeight="1" x14ac:dyDescent="0.25">
      <c r="B2054" s="2" t="str">
        <f t="shared" ref="B2054:B2117" si="64">D2054&amp;"_"&amp;E2054&amp;"_"&amp;F2054&amp;"_"&amp;G2054&amp;"_"&amp;H2054&amp;"_"&amp;I2054&amp;"_"&amp;K2054</f>
        <v>PGL_Business_Public Sector_Rebates_Pre-Rinse Sprayer_0_CI</v>
      </c>
      <c r="C2054" s="2" t="str">
        <f t="shared" ref="C2054:C2117" si="65">D2054&amp;"_"&amp;E2054&amp;"_"&amp;F2054&amp;"_"&amp;G2054&amp;"_"&amp;H2054&amp;"_"&amp;I2054&amp;"_"&amp;K2054&amp;"_"&amp;L2054</f>
        <v>PGL_Business_Public Sector_Rebates_Pre-Rinse Sprayer_0_CI_2023</v>
      </c>
      <c r="D2054" s="19" t="s">
        <v>1794</v>
      </c>
      <c r="E2054" s="19" t="s">
        <v>3</v>
      </c>
      <c r="F2054" s="19" t="s">
        <v>1430</v>
      </c>
      <c r="G2054" s="19" t="s">
        <v>1429</v>
      </c>
      <c r="H2054" s="19" t="s">
        <v>1219</v>
      </c>
      <c r="I2054" s="19">
        <v>0</v>
      </c>
      <c r="J2054" s="19" t="s">
        <v>43</v>
      </c>
      <c r="K2054" s="19" t="s">
        <v>1159</v>
      </c>
      <c r="L2054" s="19">
        <v>2023</v>
      </c>
      <c r="M2054" s="20">
        <v>1</v>
      </c>
      <c r="N2054" s="19" t="s">
        <v>1798</v>
      </c>
      <c r="O2054" s="20">
        <v>1</v>
      </c>
      <c r="P2054" s="20">
        <v>1</v>
      </c>
      <c r="Q2054" s="20">
        <v>214.55766259200004</v>
      </c>
      <c r="R2054" s="21">
        <v>0.91</v>
      </c>
      <c r="S2054" s="20">
        <v>214.55766259200004</v>
      </c>
    </row>
    <row r="2055" spans="2:19" ht="15" customHeight="1" x14ac:dyDescent="0.25">
      <c r="B2055" s="2" t="str">
        <f t="shared" si="64"/>
        <v>PGL_Business_Public Sector_Rebates_Pre-Rinse Sprayer_0_CI</v>
      </c>
      <c r="C2055" s="2" t="str">
        <f t="shared" si="65"/>
        <v>PGL_Business_Public Sector_Rebates_Pre-Rinse Sprayer_0_CI_2024</v>
      </c>
      <c r="D2055" s="19" t="s">
        <v>1794</v>
      </c>
      <c r="E2055" s="19" t="s">
        <v>3</v>
      </c>
      <c r="F2055" s="19" t="s">
        <v>1430</v>
      </c>
      <c r="G2055" s="19" t="s">
        <v>1429</v>
      </c>
      <c r="H2055" s="19" t="s">
        <v>1219</v>
      </c>
      <c r="I2055" s="19">
        <v>0</v>
      </c>
      <c r="J2055" s="19" t="s">
        <v>43</v>
      </c>
      <c r="K2055" s="19" t="s">
        <v>1159</v>
      </c>
      <c r="L2055" s="19">
        <v>2024</v>
      </c>
      <c r="M2055" s="20">
        <v>1</v>
      </c>
      <c r="N2055" s="19" t="s">
        <v>1798</v>
      </c>
      <c r="O2055" s="20">
        <v>1</v>
      </c>
      <c r="P2055" s="20">
        <v>1</v>
      </c>
      <c r="Q2055" s="20">
        <v>214.55766259200004</v>
      </c>
      <c r="R2055" s="21">
        <v>0.91</v>
      </c>
      <c r="S2055" s="20">
        <v>214.55766259200004</v>
      </c>
    </row>
    <row r="2056" spans="2:19" ht="15" customHeight="1" x14ac:dyDescent="0.25">
      <c r="B2056" s="2" t="str">
        <f t="shared" si="64"/>
        <v>PGL_Business_Public Sector_Rebates_Pre-Rinse Sprayer_0_CI</v>
      </c>
      <c r="C2056" s="2" t="str">
        <f t="shared" si="65"/>
        <v>PGL_Business_Public Sector_Rebates_Pre-Rinse Sprayer_0_CI_2025</v>
      </c>
      <c r="D2056" s="19" t="s">
        <v>1794</v>
      </c>
      <c r="E2056" s="19" t="s">
        <v>3</v>
      </c>
      <c r="F2056" s="19" t="s">
        <v>1430</v>
      </c>
      <c r="G2056" s="19" t="s">
        <v>1429</v>
      </c>
      <c r="H2056" s="19" t="s">
        <v>1219</v>
      </c>
      <c r="I2056" s="19">
        <v>0</v>
      </c>
      <c r="J2056" s="19" t="s">
        <v>43</v>
      </c>
      <c r="K2056" s="19" t="s">
        <v>1159</v>
      </c>
      <c r="L2056" s="19">
        <v>2025</v>
      </c>
      <c r="M2056" s="20">
        <v>1</v>
      </c>
      <c r="N2056" s="19" t="s">
        <v>1798</v>
      </c>
      <c r="O2056" s="20">
        <v>1</v>
      </c>
      <c r="P2056" s="20">
        <v>1</v>
      </c>
      <c r="Q2056" s="20">
        <v>214.55766259200004</v>
      </c>
      <c r="R2056" s="21">
        <v>0.91</v>
      </c>
      <c r="S2056" s="20">
        <v>214.55766259200004</v>
      </c>
    </row>
    <row r="2057" spans="2:19" ht="15" customHeight="1" x14ac:dyDescent="0.25">
      <c r="B2057" s="2" t="str">
        <f t="shared" si="64"/>
        <v>PGL_Business_Public Sector_Rebates_Steam Boiler_&gt;=300MBH, &lt;1,500, &gt;=81% AFUE_CI</v>
      </c>
      <c r="C2057" s="2" t="str">
        <f t="shared" si="65"/>
        <v>PGL_Business_Public Sector_Rebates_Steam Boiler_&gt;=300MBH, &lt;1,500, &gt;=81% AFUE_CI_2022</v>
      </c>
      <c r="D2057" s="19" t="s">
        <v>1794</v>
      </c>
      <c r="E2057" s="19" t="s">
        <v>3</v>
      </c>
      <c r="F2057" s="19" t="s">
        <v>1430</v>
      </c>
      <c r="G2057" s="19" t="s">
        <v>1429</v>
      </c>
      <c r="H2057" s="19" t="s">
        <v>938</v>
      </c>
      <c r="I2057" s="19" t="s">
        <v>1300</v>
      </c>
      <c r="J2057" s="19" t="s">
        <v>942</v>
      </c>
      <c r="K2057" s="19" t="s">
        <v>1159</v>
      </c>
      <c r="L2057" s="19">
        <v>2022</v>
      </c>
      <c r="M2057" s="20">
        <v>500</v>
      </c>
      <c r="N2057" s="19" t="s">
        <v>667</v>
      </c>
      <c r="O2057" s="20">
        <v>6</v>
      </c>
      <c r="P2057" s="20">
        <v>3000</v>
      </c>
      <c r="Q2057" s="20">
        <v>1976.5899999999949</v>
      </c>
      <c r="R2057" s="21">
        <v>0.91</v>
      </c>
      <c r="S2057" s="20">
        <v>1976.5899999999949</v>
      </c>
    </row>
    <row r="2058" spans="2:19" ht="15" customHeight="1" x14ac:dyDescent="0.25">
      <c r="B2058" s="2" t="str">
        <f t="shared" si="64"/>
        <v>PGL_Business_Public Sector_Rebates_Steam Boiler_&gt;=300MBH, &lt;1,500, &gt;=81% AFUE_CI</v>
      </c>
      <c r="C2058" s="2" t="str">
        <f t="shared" si="65"/>
        <v>PGL_Business_Public Sector_Rebates_Steam Boiler_&gt;=300MBH, &lt;1,500, &gt;=81% AFUE_CI_2023</v>
      </c>
      <c r="D2058" s="19" t="s">
        <v>1794</v>
      </c>
      <c r="E2058" s="19" t="s">
        <v>3</v>
      </c>
      <c r="F2058" s="19" t="s">
        <v>1430</v>
      </c>
      <c r="G2058" s="19" t="s">
        <v>1429</v>
      </c>
      <c r="H2058" s="19" t="s">
        <v>938</v>
      </c>
      <c r="I2058" s="19" t="s">
        <v>1300</v>
      </c>
      <c r="J2058" s="19" t="s">
        <v>942</v>
      </c>
      <c r="K2058" s="19" t="s">
        <v>1159</v>
      </c>
      <c r="L2058" s="19">
        <v>2023</v>
      </c>
      <c r="M2058" s="20">
        <v>500</v>
      </c>
      <c r="N2058" s="19" t="s">
        <v>667</v>
      </c>
      <c r="O2058" s="20">
        <v>6</v>
      </c>
      <c r="P2058" s="20">
        <v>3000</v>
      </c>
      <c r="Q2058" s="20">
        <v>1976.5899999999949</v>
      </c>
      <c r="R2058" s="21">
        <v>0.91</v>
      </c>
      <c r="S2058" s="20">
        <v>1976.5899999999949</v>
      </c>
    </row>
    <row r="2059" spans="2:19" ht="15" customHeight="1" x14ac:dyDescent="0.25">
      <c r="B2059" s="2" t="str">
        <f t="shared" si="64"/>
        <v>PGL_Business_Public Sector_Rebates_Steam Boiler_&gt;=300MBH, &lt;1,500, &gt;=81% AFUE_CI</v>
      </c>
      <c r="C2059" s="2" t="str">
        <f t="shared" si="65"/>
        <v>PGL_Business_Public Sector_Rebates_Steam Boiler_&gt;=300MBH, &lt;1,500, &gt;=81% AFUE_CI_2024</v>
      </c>
      <c r="D2059" s="19" t="s">
        <v>1794</v>
      </c>
      <c r="E2059" s="19" t="s">
        <v>3</v>
      </c>
      <c r="F2059" s="19" t="s">
        <v>1430</v>
      </c>
      <c r="G2059" s="19" t="s">
        <v>1429</v>
      </c>
      <c r="H2059" s="19" t="s">
        <v>938</v>
      </c>
      <c r="I2059" s="19" t="s">
        <v>1300</v>
      </c>
      <c r="J2059" s="19" t="s">
        <v>942</v>
      </c>
      <c r="K2059" s="19" t="s">
        <v>1159</v>
      </c>
      <c r="L2059" s="19">
        <v>2024</v>
      </c>
      <c r="M2059" s="20">
        <v>500</v>
      </c>
      <c r="N2059" s="19" t="s">
        <v>667</v>
      </c>
      <c r="O2059" s="20">
        <v>6</v>
      </c>
      <c r="P2059" s="20">
        <v>3000</v>
      </c>
      <c r="Q2059" s="20">
        <v>1976.5899999999949</v>
      </c>
      <c r="R2059" s="21">
        <v>0.91</v>
      </c>
      <c r="S2059" s="20">
        <v>1976.5899999999949</v>
      </c>
    </row>
    <row r="2060" spans="2:19" ht="15" customHeight="1" x14ac:dyDescent="0.25">
      <c r="B2060" s="2" t="str">
        <f t="shared" si="64"/>
        <v>PGL_Business_Public Sector_Rebates_Steam Boiler_&gt;=300MBH, &lt;1,500, &gt;=81% AFUE_CI</v>
      </c>
      <c r="C2060" s="2" t="str">
        <f t="shared" si="65"/>
        <v>PGL_Business_Public Sector_Rebates_Steam Boiler_&gt;=300MBH, &lt;1,500, &gt;=81% AFUE_CI_2025</v>
      </c>
      <c r="D2060" s="19" t="s">
        <v>1794</v>
      </c>
      <c r="E2060" s="19" t="s">
        <v>3</v>
      </c>
      <c r="F2060" s="19" t="s">
        <v>1430</v>
      </c>
      <c r="G2060" s="19" t="s">
        <v>1429</v>
      </c>
      <c r="H2060" s="19" t="s">
        <v>938</v>
      </c>
      <c r="I2060" s="19" t="s">
        <v>1300</v>
      </c>
      <c r="J2060" s="19" t="s">
        <v>942</v>
      </c>
      <c r="K2060" s="19" t="s">
        <v>1159</v>
      </c>
      <c r="L2060" s="19">
        <v>2025</v>
      </c>
      <c r="M2060" s="20">
        <v>500</v>
      </c>
      <c r="N2060" s="19" t="s">
        <v>667</v>
      </c>
      <c r="O2060" s="20">
        <v>6</v>
      </c>
      <c r="P2060" s="20">
        <v>3000</v>
      </c>
      <c r="Q2060" s="20">
        <v>1976.5899999999949</v>
      </c>
      <c r="R2060" s="21">
        <v>0.91</v>
      </c>
      <c r="S2060" s="20">
        <v>1976.5899999999949</v>
      </c>
    </row>
    <row r="2061" spans="2:19" ht="15" customHeight="1" x14ac:dyDescent="0.25">
      <c r="B2061" s="2" t="str">
        <f t="shared" si="64"/>
        <v>PGL_Business_Public Sector_Rebates_Steam Traps_Dry Cleaner/Industrial - No Audit_MF/CI/SMB</v>
      </c>
      <c r="C2061" s="2" t="str">
        <f t="shared" si="65"/>
        <v>PGL_Business_Public Sector_Rebates_Steam Traps_Dry Cleaner/Industrial - No Audit_MF/CI/SMB_2022</v>
      </c>
      <c r="D2061" s="19" t="s">
        <v>1794</v>
      </c>
      <c r="E2061" s="19" t="s">
        <v>3</v>
      </c>
      <c r="F2061" s="19" t="s">
        <v>1430</v>
      </c>
      <c r="G2061" s="19" t="s">
        <v>1429</v>
      </c>
      <c r="H2061" s="19" t="s">
        <v>644</v>
      </c>
      <c r="I2061" s="19" t="s">
        <v>1274</v>
      </c>
      <c r="J2061" s="19" t="s">
        <v>37</v>
      </c>
      <c r="K2061" s="19" t="s">
        <v>662</v>
      </c>
      <c r="L2061" s="19">
        <v>2022</v>
      </c>
      <c r="M2061" s="20">
        <v>1</v>
      </c>
      <c r="N2061" s="19" t="s">
        <v>1798</v>
      </c>
      <c r="O2061" s="20">
        <v>0</v>
      </c>
      <c r="P2061" s="20">
        <v>0</v>
      </c>
      <c r="Q2061" s="20">
        <v>0</v>
      </c>
      <c r="R2061" s="21">
        <v>0.91</v>
      </c>
      <c r="S2061" s="20">
        <v>0</v>
      </c>
    </row>
    <row r="2062" spans="2:19" ht="15" customHeight="1" x14ac:dyDescent="0.25">
      <c r="B2062" s="2" t="str">
        <f t="shared" si="64"/>
        <v>PGL_Business_Public Sector_Rebates_Steam Traps_Dry Cleaner/Industrial - No Audit_MF/CI/SMB</v>
      </c>
      <c r="C2062" s="2" t="str">
        <f t="shared" si="65"/>
        <v>PGL_Business_Public Sector_Rebates_Steam Traps_Dry Cleaner/Industrial - No Audit_MF/CI/SMB_2023</v>
      </c>
      <c r="D2062" s="19" t="s">
        <v>1794</v>
      </c>
      <c r="E2062" s="19" t="s">
        <v>3</v>
      </c>
      <c r="F2062" s="19" t="s">
        <v>1430</v>
      </c>
      <c r="G2062" s="19" t="s">
        <v>1429</v>
      </c>
      <c r="H2062" s="19" t="s">
        <v>644</v>
      </c>
      <c r="I2062" s="19" t="s">
        <v>1274</v>
      </c>
      <c r="J2062" s="19" t="s">
        <v>37</v>
      </c>
      <c r="K2062" s="19" t="s">
        <v>662</v>
      </c>
      <c r="L2062" s="19">
        <v>2023</v>
      </c>
      <c r="M2062" s="20">
        <v>1</v>
      </c>
      <c r="N2062" s="19" t="s">
        <v>1798</v>
      </c>
      <c r="O2062" s="20">
        <v>0</v>
      </c>
      <c r="P2062" s="20">
        <v>0</v>
      </c>
      <c r="Q2062" s="20">
        <v>0</v>
      </c>
      <c r="R2062" s="21">
        <v>0.91</v>
      </c>
      <c r="S2062" s="20">
        <v>0</v>
      </c>
    </row>
    <row r="2063" spans="2:19" ht="15" customHeight="1" x14ac:dyDescent="0.25">
      <c r="B2063" s="2" t="str">
        <f t="shared" si="64"/>
        <v>PGL_Business_Public Sector_Rebates_Steam Traps_Dry Cleaner/Industrial - No Audit_MF/CI/SMB</v>
      </c>
      <c r="C2063" s="2" t="str">
        <f t="shared" si="65"/>
        <v>PGL_Business_Public Sector_Rebates_Steam Traps_Dry Cleaner/Industrial - No Audit_MF/CI/SMB_2024</v>
      </c>
      <c r="D2063" s="19" t="s">
        <v>1794</v>
      </c>
      <c r="E2063" s="19" t="s">
        <v>3</v>
      </c>
      <c r="F2063" s="19" t="s">
        <v>1430</v>
      </c>
      <c r="G2063" s="19" t="s">
        <v>1429</v>
      </c>
      <c r="H2063" s="19" t="s">
        <v>644</v>
      </c>
      <c r="I2063" s="19" t="s">
        <v>1274</v>
      </c>
      <c r="J2063" s="19" t="s">
        <v>37</v>
      </c>
      <c r="K2063" s="19" t="s">
        <v>662</v>
      </c>
      <c r="L2063" s="19">
        <v>2024</v>
      </c>
      <c r="M2063" s="20">
        <v>1</v>
      </c>
      <c r="N2063" s="19" t="s">
        <v>1798</v>
      </c>
      <c r="O2063" s="20">
        <v>0</v>
      </c>
      <c r="P2063" s="20">
        <v>0</v>
      </c>
      <c r="Q2063" s="20">
        <v>0</v>
      </c>
      <c r="R2063" s="21">
        <v>0.91</v>
      </c>
      <c r="S2063" s="20">
        <v>0</v>
      </c>
    </row>
    <row r="2064" spans="2:19" ht="15" customHeight="1" x14ac:dyDescent="0.25">
      <c r="B2064" s="2" t="str">
        <f t="shared" si="64"/>
        <v>PGL_Business_Public Sector_Rebates_Steam Traps_Dry Cleaner/Industrial - No Audit_MF/CI/SMB</v>
      </c>
      <c r="C2064" s="2" t="str">
        <f t="shared" si="65"/>
        <v>PGL_Business_Public Sector_Rebates_Steam Traps_Dry Cleaner/Industrial - No Audit_MF/CI/SMB_2025</v>
      </c>
      <c r="D2064" s="19" t="s">
        <v>1794</v>
      </c>
      <c r="E2064" s="19" t="s">
        <v>3</v>
      </c>
      <c r="F2064" s="19" t="s">
        <v>1430</v>
      </c>
      <c r="G2064" s="19" t="s">
        <v>1429</v>
      </c>
      <c r="H2064" s="19" t="s">
        <v>644</v>
      </c>
      <c r="I2064" s="19" t="s">
        <v>1274</v>
      </c>
      <c r="J2064" s="19" t="s">
        <v>37</v>
      </c>
      <c r="K2064" s="19" t="s">
        <v>662</v>
      </c>
      <c r="L2064" s="19">
        <v>2025</v>
      </c>
      <c r="M2064" s="20">
        <v>1</v>
      </c>
      <c r="N2064" s="19" t="s">
        <v>1798</v>
      </c>
      <c r="O2064" s="20">
        <v>0</v>
      </c>
      <c r="P2064" s="20">
        <v>0</v>
      </c>
      <c r="Q2064" s="20">
        <v>0</v>
      </c>
      <c r="R2064" s="21">
        <v>0.91</v>
      </c>
      <c r="S2064" s="20">
        <v>0</v>
      </c>
    </row>
    <row r="2065" spans="2:19" ht="15" customHeight="1" x14ac:dyDescent="0.25">
      <c r="B2065" s="2" t="str">
        <f t="shared" si="64"/>
        <v>PGL_Business_Public Sector_Rebates_Steam Traps_Dry Cleaner/Industrial - Audit_MF/CI/SMB</v>
      </c>
      <c r="C2065" s="2" t="str">
        <f t="shared" si="65"/>
        <v>PGL_Business_Public Sector_Rebates_Steam Traps_Dry Cleaner/Industrial - Audit_MF/CI/SMB_2022</v>
      </c>
      <c r="D2065" s="19" t="s">
        <v>1794</v>
      </c>
      <c r="E2065" s="19" t="s">
        <v>3</v>
      </c>
      <c r="F2065" s="19" t="s">
        <v>1430</v>
      </c>
      <c r="G2065" s="19" t="s">
        <v>1429</v>
      </c>
      <c r="H2065" s="19" t="s">
        <v>644</v>
      </c>
      <c r="I2065" s="19" t="s">
        <v>1275</v>
      </c>
      <c r="J2065" s="19" t="s">
        <v>37</v>
      </c>
      <c r="K2065" s="19" t="s">
        <v>662</v>
      </c>
      <c r="L2065" s="19">
        <v>2022</v>
      </c>
      <c r="M2065" s="20">
        <v>1</v>
      </c>
      <c r="N2065" s="19" t="s">
        <v>1798</v>
      </c>
      <c r="O2065" s="20">
        <v>0</v>
      </c>
      <c r="P2065" s="20">
        <v>0</v>
      </c>
      <c r="Q2065" s="20">
        <v>0</v>
      </c>
      <c r="R2065" s="21">
        <v>0.91</v>
      </c>
      <c r="S2065" s="20">
        <v>0</v>
      </c>
    </row>
    <row r="2066" spans="2:19" ht="15" customHeight="1" x14ac:dyDescent="0.25">
      <c r="B2066" s="2" t="str">
        <f t="shared" si="64"/>
        <v>PGL_Business_Public Sector_Rebates_Steam Traps_Dry Cleaner/Industrial - Audit_MF/CI/SMB</v>
      </c>
      <c r="C2066" s="2" t="str">
        <f t="shared" si="65"/>
        <v>PGL_Business_Public Sector_Rebates_Steam Traps_Dry Cleaner/Industrial - Audit_MF/CI/SMB_2023</v>
      </c>
      <c r="D2066" s="19" t="s">
        <v>1794</v>
      </c>
      <c r="E2066" s="19" t="s">
        <v>3</v>
      </c>
      <c r="F2066" s="19" t="s">
        <v>1430</v>
      </c>
      <c r="G2066" s="19" t="s">
        <v>1429</v>
      </c>
      <c r="H2066" s="19" t="s">
        <v>644</v>
      </c>
      <c r="I2066" s="19" t="s">
        <v>1275</v>
      </c>
      <c r="J2066" s="19" t="s">
        <v>37</v>
      </c>
      <c r="K2066" s="19" t="s">
        <v>662</v>
      </c>
      <c r="L2066" s="19">
        <v>2023</v>
      </c>
      <c r="M2066" s="20">
        <v>1</v>
      </c>
      <c r="N2066" s="19" t="s">
        <v>1798</v>
      </c>
      <c r="O2066" s="20">
        <v>0</v>
      </c>
      <c r="P2066" s="20">
        <v>0</v>
      </c>
      <c r="Q2066" s="20">
        <v>0</v>
      </c>
      <c r="R2066" s="21">
        <v>0.91</v>
      </c>
      <c r="S2066" s="20">
        <v>0</v>
      </c>
    </row>
    <row r="2067" spans="2:19" ht="15" customHeight="1" x14ac:dyDescent="0.25">
      <c r="B2067" s="2" t="str">
        <f t="shared" si="64"/>
        <v>PGL_Business_Public Sector_Rebates_Steam Traps_Dry Cleaner/Industrial - Audit_MF/CI/SMB</v>
      </c>
      <c r="C2067" s="2" t="str">
        <f t="shared" si="65"/>
        <v>PGL_Business_Public Sector_Rebates_Steam Traps_Dry Cleaner/Industrial - Audit_MF/CI/SMB_2024</v>
      </c>
      <c r="D2067" s="19" t="s">
        <v>1794</v>
      </c>
      <c r="E2067" s="19" t="s">
        <v>3</v>
      </c>
      <c r="F2067" s="19" t="s">
        <v>1430</v>
      </c>
      <c r="G2067" s="19" t="s">
        <v>1429</v>
      </c>
      <c r="H2067" s="19" t="s">
        <v>644</v>
      </c>
      <c r="I2067" s="19" t="s">
        <v>1275</v>
      </c>
      <c r="J2067" s="19" t="s">
        <v>37</v>
      </c>
      <c r="K2067" s="19" t="s">
        <v>662</v>
      </c>
      <c r="L2067" s="19">
        <v>2024</v>
      </c>
      <c r="M2067" s="20">
        <v>1</v>
      </c>
      <c r="N2067" s="19" t="s">
        <v>1798</v>
      </c>
      <c r="O2067" s="20">
        <v>0</v>
      </c>
      <c r="P2067" s="20">
        <v>0</v>
      </c>
      <c r="Q2067" s="20">
        <v>0</v>
      </c>
      <c r="R2067" s="21">
        <v>0.91</v>
      </c>
      <c r="S2067" s="20">
        <v>0</v>
      </c>
    </row>
    <row r="2068" spans="2:19" ht="15" customHeight="1" x14ac:dyDescent="0.25">
      <c r="B2068" s="2" t="str">
        <f t="shared" si="64"/>
        <v>PGL_Business_Public Sector_Rebates_Steam Traps_Dry Cleaner/Industrial - Audit_MF/CI/SMB</v>
      </c>
      <c r="C2068" s="2" t="str">
        <f t="shared" si="65"/>
        <v>PGL_Business_Public Sector_Rebates_Steam Traps_Dry Cleaner/Industrial - Audit_MF/CI/SMB_2025</v>
      </c>
      <c r="D2068" s="19" t="s">
        <v>1794</v>
      </c>
      <c r="E2068" s="19" t="s">
        <v>3</v>
      </c>
      <c r="F2068" s="19" t="s">
        <v>1430</v>
      </c>
      <c r="G2068" s="19" t="s">
        <v>1429</v>
      </c>
      <c r="H2068" s="19" t="s">
        <v>644</v>
      </c>
      <c r="I2068" s="19" t="s">
        <v>1275</v>
      </c>
      <c r="J2068" s="19" t="s">
        <v>37</v>
      </c>
      <c r="K2068" s="19" t="s">
        <v>662</v>
      </c>
      <c r="L2068" s="19">
        <v>2025</v>
      </c>
      <c r="M2068" s="20">
        <v>1</v>
      </c>
      <c r="N2068" s="19" t="s">
        <v>1798</v>
      </c>
      <c r="O2068" s="20">
        <v>0</v>
      </c>
      <c r="P2068" s="20">
        <v>0</v>
      </c>
      <c r="Q2068" s="20">
        <v>0</v>
      </c>
      <c r="R2068" s="21">
        <v>0.91</v>
      </c>
      <c r="S2068" s="20">
        <v>0</v>
      </c>
    </row>
    <row r="2069" spans="2:19" ht="15" customHeight="1" x14ac:dyDescent="0.25">
      <c r="B2069" s="2" t="str">
        <f t="shared" si="64"/>
        <v>PGL_Business_Public Sector_Rebates_Steam Traps_HVAC Repair/Rep - Audit_CI</v>
      </c>
      <c r="C2069" s="2" t="str">
        <f t="shared" si="65"/>
        <v>PGL_Business_Public Sector_Rebates_Steam Traps_HVAC Repair/Rep - Audit_CI_2022</v>
      </c>
      <c r="D2069" s="19" t="s">
        <v>1794</v>
      </c>
      <c r="E2069" s="19" t="s">
        <v>3</v>
      </c>
      <c r="F2069" s="19" t="s">
        <v>1430</v>
      </c>
      <c r="G2069" s="19" t="s">
        <v>1429</v>
      </c>
      <c r="H2069" s="19" t="s">
        <v>644</v>
      </c>
      <c r="I2069" s="19" t="s">
        <v>645</v>
      </c>
      <c r="J2069" s="19" t="s">
        <v>37</v>
      </c>
      <c r="K2069" s="19" t="s">
        <v>1159</v>
      </c>
      <c r="L2069" s="19">
        <v>2022</v>
      </c>
      <c r="M2069" s="20">
        <v>1</v>
      </c>
      <c r="N2069" s="19" t="s">
        <v>1798</v>
      </c>
      <c r="O2069" s="20">
        <v>220</v>
      </c>
      <c r="P2069" s="20">
        <v>220</v>
      </c>
      <c r="Q2069" s="20">
        <v>76830.219657884343</v>
      </c>
      <c r="R2069" s="21">
        <v>0.91</v>
      </c>
      <c r="S2069" s="20">
        <v>76830.219657884343</v>
      </c>
    </row>
    <row r="2070" spans="2:19" ht="15" customHeight="1" x14ac:dyDescent="0.25">
      <c r="B2070" s="2" t="str">
        <f t="shared" si="64"/>
        <v>PGL_Business_Public Sector_Rebates_Steam Traps_HVAC Repair/Rep - Audit_CI</v>
      </c>
      <c r="C2070" s="2" t="str">
        <f t="shared" si="65"/>
        <v>PGL_Business_Public Sector_Rebates_Steam Traps_HVAC Repair/Rep - Audit_CI_2023</v>
      </c>
      <c r="D2070" s="19" t="s">
        <v>1794</v>
      </c>
      <c r="E2070" s="19" t="s">
        <v>3</v>
      </c>
      <c r="F2070" s="19" t="s">
        <v>1430</v>
      </c>
      <c r="G2070" s="19" t="s">
        <v>1429</v>
      </c>
      <c r="H2070" s="19" t="s">
        <v>644</v>
      </c>
      <c r="I2070" s="19" t="s">
        <v>645</v>
      </c>
      <c r="J2070" s="19" t="s">
        <v>37</v>
      </c>
      <c r="K2070" s="19" t="s">
        <v>1159</v>
      </c>
      <c r="L2070" s="19">
        <v>2023</v>
      </c>
      <c r="M2070" s="20">
        <v>1</v>
      </c>
      <c r="N2070" s="19" t="s">
        <v>1798</v>
      </c>
      <c r="O2070" s="20">
        <v>220</v>
      </c>
      <c r="P2070" s="20">
        <v>220</v>
      </c>
      <c r="Q2070" s="20">
        <v>76830.219657884343</v>
      </c>
      <c r="R2070" s="21">
        <v>0.91</v>
      </c>
      <c r="S2070" s="20">
        <v>76830.219657884343</v>
      </c>
    </row>
    <row r="2071" spans="2:19" ht="15" customHeight="1" x14ac:dyDescent="0.25">
      <c r="B2071" s="2" t="str">
        <f t="shared" si="64"/>
        <v>PGL_Business_Public Sector_Rebates_Steam Traps_HVAC Repair/Rep - Audit_CI</v>
      </c>
      <c r="C2071" s="2" t="str">
        <f t="shared" si="65"/>
        <v>PGL_Business_Public Sector_Rebates_Steam Traps_HVAC Repair/Rep - Audit_CI_2024</v>
      </c>
      <c r="D2071" s="19" t="s">
        <v>1794</v>
      </c>
      <c r="E2071" s="19" t="s">
        <v>3</v>
      </c>
      <c r="F2071" s="19" t="s">
        <v>1430</v>
      </c>
      <c r="G2071" s="19" t="s">
        <v>1429</v>
      </c>
      <c r="H2071" s="19" t="s">
        <v>644</v>
      </c>
      <c r="I2071" s="19" t="s">
        <v>645</v>
      </c>
      <c r="J2071" s="19" t="s">
        <v>37</v>
      </c>
      <c r="K2071" s="19" t="s">
        <v>1159</v>
      </c>
      <c r="L2071" s="19">
        <v>2024</v>
      </c>
      <c r="M2071" s="20">
        <v>1</v>
      </c>
      <c r="N2071" s="19" t="s">
        <v>1798</v>
      </c>
      <c r="O2071" s="20">
        <v>220</v>
      </c>
      <c r="P2071" s="20">
        <v>220</v>
      </c>
      <c r="Q2071" s="20">
        <v>76830.219657884343</v>
      </c>
      <c r="R2071" s="21">
        <v>0.91</v>
      </c>
      <c r="S2071" s="20">
        <v>76830.219657884343</v>
      </c>
    </row>
    <row r="2072" spans="2:19" ht="15" customHeight="1" x14ac:dyDescent="0.25">
      <c r="B2072" s="2" t="str">
        <f t="shared" si="64"/>
        <v>PGL_Business_Public Sector_Rebates_Steam Traps_HVAC Repair/Rep - Audit_CI</v>
      </c>
      <c r="C2072" s="2" t="str">
        <f t="shared" si="65"/>
        <v>PGL_Business_Public Sector_Rebates_Steam Traps_HVAC Repair/Rep - Audit_CI_2025</v>
      </c>
      <c r="D2072" s="19" t="s">
        <v>1794</v>
      </c>
      <c r="E2072" s="19" t="s">
        <v>3</v>
      </c>
      <c r="F2072" s="19" t="s">
        <v>1430</v>
      </c>
      <c r="G2072" s="19" t="s">
        <v>1429</v>
      </c>
      <c r="H2072" s="19" t="s">
        <v>644</v>
      </c>
      <c r="I2072" s="19" t="s">
        <v>645</v>
      </c>
      <c r="J2072" s="19" t="s">
        <v>37</v>
      </c>
      <c r="K2072" s="19" t="s">
        <v>1159</v>
      </c>
      <c r="L2072" s="19">
        <v>2025</v>
      </c>
      <c r="M2072" s="20">
        <v>1</v>
      </c>
      <c r="N2072" s="19" t="s">
        <v>1798</v>
      </c>
      <c r="O2072" s="20">
        <v>220</v>
      </c>
      <c r="P2072" s="20">
        <v>220</v>
      </c>
      <c r="Q2072" s="20">
        <v>76830.219657884343</v>
      </c>
      <c r="R2072" s="21">
        <v>0.91</v>
      </c>
      <c r="S2072" s="20">
        <v>76830.219657884343</v>
      </c>
    </row>
    <row r="2073" spans="2:19" ht="15" customHeight="1" x14ac:dyDescent="0.25">
      <c r="B2073" s="2" t="str">
        <f t="shared" si="64"/>
        <v>PGL_Business_Public Sector_Rebates_Steam Traps_HVAC Repair/Rep - No Audit_CI</v>
      </c>
      <c r="C2073" s="2" t="str">
        <f t="shared" si="65"/>
        <v>PGL_Business_Public Sector_Rebates_Steam Traps_HVAC Repair/Rep - No Audit_CI_2022</v>
      </c>
      <c r="D2073" s="19" t="s">
        <v>1794</v>
      </c>
      <c r="E2073" s="19" t="s">
        <v>3</v>
      </c>
      <c r="F2073" s="19" t="s">
        <v>1430</v>
      </c>
      <c r="G2073" s="19" t="s">
        <v>1429</v>
      </c>
      <c r="H2073" s="19" t="s">
        <v>644</v>
      </c>
      <c r="I2073" s="19" t="s">
        <v>660</v>
      </c>
      <c r="J2073" s="19" t="s">
        <v>37</v>
      </c>
      <c r="K2073" s="19" t="s">
        <v>1159</v>
      </c>
      <c r="L2073" s="19">
        <v>2022</v>
      </c>
      <c r="M2073" s="20">
        <v>1</v>
      </c>
      <c r="N2073" s="19" t="s">
        <v>1798</v>
      </c>
      <c r="O2073" s="20">
        <v>85</v>
      </c>
      <c r="P2073" s="20">
        <v>85</v>
      </c>
      <c r="Q2073" s="20">
        <v>8014.7888234020265</v>
      </c>
      <c r="R2073" s="21">
        <v>0.91</v>
      </c>
      <c r="S2073" s="20">
        <v>8014.7888234020265</v>
      </c>
    </row>
    <row r="2074" spans="2:19" ht="15" customHeight="1" x14ac:dyDescent="0.25">
      <c r="B2074" s="2" t="str">
        <f t="shared" si="64"/>
        <v>PGL_Business_Public Sector_Rebates_Steam Traps_HVAC Repair/Rep - No Audit_CI</v>
      </c>
      <c r="C2074" s="2" t="str">
        <f t="shared" si="65"/>
        <v>PGL_Business_Public Sector_Rebates_Steam Traps_HVAC Repair/Rep - No Audit_CI_2023</v>
      </c>
      <c r="D2074" s="19" t="s">
        <v>1794</v>
      </c>
      <c r="E2074" s="19" t="s">
        <v>3</v>
      </c>
      <c r="F2074" s="19" t="s">
        <v>1430</v>
      </c>
      <c r="G2074" s="19" t="s">
        <v>1429</v>
      </c>
      <c r="H2074" s="19" t="s">
        <v>644</v>
      </c>
      <c r="I2074" s="19" t="s">
        <v>660</v>
      </c>
      <c r="J2074" s="19" t="s">
        <v>37</v>
      </c>
      <c r="K2074" s="19" t="s">
        <v>1159</v>
      </c>
      <c r="L2074" s="19">
        <v>2023</v>
      </c>
      <c r="M2074" s="20">
        <v>1</v>
      </c>
      <c r="N2074" s="19" t="s">
        <v>1798</v>
      </c>
      <c r="O2074" s="20">
        <v>85</v>
      </c>
      <c r="P2074" s="20">
        <v>85</v>
      </c>
      <c r="Q2074" s="20">
        <v>8014.7888234020265</v>
      </c>
      <c r="R2074" s="21">
        <v>0.91</v>
      </c>
      <c r="S2074" s="20">
        <v>8014.7888234020265</v>
      </c>
    </row>
    <row r="2075" spans="2:19" ht="15" customHeight="1" x14ac:dyDescent="0.25">
      <c r="B2075" s="2" t="str">
        <f t="shared" si="64"/>
        <v>PGL_Business_Public Sector_Rebates_Steam Traps_HVAC Repair/Rep - No Audit_CI</v>
      </c>
      <c r="C2075" s="2" t="str">
        <f t="shared" si="65"/>
        <v>PGL_Business_Public Sector_Rebates_Steam Traps_HVAC Repair/Rep - No Audit_CI_2024</v>
      </c>
      <c r="D2075" s="19" t="s">
        <v>1794</v>
      </c>
      <c r="E2075" s="19" t="s">
        <v>3</v>
      </c>
      <c r="F2075" s="19" t="s">
        <v>1430</v>
      </c>
      <c r="G2075" s="19" t="s">
        <v>1429</v>
      </c>
      <c r="H2075" s="19" t="s">
        <v>644</v>
      </c>
      <c r="I2075" s="19" t="s">
        <v>660</v>
      </c>
      <c r="J2075" s="19" t="s">
        <v>37</v>
      </c>
      <c r="K2075" s="19" t="s">
        <v>1159</v>
      </c>
      <c r="L2075" s="19">
        <v>2024</v>
      </c>
      <c r="M2075" s="20">
        <v>1</v>
      </c>
      <c r="N2075" s="19" t="s">
        <v>1798</v>
      </c>
      <c r="O2075" s="20">
        <v>85</v>
      </c>
      <c r="P2075" s="20">
        <v>85</v>
      </c>
      <c r="Q2075" s="20">
        <v>8014.7888234020265</v>
      </c>
      <c r="R2075" s="21">
        <v>0.91</v>
      </c>
      <c r="S2075" s="20">
        <v>8014.7888234020265</v>
      </c>
    </row>
    <row r="2076" spans="2:19" ht="15" customHeight="1" x14ac:dyDescent="0.25">
      <c r="B2076" s="2" t="str">
        <f t="shared" si="64"/>
        <v>PGL_Business_Public Sector_Rebates_Steam Traps_HVAC Repair/Rep - No Audit_CI</v>
      </c>
      <c r="C2076" s="2" t="str">
        <f t="shared" si="65"/>
        <v>PGL_Business_Public Sector_Rebates_Steam Traps_HVAC Repair/Rep - No Audit_CI_2025</v>
      </c>
      <c r="D2076" s="19" t="s">
        <v>1794</v>
      </c>
      <c r="E2076" s="19" t="s">
        <v>3</v>
      </c>
      <c r="F2076" s="19" t="s">
        <v>1430</v>
      </c>
      <c r="G2076" s="19" t="s">
        <v>1429</v>
      </c>
      <c r="H2076" s="19" t="s">
        <v>644</v>
      </c>
      <c r="I2076" s="19" t="s">
        <v>660</v>
      </c>
      <c r="J2076" s="19" t="s">
        <v>37</v>
      </c>
      <c r="K2076" s="19" t="s">
        <v>1159</v>
      </c>
      <c r="L2076" s="19">
        <v>2025</v>
      </c>
      <c r="M2076" s="20">
        <v>1</v>
      </c>
      <c r="N2076" s="19" t="s">
        <v>1798</v>
      </c>
      <c r="O2076" s="20">
        <v>85</v>
      </c>
      <c r="P2076" s="20">
        <v>85</v>
      </c>
      <c r="Q2076" s="20">
        <v>8014.7888234020265</v>
      </c>
      <c r="R2076" s="21">
        <v>0.91</v>
      </c>
      <c r="S2076" s="20">
        <v>8014.7888234020265</v>
      </c>
    </row>
    <row r="2077" spans="2:19" ht="15" customHeight="1" x14ac:dyDescent="0.25">
      <c r="B2077" s="2" t="str">
        <f t="shared" si="64"/>
        <v>PGL_Business_Public Sector_Rebates_Steam Traps_Industrial/Process Audit - psig ≤ 15_CI/SMB</v>
      </c>
      <c r="C2077" s="2" t="str">
        <f t="shared" si="65"/>
        <v>PGL_Business_Public Sector_Rebates_Steam Traps_Industrial/Process Audit - psig ≤ 15_CI/SMB_2022</v>
      </c>
      <c r="D2077" s="19" t="s">
        <v>1794</v>
      </c>
      <c r="E2077" s="19" t="s">
        <v>3</v>
      </c>
      <c r="F2077" s="19" t="s">
        <v>1430</v>
      </c>
      <c r="G2077" s="19" t="s">
        <v>1429</v>
      </c>
      <c r="H2077" s="19" t="s">
        <v>644</v>
      </c>
      <c r="I2077" s="19" t="s">
        <v>1383</v>
      </c>
      <c r="J2077" s="19" t="s">
        <v>37</v>
      </c>
      <c r="K2077" s="19" t="s">
        <v>970</v>
      </c>
      <c r="L2077" s="19">
        <v>2022</v>
      </c>
      <c r="M2077" s="20">
        <v>1</v>
      </c>
      <c r="N2077" s="19" t="s">
        <v>1798</v>
      </c>
      <c r="O2077" s="20">
        <v>1</v>
      </c>
      <c r="P2077" s="20">
        <v>1</v>
      </c>
      <c r="Q2077" s="20">
        <v>717.87255940634725</v>
      </c>
      <c r="R2077" s="21">
        <v>0.91</v>
      </c>
      <c r="S2077" s="20">
        <v>717.87255940634725</v>
      </c>
    </row>
    <row r="2078" spans="2:19" ht="15" customHeight="1" x14ac:dyDescent="0.25">
      <c r="B2078" s="2" t="str">
        <f t="shared" si="64"/>
        <v>PGL_Business_Public Sector_Rebates_Steam Traps_Industrial/Process Audit - psig ≤ 15_CI/SMB</v>
      </c>
      <c r="C2078" s="2" t="str">
        <f t="shared" si="65"/>
        <v>PGL_Business_Public Sector_Rebates_Steam Traps_Industrial/Process Audit - psig ≤ 15_CI/SMB_2023</v>
      </c>
      <c r="D2078" s="19" t="s">
        <v>1794</v>
      </c>
      <c r="E2078" s="19" t="s">
        <v>3</v>
      </c>
      <c r="F2078" s="19" t="s">
        <v>1430</v>
      </c>
      <c r="G2078" s="19" t="s">
        <v>1429</v>
      </c>
      <c r="H2078" s="19" t="s">
        <v>644</v>
      </c>
      <c r="I2078" s="19" t="s">
        <v>1383</v>
      </c>
      <c r="J2078" s="19" t="s">
        <v>37</v>
      </c>
      <c r="K2078" s="19" t="s">
        <v>970</v>
      </c>
      <c r="L2078" s="19">
        <v>2023</v>
      </c>
      <c r="M2078" s="20">
        <v>1</v>
      </c>
      <c r="N2078" s="19" t="s">
        <v>1798</v>
      </c>
      <c r="O2078" s="20">
        <v>1</v>
      </c>
      <c r="P2078" s="20">
        <v>1</v>
      </c>
      <c r="Q2078" s="20">
        <v>717.87255940634725</v>
      </c>
      <c r="R2078" s="21">
        <v>0.91</v>
      </c>
      <c r="S2078" s="20">
        <v>717.87255940634725</v>
      </c>
    </row>
    <row r="2079" spans="2:19" ht="15" customHeight="1" x14ac:dyDescent="0.25">
      <c r="B2079" s="2" t="str">
        <f t="shared" si="64"/>
        <v>PGL_Business_Public Sector_Rebates_Steam Traps_Industrial/Process Audit - psig ≤ 15_CI/SMB</v>
      </c>
      <c r="C2079" s="2" t="str">
        <f t="shared" si="65"/>
        <v>PGL_Business_Public Sector_Rebates_Steam Traps_Industrial/Process Audit - psig ≤ 15_CI/SMB_2024</v>
      </c>
      <c r="D2079" s="19" t="s">
        <v>1794</v>
      </c>
      <c r="E2079" s="19" t="s">
        <v>3</v>
      </c>
      <c r="F2079" s="19" t="s">
        <v>1430</v>
      </c>
      <c r="G2079" s="19" t="s">
        <v>1429</v>
      </c>
      <c r="H2079" s="19" t="s">
        <v>644</v>
      </c>
      <c r="I2079" s="19" t="s">
        <v>1383</v>
      </c>
      <c r="J2079" s="19" t="s">
        <v>37</v>
      </c>
      <c r="K2079" s="19" t="s">
        <v>970</v>
      </c>
      <c r="L2079" s="19">
        <v>2024</v>
      </c>
      <c r="M2079" s="20">
        <v>1</v>
      </c>
      <c r="N2079" s="19" t="s">
        <v>1798</v>
      </c>
      <c r="O2079" s="20">
        <v>1</v>
      </c>
      <c r="P2079" s="20">
        <v>1</v>
      </c>
      <c r="Q2079" s="20">
        <v>717.87255940634725</v>
      </c>
      <c r="R2079" s="21">
        <v>0.91</v>
      </c>
      <c r="S2079" s="20">
        <v>717.87255940634725</v>
      </c>
    </row>
    <row r="2080" spans="2:19" ht="15" customHeight="1" x14ac:dyDescent="0.25">
      <c r="B2080" s="2" t="str">
        <f t="shared" si="64"/>
        <v>PGL_Business_Public Sector_Rebates_Steam Traps_Industrial/Process Audit - psig ≤ 15_CI/SMB</v>
      </c>
      <c r="C2080" s="2" t="str">
        <f t="shared" si="65"/>
        <v>PGL_Business_Public Sector_Rebates_Steam Traps_Industrial/Process Audit - psig ≤ 15_CI/SMB_2025</v>
      </c>
      <c r="D2080" s="19" t="s">
        <v>1794</v>
      </c>
      <c r="E2080" s="19" t="s">
        <v>3</v>
      </c>
      <c r="F2080" s="19" t="s">
        <v>1430</v>
      </c>
      <c r="G2080" s="19" t="s">
        <v>1429</v>
      </c>
      <c r="H2080" s="19" t="s">
        <v>644</v>
      </c>
      <c r="I2080" s="19" t="s">
        <v>1383</v>
      </c>
      <c r="J2080" s="19" t="s">
        <v>37</v>
      </c>
      <c r="K2080" s="19" t="s">
        <v>970</v>
      </c>
      <c r="L2080" s="19">
        <v>2025</v>
      </c>
      <c r="M2080" s="20">
        <v>1</v>
      </c>
      <c r="N2080" s="19" t="s">
        <v>1798</v>
      </c>
      <c r="O2080" s="20">
        <v>1</v>
      </c>
      <c r="P2080" s="20">
        <v>1</v>
      </c>
      <c r="Q2080" s="20">
        <v>717.87255940634725</v>
      </c>
      <c r="R2080" s="21">
        <v>0.91</v>
      </c>
      <c r="S2080" s="20">
        <v>717.87255940634725</v>
      </c>
    </row>
    <row r="2081" spans="2:19" ht="15" customHeight="1" x14ac:dyDescent="0.25">
      <c r="B2081" s="2" t="str">
        <f t="shared" si="64"/>
        <v>PGL_Business_Public Sector_Rebates_Steam Traps_Industrial/Process Audit - 15 &lt; psig &lt; 30_CI/SMB</v>
      </c>
      <c r="C2081" s="2" t="str">
        <f t="shared" si="65"/>
        <v>PGL_Business_Public Sector_Rebates_Steam Traps_Industrial/Process Audit - 15 &lt; psig &lt; 30_CI/SMB_2022</v>
      </c>
      <c r="D2081" s="19" t="s">
        <v>1794</v>
      </c>
      <c r="E2081" s="19" t="s">
        <v>3</v>
      </c>
      <c r="F2081" s="19" t="s">
        <v>1430</v>
      </c>
      <c r="G2081" s="19" t="s">
        <v>1429</v>
      </c>
      <c r="H2081" s="19" t="s">
        <v>644</v>
      </c>
      <c r="I2081" s="19" t="s">
        <v>1384</v>
      </c>
      <c r="J2081" s="19" t="s">
        <v>37</v>
      </c>
      <c r="K2081" s="19" t="s">
        <v>970</v>
      </c>
      <c r="L2081" s="19">
        <v>2022</v>
      </c>
      <c r="M2081" s="20">
        <v>1</v>
      </c>
      <c r="N2081" s="19" t="s">
        <v>1798</v>
      </c>
      <c r="O2081" s="20">
        <v>2</v>
      </c>
      <c r="P2081" s="20">
        <v>2</v>
      </c>
      <c r="Q2081" s="20">
        <v>1379.870186486786</v>
      </c>
      <c r="R2081" s="21">
        <v>0.91</v>
      </c>
      <c r="S2081" s="20">
        <v>1379.870186486786</v>
      </c>
    </row>
    <row r="2082" spans="2:19" ht="15" customHeight="1" x14ac:dyDescent="0.25">
      <c r="B2082" s="2" t="str">
        <f t="shared" si="64"/>
        <v>PGL_Business_Public Sector_Rebates_Steam Traps_Industrial/Process Audit - 15 &lt; psig &lt; 30_CI/SMB</v>
      </c>
      <c r="C2082" s="2" t="str">
        <f t="shared" si="65"/>
        <v>PGL_Business_Public Sector_Rebates_Steam Traps_Industrial/Process Audit - 15 &lt; psig &lt; 30_CI/SMB_2023</v>
      </c>
      <c r="D2082" s="19" t="s">
        <v>1794</v>
      </c>
      <c r="E2082" s="19" t="s">
        <v>3</v>
      </c>
      <c r="F2082" s="19" t="s">
        <v>1430</v>
      </c>
      <c r="G2082" s="19" t="s">
        <v>1429</v>
      </c>
      <c r="H2082" s="19" t="s">
        <v>644</v>
      </c>
      <c r="I2082" s="19" t="s">
        <v>1384</v>
      </c>
      <c r="J2082" s="19" t="s">
        <v>37</v>
      </c>
      <c r="K2082" s="19" t="s">
        <v>970</v>
      </c>
      <c r="L2082" s="19">
        <v>2023</v>
      </c>
      <c r="M2082" s="20">
        <v>1</v>
      </c>
      <c r="N2082" s="19" t="s">
        <v>1798</v>
      </c>
      <c r="O2082" s="20">
        <v>2</v>
      </c>
      <c r="P2082" s="20">
        <v>2</v>
      </c>
      <c r="Q2082" s="20">
        <v>1379.870186486786</v>
      </c>
      <c r="R2082" s="21">
        <v>0.91</v>
      </c>
      <c r="S2082" s="20">
        <v>1379.870186486786</v>
      </c>
    </row>
    <row r="2083" spans="2:19" ht="15" customHeight="1" x14ac:dyDescent="0.25">
      <c r="B2083" s="2" t="str">
        <f t="shared" si="64"/>
        <v>PGL_Business_Public Sector_Rebates_Steam Traps_Industrial/Process Audit - 15 &lt; psig &lt; 30_CI/SMB</v>
      </c>
      <c r="C2083" s="2" t="str">
        <f t="shared" si="65"/>
        <v>PGL_Business_Public Sector_Rebates_Steam Traps_Industrial/Process Audit - 15 &lt; psig &lt; 30_CI/SMB_2024</v>
      </c>
      <c r="D2083" s="19" t="s">
        <v>1794</v>
      </c>
      <c r="E2083" s="19" t="s">
        <v>3</v>
      </c>
      <c r="F2083" s="19" t="s">
        <v>1430</v>
      </c>
      <c r="G2083" s="19" t="s">
        <v>1429</v>
      </c>
      <c r="H2083" s="19" t="s">
        <v>644</v>
      </c>
      <c r="I2083" s="19" t="s">
        <v>1384</v>
      </c>
      <c r="J2083" s="19" t="s">
        <v>37</v>
      </c>
      <c r="K2083" s="19" t="s">
        <v>970</v>
      </c>
      <c r="L2083" s="19">
        <v>2024</v>
      </c>
      <c r="M2083" s="20">
        <v>1</v>
      </c>
      <c r="N2083" s="19" t="s">
        <v>1798</v>
      </c>
      <c r="O2083" s="20">
        <v>2</v>
      </c>
      <c r="P2083" s="20">
        <v>2</v>
      </c>
      <c r="Q2083" s="20">
        <v>1379.870186486786</v>
      </c>
      <c r="R2083" s="21">
        <v>0.91</v>
      </c>
      <c r="S2083" s="20">
        <v>1379.870186486786</v>
      </c>
    </row>
    <row r="2084" spans="2:19" ht="15" customHeight="1" x14ac:dyDescent="0.25">
      <c r="B2084" s="2" t="str">
        <f t="shared" si="64"/>
        <v>PGL_Business_Public Sector_Rebates_Steam Traps_Industrial/Process Audit - 15 &lt; psig &lt; 30_CI/SMB</v>
      </c>
      <c r="C2084" s="2" t="str">
        <f t="shared" si="65"/>
        <v>PGL_Business_Public Sector_Rebates_Steam Traps_Industrial/Process Audit - 15 &lt; psig &lt; 30_CI/SMB_2025</v>
      </c>
      <c r="D2084" s="19" t="s">
        <v>1794</v>
      </c>
      <c r="E2084" s="19" t="s">
        <v>3</v>
      </c>
      <c r="F2084" s="19" t="s">
        <v>1430</v>
      </c>
      <c r="G2084" s="19" t="s">
        <v>1429</v>
      </c>
      <c r="H2084" s="19" t="s">
        <v>644</v>
      </c>
      <c r="I2084" s="19" t="s">
        <v>1384</v>
      </c>
      <c r="J2084" s="19" t="s">
        <v>37</v>
      </c>
      <c r="K2084" s="19" t="s">
        <v>970</v>
      </c>
      <c r="L2084" s="19">
        <v>2025</v>
      </c>
      <c r="M2084" s="20">
        <v>1</v>
      </c>
      <c r="N2084" s="19" t="s">
        <v>1798</v>
      </c>
      <c r="O2084" s="20">
        <v>2</v>
      </c>
      <c r="P2084" s="20">
        <v>2</v>
      </c>
      <c r="Q2084" s="20">
        <v>1379.870186486786</v>
      </c>
      <c r="R2084" s="21">
        <v>0.91</v>
      </c>
      <c r="S2084" s="20">
        <v>1379.870186486786</v>
      </c>
    </row>
    <row r="2085" spans="2:19" ht="15" customHeight="1" x14ac:dyDescent="0.25">
      <c r="B2085" s="2" t="str">
        <f t="shared" si="64"/>
        <v>PGL_Business_Public Sector_Rebates_Steam Traps_Industrial/Process Audit - 30 ≤ psig &lt; 75_CI/SMB</v>
      </c>
      <c r="C2085" s="2" t="str">
        <f t="shared" si="65"/>
        <v>PGL_Business_Public Sector_Rebates_Steam Traps_Industrial/Process Audit - 30 ≤ psig &lt; 75_CI/SMB_2022</v>
      </c>
      <c r="D2085" s="19" t="s">
        <v>1794</v>
      </c>
      <c r="E2085" s="19" t="s">
        <v>3</v>
      </c>
      <c r="F2085" s="19" t="s">
        <v>1430</v>
      </c>
      <c r="G2085" s="19" t="s">
        <v>1429</v>
      </c>
      <c r="H2085" s="19" t="s">
        <v>644</v>
      </c>
      <c r="I2085" s="19" t="s">
        <v>1385</v>
      </c>
      <c r="J2085" s="19" t="s">
        <v>37</v>
      </c>
      <c r="K2085" s="19" t="s">
        <v>970</v>
      </c>
      <c r="L2085" s="19">
        <v>2022</v>
      </c>
      <c r="M2085" s="20">
        <v>1</v>
      </c>
      <c r="N2085" s="19" t="s">
        <v>1798</v>
      </c>
      <c r="O2085" s="20">
        <v>1</v>
      </c>
      <c r="P2085" s="20">
        <v>1</v>
      </c>
      <c r="Q2085" s="20">
        <v>2527.6739524977297</v>
      </c>
      <c r="R2085" s="21">
        <v>0.91</v>
      </c>
      <c r="S2085" s="20">
        <v>2527.6739524977297</v>
      </c>
    </row>
    <row r="2086" spans="2:19" ht="15" customHeight="1" x14ac:dyDescent="0.25">
      <c r="B2086" s="2" t="str">
        <f t="shared" si="64"/>
        <v>PGL_Business_Public Sector_Rebates_Steam Traps_Industrial/Process Audit - 30 ≤ psig &lt; 75_CI/SMB</v>
      </c>
      <c r="C2086" s="2" t="str">
        <f t="shared" si="65"/>
        <v>PGL_Business_Public Sector_Rebates_Steam Traps_Industrial/Process Audit - 30 ≤ psig &lt; 75_CI/SMB_2023</v>
      </c>
      <c r="D2086" s="19" t="s">
        <v>1794</v>
      </c>
      <c r="E2086" s="19" t="s">
        <v>3</v>
      </c>
      <c r="F2086" s="19" t="s">
        <v>1430</v>
      </c>
      <c r="G2086" s="19" t="s">
        <v>1429</v>
      </c>
      <c r="H2086" s="19" t="s">
        <v>644</v>
      </c>
      <c r="I2086" s="19" t="s">
        <v>1385</v>
      </c>
      <c r="J2086" s="19" t="s">
        <v>37</v>
      </c>
      <c r="K2086" s="19" t="s">
        <v>970</v>
      </c>
      <c r="L2086" s="19">
        <v>2023</v>
      </c>
      <c r="M2086" s="20">
        <v>1</v>
      </c>
      <c r="N2086" s="19" t="s">
        <v>1798</v>
      </c>
      <c r="O2086" s="20">
        <v>1</v>
      </c>
      <c r="P2086" s="20">
        <v>1</v>
      </c>
      <c r="Q2086" s="20">
        <v>2527.6739524977297</v>
      </c>
      <c r="R2086" s="21">
        <v>0.91</v>
      </c>
      <c r="S2086" s="20">
        <v>2527.6739524977297</v>
      </c>
    </row>
    <row r="2087" spans="2:19" ht="15" customHeight="1" x14ac:dyDescent="0.25">
      <c r="B2087" s="2" t="str">
        <f t="shared" si="64"/>
        <v>PGL_Business_Public Sector_Rebates_Steam Traps_Industrial/Process Audit - 30 ≤ psig &lt; 75_CI/SMB</v>
      </c>
      <c r="C2087" s="2" t="str">
        <f t="shared" si="65"/>
        <v>PGL_Business_Public Sector_Rebates_Steam Traps_Industrial/Process Audit - 30 ≤ psig &lt; 75_CI/SMB_2024</v>
      </c>
      <c r="D2087" s="19" t="s">
        <v>1794</v>
      </c>
      <c r="E2087" s="19" t="s">
        <v>3</v>
      </c>
      <c r="F2087" s="19" t="s">
        <v>1430</v>
      </c>
      <c r="G2087" s="19" t="s">
        <v>1429</v>
      </c>
      <c r="H2087" s="19" t="s">
        <v>644</v>
      </c>
      <c r="I2087" s="19" t="s">
        <v>1385</v>
      </c>
      <c r="J2087" s="19" t="s">
        <v>37</v>
      </c>
      <c r="K2087" s="19" t="s">
        <v>970</v>
      </c>
      <c r="L2087" s="19">
        <v>2024</v>
      </c>
      <c r="M2087" s="20">
        <v>1</v>
      </c>
      <c r="N2087" s="19" t="s">
        <v>1798</v>
      </c>
      <c r="O2087" s="20">
        <v>1</v>
      </c>
      <c r="P2087" s="20">
        <v>1</v>
      </c>
      <c r="Q2087" s="20">
        <v>2527.6739524977297</v>
      </c>
      <c r="R2087" s="21">
        <v>0.91</v>
      </c>
      <c r="S2087" s="20">
        <v>2527.6739524977297</v>
      </c>
    </row>
    <row r="2088" spans="2:19" ht="15" customHeight="1" x14ac:dyDescent="0.25">
      <c r="B2088" s="2" t="str">
        <f t="shared" si="64"/>
        <v>PGL_Business_Public Sector_Rebates_Steam Traps_Industrial/Process Audit - 30 ≤ psig &lt; 75_CI/SMB</v>
      </c>
      <c r="C2088" s="2" t="str">
        <f t="shared" si="65"/>
        <v>PGL_Business_Public Sector_Rebates_Steam Traps_Industrial/Process Audit - 30 ≤ psig &lt; 75_CI/SMB_2025</v>
      </c>
      <c r="D2088" s="19" t="s">
        <v>1794</v>
      </c>
      <c r="E2088" s="19" t="s">
        <v>3</v>
      </c>
      <c r="F2088" s="19" t="s">
        <v>1430</v>
      </c>
      <c r="G2088" s="19" t="s">
        <v>1429</v>
      </c>
      <c r="H2088" s="19" t="s">
        <v>644</v>
      </c>
      <c r="I2088" s="19" t="s">
        <v>1385</v>
      </c>
      <c r="J2088" s="19" t="s">
        <v>37</v>
      </c>
      <c r="K2088" s="19" t="s">
        <v>970</v>
      </c>
      <c r="L2088" s="19">
        <v>2025</v>
      </c>
      <c r="M2088" s="20">
        <v>1</v>
      </c>
      <c r="N2088" s="19" t="s">
        <v>1798</v>
      </c>
      <c r="O2088" s="20">
        <v>1</v>
      </c>
      <c r="P2088" s="20">
        <v>1</v>
      </c>
      <c r="Q2088" s="20">
        <v>2527.6739524977297</v>
      </c>
      <c r="R2088" s="21">
        <v>0.91</v>
      </c>
      <c r="S2088" s="20">
        <v>2527.6739524977297</v>
      </c>
    </row>
    <row r="2089" spans="2:19" ht="15" customHeight="1" x14ac:dyDescent="0.25">
      <c r="B2089" s="2" t="str">
        <f t="shared" si="64"/>
        <v>PGL_Business_Public Sector_Rebates_Steam Traps_Industrial/Process Audit - 75 ≤ psig &lt; 125_CI/SMB</v>
      </c>
      <c r="C2089" s="2" t="str">
        <f t="shared" si="65"/>
        <v>PGL_Business_Public Sector_Rebates_Steam Traps_Industrial/Process Audit - 75 ≤ psig &lt; 125_CI/SMB_2022</v>
      </c>
      <c r="D2089" s="19" t="s">
        <v>1794</v>
      </c>
      <c r="E2089" s="19" t="s">
        <v>3</v>
      </c>
      <c r="F2089" s="19" t="s">
        <v>1430</v>
      </c>
      <c r="G2089" s="19" t="s">
        <v>1429</v>
      </c>
      <c r="H2089" s="19" t="s">
        <v>644</v>
      </c>
      <c r="I2089" s="19" t="s">
        <v>1386</v>
      </c>
      <c r="J2089" s="19" t="s">
        <v>37</v>
      </c>
      <c r="K2089" s="19" t="s">
        <v>970</v>
      </c>
      <c r="L2089" s="19">
        <v>2022</v>
      </c>
      <c r="M2089" s="20">
        <v>1</v>
      </c>
      <c r="N2089" s="19" t="s">
        <v>1798</v>
      </c>
      <c r="O2089" s="20">
        <v>0</v>
      </c>
      <c r="P2089" s="20">
        <v>0</v>
      </c>
      <c r="Q2089" s="20">
        <v>0</v>
      </c>
      <c r="R2089" s="21">
        <v>0.91</v>
      </c>
      <c r="S2089" s="20">
        <v>0</v>
      </c>
    </row>
    <row r="2090" spans="2:19" ht="15" customHeight="1" x14ac:dyDescent="0.25">
      <c r="B2090" s="2" t="str">
        <f t="shared" si="64"/>
        <v>PGL_Business_Public Sector_Rebates_Steam Traps_Industrial/Process Audit - 75 ≤ psig &lt; 125_CI/SMB</v>
      </c>
      <c r="C2090" s="2" t="str">
        <f t="shared" si="65"/>
        <v>PGL_Business_Public Sector_Rebates_Steam Traps_Industrial/Process Audit - 75 ≤ psig &lt; 125_CI/SMB_2023</v>
      </c>
      <c r="D2090" s="19" t="s">
        <v>1794</v>
      </c>
      <c r="E2090" s="19" t="s">
        <v>3</v>
      </c>
      <c r="F2090" s="19" t="s">
        <v>1430</v>
      </c>
      <c r="G2090" s="19" t="s">
        <v>1429</v>
      </c>
      <c r="H2090" s="19" t="s">
        <v>644</v>
      </c>
      <c r="I2090" s="19" t="s">
        <v>1386</v>
      </c>
      <c r="J2090" s="19" t="s">
        <v>37</v>
      </c>
      <c r="K2090" s="19" t="s">
        <v>970</v>
      </c>
      <c r="L2090" s="19">
        <v>2023</v>
      </c>
      <c r="M2090" s="20">
        <v>1</v>
      </c>
      <c r="N2090" s="19" t="s">
        <v>1798</v>
      </c>
      <c r="O2090" s="20">
        <v>0</v>
      </c>
      <c r="P2090" s="20">
        <v>0</v>
      </c>
      <c r="Q2090" s="20">
        <v>0</v>
      </c>
      <c r="R2090" s="21">
        <v>0.91</v>
      </c>
      <c r="S2090" s="20">
        <v>0</v>
      </c>
    </row>
    <row r="2091" spans="2:19" ht="15" customHeight="1" x14ac:dyDescent="0.25">
      <c r="B2091" s="2" t="str">
        <f t="shared" si="64"/>
        <v>PGL_Business_Public Sector_Rebates_Steam Traps_Industrial/Process Audit - 75 ≤ psig &lt; 125_CI/SMB</v>
      </c>
      <c r="C2091" s="2" t="str">
        <f t="shared" si="65"/>
        <v>PGL_Business_Public Sector_Rebates_Steam Traps_Industrial/Process Audit - 75 ≤ psig &lt; 125_CI/SMB_2024</v>
      </c>
      <c r="D2091" s="19" t="s">
        <v>1794</v>
      </c>
      <c r="E2091" s="19" t="s">
        <v>3</v>
      </c>
      <c r="F2091" s="19" t="s">
        <v>1430</v>
      </c>
      <c r="G2091" s="19" t="s">
        <v>1429</v>
      </c>
      <c r="H2091" s="19" t="s">
        <v>644</v>
      </c>
      <c r="I2091" s="19" t="s">
        <v>1386</v>
      </c>
      <c r="J2091" s="19" t="s">
        <v>37</v>
      </c>
      <c r="K2091" s="19" t="s">
        <v>970</v>
      </c>
      <c r="L2091" s="19">
        <v>2024</v>
      </c>
      <c r="M2091" s="20">
        <v>1</v>
      </c>
      <c r="N2091" s="19" t="s">
        <v>1798</v>
      </c>
      <c r="O2091" s="20">
        <v>0</v>
      </c>
      <c r="P2091" s="20">
        <v>0</v>
      </c>
      <c r="Q2091" s="20">
        <v>0</v>
      </c>
      <c r="R2091" s="21">
        <v>0.91</v>
      </c>
      <c r="S2091" s="20">
        <v>0</v>
      </c>
    </row>
    <row r="2092" spans="2:19" ht="15" customHeight="1" x14ac:dyDescent="0.25">
      <c r="B2092" s="2" t="str">
        <f t="shared" si="64"/>
        <v>PGL_Business_Public Sector_Rebates_Steam Traps_Industrial/Process Audit - 75 ≤ psig &lt; 125_CI/SMB</v>
      </c>
      <c r="C2092" s="2" t="str">
        <f t="shared" si="65"/>
        <v>PGL_Business_Public Sector_Rebates_Steam Traps_Industrial/Process Audit - 75 ≤ psig &lt; 125_CI/SMB_2025</v>
      </c>
      <c r="D2092" s="19" t="s">
        <v>1794</v>
      </c>
      <c r="E2092" s="19" t="s">
        <v>3</v>
      </c>
      <c r="F2092" s="19" t="s">
        <v>1430</v>
      </c>
      <c r="G2092" s="19" t="s">
        <v>1429</v>
      </c>
      <c r="H2092" s="19" t="s">
        <v>644</v>
      </c>
      <c r="I2092" s="19" t="s">
        <v>1386</v>
      </c>
      <c r="J2092" s="19" t="s">
        <v>37</v>
      </c>
      <c r="K2092" s="19" t="s">
        <v>970</v>
      </c>
      <c r="L2092" s="19">
        <v>2025</v>
      </c>
      <c r="M2092" s="20">
        <v>1</v>
      </c>
      <c r="N2092" s="19" t="s">
        <v>1798</v>
      </c>
      <c r="O2092" s="20">
        <v>0</v>
      </c>
      <c r="P2092" s="20">
        <v>0</v>
      </c>
      <c r="Q2092" s="20">
        <v>0</v>
      </c>
      <c r="R2092" s="21">
        <v>0.91</v>
      </c>
      <c r="S2092" s="20">
        <v>0</v>
      </c>
    </row>
    <row r="2093" spans="2:19" ht="15" customHeight="1" x14ac:dyDescent="0.25">
      <c r="B2093" s="2" t="str">
        <f t="shared" si="64"/>
        <v>PGL_Business_Public Sector_Rebates_Steam Traps_Industrial/Process Audit - 125 ≤ psig &lt; 175_CI/SMB</v>
      </c>
      <c r="C2093" s="2" t="str">
        <f t="shared" si="65"/>
        <v>PGL_Business_Public Sector_Rebates_Steam Traps_Industrial/Process Audit - 125 ≤ psig &lt; 175_CI/SMB_2022</v>
      </c>
      <c r="D2093" s="19" t="s">
        <v>1794</v>
      </c>
      <c r="E2093" s="19" t="s">
        <v>3</v>
      </c>
      <c r="F2093" s="19" t="s">
        <v>1430</v>
      </c>
      <c r="G2093" s="19" t="s">
        <v>1429</v>
      </c>
      <c r="H2093" s="19" t="s">
        <v>644</v>
      </c>
      <c r="I2093" s="19" t="s">
        <v>1374</v>
      </c>
      <c r="J2093" s="19" t="s">
        <v>37</v>
      </c>
      <c r="K2093" s="19" t="s">
        <v>970</v>
      </c>
      <c r="L2093" s="19">
        <v>2022</v>
      </c>
      <c r="M2093" s="20">
        <v>1</v>
      </c>
      <c r="N2093" s="19" t="s">
        <v>1798</v>
      </c>
      <c r="O2093" s="20">
        <v>0</v>
      </c>
      <c r="P2093" s="20">
        <v>0</v>
      </c>
      <c r="Q2093" s="20">
        <v>0</v>
      </c>
      <c r="R2093" s="21">
        <v>0.91</v>
      </c>
      <c r="S2093" s="20">
        <v>0</v>
      </c>
    </row>
    <row r="2094" spans="2:19" ht="15" customHeight="1" x14ac:dyDescent="0.25">
      <c r="B2094" s="2" t="str">
        <f t="shared" si="64"/>
        <v>PGL_Business_Public Sector_Rebates_Steam Traps_Industrial/Process Audit - 125 ≤ psig &lt; 175_CI/SMB</v>
      </c>
      <c r="C2094" s="2" t="str">
        <f t="shared" si="65"/>
        <v>PGL_Business_Public Sector_Rebates_Steam Traps_Industrial/Process Audit - 125 ≤ psig &lt; 175_CI/SMB_2023</v>
      </c>
      <c r="D2094" s="19" t="s">
        <v>1794</v>
      </c>
      <c r="E2094" s="19" t="s">
        <v>3</v>
      </c>
      <c r="F2094" s="19" t="s">
        <v>1430</v>
      </c>
      <c r="G2094" s="19" t="s">
        <v>1429</v>
      </c>
      <c r="H2094" s="19" t="s">
        <v>644</v>
      </c>
      <c r="I2094" s="19" t="s">
        <v>1374</v>
      </c>
      <c r="J2094" s="19" t="s">
        <v>37</v>
      </c>
      <c r="K2094" s="19" t="s">
        <v>970</v>
      </c>
      <c r="L2094" s="19">
        <v>2023</v>
      </c>
      <c r="M2094" s="20">
        <v>1</v>
      </c>
      <c r="N2094" s="19" t="s">
        <v>1798</v>
      </c>
      <c r="O2094" s="20">
        <v>0</v>
      </c>
      <c r="P2094" s="20">
        <v>0</v>
      </c>
      <c r="Q2094" s="20">
        <v>0</v>
      </c>
      <c r="R2094" s="21">
        <v>0.91</v>
      </c>
      <c r="S2094" s="20">
        <v>0</v>
      </c>
    </row>
    <row r="2095" spans="2:19" ht="15" customHeight="1" x14ac:dyDescent="0.25">
      <c r="B2095" s="2" t="str">
        <f t="shared" si="64"/>
        <v>PGL_Business_Public Sector_Rebates_Steam Traps_Industrial/Process Audit - 125 ≤ psig &lt; 175_CI/SMB</v>
      </c>
      <c r="C2095" s="2" t="str">
        <f t="shared" si="65"/>
        <v>PGL_Business_Public Sector_Rebates_Steam Traps_Industrial/Process Audit - 125 ≤ psig &lt; 175_CI/SMB_2024</v>
      </c>
      <c r="D2095" s="19" t="s">
        <v>1794</v>
      </c>
      <c r="E2095" s="19" t="s">
        <v>3</v>
      </c>
      <c r="F2095" s="19" t="s">
        <v>1430</v>
      </c>
      <c r="G2095" s="19" t="s">
        <v>1429</v>
      </c>
      <c r="H2095" s="19" t="s">
        <v>644</v>
      </c>
      <c r="I2095" s="19" t="s">
        <v>1374</v>
      </c>
      <c r="J2095" s="19" t="s">
        <v>37</v>
      </c>
      <c r="K2095" s="19" t="s">
        <v>970</v>
      </c>
      <c r="L2095" s="19">
        <v>2024</v>
      </c>
      <c r="M2095" s="20">
        <v>1</v>
      </c>
      <c r="N2095" s="19" t="s">
        <v>1798</v>
      </c>
      <c r="O2095" s="20">
        <v>0</v>
      </c>
      <c r="P2095" s="20">
        <v>0</v>
      </c>
      <c r="Q2095" s="20">
        <v>0</v>
      </c>
      <c r="R2095" s="21">
        <v>0.91</v>
      </c>
      <c r="S2095" s="20">
        <v>0</v>
      </c>
    </row>
    <row r="2096" spans="2:19" ht="15" customHeight="1" x14ac:dyDescent="0.25">
      <c r="B2096" s="2" t="str">
        <f t="shared" si="64"/>
        <v>PGL_Business_Public Sector_Rebates_Steam Traps_Industrial/Process Audit - 125 ≤ psig &lt; 175_CI/SMB</v>
      </c>
      <c r="C2096" s="2" t="str">
        <f t="shared" si="65"/>
        <v>PGL_Business_Public Sector_Rebates_Steam Traps_Industrial/Process Audit - 125 ≤ psig &lt; 175_CI/SMB_2025</v>
      </c>
      <c r="D2096" s="19" t="s">
        <v>1794</v>
      </c>
      <c r="E2096" s="19" t="s">
        <v>3</v>
      </c>
      <c r="F2096" s="19" t="s">
        <v>1430</v>
      </c>
      <c r="G2096" s="19" t="s">
        <v>1429</v>
      </c>
      <c r="H2096" s="19" t="s">
        <v>644</v>
      </c>
      <c r="I2096" s="19" t="s">
        <v>1374</v>
      </c>
      <c r="J2096" s="19" t="s">
        <v>37</v>
      </c>
      <c r="K2096" s="19" t="s">
        <v>970</v>
      </c>
      <c r="L2096" s="19">
        <v>2025</v>
      </c>
      <c r="M2096" s="20">
        <v>1</v>
      </c>
      <c r="N2096" s="19" t="s">
        <v>1798</v>
      </c>
      <c r="O2096" s="20">
        <v>0</v>
      </c>
      <c r="P2096" s="20">
        <v>0</v>
      </c>
      <c r="Q2096" s="20">
        <v>0</v>
      </c>
      <c r="R2096" s="21">
        <v>0.91</v>
      </c>
      <c r="S2096" s="20">
        <v>0</v>
      </c>
    </row>
    <row r="2097" spans="2:19" ht="15" customHeight="1" x14ac:dyDescent="0.25">
      <c r="B2097" s="2" t="str">
        <f t="shared" si="64"/>
        <v>PGL_Business_Public Sector_Rebates_Steam Traps_Industrial/Process Audit - 175 ≤ psig &lt; 250_CI/SMB</v>
      </c>
      <c r="C2097" s="2" t="str">
        <f t="shared" si="65"/>
        <v>PGL_Business_Public Sector_Rebates_Steam Traps_Industrial/Process Audit - 175 ≤ psig &lt; 250_CI/SMB_2022</v>
      </c>
      <c r="D2097" s="19" t="s">
        <v>1794</v>
      </c>
      <c r="E2097" s="19" t="s">
        <v>3</v>
      </c>
      <c r="F2097" s="19" t="s">
        <v>1430</v>
      </c>
      <c r="G2097" s="19" t="s">
        <v>1429</v>
      </c>
      <c r="H2097" s="19" t="s">
        <v>644</v>
      </c>
      <c r="I2097" s="19" t="s">
        <v>1375</v>
      </c>
      <c r="J2097" s="19" t="s">
        <v>37</v>
      </c>
      <c r="K2097" s="19" t="s">
        <v>970</v>
      </c>
      <c r="L2097" s="19">
        <v>2022</v>
      </c>
      <c r="M2097" s="20">
        <v>1</v>
      </c>
      <c r="N2097" s="19" t="s">
        <v>1798</v>
      </c>
      <c r="O2097" s="20">
        <v>0</v>
      </c>
      <c r="P2097" s="20">
        <v>0</v>
      </c>
      <c r="Q2097" s="20">
        <v>0</v>
      </c>
      <c r="R2097" s="21">
        <v>0.91</v>
      </c>
      <c r="S2097" s="20">
        <v>0</v>
      </c>
    </row>
    <row r="2098" spans="2:19" ht="15" customHeight="1" x14ac:dyDescent="0.25">
      <c r="B2098" s="2" t="str">
        <f t="shared" si="64"/>
        <v>PGL_Business_Public Sector_Rebates_Steam Traps_Industrial/Process Audit - 175 ≤ psig &lt; 250_CI/SMB</v>
      </c>
      <c r="C2098" s="2" t="str">
        <f t="shared" si="65"/>
        <v>PGL_Business_Public Sector_Rebates_Steam Traps_Industrial/Process Audit - 175 ≤ psig &lt; 250_CI/SMB_2023</v>
      </c>
      <c r="D2098" s="19" t="s">
        <v>1794</v>
      </c>
      <c r="E2098" s="19" t="s">
        <v>3</v>
      </c>
      <c r="F2098" s="19" t="s">
        <v>1430</v>
      </c>
      <c r="G2098" s="19" t="s">
        <v>1429</v>
      </c>
      <c r="H2098" s="19" t="s">
        <v>644</v>
      </c>
      <c r="I2098" s="19" t="s">
        <v>1375</v>
      </c>
      <c r="J2098" s="19" t="s">
        <v>37</v>
      </c>
      <c r="K2098" s="19" t="s">
        <v>970</v>
      </c>
      <c r="L2098" s="19">
        <v>2023</v>
      </c>
      <c r="M2098" s="20">
        <v>1</v>
      </c>
      <c r="N2098" s="19" t="s">
        <v>1798</v>
      </c>
      <c r="O2098" s="20">
        <v>0</v>
      </c>
      <c r="P2098" s="20">
        <v>0</v>
      </c>
      <c r="Q2098" s="20">
        <v>0</v>
      </c>
      <c r="R2098" s="21">
        <v>0.91</v>
      </c>
      <c r="S2098" s="20">
        <v>0</v>
      </c>
    </row>
    <row r="2099" spans="2:19" ht="15" customHeight="1" x14ac:dyDescent="0.25">
      <c r="B2099" s="2" t="str">
        <f t="shared" si="64"/>
        <v>PGL_Business_Public Sector_Rebates_Steam Traps_Industrial/Process Audit - 175 ≤ psig &lt; 250_CI/SMB</v>
      </c>
      <c r="C2099" s="2" t="str">
        <f t="shared" si="65"/>
        <v>PGL_Business_Public Sector_Rebates_Steam Traps_Industrial/Process Audit - 175 ≤ psig &lt; 250_CI/SMB_2024</v>
      </c>
      <c r="D2099" s="19" t="s">
        <v>1794</v>
      </c>
      <c r="E2099" s="19" t="s">
        <v>3</v>
      </c>
      <c r="F2099" s="19" t="s">
        <v>1430</v>
      </c>
      <c r="G2099" s="19" t="s">
        <v>1429</v>
      </c>
      <c r="H2099" s="19" t="s">
        <v>644</v>
      </c>
      <c r="I2099" s="19" t="s">
        <v>1375</v>
      </c>
      <c r="J2099" s="19" t="s">
        <v>37</v>
      </c>
      <c r="K2099" s="19" t="s">
        <v>970</v>
      </c>
      <c r="L2099" s="19">
        <v>2024</v>
      </c>
      <c r="M2099" s="20">
        <v>1</v>
      </c>
      <c r="N2099" s="19" t="s">
        <v>1798</v>
      </c>
      <c r="O2099" s="20">
        <v>0</v>
      </c>
      <c r="P2099" s="20">
        <v>0</v>
      </c>
      <c r="Q2099" s="20">
        <v>0</v>
      </c>
      <c r="R2099" s="21">
        <v>0.91</v>
      </c>
      <c r="S2099" s="20">
        <v>0</v>
      </c>
    </row>
    <row r="2100" spans="2:19" ht="15" customHeight="1" x14ac:dyDescent="0.25">
      <c r="B2100" s="2" t="str">
        <f t="shared" si="64"/>
        <v>PGL_Business_Public Sector_Rebates_Steam Traps_Industrial/Process Audit - 175 ≤ psig &lt; 250_CI/SMB</v>
      </c>
      <c r="C2100" s="2" t="str">
        <f t="shared" si="65"/>
        <v>PGL_Business_Public Sector_Rebates_Steam Traps_Industrial/Process Audit - 175 ≤ psig &lt; 250_CI/SMB_2025</v>
      </c>
      <c r="D2100" s="19" t="s">
        <v>1794</v>
      </c>
      <c r="E2100" s="19" t="s">
        <v>3</v>
      </c>
      <c r="F2100" s="19" t="s">
        <v>1430</v>
      </c>
      <c r="G2100" s="19" t="s">
        <v>1429</v>
      </c>
      <c r="H2100" s="19" t="s">
        <v>644</v>
      </c>
      <c r="I2100" s="19" t="s">
        <v>1375</v>
      </c>
      <c r="J2100" s="19" t="s">
        <v>37</v>
      </c>
      <c r="K2100" s="19" t="s">
        <v>970</v>
      </c>
      <c r="L2100" s="19">
        <v>2025</v>
      </c>
      <c r="M2100" s="20">
        <v>1</v>
      </c>
      <c r="N2100" s="19" t="s">
        <v>1798</v>
      </c>
      <c r="O2100" s="20">
        <v>0</v>
      </c>
      <c r="P2100" s="20">
        <v>0</v>
      </c>
      <c r="Q2100" s="20">
        <v>0</v>
      </c>
      <c r="R2100" s="21">
        <v>0.91</v>
      </c>
      <c r="S2100" s="20">
        <v>0</v>
      </c>
    </row>
    <row r="2101" spans="2:19" ht="15" customHeight="1" x14ac:dyDescent="0.25">
      <c r="B2101" s="2" t="str">
        <f t="shared" si="64"/>
        <v>PGL_Business_Public Sector_Rebates_Steam Traps_Industrial/Process Audit - 250 ≤ psig_CI/SMB</v>
      </c>
      <c r="C2101" s="2" t="str">
        <f t="shared" si="65"/>
        <v>PGL_Business_Public Sector_Rebates_Steam Traps_Industrial/Process Audit - 250 ≤ psig_CI/SMB_2022</v>
      </c>
      <c r="D2101" s="19" t="s">
        <v>1794</v>
      </c>
      <c r="E2101" s="19" t="s">
        <v>3</v>
      </c>
      <c r="F2101" s="19" t="s">
        <v>1430</v>
      </c>
      <c r="G2101" s="19" t="s">
        <v>1429</v>
      </c>
      <c r="H2101" s="19" t="s">
        <v>644</v>
      </c>
      <c r="I2101" s="19" t="s">
        <v>1376</v>
      </c>
      <c r="J2101" s="19" t="s">
        <v>37</v>
      </c>
      <c r="K2101" s="19" t="s">
        <v>970</v>
      </c>
      <c r="L2101" s="19">
        <v>2022</v>
      </c>
      <c r="M2101" s="20">
        <v>1</v>
      </c>
      <c r="N2101" s="19" t="s">
        <v>1798</v>
      </c>
      <c r="O2101" s="20">
        <v>0</v>
      </c>
      <c r="P2101" s="20">
        <v>0</v>
      </c>
      <c r="Q2101" s="20">
        <v>0</v>
      </c>
      <c r="R2101" s="21">
        <v>0.91</v>
      </c>
      <c r="S2101" s="20">
        <v>0</v>
      </c>
    </row>
    <row r="2102" spans="2:19" ht="15" customHeight="1" x14ac:dyDescent="0.25">
      <c r="B2102" s="2" t="str">
        <f t="shared" si="64"/>
        <v>PGL_Business_Public Sector_Rebates_Steam Traps_Industrial/Process Audit - 250 ≤ psig_CI/SMB</v>
      </c>
      <c r="C2102" s="2" t="str">
        <f t="shared" si="65"/>
        <v>PGL_Business_Public Sector_Rebates_Steam Traps_Industrial/Process Audit - 250 ≤ psig_CI/SMB_2023</v>
      </c>
      <c r="D2102" s="19" t="s">
        <v>1794</v>
      </c>
      <c r="E2102" s="19" t="s">
        <v>3</v>
      </c>
      <c r="F2102" s="19" t="s">
        <v>1430</v>
      </c>
      <c r="G2102" s="19" t="s">
        <v>1429</v>
      </c>
      <c r="H2102" s="19" t="s">
        <v>644</v>
      </c>
      <c r="I2102" s="19" t="s">
        <v>1376</v>
      </c>
      <c r="J2102" s="19" t="s">
        <v>37</v>
      </c>
      <c r="K2102" s="19" t="s">
        <v>970</v>
      </c>
      <c r="L2102" s="19">
        <v>2023</v>
      </c>
      <c r="M2102" s="20">
        <v>1</v>
      </c>
      <c r="N2102" s="19" t="s">
        <v>1798</v>
      </c>
      <c r="O2102" s="20">
        <v>0</v>
      </c>
      <c r="P2102" s="20">
        <v>0</v>
      </c>
      <c r="Q2102" s="20">
        <v>0</v>
      </c>
      <c r="R2102" s="21">
        <v>0.91</v>
      </c>
      <c r="S2102" s="20">
        <v>0</v>
      </c>
    </row>
    <row r="2103" spans="2:19" ht="15" customHeight="1" x14ac:dyDescent="0.25">
      <c r="B2103" s="2" t="str">
        <f t="shared" si="64"/>
        <v>PGL_Business_Public Sector_Rebates_Steam Traps_Industrial/Process Audit - 250 ≤ psig_CI/SMB</v>
      </c>
      <c r="C2103" s="2" t="str">
        <f t="shared" si="65"/>
        <v>PGL_Business_Public Sector_Rebates_Steam Traps_Industrial/Process Audit - 250 ≤ psig_CI/SMB_2024</v>
      </c>
      <c r="D2103" s="19" t="s">
        <v>1794</v>
      </c>
      <c r="E2103" s="19" t="s">
        <v>3</v>
      </c>
      <c r="F2103" s="19" t="s">
        <v>1430</v>
      </c>
      <c r="G2103" s="19" t="s">
        <v>1429</v>
      </c>
      <c r="H2103" s="19" t="s">
        <v>644</v>
      </c>
      <c r="I2103" s="19" t="s">
        <v>1376</v>
      </c>
      <c r="J2103" s="19" t="s">
        <v>37</v>
      </c>
      <c r="K2103" s="19" t="s">
        <v>970</v>
      </c>
      <c r="L2103" s="19">
        <v>2024</v>
      </c>
      <c r="M2103" s="20">
        <v>1</v>
      </c>
      <c r="N2103" s="19" t="s">
        <v>1798</v>
      </c>
      <c r="O2103" s="20">
        <v>0</v>
      </c>
      <c r="P2103" s="20">
        <v>0</v>
      </c>
      <c r="Q2103" s="20">
        <v>0</v>
      </c>
      <c r="R2103" s="21">
        <v>0.91</v>
      </c>
      <c r="S2103" s="20">
        <v>0</v>
      </c>
    </row>
    <row r="2104" spans="2:19" ht="15" customHeight="1" x14ac:dyDescent="0.25">
      <c r="B2104" s="2" t="str">
        <f t="shared" si="64"/>
        <v>PGL_Business_Public Sector_Rebates_Steam Traps_Industrial/Process Audit - 250 ≤ psig_CI/SMB</v>
      </c>
      <c r="C2104" s="2" t="str">
        <f t="shared" si="65"/>
        <v>PGL_Business_Public Sector_Rebates_Steam Traps_Industrial/Process Audit - 250 ≤ psig_CI/SMB_2025</v>
      </c>
      <c r="D2104" s="19" t="s">
        <v>1794</v>
      </c>
      <c r="E2104" s="19" t="s">
        <v>3</v>
      </c>
      <c r="F2104" s="19" t="s">
        <v>1430</v>
      </c>
      <c r="G2104" s="19" t="s">
        <v>1429</v>
      </c>
      <c r="H2104" s="19" t="s">
        <v>644</v>
      </c>
      <c r="I2104" s="19" t="s">
        <v>1376</v>
      </c>
      <c r="J2104" s="19" t="s">
        <v>37</v>
      </c>
      <c r="K2104" s="19" t="s">
        <v>970</v>
      </c>
      <c r="L2104" s="19">
        <v>2025</v>
      </c>
      <c r="M2104" s="20">
        <v>1</v>
      </c>
      <c r="N2104" s="19" t="s">
        <v>1798</v>
      </c>
      <c r="O2104" s="20">
        <v>0</v>
      </c>
      <c r="P2104" s="20">
        <v>0</v>
      </c>
      <c r="Q2104" s="20">
        <v>0</v>
      </c>
      <c r="R2104" s="21">
        <v>0.91</v>
      </c>
      <c r="S2104" s="20">
        <v>0</v>
      </c>
    </row>
    <row r="2105" spans="2:19" ht="15" customHeight="1" x14ac:dyDescent="0.25">
      <c r="B2105" s="2" t="str">
        <f t="shared" si="64"/>
        <v>PGL_Business_Public Sector_Rebates_Steam Traps_Test_CI</v>
      </c>
      <c r="C2105" s="2" t="str">
        <f t="shared" si="65"/>
        <v>PGL_Business_Public Sector_Rebates_Steam Traps_Test_CI_2022</v>
      </c>
      <c r="D2105" s="19" t="s">
        <v>1794</v>
      </c>
      <c r="E2105" s="19" t="s">
        <v>3</v>
      </c>
      <c r="F2105" s="19" t="s">
        <v>1430</v>
      </c>
      <c r="G2105" s="19" t="s">
        <v>1429</v>
      </c>
      <c r="H2105" s="19" t="s">
        <v>644</v>
      </c>
      <c r="I2105" s="19" t="s">
        <v>1097</v>
      </c>
      <c r="J2105" s="19">
        <v>0</v>
      </c>
      <c r="K2105" s="19" t="s">
        <v>1159</v>
      </c>
      <c r="L2105" s="19">
        <v>2022</v>
      </c>
      <c r="M2105" s="20">
        <v>1</v>
      </c>
      <c r="N2105" s="19" t="s">
        <v>1798</v>
      </c>
      <c r="O2105" s="20">
        <v>300</v>
      </c>
      <c r="P2105" s="20">
        <v>300</v>
      </c>
      <c r="Q2105" s="20">
        <v>0</v>
      </c>
      <c r="R2105" s="21">
        <v>0.91</v>
      </c>
      <c r="S2105" s="20">
        <v>0</v>
      </c>
    </row>
    <row r="2106" spans="2:19" ht="15" customHeight="1" x14ac:dyDescent="0.25">
      <c r="B2106" s="2" t="str">
        <f t="shared" si="64"/>
        <v>PGL_Business_Public Sector_Rebates_Steam Traps_Test_CI</v>
      </c>
      <c r="C2106" s="2" t="str">
        <f t="shared" si="65"/>
        <v>PGL_Business_Public Sector_Rebates_Steam Traps_Test_CI_2023</v>
      </c>
      <c r="D2106" s="19" t="s">
        <v>1794</v>
      </c>
      <c r="E2106" s="19" t="s">
        <v>3</v>
      </c>
      <c r="F2106" s="19" t="s">
        <v>1430</v>
      </c>
      <c r="G2106" s="19" t="s">
        <v>1429</v>
      </c>
      <c r="H2106" s="19" t="s">
        <v>644</v>
      </c>
      <c r="I2106" s="19" t="s">
        <v>1097</v>
      </c>
      <c r="J2106" s="19">
        <v>0</v>
      </c>
      <c r="K2106" s="19" t="s">
        <v>1159</v>
      </c>
      <c r="L2106" s="19">
        <v>2023</v>
      </c>
      <c r="M2106" s="20">
        <v>1</v>
      </c>
      <c r="N2106" s="19" t="s">
        <v>1798</v>
      </c>
      <c r="O2106" s="20">
        <v>300</v>
      </c>
      <c r="P2106" s="20">
        <v>300</v>
      </c>
      <c r="Q2106" s="20">
        <v>0</v>
      </c>
      <c r="R2106" s="21">
        <v>0.91</v>
      </c>
      <c r="S2106" s="20">
        <v>0</v>
      </c>
    </row>
    <row r="2107" spans="2:19" ht="15" customHeight="1" x14ac:dyDescent="0.25">
      <c r="B2107" s="2" t="str">
        <f t="shared" si="64"/>
        <v>PGL_Business_Public Sector_Rebates_Steam Traps_Test_CI</v>
      </c>
      <c r="C2107" s="2" t="str">
        <f t="shared" si="65"/>
        <v>PGL_Business_Public Sector_Rebates_Steam Traps_Test_CI_2024</v>
      </c>
      <c r="D2107" s="19" t="s">
        <v>1794</v>
      </c>
      <c r="E2107" s="19" t="s">
        <v>3</v>
      </c>
      <c r="F2107" s="19" t="s">
        <v>1430</v>
      </c>
      <c r="G2107" s="19" t="s">
        <v>1429</v>
      </c>
      <c r="H2107" s="19" t="s">
        <v>644</v>
      </c>
      <c r="I2107" s="19" t="s">
        <v>1097</v>
      </c>
      <c r="J2107" s="19">
        <v>0</v>
      </c>
      <c r="K2107" s="19" t="s">
        <v>1159</v>
      </c>
      <c r="L2107" s="19">
        <v>2024</v>
      </c>
      <c r="M2107" s="20">
        <v>1</v>
      </c>
      <c r="N2107" s="19" t="s">
        <v>1798</v>
      </c>
      <c r="O2107" s="20">
        <v>300</v>
      </c>
      <c r="P2107" s="20">
        <v>300</v>
      </c>
      <c r="Q2107" s="20">
        <v>0</v>
      </c>
      <c r="R2107" s="21">
        <v>0.91</v>
      </c>
      <c r="S2107" s="20">
        <v>0</v>
      </c>
    </row>
    <row r="2108" spans="2:19" ht="15" customHeight="1" x14ac:dyDescent="0.25">
      <c r="B2108" s="2" t="str">
        <f t="shared" si="64"/>
        <v>PGL_Business_Public Sector_Rebates_Steam Traps_Test_CI</v>
      </c>
      <c r="C2108" s="2" t="str">
        <f t="shared" si="65"/>
        <v>PGL_Business_Public Sector_Rebates_Steam Traps_Test_CI_2025</v>
      </c>
      <c r="D2108" s="19" t="s">
        <v>1794</v>
      </c>
      <c r="E2108" s="19" t="s">
        <v>3</v>
      </c>
      <c r="F2108" s="19" t="s">
        <v>1430</v>
      </c>
      <c r="G2108" s="19" t="s">
        <v>1429</v>
      </c>
      <c r="H2108" s="19" t="s">
        <v>644</v>
      </c>
      <c r="I2108" s="19" t="s">
        <v>1097</v>
      </c>
      <c r="J2108" s="19">
        <v>0</v>
      </c>
      <c r="K2108" s="19" t="s">
        <v>1159</v>
      </c>
      <c r="L2108" s="19">
        <v>2025</v>
      </c>
      <c r="M2108" s="20">
        <v>1</v>
      </c>
      <c r="N2108" s="19" t="s">
        <v>1798</v>
      </c>
      <c r="O2108" s="20">
        <v>300</v>
      </c>
      <c r="P2108" s="20">
        <v>300</v>
      </c>
      <c r="Q2108" s="20">
        <v>0</v>
      </c>
      <c r="R2108" s="21">
        <v>0.91</v>
      </c>
      <c r="S2108" s="20">
        <v>0</v>
      </c>
    </row>
    <row r="2109" spans="2:19" ht="15" customHeight="1" x14ac:dyDescent="0.25">
      <c r="B2109" s="2" t="str">
        <f t="shared" si="64"/>
        <v>PGL_Business_Public Sector_Rebates_Programmable Thermostat_0_CI</v>
      </c>
      <c r="C2109" s="2" t="str">
        <f t="shared" si="65"/>
        <v>PGL_Business_Public Sector_Rebates_Programmable Thermostat_0_CI_2022</v>
      </c>
      <c r="D2109" s="19" t="s">
        <v>1794</v>
      </c>
      <c r="E2109" s="19" t="s">
        <v>3</v>
      </c>
      <c r="F2109" s="19" t="s">
        <v>1430</v>
      </c>
      <c r="G2109" s="19" t="s">
        <v>1429</v>
      </c>
      <c r="H2109" s="19" t="s">
        <v>224</v>
      </c>
      <c r="I2109" s="19">
        <v>0</v>
      </c>
      <c r="J2109" s="19" t="s">
        <v>1183</v>
      </c>
      <c r="K2109" s="19" t="s">
        <v>1159</v>
      </c>
      <c r="L2109" s="19">
        <v>2022</v>
      </c>
      <c r="M2109" s="20">
        <v>1</v>
      </c>
      <c r="N2109" s="19" t="s">
        <v>1798</v>
      </c>
      <c r="O2109" s="20">
        <v>20</v>
      </c>
      <c r="P2109" s="20">
        <v>20</v>
      </c>
      <c r="Q2109" s="20">
        <v>2899.3532750000008</v>
      </c>
      <c r="R2109" s="21">
        <v>0.91</v>
      </c>
      <c r="S2109" s="20">
        <v>2899.3532750000008</v>
      </c>
    </row>
    <row r="2110" spans="2:19" ht="15" customHeight="1" x14ac:dyDescent="0.25">
      <c r="B2110" s="2" t="str">
        <f t="shared" si="64"/>
        <v>PGL_Business_Public Sector_Rebates_Programmable Thermostat_0_CI</v>
      </c>
      <c r="C2110" s="2" t="str">
        <f t="shared" si="65"/>
        <v>PGL_Business_Public Sector_Rebates_Programmable Thermostat_0_CI_2023</v>
      </c>
      <c r="D2110" s="19" t="s">
        <v>1794</v>
      </c>
      <c r="E2110" s="19" t="s">
        <v>3</v>
      </c>
      <c r="F2110" s="19" t="s">
        <v>1430</v>
      </c>
      <c r="G2110" s="19" t="s">
        <v>1429</v>
      </c>
      <c r="H2110" s="19" t="s">
        <v>224</v>
      </c>
      <c r="I2110" s="19">
        <v>0</v>
      </c>
      <c r="J2110" s="19" t="s">
        <v>1183</v>
      </c>
      <c r="K2110" s="19" t="s">
        <v>1159</v>
      </c>
      <c r="L2110" s="19">
        <v>2023</v>
      </c>
      <c r="M2110" s="20">
        <v>1</v>
      </c>
      <c r="N2110" s="19" t="s">
        <v>1798</v>
      </c>
      <c r="O2110" s="20">
        <v>20</v>
      </c>
      <c r="P2110" s="20">
        <v>20</v>
      </c>
      <c r="Q2110" s="20">
        <v>2899.3532750000008</v>
      </c>
      <c r="R2110" s="21">
        <v>0.91</v>
      </c>
      <c r="S2110" s="20">
        <v>2899.3532750000008</v>
      </c>
    </row>
    <row r="2111" spans="2:19" ht="15" customHeight="1" x14ac:dyDescent="0.25">
      <c r="B2111" s="2" t="str">
        <f t="shared" si="64"/>
        <v>PGL_Business_Public Sector_Rebates_Programmable Thermostat_0_CI</v>
      </c>
      <c r="C2111" s="2" t="str">
        <f t="shared" si="65"/>
        <v>PGL_Business_Public Sector_Rebates_Programmable Thermostat_0_CI_2024</v>
      </c>
      <c r="D2111" s="19" t="s">
        <v>1794</v>
      </c>
      <c r="E2111" s="19" t="s">
        <v>3</v>
      </c>
      <c r="F2111" s="19" t="s">
        <v>1430</v>
      </c>
      <c r="G2111" s="19" t="s">
        <v>1429</v>
      </c>
      <c r="H2111" s="19" t="s">
        <v>224</v>
      </c>
      <c r="I2111" s="19">
        <v>0</v>
      </c>
      <c r="J2111" s="19" t="s">
        <v>1183</v>
      </c>
      <c r="K2111" s="19" t="s">
        <v>1159</v>
      </c>
      <c r="L2111" s="19">
        <v>2024</v>
      </c>
      <c r="M2111" s="20">
        <v>1</v>
      </c>
      <c r="N2111" s="19" t="s">
        <v>1798</v>
      </c>
      <c r="O2111" s="20">
        <v>20</v>
      </c>
      <c r="P2111" s="20">
        <v>20</v>
      </c>
      <c r="Q2111" s="20">
        <v>2899.3532750000008</v>
      </c>
      <c r="R2111" s="21">
        <v>0.91</v>
      </c>
      <c r="S2111" s="20">
        <v>2899.3532750000008</v>
      </c>
    </row>
    <row r="2112" spans="2:19" ht="15" customHeight="1" x14ac:dyDescent="0.25">
      <c r="B2112" s="2" t="str">
        <f t="shared" si="64"/>
        <v>PGL_Business_Public Sector_Rebates_Programmable Thermostat_0_CI</v>
      </c>
      <c r="C2112" s="2" t="str">
        <f t="shared" si="65"/>
        <v>PGL_Business_Public Sector_Rebates_Programmable Thermostat_0_CI_2025</v>
      </c>
      <c r="D2112" s="19" t="s">
        <v>1794</v>
      </c>
      <c r="E2112" s="19" t="s">
        <v>3</v>
      </c>
      <c r="F2112" s="19" t="s">
        <v>1430</v>
      </c>
      <c r="G2112" s="19" t="s">
        <v>1429</v>
      </c>
      <c r="H2112" s="19" t="s">
        <v>224</v>
      </c>
      <c r="I2112" s="19">
        <v>0</v>
      </c>
      <c r="J2112" s="19" t="s">
        <v>1183</v>
      </c>
      <c r="K2112" s="19" t="s">
        <v>1159</v>
      </c>
      <c r="L2112" s="19">
        <v>2025</v>
      </c>
      <c r="M2112" s="20">
        <v>1</v>
      </c>
      <c r="N2112" s="19" t="s">
        <v>1798</v>
      </c>
      <c r="O2112" s="20">
        <v>20</v>
      </c>
      <c r="P2112" s="20">
        <v>20</v>
      </c>
      <c r="Q2112" s="20">
        <v>2899.3532750000008</v>
      </c>
      <c r="R2112" s="21">
        <v>0.91</v>
      </c>
      <c r="S2112" s="20">
        <v>2899.3532750000008</v>
      </c>
    </row>
    <row r="2113" spans="2:19" ht="15" customHeight="1" x14ac:dyDescent="0.25">
      <c r="B2113" s="2" t="str">
        <f t="shared" si="64"/>
        <v>PGL_Business_Public Sector_Rebates_Water Heater_Storage 88% TE ≥75MBh_CI</v>
      </c>
      <c r="C2113" s="2" t="str">
        <f t="shared" si="65"/>
        <v>PGL_Business_Public Sector_Rebates_Water Heater_Storage 88% TE ≥75MBh_CI_2022</v>
      </c>
      <c r="D2113" s="19" t="s">
        <v>1794</v>
      </c>
      <c r="E2113" s="19" t="s">
        <v>3</v>
      </c>
      <c r="F2113" s="19" t="s">
        <v>1430</v>
      </c>
      <c r="G2113" s="19" t="s">
        <v>1429</v>
      </c>
      <c r="H2113" s="19" t="s">
        <v>8</v>
      </c>
      <c r="I2113" s="19" t="s">
        <v>1262</v>
      </c>
      <c r="J2113" s="19" t="s">
        <v>1263</v>
      </c>
      <c r="K2113" s="19" t="s">
        <v>1159</v>
      </c>
      <c r="L2113" s="19">
        <v>2022</v>
      </c>
      <c r="M2113" s="20">
        <v>1</v>
      </c>
      <c r="N2113" s="19" t="s">
        <v>1798</v>
      </c>
      <c r="O2113" s="20">
        <v>10</v>
      </c>
      <c r="P2113" s="20">
        <v>10</v>
      </c>
      <c r="Q2113" s="20">
        <v>1234.5812651956737</v>
      </c>
      <c r="R2113" s="21">
        <v>0.91</v>
      </c>
      <c r="S2113" s="20">
        <v>1234.5812651956737</v>
      </c>
    </row>
    <row r="2114" spans="2:19" ht="15" customHeight="1" x14ac:dyDescent="0.25">
      <c r="B2114" s="2" t="str">
        <f t="shared" si="64"/>
        <v>PGL_Business_Public Sector_Rebates_Water Heater_Storage 88% TE ≥75MBh_CI</v>
      </c>
      <c r="C2114" s="2" t="str">
        <f t="shared" si="65"/>
        <v>PGL_Business_Public Sector_Rebates_Water Heater_Storage 88% TE ≥75MBh_CI_2023</v>
      </c>
      <c r="D2114" s="19" t="s">
        <v>1794</v>
      </c>
      <c r="E2114" s="19" t="s">
        <v>3</v>
      </c>
      <c r="F2114" s="19" t="s">
        <v>1430</v>
      </c>
      <c r="G2114" s="19" t="s">
        <v>1429</v>
      </c>
      <c r="H2114" s="19" t="s">
        <v>8</v>
      </c>
      <c r="I2114" s="19" t="s">
        <v>1262</v>
      </c>
      <c r="J2114" s="19" t="s">
        <v>1263</v>
      </c>
      <c r="K2114" s="19" t="s">
        <v>1159</v>
      </c>
      <c r="L2114" s="19">
        <v>2023</v>
      </c>
      <c r="M2114" s="20">
        <v>1</v>
      </c>
      <c r="N2114" s="19" t="s">
        <v>1798</v>
      </c>
      <c r="O2114" s="20">
        <v>10</v>
      </c>
      <c r="P2114" s="20">
        <v>10</v>
      </c>
      <c r="Q2114" s="20">
        <v>1234.5812651956737</v>
      </c>
      <c r="R2114" s="21">
        <v>0.91</v>
      </c>
      <c r="S2114" s="20">
        <v>1234.5812651956737</v>
      </c>
    </row>
    <row r="2115" spans="2:19" ht="15" customHeight="1" x14ac:dyDescent="0.25">
      <c r="B2115" s="2" t="str">
        <f t="shared" si="64"/>
        <v>PGL_Business_Public Sector_Rebates_Water Heater_Storage 88% TE ≥75MBh_CI</v>
      </c>
      <c r="C2115" s="2" t="str">
        <f t="shared" si="65"/>
        <v>PGL_Business_Public Sector_Rebates_Water Heater_Storage 88% TE ≥75MBh_CI_2024</v>
      </c>
      <c r="D2115" s="19" t="s">
        <v>1794</v>
      </c>
      <c r="E2115" s="19" t="s">
        <v>3</v>
      </c>
      <c r="F2115" s="19" t="s">
        <v>1430</v>
      </c>
      <c r="G2115" s="19" t="s">
        <v>1429</v>
      </c>
      <c r="H2115" s="19" t="s">
        <v>8</v>
      </c>
      <c r="I2115" s="19" t="s">
        <v>1262</v>
      </c>
      <c r="J2115" s="19" t="s">
        <v>1263</v>
      </c>
      <c r="K2115" s="19" t="s">
        <v>1159</v>
      </c>
      <c r="L2115" s="19">
        <v>2024</v>
      </c>
      <c r="M2115" s="20">
        <v>1</v>
      </c>
      <c r="N2115" s="19" t="s">
        <v>1798</v>
      </c>
      <c r="O2115" s="20">
        <v>10</v>
      </c>
      <c r="P2115" s="20">
        <v>10</v>
      </c>
      <c r="Q2115" s="20">
        <v>1234.5812651956737</v>
      </c>
      <c r="R2115" s="21">
        <v>0.91</v>
      </c>
      <c r="S2115" s="20">
        <v>1234.5812651956737</v>
      </c>
    </row>
    <row r="2116" spans="2:19" ht="15" customHeight="1" x14ac:dyDescent="0.25">
      <c r="B2116" s="2" t="str">
        <f t="shared" si="64"/>
        <v>PGL_Business_Public Sector_Rebates_Water Heater_Storage 88% TE ≥75MBh_CI</v>
      </c>
      <c r="C2116" s="2" t="str">
        <f t="shared" si="65"/>
        <v>PGL_Business_Public Sector_Rebates_Water Heater_Storage 88% TE ≥75MBh_CI_2025</v>
      </c>
      <c r="D2116" s="19" t="s">
        <v>1794</v>
      </c>
      <c r="E2116" s="19" t="s">
        <v>3</v>
      </c>
      <c r="F2116" s="19" t="s">
        <v>1430</v>
      </c>
      <c r="G2116" s="19" t="s">
        <v>1429</v>
      </c>
      <c r="H2116" s="19" t="s">
        <v>8</v>
      </c>
      <c r="I2116" s="19" t="s">
        <v>1262</v>
      </c>
      <c r="J2116" s="19" t="s">
        <v>1263</v>
      </c>
      <c r="K2116" s="19" t="s">
        <v>1159</v>
      </c>
      <c r="L2116" s="19">
        <v>2025</v>
      </c>
      <c r="M2116" s="20">
        <v>1</v>
      </c>
      <c r="N2116" s="19" t="s">
        <v>1798</v>
      </c>
      <c r="O2116" s="20">
        <v>10</v>
      </c>
      <c r="P2116" s="20">
        <v>10</v>
      </c>
      <c r="Q2116" s="20">
        <v>1234.5812651956737</v>
      </c>
      <c r="R2116" s="21">
        <v>0.91</v>
      </c>
      <c r="S2116" s="20">
        <v>1234.5812651956737</v>
      </c>
    </row>
    <row r="2117" spans="2:19" ht="15" customHeight="1" x14ac:dyDescent="0.25">
      <c r="B2117" s="2" t="str">
        <f t="shared" si="64"/>
        <v>PGL_Business_Public Sector_Rebates_Water Heater_Central Lodging 88% TE_CI</v>
      </c>
      <c r="C2117" s="2" t="str">
        <f t="shared" si="65"/>
        <v>PGL_Business_Public Sector_Rebates_Water Heater_Central Lodging 88% TE_CI_2022</v>
      </c>
      <c r="D2117" s="19" t="s">
        <v>1794</v>
      </c>
      <c r="E2117" s="19" t="s">
        <v>3</v>
      </c>
      <c r="F2117" s="19" t="s">
        <v>1430</v>
      </c>
      <c r="G2117" s="19" t="s">
        <v>1429</v>
      </c>
      <c r="H2117" s="19" t="s">
        <v>8</v>
      </c>
      <c r="I2117" s="19" t="s">
        <v>1304</v>
      </c>
      <c r="J2117" s="19" t="s">
        <v>30</v>
      </c>
      <c r="K2117" s="19" t="s">
        <v>1159</v>
      </c>
      <c r="L2117" s="19">
        <v>2022</v>
      </c>
      <c r="M2117" s="20">
        <v>150</v>
      </c>
      <c r="N2117" s="19" t="s">
        <v>667</v>
      </c>
      <c r="O2117" s="20">
        <v>1</v>
      </c>
      <c r="P2117" s="20">
        <v>150</v>
      </c>
      <c r="Q2117" s="20">
        <v>1271.6733123577324</v>
      </c>
      <c r="R2117" s="21">
        <v>0.91</v>
      </c>
      <c r="S2117" s="20">
        <v>1271.6733123577324</v>
      </c>
    </row>
    <row r="2118" spans="2:19" ht="15" customHeight="1" x14ac:dyDescent="0.25">
      <c r="B2118" s="2" t="str">
        <f t="shared" ref="B2118:B2181" si="66">D2118&amp;"_"&amp;E2118&amp;"_"&amp;F2118&amp;"_"&amp;G2118&amp;"_"&amp;H2118&amp;"_"&amp;I2118&amp;"_"&amp;K2118</f>
        <v>PGL_Business_Public Sector_Rebates_Water Heater_Central Lodging 88% TE_CI</v>
      </c>
      <c r="C2118" s="2" t="str">
        <f t="shared" ref="C2118:C2181" si="67">D2118&amp;"_"&amp;E2118&amp;"_"&amp;F2118&amp;"_"&amp;G2118&amp;"_"&amp;H2118&amp;"_"&amp;I2118&amp;"_"&amp;K2118&amp;"_"&amp;L2118</f>
        <v>PGL_Business_Public Sector_Rebates_Water Heater_Central Lodging 88% TE_CI_2023</v>
      </c>
      <c r="D2118" s="19" t="s">
        <v>1794</v>
      </c>
      <c r="E2118" s="19" t="s">
        <v>3</v>
      </c>
      <c r="F2118" s="19" t="s">
        <v>1430</v>
      </c>
      <c r="G2118" s="19" t="s">
        <v>1429</v>
      </c>
      <c r="H2118" s="19" t="s">
        <v>8</v>
      </c>
      <c r="I2118" s="19" t="s">
        <v>1304</v>
      </c>
      <c r="J2118" s="19" t="s">
        <v>30</v>
      </c>
      <c r="K2118" s="19" t="s">
        <v>1159</v>
      </c>
      <c r="L2118" s="19">
        <v>2023</v>
      </c>
      <c r="M2118" s="20">
        <v>150</v>
      </c>
      <c r="N2118" s="19" t="s">
        <v>667</v>
      </c>
      <c r="O2118" s="20">
        <v>1</v>
      </c>
      <c r="P2118" s="20">
        <v>150</v>
      </c>
      <c r="Q2118" s="20">
        <v>1271.6733123577324</v>
      </c>
      <c r="R2118" s="21">
        <v>0.91</v>
      </c>
      <c r="S2118" s="20">
        <v>1271.6733123577324</v>
      </c>
    </row>
    <row r="2119" spans="2:19" ht="15" customHeight="1" x14ac:dyDescent="0.25">
      <c r="B2119" s="2" t="str">
        <f t="shared" si="66"/>
        <v>PGL_Business_Public Sector_Rebates_Water Heater_Central Lodging 88% TE_CI</v>
      </c>
      <c r="C2119" s="2" t="str">
        <f t="shared" si="67"/>
        <v>PGL_Business_Public Sector_Rebates_Water Heater_Central Lodging 88% TE_CI_2024</v>
      </c>
      <c r="D2119" s="19" t="s">
        <v>1794</v>
      </c>
      <c r="E2119" s="19" t="s">
        <v>3</v>
      </c>
      <c r="F2119" s="19" t="s">
        <v>1430</v>
      </c>
      <c r="G2119" s="19" t="s">
        <v>1429</v>
      </c>
      <c r="H2119" s="19" t="s">
        <v>8</v>
      </c>
      <c r="I2119" s="19" t="s">
        <v>1304</v>
      </c>
      <c r="J2119" s="19" t="s">
        <v>30</v>
      </c>
      <c r="K2119" s="19" t="s">
        <v>1159</v>
      </c>
      <c r="L2119" s="19">
        <v>2024</v>
      </c>
      <c r="M2119" s="20">
        <v>150</v>
      </c>
      <c r="N2119" s="19" t="s">
        <v>667</v>
      </c>
      <c r="O2119" s="20">
        <v>1</v>
      </c>
      <c r="P2119" s="20">
        <v>150</v>
      </c>
      <c r="Q2119" s="20">
        <v>1271.6733123577324</v>
      </c>
      <c r="R2119" s="21">
        <v>0.91</v>
      </c>
      <c r="S2119" s="20">
        <v>1271.6733123577324</v>
      </c>
    </row>
    <row r="2120" spans="2:19" ht="15" customHeight="1" x14ac:dyDescent="0.25">
      <c r="B2120" s="2" t="str">
        <f t="shared" si="66"/>
        <v>PGL_Business_Public Sector_Rebates_Water Heater_Central Lodging 88% TE_CI</v>
      </c>
      <c r="C2120" s="2" t="str">
        <f t="shared" si="67"/>
        <v>PGL_Business_Public Sector_Rebates_Water Heater_Central Lodging 88% TE_CI_2025</v>
      </c>
      <c r="D2120" s="19" t="s">
        <v>1794</v>
      </c>
      <c r="E2120" s="19" t="s">
        <v>3</v>
      </c>
      <c r="F2120" s="19" t="s">
        <v>1430</v>
      </c>
      <c r="G2120" s="19" t="s">
        <v>1429</v>
      </c>
      <c r="H2120" s="19" t="s">
        <v>8</v>
      </c>
      <c r="I2120" s="19" t="s">
        <v>1304</v>
      </c>
      <c r="J2120" s="19" t="s">
        <v>30</v>
      </c>
      <c r="K2120" s="19" t="s">
        <v>1159</v>
      </c>
      <c r="L2120" s="19">
        <v>2025</v>
      </c>
      <c r="M2120" s="20">
        <v>150</v>
      </c>
      <c r="N2120" s="19" t="s">
        <v>667</v>
      </c>
      <c r="O2120" s="20">
        <v>1</v>
      </c>
      <c r="P2120" s="20">
        <v>150</v>
      </c>
      <c r="Q2120" s="20">
        <v>1271.6733123577324</v>
      </c>
      <c r="R2120" s="21">
        <v>0.91</v>
      </c>
      <c r="S2120" s="20">
        <v>1271.6733123577324</v>
      </c>
    </row>
    <row r="2121" spans="2:19" ht="15" customHeight="1" x14ac:dyDescent="0.25">
      <c r="B2121" s="2" t="str">
        <f t="shared" si="66"/>
        <v>PGL_Business_Public Sector_Rebates_Energy Recovery Ventilator_0_CI</v>
      </c>
      <c r="C2121" s="2" t="str">
        <f t="shared" si="67"/>
        <v>PGL_Business_Public Sector_Rebates_Energy Recovery Ventilator_0_CI_2022</v>
      </c>
      <c r="D2121" s="19" t="s">
        <v>1794</v>
      </c>
      <c r="E2121" s="19" t="s">
        <v>3</v>
      </c>
      <c r="F2121" s="19" t="s">
        <v>1430</v>
      </c>
      <c r="G2121" s="19" t="s">
        <v>1429</v>
      </c>
      <c r="H2121" s="19" t="s">
        <v>11</v>
      </c>
      <c r="I2121" s="19">
        <v>0</v>
      </c>
      <c r="J2121" s="19" t="s">
        <v>27</v>
      </c>
      <c r="K2121" s="19" t="s">
        <v>1159</v>
      </c>
      <c r="L2121" s="19">
        <v>2022</v>
      </c>
      <c r="M2121" s="20">
        <v>1</v>
      </c>
      <c r="N2121" s="19" t="s">
        <v>331</v>
      </c>
      <c r="O2121" s="20">
        <v>2</v>
      </c>
      <c r="P2121" s="20">
        <v>2</v>
      </c>
      <c r="Q2121" s="20">
        <v>0.8646489132595484</v>
      </c>
      <c r="R2121" s="21">
        <v>0.91</v>
      </c>
      <c r="S2121" s="20">
        <v>0.8646489132595484</v>
      </c>
    </row>
    <row r="2122" spans="2:19" ht="15" customHeight="1" x14ac:dyDescent="0.25">
      <c r="B2122" s="2" t="str">
        <f t="shared" si="66"/>
        <v>PGL_Business_Public Sector_Rebates_Energy Recovery Ventilator_0_CI</v>
      </c>
      <c r="C2122" s="2" t="str">
        <f t="shared" si="67"/>
        <v>PGL_Business_Public Sector_Rebates_Energy Recovery Ventilator_0_CI_2023</v>
      </c>
      <c r="D2122" s="19" t="s">
        <v>1794</v>
      </c>
      <c r="E2122" s="19" t="s">
        <v>3</v>
      </c>
      <c r="F2122" s="19" t="s">
        <v>1430</v>
      </c>
      <c r="G2122" s="19" t="s">
        <v>1429</v>
      </c>
      <c r="H2122" s="19" t="s">
        <v>11</v>
      </c>
      <c r="I2122" s="19">
        <v>0</v>
      </c>
      <c r="J2122" s="19" t="s">
        <v>27</v>
      </c>
      <c r="K2122" s="19" t="s">
        <v>1159</v>
      </c>
      <c r="L2122" s="19">
        <v>2023</v>
      </c>
      <c r="M2122" s="20">
        <v>1</v>
      </c>
      <c r="N2122" s="19" t="s">
        <v>331</v>
      </c>
      <c r="O2122" s="20">
        <v>2</v>
      </c>
      <c r="P2122" s="20">
        <v>2</v>
      </c>
      <c r="Q2122" s="20">
        <v>0.8646489132595484</v>
      </c>
      <c r="R2122" s="21">
        <v>0.91</v>
      </c>
      <c r="S2122" s="20">
        <v>0.8646489132595484</v>
      </c>
    </row>
    <row r="2123" spans="2:19" ht="15" customHeight="1" x14ac:dyDescent="0.25">
      <c r="B2123" s="2" t="str">
        <f t="shared" si="66"/>
        <v>PGL_Business_Public Sector_Rebates_Energy Recovery Ventilator_0_CI</v>
      </c>
      <c r="C2123" s="2" t="str">
        <f t="shared" si="67"/>
        <v>PGL_Business_Public Sector_Rebates_Energy Recovery Ventilator_0_CI_2024</v>
      </c>
      <c r="D2123" s="19" t="s">
        <v>1794</v>
      </c>
      <c r="E2123" s="19" t="s">
        <v>3</v>
      </c>
      <c r="F2123" s="19" t="s">
        <v>1430</v>
      </c>
      <c r="G2123" s="19" t="s">
        <v>1429</v>
      </c>
      <c r="H2123" s="19" t="s">
        <v>11</v>
      </c>
      <c r="I2123" s="19">
        <v>0</v>
      </c>
      <c r="J2123" s="19" t="s">
        <v>27</v>
      </c>
      <c r="K2123" s="19" t="s">
        <v>1159</v>
      </c>
      <c r="L2123" s="19">
        <v>2024</v>
      </c>
      <c r="M2123" s="20">
        <v>1</v>
      </c>
      <c r="N2123" s="19" t="s">
        <v>331</v>
      </c>
      <c r="O2123" s="20">
        <v>2</v>
      </c>
      <c r="P2123" s="20">
        <v>2</v>
      </c>
      <c r="Q2123" s="20">
        <v>0.8646489132595484</v>
      </c>
      <c r="R2123" s="21">
        <v>0.91</v>
      </c>
      <c r="S2123" s="20">
        <v>0.8646489132595484</v>
      </c>
    </row>
    <row r="2124" spans="2:19" ht="15" customHeight="1" x14ac:dyDescent="0.25">
      <c r="B2124" s="2" t="str">
        <f t="shared" si="66"/>
        <v>PGL_Business_Public Sector_Rebates_Energy Recovery Ventilator_0_CI</v>
      </c>
      <c r="C2124" s="2" t="str">
        <f t="shared" si="67"/>
        <v>PGL_Business_Public Sector_Rebates_Energy Recovery Ventilator_0_CI_2025</v>
      </c>
      <c r="D2124" s="19" t="s">
        <v>1794</v>
      </c>
      <c r="E2124" s="19" t="s">
        <v>3</v>
      </c>
      <c r="F2124" s="19" t="s">
        <v>1430</v>
      </c>
      <c r="G2124" s="19" t="s">
        <v>1429</v>
      </c>
      <c r="H2124" s="19" t="s">
        <v>11</v>
      </c>
      <c r="I2124" s="19">
        <v>0</v>
      </c>
      <c r="J2124" s="19" t="s">
        <v>27</v>
      </c>
      <c r="K2124" s="19" t="s">
        <v>1159</v>
      </c>
      <c r="L2124" s="19">
        <v>2025</v>
      </c>
      <c r="M2124" s="20">
        <v>1</v>
      </c>
      <c r="N2124" s="19" t="s">
        <v>331</v>
      </c>
      <c r="O2124" s="20">
        <v>2</v>
      </c>
      <c r="P2124" s="20">
        <v>2</v>
      </c>
      <c r="Q2124" s="20">
        <v>0.8646489132595484</v>
      </c>
      <c r="R2124" s="21">
        <v>0.91</v>
      </c>
      <c r="S2124" s="20">
        <v>0.8646489132595484</v>
      </c>
    </row>
    <row r="2125" spans="2:19" ht="15" customHeight="1" x14ac:dyDescent="0.25">
      <c r="B2125" s="2" t="str">
        <f t="shared" si="66"/>
        <v>PGL_Business_Public Sector_Custom_C&amp;I Custom_0_CI</v>
      </c>
      <c r="C2125" s="2" t="str">
        <f t="shared" si="67"/>
        <v>PGL_Business_Public Sector_Custom_C&amp;I Custom_0_CI_2022</v>
      </c>
      <c r="D2125" s="19" t="s">
        <v>1794</v>
      </c>
      <c r="E2125" s="19" t="s">
        <v>3</v>
      </c>
      <c r="F2125" s="19" t="s">
        <v>1430</v>
      </c>
      <c r="G2125" s="19" t="s">
        <v>5</v>
      </c>
      <c r="H2125" s="19" t="s">
        <v>1285</v>
      </c>
      <c r="I2125" s="19">
        <v>0</v>
      </c>
      <c r="J2125" s="19">
        <v>0</v>
      </c>
      <c r="K2125" s="19" t="s">
        <v>1159</v>
      </c>
      <c r="L2125" s="19">
        <v>2022</v>
      </c>
      <c r="M2125" s="20">
        <v>14445</v>
      </c>
      <c r="N2125" s="19" t="s">
        <v>609</v>
      </c>
      <c r="O2125" s="20">
        <v>3</v>
      </c>
      <c r="P2125" s="20">
        <v>43335</v>
      </c>
      <c r="Q2125" s="20">
        <v>32067.899999999998</v>
      </c>
      <c r="R2125" s="21">
        <v>0.74</v>
      </c>
      <c r="S2125" s="20">
        <v>32067.899999999998</v>
      </c>
    </row>
    <row r="2126" spans="2:19" ht="15" customHeight="1" x14ac:dyDescent="0.25">
      <c r="B2126" s="2" t="str">
        <f t="shared" si="66"/>
        <v>PGL_Business_Public Sector_Custom_C&amp;I Custom_0_CI</v>
      </c>
      <c r="C2126" s="2" t="str">
        <f t="shared" si="67"/>
        <v>PGL_Business_Public Sector_Custom_C&amp;I Custom_0_CI_2023</v>
      </c>
      <c r="D2126" s="19" t="s">
        <v>1794</v>
      </c>
      <c r="E2126" s="19" t="s">
        <v>3</v>
      </c>
      <c r="F2126" s="19" t="s">
        <v>1430</v>
      </c>
      <c r="G2126" s="19" t="s">
        <v>5</v>
      </c>
      <c r="H2126" s="19" t="s">
        <v>1285</v>
      </c>
      <c r="I2126" s="19">
        <v>0</v>
      </c>
      <c r="J2126" s="19">
        <v>0</v>
      </c>
      <c r="K2126" s="19" t="s">
        <v>1159</v>
      </c>
      <c r="L2126" s="19">
        <v>2023</v>
      </c>
      <c r="M2126" s="20">
        <v>14445</v>
      </c>
      <c r="N2126" s="19" t="s">
        <v>609</v>
      </c>
      <c r="O2126" s="20">
        <v>3</v>
      </c>
      <c r="P2126" s="20">
        <v>43335</v>
      </c>
      <c r="Q2126" s="20">
        <v>32067.899999999998</v>
      </c>
      <c r="R2126" s="21">
        <v>0.74</v>
      </c>
      <c r="S2126" s="20">
        <v>32067.899999999998</v>
      </c>
    </row>
    <row r="2127" spans="2:19" ht="15" customHeight="1" x14ac:dyDescent="0.25">
      <c r="B2127" s="2" t="str">
        <f t="shared" si="66"/>
        <v>PGL_Business_Public Sector_Custom_C&amp;I Custom_0_CI</v>
      </c>
      <c r="C2127" s="2" t="str">
        <f t="shared" si="67"/>
        <v>PGL_Business_Public Sector_Custom_C&amp;I Custom_0_CI_2024</v>
      </c>
      <c r="D2127" s="19" t="s">
        <v>1794</v>
      </c>
      <c r="E2127" s="19" t="s">
        <v>3</v>
      </c>
      <c r="F2127" s="19" t="s">
        <v>1430</v>
      </c>
      <c r="G2127" s="19" t="s">
        <v>5</v>
      </c>
      <c r="H2127" s="19" t="s">
        <v>1285</v>
      </c>
      <c r="I2127" s="19">
        <v>0</v>
      </c>
      <c r="J2127" s="19">
        <v>0</v>
      </c>
      <c r="K2127" s="19" t="s">
        <v>1159</v>
      </c>
      <c r="L2127" s="19">
        <v>2024</v>
      </c>
      <c r="M2127" s="20">
        <v>14445</v>
      </c>
      <c r="N2127" s="19" t="s">
        <v>609</v>
      </c>
      <c r="O2127" s="20">
        <v>3</v>
      </c>
      <c r="P2127" s="20">
        <v>43335</v>
      </c>
      <c r="Q2127" s="20">
        <v>32067.899999999998</v>
      </c>
      <c r="R2127" s="21">
        <v>0.74</v>
      </c>
      <c r="S2127" s="20">
        <v>32067.899999999998</v>
      </c>
    </row>
    <row r="2128" spans="2:19" ht="15" customHeight="1" x14ac:dyDescent="0.25">
      <c r="B2128" s="2" t="str">
        <f t="shared" si="66"/>
        <v>PGL_Business_Public Sector_Custom_C&amp;I Custom_0_CI</v>
      </c>
      <c r="C2128" s="2" t="str">
        <f t="shared" si="67"/>
        <v>PGL_Business_Public Sector_Custom_C&amp;I Custom_0_CI_2025</v>
      </c>
      <c r="D2128" s="19" t="s">
        <v>1794</v>
      </c>
      <c r="E2128" s="19" t="s">
        <v>3</v>
      </c>
      <c r="F2128" s="19" t="s">
        <v>1430</v>
      </c>
      <c r="G2128" s="19" t="s">
        <v>5</v>
      </c>
      <c r="H2128" s="19" t="s">
        <v>1285</v>
      </c>
      <c r="I2128" s="19">
        <v>0</v>
      </c>
      <c r="J2128" s="19">
        <v>0</v>
      </c>
      <c r="K2128" s="19" t="s">
        <v>1159</v>
      </c>
      <c r="L2128" s="19">
        <v>2025</v>
      </c>
      <c r="M2128" s="20">
        <v>14445</v>
      </c>
      <c r="N2128" s="19" t="s">
        <v>609</v>
      </c>
      <c r="O2128" s="20">
        <v>3</v>
      </c>
      <c r="P2128" s="20">
        <v>43335</v>
      </c>
      <c r="Q2128" s="20">
        <v>32067.899999999998</v>
      </c>
      <c r="R2128" s="21">
        <v>0.74</v>
      </c>
      <c r="S2128" s="20">
        <v>32067.899999999998</v>
      </c>
    </row>
    <row r="2129" spans="2:19" ht="15" customHeight="1" x14ac:dyDescent="0.25">
      <c r="B2129" s="2" t="str">
        <f t="shared" si="66"/>
        <v>PGL_Business_Public Sector_New Construction_C&amp;I New Construction_0_CI</v>
      </c>
      <c r="C2129" s="2" t="str">
        <f t="shared" si="67"/>
        <v>PGL_Business_Public Sector_New Construction_C&amp;I New Construction_0_CI_2022</v>
      </c>
      <c r="D2129" s="19" t="s">
        <v>1794</v>
      </c>
      <c r="E2129" s="19" t="s">
        <v>3</v>
      </c>
      <c r="F2129" s="19" t="s">
        <v>1430</v>
      </c>
      <c r="G2129" s="19" t="s">
        <v>1092</v>
      </c>
      <c r="H2129" s="19" t="s">
        <v>1286</v>
      </c>
      <c r="I2129" s="19">
        <v>0</v>
      </c>
      <c r="J2129" s="19">
        <v>0</v>
      </c>
      <c r="K2129" s="19" t="s">
        <v>1159</v>
      </c>
      <c r="L2129" s="19">
        <v>2022</v>
      </c>
      <c r="M2129" s="20">
        <v>7600</v>
      </c>
      <c r="N2129" s="19" t="s">
        <v>609</v>
      </c>
      <c r="O2129" s="20">
        <v>0</v>
      </c>
      <c r="P2129" s="20">
        <v>0</v>
      </c>
      <c r="Q2129" s="20">
        <v>0</v>
      </c>
      <c r="R2129" s="21">
        <v>0.54</v>
      </c>
      <c r="S2129" s="20">
        <v>0</v>
      </c>
    </row>
    <row r="2130" spans="2:19" ht="15" customHeight="1" x14ac:dyDescent="0.25">
      <c r="B2130" s="2" t="str">
        <f t="shared" si="66"/>
        <v>PGL_Business_Public Sector_New Construction_C&amp;I New Construction_0_CI</v>
      </c>
      <c r="C2130" s="2" t="str">
        <f t="shared" si="67"/>
        <v>PGL_Business_Public Sector_New Construction_C&amp;I New Construction_0_CI_2023</v>
      </c>
      <c r="D2130" s="19" t="s">
        <v>1794</v>
      </c>
      <c r="E2130" s="19" t="s">
        <v>3</v>
      </c>
      <c r="F2130" s="19" t="s">
        <v>1430</v>
      </c>
      <c r="G2130" s="19" t="s">
        <v>1092</v>
      </c>
      <c r="H2130" s="19" t="s">
        <v>1286</v>
      </c>
      <c r="I2130" s="19">
        <v>0</v>
      </c>
      <c r="J2130" s="19">
        <v>0</v>
      </c>
      <c r="K2130" s="19" t="s">
        <v>1159</v>
      </c>
      <c r="L2130" s="19">
        <v>2023</v>
      </c>
      <c r="M2130" s="20">
        <v>7600</v>
      </c>
      <c r="N2130" s="19" t="s">
        <v>609</v>
      </c>
      <c r="O2130" s="20">
        <v>0</v>
      </c>
      <c r="P2130" s="20">
        <v>0</v>
      </c>
      <c r="Q2130" s="20">
        <v>0</v>
      </c>
      <c r="R2130" s="21">
        <v>0.54</v>
      </c>
      <c r="S2130" s="20">
        <v>0</v>
      </c>
    </row>
    <row r="2131" spans="2:19" ht="15" customHeight="1" x14ac:dyDescent="0.25">
      <c r="B2131" s="2" t="str">
        <f t="shared" si="66"/>
        <v>PGL_Business_Public Sector_New Construction_C&amp;I New Construction_0_CI</v>
      </c>
      <c r="C2131" s="2" t="str">
        <f t="shared" si="67"/>
        <v>PGL_Business_Public Sector_New Construction_C&amp;I New Construction_0_CI_2024</v>
      </c>
      <c r="D2131" s="19" t="s">
        <v>1794</v>
      </c>
      <c r="E2131" s="19" t="s">
        <v>3</v>
      </c>
      <c r="F2131" s="19" t="s">
        <v>1430</v>
      </c>
      <c r="G2131" s="19" t="s">
        <v>1092</v>
      </c>
      <c r="H2131" s="19" t="s">
        <v>1286</v>
      </c>
      <c r="I2131" s="19">
        <v>0</v>
      </c>
      <c r="J2131" s="19">
        <v>0</v>
      </c>
      <c r="K2131" s="19" t="s">
        <v>1159</v>
      </c>
      <c r="L2131" s="19">
        <v>2024</v>
      </c>
      <c r="M2131" s="20">
        <v>7600</v>
      </c>
      <c r="N2131" s="19" t="s">
        <v>609</v>
      </c>
      <c r="O2131" s="20">
        <v>0</v>
      </c>
      <c r="P2131" s="20">
        <v>0</v>
      </c>
      <c r="Q2131" s="20">
        <v>0</v>
      </c>
      <c r="R2131" s="21">
        <v>0.54</v>
      </c>
      <c r="S2131" s="20">
        <v>0</v>
      </c>
    </row>
    <row r="2132" spans="2:19" ht="15" customHeight="1" x14ac:dyDescent="0.25">
      <c r="B2132" s="2" t="str">
        <f t="shared" si="66"/>
        <v>PGL_Business_Public Sector_New Construction_C&amp;I New Construction_0_CI</v>
      </c>
      <c r="C2132" s="2" t="str">
        <f t="shared" si="67"/>
        <v>PGL_Business_Public Sector_New Construction_C&amp;I New Construction_0_CI_2025</v>
      </c>
      <c r="D2132" s="19" t="s">
        <v>1794</v>
      </c>
      <c r="E2132" s="19" t="s">
        <v>3</v>
      </c>
      <c r="F2132" s="19" t="s">
        <v>1430</v>
      </c>
      <c r="G2132" s="19" t="s">
        <v>1092</v>
      </c>
      <c r="H2132" s="19" t="s">
        <v>1286</v>
      </c>
      <c r="I2132" s="19">
        <v>0</v>
      </c>
      <c r="J2132" s="19">
        <v>0</v>
      </c>
      <c r="K2132" s="19" t="s">
        <v>1159</v>
      </c>
      <c r="L2132" s="19">
        <v>2025</v>
      </c>
      <c r="M2132" s="20">
        <v>7600</v>
      </c>
      <c r="N2132" s="19" t="s">
        <v>609</v>
      </c>
      <c r="O2132" s="20">
        <v>0</v>
      </c>
      <c r="P2132" s="20">
        <v>0</v>
      </c>
      <c r="Q2132" s="20">
        <v>0</v>
      </c>
      <c r="R2132" s="21">
        <v>0.54</v>
      </c>
      <c r="S2132" s="20">
        <v>0</v>
      </c>
    </row>
    <row r="2133" spans="2:19" ht="15" customHeight="1" x14ac:dyDescent="0.25">
      <c r="B2133" s="2" t="str">
        <f t="shared" si="66"/>
        <v>00REMOVE_00REMOVE_00REMOVE_Remove_Unit Visit_0_CI</v>
      </c>
      <c r="C2133" s="2" t="str">
        <f t="shared" si="67"/>
        <v>00REMOVE_00REMOVE_00REMOVE_Remove_Unit Visit_0_CI_2022</v>
      </c>
      <c r="D2133" s="19" t="s">
        <v>1805</v>
      </c>
      <c r="E2133" s="19" t="s">
        <v>1805</v>
      </c>
      <c r="F2133" s="19" t="s">
        <v>1805</v>
      </c>
      <c r="G2133" s="19" t="s">
        <v>1806</v>
      </c>
      <c r="H2133" s="19" t="s">
        <v>1090</v>
      </c>
      <c r="I2133" s="19">
        <v>0</v>
      </c>
      <c r="J2133" s="19">
        <v>0</v>
      </c>
      <c r="K2133" s="19" t="s">
        <v>1159</v>
      </c>
      <c r="L2133" s="19">
        <v>2022</v>
      </c>
      <c r="M2133" s="20">
        <v>1</v>
      </c>
      <c r="N2133" s="19" t="s">
        <v>1798</v>
      </c>
      <c r="O2133" s="20">
        <v>0</v>
      </c>
      <c r="P2133" s="20">
        <v>0</v>
      </c>
      <c r="Q2133" s="20">
        <v>0</v>
      </c>
      <c r="R2133" s="21">
        <v>0.91</v>
      </c>
      <c r="S2133" s="20">
        <v>0</v>
      </c>
    </row>
    <row r="2134" spans="2:19" ht="15" customHeight="1" x14ac:dyDescent="0.25">
      <c r="B2134" s="2" t="str">
        <f t="shared" si="66"/>
        <v>00REMOVE_00REMOVE_00REMOVE_Remove_Unit Visit_0_CI</v>
      </c>
      <c r="C2134" s="2" t="str">
        <f t="shared" si="67"/>
        <v>00REMOVE_00REMOVE_00REMOVE_Remove_Unit Visit_0_CI_2023</v>
      </c>
      <c r="D2134" s="19" t="s">
        <v>1805</v>
      </c>
      <c r="E2134" s="19" t="s">
        <v>1805</v>
      </c>
      <c r="F2134" s="19" t="s">
        <v>1805</v>
      </c>
      <c r="G2134" s="19" t="s">
        <v>1806</v>
      </c>
      <c r="H2134" s="19" t="s">
        <v>1090</v>
      </c>
      <c r="I2134" s="19">
        <v>0</v>
      </c>
      <c r="J2134" s="19">
        <v>0</v>
      </c>
      <c r="K2134" s="19" t="s">
        <v>1159</v>
      </c>
      <c r="L2134" s="19">
        <v>2023</v>
      </c>
      <c r="M2134" s="20">
        <v>1</v>
      </c>
      <c r="N2134" s="19" t="s">
        <v>1798</v>
      </c>
      <c r="O2134" s="20">
        <v>0</v>
      </c>
      <c r="P2134" s="20">
        <v>0</v>
      </c>
      <c r="Q2134" s="20">
        <v>0</v>
      </c>
      <c r="R2134" s="21">
        <v>0.91</v>
      </c>
      <c r="S2134" s="20">
        <v>0</v>
      </c>
    </row>
    <row r="2135" spans="2:19" ht="15" customHeight="1" x14ac:dyDescent="0.25">
      <c r="B2135" s="2" t="str">
        <f t="shared" si="66"/>
        <v>00REMOVE_00REMOVE_00REMOVE_Remove_Unit Visit_0_CI</v>
      </c>
      <c r="C2135" s="2" t="str">
        <f t="shared" si="67"/>
        <v>00REMOVE_00REMOVE_00REMOVE_Remove_Unit Visit_0_CI_2024</v>
      </c>
      <c r="D2135" s="19" t="s">
        <v>1805</v>
      </c>
      <c r="E2135" s="19" t="s">
        <v>1805</v>
      </c>
      <c r="F2135" s="19" t="s">
        <v>1805</v>
      </c>
      <c r="G2135" s="19" t="s">
        <v>1806</v>
      </c>
      <c r="H2135" s="19" t="s">
        <v>1090</v>
      </c>
      <c r="I2135" s="19">
        <v>0</v>
      </c>
      <c r="J2135" s="19">
        <v>0</v>
      </c>
      <c r="K2135" s="19" t="s">
        <v>1159</v>
      </c>
      <c r="L2135" s="19">
        <v>2024</v>
      </c>
      <c r="M2135" s="20">
        <v>1</v>
      </c>
      <c r="N2135" s="19" t="s">
        <v>1798</v>
      </c>
      <c r="O2135" s="20">
        <v>0</v>
      </c>
      <c r="P2135" s="20">
        <v>0</v>
      </c>
      <c r="Q2135" s="20">
        <v>0</v>
      </c>
      <c r="R2135" s="21">
        <v>0.91</v>
      </c>
      <c r="S2135" s="20">
        <v>0</v>
      </c>
    </row>
    <row r="2136" spans="2:19" ht="15" customHeight="1" x14ac:dyDescent="0.25">
      <c r="B2136" s="2" t="str">
        <f t="shared" si="66"/>
        <v>00REMOVE_00REMOVE_00REMOVE_Remove_Unit Visit_0_CI</v>
      </c>
      <c r="C2136" s="2" t="str">
        <f t="shared" si="67"/>
        <v>00REMOVE_00REMOVE_00REMOVE_Remove_Unit Visit_0_CI_2025</v>
      </c>
      <c r="D2136" s="19" t="s">
        <v>1805</v>
      </c>
      <c r="E2136" s="19" t="s">
        <v>1805</v>
      </c>
      <c r="F2136" s="19" t="s">
        <v>1805</v>
      </c>
      <c r="G2136" s="19" t="s">
        <v>1806</v>
      </c>
      <c r="H2136" s="19" t="s">
        <v>1090</v>
      </c>
      <c r="I2136" s="19">
        <v>0</v>
      </c>
      <c r="J2136" s="19">
        <v>0</v>
      </c>
      <c r="K2136" s="19" t="s">
        <v>1159</v>
      </c>
      <c r="L2136" s="19">
        <v>2025</v>
      </c>
      <c r="M2136" s="20">
        <v>1</v>
      </c>
      <c r="N2136" s="19" t="s">
        <v>1798</v>
      </c>
      <c r="O2136" s="20">
        <v>0</v>
      </c>
      <c r="P2136" s="20">
        <v>0</v>
      </c>
      <c r="Q2136" s="20">
        <v>0</v>
      </c>
      <c r="R2136" s="21">
        <v>0.91</v>
      </c>
      <c r="S2136" s="20">
        <v>0</v>
      </c>
    </row>
    <row r="2137" spans="2:19" ht="15" customHeight="1" x14ac:dyDescent="0.25">
      <c r="B2137" s="2" t="str">
        <f t="shared" si="66"/>
        <v>00REMOVE_00REMOVE_00REMOVE_Remove_Low Flow Bathroom Aerator_0_CI</v>
      </c>
      <c r="C2137" s="2" t="str">
        <f t="shared" si="67"/>
        <v>00REMOVE_00REMOVE_00REMOVE_Remove_Low Flow Bathroom Aerator_0_CI_2022</v>
      </c>
      <c r="D2137" s="19" t="s">
        <v>1805</v>
      </c>
      <c r="E2137" s="19" t="s">
        <v>1805</v>
      </c>
      <c r="F2137" s="19" t="s">
        <v>1805</v>
      </c>
      <c r="G2137" s="19" t="s">
        <v>1806</v>
      </c>
      <c r="H2137" s="19" t="s">
        <v>555</v>
      </c>
      <c r="I2137" s="19">
        <v>0</v>
      </c>
      <c r="J2137" s="19" t="s">
        <v>35</v>
      </c>
      <c r="K2137" s="19" t="s">
        <v>1159</v>
      </c>
      <c r="L2137" s="19">
        <v>2022</v>
      </c>
      <c r="M2137" s="20">
        <v>1</v>
      </c>
      <c r="N2137" s="19" t="s">
        <v>1798</v>
      </c>
      <c r="O2137" s="20">
        <v>0</v>
      </c>
      <c r="P2137" s="20">
        <v>0</v>
      </c>
      <c r="Q2137" s="20">
        <v>0</v>
      </c>
      <c r="R2137" s="21">
        <v>0.91</v>
      </c>
      <c r="S2137" s="20">
        <v>0</v>
      </c>
    </row>
    <row r="2138" spans="2:19" ht="15" customHeight="1" x14ac:dyDescent="0.25">
      <c r="B2138" s="2" t="str">
        <f t="shared" si="66"/>
        <v>00REMOVE_00REMOVE_00REMOVE_Remove_Low Flow Bathroom Aerator_0_CI</v>
      </c>
      <c r="C2138" s="2" t="str">
        <f t="shared" si="67"/>
        <v>00REMOVE_00REMOVE_00REMOVE_Remove_Low Flow Bathroom Aerator_0_CI_2023</v>
      </c>
      <c r="D2138" s="19" t="s">
        <v>1805</v>
      </c>
      <c r="E2138" s="19" t="s">
        <v>1805</v>
      </c>
      <c r="F2138" s="19" t="s">
        <v>1805</v>
      </c>
      <c r="G2138" s="19" t="s">
        <v>1806</v>
      </c>
      <c r="H2138" s="19" t="s">
        <v>555</v>
      </c>
      <c r="I2138" s="19">
        <v>0</v>
      </c>
      <c r="J2138" s="19" t="s">
        <v>35</v>
      </c>
      <c r="K2138" s="19" t="s">
        <v>1159</v>
      </c>
      <c r="L2138" s="19">
        <v>2023</v>
      </c>
      <c r="M2138" s="20">
        <v>1</v>
      </c>
      <c r="N2138" s="19" t="s">
        <v>1798</v>
      </c>
      <c r="O2138" s="20">
        <v>0</v>
      </c>
      <c r="P2138" s="20">
        <v>0</v>
      </c>
      <c r="Q2138" s="20">
        <v>0</v>
      </c>
      <c r="R2138" s="21">
        <v>0.91</v>
      </c>
      <c r="S2138" s="20">
        <v>0</v>
      </c>
    </row>
    <row r="2139" spans="2:19" ht="15" customHeight="1" x14ac:dyDescent="0.25">
      <c r="B2139" s="2" t="str">
        <f t="shared" si="66"/>
        <v>00REMOVE_00REMOVE_00REMOVE_Remove_Low Flow Bathroom Aerator_0_CI</v>
      </c>
      <c r="C2139" s="2" t="str">
        <f t="shared" si="67"/>
        <v>00REMOVE_00REMOVE_00REMOVE_Remove_Low Flow Bathroom Aerator_0_CI_2024</v>
      </c>
      <c r="D2139" s="19" t="s">
        <v>1805</v>
      </c>
      <c r="E2139" s="19" t="s">
        <v>1805</v>
      </c>
      <c r="F2139" s="19" t="s">
        <v>1805</v>
      </c>
      <c r="G2139" s="19" t="s">
        <v>1806</v>
      </c>
      <c r="H2139" s="19" t="s">
        <v>555</v>
      </c>
      <c r="I2139" s="19">
        <v>0</v>
      </c>
      <c r="J2139" s="19" t="s">
        <v>35</v>
      </c>
      <c r="K2139" s="19" t="s">
        <v>1159</v>
      </c>
      <c r="L2139" s="19">
        <v>2024</v>
      </c>
      <c r="M2139" s="20">
        <v>1</v>
      </c>
      <c r="N2139" s="19" t="s">
        <v>1798</v>
      </c>
      <c r="O2139" s="20">
        <v>0</v>
      </c>
      <c r="P2139" s="20">
        <v>0</v>
      </c>
      <c r="Q2139" s="20">
        <v>0</v>
      </c>
      <c r="R2139" s="21">
        <v>0.91</v>
      </c>
      <c r="S2139" s="20">
        <v>0</v>
      </c>
    </row>
    <row r="2140" spans="2:19" ht="15" customHeight="1" x14ac:dyDescent="0.25">
      <c r="B2140" s="2" t="str">
        <f t="shared" si="66"/>
        <v>00REMOVE_00REMOVE_00REMOVE_Remove_Low Flow Bathroom Aerator_0_CI</v>
      </c>
      <c r="C2140" s="2" t="str">
        <f t="shared" si="67"/>
        <v>00REMOVE_00REMOVE_00REMOVE_Remove_Low Flow Bathroom Aerator_0_CI_2025</v>
      </c>
      <c r="D2140" s="19" t="s">
        <v>1805</v>
      </c>
      <c r="E2140" s="19" t="s">
        <v>1805</v>
      </c>
      <c r="F2140" s="19" t="s">
        <v>1805</v>
      </c>
      <c r="G2140" s="19" t="s">
        <v>1806</v>
      </c>
      <c r="H2140" s="19" t="s">
        <v>555</v>
      </c>
      <c r="I2140" s="19">
        <v>0</v>
      </c>
      <c r="J2140" s="19" t="s">
        <v>35</v>
      </c>
      <c r="K2140" s="19" t="s">
        <v>1159</v>
      </c>
      <c r="L2140" s="19">
        <v>2025</v>
      </c>
      <c r="M2140" s="20">
        <v>1</v>
      </c>
      <c r="N2140" s="19" t="s">
        <v>1798</v>
      </c>
      <c r="O2140" s="20">
        <v>0</v>
      </c>
      <c r="P2140" s="20">
        <v>0</v>
      </c>
      <c r="Q2140" s="20">
        <v>0</v>
      </c>
      <c r="R2140" s="21">
        <v>0.91</v>
      </c>
      <c r="S2140" s="20">
        <v>0</v>
      </c>
    </row>
    <row r="2141" spans="2:19" ht="15" customHeight="1" x14ac:dyDescent="0.25">
      <c r="B2141" s="2" t="str">
        <f t="shared" si="66"/>
        <v>00REMOVE_00REMOVE_00REMOVE_Remove_Low Flow Kitchen Aerator_0_CI</v>
      </c>
      <c r="C2141" s="2" t="str">
        <f t="shared" si="67"/>
        <v>00REMOVE_00REMOVE_00REMOVE_Remove_Low Flow Kitchen Aerator_0_CI_2022</v>
      </c>
      <c r="D2141" s="19" t="s">
        <v>1805</v>
      </c>
      <c r="E2141" s="19" t="s">
        <v>1805</v>
      </c>
      <c r="F2141" s="19" t="s">
        <v>1805</v>
      </c>
      <c r="G2141" s="19" t="s">
        <v>1806</v>
      </c>
      <c r="H2141" s="19" t="s">
        <v>533</v>
      </c>
      <c r="I2141" s="19">
        <v>0</v>
      </c>
      <c r="J2141" s="19" t="s">
        <v>35</v>
      </c>
      <c r="K2141" s="19" t="s">
        <v>1159</v>
      </c>
      <c r="L2141" s="19">
        <v>2022</v>
      </c>
      <c r="M2141" s="20">
        <v>1</v>
      </c>
      <c r="N2141" s="19" t="s">
        <v>1798</v>
      </c>
      <c r="O2141" s="20">
        <v>0</v>
      </c>
      <c r="P2141" s="20">
        <v>0</v>
      </c>
      <c r="Q2141" s="20">
        <v>0</v>
      </c>
      <c r="R2141" s="21">
        <v>0.91</v>
      </c>
      <c r="S2141" s="20">
        <v>0</v>
      </c>
    </row>
    <row r="2142" spans="2:19" ht="15" customHeight="1" x14ac:dyDescent="0.25">
      <c r="B2142" s="2" t="str">
        <f t="shared" si="66"/>
        <v>00REMOVE_00REMOVE_00REMOVE_Remove_Low Flow Kitchen Aerator_0_CI</v>
      </c>
      <c r="C2142" s="2" t="str">
        <f t="shared" si="67"/>
        <v>00REMOVE_00REMOVE_00REMOVE_Remove_Low Flow Kitchen Aerator_0_CI_2023</v>
      </c>
      <c r="D2142" s="19" t="s">
        <v>1805</v>
      </c>
      <c r="E2142" s="19" t="s">
        <v>1805</v>
      </c>
      <c r="F2142" s="19" t="s">
        <v>1805</v>
      </c>
      <c r="G2142" s="19" t="s">
        <v>1806</v>
      </c>
      <c r="H2142" s="19" t="s">
        <v>533</v>
      </c>
      <c r="I2142" s="19">
        <v>0</v>
      </c>
      <c r="J2142" s="19" t="s">
        <v>35</v>
      </c>
      <c r="K2142" s="19" t="s">
        <v>1159</v>
      </c>
      <c r="L2142" s="19">
        <v>2023</v>
      </c>
      <c r="M2142" s="20">
        <v>1</v>
      </c>
      <c r="N2142" s="19" t="s">
        <v>1798</v>
      </c>
      <c r="O2142" s="20">
        <v>0</v>
      </c>
      <c r="P2142" s="20">
        <v>0</v>
      </c>
      <c r="Q2142" s="20">
        <v>0</v>
      </c>
      <c r="R2142" s="21">
        <v>0.91</v>
      </c>
      <c r="S2142" s="20">
        <v>0</v>
      </c>
    </row>
    <row r="2143" spans="2:19" ht="15" customHeight="1" x14ac:dyDescent="0.25">
      <c r="B2143" s="2" t="str">
        <f t="shared" si="66"/>
        <v>00REMOVE_00REMOVE_00REMOVE_Remove_Low Flow Kitchen Aerator_0_CI</v>
      </c>
      <c r="C2143" s="2" t="str">
        <f t="shared" si="67"/>
        <v>00REMOVE_00REMOVE_00REMOVE_Remove_Low Flow Kitchen Aerator_0_CI_2024</v>
      </c>
      <c r="D2143" s="19" t="s">
        <v>1805</v>
      </c>
      <c r="E2143" s="19" t="s">
        <v>1805</v>
      </c>
      <c r="F2143" s="19" t="s">
        <v>1805</v>
      </c>
      <c r="G2143" s="19" t="s">
        <v>1806</v>
      </c>
      <c r="H2143" s="19" t="s">
        <v>533</v>
      </c>
      <c r="I2143" s="19">
        <v>0</v>
      </c>
      <c r="J2143" s="19" t="s">
        <v>35</v>
      </c>
      <c r="K2143" s="19" t="s">
        <v>1159</v>
      </c>
      <c r="L2143" s="19">
        <v>2024</v>
      </c>
      <c r="M2143" s="20">
        <v>1</v>
      </c>
      <c r="N2143" s="19" t="s">
        <v>1798</v>
      </c>
      <c r="O2143" s="20">
        <v>0</v>
      </c>
      <c r="P2143" s="20">
        <v>0</v>
      </c>
      <c r="Q2143" s="20">
        <v>0</v>
      </c>
      <c r="R2143" s="21">
        <v>0.91</v>
      </c>
      <c r="S2143" s="20">
        <v>0</v>
      </c>
    </row>
    <row r="2144" spans="2:19" ht="15" customHeight="1" x14ac:dyDescent="0.25">
      <c r="B2144" s="2" t="str">
        <f t="shared" si="66"/>
        <v>00REMOVE_00REMOVE_00REMOVE_Remove_Low Flow Kitchen Aerator_0_CI</v>
      </c>
      <c r="C2144" s="2" t="str">
        <f t="shared" si="67"/>
        <v>00REMOVE_00REMOVE_00REMOVE_Remove_Low Flow Kitchen Aerator_0_CI_2025</v>
      </c>
      <c r="D2144" s="19" t="s">
        <v>1805</v>
      </c>
      <c r="E2144" s="19" t="s">
        <v>1805</v>
      </c>
      <c r="F2144" s="19" t="s">
        <v>1805</v>
      </c>
      <c r="G2144" s="19" t="s">
        <v>1806</v>
      </c>
      <c r="H2144" s="19" t="s">
        <v>533</v>
      </c>
      <c r="I2144" s="19">
        <v>0</v>
      </c>
      <c r="J2144" s="19" t="s">
        <v>35</v>
      </c>
      <c r="K2144" s="19" t="s">
        <v>1159</v>
      </c>
      <c r="L2144" s="19">
        <v>2025</v>
      </c>
      <c r="M2144" s="20">
        <v>1</v>
      </c>
      <c r="N2144" s="19" t="s">
        <v>1798</v>
      </c>
      <c r="O2144" s="20">
        <v>0</v>
      </c>
      <c r="P2144" s="20">
        <v>0</v>
      </c>
      <c r="Q2144" s="20">
        <v>0</v>
      </c>
      <c r="R2144" s="21">
        <v>0.91</v>
      </c>
      <c r="S2144" s="20">
        <v>0</v>
      </c>
    </row>
    <row r="2145" spans="2:19" ht="15" customHeight="1" x14ac:dyDescent="0.25">
      <c r="B2145" s="2" t="str">
        <f t="shared" si="66"/>
        <v>00REMOVE_00REMOVE_00REMOVE_Remove_Low Flow Showerhead_0_CI</v>
      </c>
      <c r="C2145" s="2" t="str">
        <f t="shared" si="67"/>
        <v>00REMOVE_00REMOVE_00REMOVE_Remove_Low Flow Showerhead_0_CI_2022</v>
      </c>
      <c r="D2145" s="19" t="s">
        <v>1805</v>
      </c>
      <c r="E2145" s="19" t="s">
        <v>1805</v>
      </c>
      <c r="F2145" s="19" t="s">
        <v>1805</v>
      </c>
      <c r="G2145" s="19" t="s">
        <v>1806</v>
      </c>
      <c r="H2145" s="19" t="s">
        <v>15</v>
      </c>
      <c r="I2145" s="19">
        <v>0</v>
      </c>
      <c r="J2145" s="19" t="s">
        <v>36</v>
      </c>
      <c r="K2145" s="19" t="s">
        <v>1159</v>
      </c>
      <c r="L2145" s="19">
        <v>2022</v>
      </c>
      <c r="M2145" s="20">
        <v>1</v>
      </c>
      <c r="N2145" s="19" t="s">
        <v>1798</v>
      </c>
      <c r="O2145" s="20">
        <v>0</v>
      </c>
      <c r="P2145" s="20">
        <v>0</v>
      </c>
      <c r="Q2145" s="20">
        <v>0</v>
      </c>
      <c r="R2145" s="21">
        <v>0.91</v>
      </c>
      <c r="S2145" s="20">
        <v>0</v>
      </c>
    </row>
    <row r="2146" spans="2:19" ht="15" customHeight="1" x14ac:dyDescent="0.25">
      <c r="B2146" s="2" t="str">
        <f t="shared" si="66"/>
        <v>00REMOVE_00REMOVE_00REMOVE_Remove_Low Flow Showerhead_0_CI</v>
      </c>
      <c r="C2146" s="2" t="str">
        <f t="shared" si="67"/>
        <v>00REMOVE_00REMOVE_00REMOVE_Remove_Low Flow Showerhead_0_CI_2023</v>
      </c>
      <c r="D2146" s="19" t="s">
        <v>1805</v>
      </c>
      <c r="E2146" s="19" t="s">
        <v>1805</v>
      </c>
      <c r="F2146" s="19" t="s">
        <v>1805</v>
      </c>
      <c r="G2146" s="19" t="s">
        <v>1806</v>
      </c>
      <c r="H2146" s="19" t="s">
        <v>15</v>
      </c>
      <c r="I2146" s="19">
        <v>0</v>
      </c>
      <c r="J2146" s="19" t="s">
        <v>36</v>
      </c>
      <c r="K2146" s="19" t="s">
        <v>1159</v>
      </c>
      <c r="L2146" s="19">
        <v>2023</v>
      </c>
      <c r="M2146" s="20">
        <v>1</v>
      </c>
      <c r="N2146" s="19" t="s">
        <v>1798</v>
      </c>
      <c r="O2146" s="20">
        <v>0</v>
      </c>
      <c r="P2146" s="20">
        <v>0</v>
      </c>
      <c r="Q2146" s="20">
        <v>0</v>
      </c>
      <c r="R2146" s="21">
        <v>0.91</v>
      </c>
      <c r="S2146" s="20">
        <v>0</v>
      </c>
    </row>
    <row r="2147" spans="2:19" ht="15" customHeight="1" x14ac:dyDescent="0.25">
      <c r="B2147" s="2" t="str">
        <f t="shared" si="66"/>
        <v>00REMOVE_00REMOVE_00REMOVE_Remove_Low Flow Showerhead_0_CI</v>
      </c>
      <c r="C2147" s="2" t="str">
        <f t="shared" si="67"/>
        <v>00REMOVE_00REMOVE_00REMOVE_Remove_Low Flow Showerhead_0_CI_2024</v>
      </c>
      <c r="D2147" s="19" t="s">
        <v>1805</v>
      </c>
      <c r="E2147" s="19" t="s">
        <v>1805</v>
      </c>
      <c r="F2147" s="19" t="s">
        <v>1805</v>
      </c>
      <c r="G2147" s="19" t="s">
        <v>1806</v>
      </c>
      <c r="H2147" s="19" t="s">
        <v>15</v>
      </c>
      <c r="I2147" s="19">
        <v>0</v>
      </c>
      <c r="J2147" s="19" t="s">
        <v>36</v>
      </c>
      <c r="K2147" s="19" t="s">
        <v>1159</v>
      </c>
      <c r="L2147" s="19">
        <v>2024</v>
      </c>
      <c r="M2147" s="20">
        <v>1</v>
      </c>
      <c r="N2147" s="19" t="s">
        <v>1798</v>
      </c>
      <c r="O2147" s="20">
        <v>0</v>
      </c>
      <c r="P2147" s="20">
        <v>0</v>
      </c>
      <c r="Q2147" s="20">
        <v>0</v>
      </c>
      <c r="R2147" s="21">
        <v>0.91</v>
      </c>
      <c r="S2147" s="20">
        <v>0</v>
      </c>
    </row>
    <row r="2148" spans="2:19" ht="15" customHeight="1" x14ac:dyDescent="0.25">
      <c r="B2148" s="2" t="str">
        <f t="shared" si="66"/>
        <v>00REMOVE_00REMOVE_00REMOVE_Remove_Low Flow Showerhead_0_CI</v>
      </c>
      <c r="C2148" s="2" t="str">
        <f t="shared" si="67"/>
        <v>00REMOVE_00REMOVE_00REMOVE_Remove_Low Flow Showerhead_0_CI_2025</v>
      </c>
      <c r="D2148" s="19" t="s">
        <v>1805</v>
      </c>
      <c r="E2148" s="19" t="s">
        <v>1805</v>
      </c>
      <c r="F2148" s="19" t="s">
        <v>1805</v>
      </c>
      <c r="G2148" s="19" t="s">
        <v>1806</v>
      </c>
      <c r="H2148" s="19" t="s">
        <v>15</v>
      </c>
      <c r="I2148" s="19">
        <v>0</v>
      </c>
      <c r="J2148" s="19" t="s">
        <v>36</v>
      </c>
      <c r="K2148" s="19" t="s">
        <v>1159</v>
      </c>
      <c r="L2148" s="19">
        <v>2025</v>
      </c>
      <c r="M2148" s="20">
        <v>1</v>
      </c>
      <c r="N2148" s="19" t="s">
        <v>1798</v>
      </c>
      <c r="O2148" s="20">
        <v>0</v>
      </c>
      <c r="P2148" s="20">
        <v>0</v>
      </c>
      <c r="Q2148" s="20">
        <v>0</v>
      </c>
      <c r="R2148" s="21">
        <v>0.91</v>
      </c>
      <c r="S2148" s="20">
        <v>0</v>
      </c>
    </row>
    <row r="2149" spans="2:19" ht="15" customHeight="1" x14ac:dyDescent="0.25">
      <c r="B2149" s="2" t="str">
        <f t="shared" si="66"/>
        <v>00REMOVE_00REMOVE_00REMOVE_Remove_Pipe Insulation_DHW_CI</v>
      </c>
      <c r="C2149" s="2" t="str">
        <f t="shared" si="67"/>
        <v>00REMOVE_00REMOVE_00REMOVE_Remove_Pipe Insulation_DHW_CI_2022</v>
      </c>
      <c r="D2149" s="19" t="s">
        <v>1805</v>
      </c>
      <c r="E2149" s="19" t="s">
        <v>1805</v>
      </c>
      <c r="F2149" s="19" t="s">
        <v>1805</v>
      </c>
      <c r="G2149" s="19" t="s">
        <v>1806</v>
      </c>
      <c r="H2149" s="19" t="s">
        <v>404</v>
      </c>
      <c r="I2149" s="19" t="s">
        <v>1019</v>
      </c>
      <c r="J2149" s="19" t="s">
        <v>1272</v>
      </c>
      <c r="K2149" s="19" t="s">
        <v>1159</v>
      </c>
      <c r="L2149" s="19">
        <v>2022</v>
      </c>
      <c r="M2149" s="20">
        <v>1</v>
      </c>
      <c r="N2149" s="19" t="s">
        <v>616</v>
      </c>
      <c r="O2149" s="20">
        <v>0</v>
      </c>
      <c r="P2149" s="20">
        <v>0</v>
      </c>
      <c r="Q2149" s="20">
        <v>0</v>
      </c>
      <c r="R2149" s="21">
        <v>0.91</v>
      </c>
      <c r="S2149" s="20">
        <v>0</v>
      </c>
    </row>
    <row r="2150" spans="2:19" ht="15" customHeight="1" x14ac:dyDescent="0.25">
      <c r="B2150" s="2" t="str">
        <f t="shared" si="66"/>
        <v>00REMOVE_00REMOVE_00REMOVE_Remove_Pipe Insulation_DHW_CI</v>
      </c>
      <c r="C2150" s="2" t="str">
        <f t="shared" si="67"/>
        <v>00REMOVE_00REMOVE_00REMOVE_Remove_Pipe Insulation_DHW_CI_2023</v>
      </c>
      <c r="D2150" s="19" t="s">
        <v>1805</v>
      </c>
      <c r="E2150" s="19" t="s">
        <v>1805</v>
      </c>
      <c r="F2150" s="19" t="s">
        <v>1805</v>
      </c>
      <c r="G2150" s="19" t="s">
        <v>1806</v>
      </c>
      <c r="H2150" s="19" t="s">
        <v>404</v>
      </c>
      <c r="I2150" s="19" t="s">
        <v>1019</v>
      </c>
      <c r="J2150" s="19" t="s">
        <v>1272</v>
      </c>
      <c r="K2150" s="19" t="s">
        <v>1159</v>
      </c>
      <c r="L2150" s="19">
        <v>2023</v>
      </c>
      <c r="M2150" s="20">
        <v>1</v>
      </c>
      <c r="N2150" s="19" t="s">
        <v>616</v>
      </c>
      <c r="O2150" s="20">
        <v>0</v>
      </c>
      <c r="P2150" s="20">
        <v>0</v>
      </c>
      <c r="Q2150" s="20">
        <v>0</v>
      </c>
      <c r="R2150" s="21">
        <v>0.91</v>
      </c>
      <c r="S2150" s="20">
        <v>0</v>
      </c>
    </row>
    <row r="2151" spans="2:19" ht="15" customHeight="1" x14ac:dyDescent="0.25">
      <c r="B2151" s="2" t="str">
        <f t="shared" si="66"/>
        <v>00REMOVE_00REMOVE_00REMOVE_Remove_Pipe Insulation_DHW_CI</v>
      </c>
      <c r="C2151" s="2" t="str">
        <f t="shared" si="67"/>
        <v>00REMOVE_00REMOVE_00REMOVE_Remove_Pipe Insulation_DHW_CI_2024</v>
      </c>
      <c r="D2151" s="19" t="s">
        <v>1805</v>
      </c>
      <c r="E2151" s="19" t="s">
        <v>1805</v>
      </c>
      <c r="F2151" s="19" t="s">
        <v>1805</v>
      </c>
      <c r="G2151" s="19" t="s">
        <v>1806</v>
      </c>
      <c r="H2151" s="19" t="s">
        <v>404</v>
      </c>
      <c r="I2151" s="19" t="s">
        <v>1019</v>
      </c>
      <c r="J2151" s="19" t="s">
        <v>1272</v>
      </c>
      <c r="K2151" s="19" t="s">
        <v>1159</v>
      </c>
      <c r="L2151" s="19">
        <v>2024</v>
      </c>
      <c r="M2151" s="20">
        <v>1</v>
      </c>
      <c r="N2151" s="19" t="s">
        <v>616</v>
      </c>
      <c r="O2151" s="20">
        <v>0</v>
      </c>
      <c r="P2151" s="20">
        <v>0</v>
      </c>
      <c r="Q2151" s="20">
        <v>0</v>
      </c>
      <c r="R2151" s="21">
        <v>0.91</v>
      </c>
      <c r="S2151" s="20">
        <v>0</v>
      </c>
    </row>
    <row r="2152" spans="2:19" ht="15" customHeight="1" x14ac:dyDescent="0.25">
      <c r="B2152" s="2" t="str">
        <f t="shared" si="66"/>
        <v>00REMOVE_00REMOVE_00REMOVE_Remove_Pipe Insulation_DHW_CI</v>
      </c>
      <c r="C2152" s="2" t="str">
        <f t="shared" si="67"/>
        <v>00REMOVE_00REMOVE_00REMOVE_Remove_Pipe Insulation_DHW_CI_2025</v>
      </c>
      <c r="D2152" s="19" t="s">
        <v>1805</v>
      </c>
      <c r="E2152" s="19" t="s">
        <v>1805</v>
      </c>
      <c r="F2152" s="19" t="s">
        <v>1805</v>
      </c>
      <c r="G2152" s="19" t="s">
        <v>1806</v>
      </c>
      <c r="H2152" s="19" t="s">
        <v>404</v>
      </c>
      <c r="I2152" s="19" t="s">
        <v>1019</v>
      </c>
      <c r="J2152" s="19" t="s">
        <v>1272</v>
      </c>
      <c r="K2152" s="19" t="s">
        <v>1159</v>
      </c>
      <c r="L2152" s="19">
        <v>2025</v>
      </c>
      <c r="M2152" s="20">
        <v>1</v>
      </c>
      <c r="N2152" s="19" t="s">
        <v>616</v>
      </c>
      <c r="O2152" s="20">
        <v>0</v>
      </c>
      <c r="P2152" s="20">
        <v>0</v>
      </c>
      <c r="Q2152" s="20">
        <v>0</v>
      </c>
      <c r="R2152" s="21">
        <v>0.91</v>
      </c>
      <c r="S2152" s="20">
        <v>0</v>
      </c>
    </row>
    <row r="2153" spans="2:19" ht="15" customHeight="1" x14ac:dyDescent="0.25">
      <c r="B2153" s="2" t="str">
        <f t="shared" si="66"/>
        <v>00REMOVE_00REMOVE_00REMOVE_Remove_Pre-Rinse Sprayer_0_CI</v>
      </c>
      <c r="C2153" s="2" t="str">
        <f t="shared" si="67"/>
        <v>00REMOVE_00REMOVE_00REMOVE_Remove_Pre-Rinse Sprayer_0_CI_2022</v>
      </c>
      <c r="D2153" s="19" t="s">
        <v>1805</v>
      </c>
      <c r="E2153" s="19" t="s">
        <v>1805</v>
      </c>
      <c r="F2153" s="19" t="s">
        <v>1805</v>
      </c>
      <c r="G2153" s="19" t="s">
        <v>1806</v>
      </c>
      <c r="H2153" s="19" t="s">
        <v>1219</v>
      </c>
      <c r="I2153" s="19">
        <v>0</v>
      </c>
      <c r="J2153" s="19" t="s">
        <v>43</v>
      </c>
      <c r="K2153" s="19" t="s">
        <v>1159</v>
      </c>
      <c r="L2153" s="19">
        <v>2022</v>
      </c>
      <c r="M2153" s="20">
        <v>1</v>
      </c>
      <c r="N2153" s="19" t="s">
        <v>1798</v>
      </c>
      <c r="O2153" s="20">
        <v>0</v>
      </c>
      <c r="P2153" s="20">
        <v>0</v>
      </c>
      <c r="Q2153" s="20">
        <v>0</v>
      </c>
      <c r="R2153" s="21">
        <v>0.91</v>
      </c>
      <c r="S2153" s="20">
        <v>0</v>
      </c>
    </row>
    <row r="2154" spans="2:19" ht="15" customHeight="1" x14ac:dyDescent="0.25">
      <c r="B2154" s="2" t="str">
        <f t="shared" si="66"/>
        <v>00REMOVE_00REMOVE_00REMOVE_Remove_Pre-Rinse Sprayer_0_CI</v>
      </c>
      <c r="C2154" s="2" t="str">
        <f t="shared" si="67"/>
        <v>00REMOVE_00REMOVE_00REMOVE_Remove_Pre-Rinse Sprayer_0_CI_2023</v>
      </c>
      <c r="D2154" s="19" t="s">
        <v>1805</v>
      </c>
      <c r="E2154" s="19" t="s">
        <v>1805</v>
      </c>
      <c r="F2154" s="19" t="s">
        <v>1805</v>
      </c>
      <c r="G2154" s="19" t="s">
        <v>1806</v>
      </c>
      <c r="H2154" s="19" t="s">
        <v>1219</v>
      </c>
      <c r="I2154" s="19">
        <v>0</v>
      </c>
      <c r="J2154" s="19" t="s">
        <v>43</v>
      </c>
      <c r="K2154" s="19" t="s">
        <v>1159</v>
      </c>
      <c r="L2154" s="19">
        <v>2023</v>
      </c>
      <c r="M2154" s="20">
        <v>1</v>
      </c>
      <c r="N2154" s="19" t="s">
        <v>1798</v>
      </c>
      <c r="O2154" s="20">
        <v>0</v>
      </c>
      <c r="P2154" s="20">
        <v>0</v>
      </c>
      <c r="Q2154" s="20">
        <v>0</v>
      </c>
      <c r="R2154" s="21">
        <v>0.91</v>
      </c>
      <c r="S2154" s="20">
        <v>0</v>
      </c>
    </row>
    <row r="2155" spans="2:19" ht="15" customHeight="1" x14ac:dyDescent="0.25">
      <c r="B2155" s="2" t="str">
        <f t="shared" si="66"/>
        <v>00REMOVE_00REMOVE_00REMOVE_Remove_Pre-Rinse Sprayer_0_CI</v>
      </c>
      <c r="C2155" s="2" t="str">
        <f t="shared" si="67"/>
        <v>00REMOVE_00REMOVE_00REMOVE_Remove_Pre-Rinse Sprayer_0_CI_2024</v>
      </c>
      <c r="D2155" s="19" t="s">
        <v>1805</v>
      </c>
      <c r="E2155" s="19" t="s">
        <v>1805</v>
      </c>
      <c r="F2155" s="19" t="s">
        <v>1805</v>
      </c>
      <c r="G2155" s="19" t="s">
        <v>1806</v>
      </c>
      <c r="H2155" s="19" t="s">
        <v>1219</v>
      </c>
      <c r="I2155" s="19">
        <v>0</v>
      </c>
      <c r="J2155" s="19" t="s">
        <v>43</v>
      </c>
      <c r="K2155" s="19" t="s">
        <v>1159</v>
      </c>
      <c r="L2155" s="19">
        <v>2024</v>
      </c>
      <c r="M2155" s="20">
        <v>1</v>
      </c>
      <c r="N2155" s="19" t="s">
        <v>1798</v>
      </c>
      <c r="O2155" s="20">
        <v>0</v>
      </c>
      <c r="P2155" s="20">
        <v>0</v>
      </c>
      <c r="Q2155" s="20">
        <v>0</v>
      </c>
      <c r="R2155" s="21">
        <v>0.91</v>
      </c>
      <c r="S2155" s="20">
        <v>0</v>
      </c>
    </row>
    <row r="2156" spans="2:19" ht="15" customHeight="1" x14ac:dyDescent="0.25">
      <c r="B2156" s="2" t="str">
        <f t="shared" si="66"/>
        <v>00REMOVE_00REMOVE_00REMOVE_Remove_Pre-Rinse Sprayer_0_CI</v>
      </c>
      <c r="C2156" s="2" t="str">
        <f t="shared" si="67"/>
        <v>00REMOVE_00REMOVE_00REMOVE_Remove_Pre-Rinse Sprayer_0_CI_2025</v>
      </c>
      <c r="D2156" s="19" t="s">
        <v>1805</v>
      </c>
      <c r="E2156" s="19" t="s">
        <v>1805</v>
      </c>
      <c r="F2156" s="19" t="s">
        <v>1805</v>
      </c>
      <c r="G2156" s="19" t="s">
        <v>1806</v>
      </c>
      <c r="H2156" s="19" t="s">
        <v>1219</v>
      </c>
      <c r="I2156" s="19">
        <v>0</v>
      </c>
      <c r="J2156" s="19" t="s">
        <v>43</v>
      </c>
      <c r="K2156" s="19" t="s">
        <v>1159</v>
      </c>
      <c r="L2156" s="19">
        <v>2025</v>
      </c>
      <c r="M2156" s="20">
        <v>1</v>
      </c>
      <c r="N2156" s="19" t="s">
        <v>1798</v>
      </c>
      <c r="O2156" s="20">
        <v>0</v>
      </c>
      <c r="P2156" s="20">
        <v>0</v>
      </c>
      <c r="Q2156" s="20">
        <v>0</v>
      </c>
      <c r="R2156" s="21">
        <v>0.91</v>
      </c>
      <c r="S2156" s="20">
        <v>0</v>
      </c>
    </row>
    <row r="2157" spans="2:19" ht="15" customHeight="1" x14ac:dyDescent="0.25">
      <c r="B2157" s="2" t="str">
        <f t="shared" si="66"/>
        <v>NSG_Business_Public Sector_Gas Optimization_C&amp;I Gas Optimization_0_CI</v>
      </c>
      <c r="C2157" s="2" t="str">
        <f t="shared" si="67"/>
        <v>NSG_Business_Public Sector_Gas Optimization_C&amp;I Gas Optimization_0_CI_2022</v>
      </c>
      <c r="D2157" s="19" t="s">
        <v>1787</v>
      </c>
      <c r="E2157" s="19" t="s">
        <v>3</v>
      </c>
      <c r="F2157" s="19" t="s">
        <v>1430</v>
      </c>
      <c r="G2157" s="19" t="s">
        <v>1098</v>
      </c>
      <c r="H2157" s="19" t="s">
        <v>1283</v>
      </c>
      <c r="I2157" s="19">
        <v>0</v>
      </c>
      <c r="J2157" s="19">
        <v>0</v>
      </c>
      <c r="K2157" s="19" t="s">
        <v>1159</v>
      </c>
      <c r="L2157" s="19">
        <v>2022</v>
      </c>
      <c r="M2157" s="20">
        <v>54478.875</v>
      </c>
      <c r="N2157" s="19" t="s">
        <v>609</v>
      </c>
      <c r="O2157" s="20">
        <v>0</v>
      </c>
      <c r="P2157" s="20">
        <v>0</v>
      </c>
      <c r="Q2157" s="20">
        <v>0</v>
      </c>
      <c r="R2157" s="21">
        <v>0.91</v>
      </c>
      <c r="S2157" s="20">
        <v>0</v>
      </c>
    </row>
    <row r="2158" spans="2:19" ht="15" customHeight="1" x14ac:dyDescent="0.25">
      <c r="B2158" s="2" t="str">
        <f t="shared" si="66"/>
        <v>NSG_Business_Public Sector_Gas Optimization_C&amp;I Gas Optimization_0_CI</v>
      </c>
      <c r="C2158" s="2" t="str">
        <f t="shared" si="67"/>
        <v>NSG_Business_Public Sector_Gas Optimization_C&amp;I Gas Optimization_0_CI_2023</v>
      </c>
      <c r="D2158" s="19" t="s">
        <v>1787</v>
      </c>
      <c r="E2158" s="19" t="s">
        <v>3</v>
      </c>
      <c r="F2158" s="19" t="s">
        <v>1430</v>
      </c>
      <c r="G2158" s="19" t="s">
        <v>1098</v>
      </c>
      <c r="H2158" s="19" t="s">
        <v>1283</v>
      </c>
      <c r="I2158" s="19">
        <v>0</v>
      </c>
      <c r="J2158" s="19">
        <v>0</v>
      </c>
      <c r="K2158" s="19" t="s">
        <v>1159</v>
      </c>
      <c r="L2158" s="19">
        <v>2023</v>
      </c>
      <c r="M2158" s="20">
        <v>54478.875</v>
      </c>
      <c r="N2158" s="19" t="s">
        <v>609</v>
      </c>
      <c r="O2158" s="20">
        <v>0</v>
      </c>
      <c r="P2158" s="20">
        <v>0</v>
      </c>
      <c r="Q2158" s="20">
        <v>0</v>
      </c>
      <c r="R2158" s="21">
        <v>0.91</v>
      </c>
      <c r="S2158" s="20">
        <v>0</v>
      </c>
    </row>
    <row r="2159" spans="2:19" ht="15" customHeight="1" x14ac:dyDescent="0.25">
      <c r="B2159" s="2" t="str">
        <f t="shared" si="66"/>
        <v>NSG_Business_Public Sector_Gas Optimization_C&amp;I Gas Optimization_0_CI</v>
      </c>
      <c r="C2159" s="2" t="str">
        <f t="shared" si="67"/>
        <v>NSG_Business_Public Sector_Gas Optimization_C&amp;I Gas Optimization_0_CI_2024</v>
      </c>
      <c r="D2159" s="19" t="s">
        <v>1787</v>
      </c>
      <c r="E2159" s="19" t="s">
        <v>3</v>
      </c>
      <c r="F2159" s="19" t="s">
        <v>1430</v>
      </c>
      <c r="G2159" s="19" t="s">
        <v>1098</v>
      </c>
      <c r="H2159" s="19" t="s">
        <v>1283</v>
      </c>
      <c r="I2159" s="19">
        <v>0</v>
      </c>
      <c r="J2159" s="19">
        <v>0</v>
      </c>
      <c r="K2159" s="19" t="s">
        <v>1159</v>
      </c>
      <c r="L2159" s="19">
        <v>2024</v>
      </c>
      <c r="M2159" s="20">
        <v>54478.875</v>
      </c>
      <c r="N2159" s="19" t="s">
        <v>609</v>
      </c>
      <c r="O2159" s="20">
        <v>0</v>
      </c>
      <c r="P2159" s="20">
        <v>0</v>
      </c>
      <c r="Q2159" s="20">
        <v>0</v>
      </c>
      <c r="R2159" s="21">
        <v>0.91</v>
      </c>
      <c r="S2159" s="20">
        <v>0</v>
      </c>
    </row>
    <row r="2160" spans="2:19" ht="15" customHeight="1" x14ac:dyDescent="0.25">
      <c r="B2160" s="2" t="str">
        <f t="shared" si="66"/>
        <v>NSG_Business_Public Sector_Gas Optimization_C&amp;I Gas Optimization_0_CI</v>
      </c>
      <c r="C2160" s="2" t="str">
        <f t="shared" si="67"/>
        <v>NSG_Business_Public Sector_Gas Optimization_C&amp;I Gas Optimization_0_CI_2025</v>
      </c>
      <c r="D2160" s="19" t="s">
        <v>1787</v>
      </c>
      <c r="E2160" s="19" t="s">
        <v>3</v>
      </c>
      <c r="F2160" s="19" t="s">
        <v>1430</v>
      </c>
      <c r="G2160" s="19" t="s">
        <v>1098</v>
      </c>
      <c r="H2160" s="19" t="s">
        <v>1283</v>
      </c>
      <c r="I2160" s="19">
        <v>0</v>
      </c>
      <c r="J2160" s="19">
        <v>0</v>
      </c>
      <c r="K2160" s="19" t="s">
        <v>1159</v>
      </c>
      <c r="L2160" s="19">
        <v>2025</v>
      </c>
      <c r="M2160" s="20">
        <v>54478.875</v>
      </c>
      <c r="N2160" s="19" t="s">
        <v>609</v>
      </c>
      <c r="O2160" s="20">
        <v>0</v>
      </c>
      <c r="P2160" s="20">
        <v>0</v>
      </c>
      <c r="Q2160" s="20">
        <v>0</v>
      </c>
      <c r="R2160" s="21">
        <v>0.91</v>
      </c>
      <c r="S2160" s="20">
        <v>0</v>
      </c>
    </row>
    <row r="2161" spans="2:19" ht="15" customHeight="1" x14ac:dyDescent="0.25">
      <c r="B2161" s="2" t="str">
        <f t="shared" si="66"/>
        <v>NSG_Business_Public Sector_Retrocommissioning_C&amp;I Retrocommissioning_0_CI</v>
      </c>
      <c r="C2161" s="2" t="str">
        <f t="shared" si="67"/>
        <v>NSG_Business_Public Sector_Retrocommissioning_C&amp;I Retrocommissioning_0_CI_2022</v>
      </c>
      <c r="D2161" s="19" t="s">
        <v>1787</v>
      </c>
      <c r="E2161" s="19" t="s">
        <v>3</v>
      </c>
      <c r="F2161" s="19" t="s">
        <v>1430</v>
      </c>
      <c r="G2161" s="19" t="s">
        <v>1428</v>
      </c>
      <c r="H2161" s="19" t="s">
        <v>1284</v>
      </c>
      <c r="I2161" s="19">
        <v>0</v>
      </c>
      <c r="J2161" s="19">
        <v>0</v>
      </c>
      <c r="K2161" s="19" t="s">
        <v>1159</v>
      </c>
      <c r="L2161" s="19">
        <v>2022</v>
      </c>
      <c r="M2161" s="20">
        <v>9520.6037735849059</v>
      </c>
      <c r="N2161" s="19" t="s">
        <v>609</v>
      </c>
      <c r="O2161" s="20">
        <v>0</v>
      </c>
      <c r="P2161" s="20">
        <v>0</v>
      </c>
      <c r="Q2161" s="20">
        <v>0</v>
      </c>
      <c r="R2161" s="21">
        <v>0.93720000000000003</v>
      </c>
      <c r="S2161" s="20">
        <v>0</v>
      </c>
    </row>
    <row r="2162" spans="2:19" ht="15" customHeight="1" x14ac:dyDescent="0.25">
      <c r="B2162" s="2" t="str">
        <f t="shared" si="66"/>
        <v>NSG_Business_Public Sector_Retrocommissioning_C&amp;I Retrocommissioning_0_CI</v>
      </c>
      <c r="C2162" s="2" t="str">
        <f t="shared" si="67"/>
        <v>NSG_Business_Public Sector_Retrocommissioning_C&amp;I Retrocommissioning_0_CI_2023</v>
      </c>
      <c r="D2162" s="19" t="s">
        <v>1787</v>
      </c>
      <c r="E2162" s="19" t="s">
        <v>3</v>
      </c>
      <c r="F2162" s="19" t="s">
        <v>1430</v>
      </c>
      <c r="G2162" s="19" t="s">
        <v>1428</v>
      </c>
      <c r="H2162" s="19" t="s">
        <v>1284</v>
      </c>
      <c r="I2162" s="19">
        <v>0</v>
      </c>
      <c r="J2162" s="19">
        <v>0</v>
      </c>
      <c r="K2162" s="19" t="s">
        <v>1159</v>
      </c>
      <c r="L2162" s="19">
        <v>2023</v>
      </c>
      <c r="M2162" s="20">
        <v>9520.6037735849059</v>
      </c>
      <c r="N2162" s="19" t="s">
        <v>609</v>
      </c>
      <c r="O2162" s="20">
        <v>0</v>
      </c>
      <c r="P2162" s="20">
        <v>0</v>
      </c>
      <c r="Q2162" s="20">
        <v>0</v>
      </c>
      <c r="R2162" s="21">
        <v>0.93720000000000003</v>
      </c>
      <c r="S2162" s="20">
        <v>0</v>
      </c>
    </row>
    <row r="2163" spans="2:19" ht="15" customHeight="1" x14ac:dyDescent="0.25">
      <c r="B2163" s="2" t="str">
        <f t="shared" si="66"/>
        <v>NSG_Business_Public Sector_Retrocommissioning_C&amp;I Retrocommissioning_0_CI</v>
      </c>
      <c r="C2163" s="2" t="str">
        <f t="shared" si="67"/>
        <v>NSG_Business_Public Sector_Retrocommissioning_C&amp;I Retrocommissioning_0_CI_2024</v>
      </c>
      <c r="D2163" s="19" t="s">
        <v>1787</v>
      </c>
      <c r="E2163" s="19" t="s">
        <v>3</v>
      </c>
      <c r="F2163" s="19" t="s">
        <v>1430</v>
      </c>
      <c r="G2163" s="19" t="s">
        <v>1428</v>
      </c>
      <c r="H2163" s="19" t="s">
        <v>1284</v>
      </c>
      <c r="I2163" s="19">
        <v>0</v>
      </c>
      <c r="J2163" s="19">
        <v>0</v>
      </c>
      <c r="K2163" s="19" t="s">
        <v>1159</v>
      </c>
      <c r="L2163" s="19">
        <v>2024</v>
      </c>
      <c r="M2163" s="20">
        <v>9520.6037735849059</v>
      </c>
      <c r="N2163" s="19" t="s">
        <v>609</v>
      </c>
      <c r="O2163" s="20">
        <v>0</v>
      </c>
      <c r="P2163" s="20">
        <v>0</v>
      </c>
      <c r="Q2163" s="20">
        <v>0</v>
      </c>
      <c r="R2163" s="21">
        <v>0.93720000000000003</v>
      </c>
      <c r="S2163" s="20">
        <v>0</v>
      </c>
    </row>
    <row r="2164" spans="2:19" ht="15" customHeight="1" x14ac:dyDescent="0.25">
      <c r="B2164" s="2" t="str">
        <f t="shared" si="66"/>
        <v>NSG_Business_Public Sector_Retrocommissioning_C&amp;I Retrocommissioning_0_CI</v>
      </c>
      <c r="C2164" s="2" t="str">
        <f t="shared" si="67"/>
        <v>NSG_Business_Public Sector_Retrocommissioning_C&amp;I Retrocommissioning_0_CI_2025</v>
      </c>
      <c r="D2164" s="19" t="s">
        <v>1787</v>
      </c>
      <c r="E2164" s="19" t="s">
        <v>3</v>
      </c>
      <c r="F2164" s="19" t="s">
        <v>1430</v>
      </c>
      <c r="G2164" s="19" t="s">
        <v>1428</v>
      </c>
      <c r="H2164" s="19" t="s">
        <v>1284</v>
      </c>
      <c r="I2164" s="19">
        <v>0</v>
      </c>
      <c r="J2164" s="19">
        <v>0</v>
      </c>
      <c r="K2164" s="19" t="s">
        <v>1159</v>
      </c>
      <c r="L2164" s="19">
        <v>2025</v>
      </c>
      <c r="M2164" s="20">
        <v>9520.6037735849059</v>
      </c>
      <c r="N2164" s="19" t="s">
        <v>609</v>
      </c>
      <c r="O2164" s="20">
        <v>0</v>
      </c>
      <c r="P2164" s="20">
        <v>0</v>
      </c>
      <c r="Q2164" s="20">
        <v>0</v>
      </c>
      <c r="R2164" s="21">
        <v>0.93720000000000003</v>
      </c>
      <c r="S2164" s="20">
        <v>0</v>
      </c>
    </row>
    <row r="2165" spans="2:19" ht="15" customHeight="1" x14ac:dyDescent="0.25">
      <c r="B2165" s="2" t="str">
        <f t="shared" si="66"/>
        <v>NSG_Business_Public Sector_Engineering Study_Engineering Study_0_CI</v>
      </c>
      <c r="C2165" s="2" t="str">
        <f t="shared" si="67"/>
        <v>NSG_Business_Public Sector_Engineering Study_Engineering Study_0_CI_2022</v>
      </c>
      <c r="D2165" s="19" t="s">
        <v>1787</v>
      </c>
      <c r="E2165" s="19" t="s">
        <v>3</v>
      </c>
      <c r="F2165" s="19" t="s">
        <v>1430</v>
      </c>
      <c r="G2165" s="19" t="s">
        <v>1281</v>
      </c>
      <c r="H2165" s="19" t="s">
        <v>1281</v>
      </c>
      <c r="I2165" s="19">
        <v>0</v>
      </c>
      <c r="J2165" s="19">
        <v>0</v>
      </c>
      <c r="K2165" s="19" t="s">
        <v>1159</v>
      </c>
      <c r="L2165" s="19">
        <v>2022</v>
      </c>
      <c r="M2165" s="20">
        <v>0</v>
      </c>
      <c r="N2165" s="19">
        <v>0</v>
      </c>
      <c r="O2165" s="20">
        <v>0</v>
      </c>
      <c r="P2165" s="20">
        <v>0</v>
      </c>
      <c r="Q2165" s="20">
        <v>0</v>
      </c>
      <c r="R2165" s="21">
        <v>0.91</v>
      </c>
      <c r="S2165" s="20">
        <v>0</v>
      </c>
    </row>
    <row r="2166" spans="2:19" ht="15" customHeight="1" x14ac:dyDescent="0.25">
      <c r="B2166" s="2" t="str">
        <f t="shared" si="66"/>
        <v>NSG_Business_Public Sector_Engineering Study_Engineering Study_0_CI</v>
      </c>
      <c r="C2166" s="2" t="str">
        <f t="shared" si="67"/>
        <v>NSG_Business_Public Sector_Engineering Study_Engineering Study_0_CI_2023</v>
      </c>
      <c r="D2166" s="19" t="s">
        <v>1787</v>
      </c>
      <c r="E2166" s="19" t="s">
        <v>3</v>
      </c>
      <c r="F2166" s="19" t="s">
        <v>1430</v>
      </c>
      <c r="G2166" s="19" t="s">
        <v>1281</v>
      </c>
      <c r="H2166" s="19" t="s">
        <v>1281</v>
      </c>
      <c r="I2166" s="19">
        <v>0</v>
      </c>
      <c r="J2166" s="19">
        <v>0</v>
      </c>
      <c r="K2166" s="19" t="s">
        <v>1159</v>
      </c>
      <c r="L2166" s="19">
        <v>2023</v>
      </c>
      <c r="M2166" s="20">
        <v>0</v>
      </c>
      <c r="N2166" s="19">
        <v>0</v>
      </c>
      <c r="O2166" s="20">
        <v>0</v>
      </c>
      <c r="P2166" s="20">
        <v>0</v>
      </c>
      <c r="Q2166" s="20">
        <v>0</v>
      </c>
      <c r="R2166" s="21">
        <v>0.91</v>
      </c>
      <c r="S2166" s="20">
        <v>0</v>
      </c>
    </row>
    <row r="2167" spans="2:19" ht="15" customHeight="1" x14ac:dyDescent="0.25">
      <c r="B2167" s="2" t="str">
        <f t="shared" si="66"/>
        <v>NSG_Business_Public Sector_Engineering Study_Engineering Study_0_CI</v>
      </c>
      <c r="C2167" s="2" t="str">
        <f t="shared" si="67"/>
        <v>NSG_Business_Public Sector_Engineering Study_Engineering Study_0_CI_2024</v>
      </c>
      <c r="D2167" s="19" t="s">
        <v>1787</v>
      </c>
      <c r="E2167" s="19" t="s">
        <v>3</v>
      </c>
      <c r="F2167" s="19" t="s">
        <v>1430</v>
      </c>
      <c r="G2167" s="19" t="s">
        <v>1281</v>
      </c>
      <c r="H2167" s="19" t="s">
        <v>1281</v>
      </c>
      <c r="I2167" s="19">
        <v>0</v>
      </c>
      <c r="J2167" s="19">
        <v>0</v>
      </c>
      <c r="K2167" s="19" t="s">
        <v>1159</v>
      </c>
      <c r="L2167" s="19">
        <v>2024</v>
      </c>
      <c r="M2167" s="20">
        <v>0</v>
      </c>
      <c r="N2167" s="19">
        <v>0</v>
      </c>
      <c r="O2167" s="20">
        <v>0</v>
      </c>
      <c r="P2167" s="20">
        <v>0</v>
      </c>
      <c r="Q2167" s="20">
        <v>0</v>
      </c>
      <c r="R2167" s="21">
        <v>0.91</v>
      </c>
      <c r="S2167" s="20">
        <v>0</v>
      </c>
    </row>
    <row r="2168" spans="2:19" ht="15" customHeight="1" x14ac:dyDescent="0.25">
      <c r="B2168" s="2" t="str">
        <f t="shared" si="66"/>
        <v>NSG_Business_Public Sector_Engineering Study_Engineering Study_0_CI</v>
      </c>
      <c r="C2168" s="2" t="str">
        <f t="shared" si="67"/>
        <v>NSG_Business_Public Sector_Engineering Study_Engineering Study_0_CI_2025</v>
      </c>
      <c r="D2168" s="19" t="s">
        <v>1787</v>
      </c>
      <c r="E2168" s="19" t="s">
        <v>3</v>
      </c>
      <c r="F2168" s="19" t="s">
        <v>1430</v>
      </c>
      <c r="G2168" s="19" t="s">
        <v>1281</v>
      </c>
      <c r="H2168" s="19" t="s">
        <v>1281</v>
      </c>
      <c r="I2168" s="19">
        <v>0</v>
      </c>
      <c r="J2168" s="19">
        <v>0</v>
      </c>
      <c r="K2168" s="19" t="s">
        <v>1159</v>
      </c>
      <c r="L2168" s="19">
        <v>2025</v>
      </c>
      <c r="M2168" s="20">
        <v>0</v>
      </c>
      <c r="N2168" s="19">
        <v>0</v>
      </c>
      <c r="O2168" s="20">
        <v>0</v>
      </c>
      <c r="P2168" s="20">
        <v>0</v>
      </c>
      <c r="Q2168" s="20">
        <v>0</v>
      </c>
      <c r="R2168" s="21">
        <v>0.91</v>
      </c>
      <c r="S2168" s="20">
        <v>0</v>
      </c>
    </row>
    <row r="2169" spans="2:19" ht="15" customHeight="1" x14ac:dyDescent="0.25">
      <c r="B2169" s="2" t="str">
        <f t="shared" si="66"/>
        <v>NSG_Business_Public Sector_Staffing_Staffing_0_CI</v>
      </c>
      <c r="C2169" s="2" t="str">
        <f t="shared" si="67"/>
        <v>NSG_Business_Public Sector_Staffing_Staffing_0_CI_2022</v>
      </c>
      <c r="D2169" s="19" t="s">
        <v>1787</v>
      </c>
      <c r="E2169" s="19" t="s">
        <v>3</v>
      </c>
      <c r="F2169" s="19" t="s">
        <v>1430</v>
      </c>
      <c r="G2169" s="19" t="s">
        <v>1282</v>
      </c>
      <c r="H2169" s="19" t="s">
        <v>1282</v>
      </c>
      <c r="I2169" s="19">
        <v>0</v>
      </c>
      <c r="J2169" s="19">
        <v>0</v>
      </c>
      <c r="K2169" s="19" t="s">
        <v>1159</v>
      </c>
      <c r="L2169" s="19">
        <v>2022</v>
      </c>
      <c r="M2169" s="20">
        <v>1</v>
      </c>
      <c r="N2169" s="19" t="s">
        <v>1798</v>
      </c>
      <c r="O2169" s="20">
        <v>0</v>
      </c>
      <c r="P2169" s="20">
        <v>0</v>
      </c>
      <c r="Q2169" s="20">
        <v>0</v>
      </c>
      <c r="R2169" s="21">
        <v>0.91</v>
      </c>
      <c r="S2169" s="20">
        <v>0</v>
      </c>
    </row>
    <row r="2170" spans="2:19" ht="15" customHeight="1" x14ac:dyDescent="0.25">
      <c r="B2170" s="2" t="str">
        <f t="shared" si="66"/>
        <v>NSG_Business_Public Sector_Staffing_Staffing_0_CI</v>
      </c>
      <c r="C2170" s="2" t="str">
        <f t="shared" si="67"/>
        <v>NSG_Business_Public Sector_Staffing_Staffing_0_CI_2023</v>
      </c>
      <c r="D2170" s="19" t="s">
        <v>1787</v>
      </c>
      <c r="E2170" s="19" t="s">
        <v>3</v>
      </c>
      <c r="F2170" s="19" t="s">
        <v>1430</v>
      </c>
      <c r="G2170" s="19" t="s">
        <v>1282</v>
      </c>
      <c r="H2170" s="19" t="s">
        <v>1282</v>
      </c>
      <c r="I2170" s="19">
        <v>0</v>
      </c>
      <c r="J2170" s="19">
        <v>0</v>
      </c>
      <c r="K2170" s="19" t="s">
        <v>1159</v>
      </c>
      <c r="L2170" s="19">
        <v>2023</v>
      </c>
      <c r="M2170" s="20">
        <v>1</v>
      </c>
      <c r="N2170" s="19" t="s">
        <v>1798</v>
      </c>
      <c r="O2170" s="20">
        <v>0</v>
      </c>
      <c r="P2170" s="20">
        <v>0</v>
      </c>
      <c r="Q2170" s="20">
        <v>0</v>
      </c>
      <c r="R2170" s="21">
        <v>0.91</v>
      </c>
      <c r="S2170" s="20">
        <v>0</v>
      </c>
    </row>
    <row r="2171" spans="2:19" ht="15" customHeight="1" x14ac:dyDescent="0.25">
      <c r="B2171" s="2" t="str">
        <f t="shared" si="66"/>
        <v>NSG_Business_Public Sector_Staffing_Staffing_0_CI</v>
      </c>
      <c r="C2171" s="2" t="str">
        <f t="shared" si="67"/>
        <v>NSG_Business_Public Sector_Staffing_Staffing_0_CI_2024</v>
      </c>
      <c r="D2171" s="19" t="s">
        <v>1787</v>
      </c>
      <c r="E2171" s="19" t="s">
        <v>3</v>
      </c>
      <c r="F2171" s="19" t="s">
        <v>1430</v>
      </c>
      <c r="G2171" s="19" t="s">
        <v>1282</v>
      </c>
      <c r="H2171" s="19" t="s">
        <v>1282</v>
      </c>
      <c r="I2171" s="19">
        <v>0</v>
      </c>
      <c r="J2171" s="19">
        <v>0</v>
      </c>
      <c r="K2171" s="19" t="s">
        <v>1159</v>
      </c>
      <c r="L2171" s="19">
        <v>2024</v>
      </c>
      <c r="M2171" s="20">
        <v>1</v>
      </c>
      <c r="N2171" s="19" t="s">
        <v>1798</v>
      </c>
      <c r="O2171" s="20">
        <v>0</v>
      </c>
      <c r="P2171" s="20">
        <v>0</v>
      </c>
      <c r="Q2171" s="20">
        <v>0</v>
      </c>
      <c r="R2171" s="21">
        <v>0.91</v>
      </c>
      <c r="S2171" s="20">
        <v>0</v>
      </c>
    </row>
    <row r="2172" spans="2:19" ht="15" customHeight="1" x14ac:dyDescent="0.25">
      <c r="B2172" s="2" t="str">
        <f t="shared" si="66"/>
        <v>NSG_Business_Public Sector_Staffing_Staffing_0_CI</v>
      </c>
      <c r="C2172" s="2" t="str">
        <f t="shared" si="67"/>
        <v>NSG_Business_Public Sector_Staffing_Staffing_0_CI_2025</v>
      </c>
      <c r="D2172" s="19" t="s">
        <v>1787</v>
      </c>
      <c r="E2172" s="19" t="s">
        <v>3</v>
      </c>
      <c r="F2172" s="19" t="s">
        <v>1430</v>
      </c>
      <c r="G2172" s="19" t="s">
        <v>1282</v>
      </c>
      <c r="H2172" s="19" t="s">
        <v>1282</v>
      </c>
      <c r="I2172" s="19">
        <v>0</v>
      </c>
      <c r="J2172" s="19">
        <v>0</v>
      </c>
      <c r="K2172" s="19" t="s">
        <v>1159</v>
      </c>
      <c r="L2172" s="19">
        <v>2025</v>
      </c>
      <c r="M2172" s="20">
        <v>1</v>
      </c>
      <c r="N2172" s="19" t="s">
        <v>1798</v>
      </c>
      <c r="O2172" s="20">
        <v>0</v>
      </c>
      <c r="P2172" s="20">
        <v>0</v>
      </c>
      <c r="Q2172" s="20">
        <v>0</v>
      </c>
      <c r="R2172" s="21">
        <v>0.91</v>
      </c>
      <c r="S2172" s="20">
        <v>0</v>
      </c>
    </row>
    <row r="2173" spans="2:19" ht="15" customHeight="1" x14ac:dyDescent="0.25">
      <c r="B2173" s="2" t="str">
        <f t="shared" si="66"/>
        <v>NSG_Business_Public Sector_Rebates_Boiler_≥88% AFUE, &lt;300MBh_CI</v>
      </c>
      <c r="C2173" s="2" t="str">
        <f t="shared" si="67"/>
        <v>NSG_Business_Public Sector_Rebates_Boiler_≥88% AFUE, &lt;300MBh_CI_2022</v>
      </c>
      <c r="D2173" s="19" t="s">
        <v>1787</v>
      </c>
      <c r="E2173" s="19" t="s">
        <v>3</v>
      </c>
      <c r="F2173" s="19" t="s">
        <v>1430</v>
      </c>
      <c r="G2173" s="19" t="s">
        <v>1429</v>
      </c>
      <c r="H2173" s="19" t="s">
        <v>944</v>
      </c>
      <c r="I2173" s="19" t="s">
        <v>945</v>
      </c>
      <c r="J2173" s="19" t="s">
        <v>942</v>
      </c>
      <c r="K2173" s="19" t="s">
        <v>1159</v>
      </c>
      <c r="L2173" s="19">
        <v>2022</v>
      </c>
      <c r="M2173" s="20">
        <v>200</v>
      </c>
      <c r="N2173" s="19" t="s">
        <v>667</v>
      </c>
      <c r="O2173" s="20">
        <v>0</v>
      </c>
      <c r="P2173" s="20">
        <v>0</v>
      </c>
      <c r="Q2173" s="20">
        <v>0</v>
      </c>
      <c r="R2173" s="21">
        <v>0.91</v>
      </c>
      <c r="S2173" s="20">
        <v>0</v>
      </c>
    </row>
    <row r="2174" spans="2:19" ht="15" customHeight="1" x14ac:dyDescent="0.25">
      <c r="B2174" s="2" t="str">
        <f t="shared" si="66"/>
        <v>NSG_Business_Public Sector_Rebates_Boiler_≥88% AFUE, &lt;300MBh_CI</v>
      </c>
      <c r="C2174" s="2" t="str">
        <f t="shared" si="67"/>
        <v>NSG_Business_Public Sector_Rebates_Boiler_≥88% AFUE, &lt;300MBh_CI_2023</v>
      </c>
      <c r="D2174" s="19" t="s">
        <v>1787</v>
      </c>
      <c r="E2174" s="19" t="s">
        <v>3</v>
      </c>
      <c r="F2174" s="19" t="s">
        <v>1430</v>
      </c>
      <c r="G2174" s="19" t="s">
        <v>1429</v>
      </c>
      <c r="H2174" s="19" t="s">
        <v>944</v>
      </c>
      <c r="I2174" s="19" t="s">
        <v>945</v>
      </c>
      <c r="J2174" s="19" t="s">
        <v>942</v>
      </c>
      <c r="K2174" s="19" t="s">
        <v>1159</v>
      </c>
      <c r="L2174" s="19">
        <v>2023</v>
      </c>
      <c r="M2174" s="20">
        <v>200</v>
      </c>
      <c r="N2174" s="19" t="s">
        <v>667</v>
      </c>
      <c r="O2174" s="20">
        <v>0</v>
      </c>
      <c r="P2174" s="20">
        <v>0</v>
      </c>
      <c r="Q2174" s="20">
        <v>0</v>
      </c>
      <c r="R2174" s="21">
        <v>0.91</v>
      </c>
      <c r="S2174" s="20">
        <v>0</v>
      </c>
    </row>
    <row r="2175" spans="2:19" ht="15" customHeight="1" x14ac:dyDescent="0.25">
      <c r="B2175" s="2" t="str">
        <f t="shared" si="66"/>
        <v>NSG_Business_Public Sector_Rebates_Boiler_≥88% AFUE, &lt;300MBh_CI</v>
      </c>
      <c r="C2175" s="2" t="str">
        <f t="shared" si="67"/>
        <v>NSG_Business_Public Sector_Rebates_Boiler_≥88% AFUE, &lt;300MBh_CI_2024</v>
      </c>
      <c r="D2175" s="19" t="s">
        <v>1787</v>
      </c>
      <c r="E2175" s="19" t="s">
        <v>3</v>
      </c>
      <c r="F2175" s="19" t="s">
        <v>1430</v>
      </c>
      <c r="G2175" s="19" t="s">
        <v>1429</v>
      </c>
      <c r="H2175" s="19" t="s">
        <v>944</v>
      </c>
      <c r="I2175" s="19" t="s">
        <v>945</v>
      </c>
      <c r="J2175" s="19" t="s">
        <v>942</v>
      </c>
      <c r="K2175" s="19" t="s">
        <v>1159</v>
      </c>
      <c r="L2175" s="19">
        <v>2024</v>
      </c>
      <c r="M2175" s="20">
        <v>200</v>
      </c>
      <c r="N2175" s="19" t="s">
        <v>667</v>
      </c>
      <c r="O2175" s="20">
        <v>0</v>
      </c>
      <c r="P2175" s="20">
        <v>0</v>
      </c>
      <c r="Q2175" s="20">
        <v>0</v>
      </c>
      <c r="R2175" s="21">
        <v>0.91</v>
      </c>
      <c r="S2175" s="20">
        <v>0</v>
      </c>
    </row>
    <row r="2176" spans="2:19" ht="15" customHeight="1" x14ac:dyDescent="0.25">
      <c r="B2176" s="2" t="str">
        <f t="shared" si="66"/>
        <v>NSG_Business_Public Sector_Rebates_Boiler_≥88% AFUE, &lt;300MBh_CI</v>
      </c>
      <c r="C2176" s="2" t="str">
        <f t="shared" si="67"/>
        <v>NSG_Business_Public Sector_Rebates_Boiler_≥88% AFUE, &lt;300MBh_CI_2025</v>
      </c>
      <c r="D2176" s="19" t="s">
        <v>1787</v>
      </c>
      <c r="E2176" s="19" t="s">
        <v>3</v>
      </c>
      <c r="F2176" s="19" t="s">
        <v>1430</v>
      </c>
      <c r="G2176" s="19" t="s">
        <v>1429</v>
      </c>
      <c r="H2176" s="19" t="s">
        <v>944</v>
      </c>
      <c r="I2176" s="19" t="s">
        <v>945</v>
      </c>
      <c r="J2176" s="19" t="s">
        <v>942</v>
      </c>
      <c r="K2176" s="19" t="s">
        <v>1159</v>
      </c>
      <c r="L2176" s="19">
        <v>2025</v>
      </c>
      <c r="M2176" s="20">
        <v>200</v>
      </c>
      <c r="N2176" s="19" t="s">
        <v>667</v>
      </c>
      <c r="O2176" s="20">
        <v>0</v>
      </c>
      <c r="P2176" s="20">
        <v>0</v>
      </c>
      <c r="Q2176" s="20">
        <v>0</v>
      </c>
      <c r="R2176" s="21">
        <v>0.91</v>
      </c>
      <c r="S2176" s="20">
        <v>0</v>
      </c>
    </row>
    <row r="2177" spans="2:19" ht="15" customHeight="1" x14ac:dyDescent="0.25">
      <c r="B2177" s="2" t="str">
        <f t="shared" si="66"/>
        <v>NSG_Business_Public Sector_Rebates_Boiler_≥88% AFUE, ≥300MBh TE_CI</v>
      </c>
      <c r="C2177" s="2" t="str">
        <f t="shared" si="67"/>
        <v>NSG_Business_Public Sector_Rebates_Boiler_≥88% AFUE, ≥300MBh TE_CI_2022</v>
      </c>
      <c r="D2177" s="19" t="s">
        <v>1787</v>
      </c>
      <c r="E2177" s="19" t="s">
        <v>3</v>
      </c>
      <c r="F2177" s="19" t="s">
        <v>1430</v>
      </c>
      <c r="G2177" s="19" t="s">
        <v>1429</v>
      </c>
      <c r="H2177" s="19" t="s">
        <v>944</v>
      </c>
      <c r="I2177" s="19" t="s">
        <v>946</v>
      </c>
      <c r="J2177" s="19" t="s">
        <v>942</v>
      </c>
      <c r="K2177" s="19" t="s">
        <v>1159</v>
      </c>
      <c r="L2177" s="19">
        <v>2022</v>
      </c>
      <c r="M2177" s="20">
        <v>5000</v>
      </c>
      <c r="N2177" s="19" t="s">
        <v>667</v>
      </c>
      <c r="O2177" s="20">
        <v>2</v>
      </c>
      <c r="P2177" s="20">
        <v>10000</v>
      </c>
      <c r="Q2177" s="20">
        <v>15115.099999999993</v>
      </c>
      <c r="R2177" s="21">
        <v>0.91</v>
      </c>
      <c r="S2177" s="20">
        <v>15115.099999999993</v>
      </c>
    </row>
    <row r="2178" spans="2:19" ht="15" customHeight="1" x14ac:dyDescent="0.25">
      <c r="B2178" s="2" t="str">
        <f t="shared" si="66"/>
        <v>NSG_Business_Public Sector_Rebates_Boiler_≥88% AFUE, ≥300MBh TE_CI</v>
      </c>
      <c r="C2178" s="2" t="str">
        <f t="shared" si="67"/>
        <v>NSG_Business_Public Sector_Rebates_Boiler_≥88% AFUE, ≥300MBh TE_CI_2023</v>
      </c>
      <c r="D2178" s="19" t="s">
        <v>1787</v>
      </c>
      <c r="E2178" s="19" t="s">
        <v>3</v>
      </c>
      <c r="F2178" s="19" t="s">
        <v>1430</v>
      </c>
      <c r="G2178" s="19" t="s">
        <v>1429</v>
      </c>
      <c r="H2178" s="19" t="s">
        <v>944</v>
      </c>
      <c r="I2178" s="19" t="s">
        <v>946</v>
      </c>
      <c r="J2178" s="19" t="s">
        <v>942</v>
      </c>
      <c r="K2178" s="19" t="s">
        <v>1159</v>
      </c>
      <c r="L2178" s="19">
        <v>2023</v>
      </c>
      <c r="M2178" s="20">
        <v>5000</v>
      </c>
      <c r="N2178" s="19" t="s">
        <v>667</v>
      </c>
      <c r="O2178" s="20">
        <v>2</v>
      </c>
      <c r="P2178" s="20">
        <v>10000</v>
      </c>
      <c r="Q2178" s="20">
        <v>15115.099999999993</v>
      </c>
      <c r="R2178" s="21">
        <v>0.91</v>
      </c>
      <c r="S2178" s="20">
        <v>15115.099999999993</v>
      </c>
    </row>
    <row r="2179" spans="2:19" ht="15" customHeight="1" x14ac:dyDescent="0.25">
      <c r="B2179" s="2" t="str">
        <f t="shared" si="66"/>
        <v>NSG_Business_Public Sector_Rebates_Boiler_≥88% AFUE, ≥300MBh TE_CI</v>
      </c>
      <c r="C2179" s="2" t="str">
        <f t="shared" si="67"/>
        <v>NSG_Business_Public Sector_Rebates_Boiler_≥88% AFUE, ≥300MBh TE_CI_2024</v>
      </c>
      <c r="D2179" s="19" t="s">
        <v>1787</v>
      </c>
      <c r="E2179" s="19" t="s">
        <v>3</v>
      </c>
      <c r="F2179" s="19" t="s">
        <v>1430</v>
      </c>
      <c r="G2179" s="19" t="s">
        <v>1429</v>
      </c>
      <c r="H2179" s="19" t="s">
        <v>944</v>
      </c>
      <c r="I2179" s="19" t="s">
        <v>946</v>
      </c>
      <c r="J2179" s="19" t="s">
        <v>942</v>
      </c>
      <c r="K2179" s="19" t="s">
        <v>1159</v>
      </c>
      <c r="L2179" s="19">
        <v>2024</v>
      </c>
      <c r="M2179" s="20">
        <v>5000</v>
      </c>
      <c r="N2179" s="19" t="s">
        <v>667</v>
      </c>
      <c r="O2179" s="20">
        <v>2</v>
      </c>
      <c r="P2179" s="20">
        <v>10000</v>
      </c>
      <c r="Q2179" s="20">
        <v>15115.099999999993</v>
      </c>
      <c r="R2179" s="21">
        <v>0.91</v>
      </c>
      <c r="S2179" s="20">
        <v>15115.099999999993</v>
      </c>
    </row>
    <row r="2180" spans="2:19" ht="15" customHeight="1" x14ac:dyDescent="0.25">
      <c r="B2180" s="2" t="str">
        <f t="shared" si="66"/>
        <v>NSG_Business_Public Sector_Rebates_Boiler_≥88% AFUE, ≥300MBh TE_CI</v>
      </c>
      <c r="C2180" s="2" t="str">
        <f t="shared" si="67"/>
        <v>NSG_Business_Public Sector_Rebates_Boiler_≥88% AFUE, ≥300MBh TE_CI_2025</v>
      </c>
      <c r="D2180" s="19" t="s">
        <v>1787</v>
      </c>
      <c r="E2180" s="19" t="s">
        <v>3</v>
      </c>
      <c r="F2180" s="19" t="s">
        <v>1430</v>
      </c>
      <c r="G2180" s="19" t="s">
        <v>1429</v>
      </c>
      <c r="H2180" s="19" t="s">
        <v>944</v>
      </c>
      <c r="I2180" s="19" t="s">
        <v>946</v>
      </c>
      <c r="J2180" s="19" t="s">
        <v>942</v>
      </c>
      <c r="K2180" s="19" t="s">
        <v>1159</v>
      </c>
      <c r="L2180" s="19">
        <v>2025</v>
      </c>
      <c r="M2180" s="20">
        <v>5000</v>
      </c>
      <c r="N2180" s="19" t="s">
        <v>667</v>
      </c>
      <c r="O2180" s="20">
        <v>2</v>
      </c>
      <c r="P2180" s="20">
        <v>10000</v>
      </c>
      <c r="Q2180" s="20">
        <v>15115.099999999993</v>
      </c>
      <c r="R2180" s="21">
        <v>0.91</v>
      </c>
      <c r="S2180" s="20">
        <v>15115.099999999993</v>
      </c>
    </row>
    <row r="2181" spans="2:19" ht="15" customHeight="1" x14ac:dyDescent="0.25">
      <c r="B2181" s="2" t="str">
        <f t="shared" si="66"/>
        <v>NSG_Business_Public Sector_Rebates_Furnace_&gt;95% AFUE_CI</v>
      </c>
      <c r="C2181" s="2" t="str">
        <f t="shared" si="67"/>
        <v>NSG_Business_Public Sector_Rebates_Furnace_&gt;95% AFUE_CI_2022</v>
      </c>
      <c r="D2181" s="19" t="s">
        <v>1787</v>
      </c>
      <c r="E2181" s="19" t="s">
        <v>3</v>
      </c>
      <c r="F2181" s="19" t="s">
        <v>1430</v>
      </c>
      <c r="G2181" s="19" t="s">
        <v>1429</v>
      </c>
      <c r="H2181" s="19" t="s">
        <v>490</v>
      </c>
      <c r="I2181" s="19" t="s">
        <v>982</v>
      </c>
      <c r="J2181" s="19" t="s">
        <v>983</v>
      </c>
      <c r="K2181" s="19" t="s">
        <v>1159</v>
      </c>
      <c r="L2181" s="19">
        <v>2022</v>
      </c>
      <c r="M2181" s="20">
        <v>1</v>
      </c>
      <c r="N2181" s="19" t="s">
        <v>1798</v>
      </c>
      <c r="O2181" s="20">
        <v>0</v>
      </c>
      <c r="P2181" s="20">
        <v>0</v>
      </c>
      <c r="Q2181" s="20">
        <v>0</v>
      </c>
      <c r="R2181" s="21">
        <v>0.91</v>
      </c>
      <c r="S2181" s="20">
        <v>0</v>
      </c>
    </row>
    <row r="2182" spans="2:19" ht="15" customHeight="1" x14ac:dyDescent="0.25">
      <c r="B2182" s="2" t="str">
        <f t="shared" ref="B2182:B2245" si="68">D2182&amp;"_"&amp;E2182&amp;"_"&amp;F2182&amp;"_"&amp;G2182&amp;"_"&amp;H2182&amp;"_"&amp;I2182&amp;"_"&amp;K2182</f>
        <v>NSG_Business_Public Sector_Rebates_Furnace_&gt;95% AFUE_CI</v>
      </c>
      <c r="C2182" s="2" t="str">
        <f t="shared" ref="C2182:C2245" si="69">D2182&amp;"_"&amp;E2182&amp;"_"&amp;F2182&amp;"_"&amp;G2182&amp;"_"&amp;H2182&amp;"_"&amp;I2182&amp;"_"&amp;K2182&amp;"_"&amp;L2182</f>
        <v>NSG_Business_Public Sector_Rebates_Furnace_&gt;95% AFUE_CI_2023</v>
      </c>
      <c r="D2182" s="19" t="s">
        <v>1787</v>
      </c>
      <c r="E2182" s="19" t="s">
        <v>3</v>
      </c>
      <c r="F2182" s="19" t="s">
        <v>1430</v>
      </c>
      <c r="G2182" s="19" t="s">
        <v>1429</v>
      </c>
      <c r="H2182" s="19" t="s">
        <v>490</v>
      </c>
      <c r="I2182" s="19" t="s">
        <v>982</v>
      </c>
      <c r="J2182" s="19" t="s">
        <v>983</v>
      </c>
      <c r="K2182" s="19" t="s">
        <v>1159</v>
      </c>
      <c r="L2182" s="19">
        <v>2023</v>
      </c>
      <c r="M2182" s="20">
        <v>1</v>
      </c>
      <c r="N2182" s="19" t="s">
        <v>1798</v>
      </c>
      <c r="O2182" s="20">
        <v>0</v>
      </c>
      <c r="P2182" s="20">
        <v>0</v>
      </c>
      <c r="Q2182" s="20">
        <v>0</v>
      </c>
      <c r="R2182" s="21">
        <v>0.91</v>
      </c>
      <c r="S2182" s="20">
        <v>0</v>
      </c>
    </row>
    <row r="2183" spans="2:19" ht="15" customHeight="1" x14ac:dyDescent="0.25">
      <c r="B2183" s="2" t="str">
        <f t="shared" si="68"/>
        <v>NSG_Business_Public Sector_Rebates_Furnace_&gt;95% AFUE_CI</v>
      </c>
      <c r="C2183" s="2" t="str">
        <f t="shared" si="69"/>
        <v>NSG_Business_Public Sector_Rebates_Furnace_&gt;95% AFUE_CI_2024</v>
      </c>
      <c r="D2183" s="19" t="s">
        <v>1787</v>
      </c>
      <c r="E2183" s="19" t="s">
        <v>3</v>
      </c>
      <c r="F2183" s="19" t="s">
        <v>1430</v>
      </c>
      <c r="G2183" s="19" t="s">
        <v>1429</v>
      </c>
      <c r="H2183" s="19" t="s">
        <v>490</v>
      </c>
      <c r="I2183" s="19" t="s">
        <v>982</v>
      </c>
      <c r="J2183" s="19" t="s">
        <v>983</v>
      </c>
      <c r="K2183" s="19" t="s">
        <v>1159</v>
      </c>
      <c r="L2183" s="19">
        <v>2024</v>
      </c>
      <c r="M2183" s="20">
        <v>1</v>
      </c>
      <c r="N2183" s="19" t="s">
        <v>1798</v>
      </c>
      <c r="O2183" s="20">
        <v>0</v>
      </c>
      <c r="P2183" s="20">
        <v>0</v>
      </c>
      <c r="Q2183" s="20">
        <v>0</v>
      </c>
      <c r="R2183" s="21">
        <v>0.91</v>
      </c>
      <c r="S2183" s="20">
        <v>0</v>
      </c>
    </row>
    <row r="2184" spans="2:19" ht="15" customHeight="1" x14ac:dyDescent="0.25">
      <c r="B2184" s="2" t="str">
        <f t="shared" si="68"/>
        <v>NSG_Business_Public Sector_Rebates_Furnace_&gt;95% AFUE_CI</v>
      </c>
      <c r="C2184" s="2" t="str">
        <f t="shared" si="69"/>
        <v>NSG_Business_Public Sector_Rebates_Furnace_&gt;95% AFUE_CI_2025</v>
      </c>
      <c r="D2184" s="19" t="s">
        <v>1787</v>
      </c>
      <c r="E2184" s="19" t="s">
        <v>3</v>
      </c>
      <c r="F2184" s="19" t="s">
        <v>1430</v>
      </c>
      <c r="G2184" s="19" t="s">
        <v>1429</v>
      </c>
      <c r="H2184" s="19" t="s">
        <v>490</v>
      </c>
      <c r="I2184" s="19" t="s">
        <v>982</v>
      </c>
      <c r="J2184" s="19" t="s">
        <v>983</v>
      </c>
      <c r="K2184" s="19" t="s">
        <v>1159</v>
      </c>
      <c r="L2184" s="19">
        <v>2025</v>
      </c>
      <c r="M2184" s="20">
        <v>1</v>
      </c>
      <c r="N2184" s="19" t="s">
        <v>1798</v>
      </c>
      <c r="O2184" s="20">
        <v>0</v>
      </c>
      <c r="P2184" s="20">
        <v>0</v>
      </c>
      <c r="Q2184" s="20">
        <v>0</v>
      </c>
      <c r="R2184" s="21">
        <v>0.91</v>
      </c>
      <c r="S2184" s="20">
        <v>0</v>
      </c>
    </row>
    <row r="2185" spans="2:19" ht="15" customHeight="1" x14ac:dyDescent="0.25">
      <c r="B2185" s="2" t="str">
        <f t="shared" si="68"/>
        <v>NSG_Business_Public Sector_Rebates_Boiler Reset Controls_0_CI</v>
      </c>
      <c r="C2185" s="2" t="str">
        <f t="shared" si="69"/>
        <v>NSG_Business_Public Sector_Rebates_Boiler Reset Controls_0_CI_2022</v>
      </c>
      <c r="D2185" s="19" t="s">
        <v>1787</v>
      </c>
      <c r="E2185" s="19" t="s">
        <v>3</v>
      </c>
      <c r="F2185" s="19" t="s">
        <v>1430</v>
      </c>
      <c r="G2185" s="19" t="s">
        <v>1429</v>
      </c>
      <c r="H2185" s="19" t="s">
        <v>978</v>
      </c>
      <c r="I2185" s="19">
        <v>0</v>
      </c>
      <c r="J2185" s="19" t="s">
        <v>25</v>
      </c>
      <c r="K2185" s="19" t="s">
        <v>1159</v>
      </c>
      <c r="L2185" s="19">
        <v>2022</v>
      </c>
      <c r="M2185" s="20">
        <v>1200</v>
      </c>
      <c r="N2185" s="19" t="s">
        <v>667</v>
      </c>
      <c r="O2185" s="20">
        <v>3</v>
      </c>
      <c r="P2185" s="20">
        <v>3600</v>
      </c>
      <c r="Q2185" s="20">
        <v>4397.7024000000001</v>
      </c>
      <c r="R2185" s="21">
        <v>0.91</v>
      </c>
      <c r="S2185" s="20">
        <v>4397.7024000000001</v>
      </c>
    </row>
    <row r="2186" spans="2:19" ht="15" customHeight="1" x14ac:dyDescent="0.25">
      <c r="B2186" s="2" t="str">
        <f t="shared" si="68"/>
        <v>NSG_Business_Public Sector_Rebates_Boiler Reset Controls_0_CI</v>
      </c>
      <c r="C2186" s="2" t="str">
        <f t="shared" si="69"/>
        <v>NSG_Business_Public Sector_Rebates_Boiler Reset Controls_0_CI_2023</v>
      </c>
      <c r="D2186" s="19" t="s">
        <v>1787</v>
      </c>
      <c r="E2186" s="19" t="s">
        <v>3</v>
      </c>
      <c r="F2186" s="19" t="s">
        <v>1430</v>
      </c>
      <c r="G2186" s="19" t="s">
        <v>1429</v>
      </c>
      <c r="H2186" s="19" t="s">
        <v>978</v>
      </c>
      <c r="I2186" s="19">
        <v>0</v>
      </c>
      <c r="J2186" s="19" t="s">
        <v>25</v>
      </c>
      <c r="K2186" s="19" t="s">
        <v>1159</v>
      </c>
      <c r="L2186" s="19">
        <v>2023</v>
      </c>
      <c r="M2186" s="20">
        <v>1200</v>
      </c>
      <c r="N2186" s="19" t="s">
        <v>667</v>
      </c>
      <c r="O2186" s="20">
        <v>3</v>
      </c>
      <c r="P2186" s="20">
        <v>3600</v>
      </c>
      <c r="Q2186" s="20">
        <v>4397.7024000000001</v>
      </c>
      <c r="R2186" s="21">
        <v>0.91</v>
      </c>
      <c r="S2186" s="20">
        <v>4397.7024000000001</v>
      </c>
    </row>
    <row r="2187" spans="2:19" ht="15" customHeight="1" x14ac:dyDescent="0.25">
      <c r="B2187" s="2" t="str">
        <f t="shared" si="68"/>
        <v>NSG_Business_Public Sector_Rebates_Boiler Reset Controls_0_CI</v>
      </c>
      <c r="C2187" s="2" t="str">
        <f t="shared" si="69"/>
        <v>NSG_Business_Public Sector_Rebates_Boiler Reset Controls_0_CI_2024</v>
      </c>
      <c r="D2187" s="19" t="s">
        <v>1787</v>
      </c>
      <c r="E2187" s="19" t="s">
        <v>3</v>
      </c>
      <c r="F2187" s="19" t="s">
        <v>1430</v>
      </c>
      <c r="G2187" s="19" t="s">
        <v>1429</v>
      </c>
      <c r="H2187" s="19" t="s">
        <v>978</v>
      </c>
      <c r="I2187" s="19">
        <v>0</v>
      </c>
      <c r="J2187" s="19" t="s">
        <v>25</v>
      </c>
      <c r="K2187" s="19" t="s">
        <v>1159</v>
      </c>
      <c r="L2187" s="19">
        <v>2024</v>
      </c>
      <c r="M2187" s="20">
        <v>1200</v>
      </c>
      <c r="N2187" s="19" t="s">
        <v>667</v>
      </c>
      <c r="O2187" s="20">
        <v>3</v>
      </c>
      <c r="P2187" s="20">
        <v>3600</v>
      </c>
      <c r="Q2187" s="20">
        <v>4397.7024000000001</v>
      </c>
      <c r="R2187" s="21">
        <v>0.91</v>
      </c>
      <c r="S2187" s="20">
        <v>4397.7024000000001</v>
      </c>
    </row>
    <row r="2188" spans="2:19" ht="15" customHeight="1" x14ac:dyDescent="0.25">
      <c r="B2188" s="2" t="str">
        <f t="shared" si="68"/>
        <v>NSG_Business_Public Sector_Rebates_Boiler Reset Controls_0_CI</v>
      </c>
      <c r="C2188" s="2" t="str">
        <f t="shared" si="69"/>
        <v>NSG_Business_Public Sector_Rebates_Boiler Reset Controls_0_CI_2025</v>
      </c>
      <c r="D2188" s="19" t="s">
        <v>1787</v>
      </c>
      <c r="E2188" s="19" t="s">
        <v>3</v>
      </c>
      <c r="F2188" s="19" t="s">
        <v>1430</v>
      </c>
      <c r="G2188" s="19" t="s">
        <v>1429</v>
      </c>
      <c r="H2188" s="19" t="s">
        <v>978</v>
      </c>
      <c r="I2188" s="19">
        <v>0</v>
      </c>
      <c r="J2188" s="19" t="s">
        <v>25</v>
      </c>
      <c r="K2188" s="19" t="s">
        <v>1159</v>
      </c>
      <c r="L2188" s="19">
        <v>2025</v>
      </c>
      <c r="M2188" s="20">
        <v>1200</v>
      </c>
      <c r="N2188" s="19" t="s">
        <v>667</v>
      </c>
      <c r="O2188" s="20">
        <v>3</v>
      </c>
      <c r="P2188" s="20">
        <v>3600</v>
      </c>
      <c r="Q2188" s="20">
        <v>4397.7024000000001</v>
      </c>
      <c r="R2188" s="21">
        <v>0.91</v>
      </c>
      <c r="S2188" s="20">
        <v>4397.7024000000001</v>
      </c>
    </row>
    <row r="2189" spans="2:19" ht="15" customHeight="1" x14ac:dyDescent="0.25">
      <c r="B2189" s="2" t="str">
        <f t="shared" si="68"/>
        <v>NSG_Business_Public Sector_Rebates_Boiler Tune Up_Process_MF/CI</v>
      </c>
      <c r="C2189" s="2" t="str">
        <f t="shared" si="69"/>
        <v>NSG_Business_Public Sector_Rebates_Boiler Tune Up_Process_MF/CI_2022</v>
      </c>
      <c r="D2189" s="19" t="s">
        <v>1787</v>
      </c>
      <c r="E2189" s="19" t="s">
        <v>3</v>
      </c>
      <c r="F2189" s="19" t="s">
        <v>1430</v>
      </c>
      <c r="G2189" s="19" t="s">
        <v>1429</v>
      </c>
      <c r="H2189" s="19" t="s">
        <v>906</v>
      </c>
      <c r="I2189" s="19" t="s">
        <v>924</v>
      </c>
      <c r="J2189" s="19" t="s">
        <v>927</v>
      </c>
      <c r="K2189" s="19" t="s">
        <v>587</v>
      </c>
      <c r="L2189" s="19">
        <v>2022</v>
      </c>
      <c r="M2189" s="20">
        <v>12000</v>
      </c>
      <c r="N2189" s="19" t="s">
        <v>667</v>
      </c>
      <c r="O2189" s="20">
        <v>0</v>
      </c>
      <c r="P2189" s="20">
        <v>0</v>
      </c>
      <c r="Q2189" s="20">
        <v>0</v>
      </c>
      <c r="R2189" s="21">
        <v>0.91</v>
      </c>
      <c r="S2189" s="20">
        <v>0</v>
      </c>
    </row>
    <row r="2190" spans="2:19" ht="15" customHeight="1" x14ac:dyDescent="0.25">
      <c r="B2190" s="2" t="str">
        <f t="shared" si="68"/>
        <v>NSG_Business_Public Sector_Rebates_Boiler Tune Up_Process_MF/CI</v>
      </c>
      <c r="C2190" s="2" t="str">
        <f t="shared" si="69"/>
        <v>NSG_Business_Public Sector_Rebates_Boiler Tune Up_Process_MF/CI_2023</v>
      </c>
      <c r="D2190" s="19" t="s">
        <v>1787</v>
      </c>
      <c r="E2190" s="19" t="s">
        <v>3</v>
      </c>
      <c r="F2190" s="19" t="s">
        <v>1430</v>
      </c>
      <c r="G2190" s="19" t="s">
        <v>1429</v>
      </c>
      <c r="H2190" s="19" t="s">
        <v>906</v>
      </c>
      <c r="I2190" s="19" t="s">
        <v>924</v>
      </c>
      <c r="J2190" s="19" t="s">
        <v>927</v>
      </c>
      <c r="K2190" s="19" t="s">
        <v>587</v>
      </c>
      <c r="L2190" s="19">
        <v>2023</v>
      </c>
      <c r="M2190" s="20">
        <v>12000</v>
      </c>
      <c r="N2190" s="19" t="s">
        <v>667</v>
      </c>
      <c r="O2190" s="20">
        <v>0</v>
      </c>
      <c r="P2190" s="20">
        <v>0</v>
      </c>
      <c r="Q2190" s="20">
        <v>0</v>
      </c>
      <c r="R2190" s="21">
        <v>0.91</v>
      </c>
      <c r="S2190" s="20">
        <v>0</v>
      </c>
    </row>
    <row r="2191" spans="2:19" ht="15" customHeight="1" x14ac:dyDescent="0.25">
      <c r="B2191" s="2" t="str">
        <f t="shared" si="68"/>
        <v>NSG_Business_Public Sector_Rebates_Boiler Tune Up_Process_MF/CI</v>
      </c>
      <c r="C2191" s="2" t="str">
        <f t="shared" si="69"/>
        <v>NSG_Business_Public Sector_Rebates_Boiler Tune Up_Process_MF/CI_2024</v>
      </c>
      <c r="D2191" s="19" t="s">
        <v>1787</v>
      </c>
      <c r="E2191" s="19" t="s">
        <v>3</v>
      </c>
      <c r="F2191" s="19" t="s">
        <v>1430</v>
      </c>
      <c r="G2191" s="19" t="s">
        <v>1429</v>
      </c>
      <c r="H2191" s="19" t="s">
        <v>906</v>
      </c>
      <c r="I2191" s="19" t="s">
        <v>924</v>
      </c>
      <c r="J2191" s="19" t="s">
        <v>927</v>
      </c>
      <c r="K2191" s="19" t="s">
        <v>587</v>
      </c>
      <c r="L2191" s="19">
        <v>2024</v>
      </c>
      <c r="M2191" s="20">
        <v>12000</v>
      </c>
      <c r="N2191" s="19" t="s">
        <v>667</v>
      </c>
      <c r="O2191" s="20">
        <v>0</v>
      </c>
      <c r="P2191" s="20">
        <v>0</v>
      </c>
      <c r="Q2191" s="20">
        <v>0</v>
      </c>
      <c r="R2191" s="21">
        <v>0.91</v>
      </c>
      <c r="S2191" s="20">
        <v>0</v>
      </c>
    </row>
    <row r="2192" spans="2:19" ht="15" customHeight="1" x14ac:dyDescent="0.25">
      <c r="B2192" s="2" t="str">
        <f t="shared" si="68"/>
        <v>NSG_Business_Public Sector_Rebates_Boiler Tune Up_Process_MF/CI</v>
      </c>
      <c r="C2192" s="2" t="str">
        <f t="shared" si="69"/>
        <v>NSG_Business_Public Sector_Rebates_Boiler Tune Up_Process_MF/CI_2025</v>
      </c>
      <c r="D2192" s="19" t="s">
        <v>1787</v>
      </c>
      <c r="E2192" s="19" t="s">
        <v>3</v>
      </c>
      <c r="F2192" s="19" t="s">
        <v>1430</v>
      </c>
      <c r="G2192" s="19" t="s">
        <v>1429</v>
      </c>
      <c r="H2192" s="19" t="s">
        <v>906</v>
      </c>
      <c r="I2192" s="19" t="s">
        <v>924</v>
      </c>
      <c r="J2192" s="19" t="s">
        <v>927</v>
      </c>
      <c r="K2192" s="19" t="s">
        <v>587</v>
      </c>
      <c r="L2192" s="19">
        <v>2025</v>
      </c>
      <c r="M2192" s="20">
        <v>12000</v>
      </c>
      <c r="N2192" s="19" t="s">
        <v>667</v>
      </c>
      <c r="O2192" s="20">
        <v>0</v>
      </c>
      <c r="P2192" s="20">
        <v>0</v>
      </c>
      <c r="Q2192" s="20">
        <v>0</v>
      </c>
      <c r="R2192" s="21">
        <v>0.91</v>
      </c>
      <c r="S2192" s="20">
        <v>0</v>
      </c>
    </row>
    <row r="2193" spans="2:19" ht="15" customHeight="1" x14ac:dyDescent="0.25">
      <c r="B2193" s="2" t="str">
        <f t="shared" si="68"/>
        <v>NSG_Business_Public Sector_Rebates_Boiler Tune Up_Space Heating_CI</v>
      </c>
      <c r="C2193" s="2" t="str">
        <f t="shared" si="69"/>
        <v>NSG_Business_Public Sector_Rebates_Boiler Tune Up_Space Heating_CI_2022</v>
      </c>
      <c r="D2193" s="19" t="s">
        <v>1787</v>
      </c>
      <c r="E2193" s="19" t="s">
        <v>3</v>
      </c>
      <c r="F2193" s="19" t="s">
        <v>1430</v>
      </c>
      <c r="G2193" s="19" t="s">
        <v>1429</v>
      </c>
      <c r="H2193" s="19" t="s">
        <v>906</v>
      </c>
      <c r="I2193" s="19" t="s">
        <v>907</v>
      </c>
      <c r="J2193" s="19" t="s">
        <v>909</v>
      </c>
      <c r="K2193" s="19" t="s">
        <v>1159</v>
      </c>
      <c r="L2193" s="19">
        <v>2022</v>
      </c>
      <c r="M2193" s="20">
        <v>6000</v>
      </c>
      <c r="N2193" s="19" t="s">
        <v>667</v>
      </c>
      <c r="O2193" s="20">
        <v>2</v>
      </c>
      <c r="P2193" s="20">
        <v>12000</v>
      </c>
      <c r="Q2193" s="20">
        <v>5118.733251533753</v>
      </c>
      <c r="R2193" s="21">
        <v>0.91</v>
      </c>
      <c r="S2193" s="20">
        <v>5118.733251533753</v>
      </c>
    </row>
    <row r="2194" spans="2:19" ht="15" customHeight="1" x14ac:dyDescent="0.25">
      <c r="B2194" s="2" t="str">
        <f t="shared" si="68"/>
        <v>NSG_Business_Public Sector_Rebates_Boiler Tune Up_Space Heating_CI</v>
      </c>
      <c r="C2194" s="2" t="str">
        <f t="shared" si="69"/>
        <v>NSG_Business_Public Sector_Rebates_Boiler Tune Up_Space Heating_CI_2023</v>
      </c>
      <c r="D2194" s="19" t="s">
        <v>1787</v>
      </c>
      <c r="E2194" s="19" t="s">
        <v>3</v>
      </c>
      <c r="F2194" s="19" t="s">
        <v>1430</v>
      </c>
      <c r="G2194" s="19" t="s">
        <v>1429</v>
      </c>
      <c r="H2194" s="19" t="s">
        <v>906</v>
      </c>
      <c r="I2194" s="19" t="s">
        <v>907</v>
      </c>
      <c r="J2194" s="19" t="s">
        <v>909</v>
      </c>
      <c r="K2194" s="19" t="s">
        <v>1159</v>
      </c>
      <c r="L2194" s="19">
        <v>2023</v>
      </c>
      <c r="M2194" s="20">
        <v>6000</v>
      </c>
      <c r="N2194" s="19" t="s">
        <v>667</v>
      </c>
      <c r="O2194" s="20">
        <v>2</v>
      </c>
      <c r="P2194" s="20">
        <v>12000</v>
      </c>
      <c r="Q2194" s="20">
        <v>5118.733251533753</v>
      </c>
      <c r="R2194" s="21">
        <v>0.91</v>
      </c>
      <c r="S2194" s="20">
        <v>5118.733251533753</v>
      </c>
    </row>
    <row r="2195" spans="2:19" ht="15" customHeight="1" x14ac:dyDescent="0.25">
      <c r="B2195" s="2" t="str">
        <f t="shared" si="68"/>
        <v>NSG_Business_Public Sector_Rebates_Boiler Tune Up_Space Heating_CI</v>
      </c>
      <c r="C2195" s="2" t="str">
        <f t="shared" si="69"/>
        <v>NSG_Business_Public Sector_Rebates_Boiler Tune Up_Space Heating_CI_2024</v>
      </c>
      <c r="D2195" s="19" t="s">
        <v>1787</v>
      </c>
      <c r="E2195" s="19" t="s">
        <v>3</v>
      </c>
      <c r="F2195" s="19" t="s">
        <v>1430</v>
      </c>
      <c r="G2195" s="19" t="s">
        <v>1429</v>
      </c>
      <c r="H2195" s="19" t="s">
        <v>906</v>
      </c>
      <c r="I2195" s="19" t="s">
        <v>907</v>
      </c>
      <c r="J2195" s="19" t="s">
        <v>909</v>
      </c>
      <c r="K2195" s="19" t="s">
        <v>1159</v>
      </c>
      <c r="L2195" s="19">
        <v>2024</v>
      </c>
      <c r="M2195" s="20">
        <v>6000</v>
      </c>
      <c r="N2195" s="19" t="s">
        <v>667</v>
      </c>
      <c r="O2195" s="20">
        <v>2</v>
      </c>
      <c r="P2195" s="20">
        <v>12000</v>
      </c>
      <c r="Q2195" s="20">
        <v>5118.733251533753</v>
      </c>
      <c r="R2195" s="21">
        <v>0.91</v>
      </c>
      <c r="S2195" s="20">
        <v>5118.733251533753</v>
      </c>
    </row>
    <row r="2196" spans="2:19" ht="15" customHeight="1" x14ac:dyDescent="0.25">
      <c r="B2196" s="2" t="str">
        <f t="shared" si="68"/>
        <v>NSG_Business_Public Sector_Rebates_Boiler Tune Up_Space Heating_CI</v>
      </c>
      <c r="C2196" s="2" t="str">
        <f t="shared" si="69"/>
        <v>NSG_Business_Public Sector_Rebates_Boiler Tune Up_Space Heating_CI_2025</v>
      </c>
      <c r="D2196" s="19" t="s">
        <v>1787</v>
      </c>
      <c r="E2196" s="19" t="s">
        <v>3</v>
      </c>
      <c r="F2196" s="19" t="s">
        <v>1430</v>
      </c>
      <c r="G2196" s="19" t="s">
        <v>1429</v>
      </c>
      <c r="H2196" s="19" t="s">
        <v>906</v>
      </c>
      <c r="I2196" s="19" t="s">
        <v>907</v>
      </c>
      <c r="J2196" s="19" t="s">
        <v>909</v>
      </c>
      <c r="K2196" s="19" t="s">
        <v>1159</v>
      </c>
      <c r="L2196" s="19">
        <v>2025</v>
      </c>
      <c r="M2196" s="20">
        <v>6000</v>
      </c>
      <c r="N2196" s="19" t="s">
        <v>667</v>
      </c>
      <c r="O2196" s="20">
        <v>2</v>
      </c>
      <c r="P2196" s="20">
        <v>12000</v>
      </c>
      <c r="Q2196" s="20">
        <v>5118.733251533753</v>
      </c>
      <c r="R2196" s="21">
        <v>0.91</v>
      </c>
      <c r="S2196" s="20">
        <v>5118.733251533753</v>
      </c>
    </row>
    <row r="2197" spans="2:19" ht="15" customHeight="1" x14ac:dyDescent="0.25">
      <c r="B2197" s="2" t="str">
        <f t="shared" si="68"/>
        <v>NSG_Business_Public Sector_Rebates_Condensing Unit Heater_0_MF/CI</v>
      </c>
      <c r="C2197" s="2" t="str">
        <f t="shared" si="69"/>
        <v>NSG_Business_Public Sector_Rebates_Condensing Unit Heater_0_MF/CI_2022</v>
      </c>
      <c r="D2197" s="19" t="s">
        <v>1787</v>
      </c>
      <c r="E2197" s="19" t="s">
        <v>3</v>
      </c>
      <c r="F2197" s="19" t="s">
        <v>1430</v>
      </c>
      <c r="G2197" s="19" t="s">
        <v>1429</v>
      </c>
      <c r="H2197" s="19" t="s">
        <v>13</v>
      </c>
      <c r="I2197" s="19">
        <v>0</v>
      </c>
      <c r="J2197" s="19" t="s">
        <v>32</v>
      </c>
      <c r="K2197" s="19" t="s">
        <v>587</v>
      </c>
      <c r="L2197" s="19">
        <v>2022</v>
      </c>
      <c r="M2197" s="20">
        <v>150</v>
      </c>
      <c r="N2197" s="19" t="s">
        <v>667</v>
      </c>
      <c r="O2197" s="20">
        <v>0</v>
      </c>
      <c r="P2197" s="20">
        <v>0</v>
      </c>
      <c r="Q2197" s="20">
        <v>0</v>
      </c>
      <c r="R2197" s="21">
        <v>0.91</v>
      </c>
      <c r="S2197" s="20">
        <v>0</v>
      </c>
    </row>
    <row r="2198" spans="2:19" ht="15" customHeight="1" x14ac:dyDescent="0.25">
      <c r="B2198" s="2" t="str">
        <f t="shared" si="68"/>
        <v>NSG_Business_Public Sector_Rebates_Condensing Unit Heater_0_MF/CI</v>
      </c>
      <c r="C2198" s="2" t="str">
        <f t="shared" si="69"/>
        <v>NSG_Business_Public Sector_Rebates_Condensing Unit Heater_0_MF/CI_2023</v>
      </c>
      <c r="D2198" s="19" t="s">
        <v>1787</v>
      </c>
      <c r="E2198" s="19" t="s">
        <v>3</v>
      </c>
      <c r="F2198" s="19" t="s">
        <v>1430</v>
      </c>
      <c r="G2198" s="19" t="s">
        <v>1429</v>
      </c>
      <c r="H2198" s="19" t="s">
        <v>13</v>
      </c>
      <c r="I2198" s="19">
        <v>0</v>
      </c>
      <c r="J2198" s="19" t="s">
        <v>32</v>
      </c>
      <c r="K2198" s="19" t="s">
        <v>587</v>
      </c>
      <c r="L2198" s="19">
        <v>2023</v>
      </c>
      <c r="M2198" s="20">
        <v>150</v>
      </c>
      <c r="N2198" s="19" t="s">
        <v>667</v>
      </c>
      <c r="O2198" s="20">
        <v>0</v>
      </c>
      <c r="P2198" s="20">
        <v>0</v>
      </c>
      <c r="Q2198" s="20">
        <v>0</v>
      </c>
      <c r="R2198" s="21">
        <v>0.91</v>
      </c>
      <c r="S2198" s="20">
        <v>0</v>
      </c>
    </row>
    <row r="2199" spans="2:19" ht="15" customHeight="1" x14ac:dyDescent="0.25">
      <c r="B2199" s="2" t="str">
        <f t="shared" si="68"/>
        <v>NSG_Business_Public Sector_Rebates_Condensing Unit Heater_0_MF/CI</v>
      </c>
      <c r="C2199" s="2" t="str">
        <f t="shared" si="69"/>
        <v>NSG_Business_Public Sector_Rebates_Condensing Unit Heater_0_MF/CI_2024</v>
      </c>
      <c r="D2199" s="19" t="s">
        <v>1787</v>
      </c>
      <c r="E2199" s="19" t="s">
        <v>3</v>
      </c>
      <c r="F2199" s="19" t="s">
        <v>1430</v>
      </c>
      <c r="G2199" s="19" t="s">
        <v>1429</v>
      </c>
      <c r="H2199" s="19" t="s">
        <v>13</v>
      </c>
      <c r="I2199" s="19">
        <v>0</v>
      </c>
      <c r="J2199" s="19" t="s">
        <v>32</v>
      </c>
      <c r="K2199" s="19" t="s">
        <v>587</v>
      </c>
      <c r="L2199" s="19">
        <v>2024</v>
      </c>
      <c r="M2199" s="20">
        <v>150</v>
      </c>
      <c r="N2199" s="19" t="s">
        <v>667</v>
      </c>
      <c r="O2199" s="20">
        <v>0</v>
      </c>
      <c r="P2199" s="20">
        <v>0</v>
      </c>
      <c r="Q2199" s="20">
        <v>0</v>
      </c>
      <c r="R2199" s="21">
        <v>0.91</v>
      </c>
      <c r="S2199" s="20">
        <v>0</v>
      </c>
    </row>
    <row r="2200" spans="2:19" ht="15" customHeight="1" x14ac:dyDescent="0.25">
      <c r="B2200" s="2" t="str">
        <f t="shared" si="68"/>
        <v>NSG_Business_Public Sector_Rebates_Condensing Unit Heater_0_MF/CI</v>
      </c>
      <c r="C2200" s="2" t="str">
        <f t="shared" si="69"/>
        <v>NSG_Business_Public Sector_Rebates_Condensing Unit Heater_0_MF/CI_2025</v>
      </c>
      <c r="D2200" s="19" t="s">
        <v>1787</v>
      </c>
      <c r="E2200" s="19" t="s">
        <v>3</v>
      </c>
      <c r="F2200" s="19" t="s">
        <v>1430</v>
      </c>
      <c r="G2200" s="19" t="s">
        <v>1429</v>
      </c>
      <c r="H2200" s="19" t="s">
        <v>13</v>
      </c>
      <c r="I2200" s="19">
        <v>0</v>
      </c>
      <c r="J2200" s="19" t="s">
        <v>32</v>
      </c>
      <c r="K2200" s="19" t="s">
        <v>587</v>
      </c>
      <c r="L2200" s="19">
        <v>2025</v>
      </c>
      <c r="M2200" s="20">
        <v>150</v>
      </c>
      <c r="N2200" s="19" t="s">
        <v>667</v>
      </c>
      <c r="O2200" s="20">
        <v>0</v>
      </c>
      <c r="P2200" s="20">
        <v>0</v>
      </c>
      <c r="Q2200" s="20">
        <v>0</v>
      </c>
      <c r="R2200" s="21">
        <v>0.91</v>
      </c>
      <c r="S2200" s="20">
        <v>0</v>
      </c>
    </row>
    <row r="2201" spans="2:19" ht="15" customHeight="1" x14ac:dyDescent="0.25">
      <c r="B2201" s="2" t="str">
        <f t="shared" si="68"/>
        <v>NSG_Business_Public Sector_Rebates_DCV - Kitchen_0_CI</v>
      </c>
      <c r="C2201" s="2" t="str">
        <f t="shared" si="69"/>
        <v>NSG_Business_Public Sector_Rebates_DCV - Kitchen_0_CI_2022</v>
      </c>
      <c r="D2201" s="19" t="s">
        <v>1787</v>
      </c>
      <c r="E2201" s="19" t="s">
        <v>3</v>
      </c>
      <c r="F2201" s="19" t="s">
        <v>1430</v>
      </c>
      <c r="G2201" s="19" t="s">
        <v>1429</v>
      </c>
      <c r="H2201" s="19" t="s">
        <v>1077</v>
      </c>
      <c r="I2201" s="19">
        <v>0</v>
      </c>
      <c r="J2201" s="19" t="s">
        <v>1469</v>
      </c>
      <c r="K2201" s="19" t="s">
        <v>1159</v>
      </c>
      <c r="L2201" s="19">
        <v>2022</v>
      </c>
      <c r="M2201" s="20">
        <v>7.75</v>
      </c>
      <c r="N2201" s="19" t="s">
        <v>333</v>
      </c>
      <c r="O2201" s="20">
        <v>0</v>
      </c>
      <c r="P2201" s="20">
        <v>0</v>
      </c>
      <c r="Q2201" s="20">
        <v>0</v>
      </c>
      <c r="R2201" s="21">
        <v>0.91</v>
      </c>
      <c r="S2201" s="20">
        <v>0</v>
      </c>
    </row>
    <row r="2202" spans="2:19" ht="15" customHeight="1" x14ac:dyDescent="0.25">
      <c r="B2202" s="2" t="str">
        <f t="shared" si="68"/>
        <v>NSG_Business_Public Sector_Rebates_DCV - Kitchen_0_CI</v>
      </c>
      <c r="C2202" s="2" t="str">
        <f t="shared" si="69"/>
        <v>NSG_Business_Public Sector_Rebates_DCV - Kitchen_0_CI_2023</v>
      </c>
      <c r="D2202" s="19" t="s">
        <v>1787</v>
      </c>
      <c r="E2202" s="19" t="s">
        <v>3</v>
      </c>
      <c r="F2202" s="19" t="s">
        <v>1430</v>
      </c>
      <c r="G2202" s="19" t="s">
        <v>1429</v>
      </c>
      <c r="H2202" s="19" t="s">
        <v>1077</v>
      </c>
      <c r="I2202" s="19">
        <v>0</v>
      </c>
      <c r="J2202" s="19" t="s">
        <v>1469</v>
      </c>
      <c r="K2202" s="19" t="s">
        <v>1159</v>
      </c>
      <c r="L2202" s="19">
        <v>2023</v>
      </c>
      <c r="M2202" s="20">
        <v>7.75</v>
      </c>
      <c r="N2202" s="19" t="s">
        <v>333</v>
      </c>
      <c r="O2202" s="20">
        <v>0</v>
      </c>
      <c r="P2202" s="20">
        <v>0</v>
      </c>
      <c r="Q2202" s="20">
        <v>0</v>
      </c>
      <c r="R2202" s="21">
        <v>0.91</v>
      </c>
      <c r="S2202" s="20">
        <v>0</v>
      </c>
    </row>
    <row r="2203" spans="2:19" ht="15" customHeight="1" x14ac:dyDescent="0.25">
      <c r="B2203" s="2" t="str">
        <f t="shared" si="68"/>
        <v>NSG_Business_Public Sector_Rebates_DCV - Kitchen_0_CI</v>
      </c>
      <c r="C2203" s="2" t="str">
        <f t="shared" si="69"/>
        <v>NSG_Business_Public Sector_Rebates_DCV - Kitchen_0_CI_2024</v>
      </c>
      <c r="D2203" s="19" t="s">
        <v>1787</v>
      </c>
      <c r="E2203" s="19" t="s">
        <v>3</v>
      </c>
      <c r="F2203" s="19" t="s">
        <v>1430</v>
      </c>
      <c r="G2203" s="19" t="s">
        <v>1429</v>
      </c>
      <c r="H2203" s="19" t="s">
        <v>1077</v>
      </c>
      <c r="I2203" s="19">
        <v>0</v>
      </c>
      <c r="J2203" s="19" t="s">
        <v>1469</v>
      </c>
      <c r="K2203" s="19" t="s">
        <v>1159</v>
      </c>
      <c r="L2203" s="19">
        <v>2024</v>
      </c>
      <c r="M2203" s="20">
        <v>7.75</v>
      </c>
      <c r="N2203" s="19" t="s">
        <v>333</v>
      </c>
      <c r="O2203" s="20">
        <v>0</v>
      </c>
      <c r="P2203" s="20">
        <v>0</v>
      </c>
      <c r="Q2203" s="20">
        <v>0</v>
      </c>
      <c r="R2203" s="21">
        <v>0.91</v>
      </c>
      <c r="S2203" s="20">
        <v>0</v>
      </c>
    </row>
    <row r="2204" spans="2:19" ht="15" customHeight="1" x14ac:dyDescent="0.25">
      <c r="B2204" s="2" t="str">
        <f t="shared" si="68"/>
        <v>NSG_Business_Public Sector_Rebates_DCV - Kitchen_0_CI</v>
      </c>
      <c r="C2204" s="2" t="str">
        <f t="shared" si="69"/>
        <v>NSG_Business_Public Sector_Rebates_DCV - Kitchen_0_CI_2025</v>
      </c>
      <c r="D2204" s="19" t="s">
        <v>1787</v>
      </c>
      <c r="E2204" s="19" t="s">
        <v>3</v>
      </c>
      <c r="F2204" s="19" t="s">
        <v>1430</v>
      </c>
      <c r="G2204" s="19" t="s">
        <v>1429</v>
      </c>
      <c r="H2204" s="19" t="s">
        <v>1077</v>
      </c>
      <c r="I2204" s="19">
        <v>0</v>
      </c>
      <c r="J2204" s="19" t="s">
        <v>1469</v>
      </c>
      <c r="K2204" s="19" t="s">
        <v>1159</v>
      </c>
      <c r="L2204" s="19">
        <v>2025</v>
      </c>
      <c r="M2204" s="20">
        <v>7.75</v>
      </c>
      <c r="N2204" s="19" t="s">
        <v>333</v>
      </c>
      <c r="O2204" s="20">
        <v>0</v>
      </c>
      <c r="P2204" s="20">
        <v>0</v>
      </c>
      <c r="Q2204" s="20">
        <v>0</v>
      </c>
      <c r="R2204" s="21">
        <v>0.91</v>
      </c>
      <c r="S2204" s="20">
        <v>0</v>
      </c>
    </row>
    <row r="2205" spans="2:19" ht="15" customHeight="1" x14ac:dyDescent="0.25">
      <c r="B2205" s="2" t="str">
        <f t="shared" si="68"/>
        <v>NSG_Business_Public Sector_Rebates_Direct Fired Heaters_0_MF/CI</v>
      </c>
      <c r="C2205" s="2" t="str">
        <f t="shared" si="69"/>
        <v>NSG_Business_Public Sector_Rebates_Direct Fired Heaters_0_MF/CI_2022</v>
      </c>
      <c r="D2205" s="19" t="s">
        <v>1787</v>
      </c>
      <c r="E2205" s="19" t="s">
        <v>3</v>
      </c>
      <c r="F2205" s="19" t="s">
        <v>1430</v>
      </c>
      <c r="G2205" s="19" t="s">
        <v>1429</v>
      </c>
      <c r="H2205" s="19" t="s">
        <v>666</v>
      </c>
      <c r="I2205" s="19">
        <v>0</v>
      </c>
      <c r="J2205" s="19" t="s">
        <v>673</v>
      </c>
      <c r="K2205" s="19" t="s">
        <v>587</v>
      </c>
      <c r="L2205" s="19">
        <v>2022</v>
      </c>
      <c r="M2205" s="20">
        <v>400</v>
      </c>
      <c r="N2205" s="19" t="s">
        <v>667</v>
      </c>
      <c r="O2205" s="20">
        <v>0</v>
      </c>
      <c r="P2205" s="20">
        <v>0</v>
      </c>
      <c r="Q2205" s="20">
        <v>0</v>
      </c>
      <c r="R2205" s="21">
        <v>0.91</v>
      </c>
      <c r="S2205" s="20">
        <v>0</v>
      </c>
    </row>
    <row r="2206" spans="2:19" ht="15" customHeight="1" x14ac:dyDescent="0.25">
      <c r="B2206" s="2" t="str">
        <f t="shared" si="68"/>
        <v>NSG_Business_Public Sector_Rebates_Direct Fired Heaters_0_MF/CI</v>
      </c>
      <c r="C2206" s="2" t="str">
        <f t="shared" si="69"/>
        <v>NSG_Business_Public Sector_Rebates_Direct Fired Heaters_0_MF/CI_2023</v>
      </c>
      <c r="D2206" s="19" t="s">
        <v>1787</v>
      </c>
      <c r="E2206" s="19" t="s">
        <v>3</v>
      </c>
      <c r="F2206" s="19" t="s">
        <v>1430</v>
      </c>
      <c r="G2206" s="19" t="s">
        <v>1429</v>
      </c>
      <c r="H2206" s="19" t="s">
        <v>666</v>
      </c>
      <c r="I2206" s="19">
        <v>0</v>
      </c>
      <c r="J2206" s="19" t="s">
        <v>673</v>
      </c>
      <c r="K2206" s="19" t="s">
        <v>587</v>
      </c>
      <c r="L2206" s="19">
        <v>2023</v>
      </c>
      <c r="M2206" s="20">
        <v>400</v>
      </c>
      <c r="N2206" s="19" t="s">
        <v>667</v>
      </c>
      <c r="O2206" s="20">
        <v>0</v>
      </c>
      <c r="P2206" s="20">
        <v>0</v>
      </c>
      <c r="Q2206" s="20">
        <v>0</v>
      </c>
      <c r="R2206" s="21">
        <v>0.91</v>
      </c>
      <c r="S2206" s="20">
        <v>0</v>
      </c>
    </row>
    <row r="2207" spans="2:19" ht="15" customHeight="1" x14ac:dyDescent="0.25">
      <c r="B2207" s="2" t="str">
        <f t="shared" si="68"/>
        <v>NSG_Business_Public Sector_Rebates_Direct Fired Heaters_0_MF/CI</v>
      </c>
      <c r="C2207" s="2" t="str">
        <f t="shared" si="69"/>
        <v>NSG_Business_Public Sector_Rebates_Direct Fired Heaters_0_MF/CI_2024</v>
      </c>
      <c r="D2207" s="19" t="s">
        <v>1787</v>
      </c>
      <c r="E2207" s="19" t="s">
        <v>3</v>
      </c>
      <c r="F2207" s="19" t="s">
        <v>1430</v>
      </c>
      <c r="G2207" s="19" t="s">
        <v>1429</v>
      </c>
      <c r="H2207" s="19" t="s">
        <v>666</v>
      </c>
      <c r="I2207" s="19">
        <v>0</v>
      </c>
      <c r="J2207" s="19" t="s">
        <v>673</v>
      </c>
      <c r="K2207" s="19" t="s">
        <v>587</v>
      </c>
      <c r="L2207" s="19">
        <v>2024</v>
      </c>
      <c r="M2207" s="20">
        <v>400</v>
      </c>
      <c r="N2207" s="19" t="s">
        <v>667</v>
      </c>
      <c r="O2207" s="20">
        <v>0</v>
      </c>
      <c r="P2207" s="20">
        <v>0</v>
      </c>
      <c r="Q2207" s="20">
        <v>0</v>
      </c>
      <c r="R2207" s="21">
        <v>0.91</v>
      </c>
      <c r="S2207" s="20">
        <v>0</v>
      </c>
    </row>
    <row r="2208" spans="2:19" ht="15" customHeight="1" x14ac:dyDescent="0.25">
      <c r="B2208" s="2" t="str">
        <f t="shared" si="68"/>
        <v>NSG_Business_Public Sector_Rebates_Direct Fired Heaters_0_MF/CI</v>
      </c>
      <c r="C2208" s="2" t="str">
        <f t="shared" si="69"/>
        <v>NSG_Business_Public Sector_Rebates_Direct Fired Heaters_0_MF/CI_2025</v>
      </c>
      <c r="D2208" s="19" t="s">
        <v>1787</v>
      </c>
      <c r="E2208" s="19" t="s">
        <v>3</v>
      </c>
      <c r="F2208" s="19" t="s">
        <v>1430</v>
      </c>
      <c r="G2208" s="19" t="s">
        <v>1429</v>
      </c>
      <c r="H2208" s="19" t="s">
        <v>666</v>
      </c>
      <c r="I2208" s="19">
        <v>0</v>
      </c>
      <c r="J2208" s="19" t="s">
        <v>673</v>
      </c>
      <c r="K2208" s="19" t="s">
        <v>587</v>
      </c>
      <c r="L2208" s="19">
        <v>2025</v>
      </c>
      <c r="M2208" s="20">
        <v>400</v>
      </c>
      <c r="N2208" s="19" t="s">
        <v>667</v>
      </c>
      <c r="O2208" s="20">
        <v>0</v>
      </c>
      <c r="P2208" s="20">
        <v>0</v>
      </c>
      <c r="Q2208" s="20">
        <v>0</v>
      </c>
      <c r="R2208" s="21">
        <v>0.91</v>
      </c>
      <c r="S2208" s="20">
        <v>0</v>
      </c>
    </row>
    <row r="2209" spans="2:19" ht="15" customHeight="1" x14ac:dyDescent="0.25">
      <c r="B2209" s="2" t="str">
        <f t="shared" si="68"/>
        <v>NSG_Business_Public Sector_Rebates_High Speed Washer_Hotel/Motel/Hospital_CI</v>
      </c>
      <c r="C2209" s="2" t="str">
        <f t="shared" si="69"/>
        <v>NSG_Business_Public Sector_Rebates_High Speed Washer_Hotel/Motel/Hospital_CI_2022</v>
      </c>
      <c r="D2209" s="19" t="s">
        <v>1787</v>
      </c>
      <c r="E2209" s="19" t="s">
        <v>3</v>
      </c>
      <c r="F2209" s="19" t="s">
        <v>1430</v>
      </c>
      <c r="G2209" s="19" t="s">
        <v>1429</v>
      </c>
      <c r="H2209" s="19" t="s">
        <v>725</v>
      </c>
      <c r="I2209" s="19" t="s">
        <v>1162</v>
      </c>
      <c r="J2209" s="19" t="s">
        <v>730</v>
      </c>
      <c r="K2209" s="19" t="s">
        <v>1159</v>
      </c>
      <c r="L2209" s="19">
        <v>2022</v>
      </c>
      <c r="M2209" s="20">
        <v>250</v>
      </c>
      <c r="N2209" s="19" t="s">
        <v>1803</v>
      </c>
      <c r="O2209" s="20">
        <v>0</v>
      </c>
      <c r="P2209" s="20">
        <v>0</v>
      </c>
      <c r="Q2209" s="20">
        <v>0</v>
      </c>
      <c r="R2209" s="21">
        <v>0.91</v>
      </c>
      <c r="S2209" s="20">
        <v>0</v>
      </c>
    </row>
    <row r="2210" spans="2:19" ht="15" customHeight="1" x14ac:dyDescent="0.25">
      <c r="B2210" s="2" t="str">
        <f t="shared" si="68"/>
        <v>NSG_Business_Public Sector_Rebates_High Speed Washer_Hotel/Motel/Hospital_CI</v>
      </c>
      <c r="C2210" s="2" t="str">
        <f t="shared" si="69"/>
        <v>NSG_Business_Public Sector_Rebates_High Speed Washer_Hotel/Motel/Hospital_CI_2023</v>
      </c>
      <c r="D2210" s="19" t="s">
        <v>1787</v>
      </c>
      <c r="E2210" s="19" t="s">
        <v>3</v>
      </c>
      <c r="F2210" s="19" t="s">
        <v>1430</v>
      </c>
      <c r="G2210" s="19" t="s">
        <v>1429</v>
      </c>
      <c r="H2210" s="19" t="s">
        <v>725</v>
      </c>
      <c r="I2210" s="19" t="s">
        <v>1162</v>
      </c>
      <c r="J2210" s="19" t="s">
        <v>730</v>
      </c>
      <c r="K2210" s="19" t="s">
        <v>1159</v>
      </c>
      <c r="L2210" s="19">
        <v>2023</v>
      </c>
      <c r="M2210" s="20">
        <v>250</v>
      </c>
      <c r="N2210" s="19" t="s">
        <v>1803</v>
      </c>
      <c r="O2210" s="20">
        <v>0</v>
      </c>
      <c r="P2210" s="20">
        <v>0</v>
      </c>
      <c r="Q2210" s="20">
        <v>0</v>
      </c>
      <c r="R2210" s="21">
        <v>0.91</v>
      </c>
      <c r="S2210" s="20">
        <v>0</v>
      </c>
    </row>
    <row r="2211" spans="2:19" ht="15" customHeight="1" x14ac:dyDescent="0.25">
      <c r="B2211" s="2" t="str">
        <f t="shared" si="68"/>
        <v>NSG_Business_Public Sector_Rebates_High Speed Washer_Hotel/Motel/Hospital_CI</v>
      </c>
      <c r="C2211" s="2" t="str">
        <f t="shared" si="69"/>
        <v>NSG_Business_Public Sector_Rebates_High Speed Washer_Hotel/Motel/Hospital_CI_2024</v>
      </c>
      <c r="D2211" s="19" t="s">
        <v>1787</v>
      </c>
      <c r="E2211" s="19" t="s">
        <v>3</v>
      </c>
      <c r="F2211" s="19" t="s">
        <v>1430</v>
      </c>
      <c r="G2211" s="19" t="s">
        <v>1429</v>
      </c>
      <c r="H2211" s="19" t="s">
        <v>725</v>
      </c>
      <c r="I2211" s="19" t="s">
        <v>1162</v>
      </c>
      <c r="J2211" s="19" t="s">
        <v>730</v>
      </c>
      <c r="K2211" s="19" t="s">
        <v>1159</v>
      </c>
      <c r="L2211" s="19">
        <v>2024</v>
      </c>
      <c r="M2211" s="20">
        <v>250</v>
      </c>
      <c r="N2211" s="19" t="s">
        <v>1803</v>
      </c>
      <c r="O2211" s="20">
        <v>0</v>
      </c>
      <c r="P2211" s="20">
        <v>0</v>
      </c>
      <c r="Q2211" s="20">
        <v>0</v>
      </c>
      <c r="R2211" s="21">
        <v>0.91</v>
      </c>
      <c r="S2211" s="20">
        <v>0</v>
      </c>
    </row>
    <row r="2212" spans="2:19" ht="15" customHeight="1" x14ac:dyDescent="0.25">
      <c r="B2212" s="2" t="str">
        <f t="shared" si="68"/>
        <v>NSG_Business_Public Sector_Rebates_High Speed Washer_Hotel/Motel/Hospital_CI</v>
      </c>
      <c r="C2212" s="2" t="str">
        <f t="shared" si="69"/>
        <v>NSG_Business_Public Sector_Rebates_High Speed Washer_Hotel/Motel/Hospital_CI_2025</v>
      </c>
      <c r="D2212" s="19" t="s">
        <v>1787</v>
      </c>
      <c r="E2212" s="19" t="s">
        <v>3</v>
      </c>
      <c r="F2212" s="19" t="s">
        <v>1430</v>
      </c>
      <c r="G2212" s="19" t="s">
        <v>1429</v>
      </c>
      <c r="H2212" s="19" t="s">
        <v>725</v>
      </c>
      <c r="I2212" s="19" t="s">
        <v>1162</v>
      </c>
      <c r="J2212" s="19" t="s">
        <v>730</v>
      </c>
      <c r="K2212" s="19" t="s">
        <v>1159</v>
      </c>
      <c r="L2212" s="19">
        <v>2025</v>
      </c>
      <c r="M2212" s="20">
        <v>250</v>
      </c>
      <c r="N2212" s="19" t="s">
        <v>1803</v>
      </c>
      <c r="O2212" s="20">
        <v>0</v>
      </c>
      <c r="P2212" s="20">
        <v>0</v>
      </c>
      <c r="Q2212" s="20">
        <v>0</v>
      </c>
      <c r="R2212" s="21">
        <v>0.91</v>
      </c>
      <c r="S2212" s="20">
        <v>0</v>
      </c>
    </row>
    <row r="2213" spans="2:19" ht="15" customHeight="1" x14ac:dyDescent="0.25">
      <c r="B2213" s="2" t="str">
        <f t="shared" si="68"/>
        <v>NSG_Business_Public Sector_Rebates_High Speed Washer_Laundromat_SMB</v>
      </c>
      <c r="C2213" s="2" t="str">
        <f t="shared" si="69"/>
        <v>NSG_Business_Public Sector_Rebates_High Speed Washer_Laundromat_SMB_2022</v>
      </c>
      <c r="D2213" s="19" t="s">
        <v>1787</v>
      </c>
      <c r="E2213" s="19" t="s">
        <v>3</v>
      </c>
      <c r="F2213" s="19" t="s">
        <v>1430</v>
      </c>
      <c r="G2213" s="19" t="s">
        <v>1429</v>
      </c>
      <c r="H2213" s="19" t="s">
        <v>725</v>
      </c>
      <c r="I2213" s="19" t="s">
        <v>1356</v>
      </c>
      <c r="J2213" s="19" t="s">
        <v>730</v>
      </c>
      <c r="K2213" s="19" t="s">
        <v>1220</v>
      </c>
      <c r="L2213" s="19">
        <v>2022</v>
      </c>
      <c r="M2213" s="20">
        <v>250</v>
      </c>
      <c r="N2213" s="19" t="s">
        <v>1803</v>
      </c>
      <c r="O2213" s="20">
        <v>0</v>
      </c>
      <c r="P2213" s="20">
        <v>0</v>
      </c>
      <c r="Q2213" s="20">
        <v>0</v>
      </c>
      <c r="R2213" s="21">
        <v>0.91</v>
      </c>
      <c r="S2213" s="20">
        <v>0</v>
      </c>
    </row>
    <row r="2214" spans="2:19" ht="15" customHeight="1" x14ac:dyDescent="0.25">
      <c r="B2214" s="2" t="str">
        <f t="shared" si="68"/>
        <v>NSG_Business_Public Sector_Rebates_High Speed Washer_Laundromat_SMB</v>
      </c>
      <c r="C2214" s="2" t="str">
        <f t="shared" si="69"/>
        <v>NSG_Business_Public Sector_Rebates_High Speed Washer_Laundromat_SMB_2023</v>
      </c>
      <c r="D2214" s="19" t="s">
        <v>1787</v>
      </c>
      <c r="E2214" s="19" t="s">
        <v>3</v>
      </c>
      <c r="F2214" s="19" t="s">
        <v>1430</v>
      </c>
      <c r="G2214" s="19" t="s">
        <v>1429</v>
      </c>
      <c r="H2214" s="19" t="s">
        <v>725</v>
      </c>
      <c r="I2214" s="19" t="s">
        <v>1356</v>
      </c>
      <c r="J2214" s="19" t="s">
        <v>730</v>
      </c>
      <c r="K2214" s="19" t="s">
        <v>1220</v>
      </c>
      <c r="L2214" s="19">
        <v>2023</v>
      </c>
      <c r="M2214" s="20">
        <v>250</v>
      </c>
      <c r="N2214" s="19" t="s">
        <v>1803</v>
      </c>
      <c r="O2214" s="20">
        <v>0</v>
      </c>
      <c r="P2214" s="20">
        <v>0</v>
      </c>
      <c r="Q2214" s="20">
        <v>0</v>
      </c>
      <c r="R2214" s="21">
        <v>0.91</v>
      </c>
      <c r="S2214" s="20">
        <v>0</v>
      </c>
    </row>
    <row r="2215" spans="2:19" ht="15" customHeight="1" x14ac:dyDescent="0.25">
      <c r="B2215" s="2" t="str">
        <f t="shared" si="68"/>
        <v>NSG_Business_Public Sector_Rebates_High Speed Washer_Laundromat_SMB</v>
      </c>
      <c r="C2215" s="2" t="str">
        <f t="shared" si="69"/>
        <v>NSG_Business_Public Sector_Rebates_High Speed Washer_Laundromat_SMB_2024</v>
      </c>
      <c r="D2215" s="19" t="s">
        <v>1787</v>
      </c>
      <c r="E2215" s="19" t="s">
        <v>3</v>
      </c>
      <c r="F2215" s="19" t="s">
        <v>1430</v>
      </c>
      <c r="G2215" s="19" t="s">
        <v>1429</v>
      </c>
      <c r="H2215" s="19" t="s">
        <v>725</v>
      </c>
      <c r="I2215" s="19" t="s">
        <v>1356</v>
      </c>
      <c r="J2215" s="19" t="s">
        <v>730</v>
      </c>
      <c r="K2215" s="19" t="s">
        <v>1220</v>
      </c>
      <c r="L2215" s="19">
        <v>2024</v>
      </c>
      <c r="M2215" s="20">
        <v>250</v>
      </c>
      <c r="N2215" s="19" t="s">
        <v>1803</v>
      </c>
      <c r="O2215" s="20">
        <v>0</v>
      </c>
      <c r="P2215" s="20">
        <v>0</v>
      </c>
      <c r="Q2215" s="20">
        <v>0</v>
      </c>
      <c r="R2215" s="21">
        <v>0.91</v>
      </c>
      <c r="S2215" s="20">
        <v>0</v>
      </c>
    </row>
    <row r="2216" spans="2:19" ht="15" customHeight="1" x14ac:dyDescent="0.25">
      <c r="B2216" s="2" t="str">
        <f t="shared" si="68"/>
        <v>NSG_Business_Public Sector_Rebates_High Speed Washer_Laundromat_SMB</v>
      </c>
      <c r="C2216" s="2" t="str">
        <f t="shared" si="69"/>
        <v>NSG_Business_Public Sector_Rebates_High Speed Washer_Laundromat_SMB_2025</v>
      </c>
      <c r="D2216" s="19" t="s">
        <v>1787</v>
      </c>
      <c r="E2216" s="19" t="s">
        <v>3</v>
      </c>
      <c r="F2216" s="19" t="s">
        <v>1430</v>
      </c>
      <c r="G2216" s="19" t="s">
        <v>1429</v>
      </c>
      <c r="H2216" s="19" t="s">
        <v>725</v>
      </c>
      <c r="I2216" s="19" t="s">
        <v>1356</v>
      </c>
      <c r="J2216" s="19" t="s">
        <v>730</v>
      </c>
      <c r="K2216" s="19" t="s">
        <v>1220</v>
      </c>
      <c r="L2216" s="19">
        <v>2025</v>
      </c>
      <c r="M2216" s="20">
        <v>250</v>
      </c>
      <c r="N2216" s="19" t="s">
        <v>1803</v>
      </c>
      <c r="O2216" s="20">
        <v>0</v>
      </c>
      <c r="P2216" s="20">
        <v>0</v>
      </c>
      <c r="Q2216" s="20">
        <v>0</v>
      </c>
      <c r="R2216" s="21">
        <v>0.91</v>
      </c>
      <c r="S2216" s="20">
        <v>0</v>
      </c>
    </row>
    <row r="2217" spans="2:19" ht="15" customHeight="1" x14ac:dyDescent="0.25">
      <c r="B2217" s="2" t="str">
        <f t="shared" si="68"/>
        <v>NSG_Business_Public Sector_Rebates_Small Commercial Advanced Thermostat_0_CI</v>
      </c>
      <c r="C2217" s="2" t="str">
        <f t="shared" si="69"/>
        <v>NSG_Business_Public Sector_Rebates_Small Commercial Advanced Thermostat_0_CI_2022</v>
      </c>
      <c r="D2217" s="19" t="s">
        <v>1787</v>
      </c>
      <c r="E2217" s="19" t="s">
        <v>3</v>
      </c>
      <c r="F2217" s="19" t="s">
        <v>1430</v>
      </c>
      <c r="G2217" s="19" t="s">
        <v>1429</v>
      </c>
      <c r="H2217" s="19" t="s">
        <v>1302</v>
      </c>
      <c r="I2217" s="19">
        <v>0</v>
      </c>
      <c r="J2217" s="19" t="s">
        <v>1183</v>
      </c>
      <c r="K2217" s="19" t="s">
        <v>1159</v>
      </c>
      <c r="L2217" s="19">
        <v>2022</v>
      </c>
      <c r="M2217" s="20">
        <v>1</v>
      </c>
      <c r="N2217" s="19" t="s">
        <v>1798</v>
      </c>
      <c r="O2217" s="20">
        <v>0</v>
      </c>
      <c r="P2217" s="20">
        <v>0</v>
      </c>
      <c r="Q2217" s="20">
        <v>0</v>
      </c>
      <c r="R2217" s="21">
        <v>0.91</v>
      </c>
      <c r="S2217" s="20">
        <v>0</v>
      </c>
    </row>
    <row r="2218" spans="2:19" ht="15" customHeight="1" x14ac:dyDescent="0.25">
      <c r="B2218" s="2" t="str">
        <f t="shared" si="68"/>
        <v>NSG_Business_Public Sector_Rebates_Small Commercial Advanced Thermostat_0_CI</v>
      </c>
      <c r="C2218" s="2" t="str">
        <f t="shared" si="69"/>
        <v>NSG_Business_Public Sector_Rebates_Small Commercial Advanced Thermostat_0_CI_2023</v>
      </c>
      <c r="D2218" s="19" t="s">
        <v>1787</v>
      </c>
      <c r="E2218" s="19" t="s">
        <v>3</v>
      </c>
      <c r="F2218" s="19" t="s">
        <v>1430</v>
      </c>
      <c r="G2218" s="19" t="s">
        <v>1429</v>
      </c>
      <c r="H2218" s="19" t="s">
        <v>1302</v>
      </c>
      <c r="I2218" s="19">
        <v>0</v>
      </c>
      <c r="J2218" s="19" t="s">
        <v>1183</v>
      </c>
      <c r="K2218" s="19" t="s">
        <v>1159</v>
      </c>
      <c r="L2218" s="19">
        <v>2023</v>
      </c>
      <c r="M2218" s="20">
        <v>1</v>
      </c>
      <c r="N2218" s="19" t="s">
        <v>1798</v>
      </c>
      <c r="O2218" s="20">
        <v>0</v>
      </c>
      <c r="P2218" s="20">
        <v>0</v>
      </c>
      <c r="Q2218" s="20">
        <v>0</v>
      </c>
      <c r="R2218" s="21">
        <v>0.91</v>
      </c>
      <c r="S2218" s="20">
        <v>0</v>
      </c>
    </row>
    <row r="2219" spans="2:19" ht="15" customHeight="1" x14ac:dyDescent="0.25">
      <c r="B2219" s="2" t="str">
        <f t="shared" si="68"/>
        <v>NSG_Business_Public Sector_Rebates_Small Commercial Advanced Thermostat_0_CI</v>
      </c>
      <c r="C2219" s="2" t="str">
        <f t="shared" si="69"/>
        <v>NSG_Business_Public Sector_Rebates_Small Commercial Advanced Thermostat_0_CI_2024</v>
      </c>
      <c r="D2219" s="19" t="s">
        <v>1787</v>
      </c>
      <c r="E2219" s="19" t="s">
        <v>3</v>
      </c>
      <c r="F2219" s="19" t="s">
        <v>1430</v>
      </c>
      <c r="G2219" s="19" t="s">
        <v>1429</v>
      </c>
      <c r="H2219" s="19" t="s">
        <v>1302</v>
      </c>
      <c r="I2219" s="19">
        <v>0</v>
      </c>
      <c r="J2219" s="19" t="s">
        <v>1183</v>
      </c>
      <c r="K2219" s="19" t="s">
        <v>1159</v>
      </c>
      <c r="L2219" s="19">
        <v>2024</v>
      </c>
      <c r="M2219" s="20">
        <v>1</v>
      </c>
      <c r="N2219" s="19" t="s">
        <v>1798</v>
      </c>
      <c r="O2219" s="20">
        <v>0</v>
      </c>
      <c r="P2219" s="20">
        <v>0</v>
      </c>
      <c r="Q2219" s="20">
        <v>0</v>
      </c>
      <c r="R2219" s="21">
        <v>0.91</v>
      </c>
      <c r="S2219" s="20">
        <v>0</v>
      </c>
    </row>
    <row r="2220" spans="2:19" ht="15" customHeight="1" x14ac:dyDescent="0.25">
      <c r="B2220" s="2" t="str">
        <f t="shared" si="68"/>
        <v>NSG_Business_Public Sector_Rebates_Small Commercial Advanced Thermostat_0_CI</v>
      </c>
      <c r="C2220" s="2" t="str">
        <f t="shared" si="69"/>
        <v>NSG_Business_Public Sector_Rebates_Small Commercial Advanced Thermostat_0_CI_2025</v>
      </c>
      <c r="D2220" s="19" t="s">
        <v>1787</v>
      </c>
      <c r="E2220" s="19" t="s">
        <v>3</v>
      </c>
      <c r="F2220" s="19" t="s">
        <v>1430</v>
      </c>
      <c r="G2220" s="19" t="s">
        <v>1429</v>
      </c>
      <c r="H2220" s="19" t="s">
        <v>1302</v>
      </c>
      <c r="I2220" s="19">
        <v>0</v>
      </c>
      <c r="J2220" s="19" t="s">
        <v>1183</v>
      </c>
      <c r="K2220" s="19" t="s">
        <v>1159</v>
      </c>
      <c r="L2220" s="19">
        <v>2025</v>
      </c>
      <c r="M2220" s="20">
        <v>1</v>
      </c>
      <c r="N2220" s="19" t="s">
        <v>1798</v>
      </c>
      <c r="O2220" s="20">
        <v>0</v>
      </c>
      <c r="P2220" s="20">
        <v>0</v>
      </c>
      <c r="Q2220" s="20">
        <v>0</v>
      </c>
      <c r="R2220" s="21">
        <v>0.91</v>
      </c>
      <c r="S2220" s="20">
        <v>0</v>
      </c>
    </row>
    <row r="2221" spans="2:19" ht="15" customHeight="1" x14ac:dyDescent="0.25">
      <c r="B2221" s="2" t="str">
        <f t="shared" si="68"/>
        <v>NSG_Business_Public Sector_Rebates_Demand Controlled Ventilation_0_MF/CI/SMB</v>
      </c>
      <c r="C2221" s="2" t="str">
        <f t="shared" si="69"/>
        <v>NSG_Business_Public Sector_Rebates_Demand Controlled Ventilation_0_MF/CI/SMB_2022</v>
      </c>
      <c r="D2221" s="19" t="s">
        <v>1787</v>
      </c>
      <c r="E2221" s="19" t="s">
        <v>3</v>
      </c>
      <c r="F2221" s="19" t="s">
        <v>1430</v>
      </c>
      <c r="G2221" s="19" t="s">
        <v>1429</v>
      </c>
      <c r="H2221" s="19" t="s">
        <v>14</v>
      </c>
      <c r="I2221" s="19">
        <v>0</v>
      </c>
      <c r="J2221" s="19" t="s">
        <v>34</v>
      </c>
      <c r="K2221" s="19" t="s">
        <v>662</v>
      </c>
      <c r="L2221" s="19">
        <v>2022</v>
      </c>
      <c r="M2221" s="20">
        <v>5000</v>
      </c>
      <c r="N2221" s="19" t="s">
        <v>634</v>
      </c>
      <c r="O2221" s="20">
        <v>2</v>
      </c>
      <c r="P2221" s="20">
        <v>10000</v>
      </c>
      <c r="Q2221" s="20">
        <v>618.80000000000007</v>
      </c>
      <c r="R2221" s="21">
        <v>0.91</v>
      </c>
      <c r="S2221" s="20">
        <v>618.80000000000007</v>
      </c>
    </row>
    <row r="2222" spans="2:19" ht="15" customHeight="1" x14ac:dyDescent="0.25">
      <c r="B2222" s="2" t="str">
        <f t="shared" si="68"/>
        <v>NSG_Business_Public Sector_Rebates_Demand Controlled Ventilation_0_MF/CI/SMB</v>
      </c>
      <c r="C2222" s="2" t="str">
        <f t="shared" si="69"/>
        <v>NSG_Business_Public Sector_Rebates_Demand Controlled Ventilation_0_MF/CI/SMB_2023</v>
      </c>
      <c r="D2222" s="19" t="s">
        <v>1787</v>
      </c>
      <c r="E2222" s="19" t="s">
        <v>3</v>
      </c>
      <c r="F2222" s="19" t="s">
        <v>1430</v>
      </c>
      <c r="G2222" s="19" t="s">
        <v>1429</v>
      </c>
      <c r="H2222" s="19" t="s">
        <v>14</v>
      </c>
      <c r="I2222" s="19">
        <v>0</v>
      </c>
      <c r="J2222" s="19" t="s">
        <v>34</v>
      </c>
      <c r="K2222" s="19" t="s">
        <v>662</v>
      </c>
      <c r="L2222" s="19">
        <v>2023</v>
      </c>
      <c r="M2222" s="20">
        <v>5000</v>
      </c>
      <c r="N2222" s="19" t="s">
        <v>634</v>
      </c>
      <c r="O2222" s="20">
        <v>2</v>
      </c>
      <c r="P2222" s="20">
        <v>10000</v>
      </c>
      <c r="Q2222" s="20">
        <v>618.80000000000007</v>
      </c>
      <c r="R2222" s="21">
        <v>0.91</v>
      </c>
      <c r="S2222" s="20">
        <v>618.80000000000007</v>
      </c>
    </row>
    <row r="2223" spans="2:19" ht="15" customHeight="1" x14ac:dyDescent="0.25">
      <c r="B2223" s="2" t="str">
        <f t="shared" si="68"/>
        <v>NSG_Business_Public Sector_Rebates_Demand Controlled Ventilation_0_MF/CI/SMB</v>
      </c>
      <c r="C2223" s="2" t="str">
        <f t="shared" si="69"/>
        <v>NSG_Business_Public Sector_Rebates_Demand Controlled Ventilation_0_MF/CI/SMB_2024</v>
      </c>
      <c r="D2223" s="19" t="s">
        <v>1787</v>
      </c>
      <c r="E2223" s="19" t="s">
        <v>3</v>
      </c>
      <c r="F2223" s="19" t="s">
        <v>1430</v>
      </c>
      <c r="G2223" s="19" t="s">
        <v>1429</v>
      </c>
      <c r="H2223" s="19" t="s">
        <v>14</v>
      </c>
      <c r="I2223" s="19">
        <v>0</v>
      </c>
      <c r="J2223" s="19" t="s">
        <v>34</v>
      </c>
      <c r="K2223" s="19" t="s">
        <v>662</v>
      </c>
      <c r="L2223" s="19">
        <v>2024</v>
      </c>
      <c r="M2223" s="20">
        <v>5000</v>
      </c>
      <c r="N2223" s="19" t="s">
        <v>634</v>
      </c>
      <c r="O2223" s="20">
        <v>2</v>
      </c>
      <c r="P2223" s="20">
        <v>10000</v>
      </c>
      <c r="Q2223" s="20">
        <v>618.80000000000007</v>
      </c>
      <c r="R2223" s="21">
        <v>0.91</v>
      </c>
      <c r="S2223" s="20">
        <v>618.80000000000007</v>
      </c>
    </row>
    <row r="2224" spans="2:19" ht="15" customHeight="1" x14ac:dyDescent="0.25">
      <c r="B2224" s="2" t="str">
        <f t="shared" si="68"/>
        <v>NSG_Business_Public Sector_Rebates_Demand Controlled Ventilation_0_MF/CI/SMB</v>
      </c>
      <c r="C2224" s="2" t="str">
        <f t="shared" si="69"/>
        <v>NSG_Business_Public Sector_Rebates_Demand Controlled Ventilation_0_MF/CI/SMB_2025</v>
      </c>
      <c r="D2224" s="19" t="s">
        <v>1787</v>
      </c>
      <c r="E2224" s="19" t="s">
        <v>3</v>
      </c>
      <c r="F2224" s="19" t="s">
        <v>1430</v>
      </c>
      <c r="G2224" s="19" t="s">
        <v>1429</v>
      </c>
      <c r="H2224" s="19" t="s">
        <v>14</v>
      </c>
      <c r="I2224" s="19">
        <v>0</v>
      </c>
      <c r="J2224" s="19" t="s">
        <v>34</v>
      </c>
      <c r="K2224" s="19" t="s">
        <v>662</v>
      </c>
      <c r="L2224" s="19">
        <v>2025</v>
      </c>
      <c r="M2224" s="20">
        <v>5000</v>
      </c>
      <c r="N2224" s="19" t="s">
        <v>634</v>
      </c>
      <c r="O2224" s="20">
        <v>2</v>
      </c>
      <c r="P2224" s="20">
        <v>10000</v>
      </c>
      <c r="Q2224" s="20">
        <v>618.80000000000007</v>
      </c>
      <c r="R2224" s="21">
        <v>0.91</v>
      </c>
      <c r="S2224" s="20">
        <v>618.80000000000007</v>
      </c>
    </row>
    <row r="2225" spans="2:19" ht="15" customHeight="1" x14ac:dyDescent="0.25">
      <c r="B2225" s="2" t="str">
        <f t="shared" si="68"/>
        <v>NSG_Business_Public Sector_Rebates_Linkageless Controls_0_CI</v>
      </c>
      <c r="C2225" s="2" t="str">
        <f t="shared" si="69"/>
        <v>NSG_Business_Public Sector_Rebates_Linkageless Controls_0_CI_2022</v>
      </c>
      <c r="D2225" s="19" t="s">
        <v>1787</v>
      </c>
      <c r="E2225" s="19" t="s">
        <v>3</v>
      </c>
      <c r="F2225" s="19" t="s">
        <v>1430</v>
      </c>
      <c r="G2225" s="19" t="s">
        <v>1429</v>
      </c>
      <c r="H2225" s="19" t="s">
        <v>1287</v>
      </c>
      <c r="I2225" s="19">
        <v>0</v>
      </c>
      <c r="J2225" s="19" t="s">
        <v>28</v>
      </c>
      <c r="K2225" s="19" t="s">
        <v>1159</v>
      </c>
      <c r="L2225" s="19">
        <v>2022</v>
      </c>
      <c r="M2225" s="20">
        <v>5000</v>
      </c>
      <c r="N2225" s="19" t="s">
        <v>667</v>
      </c>
      <c r="O2225" s="20">
        <v>0</v>
      </c>
      <c r="P2225" s="20">
        <v>0</v>
      </c>
      <c r="Q2225" s="20">
        <v>0</v>
      </c>
      <c r="R2225" s="21">
        <v>0.91</v>
      </c>
      <c r="S2225" s="20">
        <v>0</v>
      </c>
    </row>
    <row r="2226" spans="2:19" ht="15" customHeight="1" x14ac:dyDescent="0.25">
      <c r="B2226" s="2" t="str">
        <f t="shared" si="68"/>
        <v>NSG_Business_Public Sector_Rebates_Linkageless Controls_0_CI</v>
      </c>
      <c r="C2226" s="2" t="str">
        <f t="shared" si="69"/>
        <v>NSG_Business_Public Sector_Rebates_Linkageless Controls_0_CI_2023</v>
      </c>
      <c r="D2226" s="19" t="s">
        <v>1787</v>
      </c>
      <c r="E2226" s="19" t="s">
        <v>3</v>
      </c>
      <c r="F2226" s="19" t="s">
        <v>1430</v>
      </c>
      <c r="G2226" s="19" t="s">
        <v>1429</v>
      </c>
      <c r="H2226" s="19" t="s">
        <v>1287</v>
      </c>
      <c r="I2226" s="19">
        <v>0</v>
      </c>
      <c r="J2226" s="19" t="s">
        <v>28</v>
      </c>
      <c r="K2226" s="19" t="s">
        <v>1159</v>
      </c>
      <c r="L2226" s="19">
        <v>2023</v>
      </c>
      <c r="M2226" s="20">
        <v>5000</v>
      </c>
      <c r="N2226" s="19" t="s">
        <v>667</v>
      </c>
      <c r="O2226" s="20">
        <v>0</v>
      </c>
      <c r="P2226" s="20">
        <v>0</v>
      </c>
      <c r="Q2226" s="20">
        <v>0</v>
      </c>
      <c r="R2226" s="21">
        <v>0.91</v>
      </c>
      <c r="S2226" s="20">
        <v>0</v>
      </c>
    </row>
    <row r="2227" spans="2:19" ht="15" customHeight="1" x14ac:dyDescent="0.25">
      <c r="B2227" s="2" t="str">
        <f t="shared" si="68"/>
        <v>NSG_Business_Public Sector_Rebates_Linkageless Controls_0_CI</v>
      </c>
      <c r="C2227" s="2" t="str">
        <f t="shared" si="69"/>
        <v>NSG_Business_Public Sector_Rebates_Linkageless Controls_0_CI_2024</v>
      </c>
      <c r="D2227" s="19" t="s">
        <v>1787</v>
      </c>
      <c r="E2227" s="19" t="s">
        <v>3</v>
      </c>
      <c r="F2227" s="19" t="s">
        <v>1430</v>
      </c>
      <c r="G2227" s="19" t="s">
        <v>1429</v>
      </c>
      <c r="H2227" s="19" t="s">
        <v>1287</v>
      </c>
      <c r="I2227" s="19">
        <v>0</v>
      </c>
      <c r="J2227" s="19" t="s">
        <v>28</v>
      </c>
      <c r="K2227" s="19" t="s">
        <v>1159</v>
      </c>
      <c r="L2227" s="19">
        <v>2024</v>
      </c>
      <c r="M2227" s="20">
        <v>5000</v>
      </c>
      <c r="N2227" s="19" t="s">
        <v>667</v>
      </c>
      <c r="O2227" s="20">
        <v>0</v>
      </c>
      <c r="P2227" s="20">
        <v>0</v>
      </c>
      <c r="Q2227" s="20">
        <v>0</v>
      </c>
      <c r="R2227" s="21">
        <v>0.91</v>
      </c>
      <c r="S2227" s="20">
        <v>0</v>
      </c>
    </row>
    <row r="2228" spans="2:19" ht="15" customHeight="1" x14ac:dyDescent="0.25">
      <c r="B2228" s="2" t="str">
        <f t="shared" si="68"/>
        <v>NSG_Business_Public Sector_Rebates_Linkageless Controls_0_CI</v>
      </c>
      <c r="C2228" s="2" t="str">
        <f t="shared" si="69"/>
        <v>NSG_Business_Public Sector_Rebates_Linkageless Controls_0_CI_2025</v>
      </c>
      <c r="D2228" s="19" t="s">
        <v>1787</v>
      </c>
      <c r="E2228" s="19" t="s">
        <v>3</v>
      </c>
      <c r="F2228" s="19" t="s">
        <v>1430</v>
      </c>
      <c r="G2228" s="19" t="s">
        <v>1429</v>
      </c>
      <c r="H2228" s="19" t="s">
        <v>1287</v>
      </c>
      <c r="I2228" s="19">
        <v>0</v>
      </c>
      <c r="J2228" s="19" t="s">
        <v>28</v>
      </c>
      <c r="K2228" s="19" t="s">
        <v>1159</v>
      </c>
      <c r="L2228" s="19">
        <v>2025</v>
      </c>
      <c r="M2228" s="20">
        <v>5000</v>
      </c>
      <c r="N2228" s="19" t="s">
        <v>667</v>
      </c>
      <c r="O2228" s="20">
        <v>0</v>
      </c>
      <c r="P2228" s="20">
        <v>0</v>
      </c>
      <c r="Q2228" s="20">
        <v>0</v>
      </c>
      <c r="R2228" s="21">
        <v>0.91</v>
      </c>
      <c r="S2228" s="20">
        <v>0</v>
      </c>
    </row>
    <row r="2229" spans="2:19" ht="15" customHeight="1" x14ac:dyDescent="0.25">
      <c r="B2229" s="2" t="str">
        <f t="shared" si="68"/>
        <v>NSG_Business_Public Sector_Rebates_Condensate Tank Insulation_0_MF/CI/SMB</v>
      </c>
      <c r="C2229" s="2" t="str">
        <f t="shared" si="69"/>
        <v>NSG_Business_Public Sector_Rebates_Condensate Tank Insulation_0_MF/CI/SMB_2022</v>
      </c>
      <c r="D2229" s="19" t="s">
        <v>1787</v>
      </c>
      <c r="E2229" s="19" t="s">
        <v>3</v>
      </c>
      <c r="F2229" s="19" t="s">
        <v>1430</v>
      </c>
      <c r="G2229" s="19" t="s">
        <v>1429</v>
      </c>
      <c r="H2229" s="19" t="s">
        <v>806</v>
      </c>
      <c r="I2229" s="19">
        <v>0</v>
      </c>
      <c r="J2229" s="19" t="s">
        <v>810</v>
      </c>
      <c r="K2229" s="19" t="s">
        <v>662</v>
      </c>
      <c r="L2229" s="19">
        <v>2022</v>
      </c>
      <c r="M2229" s="20">
        <v>550</v>
      </c>
      <c r="N2229" s="19" t="s">
        <v>634</v>
      </c>
      <c r="O2229" s="20">
        <v>0</v>
      </c>
      <c r="P2229" s="20">
        <v>0</v>
      </c>
      <c r="Q2229" s="20">
        <v>0</v>
      </c>
      <c r="R2229" s="21">
        <v>0.91</v>
      </c>
      <c r="S2229" s="20">
        <v>0</v>
      </c>
    </row>
    <row r="2230" spans="2:19" ht="15" customHeight="1" x14ac:dyDescent="0.25">
      <c r="B2230" s="2" t="str">
        <f t="shared" si="68"/>
        <v>NSG_Business_Public Sector_Rebates_Condensate Tank Insulation_0_MF/CI/SMB</v>
      </c>
      <c r="C2230" s="2" t="str">
        <f t="shared" si="69"/>
        <v>NSG_Business_Public Sector_Rebates_Condensate Tank Insulation_0_MF/CI/SMB_2023</v>
      </c>
      <c r="D2230" s="19" t="s">
        <v>1787</v>
      </c>
      <c r="E2230" s="19" t="s">
        <v>3</v>
      </c>
      <c r="F2230" s="19" t="s">
        <v>1430</v>
      </c>
      <c r="G2230" s="19" t="s">
        <v>1429</v>
      </c>
      <c r="H2230" s="19" t="s">
        <v>806</v>
      </c>
      <c r="I2230" s="19">
        <v>0</v>
      </c>
      <c r="J2230" s="19" t="s">
        <v>810</v>
      </c>
      <c r="K2230" s="19" t="s">
        <v>662</v>
      </c>
      <c r="L2230" s="19">
        <v>2023</v>
      </c>
      <c r="M2230" s="20">
        <v>550</v>
      </c>
      <c r="N2230" s="19" t="s">
        <v>634</v>
      </c>
      <c r="O2230" s="20">
        <v>0</v>
      </c>
      <c r="P2230" s="20">
        <v>0</v>
      </c>
      <c r="Q2230" s="20">
        <v>0</v>
      </c>
      <c r="R2230" s="21">
        <v>0.91</v>
      </c>
      <c r="S2230" s="20">
        <v>0</v>
      </c>
    </row>
    <row r="2231" spans="2:19" ht="15" customHeight="1" x14ac:dyDescent="0.25">
      <c r="B2231" s="2" t="str">
        <f t="shared" si="68"/>
        <v>NSG_Business_Public Sector_Rebates_Condensate Tank Insulation_0_MF/CI/SMB</v>
      </c>
      <c r="C2231" s="2" t="str">
        <f t="shared" si="69"/>
        <v>NSG_Business_Public Sector_Rebates_Condensate Tank Insulation_0_MF/CI/SMB_2024</v>
      </c>
      <c r="D2231" s="19" t="s">
        <v>1787</v>
      </c>
      <c r="E2231" s="19" t="s">
        <v>3</v>
      </c>
      <c r="F2231" s="19" t="s">
        <v>1430</v>
      </c>
      <c r="G2231" s="19" t="s">
        <v>1429</v>
      </c>
      <c r="H2231" s="19" t="s">
        <v>806</v>
      </c>
      <c r="I2231" s="19">
        <v>0</v>
      </c>
      <c r="J2231" s="19" t="s">
        <v>810</v>
      </c>
      <c r="K2231" s="19" t="s">
        <v>662</v>
      </c>
      <c r="L2231" s="19">
        <v>2024</v>
      </c>
      <c r="M2231" s="20">
        <v>550</v>
      </c>
      <c r="N2231" s="19" t="s">
        <v>634</v>
      </c>
      <c r="O2231" s="20">
        <v>0</v>
      </c>
      <c r="P2231" s="20">
        <v>0</v>
      </c>
      <c r="Q2231" s="20">
        <v>0</v>
      </c>
      <c r="R2231" s="21">
        <v>0.91</v>
      </c>
      <c r="S2231" s="20">
        <v>0</v>
      </c>
    </row>
    <row r="2232" spans="2:19" ht="15" customHeight="1" x14ac:dyDescent="0.25">
      <c r="B2232" s="2" t="str">
        <f t="shared" si="68"/>
        <v>NSG_Business_Public Sector_Rebates_Condensate Tank Insulation_0_MF/CI/SMB</v>
      </c>
      <c r="C2232" s="2" t="str">
        <f t="shared" si="69"/>
        <v>NSG_Business_Public Sector_Rebates_Condensate Tank Insulation_0_MF/CI/SMB_2025</v>
      </c>
      <c r="D2232" s="19" t="s">
        <v>1787</v>
      </c>
      <c r="E2232" s="19" t="s">
        <v>3</v>
      </c>
      <c r="F2232" s="19" t="s">
        <v>1430</v>
      </c>
      <c r="G2232" s="19" t="s">
        <v>1429</v>
      </c>
      <c r="H2232" s="19" t="s">
        <v>806</v>
      </c>
      <c r="I2232" s="19">
        <v>0</v>
      </c>
      <c r="J2232" s="19" t="s">
        <v>810</v>
      </c>
      <c r="K2232" s="19" t="s">
        <v>662</v>
      </c>
      <c r="L2232" s="19">
        <v>2025</v>
      </c>
      <c r="M2232" s="20">
        <v>550</v>
      </c>
      <c r="N2232" s="19" t="s">
        <v>634</v>
      </c>
      <c r="O2232" s="20">
        <v>0</v>
      </c>
      <c r="P2232" s="20">
        <v>0</v>
      </c>
      <c r="Q2232" s="20">
        <v>0</v>
      </c>
      <c r="R2232" s="21">
        <v>0.91</v>
      </c>
      <c r="S2232" s="20">
        <v>0</v>
      </c>
    </row>
    <row r="2233" spans="2:19" ht="15" customHeight="1" x14ac:dyDescent="0.25">
      <c r="B2233" s="2" t="str">
        <f t="shared" si="68"/>
        <v>NSG_Business_Public Sector_Rebates_DHW Storage Tank Insulation_0_MF/CI/SMB</v>
      </c>
      <c r="C2233" s="2" t="str">
        <f t="shared" si="69"/>
        <v>NSG_Business_Public Sector_Rebates_DHW Storage Tank Insulation_0_MF/CI/SMB_2022</v>
      </c>
      <c r="D2233" s="19" t="s">
        <v>1787</v>
      </c>
      <c r="E2233" s="19" t="s">
        <v>3</v>
      </c>
      <c r="F2233" s="19" t="s">
        <v>1430</v>
      </c>
      <c r="G2233" s="19" t="s">
        <v>1429</v>
      </c>
      <c r="H2233" s="19" t="s">
        <v>832</v>
      </c>
      <c r="I2233" s="19">
        <v>0</v>
      </c>
      <c r="J2233" s="19" t="s">
        <v>810</v>
      </c>
      <c r="K2233" s="19" t="s">
        <v>662</v>
      </c>
      <c r="L2233" s="19">
        <v>2022</v>
      </c>
      <c r="M2233" s="20">
        <v>56</v>
      </c>
      <c r="N2233" s="19" t="s">
        <v>634</v>
      </c>
      <c r="O2233" s="20">
        <v>1</v>
      </c>
      <c r="P2233" s="20">
        <v>56</v>
      </c>
      <c r="Q2233" s="20">
        <v>354.44580370033862</v>
      </c>
      <c r="R2233" s="21">
        <v>0.91</v>
      </c>
      <c r="S2233" s="20">
        <v>354.44580370033862</v>
      </c>
    </row>
    <row r="2234" spans="2:19" ht="15" customHeight="1" x14ac:dyDescent="0.25">
      <c r="B2234" s="2" t="str">
        <f t="shared" si="68"/>
        <v>NSG_Business_Public Sector_Rebates_DHW Storage Tank Insulation_0_MF/CI/SMB</v>
      </c>
      <c r="C2234" s="2" t="str">
        <f t="shared" si="69"/>
        <v>NSG_Business_Public Sector_Rebates_DHW Storage Tank Insulation_0_MF/CI/SMB_2023</v>
      </c>
      <c r="D2234" s="19" t="s">
        <v>1787</v>
      </c>
      <c r="E2234" s="19" t="s">
        <v>3</v>
      </c>
      <c r="F2234" s="19" t="s">
        <v>1430</v>
      </c>
      <c r="G2234" s="19" t="s">
        <v>1429</v>
      </c>
      <c r="H2234" s="19" t="s">
        <v>832</v>
      </c>
      <c r="I2234" s="19">
        <v>0</v>
      </c>
      <c r="J2234" s="19" t="s">
        <v>810</v>
      </c>
      <c r="K2234" s="19" t="s">
        <v>662</v>
      </c>
      <c r="L2234" s="19">
        <v>2023</v>
      </c>
      <c r="M2234" s="20">
        <v>56</v>
      </c>
      <c r="N2234" s="19" t="s">
        <v>634</v>
      </c>
      <c r="O2234" s="20">
        <v>1</v>
      </c>
      <c r="P2234" s="20">
        <v>56</v>
      </c>
      <c r="Q2234" s="20">
        <v>354.44580370033862</v>
      </c>
      <c r="R2234" s="21">
        <v>0.91</v>
      </c>
      <c r="S2234" s="20">
        <v>354.44580370033862</v>
      </c>
    </row>
    <row r="2235" spans="2:19" ht="15" customHeight="1" x14ac:dyDescent="0.25">
      <c r="B2235" s="2" t="str">
        <f t="shared" si="68"/>
        <v>NSG_Business_Public Sector_Rebates_DHW Storage Tank Insulation_0_MF/CI/SMB</v>
      </c>
      <c r="C2235" s="2" t="str">
        <f t="shared" si="69"/>
        <v>NSG_Business_Public Sector_Rebates_DHW Storage Tank Insulation_0_MF/CI/SMB_2024</v>
      </c>
      <c r="D2235" s="19" t="s">
        <v>1787</v>
      </c>
      <c r="E2235" s="19" t="s">
        <v>3</v>
      </c>
      <c r="F2235" s="19" t="s">
        <v>1430</v>
      </c>
      <c r="G2235" s="19" t="s">
        <v>1429</v>
      </c>
      <c r="H2235" s="19" t="s">
        <v>832</v>
      </c>
      <c r="I2235" s="19">
        <v>0</v>
      </c>
      <c r="J2235" s="19" t="s">
        <v>810</v>
      </c>
      <c r="K2235" s="19" t="s">
        <v>662</v>
      </c>
      <c r="L2235" s="19">
        <v>2024</v>
      </c>
      <c r="M2235" s="20">
        <v>56</v>
      </c>
      <c r="N2235" s="19" t="s">
        <v>634</v>
      </c>
      <c r="O2235" s="20">
        <v>1</v>
      </c>
      <c r="P2235" s="20">
        <v>56</v>
      </c>
      <c r="Q2235" s="20">
        <v>354.44580370033862</v>
      </c>
      <c r="R2235" s="21">
        <v>0.91</v>
      </c>
      <c r="S2235" s="20">
        <v>354.44580370033862</v>
      </c>
    </row>
    <row r="2236" spans="2:19" ht="15" customHeight="1" x14ac:dyDescent="0.25">
      <c r="B2236" s="2" t="str">
        <f t="shared" si="68"/>
        <v>NSG_Business_Public Sector_Rebates_DHW Storage Tank Insulation_0_MF/CI/SMB</v>
      </c>
      <c r="C2236" s="2" t="str">
        <f t="shared" si="69"/>
        <v>NSG_Business_Public Sector_Rebates_DHW Storage Tank Insulation_0_MF/CI/SMB_2025</v>
      </c>
      <c r="D2236" s="19" t="s">
        <v>1787</v>
      </c>
      <c r="E2236" s="19" t="s">
        <v>3</v>
      </c>
      <c r="F2236" s="19" t="s">
        <v>1430</v>
      </c>
      <c r="G2236" s="19" t="s">
        <v>1429</v>
      </c>
      <c r="H2236" s="19" t="s">
        <v>832</v>
      </c>
      <c r="I2236" s="19">
        <v>0</v>
      </c>
      <c r="J2236" s="19" t="s">
        <v>810</v>
      </c>
      <c r="K2236" s="19" t="s">
        <v>662</v>
      </c>
      <c r="L2236" s="19">
        <v>2025</v>
      </c>
      <c r="M2236" s="20">
        <v>56</v>
      </c>
      <c r="N2236" s="19" t="s">
        <v>634</v>
      </c>
      <c r="O2236" s="20">
        <v>1</v>
      </c>
      <c r="P2236" s="20">
        <v>56</v>
      </c>
      <c r="Q2236" s="20">
        <v>354.44580370033862</v>
      </c>
      <c r="R2236" s="21">
        <v>0.91</v>
      </c>
      <c r="S2236" s="20">
        <v>354.44580370033862</v>
      </c>
    </row>
    <row r="2237" spans="2:19" ht="15" customHeight="1" x14ac:dyDescent="0.25">
      <c r="B2237" s="2" t="str">
        <f t="shared" si="68"/>
        <v>NSG_Business_Public Sector_Rebates_Dock Door Seals_0_CI</v>
      </c>
      <c r="C2237" s="2" t="str">
        <f t="shared" si="69"/>
        <v>NSG_Business_Public Sector_Rebates_Dock Door Seals_0_CI_2022</v>
      </c>
      <c r="D2237" s="19" t="s">
        <v>1787</v>
      </c>
      <c r="E2237" s="19" t="s">
        <v>3</v>
      </c>
      <c r="F2237" s="19" t="s">
        <v>1430</v>
      </c>
      <c r="G2237" s="19" t="s">
        <v>1429</v>
      </c>
      <c r="H2237" s="19" t="s">
        <v>1291</v>
      </c>
      <c r="I2237" s="19">
        <v>0</v>
      </c>
      <c r="J2237" s="19">
        <v>0</v>
      </c>
      <c r="K2237" s="19" t="s">
        <v>1159</v>
      </c>
      <c r="L2237" s="19">
        <v>2022</v>
      </c>
      <c r="M2237" s="20">
        <v>1</v>
      </c>
      <c r="N2237" s="19" t="s">
        <v>1798</v>
      </c>
      <c r="O2237" s="20">
        <v>1</v>
      </c>
      <c r="P2237" s="20">
        <v>1</v>
      </c>
      <c r="Q2237" s="20">
        <v>213.80291399999999</v>
      </c>
      <c r="R2237" s="21">
        <v>0.91</v>
      </c>
      <c r="S2237" s="20">
        <v>213.80291399999999</v>
      </c>
    </row>
    <row r="2238" spans="2:19" ht="15" customHeight="1" x14ac:dyDescent="0.25">
      <c r="B2238" s="2" t="str">
        <f t="shared" si="68"/>
        <v>NSG_Business_Public Sector_Rebates_Dock Door Seals_0_CI</v>
      </c>
      <c r="C2238" s="2" t="str">
        <f t="shared" si="69"/>
        <v>NSG_Business_Public Sector_Rebates_Dock Door Seals_0_CI_2023</v>
      </c>
      <c r="D2238" s="19" t="s">
        <v>1787</v>
      </c>
      <c r="E2238" s="19" t="s">
        <v>3</v>
      </c>
      <c r="F2238" s="19" t="s">
        <v>1430</v>
      </c>
      <c r="G2238" s="19" t="s">
        <v>1429</v>
      </c>
      <c r="H2238" s="19" t="s">
        <v>1291</v>
      </c>
      <c r="I2238" s="19">
        <v>0</v>
      </c>
      <c r="J2238" s="19">
        <v>0</v>
      </c>
      <c r="K2238" s="19" t="s">
        <v>1159</v>
      </c>
      <c r="L2238" s="19">
        <v>2023</v>
      </c>
      <c r="M2238" s="20">
        <v>1</v>
      </c>
      <c r="N2238" s="19" t="s">
        <v>1798</v>
      </c>
      <c r="O2238" s="20">
        <v>1</v>
      </c>
      <c r="P2238" s="20">
        <v>1</v>
      </c>
      <c r="Q2238" s="20">
        <v>213.80291399999999</v>
      </c>
      <c r="R2238" s="21">
        <v>0.91</v>
      </c>
      <c r="S2238" s="20">
        <v>213.80291399999999</v>
      </c>
    </row>
    <row r="2239" spans="2:19" ht="15" customHeight="1" x14ac:dyDescent="0.25">
      <c r="B2239" s="2" t="str">
        <f t="shared" si="68"/>
        <v>NSG_Business_Public Sector_Rebates_Dock Door Seals_0_CI</v>
      </c>
      <c r="C2239" s="2" t="str">
        <f t="shared" si="69"/>
        <v>NSG_Business_Public Sector_Rebates_Dock Door Seals_0_CI_2024</v>
      </c>
      <c r="D2239" s="19" t="s">
        <v>1787</v>
      </c>
      <c r="E2239" s="19" t="s">
        <v>3</v>
      </c>
      <c r="F2239" s="19" t="s">
        <v>1430</v>
      </c>
      <c r="G2239" s="19" t="s">
        <v>1429</v>
      </c>
      <c r="H2239" s="19" t="s">
        <v>1291</v>
      </c>
      <c r="I2239" s="19">
        <v>0</v>
      </c>
      <c r="J2239" s="19">
        <v>0</v>
      </c>
      <c r="K2239" s="19" t="s">
        <v>1159</v>
      </c>
      <c r="L2239" s="19">
        <v>2024</v>
      </c>
      <c r="M2239" s="20">
        <v>1</v>
      </c>
      <c r="N2239" s="19" t="s">
        <v>1798</v>
      </c>
      <c r="O2239" s="20">
        <v>1</v>
      </c>
      <c r="P2239" s="20">
        <v>1</v>
      </c>
      <c r="Q2239" s="20">
        <v>213.80291399999999</v>
      </c>
      <c r="R2239" s="21">
        <v>0.91</v>
      </c>
      <c r="S2239" s="20">
        <v>213.80291399999999</v>
      </c>
    </row>
    <row r="2240" spans="2:19" ht="15" customHeight="1" x14ac:dyDescent="0.25">
      <c r="B2240" s="2" t="str">
        <f t="shared" si="68"/>
        <v>NSG_Business_Public Sector_Rebates_Dock Door Seals_0_CI</v>
      </c>
      <c r="C2240" s="2" t="str">
        <f t="shared" si="69"/>
        <v>NSG_Business_Public Sector_Rebates_Dock Door Seals_0_CI_2025</v>
      </c>
      <c r="D2240" s="19" t="s">
        <v>1787</v>
      </c>
      <c r="E2240" s="19" t="s">
        <v>3</v>
      </c>
      <c r="F2240" s="19" t="s">
        <v>1430</v>
      </c>
      <c r="G2240" s="19" t="s">
        <v>1429</v>
      </c>
      <c r="H2240" s="19" t="s">
        <v>1291</v>
      </c>
      <c r="I2240" s="19">
        <v>0</v>
      </c>
      <c r="J2240" s="19">
        <v>0</v>
      </c>
      <c r="K2240" s="19" t="s">
        <v>1159</v>
      </c>
      <c r="L2240" s="19">
        <v>2025</v>
      </c>
      <c r="M2240" s="20">
        <v>1</v>
      </c>
      <c r="N2240" s="19" t="s">
        <v>1798</v>
      </c>
      <c r="O2240" s="20">
        <v>1</v>
      </c>
      <c r="P2240" s="20">
        <v>1</v>
      </c>
      <c r="Q2240" s="20">
        <v>213.80291399999999</v>
      </c>
      <c r="R2240" s="21">
        <v>0.91</v>
      </c>
      <c r="S2240" s="20">
        <v>213.80291399999999</v>
      </c>
    </row>
    <row r="2241" spans="2:19" ht="15" customHeight="1" x14ac:dyDescent="0.25">
      <c r="B2241" s="2" t="str">
        <f t="shared" si="68"/>
        <v>NSG_Business_Public Sector_Rebates_Water Heater_≥75 MBH, ≥88% TE _CI</v>
      </c>
      <c r="C2241" s="2" t="str">
        <f t="shared" si="69"/>
        <v>NSG_Business_Public Sector_Rebates_Water Heater_≥75 MBH, ≥88% TE _CI_2022</v>
      </c>
      <c r="D2241" s="19" t="s">
        <v>1787</v>
      </c>
      <c r="E2241" s="19" t="s">
        <v>3</v>
      </c>
      <c r="F2241" s="19" t="s">
        <v>1430</v>
      </c>
      <c r="G2241" s="19" t="s">
        <v>1429</v>
      </c>
      <c r="H2241" s="19" t="s">
        <v>8</v>
      </c>
      <c r="I2241" s="19" t="s">
        <v>1293</v>
      </c>
      <c r="J2241" s="19" t="s">
        <v>1294</v>
      </c>
      <c r="K2241" s="19" t="s">
        <v>1159</v>
      </c>
      <c r="L2241" s="19">
        <v>2022</v>
      </c>
      <c r="M2241" s="20">
        <v>250</v>
      </c>
      <c r="N2241" s="19" t="s">
        <v>667</v>
      </c>
      <c r="O2241" s="20">
        <v>2</v>
      </c>
      <c r="P2241" s="20">
        <v>500</v>
      </c>
      <c r="Q2241" s="20">
        <v>1136.4850753260669</v>
      </c>
      <c r="R2241" s="21">
        <v>0.91</v>
      </c>
      <c r="S2241" s="20">
        <v>1136.4850753260669</v>
      </c>
    </row>
    <row r="2242" spans="2:19" ht="15" customHeight="1" x14ac:dyDescent="0.25">
      <c r="B2242" s="2" t="str">
        <f t="shared" si="68"/>
        <v>NSG_Business_Public Sector_Rebates_Water Heater_≥75 MBH, ≥88% TE _CI</v>
      </c>
      <c r="C2242" s="2" t="str">
        <f t="shared" si="69"/>
        <v>NSG_Business_Public Sector_Rebates_Water Heater_≥75 MBH, ≥88% TE _CI_2023</v>
      </c>
      <c r="D2242" s="19" t="s">
        <v>1787</v>
      </c>
      <c r="E2242" s="19" t="s">
        <v>3</v>
      </c>
      <c r="F2242" s="19" t="s">
        <v>1430</v>
      </c>
      <c r="G2242" s="19" t="s">
        <v>1429</v>
      </c>
      <c r="H2242" s="19" t="s">
        <v>8</v>
      </c>
      <c r="I2242" s="19" t="s">
        <v>1293</v>
      </c>
      <c r="J2242" s="19" t="s">
        <v>1294</v>
      </c>
      <c r="K2242" s="19" t="s">
        <v>1159</v>
      </c>
      <c r="L2242" s="19">
        <v>2023</v>
      </c>
      <c r="M2242" s="20">
        <v>250</v>
      </c>
      <c r="N2242" s="19" t="s">
        <v>667</v>
      </c>
      <c r="O2242" s="20">
        <v>2</v>
      </c>
      <c r="P2242" s="20">
        <v>500</v>
      </c>
      <c r="Q2242" s="20">
        <v>1136.4850753260669</v>
      </c>
      <c r="R2242" s="21">
        <v>0.91</v>
      </c>
      <c r="S2242" s="20">
        <v>1136.4850753260669</v>
      </c>
    </row>
    <row r="2243" spans="2:19" ht="15" customHeight="1" x14ac:dyDescent="0.25">
      <c r="B2243" s="2" t="str">
        <f t="shared" si="68"/>
        <v>NSG_Business_Public Sector_Rebates_Water Heater_≥75 MBH, ≥88% TE _CI</v>
      </c>
      <c r="C2243" s="2" t="str">
        <f t="shared" si="69"/>
        <v>NSG_Business_Public Sector_Rebates_Water Heater_≥75 MBH, ≥88% TE _CI_2024</v>
      </c>
      <c r="D2243" s="19" t="s">
        <v>1787</v>
      </c>
      <c r="E2243" s="19" t="s">
        <v>3</v>
      </c>
      <c r="F2243" s="19" t="s">
        <v>1430</v>
      </c>
      <c r="G2243" s="19" t="s">
        <v>1429</v>
      </c>
      <c r="H2243" s="19" t="s">
        <v>8</v>
      </c>
      <c r="I2243" s="19" t="s">
        <v>1293</v>
      </c>
      <c r="J2243" s="19" t="s">
        <v>1294</v>
      </c>
      <c r="K2243" s="19" t="s">
        <v>1159</v>
      </c>
      <c r="L2243" s="19">
        <v>2024</v>
      </c>
      <c r="M2243" s="20">
        <v>250</v>
      </c>
      <c r="N2243" s="19" t="s">
        <v>667</v>
      </c>
      <c r="O2243" s="20">
        <v>2</v>
      </c>
      <c r="P2243" s="20">
        <v>500</v>
      </c>
      <c r="Q2243" s="20">
        <v>1136.4850753260669</v>
      </c>
      <c r="R2243" s="21">
        <v>0.91</v>
      </c>
      <c r="S2243" s="20">
        <v>1136.4850753260669</v>
      </c>
    </row>
    <row r="2244" spans="2:19" ht="15" customHeight="1" x14ac:dyDescent="0.25">
      <c r="B2244" s="2" t="str">
        <f t="shared" si="68"/>
        <v>NSG_Business_Public Sector_Rebates_Water Heater_≥75 MBH, ≥88% TE _CI</v>
      </c>
      <c r="C2244" s="2" t="str">
        <f t="shared" si="69"/>
        <v>NSG_Business_Public Sector_Rebates_Water Heater_≥75 MBH, ≥88% TE _CI_2025</v>
      </c>
      <c r="D2244" s="19" t="s">
        <v>1787</v>
      </c>
      <c r="E2244" s="19" t="s">
        <v>3</v>
      </c>
      <c r="F2244" s="19" t="s">
        <v>1430</v>
      </c>
      <c r="G2244" s="19" t="s">
        <v>1429</v>
      </c>
      <c r="H2244" s="19" t="s">
        <v>8</v>
      </c>
      <c r="I2244" s="19" t="s">
        <v>1293</v>
      </c>
      <c r="J2244" s="19" t="s">
        <v>1294</v>
      </c>
      <c r="K2244" s="19" t="s">
        <v>1159</v>
      </c>
      <c r="L2244" s="19">
        <v>2025</v>
      </c>
      <c r="M2244" s="20">
        <v>250</v>
      </c>
      <c r="N2244" s="19" t="s">
        <v>667</v>
      </c>
      <c r="O2244" s="20">
        <v>2</v>
      </c>
      <c r="P2244" s="20">
        <v>500</v>
      </c>
      <c r="Q2244" s="20">
        <v>1136.4850753260669</v>
      </c>
      <c r="R2244" s="21">
        <v>0.91</v>
      </c>
      <c r="S2244" s="20">
        <v>1136.4850753260669</v>
      </c>
    </row>
    <row r="2245" spans="2:19" ht="15" customHeight="1" x14ac:dyDescent="0.25">
      <c r="B2245" s="2" t="str">
        <f t="shared" si="68"/>
        <v>NSG_Business_Public Sector_Rebates_Water Heater_Storage 0.67 EF_CI</v>
      </c>
      <c r="C2245" s="2" t="str">
        <f t="shared" si="69"/>
        <v>NSG_Business_Public Sector_Rebates_Water Heater_Storage 0.67 EF_CI_2022</v>
      </c>
      <c r="D2245" s="19" t="s">
        <v>1787</v>
      </c>
      <c r="E2245" s="19" t="s">
        <v>3</v>
      </c>
      <c r="F2245" s="19" t="s">
        <v>1430</v>
      </c>
      <c r="G2245" s="19" t="s">
        <v>1429</v>
      </c>
      <c r="H2245" s="19" t="s">
        <v>8</v>
      </c>
      <c r="I2245" s="19" t="s">
        <v>879</v>
      </c>
      <c r="J2245" s="19" t="s">
        <v>1263</v>
      </c>
      <c r="K2245" s="19" t="s">
        <v>1159</v>
      </c>
      <c r="L2245" s="19">
        <v>2022</v>
      </c>
      <c r="M2245" s="20">
        <v>1</v>
      </c>
      <c r="N2245" s="19" t="s">
        <v>1798</v>
      </c>
      <c r="O2245" s="20">
        <v>0</v>
      </c>
      <c r="P2245" s="20">
        <v>0</v>
      </c>
      <c r="Q2245" s="20">
        <v>0</v>
      </c>
      <c r="R2245" s="21">
        <v>0.91</v>
      </c>
      <c r="S2245" s="20">
        <v>0</v>
      </c>
    </row>
    <row r="2246" spans="2:19" ht="15" customHeight="1" x14ac:dyDescent="0.25">
      <c r="B2246" s="2" t="str">
        <f t="shared" ref="B2246:B2309" si="70">D2246&amp;"_"&amp;E2246&amp;"_"&amp;F2246&amp;"_"&amp;G2246&amp;"_"&amp;H2246&amp;"_"&amp;I2246&amp;"_"&amp;K2246</f>
        <v>NSG_Business_Public Sector_Rebates_Water Heater_Storage 0.67 EF_CI</v>
      </c>
      <c r="C2246" s="2" t="str">
        <f t="shared" ref="C2246:C2309" si="71">D2246&amp;"_"&amp;E2246&amp;"_"&amp;F2246&amp;"_"&amp;G2246&amp;"_"&amp;H2246&amp;"_"&amp;I2246&amp;"_"&amp;K2246&amp;"_"&amp;L2246</f>
        <v>NSG_Business_Public Sector_Rebates_Water Heater_Storage 0.67 EF_CI_2023</v>
      </c>
      <c r="D2246" s="19" t="s">
        <v>1787</v>
      </c>
      <c r="E2246" s="19" t="s">
        <v>3</v>
      </c>
      <c r="F2246" s="19" t="s">
        <v>1430</v>
      </c>
      <c r="G2246" s="19" t="s">
        <v>1429</v>
      </c>
      <c r="H2246" s="19" t="s">
        <v>8</v>
      </c>
      <c r="I2246" s="19" t="s">
        <v>879</v>
      </c>
      <c r="J2246" s="19" t="s">
        <v>1263</v>
      </c>
      <c r="K2246" s="19" t="s">
        <v>1159</v>
      </c>
      <c r="L2246" s="19">
        <v>2023</v>
      </c>
      <c r="M2246" s="20">
        <v>1</v>
      </c>
      <c r="N2246" s="19" t="s">
        <v>1798</v>
      </c>
      <c r="O2246" s="20">
        <v>0</v>
      </c>
      <c r="P2246" s="20">
        <v>0</v>
      </c>
      <c r="Q2246" s="20">
        <v>0</v>
      </c>
      <c r="R2246" s="21">
        <v>0.91</v>
      </c>
      <c r="S2246" s="20">
        <v>0</v>
      </c>
    </row>
    <row r="2247" spans="2:19" ht="15" customHeight="1" x14ac:dyDescent="0.25">
      <c r="B2247" s="2" t="str">
        <f t="shared" si="70"/>
        <v>NSG_Business_Public Sector_Rebates_Water Heater_Storage 0.67 EF_CI</v>
      </c>
      <c r="C2247" s="2" t="str">
        <f t="shared" si="71"/>
        <v>NSG_Business_Public Sector_Rebates_Water Heater_Storage 0.67 EF_CI_2024</v>
      </c>
      <c r="D2247" s="19" t="s">
        <v>1787</v>
      </c>
      <c r="E2247" s="19" t="s">
        <v>3</v>
      </c>
      <c r="F2247" s="19" t="s">
        <v>1430</v>
      </c>
      <c r="G2247" s="19" t="s">
        <v>1429</v>
      </c>
      <c r="H2247" s="19" t="s">
        <v>8</v>
      </c>
      <c r="I2247" s="19" t="s">
        <v>879</v>
      </c>
      <c r="J2247" s="19" t="s">
        <v>1263</v>
      </c>
      <c r="K2247" s="19" t="s">
        <v>1159</v>
      </c>
      <c r="L2247" s="19">
        <v>2024</v>
      </c>
      <c r="M2247" s="20">
        <v>1</v>
      </c>
      <c r="N2247" s="19" t="s">
        <v>1798</v>
      </c>
      <c r="O2247" s="20">
        <v>0</v>
      </c>
      <c r="P2247" s="20">
        <v>0</v>
      </c>
      <c r="Q2247" s="20">
        <v>0</v>
      </c>
      <c r="R2247" s="21">
        <v>0.91</v>
      </c>
      <c r="S2247" s="20">
        <v>0</v>
      </c>
    </row>
    <row r="2248" spans="2:19" ht="15" customHeight="1" x14ac:dyDescent="0.25">
      <c r="B2248" s="2" t="str">
        <f t="shared" si="70"/>
        <v>NSG_Business_Public Sector_Rebates_Water Heater_Storage 0.67 EF_CI</v>
      </c>
      <c r="C2248" s="2" t="str">
        <f t="shared" si="71"/>
        <v>NSG_Business_Public Sector_Rebates_Water Heater_Storage 0.67 EF_CI_2025</v>
      </c>
      <c r="D2248" s="19" t="s">
        <v>1787</v>
      </c>
      <c r="E2248" s="19" t="s">
        <v>3</v>
      </c>
      <c r="F2248" s="19" t="s">
        <v>1430</v>
      </c>
      <c r="G2248" s="19" t="s">
        <v>1429</v>
      </c>
      <c r="H2248" s="19" t="s">
        <v>8</v>
      </c>
      <c r="I2248" s="19" t="s">
        <v>879</v>
      </c>
      <c r="J2248" s="19" t="s">
        <v>1263</v>
      </c>
      <c r="K2248" s="19" t="s">
        <v>1159</v>
      </c>
      <c r="L2248" s="19">
        <v>2025</v>
      </c>
      <c r="M2248" s="20">
        <v>1</v>
      </c>
      <c r="N2248" s="19" t="s">
        <v>1798</v>
      </c>
      <c r="O2248" s="20">
        <v>0</v>
      </c>
      <c r="P2248" s="20">
        <v>0</v>
      </c>
      <c r="Q2248" s="20">
        <v>0</v>
      </c>
      <c r="R2248" s="21">
        <v>0.91</v>
      </c>
      <c r="S2248" s="20">
        <v>0</v>
      </c>
    </row>
    <row r="2249" spans="2:19" ht="15" customHeight="1" x14ac:dyDescent="0.25">
      <c r="B2249" s="2" t="str">
        <f t="shared" si="70"/>
        <v>NSG_Business_Public Sector_Rebates_Infrared Heater_0_MF/CI</v>
      </c>
      <c r="C2249" s="2" t="str">
        <f t="shared" si="71"/>
        <v>NSG_Business_Public Sector_Rebates_Infrared Heater_0_MF/CI_2022</v>
      </c>
      <c r="D2249" s="19" t="s">
        <v>1787</v>
      </c>
      <c r="E2249" s="19" t="s">
        <v>3</v>
      </c>
      <c r="F2249" s="19" t="s">
        <v>1430</v>
      </c>
      <c r="G2249" s="19" t="s">
        <v>1429</v>
      </c>
      <c r="H2249" s="19" t="s">
        <v>742</v>
      </c>
      <c r="I2249" s="19">
        <v>0</v>
      </c>
      <c r="J2249" s="19" t="s">
        <v>33</v>
      </c>
      <c r="K2249" s="19" t="s">
        <v>587</v>
      </c>
      <c r="L2249" s="19">
        <v>2022</v>
      </c>
      <c r="M2249" s="20">
        <v>150</v>
      </c>
      <c r="N2249" s="19" t="s">
        <v>667</v>
      </c>
      <c r="O2249" s="20">
        <v>0</v>
      </c>
      <c r="P2249" s="20">
        <v>0</v>
      </c>
      <c r="Q2249" s="20">
        <v>0</v>
      </c>
      <c r="R2249" s="21">
        <v>0.91</v>
      </c>
      <c r="S2249" s="20">
        <v>0</v>
      </c>
    </row>
    <row r="2250" spans="2:19" ht="15" customHeight="1" x14ac:dyDescent="0.25">
      <c r="B2250" s="2" t="str">
        <f t="shared" si="70"/>
        <v>NSG_Business_Public Sector_Rebates_Infrared Heater_0_MF/CI</v>
      </c>
      <c r="C2250" s="2" t="str">
        <f t="shared" si="71"/>
        <v>NSG_Business_Public Sector_Rebates_Infrared Heater_0_MF/CI_2023</v>
      </c>
      <c r="D2250" s="19" t="s">
        <v>1787</v>
      </c>
      <c r="E2250" s="19" t="s">
        <v>3</v>
      </c>
      <c r="F2250" s="19" t="s">
        <v>1430</v>
      </c>
      <c r="G2250" s="19" t="s">
        <v>1429</v>
      </c>
      <c r="H2250" s="19" t="s">
        <v>742</v>
      </c>
      <c r="I2250" s="19">
        <v>0</v>
      </c>
      <c r="J2250" s="19" t="s">
        <v>33</v>
      </c>
      <c r="K2250" s="19" t="s">
        <v>587</v>
      </c>
      <c r="L2250" s="19">
        <v>2023</v>
      </c>
      <c r="M2250" s="20">
        <v>150</v>
      </c>
      <c r="N2250" s="19" t="s">
        <v>667</v>
      </c>
      <c r="O2250" s="20">
        <v>0</v>
      </c>
      <c r="P2250" s="20">
        <v>0</v>
      </c>
      <c r="Q2250" s="20">
        <v>0</v>
      </c>
      <c r="R2250" s="21">
        <v>0.91</v>
      </c>
      <c r="S2250" s="20">
        <v>0</v>
      </c>
    </row>
    <row r="2251" spans="2:19" ht="15" customHeight="1" x14ac:dyDescent="0.25">
      <c r="B2251" s="2" t="str">
        <f t="shared" si="70"/>
        <v>NSG_Business_Public Sector_Rebates_Infrared Heater_0_MF/CI</v>
      </c>
      <c r="C2251" s="2" t="str">
        <f t="shared" si="71"/>
        <v>NSG_Business_Public Sector_Rebates_Infrared Heater_0_MF/CI_2024</v>
      </c>
      <c r="D2251" s="19" t="s">
        <v>1787</v>
      </c>
      <c r="E2251" s="19" t="s">
        <v>3</v>
      </c>
      <c r="F2251" s="19" t="s">
        <v>1430</v>
      </c>
      <c r="G2251" s="19" t="s">
        <v>1429</v>
      </c>
      <c r="H2251" s="19" t="s">
        <v>742</v>
      </c>
      <c r="I2251" s="19">
        <v>0</v>
      </c>
      <c r="J2251" s="19" t="s">
        <v>33</v>
      </c>
      <c r="K2251" s="19" t="s">
        <v>587</v>
      </c>
      <c r="L2251" s="19">
        <v>2024</v>
      </c>
      <c r="M2251" s="20">
        <v>150</v>
      </c>
      <c r="N2251" s="19" t="s">
        <v>667</v>
      </c>
      <c r="O2251" s="20">
        <v>0</v>
      </c>
      <c r="P2251" s="20">
        <v>0</v>
      </c>
      <c r="Q2251" s="20">
        <v>0</v>
      </c>
      <c r="R2251" s="21">
        <v>0.91</v>
      </c>
      <c r="S2251" s="20">
        <v>0</v>
      </c>
    </row>
    <row r="2252" spans="2:19" ht="15" customHeight="1" x14ac:dyDescent="0.25">
      <c r="B2252" s="2" t="str">
        <f t="shared" si="70"/>
        <v>NSG_Business_Public Sector_Rebates_Infrared Heater_0_MF/CI</v>
      </c>
      <c r="C2252" s="2" t="str">
        <f t="shared" si="71"/>
        <v>NSG_Business_Public Sector_Rebates_Infrared Heater_0_MF/CI_2025</v>
      </c>
      <c r="D2252" s="19" t="s">
        <v>1787</v>
      </c>
      <c r="E2252" s="19" t="s">
        <v>3</v>
      </c>
      <c r="F2252" s="19" t="s">
        <v>1430</v>
      </c>
      <c r="G2252" s="19" t="s">
        <v>1429</v>
      </c>
      <c r="H2252" s="19" t="s">
        <v>742</v>
      </c>
      <c r="I2252" s="19">
        <v>0</v>
      </c>
      <c r="J2252" s="19" t="s">
        <v>33</v>
      </c>
      <c r="K2252" s="19" t="s">
        <v>587</v>
      </c>
      <c r="L2252" s="19">
        <v>2025</v>
      </c>
      <c r="M2252" s="20">
        <v>150</v>
      </c>
      <c r="N2252" s="19" t="s">
        <v>667</v>
      </c>
      <c r="O2252" s="20">
        <v>0</v>
      </c>
      <c r="P2252" s="20">
        <v>0</v>
      </c>
      <c r="Q2252" s="20">
        <v>0</v>
      </c>
      <c r="R2252" s="21">
        <v>0.91</v>
      </c>
      <c r="S2252" s="20">
        <v>0</v>
      </c>
    </row>
    <row r="2253" spans="2:19" ht="15" customHeight="1" x14ac:dyDescent="0.25">
      <c r="B2253" s="2" t="str">
        <f t="shared" si="70"/>
        <v>NSG_Business_Public Sector_Rebates_Modulating Commercial Gas Clothes Dryer_Hotels &amp; Hospitals_CI</v>
      </c>
      <c r="C2253" s="2" t="str">
        <f t="shared" si="71"/>
        <v>NSG_Business_Public Sector_Rebates_Modulating Commercial Gas Clothes Dryer_Hotels &amp; Hospitals_CI_2022</v>
      </c>
      <c r="D2253" s="19" t="s">
        <v>1787</v>
      </c>
      <c r="E2253" s="19" t="s">
        <v>3</v>
      </c>
      <c r="F2253" s="19" t="s">
        <v>1430</v>
      </c>
      <c r="G2253" s="19" t="s">
        <v>1429</v>
      </c>
      <c r="H2253" s="19" t="s">
        <v>12</v>
      </c>
      <c r="I2253" s="19" t="s">
        <v>1253</v>
      </c>
      <c r="J2253" s="19" t="s">
        <v>29</v>
      </c>
      <c r="K2253" s="19" t="s">
        <v>1159</v>
      </c>
      <c r="L2253" s="19">
        <v>2022</v>
      </c>
      <c r="M2253" s="20">
        <v>1</v>
      </c>
      <c r="N2253" s="19" t="s">
        <v>1798</v>
      </c>
      <c r="O2253" s="20">
        <v>0</v>
      </c>
      <c r="P2253" s="20">
        <v>0</v>
      </c>
      <c r="Q2253" s="20">
        <v>0</v>
      </c>
      <c r="R2253" s="21">
        <v>0.91</v>
      </c>
      <c r="S2253" s="20">
        <v>0</v>
      </c>
    </row>
    <row r="2254" spans="2:19" ht="15" customHeight="1" x14ac:dyDescent="0.25">
      <c r="B2254" s="2" t="str">
        <f t="shared" si="70"/>
        <v>NSG_Business_Public Sector_Rebates_Modulating Commercial Gas Clothes Dryer_Hotels &amp; Hospitals_CI</v>
      </c>
      <c r="C2254" s="2" t="str">
        <f t="shared" si="71"/>
        <v>NSG_Business_Public Sector_Rebates_Modulating Commercial Gas Clothes Dryer_Hotels &amp; Hospitals_CI_2023</v>
      </c>
      <c r="D2254" s="19" t="s">
        <v>1787</v>
      </c>
      <c r="E2254" s="19" t="s">
        <v>3</v>
      </c>
      <c r="F2254" s="19" t="s">
        <v>1430</v>
      </c>
      <c r="G2254" s="19" t="s">
        <v>1429</v>
      </c>
      <c r="H2254" s="19" t="s">
        <v>12</v>
      </c>
      <c r="I2254" s="19" t="s">
        <v>1253</v>
      </c>
      <c r="J2254" s="19" t="s">
        <v>29</v>
      </c>
      <c r="K2254" s="19" t="s">
        <v>1159</v>
      </c>
      <c r="L2254" s="19">
        <v>2023</v>
      </c>
      <c r="M2254" s="20">
        <v>1</v>
      </c>
      <c r="N2254" s="19" t="s">
        <v>1798</v>
      </c>
      <c r="O2254" s="20">
        <v>0</v>
      </c>
      <c r="P2254" s="20">
        <v>0</v>
      </c>
      <c r="Q2254" s="20">
        <v>0</v>
      </c>
      <c r="R2254" s="21">
        <v>0.91</v>
      </c>
      <c r="S2254" s="20">
        <v>0</v>
      </c>
    </row>
    <row r="2255" spans="2:19" ht="15" customHeight="1" x14ac:dyDescent="0.25">
      <c r="B2255" s="2" t="str">
        <f t="shared" si="70"/>
        <v>NSG_Business_Public Sector_Rebates_Modulating Commercial Gas Clothes Dryer_Hotels &amp; Hospitals_CI</v>
      </c>
      <c r="C2255" s="2" t="str">
        <f t="shared" si="71"/>
        <v>NSG_Business_Public Sector_Rebates_Modulating Commercial Gas Clothes Dryer_Hotels &amp; Hospitals_CI_2024</v>
      </c>
      <c r="D2255" s="19" t="s">
        <v>1787</v>
      </c>
      <c r="E2255" s="19" t="s">
        <v>3</v>
      </c>
      <c r="F2255" s="19" t="s">
        <v>1430</v>
      </c>
      <c r="G2255" s="19" t="s">
        <v>1429</v>
      </c>
      <c r="H2255" s="19" t="s">
        <v>12</v>
      </c>
      <c r="I2255" s="19" t="s">
        <v>1253</v>
      </c>
      <c r="J2255" s="19" t="s">
        <v>29</v>
      </c>
      <c r="K2255" s="19" t="s">
        <v>1159</v>
      </c>
      <c r="L2255" s="19">
        <v>2024</v>
      </c>
      <c r="M2255" s="20">
        <v>1</v>
      </c>
      <c r="N2255" s="19" t="s">
        <v>1798</v>
      </c>
      <c r="O2255" s="20">
        <v>0</v>
      </c>
      <c r="P2255" s="20">
        <v>0</v>
      </c>
      <c r="Q2255" s="20">
        <v>0</v>
      </c>
      <c r="R2255" s="21">
        <v>0.91</v>
      </c>
      <c r="S2255" s="20">
        <v>0</v>
      </c>
    </row>
    <row r="2256" spans="2:19" ht="15" customHeight="1" x14ac:dyDescent="0.25">
      <c r="B2256" s="2" t="str">
        <f t="shared" si="70"/>
        <v>NSG_Business_Public Sector_Rebates_Modulating Commercial Gas Clothes Dryer_Hotels &amp; Hospitals_CI</v>
      </c>
      <c r="C2256" s="2" t="str">
        <f t="shared" si="71"/>
        <v>NSG_Business_Public Sector_Rebates_Modulating Commercial Gas Clothes Dryer_Hotels &amp; Hospitals_CI_2025</v>
      </c>
      <c r="D2256" s="19" t="s">
        <v>1787</v>
      </c>
      <c r="E2256" s="19" t="s">
        <v>3</v>
      </c>
      <c r="F2256" s="19" t="s">
        <v>1430</v>
      </c>
      <c r="G2256" s="19" t="s">
        <v>1429</v>
      </c>
      <c r="H2256" s="19" t="s">
        <v>12</v>
      </c>
      <c r="I2256" s="19" t="s">
        <v>1253</v>
      </c>
      <c r="J2256" s="19" t="s">
        <v>29</v>
      </c>
      <c r="K2256" s="19" t="s">
        <v>1159</v>
      </c>
      <c r="L2256" s="19">
        <v>2025</v>
      </c>
      <c r="M2256" s="20">
        <v>1</v>
      </c>
      <c r="N2256" s="19" t="s">
        <v>1798</v>
      </c>
      <c r="O2256" s="20">
        <v>0</v>
      </c>
      <c r="P2256" s="20">
        <v>0</v>
      </c>
      <c r="Q2256" s="20">
        <v>0</v>
      </c>
      <c r="R2256" s="21">
        <v>0.91</v>
      </c>
      <c r="S2256" s="20">
        <v>0</v>
      </c>
    </row>
    <row r="2257" spans="2:19" ht="15" customHeight="1" x14ac:dyDescent="0.25">
      <c r="B2257" s="2" t="str">
        <f t="shared" si="70"/>
        <v>NSG_Business_Public Sector_Rebates_Modulating Commercial Gas Clothes Dryer_Laundromat &amp; MF Dorms_MF/SMB</v>
      </c>
      <c r="C2257" s="2" t="str">
        <f t="shared" si="71"/>
        <v>NSG_Business_Public Sector_Rebates_Modulating Commercial Gas Clothes Dryer_Laundromat &amp; MF Dorms_MF/SMB_2022</v>
      </c>
      <c r="D2257" s="19" t="s">
        <v>1787</v>
      </c>
      <c r="E2257" s="19" t="s">
        <v>3</v>
      </c>
      <c r="F2257" s="19" t="s">
        <v>1430</v>
      </c>
      <c r="G2257" s="19" t="s">
        <v>1429</v>
      </c>
      <c r="H2257" s="19" t="s">
        <v>12</v>
      </c>
      <c r="I2257" s="19" t="s">
        <v>1255</v>
      </c>
      <c r="J2257" s="19" t="s">
        <v>29</v>
      </c>
      <c r="K2257" s="19" t="s">
        <v>1256</v>
      </c>
      <c r="L2257" s="19">
        <v>2022</v>
      </c>
      <c r="M2257" s="20">
        <v>1</v>
      </c>
      <c r="N2257" s="19" t="s">
        <v>1798</v>
      </c>
      <c r="O2257" s="20">
        <v>0</v>
      </c>
      <c r="P2257" s="20">
        <v>0</v>
      </c>
      <c r="Q2257" s="20">
        <v>0</v>
      </c>
      <c r="R2257" s="21">
        <v>0.91</v>
      </c>
      <c r="S2257" s="20">
        <v>0</v>
      </c>
    </row>
    <row r="2258" spans="2:19" ht="15" customHeight="1" x14ac:dyDescent="0.25">
      <c r="B2258" s="2" t="str">
        <f t="shared" si="70"/>
        <v>NSG_Business_Public Sector_Rebates_Modulating Commercial Gas Clothes Dryer_Laundromat &amp; MF Dorms_MF/SMB</v>
      </c>
      <c r="C2258" s="2" t="str">
        <f t="shared" si="71"/>
        <v>NSG_Business_Public Sector_Rebates_Modulating Commercial Gas Clothes Dryer_Laundromat &amp; MF Dorms_MF/SMB_2023</v>
      </c>
      <c r="D2258" s="19" t="s">
        <v>1787</v>
      </c>
      <c r="E2258" s="19" t="s">
        <v>3</v>
      </c>
      <c r="F2258" s="19" t="s">
        <v>1430</v>
      </c>
      <c r="G2258" s="19" t="s">
        <v>1429</v>
      </c>
      <c r="H2258" s="19" t="s">
        <v>12</v>
      </c>
      <c r="I2258" s="19" t="s">
        <v>1255</v>
      </c>
      <c r="J2258" s="19" t="s">
        <v>29</v>
      </c>
      <c r="K2258" s="19" t="s">
        <v>1256</v>
      </c>
      <c r="L2258" s="19">
        <v>2023</v>
      </c>
      <c r="M2258" s="20">
        <v>1</v>
      </c>
      <c r="N2258" s="19" t="s">
        <v>1798</v>
      </c>
      <c r="O2258" s="20">
        <v>0</v>
      </c>
      <c r="P2258" s="20">
        <v>0</v>
      </c>
      <c r="Q2258" s="20">
        <v>0</v>
      </c>
      <c r="R2258" s="21">
        <v>0.91</v>
      </c>
      <c r="S2258" s="20">
        <v>0</v>
      </c>
    </row>
    <row r="2259" spans="2:19" ht="15" customHeight="1" x14ac:dyDescent="0.25">
      <c r="B2259" s="2" t="str">
        <f t="shared" si="70"/>
        <v>NSG_Business_Public Sector_Rebates_Modulating Commercial Gas Clothes Dryer_Laundromat &amp; MF Dorms_MF/SMB</v>
      </c>
      <c r="C2259" s="2" t="str">
        <f t="shared" si="71"/>
        <v>NSG_Business_Public Sector_Rebates_Modulating Commercial Gas Clothes Dryer_Laundromat &amp; MF Dorms_MF/SMB_2024</v>
      </c>
      <c r="D2259" s="19" t="s">
        <v>1787</v>
      </c>
      <c r="E2259" s="19" t="s">
        <v>3</v>
      </c>
      <c r="F2259" s="19" t="s">
        <v>1430</v>
      </c>
      <c r="G2259" s="19" t="s">
        <v>1429</v>
      </c>
      <c r="H2259" s="19" t="s">
        <v>12</v>
      </c>
      <c r="I2259" s="19" t="s">
        <v>1255</v>
      </c>
      <c r="J2259" s="19" t="s">
        <v>29</v>
      </c>
      <c r="K2259" s="19" t="s">
        <v>1256</v>
      </c>
      <c r="L2259" s="19">
        <v>2024</v>
      </c>
      <c r="M2259" s="20">
        <v>1</v>
      </c>
      <c r="N2259" s="19" t="s">
        <v>1798</v>
      </c>
      <c r="O2259" s="20">
        <v>0</v>
      </c>
      <c r="P2259" s="20">
        <v>0</v>
      </c>
      <c r="Q2259" s="20">
        <v>0</v>
      </c>
      <c r="R2259" s="21">
        <v>0.91</v>
      </c>
      <c r="S2259" s="20">
        <v>0</v>
      </c>
    </row>
    <row r="2260" spans="2:19" ht="15" customHeight="1" x14ac:dyDescent="0.25">
      <c r="B2260" s="2" t="str">
        <f t="shared" si="70"/>
        <v>NSG_Business_Public Sector_Rebates_Modulating Commercial Gas Clothes Dryer_Laundromat &amp; MF Dorms_MF/SMB</v>
      </c>
      <c r="C2260" s="2" t="str">
        <f t="shared" si="71"/>
        <v>NSG_Business_Public Sector_Rebates_Modulating Commercial Gas Clothes Dryer_Laundromat &amp; MF Dorms_MF/SMB_2025</v>
      </c>
      <c r="D2260" s="19" t="s">
        <v>1787</v>
      </c>
      <c r="E2260" s="19" t="s">
        <v>3</v>
      </c>
      <c r="F2260" s="19" t="s">
        <v>1430</v>
      </c>
      <c r="G2260" s="19" t="s">
        <v>1429</v>
      </c>
      <c r="H2260" s="19" t="s">
        <v>12</v>
      </c>
      <c r="I2260" s="19" t="s">
        <v>1255</v>
      </c>
      <c r="J2260" s="19" t="s">
        <v>29</v>
      </c>
      <c r="K2260" s="19" t="s">
        <v>1256</v>
      </c>
      <c r="L2260" s="19">
        <v>2025</v>
      </c>
      <c r="M2260" s="20">
        <v>1</v>
      </c>
      <c r="N2260" s="19" t="s">
        <v>1798</v>
      </c>
      <c r="O2260" s="20">
        <v>0</v>
      </c>
      <c r="P2260" s="20">
        <v>0</v>
      </c>
      <c r="Q2260" s="20">
        <v>0</v>
      </c>
      <c r="R2260" s="21">
        <v>0.91</v>
      </c>
      <c r="S2260" s="20">
        <v>0</v>
      </c>
    </row>
    <row r="2261" spans="2:19" ht="15" customHeight="1" x14ac:dyDescent="0.25">
      <c r="B2261" s="2" t="str">
        <f t="shared" si="70"/>
        <v>NSG_Business_Public Sector_Rebates_Ozone Laundry_0_MF/CI</v>
      </c>
      <c r="C2261" s="2" t="str">
        <f t="shared" si="71"/>
        <v>NSG_Business_Public Sector_Rebates_Ozone Laundry_0_MF/CI_2022</v>
      </c>
      <c r="D2261" s="19" t="s">
        <v>1787</v>
      </c>
      <c r="E2261" s="19" t="s">
        <v>3</v>
      </c>
      <c r="F2261" s="19" t="s">
        <v>1430</v>
      </c>
      <c r="G2261" s="19" t="s">
        <v>1429</v>
      </c>
      <c r="H2261" s="19" t="s">
        <v>16</v>
      </c>
      <c r="I2261" s="19">
        <v>0</v>
      </c>
      <c r="J2261" s="19" t="s">
        <v>592</v>
      </c>
      <c r="K2261" s="19" t="s">
        <v>587</v>
      </c>
      <c r="L2261" s="19">
        <v>2022</v>
      </c>
      <c r="M2261" s="20">
        <v>250</v>
      </c>
      <c r="N2261" s="19" t="s">
        <v>1803</v>
      </c>
      <c r="O2261" s="20">
        <v>0</v>
      </c>
      <c r="P2261" s="20">
        <v>0</v>
      </c>
      <c r="Q2261" s="20">
        <v>0</v>
      </c>
      <c r="R2261" s="21">
        <v>0.91</v>
      </c>
      <c r="S2261" s="20">
        <v>0</v>
      </c>
    </row>
    <row r="2262" spans="2:19" ht="15" customHeight="1" x14ac:dyDescent="0.25">
      <c r="B2262" s="2" t="str">
        <f t="shared" si="70"/>
        <v>NSG_Business_Public Sector_Rebates_Ozone Laundry_0_MF/CI</v>
      </c>
      <c r="C2262" s="2" t="str">
        <f t="shared" si="71"/>
        <v>NSG_Business_Public Sector_Rebates_Ozone Laundry_0_MF/CI_2023</v>
      </c>
      <c r="D2262" s="19" t="s">
        <v>1787</v>
      </c>
      <c r="E2262" s="19" t="s">
        <v>3</v>
      </c>
      <c r="F2262" s="19" t="s">
        <v>1430</v>
      </c>
      <c r="G2262" s="19" t="s">
        <v>1429</v>
      </c>
      <c r="H2262" s="19" t="s">
        <v>16</v>
      </c>
      <c r="I2262" s="19">
        <v>0</v>
      </c>
      <c r="J2262" s="19" t="s">
        <v>592</v>
      </c>
      <c r="K2262" s="19" t="s">
        <v>587</v>
      </c>
      <c r="L2262" s="19">
        <v>2023</v>
      </c>
      <c r="M2262" s="20">
        <v>250</v>
      </c>
      <c r="N2262" s="19" t="s">
        <v>1803</v>
      </c>
      <c r="O2262" s="20">
        <v>0</v>
      </c>
      <c r="P2262" s="20">
        <v>0</v>
      </c>
      <c r="Q2262" s="20">
        <v>0</v>
      </c>
      <c r="R2262" s="21">
        <v>0.91</v>
      </c>
      <c r="S2262" s="20">
        <v>0</v>
      </c>
    </row>
    <row r="2263" spans="2:19" ht="15" customHeight="1" x14ac:dyDescent="0.25">
      <c r="B2263" s="2" t="str">
        <f t="shared" si="70"/>
        <v>NSG_Business_Public Sector_Rebates_Ozone Laundry_0_MF/CI</v>
      </c>
      <c r="C2263" s="2" t="str">
        <f t="shared" si="71"/>
        <v>NSG_Business_Public Sector_Rebates_Ozone Laundry_0_MF/CI_2024</v>
      </c>
      <c r="D2263" s="19" t="s">
        <v>1787</v>
      </c>
      <c r="E2263" s="19" t="s">
        <v>3</v>
      </c>
      <c r="F2263" s="19" t="s">
        <v>1430</v>
      </c>
      <c r="G2263" s="19" t="s">
        <v>1429</v>
      </c>
      <c r="H2263" s="19" t="s">
        <v>16</v>
      </c>
      <c r="I2263" s="19">
        <v>0</v>
      </c>
      <c r="J2263" s="19" t="s">
        <v>592</v>
      </c>
      <c r="K2263" s="19" t="s">
        <v>587</v>
      </c>
      <c r="L2263" s="19">
        <v>2024</v>
      </c>
      <c r="M2263" s="20">
        <v>250</v>
      </c>
      <c r="N2263" s="19" t="s">
        <v>1803</v>
      </c>
      <c r="O2263" s="20">
        <v>0</v>
      </c>
      <c r="P2263" s="20">
        <v>0</v>
      </c>
      <c r="Q2263" s="20">
        <v>0</v>
      </c>
      <c r="R2263" s="21">
        <v>0.91</v>
      </c>
      <c r="S2263" s="20">
        <v>0</v>
      </c>
    </row>
    <row r="2264" spans="2:19" ht="15" customHeight="1" x14ac:dyDescent="0.25">
      <c r="B2264" s="2" t="str">
        <f t="shared" si="70"/>
        <v>NSG_Business_Public Sector_Rebates_Ozone Laundry_0_MF/CI</v>
      </c>
      <c r="C2264" s="2" t="str">
        <f t="shared" si="71"/>
        <v>NSG_Business_Public Sector_Rebates_Ozone Laundry_0_MF/CI_2025</v>
      </c>
      <c r="D2264" s="19" t="s">
        <v>1787</v>
      </c>
      <c r="E2264" s="19" t="s">
        <v>3</v>
      </c>
      <c r="F2264" s="19" t="s">
        <v>1430</v>
      </c>
      <c r="G2264" s="19" t="s">
        <v>1429</v>
      </c>
      <c r="H2264" s="19" t="s">
        <v>16</v>
      </c>
      <c r="I2264" s="19">
        <v>0</v>
      </c>
      <c r="J2264" s="19" t="s">
        <v>592</v>
      </c>
      <c r="K2264" s="19" t="s">
        <v>587</v>
      </c>
      <c r="L2264" s="19">
        <v>2025</v>
      </c>
      <c r="M2264" s="20">
        <v>250</v>
      </c>
      <c r="N2264" s="19" t="s">
        <v>1803</v>
      </c>
      <c r="O2264" s="20">
        <v>0</v>
      </c>
      <c r="P2264" s="20">
        <v>0</v>
      </c>
      <c r="Q2264" s="20">
        <v>0</v>
      </c>
      <c r="R2264" s="21">
        <v>0.91</v>
      </c>
      <c r="S2264" s="20">
        <v>0</v>
      </c>
    </row>
    <row r="2265" spans="2:19" ht="15" customHeight="1" x14ac:dyDescent="0.25">
      <c r="B2265" s="2" t="str">
        <f t="shared" si="70"/>
        <v>NSG_Business_Public Sector_Rebates_Pipe Insulation_HW Small 1" to 2"_MF/CI/SMB</v>
      </c>
      <c r="C2265" s="2" t="str">
        <f t="shared" si="71"/>
        <v>NSG_Business_Public Sector_Rebates_Pipe Insulation_HW Small 1" to 2"_MF/CI/SMB_2022</v>
      </c>
      <c r="D2265" s="19" t="s">
        <v>1787</v>
      </c>
      <c r="E2265" s="19" t="s">
        <v>3</v>
      </c>
      <c r="F2265" s="19" t="s">
        <v>1430</v>
      </c>
      <c r="G2265" s="19" t="s">
        <v>1429</v>
      </c>
      <c r="H2265" s="19" t="s">
        <v>404</v>
      </c>
      <c r="I2265" s="19" t="s">
        <v>953</v>
      </c>
      <c r="J2265" s="19">
        <v>0</v>
      </c>
      <c r="K2265" s="19" t="s">
        <v>662</v>
      </c>
      <c r="L2265" s="19">
        <v>2022</v>
      </c>
      <c r="M2265" s="20">
        <v>75</v>
      </c>
      <c r="N2265" s="19" t="s">
        <v>616</v>
      </c>
      <c r="O2265" s="20">
        <v>2</v>
      </c>
      <c r="P2265" s="20">
        <v>150</v>
      </c>
      <c r="Q2265" s="20">
        <v>362.92812364355638</v>
      </c>
      <c r="R2265" s="21">
        <v>0.91</v>
      </c>
      <c r="S2265" s="20">
        <v>362.92812364355638</v>
      </c>
    </row>
    <row r="2266" spans="2:19" ht="15" customHeight="1" x14ac:dyDescent="0.25">
      <c r="B2266" s="2" t="str">
        <f t="shared" si="70"/>
        <v>NSG_Business_Public Sector_Rebates_Pipe Insulation_HW Small 1" to 2"_MF/CI/SMB</v>
      </c>
      <c r="C2266" s="2" t="str">
        <f t="shared" si="71"/>
        <v>NSG_Business_Public Sector_Rebates_Pipe Insulation_HW Small 1" to 2"_MF/CI/SMB_2023</v>
      </c>
      <c r="D2266" s="19" t="s">
        <v>1787</v>
      </c>
      <c r="E2266" s="19" t="s">
        <v>3</v>
      </c>
      <c r="F2266" s="19" t="s">
        <v>1430</v>
      </c>
      <c r="G2266" s="19" t="s">
        <v>1429</v>
      </c>
      <c r="H2266" s="19" t="s">
        <v>404</v>
      </c>
      <c r="I2266" s="19" t="s">
        <v>953</v>
      </c>
      <c r="J2266" s="19">
        <v>0</v>
      </c>
      <c r="K2266" s="19" t="s">
        <v>662</v>
      </c>
      <c r="L2266" s="19">
        <v>2023</v>
      </c>
      <c r="M2266" s="20">
        <v>75</v>
      </c>
      <c r="N2266" s="19" t="s">
        <v>616</v>
      </c>
      <c r="O2266" s="20">
        <v>2</v>
      </c>
      <c r="P2266" s="20">
        <v>150</v>
      </c>
      <c r="Q2266" s="20">
        <v>362.92812364355638</v>
      </c>
      <c r="R2266" s="21">
        <v>0.91</v>
      </c>
      <c r="S2266" s="20">
        <v>362.92812364355638</v>
      </c>
    </row>
    <row r="2267" spans="2:19" ht="15" customHeight="1" x14ac:dyDescent="0.25">
      <c r="B2267" s="2" t="str">
        <f t="shared" si="70"/>
        <v>NSG_Business_Public Sector_Rebates_Pipe Insulation_HW Small 1" to 2"_MF/CI/SMB</v>
      </c>
      <c r="C2267" s="2" t="str">
        <f t="shared" si="71"/>
        <v>NSG_Business_Public Sector_Rebates_Pipe Insulation_HW Small 1" to 2"_MF/CI/SMB_2024</v>
      </c>
      <c r="D2267" s="19" t="s">
        <v>1787</v>
      </c>
      <c r="E2267" s="19" t="s">
        <v>3</v>
      </c>
      <c r="F2267" s="19" t="s">
        <v>1430</v>
      </c>
      <c r="G2267" s="19" t="s">
        <v>1429</v>
      </c>
      <c r="H2267" s="19" t="s">
        <v>404</v>
      </c>
      <c r="I2267" s="19" t="s">
        <v>953</v>
      </c>
      <c r="J2267" s="19">
        <v>0</v>
      </c>
      <c r="K2267" s="19" t="s">
        <v>662</v>
      </c>
      <c r="L2267" s="19">
        <v>2024</v>
      </c>
      <c r="M2267" s="20">
        <v>75</v>
      </c>
      <c r="N2267" s="19" t="s">
        <v>616</v>
      </c>
      <c r="O2267" s="20">
        <v>2</v>
      </c>
      <c r="P2267" s="20">
        <v>150</v>
      </c>
      <c r="Q2267" s="20">
        <v>362.92812364355638</v>
      </c>
      <c r="R2267" s="21">
        <v>0.91</v>
      </c>
      <c r="S2267" s="20">
        <v>362.92812364355638</v>
      </c>
    </row>
    <row r="2268" spans="2:19" ht="15" customHeight="1" x14ac:dyDescent="0.25">
      <c r="B2268" s="2" t="str">
        <f t="shared" si="70"/>
        <v>NSG_Business_Public Sector_Rebates_Pipe Insulation_HW Small 1" to 2"_MF/CI/SMB</v>
      </c>
      <c r="C2268" s="2" t="str">
        <f t="shared" si="71"/>
        <v>NSG_Business_Public Sector_Rebates_Pipe Insulation_HW Small 1" to 2"_MF/CI/SMB_2025</v>
      </c>
      <c r="D2268" s="19" t="s">
        <v>1787</v>
      </c>
      <c r="E2268" s="19" t="s">
        <v>3</v>
      </c>
      <c r="F2268" s="19" t="s">
        <v>1430</v>
      </c>
      <c r="G2268" s="19" t="s">
        <v>1429</v>
      </c>
      <c r="H2268" s="19" t="s">
        <v>404</v>
      </c>
      <c r="I2268" s="19" t="s">
        <v>953</v>
      </c>
      <c r="J2268" s="19">
        <v>0</v>
      </c>
      <c r="K2268" s="19" t="s">
        <v>662</v>
      </c>
      <c r="L2268" s="19">
        <v>2025</v>
      </c>
      <c r="M2268" s="20">
        <v>75</v>
      </c>
      <c r="N2268" s="19" t="s">
        <v>616</v>
      </c>
      <c r="O2268" s="20">
        <v>2</v>
      </c>
      <c r="P2268" s="20">
        <v>150</v>
      </c>
      <c r="Q2268" s="20">
        <v>362.92812364355638</v>
      </c>
      <c r="R2268" s="21">
        <v>0.91</v>
      </c>
      <c r="S2268" s="20">
        <v>362.92812364355638</v>
      </c>
    </row>
    <row r="2269" spans="2:19" ht="15" customHeight="1" x14ac:dyDescent="0.25">
      <c r="B2269" s="2" t="str">
        <f t="shared" si="70"/>
        <v>NSG_Business_Public Sector_Rebates_Pipe Insulation_HW Medium 2.1" to 4"_MF/CI/SMB</v>
      </c>
      <c r="C2269" s="2" t="str">
        <f t="shared" si="71"/>
        <v>NSG_Business_Public Sector_Rebates_Pipe Insulation_HW Medium 2.1" to 4"_MF/CI/SMB_2022</v>
      </c>
      <c r="D2269" s="19" t="s">
        <v>1787</v>
      </c>
      <c r="E2269" s="19" t="s">
        <v>3</v>
      </c>
      <c r="F2269" s="19" t="s">
        <v>1430</v>
      </c>
      <c r="G2269" s="19" t="s">
        <v>1429</v>
      </c>
      <c r="H2269" s="19" t="s">
        <v>404</v>
      </c>
      <c r="I2269" s="19" t="s">
        <v>954</v>
      </c>
      <c r="J2269" s="19">
        <v>0</v>
      </c>
      <c r="K2269" s="19" t="s">
        <v>662</v>
      </c>
      <c r="L2269" s="19">
        <v>2022</v>
      </c>
      <c r="M2269" s="20">
        <v>75</v>
      </c>
      <c r="N2269" s="19" t="s">
        <v>616</v>
      </c>
      <c r="O2269" s="20">
        <v>3</v>
      </c>
      <c r="P2269" s="20">
        <v>225</v>
      </c>
      <c r="Q2269" s="20">
        <v>1074.7743448348183</v>
      </c>
      <c r="R2269" s="21">
        <v>0.91</v>
      </c>
      <c r="S2269" s="20">
        <v>1074.7743448348183</v>
      </c>
    </row>
    <row r="2270" spans="2:19" ht="15" customHeight="1" x14ac:dyDescent="0.25">
      <c r="B2270" s="2" t="str">
        <f t="shared" si="70"/>
        <v>NSG_Business_Public Sector_Rebates_Pipe Insulation_HW Medium 2.1" to 4"_MF/CI/SMB</v>
      </c>
      <c r="C2270" s="2" t="str">
        <f t="shared" si="71"/>
        <v>NSG_Business_Public Sector_Rebates_Pipe Insulation_HW Medium 2.1" to 4"_MF/CI/SMB_2023</v>
      </c>
      <c r="D2270" s="19" t="s">
        <v>1787</v>
      </c>
      <c r="E2270" s="19" t="s">
        <v>3</v>
      </c>
      <c r="F2270" s="19" t="s">
        <v>1430</v>
      </c>
      <c r="G2270" s="19" t="s">
        <v>1429</v>
      </c>
      <c r="H2270" s="19" t="s">
        <v>404</v>
      </c>
      <c r="I2270" s="19" t="s">
        <v>954</v>
      </c>
      <c r="J2270" s="19">
        <v>0</v>
      </c>
      <c r="K2270" s="19" t="s">
        <v>662</v>
      </c>
      <c r="L2270" s="19">
        <v>2023</v>
      </c>
      <c r="M2270" s="20">
        <v>75</v>
      </c>
      <c r="N2270" s="19" t="s">
        <v>616</v>
      </c>
      <c r="O2270" s="20">
        <v>3</v>
      </c>
      <c r="P2270" s="20">
        <v>225</v>
      </c>
      <c r="Q2270" s="20">
        <v>1074.7743448348183</v>
      </c>
      <c r="R2270" s="21">
        <v>0.91</v>
      </c>
      <c r="S2270" s="20">
        <v>1074.7743448348183</v>
      </c>
    </row>
    <row r="2271" spans="2:19" ht="15" customHeight="1" x14ac:dyDescent="0.25">
      <c r="B2271" s="2" t="str">
        <f t="shared" si="70"/>
        <v>NSG_Business_Public Sector_Rebates_Pipe Insulation_HW Medium 2.1" to 4"_MF/CI/SMB</v>
      </c>
      <c r="C2271" s="2" t="str">
        <f t="shared" si="71"/>
        <v>NSG_Business_Public Sector_Rebates_Pipe Insulation_HW Medium 2.1" to 4"_MF/CI/SMB_2024</v>
      </c>
      <c r="D2271" s="19" t="s">
        <v>1787</v>
      </c>
      <c r="E2271" s="19" t="s">
        <v>3</v>
      </c>
      <c r="F2271" s="19" t="s">
        <v>1430</v>
      </c>
      <c r="G2271" s="19" t="s">
        <v>1429</v>
      </c>
      <c r="H2271" s="19" t="s">
        <v>404</v>
      </c>
      <c r="I2271" s="19" t="s">
        <v>954</v>
      </c>
      <c r="J2271" s="19">
        <v>0</v>
      </c>
      <c r="K2271" s="19" t="s">
        <v>662</v>
      </c>
      <c r="L2271" s="19">
        <v>2024</v>
      </c>
      <c r="M2271" s="20">
        <v>75</v>
      </c>
      <c r="N2271" s="19" t="s">
        <v>616</v>
      </c>
      <c r="O2271" s="20">
        <v>3</v>
      </c>
      <c r="P2271" s="20">
        <v>225</v>
      </c>
      <c r="Q2271" s="20">
        <v>1074.7743448348183</v>
      </c>
      <c r="R2271" s="21">
        <v>0.91</v>
      </c>
      <c r="S2271" s="20">
        <v>1074.7743448348183</v>
      </c>
    </row>
    <row r="2272" spans="2:19" ht="15" customHeight="1" x14ac:dyDescent="0.25">
      <c r="B2272" s="2" t="str">
        <f t="shared" si="70"/>
        <v>NSG_Business_Public Sector_Rebates_Pipe Insulation_HW Medium 2.1" to 4"_MF/CI/SMB</v>
      </c>
      <c r="C2272" s="2" t="str">
        <f t="shared" si="71"/>
        <v>NSG_Business_Public Sector_Rebates_Pipe Insulation_HW Medium 2.1" to 4"_MF/CI/SMB_2025</v>
      </c>
      <c r="D2272" s="19" t="s">
        <v>1787</v>
      </c>
      <c r="E2272" s="19" t="s">
        <v>3</v>
      </c>
      <c r="F2272" s="19" t="s">
        <v>1430</v>
      </c>
      <c r="G2272" s="19" t="s">
        <v>1429</v>
      </c>
      <c r="H2272" s="19" t="s">
        <v>404</v>
      </c>
      <c r="I2272" s="19" t="s">
        <v>954</v>
      </c>
      <c r="J2272" s="19">
        <v>0</v>
      </c>
      <c r="K2272" s="19" t="s">
        <v>662</v>
      </c>
      <c r="L2272" s="19">
        <v>2025</v>
      </c>
      <c r="M2272" s="20">
        <v>75</v>
      </c>
      <c r="N2272" s="19" t="s">
        <v>616</v>
      </c>
      <c r="O2272" s="20">
        <v>3</v>
      </c>
      <c r="P2272" s="20">
        <v>225</v>
      </c>
      <c r="Q2272" s="20">
        <v>1074.7743448348183</v>
      </c>
      <c r="R2272" s="21">
        <v>0.91</v>
      </c>
      <c r="S2272" s="20">
        <v>1074.7743448348183</v>
      </c>
    </row>
    <row r="2273" spans="2:19" ht="15" customHeight="1" x14ac:dyDescent="0.25">
      <c r="B2273" s="2" t="str">
        <f t="shared" si="70"/>
        <v>NSG_Business_Public Sector_Rebates_Pipe Insulation_HW Large &gt;4"_MF/CI/SMB</v>
      </c>
      <c r="C2273" s="2" t="str">
        <f t="shared" si="71"/>
        <v>NSG_Business_Public Sector_Rebates_Pipe Insulation_HW Large &gt;4"_MF/CI/SMB_2022</v>
      </c>
      <c r="D2273" s="19" t="s">
        <v>1787</v>
      </c>
      <c r="E2273" s="19" t="s">
        <v>3</v>
      </c>
      <c r="F2273" s="19" t="s">
        <v>1430</v>
      </c>
      <c r="G2273" s="19" t="s">
        <v>1429</v>
      </c>
      <c r="H2273" s="19" t="s">
        <v>404</v>
      </c>
      <c r="I2273" s="19" t="s">
        <v>955</v>
      </c>
      <c r="J2273" s="19">
        <v>0</v>
      </c>
      <c r="K2273" s="19" t="s">
        <v>662</v>
      </c>
      <c r="L2273" s="19">
        <v>2022</v>
      </c>
      <c r="M2273" s="20">
        <v>75</v>
      </c>
      <c r="N2273" s="19" t="s">
        <v>616</v>
      </c>
      <c r="O2273" s="20">
        <v>3</v>
      </c>
      <c r="P2273" s="20">
        <v>225</v>
      </c>
      <c r="Q2273" s="20">
        <v>1851.0958779339801</v>
      </c>
      <c r="R2273" s="21">
        <v>0.91</v>
      </c>
      <c r="S2273" s="20">
        <v>1851.0958779339801</v>
      </c>
    </row>
    <row r="2274" spans="2:19" ht="15" customHeight="1" x14ac:dyDescent="0.25">
      <c r="B2274" s="2" t="str">
        <f t="shared" si="70"/>
        <v>NSG_Business_Public Sector_Rebates_Pipe Insulation_HW Large &gt;4"_MF/CI/SMB</v>
      </c>
      <c r="C2274" s="2" t="str">
        <f t="shared" si="71"/>
        <v>NSG_Business_Public Sector_Rebates_Pipe Insulation_HW Large &gt;4"_MF/CI/SMB_2023</v>
      </c>
      <c r="D2274" s="19" t="s">
        <v>1787</v>
      </c>
      <c r="E2274" s="19" t="s">
        <v>3</v>
      </c>
      <c r="F2274" s="19" t="s">
        <v>1430</v>
      </c>
      <c r="G2274" s="19" t="s">
        <v>1429</v>
      </c>
      <c r="H2274" s="19" t="s">
        <v>404</v>
      </c>
      <c r="I2274" s="19" t="s">
        <v>955</v>
      </c>
      <c r="J2274" s="19">
        <v>0</v>
      </c>
      <c r="K2274" s="19" t="s">
        <v>662</v>
      </c>
      <c r="L2274" s="19">
        <v>2023</v>
      </c>
      <c r="M2274" s="20">
        <v>75</v>
      </c>
      <c r="N2274" s="19" t="s">
        <v>616</v>
      </c>
      <c r="O2274" s="20">
        <v>3</v>
      </c>
      <c r="P2274" s="20">
        <v>225</v>
      </c>
      <c r="Q2274" s="20">
        <v>1851.0958779339801</v>
      </c>
      <c r="R2274" s="21">
        <v>0.91</v>
      </c>
      <c r="S2274" s="20">
        <v>1851.0958779339801</v>
      </c>
    </row>
    <row r="2275" spans="2:19" ht="15" customHeight="1" x14ac:dyDescent="0.25">
      <c r="B2275" s="2" t="str">
        <f t="shared" si="70"/>
        <v>NSG_Business_Public Sector_Rebates_Pipe Insulation_HW Large &gt;4"_MF/CI/SMB</v>
      </c>
      <c r="C2275" s="2" t="str">
        <f t="shared" si="71"/>
        <v>NSG_Business_Public Sector_Rebates_Pipe Insulation_HW Large &gt;4"_MF/CI/SMB_2024</v>
      </c>
      <c r="D2275" s="19" t="s">
        <v>1787</v>
      </c>
      <c r="E2275" s="19" t="s">
        <v>3</v>
      </c>
      <c r="F2275" s="19" t="s">
        <v>1430</v>
      </c>
      <c r="G2275" s="19" t="s">
        <v>1429</v>
      </c>
      <c r="H2275" s="19" t="s">
        <v>404</v>
      </c>
      <c r="I2275" s="19" t="s">
        <v>955</v>
      </c>
      <c r="J2275" s="19">
        <v>0</v>
      </c>
      <c r="K2275" s="19" t="s">
        <v>662</v>
      </c>
      <c r="L2275" s="19">
        <v>2024</v>
      </c>
      <c r="M2275" s="20">
        <v>75</v>
      </c>
      <c r="N2275" s="19" t="s">
        <v>616</v>
      </c>
      <c r="O2275" s="20">
        <v>3</v>
      </c>
      <c r="P2275" s="20">
        <v>225</v>
      </c>
      <c r="Q2275" s="20">
        <v>1851.0958779339801</v>
      </c>
      <c r="R2275" s="21">
        <v>0.91</v>
      </c>
      <c r="S2275" s="20">
        <v>1851.0958779339801</v>
      </c>
    </row>
    <row r="2276" spans="2:19" ht="15" customHeight="1" x14ac:dyDescent="0.25">
      <c r="B2276" s="2" t="str">
        <f t="shared" si="70"/>
        <v>NSG_Business_Public Sector_Rebates_Pipe Insulation_HW Large &gt;4"_MF/CI/SMB</v>
      </c>
      <c r="C2276" s="2" t="str">
        <f t="shared" si="71"/>
        <v>NSG_Business_Public Sector_Rebates_Pipe Insulation_HW Large &gt;4"_MF/CI/SMB_2025</v>
      </c>
      <c r="D2276" s="19" t="s">
        <v>1787</v>
      </c>
      <c r="E2276" s="19" t="s">
        <v>3</v>
      </c>
      <c r="F2276" s="19" t="s">
        <v>1430</v>
      </c>
      <c r="G2276" s="19" t="s">
        <v>1429</v>
      </c>
      <c r="H2276" s="19" t="s">
        <v>404</v>
      </c>
      <c r="I2276" s="19" t="s">
        <v>955</v>
      </c>
      <c r="J2276" s="19">
        <v>0</v>
      </c>
      <c r="K2276" s="19" t="s">
        <v>662</v>
      </c>
      <c r="L2276" s="19">
        <v>2025</v>
      </c>
      <c r="M2276" s="20">
        <v>75</v>
      </c>
      <c r="N2276" s="19" t="s">
        <v>616</v>
      </c>
      <c r="O2276" s="20">
        <v>3</v>
      </c>
      <c r="P2276" s="20">
        <v>225</v>
      </c>
      <c r="Q2276" s="20">
        <v>1851.0958779339801</v>
      </c>
      <c r="R2276" s="21">
        <v>0.91</v>
      </c>
      <c r="S2276" s="20">
        <v>1851.0958779339801</v>
      </c>
    </row>
    <row r="2277" spans="2:19" ht="15" customHeight="1" x14ac:dyDescent="0.25">
      <c r="B2277" s="2" t="str">
        <f t="shared" si="70"/>
        <v>NSG_Business_Public Sector_Rebates_Pipe Insulation_Steam - Small 1" to 2"_CI</v>
      </c>
      <c r="C2277" s="2" t="str">
        <f t="shared" si="71"/>
        <v>NSG_Business_Public Sector_Rebates_Pipe Insulation_Steam - Small 1" to 2"_CI_2022</v>
      </c>
      <c r="D2277" s="19" t="s">
        <v>1787</v>
      </c>
      <c r="E2277" s="19" t="s">
        <v>3</v>
      </c>
      <c r="F2277" s="19" t="s">
        <v>1430</v>
      </c>
      <c r="G2277" s="19" t="s">
        <v>1429</v>
      </c>
      <c r="H2277" s="19" t="s">
        <v>404</v>
      </c>
      <c r="I2277" s="19" t="s">
        <v>956</v>
      </c>
      <c r="J2277" s="19">
        <v>0</v>
      </c>
      <c r="K2277" s="19" t="s">
        <v>1159</v>
      </c>
      <c r="L2277" s="19">
        <v>2022</v>
      </c>
      <c r="M2277" s="20">
        <v>75</v>
      </c>
      <c r="N2277" s="19" t="s">
        <v>616</v>
      </c>
      <c r="O2277" s="20">
        <v>3</v>
      </c>
      <c r="P2277" s="20">
        <v>225</v>
      </c>
      <c r="Q2277" s="20">
        <v>652.22615055712856</v>
      </c>
      <c r="R2277" s="21">
        <v>0.91</v>
      </c>
      <c r="S2277" s="20">
        <v>652.22615055712856</v>
      </c>
    </row>
    <row r="2278" spans="2:19" ht="15" customHeight="1" x14ac:dyDescent="0.25">
      <c r="B2278" s="2" t="str">
        <f t="shared" si="70"/>
        <v>NSG_Business_Public Sector_Rebates_Pipe Insulation_Steam - Small 1" to 2"_CI</v>
      </c>
      <c r="C2278" s="2" t="str">
        <f t="shared" si="71"/>
        <v>NSG_Business_Public Sector_Rebates_Pipe Insulation_Steam - Small 1" to 2"_CI_2023</v>
      </c>
      <c r="D2278" s="19" t="s">
        <v>1787</v>
      </c>
      <c r="E2278" s="19" t="s">
        <v>3</v>
      </c>
      <c r="F2278" s="19" t="s">
        <v>1430</v>
      </c>
      <c r="G2278" s="19" t="s">
        <v>1429</v>
      </c>
      <c r="H2278" s="19" t="s">
        <v>404</v>
      </c>
      <c r="I2278" s="19" t="s">
        <v>956</v>
      </c>
      <c r="J2278" s="19">
        <v>0</v>
      </c>
      <c r="K2278" s="19" t="s">
        <v>1159</v>
      </c>
      <c r="L2278" s="19">
        <v>2023</v>
      </c>
      <c r="M2278" s="20">
        <v>75</v>
      </c>
      <c r="N2278" s="19" t="s">
        <v>616</v>
      </c>
      <c r="O2278" s="20">
        <v>3</v>
      </c>
      <c r="P2278" s="20">
        <v>225</v>
      </c>
      <c r="Q2278" s="20">
        <v>652.22615055712856</v>
      </c>
      <c r="R2278" s="21">
        <v>0.91</v>
      </c>
      <c r="S2278" s="20">
        <v>652.22615055712856</v>
      </c>
    </row>
    <row r="2279" spans="2:19" ht="15" customHeight="1" x14ac:dyDescent="0.25">
      <c r="B2279" s="2" t="str">
        <f t="shared" si="70"/>
        <v>NSG_Business_Public Sector_Rebates_Pipe Insulation_Steam - Small 1" to 2"_CI</v>
      </c>
      <c r="C2279" s="2" t="str">
        <f t="shared" si="71"/>
        <v>NSG_Business_Public Sector_Rebates_Pipe Insulation_Steam - Small 1" to 2"_CI_2024</v>
      </c>
      <c r="D2279" s="19" t="s">
        <v>1787</v>
      </c>
      <c r="E2279" s="19" t="s">
        <v>3</v>
      </c>
      <c r="F2279" s="19" t="s">
        <v>1430</v>
      </c>
      <c r="G2279" s="19" t="s">
        <v>1429</v>
      </c>
      <c r="H2279" s="19" t="s">
        <v>404</v>
      </c>
      <c r="I2279" s="19" t="s">
        <v>956</v>
      </c>
      <c r="J2279" s="19">
        <v>0</v>
      </c>
      <c r="K2279" s="19" t="s">
        <v>1159</v>
      </c>
      <c r="L2279" s="19">
        <v>2024</v>
      </c>
      <c r="M2279" s="20">
        <v>75</v>
      </c>
      <c r="N2279" s="19" t="s">
        <v>616</v>
      </c>
      <c r="O2279" s="20">
        <v>3</v>
      </c>
      <c r="P2279" s="20">
        <v>225</v>
      </c>
      <c r="Q2279" s="20">
        <v>652.22615055712856</v>
      </c>
      <c r="R2279" s="21">
        <v>0.91</v>
      </c>
      <c r="S2279" s="20">
        <v>652.22615055712856</v>
      </c>
    </row>
    <row r="2280" spans="2:19" ht="15" customHeight="1" x14ac:dyDescent="0.25">
      <c r="B2280" s="2" t="str">
        <f t="shared" si="70"/>
        <v>NSG_Business_Public Sector_Rebates_Pipe Insulation_Steam - Small 1" to 2"_CI</v>
      </c>
      <c r="C2280" s="2" t="str">
        <f t="shared" si="71"/>
        <v>NSG_Business_Public Sector_Rebates_Pipe Insulation_Steam - Small 1" to 2"_CI_2025</v>
      </c>
      <c r="D2280" s="19" t="s">
        <v>1787</v>
      </c>
      <c r="E2280" s="19" t="s">
        <v>3</v>
      </c>
      <c r="F2280" s="19" t="s">
        <v>1430</v>
      </c>
      <c r="G2280" s="19" t="s">
        <v>1429</v>
      </c>
      <c r="H2280" s="19" t="s">
        <v>404</v>
      </c>
      <c r="I2280" s="19" t="s">
        <v>956</v>
      </c>
      <c r="J2280" s="19">
        <v>0</v>
      </c>
      <c r="K2280" s="19" t="s">
        <v>1159</v>
      </c>
      <c r="L2280" s="19">
        <v>2025</v>
      </c>
      <c r="M2280" s="20">
        <v>75</v>
      </c>
      <c r="N2280" s="19" t="s">
        <v>616</v>
      </c>
      <c r="O2280" s="20">
        <v>3</v>
      </c>
      <c r="P2280" s="20">
        <v>225</v>
      </c>
      <c r="Q2280" s="20">
        <v>652.22615055712856</v>
      </c>
      <c r="R2280" s="21">
        <v>0.91</v>
      </c>
      <c r="S2280" s="20">
        <v>652.22615055712856</v>
      </c>
    </row>
    <row r="2281" spans="2:19" ht="15" customHeight="1" x14ac:dyDescent="0.25">
      <c r="B2281" s="2" t="str">
        <f t="shared" si="70"/>
        <v>NSG_Business_Public Sector_Rebates_Pipe Insulation_Steam - Med 2.1" to 5"_CI</v>
      </c>
      <c r="C2281" s="2" t="str">
        <f t="shared" si="71"/>
        <v>NSG_Business_Public Sector_Rebates_Pipe Insulation_Steam - Med 2.1" to 5"_CI_2022</v>
      </c>
      <c r="D2281" s="19" t="s">
        <v>1787</v>
      </c>
      <c r="E2281" s="19" t="s">
        <v>3</v>
      </c>
      <c r="F2281" s="19" t="s">
        <v>1430</v>
      </c>
      <c r="G2281" s="19" t="s">
        <v>1429</v>
      </c>
      <c r="H2281" s="19" t="s">
        <v>404</v>
      </c>
      <c r="I2281" s="19" t="s">
        <v>957</v>
      </c>
      <c r="J2281" s="19">
        <v>0</v>
      </c>
      <c r="K2281" s="19" t="s">
        <v>1159</v>
      </c>
      <c r="L2281" s="19">
        <v>2022</v>
      </c>
      <c r="M2281" s="20">
        <v>75</v>
      </c>
      <c r="N2281" s="19" t="s">
        <v>616</v>
      </c>
      <c r="O2281" s="20">
        <v>1</v>
      </c>
      <c r="P2281" s="20">
        <v>75</v>
      </c>
      <c r="Q2281" s="20">
        <v>874.35389526357847</v>
      </c>
      <c r="R2281" s="21">
        <v>0.91</v>
      </c>
      <c r="S2281" s="20">
        <v>874.35389526357847</v>
      </c>
    </row>
    <row r="2282" spans="2:19" ht="15" customHeight="1" x14ac:dyDescent="0.25">
      <c r="B2282" s="2" t="str">
        <f t="shared" si="70"/>
        <v>NSG_Business_Public Sector_Rebates_Pipe Insulation_Steam - Med 2.1" to 5"_CI</v>
      </c>
      <c r="C2282" s="2" t="str">
        <f t="shared" si="71"/>
        <v>NSG_Business_Public Sector_Rebates_Pipe Insulation_Steam - Med 2.1" to 5"_CI_2023</v>
      </c>
      <c r="D2282" s="19" t="s">
        <v>1787</v>
      </c>
      <c r="E2282" s="19" t="s">
        <v>3</v>
      </c>
      <c r="F2282" s="19" t="s">
        <v>1430</v>
      </c>
      <c r="G2282" s="19" t="s">
        <v>1429</v>
      </c>
      <c r="H2282" s="19" t="s">
        <v>404</v>
      </c>
      <c r="I2282" s="19" t="s">
        <v>957</v>
      </c>
      <c r="J2282" s="19">
        <v>0</v>
      </c>
      <c r="K2282" s="19" t="s">
        <v>1159</v>
      </c>
      <c r="L2282" s="19">
        <v>2023</v>
      </c>
      <c r="M2282" s="20">
        <v>75</v>
      </c>
      <c r="N2282" s="19" t="s">
        <v>616</v>
      </c>
      <c r="O2282" s="20">
        <v>1</v>
      </c>
      <c r="P2282" s="20">
        <v>75</v>
      </c>
      <c r="Q2282" s="20">
        <v>874.35389526357847</v>
      </c>
      <c r="R2282" s="21">
        <v>0.91</v>
      </c>
      <c r="S2282" s="20">
        <v>874.35389526357847</v>
      </c>
    </row>
    <row r="2283" spans="2:19" ht="15" customHeight="1" x14ac:dyDescent="0.25">
      <c r="B2283" s="2" t="str">
        <f t="shared" si="70"/>
        <v>NSG_Business_Public Sector_Rebates_Pipe Insulation_Steam - Med 2.1" to 5"_CI</v>
      </c>
      <c r="C2283" s="2" t="str">
        <f t="shared" si="71"/>
        <v>NSG_Business_Public Sector_Rebates_Pipe Insulation_Steam - Med 2.1" to 5"_CI_2024</v>
      </c>
      <c r="D2283" s="19" t="s">
        <v>1787</v>
      </c>
      <c r="E2283" s="19" t="s">
        <v>3</v>
      </c>
      <c r="F2283" s="19" t="s">
        <v>1430</v>
      </c>
      <c r="G2283" s="19" t="s">
        <v>1429</v>
      </c>
      <c r="H2283" s="19" t="s">
        <v>404</v>
      </c>
      <c r="I2283" s="19" t="s">
        <v>957</v>
      </c>
      <c r="J2283" s="19">
        <v>0</v>
      </c>
      <c r="K2283" s="19" t="s">
        <v>1159</v>
      </c>
      <c r="L2283" s="19">
        <v>2024</v>
      </c>
      <c r="M2283" s="20">
        <v>75</v>
      </c>
      <c r="N2283" s="19" t="s">
        <v>616</v>
      </c>
      <c r="O2283" s="20">
        <v>1</v>
      </c>
      <c r="P2283" s="20">
        <v>75</v>
      </c>
      <c r="Q2283" s="20">
        <v>874.35389526357847</v>
      </c>
      <c r="R2283" s="21">
        <v>0.91</v>
      </c>
      <c r="S2283" s="20">
        <v>874.35389526357847</v>
      </c>
    </row>
    <row r="2284" spans="2:19" ht="15" customHeight="1" x14ac:dyDescent="0.25">
      <c r="B2284" s="2" t="str">
        <f t="shared" si="70"/>
        <v>NSG_Business_Public Sector_Rebates_Pipe Insulation_Steam - Med 2.1" to 5"_CI</v>
      </c>
      <c r="C2284" s="2" t="str">
        <f t="shared" si="71"/>
        <v>NSG_Business_Public Sector_Rebates_Pipe Insulation_Steam - Med 2.1" to 5"_CI_2025</v>
      </c>
      <c r="D2284" s="19" t="s">
        <v>1787</v>
      </c>
      <c r="E2284" s="19" t="s">
        <v>3</v>
      </c>
      <c r="F2284" s="19" t="s">
        <v>1430</v>
      </c>
      <c r="G2284" s="19" t="s">
        <v>1429</v>
      </c>
      <c r="H2284" s="19" t="s">
        <v>404</v>
      </c>
      <c r="I2284" s="19" t="s">
        <v>957</v>
      </c>
      <c r="J2284" s="19">
        <v>0</v>
      </c>
      <c r="K2284" s="19" t="s">
        <v>1159</v>
      </c>
      <c r="L2284" s="19">
        <v>2025</v>
      </c>
      <c r="M2284" s="20">
        <v>75</v>
      </c>
      <c r="N2284" s="19" t="s">
        <v>616</v>
      </c>
      <c r="O2284" s="20">
        <v>1</v>
      </c>
      <c r="P2284" s="20">
        <v>75</v>
      </c>
      <c r="Q2284" s="20">
        <v>874.35389526357847</v>
      </c>
      <c r="R2284" s="21">
        <v>0.91</v>
      </c>
      <c r="S2284" s="20">
        <v>874.35389526357847</v>
      </c>
    </row>
    <row r="2285" spans="2:19" ht="15" customHeight="1" x14ac:dyDescent="0.25">
      <c r="B2285" s="2" t="str">
        <f t="shared" si="70"/>
        <v>NSG_Business_Public Sector_Rebates_Pipe Insulation_Steam - Large 5.1" to 8"_CI</v>
      </c>
      <c r="C2285" s="2" t="str">
        <f t="shared" si="71"/>
        <v>NSG_Business_Public Sector_Rebates_Pipe Insulation_Steam - Large 5.1" to 8"_CI_2022</v>
      </c>
      <c r="D2285" s="19" t="s">
        <v>1787</v>
      </c>
      <c r="E2285" s="19" t="s">
        <v>3</v>
      </c>
      <c r="F2285" s="19" t="s">
        <v>1430</v>
      </c>
      <c r="G2285" s="19" t="s">
        <v>1429</v>
      </c>
      <c r="H2285" s="19" t="s">
        <v>404</v>
      </c>
      <c r="I2285" s="19" t="s">
        <v>958</v>
      </c>
      <c r="J2285" s="19">
        <v>0</v>
      </c>
      <c r="K2285" s="19" t="s">
        <v>1159</v>
      </c>
      <c r="L2285" s="19">
        <v>2022</v>
      </c>
      <c r="M2285" s="20">
        <v>75</v>
      </c>
      <c r="N2285" s="19" t="s">
        <v>616</v>
      </c>
      <c r="O2285" s="20">
        <v>1</v>
      </c>
      <c r="P2285" s="20">
        <v>75</v>
      </c>
      <c r="Q2285" s="20">
        <v>1706.23386572191</v>
      </c>
      <c r="R2285" s="21">
        <v>0.91</v>
      </c>
      <c r="S2285" s="20">
        <v>1706.23386572191</v>
      </c>
    </row>
    <row r="2286" spans="2:19" ht="15" customHeight="1" x14ac:dyDescent="0.25">
      <c r="B2286" s="2" t="str">
        <f t="shared" si="70"/>
        <v>NSG_Business_Public Sector_Rebates_Pipe Insulation_Steam - Large 5.1" to 8"_CI</v>
      </c>
      <c r="C2286" s="2" t="str">
        <f t="shared" si="71"/>
        <v>NSG_Business_Public Sector_Rebates_Pipe Insulation_Steam - Large 5.1" to 8"_CI_2023</v>
      </c>
      <c r="D2286" s="19" t="s">
        <v>1787</v>
      </c>
      <c r="E2286" s="19" t="s">
        <v>3</v>
      </c>
      <c r="F2286" s="19" t="s">
        <v>1430</v>
      </c>
      <c r="G2286" s="19" t="s">
        <v>1429</v>
      </c>
      <c r="H2286" s="19" t="s">
        <v>404</v>
      </c>
      <c r="I2286" s="19" t="s">
        <v>958</v>
      </c>
      <c r="J2286" s="19">
        <v>0</v>
      </c>
      <c r="K2286" s="19" t="s">
        <v>1159</v>
      </c>
      <c r="L2286" s="19">
        <v>2023</v>
      </c>
      <c r="M2286" s="20">
        <v>75</v>
      </c>
      <c r="N2286" s="19" t="s">
        <v>616</v>
      </c>
      <c r="O2286" s="20">
        <v>1</v>
      </c>
      <c r="P2286" s="20">
        <v>75</v>
      </c>
      <c r="Q2286" s="20">
        <v>1706.23386572191</v>
      </c>
      <c r="R2286" s="21">
        <v>0.91</v>
      </c>
      <c r="S2286" s="20">
        <v>1706.23386572191</v>
      </c>
    </row>
    <row r="2287" spans="2:19" ht="15" customHeight="1" x14ac:dyDescent="0.25">
      <c r="B2287" s="2" t="str">
        <f t="shared" si="70"/>
        <v>NSG_Business_Public Sector_Rebates_Pipe Insulation_Steam - Large 5.1" to 8"_CI</v>
      </c>
      <c r="C2287" s="2" t="str">
        <f t="shared" si="71"/>
        <v>NSG_Business_Public Sector_Rebates_Pipe Insulation_Steam - Large 5.1" to 8"_CI_2024</v>
      </c>
      <c r="D2287" s="19" t="s">
        <v>1787</v>
      </c>
      <c r="E2287" s="19" t="s">
        <v>3</v>
      </c>
      <c r="F2287" s="19" t="s">
        <v>1430</v>
      </c>
      <c r="G2287" s="19" t="s">
        <v>1429</v>
      </c>
      <c r="H2287" s="19" t="s">
        <v>404</v>
      </c>
      <c r="I2287" s="19" t="s">
        <v>958</v>
      </c>
      <c r="J2287" s="19">
        <v>0</v>
      </c>
      <c r="K2287" s="19" t="s">
        <v>1159</v>
      </c>
      <c r="L2287" s="19">
        <v>2024</v>
      </c>
      <c r="M2287" s="20">
        <v>75</v>
      </c>
      <c r="N2287" s="19" t="s">
        <v>616</v>
      </c>
      <c r="O2287" s="20">
        <v>1</v>
      </c>
      <c r="P2287" s="20">
        <v>75</v>
      </c>
      <c r="Q2287" s="20">
        <v>1706.23386572191</v>
      </c>
      <c r="R2287" s="21">
        <v>0.91</v>
      </c>
      <c r="S2287" s="20">
        <v>1706.23386572191</v>
      </c>
    </row>
    <row r="2288" spans="2:19" ht="15" customHeight="1" x14ac:dyDescent="0.25">
      <c r="B2288" s="2" t="str">
        <f t="shared" si="70"/>
        <v>NSG_Business_Public Sector_Rebates_Pipe Insulation_Steam - Large 5.1" to 8"_CI</v>
      </c>
      <c r="C2288" s="2" t="str">
        <f t="shared" si="71"/>
        <v>NSG_Business_Public Sector_Rebates_Pipe Insulation_Steam - Large 5.1" to 8"_CI_2025</v>
      </c>
      <c r="D2288" s="19" t="s">
        <v>1787</v>
      </c>
      <c r="E2288" s="19" t="s">
        <v>3</v>
      </c>
      <c r="F2288" s="19" t="s">
        <v>1430</v>
      </c>
      <c r="G2288" s="19" t="s">
        <v>1429</v>
      </c>
      <c r="H2288" s="19" t="s">
        <v>404</v>
      </c>
      <c r="I2288" s="19" t="s">
        <v>958</v>
      </c>
      <c r="J2288" s="19">
        <v>0</v>
      </c>
      <c r="K2288" s="19" t="s">
        <v>1159</v>
      </c>
      <c r="L2288" s="19">
        <v>2025</v>
      </c>
      <c r="M2288" s="20">
        <v>75</v>
      </c>
      <c r="N2288" s="19" t="s">
        <v>616</v>
      </c>
      <c r="O2288" s="20">
        <v>1</v>
      </c>
      <c r="P2288" s="20">
        <v>75</v>
      </c>
      <c r="Q2288" s="20">
        <v>1706.23386572191</v>
      </c>
      <c r="R2288" s="21">
        <v>0.91</v>
      </c>
      <c r="S2288" s="20">
        <v>1706.23386572191</v>
      </c>
    </row>
    <row r="2289" spans="2:19" ht="15" customHeight="1" x14ac:dyDescent="0.25">
      <c r="B2289" s="2" t="str">
        <f t="shared" si="70"/>
        <v>NSG_Business_Public Sector_Rebates_Pipe Insulation_Steam - X-Large &gt;8"_CI</v>
      </c>
      <c r="C2289" s="2" t="str">
        <f t="shared" si="71"/>
        <v>NSG_Business_Public Sector_Rebates_Pipe Insulation_Steam - X-Large &gt;8"_CI_2022</v>
      </c>
      <c r="D2289" s="19" t="s">
        <v>1787</v>
      </c>
      <c r="E2289" s="19" t="s">
        <v>3</v>
      </c>
      <c r="F2289" s="19" t="s">
        <v>1430</v>
      </c>
      <c r="G2289" s="19" t="s">
        <v>1429</v>
      </c>
      <c r="H2289" s="19" t="s">
        <v>404</v>
      </c>
      <c r="I2289" s="19" t="s">
        <v>960</v>
      </c>
      <c r="J2289" s="19">
        <v>0</v>
      </c>
      <c r="K2289" s="19" t="s">
        <v>1159</v>
      </c>
      <c r="L2289" s="19">
        <v>2022</v>
      </c>
      <c r="M2289" s="20">
        <v>75</v>
      </c>
      <c r="N2289" s="19" t="s">
        <v>616</v>
      </c>
      <c r="O2289" s="20">
        <v>0</v>
      </c>
      <c r="P2289" s="20">
        <v>0</v>
      </c>
      <c r="Q2289" s="20">
        <v>0</v>
      </c>
      <c r="R2289" s="21">
        <v>0.91</v>
      </c>
      <c r="S2289" s="20">
        <v>0</v>
      </c>
    </row>
    <row r="2290" spans="2:19" ht="15" customHeight="1" x14ac:dyDescent="0.25">
      <c r="B2290" s="2" t="str">
        <f t="shared" si="70"/>
        <v>NSG_Business_Public Sector_Rebates_Pipe Insulation_Steam - X-Large &gt;8"_CI</v>
      </c>
      <c r="C2290" s="2" t="str">
        <f t="shared" si="71"/>
        <v>NSG_Business_Public Sector_Rebates_Pipe Insulation_Steam - X-Large &gt;8"_CI_2023</v>
      </c>
      <c r="D2290" s="19" t="s">
        <v>1787</v>
      </c>
      <c r="E2290" s="19" t="s">
        <v>3</v>
      </c>
      <c r="F2290" s="19" t="s">
        <v>1430</v>
      </c>
      <c r="G2290" s="19" t="s">
        <v>1429</v>
      </c>
      <c r="H2290" s="19" t="s">
        <v>404</v>
      </c>
      <c r="I2290" s="19" t="s">
        <v>960</v>
      </c>
      <c r="J2290" s="19">
        <v>0</v>
      </c>
      <c r="K2290" s="19" t="s">
        <v>1159</v>
      </c>
      <c r="L2290" s="19">
        <v>2023</v>
      </c>
      <c r="M2290" s="20">
        <v>75</v>
      </c>
      <c r="N2290" s="19" t="s">
        <v>616</v>
      </c>
      <c r="O2290" s="20">
        <v>0</v>
      </c>
      <c r="P2290" s="20">
        <v>0</v>
      </c>
      <c r="Q2290" s="20">
        <v>0</v>
      </c>
      <c r="R2290" s="21">
        <v>0.91</v>
      </c>
      <c r="S2290" s="20">
        <v>0</v>
      </c>
    </row>
    <row r="2291" spans="2:19" ht="15" customHeight="1" x14ac:dyDescent="0.25">
      <c r="B2291" s="2" t="str">
        <f t="shared" si="70"/>
        <v>NSG_Business_Public Sector_Rebates_Pipe Insulation_Steam - X-Large &gt;8"_CI</v>
      </c>
      <c r="C2291" s="2" t="str">
        <f t="shared" si="71"/>
        <v>NSG_Business_Public Sector_Rebates_Pipe Insulation_Steam - X-Large &gt;8"_CI_2024</v>
      </c>
      <c r="D2291" s="19" t="s">
        <v>1787</v>
      </c>
      <c r="E2291" s="19" t="s">
        <v>3</v>
      </c>
      <c r="F2291" s="19" t="s">
        <v>1430</v>
      </c>
      <c r="G2291" s="19" t="s">
        <v>1429</v>
      </c>
      <c r="H2291" s="19" t="s">
        <v>404</v>
      </c>
      <c r="I2291" s="19" t="s">
        <v>960</v>
      </c>
      <c r="J2291" s="19">
        <v>0</v>
      </c>
      <c r="K2291" s="19" t="s">
        <v>1159</v>
      </c>
      <c r="L2291" s="19">
        <v>2024</v>
      </c>
      <c r="M2291" s="20">
        <v>75</v>
      </c>
      <c r="N2291" s="19" t="s">
        <v>616</v>
      </c>
      <c r="O2291" s="20">
        <v>0</v>
      </c>
      <c r="P2291" s="20">
        <v>0</v>
      </c>
      <c r="Q2291" s="20">
        <v>0</v>
      </c>
      <c r="R2291" s="21">
        <v>0.91</v>
      </c>
      <c r="S2291" s="20">
        <v>0</v>
      </c>
    </row>
    <row r="2292" spans="2:19" ht="15" customHeight="1" x14ac:dyDescent="0.25">
      <c r="B2292" s="2" t="str">
        <f t="shared" si="70"/>
        <v>NSG_Business_Public Sector_Rebates_Pipe Insulation_Steam - X-Large &gt;8"_CI</v>
      </c>
      <c r="C2292" s="2" t="str">
        <f t="shared" si="71"/>
        <v>NSG_Business_Public Sector_Rebates_Pipe Insulation_Steam - X-Large &gt;8"_CI_2025</v>
      </c>
      <c r="D2292" s="19" t="s">
        <v>1787</v>
      </c>
      <c r="E2292" s="19" t="s">
        <v>3</v>
      </c>
      <c r="F2292" s="19" t="s">
        <v>1430</v>
      </c>
      <c r="G2292" s="19" t="s">
        <v>1429</v>
      </c>
      <c r="H2292" s="19" t="s">
        <v>404</v>
      </c>
      <c r="I2292" s="19" t="s">
        <v>960</v>
      </c>
      <c r="J2292" s="19">
        <v>0</v>
      </c>
      <c r="K2292" s="19" t="s">
        <v>1159</v>
      </c>
      <c r="L2292" s="19">
        <v>2025</v>
      </c>
      <c r="M2292" s="20">
        <v>75</v>
      </c>
      <c r="N2292" s="19" t="s">
        <v>616</v>
      </c>
      <c r="O2292" s="20">
        <v>0</v>
      </c>
      <c r="P2292" s="20">
        <v>0</v>
      </c>
      <c r="Q2292" s="20">
        <v>0</v>
      </c>
      <c r="R2292" s="21">
        <v>0.91</v>
      </c>
      <c r="S2292" s="20">
        <v>0</v>
      </c>
    </row>
    <row r="2293" spans="2:19" ht="15" customHeight="1" x14ac:dyDescent="0.25">
      <c r="B2293" s="2" t="str">
        <f t="shared" si="70"/>
        <v>NSG_Business_Public Sector_Rebates_Pipe Insulation_Steam Med Fitting_CI</v>
      </c>
      <c r="C2293" s="2" t="str">
        <f t="shared" si="71"/>
        <v>NSG_Business_Public Sector_Rebates_Pipe Insulation_Steam Med Fitting_CI_2022</v>
      </c>
      <c r="D2293" s="19" t="s">
        <v>1787</v>
      </c>
      <c r="E2293" s="19" t="s">
        <v>3</v>
      </c>
      <c r="F2293" s="19" t="s">
        <v>1430</v>
      </c>
      <c r="G2293" s="19" t="s">
        <v>1429</v>
      </c>
      <c r="H2293" s="19" t="s">
        <v>404</v>
      </c>
      <c r="I2293" s="19" t="s">
        <v>962</v>
      </c>
      <c r="J2293" s="19">
        <v>0</v>
      </c>
      <c r="K2293" s="19" t="s">
        <v>1159</v>
      </c>
      <c r="L2293" s="19">
        <v>2022</v>
      </c>
      <c r="M2293" s="20">
        <v>1</v>
      </c>
      <c r="N2293" s="19" t="s">
        <v>1798</v>
      </c>
      <c r="O2293" s="20">
        <v>0</v>
      </c>
      <c r="P2293" s="20">
        <v>0</v>
      </c>
      <c r="Q2293" s="20">
        <v>0</v>
      </c>
      <c r="R2293" s="21">
        <v>0.91</v>
      </c>
      <c r="S2293" s="20">
        <v>0</v>
      </c>
    </row>
    <row r="2294" spans="2:19" ht="15" customHeight="1" x14ac:dyDescent="0.25">
      <c r="B2294" s="2" t="str">
        <f t="shared" si="70"/>
        <v>NSG_Business_Public Sector_Rebates_Pipe Insulation_Steam Med Fitting_CI</v>
      </c>
      <c r="C2294" s="2" t="str">
        <f t="shared" si="71"/>
        <v>NSG_Business_Public Sector_Rebates_Pipe Insulation_Steam Med Fitting_CI_2023</v>
      </c>
      <c r="D2294" s="19" t="s">
        <v>1787</v>
      </c>
      <c r="E2294" s="19" t="s">
        <v>3</v>
      </c>
      <c r="F2294" s="19" t="s">
        <v>1430</v>
      </c>
      <c r="G2294" s="19" t="s">
        <v>1429</v>
      </c>
      <c r="H2294" s="19" t="s">
        <v>404</v>
      </c>
      <c r="I2294" s="19" t="s">
        <v>962</v>
      </c>
      <c r="J2294" s="19">
        <v>0</v>
      </c>
      <c r="K2294" s="19" t="s">
        <v>1159</v>
      </c>
      <c r="L2294" s="19">
        <v>2023</v>
      </c>
      <c r="M2294" s="20">
        <v>1</v>
      </c>
      <c r="N2294" s="19" t="s">
        <v>1798</v>
      </c>
      <c r="O2294" s="20">
        <v>0</v>
      </c>
      <c r="P2294" s="20">
        <v>0</v>
      </c>
      <c r="Q2294" s="20">
        <v>0</v>
      </c>
      <c r="R2294" s="21">
        <v>0.91</v>
      </c>
      <c r="S2294" s="20">
        <v>0</v>
      </c>
    </row>
    <row r="2295" spans="2:19" ht="15" customHeight="1" x14ac:dyDescent="0.25">
      <c r="B2295" s="2" t="str">
        <f t="shared" si="70"/>
        <v>NSG_Business_Public Sector_Rebates_Pipe Insulation_Steam Med Fitting_CI</v>
      </c>
      <c r="C2295" s="2" t="str">
        <f t="shared" si="71"/>
        <v>NSG_Business_Public Sector_Rebates_Pipe Insulation_Steam Med Fitting_CI_2024</v>
      </c>
      <c r="D2295" s="19" t="s">
        <v>1787</v>
      </c>
      <c r="E2295" s="19" t="s">
        <v>3</v>
      </c>
      <c r="F2295" s="19" t="s">
        <v>1430</v>
      </c>
      <c r="G2295" s="19" t="s">
        <v>1429</v>
      </c>
      <c r="H2295" s="19" t="s">
        <v>404</v>
      </c>
      <c r="I2295" s="19" t="s">
        <v>962</v>
      </c>
      <c r="J2295" s="19">
        <v>0</v>
      </c>
      <c r="K2295" s="19" t="s">
        <v>1159</v>
      </c>
      <c r="L2295" s="19">
        <v>2024</v>
      </c>
      <c r="M2295" s="20">
        <v>1</v>
      </c>
      <c r="N2295" s="19" t="s">
        <v>1798</v>
      </c>
      <c r="O2295" s="20">
        <v>0</v>
      </c>
      <c r="P2295" s="20">
        <v>0</v>
      </c>
      <c r="Q2295" s="20">
        <v>0</v>
      </c>
      <c r="R2295" s="21">
        <v>0.91</v>
      </c>
      <c r="S2295" s="20">
        <v>0</v>
      </c>
    </row>
    <row r="2296" spans="2:19" ht="15" customHeight="1" x14ac:dyDescent="0.25">
      <c r="B2296" s="2" t="str">
        <f t="shared" si="70"/>
        <v>NSG_Business_Public Sector_Rebates_Pipe Insulation_Steam Med Fitting_CI</v>
      </c>
      <c r="C2296" s="2" t="str">
        <f t="shared" si="71"/>
        <v>NSG_Business_Public Sector_Rebates_Pipe Insulation_Steam Med Fitting_CI_2025</v>
      </c>
      <c r="D2296" s="19" t="s">
        <v>1787</v>
      </c>
      <c r="E2296" s="19" t="s">
        <v>3</v>
      </c>
      <c r="F2296" s="19" t="s">
        <v>1430</v>
      </c>
      <c r="G2296" s="19" t="s">
        <v>1429</v>
      </c>
      <c r="H2296" s="19" t="s">
        <v>404</v>
      </c>
      <c r="I2296" s="19" t="s">
        <v>962</v>
      </c>
      <c r="J2296" s="19">
        <v>0</v>
      </c>
      <c r="K2296" s="19" t="s">
        <v>1159</v>
      </c>
      <c r="L2296" s="19">
        <v>2025</v>
      </c>
      <c r="M2296" s="20">
        <v>1</v>
      </c>
      <c r="N2296" s="19" t="s">
        <v>1798</v>
      </c>
      <c r="O2296" s="20">
        <v>0</v>
      </c>
      <c r="P2296" s="20">
        <v>0</v>
      </c>
      <c r="Q2296" s="20">
        <v>0</v>
      </c>
      <c r="R2296" s="21">
        <v>0.91</v>
      </c>
      <c r="S2296" s="20">
        <v>0</v>
      </c>
    </row>
    <row r="2297" spans="2:19" ht="15" customHeight="1" x14ac:dyDescent="0.25">
      <c r="B2297" s="2" t="str">
        <f t="shared" si="70"/>
        <v>NSG_Business_Public Sector_Rebates_Pipe Insulation_Steam Large Fitting_CI</v>
      </c>
      <c r="C2297" s="2" t="str">
        <f t="shared" si="71"/>
        <v>NSG_Business_Public Sector_Rebates_Pipe Insulation_Steam Large Fitting_CI_2022</v>
      </c>
      <c r="D2297" s="19" t="s">
        <v>1787</v>
      </c>
      <c r="E2297" s="19" t="s">
        <v>3</v>
      </c>
      <c r="F2297" s="19" t="s">
        <v>1430</v>
      </c>
      <c r="G2297" s="19" t="s">
        <v>1429</v>
      </c>
      <c r="H2297" s="19" t="s">
        <v>404</v>
      </c>
      <c r="I2297" s="19" t="s">
        <v>963</v>
      </c>
      <c r="J2297" s="19">
        <v>0</v>
      </c>
      <c r="K2297" s="19" t="s">
        <v>1159</v>
      </c>
      <c r="L2297" s="19">
        <v>2022</v>
      </c>
      <c r="M2297" s="20">
        <v>1</v>
      </c>
      <c r="N2297" s="19" t="s">
        <v>1798</v>
      </c>
      <c r="O2297" s="20">
        <v>0</v>
      </c>
      <c r="P2297" s="20">
        <v>0</v>
      </c>
      <c r="Q2297" s="20">
        <v>0</v>
      </c>
      <c r="R2297" s="21">
        <v>0.91</v>
      </c>
      <c r="S2297" s="20">
        <v>0</v>
      </c>
    </row>
    <row r="2298" spans="2:19" ht="15" customHeight="1" x14ac:dyDescent="0.25">
      <c r="B2298" s="2" t="str">
        <f t="shared" si="70"/>
        <v>NSG_Business_Public Sector_Rebates_Pipe Insulation_Steam Large Fitting_CI</v>
      </c>
      <c r="C2298" s="2" t="str">
        <f t="shared" si="71"/>
        <v>NSG_Business_Public Sector_Rebates_Pipe Insulation_Steam Large Fitting_CI_2023</v>
      </c>
      <c r="D2298" s="19" t="s">
        <v>1787</v>
      </c>
      <c r="E2298" s="19" t="s">
        <v>3</v>
      </c>
      <c r="F2298" s="19" t="s">
        <v>1430</v>
      </c>
      <c r="G2298" s="19" t="s">
        <v>1429</v>
      </c>
      <c r="H2298" s="19" t="s">
        <v>404</v>
      </c>
      <c r="I2298" s="19" t="s">
        <v>963</v>
      </c>
      <c r="J2298" s="19">
        <v>0</v>
      </c>
      <c r="K2298" s="19" t="s">
        <v>1159</v>
      </c>
      <c r="L2298" s="19">
        <v>2023</v>
      </c>
      <c r="M2298" s="20">
        <v>1</v>
      </c>
      <c r="N2298" s="19" t="s">
        <v>1798</v>
      </c>
      <c r="O2298" s="20">
        <v>0</v>
      </c>
      <c r="P2298" s="20">
        <v>0</v>
      </c>
      <c r="Q2298" s="20">
        <v>0</v>
      </c>
      <c r="R2298" s="21">
        <v>0.91</v>
      </c>
      <c r="S2298" s="20">
        <v>0</v>
      </c>
    </row>
    <row r="2299" spans="2:19" ht="15" customHeight="1" x14ac:dyDescent="0.25">
      <c r="B2299" s="2" t="str">
        <f t="shared" si="70"/>
        <v>NSG_Business_Public Sector_Rebates_Pipe Insulation_Steam Large Fitting_CI</v>
      </c>
      <c r="C2299" s="2" t="str">
        <f t="shared" si="71"/>
        <v>NSG_Business_Public Sector_Rebates_Pipe Insulation_Steam Large Fitting_CI_2024</v>
      </c>
      <c r="D2299" s="19" t="s">
        <v>1787</v>
      </c>
      <c r="E2299" s="19" t="s">
        <v>3</v>
      </c>
      <c r="F2299" s="19" t="s">
        <v>1430</v>
      </c>
      <c r="G2299" s="19" t="s">
        <v>1429</v>
      </c>
      <c r="H2299" s="19" t="s">
        <v>404</v>
      </c>
      <c r="I2299" s="19" t="s">
        <v>963</v>
      </c>
      <c r="J2299" s="19">
        <v>0</v>
      </c>
      <c r="K2299" s="19" t="s">
        <v>1159</v>
      </c>
      <c r="L2299" s="19">
        <v>2024</v>
      </c>
      <c r="M2299" s="20">
        <v>1</v>
      </c>
      <c r="N2299" s="19" t="s">
        <v>1798</v>
      </c>
      <c r="O2299" s="20">
        <v>0</v>
      </c>
      <c r="P2299" s="20">
        <v>0</v>
      </c>
      <c r="Q2299" s="20">
        <v>0</v>
      </c>
      <c r="R2299" s="21">
        <v>0.91</v>
      </c>
      <c r="S2299" s="20">
        <v>0</v>
      </c>
    </row>
    <row r="2300" spans="2:19" ht="15" customHeight="1" x14ac:dyDescent="0.25">
      <c r="B2300" s="2" t="str">
        <f t="shared" si="70"/>
        <v>NSG_Business_Public Sector_Rebates_Pipe Insulation_Steam Large Fitting_CI</v>
      </c>
      <c r="C2300" s="2" t="str">
        <f t="shared" si="71"/>
        <v>NSG_Business_Public Sector_Rebates_Pipe Insulation_Steam Large Fitting_CI_2025</v>
      </c>
      <c r="D2300" s="19" t="s">
        <v>1787</v>
      </c>
      <c r="E2300" s="19" t="s">
        <v>3</v>
      </c>
      <c r="F2300" s="19" t="s">
        <v>1430</v>
      </c>
      <c r="G2300" s="19" t="s">
        <v>1429</v>
      </c>
      <c r="H2300" s="19" t="s">
        <v>404</v>
      </c>
      <c r="I2300" s="19" t="s">
        <v>963</v>
      </c>
      <c r="J2300" s="19">
        <v>0</v>
      </c>
      <c r="K2300" s="19" t="s">
        <v>1159</v>
      </c>
      <c r="L2300" s="19">
        <v>2025</v>
      </c>
      <c r="M2300" s="20">
        <v>1</v>
      </c>
      <c r="N2300" s="19" t="s">
        <v>1798</v>
      </c>
      <c r="O2300" s="20">
        <v>0</v>
      </c>
      <c r="P2300" s="20">
        <v>0</v>
      </c>
      <c r="Q2300" s="20">
        <v>0</v>
      </c>
      <c r="R2300" s="21">
        <v>0.91</v>
      </c>
      <c r="S2300" s="20">
        <v>0</v>
      </c>
    </row>
    <row r="2301" spans="2:19" ht="15" customHeight="1" x14ac:dyDescent="0.25">
      <c r="B2301" s="2" t="str">
        <f t="shared" si="70"/>
        <v>NSG_Business_Public Sector_Rebates_Pipe Insulation_Steam X-Large Fitting_CI</v>
      </c>
      <c r="C2301" s="2" t="str">
        <f t="shared" si="71"/>
        <v>NSG_Business_Public Sector_Rebates_Pipe Insulation_Steam X-Large Fitting_CI_2022</v>
      </c>
      <c r="D2301" s="19" t="s">
        <v>1787</v>
      </c>
      <c r="E2301" s="19" t="s">
        <v>3</v>
      </c>
      <c r="F2301" s="19" t="s">
        <v>1430</v>
      </c>
      <c r="G2301" s="19" t="s">
        <v>1429</v>
      </c>
      <c r="H2301" s="19" t="s">
        <v>404</v>
      </c>
      <c r="I2301" s="19" t="s">
        <v>964</v>
      </c>
      <c r="J2301" s="19">
        <v>0</v>
      </c>
      <c r="K2301" s="19" t="s">
        <v>1159</v>
      </c>
      <c r="L2301" s="19">
        <v>2022</v>
      </c>
      <c r="M2301" s="20">
        <v>1</v>
      </c>
      <c r="N2301" s="19" t="s">
        <v>1798</v>
      </c>
      <c r="O2301" s="20">
        <v>0</v>
      </c>
      <c r="P2301" s="20">
        <v>0</v>
      </c>
      <c r="Q2301" s="20">
        <v>0</v>
      </c>
      <c r="R2301" s="21">
        <v>0.91</v>
      </c>
      <c r="S2301" s="20">
        <v>0</v>
      </c>
    </row>
    <row r="2302" spans="2:19" ht="15" customHeight="1" x14ac:dyDescent="0.25">
      <c r="B2302" s="2" t="str">
        <f t="shared" si="70"/>
        <v>NSG_Business_Public Sector_Rebates_Pipe Insulation_Steam X-Large Fitting_CI</v>
      </c>
      <c r="C2302" s="2" t="str">
        <f t="shared" si="71"/>
        <v>NSG_Business_Public Sector_Rebates_Pipe Insulation_Steam X-Large Fitting_CI_2023</v>
      </c>
      <c r="D2302" s="19" t="s">
        <v>1787</v>
      </c>
      <c r="E2302" s="19" t="s">
        <v>3</v>
      </c>
      <c r="F2302" s="19" t="s">
        <v>1430</v>
      </c>
      <c r="G2302" s="19" t="s">
        <v>1429</v>
      </c>
      <c r="H2302" s="19" t="s">
        <v>404</v>
      </c>
      <c r="I2302" s="19" t="s">
        <v>964</v>
      </c>
      <c r="J2302" s="19">
        <v>0</v>
      </c>
      <c r="K2302" s="19" t="s">
        <v>1159</v>
      </c>
      <c r="L2302" s="19">
        <v>2023</v>
      </c>
      <c r="M2302" s="20">
        <v>1</v>
      </c>
      <c r="N2302" s="19" t="s">
        <v>1798</v>
      </c>
      <c r="O2302" s="20">
        <v>0</v>
      </c>
      <c r="P2302" s="20">
        <v>0</v>
      </c>
      <c r="Q2302" s="20">
        <v>0</v>
      </c>
      <c r="R2302" s="21">
        <v>0.91</v>
      </c>
      <c r="S2302" s="20">
        <v>0</v>
      </c>
    </row>
    <row r="2303" spans="2:19" ht="15" customHeight="1" x14ac:dyDescent="0.25">
      <c r="B2303" s="2" t="str">
        <f t="shared" si="70"/>
        <v>NSG_Business_Public Sector_Rebates_Pipe Insulation_Steam X-Large Fitting_CI</v>
      </c>
      <c r="C2303" s="2" t="str">
        <f t="shared" si="71"/>
        <v>NSG_Business_Public Sector_Rebates_Pipe Insulation_Steam X-Large Fitting_CI_2024</v>
      </c>
      <c r="D2303" s="19" t="s">
        <v>1787</v>
      </c>
      <c r="E2303" s="19" t="s">
        <v>3</v>
      </c>
      <c r="F2303" s="19" t="s">
        <v>1430</v>
      </c>
      <c r="G2303" s="19" t="s">
        <v>1429</v>
      </c>
      <c r="H2303" s="19" t="s">
        <v>404</v>
      </c>
      <c r="I2303" s="19" t="s">
        <v>964</v>
      </c>
      <c r="J2303" s="19">
        <v>0</v>
      </c>
      <c r="K2303" s="19" t="s">
        <v>1159</v>
      </c>
      <c r="L2303" s="19">
        <v>2024</v>
      </c>
      <c r="M2303" s="20">
        <v>1</v>
      </c>
      <c r="N2303" s="19" t="s">
        <v>1798</v>
      </c>
      <c r="O2303" s="20">
        <v>0</v>
      </c>
      <c r="P2303" s="20">
        <v>0</v>
      </c>
      <c r="Q2303" s="20">
        <v>0</v>
      </c>
      <c r="R2303" s="21">
        <v>0.91</v>
      </c>
      <c r="S2303" s="20">
        <v>0</v>
      </c>
    </row>
    <row r="2304" spans="2:19" ht="15" customHeight="1" x14ac:dyDescent="0.25">
      <c r="B2304" s="2" t="str">
        <f t="shared" si="70"/>
        <v>NSG_Business_Public Sector_Rebates_Pipe Insulation_Steam X-Large Fitting_CI</v>
      </c>
      <c r="C2304" s="2" t="str">
        <f t="shared" si="71"/>
        <v>NSG_Business_Public Sector_Rebates_Pipe Insulation_Steam X-Large Fitting_CI_2025</v>
      </c>
      <c r="D2304" s="19" t="s">
        <v>1787</v>
      </c>
      <c r="E2304" s="19" t="s">
        <v>3</v>
      </c>
      <c r="F2304" s="19" t="s">
        <v>1430</v>
      </c>
      <c r="G2304" s="19" t="s">
        <v>1429</v>
      </c>
      <c r="H2304" s="19" t="s">
        <v>404</v>
      </c>
      <c r="I2304" s="19" t="s">
        <v>964</v>
      </c>
      <c r="J2304" s="19">
        <v>0</v>
      </c>
      <c r="K2304" s="19" t="s">
        <v>1159</v>
      </c>
      <c r="L2304" s="19">
        <v>2025</v>
      </c>
      <c r="M2304" s="20">
        <v>1</v>
      </c>
      <c r="N2304" s="19" t="s">
        <v>1798</v>
      </c>
      <c r="O2304" s="20">
        <v>0</v>
      </c>
      <c r="P2304" s="20">
        <v>0</v>
      </c>
      <c r="Q2304" s="20">
        <v>0</v>
      </c>
      <c r="R2304" s="21">
        <v>0.91</v>
      </c>
      <c r="S2304" s="20">
        <v>0</v>
      </c>
    </row>
    <row r="2305" spans="2:19" ht="15" customHeight="1" x14ac:dyDescent="0.25">
      <c r="B2305" s="2" t="str">
        <f t="shared" si="70"/>
        <v>NSG_Business_Public Sector_Rebates_Pipe Insulation_Steam Med Valve_CI</v>
      </c>
      <c r="C2305" s="2" t="str">
        <f t="shared" si="71"/>
        <v>NSG_Business_Public Sector_Rebates_Pipe Insulation_Steam Med Valve_CI_2022</v>
      </c>
      <c r="D2305" s="19" t="s">
        <v>1787</v>
      </c>
      <c r="E2305" s="19" t="s">
        <v>3</v>
      </c>
      <c r="F2305" s="19" t="s">
        <v>1430</v>
      </c>
      <c r="G2305" s="19" t="s">
        <v>1429</v>
      </c>
      <c r="H2305" s="19" t="s">
        <v>404</v>
      </c>
      <c r="I2305" s="19" t="s">
        <v>966</v>
      </c>
      <c r="J2305" s="19">
        <v>0</v>
      </c>
      <c r="K2305" s="19" t="s">
        <v>1159</v>
      </c>
      <c r="L2305" s="19">
        <v>2022</v>
      </c>
      <c r="M2305" s="20">
        <v>1</v>
      </c>
      <c r="N2305" s="19" t="s">
        <v>1798</v>
      </c>
      <c r="O2305" s="20">
        <v>0</v>
      </c>
      <c r="P2305" s="20">
        <v>0</v>
      </c>
      <c r="Q2305" s="20">
        <v>0</v>
      </c>
      <c r="R2305" s="21">
        <v>0.91</v>
      </c>
      <c r="S2305" s="20">
        <v>0</v>
      </c>
    </row>
    <row r="2306" spans="2:19" ht="15" customHeight="1" x14ac:dyDescent="0.25">
      <c r="B2306" s="2" t="str">
        <f t="shared" si="70"/>
        <v>NSG_Business_Public Sector_Rebates_Pipe Insulation_Steam Med Valve_CI</v>
      </c>
      <c r="C2306" s="2" t="str">
        <f t="shared" si="71"/>
        <v>NSG_Business_Public Sector_Rebates_Pipe Insulation_Steam Med Valve_CI_2023</v>
      </c>
      <c r="D2306" s="19" t="s">
        <v>1787</v>
      </c>
      <c r="E2306" s="19" t="s">
        <v>3</v>
      </c>
      <c r="F2306" s="19" t="s">
        <v>1430</v>
      </c>
      <c r="G2306" s="19" t="s">
        <v>1429</v>
      </c>
      <c r="H2306" s="19" t="s">
        <v>404</v>
      </c>
      <c r="I2306" s="19" t="s">
        <v>966</v>
      </c>
      <c r="J2306" s="19">
        <v>0</v>
      </c>
      <c r="K2306" s="19" t="s">
        <v>1159</v>
      </c>
      <c r="L2306" s="19">
        <v>2023</v>
      </c>
      <c r="M2306" s="20">
        <v>1</v>
      </c>
      <c r="N2306" s="19" t="s">
        <v>1798</v>
      </c>
      <c r="O2306" s="20">
        <v>0</v>
      </c>
      <c r="P2306" s="20">
        <v>0</v>
      </c>
      <c r="Q2306" s="20">
        <v>0</v>
      </c>
      <c r="R2306" s="21">
        <v>0.91</v>
      </c>
      <c r="S2306" s="20">
        <v>0</v>
      </c>
    </row>
    <row r="2307" spans="2:19" ht="15" customHeight="1" x14ac:dyDescent="0.25">
      <c r="B2307" s="2" t="str">
        <f t="shared" si="70"/>
        <v>NSG_Business_Public Sector_Rebates_Pipe Insulation_Steam Med Valve_CI</v>
      </c>
      <c r="C2307" s="2" t="str">
        <f t="shared" si="71"/>
        <v>NSG_Business_Public Sector_Rebates_Pipe Insulation_Steam Med Valve_CI_2024</v>
      </c>
      <c r="D2307" s="19" t="s">
        <v>1787</v>
      </c>
      <c r="E2307" s="19" t="s">
        <v>3</v>
      </c>
      <c r="F2307" s="19" t="s">
        <v>1430</v>
      </c>
      <c r="G2307" s="19" t="s">
        <v>1429</v>
      </c>
      <c r="H2307" s="19" t="s">
        <v>404</v>
      </c>
      <c r="I2307" s="19" t="s">
        <v>966</v>
      </c>
      <c r="J2307" s="19">
        <v>0</v>
      </c>
      <c r="K2307" s="19" t="s">
        <v>1159</v>
      </c>
      <c r="L2307" s="19">
        <v>2024</v>
      </c>
      <c r="M2307" s="20">
        <v>1</v>
      </c>
      <c r="N2307" s="19" t="s">
        <v>1798</v>
      </c>
      <c r="O2307" s="20">
        <v>0</v>
      </c>
      <c r="P2307" s="20">
        <v>0</v>
      </c>
      <c r="Q2307" s="20">
        <v>0</v>
      </c>
      <c r="R2307" s="21">
        <v>0.91</v>
      </c>
      <c r="S2307" s="20">
        <v>0</v>
      </c>
    </row>
    <row r="2308" spans="2:19" ht="15" customHeight="1" x14ac:dyDescent="0.25">
      <c r="B2308" s="2" t="str">
        <f t="shared" si="70"/>
        <v>NSG_Business_Public Sector_Rebates_Pipe Insulation_Steam Med Valve_CI</v>
      </c>
      <c r="C2308" s="2" t="str">
        <f t="shared" si="71"/>
        <v>NSG_Business_Public Sector_Rebates_Pipe Insulation_Steam Med Valve_CI_2025</v>
      </c>
      <c r="D2308" s="19" t="s">
        <v>1787</v>
      </c>
      <c r="E2308" s="19" t="s">
        <v>3</v>
      </c>
      <c r="F2308" s="19" t="s">
        <v>1430</v>
      </c>
      <c r="G2308" s="19" t="s">
        <v>1429</v>
      </c>
      <c r="H2308" s="19" t="s">
        <v>404</v>
      </c>
      <c r="I2308" s="19" t="s">
        <v>966</v>
      </c>
      <c r="J2308" s="19">
        <v>0</v>
      </c>
      <c r="K2308" s="19" t="s">
        <v>1159</v>
      </c>
      <c r="L2308" s="19">
        <v>2025</v>
      </c>
      <c r="M2308" s="20">
        <v>1</v>
      </c>
      <c r="N2308" s="19" t="s">
        <v>1798</v>
      </c>
      <c r="O2308" s="20">
        <v>0</v>
      </c>
      <c r="P2308" s="20">
        <v>0</v>
      </c>
      <c r="Q2308" s="20">
        <v>0</v>
      </c>
      <c r="R2308" s="21">
        <v>0.91</v>
      </c>
      <c r="S2308" s="20">
        <v>0</v>
      </c>
    </row>
    <row r="2309" spans="2:19" ht="15" customHeight="1" x14ac:dyDescent="0.25">
      <c r="B2309" s="2" t="str">
        <f t="shared" si="70"/>
        <v>NSG_Business_Public Sector_Rebates_Pipe Insulation_Steam Large Valve_CI</v>
      </c>
      <c r="C2309" s="2" t="str">
        <f t="shared" si="71"/>
        <v>NSG_Business_Public Sector_Rebates_Pipe Insulation_Steam Large Valve_CI_2022</v>
      </c>
      <c r="D2309" s="19" t="s">
        <v>1787</v>
      </c>
      <c r="E2309" s="19" t="s">
        <v>3</v>
      </c>
      <c r="F2309" s="19" t="s">
        <v>1430</v>
      </c>
      <c r="G2309" s="19" t="s">
        <v>1429</v>
      </c>
      <c r="H2309" s="19" t="s">
        <v>404</v>
      </c>
      <c r="I2309" s="19" t="s">
        <v>967</v>
      </c>
      <c r="J2309" s="19">
        <v>0</v>
      </c>
      <c r="K2309" s="19" t="s">
        <v>1159</v>
      </c>
      <c r="L2309" s="19">
        <v>2022</v>
      </c>
      <c r="M2309" s="20">
        <v>1</v>
      </c>
      <c r="N2309" s="19" t="s">
        <v>1798</v>
      </c>
      <c r="O2309" s="20">
        <v>0</v>
      </c>
      <c r="P2309" s="20">
        <v>0</v>
      </c>
      <c r="Q2309" s="20">
        <v>0</v>
      </c>
      <c r="R2309" s="21">
        <v>0.91</v>
      </c>
      <c r="S2309" s="20">
        <v>0</v>
      </c>
    </row>
    <row r="2310" spans="2:19" ht="15" customHeight="1" x14ac:dyDescent="0.25">
      <c r="B2310" s="2" t="str">
        <f t="shared" ref="B2310:B2373" si="72">D2310&amp;"_"&amp;E2310&amp;"_"&amp;F2310&amp;"_"&amp;G2310&amp;"_"&amp;H2310&amp;"_"&amp;I2310&amp;"_"&amp;K2310</f>
        <v>NSG_Business_Public Sector_Rebates_Pipe Insulation_Steam Large Valve_CI</v>
      </c>
      <c r="C2310" s="2" t="str">
        <f t="shared" ref="C2310:C2373" si="73">D2310&amp;"_"&amp;E2310&amp;"_"&amp;F2310&amp;"_"&amp;G2310&amp;"_"&amp;H2310&amp;"_"&amp;I2310&amp;"_"&amp;K2310&amp;"_"&amp;L2310</f>
        <v>NSG_Business_Public Sector_Rebates_Pipe Insulation_Steam Large Valve_CI_2023</v>
      </c>
      <c r="D2310" s="19" t="s">
        <v>1787</v>
      </c>
      <c r="E2310" s="19" t="s">
        <v>3</v>
      </c>
      <c r="F2310" s="19" t="s">
        <v>1430</v>
      </c>
      <c r="G2310" s="19" t="s">
        <v>1429</v>
      </c>
      <c r="H2310" s="19" t="s">
        <v>404</v>
      </c>
      <c r="I2310" s="19" t="s">
        <v>967</v>
      </c>
      <c r="J2310" s="19">
        <v>0</v>
      </c>
      <c r="K2310" s="19" t="s">
        <v>1159</v>
      </c>
      <c r="L2310" s="19">
        <v>2023</v>
      </c>
      <c r="M2310" s="20">
        <v>1</v>
      </c>
      <c r="N2310" s="19" t="s">
        <v>1798</v>
      </c>
      <c r="O2310" s="20">
        <v>0</v>
      </c>
      <c r="P2310" s="20">
        <v>0</v>
      </c>
      <c r="Q2310" s="20">
        <v>0</v>
      </c>
      <c r="R2310" s="21">
        <v>0.91</v>
      </c>
      <c r="S2310" s="20">
        <v>0</v>
      </c>
    </row>
    <row r="2311" spans="2:19" ht="15" customHeight="1" x14ac:dyDescent="0.25">
      <c r="B2311" s="2" t="str">
        <f t="shared" si="72"/>
        <v>NSG_Business_Public Sector_Rebates_Pipe Insulation_Steam Large Valve_CI</v>
      </c>
      <c r="C2311" s="2" t="str">
        <f t="shared" si="73"/>
        <v>NSG_Business_Public Sector_Rebates_Pipe Insulation_Steam Large Valve_CI_2024</v>
      </c>
      <c r="D2311" s="19" t="s">
        <v>1787</v>
      </c>
      <c r="E2311" s="19" t="s">
        <v>3</v>
      </c>
      <c r="F2311" s="19" t="s">
        <v>1430</v>
      </c>
      <c r="G2311" s="19" t="s">
        <v>1429</v>
      </c>
      <c r="H2311" s="19" t="s">
        <v>404</v>
      </c>
      <c r="I2311" s="19" t="s">
        <v>967</v>
      </c>
      <c r="J2311" s="19">
        <v>0</v>
      </c>
      <c r="K2311" s="19" t="s">
        <v>1159</v>
      </c>
      <c r="L2311" s="19">
        <v>2024</v>
      </c>
      <c r="M2311" s="20">
        <v>1</v>
      </c>
      <c r="N2311" s="19" t="s">
        <v>1798</v>
      </c>
      <c r="O2311" s="20">
        <v>0</v>
      </c>
      <c r="P2311" s="20">
        <v>0</v>
      </c>
      <c r="Q2311" s="20">
        <v>0</v>
      </c>
      <c r="R2311" s="21">
        <v>0.91</v>
      </c>
      <c r="S2311" s="20">
        <v>0</v>
      </c>
    </row>
    <row r="2312" spans="2:19" ht="15" customHeight="1" x14ac:dyDescent="0.25">
      <c r="B2312" s="2" t="str">
        <f t="shared" si="72"/>
        <v>NSG_Business_Public Sector_Rebates_Pipe Insulation_Steam Large Valve_CI</v>
      </c>
      <c r="C2312" s="2" t="str">
        <f t="shared" si="73"/>
        <v>NSG_Business_Public Sector_Rebates_Pipe Insulation_Steam Large Valve_CI_2025</v>
      </c>
      <c r="D2312" s="19" t="s">
        <v>1787</v>
      </c>
      <c r="E2312" s="19" t="s">
        <v>3</v>
      </c>
      <c r="F2312" s="19" t="s">
        <v>1430</v>
      </c>
      <c r="G2312" s="19" t="s">
        <v>1429</v>
      </c>
      <c r="H2312" s="19" t="s">
        <v>404</v>
      </c>
      <c r="I2312" s="19" t="s">
        <v>967</v>
      </c>
      <c r="J2312" s="19">
        <v>0</v>
      </c>
      <c r="K2312" s="19" t="s">
        <v>1159</v>
      </c>
      <c r="L2312" s="19">
        <v>2025</v>
      </c>
      <c r="M2312" s="20">
        <v>1</v>
      </c>
      <c r="N2312" s="19" t="s">
        <v>1798</v>
      </c>
      <c r="O2312" s="20">
        <v>0</v>
      </c>
      <c r="P2312" s="20">
        <v>0</v>
      </c>
      <c r="Q2312" s="20">
        <v>0</v>
      </c>
      <c r="R2312" s="21">
        <v>0.91</v>
      </c>
      <c r="S2312" s="20">
        <v>0</v>
      </c>
    </row>
    <row r="2313" spans="2:19" ht="15" customHeight="1" x14ac:dyDescent="0.25">
      <c r="B2313" s="2" t="str">
        <f t="shared" si="72"/>
        <v>NSG_Business_Public Sector_Rebates_Pipe Insulation_Steam X-Large Valve_CI</v>
      </c>
      <c r="C2313" s="2" t="str">
        <f t="shared" si="73"/>
        <v>NSG_Business_Public Sector_Rebates_Pipe Insulation_Steam X-Large Valve_CI_2022</v>
      </c>
      <c r="D2313" s="19" t="s">
        <v>1787</v>
      </c>
      <c r="E2313" s="19" t="s">
        <v>3</v>
      </c>
      <c r="F2313" s="19" t="s">
        <v>1430</v>
      </c>
      <c r="G2313" s="19" t="s">
        <v>1429</v>
      </c>
      <c r="H2313" s="19" t="s">
        <v>404</v>
      </c>
      <c r="I2313" s="19" t="s">
        <v>968</v>
      </c>
      <c r="J2313" s="19">
        <v>0</v>
      </c>
      <c r="K2313" s="19" t="s">
        <v>1159</v>
      </c>
      <c r="L2313" s="19">
        <v>2022</v>
      </c>
      <c r="M2313" s="20">
        <v>1</v>
      </c>
      <c r="N2313" s="19" t="s">
        <v>1798</v>
      </c>
      <c r="O2313" s="20">
        <v>0</v>
      </c>
      <c r="P2313" s="20">
        <v>0</v>
      </c>
      <c r="Q2313" s="20">
        <v>0</v>
      </c>
      <c r="R2313" s="21">
        <v>0.91</v>
      </c>
      <c r="S2313" s="20">
        <v>0</v>
      </c>
    </row>
    <row r="2314" spans="2:19" ht="15" customHeight="1" x14ac:dyDescent="0.25">
      <c r="B2314" s="2" t="str">
        <f t="shared" si="72"/>
        <v>NSG_Business_Public Sector_Rebates_Pipe Insulation_Steam X-Large Valve_CI</v>
      </c>
      <c r="C2314" s="2" t="str">
        <f t="shared" si="73"/>
        <v>NSG_Business_Public Sector_Rebates_Pipe Insulation_Steam X-Large Valve_CI_2023</v>
      </c>
      <c r="D2314" s="19" t="s">
        <v>1787</v>
      </c>
      <c r="E2314" s="19" t="s">
        <v>3</v>
      </c>
      <c r="F2314" s="19" t="s">
        <v>1430</v>
      </c>
      <c r="G2314" s="19" t="s">
        <v>1429</v>
      </c>
      <c r="H2314" s="19" t="s">
        <v>404</v>
      </c>
      <c r="I2314" s="19" t="s">
        <v>968</v>
      </c>
      <c r="J2314" s="19">
        <v>0</v>
      </c>
      <c r="K2314" s="19" t="s">
        <v>1159</v>
      </c>
      <c r="L2314" s="19">
        <v>2023</v>
      </c>
      <c r="M2314" s="20">
        <v>1</v>
      </c>
      <c r="N2314" s="19" t="s">
        <v>1798</v>
      </c>
      <c r="O2314" s="20">
        <v>0</v>
      </c>
      <c r="P2314" s="20">
        <v>0</v>
      </c>
      <c r="Q2314" s="20">
        <v>0</v>
      </c>
      <c r="R2314" s="21">
        <v>0.91</v>
      </c>
      <c r="S2314" s="20">
        <v>0</v>
      </c>
    </row>
    <row r="2315" spans="2:19" ht="15" customHeight="1" x14ac:dyDescent="0.25">
      <c r="B2315" s="2" t="str">
        <f t="shared" si="72"/>
        <v>NSG_Business_Public Sector_Rebates_Pipe Insulation_Steam X-Large Valve_CI</v>
      </c>
      <c r="C2315" s="2" t="str">
        <f t="shared" si="73"/>
        <v>NSG_Business_Public Sector_Rebates_Pipe Insulation_Steam X-Large Valve_CI_2024</v>
      </c>
      <c r="D2315" s="19" t="s">
        <v>1787</v>
      </c>
      <c r="E2315" s="19" t="s">
        <v>3</v>
      </c>
      <c r="F2315" s="19" t="s">
        <v>1430</v>
      </c>
      <c r="G2315" s="19" t="s">
        <v>1429</v>
      </c>
      <c r="H2315" s="19" t="s">
        <v>404</v>
      </c>
      <c r="I2315" s="19" t="s">
        <v>968</v>
      </c>
      <c r="J2315" s="19">
        <v>0</v>
      </c>
      <c r="K2315" s="19" t="s">
        <v>1159</v>
      </c>
      <c r="L2315" s="19">
        <v>2024</v>
      </c>
      <c r="M2315" s="20">
        <v>1</v>
      </c>
      <c r="N2315" s="19" t="s">
        <v>1798</v>
      </c>
      <c r="O2315" s="20">
        <v>0</v>
      </c>
      <c r="P2315" s="20">
        <v>0</v>
      </c>
      <c r="Q2315" s="20">
        <v>0</v>
      </c>
      <c r="R2315" s="21">
        <v>0.91</v>
      </c>
      <c r="S2315" s="20">
        <v>0</v>
      </c>
    </row>
    <row r="2316" spans="2:19" ht="15" customHeight="1" x14ac:dyDescent="0.25">
      <c r="B2316" s="2" t="str">
        <f t="shared" si="72"/>
        <v>NSG_Business_Public Sector_Rebates_Pipe Insulation_Steam X-Large Valve_CI</v>
      </c>
      <c r="C2316" s="2" t="str">
        <f t="shared" si="73"/>
        <v>NSG_Business_Public Sector_Rebates_Pipe Insulation_Steam X-Large Valve_CI_2025</v>
      </c>
      <c r="D2316" s="19" t="s">
        <v>1787</v>
      </c>
      <c r="E2316" s="19" t="s">
        <v>3</v>
      </c>
      <c r="F2316" s="19" t="s">
        <v>1430</v>
      </c>
      <c r="G2316" s="19" t="s">
        <v>1429</v>
      </c>
      <c r="H2316" s="19" t="s">
        <v>404</v>
      </c>
      <c r="I2316" s="19" t="s">
        <v>968</v>
      </c>
      <c r="J2316" s="19">
        <v>0</v>
      </c>
      <c r="K2316" s="19" t="s">
        <v>1159</v>
      </c>
      <c r="L2316" s="19">
        <v>2025</v>
      </c>
      <c r="M2316" s="20">
        <v>1</v>
      </c>
      <c r="N2316" s="19" t="s">
        <v>1798</v>
      </c>
      <c r="O2316" s="20">
        <v>0</v>
      </c>
      <c r="P2316" s="20">
        <v>0</v>
      </c>
      <c r="Q2316" s="20">
        <v>0</v>
      </c>
      <c r="R2316" s="21">
        <v>0.91</v>
      </c>
      <c r="S2316" s="20">
        <v>0</v>
      </c>
    </row>
    <row r="2317" spans="2:19" ht="15" customHeight="1" x14ac:dyDescent="0.25">
      <c r="B2317" s="2" t="str">
        <f t="shared" si="72"/>
        <v>NSG_Business_Public Sector_Rebates_Pre-Rinse Sprayer_0_CI</v>
      </c>
      <c r="C2317" s="2" t="str">
        <f t="shared" si="73"/>
        <v>NSG_Business_Public Sector_Rebates_Pre-Rinse Sprayer_0_CI_2022</v>
      </c>
      <c r="D2317" s="19" t="s">
        <v>1787</v>
      </c>
      <c r="E2317" s="19" t="s">
        <v>3</v>
      </c>
      <c r="F2317" s="19" t="s">
        <v>1430</v>
      </c>
      <c r="G2317" s="19" t="s">
        <v>1429</v>
      </c>
      <c r="H2317" s="19" t="s">
        <v>1219</v>
      </c>
      <c r="I2317" s="19">
        <v>0</v>
      </c>
      <c r="J2317" s="19" t="s">
        <v>43</v>
      </c>
      <c r="K2317" s="19" t="s">
        <v>1159</v>
      </c>
      <c r="L2317" s="19">
        <v>2022</v>
      </c>
      <c r="M2317" s="20">
        <v>1</v>
      </c>
      <c r="N2317" s="19" t="s">
        <v>1798</v>
      </c>
      <c r="O2317" s="20">
        <v>0</v>
      </c>
      <c r="P2317" s="20">
        <v>0</v>
      </c>
      <c r="Q2317" s="20">
        <v>0</v>
      </c>
      <c r="R2317" s="21">
        <v>0.91</v>
      </c>
      <c r="S2317" s="20">
        <v>0</v>
      </c>
    </row>
    <row r="2318" spans="2:19" ht="15" customHeight="1" x14ac:dyDescent="0.25">
      <c r="B2318" s="2" t="str">
        <f t="shared" si="72"/>
        <v>NSG_Business_Public Sector_Rebates_Pre-Rinse Sprayer_0_CI</v>
      </c>
      <c r="C2318" s="2" t="str">
        <f t="shared" si="73"/>
        <v>NSG_Business_Public Sector_Rebates_Pre-Rinse Sprayer_0_CI_2023</v>
      </c>
      <c r="D2318" s="19" t="s">
        <v>1787</v>
      </c>
      <c r="E2318" s="19" t="s">
        <v>3</v>
      </c>
      <c r="F2318" s="19" t="s">
        <v>1430</v>
      </c>
      <c r="G2318" s="19" t="s">
        <v>1429</v>
      </c>
      <c r="H2318" s="19" t="s">
        <v>1219</v>
      </c>
      <c r="I2318" s="19">
        <v>0</v>
      </c>
      <c r="J2318" s="19" t="s">
        <v>43</v>
      </c>
      <c r="K2318" s="19" t="s">
        <v>1159</v>
      </c>
      <c r="L2318" s="19">
        <v>2023</v>
      </c>
      <c r="M2318" s="20">
        <v>1</v>
      </c>
      <c r="N2318" s="19" t="s">
        <v>1798</v>
      </c>
      <c r="O2318" s="20">
        <v>0</v>
      </c>
      <c r="P2318" s="20">
        <v>0</v>
      </c>
      <c r="Q2318" s="20">
        <v>0</v>
      </c>
      <c r="R2318" s="21">
        <v>0.91</v>
      </c>
      <c r="S2318" s="20">
        <v>0</v>
      </c>
    </row>
    <row r="2319" spans="2:19" ht="15" customHeight="1" x14ac:dyDescent="0.25">
      <c r="B2319" s="2" t="str">
        <f t="shared" si="72"/>
        <v>NSG_Business_Public Sector_Rebates_Pre-Rinse Sprayer_0_CI</v>
      </c>
      <c r="C2319" s="2" t="str">
        <f t="shared" si="73"/>
        <v>NSG_Business_Public Sector_Rebates_Pre-Rinse Sprayer_0_CI_2024</v>
      </c>
      <c r="D2319" s="19" t="s">
        <v>1787</v>
      </c>
      <c r="E2319" s="19" t="s">
        <v>3</v>
      </c>
      <c r="F2319" s="19" t="s">
        <v>1430</v>
      </c>
      <c r="G2319" s="19" t="s">
        <v>1429</v>
      </c>
      <c r="H2319" s="19" t="s">
        <v>1219</v>
      </c>
      <c r="I2319" s="19">
        <v>0</v>
      </c>
      <c r="J2319" s="19" t="s">
        <v>43</v>
      </c>
      <c r="K2319" s="19" t="s">
        <v>1159</v>
      </c>
      <c r="L2319" s="19">
        <v>2024</v>
      </c>
      <c r="M2319" s="20">
        <v>1</v>
      </c>
      <c r="N2319" s="19" t="s">
        <v>1798</v>
      </c>
      <c r="O2319" s="20">
        <v>0</v>
      </c>
      <c r="P2319" s="20">
        <v>0</v>
      </c>
      <c r="Q2319" s="20">
        <v>0</v>
      </c>
      <c r="R2319" s="21">
        <v>0.91</v>
      </c>
      <c r="S2319" s="20">
        <v>0</v>
      </c>
    </row>
    <row r="2320" spans="2:19" ht="15" customHeight="1" x14ac:dyDescent="0.25">
      <c r="B2320" s="2" t="str">
        <f t="shared" si="72"/>
        <v>NSG_Business_Public Sector_Rebates_Pre-Rinse Sprayer_0_CI</v>
      </c>
      <c r="C2320" s="2" t="str">
        <f t="shared" si="73"/>
        <v>NSG_Business_Public Sector_Rebates_Pre-Rinse Sprayer_0_CI_2025</v>
      </c>
      <c r="D2320" s="19" t="s">
        <v>1787</v>
      </c>
      <c r="E2320" s="19" t="s">
        <v>3</v>
      </c>
      <c r="F2320" s="19" t="s">
        <v>1430</v>
      </c>
      <c r="G2320" s="19" t="s">
        <v>1429</v>
      </c>
      <c r="H2320" s="19" t="s">
        <v>1219</v>
      </c>
      <c r="I2320" s="19">
        <v>0</v>
      </c>
      <c r="J2320" s="19" t="s">
        <v>43</v>
      </c>
      <c r="K2320" s="19" t="s">
        <v>1159</v>
      </c>
      <c r="L2320" s="19">
        <v>2025</v>
      </c>
      <c r="M2320" s="20">
        <v>1</v>
      </c>
      <c r="N2320" s="19" t="s">
        <v>1798</v>
      </c>
      <c r="O2320" s="20">
        <v>0</v>
      </c>
      <c r="P2320" s="20">
        <v>0</v>
      </c>
      <c r="Q2320" s="20">
        <v>0</v>
      </c>
      <c r="R2320" s="21">
        <v>0.91</v>
      </c>
      <c r="S2320" s="20">
        <v>0</v>
      </c>
    </row>
    <row r="2321" spans="2:19" ht="15" customHeight="1" x14ac:dyDescent="0.25">
      <c r="B2321" s="2" t="str">
        <f t="shared" si="72"/>
        <v>NSG_Business_Public Sector_Rebates_Steam Boiler_&gt;=300MBH, &lt;1,500, &gt;=81% AFUE_CI</v>
      </c>
      <c r="C2321" s="2" t="str">
        <f t="shared" si="73"/>
        <v>NSG_Business_Public Sector_Rebates_Steam Boiler_&gt;=300MBH, &lt;1,500, &gt;=81% AFUE_CI_2022</v>
      </c>
      <c r="D2321" s="19" t="s">
        <v>1787</v>
      </c>
      <c r="E2321" s="19" t="s">
        <v>3</v>
      </c>
      <c r="F2321" s="19" t="s">
        <v>1430</v>
      </c>
      <c r="G2321" s="19" t="s">
        <v>1429</v>
      </c>
      <c r="H2321" s="19" t="s">
        <v>938</v>
      </c>
      <c r="I2321" s="19" t="s">
        <v>1300</v>
      </c>
      <c r="J2321" s="19" t="s">
        <v>942</v>
      </c>
      <c r="K2321" s="19" t="s">
        <v>1159</v>
      </c>
      <c r="L2321" s="19">
        <v>2022</v>
      </c>
      <c r="M2321" s="20">
        <v>500</v>
      </c>
      <c r="N2321" s="19" t="s">
        <v>667</v>
      </c>
      <c r="O2321" s="20">
        <v>2</v>
      </c>
      <c r="P2321" s="20">
        <v>1000</v>
      </c>
      <c r="Q2321" s="20">
        <v>658.86333333333164</v>
      </c>
      <c r="R2321" s="21">
        <v>0.91</v>
      </c>
      <c r="S2321" s="20">
        <v>658.86333333333164</v>
      </c>
    </row>
    <row r="2322" spans="2:19" ht="15" customHeight="1" x14ac:dyDescent="0.25">
      <c r="B2322" s="2" t="str">
        <f t="shared" si="72"/>
        <v>NSG_Business_Public Sector_Rebates_Steam Boiler_&gt;=300MBH, &lt;1,500, &gt;=81% AFUE_CI</v>
      </c>
      <c r="C2322" s="2" t="str">
        <f t="shared" si="73"/>
        <v>NSG_Business_Public Sector_Rebates_Steam Boiler_&gt;=300MBH, &lt;1,500, &gt;=81% AFUE_CI_2023</v>
      </c>
      <c r="D2322" s="19" t="s">
        <v>1787</v>
      </c>
      <c r="E2322" s="19" t="s">
        <v>3</v>
      </c>
      <c r="F2322" s="19" t="s">
        <v>1430</v>
      </c>
      <c r="G2322" s="19" t="s">
        <v>1429</v>
      </c>
      <c r="H2322" s="19" t="s">
        <v>938</v>
      </c>
      <c r="I2322" s="19" t="s">
        <v>1300</v>
      </c>
      <c r="J2322" s="19" t="s">
        <v>942</v>
      </c>
      <c r="K2322" s="19" t="s">
        <v>1159</v>
      </c>
      <c r="L2322" s="19">
        <v>2023</v>
      </c>
      <c r="M2322" s="20">
        <v>500</v>
      </c>
      <c r="N2322" s="19" t="s">
        <v>667</v>
      </c>
      <c r="O2322" s="20">
        <v>2</v>
      </c>
      <c r="P2322" s="20">
        <v>1000</v>
      </c>
      <c r="Q2322" s="20">
        <v>658.86333333333164</v>
      </c>
      <c r="R2322" s="21">
        <v>0.91</v>
      </c>
      <c r="S2322" s="20">
        <v>658.86333333333164</v>
      </c>
    </row>
    <row r="2323" spans="2:19" ht="15" customHeight="1" x14ac:dyDescent="0.25">
      <c r="B2323" s="2" t="str">
        <f t="shared" si="72"/>
        <v>NSG_Business_Public Sector_Rebates_Steam Boiler_&gt;=300MBH, &lt;1,500, &gt;=81% AFUE_CI</v>
      </c>
      <c r="C2323" s="2" t="str">
        <f t="shared" si="73"/>
        <v>NSG_Business_Public Sector_Rebates_Steam Boiler_&gt;=300MBH, &lt;1,500, &gt;=81% AFUE_CI_2024</v>
      </c>
      <c r="D2323" s="19" t="s">
        <v>1787</v>
      </c>
      <c r="E2323" s="19" t="s">
        <v>3</v>
      </c>
      <c r="F2323" s="19" t="s">
        <v>1430</v>
      </c>
      <c r="G2323" s="19" t="s">
        <v>1429</v>
      </c>
      <c r="H2323" s="19" t="s">
        <v>938</v>
      </c>
      <c r="I2323" s="19" t="s">
        <v>1300</v>
      </c>
      <c r="J2323" s="19" t="s">
        <v>942</v>
      </c>
      <c r="K2323" s="19" t="s">
        <v>1159</v>
      </c>
      <c r="L2323" s="19">
        <v>2024</v>
      </c>
      <c r="M2323" s="20">
        <v>500</v>
      </c>
      <c r="N2323" s="19" t="s">
        <v>667</v>
      </c>
      <c r="O2323" s="20">
        <v>2</v>
      </c>
      <c r="P2323" s="20">
        <v>1000</v>
      </c>
      <c r="Q2323" s="20">
        <v>658.86333333333164</v>
      </c>
      <c r="R2323" s="21">
        <v>0.91</v>
      </c>
      <c r="S2323" s="20">
        <v>658.86333333333164</v>
      </c>
    </row>
    <row r="2324" spans="2:19" ht="15" customHeight="1" x14ac:dyDescent="0.25">
      <c r="B2324" s="2" t="str">
        <f t="shared" si="72"/>
        <v>NSG_Business_Public Sector_Rebates_Steam Boiler_&gt;=300MBH, &lt;1,500, &gt;=81% AFUE_CI</v>
      </c>
      <c r="C2324" s="2" t="str">
        <f t="shared" si="73"/>
        <v>NSG_Business_Public Sector_Rebates_Steam Boiler_&gt;=300MBH, &lt;1,500, &gt;=81% AFUE_CI_2025</v>
      </c>
      <c r="D2324" s="19" t="s">
        <v>1787</v>
      </c>
      <c r="E2324" s="19" t="s">
        <v>3</v>
      </c>
      <c r="F2324" s="19" t="s">
        <v>1430</v>
      </c>
      <c r="G2324" s="19" t="s">
        <v>1429</v>
      </c>
      <c r="H2324" s="19" t="s">
        <v>938</v>
      </c>
      <c r="I2324" s="19" t="s">
        <v>1300</v>
      </c>
      <c r="J2324" s="19" t="s">
        <v>942</v>
      </c>
      <c r="K2324" s="19" t="s">
        <v>1159</v>
      </c>
      <c r="L2324" s="19">
        <v>2025</v>
      </c>
      <c r="M2324" s="20">
        <v>500</v>
      </c>
      <c r="N2324" s="19" t="s">
        <v>667</v>
      </c>
      <c r="O2324" s="20">
        <v>2</v>
      </c>
      <c r="P2324" s="20">
        <v>1000</v>
      </c>
      <c r="Q2324" s="20">
        <v>658.86333333333164</v>
      </c>
      <c r="R2324" s="21">
        <v>0.91</v>
      </c>
      <c r="S2324" s="20">
        <v>658.86333333333164</v>
      </c>
    </row>
    <row r="2325" spans="2:19" ht="15" customHeight="1" x14ac:dyDescent="0.25">
      <c r="B2325" s="2" t="str">
        <f t="shared" si="72"/>
        <v>NSG_Business_Public Sector_Rebates_Steam Traps_Dry Cleaner/Industrial - No Audit_MF/CI/SMB</v>
      </c>
      <c r="C2325" s="2" t="str">
        <f t="shared" si="73"/>
        <v>NSG_Business_Public Sector_Rebates_Steam Traps_Dry Cleaner/Industrial - No Audit_MF/CI/SMB_2022</v>
      </c>
      <c r="D2325" s="19" t="s">
        <v>1787</v>
      </c>
      <c r="E2325" s="19" t="s">
        <v>3</v>
      </c>
      <c r="F2325" s="19" t="s">
        <v>1430</v>
      </c>
      <c r="G2325" s="19" t="s">
        <v>1429</v>
      </c>
      <c r="H2325" s="19" t="s">
        <v>644</v>
      </c>
      <c r="I2325" s="19" t="s">
        <v>1274</v>
      </c>
      <c r="J2325" s="19" t="s">
        <v>37</v>
      </c>
      <c r="K2325" s="19" t="s">
        <v>662</v>
      </c>
      <c r="L2325" s="19">
        <v>2022</v>
      </c>
      <c r="M2325" s="20">
        <v>1</v>
      </c>
      <c r="N2325" s="19" t="s">
        <v>1798</v>
      </c>
      <c r="O2325" s="20">
        <v>0</v>
      </c>
      <c r="P2325" s="20">
        <v>0</v>
      </c>
      <c r="Q2325" s="20">
        <v>0</v>
      </c>
      <c r="R2325" s="21">
        <v>0.91</v>
      </c>
      <c r="S2325" s="20">
        <v>0</v>
      </c>
    </row>
    <row r="2326" spans="2:19" ht="15" customHeight="1" x14ac:dyDescent="0.25">
      <c r="B2326" s="2" t="str">
        <f t="shared" si="72"/>
        <v>NSG_Business_Public Sector_Rebates_Steam Traps_Dry Cleaner/Industrial - No Audit_MF/CI/SMB</v>
      </c>
      <c r="C2326" s="2" t="str">
        <f t="shared" si="73"/>
        <v>NSG_Business_Public Sector_Rebates_Steam Traps_Dry Cleaner/Industrial - No Audit_MF/CI/SMB_2023</v>
      </c>
      <c r="D2326" s="19" t="s">
        <v>1787</v>
      </c>
      <c r="E2326" s="19" t="s">
        <v>3</v>
      </c>
      <c r="F2326" s="19" t="s">
        <v>1430</v>
      </c>
      <c r="G2326" s="19" t="s">
        <v>1429</v>
      </c>
      <c r="H2326" s="19" t="s">
        <v>644</v>
      </c>
      <c r="I2326" s="19" t="s">
        <v>1274</v>
      </c>
      <c r="J2326" s="19" t="s">
        <v>37</v>
      </c>
      <c r="K2326" s="19" t="s">
        <v>662</v>
      </c>
      <c r="L2326" s="19">
        <v>2023</v>
      </c>
      <c r="M2326" s="20">
        <v>1</v>
      </c>
      <c r="N2326" s="19" t="s">
        <v>1798</v>
      </c>
      <c r="O2326" s="20">
        <v>0</v>
      </c>
      <c r="P2326" s="20">
        <v>0</v>
      </c>
      <c r="Q2326" s="20">
        <v>0</v>
      </c>
      <c r="R2326" s="21">
        <v>0.91</v>
      </c>
      <c r="S2326" s="20">
        <v>0</v>
      </c>
    </row>
    <row r="2327" spans="2:19" ht="15" customHeight="1" x14ac:dyDescent="0.25">
      <c r="B2327" s="2" t="str">
        <f t="shared" si="72"/>
        <v>NSG_Business_Public Sector_Rebates_Steam Traps_Dry Cleaner/Industrial - No Audit_MF/CI/SMB</v>
      </c>
      <c r="C2327" s="2" t="str">
        <f t="shared" si="73"/>
        <v>NSG_Business_Public Sector_Rebates_Steam Traps_Dry Cleaner/Industrial - No Audit_MF/CI/SMB_2024</v>
      </c>
      <c r="D2327" s="19" t="s">
        <v>1787</v>
      </c>
      <c r="E2327" s="19" t="s">
        <v>3</v>
      </c>
      <c r="F2327" s="19" t="s">
        <v>1430</v>
      </c>
      <c r="G2327" s="19" t="s">
        <v>1429</v>
      </c>
      <c r="H2327" s="19" t="s">
        <v>644</v>
      </c>
      <c r="I2327" s="19" t="s">
        <v>1274</v>
      </c>
      <c r="J2327" s="19" t="s">
        <v>37</v>
      </c>
      <c r="K2327" s="19" t="s">
        <v>662</v>
      </c>
      <c r="L2327" s="19">
        <v>2024</v>
      </c>
      <c r="M2327" s="20">
        <v>1</v>
      </c>
      <c r="N2327" s="19" t="s">
        <v>1798</v>
      </c>
      <c r="O2327" s="20">
        <v>0</v>
      </c>
      <c r="P2327" s="20">
        <v>0</v>
      </c>
      <c r="Q2327" s="20">
        <v>0</v>
      </c>
      <c r="R2327" s="21">
        <v>0.91</v>
      </c>
      <c r="S2327" s="20">
        <v>0</v>
      </c>
    </row>
    <row r="2328" spans="2:19" ht="15" customHeight="1" x14ac:dyDescent="0.25">
      <c r="B2328" s="2" t="str">
        <f t="shared" si="72"/>
        <v>NSG_Business_Public Sector_Rebates_Steam Traps_Dry Cleaner/Industrial - No Audit_MF/CI/SMB</v>
      </c>
      <c r="C2328" s="2" t="str">
        <f t="shared" si="73"/>
        <v>NSG_Business_Public Sector_Rebates_Steam Traps_Dry Cleaner/Industrial - No Audit_MF/CI/SMB_2025</v>
      </c>
      <c r="D2328" s="19" t="s">
        <v>1787</v>
      </c>
      <c r="E2328" s="19" t="s">
        <v>3</v>
      </c>
      <c r="F2328" s="19" t="s">
        <v>1430</v>
      </c>
      <c r="G2328" s="19" t="s">
        <v>1429</v>
      </c>
      <c r="H2328" s="19" t="s">
        <v>644</v>
      </c>
      <c r="I2328" s="19" t="s">
        <v>1274</v>
      </c>
      <c r="J2328" s="19" t="s">
        <v>37</v>
      </c>
      <c r="K2328" s="19" t="s">
        <v>662</v>
      </c>
      <c r="L2328" s="19">
        <v>2025</v>
      </c>
      <c r="M2328" s="20">
        <v>1</v>
      </c>
      <c r="N2328" s="19" t="s">
        <v>1798</v>
      </c>
      <c r="O2328" s="20">
        <v>0</v>
      </c>
      <c r="P2328" s="20">
        <v>0</v>
      </c>
      <c r="Q2328" s="20">
        <v>0</v>
      </c>
      <c r="R2328" s="21">
        <v>0.91</v>
      </c>
      <c r="S2328" s="20">
        <v>0</v>
      </c>
    </row>
    <row r="2329" spans="2:19" ht="15" customHeight="1" x14ac:dyDescent="0.25">
      <c r="B2329" s="2" t="str">
        <f t="shared" si="72"/>
        <v>NSG_Business_Public Sector_Rebates_Steam Traps_Dry Cleaner/Industrial - Audit_MF/CI/SMB</v>
      </c>
      <c r="C2329" s="2" t="str">
        <f t="shared" si="73"/>
        <v>NSG_Business_Public Sector_Rebates_Steam Traps_Dry Cleaner/Industrial - Audit_MF/CI/SMB_2022</v>
      </c>
      <c r="D2329" s="19" t="s">
        <v>1787</v>
      </c>
      <c r="E2329" s="19" t="s">
        <v>3</v>
      </c>
      <c r="F2329" s="19" t="s">
        <v>1430</v>
      </c>
      <c r="G2329" s="19" t="s">
        <v>1429</v>
      </c>
      <c r="H2329" s="19" t="s">
        <v>644</v>
      </c>
      <c r="I2329" s="19" t="s">
        <v>1275</v>
      </c>
      <c r="J2329" s="19" t="s">
        <v>37</v>
      </c>
      <c r="K2329" s="19" t="s">
        <v>662</v>
      </c>
      <c r="L2329" s="19">
        <v>2022</v>
      </c>
      <c r="M2329" s="20">
        <v>1</v>
      </c>
      <c r="N2329" s="19" t="s">
        <v>1798</v>
      </c>
      <c r="O2329" s="20">
        <v>0</v>
      </c>
      <c r="P2329" s="20">
        <v>0</v>
      </c>
      <c r="Q2329" s="20">
        <v>0</v>
      </c>
      <c r="R2329" s="21">
        <v>0.91</v>
      </c>
      <c r="S2329" s="20">
        <v>0</v>
      </c>
    </row>
    <row r="2330" spans="2:19" ht="15" customHeight="1" x14ac:dyDescent="0.25">
      <c r="B2330" s="2" t="str">
        <f t="shared" si="72"/>
        <v>NSG_Business_Public Sector_Rebates_Steam Traps_Dry Cleaner/Industrial - Audit_MF/CI/SMB</v>
      </c>
      <c r="C2330" s="2" t="str">
        <f t="shared" si="73"/>
        <v>NSG_Business_Public Sector_Rebates_Steam Traps_Dry Cleaner/Industrial - Audit_MF/CI/SMB_2023</v>
      </c>
      <c r="D2330" s="19" t="s">
        <v>1787</v>
      </c>
      <c r="E2330" s="19" t="s">
        <v>3</v>
      </c>
      <c r="F2330" s="19" t="s">
        <v>1430</v>
      </c>
      <c r="G2330" s="19" t="s">
        <v>1429</v>
      </c>
      <c r="H2330" s="19" t="s">
        <v>644</v>
      </c>
      <c r="I2330" s="19" t="s">
        <v>1275</v>
      </c>
      <c r="J2330" s="19" t="s">
        <v>37</v>
      </c>
      <c r="K2330" s="19" t="s">
        <v>662</v>
      </c>
      <c r="L2330" s="19">
        <v>2023</v>
      </c>
      <c r="M2330" s="20">
        <v>1</v>
      </c>
      <c r="N2330" s="19" t="s">
        <v>1798</v>
      </c>
      <c r="O2330" s="20">
        <v>0</v>
      </c>
      <c r="P2330" s="20">
        <v>0</v>
      </c>
      <c r="Q2330" s="20">
        <v>0</v>
      </c>
      <c r="R2330" s="21">
        <v>0.91</v>
      </c>
      <c r="S2330" s="20">
        <v>0</v>
      </c>
    </row>
    <row r="2331" spans="2:19" ht="15" customHeight="1" x14ac:dyDescent="0.25">
      <c r="B2331" s="2" t="str">
        <f t="shared" si="72"/>
        <v>NSG_Business_Public Sector_Rebates_Steam Traps_Dry Cleaner/Industrial - Audit_MF/CI/SMB</v>
      </c>
      <c r="C2331" s="2" t="str">
        <f t="shared" si="73"/>
        <v>NSG_Business_Public Sector_Rebates_Steam Traps_Dry Cleaner/Industrial - Audit_MF/CI/SMB_2024</v>
      </c>
      <c r="D2331" s="19" t="s">
        <v>1787</v>
      </c>
      <c r="E2331" s="19" t="s">
        <v>3</v>
      </c>
      <c r="F2331" s="19" t="s">
        <v>1430</v>
      </c>
      <c r="G2331" s="19" t="s">
        <v>1429</v>
      </c>
      <c r="H2331" s="19" t="s">
        <v>644</v>
      </c>
      <c r="I2331" s="19" t="s">
        <v>1275</v>
      </c>
      <c r="J2331" s="19" t="s">
        <v>37</v>
      </c>
      <c r="K2331" s="19" t="s">
        <v>662</v>
      </c>
      <c r="L2331" s="19">
        <v>2024</v>
      </c>
      <c r="M2331" s="20">
        <v>1</v>
      </c>
      <c r="N2331" s="19" t="s">
        <v>1798</v>
      </c>
      <c r="O2331" s="20">
        <v>0</v>
      </c>
      <c r="P2331" s="20">
        <v>0</v>
      </c>
      <c r="Q2331" s="20">
        <v>0</v>
      </c>
      <c r="R2331" s="21">
        <v>0.91</v>
      </c>
      <c r="S2331" s="20">
        <v>0</v>
      </c>
    </row>
    <row r="2332" spans="2:19" ht="15" customHeight="1" x14ac:dyDescent="0.25">
      <c r="B2332" s="2" t="str">
        <f t="shared" si="72"/>
        <v>NSG_Business_Public Sector_Rebates_Steam Traps_Dry Cleaner/Industrial - Audit_MF/CI/SMB</v>
      </c>
      <c r="C2332" s="2" t="str">
        <f t="shared" si="73"/>
        <v>NSG_Business_Public Sector_Rebates_Steam Traps_Dry Cleaner/Industrial - Audit_MF/CI/SMB_2025</v>
      </c>
      <c r="D2332" s="19" t="s">
        <v>1787</v>
      </c>
      <c r="E2332" s="19" t="s">
        <v>3</v>
      </c>
      <c r="F2332" s="19" t="s">
        <v>1430</v>
      </c>
      <c r="G2332" s="19" t="s">
        <v>1429</v>
      </c>
      <c r="H2332" s="19" t="s">
        <v>644</v>
      </c>
      <c r="I2332" s="19" t="s">
        <v>1275</v>
      </c>
      <c r="J2332" s="19" t="s">
        <v>37</v>
      </c>
      <c r="K2332" s="19" t="s">
        <v>662</v>
      </c>
      <c r="L2332" s="19">
        <v>2025</v>
      </c>
      <c r="M2332" s="20">
        <v>1</v>
      </c>
      <c r="N2332" s="19" t="s">
        <v>1798</v>
      </c>
      <c r="O2332" s="20">
        <v>0</v>
      </c>
      <c r="P2332" s="20">
        <v>0</v>
      </c>
      <c r="Q2332" s="20">
        <v>0</v>
      </c>
      <c r="R2332" s="21">
        <v>0.91</v>
      </c>
      <c r="S2332" s="20">
        <v>0</v>
      </c>
    </row>
    <row r="2333" spans="2:19" ht="15" customHeight="1" x14ac:dyDescent="0.25">
      <c r="B2333" s="2" t="str">
        <f t="shared" si="72"/>
        <v>NSG_Business_Public Sector_Rebates_Steam Traps_HVAC Repair/Rep - Audit_CI</v>
      </c>
      <c r="C2333" s="2" t="str">
        <f t="shared" si="73"/>
        <v>NSG_Business_Public Sector_Rebates_Steam Traps_HVAC Repair/Rep - Audit_CI_2022</v>
      </c>
      <c r="D2333" s="19" t="s">
        <v>1787</v>
      </c>
      <c r="E2333" s="19" t="s">
        <v>3</v>
      </c>
      <c r="F2333" s="19" t="s">
        <v>1430</v>
      </c>
      <c r="G2333" s="19" t="s">
        <v>1429</v>
      </c>
      <c r="H2333" s="19" t="s">
        <v>644</v>
      </c>
      <c r="I2333" s="19" t="s">
        <v>645</v>
      </c>
      <c r="J2333" s="19" t="s">
        <v>37</v>
      </c>
      <c r="K2333" s="19" t="s">
        <v>1159</v>
      </c>
      <c r="L2333" s="19">
        <v>2022</v>
      </c>
      <c r="M2333" s="20">
        <v>1</v>
      </c>
      <c r="N2333" s="19" t="s">
        <v>1798</v>
      </c>
      <c r="O2333" s="20">
        <v>5</v>
      </c>
      <c r="P2333" s="20">
        <v>5</v>
      </c>
      <c r="Q2333" s="20">
        <v>1746.1413558610077</v>
      </c>
      <c r="R2333" s="21">
        <v>0.91</v>
      </c>
      <c r="S2333" s="20">
        <v>1746.1413558610077</v>
      </c>
    </row>
    <row r="2334" spans="2:19" ht="15" customHeight="1" x14ac:dyDescent="0.25">
      <c r="B2334" s="2" t="str">
        <f t="shared" si="72"/>
        <v>NSG_Business_Public Sector_Rebates_Steam Traps_HVAC Repair/Rep - Audit_CI</v>
      </c>
      <c r="C2334" s="2" t="str">
        <f t="shared" si="73"/>
        <v>NSG_Business_Public Sector_Rebates_Steam Traps_HVAC Repair/Rep - Audit_CI_2023</v>
      </c>
      <c r="D2334" s="19" t="s">
        <v>1787</v>
      </c>
      <c r="E2334" s="19" t="s">
        <v>3</v>
      </c>
      <c r="F2334" s="19" t="s">
        <v>1430</v>
      </c>
      <c r="G2334" s="19" t="s">
        <v>1429</v>
      </c>
      <c r="H2334" s="19" t="s">
        <v>644</v>
      </c>
      <c r="I2334" s="19" t="s">
        <v>645</v>
      </c>
      <c r="J2334" s="19" t="s">
        <v>37</v>
      </c>
      <c r="K2334" s="19" t="s">
        <v>1159</v>
      </c>
      <c r="L2334" s="19">
        <v>2023</v>
      </c>
      <c r="M2334" s="20">
        <v>1</v>
      </c>
      <c r="N2334" s="19" t="s">
        <v>1798</v>
      </c>
      <c r="O2334" s="20">
        <v>5</v>
      </c>
      <c r="P2334" s="20">
        <v>5</v>
      </c>
      <c r="Q2334" s="20">
        <v>1746.1413558610077</v>
      </c>
      <c r="R2334" s="21">
        <v>0.91</v>
      </c>
      <c r="S2334" s="20">
        <v>1746.1413558610077</v>
      </c>
    </row>
    <row r="2335" spans="2:19" ht="15" customHeight="1" x14ac:dyDescent="0.25">
      <c r="B2335" s="2" t="str">
        <f t="shared" si="72"/>
        <v>NSG_Business_Public Sector_Rebates_Steam Traps_HVAC Repair/Rep - Audit_CI</v>
      </c>
      <c r="C2335" s="2" t="str">
        <f t="shared" si="73"/>
        <v>NSG_Business_Public Sector_Rebates_Steam Traps_HVAC Repair/Rep - Audit_CI_2024</v>
      </c>
      <c r="D2335" s="19" t="s">
        <v>1787</v>
      </c>
      <c r="E2335" s="19" t="s">
        <v>3</v>
      </c>
      <c r="F2335" s="19" t="s">
        <v>1430</v>
      </c>
      <c r="G2335" s="19" t="s">
        <v>1429</v>
      </c>
      <c r="H2335" s="19" t="s">
        <v>644</v>
      </c>
      <c r="I2335" s="19" t="s">
        <v>645</v>
      </c>
      <c r="J2335" s="19" t="s">
        <v>37</v>
      </c>
      <c r="K2335" s="19" t="s">
        <v>1159</v>
      </c>
      <c r="L2335" s="19">
        <v>2024</v>
      </c>
      <c r="M2335" s="20">
        <v>1</v>
      </c>
      <c r="N2335" s="19" t="s">
        <v>1798</v>
      </c>
      <c r="O2335" s="20">
        <v>5</v>
      </c>
      <c r="P2335" s="20">
        <v>5</v>
      </c>
      <c r="Q2335" s="20">
        <v>1746.1413558610077</v>
      </c>
      <c r="R2335" s="21">
        <v>0.91</v>
      </c>
      <c r="S2335" s="20">
        <v>1746.1413558610077</v>
      </c>
    </row>
    <row r="2336" spans="2:19" ht="15" customHeight="1" x14ac:dyDescent="0.25">
      <c r="B2336" s="2" t="str">
        <f t="shared" si="72"/>
        <v>NSG_Business_Public Sector_Rebates_Steam Traps_HVAC Repair/Rep - Audit_CI</v>
      </c>
      <c r="C2336" s="2" t="str">
        <f t="shared" si="73"/>
        <v>NSG_Business_Public Sector_Rebates_Steam Traps_HVAC Repair/Rep - Audit_CI_2025</v>
      </c>
      <c r="D2336" s="19" t="s">
        <v>1787</v>
      </c>
      <c r="E2336" s="19" t="s">
        <v>3</v>
      </c>
      <c r="F2336" s="19" t="s">
        <v>1430</v>
      </c>
      <c r="G2336" s="19" t="s">
        <v>1429</v>
      </c>
      <c r="H2336" s="19" t="s">
        <v>644</v>
      </c>
      <c r="I2336" s="19" t="s">
        <v>645</v>
      </c>
      <c r="J2336" s="19" t="s">
        <v>37</v>
      </c>
      <c r="K2336" s="19" t="s">
        <v>1159</v>
      </c>
      <c r="L2336" s="19">
        <v>2025</v>
      </c>
      <c r="M2336" s="20">
        <v>1</v>
      </c>
      <c r="N2336" s="19" t="s">
        <v>1798</v>
      </c>
      <c r="O2336" s="20">
        <v>5</v>
      </c>
      <c r="P2336" s="20">
        <v>5</v>
      </c>
      <c r="Q2336" s="20">
        <v>1746.1413558610077</v>
      </c>
      <c r="R2336" s="21">
        <v>0.91</v>
      </c>
      <c r="S2336" s="20">
        <v>1746.1413558610077</v>
      </c>
    </row>
    <row r="2337" spans="2:19" ht="15" customHeight="1" x14ac:dyDescent="0.25">
      <c r="B2337" s="2" t="str">
        <f t="shared" si="72"/>
        <v>NSG_Business_Public Sector_Rebates_Steam Traps_HVAC Repair/Rep - No Audit_CI</v>
      </c>
      <c r="C2337" s="2" t="str">
        <f t="shared" si="73"/>
        <v>NSG_Business_Public Sector_Rebates_Steam Traps_HVAC Repair/Rep - No Audit_CI_2022</v>
      </c>
      <c r="D2337" s="19" t="s">
        <v>1787</v>
      </c>
      <c r="E2337" s="19" t="s">
        <v>3</v>
      </c>
      <c r="F2337" s="19" t="s">
        <v>1430</v>
      </c>
      <c r="G2337" s="19" t="s">
        <v>1429</v>
      </c>
      <c r="H2337" s="19" t="s">
        <v>644</v>
      </c>
      <c r="I2337" s="19" t="s">
        <v>660</v>
      </c>
      <c r="J2337" s="19" t="s">
        <v>37</v>
      </c>
      <c r="K2337" s="19" t="s">
        <v>1159</v>
      </c>
      <c r="L2337" s="19">
        <v>2022</v>
      </c>
      <c r="M2337" s="20">
        <v>1</v>
      </c>
      <c r="N2337" s="19" t="s">
        <v>1798</v>
      </c>
      <c r="O2337" s="20">
        <v>0</v>
      </c>
      <c r="P2337" s="20">
        <v>0</v>
      </c>
      <c r="Q2337" s="20">
        <v>0</v>
      </c>
      <c r="R2337" s="21">
        <v>0.91</v>
      </c>
      <c r="S2337" s="20">
        <v>0</v>
      </c>
    </row>
    <row r="2338" spans="2:19" ht="15" customHeight="1" x14ac:dyDescent="0.25">
      <c r="B2338" s="2" t="str">
        <f t="shared" si="72"/>
        <v>NSG_Business_Public Sector_Rebates_Steam Traps_HVAC Repair/Rep - No Audit_CI</v>
      </c>
      <c r="C2338" s="2" t="str">
        <f t="shared" si="73"/>
        <v>NSG_Business_Public Sector_Rebates_Steam Traps_HVAC Repair/Rep - No Audit_CI_2023</v>
      </c>
      <c r="D2338" s="19" t="s">
        <v>1787</v>
      </c>
      <c r="E2338" s="19" t="s">
        <v>3</v>
      </c>
      <c r="F2338" s="19" t="s">
        <v>1430</v>
      </c>
      <c r="G2338" s="19" t="s">
        <v>1429</v>
      </c>
      <c r="H2338" s="19" t="s">
        <v>644</v>
      </c>
      <c r="I2338" s="19" t="s">
        <v>660</v>
      </c>
      <c r="J2338" s="19" t="s">
        <v>37</v>
      </c>
      <c r="K2338" s="19" t="s">
        <v>1159</v>
      </c>
      <c r="L2338" s="19">
        <v>2023</v>
      </c>
      <c r="M2338" s="20">
        <v>1</v>
      </c>
      <c r="N2338" s="19" t="s">
        <v>1798</v>
      </c>
      <c r="O2338" s="20">
        <v>0</v>
      </c>
      <c r="P2338" s="20">
        <v>0</v>
      </c>
      <c r="Q2338" s="20">
        <v>0</v>
      </c>
      <c r="R2338" s="21">
        <v>0.91</v>
      </c>
      <c r="S2338" s="20">
        <v>0</v>
      </c>
    </row>
    <row r="2339" spans="2:19" ht="15" customHeight="1" x14ac:dyDescent="0.25">
      <c r="B2339" s="2" t="str">
        <f t="shared" si="72"/>
        <v>NSG_Business_Public Sector_Rebates_Steam Traps_HVAC Repair/Rep - No Audit_CI</v>
      </c>
      <c r="C2339" s="2" t="str">
        <f t="shared" si="73"/>
        <v>NSG_Business_Public Sector_Rebates_Steam Traps_HVAC Repair/Rep - No Audit_CI_2024</v>
      </c>
      <c r="D2339" s="19" t="s">
        <v>1787</v>
      </c>
      <c r="E2339" s="19" t="s">
        <v>3</v>
      </c>
      <c r="F2339" s="19" t="s">
        <v>1430</v>
      </c>
      <c r="G2339" s="19" t="s">
        <v>1429</v>
      </c>
      <c r="H2339" s="19" t="s">
        <v>644</v>
      </c>
      <c r="I2339" s="19" t="s">
        <v>660</v>
      </c>
      <c r="J2339" s="19" t="s">
        <v>37</v>
      </c>
      <c r="K2339" s="19" t="s">
        <v>1159</v>
      </c>
      <c r="L2339" s="19">
        <v>2024</v>
      </c>
      <c r="M2339" s="20">
        <v>1</v>
      </c>
      <c r="N2339" s="19" t="s">
        <v>1798</v>
      </c>
      <c r="O2339" s="20">
        <v>0</v>
      </c>
      <c r="P2339" s="20">
        <v>0</v>
      </c>
      <c r="Q2339" s="20">
        <v>0</v>
      </c>
      <c r="R2339" s="21">
        <v>0.91</v>
      </c>
      <c r="S2339" s="20">
        <v>0</v>
      </c>
    </row>
    <row r="2340" spans="2:19" ht="15" customHeight="1" x14ac:dyDescent="0.25">
      <c r="B2340" s="2" t="str">
        <f t="shared" si="72"/>
        <v>NSG_Business_Public Sector_Rebates_Steam Traps_HVAC Repair/Rep - No Audit_CI</v>
      </c>
      <c r="C2340" s="2" t="str">
        <f t="shared" si="73"/>
        <v>NSG_Business_Public Sector_Rebates_Steam Traps_HVAC Repair/Rep - No Audit_CI_2025</v>
      </c>
      <c r="D2340" s="19" t="s">
        <v>1787</v>
      </c>
      <c r="E2340" s="19" t="s">
        <v>3</v>
      </c>
      <c r="F2340" s="19" t="s">
        <v>1430</v>
      </c>
      <c r="G2340" s="19" t="s">
        <v>1429</v>
      </c>
      <c r="H2340" s="19" t="s">
        <v>644</v>
      </c>
      <c r="I2340" s="19" t="s">
        <v>660</v>
      </c>
      <c r="J2340" s="19" t="s">
        <v>37</v>
      </c>
      <c r="K2340" s="19" t="s">
        <v>1159</v>
      </c>
      <c r="L2340" s="19">
        <v>2025</v>
      </c>
      <c r="M2340" s="20">
        <v>1</v>
      </c>
      <c r="N2340" s="19" t="s">
        <v>1798</v>
      </c>
      <c r="O2340" s="20">
        <v>0</v>
      </c>
      <c r="P2340" s="20">
        <v>0</v>
      </c>
      <c r="Q2340" s="20">
        <v>0</v>
      </c>
      <c r="R2340" s="21">
        <v>0.91</v>
      </c>
      <c r="S2340" s="20">
        <v>0</v>
      </c>
    </row>
    <row r="2341" spans="2:19" ht="15" customHeight="1" x14ac:dyDescent="0.25">
      <c r="B2341" s="2" t="str">
        <f t="shared" si="72"/>
        <v>NSG_Business_Public Sector_Rebates_Steam Traps_Industrial/Process Audit - psig ≤ 15_CI/SMB</v>
      </c>
      <c r="C2341" s="2" t="str">
        <f t="shared" si="73"/>
        <v>NSG_Business_Public Sector_Rebates_Steam Traps_Industrial/Process Audit - psig ≤ 15_CI/SMB_2022</v>
      </c>
      <c r="D2341" s="19" t="s">
        <v>1787</v>
      </c>
      <c r="E2341" s="19" t="s">
        <v>3</v>
      </c>
      <c r="F2341" s="19" t="s">
        <v>1430</v>
      </c>
      <c r="G2341" s="19" t="s">
        <v>1429</v>
      </c>
      <c r="H2341" s="19" t="s">
        <v>644</v>
      </c>
      <c r="I2341" s="19" t="s">
        <v>1383</v>
      </c>
      <c r="J2341" s="19" t="s">
        <v>37</v>
      </c>
      <c r="K2341" s="19" t="s">
        <v>970</v>
      </c>
      <c r="L2341" s="19">
        <v>2022</v>
      </c>
      <c r="M2341" s="20">
        <v>1</v>
      </c>
      <c r="N2341" s="19" t="s">
        <v>1798</v>
      </c>
      <c r="O2341" s="20">
        <v>0</v>
      </c>
      <c r="P2341" s="20">
        <v>0</v>
      </c>
      <c r="Q2341" s="20">
        <v>0</v>
      </c>
      <c r="R2341" s="21">
        <v>0.91</v>
      </c>
      <c r="S2341" s="20">
        <v>0</v>
      </c>
    </row>
    <row r="2342" spans="2:19" ht="15" customHeight="1" x14ac:dyDescent="0.25">
      <c r="B2342" s="2" t="str">
        <f t="shared" si="72"/>
        <v>NSG_Business_Public Sector_Rebates_Steam Traps_Industrial/Process Audit - psig ≤ 15_CI/SMB</v>
      </c>
      <c r="C2342" s="2" t="str">
        <f t="shared" si="73"/>
        <v>NSG_Business_Public Sector_Rebates_Steam Traps_Industrial/Process Audit - psig ≤ 15_CI/SMB_2023</v>
      </c>
      <c r="D2342" s="19" t="s">
        <v>1787</v>
      </c>
      <c r="E2342" s="19" t="s">
        <v>3</v>
      </c>
      <c r="F2342" s="19" t="s">
        <v>1430</v>
      </c>
      <c r="G2342" s="19" t="s">
        <v>1429</v>
      </c>
      <c r="H2342" s="19" t="s">
        <v>644</v>
      </c>
      <c r="I2342" s="19" t="s">
        <v>1383</v>
      </c>
      <c r="J2342" s="19" t="s">
        <v>37</v>
      </c>
      <c r="K2342" s="19" t="s">
        <v>970</v>
      </c>
      <c r="L2342" s="19">
        <v>2023</v>
      </c>
      <c r="M2342" s="20">
        <v>1</v>
      </c>
      <c r="N2342" s="19" t="s">
        <v>1798</v>
      </c>
      <c r="O2342" s="20">
        <v>0</v>
      </c>
      <c r="P2342" s="20">
        <v>0</v>
      </c>
      <c r="Q2342" s="20">
        <v>0</v>
      </c>
      <c r="R2342" s="21">
        <v>0.91</v>
      </c>
      <c r="S2342" s="20">
        <v>0</v>
      </c>
    </row>
    <row r="2343" spans="2:19" ht="15" customHeight="1" x14ac:dyDescent="0.25">
      <c r="B2343" s="2" t="str">
        <f t="shared" si="72"/>
        <v>NSG_Business_Public Sector_Rebates_Steam Traps_Industrial/Process Audit - psig ≤ 15_CI/SMB</v>
      </c>
      <c r="C2343" s="2" t="str">
        <f t="shared" si="73"/>
        <v>NSG_Business_Public Sector_Rebates_Steam Traps_Industrial/Process Audit - psig ≤ 15_CI/SMB_2024</v>
      </c>
      <c r="D2343" s="19" t="s">
        <v>1787</v>
      </c>
      <c r="E2343" s="19" t="s">
        <v>3</v>
      </c>
      <c r="F2343" s="19" t="s">
        <v>1430</v>
      </c>
      <c r="G2343" s="19" t="s">
        <v>1429</v>
      </c>
      <c r="H2343" s="19" t="s">
        <v>644</v>
      </c>
      <c r="I2343" s="19" t="s">
        <v>1383</v>
      </c>
      <c r="J2343" s="19" t="s">
        <v>37</v>
      </c>
      <c r="K2343" s="19" t="s">
        <v>970</v>
      </c>
      <c r="L2343" s="19">
        <v>2024</v>
      </c>
      <c r="M2343" s="20">
        <v>1</v>
      </c>
      <c r="N2343" s="19" t="s">
        <v>1798</v>
      </c>
      <c r="O2343" s="20">
        <v>0</v>
      </c>
      <c r="P2343" s="20">
        <v>0</v>
      </c>
      <c r="Q2343" s="20">
        <v>0</v>
      </c>
      <c r="R2343" s="21">
        <v>0.91</v>
      </c>
      <c r="S2343" s="20">
        <v>0</v>
      </c>
    </row>
    <row r="2344" spans="2:19" ht="15" customHeight="1" x14ac:dyDescent="0.25">
      <c r="B2344" s="2" t="str">
        <f t="shared" si="72"/>
        <v>NSG_Business_Public Sector_Rebates_Steam Traps_Industrial/Process Audit - psig ≤ 15_CI/SMB</v>
      </c>
      <c r="C2344" s="2" t="str">
        <f t="shared" si="73"/>
        <v>NSG_Business_Public Sector_Rebates_Steam Traps_Industrial/Process Audit - psig ≤ 15_CI/SMB_2025</v>
      </c>
      <c r="D2344" s="19" t="s">
        <v>1787</v>
      </c>
      <c r="E2344" s="19" t="s">
        <v>3</v>
      </c>
      <c r="F2344" s="19" t="s">
        <v>1430</v>
      </c>
      <c r="G2344" s="19" t="s">
        <v>1429</v>
      </c>
      <c r="H2344" s="19" t="s">
        <v>644</v>
      </c>
      <c r="I2344" s="19" t="s">
        <v>1383</v>
      </c>
      <c r="J2344" s="19" t="s">
        <v>37</v>
      </c>
      <c r="K2344" s="19" t="s">
        <v>970</v>
      </c>
      <c r="L2344" s="19">
        <v>2025</v>
      </c>
      <c r="M2344" s="20">
        <v>1</v>
      </c>
      <c r="N2344" s="19" t="s">
        <v>1798</v>
      </c>
      <c r="O2344" s="20">
        <v>0</v>
      </c>
      <c r="P2344" s="20">
        <v>0</v>
      </c>
      <c r="Q2344" s="20">
        <v>0</v>
      </c>
      <c r="R2344" s="21">
        <v>0.91</v>
      </c>
      <c r="S2344" s="20">
        <v>0</v>
      </c>
    </row>
    <row r="2345" spans="2:19" ht="15" customHeight="1" x14ac:dyDescent="0.25">
      <c r="B2345" s="2" t="str">
        <f t="shared" si="72"/>
        <v>NSG_Business_Public Sector_Rebates_Steam Traps_Industrial/Process Audit - 15 &lt; psig &lt; 30_CI/SMB</v>
      </c>
      <c r="C2345" s="2" t="str">
        <f t="shared" si="73"/>
        <v>NSG_Business_Public Sector_Rebates_Steam Traps_Industrial/Process Audit - 15 &lt; psig &lt; 30_CI/SMB_2022</v>
      </c>
      <c r="D2345" s="19" t="s">
        <v>1787</v>
      </c>
      <c r="E2345" s="19" t="s">
        <v>3</v>
      </c>
      <c r="F2345" s="19" t="s">
        <v>1430</v>
      </c>
      <c r="G2345" s="19" t="s">
        <v>1429</v>
      </c>
      <c r="H2345" s="19" t="s">
        <v>644</v>
      </c>
      <c r="I2345" s="19" t="s">
        <v>1384</v>
      </c>
      <c r="J2345" s="19" t="s">
        <v>37</v>
      </c>
      <c r="K2345" s="19" t="s">
        <v>970</v>
      </c>
      <c r="L2345" s="19">
        <v>2022</v>
      </c>
      <c r="M2345" s="20">
        <v>1</v>
      </c>
      <c r="N2345" s="19" t="s">
        <v>1798</v>
      </c>
      <c r="O2345" s="20">
        <v>0</v>
      </c>
      <c r="P2345" s="20">
        <v>0</v>
      </c>
      <c r="Q2345" s="20">
        <v>0</v>
      </c>
      <c r="R2345" s="21">
        <v>0.91</v>
      </c>
      <c r="S2345" s="20">
        <v>0</v>
      </c>
    </row>
    <row r="2346" spans="2:19" ht="15" customHeight="1" x14ac:dyDescent="0.25">
      <c r="B2346" s="2" t="str">
        <f t="shared" si="72"/>
        <v>NSG_Business_Public Sector_Rebates_Steam Traps_Industrial/Process Audit - 15 &lt; psig &lt; 30_CI/SMB</v>
      </c>
      <c r="C2346" s="2" t="str">
        <f t="shared" si="73"/>
        <v>NSG_Business_Public Sector_Rebates_Steam Traps_Industrial/Process Audit - 15 &lt; psig &lt; 30_CI/SMB_2023</v>
      </c>
      <c r="D2346" s="19" t="s">
        <v>1787</v>
      </c>
      <c r="E2346" s="19" t="s">
        <v>3</v>
      </c>
      <c r="F2346" s="19" t="s">
        <v>1430</v>
      </c>
      <c r="G2346" s="19" t="s">
        <v>1429</v>
      </c>
      <c r="H2346" s="19" t="s">
        <v>644</v>
      </c>
      <c r="I2346" s="19" t="s">
        <v>1384</v>
      </c>
      <c r="J2346" s="19" t="s">
        <v>37</v>
      </c>
      <c r="K2346" s="19" t="s">
        <v>970</v>
      </c>
      <c r="L2346" s="19">
        <v>2023</v>
      </c>
      <c r="M2346" s="20">
        <v>1</v>
      </c>
      <c r="N2346" s="19" t="s">
        <v>1798</v>
      </c>
      <c r="O2346" s="20">
        <v>0</v>
      </c>
      <c r="P2346" s="20">
        <v>0</v>
      </c>
      <c r="Q2346" s="20">
        <v>0</v>
      </c>
      <c r="R2346" s="21">
        <v>0.91</v>
      </c>
      <c r="S2346" s="20">
        <v>0</v>
      </c>
    </row>
    <row r="2347" spans="2:19" ht="15" customHeight="1" x14ac:dyDescent="0.25">
      <c r="B2347" s="2" t="str">
        <f t="shared" si="72"/>
        <v>NSG_Business_Public Sector_Rebates_Steam Traps_Industrial/Process Audit - 15 &lt; psig &lt; 30_CI/SMB</v>
      </c>
      <c r="C2347" s="2" t="str">
        <f t="shared" si="73"/>
        <v>NSG_Business_Public Sector_Rebates_Steam Traps_Industrial/Process Audit - 15 &lt; psig &lt; 30_CI/SMB_2024</v>
      </c>
      <c r="D2347" s="19" t="s">
        <v>1787</v>
      </c>
      <c r="E2347" s="19" t="s">
        <v>3</v>
      </c>
      <c r="F2347" s="19" t="s">
        <v>1430</v>
      </c>
      <c r="G2347" s="19" t="s">
        <v>1429</v>
      </c>
      <c r="H2347" s="19" t="s">
        <v>644</v>
      </c>
      <c r="I2347" s="19" t="s">
        <v>1384</v>
      </c>
      <c r="J2347" s="19" t="s">
        <v>37</v>
      </c>
      <c r="K2347" s="19" t="s">
        <v>970</v>
      </c>
      <c r="L2347" s="19">
        <v>2024</v>
      </c>
      <c r="M2347" s="20">
        <v>1</v>
      </c>
      <c r="N2347" s="19" t="s">
        <v>1798</v>
      </c>
      <c r="O2347" s="20">
        <v>0</v>
      </c>
      <c r="P2347" s="20">
        <v>0</v>
      </c>
      <c r="Q2347" s="20">
        <v>0</v>
      </c>
      <c r="R2347" s="21">
        <v>0.91</v>
      </c>
      <c r="S2347" s="20">
        <v>0</v>
      </c>
    </row>
    <row r="2348" spans="2:19" ht="15" customHeight="1" x14ac:dyDescent="0.25">
      <c r="B2348" s="2" t="str">
        <f t="shared" si="72"/>
        <v>NSG_Business_Public Sector_Rebates_Steam Traps_Industrial/Process Audit - 15 &lt; psig &lt; 30_CI/SMB</v>
      </c>
      <c r="C2348" s="2" t="str">
        <f t="shared" si="73"/>
        <v>NSG_Business_Public Sector_Rebates_Steam Traps_Industrial/Process Audit - 15 &lt; psig &lt; 30_CI/SMB_2025</v>
      </c>
      <c r="D2348" s="19" t="s">
        <v>1787</v>
      </c>
      <c r="E2348" s="19" t="s">
        <v>3</v>
      </c>
      <c r="F2348" s="19" t="s">
        <v>1430</v>
      </c>
      <c r="G2348" s="19" t="s">
        <v>1429</v>
      </c>
      <c r="H2348" s="19" t="s">
        <v>644</v>
      </c>
      <c r="I2348" s="19" t="s">
        <v>1384</v>
      </c>
      <c r="J2348" s="19" t="s">
        <v>37</v>
      </c>
      <c r="K2348" s="19" t="s">
        <v>970</v>
      </c>
      <c r="L2348" s="19">
        <v>2025</v>
      </c>
      <c r="M2348" s="20">
        <v>1</v>
      </c>
      <c r="N2348" s="19" t="s">
        <v>1798</v>
      </c>
      <c r="O2348" s="20">
        <v>0</v>
      </c>
      <c r="P2348" s="20">
        <v>0</v>
      </c>
      <c r="Q2348" s="20">
        <v>0</v>
      </c>
      <c r="R2348" s="21">
        <v>0.91</v>
      </c>
      <c r="S2348" s="20">
        <v>0</v>
      </c>
    </row>
    <row r="2349" spans="2:19" ht="15" customHeight="1" x14ac:dyDescent="0.25">
      <c r="B2349" s="2" t="str">
        <f t="shared" si="72"/>
        <v>NSG_Business_Public Sector_Rebates_Steam Traps_Industrial/Process Audit - 30 ≤ psig &lt; 75_CI/SMB</v>
      </c>
      <c r="C2349" s="2" t="str">
        <f t="shared" si="73"/>
        <v>NSG_Business_Public Sector_Rebates_Steam Traps_Industrial/Process Audit - 30 ≤ psig &lt; 75_CI/SMB_2022</v>
      </c>
      <c r="D2349" s="19" t="s">
        <v>1787</v>
      </c>
      <c r="E2349" s="19" t="s">
        <v>3</v>
      </c>
      <c r="F2349" s="19" t="s">
        <v>1430</v>
      </c>
      <c r="G2349" s="19" t="s">
        <v>1429</v>
      </c>
      <c r="H2349" s="19" t="s">
        <v>644</v>
      </c>
      <c r="I2349" s="19" t="s">
        <v>1385</v>
      </c>
      <c r="J2349" s="19" t="s">
        <v>37</v>
      </c>
      <c r="K2349" s="19" t="s">
        <v>970</v>
      </c>
      <c r="L2349" s="19">
        <v>2022</v>
      </c>
      <c r="M2349" s="20">
        <v>1</v>
      </c>
      <c r="N2349" s="19" t="s">
        <v>1798</v>
      </c>
      <c r="O2349" s="20">
        <v>0</v>
      </c>
      <c r="P2349" s="20">
        <v>0</v>
      </c>
      <c r="Q2349" s="20">
        <v>0</v>
      </c>
      <c r="R2349" s="21">
        <v>0.91</v>
      </c>
      <c r="S2349" s="20">
        <v>0</v>
      </c>
    </row>
    <row r="2350" spans="2:19" ht="15" customHeight="1" x14ac:dyDescent="0.25">
      <c r="B2350" s="2" t="str">
        <f t="shared" si="72"/>
        <v>NSG_Business_Public Sector_Rebates_Steam Traps_Industrial/Process Audit - 30 ≤ psig &lt; 75_CI/SMB</v>
      </c>
      <c r="C2350" s="2" t="str">
        <f t="shared" si="73"/>
        <v>NSG_Business_Public Sector_Rebates_Steam Traps_Industrial/Process Audit - 30 ≤ psig &lt; 75_CI/SMB_2023</v>
      </c>
      <c r="D2350" s="19" t="s">
        <v>1787</v>
      </c>
      <c r="E2350" s="19" t="s">
        <v>3</v>
      </c>
      <c r="F2350" s="19" t="s">
        <v>1430</v>
      </c>
      <c r="G2350" s="19" t="s">
        <v>1429</v>
      </c>
      <c r="H2350" s="19" t="s">
        <v>644</v>
      </c>
      <c r="I2350" s="19" t="s">
        <v>1385</v>
      </c>
      <c r="J2350" s="19" t="s">
        <v>37</v>
      </c>
      <c r="K2350" s="19" t="s">
        <v>970</v>
      </c>
      <c r="L2350" s="19">
        <v>2023</v>
      </c>
      <c r="M2350" s="20">
        <v>1</v>
      </c>
      <c r="N2350" s="19" t="s">
        <v>1798</v>
      </c>
      <c r="O2350" s="20">
        <v>0</v>
      </c>
      <c r="P2350" s="20">
        <v>0</v>
      </c>
      <c r="Q2350" s="20">
        <v>0</v>
      </c>
      <c r="R2350" s="21">
        <v>0.91</v>
      </c>
      <c r="S2350" s="20">
        <v>0</v>
      </c>
    </row>
    <row r="2351" spans="2:19" ht="15" customHeight="1" x14ac:dyDescent="0.25">
      <c r="B2351" s="2" t="str">
        <f t="shared" si="72"/>
        <v>NSG_Business_Public Sector_Rebates_Steam Traps_Industrial/Process Audit - 30 ≤ psig &lt; 75_CI/SMB</v>
      </c>
      <c r="C2351" s="2" t="str">
        <f t="shared" si="73"/>
        <v>NSG_Business_Public Sector_Rebates_Steam Traps_Industrial/Process Audit - 30 ≤ psig &lt; 75_CI/SMB_2024</v>
      </c>
      <c r="D2351" s="19" t="s">
        <v>1787</v>
      </c>
      <c r="E2351" s="19" t="s">
        <v>3</v>
      </c>
      <c r="F2351" s="19" t="s">
        <v>1430</v>
      </c>
      <c r="G2351" s="19" t="s">
        <v>1429</v>
      </c>
      <c r="H2351" s="19" t="s">
        <v>644</v>
      </c>
      <c r="I2351" s="19" t="s">
        <v>1385</v>
      </c>
      <c r="J2351" s="19" t="s">
        <v>37</v>
      </c>
      <c r="K2351" s="19" t="s">
        <v>970</v>
      </c>
      <c r="L2351" s="19">
        <v>2024</v>
      </c>
      <c r="M2351" s="20">
        <v>1</v>
      </c>
      <c r="N2351" s="19" t="s">
        <v>1798</v>
      </c>
      <c r="O2351" s="20">
        <v>0</v>
      </c>
      <c r="P2351" s="20">
        <v>0</v>
      </c>
      <c r="Q2351" s="20">
        <v>0</v>
      </c>
      <c r="R2351" s="21">
        <v>0.91</v>
      </c>
      <c r="S2351" s="20">
        <v>0</v>
      </c>
    </row>
    <row r="2352" spans="2:19" ht="15" customHeight="1" x14ac:dyDescent="0.25">
      <c r="B2352" s="2" t="str">
        <f t="shared" si="72"/>
        <v>NSG_Business_Public Sector_Rebates_Steam Traps_Industrial/Process Audit - 30 ≤ psig &lt; 75_CI/SMB</v>
      </c>
      <c r="C2352" s="2" t="str">
        <f t="shared" si="73"/>
        <v>NSG_Business_Public Sector_Rebates_Steam Traps_Industrial/Process Audit - 30 ≤ psig &lt; 75_CI/SMB_2025</v>
      </c>
      <c r="D2352" s="19" t="s">
        <v>1787</v>
      </c>
      <c r="E2352" s="19" t="s">
        <v>3</v>
      </c>
      <c r="F2352" s="19" t="s">
        <v>1430</v>
      </c>
      <c r="G2352" s="19" t="s">
        <v>1429</v>
      </c>
      <c r="H2352" s="19" t="s">
        <v>644</v>
      </c>
      <c r="I2352" s="19" t="s">
        <v>1385</v>
      </c>
      <c r="J2352" s="19" t="s">
        <v>37</v>
      </c>
      <c r="K2352" s="19" t="s">
        <v>970</v>
      </c>
      <c r="L2352" s="19">
        <v>2025</v>
      </c>
      <c r="M2352" s="20">
        <v>1</v>
      </c>
      <c r="N2352" s="19" t="s">
        <v>1798</v>
      </c>
      <c r="O2352" s="20">
        <v>0</v>
      </c>
      <c r="P2352" s="20">
        <v>0</v>
      </c>
      <c r="Q2352" s="20">
        <v>0</v>
      </c>
      <c r="R2352" s="21">
        <v>0.91</v>
      </c>
      <c r="S2352" s="20">
        <v>0</v>
      </c>
    </row>
    <row r="2353" spans="2:19" ht="15" customHeight="1" x14ac:dyDescent="0.25">
      <c r="B2353" s="2" t="str">
        <f t="shared" si="72"/>
        <v>NSG_Business_Public Sector_Rebates_Steam Traps_Industrial/Process Audit - 75 ≤ psig &lt; 125_CI/SMB</v>
      </c>
      <c r="C2353" s="2" t="str">
        <f t="shared" si="73"/>
        <v>NSG_Business_Public Sector_Rebates_Steam Traps_Industrial/Process Audit - 75 ≤ psig &lt; 125_CI/SMB_2022</v>
      </c>
      <c r="D2353" s="19" t="s">
        <v>1787</v>
      </c>
      <c r="E2353" s="19" t="s">
        <v>3</v>
      </c>
      <c r="F2353" s="19" t="s">
        <v>1430</v>
      </c>
      <c r="G2353" s="19" t="s">
        <v>1429</v>
      </c>
      <c r="H2353" s="19" t="s">
        <v>644</v>
      </c>
      <c r="I2353" s="19" t="s">
        <v>1386</v>
      </c>
      <c r="J2353" s="19" t="s">
        <v>37</v>
      </c>
      <c r="K2353" s="19" t="s">
        <v>970</v>
      </c>
      <c r="L2353" s="19">
        <v>2022</v>
      </c>
      <c r="M2353" s="20">
        <v>1</v>
      </c>
      <c r="N2353" s="19" t="s">
        <v>1798</v>
      </c>
      <c r="O2353" s="20">
        <v>0</v>
      </c>
      <c r="P2353" s="20">
        <v>0</v>
      </c>
      <c r="Q2353" s="20">
        <v>0</v>
      </c>
      <c r="R2353" s="21">
        <v>0.91</v>
      </c>
      <c r="S2353" s="20">
        <v>0</v>
      </c>
    </row>
    <row r="2354" spans="2:19" ht="15" customHeight="1" x14ac:dyDescent="0.25">
      <c r="B2354" s="2" t="str">
        <f t="shared" si="72"/>
        <v>NSG_Business_Public Sector_Rebates_Steam Traps_Industrial/Process Audit - 75 ≤ psig &lt; 125_CI/SMB</v>
      </c>
      <c r="C2354" s="2" t="str">
        <f t="shared" si="73"/>
        <v>NSG_Business_Public Sector_Rebates_Steam Traps_Industrial/Process Audit - 75 ≤ psig &lt; 125_CI/SMB_2023</v>
      </c>
      <c r="D2354" s="19" t="s">
        <v>1787</v>
      </c>
      <c r="E2354" s="19" t="s">
        <v>3</v>
      </c>
      <c r="F2354" s="19" t="s">
        <v>1430</v>
      </c>
      <c r="G2354" s="19" t="s">
        <v>1429</v>
      </c>
      <c r="H2354" s="19" t="s">
        <v>644</v>
      </c>
      <c r="I2354" s="19" t="s">
        <v>1386</v>
      </c>
      <c r="J2354" s="19" t="s">
        <v>37</v>
      </c>
      <c r="K2354" s="19" t="s">
        <v>970</v>
      </c>
      <c r="L2354" s="19">
        <v>2023</v>
      </c>
      <c r="M2354" s="20">
        <v>1</v>
      </c>
      <c r="N2354" s="19" t="s">
        <v>1798</v>
      </c>
      <c r="O2354" s="20">
        <v>0</v>
      </c>
      <c r="P2354" s="20">
        <v>0</v>
      </c>
      <c r="Q2354" s="20">
        <v>0</v>
      </c>
      <c r="R2354" s="21">
        <v>0.91</v>
      </c>
      <c r="S2354" s="20">
        <v>0</v>
      </c>
    </row>
    <row r="2355" spans="2:19" ht="15" customHeight="1" x14ac:dyDescent="0.25">
      <c r="B2355" s="2" t="str">
        <f t="shared" si="72"/>
        <v>NSG_Business_Public Sector_Rebates_Steam Traps_Industrial/Process Audit - 75 ≤ psig &lt; 125_CI/SMB</v>
      </c>
      <c r="C2355" s="2" t="str">
        <f t="shared" si="73"/>
        <v>NSG_Business_Public Sector_Rebates_Steam Traps_Industrial/Process Audit - 75 ≤ psig &lt; 125_CI/SMB_2024</v>
      </c>
      <c r="D2355" s="19" t="s">
        <v>1787</v>
      </c>
      <c r="E2355" s="19" t="s">
        <v>3</v>
      </c>
      <c r="F2355" s="19" t="s">
        <v>1430</v>
      </c>
      <c r="G2355" s="19" t="s">
        <v>1429</v>
      </c>
      <c r="H2355" s="19" t="s">
        <v>644</v>
      </c>
      <c r="I2355" s="19" t="s">
        <v>1386</v>
      </c>
      <c r="J2355" s="19" t="s">
        <v>37</v>
      </c>
      <c r="K2355" s="19" t="s">
        <v>970</v>
      </c>
      <c r="L2355" s="19">
        <v>2024</v>
      </c>
      <c r="M2355" s="20">
        <v>1</v>
      </c>
      <c r="N2355" s="19" t="s">
        <v>1798</v>
      </c>
      <c r="O2355" s="20">
        <v>0</v>
      </c>
      <c r="P2355" s="20">
        <v>0</v>
      </c>
      <c r="Q2355" s="20">
        <v>0</v>
      </c>
      <c r="R2355" s="21">
        <v>0.91</v>
      </c>
      <c r="S2355" s="20">
        <v>0</v>
      </c>
    </row>
    <row r="2356" spans="2:19" ht="15" customHeight="1" x14ac:dyDescent="0.25">
      <c r="B2356" s="2" t="str">
        <f t="shared" si="72"/>
        <v>NSG_Business_Public Sector_Rebates_Steam Traps_Industrial/Process Audit - 75 ≤ psig &lt; 125_CI/SMB</v>
      </c>
      <c r="C2356" s="2" t="str">
        <f t="shared" si="73"/>
        <v>NSG_Business_Public Sector_Rebates_Steam Traps_Industrial/Process Audit - 75 ≤ psig &lt; 125_CI/SMB_2025</v>
      </c>
      <c r="D2356" s="19" t="s">
        <v>1787</v>
      </c>
      <c r="E2356" s="19" t="s">
        <v>3</v>
      </c>
      <c r="F2356" s="19" t="s">
        <v>1430</v>
      </c>
      <c r="G2356" s="19" t="s">
        <v>1429</v>
      </c>
      <c r="H2356" s="19" t="s">
        <v>644</v>
      </c>
      <c r="I2356" s="19" t="s">
        <v>1386</v>
      </c>
      <c r="J2356" s="19" t="s">
        <v>37</v>
      </c>
      <c r="K2356" s="19" t="s">
        <v>970</v>
      </c>
      <c r="L2356" s="19">
        <v>2025</v>
      </c>
      <c r="M2356" s="20">
        <v>1</v>
      </c>
      <c r="N2356" s="19" t="s">
        <v>1798</v>
      </c>
      <c r="O2356" s="20">
        <v>0</v>
      </c>
      <c r="P2356" s="20">
        <v>0</v>
      </c>
      <c r="Q2356" s="20">
        <v>0</v>
      </c>
      <c r="R2356" s="21">
        <v>0.91</v>
      </c>
      <c r="S2356" s="20">
        <v>0</v>
      </c>
    </row>
    <row r="2357" spans="2:19" ht="15" customHeight="1" x14ac:dyDescent="0.25">
      <c r="B2357" s="2" t="str">
        <f t="shared" si="72"/>
        <v>NSG_Business_Public Sector_Rebates_Steam Traps_Industrial/Process Audit - 125 ≤ psig &lt; 175_CI/SMB</v>
      </c>
      <c r="C2357" s="2" t="str">
        <f t="shared" si="73"/>
        <v>NSG_Business_Public Sector_Rebates_Steam Traps_Industrial/Process Audit - 125 ≤ psig &lt; 175_CI/SMB_2022</v>
      </c>
      <c r="D2357" s="19" t="s">
        <v>1787</v>
      </c>
      <c r="E2357" s="19" t="s">
        <v>3</v>
      </c>
      <c r="F2357" s="19" t="s">
        <v>1430</v>
      </c>
      <c r="G2357" s="19" t="s">
        <v>1429</v>
      </c>
      <c r="H2357" s="19" t="s">
        <v>644</v>
      </c>
      <c r="I2357" s="19" t="s">
        <v>1374</v>
      </c>
      <c r="J2357" s="19" t="s">
        <v>37</v>
      </c>
      <c r="K2357" s="19" t="s">
        <v>970</v>
      </c>
      <c r="L2357" s="19">
        <v>2022</v>
      </c>
      <c r="M2357" s="20">
        <v>1</v>
      </c>
      <c r="N2357" s="19" t="s">
        <v>1798</v>
      </c>
      <c r="O2357" s="20">
        <v>0</v>
      </c>
      <c r="P2357" s="20">
        <v>0</v>
      </c>
      <c r="Q2357" s="20">
        <v>0</v>
      </c>
      <c r="R2357" s="21">
        <v>0.91</v>
      </c>
      <c r="S2357" s="20">
        <v>0</v>
      </c>
    </row>
    <row r="2358" spans="2:19" ht="15" customHeight="1" x14ac:dyDescent="0.25">
      <c r="B2358" s="2" t="str">
        <f t="shared" si="72"/>
        <v>NSG_Business_Public Sector_Rebates_Steam Traps_Industrial/Process Audit - 125 ≤ psig &lt; 175_CI/SMB</v>
      </c>
      <c r="C2358" s="2" t="str">
        <f t="shared" si="73"/>
        <v>NSG_Business_Public Sector_Rebates_Steam Traps_Industrial/Process Audit - 125 ≤ psig &lt; 175_CI/SMB_2023</v>
      </c>
      <c r="D2358" s="19" t="s">
        <v>1787</v>
      </c>
      <c r="E2358" s="19" t="s">
        <v>3</v>
      </c>
      <c r="F2358" s="19" t="s">
        <v>1430</v>
      </c>
      <c r="G2358" s="19" t="s">
        <v>1429</v>
      </c>
      <c r="H2358" s="19" t="s">
        <v>644</v>
      </c>
      <c r="I2358" s="19" t="s">
        <v>1374</v>
      </c>
      <c r="J2358" s="19" t="s">
        <v>37</v>
      </c>
      <c r="K2358" s="19" t="s">
        <v>970</v>
      </c>
      <c r="L2358" s="19">
        <v>2023</v>
      </c>
      <c r="M2358" s="20">
        <v>1</v>
      </c>
      <c r="N2358" s="19" t="s">
        <v>1798</v>
      </c>
      <c r="O2358" s="20">
        <v>0</v>
      </c>
      <c r="P2358" s="20">
        <v>0</v>
      </c>
      <c r="Q2358" s="20">
        <v>0</v>
      </c>
      <c r="R2358" s="21">
        <v>0.91</v>
      </c>
      <c r="S2358" s="20">
        <v>0</v>
      </c>
    </row>
    <row r="2359" spans="2:19" ht="15" customHeight="1" x14ac:dyDescent="0.25">
      <c r="B2359" s="2" t="str">
        <f t="shared" si="72"/>
        <v>NSG_Business_Public Sector_Rebates_Steam Traps_Industrial/Process Audit - 125 ≤ psig &lt; 175_CI/SMB</v>
      </c>
      <c r="C2359" s="2" t="str">
        <f t="shared" si="73"/>
        <v>NSG_Business_Public Sector_Rebates_Steam Traps_Industrial/Process Audit - 125 ≤ psig &lt; 175_CI/SMB_2024</v>
      </c>
      <c r="D2359" s="19" t="s">
        <v>1787</v>
      </c>
      <c r="E2359" s="19" t="s">
        <v>3</v>
      </c>
      <c r="F2359" s="19" t="s">
        <v>1430</v>
      </c>
      <c r="G2359" s="19" t="s">
        <v>1429</v>
      </c>
      <c r="H2359" s="19" t="s">
        <v>644</v>
      </c>
      <c r="I2359" s="19" t="s">
        <v>1374</v>
      </c>
      <c r="J2359" s="19" t="s">
        <v>37</v>
      </c>
      <c r="K2359" s="19" t="s">
        <v>970</v>
      </c>
      <c r="L2359" s="19">
        <v>2024</v>
      </c>
      <c r="M2359" s="20">
        <v>1</v>
      </c>
      <c r="N2359" s="19" t="s">
        <v>1798</v>
      </c>
      <c r="O2359" s="20">
        <v>0</v>
      </c>
      <c r="P2359" s="20">
        <v>0</v>
      </c>
      <c r="Q2359" s="20">
        <v>0</v>
      </c>
      <c r="R2359" s="21">
        <v>0.91</v>
      </c>
      <c r="S2359" s="20">
        <v>0</v>
      </c>
    </row>
    <row r="2360" spans="2:19" ht="15" customHeight="1" x14ac:dyDescent="0.25">
      <c r="B2360" s="2" t="str">
        <f t="shared" si="72"/>
        <v>NSG_Business_Public Sector_Rebates_Steam Traps_Industrial/Process Audit - 125 ≤ psig &lt; 175_CI/SMB</v>
      </c>
      <c r="C2360" s="2" t="str">
        <f t="shared" si="73"/>
        <v>NSG_Business_Public Sector_Rebates_Steam Traps_Industrial/Process Audit - 125 ≤ psig &lt; 175_CI/SMB_2025</v>
      </c>
      <c r="D2360" s="19" t="s">
        <v>1787</v>
      </c>
      <c r="E2360" s="19" t="s">
        <v>3</v>
      </c>
      <c r="F2360" s="19" t="s">
        <v>1430</v>
      </c>
      <c r="G2360" s="19" t="s">
        <v>1429</v>
      </c>
      <c r="H2360" s="19" t="s">
        <v>644</v>
      </c>
      <c r="I2360" s="19" t="s">
        <v>1374</v>
      </c>
      <c r="J2360" s="19" t="s">
        <v>37</v>
      </c>
      <c r="K2360" s="19" t="s">
        <v>970</v>
      </c>
      <c r="L2360" s="19">
        <v>2025</v>
      </c>
      <c r="M2360" s="20">
        <v>1</v>
      </c>
      <c r="N2360" s="19" t="s">
        <v>1798</v>
      </c>
      <c r="O2360" s="20">
        <v>0</v>
      </c>
      <c r="P2360" s="20">
        <v>0</v>
      </c>
      <c r="Q2360" s="20">
        <v>0</v>
      </c>
      <c r="R2360" s="21">
        <v>0.91</v>
      </c>
      <c r="S2360" s="20">
        <v>0</v>
      </c>
    </row>
    <row r="2361" spans="2:19" ht="15" customHeight="1" x14ac:dyDescent="0.25">
      <c r="B2361" s="2" t="str">
        <f t="shared" si="72"/>
        <v>NSG_Business_Public Sector_Rebates_Steam Traps_Industrial/Process Audit - 175 ≤ psig &lt; 250_CI/SMB</v>
      </c>
      <c r="C2361" s="2" t="str">
        <f t="shared" si="73"/>
        <v>NSG_Business_Public Sector_Rebates_Steam Traps_Industrial/Process Audit - 175 ≤ psig &lt; 250_CI/SMB_2022</v>
      </c>
      <c r="D2361" s="19" t="s">
        <v>1787</v>
      </c>
      <c r="E2361" s="19" t="s">
        <v>3</v>
      </c>
      <c r="F2361" s="19" t="s">
        <v>1430</v>
      </c>
      <c r="G2361" s="19" t="s">
        <v>1429</v>
      </c>
      <c r="H2361" s="19" t="s">
        <v>644</v>
      </c>
      <c r="I2361" s="19" t="s">
        <v>1375</v>
      </c>
      <c r="J2361" s="19" t="s">
        <v>37</v>
      </c>
      <c r="K2361" s="19" t="s">
        <v>970</v>
      </c>
      <c r="L2361" s="19">
        <v>2022</v>
      </c>
      <c r="M2361" s="20">
        <v>1</v>
      </c>
      <c r="N2361" s="19" t="s">
        <v>1798</v>
      </c>
      <c r="O2361" s="20">
        <v>0</v>
      </c>
      <c r="P2361" s="20">
        <v>0</v>
      </c>
      <c r="Q2361" s="20">
        <v>0</v>
      </c>
      <c r="R2361" s="21">
        <v>0.91</v>
      </c>
      <c r="S2361" s="20">
        <v>0</v>
      </c>
    </row>
    <row r="2362" spans="2:19" ht="15" customHeight="1" x14ac:dyDescent="0.25">
      <c r="B2362" s="2" t="str">
        <f t="shared" si="72"/>
        <v>NSG_Business_Public Sector_Rebates_Steam Traps_Industrial/Process Audit - 175 ≤ psig &lt; 250_CI/SMB</v>
      </c>
      <c r="C2362" s="2" t="str">
        <f t="shared" si="73"/>
        <v>NSG_Business_Public Sector_Rebates_Steam Traps_Industrial/Process Audit - 175 ≤ psig &lt; 250_CI/SMB_2023</v>
      </c>
      <c r="D2362" s="19" t="s">
        <v>1787</v>
      </c>
      <c r="E2362" s="19" t="s">
        <v>3</v>
      </c>
      <c r="F2362" s="19" t="s">
        <v>1430</v>
      </c>
      <c r="G2362" s="19" t="s">
        <v>1429</v>
      </c>
      <c r="H2362" s="19" t="s">
        <v>644</v>
      </c>
      <c r="I2362" s="19" t="s">
        <v>1375</v>
      </c>
      <c r="J2362" s="19" t="s">
        <v>37</v>
      </c>
      <c r="K2362" s="19" t="s">
        <v>970</v>
      </c>
      <c r="L2362" s="19">
        <v>2023</v>
      </c>
      <c r="M2362" s="20">
        <v>1</v>
      </c>
      <c r="N2362" s="19" t="s">
        <v>1798</v>
      </c>
      <c r="O2362" s="20">
        <v>0</v>
      </c>
      <c r="P2362" s="20">
        <v>0</v>
      </c>
      <c r="Q2362" s="20">
        <v>0</v>
      </c>
      <c r="R2362" s="21">
        <v>0.91</v>
      </c>
      <c r="S2362" s="20">
        <v>0</v>
      </c>
    </row>
    <row r="2363" spans="2:19" ht="15" customHeight="1" x14ac:dyDescent="0.25">
      <c r="B2363" s="2" t="str">
        <f t="shared" si="72"/>
        <v>NSG_Business_Public Sector_Rebates_Steam Traps_Industrial/Process Audit - 175 ≤ psig &lt; 250_CI/SMB</v>
      </c>
      <c r="C2363" s="2" t="str">
        <f t="shared" si="73"/>
        <v>NSG_Business_Public Sector_Rebates_Steam Traps_Industrial/Process Audit - 175 ≤ psig &lt; 250_CI/SMB_2024</v>
      </c>
      <c r="D2363" s="19" t="s">
        <v>1787</v>
      </c>
      <c r="E2363" s="19" t="s">
        <v>3</v>
      </c>
      <c r="F2363" s="19" t="s">
        <v>1430</v>
      </c>
      <c r="G2363" s="19" t="s">
        <v>1429</v>
      </c>
      <c r="H2363" s="19" t="s">
        <v>644</v>
      </c>
      <c r="I2363" s="19" t="s">
        <v>1375</v>
      </c>
      <c r="J2363" s="19" t="s">
        <v>37</v>
      </c>
      <c r="K2363" s="19" t="s">
        <v>970</v>
      </c>
      <c r="L2363" s="19">
        <v>2024</v>
      </c>
      <c r="M2363" s="20">
        <v>1</v>
      </c>
      <c r="N2363" s="19" t="s">
        <v>1798</v>
      </c>
      <c r="O2363" s="20">
        <v>0</v>
      </c>
      <c r="P2363" s="20">
        <v>0</v>
      </c>
      <c r="Q2363" s="20">
        <v>0</v>
      </c>
      <c r="R2363" s="21">
        <v>0.91</v>
      </c>
      <c r="S2363" s="20">
        <v>0</v>
      </c>
    </row>
    <row r="2364" spans="2:19" ht="15" customHeight="1" x14ac:dyDescent="0.25">
      <c r="B2364" s="2" t="str">
        <f t="shared" si="72"/>
        <v>NSG_Business_Public Sector_Rebates_Steam Traps_Industrial/Process Audit - 175 ≤ psig &lt; 250_CI/SMB</v>
      </c>
      <c r="C2364" s="2" t="str">
        <f t="shared" si="73"/>
        <v>NSG_Business_Public Sector_Rebates_Steam Traps_Industrial/Process Audit - 175 ≤ psig &lt; 250_CI/SMB_2025</v>
      </c>
      <c r="D2364" s="19" t="s">
        <v>1787</v>
      </c>
      <c r="E2364" s="19" t="s">
        <v>3</v>
      </c>
      <c r="F2364" s="19" t="s">
        <v>1430</v>
      </c>
      <c r="G2364" s="19" t="s">
        <v>1429</v>
      </c>
      <c r="H2364" s="19" t="s">
        <v>644</v>
      </c>
      <c r="I2364" s="19" t="s">
        <v>1375</v>
      </c>
      <c r="J2364" s="19" t="s">
        <v>37</v>
      </c>
      <c r="K2364" s="19" t="s">
        <v>970</v>
      </c>
      <c r="L2364" s="19">
        <v>2025</v>
      </c>
      <c r="M2364" s="20">
        <v>1</v>
      </c>
      <c r="N2364" s="19" t="s">
        <v>1798</v>
      </c>
      <c r="O2364" s="20">
        <v>0</v>
      </c>
      <c r="P2364" s="20">
        <v>0</v>
      </c>
      <c r="Q2364" s="20">
        <v>0</v>
      </c>
      <c r="R2364" s="21">
        <v>0.91</v>
      </c>
      <c r="S2364" s="20">
        <v>0</v>
      </c>
    </row>
    <row r="2365" spans="2:19" ht="15" customHeight="1" x14ac:dyDescent="0.25">
      <c r="B2365" s="2" t="str">
        <f t="shared" si="72"/>
        <v>NSG_Business_Public Sector_Rebates_Steam Traps_Industrial/Process Audit - 250 ≤ psig_CI/SMB</v>
      </c>
      <c r="C2365" s="2" t="str">
        <f t="shared" si="73"/>
        <v>NSG_Business_Public Sector_Rebates_Steam Traps_Industrial/Process Audit - 250 ≤ psig_CI/SMB_2022</v>
      </c>
      <c r="D2365" s="19" t="s">
        <v>1787</v>
      </c>
      <c r="E2365" s="19" t="s">
        <v>3</v>
      </c>
      <c r="F2365" s="19" t="s">
        <v>1430</v>
      </c>
      <c r="G2365" s="19" t="s">
        <v>1429</v>
      </c>
      <c r="H2365" s="19" t="s">
        <v>644</v>
      </c>
      <c r="I2365" s="19" t="s">
        <v>1376</v>
      </c>
      <c r="J2365" s="19" t="s">
        <v>37</v>
      </c>
      <c r="K2365" s="19" t="s">
        <v>970</v>
      </c>
      <c r="L2365" s="19">
        <v>2022</v>
      </c>
      <c r="M2365" s="20">
        <v>1</v>
      </c>
      <c r="N2365" s="19" t="s">
        <v>1798</v>
      </c>
      <c r="O2365" s="20">
        <v>0</v>
      </c>
      <c r="P2365" s="20">
        <v>0</v>
      </c>
      <c r="Q2365" s="20">
        <v>0</v>
      </c>
      <c r="R2365" s="21">
        <v>0.91</v>
      </c>
      <c r="S2365" s="20">
        <v>0</v>
      </c>
    </row>
    <row r="2366" spans="2:19" ht="15" customHeight="1" x14ac:dyDescent="0.25">
      <c r="B2366" s="2" t="str">
        <f t="shared" si="72"/>
        <v>NSG_Business_Public Sector_Rebates_Steam Traps_Industrial/Process Audit - 250 ≤ psig_CI/SMB</v>
      </c>
      <c r="C2366" s="2" t="str">
        <f t="shared" si="73"/>
        <v>NSG_Business_Public Sector_Rebates_Steam Traps_Industrial/Process Audit - 250 ≤ psig_CI/SMB_2023</v>
      </c>
      <c r="D2366" s="19" t="s">
        <v>1787</v>
      </c>
      <c r="E2366" s="19" t="s">
        <v>3</v>
      </c>
      <c r="F2366" s="19" t="s">
        <v>1430</v>
      </c>
      <c r="G2366" s="19" t="s">
        <v>1429</v>
      </c>
      <c r="H2366" s="19" t="s">
        <v>644</v>
      </c>
      <c r="I2366" s="19" t="s">
        <v>1376</v>
      </c>
      <c r="J2366" s="19" t="s">
        <v>37</v>
      </c>
      <c r="K2366" s="19" t="s">
        <v>970</v>
      </c>
      <c r="L2366" s="19">
        <v>2023</v>
      </c>
      <c r="M2366" s="20">
        <v>1</v>
      </c>
      <c r="N2366" s="19" t="s">
        <v>1798</v>
      </c>
      <c r="O2366" s="20">
        <v>0</v>
      </c>
      <c r="P2366" s="20">
        <v>0</v>
      </c>
      <c r="Q2366" s="20">
        <v>0</v>
      </c>
      <c r="R2366" s="21">
        <v>0.91</v>
      </c>
      <c r="S2366" s="20">
        <v>0</v>
      </c>
    </row>
    <row r="2367" spans="2:19" ht="15" customHeight="1" x14ac:dyDescent="0.25">
      <c r="B2367" s="2" t="str">
        <f t="shared" si="72"/>
        <v>NSG_Business_Public Sector_Rebates_Steam Traps_Industrial/Process Audit - 250 ≤ psig_CI/SMB</v>
      </c>
      <c r="C2367" s="2" t="str">
        <f t="shared" si="73"/>
        <v>NSG_Business_Public Sector_Rebates_Steam Traps_Industrial/Process Audit - 250 ≤ psig_CI/SMB_2024</v>
      </c>
      <c r="D2367" s="19" t="s">
        <v>1787</v>
      </c>
      <c r="E2367" s="19" t="s">
        <v>3</v>
      </c>
      <c r="F2367" s="19" t="s">
        <v>1430</v>
      </c>
      <c r="G2367" s="19" t="s">
        <v>1429</v>
      </c>
      <c r="H2367" s="19" t="s">
        <v>644</v>
      </c>
      <c r="I2367" s="19" t="s">
        <v>1376</v>
      </c>
      <c r="J2367" s="19" t="s">
        <v>37</v>
      </c>
      <c r="K2367" s="19" t="s">
        <v>970</v>
      </c>
      <c r="L2367" s="19">
        <v>2024</v>
      </c>
      <c r="M2367" s="20">
        <v>1</v>
      </c>
      <c r="N2367" s="19" t="s">
        <v>1798</v>
      </c>
      <c r="O2367" s="20">
        <v>0</v>
      </c>
      <c r="P2367" s="20">
        <v>0</v>
      </c>
      <c r="Q2367" s="20">
        <v>0</v>
      </c>
      <c r="R2367" s="21">
        <v>0.91</v>
      </c>
      <c r="S2367" s="20">
        <v>0</v>
      </c>
    </row>
    <row r="2368" spans="2:19" ht="15" customHeight="1" x14ac:dyDescent="0.25">
      <c r="B2368" s="2" t="str">
        <f t="shared" si="72"/>
        <v>NSG_Business_Public Sector_Rebates_Steam Traps_Industrial/Process Audit - 250 ≤ psig_CI/SMB</v>
      </c>
      <c r="C2368" s="2" t="str">
        <f t="shared" si="73"/>
        <v>NSG_Business_Public Sector_Rebates_Steam Traps_Industrial/Process Audit - 250 ≤ psig_CI/SMB_2025</v>
      </c>
      <c r="D2368" s="19" t="s">
        <v>1787</v>
      </c>
      <c r="E2368" s="19" t="s">
        <v>3</v>
      </c>
      <c r="F2368" s="19" t="s">
        <v>1430</v>
      </c>
      <c r="G2368" s="19" t="s">
        <v>1429</v>
      </c>
      <c r="H2368" s="19" t="s">
        <v>644</v>
      </c>
      <c r="I2368" s="19" t="s">
        <v>1376</v>
      </c>
      <c r="J2368" s="19" t="s">
        <v>37</v>
      </c>
      <c r="K2368" s="19" t="s">
        <v>970</v>
      </c>
      <c r="L2368" s="19">
        <v>2025</v>
      </c>
      <c r="M2368" s="20">
        <v>1</v>
      </c>
      <c r="N2368" s="19" t="s">
        <v>1798</v>
      </c>
      <c r="O2368" s="20">
        <v>0</v>
      </c>
      <c r="P2368" s="20">
        <v>0</v>
      </c>
      <c r="Q2368" s="20">
        <v>0</v>
      </c>
      <c r="R2368" s="21">
        <v>0.91</v>
      </c>
      <c r="S2368" s="20">
        <v>0</v>
      </c>
    </row>
    <row r="2369" spans="2:19" ht="15" customHeight="1" x14ac:dyDescent="0.25">
      <c r="B2369" s="2" t="str">
        <f t="shared" si="72"/>
        <v>NSG_Business_Public Sector_Rebates_Steam Traps_Test_CI</v>
      </c>
      <c r="C2369" s="2" t="str">
        <f t="shared" si="73"/>
        <v>NSG_Business_Public Sector_Rebates_Steam Traps_Test_CI_2022</v>
      </c>
      <c r="D2369" s="19" t="s">
        <v>1787</v>
      </c>
      <c r="E2369" s="19" t="s">
        <v>3</v>
      </c>
      <c r="F2369" s="19" t="s">
        <v>1430</v>
      </c>
      <c r="G2369" s="19" t="s">
        <v>1429</v>
      </c>
      <c r="H2369" s="19" t="s">
        <v>644</v>
      </c>
      <c r="I2369" s="19" t="s">
        <v>1097</v>
      </c>
      <c r="J2369" s="19">
        <v>0</v>
      </c>
      <c r="K2369" s="19" t="s">
        <v>1159</v>
      </c>
      <c r="L2369" s="19">
        <v>2022</v>
      </c>
      <c r="M2369" s="20">
        <v>1</v>
      </c>
      <c r="N2369" s="19" t="s">
        <v>1798</v>
      </c>
      <c r="O2369" s="20">
        <v>0</v>
      </c>
      <c r="P2369" s="20">
        <v>0</v>
      </c>
      <c r="Q2369" s="20">
        <v>0</v>
      </c>
      <c r="R2369" s="21">
        <v>0.91</v>
      </c>
      <c r="S2369" s="20">
        <v>0</v>
      </c>
    </row>
    <row r="2370" spans="2:19" ht="15" customHeight="1" x14ac:dyDescent="0.25">
      <c r="B2370" s="2" t="str">
        <f t="shared" si="72"/>
        <v>NSG_Business_Public Sector_Rebates_Steam Traps_Test_CI</v>
      </c>
      <c r="C2370" s="2" t="str">
        <f t="shared" si="73"/>
        <v>NSG_Business_Public Sector_Rebates_Steam Traps_Test_CI_2023</v>
      </c>
      <c r="D2370" s="19" t="s">
        <v>1787</v>
      </c>
      <c r="E2370" s="19" t="s">
        <v>3</v>
      </c>
      <c r="F2370" s="19" t="s">
        <v>1430</v>
      </c>
      <c r="G2370" s="19" t="s">
        <v>1429</v>
      </c>
      <c r="H2370" s="19" t="s">
        <v>644</v>
      </c>
      <c r="I2370" s="19" t="s">
        <v>1097</v>
      </c>
      <c r="J2370" s="19">
        <v>0</v>
      </c>
      <c r="K2370" s="19" t="s">
        <v>1159</v>
      </c>
      <c r="L2370" s="19">
        <v>2023</v>
      </c>
      <c r="M2370" s="20">
        <v>1</v>
      </c>
      <c r="N2370" s="19" t="s">
        <v>1798</v>
      </c>
      <c r="O2370" s="20">
        <v>0</v>
      </c>
      <c r="P2370" s="20">
        <v>0</v>
      </c>
      <c r="Q2370" s="20">
        <v>0</v>
      </c>
      <c r="R2370" s="21">
        <v>0.91</v>
      </c>
      <c r="S2370" s="20">
        <v>0</v>
      </c>
    </row>
    <row r="2371" spans="2:19" ht="15" customHeight="1" x14ac:dyDescent="0.25">
      <c r="B2371" s="2" t="str">
        <f t="shared" si="72"/>
        <v>NSG_Business_Public Sector_Rebates_Steam Traps_Test_CI</v>
      </c>
      <c r="C2371" s="2" t="str">
        <f t="shared" si="73"/>
        <v>NSG_Business_Public Sector_Rebates_Steam Traps_Test_CI_2024</v>
      </c>
      <c r="D2371" s="19" t="s">
        <v>1787</v>
      </c>
      <c r="E2371" s="19" t="s">
        <v>3</v>
      </c>
      <c r="F2371" s="19" t="s">
        <v>1430</v>
      </c>
      <c r="G2371" s="19" t="s">
        <v>1429</v>
      </c>
      <c r="H2371" s="19" t="s">
        <v>644</v>
      </c>
      <c r="I2371" s="19" t="s">
        <v>1097</v>
      </c>
      <c r="J2371" s="19">
        <v>0</v>
      </c>
      <c r="K2371" s="19" t="s">
        <v>1159</v>
      </c>
      <c r="L2371" s="19">
        <v>2024</v>
      </c>
      <c r="M2371" s="20">
        <v>1</v>
      </c>
      <c r="N2371" s="19" t="s">
        <v>1798</v>
      </c>
      <c r="O2371" s="20">
        <v>0</v>
      </c>
      <c r="P2371" s="20">
        <v>0</v>
      </c>
      <c r="Q2371" s="20">
        <v>0</v>
      </c>
      <c r="R2371" s="21">
        <v>0.91</v>
      </c>
      <c r="S2371" s="20">
        <v>0</v>
      </c>
    </row>
    <row r="2372" spans="2:19" ht="15" customHeight="1" x14ac:dyDescent="0.25">
      <c r="B2372" s="2" t="str">
        <f t="shared" si="72"/>
        <v>NSG_Business_Public Sector_Rebates_Steam Traps_Test_CI</v>
      </c>
      <c r="C2372" s="2" t="str">
        <f t="shared" si="73"/>
        <v>NSG_Business_Public Sector_Rebates_Steam Traps_Test_CI_2025</v>
      </c>
      <c r="D2372" s="19" t="s">
        <v>1787</v>
      </c>
      <c r="E2372" s="19" t="s">
        <v>3</v>
      </c>
      <c r="F2372" s="19" t="s">
        <v>1430</v>
      </c>
      <c r="G2372" s="19" t="s">
        <v>1429</v>
      </c>
      <c r="H2372" s="19" t="s">
        <v>644</v>
      </c>
      <c r="I2372" s="19" t="s">
        <v>1097</v>
      </c>
      <c r="J2372" s="19">
        <v>0</v>
      </c>
      <c r="K2372" s="19" t="s">
        <v>1159</v>
      </c>
      <c r="L2372" s="19">
        <v>2025</v>
      </c>
      <c r="M2372" s="20">
        <v>1</v>
      </c>
      <c r="N2372" s="19" t="s">
        <v>1798</v>
      </c>
      <c r="O2372" s="20">
        <v>0</v>
      </c>
      <c r="P2372" s="20">
        <v>0</v>
      </c>
      <c r="Q2372" s="20">
        <v>0</v>
      </c>
      <c r="R2372" s="21">
        <v>0.91</v>
      </c>
      <c r="S2372" s="20">
        <v>0</v>
      </c>
    </row>
    <row r="2373" spans="2:19" ht="15" customHeight="1" x14ac:dyDescent="0.25">
      <c r="B2373" s="2" t="str">
        <f t="shared" si="72"/>
        <v>NSG_Business_Public Sector_Rebates_Programmable Thermostat_0_CI</v>
      </c>
      <c r="C2373" s="2" t="str">
        <f t="shared" si="73"/>
        <v>NSG_Business_Public Sector_Rebates_Programmable Thermostat_0_CI_2022</v>
      </c>
      <c r="D2373" s="19" t="s">
        <v>1787</v>
      </c>
      <c r="E2373" s="19" t="s">
        <v>3</v>
      </c>
      <c r="F2373" s="19" t="s">
        <v>1430</v>
      </c>
      <c r="G2373" s="19" t="s">
        <v>1429</v>
      </c>
      <c r="H2373" s="19" t="s">
        <v>224</v>
      </c>
      <c r="I2373" s="19">
        <v>0</v>
      </c>
      <c r="J2373" s="19" t="s">
        <v>1183</v>
      </c>
      <c r="K2373" s="19" t="s">
        <v>1159</v>
      </c>
      <c r="L2373" s="19">
        <v>2022</v>
      </c>
      <c r="M2373" s="20">
        <v>1</v>
      </c>
      <c r="N2373" s="19" t="s">
        <v>1798</v>
      </c>
      <c r="O2373" s="20">
        <v>5</v>
      </c>
      <c r="P2373" s="20">
        <v>5</v>
      </c>
      <c r="Q2373" s="20">
        <v>724.83831875000021</v>
      </c>
      <c r="R2373" s="21">
        <v>0.91</v>
      </c>
      <c r="S2373" s="20">
        <v>724.83831875000021</v>
      </c>
    </row>
    <row r="2374" spans="2:19" ht="15" customHeight="1" x14ac:dyDescent="0.25">
      <c r="B2374" s="2" t="str">
        <f t="shared" ref="B2374:B2437" si="74">D2374&amp;"_"&amp;E2374&amp;"_"&amp;F2374&amp;"_"&amp;G2374&amp;"_"&amp;H2374&amp;"_"&amp;I2374&amp;"_"&amp;K2374</f>
        <v>NSG_Business_Public Sector_Rebates_Programmable Thermostat_0_CI</v>
      </c>
      <c r="C2374" s="2" t="str">
        <f t="shared" ref="C2374:C2437" si="75">D2374&amp;"_"&amp;E2374&amp;"_"&amp;F2374&amp;"_"&amp;G2374&amp;"_"&amp;H2374&amp;"_"&amp;I2374&amp;"_"&amp;K2374&amp;"_"&amp;L2374</f>
        <v>NSG_Business_Public Sector_Rebates_Programmable Thermostat_0_CI_2023</v>
      </c>
      <c r="D2374" s="19" t="s">
        <v>1787</v>
      </c>
      <c r="E2374" s="19" t="s">
        <v>3</v>
      </c>
      <c r="F2374" s="19" t="s">
        <v>1430</v>
      </c>
      <c r="G2374" s="19" t="s">
        <v>1429</v>
      </c>
      <c r="H2374" s="19" t="s">
        <v>224</v>
      </c>
      <c r="I2374" s="19">
        <v>0</v>
      </c>
      <c r="J2374" s="19" t="s">
        <v>1183</v>
      </c>
      <c r="K2374" s="19" t="s">
        <v>1159</v>
      </c>
      <c r="L2374" s="19">
        <v>2023</v>
      </c>
      <c r="M2374" s="20">
        <v>1</v>
      </c>
      <c r="N2374" s="19" t="s">
        <v>1798</v>
      </c>
      <c r="O2374" s="20">
        <v>5</v>
      </c>
      <c r="P2374" s="20">
        <v>5</v>
      </c>
      <c r="Q2374" s="20">
        <v>724.83831875000021</v>
      </c>
      <c r="R2374" s="21">
        <v>0.91</v>
      </c>
      <c r="S2374" s="20">
        <v>724.83831875000021</v>
      </c>
    </row>
    <row r="2375" spans="2:19" ht="15" customHeight="1" x14ac:dyDescent="0.25">
      <c r="B2375" s="2" t="str">
        <f t="shared" si="74"/>
        <v>NSG_Business_Public Sector_Rebates_Programmable Thermostat_0_CI</v>
      </c>
      <c r="C2375" s="2" t="str">
        <f t="shared" si="75"/>
        <v>NSG_Business_Public Sector_Rebates_Programmable Thermostat_0_CI_2024</v>
      </c>
      <c r="D2375" s="19" t="s">
        <v>1787</v>
      </c>
      <c r="E2375" s="19" t="s">
        <v>3</v>
      </c>
      <c r="F2375" s="19" t="s">
        <v>1430</v>
      </c>
      <c r="G2375" s="19" t="s">
        <v>1429</v>
      </c>
      <c r="H2375" s="19" t="s">
        <v>224</v>
      </c>
      <c r="I2375" s="19">
        <v>0</v>
      </c>
      <c r="J2375" s="19" t="s">
        <v>1183</v>
      </c>
      <c r="K2375" s="19" t="s">
        <v>1159</v>
      </c>
      <c r="L2375" s="19">
        <v>2024</v>
      </c>
      <c r="M2375" s="20">
        <v>1</v>
      </c>
      <c r="N2375" s="19" t="s">
        <v>1798</v>
      </c>
      <c r="O2375" s="20">
        <v>5</v>
      </c>
      <c r="P2375" s="20">
        <v>5</v>
      </c>
      <c r="Q2375" s="20">
        <v>724.83831875000021</v>
      </c>
      <c r="R2375" s="21">
        <v>0.91</v>
      </c>
      <c r="S2375" s="20">
        <v>724.83831875000021</v>
      </c>
    </row>
    <row r="2376" spans="2:19" ht="15" customHeight="1" x14ac:dyDescent="0.25">
      <c r="B2376" s="2" t="str">
        <f t="shared" si="74"/>
        <v>NSG_Business_Public Sector_Rebates_Programmable Thermostat_0_CI</v>
      </c>
      <c r="C2376" s="2" t="str">
        <f t="shared" si="75"/>
        <v>NSG_Business_Public Sector_Rebates_Programmable Thermostat_0_CI_2025</v>
      </c>
      <c r="D2376" s="19" t="s">
        <v>1787</v>
      </c>
      <c r="E2376" s="19" t="s">
        <v>3</v>
      </c>
      <c r="F2376" s="19" t="s">
        <v>1430</v>
      </c>
      <c r="G2376" s="19" t="s">
        <v>1429</v>
      </c>
      <c r="H2376" s="19" t="s">
        <v>224</v>
      </c>
      <c r="I2376" s="19">
        <v>0</v>
      </c>
      <c r="J2376" s="19" t="s">
        <v>1183</v>
      </c>
      <c r="K2376" s="19" t="s">
        <v>1159</v>
      </c>
      <c r="L2376" s="19">
        <v>2025</v>
      </c>
      <c r="M2376" s="20">
        <v>1</v>
      </c>
      <c r="N2376" s="19" t="s">
        <v>1798</v>
      </c>
      <c r="O2376" s="20">
        <v>5</v>
      </c>
      <c r="P2376" s="20">
        <v>5</v>
      </c>
      <c r="Q2376" s="20">
        <v>724.83831875000021</v>
      </c>
      <c r="R2376" s="21">
        <v>0.91</v>
      </c>
      <c r="S2376" s="20">
        <v>724.83831875000021</v>
      </c>
    </row>
    <row r="2377" spans="2:19" ht="15" customHeight="1" x14ac:dyDescent="0.25">
      <c r="B2377" s="2" t="str">
        <f t="shared" si="74"/>
        <v>NSG_Business_Public Sector_Rebates_Water Heater_Storage 88% TE ≥75MBh_CI</v>
      </c>
      <c r="C2377" s="2" t="str">
        <f t="shared" si="75"/>
        <v>NSG_Business_Public Sector_Rebates_Water Heater_Storage 88% TE ≥75MBh_CI_2022</v>
      </c>
      <c r="D2377" s="19" t="s">
        <v>1787</v>
      </c>
      <c r="E2377" s="19" t="s">
        <v>3</v>
      </c>
      <c r="F2377" s="19" t="s">
        <v>1430</v>
      </c>
      <c r="G2377" s="19" t="s">
        <v>1429</v>
      </c>
      <c r="H2377" s="19" t="s">
        <v>8</v>
      </c>
      <c r="I2377" s="19" t="s">
        <v>1262</v>
      </c>
      <c r="J2377" s="19" t="s">
        <v>1263</v>
      </c>
      <c r="K2377" s="19" t="s">
        <v>1159</v>
      </c>
      <c r="L2377" s="19">
        <v>2022</v>
      </c>
      <c r="M2377" s="20">
        <v>1</v>
      </c>
      <c r="N2377" s="19" t="s">
        <v>1798</v>
      </c>
      <c r="O2377" s="20">
        <v>3</v>
      </c>
      <c r="P2377" s="20">
        <v>3</v>
      </c>
      <c r="Q2377" s="20">
        <v>370.37437955870206</v>
      </c>
      <c r="R2377" s="21">
        <v>0.91</v>
      </c>
      <c r="S2377" s="20">
        <v>370.37437955870206</v>
      </c>
    </row>
    <row r="2378" spans="2:19" ht="15" customHeight="1" x14ac:dyDescent="0.25">
      <c r="B2378" s="2" t="str">
        <f t="shared" si="74"/>
        <v>NSG_Business_Public Sector_Rebates_Water Heater_Storage 88% TE ≥75MBh_CI</v>
      </c>
      <c r="C2378" s="2" t="str">
        <f t="shared" si="75"/>
        <v>NSG_Business_Public Sector_Rebates_Water Heater_Storage 88% TE ≥75MBh_CI_2023</v>
      </c>
      <c r="D2378" s="19" t="s">
        <v>1787</v>
      </c>
      <c r="E2378" s="19" t="s">
        <v>3</v>
      </c>
      <c r="F2378" s="19" t="s">
        <v>1430</v>
      </c>
      <c r="G2378" s="19" t="s">
        <v>1429</v>
      </c>
      <c r="H2378" s="19" t="s">
        <v>8</v>
      </c>
      <c r="I2378" s="19" t="s">
        <v>1262</v>
      </c>
      <c r="J2378" s="19" t="s">
        <v>1263</v>
      </c>
      <c r="K2378" s="19" t="s">
        <v>1159</v>
      </c>
      <c r="L2378" s="19">
        <v>2023</v>
      </c>
      <c r="M2378" s="20">
        <v>1</v>
      </c>
      <c r="N2378" s="19" t="s">
        <v>1798</v>
      </c>
      <c r="O2378" s="20">
        <v>3</v>
      </c>
      <c r="P2378" s="20">
        <v>3</v>
      </c>
      <c r="Q2378" s="20">
        <v>370.37437955870206</v>
      </c>
      <c r="R2378" s="21">
        <v>0.91</v>
      </c>
      <c r="S2378" s="20">
        <v>370.37437955870206</v>
      </c>
    </row>
    <row r="2379" spans="2:19" ht="15" customHeight="1" x14ac:dyDescent="0.25">
      <c r="B2379" s="2" t="str">
        <f t="shared" si="74"/>
        <v>NSG_Business_Public Sector_Rebates_Water Heater_Storage 88% TE ≥75MBh_CI</v>
      </c>
      <c r="C2379" s="2" t="str">
        <f t="shared" si="75"/>
        <v>NSG_Business_Public Sector_Rebates_Water Heater_Storage 88% TE ≥75MBh_CI_2024</v>
      </c>
      <c r="D2379" s="19" t="s">
        <v>1787</v>
      </c>
      <c r="E2379" s="19" t="s">
        <v>3</v>
      </c>
      <c r="F2379" s="19" t="s">
        <v>1430</v>
      </c>
      <c r="G2379" s="19" t="s">
        <v>1429</v>
      </c>
      <c r="H2379" s="19" t="s">
        <v>8</v>
      </c>
      <c r="I2379" s="19" t="s">
        <v>1262</v>
      </c>
      <c r="J2379" s="19" t="s">
        <v>1263</v>
      </c>
      <c r="K2379" s="19" t="s">
        <v>1159</v>
      </c>
      <c r="L2379" s="19">
        <v>2024</v>
      </c>
      <c r="M2379" s="20">
        <v>1</v>
      </c>
      <c r="N2379" s="19" t="s">
        <v>1798</v>
      </c>
      <c r="O2379" s="20">
        <v>3</v>
      </c>
      <c r="P2379" s="20">
        <v>3</v>
      </c>
      <c r="Q2379" s="20">
        <v>370.37437955870206</v>
      </c>
      <c r="R2379" s="21">
        <v>0.91</v>
      </c>
      <c r="S2379" s="20">
        <v>370.37437955870206</v>
      </c>
    </row>
    <row r="2380" spans="2:19" ht="15" customHeight="1" x14ac:dyDescent="0.25">
      <c r="B2380" s="2" t="str">
        <f t="shared" si="74"/>
        <v>NSG_Business_Public Sector_Rebates_Water Heater_Storage 88% TE ≥75MBh_CI</v>
      </c>
      <c r="C2380" s="2" t="str">
        <f t="shared" si="75"/>
        <v>NSG_Business_Public Sector_Rebates_Water Heater_Storage 88% TE ≥75MBh_CI_2025</v>
      </c>
      <c r="D2380" s="19" t="s">
        <v>1787</v>
      </c>
      <c r="E2380" s="19" t="s">
        <v>3</v>
      </c>
      <c r="F2380" s="19" t="s">
        <v>1430</v>
      </c>
      <c r="G2380" s="19" t="s">
        <v>1429</v>
      </c>
      <c r="H2380" s="19" t="s">
        <v>8</v>
      </c>
      <c r="I2380" s="19" t="s">
        <v>1262</v>
      </c>
      <c r="J2380" s="19" t="s">
        <v>1263</v>
      </c>
      <c r="K2380" s="19" t="s">
        <v>1159</v>
      </c>
      <c r="L2380" s="19">
        <v>2025</v>
      </c>
      <c r="M2380" s="20">
        <v>1</v>
      </c>
      <c r="N2380" s="19" t="s">
        <v>1798</v>
      </c>
      <c r="O2380" s="20">
        <v>3</v>
      </c>
      <c r="P2380" s="20">
        <v>3</v>
      </c>
      <c r="Q2380" s="20">
        <v>370.37437955870206</v>
      </c>
      <c r="R2380" s="21">
        <v>0.91</v>
      </c>
      <c r="S2380" s="20">
        <v>370.37437955870206</v>
      </c>
    </row>
    <row r="2381" spans="2:19" ht="15" customHeight="1" x14ac:dyDescent="0.25">
      <c r="B2381" s="2" t="str">
        <f t="shared" si="74"/>
        <v>NSG_Business_Public Sector_Rebates_Water Heater_Central Lodging 88% TE_CI</v>
      </c>
      <c r="C2381" s="2" t="str">
        <f t="shared" si="75"/>
        <v>NSG_Business_Public Sector_Rebates_Water Heater_Central Lodging 88% TE_CI_2022</v>
      </c>
      <c r="D2381" s="19" t="s">
        <v>1787</v>
      </c>
      <c r="E2381" s="19" t="s">
        <v>3</v>
      </c>
      <c r="F2381" s="19" t="s">
        <v>1430</v>
      </c>
      <c r="G2381" s="19" t="s">
        <v>1429</v>
      </c>
      <c r="H2381" s="19" t="s">
        <v>8</v>
      </c>
      <c r="I2381" s="19" t="s">
        <v>1304</v>
      </c>
      <c r="J2381" s="19" t="s">
        <v>30</v>
      </c>
      <c r="K2381" s="19" t="s">
        <v>1159</v>
      </c>
      <c r="L2381" s="19">
        <v>2022</v>
      </c>
      <c r="M2381" s="20">
        <v>150</v>
      </c>
      <c r="N2381" s="19" t="s">
        <v>667</v>
      </c>
      <c r="O2381" s="20">
        <v>0</v>
      </c>
      <c r="P2381" s="20">
        <v>0</v>
      </c>
      <c r="Q2381" s="20">
        <v>0</v>
      </c>
      <c r="R2381" s="21">
        <v>0.91</v>
      </c>
      <c r="S2381" s="20">
        <v>0</v>
      </c>
    </row>
    <row r="2382" spans="2:19" ht="15" customHeight="1" x14ac:dyDescent="0.25">
      <c r="B2382" s="2" t="str">
        <f t="shared" si="74"/>
        <v>NSG_Business_Public Sector_Rebates_Water Heater_Central Lodging 88% TE_CI</v>
      </c>
      <c r="C2382" s="2" t="str">
        <f t="shared" si="75"/>
        <v>NSG_Business_Public Sector_Rebates_Water Heater_Central Lodging 88% TE_CI_2023</v>
      </c>
      <c r="D2382" s="19" t="s">
        <v>1787</v>
      </c>
      <c r="E2382" s="19" t="s">
        <v>3</v>
      </c>
      <c r="F2382" s="19" t="s">
        <v>1430</v>
      </c>
      <c r="G2382" s="19" t="s">
        <v>1429</v>
      </c>
      <c r="H2382" s="19" t="s">
        <v>8</v>
      </c>
      <c r="I2382" s="19" t="s">
        <v>1304</v>
      </c>
      <c r="J2382" s="19" t="s">
        <v>30</v>
      </c>
      <c r="K2382" s="19" t="s">
        <v>1159</v>
      </c>
      <c r="L2382" s="19">
        <v>2023</v>
      </c>
      <c r="M2382" s="20">
        <v>150</v>
      </c>
      <c r="N2382" s="19" t="s">
        <v>667</v>
      </c>
      <c r="O2382" s="20">
        <v>0</v>
      </c>
      <c r="P2382" s="20">
        <v>0</v>
      </c>
      <c r="Q2382" s="20">
        <v>0</v>
      </c>
      <c r="R2382" s="21">
        <v>0.91</v>
      </c>
      <c r="S2382" s="20">
        <v>0</v>
      </c>
    </row>
    <row r="2383" spans="2:19" ht="15" customHeight="1" x14ac:dyDescent="0.25">
      <c r="B2383" s="2" t="str">
        <f t="shared" si="74"/>
        <v>NSG_Business_Public Sector_Rebates_Water Heater_Central Lodging 88% TE_CI</v>
      </c>
      <c r="C2383" s="2" t="str">
        <f t="shared" si="75"/>
        <v>NSG_Business_Public Sector_Rebates_Water Heater_Central Lodging 88% TE_CI_2024</v>
      </c>
      <c r="D2383" s="19" t="s">
        <v>1787</v>
      </c>
      <c r="E2383" s="19" t="s">
        <v>3</v>
      </c>
      <c r="F2383" s="19" t="s">
        <v>1430</v>
      </c>
      <c r="G2383" s="19" t="s">
        <v>1429</v>
      </c>
      <c r="H2383" s="19" t="s">
        <v>8</v>
      </c>
      <c r="I2383" s="19" t="s">
        <v>1304</v>
      </c>
      <c r="J2383" s="19" t="s">
        <v>30</v>
      </c>
      <c r="K2383" s="19" t="s">
        <v>1159</v>
      </c>
      <c r="L2383" s="19">
        <v>2024</v>
      </c>
      <c r="M2383" s="20">
        <v>150</v>
      </c>
      <c r="N2383" s="19" t="s">
        <v>667</v>
      </c>
      <c r="O2383" s="20">
        <v>0</v>
      </c>
      <c r="P2383" s="20">
        <v>0</v>
      </c>
      <c r="Q2383" s="20">
        <v>0</v>
      </c>
      <c r="R2383" s="21">
        <v>0.91</v>
      </c>
      <c r="S2383" s="20">
        <v>0</v>
      </c>
    </row>
    <row r="2384" spans="2:19" ht="15" customHeight="1" x14ac:dyDescent="0.25">
      <c r="B2384" s="2" t="str">
        <f t="shared" si="74"/>
        <v>NSG_Business_Public Sector_Rebates_Water Heater_Central Lodging 88% TE_CI</v>
      </c>
      <c r="C2384" s="2" t="str">
        <f t="shared" si="75"/>
        <v>NSG_Business_Public Sector_Rebates_Water Heater_Central Lodging 88% TE_CI_2025</v>
      </c>
      <c r="D2384" s="19" t="s">
        <v>1787</v>
      </c>
      <c r="E2384" s="19" t="s">
        <v>3</v>
      </c>
      <c r="F2384" s="19" t="s">
        <v>1430</v>
      </c>
      <c r="G2384" s="19" t="s">
        <v>1429</v>
      </c>
      <c r="H2384" s="19" t="s">
        <v>8</v>
      </c>
      <c r="I2384" s="19" t="s">
        <v>1304</v>
      </c>
      <c r="J2384" s="19" t="s">
        <v>30</v>
      </c>
      <c r="K2384" s="19" t="s">
        <v>1159</v>
      </c>
      <c r="L2384" s="19">
        <v>2025</v>
      </c>
      <c r="M2384" s="20">
        <v>150</v>
      </c>
      <c r="N2384" s="19" t="s">
        <v>667</v>
      </c>
      <c r="O2384" s="20">
        <v>0</v>
      </c>
      <c r="P2384" s="20">
        <v>0</v>
      </c>
      <c r="Q2384" s="20">
        <v>0</v>
      </c>
      <c r="R2384" s="21">
        <v>0.91</v>
      </c>
      <c r="S2384" s="20">
        <v>0</v>
      </c>
    </row>
    <row r="2385" spans="2:19" ht="15" customHeight="1" x14ac:dyDescent="0.25">
      <c r="B2385" s="2" t="str">
        <f t="shared" si="74"/>
        <v>NSG_Business_Public Sector_Rebates_Energy Recovery Ventilator_0_CI</v>
      </c>
      <c r="C2385" s="2" t="str">
        <f t="shared" si="75"/>
        <v>NSG_Business_Public Sector_Rebates_Energy Recovery Ventilator_0_CI_2022</v>
      </c>
      <c r="D2385" s="19" t="s">
        <v>1787</v>
      </c>
      <c r="E2385" s="19" t="s">
        <v>3</v>
      </c>
      <c r="F2385" s="19" t="s">
        <v>1430</v>
      </c>
      <c r="G2385" s="19" t="s">
        <v>1429</v>
      </c>
      <c r="H2385" s="19" t="s">
        <v>11</v>
      </c>
      <c r="I2385" s="19">
        <v>0</v>
      </c>
      <c r="J2385" s="19" t="s">
        <v>27</v>
      </c>
      <c r="K2385" s="19" t="s">
        <v>1159</v>
      </c>
      <c r="L2385" s="19">
        <v>2022</v>
      </c>
      <c r="M2385" s="20">
        <v>1</v>
      </c>
      <c r="N2385" s="19" t="s">
        <v>331</v>
      </c>
      <c r="O2385" s="20">
        <v>0</v>
      </c>
      <c r="P2385" s="20">
        <v>0</v>
      </c>
      <c r="Q2385" s="20">
        <v>0</v>
      </c>
      <c r="R2385" s="21">
        <v>0.91</v>
      </c>
      <c r="S2385" s="20">
        <v>0</v>
      </c>
    </row>
    <row r="2386" spans="2:19" ht="15" customHeight="1" x14ac:dyDescent="0.25">
      <c r="B2386" s="2" t="str">
        <f t="shared" si="74"/>
        <v>NSG_Business_Public Sector_Rebates_Energy Recovery Ventilator_0_CI</v>
      </c>
      <c r="C2386" s="2" t="str">
        <f t="shared" si="75"/>
        <v>NSG_Business_Public Sector_Rebates_Energy Recovery Ventilator_0_CI_2023</v>
      </c>
      <c r="D2386" s="19" t="s">
        <v>1787</v>
      </c>
      <c r="E2386" s="19" t="s">
        <v>3</v>
      </c>
      <c r="F2386" s="19" t="s">
        <v>1430</v>
      </c>
      <c r="G2386" s="19" t="s">
        <v>1429</v>
      </c>
      <c r="H2386" s="19" t="s">
        <v>11</v>
      </c>
      <c r="I2386" s="19">
        <v>0</v>
      </c>
      <c r="J2386" s="19" t="s">
        <v>27</v>
      </c>
      <c r="K2386" s="19" t="s">
        <v>1159</v>
      </c>
      <c r="L2386" s="19">
        <v>2023</v>
      </c>
      <c r="M2386" s="20">
        <v>1</v>
      </c>
      <c r="N2386" s="19" t="s">
        <v>331</v>
      </c>
      <c r="O2386" s="20">
        <v>0</v>
      </c>
      <c r="P2386" s="20">
        <v>0</v>
      </c>
      <c r="Q2386" s="20">
        <v>0</v>
      </c>
      <c r="R2386" s="21">
        <v>0.91</v>
      </c>
      <c r="S2386" s="20">
        <v>0</v>
      </c>
    </row>
    <row r="2387" spans="2:19" ht="15" customHeight="1" x14ac:dyDescent="0.25">
      <c r="B2387" s="2" t="str">
        <f t="shared" si="74"/>
        <v>NSG_Business_Public Sector_Rebates_Energy Recovery Ventilator_0_CI</v>
      </c>
      <c r="C2387" s="2" t="str">
        <f t="shared" si="75"/>
        <v>NSG_Business_Public Sector_Rebates_Energy Recovery Ventilator_0_CI_2024</v>
      </c>
      <c r="D2387" s="19" t="s">
        <v>1787</v>
      </c>
      <c r="E2387" s="19" t="s">
        <v>3</v>
      </c>
      <c r="F2387" s="19" t="s">
        <v>1430</v>
      </c>
      <c r="G2387" s="19" t="s">
        <v>1429</v>
      </c>
      <c r="H2387" s="19" t="s">
        <v>11</v>
      </c>
      <c r="I2387" s="19">
        <v>0</v>
      </c>
      <c r="J2387" s="19" t="s">
        <v>27</v>
      </c>
      <c r="K2387" s="19" t="s">
        <v>1159</v>
      </c>
      <c r="L2387" s="19">
        <v>2024</v>
      </c>
      <c r="M2387" s="20">
        <v>1</v>
      </c>
      <c r="N2387" s="19" t="s">
        <v>331</v>
      </c>
      <c r="O2387" s="20">
        <v>0</v>
      </c>
      <c r="P2387" s="20">
        <v>0</v>
      </c>
      <c r="Q2387" s="20">
        <v>0</v>
      </c>
      <c r="R2387" s="21">
        <v>0.91</v>
      </c>
      <c r="S2387" s="20">
        <v>0</v>
      </c>
    </row>
    <row r="2388" spans="2:19" ht="15" customHeight="1" x14ac:dyDescent="0.25">
      <c r="B2388" s="2" t="str">
        <f t="shared" si="74"/>
        <v>NSG_Business_Public Sector_Rebates_Energy Recovery Ventilator_0_CI</v>
      </c>
      <c r="C2388" s="2" t="str">
        <f t="shared" si="75"/>
        <v>NSG_Business_Public Sector_Rebates_Energy Recovery Ventilator_0_CI_2025</v>
      </c>
      <c r="D2388" s="19" t="s">
        <v>1787</v>
      </c>
      <c r="E2388" s="19" t="s">
        <v>3</v>
      </c>
      <c r="F2388" s="19" t="s">
        <v>1430</v>
      </c>
      <c r="G2388" s="19" t="s">
        <v>1429</v>
      </c>
      <c r="H2388" s="19" t="s">
        <v>11</v>
      </c>
      <c r="I2388" s="19">
        <v>0</v>
      </c>
      <c r="J2388" s="19" t="s">
        <v>27</v>
      </c>
      <c r="K2388" s="19" t="s">
        <v>1159</v>
      </c>
      <c r="L2388" s="19">
        <v>2025</v>
      </c>
      <c r="M2388" s="20">
        <v>1</v>
      </c>
      <c r="N2388" s="19" t="s">
        <v>331</v>
      </c>
      <c r="O2388" s="20">
        <v>0</v>
      </c>
      <c r="P2388" s="20">
        <v>0</v>
      </c>
      <c r="Q2388" s="20">
        <v>0</v>
      </c>
      <c r="R2388" s="21">
        <v>0.91</v>
      </c>
      <c r="S2388" s="20">
        <v>0</v>
      </c>
    </row>
    <row r="2389" spans="2:19" ht="15" customHeight="1" x14ac:dyDescent="0.25">
      <c r="B2389" s="2" t="str">
        <f t="shared" si="74"/>
        <v>NSG_Business_Public Sector_Custom_C&amp;I Custom_0_CI</v>
      </c>
      <c r="C2389" s="2" t="str">
        <f t="shared" si="75"/>
        <v>NSG_Business_Public Sector_Custom_C&amp;I Custom_0_CI_2022</v>
      </c>
      <c r="D2389" s="19" t="s">
        <v>1787</v>
      </c>
      <c r="E2389" s="19" t="s">
        <v>3</v>
      </c>
      <c r="F2389" s="19" t="s">
        <v>1430</v>
      </c>
      <c r="G2389" s="19" t="s">
        <v>5</v>
      </c>
      <c r="H2389" s="19" t="s">
        <v>1285</v>
      </c>
      <c r="I2389" s="19">
        <v>0</v>
      </c>
      <c r="J2389" s="19">
        <v>0</v>
      </c>
      <c r="K2389" s="19" t="s">
        <v>1159</v>
      </c>
      <c r="L2389" s="19">
        <v>2022</v>
      </c>
      <c r="M2389" s="20">
        <v>5934.75</v>
      </c>
      <c r="N2389" s="19" t="s">
        <v>609</v>
      </c>
      <c r="O2389" s="20">
        <v>2</v>
      </c>
      <c r="P2389" s="20">
        <v>11869.5</v>
      </c>
      <c r="Q2389" s="20">
        <v>8783.43</v>
      </c>
      <c r="R2389" s="21">
        <v>0.74</v>
      </c>
      <c r="S2389" s="20">
        <v>8783.43</v>
      </c>
    </row>
    <row r="2390" spans="2:19" ht="15" customHeight="1" x14ac:dyDescent="0.25">
      <c r="B2390" s="2" t="str">
        <f t="shared" si="74"/>
        <v>NSG_Business_Public Sector_Custom_C&amp;I Custom_0_CI</v>
      </c>
      <c r="C2390" s="2" t="str">
        <f t="shared" si="75"/>
        <v>NSG_Business_Public Sector_Custom_C&amp;I Custom_0_CI_2023</v>
      </c>
      <c r="D2390" s="19" t="s">
        <v>1787</v>
      </c>
      <c r="E2390" s="19" t="s">
        <v>3</v>
      </c>
      <c r="F2390" s="19" t="s">
        <v>1430</v>
      </c>
      <c r="G2390" s="19" t="s">
        <v>5</v>
      </c>
      <c r="H2390" s="19" t="s">
        <v>1285</v>
      </c>
      <c r="I2390" s="19">
        <v>0</v>
      </c>
      <c r="J2390" s="19">
        <v>0</v>
      </c>
      <c r="K2390" s="19" t="s">
        <v>1159</v>
      </c>
      <c r="L2390" s="19">
        <v>2023</v>
      </c>
      <c r="M2390" s="20">
        <v>5934.75</v>
      </c>
      <c r="N2390" s="19" t="s">
        <v>609</v>
      </c>
      <c r="O2390" s="20">
        <v>2</v>
      </c>
      <c r="P2390" s="20">
        <v>11869.5</v>
      </c>
      <c r="Q2390" s="20">
        <v>8783.43</v>
      </c>
      <c r="R2390" s="21">
        <v>0.74</v>
      </c>
      <c r="S2390" s="20">
        <v>8783.43</v>
      </c>
    </row>
    <row r="2391" spans="2:19" ht="15" customHeight="1" x14ac:dyDescent="0.25">
      <c r="B2391" s="2" t="str">
        <f t="shared" si="74"/>
        <v>NSG_Business_Public Sector_Custom_C&amp;I Custom_0_CI</v>
      </c>
      <c r="C2391" s="2" t="str">
        <f t="shared" si="75"/>
        <v>NSG_Business_Public Sector_Custom_C&amp;I Custom_0_CI_2024</v>
      </c>
      <c r="D2391" s="19" t="s">
        <v>1787</v>
      </c>
      <c r="E2391" s="19" t="s">
        <v>3</v>
      </c>
      <c r="F2391" s="19" t="s">
        <v>1430</v>
      </c>
      <c r="G2391" s="19" t="s">
        <v>5</v>
      </c>
      <c r="H2391" s="19" t="s">
        <v>1285</v>
      </c>
      <c r="I2391" s="19">
        <v>0</v>
      </c>
      <c r="J2391" s="19">
        <v>0</v>
      </c>
      <c r="K2391" s="19" t="s">
        <v>1159</v>
      </c>
      <c r="L2391" s="19">
        <v>2024</v>
      </c>
      <c r="M2391" s="20">
        <v>5934.75</v>
      </c>
      <c r="N2391" s="19" t="s">
        <v>609</v>
      </c>
      <c r="O2391" s="20">
        <v>2</v>
      </c>
      <c r="P2391" s="20">
        <v>11869.5</v>
      </c>
      <c r="Q2391" s="20">
        <v>8783.43</v>
      </c>
      <c r="R2391" s="21">
        <v>0.74</v>
      </c>
      <c r="S2391" s="20">
        <v>8783.43</v>
      </c>
    </row>
    <row r="2392" spans="2:19" ht="15" customHeight="1" x14ac:dyDescent="0.25">
      <c r="B2392" s="2" t="str">
        <f t="shared" si="74"/>
        <v>NSG_Business_Public Sector_Custom_C&amp;I Custom_0_CI</v>
      </c>
      <c r="C2392" s="2" t="str">
        <f t="shared" si="75"/>
        <v>NSG_Business_Public Sector_Custom_C&amp;I Custom_0_CI_2025</v>
      </c>
      <c r="D2392" s="19" t="s">
        <v>1787</v>
      </c>
      <c r="E2392" s="19" t="s">
        <v>3</v>
      </c>
      <c r="F2392" s="19" t="s">
        <v>1430</v>
      </c>
      <c r="G2392" s="19" t="s">
        <v>5</v>
      </c>
      <c r="H2392" s="19" t="s">
        <v>1285</v>
      </c>
      <c r="I2392" s="19">
        <v>0</v>
      </c>
      <c r="J2392" s="19">
        <v>0</v>
      </c>
      <c r="K2392" s="19" t="s">
        <v>1159</v>
      </c>
      <c r="L2392" s="19">
        <v>2025</v>
      </c>
      <c r="M2392" s="20">
        <v>5934.75</v>
      </c>
      <c r="N2392" s="19" t="s">
        <v>609</v>
      </c>
      <c r="O2392" s="20">
        <v>2</v>
      </c>
      <c r="P2392" s="20">
        <v>11869.5</v>
      </c>
      <c r="Q2392" s="20">
        <v>8783.43</v>
      </c>
      <c r="R2392" s="21">
        <v>0.74</v>
      </c>
      <c r="S2392" s="20">
        <v>8783.43</v>
      </c>
    </row>
    <row r="2393" spans="2:19" ht="15" customHeight="1" x14ac:dyDescent="0.25">
      <c r="B2393" s="2" t="str">
        <f t="shared" si="74"/>
        <v>NSG_Business_Public Sector_New Construction_C&amp;I New Construction_0_CI</v>
      </c>
      <c r="C2393" s="2" t="str">
        <f t="shared" si="75"/>
        <v>NSG_Business_Public Sector_New Construction_C&amp;I New Construction_0_CI_2022</v>
      </c>
      <c r="D2393" s="19" t="s">
        <v>1787</v>
      </c>
      <c r="E2393" s="19" t="s">
        <v>3</v>
      </c>
      <c r="F2393" s="19" t="s">
        <v>1430</v>
      </c>
      <c r="G2393" s="19" t="s">
        <v>1092</v>
      </c>
      <c r="H2393" s="19" t="s">
        <v>1286</v>
      </c>
      <c r="I2393" s="19">
        <v>0</v>
      </c>
      <c r="J2393" s="19">
        <v>0</v>
      </c>
      <c r="K2393" s="19" t="s">
        <v>1159</v>
      </c>
      <c r="L2393" s="19">
        <v>2022</v>
      </c>
      <c r="M2393" s="20">
        <v>2500</v>
      </c>
      <c r="N2393" s="19" t="s">
        <v>609</v>
      </c>
      <c r="O2393" s="20">
        <v>0</v>
      </c>
      <c r="P2393" s="20">
        <v>0</v>
      </c>
      <c r="Q2393" s="20">
        <v>0</v>
      </c>
      <c r="R2393" s="21">
        <v>0.74</v>
      </c>
      <c r="S2393" s="20">
        <v>0</v>
      </c>
    </row>
    <row r="2394" spans="2:19" ht="15" customHeight="1" x14ac:dyDescent="0.25">
      <c r="B2394" s="2" t="str">
        <f t="shared" si="74"/>
        <v>NSG_Business_Public Sector_New Construction_C&amp;I New Construction_0_CI</v>
      </c>
      <c r="C2394" s="2" t="str">
        <f t="shared" si="75"/>
        <v>NSG_Business_Public Sector_New Construction_C&amp;I New Construction_0_CI_2023</v>
      </c>
      <c r="D2394" s="19" t="s">
        <v>1787</v>
      </c>
      <c r="E2394" s="19" t="s">
        <v>3</v>
      </c>
      <c r="F2394" s="19" t="s">
        <v>1430</v>
      </c>
      <c r="G2394" s="19" t="s">
        <v>1092</v>
      </c>
      <c r="H2394" s="19" t="s">
        <v>1286</v>
      </c>
      <c r="I2394" s="19">
        <v>0</v>
      </c>
      <c r="J2394" s="19">
        <v>0</v>
      </c>
      <c r="K2394" s="19" t="s">
        <v>1159</v>
      </c>
      <c r="L2394" s="19">
        <v>2023</v>
      </c>
      <c r="M2394" s="20">
        <v>2500</v>
      </c>
      <c r="N2394" s="19" t="s">
        <v>609</v>
      </c>
      <c r="O2394" s="20">
        <v>0</v>
      </c>
      <c r="P2394" s="20">
        <v>0</v>
      </c>
      <c r="Q2394" s="20">
        <v>0</v>
      </c>
      <c r="R2394" s="21">
        <v>0.74</v>
      </c>
      <c r="S2394" s="20">
        <v>0</v>
      </c>
    </row>
    <row r="2395" spans="2:19" ht="15" customHeight="1" x14ac:dyDescent="0.25">
      <c r="B2395" s="2" t="str">
        <f t="shared" si="74"/>
        <v>NSG_Business_Public Sector_New Construction_C&amp;I New Construction_0_CI</v>
      </c>
      <c r="C2395" s="2" t="str">
        <f t="shared" si="75"/>
        <v>NSG_Business_Public Sector_New Construction_C&amp;I New Construction_0_CI_2024</v>
      </c>
      <c r="D2395" s="19" t="s">
        <v>1787</v>
      </c>
      <c r="E2395" s="19" t="s">
        <v>3</v>
      </c>
      <c r="F2395" s="19" t="s">
        <v>1430</v>
      </c>
      <c r="G2395" s="19" t="s">
        <v>1092</v>
      </c>
      <c r="H2395" s="19" t="s">
        <v>1286</v>
      </c>
      <c r="I2395" s="19">
        <v>0</v>
      </c>
      <c r="J2395" s="19">
        <v>0</v>
      </c>
      <c r="K2395" s="19" t="s">
        <v>1159</v>
      </c>
      <c r="L2395" s="19">
        <v>2024</v>
      </c>
      <c r="M2395" s="20">
        <v>2500</v>
      </c>
      <c r="N2395" s="19" t="s">
        <v>609</v>
      </c>
      <c r="O2395" s="20">
        <v>0</v>
      </c>
      <c r="P2395" s="20">
        <v>0</v>
      </c>
      <c r="Q2395" s="20">
        <v>0</v>
      </c>
      <c r="R2395" s="21">
        <v>0.74</v>
      </c>
      <c r="S2395" s="20">
        <v>0</v>
      </c>
    </row>
    <row r="2396" spans="2:19" ht="15" customHeight="1" x14ac:dyDescent="0.25">
      <c r="B2396" s="2" t="str">
        <f t="shared" si="74"/>
        <v>NSG_Business_Public Sector_New Construction_C&amp;I New Construction_0_CI</v>
      </c>
      <c r="C2396" s="2" t="str">
        <f t="shared" si="75"/>
        <v>NSG_Business_Public Sector_New Construction_C&amp;I New Construction_0_CI_2025</v>
      </c>
      <c r="D2396" s="19" t="s">
        <v>1787</v>
      </c>
      <c r="E2396" s="19" t="s">
        <v>3</v>
      </c>
      <c r="F2396" s="19" t="s">
        <v>1430</v>
      </c>
      <c r="G2396" s="19" t="s">
        <v>1092</v>
      </c>
      <c r="H2396" s="19" t="s">
        <v>1286</v>
      </c>
      <c r="I2396" s="19">
        <v>0</v>
      </c>
      <c r="J2396" s="19">
        <v>0</v>
      </c>
      <c r="K2396" s="19" t="s">
        <v>1159</v>
      </c>
      <c r="L2396" s="19">
        <v>2025</v>
      </c>
      <c r="M2396" s="20">
        <v>2500</v>
      </c>
      <c r="N2396" s="19" t="s">
        <v>609</v>
      </c>
      <c r="O2396" s="20">
        <v>0</v>
      </c>
      <c r="P2396" s="20">
        <v>0</v>
      </c>
      <c r="Q2396" s="20">
        <v>0</v>
      </c>
      <c r="R2396" s="21">
        <v>0.74</v>
      </c>
      <c r="S2396" s="20">
        <v>0</v>
      </c>
    </row>
    <row r="2397" spans="2:19" ht="15" customHeight="1" x14ac:dyDescent="0.25">
      <c r="B2397" s="2" t="str">
        <f t="shared" si="74"/>
        <v>PGL_Business_Small/Mid-Size Business_Assessments_Unit Visit_0_CI</v>
      </c>
      <c r="C2397" s="2" t="str">
        <f t="shared" si="75"/>
        <v>PGL_Business_Small/Mid-Size Business_Assessments_Unit Visit_0_CI_2022</v>
      </c>
      <c r="D2397" s="19" t="s">
        <v>1794</v>
      </c>
      <c r="E2397" s="19" t="s">
        <v>3</v>
      </c>
      <c r="F2397" s="19" t="s">
        <v>1432</v>
      </c>
      <c r="G2397" s="19" t="s">
        <v>1431</v>
      </c>
      <c r="H2397" s="19" t="s">
        <v>1090</v>
      </c>
      <c r="I2397" s="19">
        <v>0</v>
      </c>
      <c r="J2397" s="19">
        <v>0</v>
      </c>
      <c r="K2397" s="19" t="s">
        <v>1159</v>
      </c>
      <c r="L2397" s="19">
        <v>2022</v>
      </c>
      <c r="M2397" s="20">
        <v>1</v>
      </c>
      <c r="N2397" s="19" t="s">
        <v>1798</v>
      </c>
      <c r="O2397" s="20">
        <v>33.6</v>
      </c>
      <c r="P2397" s="20">
        <v>33.6</v>
      </c>
      <c r="Q2397" s="20">
        <v>0</v>
      </c>
      <c r="R2397" s="21">
        <v>0.95</v>
      </c>
      <c r="S2397" s="20">
        <v>0</v>
      </c>
    </row>
    <row r="2398" spans="2:19" ht="15" customHeight="1" x14ac:dyDescent="0.25">
      <c r="B2398" s="2" t="str">
        <f t="shared" si="74"/>
        <v>PGL_Business_Small/Mid-Size Business_Assessments_Unit Visit_0_CI</v>
      </c>
      <c r="C2398" s="2" t="str">
        <f t="shared" si="75"/>
        <v>PGL_Business_Small/Mid-Size Business_Assessments_Unit Visit_0_CI_2023</v>
      </c>
      <c r="D2398" s="19" t="s">
        <v>1794</v>
      </c>
      <c r="E2398" s="19" t="s">
        <v>3</v>
      </c>
      <c r="F2398" s="19" t="s">
        <v>1432</v>
      </c>
      <c r="G2398" s="19" t="s">
        <v>1431</v>
      </c>
      <c r="H2398" s="19" t="s">
        <v>1090</v>
      </c>
      <c r="I2398" s="19">
        <v>0</v>
      </c>
      <c r="J2398" s="19">
        <v>0</v>
      </c>
      <c r="K2398" s="19" t="s">
        <v>1159</v>
      </c>
      <c r="L2398" s="19">
        <v>2023</v>
      </c>
      <c r="M2398" s="20">
        <v>1</v>
      </c>
      <c r="N2398" s="19" t="s">
        <v>1798</v>
      </c>
      <c r="O2398" s="20">
        <v>31.6</v>
      </c>
      <c r="P2398" s="20">
        <v>31.6</v>
      </c>
      <c r="Q2398" s="20">
        <v>0</v>
      </c>
      <c r="R2398" s="21">
        <v>0.95</v>
      </c>
      <c r="S2398" s="20">
        <v>0</v>
      </c>
    </row>
    <row r="2399" spans="2:19" ht="15" customHeight="1" x14ac:dyDescent="0.25">
      <c r="B2399" s="2" t="str">
        <f t="shared" si="74"/>
        <v>PGL_Business_Small/Mid-Size Business_Assessments_Unit Visit_0_CI</v>
      </c>
      <c r="C2399" s="2" t="str">
        <f t="shared" si="75"/>
        <v>PGL_Business_Small/Mid-Size Business_Assessments_Unit Visit_0_CI_2024</v>
      </c>
      <c r="D2399" s="19" t="s">
        <v>1794</v>
      </c>
      <c r="E2399" s="19" t="s">
        <v>3</v>
      </c>
      <c r="F2399" s="19" t="s">
        <v>1432</v>
      </c>
      <c r="G2399" s="19" t="s">
        <v>1431</v>
      </c>
      <c r="H2399" s="19" t="s">
        <v>1090</v>
      </c>
      <c r="I2399" s="19">
        <v>0</v>
      </c>
      <c r="J2399" s="19">
        <v>0</v>
      </c>
      <c r="K2399" s="19" t="s">
        <v>1159</v>
      </c>
      <c r="L2399" s="19">
        <v>2024</v>
      </c>
      <c r="M2399" s="20">
        <v>1</v>
      </c>
      <c r="N2399" s="19" t="s">
        <v>1798</v>
      </c>
      <c r="O2399" s="20">
        <v>27.599999999999998</v>
      </c>
      <c r="P2399" s="20">
        <v>27.599999999999998</v>
      </c>
      <c r="Q2399" s="20">
        <v>0</v>
      </c>
      <c r="R2399" s="21">
        <v>0.95</v>
      </c>
      <c r="S2399" s="20">
        <v>0</v>
      </c>
    </row>
    <row r="2400" spans="2:19" ht="15" customHeight="1" x14ac:dyDescent="0.25">
      <c r="B2400" s="2" t="str">
        <f t="shared" si="74"/>
        <v>PGL_Business_Small/Mid-Size Business_Assessments_Unit Visit_0_CI</v>
      </c>
      <c r="C2400" s="2" t="str">
        <f t="shared" si="75"/>
        <v>PGL_Business_Small/Mid-Size Business_Assessments_Unit Visit_0_CI_2025</v>
      </c>
      <c r="D2400" s="19" t="s">
        <v>1794</v>
      </c>
      <c r="E2400" s="19" t="s">
        <v>3</v>
      </c>
      <c r="F2400" s="19" t="s">
        <v>1432</v>
      </c>
      <c r="G2400" s="19" t="s">
        <v>1431</v>
      </c>
      <c r="H2400" s="19" t="s">
        <v>1090</v>
      </c>
      <c r="I2400" s="19">
        <v>0</v>
      </c>
      <c r="J2400" s="19">
        <v>0</v>
      </c>
      <c r="K2400" s="19" t="s">
        <v>1159</v>
      </c>
      <c r="L2400" s="19">
        <v>2025</v>
      </c>
      <c r="M2400" s="20">
        <v>1</v>
      </c>
      <c r="N2400" s="19" t="s">
        <v>1798</v>
      </c>
      <c r="O2400" s="20">
        <v>26</v>
      </c>
      <c r="P2400" s="20">
        <v>26</v>
      </c>
      <c r="Q2400" s="20">
        <v>0</v>
      </c>
      <c r="R2400" s="21">
        <v>0.95</v>
      </c>
      <c r="S2400" s="20">
        <v>0</v>
      </c>
    </row>
    <row r="2401" spans="2:19" ht="15" customHeight="1" x14ac:dyDescent="0.25">
      <c r="B2401" s="2" t="str">
        <f t="shared" si="74"/>
        <v>PGL_Business_Small/Mid-Size Business_Assessments_Low Flow Bathroom Aerator_0_CI</v>
      </c>
      <c r="C2401" s="2" t="str">
        <f t="shared" si="75"/>
        <v>PGL_Business_Small/Mid-Size Business_Assessments_Low Flow Bathroom Aerator_0_CI_2022</v>
      </c>
      <c r="D2401" s="19" t="s">
        <v>1794</v>
      </c>
      <c r="E2401" s="19" t="s">
        <v>3</v>
      </c>
      <c r="F2401" s="19" t="s">
        <v>1432</v>
      </c>
      <c r="G2401" s="19" t="s">
        <v>1431</v>
      </c>
      <c r="H2401" s="19" t="s">
        <v>555</v>
      </c>
      <c r="I2401" s="19">
        <v>0</v>
      </c>
      <c r="J2401" s="19" t="s">
        <v>35</v>
      </c>
      <c r="K2401" s="19" t="s">
        <v>1159</v>
      </c>
      <c r="L2401" s="19">
        <v>2022</v>
      </c>
      <c r="M2401" s="20">
        <v>1</v>
      </c>
      <c r="N2401" s="19" t="s">
        <v>1798</v>
      </c>
      <c r="O2401" s="20">
        <v>51</v>
      </c>
      <c r="P2401" s="20">
        <v>51</v>
      </c>
      <c r="Q2401" s="20">
        <v>295.78463579136684</v>
      </c>
      <c r="R2401" s="21">
        <v>0.95</v>
      </c>
      <c r="S2401" s="20">
        <v>295.78463579136684</v>
      </c>
    </row>
    <row r="2402" spans="2:19" ht="15" customHeight="1" x14ac:dyDescent="0.25">
      <c r="B2402" s="2" t="str">
        <f t="shared" si="74"/>
        <v>PGL_Business_Small/Mid-Size Business_Assessments_Low Flow Bathroom Aerator_0_CI</v>
      </c>
      <c r="C2402" s="2" t="str">
        <f t="shared" si="75"/>
        <v>PGL_Business_Small/Mid-Size Business_Assessments_Low Flow Bathroom Aerator_0_CI_2023</v>
      </c>
      <c r="D2402" s="19" t="s">
        <v>1794</v>
      </c>
      <c r="E2402" s="19" t="s">
        <v>3</v>
      </c>
      <c r="F2402" s="19" t="s">
        <v>1432</v>
      </c>
      <c r="G2402" s="19" t="s">
        <v>1431</v>
      </c>
      <c r="H2402" s="19" t="s">
        <v>555</v>
      </c>
      <c r="I2402" s="19">
        <v>0</v>
      </c>
      <c r="J2402" s="19" t="s">
        <v>35</v>
      </c>
      <c r="K2402" s="19" t="s">
        <v>1159</v>
      </c>
      <c r="L2402" s="19">
        <v>2023</v>
      </c>
      <c r="M2402" s="20">
        <v>1</v>
      </c>
      <c r="N2402" s="19" t="s">
        <v>1798</v>
      </c>
      <c r="O2402" s="20">
        <v>48</v>
      </c>
      <c r="P2402" s="20">
        <v>48</v>
      </c>
      <c r="Q2402" s="20">
        <v>278.38553956834528</v>
      </c>
      <c r="R2402" s="21">
        <v>0.95</v>
      </c>
      <c r="S2402" s="20">
        <v>278.38553956834528</v>
      </c>
    </row>
    <row r="2403" spans="2:19" ht="15" customHeight="1" x14ac:dyDescent="0.25">
      <c r="B2403" s="2" t="str">
        <f t="shared" si="74"/>
        <v>PGL_Business_Small/Mid-Size Business_Assessments_Low Flow Bathroom Aerator_0_CI</v>
      </c>
      <c r="C2403" s="2" t="str">
        <f t="shared" si="75"/>
        <v>PGL_Business_Small/Mid-Size Business_Assessments_Low Flow Bathroom Aerator_0_CI_2024</v>
      </c>
      <c r="D2403" s="19" t="s">
        <v>1794</v>
      </c>
      <c r="E2403" s="19" t="s">
        <v>3</v>
      </c>
      <c r="F2403" s="19" t="s">
        <v>1432</v>
      </c>
      <c r="G2403" s="19" t="s">
        <v>1431</v>
      </c>
      <c r="H2403" s="19" t="s">
        <v>555</v>
      </c>
      <c r="I2403" s="19">
        <v>0</v>
      </c>
      <c r="J2403" s="19" t="s">
        <v>35</v>
      </c>
      <c r="K2403" s="19" t="s">
        <v>1159</v>
      </c>
      <c r="L2403" s="19">
        <v>2024</v>
      </c>
      <c r="M2403" s="20">
        <v>1</v>
      </c>
      <c r="N2403" s="19" t="s">
        <v>1798</v>
      </c>
      <c r="O2403" s="20">
        <v>42</v>
      </c>
      <c r="P2403" s="20">
        <v>42</v>
      </c>
      <c r="Q2403" s="20">
        <v>243.58734712230213</v>
      </c>
      <c r="R2403" s="21">
        <v>0.95</v>
      </c>
      <c r="S2403" s="20">
        <v>243.58734712230213</v>
      </c>
    </row>
    <row r="2404" spans="2:19" ht="15" customHeight="1" x14ac:dyDescent="0.25">
      <c r="B2404" s="2" t="str">
        <f t="shared" si="74"/>
        <v>PGL_Business_Small/Mid-Size Business_Assessments_Low Flow Bathroom Aerator_0_CI</v>
      </c>
      <c r="C2404" s="2" t="str">
        <f t="shared" si="75"/>
        <v>PGL_Business_Small/Mid-Size Business_Assessments_Low Flow Bathroom Aerator_0_CI_2025</v>
      </c>
      <c r="D2404" s="19" t="s">
        <v>1794</v>
      </c>
      <c r="E2404" s="19" t="s">
        <v>3</v>
      </c>
      <c r="F2404" s="19" t="s">
        <v>1432</v>
      </c>
      <c r="G2404" s="19" t="s">
        <v>1431</v>
      </c>
      <c r="H2404" s="19" t="s">
        <v>555</v>
      </c>
      <c r="I2404" s="19">
        <v>0</v>
      </c>
      <c r="J2404" s="19" t="s">
        <v>35</v>
      </c>
      <c r="K2404" s="19" t="s">
        <v>1159</v>
      </c>
      <c r="L2404" s="19">
        <v>2025</v>
      </c>
      <c r="M2404" s="20">
        <v>1</v>
      </c>
      <c r="N2404" s="19" t="s">
        <v>1798</v>
      </c>
      <c r="O2404" s="20">
        <v>40</v>
      </c>
      <c r="P2404" s="20">
        <v>40</v>
      </c>
      <c r="Q2404" s="20">
        <v>231.98794964028772</v>
      </c>
      <c r="R2404" s="21">
        <v>0.95</v>
      </c>
      <c r="S2404" s="20">
        <v>231.98794964028772</v>
      </c>
    </row>
    <row r="2405" spans="2:19" ht="15" customHeight="1" x14ac:dyDescent="0.25">
      <c r="B2405" s="2" t="str">
        <f t="shared" si="74"/>
        <v>PGL_Business_Small/Mid-Size Business_Assessments_Low Flow Kitchen Aerator_0_CI</v>
      </c>
      <c r="C2405" s="2" t="str">
        <f t="shared" si="75"/>
        <v>PGL_Business_Small/Mid-Size Business_Assessments_Low Flow Kitchen Aerator_0_CI_2022</v>
      </c>
      <c r="D2405" s="19" t="s">
        <v>1794</v>
      </c>
      <c r="E2405" s="19" t="s">
        <v>3</v>
      </c>
      <c r="F2405" s="19" t="s">
        <v>1432</v>
      </c>
      <c r="G2405" s="19" t="s">
        <v>1431</v>
      </c>
      <c r="H2405" s="19" t="s">
        <v>533</v>
      </c>
      <c r="I2405" s="19">
        <v>0</v>
      </c>
      <c r="J2405" s="19" t="s">
        <v>35</v>
      </c>
      <c r="K2405" s="19" t="s">
        <v>1159</v>
      </c>
      <c r="L2405" s="19">
        <v>2022</v>
      </c>
      <c r="M2405" s="20">
        <v>1</v>
      </c>
      <c r="N2405" s="19" t="s">
        <v>1798</v>
      </c>
      <c r="O2405" s="20">
        <v>20</v>
      </c>
      <c r="P2405" s="20">
        <v>20</v>
      </c>
      <c r="Q2405" s="20">
        <v>141.41330935251798</v>
      </c>
      <c r="R2405" s="21">
        <v>0.95</v>
      </c>
      <c r="S2405" s="20">
        <v>141.41330935251798</v>
      </c>
    </row>
    <row r="2406" spans="2:19" ht="15" customHeight="1" x14ac:dyDescent="0.25">
      <c r="B2406" s="2" t="str">
        <f t="shared" si="74"/>
        <v>PGL_Business_Small/Mid-Size Business_Assessments_Low Flow Kitchen Aerator_0_CI</v>
      </c>
      <c r="C2406" s="2" t="str">
        <f t="shared" si="75"/>
        <v>PGL_Business_Small/Mid-Size Business_Assessments_Low Flow Kitchen Aerator_0_CI_2023</v>
      </c>
      <c r="D2406" s="19" t="s">
        <v>1794</v>
      </c>
      <c r="E2406" s="19" t="s">
        <v>3</v>
      </c>
      <c r="F2406" s="19" t="s">
        <v>1432</v>
      </c>
      <c r="G2406" s="19" t="s">
        <v>1431</v>
      </c>
      <c r="H2406" s="19" t="s">
        <v>533</v>
      </c>
      <c r="I2406" s="19">
        <v>0</v>
      </c>
      <c r="J2406" s="19" t="s">
        <v>35</v>
      </c>
      <c r="K2406" s="19" t="s">
        <v>1159</v>
      </c>
      <c r="L2406" s="19">
        <v>2023</v>
      </c>
      <c r="M2406" s="20">
        <v>1</v>
      </c>
      <c r="N2406" s="19" t="s">
        <v>1798</v>
      </c>
      <c r="O2406" s="20">
        <v>19</v>
      </c>
      <c r="P2406" s="20">
        <v>19</v>
      </c>
      <c r="Q2406" s="20">
        <v>134.34264388489208</v>
      </c>
      <c r="R2406" s="21">
        <v>0.95</v>
      </c>
      <c r="S2406" s="20">
        <v>134.34264388489208</v>
      </c>
    </row>
    <row r="2407" spans="2:19" ht="15" customHeight="1" x14ac:dyDescent="0.25">
      <c r="B2407" s="2" t="str">
        <f t="shared" si="74"/>
        <v>PGL_Business_Small/Mid-Size Business_Assessments_Low Flow Kitchen Aerator_0_CI</v>
      </c>
      <c r="C2407" s="2" t="str">
        <f t="shared" si="75"/>
        <v>PGL_Business_Small/Mid-Size Business_Assessments_Low Flow Kitchen Aerator_0_CI_2024</v>
      </c>
      <c r="D2407" s="19" t="s">
        <v>1794</v>
      </c>
      <c r="E2407" s="19" t="s">
        <v>3</v>
      </c>
      <c r="F2407" s="19" t="s">
        <v>1432</v>
      </c>
      <c r="G2407" s="19" t="s">
        <v>1431</v>
      </c>
      <c r="H2407" s="19" t="s">
        <v>533</v>
      </c>
      <c r="I2407" s="19">
        <v>0</v>
      </c>
      <c r="J2407" s="19" t="s">
        <v>35</v>
      </c>
      <c r="K2407" s="19" t="s">
        <v>1159</v>
      </c>
      <c r="L2407" s="19">
        <v>2024</v>
      </c>
      <c r="M2407" s="20">
        <v>1</v>
      </c>
      <c r="N2407" s="19" t="s">
        <v>1798</v>
      </c>
      <c r="O2407" s="20">
        <v>17</v>
      </c>
      <c r="P2407" s="20">
        <v>17</v>
      </c>
      <c r="Q2407" s="20">
        <v>120.20131294964027</v>
      </c>
      <c r="R2407" s="21">
        <v>0.95</v>
      </c>
      <c r="S2407" s="20">
        <v>120.20131294964027</v>
      </c>
    </row>
    <row r="2408" spans="2:19" ht="15" customHeight="1" x14ac:dyDescent="0.25">
      <c r="B2408" s="2" t="str">
        <f t="shared" si="74"/>
        <v>PGL_Business_Small/Mid-Size Business_Assessments_Low Flow Kitchen Aerator_0_CI</v>
      </c>
      <c r="C2408" s="2" t="str">
        <f t="shared" si="75"/>
        <v>PGL_Business_Small/Mid-Size Business_Assessments_Low Flow Kitchen Aerator_0_CI_2025</v>
      </c>
      <c r="D2408" s="19" t="s">
        <v>1794</v>
      </c>
      <c r="E2408" s="19" t="s">
        <v>3</v>
      </c>
      <c r="F2408" s="19" t="s">
        <v>1432</v>
      </c>
      <c r="G2408" s="19" t="s">
        <v>1431</v>
      </c>
      <c r="H2408" s="19" t="s">
        <v>533</v>
      </c>
      <c r="I2408" s="19">
        <v>0</v>
      </c>
      <c r="J2408" s="19" t="s">
        <v>35</v>
      </c>
      <c r="K2408" s="19" t="s">
        <v>1159</v>
      </c>
      <c r="L2408" s="19">
        <v>2025</v>
      </c>
      <c r="M2408" s="20">
        <v>1</v>
      </c>
      <c r="N2408" s="19" t="s">
        <v>1798</v>
      </c>
      <c r="O2408" s="20">
        <v>16</v>
      </c>
      <c r="P2408" s="20">
        <v>16</v>
      </c>
      <c r="Q2408" s="20">
        <v>113.13064748201437</v>
      </c>
      <c r="R2408" s="21">
        <v>0.95</v>
      </c>
      <c r="S2408" s="20">
        <v>113.13064748201437</v>
      </c>
    </row>
    <row r="2409" spans="2:19" ht="15" customHeight="1" x14ac:dyDescent="0.25">
      <c r="B2409" s="2" t="str">
        <f t="shared" si="74"/>
        <v>PGL_Business_Small/Mid-Size Business_Assessments_Low Flow Showerhead_0_CI</v>
      </c>
      <c r="C2409" s="2" t="str">
        <f t="shared" si="75"/>
        <v>PGL_Business_Small/Mid-Size Business_Assessments_Low Flow Showerhead_0_CI_2022</v>
      </c>
      <c r="D2409" s="19" t="s">
        <v>1794</v>
      </c>
      <c r="E2409" s="19" t="s">
        <v>3</v>
      </c>
      <c r="F2409" s="19" t="s">
        <v>1432</v>
      </c>
      <c r="G2409" s="19" t="s">
        <v>1431</v>
      </c>
      <c r="H2409" s="19" t="s">
        <v>15</v>
      </c>
      <c r="I2409" s="19">
        <v>0</v>
      </c>
      <c r="J2409" s="19" t="s">
        <v>36</v>
      </c>
      <c r="K2409" s="19" t="s">
        <v>1159</v>
      </c>
      <c r="L2409" s="19">
        <v>2022</v>
      </c>
      <c r="M2409" s="20">
        <v>1</v>
      </c>
      <c r="N2409" s="19" t="s">
        <v>1798</v>
      </c>
      <c r="O2409" s="20">
        <v>24</v>
      </c>
      <c r="P2409" s="20">
        <v>24</v>
      </c>
      <c r="Q2409" s="20">
        <v>456.55584047564389</v>
      </c>
      <c r="R2409" s="21">
        <v>0.95</v>
      </c>
      <c r="S2409" s="20">
        <v>456.55584047564389</v>
      </c>
    </row>
    <row r="2410" spans="2:19" ht="15" customHeight="1" x14ac:dyDescent="0.25">
      <c r="B2410" s="2" t="str">
        <f t="shared" si="74"/>
        <v>PGL_Business_Small/Mid-Size Business_Assessments_Low Flow Showerhead_0_CI</v>
      </c>
      <c r="C2410" s="2" t="str">
        <f t="shared" si="75"/>
        <v>PGL_Business_Small/Mid-Size Business_Assessments_Low Flow Showerhead_0_CI_2023</v>
      </c>
      <c r="D2410" s="19" t="s">
        <v>1794</v>
      </c>
      <c r="E2410" s="19" t="s">
        <v>3</v>
      </c>
      <c r="F2410" s="19" t="s">
        <v>1432</v>
      </c>
      <c r="G2410" s="19" t="s">
        <v>1431</v>
      </c>
      <c r="H2410" s="19" t="s">
        <v>15</v>
      </c>
      <c r="I2410" s="19">
        <v>0</v>
      </c>
      <c r="J2410" s="19" t="s">
        <v>36</v>
      </c>
      <c r="K2410" s="19" t="s">
        <v>1159</v>
      </c>
      <c r="L2410" s="19">
        <v>2023</v>
      </c>
      <c r="M2410" s="20">
        <v>1</v>
      </c>
      <c r="N2410" s="19" t="s">
        <v>1798</v>
      </c>
      <c r="O2410" s="20">
        <v>22</v>
      </c>
      <c r="P2410" s="20">
        <v>22</v>
      </c>
      <c r="Q2410" s="20">
        <v>418.50952043600688</v>
      </c>
      <c r="R2410" s="21">
        <v>0.95</v>
      </c>
      <c r="S2410" s="20">
        <v>418.50952043600688</v>
      </c>
    </row>
    <row r="2411" spans="2:19" ht="15" customHeight="1" x14ac:dyDescent="0.25">
      <c r="B2411" s="2" t="str">
        <f t="shared" si="74"/>
        <v>PGL_Business_Small/Mid-Size Business_Assessments_Low Flow Showerhead_0_CI</v>
      </c>
      <c r="C2411" s="2" t="str">
        <f t="shared" si="75"/>
        <v>PGL_Business_Small/Mid-Size Business_Assessments_Low Flow Showerhead_0_CI_2024</v>
      </c>
      <c r="D2411" s="19" t="s">
        <v>1794</v>
      </c>
      <c r="E2411" s="19" t="s">
        <v>3</v>
      </c>
      <c r="F2411" s="19" t="s">
        <v>1432</v>
      </c>
      <c r="G2411" s="19" t="s">
        <v>1431</v>
      </c>
      <c r="H2411" s="19" t="s">
        <v>15</v>
      </c>
      <c r="I2411" s="19">
        <v>0</v>
      </c>
      <c r="J2411" s="19" t="s">
        <v>36</v>
      </c>
      <c r="K2411" s="19" t="s">
        <v>1159</v>
      </c>
      <c r="L2411" s="19">
        <v>2024</v>
      </c>
      <c r="M2411" s="20">
        <v>1</v>
      </c>
      <c r="N2411" s="19" t="s">
        <v>1798</v>
      </c>
      <c r="O2411" s="20">
        <v>19</v>
      </c>
      <c r="P2411" s="20">
        <v>19</v>
      </c>
      <c r="Q2411" s="20">
        <v>361.44004037655139</v>
      </c>
      <c r="R2411" s="21">
        <v>0.95</v>
      </c>
      <c r="S2411" s="20">
        <v>361.44004037655139</v>
      </c>
    </row>
    <row r="2412" spans="2:19" ht="15" customHeight="1" x14ac:dyDescent="0.25">
      <c r="B2412" s="2" t="str">
        <f t="shared" si="74"/>
        <v>PGL_Business_Small/Mid-Size Business_Assessments_Low Flow Showerhead_0_CI</v>
      </c>
      <c r="C2412" s="2" t="str">
        <f t="shared" si="75"/>
        <v>PGL_Business_Small/Mid-Size Business_Assessments_Low Flow Showerhead_0_CI_2025</v>
      </c>
      <c r="D2412" s="19" t="s">
        <v>1794</v>
      </c>
      <c r="E2412" s="19" t="s">
        <v>3</v>
      </c>
      <c r="F2412" s="19" t="s">
        <v>1432</v>
      </c>
      <c r="G2412" s="19" t="s">
        <v>1431</v>
      </c>
      <c r="H2412" s="19" t="s">
        <v>15</v>
      </c>
      <c r="I2412" s="19">
        <v>0</v>
      </c>
      <c r="J2412" s="19" t="s">
        <v>36</v>
      </c>
      <c r="K2412" s="19" t="s">
        <v>1159</v>
      </c>
      <c r="L2412" s="19">
        <v>2025</v>
      </c>
      <c r="M2412" s="20">
        <v>1</v>
      </c>
      <c r="N2412" s="19" t="s">
        <v>1798</v>
      </c>
      <c r="O2412" s="20">
        <v>18</v>
      </c>
      <c r="P2412" s="20">
        <v>18</v>
      </c>
      <c r="Q2412" s="20">
        <v>342.41688035673292</v>
      </c>
      <c r="R2412" s="21">
        <v>0.95</v>
      </c>
      <c r="S2412" s="20">
        <v>342.41688035673292</v>
      </c>
    </row>
    <row r="2413" spans="2:19" ht="15" customHeight="1" x14ac:dyDescent="0.25">
      <c r="B2413" s="2" t="str">
        <f t="shared" si="74"/>
        <v>PGL_Business_Small/Mid-Size Business_Assessments_Pre-Rinse Sprayer_0_Ci</v>
      </c>
      <c r="C2413" s="2" t="str">
        <f t="shared" si="75"/>
        <v>PGL_Business_Small/Mid-Size Business_Assessments_Pre-Rinse Sprayer_0_Ci_2022</v>
      </c>
      <c r="D2413" s="19" t="s">
        <v>1794</v>
      </c>
      <c r="E2413" s="19" t="s">
        <v>3</v>
      </c>
      <c r="F2413" s="19" t="s">
        <v>1432</v>
      </c>
      <c r="G2413" s="19" t="s">
        <v>1431</v>
      </c>
      <c r="H2413" s="19" t="s">
        <v>1219</v>
      </c>
      <c r="I2413" s="19">
        <v>0</v>
      </c>
      <c r="J2413" s="19" t="s">
        <v>43</v>
      </c>
      <c r="K2413" s="19" t="s">
        <v>1433</v>
      </c>
      <c r="L2413" s="19">
        <v>2022</v>
      </c>
      <c r="M2413" s="20">
        <v>1</v>
      </c>
      <c r="N2413" s="19" t="s">
        <v>1798</v>
      </c>
      <c r="O2413" s="20">
        <v>30</v>
      </c>
      <c r="P2413" s="20">
        <v>30</v>
      </c>
      <c r="Q2413" s="20">
        <v>6719.663059200001</v>
      </c>
      <c r="R2413" s="21">
        <v>0.95</v>
      </c>
      <c r="S2413" s="20">
        <v>6719.663059200001</v>
      </c>
    </row>
    <row r="2414" spans="2:19" ht="15" customHeight="1" x14ac:dyDescent="0.25">
      <c r="B2414" s="2" t="str">
        <f t="shared" si="74"/>
        <v>PGL_Business_Small/Mid-Size Business_Assessments_Pre-Rinse Sprayer_0_Ci</v>
      </c>
      <c r="C2414" s="2" t="str">
        <f t="shared" si="75"/>
        <v>PGL_Business_Small/Mid-Size Business_Assessments_Pre-Rinse Sprayer_0_Ci_2023</v>
      </c>
      <c r="D2414" s="19" t="s">
        <v>1794</v>
      </c>
      <c r="E2414" s="19" t="s">
        <v>3</v>
      </c>
      <c r="F2414" s="19" t="s">
        <v>1432</v>
      </c>
      <c r="G2414" s="19" t="s">
        <v>1431</v>
      </c>
      <c r="H2414" s="19" t="s">
        <v>1219</v>
      </c>
      <c r="I2414" s="19">
        <v>0</v>
      </c>
      <c r="J2414" s="19" t="s">
        <v>43</v>
      </c>
      <c r="K2414" s="19" t="s">
        <v>1433</v>
      </c>
      <c r="L2414" s="19">
        <v>2023</v>
      </c>
      <c r="M2414" s="20">
        <v>1</v>
      </c>
      <c r="N2414" s="19" t="s">
        <v>1798</v>
      </c>
      <c r="O2414" s="20">
        <v>28</v>
      </c>
      <c r="P2414" s="20">
        <v>28</v>
      </c>
      <c r="Q2414" s="20">
        <v>6271.6855219200006</v>
      </c>
      <c r="R2414" s="21">
        <v>0.95</v>
      </c>
      <c r="S2414" s="20">
        <v>6271.6855219200006</v>
      </c>
    </row>
    <row r="2415" spans="2:19" ht="15" customHeight="1" x14ac:dyDescent="0.25">
      <c r="B2415" s="2" t="str">
        <f t="shared" si="74"/>
        <v>PGL_Business_Small/Mid-Size Business_Assessments_Pre-Rinse Sprayer_0_Ci</v>
      </c>
      <c r="C2415" s="2" t="str">
        <f t="shared" si="75"/>
        <v>PGL_Business_Small/Mid-Size Business_Assessments_Pre-Rinse Sprayer_0_Ci_2024</v>
      </c>
      <c r="D2415" s="19" t="s">
        <v>1794</v>
      </c>
      <c r="E2415" s="19" t="s">
        <v>3</v>
      </c>
      <c r="F2415" s="19" t="s">
        <v>1432</v>
      </c>
      <c r="G2415" s="19" t="s">
        <v>1431</v>
      </c>
      <c r="H2415" s="19" t="s">
        <v>1219</v>
      </c>
      <c r="I2415" s="19">
        <v>0</v>
      </c>
      <c r="J2415" s="19" t="s">
        <v>43</v>
      </c>
      <c r="K2415" s="19" t="s">
        <v>1433</v>
      </c>
      <c r="L2415" s="19">
        <v>2024</v>
      </c>
      <c r="M2415" s="20">
        <v>1</v>
      </c>
      <c r="N2415" s="19" t="s">
        <v>1798</v>
      </c>
      <c r="O2415" s="20">
        <v>24</v>
      </c>
      <c r="P2415" s="20">
        <v>24</v>
      </c>
      <c r="Q2415" s="20">
        <v>5375.7304473600007</v>
      </c>
      <c r="R2415" s="21">
        <v>0.95</v>
      </c>
      <c r="S2415" s="20">
        <v>5375.7304473600007</v>
      </c>
    </row>
    <row r="2416" spans="2:19" ht="15" customHeight="1" x14ac:dyDescent="0.25">
      <c r="B2416" s="2" t="str">
        <f t="shared" si="74"/>
        <v>PGL_Business_Small/Mid-Size Business_Assessments_Pre-Rinse Sprayer_0_Ci</v>
      </c>
      <c r="C2416" s="2" t="str">
        <f t="shared" si="75"/>
        <v>PGL_Business_Small/Mid-Size Business_Assessments_Pre-Rinse Sprayer_0_Ci_2025</v>
      </c>
      <c r="D2416" s="19" t="s">
        <v>1794</v>
      </c>
      <c r="E2416" s="19" t="s">
        <v>3</v>
      </c>
      <c r="F2416" s="19" t="s">
        <v>1432</v>
      </c>
      <c r="G2416" s="19" t="s">
        <v>1431</v>
      </c>
      <c r="H2416" s="19" t="s">
        <v>1219</v>
      </c>
      <c r="I2416" s="19">
        <v>0</v>
      </c>
      <c r="J2416" s="19" t="s">
        <v>43</v>
      </c>
      <c r="K2416" s="19" t="s">
        <v>1433</v>
      </c>
      <c r="L2416" s="19">
        <v>2025</v>
      </c>
      <c r="M2416" s="20">
        <v>1</v>
      </c>
      <c r="N2416" s="19" t="s">
        <v>1798</v>
      </c>
      <c r="O2416" s="20">
        <v>23</v>
      </c>
      <c r="P2416" s="20">
        <v>23</v>
      </c>
      <c r="Q2416" s="20">
        <v>5151.7416787200009</v>
      </c>
      <c r="R2416" s="21">
        <v>0.95</v>
      </c>
      <c r="S2416" s="20">
        <v>5151.7416787200009</v>
      </c>
    </row>
    <row r="2417" spans="2:19" ht="15" customHeight="1" x14ac:dyDescent="0.25">
      <c r="B2417" s="2" t="str">
        <f t="shared" si="74"/>
        <v>PGL_Business_Small/Mid-Size Business_Assessments_Pipe Insulation_DHW_CI</v>
      </c>
      <c r="C2417" s="2" t="str">
        <f t="shared" si="75"/>
        <v>PGL_Business_Small/Mid-Size Business_Assessments_Pipe Insulation_DHW_CI_2022</v>
      </c>
      <c r="D2417" s="19" t="s">
        <v>1794</v>
      </c>
      <c r="E2417" s="19" t="s">
        <v>3</v>
      </c>
      <c r="F2417" s="19" t="s">
        <v>1432</v>
      </c>
      <c r="G2417" s="19" t="s">
        <v>1431</v>
      </c>
      <c r="H2417" s="19" t="s">
        <v>404</v>
      </c>
      <c r="I2417" s="19" t="s">
        <v>1019</v>
      </c>
      <c r="J2417" s="19" t="s">
        <v>1272</v>
      </c>
      <c r="K2417" s="19" t="s">
        <v>1159</v>
      </c>
      <c r="L2417" s="19">
        <v>2022</v>
      </c>
      <c r="M2417" s="20">
        <v>3</v>
      </c>
      <c r="N2417" s="19" t="s">
        <v>616</v>
      </c>
      <c r="O2417" s="20">
        <v>0</v>
      </c>
      <c r="P2417" s="20">
        <v>0</v>
      </c>
      <c r="Q2417" s="20">
        <v>0</v>
      </c>
      <c r="R2417" s="21">
        <v>0.95</v>
      </c>
      <c r="S2417" s="20">
        <v>0</v>
      </c>
    </row>
    <row r="2418" spans="2:19" ht="15" customHeight="1" x14ac:dyDescent="0.25">
      <c r="B2418" s="2" t="str">
        <f t="shared" si="74"/>
        <v>PGL_Business_Small/Mid-Size Business_Assessments_Pipe Insulation_DHW_CI</v>
      </c>
      <c r="C2418" s="2" t="str">
        <f t="shared" si="75"/>
        <v>PGL_Business_Small/Mid-Size Business_Assessments_Pipe Insulation_DHW_CI_2023</v>
      </c>
      <c r="D2418" s="19" t="s">
        <v>1794</v>
      </c>
      <c r="E2418" s="19" t="s">
        <v>3</v>
      </c>
      <c r="F2418" s="19" t="s">
        <v>1432</v>
      </c>
      <c r="G2418" s="19" t="s">
        <v>1431</v>
      </c>
      <c r="H2418" s="19" t="s">
        <v>404</v>
      </c>
      <c r="I2418" s="19" t="s">
        <v>1019</v>
      </c>
      <c r="J2418" s="19" t="s">
        <v>1272</v>
      </c>
      <c r="K2418" s="19" t="s">
        <v>1159</v>
      </c>
      <c r="L2418" s="19">
        <v>2023</v>
      </c>
      <c r="M2418" s="20">
        <v>3</v>
      </c>
      <c r="N2418" s="19" t="s">
        <v>616</v>
      </c>
      <c r="O2418" s="20">
        <v>0</v>
      </c>
      <c r="P2418" s="20">
        <v>0</v>
      </c>
      <c r="Q2418" s="20">
        <v>0</v>
      </c>
      <c r="R2418" s="21">
        <v>0.95</v>
      </c>
      <c r="S2418" s="20">
        <v>0</v>
      </c>
    </row>
    <row r="2419" spans="2:19" ht="15" customHeight="1" x14ac:dyDescent="0.25">
      <c r="B2419" s="2" t="str">
        <f t="shared" si="74"/>
        <v>PGL_Business_Small/Mid-Size Business_Assessments_Pipe Insulation_DHW_CI</v>
      </c>
      <c r="C2419" s="2" t="str">
        <f t="shared" si="75"/>
        <v>PGL_Business_Small/Mid-Size Business_Assessments_Pipe Insulation_DHW_CI_2024</v>
      </c>
      <c r="D2419" s="19" t="s">
        <v>1794</v>
      </c>
      <c r="E2419" s="19" t="s">
        <v>3</v>
      </c>
      <c r="F2419" s="19" t="s">
        <v>1432</v>
      </c>
      <c r="G2419" s="19" t="s">
        <v>1431</v>
      </c>
      <c r="H2419" s="19" t="s">
        <v>404</v>
      </c>
      <c r="I2419" s="19" t="s">
        <v>1019</v>
      </c>
      <c r="J2419" s="19" t="s">
        <v>1272</v>
      </c>
      <c r="K2419" s="19" t="s">
        <v>1159</v>
      </c>
      <c r="L2419" s="19">
        <v>2024</v>
      </c>
      <c r="M2419" s="20">
        <v>3</v>
      </c>
      <c r="N2419" s="19" t="s">
        <v>616</v>
      </c>
      <c r="O2419" s="20">
        <v>0</v>
      </c>
      <c r="P2419" s="20">
        <v>0</v>
      </c>
      <c r="Q2419" s="20">
        <v>0</v>
      </c>
      <c r="R2419" s="21">
        <v>0.95</v>
      </c>
      <c r="S2419" s="20">
        <v>0</v>
      </c>
    </row>
    <row r="2420" spans="2:19" ht="15" customHeight="1" x14ac:dyDescent="0.25">
      <c r="B2420" s="2" t="str">
        <f t="shared" si="74"/>
        <v>PGL_Business_Small/Mid-Size Business_Assessments_Pipe Insulation_DHW_CI</v>
      </c>
      <c r="C2420" s="2" t="str">
        <f t="shared" si="75"/>
        <v>PGL_Business_Small/Mid-Size Business_Assessments_Pipe Insulation_DHW_CI_2025</v>
      </c>
      <c r="D2420" s="19" t="s">
        <v>1794</v>
      </c>
      <c r="E2420" s="19" t="s">
        <v>3</v>
      </c>
      <c r="F2420" s="19" t="s">
        <v>1432</v>
      </c>
      <c r="G2420" s="19" t="s">
        <v>1431</v>
      </c>
      <c r="H2420" s="19" t="s">
        <v>404</v>
      </c>
      <c r="I2420" s="19" t="s">
        <v>1019</v>
      </c>
      <c r="J2420" s="19" t="s">
        <v>1272</v>
      </c>
      <c r="K2420" s="19" t="s">
        <v>1159</v>
      </c>
      <c r="L2420" s="19">
        <v>2025</v>
      </c>
      <c r="M2420" s="20">
        <v>3</v>
      </c>
      <c r="N2420" s="19" t="s">
        <v>616</v>
      </c>
      <c r="O2420" s="20">
        <v>0</v>
      </c>
      <c r="P2420" s="20">
        <v>0</v>
      </c>
      <c r="Q2420" s="20">
        <v>0</v>
      </c>
      <c r="R2420" s="21">
        <v>0.95</v>
      </c>
      <c r="S2420" s="20">
        <v>0</v>
      </c>
    </row>
    <row r="2421" spans="2:19" ht="15" customHeight="1" x14ac:dyDescent="0.25">
      <c r="B2421" s="2" t="str">
        <f t="shared" si="74"/>
        <v>PGL_Business_Small/Mid-Size Business_Assessments_Small Commercial Advanced Thermostat_0_CI</v>
      </c>
      <c r="C2421" s="2" t="str">
        <f t="shared" si="75"/>
        <v>PGL_Business_Small/Mid-Size Business_Assessments_Small Commercial Advanced Thermostat_0_CI_2022</v>
      </c>
      <c r="D2421" s="19" t="s">
        <v>1794</v>
      </c>
      <c r="E2421" s="19" t="s">
        <v>3</v>
      </c>
      <c r="F2421" s="19" t="s">
        <v>1432</v>
      </c>
      <c r="G2421" s="19" t="s">
        <v>1431</v>
      </c>
      <c r="H2421" s="19" t="s">
        <v>1302</v>
      </c>
      <c r="I2421" s="19">
        <v>0</v>
      </c>
      <c r="J2421" s="19" t="s">
        <v>1183</v>
      </c>
      <c r="K2421" s="19" t="s">
        <v>1159</v>
      </c>
      <c r="L2421" s="19">
        <v>2022</v>
      </c>
      <c r="M2421" s="20">
        <v>1</v>
      </c>
      <c r="N2421" s="19" t="s">
        <v>1798</v>
      </c>
      <c r="O2421" s="20">
        <v>0</v>
      </c>
      <c r="P2421" s="20">
        <v>0</v>
      </c>
      <c r="Q2421" s="20">
        <v>0</v>
      </c>
      <c r="R2421" s="21">
        <v>0.95</v>
      </c>
      <c r="S2421" s="20">
        <v>0</v>
      </c>
    </row>
    <row r="2422" spans="2:19" ht="15" customHeight="1" x14ac:dyDescent="0.25">
      <c r="B2422" s="2" t="str">
        <f t="shared" si="74"/>
        <v>PGL_Business_Small/Mid-Size Business_Assessments_Small Commercial Advanced Thermostat_0_CI</v>
      </c>
      <c r="C2422" s="2" t="str">
        <f t="shared" si="75"/>
        <v>PGL_Business_Small/Mid-Size Business_Assessments_Small Commercial Advanced Thermostat_0_CI_2023</v>
      </c>
      <c r="D2422" s="19" t="s">
        <v>1794</v>
      </c>
      <c r="E2422" s="19" t="s">
        <v>3</v>
      </c>
      <c r="F2422" s="19" t="s">
        <v>1432</v>
      </c>
      <c r="G2422" s="19" t="s">
        <v>1431</v>
      </c>
      <c r="H2422" s="19" t="s">
        <v>1302</v>
      </c>
      <c r="I2422" s="19">
        <v>0</v>
      </c>
      <c r="J2422" s="19" t="s">
        <v>1183</v>
      </c>
      <c r="K2422" s="19" t="s">
        <v>1159</v>
      </c>
      <c r="L2422" s="19">
        <v>2023</v>
      </c>
      <c r="M2422" s="20">
        <v>1</v>
      </c>
      <c r="N2422" s="19" t="s">
        <v>1798</v>
      </c>
      <c r="O2422" s="20">
        <v>0</v>
      </c>
      <c r="P2422" s="20">
        <v>0</v>
      </c>
      <c r="Q2422" s="20">
        <v>0</v>
      </c>
      <c r="R2422" s="21">
        <v>0.95</v>
      </c>
      <c r="S2422" s="20">
        <v>0</v>
      </c>
    </row>
    <row r="2423" spans="2:19" ht="15" customHeight="1" x14ac:dyDescent="0.25">
      <c r="B2423" s="2" t="str">
        <f t="shared" si="74"/>
        <v>PGL_Business_Small/Mid-Size Business_Assessments_Small Commercial Advanced Thermostat_0_CI</v>
      </c>
      <c r="C2423" s="2" t="str">
        <f t="shared" si="75"/>
        <v>PGL_Business_Small/Mid-Size Business_Assessments_Small Commercial Advanced Thermostat_0_CI_2024</v>
      </c>
      <c r="D2423" s="19" t="s">
        <v>1794</v>
      </c>
      <c r="E2423" s="19" t="s">
        <v>3</v>
      </c>
      <c r="F2423" s="19" t="s">
        <v>1432</v>
      </c>
      <c r="G2423" s="19" t="s">
        <v>1431</v>
      </c>
      <c r="H2423" s="19" t="s">
        <v>1302</v>
      </c>
      <c r="I2423" s="19">
        <v>0</v>
      </c>
      <c r="J2423" s="19" t="s">
        <v>1183</v>
      </c>
      <c r="K2423" s="19" t="s">
        <v>1159</v>
      </c>
      <c r="L2423" s="19">
        <v>2024</v>
      </c>
      <c r="M2423" s="20">
        <v>1</v>
      </c>
      <c r="N2423" s="19" t="s">
        <v>1798</v>
      </c>
      <c r="O2423" s="20">
        <v>0</v>
      </c>
      <c r="P2423" s="20">
        <v>0</v>
      </c>
      <c r="Q2423" s="20">
        <v>0</v>
      </c>
      <c r="R2423" s="21">
        <v>0.95</v>
      </c>
      <c r="S2423" s="20">
        <v>0</v>
      </c>
    </row>
    <row r="2424" spans="2:19" ht="15" customHeight="1" x14ac:dyDescent="0.25">
      <c r="B2424" s="2" t="str">
        <f t="shared" si="74"/>
        <v>PGL_Business_Small/Mid-Size Business_Assessments_Small Commercial Advanced Thermostat_0_CI</v>
      </c>
      <c r="C2424" s="2" t="str">
        <f t="shared" si="75"/>
        <v>PGL_Business_Small/Mid-Size Business_Assessments_Small Commercial Advanced Thermostat_0_CI_2025</v>
      </c>
      <c r="D2424" s="19" t="s">
        <v>1794</v>
      </c>
      <c r="E2424" s="19" t="s">
        <v>3</v>
      </c>
      <c r="F2424" s="19" t="s">
        <v>1432</v>
      </c>
      <c r="G2424" s="19" t="s">
        <v>1431</v>
      </c>
      <c r="H2424" s="19" t="s">
        <v>1302</v>
      </c>
      <c r="I2424" s="19">
        <v>0</v>
      </c>
      <c r="J2424" s="19" t="s">
        <v>1183</v>
      </c>
      <c r="K2424" s="19" t="s">
        <v>1159</v>
      </c>
      <c r="L2424" s="19">
        <v>2025</v>
      </c>
      <c r="M2424" s="20">
        <v>1</v>
      </c>
      <c r="N2424" s="19" t="s">
        <v>1798</v>
      </c>
      <c r="O2424" s="20">
        <v>0</v>
      </c>
      <c r="P2424" s="20">
        <v>0</v>
      </c>
      <c r="Q2424" s="20">
        <v>0</v>
      </c>
      <c r="R2424" s="21">
        <v>0.95</v>
      </c>
      <c r="S2424" s="20">
        <v>0</v>
      </c>
    </row>
    <row r="2425" spans="2:19" ht="15" customHeight="1" x14ac:dyDescent="0.25">
      <c r="B2425" s="2" t="str">
        <f t="shared" si="74"/>
        <v>PGL_Business_Small/Mid-Size Business_Assessments_Programmable Thermostat_0_CI</v>
      </c>
      <c r="C2425" s="2" t="str">
        <f t="shared" si="75"/>
        <v>PGL_Business_Small/Mid-Size Business_Assessments_Programmable Thermostat_0_CI_2022</v>
      </c>
      <c r="D2425" s="19" t="s">
        <v>1794</v>
      </c>
      <c r="E2425" s="19" t="s">
        <v>3</v>
      </c>
      <c r="F2425" s="19" t="s">
        <v>1432</v>
      </c>
      <c r="G2425" s="19" t="s">
        <v>1431</v>
      </c>
      <c r="H2425" s="19" t="s">
        <v>224</v>
      </c>
      <c r="I2425" s="19">
        <v>0</v>
      </c>
      <c r="J2425" s="19" t="s">
        <v>1183</v>
      </c>
      <c r="K2425" s="19" t="s">
        <v>1159</v>
      </c>
      <c r="L2425" s="19">
        <v>2022</v>
      </c>
      <c r="M2425" s="20">
        <v>1</v>
      </c>
      <c r="N2425" s="19" t="s">
        <v>1798</v>
      </c>
      <c r="O2425" s="20">
        <v>0</v>
      </c>
      <c r="P2425" s="20">
        <v>0</v>
      </c>
      <c r="Q2425" s="20">
        <v>0</v>
      </c>
      <c r="R2425" s="21">
        <v>0.95</v>
      </c>
      <c r="S2425" s="20">
        <v>0</v>
      </c>
    </row>
    <row r="2426" spans="2:19" ht="15" customHeight="1" x14ac:dyDescent="0.25">
      <c r="B2426" s="2" t="str">
        <f t="shared" si="74"/>
        <v>PGL_Business_Small/Mid-Size Business_Assessments_Programmable Thermostat_0_CI</v>
      </c>
      <c r="C2426" s="2" t="str">
        <f t="shared" si="75"/>
        <v>PGL_Business_Small/Mid-Size Business_Assessments_Programmable Thermostat_0_CI_2023</v>
      </c>
      <c r="D2426" s="19" t="s">
        <v>1794</v>
      </c>
      <c r="E2426" s="19" t="s">
        <v>3</v>
      </c>
      <c r="F2426" s="19" t="s">
        <v>1432</v>
      </c>
      <c r="G2426" s="19" t="s">
        <v>1431</v>
      </c>
      <c r="H2426" s="19" t="s">
        <v>224</v>
      </c>
      <c r="I2426" s="19">
        <v>0</v>
      </c>
      <c r="J2426" s="19" t="s">
        <v>1183</v>
      </c>
      <c r="K2426" s="19" t="s">
        <v>1159</v>
      </c>
      <c r="L2426" s="19">
        <v>2023</v>
      </c>
      <c r="M2426" s="20">
        <v>1</v>
      </c>
      <c r="N2426" s="19" t="s">
        <v>1798</v>
      </c>
      <c r="O2426" s="20">
        <v>0</v>
      </c>
      <c r="P2426" s="20">
        <v>0</v>
      </c>
      <c r="Q2426" s="20">
        <v>0</v>
      </c>
      <c r="R2426" s="21">
        <v>0.95</v>
      </c>
      <c r="S2426" s="20">
        <v>0</v>
      </c>
    </row>
    <row r="2427" spans="2:19" ht="15" customHeight="1" x14ac:dyDescent="0.25">
      <c r="B2427" s="2" t="str">
        <f t="shared" si="74"/>
        <v>PGL_Business_Small/Mid-Size Business_Assessments_Programmable Thermostat_0_CI</v>
      </c>
      <c r="C2427" s="2" t="str">
        <f t="shared" si="75"/>
        <v>PGL_Business_Small/Mid-Size Business_Assessments_Programmable Thermostat_0_CI_2024</v>
      </c>
      <c r="D2427" s="19" t="s">
        <v>1794</v>
      </c>
      <c r="E2427" s="19" t="s">
        <v>3</v>
      </c>
      <c r="F2427" s="19" t="s">
        <v>1432</v>
      </c>
      <c r="G2427" s="19" t="s">
        <v>1431</v>
      </c>
      <c r="H2427" s="19" t="s">
        <v>224</v>
      </c>
      <c r="I2427" s="19">
        <v>0</v>
      </c>
      <c r="J2427" s="19" t="s">
        <v>1183</v>
      </c>
      <c r="K2427" s="19" t="s">
        <v>1159</v>
      </c>
      <c r="L2427" s="19">
        <v>2024</v>
      </c>
      <c r="M2427" s="20">
        <v>1</v>
      </c>
      <c r="N2427" s="19" t="s">
        <v>1798</v>
      </c>
      <c r="O2427" s="20">
        <v>0</v>
      </c>
      <c r="P2427" s="20">
        <v>0</v>
      </c>
      <c r="Q2427" s="20">
        <v>0</v>
      </c>
      <c r="R2427" s="21">
        <v>0.95</v>
      </c>
      <c r="S2427" s="20">
        <v>0</v>
      </c>
    </row>
    <row r="2428" spans="2:19" ht="15" customHeight="1" x14ac:dyDescent="0.25">
      <c r="B2428" s="2" t="str">
        <f t="shared" si="74"/>
        <v>PGL_Business_Small/Mid-Size Business_Assessments_Programmable Thermostat_0_CI</v>
      </c>
      <c r="C2428" s="2" t="str">
        <f t="shared" si="75"/>
        <v>PGL_Business_Small/Mid-Size Business_Assessments_Programmable Thermostat_0_CI_2025</v>
      </c>
      <c r="D2428" s="19" t="s">
        <v>1794</v>
      </c>
      <c r="E2428" s="19" t="s">
        <v>3</v>
      </c>
      <c r="F2428" s="19" t="s">
        <v>1432</v>
      </c>
      <c r="G2428" s="19" t="s">
        <v>1431</v>
      </c>
      <c r="H2428" s="19" t="s">
        <v>224</v>
      </c>
      <c r="I2428" s="19">
        <v>0</v>
      </c>
      <c r="J2428" s="19" t="s">
        <v>1183</v>
      </c>
      <c r="K2428" s="19" t="s">
        <v>1159</v>
      </c>
      <c r="L2428" s="19">
        <v>2025</v>
      </c>
      <c r="M2428" s="20">
        <v>1</v>
      </c>
      <c r="N2428" s="19" t="s">
        <v>1798</v>
      </c>
      <c r="O2428" s="20">
        <v>0</v>
      </c>
      <c r="P2428" s="20">
        <v>0</v>
      </c>
      <c r="Q2428" s="20">
        <v>0</v>
      </c>
      <c r="R2428" s="21">
        <v>0.95</v>
      </c>
      <c r="S2428" s="20">
        <v>0</v>
      </c>
    </row>
    <row r="2429" spans="2:19" ht="15" customHeight="1" x14ac:dyDescent="0.25">
      <c r="B2429" s="2" t="str">
        <f t="shared" si="74"/>
        <v>PGL_Business_Small/Mid-Size Business_Kits_SMB Kit_Motel Kit_SMB</v>
      </c>
      <c r="C2429" s="2" t="str">
        <f t="shared" si="75"/>
        <v>PGL_Business_Small/Mid-Size Business_Kits_SMB Kit_Motel Kit_SMB_2022</v>
      </c>
      <c r="D2429" s="19" t="s">
        <v>1794</v>
      </c>
      <c r="E2429" s="19" t="s">
        <v>3</v>
      </c>
      <c r="F2429" s="19" t="s">
        <v>1432</v>
      </c>
      <c r="G2429" s="19" t="s">
        <v>1434</v>
      </c>
      <c r="H2429" s="19" t="s">
        <v>1364</v>
      </c>
      <c r="I2429" s="19" t="s">
        <v>1393</v>
      </c>
      <c r="J2429" s="19" t="s">
        <v>1394</v>
      </c>
      <c r="K2429" s="19" t="s">
        <v>1220</v>
      </c>
      <c r="L2429" s="19">
        <v>2022</v>
      </c>
      <c r="M2429" s="20">
        <v>1</v>
      </c>
      <c r="N2429" s="19" t="s">
        <v>1808</v>
      </c>
      <c r="O2429" s="20">
        <v>42</v>
      </c>
      <c r="P2429" s="20">
        <v>42</v>
      </c>
      <c r="Q2429" s="20">
        <v>5367.0846599999995</v>
      </c>
      <c r="R2429" s="21">
        <v>0.95</v>
      </c>
      <c r="S2429" s="20">
        <v>5367.0846599999995</v>
      </c>
    </row>
    <row r="2430" spans="2:19" ht="15" customHeight="1" x14ac:dyDescent="0.25">
      <c r="B2430" s="2" t="str">
        <f t="shared" si="74"/>
        <v>PGL_Business_Small/Mid-Size Business_Kits_SMB Kit_Motel Kit_SMB</v>
      </c>
      <c r="C2430" s="2" t="str">
        <f t="shared" si="75"/>
        <v>PGL_Business_Small/Mid-Size Business_Kits_SMB Kit_Motel Kit_SMB_2023</v>
      </c>
      <c r="D2430" s="19" t="s">
        <v>1794</v>
      </c>
      <c r="E2430" s="19" t="s">
        <v>3</v>
      </c>
      <c r="F2430" s="19" t="s">
        <v>1432</v>
      </c>
      <c r="G2430" s="19" t="s">
        <v>1434</v>
      </c>
      <c r="H2430" s="19" t="s">
        <v>1364</v>
      </c>
      <c r="I2430" s="19" t="s">
        <v>1393</v>
      </c>
      <c r="J2430" s="19" t="s">
        <v>1394</v>
      </c>
      <c r="K2430" s="19" t="s">
        <v>1220</v>
      </c>
      <c r="L2430" s="19">
        <v>2023</v>
      </c>
      <c r="M2430" s="20">
        <v>1</v>
      </c>
      <c r="N2430" s="19" t="s">
        <v>1808</v>
      </c>
      <c r="O2430" s="20">
        <v>40</v>
      </c>
      <c r="P2430" s="20">
        <v>40</v>
      </c>
      <c r="Q2430" s="20">
        <v>5111.5091999999995</v>
      </c>
      <c r="R2430" s="21">
        <v>0.95</v>
      </c>
      <c r="S2430" s="20">
        <v>5111.5091999999995</v>
      </c>
    </row>
    <row r="2431" spans="2:19" ht="15" customHeight="1" x14ac:dyDescent="0.25">
      <c r="B2431" s="2" t="str">
        <f t="shared" si="74"/>
        <v>PGL_Business_Small/Mid-Size Business_Kits_SMB Kit_Motel Kit_SMB</v>
      </c>
      <c r="C2431" s="2" t="str">
        <f t="shared" si="75"/>
        <v>PGL_Business_Small/Mid-Size Business_Kits_SMB Kit_Motel Kit_SMB_2024</v>
      </c>
      <c r="D2431" s="19" t="s">
        <v>1794</v>
      </c>
      <c r="E2431" s="19" t="s">
        <v>3</v>
      </c>
      <c r="F2431" s="19" t="s">
        <v>1432</v>
      </c>
      <c r="G2431" s="19" t="s">
        <v>1434</v>
      </c>
      <c r="H2431" s="19" t="s">
        <v>1364</v>
      </c>
      <c r="I2431" s="19" t="s">
        <v>1393</v>
      </c>
      <c r="J2431" s="19" t="s">
        <v>1394</v>
      </c>
      <c r="K2431" s="19" t="s">
        <v>1220</v>
      </c>
      <c r="L2431" s="19">
        <v>2024</v>
      </c>
      <c r="M2431" s="20">
        <v>1</v>
      </c>
      <c r="N2431" s="19" t="s">
        <v>1808</v>
      </c>
      <c r="O2431" s="20">
        <v>35</v>
      </c>
      <c r="P2431" s="20">
        <v>35</v>
      </c>
      <c r="Q2431" s="20">
        <v>4472.5705499999995</v>
      </c>
      <c r="R2431" s="21">
        <v>0.95</v>
      </c>
      <c r="S2431" s="20">
        <v>4472.5705499999995</v>
      </c>
    </row>
    <row r="2432" spans="2:19" ht="15" customHeight="1" x14ac:dyDescent="0.25">
      <c r="B2432" s="2" t="str">
        <f t="shared" si="74"/>
        <v>PGL_Business_Small/Mid-Size Business_Kits_SMB Kit_Motel Kit_SMB</v>
      </c>
      <c r="C2432" s="2" t="str">
        <f t="shared" si="75"/>
        <v>PGL_Business_Small/Mid-Size Business_Kits_SMB Kit_Motel Kit_SMB_2025</v>
      </c>
      <c r="D2432" s="19" t="s">
        <v>1794</v>
      </c>
      <c r="E2432" s="19" t="s">
        <v>3</v>
      </c>
      <c r="F2432" s="19" t="s">
        <v>1432</v>
      </c>
      <c r="G2432" s="19" t="s">
        <v>1434</v>
      </c>
      <c r="H2432" s="19" t="s">
        <v>1364</v>
      </c>
      <c r="I2432" s="19" t="s">
        <v>1393</v>
      </c>
      <c r="J2432" s="19" t="s">
        <v>1394</v>
      </c>
      <c r="K2432" s="19" t="s">
        <v>1220</v>
      </c>
      <c r="L2432" s="19">
        <v>2025</v>
      </c>
      <c r="M2432" s="20">
        <v>1</v>
      </c>
      <c r="N2432" s="19" t="s">
        <v>1808</v>
      </c>
      <c r="O2432" s="20">
        <v>33</v>
      </c>
      <c r="P2432" s="20">
        <v>33</v>
      </c>
      <c r="Q2432" s="20">
        <v>4216.9950899999994</v>
      </c>
      <c r="R2432" s="21">
        <v>0.95</v>
      </c>
      <c r="S2432" s="20">
        <v>4216.9950899999994</v>
      </c>
    </row>
    <row r="2433" spans="2:19" ht="15" customHeight="1" x14ac:dyDescent="0.25">
      <c r="B2433" s="2" t="str">
        <f t="shared" si="74"/>
        <v>PGL_Business_Small/Mid-Size Business_Kits_SMB Kit_School - Grocery_SMB</v>
      </c>
      <c r="C2433" s="2" t="str">
        <f t="shared" si="75"/>
        <v>PGL_Business_Small/Mid-Size Business_Kits_SMB Kit_School - Grocery_SMB_2022</v>
      </c>
      <c r="D2433" s="19" t="s">
        <v>1794</v>
      </c>
      <c r="E2433" s="19" t="s">
        <v>3</v>
      </c>
      <c r="F2433" s="19" t="s">
        <v>1432</v>
      </c>
      <c r="G2433" s="19" t="s">
        <v>1434</v>
      </c>
      <c r="H2433" s="19" t="s">
        <v>1364</v>
      </c>
      <c r="I2433" s="19" t="s">
        <v>1395</v>
      </c>
      <c r="J2433" s="19" t="s">
        <v>1394</v>
      </c>
      <c r="K2433" s="19" t="s">
        <v>1220</v>
      </c>
      <c r="L2433" s="19">
        <v>2022</v>
      </c>
      <c r="M2433" s="20">
        <v>1</v>
      </c>
      <c r="N2433" s="19" t="s">
        <v>1808</v>
      </c>
      <c r="O2433" s="20">
        <v>42</v>
      </c>
      <c r="P2433" s="20">
        <v>42</v>
      </c>
      <c r="Q2433" s="20">
        <v>4318.0099199999995</v>
      </c>
      <c r="R2433" s="21">
        <v>0.95</v>
      </c>
      <c r="S2433" s="20">
        <v>4318.0099199999995</v>
      </c>
    </row>
    <row r="2434" spans="2:19" ht="15" customHeight="1" x14ac:dyDescent="0.25">
      <c r="B2434" s="2" t="str">
        <f t="shared" si="74"/>
        <v>PGL_Business_Small/Mid-Size Business_Kits_SMB Kit_School - Grocery_SMB</v>
      </c>
      <c r="C2434" s="2" t="str">
        <f t="shared" si="75"/>
        <v>PGL_Business_Small/Mid-Size Business_Kits_SMB Kit_School - Grocery_SMB_2023</v>
      </c>
      <c r="D2434" s="19" t="s">
        <v>1794</v>
      </c>
      <c r="E2434" s="19" t="s">
        <v>3</v>
      </c>
      <c r="F2434" s="19" t="s">
        <v>1432</v>
      </c>
      <c r="G2434" s="19" t="s">
        <v>1434</v>
      </c>
      <c r="H2434" s="19" t="s">
        <v>1364</v>
      </c>
      <c r="I2434" s="19" t="s">
        <v>1395</v>
      </c>
      <c r="J2434" s="19" t="s">
        <v>1394</v>
      </c>
      <c r="K2434" s="19" t="s">
        <v>1220</v>
      </c>
      <c r="L2434" s="19">
        <v>2023</v>
      </c>
      <c r="M2434" s="20">
        <v>1</v>
      </c>
      <c r="N2434" s="19" t="s">
        <v>1808</v>
      </c>
      <c r="O2434" s="20">
        <v>40</v>
      </c>
      <c r="P2434" s="20">
        <v>40</v>
      </c>
      <c r="Q2434" s="20">
        <v>4112.3904000000002</v>
      </c>
      <c r="R2434" s="21">
        <v>0.95</v>
      </c>
      <c r="S2434" s="20">
        <v>4112.3904000000002</v>
      </c>
    </row>
    <row r="2435" spans="2:19" ht="15" customHeight="1" x14ac:dyDescent="0.25">
      <c r="B2435" s="2" t="str">
        <f t="shared" si="74"/>
        <v>PGL_Business_Small/Mid-Size Business_Kits_SMB Kit_School - Grocery_SMB</v>
      </c>
      <c r="C2435" s="2" t="str">
        <f t="shared" si="75"/>
        <v>PGL_Business_Small/Mid-Size Business_Kits_SMB Kit_School - Grocery_SMB_2024</v>
      </c>
      <c r="D2435" s="19" t="s">
        <v>1794</v>
      </c>
      <c r="E2435" s="19" t="s">
        <v>3</v>
      </c>
      <c r="F2435" s="19" t="s">
        <v>1432</v>
      </c>
      <c r="G2435" s="19" t="s">
        <v>1434</v>
      </c>
      <c r="H2435" s="19" t="s">
        <v>1364</v>
      </c>
      <c r="I2435" s="19" t="s">
        <v>1395</v>
      </c>
      <c r="J2435" s="19" t="s">
        <v>1394</v>
      </c>
      <c r="K2435" s="19" t="s">
        <v>1220</v>
      </c>
      <c r="L2435" s="19">
        <v>2024</v>
      </c>
      <c r="M2435" s="20">
        <v>1</v>
      </c>
      <c r="N2435" s="19" t="s">
        <v>1808</v>
      </c>
      <c r="O2435" s="20">
        <v>35</v>
      </c>
      <c r="P2435" s="20">
        <v>35</v>
      </c>
      <c r="Q2435" s="20">
        <v>3598.3415999999997</v>
      </c>
      <c r="R2435" s="21">
        <v>0.95</v>
      </c>
      <c r="S2435" s="20">
        <v>3598.3415999999997</v>
      </c>
    </row>
    <row r="2436" spans="2:19" ht="15" customHeight="1" x14ac:dyDescent="0.25">
      <c r="B2436" s="2" t="str">
        <f t="shared" si="74"/>
        <v>PGL_Business_Small/Mid-Size Business_Kits_SMB Kit_School - Grocery_SMB</v>
      </c>
      <c r="C2436" s="2" t="str">
        <f t="shared" si="75"/>
        <v>PGL_Business_Small/Mid-Size Business_Kits_SMB Kit_School - Grocery_SMB_2025</v>
      </c>
      <c r="D2436" s="19" t="s">
        <v>1794</v>
      </c>
      <c r="E2436" s="19" t="s">
        <v>3</v>
      </c>
      <c r="F2436" s="19" t="s">
        <v>1432</v>
      </c>
      <c r="G2436" s="19" t="s">
        <v>1434</v>
      </c>
      <c r="H2436" s="19" t="s">
        <v>1364</v>
      </c>
      <c r="I2436" s="19" t="s">
        <v>1395</v>
      </c>
      <c r="J2436" s="19" t="s">
        <v>1394</v>
      </c>
      <c r="K2436" s="19" t="s">
        <v>1220</v>
      </c>
      <c r="L2436" s="19">
        <v>2025</v>
      </c>
      <c r="M2436" s="20">
        <v>1</v>
      </c>
      <c r="N2436" s="19" t="s">
        <v>1808</v>
      </c>
      <c r="O2436" s="20">
        <v>33</v>
      </c>
      <c r="P2436" s="20">
        <v>33</v>
      </c>
      <c r="Q2436" s="20">
        <v>3392.72208</v>
      </c>
      <c r="R2436" s="21">
        <v>0.95</v>
      </c>
      <c r="S2436" s="20">
        <v>3392.72208</v>
      </c>
    </row>
    <row r="2437" spans="2:19" ht="15" customHeight="1" x14ac:dyDescent="0.25">
      <c r="B2437" s="2" t="str">
        <f t="shared" si="74"/>
        <v>PGL_Business_Small/Mid-Size Business_Kits_SMB Kit_General - Worship_SMB</v>
      </c>
      <c r="C2437" s="2" t="str">
        <f t="shared" si="75"/>
        <v>PGL_Business_Small/Mid-Size Business_Kits_SMB Kit_General - Worship_SMB_2022</v>
      </c>
      <c r="D2437" s="19" t="s">
        <v>1794</v>
      </c>
      <c r="E2437" s="19" t="s">
        <v>3</v>
      </c>
      <c r="F2437" s="19" t="s">
        <v>1432</v>
      </c>
      <c r="G2437" s="19" t="s">
        <v>1434</v>
      </c>
      <c r="H2437" s="19" t="s">
        <v>1364</v>
      </c>
      <c r="I2437" s="19" t="s">
        <v>1396</v>
      </c>
      <c r="J2437" s="19" t="s">
        <v>1394</v>
      </c>
      <c r="K2437" s="19" t="s">
        <v>1220</v>
      </c>
      <c r="L2437" s="19">
        <v>2022</v>
      </c>
      <c r="M2437" s="20">
        <v>1</v>
      </c>
      <c r="N2437" s="19" t="s">
        <v>1808</v>
      </c>
      <c r="O2437" s="20">
        <v>252</v>
      </c>
      <c r="P2437" s="20">
        <v>252</v>
      </c>
      <c r="Q2437" s="20">
        <v>10817.384759999999</v>
      </c>
      <c r="R2437" s="21">
        <v>0.95</v>
      </c>
      <c r="S2437" s="20">
        <v>10817.384759999999</v>
      </c>
    </row>
    <row r="2438" spans="2:19" ht="15" customHeight="1" x14ac:dyDescent="0.25">
      <c r="B2438" s="2" t="str">
        <f t="shared" ref="B2438:B2501" si="76">D2438&amp;"_"&amp;E2438&amp;"_"&amp;F2438&amp;"_"&amp;G2438&amp;"_"&amp;H2438&amp;"_"&amp;I2438&amp;"_"&amp;K2438</f>
        <v>PGL_Business_Small/Mid-Size Business_Kits_SMB Kit_General - Worship_SMB</v>
      </c>
      <c r="C2438" s="2" t="str">
        <f t="shared" ref="C2438:C2501" si="77">D2438&amp;"_"&amp;E2438&amp;"_"&amp;F2438&amp;"_"&amp;G2438&amp;"_"&amp;H2438&amp;"_"&amp;I2438&amp;"_"&amp;K2438&amp;"_"&amp;L2438</f>
        <v>PGL_Business_Small/Mid-Size Business_Kits_SMB Kit_General - Worship_SMB_2023</v>
      </c>
      <c r="D2438" s="19" t="s">
        <v>1794</v>
      </c>
      <c r="E2438" s="19" t="s">
        <v>3</v>
      </c>
      <c r="F2438" s="19" t="s">
        <v>1432</v>
      </c>
      <c r="G2438" s="19" t="s">
        <v>1434</v>
      </c>
      <c r="H2438" s="19" t="s">
        <v>1364</v>
      </c>
      <c r="I2438" s="19" t="s">
        <v>1396</v>
      </c>
      <c r="J2438" s="19" t="s">
        <v>1394</v>
      </c>
      <c r="K2438" s="19" t="s">
        <v>1220</v>
      </c>
      <c r="L2438" s="19">
        <v>2023</v>
      </c>
      <c r="M2438" s="20">
        <v>1</v>
      </c>
      <c r="N2438" s="19" t="s">
        <v>1808</v>
      </c>
      <c r="O2438" s="20">
        <v>237</v>
      </c>
      <c r="P2438" s="20">
        <v>237</v>
      </c>
      <c r="Q2438" s="20">
        <v>10173.492809999998</v>
      </c>
      <c r="R2438" s="21">
        <v>0.95</v>
      </c>
      <c r="S2438" s="20">
        <v>10173.492809999998</v>
      </c>
    </row>
    <row r="2439" spans="2:19" ht="15" customHeight="1" x14ac:dyDescent="0.25">
      <c r="B2439" s="2" t="str">
        <f t="shared" si="76"/>
        <v>PGL_Business_Small/Mid-Size Business_Kits_SMB Kit_General - Worship_SMB</v>
      </c>
      <c r="C2439" s="2" t="str">
        <f t="shared" si="77"/>
        <v>PGL_Business_Small/Mid-Size Business_Kits_SMB Kit_General - Worship_SMB_2024</v>
      </c>
      <c r="D2439" s="19" t="s">
        <v>1794</v>
      </c>
      <c r="E2439" s="19" t="s">
        <v>3</v>
      </c>
      <c r="F2439" s="19" t="s">
        <v>1432</v>
      </c>
      <c r="G2439" s="19" t="s">
        <v>1434</v>
      </c>
      <c r="H2439" s="19" t="s">
        <v>1364</v>
      </c>
      <c r="I2439" s="19" t="s">
        <v>1396</v>
      </c>
      <c r="J2439" s="19" t="s">
        <v>1394</v>
      </c>
      <c r="K2439" s="19" t="s">
        <v>1220</v>
      </c>
      <c r="L2439" s="19">
        <v>2024</v>
      </c>
      <c r="M2439" s="20">
        <v>1</v>
      </c>
      <c r="N2439" s="19" t="s">
        <v>1808</v>
      </c>
      <c r="O2439" s="20">
        <v>207</v>
      </c>
      <c r="P2439" s="20">
        <v>207</v>
      </c>
      <c r="Q2439" s="20">
        <v>8885.7089099999976</v>
      </c>
      <c r="R2439" s="21">
        <v>0.95</v>
      </c>
      <c r="S2439" s="20">
        <v>8885.7089099999976</v>
      </c>
    </row>
    <row r="2440" spans="2:19" ht="15" customHeight="1" x14ac:dyDescent="0.25">
      <c r="B2440" s="2" t="str">
        <f t="shared" si="76"/>
        <v>PGL_Business_Small/Mid-Size Business_Kits_SMB Kit_General - Worship_SMB</v>
      </c>
      <c r="C2440" s="2" t="str">
        <f t="shared" si="77"/>
        <v>PGL_Business_Small/Mid-Size Business_Kits_SMB Kit_General - Worship_SMB_2025</v>
      </c>
      <c r="D2440" s="19" t="s">
        <v>1794</v>
      </c>
      <c r="E2440" s="19" t="s">
        <v>3</v>
      </c>
      <c r="F2440" s="19" t="s">
        <v>1432</v>
      </c>
      <c r="G2440" s="19" t="s">
        <v>1434</v>
      </c>
      <c r="H2440" s="19" t="s">
        <v>1364</v>
      </c>
      <c r="I2440" s="19" t="s">
        <v>1396</v>
      </c>
      <c r="J2440" s="19" t="s">
        <v>1394</v>
      </c>
      <c r="K2440" s="19" t="s">
        <v>1220</v>
      </c>
      <c r="L2440" s="19">
        <v>2025</v>
      </c>
      <c r="M2440" s="20">
        <v>1</v>
      </c>
      <c r="N2440" s="19" t="s">
        <v>1808</v>
      </c>
      <c r="O2440" s="20">
        <v>195</v>
      </c>
      <c r="P2440" s="20">
        <v>195</v>
      </c>
      <c r="Q2440" s="20">
        <v>8370.5953499999978</v>
      </c>
      <c r="R2440" s="21">
        <v>0.95</v>
      </c>
      <c r="S2440" s="20">
        <v>8370.5953499999978</v>
      </c>
    </row>
    <row r="2441" spans="2:19" ht="15" customHeight="1" x14ac:dyDescent="0.25">
      <c r="B2441" s="2" t="str">
        <f t="shared" si="76"/>
        <v>PGL_Business_Small/Mid-Size Business_Gas Optimization_C&amp;I Gas Optimization_0_CI</v>
      </c>
      <c r="C2441" s="2" t="str">
        <f t="shared" si="77"/>
        <v>PGL_Business_Small/Mid-Size Business_Gas Optimization_C&amp;I Gas Optimization_0_CI_2022</v>
      </c>
      <c r="D2441" s="19" t="s">
        <v>1794</v>
      </c>
      <c r="E2441" s="19" t="s">
        <v>3</v>
      </c>
      <c r="F2441" s="19" t="s">
        <v>1432</v>
      </c>
      <c r="G2441" s="19" t="s">
        <v>1098</v>
      </c>
      <c r="H2441" s="19" t="s">
        <v>1283</v>
      </c>
      <c r="I2441" s="19">
        <v>0</v>
      </c>
      <c r="J2441" s="19">
        <v>0</v>
      </c>
      <c r="K2441" s="19" t="s">
        <v>1159</v>
      </c>
      <c r="L2441" s="19">
        <v>2022</v>
      </c>
      <c r="M2441" s="20">
        <v>10588.58</v>
      </c>
      <c r="N2441" s="19" t="s">
        <v>609</v>
      </c>
      <c r="O2441" s="20">
        <v>3</v>
      </c>
      <c r="P2441" s="20">
        <v>31765.739999999998</v>
      </c>
      <c r="Q2441" s="20">
        <v>28906.823399999997</v>
      </c>
      <c r="R2441" s="21">
        <v>0.91</v>
      </c>
      <c r="S2441" s="20">
        <v>28906.823399999997</v>
      </c>
    </row>
    <row r="2442" spans="2:19" ht="15" customHeight="1" x14ac:dyDescent="0.25">
      <c r="B2442" s="2" t="str">
        <f t="shared" si="76"/>
        <v>PGL_Business_Small/Mid-Size Business_Gas Optimization_C&amp;I Gas Optimization_0_CI</v>
      </c>
      <c r="C2442" s="2" t="str">
        <f t="shared" si="77"/>
        <v>PGL_Business_Small/Mid-Size Business_Gas Optimization_C&amp;I Gas Optimization_0_CI_2023</v>
      </c>
      <c r="D2442" s="19" t="s">
        <v>1794</v>
      </c>
      <c r="E2442" s="19" t="s">
        <v>3</v>
      </c>
      <c r="F2442" s="19" t="s">
        <v>1432</v>
      </c>
      <c r="G2442" s="19" t="s">
        <v>1098</v>
      </c>
      <c r="H2442" s="19" t="s">
        <v>1283</v>
      </c>
      <c r="I2442" s="19">
        <v>0</v>
      </c>
      <c r="J2442" s="19">
        <v>0</v>
      </c>
      <c r="K2442" s="19" t="s">
        <v>1159</v>
      </c>
      <c r="L2442" s="19">
        <v>2023</v>
      </c>
      <c r="M2442" s="20">
        <v>10588.58</v>
      </c>
      <c r="N2442" s="19" t="s">
        <v>609</v>
      </c>
      <c r="O2442" s="20">
        <v>2</v>
      </c>
      <c r="P2442" s="20">
        <v>21177.16</v>
      </c>
      <c r="Q2442" s="20">
        <v>19271.2156</v>
      </c>
      <c r="R2442" s="21">
        <v>0.91</v>
      </c>
      <c r="S2442" s="20">
        <v>19271.2156</v>
      </c>
    </row>
    <row r="2443" spans="2:19" ht="15" customHeight="1" x14ac:dyDescent="0.25">
      <c r="B2443" s="2" t="str">
        <f t="shared" si="76"/>
        <v>PGL_Business_Small/Mid-Size Business_Gas Optimization_C&amp;I Gas Optimization_0_CI</v>
      </c>
      <c r="C2443" s="2" t="str">
        <f t="shared" si="77"/>
        <v>PGL_Business_Small/Mid-Size Business_Gas Optimization_C&amp;I Gas Optimization_0_CI_2024</v>
      </c>
      <c r="D2443" s="19" t="s">
        <v>1794</v>
      </c>
      <c r="E2443" s="19" t="s">
        <v>3</v>
      </c>
      <c r="F2443" s="19" t="s">
        <v>1432</v>
      </c>
      <c r="G2443" s="19" t="s">
        <v>1098</v>
      </c>
      <c r="H2443" s="19" t="s">
        <v>1283</v>
      </c>
      <c r="I2443" s="19">
        <v>0</v>
      </c>
      <c r="J2443" s="19">
        <v>0</v>
      </c>
      <c r="K2443" s="19" t="s">
        <v>1159</v>
      </c>
      <c r="L2443" s="19">
        <v>2024</v>
      </c>
      <c r="M2443" s="20">
        <v>10588.58</v>
      </c>
      <c r="N2443" s="19" t="s">
        <v>609</v>
      </c>
      <c r="O2443" s="20">
        <v>2</v>
      </c>
      <c r="P2443" s="20">
        <v>21177.16</v>
      </c>
      <c r="Q2443" s="20">
        <v>19271.2156</v>
      </c>
      <c r="R2443" s="21">
        <v>0.91</v>
      </c>
      <c r="S2443" s="20">
        <v>19271.2156</v>
      </c>
    </row>
    <row r="2444" spans="2:19" ht="15" customHeight="1" x14ac:dyDescent="0.25">
      <c r="B2444" s="2" t="str">
        <f t="shared" si="76"/>
        <v>PGL_Business_Small/Mid-Size Business_Gas Optimization_C&amp;I Gas Optimization_0_CI</v>
      </c>
      <c r="C2444" s="2" t="str">
        <f t="shared" si="77"/>
        <v>PGL_Business_Small/Mid-Size Business_Gas Optimization_C&amp;I Gas Optimization_0_CI_2025</v>
      </c>
      <c r="D2444" s="19" t="s">
        <v>1794</v>
      </c>
      <c r="E2444" s="19" t="s">
        <v>3</v>
      </c>
      <c r="F2444" s="19" t="s">
        <v>1432</v>
      </c>
      <c r="G2444" s="19" t="s">
        <v>1098</v>
      </c>
      <c r="H2444" s="19" t="s">
        <v>1283</v>
      </c>
      <c r="I2444" s="19">
        <v>0</v>
      </c>
      <c r="J2444" s="19">
        <v>0</v>
      </c>
      <c r="K2444" s="19" t="s">
        <v>1159</v>
      </c>
      <c r="L2444" s="19">
        <v>2025</v>
      </c>
      <c r="M2444" s="20">
        <v>10588.58</v>
      </c>
      <c r="N2444" s="19" t="s">
        <v>609</v>
      </c>
      <c r="O2444" s="20">
        <v>2</v>
      </c>
      <c r="P2444" s="20">
        <v>21177.16</v>
      </c>
      <c r="Q2444" s="20">
        <v>19271.2156</v>
      </c>
      <c r="R2444" s="21">
        <v>0.91</v>
      </c>
      <c r="S2444" s="20">
        <v>19271.2156</v>
      </c>
    </row>
    <row r="2445" spans="2:19" ht="15" customHeight="1" x14ac:dyDescent="0.25">
      <c r="B2445" s="2" t="str">
        <f t="shared" si="76"/>
        <v>PGL_Business_Small/Mid-Size Business_Staffing Grant_Staffing Grant_0_CI</v>
      </c>
      <c r="C2445" s="2" t="str">
        <f t="shared" si="77"/>
        <v>PGL_Business_Small/Mid-Size Business_Staffing Grant_Staffing Grant_0_CI_2022</v>
      </c>
      <c r="D2445" s="19" t="s">
        <v>1794</v>
      </c>
      <c r="E2445" s="19" t="s">
        <v>3</v>
      </c>
      <c r="F2445" s="19" t="s">
        <v>1432</v>
      </c>
      <c r="G2445" s="19" t="s">
        <v>1435</v>
      </c>
      <c r="H2445" s="19" t="s">
        <v>1435</v>
      </c>
      <c r="I2445" s="19">
        <v>0</v>
      </c>
      <c r="J2445" s="19" t="s">
        <v>1469</v>
      </c>
      <c r="K2445" s="19" t="s">
        <v>1159</v>
      </c>
      <c r="L2445" s="19">
        <v>2022</v>
      </c>
      <c r="M2445" s="20">
        <v>1</v>
      </c>
      <c r="N2445" s="19" t="s">
        <v>1798</v>
      </c>
      <c r="O2445" s="20">
        <v>0</v>
      </c>
      <c r="P2445" s="20">
        <v>0</v>
      </c>
      <c r="Q2445" s="20">
        <v>0</v>
      </c>
      <c r="R2445" s="21">
        <v>1</v>
      </c>
      <c r="S2445" s="20">
        <v>0</v>
      </c>
    </row>
    <row r="2446" spans="2:19" ht="15" customHeight="1" x14ac:dyDescent="0.25">
      <c r="B2446" s="2" t="str">
        <f t="shared" si="76"/>
        <v>PGL_Business_Small/Mid-Size Business_Staffing Grant_Staffing Grant_0_CI</v>
      </c>
      <c r="C2446" s="2" t="str">
        <f t="shared" si="77"/>
        <v>PGL_Business_Small/Mid-Size Business_Staffing Grant_Staffing Grant_0_CI_2023</v>
      </c>
      <c r="D2446" s="19" t="s">
        <v>1794</v>
      </c>
      <c r="E2446" s="19" t="s">
        <v>3</v>
      </c>
      <c r="F2446" s="19" t="s">
        <v>1432</v>
      </c>
      <c r="G2446" s="19" t="s">
        <v>1435</v>
      </c>
      <c r="H2446" s="19" t="s">
        <v>1435</v>
      </c>
      <c r="I2446" s="19">
        <v>0</v>
      </c>
      <c r="J2446" s="19" t="s">
        <v>1469</v>
      </c>
      <c r="K2446" s="19" t="s">
        <v>1159</v>
      </c>
      <c r="L2446" s="19">
        <v>2023</v>
      </c>
      <c r="M2446" s="20">
        <v>1</v>
      </c>
      <c r="N2446" s="19" t="s">
        <v>1798</v>
      </c>
      <c r="O2446" s="20">
        <v>0</v>
      </c>
      <c r="P2446" s="20">
        <v>0</v>
      </c>
      <c r="Q2446" s="20">
        <v>0</v>
      </c>
      <c r="R2446" s="21">
        <v>1</v>
      </c>
      <c r="S2446" s="20">
        <v>0</v>
      </c>
    </row>
    <row r="2447" spans="2:19" ht="15" customHeight="1" x14ac:dyDescent="0.25">
      <c r="B2447" s="2" t="str">
        <f t="shared" si="76"/>
        <v>PGL_Business_Small/Mid-Size Business_Staffing Grant_Staffing Grant_0_CI</v>
      </c>
      <c r="C2447" s="2" t="str">
        <f t="shared" si="77"/>
        <v>PGL_Business_Small/Mid-Size Business_Staffing Grant_Staffing Grant_0_CI_2024</v>
      </c>
      <c r="D2447" s="19" t="s">
        <v>1794</v>
      </c>
      <c r="E2447" s="19" t="s">
        <v>3</v>
      </c>
      <c r="F2447" s="19" t="s">
        <v>1432</v>
      </c>
      <c r="G2447" s="19" t="s">
        <v>1435</v>
      </c>
      <c r="H2447" s="19" t="s">
        <v>1435</v>
      </c>
      <c r="I2447" s="19">
        <v>0</v>
      </c>
      <c r="J2447" s="19" t="s">
        <v>1469</v>
      </c>
      <c r="K2447" s="19" t="s">
        <v>1159</v>
      </c>
      <c r="L2447" s="19">
        <v>2024</v>
      </c>
      <c r="M2447" s="20">
        <v>1</v>
      </c>
      <c r="N2447" s="19" t="s">
        <v>1798</v>
      </c>
      <c r="O2447" s="20">
        <v>0</v>
      </c>
      <c r="P2447" s="20">
        <v>0</v>
      </c>
      <c r="Q2447" s="20">
        <v>0</v>
      </c>
      <c r="R2447" s="21">
        <v>1</v>
      </c>
      <c r="S2447" s="20">
        <v>0</v>
      </c>
    </row>
    <row r="2448" spans="2:19" ht="15" customHeight="1" x14ac:dyDescent="0.25">
      <c r="B2448" s="2" t="str">
        <f t="shared" si="76"/>
        <v>PGL_Business_Small/Mid-Size Business_Staffing Grant_Staffing Grant_0_CI</v>
      </c>
      <c r="C2448" s="2" t="str">
        <f t="shared" si="77"/>
        <v>PGL_Business_Small/Mid-Size Business_Staffing Grant_Staffing Grant_0_CI_2025</v>
      </c>
      <c r="D2448" s="19" t="s">
        <v>1794</v>
      </c>
      <c r="E2448" s="19" t="s">
        <v>3</v>
      </c>
      <c r="F2448" s="19" t="s">
        <v>1432</v>
      </c>
      <c r="G2448" s="19" t="s">
        <v>1435</v>
      </c>
      <c r="H2448" s="19" t="s">
        <v>1435</v>
      </c>
      <c r="I2448" s="19">
        <v>0</v>
      </c>
      <c r="J2448" s="19" t="s">
        <v>1469</v>
      </c>
      <c r="K2448" s="19" t="s">
        <v>1159</v>
      </c>
      <c r="L2448" s="19">
        <v>2025</v>
      </c>
      <c r="M2448" s="20">
        <v>1</v>
      </c>
      <c r="N2448" s="19" t="s">
        <v>1798</v>
      </c>
      <c r="O2448" s="20">
        <v>0</v>
      </c>
      <c r="P2448" s="20">
        <v>0</v>
      </c>
      <c r="Q2448" s="20">
        <v>0</v>
      </c>
      <c r="R2448" s="21">
        <v>1</v>
      </c>
      <c r="S2448" s="20">
        <v>0</v>
      </c>
    </row>
    <row r="2449" spans="2:19" ht="15" customHeight="1" x14ac:dyDescent="0.25">
      <c r="B2449" s="2" t="str">
        <f t="shared" si="76"/>
        <v>PGL_Business_Small/Mid-Size Business_Rebates_Boiler_≥88% AFUE, &lt;300MBh_CI</v>
      </c>
      <c r="C2449" s="2" t="str">
        <f t="shared" si="77"/>
        <v>PGL_Business_Small/Mid-Size Business_Rebates_Boiler_≥88% AFUE, &lt;300MBh_CI_2022</v>
      </c>
      <c r="D2449" s="19" t="s">
        <v>1794</v>
      </c>
      <c r="E2449" s="19" t="s">
        <v>3</v>
      </c>
      <c r="F2449" s="19" t="s">
        <v>1432</v>
      </c>
      <c r="G2449" s="19" t="s">
        <v>1429</v>
      </c>
      <c r="H2449" s="19" t="s">
        <v>944</v>
      </c>
      <c r="I2449" s="19" t="s">
        <v>945</v>
      </c>
      <c r="J2449" s="19" t="s">
        <v>942</v>
      </c>
      <c r="K2449" s="19" t="s">
        <v>1159</v>
      </c>
      <c r="L2449" s="19">
        <v>2022</v>
      </c>
      <c r="M2449" s="20">
        <v>100</v>
      </c>
      <c r="N2449" s="19" t="s">
        <v>667</v>
      </c>
      <c r="O2449" s="20">
        <v>1</v>
      </c>
      <c r="P2449" s="20">
        <v>100</v>
      </c>
      <c r="Q2449" s="20">
        <v>72.767619047619107</v>
      </c>
      <c r="R2449" s="21">
        <v>0.92</v>
      </c>
      <c r="S2449" s="20">
        <v>72.767619047619107</v>
      </c>
    </row>
    <row r="2450" spans="2:19" ht="15" customHeight="1" x14ac:dyDescent="0.25">
      <c r="B2450" s="2" t="str">
        <f t="shared" si="76"/>
        <v>PGL_Business_Small/Mid-Size Business_Rebates_Boiler_≥88% AFUE, &lt;300MBh_CI</v>
      </c>
      <c r="C2450" s="2" t="str">
        <f t="shared" si="77"/>
        <v>PGL_Business_Small/Mid-Size Business_Rebates_Boiler_≥88% AFUE, &lt;300MBh_CI_2023</v>
      </c>
      <c r="D2450" s="19" t="s">
        <v>1794</v>
      </c>
      <c r="E2450" s="19" t="s">
        <v>3</v>
      </c>
      <c r="F2450" s="19" t="s">
        <v>1432</v>
      </c>
      <c r="G2450" s="19" t="s">
        <v>1429</v>
      </c>
      <c r="H2450" s="19" t="s">
        <v>944</v>
      </c>
      <c r="I2450" s="19" t="s">
        <v>945</v>
      </c>
      <c r="J2450" s="19" t="s">
        <v>942</v>
      </c>
      <c r="K2450" s="19" t="s">
        <v>1159</v>
      </c>
      <c r="L2450" s="19">
        <v>2023</v>
      </c>
      <c r="M2450" s="20">
        <v>100</v>
      </c>
      <c r="N2450" s="19" t="s">
        <v>667</v>
      </c>
      <c r="O2450" s="20">
        <v>1</v>
      </c>
      <c r="P2450" s="20">
        <v>100</v>
      </c>
      <c r="Q2450" s="20">
        <v>72.767619047619107</v>
      </c>
      <c r="R2450" s="21">
        <v>0.92</v>
      </c>
      <c r="S2450" s="20">
        <v>72.767619047619107</v>
      </c>
    </row>
    <row r="2451" spans="2:19" ht="15" customHeight="1" x14ac:dyDescent="0.25">
      <c r="B2451" s="2" t="str">
        <f t="shared" si="76"/>
        <v>PGL_Business_Small/Mid-Size Business_Rebates_Boiler_≥88% AFUE, &lt;300MBh_CI</v>
      </c>
      <c r="C2451" s="2" t="str">
        <f t="shared" si="77"/>
        <v>PGL_Business_Small/Mid-Size Business_Rebates_Boiler_≥88% AFUE, &lt;300MBh_CI_2024</v>
      </c>
      <c r="D2451" s="19" t="s">
        <v>1794</v>
      </c>
      <c r="E2451" s="19" t="s">
        <v>3</v>
      </c>
      <c r="F2451" s="19" t="s">
        <v>1432</v>
      </c>
      <c r="G2451" s="19" t="s">
        <v>1429</v>
      </c>
      <c r="H2451" s="19" t="s">
        <v>944</v>
      </c>
      <c r="I2451" s="19" t="s">
        <v>945</v>
      </c>
      <c r="J2451" s="19" t="s">
        <v>942</v>
      </c>
      <c r="K2451" s="19" t="s">
        <v>1159</v>
      </c>
      <c r="L2451" s="19">
        <v>2024</v>
      </c>
      <c r="M2451" s="20">
        <v>100</v>
      </c>
      <c r="N2451" s="19" t="s">
        <v>667</v>
      </c>
      <c r="O2451" s="20">
        <v>1</v>
      </c>
      <c r="P2451" s="20">
        <v>100</v>
      </c>
      <c r="Q2451" s="20">
        <v>72.767619047619107</v>
      </c>
      <c r="R2451" s="21">
        <v>0.92</v>
      </c>
      <c r="S2451" s="20">
        <v>72.767619047619107</v>
      </c>
    </row>
    <row r="2452" spans="2:19" ht="15" customHeight="1" x14ac:dyDescent="0.25">
      <c r="B2452" s="2" t="str">
        <f t="shared" si="76"/>
        <v>PGL_Business_Small/Mid-Size Business_Rebates_Boiler_≥88% AFUE, &lt;300MBh_CI</v>
      </c>
      <c r="C2452" s="2" t="str">
        <f t="shared" si="77"/>
        <v>PGL_Business_Small/Mid-Size Business_Rebates_Boiler_≥88% AFUE, &lt;300MBh_CI_2025</v>
      </c>
      <c r="D2452" s="19" t="s">
        <v>1794</v>
      </c>
      <c r="E2452" s="19" t="s">
        <v>3</v>
      </c>
      <c r="F2452" s="19" t="s">
        <v>1432</v>
      </c>
      <c r="G2452" s="19" t="s">
        <v>1429</v>
      </c>
      <c r="H2452" s="19" t="s">
        <v>944</v>
      </c>
      <c r="I2452" s="19" t="s">
        <v>945</v>
      </c>
      <c r="J2452" s="19" t="s">
        <v>942</v>
      </c>
      <c r="K2452" s="19" t="s">
        <v>1159</v>
      </c>
      <c r="L2452" s="19">
        <v>2025</v>
      </c>
      <c r="M2452" s="20">
        <v>100</v>
      </c>
      <c r="N2452" s="19" t="s">
        <v>667</v>
      </c>
      <c r="O2452" s="20">
        <v>1</v>
      </c>
      <c r="P2452" s="20">
        <v>100</v>
      </c>
      <c r="Q2452" s="20">
        <v>72.767619047619107</v>
      </c>
      <c r="R2452" s="21">
        <v>0.92</v>
      </c>
      <c r="S2452" s="20">
        <v>72.767619047619107</v>
      </c>
    </row>
    <row r="2453" spans="2:19" ht="15" customHeight="1" x14ac:dyDescent="0.25">
      <c r="B2453" s="2" t="str">
        <f t="shared" si="76"/>
        <v>PGL_Business_Small/Mid-Size Business_Rebates_Boiler_≥88% AFUE, ≥300MBh TE_CI</v>
      </c>
      <c r="C2453" s="2" t="str">
        <f t="shared" si="77"/>
        <v>PGL_Business_Small/Mid-Size Business_Rebates_Boiler_≥88% AFUE, ≥300MBh TE_CI_2022</v>
      </c>
      <c r="D2453" s="19" t="s">
        <v>1794</v>
      </c>
      <c r="E2453" s="19" t="s">
        <v>3</v>
      </c>
      <c r="F2453" s="19" t="s">
        <v>1432</v>
      </c>
      <c r="G2453" s="19" t="s">
        <v>1429</v>
      </c>
      <c r="H2453" s="19" t="s">
        <v>944</v>
      </c>
      <c r="I2453" s="19" t="s">
        <v>946</v>
      </c>
      <c r="J2453" s="19" t="s">
        <v>942</v>
      </c>
      <c r="K2453" s="19" t="s">
        <v>1159</v>
      </c>
      <c r="L2453" s="19">
        <v>2022</v>
      </c>
      <c r="M2453" s="20">
        <v>1500</v>
      </c>
      <c r="N2453" s="19" t="s">
        <v>667</v>
      </c>
      <c r="O2453" s="20">
        <v>2</v>
      </c>
      <c r="P2453" s="20">
        <v>3000</v>
      </c>
      <c r="Q2453" s="20">
        <v>4584.3599999999979</v>
      </c>
      <c r="R2453" s="21">
        <v>0.92</v>
      </c>
      <c r="S2453" s="20">
        <v>4584.3599999999979</v>
      </c>
    </row>
    <row r="2454" spans="2:19" ht="15" customHeight="1" x14ac:dyDescent="0.25">
      <c r="B2454" s="2" t="str">
        <f t="shared" si="76"/>
        <v>PGL_Business_Small/Mid-Size Business_Rebates_Boiler_≥88% AFUE, ≥300MBh TE_CI</v>
      </c>
      <c r="C2454" s="2" t="str">
        <f t="shared" si="77"/>
        <v>PGL_Business_Small/Mid-Size Business_Rebates_Boiler_≥88% AFUE, ≥300MBh TE_CI_2023</v>
      </c>
      <c r="D2454" s="19" t="s">
        <v>1794</v>
      </c>
      <c r="E2454" s="19" t="s">
        <v>3</v>
      </c>
      <c r="F2454" s="19" t="s">
        <v>1432</v>
      </c>
      <c r="G2454" s="19" t="s">
        <v>1429</v>
      </c>
      <c r="H2454" s="19" t="s">
        <v>944</v>
      </c>
      <c r="I2454" s="19" t="s">
        <v>946</v>
      </c>
      <c r="J2454" s="19" t="s">
        <v>942</v>
      </c>
      <c r="K2454" s="19" t="s">
        <v>1159</v>
      </c>
      <c r="L2454" s="19">
        <v>2023</v>
      </c>
      <c r="M2454" s="20">
        <v>1500</v>
      </c>
      <c r="N2454" s="19" t="s">
        <v>667</v>
      </c>
      <c r="O2454" s="20">
        <v>2</v>
      </c>
      <c r="P2454" s="20">
        <v>3000</v>
      </c>
      <c r="Q2454" s="20">
        <v>4584.3599999999979</v>
      </c>
      <c r="R2454" s="21">
        <v>0.92</v>
      </c>
      <c r="S2454" s="20">
        <v>4584.3599999999979</v>
      </c>
    </row>
    <row r="2455" spans="2:19" ht="15" customHeight="1" x14ac:dyDescent="0.25">
      <c r="B2455" s="2" t="str">
        <f t="shared" si="76"/>
        <v>PGL_Business_Small/Mid-Size Business_Rebates_Boiler_≥88% AFUE, ≥300MBh TE_CI</v>
      </c>
      <c r="C2455" s="2" t="str">
        <f t="shared" si="77"/>
        <v>PGL_Business_Small/Mid-Size Business_Rebates_Boiler_≥88% AFUE, ≥300MBh TE_CI_2024</v>
      </c>
      <c r="D2455" s="19" t="s">
        <v>1794</v>
      </c>
      <c r="E2455" s="19" t="s">
        <v>3</v>
      </c>
      <c r="F2455" s="19" t="s">
        <v>1432</v>
      </c>
      <c r="G2455" s="19" t="s">
        <v>1429</v>
      </c>
      <c r="H2455" s="19" t="s">
        <v>944</v>
      </c>
      <c r="I2455" s="19" t="s">
        <v>946</v>
      </c>
      <c r="J2455" s="19" t="s">
        <v>942</v>
      </c>
      <c r="K2455" s="19" t="s">
        <v>1159</v>
      </c>
      <c r="L2455" s="19">
        <v>2024</v>
      </c>
      <c r="M2455" s="20">
        <v>1500</v>
      </c>
      <c r="N2455" s="19" t="s">
        <v>667</v>
      </c>
      <c r="O2455" s="20">
        <v>1</v>
      </c>
      <c r="P2455" s="20">
        <v>1500</v>
      </c>
      <c r="Q2455" s="20">
        <v>2292.1799999999989</v>
      </c>
      <c r="R2455" s="21">
        <v>0.92</v>
      </c>
      <c r="S2455" s="20">
        <v>2292.1799999999989</v>
      </c>
    </row>
    <row r="2456" spans="2:19" ht="15" customHeight="1" x14ac:dyDescent="0.25">
      <c r="B2456" s="2" t="str">
        <f t="shared" si="76"/>
        <v>PGL_Business_Small/Mid-Size Business_Rebates_Boiler_≥88% AFUE, ≥300MBh TE_CI</v>
      </c>
      <c r="C2456" s="2" t="str">
        <f t="shared" si="77"/>
        <v>PGL_Business_Small/Mid-Size Business_Rebates_Boiler_≥88% AFUE, ≥300MBh TE_CI_2025</v>
      </c>
      <c r="D2456" s="19" t="s">
        <v>1794</v>
      </c>
      <c r="E2456" s="19" t="s">
        <v>3</v>
      </c>
      <c r="F2456" s="19" t="s">
        <v>1432</v>
      </c>
      <c r="G2456" s="19" t="s">
        <v>1429</v>
      </c>
      <c r="H2456" s="19" t="s">
        <v>944</v>
      </c>
      <c r="I2456" s="19" t="s">
        <v>946</v>
      </c>
      <c r="J2456" s="19" t="s">
        <v>942</v>
      </c>
      <c r="K2456" s="19" t="s">
        <v>1159</v>
      </c>
      <c r="L2456" s="19">
        <v>2025</v>
      </c>
      <c r="M2456" s="20">
        <v>1500</v>
      </c>
      <c r="N2456" s="19" t="s">
        <v>667</v>
      </c>
      <c r="O2456" s="20">
        <v>1</v>
      </c>
      <c r="P2456" s="20">
        <v>1500</v>
      </c>
      <c r="Q2456" s="20">
        <v>2292.1799999999989</v>
      </c>
      <c r="R2456" s="21">
        <v>0.92</v>
      </c>
      <c r="S2456" s="20">
        <v>2292.1799999999989</v>
      </c>
    </row>
    <row r="2457" spans="2:19" ht="15" customHeight="1" x14ac:dyDescent="0.25">
      <c r="B2457" s="2" t="str">
        <f t="shared" si="76"/>
        <v>PGL_Business_Small/Mid-Size Business_Rebates_Boiler Reset Controls_0_CI</v>
      </c>
      <c r="C2457" s="2" t="str">
        <f t="shared" si="77"/>
        <v>PGL_Business_Small/Mid-Size Business_Rebates_Boiler Reset Controls_0_CI_2022</v>
      </c>
      <c r="D2457" s="19" t="s">
        <v>1794</v>
      </c>
      <c r="E2457" s="19" t="s">
        <v>3</v>
      </c>
      <c r="F2457" s="19" t="s">
        <v>1432</v>
      </c>
      <c r="G2457" s="19" t="s">
        <v>1429</v>
      </c>
      <c r="H2457" s="19" t="s">
        <v>978</v>
      </c>
      <c r="I2457" s="19">
        <v>0</v>
      </c>
      <c r="J2457" s="19" t="s">
        <v>25</v>
      </c>
      <c r="K2457" s="19" t="s">
        <v>1159</v>
      </c>
      <c r="L2457" s="19">
        <v>2022</v>
      </c>
      <c r="M2457" s="20">
        <v>200</v>
      </c>
      <c r="N2457" s="19" t="s">
        <v>667</v>
      </c>
      <c r="O2457" s="20">
        <v>3</v>
      </c>
      <c r="P2457" s="20">
        <v>600</v>
      </c>
      <c r="Q2457" s="20">
        <v>741.00480000000005</v>
      </c>
      <c r="R2457" s="21">
        <v>0.92</v>
      </c>
      <c r="S2457" s="20">
        <v>741.00480000000005</v>
      </c>
    </row>
    <row r="2458" spans="2:19" ht="15" customHeight="1" x14ac:dyDescent="0.25">
      <c r="B2458" s="2" t="str">
        <f t="shared" si="76"/>
        <v>PGL_Business_Small/Mid-Size Business_Rebates_Boiler Reset Controls_0_CI</v>
      </c>
      <c r="C2458" s="2" t="str">
        <f t="shared" si="77"/>
        <v>PGL_Business_Small/Mid-Size Business_Rebates_Boiler Reset Controls_0_CI_2023</v>
      </c>
      <c r="D2458" s="19" t="s">
        <v>1794</v>
      </c>
      <c r="E2458" s="19" t="s">
        <v>3</v>
      </c>
      <c r="F2458" s="19" t="s">
        <v>1432</v>
      </c>
      <c r="G2458" s="19" t="s">
        <v>1429</v>
      </c>
      <c r="H2458" s="19" t="s">
        <v>978</v>
      </c>
      <c r="I2458" s="19">
        <v>0</v>
      </c>
      <c r="J2458" s="19" t="s">
        <v>25</v>
      </c>
      <c r="K2458" s="19" t="s">
        <v>1159</v>
      </c>
      <c r="L2458" s="19">
        <v>2023</v>
      </c>
      <c r="M2458" s="20">
        <v>200</v>
      </c>
      <c r="N2458" s="19" t="s">
        <v>667</v>
      </c>
      <c r="O2458" s="20">
        <v>2</v>
      </c>
      <c r="P2458" s="20">
        <v>400</v>
      </c>
      <c r="Q2458" s="20">
        <v>494.00320000000005</v>
      </c>
      <c r="R2458" s="21">
        <v>0.92</v>
      </c>
      <c r="S2458" s="20">
        <v>494.00320000000005</v>
      </c>
    </row>
    <row r="2459" spans="2:19" ht="15" customHeight="1" x14ac:dyDescent="0.25">
      <c r="B2459" s="2" t="str">
        <f t="shared" si="76"/>
        <v>PGL_Business_Small/Mid-Size Business_Rebates_Boiler Reset Controls_0_CI</v>
      </c>
      <c r="C2459" s="2" t="str">
        <f t="shared" si="77"/>
        <v>PGL_Business_Small/Mid-Size Business_Rebates_Boiler Reset Controls_0_CI_2024</v>
      </c>
      <c r="D2459" s="19" t="s">
        <v>1794</v>
      </c>
      <c r="E2459" s="19" t="s">
        <v>3</v>
      </c>
      <c r="F2459" s="19" t="s">
        <v>1432</v>
      </c>
      <c r="G2459" s="19" t="s">
        <v>1429</v>
      </c>
      <c r="H2459" s="19" t="s">
        <v>978</v>
      </c>
      <c r="I2459" s="19">
        <v>0</v>
      </c>
      <c r="J2459" s="19" t="s">
        <v>25</v>
      </c>
      <c r="K2459" s="19" t="s">
        <v>1159</v>
      </c>
      <c r="L2459" s="19">
        <v>2024</v>
      </c>
      <c r="M2459" s="20">
        <v>200</v>
      </c>
      <c r="N2459" s="19" t="s">
        <v>667</v>
      </c>
      <c r="O2459" s="20">
        <v>2</v>
      </c>
      <c r="P2459" s="20">
        <v>400</v>
      </c>
      <c r="Q2459" s="20">
        <v>494.00320000000005</v>
      </c>
      <c r="R2459" s="21">
        <v>0.92</v>
      </c>
      <c r="S2459" s="20">
        <v>494.00320000000005</v>
      </c>
    </row>
    <row r="2460" spans="2:19" ht="15" customHeight="1" x14ac:dyDescent="0.25">
      <c r="B2460" s="2" t="str">
        <f t="shared" si="76"/>
        <v>PGL_Business_Small/Mid-Size Business_Rebates_Boiler Reset Controls_0_CI</v>
      </c>
      <c r="C2460" s="2" t="str">
        <f t="shared" si="77"/>
        <v>PGL_Business_Small/Mid-Size Business_Rebates_Boiler Reset Controls_0_CI_2025</v>
      </c>
      <c r="D2460" s="19" t="s">
        <v>1794</v>
      </c>
      <c r="E2460" s="19" t="s">
        <v>3</v>
      </c>
      <c r="F2460" s="19" t="s">
        <v>1432</v>
      </c>
      <c r="G2460" s="19" t="s">
        <v>1429</v>
      </c>
      <c r="H2460" s="19" t="s">
        <v>978</v>
      </c>
      <c r="I2460" s="19">
        <v>0</v>
      </c>
      <c r="J2460" s="19" t="s">
        <v>25</v>
      </c>
      <c r="K2460" s="19" t="s">
        <v>1159</v>
      </c>
      <c r="L2460" s="19">
        <v>2025</v>
      </c>
      <c r="M2460" s="20">
        <v>200</v>
      </c>
      <c r="N2460" s="19" t="s">
        <v>667</v>
      </c>
      <c r="O2460" s="20">
        <v>2</v>
      </c>
      <c r="P2460" s="20">
        <v>400</v>
      </c>
      <c r="Q2460" s="20">
        <v>494.00320000000005</v>
      </c>
      <c r="R2460" s="21">
        <v>0.92</v>
      </c>
      <c r="S2460" s="20">
        <v>494.00320000000005</v>
      </c>
    </row>
    <row r="2461" spans="2:19" ht="15" customHeight="1" x14ac:dyDescent="0.25">
      <c r="B2461" s="2" t="str">
        <f t="shared" si="76"/>
        <v>PGL_Business_Small/Mid-Size Business_Rebates_Boiler Tune Up_Process_MF/CI</v>
      </c>
      <c r="C2461" s="2" t="str">
        <f t="shared" si="77"/>
        <v>PGL_Business_Small/Mid-Size Business_Rebates_Boiler Tune Up_Process_MF/CI_2022</v>
      </c>
      <c r="D2461" s="19" t="s">
        <v>1794</v>
      </c>
      <c r="E2461" s="19" t="s">
        <v>3</v>
      </c>
      <c r="F2461" s="19" t="s">
        <v>1432</v>
      </c>
      <c r="G2461" s="19" t="s">
        <v>1429</v>
      </c>
      <c r="H2461" s="19" t="s">
        <v>906</v>
      </c>
      <c r="I2461" s="19" t="s">
        <v>924</v>
      </c>
      <c r="J2461" s="19" t="s">
        <v>927</v>
      </c>
      <c r="K2461" s="19" t="s">
        <v>587</v>
      </c>
      <c r="L2461" s="19">
        <v>2022</v>
      </c>
      <c r="M2461" s="20">
        <v>5277.8760000000002</v>
      </c>
      <c r="N2461" s="19" t="s">
        <v>667</v>
      </c>
      <c r="O2461" s="20">
        <v>13</v>
      </c>
      <c r="P2461" s="20">
        <v>68612.388000000006</v>
      </c>
      <c r="Q2461" s="20">
        <v>64558.531080264256</v>
      </c>
      <c r="R2461" s="21">
        <v>0.92</v>
      </c>
      <c r="S2461" s="20">
        <v>64558.531080264256</v>
      </c>
    </row>
    <row r="2462" spans="2:19" ht="15" customHeight="1" x14ac:dyDescent="0.25">
      <c r="B2462" s="2" t="str">
        <f t="shared" si="76"/>
        <v>PGL_Business_Small/Mid-Size Business_Rebates_Boiler Tune Up_Process_MF/CI</v>
      </c>
      <c r="C2462" s="2" t="str">
        <f t="shared" si="77"/>
        <v>PGL_Business_Small/Mid-Size Business_Rebates_Boiler Tune Up_Process_MF/CI_2023</v>
      </c>
      <c r="D2462" s="19" t="s">
        <v>1794</v>
      </c>
      <c r="E2462" s="19" t="s">
        <v>3</v>
      </c>
      <c r="F2462" s="19" t="s">
        <v>1432</v>
      </c>
      <c r="G2462" s="19" t="s">
        <v>1429</v>
      </c>
      <c r="H2462" s="19" t="s">
        <v>906</v>
      </c>
      <c r="I2462" s="19" t="s">
        <v>924</v>
      </c>
      <c r="J2462" s="19" t="s">
        <v>927</v>
      </c>
      <c r="K2462" s="19" t="s">
        <v>587</v>
      </c>
      <c r="L2462" s="19">
        <v>2023</v>
      </c>
      <c r="M2462" s="20">
        <v>5277.8760000000002</v>
      </c>
      <c r="N2462" s="19" t="s">
        <v>667</v>
      </c>
      <c r="O2462" s="20">
        <v>12</v>
      </c>
      <c r="P2462" s="20">
        <v>63334.512000000002</v>
      </c>
      <c r="Q2462" s="20">
        <v>59592.490227936229</v>
      </c>
      <c r="R2462" s="21">
        <v>0.92</v>
      </c>
      <c r="S2462" s="20">
        <v>59592.490227936229</v>
      </c>
    </row>
    <row r="2463" spans="2:19" ht="15" customHeight="1" x14ac:dyDescent="0.25">
      <c r="B2463" s="2" t="str">
        <f t="shared" si="76"/>
        <v>PGL_Business_Small/Mid-Size Business_Rebates_Boiler Tune Up_Process_MF/CI</v>
      </c>
      <c r="C2463" s="2" t="str">
        <f t="shared" si="77"/>
        <v>PGL_Business_Small/Mid-Size Business_Rebates_Boiler Tune Up_Process_MF/CI_2024</v>
      </c>
      <c r="D2463" s="19" t="s">
        <v>1794</v>
      </c>
      <c r="E2463" s="19" t="s">
        <v>3</v>
      </c>
      <c r="F2463" s="19" t="s">
        <v>1432</v>
      </c>
      <c r="G2463" s="19" t="s">
        <v>1429</v>
      </c>
      <c r="H2463" s="19" t="s">
        <v>906</v>
      </c>
      <c r="I2463" s="19" t="s">
        <v>924</v>
      </c>
      <c r="J2463" s="19" t="s">
        <v>927</v>
      </c>
      <c r="K2463" s="19" t="s">
        <v>587</v>
      </c>
      <c r="L2463" s="19">
        <v>2024</v>
      </c>
      <c r="M2463" s="20">
        <v>5277.8760000000002</v>
      </c>
      <c r="N2463" s="19" t="s">
        <v>667</v>
      </c>
      <c r="O2463" s="20">
        <v>10</v>
      </c>
      <c r="P2463" s="20">
        <v>52778.76</v>
      </c>
      <c r="Q2463" s="20">
        <v>49660.408523280195</v>
      </c>
      <c r="R2463" s="21">
        <v>0.92</v>
      </c>
      <c r="S2463" s="20">
        <v>49660.408523280195</v>
      </c>
    </row>
    <row r="2464" spans="2:19" ht="15" customHeight="1" x14ac:dyDescent="0.25">
      <c r="B2464" s="2" t="str">
        <f t="shared" si="76"/>
        <v>PGL_Business_Small/Mid-Size Business_Rebates_Boiler Tune Up_Process_MF/CI</v>
      </c>
      <c r="C2464" s="2" t="str">
        <f t="shared" si="77"/>
        <v>PGL_Business_Small/Mid-Size Business_Rebates_Boiler Tune Up_Process_MF/CI_2025</v>
      </c>
      <c r="D2464" s="19" t="s">
        <v>1794</v>
      </c>
      <c r="E2464" s="19" t="s">
        <v>3</v>
      </c>
      <c r="F2464" s="19" t="s">
        <v>1432</v>
      </c>
      <c r="G2464" s="19" t="s">
        <v>1429</v>
      </c>
      <c r="H2464" s="19" t="s">
        <v>906</v>
      </c>
      <c r="I2464" s="19" t="s">
        <v>924</v>
      </c>
      <c r="J2464" s="19" t="s">
        <v>927</v>
      </c>
      <c r="K2464" s="19" t="s">
        <v>587</v>
      </c>
      <c r="L2464" s="19">
        <v>2025</v>
      </c>
      <c r="M2464" s="20">
        <v>5277.8760000000002</v>
      </c>
      <c r="N2464" s="19" t="s">
        <v>667</v>
      </c>
      <c r="O2464" s="20">
        <v>10</v>
      </c>
      <c r="P2464" s="20">
        <v>52778.76</v>
      </c>
      <c r="Q2464" s="20">
        <v>49660.408523280195</v>
      </c>
      <c r="R2464" s="21">
        <v>0.92</v>
      </c>
      <c r="S2464" s="20">
        <v>49660.408523280195</v>
      </c>
    </row>
    <row r="2465" spans="2:19" ht="15" customHeight="1" x14ac:dyDescent="0.25">
      <c r="B2465" s="2" t="str">
        <f t="shared" si="76"/>
        <v>PGL_Business_Small/Mid-Size Business_Rebates_Boiler Tune Up_Space Heating_CI</v>
      </c>
      <c r="C2465" s="2" t="str">
        <f t="shared" si="77"/>
        <v>PGL_Business_Small/Mid-Size Business_Rebates_Boiler Tune Up_Space Heating_CI_2022</v>
      </c>
      <c r="D2465" s="19" t="s">
        <v>1794</v>
      </c>
      <c r="E2465" s="19" t="s">
        <v>3</v>
      </c>
      <c r="F2465" s="19" t="s">
        <v>1432</v>
      </c>
      <c r="G2465" s="19" t="s">
        <v>1429</v>
      </c>
      <c r="H2465" s="19" t="s">
        <v>906</v>
      </c>
      <c r="I2465" s="19" t="s">
        <v>907</v>
      </c>
      <c r="J2465" s="19" t="s">
        <v>909</v>
      </c>
      <c r="K2465" s="19" t="s">
        <v>1159</v>
      </c>
      <c r="L2465" s="19">
        <v>2022</v>
      </c>
      <c r="M2465" s="20">
        <v>5078.5</v>
      </c>
      <c r="N2465" s="19" t="s">
        <v>667</v>
      </c>
      <c r="O2465" s="20">
        <v>57</v>
      </c>
      <c r="P2465" s="20">
        <v>289474.5</v>
      </c>
      <c r="Q2465" s="20">
        <v>124835.46966404935</v>
      </c>
      <c r="R2465" s="21">
        <v>0.92</v>
      </c>
      <c r="S2465" s="20">
        <v>124835.46966404935</v>
      </c>
    </row>
    <row r="2466" spans="2:19" ht="15" customHeight="1" x14ac:dyDescent="0.25">
      <c r="B2466" s="2" t="str">
        <f t="shared" si="76"/>
        <v>PGL_Business_Small/Mid-Size Business_Rebates_Boiler Tune Up_Space Heating_CI</v>
      </c>
      <c r="C2466" s="2" t="str">
        <f t="shared" si="77"/>
        <v>PGL_Business_Small/Mid-Size Business_Rebates_Boiler Tune Up_Space Heating_CI_2023</v>
      </c>
      <c r="D2466" s="19" t="s">
        <v>1794</v>
      </c>
      <c r="E2466" s="19" t="s">
        <v>3</v>
      </c>
      <c r="F2466" s="19" t="s">
        <v>1432</v>
      </c>
      <c r="G2466" s="19" t="s">
        <v>1429</v>
      </c>
      <c r="H2466" s="19" t="s">
        <v>906</v>
      </c>
      <c r="I2466" s="19" t="s">
        <v>907</v>
      </c>
      <c r="J2466" s="19" t="s">
        <v>909</v>
      </c>
      <c r="K2466" s="19" t="s">
        <v>1159</v>
      </c>
      <c r="L2466" s="19">
        <v>2023</v>
      </c>
      <c r="M2466" s="20">
        <v>5078.5</v>
      </c>
      <c r="N2466" s="19" t="s">
        <v>667</v>
      </c>
      <c r="O2466" s="20">
        <v>54</v>
      </c>
      <c r="P2466" s="20">
        <v>274239</v>
      </c>
      <c r="Q2466" s="20">
        <v>118265.18178699413</v>
      </c>
      <c r="R2466" s="21">
        <v>0.92</v>
      </c>
      <c r="S2466" s="20">
        <v>118265.18178699413</v>
      </c>
    </row>
    <row r="2467" spans="2:19" ht="15" customHeight="1" x14ac:dyDescent="0.25">
      <c r="B2467" s="2" t="str">
        <f t="shared" si="76"/>
        <v>PGL_Business_Small/Mid-Size Business_Rebates_Boiler Tune Up_Space Heating_CI</v>
      </c>
      <c r="C2467" s="2" t="str">
        <f t="shared" si="77"/>
        <v>PGL_Business_Small/Mid-Size Business_Rebates_Boiler Tune Up_Space Heating_CI_2024</v>
      </c>
      <c r="D2467" s="19" t="s">
        <v>1794</v>
      </c>
      <c r="E2467" s="19" t="s">
        <v>3</v>
      </c>
      <c r="F2467" s="19" t="s">
        <v>1432</v>
      </c>
      <c r="G2467" s="19" t="s">
        <v>1429</v>
      </c>
      <c r="H2467" s="19" t="s">
        <v>906</v>
      </c>
      <c r="I2467" s="19" t="s">
        <v>907</v>
      </c>
      <c r="J2467" s="19" t="s">
        <v>909</v>
      </c>
      <c r="K2467" s="19" t="s">
        <v>1159</v>
      </c>
      <c r="L2467" s="19">
        <v>2024</v>
      </c>
      <c r="M2467" s="20">
        <v>5078.5</v>
      </c>
      <c r="N2467" s="19" t="s">
        <v>667</v>
      </c>
      <c r="O2467" s="20">
        <v>47</v>
      </c>
      <c r="P2467" s="20">
        <v>238689.5</v>
      </c>
      <c r="Q2467" s="20">
        <v>102934.51007386525</v>
      </c>
      <c r="R2467" s="21">
        <v>0.92</v>
      </c>
      <c r="S2467" s="20">
        <v>102934.51007386525</v>
      </c>
    </row>
    <row r="2468" spans="2:19" ht="15" customHeight="1" x14ac:dyDescent="0.25">
      <c r="B2468" s="2" t="str">
        <f t="shared" si="76"/>
        <v>PGL_Business_Small/Mid-Size Business_Rebates_Boiler Tune Up_Space Heating_CI</v>
      </c>
      <c r="C2468" s="2" t="str">
        <f t="shared" si="77"/>
        <v>PGL_Business_Small/Mid-Size Business_Rebates_Boiler Tune Up_Space Heating_CI_2025</v>
      </c>
      <c r="D2468" s="19" t="s">
        <v>1794</v>
      </c>
      <c r="E2468" s="19" t="s">
        <v>3</v>
      </c>
      <c r="F2468" s="19" t="s">
        <v>1432</v>
      </c>
      <c r="G2468" s="19" t="s">
        <v>1429</v>
      </c>
      <c r="H2468" s="19" t="s">
        <v>906</v>
      </c>
      <c r="I2468" s="19" t="s">
        <v>907</v>
      </c>
      <c r="J2468" s="19" t="s">
        <v>909</v>
      </c>
      <c r="K2468" s="19" t="s">
        <v>1159</v>
      </c>
      <c r="L2468" s="19">
        <v>2025</v>
      </c>
      <c r="M2468" s="20">
        <v>5078.5</v>
      </c>
      <c r="N2468" s="19" t="s">
        <v>667</v>
      </c>
      <c r="O2468" s="20">
        <v>44</v>
      </c>
      <c r="P2468" s="20">
        <v>223454</v>
      </c>
      <c r="Q2468" s="20">
        <v>96364.222196810035</v>
      </c>
      <c r="R2468" s="21">
        <v>0.92</v>
      </c>
      <c r="S2468" s="20">
        <v>96364.222196810035</v>
      </c>
    </row>
    <row r="2469" spans="2:19" ht="15" customHeight="1" x14ac:dyDescent="0.25">
      <c r="B2469" s="2" t="str">
        <f t="shared" si="76"/>
        <v>PGL_Business_Small/Mid-Size Business_Rebates_Condensing Unit Heater_0_MF/CI</v>
      </c>
      <c r="C2469" s="2" t="str">
        <f t="shared" si="77"/>
        <v>PGL_Business_Small/Mid-Size Business_Rebates_Condensing Unit Heater_0_MF/CI_2022</v>
      </c>
      <c r="D2469" s="19" t="s">
        <v>1794</v>
      </c>
      <c r="E2469" s="19" t="s">
        <v>3</v>
      </c>
      <c r="F2469" s="19" t="s">
        <v>1432</v>
      </c>
      <c r="G2469" s="19" t="s">
        <v>1429</v>
      </c>
      <c r="H2469" s="19" t="s">
        <v>13</v>
      </c>
      <c r="I2469" s="19">
        <v>0</v>
      </c>
      <c r="J2469" s="19" t="s">
        <v>32</v>
      </c>
      <c r="K2469" s="19" t="s">
        <v>587</v>
      </c>
      <c r="L2469" s="19">
        <v>2022</v>
      </c>
      <c r="M2469" s="20">
        <v>150</v>
      </c>
      <c r="N2469" s="19" t="s">
        <v>667</v>
      </c>
      <c r="O2469" s="20">
        <v>0</v>
      </c>
      <c r="P2469" s="20">
        <v>0</v>
      </c>
      <c r="Q2469" s="20">
        <v>0</v>
      </c>
      <c r="R2469" s="21">
        <v>0.92</v>
      </c>
      <c r="S2469" s="20">
        <v>0</v>
      </c>
    </row>
    <row r="2470" spans="2:19" ht="15" customHeight="1" x14ac:dyDescent="0.25">
      <c r="B2470" s="2" t="str">
        <f t="shared" si="76"/>
        <v>PGL_Business_Small/Mid-Size Business_Rebates_Condensing Unit Heater_0_MF/CI</v>
      </c>
      <c r="C2470" s="2" t="str">
        <f t="shared" si="77"/>
        <v>PGL_Business_Small/Mid-Size Business_Rebates_Condensing Unit Heater_0_MF/CI_2023</v>
      </c>
      <c r="D2470" s="19" t="s">
        <v>1794</v>
      </c>
      <c r="E2470" s="19" t="s">
        <v>3</v>
      </c>
      <c r="F2470" s="19" t="s">
        <v>1432</v>
      </c>
      <c r="G2470" s="19" t="s">
        <v>1429</v>
      </c>
      <c r="H2470" s="19" t="s">
        <v>13</v>
      </c>
      <c r="I2470" s="19">
        <v>0</v>
      </c>
      <c r="J2470" s="19" t="s">
        <v>32</v>
      </c>
      <c r="K2470" s="19" t="s">
        <v>587</v>
      </c>
      <c r="L2470" s="19">
        <v>2023</v>
      </c>
      <c r="M2470" s="20">
        <v>150</v>
      </c>
      <c r="N2470" s="19" t="s">
        <v>667</v>
      </c>
      <c r="O2470" s="20">
        <v>0</v>
      </c>
      <c r="P2470" s="20">
        <v>0</v>
      </c>
      <c r="Q2470" s="20">
        <v>0</v>
      </c>
      <c r="R2470" s="21">
        <v>0.92</v>
      </c>
      <c r="S2470" s="20">
        <v>0</v>
      </c>
    </row>
    <row r="2471" spans="2:19" ht="15" customHeight="1" x14ac:dyDescent="0.25">
      <c r="B2471" s="2" t="str">
        <f t="shared" si="76"/>
        <v>PGL_Business_Small/Mid-Size Business_Rebates_Condensing Unit Heater_0_MF/CI</v>
      </c>
      <c r="C2471" s="2" t="str">
        <f t="shared" si="77"/>
        <v>PGL_Business_Small/Mid-Size Business_Rebates_Condensing Unit Heater_0_MF/CI_2024</v>
      </c>
      <c r="D2471" s="19" t="s">
        <v>1794</v>
      </c>
      <c r="E2471" s="19" t="s">
        <v>3</v>
      </c>
      <c r="F2471" s="19" t="s">
        <v>1432</v>
      </c>
      <c r="G2471" s="19" t="s">
        <v>1429</v>
      </c>
      <c r="H2471" s="19" t="s">
        <v>13</v>
      </c>
      <c r="I2471" s="19">
        <v>0</v>
      </c>
      <c r="J2471" s="19" t="s">
        <v>32</v>
      </c>
      <c r="K2471" s="19" t="s">
        <v>587</v>
      </c>
      <c r="L2471" s="19">
        <v>2024</v>
      </c>
      <c r="M2471" s="20">
        <v>150</v>
      </c>
      <c r="N2471" s="19" t="s">
        <v>667</v>
      </c>
      <c r="O2471" s="20">
        <v>0</v>
      </c>
      <c r="P2471" s="20">
        <v>0</v>
      </c>
      <c r="Q2471" s="20">
        <v>0</v>
      </c>
      <c r="R2471" s="21">
        <v>0.92</v>
      </c>
      <c r="S2471" s="20">
        <v>0</v>
      </c>
    </row>
    <row r="2472" spans="2:19" ht="15" customHeight="1" x14ac:dyDescent="0.25">
      <c r="B2472" s="2" t="str">
        <f t="shared" si="76"/>
        <v>PGL_Business_Small/Mid-Size Business_Rebates_Condensing Unit Heater_0_MF/CI</v>
      </c>
      <c r="C2472" s="2" t="str">
        <f t="shared" si="77"/>
        <v>PGL_Business_Small/Mid-Size Business_Rebates_Condensing Unit Heater_0_MF/CI_2025</v>
      </c>
      <c r="D2472" s="19" t="s">
        <v>1794</v>
      </c>
      <c r="E2472" s="19" t="s">
        <v>3</v>
      </c>
      <c r="F2472" s="19" t="s">
        <v>1432</v>
      </c>
      <c r="G2472" s="19" t="s">
        <v>1429</v>
      </c>
      <c r="H2472" s="19" t="s">
        <v>13</v>
      </c>
      <c r="I2472" s="19">
        <v>0</v>
      </c>
      <c r="J2472" s="19" t="s">
        <v>32</v>
      </c>
      <c r="K2472" s="19" t="s">
        <v>587</v>
      </c>
      <c r="L2472" s="19">
        <v>2025</v>
      </c>
      <c r="M2472" s="20">
        <v>150</v>
      </c>
      <c r="N2472" s="19" t="s">
        <v>667</v>
      </c>
      <c r="O2472" s="20">
        <v>0</v>
      </c>
      <c r="P2472" s="20">
        <v>0</v>
      </c>
      <c r="Q2472" s="20">
        <v>0</v>
      </c>
      <c r="R2472" s="21">
        <v>0.92</v>
      </c>
      <c r="S2472" s="20">
        <v>0</v>
      </c>
    </row>
    <row r="2473" spans="2:19" ht="15" customHeight="1" x14ac:dyDescent="0.25">
      <c r="B2473" s="2" t="str">
        <f t="shared" si="76"/>
        <v>PGL_Business_Small/Mid-Size Business_Rebates_DCV - Kitchen_0_MF/CI</v>
      </c>
      <c r="C2473" s="2" t="str">
        <f t="shared" si="77"/>
        <v>PGL_Business_Small/Mid-Size Business_Rebates_DCV - Kitchen_0_MF/CI_2022</v>
      </c>
      <c r="D2473" s="19" t="s">
        <v>1794</v>
      </c>
      <c r="E2473" s="19" t="s">
        <v>3</v>
      </c>
      <c r="F2473" s="19" t="s">
        <v>1432</v>
      </c>
      <c r="G2473" s="19" t="s">
        <v>1429</v>
      </c>
      <c r="H2473" s="19" t="s">
        <v>1077</v>
      </c>
      <c r="I2473" s="19">
        <v>0</v>
      </c>
      <c r="J2473" s="19" t="s">
        <v>48</v>
      </c>
      <c r="K2473" s="19" t="s">
        <v>587</v>
      </c>
      <c r="L2473" s="19">
        <v>2022</v>
      </c>
      <c r="M2473" s="20">
        <v>7.75</v>
      </c>
      <c r="N2473" s="19" t="s">
        <v>333</v>
      </c>
      <c r="O2473" s="20">
        <v>2</v>
      </c>
      <c r="P2473" s="20">
        <v>15.5</v>
      </c>
      <c r="Q2473" s="20">
        <v>11037.24</v>
      </c>
      <c r="R2473" s="21">
        <v>0.92</v>
      </c>
      <c r="S2473" s="20">
        <v>11037.24</v>
      </c>
    </row>
    <row r="2474" spans="2:19" ht="15" customHeight="1" x14ac:dyDescent="0.25">
      <c r="B2474" s="2" t="str">
        <f t="shared" si="76"/>
        <v>PGL_Business_Small/Mid-Size Business_Rebates_DCV - Kitchen_0_MF/CI</v>
      </c>
      <c r="C2474" s="2" t="str">
        <f t="shared" si="77"/>
        <v>PGL_Business_Small/Mid-Size Business_Rebates_DCV - Kitchen_0_MF/CI_2023</v>
      </c>
      <c r="D2474" s="19" t="s">
        <v>1794</v>
      </c>
      <c r="E2474" s="19" t="s">
        <v>3</v>
      </c>
      <c r="F2474" s="19" t="s">
        <v>1432</v>
      </c>
      <c r="G2474" s="19" t="s">
        <v>1429</v>
      </c>
      <c r="H2474" s="19" t="s">
        <v>1077</v>
      </c>
      <c r="I2474" s="19">
        <v>0</v>
      </c>
      <c r="J2474" s="19" t="s">
        <v>48</v>
      </c>
      <c r="K2474" s="19" t="s">
        <v>587</v>
      </c>
      <c r="L2474" s="19">
        <v>2023</v>
      </c>
      <c r="M2474" s="20">
        <v>7.75</v>
      </c>
      <c r="N2474" s="19" t="s">
        <v>333</v>
      </c>
      <c r="O2474" s="20">
        <v>2</v>
      </c>
      <c r="P2474" s="20">
        <v>15.5</v>
      </c>
      <c r="Q2474" s="20">
        <v>11037.24</v>
      </c>
      <c r="R2474" s="21">
        <v>0.92</v>
      </c>
      <c r="S2474" s="20">
        <v>11037.24</v>
      </c>
    </row>
    <row r="2475" spans="2:19" ht="15" customHeight="1" x14ac:dyDescent="0.25">
      <c r="B2475" s="2" t="str">
        <f t="shared" si="76"/>
        <v>PGL_Business_Small/Mid-Size Business_Rebates_DCV - Kitchen_0_MF/CI</v>
      </c>
      <c r="C2475" s="2" t="str">
        <f t="shared" si="77"/>
        <v>PGL_Business_Small/Mid-Size Business_Rebates_DCV - Kitchen_0_MF/CI_2024</v>
      </c>
      <c r="D2475" s="19" t="s">
        <v>1794</v>
      </c>
      <c r="E2475" s="19" t="s">
        <v>3</v>
      </c>
      <c r="F2475" s="19" t="s">
        <v>1432</v>
      </c>
      <c r="G2475" s="19" t="s">
        <v>1429</v>
      </c>
      <c r="H2475" s="19" t="s">
        <v>1077</v>
      </c>
      <c r="I2475" s="19">
        <v>0</v>
      </c>
      <c r="J2475" s="19" t="s">
        <v>48</v>
      </c>
      <c r="K2475" s="19" t="s">
        <v>587</v>
      </c>
      <c r="L2475" s="19">
        <v>2024</v>
      </c>
      <c r="M2475" s="20">
        <v>7.75</v>
      </c>
      <c r="N2475" s="19" t="s">
        <v>333</v>
      </c>
      <c r="O2475" s="20">
        <v>1</v>
      </c>
      <c r="P2475" s="20">
        <v>7.75</v>
      </c>
      <c r="Q2475" s="20">
        <v>5518.62</v>
      </c>
      <c r="R2475" s="21">
        <v>0.92</v>
      </c>
      <c r="S2475" s="20">
        <v>5518.62</v>
      </c>
    </row>
    <row r="2476" spans="2:19" ht="15" customHeight="1" x14ac:dyDescent="0.25">
      <c r="B2476" s="2" t="str">
        <f t="shared" si="76"/>
        <v>PGL_Business_Small/Mid-Size Business_Rebates_DCV - Kitchen_0_MF/CI</v>
      </c>
      <c r="C2476" s="2" t="str">
        <f t="shared" si="77"/>
        <v>PGL_Business_Small/Mid-Size Business_Rebates_DCV - Kitchen_0_MF/CI_2025</v>
      </c>
      <c r="D2476" s="19" t="s">
        <v>1794</v>
      </c>
      <c r="E2476" s="19" t="s">
        <v>3</v>
      </c>
      <c r="F2476" s="19" t="s">
        <v>1432</v>
      </c>
      <c r="G2476" s="19" t="s">
        <v>1429</v>
      </c>
      <c r="H2476" s="19" t="s">
        <v>1077</v>
      </c>
      <c r="I2476" s="19">
        <v>0</v>
      </c>
      <c r="J2476" s="19" t="s">
        <v>48</v>
      </c>
      <c r="K2476" s="19" t="s">
        <v>587</v>
      </c>
      <c r="L2476" s="19">
        <v>2025</v>
      </c>
      <c r="M2476" s="20">
        <v>7.75</v>
      </c>
      <c r="N2476" s="19" t="s">
        <v>333</v>
      </c>
      <c r="O2476" s="20">
        <v>1</v>
      </c>
      <c r="P2476" s="20">
        <v>7.75</v>
      </c>
      <c r="Q2476" s="20">
        <v>5518.62</v>
      </c>
      <c r="R2476" s="21">
        <v>0.92</v>
      </c>
      <c r="S2476" s="20">
        <v>5518.62</v>
      </c>
    </row>
    <row r="2477" spans="2:19" ht="15" customHeight="1" x14ac:dyDescent="0.25">
      <c r="B2477" s="2" t="str">
        <f t="shared" si="76"/>
        <v>PGL_Business_Small/Mid-Size Business_Rebates_Direct Fired Heaters_0_MF/CI</v>
      </c>
      <c r="C2477" s="2" t="str">
        <f t="shared" si="77"/>
        <v>PGL_Business_Small/Mid-Size Business_Rebates_Direct Fired Heaters_0_MF/CI_2022</v>
      </c>
      <c r="D2477" s="19" t="s">
        <v>1794</v>
      </c>
      <c r="E2477" s="19" t="s">
        <v>3</v>
      </c>
      <c r="F2477" s="19" t="s">
        <v>1432</v>
      </c>
      <c r="G2477" s="19" t="s">
        <v>1429</v>
      </c>
      <c r="H2477" s="19" t="s">
        <v>666</v>
      </c>
      <c r="I2477" s="19">
        <v>0</v>
      </c>
      <c r="J2477" s="19" t="s">
        <v>673</v>
      </c>
      <c r="K2477" s="19" t="s">
        <v>587</v>
      </c>
      <c r="L2477" s="19">
        <v>2022</v>
      </c>
      <c r="M2477" s="20">
        <v>150</v>
      </c>
      <c r="N2477" s="19" t="s">
        <v>667</v>
      </c>
      <c r="O2477" s="20">
        <v>1</v>
      </c>
      <c r="P2477" s="20">
        <v>150</v>
      </c>
      <c r="Q2477" s="20">
        <v>513.36</v>
      </c>
      <c r="R2477" s="21">
        <v>0.92</v>
      </c>
      <c r="S2477" s="20">
        <v>513.36</v>
      </c>
    </row>
    <row r="2478" spans="2:19" ht="15" customHeight="1" x14ac:dyDescent="0.25">
      <c r="B2478" s="2" t="str">
        <f t="shared" si="76"/>
        <v>PGL_Business_Small/Mid-Size Business_Rebates_Direct Fired Heaters_0_MF/CI</v>
      </c>
      <c r="C2478" s="2" t="str">
        <f t="shared" si="77"/>
        <v>PGL_Business_Small/Mid-Size Business_Rebates_Direct Fired Heaters_0_MF/CI_2023</v>
      </c>
      <c r="D2478" s="19" t="s">
        <v>1794</v>
      </c>
      <c r="E2478" s="19" t="s">
        <v>3</v>
      </c>
      <c r="F2478" s="19" t="s">
        <v>1432</v>
      </c>
      <c r="G2478" s="19" t="s">
        <v>1429</v>
      </c>
      <c r="H2478" s="19" t="s">
        <v>666</v>
      </c>
      <c r="I2478" s="19">
        <v>0</v>
      </c>
      <c r="J2478" s="19" t="s">
        <v>673</v>
      </c>
      <c r="K2478" s="19" t="s">
        <v>587</v>
      </c>
      <c r="L2478" s="19">
        <v>2023</v>
      </c>
      <c r="M2478" s="20">
        <v>150</v>
      </c>
      <c r="N2478" s="19" t="s">
        <v>667</v>
      </c>
      <c r="O2478" s="20">
        <v>1</v>
      </c>
      <c r="P2478" s="20">
        <v>150</v>
      </c>
      <c r="Q2478" s="20">
        <v>513.36</v>
      </c>
      <c r="R2478" s="21">
        <v>0.92</v>
      </c>
      <c r="S2478" s="20">
        <v>513.36</v>
      </c>
    </row>
    <row r="2479" spans="2:19" ht="15" customHeight="1" x14ac:dyDescent="0.25">
      <c r="B2479" s="2" t="str">
        <f t="shared" si="76"/>
        <v>PGL_Business_Small/Mid-Size Business_Rebates_Direct Fired Heaters_0_MF/CI</v>
      </c>
      <c r="C2479" s="2" t="str">
        <f t="shared" si="77"/>
        <v>PGL_Business_Small/Mid-Size Business_Rebates_Direct Fired Heaters_0_MF/CI_2024</v>
      </c>
      <c r="D2479" s="19" t="s">
        <v>1794</v>
      </c>
      <c r="E2479" s="19" t="s">
        <v>3</v>
      </c>
      <c r="F2479" s="19" t="s">
        <v>1432</v>
      </c>
      <c r="G2479" s="19" t="s">
        <v>1429</v>
      </c>
      <c r="H2479" s="19" t="s">
        <v>666</v>
      </c>
      <c r="I2479" s="19">
        <v>0</v>
      </c>
      <c r="J2479" s="19" t="s">
        <v>673</v>
      </c>
      <c r="K2479" s="19" t="s">
        <v>587</v>
      </c>
      <c r="L2479" s="19">
        <v>2024</v>
      </c>
      <c r="M2479" s="20">
        <v>150</v>
      </c>
      <c r="N2479" s="19" t="s">
        <v>667</v>
      </c>
      <c r="O2479" s="20">
        <v>1</v>
      </c>
      <c r="P2479" s="20">
        <v>150</v>
      </c>
      <c r="Q2479" s="20">
        <v>513.36</v>
      </c>
      <c r="R2479" s="21">
        <v>0.92</v>
      </c>
      <c r="S2479" s="20">
        <v>513.36</v>
      </c>
    </row>
    <row r="2480" spans="2:19" ht="15" customHeight="1" x14ac:dyDescent="0.25">
      <c r="B2480" s="2" t="str">
        <f t="shared" si="76"/>
        <v>PGL_Business_Small/Mid-Size Business_Rebates_Direct Fired Heaters_0_MF/CI</v>
      </c>
      <c r="C2480" s="2" t="str">
        <f t="shared" si="77"/>
        <v>PGL_Business_Small/Mid-Size Business_Rebates_Direct Fired Heaters_0_MF/CI_2025</v>
      </c>
      <c r="D2480" s="19" t="s">
        <v>1794</v>
      </c>
      <c r="E2480" s="19" t="s">
        <v>3</v>
      </c>
      <c r="F2480" s="19" t="s">
        <v>1432</v>
      </c>
      <c r="G2480" s="19" t="s">
        <v>1429</v>
      </c>
      <c r="H2480" s="19" t="s">
        <v>666</v>
      </c>
      <c r="I2480" s="19">
        <v>0</v>
      </c>
      <c r="J2480" s="19" t="s">
        <v>673</v>
      </c>
      <c r="K2480" s="19" t="s">
        <v>587</v>
      </c>
      <c r="L2480" s="19">
        <v>2025</v>
      </c>
      <c r="M2480" s="20">
        <v>150</v>
      </c>
      <c r="N2480" s="19" t="s">
        <v>667</v>
      </c>
      <c r="O2480" s="20">
        <v>1</v>
      </c>
      <c r="P2480" s="20">
        <v>150</v>
      </c>
      <c r="Q2480" s="20">
        <v>513.36</v>
      </c>
      <c r="R2480" s="21">
        <v>0.92</v>
      </c>
      <c r="S2480" s="20">
        <v>513.36</v>
      </c>
    </row>
    <row r="2481" spans="2:19" ht="15" customHeight="1" x14ac:dyDescent="0.25">
      <c r="B2481" s="2" t="str">
        <f t="shared" si="76"/>
        <v>PGL_Business_Small/Mid-Size Business_Rebates_High Speed Washer_Hotel/Motel/Hospital_CI</v>
      </c>
      <c r="C2481" s="2" t="str">
        <f t="shared" si="77"/>
        <v>PGL_Business_Small/Mid-Size Business_Rebates_High Speed Washer_Hotel/Motel/Hospital_CI_2022</v>
      </c>
      <c r="D2481" s="19" t="s">
        <v>1794</v>
      </c>
      <c r="E2481" s="19" t="s">
        <v>3</v>
      </c>
      <c r="F2481" s="19" t="s">
        <v>1432</v>
      </c>
      <c r="G2481" s="19" t="s">
        <v>1429</v>
      </c>
      <c r="H2481" s="19" t="s">
        <v>725</v>
      </c>
      <c r="I2481" s="19" t="s">
        <v>1162</v>
      </c>
      <c r="J2481" s="19" t="s">
        <v>730</v>
      </c>
      <c r="K2481" s="19" t="s">
        <v>1159</v>
      </c>
      <c r="L2481" s="19">
        <v>2022</v>
      </c>
      <c r="M2481" s="20">
        <v>250</v>
      </c>
      <c r="N2481" s="19" t="s">
        <v>1803</v>
      </c>
      <c r="O2481" s="20">
        <v>1</v>
      </c>
      <c r="P2481" s="20">
        <v>250</v>
      </c>
      <c r="Q2481" s="20">
        <v>1551.566016</v>
      </c>
      <c r="R2481" s="21">
        <v>0.92</v>
      </c>
      <c r="S2481" s="20">
        <v>1551.566016</v>
      </c>
    </row>
    <row r="2482" spans="2:19" ht="15" customHeight="1" x14ac:dyDescent="0.25">
      <c r="B2482" s="2" t="str">
        <f t="shared" si="76"/>
        <v>PGL_Business_Small/Mid-Size Business_Rebates_High Speed Washer_Hotel/Motel/Hospital_CI</v>
      </c>
      <c r="C2482" s="2" t="str">
        <f t="shared" si="77"/>
        <v>PGL_Business_Small/Mid-Size Business_Rebates_High Speed Washer_Hotel/Motel/Hospital_CI_2023</v>
      </c>
      <c r="D2482" s="19" t="s">
        <v>1794</v>
      </c>
      <c r="E2482" s="19" t="s">
        <v>3</v>
      </c>
      <c r="F2482" s="19" t="s">
        <v>1432</v>
      </c>
      <c r="G2482" s="19" t="s">
        <v>1429</v>
      </c>
      <c r="H2482" s="19" t="s">
        <v>725</v>
      </c>
      <c r="I2482" s="19" t="s">
        <v>1162</v>
      </c>
      <c r="J2482" s="19" t="s">
        <v>730</v>
      </c>
      <c r="K2482" s="19" t="s">
        <v>1159</v>
      </c>
      <c r="L2482" s="19">
        <v>2023</v>
      </c>
      <c r="M2482" s="20">
        <v>250</v>
      </c>
      <c r="N2482" s="19" t="s">
        <v>1803</v>
      </c>
      <c r="O2482" s="20">
        <v>1</v>
      </c>
      <c r="P2482" s="20">
        <v>250</v>
      </c>
      <c r="Q2482" s="20">
        <v>1551.566016</v>
      </c>
      <c r="R2482" s="21">
        <v>0.92</v>
      </c>
      <c r="S2482" s="20">
        <v>1551.566016</v>
      </c>
    </row>
    <row r="2483" spans="2:19" ht="15" customHeight="1" x14ac:dyDescent="0.25">
      <c r="B2483" s="2" t="str">
        <f t="shared" si="76"/>
        <v>PGL_Business_Small/Mid-Size Business_Rebates_High Speed Washer_Hotel/Motel/Hospital_CI</v>
      </c>
      <c r="C2483" s="2" t="str">
        <f t="shared" si="77"/>
        <v>PGL_Business_Small/Mid-Size Business_Rebates_High Speed Washer_Hotel/Motel/Hospital_CI_2024</v>
      </c>
      <c r="D2483" s="19" t="s">
        <v>1794</v>
      </c>
      <c r="E2483" s="19" t="s">
        <v>3</v>
      </c>
      <c r="F2483" s="19" t="s">
        <v>1432</v>
      </c>
      <c r="G2483" s="19" t="s">
        <v>1429</v>
      </c>
      <c r="H2483" s="19" t="s">
        <v>725</v>
      </c>
      <c r="I2483" s="19" t="s">
        <v>1162</v>
      </c>
      <c r="J2483" s="19" t="s">
        <v>730</v>
      </c>
      <c r="K2483" s="19" t="s">
        <v>1159</v>
      </c>
      <c r="L2483" s="19">
        <v>2024</v>
      </c>
      <c r="M2483" s="20">
        <v>250</v>
      </c>
      <c r="N2483" s="19" t="s">
        <v>1803</v>
      </c>
      <c r="O2483" s="20">
        <v>1</v>
      </c>
      <c r="P2483" s="20">
        <v>250</v>
      </c>
      <c r="Q2483" s="20">
        <v>1551.566016</v>
      </c>
      <c r="R2483" s="21">
        <v>0.92</v>
      </c>
      <c r="S2483" s="20">
        <v>1551.566016</v>
      </c>
    </row>
    <row r="2484" spans="2:19" ht="15" customHeight="1" x14ac:dyDescent="0.25">
      <c r="B2484" s="2" t="str">
        <f t="shared" si="76"/>
        <v>PGL_Business_Small/Mid-Size Business_Rebates_High Speed Washer_Hotel/Motel/Hospital_CI</v>
      </c>
      <c r="C2484" s="2" t="str">
        <f t="shared" si="77"/>
        <v>PGL_Business_Small/Mid-Size Business_Rebates_High Speed Washer_Hotel/Motel/Hospital_CI_2025</v>
      </c>
      <c r="D2484" s="19" t="s">
        <v>1794</v>
      </c>
      <c r="E2484" s="19" t="s">
        <v>3</v>
      </c>
      <c r="F2484" s="19" t="s">
        <v>1432</v>
      </c>
      <c r="G2484" s="19" t="s">
        <v>1429</v>
      </c>
      <c r="H2484" s="19" t="s">
        <v>725</v>
      </c>
      <c r="I2484" s="19" t="s">
        <v>1162</v>
      </c>
      <c r="J2484" s="19" t="s">
        <v>730</v>
      </c>
      <c r="K2484" s="19" t="s">
        <v>1159</v>
      </c>
      <c r="L2484" s="19">
        <v>2025</v>
      </c>
      <c r="M2484" s="20">
        <v>250</v>
      </c>
      <c r="N2484" s="19" t="s">
        <v>1803</v>
      </c>
      <c r="O2484" s="20">
        <v>1</v>
      </c>
      <c r="P2484" s="20">
        <v>250</v>
      </c>
      <c r="Q2484" s="20">
        <v>1551.566016</v>
      </c>
      <c r="R2484" s="21">
        <v>0.92</v>
      </c>
      <c r="S2484" s="20">
        <v>1551.566016</v>
      </c>
    </row>
    <row r="2485" spans="2:19" ht="15" customHeight="1" x14ac:dyDescent="0.25">
      <c r="B2485" s="2" t="str">
        <f t="shared" si="76"/>
        <v>PGL_Business_Small/Mid-Size Business_Rebates_High Speed Washer_Laundromat_SMB</v>
      </c>
      <c r="C2485" s="2" t="str">
        <f t="shared" si="77"/>
        <v>PGL_Business_Small/Mid-Size Business_Rebates_High Speed Washer_Laundromat_SMB_2022</v>
      </c>
      <c r="D2485" s="19" t="s">
        <v>1794</v>
      </c>
      <c r="E2485" s="19" t="s">
        <v>3</v>
      </c>
      <c r="F2485" s="19" t="s">
        <v>1432</v>
      </c>
      <c r="G2485" s="19" t="s">
        <v>1429</v>
      </c>
      <c r="H2485" s="19" t="s">
        <v>725</v>
      </c>
      <c r="I2485" s="19" t="s">
        <v>1356</v>
      </c>
      <c r="J2485" s="19" t="s">
        <v>730</v>
      </c>
      <c r="K2485" s="19" t="s">
        <v>1220</v>
      </c>
      <c r="L2485" s="19">
        <v>2022</v>
      </c>
      <c r="M2485" s="20">
        <v>250</v>
      </c>
      <c r="N2485" s="19" t="s">
        <v>1803</v>
      </c>
      <c r="O2485" s="20">
        <v>3</v>
      </c>
      <c r="P2485" s="20">
        <v>750</v>
      </c>
      <c r="Q2485" s="20">
        <v>1924.538616</v>
      </c>
      <c r="R2485" s="21">
        <v>0.92</v>
      </c>
      <c r="S2485" s="20">
        <v>1924.538616</v>
      </c>
    </row>
    <row r="2486" spans="2:19" ht="15" customHeight="1" x14ac:dyDescent="0.25">
      <c r="B2486" s="2" t="str">
        <f t="shared" si="76"/>
        <v>PGL_Business_Small/Mid-Size Business_Rebates_High Speed Washer_Laundromat_SMB</v>
      </c>
      <c r="C2486" s="2" t="str">
        <f t="shared" si="77"/>
        <v>PGL_Business_Small/Mid-Size Business_Rebates_High Speed Washer_Laundromat_SMB_2023</v>
      </c>
      <c r="D2486" s="19" t="s">
        <v>1794</v>
      </c>
      <c r="E2486" s="19" t="s">
        <v>3</v>
      </c>
      <c r="F2486" s="19" t="s">
        <v>1432</v>
      </c>
      <c r="G2486" s="19" t="s">
        <v>1429</v>
      </c>
      <c r="H2486" s="19" t="s">
        <v>725</v>
      </c>
      <c r="I2486" s="19" t="s">
        <v>1356</v>
      </c>
      <c r="J2486" s="19" t="s">
        <v>730</v>
      </c>
      <c r="K2486" s="19" t="s">
        <v>1220</v>
      </c>
      <c r="L2486" s="19">
        <v>2023</v>
      </c>
      <c r="M2486" s="20">
        <v>250</v>
      </c>
      <c r="N2486" s="19" t="s">
        <v>1803</v>
      </c>
      <c r="O2486" s="20">
        <v>2</v>
      </c>
      <c r="P2486" s="20">
        <v>500</v>
      </c>
      <c r="Q2486" s="20">
        <v>1283.025744</v>
      </c>
      <c r="R2486" s="21">
        <v>0.92</v>
      </c>
      <c r="S2486" s="20">
        <v>1283.025744</v>
      </c>
    </row>
    <row r="2487" spans="2:19" ht="15" customHeight="1" x14ac:dyDescent="0.25">
      <c r="B2487" s="2" t="str">
        <f t="shared" si="76"/>
        <v>PGL_Business_Small/Mid-Size Business_Rebates_High Speed Washer_Laundromat_SMB</v>
      </c>
      <c r="C2487" s="2" t="str">
        <f t="shared" si="77"/>
        <v>PGL_Business_Small/Mid-Size Business_Rebates_High Speed Washer_Laundromat_SMB_2024</v>
      </c>
      <c r="D2487" s="19" t="s">
        <v>1794</v>
      </c>
      <c r="E2487" s="19" t="s">
        <v>3</v>
      </c>
      <c r="F2487" s="19" t="s">
        <v>1432</v>
      </c>
      <c r="G2487" s="19" t="s">
        <v>1429</v>
      </c>
      <c r="H2487" s="19" t="s">
        <v>725</v>
      </c>
      <c r="I2487" s="19" t="s">
        <v>1356</v>
      </c>
      <c r="J2487" s="19" t="s">
        <v>730</v>
      </c>
      <c r="K2487" s="19" t="s">
        <v>1220</v>
      </c>
      <c r="L2487" s="19">
        <v>2024</v>
      </c>
      <c r="M2487" s="20">
        <v>250</v>
      </c>
      <c r="N2487" s="19" t="s">
        <v>1803</v>
      </c>
      <c r="O2487" s="20">
        <v>2</v>
      </c>
      <c r="P2487" s="20">
        <v>500</v>
      </c>
      <c r="Q2487" s="20">
        <v>1283.025744</v>
      </c>
      <c r="R2487" s="21">
        <v>0.92</v>
      </c>
      <c r="S2487" s="20">
        <v>1283.025744</v>
      </c>
    </row>
    <row r="2488" spans="2:19" ht="15" customHeight="1" x14ac:dyDescent="0.25">
      <c r="B2488" s="2" t="str">
        <f t="shared" si="76"/>
        <v>PGL_Business_Small/Mid-Size Business_Rebates_High Speed Washer_Laundromat_SMB</v>
      </c>
      <c r="C2488" s="2" t="str">
        <f t="shared" si="77"/>
        <v>PGL_Business_Small/Mid-Size Business_Rebates_High Speed Washer_Laundromat_SMB_2025</v>
      </c>
      <c r="D2488" s="19" t="s">
        <v>1794</v>
      </c>
      <c r="E2488" s="19" t="s">
        <v>3</v>
      </c>
      <c r="F2488" s="19" t="s">
        <v>1432</v>
      </c>
      <c r="G2488" s="19" t="s">
        <v>1429</v>
      </c>
      <c r="H2488" s="19" t="s">
        <v>725</v>
      </c>
      <c r="I2488" s="19" t="s">
        <v>1356</v>
      </c>
      <c r="J2488" s="19" t="s">
        <v>730</v>
      </c>
      <c r="K2488" s="19" t="s">
        <v>1220</v>
      </c>
      <c r="L2488" s="19">
        <v>2025</v>
      </c>
      <c r="M2488" s="20">
        <v>250</v>
      </c>
      <c r="N2488" s="19" t="s">
        <v>1803</v>
      </c>
      <c r="O2488" s="20">
        <v>2</v>
      </c>
      <c r="P2488" s="20">
        <v>500</v>
      </c>
      <c r="Q2488" s="20">
        <v>1283.025744</v>
      </c>
      <c r="R2488" s="21">
        <v>0.92</v>
      </c>
      <c r="S2488" s="20">
        <v>1283.025744</v>
      </c>
    </row>
    <row r="2489" spans="2:19" ht="15" customHeight="1" x14ac:dyDescent="0.25">
      <c r="B2489" s="2" t="str">
        <f t="shared" si="76"/>
        <v>PGL_Business_Small/Mid-Size Business_Rebates_Small Commercial Advanced Thermostat_0_CI</v>
      </c>
      <c r="C2489" s="2" t="str">
        <f t="shared" si="77"/>
        <v>PGL_Business_Small/Mid-Size Business_Rebates_Small Commercial Advanced Thermostat_0_CI_2022</v>
      </c>
      <c r="D2489" s="19" t="s">
        <v>1794</v>
      </c>
      <c r="E2489" s="19" t="s">
        <v>3</v>
      </c>
      <c r="F2489" s="19" t="s">
        <v>1432</v>
      </c>
      <c r="G2489" s="19" t="s">
        <v>1429</v>
      </c>
      <c r="H2489" s="19" t="s">
        <v>1302</v>
      </c>
      <c r="I2489" s="19">
        <v>0</v>
      </c>
      <c r="J2489" s="19" t="s">
        <v>1183</v>
      </c>
      <c r="K2489" s="19" t="s">
        <v>1159</v>
      </c>
      <c r="L2489" s="19">
        <v>2022</v>
      </c>
      <c r="M2489" s="20">
        <v>1</v>
      </c>
      <c r="N2489" s="19" t="s">
        <v>1798</v>
      </c>
      <c r="O2489" s="20">
        <v>3</v>
      </c>
      <c r="P2489" s="20">
        <v>3</v>
      </c>
      <c r="Q2489" s="20">
        <v>565.24007231999985</v>
      </c>
      <c r="R2489" s="21">
        <v>0.96</v>
      </c>
      <c r="S2489" s="20">
        <v>565.24007231999985</v>
      </c>
    </row>
    <row r="2490" spans="2:19" ht="15" customHeight="1" x14ac:dyDescent="0.25">
      <c r="B2490" s="2" t="str">
        <f t="shared" si="76"/>
        <v>PGL_Business_Small/Mid-Size Business_Rebates_Small Commercial Advanced Thermostat_0_CI</v>
      </c>
      <c r="C2490" s="2" t="str">
        <f t="shared" si="77"/>
        <v>PGL_Business_Small/Mid-Size Business_Rebates_Small Commercial Advanced Thermostat_0_CI_2023</v>
      </c>
      <c r="D2490" s="19" t="s">
        <v>1794</v>
      </c>
      <c r="E2490" s="19" t="s">
        <v>3</v>
      </c>
      <c r="F2490" s="19" t="s">
        <v>1432</v>
      </c>
      <c r="G2490" s="19" t="s">
        <v>1429</v>
      </c>
      <c r="H2490" s="19" t="s">
        <v>1302</v>
      </c>
      <c r="I2490" s="19">
        <v>0</v>
      </c>
      <c r="J2490" s="19" t="s">
        <v>1183</v>
      </c>
      <c r="K2490" s="19" t="s">
        <v>1159</v>
      </c>
      <c r="L2490" s="19">
        <v>2023</v>
      </c>
      <c r="M2490" s="20">
        <v>1</v>
      </c>
      <c r="N2490" s="19" t="s">
        <v>1798</v>
      </c>
      <c r="O2490" s="20">
        <v>3</v>
      </c>
      <c r="P2490" s="20">
        <v>3</v>
      </c>
      <c r="Q2490" s="20">
        <v>565.24007231999985</v>
      </c>
      <c r="R2490" s="21">
        <v>0.96</v>
      </c>
      <c r="S2490" s="20">
        <v>565.24007231999985</v>
      </c>
    </row>
    <row r="2491" spans="2:19" ht="15" customHeight="1" x14ac:dyDescent="0.25">
      <c r="B2491" s="2" t="str">
        <f t="shared" si="76"/>
        <v>PGL_Business_Small/Mid-Size Business_Rebates_Small Commercial Advanced Thermostat_0_CI</v>
      </c>
      <c r="C2491" s="2" t="str">
        <f t="shared" si="77"/>
        <v>PGL_Business_Small/Mid-Size Business_Rebates_Small Commercial Advanced Thermostat_0_CI_2024</v>
      </c>
      <c r="D2491" s="19" t="s">
        <v>1794</v>
      </c>
      <c r="E2491" s="19" t="s">
        <v>3</v>
      </c>
      <c r="F2491" s="19" t="s">
        <v>1432</v>
      </c>
      <c r="G2491" s="19" t="s">
        <v>1429</v>
      </c>
      <c r="H2491" s="19" t="s">
        <v>1302</v>
      </c>
      <c r="I2491" s="19">
        <v>0</v>
      </c>
      <c r="J2491" s="19" t="s">
        <v>1183</v>
      </c>
      <c r="K2491" s="19" t="s">
        <v>1159</v>
      </c>
      <c r="L2491" s="19">
        <v>2024</v>
      </c>
      <c r="M2491" s="20">
        <v>1</v>
      </c>
      <c r="N2491" s="19" t="s">
        <v>1798</v>
      </c>
      <c r="O2491" s="20">
        <v>3</v>
      </c>
      <c r="P2491" s="20">
        <v>3</v>
      </c>
      <c r="Q2491" s="20">
        <v>565.24007231999985</v>
      </c>
      <c r="R2491" s="21">
        <v>0.96</v>
      </c>
      <c r="S2491" s="20">
        <v>565.24007231999985</v>
      </c>
    </row>
    <row r="2492" spans="2:19" ht="15" customHeight="1" x14ac:dyDescent="0.25">
      <c r="B2492" s="2" t="str">
        <f t="shared" si="76"/>
        <v>PGL_Business_Small/Mid-Size Business_Rebates_Small Commercial Advanced Thermostat_0_CI</v>
      </c>
      <c r="C2492" s="2" t="str">
        <f t="shared" si="77"/>
        <v>PGL_Business_Small/Mid-Size Business_Rebates_Small Commercial Advanced Thermostat_0_CI_2025</v>
      </c>
      <c r="D2492" s="19" t="s">
        <v>1794</v>
      </c>
      <c r="E2492" s="19" t="s">
        <v>3</v>
      </c>
      <c r="F2492" s="19" t="s">
        <v>1432</v>
      </c>
      <c r="G2492" s="19" t="s">
        <v>1429</v>
      </c>
      <c r="H2492" s="19" t="s">
        <v>1302</v>
      </c>
      <c r="I2492" s="19">
        <v>0</v>
      </c>
      <c r="J2492" s="19" t="s">
        <v>1183</v>
      </c>
      <c r="K2492" s="19" t="s">
        <v>1159</v>
      </c>
      <c r="L2492" s="19">
        <v>2025</v>
      </c>
      <c r="M2492" s="20">
        <v>1</v>
      </c>
      <c r="N2492" s="19" t="s">
        <v>1798</v>
      </c>
      <c r="O2492" s="20">
        <v>3</v>
      </c>
      <c r="P2492" s="20">
        <v>3</v>
      </c>
      <c r="Q2492" s="20">
        <v>565.24007231999985</v>
      </c>
      <c r="R2492" s="21">
        <v>0.96</v>
      </c>
      <c r="S2492" s="20">
        <v>565.24007231999985</v>
      </c>
    </row>
    <row r="2493" spans="2:19" ht="15" customHeight="1" x14ac:dyDescent="0.25">
      <c r="B2493" s="2" t="str">
        <f t="shared" si="76"/>
        <v>PGL_Business_Small/Mid-Size Business_Rebates_Demand Controlled Ventilation_0_MF/CI/SMB</v>
      </c>
      <c r="C2493" s="2" t="str">
        <f t="shared" si="77"/>
        <v>PGL_Business_Small/Mid-Size Business_Rebates_Demand Controlled Ventilation_0_MF/CI/SMB_2022</v>
      </c>
      <c r="D2493" s="19" t="s">
        <v>1794</v>
      </c>
      <c r="E2493" s="19" t="s">
        <v>3</v>
      </c>
      <c r="F2493" s="19" t="s">
        <v>1432</v>
      </c>
      <c r="G2493" s="19" t="s">
        <v>1429</v>
      </c>
      <c r="H2493" s="19" t="s">
        <v>14</v>
      </c>
      <c r="I2493" s="19">
        <v>0</v>
      </c>
      <c r="J2493" s="19" t="s">
        <v>34</v>
      </c>
      <c r="K2493" s="19" t="s">
        <v>662</v>
      </c>
      <c r="L2493" s="19">
        <v>2022</v>
      </c>
      <c r="M2493" s="20">
        <v>10000</v>
      </c>
      <c r="N2493" s="19" t="s">
        <v>634</v>
      </c>
      <c r="O2493" s="20">
        <v>0</v>
      </c>
      <c r="P2493" s="20">
        <v>0</v>
      </c>
      <c r="Q2493" s="20">
        <v>0</v>
      </c>
      <c r="R2493" s="21">
        <v>0.92</v>
      </c>
      <c r="S2493" s="20">
        <v>0</v>
      </c>
    </row>
    <row r="2494" spans="2:19" ht="15" customHeight="1" x14ac:dyDescent="0.25">
      <c r="B2494" s="2" t="str">
        <f t="shared" si="76"/>
        <v>PGL_Business_Small/Mid-Size Business_Rebates_Demand Controlled Ventilation_0_MF/CI/SMB</v>
      </c>
      <c r="C2494" s="2" t="str">
        <f t="shared" si="77"/>
        <v>PGL_Business_Small/Mid-Size Business_Rebates_Demand Controlled Ventilation_0_MF/CI/SMB_2023</v>
      </c>
      <c r="D2494" s="19" t="s">
        <v>1794</v>
      </c>
      <c r="E2494" s="19" t="s">
        <v>3</v>
      </c>
      <c r="F2494" s="19" t="s">
        <v>1432</v>
      </c>
      <c r="G2494" s="19" t="s">
        <v>1429</v>
      </c>
      <c r="H2494" s="19" t="s">
        <v>14</v>
      </c>
      <c r="I2494" s="19">
        <v>0</v>
      </c>
      <c r="J2494" s="19" t="s">
        <v>34</v>
      </c>
      <c r="K2494" s="19" t="s">
        <v>662</v>
      </c>
      <c r="L2494" s="19">
        <v>2023</v>
      </c>
      <c r="M2494" s="20">
        <v>10000</v>
      </c>
      <c r="N2494" s="19" t="s">
        <v>634</v>
      </c>
      <c r="O2494" s="20">
        <v>0</v>
      </c>
      <c r="P2494" s="20">
        <v>0</v>
      </c>
      <c r="Q2494" s="20">
        <v>0</v>
      </c>
      <c r="R2494" s="21">
        <v>0.92</v>
      </c>
      <c r="S2494" s="20">
        <v>0</v>
      </c>
    </row>
    <row r="2495" spans="2:19" ht="15" customHeight="1" x14ac:dyDescent="0.25">
      <c r="B2495" s="2" t="str">
        <f t="shared" si="76"/>
        <v>PGL_Business_Small/Mid-Size Business_Rebates_Demand Controlled Ventilation_0_MF/CI/SMB</v>
      </c>
      <c r="C2495" s="2" t="str">
        <f t="shared" si="77"/>
        <v>PGL_Business_Small/Mid-Size Business_Rebates_Demand Controlled Ventilation_0_MF/CI/SMB_2024</v>
      </c>
      <c r="D2495" s="19" t="s">
        <v>1794</v>
      </c>
      <c r="E2495" s="19" t="s">
        <v>3</v>
      </c>
      <c r="F2495" s="19" t="s">
        <v>1432</v>
      </c>
      <c r="G2495" s="19" t="s">
        <v>1429</v>
      </c>
      <c r="H2495" s="19" t="s">
        <v>14</v>
      </c>
      <c r="I2495" s="19">
        <v>0</v>
      </c>
      <c r="J2495" s="19" t="s">
        <v>34</v>
      </c>
      <c r="K2495" s="19" t="s">
        <v>662</v>
      </c>
      <c r="L2495" s="19">
        <v>2024</v>
      </c>
      <c r="M2495" s="20">
        <v>10000</v>
      </c>
      <c r="N2495" s="19" t="s">
        <v>634</v>
      </c>
      <c r="O2495" s="20">
        <v>0</v>
      </c>
      <c r="P2495" s="20">
        <v>0</v>
      </c>
      <c r="Q2495" s="20">
        <v>0</v>
      </c>
      <c r="R2495" s="21">
        <v>0.92</v>
      </c>
      <c r="S2495" s="20">
        <v>0</v>
      </c>
    </row>
    <row r="2496" spans="2:19" ht="15" customHeight="1" x14ac:dyDescent="0.25">
      <c r="B2496" s="2" t="str">
        <f t="shared" si="76"/>
        <v>PGL_Business_Small/Mid-Size Business_Rebates_Demand Controlled Ventilation_0_MF/CI/SMB</v>
      </c>
      <c r="C2496" s="2" t="str">
        <f t="shared" si="77"/>
        <v>PGL_Business_Small/Mid-Size Business_Rebates_Demand Controlled Ventilation_0_MF/CI/SMB_2025</v>
      </c>
      <c r="D2496" s="19" t="s">
        <v>1794</v>
      </c>
      <c r="E2496" s="19" t="s">
        <v>3</v>
      </c>
      <c r="F2496" s="19" t="s">
        <v>1432</v>
      </c>
      <c r="G2496" s="19" t="s">
        <v>1429</v>
      </c>
      <c r="H2496" s="19" t="s">
        <v>14</v>
      </c>
      <c r="I2496" s="19">
        <v>0</v>
      </c>
      <c r="J2496" s="19" t="s">
        <v>34</v>
      </c>
      <c r="K2496" s="19" t="s">
        <v>662</v>
      </c>
      <c r="L2496" s="19">
        <v>2025</v>
      </c>
      <c r="M2496" s="20">
        <v>10000</v>
      </c>
      <c r="N2496" s="19" t="s">
        <v>634</v>
      </c>
      <c r="O2496" s="20">
        <v>0</v>
      </c>
      <c r="P2496" s="20">
        <v>0</v>
      </c>
      <c r="Q2496" s="20">
        <v>0</v>
      </c>
      <c r="R2496" s="21">
        <v>0.92</v>
      </c>
      <c r="S2496" s="20">
        <v>0</v>
      </c>
    </row>
    <row r="2497" spans="2:19" ht="15" customHeight="1" x14ac:dyDescent="0.25">
      <c r="B2497" s="2" t="str">
        <f t="shared" si="76"/>
        <v>PGL_Business_Small/Mid-Size Business_Rebates_Condensate Tank Insulation_0_MF/CI/SMB</v>
      </c>
      <c r="C2497" s="2" t="str">
        <f t="shared" si="77"/>
        <v>PGL_Business_Small/Mid-Size Business_Rebates_Condensate Tank Insulation_0_MF/CI/SMB_2022</v>
      </c>
      <c r="D2497" s="19" t="s">
        <v>1794</v>
      </c>
      <c r="E2497" s="19" t="s">
        <v>3</v>
      </c>
      <c r="F2497" s="19" t="s">
        <v>1432</v>
      </c>
      <c r="G2497" s="19" t="s">
        <v>1429</v>
      </c>
      <c r="H2497" s="19" t="s">
        <v>806</v>
      </c>
      <c r="I2497" s="19">
        <v>0</v>
      </c>
      <c r="J2497" s="19" t="s">
        <v>810</v>
      </c>
      <c r="K2497" s="19" t="s">
        <v>662</v>
      </c>
      <c r="L2497" s="19">
        <v>2022</v>
      </c>
      <c r="M2497" s="20">
        <v>550</v>
      </c>
      <c r="N2497" s="19" t="s">
        <v>634</v>
      </c>
      <c r="O2497" s="20">
        <v>0</v>
      </c>
      <c r="P2497" s="20">
        <v>0</v>
      </c>
      <c r="Q2497" s="20">
        <v>0</v>
      </c>
      <c r="R2497" s="21">
        <v>0.92</v>
      </c>
      <c r="S2497" s="20">
        <v>0</v>
      </c>
    </row>
    <row r="2498" spans="2:19" ht="15" customHeight="1" x14ac:dyDescent="0.25">
      <c r="B2498" s="2" t="str">
        <f t="shared" si="76"/>
        <v>PGL_Business_Small/Mid-Size Business_Rebates_Condensate Tank Insulation_0_MF/CI/SMB</v>
      </c>
      <c r="C2498" s="2" t="str">
        <f t="shared" si="77"/>
        <v>PGL_Business_Small/Mid-Size Business_Rebates_Condensate Tank Insulation_0_MF/CI/SMB_2023</v>
      </c>
      <c r="D2498" s="19" t="s">
        <v>1794</v>
      </c>
      <c r="E2498" s="19" t="s">
        <v>3</v>
      </c>
      <c r="F2498" s="19" t="s">
        <v>1432</v>
      </c>
      <c r="G2498" s="19" t="s">
        <v>1429</v>
      </c>
      <c r="H2498" s="19" t="s">
        <v>806</v>
      </c>
      <c r="I2498" s="19">
        <v>0</v>
      </c>
      <c r="J2498" s="19" t="s">
        <v>810</v>
      </c>
      <c r="K2498" s="19" t="s">
        <v>662</v>
      </c>
      <c r="L2498" s="19">
        <v>2023</v>
      </c>
      <c r="M2498" s="20">
        <v>550</v>
      </c>
      <c r="N2498" s="19" t="s">
        <v>634</v>
      </c>
      <c r="O2498" s="20">
        <v>0</v>
      </c>
      <c r="P2498" s="20">
        <v>0</v>
      </c>
      <c r="Q2498" s="20">
        <v>0</v>
      </c>
      <c r="R2498" s="21">
        <v>0.92</v>
      </c>
      <c r="S2498" s="20">
        <v>0</v>
      </c>
    </row>
    <row r="2499" spans="2:19" ht="15" customHeight="1" x14ac:dyDescent="0.25">
      <c r="B2499" s="2" t="str">
        <f t="shared" si="76"/>
        <v>PGL_Business_Small/Mid-Size Business_Rebates_Condensate Tank Insulation_0_MF/CI/SMB</v>
      </c>
      <c r="C2499" s="2" t="str">
        <f t="shared" si="77"/>
        <v>PGL_Business_Small/Mid-Size Business_Rebates_Condensate Tank Insulation_0_MF/CI/SMB_2024</v>
      </c>
      <c r="D2499" s="19" t="s">
        <v>1794</v>
      </c>
      <c r="E2499" s="19" t="s">
        <v>3</v>
      </c>
      <c r="F2499" s="19" t="s">
        <v>1432</v>
      </c>
      <c r="G2499" s="19" t="s">
        <v>1429</v>
      </c>
      <c r="H2499" s="19" t="s">
        <v>806</v>
      </c>
      <c r="I2499" s="19">
        <v>0</v>
      </c>
      <c r="J2499" s="19" t="s">
        <v>810</v>
      </c>
      <c r="K2499" s="19" t="s">
        <v>662</v>
      </c>
      <c r="L2499" s="19">
        <v>2024</v>
      </c>
      <c r="M2499" s="20">
        <v>550</v>
      </c>
      <c r="N2499" s="19" t="s">
        <v>634</v>
      </c>
      <c r="O2499" s="20">
        <v>0</v>
      </c>
      <c r="P2499" s="20">
        <v>0</v>
      </c>
      <c r="Q2499" s="20">
        <v>0</v>
      </c>
      <c r="R2499" s="21">
        <v>0.92</v>
      </c>
      <c r="S2499" s="20">
        <v>0</v>
      </c>
    </row>
    <row r="2500" spans="2:19" ht="15" customHeight="1" x14ac:dyDescent="0.25">
      <c r="B2500" s="2" t="str">
        <f t="shared" si="76"/>
        <v>PGL_Business_Small/Mid-Size Business_Rebates_Condensate Tank Insulation_0_MF/CI/SMB</v>
      </c>
      <c r="C2500" s="2" t="str">
        <f t="shared" si="77"/>
        <v>PGL_Business_Small/Mid-Size Business_Rebates_Condensate Tank Insulation_0_MF/CI/SMB_2025</v>
      </c>
      <c r="D2500" s="19" t="s">
        <v>1794</v>
      </c>
      <c r="E2500" s="19" t="s">
        <v>3</v>
      </c>
      <c r="F2500" s="19" t="s">
        <v>1432</v>
      </c>
      <c r="G2500" s="19" t="s">
        <v>1429</v>
      </c>
      <c r="H2500" s="19" t="s">
        <v>806</v>
      </c>
      <c r="I2500" s="19">
        <v>0</v>
      </c>
      <c r="J2500" s="19" t="s">
        <v>810</v>
      </c>
      <c r="K2500" s="19" t="s">
        <v>662</v>
      </c>
      <c r="L2500" s="19">
        <v>2025</v>
      </c>
      <c r="M2500" s="20">
        <v>550</v>
      </c>
      <c r="N2500" s="19" t="s">
        <v>634</v>
      </c>
      <c r="O2500" s="20">
        <v>0</v>
      </c>
      <c r="P2500" s="20">
        <v>0</v>
      </c>
      <c r="Q2500" s="20">
        <v>0</v>
      </c>
      <c r="R2500" s="21">
        <v>0.92</v>
      </c>
      <c r="S2500" s="20">
        <v>0</v>
      </c>
    </row>
    <row r="2501" spans="2:19" ht="15" customHeight="1" x14ac:dyDescent="0.25">
      <c r="B2501" s="2" t="str">
        <f t="shared" si="76"/>
        <v>PGL_Business_Small/Mid-Size Business_Rebates_Dock Door Seals_0_CI</v>
      </c>
      <c r="C2501" s="2" t="str">
        <f t="shared" si="77"/>
        <v>PGL_Business_Small/Mid-Size Business_Rebates_Dock Door Seals_0_CI_2022</v>
      </c>
      <c r="D2501" s="19" t="s">
        <v>1794</v>
      </c>
      <c r="E2501" s="19" t="s">
        <v>3</v>
      </c>
      <c r="F2501" s="19" t="s">
        <v>1432</v>
      </c>
      <c r="G2501" s="19" t="s">
        <v>1429</v>
      </c>
      <c r="H2501" s="19" t="s">
        <v>1291</v>
      </c>
      <c r="I2501" s="19">
        <v>0</v>
      </c>
      <c r="J2501" s="19">
        <v>0</v>
      </c>
      <c r="K2501" s="19" t="s">
        <v>1159</v>
      </c>
      <c r="L2501" s="19">
        <v>2022</v>
      </c>
      <c r="M2501" s="20">
        <v>1</v>
      </c>
      <c r="N2501" s="19" t="s">
        <v>1798</v>
      </c>
      <c r="O2501" s="20">
        <v>0</v>
      </c>
      <c r="P2501" s="20">
        <v>0</v>
      </c>
      <c r="Q2501" s="20">
        <v>0</v>
      </c>
      <c r="R2501" s="21">
        <v>0.92</v>
      </c>
      <c r="S2501" s="20">
        <v>0</v>
      </c>
    </row>
    <row r="2502" spans="2:19" ht="15" customHeight="1" x14ac:dyDescent="0.25">
      <c r="B2502" s="2" t="str">
        <f t="shared" ref="B2502:B2565" si="78">D2502&amp;"_"&amp;E2502&amp;"_"&amp;F2502&amp;"_"&amp;G2502&amp;"_"&amp;H2502&amp;"_"&amp;I2502&amp;"_"&amp;K2502</f>
        <v>PGL_Business_Small/Mid-Size Business_Rebates_Dock Door Seals_0_CI</v>
      </c>
      <c r="C2502" s="2" t="str">
        <f t="shared" ref="C2502:C2565" si="79">D2502&amp;"_"&amp;E2502&amp;"_"&amp;F2502&amp;"_"&amp;G2502&amp;"_"&amp;H2502&amp;"_"&amp;I2502&amp;"_"&amp;K2502&amp;"_"&amp;L2502</f>
        <v>PGL_Business_Small/Mid-Size Business_Rebates_Dock Door Seals_0_CI_2023</v>
      </c>
      <c r="D2502" s="19" t="s">
        <v>1794</v>
      </c>
      <c r="E2502" s="19" t="s">
        <v>3</v>
      </c>
      <c r="F2502" s="19" t="s">
        <v>1432</v>
      </c>
      <c r="G2502" s="19" t="s">
        <v>1429</v>
      </c>
      <c r="H2502" s="19" t="s">
        <v>1291</v>
      </c>
      <c r="I2502" s="19">
        <v>0</v>
      </c>
      <c r="J2502" s="19">
        <v>0</v>
      </c>
      <c r="K2502" s="19" t="s">
        <v>1159</v>
      </c>
      <c r="L2502" s="19">
        <v>2023</v>
      </c>
      <c r="M2502" s="20">
        <v>1</v>
      </c>
      <c r="N2502" s="19" t="s">
        <v>1798</v>
      </c>
      <c r="O2502" s="20">
        <v>0</v>
      </c>
      <c r="P2502" s="20">
        <v>0</v>
      </c>
      <c r="Q2502" s="20">
        <v>0</v>
      </c>
      <c r="R2502" s="21">
        <v>0.92</v>
      </c>
      <c r="S2502" s="20">
        <v>0</v>
      </c>
    </row>
    <row r="2503" spans="2:19" ht="15" customHeight="1" x14ac:dyDescent="0.25">
      <c r="B2503" s="2" t="str">
        <f t="shared" si="78"/>
        <v>PGL_Business_Small/Mid-Size Business_Rebates_Dock Door Seals_0_CI</v>
      </c>
      <c r="C2503" s="2" t="str">
        <f t="shared" si="79"/>
        <v>PGL_Business_Small/Mid-Size Business_Rebates_Dock Door Seals_0_CI_2024</v>
      </c>
      <c r="D2503" s="19" t="s">
        <v>1794</v>
      </c>
      <c r="E2503" s="19" t="s">
        <v>3</v>
      </c>
      <c r="F2503" s="19" t="s">
        <v>1432</v>
      </c>
      <c r="G2503" s="19" t="s">
        <v>1429</v>
      </c>
      <c r="H2503" s="19" t="s">
        <v>1291</v>
      </c>
      <c r="I2503" s="19">
        <v>0</v>
      </c>
      <c r="J2503" s="19">
        <v>0</v>
      </c>
      <c r="K2503" s="19" t="s">
        <v>1159</v>
      </c>
      <c r="L2503" s="19">
        <v>2024</v>
      </c>
      <c r="M2503" s="20">
        <v>1</v>
      </c>
      <c r="N2503" s="19" t="s">
        <v>1798</v>
      </c>
      <c r="O2503" s="20">
        <v>0</v>
      </c>
      <c r="P2503" s="20">
        <v>0</v>
      </c>
      <c r="Q2503" s="20">
        <v>0</v>
      </c>
      <c r="R2503" s="21">
        <v>0.92</v>
      </c>
      <c r="S2503" s="20">
        <v>0</v>
      </c>
    </row>
    <row r="2504" spans="2:19" ht="15" customHeight="1" x14ac:dyDescent="0.25">
      <c r="B2504" s="2" t="str">
        <f t="shared" si="78"/>
        <v>PGL_Business_Small/Mid-Size Business_Rebates_Dock Door Seals_0_CI</v>
      </c>
      <c r="C2504" s="2" t="str">
        <f t="shared" si="79"/>
        <v>PGL_Business_Small/Mid-Size Business_Rebates_Dock Door Seals_0_CI_2025</v>
      </c>
      <c r="D2504" s="19" t="s">
        <v>1794</v>
      </c>
      <c r="E2504" s="19" t="s">
        <v>3</v>
      </c>
      <c r="F2504" s="19" t="s">
        <v>1432</v>
      </c>
      <c r="G2504" s="19" t="s">
        <v>1429</v>
      </c>
      <c r="H2504" s="19" t="s">
        <v>1291</v>
      </c>
      <c r="I2504" s="19">
        <v>0</v>
      </c>
      <c r="J2504" s="19">
        <v>0</v>
      </c>
      <c r="K2504" s="19" t="s">
        <v>1159</v>
      </c>
      <c r="L2504" s="19">
        <v>2025</v>
      </c>
      <c r="M2504" s="20">
        <v>1</v>
      </c>
      <c r="N2504" s="19" t="s">
        <v>1798</v>
      </c>
      <c r="O2504" s="20">
        <v>0</v>
      </c>
      <c r="P2504" s="20">
        <v>0</v>
      </c>
      <c r="Q2504" s="20">
        <v>0</v>
      </c>
      <c r="R2504" s="21">
        <v>0.92</v>
      </c>
      <c r="S2504" s="20">
        <v>0</v>
      </c>
    </row>
    <row r="2505" spans="2:19" ht="15" customHeight="1" x14ac:dyDescent="0.25">
      <c r="B2505" s="2" t="str">
        <f t="shared" si="78"/>
        <v>PGL_Business_Small/Mid-Size Business_Rebates_Furnace_&gt;95% AFUE_CI</v>
      </c>
      <c r="C2505" s="2" t="str">
        <f t="shared" si="79"/>
        <v>PGL_Business_Small/Mid-Size Business_Rebates_Furnace_&gt;95% AFUE_CI_2022</v>
      </c>
      <c r="D2505" s="19" t="s">
        <v>1794</v>
      </c>
      <c r="E2505" s="19" t="s">
        <v>3</v>
      </c>
      <c r="F2505" s="19" t="s">
        <v>1432</v>
      </c>
      <c r="G2505" s="19" t="s">
        <v>1429</v>
      </c>
      <c r="H2505" s="19" t="s">
        <v>490</v>
      </c>
      <c r="I2505" s="19" t="s">
        <v>982</v>
      </c>
      <c r="J2505" s="19" t="s">
        <v>983</v>
      </c>
      <c r="K2505" s="19" t="s">
        <v>1159</v>
      </c>
      <c r="L2505" s="19">
        <v>2022</v>
      </c>
      <c r="M2505" s="20">
        <v>1</v>
      </c>
      <c r="N2505" s="19" t="s">
        <v>1798</v>
      </c>
      <c r="O2505" s="20">
        <v>4</v>
      </c>
      <c r="P2505" s="20">
        <v>4</v>
      </c>
      <c r="Q2505" s="20">
        <v>909.27463999999952</v>
      </c>
      <c r="R2505" s="21">
        <v>0.92</v>
      </c>
      <c r="S2505" s="20">
        <v>909.27463999999952</v>
      </c>
    </row>
    <row r="2506" spans="2:19" ht="15" customHeight="1" x14ac:dyDescent="0.25">
      <c r="B2506" s="2" t="str">
        <f t="shared" si="78"/>
        <v>PGL_Business_Small/Mid-Size Business_Rebates_Furnace_&gt;95% AFUE_CI</v>
      </c>
      <c r="C2506" s="2" t="str">
        <f t="shared" si="79"/>
        <v>PGL_Business_Small/Mid-Size Business_Rebates_Furnace_&gt;95% AFUE_CI_2023</v>
      </c>
      <c r="D2506" s="19" t="s">
        <v>1794</v>
      </c>
      <c r="E2506" s="19" t="s">
        <v>3</v>
      </c>
      <c r="F2506" s="19" t="s">
        <v>1432</v>
      </c>
      <c r="G2506" s="19" t="s">
        <v>1429</v>
      </c>
      <c r="H2506" s="19" t="s">
        <v>490</v>
      </c>
      <c r="I2506" s="19" t="s">
        <v>982</v>
      </c>
      <c r="J2506" s="19" t="s">
        <v>983</v>
      </c>
      <c r="K2506" s="19" t="s">
        <v>1159</v>
      </c>
      <c r="L2506" s="19">
        <v>2023</v>
      </c>
      <c r="M2506" s="20">
        <v>1</v>
      </c>
      <c r="N2506" s="19" t="s">
        <v>1798</v>
      </c>
      <c r="O2506" s="20">
        <v>4</v>
      </c>
      <c r="P2506" s="20">
        <v>4</v>
      </c>
      <c r="Q2506" s="20">
        <v>909.27463999999952</v>
      </c>
      <c r="R2506" s="21">
        <v>0.92</v>
      </c>
      <c r="S2506" s="20">
        <v>909.27463999999952</v>
      </c>
    </row>
    <row r="2507" spans="2:19" ht="15" customHeight="1" x14ac:dyDescent="0.25">
      <c r="B2507" s="2" t="str">
        <f t="shared" si="78"/>
        <v>PGL_Business_Small/Mid-Size Business_Rebates_Furnace_&gt;95% AFUE_CI</v>
      </c>
      <c r="C2507" s="2" t="str">
        <f t="shared" si="79"/>
        <v>PGL_Business_Small/Mid-Size Business_Rebates_Furnace_&gt;95% AFUE_CI_2024</v>
      </c>
      <c r="D2507" s="19" t="s">
        <v>1794</v>
      </c>
      <c r="E2507" s="19" t="s">
        <v>3</v>
      </c>
      <c r="F2507" s="19" t="s">
        <v>1432</v>
      </c>
      <c r="G2507" s="19" t="s">
        <v>1429</v>
      </c>
      <c r="H2507" s="19" t="s">
        <v>490</v>
      </c>
      <c r="I2507" s="19" t="s">
        <v>982</v>
      </c>
      <c r="J2507" s="19" t="s">
        <v>983</v>
      </c>
      <c r="K2507" s="19" t="s">
        <v>1159</v>
      </c>
      <c r="L2507" s="19">
        <v>2024</v>
      </c>
      <c r="M2507" s="20">
        <v>1</v>
      </c>
      <c r="N2507" s="19" t="s">
        <v>1798</v>
      </c>
      <c r="O2507" s="20">
        <v>3</v>
      </c>
      <c r="P2507" s="20">
        <v>3</v>
      </c>
      <c r="Q2507" s="20">
        <v>681.95597999999961</v>
      </c>
      <c r="R2507" s="21">
        <v>0.92</v>
      </c>
      <c r="S2507" s="20">
        <v>681.95597999999961</v>
      </c>
    </row>
    <row r="2508" spans="2:19" ht="15" customHeight="1" x14ac:dyDescent="0.25">
      <c r="B2508" s="2" t="str">
        <f t="shared" si="78"/>
        <v>PGL_Business_Small/Mid-Size Business_Rebates_Furnace_&gt;95% AFUE_CI</v>
      </c>
      <c r="C2508" s="2" t="str">
        <f t="shared" si="79"/>
        <v>PGL_Business_Small/Mid-Size Business_Rebates_Furnace_&gt;95% AFUE_CI_2025</v>
      </c>
      <c r="D2508" s="19" t="s">
        <v>1794</v>
      </c>
      <c r="E2508" s="19" t="s">
        <v>3</v>
      </c>
      <c r="F2508" s="19" t="s">
        <v>1432</v>
      </c>
      <c r="G2508" s="19" t="s">
        <v>1429</v>
      </c>
      <c r="H2508" s="19" t="s">
        <v>490</v>
      </c>
      <c r="I2508" s="19" t="s">
        <v>982</v>
      </c>
      <c r="J2508" s="19" t="s">
        <v>983</v>
      </c>
      <c r="K2508" s="19" t="s">
        <v>1159</v>
      </c>
      <c r="L2508" s="19">
        <v>2025</v>
      </c>
      <c r="M2508" s="20">
        <v>1</v>
      </c>
      <c r="N2508" s="19" t="s">
        <v>1798</v>
      </c>
      <c r="O2508" s="20">
        <v>3</v>
      </c>
      <c r="P2508" s="20">
        <v>3</v>
      </c>
      <c r="Q2508" s="20">
        <v>681.95597999999961</v>
      </c>
      <c r="R2508" s="21">
        <v>0.92</v>
      </c>
      <c r="S2508" s="20">
        <v>681.95597999999961</v>
      </c>
    </row>
    <row r="2509" spans="2:19" ht="15" customHeight="1" x14ac:dyDescent="0.25">
      <c r="B2509" s="2" t="str">
        <f t="shared" si="78"/>
        <v>PGL_Business_Small/Mid-Size Business_Rebates_Water Heater_≥75 MBH, ≥88% TE _CI</v>
      </c>
      <c r="C2509" s="2" t="str">
        <f t="shared" si="79"/>
        <v>PGL_Business_Small/Mid-Size Business_Rebates_Water Heater_≥75 MBH, ≥88% TE _CI_2022</v>
      </c>
      <c r="D2509" s="19" t="s">
        <v>1794</v>
      </c>
      <c r="E2509" s="19" t="s">
        <v>3</v>
      </c>
      <c r="F2509" s="19" t="s">
        <v>1432</v>
      </c>
      <c r="G2509" s="19" t="s">
        <v>1429</v>
      </c>
      <c r="H2509" s="19" t="s">
        <v>8</v>
      </c>
      <c r="I2509" s="19" t="s">
        <v>1293</v>
      </c>
      <c r="J2509" s="19" t="s">
        <v>1294</v>
      </c>
      <c r="K2509" s="19" t="s">
        <v>1159</v>
      </c>
      <c r="L2509" s="19">
        <v>2022</v>
      </c>
      <c r="M2509" s="20">
        <v>250</v>
      </c>
      <c r="N2509" s="19" t="s">
        <v>667</v>
      </c>
      <c r="O2509" s="20">
        <v>1</v>
      </c>
      <c r="P2509" s="20">
        <v>250</v>
      </c>
      <c r="Q2509" s="20">
        <v>574.48696115383598</v>
      </c>
      <c r="R2509" s="21">
        <v>0.92</v>
      </c>
      <c r="S2509" s="20">
        <v>574.48696115383598</v>
      </c>
    </row>
    <row r="2510" spans="2:19" ht="15" customHeight="1" x14ac:dyDescent="0.25">
      <c r="B2510" s="2" t="str">
        <f t="shared" si="78"/>
        <v>PGL_Business_Small/Mid-Size Business_Rebates_Water Heater_≥75 MBH, ≥88% TE _CI</v>
      </c>
      <c r="C2510" s="2" t="str">
        <f t="shared" si="79"/>
        <v>PGL_Business_Small/Mid-Size Business_Rebates_Water Heater_≥75 MBH, ≥88% TE _CI_2023</v>
      </c>
      <c r="D2510" s="19" t="s">
        <v>1794</v>
      </c>
      <c r="E2510" s="19" t="s">
        <v>3</v>
      </c>
      <c r="F2510" s="19" t="s">
        <v>1432</v>
      </c>
      <c r="G2510" s="19" t="s">
        <v>1429</v>
      </c>
      <c r="H2510" s="19" t="s">
        <v>8</v>
      </c>
      <c r="I2510" s="19" t="s">
        <v>1293</v>
      </c>
      <c r="J2510" s="19" t="s">
        <v>1294</v>
      </c>
      <c r="K2510" s="19" t="s">
        <v>1159</v>
      </c>
      <c r="L2510" s="19">
        <v>2023</v>
      </c>
      <c r="M2510" s="20">
        <v>250</v>
      </c>
      <c r="N2510" s="19" t="s">
        <v>667</v>
      </c>
      <c r="O2510" s="20">
        <v>1</v>
      </c>
      <c r="P2510" s="20">
        <v>250</v>
      </c>
      <c r="Q2510" s="20">
        <v>574.48696115383598</v>
      </c>
      <c r="R2510" s="21">
        <v>0.92</v>
      </c>
      <c r="S2510" s="20">
        <v>574.48696115383598</v>
      </c>
    </row>
    <row r="2511" spans="2:19" ht="15" customHeight="1" x14ac:dyDescent="0.25">
      <c r="B2511" s="2" t="str">
        <f t="shared" si="78"/>
        <v>PGL_Business_Small/Mid-Size Business_Rebates_Water Heater_≥75 MBH, ≥88% TE _CI</v>
      </c>
      <c r="C2511" s="2" t="str">
        <f t="shared" si="79"/>
        <v>PGL_Business_Small/Mid-Size Business_Rebates_Water Heater_≥75 MBH, ≥88% TE _CI_2024</v>
      </c>
      <c r="D2511" s="19" t="s">
        <v>1794</v>
      </c>
      <c r="E2511" s="19" t="s">
        <v>3</v>
      </c>
      <c r="F2511" s="19" t="s">
        <v>1432</v>
      </c>
      <c r="G2511" s="19" t="s">
        <v>1429</v>
      </c>
      <c r="H2511" s="19" t="s">
        <v>8</v>
      </c>
      <c r="I2511" s="19" t="s">
        <v>1293</v>
      </c>
      <c r="J2511" s="19" t="s">
        <v>1294</v>
      </c>
      <c r="K2511" s="19" t="s">
        <v>1159</v>
      </c>
      <c r="L2511" s="19">
        <v>2024</v>
      </c>
      <c r="M2511" s="20">
        <v>250</v>
      </c>
      <c r="N2511" s="19" t="s">
        <v>667</v>
      </c>
      <c r="O2511" s="20">
        <v>1</v>
      </c>
      <c r="P2511" s="20">
        <v>250</v>
      </c>
      <c r="Q2511" s="20">
        <v>574.48696115383598</v>
      </c>
      <c r="R2511" s="21">
        <v>0.92</v>
      </c>
      <c r="S2511" s="20">
        <v>574.48696115383598</v>
      </c>
    </row>
    <row r="2512" spans="2:19" ht="15" customHeight="1" x14ac:dyDescent="0.25">
      <c r="B2512" s="2" t="str">
        <f t="shared" si="78"/>
        <v>PGL_Business_Small/Mid-Size Business_Rebates_Water Heater_≥75 MBH, ≥88% TE _CI</v>
      </c>
      <c r="C2512" s="2" t="str">
        <f t="shared" si="79"/>
        <v>PGL_Business_Small/Mid-Size Business_Rebates_Water Heater_≥75 MBH, ≥88% TE _CI_2025</v>
      </c>
      <c r="D2512" s="19" t="s">
        <v>1794</v>
      </c>
      <c r="E2512" s="19" t="s">
        <v>3</v>
      </c>
      <c r="F2512" s="19" t="s">
        <v>1432</v>
      </c>
      <c r="G2512" s="19" t="s">
        <v>1429</v>
      </c>
      <c r="H2512" s="19" t="s">
        <v>8</v>
      </c>
      <c r="I2512" s="19" t="s">
        <v>1293</v>
      </c>
      <c r="J2512" s="19" t="s">
        <v>1294</v>
      </c>
      <c r="K2512" s="19" t="s">
        <v>1159</v>
      </c>
      <c r="L2512" s="19">
        <v>2025</v>
      </c>
      <c r="M2512" s="20">
        <v>250</v>
      </c>
      <c r="N2512" s="19" t="s">
        <v>667</v>
      </c>
      <c r="O2512" s="20">
        <v>1</v>
      </c>
      <c r="P2512" s="20">
        <v>250</v>
      </c>
      <c r="Q2512" s="20">
        <v>574.48696115383598</v>
      </c>
      <c r="R2512" s="21">
        <v>0.92</v>
      </c>
      <c r="S2512" s="20">
        <v>574.48696115383598</v>
      </c>
    </row>
    <row r="2513" spans="2:19" ht="15" customHeight="1" x14ac:dyDescent="0.25">
      <c r="B2513" s="2" t="str">
        <f t="shared" si="78"/>
        <v>PGL_Business_Small/Mid-Size Business_Rebates_Linkageless Controls_0_CI</v>
      </c>
      <c r="C2513" s="2" t="str">
        <f t="shared" si="79"/>
        <v>PGL_Business_Small/Mid-Size Business_Rebates_Linkageless Controls_0_CI_2022</v>
      </c>
      <c r="D2513" s="19" t="s">
        <v>1794</v>
      </c>
      <c r="E2513" s="19" t="s">
        <v>3</v>
      </c>
      <c r="F2513" s="19" t="s">
        <v>1432</v>
      </c>
      <c r="G2513" s="19" t="s">
        <v>1429</v>
      </c>
      <c r="H2513" s="19" t="s">
        <v>1287</v>
      </c>
      <c r="I2513" s="19">
        <v>0</v>
      </c>
      <c r="J2513" s="19" t="s">
        <v>28</v>
      </c>
      <c r="K2513" s="19" t="s">
        <v>1159</v>
      </c>
      <c r="L2513" s="19">
        <v>2022</v>
      </c>
      <c r="M2513" s="20">
        <v>1500</v>
      </c>
      <c r="N2513" s="19" t="s">
        <v>667</v>
      </c>
      <c r="O2513" s="20">
        <v>0</v>
      </c>
      <c r="P2513" s="20">
        <v>0</v>
      </c>
      <c r="Q2513" s="20">
        <v>0</v>
      </c>
      <c r="R2513" s="21">
        <v>0.92</v>
      </c>
      <c r="S2513" s="20">
        <v>0</v>
      </c>
    </row>
    <row r="2514" spans="2:19" ht="15" customHeight="1" x14ac:dyDescent="0.25">
      <c r="B2514" s="2" t="str">
        <f t="shared" si="78"/>
        <v>PGL_Business_Small/Mid-Size Business_Rebates_Linkageless Controls_0_CI</v>
      </c>
      <c r="C2514" s="2" t="str">
        <f t="shared" si="79"/>
        <v>PGL_Business_Small/Mid-Size Business_Rebates_Linkageless Controls_0_CI_2023</v>
      </c>
      <c r="D2514" s="19" t="s">
        <v>1794</v>
      </c>
      <c r="E2514" s="19" t="s">
        <v>3</v>
      </c>
      <c r="F2514" s="19" t="s">
        <v>1432</v>
      </c>
      <c r="G2514" s="19" t="s">
        <v>1429</v>
      </c>
      <c r="H2514" s="19" t="s">
        <v>1287</v>
      </c>
      <c r="I2514" s="19">
        <v>0</v>
      </c>
      <c r="J2514" s="19" t="s">
        <v>28</v>
      </c>
      <c r="K2514" s="19" t="s">
        <v>1159</v>
      </c>
      <c r="L2514" s="19">
        <v>2023</v>
      </c>
      <c r="M2514" s="20">
        <v>1500</v>
      </c>
      <c r="N2514" s="19" t="s">
        <v>667</v>
      </c>
      <c r="O2514" s="20">
        <v>0</v>
      </c>
      <c r="P2514" s="20">
        <v>0</v>
      </c>
      <c r="Q2514" s="20">
        <v>0</v>
      </c>
      <c r="R2514" s="21">
        <v>0.92</v>
      </c>
      <c r="S2514" s="20">
        <v>0</v>
      </c>
    </row>
    <row r="2515" spans="2:19" ht="15" customHeight="1" x14ac:dyDescent="0.25">
      <c r="B2515" s="2" t="str">
        <f t="shared" si="78"/>
        <v>PGL_Business_Small/Mid-Size Business_Rebates_Linkageless Controls_0_CI</v>
      </c>
      <c r="C2515" s="2" t="str">
        <f t="shared" si="79"/>
        <v>PGL_Business_Small/Mid-Size Business_Rebates_Linkageless Controls_0_CI_2024</v>
      </c>
      <c r="D2515" s="19" t="s">
        <v>1794</v>
      </c>
      <c r="E2515" s="19" t="s">
        <v>3</v>
      </c>
      <c r="F2515" s="19" t="s">
        <v>1432</v>
      </c>
      <c r="G2515" s="19" t="s">
        <v>1429</v>
      </c>
      <c r="H2515" s="19" t="s">
        <v>1287</v>
      </c>
      <c r="I2515" s="19">
        <v>0</v>
      </c>
      <c r="J2515" s="19" t="s">
        <v>28</v>
      </c>
      <c r="K2515" s="19" t="s">
        <v>1159</v>
      </c>
      <c r="L2515" s="19">
        <v>2024</v>
      </c>
      <c r="M2515" s="20">
        <v>1500</v>
      </c>
      <c r="N2515" s="19" t="s">
        <v>667</v>
      </c>
      <c r="O2515" s="20">
        <v>0</v>
      </c>
      <c r="P2515" s="20">
        <v>0</v>
      </c>
      <c r="Q2515" s="20">
        <v>0</v>
      </c>
      <c r="R2515" s="21">
        <v>0.92</v>
      </c>
      <c r="S2515" s="20">
        <v>0</v>
      </c>
    </row>
    <row r="2516" spans="2:19" ht="15" customHeight="1" x14ac:dyDescent="0.25">
      <c r="B2516" s="2" t="str">
        <f t="shared" si="78"/>
        <v>PGL_Business_Small/Mid-Size Business_Rebates_Linkageless Controls_0_CI</v>
      </c>
      <c r="C2516" s="2" t="str">
        <f t="shared" si="79"/>
        <v>PGL_Business_Small/Mid-Size Business_Rebates_Linkageless Controls_0_CI_2025</v>
      </c>
      <c r="D2516" s="19" t="s">
        <v>1794</v>
      </c>
      <c r="E2516" s="19" t="s">
        <v>3</v>
      </c>
      <c r="F2516" s="19" t="s">
        <v>1432</v>
      </c>
      <c r="G2516" s="19" t="s">
        <v>1429</v>
      </c>
      <c r="H2516" s="19" t="s">
        <v>1287</v>
      </c>
      <c r="I2516" s="19">
        <v>0</v>
      </c>
      <c r="J2516" s="19" t="s">
        <v>28</v>
      </c>
      <c r="K2516" s="19" t="s">
        <v>1159</v>
      </c>
      <c r="L2516" s="19">
        <v>2025</v>
      </c>
      <c r="M2516" s="20">
        <v>1500</v>
      </c>
      <c r="N2516" s="19" t="s">
        <v>667</v>
      </c>
      <c r="O2516" s="20">
        <v>0</v>
      </c>
      <c r="P2516" s="20">
        <v>0</v>
      </c>
      <c r="Q2516" s="20">
        <v>0</v>
      </c>
      <c r="R2516" s="21">
        <v>0.92</v>
      </c>
      <c r="S2516" s="20">
        <v>0</v>
      </c>
    </row>
    <row r="2517" spans="2:19" ht="15" customHeight="1" x14ac:dyDescent="0.25">
      <c r="B2517" s="2" t="str">
        <f t="shared" si="78"/>
        <v>PGL_Business_Small/Mid-Size Business_Rebates_Water Heater_Central Lodging 88% TE_CI</v>
      </c>
      <c r="C2517" s="2" t="str">
        <f t="shared" si="79"/>
        <v>PGL_Business_Small/Mid-Size Business_Rebates_Water Heater_Central Lodging 88% TE_CI_2022</v>
      </c>
      <c r="D2517" s="19" t="s">
        <v>1794</v>
      </c>
      <c r="E2517" s="19" t="s">
        <v>3</v>
      </c>
      <c r="F2517" s="19" t="s">
        <v>1432</v>
      </c>
      <c r="G2517" s="19" t="s">
        <v>1429</v>
      </c>
      <c r="H2517" s="19" t="s">
        <v>8</v>
      </c>
      <c r="I2517" s="19" t="s">
        <v>1304</v>
      </c>
      <c r="J2517" s="19" t="s">
        <v>30</v>
      </c>
      <c r="K2517" s="19" t="s">
        <v>1159</v>
      </c>
      <c r="L2517" s="19">
        <v>2022</v>
      </c>
      <c r="M2517" s="20">
        <v>150</v>
      </c>
      <c r="N2517" s="19" t="s">
        <v>667</v>
      </c>
      <c r="O2517" s="20">
        <v>0</v>
      </c>
      <c r="P2517" s="20">
        <v>0</v>
      </c>
      <c r="Q2517" s="20">
        <v>0</v>
      </c>
      <c r="R2517" s="21">
        <v>0.92</v>
      </c>
      <c r="S2517" s="20">
        <v>0</v>
      </c>
    </row>
    <row r="2518" spans="2:19" ht="15" customHeight="1" x14ac:dyDescent="0.25">
      <c r="B2518" s="2" t="str">
        <f t="shared" si="78"/>
        <v>PGL_Business_Small/Mid-Size Business_Rebates_Water Heater_Central Lodging 88% TE_CI</v>
      </c>
      <c r="C2518" s="2" t="str">
        <f t="shared" si="79"/>
        <v>PGL_Business_Small/Mid-Size Business_Rebates_Water Heater_Central Lodging 88% TE_CI_2023</v>
      </c>
      <c r="D2518" s="19" t="s">
        <v>1794</v>
      </c>
      <c r="E2518" s="19" t="s">
        <v>3</v>
      </c>
      <c r="F2518" s="19" t="s">
        <v>1432</v>
      </c>
      <c r="G2518" s="19" t="s">
        <v>1429</v>
      </c>
      <c r="H2518" s="19" t="s">
        <v>8</v>
      </c>
      <c r="I2518" s="19" t="s">
        <v>1304</v>
      </c>
      <c r="J2518" s="19" t="s">
        <v>30</v>
      </c>
      <c r="K2518" s="19" t="s">
        <v>1159</v>
      </c>
      <c r="L2518" s="19">
        <v>2023</v>
      </c>
      <c r="M2518" s="20">
        <v>150</v>
      </c>
      <c r="N2518" s="19" t="s">
        <v>667</v>
      </c>
      <c r="O2518" s="20">
        <v>0</v>
      </c>
      <c r="P2518" s="20">
        <v>0</v>
      </c>
      <c r="Q2518" s="20">
        <v>0</v>
      </c>
      <c r="R2518" s="21">
        <v>0.92</v>
      </c>
      <c r="S2518" s="20">
        <v>0</v>
      </c>
    </row>
    <row r="2519" spans="2:19" ht="15" customHeight="1" x14ac:dyDescent="0.25">
      <c r="B2519" s="2" t="str">
        <f t="shared" si="78"/>
        <v>PGL_Business_Small/Mid-Size Business_Rebates_Water Heater_Central Lodging 88% TE_CI</v>
      </c>
      <c r="C2519" s="2" t="str">
        <f t="shared" si="79"/>
        <v>PGL_Business_Small/Mid-Size Business_Rebates_Water Heater_Central Lodging 88% TE_CI_2024</v>
      </c>
      <c r="D2519" s="19" t="s">
        <v>1794</v>
      </c>
      <c r="E2519" s="19" t="s">
        <v>3</v>
      </c>
      <c r="F2519" s="19" t="s">
        <v>1432</v>
      </c>
      <c r="G2519" s="19" t="s">
        <v>1429</v>
      </c>
      <c r="H2519" s="19" t="s">
        <v>8</v>
      </c>
      <c r="I2519" s="19" t="s">
        <v>1304</v>
      </c>
      <c r="J2519" s="19" t="s">
        <v>30</v>
      </c>
      <c r="K2519" s="19" t="s">
        <v>1159</v>
      </c>
      <c r="L2519" s="19">
        <v>2024</v>
      </c>
      <c r="M2519" s="20">
        <v>150</v>
      </c>
      <c r="N2519" s="19" t="s">
        <v>667</v>
      </c>
      <c r="O2519" s="20">
        <v>0</v>
      </c>
      <c r="P2519" s="20">
        <v>0</v>
      </c>
      <c r="Q2519" s="20">
        <v>0</v>
      </c>
      <c r="R2519" s="21">
        <v>0.92</v>
      </c>
      <c r="S2519" s="20">
        <v>0</v>
      </c>
    </row>
    <row r="2520" spans="2:19" ht="15" customHeight="1" x14ac:dyDescent="0.25">
      <c r="B2520" s="2" t="str">
        <f t="shared" si="78"/>
        <v>PGL_Business_Small/Mid-Size Business_Rebates_Water Heater_Central Lodging 88% TE_CI</v>
      </c>
      <c r="C2520" s="2" t="str">
        <f t="shared" si="79"/>
        <v>PGL_Business_Small/Mid-Size Business_Rebates_Water Heater_Central Lodging 88% TE_CI_2025</v>
      </c>
      <c r="D2520" s="19" t="s">
        <v>1794</v>
      </c>
      <c r="E2520" s="19" t="s">
        <v>3</v>
      </c>
      <c r="F2520" s="19" t="s">
        <v>1432</v>
      </c>
      <c r="G2520" s="19" t="s">
        <v>1429</v>
      </c>
      <c r="H2520" s="19" t="s">
        <v>8</v>
      </c>
      <c r="I2520" s="19" t="s">
        <v>1304</v>
      </c>
      <c r="J2520" s="19" t="s">
        <v>30</v>
      </c>
      <c r="K2520" s="19" t="s">
        <v>1159</v>
      </c>
      <c r="L2520" s="19">
        <v>2025</v>
      </c>
      <c r="M2520" s="20">
        <v>150</v>
      </c>
      <c r="N2520" s="19" t="s">
        <v>667</v>
      </c>
      <c r="O2520" s="20">
        <v>0</v>
      </c>
      <c r="P2520" s="20">
        <v>0</v>
      </c>
      <c r="Q2520" s="20">
        <v>0</v>
      </c>
      <c r="R2520" s="21">
        <v>0.92</v>
      </c>
      <c r="S2520" s="20">
        <v>0</v>
      </c>
    </row>
    <row r="2521" spans="2:19" ht="15" customHeight="1" x14ac:dyDescent="0.25">
      <c r="B2521" s="2" t="str">
        <f t="shared" si="78"/>
        <v>PGL_Business_Small/Mid-Size Business_Rebates_DHW Storage Tank Insulation_0_MF/CI/SMB</v>
      </c>
      <c r="C2521" s="2" t="str">
        <f t="shared" si="79"/>
        <v>PGL_Business_Small/Mid-Size Business_Rebates_DHW Storage Tank Insulation_0_MF/CI/SMB_2022</v>
      </c>
      <c r="D2521" s="19" t="s">
        <v>1794</v>
      </c>
      <c r="E2521" s="19" t="s">
        <v>3</v>
      </c>
      <c r="F2521" s="19" t="s">
        <v>1432</v>
      </c>
      <c r="G2521" s="19" t="s">
        <v>1429</v>
      </c>
      <c r="H2521" s="19" t="s">
        <v>832</v>
      </c>
      <c r="I2521" s="19">
        <v>0</v>
      </c>
      <c r="J2521" s="19" t="s">
        <v>810</v>
      </c>
      <c r="K2521" s="19" t="s">
        <v>662</v>
      </c>
      <c r="L2521" s="19">
        <v>2022</v>
      </c>
      <c r="M2521" s="20">
        <v>56</v>
      </c>
      <c r="N2521" s="19" t="s">
        <v>634</v>
      </c>
      <c r="O2521" s="20">
        <v>2</v>
      </c>
      <c r="P2521" s="20">
        <v>112</v>
      </c>
      <c r="Q2521" s="20">
        <v>716.68162506442104</v>
      </c>
      <c r="R2521" s="21">
        <v>0.92</v>
      </c>
      <c r="S2521" s="20">
        <v>716.68162506442104</v>
      </c>
    </row>
    <row r="2522" spans="2:19" ht="15" customHeight="1" x14ac:dyDescent="0.25">
      <c r="B2522" s="2" t="str">
        <f t="shared" si="78"/>
        <v>PGL_Business_Small/Mid-Size Business_Rebates_DHW Storage Tank Insulation_0_MF/CI/SMB</v>
      </c>
      <c r="C2522" s="2" t="str">
        <f t="shared" si="79"/>
        <v>PGL_Business_Small/Mid-Size Business_Rebates_DHW Storage Tank Insulation_0_MF/CI/SMB_2023</v>
      </c>
      <c r="D2522" s="19" t="s">
        <v>1794</v>
      </c>
      <c r="E2522" s="19" t="s">
        <v>3</v>
      </c>
      <c r="F2522" s="19" t="s">
        <v>1432</v>
      </c>
      <c r="G2522" s="19" t="s">
        <v>1429</v>
      </c>
      <c r="H2522" s="19" t="s">
        <v>832</v>
      </c>
      <c r="I2522" s="19">
        <v>0</v>
      </c>
      <c r="J2522" s="19" t="s">
        <v>810</v>
      </c>
      <c r="K2522" s="19" t="s">
        <v>662</v>
      </c>
      <c r="L2522" s="19">
        <v>2023</v>
      </c>
      <c r="M2522" s="20">
        <v>56</v>
      </c>
      <c r="N2522" s="19" t="s">
        <v>634</v>
      </c>
      <c r="O2522" s="20">
        <v>2</v>
      </c>
      <c r="P2522" s="20">
        <v>112</v>
      </c>
      <c r="Q2522" s="20">
        <v>716.68162506442104</v>
      </c>
      <c r="R2522" s="21">
        <v>0.92</v>
      </c>
      <c r="S2522" s="20">
        <v>716.68162506442104</v>
      </c>
    </row>
    <row r="2523" spans="2:19" ht="15" customHeight="1" x14ac:dyDescent="0.25">
      <c r="B2523" s="2" t="str">
        <f t="shared" si="78"/>
        <v>PGL_Business_Small/Mid-Size Business_Rebates_DHW Storage Tank Insulation_0_MF/CI/SMB</v>
      </c>
      <c r="C2523" s="2" t="str">
        <f t="shared" si="79"/>
        <v>PGL_Business_Small/Mid-Size Business_Rebates_DHW Storage Tank Insulation_0_MF/CI/SMB_2024</v>
      </c>
      <c r="D2523" s="19" t="s">
        <v>1794</v>
      </c>
      <c r="E2523" s="19" t="s">
        <v>3</v>
      </c>
      <c r="F2523" s="19" t="s">
        <v>1432</v>
      </c>
      <c r="G2523" s="19" t="s">
        <v>1429</v>
      </c>
      <c r="H2523" s="19" t="s">
        <v>832</v>
      </c>
      <c r="I2523" s="19">
        <v>0</v>
      </c>
      <c r="J2523" s="19" t="s">
        <v>810</v>
      </c>
      <c r="K2523" s="19" t="s">
        <v>662</v>
      </c>
      <c r="L2523" s="19">
        <v>2024</v>
      </c>
      <c r="M2523" s="20">
        <v>56</v>
      </c>
      <c r="N2523" s="19" t="s">
        <v>634</v>
      </c>
      <c r="O2523" s="20">
        <v>1</v>
      </c>
      <c r="P2523" s="20">
        <v>56</v>
      </c>
      <c r="Q2523" s="20">
        <v>358.34081253221052</v>
      </c>
      <c r="R2523" s="21">
        <v>0.92</v>
      </c>
      <c r="S2523" s="20">
        <v>358.34081253221052</v>
      </c>
    </row>
    <row r="2524" spans="2:19" ht="15" customHeight="1" x14ac:dyDescent="0.25">
      <c r="B2524" s="2" t="str">
        <f t="shared" si="78"/>
        <v>PGL_Business_Small/Mid-Size Business_Rebates_DHW Storage Tank Insulation_0_MF/CI/SMB</v>
      </c>
      <c r="C2524" s="2" t="str">
        <f t="shared" si="79"/>
        <v>PGL_Business_Small/Mid-Size Business_Rebates_DHW Storage Tank Insulation_0_MF/CI/SMB_2025</v>
      </c>
      <c r="D2524" s="19" t="s">
        <v>1794</v>
      </c>
      <c r="E2524" s="19" t="s">
        <v>3</v>
      </c>
      <c r="F2524" s="19" t="s">
        <v>1432</v>
      </c>
      <c r="G2524" s="19" t="s">
        <v>1429</v>
      </c>
      <c r="H2524" s="19" t="s">
        <v>832</v>
      </c>
      <c r="I2524" s="19">
        <v>0</v>
      </c>
      <c r="J2524" s="19" t="s">
        <v>810</v>
      </c>
      <c r="K2524" s="19" t="s">
        <v>662</v>
      </c>
      <c r="L2524" s="19">
        <v>2025</v>
      </c>
      <c r="M2524" s="20">
        <v>56</v>
      </c>
      <c r="N2524" s="19" t="s">
        <v>634</v>
      </c>
      <c r="O2524" s="20">
        <v>1</v>
      </c>
      <c r="P2524" s="20">
        <v>56</v>
      </c>
      <c r="Q2524" s="20">
        <v>358.34081253221052</v>
      </c>
      <c r="R2524" s="21">
        <v>0.92</v>
      </c>
      <c r="S2524" s="20">
        <v>358.34081253221052</v>
      </c>
    </row>
    <row r="2525" spans="2:19" ht="15" customHeight="1" x14ac:dyDescent="0.25">
      <c r="B2525" s="2" t="str">
        <f t="shared" si="78"/>
        <v>PGL_Business_Small/Mid-Size Business_Rebates_Water Heater_Storage 0.67 EF_CI</v>
      </c>
      <c r="C2525" s="2" t="str">
        <f t="shared" si="79"/>
        <v>PGL_Business_Small/Mid-Size Business_Rebates_Water Heater_Storage 0.67 EF_CI_2022</v>
      </c>
      <c r="D2525" s="19" t="s">
        <v>1794</v>
      </c>
      <c r="E2525" s="19" t="s">
        <v>3</v>
      </c>
      <c r="F2525" s="19" t="s">
        <v>1432</v>
      </c>
      <c r="G2525" s="19" t="s">
        <v>1429</v>
      </c>
      <c r="H2525" s="19" t="s">
        <v>8</v>
      </c>
      <c r="I2525" s="19" t="s">
        <v>879</v>
      </c>
      <c r="J2525" s="19" t="s">
        <v>1263</v>
      </c>
      <c r="K2525" s="19" t="s">
        <v>1159</v>
      </c>
      <c r="L2525" s="19">
        <v>2022</v>
      </c>
      <c r="M2525" s="20">
        <v>1</v>
      </c>
      <c r="N2525" s="19" t="s">
        <v>1798</v>
      </c>
      <c r="O2525" s="20">
        <v>0</v>
      </c>
      <c r="P2525" s="20">
        <v>0</v>
      </c>
      <c r="Q2525" s="20">
        <v>0</v>
      </c>
      <c r="R2525" s="21">
        <v>0.92</v>
      </c>
      <c r="S2525" s="20">
        <v>0</v>
      </c>
    </row>
    <row r="2526" spans="2:19" ht="15" customHeight="1" x14ac:dyDescent="0.25">
      <c r="B2526" s="2" t="str">
        <f t="shared" si="78"/>
        <v>PGL_Business_Small/Mid-Size Business_Rebates_Water Heater_Storage 0.67 EF_CI</v>
      </c>
      <c r="C2526" s="2" t="str">
        <f t="shared" si="79"/>
        <v>PGL_Business_Small/Mid-Size Business_Rebates_Water Heater_Storage 0.67 EF_CI_2023</v>
      </c>
      <c r="D2526" s="19" t="s">
        <v>1794</v>
      </c>
      <c r="E2526" s="19" t="s">
        <v>3</v>
      </c>
      <c r="F2526" s="19" t="s">
        <v>1432</v>
      </c>
      <c r="G2526" s="19" t="s">
        <v>1429</v>
      </c>
      <c r="H2526" s="19" t="s">
        <v>8</v>
      </c>
      <c r="I2526" s="19" t="s">
        <v>879</v>
      </c>
      <c r="J2526" s="19" t="s">
        <v>1263</v>
      </c>
      <c r="K2526" s="19" t="s">
        <v>1159</v>
      </c>
      <c r="L2526" s="19">
        <v>2023</v>
      </c>
      <c r="M2526" s="20">
        <v>1</v>
      </c>
      <c r="N2526" s="19" t="s">
        <v>1798</v>
      </c>
      <c r="O2526" s="20">
        <v>0</v>
      </c>
      <c r="P2526" s="20">
        <v>0</v>
      </c>
      <c r="Q2526" s="20">
        <v>0</v>
      </c>
      <c r="R2526" s="21">
        <v>0.92</v>
      </c>
      <c r="S2526" s="20">
        <v>0</v>
      </c>
    </row>
    <row r="2527" spans="2:19" ht="15" customHeight="1" x14ac:dyDescent="0.25">
      <c r="B2527" s="2" t="str">
        <f t="shared" si="78"/>
        <v>PGL_Business_Small/Mid-Size Business_Rebates_Water Heater_Storage 0.67 EF_CI</v>
      </c>
      <c r="C2527" s="2" t="str">
        <f t="shared" si="79"/>
        <v>PGL_Business_Small/Mid-Size Business_Rebates_Water Heater_Storage 0.67 EF_CI_2024</v>
      </c>
      <c r="D2527" s="19" t="s">
        <v>1794</v>
      </c>
      <c r="E2527" s="19" t="s">
        <v>3</v>
      </c>
      <c r="F2527" s="19" t="s">
        <v>1432</v>
      </c>
      <c r="G2527" s="19" t="s">
        <v>1429</v>
      </c>
      <c r="H2527" s="19" t="s">
        <v>8</v>
      </c>
      <c r="I2527" s="19" t="s">
        <v>879</v>
      </c>
      <c r="J2527" s="19" t="s">
        <v>1263</v>
      </c>
      <c r="K2527" s="19" t="s">
        <v>1159</v>
      </c>
      <c r="L2527" s="19">
        <v>2024</v>
      </c>
      <c r="M2527" s="20">
        <v>1</v>
      </c>
      <c r="N2527" s="19" t="s">
        <v>1798</v>
      </c>
      <c r="O2527" s="20">
        <v>0</v>
      </c>
      <c r="P2527" s="20">
        <v>0</v>
      </c>
      <c r="Q2527" s="20">
        <v>0</v>
      </c>
      <c r="R2527" s="21">
        <v>0.92</v>
      </c>
      <c r="S2527" s="20">
        <v>0</v>
      </c>
    </row>
    <row r="2528" spans="2:19" ht="15" customHeight="1" x14ac:dyDescent="0.25">
      <c r="B2528" s="2" t="str">
        <f t="shared" si="78"/>
        <v>PGL_Business_Small/Mid-Size Business_Rebates_Water Heater_Storage 0.67 EF_CI</v>
      </c>
      <c r="C2528" s="2" t="str">
        <f t="shared" si="79"/>
        <v>PGL_Business_Small/Mid-Size Business_Rebates_Water Heater_Storage 0.67 EF_CI_2025</v>
      </c>
      <c r="D2528" s="19" t="s">
        <v>1794</v>
      </c>
      <c r="E2528" s="19" t="s">
        <v>3</v>
      </c>
      <c r="F2528" s="19" t="s">
        <v>1432</v>
      </c>
      <c r="G2528" s="19" t="s">
        <v>1429</v>
      </c>
      <c r="H2528" s="19" t="s">
        <v>8</v>
      </c>
      <c r="I2528" s="19" t="s">
        <v>879</v>
      </c>
      <c r="J2528" s="19" t="s">
        <v>1263</v>
      </c>
      <c r="K2528" s="19" t="s">
        <v>1159</v>
      </c>
      <c r="L2528" s="19">
        <v>2025</v>
      </c>
      <c r="M2528" s="20">
        <v>1</v>
      </c>
      <c r="N2528" s="19" t="s">
        <v>1798</v>
      </c>
      <c r="O2528" s="20">
        <v>0</v>
      </c>
      <c r="P2528" s="20">
        <v>0</v>
      </c>
      <c r="Q2528" s="20">
        <v>0</v>
      </c>
      <c r="R2528" s="21">
        <v>0.92</v>
      </c>
      <c r="S2528" s="20">
        <v>0</v>
      </c>
    </row>
    <row r="2529" spans="2:19" ht="15" customHeight="1" x14ac:dyDescent="0.25">
      <c r="B2529" s="2" t="str">
        <f t="shared" si="78"/>
        <v>PGL_Business_Small/Mid-Size Business_Rebates_Infrared Heater_0_MF/CI</v>
      </c>
      <c r="C2529" s="2" t="str">
        <f t="shared" si="79"/>
        <v>PGL_Business_Small/Mid-Size Business_Rebates_Infrared Heater_0_MF/CI_2022</v>
      </c>
      <c r="D2529" s="19" t="s">
        <v>1794</v>
      </c>
      <c r="E2529" s="19" t="s">
        <v>3</v>
      </c>
      <c r="F2529" s="19" t="s">
        <v>1432</v>
      </c>
      <c r="G2529" s="19" t="s">
        <v>1429</v>
      </c>
      <c r="H2529" s="19" t="s">
        <v>742</v>
      </c>
      <c r="I2529" s="19">
        <v>0</v>
      </c>
      <c r="J2529" s="19" t="s">
        <v>33</v>
      </c>
      <c r="K2529" s="19" t="s">
        <v>587</v>
      </c>
      <c r="L2529" s="19">
        <v>2022</v>
      </c>
      <c r="M2529" s="20">
        <v>150</v>
      </c>
      <c r="N2529" s="19" t="s">
        <v>667</v>
      </c>
      <c r="O2529" s="20">
        <v>0</v>
      </c>
      <c r="P2529" s="20">
        <v>0</v>
      </c>
      <c r="Q2529" s="20">
        <v>0</v>
      </c>
      <c r="R2529" s="21">
        <v>0.92</v>
      </c>
      <c r="S2529" s="20">
        <v>0</v>
      </c>
    </row>
    <row r="2530" spans="2:19" ht="15" customHeight="1" x14ac:dyDescent="0.25">
      <c r="B2530" s="2" t="str">
        <f t="shared" si="78"/>
        <v>PGL_Business_Small/Mid-Size Business_Rebates_Infrared Heater_0_MF/CI</v>
      </c>
      <c r="C2530" s="2" t="str">
        <f t="shared" si="79"/>
        <v>PGL_Business_Small/Mid-Size Business_Rebates_Infrared Heater_0_MF/CI_2023</v>
      </c>
      <c r="D2530" s="19" t="s">
        <v>1794</v>
      </c>
      <c r="E2530" s="19" t="s">
        <v>3</v>
      </c>
      <c r="F2530" s="19" t="s">
        <v>1432</v>
      </c>
      <c r="G2530" s="19" t="s">
        <v>1429</v>
      </c>
      <c r="H2530" s="19" t="s">
        <v>742</v>
      </c>
      <c r="I2530" s="19">
        <v>0</v>
      </c>
      <c r="J2530" s="19" t="s">
        <v>33</v>
      </c>
      <c r="K2530" s="19" t="s">
        <v>587</v>
      </c>
      <c r="L2530" s="19">
        <v>2023</v>
      </c>
      <c r="M2530" s="20">
        <v>150</v>
      </c>
      <c r="N2530" s="19" t="s">
        <v>667</v>
      </c>
      <c r="O2530" s="20">
        <v>0</v>
      </c>
      <c r="P2530" s="20">
        <v>0</v>
      </c>
      <c r="Q2530" s="20">
        <v>0</v>
      </c>
      <c r="R2530" s="21">
        <v>0.92</v>
      </c>
      <c r="S2530" s="20">
        <v>0</v>
      </c>
    </row>
    <row r="2531" spans="2:19" ht="15" customHeight="1" x14ac:dyDescent="0.25">
      <c r="B2531" s="2" t="str">
        <f t="shared" si="78"/>
        <v>PGL_Business_Small/Mid-Size Business_Rebates_Infrared Heater_0_MF/CI</v>
      </c>
      <c r="C2531" s="2" t="str">
        <f t="shared" si="79"/>
        <v>PGL_Business_Small/Mid-Size Business_Rebates_Infrared Heater_0_MF/CI_2024</v>
      </c>
      <c r="D2531" s="19" t="s">
        <v>1794</v>
      </c>
      <c r="E2531" s="19" t="s">
        <v>3</v>
      </c>
      <c r="F2531" s="19" t="s">
        <v>1432</v>
      </c>
      <c r="G2531" s="19" t="s">
        <v>1429</v>
      </c>
      <c r="H2531" s="19" t="s">
        <v>742</v>
      </c>
      <c r="I2531" s="19">
        <v>0</v>
      </c>
      <c r="J2531" s="19" t="s">
        <v>33</v>
      </c>
      <c r="K2531" s="19" t="s">
        <v>587</v>
      </c>
      <c r="L2531" s="19">
        <v>2024</v>
      </c>
      <c r="M2531" s="20">
        <v>150</v>
      </c>
      <c r="N2531" s="19" t="s">
        <v>667</v>
      </c>
      <c r="O2531" s="20">
        <v>0</v>
      </c>
      <c r="P2531" s="20">
        <v>0</v>
      </c>
      <c r="Q2531" s="20">
        <v>0</v>
      </c>
      <c r="R2531" s="21">
        <v>0.92</v>
      </c>
      <c r="S2531" s="20">
        <v>0</v>
      </c>
    </row>
    <row r="2532" spans="2:19" ht="15" customHeight="1" x14ac:dyDescent="0.25">
      <c r="B2532" s="2" t="str">
        <f t="shared" si="78"/>
        <v>PGL_Business_Small/Mid-Size Business_Rebates_Infrared Heater_0_MF/CI</v>
      </c>
      <c r="C2532" s="2" t="str">
        <f t="shared" si="79"/>
        <v>PGL_Business_Small/Mid-Size Business_Rebates_Infrared Heater_0_MF/CI_2025</v>
      </c>
      <c r="D2532" s="19" t="s">
        <v>1794</v>
      </c>
      <c r="E2532" s="19" t="s">
        <v>3</v>
      </c>
      <c r="F2532" s="19" t="s">
        <v>1432</v>
      </c>
      <c r="G2532" s="19" t="s">
        <v>1429</v>
      </c>
      <c r="H2532" s="19" t="s">
        <v>742</v>
      </c>
      <c r="I2532" s="19">
        <v>0</v>
      </c>
      <c r="J2532" s="19" t="s">
        <v>33</v>
      </c>
      <c r="K2532" s="19" t="s">
        <v>587</v>
      </c>
      <c r="L2532" s="19">
        <v>2025</v>
      </c>
      <c r="M2532" s="20">
        <v>150</v>
      </c>
      <c r="N2532" s="19" t="s">
        <v>667</v>
      </c>
      <c r="O2532" s="20">
        <v>0</v>
      </c>
      <c r="P2532" s="20">
        <v>0</v>
      </c>
      <c r="Q2532" s="20">
        <v>0</v>
      </c>
      <c r="R2532" s="21">
        <v>0.92</v>
      </c>
      <c r="S2532" s="20">
        <v>0</v>
      </c>
    </row>
    <row r="2533" spans="2:19" ht="15" customHeight="1" x14ac:dyDescent="0.25">
      <c r="B2533" s="2" t="str">
        <f t="shared" si="78"/>
        <v>PGL_Business_Small/Mid-Size Business_Rebates_Modulating Commercial Gas Clothes Dryer_Hotels &amp; Hospitals_CI</v>
      </c>
      <c r="C2533" s="2" t="str">
        <f t="shared" si="79"/>
        <v>PGL_Business_Small/Mid-Size Business_Rebates_Modulating Commercial Gas Clothes Dryer_Hotels &amp; Hospitals_CI_2022</v>
      </c>
      <c r="D2533" s="19" t="s">
        <v>1794</v>
      </c>
      <c r="E2533" s="19" t="s">
        <v>3</v>
      </c>
      <c r="F2533" s="19" t="s">
        <v>1432</v>
      </c>
      <c r="G2533" s="19" t="s">
        <v>1429</v>
      </c>
      <c r="H2533" s="19" t="s">
        <v>12</v>
      </c>
      <c r="I2533" s="19" t="s">
        <v>1253</v>
      </c>
      <c r="J2533" s="19" t="s">
        <v>29</v>
      </c>
      <c r="K2533" s="19" t="s">
        <v>1159</v>
      </c>
      <c r="L2533" s="19">
        <v>2022</v>
      </c>
      <c r="M2533" s="20">
        <v>1</v>
      </c>
      <c r="N2533" s="19" t="s">
        <v>1798</v>
      </c>
      <c r="O2533" s="20">
        <v>0</v>
      </c>
      <c r="P2533" s="20">
        <v>0</v>
      </c>
      <c r="Q2533" s="20">
        <v>0</v>
      </c>
      <c r="R2533" s="21">
        <v>0.92</v>
      </c>
      <c r="S2533" s="20">
        <v>0</v>
      </c>
    </row>
    <row r="2534" spans="2:19" ht="15" customHeight="1" x14ac:dyDescent="0.25">
      <c r="B2534" s="2" t="str">
        <f t="shared" si="78"/>
        <v>PGL_Business_Small/Mid-Size Business_Rebates_Modulating Commercial Gas Clothes Dryer_Hotels &amp; Hospitals_CI</v>
      </c>
      <c r="C2534" s="2" t="str">
        <f t="shared" si="79"/>
        <v>PGL_Business_Small/Mid-Size Business_Rebates_Modulating Commercial Gas Clothes Dryer_Hotels &amp; Hospitals_CI_2023</v>
      </c>
      <c r="D2534" s="19" t="s">
        <v>1794</v>
      </c>
      <c r="E2534" s="19" t="s">
        <v>3</v>
      </c>
      <c r="F2534" s="19" t="s">
        <v>1432</v>
      </c>
      <c r="G2534" s="19" t="s">
        <v>1429</v>
      </c>
      <c r="H2534" s="19" t="s">
        <v>12</v>
      </c>
      <c r="I2534" s="19" t="s">
        <v>1253</v>
      </c>
      <c r="J2534" s="19" t="s">
        <v>29</v>
      </c>
      <c r="K2534" s="19" t="s">
        <v>1159</v>
      </c>
      <c r="L2534" s="19">
        <v>2023</v>
      </c>
      <c r="M2534" s="20">
        <v>1</v>
      </c>
      <c r="N2534" s="19" t="s">
        <v>1798</v>
      </c>
      <c r="O2534" s="20">
        <v>0</v>
      </c>
      <c r="P2534" s="20">
        <v>0</v>
      </c>
      <c r="Q2534" s="20">
        <v>0</v>
      </c>
      <c r="R2534" s="21">
        <v>0.92</v>
      </c>
      <c r="S2534" s="20">
        <v>0</v>
      </c>
    </row>
    <row r="2535" spans="2:19" ht="15" customHeight="1" x14ac:dyDescent="0.25">
      <c r="B2535" s="2" t="str">
        <f t="shared" si="78"/>
        <v>PGL_Business_Small/Mid-Size Business_Rebates_Modulating Commercial Gas Clothes Dryer_Hotels &amp; Hospitals_CI</v>
      </c>
      <c r="C2535" s="2" t="str">
        <f t="shared" si="79"/>
        <v>PGL_Business_Small/Mid-Size Business_Rebates_Modulating Commercial Gas Clothes Dryer_Hotels &amp; Hospitals_CI_2024</v>
      </c>
      <c r="D2535" s="19" t="s">
        <v>1794</v>
      </c>
      <c r="E2535" s="19" t="s">
        <v>3</v>
      </c>
      <c r="F2535" s="19" t="s">
        <v>1432</v>
      </c>
      <c r="G2535" s="19" t="s">
        <v>1429</v>
      </c>
      <c r="H2535" s="19" t="s">
        <v>12</v>
      </c>
      <c r="I2535" s="19" t="s">
        <v>1253</v>
      </c>
      <c r="J2535" s="19" t="s">
        <v>29</v>
      </c>
      <c r="K2535" s="19" t="s">
        <v>1159</v>
      </c>
      <c r="L2535" s="19">
        <v>2024</v>
      </c>
      <c r="M2535" s="20">
        <v>1</v>
      </c>
      <c r="N2535" s="19" t="s">
        <v>1798</v>
      </c>
      <c r="O2535" s="20">
        <v>0</v>
      </c>
      <c r="P2535" s="20">
        <v>0</v>
      </c>
      <c r="Q2535" s="20">
        <v>0</v>
      </c>
      <c r="R2535" s="21">
        <v>0.92</v>
      </c>
      <c r="S2535" s="20">
        <v>0</v>
      </c>
    </row>
    <row r="2536" spans="2:19" ht="15" customHeight="1" x14ac:dyDescent="0.25">
      <c r="B2536" s="2" t="str">
        <f t="shared" si="78"/>
        <v>PGL_Business_Small/Mid-Size Business_Rebates_Modulating Commercial Gas Clothes Dryer_Hotels &amp; Hospitals_CI</v>
      </c>
      <c r="C2536" s="2" t="str">
        <f t="shared" si="79"/>
        <v>PGL_Business_Small/Mid-Size Business_Rebates_Modulating Commercial Gas Clothes Dryer_Hotels &amp; Hospitals_CI_2025</v>
      </c>
      <c r="D2536" s="19" t="s">
        <v>1794</v>
      </c>
      <c r="E2536" s="19" t="s">
        <v>3</v>
      </c>
      <c r="F2536" s="19" t="s">
        <v>1432</v>
      </c>
      <c r="G2536" s="19" t="s">
        <v>1429</v>
      </c>
      <c r="H2536" s="19" t="s">
        <v>12</v>
      </c>
      <c r="I2536" s="19" t="s">
        <v>1253</v>
      </c>
      <c r="J2536" s="19" t="s">
        <v>29</v>
      </c>
      <c r="K2536" s="19" t="s">
        <v>1159</v>
      </c>
      <c r="L2536" s="19">
        <v>2025</v>
      </c>
      <c r="M2536" s="20">
        <v>1</v>
      </c>
      <c r="N2536" s="19" t="s">
        <v>1798</v>
      </c>
      <c r="O2536" s="20">
        <v>0</v>
      </c>
      <c r="P2536" s="20">
        <v>0</v>
      </c>
      <c r="Q2536" s="20">
        <v>0</v>
      </c>
      <c r="R2536" s="21">
        <v>0.92</v>
      </c>
      <c r="S2536" s="20">
        <v>0</v>
      </c>
    </row>
    <row r="2537" spans="2:19" ht="15" customHeight="1" x14ac:dyDescent="0.25">
      <c r="B2537" s="2" t="str">
        <f t="shared" si="78"/>
        <v>PGL_Business_Small/Mid-Size Business_Rebates_Modulating Commercial Gas Clothes Dryer_Laundromat &amp; MF Dorms_MF/SMB</v>
      </c>
      <c r="C2537" s="2" t="str">
        <f t="shared" si="79"/>
        <v>PGL_Business_Small/Mid-Size Business_Rebates_Modulating Commercial Gas Clothes Dryer_Laundromat &amp; MF Dorms_MF/SMB_2022</v>
      </c>
      <c r="D2537" s="19" t="s">
        <v>1794</v>
      </c>
      <c r="E2537" s="19" t="s">
        <v>3</v>
      </c>
      <c r="F2537" s="19" t="s">
        <v>1432</v>
      </c>
      <c r="G2537" s="19" t="s">
        <v>1429</v>
      </c>
      <c r="H2537" s="19" t="s">
        <v>12</v>
      </c>
      <c r="I2537" s="19" t="s">
        <v>1255</v>
      </c>
      <c r="J2537" s="19" t="s">
        <v>29</v>
      </c>
      <c r="K2537" s="19" t="s">
        <v>1256</v>
      </c>
      <c r="L2537" s="19">
        <v>2022</v>
      </c>
      <c r="M2537" s="20">
        <v>1</v>
      </c>
      <c r="N2537" s="19" t="s">
        <v>1798</v>
      </c>
      <c r="O2537" s="20">
        <v>2</v>
      </c>
      <c r="P2537" s="20">
        <v>2</v>
      </c>
      <c r="Q2537" s="20">
        <v>423.43920000000003</v>
      </c>
      <c r="R2537" s="21">
        <v>0.92</v>
      </c>
      <c r="S2537" s="20">
        <v>423.43920000000003</v>
      </c>
    </row>
    <row r="2538" spans="2:19" ht="15" customHeight="1" x14ac:dyDescent="0.25">
      <c r="B2538" s="2" t="str">
        <f t="shared" si="78"/>
        <v>PGL_Business_Small/Mid-Size Business_Rebates_Modulating Commercial Gas Clothes Dryer_Laundromat &amp; MF Dorms_MF/SMB</v>
      </c>
      <c r="C2538" s="2" t="str">
        <f t="shared" si="79"/>
        <v>PGL_Business_Small/Mid-Size Business_Rebates_Modulating Commercial Gas Clothes Dryer_Laundromat &amp; MF Dorms_MF/SMB_2023</v>
      </c>
      <c r="D2538" s="19" t="s">
        <v>1794</v>
      </c>
      <c r="E2538" s="19" t="s">
        <v>3</v>
      </c>
      <c r="F2538" s="19" t="s">
        <v>1432</v>
      </c>
      <c r="G2538" s="19" t="s">
        <v>1429</v>
      </c>
      <c r="H2538" s="19" t="s">
        <v>12</v>
      </c>
      <c r="I2538" s="19" t="s">
        <v>1255</v>
      </c>
      <c r="J2538" s="19" t="s">
        <v>29</v>
      </c>
      <c r="K2538" s="19" t="s">
        <v>1256</v>
      </c>
      <c r="L2538" s="19">
        <v>2023</v>
      </c>
      <c r="M2538" s="20">
        <v>1</v>
      </c>
      <c r="N2538" s="19" t="s">
        <v>1798</v>
      </c>
      <c r="O2538" s="20">
        <v>2</v>
      </c>
      <c r="P2538" s="20">
        <v>2</v>
      </c>
      <c r="Q2538" s="20">
        <v>423.43920000000003</v>
      </c>
      <c r="R2538" s="21">
        <v>0.92</v>
      </c>
      <c r="S2538" s="20">
        <v>423.43920000000003</v>
      </c>
    </row>
    <row r="2539" spans="2:19" ht="15" customHeight="1" x14ac:dyDescent="0.25">
      <c r="B2539" s="2" t="str">
        <f t="shared" si="78"/>
        <v>PGL_Business_Small/Mid-Size Business_Rebates_Modulating Commercial Gas Clothes Dryer_Laundromat &amp; MF Dorms_MF/SMB</v>
      </c>
      <c r="C2539" s="2" t="str">
        <f t="shared" si="79"/>
        <v>PGL_Business_Small/Mid-Size Business_Rebates_Modulating Commercial Gas Clothes Dryer_Laundromat &amp; MF Dorms_MF/SMB_2024</v>
      </c>
      <c r="D2539" s="19" t="s">
        <v>1794</v>
      </c>
      <c r="E2539" s="19" t="s">
        <v>3</v>
      </c>
      <c r="F2539" s="19" t="s">
        <v>1432</v>
      </c>
      <c r="G2539" s="19" t="s">
        <v>1429</v>
      </c>
      <c r="H2539" s="19" t="s">
        <v>12</v>
      </c>
      <c r="I2539" s="19" t="s">
        <v>1255</v>
      </c>
      <c r="J2539" s="19" t="s">
        <v>29</v>
      </c>
      <c r="K2539" s="19" t="s">
        <v>1256</v>
      </c>
      <c r="L2539" s="19">
        <v>2024</v>
      </c>
      <c r="M2539" s="20">
        <v>1</v>
      </c>
      <c r="N2539" s="19" t="s">
        <v>1798</v>
      </c>
      <c r="O2539" s="20">
        <v>1</v>
      </c>
      <c r="P2539" s="20">
        <v>1</v>
      </c>
      <c r="Q2539" s="20">
        <v>211.71960000000001</v>
      </c>
      <c r="R2539" s="21">
        <v>0.92</v>
      </c>
      <c r="S2539" s="20">
        <v>211.71960000000001</v>
      </c>
    </row>
    <row r="2540" spans="2:19" ht="15" customHeight="1" x14ac:dyDescent="0.25">
      <c r="B2540" s="2" t="str">
        <f t="shared" si="78"/>
        <v>PGL_Business_Small/Mid-Size Business_Rebates_Modulating Commercial Gas Clothes Dryer_Laundromat &amp; MF Dorms_MF/SMB</v>
      </c>
      <c r="C2540" s="2" t="str">
        <f t="shared" si="79"/>
        <v>PGL_Business_Small/Mid-Size Business_Rebates_Modulating Commercial Gas Clothes Dryer_Laundromat &amp; MF Dorms_MF/SMB_2025</v>
      </c>
      <c r="D2540" s="19" t="s">
        <v>1794</v>
      </c>
      <c r="E2540" s="19" t="s">
        <v>3</v>
      </c>
      <c r="F2540" s="19" t="s">
        <v>1432</v>
      </c>
      <c r="G2540" s="19" t="s">
        <v>1429</v>
      </c>
      <c r="H2540" s="19" t="s">
        <v>12</v>
      </c>
      <c r="I2540" s="19" t="s">
        <v>1255</v>
      </c>
      <c r="J2540" s="19" t="s">
        <v>29</v>
      </c>
      <c r="K2540" s="19" t="s">
        <v>1256</v>
      </c>
      <c r="L2540" s="19">
        <v>2025</v>
      </c>
      <c r="M2540" s="20">
        <v>1</v>
      </c>
      <c r="N2540" s="19" t="s">
        <v>1798</v>
      </c>
      <c r="O2540" s="20">
        <v>1</v>
      </c>
      <c r="P2540" s="20">
        <v>1</v>
      </c>
      <c r="Q2540" s="20">
        <v>211.71960000000001</v>
      </c>
      <c r="R2540" s="21">
        <v>0.92</v>
      </c>
      <c r="S2540" s="20">
        <v>211.71960000000001</v>
      </c>
    </row>
    <row r="2541" spans="2:19" ht="15" customHeight="1" x14ac:dyDescent="0.25">
      <c r="B2541" s="2" t="str">
        <f t="shared" si="78"/>
        <v>PGL_Business_Small/Mid-Size Business_Rebates_Ozone Laundry_0_MF/CI</v>
      </c>
      <c r="C2541" s="2" t="str">
        <f t="shared" si="79"/>
        <v>PGL_Business_Small/Mid-Size Business_Rebates_Ozone Laundry_0_MF/CI_2022</v>
      </c>
      <c r="D2541" s="19" t="s">
        <v>1794</v>
      </c>
      <c r="E2541" s="19" t="s">
        <v>3</v>
      </c>
      <c r="F2541" s="19" t="s">
        <v>1432</v>
      </c>
      <c r="G2541" s="19" t="s">
        <v>1429</v>
      </c>
      <c r="H2541" s="19" t="s">
        <v>16</v>
      </c>
      <c r="I2541" s="19">
        <v>0</v>
      </c>
      <c r="J2541" s="19" t="s">
        <v>592</v>
      </c>
      <c r="K2541" s="19" t="s">
        <v>587</v>
      </c>
      <c r="L2541" s="19">
        <v>2022</v>
      </c>
      <c r="M2541" s="20">
        <v>250</v>
      </c>
      <c r="N2541" s="19" t="s">
        <v>1803</v>
      </c>
      <c r="O2541" s="20">
        <v>0</v>
      </c>
      <c r="P2541" s="20">
        <v>0</v>
      </c>
      <c r="Q2541" s="20">
        <v>0</v>
      </c>
      <c r="R2541" s="21">
        <v>0.92</v>
      </c>
      <c r="S2541" s="20">
        <v>0</v>
      </c>
    </row>
    <row r="2542" spans="2:19" ht="15" customHeight="1" x14ac:dyDescent="0.25">
      <c r="B2542" s="2" t="str">
        <f t="shared" si="78"/>
        <v>PGL_Business_Small/Mid-Size Business_Rebates_Ozone Laundry_0_MF/CI</v>
      </c>
      <c r="C2542" s="2" t="str">
        <f t="shared" si="79"/>
        <v>PGL_Business_Small/Mid-Size Business_Rebates_Ozone Laundry_0_MF/CI_2023</v>
      </c>
      <c r="D2542" s="19" t="s">
        <v>1794</v>
      </c>
      <c r="E2542" s="19" t="s">
        <v>3</v>
      </c>
      <c r="F2542" s="19" t="s">
        <v>1432</v>
      </c>
      <c r="G2542" s="19" t="s">
        <v>1429</v>
      </c>
      <c r="H2542" s="19" t="s">
        <v>16</v>
      </c>
      <c r="I2542" s="19">
        <v>0</v>
      </c>
      <c r="J2542" s="19" t="s">
        <v>592</v>
      </c>
      <c r="K2542" s="19" t="s">
        <v>587</v>
      </c>
      <c r="L2542" s="19">
        <v>2023</v>
      </c>
      <c r="M2542" s="20">
        <v>250</v>
      </c>
      <c r="N2542" s="19" t="s">
        <v>1803</v>
      </c>
      <c r="O2542" s="20">
        <v>0</v>
      </c>
      <c r="P2542" s="20">
        <v>0</v>
      </c>
      <c r="Q2542" s="20">
        <v>0</v>
      </c>
      <c r="R2542" s="21">
        <v>0.92</v>
      </c>
      <c r="S2542" s="20">
        <v>0</v>
      </c>
    </row>
    <row r="2543" spans="2:19" ht="15" customHeight="1" x14ac:dyDescent="0.25">
      <c r="B2543" s="2" t="str">
        <f t="shared" si="78"/>
        <v>PGL_Business_Small/Mid-Size Business_Rebates_Ozone Laundry_0_MF/CI</v>
      </c>
      <c r="C2543" s="2" t="str">
        <f t="shared" si="79"/>
        <v>PGL_Business_Small/Mid-Size Business_Rebates_Ozone Laundry_0_MF/CI_2024</v>
      </c>
      <c r="D2543" s="19" t="s">
        <v>1794</v>
      </c>
      <c r="E2543" s="19" t="s">
        <v>3</v>
      </c>
      <c r="F2543" s="19" t="s">
        <v>1432</v>
      </c>
      <c r="G2543" s="19" t="s">
        <v>1429</v>
      </c>
      <c r="H2543" s="19" t="s">
        <v>16</v>
      </c>
      <c r="I2543" s="19">
        <v>0</v>
      </c>
      <c r="J2543" s="19" t="s">
        <v>592</v>
      </c>
      <c r="K2543" s="19" t="s">
        <v>587</v>
      </c>
      <c r="L2543" s="19">
        <v>2024</v>
      </c>
      <c r="M2543" s="20">
        <v>250</v>
      </c>
      <c r="N2543" s="19" t="s">
        <v>1803</v>
      </c>
      <c r="O2543" s="20">
        <v>0</v>
      </c>
      <c r="P2543" s="20">
        <v>0</v>
      </c>
      <c r="Q2543" s="20">
        <v>0</v>
      </c>
      <c r="R2543" s="21">
        <v>0.92</v>
      </c>
      <c r="S2543" s="20">
        <v>0</v>
      </c>
    </row>
    <row r="2544" spans="2:19" ht="15" customHeight="1" x14ac:dyDescent="0.25">
      <c r="B2544" s="2" t="str">
        <f t="shared" si="78"/>
        <v>PGL_Business_Small/Mid-Size Business_Rebates_Ozone Laundry_0_MF/CI</v>
      </c>
      <c r="C2544" s="2" t="str">
        <f t="shared" si="79"/>
        <v>PGL_Business_Small/Mid-Size Business_Rebates_Ozone Laundry_0_MF/CI_2025</v>
      </c>
      <c r="D2544" s="19" t="s">
        <v>1794</v>
      </c>
      <c r="E2544" s="19" t="s">
        <v>3</v>
      </c>
      <c r="F2544" s="19" t="s">
        <v>1432</v>
      </c>
      <c r="G2544" s="19" t="s">
        <v>1429</v>
      </c>
      <c r="H2544" s="19" t="s">
        <v>16</v>
      </c>
      <c r="I2544" s="19">
        <v>0</v>
      </c>
      <c r="J2544" s="19" t="s">
        <v>592</v>
      </c>
      <c r="K2544" s="19" t="s">
        <v>587</v>
      </c>
      <c r="L2544" s="19">
        <v>2025</v>
      </c>
      <c r="M2544" s="20">
        <v>250</v>
      </c>
      <c r="N2544" s="19" t="s">
        <v>1803</v>
      </c>
      <c r="O2544" s="20">
        <v>0</v>
      </c>
      <c r="P2544" s="20">
        <v>0</v>
      </c>
      <c r="Q2544" s="20">
        <v>0</v>
      </c>
      <c r="R2544" s="21">
        <v>0.92</v>
      </c>
      <c r="S2544" s="20">
        <v>0</v>
      </c>
    </row>
    <row r="2545" spans="2:19" ht="15" customHeight="1" x14ac:dyDescent="0.25">
      <c r="B2545" s="2" t="str">
        <f t="shared" si="78"/>
        <v>PGL_Business_Small/Mid-Size Business_Rebates_Pipe Insulation_Dry Cleaners_CI/SMB</v>
      </c>
      <c r="C2545" s="2" t="str">
        <f t="shared" si="79"/>
        <v>PGL_Business_Small/Mid-Size Business_Rebates_Pipe Insulation_Dry Cleaners_CI/SMB_2022</v>
      </c>
      <c r="D2545" s="19" t="s">
        <v>1794</v>
      </c>
      <c r="E2545" s="19" t="s">
        <v>3</v>
      </c>
      <c r="F2545" s="19" t="s">
        <v>1432</v>
      </c>
      <c r="G2545" s="19" t="s">
        <v>1429</v>
      </c>
      <c r="H2545" s="19" t="s">
        <v>404</v>
      </c>
      <c r="I2545" s="19" t="s">
        <v>969</v>
      </c>
      <c r="J2545" s="19">
        <v>0</v>
      </c>
      <c r="K2545" s="19" t="s">
        <v>970</v>
      </c>
      <c r="L2545" s="19">
        <v>2022</v>
      </c>
      <c r="M2545" s="20">
        <v>5</v>
      </c>
      <c r="N2545" s="19" t="s">
        <v>1802</v>
      </c>
      <c r="O2545" s="20">
        <v>1</v>
      </c>
      <c r="P2545" s="20">
        <v>5</v>
      </c>
      <c r="Q2545" s="20">
        <v>12.218832846011582</v>
      </c>
      <c r="R2545" s="21">
        <v>0.92</v>
      </c>
      <c r="S2545" s="20">
        <v>12.218832846011582</v>
      </c>
    </row>
    <row r="2546" spans="2:19" ht="15" customHeight="1" x14ac:dyDescent="0.25">
      <c r="B2546" s="2" t="str">
        <f t="shared" si="78"/>
        <v>PGL_Business_Small/Mid-Size Business_Rebates_Pipe Insulation_Dry Cleaners_CI/SMB</v>
      </c>
      <c r="C2546" s="2" t="str">
        <f t="shared" si="79"/>
        <v>PGL_Business_Small/Mid-Size Business_Rebates_Pipe Insulation_Dry Cleaners_CI/SMB_2023</v>
      </c>
      <c r="D2546" s="19" t="s">
        <v>1794</v>
      </c>
      <c r="E2546" s="19" t="s">
        <v>3</v>
      </c>
      <c r="F2546" s="19" t="s">
        <v>1432</v>
      </c>
      <c r="G2546" s="19" t="s">
        <v>1429</v>
      </c>
      <c r="H2546" s="19" t="s">
        <v>404</v>
      </c>
      <c r="I2546" s="19" t="s">
        <v>969</v>
      </c>
      <c r="J2546" s="19">
        <v>0</v>
      </c>
      <c r="K2546" s="19" t="s">
        <v>970</v>
      </c>
      <c r="L2546" s="19">
        <v>2023</v>
      </c>
      <c r="M2546" s="20">
        <v>5</v>
      </c>
      <c r="N2546" s="19" t="s">
        <v>1802</v>
      </c>
      <c r="O2546" s="20">
        <v>1</v>
      </c>
      <c r="P2546" s="20">
        <v>5</v>
      </c>
      <c r="Q2546" s="20">
        <v>12.218832846011582</v>
      </c>
      <c r="R2546" s="21">
        <v>0.92</v>
      </c>
      <c r="S2546" s="20">
        <v>12.218832846011582</v>
      </c>
    </row>
    <row r="2547" spans="2:19" ht="15" customHeight="1" x14ac:dyDescent="0.25">
      <c r="B2547" s="2" t="str">
        <f t="shared" si="78"/>
        <v>PGL_Business_Small/Mid-Size Business_Rebates_Pipe Insulation_Dry Cleaners_CI/SMB</v>
      </c>
      <c r="C2547" s="2" t="str">
        <f t="shared" si="79"/>
        <v>PGL_Business_Small/Mid-Size Business_Rebates_Pipe Insulation_Dry Cleaners_CI/SMB_2024</v>
      </c>
      <c r="D2547" s="19" t="s">
        <v>1794</v>
      </c>
      <c r="E2547" s="19" t="s">
        <v>3</v>
      </c>
      <c r="F2547" s="19" t="s">
        <v>1432</v>
      </c>
      <c r="G2547" s="19" t="s">
        <v>1429</v>
      </c>
      <c r="H2547" s="19" t="s">
        <v>404</v>
      </c>
      <c r="I2547" s="19" t="s">
        <v>969</v>
      </c>
      <c r="J2547" s="19">
        <v>0</v>
      </c>
      <c r="K2547" s="19" t="s">
        <v>970</v>
      </c>
      <c r="L2547" s="19">
        <v>2024</v>
      </c>
      <c r="M2547" s="20">
        <v>5</v>
      </c>
      <c r="N2547" s="19" t="s">
        <v>1802</v>
      </c>
      <c r="O2547" s="20">
        <v>1</v>
      </c>
      <c r="P2547" s="20">
        <v>5</v>
      </c>
      <c r="Q2547" s="20">
        <v>12.218832846011582</v>
      </c>
      <c r="R2547" s="21">
        <v>0.92</v>
      </c>
      <c r="S2547" s="20">
        <v>12.218832846011582</v>
      </c>
    </row>
    <row r="2548" spans="2:19" ht="15" customHeight="1" x14ac:dyDescent="0.25">
      <c r="B2548" s="2" t="str">
        <f t="shared" si="78"/>
        <v>PGL_Business_Small/Mid-Size Business_Rebates_Pipe Insulation_Dry Cleaners_CI/SMB</v>
      </c>
      <c r="C2548" s="2" t="str">
        <f t="shared" si="79"/>
        <v>PGL_Business_Small/Mid-Size Business_Rebates_Pipe Insulation_Dry Cleaners_CI/SMB_2025</v>
      </c>
      <c r="D2548" s="19" t="s">
        <v>1794</v>
      </c>
      <c r="E2548" s="19" t="s">
        <v>3</v>
      </c>
      <c r="F2548" s="19" t="s">
        <v>1432</v>
      </c>
      <c r="G2548" s="19" t="s">
        <v>1429</v>
      </c>
      <c r="H2548" s="19" t="s">
        <v>404</v>
      </c>
      <c r="I2548" s="19" t="s">
        <v>969</v>
      </c>
      <c r="J2548" s="19">
        <v>0</v>
      </c>
      <c r="K2548" s="19" t="s">
        <v>970</v>
      </c>
      <c r="L2548" s="19">
        <v>2025</v>
      </c>
      <c r="M2548" s="20">
        <v>5</v>
      </c>
      <c r="N2548" s="19" t="s">
        <v>1802</v>
      </c>
      <c r="O2548" s="20">
        <v>1</v>
      </c>
      <c r="P2548" s="20">
        <v>5</v>
      </c>
      <c r="Q2548" s="20">
        <v>12.218832846011582</v>
      </c>
      <c r="R2548" s="21">
        <v>0.92</v>
      </c>
      <c r="S2548" s="20">
        <v>12.218832846011582</v>
      </c>
    </row>
    <row r="2549" spans="2:19" ht="15" customHeight="1" x14ac:dyDescent="0.25">
      <c r="B2549" s="2" t="str">
        <f t="shared" si="78"/>
        <v>PGL_Business_Small/Mid-Size Business_Rebates_Pipe Insulation_HW Small 1" to 2"_MF/CI/SMB</v>
      </c>
      <c r="C2549" s="2" t="str">
        <f t="shared" si="79"/>
        <v>PGL_Business_Small/Mid-Size Business_Rebates_Pipe Insulation_HW Small 1" to 2"_MF/CI/SMB_2022</v>
      </c>
      <c r="D2549" s="19" t="s">
        <v>1794</v>
      </c>
      <c r="E2549" s="19" t="s">
        <v>3</v>
      </c>
      <c r="F2549" s="19" t="s">
        <v>1432</v>
      </c>
      <c r="G2549" s="19" t="s">
        <v>1429</v>
      </c>
      <c r="H2549" s="19" t="s">
        <v>404</v>
      </c>
      <c r="I2549" s="19" t="s">
        <v>953</v>
      </c>
      <c r="J2549" s="19">
        <v>0</v>
      </c>
      <c r="K2549" s="19" t="s">
        <v>662</v>
      </c>
      <c r="L2549" s="19">
        <v>2022</v>
      </c>
      <c r="M2549" s="20">
        <v>75</v>
      </c>
      <c r="N2549" s="19" t="s">
        <v>616</v>
      </c>
      <c r="O2549" s="20">
        <v>3</v>
      </c>
      <c r="P2549" s="20">
        <v>225</v>
      </c>
      <c r="Q2549" s="20">
        <v>550.37451717374483</v>
      </c>
      <c r="R2549" s="21">
        <v>0.92</v>
      </c>
      <c r="S2549" s="20">
        <v>550.37451717374483</v>
      </c>
    </row>
    <row r="2550" spans="2:19" ht="15" customHeight="1" x14ac:dyDescent="0.25">
      <c r="B2550" s="2" t="str">
        <f t="shared" si="78"/>
        <v>PGL_Business_Small/Mid-Size Business_Rebates_Pipe Insulation_HW Small 1" to 2"_MF/CI/SMB</v>
      </c>
      <c r="C2550" s="2" t="str">
        <f t="shared" si="79"/>
        <v>PGL_Business_Small/Mid-Size Business_Rebates_Pipe Insulation_HW Small 1" to 2"_MF/CI/SMB_2023</v>
      </c>
      <c r="D2550" s="19" t="s">
        <v>1794</v>
      </c>
      <c r="E2550" s="19" t="s">
        <v>3</v>
      </c>
      <c r="F2550" s="19" t="s">
        <v>1432</v>
      </c>
      <c r="G2550" s="19" t="s">
        <v>1429</v>
      </c>
      <c r="H2550" s="19" t="s">
        <v>404</v>
      </c>
      <c r="I2550" s="19" t="s">
        <v>953</v>
      </c>
      <c r="J2550" s="19">
        <v>0</v>
      </c>
      <c r="K2550" s="19" t="s">
        <v>662</v>
      </c>
      <c r="L2550" s="19">
        <v>2023</v>
      </c>
      <c r="M2550" s="20">
        <v>75</v>
      </c>
      <c r="N2550" s="19" t="s">
        <v>616</v>
      </c>
      <c r="O2550" s="20">
        <v>3</v>
      </c>
      <c r="P2550" s="20">
        <v>225</v>
      </c>
      <c r="Q2550" s="20">
        <v>550.37451717374483</v>
      </c>
      <c r="R2550" s="21">
        <v>0.92</v>
      </c>
      <c r="S2550" s="20">
        <v>550.37451717374483</v>
      </c>
    </row>
    <row r="2551" spans="2:19" ht="15" customHeight="1" x14ac:dyDescent="0.25">
      <c r="B2551" s="2" t="str">
        <f t="shared" si="78"/>
        <v>PGL_Business_Small/Mid-Size Business_Rebates_Pipe Insulation_HW Small 1" to 2"_MF/CI/SMB</v>
      </c>
      <c r="C2551" s="2" t="str">
        <f t="shared" si="79"/>
        <v>PGL_Business_Small/Mid-Size Business_Rebates_Pipe Insulation_HW Small 1" to 2"_MF/CI/SMB_2024</v>
      </c>
      <c r="D2551" s="19" t="s">
        <v>1794</v>
      </c>
      <c r="E2551" s="19" t="s">
        <v>3</v>
      </c>
      <c r="F2551" s="19" t="s">
        <v>1432</v>
      </c>
      <c r="G2551" s="19" t="s">
        <v>1429</v>
      </c>
      <c r="H2551" s="19" t="s">
        <v>404</v>
      </c>
      <c r="I2551" s="19" t="s">
        <v>953</v>
      </c>
      <c r="J2551" s="19">
        <v>0</v>
      </c>
      <c r="K2551" s="19" t="s">
        <v>662</v>
      </c>
      <c r="L2551" s="19">
        <v>2024</v>
      </c>
      <c r="M2551" s="20">
        <v>75</v>
      </c>
      <c r="N2551" s="19" t="s">
        <v>616</v>
      </c>
      <c r="O2551" s="20">
        <v>3</v>
      </c>
      <c r="P2551" s="20">
        <v>225</v>
      </c>
      <c r="Q2551" s="20">
        <v>550.37451717374483</v>
      </c>
      <c r="R2551" s="21">
        <v>0.92</v>
      </c>
      <c r="S2551" s="20">
        <v>550.37451717374483</v>
      </c>
    </row>
    <row r="2552" spans="2:19" ht="15" customHeight="1" x14ac:dyDescent="0.25">
      <c r="B2552" s="2" t="str">
        <f t="shared" si="78"/>
        <v>PGL_Business_Small/Mid-Size Business_Rebates_Pipe Insulation_HW Small 1" to 2"_MF/CI/SMB</v>
      </c>
      <c r="C2552" s="2" t="str">
        <f t="shared" si="79"/>
        <v>PGL_Business_Small/Mid-Size Business_Rebates_Pipe Insulation_HW Small 1" to 2"_MF/CI/SMB_2025</v>
      </c>
      <c r="D2552" s="19" t="s">
        <v>1794</v>
      </c>
      <c r="E2552" s="19" t="s">
        <v>3</v>
      </c>
      <c r="F2552" s="19" t="s">
        <v>1432</v>
      </c>
      <c r="G2552" s="19" t="s">
        <v>1429</v>
      </c>
      <c r="H2552" s="19" t="s">
        <v>404</v>
      </c>
      <c r="I2552" s="19" t="s">
        <v>953</v>
      </c>
      <c r="J2552" s="19">
        <v>0</v>
      </c>
      <c r="K2552" s="19" t="s">
        <v>662</v>
      </c>
      <c r="L2552" s="19">
        <v>2025</v>
      </c>
      <c r="M2552" s="20">
        <v>75</v>
      </c>
      <c r="N2552" s="19" t="s">
        <v>616</v>
      </c>
      <c r="O2552" s="20">
        <v>3</v>
      </c>
      <c r="P2552" s="20">
        <v>225</v>
      </c>
      <c r="Q2552" s="20">
        <v>550.37451717374483</v>
      </c>
      <c r="R2552" s="21">
        <v>0.92</v>
      </c>
      <c r="S2552" s="20">
        <v>550.37451717374483</v>
      </c>
    </row>
    <row r="2553" spans="2:19" ht="15" customHeight="1" x14ac:dyDescent="0.25">
      <c r="B2553" s="2" t="str">
        <f t="shared" si="78"/>
        <v>PGL_Business_Small/Mid-Size Business_Rebates_Pipe Insulation_HW Medium 2.1" to 4"_MF/CI/SMB</v>
      </c>
      <c r="C2553" s="2" t="str">
        <f t="shared" si="79"/>
        <v>PGL_Business_Small/Mid-Size Business_Rebates_Pipe Insulation_HW Medium 2.1" to 4"_MF/CI/SMB_2022</v>
      </c>
      <c r="D2553" s="19" t="s">
        <v>1794</v>
      </c>
      <c r="E2553" s="19" t="s">
        <v>3</v>
      </c>
      <c r="F2553" s="19" t="s">
        <v>1432</v>
      </c>
      <c r="G2553" s="19" t="s">
        <v>1429</v>
      </c>
      <c r="H2553" s="19" t="s">
        <v>404</v>
      </c>
      <c r="I2553" s="19" t="s">
        <v>954</v>
      </c>
      <c r="J2553" s="19">
        <v>0</v>
      </c>
      <c r="K2553" s="19" t="s">
        <v>662</v>
      </c>
      <c r="L2553" s="19">
        <v>2022</v>
      </c>
      <c r="M2553" s="20">
        <v>75</v>
      </c>
      <c r="N2553" s="19" t="s">
        <v>616</v>
      </c>
      <c r="O2553" s="20">
        <v>5</v>
      </c>
      <c r="P2553" s="20">
        <v>375</v>
      </c>
      <c r="Q2553" s="20">
        <v>1810.9750865348587</v>
      </c>
      <c r="R2553" s="21">
        <v>0.92</v>
      </c>
      <c r="S2553" s="20">
        <v>1810.9750865348587</v>
      </c>
    </row>
    <row r="2554" spans="2:19" ht="15" customHeight="1" x14ac:dyDescent="0.25">
      <c r="B2554" s="2" t="str">
        <f t="shared" si="78"/>
        <v>PGL_Business_Small/Mid-Size Business_Rebates_Pipe Insulation_HW Medium 2.1" to 4"_MF/CI/SMB</v>
      </c>
      <c r="C2554" s="2" t="str">
        <f t="shared" si="79"/>
        <v>PGL_Business_Small/Mid-Size Business_Rebates_Pipe Insulation_HW Medium 2.1" to 4"_MF/CI/SMB_2023</v>
      </c>
      <c r="D2554" s="19" t="s">
        <v>1794</v>
      </c>
      <c r="E2554" s="19" t="s">
        <v>3</v>
      </c>
      <c r="F2554" s="19" t="s">
        <v>1432</v>
      </c>
      <c r="G2554" s="19" t="s">
        <v>1429</v>
      </c>
      <c r="H2554" s="19" t="s">
        <v>404</v>
      </c>
      <c r="I2554" s="19" t="s">
        <v>954</v>
      </c>
      <c r="J2554" s="19">
        <v>0</v>
      </c>
      <c r="K2554" s="19" t="s">
        <v>662</v>
      </c>
      <c r="L2554" s="19">
        <v>2023</v>
      </c>
      <c r="M2554" s="20">
        <v>75</v>
      </c>
      <c r="N2554" s="19" t="s">
        <v>616</v>
      </c>
      <c r="O2554" s="20">
        <v>5</v>
      </c>
      <c r="P2554" s="20">
        <v>375</v>
      </c>
      <c r="Q2554" s="20">
        <v>1810.9750865348587</v>
      </c>
      <c r="R2554" s="21">
        <v>0.92</v>
      </c>
      <c r="S2554" s="20">
        <v>1810.9750865348587</v>
      </c>
    </row>
    <row r="2555" spans="2:19" ht="15" customHeight="1" x14ac:dyDescent="0.25">
      <c r="B2555" s="2" t="str">
        <f t="shared" si="78"/>
        <v>PGL_Business_Small/Mid-Size Business_Rebates_Pipe Insulation_HW Medium 2.1" to 4"_MF/CI/SMB</v>
      </c>
      <c r="C2555" s="2" t="str">
        <f t="shared" si="79"/>
        <v>PGL_Business_Small/Mid-Size Business_Rebates_Pipe Insulation_HW Medium 2.1" to 4"_MF/CI/SMB_2024</v>
      </c>
      <c r="D2555" s="19" t="s">
        <v>1794</v>
      </c>
      <c r="E2555" s="19" t="s">
        <v>3</v>
      </c>
      <c r="F2555" s="19" t="s">
        <v>1432</v>
      </c>
      <c r="G2555" s="19" t="s">
        <v>1429</v>
      </c>
      <c r="H2555" s="19" t="s">
        <v>404</v>
      </c>
      <c r="I2555" s="19" t="s">
        <v>954</v>
      </c>
      <c r="J2555" s="19">
        <v>0</v>
      </c>
      <c r="K2555" s="19" t="s">
        <v>662</v>
      </c>
      <c r="L2555" s="19">
        <v>2024</v>
      </c>
      <c r="M2555" s="20">
        <v>75</v>
      </c>
      <c r="N2555" s="19" t="s">
        <v>616</v>
      </c>
      <c r="O2555" s="20">
        <v>4</v>
      </c>
      <c r="P2555" s="20">
        <v>300</v>
      </c>
      <c r="Q2555" s="20">
        <v>1448.780069227887</v>
      </c>
      <c r="R2555" s="21">
        <v>0.92</v>
      </c>
      <c r="S2555" s="20">
        <v>1448.780069227887</v>
      </c>
    </row>
    <row r="2556" spans="2:19" ht="15" customHeight="1" x14ac:dyDescent="0.25">
      <c r="B2556" s="2" t="str">
        <f t="shared" si="78"/>
        <v>PGL_Business_Small/Mid-Size Business_Rebates_Pipe Insulation_HW Medium 2.1" to 4"_MF/CI/SMB</v>
      </c>
      <c r="C2556" s="2" t="str">
        <f t="shared" si="79"/>
        <v>PGL_Business_Small/Mid-Size Business_Rebates_Pipe Insulation_HW Medium 2.1" to 4"_MF/CI/SMB_2025</v>
      </c>
      <c r="D2556" s="19" t="s">
        <v>1794</v>
      </c>
      <c r="E2556" s="19" t="s">
        <v>3</v>
      </c>
      <c r="F2556" s="19" t="s">
        <v>1432</v>
      </c>
      <c r="G2556" s="19" t="s">
        <v>1429</v>
      </c>
      <c r="H2556" s="19" t="s">
        <v>404</v>
      </c>
      <c r="I2556" s="19" t="s">
        <v>954</v>
      </c>
      <c r="J2556" s="19">
        <v>0</v>
      </c>
      <c r="K2556" s="19" t="s">
        <v>662</v>
      </c>
      <c r="L2556" s="19">
        <v>2025</v>
      </c>
      <c r="M2556" s="20">
        <v>75</v>
      </c>
      <c r="N2556" s="19" t="s">
        <v>616</v>
      </c>
      <c r="O2556" s="20">
        <v>4</v>
      </c>
      <c r="P2556" s="20">
        <v>300</v>
      </c>
      <c r="Q2556" s="20">
        <v>1448.780069227887</v>
      </c>
      <c r="R2556" s="21">
        <v>0.92</v>
      </c>
      <c r="S2556" s="20">
        <v>1448.780069227887</v>
      </c>
    </row>
    <row r="2557" spans="2:19" ht="15" customHeight="1" x14ac:dyDescent="0.25">
      <c r="B2557" s="2" t="str">
        <f t="shared" si="78"/>
        <v>PGL_Business_Small/Mid-Size Business_Rebates_Pipe Insulation_HW Large &gt;4"_MF/CI/SMB</v>
      </c>
      <c r="C2557" s="2" t="str">
        <f t="shared" si="79"/>
        <v>PGL_Business_Small/Mid-Size Business_Rebates_Pipe Insulation_HW Large &gt;4"_MF/CI/SMB_2022</v>
      </c>
      <c r="D2557" s="19" t="s">
        <v>1794</v>
      </c>
      <c r="E2557" s="19" t="s">
        <v>3</v>
      </c>
      <c r="F2557" s="19" t="s">
        <v>1432</v>
      </c>
      <c r="G2557" s="19" t="s">
        <v>1429</v>
      </c>
      <c r="H2557" s="19" t="s">
        <v>404</v>
      </c>
      <c r="I2557" s="19" t="s">
        <v>955</v>
      </c>
      <c r="J2557" s="19">
        <v>0</v>
      </c>
      <c r="K2557" s="19" t="s">
        <v>662</v>
      </c>
      <c r="L2557" s="19">
        <v>2022</v>
      </c>
      <c r="M2557" s="20">
        <v>75</v>
      </c>
      <c r="N2557" s="19" t="s">
        <v>616</v>
      </c>
      <c r="O2557" s="20">
        <v>4</v>
      </c>
      <c r="P2557" s="20">
        <v>300</v>
      </c>
      <c r="Q2557" s="20">
        <v>2495.2501211710796</v>
      </c>
      <c r="R2557" s="21">
        <v>0.92</v>
      </c>
      <c r="S2557" s="20">
        <v>2495.2501211710796</v>
      </c>
    </row>
    <row r="2558" spans="2:19" ht="15" customHeight="1" x14ac:dyDescent="0.25">
      <c r="B2558" s="2" t="str">
        <f t="shared" si="78"/>
        <v>PGL_Business_Small/Mid-Size Business_Rebates_Pipe Insulation_HW Large &gt;4"_MF/CI/SMB</v>
      </c>
      <c r="C2558" s="2" t="str">
        <f t="shared" si="79"/>
        <v>PGL_Business_Small/Mid-Size Business_Rebates_Pipe Insulation_HW Large &gt;4"_MF/CI/SMB_2023</v>
      </c>
      <c r="D2558" s="19" t="s">
        <v>1794</v>
      </c>
      <c r="E2558" s="19" t="s">
        <v>3</v>
      </c>
      <c r="F2558" s="19" t="s">
        <v>1432</v>
      </c>
      <c r="G2558" s="19" t="s">
        <v>1429</v>
      </c>
      <c r="H2558" s="19" t="s">
        <v>404</v>
      </c>
      <c r="I2558" s="19" t="s">
        <v>955</v>
      </c>
      <c r="J2558" s="19">
        <v>0</v>
      </c>
      <c r="K2558" s="19" t="s">
        <v>662</v>
      </c>
      <c r="L2558" s="19">
        <v>2023</v>
      </c>
      <c r="M2558" s="20">
        <v>75</v>
      </c>
      <c r="N2558" s="19" t="s">
        <v>616</v>
      </c>
      <c r="O2558" s="20">
        <v>4</v>
      </c>
      <c r="P2558" s="20">
        <v>300</v>
      </c>
      <c r="Q2558" s="20">
        <v>2495.2501211710796</v>
      </c>
      <c r="R2558" s="21">
        <v>0.92</v>
      </c>
      <c r="S2558" s="20">
        <v>2495.2501211710796</v>
      </c>
    </row>
    <row r="2559" spans="2:19" ht="15" customHeight="1" x14ac:dyDescent="0.25">
      <c r="B2559" s="2" t="str">
        <f t="shared" si="78"/>
        <v>PGL_Business_Small/Mid-Size Business_Rebates_Pipe Insulation_HW Large &gt;4"_MF/CI/SMB</v>
      </c>
      <c r="C2559" s="2" t="str">
        <f t="shared" si="79"/>
        <v>PGL_Business_Small/Mid-Size Business_Rebates_Pipe Insulation_HW Large &gt;4"_MF/CI/SMB_2024</v>
      </c>
      <c r="D2559" s="19" t="s">
        <v>1794</v>
      </c>
      <c r="E2559" s="19" t="s">
        <v>3</v>
      </c>
      <c r="F2559" s="19" t="s">
        <v>1432</v>
      </c>
      <c r="G2559" s="19" t="s">
        <v>1429</v>
      </c>
      <c r="H2559" s="19" t="s">
        <v>404</v>
      </c>
      <c r="I2559" s="19" t="s">
        <v>955</v>
      </c>
      <c r="J2559" s="19">
        <v>0</v>
      </c>
      <c r="K2559" s="19" t="s">
        <v>662</v>
      </c>
      <c r="L2559" s="19">
        <v>2024</v>
      </c>
      <c r="M2559" s="20">
        <v>75</v>
      </c>
      <c r="N2559" s="19" t="s">
        <v>616</v>
      </c>
      <c r="O2559" s="20">
        <v>3</v>
      </c>
      <c r="P2559" s="20">
        <v>225</v>
      </c>
      <c r="Q2559" s="20">
        <v>1871.4375908783097</v>
      </c>
      <c r="R2559" s="21">
        <v>0.92</v>
      </c>
      <c r="S2559" s="20">
        <v>1871.4375908783097</v>
      </c>
    </row>
    <row r="2560" spans="2:19" ht="15" customHeight="1" x14ac:dyDescent="0.25">
      <c r="B2560" s="2" t="str">
        <f t="shared" si="78"/>
        <v>PGL_Business_Small/Mid-Size Business_Rebates_Pipe Insulation_HW Large &gt;4"_MF/CI/SMB</v>
      </c>
      <c r="C2560" s="2" t="str">
        <f t="shared" si="79"/>
        <v>PGL_Business_Small/Mid-Size Business_Rebates_Pipe Insulation_HW Large &gt;4"_MF/CI/SMB_2025</v>
      </c>
      <c r="D2560" s="19" t="s">
        <v>1794</v>
      </c>
      <c r="E2560" s="19" t="s">
        <v>3</v>
      </c>
      <c r="F2560" s="19" t="s">
        <v>1432</v>
      </c>
      <c r="G2560" s="19" t="s">
        <v>1429</v>
      </c>
      <c r="H2560" s="19" t="s">
        <v>404</v>
      </c>
      <c r="I2560" s="19" t="s">
        <v>955</v>
      </c>
      <c r="J2560" s="19">
        <v>0</v>
      </c>
      <c r="K2560" s="19" t="s">
        <v>662</v>
      </c>
      <c r="L2560" s="19">
        <v>2025</v>
      </c>
      <c r="M2560" s="20">
        <v>75</v>
      </c>
      <c r="N2560" s="19" t="s">
        <v>616</v>
      </c>
      <c r="O2560" s="20">
        <v>3</v>
      </c>
      <c r="P2560" s="20">
        <v>225</v>
      </c>
      <c r="Q2560" s="20">
        <v>1871.4375908783097</v>
      </c>
      <c r="R2560" s="21">
        <v>0.92</v>
      </c>
      <c r="S2560" s="20">
        <v>1871.4375908783097</v>
      </c>
    </row>
    <row r="2561" spans="2:19" ht="15" customHeight="1" x14ac:dyDescent="0.25">
      <c r="B2561" s="2" t="str">
        <f t="shared" si="78"/>
        <v>PGL_Business_Small/Mid-Size Business_Rebates_Pipe Insulation_Steam - Small 1" to 2"_CI</v>
      </c>
      <c r="C2561" s="2" t="str">
        <f t="shared" si="79"/>
        <v>PGL_Business_Small/Mid-Size Business_Rebates_Pipe Insulation_Steam - Small 1" to 2"_CI_2022</v>
      </c>
      <c r="D2561" s="19" t="s">
        <v>1794</v>
      </c>
      <c r="E2561" s="19" t="s">
        <v>3</v>
      </c>
      <c r="F2561" s="19" t="s">
        <v>1432</v>
      </c>
      <c r="G2561" s="19" t="s">
        <v>1429</v>
      </c>
      <c r="H2561" s="19" t="s">
        <v>404</v>
      </c>
      <c r="I2561" s="19" t="s">
        <v>956</v>
      </c>
      <c r="J2561" s="19">
        <v>0</v>
      </c>
      <c r="K2561" s="19" t="s">
        <v>1159</v>
      </c>
      <c r="L2561" s="19">
        <v>2022</v>
      </c>
      <c r="M2561" s="20">
        <v>75</v>
      </c>
      <c r="N2561" s="19" t="s">
        <v>616</v>
      </c>
      <c r="O2561" s="20">
        <v>0</v>
      </c>
      <c r="P2561" s="20">
        <v>0</v>
      </c>
      <c r="Q2561" s="20">
        <v>0</v>
      </c>
      <c r="R2561" s="21">
        <v>0.92</v>
      </c>
      <c r="S2561" s="20">
        <v>0</v>
      </c>
    </row>
    <row r="2562" spans="2:19" ht="15" customHeight="1" x14ac:dyDescent="0.25">
      <c r="B2562" s="2" t="str">
        <f t="shared" si="78"/>
        <v>PGL_Business_Small/Mid-Size Business_Rebates_Pipe Insulation_Steam - Small 1" to 2"_CI</v>
      </c>
      <c r="C2562" s="2" t="str">
        <f t="shared" si="79"/>
        <v>PGL_Business_Small/Mid-Size Business_Rebates_Pipe Insulation_Steam - Small 1" to 2"_CI_2023</v>
      </c>
      <c r="D2562" s="19" t="s">
        <v>1794</v>
      </c>
      <c r="E2562" s="19" t="s">
        <v>3</v>
      </c>
      <c r="F2562" s="19" t="s">
        <v>1432</v>
      </c>
      <c r="G2562" s="19" t="s">
        <v>1429</v>
      </c>
      <c r="H2562" s="19" t="s">
        <v>404</v>
      </c>
      <c r="I2562" s="19" t="s">
        <v>956</v>
      </c>
      <c r="J2562" s="19">
        <v>0</v>
      </c>
      <c r="K2562" s="19" t="s">
        <v>1159</v>
      </c>
      <c r="L2562" s="19">
        <v>2023</v>
      </c>
      <c r="M2562" s="20">
        <v>75</v>
      </c>
      <c r="N2562" s="19" t="s">
        <v>616</v>
      </c>
      <c r="O2562" s="20">
        <v>0</v>
      </c>
      <c r="P2562" s="20">
        <v>0</v>
      </c>
      <c r="Q2562" s="20">
        <v>0</v>
      </c>
      <c r="R2562" s="21">
        <v>0.92</v>
      </c>
      <c r="S2562" s="20">
        <v>0</v>
      </c>
    </row>
    <row r="2563" spans="2:19" ht="15" customHeight="1" x14ac:dyDescent="0.25">
      <c r="B2563" s="2" t="str">
        <f t="shared" si="78"/>
        <v>PGL_Business_Small/Mid-Size Business_Rebates_Pipe Insulation_Steam - Small 1" to 2"_CI</v>
      </c>
      <c r="C2563" s="2" t="str">
        <f t="shared" si="79"/>
        <v>PGL_Business_Small/Mid-Size Business_Rebates_Pipe Insulation_Steam - Small 1" to 2"_CI_2024</v>
      </c>
      <c r="D2563" s="19" t="s">
        <v>1794</v>
      </c>
      <c r="E2563" s="19" t="s">
        <v>3</v>
      </c>
      <c r="F2563" s="19" t="s">
        <v>1432</v>
      </c>
      <c r="G2563" s="19" t="s">
        <v>1429</v>
      </c>
      <c r="H2563" s="19" t="s">
        <v>404</v>
      </c>
      <c r="I2563" s="19" t="s">
        <v>956</v>
      </c>
      <c r="J2563" s="19">
        <v>0</v>
      </c>
      <c r="K2563" s="19" t="s">
        <v>1159</v>
      </c>
      <c r="L2563" s="19">
        <v>2024</v>
      </c>
      <c r="M2563" s="20">
        <v>75</v>
      </c>
      <c r="N2563" s="19" t="s">
        <v>616</v>
      </c>
      <c r="O2563" s="20">
        <v>0</v>
      </c>
      <c r="P2563" s="20">
        <v>0</v>
      </c>
      <c r="Q2563" s="20">
        <v>0</v>
      </c>
      <c r="R2563" s="21">
        <v>0.92</v>
      </c>
      <c r="S2563" s="20">
        <v>0</v>
      </c>
    </row>
    <row r="2564" spans="2:19" ht="15" customHeight="1" x14ac:dyDescent="0.25">
      <c r="B2564" s="2" t="str">
        <f t="shared" si="78"/>
        <v>PGL_Business_Small/Mid-Size Business_Rebates_Pipe Insulation_Steam - Small 1" to 2"_CI</v>
      </c>
      <c r="C2564" s="2" t="str">
        <f t="shared" si="79"/>
        <v>PGL_Business_Small/Mid-Size Business_Rebates_Pipe Insulation_Steam - Small 1" to 2"_CI_2025</v>
      </c>
      <c r="D2564" s="19" t="s">
        <v>1794</v>
      </c>
      <c r="E2564" s="19" t="s">
        <v>3</v>
      </c>
      <c r="F2564" s="19" t="s">
        <v>1432</v>
      </c>
      <c r="G2564" s="19" t="s">
        <v>1429</v>
      </c>
      <c r="H2564" s="19" t="s">
        <v>404</v>
      </c>
      <c r="I2564" s="19" t="s">
        <v>956</v>
      </c>
      <c r="J2564" s="19">
        <v>0</v>
      </c>
      <c r="K2564" s="19" t="s">
        <v>1159</v>
      </c>
      <c r="L2564" s="19">
        <v>2025</v>
      </c>
      <c r="M2564" s="20">
        <v>75</v>
      </c>
      <c r="N2564" s="19" t="s">
        <v>616</v>
      </c>
      <c r="O2564" s="20">
        <v>0</v>
      </c>
      <c r="P2564" s="20">
        <v>0</v>
      </c>
      <c r="Q2564" s="20">
        <v>0</v>
      </c>
      <c r="R2564" s="21">
        <v>0.92</v>
      </c>
      <c r="S2564" s="20">
        <v>0</v>
      </c>
    </row>
    <row r="2565" spans="2:19" ht="15" customHeight="1" x14ac:dyDescent="0.25">
      <c r="B2565" s="2" t="str">
        <f t="shared" si="78"/>
        <v>PGL_Business_Small/Mid-Size Business_Rebates_Pipe Insulation_Steam - Med 2.1" to 5"_CI</v>
      </c>
      <c r="C2565" s="2" t="str">
        <f t="shared" si="79"/>
        <v>PGL_Business_Small/Mid-Size Business_Rebates_Pipe Insulation_Steam - Med 2.1" to 5"_CI_2022</v>
      </c>
      <c r="D2565" s="19" t="s">
        <v>1794</v>
      </c>
      <c r="E2565" s="19" t="s">
        <v>3</v>
      </c>
      <c r="F2565" s="19" t="s">
        <v>1432</v>
      </c>
      <c r="G2565" s="19" t="s">
        <v>1429</v>
      </c>
      <c r="H2565" s="19" t="s">
        <v>404</v>
      </c>
      <c r="I2565" s="19" t="s">
        <v>957</v>
      </c>
      <c r="J2565" s="19">
        <v>0</v>
      </c>
      <c r="K2565" s="19" t="s">
        <v>1159</v>
      </c>
      <c r="L2565" s="19">
        <v>2022</v>
      </c>
      <c r="M2565" s="20">
        <v>75</v>
      </c>
      <c r="N2565" s="19" t="s">
        <v>616</v>
      </c>
      <c r="O2565" s="20">
        <v>0</v>
      </c>
      <c r="P2565" s="20">
        <v>0</v>
      </c>
      <c r="Q2565" s="20">
        <v>0</v>
      </c>
      <c r="R2565" s="21">
        <v>0.92</v>
      </c>
      <c r="S2565" s="20">
        <v>0</v>
      </c>
    </row>
    <row r="2566" spans="2:19" ht="15" customHeight="1" x14ac:dyDescent="0.25">
      <c r="B2566" s="2" t="str">
        <f t="shared" ref="B2566:B2629" si="80">D2566&amp;"_"&amp;E2566&amp;"_"&amp;F2566&amp;"_"&amp;G2566&amp;"_"&amp;H2566&amp;"_"&amp;I2566&amp;"_"&amp;K2566</f>
        <v>PGL_Business_Small/Mid-Size Business_Rebates_Pipe Insulation_Steam - Med 2.1" to 5"_CI</v>
      </c>
      <c r="C2566" s="2" t="str">
        <f t="shared" ref="C2566:C2629" si="81">D2566&amp;"_"&amp;E2566&amp;"_"&amp;F2566&amp;"_"&amp;G2566&amp;"_"&amp;H2566&amp;"_"&amp;I2566&amp;"_"&amp;K2566&amp;"_"&amp;L2566</f>
        <v>PGL_Business_Small/Mid-Size Business_Rebates_Pipe Insulation_Steam - Med 2.1" to 5"_CI_2023</v>
      </c>
      <c r="D2566" s="19" t="s">
        <v>1794</v>
      </c>
      <c r="E2566" s="19" t="s">
        <v>3</v>
      </c>
      <c r="F2566" s="19" t="s">
        <v>1432</v>
      </c>
      <c r="G2566" s="19" t="s">
        <v>1429</v>
      </c>
      <c r="H2566" s="19" t="s">
        <v>404</v>
      </c>
      <c r="I2566" s="19" t="s">
        <v>957</v>
      </c>
      <c r="J2566" s="19">
        <v>0</v>
      </c>
      <c r="K2566" s="19" t="s">
        <v>1159</v>
      </c>
      <c r="L2566" s="19">
        <v>2023</v>
      </c>
      <c r="M2566" s="20">
        <v>75</v>
      </c>
      <c r="N2566" s="19" t="s">
        <v>616</v>
      </c>
      <c r="O2566" s="20">
        <v>0</v>
      </c>
      <c r="P2566" s="20">
        <v>0</v>
      </c>
      <c r="Q2566" s="20">
        <v>0</v>
      </c>
      <c r="R2566" s="21">
        <v>0.92</v>
      </c>
      <c r="S2566" s="20">
        <v>0</v>
      </c>
    </row>
    <row r="2567" spans="2:19" ht="15" customHeight="1" x14ac:dyDescent="0.25">
      <c r="B2567" s="2" t="str">
        <f t="shared" si="80"/>
        <v>PGL_Business_Small/Mid-Size Business_Rebates_Pipe Insulation_Steam - Med 2.1" to 5"_CI</v>
      </c>
      <c r="C2567" s="2" t="str">
        <f t="shared" si="81"/>
        <v>PGL_Business_Small/Mid-Size Business_Rebates_Pipe Insulation_Steam - Med 2.1" to 5"_CI_2024</v>
      </c>
      <c r="D2567" s="19" t="s">
        <v>1794</v>
      </c>
      <c r="E2567" s="19" t="s">
        <v>3</v>
      </c>
      <c r="F2567" s="19" t="s">
        <v>1432</v>
      </c>
      <c r="G2567" s="19" t="s">
        <v>1429</v>
      </c>
      <c r="H2567" s="19" t="s">
        <v>404</v>
      </c>
      <c r="I2567" s="19" t="s">
        <v>957</v>
      </c>
      <c r="J2567" s="19">
        <v>0</v>
      </c>
      <c r="K2567" s="19" t="s">
        <v>1159</v>
      </c>
      <c r="L2567" s="19">
        <v>2024</v>
      </c>
      <c r="M2567" s="20">
        <v>75</v>
      </c>
      <c r="N2567" s="19" t="s">
        <v>616</v>
      </c>
      <c r="O2567" s="20">
        <v>0</v>
      </c>
      <c r="P2567" s="20">
        <v>0</v>
      </c>
      <c r="Q2567" s="20">
        <v>0</v>
      </c>
      <c r="R2567" s="21">
        <v>0.92</v>
      </c>
      <c r="S2567" s="20">
        <v>0</v>
      </c>
    </row>
    <row r="2568" spans="2:19" ht="15" customHeight="1" x14ac:dyDescent="0.25">
      <c r="B2568" s="2" t="str">
        <f t="shared" si="80"/>
        <v>PGL_Business_Small/Mid-Size Business_Rebates_Pipe Insulation_Steam - Med 2.1" to 5"_CI</v>
      </c>
      <c r="C2568" s="2" t="str">
        <f t="shared" si="81"/>
        <v>PGL_Business_Small/Mid-Size Business_Rebates_Pipe Insulation_Steam - Med 2.1" to 5"_CI_2025</v>
      </c>
      <c r="D2568" s="19" t="s">
        <v>1794</v>
      </c>
      <c r="E2568" s="19" t="s">
        <v>3</v>
      </c>
      <c r="F2568" s="19" t="s">
        <v>1432</v>
      </c>
      <c r="G2568" s="19" t="s">
        <v>1429</v>
      </c>
      <c r="H2568" s="19" t="s">
        <v>404</v>
      </c>
      <c r="I2568" s="19" t="s">
        <v>957</v>
      </c>
      <c r="J2568" s="19">
        <v>0</v>
      </c>
      <c r="K2568" s="19" t="s">
        <v>1159</v>
      </c>
      <c r="L2568" s="19">
        <v>2025</v>
      </c>
      <c r="M2568" s="20">
        <v>75</v>
      </c>
      <c r="N2568" s="19" t="s">
        <v>616</v>
      </c>
      <c r="O2568" s="20">
        <v>0</v>
      </c>
      <c r="P2568" s="20">
        <v>0</v>
      </c>
      <c r="Q2568" s="20">
        <v>0</v>
      </c>
      <c r="R2568" s="21">
        <v>0.92</v>
      </c>
      <c r="S2568" s="20">
        <v>0</v>
      </c>
    </row>
    <row r="2569" spans="2:19" ht="15" customHeight="1" x14ac:dyDescent="0.25">
      <c r="B2569" s="2" t="str">
        <f t="shared" si="80"/>
        <v>PGL_Business_Small/Mid-Size Business_Rebates_Pipe Insulation_Steam - Large 5.1" to 8"_CI</v>
      </c>
      <c r="C2569" s="2" t="str">
        <f t="shared" si="81"/>
        <v>PGL_Business_Small/Mid-Size Business_Rebates_Pipe Insulation_Steam - Large 5.1" to 8"_CI_2022</v>
      </c>
      <c r="D2569" s="19" t="s">
        <v>1794</v>
      </c>
      <c r="E2569" s="19" t="s">
        <v>3</v>
      </c>
      <c r="F2569" s="19" t="s">
        <v>1432</v>
      </c>
      <c r="G2569" s="19" t="s">
        <v>1429</v>
      </c>
      <c r="H2569" s="19" t="s">
        <v>404</v>
      </c>
      <c r="I2569" s="19" t="s">
        <v>958</v>
      </c>
      <c r="J2569" s="19">
        <v>0</v>
      </c>
      <c r="K2569" s="19" t="s">
        <v>1159</v>
      </c>
      <c r="L2569" s="19">
        <v>2022</v>
      </c>
      <c r="M2569" s="20">
        <v>75</v>
      </c>
      <c r="N2569" s="19" t="s">
        <v>616</v>
      </c>
      <c r="O2569" s="20">
        <v>1</v>
      </c>
      <c r="P2569" s="20">
        <v>75</v>
      </c>
      <c r="Q2569" s="20">
        <v>1724.9836884221506</v>
      </c>
      <c r="R2569" s="21">
        <v>0.92</v>
      </c>
      <c r="S2569" s="20">
        <v>1724.9836884221506</v>
      </c>
    </row>
    <row r="2570" spans="2:19" ht="15" customHeight="1" x14ac:dyDescent="0.25">
      <c r="B2570" s="2" t="str">
        <f t="shared" si="80"/>
        <v>PGL_Business_Small/Mid-Size Business_Rebates_Pipe Insulation_Steam - Large 5.1" to 8"_CI</v>
      </c>
      <c r="C2570" s="2" t="str">
        <f t="shared" si="81"/>
        <v>PGL_Business_Small/Mid-Size Business_Rebates_Pipe Insulation_Steam - Large 5.1" to 8"_CI_2023</v>
      </c>
      <c r="D2570" s="19" t="s">
        <v>1794</v>
      </c>
      <c r="E2570" s="19" t="s">
        <v>3</v>
      </c>
      <c r="F2570" s="19" t="s">
        <v>1432</v>
      </c>
      <c r="G2570" s="19" t="s">
        <v>1429</v>
      </c>
      <c r="H2570" s="19" t="s">
        <v>404</v>
      </c>
      <c r="I2570" s="19" t="s">
        <v>958</v>
      </c>
      <c r="J2570" s="19">
        <v>0</v>
      </c>
      <c r="K2570" s="19" t="s">
        <v>1159</v>
      </c>
      <c r="L2570" s="19">
        <v>2023</v>
      </c>
      <c r="M2570" s="20">
        <v>75</v>
      </c>
      <c r="N2570" s="19" t="s">
        <v>616</v>
      </c>
      <c r="O2570" s="20">
        <v>1</v>
      </c>
      <c r="P2570" s="20">
        <v>75</v>
      </c>
      <c r="Q2570" s="20">
        <v>1724.9836884221506</v>
      </c>
      <c r="R2570" s="21">
        <v>0.92</v>
      </c>
      <c r="S2570" s="20">
        <v>1724.9836884221506</v>
      </c>
    </row>
    <row r="2571" spans="2:19" ht="15" customHeight="1" x14ac:dyDescent="0.25">
      <c r="B2571" s="2" t="str">
        <f t="shared" si="80"/>
        <v>PGL_Business_Small/Mid-Size Business_Rebates_Pipe Insulation_Steam - Large 5.1" to 8"_CI</v>
      </c>
      <c r="C2571" s="2" t="str">
        <f t="shared" si="81"/>
        <v>PGL_Business_Small/Mid-Size Business_Rebates_Pipe Insulation_Steam - Large 5.1" to 8"_CI_2024</v>
      </c>
      <c r="D2571" s="19" t="s">
        <v>1794</v>
      </c>
      <c r="E2571" s="19" t="s">
        <v>3</v>
      </c>
      <c r="F2571" s="19" t="s">
        <v>1432</v>
      </c>
      <c r="G2571" s="19" t="s">
        <v>1429</v>
      </c>
      <c r="H2571" s="19" t="s">
        <v>404</v>
      </c>
      <c r="I2571" s="19" t="s">
        <v>958</v>
      </c>
      <c r="J2571" s="19">
        <v>0</v>
      </c>
      <c r="K2571" s="19" t="s">
        <v>1159</v>
      </c>
      <c r="L2571" s="19">
        <v>2024</v>
      </c>
      <c r="M2571" s="20">
        <v>75</v>
      </c>
      <c r="N2571" s="19" t="s">
        <v>616</v>
      </c>
      <c r="O2571" s="20">
        <v>1</v>
      </c>
      <c r="P2571" s="20">
        <v>75</v>
      </c>
      <c r="Q2571" s="20">
        <v>1724.9836884221506</v>
      </c>
      <c r="R2571" s="21">
        <v>0.92</v>
      </c>
      <c r="S2571" s="20">
        <v>1724.9836884221506</v>
      </c>
    </row>
    <row r="2572" spans="2:19" ht="15" customHeight="1" x14ac:dyDescent="0.25">
      <c r="B2572" s="2" t="str">
        <f t="shared" si="80"/>
        <v>PGL_Business_Small/Mid-Size Business_Rebates_Pipe Insulation_Steam - Large 5.1" to 8"_CI</v>
      </c>
      <c r="C2572" s="2" t="str">
        <f t="shared" si="81"/>
        <v>PGL_Business_Small/Mid-Size Business_Rebates_Pipe Insulation_Steam - Large 5.1" to 8"_CI_2025</v>
      </c>
      <c r="D2572" s="19" t="s">
        <v>1794</v>
      </c>
      <c r="E2572" s="19" t="s">
        <v>3</v>
      </c>
      <c r="F2572" s="19" t="s">
        <v>1432</v>
      </c>
      <c r="G2572" s="19" t="s">
        <v>1429</v>
      </c>
      <c r="H2572" s="19" t="s">
        <v>404</v>
      </c>
      <c r="I2572" s="19" t="s">
        <v>958</v>
      </c>
      <c r="J2572" s="19">
        <v>0</v>
      </c>
      <c r="K2572" s="19" t="s">
        <v>1159</v>
      </c>
      <c r="L2572" s="19">
        <v>2025</v>
      </c>
      <c r="M2572" s="20">
        <v>75</v>
      </c>
      <c r="N2572" s="19" t="s">
        <v>616</v>
      </c>
      <c r="O2572" s="20">
        <v>1</v>
      </c>
      <c r="P2572" s="20">
        <v>75</v>
      </c>
      <c r="Q2572" s="20">
        <v>1724.9836884221506</v>
      </c>
      <c r="R2572" s="21">
        <v>0.92</v>
      </c>
      <c r="S2572" s="20">
        <v>1724.9836884221506</v>
      </c>
    </row>
    <row r="2573" spans="2:19" ht="15" customHeight="1" x14ac:dyDescent="0.25">
      <c r="B2573" s="2" t="str">
        <f t="shared" si="80"/>
        <v>PGL_Business_Small/Mid-Size Business_Rebates_Pipe Insulation_Steam - X-Large &gt;8"_CI</v>
      </c>
      <c r="C2573" s="2" t="str">
        <f t="shared" si="81"/>
        <v>PGL_Business_Small/Mid-Size Business_Rebates_Pipe Insulation_Steam - X-Large &gt;8"_CI_2022</v>
      </c>
      <c r="D2573" s="19" t="s">
        <v>1794</v>
      </c>
      <c r="E2573" s="19" t="s">
        <v>3</v>
      </c>
      <c r="F2573" s="19" t="s">
        <v>1432</v>
      </c>
      <c r="G2573" s="19" t="s">
        <v>1429</v>
      </c>
      <c r="H2573" s="19" t="s">
        <v>404</v>
      </c>
      <c r="I2573" s="19" t="s">
        <v>960</v>
      </c>
      <c r="J2573" s="19">
        <v>0</v>
      </c>
      <c r="K2573" s="19" t="s">
        <v>1159</v>
      </c>
      <c r="L2573" s="19">
        <v>2022</v>
      </c>
      <c r="M2573" s="20">
        <v>75</v>
      </c>
      <c r="N2573" s="19" t="s">
        <v>616</v>
      </c>
      <c r="O2573" s="20">
        <v>0</v>
      </c>
      <c r="P2573" s="20">
        <v>0</v>
      </c>
      <c r="Q2573" s="20">
        <v>0</v>
      </c>
      <c r="R2573" s="21">
        <v>0.92</v>
      </c>
      <c r="S2573" s="20">
        <v>0</v>
      </c>
    </row>
    <row r="2574" spans="2:19" ht="15" customHeight="1" x14ac:dyDescent="0.25">
      <c r="B2574" s="2" t="str">
        <f t="shared" si="80"/>
        <v>PGL_Business_Small/Mid-Size Business_Rebates_Pipe Insulation_Steam - X-Large &gt;8"_CI</v>
      </c>
      <c r="C2574" s="2" t="str">
        <f t="shared" si="81"/>
        <v>PGL_Business_Small/Mid-Size Business_Rebates_Pipe Insulation_Steam - X-Large &gt;8"_CI_2023</v>
      </c>
      <c r="D2574" s="19" t="s">
        <v>1794</v>
      </c>
      <c r="E2574" s="19" t="s">
        <v>3</v>
      </c>
      <c r="F2574" s="19" t="s">
        <v>1432</v>
      </c>
      <c r="G2574" s="19" t="s">
        <v>1429</v>
      </c>
      <c r="H2574" s="19" t="s">
        <v>404</v>
      </c>
      <c r="I2574" s="19" t="s">
        <v>960</v>
      </c>
      <c r="J2574" s="19">
        <v>0</v>
      </c>
      <c r="K2574" s="19" t="s">
        <v>1159</v>
      </c>
      <c r="L2574" s="19">
        <v>2023</v>
      </c>
      <c r="M2574" s="20">
        <v>75</v>
      </c>
      <c r="N2574" s="19" t="s">
        <v>616</v>
      </c>
      <c r="O2574" s="20">
        <v>0</v>
      </c>
      <c r="P2574" s="20">
        <v>0</v>
      </c>
      <c r="Q2574" s="20">
        <v>0</v>
      </c>
      <c r="R2574" s="21">
        <v>0.92</v>
      </c>
      <c r="S2574" s="20">
        <v>0</v>
      </c>
    </row>
    <row r="2575" spans="2:19" ht="15" customHeight="1" x14ac:dyDescent="0.25">
      <c r="B2575" s="2" t="str">
        <f t="shared" si="80"/>
        <v>PGL_Business_Small/Mid-Size Business_Rebates_Pipe Insulation_Steam - X-Large &gt;8"_CI</v>
      </c>
      <c r="C2575" s="2" t="str">
        <f t="shared" si="81"/>
        <v>PGL_Business_Small/Mid-Size Business_Rebates_Pipe Insulation_Steam - X-Large &gt;8"_CI_2024</v>
      </c>
      <c r="D2575" s="19" t="s">
        <v>1794</v>
      </c>
      <c r="E2575" s="19" t="s">
        <v>3</v>
      </c>
      <c r="F2575" s="19" t="s">
        <v>1432</v>
      </c>
      <c r="G2575" s="19" t="s">
        <v>1429</v>
      </c>
      <c r="H2575" s="19" t="s">
        <v>404</v>
      </c>
      <c r="I2575" s="19" t="s">
        <v>960</v>
      </c>
      <c r="J2575" s="19">
        <v>0</v>
      </c>
      <c r="K2575" s="19" t="s">
        <v>1159</v>
      </c>
      <c r="L2575" s="19">
        <v>2024</v>
      </c>
      <c r="M2575" s="20">
        <v>75</v>
      </c>
      <c r="N2575" s="19" t="s">
        <v>616</v>
      </c>
      <c r="O2575" s="20">
        <v>0</v>
      </c>
      <c r="P2575" s="20">
        <v>0</v>
      </c>
      <c r="Q2575" s="20">
        <v>0</v>
      </c>
      <c r="R2575" s="21">
        <v>0.92</v>
      </c>
      <c r="S2575" s="20">
        <v>0</v>
      </c>
    </row>
    <row r="2576" spans="2:19" ht="15" customHeight="1" x14ac:dyDescent="0.25">
      <c r="B2576" s="2" t="str">
        <f t="shared" si="80"/>
        <v>PGL_Business_Small/Mid-Size Business_Rebates_Pipe Insulation_Steam - X-Large &gt;8"_CI</v>
      </c>
      <c r="C2576" s="2" t="str">
        <f t="shared" si="81"/>
        <v>PGL_Business_Small/Mid-Size Business_Rebates_Pipe Insulation_Steam - X-Large &gt;8"_CI_2025</v>
      </c>
      <c r="D2576" s="19" t="s">
        <v>1794</v>
      </c>
      <c r="E2576" s="19" t="s">
        <v>3</v>
      </c>
      <c r="F2576" s="19" t="s">
        <v>1432</v>
      </c>
      <c r="G2576" s="19" t="s">
        <v>1429</v>
      </c>
      <c r="H2576" s="19" t="s">
        <v>404</v>
      </c>
      <c r="I2576" s="19" t="s">
        <v>960</v>
      </c>
      <c r="J2576" s="19">
        <v>0</v>
      </c>
      <c r="K2576" s="19" t="s">
        <v>1159</v>
      </c>
      <c r="L2576" s="19">
        <v>2025</v>
      </c>
      <c r="M2576" s="20">
        <v>75</v>
      </c>
      <c r="N2576" s="19" t="s">
        <v>616</v>
      </c>
      <c r="O2576" s="20">
        <v>0</v>
      </c>
      <c r="P2576" s="20">
        <v>0</v>
      </c>
      <c r="Q2576" s="20">
        <v>0</v>
      </c>
      <c r="R2576" s="21">
        <v>0.92</v>
      </c>
      <c r="S2576" s="20">
        <v>0</v>
      </c>
    </row>
    <row r="2577" spans="2:19" ht="15" customHeight="1" x14ac:dyDescent="0.25">
      <c r="B2577" s="2" t="str">
        <f t="shared" si="80"/>
        <v>PGL_Business_Small/Mid-Size Business_Rebates_Pipe Insulation_Steam Med Fitting_CI</v>
      </c>
      <c r="C2577" s="2" t="str">
        <f t="shared" si="81"/>
        <v>PGL_Business_Small/Mid-Size Business_Rebates_Pipe Insulation_Steam Med Fitting_CI_2022</v>
      </c>
      <c r="D2577" s="19" t="s">
        <v>1794</v>
      </c>
      <c r="E2577" s="19" t="s">
        <v>3</v>
      </c>
      <c r="F2577" s="19" t="s">
        <v>1432</v>
      </c>
      <c r="G2577" s="19" t="s">
        <v>1429</v>
      </c>
      <c r="H2577" s="19" t="s">
        <v>404</v>
      </c>
      <c r="I2577" s="19" t="s">
        <v>962</v>
      </c>
      <c r="J2577" s="19">
        <v>0</v>
      </c>
      <c r="K2577" s="19" t="s">
        <v>1159</v>
      </c>
      <c r="L2577" s="19">
        <v>2022</v>
      </c>
      <c r="M2577" s="20">
        <v>1</v>
      </c>
      <c r="N2577" s="19" t="s">
        <v>1798</v>
      </c>
      <c r="O2577" s="20">
        <v>0</v>
      </c>
      <c r="P2577" s="20">
        <v>0</v>
      </c>
      <c r="Q2577" s="20">
        <v>0</v>
      </c>
      <c r="R2577" s="21">
        <v>0.92</v>
      </c>
      <c r="S2577" s="20">
        <v>0</v>
      </c>
    </row>
    <row r="2578" spans="2:19" ht="15" customHeight="1" x14ac:dyDescent="0.25">
      <c r="B2578" s="2" t="str">
        <f t="shared" si="80"/>
        <v>PGL_Business_Small/Mid-Size Business_Rebates_Pipe Insulation_Steam Med Fitting_CI</v>
      </c>
      <c r="C2578" s="2" t="str">
        <f t="shared" si="81"/>
        <v>PGL_Business_Small/Mid-Size Business_Rebates_Pipe Insulation_Steam Med Fitting_CI_2023</v>
      </c>
      <c r="D2578" s="19" t="s">
        <v>1794</v>
      </c>
      <c r="E2578" s="19" t="s">
        <v>3</v>
      </c>
      <c r="F2578" s="19" t="s">
        <v>1432</v>
      </c>
      <c r="G2578" s="19" t="s">
        <v>1429</v>
      </c>
      <c r="H2578" s="19" t="s">
        <v>404</v>
      </c>
      <c r="I2578" s="19" t="s">
        <v>962</v>
      </c>
      <c r="J2578" s="19">
        <v>0</v>
      </c>
      <c r="K2578" s="19" t="s">
        <v>1159</v>
      </c>
      <c r="L2578" s="19">
        <v>2023</v>
      </c>
      <c r="M2578" s="20">
        <v>1</v>
      </c>
      <c r="N2578" s="19" t="s">
        <v>1798</v>
      </c>
      <c r="O2578" s="20">
        <v>0</v>
      </c>
      <c r="P2578" s="20">
        <v>0</v>
      </c>
      <c r="Q2578" s="20">
        <v>0</v>
      </c>
      <c r="R2578" s="21">
        <v>0.92</v>
      </c>
      <c r="S2578" s="20">
        <v>0</v>
      </c>
    </row>
    <row r="2579" spans="2:19" ht="15" customHeight="1" x14ac:dyDescent="0.25">
      <c r="B2579" s="2" t="str">
        <f t="shared" si="80"/>
        <v>PGL_Business_Small/Mid-Size Business_Rebates_Pipe Insulation_Steam Med Fitting_CI</v>
      </c>
      <c r="C2579" s="2" t="str">
        <f t="shared" si="81"/>
        <v>PGL_Business_Small/Mid-Size Business_Rebates_Pipe Insulation_Steam Med Fitting_CI_2024</v>
      </c>
      <c r="D2579" s="19" t="s">
        <v>1794</v>
      </c>
      <c r="E2579" s="19" t="s">
        <v>3</v>
      </c>
      <c r="F2579" s="19" t="s">
        <v>1432</v>
      </c>
      <c r="G2579" s="19" t="s">
        <v>1429</v>
      </c>
      <c r="H2579" s="19" t="s">
        <v>404</v>
      </c>
      <c r="I2579" s="19" t="s">
        <v>962</v>
      </c>
      <c r="J2579" s="19">
        <v>0</v>
      </c>
      <c r="K2579" s="19" t="s">
        <v>1159</v>
      </c>
      <c r="L2579" s="19">
        <v>2024</v>
      </c>
      <c r="M2579" s="20">
        <v>1</v>
      </c>
      <c r="N2579" s="19" t="s">
        <v>1798</v>
      </c>
      <c r="O2579" s="20">
        <v>0</v>
      </c>
      <c r="P2579" s="20">
        <v>0</v>
      </c>
      <c r="Q2579" s="20">
        <v>0</v>
      </c>
      <c r="R2579" s="21">
        <v>0.92</v>
      </c>
      <c r="S2579" s="20">
        <v>0</v>
      </c>
    </row>
    <row r="2580" spans="2:19" ht="15" customHeight="1" x14ac:dyDescent="0.25">
      <c r="B2580" s="2" t="str">
        <f t="shared" si="80"/>
        <v>PGL_Business_Small/Mid-Size Business_Rebates_Pipe Insulation_Steam Med Fitting_CI</v>
      </c>
      <c r="C2580" s="2" t="str">
        <f t="shared" si="81"/>
        <v>PGL_Business_Small/Mid-Size Business_Rebates_Pipe Insulation_Steam Med Fitting_CI_2025</v>
      </c>
      <c r="D2580" s="19" t="s">
        <v>1794</v>
      </c>
      <c r="E2580" s="19" t="s">
        <v>3</v>
      </c>
      <c r="F2580" s="19" t="s">
        <v>1432</v>
      </c>
      <c r="G2580" s="19" t="s">
        <v>1429</v>
      </c>
      <c r="H2580" s="19" t="s">
        <v>404</v>
      </c>
      <c r="I2580" s="19" t="s">
        <v>962</v>
      </c>
      <c r="J2580" s="19">
        <v>0</v>
      </c>
      <c r="K2580" s="19" t="s">
        <v>1159</v>
      </c>
      <c r="L2580" s="19">
        <v>2025</v>
      </c>
      <c r="M2580" s="20">
        <v>1</v>
      </c>
      <c r="N2580" s="19" t="s">
        <v>1798</v>
      </c>
      <c r="O2580" s="20">
        <v>0</v>
      </c>
      <c r="P2580" s="20">
        <v>0</v>
      </c>
      <c r="Q2580" s="20">
        <v>0</v>
      </c>
      <c r="R2580" s="21">
        <v>0.92</v>
      </c>
      <c r="S2580" s="20">
        <v>0</v>
      </c>
    </row>
    <row r="2581" spans="2:19" ht="15" customHeight="1" x14ac:dyDescent="0.25">
      <c r="B2581" s="2" t="str">
        <f t="shared" si="80"/>
        <v>PGL_Business_Small/Mid-Size Business_Rebates_Pipe Insulation_Steam Large Fitting_CI</v>
      </c>
      <c r="C2581" s="2" t="str">
        <f t="shared" si="81"/>
        <v>PGL_Business_Small/Mid-Size Business_Rebates_Pipe Insulation_Steam Large Fitting_CI_2022</v>
      </c>
      <c r="D2581" s="19" t="s">
        <v>1794</v>
      </c>
      <c r="E2581" s="19" t="s">
        <v>3</v>
      </c>
      <c r="F2581" s="19" t="s">
        <v>1432</v>
      </c>
      <c r="G2581" s="19" t="s">
        <v>1429</v>
      </c>
      <c r="H2581" s="19" t="s">
        <v>404</v>
      </c>
      <c r="I2581" s="19" t="s">
        <v>963</v>
      </c>
      <c r="J2581" s="19">
        <v>0</v>
      </c>
      <c r="K2581" s="19" t="s">
        <v>1159</v>
      </c>
      <c r="L2581" s="19">
        <v>2022</v>
      </c>
      <c r="M2581" s="20">
        <v>1</v>
      </c>
      <c r="N2581" s="19" t="s">
        <v>1798</v>
      </c>
      <c r="O2581" s="20">
        <v>3</v>
      </c>
      <c r="P2581" s="20">
        <v>3</v>
      </c>
      <c r="Q2581" s="20">
        <v>113.39356572534794</v>
      </c>
      <c r="R2581" s="21">
        <v>0.92</v>
      </c>
      <c r="S2581" s="20">
        <v>113.39356572534794</v>
      </c>
    </row>
    <row r="2582" spans="2:19" ht="15" customHeight="1" x14ac:dyDescent="0.25">
      <c r="B2582" s="2" t="str">
        <f t="shared" si="80"/>
        <v>PGL_Business_Small/Mid-Size Business_Rebates_Pipe Insulation_Steam Large Fitting_CI</v>
      </c>
      <c r="C2582" s="2" t="str">
        <f t="shared" si="81"/>
        <v>PGL_Business_Small/Mid-Size Business_Rebates_Pipe Insulation_Steam Large Fitting_CI_2023</v>
      </c>
      <c r="D2582" s="19" t="s">
        <v>1794</v>
      </c>
      <c r="E2582" s="19" t="s">
        <v>3</v>
      </c>
      <c r="F2582" s="19" t="s">
        <v>1432</v>
      </c>
      <c r="G2582" s="19" t="s">
        <v>1429</v>
      </c>
      <c r="H2582" s="19" t="s">
        <v>404</v>
      </c>
      <c r="I2582" s="19" t="s">
        <v>963</v>
      </c>
      <c r="J2582" s="19">
        <v>0</v>
      </c>
      <c r="K2582" s="19" t="s">
        <v>1159</v>
      </c>
      <c r="L2582" s="19">
        <v>2023</v>
      </c>
      <c r="M2582" s="20">
        <v>1</v>
      </c>
      <c r="N2582" s="19" t="s">
        <v>1798</v>
      </c>
      <c r="O2582" s="20">
        <v>3</v>
      </c>
      <c r="P2582" s="20">
        <v>3</v>
      </c>
      <c r="Q2582" s="20">
        <v>113.39356572534794</v>
      </c>
      <c r="R2582" s="21">
        <v>0.92</v>
      </c>
      <c r="S2582" s="20">
        <v>113.39356572534794</v>
      </c>
    </row>
    <row r="2583" spans="2:19" ht="15" customHeight="1" x14ac:dyDescent="0.25">
      <c r="B2583" s="2" t="str">
        <f t="shared" si="80"/>
        <v>PGL_Business_Small/Mid-Size Business_Rebates_Pipe Insulation_Steam Large Fitting_CI</v>
      </c>
      <c r="C2583" s="2" t="str">
        <f t="shared" si="81"/>
        <v>PGL_Business_Small/Mid-Size Business_Rebates_Pipe Insulation_Steam Large Fitting_CI_2024</v>
      </c>
      <c r="D2583" s="19" t="s">
        <v>1794</v>
      </c>
      <c r="E2583" s="19" t="s">
        <v>3</v>
      </c>
      <c r="F2583" s="19" t="s">
        <v>1432</v>
      </c>
      <c r="G2583" s="19" t="s">
        <v>1429</v>
      </c>
      <c r="H2583" s="19" t="s">
        <v>404</v>
      </c>
      <c r="I2583" s="19" t="s">
        <v>963</v>
      </c>
      <c r="J2583" s="19">
        <v>0</v>
      </c>
      <c r="K2583" s="19" t="s">
        <v>1159</v>
      </c>
      <c r="L2583" s="19">
        <v>2024</v>
      </c>
      <c r="M2583" s="20">
        <v>1</v>
      </c>
      <c r="N2583" s="19" t="s">
        <v>1798</v>
      </c>
      <c r="O2583" s="20">
        <v>3</v>
      </c>
      <c r="P2583" s="20">
        <v>3</v>
      </c>
      <c r="Q2583" s="20">
        <v>113.39356572534794</v>
      </c>
      <c r="R2583" s="21">
        <v>0.92</v>
      </c>
      <c r="S2583" s="20">
        <v>113.39356572534794</v>
      </c>
    </row>
    <row r="2584" spans="2:19" ht="15" customHeight="1" x14ac:dyDescent="0.25">
      <c r="B2584" s="2" t="str">
        <f t="shared" si="80"/>
        <v>PGL_Business_Small/Mid-Size Business_Rebates_Pipe Insulation_Steam Large Fitting_CI</v>
      </c>
      <c r="C2584" s="2" t="str">
        <f t="shared" si="81"/>
        <v>PGL_Business_Small/Mid-Size Business_Rebates_Pipe Insulation_Steam Large Fitting_CI_2025</v>
      </c>
      <c r="D2584" s="19" t="s">
        <v>1794</v>
      </c>
      <c r="E2584" s="19" t="s">
        <v>3</v>
      </c>
      <c r="F2584" s="19" t="s">
        <v>1432</v>
      </c>
      <c r="G2584" s="19" t="s">
        <v>1429</v>
      </c>
      <c r="H2584" s="19" t="s">
        <v>404</v>
      </c>
      <c r="I2584" s="19" t="s">
        <v>963</v>
      </c>
      <c r="J2584" s="19">
        <v>0</v>
      </c>
      <c r="K2584" s="19" t="s">
        <v>1159</v>
      </c>
      <c r="L2584" s="19">
        <v>2025</v>
      </c>
      <c r="M2584" s="20">
        <v>1</v>
      </c>
      <c r="N2584" s="19" t="s">
        <v>1798</v>
      </c>
      <c r="O2584" s="20">
        <v>3</v>
      </c>
      <c r="P2584" s="20">
        <v>3</v>
      </c>
      <c r="Q2584" s="20">
        <v>113.39356572534794</v>
      </c>
      <c r="R2584" s="21">
        <v>0.92</v>
      </c>
      <c r="S2584" s="20">
        <v>113.39356572534794</v>
      </c>
    </row>
    <row r="2585" spans="2:19" ht="15" customHeight="1" x14ac:dyDescent="0.25">
      <c r="B2585" s="2" t="str">
        <f t="shared" si="80"/>
        <v>PGL_Business_Small/Mid-Size Business_Rebates_Pipe Insulation_Steam X-Large Fitting_CI</v>
      </c>
      <c r="C2585" s="2" t="str">
        <f t="shared" si="81"/>
        <v>PGL_Business_Small/Mid-Size Business_Rebates_Pipe Insulation_Steam X-Large Fitting_CI_2022</v>
      </c>
      <c r="D2585" s="19" t="s">
        <v>1794</v>
      </c>
      <c r="E2585" s="19" t="s">
        <v>3</v>
      </c>
      <c r="F2585" s="19" t="s">
        <v>1432</v>
      </c>
      <c r="G2585" s="19" t="s">
        <v>1429</v>
      </c>
      <c r="H2585" s="19" t="s">
        <v>404</v>
      </c>
      <c r="I2585" s="19" t="s">
        <v>964</v>
      </c>
      <c r="J2585" s="19">
        <v>0</v>
      </c>
      <c r="K2585" s="19" t="s">
        <v>1159</v>
      </c>
      <c r="L2585" s="19">
        <v>2022</v>
      </c>
      <c r="M2585" s="20">
        <v>1</v>
      </c>
      <c r="N2585" s="19" t="s">
        <v>1798</v>
      </c>
      <c r="O2585" s="20">
        <v>0</v>
      </c>
      <c r="P2585" s="20">
        <v>0</v>
      </c>
      <c r="Q2585" s="20">
        <v>0</v>
      </c>
      <c r="R2585" s="21">
        <v>0.92</v>
      </c>
      <c r="S2585" s="20">
        <v>0</v>
      </c>
    </row>
    <row r="2586" spans="2:19" ht="15" customHeight="1" x14ac:dyDescent="0.25">
      <c r="B2586" s="2" t="str">
        <f t="shared" si="80"/>
        <v>PGL_Business_Small/Mid-Size Business_Rebates_Pipe Insulation_Steam X-Large Fitting_CI</v>
      </c>
      <c r="C2586" s="2" t="str">
        <f t="shared" si="81"/>
        <v>PGL_Business_Small/Mid-Size Business_Rebates_Pipe Insulation_Steam X-Large Fitting_CI_2023</v>
      </c>
      <c r="D2586" s="19" t="s">
        <v>1794</v>
      </c>
      <c r="E2586" s="19" t="s">
        <v>3</v>
      </c>
      <c r="F2586" s="19" t="s">
        <v>1432</v>
      </c>
      <c r="G2586" s="19" t="s">
        <v>1429</v>
      </c>
      <c r="H2586" s="19" t="s">
        <v>404</v>
      </c>
      <c r="I2586" s="19" t="s">
        <v>964</v>
      </c>
      <c r="J2586" s="19">
        <v>0</v>
      </c>
      <c r="K2586" s="19" t="s">
        <v>1159</v>
      </c>
      <c r="L2586" s="19">
        <v>2023</v>
      </c>
      <c r="M2586" s="20">
        <v>1</v>
      </c>
      <c r="N2586" s="19" t="s">
        <v>1798</v>
      </c>
      <c r="O2586" s="20">
        <v>0</v>
      </c>
      <c r="P2586" s="20">
        <v>0</v>
      </c>
      <c r="Q2586" s="20">
        <v>0</v>
      </c>
      <c r="R2586" s="21">
        <v>0.92</v>
      </c>
      <c r="S2586" s="20">
        <v>0</v>
      </c>
    </row>
    <row r="2587" spans="2:19" ht="15" customHeight="1" x14ac:dyDescent="0.25">
      <c r="B2587" s="2" t="str">
        <f t="shared" si="80"/>
        <v>PGL_Business_Small/Mid-Size Business_Rebates_Pipe Insulation_Steam X-Large Fitting_CI</v>
      </c>
      <c r="C2587" s="2" t="str">
        <f t="shared" si="81"/>
        <v>PGL_Business_Small/Mid-Size Business_Rebates_Pipe Insulation_Steam X-Large Fitting_CI_2024</v>
      </c>
      <c r="D2587" s="19" t="s">
        <v>1794</v>
      </c>
      <c r="E2587" s="19" t="s">
        <v>3</v>
      </c>
      <c r="F2587" s="19" t="s">
        <v>1432</v>
      </c>
      <c r="G2587" s="19" t="s">
        <v>1429</v>
      </c>
      <c r="H2587" s="19" t="s">
        <v>404</v>
      </c>
      <c r="I2587" s="19" t="s">
        <v>964</v>
      </c>
      <c r="J2587" s="19">
        <v>0</v>
      </c>
      <c r="K2587" s="19" t="s">
        <v>1159</v>
      </c>
      <c r="L2587" s="19">
        <v>2024</v>
      </c>
      <c r="M2587" s="20">
        <v>1</v>
      </c>
      <c r="N2587" s="19" t="s">
        <v>1798</v>
      </c>
      <c r="O2587" s="20">
        <v>0</v>
      </c>
      <c r="P2587" s="20">
        <v>0</v>
      </c>
      <c r="Q2587" s="20">
        <v>0</v>
      </c>
      <c r="R2587" s="21">
        <v>0.92</v>
      </c>
      <c r="S2587" s="20">
        <v>0</v>
      </c>
    </row>
    <row r="2588" spans="2:19" ht="15" customHeight="1" x14ac:dyDescent="0.25">
      <c r="B2588" s="2" t="str">
        <f t="shared" si="80"/>
        <v>PGL_Business_Small/Mid-Size Business_Rebates_Pipe Insulation_Steam X-Large Fitting_CI</v>
      </c>
      <c r="C2588" s="2" t="str">
        <f t="shared" si="81"/>
        <v>PGL_Business_Small/Mid-Size Business_Rebates_Pipe Insulation_Steam X-Large Fitting_CI_2025</v>
      </c>
      <c r="D2588" s="19" t="s">
        <v>1794</v>
      </c>
      <c r="E2588" s="19" t="s">
        <v>3</v>
      </c>
      <c r="F2588" s="19" t="s">
        <v>1432</v>
      </c>
      <c r="G2588" s="19" t="s">
        <v>1429</v>
      </c>
      <c r="H2588" s="19" t="s">
        <v>404</v>
      </c>
      <c r="I2588" s="19" t="s">
        <v>964</v>
      </c>
      <c r="J2588" s="19">
        <v>0</v>
      </c>
      <c r="K2588" s="19" t="s">
        <v>1159</v>
      </c>
      <c r="L2588" s="19">
        <v>2025</v>
      </c>
      <c r="M2588" s="20">
        <v>1</v>
      </c>
      <c r="N2588" s="19" t="s">
        <v>1798</v>
      </c>
      <c r="O2588" s="20">
        <v>0</v>
      </c>
      <c r="P2588" s="20">
        <v>0</v>
      </c>
      <c r="Q2588" s="20">
        <v>0</v>
      </c>
      <c r="R2588" s="21">
        <v>0.92</v>
      </c>
      <c r="S2588" s="20">
        <v>0</v>
      </c>
    </row>
    <row r="2589" spans="2:19" ht="15" customHeight="1" x14ac:dyDescent="0.25">
      <c r="B2589" s="2" t="str">
        <f t="shared" si="80"/>
        <v>PGL_Business_Small/Mid-Size Business_Rebates_Pipe Insulation_Steam Med Valve_CI</v>
      </c>
      <c r="C2589" s="2" t="str">
        <f t="shared" si="81"/>
        <v>PGL_Business_Small/Mid-Size Business_Rebates_Pipe Insulation_Steam Med Valve_CI_2022</v>
      </c>
      <c r="D2589" s="19" t="s">
        <v>1794</v>
      </c>
      <c r="E2589" s="19" t="s">
        <v>3</v>
      </c>
      <c r="F2589" s="19" t="s">
        <v>1432</v>
      </c>
      <c r="G2589" s="19" t="s">
        <v>1429</v>
      </c>
      <c r="H2589" s="19" t="s">
        <v>404</v>
      </c>
      <c r="I2589" s="19" t="s">
        <v>966</v>
      </c>
      <c r="J2589" s="19">
        <v>0</v>
      </c>
      <c r="K2589" s="19" t="s">
        <v>1159</v>
      </c>
      <c r="L2589" s="19">
        <v>2022</v>
      </c>
      <c r="M2589" s="20">
        <v>1</v>
      </c>
      <c r="N2589" s="19" t="s">
        <v>1798</v>
      </c>
      <c r="O2589" s="20">
        <v>0</v>
      </c>
      <c r="P2589" s="20">
        <v>0</v>
      </c>
      <c r="Q2589" s="20">
        <v>0</v>
      </c>
      <c r="R2589" s="21">
        <v>0.92</v>
      </c>
      <c r="S2589" s="20">
        <v>0</v>
      </c>
    </row>
    <row r="2590" spans="2:19" ht="15" customHeight="1" x14ac:dyDescent="0.25">
      <c r="B2590" s="2" t="str">
        <f t="shared" si="80"/>
        <v>PGL_Business_Small/Mid-Size Business_Rebates_Pipe Insulation_Steam Med Valve_CI</v>
      </c>
      <c r="C2590" s="2" t="str">
        <f t="shared" si="81"/>
        <v>PGL_Business_Small/Mid-Size Business_Rebates_Pipe Insulation_Steam Med Valve_CI_2023</v>
      </c>
      <c r="D2590" s="19" t="s">
        <v>1794</v>
      </c>
      <c r="E2590" s="19" t="s">
        <v>3</v>
      </c>
      <c r="F2590" s="19" t="s">
        <v>1432</v>
      </c>
      <c r="G2590" s="19" t="s">
        <v>1429</v>
      </c>
      <c r="H2590" s="19" t="s">
        <v>404</v>
      </c>
      <c r="I2590" s="19" t="s">
        <v>966</v>
      </c>
      <c r="J2590" s="19">
        <v>0</v>
      </c>
      <c r="K2590" s="19" t="s">
        <v>1159</v>
      </c>
      <c r="L2590" s="19">
        <v>2023</v>
      </c>
      <c r="M2590" s="20">
        <v>1</v>
      </c>
      <c r="N2590" s="19" t="s">
        <v>1798</v>
      </c>
      <c r="O2590" s="20">
        <v>0</v>
      </c>
      <c r="P2590" s="20">
        <v>0</v>
      </c>
      <c r="Q2590" s="20">
        <v>0</v>
      </c>
      <c r="R2590" s="21">
        <v>0.92</v>
      </c>
      <c r="S2590" s="20">
        <v>0</v>
      </c>
    </row>
    <row r="2591" spans="2:19" ht="15" customHeight="1" x14ac:dyDescent="0.25">
      <c r="B2591" s="2" t="str">
        <f t="shared" si="80"/>
        <v>PGL_Business_Small/Mid-Size Business_Rebates_Pipe Insulation_Steam Med Valve_CI</v>
      </c>
      <c r="C2591" s="2" t="str">
        <f t="shared" si="81"/>
        <v>PGL_Business_Small/Mid-Size Business_Rebates_Pipe Insulation_Steam Med Valve_CI_2024</v>
      </c>
      <c r="D2591" s="19" t="s">
        <v>1794</v>
      </c>
      <c r="E2591" s="19" t="s">
        <v>3</v>
      </c>
      <c r="F2591" s="19" t="s">
        <v>1432</v>
      </c>
      <c r="G2591" s="19" t="s">
        <v>1429</v>
      </c>
      <c r="H2591" s="19" t="s">
        <v>404</v>
      </c>
      <c r="I2591" s="19" t="s">
        <v>966</v>
      </c>
      <c r="J2591" s="19">
        <v>0</v>
      </c>
      <c r="K2591" s="19" t="s">
        <v>1159</v>
      </c>
      <c r="L2591" s="19">
        <v>2024</v>
      </c>
      <c r="M2591" s="20">
        <v>1</v>
      </c>
      <c r="N2591" s="19" t="s">
        <v>1798</v>
      </c>
      <c r="O2591" s="20">
        <v>0</v>
      </c>
      <c r="P2591" s="20">
        <v>0</v>
      </c>
      <c r="Q2591" s="20">
        <v>0</v>
      </c>
      <c r="R2591" s="21">
        <v>0.92</v>
      </c>
      <c r="S2591" s="20">
        <v>0</v>
      </c>
    </row>
    <row r="2592" spans="2:19" ht="15" customHeight="1" x14ac:dyDescent="0.25">
      <c r="B2592" s="2" t="str">
        <f t="shared" si="80"/>
        <v>PGL_Business_Small/Mid-Size Business_Rebates_Pipe Insulation_Steam Med Valve_CI</v>
      </c>
      <c r="C2592" s="2" t="str">
        <f t="shared" si="81"/>
        <v>PGL_Business_Small/Mid-Size Business_Rebates_Pipe Insulation_Steam Med Valve_CI_2025</v>
      </c>
      <c r="D2592" s="19" t="s">
        <v>1794</v>
      </c>
      <c r="E2592" s="19" t="s">
        <v>3</v>
      </c>
      <c r="F2592" s="19" t="s">
        <v>1432</v>
      </c>
      <c r="G2592" s="19" t="s">
        <v>1429</v>
      </c>
      <c r="H2592" s="19" t="s">
        <v>404</v>
      </c>
      <c r="I2592" s="19" t="s">
        <v>966</v>
      </c>
      <c r="J2592" s="19">
        <v>0</v>
      </c>
      <c r="K2592" s="19" t="s">
        <v>1159</v>
      </c>
      <c r="L2592" s="19">
        <v>2025</v>
      </c>
      <c r="M2592" s="20">
        <v>1</v>
      </c>
      <c r="N2592" s="19" t="s">
        <v>1798</v>
      </c>
      <c r="O2592" s="20">
        <v>0</v>
      </c>
      <c r="P2592" s="20">
        <v>0</v>
      </c>
      <c r="Q2592" s="20">
        <v>0</v>
      </c>
      <c r="R2592" s="21">
        <v>0.92</v>
      </c>
      <c r="S2592" s="20">
        <v>0</v>
      </c>
    </row>
    <row r="2593" spans="2:19" ht="15" customHeight="1" x14ac:dyDescent="0.25">
      <c r="B2593" s="2" t="str">
        <f t="shared" si="80"/>
        <v>PGL_Business_Small/Mid-Size Business_Rebates_Pipe Insulation_Steam Large Valve_CI</v>
      </c>
      <c r="C2593" s="2" t="str">
        <f t="shared" si="81"/>
        <v>PGL_Business_Small/Mid-Size Business_Rebates_Pipe Insulation_Steam Large Valve_CI_2022</v>
      </c>
      <c r="D2593" s="19" t="s">
        <v>1794</v>
      </c>
      <c r="E2593" s="19" t="s">
        <v>3</v>
      </c>
      <c r="F2593" s="19" t="s">
        <v>1432</v>
      </c>
      <c r="G2593" s="19" t="s">
        <v>1429</v>
      </c>
      <c r="H2593" s="19" t="s">
        <v>404</v>
      </c>
      <c r="I2593" s="19" t="s">
        <v>967</v>
      </c>
      <c r="J2593" s="19">
        <v>0</v>
      </c>
      <c r="K2593" s="19" t="s">
        <v>1159</v>
      </c>
      <c r="L2593" s="19">
        <v>2022</v>
      </c>
      <c r="M2593" s="20">
        <v>1</v>
      </c>
      <c r="N2593" s="19" t="s">
        <v>1798</v>
      </c>
      <c r="O2593" s="20">
        <v>0</v>
      </c>
      <c r="P2593" s="20">
        <v>0</v>
      </c>
      <c r="Q2593" s="20">
        <v>0</v>
      </c>
      <c r="R2593" s="21">
        <v>0.92</v>
      </c>
      <c r="S2593" s="20">
        <v>0</v>
      </c>
    </row>
    <row r="2594" spans="2:19" ht="15" customHeight="1" x14ac:dyDescent="0.25">
      <c r="B2594" s="2" t="str">
        <f t="shared" si="80"/>
        <v>PGL_Business_Small/Mid-Size Business_Rebates_Pipe Insulation_Steam Large Valve_CI</v>
      </c>
      <c r="C2594" s="2" t="str">
        <f t="shared" si="81"/>
        <v>PGL_Business_Small/Mid-Size Business_Rebates_Pipe Insulation_Steam Large Valve_CI_2023</v>
      </c>
      <c r="D2594" s="19" t="s">
        <v>1794</v>
      </c>
      <c r="E2594" s="19" t="s">
        <v>3</v>
      </c>
      <c r="F2594" s="19" t="s">
        <v>1432</v>
      </c>
      <c r="G2594" s="19" t="s">
        <v>1429</v>
      </c>
      <c r="H2594" s="19" t="s">
        <v>404</v>
      </c>
      <c r="I2594" s="19" t="s">
        <v>967</v>
      </c>
      <c r="J2594" s="19">
        <v>0</v>
      </c>
      <c r="K2594" s="19" t="s">
        <v>1159</v>
      </c>
      <c r="L2594" s="19">
        <v>2023</v>
      </c>
      <c r="M2594" s="20">
        <v>1</v>
      </c>
      <c r="N2594" s="19" t="s">
        <v>1798</v>
      </c>
      <c r="O2594" s="20">
        <v>0</v>
      </c>
      <c r="P2594" s="20">
        <v>0</v>
      </c>
      <c r="Q2594" s="20">
        <v>0</v>
      </c>
      <c r="R2594" s="21">
        <v>0.92</v>
      </c>
      <c r="S2594" s="20">
        <v>0</v>
      </c>
    </row>
    <row r="2595" spans="2:19" ht="15" customHeight="1" x14ac:dyDescent="0.25">
      <c r="B2595" s="2" t="str">
        <f t="shared" si="80"/>
        <v>PGL_Business_Small/Mid-Size Business_Rebates_Pipe Insulation_Steam Large Valve_CI</v>
      </c>
      <c r="C2595" s="2" t="str">
        <f t="shared" si="81"/>
        <v>PGL_Business_Small/Mid-Size Business_Rebates_Pipe Insulation_Steam Large Valve_CI_2024</v>
      </c>
      <c r="D2595" s="19" t="s">
        <v>1794</v>
      </c>
      <c r="E2595" s="19" t="s">
        <v>3</v>
      </c>
      <c r="F2595" s="19" t="s">
        <v>1432</v>
      </c>
      <c r="G2595" s="19" t="s">
        <v>1429</v>
      </c>
      <c r="H2595" s="19" t="s">
        <v>404</v>
      </c>
      <c r="I2595" s="19" t="s">
        <v>967</v>
      </c>
      <c r="J2595" s="19">
        <v>0</v>
      </c>
      <c r="K2595" s="19" t="s">
        <v>1159</v>
      </c>
      <c r="L2595" s="19">
        <v>2024</v>
      </c>
      <c r="M2595" s="20">
        <v>1</v>
      </c>
      <c r="N2595" s="19" t="s">
        <v>1798</v>
      </c>
      <c r="O2595" s="20">
        <v>0</v>
      </c>
      <c r="P2595" s="20">
        <v>0</v>
      </c>
      <c r="Q2595" s="20">
        <v>0</v>
      </c>
      <c r="R2595" s="21">
        <v>0.92</v>
      </c>
      <c r="S2595" s="20">
        <v>0</v>
      </c>
    </row>
    <row r="2596" spans="2:19" ht="15" customHeight="1" x14ac:dyDescent="0.25">
      <c r="B2596" s="2" t="str">
        <f t="shared" si="80"/>
        <v>PGL_Business_Small/Mid-Size Business_Rebates_Pipe Insulation_Steam Large Valve_CI</v>
      </c>
      <c r="C2596" s="2" t="str">
        <f t="shared" si="81"/>
        <v>PGL_Business_Small/Mid-Size Business_Rebates_Pipe Insulation_Steam Large Valve_CI_2025</v>
      </c>
      <c r="D2596" s="19" t="s">
        <v>1794</v>
      </c>
      <c r="E2596" s="19" t="s">
        <v>3</v>
      </c>
      <c r="F2596" s="19" t="s">
        <v>1432</v>
      </c>
      <c r="G2596" s="19" t="s">
        <v>1429</v>
      </c>
      <c r="H2596" s="19" t="s">
        <v>404</v>
      </c>
      <c r="I2596" s="19" t="s">
        <v>967</v>
      </c>
      <c r="J2596" s="19">
        <v>0</v>
      </c>
      <c r="K2596" s="19" t="s">
        <v>1159</v>
      </c>
      <c r="L2596" s="19">
        <v>2025</v>
      </c>
      <c r="M2596" s="20">
        <v>1</v>
      </c>
      <c r="N2596" s="19" t="s">
        <v>1798</v>
      </c>
      <c r="O2596" s="20">
        <v>0</v>
      </c>
      <c r="P2596" s="20">
        <v>0</v>
      </c>
      <c r="Q2596" s="20">
        <v>0</v>
      </c>
      <c r="R2596" s="21">
        <v>0.92</v>
      </c>
      <c r="S2596" s="20">
        <v>0</v>
      </c>
    </row>
    <row r="2597" spans="2:19" ht="15" customHeight="1" x14ac:dyDescent="0.25">
      <c r="B2597" s="2" t="str">
        <f t="shared" si="80"/>
        <v>PGL_Business_Small/Mid-Size Business_Rebates_Pipe Insulation_Steam X-Large Valve_CI</v>
      </c>
      <c r="C2597" s="2" t="str">
        <f t="shared" si="81"/>
        <v>PGL_Business_Small/Mid-Size Business_Rebates_Pipe Insulation_Steam X-Large Valve_CI_2022</v>
      </c>
      <c r="D2597" s="19" t="s">
        <v>1794</v>
      </c>
      <c r="E2597" s="19" t="s">
        <v>3</v>
      </c>
      <c r="F2597" s="19" t="s">
        <v>1432</v>
      </c>
      <c r="G2597" s="19" t="s">
        <v>1429</v>
      </c>
      <c r="H2597" s="19" t="s">
        <v>404</v>
      </c>
      <c r="I2597" s="19" t="s">
        <v>968</v>
      </c>
      <c r="J2597" s="19">
        <v>0</v>
      </c>
      <c r="K2597" s="19" t="s">
        <v>1159</v>
      </c>
      <c r="L2597" s="19">
        <v>2022</v>
      </c>
      <c r="M2597" s="20">
        <v>1</v>
      </c>
      <c r="N2597" s="19" t="s">
        <v>1798</v>
      </c>
      <c r="O2597" s="20">
        <v>0</v>
      </c>
      <c r="P2597" s="20">
        <v>0</v>
      </c>
      <c r="Q2597" s="20">
        <v>0</v>
      </c>
      <c r="R2597" s="21">
        <v>0.92</v>
      </c>
      <c r="S2597" s="20">
        <v>0</v>
      </c>
    </row>
    <row r="2598" spans="2:19" ht="15" customHeight="1" x14ac:dyDescent="0.25">
      <c r="B2598" s="2" t="str">
        <f t="shared" si="80"/>
        <v>PGL_Business_Small/Mid-Size Business_Rebates_Pipe Insulation_Steam X-Large Valve_CI</v>
      </c>
      <c r="C2598" s="2" t="str">
        <f t="shared" si="81"/>
        <v>PGL_Business_Small/Mid-Size Business_Rebates_Pipe Insulation_Steam X-Large Valve_CI_2023</v>
      </c>
      <c r="D2598" s="19" t="s">
        <v>1794</v>
      </c>
      <c r="E2598" s="19" t="s">
        <v>3</v>
      </c>
      <c r="F2598" s="19" t="s">
        <v>1432</v>
      </c>
      <c r="G2598" s="19" t="s">
        <v>1429</v>
      </c>
      <c r="H2598" s="19" t="s">
        <v>404</v>
      </c>
      <c r="I2598" s="19" t="s">
        <v>968</v>
      </c>
      <c r="J2598" s="19">
        <v>0</v>
      </c>
      <c r="K2598" s="19" t="s">
        <v>1159</v>
      </c>
      <c r="L2598" s="19">
        <v>2023</v>
      </c>
      <c r="M2598" s="20">
        <v>1</v>
      </c>
      <c r="N2598" s="19" t="s">
        <v>1798</v>
      </c>
      <c r="O2598" s="20">
        <v>0</v>
      </c>
      <c r="P2598" s="20">
        <v>0</v>
      </c>
      <c r="Q2598" s="20">
        <v>0</v>
      </c>
      <c r="R2598" s="21">
        <v>0.92</v>
      </c>
      <c r="S2598" s="20">
        <v>0</v>
      </c>
    </row>
    <row r="2599" spans="2:19" ht="15" customHeight="1" x14ac:dyDescent="0.25">
      <c r="B2599" s="2" t="str">
        <f t="shared" si="80"/>
        <v>PGL_Business_Small/Mid-Size Business_Rebates_Pipe Insulation_Steam X-Large Valve_CI</v>
      </c>
      <c r="C2599" s="2" t="str">
        <f t="shared" si="81"/>
        <v>PGL_Business_Small/Mid-Size Business_Rebates_Pipe Insulation_Steam X-Large Valve_CI_2024</v>
      </c>
      <c r="D2599" s="19" t="s">
        <v>1794</v>
      </c>
      <c r="E2599" s="19" t="s">
        <v>3</v>
      </c>
      <c r="F2599" s="19" t="s">
        <v>1432</v>
      </c>
      <c r="G2599" s="19" t="s">
        <v>1429</v>
      </c>
      <c r="H2599" s="19" t="s">
        <v>404</v>
      </c>
      <c r="I2599" s="19" t="s">
        <v>968</v>
      </c>
      <c r="J2599" s="19">
        <v>0</v>
      </c>
      <c r="K2599" s="19" t="s">
        <v>1159</v>
      </c>
      <c r="L2599" s="19">
        <v>2024</v>
      </c>
      <c r="M2599" s="20">
        <v>1</v>
      </c>
      <c r="N2599" s="19" t="s">
        <v>1798</v>
      </c>
      <c r="O2599" s="20">
        <v>0</v>
      </c>
      <c r="P2599" s="20">
        <v>0</v>
      </c>
      <c r="Q2599" s="20">
        <v>0</v>
      </c>
      <c r="R2599" s="21">
        <v>0.92</v>
      </c>
      <c r="S2599" s="20">
        <v>0</v>
      </c>
    </row>
    <row r="2600" spans="2:19" ht="15" customHeight="1" x14ac:dyDescent="0.25">
      <c r="B2600" s="2" t="str">
        <f t="shared" si="80"/>
        <v>PGL_Business_Small/Mid-Size Business_Rebates_Pipe Insulation_Steam X-Large Valve_CI</v>
      </c>
      <c r="C2600" s="2" t="str">
        <f t="shared" si="81"/>
        <v>PGL_Business_Small/Mid-Size Business_Rebates_Pipe Insulation_Steam X-Large Valve_CI_2025</v>
      </c>
      <c r="D2600" s="19" t="s">
        <v>1794</v>
      </c>
      <c r="E2600" s="19" t="s">
        <v>3</v>
      </c>
      <c r="F2600" s="19" t="s">
        <v>1432</v>
      </c>
      <c r="G2600" s="19" t="s">
        <v>1429</v>
      </c>
      <c r="H2600" s="19" t="s">
        <v>404</v>
      </c>
      <c r="I2600" s="19" t="s">
        <v>968</v>
      </c>
      <c r="J2600" s="19">
        <v>0</v>
      </c>
      <c r="K2600" s="19" t="s">
        <v>1159</v>
      </c>
      <c r="L2600" s="19">
        <v>2025</v>
      </c>
      <c r="M2600" s="20">
        <v>1</v>
      </c>
      <c r="N2600" s="19" t="s">
        <v>1798</v>
      </c>
      <c r="O2600" s="20">
        <v>0</v>
      </c>
      <c r="P2600" s="20">
        <v>0</v>
      </c>
      <c r="Q2600" s="20">
        <v>0</v>
      </c>
      <c r="R2600" s="21">
        <v>0.92</v>
      </c>
      <c r="S2600" s="20">
        <v>0</v>
      </c>
    </row>
    <row r="2601" spans="2:19" ht="15" customHeight="1" x14ac:dyDescent="0.25">
      <c r="B2601" s="2" t="str">
        <f t="shared" si="80"/>
        <v>PGL_Business_Small/Mid-Size Business_Rebates_Pre-Rinse Sprayer_0_SMB</v>
      </c>
      <c r="C2601" s="2" t="str">
        <f t="shared" si="81"/>
        <v>PGL_Business_Small/Mid-Size Business_Rebates_Pre-Rinse Sprayer_0_SMB_2022</v>
      </c>
      <c r="D2601" s="19" t="s">
        <v>1794</v>
      </c>
      <c r="E2601" s="19" t="s">
        <v>3</v>
      </c>
      <c r="F2601" s="19" t="s">
        <v>1432</v>
      </c>
      <c r="G2601" s="19" t="s">
        <v>1429</v>
      </c>
      <c r="H2601" s="19" t="s">
        <v>1219</v>
      </c>
      <c r="I2601" s="19">
        <v>0</v>
      </c>
      <c r="J2601" s="19" t="s">
        <v>43</v>
      </c>
      <c r="K2601" s="19" t="s">
        <v>1220</v>
      </c>
      <c r="L2601" s="19">
        <v>2022</v>
      </c>
      <c r="M2601" s="20">
        <v>1</v>
      </c>
      <c r="N2601" s="19" t="s">
        <v>1798</v>
      </c>
      <c r="O2601" s="20">
        <v>0</v>
      </c>
      <c r="P2601" s="20">
        <v>0</v>
      </c>
      <c r="Q2601" s="20">
        <v>0</v>
      </c>
      <c r="R2601" s="21">
        <v>0.92</v>
      </c>
      <c r="S2601" s="20">
        <v>0</v>
      </c>
    </row>
    <row r="2602" spans="2:19" ht="15" customHeight="1" x14ac:dyDescent="0.25">
      <c r="B2602" s="2" t="str">
        <f t="shared" si="80"/>
        <v>PGL_Business_Small/Mid-Size Business_Rebates_Pre-Rinse Sprayer_0_SMB</v>
      </c>
      <c r="C2602" s="2" t="str">
        <f t="shared" si="81"/>
        <v>PGL_Business_Small/Mid-Size Business_Rebates_Pre-Rinse Sprayer_0_SMB_2023</v>
      </c>
      <c r="D2602" s="19" t="s">
        <v>1794</v>
      </c>
      <c r="E2602" s="19" t="s">
        <v>3</v>
      </c>
      <c r="F2602" s="19" t="s">
        <v>1432</v>
      </c>
      <c r="G2602" s="19" t="s">
        <v>1429</v>
      </c>
      <c r="H2602" s="19" t="s">
        <v>1219</v>
      </c>
      <c r="I2602" s="19">
        <v>0</v>
      </c>
      <c r="J2602" s="19" t="s">
        <v>43</v>
      </c>
      <c r="K2602" s="19" t="s">
        <v>1220</v>
      </c>
      <c r="L2602" s="19">
        <v>2023</v>
      </c>
      <c r="M2602" s="20">
        <v>1</v>
      </c>
      <c r="N2602" s="19" t="s">
        <v>1798</v>
      </c>
      <c r="O2602" s="20">
        <v>0</v>
      </c>
      <c r="P2602" s="20">
        <v>0</v>
      </c>
      <c r="Q2602" s="20">
        <v>0</v>
      </c>
      <c r="R2602" s="21">
        <v>0.92</v>
      </c>
      <c r="S2602" s="20">
        <v>0</v>
      </c>
    </row>
    <row r="2603" spans="2:19" ht="15" customHeight="1" x14ac:dyDescent="0.25">
      <c r="B2603" s="2" t="str">
        <f t="shared" si="80"/>
        <v>PGL_Business_Small/Mid-Size Business_Rebates_Pre-Rinse Sprayer_0_SMB</v>
      </c>
      <c r="C2603" s="2" t="str">
        <f t="shared" si="81"/>
        <v>PGL_Business_Small/Mid-Size Business_Rebates_Pre-Rinse Sprayer_0_SMB_2024</v>
      </c>
      <c r="D2603" s="19" t="s">
        <v>1794</v>
      </c>
      <c r="E2603" s="19" t="s">
        <v>3</v>
      </c>
      <c r="F2603" s="19" t="s">
        <v>1432</v>
      </c>
      <c r="G2603" s="19" t="s">
        <v>1429</v>
      </c>
      <c r="H2603" s="19" t="s">
        <v>1219</v>
      </c>
      <c r="I2603" s="19">
        <v>0</v>
      </c>
      <c r="J2603" s="19" t="s">
        <v>43</v>
      </c>
      <c r="K2603" s="19" t="s">
        <v>1220</v>
      </c>
      <c r="L2603" s="19">
        <v>2024</v>
      </c>
      <c r="M2603" s="20">
        <v>1</v>
      </c>
      <c r="N2603" s="19" t="s">
        <v>1798</v>
      </c>
      <c r="O2603" s="20">
        <v>0</v>
      </c>
      <c r="P2603" s="20">
        <v>0</v>
      </c>
      <c r="Q2603" s="20">
        <v>0</v>
      </c>
      <c r="R2603" s="21">
        <v>0.92</v>
      </c>
      <c r="S2603" s="20">
        <v>0</v>
      </c>
    </row>
    <row r="2604" spans="2:19" ht="15" customHeight="1" x14ac:dyDescent="0.25">
      <c r="B2604" s="2" t="str">
        <f t="shared" si="80"/>
        <v>PGL_Business_Small/Mid-Size Business_Rebates_Pre-Rinse Sprayer_0_SMB</v>
      </c>
      <c r="C2604" s="2" t="str">
        <f t="shared" si="81"/>
        <v>PGL_Business_Small/Mid-Size Business_Rebates_Pre-Rinse Sprayer_0_SMB_2025</v>
      </c>
      <c r="D2604" s="19" t="s">
        <v>1794</v>
      </c>
      <c r="E2604" s="19" t="s">
        <v>3</v>
      </c>
      <c r="F2604" s="19" t="s">
        <v>1432</v>
      </c>
      <c r="G2604" s="19" t="s">
        <v>1429</v>
      </c>
      <c r="H2604" s="19" t="s">
        <v>1219</v>
      </c>
      <c r="I2604" s="19">
        <v>0</v>
      </c>
      <c r="J2604" s="19" t="s">
        <v>43</v>
      </c>
      <c r="K2604" s="19" t="s">
        <v>1220</v>
      </c>
      <c r="L2604" s="19">
        <v>2025</v>
      </c>
      <c r="M2604" s="20">
        <v>1</v>
      </c>
      <c r="N2604" s="19" t="s">
        <v>1798</v>
      </c>
      <c r="O2604" s="20">
        <v>0</v>
      </c>
      <c r="P2604" s="20">
        <v>0</v>
      </c>
      <c r="Q2604" s="20">
        <v>0</v>
      </c>
      <c r="R2604" s="21">
        <v>0.92</v>
      </c>
      <c r="S2604" s="20">
        <v>0</v>
      </c>
    </row>
    <row r="2605" spans="2:19" ht="15" customHeight="1" x14ac:dyDescent="0.25">
      <c r="B2605" s="2" t="str">
        <f t="shared" si="80"/>
        <v>PGL_Business_Small/Mid-Size Business_Rebates_Steam Boiler_&gt;=300MBH, &lt;1,500, &gt;=81% AFUE_CI</v>
      </c>
      <c r="C2605" s="2" t="str">
        <f t="shared" si="81"/>
        <v>PGL_Business_Small/Mid-Size Business_Rebates_Steam Boiler_&gt;=300MBH, &lt;1,500, &gt;=81% AFUE_CI_2022</v>
      </c>
      <c r="D2605" s="19" t="s">
        <v>1794</v>
      </c>
      <c r="E2605" s="19" t="s">
        <v>3</v>
      </c>
      <c r="F2605" s="19" t="s">
        <v>1432</v>
      </c>
      <c r="G2605" s="19" t="s">
        <v>1429</v>
      </c>
      <c r="H2605" s="19" t="s">
        <v>938</v>
      </c>
      <c r="I2605" s="19" t="s">
        <v>1300</v>
      </c>
      <c r="J2605" s="19" t="s">
        <v>942</v>
      </c>
      <c r="K2605" s="19" t="s">
        <v>1159</v>
      </c>
      <c r="L2605" s="19">
        <v>2022</v>
      </c>
      <c r="M2605" s="20">
        <v>500</v>
      </c>
      <c r="N2605" s="19" t="s">
        <v>667</v>
      </c>
      <c r="O2605" s="20">
        <v>25</v>
      </c>
      <c r="P2605" s="20">
        <v>12500</v>
      </c>
      <c r="Q2605" s="20">
        <v>8326.2948717948511</v>
      </c>
      <c r="R2605" s="21">
        <v>0.92</v>
      </c>
      <c r="S2605" s="20">
        <v>8326.2948717948511</v>
      </c>
    </row>
    <row r="2606" spans="2:19" ht="15" customHeight="1" x14ac:dyDescent="0.25">
      <c r="B2606" s="2" t="str">
        <f t="shared" si="80"/>
        <v>PGL_Business_Small/Mid-Size Business_Rebates_Steam Boiler_&gt;=300MBH, &lt;1,500, &gt;=81% AFUE_CI</v>
      </c>
      <c r="C2606" s="2" t="str">
        <f t="shared" si="81"/>
        <v>PGL_Business_Small/Mid-Size Business_Rebates_Steam Boiler_&gt;=300MBH, &lt;1,500, &gt;=81% AFUE_CI_2023</v>
      </c>
      <c r="D2606" s="19" t="s">
        <v>1794</v>
      </c>
      <c r="E2606" s="19" t="s">
        <v>3</v>
      </c>
      <c r="F2606" s="19" t="s">
        <v>1432</v>
      </c>
      <c r="G2606" s="19" t="s">
        <v>1429</v>
      </c>
      <c r="H2606" s="19" t="s">
        <v>938</v>
      </c>
      <c r="I2606" s="19" t="s">
        <v>1300</v>
      </c>
      <c r="J2606" s="19" t="s">
        <v>942</v>
      </c>
      <c r="K2606" s="19" t="s">
        <v>1159</v>
      </c>
      <c r="L2606" s="19">
        <v>2023</v>
      </c>
      <c r="M2606" s="20">
        <v>500</v>
      </c>
      <c r="N2606" s="19" t="s">
        <v>667</v>
      </c>
      <c r="O2606" s="20">
        <v>24</v>
      </c>
      <c r="P2606" s="20">
        <v>12000</v>
      </c>
      <c r="Q2606" s="20">
        <v>7993.2430769230568</v>
      </c>
      <c r="R2606" s="21">
        <v>0.92</v>
      </c>
      <c r="S2606" s="20">
        <v>7993.2430769230568</v>
      </c>
    </row>
    <row r="2607" spans="2:19" ht="15" customHeight="1" x14ac:dyDescent="0.25">
      <c r="B2607" s="2" t="str">
        <f t="shared" si="80"/>
        <v>PGL_Business_Small/Mid-Size Business_Rebates_Steam Boiler_&gt;=300MBH, &lt;1,500, &gt;=81% AFUE_CI</v>
      </c>
      <c r="C2607" s="2" t="str">
        <f t="shared" si="81"/>
        <v>PGL_Business_Small/Mid-Size Business_Rebates_Steam Boiler_&gt;=300MBH, &lt;1,500, &gt;=81% AFUE_CI_2024</v>
      </c>
      <c r="D2607" s="19" t="s">
        <v>1794</v>
      </c>
      <c r="E2607" s="19" t="s">
        <v>3</v>
      </c>
      <c r="F2607" s="19" t="s">
        <v>1432</v>
      </c>
      <c r="G2607" s="19" t="s">
        <v>1429</v>
      </c>
      <c r="H2607" s="19" t="s">
        <v>938</v>
      </c>
      <c r="I2607" s="19" t="s">
        <v>1300</v>
      </c>
      <c r="J2607" s="19" t="s">
        <v>942</v>
      </c>
      <c r="K2607" s="19" t="s">
        <v>1159</v>
      </c>
      <c r="L2607" s="19">
        <v>2024</v>
      </c>
      <c r="M2607" s="20">
        <v>500</v>
      </c>
      <c r="N2607" s="19" t="s">
        <v>667</v>
      </c>
      <c r="O2607" s="20">
        <v>21</v>
      </c>
      <c r="P2607" s="20">
        <v>10500</v>
      </c>
      <c r="Q2607" s="20">
        <v>6994.0876923076748</v>
      </c>
      <c r="R2607" s="21">
        <v>0.92</v>
      </c>
      <c r="S2607" s="20">
        <v>6994.0876923076748</v>
      </c>
    </row>
    <row r="2608" spans="2:19" ht="15" customHeight="1" x14ac:dyDescent="0.25">
      <c r="B2608" s="2" t="str">
        <f t="shared" si="80"/>
        <v>PGL_Business_Small/Mid-Size Business_Rebates_Steam Boiler_&gt;=300MBH, &lt;1,500, &gt;=81% AFUE_CI</v>
      </c>
      <c r="C2608" s="2" t="str">
        <f t="shared" si="81"/>
        <v>PGL_Business_Small/Mid-Size Business_Rebates_Steam Boiler_&gt;=300MBH, &lt;1,500, &gt;=81% AFUE_CI_2025</v>
      </c>
      <c r="D2608" s="19" t="s">
        <v>1794</v>
      </c>
      <c r="E2608" s="19" t="s">
        <v>3</v>
      </c>
      <c r="F2608" s="19" t="s">
        <v>1432</v>
      </c>
      <c r="G2608" s="19" t="s">
        <v>1429</v>
      </c>
      <c r="H2608" s="19" t="s">
        <v>938</v>
      </c>
      <c r="I2608" s="19" t="s">
        <v>1300</v>
      </c>
      <c r="J2608" s="19" t="s">
        <v>942</v>
      </c>
      <c r="K2608" s="19" t="s">
        <v>1159</v>
      </c>
      <c r="L2608" s="19">
        <v>2025</v>
      </c>
      <c r="M2608" s="20">
        <v>500</v>
      </c>
      <c r="N2608" s="19" t="s">
        <v>667</v>
      </c>
      <c r="O2608" s="20">
        <v>20</v>
      </c>
      <c r="P2608" s="20">
        <v>10000</v>
      </c>
      <c r="Q2608" s="20">
        <v>6661.0358974358805</v>
      </c>
      <c r="R2608" s="21">
        <v>0.92</v>
      </c>
      <c r="S2608" s="20">
        <v>6661.0358974358805</v>
      </c>
    </row>
    <row r="2609" spans="2:19" ht="15" customHeight="1" x14ac:dyDescent="0.25">
      <c r="B2609" s="2" t="str">
        <f t="shared" si="80"/>
        <v>PGL_Business_Small/Mid-Size Business_Rebates_Steam Traps_Dry Cleaner/Industrial - No Audit_MF/CI/SMB</v>
      </c>
      <c r="C2609" s="2" t="str">
        <f t="shared" si="81"/>
        <v>PGL_Business_Small/Mid-Size Business_Rebates_Steam Traps_Dry Cleaner/Industrial - No Audit_MF/CI/SMB_2022</v>
      </c>
      <c r="D2609" s="19" t="s">
        <v>1794</v>
      </c>
      <c r="E2609" s="19" t="s">
        <v>3</v>
      </c>
      <c r="F2609" s="19" t="s">
        <v>1432</v>
      </c>
      <c r="G2609" s="19" t="s">
        <v>1429</v>
      </c>
      <c r="H2609" s="19" t="s">
        <v>644</v>
      </c>
      <c r="I2609" s="19" t="s">
        <v>1274</v>
      </c>
      <c r="J2609" s="19" t="s">
        <v>37</v>
      </c>
      <c r="K2609" s="19" t="s">
        <v>662</v>
      </c>
      <c r="L2609" s="19">
        <v>2022</v>
      </c>
      <c r="M2609" s="20">
        <v>1</v>
      </c>
      <c r="N2609" s="19" t="s">
        <v>1798</v>
      </c>
      <c r="O2609" s="20">
        <v>0</v>
      </c>
      <c r="P2609" s="20">
        <v>0</v>
      </c>
      <c r="Q2609" s="20">
        <v>0</v>
      </c>
      <c r="R2609" s="21">
        <v>0.92</v>
      </c>
      <c r="S2609" s="20">
        <v>0</v>
      </c>
    </row>
    <row r="2610" spans="2:19" ht="15" customHeight="1" x14ac:dyDescent="0.25">
      <c r="B2610" s="2" t="str">
        <f t="shared" si="80"/>
        <v>PGL_Business_Small/Mid-Size Business_Rebates_Steam Traps_Dry Cleaner/Industrial - No Audit_MF/CI/SMB</v>
      </c>
      <c r="C2610" s="2" t="str">
        <f t="shared" si="81"/>
        <v>PGL_Business_Small/Mid-Size Business_Rebates_Steam Traps_Dry Cleaner/Industrial - No Audit_MF/CI/SMB_2023</v>
      </c>
      <c r="D2610" s="19" t="s">
        <v>1794</v>
      </c>
      <c r="E2610" s="19" t="s">
        <v>3</v>
      </c>
      <c r="F2610" s="19" t="s">
        <v>1432</v>
      </c>
      <c r="G2610" s="19" t="s">
        <v>1429</v>
      </c>
      <c r="H2610" s="19" t="s">
        <v>644</v>
      </c>
      <c r="I2610" s="19" t="s">
        <v>1274</v>
      </c>
      <c r="J2610" s="19" t="s">
        <v>37</v>
      </c>
      <c r="K2610" s="19" t="s">
        <v>662</v>
      </c>
      <c r="L2610" s="19">
        <v>2023</v>
      </c>
      <c r="M2610" s="20">
        <v>1</v>
      </c>
      <c r="N2610" s="19" t="s">
        <v>1798</v>
      </c>
      <c r="O2610" s="20">
        <v>0</v>
      </c>
      <c r="P2610" s="20">
        <v>0</v>
      </c>
      <c r="Q2610" s="20">
        <v>0</v>
      </c>
      <c r="R2610" s="21">
        <v>0.92</v>
      </c>
      <c r="S2610" s="20">
        <v>0</v>
      </c>
    </row>
    <row r="2611" spans="2:19" ht="15" customHeight="1" x14ac:dyDescent="0.25">
      <c r="B2611" s="2" t="str">
        <f t="shared" si="80"/>
        <v>PGL_Business_Small/Mid-Size Business_Rebates_Steam Traps_Dry Cleaner/Industrial - No Audit_MF/CI/SMB</v>
      </c>
      <c r="C2611" s="2" t="str">
        <f t="shared" si="81"/>
        <v>PGL_Business_Small/Mid-Size Business_Rebates_Steam Traps_Dry Cleaner/Industrial - No Audit_MF/CI/SMB_2024</v>
      </c>
      <c r="D2611" s="19" t="s">
        <v>1794</v>
      </c>
      <c r="E2611" s="19" t="s">
        <v>3</v>
      </c>
      <c r="F2611" s="19" t="s">
        <v>1432</v>
      </c>
      <c r="G2611" s="19" t="s">
        <v>1429</v>
      </c>
      <c r="H2611" s="19" t="s">
        <v>644</v>
      </c>
      <c r="I2611" s="19" t="s">
        <v>1274</v>
      </c>
      <c r="J2611" s="19" t="s">
        <v>37</v>
      </c>
      <c r="K2611" s="19" t="s">
        <v>662</v>
      </c>
      <c r="L2611" s="19">
        <v>2024</v>
      </c>
      <c r="M2611" s="20">
        <v>1</v>
      </c>
      <c r="N2611" s="19" t="s">
        <v>1798</v>
      </c>
      <c r="O2611" s="20">
        <v>0</v>
      </c>
      <c r="P2611" s="20">
        <v>0</v>
      </c>
      <c r="Q2611" s="20">
        <v>0</v>
      </c>
      <c r="R2611" s="21">
        <v>0.92</v>
      </c>
      <c r="S2611" s="20">
        <v>0</v>
      </c>
    </row>
    <row r="2612" spans="2:19" ht="15" customHeight="1" x14ac:dyDescent="0.25">
      <c r="B2612" s="2" t="str">
        <f t="shared" si="80"/>
        <v>PGL_Business_Small/Mid-Size Business_Rebates_Steam Traps_Dry Cleaner/Industrial - No Audit_MF/CI/SMB</v>
      </c>
      <c r="C2612" s="2" t="str">
        <f t="shared" si="81"/>
        <v>PGL_Business_Small/Mid-Size Business_Rebates_Steam Traps_Dry Cleaner/Industrial - No Audit_MF/CI/SMB_2025</v>
      </c>
      <c r="D2612" s="19" t="s">
        <v>1794</v>
      </c>
      <c r="E2612" s="19" t="s">
        <v>3</v>
      </c>
      <c r="F2612" s="19" t="s">
        <v>1432</v>
      </c>
      <c r="G2612" s="19" t="s">
        <v>1429</v>
      </c>
      <c r="H2612" s="19" t="s">
        <v>644</v>
      </c>
      <c r="I2612" s="19" t="s">
        <v>1274</v>
      </c>
      <c r="J2612" s="19" t="s">
        <v>37</v>
      </c>
      <c r="K2612" s="19" t="s">
        <v>662</v>
      </c>
      <c r="L2612" s="19">
        <v>2025</v>
      </c>
      <c r="M2612" s="20">
        <v>1</v>
      </c>
      <c r="N2612" s="19" t="s">
        <v>1798</v>
      </c>
      <c r="O2612" s="20">
        <v>0</v>
      </c>
      <c r="P2612" s="20">
        <v>0</v>
      </c>
      <c r="Q2612" s="20">
        <v>0</v>
      </c>
      <c r="R2612" s="21">
        <v>0.92</v>
      </c>
      <c r="S2612" s="20">
        <v>0</v>
      </c>
    </row>
    <row r="2613" spans="2:19" ht="15" customHeight="1" x14ac:dyDescent="0.25">
      <c r="B2613" s="2" t="str">
        <f t="shared" si="80"/>
        <v>PGL_Business_Small/Mid-Size Business_Rebates_Steam Traps_Dry Cleaner/Industrial - Audit_MF/CI/SMB</v>
      </c>
      <c r="C2613" s="2" t="str">
        <f t="shared" si="81"/>
        <v>PGL_Business_Small/Mid-Size Business_Rebates_Steam Traps_Dry Cleaner/Industrial - Audit_MF/CI/SMB_2022</v>
      </c>
      <c r="D2613" s="19" t="s">
        <v>1794</v>
      </c>
      <c r="E2613" s="19" t="s">
        <v>3</v>
      </c>
      <c r="F2613" s="19" t="s">
        <v>1432</v>
      </c>
      <c r="G2613" s="19" t="s">
        <v>1429</v>
      </c>
      <c r="H2613" s="19" t="s">
        <v>644</v>
      </c>
      <c r="I2613" s="19" t="s">
        <v>1275</v>
      </c>
      <c r="J2613" s="19" t="s">
        <v>37</v>
      </c>
      <c r="K2613" s="19" t="s">
        <v>662</v>
      </c>
      <c r="L2613" s="19">
        <v>2022</v>
      </c>
      <c r="M2613" s="20">
        <v>1</v>
      </c>
      <c r="N2613" s="19" t="s">
        <v>1798</v>
      </c>
      <c r="O2613" s="20">
        <v>0</v>
      </c>
      <c r="P2613" s="20">
        <v>0</v>
      </c>
      <c r="Q2613" s="20">
        <v>0</v>
      </c>
      <c r="R2613" s="21">
        <v>0.92</v>
      </c>
      <c r="S2613" s="20">
        <v>0</v>
      </c>
    </row>
    <row r="2614" spans="2:19" ht="15" customHeight="1" x14ac:dyDescent="0.25">
      <c r="B2614" s="2" t="str">
        <f t="shared" si="80"/>
        <v>PGL_Business_Small/Mid-Size Business_Rebates_Steam Traps_Dry Cleaner/Industrial - Audit_MF/CI/SMB</v>
      </c>
      <c r="C2614" s="2" t="str">
        <f t="shared" si="81"/>
        <v>PGL_Business_Small/Mid-Size Business_Rebates_Steam Traps_Dry Cleaner/Industrial - Audit_MF/CI/SMB_2023</v>
      </c>
      <c r="D2614" s="19" t="s">
        <v>1794</v>
      </c>
      <c r="E2614" s="19" t="s">
        <v>3</v>
      </c>
      <c r="F2614" s="19" t="s">
        <v>1432</v>
      </c>
      <c r="G2614" s="19" t="s">
        <v>1429</v>
      </c>
      <c r="H2614" s="19" t="s">
        <v>644</v>
      </c>
      <c r="I2614" s="19" t="s">
        <v>1275</v>
      </c>
      <c r="J2614" s="19" t="s">
        <v>37</v>
      </c>
      <c r="K2614" s="19" t="s">
        <v>662</v>
      </c>
      <c r="L2614" s="19">
        <v>2023</v>
      </c>
      <c r="M2614" s="20">
        <v>1</v>
      </c>
      <c r="N2614" s="19" t="s">
        <v>1798</v>
      </c>
      <c r="O2614" s="20">
        <v>0</v>
      </c>
      <c r="P2614" s="20">
        <v>0</v>
      </c>
      <c r="Q2614" s="20">
        <v>0</v>
      </c>
      <c r="R2614" s="21">
        <v>0.92</v>
      </c>
      <c r="S2614" s="20">
        <v>0</v>
      </c>
    </row>
    <row r="2615" spans="2:19" ht="15" customHeight="1" x14ac:dyDescent="0.25">
      <c r="B2615" s="2" t="str">
        <f t="shared" si="80"/>
        <v>PGL_Business_Small/Mid-Size Business_Rebates_Steam Traps_Dry Cleaner/Industrial - Audit_MF/CI/SMB</v>
      </c>
      <c r="C2615" s="2" t="str">
        <f t="shared" si="81"/>
        <v>PGL_Business_Small/Mid-Size Business_Rebates_Steam Traps_Dry Cleaner/Industrial - Audit_MF/CI/SMB_2024</v>
      </c>
      <c r="D2615" s="19" t="s">
        <v>1794</v>
      </c>
      <c r="E2615" s="19" t="s">
        <v>3</v>
      </c>
      <c r="F2615" s="19" t="s">
        <v>1432</v>
      </c>
      <c r="G2615" s="19" t="s">
        <v>1429</v>
      </c>
      <c r="H2615" s="19" t="s">
        <v>644</v>
      </c>
      <c r="I2615" s="19" t="s">
        <v>1275</v>
      </c>
      <c r="J2615" s="19" t="s">
        <v>37</v>
      </c>
      <c r="K2615" s="19" t="s">
        <v>662</v>
      </c>
      <c r="L2615" s="19">
        <v>2024</v>
      </c>
      <c r="M2615" s="20">
        <v>1</v>
      </c>
      <c r="N2615" s="19" t="s">
        <v>1798</v>
      </c>
      <c r="O2615" s="20">
        <v>0</v>
      </c>
      <c r="P2615" s="20">
        <v>0</v>
      </c>
      <c r="Q2615" s="20">
        <v>0</v>
      </c>
      <c r="R2615" s="21">
        <v>0.92</v>
      </c>
      <c r="S2615" s="20">
        <v>0</v>
      </c>
    </row>
    <row r="2616" spans="2:19" ht="15" customHeight="1" x14ac:dyDescent="0.25">
      <c r="B2616" s="2" t="str">
        <f t="shared" si="80"/>
        <v>PGL_Business_Small/Mid-Size Business_Rebates_Steam Traps_Dry Cleaner/Industrial - Audit_MF/CI/SMB</v>
      </c>
      <c r="C2616" s="2" t="str">
        <f t="shared" si="81"/>
        <v>PGL_Business_Small/Mid-Size Business_Rebates_Steam Traps_Dry Cleaner/Industrial - Audit_MF/CI/SMB_2025</v>
      </c>
      <c r="D2616" s="19" t="s">
        <v>1794</v>
      </c>
      <c r="E2616" s="19" t="s">
        <v>3</v>
      </c>
      <c r="F2616" s="19" t="s">
        <v>1432</v>
      </c>
      <c r="G2616" s="19" t="s">
        <v>1429</v>
      </c>
      <c r="H2616" s="19" t="s">
        <v>644</v>
      </c>
      <c r="I2616" s="19" t="s">
        <v>1275</v>
      </c>
      <c r="J2616" s="19" t="s">
        <v>37</v>
      </c>
      <c r="K2616" s="19" t="s">
        <v>662</v>
      </c>
      <c r="L2616" s="19">
        <v>2025</v>
      </c>
      <c r="M2616" s="20">
        <v>1</v>
      </c>
      <c r="N2616" s="19" t="s">
        <v>1798</v>
      </c>
      <c r="O2616" s="20">
        <v>0</v>
      </c>
      <c r="P2616" s="20">
        <v>0</v>
      </c>
      <c r="Q2616" s="20">
        <v>0</v>
      </c>
      <c r="R2616" s="21">
        <v>0.92</v>
      </c>
      <c r="S2616" s="20">
        <v>0</v>
      </c>
    </row>
    <row r="2617" spans="2:19" ht="15" customHeight="1" x14ac:dyDescent="0.25">
      <c r="B2617" s="2" t="str">
        <f t="shared" si="80"/>
        <v>PGL_Business_Small/Mid-Size Business_Rebates_Steam Traps_HVAC Repair/Rep - Audit_CI</v>
      </c>
      <c r="C2617" s="2" t="str">
        <f t="shared" si="81"/>
        <v>PGL_Business_Small/Mid-Size Business_Rebates_Steam Traps_HVAC Repair/Rep - Audit_CI_2022</v>
      </c>
      <c r="D2617" s="19" t="s">
        <v>1794</v>
      </c>
      <c r="E2617" s="19" t="s">
        <v>3</v>
      </c>
      <c r="F2617" s="19" t="s">
        <v>1432</v>
      </c>
      <c r="G2617" s="19" t="s">
        <v>1429</v>
      </c>
      <c r="H2617" s="19" t="s">
        <v>644</v>
      </c>
      <c r="I2617" s="19" t="s">
        <v>645</v>
      </c>
      <c r="J2617" s="19" t="s">
        <v>37</v>
      </c>
      <c r="K2617" s="19" t="s">
        <v>1159</v>
      </c>
      <c r="L2617" s="19">
        <v>2022</v>
      </c>
      <c r="M2617" s="20">
        <v>1</v>
      </c>
      <c r="N2617" s="19" t="s">
        <v>1798</v>
      </c>
      <c r="O2617" s="20">
        <v>0</v>
      </c>
      <c r="P2617" s="20">
        <v>0</v>
      </c>
      <c r="Q2617" s="20">
        <v>0</v>
      </c>
      <c r="R2617" s="21">
        <v>0.92</v>
      </c>
      <c r="S2617" s="20">
        <v>0</v>
      </c>
    </row>
    <row r="2618" spans="2:19" ht="15" customHeight="1" x14ac:dyDescent="0.25">
      <c r="B2618" s="2" t="str">
        <f t="shared" si="80"/>
        <v>PGL_Business_Small/Mid-Size Business_Rebates_Steam Traps_HVAC Repair/Rep - Audit_CI</v>
      </c>
      <c r="C2618" s="2" t="str">
        <f t="shared" si="81"/>
        <v>PGL_Business_Small/Mid-Size Business_Rebates_Steam Traps_HVAC Repair/Rep - Audit_CI_2023</v>
      </c>
      <c r="D2618" s="19" t="s">
        <v>1794</v>
      </c>
      <c r="E2618" s="19" t="s">
        <v>3</v>
      </c>
      <c r="F2618" s="19" t="s">
        <v>1432</v>
      </c>
      <c r="G2618" s="19" t="s">
        <v>1429</v>
      </c>
      <c r="H2618" s="19" t="s">
        <v>644</v>
      </c>
      <c r="I2618" s="19" t="s">
        <v>645</v>
      </c>
      <c r="J2618" s="19" t="s">
        <v>37</v>
      </c>
      <c r="K2618" s="19" t="s">
        <v>1159</v>
      </c>
      <c r="L2618" s="19">
        <v>2023</v>
      </c>
      <c r="M2618" s="20">
        <v>1</v>
      </c>
      <c r="N2618" s="19" t="s">
        <v>1798</v>
      </c>
      <c r="O2618" s="20">
        <v>0</v>
      </c>
      <c r="P2618" s="20">
        <v>0</v>
      </c>
      <c r="Q2618" s="20">
        <v>0</v>
      </c>
      <c r="R2618" s="21">
        <v>0.92</v>
      </c>
      <c r="S2618" s="20">
        <v>0</v>
      </c>
    </row>
    <row r="2619" spans="2:19" ht="15" customHeight="1" x14ac:dyDescent="0.25">
      <c r="B2619" s="2" t="str">
        <f t="shared" si="80"/>
        <v>PGL_Business_Small/Mid-Size Business_Rebates_Steam Traps_HVAC Repair/Rep - Audit_CI</v>
      </c>
      <c r="C2619" s="2" t="str">
        <f t="shared" si="81"/>
        <v>PGL_Business_Small/Mid-Size Business_Rebates_Steam Traps_HVAC Repair/Rep - Audit_CI_2024</v>
      </c>
      <c r="D2619" s="19" t="s">
        <v>1794</v>
      </c>
      <c r="E2619" s="19" t="s">
        <v>3</v>
      </c>
      <c r="F2619" s="19" t="s">
        <v>1432</v>
      </c>
      <c r="G2619" s="19" t="s">
        <v>1429</v>
      </c>
      <c r="H2619" s="19" t="s">
        <v>644</v>
      </c>
      <c r="I2619" s="19" t="s">
        <v>645</v>
      </c>
      <c r="J2619" s="19" t="s">
        <v>37</v>
      </c>
      <c r="K2619" s="19" t="s">
        <v>1159</v>
      </c>
      <c r="L2619" s="19">
        <v>2024</v>
      </c>
      <c r="M2619" s="20">
        <v>1</v>
      </c>
      <c r="N2619" s="19" t="s">
        <v>1798</v>
      </c>
      <c r="O2619" s="20">
        <v>0</v>
      </c>
      <c r="P2619" s="20">
        <v>0</v>
      </c>
      <c r="Q2619" s="20">
        <v>0</v>
      </c>
      <c r="R2619" s="21">
        <v>0.92</v>
      </c>
      <c r="S2619" s="20">
        <v>0</v>
      </c>
    </row>
    <row r="2620" spans="2:19" ht="15" customHeight="1" x14ac:dyDescent="0.25">
      <c r="B2620" s="2" t="str">
        <f t="shared" si="80"/>
        <v>PGL_Business_Small/Mid-Size Business_Rebates_Steam Traps_HVAC Repair/Rep - Audit_CI</v>
      </c>
      <c r="C2620" s="2" t="str">
        <f t="shared" si="81"/>
        <v>PGL_Business_Small/Mid-Size Business_Rebates_Steam Traps_HVAC Repair/Rep - Audit_CI_2025</v>
      </c>
      <c r="D2620" s="19" t="s">
        <v>1794</v>
      </c>
      <c r="E2620" s="19" t="s">
        <v>3</v>
      </c>
      <c r="F2620" s="19" t="s">
        <v>1432</v>
      </c>
      <c r="G2620" s="19" t="s">
        <v>1429</v>
      </c>
      <c r="H2620" s="19" t="s">
        <v>644</v>
      </c>
      <c r="I2620" s="19" t="s">
        <v>645</v>
      </c>
      <c r="J2620" s="19" t="s">
        <v>37</v>
      </c>
      <c r="K2620" s="19" t="s">
        <v>1159</v>
      </c>
      <c r="L2620" s="19">
        <v>2025</v>
      </c>
      <c r="M2620" s="20">
        <v>1</v>
      </c>
      <c r="N2620" s="19" t="s">
        <v>1798</v>
      </c>
      <c r="O2620" s="20">
        <v>0</v>
      </c>
      <c r="P2620" s="20">
        <v>0</v>
      </c>
      <c r="Q2620" s="20">
        <v>0</v>
      </c>
      <c r="R2620" s="21">
        <v>0.92</v>
      </c>
      <c r="S2620" s="20">
        <v>0</v>
      </c>
    </row>
    <row r="2621" spans="2:19" ht="15" customHeight="1" x14ac:dyDescent="0.25">
      <c r="B2621" s="2" t="str">
        <f t="shared" si="80"/>
        <v>PGL_Business_Small/Mid-Size Business_Rebates_Steam Traps_HVAC Repair/Rep - No Audit_CI</v>
      </c>
      <c r="C2621" s="2" t="str">
        <f t="shared" si="81"/>
        <v>PGL_Business_Small/Mid-Size Business_Rebates_Steam Traps_HVAC Repair/Rep - No Audit_CI_2022</v>
      </c>
      <c r="D2621" s="19" t="s">
        <v>1794</v>
      </c>
      <c r="E2621" s="19" t="s">
        <v>3</v>
      </c>
      <c r="F2621" s="19" t="s">
        <v>1432</v>
      </c>
      <c r="G2621" s="19" t="s">
        <v>1429</v>
      </c>
      <c r="H2621" s="19" t="s">
        <v>644</v>
      </c>
      <c r="I2621" s="19" t="s">
        <v>660</v>
      </c>
      <c r="J2621" s="19" t="s">
        <v>37</v>
      </c>
      <c r="K2621" s="19" t="s">
        <v>1159</v>
      </c>
      <c r="L2621" s="19">
        <v>2022</v>
      </c>
      <c r="M2621" s="20">
        <v>1</v>
      </c>
      <c r="N2621" s="19" t="s">
        <v>1798</v>
      </c>
      <c r="O2621" s="20">
        <v>0</v>
      </c>
      <c r="P2621" s="20">
        <v>0</v>
      </c>
      <c r="Q2621" s="20">
        <v>0</v>
      </c>
      <c r="R2621" s="21">
        <v>0.92</v>
      </c>
      <c r="S2621" s="20">
        <v>0</v>
      </c>
    </row>
    <row r="2622" spans="2:19" ht="15" customHeight="1" x14ac:dyDescent="0.25">
      <c r="B2622" s="2" t="str">
        <f t="shared" si="80"/>
        <v>PGL_Business_Small/Mid-Size Business_Rebates_Steam Traps_HVAC Repair/Rep - No Audit_CI</v>
      </c>
      <c r="C2622" s="2" t="str">
        <f t="shared" si="81"/>
        <v>PGL_Business_Small/Mid-Size Business_Rebates_Steam Traps_HVAC Repair/Rep - No Audit_CI_2023</v>
      </c>
      <c r="D2622" s="19" t="s">
        <v>1794</v>
      </c>
      <c r="E2622" s="19" t="s">
        <v>3</v>
      </c>
      <c r="F2622" s="19" t="s">
        <v>1432</v>
      </c>
      <c r="G2622" s="19" t="s">
        <v>1429</v>
      </c>
      <c r="H2622" s="19" t="s">
        <v>644</v>
      </c>
      <c r="I2622" s="19" t="s">
        <v>660</v>
      </c>
      <c r="J2622" s="19" t="s">
        <v>37</v>
      </c>
      <c r="K2622" s="19" t="s">
        <v>1159</v>
      </c>
      <c r="L2622" s="19">
        <v>2023</v>
      </c>
      <c r="M2622" s="20">
        <v>1</v>
      </c>
      <c r="N2622" s="19" t="s">
        <v>1798</v>
      </c>
      <c r="O2622" s="20">
        <v>0</v>
      </c>
      <c r="P2622" s="20">
        <v>0</v>
      </c>
      <c r="Q2622" s="20">
        <v>0</v>
      </c>
      <c r="R2622" s="21">
        <v>0.92</v>
      </c>
      <c r="S2622" s="20">
        <v>0</v>
      </c>
    </row>
    <row r="2623" spans="2:19" ht="15" customHeight="1" x14ac:dyDescent="0.25">
      <c r="B2623" s="2" t="str">
        <f t="shared" si="80"/>
        <v>PGL_Business_Small/Mid-Size Business_Rebates_Steam Traps_HVAC Repair/Rep - No Audit_CI</v>
      </c>
      <c r="C2623" s="2" t="str">
        <f t="shared" si="81"/>
        <v>PGL_Business_Small/Mid-Size Business_Rebates_Steam Traps_HVAC Repair/Rep - No Audit_CI_2024</v>
      </c>
      <c r="D2623" s="19" t="s">
        <v>1794</v>
      </c>
      <c r="E2623" s="19" t="s">
        <v>3</v>
      </c>
      <c r="F2623" s="19" t="s">
        <v>1432</v>
      </c>
      <c r="G2623" s="19" t="s">
        <v>1429</v>
      </c>
      <c r="H2623" s="19" t="s">
        <v>644</v>
      </c>
      <c r="I2623" s="19" t="s">
        <v>660</v>
      </c>
      <c r="J2623" s="19" t="s">
        <v>37</v>
      </c>
      <c r="K2623" s="19" t="s">
        <v>1159</v>
      </c>
      <c r="L2623" s="19">
        <v>2024</v>
      </c>
      <c r="M2623" s="20">
        <v>1</v>
      </c>
      <c r="N2623" s="19" t="s">
        <v>1798</v>
      </c>
      <c r="O2623" s="20">
        <v>0</v>
      </c>
      <c r="P2623" s="20">
        <v>0</v>
      </c>
      <c r="Q2623" s="20">
        <v>0</v>
      </c>
      <c r="R2623" s="21">
        <v>0.92</v>
      </c>
      <c r="S2623" s="20">
        <v>0</v>
      </c>
    </row>
    <row r="2624" spans="2:19" ht="15" customHeight="1" x14ac:dyDescent="0.25">
      <c r="B2624" s="2" t="str">
        <f t="shared" si="80"/>
        <v>PGL_Business_Small/Mid-Size Business_Rebates_Steam Traps_HVAC Repair/Rep - No Audit_CI</v>
      </c>
      <c r="C2624" s="2" t="str">
        <f t="shared" si="81"/>
        <v>PGL_Business_Small/Mid-Size Business_Rebates_Steam Traps_HVAC Repair/Rep - No Audit_CI_2025</v>
      </c>
      <c r="D2624" s="19" t="s">
        <v>1794</v>
      </c>
      <c r="E2624" s="19" t="s">
        <v>3</v>
      </c>
      <c r="F2624" s="19" t="s">
        <v>1432</v>
      </c>
      <c r="G2624" s="19" t="s">
        <v>1429</v>
      </c>
      <c r="H2624" s="19" t="s">
        <v>644</v>
      </c>
      <c r="I2624" s="19" t="s">
        <v>660</v>
      </c>
      <c r="J2624" s="19" t="s">
        <v>37</v>
      </c>
      <c r="K2624" s="19" t="s">
        <v>1159</v>
      </c>
      <c r="L2624" s="19">
        <v>2025</v>
      </c>
      <c r="M2624" s="20">
        <v>1</v>
      </c>
      <c r="N2624" s="19" t="s">
        <v>1798</v>
      </c>
      <c r="O2624" s="20">
        <v>0</v>
      </c>
      <c r="P2624" s="20">
        <v>0</v>
      </c>
      <c r="Q2624" s="20">
        <v>0</v>
      </c>
      <c r="R2624" s="21">
        <v>0.92</v>
      </c>
      <c r="S2624" s="20">
        <v>0</v>
      </c>
    </row>
    <row r="2625" spans="2:19" ht="15" customHeight="1" x14ac:dyDescent="0.25">
      <c r="B2625" s="2" t="str">
        <f t="shared" si="80"/>
        <v>PGL_Business_Small/Mid-Size Business_Rebates_Steam Traps_Industrial/Process Audit - psig ≤ 15_CI/SMB</v>
      </c>
      <c r="C2625" s="2" t="str">
        <f t="shared" si="81"/>
        <v>PGL_Business_Small/Mid-Size Business_Rebates_Steam Traps_Industrial/Process Audit - psig ≤ 15_CI/SMB_2022</v>
      </c>
      <c r="D2625" s="19" t="s">
        <v>1794</v>
      </c>
      <c r="E2625" s="19" t="s">
        <v>3</v>
      </c>
      <c r="F2625" s="19" t="s">
        <v>1432</v>
      </c>
      <c r="G2625" s="19" t="s">
        <v>1429</v>
      </c>
      <c r="H2625" s="19" t="s">
        <v>644</v>
      </c>
      <c r="I2625" s="19" t="s">
        <v>1383</v>
      </c>
      <c r="J2625" s="19" t="s">
        <v>37</v>
      </c>
      <c r="K2625" s="19" t="s">
        <v>970</v>
      </c>
      <c r="L2625" s="19">
        <v>2022</v>
      </c>
      <c r="M2625" s="20">
        <v>1</v>
      </c>
      <c r="N2625" s="19" t="s">
        <v>1798</v>
      </c>
      <c r="O2625" s="20">
        <v>17</v>
      </c>
      <c r="P2625" s="20">
        <v>17</v>
      </c>
      <c r="Q2625" s="20">
        <v>12337.941570456342</v>
      </c>
      <c r="R2625" s="21">
        <v>0.92</v>
      </c>
      <c r="S2625" s="20">
        <v>12337.941570456342</v>
      </c>
    </row>
    <row r="2626" spans="2:19" ht="15" customHeight="1" x14ac:dyDescent="0.25">
      <c r="B2626" s="2" t="str">
        <f t="shared" si="80"/>
        <v>PGL_Business_Small/Mid-Size Business_Rebates_Steam Traps_Industrial/Process Audit - psig ≤ 15_CI/SMB</v>
      </c>
      <c r="C2626" s="2" t="str">
        <f t="shared" si="81"/>
        <v>PGL_Business_Small/Mid-Size Business_Rebates_Steam Traps_Industrial/Process Audit - psig ≤ 15_CI/SMB_2023</v>
      </c>
      <c r="D2626" s="19" t="s">
        <v>1794</v>
      </c>
      <c r="E2626" s="19" t="s">
        <v>3</v>
      </c>
      <c r="F2626" s="19" t="s">
        <v>1432</v>
      </c>
      <c r="G2626" s="19" t="s">
        <v>1429</v>
      </c>
      <c r="H2626" s="19" t="s">
        <v>644</v>
      </c>
      <c r="I2626" s="19" t="s">
        <v>1383</v>
      </c>
      <c r="J2626" s="19" t="s">
        <v>37</v>
      </c>
      <c r="K2626" s="19" t="s">
        <v>970</v>
      </c>
      <c r="L2626" s="19">
        <v>2023</v>
      </c>
      <c r="M2626" s="20">
        <v>1</v>
      </c>
      <c r="N2626" s="19" t="s">
        <v>1798</v>
      </c>
      <c r="O2626" s="20">
        <v>16</v>
      </c>
      <c r="P2626" s="20">
        <v>16</v>
      </c>
      <c r="Q2626" s="20">
        <v>11612.180301605969</v>
      </c>
      <c r="R2626" s="21">
        <v>0.92</v>
      </c>
      <c r="S2626" s="20">
        <v>11612.180301605969</v>
      </c>
    </row>
    <row r="2627" spans="2:19" ht="15" customHeight="1" x14ac:dyDescent="0.25">
      <c r="B2627" s="2" t="str">
        <f t="shared" si="80"/>
        <v>PGL_Business_Small/Mid-Size Business_Rebates_Steam Traps_Industrial/Process Audit - psig ≤ 15_CI/SMB</v>
      </c>
      <c r="C2627" s="2" t="str">
        <f t="shared" si="81"/>
        <v>PGL_Business_Small/Mid-Size Business_Rebates_Steam Traps_Industrial/Process Audit - psig ≤ 15_CI/SMB_2024</v>
      </c>
      <c r="D2627" s="19" t="s">
        <v>1794</v>
      </c>
      <c r="E2627" s="19" t="s">
        <v>3</v>
      </c>
      <c r="F2627" s="19" t="s">
        <v>1432</v>
      </c>
      <c r="G2627" s="19" t="s">
        <v>1429</v>
      </c>
      <c r="H2627" s="19" t="s">
        <v>644</v>
      </c>
      <c r="I2627" s="19" t="s">
        <v>1383</v>
      </c>
      <c r="J2627" s="19" t="s">
        <v>37</v>
      </c>
      <c r="K2627" s="19" t="s">
        <v>970</v>
      </c>
      <c r="L2627" s="19">
        <v>2024</v>
      </c>
      <c r="M2627" s="20">
        <v>1</v>
      </c>
      <c r="N2627" s="19" t="s">
        <v>1798</v>
      </c>
      <c r="O2627" s="20">
        <v>14</v>
      </c>
      <c r="P2627" s="20">
        <v>14</v>
      </c>
      <c r="Q2627" s="20">
        <v>10160.657763905225</v>
      </c>
      <c r="R2627" s="21">
        <v>0.92</v>
      </c>
      <c r="S2627" s="20">
        <v>10160.657763905225</v>
      </c>
    </row>
    <row r="2628" spans="2:19" ht="15" customHeight="1" x14ac:dyDescent="0.25">
      <c r="B2628" s="2" t="str">
        <f t="shared" si="80"/>
        <v>PGL_Business_Small/Mid-Size Business_Rebates_Steam Traps_Industrial/Process Audit - psig ≤ 15_CI/SMB</v>
      </c>
      <c r="C2628" s="2" t="str">
        <f t="shared" si="81"/>
        <v>PGL_Business_Small/Mid-Size Business_Rebates_Steam Traps_Industrial/Process Audit - psig ≤ 15_CI/SMB_2025</v>
      </c>
      <c r="D2628" s="19" t="s">
        <v>1794</v>
      </c>
      <c r="E2628" s="19" t="s">
        <v>3</v>
      </c>
      <c r="F2628" s="19" t="s">
        <v>1432</v>
      </c>
      <c r="G2628" s="19" t="s">
        <v>1429</v>
      </c>
      <c r="H2628" s="19" t="s">
        <v>644</v>
      </c>
      <c r="I2628" s="19" t="s">
        <v>1383</v>
      </c>
      <c r="J2628" s="19" t="s">
        <v>37</v>
      </c>
      <c r="K2628" s="19" t="s">
        <v>970</v>
      </c>
      <c r="L2628" s="19">
        <v>2025</v>
      </c>
      <c r="M2628" s="20">
        <v>1</v>
      </c>
      <c r="N2628" s="19" t="s">
        <v>1798</v>
      </c>
      <c r="O2628" s="20">
        <v>13</v>
      </c>
      <c r="P2628" s="20">
        <v>13</v>
      </c>
      <c r="Q2628" s="20">
        <v>9434.8964950548507</v>
      </c>
      <c r="R2628" s="21">
        <v>0.92</v>
      </c>
      <c r="S2628" s="20">
        <v>9434.8964950548507</v>
      </c>
    </row>
    <row r="2629" spans="2:19" ht="15" customHeight="1" x14ac:dyDescent="0.25">
      <c r="B2629" s="2" t="str">
        <f t="shared" si="80"/>
        <v>PGL_Business_Small/Mid-Size Business_Rebates_Steam Traps_Industrial/Process Audit - 15 &lt; psig &lt; 30_CI/SMB</v>
      </c>
      <c r="C2629" s="2" t="str">
        <f t="shared" si="81"/>
        <v>PGL_Business_Small/Mid-Size Business_Rebates_Steam Traps_Industrial/Process Audit - 15 &lt; psig &lt; 30_CI/SMB_2022</v>
      </c>
      <c r="D2629" s="19" t="s">
        <v>1794</v>
      </c>
      <c r="E2629" s="19" t="s">
        <v>3</v>
      </c>
      <c r="F2629" s="19" t="s">
        <v>1432</v>
      </c>
      <c r="G2629" s="19" t="s">
        <v>1429</v>
      </c>
      <c r="H2629" s="19" t="s">
        <v>644</v>
      </c>
      <c r="I2629" s="19" t="s">
        <v>1384</v>
      </c>
      <c r="J2629" s="19" t="s">
        <v>37</v>
      </c>
      <c r="K2629" s="19" t="s">
        <v>970</v>
      </c>
      <c r="L2629" s="19">
        <v>2022</v>
      </c>
      <c r="M2629" s="20">
        <v>1</v>
      </c>
      <c r="N2629" s="19" t="s">
        <v>1798</v>
      </c>
      <c r="O2629" s="20">
        <v>8</v>
      </c>
      <c r="P2629" s="20">
        <v>8</v>
      </c>
      <c r="Q2629" s="20">
        <v>5580.1343805179922</v>
      </c>
      <c r="R2629" s="21">
        <v>0.92</v>
      </c>
      <c r="S2629" s="20">
        <v>5580.1343805179922</v>
      </c>
    </row>
    <row r="2630" spans="2:19" ht="15" customHeight="1" x14ac:dyDescent="0.25">
      <c r="B2630" s="2" t="str">
        <f t="shared" ref="B2630:B2693" si="82">D2630&amp;"_"&amp;E2630&amp;"_"&amp;F2630&amp;"_"&amp;G2630&amp;"_"&amp;H2630&amp;"_"&amp;I2630&amp;"_"&amp;K2630</f>
        <v>PGL_Business_Small/Mid-Size Business_Rebates_Steam Traps_Industrial/Process Audit - 15 &lt; psig &lt; 30_CI/SMB</v>
      </c>
      <c r="C2630" s="2" t="str">
        <f t="shared" ref="C2630:C2693" si="83">D2630&amp;"_"&amp;E2630&amp;"_"&amp;F2630&amp;"_"&amp;G2630&amp;"_"&amp;H2630&amp;"_"&amp;I2630&amp;"_"&amp;K2630&amp;"_"&amp;L2630</f>
        <v>PGL_Business_Small/Mid-Size Business_Rebates_Steam Traps_Industrial/Process Audit - 15 &lt; psig &lt; 30_CI/SMB_2023</v>
      </c>
      <c r="D2630" s="19" t="s">
        <v>1794</v>
      </c>
      <c r="E2630" s="19" t="s">
        <v>3</v>
      </c>
      <c r="F2630" s="19" t="s">
        <v>1432</v>
      </c>
      <c r="G2630" s="19" t="s">
        <v>1429</v>
      </c>
      <c r="H2630" s="19" t="s">
        <v>644</v>
      </c>
      <c r="I2630" s="19" t="s">
        <v>1384</v>
      </c>
      <c r="J2630" s="19" t="s">
        <v>37</v>
      </c>
      <c r="K2630" s="19" t="s">
        <v>970</v>
      </c>
      <c r="L2630" s="19">
        <v>2023</v>
      </c>
      <c r="M2630" s="20">
        <v>1</v>
      </c>
      <c r="N2630" s="19" t="s">
        <v>1798</v>
      </c>
      <c r="O2630" s="20">
        <v>8</v>
      </c>
      <c r="P2630" s="20">
        <v>8</v>
      </c>
      <c r="Q2630" s="20">
        <v>5580.1343805179922</v>
      </c>
      <c r="R2630" s="21">
        <v>0.92</v>
      </c>
      <c r="S2630" s="20">
        <v>5580.1343805179922</v>
      </c>
    </row>
    <row r="2631" spans="2:19" ht="15" customHeight="1" x14ac:dyDescent="0.25">
      <c r="B2631" s="2" t="str">
        <f t="shared" si="82"/>
        <v>PGL_Business_Small/Mid-Size Business_Rebates_Steam Traps_Industrial/Process Audit - 15 &lt; psig &lt; 30_CI/SMB</v>
      </c>
      <c r="C2631" s="2" t="str">
        <f t="shared" si="83"/>
        <v>PGL_Business_Small/Mid-Size Business_Rebates_Steam Traps_Industrial/Process Audit - 15 &lt; psig &lt; 30_CI/SMB_2024</v>
      </c>
      <c r="D2631" s="19" t="s">
        <v>1794</v>
      </c>
      <c r="E2631" s="19" t="s">
        <v>3</v>
      </c>
      <c r="F2631" s="19" t="s">
        <v>1432</v>
      </c>
      <c r="G2631" s="19" t="s">
        <v>1429</v>
      </c>
      <c r="H2631" s="19" t="s">
        <v>644</v>
      </c>
      <c r="I2631" s="19" t="s">
        <v>1384</v>
      </c>
      <c r="J2631" s="19" t="s">
        <v>37</v>
      </c>
      <c r="K2631" s="19" t="s">
        <v>970</v>
      </c>
      <c r="L2631" s="19">
        <v>2024</v>
      </c>
      <c r="M2631" s="20">
        <v>1</v>
      </c>
      <c r="N2631" s="19" t="s">
        <v>1798</v>
      </c>
      <c r="O2631" s="20">
        <v>7</v>
      </c>
      <c r="P2631" s="20">
        <v>7</v>
      </c>
      <c r="Q2631" s="20">
        <v>4882.6175829532431</v>
      </c>
      <c r="R2631" s="21">
        <v>0.92</v>
      </c>
      <c r="S2631" s="20">
        <v>4882.6175829532431</v>
      </c>
    </row>
    <row r="2632" spans="2:19" ht="15" customHeight="1" x14ac:dyDescent="0.25">
      <c r="B2632" s="2" t="str">
        <f t="shared" si="82"/>
        <v>PGL_Business_Small/Mid-Size Business_Rebates_Steam Traps_Industrial/Process Audit - 15 &lt; psig &lt; 30_CI/SMB</v>
      </c>
      <c r="C2632" s="2" t="str">
        <f t="shared" si="83"/>
        <v>PGL_Business_Small/Mid-Size Business_Rebates_Steam Traps_Industrial/Process Audit - 15 &lt; psig &lt; 30_CI/SMB_2025</v>
      </c>
      <c r="D2632" s="19" t="s">
        <v>1794</v>
      </c>
      <c r="E2632" s="19" t="s">
        <v>3</v>
      </c>
      <c r="F2632" s="19" t="s">
        <v>1432</v>
      </c>
      <c r="G2632" s="19" t="s">
        <v>1429</v>
      </c>
      <c r="H2632" s="19" t="s">
        <v>644</v>
      </c>
      <c r="I2632" s="19" t="s">
        <v>1384</v>
      </c>
      <c r="J2632" s="19" t="s">
        <v>37</v>
      </c>
      <c r="K2632" s="19" t="s">
        <v>970</v>
      </c>
      <c r="L2632" s="19">
        <v>2025</v>
      </c>
      <c r="M2632" s="20">
        <v>1</v>
      </c>
      <c r="N2632" s="19" t="s">
        <v>1798</v>
      </c>
      <c r="O2632" s="20">
        <v>7</v>
      </c>
      <c r="P2632" s="20">
        <v>7</v>
      </c>
      <c r="Q2632" s="20">
        <v>4882.6175829532431</v>
      </c>
      <c r="R2632" s="21">
        <v>0.92</v>
      </c>
      <c r="S2632" s="20">
        <v>4882.6175829532431</v>
      </c>
    </row>
    <row r="2633" spans="2:19" ht="15" customHeight="1" x14ac:dyDescent="0.25">
      <c r="B2633" s="2" t="str">
        <f t="shared" si="82"/>
        <v>PGL_Business_Small/Mid-Size Business_Rebates_Steam Traps_Industrial/Process Audit - 30 ≤ psig &lt; 75_CI/SMB</v>
      </c>
      <c r="C2633" s="2" t="str">
        <f t="shared" si="83"/>
        <v>PGL_Business_Small/Mid-Size Business_Rebates_Steam Traps_Industrial/Process Audit - 30 ≤ psig &lt; 75_CI/SMB_2022</v>
      </c>
      <c r="D2633" s="19" t="s">
        <v>1794</v>
      </c>
      <c r="E2633" s="19" t="s">
        <v>3</v>
      </c>
      <c r="F2633" s="19" t="s">
        <v>1432</v>
      </c>
      <c r="G2633" s="19" t="s">
        <v>1429</v>
      </c>
      <c r="H2633" s="19" t="s">
        <v>644</v>
      </c>
      <c r="I2633" s="19" t="s">
        <v>1385</v>
      </c>
      <c r="J2633" s="19" t="s">
        <v>37</v>
      </c>
      <c r="K2633" s="19" t="s">
        <v>970</v>
      </c>
      <c r="L2633" s="19">
        <v>2022</v>
      </c>
      <c r="M2633" s="20">
        <v>1</v>
      </c>
      <c r="N2633" s="19" t="s">
        <v>1798</v>
      </c>
      <c r="O2633" s="20">
        <v>4</v>
      </c>
      <c r="P2633" s="20">
        <v>4</v>
      </c>
      <c r="Q2633" s="20">
        <v>10221.802357353457</v>
      </c>
      <c r="R2633" s="21">
        <v>0.92</v>
      </c>
      <c r="S2633" s="20">
        <v>10221.802357353457</v>
      </c>
    </row>
    <row r="2634" spans="2:19" ht="15" customHeight="1" x14ac:dyDescent="0.25">
      <c r="B2634" s="2" t="str">
        <f t="shared" si="82"/>
        <v>PGL_Business_Small/Mid-Size Business_Rebates_Steam Traps_Industrial/Process Audit - 30 ≤ psig &lt; 75_CI/SMB</v>
      </c>
      <c r="C2634" s="2" t="str">
        <f t="shared" si="83"/>
        <v>PGL_Business_Small/Mid-Size Business_Rebates_Steam Traps_Industrial/Process Audit - 30 ≤ psig &lt; 75_CI/SMB_2023</v>
      </c>
      <c r="D2634" s="19" t="s">
        <v>1794</v>
      </c>
      <c r="E2634" s="19" t="s">
        <v>3</v>
      </c>
      <c r="F2634" s="19" t="s">
        <v>1432</v>
      </c>
      <c r="G2634" s="19" t="s">
        <v>1429</v>
      </c>
      <c r="H2634" s="19" t="s">
        <v>644</v>
      </c>
      <c r="I2634" s="19" t="s">
        <v>1385</v>
      </c>
      <c r="J2634" s="19" t="s">
        <v>37</v>
      </c>
      <c r="K2634" s="19" t="s">
        <v>970</v>
      </c>
      <c r="L2634" s="19">
        <v>2023</v>
      </c>
      <c r="M2634" s="20">
        <v>1</v>
      </c>
      <c r="N2634" s="19" t="s">
        <v>1798</v>
      </c>
      <c r="O2634" s="20">
        <v>4</v>
      </c>
      <c r="P2634" s="20">
        <v>4</v>
      </c>
      <c r="Q2634" s="20">
        <v>10221.802357353457</v>
      </c>
      <c r="R2634" s="21">
        <v>0.92</v>
      </c>
      <c r="S2634" s="20">
        <v>10221.802357353457</v>
      </c>
    </row>
    <row r="2635" spans="2:19" ht="15" customHeight="1" x14ac:dyDescent="0.25">
      <c r="B2635" s="2" t="str">
        <f t="shared" si="82"/>
        <v>PGL_Business_Small/Mid-Size Business_Rebates_Steam Traps_Industrial/Process Audit - 30 ≤ psig &lt; 75_CI/SMB</v>
      </c>
      <c r="C2635" s="2" t="str">
        <f t="shared" si="83"/>
        <v>PGL_Business_Small/Mid-Size Business_Rebates_Steam Traps_Industrial/Process Audit - 30 ≤ psig &lt; 75_CI/SMB_2024</v>
      </c>
      <c r="D2635" s="19" t="s">
        <v>1794</v>
      </c>
      <c r="E2635" s="19" t="s">
        <v>3</v>
      </c>
      <c r="F2635" s="19" t="s">
        <v>1432</v>
      </c>
      <c r="G2635" s="19" t="s">
        <v>1429</v>
      </c>
      <c r="H2635" s="19" t="s">
        <v>644</v>
      </c>
      <c r="I2635" s="19" t="s">
        <v>1385</v>
      </c>
      <c r="J2635" s="19" t="s">
        <v>37</v>
      </c>
      <c r="K2635" s="19" t="s">
        <v>970</v>
      </c>
      <c r="L2635" s="19">
        <v>2024</v>
      </c>
      <c r="M2635" s="20">
        <v>1</v>
      </c>
      <c r="N2635" s="19" t="s">
        <v>1798</v>
      </c>
      <c r="O2635" s="20">
        <v>3</v>
      </c>
      <c r="P2635" s="20">
        <v>3</v>
      </c>
      <c r="Q2635" s="20">
        <v>7666.3517680150935</v>
      </c>
      <c r="R2635" s="21">
        <v>0.92</v>
      </c>
      <c r="S2635" s="20">
        <v>7666.3517680150935</v>
      </c>
    </row>
    <row r="2636" spans="2:19" ht="15" customHeight="1" x14ac:dyDescent="0.25">
      <c r="B2636" s="2" t="str">
        <f t="shared" si="82"/>
        <v>PGL_Business_Small/Mid-Size Business_Rebates_Steam Traps_Industrial/Process Audit - 30 ≤ psig &lt; 75_CI/SMB</v>
      </c>
      <c r="C2636" s="2" t="str">
        <f t="shared" si="83"/>
        <v>PGL_Business_Small/Mid-Size Business_Rebates_Steam Traps_Industrial/Process Audit - 30 ≤ psig &lt; 75_CI/SMB_2025</v>
      </c>
      <c r="D2636" s="19" t="s">
        <v>1794</v>
      </c>
      <c r="E2636" s="19" t="s">
        <v>3</v>
      </c>
      <c r="F2636" s="19" t="s">
        <v>1432</v>
      </c>
      <c r="G2636" s="19" t="s">
        <v>1429</v>
      </c>
      <c r="H2636" s="19" t="s">
        <v>644</v>
      </c>
      <c r="I2636" s="19" t="s">
        <v>1385</v>
      </c>
      <c r="J2636" s="19" t="s">
        <v>37</v>
      </c>
      <c r="K2636" s="19" t="s">
        <v>970</v>
      </c>
      <c r="L2636" s="19">
        <v>2025</v>
      </c>
      <c r="M2636" s="20">
        <v>1</v>
      </c>
      <c r="N2636" s="19" t="s">
        <v>1798</v>
      </c>
      <c r="O2636" s="20">
        <v>3</v>
      </c>
      <c r="P2636" s="20">
        <v>3</v>
      </c>
      <c r="Q2636" s="20">
        <v>7666.3517680150935</v>
      </c>
      <c r="R2636" s="21">
        <v>0.92</v>
      </c>
      <c r="S2636" s="20">
        <v>7666.3517680150935</v>
      </c>
    </row>
    <row r="2637" spans="2:19" ht="15" customHeight="1" x14ac:dyDescent="0.25">
      <c r="B2637" s="2" t="str">
        <f t="shared" si="82"/>
        <v>PGL_Business_Small/Mid-Size Business_Rebates_Steam Traps_Industrial/Process Audit - 75 ≤ psig &lt; 125_CI/SMB</v>
      </c>
      <c r="C2637" s="2" t="str">
        <f t="shared" si="83"/>
        <v>PGL_Business_Small/Mid-Size Business_Rebates_Steam Traps_Industrial/Process Audit - 75 ≤ psig &lt; 125_CI/SMB_2022</v>
      </c>
      <c r="D2637" s="19" t="s">
        <v>1794</v>
      </c>
      <c r="E2637" s="19" t="s">
        <v>3</v>
      </c>
      <c r="F2637" s="19" t="s">
        <v>1432</v>
      </c>
      <c r="G2637" s="19" t="s">
        <v>1429</v>
      </c>
      <c r="H2637" s="19" t="s">
        <v>644</v>
      </c>
      <c r="I2637" s="19" t="s">
        <v>1386</v>
      </c>
      <c r="J2637" s="19" t="s">
        <v>37</v>
      </c>
      <c r="K2637" s="19" t="s">
        <v>970</v>
      </c>
      <c r="L2637" s="19">
        <v>2022</v>
      </c>
      <c r="M2637" s="20">
        <v>1</v>
      </c>
      <c r="N2637" s="19" t="s">
        <v>1798</v>
      </c>
      <c r="O2637" s="20">
        <v>2</v>
      </c>
      <c r="P2637" s="20">
        <v>2</v>
      </c>
      <c r="Q2637" s="20">
        <v>9666.8672809757591</v>
      </c>
      <c r="R2637" s="21">
        <v>0.92</v>
      </c>
      <c r="S2637" s="20">
        <v>9666.8672809757591</v>
      </c>
    </row>
    <row r="2638" spans="2:19" ht="15" customHeight="1" x14ac:dyDescent="0.25">
      <c r="B2638" s="2" t="str">
        <f t="shared" si="82"/>
        <v>PGL_Business_Small/Mid-Size Business_Rebates_Steam Traps_Industrial/Process Audit - 75 ≤ psig &lt; 125_CI/SMB</v>
      </c>
      <c r="C2638" s="2" t="str">
        <f t="shared" si="83"/>
        <v>PGL_Business_Small/Mid-Size Business_Rebates_Steam Traps_Industrial/Process Audit - 75 ≤ psig &lt; 125_CI/SMB_2023</v>
      </c>
      <c r="D2638" s="19" t="s">
        <v>1794</v>
      </c>
      <c r="E2638" s="19" t="s">
        <v>3</v>
      </c>
      <c r="F2638" s="19" t="s">
        <v>1432</v>
      </c>
      <c r="G2638" s="19" t="s">
        <v>1429</v>
      </c>
      <c r="H2638" s="19" t="s">
        <v>644</v>
      </c>
      <c r="I2638" s="19" t="s">
        <v>1386</v>
      </c>
      <c r="J2638" s="19" t="s">
        <v>37</v>
      </c>
      <c r="K2638" s="19" t="s">
        <v>970</v>
      </c>
      <c r="L2638" s="19">
        <v>2023</v>
      </c>
      <c r="M2638" s="20">
        <v>1</v>
      </c>
      <c r="N2638" s="19" t="s">
        <v>1798</v>
      </c>
      <c r="O2638" s="20">
        <v>2</v>
      </c>
      <c r="P2638" s="20">
        <v>2</v>
      </c>
      <c r="Q2638" s="20">
        <v>9666.8672809757591</v>
      </c>
      <c r="R2638" s="21">
        <v>0.92</v>
      </c>
      <c r="S2638" s="20">
        <v>9666.8672809757591</v>
      </c>
    </row>
    <row r="2639" spans="2:19" ht="15" customHeight="1" x14ac:dyDescent="0.25">
      <c r="B2639" s="2" t="str">
        <f t="shared" si="82"/>
        <v>PGL_Business_Small/Mid-Size Business_Rebates_Steam Traps_Industrial/Process Audit - 75 ≤ psig &lt; 125_CI/SMB</v>
      </c>
      <c r="C2639" s="2" t="str">
        <f t="shared" si="83"/>
        <v>PGL_Business_Small/Mid-Size Business_Rebates_Steam Traps_Industrial/Process Audit - 75 ≤ psig &lt; 125_CI/SMB_2024</v>
      </c>
      <c r="D2639" s="19" t="s">
        <v>1794</v>
      </c>
      <c r="E2639" s="19" t="s">
        <v>3</v>
      </c>
      <c r="F2639" s="19" t="s">
        <v>1432</v>
      </c>
      <c r="G2639" s="19" t="s">
        <v>1429</v>
      </c>
      <c r="H2639" s="19" t="s">
        <v>644</v>
      </c>
      <c r="I2639" s="19" t="s">
        <v>1386</v>
      </c>
      <c r="J2639" s="19" t="s">
        <v>37</v>
      </c>
      <c r="K2639" s="19" t="s">
        <v>970</v>
      </c>
      <c r="L2639" s="19">
        <v>2024</v>
      </c>
      <c r="M2639" s="20">
        <v>1</v>
      </c>
      <c r="N2639" s="19" t="s">
        <v>1798</v>
      </c>
      <c r="O2639" s="20">
        <v>1</v>
      </c>
      <c r="P2639" s="20">
        <v>1</v>
      </c>
      <c r="Q2639" s="20">
        <v>4833.4336404878795</v>
      </c>
      <c r="R2639" s="21">
        <v>0.92</v>
      </c>
      <c r="S2639" s="20">
        <v>4833.4336404878795</v>
      </c>
    </row>
    <row r="2640" spans="2:19" ht="15" customHeight="1" x14ac:dyDescent="0.25">
      <c r="B2640" s="2" t="str">
        <f t="shared" si="82"/>
        <v>PGL_Business_Small/Mid-Size Business_Rebates_Steam Traps_Industrial/Process Audit - 75 ≤ psig &lt; 125_CI/SMB</v>
      </c>
      <c r="C2640" s="2" t="str">
        <f t="shared" si="83"/>
        <v>PGL_Business_Small/Mid-Size Business_Rebates_Steam Traps_Industrial/Process Audit - 75 ≤ psig &lt; 125_CI/SMB_2025</v>
      </c>
      <c r="D2640" s="19" t="s">
        <v>1794</v>
      </c>
      <c r="E2640" s="19" t="s">
        <v>3</v>
      </c>
      <c r="F2640" s="19" t="s">
        <v>1432</v>
      </c>
      <c r="G2640" s="19" t="s">
        <v>1429</v>
      </c>
      <c r="H2640" s="19" t="s">
        <v>644</v>
      </c>
      <c r="I2640" s="19" t="s">
        <v>1386</v>
      </c>
      <c r="J2640" s="19" t="s">
        <v>37</v>
      </c>
      <c r="K2640" s="19" t="s">
        <v>970</v>
      </c>
      <c r="L2640" s="19">
        <v>2025</v>
      </c>
      <c r="M2640" s="20">
        <v>1</v>
      </c>
      <c r="N2640" s="19" t="s">
        <v>1798</v>
      </c>
      <c r="O2640" s="20">
        <v>1</v>
      </c>
      <c r="P2640" s="20">
        <v>1</v>
      </c>
      <c r="Q2640" s="20">
        <v>4833.4336404878795</v>
      </c>
      <c r="R2640" s="21">
        <v>0.92</v>
      </c>
      <c r="S2640" s="20">
        <v>4833.4336404878795</v>
      </c>
    </row>
    <row r="2641" spans="2:19" ht="15" customHeight="1" x14ac:dyDescent="0.25">
      <c r="B2641" s="2" t="str">
        <f t="shared" si="82"/>
        <v>PGL_Business_Small/Mid-Size Business_Rebates_Steam Traps_Industrial/Process Audit - 125 ≤ psig &lt; 175_CI/SMB</v>
      </c>
      <c r="C2641" s="2" t="str">
        <f t="shared" si="83"/>
        <v>PGL_Business_Small/Mid-Size Business_Rebates_Steam Traps_Industrial/Process Audit - 125 ≤ psig &lt; 175_CI/SMB_2022</v>
      </c>
      <c r="D2641" s="19" t="s">
        <v>1794</v>
      </c>
      <c r="E2641" s="19" t="s">
        <v>3</v>
      </c>
      <c r="F2641" s="19" t="s">
        <v>1432</v>
      </c>
      <c r="G2641" s="19" t="s">
        <v>1429</v>
      </c>
      <c r="H2641" s="19" t="s">
        <v>644</v>
      </c>
      <c r="I2641" s="19" t="s">
        <v>1374</v>
      </c>
      <c r="J2641" s="19" t="s">
        <v>37</v>
      </c>
      <c r="K2641" s="19" t="s">
        <v>970</v>
      </c>
      <c r="L2641" s="19">
        <v>2022</v>
      </c>
      <c r="M2641" s="20">
        <v>1</v>
      </c>
      <c r="N2641" s="19" t="s">
        <v>1798</v>
      </c>
      <c r="O2641" s="20">
        <v>2</v>
      </c>
      <c r="P2641" s="20">
        <v>2</v>
      </c>
      <c r="Q2641" s="20">
        <v>13495.934281284222</v>
      </c>
      <c r="R2641" s="21">
        <v>0.92</v>
      </c>
      <c r="S2641" s="20">
        <v>13495.934281284222</v>
      </c>
    </row>
    <row r="2642" spans="2:19" ht="15" customHeight="1" x14ac:dyDescent="0.25">
      <c r="B2642" s="2" t="str">
        <f t="shared" si="82"/>
        <v>PGL_Business_Small/Mid-Size Business_Rebates_Steam Traps_Industrial/Process Audit - 125 ≤ psig &lt; 175_CI/SMB</v>
      </c>
      <c r="C2642" s="2" t="str">
        <f t="shared" si="83"/>
        <v>PGL_Business_Small/Mid-Size Business_Rebates_Steam Traps_Industrial/Process Audit - 125 ≤ psig &lt; 175_CI/SMB_2023</v>
      </c>
      <c r="D2642" s="19" t="s">
        <v>1794</v>
      </c>
      <c r="E2642" s="19" t="s">
        <v>3</v>
      </c>
      <c r="F2642" s="19" t="s">
        <v>1432</v>
      </c>
      <c r="G2642" s="19" t="s">
        <v>1429</v>
      </c>
      <c r="H2642" s="19" t="s">
        <v>644</v>
      </c>
      <c r="I2642" s="19" t="s">
        <v>1374</v>
      </c>
      <c r="J2642" s="19" t="s">
        <v>37</v>
      </c>
      <c r="K2642" s="19" t="s">
        <v>970</v>
      </c>
      <c r="L2642" s="19">
        <v>2023</v>
      </c>
      <c r="M2642" s="20">
        <v>1</v>
      </c>
      <c r="N2642" s="19" t="s">
        <v>1798</v>
      </c>
      <c r="O2642" s="20">
        <v>2</v>
      </c>
      <c r="P2642" s="20">
        <v>2</v>
      </c>
      <c r="Q2642" s="20">
        <v>13495.934281284222</v>
      </c>
      <c r="R2642" s="21">
        <v>0.92</v>
      </c>
      <c r="S2642" s="20">
        <v>13495.934281284222</v>
      </c>
    </row>
    <row r="2643" spans="2:19" ht="15" customHeight="1" x14ac:dyDescent="0.25">
      <c r="B2643" s="2" t="str">
        <f t="shared" si="82"/>
        <v>PGL_Business_Small/Mid-Size Business_Rebates_Steam Traps_Industrial/Process Audit - 125 ≤ psig &lt; 175_CI/SMB</v>
      </c>
      <c r="C2643" s="2" t="str">
        <f t="shared" si="83"/>
        <v>PGL_Business_Small/Mid-Size Business_Rebates_Steam Traps_Industrial/Process Audit - 125 ≤ psig &lt; 175_CI/SMB_2024</v>
      </c>
      <c r="D2643" s="19" t="s">
        <v>1794</v>
      </c>
      <c r="E2643" s="19" t="s">
        <v>3</v>
      </c>
      <c r="F2643" s="19" t="s">
        <v>1432</v>
      </c>
      <c r="G2643" s="19" t="s">
        <v>1429</v>
      </c>
      <c r="H2643" s="19" t="s">
        <v>644</v>
      </c>
      <c r="I2643" s="19" t="s">
        <v>1374</v>
      </c>
      <c r="J2643" s="19" t="s">
        <v>37</v>
      </c>
      <c r="K2643" s="19" t="s">
        <v>970</v>
      </c>
      <c r="L2643" s="19">
        <v>2024</v>
      </c>
      <c r="M2643" s="20">
        <v>1</v>
      </c>
      <c r="N2643" s="19" t="s">
        <v>1798</v>
      </c>
      <c r="O2643" s="20">
        <v>1</v>
      </c>
      <c r="P2643" s="20">
        <v>1</v>
      </c>
      <c r="Q2643" s="20">
        <v>6747.9671406421112</v>
      </c>
      <c r="R2643" s="21">
        <v>0.92</v>
      </c>
      <c r="S2643" s="20">
        <v>6747.9671406421112</v>
      </c>
    </row>
    <row r="2644" spans="2:19" ht="15" customHeight="1" x14ac:dyDescent="0.25">
      <c r="B2644" s="2" t="str">
        <f t="shared" si="82"/>
        <v>PGL_Business_Small/Mid-Size Business_Rebates_Steam Traps_Industrial/Process Audit - 125 ≤ psig &lt; 175_CI/SMB</v>
      </c>
      <c r="C2644" s="2" t="str">
        <f t="shared" si="83"/>
        <v>PGL_Business_Small/Mid-Size Business_Rebates_Steam Traps_Industrial/Process Audit - 125 ≤ psig &lt; 175_CI/SMB_2025</v>
      </c>
      <c r="D2644" s="19" t="s">
        <v>1794</v>
      </c>
      <c r="E2644" s="19" t="s">
        <v>3</v>
      </c>
      <c r="F2644" s="19" t="s">
        <v>1432</v>
      </c>
      <c r="G2644" s="19" t="s">
        <v>1429</v>
      </c>
      <c r="H2644" s="19" t="s">
        <v>644</v>
      </c>
      <c r="I2644" s="19" t="s">
        <v>1374</v>
      </c>
      <c r="J2644" s="19" t="s">
        <v>37</v>
      </c>
      <c r="K2644" s="19" t="s">
        <v>970</v>
      </c>
      <c r="L2644" s="19">
        <v>2025</v>
      </c>
      <c r="M2644" s="20">
        <v>1</v>
      </c>
      <c r="N2644" s="19" t="s">
        <v>1798</v>
      </c>
      <c r="O2644" s="20">
        <v>1</v>
      </c>
      <c r="P2644" s="20">
        <v>1</v>
      </c>
      <c r="Q2644" s="20">
        <v>6747.9671406421112</v>
      </c>
      <c r="R2644" s="21">
        <v>0.92</v>
      </c>
      <c r="S2644" s="20">
        <v>6747.9671406421112</v>
      </c>
    </row>
    <row r="2645" spans="2:19" ht="15" customHeight="1" x14ac:dyDescent="0.25">
      <c r="B2645" s="2" t="str">
        <f t="shared" si="82"/>
        <v>PGL_Business_Small/Mid-Size Business_Rebates_Steam Traps_Industrial/Process Audit - 175 ≤ psig &lt; 250_CI/SMB</v>
      </c>
      <c r="C2645" s="2" t="str">
        <f t="shared" si="83"/>
        <v>PGL_Business_Small/Mid-Size Business_Rebates_Steam Traps_Industrial/Process Audit - 175 ≤ psig &lt; 250_CI/SMB_2022</v>
      </c>
      <c r="D2645" s="19" t="s">
        <v>1794</v>
      </c>
      <c r="E2645" s="19" t="s">
        <v>3</v>
      </c>
      <c r="F2645" s="19" t="s">
        <v>1432</v>
      </c>
      <c r="G2645" s="19" t="s">
        <v>1429</v>
      </c>
      <c r="H2645" s="19" t="s">
        <v>644</v>
      </c>
      <c r="I2645" s="19" t="s">
        <v>1375</v>
      </c>
      <c r="J2645" s="19" t="s">
        <v>37</v>
      </c>
      <c r="K2645" s="19" t="s">
        <v>970</v>
      </c>
      <c r="L2645" s="19">
        <v>2022</v>
      </c>
      <c r="M2645" s="20">
        <v>1</v>
      </c>
      <c r="N2645" s="19" t="s">
        <v>1798</v>
      </c>
      <c r="O2645" s="20">
        <v>0</v>
      </c>
      <c r="P2645" s="20">
        <v>0</v>
      </c>
      <c r="Q2645" s="20">
        <v>0</v>
      </c>
      <c r="R2645" s="21">
        <v>0.92</v>
      </c>
      <c r="S2645" s="20">
        <v>0</v>
      </c>
    </row>
    <row r="2646" spans="2:19" ht="15" customHeight="1" x14ac:dyDescent="0.25">
      <c r="B2646" s="2" t="str">
        <f t="shared" si="82"/>
        <v>PGL_Business_Small/Mid-Size Business_Rebates_Steam Traps_Industrial/Process Audit - 175 ≤ psig &lt; 250_CI/SMB</v>
      </c>
      <c r="C2646" s="2" t="str">
        <f t="shared" si="83"/>
        <v>PGL_Business_Small/Mid-Size Business_Rebates_Steam Traps_Industrial/Process Audit - 175 ≤ psig &lt; 250_CI/SMB_2023</v>
      </c>
      <c r="D2646" s="19" t="s">
        <v>1794</v>
      </c>
      <c r="E2646" s="19" t="s">
        <v>3</v>
      </c>
      <c r="F2646" s="19" t="s">
        <v>1432</v>
      </c>
      <c r="G2646" s="19" t="s">
        <v>1429</v>
      </c>
      <c r="H2646" s="19" t="s">
        <v>644</v>
      </c>
      <c r="I2646" s="19" t="s">
        <v>1375</v>
      </c>
      <c r="J2646" s="19" t="s">
        <v>37</v>
      </c>
      <c r="K2646" s="19" t="s">
        <v>970</v>
      </c>
      <c r="L2646" s="19">
        <v>2023</v>
      </c>
      <c r="M2646" s="20">
        <v>1</v>
      </c>
      <c r="N2646" s="19" t="s">
        <v>1798</v>
      </c>
      <c r="O2646" s="20">
        <v>0</v>
      </c>
      <c r="P2646" s="20">
        <v>0</v>
      </c>
      <c r="Q2646" s="20">
        <v>0</v>
      </c>
      <c r="R2646" s="21">
        <v>0.92</v>
      </c>
      <c r="S2646" s="20">
        <v>0</v>
      </c>
    </row>
    <row r="2647" spans="2:19" ht="15" customHeight="1" x14ac:dyDescent="0.25">
      <c r="B2647" s="2" t="str">
        <f t="shared" si="82"/>
        <v>PGL_Business_Small/Mid-Size Business_Rebates_Steam Traps_Industrial/Process Audit - 175 ≤ psig &lt; 250_CI/SMB</v>
      </c>
      <c r="C2647" s="2" t="str">
        <f t="shared" si="83"/>
        <v>PGL_Business_Small/Mid-Size Business_Rebates_Steam Traps_Industrial/Process Audit - 175 ≤ psig &lt; 250_CI/SMB_2024</v>
      </c>
      <c r="D2647" s="19" t="s">
        <v>1794</v>
      </c>
      <c r="E2647" s="19" t="s">
        <v>3</v>
      </c>
      <c r="F2647" s="19" t="s">
        <v>1432</v>
      </c>
      <c r="G2647" s="19" t="s">
        <v>1429</v>
      </c>
      <c r="H2647" s="19" t="s">
        <v>644</v>
      </c>
      <c r="I2647" s="19" t="s">
        <v>1375</v>
      </c>
      <c r="J2647" s="19" t="s">
        <v>37</v>
      </c>
      <c r="K2647" s="19" t="s">
        <v>970</v>
      </c>
      <c r="L2647" s="19">
        <v>2024</v>
      </c>
      <c r="M2647" s="20">
        <v>1</v>
      </c>
      <c r="N2647" s="19" t="s">
        <v>1798</v>
      </c>
      <c r="O2647" s="20">
        <v>0</v>
      </c>
      <c r="P2647" s="20">
        <v>0</v>
      </c>
      <c r="Q2647" s="20">
        <v>0</v>
      </c>
      <c r="R2647" s="21">
        <v>0.92</v>
      </c>
      <c r="S2647" s="20">
        <v>0</v>
      </c>
    </row>
    <row r="2648" spans="2:19" ht="15" customHeight="1" x14ac:dyDescent="0.25">
      <c r="B2648" s="2" t="str">
        <f t="shared" si="82"/>
        <v>PGL_Business_Small/Mid-Size Business_Rebates_Steam Traps_Industrial/Process Audit - 175 ≤ psig &lt; 250_CI/SMB</v>
      </c>
      <c r="C2648" s="2" t="str">
        <f t="shared" si="83"/>
        <v>PGL_Business_Small/Mid-Size Business_Rebates_Steam Traps_Industrial/Process Audit - 175 ≤ psig &lt; 250_CI/SMB_2025</v>
      </c>
      <c r="D2648" s="19" t="s">
        <v>1794</v>
      </c>
      <c r="E2648" s="19" t="s">
        <v>3</v>
      </c>
      <c r="F2648" s="19" t="s">
        <v>1432</v>
      </c>
      <c r="G2648" s="19" t="s">
        <v>1429</v>
      </c>
      <c r="H2648" s="19" t="s">
        <v>644</v>
      </c>
      <c r="I2648" s="19" t="s">
        <v>1375</v>
      </c>
      <c r="J2648" s="19" t="s">
        <v>37</v>
      </c>
      <c r="K2648" s="19" t="s">
        <v>970</v>
      </c>
      <c r="L2648" s="19">
        <v>2025</v>
      </c>
      <c r="M2648" s="20">
        <v>1</v>
      </c>
      <c r="N2648" s="19" t="s">
        <v>1798</v>
      </c>
      <c r="O2648" s="20">
        <v>0</v>
      </c>
      <c r="P2648" s="20">
        <v>0</v>
      </c>
      <c r="Q2648" s="20">
        <v>0</v>
      </c>
      <c r="R2648" s="21">
        <v>0.92</v>
      </c>
      <c r="S2648" s="20">
        <v>0</v>
      </c>
    </row>
    <row r="2649" spans="2:19" ht="15" customHeight="1" x14ac:dyDescent="0.25">
      <c r="B2649" s="2" t="str">
        <f t="shared" si="82"/>
        <v>PGL_Business_Small/Mid-Size Business_Rebates_Steam Traps_Industrial/Process Audit - 250 ≤ psig_CI/SMB</v>
      </c>
      <c r="C2649" s="2" t="str">
        <f t="shared" si="83"/>
        <v>PGL_Business_Small/Mid-Size Business_Rebates_Steam Traps_Industrial/Process Audit - 250 ≤ psig_CI/SMB_2022</v>
      </c>
      <c r="D2649" s="19" t="s">
        <v>1794</v>
      </c>
      <c r="E2649" s="19" t="s">
        <v>3</v>
      </c>
      <c r="F2649" s="19" t="s">
        <v>1432</v>
      </c>
      <c r="G2649" s="19" t="s">
        <v>1429</v>
      </c>
      <c r="H2649" s="19" t="s">
        <v>644</v>
      </c>
      <c r="I2649" s="19" t="s">
        <v>1376</v>
      </c>
      <c r="J2649" s="19" t="s">
        <v>37</v>
      </c>
      <c r="K2649" s="19" t="s">
        <v>970</v>
      </c>
      <c r="L2649" s="19">
        <v>2022</v>
      </c>
      <c r="M2649" s="20">
        <v>1</v>
      </c>
      <c r="N2649" s="19" t="s">
        <v>1798</v>
      </c>
      <c r="O2649" s="20">
        <v>0</v>
      </c>
      <c r="P2649" s="20">
        <v>0</v>
      </c>
      <c r="Q2649" s="20">
        <v>0</v>
      </c>
      <c r="R2649" s="21">
        <v>0.92</v>
      </c>
      <c r="S2649" s="20">
        <v>0</v>
      </c>
    </row>
    <row r="2650" spans="2:19" ht="15" customHeight="1" x14ac:dyDescent="0.25">
      <c r="B2650" s="2" t="str">
        <f t="shared" si="82"/>
        <v>PGL_Business_Small/Mid-Size Business_Rebates_Steam Traps_Industrial/Process Audit - 250 ≤ psig_CI/SMB</v>
      </c>
      <c r="C2650" s="2" t="str">
        <f t="shared" si="83"/>
        <v>PGL_Business_Small/Mid-Size Business_Rebates_Steam Traps_Industrial/Process Audit - 250 ≤ psig_CI/SMB_2023</v>
      </c>
      <c r="D2650" s="19" t="s">
        <v>1794</v>
      </c>
      <c r="E2650" s="19" t="s">
        <v>3</v>
      </c>
      <c r="F2650" s="19" t="s">
        <v>1432</v>
      </c>
      <c r="G2650" s="19" t="s">
        <v>1429</v>
      </c>
      <c r="H2650" s="19" t="s">
        <v>644</v>
      </c>
      <c r="I2650" s="19" t="s">
        <v>1376</v>
      </c>
      <c r="J2650" s="19" t="s">
        <v>37</v>
      </c>
      <c r="K2650" s="19" t="s">
        <v>970</v>
      </c>
      <c r="L2650" s="19">
        <v>2023</v>
      </c>
      <c r="M2650" s="20">
        <v>1</v>
      </c>
      <c r="N2650" s="19" t="s">
        <v>1798</v>
      </c>
      <c r="O2650" s="20">
        <v>0</v>
      </c>
      <c r="P2650" s="20">
        <v>0</v>
      </c>
      <c r="Q2650" s="20">
        <v>0</v>
      </c>
      <c r="R2650" s="21">
        <v>0.92</v>
      </c>
      <c r="S2650" s="20">
        <v>0</v>
      </c>
    </row>
    <row r="2651" spans="2:19" ht="15" customHeight="1" x14ac:dyDescent="0.25">
      <c r="B2651" s="2" t="str">
        <f t="shared" si="82"/>
        <v>PGL_Business_Small/Mid-Size Business_Rebates_Steam Traps_Industrial/Process Audit - 250 ≤ psig_CI/SMB</v>
      </c>
      <c r="C2651" s="2" t="str">
        <f t="shared" si="83"/>
        <v>PGL_Business_Small/Mid-Size Business_Rebates_Steam Traps_Industrial/Process Audit - 250 ≤ psig_CI/SMB_2024</v>
      </c>
      <c r="D2651" s="19" t="s">
        <v>1794</v>
      </c>
      <c r="E2651" s="19" t="s">
        <v>3</v>
      </c>
      <c r="F2651" s="19" t="s">
        <v>1432</v>
      </c>
      <c r="G2651" s="19" t="s">
        <v>1429</v>
      </c>
      <c r="H2651" s="19" t="s">
        <v>644</v>
      </c>
      <c r="I2651" s="19" t="s">
        <v>1376</v>
      </c>
      <c r="J2651" s="19" t="s">
        <v>37</v>
      </c>
      <c r="K2651" s="19" t="s">
        <v>970</v>
      </c>
      <c r="L2651" s="19">
        <v>2024</v>
      </c>
      <c r="M2651" s="20">
        <v>1</v>
      </c>
      <c r="N2651" s="19" t="s">
        <v>1798</v>
      </c>
      <c r="O2651" s="20">
        <v>0</v>
      </c>
      <c r="P2651" s="20">
        <v>0</v>
      </c>
      <c r="Q2651" s="20">
        <v>0</v>
      </c>
      <c r="R2651" s="21">
        <v>0.92</v>
      </c>
      <c r="S2651" s="20">
        <v>0</v>
      </c>
    </row>
    <row r="2652" spans="2:19" ht="15" customHeight="1" x14ac:dyDescent="0.25">
      <c r="B2652" s="2" t="str">
        <f t="shared" si="82"/>
        <v>PGL_Business_Small/Mid-Size Business_Rebates_Steam Traps_Industrial/Process Audit - 250 ≤ psig_CI/SMB</v>
      </c>
      <c r="C2652" s="2" t="str">
        <f t="shared" si="83"/>
        <v>PGL_Business_Small/Mid-Size Business_Rebates_Steam Traps_Industrial/Process Audit - 250 ≤ psig_CI/SMB_2025</v>
      </c>
      <c r="D2652" s="19" t="s">
        <v>1794</v>
      </c>
      <c r="E2652" s="19" t="s">
        <v>3</v>
      </c>
      <c r="F2652" s="19" t="s">
        <v>1432</v>
      </c>
      <c r="G2652" s="19" t="s">
        <v>1429</v>
      </c>
      <c r="H2652" s="19" t="s">
        <v>644</v>
      </c>
      <c r="I2652" s="19" t="s">
        <v>1376</v>
      </c>
      <c r="J2652" s="19" t="s">
        <v>37</v>
      </c>
      <c r="K2652" s="19" t="s">
        <v>970</v>
      </c>
      <c r="L2652" s="19">
        <v>2025</v>
      </c>
      <c r="M2652" s="20">
        <v>1</v>
      </c>
      <c r="N2652" s="19" t="s">
        <v>1798</v>
      </c>
      <c r="O2652" s="20">
        <v>0</v>
      </c>
      <c r="P2652" s="20">
        <v>0</v>
      </c>
      <c r="Q2652" s="20">
        <v>0</v>
      </c>
      <c r="R2652" s="21">
        <v>0.92</v>
      </c>
      <c r="S2652" s="20">
        <v>0</v>
      </c>
    </row>
    <row r="2653" spans="2:19" ht="15" customHeight="1" x14ac:dyDescent="0.25">
      <c r="B2653" s="2" t="str">
        <f t="shared" si="82"/>
        <v>PGL_Business_Small/Mid-Size Business_Rebates_Steam Traps_Test_CI</v>
      </c>
      <c r="C2653" s="2" t="str">
        <f t="shared" si="83"/>
        <v>PGL_Business_Small/Mid-Size Business_Rebates_Steam Traps_Test_CI_2022</v>
      </c>
      <c r="D2653" s="19" t="s">
        <v>1794</v>
      </c>
      <c r="E2653" s="19" t="s">
        <v>3</v>
      </c>
      <c r="F2653" s="19" t="s">
        <v>1432</v>
      </c>
      <c r="G2653" s="19" t="s">
        <v>1429</v>
      </c>
      <c r="H2653" s="19" t="s">
        <v>644</v>
      </c>
      <c r="I2653" s="19" t="s">
        <v>1097</v>
      </c>
      <c r="J2653" s="19">
        <v>0</v>
      </c>
      <c r="K2653" s="19" t="s">
        <v>1159</v>
      </c>
      <c r="L2653" s="19">
        <v>2022</v>
      </c>
      <c r="M2653" s="20">
        <v>1</v>
      </c>
      <c r="N2653" s="19" t="s">
        <v>1798</v>
      </c>
      <c r="O2653" s="20">
        <v>0</v>
      </c>
      <c r="P2653" s="20">
        <v>0</v>
      </c>
      <c r="Q2653" s="20">
        <v>0</v>
      </c>
      <c r="R2653" s="21">
        <v>0.92</v>
      </c>
      <c r="S2653" s="20">
        <v>0</v>
      </c>
    </row>
    <row r="2654" spans="2:19" ht="15" customHeight="1" x14ac:dyDescent="0.25">
      <c r="B2654" s="2" t="str">
        <f t="shared" si="82"/>
        <v>PGL_Business_Small/Mid-Size Business_Rebates_Steam Traps_Test_CI</v>
      </c>
      <c r="C2654" s="2" t="str">
        <f t="shared" si="83"/>
        <v>PGL_Business_Small/Mid-Size Business_Rebates_Steam Traps_Test_CI_2023</v>
      </c>
      <c r="D2654" s="19" t="s">
        <v>1794</v>
      </c>
      <c r="E2654" s="19" t="s">
        <v>3</v>
      </c>
      <c r="F2654" s="19" t="s">
        <v>1432</v>
      </c>
      <c r="G2654" s="19" t="s">
        <v>1429</v>
      </c>
      <c r="H2654" s="19" t="s">
        <v>644</v>
      </c>
      <c r="I2654" s="19" t="s">
        <v>1097</v>
      </c>
      <c r="J2654" s="19">
        <v>0</v>
      </c>
      <c r="K2654" s="19" t="s">
        <v>1159</v>
      </c>
      <c r="L2654" s="19">
        <v>2023</v>
      </c>
      <c r="M2654" s="20">
        <v>1</v>
      </c>
      <c r="N2654" s="19" t="s">
        <v>1798</v>
      </c>
      <c r="O2654" s="20">
        <v>0</v>
      </c>
      <c r="P2654" s="20">
        <v>0</v>
      </c>
      <c r="Q2654" s="20">
        <v>0</v>
      </c>
      <c r="R2654" s="21">
        <v>0.92</v>
      </c>
      <c r="S2654" s="20">
        <v>0</v>
      </c>
    </row>
    <row r="2655" spans="2:19" ht="15" customHeight="1" x14ac:dyDescent="0.25">
      <c r="B2655" s="2" t="str">
        <f t="shared" si="82"/>
        <v>PGL_Business_Small/Mid-Size Business_Rebates_Steam Traps_Test_CI</v>
      </c>
      <c r="C2655" s="2" t="str">
        <f t="shared" si="83"/>
        <v>PGL_Business_Small/Mid-Size Business_Rebates_Steam Traps_Test_CI_2024</v>
      </c>
      <c r="D2655" s="19" t="s">
        <v>1794</v>
      </c>
      <c r="E2655" s="19" t="s">
        <v>3</v>
      </c>
      <c r="F2655" s="19" t="s">
        <v>1432</v>
      </c>
      <c r="G2655" s="19" t="s">
        <v>1429</v>
      </c>
      <c r="H2655" s="19" t="s">
        <v>644</v>
      </c>
      <c r="I2655" s="19" t="s">
        <v>1097</v>
      </c>
      <c r="J2655" s="19">
        <v>0</v>
      </c>
      <c r="K2655" s="19" t="s">
        <v>1159</v>
      </c>
      <c r="L2655" s="19">
        <v>2024</v>
      </c>
      <c r="M2655" s="20">
        <v>1</v>
      </c>
      <c r="N2655" s="19" t="s">
        <v>1798</v>
      </c>
      <c r="O2655" s="20">
        <v>0</v>
      </c>
      <c r="P2655" s="20">
        <v>0</v>
      </c>
      <c r="Q2655" s="20">
        <v>0</v>
      </c>
      <c r="R2655" s="21">
        <v>0.92</v>
      </c>
      <c r="S2655" s="20">
        <v>0</v>
      </c>
    </row>
    <row r="2656" spans="2:19" ht="15" customHeight="1" x14ac:dyDescent="0.25">
      <c r="B2656" s="2" t="str">
        <f t="shared" si="82"/>
        <v>PGL_Business_Small/Mid-Size Business_Rebates_Steam Traps_Test_CI</v>
      </c>
      <c r="C2656" s="2" t="str">
        <f t="shared" si="83"/>
        <v>PGL_Business_Small/Mid-Size Business_Rebates_Steam Traps_Test_CI_2025</v>
      </c>
      <c r="D2656" s="19" t="s">
        <v>1794</v>
      </c>
      <c r="E2656" s="19" t="s">
        <v>3</v>
      </c>
      <c r="F2656" s="19" t="s">
        <v>1432</v>
      </c>
      <c r="G2656" s="19" t="s">
        <v>1429</v>
      </c>
      <c r="H2656" s="19" t="s">
        <v>644</v>
      </c>
      <c r="I2656" s="19" t="s">
        <v>1097</v>
      </c>
      <c r="J2656" s="19">
        <v>0</v>
      </c>
      <c r="K2656" s="19" t="s">
        <v>1159</v>
      </c>
      <c r="L2656" s="19">
        <v>2025</v>
      </c>
      <c r="M2656" s="20">
        <v>1</v>
      </c>
      <c r="N2656" s="19" t="s">
        <v>1798</v>
      </c>
      <c r="O2656" s="20">
        <v>0</v>
      </c>
      <c r="P2656" s="20">
        <v>0</v>
      </c>
      <c r="Q2656" s="20">
        <v>0</v>
      </c>
      <c r="R2656" s="21">
        <v>0.92</v>
      </c>
      <c r="S2656" s="20">
        <v>0</v>
      </c>
    </row>
    <row r="2657" spans="2:19" ht="15" customHeight="1" x14ac:dyDescent="0.25">
      <c r="B2657" s="2" t="str">
        <f t="shared" si="82"/>
        <v>PGL_Business_Small/Mid-Size Business_Rebates_Programmable Thermostat_0_CI</v>
      </c>
      <c r="C2657" s="2" t="str">
        <f t="shared" si="83"/>
        <v>PGL_Business_Small/Mid-Size Business_Rebates_Programmable Thermostat_0_CI_2022</v>
      </c>
      <c r="D2657" s="19" t="s">
        <v>1794</v>
      </c>
      <c r="E2657" s="19" t="s">
        <v>3</v>
      </c>
      <c r="F2657" s="19" t="s">
        <v>1432</v>
      </c>
      <c r="G2657" s="19" t="s">
        <v>1429</v>
      </c>
      <c r="H2657" s="19" t="s">
        <v>224</v>
      </c>
      <c r="I2657" s="19">
        <v>0</v>
      </c>
      <c r="J2657" s="19" t="s">
        <v>1183</v>
      </c>
      <c r="K2657" s="19" t="s">
        <v>1159</v>
      </c>
      <c r="L2657" s="19">
        <v>2022</v>
      </c>
      <c r="M2657" s="20">
        <v>1</v>
      </c>
      <c r="N2657" s="19" t="s">
        <v>1798</v>
      </c>
      <c r="O2657" s="20">
        <v>4</v>
      </c>
      <c r="P2657" s="20">
        <v>4</v>
      </c>
      <c r="Q2657" s="20">
        <v>586.24286000000018</v>
      </c>
      <c r="R2657" s="21">
        <v>0.92</v>
      </c>
      <c r="S2657" s="20">
        <v>586.24286000000018</v>
      </c>
    </row>
    <row r="2658" spans="2:19" ht="15" customHeight="1" x14ac:dyDescent="0.25">
      <c r="B2658" s="2" t="str">
        <f t="shared" si="82"/>
        <v>PGL_Business_Small/Mid-Size Business_Rebates_Programmable Thermostat_0_CI</v>
      </c>
      <c r="C2658" s="2" t="str">
        <f t="shared" si="83"/>
        <v>PGL_Business_Small/Mid-Size Business_Rebates_Programmable Thermostat_0_CI_2023</v>
      </c>
      <c r="D2658" s="19" t="s">
        <v>1794</v>
      </c>
      <c r="E2658" s="19" t="s">
        <v>3</v>
      </c>
      <c r="F2658" s="19" t="s">
        <v>1432</v>
      </c>
      <c r="G2658" s="19" t="s">
        <v>1429</v>
      </c>
      <c r="H2658" s="19" t="s">
        <v>224</v>
      </c>
      <c r="I2658" s="19">
        <v>0</v>
      </c>
      <c r="J2658" s="19" t="s">
        <v>1183</v>
      </c>
      <c r="K2658" s="19" t="s">
        <v>1159</v>
      </c>
      <c r="L2658" s="19">
        <v>2023</v>
      </c>
      <c r="M2658" s="20">
        <v>1</v>
      </c>
      <c r="N2658" s="19" t="s">
        <v>1798</v>
      </c>
      <c r="O2658" s="20">
        <v>4</v>
      </c>
      <c r="P2658" s="20">
        <v>4</v>
      </c>
      <c r="Q2658" s="20">
        <v>586.24286000000018</v>
      </c>
      <c r="R2658" s="21">
        <v>0.92</v>
      </c>
      <c r="S2658" s="20">
        <v>586.24286000000018</v>
      </c>
    </row>
    <row r="2659" spans="2:19" ht="15" customHeight="1" x14ac:dyDescent="0.25">
      <c r="B2659" s="2" t="str">
        <f t="shared" si="82"/>
        <v>PGL_Business_Small/Mid-Size Business_Rebates_Programmable Thermostat_0_CI</v>
      </c>
      <c r="C2659" s="2" t="str">
        <f t="shared" si="83"/>
        <v>PGL_Business_Small/Mid-Size Business_Rebates_Programmable Thermostat_0_CI_2024</v>
      </c>
      <c r="D2659" s="19" t="s">
        <v>1794</v>
      </c>
      <c r="E2659" s="19" t="s">
        <v>3</v>
      </c>
      <c r="F2659" s="19" t="s">
        <v>1432</v>
      </c>
      <c r="G2659" s="19" t="s">
        <v>1429</v>
      </c>
      <c r="H2659" s="19" t="s">
        <v>224</v>
      </c>
      <c r="I2659" s="19">
        <v>0</v>
      </c>
      <c r="J2659" s="19" t="s">
        <v>1183</v>
      </c>
      <c r="K2659" s="19" t="s">
        <v>1159</v>
      </c>
      <c r="L2659" s="19">
        <v>2024</v>
      </c>
      <c r="M2659" s="20">
        <v>1</v>
      </c>
      <c r="N2659" s="19" t="s">
        <v>1798</v>
      </c>
      <c r="O2659" s="20">
        <v>3</v>
      </c>
      <c r="P2659" s="20">
        <v>3</v>
      </c>
      <c r="Q2659" s="20">
        <v>439.68214500000011</v>
      </c>
      <c r="R2659" s="21">
        <v>0.92</v>
      </c>
      <c r="S2659" s="20">
        <v>439.68214500000011</v>
      </c>
    </row>
    <row r="2660" spans="2:19" ht="15" customHeight="1" x14ac:dyDescent="0.25">
      <c r="B2660" s="2" t="str">
        <f t="shared" si="82"/>
        <v>PGL_Business_Small/Mid-Size Business_Rebates_Programmable Thermostat_0_CI</v>
      </c>
      <c r="C2660" s="2" t="str">
        <f t="shared" si="83"/>
        <v>PGL_Business_Small/Mid-Size Business_Rebates_Programmable Thermostat_0_CI_2025</v>
      </c>
      <c r="D2660" s="19" t="s">
        <v>1794</v>
      </c>
      <c r="E2660" s="19" t="s">
        <v>3</v>
      </c>
      <c r="F2660" s="19" t="s">
        <v>1432</v>
      </c>
      <c r="G2660" s="19" t="s">
        <v>1429</v>
      </c>
      <c r="H2660" s="19" t="s">
        <v>224</v>
      </c>
      <c r="I2660" s="19">
        <v>0</v>
      </c>
      <c r="J2660" s="19" t="s">
        <v>1183</v>
      </c>
      <c r="K2660" s="19" t="s">
        <v>1159</v>
      </c>
      <c r="L2660" s="19">
        <v>2025</v>
      </c>
      <c r="M2660" s="20">
        <v>1</v>
      </c>
      <c r="N2660" s="19" t="s">
        <v>1798</v>
      </c>
      <c r="O2660" s="20">
        <v>3</v>
      </c>
      <c r="P2660" s="20">
        <v>3</v>
      </c>
      <c r="Q2660" s="20">
        <v>439.68214500000011</v>
      </c>
      <c r="R2660" s="21">
        <v>0.92</v>
      </c>
      <c r="S2660" s="20">
        <v>439.68214500000011</v>
      </c>
    </row>
    <row r="2661" spans="2:19" ht="15" customHeight="1" x14ac:dyDescent="0.25">
      <c r="B2661" s="2" t="str">
        <f t="shared" si="82"/>
        <v>PGL_Business_Small/Mid-Size Business_Rebates_Water Heater_Storage 88% TE ≥75MBh_CI</v>
      </c>
      <c r="C2661" s="2" t="str">
        <f t="shared" si="83"/>
        <v>PGL_Business_Small/Mid-Size Business_Rebates_Water Heater_Storage 88% TE ≥75MBh_CI_2022</v>
      </c>
      <c r="D2661" s="19" t="s">
        <v>1794</v>
      </c>
      <c r="E2661" s="19" t="s">
        <v>3</v>
      </c>
      <c r="F2661" s="19" t="s">
        <v>1432</v>
      </c>
      <c r="G2661" s="19" t="s">
        <v>1429</v>
      </c>
      <c r="H2661" s="19" t="s">
        <v>8</v>
      </c>
      <c r="I2661" s="19" t="s">
        <v>1262</v>
      </c>
      <c r="J2661" s="19" t="s">
        <v>1263</v>
      </c>
      <c r="K2661" s="19" t="s">
        <v>1159</v>
      </c>
      <c r="L2661" s="19">
        <v>2022</v>
      </c>
      <c r="M2661" s="20">
        <v>1</v>
      </c>
      <c r="N2661" s="19" t="s">
        <v>1798</v>
      </c>
      <c r="O2661" s="20">
        <v>0</v>
      </c>
      <c r="P2661" s="20">
        <v>0</v>
      </c>
      <c r="Q2661" s="20">
        <v>0</v>
      </c>
      <c r="R2661" s="21">
        <v>0.92</v>
      </c>
      <c r="S2661" s="20">
        <v>0</v>
      </c>
    </row>
    <row r="2662" spans="2:19" ht="15" customHeight="1" x14ac:dyDescent="0.25">
      <c r="B2662" s="2" t="str">
        <f t="shared" si="82"/>
        <v>PGL_Business_Small/Mid-Size Business_Rebates_Water Heater_Storage 88% TE ≥75MBh_CI</v>
      </c>
      <c r="C2662" s="2" t="str">
        <f t="shared" si="83"/>
        <v>PGL_Business_Small/Mid-Size Business_Rebates_Water Heater_Storage 88% TE ≥75MBh_CI_2023</v>
      </c>
      <c r="D2662" s="19" t="s">
        <v>1794</v>
      </c>
      <c r="E2662" s="19" t="s">
        <v>3</v>
      </c>
      <c r="F2662" s="19" t="s">
        <v>1432</v>
      </c>
      <c r="G2662" s="19" t="s">
        <v>1429</v>
      </c>
      <c r="H2662" s="19" t="s">
        <v>8</v>
      </c>
      <c r="I2662" s="19" t="s">
        <v>1262</v>
      </c>
      <c r="J2662" s="19" t="s">
        <v>1263</v>
      </c>
      <c r="K2662" s="19" t="s">
        <v>1159</v>
      </c>
      <c r="L2662" s="19">
        <v>2023</v>
      </c>
      <c r="M2662" s="20">
        <v>1</v>
      </c>
      <c r="N2662" s="19" t="s">
        <v>1798</v>
      </c>
      <c r="O2662" s="20">
        <v>0</v>
      </c>
      <c r="P2662" s="20">
        <v>0</v>
      </c>
      <c r="Q2662" s="20">
        <v>0</v>
      </c>
      <c r="R2662" s="21">
        <v>0.92</v>
      </c>
      <c r="S2662" s="20">
        <v>0</v>
      </c>
    </row>
    <row r="2663" spans="2:19" ht="15" customHeight="1" x14ac:dyDescent="0.25">
      <c r="B2663" s="2" t="str">
        <f t="shared" si="82"/>
        <v>PGL_Business_Small/Mid-Size Business_Rebates_Water Heater_Storage 88% TE ≥75MBh_CI</v>
      </c>
      <c r="C2663" s="2" t="str">
        <f t="shared" si="83"/>
        <v>PGL_Business_Small/Mid-Size Business_Rebates_Water Heater_Storage 88% TE ≥75MBh_CI_2024</v>
      </c>
      <c r="D2663" s="19" t="s">
        <v>1794</v>
      </c>
      <c r="E2663" s="19" t="s">
        <v>3</v>
      </c>
      <c r="F2663" s="19" t="s">
        <v>1432</v>
      </c>
      <c r="G2663" s="19" t="s">
        <v>1429</v>
      </c>
      <c r="H2663" s="19" t="s">
        <v>8</v>
      </c>
      <c r="I2663" s="19" t="s">
        <v>1262</v>
      </c>
      <c r="J2663" s="19" t="s">
        <v>1263</v>
      </c>
      <c r="K2663" s="19" t="s">
        <v>1159</v>
      </c>
      <c r="L2663" s="19">
        <v>2024</v>
      </c>
      <c r="M2663" s="20">
        <v>1</v>
      </c>
      <c r="N2663" s="19" t="s">
        <v>1798</v>
      </c>
      <c r="O2663" s="20">
        <v>0</v>
      </c>
      <c r="P2663" s="20">
        <v>0</v>
      </c>
      <c r="Q2663" s="20">
        <v>0</v>
      </c>
      <c r="R2663" s="21">
        <v>0.92</v>
      </c>
      <c r="S2663" s="20">
        <v>0</v>
      </c>
    </row>
    <row r="2664" spans="2:19" ht="15" customHeight="1" x14ac:dyDescent="0.25">
      <c r="B2664" s="2" t="str">
        <f t="shared" si="82"/>
        <v>PGL_Business_Small/Mid-Size Business_Rebates_Water Heater_Storage 88% TE ≥75MBh_CI</v>
      </c>
      <c r="C2664" s="2" t="str">
        <f t="shared" si="83"/>
        <v>PGL_Business_Small/Mid-Size Business_Rebates_Water Heater_Storage 88% TE ≥75MBh_CI_2025</v>
      </c>
      <c r="D2664" s="19" t="s">
        <v>1794</v>
      </c>
      <c r="E2664" s="19" t="s">
        <v>3</v>
      </c>
      <c r="F2664" s="19" t="s">
        <v>1432</v>
      </c>
      <c r="G2664" s="19" t="s">
        <v>1429</v>
      </c>
      <c r="H2664" s="19" t="s">
        <v>8</v>
      </c>
      <c r="I2664" s="19" t="s">
        <v>1262</v>
      </c>
      <c r="J2664" s="19" t="s">
        <v>1263</v>
      </c>
      <c r="K2664" s="19" t="s">
        <v>1159</v>
      </c>
      <c r="L2664" s="19">
        <v>2025</v>
      </c>
      <c r="M2664" s="20">
        <v>1</v>
      </c>
      <c r="N2664" s="19" t="s">
        <v>1798</v>
      </c>
      <c r="O2664" s="20">
        <v>0</v>
      </c>
      <c r="P2664" s="20">
        <v>0</v>
      </c>
      <c r="Q2664" s="20">
        <v>0</v>
      </c>
      <c r="R2664" s="21">
        <v>0.92</v>
      </c>
      <c r="S2664" s="20">
        <v>0</v>
      </c>
    </row>
    <row r="2665" spans="2:19" ht="15" customHeight="1" x14ac:dyDescent="0.25">
      <c r="B2665" s="2" t="str">
        <f t="shared" si="82"/>
        <v>PGL_Business_Small/Mid-Size Business_Partner Trade Ally Rebate_Boiler_≥88% AFUE, &lt;300MBh_CI</v>
      </c>
      <c r="C2665" s="2" t="str">
        <f t="shared" si="83"/>
        <v>PGL_Business_Small/Mid-Size Business_Partner Trade Ally Rebate_Boiler_≥88% AFUE, &lt;300MBh_CI_2022</v>
      </c>
      <c r="D2665" s="19" t="s">
        <v>1794</v>
      </c>
      <c r="E2665" s="19" t="s">
        <v>3</v>
      </c>
      <c r="F2665" s="19" t="s">
        <v>1432</v>
      </c>
      <c r="G2665" s="19" t="s">
        <v>1799</v>
      </c>
      <c r="H2665" s="19" t="s">
        <v>944</v>
      </c>
      <c r="I2665" s="19" t="s">
        <v>945</v>
      </c>
      <c r="J2665" s="19" t="s">
        <v>942</v>
      </c>
      <c r="K2665" s="19" t="s">
        <v>1159</v>
      </c>
      <c r="L2665" s="19">
        <v>2022</v>
      </c>
      <c r="M2665" s="20">
        <v>100</v>
      </c>
      <c r="N2665" s="19" t="s">
        <v>667</v>
      </c>
      <c r="O2665" s="20">
        <v>34</v>
      </c>
      <c r="P2665" s="20">
        <v>3400</v>
      </c>
      <c r="Q2665" s="20">
        <v>2474.0990476190495</v>
      </c>
      <c r="R2665" s="21">
        <v>0.92</v>
      </c>
      <c r="S2665" s="20">
        <v>2474.0990476190495</v>
      </c>
    </row>
    <row r="2666" spans="2:19" ht="15" customHeight="1" x14ac:dyDescent="0.25">
      <c r="B2666" s="2" t="str">
        <f t="shared" si="82"/>
        <v>PGL_Business_Small/Mid-Size Business_Partner Trade Ally Rebate_Boiler_≥88% AFUE, &lt;300MBh_CI</v>
      </c>
      <c r="C2666" s="2" t="str">
        <f t="shared" si="83"/>
        <v>PGL_Business_Small/Mid-Size Business_Partner Trade Ally Rebate_Boiler_≥88% AFUE, &lt;300MBh_CI_2023</v>
      </c>
      <c r="D2666" s="19" t="s">
        <v>1794</v>
      </c>
      <c r="E2666" s="19" t="s">
        <v>3</v>
      </c>
      <c r="F2666" s="19" t="s">
        <v>1432</v>
      </c>
      <c r="G2666" s="19" t="s">
        <v>1799</v>
      </c>
      <c r="H2666" s="19" t="s">
        <v>944</v>
      </c>
      <c r="I2666" s="19" t="s">
        <v>945</v>
      </c>
      <c r="J2666" s="19" t="s">
        <v>942</v>
      </c>
      <c r="K2666" s="19" t="s">
        <v>1159</v>
      </c>
      <c r="L2666" s="19">
        <v>2023</v>
      </c>
      <c r="M2666" s="20">
        <v>100</v>
      </c>
      <c r="N2666" s="19" t="s">
        <v>667</v>
      </c>
      <c r="O2666" s="20">
        <v>32</v>
      </c>
      <c r="P2666" s="20">
        <v>3200</v>
      </c>
      <c r="Q2666" s="20">
        <v>2328.5638095238114</v>
      </c>
      <c r="R2666" s="21">
        <v>0.92</v>
      </c>
      <c r="S2666" s="20">
        <v>2328.5638095238114</v>
      </c>
    </row>
    <row r="2667" spans="2:19" ht="15" customHeight="1" x14ac:dyDescent="0.25">
      <c r="B2667" s="2" t="str">
        <f t="shared" si="82"/>
        <v>PGL_Business_Small/Mid-Size Business_Partner Trade Ally Rebate_Boiler_≥88% AFUE, &lt;300MBh_CI</v>
      </c>
      <c r="C2667" s="2" t="str">
        <f t="shared" si="83"/>
        <v>PGL_Business_Small/Mid-Size Business_Partner Trade Ally Rebate_Boiler_≥88% AFUE, &lt;300MBh_CI_2024</v>
      </c>
      <c r="D2667" s="19" t="s">
        <v>1794</v>
      </c>
      <c r="E2667" s="19" t="s">
        <v>3</v>
      </c>
      <c r="F2667" s="19" t="s">
        <v>1432</v>
      </c>
      <c r="G2667" s="19" t="s">
        <v>1799</v>
      </c>
      <c r="H2667" s="19" t="s">
        <v>944</v>
      </c>
      <c r="I2667" s="19" t="s">
        <v>945</v>
      </c>
      <c r="J2667" s="19" t="s">
        <v>942</v>
      </c>
      <c r="K2667" s="19" t="s">
        <v>1159</v>
      </c>
      <c r="L2667" s="19">
        <v>2024</v>
      </c>
      <c r="M2667" s="20">
        <v>100</v>
      </c>
      <c r="N2667" s="19" t="s">
        <v>667</v>
      </c>
      <c r="O2667" s="20">
        <v>28</v>
      </c>
      <c r="P2667" s="20">
        <v>2800</v>
      </c>
      <c r="Q2667" s="20">
        <v>2037.4933333333349</v>
      </c>
      <c r="R2667" s="21">
        <v>0.92</v>
      </c>
      <c r="S2667" s="20">
        <v>2037.4933333333349</v>
      </c>
    </row>
    <row r="2668" spans="2:19" ht="15" customHeight="1" x14ac:dyDescent="0.25">
      <c r="B2668" s="2" t="str">
        <f t="shared" si="82"/>
        <v>PGL_Business_Small/Mid-Size Business_Partner Trade Ally Rebate_Boiler_≥88% AFUE, &lt;300MBh_CI</v>
      </c>
      <c r="C2668" s="2" t="str">
        <f t="shared" si="83"/>
        <v>PGL_Business_Small/Mid-Size Business_Partner Trade Ally Rebate_Boiler_≥88% AFUE, &lt;300MBh_CI_2025</v>
      </c>
      <c r="D2668" s="19" t="s">
        <v>1794</v>
      </c>
      <c r="E2668" s="19" t="s">
        <v>3</v>
      </c>
      <c r="F2668" s="19" t="s">
        <v>1432</v>
      </c>
      <c r="G2668" s="19" t="s">
        <v>1799</v>
      </c>
      <c r="H2668" s="19" t="s">
        <v>944</v>
      </c>
      <c r="I2668" s="19" t="s">
        <v>945</v>
      </c>
      <c r="J2668" s="19" t="s">
        <v>942</v>
      </c>
      <c r="K2668" s="19" t="s">
        <v>1159</v>
      </c>
      <c r="L2668" s="19">
        <v>2025</v>
      </c>
      <c r="M2668" s="20">
        <v>100</v>
      </c>
      <c r="N2668" s="19" t="s">
        <v>667</v>
      </c>
      <c r="O2668" s="20">
        <v>26</v>
      </c>
      <c r="P2668" s="20">
        <v>2600</v>
      </c>
      <c r="Q2668" s="20">
        <v>1891.9580952380968</v>
      </c>
      <c r="R2668" s="21">
        <v>0.92</v>
      </c>
      <c r="S2668" s="20">
        <v>1891.9580952380968</v>
      </c>
    </row>
    <row r="2669" spans="2:19" ht="15" customHeight="1" x14ac:dyDescent="0.25">
      <c r="B2669" s="2" t="str">
        <f t="shared" si="82"/>
        <v>PGL_Business_Small/Mid-Size Business_Partner Trade Ally Rebate_Boiler_≥88% AFUE, ≥300MBh TE_CI</v>
      </c>
      <c r="C2669" s="2" t="str">
        <f t="shared" si="83"/>
        <v>PGL_Business_Small/Mid-Size Business_Partner Trade Ally Rebate_Boiler_≥88% AFUE, ≥300MBh TE_CI_2022</v>
      </c>
      <c r="D2669" s="19" t="s">
        <v>1794</v>
      </c>
      <c r="E2669" s="19" t="s">
        <v>3</v>
      </c>
      <c r="F2669" s="19" t="s">
        <v>1432</v>
      </c>
      <c r="G2669" s="19" t="s">
        <v>1799</v>
      </c>
      <c r="H2669" s="19" t="s">
        <v>944</v>
      </c>
      <c r="I2669" s="19" t="s">
        <v>946</v>
      </c>
      <c r="J2669" s="19" t="s">
        <v>942</v>
      </c>
      <c r="K2669" s="19" t="s">
        <v>1159</v>
      </c>
      <c r="L2669" s="19">
        <v>2022</v>
      </c>
      <c r="M2669" s="20">
        <v>1500</v>
      </c>
      <c r="N2669" s="19" t="s">
        <v>667</v>
      </c>
      <c r="O2669" s="20">
        <v>8</v>
      </c>
      <c r="P2669" s="20">
        <v>12000</v>
      </c>
      <c r="Q2669" s="20">
        <v>18337.439999999991</v>
      </c>
      <c r="R2669" s="21">
        <v>0.92</v>
      </c>
      <c r="S2669" s="20">
        <v>18337.439999999991</v>
      </c>
    </row>
    <row r="2670" spans="2:19" ht="15" customHeight="1" x14ac:dyDescent="0.25">
      <c r="B2670" s="2" t="str">
        <f t="shared" si="82"/>
        <v>PGL_Business_Small/Mid-Size Business_Partner Trade Ally Rebate_Boiler_≥88% AFUE, ≥300MBh TE_CI</v>
      </c>
      <c r="C2670" s="2" t="str">
        <f t="shared" si="83"/>
        <v>PGL_Business_Small/Mid-Size Business_Partner Trade Ally Rebate_Boiler_≥88% AFUE, ≥300MBh TE_CI_2023</v>
      </c>
      <c r="D2670" s="19" t="s">
        <v>1794</v>
      </c>
      <c r="E2670" s="19" t="s">
        <v>3</v>
      </c>
      <c r="F2670" s="19" t="s">
        <v>1432</v>
      </c>
      <c r="G2670" s="19" t="s">
        <v>1799</v>
      </c>
      <c r="H2670" s="19" t="s">
        <v>944</v>
      </c>
      <c r="I2670" s="19" t="s">
        <v>946</v>
      </c>
      <c r="J2670" s="19" t="s">
        <v>942</v>
      </c>
      <c r="K2670" s="19" t="s">
        <v>1159</v>
      </c>
      <c r="L2670" s="19">
        <v>2023</v>
      </c>
      <c r="M2670" s="20">
        <v>1500</v>
      </c>
      <c r="N2670" s="19" t="s">
        <v>667</v>
      </c>
      <c r="O2670" s="20">
        <v>8</v>
      </c>
      <c r="P2670" s="20">
        <v>12000</v>
      </c>
      <c r="Q2670" s="20">
        <v>18337.439999999991</v>
      </c>
      <c r="R2670" s="21">
        <v>0.92</v>
      </c>
      <c r="S2670" s="20">
        <v>18337.439999999991</v>
      </c>
    </row>
    <row r="2671" spans="2:19" ht="15" customHeight="1" x14ac:dyDescent="0.25">
      <c r="B2671" s="2" t="str">
        <f t="shared" si="82"/>
        <v>PGL_Business_Small/Mid-Size Business_Partner Trade Ally Rebate_Boiler_≥88% AFUE, ≥300MBh TE_CI</v>
      </c>
      <c r="C2671" s="2" t="str">
        <f t="shared" si="83"/>
        <v>PGL_Business_Small/Mid-Size Business_Partner Trade Ally Rebate_Boiler_≥88% AFUE, ≥300MBh TE_CI_2024</v>
      </c>
      <c r="D2671" s="19" t="s">
        <v>1794</v>
      </c>
      <c r="E2671" s="19" t="s">
        <v>3</v>
      </c>
      <c r="F2671" s="19" t="s">
        <v>1432</v>
      </c>
      <c r="G2671" s="19" t="s">
        <v>1799</v>
      </c>
      <c r="H2671" s="19" t="s">
        <v>944</v>
      </c>
      <c r="I2671" s="19" t="s">
        <v>946</v>
      </c>
      <c r="J2671" s="19" t="s">
        <v>942</v>
      </c>
      <c r="K2671" s="19" t="s">
        <v>1159</v>
      </c>
      <c r="L2671" s="19">
        <v>2024</v>
      </c>
      <c r="M2671" s="20">
        <v>1500</v>
      </c>
      <c r="N2671" s="19" t="s">
        <v>667</v>
      </c>
      <c r="O2671" s="20">
        <v>7</v>
      </c>
      <c r="P2671" s="20">
        <v>10500</v>
      </c>
      <c r="Q2671" s="20">
        <v>16045.259999999991</v>
      </c>
      <c r="R2671" s="21">
        <v>0.92</v>
      </c>
      <c r="S2671" s="20">
        <v>16045.259999999991</v>
      </c>
    </row>
    <row r="2672" spans="2:19" ht="15" customHeight="1" x14ac:dyDescent="0.25">
      <c r="B2672" s="2" t="str">
        <f t="shared" si="82"/>
        <v>PGL_Business_Small/Mid-Size Business_Partner Trade Ally Rebate_Boiler_≥88% AFUE, ≥300MBh TE_CI</v>
      </c>
      <c r="C2672" s="2" t="str">
        <f t="shared" si="83"/>
        <v>PGL_Business_Small/Mid-Size Business_Partner Trade Ally Rebate_Boiler_≥88% AFUE, ≥300MBh TE_CI_2025</v>
      </c>
      <c r="D2672" s="19" t="s">
        <v>1794</v>
      </c>
      <c r="E2672" s="19" t="s">
        <v>3</v>
      </c>
      <c r="F2672" s="19" t="s">
        <v>1432</v>
      </c>
      <c r="G2672" s="19" t="s">
        <v>1799</v>
      </c>
      <c r="H2672" s="19" t="s">
        <v>944</v>
      </c>
      <c r="I2672" s="19" t="s">
        <v>946</v>
      </c>
      <c r="J2672" s="19" t="s">
        <v>942</v>
      </c>
      <c r="K2672" s="19" t="s">
        <v>1159</v>
      </c>
      <c r="L2672" s="19">
        <v>2025</v>
      </c>
      <c r="M2672" s="20">
        <v>1500</v>
      </c>
      <c r="N2672" s="19" t="s">
        <v>667</v>
      </c>
      <c r="O2672" s="20">
        <v>7</v>
      </c>
      <c r="P2672" s="20">
        <v>10500</v>
      </c>
      <c r="Q2672" s="20">
        <v>16045.259999999991</v>
      </c>
      <c r="R2672" s="21">
        <v>0.92</v>
      </c>
      <c r="S2672" s="20">
        <v>16045.259999999991</v>
      </c>
    </row>
    <row r="2673" spans="2:19" ht="15" customHeight="1" x14ac:dyDescent="0.25">
      <c r="B2673" s="2" t="str">
        <f t="shared" si="82"/>
        <v>PGL_Business_Small/Mid-Size Business_Partner Trade Ally Rebate_Boiler Reset Controls_0_CI</v>
      </c>
      <c r="C2673" s="2" t="str">
        <f t="shared" si="83"/>
        <v>PGL_Business_Small/Mid-Size Business_Partner Trade Ally Rebate_Boiler Reset Controls_0_CI_2022</v>
      </c>
      <c r="D2673" s="19" t="s">
        <v>1794</v>
      </c>
      <c r="E2673" s="19" t="s">
        <v>3</v>
      </c>
      <c r="F2673" s="19" t="s">
        <v>1432</v>
      </c>
      <c r="G2673" s="19" t="s">
        <v>1799</v>
      </c>
      <c r="H2673" s="19" t="s">
        <v>978</v>
      </c>
      <c r="I2673" s="19">
        <v>0</v>
      </c>
      <c r="J2673" s="19" t="s">
        <v>25</v>
      </c>
      <c r="K2673" s="19" t="s">
        <v>1159</v>
      </c>
      <c r="L2673" s="19">
        <v>2022</v>
      </c>
      <c r="M2673" s="20">
        <v>200</v>
      </c>
      <c r="N2673" s="19" t="s">
        <v>667</v>
      </c>
      <c r="O2673" s="20">
        <v>3</v>
      </c>
      <c r="P2673" s="20">
        <v>600</v>
      </c>
      <c r="Q2673" s="20">
        <v>741.00480000000005</v>
      </c>
      <c r="R2673" s="21">
        <v>0.92</v>
      </c>
      <c r="S2673" s="20">
        <v>741.00480000000005</v>
      </c>
    </row>
    <row r="2674" spans="2:19" ht="15" customHeight="1" x14ac:dyDescent="0.25">
      <c r="B2674" s="2" t="str">
        <f t="shared" si="82"/>
        <v>PGL_Business_Small/Mid-Size Business_Partner Trade Ally Rebate_Boiler Reset Controls_0_CI</v>
      </c>
      <c r="C2674" s="2" t="str">
        <f t="shared" si="83"/>
        <v>PGL_Business_Small/Mid-Size Business_Partner Trade Ally Rebate_Boiler Reset Controls_0_CI_2023</v>
      </c>
      <c r="D2674" s="19" t="s">
        <v>1794</v>
      </c>
      <c r="E2674" s="19" t="s">
        <v>3</v>
      </c>
      <c r="F2674" s="19" t="s">
        <v>1432</v>
      </c>
      <c r="G2674" s="19" t="s">
        <v>1799</v>
      </c>
      <c r="H2674" s="19" t="s">
        <v>978</v>
      </c>
      <c r="I2674" s="19">
        <v>0</v>
      </c>
      <c r="J2674" s="19" t="s">
        <v>25</v>
      </c>
      <c r="K2674" s="19" t="s">
        <v>1159</v>
      </c>
      <c r="L2674" s="19">
        <v>2023</v>
      </c>
      <c r="M2674" s="20">
        <v>200</v>
      </c>
      <c r="N2674" s="19" t="s">
        <v>667</v>
      </c>
      <c r="O2674" s="20">
        <v>3</v>
      </c>
      <c r="P2674" s="20">
        <v>600</v>
      </c>
      <c r="Q2674" s="20">
        <v>741.00480000000005</v>
      </c>
      <c r="R2674" s="21">
        <v>0.92</v>
      </c>
      <c r="S2674" s="20">
        <v>741.00480000000005</v>
      </c>
    </row>
    <row r="2675" spans="2:19" ht="15" customHeight="1" x14ac:dyDescent="0.25">
      <c r="B2675" s="2" t="str">
        <f t="shared" si="82"/>
        <v>PGL_Business_Small/Mid-Size Business_Partner Trade Ally Rebate_Boiler Reset Controls_0_CI</v>
      </c>
      <c r="C2675" s="2" t="str">
        <f t="shared" si="83"/>
        <v>PGL_Business_Small/Mid-Size Business_Partner Trade Ally Rebate_Boiler Reset Controls_0_CI_2024</v>
      </c>
      <c r="D2675" s="19" t="s">
        <v>1794</v>
      </c>
      <c r="E2675" s="19" t="s">
        <v>3</v>
      </c>
      <c r="F2675" s="19" t="s">
        <v>1432</v>
      </c>
      <c r="G2675" s="19" t="s">
        <v>1799</v>
      </c>
      <c r="H2675" s="19" t="s">
        <v>978</v>
      </c>
      <c r="I2675" s="19">
        <v>0</v>
      </c>
      <c r="J2675" s="19" t="s">
        <v>25</v>
      </c>
      <c r="K2675" s="19" t="s">
        <v>1159</v>
      </c>
      <c r="L2675" s="19">
        <v>2024</v>
      </c>
      <c r="M2675" s="20">
        <v>200</v>
      </c>
      <c r="N2675" s="19" t="s">
        <v>667</v>
      </c>
      <c r="O2675" s="20">
        <v>3</v>
      </c>
      <c r="P2675" s="20">
        <v>600</v>
      </c>
      <c r="Q2675" s="20">
        <v>741.00480000000005</v>
      </c>
      <c r="R2675" s="21">
        <v>0.92</v>
      </c>
      <c r="S2675" s="20">
        <v>741.00480000000005</v>
      </c>
    </row>
    <row r="2676" spans="2:19" ht="15" customHeight="1" x14ac:dyDescent="0.25">
      <c r="B2676" s="2" t="str">
        <f t="shared" si="82"/>
        <v>PGL_Business_Small/Mid-Size Business_Partner Trade Ally Rebate_Boiler Reset Controls_0_CI</v>
      </c>
      <c r="C2676" s="2" t="str">
        <f t="shared" si="83"/>
        <v>PGL_Business_Small/Mid-Size Business_Partner Trade Ally Rebate_Boiler Reset Controls_0_CI_2025</v>
      </c>
      <c r="D2676" s="19" t="s">
        <v>1794</v>
      </c>
      <c r="E2676" s="19" t="s">
        <v>3</v>
      </c>
      <c r="F2676" s="19" t="s">
        <v>1432</v>
      </c>
      <c r="G2676" s="19" t="s">
        <v>1799</v>
      </c>
      <c r="H2676" s="19" t="s">
        <v>978</v>
      </c>
      <c r="I2676" s="19">
        <v>0</v>
      </c>
      <c r="J2676" s="19" t="s">
        <v>25</v>
      </c>
      <c r="K2676" s="19" t="s">
        <v>1159</v>
      </c>
      <c r="L2676" s="19">
        <v>2025</v>
      </c>
      <c r="M2676" s="20">
        <v>200</v>
      </c>
      <c r="N2676" s="19" t="s">
        <v>667</v>
      </c>
      <c r="O2676" s="20">
        <v>3</v>
      </c>
      <c r="P2676" s="20">
        <v>600</v>
      </c>
      <c r="Q2676" s="20">
        <v>741.00480000000005</v>
      </c>
      <c r="R2676" s="21">
        <v>0.92</v>
      </c>
      <c r="S2676" s="20">
        <v>741.00480000000005</v>
      </c>
    </row>
    <row r="2677" spans="2:19" ht="15" customHeight="1" x14ac:dyDescent="0.25">
      <c r="B2677" s="2" t="str">
        <f t="shared" si="82"/>
        <v>PGL_Business_Small/Mid-Size Business_Partner Trade Ally Rebate_Boiler Tune Up_Process_MF/CI</v>
      </c>
      <c r="C2677" s="2" t="str">
        <f t="shared" si="83"/>
        <v>PGL_Business_Small/Mid-Size Business_Partner Trade Ally Rebate_Boiler Tune Up_Process_MF/CI_2022</v>
      </c>
      <c r="D2677" s="19" t="s">
        <v>1794</v>
      </c>
      <c r="E2677" s="19" t="s">
        <v>3</v>
      </c>
      <c r="F2677" s="19" t="s">
        <v>1432</v>
      </c>
      <c r="G2677" s="19" t="s">
        <v>1799</v>
      </c>
      <c r="H2677" s="19" t="s">
        <v>906</v>
      </c>
      <c r="I2677" s="19" t="s">
        <v>924</v>
      </c>
      <c r="J2677" s="19" t="s">
        <v>927</v>
      </c>
      <c r="K2677" s="19" t="s">
        <v>587</v>
      </c>
      <c r="L2677" s="19">
        <v>2022</v>
      </c>
      <c r="M2677" s="20">
        <v>5277.8760000000002</v>
      </c>
      <c r="N2677" s="19" t="s">
        <v>667</v>
      </c>
      <c r="O2677" s="20">
        <v>21</v>
      </c>
      <c r="P2677" s="20">
        <v>110835.39600000001</v>
      </c>
      <c r="Q2677" s="20">
        <v>104286.85789888841</v>
      </c>
      <c r="R2677" s="21">
        <v>0.92</v>
      </c>
      <c r="S2677" s="20">
        <v>104286.85789888841</v>
      </c>
    </row>
    <row r="2678" spans="2:19" ht="15" customHeight="1" x14ac:dyDescent="0.25">
      <c r="B2678" s="2" t="str">
        <f t="shared" si="82"/>
        <v>PGL_Business_Small/Mid-Size Business_Partner Trade Ally Rebate_Boiler Tune Up_Process_MF/CI</v>
      </c>
      <c r="C2678" s="2" t="str">
        <f t="shared" si="83"/>
        <v>PGL_Business_Small/Mid-Size Business_Partner Trade Ally Rebate_Boiler Tune Up_Process_MF/CI_2023</v>
      </c>
      <c r="D2678" s="19" t="s">
        <v>1794</v>
      </c>
      <c r="E2678" s="19" t="s">
        <v>3</v>
      </c>
      <c r="F2678" s="19" t="s">
        <v>1432</v>
      </c>
      <c r="G2678" s="19" t="s">
        <v>1799</v>
      </c>
      <c r="H2678" s="19" t="s">
        <v>906</v>
      </c>
      <c r="I2678" s="19" t="s">
        <v>924</v>
      </c>
      <c r="J2678" s="19" t="s">
        <v>927</v>
      </c>
      <c r="K2678" s="19" t="s">
        <v>587</v>
      </c>
      <c r="L2678" s="19">
        <v>2023</v>
      </c>
      <c r="M2678" s="20">
        <v>5277.8760000000002</v>
      </c>
      <c r="N2678" s="19" t="s">
        <v>667</v>
      </c>
      <c r="O2678" s="20">
        <v>20</v>
      </c>
      <c r="P2678" s="20">
        <v>105557.52</v>
      </c>
      <c r="Q2678" s="20">
        <v>99320.817046560391</v>
      </c>
      <c r="R2678" s="21">
        <v>0.92</v>
      </c>
      <c r="S2678" s="20">
        <v>99320.817046560391</v>
      </c>
    </row>
    <row r="2679" spans="2:19" ht="15" customHeight="1" x14ac:dyDescent="0.25">
      <c r="B2679" s="2" t="str">
        <f t="shared" si="82"/>
        <v>PGL_Business_Small/Mid-Size Business_Partner Trade Ally Rebate_Boiler Tune Up_Process_MF/CI</v>
      </c>
      <c r="C2679" s="2" t="str">
        <f t="shared" si="83"/>
        <v>PGL_Business_Small/Mid-Size Business_Partner Trade Ally Rebate_Boiler Tune Up_Process_MF/CI_2024</v>
      </c>
      <c r="D2679" s="19" t="s">
        <v>1794</v>
      </c>
      <c r="E2679" s="19" t="s">
        <v>3</v>
      </c>
      <c r="F2679" s="19" t="s">
        <v>1432</v>
      </c>
      <c r="G2679" s="19" t="s">
        <v>1799</v>
      </c>
      <c r="H2679" s="19" t="s">
        <v>906</v>
      </c>
      <c r="I2679" s="19" t="s">
        <v>924</v>
      </c>
      <c r="J2679" s="19" t="s">
        <v>927</v>
      </c>
      <c r="K2679" s="19" t="s">
        <v>587</v>
      </c>
      <c r="L2679" s="19">
        <v>2024</v>
      </c>
      <c r="M2679" s="20">
        <v>5277.8760000000002</v>
      </c>
      <c r="N2679" s="19" t="s">
        <v>667</v>
      </c>
      <c r="O2679" s="20">
        <v>17</v>
      </c>
      <c r="P2679" s="20">
        <v>89723.892000000007</v>
      </c>
      <c r="Q2679" s="20">
        <v>84422.69448957633</v>
      </c>
      <c r="R2679" s="21">
        <v>0.92</v>
      </c>
      <c r="S2679" s="20">
        <v>84422.69448957633</v>
      </c>
    </row>
    <row r="2680" spans="2:19" ht="15" customHeight="1" x14ac:dyDescent="0.25">
      <c r="B2680" s="2" t="str">
        <f t="shared" si="82"/>
        <v>PGL_Business_Small/Mid-Size Business_Partner Trade Ally Rebate_Boiler Tune Up_Process_MF/CI</v>
      </c>
      <c r="C2680" s="2" t="str">
        <f t="shared" si="83"/>
        <v>PGL_Business_Small/Mid-Size Business_Partner Trade Ally Rebate_Boiler Tune Up_Process_MF/CI_2025</v>
      </c>
      <c r="D2680" s="19" t="s">
        <v>1794</v>
      </c>
      <c r="E2680" s="19" t="s">
        <v>3</v>
      </c>
      <c r="F2680" s="19" t="s">
        <v>1432</v>
      </c>
      <c r="G2680" s="19" t="s">
        <v>1799</v>
      </c>
      <c r="H2680" s="19" t="s">
        <v>906</v>
      </c>
      <c r="I2680" s="19" t="s">
        <v>924</v>
      </c>
      <c r="J2680" s="19" t="s">
        <v>927</v>
      </c>
      <c r="K2680" s="19" t="s">
        <v>587</v>
      </c>
      <c r="L2680" s="19">
        <v>2025</v>
      </c>
      <c r="M2680" s="20">
        <v>5277.8760000000002</v>
      </c>
      <c r="N2680" s="19" t="s">
        <v>667</v>
      </c>
      <c r="O2680" s="20">
        <v>16</v>
      </c>
      <c r="P2680" s="20">
        <v>84446.016000000003</v>
      </c>
      <c r="Q2680" s="20">
        <v>79456.65363724831</v>
      </c>
      <c r="R2680" s="21">
        <v>0.92</v>
      </c>
      <c r="S2680" s="20">
        <v>79456.65363724831</v>
      </c>
    </row>
    <row r="2681" spans="2:19" ht="15" customHeight="1" x14ac:dyDescent="0.25">
      <c r="B2681" s="2" t="str">
        <f t="shared" si="82"/>
        <v>PGL_Business_Small/Mid-Size Business_Partner Trade Ally Rebate_Boiler Tune Up_Space Heating_CI</v>
      </c>
      <c r="C2681" s="2" t="str">
        <f t="shared" si="83"/>
        <v>PGL_Business_Small/Mid-Size Business_Partner Trade Ally Rebate_Boiler Tune Up_Space Heating_CI_2022</v>
      </c>
      <c r="D2681" s="19" t="s">
        <v>1794</v>
      </c>
      <c r="E2681" s="19" t="s">
        <v>3</v>
      </c>
      <c r="F2681" s="19" t="s">
        <v>1432</v>
      </c>
      <c r="G2681" s="19" t="s">
        <v>1799</v>
      </c>
      <c r="H2681" s="19" t="s">
        <v>906</v>
      </c>
      <c r="I2681" s="19" t="s">
        <v>907</v>
      </c>
      <c r="J2681" s="19" t="s">
        <v>909</v>
      </c>
      <c r="K2681" s="19" t="s">
        <v>1159</v>
      </c>
      <c r="L2681" s="19">
        <v>2022</v>
      </c>
      <c r="M2681" s="20">
        <v>5078.5</v>
      </c>
      <c r="N2681" s="19" t="s">
        <v>667</v>
      </c>
      <c r="O2681" s="20">
        <v>84</v>
      </c>
      <c r="P2681" s="20">
        <v>426594</v>
      </c>
      <c r="Q2681" s="20">
        <v>183968.06055754641</v>
      </c>
      <c r="R2681" s="21">
        <v>0.92</v>
      </c>
      <c r="S2681" s="20">
        <v>183968.06055754641</v>
      </c>
    </row>
    <row r="2682" spans="2:19" ht="15" customHeight="1" x14ac:dyDescent="0.25">
      <c r="B2682" s="2" t="str">
        <f t="shared" si="82"/>
        <v>PGL_Business_Small/Mid-Size Business_Partner Trade Ally Rebate_Boiler Tune Up_Space Heating_CI</v>
      </c>
      <c r="C2682" s="2" t="str">
        <f t="shared" si="83"/>
        <v>PGL_Business_Small/Mid-Size Business_Partner Trade Ally Rebate_Boiler Tune Up_Space Heating_CI_2023</v>
      </c>
      <c r="D2682" s="19" t="s">
        <v>1794</v>
      </c>
      <c r="E2682" s="19" t="s">
        <v>3</v>
      </c>
      <c r="F2682" s="19" t="s">
        <v>1432</v>
      </c>
      <c r="G2682" s="19" t="s">
        <v>1799</v>
      </c>
      <c r="H2682" s="19" t="s">
        <v>906</v>
      </c>
      <c r="I2682" s="19" t="s">
        <v>907</v>
      </c>
      <c r="J2682" s="19" t="s">
        <v>909</v>
      </c>
      <c r="K2682" s="19" t="s">
        <v>1159</v>
      </c>
      <c r="L2682" s="19">
        <v>2023</v>
      </c>
      <c r="M2682" s="20">
        <v>5078.5</v>
      </c>
      <c r="N2682" s="19" t="s">
        <v>667</v>
      </c>
      <c r="O2682" s="20">
        <v>79</v>
      </c>
      <c r="P2682" s="20">
        <v>401201.5</v>
      </c>
      <c r="Q2682" s="20">
        <v>173017.5807624544</v>
      </c>
      <c r="R2682" s="21">
        <v>0.92</v>
      </c>
      <c r="S2682" s="20">
        <v>173017.5807624544</v>
      </c>
    </row>
    <row r="2683" spans="2:19" ht="15" customHeight="1" x14ac:dyDescent="0.25">
      <c r="B2683" s="2" t="str">
        <f t="shared" si="82"/>
        <v>PGL_Business_Small/Mid-Size Business_Partner Trade Ally Rebate_Boiler Tune Up_Space Heating_CI</v>
      </c>
      <c r="C2683" s="2" t="str">
        <f t="shared" si="83"/>
        <v>PGL_Business_Small/Mid-Size Business_Partner Trade Ally Rebate_Boiler Tune Up_Space Heating_CI_2024</v>
      </c>
      <c r="D2683" s="19" t="s">
        <v>1794</v>
      </c>
      <c r="E2683" s="19" t="s">
        <v>3</v>
      </c>
      <c r="F2683" s="19" t="s">
        <v>1432</v>
      </c>
      <c r="G2683" s="19" t="s">
        <v>1799</v>
      </c>
      <c r="H2683" s="19" t="s">
        <v>906</v>
      </c>
      <c r="I2683" s="19" t="s">
        <v>907</v>
      </c>
      <c r="J2683" s="19" t="s">
        <v>909</v>
      </c>
      <c r="K2683" s="19" t="s">
        <v>1159</v>
      </c>
      <c r="L2683" s="19">
        <v>2024</v>
      </c>
      <c r="M2683" s="20">
        <v>5078.5</v>
      </c>
      <c r="N2683" s="19" t="s">
        <v>667</v>
      </c>
      <c r="O2683" s="20">
        <v>69</v>
      </c>
      <c r="P2683" s="20">
        <v>350416.5</v>
      </c>
      <c r="Q2683" s="20">
        <v>151116.6211722703</v>
      </c>
      <c r="R2683" s="21">
        <v>0.92</v>
      </c>
      <c r="S2683" s="20">
        <v>151116.6211722703</v>
      </c>
    </row>
    <row r="2684" spans="2:19" ht="15" customHeight="1" x14ac:dyDescent="0.25">
      <c r="B2684" s="2" t="str">
        <f t="shared" si="82"/>
        <v>PGL_Business_Small/Mid-Size Business_Partner Trade Ally Rebate_Boiler Tune Up_Space Heating_CI</v>
      </c>
      <c r="C2684" s="2" t="str">
        <f t="shared" si="83"/>
        <v>PGL_Business_Small/Mid-Size Business_Partner Trade Ally Rebate_Boiler Tune Up_Space Heating_CI_2025</v>
      </c>
      <c r="D2684" s="19" t="s">
        <v>1794</v>
      </c>
      <c r="E2684" s="19" t="s">
        <v>3</v>
      </c>
      <c r="F2684" s="19" t="s">
        <v>1432</v>
      </c>
      <c r="G2684" s="19" t="s">
        <v>1799</v>
      </c>
      <c r="H2684" s="19" t="s">
        <v>906</v>
      </c>
      <c r="I2684" s="19" t="s">
        <v>907</v>
      </c>
      <c r="J2684" s="19" t="s">
        <v>909</v>
      </c>
      <c r="K2684" s="19" t="s">
        <v>1159</v>
      </c>
      <c r="L2684" s="19">
        <v>2025</v>
      </c>
      <c r="M2684" s="20">
        <v>5078.5</v>
      </c>
      <c r="N2684" s="19" t="s">
        <v>667</v>
      </c>
      <c r="O2684" s="20">
        <v>65</v>
      </c>
      <c r="P2684" s="20">
        <v>330102.5</v>
      </c>
      <c r="Q2684" s="20">
        <v>142356.23733619665</v>
      </c>
      <c r="R2684" s="21">
        <v>0.92</v>
      </c>
      <c r="S2684" s="20">
        <v>142356.23733619665</v>
      </c>
    </row>
    <row r="2685" spans="2:19" ht="15" customHeight="1" x14ac:dyDescent="0.25">
      <c r="B2685" s="2" t="str">
        <f t="shared" si="82"/>
        <v>PGL_Business_Small/Mid-Size Business_Partner Trade Ally Rebate_Condensing Unit Heater_0_MF/CI</v>
      </c>
      <c r="C2685" s="2" t="str">
        <f t="shared" si="83"/>
        <v>PGL_Business_Small/Mid-Size Business_Partner Trade Ally Rebate_Condensing Unit Heater_0_MF/CI_2022</v>
      </c>
      <c r="D2685" s="19" t="s">
        <v>1794</v>
      </c>
      <c r="E2685" s="19" t="s">
        <v>3</v>
      </c>
      <c r="F2685" s="19" t="s">
        <v>1432</v>
      </c>
      <c r="G2685" s="19" t="s">
        <v>1799</v>
      </c>
      <c r="H2685" s="19" t="s">
        <v>13</v>
      </c>
      <c r="I2685" s="19">
        <v>0</v>
      </c>
      <c r="J2685" s="19" t="s">
        <v>32</v>
      </c>
      <c r="K2685" s="19" t="s">
        <v>587</v>
      </c>
      <c r="L2685" s="19">
        <v>2022</v>
      </c>
      <c r="M2685" s="20">
        <v>150</v>
      </c>
      <c r="N2685" s="19" t="s">
        <v>667</v>
      </c>
      <c r="O2685" s="20">
        <v>0</v>
      </c>
      <c r="P2685" s="20">
        <v>0</v>
      </c>
      <c r="Q2685" s="20">
        <v>0</v>
      </c>
      <c r="R2685" s="21">
        <v>0.92</v>
      </c>
      <c r="S2685" s="20">
        <v>0</v>
      </c>
    </row>
    <row r="2686" spans="2:19" ht="15" customHeight="1" x14ac:dyDescent="0.25">
      <c r="B2686" s="2" t="str">
        <f t="shared" si="82"/>
        <v>PGL_Business_Small/Mid-Size Business_Partner Trade Ally Rebate_Condensing Unit Heater_0_MF/CI</v>
      </c>
      <c r="C2686" s="2" t="str">
        <f t="shared" si="83"/>
        <v>PGL_Business_Small/Mid-Size Business_Partner Trade Ally Rebate_Condensing Unit Heater_0_MF/CI_2023</v>
      </c>
      <c r="D2686" s="19" t="s">
        <v>1794</v>
      </c>
      <c r="E2686" s="19" t="s">
        <v>3</v>
      </c>
      <c r="F2686" s="19" t="s">
        <v>1432</v>
      </c>
      <c r="G2686" s="19" t="s">
        <v>1799</v>
      </c>
      <c r="H2686" s="19" t="s">
        <v>13</v>
      </c>
      <c r="I2686" s="19">
        <v>0</v>
      </c>
      <c r="J2686" s="19" t="s">
        <v>32</v>
      </c>
      <c r="K2686" s="19" t="s">
        <v>587</v>
      </c>
      <c r="L2686" s="19">
        <v>2023</v>
      </c>
      <c r="M2686" s="20">
        <v>150</v>
      </c>
      <c r="N2686" s="19" t="s">
        <v>667</v>
      </c>
      <c r="O2686" s="20">
        <v>0</v>
      </c>
      <c r="P2686" s="20">
        <v>0</v>
      </c>
      <c r="Q2686" s="20">
        <v>0</v>
      </c>
      <c r="R2686" s="21">
        <v>0.92</v>
      </c>
      <c r="S2686" s="20">
        <v>0</v>
      </c>
    </row>
    <row r="2687" spans="2:19" ht="15" customHeight="1" x14ac:dyDescent="0.25">
      <c r="B2687" s="2" t="str">
        <f t="shared" si="82"/>
        <v>PGL_Business_Small/Mid-Size Business_Partner Trade Ally Rebate_Condensing Unit Heater_0_MF/CI</v>
      </c>
      <c r="C2687" s="2" t="str">
        <f t="shared" si="83"/>
        <v>PGL_Business_Small/Mid-Size Business_Partner Trade Ally Rebate_Condensing Unit Heater_0_MF/CI_2024</v>
      </c>
      <c r="D2687" s="19" t="s">
        <v>1794</v>
      </c>
      <c r="E2687" s="19" t="s">
        <v>3</v>
      </c>
      <c r="F2687" s="19" t="s">
        <v>1432</v>
      </c>
      <c r="G2687" s="19" t="s">
        <v>1799</v>
      </c>
      <c r="H2687" s="19" t="s">
        <v>13</v>
      </c>
      <c r="I2687" s="19">
        <v>0</v>
      </c>
      <c r="J2687" s="19" t="s">
        <v>32</v>
      </c>
      <c r="K2687" s="19" t="s">
        <v>587</v>
      </c>
      <c r="L2687" s="19">
        <v>2024</v>
      </c>
      <c r="M2687" s="20">
        <v>150</v>
      </c>
      <c r="N2687" s="19" t="s">
        <v>667</v>
      </c>
      <c r="O2687" s="20">
        <v>0</v>
      </c>
      <c r="P2687" s="20">
        <v>0</v>
      </c>
      <c r="Q2687" s="20">
        <v>0</v>
      </c>
      <c r="R2687" s="21">
        <v>0.92</v>
      </c>
      <c r="S2687" s="20">
        <v>0</v>
      </c>
    </row>
    <row r="2688" spans="2:19" ht="15" customHeight="1" x14ac:dyDescent="0.25">
      <c r="B2688" s="2" t="str">
        <f t="shared" si="82"/>
        <v>PGL_Business_Small/Mid-Size Business_Partner Trade Ally Rebate_Condensing Unit Heater_0_MF/CI</v>
      </c>
      <c r="C2688" s="2" t="str">
        <f t="shared" si="83"/>
        <v>PGL_Business_Small/Mid-Size Business_Partner Trade Ally Rebate_Condensing Unit Heater_0_MF/CI_2025</v>
      </c>
      <c r="D2688" s="19" t="s">
        <v>1794</v>
      </c>
      <c r="E2688" s="19" t="s">
        <v>3</v>
      </c>
      <c r="F2688" s="19" t="s">
        <v>1432</v>
      </c>
      <c r="G2688" s="19" t="s">
        <v>1799</v>
      </c>
      <c r="H2688" s="19" t="s">
        <v>13</v>
      </c>
      <c r="I2688" s="19">
        <v>0</v>
      </c>
      <c r="J2688" s="19" t="s">
        <v>32</v>
      </c>
      <c r="K2688" s="19" t="s">
        <v>587</v>
      </c>
      <c r="L2688" s="19">
        <v>2025</v>
      </c>
      <c r="M2688" s="20">
        <v>150</v>
      </c>
      <c r="N2688" s="19" t="s">
        <v>667</v>
      </c>
      <c r="O2688" s="20">
        <v>0</v>
      </c>
      <c r="P2688" s="20">
        <v>0</v>
      </c>
      <c r="Q2688" s="20">
        <v>0</v>
      </c>
      <c r="R2688" s="21">
        <v>0.92</v>
      </c>
      <c r="S2688" s="20">
        <v>0</v>
      </c>
    </row>
    <row r="2689" spans="2:19" ht="15" customHeight="1" x14ac:dyDescent="0.25">
      <c r="B2689" s="2" t="str">
        <f t="shared" si="82"/>
        <v>PGL_Business_Small/Mid-Size Business_Partner Trade Ally Rebate_DCV - Kitchen_0_MF/CI</v>
      </c>
      <c r="C2689" s="2" t="str">
        <f t="shared" si="83"/>
        <v>PGL_Business_Small/Mid-Size Business_Partner Trade Ally Rebate_DCV - Kitchen_0_MF/CI_2022</v>
      </c>
      <c r="D2689" s="19" t="s">
        <v>1794</v>
      </c>
      <c r="E2689" s="19" t="s">
        <v>3</v>
      </c>
      <c r="F2689" s="19" t="s">
        <v>1432</v>
      </c>
      <c r="G2689" s="19" t="s">
        <v>1799</v>
      </c>
      <c r="H2689" s="19" t="s">
        <v>1077</v>
      </c>
      <c r="I2689" s="19">
        <v>0</v>
      </c>
      <c r="J2689" s="19" t="s">
        <v>48</v>
      </c>
      <c r="K2689" s="19" t="s">
        <v>587</v>
      </c>
      <c r="L2689" s="19">
        <v>2022</v>
      </c>
      <c r="M2689" s="20">
        <v>7.75</v>
      </c>
      <c r="N2689" s="19" t="s">
        <v>333</v>
      </c>
      <c r="O2689" s="20">
        <v>0</v>
      </c>
      <c r="P2689" s="20">
        <v>0</v>
      </c>
      <c r="Q2689" s="20">
        <v>0</v>
      </c>
      <c r="R2689" s="21">
        <v>0.92</v>
      </c>
      <c r="S2689" s="20">
        <v>0</v>
      </c>
    </row>
    <row r="2690" spans="2:19" ht="15" customHeight="1" x14ac:dyDescent="0.25">
      <c r="B2690" s="2" t="str">
        <f t="shared" si="82"/>
        <v>PGL_Business_Small/Mid-Size Business_Partner Trade Ally Rebate_DCV - Kitchen_0_MF/CI</v>
      </c>
      <c r="C2690" s="2" t="str">
        <f t="shared" si="83"/>
        <v>PGL_Business_Small/Mid-Size Business_Partner Trade Ally Rebate_DCV - Kitchen_0_MF/CI_2023</v>
      </c>
      <c r="D2690" s="19" t="s">
        <v>1794</v>
      </c>
      <c r="E2690" s="19" t="s">
        <v>3</v>
      </c>
      <c r="F2690" s="19" t="s">
        <v>1432</v>
      </c>
      <c r="G2690" s="19" t="s">
        <v>1799</v>
      </c>
      <c r="H2690" s="19" t="s">
        <v>1077</v>
      </c>
      <c r="I2690" s="19">
        <v>0</v>
      </c>
      <c r="J2690" s="19" t="s">
        <v>48</v>
      </c>
      <c r="K2690" s="19" t="s">
        <v>587</v>
      </c>
      <c r="L2690" s="19">
        <v>2023</v>
      </c>
      <c r="M2690" s="20">
        <v>7.75</v>
      </c>
      <c r="N2690" s="19" t="s">
        <v>333</v>
      </c>
      <c r="O2690" s="20">
        <v>0</v>
      </c>
      <c r="P2690" s="20">
        <v>0</v>
      </c>
      <c r="Q2690" s="20">
        <v>0</v>
      </c>
      <c r="R2690" s="21">
        <v>0.92</v>
      </c>
      <c r="S2690" s="20">
        <v>0</v>
      </c>
    </row>
    <row r="2691" spans="2:19" ht="15" customHeight="1" x14ac:dyDescent="0.25">
      <c r="B2691" s="2" t="str">
        <f t="shared" si="82"/>
        <v>PGL_Business_Small/Mid-Size Business_Partner Trade Ally Rebate_DCV - Kitchen_0_MF/CI</v>
      </c>
      <c r="C2691" s="2" t="str">
        <f t="shared" si="83"/>
        <v>PGL_Business_Small/Mid-Size Business_Partner Trade Ally Rebate_DCV - Kitchen_0_MF/CI_2024</v>
      </c>
      <c r="D2691" s="19" t="s">
        <v>1794</v>
      </c>
      <c r="E2691" s="19" t="s">
        <v>3</v>
      </c>
      <c r="F2691" s="19" t="s">
        <v>1432</v>
      </c>
      <c r="G2691" s="19" t="s">
        <v>1799</v>
      </c>
      <c r="H2691" s="19" t="s">
        <v>1077</v>
      </c>
      <c r="I2691" s="19">
        <v>0</v>
      </c>
      <c r="J2691" s="19" t="s">
        <v>48</v>
      </c>
      <c r="K2691" s="19" t="s">
        <v>587</v>
      </c>
      <c r="L2691" s="19">
        <v>2024</v>
      </c>
      <c r="M2691" s="20">
        <v>7.75</v>
      </c>
      <c r="N2691" s="19" t="s">
        <v>333</v>
      </c>
      <c r="O2691" s="20">
        <v>0</v>
      </c>
      <c r="P2691" s="20">
        <v>0</v>
      </c>
      <c r="Q2691" s="20">
        <v>0</v>
      </c>
      <c r="R2691" s="21">
        <v>0.92</v>
      </c>
      <c r="S2691" s="20">
        <v>0</v>
      </c>
    </row>
    <row r="2692" spans="2:19" ht="15" customHeight="1" x14ac:dyDescent="0.25">
      <c r="B2692" s="2" t="str">
        <f t="shared" si="82"/>
        <v>PGL_Business_Small/Mid-Size Business_Partner Trade Ally Rebate_DCV - Kitchen_0_MF/CI</v>
      </c>
      <c r="C2692" s="2" t="str">
        <f t="shared" si="83"/>
        <v>PGL_Business_Small/Mid-Size Business_Partner Trade Ally Rebate_DCV - Kitchen_0_MF/CI_2025</v>
      </c>
      <c r="D2692" s="19" t="s">
        <v>1794</v>
      </c>
      <c r="E2692" s="19" t="s">
        <v>3</v>
      </c>
      <c r="F2692" s="19" t="s">
        <v>1432</v>
      </c>
      <c r="G2692" s="19" t="s">
        <v>1799</v>
      </c>
      <c r="H2692" s="19" t="s">
        <v>1077</v>
      </c>
      <c r="I2692" s="19">
        <v>0</v>
      </c>
      <c r="J2692" s="19" t="s">
        <v>48</v>
      </c>
      <c r="K2692" s="19" t="s">
        <v>587</v>
      </c>
      <c r="L2692" s="19">
        <v>2025</v>
      </c>
      <c r="M2692" s="20">
        <v>7.75</v>
      </c>
      <c r="N2692" s="19" t="s">
        <v>333</v>
      </c>
      <c r="O2692" s="20">
        <v>0</v>
      </c>
      <c r="P2692" s="20">
        <v>0</v>
      </c>
      <c r="Q2692" s="20">
        <v>0</v>
      </c>
      <c r="R2692" s="21">
        <v>0.92</v>
      </c>
      <c r="S2692" s="20">
        <v>0</v>
      </c>
    </row>
    <row r="2693" spans="2:19" ht="15" customHeight="1" x14ac:dyDescent="0.25">
      <c r="B2693" s="2" t="str">
        <f t="shared" si="82"/>
        <v>PGL_Business_Small/Mid-Size Business_Partner Trade Ally Rebate_Direct Fired Heaters_0_MF/CI</v>
      </c>
      <c r="C2693" s="2" t="str">
        <f t="shared" si="83"/>
        <v>PGL_Business_Small/Mid-Size Business_Partner Trade Ally Rebate_Direct Fired Heaters_0_MF/CI_2022</v>
      </c>
      <c r="D2693" s="19" t="s">
        <v>1794</v>
      </c>
      <c r="E2693" s="19" t="s">
        <v>3</v>
      </c>
      <c r="F2693" s="19" t="s">
        <v>1432</v>
      </c>
      <c r="G2693" s="19" t="s">
        <v>1799</v>
      </c>
      <c r="H2693" s="19" t="s">
        <v>666</v>
      </c>
      <c r="I2693" s="19">
        <v>0</v>
      </c>
      <c r="J2693" s="19" t="s">
        <v>673</v>
      </c>
      <c r="K2693" s="19" t="s">
        <v>587</v>
      </c>
      <c r="L2693" s="19">
        <v>2022</v>
      </c>
      <c r="M2693" s="20">
        <v>150</v>
      </c>
      <c r="N2693" s="19" t="s">
        <v>667</v>
      </c>
      <c r="O2693" s="20">
        <v>1</v>
      </c>
      <c r="P2693" s="20">
        <v>150</v>
      </c>
      <c r="Q2693" s="20">
        <v>513.36</v>
      </c>
      <c r="R2693" s="21">
        <v>0.92</v>
      </c>
      <c r="S2693" s="20">
        <v>513.36</v>
      </c>
    </row>
    <row r="2694" spans="2:19" ht="15" customHeight="1" x14ac:dyDescent="0.25">
      <c r="B2694" s="2" t="str">
        <f t="shared" ref="B2694:B2757" si="84">D2694&amp;"_"&amp;E2694&amp;"_"&amp;F2694&amp;"_"&amp;G2694&amp;"_"&amp;H2694&amp;"_"&amp;I2694&amp;"_"&amp;K2694</f>
        <v>PGL_Business_Small/Mid-Size Business_Partner Trade Ally Rebate_Direct Fired Heaters_0_MF/CI</v>
      </c>
      <c r="C2694" s="2" t="str">
        <f t="shared" ref="C2694:C2757" si="85">D2694&amp;"_"&amp;E2694&amp;"_"&amp;F2694&amp;"_"&amp;G2694&amp;"_"&amp;H2694&amp;"_"&amp;I2694&amp;"_"&amp;K2694&amp;"_"&amp;L2694</f>
        <v>PGL_Business_Small/Mid-Size Business_Partner Trade Ally Rebate_Direct Fired Heaters_0_MF/CI_2023</v>
      </c>
      <c r="D2694" s="19" t="s">
        <v>1794</v>
      </c>
      <c r="E2694" s="19" t="s">
        <v>3</v>
      </c>
      <c r="F2694" s="19" t="s">
        <v>1432</v>
      </c>
      <c r="G2694" s="19" t="s">
        <v>1799</v>
      </c>
      <c r="H2694" s="19" t="s">
        <v>666</v>
      </c>
      <c r="I2694" s="19">
        <v>0</v>
      </c>
      <c r="J2694" s="19" t="s">
        <v>673</v>
      </c>
      <c r="K2694" s="19" t="s">
        <v>587</v>
      </c>
      <c r="L2694" s="19">
        <v>2023</v>
      </c>
      <c r="M2694" s="20">
        <v>150</v>
      </c>
      <c r="N2694" s="19" t="s">
        <v>667</v>
      </c>
      <c r="O2694" s="20">
        <v>1</v>
      </c>
      <c r="P2694" s="20">
        <v>150</v>
      </c>
      <c r="Q2694" s="20">
        <v>513.36</v>
      </c>
      <c r="R2694" s="21">
        <v>0.92</v>
      </c>
      <c r="S2694" s="20">
        <v>513.36</v>
      </c>
    </row>
    <row r="2695" spans="2:19" ht="15" customHeight="1" x14ac:dyDescent="0.25">
      <c r="B2695" s="2" t="str">
        <f t="shared" si="84"/>
        <v>PGL_Business_Small/Mid-Size Business_Partner Trade Ally Rebate_Direct Fired Heaters_0_MF/CI</v>
      </c>
      <c r="C2695" s="2" t="str">
        <f t="shared" si="85"/>
        <v>PGL_Business_Small/Mid-Size Business_Partner Trade Ally Rebate_Direct Fired Heaters_0_MF/CI_2024</v>
      </c>
      <c r="D2695" s="19" t="s">
        <v>1794</v>
      </c>
      <c r="E2695" s="19" t="s">
        <v>3</v>
      </c>
      <c r="F2695" s="19" t="s">
        <v>1432</v>
      </c>
      <c r="G2695" s="19" t="s">
        <v>1799</v>
      </c>
      <c r="H2695" s="19" t="s">
        <v>666</v>
      </c>
      <c r="I2695" s="19">
        <v>0</v>
      </c>
      <c r="J2695" s="19" t="s">
        <v>673</v>
      </c>
      <c r="K2695" s="19" t="s">
        <v>587</v>
      </c>
      <c r="L2695" s="19">
        <v>2024</v>
      </c>
      <c r="M2695" s="20">
        <v>150</v>
      </c>
      <c r="N2695" s="19" t="s">
        <v>667</v>
      </c>
      <c r="O2695" s="20">
        <v>1</v>
      </c>
      <c r="P2695" s="20">
        <v>150</v>
      </c>
      <c r="Q2695" s="20">
        <v>513.36</v>
      </c>
      <c r="R2695" s="21">
        <v>0.92</v>
      </c>
      <c r="S2695" s="20">
        <v>513.36</v>
      </c>
    </row>
    <row r="2696" spans="2:19" ht="15" customHeight="1" x14ac:dyDescent="0.25">
      <c r="B2696" s="2" t="str">
        <f t="shared" si="84"/>
        <v>PGL_Business_Small/Mid-Size Business_Partner Trade Ally Rebate_Direct Fired Heaters_0_MF/CI</v>
      </c>
      <c r="C2696" s="2" t="str">
        <f t="shared" si="85"/>
        <v>PGL_Business_Small/Mid-Size Business_Partner Trade Ally Rebate_Direct Fired Heaters_0_MF/CI_2025</v>
      </c>
      <c r="D2696" s="19" t="s">
        <v>1794</v>
      </c>
      <c r="E2696" s="19" t="s">
        <v>3</v>
      </c>
      <c r="F2696" s="19" t="s">
        <v>1432</v>
      </c>
      <c r="G2696" s="19" t="s">
        <v>1799</v>
      </c>
      <c r="H2696" s="19" t="s">
        <v>666</v>
      </c>
      <c r="I2696" s="19">
        <v>0</v>
      </c>
      <c r="J2696" s="19" t="s">
        <v>673</v>
      </c>
      <c r="K2696" s="19" t="s">
        <v>587</v>
      </c>
      <c r="L2696" s="19">
        <v>2025</v>
      </c>
      <c r="M2696" s="20">
        <v>150</v>
      </c>
      <c r="N2696" s="19" t="s">
        <v>667</v>
      </c>
      <c r="O2696" s="20">
        <v>1</v>
      </c>
      <c r="P2696" s="20">
        <v>150</v>
      </c>
      <c r="Q2696" s="20">
        <v>513.36</v>
      </c>
      <c r="R2696" s="21">
        <v>0.92</v>
      </c>
      <c r="S2696" s="20">
        <v>513.36</v>
      </c>
    </row>
    <row r="2697" spans="2:19" ht="15" customHeight="1" x14ac:dyDescent="0.25">
      <c r="B2697" s="2" t="str">
        <f t="shared" si="84"/>
        <v>PGL_Business_Small/Mid-Size Business_Partner Trade Ally Rebate_High Speed Washer_Hotel/Motel/Hospital_CI</v>
      </c>
      <c r="C2697" s="2" t="str">
        <f t="shared" si="85"/>
        <v>PGL_Business_Small/Mid-Size Business_Partner Trade Ally Rebate_High Speed Washer_Hotel/Motel/Hospital_CI_2022</v>
      </c>
      <c r="D2697" s="19" t="s">
        <v>1794</v>
      </c>
      <c r="E2697" s="19" t="s">
        <v>3</v>
      </c>
      <c r="F2697" s="19" t="s">
        <v>1432</v>
      </c>
      <c r="G2697" s="19" t="s">
        <v>1799</v>
      </c>
      <c r="H2697" s="19" t="s">
        <v>725</v>
      </c>
      <c r="I2697" s="19" t="s">
        <v>1162</v>
      </c>
      <c r="J2697" s="19" t="s">
        <v>730</v>
      </c>
      <c r="K2697" s="19" t="s">
        <v>1159</v>
      </c>
      <c r="L2697" s="19">
        <v>2022</v>
      </c>
      <c r="M2697" s="20">
        <v>250</v>
      </c>
      <c r="N2697" s="19" t="s">
        <v>1803</v>
      </c>
      <c r="O2697" s="20">
        <v>63</v>
      </c>
      <c r="P2697" s="20">
        <v>15750</v>
      </c>
      <c r="Q2697" s="20">
        <v>97748.659008000002</v>
      </c>
      <c r="R2697" s="21">
        <v>0.92</v>
      </c>
      <c r="S2697" s="20">
        <v>97748.659008000002</v>
      </c>
    </row>
    <row r="2698" spans="2:19" ht="15" customHeight="1" x14ac:dyDescent="0.25">
      <c r="B2698" s="2" t="str">
        <f t="shared" si="84"/>
        <v>PGL_Business_Small/Mid-Size Business_Partner Trade Ally Rebate_High Speed Washer_Hotel/Motel/Hospital_CI</v>
      </c>
      <c r="C2698" s="2" t="str">
        <f t="shared" si="85"/>
        <v>PGL_Business_Small/Mid-Size Business_Partner Trade Ally Rebate_High Speed Washer_Hotel/Motel/Hospital_CI_2023</v>
      </c>
      <c r="D2698" s="19" t="s">
        <v>1794</v>
      </c>
      <c r="E2698" s="19" t="s">
        <v>3</v>
      </c>
      <c r="F2698" s="19" t="s">
        <v>1432</v>
      </c>
      <c r="G2698" s="19" t="s">
        <v>1799</v>
      </c>
      <c r="H2698" s="19" t="s">
        <v>725</v>
      </c>
      <c r="I2698" s="19" t="s">
        <v>1162</v>
      </c>
      <c r="J2698" s="19" t="s">
        <v>730</v>
      </c>
      <c r="K2698" s="19" t="s">
        <v>1159</v>
      </c>
      <c r="L2698" s="19">
        <v>2023</v>
      </c>
      <c r="M2698" s="20">
        <v>250</v>
      </c>
      <c r="N2698" s="19" t="s">
        <v>1803</v>
      </c>
      <c r="O2698" s="20">
        <v>59</v>
      </c>
      <c r="P2698" s="20">
        <v>14750</v>
      </c>
      <c r="Q2698" s="20">
        <v>91542.394944</v>
      </c>
      <c r="R2698" s="21">
        <v>0.92</v>
      </c>
      <c r="S2698" s="20">
        <v>91542.394944</v>
      </c>
    </row>
    <row r="2699" spans="2:19" ht="15" customHeight="1" x14ac:dyDescent="0.25">
      <c r="B2699" s="2" t="str">
        <f t="shared" si="84"/>
        <v>PGL_Business_Small/Mid-Size Business_Partner Trade Ally Rebate_High Speed Washer_Hotel/Motel/Hospital_CI</v>
      </c>
      <c r="C2699" s="2" t="str">
        <f t="shared" si="85"/>
        <v>PGL_Business_Small/Mid-Size Business_Partner Trade Ally Rebate_High Speed Washer_Hotel/Motel/Hospital_CI_2024</v>
      </c>
      <c r="D2699" s="19" t="s">
        <v>1794</v>
      </c>
      <c r="E2699" s="19" t="s">
        <v>3</v>
      </c>
      <c r="F2699" s="19" t="s">
        <v>1432</v>
      </c>
      <c r="G2699" s="19" t="s">
        <v>1799</v>
      </c>
      <c r="H2699" s="19" t="s">
        <v>725</v>
      </c>
      <c r="I2699" s="19" t="s">
        <v>1162</v>
      </c>
      <c r="J2699" s="19" t="s">
        <v>730</v>
      </c>
      <c r="K2699" s="19" t="s">
        <v>1159</v>
      </c>
      <c r="L2699" s="19">
        <v>2024</v>
      </c>
      <c r="M2699" s="20">
        <v>250</v>
      </c>
      <c r="N2699" s="19" t="s">
        <v>1803</v>
      </c>
      <c r="O2699" s="20">
        <v>52</v>
      </c>
      <c r="P2699" s="20">
        <v>13000</v>
      </c>
      <c r="Q2699" s="20">
        <v>80681.432832000006</v>
      </c>
      <c r="R2699" s="21">
        <v>0.92</v>
      </c>
      <c r="S2699" s="20">
        <v>80681.432832000006</v>
      </c>
    </row>
    <row r="2700" spans="2:19" ht="15" customHeight="1" x14ac:dyDescent="0.25">
      <c r="B2700" s="2" t="str">
        <f t="shared" si="84"/>
        <v>PGL_Business_Small/Mid-Size Business_Partner Trade Ally Rebate_High Speed Washer_Hotel/Motel/Hospital_CI</v>
      </c>
      <c r="C2700" s="2" t="str">
        <f t="shared" si="85"/>
        <v>PGL_Business_Small/Mid-Size Business_Partner Trade Ally Rebate_High Speed Washer_Hotel/Motel/Hospital_CI_2025</v>
      </c>
      <c r="D2700" s="19" t="s">
        <v>1794</v>
      </c>
      <c r="E2700" s="19" t="s">
        <v>3</v>
      </c>
      <c r="F2700" s="19" t="s">
        <v>1432</v>
      </c>
      <c r="G2700" s="19" t="s">
        <v>1799</v>
      </c>
      <c r="H2700" s="19" t="s">
        <v>725</v>
      </c>
      <c r="I2700" s="19" t="s">
        <v>1162</v>
      </c>
      <c r="J2700" s="19" t="s">
        <v>730</v>
      </c>
      <c r="K2700" s="19" t="s">
        <v>1159</v>
      </c>
      <c r="L2700" s="19">
        <v>2025</v>
      </c>
      <c r="M2700" s="20">
        <v>250</v>
      </c>
      <c r="N2700" s="19" t="s">
        <v>1803</v>
      </c>
      <c r="O2700" s="20">
        <v>49</v>
      </c>
      <c r="P2700" s="20">
        <v>12250</v>
      </c>
      <c r="Q2700" s="20">
        <v>76026.734784</v>
      </c>
      <c r="R2700" s="21">
        <v>0.92</v>
      </c>
      <c r="S2700" s="20">
        <v>76026.734784</v>
      </c>
    </row>
    <row r="2701" spans="2:19" ht="15" customHeight="1" x14ac:dyDescent="0.25">
      <c r="B2701" s="2" t="str">
        <f t="shared" si="84"/>
        <v>PGL_Business_Small/Mid-Size Business_Partner Trade Ally Rebate_High Speed Washer_Laundromat_SMB</v>
      </c>
      <c r="C2701" s="2" t="str">
        <f t="shared" si="85"/>
        <v>PGL_Business_Small/Mid-Size Business_Partner Trade Ally Rebate_High Speed Washer_Laundromat_SMB_2022</v>
      </c>
      <c r="D2701" s="19" t="s">
        <v>1794</v>
      </c>
      <c r="E2701" s="19" t="s">
        <v>3</v>
      </c>
      <c r="F2701" s="19" t="s">
        <v>1432</v>
      </c>
      <c r="G2701" s="19" t="s">
        <v>1799</v>
      </c>
      <c r="H2701" s="19" t="s">
        <v>725</v>
      </c>
      <c r="I2701" s="19" t="s">
        <v>1356</v>
      </c>
      <c r="J2701" s="19" t="s">
        <v>730</v>
      </c>
      <c r="K2701" s="19" t="s">
        <v>1220</v>
      </c>
      <c r="L2701" s="19">
        <v>2022</v>
      </c>
      <c r="M2701" s="20">
        <v>250</v>
      </c>
      <c r="N2701" s="19" t="s">
        <v>1803</v>
      </c>
      <c r="O2701" s="20">
        <v>76</v>
      </c>
      <c r="P2701" s="20">
        <v>19000</v>
      </c>
      <c r="Q2701" s="20">
        <v>48754.978272000008</v>
      </c>
      <c r="R2701" s="21">
        <v>0.92</v>
      </c>
      <c r="S2701" s="20">
        <v>48754.978272000008</v>
      </c>
    </row>
    <row r="2702" spans="2:19" ht="15" customHeight="1" x14ac:dyDescent="0.25">
      <c r="B2702" s="2" t="str">
        <f t="shared" si="84"/>
        <v>PGL_Business_Small/Mid-Size Business_Partner Trade Ally Rebate_High Speed Washer_Laundromat_SMB</v>
      </c>
      <c r="C2702" s="2" t="str">
        <f t="shared" si="85"/>
        <v>PGL_Business_Small/Mid-Size Business_Partner Trade Ally Rebate_High Speed Washer_Laundromat_SMB_2023</v>
      </c>
      <c r="D2702" s="19" t="s">
        <v>1794</v>
      </c>
      <c r="E2702" s="19" t="s">
        <v>3</v>
      </c>
      <c r="F2702" s="19" t="s">
        <v>1432</v>
      </c>
      <c r="G2702" s="19" t="s">
        <v>1799</v>
      </c>
      <c r="H2702" s="19" t="s">
        <v>725</v>
      </c>
      <c r="I2702" s="19" t="s">
        <v>1356</v>
      </c>
      <c r="J2702" s="19" t="s">
        <v>730</v>
      </c>
      <c r="K2702" s="19" t="s">
        <v>1220</v>
      </c>
      <c r="L2702" s="19">
        <v>2023</v>
      </c>
      <c r="M2702" s="20">
        <v>250</v>
      </c>
      <c r="N2702" s="19" t="s">
        <v>1803</v>
      </c>
      <c r="O2702" s="20">
        <v>71</v>
      </c>
      <c r="P2702" s="20">
        <v>17750</v>
      </c>
      <c r="Q2702" s="20">
        <v>45547.413912000004</v>
      </c>
      <c r="R2702" s="21">
        <v>0.92</v>
      </c>
      <c r="S2702" s="20">
        <v>45547.413912000004</v>
      </c>
    </row>
    <row r="2703" spans="2:19" ht="15" customHeight="1" x14ac:dyDescent="0.25">
      <c r="B2703" s="2" t="str">
        <f t="shared" si="84"/>
        <v>PGL_Business_Small/Mid-Size Business_Partner Trade Ally Rebate_High Speed Washer_Laundromat_SMB</v>
      </c>
      <c r="C2703" s="2" t="str">
        <f t="shared" si="85"/>
        <v>PGL_Business_Small/Mid-Size Business_Partner Trade Ally Rebate_High Speed Washer_Laundromat_SMB_2024</v>
      </c>
      <c r="D2703" s="19" t="s">
        <v>1794</v>
      </c>
      <c r="E2703" s="19" t="s">
        <v>3</v>
      </c>
      <c r="F2703" s="19" t="s">
        <v>1432</v>
      </c>
      <c r="G2703" s="19" t="s">
        <v>1799</v>
      </c>
      <c r="H2703" s="19" t="s">
        <v>725</v>
      </c>
      <c r="I2703" s="19" t="s">
        <v>1356</v>
      </c>
      <c r="J2703" s="19" t="s">
        <v>730</v>
      </c>
      <c r="K2703" s="19" t="s">
        <v>1220</v>
      </c>
      <c r="L2703" s="19">
        <v>2024</v>
      </c>
      <c r="M2703" s="20">
        <v>250</v>
      </c>
      <c r="N2703" s="19" t="s">
        <v>1803</v>
      </c>
      <c r="O2703" s="20">
        <v>62</v>
      </c>
      <c r="P2703" s="20">
        <v>15500</v>
      </c>
      <c r="Q2703" s="20">
        <v>39773.798064000002</v>
      </c>
      <c r="R2703" s="21">
        <v>0.92</v>
      </c>
      <c r="S2703" s="20">
        <v>39773.798064000002</v>
      </c>
    </row>
    <row r="2704" spans="2:19" ht="15" customHeight="1" x14ac:dyDescent="0.25">
      <c r="B2704" s="2" t="str">
        <f t="shared" si="84"/>
        <v>PGL_Business_Small/Mid-Size Business_Partner Trade Ally Rebate_High Speed Washer_Laundromat_SMB</v>
      </c>
      <c r="C2704" s="2" t="str">
        <f t="shared" si="85"/>
        <v>PGL_Business_Small/Mid-Size Business_Partner Trade Ally Rebate_High Speed Washer_Laundromat_SMB_2025</v>
      </c>
      <c r="D2704" s="19" t="s">
        <v>1794</v>
      </c>
      <c r="E2704" s="19" t="s">
        <v>3</v>
      </c>
      <c r="F2704" s="19" t="s">
        <v>1432</v>
      </c>
      <c r="G2704" s="19" t="s">
        <v>1799</v>
      </c>
      <c r="H2704" s="19" t="s">
        <v>725</v>
      </c>
      <c r="I2704" s="19" t="s">
        <v>1356</v>
      </c>
      <c r="J2704" s="19" t="s">
        <v>730</v>
      </c>
      <c r="K2704" s="19" t="s">
        <v>1220</v>
      </c>
      <c r="L2704" s="19">
        <v>2025</v>
      </c>
      <c r="M2704" s="20">
        <v>250</v>
      </c>
      <c r="N2704" s="19" t="s">
        <v>1803</v>
      </c>
      <c r="O2704" s="20">
        <v>59</v>
      </c>
      <c r="P2704" s="20">
        <v>14750</v>
      </c>
      <c r="Q2704" s="20">
        <v>37849.259448000004</v>
      </c>
      <c r="R2704" s="21">
        <v>0.92</v>
      </c>
      <c r="S2704" s="20">
        <v>37849.259448000004</v>
      </c>
    </row>
    <row r="2705" spans="2:19" ht="15" customHeight="1" x14ac:dyDescent="0.25">
      <c r="B2705" s="2" t="str">
        <f t="shared" si="84"/>
        <v>PGL_Business_Small/Mid-Size Business_Partner Trade Ally Rebate_Small Commercial Advanced Thermostat_0_CI</v>
      </c>
      <c r="C2705" s="2" t="str">
        <f t="shared" si="85"/>
        <v>PGL_Business_Small/Mid-Size Business_Partner Trade Ally Rebate_Small Commercial Advanced Thermostat_0_CI_2022</v>
      </c>
      <c r="D2705" s="19" t="s">
        <v>1794</v>
      </c>
      <c r="E2705" s="19" t="s">
        <v>3</v>
      </c>
      <c r="F2705" s="19" t="s">
        <v>1432</v>
      </c>
      <c r="G2705" s="19" t="s">
        <v>1799</v>
      </c>
      <c r="H2705" s="19" t="s">
        <v>1302</v>
      </c>
      <c r="I2705" s="19">
        <v>0</v>
      </c>
      <c r="J2705" s="19" t="s">
        <v>1183</v>
      </c>
      <c r="K2705" s="19" t="s">
        <v>1159</v>
      </c>
      <c r="L2705" s="19">
        <v>2022</v>
      </c>
      <c r="M2705" s="20">
        <v>1</v>
      </c>
      <c r="N2705" s="19" t="s">
        <v>1798</v>
      </c>
      <c r="O2705" s="20">
        <v>42</v>
      </c>
      <c r="P2705" s="20">
        <v>42</v>
      </c>
      <c r="Q2705" s="20">
        <v>7913.3610124799989</v>
      </c>
      <c r="R2705" s="21">
        <v>0.96</v>
      </c>
      <c r="S2705" s="20">
        <v>7913.3610124799989</v>
      </c>
    </row>
    <row r="2706" spans="2:19" ht="15" customHeight="1" x14ac:dyDescent="0.25">
      <c r="B2706" s="2" t="str">
        <f t="shared" si="84"/>
        <v>PGL_Business_Small/Mid-Size Business_Partner Trade Ally Rebate_Small Commercial Advanced Thermostat_0_CI</v>
      </c>
      <c r="C2706" s="2" t="str">
        <f t="shared" si="85"/>
        <v>PGL_Business_Small/Mid-Size Business_Partner Trade Ally Rebate_Small Commercial Advanced Thermostat_0_CI_2023</v>
      </c>
      <c r="D2706" s="19" t="s">
        <v>1794</v>
      </c>
      <c r="E2706" s="19" t="s">
        <v>3</v>
      </c>
      <c r="F2706" s="19" t="s">
        <v>1432</v>
      </c>
      <c r="G2706" s="19" t="s">
        <v>1799</v>
      </c>
      <c r="H2706" s="19" t="s">
        <v>1302</v>
      </c>
      <c r="I2706" s="19">
        <v>0</v>
      </c>
      <c r="J2706" s="19" t="s">
        <v>1183</v>
      </c>
      <c r="K2706" s="19" t="s">
        <v>1159</v>
      </c>
      <c r="L2706" s="19">
        <v>2023</v>
      </c>
      <c r="M2706" s="20">
        <v>1</v>
      </c>
      <c r="N2706" s="19" t="s">
        <v>1798</v>
      </c>
      <c r="O2706" s="20">
        <v>40</v>
      </c>
      <c r="P2706" s="20">
        <v>40</v>
      </c>
      <c r="Q2706" s="20">
        <v>7536.5342975999993</v>
      </c>
      <c r="R2706" s="21">
        <v>0.96</v>
      </c>
      <c r="S2706" s="20">
        <v>7536.5342975999993</v>
      </c>
    </row>
    <row r="2707" spans="2:19" ht="15" customHeight="1" x14ac:dyDescent="0.25">
      <c r="B2707" s="2" t="str">
        <f t="shared" si="84"/>
        <v>PGL_Business_Small/Mid-Size Business_Partner Trade Ally Rebate_Small Commercial Advanced Thermostat_0_CI</v>
      </c>
      <c r="C2707" s="2" t="str">
        <f t="shared" si="85"/>
        <v>PGL_Business_Small/Mid-Size Business_Partner Trade Ally Rebate_Small Commercial Advanced Thermostat_0_CI_2024</v>
      </c>
      <c r="D2707" s="19" t="s">
        <v>1794</v>
      </c>
      <c r="E2707" s="19" t="s">
        <v>3</v>
      </c>
      <c r="F2707" s="19" t="s">
        <v>1432</v>
      </c>
      <c r="G2707" s="19" t="s">
        <v>1799</v>
      </c>
      <c r="H2707" s="19" t="s">
        <v>1302</v>
      </c>
      <c r="I2707" s="19">
        <v>0</v>
      </c>
      <c r="J2707" s="19" t="s">
        <v>1183</v>
      </c>
      <c r="K2707" s="19" t="s">
        <v>1159</v>
      </c>
      <c r="L2707" s="19">
        <v>2024</v>
      </c>
      <c r="M2707" s="20">
        <v>1</v>
      </c>
      <c r="N2707" s="19" t="s">
        <v>1798</v>
      </c>
      <c r="O2707" s="20">
        <v>35</v>
      </c>
      <c r="P2707" s="20">
        <v>35</v>
      </c>
      <c r="Q2707" s="20">
        <v>6594.4675103999989</v>
      </c>
      <c r="R2707" s="21">
        <v>0.96</v>
      </c>
      <c r="S2707" s="20">
        <v>6594.4675103999989</v>
      </c>
    </row>
    <row r="2708" spans="2:19" ht="15" customHeight="1" x14ac:dyDescent="0.25">
      <c r="B2708" s="2" t="str">
        <f t="shared" si="84"/>
        <v>PGL_Business_Small/Mid-Size Business_Partner Trade Ally Rebate_Small Commercial Advanced Thermostat_0_CI</v>
      </c>
      <c r="C2708" s="2" t="str">
        <f t="shared" si="85"/>
        <v>PGL_Business_Small/Mid-Size Business_Partner Trade Ally Rebate_Small Commercial Advanced Thermostat_0_CI_2025</v>
      </c>
      <c r="D2708" s="19" t="s">
        <v>1794</v>
      </c>
      <c r="E2708" s="19" t="s">
        <v>3</v>
      </c>
      <c r="F2708" s="19" t="s">
        <v>1432</v>
      </c>
      <c r="G2708" s="19" t="s">
        <v>1799</v>
      </c>
      <c r="H2708" s="19" t="s">
        <v>1302</v>
      </c>
      <c r="I2708" s="19">
        <v>0</v>
      </c>
      <c r="J2708" s="19" t="s">
        <v>1183</v>
      </c>
      <c r="K2708" s="19" t="s">
        <v>1159</v>
      </c>
      <c r="L2708" s="19">
        <v>2025</v>
      </c>
      <c r="M2708" s="20">
        <v>1</v>
      </c>
      <c r="N2708" s="19" t="s">
        <v>1798</v>
      </c>
      <c r="O2708" s="20">
        <v>33</v>
      </c>
      <c r="P2708" s="20">
        <v>33</v>
      </c>
      <c r="Q2708" s="20">
        <v>6217.6407955199993</v>
      </c>
      <c r="R2708" s="21">
        <v>0.96</v>
      </c>
      <c r="S2708" s="20">
        <v>6217.6407955199993</v>
      </c>
    </row>
    <row r="2709" spans="2:19" ht="15" customHeight="1" x14ac:dyDescent="0.25">
      <c r="B2709" s="2" t="str">
        <f t="shared" si="84"/>
        <v>PGL_Business_Small/Mid-Size Business_Partner Trade Ally Rebate_Demand Controlled Ventilation_0_MF/CI/SMB</v>
      </c>
      <c r="C2709" s="2" t="str">
        <f t="shared" si="85"/>
        <v>PGL_Business_Small/Mid-Size Business_Partner Trade Ally Rebate_Demand Controlled Ventilation_0_MF/CI/SMB_2022</v>
      </c>
      <c r="D2709" s="19" t="s">
        <v>1794</v>
      </c>
      <c r="E2709" s="19" t="s">
        <v>3</v>
      </c>
      <c r="F2709" s="19" t="s">
        <v>1432</v>
      </c>
      <c r="G2709" s="19" t="s">
        <v>1799</v>
      </c>
      <c r="H2709" s="19" t="s">
        <v>14</v>
      </c>
      <c r="I2709" s="19">
        <v>0</v>
      </c>
      <c r="J2709" s="19" t="s">
        <v>34</v>
      </c>
      <c r="K2709" s="19" t="s">
        <v>662</v>
      </c>
      <c r="L2709" s="19">
        <v>2022</v>
      </c>
      <c r="M2709" s="20">
        <v>10000</v>
      </c>
      <c r="N2709" s="19" t="s">
        <v>634</v>
      </c>
      <c r="O2709" s="20">
        <v>0</v>
      </c>
      <c r="P2709" s="20">
        <v>0</v>
      </c>
      <c r="Q2709" s="20">
        <v>0</v>
      </c>
      <c r="R2709" s="21">
        <v>0.92</v>
      </c>
      <c r="S2709" s="20">
        <v>0</v>
      </c>
    </row>
    <row r="2710" spans="2:19" ht="15" customHeight="1" x14ac:dyDescent="0.25">
      <c r="B2710" s="2" t="str">
        <f t="shared" si="84"/>
        <v>PGL_Business_Small/Mid-Size Business_Partner Trade Ally Rebate_Demand Controlled Ventilation_0_MF/CI/SMB</v>
      </c>
      <c r="C2710" s="2" t="str">
        <f t="shared" si="85"/>
        <v>PGL_Business_Small/Mid-Size Business_Partner Trade Ally Rebate_Demand Controlled Ventilation_0_MF/CI/SMB_2023</v>
      </c>
      <c r="D2710" s="19" t="s">
        <v>1794</v>
      </c>
      <c r="E2710" s="19" t="s">
        <v>3</v>
      </c>
      <c r="F2710" s="19" t="s">
        <v>1432</v>
      </c>
      <c r="G2710" s="19" t="s">
        <v>1799</v>
      </c>
      <c r="H2710" s="19" t="s">
        <v>14</v>
      </c>
      <c r="I2710" s="19">
        <v>0</v>
      </c>
      <c r="J2710" s="19" t="s">
        <v>34</v>
      </c>
      <c r="K2710" s="19" t="s">
        <v>662</v>
      </c>
      <c r="L2710" s="19">
        <v>2023</v>
      </c>
      <c r="M2710" s="20">
        <v>10000</v>
      </c>
      <c r="N2710" s="19" t="s">
        <v>634</v>
      </c>
      <c r="O2710" s="20">
        <v>0</v>
      </c>
      <c r="P2710" s="20">
        <v>0</v>
      </c>
      <c r="Q2710" s="20">
        <v>0</v>
      </c>
      <c r="R2710" s="21">
        <v>0.92</v>
      </c>
      <c r="S2710" s="20">
        <v>0</v>
      </c>
    </row>
    <row r="2711" spans="2:19" ht="15" customHeight="1" x14ac:dyDescent="0.25">
      <c r="B2711" s="2" t="str">
        <f t="shared" si="84"/>
        <v>PGL_Business_Small/Mid-Size Business_Partner Trade Ally Rebate_Demand Controlled Ventilation_0_MF/CI/SMB</v>
      </c>
      <c r="C2711" s="2" t="str">
        <f t="shared" si="85"/>
        <v>PGL_Business_Small/Mid-Size Business_Partner Trade Ally Rebate_Demand Controlled Ventilation_0_MF/CI/SMB_2024</v>
      </c>
      <c r="D2711" s="19" t="s">
        <v>1794</v>
      </c>
      <c r="E2711" s="19" t="s">
        <v>3</v>
      </c>
      <c r="F2711" s="19" t="s">
        <v>1432</v>
      </c>
      <c r="G2711" s="19" t="s">
        <v>1799</v>
      </c>
      <c r="H2711" s="19" t="s">
        <v>14</v>
      </c>
      <c r="I2711" s="19">
        <v>0</v>
      </c>
      <c r="J2711" s="19" t="s">
        <v>34</v>
      </c>
      <c r="K2711" s="19" t="s">
        <v>662</v>
      </c>
      <c r="L2711" s="19">
        <v>2024</v>
      </c>
      <c r="M2711" s="20">
        <v>10000</v>
      </c>
      <c r="N2711" s="19" t="s">
        <v>634</v>
      </c>
      <c r="O2711" s="20">
        <v>0</v>
      </c>
      <c r="P2711" s="20">
        <v>0</v>
      </c>
      <c r="Q2711" s="20">
        <v>0</v>
      </c>
      <c r="R2711" s="21">
        <v>0.92</v>
      </c>
      <c r="S2711" s="20">
        <v>0</v>
      </c>
    </row>
    <row r="2712" spans="2:19" ht="15" customHeight="1" x14ac:dyDescent="0.25">
      <c r="B2712" s="2" t="str">
        <f t="shared" si="84"/>
        <v>PGL_Business_Small/Mid-Size Business_Partner Trade Ally Rebate_Demand Controlled Ventilation_0_MF/CI/SMB</v>
      </c>
      <c r="C2712" s="2" t="str">
        <f t="shared" si="85"/>
        <v>PGL_Business_Small/Mid-Size Business_Partner Trade Ally Rebate_Demand Controlled Ventilation_0_MF/CI/SMB_2025</v>
      </c>
      <c r="D2712" s="19" t="s">
        <v>1794</v>
      </c>
      <c r="E2712" s="19" t="s">
        <v>3</v>
      </c>
      <c r="F2712" s="19" t="s">
        <v>1432</v>
      </c>
      <c r="G2712" s="19" t="s">
        <v>1799</v>
      </c>
      <c r="H2712" s="19" t="s">
        <v>14</v>
      </c>
      <c r="I2712" s="19">
        <v>0</v>
      </c>
      <c r="J2712" s="19" t="s">
        <v>34</v>
      </c>
      <c r="K2712" s="19" t="s">
        <v>662</v>
      </c>
      <c r="L2712" s="19">
        <v>2025</v>
      </c>
      <c r="M2712" s="20">
        <v>10000</v>
      </c>
      <c r="N2712" s="19" t="s">
        <v>634</v>
      </c>
      <c r="O2712" s="20">
        <v>0</v>
      </c>
      <c r="P2712" s="20">
        <v>0</v>
      </c>
      <c r="Q2712" s="20">
        <v>0</v>
      </c>
      <c r="R2712" s="21">
        <v>0.92</v>
      </c>
      <c r="S2712" s="20">
        <v>0</v>
      </c>
    </row>
    <row r="2713" spans="2:19" ht="15" customHeight="1" x14ac:dyDescent="0.25">
      <c r="B2713" s="2" t="str">
        <f t="shared" si="84"/>
        <v>PGL_Business_Small/Mid-Size Business_Partner Trade Ally Rebate_Condensate Tank Insulation_0_MF/CI/SMB</v>
      </c>
      <c r="C2713" s="2" t="str">
        <f t="shared" si="85"/>
        <v>PGL_Business_Small/Mid-Size Business_Partner Trade Ally Rebate_Condensate Tank Insulation_0_MF/CI/SMB_2022</v>
      </c>
      <c r="D2713" s="19" t="s">
        <v>1794</v>
      </c>
      <c r="E2713" s="19" t="s">
        <v>3</v>
      </c>
      <c r="F2713" s="19" t="s">
        <v>1432</v>
      </c>
      <c r="G2713" s="19" t="s">
        <v>1799</v>
      </c>
      <c r="H2713" s="19" t="s">
        <v>806</v>
      </c>
      <c r="I2713" s="19">
        <v>0</v>
      </c>
      <c r="J2713" s="19" t="s">
        <v>810</v>
      </c>
      <c r="K2713" s="19" t="s">
        <v>662</v>
      </c>
      <c r="L2713" s="19">
        <v>2022</v>
      </c>
      <c r="M2713" s="20">
        <v>550</v>
      </c>
      <c r="N2713" s="19" t="s">
        <v>634</v>
      </c>
      <c r="O2713" s="20">
        <v>2</v>
      </c>
      <c r="P2713" s="20">
        <v>1100</v>
      </c>
      <c r="Q2713" s="20">
        <v>16947.151910134882</v>
      </c>
      <c r="R2713" s="21">
        <v>0.92</v>
      </c>
      <c r="S2713" s="20">
        <v>16947.151910134882</v>
      </c>
    </row>
    <row r="2714" spans="2:19" ht="15" customHeight="1" x14ac:dyDescent="0.25">
      <c r="B2714" s="2" t="str">
        <f t="shared" si="84"/>
        <v>PGL_Business_Small/Mid-Size Business_Partner Trade Ally Rebate_Condensate Tank Insulation_0_MF/CI/SMB</v>
      </c>
      <c r="C2714" s="2" t="str">
        <f t="shared" si="85"/>
        <v>PGL_Business_Small/Mid-Size Business_Partner Trade Ally Rebate_Condensate Tank Insulation_0_MF/CI/SMB_2023</v>
      </c>
      <c r="D2714" s="19" t="s">
        <v>1794</v>
      </c>
      <c r="E2714" s="19" t="s">
        <v>3</v>
      </c>
      <c r="F2714" s="19" t="s">
        <v>1432</v>
      </c>
      <c r="G2714" s="19" t="s">
        <v>1799</v>
      </c>
      <c r="H2714" s="19" t="s">
        <v>806</v>
      </c>
      <c r="I2714" s="19">
        <v>0</v>
      </c>
      <c r="J2714" s="19" t="s">
        <v>810</v>
      </c>
      <c r="K2714" s="19" t="s">
        <v>662</v>
      </c>
      <c r="L2714" s="19">
        <v>2023</v>
      </c>
      <c r="M2714" s="20">
        <v>550</v>
      </c>
      <c r="N2714" s="19" t="s">
        <v>634</v>
      </c>
      <c r="O2714" s="20">
        <v>2</v>
      </c>
      <c r="P2714" s="20">
        <v>1100</v>
      </c>
      <c r="Q2714" s="20">
        <v>16947.151910134882</v>
      </c>
      <c r="R2714" s="21">
        <v>0.92</v>
      </c>
      <c r="S2714" s="20">
        <v>16947.151910134882</v>
      </c>
    </row>
    <row r="2715" spans="2:19" ht="15" customHeight="1" x14ac:dyDescent="0.25">
      <c r="B2715" s="2" t="str">
        <f t="shared" si="84"/>
        <v>PGL_Business_Small/Mid-Size Business_Partner Trade Ally Rebate_Condensate Tank Insulation_0_MF/CI/SMB</v>
      </c>
      <c r="C2715" s="2" t="str">
        <f t="shared" si="85"/>
        <v>PGL_Business_Small/Mid-Size Business_Partner Trade Ally Rebate_Condensate Tank Insulation_0_MF/CI/SMB_2024</v>
      </c>
      <c r="D2715" s="19" t="s">
        <v>1794</v>
      </c>
      <c r="E2715" s="19" t="s">
        <v>3</v>
      </c>
      <c r="F2715" s="19" t="s">
        <v>1432</v>
      </c>
      <c r="G2715" s="19" t="s">
        <v>1799</v>
      </c>
      <c r="H2715" s="19" t="s">
        <v>806</v>
      </c>
      <c r="I2715" s="19">
        <v>0</v>
      </c>
      <c r="J2715" s="19" t="s">
        <v>810</v>
      </c>
      <c r="K2715" s="19" t="s">
        <v>662</v>
      </c>
      <c r="L2715" s="19">
        <v>2024</v>
      </c>
      <c r="M2715" s="20">
        <v>550</v>
      </c>
      <c r="N2715" s="19" t="s">
        <v>634</v>
      </c>
      <c r="O2715" s="20">
        <v>1</v>
      </c>
      <c r="P2715" s="20">
        <v>550</v>
      </c>
      <c r="Q2715" s="20">
        <v>8473.5759550674411</v>
      </c>
      <c r="R2715" s="21">
        <v>0.92</v>
      </c>
      <c r="S2715" s="20">
        <v>8473.5759550674411</v>
      </c>
    </row>
    <row r="2716" spans="2:19" ht="15" customHeight="1" x14ac:dyDescent="0.25">
      <c r="B2716" s="2" t="str">
        <f t="shared" si="84"/>
        <v>PGL_Business_Small/Mid-Size Business_Partner Trade Ally Rebate_Condensate Tank Insulation_0_MF/CI/SMB</v>
      </c>
      <c r="C2716" s="2" t="str">
        <f t="shared" si="85"/>
        <v>PGL_Business_Small/Mid-Size Business_Partner Trade Ally Rebate_Condensate Tank Insulation_0_MF/CI/SMB_2025</v>
      </c>
      <c r="D2716" s="19" t="s">
        <v>1794</v>
      </c>
      <c r="E2716" s="19" t="s">
        <v>3</v>
      </c>
      <c r="F2716" s="19" t="s">
        <v>1432</v>
      </c>
      <c r="G2716" s="19" t="s">
        <v>1799</v>
      </c>
      <c r="H2716" s="19" t="s">
        <v>806</v>
      </c>
      <c r="I2716" s="19">
        <v>0</v>
      </c>
      <c r="J2716" s="19" t="s">
        <v>810</v>
      </c>
      <c r="K2716" s="19" t="s">
        <v>662</v>
      </c>
      <c r="L2716" s="19">
        <v>2025</v>
      </c>
      <c r="M2716" s="20">
        <v>550</v>
      </c>
      <c r="N2716" s="19" t="s">
        <v>634</v>
      </c>
      <c r="O2716" s="20">
        <v>1</v>
      </c>
      <c r="P2716" s="20">
        <v>550</v>
      </c>
      <c r="Q2716" s="20">
        <v>8473.5759550674411</v>
      </c>
      <c r="R2716" s="21">
        <v>0.92</v>
      </c>
      <c r="S2716" s="20">
        <v>8473.5759550674411</v>
      </c>
    </row>
    <row r="2717" spans="2:19" ht="15" customHeight="1" x14ac:dyDescent="0.25">
      <c r="B2717" s="2" t="str">
        <f t="shared" si="84"/>
        <v>PGL_Business_Small/Mid-Size Business_Partner Trade Ally Rebate_Dock Door Seals_0_CI</v>
      </c>
      <c r="C2717" s="2" t="str">
        <f t="shared" si="85"/>
        <v>PGL_Business_Small/Mid-Size Business_Partner Trade Ally Rebate_Dock Door Seals_0_CI_2022</v>
      </c>
      <c r="D2717" s="19" t="s">
        <v>1794</v>
      </c>
      <c r="E2717" s="19" t="s">
        <v>3</v>
      </c>
      <c r="F2717" s="19" t="s">
        <v>1432</v>
      </c>
      <c r="G2717" s="19" t="s">
        <v>1799</v>
      </c>
      <c r="H2717" s="19" t="s">
        <v>1291</v>
      </c>
      <c r="I2717" s="19">
        <v>0</v>
      </c>
      <c r="J2717" s="19">
        <v>0</v>
      </c>
      <c r="K2717" s="19" t="s">
        <v>1159</v>
      </c>
      <c r="L2717" s="19">
        <v>2022</v>
      </c>
      <c r="M2717" s="20">
        <v>1</v>
      </c>
      <c r="N2717" s="19" t="s">
        <v>1798</v>
      </c>
      <c r="O2717" s="20">
        <v>7</v>
      </c>
      <c r="P2717" s="20">
        <v>7</v>
      </c>
      <c r="Q2717" s="20">
        <v>1513.0667760000001</v>
      </c>
      <c r="R2717" s="21">
        <v>0.92</v>
      </c>
      <c r="S2717" s="20">
        <v>1513.0667760000001</v>
      </c>
    </row>
    <row r="2718" spans="2:19" ht="15" customHeight="1" x14ac:dyDescent="0.25">
      <c r="B2718" s="2" t="str">
        <f t="shared" si="84"/>
        <v>PGL_Business_Small/Mid-Size Business_Partner Trade Ally Rebate_Dock Door Seals_0_CI</v>
      </c>
      <c r="C2718" s="2" t="str">
        <f t="shared" si="85"/>
        <v>PGL_Business_Small/Mid-Size Business_Partner Trade Ally Rebate_Dock Door Seals_0_CI_2023</v>
      </c>
      <c r="D2718" s="19" t="s">
        <v>1794</v>
      </c>
      <c r="E2718" s="19" t="s">
        <v>3</v>
      </c>
      <c r="F2718" s="19" t="s">
        <v>1432</v>
      </c>
      <c r="G2718" s="19" t="s">
        <v>1799</v>
      </c>
      <c r="H2718" s="19" t="s">
        <v>1291</v>
      </c>
      <c r="I2718" s="19">
        <v>0</v>
      </c>
      <c r="J2718" s="19">
        <v>0</v>
      </c>
      <c r="K2718" s="19" t="s">
        <v>1159</v>
      </c>
      <c r="L2718" s="19">
        <v>2023</v>
      </c>
      <c r="M2718" s="20">
        <v>1</v>
      </c>
      <c r="N2718" s="19" t="s">
        <v>1798</v>
      </c>
      <c r="O2718" s="20">
        <v>6</v>
      </c>
      <c r="P2718" s="20">
        <v>6</v>
      </c>
      <c r="Q2718" s="20">
        <v>1296.9143794285715</v>
      </c>
      <c r="R2718" s="21">
        <v>0.92</v>
      </c>
      <c r="S2718" s="20">
        <v>1296.9143794285715</v>
      </c>
    </row>
    <row r="2719" spans="2:19" ht="15" customHeight="1" x14ac:dyDescent="0.25">
      <c r="B2719" s="2" t="str">
        <f t="shared" si="84"/>
        <v>PGL_Business_Small/Mid-Size Business_Partner Trade Ally Rebate_Dock Door Seals_0_CI</v>
      </c>
      <c r="C2719" s="2" t="str">
        <f t="shared" si="85"/>
        <v>PGL_Business_Small/Mid-Size Business_Partner Trade Ally Rebate_Dock Door Seals_0_CI_2024</v>
      </c>
      <c r="D2719" s="19" t="s">
        <v>1794</v>
      </c>
      <c r="E2719" s="19" t="s">
        <v>3</v>
      </c>
      <c r="F2719" s="19" t="s">
        <v>1432</v>
      </c>
      <c r="G2719" s="19" t="s">
        <v>1799</v>
      </c>
      <c r="H2719" s="19" t="s">
        <v>1291</v>
      </c>
      <c r="I2719" s="19">
        <v>0</v>
      </c>
      <c r="J2719" s="19">
        <v>0</v>
      </c>
      <c r="K2719" s="19" t="s">
        <v>1159</v>
      </c>
      <c r="L2719" s="19">
        <v>2024</v>
      </c>
      <c r="M2719" s="20">
        <v>1</v>
      </c>
      <c r="N2719" s="19" t="s">
        <v>1798</v>
      </c>
      <c r="O2719" s="20">
        <v>6</v>
      </c>
      <c r="P2719" s="20">
        <v>6</v>
      </c>
      <c r="Q2719" s="20">
        <v>1296.9143794285715</v>
      </c>
      <c r="R2719" s="21">
        <v>0.92</v>
      </c>
      <c r="S2719" s="20">
        <v>1296.9143794285715</v>
      </c>
    </row>
    <row r="2720" spans="2:19" ht="15" customHeight="1" x14ac:dyDescent="0.25">
      <c r="B2720" s="2" t="str">
        <f t="shared" si="84"/>
        <v>PGL_Business_Small/Mid-Size Business_Partner Trade Ally Rebate_Dock Door Seals_0_CI</v>
      </c>
      <c r="C2720" s="2" t="str">
        <f t="shared" si="85"/>
        <v>PGL_Business_Small/Mid-Size Business_Partner Trade Ally Rebate_Dock Door Seals_0_CI_2025</v>
      </c>
      <c r="D2720" s="19" t="s">
        <v>1794</v>
      </c>
      <c r="E2720" s="19" t="s">
        <v>3</v>
      </c>
      <c r="F2720" s="19" t="s">
        <v>1432</v>
      </c>
      <c r="G2720" s="19" t="s">
        <v>1799</v>
      </c>
      <c r="H2720" s="19" t="s">
        <v>1291</v>
      </c>
      <c r="I2720" s="19">
        <v>0</v>
      </c>
      <c r="J2720" s="19">
        <v>0</v>
      </c>
      <c r="K2720" s="19" t="s">
        <v>1159</v>
      </c>
      <c r="L2720" s="19">
        <v>2025</v>
      </c>
      <c r="M2720" s="20">
        <v>1</v>
      </c>
      <c r="N2720" s="19" t="s">
        <v>1798</v>
      </c>
      <c r="O2720" s="20">
        <v>5</v>
      </c>
      <c r="P2720" s="20">
        <v>5</v>
      </c>
      <c r="Q2720" s="20">
        <v>1080.7619828571428</v>
      </c>
      <c r="R2720" s="21">
        <v>0.92</v>
      </c>
      <c r="S2720" s="20">
        <v>1080.7619828571428</v>
      </c>
    </row>
    <row r="2721" spans="2:19" ht="15" customHeight="1" x14ac:dyDescent="0.25">
      <c r="B2721" s="2" t="str">
        <f t="shared" si="84"/>
        <v>PGL_Business_Small/Mid-Size Business_Partner Trade Ally Rebate_Furnace_&gt;95% AFUE_CI</v>
      </c>
      <c r="C2721" s="2" t="str">
        <f t="shared" si="85"/>
        <v>PGL_Business_Small/Mid-Size Business_Partner Trade Ally Rebate_Furnace_&gt;95% AFUE_CI_2022</v>
      </c>
      <c r="D2721" s="19" t="s">
        <v>1794</v>
      </c>
      <c r="E2721" s="19" t="s">
        <v>3</v>
      </c>
      <c r="F2721" s="19" t="s">
        <v>1432</v>
      </c>
      <c r="G2721" s="19" t="s">
        <v>1799</v>
      </c>
      <c r="H2721" s="19" t="s">
        <v>490</v>
      </c>
      <c r="I2721" s="19" t="s">
        <v>982</v>
      </c>
      <c r="J2721" s="19" t="s">
        <v>983</v>
      </c>
      <c r="K2721" s="19" t="s">
        <v>1159</v>
      </c>
      <c r="L2721" s="19">
        <v>2022</v>
      </c>
      <c r="M2721" s="20">
        <v>1</v>
      </c>
      <c r="N2721" s="19" t="s">
        <v>1798</v>
      </c>
      <c r="O2721" s="20">
        <v>15</v>
      </c>
      <c r="P2721" s="20">
        <v>15</v>
      </c>
      <c r="Q2721" s="20">
        <v>3409.7798999999982</v>
      </c>
      <c r="R2721" s="21">
        <v>0.92</v>
      </c>
      <c r="S2721" s="20">
        <v>3409.7798999999982</v>
      </c>
    </row>
    <row r="2722" spans="2:19" ht="15" customHeight="1" x14ac:dyDescent="0.25">
      <c r="B2722" s="2" t="str">
        <f t="shared" si="84"/>
        <v>PGL_Business_Small/Mid-Size Business_Partner Trade Ally Rebate_Furnace_&gt;95% AFUE_CI</v>
      </c>
      <c r="C2722" s="2" t="str">
        <f t="shared" si="85"/>
        <v>PGL_Business_Small/Mid-Size Business_Partner Trade Ally Rebate_Furnace_&gt;95% AFUE_CI_2023</v>
      </c>
      <c r="D2722" s="19" t="s">
        <v>1794</v>
      </c>
      <c r="E2722" s="19" t="s">
        <v>3</v>
      </c>
      <c r="F2722" s="19" t="s">
        <v>1432</v>
      </c>
      <c r="G2722" s="19" t="s">
        <v>1799</v>
      </c>
      <c r="H2722" s="19" t="s">
        <v>490</v>
      </c>
      <c r="I2722" s="19" t="s">
        <v>982</v>
      </c>
      <c r="J2722" s="19" t="s">
        <v>983</v>
      </c>
      <c r="K2722" s="19" t="s">
        <v>1159</v>
      </c>
      <c r="L2722" s="19">
        <v>2023</v>
      </c>
      <c r="M2722" s="20">
        <v>1</v>
      </c>
      <c r="N2722" s="19" t="s">
        <v>1798</v>
      </c>
      <c r="O2722" s="20">
        <v>14</v>
      </c>
      <c r="P2722" s="20">
        <v>14</v>
      </c>
      <c r="Q2722" s="20">
        <v>3182.4612399999983</v>
      </c>
      <c r="R2722" s="21">
        <v>0.92</v>
      </c>
      <c r="S2722" s="20">
        <v>3182.4612399999983</v>
      </c>
    </row>
    <row r="2723" spans="2:19" ht="15" customHeight="1" x14ac:dyDescent="0.25">
      <c r="B2723" s="2" t="str">
        <f t="shared" si="84"/>
        <v>PGL_Business_Small/Mid-Size Business_Partner Trade Ally Rebate_Furnace_&gt;95% AFUE_CI</v>
      </c>
      <c r="C2723" s="2" t="str">
        <f t="shared" si="85"/>
        <v>PGL_Business_Small/Mid-Size Business_Partner Trade Ally Rebate_Furnace_&gt;95% AFUE_CI_2024</v>
      </c>
      <c r="D2723" s="19" t="s">
        <v>1794</v>
      </c>
      <c r="E2723" s="19" t="s">
        <v>3</v>
      </c>
      <c r="F2723" s="19" t="s">
        <v>1432</v>
      </c>
      <c r="G2723" s="19" t="s">
        <v>1799</v>
      </c>
      <c r="H2723" s="19" t="s">
        <v>490</v>
      </c>
      <c r="I2723" s="19" t="s">
        <v>982</v>
      </c>
      <c r="J2723" s="19" t="s">
        <v>983</v>
      </c>
      <c r="K2723" s="19" t="s">
        <v>1159</v>
      </c>
      <c r="L2723" s="19">
        <v>2024</v>
      </c>
      <c r="M2723" s="20">
        <v>1</v>
      </c>
      <c r="N2723" s="19" t="s">
        <v>1798</v>
      </c>
      <c r="O2723" s="20">
        <v>12</v>
      </c>
      <c r="P2723" s="20">
        <v>12</v>
      </c>
      <c r="Q2723" s="20">
        <v>2727.8239199999985</v>
      </c>
      <c r="R2723" s="21">
        <v>0.92</v>
      </c>
      <c r="S2723" s="20">
        <v>2727.8239199999985</v>
      </c>
    </row>
    <row r="2724" spans="2:19" ht="15" customHeight="1" x14ac:dyDescent="0.25">
      <c r="B2724" s="2" t="str">
        <f t="shared" si="84"/>
        <v>PGL_Business_Small/Mid-Size Business_Partner Trade Ally Rebate_Furnace_&gt;95% AFUE_CI</v>
      </c>
      <c r="C2724" s="2" t="str">
        <f t="shared" si="85"/>
        <v>PGL_Business_Small/Mid-Size Business_Partner Trade Ally Rebate_Furnace_&gt;95% AFUE_CI_2025</v>
      </c>
      <c r="D2724" s="19" t="s">
        <v>1794</v>
      </c>
      <c r="E2724" s="19" t="s">
        <v>3</v>
      </c>
      <c r="F2724" s="19" t="s">
        <v>1432</v>
      </c>
      <c r="G2724" s="19" t="s">
        <v>1799</v>
      </c>
      <c r="H2724" s="19" t="s">
        <v>490</v>
      </c>
      <c r="I2724" s="19" t="s">
        <v>982</v>
      </c>
      <c r="J2724" s="19" t="s">
        <v>983</v>
      </c>
      <c r="K2724" s="19" t="s">
        <v>1159</v>
      </c>
      <c r="L2724" s="19">
        <v>2025</v>
      </c>
      <c r="M2724" s="20">
        <v>1</v>
      </c>
      <c r="N2724" s="19" t="s">
        <v>1798</v>
      </c>
      <c r="O2724" s="20">
        <v>12</v>
      </c>
      <c r="P2724" s="20">
        <v>12</v>
      </c>
      <c r="Q2724" s="20">
        <v>2727.8239199999985</v>
      </c>
      <c r="R2724" s="21">
        <v>0.92</v>
      </c>
      <c r="S2724" s="20">
        <v>2727.8239199999985</v>
      </c>
    </row>
    <row r="2725" spans="2:19" ht="15" customHeight="1" x14ac:dyDescent="0.25">
      <c r="B2725" s="2" t="str">
        <f t="shared" si="84"/>
        <v>PGL_Business_Small/Mid-Size Business_Partner Trade Ally Rebate_Water Heater_≥75 MBH, ≥88% TE _CI</v>
      </c>
      <c r="C2725" s="2" t="str">
        <f t="shared" si="85"/>
        <v>PGL_Business_Small/Mid-Size Business_Partner Trade Ally Rebate_Water Heater_≥75 MBH, ≥88% TE _CI_2022</v>
      </c>
      <c r="D2725" s="19" t="s">
        <v>1794</v>
      </c>
      <c r="E2725" s="19" t="s">
        <v>3</v>
      </c>
      <c r="F2725" s="19" t="s">
        <v>1432</v>
      </c>
      <c r="G2725" s="19" t="s">
        <v>1799</v>
      </c>
      <c r="H2725" s="19" t="s">
        <v>8</v>
      </c>
      <c r="I2725" s="19" t="s">
        <v>1293</v>
      </c>
      <c r="J2725" s="19" t="s">
        <v>1294</v>
      </c>
      <c r="K2725" s="19" t="s">
        <v>1159</v>
      </c>
      <c r="L2725" s="19">
        <v>2022</v>
      </c>
      <c r="M2725" s="20">
        <v>250</v>
      </c>
      <c r="N2725" s="19" t="s">
        <v>667</v>
      </c>
      <c r="O2725" s="20">
        <v>2</v>
      </c>
      <c r="P2725" s="20">
        <v>500</v>
      </c>
      <c r="Q2725" s="20">
        <v>1148.973922307672</v>
      </c>
      <c r="R2725" s="21">
        <v>0.92</v>
      </c>
      <c r="S2725" s="20">
        <v>1148.973922307672</v>
      </c>
    </row>
    <row r="2726" spans="2:19" ht="15" customHeight="1" x14ac:dyDescent="0.25">
      <c r="B2726" s="2" t="str">
        <f t="shared" si="84"/>
        <v>PGL_Business_Small/Mid-Size Business_Partner Trade Ally Rebate_Water Heater_≥75 MBH, ≥88% TE _CI</v>
      </c>
      <c r="C2726" s="2" t="str">
        <f t="shared" si="85"/>
        <v>PGL_Business_Small/Mid-Size Business_Partner Trade Ally Rebate_Water Heater_≥75 MBH, ≥88% TE _CI_2023</v>
      </c>
      <c r="D2726" s="19" t="s">
        <v>1794</v>
      </c>
      <c r="E2726" s="19" t="s">
        <v>3</v>
      </c>
      <c r="F2726" s="19" t="s">
        <v>1432</v>
      </c>
      <c r="G2726" s="19" t="s">
        <v>1799</v>
      </c>
      <c r="H2726" s="19" t="s">
        <v>8</v>
      </c>
      <c r="I2726" s="19" t="s">
        <v>1293</v>
      </c>
      <c r="J2726" s="19" t="s">
        <v>1294</v>
      </c>
      <c r="K2726" s="19" t="s">
        <v>1159</v>
      </c>
      <c r="L2726" s="19">
        <v>2023</v>
      </c>
      <c r="M2726" s="20">
        <v>250</v>
      </c>
      <c r="N2726" s="19" t="s">
        <v>667</v>
      </c>
      <c r="O2726" s="20">
        <v>2</v>
      </c>
      <c r="P2726" s="20">
        <v>500</v>
      </c>
      <c r="Q2726" s="20">
        <v>1148.973922307672</v>
      </c>
      <c r="R2726" s="21">
        <v>0.92</v>
      </c>
      <c r="S2726" s="20">
        <v>1148.973922307672</v>
      </c>
    </row>
    <row r="2727" spans="2:19" ht="15" customHeight="1" x14ac:dyDescent="0.25">
      <c r="B2727" s="2" t="str">
        <f t="shared" si="84"/>
        <v>PGL_Business_Small/Mid-Size Business_Partner Trade Ally Rebate_Water Heater_≥75 MBH, ≥88% TE _CI</v>
      </c>
      <c r="C2727" s="2" t="str">
        <f t="shared" si="85"/>
        <v>PGL_Business_Small/Mid-Size Business_Partner Trade Ally Rebate_Water Heater_≥75 MBH, ≥88% TE _CI_2024</v>
      </c>
      <c r="D2727" s="19" t="s">
        <v>1794</v>
      </c>
      <c r="E2727" s="19" t="s">
        <v>3</v>
      </c>
      <c r="F2727" s="19" t="s">
        <v>1432</v>
      </c>
      <c r="G2727" s="19" t="s">
        <v>1799</v>
      </c>
      <c r="H2727" s="19" t="s">
        <v>8</v>
      </c>
      <c r="I2727" s="19" t="s">
        <v>1293</v>
      </c>
      <c r="J2727" s="19" t="s">
        <v>1294</v>
      </c>
      <c r="K2727" s="19" t="s">
        <v>1159</v>
      </c>
      <c r="L2727" s="19">
        <v>2024</v>
      </c>
      <c r="M2727" s="20">
        <v>250</v>
      </c>
      <c r="N2727" s="19" t="s">
        <v>667</v>
      </c>
      <c r="O2727" s="20">
        <v>1</v>
      </c>
      <c r="P2727" s="20">
        <v>250</v>
      </c>
      <c r="Q2727" s="20">
        <v>574.48696115383598</v>
      </c>
      <c r="R2727" s="21">
        <v>0.92</v>
      </c>
      <c r="S2727" s="20">
        <v>574.48696115383598</v>
      </c>
    </row>
    <row r="2728" spans="2:19" ht="15" customHeight="1" x14ac:dyDescent="0.25">
      <c r="B2728" s="2" t="str">
        <f t="shared" si="84"/>
        <v>PGL_Business_Small/Mid-Size Business_Partner Trade Ally Rebate_Water Heater_≥75 MBH, ≥88% TE _CI</v>
      </c>
      <c r="C2728" s="2" t="str">
        <f t="shared" si="85"/>
        <v>PGL_Business_Small/Mid-Size Business_Partner Trade Ally Rebate_Water Heater_≥75 MBH, ≥88% TE _CI_2025</v>
      </c>
      <c r="D2728" s="19" t="s">
        <v>1794</v>
      </c>
      <c r="E2728" s="19" t="s">
        <v>3</v>
      </c>
      <c r="F2728" s="19" t="s">
        <v>1432</v>
      </c>
      <c r="G2728" s="19" t="s">
        <v>1799</v>
      </c>
      <c r="H2728" s="19" t="s">
        <v>8</v>
      </c>
      <c r="I2728" s="19" t="s">
        <v>1293</v>
      </c>
      <c r="J2728" s="19" t="s">
        <v>1294</v>
      </c>
      <c r="K2728" s="19" t="s">
        <v>1159</v>
      </c>
      <c r="L2728" s="19">
        <v>2025</v>
      </c>
      <c r="M2728" s="20">
        <v>250</v>
      </c>
      <c r="N2728" s="19" t="s">
        <v>667</v>
      </c>
      <c r="O2728" s="20">
        <v>1</v>
      </c>
      <c r="P2728" s="20">
        <v>250</v>
      </c>
      <c r="Q2728" s="20">
        <v>574.48696115383598</v>
      </c>
      <c r="R2728" s="21">
        <v>0.92</v>
      </c>
      <c r="S2728" s="20">
        <v>574.48696115383598</v>
      </c>
    </row>
    <row r="2729" spans="2:19" ht="15" customHeight="1" x14ac:dyDescent="0.25">
      <c r="B2729" s="2" t="str">
        <f t="shared" si="84"/>
        <v>PGL_Business_Small/Mid-Size Business_Partner Trade Ally Rebate_Linkageless Controls_0_CI</v>
      </c>
      <c r="C2729" s="2" t="str">
        <f t="shared" si="85"/>
        <v>PGL_Business_Small/Mid-Size Business_Partner Trade Ally Rebate_Linkageless Controls_0_CI_2022</v>
      </c>
      <c r="D2729" s="19" t="s">
        <v>1794</v>
      </c>
      <c r="E2729" s="19" t="s">
        <v>3</v>
      </c>
      <c r="F2729" s="19" t="s">
        <v>1432</v>
      </c>
      <c r="G2729" s="19" t="s">
        <v>1799</v>
      </c>
      <c r="H2729" s="19" t="s">
        <v>1287</v>
      </c>
      <c r="I2729" s="19">
        <v>0</v>
      </c>
      <c r="J2729" s="19" t="s">
        <v>28</v>
      </c>
      <c r="K2729" s="19" t="s">
        <v>1159</v>
      </c>
      <c r="L2729" s="19">
        <v>2022</v>
      </c>
      <c r="M2729" s="20">
        <v>1500</v>
      </c>
      <c r="N2729" s="19" t="s">
        <v>667</v>
      </c>
      <c r="O2729" s="20">
        <v>1</v>
      </c>
      <c r="P2729" s="20">
        <v>1500</v>
      </c>
      <c r="Q2729" s="20">
        <v>776.63639999999998</v>
      </c>
      <c r="R2729" s="21">
        <v>0.92</v>
      </c>
      <c r="S2729" s="20">
        <v>776.63639999999998</v>
      </c>
    </row>
    <row r="2730" spans="2:19" ht="15" customHeight="1" x14ac:dyDescent="0.25">
      <c r="B2730" s="2" t="str">
        <f t="shared" si="84"/>
        <v>PGL_Business_Small/Mid-Size Business_Partner Trade Ally Rebate_Linkageless Controls_0_CI</v>
      </c>
      <c r="C2730" s="2" t="str">
        <f t="shared" si="85"/>
        <v>PGL_Business_Small/Mid-Size Business_Partner Trade Ally Rebate_Linkageless Controls_0_CI_2023</v>
      </c>
      <c r="D2730" s="19" t="s">
        <v>1794</v>
      </c>
      <c r="E2730" s="19" t="s">
        <v>3</v>
      </c>
      <c r="F2730" s="19" t="s">
        <v>1432</v>
      </c>
      <c r="G2730" s="19" t="s">
        <v>1799</v>
      </c>
      <c r="H2730" s="19" t="s">
        <v>1287</v>
      </c>
      <c r="I2730" s="19">
        <v>0</v>
      </c>
      <c r="J2730" s="19" t="s">
        <v>28</v>
      </c>
      <c r="K2730" s="19" t="s">
        <v>1159</v>
      </c>
      <c r="L2730" s="19">
        <v>2023</v>
      </c>
      <c r="M2730" s="20">
        <v>1500</v>
      </c>
      <c r="N2730" s="19" t="s">
        <v>667</v>
      </c>
      <c r="O2730" s="20">
        <v>1</v>
      </c>
      <c r="P2730" s="20">
        <v>1500</v>
      </c>
      <c r="Q2730" s="20">
        <v>776.63639999999998</v>
      </c>
      <c r="R2730" s="21">
        <v>0.92</v>
      </c>
      <c r="S2730" s="20">
        <v>776.63639999999998</v>
      </c>
    </row>
    <row r="2731" spans="2:19" ht="15" customHeight="1" x14ac:dyDescent="0.25">
      <c r="B2731" s="2" t="str">
        <f t="shared" si="84"/>
        <v>PGL_Business_Small/Mid-Size Business_Partner Trade Ally Rebate_Linkageless Controls_0_CI</v>
      </c>
      <c r="C2731" s="2" t="str">
        <f t="shared" si="85"/>
        <v>PGL_Business_Small/Mid-Size Business_Partner Trade Ally Rebate_Linkageless Controls_0_CI_2024</v>
      </c>
      <c r="D2731" s="19" t="s">
        <v>1794</v>
      </c>
      <c r="E2731" s="19" t="s">
        <v>3</v>
      </c>
      <c r="F2731" s="19" t="s">
        <v>1432</v>
      </c>
      <c r="G2731" s="19" t="s">
        <v>1799</v>
      </c>
      <c r="H2731" s="19" t="s">
        <v>1287</v>
      </c>
      <c r="I2731" s="19">
        <v>0</v>
      </c>
      <c r="J2731" s="19" t="s">
        <v>28</v>
      </c>
      <c r="K2731" s="19" t="s">
        <v>1159</v>
      </c>
      <c r="L2731" s="19">
        <v>2024</v>
      </c>
      <c r="M2731" s="20">
        <v>1500</v>
      </c>
      <c r="N2731" s="19" t="s">
        <v>667</v>
      </c>
      <c r="O2731" s="20">
        <v>1</v>
      </c>
      <c r="P2731" s="20">
        <v>1500</v>
      </c>
      <c r="Q2731" s="20">
        <v>776.63639999999998</v>
      </c>
      <c r="R2731" s="21">
        <v>0.92</v>
      </c>
      <c r="S2731" s="20">
        <v>776.63639999999998</v>
      </c>
    </row>
    <row r="2732" spans="2:19" ht="15" customHeight="1" x14ac:dyDescent="0.25">
      <c r="B2732" s="2" t="str">
        <f t="shared" si="84"/>
        <v>PGL_Business_Small/Mid-Size Business_Partner Trade Ally Rebate_Linkageless Controls_0_CI</v>
      </c>
      <c r="C2732" s="2" t="str">
        <f t="shared" si="85"/>
        <v>PGL_Business_Small/Mid-Size Business_Partner Trade Ally Rebate_Linkageless Controls_0_CI_2025</v>
      </c>
      <c r="D2732" s="19" t="s">
        <v>1794</v>
      </c>
      <c r="E2732" s="19" t="s">
        <v>3</v>
      </c>
      <c r="F2732" s="19" t="s">
        <v>1432</v>
      </c>
      <c r="G2732" s="19" t="s">
        <v>1799</v>
      </c>
      <c r="H2732" s="19" t="s">
        <v>1287</v>
      </c>
      <c r="I2732" s="19">
        <v>0</v>
      </c>
      <c r="J2732" s="19" t="s">
        <v>28</v>
      </c>
      <c r="K2732" s="19" t="s">
        <v>1159</v>
      </c>
      <c r="L2732" s="19">
        <v>2025</v>
      </c>
      <c r="M2732" s="20">
        <v>1500</v>
      </c>
      <c r="N2732" s="19" t="s">
        <v>667</v>
      </c>
      <c r="O2732" s="20">
        <v>1</v>
      </c>
      <c r="P2732" s="20">
        <v>1500</v>
      </c>
      <c r="Q2732" s="20">
        <v>776.63639999999998</v>
      </c>
      <c r="R2732" s="21">
        <v>0.92</v>
      </c>
      <c r="S2732" s="20">
        <v>776.63639999999998</v>
      </c>
    </row>
    <row r="2733" spans="2:19" ht="15" customHeight="1" x14ac:dyDescent="0.25">
      <c r="B2733" s="2" t="str">
        <f t="shared" si="84"/>
        <v>PGL_Business_Small/Mid-Size Business_Partner Trade Ally Rebate_Water Heater_Central Lodging 88% TE_CI</v>
      </c>
      <c r="C2733" s="2" t="str">
        <f t="shared" si="85"/>
        <v>PGL_Business_Small/Mid-Size Business_Partner Trade Ally Rebate_Water Heater_Central Lodging 88% TE_CI_2022</v>
      </c>
      <c r="D2733" s="19" t="s">
        <v>1794</v>
      </c>
      <c r="E2733" s="19" t="s">
        <v>3</v>
      </c>
      <c r="F2733" s="19" t="s">
        <v>1432</v>
      </c>
      <c r="G2733" s="19" t="s">
        <v>1799</v>
      </c>
      <c r="H2733" s="19" t="s">
        <v>8</v>
      </c>
      <c r="I2733" s="19" t="s">
        <v>1304</v>
      </c>
      <c r="J2733" s="19" t="s">
        <v>30</v>
      </c>
      <c r="K2733" s="19" t="s">
        <v>1159</v>
      </c>
      <c r="L2733" s="19">
        <v>2022</v>
      </c>
      <c r="M2733" s="20">
        <v>150</v>
      </c>
      <c r="N2733" s="19" t="s">
        <v>667</v>
      </c>
      <c r="O2733" s="20">
        <v>0</v>
      </c>
      <c r="P2733" s="20">
        <v>0</v>
      </c>
      <c r="Q2733" s="20">
        <v>0</v>
      </c>
      <c r="R2733" s="21">
        <v>0.92</v>
      </c>
      <c r="S2733" s="20">
        <v>0</v>
      </c>
    </row>
    <row r="2734" spans="2:19" ht="15" customHeight="1" x14ac:dyDescent="0.25">
      <c r="B2734" s="2" t="str">
        <f t="shared" si="84"/>
        <v>PGL_Business_Small/Mid-Size Business_Partner Trade Ally Rebate_Water Heater_Central Lodging 88% TE_CI</v>
      </c>
      <c r="C2734" s="2" t="str">
        <f t="shared" si="85"/>
        <v>PGL_Business_Small/Mid-Size Business_Partner Trade Ally Rebate_Water Heater_Central Lodging 88% TE_CI_2023</v>
      </c>
      <c r="D2734" s="19" t="s">
        <v>1794</v>
      </c>
      <c r="E2734" s="19" t="s">
        <v>3</v>
      </c>
      <c r="F2734" s="19" t="s">
        <v>1432</v>
      </c>
      <c r="G2734" s="19" t="s">
        <v>1799</v>
      </c>
      <c r="H2734" s="19" t="s">
        <v>8</v>
      </c>
      <c r="I2734" s="19" t="s">
        <v>1304</v>
      </c>
      <c r="J2734" s="19" t="s">
        <v>30</v>
      </c>
      <c r="K2734" s="19" t="s">
        <v>1159</v>
      </c>
      <c r="L2734" s="19">
        <v>2023</v>
      </c>
      <c r="M2734" s="20">
        <v>150</v>
      </c>
      <c r="N2734" s="19" t="s">
        <v>667</v>
      </c>
      <c r="O2734" s="20">
        <v>0</v>
      </c>
      <c r="P2734" s="20">
        <v>0</v>
      </c>
      <c r="Q2734" s="20">
        <v>0</v>
      </c>
      <c r="R2734" s="21">
        <v>0.92</v>
      </c>
      <c r="S2734" s="20">
        <v>0</v>
      </c>
    </row>
    <row r="2735" spans="2:19" ht="15" customHeight="1" x14ac:dyDescent="0.25">
      <c r="B2735" s="2" t="str">
        <f t="shared" si="84"/>
        <v>PGL_Business_Small/Mid-Size Business_Partner Trade Ally Rebate_Water Heater_Central Lodging 88% TE_CI</v>
      </c>
      <c r="C2735" s="2" t="str">
        <f t="shared" si="85"/>
        <v>PGL_Business_Small/Mid-Size Business_Partner Trade Ally Rebate_Water Heater_Central Lodging 88% TE_CI_2024</v>
      </c>
      <c r="D2735" s="19" t="s">
        <v>1794</v>
      </c>
      <c r="E2735" s="19" t="s">
        <v>3</v>
      </c>
      <c r="F2735" s="19" t="s">
        <v>1432</v>
      </c>
      <c r="G2735" s="19" t="s">
        <v>1799</v>
      </c>
      <c r="H2735" s="19" t="s">
        <v>8</v>
      </c>
      <c r="I2735" s="19" t="s">
        <v>1304</v>
      </c>
      <c r="J2735" s="19" t="s">
        <v>30</v>
      </c>
      <c r="K2735" s="19" t="s">
        <v>1159</v>
      </c>
      <c r="L2735" s="19">
        <v>2024</v>
      </c>
      <c r="M2735" s="20">
        <v>150</v>
      </c>
      <c r="N2735" s="19" t="s">
        <v>667</v>
      </c>
      <c r="O2735" s="20">
        <v>0</v>
      </c>
      <c r="P2735" s="20">
        <v>0</v>
      </c>
      <c r="Q2735" s="20">
        <v>0</v>
      </c>
      <c r="R2735" s="21">
        <v>0.92</v>
      </c>
      <c r="S2735" s="20">
        <v>0</v>
      </c>
    </row>
    <row r="2736" spans="2:19" ht="15" customHeight="1" x14ac:dyDescent="0.25">
      <c r="B2736" s="2" t="str">
        <f t="shared" si="84"/>
        <v>PGL_Business_Small/Mid-Size Business_Partner Trade Ally Rebate_Water Heater_Central Lodging 88% TE_CI</v>
      </c>
      <c r="C2736" s="2" t="str">
        <f t="shared" si="85"/>
        <v>PGL_Business_Small/Mid-Size Business_Partner Trade Ally Rebate_Water Heater_Central Lodging 88% TE_CI_2025</v>
      </c>
      <c r="D2736" s="19" t="s">
        <v>1794</v>
      </c>
      <c r="E2736" s="19" t="s">
        <v>3</v>
      </c>
      <c r="F2736" s="19" t="s">
        <v>1432</v>
      </c>
      <c r="G2736" s="19" t="s">
        <v>1799</v>
      </c>
      <c r="H2736" s="19" t="s">
        <v>8</v>
      </c>
      <c r="I2736" s="19" t="s">
        <v>1304</v>
      </c>
      <c r="J2736" s="19" t="s">
        <v>30</v>
      </c>
      <c r="K2736" s="19" t="s">
        <v>1159</v>
      </c>
      <c r="L2736" s="19">
        <v>2025</v>
      </c>
      <c r="M2736" s="20">
        <v>150</v>
      </c>
      <c r="N2736" s="19" t="s">
        <v>667</v>
      </c>
      <c r="O2736" s="20">
        <v>0</v>
      </c>
      <c r="P2736" s="20">
        <v>0</v>
      </c>
      <c r="Q2736" s="20">
        <v>0</v>
      </c>
      <c r="R2736" s="21">
        <v>0.92</v>
      </c>
      <c r="S2736" s="20">
        <v>0</v>
      </c>
    </row>
    <row r="2737" spans="2:19" ht="15" customHeight="1" x14ac:dyDescent="0.25">
      <c r="B2737" s="2" t="str">
        <f t="shared" si="84"/>
        <v>PGL_Business_Small/Mid-Size Business_Partner Trade Ally Rebate_DHW Storage Tank Insulation_0_MF/CI/SMB</v>
      </c>
      <c r="C2737" s="2" t="str">
        <f t="shared" si="85"/>
        <v>PGL_Business_Small/Mid-Size Business_Partner Trade Ally Rebate_DHW Storage Tank Insulation_0_MF/CI/SMB_2022</v>
      </c>
      <c r="D2737" s="19" t="s">
        <v>1794</v>
      </c>
      <c r="E2737" s="19" t="s">
        <v>3</v>
      </c>
      <c r="F2737" s="19" t="s">
        <v>1432</v>
      </c>
      <c r="G2737" s="19" t="s">
        <v>1799</v>
      </c>
      <c r="H2737" s="19" t="s">
        <v>832</v>
      </c>
      <c r="I2737" s="19">
        <v>0</v>
      </c>
      <c r="J2737" s="19" t="s">
        <v>810</v>
      </c>
      <c r="K2737" s="19" t="s">
        <v>662</v>
      </c>
      <c r="L2737" s="19">
        <v>2022</v>
      </c>
      <c r="M2737" s="20">
        <v>56</v>
      </c>
      <c r="N2737" s="19" t="s">
        <v>634</v>
      </c>
      <c r="O2737" s="20">
        <v>3</v>
      </c>
      <c r="P2737" s="20">
        <v>168</v>
      </c>
      <c r="Q2737" s="20">
        <v>1075.0224375966316</v>
      </c>
      <c r="R2737" s="21">
        <v>0.92</v>
      </c>
      <c r="S2737" s="20">
        <v>1075.0224375966316</v>
      </c>
    </row>
    <row r="2738" spans="2:19" ht="15" customHeight="1" x14ac:dyDescent="0.25">
      <c r="B2738" s="2" t="str">
        <f t="shared" si="84"/>
        <v>PGL_Business_Small/Mid-Size Business_Partner Trade Ally Rebate_DHW Storage Tank Insulation_0_MF/CI/SMB</v>
      </c>
      <c r="C2738" s="2" t="str">
        <f t="shared" si="85"/>
        <v>PGL_Business_Small/Mid-Size Business_Partner Trade Ally Rebate_DHW Storage Tank Insulation_0_MF/CI/SMB_2023</v>
      </c>
      <c r="D2738" s="19" t="s">
        <v>1794</v>
      </c>
      <c r="E2738" s="19" t="s">
        <v>3</v>
      </c>
      <c r="F2738" s="19" t="s">
        <v>1432</v>
      </c>
      <c r="G2738" s="19" t="s">
        <v>1799</v>
      </c>
      <c r="H2738" s="19" t="s">
        <v>832</v>
      </c>
      <c r="I2738" s="19">
        <v>0</v>
      </c>
      <c r="J2738" s="19" t="s">
        <v>810</v>
      </c>
      <c r="K2738" s="19" t="s">
        <v>662</v>
      </c>
      <c r="L2738" s="19">
        <v>2023</v>
      </c>
      <c r="M2738" s="20">
        <v>56</v>
      </c>
      <c r="N2738" s="19" t="s">
        <v>634</v>
      </c>
      <c r="O2738" s="20">
        <v>2</v>
      </c>
      <c r="P2738" s="20">
        <v>112</v>
      </c>
      <c r="Q2738" s="20">
        <v>716.68162506442104</v>
      </c>
      <c r="R2738" s="21">
        <v>0.92</v>
      </c>
      <c r="S2738" s="20">
        <v>716.68162506442104</v>
      </c>
    </row>
    <row r="2739" spans="2:19" ht="15" customHeight="1" x14ac:dyDescent="0.25">
      <c r="B2739" s="2" t="str">
        <f t="shared" si="84"/>
        <v>PGL_Business_Small/Mid-Size Business_Partner Trade Ally Rebate_DHW Storage Tank Insulation_0_MF/CI/SMB</v>
      </c>
      <c r="C2739" s="2" t="str">
        <f t="shared" si="85"/>
        <v>PGL_Business_Small/Mid-Size Business_Partner Trade Ally Rebate_DHW Storage Tank Insulation_0_MF/CI/SMB_2024</v>
      </c>
      <c r="D2739" s="19" t="s">
        <v>1794</v>
      </c>
      <c r="E2739" s="19" t="s">
        <v>3</v>
      </c>
      <c r="F2739" s="19" t="s">
        <v>1432</v>
      </c>
      <c r="G2739" s="19" t="s">
        <v>1799</v>
      </c>
      <c r="H2739" s="19" t="s">
        <v>832</v>
      </c>
      <c r="I2739" s="19">
        <v>0</v>
      </c>
      <c r="J2739" s="19" t="s">
        <v>810</v>
      </c>
      <c r="K2739" s="19" t="s">
        <v>662</v>
      </c>
      <c r="L2739" s="19">
        <v>2024</v>
      </c>
      <c r="M2739" s="20">
        <v>56</v>
      </c>
      <c r="N2739" s="19" t="s">
        <v>634</v>
      </c>
      <c r="O2739" s="20">
        <v>2</v>
      </c>
      <c r="P2739" s="20">
        <v>112</v>
      </c>
      <c r="Q2739" s="20">
        <v>716.68162506442104</v>
      </c>
      <c r="R2739" s="21">
        <v>0.92</v>
      </c>
      <c r="S2739" s="20">
        <v>716.68162506442104</v>
      </c>
    </row>
    <row r="2740" spans="2:19" ht="15" customHeight="1" x14ac:dyDescent="0.25">
      <c r="B2740" s="2" t="str">
        <f t="shared" si="84"/>
        <v>PGL_Business_Small/Mid-Size Business_Partner Trade Ally Rebate_DHW Storage Tank Insulation_0_MF/CI/SMB</v>
      </c>
      <c r="C2740" s="2" t="str">
        <f t="shared" si="85"/>
        <v>PGL_Business_Small/Mid-Size Business_Partner Trade Ally Rebate_DHW Storage Tank Insulation_0_MF/CI/SMB_2025</v>
      </c>
      <c r="D2740" s="19" t="s">
        <v>1794</v>
      </c>
      <c r="E2740" s="19" t="s">
        <v>3</v>
      </c>
      <c r="F2740" s="19" t="s">
        <v>1432</v>
      </c>
      <c r="G2740" s="19" t="s">
        <v>1799</v>
      </c>
      <c r="H2740" s="19" t="s">
        <v>832</v>
      </c>
      <c r="I2740" s="19">
        <v>0</v>
      </c>
      <c r="J2740" s="19" t="s">
        <v>810</v>
      </c>
      <c r="K2740" s="19" t="s">
        <v>662</v>
      </c>
      <c r="L2740" s="19">
        <v>2025</v>
      </c>
      <c r="M2740" s="20">
        <v>56</v>
      </c>
      <c r="N2740" s="19" t="s">
        <v>634</v>
      </c>
      <c r="O2740" s="20">
        <v>2</v>
      </c>
      <c r="P2740" s="20">
        <v>112</v>
      </c>
      <c r="Q2740" s="20">
        <v>716.68162506442104</v>
      </c>
      <c r="R2740" s="21">
        <v>0.92</v>
      </c>
      <c r="S2740" s="20">
        <v>716.68162506442104</v>
      </c>
    </row>
    <row r="2741" spans="2:19" ht="15" customHeight="1" x14ac:dyDescent="0.25">
      <c r="B2741" s="2" t="str">
        <f t="shared" si="84"/>
        <v>PGL_Business_Small/Mid-Size Business_Partner Trade Ally Rebate_Water Heater_Storage 0.67 EF_CI</v>
      </c>
      <c r="C2741" s="2" t="str">
        <f t="shared" si="85"/>
        <v>PGL_Business_Small/Mid-Size Business_Partner Trade Ally Rebate_Water Heater_Storage 0.67 EF_CI_2022</v>
      </c>
      <c r="D2741" s="19" t="s">
        <v>1794</v>
      </c>
      <c r="E2741" s="19" t="s">
        <v>3</v>
      </c>
      <c r="F2741" s="19" t="s">
        <v>1432</v>
      </c>
      <c r="G2741" s="19" t="s">
        <v>1799</v>
      </c>
      <c r="H2741" s="19" t="s">
        <v>8</v>
      </c>
      <c r="I2741" s="19" t="s">
        <v>879</v>
      </c>
      <c r="J2741" s="19" t="s">
        <v>1263</v>
      </c>
      <c r="K2741" s="19" t="s">
        <v>1159</v>
      </c>
      <c r="L2741" s="19">
        <v>2022</v>
      </c>
      <c r="M2741" s="20">
        <v>1</v>
      </c>
      <c r="N2741" s="19" t="s">
        <v>1798</v>
      </c>
      <c r="O2741" s="20">
        <v>0</v>
      </c>
      <c r="P2741" s="20">
        <v>0</v>
      </c>
      <c r="Q2741" s="20">
        <v>0</v>
      </c>
      <c r="R2741" s="21">
        <v>0.92</v>
      </c>
      <c r="S2741" s="20">
        <v>0</v>
      </c>
    </row>
    <row r="2742" spans="2:19" ht="15" customHeight="1" x14ac:dyDescent="0.25">
      <c r="B2742" s="2" t="str">
        <f t="shared" si="84"/>
        <v>PGL_Business_Small/Mid-Size Business_Partner Trade Ally Rebate_Water Heater_Storage 0.67 EF_CI</v>
      </c>
      <c r="C2742" s="2" t="str">
        <f t="shared" si="85"/>
        <v>PGL_Business_Small/Mid-Size Business_Partner Trade Ally Rebate_Water Heater_Storage 0.67 EF_CI_2023</v>
      </c>
      <c r="D2742" s="19" t="s">
        <v>1794</v>
      </c>
      <c r="E2742" s="19" t="s">
        <v>3</v>
      </c>
      <c r="F2742" s="19" t="s">
        <v>1432</v>
      </c>
      <c r="G2742" s="19" t="s">
        <v>1799</v>
      </c>
      <c r="H2742" s="19" t="s">
        <v>8</v>
      </c>
      <c r="I2742" s="19" t="s">
        <v>879</v>
      </c>
      <c r="J2742" s="19" t="s">
        <v>1263</v>
      </c>
      <c r="K2742" s="19" t="s">
        <v>1159</v>
      </c>
      <c r="L2742" s="19">
        <v>2023</v>
      </c>
      <c r="M2742" s="20">
        <v>1</v>
      </c>
      <c r="N2742" s="19" t="s">
        <v>1798</v>
      </c>
      <c r="O2742" s="20">
        <v>0</v>
      </c>
      <c r="P2742" s="20">
        <v>0</v>
      </c>
      <c r="Q2742" s="20">
        <v>0</v>
      </c>
      <c r="R2742" s="21">
        <v>0.92</v>
      </c>
      <c r="S2742" s="20">
        <v>0</v>
      </c>
    </row>
    <row r="2743" spans="2:19" ht="15" customHeight="1" x14ac:dyDescent="0.25">
      <c r="B2743" s="2" t="str">
        <f t="shared" si="84"/>
        <v>PGL_Business_Small/Mid-Size Business_Partner Trade Ally Rebate_Water Heater_Storage 0.67 EF_CI</v>
      </c>
      <c r="C2743" s="2" t="str">
        <f t="shared" si="85"/>
        <v>PGL_Business_Small/Mid-Size Business_Partner Trade Ally Rebate_Water Heater_Storage 0.67 EF_CI_2024</v>
      </c>
      <c r="D2743" s="19" t="s">
        <v>1794</v>
      </c>
      <c r="E2743" s="19" t="s">
        <v>3</v>
      </c>
      <c r="F2743" s="19" t="s">
        <v>1432</v>
      </c>
      <c r="G2743" s="19" t="s">
        <v>1799</v>
      </c>
      <c r="H2743" s="19" t="s">
        <v>8</v>
      </c>
      <c r="I2743" s="19" t="s">
        <v>879</v>
      </c>
      <c r="J2743" s="19" t="s">
        <v>1263</v>
      </c>
      <c r="K2743" s="19" t="s">
        <v>1159</v>
      </c>
      <c r="L2743" s="19">
        <v>2024</v>
      </c>
      <c r="M2743" s="20">
        <v>1</v>
      </c>
      <c r="N2743" s="19" t="s">
        <v>1798</v>
      </c>
      <c r="O2743" s="20">
        <v>0</v>
      </c>
      <c r="P2743" s="20">
        <v>0</v>
      </c>
      <c r="Q2743" s="20">
        <v>0</v>
      </c>
      <c r="R2743" s="21">
        <v>0.92</v>
      </c>
      <c r="S2743" s="20">
        <v>0</v>
      </c>
    </row>
    <row r="2744" spans="2:19" ht="15" customHeight="1" x14ac:dyDescent="0.25">
      <c r="B2744" s="2" t="str">
        <f t="shared" si="84"/>
        <v>PGL_Business_Small/Mid-Size Business_Partner Trade Ally Rebate_Water Heater_Storage 0.67 EF_CI</v>
      </c>
      <c r="C2744" s="2" t="str">
        <f t="shared" si="85"/>
        <v>PGL_Business_Small/Mid-Size Business_Partner Trade Ally Rebate_Water Heater_Storage 0.67 EF_CI_2025</v>
      </c>
      <c r="D2744" s="19" t="s">
        <v>1794</v>
      </c>
      <c r="E2744" s="19" t="s">
        <v>3</v>
      </c>
      <c r="F2744" s="19" t="s">
        <v>1432</v>
      </c>
      <c r="G2744" s="19" t="s">
        <v>1799</v>
      </c>
      <c r="H2744" s="19" t="s">
        <v>8</v>
      </c>
      <c r="I2744" s="19" t="s">
        <v>879</v>
      </c>
      <c r="J2744" s="19" t="s">
        <v>1263</v>
      </c>
      <c r="K2744" s="19" t="s">
        <v>1159</v>
      </c>
      <c r="L2744" s="19">
        <v>2025</v>
      </c>
      <c r="M2744" s="20">
        <v>1</v>
      </c>
      <c r="N2744" s="19" t="s">
        <v>1798</v>
      </c>
      <c r="O2744" s="20">
        <v>0</v>
      </c>
      <c r="P2744" s="20">
        <v>0</v>
      </c>
      <c r="Q2744" s="20">
        <v>0</v>
      </c>
      <c r="R2744" s="21">
        <v>0.92</v>
      </c>
      <c r="S2744" s="20">
        <v>0</v>
      </c>
    </row>
    <row r="2745" spans="2:19" ht="15" customHeight="1" x14ac:dyDescent="0.25">
      <c r="B2745" s="2" t="str">
        <f t="shared" si="84"/>
        <v>PGL_Business_Small/Mid-Size Business_Partner Trade Ally Rebate_Infrared Heater_0_MF/CI</v>
      </c>
      <c r="C2745" s="2" t="str">
        <f t="shared" si="85"/>
        <v>PGL_Business_Small/Mid-Size Business_Partner Trade Ally Rebate_Infrared Heater_0_MF/CI_2022</v>
      </c>
      <c r="D2745" s="19" t="s">
        <v>1794</v>
      </c>
      <c r="E2745" s="19" t="s">
        <v>3</v>
      </c>
      <c r="F2745" s="19" t="s">
        <v>1432</v>
      </c>
      <c r="G2745" s="19" t="s">
        <v>1799</v>
      </c>
      <c r="H2745" s="19" t="s">
        <v>742</v>
      </c>
      <c r="I2745" s="19">
        <v>0</v>
      </c>
      <c r="J2745" s="19" t="s">
        <v>33</v>
      </c>
      <c r="K2745" s="19" t="s">
        <v>587</v>
      </c>
      <c r="L2745" s="19">
        <v>2022</v>
      </c>
      <c r="M2745" s="20">
        <v>150</v>
      </c>
      <c r="N2745" s="19" t="s">
        <v>667</v>
      </c>
      <c r="O2745" s="20">
        <v>0</v>
      </c>
      <c r="P2745" s="20">
        <v>0</v>
      </c>
      <c r="Q2745" s="20">
        <v>0</v>
      </c>
      <c r="R2745" s="21">
        <v>0.92</v>
      </c>
      <c r="S2745" s="20">
        <v>0</v>
      </c>
    </row>
    <row r="2746" spans="2:19" ht="15" customHeight="1" x14ac:dyDescent="0.25">
      <c r="B2746" s="2" t="str">
        <f t="shared" si="84"/>
        <v>PGL_Business_Small/Mid-Size Business_Partner Trade Ally Rebate_Infrared Heater_0_MF/CI</v>
      </c>
      <c r="C2746" s="2" t="str">
        <f t="shared" si="85"/>
        <v>PGL_Business_Small/Mid-Size Business_Partner Trade Ally Rebate_Infrared Heater_0_MF/CI_2023</v>
      </c>
      <c r="D2746" s="19" t="s">
        <v>1794</v>
      </c>
      <c r="E2746" s="19" t="s">
        <v>3</v>
      </c>
      <c r="F2746" s="19" t="s">
        <v>1432</v>
      </c>
      <c r="G2746" s="19" t="s">
        <v>1799</v>
      </c>
      <c r="H2746" s="19" t="s">
        <v>742</v>
      </c>
      <c r="I2746" s="19">
        <v>0</v>
      </c>
      <c r="J2746" s="19" t="s">
        <v>33</v>
      </c>
      <c r="K2746" s="19" t="s">
        <v>587</v>
      </c>
      <c r="L2746" s="19">
        <v>2023</v>
      </c>
      <c r="M2746" s="20">
        <v>150</v>
      </c>
      <c r="N2746" s="19" t="s">
        <v>667</v>
      </c>
      <c r="O2746" s="20">
        <v>0</v>
      </c>
      <c r="P2746" s="20">
        <v>0</v>
      </c>
      <c r="Q2746" s="20">
        <v>0</v>
      </c>
      <c r="R2746" s="21">
        <v>0.92</v>
      </c>
      <c r="S2746" s="20">
        <v>0</v>
      </c>
    </row>
    <row r="2747" spans="2:19" ht="15" customHeight="1" x14ac:dyDescent="0.25">
      <c r="B2747" s="2" t="str">
        <f t="shared" si="84"/>
        <v>PGL_Business_Small/Mid-Size Business_Partner Trade Ally Rebate_Infrared Heater_0_MF/CI</v>
      </c>
      <c r="C2747" s="2" t="str">
        <f t="shared" si="85"/>
        <v>PGL_Business_Small/Mid-Size Business_Partner Trade Ally Rebate_Infrared Heater_0_MF/CI_2024</v>
      </c>
      <c r="D2747" s="19" t="s">
        <v>1794</v>
      </c>
      <c r="E2747" s="19" t="s">
        <v>3</v>
      </c>
      <c r="F2747" s="19" t="s">
        <v>1432</v>
      </c>
      <c r="G2747" s="19" t="s">
        <v>1799</v>
      </c>
      <c r="H2747" s="19" t="s">
        <v>742</v>
      </c>
      <c r="I2747" s="19">
        <v>0</v>
      </c>
      <c r="J2747" s="19" t="s">
        <v>33</v>
      </c>
      <c r="K2747" s="19" t="s">
        <v>587</v>
      </c>
      <c r="L2747" s="19">
        <v>2024</v>
      </c>
      <c r="M2747" s="20">
        <v>150</v>
      </c>
      <c r="N2747" s="19" t="s">
        <v>667</v>
      </c>
      <c r="O2747" s="20">
        <v>0</v>
      </c>
      <c r="P2747" s="20">
        <v>0</v>
      </c>
      <c r="Q2747" s="20">
        <v>0</v>
      </c>
      <c r="R2747" s="21">
        <v>0.92</v>
      </c>
      <c r="S2747" s="20">
        <v>0</v>
      </c>
    </row>
    <row r="2748" spans="2:19" ht="15" customHeight="1" x14ac:dyDescent="0.25">
      <c r="B2748" s="2" t="str">
        <f t="shared" si="84"/>
        <v>PGL_Business_Small/Mid-Size Business_Partner Trade Ally Rebate_Infrared Heater_0_MF/CI</v>
      </c>
      <c r="C2748" s="2" t="str">
        <f t="shared" si="85"/>
        <v>PGL_Business_Small/Mid-Size Business_Partner Trade Ally Rebate_Infrared Heater_0_MF/CI_2025</v>
      </c>
      <c r="D2748" s="19" t="s">
        <v>1794</v>
      </c>
      <c r="E2748" s="19" t="s">
        <v>3</v>
      </c>
      <c r="F2748" s="19" t="s">
        <v>1432</v>
      </c>
      <c r="G2748" s="19" t="s">
        <v>1799</v>
      </c>
      <c r="H2748" s="19" t="s">
        <v>742</v>
      </c>
      <c r="I2748" s="19">
        <v>0</v>
      </c>
      <c r="J2748" s="19" t="s">
        <v>33</v>
      </c>
      <c r="K2748" s="19" t="s">
        <v>587</v>
      </c>
      <c r="L2748" s="19">
        <v>2025</v>
      </c>
      <c r="M2748" s="20">
        <v>150</v>
      </c>
      <c r="N2748" s="19" t="s">
        <v>667</v>
      </c>
      <c r="O2748" s="20">
        <v>0</v>
      </c>
      <c r="P2748" s="20">
        <v>0</v>
      </c>
      <c r="Q2748" s="20">
        <v>0</v>
      </c>
      <c r="R2748" s="21">
        <v>0.92</v>
      </c>
      <c r="S2748" s="20">
        <v>0</v>
      </c>
    </row>
    <row r="2749" spans="2:19" ht="15" customHeight="1" x14ac:dyDescent="0.25">
      <c r="B2749" s="2" t="str">
        <f t="shared" si="84"/>
        <v>PGL_Business_Small/Mid-Size Business_Partner Trade Ally Rebate_Modulating Commercial Gas Clothes Dryer_Hotels &amp; Hospitals_CI</v>
      </c>
      <c r="C2749" s="2" t="str">
        <f t="shared" si="85"/>
        <v>PGL_Business_Small/Mid-Size Business_Partner Trade Ally Rebate_Modulating Commercial Gas Clothes Dryer_Hotels &amp; Hospitals_CI_2022</v>
      </c>
      <c r="D2749" s="19" t="s">
        <v>1794</v>
      </c>
      <c r="E2749" s="19" t="s">
        <v>3</v>
      </c>
      <c r="F2749" s="19" t="s">
        <v>1432</v>
      </c>
      <c r="G2749" s="19" t="s">
        <v>1799</v>
      </c>
      <c r="H2749" s="19" t="s">
        <v>12</v>
      </c>
      <c r="I2749" s="19" t="s">
        <v>1253</v>
      </c>
      <c r="J2749" s="19" t="s">
        <v>29</v>
      </c>
      <c r="K2749" s="19" t="s">
        <v>1159</v>
      </c>
      <c r="L2749" s="19">
        <v>2022</v>
      </c>
      <c r="M2749" s="20">
        <v>1</v>
      </c>
      <c r="N2749" s="19" t="s">
        <v>1798</v>
      </c>
      <c r="O2749" s="20">
        <v>4</v>
      </c>
      <c r="P2749" s="20">
        <v>4</v>
      </c>
      <c r="Q2749" s="20">
        <v>2389.2768000000001</v>
      </c>
      <c r="R2749" s="21">
        <v>0.92</v>
      </c>
      <c r="S2749" s="20">
        <v>2389.2768000000001</v>
      </c>
    </row>
    <row r="2750" spans="2:19" ht="15" customHeight="1" x14ac:dyDescent="0.25">
      <c r="B2750" s="2" t="str">
        <f t="shared" si="84"/>
        <v>PGL_Business_Small/Mid-Size Business_Partner Trade Ally Rebate_Modulating Commercial Gas Clothes Dryer_Hotels &amp; Hospitals_CI</v>
      </c>
      <c r="C2750" s="2" t="str">
        <f t="shared" si="85"/>
        <v>PGL_Business_Small/Mid-Size Business_Partner Trade Ally Rebate_Modulating Commercial Gas Clothes Dryer_Hotels &amp; Hospitals_CI_2023</v>
      </c>
      <c r="D2750" s="19" t="s">
        <v>1794</v>
      </c>
      <c r="E2750" s="19" t="s">
        <v>3</v>
      </c>
      <c r="F2750" s="19" t="s">
        <v>1432</v>
      </c>
      <c r="G2750" s="19" t="s">
        <v>1799</v>
      </c>
      <c r="H2750" s="19" t="s">
        <v>12</v>
      </c>
      <c r="I2750" s="19" t="s">
        <v>1253</v>
      </c>
      <c r="J2750" s="19" t="s">
        <v>29</v>
      </c>
      <c r="K2750" s="19" t="s">
        <v>1159</v>
      </c>
      <c r="L2750" s="19">
        <v>2023</v>
      </c>
      <c r="M2750" s="20">
        <v>1</v>
      </c>
      <c r="N2750" s="19" t="s">
        <v>1798</v>
      </c>
      <c r="O2750" s="20">
        <v>4</v>
      </c>
      <c r="P2750" s="20">
        <v>4</v>
      </c>
      <c r="Q2750" s="20">
        <v>2389.2768000000001</v>
      </c>
      <c r="R2750" s="21">
        <v>0.92</v>
      </c>
      <c r="S2750" s="20">
        <v>2389.2768000000001</v>
      </c>
    </row>
    <row r="2751" spans="2:19" ht="15" customHeight="1" x14ac:dyDescent="0.25">
      <c r="B2751" s="2" t="str">
        <f t="shared" si="84"/>
        <v>PGL_Business_Small/Mid-Size Business_Partner Trade Ally Rebate_Modulating Commercial Gas Clothes Dryer_Hotels &amp; Hospitals_CI</v>
      </c>
      <c r="C2751" s="2" t="str">
        <f t="shared" si="85"/>
        <v>PGL_Business_Small/Mid-Size Business_Partner Trade Ally Rebate_Modulating Commercial Gas Clothes Dryer_Hotels &amp; Hospitals_CI_2024</v>
      </c>
      <c r="D2751" s="19" t="s">
        <v>1794</v>
      </c>
      <c r="E2751" s="19" t="s">
        <v>3</v>
      </c>
      <c r="F2751" s="19" t="s">
        <v>1432</v>
      </c>
      <c r="G2751" s="19" t="s">
        <v>1799</v>
      </c>
      <c r="H2751" s="19" t="s">
        <v>12</v>
      </c>
      <c r="I2751" s="19" t="s">
        <v>1253</v>
      </c>
      <c r="J2751" s="19" t="s">
        <v>29</v>
      </c>
      <c r="K2751" s="19" t="s">
        <v>1159</v>
      </c>
      <c r="L2751" s="19">
        <v>2024</v>
      </c>
      <c r="M2751" s="20">
        <v>1</v>
      </c>
      <c r="N2751" s="19" t="s">
        <v>1798</v>
      </c>
      <c r="O2751" s="20">
        <v>3</v>
      </c>
      <c r="P2751" s="20">
        <v>3</v>
      </c>
      <c r="Q2751" s="20">
        <v>1791.9576</v>
      </c>
      <c r="R2751" s="21">
        <v>0.92</v>
      </c>
      <c r="S2751" s="20">
        <v>1791.9576</v>
      </c>
    </row>
    <row r="2752" spans="2:19" ht="15" customHeight="1" x14ac:dyDescent="0.25">
      <c r="B2752" s="2" t="str">
        <f t="shared" si="84"/>
        <v>PGL_Business_Small/Mid-Size Business_Partner Trade Ally Rebate_Modulating Commercial Gas Clothes Dryer_Hotels &amp; Hospitals_CI</v>
      </c>
      <c r="C2752" s="2" t="str">
        <f t="shared" si="85"/>
        <v>PGL_Business_Small/Mid-Size Business_Partner Trade Ally Rebate_Modulating Commercial Gas Clothes Dryer_Hotels &amp; Hospitals_CI_2025</v>
      </c>
      <c r="D2752" s="19" t="s">
        <v>1794</v>
      </c>
      <c r="E2752" s="19" t="s">
        <v>3</v>
      </c>
      <c r="F2752" s="19" t="s">
        <v>1432</v>
      </c>
      <c r="G2752" s="19" t="s">
        <v>1799</v>
      </c>
      <c r="H2752" s="19" t="s">
        <v>12</v>
      </c>
      <c r="I2752" s="19" t="s">
        <v>1253</v>
      </c>
      <c r="J2752" s="19" t="s">
        <v>29</v>
      </c>
      <c r="K2752" s="19" t="s">
        <v>1159</v>
      </c>
      <c r="L2752" s="19">
        <v>2025</v>
      </c>
      <c r="M2752" s="20">
        <v>1</v>
      </c>
      <c r="N2752" s="19" t="s">
        <v>1798</v>
      </c>
      <c r="O2752" s="20">
        <v>3</v>
      </c>
      <c r="P2752" s="20">
        <v>3</v>
      </c>
      <c r="Q2752" s="20">
        <v>1791.9576</v>
      </c>
      <c r="R2752" s="21">
        <v>0.92</v>
      </c>
      <c r="S2752" s="20">
        <v>1791.9576</v>
      </c>
    </row>
    <row r="2753" spans="2:19" ht="15" customHeight="1" x14ac:dyDescent="0.25">
      <c r="B2753" s="2" t="str">
        <f t="shared" si="84"/>
        <v>PGL_Business_Small/Mid-Size Business_Partner Trade Ally Rebate_Modulating Commercial Gas Clothes Dryer_Laundromat &amp; MF Dorms_MF/SMB</v>
      </c>
      <c r="C2753" s="2" t="str">
        <f t="shared" si="85"/>
        <v>PGL_Business_Small/Mid-Size Business_Partner Trade Ally Rebate_Modulating Commercial Gas Clothes Dryer_Laundromat &amp; MF Dorms_MF/SMB_2022</v>
      </c>
      <c r="D2753" s="19" t="s">
        <v>1794</v>
      </c>
      <c r="E2753" s="19" t="s">
        <v>3</v>
      </c>
      <c r="F2753" s="19" t="s">
        <v>1432</v>
      </c>
      <c r="G2753" s="19" t="s">
        <v>1799</v>
      </c>
      <c r="H2753" s="19" t="s">
        <v>12</v>
      </c>
      <c r="I2753" s="19" t="s">
        <v>1255</v>
      </c>
      <c r="J2753" s="19" t="s">
        <v>29</v>
      </c>
      <c r="K2753" s="19" t="s">
        <v>1256</v>
      </c>
      <c r="L2753" s="19">
        <v>2022</v>
      </c>
      <c r="M2753" s="20">
        <v>1</v>
      </c>
      <c r="N2753" s="19" t="s">
        <v>1798</v>
      </c>
      <c r="O2753" s="20">
        <v>3</v>
      </c>
      <c r="P2753" s="20">
        <v>3</v>
      </c>
      <c r="Q2753" s="20">
        <v>635.15880000000004</v>
      </c>
      <c r="R2753" s="21">
        <v>0.92</v>
      </c>
      <c r="S2753" s="20">
        <v>635.15880000000004</v>
      </c>
    </row>
    <row r="2754" spans="2:19" ht="15" customHeight="1" x14ac:dyDescent="0.25">
      <c r="B2754" s="2" t="str">
        <f t="shared" si="84"/>
        <v>PGL_Business_Small/Mid-Size Business_Partner Trade Ally Rebate_Modulating Commercial Gas Clothes Dryer_Laundromat &amp; MF Dorms_MF/SMB</v>
      </c>
      <c r="C2754" s="2" t="str">
        <f t="shared" si="85"/>
        <v>PGL_Business_Small/Mid-Size Business_Partner Trade Ally Rebate_Modulating Commercial Gas Clothes Dryer_Laundromat &amp; MF Dorms_MF/SMB_2023</v>
      </c>
      <c r="D2754" s="19" t="s">
        <v>1794</v>
      </c>
      <c r="E2754" s="19" t="s">
        <v>3</v>
      </c>
      <c r="F2754" s="19" t="s">
        <v>1432</v>
      </c>
      <c r="G2754" s="19" t="s">
        <v>1799</v>
      </c>
      <c r="H2754" s="19" t="s">
        <v>12</v>
      </c>
      <c r="I2754" s="19" t="s">
        <v>1255</v>
      </c>
      <c r="J2754" s="19" t="s">
        <v>29</v>
      </c>
      <c r="K2754" s="19" t="s">
        <v>1256</v>
      </c>
      <c r="L2754" s="19">
        <v>2023</v>
      </c>
      <c r="M2754" s="20">
        <v>1</v>
      </c>
      <c r="N2754" s="19" t="s">
        <v>1798</v>
      </c>
      <c r="O2754" s="20">
        <v>3</v>
      </c>
      <c r="P2754" s="20">
        <v>3</v>
      </c>
      <c r="Q2754" s="20">
        <v>635.15880000000004</v>
      </c>
      <c r="R2754" s="21">
        <v>0.92</v>
      </c>
      <c r="S2754" s="20">
        <v>635.15880000000004</v>
      </c>
    </row>
    <row r="2755" spans="2:19" ht="15" customHeight="1" x14ac:dyDescent="0.25">
      <c r="B2755" s="2" t="str">
        <f t="shared" si="84"/>
        <v>PGL_Business_Small/Mid-Size Business_Partner Trade Ally Rebate_Modulating Commercial Gas Clothes Dryer_Laundromat &amp; MF Dorms_MF/SMB</v>
      </c>
      <c r="C2755" s="2" t="str">
        <f t="shared" si="85"/>
        <v>PGL_Business_Small/Mid-Size Business_Partner Trade Ally Rebate_Modulating Commercial Gas Clothes Dryer_Laundromat &amp; MF Dorms_MF/SMB_2024</v>
      </c>
      <c r="D2755" s="19" t="s">
        <v>1794</v>
      </c>
      <c r="E2755" s="19" t="s">
        <v>3</v>
      </c>
      <c r="F2755" s="19" t="s">
        <v>1432</v>
      </c>
      <c r="G2755" s="19" t="s">
        <v>1799</v>
      </c>
      <c r="H2755" s="19" t="s">
        <v>12</v>
      </c>
      <c r="I2755" s="19" t="s">
        <v>1255</v>
      </c>
      <c r="J2755" s="19" t="s">
        <v>29</v>
      </c>
      <c r="K2755" s="19" t="s">
        <v>1256</v>
      </c>
      <c r="L2755" s="19">
        <v>2024</v>
      </c>
      <c r="M2755" s="20">
        <v>1</v>
      </c>
      <c r="N2755" s="19" t="s">
        <v>1798</v>
      </c>
      <c r="O2755" s="20">
        <v>3</v>
      </c>
      <c r="P2755" s="20">
        <v>3</v>
      </c>
      <c r="Q2755" s="20">
        <v>635.15880000000004</v>
      </c>
      <c r="R2755" s="21">
        <v>0.92</v>
      </c>
      <c r="S2755" s="20">
        <v>635.15880000000004</v>
      </c>
    </row>
    <row r="2756" spans="2:19" ht="15" customHeight="1" x14ac:dyDescent="0.25">
      <c r="B2756" s="2" t="str">
        <f t="shared" si="84"/>
        <v>PGL_Business_Small/Mid-Size Business_Partner Trade Ally Rebate_Modulating Commercial Gas Clothes Dryer_Laundromat &amp; MF Dorms_MF/SMB</v>
      </c>
      <c r="C2756" s="2" t="str">
        <f t="shared" si="85"/>
        <v>PGL_Business_Small/Mid-Size Business_Partner Trade Ally Rebate_Modulating Commercial Gas Clothes Dryer_Laundromat &amp; MF Dorms_MF/SMB_2025</v>
      </c>
      <c r="D2756" s="19" t="s">
        <v>1794</v>
      </c>
      <c r="E2756" s="19" t="s">
        <v>3</v>
      </c>
      <c r="F2756" s="19" t="s">
        <v>1432</v>
      </c>
      <c r="G2756" s="19" t="s">
        <v>1799</v>
      </c>
      <c r="H2756" s="19" t="s">
        <v>12</v>
      </c>
      <c r="I2756" s="19" t="s">
        <v>1255</v>
      </c>
      <c r="J2756" s="19" t="s">
        <v>29</v>
      </c>
      <c r="K2756" s="19" t="s">
        <v>1256</v>
      </c>
      <c r="L2756" s="19">
        <v>2025</v>
      </c>
      <c r="M2756" s="20">
        <v>1</v>
      </c>
      <c r="N2756" s="19" t="s">
        <v>1798</v>
      </c>
      <c r="O2756" s="20">
        <v>3</v>
      </c>
      <c r="P2756" s="20">
        <v>3</v>
      </c>
      <c r="Q2756" s="20">
        <v>635.15880000000004</v>
      </c>
      <c r="R2756" s="21">
        <v>0.92</v>
      </c>
      <c r="S2756" s="20">
        <v>635.15880000000004</v>
      </c>
    </row>
    <row r="2757" spans="2:19" ht="15" customHeight="1" x14ac:dyDescent="0.25">
      <c r="B2757" s="2" t="str">
        <f t="shared" si="84"/>
        <v>PGL_Business_Small/Mid-Size Business_Partner Trade Ally Rebate_Ozone Laundry_0_MF/CI</v>
      </c>
      <c r="C2757" s="2" t="str">
        <f t="shared" si="85"/>
        <v>PGL_Business_Small/Mid-Size Business_Partner Trade Ally Rebate_Ozone Laundry_0_MF/CI_2022</v>
      </c>
      <c r="D2757" s="19" t="s">
        <v>1794</v>
      </c>
      <c r="E2757" s="19" t="s">
        <v>3</v>
      </c>
      <c r="F2757" s="19" t="s">
        <v>1432</v>
      </c>
      <c r="G2757" s="19" t="s">
        <v>1799</v>
      </c>
      <c r="H2757" s="19" t="s">
        <v>16</v>
      </c>
      <c r="I2757" s="19">
        <v>0</v>
      </c>
      <c r="J2757" s="19" t="s">
        <v>592</v>
      </c>
      <c r="K2757" s="19" t="s">
        <v>587</v>
      </c>
      <c r="L2757" s="19">
        <v>2022</v>
      </c>
      <c r="M2757" s="20">
        <v>250</v>
      </c>
      <c r="N2757" s="19" t="s">
        <v>1803</v>
      </c>
      <c r="O2757" s="20">
        <v>0</v>
      </c>
      <c r="P2757" s="20">
        <v>0</v>
      </c>
      <c r="Q2757" s="20">
        <v>0</v>
      </c>
      <c r="R2757" s="21">
        <v>0.92</v>
      </c>
      <c r="S2757" s="20">
        <v>0</v>
      </c>
    </row>
    <row r="2758" spans="2:19" ht="15" customHeight="1" x14ac:dyDescent="0.25">
      <c r="B2758" s="2" t="str">
        <f t="shared" ref="B2758:B2821" si="86">D2758&amp;"_"&amp;E2758&amp;"_"&amp;F2758&amp;"_"&amp;G2758&amp;"_"&amp;H2758&amp;"_"&amp;I2758&amp;"_"&amp;K2758</f>
        <v>PGL_Business_Small/Mid-Size Business_Partner Trade Ally Rebate_Ozone Laundry_0_MF/CI</v>
      </c>
      <c r="C2758" s="2" t="str">
        <f t="shared" ref="C2758:C2821" si="87">D2758&amp;"_"&amp;E2758&amp;"_"&amp;F2758&amp;"_"&amp;G2758&amp;"_"&amp;H2758&amp;"_"&amp;I2758&amp;"_"&amp;K2758&amp;"_"&amp;L2758</f>
        <v>PGL_Business_Small/Mid-Size Business_Partner Trade Ally Rebate_Ozone Laundry_0_MF/CI_2023</v>
      </c>
      <c r="D2758" s="19" t="s">
        <v>1794</v>
      </c>
      <c r="E2758" s="19" t="s">
        <v>3</v>
      </c>
      <c r="F2758" s="19" t="s">
        <v>1432</v>
      </c>
      <c r="G2758" s="19" t="s">
        <v>1799</v>
      </c>
      <c r="H2758" s="19" t="s">
        <v>16</v>
      </c>
      <c r="I2758" s="19">
        <v>0</v>
      </c>
      <c r="J2758" s="19" t="s">
        <v>592</v>
      </c>
      <c r="K2758" s="19" t="s">
        <v>587</v>
      </c>
      <c r="L2758" s="19">
        <v>2023</v>
      </c>
      <c r="M2758" s="20">
        <v>250</v>
      </c>
      <c r="N2758" s="19" t="s">
        <v>1803</v>
      </c>
      <c r="O2758" s="20">
        <v>0</v>
      </c>
      <c r="P2758" s="20">
        <v>0</v>
      </c>
      <c r="Q2758" s="20">
        <v>0</v>
      </c>
      <c r="R2758" s="21">
        <v>0.92</v>
      </c>
      <c r="S2758" s="20">
        <v>0</v>
      </c>
    </row>
    <row r="2759" spans="2:19" ht="15" customHeight="1" x14ac:dyDescent="0.25">
      <c r="B2759" s="2" t="str">
        <f t="shared" si="86"/>
        <v>PGL_Business_Small/Mid-Size Business_Partner Trade Ally Rebate_Ozone Laundry_0_MF/CI</v>
      </c>
      <c r="C2759" s="2" t="str">
        <f t="shared" si="87"/>
        <v>PGL_Business_Small/Mid-Size Business_Partner Trade Ally Rebate_Ozone Laundry_0_MF/CI_2024</v>
      </c>
      <c r="D2759" s="19" t="s">
        <v>1794</v>
      </c>
      <c r="E2759" s="19" t="s">
        <v>3</v>
      </c>
      <c r="F2759" s="19" t="s">
        <v>1432</v>
      </c>
      <c r="G2759" s="19" t="s">
        <v>1799</v>
      </c>
      <c r="H2759" s="19" t="s">
        <v>16</v>
      </c>
      <c r="I2759" s="19">
        <v>0</v>
      </c>
      <c r="J2759" s="19" t="s">
        <v>592</v>
      </c>
      <c r="K2759" s="19" t="s">
        <v>587</v>
      </c>
      <c r="L2759" s="19">
        <v>2024</v>
      </c>
      <c r="M2759" s="20">
        <v>250</v>
      </c>
      <c r="N2759" s="19" t="s">
        <v>1803</v>
      </c>
      <c r="O2759" s="20">
        <v>0</v>
      </c>
      <c r="P2759" s="20">
        <v>0</v>
      </c>
      <c r="Q2759" s="20">
        <v>0</v>
      </c>
      <c r="R2759" s="21">
        <v>0.92</v>
      </c>
      <c r="S2759" s="20">
        <v>0</v>
      </c>
    </row>
    <row r="2760" spans="2:19" ht="15" customHeight="1" x14ac:dyDescent="0.25">
      <c r="B2760" s="2" t="str">
        <f t="shared" si="86"/>
        <v>PGL_Business_Small/Mid-Size Business_Partner Trade Ally Rebate_Ozone Laundry_0_MF/CI</v>
      </c>
      <c r="C2760" s="2" t="str">
        <f t="shared" si="87"/>
        <v>PGL_Business_Small/Mid-Size Business_Partner Trade Ally Rebate_Ozone Laundry_0_MF/CI_2025</v>
      </c>
      <c r="D2760" s="19" t="s">
        <v>1794</v>
      </c>
      <c r="E2760" s="19" t="s">
        <v>3</v>
      </c>
      <c r="F2760" s="19" t="s">
        <v>1432</v>
      </c>
      <c r="G2760" s="19" t="s">
        <v>1799</v>
      </c>
      <c r="H2760" s="19" t="s">
        <v>16</v>
      </c>
      <c r="I2760" s="19">
        <v>0</v>
      </c>
      <c r="J2760" s="19" t="s">
        <v>592</v>
      </c>
      <c r="K2760" s="19" t="s">
        <v>587</v>
      </c>
      <c r="L2760" s="19">
        <v>2025</v>
      </c>
      <c r="M2760" s="20">
        <v>250</v>
      </c>
      <c r="N2760" s="19" t="s">
        <v>1803</v>
      </c>
      <c r="O2760" s="20">
        <v>0</v>
      </c>
      <c r="P2760" s="20">
        <v>0</v>
      </c>
      <c r="Q2760" s="20">
        <v>0</v>
      </c>
      <c r="R2760" s="21">
        <v>0.92</v>
      </c>
      <c r="S2760" s="20">
        <v>0</v>
      </c>
    </row>
    <row r="2761" spans="2:19" ht="15" customHeight="1" x14ac:dyDescent="0.25">
      <c r="B2761" s="2" t="str">
        <f t="shared" si="86"/>
        <v>PGL_Business_Small/Mid-Size Business_Partner Trade Ally Rebate_Pipe Insulation_Dry Cleaners_CI/SMB</v>
      </c>
      <c r="C2761" s="2" t="str">
        <f t="shared" si="87"/>
        <v>PGL_Business_Small/Mid-Size Business_Partner Trade Ally Rebate_Pipe Insulation_Dry Cleaners_CI/SMB_2022</v>
      </c>
      <c r="D2761" s="19" t="s">
        <v>1794</v>
      </c>
      <c r="E2761" s="19" t="s">
        <v>3</v>
      </c>
      <c r="F2761" s="19" t="s">
        <v>1432</v>
      </c>
      <c r="G2761" s="19" t="s">
        <v>1799</v>
      </c>
      <c r="H2761" s="19" t="s">
        <v>404</v>
      </c>
      <c r="I2761" s="19" t="s">
        <v>969</v>
      </c>
      <c r="J2761" s="19">
        <v>0</v>
      </c>
      <c r="K2761" s="19" t="s">
        <v>970</v>
      </c>
      <c r="L2761" s="19">
        <v>2022</v>
      </c>
      <c r="M2761" s="20">
        <v>5</v>
      </c>
      <c r="N2761" s="19" t="s">
        <v>1802</v>
      </c>
      <c r="O2761" s="20">
        <v>8</v>
      </c>
      <c r="P2761" s="20">
        <v>40</v>
      </c>
      <c r="Q2761" s="20">
        <v>97.750662768092653</v>
      </c>
      <c r="R2761" s="21">
        <v>0.92</v>
      </c>
      <c r="S2761" s="20">
        <v>97.750662768092653</v>
      </c>
    </row>
    <row r="2762" spans="2:19" ht="15" customHeight="1" x14ac:dyDescent="0.25">
      <c r="B2762" s="2" t="str">
        <f t="shared" si="86"/>
        <v>PGL_Business_Small/Mid-Size Business_Partner Trade Ally Rebate_Pipe Insulation_Dry Cleaners_CI/SMB</v>
      </c>
      <c r="C2762" s="2" t="str">
        <f t="shared" si="87"/>
        <v>PGL_Business_Small/Mid-Size Business_Partner Trade Ally Rebate_Pipe Insulation_Dry Cleaners_CI/SMB_2023</v>
      </c>
      <c r="D2762" s="19" t="s">
        <v>1794</v>
      </c>
      <c r="E2762" s="19" t="s">
        <v>3</v>
      </c>
      <c r="F2762" s="19" t="s">
        <v>1432</v>
      </c>
      <c r="G2762" s="19" t="s">
        <v>1799</v>
      </c>
      <c r="H2762" s="19" t="s">
        <v>404</v>
      </c>
      <c r="I2762" s="19" t="s">
        <v>969</v>
      </c>
      <c r="J2762" s="19">
        <v>0</v>
      </c>
      <c r="K2762" s="19" t="s">
        <v>970</v>
      </c>
      <c r="L2762" s="19">
        <v>2023</v>
      </c>
      <c r="M2762" s="20">
        <v>5</v>
      </c>
      <c r="N2762" s="19" t="s">
        <v>1802</v>
      </c>
      <c r="O2762" s="20">
        <v>8</v>
      </c>
      <c r="P2762" s="20">
        <v>40</v>
      </c>
      <c r="Q2762" s="20">
        <v>97.750662768092653</v>
      </c>
      <c r="R2762" s="21">
        <v>0.92</v>
      </c>
      <c r="S2762" s="20">
        <v>97.750662768092653</v>
      </c>
    </row>
    <row r="2763" spans="2:19" ht="15" customHeight="1" x14ac:dyDescent="0.25">
      <c r="B2763" s="2" t="str">
        <f t="shared" si="86"/>
        <v>PGL_Business_Small/Mid-Size Business_Partner Trade Ally Rebate_Pipe Insulation_Dry Cleaners_CI/SMB</v>
      </c>
      <c r="C2763" s="2" t="str">
        <f t="shared" si="87"/>
        <v>PGL_Business_Small/Mid-Size Business_Partner Trade Ally Rebate_Pipe Insulation_Dry Cleaners_CI/SMB_2024</v>
      </c>
      <c r="D2763" s="19" t="s">
        <v>1794</v>
      </c>
      <c r="E2763" s="19" t="s">
        <v>3</v>
      </c>
      <c r="F2763" s="19" t="s">
        <v>1432</v>
      </c>
      <c r="G2763" s="19" t="s">
        <v>1799</v>
      </c>
      <c r="H2763" s="19" t="s">
        <v>404</v>
      </c>
      <c r="I2763" s="19" t="s">
        <v>969</v>
      </c>
      <c r="J2763" s="19">
        <v>0</v>
      </c>
      <c r="K2763" s="19" t="s">
        <v>970</v>
      </c>
      <c r="L2763" s="19">
        <v>2024</v>
      </c>
      <c r="M2763" s="20">
        <v>5</v>
      </c>
      <c r="N2763" s="19" t="s">
        <v>1802</v>
      </c>
      <c r="O2763" s="20">
        <v>7</v>
      </c>
      <c r="P2763" s="20">
        <v>35</v>
      </c>
      <c r="Q2763" s="20">
        <v>85.531829922081073</v>
      </c>
      <c r="R2763" s="21">
        <v>0.92</v>
      </c>
      <c r="S2763" s="20">
        <v>85.531829922081073</v>
      </c>
    </row>
    <row r="2764" spans="2:19" ht="15" customHeight="1" x14ac:dyDescent="0.25">
      <c r="B2764" s="2" t="str">
        <f t="shared" si="86"/>
        <v>PGL_Business_Small/Mid-Size Business_Partner Trade Ally Rebate_Pipe Insulation_Dry Cleaners_CI/SMB</v>
      </c>
      <c r="C2764" s="2" t="str">
        <f t="shared" si="87"/>
        <v>PGL_Business_Small/Mid-Size Business_Partner Trade Ally Rebate_Pipe Insulation_Dry Cleaners_CI/SMB_2025</v>
      </c>
      <c r="D2764" s="19" t="s">
        <v>1794</v>
      </c>
      <c r="E2764" s="19" t="s">
        <v>3</v>
      </c>
      <c r="F2764" s="19" t="s">
        <v>1432</v>
      </c>
      <c r="G2764" s="19" t="s">
        <v>1799</v>
      </c>
      <c r="H2764" s="19" t="s">
        <v>404</v>
      </c>
      <c r="I2764" s="19" t="s">
        <v>969</v>
      </c>
      <c r="J2764" s="19">
        <v>0</v>
      </c>
      <c r="K2764" s="19" t="s">
        <v>970</v>
      </c>
      <c r="L2764" s="19">
        <v>2025</v>
      </c>
      <c r="M2764" s="20">
        <v>5</v>
      </c>
      <c r="N2764" s="19" t="s">
        <v>1802</v>
      </c>
      <c r="O2764" s="20">
        <v>7</v>
      </c>
      <c r="P2764" s="20">
        <v>35</v>
      </c>
      <c r="Q2764" s="20">
        <v>85.531829922081073</v>
      </c>
      <c r="R2764" s="21">
        <v>0.92</v>
      </c>
      <c r="S2764" s="20">
        <v>85.531829922081073</v>
      </c>
    </row>
    <row r="2765" spans="2:19" ht="15" customHeight="1" x14ac:dyDescent="0.25">
      <c r="B2765" s="2" t="str">
        <f t="shared" si="86"/>
        <v>PGL_Business_Small/Mid-Size Business_Partner Trade Ally Rebate_Pipe Insulation_HW Small 1" to 2"_MF/CI/SMB</v>
      </c>
      <c r="C2765" s="2" t="str">
        <f t="shared" si="87"/>
        <v>PGL_Business_Small/Mid-Size Business_Partner Trade Ally Rebate_Pipe Insulation_HW Small 1" to 2"_MF/CI/SMB_2022</v>
      </c>
      <c r="D2765" s="19" t="s">
        <v>1794</v>
      </c>
      <c r="E2765" s="19" t="s">
        <v>3</v>
      </c>
      <c r="F2765" s="19" t="s">
        <v>1432</v>
      </c>
      <c r="G2765" s="19" t="s">
        <v>1799</v>
      </c>
      <c r="H2765" s="19" t="s">
        <v>404</v>
      </c>
      <c r="I2765" s="19" t="s">
        <v>953</v>
      </c>
      <c r="J2765" s="19">
        <v>0</v>
      </c>
      <c r="K2765" s="19" t="s">
        <v>662</v>
      </c>
      <c r="L2765" s="19">
        <v>2022</v>
      </c>
      <c r="M2765" s="20">
        <v>75</v>
      </c>
      <c r="N2765" s="19" t="s">
        <v>616</v>
      </c>
      <c r="O2765" s="20">
        <v>7</v>
      </c>
      <c r="P2765" s="20">
        <v>525</v>
      </c>
      <c r="Q2765" s="20">
        <v>1284.207206738738</v>
      </c>
      <c r="R2765" s="21">
        <v>0.92</v>
      </c>
      <c r="S2765" s="20">
        <v>1284.207206738738</v>
      </c>
    </row>
    <row r="2766" spans="2:19" ht="15" customHeight="1" x14ac:dyDescent="0.25">
      <c r="B2766" s="2" t="str">
        <f t="shared" si="86"/>
        <v>PGL_Business_Small/Mid-Size Business_Partner Trade Ally Rebate_Pipe Insulation_HW Small 1" to 2"_MF/CI/SMB</v>
      </c>
      <c r="C2766" s="2" t="str">
        <f t="shared" si="87"/>
        <v>PGL_Business_Small/Mid-Size Business_Partner Trade Ally Rebate_Pipe Insulation_HW Small 1" to 2"_MF/CI/SMB_2023</v>
      </c>
      <c r="D2766" s="19" t="s">
        <v>1794</v>
      </c>
      <c r="E2766" s="19" t="s">
        <v>3</v>
      </c>
      <c r="F2766" s="19" t="s">
        <v>1432</v>
      </c>
      <c r="G2766" s="19" t="s">
        <v>1799</v>
      </c>
      <c r="H2766" s="19" t="s">
        <v>404</v>
      </c>
      <c r="I2766" s="19" t="s">
        <v>953</v>
      </c>
      <c r="J2766" s="19">
        <v>0</v>
      </c>
      <c r="K2766" s="19" t="s">
        <v>662</v>
      </c>
      <c r="L2766" s="19">
        <v>2023</v>
      </c>
      <c r="M2766" s="20">
        <v>75</v>
      </c>
      <c r="N2766" s="19" t="s">
        <v>616</v>
      </c>
      <c r="O2766" s="20">
        <v>6</v>
      </c>
      <c r="P2766" s="20">
        <v>450</v>
      </c>
      <c r="Q2766" s="20">
        <v>1100.7490343474897</v>
      </c>
      <c r="R2766" s="21">
        <v>0.92</v>
      </c>
      <c r="S2766" s="20">
        <v>1100.7490343474897</v>
      </c>
    </row>
    <row r="2767" spans="2:19" ht="15" customHeight="1" x14ac:dyDescent="0.25">
      <c r="B2767" s="2" t="str">
        <f t="shared" si="86"/>
        <v>PGL_Business_Small/Mid-Size Business_Partner Trade Ally Rebate_Pipe Insulation_HW Small 1" to 2"_MF/CI/SMB</v>
      </c>
      <c r="C2767" s="2" t="str">
        <f t="shared" si="87"/>
        <v>PGL_Business_Small/Mid-Size Business_Partner Trade Ally Rebate_Pipe Insulation_HW Small 1" to 2"_MF/CI/SMB_2024</v>
      </c>
      <c r="D2767" s="19" t="s">
        <v>1794</v>
      </c>
      <c r="E2767" s="19" t="s">
        <v>3</v>
      </c>
      <c r="F2767" s="19" t="s">
        <v>1432</v>
      </c>
      <c r="G2767" s="19" t="s">
        <v>1799</v>
      </c>
      <c r="H2767" s="19" t="s">
        <v>404</v>
      </c>
      <c r="I2767" s="19" t="s">
        <v>953</v>
      </c>
      <c r="J2767" s="19">
        <v>0</v>
      </c>
      <c r="K2767" s="19" t="s">
        <v>662</v>
      </c>
      <c r="L2767" s="19">
        <v>2024</v>
      </c>
      <c r="M2767" s="20">
        <v>75</v>
      </c>
      <c r="N2767" s="19" t="s">
        <v>616</v>
      </c>
      <c r="O2767" s="20">
        <v>6</v>
      </c>
      <c r="P2767" s="20">
        <v>450</v>
      </c>
      <c r="Q2767" s="20">
        <v>1100.7490343474897</v>
      </c>
      <c r="R2767" s="21">
        <v>0.92</v>
      </c>
      <c r="S2767" s="20">
        <v>1100.7490343474897</v>
      </c>
    </row>
    <row r="2768" spans="2:19" ht="15" customHeight="1" x14ac:dyDescent="0.25">
      <c r="B2768" s="2" t="str">
        <f t="shared" si="86"/>
        <v>PGL_Business_Small/Mid-Size Business_Partner Trade Ally Rebate_Pipe Insulation_HW Small 1" to 2"_MF/CI/SMB</v>
      </c>
      <c r="C2768" s="2" t="str">
        <f t="shared" si="87"/>
        <v>PGL_Business_Small/Mid-Size Business_Partner Trade Ally Rebate_Pipe Insulation_HW Small 1" to 2"_MF/CI/SMB_2025</v>
      </c>
      <c r="D2768" s="19" t="s">
        <v>1794</v>
      </c>
      <c r="E2768" s="19" t="s">
        <v>3</v>
      </c>
      <c r="F2768" s="19" t="s">
        <v>1432</v>
      </c>
      <c r="G2768" s="19" t="s">
        <v>1799</v>
      </c>
      <c r="H2768" s="19" t="s">
        <v>404</v>
      </c>
      <c r="I2768" s="19" t="s">
        <v>953</v>
      </c>
      <c r="J2768" s="19">
        <v>0</v>
      </c>
      <c r="K2768" s="19" t="s">
        <v>662</v>
      </c>
      <c r="L2768" s="19">
        <v>2025</v>
      </c>
      <c r="M2768" s="20">
        <v>75</v>
      </c>
      <c r="N2768" s="19" t="s">
        <v>616</v>
      </c>
      <c r="O2768" s="20">
        <v>5</v>
      </c>
      <c r="P2768" s="20">
        <v>375</v>
      </c>
      <c r="Q2768" s="20">
        <v>917.29086195624143</v>
      </c>
      <c r="R2768" s="21">
        <v>0.92</v>
      </c>
      <c r="S2768" s="20">
        <v>917.29086195624143</v>
      </c>
    </row>
    <row r="2769" spans="2:19" ht="15" customHeight="1" x14ac:dyDescent="0.25">
      <c r="B2769" s="2" t="str">
        <f t="shared" si="86"/>
        <v>PGL_Business_Small/Mid-Size Business_Partner Trade Ally Rebate_Pipe Insulation_HW Medium 2.1" to 4"_MF/CI/SMB</v>
      </c>
      <c r="C2769" s="2" t="str">
        <f t="shared" si="87"/>
        <v>PGL_Business_Small/Mid-Size Business_Partner Trade Ally Rebate_Pipe Insulation_HW Medium 2.1" to 4"_MF/CI/SMB_2022</v>
      </c>
      <c r="D2769" s="19" t="s">
        <v>1794</v>
      </c>
      <c r="E2769" s="19" t="s">
        <v>3</v>
      </c>
      <c r="F2769" s="19" t="s">
        <v>1432</v>
      </c>
      <c r="G2769" s="19" t="s">
        <v>1799</v>
      </c>
      <c r="H2769" s="19" t="s">
        <v>404</v>
      </c>
      <c r="I2769" s="19" t="s">
        <v>954</v>
      </c>
      <c r="J2769" s="19">
        <v>0</v>
      </c>
      <c r="K2769" s="19" t="s">
        <v>662</v>
      </c>
      <c r="L2769" s="19">
        <v>2022</v>
      </c>
      <c r="M2769" s="20">
        <v>75</v>
      </c>
      <c r="N2769" s="19" t="s">
        <v>616</v>
      </c>
      <c r="O2769" s="20">
        <v>5</v>
      </c>
      <c r="P2769" s="20">
        <v>375</v>
      </c>
      <c r="Q2769" s="20">
        <v>1810.9750865348587</v>
      </c>
      <c r="R2769" s="21">
        <v>0.92</v>
      </c>
      <c r="S2769" s="20">
        <v>1810.9750865348587</v>
      </c>
    </row>
    <row r="2770" spans="2:19" ht="15" customHeight="1" x14ac:dyDescent="0.25">
      <c r="B2770" s="2" t="str">
        <f t="shared" si="86"/>
        <v>PGL_Business_Small/Mid-Size Business_Partner Trade Ally Rebate_Pipe Insulation_HW Medium 2.1" to 4"_MF/CI/SMB</v>
      </c>
      <c r="C2770" s="2" t="str">
        <f t="shared" si="87"/>
        <v>PGL_Business_Small/Mid-Size Business_Partner Trade Ally Rebate_Pipe Insulation_HW Medium 2.1" to 4"_MF/CI/SMB_2023</v>
      </c>
      <c r="D2770" s="19" t="s">
        <v>1794</v>
      </c>
      <c r="E2770" s="19" t="s">
        <v>3</v>
      </c>
      <c r="F2770" s="19" t="s">
        <v>1432</v>
      </c>
      <c r="G2770" s="19" t="s">
        <v>1799</v>
      </c>
      <c r="H2770" s="19" t="s">
        <v>404</v>
      </c>
      <c r="I2770" s="19" t="s">
        <v>954</v>
      </c>
      <c r="J2770" s="19">
        <v>0</v>
      </c>
      <c r="K2770" s="19" t="s">
        <v>662</v>
      </c>
      <c r="L2770" s="19">
        <v>2023</v>
      </c>
      <c r="M2770" s="20">
        <v>75</v>
      </c>
      <c r="N2770" s="19" t="s">
        <v>616</v>
      </c>
      <c r="O2770" s="20">
        <v>5</v>
      </c>
      <c r="P2770" s="20">
        <v>375</v>
      </c>
      <c r="Q2770" s="20">
        <v>1810.9750865348587</v>
      </c>
      <c r="R2770" s="21">
        <v>0.92</v>
      </c>
      <c r="S2770" s="20">
        <v>1810.9750865348587</v>
      </c>
    </row>
    <row r="2771" spans="2:19" ht="15" customHeight="1" x14ac:dyDescent="0.25">
      <c r="B2771" s="2" t="str">
        <f t="shared" si="86"/>
        <v>PGL_Business_Small/Mid-Size Business_Partner Trade Ally Rebate_Pipe Insulation_HW Medium 2.1" to 4"_MF/CI/SMB</v>
      </c>
      <c r="C2771" s="2" t="str">
        <f t="shared" si="87"/>
        <v>PGL_Business_Small/Mid-Size Business_Partner Trade Ally Rebate_Pipe Insulation_HW Medium 2.1" to 4"_MF/CI/SMB_2024</v>
      </c>
      <c r="D2771" s="19" t="s">
        <v>1794</v>
      </c>
      <c r="E2771" s="19" t="s">
        <v>3</v>
      </c>
      <c r="F2771" s="19" t="s">
        <v>1432</v>
      </c>
      <c r="G2771" s="19" t="s">
        <v>1799</v>
      </c>
      <c r="H2771" s="19" t="s">
        <v>404</v>
      </c>
      <c r="I2771" s="19" t="s">
        <v>954</v>
      </c>
      <c r="J2771" s="19">
        <v>0</v>
      </c>
      <c r="K2771" s="19" t="s">
        <v>662</v>
      </c>
      <c r="L2771" s="19">
        <v>2024</v>
      </c>
      <c r="M2771" s="20">
        <v>75</v>
      </c>
      <c r="N2771" s="19" t="s">
        <v>616</v>
      </c>
      <c r="O2771" s="20">
        <v>4</v>
      </c>
      <c r="P2771" s="20">
        <v>300</v>
      </c>
      <c r="Q2771" s="20">
        <v>1448.780069227887</v>
      </c>
      <c r="R2771" s="21">
        <v>0.92</v>
      </c>
      <c r="S2771" s="20">
        <v>1448.780069227887</v>
      </c>
    </row>
    <row r="2772" spans="2:19" ht="15" customHeight="1" x14ac:dyDescent="0.25">
      <c r="B2772" s="2" t="str">
        <f t="shared" si="86"/>
        <v>PGL_Business_Small/Mid-Size Business_Partner Trade Ally Rebate_Pipe Insulation_HW Medium 2.1" to 4"_MF/CI/SMB</v>
      </c>
      <c r="C2772" s="2" t="str">
        <f t="shared" si="87"/>
        <v>PGL_Business_Small/Mid-Size Business_Partner Trade Ally Rebate_Pipe Insulation_HW Medium 2.1" to 4"_MF/CI/SMB_2025</v>
      </c>
      <c r="D2772" s="19" t="s">
        <v>1794</v>
      </c>
      <c r="E2772" s="19" t="s">
        <v>3</v>
      </c>
      <c r="F2772" s="19" t="s">
        <v>1432</v>
      </c>
      <c r="G2772" s="19" t="s">
        <v>1799</v>
      </c>
      <c r="H2772" s="19" t="s">
        <v>404</v>
      </c>
      <c r="I2772" s="19" t="s">
        <v>954</v>
      </c>
      <c r="J2772" s="19">
        <v>0</v>
      </c>
      <c r="K2772" s="19" t="s">
        <v>662</v>
      </c>
      <c r="L2772" s="19">
        <v>2025</v>
      </c>
      <c r="M2772" s="20">
        <v>75</v>
      </c>
      <c r="N2772" s="19" t="s">
        <v>616</v>
      </c>
      <c r="O2772" s="20">
        <v>4</v>
      </c>
      <c r="P2772" s="20">
        <v>300</v>
      </c>
      <c r="Q2772" s="20">
        <v>1448.780069227887</v>
      </c>
      <c r="R2772" s="21">
        <v>0.92</v>
      </c>
      <c r="S2772" s="20">
        <v>1448.780069227887</v>
      </c>
    </row>
    <row r="2773" spans="2:19" ht="15" customHeight="1" x14ac:dyDescent="0.25">
      <c r="B2773" s="2" t="str">
        <f t="shared" si="86"/>
        <v>PGL_Business_Small/Mid-Size Business_Partner Trade Ally Rebate_Pipe Insulation_HW Large &gt;4"_MF/CI/SMB</v>
      </c>
      <c r="C2773" s="2" t="str">
        <f t="shared" si="87"/>
        <v>PGL_Business_Small/Mid-Size Business_Partner Trade Ally Rebate_Pipe Insulation_HW Large &gt;4"_MF/CI/SMB_2022</v>
      </c>
      <c r="D2773" s="19" t="s">
        <v>1794</v>
      </c>
      <c r="E2773" s="19" t="s">
        <v>3</v>
      </c>
      <c r="F2773" s="19" t="s">
        <v>1432</v>
      </c>
      <c r="G2773" s="19" t="s">
        <v>1799</v>
      </c>
      <c r="H2773" s="19" t="s">
        <v>404</v>
      </c>
      <c r="I2773" s="19" t="s">
        <v>955</v>
      </c>
      <c r="J2773" s="19">
        <v>0</v>
      </c>
      <c r="K2773" s="19" t="s">
        <v>662</v>
      </c>
      <c r="L2773" s="19">
        <v>2022</v>
      </c>
      <c r="M2773" s="20">
        <v>75</v>
      </c>
      <c r="N2773" s="19" t="s">
        <v>616</v>
      </c>
      <c r="O2773" s="20">
        <v>3</v>
      </c>
      <c r="P2773" s="20">
        <v>225</v>
      </c>
      <c r="Q2773" s="20">
        <v>1871.4375908783097</v>
      </c>
      <c r="R2773" s="21">
        <v>0.92</v>
      </c>
      <c r="S2773" s="20">
        <v>1871.4375908783097</v>
      </c>
    </row>
    <row r="2774" spans="2:19" ht="15" customHeight="1" x14ac:dyDescent="0.25">
      <c r="B2774" s="2" t="str">
        <f t="shared" si="86"/>
        <v>PGL_Business_Small/Mid-Size Business_Partner Trade Ally Rebate_Pipe Insulation_HW Large &gt;4"_MF/CI/SMB</v>
      </c>
      <c r="C2774" s="2" t="str">
        <f t="shared" si="87"/>
        <v>PGL_Business_Small/Mid-Size Business_Partner Trade Ally Rebate_Pipe Insulation_HW Large &gt;4"_MF/CI/SMB_2023</v>
      </c>
      <c r="D2774" s="19" t="s">
        <v>1794</v>
      </c>
      <c r="E2774" s="19" t="s">
        <v>3</v>
      </c>
      <c r="F2774" s="19" t="s">
        <v>1432</v>
      </c>
      <c r="G2774" s="19" t="s">
        <v>1799</v>
      </c>
      <c r="H2774" s="19" t="s">
        <v>404</v>
      </c>
      <c r="I2774" s="19" t="s">
        <v>955</v>
      </c>
      <c r="J2774" s="19">
        <v>0</v>
      </c>
      <c r="K2774" s="19" t="s">
        <v>662</v>
      </c>
      <c r="L2774" s="19">
        <v>2023</v>
      </c>
      <c r="M2774" s="20">
        <v>75</v>
      </c>
      <c r="N2774" s="19" t="s">
        <v>616</v>
      </c>
      <c r="O2774" s="20">
        <v>3</v>
      </c>
      <c r="P2774" s="20">
        <v>225</v>
      </c>
      <c r="Q2774" s="20">
        <v>1871.4375908783097</v>
      </c>
      <c r="R2774" s="21">
        <v>0.92</v>
      </c>
      <c r="S2774" s="20">
        <v>1871.4375908783097</v>
      </c>
    </row>
    <row r="2775" spans="2:19" ht="15" customHeight="1" x14ac:dyDescent="0.25">
      <c r="B2775" s="2" t="str">
        <f t="shared" si="86"/>
        <v>PGL_Business_Small/Mid-Size Business_Partner Trade Ally Rebate_Pipe Insulation_HW Large &gt;4"_MF/CI/SMB</v>
      </c>
      <c r="C2775" s="2" t="str">
        <f t="shared" si="87"/>
        <v>PGL_Business_Small/Mid-Size Business_Partner Trade Ally Rebate_Pipe Insulation_HW Large &gt;4"_MF/CI/SMB_2024</v>
      </c>
      <c r="D2775" s="19" t="s">
        <v>1794</v>
      </c>
      <c r="E2775" s="19" t="s">
        <v>3</v>
      </c>
      <c r="F2775" s="19" t="s">
        <v>1432</v>
      </c>
      <c r="G2775" s="19" t="s">
        <v>1799</v>
      </c>
      <c r="H2775" s="19" t="s">
        <v>404</v>
      </c>
      <c r="I2775" s="19" t="s">
        <v>955</v>
      </c>
      <c r="J2775" s="19">
        <v>0</v>
      </c>
      <c r="K2775" s="19" t="s">
        <v>662</v>
      </c>
      <c r="L2775" s="19">
        <v>2024</v>
      </c>
      <c r="M2775" s="20">
        <v>75</v>
      </c>
      <c r="N2775" s="19" t="s">
        <v>616</v>
      </c>
      <c r="O2775" s="20">
        <v>3</v>
      </c>
      <c r="P2775" s="20">
        <v>225</v>
      </c>
      <c r="Q2775" s="20">
        <v>1871.4375908783097</v>
      </c>
      <c r="R2775" s="21">
        <v>0.92</v>
      </c>
      <c r="S2775" s="20">
        <v>1871.4375908783097</v>
      </c>
    </row>
    <row r="2776" spans="2:19" ht="15" customHeight="1" x14ac:dyDescent="0.25">
      <c r="B2776" s="2" t="str">
        <f t="shared" si="86"/>
        <v>PGL_Business_Small/Mid-Size Business_Partner Trade Ally Rebate_Pipe Insulation_HW Large &gt;4"_MF/CI/SMB</v>
      </c>
      <c r="C2776" s="2" t="str">
        <f t="shared" si="87"/>
        <v>PGL_Business_Small/Mid-Size Business_Partner Trade Ally Rebate_Pipe Insulation_HW Large &gt;4"_MF/CI/SMB_2025</v>
      </c>
      <c r="D2776" s="19" t="s">
        <v>1794</v>
      </c>
      <c r="E2776" s="19" t="s">
        <v>3</v>
      </c>
      <c r="F2776" s="19" t="s">
        <v>1432</v>
      </c>
      <c r="G2776" s="19" t="s">
        <v>1799</v>
      </c>
      <c r="H2776" s="19" t="s">
        <v>404</v>
      </c>
      <c r="I2776" s="19" t="s">
        <v>955</v>
      </c>
      <c r="J2776" s="19">
        <v>0</v>
      </c>
      <c r="K2776" s="19" t="s">
        <v>662</v>
      </c>
      <c r="L2776" s="19">
        <v>2025</v>
      </c>
      <c r="M2776" s="20">
        <v>75</v>
      </c>
      <c r="N2776" s="19" t="s">
        <v>616</v>
      </c>
      <c r="O2776" s="20">
        <v>3</v>
      </c>
      <c r="P2776" s="20">
        <v>225</v>
      </c>
      <c r="Q2776" s="20">
        <v>1871.4375908783097</v>
      </c>
      <c r="R2776" s="21">
        <v>0.92</v>
      </c>
      <c r="S2776" s="20">
        <v>1871.4375908783097</v>
      </c>
    </row>
    <row r="2777" spans="2:19" ht="15" customHeight="1" x14ac:dyDescent="0.25">
      <c r="B2777" s="2" t="str">
        <f t="shared" si="86"/>
        <v>PGL_Business_Small/Mid-Size Business_Partner Trade Ally Rebate_Pipe Insulation_Steam - Small 1" to 2"_CI</v>
      </c>
      <c r="C2777" s="2" t="str">
        <f t="shared" si="87"/>
        <v>PGL_Business_Small/Mid-Size Business_Partner Trade Ally Rebate_Pipe Insulation_Steam - Small 1" to 2"_CI_2022</v>
      </c>
      <c r="D2777" s="19" t="s">
        <v>1794</v>
      </c>
      <c r="E2777" s="19" t="s">
        <v>3</v>
      </c>
      <c r="F2777" s="19" t="s">
        <v>1432</v>
      </c>
      <c r="G2777" s="19" t="s">
        <v>1799</v>
      </c>
      <c r="H2777" s="19" t="s">
        <v>404</v>
      </c>
      <c r="I2777" s="19" t="s">
        <v>956</v>
      </c>
      <c r="J2777" s="19">
        <v>0</v>
      </c>
      <c r="K2777" s="19" t="s">
        <v>1159</v>
      </c>
      <c r="L2777" s="19">
        <v>2022</v>
      </c>
      <c r="M2777" s="20">
        <v>75</v>
      </c>
      <c r="N2777" s="19" t="s">
        <v>616</v>
      </c>
      <c r="O2777" s="20">
        <v>8</v>
      </c>
      <c r="P2777" s="20">
        <v>600</v>
      </c>
      <c r="Q2777" s="20">
        <v>1758.3825890477899</v>
      </c>
      <c r="R2777" s="21">
        <v>0.92</v>
      </c>
      <c r="S2777" s="20">
        <v>1758.3825890477899</v>
      </c>
    </row>
    <row r="2778" spans="2:19" ht="15" customHeight="1" x14ac:dyDescent="0.25">
      <c r="B2778" s="2" t="str">
        <f t="shared" si="86"/>
        <v>PGL_Business_Small/Mid-Size Business_Partner Trade Ally Rebate_Pipe Insulation_Steam - Small 1" to 2"_CI</v>
      </c>
      <c r="C2778" s="2" t="str">
        <f t="shared" si="87"/>
        <v>PGL_Business_Small/Mid-Size Business_Partner Trade Ally Rebate_Pipe Insulation_Steam - Small 1" to 2"_CI_2023</v>
      </c>
      <c r="D2778" s="19" t="s">
        <v>1794</v>
      </c>
      <c r="E2778" s="19" t="s">
        <v>3</v>
      </c>
      <c r="F2778" s="19" t="s">
        <v>1432</v>
      </c>
      <c r="G2778" s="19" t="s">
        <v>1799</v>
      </c>
      <c r="H2778" s="19" t="s">
        <v>404</v>
      </c>
      <c r="I2778" s="19" t="s">
        <v>956</v>
      </c>
      <c r="J2778" s="19">
        <v>0</v>
      </c>
      <c r="K2778" s="19" t="s">
        <v>1159</v>
      </c>
      <c r="L2778" s="19">
        <v>2023</v>
      </c>
      <c r="M2778" s="20">
        <v>75</v>
      </c>
      <c r="N2778" s="19" t="s">
        <v>616</v>
      </c>
      <c r="O2778" s="20">
        <v>8</v>
      </c>
      <c r="P2778" s="20">
        <v>600</v>
      </c>
      <c r="Q2778" s="20">
        <v>1758.3825890477899</v>
      </c>
      <c r="R2778" s="21">
        <v>0.92</v>
      </c>
      <c r="S2778" s="20">
        <v>1758.3825890477899</v>
      </c>
    </row>
    <row r="2779" spans="2:19" ht="15" customHeight="1" x14ac:dyDescent="0.25">
      <c r="B2779" s="2" t="str">
        <f t="shared" si="86"/>
        <v>PGL_Business_Small/Mid-Size Business_Partner Trade Ally Rebate_Pipe Insulation_Steam - Small 1" to 2"_CI</v>
      </c>
      <c r="C2779" s="2" t="str">
        <f t="shared" si="87"/>
        <v>PGL_Business_Small/Mid-Size Business_Partner Trade Ally Rebate_Pipe Insulation_Steam - Small 1" to 2"_CI_2024</v>
      </c>
      <c r="D2779" s="19" t="s">
        <v>1794</v>
      </c>
      <c r="E2779" s="19" t="s">
        <v>3</v>
      </c>
      <c r="F2779" s="19" t="s">
        <v>1432</v>
      </c>
      <c r="G2779" s="19" t="s">
        <v>1799</v>
      </c>
      <c r="H2779" s="19" t="s">
        <v>404</v>
      </c>
      <c r="I2779" s="19" t="s">
        <v>956</v>
      </c>
      <c r="J2779" s="19">
        <v>0</v>
      </c>
      <c r="K2779" s="19" t="s">
        <v>1159</v>
      </c>
      <c r="L2779" s="19">
        <v>2024</v>
      </c>
      <c r="M2779" s="20">
        <v>75</v>
      </c>
      <c r="N2779" s="19" t="s">
        <v>616</v>
      </c>
      <c r="O2779" s="20">
        <v>7</v>
      </c>
      <c r="P2779" s="20">
        <v>525</v>
      </c>
      <c r="Q2779" s="20">
        <v>1538.5847654168163</v>
      </c>
      <c r="R2779" s="21">
        <v>0.92</v>
      </c>
      <c r="S2779" s="20">
        <v>1538.5847654168163</v>
      </c>
    </row>
    <row r="2780" spans="2:19" ht="15" customHeight="1" x14ac:dyDescent="0.25">
      <c r="B2780" s="2" t="str">
        <f t="shared" si="86"/>
        <v>PGL_Business_Small/Mid-Size Business_Partner Trade Ally Rebate_Pipe Insulation_Steam - Small 1" to 2"_CI</v>
      </c>
      <c r="C2780" s="2" t="str">
        <f t="shared" si="87"/>
        <v>PGL_Business_Small/Mid-Size Business_Partner Trade Ally Rebate_Pipe Insulation_Steam - Small 1" to 2"_CI_2025</v>
      </c>
      <c r="D2780" s="19" t="s">
        <v>1794</v>
      </c>
      <c r="E2780" s="19" t="s">
        <v>3</v>
      </c>
      <c r="F2780" s="19" t="s">
        <v>1432</v>
      </c>
      <c r="G2780" s="19" t="s">
        <v>1799</v>
      </c>
      <c r="H2780" s="19" t="s">
        <v>404</v>
      </c>
      <c r="I2780" s="19" t="s">
        <v>956</v>
      </c>
      <c r="J2780" s="19">
        <v>0</v>
      </c>
      <c r="K2780" s="19" t="s">
        <v>1159</v>
      </c>
      <c r="L2780" s="19">
        <v>2025</v>
      </c>
      <c r="M2780" s="20">
        <v>75</v>
      </c>
      <c r="N2780" s="19" t="s">
        <v>616</v>
      </c>
      <c r="O2780" s="20">
        <v>7</v>
      </c>
      <c r="P2780" s="20">
        <v>525</v>
      </c>
      <c r="Q2780" s="20">
        <v>1538.5847654168163</v>
      </c>
      <c r="R2780" s="21">
        <v>0.92</v>
      </c>
      <c r="S2780" s="20">
        <v>1538.5847654168163</v>
      </c>
    </row>
    <row r="2781" spans="2:19" ht="15" customHeight="1" x14ac:dyDescent="0.25">
      <c r="B2781" s="2" t="str">
        <f t="shared" si="86"/>
        <v>PGL_Business_Small/Mid-Size Business_Partner Trade Ally Rebate_Pipe Insulation_Steam - Med 2.1" to 5"_CI</v>
      </c>
      <c r="C2781" s="2" t="str">
        <f t="shared" si="87"/>
        <v>PGL_Business_Small/Mid-Size Business_Partner Trade Ally Rebate_Pipe Insulation_Steam - Med 2.1" to 5"_CI_2022</v>
      </c>
      <c r="D2781" s="19" t="s">
        <v>1794</v>
      </c>
      <c r="E2781" s="19" t="s">
        <v>3</v>
      </c>
      <c r="F2781" s="19" t="s">
        <v>1432</v>
      </c>
      <c r="G2781" s="19" t="s">
        <v>1799</v>
      </c>
      <c r="H2781" s="19" t="s">
        <v>404</v>
      </c>
      <c r="I2781" s="19" t="s">
        <v>957</v>
      </c>
      <c r="J2781" s="19">
        <v>0</v>
      </c>
      <c r="K2781" s="19" t="s">
        <v>1159</v>
      </c>
      <c r="L2781" s="19">
        <v>2022</v>
      </c>
      <c r="M2781" s="20">
        <v>75</v>
      </c>
      <c r="N2781" s="19" t="s">
        <v>616</v>
      </c>
      <c r="O2781" s="20">
        <v>10</v>
      </c>
      <c r="P2781" s="20">
        <v>750</v>
      </c>
      <c r="Q2781" s="20">
        <v>8839.6217982691451</v>
      </c>
      <c r="R2781" s="21">
        <v>0.92</v>
      </c>
      <c r="S2781" s="20">
        <v>8839.6217982691451</v>
      </c>
    </row>
    <row r="2782" spans="2:19" ht="15" customHeight="1" x14ac:dyDescent="0.25">
      <c r="B2782" s="2" t="str">
        <f t="shared" si="86"/>
        <v>PGL_Business_Small/Mid-Size Business_Partner Trade Ally Rebate_Pipe Insulation_Steam - Med 2.1" to 5"_CI</v>
      </c>
      <c r="C2782" s="2" t="str">
        <f t="shared" si="87"/>
        <v>PGL_Business_Small/Mid-Size Business_Partner Trade Ally Rebate_Pipe Insulation_Steam - Med 2.1" to 5"_CI_2023</v>
      </c>
      <c r="D2782" s="19" t="s">
        <v>1794</v>
      </c>
      <c r="E2782" s="19" t="s">
        <v>3</v>
      </c>
      <c r="F2782" s="19" t="s">
        <v>1432</v>
      </c>
      <c r="G2782" s="19" t="s">
        <v>1799</v>
      </c>
      <c r="H2782" s="19" t="s">
        <v>404</v>
      </c>
      <c r="I2782" s="19" t="s">
        <v>957</v>
      </c>
      <c r="J2782" s="19">
        <v>0</v>
      </c>
      <c r="K2782" s="19" t="s">
        <v>1159</v>
      </c>
      <c r="L2782" s="19">
        <v>2023</v>
      </c>
      <c r="M2782" s="20">
        <v>75</v>
      </c>
      <c r="N2782" s="19" t="s">
        <v>616</v>
      </c>
      <c r="O2782" s="20">
        <v>9</v>
      </c>
      <c r="P2782" s="20">
        <v>675</v>
      </c>
      <c r="Q2782" s="20">
        <v>7955.6596184422297</v>
      </c>
      <c r="R2782" s="21">
        <v>0.92</v>
      </c>
      <c r="S2782" s="20">
        <v>7955.6596184422297</v>
      </c>
    </row>
    <row r="2783" spans="2:19" ht="15" customHeight="1" x14ac:dyDescent="0.25">
      <c r="B2783" s="2" t="str">
        <f t="shared" si="86"/>
        <v>PGL_Business_Small/Mid-Size Business_Partner Trade Ally Rebate_Pipe Insulation_Steam - Med 2.1" to 5"_CI</v>
      </c>
      <c r="C2783" s="2" t="str">
        <f t="shared" si="87"/>
        <v>PGL_Business_Small/Mid-Size Business_Partner Trade Ally Rebate_Pipe Insulation_Steam - Med 2.1" to 5"_CI_2024</v>
      </c>
      <c r="D2783" s="19" t="s">
        <v>1794</v>
      </c>
      <c r="E2783" s="19" t="s">
        <v>3</v>
      </c>
      <c r="F2783" s="19" t="s">
        <v>1432</v>
      </c>
      <c r="G2783" s="19" t="s">
        <v>1799</v>
      </c>
      <c r="H2783" s="19" t="s">
        <v>404</v>
      </c>
      <c r="I2783" s="19" t="s">
        <v>957</v>
      </c>
      <c r="J2783" s="19">
        <v>0</v>
      </c>
      <c r="K2783" s="19" t="s">
        <v>1159</v>
      </c>
      <c r="L2783" s="19">
        <v>2024</v>
      </c>
      <c r="M2783" s="20">
        <v>75</v>
      </c>
      <c r="N2783" s="19" t="s">
        <v>616</v>
      </c>
      <c r="O2783" s="20">
        <v>8</v>
      </c>
      <c r="P2783" s="20">
        <v>600</v>
      </c>
      <c r="Q2783" s="20">
        <v>7071.6974386153151</v>
      </c>
      <c r="R2783" s="21">
        <v>0.92</v>
      </c>
      <c r="S2783" s="20">
        <v>7071.6974386153151</v>
      </c>
    </row>
    <row r="2784" spans="2:19" ht="15" customHeight="1" x14ac:dyDescent="0.25">
      <c r="B2784" s="2" t="str">
        <f t="shared" si="86"/>
        <v>PGL_Business_Small/Mid-Size Business_Partner Trade Ally Rebate_Pipe Insulation_Steam - Med 2.1" to 5"_CI</v>
      </c>
      <c r="C2784" s="2" t="str">
        <f t="shared" si="87"/>
        <v>PGL_Business_Small/Mid-Size Business_Partner Trade Ally Rebate_Pipe Insulation_Steam - Med 2.1" to 5"_CI_2025</v>
      </c>
      <c r="D2784" s="19" t="s">
        <v>1794</v>
      </c>
      <c r="E2784" s="19" t="s">
        <v>3</v>
      </c>
      <c r="F2784" s="19" t="s">
        <v>1432</v>
      </c>
      <c r="G2784" s="19" t="s">
        <v>1799</v>
      </c>
      <c r="H2784" s="19" t="s">
        <v>404</v>
      </c>
      <c r="I2784" s="19" t="s">
        <v>957</v>
      </c>
      <c r="J2784" s="19">
        <v>0</v>
      </c>
      <c r="K2784" s="19" t="s">
        <v>1159</v>
      </c>
      <c r="L2784" s="19">
        <v>2025</v>
      </c>
      <c r="M2784" s="20">
        <v>75</v>
      </c>
      <c r="N2784" s="19" t="s">
        <v>616</v>
      </c>
      <c r="O2784" s="20">
        <v>8</v>
      </c>
      <c r="P2784" s="20">
        <v>600</v>
      </c>
      <c r="Q2784" s="20">
        <v>7071.6974386153151</v>
      </c>
      <c r="R2784" s="21">
        <v>0.92</v>
      </c>
      <c r="S2784" s="20">
        <v>7071.6974386153151</v>
      </c>
    </row>
    <row r="2785" spans="2:19" ht="15" customHeight="1" x14ac:dyDescent="0.25">
      <c r="B2785" s="2" t="str">
        <f t="shared" si="86"/>
        <v>PGL_Business_Small/Mid-Size Business_Partner Trade Ally Rebate_Pipe Insulation_Steam - Large 5.1" to 8"_CI</v>
      </c>
      <c r="C2785" s="2" t="str">
        <f t="shared" si="87"/>
        <v>PGL_Business_Small/Mid-Size Business_Partner Trade Ally Rebate_Pipe Insulation_Steam - Large 5.1" to 8"_CI_2022</v>
      </c>
      <c r="D2785" s="19" t="s">
        <v>1794</v>
      </c>
      <c r="E2785" s="19" t="s">
        <v>3</v>
      </c>
      <c r="F2785" s="19" t="s">
        <v>1432</v>
      </c>
      <c r="G2785" s="19" t="s">
        <v>1799</v>
      </c>
      <c r="H2785" s="19" t="s">
        <v>404</v>
      </c>
      <c r="I2785" s="19" t="s">
        <v>958</v>
      </c>
      <c r="J2785" s="19">
        <v>0</v>
      </c>
      <c r="K2785" s="19" t="s">
        <v>1159</v>
      </c>
      <c r="L2785" s="19">
        <v>2022</v>
      </c>
      <c r="M2785" s="20">
        <v>75</v>
      </c>
      <c r="N2785" s="19" t="s">
        <v>616</v>
      </c>
      <c r="O2785" s="20">
        <v>12</v>
      </c>
      <c r="P2785" s="20">
        <v>900</v>
      </c>
      <c r="Q2785" s="20">
        <v>20699.804261065809</v>
      </c>
      <c r="R2785" s="21">
        <v>0.92</v>
      </c>
      <c r="S2785" s="20">
        <v>20699.804261065809</v>
      </c>
    </row>
    <row r="2786" spans="2:19" ht="15" customHeight="1" x14ac:dyDescent="0.25">
      <c r="B2786" s="2" t="str">
        <f t="shared" si="86"/>
        <v>PGL_Business_Small/Mid-Size Business_Partner Trade Ally Rebate_Pipe Insulation_Steam - Large 5.1" to 8"_CI</v>
      </c>
      <c r="C2786" s="2" t="str">
        <f t="shared" si="87"/>
        <v>PGL_Business_Small/Mid-Size Business_Partner Trade Ally Rebate_Pipe Insulation_Steam - Large 5.1" to 8"_CI_2023</v>
      </c>
      <c r="D2786" s="19" t="s">
        <v>1794</v>
      </c>
      <c r="E2786" s="19" t="s">
        <v>3</v>
      </c>
      <c r="F2786" s="19" t="s">
        <v>1432</v>
      </c>
      <c r="G2786" s="19" t="s">
        <v>1799</v>
      </c>
      <c r="H2786" s="19" t="s">
        <v>404</v>
      </c>
      <c r="I2786" s="19" t="s">
        <v>958</v>
      </c>
      <c r="J2786" s="19">
        <v>0</v>
      </c>
      <c r="K2786" s="19" t="s">
        <v>1159</v>
      </c>
      <c r="L2786" s="19">
        <v>2023</v>
      </c>
      <c r="M2786" s="20">
        <v>75</v>
      </c>
      <c r="N2786" s="19" t="s">
        <v>616</v>
      </c>
      <c r="O2786" s="20">
        <v>11</v>
      </c>
      <c r="P2786" s="20">
        <v>825</v>
      </c>
      <c r="Q2786" s="20">
        <v>18974.820572643661</v>
      </c>
      <c r="R2786" s="21">
        <v>0.92</v>
      </c>
      <c r="S2786" s="20">
        <v>18974.820572643661</v>
      </c>
    </row>
    <row r="2787" spans="2:19" ht="15" customHeight="1" x14ac:dyDescent="0.25">
      <c r="B2787" s="2" t="str">
        <f t="shared" si="86"/>
        <v>PGL_Business_Small/Mid-Size Business_Partner Trade Ally Rebate_Pipe Insulation_Steam - Large 5.1" to 8"_CI</v>
      </c>
      <c r="C2787" s="2" t="str">
        <f t="shared" si="87"/>
        <v>PGL_Business_Small/Mid-Size Business_Partner Trade Ally Rebate_Pipe Insulation_Steam - Large 5.1" to 8"_CI_2024</v>
      </c>
      <c r="D2787" s="19" t="s">
        <v>1794</v>
      </c>
      <c r="E2787" s="19" t="s">
        <v>3</v>
      </c>
      <c r="F2787" s="19" t="s">
        <v>1432</v>
      </c>
      <c r="G2787" s="19" t="s">
        <v>1799</v>
      </c>
      <c r="H2787" s="19" t="s">
        <v>404</v>
      </c>
      <c r="I2787" s="19" t="s">
        <v>958</v>
      </c>
      <c r="J2787" s="19">
        <v>0</v>
      </c>
      <c r="K2787" s="19" t="s">
        <v>1159</v>
      </c>
      <c r="L2787" s="19">
        <v>2024</v>
      </c>
      <c r="M2787" s="20">
        <v>75</v>
      </c>
      <c r="N2787" s="19" t="s">
        <v>616</v>
      </c>
      <c r="O2787" s="20">
        <v>10</v>
      </c>
      <c r="P2787" s="20">
        <v>750</v>
      </c>
      <c r="Q2787" s="20">
        <v>17249.83688422151</v>
      </c>
      <c r="R2787" s="21">
        <v>0.92</v>
      </c>
      <c r="S2787" s="20">
        <v>17249.83688422151</v>
      </c>
    </row>
    <row r="2788" spans="2:19" ht="15" customHeight="1" x14ac:dyDescent="0.25">
      <c r="B2788" s="2" t="str">
        <f t="shared" si="86"/>
        <v>PGL_Business_Small/Mid-Size Business_Partner Trade Ally Rebate_Pipe Insulation_Steam - Large 5.1" to 8"_CI</v>
      </c>
      <c r="C2788" s="2" t="str">
        <f t="shared" si="87"/>
        <v>PGL_Business_Small/Mid-Size Business_Partner Trade Ally Rebate_Pipe Insulation_Steam - Large 5.1" to 8"_CI_2025</v>
      </c>
      <c r="D2788" s="19" t="s">
        <v>1794</v>
      </c>
      <c r="E2788" s="19" t="s">
        <v>3</v>
      </c>
      <c r="F2788" s="19" t="s">
        <v>1432</v>
      </c>
      <c r="G2788" s="19" t="s">
        <v>1799</v>
      </c>
      <c r="H2788" s="19" t="s">
        <v>404</v>
      </c>
      <c r="I2788" s="19" t="s">
        <v>958</v>
      </c>
      <c r="J2788" s="19">
        <v>0</v>
      </c>
      <c r="K2788" s="19" t="s">
        <v>1159</v>
      </c>
      <c r="L2788" s="19">
        <v>2025</v>
      </c>
      <c r="M2788" s="20">
        <v>75</v>
      </c>
      <c r="N2788" s="19" t="s">
        <v>616</v>
      </c>
      <c r="O2788" s="20">
        <v>9</v>
      </c>
      <c r="P2788" s="20">
        <v>675</v>
      </c>
      <c r="Q2788" s="20">
        <v>15524.853195799358</v>
      </c>
      <c r="R2788" s="21">
        <v>0.92</v>
      </c>
      <c r="S2788" s="20">
        <v>15524.853195799358</v>
      </c>
    </row>
    <row r="2789" spans="2:19" ht="15" customHeight="1" x14ac:dyDescent="0.25">
      <c r="B2789" s="2" t="str">
        <f t="shared" si="86"/>
        <v>PGL_Business_Small/Mid-Size Business_Partner Trade Ally Rebate_Pipe Insulation_Steam - X-Large &gt;8"_CI</v>
      </c>
      <c r="C2789" s="2" t="str">
        <f t="shared" si="87"/>
        <v>PGL_Business_Small/Mid-Size Business_Partner Trade Ally Rebate_Pipe Insulation_Steam - X-Large &gt;8"_CI_2022</v>
      </c>
      <c r="D2789" s="19" t="s">
        <v>1794</v>
      </c>
      <c r="E2789" s="19" t="s">
        <v>3</v>
      </c>
      <c r="F2789" s="19" t="s">
        <v>1432</v>
      </c>
      <c r="G2789" s="19" t="s">
        <v>1799</v>
      </c>
      <c r="H2789" s="19" t="s">
        <v>404</v>
      </c>
      <c r="I2789" s="19" t="s">
        <v>960</v>
      </c>
      <c r="J2789" s="19">
        <v>0</v>
      </c>
      <c r="K2789" s="19" t="s">
        <v>1159</v>
      </c>
      <c r="L2789" s="19">
        <v>2022</v>
      </c>
      <c r="M2789" s="20">
        <v>75</v>
      </c>
      <c r="N2789" s="19" t="s">
        <v>616</v>
      </c>
      <c r="O2789" s="20">
        <v>3</v>
      </c>
      <c r="P2789" s="20">
        <v>225</v>
      </c>
      <c r="Q2789" s="20">
        <v>7448.8531791203677</v>
      </c>
      <c r="R2789" s="21">
        <v>0.92</v>
      </c>
      <c r="S2789" s="20">
        <v>7448.8531791203677</v>
      </c>
    </row>
    <row r="2790" spans="2:19" ht="15" customHeight="1" x14ac:dyDescent="0.25">
      <c r="B2790" s="2" t="str">
        <f t="shared" si="86"/>
        <v>PGL_Business_Small/Mid-Size Business_Partner Trade Ally Rebate_Pipe Insulation_Steam - X-Large &gt;8"_CI</v>
      </c>
      <c r="C2790" s="2" t="str">
        <f t="shared" si="87"/>
        <v>PGL_Business_Small/Mid-Size Business_Partner Trade Ally Rebate_Pipe Insulation_Steam - X-Large &gt;8"_CI_2023</v>
      </c>
      <c r="D2790" s="19" t="s">
        <v>1794</v>
      </c>
      <c r="E2790" s="19" t="s">
        <v>3</v>
      </c>
      <c r="F2790" s="19" t="s">
        <v>1432</v>
      </c>
      <c r="G2790" s="19" t="s">
        <v>1799</v>
      </c>
      <c r="H2790" s="19" t="s">
        <v>404</v>
      </c>
      <c r="I2790" s="19" t="s">
        <v>960</v>
      </c>
      <c r="J2790" s="19">
        <v>0</v>
      </c>
      <c r="K2790" s="19" t="s">
        <v>1159</v>
      </c>
      <c r="L2790" s="19">
        <v>2023</v>
      </c>
      <c r="M2790" s="20">
        <v>75</v>
      </c>
      <c r="N2790" s="19" t="s">
        <v>616</v>
      </c>
      <c r="O2790" s="20">
        <v>2</v>
      </c>
      <c r="P2790" s="20">
        <v>150</v>
      </c>
      <c r="Q2790" s="20">
        <v>4965.9021194135785</v>
      </c>
      <c r="R2790" s="21">
        <v>0.92</v>
      </c>
      <c r="S2790" s="20">
        <v>4965.9021194135785</v>
      </c>
    </row>
    <row r="2791" spans="2:19" ht="15" customHeight="1" x14ac:dyDescent="0.25">
      <c r="B2791" s="2" t="str">
        <f t="shared" si="86"/>
        <v>PGL_Business_Small/Mid-Size Business_Partner Trade Ally Rebate_Pipe Insulation_Steam - X-Large &gt;8"_CI</v>
      </c>
      <c r="C2791" s="2" t="str">
        <f t="shared" si="87"/>
        <v>PGL_Business_Small/Mid-Size Business_Partner Trade Ally Rebate_Pipe Insulation_Steam - X-Large &gt;8"_CI_2024</v>
      </c>
      <c r="D2791" s="19" t="s">
        <v>1794</v>
      </c>
      <c r="E2791" s="19" t="s">
        <v>3</v>
      </c>
      <c r="F2791" s="19" t="s">
        <v>1432</v>
      </c>
      <c r="G2791" s="19" t="s">
        <v>1799</v>
      </c>
      <c r="H2791" s="19" t="s">
        <v>404</v>
      </c>
      <c r="I2791" s="19" t="s">
        <v>960</v>
      </c>
      <c r="J2791" s="19">
        <v>0</v>
      </c>
      <c r="K2791" s="19" t="s">
        <v>1159</v>
      </c>
      <c r="L2791" s="19">
        <v>2024</v>
      </c>
      <c r="M2791" s="20">
        <v>75</v>
      </c>
      <c r="N2791" s="19" t="s">
        <v>616</v>
      </c>
      <c r="O2791" s="20">
        <v>2</v>
      </c>
      <c r="P2791" s="20">
        <v>150</v>
      </c>
      <c r="Q2791" s="20">
        <v>4965.9021194135785</v>
      </c>
      <c r="R2791" s="21">
        <v>0.92</v>
      </c>
      <c r="S2791" s="20">
        <v>4965.9021194135785</v>
      </c>
    </row>
    <row r="2792" spans="2:19" ht="15" customHeight="1" x14ac:dyDescent="0.25">
      <c r="B2792" s="2" t="str">
        <f t="shared" si="86"/>
        <v>PGL_Business_Small/Mid-Size Business_Partner Trade Ally Rebate_Pipe Insulation_Steam - X-Large &gt;8"_CI</v>
      </c>
      <c r="C2792" s="2" t="str">
        <f t="shared" si="87"/>
        <v>PGL_Business_Small/Mid-Size Business_Partner Trade Ally Rebate_Pipe Insulation_Steam - X-Large &gt;8"_CI_2025</v>
      </c>
      <c r="D2792" s="19" t="s">
        <v>1794</v>
      </c>
      <c r="E2792" s="19" t="s">
        <v>3</v>
      </c>
      <c r="F2792" s="19" t="s">
        <v>1432</v>
      </c>
      <c r="G2792" s="19" t="s">
        <v>1799</v>
      </c>
      <c r="H2792" s="19" t="s">
        <v>404</v>
      </c>
      <c r="I2792" s="19" t="s">
        <v>960</v>
      </c>
      <c r="J2792" s="19">
        <v>0</v>
      </c>
      <c r="K2792" s="19" t="s">
        <v>1159</v>
      </c>
      <c r="L2792" s="19">
        <v>2025</v>
      </c>
      <c r="M2792" s="20">
        <v>75</v>
      </c>
      <c r="N2792" s="19" t="s">
        <v>616</v>
      </c>
      <c r="O2792" s="20">
        <v>2</v>
      </c>
      <c r="P2792" s="20">
        <v>150</v>
      </c>
      <c r="Q2792" s="20">
        <v>4965.9021194135785</v>
      </c>
      <c r="R2792" s="21">
        <v>0.92</v>
      </c>
      <c r="S2792" s="20">
        <v>4965.9021194135785</v>
      </c>
    </row>
    <row r="2793" spans="2:19" ht="15" customHeight="1" x14ac:dyDescent="0.25">
      <c r="B2793" s="2" t="str">
        <f t="shared" si="86"/>
        <v>PGL_Business_Small/Mid-Size Business_Partner Trade Ally Rebate_Pipe Insulation_Steam Med Fitting_CI</v>
      </c>
      <c r="C2793" s="2" t="str">
        <f t="shared" si="87"/>
        <v>PGL_Business_Small/Mid-Size Business_Partner Trade Ally Rebate_Pipe Insulation_Steam Med Fitting_CI_2022</v>
      </c>
      <c r="D2793" s="19" t="s">
        <v>1794</v>
      </c>
      <c r="E2793" s="19" t="s">
        <v>3</v>
      </c>
      <c r="F2793" s="19" t="s">
        <v>1432</v>
      </c>
      <c r="G2793" s="19" t="s">
        <v>1799</v>
      </c>
      <c r="H2793" s="19" t="s">
        <v>404</v>
      </c>
      <c r="I2793" s="19" t="s">
        <v>962</v>
      </c>
      <c r="J2793" s="19">
        <v>0</v>
      </c>
      <c r="K2793" s="19" t="s">
        <v>1159</v>
      </c>
      <c r="L2793" s="19">
        <v>2022</v>
      </c>
      <c r="M2793" s="20">
        <v>1</v>
      </c>
      <c r="N2793" s="19" t="s">
        <v>1798</v>
      </c>
      <c r="O2793" s="20">
        <v>50</v>
      </c>
      <c r="P2793" s="20">
        <v>50</v>
      </c>
      <c r="Q2793" s="20">
        <v>743.70684729437733</v>
      </c>
      <c r="R2793" s="21">
        <v>0.92</v>
      </c>
      <c r="S2793" s="20">
        <v>743.70684729437733</v>
      </c>
    </row>
    <row r="2794" spans="2:19" ht="15" customHeight="1" x14ac:dyDescent="0.25">
      <c r="B2794" s="2" t="str">
        <f t="shared" si="86"/>
        <v>PGL_Business_Small/Mid-Size Business_Partner Trade Ally Rebate_Pipe Insulation_Steam Med Fitting_CI</v>
      </c>
      <c r="C2794" s="2" t="str">
        <f t="shared" si="87"/>
        <v>PGL_Business_Small/Mid-Size Business_Partner Trade Ally Rebate_Pipe Insulation_Steam Med Fitting_CI_2023</v>
      </c>
      <c r="D2794" s="19" t="s">
        <v>1794</v>
      </c>
      <c r="E2794" s="19" t="s">
        <v>3</v>
      </c>
      <c r="F2794" s="19" t="s">
        <v>1432</v>
      </c>
      <c r="G2794" s="19" t="s">
        <v>1799</v>
      </c>
      <c r="H2794" s="19" t="s">
        <v>404</v>
      </c>
      <c r="I2794" s="19" t="s">
        <v>962</v>
      </c>
      <c r="J2794" s="19">
        <v>0</v>
      </c>
      <c r="K2794" s="19" t="s">
        <v>1159</v>
      </c>
      <c r="L2794" s="19">
        <v>2023</v>
      </c>
      <c r="M2794" s="20">
        <v>1</v>
      </c>
      <c r="N2794" s="19" t="s">
        <v>1798</v>
      </c>
      <c r="O2794" s="20">
        <v>47</v>
      </c>
      <c r="P2794" s="20">
        <v>47</v>
      </c>
      <c r="Q2794" s="20">
        <v>699.08443645671468</v>
      </c>
      <c r="R2794" s="21">
        <v>0.92</v>
      </c>
      <c r="S2794" s="20">
        <v>699.08443645671468</v>
      </c>
    </row>
    <row r="2795" spans="2:19" ht="15" customHeight="1" x14ac:dyDescent="0.25">
      <c r="B2795" s="2" t="str">
        <f t="shared" si="86"/>
        <v>PGL_Business_Small/Mid-Size Business_Partner Trade Ally Rebate_Pipe Insulation_Steam Med Fitting_CI</v>
      </c>
      <c r="C2795" s="2" t="str">
        <f t="shared" si="87"/>
        <v>PGL_Business_Small/Mid-Size Business_Partner Trade Ally Rebate_Pipe Insulation_Steam Med Fitting_CI_2024</v>
      </c>
      <c r="D2795" s="19" t="s">
        <v>1794</v>
      </c>
      <c r="E2795" s="19" t="s">
        <v>3</v>
      </c>
      <c r="F2795" s="19" t="s">
        <v>1432</v>
      </c>
      <c r="G2795" s="19" t="s">
        <v>1799</v>
      </c>
      <c r="H2795" s="19" t="s">
        <v>404</v>
      </c>
      <c r="I2795" s="19" t="s">
        <v>962</v>
      </c>
      <c r="J2795" s="19">
        <v>0</v>
      </c>
      <c r="K2795" s="19" t="s">
        <v>1159</v>
      </c>
      <c r="L2795" s="19">
        <v>2024</v>
      </c>
      <c r="M2795" s="20">
        <v>1</v>
      </c>
      <c r="N2795" s="19" t="s">
        <v>1798</v>
      </c>
      <c r="O2795" s="20">
        <v>41</v>
      </c>
      <c r="P2795" s="20">
        <v>41</v>
      </c>
      <c r="Q2795" s="20">
        <v>609.83961478138951</v>
      </c>
      <c r="R2795" s="21">
        <v>0.92</v>
      </c>
      <c r="S2795" s="20">
        <v>609.83961478138951</v>
      </c>
    </row>
    <row r="2796" spans="2:19" ht="15" customHeight="1" x14ac:dyDescent="0.25">
      <c r="B2796" s="2" t="str">
        <f t="shared" si="86"/>
        <v>PGL_Business_Small/Mid-Size Business_Partner Trade Ally Rebate_Pipe Insulation_Steam Med Fitting_CI</v>
      </c>
      <c r="C2796" s="2" t="str">
        <f t="shared" si="87"/>
        <v>PGL_Business_Small/Mid-Size Business_Partner Trade Ally Rebate_Pipe Insulation_Steam Med Fitting_CI_2025</v>
      </c>
      <c r="D2796" s="19" t="s">
        <v>1794</v>
      </c>
      <c r="E2796" s="19" t="s">
        <v>3</v>
      </c>
      <c r="F2796" s="19" t="s">
        <v>1432</v>
      </c>
      <c r="G2796" s="19" t="s">
        <v>1799</v>
      </c>
      <c r="H2796" s="19" t="s">
        <v>404</v>
      </c>
      <c r="I2796" s="19" t="s">
        <v>962</v>
      </c>
      <c r="J2796" s="19">
        <v>0</v>
      </c>
      <c r="K2796" s="19" t="s">
        <v>1159</v>
      </c>
      <c r="L2796" s="19">
        <v>2025</v>
      </c>
      <c r="M2796" s="20">
        <v>1</v>
      </c>
      <c r="N2796" s="19" t="s">
        <v>1798</v>
      </c>
      <c r="O2796" s="20">
        <v>39</v>
      </c>
      <c r="P2796" s="20">
        <v>39</v>
      </c>
      <c r="Q2796" s="20">
        <v>580.09134088961434</v>
      </c>
      <c r="R2796" s="21">
        <v>0.92</v>
      </c>
      <c r="S2796" s="20">
        <v>580.09134088961434</v>
      </c>
    </row>
    <row r="2797" spans="2:19" ht="15" customHeight="1" x14ac:dyDescent="0.25">
      <c r="B2797" s="2" t="str">
        <f t="shared" si="86"/>
        <v>PGL_Business_Small/Mid-Size Business_Partner Trade Ally Rebate_Pipe Insulation_Steam Large Fitting_CI</v>
      </c>
      <c r="C2797" s="2" t="str">
        <f t="shared" si="87"/>
        <v>PGL_Business_Small/Mid-Size Business_Partner Trade Ally Rebate_Pipe Insulation_Steam Large Fitting_CI_2022</v>
      </c>
      <c r="D2797" s="19" t="s">
        <v>1794</v>
      </c>
      <c r="E2797" s="19" t="s">
        <v>3</v>
      </c>
      <c r="F2797" s="19" t="s">
        <v>1432</v>
      </c>
      <c r="G2797" s="19" t="s">
        <v>1799</v>
      </c>
      <c r="H2797" s="19" t="s">
        <v>404</v>
      </c>
      <c r="I2797" s="19" t="s">
        <v>963</v>
      </c>
      <c r="J2797" s="19">
        <v>0</v>
      </c>
      <c r="K2797" s="19" t="s">
        <v>1159</v>
      </c>
      <c r="L2797" s="19">
        <v>2022</v>
      </c>
      <c r="M2797" s="20">
        <v>1</v>
      </c>
      <c r="N2797" s="19" t="s">
        <v>1798</v>
      </c>
      <c r="O2797" s="20">
        <v>34</v>
      </c>
      <c r="P2797" s="20">
        <v>34</v>
      </c>
      <c r="Q2797" s="20">
        <v>1285.12707822061</v>
      </c>
      <c r="R2797" s="21">
        <v>0.92</v>
      </c>
      <c r="S2797" s="20">
        <v>1285.12707822061</v>
      </c>
    </row>
    <row r="2798" spans="2:19" ht="15" customHeight="1" x14ac:dyDescent="0.25">
      <c r="B2798" s="2" t="str">
        <f t="shared" si="86"/>
        <v>PGL_Business_Small/Mid-Size Business_Partner Trade Ally Rebate_Pipe Insulation_Steam Large Fitting_CI</v>
      </c>
      <c r="C2798" s="2" t="str">
        <f t="shared" si="87"/>
        <v>PGL_Business_Small/Mid-Size Business_Partner Trade Ally Rebate_Pipe Insulation_Steam Large Fitting_CI_2023</v>
      </c>
      <c r="D2798" s="19" t="s">
        <v>1794</v>
      </c>
      <c r="E2798" s="19" t="s">
        <v>3</v>
      </c>
      <c r="F2798" s="19" t="s">
        <v>1432</v>
      </c>
      <c r="G2798" s="19" t="s">
        <v>1799</v>
      </c>
      <c r="H2798" s="19" t="s">
        <v>404</v>
      </c>
      <c r="I2798" s="19" t="s">
        <v>963</v>
      </c>
      <c r="J2798" s="19">
        <v>0</v>
      </c>
      <c r="K2798" s="19" t="s">
        <v>1159</v>
      </c>
      <c r="L2798" s="19">
        <v>2023</v>
      </c>
      <c r="M2798" s="20">
        <v>1</v>
      </c>
      <c r="N2798" s="19" t="s">
        <v>1798</v>
      </c>
      <c r="O2798" s="20">
        <v>32</v>
      </c>
      <c r="P2798" s="20">
        <v>32</v>
      </c>
      <c r="Q2798" s="20">
        <v>1209.5313677370448</v>
      </c>
      <c r="R2798" s="21">
        <v>0.92</v>
      </c>
      <c r="S2798" s="20">
        <v>1209.5313677370448</v>
      </c>
    </row>
    <row r="2799" spans="2:19" ht="15" customHeight="1" x14ac:dyDescent="0.25">
      <c r="B2799" s="2" t="str">
        <f t="shared" si="86"/>
        <v>PGL_Business_Small/Mid-Size Business_Partner Trade Ally Rebate_Pipe Insulation_Steam Large Fitting_CI</v>
      </c>
      <c r="C2799" s="2" t="str">
        <f t="shared" si="87"/>
        <v>PGL_Business_Small/Mid-Size Business_Partner Trade Ally Rebate_Pipe Insulation_Steam Large Fitting_CI_2024</v>
      </c>
      <c r="D2799" s="19" t="s">
        <v>1794</v>
      </c>
      <c r="E2799" s="19" t="s">
        <v>3</v>
      </c>
      <c r="F2799" s="19" t="s">
        <v>1432</v>
      </c>
      <c r="G2799" s="19" t="s">
        <v>1799</v>
      </c>
      <c r="H2799" s="19" t="s">
        <v>404</v>
      </c>
      <c r="I2799" s="19" t="s">
        <v>963</v>
      </c>
      <c r="J2799" s="19">
        <v>0</v>
      </c>
      <c r="K2799" s="19" t="s">
        <v>1159</v>
      </c>
      <c r="L2799" s="19">
        <v>2024</v>
      </c>
      <c r="M2799" s="20">
        <v>1</v>
      </c>
      <c r="N2799" s="19" t="s">
        <v>1798</v>
      </c>
      <c r="O2799" s="20">
        <v>28</v>
      </c>
      <c r="P2799" s="20">
        <v>28</v>
      </c>
      <c r="Q2799" s="20">
        <v>1058.3399467699141</v>
      </c>
      <c r="R2799" s="21">
        <v>0.92</v>
      </c>
      <c r="S2799" s="20">
        <v>1058.3399467699141</v>
      </c>
    </row>
    <row r="2800" spans="2:19" ht="15" customHeight="1" x14ac:dyDescent="0.25">
      <c r="B2800" s="2" t="str">
        <f t="shared" si="86"/>
        <v>PGL_Business_Small/Mid-Size Business_Partner Trade Ally Rebate_Pipe Insulation_Steam Large Fitting_CI</v>
      </c>
      <c r="C2800" s="2" t="str">
        <f t="shared" si="87"/>
        <v>PGL_Business_Small/Mid-Size Business_Partner Trade Ally Rebate_Pipe Insulation_Steam Large Fitting_CI_2025</v>
      </c>
      <c r="D2800" s="19" t="s">
        <v>1794</v>
      </c>
      <c r="E2800" s="19" t="s">
        <v>3</v>
      </c>
      <c r="F2800" s="19" t="s">
        <v>1432</v>
      </c>
      <c r="G2800" s="19" t="s">
        <v>1799</v>
      </c>
      <c r="H2800" s="19" t="s">
        <v>404</v>
      </c>
      <c r="I2800" s="19" t="s">
        <v>963</v>
      </c>
      <c r="J2800" s="19">
        <v>0</v>
      </c>
      <c r="K2800" s="19" t="s">
        <v>1159</v>
      </c>
      <c r="L2800" s="19">
        <v>2025</v>
      </c>
      <c r="M2800" s="20">
        <v>1</v>
      </c>
      <c r="N2800" s="19" t="s">
        <v>1798</v>
      </c>
      <c r="O2800" s="20">
        <v>26</v>
      </c>
      <c r="P2800" s="20">
        <v>26</v>
      </c>
      <c r="Q2800" s="20">
        <v>982.74423628634884</v>
      </c>
      <c r="R2800" s="21">
        <v>0.92</v>
      </c>
      <c r="S2800" s="20">
        <v>982.74423628634884</v>
      </c>
    </row>
    <row r="2801" spans="2:19" ht="15" customHeight="1" x14ac:dyDescent="0.25">
      <c r="B2801" s="2" t="str">
        <f t="shared" si="86"/>
        <v>PGL_Business_Small/Mid-Size Business_Partner Trade Ally Rebate_Pipe Insulation_Steam X-Large Fitting_CI</v>
      </c>
      <c r="C2801" s="2" t="str">
        <f t="shared" si="87"/>
        <v>PGL_Business_Small/Mid-Size Business_Partner Trade Ally Rebate_Pipe Insulation_Steam X-Large Fitting_CI_2022</v>
      </c>
      <c r="D2801" s="19" t="s">
        <v>1794</v>
      </c>
      <c r="E2801" s="19" t="s">
        <v>3</v>
      </c>
      <c r="F2801" s="19" t="s">
        <v>1432</v>
      </c>
      <c r="G2801" s="19" t="s">
        <v>1799</v>
      </c>
      <c r="H2801" s="19" t="s">
        <v>404</v>
      </c>
      <c r="I2801" s="19" t="s">
        <v>964</v>
      </c>
      <c r="J2801" s="19">
        <v>0</v>
      </c>
      <c r="K2801" s="19" t="s">
        <v>1159</v>
      </c>
      <c r="L2801" s="19">
        <v>2022</v>
      </c>
      <c r="M2801" s="20">
        <v>1</v>
      </c>
      <c r="N2801" s="19" t="s">
        <v>1798</v>
      </c>
      <c r="O2801" s="20">
        <v>17</v>
      </c>
      <c r="P2801" s="20">
        <v>17</v>
      </c>
      <c r="Q2801" s="20">
        <v>1130.6005042442168</v>
      </c>
      <c r="R2801" s="21">
        <v>0.92</v>
      </c>
      <c r="S2801" s="20">
        <v>1130.6005042442168</v>
      </c>
    </row>
    <row r="2802" spans="2:19" ht="15" customHeight="1" x14ac:dyDescent="0.25">
      <c r="B2802" s="2" t="str">
        <f t="shared" si="86"/>
        <v>PGL_Business_Small/Mid-Size Business_Partner Trade Ally Rebate_Pipe Insulation_Steam X-Large Fitting_CI</v>
      </c>
      <c r="C2802" s="2" t="str">
        <f t="shared" si="87"/>
        <v>PGL_Business_Small/Mid-Size Business_Partner Trade Ally Rebate_Pipe Insulation_Steam X-Large Fitting_CI_2023</v>
      </c>
      <c r="D2802" s="19" t="s">
        <v>1794</v>
      </c>
      <c r="E2802" s="19" t="s">
        <v>3</v>
      </c>
      <c r="F2802" s="19" t="s">
        <v>1432</v>
      </c>
      <c r="G2802" s="19" t="s">
        <v>1799</v>
      </c>
      <c r="H2802" s="19" t="s">
        <v>404</v>
      </c>
      <c r="I2802" s="19" t="s">
        <v>964</v>
      </c>
      <c r="J2802" s="19">
        <v>0</v>
      </c>
      <c r="K2802" s="19" t="s">
        <v>1159</v>
      </c>
      <c r="L2802" s="19">
        <v>2023</v>
      </c>
      <c r="M2802" s="20">
        <v>1</v>
      </c>
      <c r="N2802" s="19" t="s">
        <v>1798</v>
      </c>
      <c r="O2802" s="20">
        <v>16</v>
      </c>
      <c r="P2802" s="20">
        <v>16</v>
      </c>
      <c r="Q2802" s="20">
        <v>1064.0945922298513</v>
      </c>
      <c r="R2802" s="21">
        <v>0.92</v>
      </c>
      <c r="S2802" s="20">
        <v>1064.0945922298513</v>
      </c>
    </row>
    <row r="2803" spans="2:19" ht="15" customHeight="1" x14ac:dyDescent="0.25">
      <c r="B2803" s="2" t="str">
        <f t="shared" si="86"/>
        <v>PGL_Business_Small/Mid-Size Business_Partner Trade Ally Rebate_Pipe Insulation_Steam X-Large Fitting_CI</v>
      </c>
      <c r="C2803" s="2" t="str">
        <f t="shared" si="87"/>
        <v>PGL_Business_Small/Mid-Size Business_Partner Trade Ally Rebate_Pipe Insulation_Steam X-Large Fitting_CI_2024</v>
      </c>
      <c r="D2803" s="19" t="s">
        <v>1794</v>
      </c>
      <c r="E2803" s="19" t="s">
        <v>3</v>
      </c>
      <c r="F2803" s="19" t="s">
        <v>1432</v>
      </c>
      <c r="G2803" s="19" t="s">
        <v>1799</v>
      </c>
      <c r="H2803" s="19" t="s">
        <v>404</v>
      </c>
      <c r="I2803" s="19" t="s">
        <v>964</v>
      </c>
      <c r="J2803" s="19">
        <v>0</v>
      </c>
      <c r="K2803" s="19" t="s">
        <v>1159</v>
      </c>
      <c r="L2803" s="19">
        <v>2024</v>
      </c>
      <c r="M2803" s="20">
        <v>1</v>
      </c>
      <c r="N2803" s="19" t="s">
        <v>1798</v>
      </c>
      <c r="O2803" s="20">
        <v>14</v>
      </c>
      <c r="P2803" s="20">
        <v>14</v>
      </c>
      <c r="Q2803" s="20">
        <v>931.08276820111973</v>
      </c>
      <c r="R2803" s="21">
        <v>0.92</v>
      </c>
      <c r="S2803" s="20">
        <v>931.08276820111973</v>
      </c>
    </row>
    <row r="2804" spans="2:19" ht="15" customHeight="1" x14ac:dyDescent="0.25">
      <c r="B2804" s="2" t="str">
        <f t="shared" si="86"/>
        <v>PGL_Business_Small/Mid-Size Business_Partner Trade Ally Rebate_Pipe Insulation_Steam X-Large Fitting_CI</v>
      </c>
      <c r="C2804" s="2" t="str">
        <f t="shared" si="87"/>
        <v>PGL_Business_Small/Mid-Size Business_Partner Trade Ally Rebate_Pipe Insulation_Steam X-Large Fitting_CI_2025</v>
      </c>
      <c r="D2804" s="19" t="s">
        <v>1794</v>
      </c>
      <c r="E2804" s="19" t="s">
        <v>3</v>
      </c>
      <c r="F2804" s="19" t="s">
        <v>1432</v>
      </c>
      <c r="G2804" s="19" t="s">
        <v>1799</v>
      </c>
      <c r="H2804" s="19" t="s">
        <v>404</v>
      </c>
      <c r="I2804" s="19" t="s">
        <v>964</v>
      </c>
      <c r="J2804" s="19">
        <v>0</v>
      </c>
      <c r="K2804" s="19" t="s">
        <v>1159</v>
      </c>
      <c r="L2804" s="19">
        <v>2025</v>
      </c>
      <c r="M2804" s="20">
        <v>1</v>
      </c>
      <c r="N2804" s="19" t="s">
        <v>1798</v>
      </c>
      <c r="O2804" s="20">
        <v>13</v>
      </c>
      <c r="P2804" s="20">
        <v>13</v>
      </c>
      <c r="Q2804" s="20">
        <v>864.57685618675407</v>
      </c>
      <c r="R2804" s="21">
        <v>0.92</v>
      </c>
      <c r="S2804" s="20">
        <v>864.57685618675407</v>
      </c>
    </row>
    <row r="2805" spans="2:19" ht="15" customHeight="1" x14ac:dyDescent="0.25">
      <c r="B2805" s="2" t="str">
        <f t="shared" si="86"/>
        <v>PGL_Business_Small/Mid-Size Business_Partner Trade Ally Rebate_Pipe Insulation_Steam Med Valve_CI</v>
      </c>
      <c r="C2805" s="2" t="str">
        <f t="shared" si="87"/>
        <v>PGL_Business_Small/Mid-Size Business_Partner Trade Ally Rebate_Pipe Insulation_Steam Med Valve_CI_2022</v>
      </c>
      <c r="D2805" s="19" t="s">
        <v>1794</v>
      </c>
      <c r="E2805" s="19" t="s">
        <v>3</v>
      </c>
      <c r="F2805" s="19" t="s">
        <v>1432</v>
      </c>
      <c r="G2805" s="19" t="s">
        <v>1799</v>
      </c>
      <c r="H2805" s="19" t="s">
        <v>404</v>
      </c>
      <c r="I2805" s="19" t="s">
        <v>966</v>
      </c>
      <c r="J2805" s="19">
        <v>0</v>
      </c>
      <c r="K2805" s="19" t="s">
        <v>1159</v>
      </c>
      <c r="L2805" s="19">
        <v>2022</v>
      </c>
      <c r="M2805" s="20">
        <v>1</v>
      </c>
      <c r="N2805" s="19" t="s">
        <v>1798</v>
      </c>
      <c r="O2805" s="20">
        <v>17</v>
      </c>
      <c r="P2805" s="20">
        <v>17</v>
      </c>
      <c r="Q2805" s="20">
        <v>766.39520990993492</v>
      </c>
      <c r="R2805" s="21">
        <v>0.92</v>
      </c>
      <c r="S2805" s="20">
        <v>766.39520990993492</v>
      </c>
    </row>
    <row r="2806" spans="2:19" ht="15" customHeight="1" x14ac:dyDescent="0.25">
      <c r="B2806" s="2" t="str">
        <f t="shared" si="86"/>
        <v>PGL_Business_Small/Mid-Size Business_Partner Trade Ally Rebate_Pipe Insulation_Steam Med Valve_CI</v>
      </c>
      <c r="C2806" s="2" t="str">
        <f t="shared" si="87"/>
        <v>PGL_Business_Small/Mid-Size Business_Partner Trade Ally Rebate_Pipe Insulation_Steam Med Valve_CI_2023</v>
      </c>
      <c r="D2806" s="19" t="s">
        <v>1794</v>
      </c>
      <c r="E2806" s="19" t="s">
        <v>3</v>
      </c>
      <c r="F2806" s="19" t="s">
        <v>1432</v>
      </c>
      <c r="G2806" s="19" t="s">
        <v>1799</v>
      </c>
      <c r="H2806" s="19" t="s">
        <v>404</v>
      </c>
      <c r="I2806" s="19" t="s">
        <v>966</v>
      </c>
      <c r="J2806" s="19">
        <v>0</v>
      </c>
      <c r="K2806" s="19" t="s">
        <v>1159</v>
      </c>
      <c r="L2806" s="19">
        <v>2023</v>
      </c>
      <c r="M2806" s="20">
        <v>1</v>
      </c>
      <c r="N2806" s="19" t="s">
        <v>1798</v>
      </c>
      <c r="O2806" s="20">
        <v>16</v>
      </c>
      <c r="P2806" s="20">
        <v>16</v>
      </c>
      <c r="Q2806" s="20">
        <v>721.31313873876229</v>
      </c>
      <c r="R2806" s="21">
        <v>0.92</v>
      </c>
      <c r="S2806" s="20">
        <v>721.31313873876229</v>
      </c>
    </row>
    <row r="2807" spans="2:19" ht="15" customHeight="1" x14ac:dyDescent="0.25">
      <c r="B2807" s="2" t="str">
        <f t="shared" si="86"/>
        <v>PGL_Business_Small/Mid-Size Business_Partner Trade Ally Rebate_Pipe Insulation_Steam Med Valve_CI</v>
      </c>
      <c r="C2807" s="2" t="str">
        <f t="shared" si="87"/>
        <v>PGL_Business_Small/Mid-Size Business_Partner Trade Ally Rebate_Pipe Insulation_Steam Med Valve_CI_2024</v>
      </c>
      <c r="D2807" s="19" t="s">
        <v>1794</v>
      </c>
      <c r="E2807" s="19" t="s">
        <v>3</v>
      </c>
      <c r="F2807" s="19" t="s">
        <v>1432</v>
      </c>
      <c r="G2807" s="19" t="s">
        <v>1799</v>
      </c>
      <c r="H2807" s="19" t="s">
        <v>404</v>
      </c>
      <c r="I2807" s="19" t="s">
        <v>966</v>
      </c>
      <c r="J2807" s="19">
        <v>0</v>
      </c>
      <c r="K2807" s="19" t="s">
        <v>1159</v>
      </c>
      <c r="L2807" s="19">
        <v>2024</v>
      </c>
      <c r="M2807" s="20">
        <v>1</v>
      </c>
      <c r="N2807" s="19" t="s">
        <v>1798</v>
      </c>
      <c r="O2807" s="20">
        <v>14</v>
      </c>
      <c r="P2807" s="20">
        <v>14</v>
      </c>
      <c r="Q2807" s="20">
        <v>631.14899639641703</v>
      </c>
      <c r="R2807" s="21">
        <v>0.92</v>
      </c>
      <c r="S2807" s="20">
        <v>631.14899639641703</v>
      </c>
    </row>
    <row r="2808" spans="2:19" ht="15" customHeight="1" x14ac:dyDescent="0.25">
      <c r="B2808" s="2" t="str">
        <f t="shared" si="86"/>
        <v>PGL_Business_Small/Mid-Size Business_Partner Trade Ally Rebate_Pipe Insulation_Steam Med Valve_CI</v>
      </c>
      <c r="C2808" s="2" t="str">
        <f t="shared" si="87"/>
        <v>PGL_Business_Small/Mid-Size Business_Partner Trade Ally Rebate_Pipe Insulation_Steam Med Valve_CI_2025</v>
      </c>
      <c r="D2808" s="19" t="s">
        <v>1794</v>
      </c>
      <c r="E2808" s="19" t="s">
        <v>3</v>
      </c>
      <c r="F2808" s="19" t="s">
        <v>1432</v>
      </c>
      <c r="G2808" s="19" t="s">
        <v>1799</v>
      </c>
      <c r="H2808" s="19" t="s">
        <v>404</v>
      </c>
      <c r="I2808" s="19" t="s">
        <v>966</v>
      </c>
      <c r="J2808" s="19">
        <v>0</v>
      </c>
      <c r="K2808" s="19" t="s">
        <v>1159</v>
      </c>
      <c r="L2808" s="19">
        <v>2025</v>
      </c>
      <c r="M2808" s="20">
        <v>1</v>
      </c>
      <c r="N2808" s="19" t="s">
        <v>1798</v>
      </c>
      <c r="O2808" s="20">
        <v>13</v>
      </c>
      <c r="P2808" s="20">
        <v>13</v>
      </c>
      <c r="Q2808" s="20">
        <v>586.06692522524429</v>
      </c>
      <c r="R2808" s="21">
        <v>0.92</v>
      </c>
      <c r="S2808" s="20">
        <v>586.06692522524429</v>
      </c>
    </row>
    <row r="2809" spans="2:19" ht="15" customHeight="1" x14ac:dyDescent="0.25">
      <c r="B2809" s="2" t="str">
        <f t="shared" si="86"/>
        <v>PGL_Business_Small/Mid-Size Business_Partner Trade Ally Rebate_Pipe Insulation_Steam Large Valve_CI</v>
      </c>
      <c r="C2809" s="2" t="str">
        <f t="shared" si="87"/>
        <v>PGL_Business_Small/Mid-Size Business_Partner Trade Ally Rebate_Pipe Insulation_Steam Large Valve_CI_2022</v>
      </c>
      <c r="D2809" s="19" t="s">
        <v>1794</v>
      </c>
      <c r="E2809" s="19" t="s">
        <v>3</v>
      </c>
      <c r="F2809" s="19" t="s">
        <v>1432</v>
      </c>
      <c r="G2809" s="19" t="s">
        <v>1799</v>
      </c>
      <c r="H2809" s="19" t="s">
        <v>404</v>
      </c>
      <c r="I2809" s="19" t="s">
        <v>967</v>
      </c>
      <c r="J2809" s="19">
        <v>0</v>
      </c>
      <c r="K2809" s="19" t="s">
        <v>1159</v>
      </c>
      <c r="L2809" s="19">
        <v>2022</v>
      </c>
      <c r="M2809" s="20">
        <v>1</v>
      </c>
      <c r="N2809" s="19" t="s">
        <v>1798</v>
      </c>
      <c r="O2809" s="20">
        <v>8</v>
      </c>
      <c r="P2809" s="20">
        <v>8</v>
      </c>
      <c r="Q2809" s="20">
        <v>791.39189647683543</v>
      </c>
      <c r="R2809" s="21">
        <v>0.92</v>
      </c>
      <c r="S2809" s="20">
        <v>791.39189647683543</v>
      </c>
    </row>
    <row r="2810" spans="2:19" ht="15" customHeight="1" x14ac:dyDescent="0.25">
      <c r="B2810" s="2" t="str">
        <f t="shared" si="86"/>
        <v>PGL_Business_Small/Mid-Size Business_Partner Trade Ally Rebate_Pipe Insulation_Steam Large Valve_CI</v>
      </c>
      <c r="C2810" s="2" t="str">
        <f t="shared" si="87"/>
        <v>PGL_Business_Small/Mid-Size Business_Partner Trade Ally Rebate_Pipe Insulation_Steam Large Valve_CI_2023</v>
      </c>
      <c r="D2810" s="19" t="s">
        <v>1794</v>
      </c>
      <c r="E2810" s="19" t="s">
        <v>3</v>
      </c>
      <c r="F2810" s="19" t="s">
        <v>1432</v>
      </c>
      <c r="G2810" s="19" t="s">
        <v>1799</v>
      </c>
      <c r="H2810" s="19" t="s">
        <v>404</v>
      </c>
      <c r="I2810" s="19" t="s">
        <v>967</v>
      </c>
      <c r="J2810" s="19">
        <v>0</v>
      </c>
      <c r="K2810" s="19" t="s">
        <v>1159</v>
      </c>
      <c r="L2810" s="19">
        <v>2023</v>
      </c>
      <c r="M2810" s="20">
        <v>1</v>
      </c>
      <c r="N2810" s="19" t="s">
        <v>1798</v>
      </c>
      <c r="O2810" s="20">
        <v>8</v>
      </c>
      <c r="P2810" s="20">
        <v>8</v>
      </c>
      <c r="Q2810" s="20">
        <v>791.39189647683543</v>
      </c>
      <c r="R2810" s="21">
        <v>0.92</v>
      </c>
      <c r="S2810" s="20">
        <v>791.39189647683543</v>
      </c>
    </row>
    <row r="2811" spans="2:19" ht="15" customHeight="1" x14ac:dyDescent="0.25">
      <c r="B2811" s="2" t="str">
        <f t="shared" si="86"/>
        <v>PGL_Business_Small/Mid-Size Business_Partner Trade Ally Rebate_Pipe Insulation_Steam Large Valve_CI</v>
      </c>
      <c r="C2811" s="2" t="str">
        <f t="shared" si="87"/>
        <v>PGL_Business_Small/Mid-Size Business_Partner Trade Ally Rebate_Pipe Insulation_Steam Large Valve_CI_2024</v>
      </c>
      <c r="D2811" s="19" t="s">
        <v>1794</v>
      </c>
      <c r="E2811" s="19" t="s">
        <v>3</v>
      </c>
      <c r="F2811" s="19" t="s">
        <v>1432</v>
      </c>
      <c r="G2811" s="19" t="s">
        <v>1799</v>
      </c>
      <c r="H2811" s="19" t="s">
        <v>404</v>
      </c>
      <c r="I2811" s="19" t="s">
        <v>967</v>
      </c>
      <c r="J2811" s="19">
        <v>0</v>
      </c>
      <c r="K2811" s="19" t="s">
        <v>1159</v>
      </c>
      <c r="L2811" s="19">
        <v>2024</v>
      </c>
      <c r="M2811" s="20">
        <v>1</v>
      </c>
      <c r="N2811" s="19" t="s">
        <v>1798</v>
      </c>
      <c r="O2811" s="20">
        <v>7</v>
      </c>
      <c r="P2811" s="20">
        <v>7</v>
      </c>
      <c r="Q2811" s="20">
        <v>692.467909417231</v>
      </c>
      <c r="R2811" s="21">
        <v>0.92</v>
      </c>
      <c r="S2811" s="20">
        <v>692.467909417231</v>
      </c>
    </row>
    <row r="2812" spans="2:19" ht="15" customHeight="1" x14ac:dyDescent="0.25">
      <c r="B2812" s="2" t="str">
        <f t="shared" si="86"/>
        <v>PGL_Business_Small/Mid-Size Business_Partner Trade Ally Rebate_Pipe Insulation_Steam Large Valve_CI</v>
      </c>
      <c r="C2812" s="2" t="str">
        <f t="shared" si="87"/>
        <v>PGL_Business_Small/Mid-Size Business_Partner Trade Ally Rebate_Pipe Insulation_Steam Large Valve_CI_2025</v>
      </c>
      <c r="D2812" s="19" t="s">
        <v>1794</v>
      </c>
      <c r="E2812" s="19" t="s">
        <v>3</v>
      </c>
      <c r="F2812" s="19" t="s">
        <v>1432</v>
      </c>
      <c r="G2812" s="19" t="s">
        <v>1799</v>
      </c>
      <c r="H2812" s="19" t="s">
        <v>404</v>
      </c>
      <c r="I2812" s="19" t="s">
        <v>967</v>
      </c>
      <c r="J2812" s="19">
        <v>0</v>
      </c>
      <c r="K2812" s="19" t="s">
        <v>1159</v>
      </c>
      <c r="L2812" s="19">
        <v>2025</v>
      </c>
      <c r="M2812" s="20">
        <v>1</v>
      </c>
      <c r="N2812" s="19" t="s">
        <v>1798</v>
      </c>
      <c r="O2812" s="20">
        <v>7</v>
      </c>
      <c r="P2812" s="20">
        <v>7</v>
      </c>
      <c r="Q2812" s="20">
        <v>692.467909417231</v>
      </c>
      <c r="R2812" s="21">
        <v>0.92</v>
      </c>
      <c r="S2812" s="20">
        <v>692.467909417231</v>
      </c>
    </row>
    <row r="2813" spans="2:19" ht="15" customHeight="1" x14ac:dyDescent="0.25">
      <c r="B2813" s="2" t="str">
        <f t="shared" si="86"/>
        <v>PGL_Business_Small/Mid-Size Business_Partner Trade Ally Rebate_Pipe Insulation_Steam X-Large Valve_CI</v>
      </c>
      <c r="C2813" s="2" t="str">
        <f t="shared" si="87"/>
        <v>PGL_Business_Small/Mid-Size Business_Partner Trade Ally Rebate_Pipe Insulation_Steam X-Large Valve_CI_2022</v>
      </c>
      <c r="D2813" s="19" t="s">
        <v>1794</v>
      </c>
      <c r="E2813" s="19" t="s">
        <v>3</v>
      </c>
      <c r="F2813" s="19" t="s">
        <v>1432</v>
      </c>
      <c r="G2813" s="19" t="s">
        <v>1799</v>
      </c>
      <c r="H2813" s="19" t="s">
        <v>404</v>
      </c>
      <c r="I2813" s="19" t="s">
        <v>968</v>
      </c>
      <c r="J2813" s="19">
        <v>0</v>
      </c>
      <c r="K2813" s="19" t="s">
        <v>1159</v>
      </c>
      <c r="L2813" s="19">
        <v>2022</v>
      </c>
      <c r="M2813" s="20">
        <v>1</v>
      </c>
      <c r="N2813" s="19" t="s">
        <v>1798</v>
      </c>
      <c r="O2813" s="20">
        <v>10</v>
      </c>
      <c r="P2813" s="20">
        <v>10</v>
      </c>
      <c r="Q2813" s="20">
        <v>1610.5753831025704</v>
      </c>
      <c r="R2813" s="21">
        <v>0.92</v>
      </c>
      <c r="S2813" s="20">
        <v>1610.5753831025704</v>
      </c>
    </row>
    <row r="2814" spans="2:19" ht="15" customHeight="1" x14ac:dyDescent="0.25">
      <c r="B2814" s="2" t="str">
        <f t="shared" si="86"/>
        <v>PGL_Business_Small/Mid-Size Business_Partner Trade Ally Rebate_Pipe Insulation_Steam X-Large Valve_CI</v>
      </c>
      <c r="C2814" s="2" t="str">
        <f t="shared" si="87"/>
        <v>PGL_Business_Small/Mid-Size Business_Partner Trade Ally Rebate_Pipe Insulation_Steam X-Large Valve_CI_2023</v>
      </c>
      <c r="D2814" s="19" t="s">
        <v>1794</v>
      </c>
      <c r="E2814" s="19" t="s">
        <v>3</v>
      </c>
      <c r="F2814" s="19" t="s">
        <v>1432</v>
      </c>
      <c r="G2814" s="19" t="s">
        <v>1799</v>
      </c>
      <c r="H2814" s="19" t="s">
        <v>404</v>
      </c>
      <c r="I2814" s="19" t="s">
        <v>968</v>
      </c>
      <c r="J2814" s="19">
        <v>0</v>
      </c>
      <c r="K2814" s="19" t="s">
        <v>1159</v>
      </c>
      <c r="L2814" s="19">
        <v>2023</v>
      </c>
      <c r="M2814" s="20">
        <v>1</v>
      </c>
      <c r="N2814" s="19" t="s">
        <v>1798</v>
      </c>
      <c r="O2814" s="20">
        <v>9</v>
      </c>
      <c r="P2814" s="20">
        <v>9</v>
      </c>
      <c r="Q2814" s="20">
        <v>1449.5178447923136</v>
      </c>
      <c r="R2814" s="21">
        <v>0.92</v>
      </c>
      <c r="S2814" s="20">
        <v>1449.5178447923136</v>
      </c>
    </row>
    <row r="2815" spans="2:19" ht="15" customHeight="1" x14ac:dyDescent="0.25">
      <c r="B2815" s="2" t="str">
        <f t="shared" si="86"/>
        <v>PGL_Business_Small/Mid-Size Business_Partner Trade Ally Rebate_Pipe Insulation_Steam X-Large Valve_CI</v>
      </c>
      <c r="C2815" s="2" t="str">
        <f t="shared" si="87"/>
        <v>PGL_Business_Small/Mid-Size Business_Partner Trade Ally Rebate_Pipe Insulation_Steam X-Large Valve_CI_2024</v>
      </c>
      <c r="D2815" s="19" t="s">
        <v>1794</v>
      </c>
      <c r="E2815" s="19" t="s">
        <v>3</v>
      </c>
      <c r="F2815" s="19" t="s">
        <v>1432</v>
      </c>
      <c r="G2815" s="19" t="s">
        <v>1799</v>
      </c>
      <c r="H2815" s="19" t="s">
        <v>404</v>
      </c>
      <c r="I2815" s="19" t="s">
        <v>968</v>
      </c>
      <c r="J2815" s="19">
        <v>0</v>
      </c>
      <c r="K2815" s="19" t="s">
        <v>1159</v>
      </c>
      <c r="L2815" s="19">
        <v>2024</v>
      </c>
      <c r="M2815" s="20">
        <v>1</v>
      </c>
      <c r="N2815" s="19" t="s">
        <v>1798</v>
      </c>
      <c r="O2815" s="20">
        <v>8</v>
      </c>
      <c r="P2815" s="20">
        <v>8</v>
      </c>
      <c r="Q2815" s="20">
        <v>1288.4603064820565</v>
      </c>
      <c r="R2815" s="21">
        <v>0.92</v>
      </c>
      <c r="S2815" s="20">
        <v>1288.4603064820565</v>
      </c>
    </row>
    <row r="2816" spans="2:19" ht="15" customHeight="1" x14ac:dyDescent="0.25">
      <c r="B2816" s="2" t="str">
        <f t="shared" si="86"/>
        <v>PGL_Business_Small/Mid-Size Business_Partner Trade Ally Rebate_Pipe Insulation_Steam X-Large Valve_CI</v>
      </c>
      <c r="C2816" s="2" t="str">
        <f t="shared" si="87"/>
        <v>PGL_Business_Small/Mid-Size Business_Partner Trade Ally Rebate_Pipe Insulation_Steam X-Large Valve_CI_2025</v>
      </c>
      <c r="D2816" s="19" t="s">
        <v>1794</v>
      </c>
      <c r="E2816" s="19" t="s">
        <v>3</v>
      </c>
      <c r="F2816" s="19" t="s">
        <v>1432</v>
      </c>
      <c r="G2816" s="19" t="s">
        <v>1799</v>
      </c>
      <c r="H2816" s="19" t="s">
        <v>404</v>
      </c>
      <c r="I2816" s="19" t="s">
        <v>968</v>
      </c>
      <c r="J2816" s="19">
        <v>0</v>
      </c>
      <c r="K2816" s="19" t="s">
        <v>1159</v>
      </c>
      <c r="L2816" s="19">
        <v>2025</v>
      </c>
      <c r="M2816" s="20">
        <v>1</v>
      </c>
      <c r="N2816" s="19" t="s">
        <v>1798</v>
      </c>
      <c r="O2816" s="20">
        <v>8</v>
      </c>
      <c r="P2816" s="20">
        <v>8</v>
      </c>
      <c r="Q2816" s="20">
        <v>1288.4603064820565</v>
      </c>
      <c r="R2816" s="21">
        <v>0.92</v>
      </c>
      <c r="S2816" s="20">
        <v>1288.4603064820565</v>
      </c>
    </row>
    <row r="2817" spans="2:19" ht="15" customHeight="1" x14ac:dyDescent="0.25">
      <c r="B2817" s="2" t="str">
        <f t="shared" si="86"/>
        <v>PGL_Business_Small/Mid-Size Business_Partner Trade Ally Rebate_Pre-Rinse Sprayer_0_CI</v>
      </c>
      <c r="C2817" s="2" t="str">
        <f t="shared" si="87"/>
        <v>PGL_Business_Small/Mid-Size Business_Partner Trade Ally Rebate_Pre-Rinse Sprayer_0_CI_2022</v>
      </c>
      <c r="D2817" s="19" t="s">
        <v>1794</v>
      </c>
      <c r="E2817" s="19" t="s">
        <v>3</v>
      </c>
      <c r="F2817" s="19" t="s">
        <v>1432</v>
      </c>
      <c r="G2817" s="19" t="s">
        <v>1799</v>
      </c>
      <c r="H2817" s="19" t="s">
        <v>1219</v>
      </c>
      <c r="I2817" s="19">
        <v>0</v>
      </c>
      <c r="J2817" s="19" t="s">
        <v>43</v>
      </c>
      <c r="K2817" s="19" t="s">
        <v>1159</v>
      </c>
      <c r="L2817" s="19">
        <v>2022</v>
      </c>
      <c r="M2817" s="20">
        <v>1</v>
      </c>
      <c r="N2817" s="19" t="s">
        <v>1798</v>
      </c>
      <c r="O2817" s="20">
        <v>8</v>
      </c>
      <c r="P2817" s="20">
        <v>8</v>
      </c>
      <c r="Q2817" s="20">
        <v>1735.3235128320002</v>
      </c>
      <c r="R2817" s="21">
        <v>0.92</v>
      </c>
      <c r="S2817" s="20">
        <v>1735.3235128320002</v>
      </c>
    </row>
    <row r="2818" spans="2:19" ht="15" customHeight="1" x14ac:dyDescent="0.25">
      <c r="B2818" s="2" t="str">
        <f t="shared" si="86"/>
        <v>PGL_Business_Small/Mid-Size Business_Partner Trade Ally Rebate_Pre-Rinse Sprayer_0_CI</v>
      </c>
      <c r="C2818" s="2" t="str">
        <f t="shared" si="87"/>
        <v>PGL_Business_Small/Mid-Size Business_Partner Trade Ally Rebate_Pre-Rinse Sprayer_0_CI_2023</v>
      </c>
      <c r="D2818" s="19" t="s">
        <v>1794</v>
      </c>
      <c r="E2818" s="19" t="s">
        <v>3</v>
      </c>
      <c r="F2818" s="19" t="s">
        <v>1432</v>
      </c>
      <c r="G2818" s="19" t="s">
        <v>1799</v>
      </c>
      <c r="H2818" s="19" t="s">
        <v>1219</v>
      </c>
      <c r="I2818" s="19">
        <v>0</v>
      </c>
      <c r="J2818" s="19" t="s">
        <v>43</v>
      </c>
      <c r="K2818" s="19" t="s">
        <v>1159</v>
      </c>
      <c r="L2818" s="19">
        <v>2023</v>
      </c>
      <c r="M2818" s="20">
        <v>1</v>
      </c>
      <c r="N2818" s="19" t="s">
        <v>1798</v>
      </c>
      <c r="O2818" s="20">
        <v>8</v>
      </c>
      <c r="P2818" s="20">
        <v>8</v>
      </c>
      <c r="Q2818" s="20">
        <v>1735.3235128320002</v>
      </c>
      <c r="R2818" s="21">
        <v>0.92</v>
      </c>
      <c r="S2818" s="20">
        <v>1735.3235128320002</v>
      </c>
    </row>
    <row r="2819" spans="2:19" ht="15" customHeight="1" x14ac:dyDescent="0.25">
      <c r="B2819" s="2" t="str">
        <f t="shared" si="86"/>
        <v>PGL_Business_Small/Mid-Size Business_Partner Trade Ally Rebate_Pre-Rinse Sprayer_0_CI</v>
      </c>
      <c r="C2819" s="2" t="str">
        <f t="shared" si="87"/>
        <v>PGL_Business_Small/Mid-Size Business_Partner Trade Ally Rebate_Pre-Rinse Sprayer_0_CI_2024</v>
      </c>
      <c r="D2819" s="19" t="s">
        <v>1794</v>
      </c>
      <c r="E2819" s="19" t="s">
        <v>3</v>
      </c>
      <c r="F2819" s="19" t="s">
        <v>1432</v>
      </c>
      <c r="G2819" s="19" t="s">
        <v>1799</v>
      </c>
      <c r="H2819" s="19" t="s">
        <v>1219</v>
      </c>
      <c r="I2819" s="19">
        <v>0</v>
      </c>
      <c r="J2819" s="19" t="s">
        <v>43</v>
      </c>
      <c r="K2819" s="19" t="s">
        <v>1159</v>
      </c>
      <c r="L2819" s="19">
        <v>2024</v>
      </c>
      <c r="M2819" s="20">
        <v>1</v>
      </c>
      <c r="N2819" s="19" t="s">
        <v>1798</v>
      </c>
      <c r="O2819" s="20">
        <v>7</v>
      </c>
      <c r="P2819" s="20">
        <v>7</v>
      </c>
      <c r="Q2819" s="20">
        <v>1518.4080737280003</v>
      </c>
      <c r="R2819" s="21">
        <v>0.92</v>
      </c>
      <c r="S2819" s="20">
        <v>1518.4080737280003</v>
      </c>
    </row>
    <row r="2820" spans="2:19" ht="15" customHeight="1" x14ac:dyDescent="0.25">
      <c r="B2820" s="2" t="str">
        <f t="shared" si="86"/>
        <v>PGL_Business_Small/Mid-Size Business_Partner Trade Ally Rebate_Pre-Rinse Sprayer_0_CI</v>
      </c>
      <c r="C2820" s="2" t="str">
        <f t="shared" si="87"/>
        <v>PGL_Business_Small/Mid-Size Business_Partner Trade Ally Rebate_Pre-Rinse Sprayer_0_CI_2025</v>
      </c>
      <c r="D2820" s="19" t="s">
        <v>1794</v>
      </c>
      <c r="E2820" s="19" t="s">
        <v>3</v>
      </c>
      <c r="F2820" s="19" t="s">
        <v>1432</v>
      </c>
      <c r="G2820" s="19" t="s">
        <v>1799</v>
      </c>
      <c r="H2820" s="19" t="s">
        <v>1219</v>
      </c>
      <c r="I2820" s="19">
        <v>0</v>
      </c>
      <c r="J2820" s="19" t="s">
        <v>43</v>
      </c>
      <c r="K2820" s="19" t="s">
        <v>1159</v>
      </c>
      <c r="L2820" s="19">
        <v>2025</v>
      </c>
      <c r="M2820" s="20">
        <v>1</v>
      </c>
      <c r="N2820" s="19" t="s">
        <v>1798</v>
      </c>
      <c r="O2820" s="20">
        <v>7</v>
      </c>
      <c r="P2820" s="20">
        <v>7</v>
      </c>
      <c r="Q2820" s="20">
        <v>1518.4080737280003</v>
      </c>
      <c r="R2820" s="21">
        <v>0.92</v>
      </c>
      <c r="S2820" s="20">
        <v>1518.4080737280003</v>
      </c>
    </row>
    <row r="2821" spans="2:19" ht="15" customHeight="1" x14ac:dyDescent="0.25">
      <c r="B2821" s="2" t="str">
        <f t="shared" si="86"/>
        <v>PGL_Business_Small/Mid-Size Business_Partner Trade Ally Rebate_Steam Boiler_&gt;=300MBH, &lt;1,500, &gt;=81% AFUE_CI</v>
      </c>
      <c r="C2821" s="2" t="str">
        <f t="shared" si="87"/>
        <v>PGL_Business_Small/Mid-Size Business_Partner Trade Ally Rebate_Steam Boiler_&gt;=300MBH, &lt;1,500, &gt;=81% AFUE_CI_2022</v>
      </c>
      <c r="D2821" s="19" t="s">
        <v>1794</v>
      </c>
      <c r="E2821" s="19" t="s">
        <v>3</v>
      </c>
      <c r="F2821" s="19" t="s">
        <v>1432</v>
      </c>
      <c r="G2821" s="19" t="s">
        <v>1799</v>
      </c>
      <c r="H2821" s="19" t="s">
        <v>938</v>
      </c>
      <c r="I2821" s="19" t="s">
        <v>1300</v>
      </c>
      <c r="J2821" s="19" t="s">
        <v>942</v>
      </c>
      <c r="K2821" s="19" t="s">
        <v>1159</v>
      </c>
      <c r="L2821" s="19">
        <v>2022</v>
      </c>
      <c r="M2821" s="20">
        <v>500</v>
      </c>
      <c r="N2821" s="19" t="s">
        <v>667</v>
      </c>
      <c r="O2821" s="20">
        <v>6</v>
      </c>
      <c r="P2821" s="20">
        <v>3000</v>
      </c>
      <c r="Q2821" s="20">
        <v>1998.3107692307642</v>
      </c>
      <c r="R2821" s="21">
        <v>0.92</v>
      </c>
      <c r="S2821" s="20">
        <v>1998.3107692307642</v>
      </c>
    </row>
    <row r="2822" spans="2:19" ht="15" customHeight="1" x14ac:dyDescent="0.25">
      <c r="B2822" s="2" t="str">
        <f t="shared" ref="B2822:B2885" si="88">D2822&amp;"_"&amp;E2822&amp;"_"&amp;F2822&amp;"_"&amp;G2822&amp;"_"&amp;H2822&amp;"_"&amp;I2822&amp;"_"&amp;K2822</f>
        <v>PGL_Business_Small/Mid-Size Business_Partner Trade Ally Rebate_Steam Boiler_&gt;=300MBH, &lt;1,500, &gt;=81% AFUE_CI</v>
      </c>
      <c r="C2822" s="2" t="str">
        <f t="shared" ref="C2822:C2885" si="89">D2822&amp;"_"&amp;E2822&amp;"_"&amp;F2822&amp;"_"&amp;G2822&amp;"_"&amp;H2822&amp;"_"&amp;I2822&amp;"_"&amp;K2822&amp;"_"&amp;L2822</f>
        <v>PGL_Business_Small/Mid-Size Business_Partner Trade Ally Rebate_Steam Boiler_&gt;=300MBH, &lt;1,500, &gt;=81% AFUE_CI_2023</v>
      </c>
      <c r="D2822" s="19" t="s">
        <v>1794</v>
      </c>
      <c r="E2822" s="19" t="s">
        <v>3</v>
      </c>
      <c r="F2822" s="19" t="s">
        <v>1432</v>
      </c>
      <c r="G2822" s="19" t="s">
        <v>1799</v>
      </c>
      <c r="H2822" s="19" t="s">
        <v>938</v>
      </c>
      <c r="I2822" s="19" t="s">
        <v>1300</v>
      </c>
      <c r="J2822" s="19" t="s">
        <v>942</v>
      </c>
      <c r="K2822" s="19" t="s">
        <v>1159</v>
      </c>
      <c r="L2822" s="19">
        <v>2023</v>
      </c>
      <c r="M2822" s="20">
        <v>500</v>
      </c>
      <c r="N2822" s="19" t="s">
        <v>667</v>
      </c>
      <c r="O2822" s="20">
        <v>6</v>
      </c>
      <c r="P2822" s="20">
        <v>3000</v>
      </c>
      <c r="Q2822" s="20">
        <v>1998.3107692307642</v>
      </c>
      <c r="R2822" s="21">
        <v>0.92</v>
      </c>
      <c r="S2822" s="20">
        <v>1998.3107692307642</v>
      </c>
    </row>
    <row r="2823" spans="2:19" ht="15" customHeight="1" x14ac:dyDescent="0.25">
      <c r="B2823" s="2" t="str">
        <f t="shared" si="88"/>
        <v>PGL_Business_Small/Mid-Size Business_Partner Trade Ally Rebate_Steam Boiler_&gt;=300MBH, &lt;1,500, &gt;=81% AFUE_CI</v>
      </c>
      <c r="C2823" s="2" t="str">
        <f t="shared" si="89"/>
        <v>PGL_Business_Small/Mid-Size Business_Partner Trade Ally Rebate_Steam Boiler_&gt;=300MBH, &lt;1,500, &gt;=81% AFUE_CI_2024</v>
      </c>
      <c r="D2823" s="19" t="s">
        <v>1794</v>
      </c>
      <c r="E2823" s="19" t="s">
        <v>3</v>
      </c>
      <c r="F2823" s="19" t="s">
        <v>1432</v>
      </c>
      <c r="G2823" s="19" t="s">
        <v>1799</v>
      </c>
      <c r="H2823" s="19" t="s">
        <v>938</v>
      </c>
      <c r="I2823" s="19" t="s">
        <v>1300</v>
      </c>
      <c r="J2823" s="19" t="s">
        <v>942</v>
      </c>
      <c r="K2823" s="19" t="s">
        <v>1159</v>
      </c>
      <c r="L2823" s="19">
        <v>2024</v>
      </c>
      <c r="M2823" s="20">
        <v>500</v>
      </c>
      <c r="N2823" s="19" t="s">
        <v>667</v>
      </c>
      <c r="O2823" s="20">
        <v>5</v>
      </c>
      <c r="P2823" s="20">
        <v>2500</v>
      </c>
      <c r="Q2823" s="20">
        <v>1665.2589743589701</v>
      </c>
      <c r="R2823" s="21">
        <v>0.92</v>
      </c>
      <c r="S2823" s="20">
        <v>1665.2589743589701</v>
      </c>
    </row>
    <row r="2824" spans="2:19" ht="15" customHeight="1" x14ac:dyDescent="0.25">
      <c r="B2824" s="2" t="str">
        <f t="shared" si="88"/>
        <v>PGL_Business_Small/Mid-Size Business_Partner Trade Ally Rebate_Steam Boiler_&gt;=300MBH, &lt;1,500, &gt;=81% AFUE_CI</v>
      </c>
      <c r="C2824" s="2" t="str">
        <f t="shared" si="89"/>
        <v>PGL_Business_Small/Mid-Size Business_Partner Trade Ally Rebate_Steam Boiler_&gt;=300MBH, &lt;1,500, &gt;=81% AFUE_CI_2025</v>
      </c>
      <c r="D2824" s="19" t="s">
        <v>1794</v>
      </c>
      <c r="E2824" s="19" t="s">
        <v>3</v>
      </c>
      <c r="F2824" s="19" t="s">
        <v>1432</v>
      </c>
      <c r="G2824" s="19" t="s">
        <v>1799</v>
      </c>
      <c r="H2824" s="19" t="s">
        <v>938</v>
      </c>
      <c r="I2824" s="19" t="s">
        <v>1300</v>
      </c>
      <c r="J2824" s="19" t="s">
        <v>942</v>
      </c>
      <c r="K2824" s="19" t="s">
        <v>1159</v>
      </c>
      <c r="L2824" s="19">
        <v>2025</v>
      </c>
      <c r="M2824" s="20">
        <v>500</v>
      </c>
      <c r="N2824" s="19" t="s">
        <v>667</v>
      </c>
      <c r="O2824" s="20">
        <v>5</v>
      </c>
      <c r="P2824" s="20">
        <v>2500</v>
      </c>
      <c r="Q2824" s="20">
        <v>1665.2589743589701</v>
      </c>
      <c r="R2824" s="21">
        <v>0.92</v>
      </c>
      <c r="S2824" s="20">
        <v>1665.2589743589701</v>
      </c>
    </row>
    <row r="2825" spans="2:19" ht="15" customHeight="1" x14ac:dyDescent="0.25">
      <c r="B2825" s="2" t="str">
        <f t="shared" si="88"/>
        <v>PGL_Business_Small/Mid-Size Business_Partner Trade Ally Rebate_Steam Traps_Dry Cleaner/Industrial - No Audit_MF/CI/SMB</v>
      </c>
      <c r="C2825" s="2" t="str">
        <f t="shared" si="89"/>
        <v>PGL_Business_Small/Mid-Size Business_Partner Trade Ally Rebate_Steam Traps_Dry Cleaner/Industrial - No Audit_MF/CI/SMB_2022</v>
      </c>
      <c r="D2825" s="19" t="s">
        <v>1794</v>
      </c>
      <c r="E2825" s="19" t="s">
        <v>3</v>
      </c>
      <c r="F2825" s="19" t="s">
        <v>1432</v>
      </c>
      <c r="G2825" s="19" t="s">
        <v>1799</v>
      </c>
      <c r="H2825" s="19" t="s">
        <v>644</v>
      </c>
      <c r="I2825" s="19" t="s">
        <v>1274</v>
      </c>
      <c r="J2825" s="19" t="s">
        <v>37</v>
      </c>
      <c r="K2825" s="19" t="s">
        <v>662</v>
      </c>
      <c r="L2825" s="19">
        <v>2022</v>
      </c>
      <c r="M2825" s="20">
        <v>1</v>
      </c>
      <c r="N2825" s="19" t="s">
        <v>1798</v>
      </c>
      <c r="O2825" s="20">
        <v>25</v>
      </c>
      <c r="P2825" s="20">
        <v>25</v>
      </c>
      <c r="Q2825" s="20">
        <v>4024.1628709819997</v>
      </c>
      <c r="R2825" s="21">
        <v>0.92</v>
      </c>
      <c r="S2825" s="20">
        <v>4024.1628709819997</v>
      </c>
    </row>
    <row r="2826" spans="2:19" ht="15" customHeight="1" x14ac:dyDescent="0.25">
      <c r="B2826" s="2" t="str">
        <f t="shared" si="88"/>
        <v>PGL_Business_Small/Mid-Size Business_Partner Trade Ally Rebate_Steam Traps_Dry Cleaner/Industrial - No Audit_MF/CI/SMB</v>
      </c>
      <c r="C2826" s="2" t="str">
        <f t="shared" si="89"/>
        <v>PGL_Business_Small/Mid-Size Business_Partner Trade Ally Rebate_Steam Traps_Dry Cleaner/Industrial - No Audit_MF/CI/SMB_2023</v>
      </c>
      <c r="D2826" s="19" t="s">
        <v>1794</v>
      </c>
      <c r="E2826" s="19" t="s">
        <v>3</v>
      </c>
      <c r="F2826" s="19" t="s">
        <v>1432</v>
      </c>
      <c r="G2826" s="19" t="s">
        <v>1799</v>
      </c>
      <c r="H2826" s="19" t="s">
        <v>644</v>
      </c>
      <c r="I2826" s="19" t="s">
        <v>1274</v>
      </c>
      <c r="J2826" s="19" t="s">
        <v>37</v>
      </c>
      <c r="K2826" s="19" t="s">
        <v>662</v>
      </c>
      <c r="L2826" s="19">
        <v>2023</v>
      </c>
      <c r="M2826" s="20">
        <v>1</v>
      </c>
      <c r="N2826" s="19" t="s">
        <v>1798</v>
      </c>
      <c r="O2826" s="20">
        <v>24</v>
      </c>
      <c r="P2826" s="20">
        <v>24</v>
      </c>
      <c r="Q2826" s="20">
        <v>3863.1963561427197</v>
      </c>
      <c r="R2826" s="21">
        <v>0.92</v>
      </c>
      <c r="S2826" s="20">
        <v>3863.1963561427197</v>
      </c>
    </row>
    <row r="2827" spans="2:19" ht="15" customHeight="1" x14ac:dyDescent="0.25">
      <c r="B2827" s="2" t="str">
        <f t="shared" si="88"/>
        <v>PGL_Business_Small/Mid-Size Business_Partner Trade Ally Rebate_Steam Traps_Dry Cleaner/Industrial - No Audit_MF/CI/SMB</v>
      </c>
      <c r="C2827" s="2" t="str">
        <f t="shared" si="89"/>
        <v>PGL_Business_Small/Mid-Size Business_Partner Trade Ally Rebate_Steam Traps_Dry Cleaner/Industrial - No Audit_MF/CI/SMB_2024</v>
      </c>
      <c r="D2827" s="19" t="s">
        <v>1794</v>
      </c>
      <c r="E2827" s="19" t="s">
        <v>3</v>
      </c>
      <c r="F2827" s="19" t="s">
        <v>1432</v>
      </c>
      <c r="G2827" s="19" t="s">
        <v>1799</v>
      </c>
      <c r="H2827" s="19" t="s">
        <v>644</v>
      </c>
      <c r="I2827" s="19" t="s">
        <v>1274</v>
      </c>
      <c r="J2827" s="19" t="s">
        <v>37</v>
      </c>
      <c r="K2827" s="19" t="s">
        <v>662</v>
      </c>
      <c r="L2827" s="19">
        <v>2024</v>
      </c>
      <c r="M2827" s="20">
        <v>1</v>
      </c>
      <c r="N2827" s="19" t="s">
        <v>1798</v>
      </c>
      <c r="O2827" s="20">
        <v>21</v>
      </c>
      <c r="P2827" s="20">
        <v>21</v>
      </c>
      <c r="Q2827" s="20">
        <v>3380.2968116248794</v>
      </c>
      <c r="R2827" s="21">
        <v>0.92</v>
      </c>
      <c r="S2827" s="20">
        <v>3380.2968116248794</v>
      </c>
    </row>
    <row r="2828" spans="2:19" ht="15" customHeight="1" x14ac:dyDescent="0.25">
      <c r="B2828" s="2" t="str">
        <f t="shared" si="88"/>
        <v>PGL_Business_Small/Mid-Size Business_Partner Trade Ally Rebate_Steam Traps_Dry Cleaner/Industrial - No Audit_MF/CI/SMB</v>
      </c>
      <c r="C2828" s="2" t="str">
        <f t="shared" si="89"/>
        <v>PGL_Business_Small/Mid-Size Business_Partner Trade Ally Rebate_Steam Traps_Dry Cleaner/Industrial - No Audit_MF/CI/SMB_2025</v>
      </c>
      <c r="D2828" s="19" t="s">
        <v>1794</v>
      </c>
      <c r="E2828" s="19" t="s">
        <v>3</v>
      </c>
      <c r="F2828" s="19" t="s">
        <v>1432</v>
      </c>
      <c r="G2828" s="19" t="s">
        <v>1799</v>
      </c>
      <c r="H2828" s="19" t="s">
        <v>644</v>
      </c>
      <c r="I2828" s="19" t="s">
        <v>1274</v>
      </c>
      <c r="J2828" s="19" t="s">
        <v>37</v>
      </c>
      <c r="K2828" s="19" t="s">
        <v>662</v>
      </c>
      <c r="L2828" s="19">
        <v>2025</v>
      </c>
      <c r="M2828" s="20">
        <v>1</v>
      </c>
      <c r="N2828" s="19" t="s">
        <v>1798</v>
      </c>
      <c r="O2828" s="20">
        <v>20</v>
      </c>
      <c r="P2828" s="20">
        <v>20</v>
      </c>
      <c r="Q2828" s="20">
        <v>3219.3302967855998</v>
      </c>
      <c r="R2828" s="21">
        <v>0.92</v>
      </c>
      <c r="S2828" s="20">
        <v>3219.3302967855998</v>
      </c>
    </row>
    <row r="2829" spans="2:19" ht="15" customHeight="1" x14ac:dyDescent="0.25">
      <c r="B2829" s="2" t="str">
        <f t="shared" si="88"/>
        <v>PGL_Business_Small/Mid-Size Business_Partner Trade Ally Rebate_Steam Traps_Dry Cleaner/Industrial - Audit_MF/CI/SMB</v>
      </c>
      <c r="C2829" s="2" t="str">
        <f t="shared" si="89"/>
        <v>PGL_Business_Small/Mid-Size Business_Partner Trade Ally Rebate_Steam Traps_Dry Cleaner/Industrial - Audit_MF/CI/SMB_2022</v>
      </c>
      <c r="D2829" s="19" t="s">
        <v>1794</v>
      </c>
      <c r="E2829" s="19" t="s">
        <v>3</v>
      </c>
      <c r="F2829" s="19" t="s">
        <v>1432</v>
      </c>
      <c r="G2829" s="19" t="s">
        <v>1799</v>
      </c>
      <c r="H2829" s="19" t="s">
        <v>644</v>
      </c>
      <c r="I2829" s="19" t="s">
        <v>1275</v>
      </c>
      <c r="J2829" s="19" t="s">
        <v>37</v>
      </c>
      <c r="K2829" s="19" t="s">
        <v>662</v>
      </c>
      <c r="L2829" s="19">
        <v>2022</v>
      </c>
      <c r="M2829" s="20">
        <v>1</v>
      </c>
      <c r="N2829" s="19" t="s">
        <v>1798</v>
      </c>
      <c r="O2829" s="20">
        <v>294</v>
      </c>
      <c r="P2829" s="20">
        <v>294</v>
      </c>
      <c r="Q2829" s="20">
        <v>175274.64949166041</v>
      </c>
      <c r="R2829" s="21">
        <v>0.92</v>
      </c>
      <c r="S2829" s="20">
        <v>175274.64949166041</v>
      </c>
    </row>
    <row r="2830" spans="2:19" ht="15" customHeight="1" x14ac:dyDescent="0.25">
      <c r="B2830" s="2" t="str">
        <f t="shared" si="88"/>
        <v>PGL_Business_Small/Mid-Size Business_Partner Trade Ally Rebate_Steam Traps_Dry Cleaner/Industrial - Audit_MF/CI/SMB</v>
      </c>
      <c r="C2830" s="2" t="str">
        <f t="shared" si="89"/>
        <v>PGL_Business_Small/Mid-Size Business_Partner Trade Ally Rebate_Steam Traps_Dry Cleaner/Industrial - Audit_MF/CI/SMB_2023</v>
      </c>
      <c r="D2830" s="19" t="s">
        <v>1794</v>
      </c>
      <c r="E2830" s="19" t="s">
        <v>3</v>
      </c>
      <c r="F2830" s="19" t="s">
        <v>1432</v>
      </c>
      <c r="G2830" s="19" t="s">
        <v>1799</v>
      </c>
      <c r="H2830" s="19" t="s">
        <v>644</v>
      </c>
      <c r="I2830" s="19" t="s">
        <v>1275</v>
      </c>
      <c r="J2830" s="19" t="s">
        <v>37</v>
      </c>
      <c r="K2830" s="19" t="s">
        <v>662</v>
      </c>
      <c r="L2830" s="19">
        <v>2023</v>
      </c>
      <c r="M2830" s="20">
        <v>1</v>
      </c>
      <c r="N2830" s="19" t="s">
        <v>1798</v>
      </c>
      <c r="O2830" s="20">
        <v>277</v>
      </c>
      <c r="P2830" s="20">
        <v>277</v>
      </c>
      <c r="Q2830" s="20">
        <v>165139.7207795576</v>
      </c>
      <c r="R2830" s="21">
        <v>0.92</v>
      </c>
      <c r="S2830" s="20">
        <v>165139.7207795576</v>
      </c>
    </row>
    <row r="2831" spans="2:19" ht="15" customHeight="1" x14ac:dyDescent="0.25">
      <c r="B2831" s="2" t="str">
        <f t="shared" si="88"/>
        <v>PGL_Business_Small/Mid-Size Business_Partner Trade Ally Rebate_Steam Traps_Dry Cleaner/Industrial - Audit_MF/CI/SMB</v>
      </c>
      <c r="C2831" s="2" t="str">
        <f t="shared" si="89"/>
        <v>PGL_Business_Small/Mid-Size Business_Partner Trade Ally Rebate_Steam Traps_Dry Cleaner/Industrial - Audit_MF/CI/SMB_2024</v>
      </c>
      <c r="D2831" s="19" t="s">
        <v>1794</v>
      </c>
      <c r="E2831" s="19" t="s">
        <v>3</v>
      </c>
      <c r="F2831" s="19" t="s">
        <v>1432</v>
      </c>
      <c r="G2831" s="19" t="s">
        <v>1799</v>
      </c>
      <c r="H2831" s="19" t="s">
        <v>644</v>
      </c>
      <c r="I2831" s="19" t="s">
        <v>1275</v>
      </c>
      <c r="J2831" s="19" t="s">
        <v>37</v>
      </c>
      <c r="K2831" s="19" t="s">
        <v>662</v>
      </c>
      <c r="L2831" s="19">
        <v>2024</v>
      </c>
      <c r="M2831" s="20">
        <v>1</v>
      </c>
      <c r="N2831" s="19" t="s">
        <v>1798</v>
      </c>
      <c r="O2831" s="20">
        <v>242</v>
      </c>
      <c r="P2831" s="20">
        <v>242</v>
      </c>
      <c r="Q2831" s="20">
        <v>144273.69107816945</v>
      </c>
      <c r="R2831" s="21">
        <v>0.92</v>
      </c>
      <c r="S2831" s="20">
        <v>144273.69107816945</v>
      </c>
    </row>
    <row r="2832" spans="2:19" ht="15" customHeight="1" x14ac:dyDescent="0.25">
      <c r="B2832" s="2" t="str">
        <f t="shared" si="88"/>
        <v>PGL_Business_Small/Mid-Size Business_Partner Trade Ally Rebate_Steam Traps_Dry Cleaner/Industrial - Audit_MF/CI/SMB</v>
      </c>
      <c r="C2832" s="2" t="str">
        <f t="shared" si="89"/>
        <v>PGL_Business_Small/Mid-Size Business_Partner Trade Ally Rebate_Steam Traps_Dry Cleaner/Industrial - Audit_MF/CI/SMB_2025</v>
      </c>
      <c r="D2832" s="19" t="s">
        <v>1794</v>
      </c>
      <c r="E2832" s="19" t="s">
        <v>3</v>
      </c>
      <c r="F2832" s="19" t="s">
        <v>1432</v>
      </c>
      <c r="G2832" s="19" t="s">
        <v>1799</v>
      </c>
      <c r="H2832" s="19" t="s">
        <v>644</v>
      </c>
      <c r="I2832" s="19" t="s">
        <v>1275</v>
      </c>
      <c r="J2832" s="19" t="s">
        <v>37</v>
      </c>
      <c r="K2832" s="19" t="s">
        <v>662</v>
      </c>
      <c r="L2832" s="19">
        <v>2025</v>
      </c>
      <c r="M2832" s="20">
        <v>1</v>
      </c>
      <c r="N2832" s="19" t="s">
        <v>1798</v>
      </c>
      <c r="O2832" s="20">
        <v>228</v>
      </c>
      <c r="P2832" s="20">
        <v>228</v>
      </c>
      <c r="Q2832" s="20">
        <v>135927.2791976142</v>
      </c>
      <c r="R2832" s="21">
        <v>0.92</v>
      </c>
      <c r="S2832" s="20">
        <v>135927.2791976142</v>
      </c>
    </row>
    <row r="2833" spans="2:19" ht="15" customHeight="1" x14ac:dyDescent="0.25">
      <c r="B2833" s="2" t="str">
        <f t="shared" si="88"/>
        <v>PGL_Business_Small/Mid-Size Business_Partner Trade Ally Rebate_Steam Traps_HVAC Repair/Rep - Audit_CI</v>
      </c>
      <c r="C2833" s="2" t="str">
        <f t="shared" si="89"/>
        <v>PGL_Business_Small/Mid-Size Business_Partner Trade Ally Rebate_Steam Traps_HVAC Repair/Rep - Audit_CI_2022</v>
      </c>
      <c r="D2833" s="19" t="s">
        <v>1794</v>
      </c>
      <c r="E2833" s="19" t="s">
        <v>3</v>
      </c>
      <c r="F2833" s="19" t="s">
        <v>1432</v>
      </c>
      <c r="G2833" s="19" t="s">
        <v>1799</v>
      </c>
      <c r="H2833" s="19" t="s">
        <v>644</v>
      </c>
      <c r="I2833" s="19" t="s">
        <v>645</v>
      </c>
      <c r="J2833" s="19" t="s">
        <v>37</v>
      </c>
      <c r="K2833" s="19" t="s">
        <v>1159</v>
      </c>
      <c r="L2833" s="19">
        <v>2022</v>
      </c>
      <c r="M2833" s="20">
        <v>1</v>
      </c>
      <c r="N2833" s="19" t="s">
        <v>1798</v>
      </c>
      <c r="O2833" s="20">
        <v>504</v>
      </c>
      <c r="P2833" s="20">
        <v>504</v>
      </c>
      <c r="Q2833" s="20">
        <v>177945.23601882023</v>
      </c>
      <c r="R2833" s="21">
        <v>0.92</v>
      </c>
      <c r="S2833" s="20">
        <v>177945.23601882023</v>
      </c>
    </row>
    <row r="2834" spans="2:19" ht="15" customHeight="1" x14ac:dyDescent="0.25">
      <c r="B2834" s="2" t="str">
        <f t="shared" si="88"/>
        <v>PGL_Business_Small/Mid-Size Business_Partner Trade Ally Rebate_Steam Traps_HVAC Repair/Rep - Audit_CI</v>
      </c>
      <c r="C2834" s="2" t="str">
        <f t="shared" si="89"/>
        <v>PGL_Business_Small/Mid-Size Business_Partner Trade Ally Rebate_Steam Traps_HVAC Repair/Rep - Audit_CI_2023</v>
      </c>
      <c r="D2834" s="19" t="s">
        <v>1794</v>
      </c>
      <c r="E2834" s="19" t="s">
        <v>3</v>
      </c>
      <c r="F2834" s="19" t="s">
        <v>1432</v>
      </c>
      <c r="G2834" s="19" t="s">
        <v>1799</v>
      </c>
      <c r="H2834" s="19" t="s">
        <v>644</v>
      </c>
      <c r="I2834" s="19" t="s">
        <v>645</v>
      </c>
      <c r="J2834" s="19" t="s">
        <v>37</v>
      </c>
      <c r="K2834" s="19" t="s">
        <v>1159</v>
      </c>
      <c r="L2834" s="19">
        <v>2023</v>
      </c>
      <c r="M2834" s="20">
        <v>1</v>
      </c>
      <c r="N2834" s="19" t="s">
        <v>1798</v>
      </c>
      <c r="O2834" s="20">
        <v>474</v>
      </c>
      <c r="P2834" s="20">
        <v>474</v>
      </c>
      <c r="Q2834" s="20">
        <v>167353.25768436663</v>
      </c>
      <c r="R2834" s="21">
        <v>0.92</v>
      </c>
      <c r="S2834" s="20">
        <v>167353.25768436663</v>
      </c>
    </row>
    <row r="2835" spans="2:19" ht="15" customHeight="1" x14ac:dyDescent="0.25">
      <c r="B2835" s="2" t="str">
        <f t="shared" si="88"/>
        <v>PGL_Business_Small/Mid-Size Business_Partner Trade Ally Rebate_Steam Traps_HVAC Repair/Rep - Audit_CI</v>
      </c>
      <c r="C2835" s="2" t="str">
        <f t="shared" si="89"/>
        <v>PGL_Business_Small/Mid-Size Business_Partner Trade Ally Rebate_Steam Traps_HVAC Repair/Rep - Audit_CI_2024</v>
      </c>
      <c r="D2835" s="19" t="s">
        <v>1794</v>
      </c>
      <c r="E2835" s="19" t="s">
        <v>3</v>
      </c>
      <c r="F2835" s="19" t="s">
        <v>1432</v>
      </c>
      <c r="G2835" s="19" t="s">
        <v>1799</v>
      </c>
      <c r="H2835" s="19" t="s">
        <v>644</v>
      </c>
      <c r="I2835" s="19" t="s">
        <v>645</v>
      </c>
      <c r="J2835" s="19" t="s">
        <v>37</v>
      </c>
      <c r="K2835" s="19" t="s">
        <v>1159</v>
      </c>
      <c r="L2835" s="19">
        <v>2024</v>
      </c>
      <c r="M2835" s="20">
        <v>1</v>
      </c>
      <c r="N2835" s="19" t="s">
        <v>1798</v>
      </c>
      <c r="O2835" s="20">
        <v>414</v>
      </c>
      <c r="P2835" s="20">
        <v>414</v>
      </c>
      <c r="Q2835" s="20">
        <v>146169.3010154595</v>
      </c>
      <c r="R2835" s="21">
        <v>0.92</v>
      </c>
      <c r="S2835" s="20">
        <v>146169.3010154595</v>
      </c>
    </row>
    <row r="2836" spans="2:19" ht="15" customHeight="1" x14ac:dyDescent="0.25">
      <c r="B2836" s="2" t="str">
        <f t="shared" si="88"/>
        <v>PGL_Business_Small/Mid-Size Business_Partner Trade Ally Rebate_Steam Traps_HVAC Repair/Rep - Audit_CI</v>
      </c>
      <c r="C2836" s="2" t="str">
        <f t="shared" si="89"/>
        <v>PGL_Business_Small/Mid-Size Business_Partner Trade Ally Rebate_Steam Traps_HVAC Repair/Rep - Audit_CI_2025</v>
      </c>
      <c r="D2836" s="19" t="s">
        <v>1794</v>
      </c>
      <c r="E2836" s="19" t="s">
        <v>3</v>
      </c>
      <c r="F2836" s="19" t="s">
        <v>1432</v>
      </c>
      <c r="G2836" s="19" t="s">
        <v>1799</v>
      </c>
      <c r="H2836" s="19" t="s">
        <v>644</v>
      </c>
      <c r="I2836" s="19" t="s">
        <v>645</v>
      </c>
      <c r="J2836" s="19" t="s">
        <v>37</v>
      </c>
      <c r="K2836" s="19" t="s">
        <v>1159</v>
      </c>
      <c r="L2836" s="19">
        <v>2025</v>
      </c>
      <c r="M2836" s="20">
        <v>1</v>
      </c>
      <c r="N2836" s="19" t="s">
        <v>1798</v>
      </c>
      <c r="O2836" s="20">
        <v>390</v>
      </c>
      <c r="P2836" s="20">
        <v>390</v>
      </c>
      <c r="Q2836" s="20">
        <v>137695.71834789662</v>
      </c>
      <c r="R2836" s="21">
        <v>0.92</v>
      </c>
      <c r="S2836" s="20">
        <v>137695.71834789662</v>
      </c>
    </row>
    <row r="2837" spans="2:19" ht="15" customHeight="1" x14ac:dyDescent="0.25">
      <c r="B2837" s="2" t="str">
        <f t="shared" si="88"/>
        <v>PGL_Business_Small/Mid-Size Business_Partner Trade Ally Rebate_Steam Traps_HVAC Repair/Rep - No Audit_CI</v>
      </c>
      <c r="C2837" s="2" t="str">
        <f t="shared" si="89"/>
        <v>PGL_Business_Small/Mid-Size Business_Partner Trade Ally Rebate_Steam Traps_HVAC Repair/Rep - No Audit_CI_2022</v>
      </c>
      <c r="D2837" s="19" t="s">
        <v>1794</v>
      </c>
      <c r="E2837" s="19" t="s">
        <v>3</v>
      </c>
      <c r="F2837" s="19" t="s">
        <v>1432</v>
      </c>
      <c r="G2837" s="19" t="s">
        <v>1799</v>
      </c>
      <c r="H2837" s="19" t="s">
        <v>644</v>
      </c>
      <c r="I2837" s="19" t="s">
        <v>660</v>
      </c>
      <c r="J2837" s="19" t="s">
        <v>37</v>
      </c>
      <c r="K2837" s="19" t="s">
        <v>1159</v>
      </c>
      <c r="L2837" s="19">
        <v>2022</v>
      </c>
      <c r="M2837" s="20">
        <v>1</v>
      </c>
      <c r="N2837" s="19" t="s">
        <v>1798</v>
      </c>
      <c r="O2837" s="20">
        <v>25</v>
      </c>
      <c r="P2837" s="20">
        <v>25</v>
      </c>
      <c r="Q2837" s="20">
        <v>2383.1951252520571</v>
      </c>
      <c r="R2837" s="21">
        <v>0.92</v>
      </c>
      <c r="S2837" s="20">
        <v>2383.1951252520571</v>
      </c>
    </row>
    <row r="2838" spans="2:19" ht="15" customHeight="1" x14ac:dyDescent="0.25">
      <c r="B2838" s="2" t="str">
        <f t="shared" si="88"/>
        <v>PGL_Business_Small/Mid-Size Business_Partner Trade Ally Rebate_Steam Traps_HVAC Repair/Rep - No Audit_CI</v>
      </c>
      <c r="C2838" s="2" t="str">
        <f t="shared" si="89"/>
        <v>PGL_Business_Small/Mid-Size Business_Partner Trade Ally Rebate_Steam Traps_HVAC Repair/Rep - No Audit_CI_2023</v>
      </c>
      <c r="D2838" s="19" t="s">
        <v>1794</v>
      </c>
      <c r="E2838" s="19" t="s">
        <v>3</v>
      </c>
      <c r="F2838" s="19" t="s">
        <v>1432</v>
      </c>
      <c r="G2838" s="19" t="s">
        <v>1799</v>
      </c>
      <c r="H2838" s="19" t="s">
        <v>644</v>
      </c>
      <c r="I2838" s="19" t="s">
        <v>660</v>
      </c>
      <c r="J2838" s="19" t="s">
        <v>37</v>
      </c>
      <c r="K2838" s="19" t="s">
        <v>1159</v>
      </c>
      <c r="L2838" s="19">
        <v>2023</v>
      </c>
      <c r="M2838" s="20">
        <v>1</v>
      </c>
      <c r="N2838" s="19" t="s">
        <v>1798</v>
      </c>
      <c r="O2838" s="20">
        <v>24</v>
      </c>
      <c r="P2838" s="20">
        <v>24</v>
      </c>
      <c r="Q2838" s="20">
        <v>2287.867320241975</v>
      </c>
      <c r="R2838" s="21">
        <v>0.92</v>
      </c>
      <c r="S2838" s="20">
        <v>2287.867320241975</v>
      </c>
    </row>
    <row r="2839" spans="2:19" ht="15" customHeight="1" x14ac:dyDescent="0.25">
      <c r="B2839" s="2" t="str">
        <f t="shared" si="88"/>
        <v>PGL_Business_Small/Mid-Size Business_Partner Trade Ally Rebate_Steam Traps_HVAC Repair/Rep - No Audit_CI</v>
      </c>
      <c r="C2839" s="2" t="str">
        <f t="shared" si="89"/>
        <v>PGL_Business_Small/Mid-Size Business_Partner Trade Ally Rebate_Steam Traps_HVAC Repair/Rep - No Audit_CI_2024</v>
      </c>
      <c r="D2839" s="19" t="s">
        <v>1794</v>
      </c>
      <c r="E2839" s="19" t="s">
        <v>3</v>
      </c>
      <c r="F2839" s="19" t="s">
        <v>1432</v>
      </c>
      <c r="G2839" s="19" t="s">
        <v>1799</v>
      </c>
      <c r="H2839" s="19" t="s">
        <v>644</v>
      </c>
      <c r="I2839" s="19" t="s">
        <v>660</v>
      </c>
      <c r="J2839" s="19" t="s">
        <v>37</v>
      </c>
      <c r="K2839" s="19" t="s">
        <v>1159</v>
      </c>
      <c r="L2839" s="19">
        <v>2024</v>
      </c>
      <c r="M2839" s="20">
        <v>1</v>
      </c>
      <c r="N2839" s="19" t="s">
        <v>1798</v>
      </c>
      <c r="O2839" s="20">
        <v>21</v>
      </c>
      <c r="P2839" s="20">
        <v>21</v>
      </c>
      <c r="Q2839" s="20">
        <v>2001.8839052117278</v>
      </c>
      <c r="R2839" s="21">
        <v>0.92</v>
      </c>
      <c r="S2839" s="20">
        <v>2001.8839052117278</v>
      </c>
    </row>
    <row r="2840" spans="2:19" ht="15" customHeight="1" x14ac:dyDescent="0.25">
      <c r="B2840" s="2" t="str">
        <f t="shared" si="88"/>
        <v>PGL_Business_Small/Mid-Size Business_Partner Trade Ally Rebate_Steam Traps_HVAC Repair/Rep - No Audit_CI</v>
      </c>
      <c r="C2840" s="2" t="str">
        <f t="shared" si="89"/>
        <v>PGL_Business_Small/Mid-Size Business_Partner Trade Ally Rebate_Steam Traps_HVAC Repair/Rep - No Audit_CI_2025</v>
      </c>
      <c r="D2840" s="19" t="s">
        <v>1794</v>
      </c>
      <c r="E2840" s="19" t="s">
        <v>3</v>
      </c>
      <c r="F2840" s="19" t="s">
        <v>1432</v>
      </c>
      <c r="G2840" s="19" t="s">
        <v>1799</v>
      </c>
      <c r="H2840" s="19" t="s">
        <v>644</v>
      </c>
      <c r="I2840" s="19" t="s">
        <v>660</v>
      </c>
      <c r="J2840" s="19" t="s">
        <v>37</v>
      </c>
      <c r="K2840" s="19" t="s">
        <v>1159</v>
      </c>
      <c r="L2840" s="19">
        <v>2025</v>
      </c>
      <c r="M2840" s="20">
        <v>1</v>
      </c>
      <c r="N2840" s="19" t="s">
        <v>1798</v>
      </c>
      <c r="O2840" s="20">
        <v>20</v>
      </c>
      <c r="P2840" s="20">
        <v>20</v>
      </c>
      <c r="Q2840" s="20">
        <v>1906.5561002016454</v>
      </c>
      <c r="R2840" s="21">
        <v>0.92</v>
      </c>
      <c r="S2840" s="20">
        <v>1906.5561002016454</v>
      </c>
    </row>
    <row r="2841" spans="2:19" ht="15" customHeight="1" x14ac:dyDescent="0.25">
      <c r="B2841" s="2" t="str">
        <f t="shared" si="88"/>
        <v>PGL_Business_Small/Mid-Size Business_Partner Trade Ally Rebate_Steam Traps_Industrial/Process Audit - psig ≤ 15_CI/SMB</v>
      </c>
      <c r="C2841" s="2" t="str">
        <f t="shared" si="89"/>
        <v>PGL_Business_Small/Mid-Size Business_Partner Trade Ally Rebate_Steam Traps_Industrial/Process Audit - psig ≤ 15_CI/SMB_2022</v>
      </c>
      <c r="D2841" s="19" t="s">
        <v>1794</v>
      </c>
      <c r="E2841" s="19" t="s">
        <v>3</v>
      </c>
      <c r="F2841" s="19" t="s">
        <v>1432</v>
      </c>
      <c r="G2841" s="19" t="s">
        <v>1799</v>
      </c>
      <c r="H2841" s="19" t="s">
        <v>644</v>
      </c>
      <c r="I2841" s="19" t="s">
        <v>1383</v>
      </c>
      <c r="J2841" s="19" t="s">
        <v>37</v>
      </c>
      <c r="K2841" s="19" t="s">
        <v>970</v>
      </c>
      <c r="L2841" s="19">
        <v>2022</v>
      </c>
      <c r="M2841" s="20">
        <v>1</v>
      </c>
      <c r="N2841" s="19" t="s">
        <v>1798</v>
      </c>
      <c r="O2841" s="20">
        <v>17</v>
      </c>
      <c r="P2841" s="20">
        <v>17</v>
      </c>
      <c r="Q2841" s="20">
        <v>12337.941570456342</v>
      </c>
      <c r="R2841" s="21">
        <v>0.92</v>
      </c>
      <c r="S2841" s="20">
        <v>12337.941570456342</v>
      </c>
    </row>
    <row r="2842" spans="2:19" ht="15" customHeight="1" x14ac:dyDescent="0.25">
      <c r="B2842" s="2" t="str">
        <f t="shared" si="88"/>
        <v>PGL_Business_Small/Mid-Size Business_Partner Trade Ally Rebate_Steam Traps_Industrial/Process Audit - psig ≤ 15_CI/SMB</v>
      </c>
      <c r="C2842" s="2" t="str">
        <f t="shared" si="89"/>
        <v>PGL_Business_Small/Mid-Size Business_Partner Trade Ally Rebate_Steam Traps_Industrial/Process Audit - psig ≤ 15_CI/SMB_2023</v>
      </c>
      <c r="D2842" s="19" t="s">
        <v>1794</v>
      </c>
      <c r="E2842" s="19" t="s">
        <v>3</v>
      </c>
      <c r="F2842" s="19" t="s">
        <v>1432</v>
      </c>
      <c r="G2842" s="19" t="s">
        <v>1799</v>
      </c>
      <c r="H2842" s="19" t="s">
        <v>644</v>
      </c>
      <c r="I2842" s="19" t="s">
        <v>1383</v>
      </c>
      <c r="J2842" s="19" t="s">
        <v>37</v>
      </c>
      <c r="K2842" s="19" t="s">
        <v>970</v>
      </c>
      <c r="L2842" s="19">
        <v>2023</v>
      </c>
      <c r="M2842" s="20">
        <v>1</v>
      </c>
      <c r="N2842" s="19" t="s">
        <v>1798</v>
      </c>
      <c r="O2842" s="20">
        <v>16</v>
      </c>
      <c r="P2842" s="20">
        <v>16</v>
      </c>
      <c r="Q2842" s="20">
        <v>11612.180301605969</v>
      </c>
      <c r="R2842" s="21">
        <v>0.92</v>
      </c>
      <c r="S2842" s="20">
        <v>11612.180301605969</v>
      </c>
    </row>
    <row r="2843" spans="2:19" ht="15" customHeight="1" x14ac:dyDescent="0.25">
      <c r="B2843" s="2" t="str">
        <f t="shared" si="88"/>
        <v>PGL_Business_Small/Mid-Size Business_Partner Trade Ally Rebate_Steam Traps_Industrial/Process Audit - psig ≤ 15_CI/SMB</v>
      </c>
      <c r="C2843" s="2" t="str">
        <f t="shared" si="89"/>
        <v>PGL_Business_Small/Mid-Size Business_Partner Trade Ally Rebate_Steam Traps_Industrial/Process Audit - psig ≤ 15_CI/SMB_2024</v>
      </c>
      <c r="D2843" s="19" t="s">
        <v>1794</v>
      </c>
      <c r="E2843" s="19" t="s">
        <v>3</v>
      </c>
      <c r="F2843" s="19" t="s">
        <v>1432</v>
      </c>
      <c r="G2843" s="19" t="s">
        <v>1799</v>
      </c>
      <c r="H2843" s="19" t="s">
        <v>644</v>
      </c>
      <c r="I2843" s="19" t="s">
        <v>1383</v>
      </c>
      <c r="J2843" s="19" t="s">
        <v>37</v>
      </c>
      <c r="K2843" s="19" t="s">
        <v>970</v>
      </c>
      <c r="L2843" s="19">
        <v>2024</v>
      </c>
      <c r="M2843" s="20">
        <v>1</v>
      </c>
      <c r="N2843" s="19" t="s">
        <v>1798</v>
      </c>
      <c r="O2843" s="20">
        <v>14</v>
      </c>
      <c r="P2843" s="20">
        <v>14</v>
      </c>
      <c r="Q2843" s="20">
        <v>10160.657763905225</v>
      </c>
      <c r="R2843" s="21">
        <v>0.92</v>
      </c>
      <c r="S2843" s="20">
        <v>10160.657763905225</v>
      </c>
    </row>
    <row r="2844" spans="2:19" ht="15" customHeight="1" x14ac:dyDescent="0.25">
      <c r="B2844" s="2" t="str">
        <f t="shared" si="88"/>
        <v>PGL_Business_Small/Mid-Size Business_Partner Trade Ally Rebate_Steam Traps_Industrial/Process Audit - psig ≤ 15_CI/SMB</v>
      </c>
      <c r="C2844" s="2" t="str">
        <f t="shared" si="89"/>
        <v>PGL_Business_Small/Mid-Size Business_Partner Trade Ally Rebate_Steam Traps_Industrial/Process Audit - psig ≤ 15_CI/SMB_2025</v>
      </c>
      <c r="D2844" s="19" t="s">
        <v>1794</v>
      </c>
      <c r="E2844" s="19" t="s">
        <v>3</v>
      </c>
      <c r="F2844" s="19" t="s">
        <v>1432</v>
      </c>
      <c r="G2844" s="19" t="s">
        <v>1799</v>
      </c>
      <c r="H2844" s="19" t="s">
        <v>644</v>
      </c>
      <c r="I2844" s="19" t="s">
        <v>1383</v>
      </c>
      <c r="J2844" s="19" t="s">
        <v>37</v>
      </c>
      <c r="K2844" s="19" t="s">
        <v>970</v>
      </c>
      <c r="L2844" s="19">
        <v>2025</v>
      </c>
      <c r="M2844" s="20">
        <v>1</v>
      </c>
      <c r="N2844" s="19" t="s">
        <v>1798</v>
      </c>
      <c r="O2844" s="20">
        <v>13</v>
      </c>
      <c r="P2844" s="20">
        <v>13</v>
      </c>
      <c r="Q2844" s="20">
        <v>9434.8964950548507</v>
      </c>
      <c r="R2844" s="21">
        <v>0.92</v>
      </c>
      <c r="S2844" s="20">
        <v>9434.8964950548507</v>
      </c>
    </row>
    <row r="2845" spans="2:19" ht="15" customHeight="1" x14ac:dyDescent="0.25">
      <c r="B2845" s="2" t="str">
        <f t="shared" si="88"/>
        <v>PGL_Business_Small/Mid-Size Business_Partner Trade Ally Rebate_Steam Traps_Industrial/Process Audit - 15 &lt; psig &lt; 30_CI/SMB</v>
      </c>
      <c r="C2845" s="2" t="str">
        <f t="shared" si="89"/>
        <v>PGL_Business_Small/Mid-Size Business_Partner Trade Ally Rebate_Steam Traps_Industrial/Process Audit - 15 &lt; psig &lt; 30_CI/SMB_2022</v>
      </c>
      <c r="D2845" s="19" t="s">
        <v>1794</v>
      </c>
      <c r="E2845" s="19" t="s">
        <v>3</v>
      </c>
      <c r="F2845" s="19" t="s">
        <v>1432</v>
      </c>
      <c r="G2845" s="19" t="s">
        <v>1799</v>
      </c>
      <c r="H2845" s="19" t="s">
        <v>644</v>
      </c>
      <c r="I2845" s="19" t="s">
        <v>1384</v>
      </c>
      <c r="J2845" s="19" t="s">
        <v>37</v>
      </c>
      <c r="K2845" s="19" t="s">
        <v>970</v>
      </c>
      <c r="L2845" s="19">
        <v>2022</v>
      </c>
      <c r="M2845" s="20">
        <v>1</v>
      </c>
      <c r="N2845" s="19" t="s">
        <v>1798</v>
      </c>
      <c r="O2845" s="20">
        <v>4</v>
      </c>
      <c r="P2845" s="20">
        <v>4</v>
      </c>
      <c r="Q2845" s="20">
        <v>2790.0671902589961</v>
      </c>
      <c r="R2845" s="21">
        <v>0.92</v>
      </c>
      <c r="S2845" s="20">
        <v>2790.0671902589961</v>
      </c>
    </row>
    <row r="2846" spans="2:19" ht="15" customHeight="1" x14ac:dyDescent="0.25">
      <c r="B2846" s="2" t="str">
        <f t="shared" si="88"/>
        <v>PGL_Business_Small/Mid-Size Business_Partner Trade Ally Rebate_Steam Traps_Industrial/Process Audit - 15 &lt; psig &lt; 30_CI/SMB</v>
      </c>
      <c r="C2846" s="2" t="str">
        <f t="shared" si="89"/>
        <v>PGL_Business_Small/Mid-Size Business_Partner Trade Ally Rebate_Steam Traps_Industrial/Process Audit - 15 &lt; psig &lt; 30_CI/SMB_2023</v>
      </c>
      <c r="D2846" s="19" t="s">
        <v>1794</v>
      </c>
      <c r="E2846" s="19" t="s">
        <v>3</v>
      </c>
      <c r="F2846" s="19" t="s">
        <v>1432</v>
      </c>
      <c r="G2846" s="19" t="s">
        <v>1799</v>
      </c>
      <c r="H2846" s="19" t="s">
        <v>644</v>
      </c>
      <c r="I2846" s="19" t="s">
        <v>1384</v>
      </c>
      <c r="J2846" s="19" t="s">
        <v>37</v>
      </c>
      <c r="K2846" s="19" t="s">
        <v>970</v>
      </c>
      <c r="L2846" s="19">
        <v>2023</v>
      </c>
      <c r="M2846" s="20">
        <v>1</v>
      </c>
      <c r="N2846" s="19" t="s">
        <v>1798</v>
      </c>
      <c r="O2846" s="20">
        <v>4</v>
      </c>
      <c r="P2846" s="20">
        <v>4</v>
      </c>
      <c r="Q2846" s="20">
        <v>2790.0671902589961</v>
      </c>
      <c r="R2846" s="21">
        <v>0.92</v>
      </c>
      <c r="S2846" s="20">
        <v>2790.0671902589961</v>
      </c>
    </row>
    <row r="2847" spans="2:19" ht="15" customHeight="1" x14ac:dyDescent="0.25">
      <c r="B2847" s="2" t="str">
        <f t="shared" si="88"/>
        <v>PGL_Business_Small/Mid-Size Business_Partner Trade Ally Rebate_Steam Traps_Industrial/Process Audit - 15 &lt; psig &lt; 30_CI/SMB</v>
      </c>
      <c r="C2847" s="2" t="str">
        <f t="shared" si="89"/>
        <v>PGL_Business_Small/Mid-Size Business_Partner Trade Ally Rebate_Steam Traps_Industrial/Process Audit - 15 &lt; psig &lt; 30_CI/SMB_2024</v>
      </c>
      <c r="D2847" s="19" t="s">
        <v>1794</v>
      </c>
      <c r="E2847" s="19" t="s">
        <v>3</v>
      </c>
      <c r="F2847" s="19" t="s">
        <v>1432</v>
      </c>
      <c r="G2847" s="19" t="s">
        <v>1799</v>
      </c>
      <c r="H2847" s="19" t="s">
        <v>644</v>
      </c>
      <c r="I2847" s="19" t="s">
        <v>1384</v>
      </c>
      <c r="J2847" s="19" t="s">
        <v>37</v>
      </c>
      <c r="K2847" s="19" t="s">
        <v>970</v>
      </c>
      <c r="L2847" s="19">
        <v>2024</v>
      </c>
      <c r="M2847" s="20">
        <v>1</v>
      </c>
      <c r="N2847" s="19" t="s">
        <v>1798</v>
      </c>
      <c r="O2847" s="20">
        <v>3</v>
      </c>
      <c r="P2847" s="20">
        <v>3</v>
      </c>
      <c r="Q2847" s="20">
        <v>2092.550392694247</v>
      </c>
      <c r="R2847" s="21">
        <v>0.92</v>
      </c>
      <c r="S2847" s="20">
        <v>2092.550392694247</v>
      </c>
    </row>
    <row r="2848" spans="2:19" ht="15" customHeight="1" x14ac:dyDescent="0.25">
      <c r="B2848" s="2" t="str">
        <f t="shared" si="88"/>
        <v>PGL_Business_Small/Mid-Size Business_Partner Trade Ally Rebate_Steam Traps_Industrial/Process Audit - 15 &lt; psig &lt; 30_CI/SMB</v>
      </c>
      <c r="C2848" s="2" t="str">
        <f t="shared" si="89"/>
        <v>PGL_Business_Small/Mid-Size Business_Partner Trade Ally Rebate_Steam Traps_Industrial/Process Audit - 15 &lt; psig &lt; 30_CI/SMB_2025</v>
      </c>
      <c r="D2848" s="19" t="s">
        <v>1794</v>
      </c>
      <c r="E2848" s="19" t="s">
        <v>3</v>
      </c>
      <c r="F2848" s="19" t="s">
        <v>1432</v>
      </c>
      <c r="G2848" s="19" t="s">
        <v>1799</v>
      </c>
      <c r="H2848" s="19" t="s">
        <v>644</v>
      </c>
      <c r="I2848" s="19" t="s">
        <v>1384</v>
      </c>
      <c r="J2848" s="19" t="s">
        <v>37</v>
      </c>
      <c r="K2848" s="19" t="s">
        <v>970</v>
      </c>
      <c r="L2848" s="19">
        <v>2025</v>
      </c>
      <c r="M2848" s="20">
        <v>1</v>
      </c>
      <c r="N2848" s="19" t="s">
        <v>1798</v>
      </c>
      <c r="O2848" s="20">
        <v>3</v>
      </c>
      <c r="P2848" s="20">
        <v>3</v>
      </c>
      <c r="Q2848" s="20">
        <v>2092.550392694247</v>
      </c>
      <c r="R2848" s="21">
        <v>0.92</v>
      </c>
      <c r="S2848" s="20">
        <v>2092.550392694247</v>
      </c>
    </row>
    <row r="2849" spans="2:19" ht="15" customHeight="1" x14ac:dyDescent="0.25">
      <c r="B2849" s="2" t="str">
        <f t="shared" si="88"/>
        <v>PGL_Business_Small/Mid-Size Business_Partner Trade Ally Rebate_Steam Traps_Industrial/Process Audit - 30 ≤ psig &lt; 75_CI/SMB</v>
      </c>
      <c r="C2849" s="2" t="str">
        <f t="shared" si="89"/>
        <v>PGL_Business_Small/Mid-Size Business_Partner Trade Ally Rebate_Steam Traps_Industrial/Process Audit - 30 ≤ psig &lt; 75_CI/SMB_2022</v>
      </c>
      <c r="D2849" s="19" t="s">
        <v>1794</v>
      </c>
      <c r="E2849" s="19" t="s">
        <v>3</v>
      </c>
      <c r="F2849" s="19" t="s">
        <v>1432</v>
      </c>
      <c r="G2849" s="19" t="s">
        <v>1799</v>
      </c>
      <c r="H2849" s="19" t="s">
        <v>644</v>
      </c>
      <c r="I2849" s="19" t="s">
        <v>1385</v>
      </c>
      <c r="J2849" s="19" t="s">
        <v>37</v>
      </c>
      <c r="K2849" s="19" t="s">
        <v>970</v>
      </c>
      <c r="L2849" s="19">
        <v>2022</v>
      </c>
      <c r="M2849" s="20">
        <v>1</v>
      </c>
      <c r="N2849" s="19" t="s">
        <v>1798</v>
      </c>
      <c r="O2849" s="20">
        <v>4</v>
      </c>
      <c r="P2849" s="20">
        <v>4</v>
      </c>
      <c r="Q2849" s="20">
        <v>10221.802357353457</v>
      </c>
      <c r="R2849" s="21">
        <v>0.92</v>
      </c>
      <c r="S2849" s="20">
        <v>10221.802357353457</v>
      </c>
    </row>
    <row r="2850" spans="2:19" ht="15" customHeight="1" x14ac:dyDescent="0.25">
      <c r="B2850" s="2" t="str">
        <f t="shared" si="88"/>
        <v>PGL_Business_Small/Mid-Size Business_Partner Trade Ally Rebate_Steam Traps_Industrial/Process Audit - 30 ≤ psig &lt; 75_CI/SMB</v>
      </c>
      <c r="C2850" s="2" t="str">
        <f t="shared" si="89"/>
        <v>PGL_Business_Small/Mid-Size Business_Partner Trade Ally Rebate_Steam Traps_Industrial/Process Audit - 30 ≤ psig &lt; 75_CI/SMB_2023</v>
      </c>
      <c r="D2850" s="19" t="s">
        <v>1794</v>
      </c>
      <c r="E2850" s="19" t="s">
        <v>3</v>
      </c>
      <c r="F2850" s="19" t="s">
        <v>1432</v>
      </c>
      <c r="G2850" s="19" t="s">
        <v>1799</v>
      </c>
      <c r="H2850" s="19" t="s">
        <v>644</v>
      </c>
      <c r="I2850" s="19" t="s">
        <v>1385</v>
      </c>
      <c r="J2850" s="19" t="s">
        <v>37</v>
      </c>
      <c r="K2850" s="19" t="s">
        <v>970</v>
      </c>
      <c r="L2850" s="19">
        <v>2023</v>
      </c>
      <c r="M2850" s="20">
        <v>1</v>
      </c>
      <c r="N2850" s="19" t="s">
        <v>1798</v>
      </c>
      <c r="O2850" s="20">
        <v>4</v>
      </c>
      <c r="P2850" s="20">
        <v>4</v>
      </c>
      <c r="Q2850" s="20">
        <v>10221.802357353457</v>
      </c>
      <c r="R2850" s="21">
        <v>0.92</v>
      </c>
      <c r="S2850" s="20">
        <v>10221.802357353457</v>
      </c>
    </row>
    <row r="2851" spans="2:19" ht="15" customHeight="1" x14ac:dyDescent="0.25">
      <c r="B2851" s="2" t="str">
        <f t="shared" si="88"/>
        <v>PGL_Business_Small/Mid-Size Business_Partner Trade Ally Rebate_Steam Traps_Industrial/Process Audit - 30 ≤ psig &lt; 75_CI/SMB</v>
      </c>
      <c r="C2851" s="2" t="str">
        <f t="shared" si="89"/>
        <v>PGL_Business_Small/Mid-Size Business_Partner Trade Ally Rebate_Steam Traps_Industrial/Process Audit - 30 ≤ psig &lt; 75_CI/SMB_2024</v>
      </c>
      <c r="D2851" s="19" t="s">
        <v>1794</v>
      </c>
      <c r="E2851" s="19" t="s">
        <v>3</v>
      </c>
      <c r="F2851" s="19" t="s">
        <v>1432</v>
      </c>
      <c r="G2851" s="19" t="s">
        <v>1799</v>
      </c>
      <c r="H2851" s="19" t="s">
        <v>644</v>
      </c>
      <c r="I2851" s="19" t="s">
        <v>1385</v>
      </c>
      <c r="J2851" s="19" t="s">
        <v>37</v>
      </c>
      <c r="K2851" s="19" t="s">
        <v>970</v>
      </c>
      <c r="L2851" s="19">
        <v>2024</v>
      </c>
      <c r="M2851" s="20">
        <v>1</v>
      </c>
      <c r="N2851" s="19" t="s">
        <v>1798</v>
      </c>
      <c r="O2851" s="20">
        <v>3</v>
      </c>
      <c r="P2851" s="20">
        <v>3</v>
      </c>
      <c r="Q2851" s="20">
        <v>7666.3517680150935</v>
      </c>
      <c r="R2851" s="21">
        <v>0.92</v>
      </c>
      <c r="S2851" s="20">
        <v>7666.3517680150935</v>
      </c>
    </row>
    <row r="2852" spans="2:19" ht="15" customHeight="1" x14ac:dyDescent="0.25">
      <c r="B2852" s="2" t="str">
        <f t="shared" si="88"/>
        <v>PGL_Business_Small/Mid-Size Business_Partner Trade Ally Rebate_Steam Traps_Industrial/Process Audit - 30 ≤ psig &lt; 75_CI/SMB</v>
      </c>
      <c r="C2852" s="2" t="str">
        <f t="shared" si="89"/>
        <v>PGL_Business_Small/Mid-Size Business_Partner Trade Ally Rebate_Steam Traps_Industrial/Process Audit - 30 ≤ psig &lt; 75_CI/SMB_2025</v>
      </c>
      <c r="D2852" s="19" t="s">
        <v>1794</v>
      </c>
      <c r="E2852" s="19" t="s">
        <v>3</v>
      </c>
      <c r="F2852" s="19" t="s">
        <v>1432</v>
      </c>
      <c r="G2852" s="19" t="s">
        <v>1799</v>
      </c>
      <c r="H2852" s="19" t="s">
        <v>644</v>
      </c>
      <c r="I2852" s="19" t="s">
        <v>1385</v>
      </c>
      <c r="J2852" s="19" t="s">
        <v>37</v>
      </c>
      <c r="K2852" s="19" t="s">
        <v>970</v>
      </c>
      <c r="L2852" s="19">
        <v>2025</v>
      </c>
      <c r="M2852" s="20">
        <v>1</v>
      </c>
      <c r="N2852" s="19" t="s">
        <v>1798</v>
      </c>
      <c r="O2852" s="20">
        <v>3</v>
      </c>
      <c r="P2852" s="20">
        <v>3</v>
      </c>
      <c r="Q2852" s="20">
        <v>7666.3517680150935</v>
      </c>
      <c r="R2852" s="21">
        <v>0.92</v>
      </c>
      <c r="S2852" s="20">
        <v>7666.3517680150935</v>
      </c>
    </row>
    <row r="2853" spans="2:19" ht="15" customHeight="1" x14ac:dyDescent="0.25">
      <c r="B2853" s="2" t="str">
        <f t="shared" si="88"/>
        <v>PGL_Business_Small/Mid-Size Business_Partner Trade Ally Rebate_Steam Traps_Industrial/Process Audit - 75 ≤ psig &lt; 125_CI/SMB</v>
      </c>
      <c r="C2853" s="2" t="str">
        <f t="shared" si="89"/>
        <v>PGL_Business_Small/Mid-Size Business_Partner Trade Ally Rebate_Steam Traps_Industrial/Process Audit - 75 ≤ psig &lt; 125_CI/SMB_2022</v>
      </c>
      <c r="D2853" s="19" t="s">
        <v>1794</v>
      </c>
      <c r="E2853" s="19" t="s">
        <v>3</v>
      </c>
      <c r="F2853" s="19" t="s">
        <v>1432</v>
      </c>
      <c r="G2853" s="19" t="s">
        <v>1799</v>
      </c>
      <c r="H2853" s="19" t="s">
        <v>644</v>
      </c>
      <c r="I2853" s="19" t="s">
        <v>1386</v>
      </c>
      <c r="J2853" s="19" t="s">
        <v>37</v>
      </c>
      <c r="K2853" s="19" t="s">
        <v>970</v>
      </c>
      <c r="L2853" s="19">
        <v>2022</v>
      </c>
      <c r="M2853" s="20">
        <v>1</v>
      </c>
      <c r="N2853" s="19" t="s">
        <v>1798</v>
      </c>
      <c r="O2853" s="20">
        <v>17</v>
      </c>
      <c r="P2853" s="20">
        <v>17</v>
      </c>
      <c r="Q2853" s="20">
        <v>82168.371888293957</v>
      </c>
      <c r="R2853" s="21">
        <v>0.92</v>
      </c>
      <c r="S2853" s="20">
        <v>82168.371888293957</v>
      </c>
    </row>
    <row r="2854" spans="2:19" ht="15" customHeight="1" x14ac:dyDescent="0.25">
      <c r="B2854" s="2" t="str">
        <f t="shared" si="88"/>
        <v>PGL_Business_Small/Mid-Size Business_Partner Trade Ally Rebate_Steam Traps_Industrial/Process Audit - 75 ≤ psig &lt; 125_CI/SMB</v>
      </c>
      <c r="C2854" s="2" t="str">
        <f t="shared" si="89"/>
        <v>PGL_Business_Small/Mid-Size Business_Partner Trade Ally Rebate_Steam Traps_Industrial/Process Audit - 75 ≤ psig &lt; 125_CI/SMB_2023</v>
      </c>
      <c r="D2854" s="19" t="s">
        <v>1794</v>
      </c>
      <c r="E2854" s="19" t="s">
        <v>3</v>
      </c>
      <c r="F2854" s="19" t="s">
        <v>1432</v>
      </c>
      <c r="G2854" s="19" t="s">
        <v>1799</v>
      </c>
      <c r="H2854" s="19" t="s">
        <v>644</v>
      </c>
      <c r="I2854" s="19" t="s">
        <v>1386</v>
      </c>
      <c r="J2854" s="19" t="s">
        <v>37</v>
      </c>
      <c r="K2854" s="19" t="s">
        <v>970</v>
      </c>
      <c r="L2854" s="19">
        <v>2023</v>
      </c>
      <c r="M2854" s="20">
        <v>1</v>
      </c>
      <c r="N2854" s="19" t="s">
        <v>1798</v>
      </c>
      <c r="O2854" s="20">
        <v>16</v>
      </c>
      <c r="P2854" s="20">
        <v>16</v>
      </c>
      <c r="Q2854" s="20">
        <v>77334.938247806072</v>
      </c>
      <c r="R2854" s="21">
        <v>0.92</v>
      </c>
      <c r="S2854" s="20">
        <v>77334.938247806072</v>
      </c>
    </row>
    <row r="2855" spans="2:19" ht="15" customHeight="1" x14ac:dyDescent="0.25">
      <c r="B2855" s="2" t="str">
        <f t="shared" si="88"/>
        <v>PGL_Business_Small/Mid-Size Business_Partner Trade Ally Rebate_Steam Traps_Industrial/Process Audit - 75 ≤ psig &lt; 125_CI/SMB</v>
      </c>
      <c r="C2855" s="2" t="str">
        <f t="shared" si="89"/>
        <v>PGL_Business_Small/Mid-Size Business_Partner Trade Ally Rebate_Steam Traps_Industrial/Process Audit - 75 ≤ psig &lt; 125_CI/SMB_2024</v>
      </c>
      <c r="D2855" s="19" t="s">
        <v>1794</v>
      </c>
      <c r="E2855" s="19" t="s">
        <v>3</v>
      </c>
      <c r="F2855" s="19" t="s">
        <v>1432</v>
      </c>
      <c r="G2855" s="19" t="s">
        <v>1799</v>
      </c>
      <c r="H2855" s="19" t="s">
        <v>644</v>
      </c>
      <c r="I2855" s="19" t="s">
        <v>1386</v>
      </c>
      <c r="J2855" s="19" t="s">
        <v>37</v>
      </c>
      <c r="K2855" s="19" t="s">
        <v>970</v>
      </c>
      <c r="L2855" s="19">
        <v>2024</v>
      </c>
      <c r="M2855" s="20">
        <v>1</v>
      </c>
      <c r="N2855" s="19" t="s">
        <v>1798</v>
      </c>
      <c r="O2855" s="20">
        <v>14</v>
      </c>
      <c r="P2855" s="20">
        <v>14</v>
      </c>
      <c r="Q2855" s="20">
        <v>67668.070966830317</v>
      </c>
      <c r="R2855" s="21">
        <v>0.92</v>
      </c>
      <c r="S2855" s="20">
        <v>67668.070966830317</v>
      </c>
    </row>
    <row r="2856" spans="2:19" ht="15" customHeight="1" x14ac:dyDescent="0.25">
      <c r="B2856" s="2" t="str">
        <f t="shared" si="88"/>
        <v>PGL_Business_Small/Mid-Size Business_Partner Trade Ally Rebate_Steam Traps_Industrial/Process Audit - 75 ≤ psig &lt; 125_CI/SMB</v>
      </c>
      <c r="C2856" s="2" t="str">
        <f t="shared" si="89"/>
        <v>PGL_Business_Small/Mid-Size Business_Partner Trade Ally Rebate_Steam Traps_Industrial/Process Audit - 75 ≤ psig &lt; 125_CI/SMB_2025</v>
      </c>
      <c r="D2856" s="19" t="s">
        <v>1794</v>
      </c>
      <c r="E2856" s="19" t="s">
        <v>3</v>
      </c>
      <c r="F2856" s="19" t="s">
        <v>1432</v>
      </c>
      <c r="G2856" s="19" t="s">
        <v>1799</v>
      </c>
      <c r="H2856" s="19" t="s">
        <v>644</v>
      </c>
      <c r="I2856" s="19" t="s">
        <v>1386</v>
      </c>
      <c r="J2856" s="19" t="s">
        <v>37</v>
      </c>
      <c r="K2856" s="19" t="s">
        <v>970</v>
      </c>
      <c r="L2856" s="19">
        <v>2025</v>
      </c>
      <c r="M2856" s="20">
        <v>1</v>
      </c>
      <c r="N2856" s="19" t="s">
        <v>1798</v>
      </c>
      <c r="O2856" s="20">
        <v>13</v>
      </c>
      <c r="P2856" s="20">
        <v>13</v>
      </c>
      <c r="Q2856" s="20">
        <v>62834.637326342432</v>
      </c>
      <c r="R2856" s="21">
        <v>0.92</v>
      </c>
      <c r="S2856" s="20">
        <v>62834.637326342432</v>
      </c>
    </row>
    <row r="2857" spans="2:19" ht="15" customHeight="1" x14ac:dyDescent="0.25">
      <c r="B2857" s="2" t="str">
        <f t="shared" si="88"/>
        <v>PGL_Business_Small/Mid-Size Business_Partner Trade Ally Rebate_Steam Traps_Industrial/Process Audit - 125 ≤ psig &lt; 175_CI/SMB</v>
      </c>
      <c r="C2857" s="2" t="str">
        <f t="shared" si="89"/>
        <v>PGL_Business_Small/Mid-Size Business_Partner Trade Ally Rebate_Steam Traps_Industrial/Process Audit - 125 ≤ psig &lt; 175_CI/SMB_2022</v>
      </c>
      <c r="D2857" s="19" t="s">
        <v>1794</v>
      </c>
      <c r="E2857" s="19" t="s">
        <v>3</v>
      </c>
      <c r="F2857" s="19" t="s">
        <v>1432</v>
      </c>
      <c r="G2857" s="19" t="s">
        <v>1799</v>
      </c>
      <c r="H2857" s="19" t="s">
        <v>644</v>
      </c>
      <c r="I2857" s="19" t="s">
        <v>1374</v>
      </c>
      <c r="J2857" s="19" t="s">
        <v>37</v>
      </c>
      <c r="K2857" s="19" t="s">
        <v>970</v>
      </c>
      <c r="L2857" s="19">
        <v>2022</v>
      </c>
      <c r="M2857" s="20">
        <v>1</v>
      </c>
      <c r="N2857" s="19" t="s">
        <v>1798</v>
      </c>
      <c r="O2857" s="20">
        <v>13</v>
      </c>
      <c r="P2857" s="20">
        <v>13</v>
      </c>
      <c r="Q2857" s="20">
        <v>87723.572828347445</v>
      </c>
      <c r="R2857" s="21">
        <v>0.92</v>
      </c>
      <c r="S2857" s="20">
        <v>87723.572828347445</v>
      </c>
    </row>
    <row r="2858" spans="2:19" ht="15" customHeight="1" x14ac:dyDescent="0.25">
      <c r="B2858" s="2" t="str">
        <f t="shared" si="88"/>
        <v>PGL_Business_Small/Mid-Size Business_Partner Trade Ally Rebate_Steam Traps_Industrial/Process Audit - 125 ≤ psig &lt; 175_CI/SMB</v>
      </c>
      <c r="C2858" s="2" t="str">
        <f t="shared" si="89"/>
        <v>PGL_Business_Small/Mid-Size Business_Partner Trade Ally Rebate_Steam Traps_Industrial/Process Audit - 125 ≤ psig &lt; 175_CI/SMB_2023</v>
      </c>
      <c r="D2858" s="19" t="s">
        <v>1794</v>
      </c>
      <c r="E2858" s="19" t="s">
        <v>3</v>
      </c>
      <c r="F2858" s="19" t="s">
        <v>1432</v>
      </c>
      <c r="G2858" s="19" t="s">
        <v>1799</v>
      </c>
      <c r="H2858" s="19" t="s">
        <v>644</v>
      </c>
      <c r="I2858" s="19" t="s">
        <v>1374</v>
      </c>
      <c r="J2858" s="19" t="s">
        <v>37</v>
      </c>
      <c r="K2858" s="19" t="s">
        <v>970</v>
      </c>
      <c r="L2858" s="19">
        <v>2023</v>
      </c>
      <c r="M2858" s="20">
        <v>1</v>
      </c>
      <c r="N2858" s="19" t="s">
        <v>1798</v>
      </c>
      <c r="O2858" s="20">
        <v>12</v>
      </c>
      <c r="P2858" s="20">
        <v>12</v>
      </c>
      <c r="Q2858" s="20">
        <v>80975.605687705334</v>
      </c>
      <c r="R2858" s="21">
        <v>0.92</v>
      </c>
      <c r="S2858" s="20">
        <v>80975.605687705334</v>
      </c>
    </row>
    <row r="2859" spans="2:19" ht="15" customHeight="1" x14ac:dyDescent="0.25">
      <c r="B2859" s="2" t="str">
        <f t="shared" si="88"/>
        <v>PGL_Business_Small/Mid-Size Business_Partner Trade Ally Rebate_Steam Traps_Industrial/Process Audit - 125 ≤ psig &lt; 175_CI/SMB</v>
      </c>
      <c r="C2859" s="2" t="str">
        <f t="shared" si="89"/>
        <v>PGL_Business_Small/Mid-Size Business_Partner Trade Ally Rebate_Steam Traps_Industrial/Process Audit - 125 ≤ psig &lt; 175_CI/SMB_2024</v>
      </c>
      <c r="D2859" s="19" t="s">
        <v>1794</v>
      </c>
      <c r="E2859" s="19" t="s">
        <v>3</v>
      </c>
      <c r="F2859" s="19" t="s">
        <v>1432</v>
      </c>
      <c r="G2859" s="19" t="s">
        <v>1799</v>
      </c>
      <c r="H2859" s="19" t="s">
        <v>644</v>
      </c>
      <c r="I2859" s="19" t="s">
        <v>1374</v>
      </c>
      <c r="J2859" s="19" t="s">
        <v>37</v>
      </c>
      <c r="K2859" s="19" t="s">
        <v>970</v>
      </c>
      <c r="L2859" s="19">
        <v>2024</v>
      </c>
      <c r="M2859" s="20">
        <v>1</v>
      </c>
      <c r="N2859" s="19" t="s">
        <v>1798</v>
      </c>
      <c r="O2859" s="20">
        <v>10</v>
      </c>
      <c r="P2859" s="20">
        <v>10</v>
      </c>
      <c r="Q2859" s="20">
        <v>67479.671406421112</v>
      </c>
      <c r="R2859" s="21">
        <v>0.92</v>
      </c>
      <c r="S2859" s="20">
        <v>67479.671406421112</v>
      </c>
    </row>
    <row r="2860" spans="2:19" ht="15" customHeight="1" x14ac:dyDescent="0.25">
      <c r="B2860" s="2" t="str">
        <f t="shared" si="88"/>
        <v>PGL_Business_Small/Mid-Size Business_Partner Trade Ally Rebate_Steam Traps_Industrial/Process Audit - 125 ≤ psig &lt; 175_CI/SMB</v>
      </c>
      <c r="C2860" s="2" t="str">
        <f t="shared" si="89"/>
        <v>PGL_Business_Small/Mid-Size Business_Partner Trade Ally Rebate_Steam Traps_Industrial/Process Audit - 125 ≤ psig &lt; 175_CI/SMB_2025</v>
      </c>
      <c r="D2860" s="19" t="s">
        <v>1794</v>
      </c>
      <c r="E2860" s="19" t="s">
        <v>3</v>
      </c>
      <c r="F2860" s="19" t="s">
        <v>1432</v>
      </c>
      <c r="G2860" s="19" t="s">
        <v>1799</v>
      </c>
      <c r="H2860" s="19" t="s">
        <v>644</v>
      </c>
      <c r="I2860" s="19" t="s">
        <v>1374</v>
      </c>
      <c r="J2860" s="19" t="s">
        <v>37</v>
      </c>
      <c r="K2860" s="19" t="s">
        <v>970</v>
      </c>
      <c r="L2860" s="19">
        <v>2025</v>
      </c>
      <c r="M2860" s="20">
        <v>1</v>
      </c>
      <c r="N2860" s="19" t="s">
        <v>1798</v>
      </c>
      <c r="O2860" s="20">
        <v>10</v>
      </c>
      <c r="P2860" s="20">
        <v>10</v>
      </c>
      <c r="Q2860" s="20">
        <v>67479.671406421112</v>
      </c>
      <c r="R2860" s="21">
        <v>0.92</v>
      </c>
      <c r="S2860" s="20">
        <v>67479.671406421112</v>
      </c>
    </row>
    <row r="2861" spans="2:19" ht="15" customHeight="1" x14ac:dyDescent="0.25">
      <c r="B2861" s="2" t="str">
        <f t="shared" si="88"/>
        <v>PGL_Business_Small/Mid-Size Business_Partner Trade Ally Rebate_Steam Traps_Industrial/Process Audit - 175 ≤ psig &lt; 250_CI/SMB</v>
      </c>
      <c r="C2861" s="2" t="str">
        <f t="shared" si="89"/>
        <v>PGL_Business_Small/Mid-Size Business_Partner Trade Ally Rebate_Steam Traps_Industrial/Process Audit - 175 ≤ psig &lt; 250_CI/SMB_2022</v>
      </c>
      <c r="D2861" s="19" t="s">
        <v>1794</v>
      </c>
      <c r="E2861" s="19" t="s">
        <v>3</v>
      </c>
      <c r="F2861" s="19" t="s">
        <v>1432</v>
      </c>
      <c r="G2861" s="19" t="s">
        <v>1799</v>
      </c>
      <c r="H2861" s="19" t="s">
        <v>644</v>
      </c>
      <c r="I2861" s="19" t="s">
        <v>1375</v>
      </c>
      <c r="J2861" s="19" t="s">
        <v>37</v>
      </c>
      <c r="K2861" s="19" t="s">
        <v>970</v>
      </c>
      <c r="L2861" s="19">
        <v>2022</v>
      </c>
      <c r="M2861" s="20">
        <v>1</v>
      </c>
      <c r="N2861" s="19" t="s">
        <v>1798</v>
      </c>
      <c r="O2861" s="20">
        <v>0</v>
      </c>
      <c r="P2861" s="20">
        <v>0</v>
      </c>
      <c r="Q2861" s="20">
        <v>0</v>
      </c>
      <c r="R2861" s="21">
        <v>0.92</v>
      </c>
      <c r="S2861" s="20">
        <v>0</v>
      </c>
    </row>
    <row r="2862" spans="2:19" ht="15" customHeight="1" x14ac:dyDescent="0.25">
      <c r="B2862" s="2" t="str">
        <f t="shared" si="88"/>
        <v>PGL_Business_Small/Mid-Size Business_Partner Trade Ally Rebate_Steam Traps_Industrial/Process Audit - 175 ≤ psig &lt; 250_CI/SMB</v>
      </c>
      <c r="C2862" s="2" t="str">
        <f t="shared" si="89"/>
        <v>PGL_Business_Small/Mid-Size Business_Partner Trade Ally Rebate_Steam Traps_Industrial/Process Audit - 175 ≤ psig &lt; 250_CI/SMB_2023</v>
      </c>
      <c r="D2862" s="19" t="s">
        <v>1794</v>
      </c>
      <c r="E2862" s="19" t="s">
        <v>3</v>
      </c>
      <c r="F2862" s="19" t="s">
        <v>1432</v>
      </c>
      <c r="G2862" s="19" t="s">
        <v>1799</v>
      </c>
      <c r="H2862" s="19" t="s">
        <v>644</v>
      </c>
      <c r="I2862" s="19" t="s">
        <v>1375</v>
      </c>
      <c r="J2862" s="19" t="s">
        <v>37</v>
      </c>
      <c r="K2862" s="19" t="s">
        <v>970</v>
      </c>
      <c r="L2862" s="19">
        <v>2023</v>
      </c>
      <c r="M2862" s="20">
        <v>1</v>
      </c>
      <c r="N2862" s="19" t="s">
        <v>1798</v>
      </c>
      <c r="O2862" s="20">
        <v>0</v>
      </c>
      <c r="P2862" s="20">
        <v>0</v>
      </c>
      <c r="Q2862" s="20">
        <v>0</v>
      </c>
      <c r="R2862" s="21">
        <v>0.92</v>
      </c>
      <c r="S2862" s="20">
        <v>0</v>
      </c>
    </row>
    <row r="2863" spans="2:19" ht="15" customHeight="1" x14ac:dyDescent="0.25">
      <c r="B2863" s="2" t="str">
        <f t="shared" si="88"/>
        <v>PGL_Business_Small/Mid-Size Business_Partner Trade Ally Rebate_Steam Traps_Industrial/Process Audit - 175 ≤ psig &lt; 250_CI/SMB</v>
      </c>
      <c r="C2863" s="2" t="str">
        <f t="shared" si="89"/>
        <v>PGL_Business_Small/Mid-Size Business_Partner Trade Ally Rebate_Steam Traps_Industrial/Process Audit - 175 ≤ psig &lt; 250_CI/SMB_2024</v>
      </c>
      <c r="D2863" s="19" t="s">
        <v>1794</v>
      </c>
      <c r="E2863" s="19" t="s">
        <v>3</v>
      </c>
      <c r="F2863" s="19" t="s">
        <v>1432</v>
      </c>
      <c r="G2863" s="19" t="s">
        <v>1799</v>
      </c>
      <c r="H2863" s="19" t="s">
        <v>644</v>
      </c>
      <c r="I2863" s="19" t="s">
        <v>1375</v>
      </c>
      <c r="J2863" s="19" t="s">
        <v>37</v>
      </c>
      <c r="K2863" s="19" t="s">
        <v>970</v>
      </c>
      <c r="L2863" s="19">
        <v>2024</v>
      </c>
      <c r="M2863" s="20">
        <v>1</v>
      </c>
      <c r="N2863" s="19" t="s">
        <v>1798</v>
      </c>
      <c r="O2863" s="20">
        <v>0</v>
      </c>
      <c r="P2863" s="20">
        <v>0</v>
      </c>
      <c r="Q2863" s="20">
        <v>0</v>
      </c>
      <c r="R2863" s="21">
        <v>0.92</v>
      </c>
      <c r="S2863" s="20">
        <v>0</v>
      </c>
    </row>
    <row r="2864" spans="2:19" ht="15" customHeight="1" x14ac:dyDescent="0.25">
      <c r="B2864" s="2" t="str">
        <f t="shared" si="88"/>
        <v>PGL_Business_Small/Mid-Size Business_Partner Trade Ally Rebate_Steam Traps_Industrial/Process Audit - 175 ≤ psig &lt; 250_CI/SMB</v>
      </c>
      <c r="C2864" s="2" t="str">
        <f t="shared" si="89"/>
        <v>PGL_Business_Small/Mid-Size Business_Partner Trade Ally Rebate_Steam Traps_Industrial/Process Audit - 175 ≤ psig &lt; 250_CI/SMB_2025</v>
      </c>
      <c r="D2864" s="19" t="s">
        <v>1794</v>
      </c>
      <c r="E2864" s="19" t="s">
        <v>3</v>
      </c>
      <c r="F2864" s="19" t="s">
        <v>1432</v>
      </c>
      <c r="G2864" s="19" t="s">
        <v>1799</v>
      </c>
      <c r="H2864" s="19" t="s">
        <v>644</v>
      </c>
      <c r="I2864" s="19" t="s">
        <v>1375</v>
      </c>
      <c r="J2864" s="19" t="s">
        <v>37</v>
      </c>
      <c r="K2864" s="19" t="s">
        <v>970</v>
      </c>
      <c r="L2864" s="19">
        <v>2025</v>
      </c>
      <c r="M2864" s="20">
        <v>1</v>
      </c>
      <c r="N2864" s="19" t="s">
        <v>1798</v>
      </c>
      <c r="O2864" s="20">
        <v>0</v>
      </c>
      <c r="P2864" s="20">
        <v>0</v>
      </c>
      <c r="Q2864" s="20">
        <v>0</v>
      </c>
      <c r="R2864" s="21">
        <v>0.92</v>
      </c>
      <c r="S2864" s="20">
        <v>0</v>
      </c>
    </row>
    <row r="2865" spans="2:19" ht="15" customHeight="1" x14ac:dyDescent="0.25">
      <c r="B2865" s="2" t="str">
        <f t="shared" si="88"/>
        <v>PGL_Business_Small/Mid-Size Business_Partner Trade Ally Rebate_Steam Traps_Industrial/Process Audit - 250 ≤ psig_CI/SMB</v>
      </c>
      <c r="C2865" s="2" t="str">
        <f t="shared" si="89"/>
        <v>PGL_Business_Small/Mid-Size Business_Partner Trade Ally Rebate_Steam Traps_Industrial/Process Audit - 250 ≤ psig_CI/SMB_2022</v>
      </c>
      <c r="D2865" s="19" t="s">
        <v>1794</v>
      </c>
      <c r="E2865" s="19" t="s">
        <v>3</v>
      </c>
      <c r="F2865" s="19" t="s">
        <v>1432</v>
      </c>
      <c r="G2865" s="19" t="s">
        <v>1799</v>
      </c>
      <c r="H2865" s="19" t="s">
        <v>644</v>
      </c>
      <c r="I2865" s="19" t="s">
        <v>1376</v>
      </c>
      <c r="J2865" s="19" t="s">
        <v>37</v>
      </c>
      <c r="K2865" s="19" t="s">
        <v>970</v>
      </c>
      <c r="L2865" s="19">
        <v>2022</v>
      </c>
      <c r="M2865" s="20">
        <v>1</v>
      </c>
      <c r="N2865" s="19" t="s">
        <v>1798</v>
      </c>
      <c r="O2865" s="20">
        <v>0</v>
      </c>
      <c r="P2865" s="20">
        <v>0</v>
      </c>
      <c r="Q2865" s="20">
        <v>0</v>
      </c>
      <c r="R2865" s="21">
        <v>0.92</v>
      </c>
      <c r="S2865" s="20">
        <v>0</v>
      </c>
    </row>
    <row r="2866" spans="2:19" ht="15" customHeight="1" x14ac:dyDescent="0.25">
      <c r="B2866" s="2" t="str">
        <f t="shared" si="88"/>
        <v>PGL_Business_Small/Mid-Size Business_Partner Trade Ally Rebate_Steam Traps_Industrial/Process Audit - 250 ≤ psig_CI/SMB</v>
      </c>
      <c r="C2866" s="2" t="str">
        <f t="shared" si="89"/>
        <v>PGL_Business_Small/Mid-Size Business_Partner Trade Ally Rebate_Steam Traps_Industrial/Process Audit - 250 ≤ psig_CI/SMB_2023</v>
      </c>
      <c r="D2866" s="19" t="s">
        <v>1794</v>
      </c>
      <c r="E2866" s="19" t="s">
        <v>3</v>
      </c>
      <c r="F2866" s="19" t="s">
        <v>1432</v>
      </c>
      <c r="G2866" s="19" t="s">
        <v>1799</v>
      </c>
      <c r="H2866" s="19" t="s">
        <v>644</v>
      </c>
      <c r="I2866" s="19" t="s">
        <v>1376</v>
      </c>
      <c r="J2866" s="19" t="s">
        <v>37</v>
      </c>
      <c r="K2866" s="19" t="s">
        <v>970</v>
      </c>
      <c r="L2866" s="19">
        <v>2023</v>
      </c>
      <c r="M2866" s="20">
        <v>1</v>
      </c>
      <c r="N2866" s="19" t="s">
        <v>1798</v>
      </c>
      <c r="O2866" s="20">
        <v>0</v>
      </c>
      <c r="P2866" s="20">
        <v>0</v>
      </c>
      <c r="Q2866" s="20">
        <v>0</v>
      </c>
      <c r="R2866" s="21">
        <v>0.92</v>
      </c>
      <c r="S2866" s="20">
        <v>0</v>
      </c>
    </row>
    <row r="2867" spans="2:19" ht="15" customHeight="1" x14ac:dyDescent="0.25">
      <c r="B2867" s="2" t="str">
        <f t="shared" si="88"/>
        <v>PGL_Business_Small/Mid-Size Business_Partner Trade Ally Rebate_Steam Traps_Industrial/Process Audit - 250 ≤ psig_CI/SMB</v>
      </c>
      <c r="C2867" s="2" t="str">
        <f t="shared" si="89"/>
        <v>PGL_Business_Small/Mid-Size Business_Partner Trade Ally Rebate_Steam Traps_Industrial/Process Audit - 250 ≤ psig_CI/SMB_2024</v>
      </c>
      <c r="D2867" s="19" t="s">
        <v>1794</v>
      </c>
      <c r="E2867" s="19" t="s">
        <v>3</v>
      </c>
      <c r="F2867" s="19" t="s">
        <v>1432</v>
      </c>
      <c r="G2867" s="19" t="s">
        <v>1799</v>
      </c>
      <c r="H2867" s="19" t="s">
        <v>644</v>
      </c>
      <c r="I2867" s="19" t="s">
        <v>1376</v>
      </c>
      <c r="J2867" s="19" t="s">
        <v>37</v>
      </c>
      <c r="K2867" s="19" t="s">
        <v>970</v>
      </c>
      <c r="L2867" s="19">
        <v>2024</v>
      </c>
      <c r="M2867" s="20">
        <v>1</v>
      </c>
      <c r="N2867" s="19" t="s">
        <v>1798</v>
      </c>
      <c r="O2867" s="20">
        <v>0</v>
      </c>
      <c r="P2867" s="20">
        <v>0</v>
      </c>
      <c r="Q2867" s="20">
        <v>0</v>
      </c>
      <c r="R2867" s="21">
        <v>0.92</v>
      </c>
      <c r="S2867" s="20">
        <v>0</v>
      </c>
    </row>
    <row r="2868" spans="2:19" ht="15" customHeight="1" x14ac:dyDescent="0.25">
      <c r="B2868" s="2" t="str">
        <f t="shared" si="88"/>
        <v>PGL_Business_Small/Mid-Size Business_Partner Trade Ally Rebate_Steam Traps_Industrial/Process Audit - 250 ≤ psig_CI/SMB</v>
      </c>
      <c r="C2868" s="2" t="str">
        <f t="shared" si="89"/>
        <v>PGL_Business_Small/Mid-Size Business_Partner Trade Ally Rebate_Steam Traps_Industrial/Process Audit - 250 ≤ psig_CI/SMB_2025</v>
      </c>
      <c r="D2868" s="19" t="s">
        <v>1794</v>
      </c>
      <c r="E2868" s="19" t="s">
        <v>3</v>
      </c>
      <c r="F2868" s="19" t="s">
        <v>1432</v>
      </c>
      <c r="G2868" s="19" t="s">
        <v>1799</v>
      </c>
      <c r="H2868" s="19" t="s">
        <v>644</v>
      </c>
      <c r="I2868" s="19" t="s">
        <v>1376</v>
      </c>
      <c r="J2868" s="19" t="s">
        <v>37</v>
      </c>
      <c r="K2868" s="19" t="s">
        <v>970</v>
      </c>
      <c r="L2868" s="19">
        <v>2025</v>
      </c>
      <c r="M2868" s="20">
        <v>1</v>
      </c>
      <c r="N2868" s="19" t="s">
        <v>1798</v>
      </c>
      <c r="O2868" s="20">
        <v>0</v>
      </c>
      <c r="P2868" s="20">
        <v>0</v>
      </c>
      <c r="Q2868" s="20">
        <v>0</v>
      </c>
      <c r="R2868" s="21">
        <v>0.92</v>
      </c>
      <c r="S2868" s="20">
        <v>0</v>
      </c>
    </row>
    <row r="2869" spans="2:19" ht="15" customHeight="1" x14ac:dyDescent="0.25">
      <c r="B2869" s="2" t="str">
        <f t="shared" si="88"/>
        <v>PGL_Business_Small/Mid-Size Business_Partner Trade Ally Rebate_Steam Traps_Test_CI</v>
      </c>
      <c r="C2869" s="2" t="str">
        <f t="shared" si="89"/>
        <v>PGL_Business_Small/Mid-Size Business_Partner Trade Ally Rebate_Steam Traps_Test_CI_2022</v>
      </c>
      <c r="D2869" s="19" t="s">
        <v>1794</v>
      </c>
      <c r="E2869" s="19" t="s">
        <v>3</v>
      </c>
      <c r="F2869" s="19" t="s">
        <v>1432</v>
      </c>
      <c r="G2869" s="19" t="s">
        <v>1799</v>
      </c>
      <c r="H2869" s="19" t="s">
        <v>644</v>
      </c>
      <c r="I2869" s="19" t="s">
        <v>1097</v>
      </c>
      <c r="J2869" s="19">
        <v>0</v>
      </c>
      <c r="K2869" s="19" t="s">
        <v>1159</v>
      </c>
      <c r="L2869" s="19">
        <v>2022</v>
      </c>
      <c r="M2869" s="20">
        <v>1</v>
      </c>
      <c r="N2869" s="19" t="s">
        <v>1798</v>
      </c>
      <c r="O2869" s="20">
        <v>2352</v>
      </c>
      <c r="P2869" s="20">
        <v>2352</v>
      </c>
      <c r="Q2869" s="20">
        <v>0</v>
      </c>
      <c r="R2869" s="21">
        <v>0.92</v>
      </c>
      <c r="S2869" s="20">
        <v>0</v>
      </c>
    </row>
    <row r="2870" spans="2:19" ht="15" customHeight="1" x14ac:dyDescent="0.25">
      <c r="B2870" s="2" t="str">
        <f t="shared" si="88"/>
        <v>PGL_Business_Small/Mid-Size Business_Partner Trade Ally Rebate_Steam Traps_Test_CI</v>
      </c>
      <c r="C2870" s="2" t="str">
        <f t="shared" si="89"/>
        <v>PGL_Business_Small/Mid-Size Business_Partner Trade Ally Rebate_Steam Traps_Test_CI_2023</v>
      </c>
      <c r="D2870" s="19" t="s">
        <v>1794</v>
      </c>
      <c r="E2870" s="19" t="s">
        <v>3</v>
      </c>
      <c r="F2870" s="19" t="s">
        <v>1432</v>
      </c>
      <c r="G2870" s="19" t="s">
        <v>1799</v>
      </c>
      <c r="H2870" s="19" t="s">
        <v>644</v>
      </c>
      <c r="I2870" s="19" t="s">
        <v>1097</v>
      </c>
      <c r="J2870" s="19">
        <v>0</v>
      </c>
      <c r="K2870" s="19" t="s">
        <v>1159</v>
      </c>
      <c r="L2870" s="19">
        <v>2023</v>
      </c>
      <c r="M2870" s="20">
        <v>1</v>
      </c>
      <c r="N2870" s="19" t="s">
        <v>1798</v>
      </c>
      <c r="O2870" s="20">
        <v>2212</v>
      </c>
      <c r="P2870" s="20">
        <v>2212</v>
      </c>
      <c r="Q2870" s="20">
        <v>0</v>
      </c>
      <c r="R2870" s="21">
        <v>0.92</v>
      </c>
      <c r="S2870" s="20">
        <v>0</v>
      </c>
    </row>
    <row r="2871" spans="2:19" ht="15" customHeight="1" x14ac:dyDescent="0.25">
      <c r="B2871" s="2" t="str">
        <f t="shared" si="88"/>
        <v>PGL_Business_Small/Mid-Size Business_Partner Trade Ally Rebate_Steam Traps_Test_CI</v>
      </c>
      <c r="C2871" s="2" t="str">
        <f t="shared" si="89"/>
        <v>PGL_Business_Small/Mid-Size Business_Partner Trade Ally Rebate_Steam Traps_Test_CI_2024</v>
      </c>
      <c r="D2871" s="19" t="s">
        <v>1794</v>
      </c>
      <c r="E2871" s="19" t="s">
        <v>3</v>
      </c>
      <c r="F2871" s="19" t="s">
        <v>1432</v>
      </c>
      <c r="G2871" s="19" t="s">
        <v>1799</v>
      </c>
      <c r="H2871" s="19" t="s">
        <v>644</v>
      </c>
      <c r="I2871" s="19" t="s">
        <v>1097</v>
      </c>
      <c r="J2871" s="19">
        <v>0</v>
      </c>
      <c r="K2871" s="19" t="s">
        <v>1159</v>
      </c>
      <c r="L2871" s="19">
        <v>2024</v>
      </c>
      <c r="M2871" s="20">
        <v>1</v>
      </c>
      <c r="N2871" s="19" t="s">
        <v>1798</v>
      </c>
      <c r="O2871" s="20">
        <v>1932</v>
      </c>
      <c r="P2871" s="20">
        <v>1932</v>
      </c>
      <c r="Q2871" s="20">
        <v>0</v>
      </c>
      <c r="R2871" s="21">
        <v>0.92</v>
      </c>
      <c r="S2871" s="20">
        <v>0</v>
      </c>
    </row>
    <row r="2872" spans="2:19" ht="15" customHeight="1" x14ac:dyDescent="0.25">
      <c r="B2872" s="2" t="str">
        <f t="shared" si="88"/>
        <v>PGL_Business_Small/Mid-Size Business_Partner Trade Ally Rebate_Steam Traps_Test_CI</v>
      </c>
      <c r="C2872" s="2" t="str">
        <f t="shared" si="89"/>
        <v>PGL_Business_Small/Mid-Size Business_Partner Trade Ally Rebate_Steam Traps_Test_CI_2025</v>
      </c>
      <c r="D2872" s="19" t="s">
        <v>1794</v>
      </c>
      <c r="E2872" s="19" t="s">
        <v>3</v>
      </c>
      <c r="F2872" s="19" t="s">
        <v>1432</v>
      </c>
      <c r="G2872" s="19" t="s">
        <v>1799</v>
      </c>
      <c r="H2872" s="19" t="s">
        <v>644</v>
      </c>
      <c r="I2872" s="19" t="s">
        <v>1097</v>
      </c>
      <c r="J2872" s="19">
        <v>0</v>
      </c>
      <c r="K2872" s="19" t="s">
        <v>1159</v>
      </c>
      <c r="L2872" s="19">
        <v>2025</v>
      </c>
      <c r="M2872" s="20">
        <v>1</v>
      </c>
      <c r="N2872" s="19" t="s">
        <v>1798</v>
      </c>
      <c r="O2872" s="20">
        <v>1820</v>
      </c>
      <c r="P2872" s="20">
        <v>1820</v>
      </c>
      <c r="Q2872" s="20">
        <v>0</v>
      </c>
      <c r="R2872" s="21">
        <v>0.92</v>
      </c>
      <c r="S2872" s="20">
        <v>0</v>
      </c>
    </row>
    <row r="2873" spans="2:19" ht="15" customHeight="1" x14ac:dyDescent="0.25">
      <c r="B2873" s="2" t="str">
        <f t="shared" si="88"/>
        <v>PGL_Business_Small/Mid-Size Business_Partner Trade Ally Rebate_Programmable Thermostat_0_CI</v>
      </c>
      <c r="C2873" s="2" t="str">
        <f t="shared" si="89"/>
        <v>PGL_Business_Small/Mid-Size Business_Partner Trade Ally Rebate_Programmable Thermostat_0_CI_2022</v>
      </c>
      <c r="D2873" s="19" t="s">
        <v>1794</v>
      </c>
      <c r="E2873" s="19" t="s">
        <v>3</v>
      </c>
      <c r="F2873" s="19" t="s">
        <v>1432</v>
      </c>
      <c r="G2873" s="19" t="s">
        <v>1799</v>
      </c>
      <c r="H2873" s="19" t="s">
        <v>224</v>
      </c>
      <c r="I2873" s="19">
        <v>0</v>
      </c>
      <c r="J2873" s="19" t="s">
        <v>1183</v>
      </c>
      <c r="K2873" s="19" t="s">
        <v>1159</v>
      </c>
      <c r="L2873" s="19">
        <v>2022</v>
      </c>
      <c r="M2873" s="20">
        <v>1</v>
      </c>
      <c r="N2873" s="19" t="s">
        <v>1798</v>
      </c>
      <c r="O2873" s="20">
        <v>21</v>
      </c>
      <c r="P2873" s="20">
        <v>21</v>
      </c>
      <c r="Q2873" s="20">
        <v>3077.7750150000006</v>
      </c>
      <c r="R2873" s="21">
        <v>0.92</v>
      </c>
      <c r="S2873" s="20">
        <v>3077.7750150000006</v>
      </c>
    </row>
    <row r="2874" spans="2:19" ht="15" customHeight="1" x14ac:dyDescent="0.25">
      <c r="B2874" s="2" t="str">
        <f t="shared" si="88"/>
        <v>PGL_Business_Small/Mid-Size Business_Partner Trade Ally Rebate_Programmable Thermostat_0_CI</v>
      </c>
      <c r="C2874" s="2" t="str">
        <f t="shared" si="89"/>
        <v>PGL_Business_Small/Mid-Size Business_Partner Trade Ally Rebate_Programmable Thermostat_0_CI_2023</v>
      </c>
      <c r="D2874" s="19" t="s">
        <v>1794</v>
      </c>
      <c r="E2874" s="19" t="s">
        <v>3</v>
      </c>
      <c r="F2874" s="19" t="s">
        <v>1432</v>
      </c>
      <c r="G2874" s="19" t="s">
        <v>1799</v>
      </c>
      <c r="H2874" s="19" t="s">
        <v>224</v>
      </c>
      <c r="I2874" s="19">
        <v>0</v>
      </c>
      <c r="J2874" s="19" t="s">
        <v>1183</v>
      </c>
      <c r="K2874" s="19" t="s">
        <v>1159</v>
      </c>
      <c r="L2874" s="19">
        <v>2023</v>
      </c>
      <c r="M2874" s="20">
        <v>1</v>
      </c>
      <c r="N2874" s="19" t="s">
        <v>1798</v>
      </c>
      <c r="O2874" s="20">
        <v>20</v>
      </c>
      <c r="P2874" s="20">
        <v>20</v>
      </c>
      <c r="Q2874" s="20">
        <v>2931.214300000001</v>
      </c>
      <c r="R2874" s="21">
        <v>0.92</v>
      </c>
      <c r="S2874" s="20">
        <v>2931.214300000001</v>
      </c>
    </row>
    <row r="2875" spans="2:19" ht="15" customHeight="1" x14ac:dyDescent="0.25">
      <c r="B2875" s="2" t="str">
        <f t="shared" si="88"/>
        <v>PGL_Business_Small/Mid-Size Business_Partner Trade Ally Rebate_Programmable Thermostat_0_CI</v>
      </c>
      <c r="C2875" s="2" t="str">
        <f t="shared" si="89"/>
        <v>PGL_Business_Small/Mid-Size Business_Partner Trade Ally Rebate_Programmable Thermostat_0_CI_2024</v>
      </c>
      <c r="D2875" s="19" t="s">
        <v>1794</v>
      </c>
      <c r="E2875" s="19" t="s">
        <v>3</v>
      </c>
      <c r="F2875" s="19" t="s">
        <v>1432</v>
      </c>
      <c r="G2875" s="19" t="s">
        <v>1799</v>
      </c>
      <c r="H2875" s="19" t="s">
        <v>224</v>
      </c>
      <c r="I2875" s="19">
        <v>0</v>
      </c>
      <c r="J2875" s="19" t="s">
        <v>1183</v>
      </c>
      <c r="K2875" s="19" t="s">
        <v>1159</v>
      </c>
      <c r="L2875" s="19">
        <v>2024</v>
      </c>
      <c r="M2875" s="20">
        <v>1</v>
      </c>
      <c r="N2875" s="19" t="s">
        <v>1798</v>
      </c>
      <c r="O2875" s="20">
        <v>17</v>
      </c>
      <c r="P2875" s="20">
        <v>17</v>
      </c>
      <c r="Q2875" s="20">
        <v>2491.5321550000003</v>
      </c>
      <c r="R2875" s="21">
        <v>0.92</v>
      </c>
      <c r="S2875" s="20">
        <v>2491.5321550000003</v>
      </c>
    </row>
    <row r="2876" spans="2:19" ht="15" customHeight="1" x14ac:dyDescent="0.25">
      <c r="B2876" s="2" t="str">
        <f t="shared" si="88"/>
        <v>PGL_Business_Small/Mid-Size Business_Partner Trade Ally Rebate_Programmable Thermostat_0_CI</v>
      </c>
      <c r="C2876" s="2" t="str">
        <f t="shared" si="89"/>
        <v>PGL_Business_Small/Mid-Size Business_Partner Trade Ally Rebate_Programmable Thermostat_0_CI_2025</v>
      </c>
      <c r="D2876" s="19" t="s">
        <v>1794</v>
      </c>
      <c r="E2876" s="19" t="s">
        <v>3</v>
      </c>
      <c r="F2876" s="19" t="s">
        <v>1432</v>
      </c>
      <c r="G2876" s="19" t="s">
        <v>1799</v>
      </c>
      <c r="H2876" s="19" t="s">
        <v>224</v>
      </c>
      <c r="I2876" s="19">
        <v>0</v>
      </c>
      <c r="J2876" s="19" t="s">
        <v>1183</v>
      </c>
      <c r="K2876" s="19" t="s">
        <v>1159</v>
      </c>
      <c r="L2876" s="19">
        <v>2025</v>
      </c>
      <c r="M2876" s="20">
        <v>1</v>
      </c>
      <c r="N2876" s="19" t="s">
        <v>1798</v>
      </c>
      <c r="O2876" s="20">
        <v>16</v>
      </c>
      <c r="P2876" s="20">
        <v>16</v>
      </c>
      <c r="Q2876" s="20">
        <v>2344.9714400000007</v>
      </c>
      <c r="R2876" s="21">
        <v>0.92</v>
      </c>
      <c r="S2876" s="20">
        <v>2344.9714400000007</v>
      </c>
    </row>
    <row r="2877" spans="2:19" ht="15" customHeight="1" x14ac:dyDescent="0.25">
      <c r="B2877" s="2" t="str">
        <f t="shared" si="88"/>
        <v>PGL_Business_Small/Mid-Size Business_Partner Trade Ally Rebate_Water Heater_Storage 88% TE ≥75MBh_CI</v>
      </c>
      <c r="C2877" s="2" t="str">
        <f t="shared" si="89"/>
        <v>PGL_Business_Small/Mid-Size Business_Partner Trade Ally Rebate_Water Heater_Storage 88% TE ≥75MBh_CI_2022</v>
      </c>
      <c r="D2877" s="19" t="s">
        <v>1794</v>
      </c>
      <c r="E2877" s="19" t="s">
        <v>3</v>
      </c>
      <c r="F2877" s="19" t="s">
        <v>1432</v>
      </c>
      <c r="G2877" s="19" t="s">
        <v>1799</v>
      </c>
      <c r="H2877" s="19" t="s">
        <v>8</v>
      </c>
      <c r="I2877" s="19" t="s">
        <v>1262</v>
      </c>
      <c r="J2877" s="19" t="s">
        <v>1263</v>
      </c>
      <c r="K2877" s="19" t="s">
        <v>1159</v>
      </c>
      <c r="L2877" s="19">
        <v>2022</v>
      </c>
      <c r="M2877" s="20">
        <v>1</v>
      </c>
      <c r="N2877" s="19" t="s">
        <v>1798</v>
      </c>
      <c r="O2877" s="20">
        <v>0</v>
      </c>
      <c r="P2877" s="20">
        <v>0</v>
      </c>
      <c r="Q2877" s="20">
        <v>0</v>
      </c>
      <c r="R2877" s="21">
        <v>0.92</v>
      </c>
      <c r="S2877" s="20">
        <v>0</v>
      </c>
    </row>
    <row r="2878" spans="2:19" ht="15" customHeight="1" x14ac:dyDescent="0.25">
      <c r="B2878" s="2" t="str">
        <f t="shared" si="88"/>
        <v>PGL_Business_Small/Mid-Size Business_Partner Trade Ally Rebate_Water Heater_Storage 88% TE ≥75MBh_CI</v>
      </c>
      <c r="C2878" s="2" t="str">
        <f t="shared" si="89"/>
        <v>PGL_Business_Small/Mid-Size Business_Partner Trade Ally Rebate_Water Heater_Storage 88% TE ≥75MBh_CI_2023</v>
      </c>
      <c r="D2878" s="19" t="s">
        <v>1794</v>
      </c>
      <c r="E2878" s="19" t="s">
        <v>3</v>
      </c>
      <c r="F2878" s="19" t="s">
        <v>1432</v>
      </c>
      <c r="G2878" s="19" t="s">
        <v>1799</v>
      </c>
      <c r="H2878" s="19" t="s">
        <v>8</v>
      </c>
      <c r="I2878" s="19" t="s">
        <v>1262</v>
      </c>
      <c r="J2878" s="19" t="s">
        <v>1263</v>
      </c>
      <c r="K2878" s="19" t="s">
        <v>1159</v>
      </c>
      <c r="L2878" s="19">
        <v>2023</v>
      </c>
      <c r="M2878" s="20">
        <v>1</v>
      </c>
      <c r="N2878" s="19" t="s">
        <v>1798</v>
      </c>
      <c r="O2878" s="20">
        <v>0</v>
      </c>
      <c r="P2878" s="20">
        <v>0</v>
      </c>
      <c r="Q2878" s="20">
        <v>0</v>
      </c>
      <c r="R2878" s="21">
        <v>0.92</v>
      </c>
      <c r="S2878" s="20">
        <v>0</v>
      </c>
    </row>
    <row r="2879" spans="2:19" ht="15" customHeight="1" x14ac:dyDescent="0.25">
      <c r="B2879" s="2" t="str">
        <f t="shared" si="88"/>
        <v>PGL_Business_Small/Mid-Size Business_Partner Trade Ally Rebate_Water Heater_Storage 88% TE ≥75MBh_CI</v>
      </c>
      <c r="C2879" s="2" t="str">
        <f t="shared" si="89"/>
        <v>PGL_Business_Small/Mid-Size Business_Partner Trade Ally Rebate_Water Heater_Storage 88% TE ≥75MBh_CI_2024</v>
      </c>
      <c r="D2879" s="19" t="s">
        <v>1794</v>
      </c>
      <c r="E2879" s="19" t="s">
        <v>3</v>
      </c>
      <c r="F2879" s="19" t="s">
        <v>1432</v>
      </c>
      <c r="G2879" s="19" t="s">
        <v>1799</v>
      </c>
      <c r="H2879" s="19" t="s">
        <v>8</v>
      </c>
      <c r="I2879" s="19" t="s">
        <v>1262</v>
      </c>
      <c r="J2879" s="19" t="s">
        <v>1263</v>
      </c>
      <c r="K2879" s="19" t="s">
        <v>1159</v>
      </c>
      <c r="L2879" s="19">
        <v>2024</v>
      </c>
      <c r="M2879" s="20">
        <v>1</v>
      </c>
      <c r="N2879" s="19" t="s">
        <v>1798</v>
      </c>
      <c r="O2879" s="20">
        <v>0</v>
      </c>
      <c r="P2879" s="20">
        <v>0</v>
      </c>
      <c r="Q2879" s="20">
        <v>0</v>
      </c>
      <c r="R2879" s="21">
        <v>0.92</v>
      </c>
      <c r="S2879" s="20">
        <v>0</v>
      </c>
    </row>
    <row r="2880" spans="2:19" ht="15" customHeight="1" x14ac:dyDescent="0.25">
      <c r="B2880" s="2" t="str">
        <f t="shared" si="88"/>
        <v>PGL_Business_Small/Mid-Size Business_Partner Trade Ally Rebate_Water Heater_Storage 88% TE ≥75MBh_CI</v>
      </c>
      <c r="C2880" s="2" t="str">
        <f t="shared" si="89"/>
        <v>PGL_Business_Small/Mid-Size Business_Partner Trade Ally Rebate_Water Heater_Storage 88% TE ≥75MBh_CI_2025</v>
      </c>
      <c r="D2880" s="19" t="s">
        <v>1794</v>
      </c>
      <c r="E2880" s="19" t="s">
        <v>3</v>
      </c>
      <c r="F2880" s="19" t="s">
        <v>1432</v>
      </c>
      <c r="G2880" s="19" t="s">
        <v>1799</v>
      </c>
      <c r="H2880" s="19" t="s">
        <v>8</v>
      </c>
      <c r="I2880" s="19" t="s">
        <v>1262</v>
      </c>
      <c r="J2880" s="19" t="s">
        <v>1263</v>
      </c>
      <c r="K2880" s="19" t="s">
        <v>1159</v>
      </c>
      <c r="L2880" s="19">
        <v>2025</v>
      </c>
      <c r="M2880" s="20">
        <v>1</v>
      </c>
      <c r="N2880" s="19" t="s">
        <v>1798</v>
      </c>
      <c r="O2880" s="20">
        <v>0</v>
      </c>
      <c r="P2880" s="20">
        <v>0</v>
      </c>
      <c r="Q2880" s="20">
        <v>0</v>
      </c>
      <c r="R2880" s="21">
        <v>0.92</v>
      </c>
      <c r="S2880" s="20">
        <v>0</v>
      </c>
    </row>
    <row r="2881" spans="2:19" ht="15" customHeight="1" x14ac:dyDescent="0.25">
      <c r="B2881" s="2" t="str">
        <f t="shared" si="88"/>
        <v>PGL_Business_Small/Mid-Size Business_Custom_C&amp;I Custom_0_CI</v>
      </c>
      <c r="C2881" s="2" t="str">
        <f t="shared" si="89"/>
        <v>PGL_Business_Small/Mid-Size Business_Custom_C&amp;I Custom_0_CI_2022</v>
      </c>
      <c r="D2881" s="19" t="s">
        <v>1794</v>
      </c>
      <c r="E2881" s="19" t="s">
        <v>3</v>
      </c>
      <c r="F2881" s="19" t="s">
        <v>1432</v>
      </c>
      <c r="G2881" s="19" t="s">
        <v>5</v>
      </c>
      <c r="H2881" s="19" t="s">
        <v>1285</v>
      </c>
      <c r="I2881" s="19">
        <v>0</v>
      </c>
      <c r="J2881" s="19">
        <v>0</v>
      </c>
      <c r="K2881" s="19" t="s">
        <v>1159</v>
      </c>
      <c r="L2881" s="19">
        <v>2022</v>
      </c>
      <c r="M2881" s="20">
        <v>9056.7142857142862</v>
      </c>
      <c r="N2881" s="19" t="s">
        <v>609</v>
      </c>
      <c r="O2881" s="20">
        <v>12</v>
      </c>
      <c r="P2881" s="20">
        <v>108680.57142857143</v>
      </c>
      <c r="Q2881" s="20">
        <v>80423.622857142866</v>
      </c>
      <c r="R2881" s="21">
        <v>0.74</v>
      </c>
      <c r="S2881" s="20">
        <v>80423.622857142866</v>
      </c>
    </row>
    <row r="2882" spans="2:19" ht="15" customHeight="1" x14ac:dyDescent="0.25">
      <c r="B2882" s="2" t="str">
        <f t="shared" si="88"/>
        <v>PGL_Business_Small/Mid-Size Business_Custom_C&amp;I Custom_0_CI</v>
      </c>
      <c r="C2882" s="2" t="str">
        <f t="shared" si="89"/>
        <v>PGL_Business_Small/Mid-Size Business_Custom_C&amp;I Custom_0_CI_2023</v>
      </c>
      <c r="D2882" s="19" t="s">
        <v>1794</v>
      </c>
      <c r="E2882" s="19" t="s">
        <v>3</v>
      </c>
      <c r="F2882" s="19" t="s">
        <v>1432</v>
      </c>
      <c r="G2882" s="19" t="s">
        <v>5</v>
      </c>
      <c r="H2882" s="19" t="s">
        <v>1285</v>
      </c>
      <c r="I2882" s="19">
        <v>0</v>
      </c>
      <c r="J2882" s="19">
        <v>0</v>
      </c>
      <c r="K2882" s="19" t="s">
        <v>1159</v>
      </c>
      <c r="L2882" s="19">
        <v>2023</v>
      </c>
      <c r="M2882" s="20">
        <v>9056.7142857142862</v>
      </c>
      <c r="N2882" s="19" t="s">
        <v>609</v>
      </c>
      <c r="O2882" s="20">
        <v>11</v>
      </c>
      <c r="P2882" s="20">
        <v>99623.857142857145</v>
      </c>
      <c r="Q2882" s="20">
        <v>73721.654285714292</v>
      </c>
      <c r="R2882" s="21">
        <v>0.74</v>
      </c>
      <c r="S2882" s="20">
        <v>73721.654285714292</v>
      </c>
    </row>
    <row r="2883" spans="2:19" ht="15" customHeight="1" x14ac:dyDescent="0.25">
      <c r="B2883" s="2" t="str">
        <f t="shared" si="88"/>
        <v>PGL_Business_Small/Mid-Size Business_Custom_C&amp;I Custom_0_CI</v>
      </c>
      <c r="C2883" s="2" t="str">
        <f t="shared" si="89"/>
        <v>PGL_Business_Small/Mid-Size Business_Custom_C&amp;I Custom_0_CI_2024</v>
      </c>
      <c r="D2883" s="19" t="s">
        <v>1794</v>
      </c>
      <c r="E2883" s="19" t="s">
        <v>3</v>
      </c>
      <c r="F2883" s="19" t="s">
        <v>1432</v>
      </c>
      <c r="G2883" s="19" t="s">
        <v>5</v>
      </c>
      <c r="H2883" s="19" t="s">
        <v>1285</v>
      </c>
      <c r="I2883" s="19">
        <v>0</v>
      </c>
      <c r="J2883" s="19">
        <v>0</v>
      </c>
      <c r="K2883" s="19" t="s">
        <v>1159</v>
      </c>
      <c r="L2883" s="19">
        <v>2024</v>
      </c>
      <c r="M2883" s="20">
        <v>9056.7142857142862</v>
      </c>
      <c r="N2883" s="19" t="s">
        <v>609</v>
      </c>
      <c r="O2883" s="20">
        <v>11</v>
      </c>
      <c r="P2883" s="20">
        <v>99623.857142857145</v>
      </c>
      <c r="Q2883" s="20">
        <v>73721.654285714292</v>
      </c>
      <c r="R2883" s="21">
        <v>0.74</v>
      </c>
      <c r="S2883" s="20">
        <v>73721.654285714292</v>
      </c>
    </row>
    <row r="2884" spans="2:19" ht="15" customHeight="1" x14ac:dyDescent="0.25">
      <c r="B2884" s="2" t="str">
        <f t="shared" si="88"/>
        <v>PGL_Business_Small/Mid-Size Business_Custom_C&amp;I Custom_0_CI</v>
      </c>
      <c r="C2884" s="2" t="str">
        <f t="shared" si="89"/>
        <v>PGL_Business_Small/Mid-Size Business_Custom_C&amp;I Custom_0_CI_2025</v>
      </c>
      <c r="D2884" s="19" t="s">
        <v>1794</v>
      </c>
      <c r="E2884" s="19" t="s">
        <v>3</v>
      </c>
      <c r="F2884" s="19" t="s">
        <v>1432</v>
      </c>
      <c r="G2884" s="19" t="s">
        <v>5</v>
      </c>
      <c r="H2884" s="19" t="s">
        <v>1285</v>
      </c>
      <c r="I2884" s="19">
        <v>0</v>
      </c>
      <c r="J2884" s="19">
        <v>0</v>
      </c>
      <c r="K2884" s="19" t="s">
        <v>1159</v>
      </c>
      <c r="L2884" s="19">
        <v>2025</v>
      </c>
      <c r="M2884" s="20">
        <v>9056.7142857142862</v>
      </c>
      <c r="N2884" s="19" t="s">
        <v>609</v>
      </c>
      <c r="O2884" s="20">
        <v>9</v>
      </c>
      <c r="P2884" s="20">
        <v>81510.42857142858</v>
      </c>
      <c r="Q2884" s="20">
        <v>60317.717142857146</v>
      </c>
      <c r="R2884" s="21">
        <v>0.74</v>
      </c>
      <c r="S2884" s="20">
        <v>60317.717142857146</v>
      </c>
    </row>
    <row r="2885" spans="2:19" ht="15" customHeight="1" x14ac:dyDescent="0.25">
      <c r="B2885" s="2" t="str">
        <f t="shared" si="88"/>
        <v>NSG_Business_Small/Mid-Size Business_Assessments_Unit Visit_0_CI</v>
      </c>
      <c r="C2885" s="2" t="str">
        <f t="shared" si="89"/>
        <v>NSG_Business_Small/Mid-Size Business_Assessments_Unit Visit_0_CI_2022</v>
      </c>
      <c r="D2885" s="19" t="s">
        <v>1787</v>
      </c>
      <c r="E2885" s="19" t="s">
        <v>3</v>
      </c>
      <c r="F2885" s="19" t="s">
        <v>1432</v>
      </c>
      <c r="G2885" s="19" t="s">
        <v>1431</v>
      </c>
      <c r="H2885" s="19" t="s">
        <v>1090</v>
      </c>
      <c r="I2885" s="19">
        <v>0</v>
      </c>
      <c r="J2885" s="19">
        <v>0</v>
      </c>
      <c r="K2885" s="19" t="s">
        <v>1159</v>
      </c>
      <c r="L2885" s="19">
        <v>2022</v>
      </c>
      <c r="M2885" s="20">
        <v>1</v>
      </c>
      <c r="N2885" s="19" t="s">
        <v>1798</v>
      </c>
      <c r="O2885" s="20">
        <v>18</v>
      </c>
      <c r="P2885" s="20">
        <v>18</v>
      </c>
      <c r="Q2885" s="20">
        <v>0</v>
      </c>
      <c r="R2885" s="21">
        <v>0.95</v>
      </c>
      <c r="S2885" s="20">
        <v>0</v>
      </c>
    </row>
    <row r="2886" spans="2:19" ht="15" customHeight="1" x14ac:dyDescent="0.25">
      <c r="B2886" s="2" t="str">
        <f t="shared" ref="B2886:B2949" si="90">D2886&amp;"_"&amp;E2886&amp;"_"&amp;F2886&amp;"_"&amp;G2886&amp;"_"&amp;H2886&amp;"_"&amp;I2886&amp;"_"&amp;K2886</f>
        <v>NSG_Business_Small/Mid-Size Business_Assessments_Unit Visit_0_CI</v>
      </c>
      <c r="C2886" s="2" t="str">
        <f t="shared" ref="C2886:C2949" si="91">D2886&amp;"_"&amp;E2886&amp;"_"&amp;F2886&amp;"_"&amp;G2886&amp;"_"&amp;H2886&amp;"_"&amp;I2886&amp;"_"&amp;K2886&amp;"_"&amp;L2886</f>
        <v>NSG_Business_Small/Mid-Size Business_Assessments_Unit Visit_0_CI_2023</v>
      </c>
      <c r="D2886" s="19" t="s">
        <v>1787</v>
      </c>
      <c r="E2886" s="19" t="s">
        <v>3</v>
      </c>
      <c r="F2886" s="19" t="s">
        <v>1432</v>
      </c>
      <c r="G2886" s="19" t="s">
        <v>1431</v>
      </c>
      <c r="H2886" s="19" t="s">
        <v>1090</v>
      </c>
      <c r="I2886" s="19">
        <v>0</v>
      </c>
      <c r="J2886" s="19">
        <v>0</v>
      </c>
      <c r="K2886" s="19" t="s">
        <v>1159</v>
      </c>
      <c r="L2886" s="19">
        <v>2023</v>
      </c>
      <c r="M2886" s="20">
        <v>1</v>
      </c>
      <c r="N2886" s="19" t="s">
        <v>1798</v>
      </c>
      <c r="O2886" s="20">
        <v>16</v>
      </c>
      <c r="P2886" s="20">
        <v>16</v>
      </c>
      <c r="Q2886" s="20">
        <v>0</v>
      </c>
      <c r="R2886" s="21">
        <v>0.95</v>
      </c>
      <c r="S2886" s="20">
        <v>0</v>
      </c>
    </row>
    <row r="2887" spans="2:19" ht="15" customHeight="1" x14ac:dyDescent="0.25">
      <c r="B2887" s="2" t="str">
        <f t="shared" si="90"/>
        <v>NSG_Business_Small/Mid-Size Business_Assessments_Unit Visit_0_CI</v>
      </c>
      <c r="C2887" s="2" t="str">
        <f t="shared" si="91"/>
        <v>NSG_Business_Small/Mid-Size Business_Assessments_Unit Visit_0_CI_2024</v>
      </c>
      <c r="D2887" s="19" t="s">
        <v>1787</v>
      </c>
      <c r="E2887" s="19" t="s">
        <v>3</v>
      </c>
      <c r="F2887" s="19" t="s">
        <v>1432</v>
      </c>
      <c r="G2887" s="19" t="s">
        <v>1431</v>
      </c>
      <c r="H2887" s="19" t="s">
        <v>1090</v>
      </c>
      <c r="I2887" s="19">
        <v>0</v>
      </c>
      <c r="J2887" s="19">
        <v>0</v>
      </c>
      <c r="K2887" s="19" t="s">
        <v>1159</v>
      </c>
      <c r="L2887" s="19">
        <v>2024</v>
      </c>
      <c r="M2887" s="20">
        <v>1</v>
      </c>
      <c r="N2887" s="19" t="s">
        <v>1798</v>
      </c>
      <c r="O2887" s="20">
        <v>16</v>
      </c>
      <c r="P2887" s="20">
        <v>16</v>
      </c>
      <c r="Q2887" s="20">
        <v>0</v>
      </c>
      <c r="R2887" s="21">
        <v>0.95</v>
      </c>
      <c r="S2887" s="20">
        <v>0</v>
      </c>
    </row>
    <row r="2888" spans="2:19" ht="15" customHeight="1" x14ac:dyDescent="0.25">
      <c r="B2888" s="2" t="str">
        <f t="shared" si="90"/>
        <v>NSG_Business_Small/Mid-Size Business_Assessments_Unit Visit_0_CI</v>
      </c>
      <c r="C2888" s="2" t="str">
        <f t="shared" si="91"/>
        <v>NSG_Business_Small/Mid-Size Business_Assessments_Unit Visit_0_CI_2025</v>
      </c>
      <c r="D2888" s="19" t="s">
        <v>1787</v>
      </c>
      <c r="E2888" s="19" t="s">
        <v>3</v>
      </c>
      <c r="F2888" s="19" t="s">
        <v>1432</v>
      </c>
      <c r="G2888" s="19" t="s">
        <v>1431</v>
      </c>
      <c r="H2888" s="19" t="s">
        <v>1090</v>
      </c>
      <c r="I2888" s="19">
        <v>0</v>
      </c>
      <c r="J2888" s="19">
        <v>0</v>
      </c>
      <c r="K2888" s="19" t="s">
        <v>1159</v>
      </c>
      <c r="L2888" s="19">
        <v>2025</v>
      </c>
      <c r="M2888" s="20">
        <v>1</v>
      </c>
      <c r="N2888" s="19" t="s">
        <v>1798</v>
      </c>
      <c r="O2888" s="20">
        <v>15</v>
      </c>
      <c r="P2888" s="20">
        <v>15</v>
      </c>
      <c r="Q2888" s="20">
        <v>0</v>
      </c>
      <c r="R2888" s="21">
        <v>0.95</v>
      </c>
      <c r="S2888" s="20">
        <v>0</v>
      </c>
    </row>
    <row r="2889" spans="2:19" ht="15" customHeight="1" x14ac:dyDescent="0.25">
      <c r="B2889" s="2" t="str">
        <f t="shared" si="90"/>
        <v>NSG_Business_Small/Mid-Size Business_Assessments_Low Flow Bathroom Aerator_0_CI</v>
      </c>
      <c r="C2889" s="2" t="str">
        <f t="shared" si="91"/>
        <v>NSG_Business_Small/Mid-Size Business_Assessments_Low Flow Bathroom Aerator_0_CI_2022</v>
      </c>
      <c r="D2889" s="19" t="s">
        <v>1787</v>
      </c>
      <c r="E2889" s="19" t="s">
        <v>3</v>
      </c>
      <c r="F2889" s="19" t="s">
        <v>1432</v>
      </c>
      <c r="G2889" s="19" t="s">
        <v>1431</v>
      </c>
      <c r="H2889" s="19" t="s">
        <v>555</v>
      </c>
      <c r="I2889" s="19">
        <v>0</v>
      </c>
      <c r="J2889" s="19" t="s">
        <v>35</v>
      </c>
      <c r="K2889" s="19" t="s">
        <v>1159</v>
      </c>
      <c r="L2889" s="19">
        <v>2022</v>
      </c>
      <c r="M2889" s="20">
        <v>1</v>
      </c>
      <c r="N2889" s="19" t="s">
        <v>1798</v>
      </c>
      <c r="O2889" s="20">
        <v>20</v>
      </c>
      <c r="P2889" s="20">
        <v>20</v>
      </c>
      <c r="Q2889" s="20">
        <v>115.99397482014386</v>
      </c>
      <c r="R2889" s="21">
        <v>0.95</v>
      </c>
      <c r="S2889" s="20">
        <v>115.99397482014386</v>
      </c>
    </row>
    <row r="2890" spans="2:19" ht="15" customHeight="1" x14ac:dyDescent="0.25">
      <c r="B2890" s="2" t="str">
        <f t="shared" si="90"/>
        <v>NSG_Business_Small/Mid-Size Business_Assessments_Low Flow Bathroom Aerator_0_CI</v>
      </c>
      <c r="C2890" s="2" t="str">
        <f t="shared" si="91"/>
        <v>NSG_Business_Small/Mid-Size Business_Assessments_Low Flow Bathroom Aerator_0_CI_2023</v>
      </c>
      <c r="D2890" s="19" t="s">
        <v>1787</v>
      </c>
      <c r="E2890" s="19" t="s">
        <v>3</v>
      </c>
      <c r="F2890" s="19" t="s">
        <v>1432</v>
      </c>
      <c r="G2890" s="19" t="s">
        <v>1431</v>
      </c>
      <c r="H2890" s="19" t="s">
        <v>555</v>
      </c>
      <c r="I2890" s="19">
        <v>0</v>
      </c>
      <c r="J2890" s="19" t="s">
        <v>35</v>
      </c>
      <c r="K2890" s="19" t="s">
        <v>1159</v>
      </c>
      <c r="L2890" s="19">
        <v>2023</v>
      </c>
      <c r="M2890" s="20">
        <v>1</v>
      </c>
      <c r="N2890" s="19" t="s">
        <v>1798</v>
      </c>
      <c r="O2890" s="20">
        <v>17</v>
      </c>
      <c r="P2890" s="20">
        <v>17</v>
      </c>
      <c r="Q2890" s="20">
        <v>98.594878597122289</v>
      </c>
      <c r="R2890" s="21">
        <v>0.95</v>
      </c>
      <c r="S2890" s="20">
        <v>98.594878597122289</v>
      </c>
    </row>
    <row r="2891" spans="2:19" ht="15" customHeight="1" x14ac:dyDescent="0.25">
      <c r="B2891" s="2" t="str">
        <f t="shared" si="90"/>
        <v>NSG_Business_Small/Mid-Size Business_Assessments_Low Flow Bathroom Aerator_0_CI</v>
      </c>
      <c r="C2891" s="2" t="str">
        <f t="shared" si="91"/>
        <v>NSG_Business_Small/Mid-Size Business_Assessments_Low Flow Bathroom Aerator_0_CI_2024</v>
      </c>
      <c r="D2891" s="19" t="s">
        <v>1787</v>
      </c>
      <c r="E2891" s="19" t="s">
        <v>3</v>
      </c>
      <c r="F2891" s="19" t="s">
        <v>1432</v>
      </c>
      <c r="G2891" s="19" t="s">
        <v>1431</v>
      </c>
      <c r="H2891" s="19" t="s">
        <v>555</v>
      </c>
      <c r="I2891" s="19">
        <v>0</v>
      </c>
      <c r="J2891" s="19" t="s">
        <v>35</v>
      </c>
      <c r="K2891" s="19" t="s">
        <v>1159</v>
      </c>
      <c r="L2891" s="19">
        <v>2024</v>
      </c>
      <c r="M2891" s="20">
        <v>1</v>
      </c>
      <c r="N2891" s="19" t="s">
        <v>1798</v>
      </c>
      <c r="O2891" s="20">
        <v>17</v>
      </c>
      <c r="P2891" s="20">
        <v>17</v>
      </c>
      <c r="Q2891" s="20">
        <v>98.594878597122289</v>
      </c>
      <c r="R2891" s="21">
        <v>0.95</v>
      </c>
      <c r="S2891" s="20">
        <v>98.594878597122289</v>
      </c>
    </row>
    <row r="2892" spans="2:19" ht="15" customHeight="1" x14ac:dyDescent="0.25">
      <c r="B2892" s="2" t="str">
        <f t="shared" si="90"/>
        <v>NSG_Business_Small/Mid-Size Business_Assessments_Low Flow Bathroom Aerator_0_CI</v>
      </c>
      <c r="C2892" s="2" t="str">
        <f t="shared" si="91"/>
        <v>NSG_Business_Small/Mid-Size Business_Assessments_Low Flow Bathroom Aerator_0_CI_2025</v>
      </c>
      <c r="D2892" s="19" t="s">
        <v>1787</v>
      </c>
      <c r="E2892" s="19" t="s">
        <v>3</v>
      </c>
      <c r="F2892" s="19" t="s">
        <v>1432</v>
      </c>
      <c r="G2892" s="19" t="s">
        <v>1431</v>
      </c>
      <c r="H2892" s="19" t="s">
        <v>555</v>
      </c>
      <c r="I2892" s="19">
        <v>0</v>
      </c>
      <c r="J2892" s="19" t="s">
        <v>35</v>
      </c>
      <c r="K2892" s="19" t="s">
        <v>1159</v>
      </c>
      <c r="L2892" s="19">
        <v>2025</v>
      </c>
      <c r="M2892" s="20">
        <v>1</v>
      </c>
      <c r="N2892" s="19" t="s">
        <v>1798</v>
      </c>
      <c r="O2892" s="20">
        <v>16</v>
      </c>
      <c r="P2892" s="20">
        <v>16</v>
      </c>
      <c r="Q2892" s="20">
        <v>92.795179856115084</v>
      </c>
      <c r="R2892" s="21">
        <v>0.95</v>
      </c>
      <c r="S2892" s="20">
        <v>92.795179856115084</v>
      </c>
    </row>
    <row r="2893" spans="2:19" ht="15" customHeight="1" x14ac:dyDescent="0.25">
      <c r="B2893" s="2" t="str">
        <f t="shared" si="90"/>
        <v>NSG_Business_Small/Mid-Size Business_Assessments_Low Flow Kitchen Aerator_0_CI</v>
      </c>
      <c r="C2893" s="2" t="str">
        <f t="shared" si="91"/>
        <v>NSG_Business_Small/Mid-Size Business_Assessments_Low Flow Kitchen Aerator_0_CI_2022</v>
      </c>
      <c r="D2893" s="19" t="s">
        <v>1787</v>
      </c>
      <c r="E2893" s="19" t="s">
        <v>3</v>
      </c>
      <c r="F2893" s="19" t="s">
        <v>1432</v>
      </c>
      <c r="G2893" s="19" t="s">
        <v>1431</v>
      </c>
      <c r="H2893" s="19" t="s">
        <v>533</v>
      </c>
      <c r="I2893" s="19">
        <v>0</v>
      </c>
      <c r="J2893" s="19" t="s">
        <v>35</v>
      </c>
      <c r="K2893" s="19" t="s">
        <v>1159</v>
      </c>
      <c r="L2893" s="19">
        <v>2022</v>
      </c>
      <c r="M2893" s="20">
        <v>1</v>
      </c>
      <c r="N2893" s="19" t="s">
        <v>1798</v>
      </c>
      <c r="O2893" s="20">
        <v>11</v>
      </c>
      <c r="P2893" s="20">
        <v>11</v>
      </c>
      <c r="Q2893" s="20">
        <v>77.777320143884879</v>
      </c>
      <c r="R2893" s="21">
        <v>0.95</v>
      </c>
      <c r="S2893" s="20">
        <v>77.777320143884879</v>
      </c>
    </row>
    <row r="2894" spans="2:19" ht="15" customHeight="1" x14ac:dyDescent="0.25">
      <c r="B2894" s="2" t="str">
        <f t="shared" si="90"/>
        <v>NSG_Business_Small/Mid-Size Business_Assessments_Low Flow Kitchen Aerator_0_CI</v>
      </c>
      <c r="C2894" s="2" t="str">
        <f t="shared" si="91"/>
        <v>NSG_Business_Small/Mid-Size Business_Assessments_Low Flow Kitchen Aerator_0_CI_2023</v>
      </c>
      <c r="D2894" s="19" t="s">
        <v>1787</v>
      </c>
      <c r="E2894" s="19" t="s">
        <v>3</v>
      </c>
      <c r="F2894" s="19" t="s">
        <v>1432</v>
      </c>
      <c r="G2894" s="19" t="s">
        <v>1431</v>
      </c>
      <c r="H2894" s="19" t="s">
        <v>533</v>
      </c>
      <c r="I2894" s="19">
        <v>0</v>
      </c>
      <c r="J2894" s="19" t="s">
        <v>35</v>
      </c>
      <c r="K2894" s="19" t="s">
        <v>1159</v>
      </c>
      <c r="L2894" s="19">
        <v>2023</v>
      </c>
      <c r="M2894" s="20">
        <v>1</v>
      </c>
      <c r="N2894" s="19" t="s">
        <v>1798</v>
      </c>
      <c r="O2894" s="20">
        <v>10</v>
      </c>
      <c r="P2894" s="20">
        <v>10</v>
      </c>
      <c r="Q2894" s="20">
        <v>70.706654676258992</v>
      </c>
      <c r="R2894" s="21">
        <v>0.95</v>
      </c>
      <c r="S2894" s="20">
        <v>70.706654676258992</v>
      </c>
    </row>
    <row r="2895" spans="2:19" ht="15" customHeight="1" x14ac:dyDescent="0.25">
      <c r="B2895" s="2" t="str">
        <f t="shared" si="90"/>
        <v>NSG_Business_Small/Mid-Size Business_Assessments_Low Flow Kitchen Aerator_0_CI</v>
      </c>
      <c r="C2895" s="2" t="str">
        <f t="shared" si="91"/>
        <v>NSG_Business_Small/Mid-Size Business_Assessments_Low Flow Kitchen Aerator_0_CI_2024</v>
      </c>
      <c r="D2895" s="19" t="s">
        <v>1787</v>
      </c>
      <c r="E2895" s="19" t="s">
        <v>3</v>
      </c>
      <c r="F2895" s="19" t="s">
        <v>1432</v>
      </c>
      <c r="G2895" s="19" t="s">
        <v>1431</v>
      </c>
      <c r="H2895" s="19" t="s">
        <v>533</v>
      </c>
      <c r="I2895" s="19">
        <v>0</v>
      </c>
      <c r="J2895" s="19" t="s">
        <v>35</v>
      </c>
      <c r="K2895" s="19" t="s">
        <v>1159</v>
      </c>
      <c r="L2895" s="19">
        <v>2024</v>
      </c>
      <c r="M2895" s="20">
        <v>1</v>
      </c>
      <c r="N2895" s="19" t="s">
        <v>1798</v>
      </c>
      <c r="O2895" s="20">
        <v>10</v>
      </c>
      <c r="P2895" s="20">
        <v>10</v>
      </c>
      <c r="Q2895" s="20">
        <v>70.706654676258992</v>
      </c>
      <c r="R2895" s="21">
        <v>0.95</v>
      </c>
      <c r="S2895" s="20">
        <v>70.706654676258992</v>
      </c>
    </row>
    <row r="2896" spans="2:19" ht="15" customHeight="1" x14ac:dyDescent="0.25">
      <c r="B2896" s="2" t="str">
        <f t="shared" si="90"/>
        <v>NSG_Business_Small/Mid-Size Business_Assessments_Low Flow Kitchen Aerator_0_CI</v>
      </c>
      <c r="C2896" s="2" t="str">
        <f t="shared" si="91"/>
        <v>NSG_Business_Small/Mid-Size Business_Assessments_Low Flow Kitchen Aerator_0_CI_2025</v>
      </c>
      <c r="D2896" s="19" t="s">
        <v>1787</v>
      </c>
      <c r="E2896" s="19" t="s">
        <v>3</v>
      </c>
      <c r="F2896" s="19" t="s">
        <v>1432</v>
      </c>
      <c r="G2896" s="19" t="s">
        <v>1431</v>
      </c>
      <c r="H2896" s="19" t="s">
        <v>533</v>
      </c>
      <c r="I2896" s="19">
        <v>0</v>
      </c>
      <c r="J2896" s="19" t="s">
        <v>35</v>
      </c>
      <c r="K2896" s="19" t="s">
        <v>1159</v>
      </c>
      <c r="L2896" s="19">
        <v>2025</v>
      </c>
      <c r="M2896" s="20">
        <v>1</v>
      </c>
      <c r="N2896" s="19" t="s">
        <v>1798</v>
      </c>
      <c r="O2896" s="20">
        <v>9</v>
      </c>
      <c r="P2896" s="20">
        <v>9</v>
      </c>
      <c r="Q2896" s="20">
        <v>63.635989208633092</v>
      </c>
      <c r="R2896" s="21">
        <v>0.95</v>
      </c>
      <c r="S2896" s="20">
        <v>63.635989208633092</v>
      </c>
    </row>
    <row r="2897" spans="2:19" ht="15" customHeight="1" x14ac:dyDescent="0.25">
      <c r="B2897" s="2" t="str">
        <f t="shared" si="90"/>
        <v>NSG_Business_Small/Mid-Size Business_Assessments_Low Flow Showerhead_0_CI</v>
      </c>
      <c r="C2897" s="2" t="str">
        <f t="shared" si="91"/>
        <v>NSG_Business_Small/Mid-Size Business_Assessments_Low Flow Showerhead_0_CI_2022</v>
      </c>
      <c r="D2897" s="19" t="s">
        <v>1787</v>
      </c>
      <c r="E2897" s="19" t="s">
        <v>3</v>
      </c>
      <c r="F2897" s="19" t="s">
        <v>1432</v>
      </c>
      <c r="G2897" s="19" t="s">
        <v>1431</v>
      </c>
      <c r="H2897" s="19" t="s">
        <v>15</v>
      </c>
      <c r="I2897" s="19">
        <v>0</v>
      </c>
      <c r="J2897" s="19" t="s">
        <v>36</v>
      </c>
      <c r="K2897" s="19" t="s">
        <v>1159</v>
      </c>
      <c r="L2897" s="19">
        <v>2022</v>
      </c>
      <c r="M2897" s="20">
        <v>1</v>
      </c>
      <c r="N2897" s="19" t="s">
        <v>1798</v>
      </c>
      <c r="O2897" s="20">
        <v>13</v>
      </c>
      <c r="P2897" s="20">
        <v>13</v>
      </c>
      <c r="Q2897" s="20">
        <v>247.30108025764045</v>
      </c>
      <c r="R2897" s="21">
        <v>0.95</v>
      </c>
      <c r="S2897" s="20">
        <v>247.30108025764045</v>
      </c>
    </row>
    <row r="2898" spans="2:19" ht="15" customHeight="1" x14ac:dyDescent="0.25">
      <c r="B2898" s="2" t="str">
        <f t="shared" si="90"/>
        <v>NSG_Business_Small/Mid-Size Business_Assessments_Low Flow Showerhead_0_CI</v>
      </c>
      <c r="C2898" s="2" t="str">
        <f t="shared" si="91"/>
        <v>NSG_Business_Small/Mid-Size Business_Assessments_Low Flow Showerhead_0_CI_2023</v>
      </c>
      <c r="D2898" s="19" t="s">
        <v>1787</v>
      </c>
      <c r="E2898" s="19" t="s">
        <v>3</v>
      </c>
      <c r="F2898" s="19" t="s">
        <v>1432</v>
      </c>
      <c r="G2898" s="19" t="s">
        <v>1431</v>
      </c>
      <c r="H2898" s="19" t="s">
        <v>15</v>
      </c>
      <c r="I2898" s="19">
        <v>0</v>
      </c>
      <c r="J2898" s="19" t="s">
        <v>36</v>
      </c>
      <c r="K2898" s="19" t="s">
        <v>1159</v>
      </c>
      <c r="L2898" s="19">
        <v>2023</v>
      </c>
      <c r="M2898" s="20">
        <v>1</v>
      </c>
      <c r="N2898" s="19" t="s">
        <v>1798</v>
      </c>
      <c r="O2898" s="20">
        <v>11</v>
      </c>
      <c r="P2898" s="20">
        <v>11</v>
      </c>
      <c r="Q2898" s="20">
        <v>209.25476021800344</v>
      </c>
      <c r="R2898" s="21">
        <v>0.95</v>
      </c>
      <c r="S2898" s="20">
        <v>209.25476021800344</v>
      </c>
    </row>
    <row r="2899" spans="2:19" ht="15" customHeight="1" x14ac:dyDescent="0.25">
      <c r="B2899" s="2" t="str">
        <f t="shared" si="90"/>
        <v>NSG_Business_Small/Mid-Size Business_Assessments_Low Flow Showerhead_0_CI</v>
      </c>
      <c r="C2899" s="2" t="str">
        <f t="shared" si="91"/>
        <v>NSG_Business_Small/Mid-Size Business_Assessments_Low Flow Showerhead_0_CI_2024</v>
      </c>
      <c r="D2899" s="19" t="s">
        <v>1787</v>
      </c>
      <c r="E2899" s="19" t="s">
        <v>3</v>
      </c>
      <c r="F2899" s="19" t="s">
        <v>1432</v>
      </c>
      <c r="G2899" s="19" t="s">
        <v>1431</v>
      </c>
      <c r="H2899" s="19" t="s">
        <v>15</v>
      </c>
      <c r="I2899" s="19">
        <v>0</v>
      </c>
      <c r="J2899" s="19" t="s">
        <v>36</v>
      </c>
      <c r="K2899" s="19" t="s">
        <v>1159</v>
      </c>
      <c r="L2899" s="19">
        <v>2024</v>
      </c>
      <c r="M2899" s="20">
        <v>1</v>
      </c>
      <c r="N2899" s="19" t="s">
        <v>1798</v>
      </c>
      <c r="O2899" s="20">
        <v>11</v>
      </c>
      <c r="P2899" s="20">
        <v>11</v>
      </c>
      <c r="Q2899" s="20">
        <v>209.25476021800344</v>
      </c>
      <c r="R2899" s="21">
        <v>0.95</v>
      </c>
      <c r="S2899" s="20">
        <v>209.25476021800344</v>
      </c>
    </row>
    <row r="2900" spans="2:19" ht="15" customHeight="1" x14ac:dyDescent="0.25">
      <c r="B2900" s="2" t="str">
        <f t="shared" si="90"/>
        <v>NSG_Business_Small/Mid-Size Business_Assessments_Low Flow Showerhead_0_CI</v>
      </c>
      <c r="C2900" s="2" t="str">
        <f t="shared" si="91"/>
        <v>NSG_Business_Small/Mid-Size Business_Assessments_Low Flow Showerhead_0_CI_2025</v>
      </c>
      <c r="D2900" s="19" t="s">
        <v>1787</v>
      </c>
      <c r="E2900" s="19" t="s">
        <v>3</v>
      </c>
      <c r="F2900" s="19" t="s">
        <v>1432</v>
      </c>
      <c r="G2900" s="19" t="s">
        <v>1431</v>
      </c>
      <c r="H2900" s="19" t="s">
        <v>15</v>
      </c>
      <c r="I2900" s="19">
        <v>0</v>
      </c>
      <c r="J2900" s="19" t="s">
        <v>36</v>
      </c>
      <c r="K2900" s="19" t="s">
        <v>1159</v>
      </c>
      <c r="L2900" s="19">
        <v>2025</v>
      </c>
      <c r="M2900" s="20">
        <v>1</v>
      </c>
      <c r="N2900" s="19" t="s">
        <v>1798</v>
      </c>
      <c r="O2900" s="20">
        <v>11</v>
      </c>
      <c r="P2900" s="20">
        <v>11</v>
      </c>
      <c r="Q2900" s="20">
        <v>209.25476021800344</v>
      </c>
      <c r="R2900" s="21">
        <v>0.95</v>
      </c>
      <c r="S2900" s="20">
        <v>209.25476021800344</v>
      </c>
    </row>
    <row r="2901" spans="2:19" ht="15" customHeight="1" x14ac:dyDescent="0.25">
      <c r="B2901" s="2" t="str">
        <f t="shared" si="90"/>
        <v>NSG_Business_Small/Mid-Size Business_Assessments_Pre-Rinse Sprayer_0_Ci</v>
      </c>
      <c r="C2901" s="2" t="str">
        <f t="shared" si="91"/>
        <v>NSG_Business_Small/Mid-Size Business_Assessments_Pre-Rinse Sprayer_0_Ci_2022</v>
      </c>
      <c r="D2901" s="19" t="s">
        <v>1787</v>
      </c>
      <c r="E2901" s="19" t="s">
        <v>3</v>
      </c>
      <c r="F2901" s="19" t="s">
        <v>1432</v>
      </c>
      <c r="G2901" s="19" t="s">
        <v>1431</v>
      </c>
      <c r="H2901" s="19" t="s">
        <v>1219</v>
      </c>
      <c r="I2901" s="19">
        <v>0</v>
      </c>
      <c r="J2901" s="19" t="s">
        <v>43</v>
      </c>
      <c r="K2901" s="19" t="s">
        <v>1433</v>
      </c>
      <c r="L2901" s="19">
        <v>2022</v>
      </c>
      <c r="M2901" s="20">
        <v>1</v>
      </c>
      <c r="N2901" s="19" t="s">
        <v>1798</v>
      </c>
      <c r="O2901" s="20">
        <v>18</v>
      </c>
      <c r="P2901" s="20">
        <v>18</v>
      </c>
      <c r="Q2901" s="20">
        <v>4031.7978355200003</v>
      </c>
      <c r="R2901" s="21">
        <v>0.95</v>
      </c>
      <c r="S2901" s="20">
        <v>4031.7978355200003</v>
      </c>
    </row>
    <row r="2902" spans="2:19" ht="15" customHeight="1" x14ac:dyDescent="0.25">
      <c r="B2902" s="2" t="str">
        <f t="shared" si="90"/>
        <v>NSG_Business_Small/Mid-Size Business_Assessments_Pre-Rinse Sprayer_0_Ci</v>
      </c>
      <c r="C2902" s="2" t="str">
        <f t="shared" si="91"/>
        <v>NSG_Business_Small/Mid-Size Business_Assessments_Pre-Rinse Sprayer_0_Ci_2023</v>
      </c>
      <c r="D2902" s="19" t="s">
        <v>1787</v>
      </c>
      <c r="E2902" s="19" t="s">
        <v>3</v>
      </c>
      <c r="F2902" s="19" t="s">
        <v>1432</v>
      </c>
      <c r="G2902" s="19" t="s">
        <v>1431</v>
      </c>
      <c r="H2902" s="19" t="s">
        <v>1219</v>
      </c>
      <c r="I2902" s="19">
        <v>0</v>
      </c>
      <c r="J2902" s="19" t="s">
        <v>43</v>
      </c>
      <c r="K2902" s="19" t="s">
        <v>1433</v>
      </c>
      <c r="L2902" s="19">
        <v>2023</v>
      </c>
      <c r="M2902" s="20">
        <v>1</v>
      </c>
      <c r="N2902" s="19" t="s">
        <v>1798</v>
      </c>
      <c r="O2902" s="20">
        <v>16</v>
      </c>
      <c r="P2902" s="20">
        <v>16</v>
      </c>
      <c r="Q2902" s="20">
        <v>3583.8202982400003</v>
      </c>
      <c r="R2902" s="21">
        <v>0.95</v>
      </c>
      <c r="S2902" s="20">
        <v>3583.8202982400003</v>
      </c>
    </row>
    <row r="2903" spans="2:19" ht="15" customHeight="1" x14ac:dyDescent="0.25">
      <c r="B2903" s="2" t="str">
        <f t="shared" si="90"/>
        <v>NSG_Business_Small/Mid-Size Business_Assessments_Pre-Rinse Sprayer_0_Ci</v>
      </c>
      <c r="C2903" s="2" t="str">
        <f t="shared" si="91"/>
        <v>NSG_Business_Small/Mid-Size Business_Assessments_Pre-Rinse Sprayer_0_Ci_2024</v>
      </c>
      <c r="D2903" s="19" t="s">
        <v>1787</v>
      </c>
      <c r="E2903" s="19" t="s">
        <v>3</v>
      </c>
      <c r="F2903" s="19" t="s">
        <v>1432</v>
      </c>
      <c r="G2903" s="19" t="s">
        <v>1431</v>
      </c>
      <c r="H2903" s="19" t="s">
        <v>1219</v>
      </c>
      <c r="I2903" s="19">
        <v>0</v>
      </c>
      <c r="J2903" s="19" t="s">
        <v>43</v>
      </c>
      <c r="K2903" s="19" t="s">
        <v>1433</v>
      </c>
      <c r="L2903" s="19">
        <v>2024</v>
      </c>
      <c r="M2903" s="20">
        <v>1</v>
      </c>
      <c r="N2903" s="19" t="s">
        <v>1798</v>
      </c>
      <c r="O2903" s="20">
        <v>16</v>
      </c>
      <c r="P2903" s="20">
        <v>16</v>
      </c>
      <c r="Q2903" s="20">
        <v>3583.8202982400003</v>
      </c>
      <c r="R2903" s="21">
        <v>0.95</v>
      </c>
      <c r="S2903" s="20">
        <v>3583.8202982400003</v>
      </c>
    </row>
    <row r="2904" spans="2:19" ht="15" customHeight="1" x14ac:dyDescent="0.25">
      <c r="B2904" s="2" t="str">
        <f t="shared" si="90"/>
        <v>NSG_Business_Small/Mid-Size Business_Assessments_Pre-Rinse Sprayer_0_Ci</v>
      </c>
      <c r="C2904" s="2" t="str">
        <f t="shared" si="91"/>
        <v>NSG_Business_Small/Mid-Size Business_Assessments_Pre-Rinse Sprayer_0_Ci_2025</v>
      </c>
      <c r="D2904" s="19" t="s">
        <v>1787</v>
      </c>
      <c r="E2904" s="19" t="s">
        <v>3</v>
      </c>
      <c r="F2904" s="19" t="s">
        <v>1432</v>
      </c>
      <c r="G2904" s="19" t="s">
        <v>1431</v>
      </c>
      <c r="H2904" s="19" t="s">
        <v>1219</v>
      </c>
      <c r="I2904" s="19">
        <v>0</v>
      </c>
      <c r="J2904" s="19" t="s">
        <v>43</v>
      </c>
      <c r="K2904" s="19" t="s">
        <v>1433</v>
      </c>
      <c r="L2904" s="19">
        <v>2025</v>
      </c>
      <c r="M2904" s="20">
        <v>1</v>
      </c>
      <c r="N2904" s="19" t="s">
        <v>1798</v>
      </c>
      <c r="O2904" s="20">
        <v>15</v>
      </c>
      <c r="P2904" s="20">
        <v>15</v>
      </c>
      <c r="Q2904" s="20">
        <v>3359.8315296000005</v>
      </c>
      <c r="R2904" s="21">
        <v>0.95</v>
      </c>
      <c r="S2904" s="20">
        <v>3359.8315296000005</v>
      </c>
    </row>
    <row r="2905" spans="2:19" ht="15" customHeight="1" x14ac:dyDescent="0.25">
      <c r="B2905" s="2" t="str">
        <f t="shared" si="90"/>
        <v>NSG_Business_Small/Mid-Size Business_Assessments_Pipe Insulation_DHW_CI</v>
      </c>
      <c r="C2905" s="2" t="str">
        <f t="shared" si="91"/>
        <v>NSG_Business_Small/Mid-Size Business_Assessments_Pipe Insulation_DHW_CI_2022</v>
      </c>
      <c r="D2905" s="19" t="s">
        <v>1787</v>
      </c>
      <c r="E2905" s="19" t="s">
        <v>3</v>
      </c>
      <c r="F2905" s="19" t="s">
        <v>1432</v>
      </c>
      <c r="G2905" s="19" t="s">
        <v>1431</v>
      </c>
      <c r="H2905" s="19" t="s">
        <v>404</v>
      </c>
      <c r="I2905" s="19" t="s">
        <v>1019</v>
      </c>
      <c r="J2905" s="19" t="s">
        <v>1272</v>
      </c>
      <c r="K2905" s="19" t="s">
        <v>1159</v>
      </c>
      <c r="L2905" s="19">
        <v>2022</v>
      </c>
      <c r="M2905" s="20">
        <v>3</v>
      </c>
      <c r="N2905" s="19" t="s">
        <v>616</v>
      </c>
      <c r="O2905" s="20">
        <v>0</v>
      </c>
      <c r="P2905" s="20">
        <v>0</v>
      </c>
      <c r="Q2905" s="20">
        <v>0</v>
      </c>
      <c r="R2905" s="21">
        <v>0.95</v>
      </c>
      <c r="S2905" s="20">
        <v>0</v>
      </c>
    </row>
    <row r="2906" spans="2:19" ht="15" customHeight="1" x14ac:dyDescent="0.25">
      <c r="B2906" s="2" t="str">
        <f t="shared" si="90"/>
        <v>NSG_Business_Small/Mid-Size Business_Assessments_Pipe Insulation_DHW_CI</v>
      </c>
      <c r="C2906" s="2" t="str">
        <f t="shared" si="91"/>
        <v>NSG_Business_Small/Mid-Size Business_Assessments_Pipe Insulation_DHW_CI_2023</v>
      </c>
      <c r="D2906" s="19" t="s">
        <v>1787</v>
      </c>
      <c r="E2906" s="19" t="s">
        <v>3</v>
      </c>
      <c r="F2906" s="19" t="s">
        <v>1432</v>
      </c>
      <c r="G2906" s="19" t="s">
        <v>1431</v>
      </c>
      <c r="H2906" s="19" t="s">
        <v>404</v>
      </c>
      <c r="I2906" s="19" t="s">
        <v>1019</v>
      </c>
      <c r="J2906" s="19" t="s">
        <v>1272</v>
      </c>
      <c r="K2906" s="19" t="s">
        <v>1159</v>
      </c>
      <c r="L2906" s="19">
        <v>2023</v>
      </c>
      <c r="M2906" s="20">
        <v>3</v>
      </c>
      <c r="N2906" s="19" t="s">
        <v>616</v>
      </c>
      <c r="O2906" s="20">
        <v>0</v>
      </c>
      <c r="P2906" s="20">
        <v>0</v>
      </c>
      <c r="Q2906" s="20">
        <v>0</v>
      </c>
      <c r="R2906" s="21">
        <v>0.95</v>
      </c>
      <c r="S2906" s="20">
        <v>0</v>
      </c>
    </row>
    <row r="2907" spans="2:19" ht="15" customHeight="1" x14ac:dyDescent="0.25">
      <c r="B2907" s="2" t="str">
        <f t="shared" si="90"/>
        <v>NSG_Business_Small/Mid-Size Business_Assessments_Pipe Insulation_DHW_CI</v>
      </c>
      <c r="C2907" s="2" t="str">
        <f t="shared" si="91"/>
        <v>NSG_Business_Small/Mid-Size Business_Assessments_Pipe Insulation_DHW_CI_2024</v>
      </c>
      <c r="D2907" s="19" t="s">
        <v>1787</v>
      </c>
      <c r="E2907" s="19" t="s">
        <v>3</v>
      </c>
      <c r="F2907" s="19" t="s">
        <v>1432</v>
      </c>
      <c r="G2907" s="19" t="s">
        <v>1431</v>
      </c>
      <c r="H2907" s="19" t="s">
        <v>404</v>
      </c>
      <c r="I2907" s="19" t="s">
        <v>1019</v>
      </c>
      <c r="J2907" s="19" t="s">
        <v>1272</v>
      </c>
      <c r="K2907" s="19" t="s">
        <v>1159</v>
      </c>
      <c r="L2907" s="19">
        <v>2024</v>
      </c>
      <c r="M2907" s="20">
        <v>3</v>
      </c>
      <c r="N2907" s="19" t="s">
        <v>616</v>
      </c>
      <c r="O2907" s="20">
        <v>0</v>
      </c>
      <c r="P2907" s="20">
        <v>0</v>
      </c>
      <c r="Q2907" s="20">
        <v>0</v>
      </c>
      <c r="R2907" s="21">
        <v>0.95</v>
      </c>
      <c r="S2907" s="20">
        <v>0</v>
      </c>
    </row>
    <row r="2908" spans="2:19" ht="15" customHeight="1" x14ac:dyDescent="0.25">
      <c r="B2908" s="2" t="str">
        <f t="shared" si="90"/>
        <v>NSG_Business_Small/Mid-Size Business_Assessments_Pipe Insulation_DHW_CI</v>
      </c>
      <c r="C2908" s="2" t="str">
        <f t="shared" si="91"/>
        <v>NSG_Business_Small/Mid-Size Business_Assessments_Pipe Insulation_DHW_CI_2025</v>
      </c>
      <c r="D2908" s="19" t="s">
        <v>1787</v>
      </c>
      <c r="E2908" s="19" t="s">
        <v>3</v>
      </c>
      <c r="F2908" s="19" t="s">
        <v>1432</v>
      </c>
      <c r="G2908" s="19" t="s">
        <v>1431</v>
      </c>
      <c r="H2908" s="19" t="s">
        <v>404</v>
      </c>
      <c r="I2908" s="19" t="s">
        <v>1019</v>
      </c>
      <c r="J2908" s="19" t="s">
        <v>1272</v>
      </c>
      <c r="K2908" s="19" t="s">
        <v>1159</v>
      </c>
      <c r="L2908" s="19">
        <v>2025</v>
      </c>
      <c r="M2908" s="20">
        <v>3</v>
      </c>
      <c r="N2908" s="19" t="s">
        <v>616</v>
      </c>
      <c r="O2908" s="20">
        <v>0</v>
      </c>
      <c r="P2908" s="20">
        <v>0</v>
      </c>
      <c r="Q2908" s="20">
        <v>0</v>
      </c>
      <c r="R2908" s="21">
        <v>0.95</v>
      </c>
      <c r="S2908" s="20">
        <v>0</v>
      </c>
    </row>
    <row r="2909" spans="2:19" ht="15" customHeight="1" x14ac:dyDescent="0.25">
      <c r="B2909" s="2" t="str">
        <f t="shared" si="90"/>
        <v>NSG_Business_Small/Mid-Size Business_Assessments_Small Commercial Advanced Thermostat_0_CI</v>
      </c>
      <c r="C2909" s="2" t="str">
        <f t="shared" si="91"/>
        <v>NSG_Business_Small/Mid-Size Business_Assessments_Small Commercial Advanced Thermostat_0_CI_2022</v>
      </c>
      <c r="D2909" s="19" t="s">
        <v>1787</v>
      </c>
      <c r="E2909" s="19" t="s">
        <v>3</v>
      </c>
      <c r="F2909" s="19" t="s">
        <v>1432</v>
      </c>
      <c r="G2909" s="19" t="s">
        <v>1431</v>
      </c>
      <c r="H2909" s="19" t="s">
        <v>1302</v>
      </c>
      <c r="I2909" s="19">
        <v>0</v>
      </c>
      <c r="J2909" s="19" t="s">
        <v>1183</v>
      </c>
      <c r="K2909" s="19" t="s">
        <v>1159</v>
      </c>
      <c r="L2909" s="19">
        <v>2022</v>
      </c>
      <c r="M2909" s="20">
        <v>3</v>
      </c>
      <c r="N2909" s="19" t="s">
        <v>616</v>
      </c>
      <c r="O2909" s="20">
        <v>0</v>
      </c>
      <c r="P2909" s="20">
        <v>0</v>
      </c>
      <c r="Q2909" s="20">
        <v>0</v>
      </c>
      <c r="R2909" s="21">
        <v>0.95</v>
      </c>
      <c r="S2909" s="20">
        <v>0</v>
      </c>
    </row>
    <row r="2910" spans="2:19" ht="15" customHeight="1" x14ac:dyDescent="0.25">
      <c r="B2910" s="2" t="str">
        <f t="shared" si="90"/>
        <v>NSG_Business_Small/Mid-Size Business_Assessments_Small Commercial Advanced Thermostat_0_CI</v>
      </c>
      <c r="C2910" s="2" t="str">
        <f t="shared" si="91"/>
        <v>NSG_Business_Small/Mid-Size Business_Assessments_Small Commercial Advanced Thermostat_0_CI_2023</v>
      </c>
      <c r="D2910" s="19" t="s">
        <v>1787</v>
      </c>
      <c r="E2910" s="19" t="s">
        <v>3</v>
      </c>
      <c r="F2910" s="19" t="s">
        <v>1432</v>
      </c>
      <c r="G2910" s="19" t="s">
        <v>1431</v>
      </c>
      <c r="H2910" s="19" t="s">
        <v>1302</v>
      </c>
      <c r="I2910" s="19">
        <v>0</v>
      </c>
      <c r="J2910" s="19" t="s">
        <v>1183</v>
      </c>
      <c r="K2910" s="19" t="s">
        <v>1159</v>
      </c>
      <c r="L2910" s="19">
        <v>2023</v>
      </c>
      <c r="M2910" s="20">
        <v>3</v>
      </c>
      <c r="N2910" s="19" t="s">
        <v>616</v>
      </c>
      <c r="O2910" s="20">
        <v>0</v>
      </c>
      <c r="P2910" s="20">
        <v>0</v>
      </c>
      <c r="Q2910" s="20">
        <v>0</v>
      </c>
      <c r="R2910" s="21">
        <v>0.95</v>
      </c>
      <c r="S2910" s="20">
        <v>0</v>
      </c>
    </row>
    <row r="2911" spans="2:19" ht="15" customHeight="1" x14ac:dyDescent="0.25">
      <c r="B2911" s="2" t="str">
        <f t="shared" si="90"/>
        <v>NSG_Business_Small/Mid-Size Business_Assessments_Small Commercial Advanced Thermostat_0_CI</v>
      </c>
      <c r="C2911" s="2" t="str">
        <f t="shared" si="91"/>
        <v>NSG_Business_Small/Mid-Size Business_Assessments_Small Commercial Advanced Thermostat_0_CI_2024</v>
      </c>
      <c r="D2911" s="19" t="s">
        <v>1787</v>
      </c>
      <c r="E2911" s="19" t="s">
        <v>3</v>
      </c>
      <c r="F2911" s="19" t="s">
        <v>1432</v>
      </c>
      <c r="G2911" s="19" t="s">
        <v>1431</v>
      </c>
      <c r="H2911" s="19" t="s">
        <v>1302</v>
      </c>
      <c r="I2911" s="19">
        <v>0</v>
      </c>
      <c r="J2911" s="19" t="s">
        <v>1183</v>
      </c>
      <c r="K2911" s="19" t="s">
        <v>1159</v>
      </c>
      <c r="L2911" s="19">
        <v>2024</v>
      </c>
      <c r="M2911" s="20">
        <v>3</v>
      </c>
      <c r="N2911" s="19" t="s">
        <v>616</v>
      </c>
      <c r="O2911" s="20">
        <v>0</v>
      </c>
      <c r="P2911" s="20">
        <v>0</v>
      </c>
      <c r="Q2911" s="20">
        <v>0</v>
      </c>
      <c r="R2911" s="21">
        <v>0.95</v>
      </c>
      <c r="S2911" s="20">
        <v>0</v>
      </c>
    </row>
    <row r="2912" spans="2:19" ht="15" customHeight="1" x14ac:dyDescent="0.25">
      <c r="B2912" s="2" t="str">
        <f t="shared" si="90"/>
        <v>NSG_Business_Small/Mid-Size Business_Assessments_Small Commercial Advanced Thermostat_0_CI</v>
      </c>
      <c r="C2912" s="2" t="str">
        <f t="shared" si="91"/>
        <v>NSG_Business_Small/Mid-Size Business_Assessments_Small Commercial Advanced Thermostat_0_CI_2025</v>
      </c>
      <c r="D2912" s="19" t="s">
        <v>1787</v>
      </c>
      <c r="E2912" s="19" t="s">
        <v>3</v>
      </c>
      <c r="F2912" s="19" t="s">
        <v>1432</v>
      </c>
      <c r="G2912" s="19" t="s">
        <v>1431</v>
      </c>
      <c r="H2912" s="19" t="s">
        <v>1302</v>
      </c>
      <c r="I2912" s="19">
        <v>0</v>
      </c>
      <c r="J2912" s="19" t="s">
        <v>1183</v>
      </c>
      <c r="K2912" s="19" t="s">
        <v>1159</v>
      </c>
      <c r="L2912" s="19">
        <v>2025</v>
      </c>
      <c r="M2912" s="20">
        <v>3</v>
      </c>
      <c r="N2912" s="19" t="s">
        <v>616</v>
      </c>
      <c r="O2912" s="20">
        <v>0</v>
      </c>
      <c r="P2912" s="20">
        <v>0</v>
      </c>
      <c r="Q2912" s="20">
        <v>0</v>
      </c>
      <c r="R2912" s="21">
        <v>0.95</v>
      </c>
      <c r="S2912" s="20">
        <v>0</v>
      </c>
    </row>
    <row r="2913" spans="2:19" ht="15" customHeight="1" x14ac:dyDescent="0.25">
      <c r="B2913" s="2" t="str">
        <f t="shared" si="90"/>
        <v>NSG_Business_Small/Mid-Size Business_Assessments_Programmable Thermostat_0_CI</v>
      </c>
      <c r="C2913" s="2" t="str">
        <f t="shared" si="91"/>
        <v>NSG_Business_Small/Mid-Size Business_Assessments_Programmable Thermostat_0_CI_2022</v>
      </c>
      <c r="D2913" s="19" t="s">
        <v>1787</v>
      </c>
      <c r="E2913" s="19" t="s">
        <v>3</v>
      </c>
      <c r="F2913" s="19" t="s">
        <v>1432</v>
      </c>
      <c r="G2913" s="19" t="s">
        <v>1431</v>
      </c>
      <c r="H2913" s="19" t="s">
        <v>224</v>
      </c>
      <c r="I2913" s="19">
        <v>0</v>
      </c>
      <c r="J2913" s="19" t="s">
        <v>1183</v>
      </c>
      <c r="K2913" s="19" t="s">
        <v>1159</v>
      </c>
      <c r="L2913" s="19">
        <v>2022</v>
      </c>
      <c r="M2913" s="20">
        <v>3</v>
      </c>
      <c r="N2913" s="19" t="s">
        <v>616</v>
      </c>
      <c r="O2913" s="20">
        <v>0</v>
      </c>
      <c r="P2913" s="20">
        <v>0</v>
      </c>
      <c r="Q2913" s="20">
        <v>0</v>
      </c>
      <c r="R2913" s="21">
        <v>0.95</v>
      </c>
      <c r="S2913" s="20">
        <v>0</v>
      </c>
    </row>
    <row r="2914" spans="2:19" ht="15" customHeight="1" x14ac:dyDescent="0.25">
      <c r="B2914" s="2" t="str">
        <f t="shared" si="90"/>
        <v>NSG_Business_Small/Mid-Size Business_Assessments_Programmable Thermostat_0_CI</v>
      </c>
      <c r="C2914" s="2" t="str">
        <f t="shared" si="91"/>
        <v>NSG_Business_Small/Mid-Size Business_Assessments_Programmable Thermostat_0_CI_2023</v>
      </c>
      <c r="D2914" s="19" t="s">
        <v>1787</v>
      </c>
      <c r="E2914" s="19" t="s">
        <v>3</v>
      </c>
      <c r="F2914" s="19" t="s">
        <v>1432</v>
      </c>
      <c r="G2914" s="19" t="s">
        <v>1431</v>
      </c>
      <c r="H2914" s="19" t="s">
        <v>224</v>
      </c>
      <c r="I2914" s="19">
        <v>0</v>
      </c>
      <c r="J2914" s="19" t="s">
        <v>1183</v>
      </c>
      <c r="K2914" s="19" t="s">
        <v>1159</v>
      </c>
      <c r="L2914" s="19">
        <v>2023</v>
      </c>
      <c r="M2914" s="20">
        <v>3</v>
      </c>
      <c r="N2914" s="19" t="s">
        <v>616</v>
      </c>
      <c r="O2914" s="20">
        <v>0</v>
      </c>
      <c r="P2914" s="20">
        <v>0</v>
      </c>
      <c r="Q2914" s="20">
        <v>0</v>
      </c>
      <c r="R2914" s="21">
        <v>0.95</v>
      </c>
      <c r="S2914" s="20">
        <v>0</v>
      </c>
    </row>
    <row r="2915" spans="2:19" ht="15" customHeight="1" x14ac:dyDescent="0.25">
      <c r="B2915" s="2" t="str">
        <f t="shared" si="90"/>
        <v>NSG_Business_Small/Mid-Size Business_Assessments_Programmable Thermostat_0_CI</v>
      </c>
      <c r="C2915" s="2" t="str">
        <f t="shared" si="91"/>
        <v>NSG_Business_Small/Mid-Size Business_Assessments_Programmable Thermostat_0_CI_2024</v>
      </c>
      <c r="D2915" s="19" t="s">
        <v>1787</v>
      </c>
      <c r="E2915" s="19" t="s">
        <v>3</v>
      </c>
      <c r="F2915" s="19" t="s">
        <v>1432</v>
      </c>
      <c r="G2915" s="19" t="s">
        <v>1431</v>
      </c>
      <c r="H2915" s="19" t="s">
        <v>224</v>
      </c>
      <c r="I2915" s="19">
        <v>0</v>
      </c>
      <c r="J2915" s="19" t="s">
        <v>1183</v>
      </c>
      <c r="K2915" s="19" t="s">
        <v>1159</v>
      </c>
      <c r="L2915" s="19">
        <v>2024</v>
      </c>
      <c r="M2915" s="20">
        <v>3</v>
      </c>
      <c r="N2915" s="19" t="s">
        <v>616</v>
      </c>
      <c r="O2915" s="20">
        <v>0</v>
      </c>
      <c r="P2915" s="20">
        <v>0</v>
      </c>
      <c r="Q2915" s="20">
        <v>0</v>
      </c>
      <c r="R2915" s="21">
        <v>0.95</v>
      </c>
      <c r="S2915" s="20">
        <v>0</v>
      </c>
    </row>
    <row r="2916" spans="2:19" ht="15" customHeight="1" x14ac:dyDescent="0.25">
      <c r="B2916" s="2" t="str">
        <f t="shared" si="90"/>
        <v>NSG_Business_Small/Mid-Size Business_Assessments_Programmable Thermostat_0_CI</v>
      </c>
      <c r="C2916" s="2" t="str">
        <f t="shared" si="91"/>
        <v>NSG_Business_Small/Mid-Size Business_Assessments_Programmable Thermostat_0_CI_2025</v>
      </c>
      <c r="D2916" s="19" t="s">
        <v>1787</v>
      </c>
      <c r="E2916" s="19" t="s">
        <v>3</v>
      </c>
      <c r="F2916" s="19" t="s">
        <v>1432</v>
      </c>
      <c r="G2916" s="19" t="s">
        <v>1431</v>
      </c>
      <c r="H2916" s="19" t="s">
        <v>224</v>
      </c>
      <c r="I2916" s="19">
        <v>0</v>
      </c>
      <c r="J2916" s="19" t="s">
        <v>1183</v>
      </c>
      <c r="K2916" s="19" t="s">
        <v>1159</v>
      </c>
      <c r="L2916" s="19">
        <v>2025</v>
      </c>
      <c r="M2916" s="20">
        <v>3</v>
      </c>
      <c r="N2916" s="19" t="s">
        <v>616</v>
      </c>
      <c r="O2916" s="20">
        <v>0</v>
      </c>
      <c r="P2916" s="20">
        <v>0</v>
      </c>
      <c r="Q2916" s="20">
        <v>0</v>
      </c>
      <c r="R2916" s="21">
        <v>0.95</v>
      </c>
      <c r="S2916" s="20">
        <v>0</v>
      </c>
    </row>
    <row r="2917" spans="2:19" ht="15" customHeight="1" x14ac:dyDescent="0.25">
      <c r="B2917" s="2" t="str">
        <f t="shared" si="90"/>
        <v>NSG_Business_Small/Mid-Size Business_Kits_SMB Kit_Motel Kit_SMB</v>
      </c>
      <c r="C2917" s="2" t="str">
        <f t="shared" si="91"/>
        <v>NSG_Business_Small/Mid-Size Business_Kits_SMB Kit_Motel Kit_SMB_2022</v>
      </c>
      <c r="D2917" s="19" t="s">
        <v>1787</v>
      </c>
      <c r="E2917" s="19" t="s">
        <v>3</v>
      </c>
      <c r="F2917" s="19" t="s">
        <v>1432</v>
      </c>
      <c r="G2917" s="19" t="s">
        <v>1434</v>
      </c>
      <c r="H2917" s="19" t="s">
        <v>1364</v>
      </c>
      <c r="I2917" s="19" t="s">
        <v>1393</v>
      </c>
      <c r="J2917" s="19" t="s">
        <v>1394</v>
      </c>
      <c r="K2917" s="19" t="s">
        <v>1220</v>
      </c>
      <c r="L2917" s="19">
        <v>2022</v>
      </c>
      <c r="M2917" s="20">
        <v>1</v>
      </c>
      <c r="N2917" s="19" t="s">
        <v>1808</v>
      </c>
      <c r="O2917" s="20">
        <v>18</v>
      </c>
      <c r="P2917" s="20">
        <v>18</v>
      </c>
      <c r="Q2917" s="20">
        <v>2203.3294919999998</v>
      </c>
      <c r="R2917" s="21">
        <v>0.91</v>
      </c>
      <c r="S2917" s="20">
        <v>2203.3294919999998</v>
      </c>
    </row>
    <row r="2918" spans="2:19" ht="15" customHeight="1" x14ac:dyDescent="0.25">
      <c r="B2918" s="2" t="str">
        <f t="shared" si="90"/>
        <v>NSG_Business_Small/Mid-Size Business_Kits_SMB Kit_Motel Kit_SMB</v>
      </c>
      <c r="C2918" s="2" t="str">
        <f t="shared" si="91"/>
        <v>NSG_Business_Small/Mid-Size Business_Kits_SMB Kit_Motel Kit_SMB_2023</v>
      </c>
      <c r="D2918" s="19" t="s">
        <v>1787</v>
      </c>
      <c r="E2918" s="19" t="s">
        <v>3</v>
      </c>
      <c r="F2918" s="19" t="s">
        <v>1432</v>
      </c>
      <c r="G2918" s="19" t="s">
        <v>1434</v>
      </c>
      <c r="H2918" s="19" t="s">
        <v>1364</v>
      </c>
      <c r="I2918" s="19" t="s">
        <v>1393</v>
      </c>
      <c r="J2918" s="19" t="s">
        <v>1394</v>
      </c>
      <c r="K2918" s="19" t="s">
        <v>1220</v>
      </c>
      <c r="L2918" s="19">
        <v>2023</v>
      </c>
      <c r="M2918" s="20">
        <v>1</v>
      </c>
      <c r="N2918" s="19" t="s">
        <v>1808</v>
      </c>
      <c r="O2918" s="20">
        <v>16</v>
      </c>
      <c r="P2918" s="20">
        <v>16</v>
      </c>
      <c r="Q2918" s="20">
        <v>1958.5151039999998</v>
      </c>
      <c r="R2918" s="21">
        <v>0.91</v>
      </c>
      <c r="S2918" s="20">
        <v>1958.5151039999998</v>
      </c>
    </row>
    <row r="2919" spans="2:19" ht="15" customHeight="1" x14ac:dyDescent="0.25">
      <c r="B2919" s="2" t="str">
        <f t="shared" si="90"/>
        <v>NSG_Business_Small/Mid-Size Business_Kits_SMB Kit_Motel Kit_SMB</v>
      </c>
      <c r="C2919" s="2" t="str">
        <f t="shared" si="91"/>
        <v>NSG_Business_Small/Mid-Size Business_Kits_SMB Kit_Motel Kit_SMB_2024</v>
      </c>
      <c r="D2919" s="19" t="s">
        <v>1787</v>
      </c>
      <c r="E2919" s="19" t="s">
        <v>3</v>
      </c>
      <c r="F2919" s="19" t="s">
        <v>1432</v>
      </c>
      <c r="G2919" s="19" t="s">
        <v>1434</v>
      </c>
      <c r="H2919" s="19" t="s">
        <v>1364</v>
      </c>
      <c r="I2919" s="19" t="s">
        <v>1393</v>
      </c>
      <c r="J2919" s="19" t="s">
        <v>1394</v>
      </c>
      <c r="K2919" s="19" t="s">
        <v>1220</v>
      </c>
      <c r="L2919" s="19">
        <v>2024</v>
      </c>
      <c r="M2919" s="20">
        <v>1</v>
      </c>
      <c r="N2919" s="19" t="s">
        <v>1808</v>
      </c>
      <c r="O2919" s="20">
        <v>16</v>
      </c>
      <c r="P2919" s="20">
        <v>16</v>
      </c>
      <c r="Q2919" s="20">
        <v>1958.5151039999998</v>
      </c>
      <c r="R2919" s="21">
        <v>0.91</v>
      </c>
      <c r="S2919" s="20">
        <v>1958.5151039999998</v>
      </c>
    </row>
    <row r="2920" spans="2:19" ht="15" customHeight="1" x14ac:dyDescent="0.25">
      <c r="B2920" s="2" t="str">
        <f t="shared" si="90"/>
        <v>NSG_Business_Small/Mid-Size Business_Kits_SMB Kit_Motel Kit_SMB</v>
      </c>
      <c r="C2920" s="2" t="str">
        <f t="shared" si="91"/>
        <v>NSG_Business_Small/Mid-Size Business_Kits_SMB Kit_Motel Kit_SMB_2025</v>
      </c>
      <c r="D2920" s="19" t="s">
        <v>1787</v>
      </c>
      <c r="E2920" s="19" t="s">
        <v>3</v>
      </c>
      <c r="F2920" s="19" t="s">
        <v>1432</v>
      </c>
      <c r="G2920" s="19" t="s">
        <v>1434</v>
      </c>
      <c r="H2920" s="19" t="s">
        <v>1364</v>
      </c>
      <c r="I2920" s="19" t="s">
        <v>1393</v>
      </c>
      <c r="J2920" s="19" t="s">
        <v>1394</v>
      </c>
      <c r="K2920" s="19" t="s">
        <v>1220</v>
      </c>
      <c r="L2920" s="19">
        <v>2025</v>
      </c>
      <c r="M2920" s="20">
        <v>1</v>
      </c>
      <c r="N2920" s="19" t="s">
        <v>1808</v>
      </c>
      <c r="O2920" s="20">
        <v>15</v>
      </c>
      <c r="P2920" s="20">
        <v>15</v>
      </c>
      <c r="Q2920" s="20">
        <v>1836.1079099999999</v>
      </c>
      <c r="R2920" s="21">
        <v>0.91</v>
      </c>
      <c r="S2920" s="20">
        <v>1836.1079099999999</v>
      </c>
    </row>
    <row r="2921" spans="2:19" ht="15" customHeight="1" x14ac:dyDescent="0.25">
      <c r="B2921" s="2" t="str">
        <f t="shared" si="90"/>
        <v>NSG_Business_Small/Mid-Size Business_Kits_SMB Kit_School - Grocery_SMB</v>
      </c>
      <c r="C2921" s="2" t="str">
        <f t="shared" si="91"/>
        <v>NSG_Business_Small/Mid-Size Business_Kits_SMB Kit_School - Grocery_SMB_2022</v>
      </c>
      <c r="D2921" s="19" t="s">
        <v>1787</v>
      </c>
      <c r="E2921" s="19" t="s">
        <v>3</v>
      </c>
      <c r="F2921" s="19" t="s">
        <v>1432</v>
      </c>
      <c r="G2921" s="19" t="s">
        <v>1434</v>
      </c>
      <c r="H2921" s="19" t="s">
        <v>1364</v>
      </c>
      <c r="I2921" s="19" t="s">
        <v>1395</v>
      </c>
      <c r="J2921" s="19" t="s">
        <v>1394</v>
      </c>
      <c r="K2921" s="19" t="s">
        <v>1220</v>
      </c>
      <c r="L2921" s="19">
        <v>2022</v>
      </c>
      <c r="M2921" s="20">
        <v>1</v>
      </c>
      <c r="N2921" s="19" t="s">
        <v>1808</v>
      </c>
      <c r="O2921" s="20">
        <v>18</v>
      </c>
      <c r="P2921" s="20">
        <v>18</v>
      </c>
      <c r="Q2921" s="20">
        <v>1792.1364480000002</v>
      </c>
      <c r="R2921" s="21">
        <v>0.92</v>
      </c>
      <c r="S2921" s="20">
        <v>1792.1364480000002</v>
      </c>
    </row>
    <row r="2922" spans="2:19" ht="15" customHeight="1" x14ac:dyDescent="0.25">
      <c r="B2922" s="2" t="str">
        <f t="shared" si="90"/>
        <v>NSG_Business_Small/Mid-Size Business_Kits_SMB Kit_School - Grocery_SMB</v>
      </c>
      <c r="C2922" s="2" t="str">
        <f t="shared" si="91"/>
        <v>NSG_Business_Small/Mid-Size Business_Kits_SMB Kit_School - Grocery_SMB_2023</v>
      </c>
      <c r="D2922" s="19" t="s">
        <v>1787</v>
      </c>
      <c r="E2922" s="19" t="s">
        <v>3</v>
      </c>
      <c r="F2922" s="19" t="s">
        <v>1432</v>
      </c>
      <c r="G2922" s="19" t="s">
        <v>1434</v>
      </c>
      <c r="H2922" s="19" t="s">
        <v>1364</v>
      </c>
      <c r="I2922" s="19" t="s">
        <v>1395</v>
      </c>
      <c r="J2922" s="19" t="s">
        <v>1394</v>
      </c>
      <c r="K2922" s="19" t="s">
        <v>1220</v>
      </c>
      <c r="L2922" s="19">
        <v>2023</v>
      </c>
      <c r="M2922" s="20">
        <v>1</v>
      </c>
      <c r="N2922" s="19" t="s">
        <v>1808</v>
      </c>
      <c r="O2922" s="20">
        <v>16</v>
      </c>
      <c r="P2922" s="20">
        <v>16</v>
      </c>
      <c r="Q2922" s="20">
        <v>1593.010176</v>
      </c>
      <c r="R2922" s="21">
        <v>0.92</v>
      </c>
      <c r="S2922" s="20">
        <v>1593.010176</v>
      </c>
    </row>
    <row r="2923" spans="2:19" ht="15" customHeight="1" x14ac:dyDescent="0.25">
      <c r="B2923" s="2" t="str">
        <f t="shared" si="90"/>
        <v>NSG_Business_Small/Mid-Size Business_Kits_SMB Kit_School - Grocery_SMB</v>
      </c>
      <c r="C2923" s="2" t="str">
        <f t="shared" si="91"/>
        <v>NSG_Business_Small/Mid-Size Business_Kits_SMB Kit_School - Grocery_SMB_2024</v>
      </c>
      <c r="D2923" s="19" t="s">
        <v>1787</v>
      </c>
      <c r="E2923" s="19" t="s">
        <v>3</v>
      </c>
      <c r="F2923" s="19" t="s">
        <v>1432</v>
      </c>
      <c r="G2923" s="19" t="s">
        <v>1434</v>
      </c>
      <c r="H2923" s="19" t="s">
        <v>1364</v>
      </c>
      <c r="I2923" s="19" t="s">
        <v>1395</v>
      </c>
      <c r="J2923" s="19" t="s">
        <v>1394</v>
      </c>
      <c r="K2923" s="19" t="s">
        <v>1220</v>
      </c>
      <c r="L2923" s="19">
        <v>2024</v>
      </c>
      <c r="M2923" s="20">
        <v>1</v>
      </c>
      <c r="N2923" s="19" t="s">
        <v>1808</v>
      </c>
      <c r="O2923" s="20">
        <v>16</v>
      </c>
      <c r="P2923" s="20">
        <v>16</v>
      </c>
      <c r="Q2923" s="20">
        <v>1593.010176</v>
      </c>
      <c r="R2923" s="21">
        <v>0.92</v>
      </c>
      <c r="S2923" s="20">
        <v>1593.010176</v>
      </c>
    </row>
    <row r="2924" spans="2:19" ht="15" customHeight="1" x14ac:dyDescent="0.25">
      <c r="B2924" s="2" t="str">
        <f t="shared" si="90"/>
        <v>NSG_Business_Small/Mid-Size Business_Kits_SMB Kit_School - Grocery_SMB</v>
      </c>
      <c r="C2924" s="2" t="str">
        <f t="shared" si="91"/>
        <v>NSG_Business_Small/Mid-Size Business_Kits_SMB Kit_School - Grocery_SMB_2025</v>
      </c>
      <c r="D2924" s="19" t="s">
        <v>1787</v>
      </c>
      <c r="E2924" s="19" t="s">
        <v>3</v>
      </c>
      <c r="F2924" s="19" t="s">
        <v>1432</v>
      </c>
      <c r="G2924" s="19" t="s">
        <v>1434</v>
      </c>
      <c r="H2924" s="19" t="s">
        <v>1364</v>
      </c>
      <c r="I2924" s="19" t="s">
        <v>1395</v>
      </c>
      <c r="J2924" s="19" t="s">
        <v>1394</v>
      </c>
      <c r="K2924" s="19" t="s">
        <v>1220</v>
      </c>
      <c r="L2924" s="19">
        <v>2025</v>
      </c>
      <c r="M2924" s="20">
        <v>1</v>
      </c>
      <c r="N2924" s="19" t="s">
        <v>1808</v>
      </c>
      <c r="O2924" s="20">
        <v>15</v>
      </c>
      <c r="P2924" s="20">
        <v>15</v>
      </c>
      <c r="Q2924" s="20">
        <v>1493.44704</v>
      </c>
      <c r="R2924" s="21">
        <v>0.92</v>
      </c>
      <c r="S2924" s="20">
        <v>1493.44704</v>
      </c>
    </row>
    <row r="2925" spans="2:19" ht="15" customHeight="1" x14ac:dyDescent="0.25">
      <c r="B2925" s="2" t="str">
        <f t="shared" si="90"/>
        <v>NSG_Business_Small/Mid-Size Business_Kits_SMB Kit_General - Worship_SMB</v>
      </c>
      <c r="C2925" s="2" t="str">
        <f t="shared" si="91"/>
        <v>NSG_Business_Small/Mid-Size Business_Kits_SMB Kit_General - Worship_SMB_2022</v>
      </c>
      <c r="D2925" s="19" t="s">
        <v>1787</v>
      </c>
      <c r="E2925" s="19" t="s">
        <v>3</v>
      </c>
      <c r="F2925" s="19" t="s">
        <v>1432</v>
      </c>
      <c r="G2925" s="19" t="s">
        <v>1434</v>
      </c>
      <c r="H2925" s="19" t="s">
        <v>1364</v>
      </c>
      <c r="I2925" s="19" t="s">
        <v>1396</v>
      </c>
      <c r="J2925" s="19" t="s">
        <v>1394</v>
      </c>
      <c r="K2925" s="19" t="s">
        <v>1220</v>
      </c>
      <c r="L2925" s="19">
        <v>2022</v>
      </c>
      <c r="M2925" s="20">
        <v>1</v>
      </c>
      <c r="N2925" s="19" t="s">
        <v>1808</v>
      </c>
      <c r="O2925" s="20">
        <v>90</v>
      </c>
      <c r="P2925" s="20">
        <v>90</v>
      </c>
      <c r="Q2925" s="20">
        <v>3741.3511199999998</v>
      </c>
      <c r="R2925" s="21">
        <v>0.92</v>
      </c>
      <c r="S2925" s="20">
        <v>3741.3511199999998</v>
      </c>
    </row>
    <row r="2926" spans="2:19" ht="15" customHeight="1" x14ac:dyDescent="0.25">
      <c r="B2926" s="2" t="str">
        <f t="shared" si="90"/>
        <v>NSG_Business_Small/Mid-Size Business_Kits_SMB Kit_General - Worship_SMB</v>
      </c>
      <c r="C2926" s="2" t="str">
        <f t="shared" si="91"/>
        <v>NSG_Business_Small/Mid-Size Business_Kits_SMB Kit_General - Worship_SMB_2023</v>
      </c>
      <c r="D2926" s="19" t="s">
        <v>1787</v>
      </c>
      <c r="E2926" s="19" t="s">
        <v>3</v>
      </c>
      <c r="F2926" s="19" t="s">
        <v>1432</v>
      </c>
      <c r="G2926" s="19" t="s">
        <v>1434</v>
      </c>
      <c r="H2926" s="19" t="s">
        <v>1364</v>
      </c>
      <c r="I2926" s="19" t="s">
        <v>1396</v>
      </c>
      <c r="J2926" s="19" t="s">
        <v>1394</v>
      </c>
      <c r="K2926" s="19" t="s">
        <v>1220</v>
      </c>
      <c r="L2926" s="19">
        <v>2023</v>
      </c>
      <c r="M2926" s="20">
        <v>1</v>
      </c>
      <c r="N2926" s="19" t="s">
        <v>1808</v>
      </c>
      <c r="O2926" s="20">
        <v>82</v>
      </c>
      <c r="P2926" s="20">
        <v>82</v>
      </c>
      <c r="Q2926" s="20">
        <v>3408.786576</v>
      </c>
      <c r="R2926" s="21">
        <v>0.92</v>
      </c>
      <c r="S2926" s="20">
        <v>3408.786576</v>
      </c>
    </row>
    <row r="2927" spans="2:19" ht="15" customHeight="1" x14ac:dyDescent="0.25">
      <c r="B2927" s="2" t="str">
        <f t="shared" si="90"/>
        <v>NSG_Business_Small/Mid-Size Business_Kits_SMB Kit_General - Worship_SMB</v>
      </c>
      <c r="C2927" s="2" t="str">
        <f t="shared" si="91"/>
        <v>NSG_Business_Small/Mid-Size Business_Kits_SMB Kit_General - Worship_SMB_2024</v>
      </c>
      <c r="D2927" s="19" t="s">
        <v>1787</v>
      </c>
      <c r="E2927" s="19" t="s">
        <v>3</v>
      </c>
      <c r="F2927" s="19" t="s">
        <v>1432</v>
      </c>
      <c r="G2927" s="19" t="s">
        <v>1434</v>
      </c>
      <c r="H2927" s="19" t="s">
        <v>1364</v>
      </c>
      <c r="I2927" s="19" t="s">
        <v>1396</v>
      </c>
      <c r="J2927" s="19" t="s">
        <v>1394</v>
      </c>
      <c r="K2927" s="19" t="s">
        <v>1220</v>
      </c>
      <c r="L2927" s="19">
        <v>2024</v>
      </c>
      <c r="M2927" s="20">
        <v>1</v>
      </c>
      <c r="N2927" s="19" t="s">
        <v>1808</v>
      </c>
      <c r="O2927" s="20">
        <v>80</v>
      </c>
      <c r="P2927" s="20">
        <v>80</v>
      </c>
      <c r="Q2927" s="20">
        <v>3325.6454399999998</v>
      </c>
      <c r="R2927" s="21">
        <v>0.92</v>
      </c>
      <c r="S2927" s="20">
        <v>3325.6454399999998</v>
      </c>
    </row>
    <row r="2928" spans="2:19" ht="15" customHeight="1" x14ac:dyDescent="0.25">
      <c r="B2928" s="2" t="str">
        <f t="shared" si="90"/>
        <v>NSG_Business_Small/Mid-Size Business_Kits_SMB Kit_General - Worship_SMB</v>
      </c>
      <c r="C2928" s="2" t="str">
        <f t="shared" si="91"/>
        <v>NSG_Business_Small/Mid-Size Business_Kits_SMB Kit_General - Worship_SMB_2025</v>
      </c>
      <c r="D2928" s="19" t="s">
        <v>1787</v>
      </c>
      <c r="E2928" s="19" t="s">
        <v>3</v>
      </c>
      <c r="F2928" s="19" t="s">
        <v>1432</v>
      </c>
      <c r="G2928" s="19" t="s">
        <v>1434</v>
      </c>
      <c r="H2928" s="19" t="s">
        <v>1364</v>
      </c>
      <c r="I2928" s="19" t="s">
        <v>1396</v>
      </c>
      <c r="J2928" s="19" t="s">
        <v>1394</v>
      </c>
      <c r="K2928" s="19" t="s">
        <v>1220</v>
      </c>
      <c r="L2928" s="19">
        <v>2025</v>
      </c>
      <c r="M2928" s="20">
        <v>1</v>
      </c>
      <c r="N2928" s="19" t="s">
        <v>1808</v>
      </c>
      <c r="O2928" s="20">
        <v>75</v>
      </c>
      <c r="P2928" s="20">
        <v>75</v>
      </c>
      <c r="Q2928" s="20">
        <v>3117.7925999999998</v>
      </c>
      <c r="R2928" s="21">
        <v>0.92</v>
      </c>
      <c r="S2928" s="20">
        <v>3117.7925999999998</v>
      </c>
    </row>
    <row r="2929" spans="2:19" ht="15" customHeight="1" x14ac:dyDescent="0.25">
      <c r="B2929" s="2" t="str">
        <f t="shared" si="90"/>
        <v>NSG_Business_Small/Mid-Size Business_Gas Optimization_C&amp;I Gas Optimization_0_CI</v>
      </c>
      <c r="C2929" s="2" t="str">
        <f t="shared" si="91"/>
        <v>NSG_Business_Small/Mid-Size Business_Gas Optimization_C&amp;I Gas Optimization_0_CI_2022</v>
      </c>
      <c r="D2929" s="19" t="s">
        <v>1787</v>
      </c>
      <c r="E2929" s="19" t="s">
        <v>3</v>
      </c>
      <c r="F2929" s="19" t="s">
        <v>1432</v>
      </c>
      <c r="G2929" s="19" t="s">
        <v>1098</v>
      </c>
      <c r="H2929" s="19" t="s">
        <v>1283</v>
      </c>
      <c r="I2929" s="19">
        <v>0</v>
      </c>
      <c r="J2929" s="19">
        <v>0</v>
      </c>
      <c r="K2929" s="19" t="s">
        <v>1159</v>
      </c>
      <c r="L2929" s="19">
        <v>2022</v>
      </c>
      <c r="M2929" s="20">
        <v>10588.58</v>
      </c>
      <c r="N2929" s="19" t="s">
        <v>609</v>
      </c>
      <c r="O2929" s="20">
        <v>2</v>
      </c>
      <c r="P2929" s="20">
        <v>21177.16</v>
      </c>
      <c r="Q2929" s="20">
        <v>19482.9872</v>
      </c>
      <c r="R2929" s="21">
        <v>0.92</v>
      </c>
      <c r="S2929" s="20">
        <v>19482.9872</v>
      </c>
    </row>
    <row r="2930" spans="2:19" ht="15" customHeight="1" x14ac:dyDescent="0.25">
      <c r="B2930" s="2" t="str">
        <f t="shared" si="90"/>
        <v>NSG_Business_Small/Mid-Size Business_Gas Optimization_C&amp;I Gas Optimization_0_CI</v>
      </c>
      <c r="C2930" s="2" t="str">
        <f t="shared" si="91"/>
        <v>NSG_Business_Small/Mid-Size Business_Gas Optimization_C&amp;I Gas Optimization_0_CI_2023</v>
      </c>
      <c r="D2930" s="19" t="s">
        <v>1787</v>
      </c>
      <c r="E2930" s="19" t="s">
        <v>3</v>
      </c>
      <c r="F2930" s="19" t="s">
        <v>1432</v>
      </c>
      <c r="G2930" s="19" t="s">
        <v>1098</v>
      </c>
      <c r="H2930" s="19" t="s">
        <v>1283</v>
      </c>
      <c r="I2930" s="19">
        <v>0</v>
      </c>
      <c r="J2930" s="19">
        <v>0</v>
      </c>
      <c r="K2930" s="19" t="s">
        <v>1159</v>
      </c>
      <c r="L2930" s="19">
        <v>2023</v>
      </c>
      <c r="M2930" s="20">
        <v>10588.58</v>
      </c>
      <c r="N2930" s="19" t="s">
        <v>609</v>
      </c>
      <c r="O2930" s="20">
        <v>2</v>
      </c>
      <c r="P2930" s="20">
        <v>21177.16</v>
      </c>
      <c r="Q2930" s="20">
        <v>19482.9872</v>
      </c>
      <c r="R2930" s="21">
        <v>0.92</v>
      </c>
      <c r="S2930" s="20">
        <v>19482.9872</v>
      </c>
    </row>
    <row r="2931" spans="2:19" ht="15" customHeight="1" x14ac:dyDescent="0.25">
      <c r="B2931" s="2" t="str">
        <f t="shared" si="90"/>
        <v>NSG_Business_Small/Mid-Size Business_Gas Optimization_C&amp;I Gas Optimization_0_CI</v>
      </c>
      <c r="C2931" s="2" t="str">
        <f t="shared" si="91"/>
        <v>NSG_Business_Small/Mid-Size Business_Gas Optimization_C&amp;I Gas Optimization_0_CI_2024</v>
      </c>
      <c r="D2931" s="19" t="s">
        <v>1787</v>
      </c>
      <c r="E2931" s="19" t="s">
        <v>3</v>
      </c>
      <c r="F2931" s="19" t="s">
        <v>1432</v>
      </c>
      <c r="G2931" s="19" t="s">
        <v>1098</v>
      </c>
      <c r="H2931" s="19" t="s">
        <v>1283</v>
      </c>
      <c r="I2931" s="19">
        <v>0</v>
      </c>
      <c r="J2931" s="19">
        <v>0</v>
      </c>
      <c r="K2931" s="19" t="s">
        <v>1159</v>
      </c>
      <c r="L2931" s="19">
        <v>2024</v>
      </c>
      <c r="M2931" s="20">
        <v>10588.58</v>
      </c>
      <c r="N2931" s="19" t="s">
        <v>609</v>
      </c>
      <c r="O2931" s="20">
        <v>2</v>
      </c>
      <c r="P2931" s="20">
        <v>21177.16</v>
      </c>
      <c r="Q2931" s="20">
        <v>19482.9872</v>
      </c>
      <c r="R2931" s="21">
        <v>0.92</v>
      </c>
      <c r="S2931" s="20">
        <v>19482.9872</v>
      </c>
    </row>
    <row r="2932" spans="2:19" ht="15" customHeight="1" x14ac:dyDescent="0.25">
      <c r="B2932" s="2" t="str">
        <f t="shared" si="90"/>
        <v>NSG_Business_Small/Mid-Size Business_Gas Optimization_C&amp;I Gas Optimization_0_CI</v>
      </c>
      <c r="C2932" s="2" t="str">
        <f t="shared" si="91"/>
        <v>NSG_Business_Small/Mid-Size Business_Gas Optimization_C&amp;I Gas Optimization_0_CI_2025</v>
      </c>
      <c r="D2932" s="19" t="s">
        <v>1787</v>
      </c>
      <c r="E2932" s="19" t="s">
        <v>3</v>
      </c>
      <c r="F2932" s="19" t="s">
        <v>1432</v>
      </c>
      <c r="G2932" s="19" t="s">
        <v>1098</v>
      </c>
      <c r="H2932" s="19" t="s">
        <v>1283</v>
      </c>
      <c r="I2932" s="19">
        <v>0</v>
      </c>
      <c r="J2932" s="19">
        <v>0</v>
      </c>
      <c r="K2932" s="19" t="s">
        <v>1159</v>
      </c>
      <c r="L2932" s="19">
        <v>2025</v>
      </c>
      <c r="M2932" s="20">
        <v>10588.58</v>
      </c>
      <c r="N2932" s="19" t="s">
        <v>609</v>
      </c>
      <c r="O2932" s="20">
        <v>2</v>
      </c>
      <c r="P2932" s="20">
        <v>21177.16</v>
      </c>
      <c r="Q2932" s="20">
        <v>19482.9872</v>
      </c>
      <c r="R2932" s="21">
        <v>0.92</v>
      </c>
      <c r="S2932" s="20">
        <v>19482.9872</v>
      </c>
    </row>
    <row r="2933" spans="2:19" ht="15" customHeight="1" x14ac:dyDescent="0.25">
      <c r="B2933" s="2" t="str">
        <f t="shared" si="90"/>
        <v>NSG_Business_Small/Mid-Size Business_Staffing Grant_Staffing Grant_0_CI</v>
      </c>
      <c r="C2933" s="2" t="str">
        <f t="shared" si="91"/>
        <v>NSG_Business_Small/Mid-Size Business_Staffing Grant_Staffing Grant_0_CI_2022</v>
      </c>
      <c r="D2933" s="19" t="s">
        <v>1787</v>
      </c>
      <c r="E2933" s="19" t="s">
        <v>3</v>
      </c>
      <c r="F2933" s="19" t="s">
        <v>1432</v>
      </c>
      <c r="G2933" s="19" t="s">
        <v>1435</v>
      </c>
      <c r="H2933" s="19" t="s">
        <v>1435</v>
      </c>
      <c r="I2933" s="19">
        <v>0</v>
      </c>
      <c r="J2933" s="19" t="s">
        <v>1469</v>
      </c>
      <c r="K2933" s="19" t="s">
        <v>1159</v>
      </c>
      <c r="L2933" s="19">
        <v>2022</v>
      </c>
      <c r="M2933" s="20">
        <v>1</v>
      </c>
      <c r="N2933" s="19" t="s">
        <v>1798</v>
      </c>
      <c r="O2933" s="20">
        <v>1</v>
      </c>
      <c r="P2933" s="20">
        <v>1</v>
      </c>
      <c r="Q2933" s="20">
        <v>0</v>
      </c>
      <c r="R2933" s="21">
        <v>0.92</v>
      </c>
      <c r="S2933" s="20">
        <v>0</v>
      </c>
    </row>
    <row r="2934" spans="2:19" ht="15" customHeight="1" x14ac:dyDescent="0.25">
      <c r="B2934" s="2" t="str">
        <f t="shared" si="90"/>
        <v>NSG_Business_Small/Mid-Size Business_Staffing Grant_Staffing Grant_0_CI</v>
      </c>
      <c r="C2934" s="2" t="str">
        <f t="shared" si="91"/>
        <v>NSG_Business_Small/Mid-Size Business_Staffing Grant_Staffing Grant_0_CI_2023</v>
      </c>
      <c r="D2934" s="19" t="s">
        <v>1787</v>
      </c>
      <c r="E2934" s="19" t="s">
        <v>3</v>
      </c>
      <c r="F2934" s="19" t="s">
        <v>1432</v>
      </c>
      <c r="G2934" s="19" t="s">
        <v>1435</v>
      </c>
      <c r="H2934" s="19" t="s">
        <v>1435</v>
      </c>
      <c r="I2934" s="19">
        <v>0</v>
      </c>
      <c r="J2934" s="19" t="s">
        <v>1469</v>
      </c>
      <c r="K2934" s="19" t="s">
        <v>1159</v>
      </c>
      <c r="L2934" s="19">
        <v>2023</v>
      </c>
      <c r="M2934" s="20">
        <v>1</v>
      </c>
      <c r="N2934" s="19" t="s">
        <v>1798</v>
      </c>
      <c r="O2934" s="20">
        <v>1</v>
      </c>
      <c r="P2934" s="20">
        <v>1</v>
      </c>
      <c r="Q2934" s="20">
        <v>0</v>
      </c>
      <c r="R2934" s="21">
        <v>0.92</v>
      </c>
      <c r="S2934" s="20">
        <v>0</v>
      </c>
    </row>
    <row r="2935" spans="2:19" ht="15" customHeight="1" x14ac:dyDescent="0.25">
      <c r="B2935" s="2" t="str">
        <f t="shared" si="90"/>
        <v>NSG_Business_Small/Mid-Size Business_Staffing Grant_Staffing Grant_0_CI</v>
      </c>
      <c r="C2935" s="2" t="str">
        <f t="shared" si="91"/>
        <v>NSG_Business_Small/Mid-Size Business_Staffing Grant_Staffing Grant_0_CI_2024</v>
      </c>
      <c r="D2935" s="19" t="s">
        <v>1787</v>
      </c>
      <c r="E2935" s="19" t="s">
        <v>3</v>
      </c>
      <c r="F2935" s="19" t="s">
        <v>1432</v>
      </c>
      <c r="G2935" s="19" t="s">
        <v>1435</v>
      </c>
      <c r="H2935" s="19" t="s">
        <v>1435</v>
      </c>
      <c r="I2935" s="19">
        <v>0</v>
      </c>
      <c r="J2935" s="19" t="s">
        <v>1469</v>
      </c>
      <c r="K2935" s="19" t="s">
        <v>1159</v>
      </c>
      <c r="L2935" s="19">
        <v>2024</v>
      </c>
      <c r="M2935" s="20">
        <v>1</v>
      </c>
      <c r="N2935" s="19" t="s">
        <v>1798</v>
      </c>
      <c r="O2935" s="20">
        <v>1</v>
      </c>
      <c r="P2935" s="20">
        <v>1</v>
      </c>
      <c r="Q2935" s="20">
        <v>0</v>
      </c>
      <c r="R2935" s="21">
        <v>0.92</v>
      </c>
      <c r="S2935" s="20">
        <v>0</v>
      </c>
    </row>
    <row r="2936" spans="2:19" ht="15" customHeight="1" x14ac:dyDescent="0.25">
      <c r="B2936" s="2" t="str">
        <f t="shared" si="90"/>
        <v>NSG_Business_Small/Mid-Size Business_Staffing Grant_Staffing Grant_0_CI</v>
      </c>
      <c r="C2936" s="2" t="str">
        <f t="shared" si="91"/>
        <v>NSG_Business_Small/Mid-Size Business_Staffing Grant_Staffing Grant_0_CI_2025</v>
      </c>
      <c r="D2936" s="19" t="s">
        <v>1787</v>
      </c>
      <c r="E2936" s="19" t="s">
        <v>3</v>
      </c>
      <c r="F2936" s="19" t="s">
        <v>1432</v>
      </c>
      <c r="G2936" s="19" t="s">
        <v>1435</v>
      </c>
      <c r="H2936" s="19" t="s">
        <v>1435</v>
      </c>
      <c r="I2936" s="19">
        <v>0</v>
      </c>
      <c r="J2936" s="19" t="s">
        <v>1469</v>
      </c>
      <c r="K2936" s="19" t="s">
        <v>1159</v>
      </c>
      <c r="L2936" s="19">
        <v>2025</v>
      </c>
      <c r="M2936" s="20">
        <v>1</v>
      </c>
      <c r="N2936" s="19" t="s">
        <v>1798</v>
      </c>
      <c r="O2936" s="20">
        <v>1</v>
      </c>
      <c r="P2936" s="20">
        <v>1</v>
      </c>
      <c r="Q2936" s="20">
        <v>0</v>
      </c>
      <c r="R2936" s="21">
        <v>0.92</v>
      </c>
      <c r="S2936" s="20">
        <v>0</v>
      </c>
    </row>
    <row r="2937" spans="2:19" ht="15" customHeight="1" x14ac:dyDescent="0.25">
      <c r="B2937" s="2" t="str">
        <f t="shared" si="90"/>
        <v>NSG_Business_Small/Mid-Size Business_Rebates_Boiler_≥88% AFUE, &lt;300MBh_CI</v>
      </c>
      <c r="C2937" s="2" t="str">
        <f t="shared" si="91"/>
        <v>NSG_Business_Small/Mid-Size Business_Rebates_Boiler_≥88% AFUE, &lt;300MBh_CI_2022</v>
      </c>
      <c r="D2937" s="19" t="s">
        <v>1787</v>
      </c>
      <c r="E2937" s="19" t="s">
        <v>3</v>
      </c>
      <c r="F2937" s="19" t="s">
        <v>1432</v>
      </c>
      <c r="G2937" s="19" t="s">
        <v>1429</v>
      </c>
      <c r="H2937" s="19" t="s">
        <v>944</v>
      </c>
      <c r="I2937" s="19" t="s">
        <v>945</v>
      </c>
      <c r="J2937" s="19" t="s">
        <v>942</v>
      </c>
      <c r="K2937" s="19" t="s">
        <v>1159</v>
      </c>
      <c r="L2937" s="19">
        <v>2022</v>
      </c>
      <c r="M2937" s="20">
        <v>100</v>
      </c>
      <c r="N2937" s="19" t="s">
        <v>667</v>
      </c>
      <c r="O2937" s="20">
        <v>1</v>
      </c>
      <c r="P2937" s="20">
        <v>100</v>
      </c>
      <c r="Q2937" s="20">
        <v>72.767619047619107</v>
      </c>
      <c r="R2937" s="21">
        <v>0.92</v>
      </c>
      <c r="S2937" s="20">
        <v>72.767619047619107</v>
      </c>
    </row>
    <row r="2938" spans="2:19" ht="15" customHeight="1" x14ac:dyDescent="0.25">
      <c r="B2938" s="2" t="str">
        <f t="shared" si="90"/>
        <v>NSG_Business_Small/Mid-Size Business_Rebates_Boiler_≥88% AFUE, &lt;300MBh_CI</v>
      </c>
      <c r="C2938" s="2" t="str">
        <f t="shared" si="91"/>
        <v>NSG_Business_Small/Mid-Size Business_Rebates_Boiler_≥88% AFUE, &lt;300MBh_CI_2023</v>
      </c>
      <c r="D2938" s="19" t="s">
        <v>1787</v>
      </c>
      <c r="E2938" s="19" t="s">
        <v>3</v>
      </c>
      <c r="F2938" s="19" t="s">
        <v>1432</v>
      </c>
      <c r="G2938" s="19" t="s">
        <v>1429</v>
      </c>
      <c r="H2938" s="19" t="s">
        <v>944</v>
      </c>
      <c r="I2938" s="19" t="s">
        <v>945</v>
      </c>
      <c r="J2938" s="19" t="s">
        <v>942</v>
      </c>
      <c r="K2938" s="19" t="s">
        <v>1159</v>
      </c>
      <c r="L2938" s="19">
        <v>2023</v>
      </c>
      <c r="M2938" s="20">
        <v>100</v>
      </c>
      <c r="N2938" s="19" t="s">
        <v>667</v>
      </c>
      <c r="O2938" s="20">
        <v>1</v>
      </c>
      <c r="P2938" s="20">
        <v>100</v>
      </c>
      <c r="Q2938" s="20">
        <v>72.767619047619107</v>
      </c>
      <c r="R2938" s="21">
        <v>0.92</v>
      </c>
      <c r="S2938" s="20">
        <v>72.767619047619107</v>
      </c>
    </row>
    <row r="2939" spans="2:19" ht="15" customHeight="1" x14ac:dyDescent="0.25">
      <c r="B2939" s="2" t="str">
        <f t="shared" si="90"/>
        <v>NSG_Business_Small/Mid-Size Business_Rebates_Boiler_≥88% AFUE, &lt;300MBh_CI</v>
      </c>
      <c r="C2939" s="2" t="str">
        <f t="shared" si="91"/>
        <v>NSG_Business_Small/Mid-Size Business_Rebates_Boiler_≥88% AFUE, &lt;300MBh_CI_2024</v>
      </c>
      <c r="D2939" s="19" t="s">
        <v>1787</v>
      </c>
      <c r="E2939" s="19" t="s">
        <v>3</v>
      </c>
      <c r="F2939" s="19" t="s">
        <v>1432</v>
      </c>
      <c r="G2939" s="19" t="s">
        <v>1429</v>
      </c>
      <c r="H2939" s="19" t="s">
        <v>944</v>
      </c>
      <c r="I2939" s="19" t="s">
        <v>945</v>
      </c>
      <c r="J2939" s="19" t="s">
        <v>942</v>
      </c>
      <c r="K2939" s="19" t="s">
        <v>1159</v>
      </c>
      <c r="L2939" s="19">
        <v>2024</v>
      </c>
      <c r="M2939" s="20">
        <v>100</v>
      </c>
      <c r="N2939" s="19" t="s">
        <v>667</v>
      </c>
      <c r="O2939" s="20">
        <v>1</v>
      </c>
      <c r="P2939" s="20">
        <v>100</v>
      </c>
      <c r="Q2939" s="20">
        <v>72.767619047619107</v>
      </c>
      <c r="R2939" s="21">
        <v>0.92</v>
      </c>
      <c r="S2939" s="20">
        <v>72.767619047619107</v>
      </c>
    </row>
    <row r="2940" spans="2:19" ht="15" customHeight="1" x14ac:dyDescent="0.25">
      <c r="B2940" s="2" t="str">
        <f t="shared" si="90"/>
        <v>NSG_Business_Small/Mid-Size Business_Rebates_Boiler_≥88% AFUE, &lt;300MBh_CI</v>
      </c>
      <c r="C2940" s="2" t="str">
        <f t="shared" si="91"/>
        <v>NSG_Business_Small/Mid-Size Business_Rebates_Boiler_≥88% AFUE, &lt;300MBh_CI_2025</v>
      </c>
      <c r="D2940" s="19" t="s">
        <v>1787</v>
      </c>
      <c r="E2940" s="19" t="s">
        <v>3</v>
      </c>
      <c r="F2940" s="19" t="s">
        <v>1432</v>
      </c>
      <c r="G2940" s="19" t="s">
        <v>1429</v>
      </c>
      <c r="H2940" s="19" t="s">
        <v>944</v>
      </c>
      <c r="I2940" s="19" t="s">
        <v>945</v>
      </c>
      <c r="J2940" s="19" t="s">
        <v>942</v>
      </c>
      <c r="K2940" s="19" t="s">
        <v>1159</v>
      </c>
      <c r="L2940" s="19">
        <v>2025</v>
      </c>
      <c r="M2940" s="20">
        <v>100</v>
      </c>
      <c r="N2940" s="19" t="s">
        <v>667</v>
      </c>
      <c r="O2940" s="20">
        <v>1</v>
      </c>
      <c r="P2940" s="20">
        <v>100</v>
      </c>
      <c r="Q2940" s="20">
        <v>72.767619047619107</v>
      </c>
      <c r="R2940" s="21">
        <v>0.92</v>
      </c>
      <c r="S2940" s="20">
        <v>72.767619047619107</v>
      </c>
    </row>
    <row r="2941" spans="2:19" ht="15" customHeight="1" x14ac:dyDescent="0.25">
      <c r="B2941" s="2" t="str">
        <f t="shared" si="90"/>
        <v>NSG_Business_Small/Mid-Size Business_Rebates_Boiler_≥88% AFUE, ≥300MBh TE_CI</v>
      </c>
      <c r="C2941" s="2" t="str">
        <f t="shared" si="91"/>
        <v>NSG_Business_Small/Mid-Size Business_Rebates_Boiler_≥88% AFUE, ≥300MBh TE_CI_2022</v>
      </c>
      <c r="D2941" s="19" t="s">
        <v>1787</v>
      </c>
      <c r="E2941" s="19" t="s">
        <v>3</v>
      </c>
      <c r="F2941" s="19" t="s">
        <v>1432</v>
      </c>
      <c r="G2941" s="19" t="s">
        <v>1429</v>
      </c>
      <c r="H2941" s="19" t="s">
        <v>944</v>
      </c>
      <c r="I2941" s="19" t="s">
        <v>946</v>
      </c>
      <c r="J2941" s="19" t="s">
        <v>942</v>
      </c>
      <c r="K2941" s="19" t="s">
        <v>1159</v>
      </c>
      <c r="L2941" s="19">
        <v>2022</v>
      </c>
      <c r="M2941" s="20">
        <v>1500</v>
      </c>
      <c r="N2941" s="19" t="s">
        <v>667</v>
      </c>
      <c r="O2941" s="20">
        <v>2</v>
      </c>
      <c r="P2941" s="20">
        <v>3000</v>
      </c>
      <c r="Q2941" s="20">
        <v>4584.3599999999979</v>
      </c>
      <c r="R2941" s="21">
        <v>0.92</v>
      </c>
      <c r="S2941" s="20">
        <v>4584.3599999999979</v>
      </c>
    </row>
    <row r="2942" spans="2:19" ht="15" customHeight="1" x14ac:dyDescent="0.25">
      <c r="B2942" s="2" t="str">
        <f t="shared" si="90"/>
        <v>NSG_Business_Small/Mid-Size Business_Rebates_Boiler_≥88% AFUE, ≥300MBh TE_CI</v>
      </c>
      <c r="C2942" s="2" t="str">
        <f t="shared" si="91"/>
        <v>NSG_Business_Small/Mid-Size Business_Rebates_Boiler_≥88% AFUE, ≥300MBh TE_CI_2023</v>
      </c>
      <c r="D2942" s="19" t="s">
        <v>1787</v>
      </c>
      <c r="E2942" s="19" t="s">
        <v>3</v>
      </c>
      <c r="F2942" s="19" t="s">
        <v>1432</v>
      </c>
      <c r="G2942" s="19" t="s">
        <v>1429</v>
      </c>
      <c r="H2942" s="19" t="s">
        <v>944</v>
      </c>
      <c r="I2942" s="19" t="s">
        <v>946</v>
      </c>
      <c r="J2942" s="19" t="s">
        <v>942</v>
      </c>
      <c r="K2942" s="19" t="s">
        <v>1159</v>
      </c>
      <c r="L2942" s="19">
        <v>2023</v>
      </c>
      <c r="M2942" s="20">
        <v>1500</v>
      </c>
      <c r="N2942" s="19" t="s">
        <v>667</v>
      </c>
      <c r="O2942" s="20">
        <v>2</v>
      </c>
      <c r="P2942" s="20">
        <v>3000</v>
      </c>
      <c r="Q2942" s="20">
        <v>4584.3599999999979</v>
      </c>
      <c r="R2942" s="21">
        <v>0.92</v>
      </c>
      <c r="S2942" s="20">
        <v>4584.3599999999979</v>
      </c>
    </row>
    <row r="2943" spans="2:19" ht="15" customHeight="1" x14ac:dyDescent="0.25">
      <c r="B2943" s="2" t="str">
        <f t="shared" si="90"/>
        <v>NSG_Business_Small/Mid-Size Business_Rebates_Boiler_≥88% AFUE, ≥300MBh TE_CI</v>
      </c>
      <c r="C2943" s="2" t="str">
        <f t="shared" si="91"/>
        <v>NSG_Business_Small/Mid-Size Business_Rebates_Boiler_≥88% AFUE, ≥300MBh TE_CI_2024</v>
      </c>
      <c r="D2943" s="19" t="s">
        <v>1787</v>
      </c>
      <c r="E2943" s="19" t="s">
        <v>3</v>
      </c>
      <c r="F2943" s="19" t="s">
        <v>1432</v>
      </c>
      <c r="G2943" s="19" t="s">
        <v>1429</v>
      </c>
      <c r="H2943" s="19" t="s">
        <v>944</v>
      </c>
      <c r="I2943" s="19" t="s">
        <v>946</v>
      </c>
      <c r="J2943" s="19" t="s">
        <v>942</v>
      </c>
      <c r="K2943" s="19" t="s">
        <v>1159</v>
      </c>
      <c r="L2943" s="19">
        <v>2024</v>
      </c>
      <c r="M2943" s="20">
        <v>1500</v>
      </c>
      <c r="N2943" s="19" t="s">
        <v>667</v>
      </c>
      <c r="O2943" s="20">
        <v>2</v>
      </c>
      <c r="P2943" s="20">
        <v>3000</v>
      </c>
      <c r="Q2943" s="20">
        <v>4584.3599999999979</v>
      </c>
      <c r="R2943" s="21">
        <v>0.92</v>
      </c>
      <c r="S2943" s="20">
        <v>4584.3599999999979</v>
      </c>
    </row>
    <row r="2944" spans="2:19" ht="15" customHeight="1" x14ac:dyDescent="0.25">
      <c r="B2944" s="2" t="str">
        <f t="shared" si="90"/>
        <v>NSG_Business_Small/Mid-Size Business_Rebates_Boiler_≥88% AFUE, ≥300MBh TE_CI</v>
      </c>
      <c r="C2944" s="2" t="str">
        <f t="shared" si="91"/>
        <v>NSG_Business_Small/Mid-Size Business_Rebates_Boiler_≥88% AFUE, ≥300MBh TE_CI_2025</v>
      </c>
      <c r="D2944" s="19" t="s">
        <v>1787</v>
      </c>
      <c r="E2944" s="19" t="s">
        <v>3</v>
      </c>
      <c r="F2944" s="19" t="s">
        <v>1432</v>
      </c>
      <c r="G2944" s="19" t="s">
        <v>1429</v>
      </c>
      <c r="H2944" s="19" t="s">
        <v>944</v>
      </c>
      <c r="I2944" s="19" t="s">
        <v>946</v>
      </c>
      <c r="J2944" s="19" t="s">
        <v>942</v>
      </c>
      <c r="K2944" s="19" t="s">
        <v>1159</v>
      </c>
      <c r="L2944" s="19">
        <v>2025</v>
      </c>
      <c r="M2944" s="20">
        <v>1500</v>
      </c>
      <c r="N2944" s="19" t="s">
        <v>667</v>
      </c>
      <c r="O2944" s="20">
        <v>2</v>
      </c>
      <c r="P2944" s="20">
        <v>3000</v>
      </c>
      <c r="Q2944" s="20">
        <v>4584.3599999999979</v>
      </c>
      <c r="R2944" s="21">
        <v>0.92</v>
      </c>
      <c r="S2944" s="20">
        <v>4584.3599999999979</v>
      </c>
    </row>
    <row r="2945" spans="2:19" ht="15" customHeight="1" x14ac:dyDescent="0.25">
      <c r="B2945" s="2" t="str">
        <f t="shared" si="90"/>
        <v>NSG_Business_Small/Mid-Size Business_Rebates_Boiler Reset Controls_0_CI</v>
      </c>
      <c r="C2945" s="2" t="str">
        <f t="shared" si="91"/>
        <v>NSG_Business_Small/Mid-Size Business_Rebates_Boiler Reset Controls_0_CI_2022</v>
      </c>
      <c r="D2945" s="19" t="s">
        <v>1787</v>
      </c>
      <c r="E2945" s="19" t="s">
        <v>3</v>
      </c>
      <c r="F2945" s="19" t="s">
        <v>1432</v>
      </c>
      <c r="G2945" s="19" t="s">
        <v>1429</v>
      </c>
      <c r="H2945" s="19" t="s">
        <v>978</v>
      </c>
      <c r="I2945" s="19">
        <v>0</v>
      </c>
      <c r="J2945" s="19" t="s">
        <v>25</v>
      </c>
      <c r="K2945" s="19" t="s">
        <v>1159</v>
      </c>
      <c r="L2945" s="19">
        <v>2022</v>
      </c>
      <c r="M2945" s="20">
        <v>200</v>
      </c>
      <c r="N2945" s="19" t="s">
        <v>667</v>
      </c>
      <c r="O2945" s="20">
        <v>1</v>
      </c>
      <c r="P2945" s="20">
        <v>200</v>
      </c>
      <c r="Q2945" s="20">
        <v>247.00160000000002</v>
      </c>
      <c r="R2945" s="21">
        <v>0.92</v>
      </c>
      <c r="S2945" s="20">
        <v>247.00160000000002</v>
      </c>
    </row>
    <row r="2946" spans="2:19" ht="15" customHeight="1" x14ac:dyDescent="0.25">
      <c r="B2946" s="2" t="str">
        <f t="shared" si="90"/>
        <v>NSG_Business_Small/Mid-Size Business_Rebates_Boiler Reset Controls_0_CI</v>
      </c>
      <c r="C2946" s="2" t="str">
        <f t="shared" si="91"/>
        <v>NSG_Business_Small/Mid-Size Business_Rebates_Boiler Reset Controls_0_CI_2023</v>
      </c>
      <c r="D2946" s="19" t="s">
        <v>1787</v>
      </c>
      <c r="E2946" s="19" t="s">
        <v>3</v>
      </c>
      <c r="F2946" s="19" t="s">
        <v>1432</v>
      </c>
      <c r="G2946" s="19" t="s">
        <v>1429</v>
      </c>
      <c r="H2946" s="19" t="s">
        <v>978</v>
      </c>
      <c r="I2946" s="19">
        <v>0</v>
      </c>
      <c r="J2946" s="19" t="s">
        <v>25</v>
      </c>
      <c r="K2946" s="19" t="s">
        <v>1159</v>
      </c>
      <c r="L2946" s="19">
        <v>2023</v>
      </c>
      <c r="M2946" s="20">
        <v>200</v>
      </c>
      <c r="N2946" s="19" t="s">
        <v>667</v>
      </c>
      <c r="O2946" s="20">
        <v>1</v>
      </c>
      <c r="P2946" s="20">
        <v>200</v>
      </c>
      <c r="Q2946" s="20">
        <v>247.00160000000002</v>
      </c>
      <c r="R2946" s="21">
        <v>0.92</v>
      </c>
      <c r="S2946" s="20">
        <v>247.00160000000002</v>
      </c>
    </row>
    <row r="2947" spans="2:19" ht="15" customHeight="1" x14ac:dyDescent="0.25">
      <c r="B2947" s="2" t="str">
        <f t="shared" si="90"/>
        <v>NSG_Business_Small/Mid-Size Business_Rebates_Boiler Reset Controls_0_CI</v>
      </c>
      <c r="C2947" s="2" t="str">
        <f t="shared" si="91"/>
        <v>NSG_Business_Small/Mid-Size Business_Rebates_Boiler Reset Controls_0_CI_2024</v>
      </c>
      <c r="D2947" s="19" t="s">
        <v>1787</v>
      </c>
      <c r="E2947" s="19" t="s">
        <v>3</v>
      </c>
      <c r="F2947" s="19" t="s">
        <v>1432</v>
      </c>
      <c r="G2947" s="19" t="s">
        <v>1429</v>
      </c>
      <c r="H2947" s="19" t="s">
        <v>978</v>
      </c>
      <c r="I2947" s="19">
        <v>0</v>
      </c>
      <c r="J2947" s="19" t="s">
        <v>25</v>
      </c>
      <c r="K2947" s="19" t="s">
        <v>1159</v>
      </c>
      <c r="L2947" s="19">
        <v>2024</v>
      </c>
      <c r="M2947" s="20">
        <v>200</v>
      </c>
      <c r="N2947" s="19" t="s">
        <v>667</v>
      </c>
      <c r="O2947" s="20">
        <v>1</v>
      </c>
      <c r="P2947" s="20">
        <v>200</v>
      </c>
      <c r="Q2947" s="20">
        <v>247.00160000000002</v>
      </c>
      <c r="R2947" s="21">
        <v>0.92</v>
      </c>
      <c r="S2947" s="20">
        <v>247.00160000000002</v>
      </c>
    </row>
    <row r="2948" spans="2:19" ht="15" customHeight="1" x14ac:dyDescent="0.25">
      <c r="B2948" s="2" t="str">
        <f t="shared" si="90"/>
        <v>NSG_Business_Small/Mid-Size Business_Rebates_Boiler Reset Controls_0_CI</v>
      </c>
      <c r="C2948" s="2" t="str">
        <f t="shared" si="91"/>
        <v>NSG_Business_Small/Mid-Size Business_Rebates_Boiler Reset Controls_0_CI_2025</v>
      </c>
      <c r="D2948" s="19" t="s">
        <v>1787</v>
      </c>
      <c r="E2948" s="19" t="s">
        <v>3</v>
      </c>
      <c r="F2948" s="19" t="s">
        <v>1432</v>
      </c>
      <c r="G2948" s="19" t="s">
        <v>1429</v>
      </c>
      <c r="H2948" s="19" t="s">
        <v>978</v>
      </c>
      <c r="I2948" s="19">
        <v>0</v>
      </c>
      <c r="J2948" s="19" t="s">
        <v>25</v>
      </c>
      <c r="K2948" s="19" t="s">
        <v>1159</v>
      </c>
      <c r="L2948" s="19">
        <v>2025</v>
      </c>
      <c r="M2948" s="20">
        <v>200</v>
      </c>
      <c r="N2948" s="19" t="s">
        <v>667</v>
      </c>
      <c r="O2948" s="20">
        <v>1</v>
      </c>
      <c r="P2948" s="20">
        <v>200</v>
      </c>
      <c r="Q2948" s="20">
        <v>247.00160000000002</v>
      </c>
      <c r="R2948" s="21">
        <v>0.92</v>
      </c>
      <c r="S2948" s="20">
        <v>247.00160000000002</v>
      </c>
    </row>
    <row r="2949" spans="2:19" ht="15" customHeight="1" x14ac:dyDescent="0.25">
      <c r="B2949" s="2" t="str">
        <f t="shared" si="90"/>
        <v>NSG_Business_Small/Mid-Size Business_Rebates_Boiler Tune Up_Process_MF/CI</v>
      </c>
      <c r="C2949" s="2" t="str">
        <f t="shared" si="91"/>
        <v>NSG_Business_Small/Mid-Size Business_Rebates_Boiler Tune Up_Process_MF/CI_2022</v>
      </c>
      <c r="D2949" s="19" t="s">
        <v>1787</v>
      </c>
      <c r="E2949" s="19" t="s">
        <v>3</v>
      </c>
      <c r="F2949" s="19" t="s">
        <v>1432</v>
      </c>
      <c r="G2949" s="19" t="s">
        <v>1429</v>
      </c>
      <c r="H2949" s="19" t="s">
        <v>906</v>
      </c>
      <c r="I2949" s="19" t="s">
        <v>924</v>
      </c>
      <c r="J2949" s="19" t="s">
        <v>927</v>
      </c>
      <c r="K2949" s="19" t="s">
        <v>587</v>
      </c>
      <c r="L2949" s="19">
        <v>2022</v>
      </c>
      <c r="M2949" s="20">
        <v>5277.8760000000002</v>
      </c>
      <c r="N2949" s="19" t="s">
        <v>667</v>
      </c>
      <c r="O2949" s="20">
        <v>4</v>
      </c>
      <c r="P2949" s="20">
        <v>21111.504000000001</v>
      </c>
      <c r="Q2949" s="20">
        <v>19864.163409312077</v>
      </c>
      <c r="R2949" s="21">
        <v>0.92</v>
      </c>
      <c r="S2949" s="20">
        <v>19864.163409312077</v>
      </c>
    </row>
    <row r="2950" spans="2:19" ht="15" customHeight="1" x14ac:dyDescent="0.25">
      <c r="B2950" s="2" t="str">
        <f t="shared" ref="B2950:B3013" si="92">D2950&amp;"_"&amp;E2950&amp;"_"&amp;F2950&amp;"_"&amp;G2950&amp;"_"&amp;H2950&amp;"_"&amp;I2950&amp;"_"&amp;K2950</f>
        <v>NSG_Business_Small/Mid-Size Business_Rebates_Boiler Tune Up_Process_MF/CI</v>
      </c>
      <c r="C2950" s="2" t="str">
        <f t="shared" ref="C2950:C3013" si="93">D2950&amp;"_"&amp;E2950&amp;"_"&amp;F2950&amp;"_"&amp;G2950&amp;"_"&amp;H2950&amp;"_"&amp;I2950&amp;"_"&amp;K2950&amp;"_"&amp;L2950</f>
        <v>NSG_Business_Small/Mid-Size Business_Rebates_Boiler Tune Up_Process_MF/CI_2023</v>
      </c>
      <c r="D2950" s="19" t="s">
        <v>1787</v>
      </c>
      <c r="E2950" s="19" t="s">
        <v>3</v>
      </c>
      <c r="F2950" s="19" t="s">
        <v>1432</v>
      </c>
      <c r="G2950" s="19" t="s">
        <v>1429</v>
      </c>
      <c r="H2950" s="19" t="s">
        <v>906</v>
      </c>
      <c r="I2950" s="19" t="s">
        <v>924</v>
      </c>
      <c r="J2950" s="19" t="s">
        <v>927</v>
      </c>
      <c r="K2950" s="19" t="s">
        <v>587</v>
      </c>
      <c r="L2950" s="19">
        <v>2023</v>
      </c>
      <c r="M2950" s="20">
        <v>5277.8760000000002</v>
      </c>
      <c r="N2950" s="19" t="s">
        <v>667</v>
      </c>
      <c r="O2950" s="20">
        <v>3</v>
      </c>
      <c r="P2950" s="20">
        <v>15833.628000000001</v>
      </c>
      <c r="Q2950" s="20">
        <v>14898.122556984057</v>
      </c>
      <c r="R2950" s="21">
        <v>0.92</v>
      </c>
      <c r="S2950" s="20">
        <v>14898.122556984057</v>
      </c>
    </row>
    <row r="2951" spans="2:19" ht="15" customHeight="1" x14ac:dyDescent="0.25">
      <c r="B2951" s="2" t="str">
        <f t="shared" si="92"/>
        <v>NSG_Business_Small/Mid-Size Business_Rebates_Boiler Tune Up_Process_MF/CI</v>
      </c>
      <c r="C2951" s="2" t="str">
        <f t="shared" si="93"/>
        <v>NSG_Business_Small/Mid-Size Business_Rebates_Boiler Tune Up_Process_MF/CI_2024</v>
      </c>
      <c r="D2951" s="19" t="s">
        <v>1787</v>
      </c>
      <c r="E2951" s="19" t="s">
        <v>3</v>
      </c>
      <c r="F2951" s="19" t="s">
        <v>1432</v>
      </c>
      <c r="G2951" s="19" t="s">
        <v>1429</v>
      </c>
      <c r="H2951" s="19" t="s">
        <v>906</v>
      </c>
      <c r="I2951" s="19" t="s">
        <v>924</v>
      </c>
      <c r="J2951" s="19" t="s">
        <v>927</v>
      </c>
      <c r="K2951" s="19" t="s">
        <v>587</v>
      </c>
      <c r="L2951" s="19">
        <v>2024</v>
      </c>
      <c r="M2951" s="20">
        <v>5277.8760000000002</v>
      </c>
      <c r="N2951" s="19" t="s">
        <v>667</v>
      </c>
      <c r="O2951" s="20">
        <v>3</v>
      </c>
      <c r="P2951" s="20">
        <v>15833.628000000001</v>
      </c>
      <c r="Q2951" s="20">
        <v>14898.122556984057</v>
      </c>
      <c r="R2951" s="21">
        <v>0.92</v>
      </c>
      <c r="S2951" s="20">
        <v>14898.122556984057</v>
      </c>
    </row>
    <row r="2952" spans="2:19" ht="15" customHeight="1" x14ac:dyDescent="0.25">
      <c r="B2952" s="2" t="str">
        <f t="shared" si="92"/>
        <v>NSG_Business_Small/Mid-Size Business_Rebates_Boiler Tune Up_Process_MF/CI</v>
      </c>
      <c r="C2952" s="2" t="str">
        <f t="shared" si="93"/>
        <v>NSG_Business_Small/Mid-Size Business_Rebates_Boiler Tune Up_Process_MF/CI_2025</v>
      </c>
      <c r="D2952" s="19" t="s">
        <v>1787</v>
      </c>
      <c r="E2952" s="19" t="s">
        <v>3</v>
      </c>
      <c r="F2952" s="19" t="s">
        <v>1432</v>
      </c>
      <c r="G2952" s="19" t="s">
        <v>1429</v>
      </c>
      <c r="H2952" s="19" t="s">
        <v>906</v>
      </c>
      <c r="I2952" s="19" t="s">
        <v>924</v>
      </c>
      <c r="J2952" s="19" t="s">
        <v>927</v>
      </c>
      <c r="K2952" s="19" t="s">
        <v>587</v>
      </c>
      <c r="L2952" s="19">
        <v>2025</v>
      </c>
      <c r="M2952" s="20">
        <v>5277.8760000000002</v>
      </c>
      <c r="N2952" s="19" t="s">
        <v>667</v>
      </c>
      <c r="O2952" s="20">
        <v>3</v>
      </c>
      <c r="P2952" s="20">
        <v>15833.628000000001</v>
      </c>
      <c r="Q2952" s="20">
        <v>14898.122556984057</v>
      </c>
      <c r="R2952" s="21">
        <v>0.92</v>
      </c>
      <c r="S2952" s="20">
        <v>14898.122556984057</v>
      </c>
    </row>
    <row r="2953" spans="2:19" ht="15" customHeight="1" x14ac:dyDescent="0.25">
      <c r="B2953" s="2" t="str">
        <f t="shared" si="92"/>
        <v>NSG_Business_Small/Mid-Size Business_Rebates_Boiler Tune Up_Space Heating_CI</v>
      </c>
      <c r="C2953" s="2" t="str">
        <f t="shared" si="93"/>
        <v>NSG_Business_Small/Mid-Size Business_Rebates_Boiler Tune Up_Space Heating_CI_2022</v>
      </c>
      <c r="D2953" s="19" t="s">
        <v>1787</v>
      </c>
      <c r="E2953" s="19" t="s">
        <v>3</v>
      </c>
      <c r="F2953" s="19" t="s">
        <v>1432</v>
      </c>
      <c r="G2953" s="19" t="s">
        <v>1429</v>
      </c>
      <c r="H2953" s="19" t="s">
        <v>906</v>
      </c>
      <c r="I2953" s="19" t="s">
        <v>907</v>
      </c>
      <c r="J2953" s="19" t="s">
        <v>909</v>
      </c>
      <c r="K2953" s="19" t="s">
        <v>1159</v>
      </c>
      <c r="L2953" s="19">
        <v>2022</v>
      </c>
      <c r="M2953" s="20">
        <v>5078.5</v>
      </c>
      <c r="N2953" s="19" t="s">
        <v>667</v>
      </c>
      <c r="O2953" s="20">
        <v>2</v>
      </c>
      <c r="P2953" s="20">
        <v>10157</v>
      </c>
      <c r="Q2953" s="20">
        <v>4380.1919180368195</v>
      </c>
      <c r="R2953" s="21">
        <v>0.92</v>
      </c>
      <c r="S2953" s="20">
        <v>4380.1919180368195</v>
      </c>
    </row>
    <row r="2954" spans="2:19" ht="15" customHeight="1" x14ac:dyDescent="0.25">
      <c r="B2954" s="2" t="str">
        <f t="shared" si="92"/>
        <v>NSG_Business_Small/Mid-Size Business_Rebates_Boiler Tune Up_Space Heating_CI</v>
      </c>
      <c r="C2954" s="2" t="str">
        <f t="shared" si="93"/>
        <v>NSG_Business_Small/Mid-Size Business_Rebates_Boiler Tune Up_Space Heating_CI_2023</v>
      </c>
      <c r="D2954" s="19" t="s">
        <v>1787</v>
      </c>
      <c r="E2954" s="19" t="s">
        <v>3</v>
      </c>
      <c r="F2954" s="19" t="s">
        <v>1432</v>
      </c>
      <c r="G2954" s="19" t="s">
        <v>1429</v>
      </c>
      <c r="H2954" s="19" t="s">
        <v>906</v>
      </c>
      <c r="I2954" s="19" t="s">
        <v>907</v>
      </c>
      <c r="J2954" s="19" t="s">
        <v>909</v>
      </c>
      <c r="K2954" s="19" t="s">
        <v>1159</v>
      </c>
      <c r="L2954" s="19">
        <v>2023</v>
      </c>
      <c r="M2954" s="20">
        <v>5078.5</v>
      </c>
      <c r="N2954" s="19" t="s">
        <v>667</v>
      </c>
      <c r="O2954" s="20">
        <v>2</v>
      </c>
      <c r="P2954" s="20">
        <v>10157</v>
      </c>
      <c r="Q2954" s="20">
        <v>4380.1919180368195</v>
      </c>
      <c r="R2954" s="21">
        <v>0.92</v>
      </c>
      <c r="S2954" s="20">
        <v>4380.1919180368195</v>
      </c>
    </row>
    <row r="2955" spans="2:19" ht="15" customHeight="1" x14ac:dyDescent="0.25">
      <c r="B2955" s="2" t="str">
        <f t="shared" si="92"/>
        <v>NSG_Business_Small/Mid-Size Business_Rebates_Boiler Tune Up_Space Heating_CI</v>
      </c>
      <c r="C2955" s="2" t="str">
        <f t="shared" si="93"/>
        <v>NSG_Business_Small/Mid-Size Business_Rebates_Boiler Tune Up_Space Heating_CI_2024</v>
      </c>
      <c r="D2955" s="19" t="s">
        <v>1787</v>
      </c>
      <c r="E2955" s="19" t="s">
        <v>3</v>
      </c>
      <c r="F2955" s="19" t="s">
        <v>1432</v>
      </c>
      <c r="G2955" s="19" t="s">
        <v>1429</v>
      </c>
      <c r="H2955" s="19" t="s">
        <v>906</v>
      </c>
      <c r="I2955" s="19" t="s">
        <v>907</v>
      </c>
      <c r="J2955" s="19" t="s">
        <v>909</v>
      </c>
      <c r="K2955" s="19" t="s">
        <v>1159</v>
      </c>
      <c r="L2955" s="19">
        <v>2024</v>
      </c>
      <c r="M2955" s="20">
        <v>5078.5</v>
      </c>
      <c r="N2955" s="19" t="s">
        <v>667</v>
      </c>
      <c r="O2955" s="20">
        <v>2</v>
      </c>
      <c r="P2955" s="20">
        <v>10157</v>
      </c>
      <c r="Q2955" s="20">
        <v>4380.1919180368195</v>
      </c>
      <c r="R2955" s="21">
        <v>0.92</v>
      </c>
      <c r="S2955" s="20">
        <v>4380.1919180368195</v>
      </c>
    </row>
    <row r="2956" spans="2:19" ht="15" customHeight="1" x14ac:dyDescent="0.25">
      <c r="B2956" s="2" t="str">
        <f t="shared" si="92"/>
        <v>NSG_Business_Small/Mid-Size Business_Rebates_Boiler Tune Up_Space Heating_CI</v>
      </c>
      <c r="C2956" s="2" t="str">
        <f t="shared" si="93"/>
        <v>NSG_Business_Small/Mid-Size Business_Rebates_Boiler Tune Up_Space Heating_CI_2025</v>
      </c>
      <c r="D2956" s="19" t="s">
        <v>1787</v>
      </c>
      <c r="E2956" s="19" t="s">
        <v>3</v>
      </c>
      <c r="F2956" s="19" t="s">
        <v>1432</v>
      </c>
      <c r="G2956" s="19" t="s">
        <v>1429</v>
      </c>
      <c r="H2956" s="19" t="s">
        <v>906</v>
      </c>
      <c r="I2956" s="19" t="s">
        <v>907</v>
      </c>
      <c r="J2956" s="19" t="s">
        <v>909</v>
      </c>
      <c r="K2956" s="19" t="s">
        <v>1159</v>
      </c>
      <c r="L2956" s="19">
        <v>2025</v>
      </c>
      <c r="M2956" s="20">
        <v>5078.5</v>
      </c>
      <c r="N2956" s="19" t="s">
        <v>667</v>
      </c>
      <c r="O2956" s="20">
        <v>2</v>
      </c>
      <c r="P2956" s="20">
        <v>10157</v>
      </c>
      <c r="Q2956" s="20">
        <v>4380.1919180368195</v>
      </c>
      <c r="R2956" s="21">
        <v>0.92</v>
      </c>
      <c r="S2956" s="20">
        <v>4380.1919180368195</v>
      </c>
    </row>
    <row r="2957" spans="2:19" ht="15" customHeight="1" x14ac:dyDescent="0.25">
      <c r="B2957" s="2" t="str">
        <f t="shared" si="92"/>
        <v>NSG_Business_Small/Mid-Size Business_Rebates_Condensing Unit Heater_0_MF/CI</v>
      </c>
      <c r="C2957" s="2" t="str">
        <f t="shared" si="93"/>
        <v>NSG_Business_Small/Mid-Size Business_Rebates_Condensing Unit Heater_0_MF/CI_2022</v>
      </c>
      <c r="D2957" s="19" t="s">
        <v>1787</v>
      </c>
      <c r="E2957" s="19" t="s">
        <v>3</v>
      </c>
      <c r="F2957" s="19" t="s">
        <v>1432</v>
      </c>
      <c r="G2957" s="19" t="s">
        <v>1429</v>
      </c>
      <c r="H2957" s="19" t="s">
        <v>13</v>
      </c>
      <c r="I2957" s="19">
        <v>0</v>
      </c>
      <c r="J2957" s="19" t="s">
        <v>32</v>
      </c>
      <c r="K2957" s="19" t="s">
        <v>587</v>
      </c>
      <c r="L2957" s="19">
        <v>2022</v>
      </c>
      <c r="M2957" s="20">
        <v>150</v>
      </c>
      <c r="N2957" s="19" t="s">
        <v>667</v>
      </c>
      <c r="O2957" s="20">
        <v>0</v>
      </c>
      <c r="P2957" s="20">
        <v>0</v>
      </c>
      <c r="Q2957" s="20">
        <v>0</v>
      </c>
      <c r="R2957" s="21">
        <v>0.92</v>
      </c>
      <c r="S2957" s="20">
        <v>0</v>
      </c>
    </row>
    <row r="2958" spans="2:19" ht="15" customHeight="1" x14ac:dyDescent="0.25">
      <c r="B2958" s="2" t="str">
        <f t="shared" si="92"/>
        <v>NSG_Business_Small/Mid-Size Business_Rebates_Condensing Unit Heater_0_MF/CI</v>
      </c>
      <c r="C2958" s="2" t="str">
        <f t="shared" si="93"/>
        <v>NSG_Business_Small/Mid-Size Business_Rebates_Condensing Unit Heater_0_MF/CI_2023</v>
      </c>
      <c r="D2958" s="19" t="s">
        <v>1787</v>
      </c>
      <c r="E2958" s="19" t="s">
        <v>3</v>
      </c>
      <c r="F2958" s="19" t="s">
        <v>1432</v>
      </c>
      <c r="G2958" s="19" t="s">
        <v>1429</v>
      </c>
      <c r="H2958" s="19" t="s">
        <v>13</v>
      </c>
      <c r="I2958" s="19">
        <v>0</v>
      </c>
      <c r="J2958" s="19" t="s">
        <v>32</v>
      </c>
      <c r="K2958" s="19" t="s">
        <v>587</v>
      </c>
      <c r="L2958" s="19">
        <v>2023</v>
      </c>
      <c r="M2958" s="20">
        <v>150</v>
      </c>
      <c r="N2958" s="19" t="s">
        <v>667</v>
      </c>
      <c r="O2958" s="20">
        <v>0</v>
      </c>
      <c r="P2958" s="20">
        <v>0</v>
      </c>
      <c r="Q2958" s="20">
        <v>0</v>
      </c>
      <c r="R2958" s="21">
        <v>0.92</v>
      </c>
      <c r="S2958" s="20">
        <v>0</v>
      </c>
    </row>
    <row r="2959" spans="2:19" ht="15" customHeight="1" x14ac:dyDescent="0.25">
      <c r="B2959" s="2" t="str">
        <f t="shared" si="92"/>
        <v>NSG_Business_Small/Mid-Size Business_Rebates_Condensing Unit Heater_0_MF/CI</v>
      </c>
      <c r="C2959" s="2" t="str">
        <f t="shared" si="93"/>
        <v>NSG_Business_Small/Mid-Size Business_Rebates_Condensing Unit Heater_0_MF/CI_2024</v>
      </c>
      <c r="D2959" s="19" t="s">
        <v>1787</v>
      </c>
      <c r="E2959" s="19" t="s">
        <v>3</v>
      </c>
      <c r="F2959" s="19" t="s">
        <v>1432</v>
      </c>
      <c r="G2959" s="19" t="s">
        <v>1429</v>
      </c>
      <c r="H2959" s="19" t="s">
        <v>13</v>
      </c>
      <c r="I2959" s="19">
        <v>0</v>
      </c>
      <c r="J2959" s="19" t="s">
        <v>32</v>
      </c>
      <c r="K2959" s="19" t="s">
        <v>587</v>
      </c>
      <c r="L2959" s="19">
        <v>2024</v>
      </c>
      <c r="M2959" s="20">
        <v>150</v>
      </c>
      <c r="N2959" s="19" t="s">
        <v>667</v>
      </c>
      <c r="O2959" s="20">
        <v>0</v>
      </c>
      <c r="P2959" s="20">
        <v>0</v>
      </c>
      <c r="Q2959" s="20">
        <v>0</v>
      </c>
      <c r="R2959" s="21">
        <v>0.92</v>
      </c>
      <c r="S2959" s="20">
        <v>0</v>
      </c>
    </row>
    <row r="2960" spans="2:19" ht="15" customHeight="1" x14ac:dyDescent="0.25">
      <c r="B2960" s="2" t="str">
        <f t="shared" si="92"/>
        <v>NSG_Business_Small/Mid-Size Business_Rebates_Condensing Unit Heater_0_MF/CI</v>
      </c>
      <c r="C2960" s="2" t="str">
        <f t="shared" si="93"/>
        <v>NSG_Business_Small/Mid-Size Business_Rebates_Condensing Unit Heater_0_MF/CI_2025</v>
      </c>
      <c r="D2960" s="19" t="s">
        <v>1787</v>
      </c>
      <c r="E2960" s="19" t="s">
        <v>3</v>
      </c>
      <c r="F2960" s="19" t="s">
        <v>1432</v>
      </c>
      <c r="G2960" s="19" t="s">
        <v>1429</v>
      </c>
      <c r="H2960" s="19" t="s">
        <v>13</v>
      </c>
      <c r="I2960" s="19">
        <v>0</v>
      </c>
      <c r="J2960" s="19" t="s">
        <v>32</v>
      </c>
      <c r="K2960" s="19" t="s">
        <v>587</v>
      </c>
      <c r="L2960" s="19">
        <v>2025</v>
      </c>
      <c r="M2960" s="20">
        <v>150</v>
      </c>
      <c r="N2960" s="19" t="s">
        <v>667</v>
      </c>
      <c r="O2960" s="20">
        <v>0</v>
      </c>
      <c r="P2960" s="20">
        <v>0</v>
      </c>
      <c r="Q2960" s="20">
        <v>0</v>
      </c>
      <c r="R2960" s="21">
        <v>0.92</v>
      </c>
      <c r="S2960" s="20">
        <v>0</v>
      </c>
    </row>
    <row r="2961" spans="2:19" ht="15" customHeight="1" x14ac:dyDescent="0.25">
      <c r="B2961" s="2" t="str">
        <f t="shared" si="92"/>
        <v>NSG_Business_Small/Mid-Size Business_Rebates_DCV - Kitchen_0_MF/CI</v>
      </c>
      <c r="C2961" s="2" t="str">
        <f t="shared" si="93"/>
        <v>NSG_Business_Small/Mid-Size Business_Rebates_DCV - Kitchen_0_MF/CI_2022</v>
      </c>
      <c r="D2961" s="19" t="s">
        <v>1787</v>
      </c>
      <c r="E2961" s="19" t="s">
        <v>3</v>
      </c>
      <c r="F2961" s="19" t="s">
        <v>1432</v>
      </c>
      <c r="G2961" s="19" t="s">
        <v>1429</v>
      </c>
      <c r="H2961" s="19" t="s">
        <v>1077</v>
      </c>
      <c r="I2961" s="19">
        <v>0</v>
      </c>
      <c r="J2961" s="19" t="s">
        <v>48</v>
      </c>
      <c r="K2961" s="19" t="s">
        <v>587</v>
      </c>
      <c r="L2961" s="19">
        <v>2022</v>
      </c>
      <c r="M2961" s="20">
        <v>7.75</v>
      </c>
      <c r="N2961" s="19" t="s">
        <v>333</v>
      </c>
      <c r="O2961" s="20">
        <v>0</v>
      </c>
      <c r="P2961" s="20">
        <v>0</v>
      </c>
      <c r="Q2961" s="20">
        <v>0</v>
      </c>
      <c r="R2961" s="21">
        <v>0.92</v>
      </c>
      <c r="S2961" s="20">
        <v>0</v>
      </c>
    </row>
    <row r="2962" spans="2:19" ht="15" customHeight="1" x14ac:dyDescent="0.25">
      <c r="B2962" s="2" t="str">
        <f t="shared" si="92"/>
        <v>NSG_Business_Small/Mid-Size Business_Rebates_DCV - Kitchen_0_MF/CI</v>
      </c>
      <c r="C2962" s="2" t="str">
        <f t="shared" si="93"/>
        <v>NSG_Business_Small/Mid-Size Business_Rebates_DCV - Kitchen_0_MF/CI_2023</v>
      </c>
      <c r="D2962" s="19" t="s">
        <v>1787</v>
      </c>
      <c r="E2962" s="19" t="s">
        <v>3</v>
      </c>
      <c r="F2962" s="19" t="s">
        <v>1432</v>
      </c>
      <c r="G2962" s="19" t="s">
        <v>1429</v>
      </c>
      <c r="H2962" s="19" t="s">
        <v>1077</v>
      </c>
      <c r="I2962" s="19">
        <v>0</v>
      </c>
      <c r="J2962" s="19" t="s">
        <v>48</v>
      </c>
      <c r="K2962" s="19" t="s">
        <v>587</v>
      </c>
      <c r="L2962" s="19">
        <v>2023</v>
      </c>
      <c r="M2962" s="20">
        <v>7.75</v>
      </c>
      <c r="N2962" s="19" t="s">
        <v>333</v>
      </c>
      <c r="O2962" s="20">
        <v>0</v>
      </c>
      <c r="P2962" s="20">
        <v>0</v>
      </c>
      <c r="Q2962" s="20">
        <v>0</v>
      </c>
      <c r="R2962" s="21">
        <v>0.92</v>
      </c>
      <c r="S2962" s="20">
        <v>0</v>
      </c>
    </row>
    <row r="2963" spans="2:19" ht="15" customHeight="1" x14ac:dyDescent="0.25">
      <c r="B2963" s="2" t="str">
        <f t="shared" si="92"/>
        <v>NSG_Business_Small/Mid-Size Business_Rebates_DCV - Kitchen_0_MF/CI</v>
      </c>
      <c r="C2963" s="2" t="str">
        <f t="shared" si="93"/>
        <v>NSG_Business_Small/Mid-Size Business_Rebates_DCV - Kitchen_0_MF/CI_2024</v>
      </c>
      <c r="D2963" s="19" t="s">
        <v>1787</v>
      </c>
      <c r="E2963" s="19" t="s">
        <v>3</v>
      </c>
      <c r="F2963" s="19" t="s">
        <v>1432</v>
      </c>
      <c r="G2963" s="19" t="s">
        <v>1429</v>
      </c>
      <c r="H2963" s="19" t="s">
        <v>1077</v>
      </c>
      <c r="I2963" s="19">
        <v>0</v>
      </c>
      <c r="J2963" s="19" t="s">
        <v>48</v>
      </c>
      <c r="K2963" s="19" t="s">
        <v>587</v>
      </c>
      <c r="L2963" s="19">
        <v>2024</v>
      </c>
      <c r="M2963" s="20">
        <v>7.75</v>
      </c>
      <c r="N2963" s="19" t="s">
        <v>333</v>
      </c>
      <c r="O2963" s="20">
        <v>0</v>
      </c>
      <c r="P2963" s="20">
        <v>0</v>
      </c>
      <c r="Q2963" s="20">
        <v>0</v>
      </c>
      <c r="R2963" s="21">
        <v>0.92</v>
      </c>
      <c r="S2963" s="20">
        <v>0</v>
      </c>
    </row>
    <row r="2964" spans="2:19" ht="15" customHeight="1" x14ac:dyDescent="0.25">
      <c r="B2964" s="2" t="str">
        <f t="shared" si="92"/>
        <v>NSG_Business_Small/Mid-Size Business_Rebates_DCV - Kitchen_0_MF/CI</v>
      </c>
      <c r="C2964" s="2" t="str">
        <f t="shared" si="93"/>
        <v>NSG_Business_Small/Mid-Size Business_Rebates_DCV - Kitchen_0_MF/CI_2025</v>
      </c>
      <c r="D2964" s="19" t="s">
        <v>1787</v>
      </c>
      <c r="E2964" s="19" t="s">
        <v>3</v>
      </c>
      <c r="F2964" s="19" t="s">
        <v>1432</v>
      </c>
      <c r="G2964" s="19" t="s">
        <v>1429</v>
      </c>
      <c r="H2964" s="19" t="s">
        <v>1077</v>
      </c>
      <c r="I2964" s="19">
        <v>0</v>
      </c>
      <c r="J2964" s="19" t="s">
        <v>48</v>
      </c>
      <c r="K2964" s="19" t="s">
        <v>587</v>
      </c>
      <c r="L2964" s="19">
        <v>2025</v>
      </c>
      <c r="M2964" s="20">
        <v>7.75</v>
      </c>
      <c r="N2964" s="19" t="s">
        <v>333</v>
      </c>
      <c r="O2964" s="20">
        <v>0</v>
      </c>
      <c r="P2964" s="20">
        <v>0</v>
      </c>
      <c r="Q2964" s="20">
        <v>0</v>
      </c>
      <c r="R2964" s="21">
        <v>0.92</v>
      </c>
      <c r="S2964" s="20">
        <v>0</v>
      </c>
    </row>
    <row r="2965" spans="2:19" ht="15" customHeight="1" x14ac:dyDescent="0.25">
      <c r="B2965" s="2" t="str">
        <f t="shared" si="92"/>
        <v>NSG_Business_Small/Mid-Size Business_Rebates_Direct Fired Heaters_0_MF/CI</v>
      </c>
      <c r="C2965" s="2" t="str">
        <f t="shared" si="93"/>
        <v>NSG_Business_Small/Mid-Size Business_Rebates_Direct Fired Heaters_0_MF/CI_2022</v>
      </c>
      <c r="D2965" s="19" t="s">
        <v>1787</v>
      </c>
      <c r="E2965" s="19" t="s">
        <v>3</v>
      </c>
      <c r="F2965" s="19" t="s">
        <v>1432</v>
      </c>
      <c r="G2965" s="19" t="s">
        <v>1429</v>
      </c>
      <c r="H2965" s="19" t="s">
        <v>666</v>
      </c>
      <c r="I2965" s="19">
        <v>0</v>
      </c>
      <c r="J2965" s="19" t="s">
        <v>673</v>
      </c>
      <c r="K2965" s="19" t="s">
        <v>587</v>
      </c>
      <c r="L2965" s="19">
        <v>2022</v>
      </c>
      <c r="M2965" s="20">
        <v>150</v>
      </c>
      <c r="N2965" s="19" t="s">
        <v>667</v>
      </c>
      <c r="O2965" s="20">
        <v>0</v>
      </c>
      <c r="P2965" s="20">
        <v>0</v>
      </c>
      <c r="Q2965" s="20">
        <v>0</v>
      </c>
      <c r="R2965" s="21">
        <v>0.92</v>
      </c>
      <c r="S2965" s="20">
        <v>0</v>
      </c>
    </row>
    <row r="2966" spans="2:19" ht="15" customHeight="1" x14ac:dyDescent="0.25">
      <c r="B2966" s="2" t="str">
        <f t="shared" si="92"/>
        <v>NSG_Business_Small/Mid-Size Business_Rebates_Direct Fired Heaters_0_MF/CI</v>
      </c>
      <c r="C2966" s="2" t="str">
        <f t="shared" si="93"/>
        <v>NSG_Business_Small/Mid-Size Business_Rebates_Direct Fired Heaters_0_MF/CI_2023</v>
      </c>
      <c r="D2966" s="19" t="s">
        <v>1787</v>
      </c>
      <c r="E2966" s="19" t="s">
        <v>3</v>
      </c>
      <c r="F2966" s="19" t="s">
        <v>1432</v>
      </c>
      <c r="G2966" s="19" t="s">
        <v>1429</v>
      </c>
      <c r="H2966" s="19" t="s">
        <v>666</v>
      </c>
      <c r="I2966" s="19">
        <v>0</v>
      </c>
      <c r="J2966" s="19" t="s">
        <v>673</v>
      </c>
      <c r="K2966" s="19" t="s">
        <v>587</v>
      </c>
      <c r="L2966" s="19">
        <v>2023</v>
      </c>
      <c r="M2966" s="20">
        <v>150</v>
      </c>
      <c r="N2966" s="19" t="s">
        <v>667</v>
      </c>
      <c r="O2966" s="20">
        <v>0</v>
      </c>
      <c r="P2966" s="20">
        <v>0</v>
      </c>
      <c r="Q2966" s="20">
        <v>0</v>
      </c>
      <c r="R2966" s="21">
        <v>0.92</v>
      </c>
      <c r="S2966" s="20">
        <v>0</v>
      </c>
    </row>
    <row r="2967" spans="2:19" ht="15" customHeight="1" x14ac:dyDescent="0.25">
      <c r="B2967" s="2" t="str">
        <f t="shared" si="92"/>
        <v>NSG_Business_Small/Mid-Size Business_Rebates_Direct Fired Heaters_0_MF/CI</v>
      </c>
      <c r="C2967" s="2" t="str">
        <f t="shared" si="93"/>
        <v>NSG_Business_Small/Mid-Size Business_Rebates_Direct Fired Heaters_0_MF/CI_2024</v>
      </c>
      <c r="D2967" s="19" t="s">
        <v>1787</v>
      </c>
      <c r="E2967" s="19" t="s">
        <v>3</v>
      </c>
      <c r="F2967" s="19" t="s">
        <v>1432</v>
      </c>
      <c r="G2967" s="19" t="s">
        <v>1429</v>
      </c>
      <c r="H2967" s="19" t="s">
        <v>666</v>
      </c>
      <c r="I2967" s="19">
        <v>0</v>
      </c>
      <c r="J2967" s="19" t="s">
        <v>673</v>
      </c>
      <c r="K2967" s="19" t="s">
        <v>587</v>
      </c>
      <c r="L2967" s="19">
        <v>2024</v>
      </c>
      <c r="M2967" s="20">
        <v>150</v>
      </c>
      <c r="N2967" s="19" t="s">
        <v>667</v>
      </c>
      <c r="O2967" s="20">
        <v>0</v>
      </c>
      <c r="P2967" s="20">
        <v>0</v>
      </c>
      <c r="Q2967" s="20">
        <v>0</v>
      </c>
      <c r="R2967" s="21">
        <v>0.92</v>
      </c>
      <c r="S2967" s="20">
        <v>0</v>
      </c>
    </row>
    <row r="2968" spans="2:19" ht="15" customHeight="1" x14ac:dyDescent="0.25">
      <c r="B2968" s="2" t="str">
        <f t="shared" si="92"/>
        <v>NSG_Business_Small/Mid-Size Business_Rebates_Direct Fired Heaters_0_MF/CI</v>
      </c>
      <c r="C2968" s="2" t="str">
        <f t="shared" si="93"/>
        <v>NSG_Business_Small/Mid-Size Business_Rebates_Direct Fired Heaters_0_MF/CI_2025</v>
      </c>
      <c r="D2968" s="19" t="s">
        <v>1787</v>
      </c>
      <c r="E2968" s="19" t="s">
        <v>3</v>
      </c>
      <c r="F2968" s="19" t="s">
        <v>1432</v>
      </c>
      <c r="G2968" s="19" t="s">
        <v>1429</v>
      </c>
      <c r="H2968" s="19" t="s">
        <v>666</v>
      </c>
      <c r="I2968" s="19">
        <v>0</v>
      </c>
      <c r="J2968" s="19" t="s">
        <v>673</v>
      </c>
      <c r="K2968" s="19" t="s">
        <v>587</v>
      </c>
      <c r="L2968" s="19">
        <v>2025</v>
      </c>
      <c r="M2968" s="20">
        <v>150</v>
      </c>
      <c r="N2968" s="19" t="s">
        <v>667</v>
      </c>
      <c r="O2968" s="20">
        <v>0</v>
      </c>
      <c r="P2968" s="20">
        <v>0</v>
      </c>
      <c r="Q2968" s="20">
        <v>0</v>
      </c>
      <c r="R2968" s="21">
        <v>0.92</v>
      </c>
      <c r="S2968" s="20">
        <v>0</v>
      </c>
    </row>
    <row r="2969" spans="2:19" ht="15" customHeight="1" x14ac:dyDescent="0.25">
      <c r="B2969" s="2" t="str">
        <f t="shared" si="92"/>
        <v>NSG_Business_Small/Mid-Size Business_Rebates_High Speed Washer_Hotel/Motel/Hospital_CI</v>
      </c>
      <c r="C2969" s="2" t="str">
        <f t="shared" si="93"/>
        <v>NSG_Business_Small/Mid-Size Business_Rebates_High Speed Washer_Hotel/Motel/Hospital_CI_2022</v>
      </c>
      <c r="D2969" s="19" t="s">
        <v>1787</v>
      </c>
      <c r="E2969" s="19" t="s">
        <v>3</v>
      </c>
      <c r="F2969" s="19" t="s">
        <v>1432</v>
      </c>
      <c r="G2969" s="19" t="s">
        <v>1429</v>
      </c>
      <c r="H2969" s="19" t="s">
        <v>725</v>
      </c>
      <c r="I2969" s="19" t="s">
        <v>1162</v>
      </c>
      <c r="J2969" s="19" t="s">
        <v>730</v>
      </c>
      <c r="K2969" s="19" t="s">
        <v>1159</v>
      </c>
      <c r="L2969" s="19">
        <v>2022</v>
      </c>
      <c r="M2969" s="20">
        <v>250</v>
      </c>
      <c r="N2969" s="19" t="s">
        <v>1803</v>
      </c>
      <c r="O2969" s="20">
        <v>2</v>
      </c>
      <c r="P2969" s="20">
        <v>500</v>
      </c>
      <c r="Q2969" s="20">
        <v>3103.132032</v>
      </c>
      <c r="R2969" s="21">
        <v>0.92</v>
      </c>
      <c r="S2969" s="20">
        <v>3103.132032</v>
      </c>
    </row>
    <row r="2970" spans="2:19" ht="15" customHeight="1" x14ac:dyDescent="0.25">
      <c r="B2970" s="2" t="str">
        <f t="shared" si="92"/>
        <v>NSG_Business_Small/Mid-Size Business_Rebates_High Speed Washer_Hotel/Motel/Hospital_CI</v>
      </c>
      <c r="C2970" s="2" t="str">
        <f t="shared" si="93"/>
        <v>NSG_Business_Small/Mid-Size Business_Rebates_High Speed Washer_Hotel/Motel/Hospital_CI_2023</v>
      </c>
      <c r="D2970" s="19" t="s">
        <v>1787</v>
      </c>
      <c r="E2970" s="19" t="s">
        <v>3</v>
      </c>
      <c r="F2970" s="19" t="s">
        <v>1432</v>
      </c>
      <c r="G2970" s="19" t="s">
        <v>1429</v>
      </c>
      <c r="H2970" s="19" t="s">
        <v>725</v>
      </c>
      <c r="I2970" s="19" t="s">
        <v>1162</v>
      </c>
      <c r="J2970" s="19" t="s">
        <v>730</v>
      </c>
      <c r="K2970" s="19" t="s">
        <v>1159</v>
      </c>
      <c r="L2970" s="19">
        <v>2023</v>
      </c>
      <c r="M2970" s="20">
        <v>250</v>
      </c>
      <c r="N2970" s="19" t="s">
        <v>1803</v>
      </c>
      <c r="O2970" s="20">
        <v>2</v>
      </c>
      <c r="P2970" s="20">
        <v>500</v>
      </c>
      <c r="Q2970" s="20">
        <v>3103.132032</v>
      </c>
      <c r="R2970" s="21">
        <v>0.92</v>
      </c>
      <c r="S2970" s="20">
        <v>3103.132032</v>
      </c>
    </row>
    <row r="2971" spans="2:19" ht="15" customHeight="1" x14ac:dyDescent="0.25">
      <c r="B2971" s="2" t="str">
        <f t="shared" si="92"/>
        <v>NSG_Business_Small/Mid-Size Business_Rebates_High Speed Washer_Hotel/Motel/Hospital_CI</v>
      </c>
      <c r="C2971" s="2" t="str">
        <f t="shared" si="93"/>
        <v>NSG_Business_Small/Mid-Size Business_Rebates_High Speed Washer_Hotel/Motel/Hospital_CI_2024</v>
      </c>
      <c r="D2971" s="19" t="s">
        <v>1787</v>
      </c>
      <c r="E2971" s="19" t="s">
        <v>3</v>
      </c>
      <c r="F2971" s="19" t="s">
        <v>1432</v>
      </c>
      <c r="G2971" s="19" t="s">
        <v>1429</v>
      </c>
      <c r="H2971" s="19" t="s">
        <v>725</v>
      </c>
      <c r="I2971" s="19" t="s">
        <v>1162</v>
      </c>
      <c r="J2971" s="19" t="s">
        <v>730</v>
      </c>
      <c r="K2971" s="19" t="s">
        <v>1159</v>
      </c>
      <c r="L2971" s="19">
        <v>2024</v>
      </c>
      <c r="M2971" s="20">
        <v>250</v>
      </c>
      <c r="N2971" s="19" t="s">
        <v>1803</v>
      </c>
      <c r="O2971" s="20">
        <v>2</v>
      </c>
      <c r="P2971" s="20">
        <v>500</v>
      </c>
      <c r="Q2971" s="20">
        <v>3103.132032</v>
      </c>
      <c r="R2971" s="21">
        <v>0.92</v>
      </c>
      <c r="S2971" s="20">
        <v>3103.132032</v>
      </c>
    </row>
    <row r="2972" spans="2:19" ht="15" customHeight="1" x14ac:dyDescent="0.25">
      <c r="B2972" s="2" t="str">
        <f t="shared" si="92"/>
        <v>NSG_Business_Small/Mid-Size Business_Rebates_High Speed Washer_Hotel/Motel/Hospital_CI</v>
      </c>
      <c r="C2972" s="2" t="str">
        <f t="shared" si="93"/>
        <v>NSG_Business_Small/Mid-Size Business_Rebates_High Speed Washer_Hotel/Motel/Hospital_CI_2025</v>
      </c>
      <c r="D2972" s="19" t="s">
        <v>1787</v>
      </c>
      <c r="E2972" s="19" t="s">
        <v>3</v>
      </c>
      <c r="F2972" s="19" t="s">
        <v>1432</v>
      </c>
      <c r="G2972" s="19" t="s">
        <v>1429</v>
      </c>
      <c r="H2972" s="19" t="s">
        <v>725</v>
      </c>
      <c r="I2972" s="19" t="s">
        <v>1162</v>
      </c>
      <c r="J2972" s="19" t="s">
        <v>730</v>
      </c>
      <c r="K2972" s="19" t="s">
        <v>1159</v>
      </c>
      <c r="L2972" s="19">
        <v>2025</v>
      </c>
      <c r="M2972" s="20">
        <v>250</v>
      </c>
      <c r="N2972" s="19" t="s">
        <v>1803</v>
      </c>
      <c r="O2972" s="20">
        <v>2</v>
      </c>
      <c r="P2972" s="20">
        <v>500</v>
      </c>
      <c r="Q2972" s="20">
        <v>3103.132032</v>
      </c>
      <c r="R2972" s="21">
        <v>0.92</v>
      </c>
      <c r="S2972" s="20">
        <v>3103.132032</v>
      </c>
    </row>
    <row r="2973" spans="2:19" ht="15" customHeight="1" x14ac:dyDescent="0.25">
      <c r="B2973" s="2" t="str">
        <f t="shared" si="92"/>
        <v>NSG_Business_Small/Mid-Size Business_Rebates_High Speed Washer_Laundromat_SMB</v>
      </c>
      <c r="C2973" s="2" t="str">
        <f t="shared" si="93"/>
        <v>NSG_Business_Small/Mid-Size Business_Rebates_High Speed Washer_Laundromat_SMB_2022</v>
      </c>
      <c r="D2973" s="19" t="s">
        <v>1787</v>
      </c>
      <c r="E2973" s="19" t="s">
        <v>3</v>
      </c>
      <c r="F2973" s="19" t="s">
        <v>1432</v>
      </c>
      <c r="G2973" s="19" t="s">
        <v>1429</v>
      </c>
      <c r="H2973" s="19" t="s">
        <v>725</v>
      </c>
      <c r="I2973" s="19" t="s">
        <v>1356</v>
      </c>
      <c r="J2973" s="19" t="s">
        <v>730</v>
      </c>
      <c r="K2973" s="19" t="s">
        <v>1220</v>
      </c>
      <c r="L2973" s="19">
        <v>2022</v>
      </c>
      <c r="M2973" s="20">
        <v>250</v>
      </c>
      <c r="N2973" s="19" t="s">
        <v>1803</v>
      </c>
      <c r="O2973" s="20">
        <v>0</v>
      </c>
      <c r="P2973" s="20">
        <v>0</v>
      </c>
      <c r="Q2973" s="20">
        <v>0</v>
      </c>
      <c r="R2973" s="21">
        <v>0.92</v>
      </c>
      <c r="S2973" s="20">
        <v>0</v>
      </c>
    </row>
    <row r="2974" spans="2:19" ht="15" customHeight="1" x14ac:dyDescent="0.25">
      <c r="B2974" s="2" t="str">
        <f t="shared" si="92"/>
        <v>NSG_Business_Small/Mid-Size Business_Rebates_High Speed Washer_Laundromat_SMB</v>
      </c>
      <c r="C2974" s="2" t="str">
        <f t="shared" si="93"/>
        <v>NSG_Business_Small/Mid-Size Business_Rebates_High Speed Washer_Laundromat_SMB_2023</v>
      </c>
      <c r="D2974" s="19" t="s">
        <v>1787</v>
      </c>
      <c r="E2974" s="19" t="s">
        <v>3</v>
      </c>
      <c r="F2974" s="19" t="s">
        <v>1432</v>
      </c>
      <c r="G2974" s="19" t="s">
        <v>1429</v>
      </c>
      <c r="H2974" s="19" t="s">
        <v>725</v>
      </c>
      <c r="I2974" s="19" t="s">
        <v>1356</v>
      </c>
      <c r="J2974" s="19" t="s">
        <v>730</v>
      </c>
      <c r="K2974" s="19" t="s">
        <v>1220</v>
      </c>
      <c r="L2974" s="19">
        <v>2023</v>
      </c>
      <c r="M2974" s="20">
        <v>250</v>
      </c>
      <c r="N2974" s="19" t="s">
        <v>1803</v>
      </c>
      <c r="O2974" s="20">
        <v>0</v>
      </c>
      <c r="P2974" s="20">
        <v>0</v>
      </c>
      <c r="Q2974" s="20">
        <v>0</v>
      </c>
      <c r="R2974" s="21">
        <v>0.92</v>
      </c>
      <c r="S2974" s="20">
        <v>0</v>
      </c>
    </row>
    <row r="2975" spans="2:19" ht="15" customHeight="1" x14ac:dyDescent="0.25">
      <c r="B2975" s="2" t="str">
        <f t="shared" si="92"/>
        <v>NSG_Business_Small/Mid-Size Business_Rebates_High Speed Washer_Laundromat_SMB</v>
      </c>
      <c r="C2975" s="2" t="str">
        <f t="shared" si="93"/>
        <v>NSG_Business_Small/Mid-Size Business_Rebates_High Speed Washer_Laundromat_SMB_2024</v>
      </c>
      <c r="D2975" s="19" t="s">
        <v>1787</v>
      </c>
      <c r="E2975" s="19" t="s">
        <v>3</v>
      </c>
      <c r="F2975" s="19" t="s">
        <v>1432</v>
      </c>
      <c r="G2975" s="19" t="s">
        <v>1429</v>
      </c>
      <c r="H2975" s="19" t="s">
        <v>725</v>
      </c>
      <c r="I2975" s="19" t="s">
        <v>1356</v>
      </c>
      <c r="J2975" s="19" t="s">
        <v>730</v>
      </c>
      <c r="K2975" s="19" t="s">
        <v>1220</v>
      </c>
      <c r="L2975" s="19">
        <v>2024</v>
      </c>
      <c r="M2975" s="20">
        <v>250</v>
      </c>
      <c r="N2975" s="19" t="s">
        <v>1803</v>
      </c>
      <c r="O2975" s="20">
        <v>0</v>
      </c>
      <c r="P2975" s="20">
        <v>0</v>
      </c>
      <c r="Q2975" s="20">
        <v>0</v>
      </c>
      <c r="R2975" s="21">
        <v>0.92</v>
      </c>
      <c r="S2975" s="20">
        <v>0</v>
      </c>
    </row>
    <row r="2976" spans="2:19" ht="15" customHeight="1" x14ac:dyDescent="0.25">
      <c r="B2976" s="2" t="str">
        <f t="shared" si="92"/>
        <v>NSG_Business_Small/Mid-Size Business_Rebates_High Speed Washer_Laundromat_SMB</v>
      </c>
      <c r="C2976" s="2" t="str">
        <f t="shared" si="93"/>
        <v>NSG_Business_Small/Mid-Size Business_Rebates_High Speed Washer_Laundromat_SMB_2025</v>
      </c>
      <c r="D2976" s="19" t="s">
        <v>1787</v>
      </c>
      <c r="E2976" s="19" t="s">
        <v>3</v>
      </c>
      <c r="F2976" s="19" t="s">
        <v>1432</v>
      </c>
      <c r="G2976" s="19" t="s">
        <v>1429</v>
      </c>
      <c r="H2976" s="19" t="s">
        <v>725</v>
      </c>
      <c r="I2976" s="19" t="s">
        <v>1356</v>
      </c>
      <c r="J2976" s="19" t="s">
        <v>730</v>
      </c>
      <c r="K2976" s="19" t="s">
        <v>1220</v>
      </c>
      <c r="L2976" s="19">
        <v>2025</v>
      </c>
      <c r="M2976" s="20">
        <v>250</v>
      </c>
      <c r="N2976" s="19" t="s">
        <v>1803</v>
      </c>
      <c r="O2976" s="20">
        <v>0</v>
      </c>
      <c r="P2976" s="20">
        <v>0</v>
      </c>
      <c r="Q2976" s="20">
        <v>0</v>
      </c>
      <c r="R2976" s="21">
        <v>0.92</v>
      </c>
      <c r="S2976" s="20">
        <v>0</v>
      </c>
    </row>
    <row r="2977" spans="2:19" ht="15" customHeight="1" x14ac:dyDescent="0.25">
      <c r="B2977" s="2" t="str">
        <f t="shared" si="92"/>
        <v>NSG_Business_Small/Mid-Size Business_Rebates_Small Commercial Advanced Thermostat_0_CI</v>
      </c>
      <c r="C2977" s="2" t="str">
        <f t="shared" si="93"/>
        <v>NSG_Business_Small/Mid-Size Business_Rebates_Small Commercial Advanced Thermostat_0_CI_2022</v>
      </c>
      <c r="D2977" s="19" t="s">
        <v>1787</v>
      </c>
      <c r="E2977" s="19" t="s">
        <v>3</v>
      </c>
      <c r="F2977" s="19" t="s">
        <v>1432</v>
      </c>
      <c r="G2977" s="19" t="s">
        <v>1429</v>
      </c>
      <c r="H2977" s="19" t="s">
        <v>1302</v>
      </c>
      <c r="I2977" s="19">
        <v>0</v>
      </c>
      <c r="J2977" s="19" t="s">
        <v>1183</v>
      </c>
      <c r="K2977" s="19" t="s">
        <v>1159</v>
      </c>
      <c r="L2977" s="19">
        <v>2022</v>
      </c>
      <c r="M2977" s="20">
        <v>1</v>
      </c>
      <c r="N2977" s="19" t="s">
        <v>1798</v>
      </c>
      <c r="O2977" s="20">
        <v>0</v>
      </c>
      <c r="P2977" s="20">
        <v>0</v>
      </c>
      <c r="Q2977" s="20">
        <v>0</v>
      </c>
      <c r="R2977" s="21">
        <v>0.96</v>
      </c>
      <c r="S2977" s="20">
        <v>0</v>
      </c>
    </row>
    <row r="2978" spans="2:19" ht="15" customHeight="1" x14ac:dyDescent="0.25">
      <c r="B2978" s="2" t="str">
        <f t="shared" si="92"/>
        <v>NSG_Business_Small/Mid-Size Business_Rebates_Small Commercial Advanced Thermostat_0_CI</v>
      </c>
      <c r="C2978" s="2" t="str">
        <f t="shared" si="93"/>
        <v>NSG_Business_Small/Mid-Size Business_Rebates_Small Commercial Advanced Thermostat_0_CI_2023</v>
      </c>
      <c r="D2978" s="19" t="s">
        <v>1787</v>
      </c>
      <c r="E2978" s="19" t="s">
        <v>3</v>
      </c>
      <c r="F2978" s="19" t="s">
        <v>1432</v>
      </c>
      <c r="G2978" s="19" t="s">
        <v>1429</v>
      </c>
      <c r="H2978" s="19" t="s">
        <v>1302</v>
      </c>
      <c r="I2978" s="19">
        <v>0</v>
      </c>
      <c r="J2978" s="19" t="s">
        <v>1183</v>
      </c>
      <c r="K2978" s="19" t="s">
        <v>1159</v>
      </c>
      <c r="L2978" s="19">
        <v>2023</v>
      </c>
      <c r="M2978" s="20">
        <v>1</v>
      </c>
      <c r="N2978" s="19" t="s">
        <v>1798</v>
      </c>
      <c r="O2978" s="20">
        <v>0</v>
      </c>
      <c r="P2978" s="20">
        <v>0</v>
      </c>
      <c r="Q2978" s="20">
        <v>0</v>
      </c>
      <c r="R2978" s="21">
        <v>0.96</v>
      </c>
      <c r="S2978" s="20">
        <v>0</v>
      </c>
    </row>
    <row r="2979" spans="2:19" ht="15" customHeight="1" x14ac:dyDescent="0.25">
      <c r="B2979" s="2" t="str">
        <f t="shared" si="92"/>
        <v>NSG_Business_Small/Mid-Size Business_Rebates_Small Commercial Advanced Thermostat_0_CI</v>
      </c>
      <c r="C2979" s="2" t="str">
        <f t="shared" si="93"/>
        <v>NSG_Business_Small/Mid-Size Business_Rebates_Small Commercial Advanced Thermostat_0_CI_2024</v>
      </c>
      <c r="D2979" s="19" t="s">
        <v>1787</v>
      </c>
      <c r="E2979" s="19" t="s">
        <v>3</v>
      </c>
      <c r="F2979" s="19" t="s">
        <v>1432</v>
      </c>
      <c r="G2979" s="19" t="s">
        <v>1429</v>
      </c>
      <c r="H2979" s="19" t="s">
        <v>1302</v>
      </c>
      <c r="I2979" s="19">
        <v>0</v>
      </c>
      <c r="J2979" s="19" t="s">
        <v>1183</v>
      </c>
      <c r="K2979" s="19" t="s">
        <v>1159</v>
      </c>
      <c r="L2979" s="19">
        <v>2024</v>
      </c>
      <c r="M2979" s="20">
        <v>1</v>
      </c>
      <c r="N2979" s="19" t="s">
        <v>1798</v>
      </c>
      <c r="O2979" s="20">
        <v>0</v>
      </c>
      <c r="P2979" s="20">
        <v>0</v>
      </c>
      <c r="Q2979" s="20">
        <v>0</v>
      </c>
      <c r="R2979" s="21">
        <v>0.96</v>
      </c>
      <c r="S2979" s="20">
        <v>0</v>
      </c>
    </row>
    <row r="2980" spans="2:19" ht="15" customHeight="1" x14ac:dyDescent="0.25">
      <c r="B2980" s="2" t="str">
        <f t="shared" si="92"/>
        <v>NSG_Business_Small/Mid-Size Business_Rebates_Small Commercial Advanced Thermostat_0_CI</v>
      </c>
      <c r="C2980" s="2" t="str">
        <f t="shared" si="93"/>
        <v>NSG_Business_Small/Mid-Size Business_Rebates_Small Commercial Advanced Thermostat_0_CI_2025</v>
      </c>
      <c r="D2980" s="19" t="s">
        <v>1787</v>
      </c>
      <c r="E2980" s="19" t="s">
        <v>3</v>
      </c>
      <c r="F2980" s="19" t="s">
        <v>1432</v>
      </c>
      <c r="G2980" s="19" t="s">
        <v>1429</v>
      </c>
      <c r="H2980" s="19" t="s">
        <v>1302</v>
      </c>
      <c r="I2980" s="19">
        <v>0</v>
      </c>
      <c r="J2980" s="19" t="s">
        <v>1183</v>
      </c>
      <c r="K2980" s="19" t="s">
        <v>1159</v>
      </c>
      <c r="L2980" s="19">
        <v>2025</v>
      </c>
      <c r="M2980" s="20">
        <v>1</v>
      </c>
      <c r="N2980" s="19" t="s">
        <v>1798</v>
      </c>
      <c r="O2980" s="20">
        <v>0</v>
      </c>
      <c r="P2980" s="20">
        <v>0</v>
      </c>
      <c r="Q2980" s="20">
        <v>0</v>
      </c>
      <c r="R2980" s="21">
        <v>0.96</v>
      </c>
      <c r="S2980" s="20">
        <v>0</v>
      </c>
    </row>
    <row r="2981" spans="2:19" ht="15" customHeight="1" x14ac:dyDescent="0.25">
      <c r="B2981" s="2" t="str">
        <f t="shared" si="92"/>
        <v>NSG_Business_Small/Mid-Size Business_Rebates_Demand Controlled Ventilation_0_MF/CI/SMB</v>
      </c>
      <c r="C2981" s="2" t="str">
        <f t="shared" si="93"/>
        <v>NSG_Business_Small/Mid-Size Business_Rebates_Demand Controlled Ventilation_0_MF/CI/SMB_2022</v>
      </c>
      <c r="D2981" s="19" t="s">
        <v>1787</v>
      </c>
      <c r="E2981" s="19" t="s">
        <v>3</v>
      </c>
      <c r="F2981" s="19" t="s">
        <v>1432</v>
      </c>
      <c r="G2981" s="19" t="s">
        <v>1429</v>
      </c>
      <c r="H2981" s="19" t="s">
        <v>14</v>
      </c>
      <c r="I2981" s="19">
        <v>0</v>
      </c>
      <c r="J2981" s="19" t="s">
        <v>34</v>
      </c>
      <c r="K2981" s="19" t="s">
        <v>662</v>
      </c>
      <c r="L2981" s="19">
        <v>2022</v>
      </c>
      <c r="M2981" s="20">
        <v>10000</v>
      </c>
      <c r="N2981" s="19" t="s">
        <v>634</v>
      </c>
      <c r="O2981" s="20">
        <v>0</v>
      </c>
      <c r="P2981" s="20">
        <v>0</v>
      </c>
      <c r="Q2981" s="20">
        <v>0</v>
      </c>
      <c r="R2981" s="21">
        <v>0.92</v>
      </c>
      <c r="S2981" s="20">
        <v>0</v>
      </c>
    </row>
    <row r="2982" spans="2:19" ht="15" customHeight="1" x14ac:dyDescent="0.25">
      <c r="B2982" s="2" t="str">
        <f t="shared" si="92"/>
        <v>NSG_Business_Small/Mid-Size Business_Rebates_Demand Controlled Ventilation_0_MF/CI/SMB</v>
      </c>
      <c r="C2982" s="2" t="str">
        <f t="shared" si="93"/>
        <v>NSG_Business_Small/Mid-Size Business_Rebates_Demand Controlled Ventilation_0_MF/CI/SMB_2023</v>
      </c>
      <c r="D2982" s="19" t="s">
        <v>1787</v>
      </c>
      <c r="E2982" s="19" t="s">
        <v>3</v>
      </c>
      <c r="F2982" s="19" t="s">
        <v>1432</v>
      </c>
      <c r="G2982" s="19" t="s">
        <v>1429</v>
      </c>
      <c r="H2982" s="19" t="s">
        <v>14</v>
      </c>
      <c r="I2982" s="19">
        <v>0</v>
      </c>
      <c r="J2982" s="19" t="s">
        <v>34</v>
      </c>
      <c r="K2982" s="19" t="s">
        <v>662</v>
      </c>
      <c r="L2982" s="19">
        <v>2023</v>
      </c>
      <c r="M2982" s="20">
        <v>10000</v>
      </c>
      <c r="N2982" s="19" t="s">
        <v>634</v>
      </c>
      <c r="O2982" s="20">
        <v>0</v>
      </c>
      <c r="P2982" s="20">
        <v>0</v>
      </c>
      <c r="Q2982" s="20">
        <v>0</v>
      </c>
      <c r="R2982" s="21">
        <v>0.92</v>
      </c>
      <c r="S2982" s="20">
        <v>0</v>
      </c>
    </row>
    <row r="2983" spans="2:19" ht="15" customHeight="1" x14ac:dyDescent="0.25">
      <c r="B2983" s="2" t="str">
        <f t="shared" si="92"/>
        <v>NSG_Business_Small/Mid-Size Business_Rebates_Demand Controlled Ventilation_0_MF/CI/SMB</v>
      </c>
      <c r="C2983" s="2" t="str">
        <f t="shared" si="93"/>
        <v>NSG_Business_Small/Mid-Size Business_Rebates_Demand Controlled Ventilation_0_MF/CI/SMB_2024</v>
      </c>
      <c r="D2983" s="19" t="s">
        <v>1787</v>
      </c>
      <c r="E2983" s="19" t="s">
        <v>3</v>
      </c>
      <c r="F2983" s="19" t="s">
        <v>1432</v>
      </c>
      <c r="G2983" s="19" t="s">
        <v>1429</v>
      </c>
      <c r="H2983" s="19" t="s">
        <v>14</v>
      </c>
      <c r="I2983" s="19">
        <v>0</v>
      </c>
      <c r="J2983" s="19" t="s">
        <v>34</v>
      </c>
      <c r="K2983" s="19" t="s">
        <v>662</v>
      </c>
      <c r="L2983" s="19">
        <v>2024</v>
      </c>
      <c r="M2983" s="20">
        <v>10000</v>
      </c>
      <c r="N2983" s="19" t="s">
        <v>634</v>
      </c>
      <c r="O2983" s="20">
        <v>0</v>
      </c>
      <c r="P2983" s="20">
        <v>0</v>
      </c>
      <c r="Q2983" s="20">
        <v>0</v>
      </c>
      <c r="R2983" s="21">
        <v>0.92</v>
      </c>
      <c r="S2983" s="20">
        <v>0</v>
      </c>
    </row>
    <row r="2984" spans="2:19" ht="15" customHeight="1" x14ac:dyDescent="0.25">
      <c r="B2984" s="2" t="str">
        <f t="shared" si="92"/>
        <v>NSG_Business_Small/Mid-Size Business_Rebates_Demand Controlled Ventilation_0_MF/CI/SMB</v>
      </c>
      <c r="C2984" s="2" t="str">
        <f t="shared" si="93"/>
        <v>NSG_Business_Small/Mid-Size Business_Rebates_Demand Controlled Ventilation_0_MF/CI/SMB_2025</v>
      </c>
      <c r="D2984" s="19" t="s">
        <v>1787</v>
      </c>
      <c r="E2984" s="19" t="s">
        <v>3</v>
      </c>
      <c r="F2984" s="19" t="s">
        <v>1432</v>
      </c>
      <c r="G2984" s="19" t="s">
        <v>1429</v>
      </c>
      <c r="H2984" s="19" t="s">
        <v>14</v>
      </c>
      <c r="I2984" s="19">
        <v>0</v>
      </c>
      <c r="J2984" s="19" t="s">
        <v>34</v>
      </c>
      <c r="K2984" s="19" t="s">
        <v>662</v>
      </c>
      <c r="L2984" s="19">
        <v>2025</v>
      </c>
      <c r="M2984" s="20">
        <v>10000</v>
      </c>
      <c r="N2984" s="19" t="s">
        <v>634</v>
      </c>
      <c r="O2984" s="20">
        <v>0</v>
      </c>
      <c r="P2984" s="20">
        <v>0</v>
      </c>
      <c r="Q2984" s="20">
        <v>0</v>
      </c>
      <c r="R2984" s="21">
        <v>0.92</v>
      </c>
      <c r="S2984" s="20">
        <v>0</v>
      </c>
    </row>
    <row r="2985" spans="2:19" ht="15" customHeight="1" x14ac:dyDescent="0.25">
      <c r="B2985" s="2" t="str">
        <f t="shared" si="92"/>
        <v>NSG_Business_Small/Mid-Size Business_Rebates_Condensate Tank Insulation_0_MF/CI/SMB</v>
      </c>
      <c r="C2985" s="2" t="str">
        <f t="shared" si="93"/>
        <v>NSG_Business_Small/Mid-Size Business_Rebates_Condensate Tank Insulation_0_MF/CI/SMB_2022</v>
      </c>
      <c r="D2985" s="19" t="s">
        <v>1787</v>
      </c>
      <c r="E2985" s="19" t="s">
        <v>3</v>
      </c>
      <c r="F2985" s="19" t="s">
        <v>1432</v>
      </c>
      <c r="G2985" s="19" t="s">
        <v>1429</v>
      </c>
      <c r="H2985" s="19" t="s">
        <v>806</v>
      </c>
      <c r="I2985" s="19">
        <v>0</v>
      </c>
      <c r="J2985" s="19" t="s">
        <v>810</v>
      </c>
      <c r="K2985" s="19" t="s">
        <v>662</v>
      </c>
      <c r="L2985" s="19">
        <v>2022</v>
      </c>
      <c r="M2985" s="20">
        <v>550</v>
      </c>
      <c r="N2985" s="19" t="s">
        <v>634</v>
      </c>
      <c r="O2985" s="20">
        <v>0</v>
      </c>
      <c r="P2985" s="20">
        <v>0</v>
      </c>
      <c r="Q2985" s="20">
        <v>0</v>
      </c>
      <c r="R2985" s="21">
        <v>0.92</v>
      </c>
      <c r="S2985" s="20">
        <v>0</v>
      </c>
    </row>
    <row r="2986" spans="2:19" ht="15" customHeight="1" x14ac:dyDescent="0.25">
      <c r="B2986" s="2" t="str">
        <f t="shared" si="92"/>
        <v>NSG_Business_Small/Mid-Size Business_Rebates_Condensate Tank Insulation_0_MF/CI/SMB</v>
      </c>
      <c r="C2986" s="2" t="str">
        <f t="shared" si="93"/>
        <v>NSG_Business_Small/Mid-Size Business_Rebates_Condensate Tank Insulation_0_MF/CI/SMB_2023</v>
      </c>
      <c r="D2986" s="19" t="s">
        <v>1787</v>
      </c>
      <c r="E2986" s="19" t="s">
        <v>3</v>
      </c>
      <c r="F2986" s="19" t="s">
        <v>1432</v>
      </c>
      <c r="G2986" s="19" t="s">
        <v>1429</v>
      </c>
      <c r="H2986" s="19" t="s">
        <v>806</v>
      </c>
      <c r="I2986" s="19">
        <v>0</v>
      </c>
      <c r="J2986" s="19" t="s">
        <v>810</v>
      </c>
      <c r="K2986" s="19" t="s">
        <v>662</v>
      </c>
      <c r="L2986" s="19">
        <v>2023</v>
      </c>
      <c r="M2986" s="20">
        <v>550</v>
      </c>
      <c r="N2986" s="19" t="s">
        <v>634</v>
      </c>
      <c r="O2986" s="20">
        <v>0</v>
      </c>
      <c r="P2986" s="20">
        <v>0</v>
      </c>
      <c r="Q2986" s="20">
        <v>0</v>
      </c>
      <c r="R2986" s="21">
        <v>0.92</v>
      </c>
      <c r="S2986" s="20">
        <v>0</v>
      </c>
    </row>
    <row r="2987" spans="2:19" ht="15" customHeight="1" x14ac:dyDescent="0.25">
      <c r="B2987" s="2" t="str">
        <f t="shared" si="92"/>
        <v>NSG_Business_Small/Mid-Size Business_Rebates_Condensate Tank Insulation_0_MF/CI/SMB</v>
      </c>
      <c r="C2987" s="2" t="str">
        <f t="shared" si="93"/>
        <v>NSG_Business_Small/Mid-Size Business_Rebates_Condensate Tank Insulation_0_MF/CI/SMB_2024</v>
      </c>
      <c r="D2987" s="19" t="s">
        <v>1787</v>
      </c>
      <c r="E2987" s="19" t="s">
        <v>3</v>
      </c>
      <c r="F2987" s="19" t="s">
        <v>1432</v>
      </c>
      <c r="G2987" s="19" t="s">
        <v>1429</v>
      </c>
      <c r="H2987" s="19" t="s">
        <v>806</v>
      </c>
      <c r="I2987" s="19">
        <v>0</v>
      </c>
      <c r="J2987" s="19" t="s">
        <v>810</v>
      </c>
      <c r="K2987" s="19" t="s">
        <v>662</v>
      </c>
      <c r="L2987" s="19">
        <v>2024</v>
      </c>
      <c r="M2987" s="20">
        <v>550</v>
      </c>
      <c r="N2987" s="19" t="s">
        <v>634</v>
      </c>
      <c r="O2987" s="20">
        <v>0</v>
      </c>
      <c r="P2987" s="20">
        <v>0</v>
      </c>
      <c r="Q2987" s="20">
        <v>0</v>
      </c>
      <c r="R2987" s="21">
        <v>0.92</v>
      </c>
      <c r="S2987" s="20">
        <v>0</v>
      </c>
    </row>
    <row r="2988" spans="2:19" ht="15" customHeight="1" x14ac:dyDescent="0.25">
      <c r="B2988" s="2" t="str">
        <f t="shared" si="92"/>
        <v>NSG_Business_Small/Mid-Size Business_Rebates_Condensate Tank Insulation_0_MF/CI/SMB</v>
      </c>
      <c r="C2988" s="2" t="str">
        <f t="shared" si="93"/>
        <v>NSG_Business_Small/Mid-Size Business_Rebates_Condensate Tank Insulation_0_MF/CI/SMB_2025</v>
      </c>
      <c r="D2988" s="19" t="s">
        <v>1787</v>
      </c>
      <c r="E2988" s="19" t="s">
        <v>3</v>
      </c>
      <c r="F2988" s="19" t="s">
        <v>1432</v>
      </c>
      <c r="G2988" s="19" t="s">
        <v>1429</v>
      </c>
      <c r="H2988" s="19" t="s">
        <v>806</v>
      </c>
      <c r="I2988" s="19">
        <v>0</v>
      </c>
      <c r="J2988" s="19" t="s">
        <v>810</v>
      </c>
      <c r="K2988" s="19" t="s">
        <v>662</v>
      </c>
      <c r="L2988" s="19">
        <v>2025</v>
      </c>
      <c r="M2988" s="20">
        <v>550</v>
      </c>
      <c r="N2988" s="19" t="s">
        <v>634</v>
      </c>
      <c r="O2988" s="20">
        <v>0</v>
      </c>
      <c r="P2988" s="20">
        <v>0</v>
      </c>
      <c r="Q2988" s="20">
        <v>0</v>
      </c>
      <c r="R2988" s="21">
        <v>0.92</v>
      </c>
      <c r="S2988" s="20">
        <v>0</v>
      </c>
    </row>
    <row r="2989" spans="2:19" ht="15" customHeight="1" x14ac:dyDescent="0.25">
      <c r="B2989" s="2" t="str">
        <f t="shared" si="92"/>
        <v>NSG_Business_Small/Mid-Size Business_Rebates_Dock Door Seals_0_CI</v>
      </c>
      <c r="C2989" s="2" t="str">
        <f t="shared" si="93"/>
        <v>NSG_Business_Small/Mid-Size Business_Rebates_Dock Door Seals_0_CI_2022</v>
      </c>
      <c r="D2989" s="19" t="s">
        <v>1787</v>
      </c>
      <c r="E2989" s="19" t="s">
        <v>3</v>
      </c>
      <c r="F2989" s="19" t="s">
        <v>1432</v>
      </c>
      <c r="G2989" s="19" t="s">
        <v>1429</v>
      </c>
      <c r="H2989" s="19" t="s">
        <v>1291</v>
      </c>
      <c r="I2989" s="19">
        <v>0</v>
      </c>
      <c r="J2989" s="19">
        <v>0</v>
      </c>
      <c r="K2989" s="19" t="s">
        <v>1159</v>
      </c>
      <c r="L2989" s="19">
        <v>2022</v>
      </c>
      <c r="M2989" s="20">
        <v>1</v>
      </c>
      <c r="N2989" s="19" t="s">
        <v>1798</v>
      </c>
      <c r="O2989" s="20">
        <v>0</v>
      </c>
      <c r="P2989" s="20">
        <v>0</v>
      </c>
      <c r="Q2989" s="20">
        <v>0</v>
      </c>
      <c r="R2989" s="21">
        <v>0.92</v>
      </c>
      <c r="S2989" s="20">
        <v>0</v>
      </c>
    </row>
    <row r="2990" spans="2:19" ht="15" customHeight="1" x14ac:dyDescent="0.25">
      <c r="B2990" s="2" t="str">
        <f t="shared" si="92"/>
        <v>NSG_Business_Small/Mid-Size Business_Rebates_Dock Door Seals_0_CI</v>
      </c>
      <c r="C2990" s="2" t="str">
        <f t="shared" si="93"/>
        <v>NSG_Business_Small/Mid-Size Business_Rebates_Dock Door Seals_0_CI_2023</v>
      </c>
      <c r="D2990" s="19" t="s">
        <v>1787</v>
      </c>
      <c r="E2990" s="19" t="s">
        <v>3</v>
      </c>
      <c r="F2990" s="19" t="s">
        <v>1432</v>
      </c>
      <c r="G2990" s="19" t="s">
        <v>1429</v>
      </c>
      <c r="H2990" s="19" t="s">
        <v>1291</v>
      </c>
      <c r="I2990" s="19">
        <v>0</v>
      </c>
      <c r="J2990" s="19">
        <v>0</v>
      </c>
      <c r="K2990" s="19" t="s">
        <v>1159</v>
      </c>
      <c r="L2990" s="19">
        <v>2023</v>
      </c>
      <c r="M2990" s="20">
        <v>1</v>
      </c>
      <c r="N2990" s="19" t="s">
        <v>1798</v>
      </c>
      <c r="O2990" s="20">
        <v>0</v>
      </c>
      <c r="P2990" s="20">
        <v>0</v>
      </c>
      <c r="Q2990" s="20">
        <v>0</v>
      </c>
      <c r="R2990" s="21">
        <v>0.92</v>
      </c>
      <c r="S2990" s="20">
        <v>0</v>
      </c>
    </row>
    <row r="2991" spans="2:19" ht="15" customHeight="1" x14ac:dyDescent="0.25">
      <c r="B2991" s="2" t="str">
        <f t="shared" si="92"/>
        <v>NSG_Business_Small/Mid-Size Business_Rebates_Dock Door Seals_0_CI</v>
      </c>
      <c r="C2991" s="2" t="str">
        <f t="shared" si="93"/>
        <v>NSG_Business_Small/Mid-Size Business_Rebates_Dock Door Seals_0_CI_2024</v>
      </c>
      <c r="D2991" s="19" t="s">
        <v>1787</v>
      </c>
      <c r="E2991" s="19" t="s">
        <v>3</v>
      </c>
      <c r="F2991" s="19" t="s">
        <v>1432</v>
      </c>
      <c r="G2991" s="19" t="s">
        <v>1429</v>
      </c>
      <c r="H2991" s="19" t="s">
        <v>1291</v>
      </c>
      <c r="I2991" s="19">
        <v>0</v>
      </c>
      <c r="J2991" s="19">
        <v>0</v>
      </c>
      <c r="K2991" s="19" t="s">
        <v>1159</v>
      </c>
      <c r="L2991" s="19">
        <v>2024</v>
      </c>
      <c r="M2991" s="20">
        <v>1</v>
      </c>
      <c r="N2991" s="19" t="s">
        <v>1798</v>
      </c>
      <c r="O2991" s="20">
        <v>0</v>
      </c>
      <c r="P2991" s="20">
        <v>0</v>
      </c>
      <c r="Q2991" s="20">
        <v>0</v>
      </c>
      <c r="R2991" s="21">
        <v>0.92</v>
      </c>
      <c r="S2991" s="20">
        <v>0</v>
      </c>
    </row>
    <row r="2992" spans="2:19" ht="15" customHeight="1" x14ac:dyDescent="0.25">
      <c r="B2992" s="2" t="str">
        <f t="shared" si="92"/>
        <v>NSG_Business_Small/Mid-Size Business_Rebates_Dock Door Seals_0_CI</v>
      </c>
      <c r="C2992" s="2" t="str">
        <f t="shared" si="93"/>
        <v>NSG_Business_Small/Mid-Size Business_Rebates_Dock Door Seals_0_CI_2025</v>
      </c>
      <c r="D2992" s="19" t="s">
        <v>1787</v>
      </c>
      <c r="E2992" s="19" t="s">
        <v>3</v>
      </c>
      <c r="F2992" s="19" t="s">
        <v>1432</v>
      </c>
      <c r="G2992" s="19" t="s">
        <v>1429</v>
      </c>
      <c r="H2992" s="19" t="s">
        <v>1291</v>
      </c>
      <c r="I2992" s="19">
        <v>0</v>
      </c>
      <c r="J2992" s="19">
        <v>0</v>
      </c>
      <c r="K2992" s="19" t="s">
        <v>1159</v>
      </c>
      <c r="L2992" s="19">
        <v>2025</v>
      </c>
      <c r="M2992" s="20">
        <v>1</v>
      </c>
      <c r="N2992" s="19" t="s">
        <v>1798</v>
      </c>
      <c r="O2992" s="20">
        <v>0</v>
      </c>
      <c r="P2992" s="20">
        <v>0</v>
      </c>
      <c r="Q2992" s="20">
        <v>0</v>
      </c>
      <c r="R2992" s="21">
        <v>0.92</v>
      </c>
      <c r="S2992" s="20">
        <v>0</v>
      </c>
    </row>
    <row r="2993" spans="2:19" ht="15" customHeight="1" x14ac:dyDescent="0.25">
      <c r="B2993" s="2" t="str">
        <f t="shared" si="92"/>
        <v>NSG_Business_Small/Mid-Size Business_Rebates_Furnace_&gt;95% AFUE_CI</v>
      </c>
      <c r="C2993" s="2" t="str">
        <f t="shared" si="93"/>
        <v>NSG_Business_Small/Mid-Size Business_Rebates_Furnace_&gt;95% AFUE_CI_2022</v>
      </c>
      <c r="D2993" s="19" t="s">
        <v>1787</v>
      </c>
      <c r="E2993" s="19" t="s">
        <v>3</v>
      </c>
      <c r="F2993" s="19" t="s">
        <v>1432</v>
      </c>
      <c r="G2993" s="19" t="s">
        <v>1429</v>
      </c>
      <c r="H2993" s="19" t="s">
        <v>490</v>
      </c>
      <c r="I2993" s="19" t="s">
        <v>982</v>
      </c>
      <c r="J2993" s="19" t="s">
        <v>983</v>
      </c>
      <c r="K2993" s="19" t="s">
        <v>1159</v>
      </c>
      <c r="L2993" s="19">
        <v>2022</v>
      </c>
      <c r="M2993" s="20">
        <v>1</v>
      </c>
      <c r="N2993" s="19" t="s">
        <v>1798</v>
      </c>
      <c r="O2993" s="20">
        <v>2</v>
      </c>
      <c r="P2993" s="20">
        <v>2</v>
      </c>
      <c r="Q2993" s="20">
        <v>454.63731999999976</v>
      </c>
      <c r="R2993" s="21">
        <v>0.92</v>
      </c>
      <c r="S2993" s="20">
        <v>454.63731999999976</v>
      </c>
    </row>
    <row r="2994" spans="2:19" ht="15" customHeight="1" x14ac:dyDescent="0.25">
      <c r="B2994" s="2" t="str">
        <f t="shared" si="92"/>
        <v>NSG_Business_Small/Mid-Size Business_Rebates_Furnace_&gt;95% AFUE_CI</v>
      </c>
      <c r="C2994" s="2" t="str">
        <f t="shared" si="93"/>
        <v>NSG_Business_Small/Mid-Size Business_Rebates_Furnace_&gt;95% AFUE_CI_2023</v>
      </c>
      <c r="D2994" s="19" t="s">
        <v>1787</v>
      </c>
      <c r="E2994" s="19" t="s">
        <v>3</v>
      </c>
      <c r="F2994" s="19" t="s">
        <v>1432</v>
      </c>
      <c r="G2994" s="19" t="s">
        <v>1429</v>
      </c>
      <c r="H2994" s="19" t="s">
        <v>490</v>
      </c>
      <c r="I2994" s="19" t="s">
        <v>982</v>
      </c>
      <c r="J2994" s="19" t="s">
        <v>983</v>
      </c>
      <c r="K2994" s="19" t="s">
        <v>1159</v>
      </c>
      <c r="L2994" s="19">
        <v>2023</v>
      </c>
      <c r="M2994" s="20">
        <v>1</v>
      </c>
      <c r="N2994" s="19" t="s">
        <v>1798</v>
      </c>
      <c r="O2994" s="20">
        <v>2</v>
      </c>
      <c r="P2994" s="20">
        <v>2</v>
      </c>
      <c r="Q2994" s="20">
        <v>454.63731999999976</v>
      </c>
      <c r="R2994" s="21">
        <v>0.92</v>
      </c>
      <c r="S2994" s="20">
        <v>454.63731999999976</v>
      </c>
    </row>
    <row r="2995" spans="2:19" ht="15" customHeight="1" x14ac:dyDescent="0.25">
      <c r="B2995" s="2" t="str">
        <f t="shared" si="92"/>
        <v>NSG_Business_Small/Mid-Size Business_Rebates_Furnace_&gt;95% AFUE_CI</v>
      </c>
      <c r="C2995" s="2" t="str">
        <f t="shared" si="93"/>
        <v>NSG_Business_Small/Mid-Size Business_Rebates_Furnace_&gt;95% AFUE_CI_2024</v>
      </c>
      <c r="D2995" s="19" t="s">
        <v>1787</v>
      </c>
      <c r="E2995" s="19" t="s">
        <v>3</v>
      </c>
      <c r="F2995" s="19" t="s">
        <v>1432</v>
      </c>
      <c r="G2995" s="19" t="s">
        <v>1429</v>
      </c>
      <c r="H2995" s="19" t="s">
        <v>490</v>
      </c>
      <c r="I2995" s="19" t="s">
        <v>982</v>
      </c>
      <c r="J2995" s="19" t="s">
        <v>983</v>
      </c>
      <c r="K2995" s="19" t="s">
        <v>1159</v>
      </c>
      <c r="L2995" s="19">
        <v>2024</v>
      </c>
      <c r="M2995" s="20">
        <v>1</v>
      </c>
      <c r="N2995" s="19" t="s">
        <v>1798</v>
      </c>
      <c r="O2995" s="20">
        <v>2</v>
      </c>
      <c r="P2995" s="20">
        <v>2</v>
      </c>
      <c r="Q2995" s="20">
        <v>454.63731999999976</v>
      </c>
      <c r="R2995" s="21">
        <v>0.92</v>
      </c>
      <c r="S2995" s="20">
        <v>454.63731999999976</v>
      </c>
    </row>
    <row r="2996" spans="2:19" ht="15" customHeight="1" x14ac:dyDescent="0.25">
      <c r="B2996" s="2" t="str">
        <f t="shared" si="92"/>
        <v>NSG_Business_Small/Mid-Size Business_Rebates_Furnace_&gt;95% AFUE_CI</v>
      </c>
      <c r="C2996" s="2" t="str">
        <f t="shared" si="93"/>
        <v>NSG_Business_Small/Mid-Size Business_Rebates_Furnace_&gt;95% AFUE_CI_2025</v>
      </c>
      <c r="D2996" s="19" t="s">
        <v>1787</v>
      </c>
      <c r="E2996" s="19" t="s">
        <v>3</v>
      </c>
      <c r="F2996" s="19" t="s">
        <v>1432</v>
      </c>
      <c r="G2996" s="19" t="s">
        <v>1429</v>
      </c>
      <c r="H2996" s="19" t="s">
        <v>490</v>
      </c>
      <c r="I2996" s="19" t="s">
        <v>982</v>
      </c>
      <c r="J2996" s="19" t="s">
        <v>983</v>
      </c>
      <c r="K2996" s="19" t="s">
        <v>1159</v>
      </c>
      <c r="L2996" s="19">
        <v>2025</v>
      </c>
      <c r="M2996" s="20">
        <v>1</v>
      </c>
      <c r="N2996" s="19" t="s">
        <v>1798</v>
      </c>
      <c r="O2996" s="20">
        <v>2</v>
      </c>
      <c r="P2996" s="20">
        <v>2</v>
      </c>
      <c r="Q2996" s="20">
        <v>454.63731999999976</v>
      </c>
      <c r="R2996" s="21">
        <v>0.92</v>
      </c>
      <c r="S2996" s="20">
        <v>454.63731999999976</v>
      </c>
    </row>
    <row r="2997" spans="2:19" ht="15" customHeight="1" x14ac:dyDescent="0.25">
      <c r="B2997" s="2" t="str">
        <f t="shared" si="92"/>
        <v>NSG_Business_Small/Mid-Size Business_Rebates_Water Heater_≥75 MBH, ≥88% TE _CI</v>
      </c>
      <c r="C2997" s="2" t="str">
        <f t="shared" si="93"/>
        <v>NSG_Business_Small/Mid-Size Business_Rebates_Water Heater_≥75 MBH, ≥88% TE _CI_2022</v>
      </c>
      <c r="D2997" s="19" t="s">
        <v>1787</v>
      </c>
      <c r="E2997" s="19" t="s">
        <v>3</v>
      </c>
      <c r="F2997" s="19" t="s">
        <v>1432</v>
      </c>
      <c r="G2997" s="19" t="s">
        <v>1429</v>
      </c>
      <c r="H2997" s="19" t="s">
        <v>8</v>
      </c>
      <c r="I2997" s="19" t="s">
        <v>1293</v>
      </c>
      <c r="J2997" s="19" t="s">
        <v>1294</v>
      </c>
      <c r="K2997" s="19" t="s">
        <v>1159</v>
      </c>
      <c r="L2997" s="19">
        <v>2022</v>
      </c>
      <c r="M2997" s="20">
        <v>250</v>
      </c>
      <c r="N2997" s="19" t="s">
        <v>667</v>
      </c>
      <c r="O2997" s="20">
        <v>0</v>
      </c>
      <c r="P2997" s="20">
        <v>0</v>
      </c>
      <c r="Q2997" s="20">
        <v>0</v>
      </c>
      <c r="R2997" s="21">
        <v>0.92</v>
      </c>
      <c r="S2997" s="20">
        <v>0</v>
      </c>
    </row>
    <row r="2998" spans="2:19" ht="15" customHeight="1" x14ac:dyDescent="0.25">
      <c r="B2998" s="2" t="str">
        <f t="shared" si="92"/>
        <v>NSG_Business_Small/Mid-Size Business_Rebates_Water Heater_≥75 MBH, ≥88% TE _CI</v>
      </c>
      <c r="C2998" s="2" t="str">
        <f t="shared" si="93"/>
        <v>NSG_Business_Small/Mid-Size Business_Rebates_Water Heater_≥75 MBH, ≥88% TE _CI_2023</v>
      </c>
      <c r="D2998" s="19" t="s">
        <v>1787</v>
      </c>
      <c r="E2998" s="19" t="s">
        <v>3</v>
      </c>
      <c r="F2998" s="19" t="s">
        <v>1432</v>
      </c>
      <c r="G2998" s="19" t="s">
        <v>1429</v>
      </c>
      <c r="H2998" s="19" t="s">
        <v>8</v>
      </c>
      <c r="I2998" s="19" t="s">
        <v>1293</v>
      </c>
      <c r="J2998" s="19" t="s">
        <v>1294</v>
      </c>
      <c r="K2998" s="19" t="s">
        <v>1159</v>
      </c>
      <c r="L2998" s="19">
        <v>2023</v>
      </c>
      <c r="M2998" s="20">
        <v>250</v>
      </c>
      <c r="N2998" s="19" t="s">
        <v>667</v>
      </c>
      <c r="O2998" s="20">
        <v>0</v>
      </c>
      <c r="P2998" s="20">
        <v>0</v>
      </c>
      <c r="Q2998" s="20">
        <v>0</v>
      </c>
      <c r="R2998" s="21">
        <v>0.92</v>
      </c>
      <c r="S2998" s="20">
        <v>0</v>
      </c>
    </row>
    <row r="2999" spans="2:19" ht="15" customHeight="1" x14ac:dyDescent="0.25">
      <c r="B2999" s="2" t="str">
        <f t="shared" si="92"/>
        <v>NSG_Business_Small/Mid-Size Business_Rebates_Water Heater_≥75 MBH, ≥88% TE _CI</v>
      </c>
      <c r="C2999" s="2" t="str">
        <f t="shared" si="93"/>
        <v>NSG_Business_Small/Mid-Size Business_Rebates_Water Heater_≥75 MBH, ≥88% TE _CI_2024</v>
      </c>
      <c r="D2999" s="19" t="s">
        <v>1787</v>
      </c>
      <c r="E2999" s="19" t="s">
        <v>3</v>
      </c>
      <c r="F2999" s="19" t="s">
        <v>1432</v>
      </c>
      <c r="G2999" s="19" t="s">
        <v>1429</v>
      </c>
      <c r="H2999" s="19" t="s">
        <v>8</v>
      </c>
      <c r="I2999" s="19" t="s">
        <v>1293</v>
      </c>
      <c r="J2999" s="19" t="s">
        <v>1294</v>
      </c>
      <c r="K2999" s="19" t="s">
        <v>1159</v>
      </c>
      <c r="L2999" s="19">
        <v>2024</v>
      </c>
      <c r="M2999" s="20">
        <v>250</v>
      </c>
      <c r="N2999" s="19" t="s">
        <v>667</v>
      </c>
      <c r="O2999" s="20">
        <v>0</v>
      </c>
      <c r="P2999" s="20">
        <v>0</v>
      </c>
      <c r="Q2999" s="20">
        <v>0</v>
      </c>
      <c r="R2999" s="21">
        <v>0.92</v>
      </c>
      <c r="S2999" s="20">
        <v>0</v>
      </c>
    </row>
    <row r="3000" spans="2:19" ht="15" customHeight="1" x14ac:dyDescent="0.25">
      <c r="B3000" s="2" t="str">
        <f t="shared" si="92"/>
        <v>NSG_Business_Small/Mid-Size Business_Rebates_Water Heater_≥75 MBH, ≥88% TE _CI</v>
      </c>
      <c r="C3000" s="2" t="str">
        <f t="shared" si="93"/>
        <v>NSG_Business_Small/Mid-Size Business_Rebates_Water Heater_≥75 MBH, ≥88% TE _CI_2025</v>
      </c>
      <c r="D3000" s="19" t="s">
        <v>1787</v>
      </c>
      <c r="E3000" s="19" t="s">
        <v>3</v>
      </c>
      <c r="F3000" s="19" t="s">
        <v>1432</v>
      </c>
      <c r="G3000" s="19" t="s">
        <v>1429</v>
      </c>
      <c r="H3000" s="19" t="s">
        <v>8</v>
      </c>
      <c r="I3000" s="19" t="s">
        <v>1293</v>
      </c>
      <c r="J3000" s="19" t="s">
        <v>1294</v>
      </c>
      <c r="K3000" s="19" t="s">
        <v>1159</v>
      </c>
      <c r="L3000" s="19">
        <v>2025</v>
      </c>
      <c r="M3000" s="20">
        <v>250</v>
      </c>
      <c r="N3000" s="19" t="s">
        <v>667</v>
      </c>
      <c r="O3000" s="20">
        <v>0</v>
      </c>
      <c r="P3000" s="20">
        <v>0</v>
      </c>
      <c r="Q3000" s="20">
        <v>0</v>
      </c>
      <c r="R3000" s="21">
        <v>0.92</v>
      </c>
      <c r="S3000" s="20">
        <v>0</v>
      </c>
    </row>
    <row r="3001" spans="2:19" ht="15" customHeight="1" x14ac:dyDescent="0.25">
      <c r="B3001" s="2" t="str">
        <f t="shared" si="92"/>
        <v>NSG_Business_Small/Mid-Size Business_Rebates_Linkageless Controls_0_CI</v>
      </c>
      <c r="C3001" s="2" t="str">
        <f t="shared" si="93"/>
        <v>NSG_Business_Small/Mid-Size Business_Rebates_Linkageless Controls_0_CI_2022</v>
      </c>
      <c r="D3001" s="19" t="s">
        <v>1787</v>
      </c>
      <c r="E3001" s="19" t="s">
        <v>3</v>
      </c>
      <c r="F3001" s="19" t="s">
        <v>1432</v>
      </c>
      <c r="G3001" s="19" t="s">
        <v>1429</v>
      </c>
      <c r="H3001" s="19" t="s">
        <v>1287</v>
      </c>
      <c r="I3001" s="19">
        <v>0</v>
      </c>
      <c r="J3001" s="19" t="s">
        <v>28</v>
      </c>
      <c r="K3001" s="19" t="s">
        <v>1159</v>
      </c>
      <c r="L3001" s="19">
        <v>2022</v>
      </c>
      <c r="M3001" s="20">
        <v>1500</v>
      </c>
      <c r="N3001" s="19" t="s">
        <v>667</v>
      </c>
      <c r="O3001" s="20">
        <v>1</v>
      </c>
      <c r="P3001" s="20">
        <v>1500</v>
      </c>
      <c r="Q3001" s="20">
        <v>776.63639999999998</v>
      </c>
      <c r="R3001" s="21">
        <v>0.92</v>
      </c>
      <c r="S3001" s="20">
        <v>776.63639999999998</v>
      </c>
    </row>
    <row r="3002" spans="2:19" ht="15" customHeight="1" x14ac:dyDescent="0.25">
      <c r="B3002" s="2" t="str">
        <f t="shared" si="92"/>
        <v>NSG_Business_Small/Mid-Size Business_Rebates_Linkageless Controls_0_CI</v>
      </c>
      <c r="C3002" s="2" t="str">
        <f t="shared" si="93"/>
        <v>NSG_Business_Small/Mid-Size Business_Rebates_Linkageless Controls_0_CI_2023</v>
      </c>
      <c r="D3002" s="19" t="s">
        <v>1787</v>
      </c>
      <c r="E3002" s="19" t="s">
        <v>3</v>
      </c>
      <c r="F3002" s="19" t="s">
        <v>1432</v>
      </c>
      <c r="G3002" s="19" t="s">
        <v>1429</v>
      </c>
      <c r="H3002" s="19" t="s">
        <v>1287</v>
      </c>
      <c r="I3002" s="19">
        <v>0</v>
      </c>
      <c r="J3002" s="19" t="s">
        <v>28</v>
      </c>
      <c r="K3002" s="19" t="s">
        <v>1159</v>
      </c>
      <c r="L3002" s="19">
        <v>2023</v>
      </c>
      <c r="M3002" s="20">
        <v>1500</v>
      </c>
      <c r="N3002" s="19" t="s">
        <v>667</v>
      </c>
      <c r="O3002" s="20">
        <v>1</v>
      </c>
      <c r="P3002" s="20">
        <v>1500</v>
      </c>
      <c r="Q3002" s="20">
        <v>776.63639999999998</v>
      </c>
      <c r="R3002" s="21">
        <v>0.92</v>
      </c>
      <c r="S3002" s="20">
        <v>776.63639999999998</v>
      </c>
    </row>
    <row r="3003" spans="2:19" ht="15" customHeight="1" x14ac:dyDescent="0.25">
      <c r="B3003" s="2" t="str">
        <f t="shared" si="92"/>
        <v>NSG_Business_Small/Mid-Size Business_Rebates_Linkageless Controls_0_CI</v>
      </c>
      <c r="C3003" s="2" t="str">
        <f t="shared" si="93"/>
        <v>NSG_Business_Small/Mid-Size Business_Rebates_Linkageless Controls_0_CI_2024</v>
      </c>
      <c r="D3003" s="19" t="s">
        <v>1787</v>
      </c>
      <c r="E3003" s="19" t="s">
        <v>3</v>
      </c>
      <c r="F3003" s="19" t="s">
        <v>1432</v>
      </c>
      <c r="G3003" s="19" t="s">
        <v>1429</v>
      </c>
      <c r="H3003" s="19" t="s">
        <v>1287</v>
      </c>
      <c r="I3003" s="19">
        <v>0</v>
      </c>
      <c r="J3003" s="19" t="s">
        <v>28</v>
      </c>
      <c r="K3003" s="19" t="s">
        <v>1159</v>
      </c>
      <c r="L3003" s="19">
        <v>2024</v>
      </c>
      <c r="M3003" s="20">
        <v>1500</v>
      </c>
      <c r="N3003" s="19" t="s">
        <v>667</v>
      </c>
      <c r="O3003" s="20">
        <v>1</v>
      </c>
      <c r="P3003" s="20">
        <v>1500</v>
      </c>
      <c r="Q3003" s="20">
        <v>776.63639999999998</v>
      </c>
      <c r="R3003" s="21">
        <v>0.92</v>
      </c>
      <c r="S3003" s="20">
        <v>776.63639999999998</v>
      </c>
    </row>
    <row r="3004" spans="2:19" ht="15" customHeight="1" x14ac:dyDescent="0.25">
      <c r="B3004" s="2" t="str">
        <f t="shared" si="92"/>
        <v>NSG_Business_Small/Mid-Size Business_Rebates_Linkageless Controls_0_CI</v>
      </c>
      <c r="C3004" s="2" t="str">
        <f t="shared" si="93"/>
        <v>NSG_Business_Small/Mid-Size Business_Rebates_Linkageless Controls_0_CI_2025</v>
      </c>
      <c r="D3004" s="19" t="s">
        <v>1787</v>
      </c>
      <c r="E3004" s="19" t="s">
        <v>3</v>
      </c>
      <c r="F3004" s="19" t="s">
        <v>1432</v>
      </c>
      <c r="G3004" s="19" t="s">
        <v>1429</v>
      </c>
      <c r="H3004" s="19" t="s">
        <v>1287</v>
      </c>
      <c r="I3004" s="19">
        <v>0</v>
      </c>
      <c r="J3004" s="19" t="s">
        <v>28</v>
      </c>
      <c r="K3004" s="19" t="s">
        <v>1159</v>
      </c>
      <c r="L3004" s="19">
        <v>2025</v>
      </c>
      <c r="M3004" s="20">
        <v>1500</v>
      </c>
      <c r="N3004" s="19" t="s">
        <v>667</v>
      </c>
      <c r="O3004" s="20">
        <v>1</v>
      </c>
      <c r="P3004" s="20">
        <v>1500</v>
      </c>
      <c r="Q3004" s="20">
        <v>776.63639999999998</v>
      </c>
      <c r="R3004" s="21">
        <v>0.92</v>
      </c>
      <c r="S3004" s="20">
        <v>776.63639999999998</v>
      </c>
    </row>
    <row r="3005" spans="2:19" ht="15" customHeight="1" x14ac:dyDescent="0.25">
      <c r="B3005" s="2" t="str">
        <f t="shared" si="92"/>
        <v>NSG_Business_Small/Mid-Size Business_Rebates_Water Heater_Central Lodging 88% TE_CI</v>
      </c>
      <c r="C3005" s="2" t="str">
        <f t="shared" si="93"/>
        <v>NSG_Business_Small/Mid-Size Business_Rebates_Water Heater_Central Lodging 88% TE_CI_2022</v>
      </c>
      <c r="D3005" s="19" t="s">
        <v>1787</v>
      </c>
      <c r="E3005" s="19" t="s">
        <v>3</v>
      </c>
      <c r="F3005" s="19" t="s">
        <v>1432</v>
      </c>
      <c r="G3005" s="19" t="s">
        <v>1429</v>
      </c>
      <c r="H3005" s="19" t="s">
        <v>8</v>
      </c>
      <c r="I3005" s="19" t="s">
        <v>1304</v>
      </c>
      <c r="J3005" s="19" t="s">
        <v>30</v>
      </c>
      <c r="K3005" s="19" t="s">
        <v>1159</v>
      </c>
      <c r="L3005" s="19">
        <v>2022</v>
      </c>
      <c r="M3005" s="20">
        <v>150</v>
      </c>
      <c r="N3005" s="19" t="s">
        <v>667</v>
      </c>
      <c r="O3005" s="20">
        <v>0</v>
      </c>
      <c r="P3005" s="20">
        <v>0</v>
      </c>
      <c r="Q3005" s="20">
        <v>0</v>
      </c>
      <c r="R3005" s="21">
        <v>0.92</v>
      </c>
      <c r="S3005" s="20">
        <v>0</v>
      </c>
    </row>
    <row r="3006" spans="2:19" ht="15" customHeight="1" x14ac:dyDescent="0.25">
      <c r="B3006" s="2" t="str">
        <f t="shared" si="92"/>
        <v>NSG_Business_Small/Mid-Size Business_Rebates_Water Heater_Central Lodging 88% TE_CI</v>
      </c>
      <c r="C3006" s="2" t="str">
        <f t="shared" si="93"/>
        <v>NSG_Business_Small/Mid-Size Business_Rebates_Water Heater_Central Lodging 88% TE_CI_2023</v>
      </c>
      <c r="D3006" s="19" t="s">
        <v>1787</v>
      </c>
      <c r="E3006" s="19" t="s">
        <v>3</v>
      </c>
      <c r="F3006" s="19" t="s">
        <v>1432</v>
      </c>
      <c r="G3006" s="19" t="s">
        <v>1429</v>
      </c>
      <c r="H3006" s="19" t="s">
        <v>8</v>
      </c>
      <c r="I3006" s="19" t="s">
        <v>1304</v>
      </c>
      <c r="J3006" s="19" t="s">
        <v>30</v>
      </c>
      <c r="K3006" s="19" t="s">
        <v>1159</v>
      </c>
      <c r="L3006" s="19">
        <v>2023</v>
      </c>
      <c r="M3006" s="20">
        <v>150</v>
      </c>
      <c r="N3006" s="19" t="s">
        <v>667</v>
      </c>
      <c r="O3006" s="20">
        <v>0</v>
      </c>
      <c r="P3006" s="20">
        <v>0</v>
      </c>
      <c r="Q3006" s="20">
        <v>0</v>
      </c>
      <c r="R3006" s="21">
        <v>0.92</v>
      </c>
      <c r="S3006" s="20">
        <v>0</v>
      </c>
    </row>
    <row r="3007" spans="2:19" ht="15" customHeight="1" x14ac:dyDescent="0.25">
      <c r="B3007" s="2" t="str">
        <f t="shared" si="92"/>
        <v>NSG_Business_Small/Mid-Size Business_Rebates_Water Heater_Central Lodging 88% TE_CI</v>
      </c>
      <c r="C3007" s="2" t="str">
        <f t="shared" si="93"/>
        <v>NSG_Business_Small/Mid-Size Business_Rebates_Water Heater_Central Lodging 88% TE_CI_2024</v>
      </c>
      <c r="D3007" s="19" t="s">
        <v>1787</v>
      </c>
      <c r="E3007" s="19" t="s">
        <v>3</v>
      </c>
      <c r="F3007" s="19" t="s">
        <v>1432</v>
      </c>
      <c r="G3007" s="19" t="s">
        <v>1429</v>
      </c>
      <c r="H3007" s="19" t="s">
        <v>8</v>
      </c>
      <c r="I3007" s="19" t="s">
        <v>1304</v>
      </c>
      <c r="J3007" s="19" t="s">
        <v>30</v>
      </c>
      <c r="K3007" s="19" t="s">
        <v>1159</v>
      </c>
      <c r="L3007" s="19">
        <v>2024</v>
      </c>
      <c r="M3007" s="20">
        <v>150</v>
      </c>
      <c r="N3007" s="19" t="s">
        <v>667</v>
      </c>
      <c r="O3007" s="20">
        <v>0</v>
      </c>
      <c r="P3007" s="20">
        <v>0</v>
      </c>
      <c r="Q3007" s="20">
        <v>0</v>
      </c>
      <c r="R3007" s="21">
        <v>0.92</v>
      </c>
      <c r="S3007" s="20">
        <v>0</v>
      </c>
    </row>
    <row r="3008" spans="2:19" ht="15" customHeight="1" x14ac:dyDescent="0.25">
      <c r="B3008" s="2" t="str">
        <f t="shared" si="92"/>
        <v>NSG_Business_Small/Mid-Size Business_Rebates_Water Heater_Central Lodging 88% TE_CI</v>
      </c>
      <c r="C3008" s="2" t="str">
        <f t="shared" si="93"/>
        <v>NSG_Business_Small/Mid-Size Business_Rebates_Water Heater_Central Lodging 88% TE_CI_2025</v>
      </c>
      <c r="D3008" s="19" t="s">
        <v>1787</v>
      </c>
      <c r="E3008" s="19" t="s">
        <v>3</v>
      </c>
      <c r="F3008" s="19" t="s">
        <v>1432</v>
      </c>
      <c r="G3008" s="19" t="s">
        <v>1429</v>
      </c>
      <c r="H3008" s="19" t="s">
        <v>8</v>
      </c>
      <c r="I3008" s="19" t="s">
        <v>1304</v>
      </c>
      <c r="J3008" s="19" t="s">
        <v>30</v>
      </c>
      <c r="K3008" s="19" t="s">
        <v>1159</v>
      </c>
      <c r="L3008" s="19">
        <v>2025</v>
      </c>
      <c r="M3008" s="20">
        <v>150</v>
      </c>
      <c r="N3008" s="19" t="s">
        <v>667</v>
      </c>
      <c r="O3008" s="20">
        <v>0</v>
      </c>
      <c r="P3008" s="20">
        <v>0</v>
      </c>
      <c r="Q3008" s="20">
        <v>0</v>
      </c>
      <c r="R3008" s="21">
        <v>0.92</v>
      </c>
      <c r="S3008" s="20">
        <v>0</v>
      </c>
    </row>
    <row r="3009" spans="2:19" ht="15" customHeight="1" x14ac:dyDescent="0.25">
      <c r="B3009" s="2" t="str">
        <f t="shared" si="92"/>
        <v>NSG_Business_Small/Mid-Size Business_Rebates_DHW Storage Tank Insulation_0_MF/CI/SMB</v>
      </c>
      <c r="C3009" s="2" t="str">
        <f t="shared" si="93"/>
        <v>NSG_Business_Small/Mid-Size Business_Rebates_DHW Storage Tank Insulation_0_MF/CI/SMB_2022</v>
      </c>
      <c r="D3009" s="19" t="s">
        <v>1787</v>
      </c>
      <c r="E3009" s="19" t="s">
        <v>3</v>
      </c>
      <c r="F3009" s="19" t="s">
        <v>1432</v>
      </c>
      <c r="G3009" s="19" t="s">
        <v>1429</v>
      </c>
      <c r="H3009" s="19" t="s">
        <v>832</v>
      </c>
      <c r="I3009" s="19">
        <v>0</v>
      </c>
      <c r="J3009" s="19" t="s">
        <v>810</v>
      </c>
      <c r="K3009" s="19" t="s">
        <v>662</v>
      </c>
      <c r="L3009" s="19">
        <v>2022</v>
      </c>
      <c r="M3009" s="20">
        <v>56</v>
      </c>
      <c r="N3009" s="19" t="s">
        <v>634</v>
      </c>
      <c r="O3009" s="20">
        <v>1</v>
      </c>
      <c r="P3009" s="20">
        <v>56</v>
      </c>
      <c r="Q3009" s="20">
        <v>358.34081253221052</v>
      </c>
      <c r="R3009" s="21">
        <v>0.92</v>
      </c>
      <c r="S3009" s="20">
        <v>358.34081253221052</v>
      </c>
    </row>
    <row r="3010" spans="2:19" ht="15" customHeight="1" x14ac:dyDescent="0.25">
      <c r="B3010" s="2" t="str">
        <f t="shared" si="92"/>
        <v>NSG_Business_Small/Mid-Size Business_Rebates_DHW Storage Tank Insulation_0_MF/CI/SMB</v>
      </c>
      <c r="C3010" s="2" t="str">
        <f t="shared" si="93"/>
        <v>NSG_Business_Small/Mid-Size Business_Rebates_DHW Storage Tank Insulation_0_MF/CI/SMB_2023</v>
      </c>
      <c r="D3010" s="19" t="s">
        <v>1787</v>
      </c>
      <c r="E3010" s="19" t="s">
        <v>3</v>
      </c>
      <c r="F3010" s="19" t="s">
        <v>1432</v>
      </c>
      <c r="G3010" s="19" t="s">
        <v>1429</v>
      </c>
      <c r="H3010" s="19" t="s">
        <v>832</v>
      </c>
      <c r="I3010" s="19">
        <v>0</v>
      </c>
      <c r="J3010" s="19" t="s">
        <v>810</v>
      </c>
      <c r="K3010" s="19" t="s">
        <v>662</v>
      </c>
      <c r="L3010" s="19">
        <v>2023</v>
      </c>
      <c r="M3010" s="20">
        <v>56</v>
      </c>
      <c r="N3010" s="19" t="s">
        <v>634</v>
      </c>
      <c r="O3010" s="20">
        <v>1</v>
      </c>
      <c r="P3010" s="20">
        <v>56</v>
      </c>
      <c r="Q3010" s="20">
        <v>358.34081253221052</v>
      </c>
      <c r="R3010" s="21">
        <v>0.92</v>
      </c>
      <c r="S3010" s="20">
        <v>358.34081253221052</v>
      </c>
    </row>
    <row r="3011" spans="2:19" ht="15" customHeight="1" x14ac:dyDescent="0.25">
      <c r="B3011" s="2" t="str">
        <f t="shared" si="92"/>
        <v>NSG_Business_Small/Mid-Size Business_Rebates_DHW Storage Tank Insulation_0_MF/CI/SMB</v>
      </c>
      <c r="C3011" s="2" t="str">
        <f t="shared" si="93"/>
        <v>NSG_Business_Small/Mid-Size Business_Rebates_DHW Storage Tank Insulation_0_MF/CI/SMB_2024</v>
      </c>
      <c r="D3011" s="19" t="s">
        <v>1787</v>
      </c>
      <c r="E3011" s="19" t="s">
        <v>3</v>
      </c>
      <c r="F3011" s="19" t="s">
        <v>1432</v>
      </c>
      <c r="G3011" s="19" t="s">
        <v>1429</v>
      </c>
      <c r="H3011" s="19" t="s">
        <v>832</v>
      </c>
      <c r="I3011" s="19">
        <v>0</v>
      </c>
      <c r="J3011" s="19" t="s">
        <v>810</v>
      </c>
      <c r="K3011" s="19" t="s">
        <v>662</v>
      </c>
      <c r="L3011" s="19">
        <v>2024</v>
      </c>
      <c r="M3011" s="20">
        <v>56</v>
      </c>
      <c r="N3011" s="19" t="s">
        <v>634</v>
      </c>
      <c r="O3011" s="20">
        <v>1</v>
      </c>
      <c r="P3011" s="20">
        <v>56</v>
      </c>
      <c r="Q3011" s="20">
        <v>358.34081253221052</v>
      </c>
      <c r="R3011" s="21">
        <v>0.92</v>
      </c>
      <c r="S3011" s="20">
        <v>358.34081253221052</v>
      </c>
    </row>
    <row r="3012" spans="2:19" ht="15" customHeight="1" x14ac:dyDescent="0.25">
      <c r="B3012" s="2" t="str">
        <f t="shared" si="92"/>
        <v>NSG_Business_Small/Mid-Size Business_Rebates_DHW Storage Tank Insulation_0_MF/CI/SMB</v>
      </c>
      <c r="C3012" s="2" t="str">
        <f t="shared" si="93"/>
        <v>NSG_Business_Small/Mid-Size Business_Rebates_DHW Storage Tank Insulation_0_MF/CI/SMB_2025</v>
      </c>
      <c r="D3012" s="19" t="s">
        <v>1787</v>
      </c>
      <c r="E3012" s="19" t="s">
        <v>3</v>
      </c>
      <c r="F3012" s="19" t="s">
        <v>1432</v>
      </c>
      <c r="G3012" s="19" t="s">
        <v>1429</v>
      </c>
      <c r="H3012" s="19" t="s">
        <v>832</v>
      </c>
      <c r="I3012" s="19">
        <v>0</v>
      </c>
      <c r="J3012" s="19" t="s">
        <v>810</v>
      </c>
      <c r="K3012" s="19" t="s">
        <v>662</v>
      </c>
      <c r="L3012" s="19">
        <v>2025</v>
      </c>
      <c r="M3012" s="20">
        <v>56</v>
      </c>
      <c r="N3012" s="19" t="s">
        <v>634</v>
      </c>
      <c r="O3012" s="20">
        <v>1</v>
      </c>
      <c r="P3012" s="20">
        <v>56</v>
      </c>
      <c r="Q3012" s="20">
        <v>358.34081253221052</v>
      </c>
      <c r="R3012" s="21">
        <v>0.92</v>
      </c>
      <c r="S3012" s="20">
        <v>358.34081253221052</v>
      </c>
    </row>
    <row r="3013" spans="2:19" ht="15" customHeight="1" x14ac:dyDescent="0.25">
      <c r="B3013" s="2" t="str">
        <f t="shared" si="92"/>
        <v>NSG_Business_Small/Mid-Size Business_Rebates_Water Heater_Storage 0.67 EF_CI</v>
      </c>
      <c r="C3013" s="2" t="str">
        <f t="shared" si="93"/>
        <v>NSG_Business_Small/Mid-Size Business_Rebates_Water Heater_Storage 0.67 EF_CI_2022</v>
      </c>
      <c r="D3013" s="19" t="s">
        <v>1787</v>
      </c>
      <c r="E3013" s="19" t="s">
        <v>3</v>
      </c>
      <c r="F3013" s="19" t="s">
        <v>1432</v>
      </c>
      <c r="G3013" s="19" t="s">
        <v>1429</v>
      </c>
      <c r="H3013" s="19" t="s">
        <v>8</v>
      </c>
      <c r="I3013" s="19" t="s">
        <v>879</v>
      </c>
      <c r="J3013" s="19" t="s">
        <v>1263</v>
      </c>
      <c r="K3013" s="19" t="s">
        <v>1159</v>
      </c>
      <c r="L3013" s="19">
        <v>2022</v>
      </c>
      <c r="M3013" s="20">
        <v>1</v>
      </c>
      <c r="N3013" s="19" t="s">
        <v>1798</v>
      </c>
      <c r="O3013" s="20">
        <v>0</v>
      </c>
      <c r="P3013" s="20">
        <v>0</v>
      </c>
      <c r="Q3013" s="20">
        <v>0</v>
      </c>
      <c r="R3013" s="21">
        <v>0.92</v>
      </c>
      <c r="S3013" s="20">
        <v>0</v>
      </c>
    </row>
    <row r="3014" spans="2:19" ht="15" customHeight="1" x14ac:dyDescent="0.25">
      <c r="B3014" s="2" t="str">
        <f t="shared" ref="B3014:B3077" si="94">D3014&amp;"_"&amp;E3014&amp;"_"&amp;F3014&amp;"_"&amp;G3014&amp;"_"&amp;H3014&amp;"_"&amp;I3014&amp;"_"&amp;K3014</f>
        <v>NSG_Business_Small/Mid-Size Business_Rebates_Water Heater_Storage 0.67 EF_CI</v>
      </c>
      <c r="C3014" s="2" t="str">
        <f t="shared" ref="C3014:C3077" si="95">D3014&amp;"_"&amp;E3014&amp;"_"&amp;F3014&amp;"_"&amp;G3014&amp;"_"&amp;H3014&amp;"_"&amp;I3014&amp;"_"&amp;K3014&amp;"_"&amp;L3014</f>
        <v>NSG_Business_Small/Mid-Size Business_Rebates_Water Heater_Storage 0.67 EF_CI_2023</v>
      </c>
      <c r="D3014" s="19" t="s">
        <v>1787</v>
      </c>
      <c r="E3014" s="19" t="s">
        <v>3</v>
      </c>
      <c r="F3014" s="19" t="s">
        <v>1432</v>
      </c>
      <c r="G3014" s="19" t="s">
        <v>1429</v>
      </c>
      <c r="H3014" s="19" t="s">
        <v>8</v>
      </c>
      <c r="I3014" s="19" t="s">
        <v>879</v>
      </c>
      <c r="J3014" s="19" t="s">
        <v>1263</v>
      </c>
      <c r="K3014" s="19" t="s">
        <v>1159</v>
      </c>
      <c r="L3014" s="19">
        <v>2023</v>
      </c>
      <c r="M3014" s="20">
        <v>1</v>
      </c>
      <c r="N3014" s="19" t="s">
        <v>1798</v>
      </c>
      <c r="O3014" s="20">
        <v>0</v>
      </c>
      <c r="P3014" s="20">
        <v>0</v>
      </c>
      <c r="Q3014" s="20">
        <v>0</v>
      </c>
      <c r="R3014" s="21">
        <v>0.92</v>
      </c>
      <c r="S3014" s="20">
        <v>0</v>
      </c>
    </row>
    <row r="3015" spans="2:19" ht="15" customHeight="1" x14ac:dyDescent="0.25">
      <c r="B3015" s="2" t="str">
        <f t="shared" si="94"/>
        <v>NSG_Business_Small/Mid-Size Business_Rebates_Water Heater_Storage 0.67 EF_CI</v>
      </c>
      <c r="C3015" s="2" t="str">
        <f t="shared" si="95"/>
        <v>NSG_Business_Small/Mid-Size Business_Rebates_Water Heater_Storage 0.67 EF_CI_2024</v>
      </c>
      <c r="D3015" s="19" t="s">
        <v>1787</v>
      </c>
      <c r="E3015" s="19" t="s">
        <v>3</v>
      </c>
      <c r="F3015" s="19" t="s">
        <v>1432</v>
      </c>
      <c r="G3015" s="19" t="s">
        <v>1429</v>
      </c>
      <c r="H3015" s="19" t="s">
        <v>8</v>
      </c>
      <c r="I3015" s="19" t="s">
        <v>879</v>
      </c>
      <c r="J3015" s="19" t="s">
        <v>1263</v>
      </c>
      <c r="K3015" s="19" t="s">
        <v>1159</v>
      </c>
      <c r="L3015" s="19">
        <v>2024</v>
      </c>
      <c r="M3015" s="20">
        <v>1</v>
      </c>
      <c r="N3015" s="19" t="s">
        <v>1798</v>
      </c>
      <c r="O3015" s="20">
        <v>0</v>
      </c>
      <c r="P3015" s="20">
        <v>0</v>
      </c>
      <c r="Q3015" s="20">
        <v>0</v>
      </c>
      <c r="R3015" s="21">
        <v>0.92</v>
      </c>
      <c r="S3015" s="20">
        <v>0</v>
      </c>
    </row>
    <row r="3016" spans="2:19" ht="15" customHeight="1" x14ac:dyDescent="0.25">
      <c r="B3016" s="2" t="str">
        <f t="shared" si="94"/>
        <v>NSG_Business_Small/Mid-Size Business_Rebates_Water Heater_Storage 0.67 EF_CI</v>
      </c>
      <c r="C3016" s="2" t="str">
        <f t="shared" si="95"/>
        <v>NSG_Business_Small/Mid-Size Business_Rebates_Water Heater_Storage 0.67 EF_CI_2025</v>
      </c>
      <c r="D3016" s="19" t="s">
        <v>1787</v>
      </c>
      <c r="E3016" s="19" t="s">
        <v>3</v>
      </c>
      <c r="F3016" s="19" t="s">
        <v>1432</v>
      </c>
      <c r="G3016" s="19" t="s">
        <v>1429</v>
      </c>
      <c r="H3016" s="19" t="s">
        <v>8</v>
      </c>
      <c r="I3016" s="19" t="s">
        <v>879</v>
      </c>
      <c r="J3016" s="19" t="s">
        <v>1263</v>
      </c>
      <c r="K3016" s="19" t="s">
        <v>1159</v>
      </c>
      <c r="L3016" s="19">
        <v>2025</v>
      </c>
      <c r="M3016" s="20">
        <v>1</v>
      </c>
      <c r="N3016" s="19" t="s">
        <v>1798</v>
      </c>
      <c r="O3016" s="20">
        <v>0</v>
      </c>
      <c r="P3016" s="20">
        <v>0</v>
      </c>
      <c r="Q3016" s="20">
        <v>0</v>
      </c>
      <c r="R3016" s="21">
        <v>0.92</v>
      </c>
      <c r="S3016" s="20">
        <v>0</v>
      </c>
    </row>
    <row r="3017" spans="2:19" ht="15" customHeight="1" x14ac:dyDescent="0.25">
      <c r="B3017" s="2" t="str">
        <f t="shared" si="94"/>
        <v>NSG_Business_Small/Mid-Size Business_Rebates_Infrared Heater_0_MF/CI</v>
      </c>
      <c r="C3017" s="2" t="str">
        <f t="shared" si="95"/>
        <v>NSG_Business_Small/Mid-Size Business_Rebates_Infrared Heater_0_MF/CI_2022</v>
      </c>
      <c r="D3017" s="19" t="s">
        <v>1787</v>
      </c>
      <c r="E3017" s="19" t="s">
        <v>3</v>
      </c>
      <c r="F3017" s="19" t="s">
        <v>1432</v>
      </c>
      <c r="G3017" s="19" t="s">
        <v>1429</v>
      </c>
      <c r="H3017" s="19" t="s">
        <v>742</v>
      </c>
      <c r="I3017" s="19">
        <v>0</v>
      </c>
      <c r="J3017" s="19" t="s">
        <v>33</v>
      </c>
      <c r="K3017" s="19" t="s">
        <v>587</v>
      </c>
      <c r="L3017" s="19">
        <v>2022</v>
      </c>
      <c r="M3017" s="20">
        <v>150</v>
      </c>
      <c r="N3017" s="19" t="s">
        <v>667</v>
      </c>
      <c r="O3017" s="20">
        <v>0</v>
      </c>
      <c r="P3017" s="20">
        <v>0</v>
      </c>
      <c r="Q3017" s="20">
        <v>0</v>
      </c>
      <c r="R3017" s="21">
        <v>0.92</v>
      </c>
      <c r="S3017" s="20">
        <v>0</v>
      </c>
    </row>
    <row r="3018" spans="2:19" ht="15" customHeight="1" x14ac:dyDescent="0.25">
      <c r="B3018" s="2" t="str">
        <f t="shared" si="94"/>
        <v>NSG_Business_Small/Mid-Size Business_Rebates_Infrared Heater_0_MF/CI</v>
      </c>
      <c r="C3018" s="2" t="str">
        <f t="shared" si="95"/>
        <v>NSG_Business_Small/Mid-Size Business_Rebates_Infrared Heater_0_MF/CI_2023</v>
      </c>
      <c r="D3018" s="19" t="s">
        <v>1787</v>
      </c>
      <c r="E3018" s="19" t="s">
        <v>3</v>
      </c>
      <c r="F3018" s="19" t="s">
        <v>1432</v>
      </c>
      <c r="G3018" s="19" t="s">
        <v>1429</v>
      </c>
      <c r="H3018" s="19" t="s">
        <v>742</v>
      </c>
      <c r="I3018" s="19">
        <v>0</v>
      </c>
      <c r="J3018" s="19" t="s">
        <v>33</v>
      </c>
      <c r="K3018" s="19" t="s">
        <v>587</v>
      </c>
      <c r="L3018" s="19">
        <v>2023</v>
      </c>
      <c r="M3018" s="20">
        <v>150</v>
      </c>
      <c r="N3018" s="19" t="s">
        <v>667</v>
      </c>
      <c r="O3018" s="20">
        <v>0</v>
      </c>
      <c r="P3018" s="20">
        <v>0</v>
      </c>
      <c r="Q3018" s="20">
        <v>0</v>
      </c>
      <c r="R3018" s="21">
        <v>0.92</v>
      </c>
      <c r="S3018" s="20">
        <v>0</v>
      </c>
    </row>
    <row r="3019" spans="2:19" ht="15" customHeight="1" x14ac:dyDescent="0.25">
      <c r="B3019" s="2" t="str">
        <f t="shared" si="94"/>
        <v>NSG_Business_Small/Mid-Size Business_Rebates_Infrared Heater_0_MF/CI</v>
      </c>
      <c r="C3019" s="2" t="str">
        <f t="shared" si="95"/>
        <v>NSG_Business_Small/Mid-Size Business_Rebates_Infrared Heater_0_MF/CI_2024</v>
      </c>
      <c r="D3019" s="19" t="s">
        <v>1787</v>
      </c>
      <c r="E3019" s="19" t="s">
        <v>3</v>
      </c>
      <c r="F3019" s="19" t="s">
        <v>1432</v>
      </c>
      <c r="G3019" s="19" t="s">
        <v>1429</v>
      </c>
      <c r="H3019" s="19" t="s">
        <v>742</v>
      </c>
      <c r="I3019" s="19">
        <v>0</v>
      </c>
      <c r="J3019" s="19" t="s">
        <v>33</v>
      </c>
      <c r="K3019" s="19" t="s">
        <v>587</v>
      </c>
      <c r="L3019" s="19">
        <v>2024</v>
      </c>
      <c r="M3019" s="20">
        <v>150</v>
      </c>
      <c r="N3019" s="19" t="s">
        <v>667</v>
      </c>
      <c r="O3019" s="20">
        <v>0</v>
      </c>
      <c r="P3019" s="20">
        <v>0</v>
      </c>
      <c r="Q3019" s="20">
        <v>0</v>
      </c>
      <c r="R3019" s="21">
        <v>0.92</v>
      </c>
      <c r="S3019" s="20">
        <v>0</v>
      </c>
    </row>
    <row r="3020" spans="2:19" ht="15" customHeight="1" x14ac:dyDescent="0.25">
      <c r="B3020" s="2" t="str">
        <f t="shared" si="94"/>
        <v>NSG_Business_Small/Mid-Size Business_Rebates_Infrared Heater_0_MF/CI</v>
      </c>
      <c r="C3020" s="2" t="str">
        <f t="shared" si="95"/>
        <v>NSG_Business_Small/Mid-Size Business_Rebates_Infrared Heater_0_MF/CI_2025</v>
      </c>
      <c r="D3020" s="19" t="s">
        <v>1787</v>
      </c>
      <c r="E3020" s="19" t="s">
        <v>3</v>
      </c>
      <c r="F3020" s="19" t="s">
        <v>1432</v>
      </c>
      <c r="G3020" s="19" t="s">
        <v>1429</v>
      </c>
      <c r="H3020" s="19" t="s">
        <v>742</v>
      </c>
      <c r="I3020" s="19">
        <v>0</v>
      </c>
      <c r="J3020" s="19" t="s">
        <v>33</v>
      </c>
      <c r="K3020" s="19" t="s">
        <v>587</v>
      </c>
      <c r="L3020" s="19">
        <v>2025</v>
      </c>
      <c r="M3020" s="20">
        <v>150</v>
      </c>
      <c r="N3020" s="19" t="s">
        <v>667</v>
      </c>
      <c r="O3020" s="20">
        <v>0</v>
      </c>
      <c r="P3020" s="20">
        <v>0</v>
      </c>
      <c r="Q3020" s="20">
        <v>0</v>
      </c>
      <c r="R3020" s="21">
        <v>0.92</v>
      </c>
      <c r="S3020" s="20">
        <v>0</v>
      </c>
    </row>
    <row r="3021" spans="2:19" ht="15" customHeight="1" x14ac:dyDescent="0.25">
      <c r="B3021" s="2" t="str">
        <f t="shared" si="94"/>
        <v>NSG_Business_Small/Mid-Size Business_Rebates_Modulating Commercial Gas Clothes Dryer_Hotels &amp; Hospitals_CI</v>
      </c>
      <c r="C3021" s="2" t="str">
        <f t="shared" si="95"/>
        <v>NSG_Business_Small/Mid-Size Business_Rebates_Modulating Commercial Gas Clothes Dryer_Hotels &amp; Hospitals_CI_2022</v>
      </c>
      <c r="D3021" s="19" t="s">
        <v>1787</v>
      </c>
      <c r="E3021" s="19" t="s">
        <v>3</v>
      </c>
      <c r="F3021" s="19" t="s">
        <v>1432</v>
      </c>
      <c r="G3021" s="19" t="s">
        <v>1429</v>
      </c>
      <c r="H3021" s="19" t="s">
        <v>12</v>
      </c>
      <c r="I3021" s="19" t="s">
        <v>1253</v>
      </c>
      <c r="J3021" s="19" t="s">
        <v>29</v>
      </c>
      <c r="K3021" s="19" t="s">
        <v>1159</v>
      </c>
      <c r="L3021" s="19">
        <v>2022</v>
      </c>
      <c r="M3021" s="20">
        <v>1</v>
      </c>
      <c r="N3021" s="19" t="s">
        <v>1798</v>
      </c>
      <c r="O3021" s="20">
        <v>0</v>
      </c>
      <c r="P3021" s="20">
        <v>0</v>
      </c>
      <c r="Q3021" s="20">
        <v>0</v>
      </c>
      <c r="R3021" s="21">
        <v>0.92</v>
      </c>
      <c r="S3021" s="20">
        <v>0</v>
      </c>
    </row>
    <row r="3022" spans="2:19" ht="15" customHeight="1" x14ac:dyDescent="0.25">
      <c r="B3022" s="2" t="str">
        <f t="shared" si="94"/>
        <v>NSG_Business_Small/Mid-Size Business_Rebates_Modulating Commercial Gas Clothes Dryer_Hotels &amp; Hospitals_CI</v>
      </c>
      <c r="C3022" s="2" t="str">
        <f t="shared" si="95"/>
        <v>NSG_Business_Small/Mid-Size Business_Rebates_Modulating Commercial Gas Clothes Dryer_Hotels &amp; Hospitals_CI_2023</v>
      </c>
      <c r="D3022" s="19" t="s">
        <v>1787</v>
      </c>
      <c r="E3022" s="19" t="s">
        <v>3</v>
      </c>
      <c r="F3022" s="19" t="s">
        <v>1432</v>
      </c>
      <c r="G3022" s="19" t="s">
        <v>1429</v>
      </c>
      <c r="H3022" s="19" t="s">
        <v>12</v>
      </c>
      <c r="I3022" s="19" t="s">
        <v>1253</v>
      </c>
      <c r="J3022" s="19" t="s">
        <v>29</v>
      </c>
      <c r="K3022" s="19" t="s">
        <v>1159</v>
      </c>
      <c r="L3022" s="19">
        <v>2023</v>
      </c>
      <c r="M3022" s="20">
        <v>1</v>
      </c>
      <c r="N3022" s="19" t="s">
        <v>1798</v>
      </c>
      <c r="O3022" s="20">
        <v>0</v>
      </c>
      <c r="P3022" s="20">
        <v>0</v>
      </c>
      <c r="Q3022" s="20">
        <v>0</v>
      </c>
      <c r="R3022" s="21">
        <v>0.92</v>
      </c>
      <c r="S3022" s="20">
        <v>0</v>
      </c>
    </row>
    <row r="3023" spans="2:19" ht="15" customHeight="1" x14ac:dyDescent="0.25">
      <c r="B3023" s="2" t="str">
        <f t="shared" si="94"/>
        <v>NSG_Business_Small/Mid-Size Business_Rebates_Modulating Commercial Gas Clothes Dryer_Hotels &amp; Hospitals_CI</v>
      </c>
      <c r="C3023" s="2" t="str">
        <f t="shared" si="95"/>
        <v>NSG_Business_Small/Mid-Size Business_Rebates_Modulating Commercial Gas Clothes Dryer_Hotels &amp; Hospitals_CI_2024</v>
      </c>
      <c r="D3023" s="19" t="s">
        <v>1787</v>
      </c>
      <c r="E3023" s="19" t="s">
        <v>3</v>
      </c>
      <c r="F3023" s="19" t="s">
        <v>1432</v>
      </c>
      <c r="G3023" s="19" t="s">
        <v>1429</v>
      </c>
      <c r="H3023" s="19" t="s">
        <v>12</v>
      </c>
      <c r="I3023" s="19" t="s">
        <v>1253</v>
      </c>
      <c r="J3023" s="19" t="s">
        <v>29</v>
      </c>
      <c r="K3023" s="19" t="s">
        <v>1159</v>
      </c>
      <c r="L3023" s="19">
        <v>2024</v>
      </c>
      <c r="M3023" s="20">
        <v>1</v>
      </c>
      <c r="N3023" s="19" t="s">
        <v>1798</v>
      </c>
      <c r="O3023" s="20">
        <v>0</v>
      </c>
      <c r="P3023" s="20">
        <v>0</v>
      </c>
      <c r="Q3023" s="20">
        <v>0</v>
      </c>
      <c r="R3023" s="21">
        <v>0.92</v>
      </c>
      <c r="S3023" s="20">
        <v>0</v>
      </c>
    </row>
    <row r="3024" spans="2:19" ht="15" customHeight="1" x14ac:dyDescent="0.25">
      <c r="B3024" s="2" t="str">
        <f t="shared" si="94"/>
        <v>NSG_Business_Small/Mid-Size Business_Rebates_Modulating Commercial Gas Clothes Dryer_Hotels &amp; Hospitals_CI</v>
      </c>
      <c r="C3024" s="2" t="str">
        <f t="shared" si="95"/>
        <v>NSG_Business_Small/Mid-Size Business_Rebates_Modulating Commercial Gas Clothes Dryer_Hotels &amp; Hospitals_CI_2025</v>
      </c>
      <c r="D3024" s="19" t="s">
        <v>1787</v>
      </c>
      <c r="E3024" s="19" t="s">
        <v>3</v>
      </c>
      <c r="F3024" s="19" t="s">
        <v>1432</v>
      </c>
      <c r="G3024" s="19" t="s">
        <v>1429</v>
      </c>
      <c r="H3024" s="19" t="s">
        <v>12</v>
      </c>
      <c r="I3024" s="19" t="s">
        <v>1253</v>
      </c>
      <c r="J3024" s="19" t="s">
        <v>29</v>
      </c>
      <c r="K3024" s="19" t="s">
        <v>1159</v>
      </c>
      <c r="L3024" s="19">
        <v>2025</v>
      </c>
      <c r="M3024" s="20">
        <v>1</v>
      </c>
      <c r="N3024" s="19" t="s">
        <v>1798</v>
      </c>
      <c r="O3024" s="20">
        <v>0</v>
      </c>
      <c r="P3024" s="20">
        <v>0</v>
      </c>
      <c r="Q3024" s="20">
        <v>0</v>
      </c>
      <c r="R3024" s="21">
        <v>0.92</v>
      </c>
      <c r="S3024" s="20">
        <v>0</v>
      </c>
    </row>
    <row r="3025" spans="2:19" ht="15" customHeight="1" x14ac:dyDescent="0.25">
      <c r="B3025" s="2" t="str">
        <f t="shared" si="94"/>
        <v>NSG_Business_Small/Mid-Size Business_Rebates_Modulating Commercial Gas Clothes Dryer_Laundromat &amp; MF Dorms_MF/SMB</v>
      </c>
      <c r="C3025" s="2" t="str">
        <f t="shared" si="95"/>
        <v>NSG_Business_Small/Mid-Size Business_Rebates_Modulating Commercial Gas Clothes Dryer_Laundromat &amp; MF Dorms_MF/SMB_2022</v>
      </c>
      <c r="D3025" s="19" t="s">
        <v>1787</v>
      </c>
      <c r="E3025" s="19" t="s">
        <v>3</v>
      </c>
      <c r="F3025" s="19" t="s">
        <v>1432</v>
      </c>
      <c r="G3025" s="19" t="s">
        <v>1429</v>
      </c>
      <c r="H3025" s="19" t="s">
        <v>12</v>
      </c>
      <c r="I3025" s="19" t="s">
        <v>1255</v>
      </c>
      <c r="J3025" s="19" t="s">
        <v>29</v>
      </c>
      <c r="K3025" s="19" t="s">
        <v>1256</v>
      </c>
      <c r="L3025" s="19">
        <v>2022</v>
      </c>
      <c r="M3025" s="20">
        <v>1</v>
      </c>
      <c r="N3025" s="19" t="s">
        <v>1798</v>
      </c>
      <c r="O3025" s="20">
        <v>2</v>
      </c>
      <c r="P3025" s="20">
        <v>2</v>
      </c>
      <c r="Q3025" s="20">
        <v>423.43920000000003</v>
      </c>
      <c r="R3025" s="21">
        <v>0.92</v>
      </c>
      <c r="S3025" s="20">
        <v>423.43920000000003</v>
      </c>
    </row>
    <row r="3026" spans="2:19" ht="15" customHeight="1" x14ac:dyDescent="0.25">
      <c r="B3026" s="2" t="str">
        <f t="shared" si="94"/>
        <v>NSG_Business_Small/Mid-Size Business_Rebates_Modulating Commercial Gas Clothes Dryer_Laundromat &amp; MF Dorms_MF/SMB</v>
      </c>
      <c r="C3026" s="2" t="str">
        <f t="shared" si="95"/>
        <v>NSG_Business_Small/Mid-Size Business_Rebates_Modulating Commercial Gas Clothes Dryer_Laundromat &amp; MF Dorms_MF/SMB_2023</v>
      </c>
      <c r="D3026" s="19" t="s">
        <v>1787</v>
      </c>
      <c r="E3026" s="19" t="s">
        <v>3</v>
      </c>
      <c r="F3026" s="19" t="s">
        <v>1432</v>
      </c>
      <c r="G3026" s="19" t="s">
        <v>1429</v>
      </c>
      <c r="H3026" s="19" t="s">
        <v>12</v>
      </c>
      <c r="I3026" s="19" t="s">
        <v>1255</v>
      </c>
      <c r="J3026" s="19" t="s">
        <v>29</v>
      </c>
      <c r="K3026" s="19" t="s">
        <v>1256</v>
      </c>
      <c r="L3026" s="19">
        <v>2023</v>
      </c>
      <c r="M3026" s="20">
        <v>1</v>
      </c>
      <c r="N3026" s="19" t="s">
        <v>1798</v>
      </c>
      <c r="O3026" s="20">
        <v>2</v>
      </c>
      <c r="P3026" s="20">
        <v>2</v>
      </c>
      <c r="Q3026" s="20">
        <v>423.43920000000003</v>
      </c>
      <c r="R3026" s="21">
        <v>0.92</v>
      </c>
      <c r="S3026" s="20">
        <v>423.43920000000003</v>
      </c>
    </row>
    <row r="3027" spans="2:19" ht="15" customHeight="1" x14ac:dyDescent="0.25">
      <c r="B3027" s="2" t="str">
        <f t="shared" si="94"/>
        <v>NSG_Business_Small/Mid-Size Business_Rebates_Modulating Commercial Gas Clothes Dryer_Laundromat &amp; MF Dorms_MF/SMB</v>
      </c>
      <c r="C3027" s="2" t="str">
        <f t="shared" si="95"/>
        <v>NSG_Business_Small/Mid-Size Business_Rebates_Modulating Commercial Gas Clothes Dryer_Laundromat &amp; MF Dorms_MF/SMB_2024</v>
      </c>
      <c r="D3027" s="19" t="s">
        <v>1787</v>
      </c>
      <c r="E3027" s="19" t="s">
        <v>3</v>
      </c>
      <c r="F3027" s="19" t="s">
        <v>1432</v>
      </c>
      <c r="G3027" s="19" t="s">
        <v>1429</v>
      </c>
      <c r="H3027" s="19" t="s">
        <v>12</v>
      </c>
      <c r="I3027" s="19" t="s">
        <v>1255</v>
      </c>
      <c r="J3027" s="19" t="s">
        <v>29</v>
      </c>
      <c r="K3027" s="19" t="s">
        <v>1256</v>
      </c>
      <c r="L3027" s="19">
        <v>2024</v>
      </c>
      <c r="M3027" s="20">
        <v>1</v>
      </c>
      <c r="N3027" s="19" t="s">
        <v>1798</v>
      </c>
      <c r="O3027" s="20">
        <v>2</v>
      </c>
      <c r="P3027" s="20">
        <v>2</v>
      </c>
      <c r="Q3027" s="20">
        <v>423.43920000000003</v>
      </c>
      <c r="R3027" s="21">
        <v>0.92</v>
      </c>
      <c r="S3027" s="20">
        <v>423.43920000000003</v>
      </c>
    </row>
    <row r="3028" spans="2:19" ht="15" customHeight="1" x14ac:dyDescent="0.25">
      <c r="B3028" s="2" t="str">
        <f t="shared" si="94"/>
        <v>NSG_Business_Small/Mid-Size Business_Rebates_Modulating Commercial Gas Clothes Dryer_Laundromat &amp; MF Dorms_MF/SMB</v>
      </c>
      <c r="C3028" s="2" t="str">
        <f t="shared" si="95"/>
        <v>NSG_Business_Small/Mid-Size Business_Rebates_Modulating Commercial Gas Clothes Dryer_Laundromat &amp; MF Dorms_MF/SMB_2025</v>
      </c>
      <c r="D3028" s="19" t="s">
        <v>1787</v>
      </c>
      <c r="E3028" s="19" t="s">
        <v>3</v>
      </c>
      <c r="F3028" s="19" t="s">
        <v>1432</v>
      </c>
      <c r="G3028" s="19" t="s">
        <v>1429</v>
      </c>
      <c r="H3028" s="19" t="s">
        <v>12</v>
      </c>
      <c r="I3028" s="19" t="s">
        <v>1255</v>
      </c>
      <c r="J3028" s="19" t="s">
        <v>29</v>
      </c>
      <c r="K3028" s="19" t="s">
        <v>1256</v>
      </c>
      <c r="L3028" s="19">
        <v>2025</v>
      </c>
      <c r="M3028" s="20">
        <v>1</v>
      </c>
      <c r="N3028" s="19" t="s">
        <v>1798</v>
      </c>
      <c r="O3028" s="20">
        <v>2</v>
      </c>
      <c r="P3028" s="20">
        <v>2</v>
      </c>
      <c r="Q3028" s="20">
        <v>423.43920000000003</v>
      </c>
      <c r="R3028" s="21">
        <v>0.92</v>
      </c>
      <c r="S3028" s="20">
        <v>423.43920000000003</v>
      </c>
    </row>
    <row r="3029" spans="2:19" ht="15" customHeight="1" x14ac:dyDescent="0.25">
      <c r="B3029" s="2" t="str">
        <f t="shared" si="94"/>
        <v>NSG_Business_Small/Mid-Size Business_Rebates_Ozone Laundry_0_MF/CI</v>
      </c>
      <c r="C3029" s="2" t="str">
        <f t="shared" si="95"/>
        <v>NSG_Business_Small/Mid-Size Business_Rebates_Ozone Laundry_0_MF/CI_2022</v>
      </c>
      <c r="D3029" s="19" t="s">
        <v>1787</v>
      </c>
      <c r="E3029" s="19" t="s">
        <v>3</v>
      </c>
      <c r="F3029" s="19" t="s">
        <v>1432</v>
      </c>
      <c r="G3029" s="19" t="s">
        <v>1429</v>
      </c>
      <c r="H3029" s="19" t="s">
        <v>16</v>
      </c>
      <c r="I3029" s="19">
        <v>0</v>
      </c>
      <c r="J3029" s="19" t="s">
        <v>592</v>
      </c>
      <c r="K3029" s="19" t="s">
        <v>587</v>
      </c>
      <c r="L3029" s="19">
        <v>2022</v>
      </c>
      <c r="M3029" s="20">
        <v>250</v>
      </c>
      <c r="N3029" s="19" t="s">
        <v>1803</v>
      </c>
      <c r="O3029" s="20">
        <v>0</v>
      </c>
      <c r="P3029" s="20">
        <v>0</v>
      </c>
      <c r="Q3029" s="20">
        <v>0</v>
      </c>
      <c r="R3029" s="21">
        <v>0.92</v>
      </c>
      <c r="S3029" s="20">
        <v>0</v>
      </c>
    </row>
    <row r="3030" spans="2:19" ht="15" customHeight="1" x14ac:dyDescent="0.25">
      <c r="B3030" s="2" t="str">
        <f t="shared" si="94"/>
        <v>NSG_Business_Small/Mid-Size Business_Rebates_Ozone Laundry_0_MF/CI</v>
      </c>
      <c r="C3030" s="2" t="str">
        <f t="shared" si="95"/>
        <v>NSG_Business_Small/Mid-Size Business_Rebates_Ozone Laundry_0_MF/CI_2023</v>
      </c>
      <c r="D3030" s="19" t="s">
        <v>1787</v>
      </c>
      <c r="E3030" s="19" t="s">
        <v>3</v>
      </c>
      <c r="F3030" s="19" t="s">
        <v>1432</v>
      </c>
      <c r="G3030" s="19" t="s">
        <v>1429</v>
      </c>
      <c r="H3030" s="19" t="s">
        <v>16</v>
      </c>
      <c r="I3030" s="19">
        <v>0</v>
      </c>
      <c r="J3030" s="19" t="s">
        <v>592</v>
      </c>
      <c r="K3030" s="19" t="s">
        <v>587</v>
      </c>
      <c r="L3030" s="19">
        <v>2023</v>
      </c>
      <c r="M3030" s="20">
        <v>250</v>
      </c>
      <c r="N3030" s="19" t="s">
        <v>1803</v>
      </c>
      <c r="O3030" s="20">
        <v>0</v>
      </c>
      <c r="P3030" s="20">
        <v>0</v>
      </c>
      <c r="Q3030" s="20">
        <v>0</v>
      </c>
      <c r="R3030" s="21">
        <v>0.92</v>
      </c>
      <c r="S3030" s="20">
        <v>0</v>
      </c>
    </row>
    <row r="3031" spans="2:19" ht="15" customHeight="1" x14ac:dyDescent="0.25">
      <c r="B3031" s="2" t="str">
        <f t="shared" si="94"/>
        <v>NSG_Business_Small/Mid-Size Business_Rebates_Ozone Laundry_0_MF/CI</v>
      </c>
      <c r="C3031" s="2" t="str">
        <f t="shared" si="95"/>
        <v>NSG_Business_Small/Mid-Size Business_Rebates_Ozone Laundry_0_MF/CI_2024</v>
      </c>
      <c r="D3031" s="19" t="s">
        <v>1787</v>
      </c>
      <c r="E3031" s="19" t="s">
        <v>3</v>
      </c>
      <c r="F3031" s="19" t="s">
        <v>1432</v>
      </c>
      <c r="G3031" s="19" t="s">
        <v>1429</v>
      </c>
      <c r="H3031" s="19" t="s">
        <v>16</v>
      </c>
      <c r="I3031" s="19">
        <v>0</v>
      </c>
      <c r="J3031" s="19" t="s">
        <v>592</v>
      </c>
      <c r="K3031" s="19" t="s">
        <v>587</v>
      </c>
      <c r="L3031" s="19">
        <v>2024</v>
      </c>
      <c r="M3031" s="20">
        <v>250</v>
      </c>
      <c r="N3031" s="19" t="s">
        <v>1803</v>
      </c>
      <c r="O3031" s="20">
        <v>0</v>
      </c>
      <c r="P3031" s="20">
        <v>0</v>
      </c>
      <c r="Q3031" s="20">
        <v>0</v>
      </c>
      <c r="R3031" s="21">
        <v>0.92</v>
      </c>
      <c r="S3031" s="20">
        <v>0</v>
      </c>
    </row>
    <row r="3032" spans="2:19" ht="15" customHeight="1" x14ac:dyDescent="0.25">
      <c r="B3032" s="2" t="str">
        <f t="shared" si="94"/>
        <v>NSG_Business_Small/Mid-Size Business_Rebates_Ozone Laundry_0_MF/CI</v>
      </c>
      <c r="C3032" s="2" t="str">
        <f t="shared" si="95"/>
        <v>NSG_Business_Small/Mid-Size Business_Rebates_Ozone Laundry_0_MF/CI_2025</v>
      </c>
      <c r="D3032" s="19" t="s">
        <v>1787</v>
      </c>
      <c r="E3032" s="19" t="s">
        <v>3</v>
      </c>
      <c r="F3032" s="19" t="s">
        <v>1432</v>
      </c>
      <c r="G3032" s="19" t="s">
        <v>1429</v>
      </c>
      <c r="H3032" s="19" t="s">
        <v>16</v>
      </c>
      <c r="I3032" s="19">
        <v>0</v>
      </c>
      <c r="J3032" s="19" t="s">
        <v>592</v>
      </c>
      <c r="K3032" s="19" t="s">
        <v>587</v>
      </c>
      <c r="L3032" s="19">
        <v>2025</v>
      </c>
      <c r="M3032" s="20">
        <v>250</v>
      </c>
      <c r="N3032" s="19" t="s">
        <v>1803</v>
      </c>
      <c r="O3032" s="20">
        <v>0</v>
      </c>
      <c r="P3032" s="20">
        <v>0</v>
      </c>
      <c r="Q3032" s="20">
        <v>0</v>
      </c>
      <c r="R3032" s="21">
        <v>0.92</v>
      </c>
      <c r="S3032" s="20">
        <v>0</v>
      </c>
    </row>
    <row r="3033" spans="2:19" ht="15" customHeight="1" x14ac:dyDescent="0.25">
      <c r="B3033" s="2" t="str">
        <f t="shared" si="94"/>
        <v>NSG_Business_Small/Mid-Size Business_Rebates_Pipe Insulation_Dry Cleaners_CI/SMB</v>
      </c>
      <c r="C3033" s="2" t="str">
        <f t="shared" si="95"/>
        <v>NSG_Business_Small/Mid-Size Business_Rebates_Pipe Insulation_Dry Cleaners_CI/SMB_2022</v>
      </c>
      <c r="D3033" s="19" t="s">
        <v>1787</v>
      </c>
      <c r="E3033" s="19" t="s">
        <v>3</v>
      </c>
      <c r="F3033" s="19" t="s">
        <v>1432</v>
      </c>
      <c r="G3033" s="19" t="s">
        <v>1429</v>
      </c>
      <c r="H3033" s="19" t="s">
        <v>404</v>
      </c>
      <c r="I3033" s="19" t="s">
        <v>969</v>
      </c>
      <c r="J3033" s="19">
        <v>0</v>
      </c>
      <c r="K3033" s="19" t="s">
        <v>970</v>
      </c>
      <c r="L3033" s="19">
        <v>2022</v>
      </c>
      <c r="M3033" s="20">
        <v>5</v>
      </c>
      <c r="N3033" s="19" t="s">
        <v>1802</v>
      </c>
      <c r="O3033" s="20">
        <v>0</v>
      </c>
      <c r="P3033" s="20">
        <v>0</v>
      </c>
      <c r="Q3033" s="20">
        <v>0</v>
      </c>
      <c r="R3033" s="21">
        <v>0.92</v>
      </c>
      <c r="S3033" s="20">
        <v>0</v>
      </c>
    </row>
    <row r="3034" spans="2:19" ht="15" customHeight="1" x14ac:dyDescent="0.25">
      <c r="B3034" s="2" t="str">
        <f t="shared" si="94"/>
        <v>NSG_Business_Small/Mid-Size Business_Rebates_Pipe Insulation_Dry Cleaners_CI/SMB</v>
      </c>
      <c r="C3034" s="2" t="str">
        <f t="shared" si="95"/>
        <v>NSG_Business_Small/Mid-Size Business_Rebates_Pipe Insulation_Dry Cleaners_CI/SMB_2023</v>
      </c>
      <c r="D3034" s="19" t="s">
        <v>1787</v>
      </c>
      <c r="E3034" s="19" t="s">
        <v>3</v>
      </c>
      <c r="F3034" s="19" t="s">
        <v>1432</v>
      </c>
      <c r="G3034" s="19" t="s">
        <v>1429</v>
      </c>
      <c r="H3034" s="19" t="s">
        <v>404</v>
      </c>
      <c r="I3034" s="19" t="s">
        <v>969</v>
      </c>
      <c r="J3034" s="19">
        <v>0</v>
      </c>
      <c r="K3034" s="19" t="s">
        <v>970</v>
      </c>
      <c r="L3034" s="19">
        <v>2023</v>
      </c>
      <c r="M3034" s="20">
        <v>5</v>
      </c>
      <c r="N3034" s="19" t="s">
        <v>1802</v>
      </c>
      <c r="O3034" s="20">
        <v>0</v>
      </c>
      <c r="P3034" s="20">
        <v>0</v>
      </c>
      <c r="Q3034" s="20">
        <v>0</v>
      </c>
      <c r="R3034" s="21">
        <v>0.92</v>
      </c>
      <c r="S3034" s="20">
        <v>0</v>
      </c>
    </row>
    <row r="3035" spans="2:19" ht="15" customHeight="1" x14ac:dyDescent="0.25">
      <c r="B3035" s="2" t="str">
        <f t="shared" si="94"/>
        <v>NSG_Business_Small/Mid-Size Business_Rebates_Pipe Insulation_Dry Cleaners_CI/SMB</v>
      </c>
      <c r="C3035" s="2" t="str">
        <f t="shared" si="95"/>
        <v>NSG_Business_Small/Mid-Size Business_Rebates_Pipe Insulation_Dry Cleaners_CI/SMB_2024</v>
      </c>
      <c r="D3035" s="19" t="s">
        <v>1787</v>
      </c>
      <c r="E3035" s="19" t="s">
        <v>3</v>
      </c>
      <c r="F3035" s="19" t="s">
        <v>1432</v>
      </c>
      <c r="G3035" s="19" t="s">
        <v>1429</v>
      </c>
      <c r="H3035" s="19" t="s">
        <v>404</v>
      </c>
      <c r="I3035" s="19" t="s">
        <v>969</v>
      </c>
      <c r="J3035" s="19">
        <v>0</v>
      </c>
      <c r="K3035" s="19" t="s">
        <v>970</v>
      </c>
      <c r="L3035" s="19">
        <v>2024</v>
      </c>
      <c r="M3035" s="20">
        <v>5</v>
      </c>
      <c r="N3035" s="19" t="s">
        <v>1802</v>
      </c>
      <c r="O3035" s="20">
        <v>0</v>
      </c>
      <c r="P3035" s="20">
        <v>0</v>
      </c>
      <c r="Q3035" s="20">
        <v>0</v>
      </c>
      <c r="R3035" s="21">
        <v>0.92</v>
      </c>
      <c r="S3035" s="20">
        <v>0</v>
      </c>
    </row>
    <row r="3036" spans="2:19" ht="15" customHeight="1" x14ac:dyDescent="0.25">
      <c r="B3036" s="2" t="str">
        <f t="shared" si="94"/>
        <v>NSG_Business_Small/Mid-Size Business_Rebates_Pipe Insulation_Dry Cleaners_CI/SMB</v>
      </c>
      <c r="C3036" s="2" t="str">
        <f t="shared" si="95"/>
        <v>NSG_Business_Small/Mid-Size Business_Rebates_Pipe Insulation_Dry Cleaners_CI/SMB_2025</v>
      </c>
      <c r="D3036" s="19" t="s">
        <v>1787</v>
      </c>
      <c r="E3036" s="19" t="s">
        <v>3</v>
      </c>
      <c r="F3036" s="19" t="s">
        <v>1432</v>
      </c>
      <c r="G3036" s="19" t="s">
        <v>1429</v>
      </c>
      <c r="H3036" s="19" t="s">
        <v>404</v>
      </c>
      <c r="I3036" s="19" t="s">
        <v>969</v>
      </c>
      <c r="J3036" s="19">
        <v>0</v>
      </c>
      <c r="K3036" s="19" t="s">
        <v>970</v>
      </c>
      <c r="L3036" s="19">
        <v>2025</v>
      </c>
      <c r="M3036" s="20">
        <v>5</v>
      </c>
      <c r="N3036" s="19" t="s">
        <v>1802</v>
      </c>
      <c r="O3036" s="20">
        <v>0</v>
      </c>
      <c r="P3036" s="20">
        <v>0</v>
      </c>
      <c r="Q3036" s="20">
        <v>0</v>
      </c>
      <c r="R3036" s="21">
        <v>0.92</v>
      </c>
      <c r="S3036" s="20">
        <v>0</v>
      </c>
    </row>
    <row r="3037" spans="2:19" ht="15" customHeight="1" x14ac:dyDescent="0.25">
      <c r="B3037" s="2" t="str">
        <f t="shared" si="94"/>
        <v>NSG_Business_Small/Mid-Size Business_Rebates_Pipe Insulation_HW Small 1" to 2"_MF/CI/SMB</v>
      </c>
      <c r="C3037" s="2" t="str">
        <f t="shared" si="95"/>
        <v>NSG_Business_Small/Mid-Size Business_Rebates_Pipe Insulation_HW Small 1" to 2"_MF/CI/SMB_2022</v>
      </c>
      <c r="D3037" s="19" t="s">
        <v>1787</v>
      </c>
      <c r="E3037" s="19" t="s">
        <v>3</v>
      </c>
      <c r="F3037" s="19" t="s">
        <v>1432</v>
      </c>
      <c r="G3037" s="19" t="s">
        <v>1429</v>
      </c>
      <c r="H3037" s="19" t="s">
        <v>404</v>
      </c>
      <c r="I3037" s="19" t="s">
        <v>953</v>
      </c>
      <c r="J3037" s="19">
        <v>0</v>
      </c>
      <c r="K3037" s="19" t="s">
        <v>662</v>
      </c>
      <c r="L3037" s="19">
        <v>2022</v>
      </c>
      <c r="M3037" s="20">
        <v>75</v>
      </c>
      <c r="N3037" s="19" t="s">
        <v>616</v>
      </c>
      <c r="O3037" s="20">
        <v>1</v>
      </c>
      <c r="P3037" s="20">
        <v>75</v>
      </c>
      <c r="Q3037" s="20">
        <v>183.4581723912483</v>
      </c>
      <c r="R3037" s="21">
        <v>0.92</v>
      </c>
      <c r="S3037" s="20">
        <v>183.4581723912483</v>
      </c>
    </row>
    <row r="3038" spans="2:19" ht="15" customHeight="1" x14ac:dyDescent="0.25">
      <c r="B3038" s="2" t="str">
        <f t="shared" si="94"/>
        <v>NSG_Business_Small/Mid-Size Business_Rebates_Pipe Insulation_HW Small 1" to 2"_MF/CI/SMB</v>
      </c>
      <c r="C3038" s="2" t="str">
        <f t="shared" si="95"/>
        <v>NSG_Business_Small/Mid-Size Business_Rebates_Pipe Insulation_HW Small 1" to 2"_MF/CI/SMB_2023</v>
      </c>
      <c r="D3038" s="19" t="s">
        <v>1787</v>
      </c>
      <c r="E3038" s="19" t="s">
        <v>3</v>
      </c>
      <c r="F3038" s="19" t="s">
        <v>1432</v>
      </c>
      <c r="G3038" s="19" t="s">
        <v>1429</v>
      </c>
      <c r="H3038" s="19" t="s">
        <v>404</v>
      </c>
      <c r="I3038" s="19" t="s">
        <v>953</v>
      </c>
      <c r="J3038" s="19">
        <v>0</v>
      </c>
      <c r="K3038" s="19" t="s">
        <v>662</v>
      </c>
      <c r="L3038" s="19">
        <v>2023</v>
      </c>
      <c r="M3038" s="20">
        <v>75</v>
      </c>
      <c r="N3038" s="19" t="s">
        <v>616</v>
      </c>
      <c r="O3038" s="20">
        <v>1</v>
      </c>
      <c r="P3038" s="20">
        <v>75</v>
      </c>
      <c r="Q3038" s="20">
        <v>183.4581723912483</v>
      </c>
      <c r="R3038" s="21">
        <v>0.92</v>
      </c>
      <c r="S3038" s="20">
        <v>183.4581723912483</v>
      </c>
    </row>
    <row r="3039" spans="2:19" ht="15" customHeight="1" x14ac:dyDescent="0.25">
      <c r="B3039" s="2" t="str">
        <f t="shared" si="94"/>
        <v>NSG_Business_Small/Mid-Size Business_Rebates_Pipe Insulation_HW Small 1" to 2"_MF/CI/SMB</v>
      </c>
      <c r="C3039" s="2" t="str">
        <f t="shared" si="95"/>
        <v>NSG_Business_Small/Mid-Size Business_Rebates_Pipe Insulation_HW Small 1" to 2"_MF/CI/SMB_2024</v>
      </c>
      <c r="D3039" s="19" t="s">
        <v>1787</v>
      </c>
      <c r="E3039" s="19" t="s">
        <v>3</v>
      </c>
      <c r="F3039" s="19" t="s">
        <v>1432</v>
      </c>
      <c r="G3039" s="19" t="s">
        <v>1429</v>
      </c>
      <c r="H3039" s="19" t="s">
        <v>404</v>
      </c>
      <c r="I3039" s="19" t="s">
        <v>953</v>
      </c>
      <c r="J3039" s="19">
        <v>0</v>
      </c>
      <c r="K3039" s="19" t="s">
        <v>662</v>
      </c>
      <c r="L3039" s="19">
        <v>2024</v>
      </c>
      <c r="M3039" s="20">
        <v>75</v>
      </c>
      <c r="N3039" s="19" t="s">
        <v>616</v>
      </c>
      <c r="O3039" s="20">
        <v>1</v>
      </c>
      <c r="P3039" s="20">
        <v>75</v>
      </c>
      <c r="Q3039" s="20">
        <v>183.4581723912483</v>
      </c>
      <c r="R3039" s="21">
        <v>0.92</v>
      </c>
      <c r="S3039" s="20">
        <v>183.4581723912483</v>
      </c>
    </row>
    <row r="3040" spans="2:19" ht="15" customHeight="1" x14ac:dyDescent="0.25">
      <c r="B3040" s="2" t="str">
        <f t="shared" si="94"/>
        <v>NSG_Business_Small/Mid-Size Business_Rebates_Pipe Insulation_HW Small 1" to 2"_MF/CI/SMB</v>
      </c>
      <c r="C3040" s="2" t="str">
        <f t="shared" si="95"/>
        <v>NSG_Business_Small/Mid-Size Business_Rebates_Pipe Insulation_HW Small 1" to 2"_MF/CI/SMB_2025</v>
      </c>
      <c r="D3040" s="19" t="s">
        <v>1787</v>
      </c>
      <c r="E3040" s="19" t="s">
        <v>3</v>
      </c>
      <c r="F3040" s="19" t="s">
        <v>1432</v>
      </c>
      <c r="G3040" s="19" t="s">
        <v>1429</v>
      </c>
      <c r="H3040" s="19" t="s">
        <v>404</v>
      </c>
      <c r="I3040" s="19" t="s">
        <v>953</v>
      </c>
      <c r="J3040" s="19">
        <v>0</v>
      </c>
      <c r="K3040" s="19" t="s">
        <v>662</v>
      </c>
      <c r="L3040" s="19">
        <v>2025</v>
      </c>
      <c r="M3040" s="20">
        <v>75</v>
      </c>
      <c r="N3040" s="19" t="s">
        <v>616</v>
      </c>
      <c r="O3040" s="20">
        <v>1</v>
      </c>
      <c r="P3040" s="20">
        <v>75</v>
      </c>
      <c r="Q3040" s="20">
        <v>183.4581723912483</v>
      </c>
      <c r="R3040" s="21">
        <v>0.92</v>
      </c>
      <c r="S3040" s="20">
        <v>183.4581723912483</v>
      </c>
    </row>
    <row r="3041" spans="2:19" ht="15" customHeight="1" x14ac:dyDescent="0.25">
      <c r="B3041" s="2" t="str">
        <f t="shared" si="94"/>
        <v>NSG_Business_Small/Mid-Size Business_Rebates_Pipe Insulation_HW Medium 2.1" to 4"_MF/CI/SMB</v>
      </c>
      <c r="C3041" s="2" t="str">
        <f t="shared" si="95"/>
        <v>NSG_Business_Small/Mid-Size Business_Rebates_Pipe Insulation_HW Medium 2.1" to 4"_MF/CI/SMB_2022</v>
      </c>
      <c r="D3041" s="19" t="s">
        <v>1787</v>
      </c>
      <c r="E3041" s="19" t="s">
        <v>3</v>
      </c>
      <c r="F3041" s="19" t="s">
        <v>1432</v>
      </c>
      <c r="G3041" s="19" t="s">
        <v>1429</v>
      </c>
      <c r="H3041" s="19" t="s">
        <v>404</v>
      </c>
      <c r="I3041" s="19" t="s">
        <v>954</v>
      </c>
      <c r="J3041" s="19">
        <v>0</v>
      </c>
      <c r="K3041" s="19" t="s">
        <v>662</v>
      </c>
      <c r="L3041" s="19">
        <v>2022</v>
      </c>
      <c r="M3041" s="20">
        <v>75</v>
      </c>
      <c r="N3041" s="19" t="s">
        <v>616</v>
      </c>
      <c r="O3041" s="20">
        <v>2</v>
      </c>
      <c r="P3041" s="20">
        <v>150</v>
      </c>
      <c r="Q3041" s="20">
        <v>724.3900346139435</v>
      </c>
      <c r="R3041" s="21">
        <v>0.92</v>
      </c>
      <c r="S3041" s="20">
        <v>724.3900346139435</v>
      </c>
    </row>
    <row r="3042" spans="2:19" ht="15" customHeight="1" x14ac:dyDescent="0.25">
      <c r="B3042" s="2" t="str">
        <f t="shared" si="94"/>
        <v>NSG_Business_Small/Mid-Size Business_Rebates_Pipe Insulation_HW Medium 2.1" to 4"_MF/CI/SMB</v>
      </c>
      <c r="C3042" s="2" t="str">
        <f t="shared" si="95"/>
        <v>NSG_Business_Small/Mid-Size Business_Rebates_Pipe Insulation_HW Medium 2.1" to 4"_MF/CI/SMB_2023</v>
      </c>
      <c r="D3042" s="19" t="s">
        <v>1787</v>
      </c>
      <c r="E3042" s="19" t="s">
        <v>3</v>
      </c>
      <c r="F3042" s="19" t="s">
        <v>1432</v>
      </c>
      <c r="G3042" s="19" t="s">
        <v>1429</v>
      </c>
      <c r="H3042" s="19" t="s">
        <v>404</v>
      </c>
      <c r="I3042" s="19" t="s">
        <v>954</v>
      </c>
      <c r="J3042" s="19">
        <v>0</v>
      </c>
      <c r="K3042" s="19" t="s">
        <v>662</v>
      </c>
      <c r="L3042" s="19">
        <v>2023</v>
      </c>
      <c r="M3042" s="20">
        <v>75</v>
      </c>
      <c r="N3042" s="19" t="s">
        <v>616</v>
      </c>
      <c r="O3042" s="20">
        <v>2</v>
      </c>
      <c r="P3042" s="20">
        <v>150</v>
      </c>
      <c r="Q3042" s="20">
        <v>724.3900346139435</v>
      </c>
      <c r="R3042" s="21">
        <v>0.92</v>
      </c>
      <c r="S3042" s="20">
        <v>724.3900346139435</v>
      </c>
    </row>
    <row r="3043" spans="2:19" ht="15" customHeight="1" x14ac:dyDescent="0.25">
      <c r="B3043" s="2" t="str">
        <f t="shared" si="94"/>
        <v>NSG_Business_Small/Mid-Size Business_Rebates_Pipe Insulation_HW Medium 2.1" to 4"_MF/CI/SMB</v>
      </c>
      <c r="C3043" s="2" t="str">
        <f t="shared" si="95"/>
        <v>NSG_Business_Small/Mid-Size Business_Rebates_Pipe Insulation_HW Medium 2.1" to 4"_MF/CI/SMB_2024</v>
      </c>
      <c r="D3043" s="19" t="s">
        <v>1787</v>
      </c>
      <c r="E3043" s="19" t="s">
        <v>3</v>
      </c>
      <c r="F3043" s="19" t="s">
        <v>1432</v>
      </c>
      <c r="G3043" s="19" t="s">
        <v>1429</v>
      </c>
      <c r="H3043" s="19" t="s">
        <v>404</v>
      </c>
      <c r="I3043" s="19" t="s">
        <v>954</v>
      </c>
      <c r="J3043" s="19">
        <v>0</v>
      </c>
      <c r="K3043" s="19" t="s">
        <v>662</v>
      </c>
      <c r="L3043" s="19">
        <v>2024</v>
      </c>
      <c r="M3043" s="20">
        <v>75</v>
      </c>
      <c r="N3043" s="19" t="s">
        <v>616</v>
      </c>
      <c r="O3043" s="20">
        <v>2</v>
      </c>
      <c r="P3043" s="20">
        <v>150</v>
      </c>
      <c r="Q3043" s="20">
        <v>724.3900346139435</v>
      </c>
      <c r="R3043" s="21">
        <v>0.92</v>
      </c>
      <c r="S3043" s="20">
        <v>724.3900346139435</v>
      </c>
    </row>
    <row r="3044" spans="2:19" ht="15" customHeight="1" x14ac:dyDescent="0.25">
      <c r="B3044" s="2" t="str">
        <f t="shared" si="94"/>
        <v>NSG_Business_Small/Mid-Size Business_Rebates_Pipe Insulation_HW Medium 2.1" to 4"_MF/CI/SMB</v>
      </c>
      <c r="C3044" s="2" t="str">
        <f t="shared" si="95"/>
        <v>NSG_Business_Small/Mid-Size Business_Rebates_Pipe Insulation_HW Medium 2.1" to 4"_MF/CI/SMB_2025</v>
      </c>
      <c r="D3044" s="19" t="s">
        <v>1787</v>
      </c>
      <c r="E3044" s="19" t="s">
        <v>3</v>
      </c>
      <c r="F3044" s="19" t="s">
        <v>1432</v>
      </c>
      <c r="G3044" s="19" t="s">
        <v>1429</v>
      </c>
      <c r="H3044" s="19" t="s">
        <v>404</v>
      </c>
      <c r="I3044" s="19" t="s">
        <v>954</v>
      </c>
      <c r="J3044" s="19">
        <v>0</v>
      </c>
      <c r="K3044" s="19" t="s">
        <v>662</v>
      </c>
      <c r="L3044" s="19">
        <v>2025</v>
      </c>
      <c r="M3044" s="20">
        <v>75</v>
      </c>
      <c r="N3044" s="19" t="s">
        <v>616</v>
      </c>
      <c r="O3044" s="20">
        <v>2</v>
      </c>
      <c r="P3044" s="20">
        <v>150</v>
      </c>
      <c r="Q3044" s="20">
        <v>724.3900346139435</v>
      </c>
      <c r="R3044" s="21">
        <v>0.92</v>
      </c>
      <c r="S3044" s="20">
        <v>724.3900346139435</v>
      </c>
    </row>
    <row r="3045" spans="2:19" ht="15" customHeight="1" x14ac:dyDescent="0.25">
      <c r="B3045" s="2" t="str">
        <f t="shared" si="94"/>
        <v>NSG_Business_Small/Mid-Size Business_Rebates_Pipe Insulation_HW Large &gt;4"_MF/CI/SMB</v>
      </c>
      <c r="C3045" s="2" t="str">
        <f t="shared" si="95"/>
        <v>NSG_Business_Small/Mid-Size Business_Rebates_Pipe Insulation_HW Large &gt;4"_MF/CI/SMB_2022</v>
      </c>
      <c r="D3045" s="19" t="s">
        <v>1787</v>
      </c>
      <c r="E3045" s="19" t="s">
        <v>3</v>
      </c>
      <c r="F3045" s="19" t="s">
        <v>1432</v>
      </c>
      <c r="G3045" s="19" t="s">
        <v>1429</v>
      </c>
      <c r="H3045" s="19" t="s">
        <v>404</v>
      </c>
      <c r="I3045" s="19" t="s">
        <v>955</v>
      </c>
      <c r="J3045" s="19">
        <v>0</v>
      </c>
      <c r="K3045" s="19" t="s">
        <v>662</v>
      </c>
      <c r="L3045" s="19">
        <v>2022</v>
      </c>
      <c r="M3045" s="20">
        <v>75</v>
      </c>
      <c r="N3045" s="19" t="s">
        <v>616</v>
      </c>
      <c r="O3045" s="20">
        <v>1</v>
      </c>
      <c r="P3045" s="20">
        <v>75</v>
      </c>
      <c r="Q3045" s="20">
        <v>623.81253029276991</v>
      </c>
      <c r="R3045" s="21">
        <v>0.92</v>
      </c>
      <c r="S3045" s="20">
        <v>623.81253029276991</v>
      </c>
    </row>
    <row r="3046" spans="2:19" ht="15" customHeight="1" x14ac:dyDescent="0.25">
      <c r="B3046" s="2" t="str">
        <f t="shared" si="94"/>
        <v>NSG_Business_Small/Mid-Size Business_Rebates_Pipe Insulation_HW Large &gt;4"_MF/CI/SMB</v>
      </c>
      <c r="C3046" s="2" t="str">
        <f t="shared" si="95"/>
        <v>NSG_Business_Small/Mid-Size Business_Rebates_Pipe Insulation_HW Large &gt;4"_MF/CI/SMB_2023</v>
      </c>
      <c r="D3046" s="19" t="s">
        <v>1787</v>
      </c>
      <c r="E3046" s="19" t="s">
        <v>3</v>
      </c>
      <c r="F3046" s="19" t="s">
        <v>1432</v>
      </c>
      <c r="G3046" s="19" t="s">
        <v>1429</v>
      </c>
      <c r="H3046" s="19" t="s">
        <v>404</v>
      </c>
      <c r="I3046" s="19" t="s">
        <v>955</v>
      </c>
      <c r="J3046" s="19">
        <v>0</v>
      </c>
      <c r="K3046" s="19" t="s">
        <v>662</v>
      </c>
      <c r="L3046" s="19">
        <v>2023</v>
      </c>
      <c r="M3046" s="20">
        <v>75</v>
      </c>
      <c r="N3046" s="19" t="s">
        <v>616</v>
      </c>
      <c r="O3046" s="20">
        <v>1</v>
      </c>
      <c r="P3046" s="20">
        <v>75</v>
      </c>
      <c r="Q3046" s="20">
        <v>623.81253029276991</v>
      </c>
      <c r="R3046" s="21">
        <v>0.92</v>
      </c>
      <c r="S3046" s="20">
        <v>623.81253029276991</v>
      </c>
    </row>
    <row r="3047" spans="2:19" ht="15" customHeight="1" x14ac:dyDescent="0.25">
      <c r="B3047" s="2" t="str">
        <f t="shared" si="94"/>
        <v>NSG_Business_Small/Mid-Size Business_Rebates_Pipe Insulation_HW Large &gt;4"_MF/CI/SMB</v>
      </c>
      <c r="C3047" s="2" t="str">
        <f t="shared" si="95"/>
        <v>NSG_Business_Small/Mid-Size Business_Rebates_Pipe Insulation_HW Large &gt;4"_MF/CI/SMB_2024</v>
      </c>
      <c r="D3047" s="19" t="s">
        <v>1787</v>
      </c>
      <c r="E3047" s="19" t="s">
        <v>3</v>
      </c>
      <c r="F3047" s="19" t="s">
        <v>1432</v>
      </c>
      <c r="G3047" s="19" t="s">
        <v>1429</v>
      </c>
      <c r="H3047" s="19" t="s">
        <v>404</v>
      </c>
      <c r="I3047" s="19" t="s">
        <v>955</v>
      </c>
      <c r="J3047" s="19">
        <v>0</v>
      </c>
      <c r="K3047" s="19" t="s">
        <v>662</v>
      </c>
      <c r="L3047" s="19">
        <v>2024</v>
      </c>
      <c r="M3047" s="20">
        <v>75</v>
      </c>
      <c r="N3047" s="19" t="s">
        <v>616</v>
      </c>
      <c r="O3047" s="20">
        <v>1</v>
      </c>
      <c r="P3047" s="20">
        <v>75</v>
      </c>
      <c r="Q3047" s="20">
        <v>623.81253029276991</v>
      </c>
      <c r="R3047" s="21">
        <v>0.92</v>
      </c>
      <c r="S3047" s="20">
        <v>623.81253029276991</v>
      </c>
    </row>
    <row r="3048" spans="2:19" ht="15" customHeight="1" x14ac:dyDescent="0.25">
      <c r="B3048" s="2" t="str">
        <f t="shared" si="94"/>
        <v>NSG_Business_Small/Mid-Size Business_Rebates_Pipe Insulation_HW Large &gt;4"_MF/CI/SMB</v>
      </c>
      <c r="C3048" s="2" t="str">
        <f t="shared" si="95"/>
        <v>NSG_Business_Small/Mid-Size Business_Rebates_Pipe Insulation_HW Large &gt;4"_MF/CI/SMB_2025</v>
      </c>
      <c r="D3048" s="19" t="s">
        <v>1787</v>
      </c>
      <c r="E3048" s="19" t="s">
        <v>3</v>
      </c>
      <c r="F3048" s="19" t="s">
        <v>1432</v>
      </c>
      <c r="G3048" s="19" t="s">
        <v>1429</v>
      </c>
      <c r="H3048" s="19" t="s">
        <v>404</v>
      </c>
      <c r="I3048" s="19" t="s">
        <v>955</v>
      </c>
      <c r="J3048" s="19">
        <v>0</v>
      </c>
      <c r="K3048" s="19" t="s">
        <v>662</v>
      </c>
      <c r="L3048" s="19">
        <v>2025</v>
      </c>
      <c r="M3048" s="20">
        <v>75</v>
      </c>
      <c r="N3048" s="19" t="s">
        <v>616</v>
      </c>
      <c r="O3048" s="20">
        <v>1</v>
      </c>
      <c r="P3048" s="20">
        <v>75</v>
      </c>
      <c r="Q3048" s="20">
        <v>623.81253029276991</v>
      </c>
      <c r="R3048" s="21">
        <v>0.92</v>
      </c>
      <c r="S3048" s="20">
        <v>623.81253029276991</v>
      </c>
    </row>
    <row r="3049" spans="2:19" ht="15" customHeight="1" x14ac:dyDescent="0.25">
      <c r="B3049" s="2" t="str">
        <f t="shared" si="94"/>
        <v>NSG_Business_Small/Mid-Size Business_Rebates_Pipe Insulation_Steam - Small 1" to 2"_CI</v>
      </c>
      <c r="C3049" s="2" t="str">
        <f t="shared" si="95"/>
        <v>NSG_Business_Small/Mid-Size Business_Rebates_Pipe Insulation_Steam - Small 1" to 2"_CI_2022</v>
      </c>
      <c r="D3049" s="19" t="s">
        <v>1787</v>
      </c>
      <c r="E3049" s="19" t="s">
        <v>3</v>
      </c>
      <c r="F3049" s="19" t="s">
        <v>1432</v>
      </c>
      <c r="G3049" s="19" t="s">
        <v>1429</v>
      </c>
      <c r="H3049" s="19" t="s">
        <v>404</v>
      </c>
      <c r="I3049" s="19" t="s">
        <v>956</v>
      </c>
      <c r="J3049" s="19">
        <v>0</v>
      </c>
      <c r="K3049" s="19" t="s">
        <v>1159</v>
      </c>
      <c r="L3049" s="19">
        <v>2022</v>
      </c>
      <c r="M3049" s="20">
        <v>75</v>
      </c>
      <c r="N3049" s="19" t="s">
        <v>616</v>
      </c>
      <c r="O3049" s="20">
        <v>1</v>
      </c>
      <c r="P3049" s="20">
        <v>75</v>
      </c>
      <c r="Q3049" s="20">
        <v>219.79782363097374</v>
      </c>
      <c r="R3049" s="21">
        <v>0.92</v>
      </c>
      <c r="S3049" s="20">
        <v>219.79782363097374</v>
      </c>
    </row>
    <row r="3050" spans="2:19" ht="15" customHeight="1" x14ac:dyDescent="0.25">
      <c r="B3050" s="2" t="str">
        <f t="shared" si="94"/>
        <v>NSG_Business_Small/Mid-Size Business_Rebates_Pipe Insulation_Steam - Small 1" to 2"_CI</v>
      </c>
      <c r="C3050" s="2" t="str">
        <f t="shared" si="95"/>
        <v>NSG_Business_Small/Mid-Size Business_Rebates_Pipe Insulation_Steam - Small 1" to 2"_CI_2023</v>
      </c>
      <c r="D3050" s="19" t="s">
        <v>1787</v>
      </c>
      <c r="E3050" s="19" t="s">
        <v>3</v>
      </c>
      <c r="F3050" s="19" t="s">
        <v>1432</v>
      </c>
      <c r="G3050" s="19" t="s">
        <v>1429</v>
      </c>
      <c r="H3050" s="19" t="s">
        <v>404</v>
      </c>
      <c r="I3050" s="19" t="s">
        <v>956</v>
      </c>
      <c r="J3050" s="19">
        <v>0</v>
      </c>
      <c r="K3050" s="19" t="s">
        <v>1159</v>
      </c>
      <c r="L3050" s="19">
        <v>2023</v>
      </c>
      <c r="M3050" s="20">
        <v>75</v>
      </c>
      <c r="N3050" s="19" t="s">
        <v>616</v>
      </c>
      <c r="O3050" s="20">
        <v>1</v>
      </c>
      <c r="P3050" s="20">
        <v>75</v>
      </c>
      <c r="Q3050" s="20">
        <v>219.79782363097374</v>
      </c>
      <c r="R3050" s="21">
        <v>0.92</v>
      </c>
      <c r="S3050" s="20">
        <v>219.79782363097374</v>
      </c>
    </row>
    <row r="3051" spans="2:19" ht="15" customHeight="1" x14ac:dyDescent="0.25">
      <c r="B3051" s="2" t="str">
        <f t="shared" si="94"/>
        <v>NSG_Business_Small/Mid-Size Business_Rebates_Pipe Insulation_Steam - Small 1" to 2"_CI</v>
      </c>
      <c r="C3051" s="2" t="str">
        <f t="shared" si="95"/>
        <v>NSG_Business_Small/Mid-Size Business_Rebates_Pipe Insulation_Steam - Small 1" to 2"_CI_2024</v>
      </c>
      <c r="D3051" s="19" t="s">
        <v>1787</v>
      </c>
      <c r="E3051" s="19" t="s">
        <v>3</v>
      </c>
      <c r="F3051" s="19" t="s">
        <v>1432</v>
      </c>
      <c r="G3051" s="19" t="s">
        <v>1429</v>
      </c>
      <c r="H3051" s="19" t="s">
        <v>404</v>
      </c>
      <c r="I3051" s="19" t="s">
        <v>956</v>
      </c>
      <c r="J3051" s="19">
        <v>0</v>
      </c>
      <c r="K3051" s="19" t="s">
        <v>1159</v>
      </c>
      <c r="L3051" s="19">
        <v>2024</v>
      </c>
      <c r="M3051" s="20">
        <v>75</v>
      </c>
      <c r="N3051" s="19" t="s">
        <v>616</v>
      </c>
      <c r="O3051" s="20">
        <v>1</v>
      </c>
      <c r="P3051" s="20">
        <v>75</v>
      </c>
      <c r="Q3051" s="20">
        <v>219.79782363097374</v>
      </c>
      <c r="R3051" s="21">
        <v>0.92</v>
      </c>
      <c r="S3051" s="20">
        <v>219.79782363097374</v>
      </c>
    </row>
    <row r="3052" spans="2:19" ht="15" customHeight="1" x14ac:dyDescent="0.25">
      <c r="B3052" s="2" t="str">
        <f t="shared" si="94"/>
        <v>NSG_Business_Small/Mid-Size Business_Rebates_Pipe Insulation_Steam - Small 1" to 2"_CI</v>
      </c>
      <c r="C3052" s="2" t="str">
        <f t="shared" si="95"/>
        <v>NSG_Business_Small/Mid-Size Business_Rebates_Pipe Insulation_Steam - Small 1" to 2"_CI_2025</v>
      </c>
      <c r="D3052" s="19" t="s">
        <v>1787</v>
      </c>
      <c r="E3052" s="19" t="s">
        <v>3</v>
      </c>
      <c r="F3052" s="19" t="s">
        <v>1432</v>
      </c>
      <c r="G3052" s="19" t="s">
        <v>1429</v>
      </c>
      <c r="H3052" s="19" t="s">
        <v>404</v>
      </c>
      <c r="I3052" s="19" t="s">
        <v>956</v>
      </c>
      <c r="J3052" s="19">
        <v>0</v>
      </c>
      <c r="K3052" s="19" t="s">
        <v>1159</v>
      </c>
      <c r="L3052" s="19">
        <v>2025</v>
      </c>
      <c r="M3052" s="20">
        <v>75</v>
      </c>
      <c r="N3052" s="19" t="s">
        <v>616</v>
      </c>
      <c r="O3052" s="20">
        <v>1</v>
      </c>
      <c r="P3052" s="20">
        <v>75</v>
      </c>
      <c r="Q3052" s="20">
        <v>219.79782363097374</v>
      </c>
      <c r="R3052" s="21">
        <v>0.92</v>
      </c>
      <c r="S3052" s="20">
        <v>219.79782363097374</v>
      </c>
    </row>
    <row r="3053" spans="2:19" ht="15" customHeight="1" x14ac:dyDescent="0.25">
      <c r="B3053" s="2" t="str">
        <f t="shared" si="94"/>
        <v>NSG_Business_Small/Mid-Size Business_Rebates_Pipe Insulation_Steam - Med 2.1" to 5"_CI</v>
      </c>
      <c r="C3053" s="2" t="str">
        <f t="shared" si="95"/>
        <v>NSG_Business_Small/Mid-Size Business_Rebates_Pipe Insulation_Steam - Med 2.1" to 5"_CI_2022</v>
      </c>
      <c r="D3053" s="19" t="s">
        <v>1787</v>
      </c>
      <c r="E3053" s="19" t="s">
        <v>3</v>
      </c>
      <c r="F3053" s="19" t="s">
        <v>1432</v>
      </c>
      <c r="G3053" s="19" t="s">
        <v>1429</v>
      </c>
      <c r="H3053" s="19" t="s">
        <v>404</v>
      </c>
      <c r="I3053" s="19" t="s">
        <v>957</v>
      </c>
      <c r="J3053" s="19">
        <v>0</v>
      </c>
      <c r="K3053" s="19" t="s">
        <v>1159</v>
      </c>
      <c r="L3053" s="19">
        <v>2022</v>
      </c>
      <c r="M3053" s="20">
        <v>75</v>
      </c>
      <c r="N3053" s="19" t="s">
        <v>616</v>
      </c>
      <c r="O3053" s="20">
        <v>2</v>
      </c>
      <c r="P3053" s="20">
        <v>150</v>
      </c>
      <c r="Q3053" s="20">
        <v>1767.9243596538288</v>
      </c>
      <c r="R3053" s="21">
        <v>0.92</v>
      </c>
      <c r="S3053" s="20">
        <v>1767.9243596538288</v>
      </c>
    </row>
    <row r="3054" spans="2:19" ht="15" customHeight="1" x14ac:dyDescent="0.25">
      <c r="B3054" s="2" t="str">
        <f t="shared" si="94"/>
        <v>NSG_Business_Small/Mid-Size Business_Rebates_Pipe Insulation_Steam - Med 2.1" to 5"_CI</v>
      </c>
      <c r="C3054" s="2" t="str">
        <f t="shared" si="95"/>
        <v>NSG_Business_Small/Mid-Size Business_Rebates_Pipe Insulation_Steam - Med 2.1" to 5"_CI_2023</v>
      </c>
      <c r="D3054" s="19" t="s">
        <v>1787</v>
      </c>
      <c r="E3054" s="19" t="s">
        <v>3</v>
      </c>
      <c r="F3054" s="19" t="s">
        <v>1432</v>
      </c>
      <c r="G3054" s="19" t="s">
        <v>1429</v>
      </c>
      <c r="H3054" s="19" t="s">
        <v>404</v>
      </c>
      <c r="I3054" s="19" t="s">
        <v>957</v>
      </c>
      <c r="J3054" s="19">
        <v>0</v>
      </c>
      <c r="K3054" s="19" t="s">
        <v>1159</v>
      </c>
      <c r="L3054" s="19">
        <v>2023</v>
      </c>
      <c r="M3054" s="20">
        <v>75</v>
      </c>
      <c r="N3054" s="19" t="s">
        <v>616</v>
      </c>
      <c r="O3054" s="20">
        <v>2</v>
      </c>
      <c r="P3054" s="20">
        <v>150</v>
      </c>
      <c r="Q3054" s="20">
        <v>1767.9243596538288</v>
      </c>
      <c r="R3054" s="21">
        <v>0.92</v>
      </c>
      <c r="S3054" s="20">
        <v>1767.9243596538288</v>
      </c>
    </row>
    <row r="3055" spans="2:19" ht="15" customHeight="1" x14ac:dyDescent="0.25">
      <c r="B3055" s="2" t="str">
        <f t="shared" si="94"/>
        <v>NSG_Business_Small/Mid-Size Business_Rebates_Pipe Insulation_Steam - Med 2.1" to 5"_CI</v>
      </c>
      <c r="C3055" s="2" t="str">
        <f t="shared" si="95"/>
        <v>NSG_Business_Small/Mid-Size Business_Rebates_Pipe Insulation_Steam - Med 2.1" to 5"_CI_2024</v>
      </c>
      <c r="D3055" s="19" t="s">
        <v>1787</v>
      </c>
      <c r="E3055" s="19" t="s">
        <v>3</v>
      </c>
      <c r="F3055" s="19" t="s">
        <v>1432</v>
      </c>
      <c r="G3055" s="19" t="s">
        <v>1429</v>
      </c>
      <c r="H3055" s="19" t="s">
        <v>404</v>
      </c>
      <c r="I3055" s="19" t="s">
        <v>957</v>
      </c>
      <c r="J3055" s="19">
        <v>0</v>
      </c>
      <c r="K3055" s="19" t="s">
        <v>1159</v>
      </c>
      <c r="L3055" s="19">
        <v>2024</v>
      </c>
      <c r="M3055" s="20">
        <v>75</v>
      </c>
      <c r="N3055" s="19" t="s">
        <v>616</v>
      </c>
      <c r="O3055" s="20">
        <v>2</v>
      </c>
      <c r="P3055" s="20">
        <v>150</v>
      </c>
      <c r="Q3055" s="20">
        <v>1767.9243596538288</v>
      </c>
      <c r="R3055" s="21">
        <v>0.92</v>
      </c>
      <c r="S3055" s="20">
        <v>1767.9243596538288</v>
      </c>
    </row>
    <row r="3056" spans="2:19" ht="15" customHeight="1" x14ac:dyDescent="0.25">
      <c r="B3056" s="2" t="str">
        <f t="shared" si="94"/>
        <v>NSG_Business_Small/Mid-Size Business_Rebates_Pipe Insulation_Steam - Med 2.1" to 5"_CI</v>
      </c>
      <c r="C3056" s="2" t="str">
        <f t="shared" si="95"/>
        <v>NSG_Business_Small/Mid-Size Business_Rebates_Pipe Insulation_Steam - Med 2.1" to 5"_CI_2025</v>
      </c>
      <c r="D3056" s="19" t="s">
        <v>1787</v>
      </c>
      <c r="E3056" s="19" t="s">
        <v>3</v>
      </c>
      <c r="F3056" s="19" t="s">
        <v>1432</v>
      </c>
      <c r="G3056" s="19" t="s">
        <v>1429</v>
      </c>
      <c r="H3056" s="19" t="s">
        <v>404</v>
      </c>
      <c r="I3056" s="19" t="s">
        <v>957</v>
      </c>
      <c r="J3056" s="19">
        <v>0</v>
      </c>
      <c r="K3056" s="19" t="s">
        <v>1159</v>
      </c>
      <c r="L3056" s="19">
        <v>2025</v>
      </c>
      <c r="M3056" s="20">
        <v>75</v>
      </c>
      <c r="N3056" s="19" t="s">
        <v>616</v>
      </c>
      <c r="O3056" s="20">
        <v>2</v>
      </c>
      <c r="P3056" s="20">
        <v>150</v>
      </c>
      <c r="Q3056" s="20">
        <v>1767.9243596538288</v>
      </c>
      <c r="R3056" s="21">
        <v>0.92</v>
      </c>
      <c r="S3056" s="20">
        <v>1767.9243596538288</v>
      </c>
    </row>
    <row r="3057" spans="2:19" ht="15" customHeight="1" x14ac:dyDescent="0.25">
      <c r="B3057" s="2" t="str">
        <f t="shared" si="94"/>
        <v>NSG_Business_Small/Mid-Size Business_Rebates_Pipe Insulation_Steam - Large 5.1" to 8"_CI</v>
      </c>
      <c r="C3057" s="2" t="str">
        <f t="shared" si="95"/>
        <v>NSG_Business_Small/Mid-Size Business_Rebates_Pipe Insulation_Steam - Large 5.1" to 8"_CI_2022</v>
      </c>
      <c r="D3057" s="19" t="s">
        <v>1787</v>
      </c>
      <c r="E3057" s="19" t="s">
        <v>3</v>
      </c>
      <c r="F3057" s="19" t="s">
        <v>1432</v>
      </c>
      <c r="G3057" s="19" t="s">
        <v>1429</v>
      </c>
      <c r="H3057" s="19" t="s">
        <v>404</v>
      </c>
      <c r="I3057" s="19" t="s">
        <v>958</v>
      </c>
      <c r="J3057" s="19">
        <v>0</v>
      </c>
      <c r="K3057" s="19" t="s">
        <v>1159</v>
      </c>
      <c r="L3057" s="19">
        <v>2022</v>
      </c>
      <c r="M3057" s="20">
        <v>75</v>
      </c>
      <c r="N3057" s="19" t="s">
        <v>616</v>
      </c>
      <c r="O3057" s="20">
        <v>3</v>
      </c>
      <c r="P3057" s="20">
        <v>225</v>
      </c>
      <c r="Q3057" s="20">
        <v>5174.9510652664521</v>
      </c>
      <c r="R3057" s="21">
        <v>0.92</v>
      </c>
      <c r="S3057" s="20">
        <v>5174.9510652664521</v>
      </c>
    </row>
    <row r="3058" spans="2:19" ht="15" customHeight="1" x14ac:dyDescent="0.25">
      <c r="B3058" s="2" t="str">
        <f t="shared" si="94"/>
        <v>NSG_Business_Small/Mid-Size Business_Rebates_Pipe Insulation_Steam - Large 5.1" to 8"_CI</v>
      </c>
      <c r="C3058" s="2" t="str">
        <f t="shared" si="95"/>
        <v>NSG_Business_Small/Mid-Size Business_Rebates_Pipe Insulation_Steam - Large 5.1" to 8"_CI_2023</v>
      </c>
      <c r="D3058" s="19" t="s">
        <v>1787</v>
      </c>
      <c r="E3058" s="19" t="s">
        <v>3</v>
      </c>
      <c r="F3058" s="19" t="s">
        <v>1432</v>
      </c>
      <c r="G3058" s="19" t="s">
        <v>1429</v>
      </c>
      <c r="H3058" s="19" t="s">
        <v>404</v>
      </c>
      <c r="I3058" s="19" t="s">
        <v>958</v>
      </c>
      <c r="J3058" s="19">
        <v>0</v>
      </c>
      <c r="K3058" s="19" t="s">
        <v>1159</v>
      </c>
      <c r="L3058" s="19">
        <v>2023</v>
      </c>
      <c r="M3058" s="20">
        <v>75</v>
      </c>
      <c r="N3058" s="19" t="s">
        <v>616</v>
      </c>
      <c r="O3058" s="20">
        <v>2</v>
      </c>
      <c r="P3058" s="20">
        <v>150</v>
      </c>
      <c r="Q3058" s="20">
        <v>3449.9673768443013</v>
      </c>
      <c r="R3058" s="21">
        <v>0.92</v>
      </c>
      <c r="S3058" s="20">
        <v>3449.9673768443013</v>
      </c>
    </row>
    <row r="3059" spans="2:19" ht="15" customHeight="1" x14ac:dyDescent="0.25">
      <c r="B3059" s="2" t="str">
        <f t="shared" si="94"/>
        <v>NSG_Business_Small/Mid-Size Business_Rebates_Pipe Insulation_Steam - Large 5.1" to 8"_CI</v>
      </c>
      <c r="C3059" s="2" t="str">
        <f t="shared" si="95"/>
        <v>NSG_Business_Small/Mid-Size Business_Rebates_Pipe Insulation_Steam - Large 5.1" to 8"_CI_2024</v>
      </c>
      <c r="D3059" s="19" t="s">
        <v>1787</v>
      </c>
      <c r="E3059" s="19" t="s">
        <v>3</v>
      </c>
      <c r="F3059" s="19" t="s">
        <v>1432</v>
      </c>
      <c r="G3059" s="19" t="s">
        <v>1429</v>
      </c>
      <c r="H3059" s="19" t="s">
        <v>404</v>
      </c>
      <c r="I3059" s="19" t="s">
        <v>958</v>
      </c>
      <c r="J3059" s="19">
        <v>0</v>
      </c>
      <c r="K3059" s="19" t="s">
        <v>1159</v>
      </c>
      <c r="L3059" s="19">
        <v>2024</v>
      </c>
      <c r="M3059" s="20">
        <v>75</v>
      </c>
      <c r="N3059" s="19" t="s">
        <v>616</v>
      </c>
      <c r="O3059" s="20">
        <v>2</v>
      </c>
      <c r="P3059" s="20">
        <v>150</v>
      </c>
      <c r="Q3059" s="20">
        <v>3449.9673768443013</v>
      </c>
      <c r="R3059" s="21">
        <v>0.92</v>
      </c>
      <c r="S3059" s="20">
        <v>3449.9673768443013</v>
      </c>
    </row>
    <row r="3060" spans="2:19" ht="15" customHeight="1" x14ac:dyDescent="0.25">
      <c r="B3060" s="2" t="str">
        <f t="shared" si="94"/>
        <v>NSG_Business_Small/Mid-Size Business_Rebates_Pipe Insulation_Steam - Large 5.1" to 8"_CI</v>
      </c>
      <c r="C3060" s="2" t="str">
        <f t="shared" si="95"/>
        <v>NSG_Business_Small/Mid-Size Business_Rebates_Pipe Insulation_Steam - Large 5.1" to 8"_CI_2025</v>
      </c>
      <c r="D3060" s="19" t="s">
        <v>1787</v>
      </c>
      <c r="E3060" s="19" t="s">
        <v>3</v>
      </c>
      <c r="F3060" s="19" t="s">
        <v>1432</v>
      </c>
      <c r="G3060" s="19" t="s">
        <v>1429</v>
      </c>
      <c r="H3060" s="19" t="s">
        <v>404</v>
      </c>
      <c r="I3060" s="19" t="s">
        <v>958</v>
      </c>
      <c r="J3060" s="19">
        <v>0</v>
      </c>
      <c r="K3060" s="19" t="s">
        <v>1159</v>
      </c>
      <c r="L3060" s="19">
        <v>2025</v>
      </c>
      <c r="M3060" s="20">
        <v>75</v>
      </c>
      <c r="N3060" s="19" t="s">
        <v>616</v>
      </c>
      <c r="O3060" s="20">
        <v>2</v>
      </c>
      <c r="P3060" s="20">
        <v>150</v>
      </c>
      <c r="Q3060" s="20">
        <v>3449.9673768443013</v>
      </c>
      <c r="R3060" s="21">
        <v>0.92</v>
      </c>
      <c r="S3060" s="20">
        <v>3449.9673768443013</v>
      </c>
    </row>
    <row r="3061" spans="2:19" ht="15" customHeight="1" x14ac:dyDescent="0.25">
      <c r="B3061" s="2" t="str">
        <f t="shared" si="94"/>
        <v>NSG_Business_Small/Mid-Size Business_Rebates_Pipe Insulation_Steam - X-Large &gt;8"_CI</v>
      </c>
      <c r="C3061" s="2" t="str">
        <f t="shared" si="95"/>
        <v>NSG_Business_Small/Mid-Size Business_Rebates_Pipe Insulation_Steam - X-Large &gt;8"_CI_2022</v>
      </c>
      <c r="D3061" s="19" t="s">
        <v>1787</v>
      </c>
      <c r="E3061" s="19" t="s">
        <v>3</v>
      </c>
      <c r="F3061" s="19" t="s">
        <v>1432</v>
      </c>
      <c r="G3061" s="19" t="s">
        <v>1429</v>
      </c>
      <c r="H3061" s="19" t="s">
        <v>404</v>
      </c>
      <c r="I3061" s="19" t="s">
        <v>960</v>
      </c>
      <c r="J3061" s="19">
        <v>0</v>
      </c>
      <c r="K3061" s="19" t="s">
        <v>1159</v>
      </c>
      <c r="L3061" s="19">
        <v>2022</v>
      </c>
      <c r="M3061" s="20">
        <v>75</v>
      </c>
      <c r="N3061" s="19" t="s">
        <v>616</v>
      </c>
      <c r="O3061" s="20">
        <v>0</v>
      </c>
      <c r="P3061" s="20">
        <v>0</v>
      </c>
      <c r="Q3061" s="20">
        <v>0</v>
      </c>
      <c r="R3061" s="21">
        <v>0.92</v>
      </c>
      <c r="S3061" s="20">
        <v>0</v>
      </c>
    </row>
    <row r="3062" spans="2:19" ht="15" customHeight="1" x14ac:dyDescent="0.25">
      <c r="B3062" s="2" t="str">
        <f t="shared" si="94"/>
        <v>NSG_Business_Small/Mid-Size Business_Rebates_Pipe Insulation_Steam - X-Large &gt;8"_CI</v>
      </c>
      <c r="C3062" s="2" t="str">
        <f t="shared" si="95"/>
        <v>NSG_Business_Small/Mid-Size Business_Rebates_Pipe Insulation_Steam - X-Large &gt;8"_CI_2023</v>
      </c>
      <c r="D3062" s="19" t="s">
        <v>1787</v>
      </c>
      <c r="E3062" s="19" t="s">
        <v>3</v>
      </c>
      <c r="F3062" s="19" t="s">
        <v>1432</v>
      </c>
      <c r="G3062" s="19" t="s">
        <v>1429</v>
      </c>
      <c r="H3062" s="19" t="s">
        <v>404</v>
      </c>
      <c r="I3062" s="19" t="s">
        <v>960</v>
      </c>
      <c r="J3062" s="19">
        <v>0</v>
      </c>
      <c r="K3062" s="19" t="s">
        <v>1159</v>
      </c>
      <c r="L3062" s="19">
        <v>2023</v>
      </c>
      <c r="M3062" s="20">
        <v>75</v>
      </c>
      <c r="N3062" s="19" t="s">
        <v>616</v>
      </c>
      <c r="O3062" s="20">
        <v>0</v>
      </c>
      <c r="P3062" s="20">
        <v>0</v>
      </c>
      <c r="Q3062" s="20">
        <v>0</v>
      </c>
      <c r="R3062" s="21">
        <v>0.92</v>
      </c>
      <c r="S3062" s="20">
        <v>0</v>
      </c>
    </row>
    <row r="3063" spans="2:19" ht="15" customHeight="1" x14ac:dyDescent="0.25">
      <c r="B3063" s="2" t="str">
        <f t="shared" si="94"/>
        <v>NSG_Business_Small/Mid-Size Business_Rebates_Pipe Insulation_Steam - X-Large &gt;8"_CI</v>
      </c>
      <c r="C3063" s="2" t="str">
        <f t="shared" si="95"/>
        <v>NSG_Business_Small/Mid-Size Business_Rebates_Pipe Insulation_Steam - X-Large &gt;8"_CI_2024</v>
      </c>
      <c r="D3063" s="19" t="s">
        <v>1787</v>
      </c>
      <c r="E3063" s="19" t="s">
        <v>3</v>
      </c>
      <c r="F3063" s="19" t="s">
        <v>1432</v>
      </c>
      <c r="G3063" s="19" t="s">
        <v>1429</v>
      </c>
      <c r="H3063" s="19" t="s">
        <v>404</v>
      </c>
      <c r="I3063" s="19" t="s">
        <v>960</v>
      </c>
      <c r="J3063" s="19">
        <v>0</v>
      </c>
      <c r="K3063" s="19" t="s">
        <v>1159</v>
      </c>
      <c r="L3063" s="19">
        <v>2024</v>
      </c>
      <c r="M3063" s="20">
        <v>75</v>
      </c>
      <c r="N3063" s="19" t="s">
        <v>616</v>
      </c>
      <c r="O3063" s="20">
        <v>0</v>
      </c>
      <c r="P3063" s="20">
        <v>0</v>
      </c>
      <c r="Q3063" s="20">
        <v>0</v>
      </c>
      <c r="R3063" s="21">
        <v>0.92</v>
      </c>
      <c r="S3063" s="20">
        <v>0</v>
      </c>
    </row>
    <row r="3064" spans="2:19" ht="15" customHeight="1" x14ac:dyDescent="0.25">
      <c r="B3064" s="2" t="str">
        <f t="shared" si="94"/>
        <v>NSG_Business_Small/Mid-Size Business_Rebates_Pipe Insulation_Steam - X-Large &gt;8"_CI</v>
      </c>
      <c r="C3064" s="2" t="str">
        <f t="shared" si="95"/>
        <v>NSG_Business_Small/Mid-Size Business_Rebates_Pipe Insulation_Steam - X-Large &gt;8"_CI_2025</v>
      </c>
      <c r="D3064" s="19" t="s">
        <v>1787</v>
      </c>
      <c r="E3064" s="19" t="s">
        <v>3</v>
      </c>
      <c r="F3064" s="19" t="s">
        <v>1432</v>
      </c>
      <c r="G3064" s="19" t="s">
        <v>1429</v>
      </c>
      <c r="H3064" s="19" t="s">
        <v>404</v>
      </c>
      <c r="I3064" s="19" t="s">
        <v>960</v>
      </c>
      <c r="J3064" s="19">
        <v>0</v>
      </c>
      <c r="K3064" s="19" t="s">
        <v>1159</v>
      </c>
      <c r="L3064" s="19">
        <v>2025</v>
      </c>
      <c r="M3064" s="20">
        <v>75</v>
      </c>
      <c r="N3064" s="19" t="s">
        <v>616</v>
      </c>
      <c r="O3064" s="20">
        <v>0</v>
      </c>
      <c r="P3064" s="20">
        <v>0</v>
      </c>
      <c r="Q3064" s="20">
        <v>0</v>
      </c>
      <c r="R3064" s="21">
        <v>0.92</v>
      </c>
      <c r="S3064" s="20">
        <v>0</v>
      </c>
    </row>
    <row r="3065" spans="2:19" ht="15" customHeight="1" x14ac:dyDescent="0.25">
      <c r="B3065" s="2" t="str">
        <f t="shared" si="94"/>
        <v>NSG_Business_Small/Mid-Size Business_Rebates_Pipe Insulation_Steam Med Fitting_CI</v>
      </c>
      <c r="C3065" s="2" t="str">
        <f t="shared" si="95"/>
        <v>NSG_Business_Small/Mid-Size Business_Rebates_Pipe Insulation_Steam Med Fitting_CI_2022</v>
      </c>
      <c r="D3065" s="19" t="s">
        <v>1787</v>
      </c>
      <c r="E3065" s="19" t="s">
        <v>3</v>
      </c>
      <c r="F3065" s="19" t="s">
        <v>1432</v>
      </c>
      <c r="G3065" s="19" t="s">
        <v>1429</v>
      </c>
      <c r="H3065" s="19" t="s">
        <v>404</v>
      </c>
      <c r="I3065" s="19" t="s">
        <v>962</v>
      </c>
      <c r="J3065" s="19">
        <v>0</v>
      </c>
      <c r="K3065" s="19" t="s">
        <v>1159</v>
      </c>
      <c r="L3065" s="19">
        <v>2022</v>
      </c>
      <c r="M3065" s="20">
        <v>1</v>
      </c>
      <c r="N3065" s="19" t="s">
        <v>1798</v>
      </c>
      <c r="O3065" s="20">
        <v>0</v>
      </c>
      <c r="P3065" s="20">
        <v>0</v>
      </c>
      <c r="Q3065" s="20">
        <v>0</v>
      </c>
      <c r="R3065" s="21">
        <v>0.92</v>
      </c>
      <c r="S3065" s="20">
        <v>0</v>
      </c>
    </row>
    <row r="3066" spans="2:19" ht="15" customHeight="1" x14ac:dyDescent="0.25">
      <c r="B3066" s="2" t="str">
        <f t="shared" si="94"/>
        <v>NSG_Business_Small/Mid-Size Business_Rebates_Pipe Insulation_Steam Med Fitting_CI</v>
      </c>
      <c r="C3066" s="2" t="str">
        <f t="shared" si="95"/>
        <v>NSG_Business_Small/Mid-Size Business_Rebates_Pipe Insulation_Steam Med Fitting_CI_2023</v>
      </c>
      <c r="D3066" s="19" t="s">
        <v>1787</v>
      </c>
      <c r="E3066" s="19" t="s">
        <v>3</v>
      </c>
      <c r="F3066" s="19" t="s">
        <v>1432</v>
      </c>
      <c r="G3066" s="19" t="s">
        <v>1429</v>
      </c>
      <c r="H3066" s="19" t="s">
        <v>404</v>
      </c>
      <c r="I3066" s="19" t="s">
        <v>962</v>
      </c>
      <c r="J3066" s="19">
        <v>0</v>
      </c>
      <c r="K3066" s="19" t="s">
        <v>1159</v>
      </c>
      <c r="L3066" s="19">
        <v>2023</v>
      </c>
      <c r="M3066" s="20">
        <v>1</v>
      </c>
      <c r="N3066" s="19" t="s">
        <v>1798</v>
      </c>
      <c r="O3066" s="20">
        <v>0</v>
      </c>
      <c r="P3066" s="20">
        <v>0</v>
      </c>
      <c r="Q3066" s="20">
        <v>0</v>
      </c>
      <c r="R3066" s="21">
        <v>0.92</v>
      </c>
      <c r="S3066" s="20">
        <v>0</v>
      </c>
    </row>
    <row r="3067" spans="2:19" ht="15" customHeight="1" x14ac:dyDescent="0.25">
      <c r="B3067" s="2" t="str">
        <f t="shared" si="94"/>
        <v>NSG_Business_Small/Mid-Size Business_Rebates_Pipe Insulation_Steam Med Fitting_CI</v>
      </c>
      <c r="C3067" s="2" t="str">
        <f t="shared" si="95"/>
        <v>NSG_Business_Small/Mid-Size Business_Rebates_Pipe Insulation_Steam Med Fitting_CI_2024</v>
      </c>
      <c r="D3067" s="19" t="s">
        <v>1787</v>
      </c>
      <c r="E3067" s="19" t="s">
        <v>3</v>
      </c>
      <c r="F3067" s="19" t="s">
        <v>1432</v>
      </c>
      <c r="G3067" s="19" t="s">
        <v>1429</v>
      </c>
      <c r="H3067" s="19" t="s">
        <v>404</v>
      </c>
      <c r="I3067" s="19" t="s">
        <v>962</v>
      </c>
      <c r="J3067" s="19">
        <v>0</v>
      </c>
      <c r="K3067" s="19" t="s">
        <v>1159</v>
      </c>
      <c r="L3067" s="19">
        <v>2024</v>
      </c>
      <c r="M3067" s="20">
        <v>1</v>
      </c>
      <c r="N3067" s="19" t="s">
        <v>1798</v>
      </c>
      <c r="O3067" s="20">
        <v>0</v>
      </c>
      <c r="P3067" s="20">
        <v>0</v>
      </c>
      <c r="Q3067" s="20">
        <v>0</v>
      </c>
      <c r="R3067" s="21">
        <v>0.92</v>
      </c>
      <c r="S3067" s="20">
        <v>0</v>
      </c>
    </row>
    <row r="3068" spans="2:19" ht="15" customHeight="1" x14ac:dyDescent="0.25">
      <c r="B3068" s="2" t="str">
        <f t="shared" si="94"/>
        <v>NSG_Business_Small/Mid-Size Business_Rebates_Pipe Insulation_Steam Med Fitting_CI</v>
      </c>
      <c r="C3068" s="2" t="str">
        <f t="shared" si="95"/>
        <v>NSG_Business_Small/Mid-Size Business_Rebates_Pipe Insulation_Steam Med Fitting_CI_2025</v>
      </c>
      <c r="D3068" s="19" t="s">
        <v>1787</v>
      </c>
      <c r="E3068" s="19" t="s">
        <v>3</v>
      </c>
      <c r="F3068" s="19" t="s">
        <v>1432</v>
      </c>
      <c r="G3068" s="19" t="s">
        <v>1429</v>
      </c>
      <c r="H3068" s="19" t="s">
        <v>404</v>
      </c>
      <c r="I3068" s="19" t="s">
        <v>962</v>
      </c>
      <c r="J3068" s="19">
        <v>0</v>
      </c>
      <c r="K3068" s="19" t="s">
        <v>1159</v>
      </c>
      <c r="L3068" s="19">
        <v>2025</v>
      </c>
      <c r="M3068" s="20">
        <v>1</v>
      </c>
      <c r="N3068" s="19" t="s">
        <v>1798</v>
      </c>
      <c r="O3068" s="20">
        <v>0</v>
      </c>
      <c r="P3068" s="20">
        <v>0</v>
      </c>
      <c r="Q3068" s="20">
        <v>0</v>
      </c>
      <c r="R3068" s="21">
        <v>0.92</v>
      </c>
      <c r="S3068" s="20">
        <v>0</v>
      </c>
    </row>
    <row r="3069" spans="2:19" ht="15" customHeight="1" x14ac:dyDescent="0.25">
      <c r="B3069" s="2" t="str">
        <f t="shared" si="94"/>
        <v>NSG_Business_Small/Mid-Size Business_Rebates_Pipe Insulation_Steam Large Fitting_CI</v>
      </c>
      <c r="C3069" s="2" t="str">
        <f t="shared" si="95"/>
        <v>NSG_Business_Small/Mid-Size Business_Rebates_Pipe Insulation_Steam Large Fitting_CI_2022</v>
      </c>
      <c r="D3069" s="19" t="s">
        <v>1787</v>
      </c>
      <c r="E3069" s="19" t="s">
        <v>3</v>
      </c>
      <c r="F3069" s="19" t="s">
        <v>1432</v>
      </c>
      <c r="G3069" s="19" t="s">
        <v>1429</v>
      </c>
      <c r="H3069" s="19" t="s">
        <v>404</v>
      </c>
      <c r="I3069" s="19" t="s">
        <v>963</v>
      </c>
      <c r="J3069" s="19">
        <v>0</v>
      </c>
      <c r="K3069" s="19" t="s">
        <v>1159</v>
      </c>
      <c r="L3069" s="19">
        <v>2022</v>
      </c>
      <c r="M3069" s="20">
        <v>1</v>
      </c>
      <c r="N3069" s="19" t="s">
        <v>1798</v>
      </c>
      <c r="O3069" s="20">
        <v>0</v>
      </c>
      <c r="P3069" s="20">
        <v>0</v>
      </c>
      <c r="Q3069" s="20">
        <v>0</v>
      </c>
      <c r="R3069" s="21">
        <v>0.92</v>
      </c>
      <c r="S3069" s="20">
        <v>0</v>
      </c>
    </row>
    <row r="3070" spans="2:19" ht="15" customHeight="1" x14ac:dyDescent="0.25">
      <c r="B3070" s="2" t="str">
        <f t="shared" si="94"/>
        <v>NSG_Business_Small/Mid-Size Business_Rebates_Pipe Insulation_Steam Large Fitting_CI</v>
      </c>
      <c r="C3070" s="2" t="str">
        <f t="shared" si="95"/>
        <v>NSG_Business_Small/Mid-Size Business_Rebates_Pipe Insulation_Steam Large Fitting_CI_2023</v>
      </c>
      <c r="D3070" s="19" t="s">
        <v>1787</v>
      </c>
      <c r="E3070" s="19" t="s">
        <v>3</v>
      </c>
      <c r="F3070" s="19" t="s">
        <v>1432</v>
      </c>
      <c r="G3070" s="19" t="s">
        <v>1429</v>
      </c>
      <c r="H3070" s="19" t="s">
        <v>404</v>
      </c>
      <c r="I3070" s="19" t="s">
        <v>963</v>
      </c>
      <c r="J3070" s="19">
        <v>0</v>
      </c>
      <c r="K3070" s="19" t="s">
        <v>1159</v>
      </c>
      <c r="L3070" s="19">
        <v>2023</v>
      </c>
      <c r="M3070" s="20">
        <v>1</v>
      </c>
      <c r="N3070" s="19" t="s">
        <v>1798</v>
      </c>
      <c r="O3070" s="20">
        <v>0</v>
      </c>
      <c r="P3070" s="20">
        <v>0</v>
      </c>
      <c r="Q3070" s="20">
        <v>0</v>
      </c>
      <c r="R3070" s="21">
        <v>0.92</v>
      </c>
      <c r="S3070" s="20">
        <v>0</v>
      </c>
    </row>
    <row r="3071" spans="2:19" ht="15" customHeight="1" x14ac:dyDescent="0.25">
      <c r="B3071" s="2" t="str">
        <f t="shared" si="94"/>
        <v>NSG_Business_Small/Mid-Size Business_Rebates_Pipe Insulation_Steam Large Fitting_CI</v>
      </c>
      <c r="C3071" s="2" t="str">
        <f t="shared" si="95"/>
        <v>NSG_Business_Small/Mid-Size Business_Rebates_Pipe Insulation_Steam Large Fitting_CI_2024</v>
      </c>
      <c r="D3071" s="19" t="s">
        <v>1787</v>
      </c>
      <c r="E3071" s="19" t="s">
        <v>3</v>
      </c>
      <c r="F3071" s="19" t="s">
        <v>1432</v>
      </c>
      <c r="G3071" s="19" t="s">
        <v>1429</v>
      </c>
      <c r="H3071" s="19" t="s">
        <v>404</v>
      </c>
      <c r="I3071" s="19" t="s">
        <v>963</v>
      </c>
      <c r="J3071" s="19">
        <v>0</v>
      </c>
      <c r="K3071" s="19" t="s">
        <v>1159</v>
      </c>
      <c r="L3071" s="19">
        <v>2024</v>
      </c>
      <c r="M3071" s="20">
        <v>1</v>
      </c>
      <c r="N3071" s="19" t="s">
        <v>1798</v>
      </c>
      <c r="O3071" s="20">
        <v>0</v>
      </c>
      <c r="P3071" s="20">
        <v>0</v>
      </c>
      <c r="Q3071" s="20">
        <v>0</v>
      </c>
      <c r="R3071" s="21">
        <v>0.92</v>
      </c>
      <c r="S3071" s="20">
        <v>0</v>
      </c>
    </row>
    <row r="3072" spans="2:19" ht="15" customHeight="1" x14ac:dyDescent="0.25">
      <c r="B3072" s="2" t="str">
        <f t="shared" si="94"/>
        <v>NSG_Business_Small/Mid-Size Business_Rebates_Pipe Insulation_Steam Large Fitting_CI</v>
      </c>
      <c r="C3072" s="2" t="str">
        <f t="shared" si="95"/>
        <v>NSG_Business_Small/Mid-Size Business_Rebates_Pipe Insulation_Steam Large Fitting_CI_2025</v>
      </c>
      <c r="D3072" s="19" t="s">
        <v>1787</v>
      </c>
      <c r="E3072" s="19" t="s">
        <v>3</v>
      </c>
      <c r="F3072" s="19" t="s">
        <v>1432</v>
      </c>
      <c r="G3072" s="19" t="s">
        <v>1429</v>
      </c>
      <c r="H3072" s="19" t="s">
        <v>404</v>
      </c>
      <c r="I3072" s="19" t="s">
        <v>963</v>
      </c>
      <c r="J3072" s="19">
        <v>0</v>
      </c>
      <c r="K3072" s="19" t="s">
        <v>1159</v>
      </c>
      <c r="L3072" s="19">
        <v>2025</v>
      </c>
      <c r="M3072" s="20">
        <v>1</v>
      </c>
      <c r="N3072" s="19" t="s">
        <v>1798</v>
      </c>
      <c r="O3072" s="20">
        <v>0</v>
      </c>
      <c r="P3072" s="20">
        <v>0</v>
      </c>
      <c r="Q3072" s="20">
        <v>0</v>
      </c>
      <c r="R3072" s="21">
        <v>0.92</v>
      </c>
      <c r="S3072" s="20">
        <v>0</v>
      </c>
    </row>
    <row r="3073" spans="2:19" ht="15" customHeight="1" x14ac:dyDescent="0.25">
      <c r="B3073" s="2" t="str">
        <f t="shared" si="94"/>
        <v>NSG_Business_Small/Mid-Size Business_Rebates_Pipe Insulation_Steam X-Large Fitting_CI</v>
      </c>
      <c r="C3073" s="2" t="str">
        <f t="shared" si="95"/>
        <v>NSG_Business_Small/Mid-Size Business_Rebates_Pipe Insulation_Steam X-Large Fitting_CI_2022</v>
      </c>
      <c r="D3073" s="19" t="s">
        <v>1787</v>
      </c>
      <c r="E3073" s="19" t="s">
        <v>3</v>
      </c>
      <c r="F3073" s="19" t="s">
        <v>1432</v>
      </c>
      <c r="G3073" s="19" t="s">
        <v>1429</v>
      </c>
      <c r="H3073" s="19" t="s">
        <v>404</v>
      </c>
      <c r="I3073" s="19" t="s">
        <v>964</v>
      </c>
      <c r="J3073" s="19">
        <v>0</v>
      </c>
      <c r="K3073" s="19" t="s">
        <v>1159</v>
      </c>
      <c r="L3073" s="19">
        <v>2022</v>
      </c>
      <c r="M3073" s="20">
        <v>1</v>
      </c>
      <c r="N3073" s="19" t="s">
        <v>1798</v>
      </c>
      <c r="O3073" s="20">
        <v>0</v>
      </c>
      <c r="P3073" s="20">
        <v>0</v>
      </c>
      <c r="Q3073" s="20">
        <v>0</v>
      </c>
      <c r="R3073" s="21">
        <v>0.92</v>
      </c>
      <c r="S3073" s="20">
        <v>0</v>
      </c>
    </row>
    <row r="3074" spans="2:19" ht="15" customHeight="1" x14ac:dyDescent="0.25">
      <c r="B3074" s="2" t="str">
        <f t="shared" si="94"/>
        <v>NSG_Business_Small/Mid-Size Business_Rebates_Pipe Insulation_Steam X-Large Fitting_CI</v>
      </c>
      <c r="C3074" s="2" t="str">
        <f t="shared" si="95"/>
        <v>NSG_Business_Small/Mid-Size Business_Rebates_Pipe Insulation_Steam X-Large Fitting_CI_2023</v>
      </c>
      <c r="D3074" s="19" t="s">
        <v>1787</v>
      </c>
      <c r="E3074" s="19" t="s">
        <v>3</v>
      </c>
      <c r="F3074" s="19" t="s">
        <v>1432</v>
      </c>
      <c r="G3074" s="19" t="s">
        <v>1429</v>
      </c>
      <c r="H3074" s="19" t="s">
        <v>404</v>
      </c>
      <c r="I3074" s="19" t="s">
        <v>964</v>
      </c>
      <c r="J3074" s="19">
        <v>0</v>
      </c>
      <c r="K3074" s="19" t="s">
        <v>1159</v>
      </c>
      <c r="L3074" s="19">
        <v>2023</v>
      </c>
      <c r="M3074" s="20">
        <v>1</v>
      </c>
      <c r="N3074" s="19" t="s">
        <v>1798</v>
      </c>
      <c r="O3074" s="20">
        <v>0</v>
      </c>
      <c r="P3074" s="20">
        <v>0</v>
      </c>
      <c r="Q3074" s="20">
        <v>0</v>
      </c>
      <c r="R3074" s="21">
        <v>0.92</v>
      </c>
      <c r="S3074" s="20">
        <v>0</v>
      </c>
    </row>
    <row r="3075" spans="2:19" ht="15" customHeight="1" x14ac:dyDescent="0.25">
      <c r="B3075" s="2" t="str">
        <f t="shared" si="94"/>
        <v>NSG_Business_Small/Mid-Size Business_Rebates_Pipe Insulation_Steam X-Large Fitting_CI</v>
      </c>
      <c r="C3075" s="2" t="str">
        <f t="shared" si="95"/>
        <v>NSG_Business_Small/Mid-Size Business_Rebates_Pipe Insulation_Steam X-Large Fitting_CI_2024</v>
      </c>
      <c r="D3075" s="19" t="s">
        <v>1787</v>
      </c>
      <c r="E3075" s="19" t="s">
        <v>3</v>
      </c>
      <c r="F3075" s="19" t="s">
        <v>1432</v>
      </c>
      <c r="G3075" s="19" t="s">
        <v>1429</v>
      </c>
      <c r="H3075" s="19" t="s">
        <v>404</v>
      </c>
      <c r="I3075" s="19" t="s">
        <v>964</v>
      </c>
      <c r="J3075" s="19">
        <v>0</v>
      </c>
      <c r="K3075" s="19" t="s">
        <v>1159</v>
      </c>
      <c r="L3075" s="19">
        <v>2024</v>
      </c>
      <c r="M3075" s="20">
        <v>1</v>
      </c>
      <c r="N3075" s="19" t="s">
        <v>1798</v>
      </c>
      <c r="O3075" s="20">
        <v>0</v>
      </c>
      <c r="P3075" s="20">
        <v>0</v>
      </c>
      <c r="Q3075" s="20">
        <v>0</v>
      </c>
      <c r="R3075" s="21">
        <v>0.92</v>
      </c>
      <c r="S3075" s="20">
        <v>0</v>
      </c>
    </row>
    <row r="3076" spans="2:19" ht="15" customHeight="1" x14ac:dyDescent="0.25">
      <c r="B3076" s="2" t="str">
        <f t="shared" si="94"/>
        <v>NSG_Business_Small/Mid-Size Business_Rebates_Pipe Insulation_Steam X-Large Fitting_CI</v>
      </c>
      <c r="C3076" s="2" t="str">
        <f t="shared" si="95"/>
        <v>NSG_Business_Small/Mid-Size Business_Rebates_Pipe Insulation_Steam X-Large Fitting_CI_2025</v>
      </c>
      <c r="D3076" s="19" t="s">
        <v>1787</v>
      </c>
      <c r="E3076" s="19" t="s">
        <v>3</v>
      </c>
      <c r="F3076" s="19" t="s">
        <v>1432</v>
      </c>
      <c r="G3076" s="19" t="s">
        <v>1429</v>
      </c>
      <c r="H3076" s="19" t="s">
        <v>404</v>
      </c>
      <c r="I3076" s="19" t="s">
        <v>964</v>
      </c>
      <c r="J3076" s="19">
        <v>0</v>
      </c>
      <c r="K3076" s="19" t="s">
        <v>1159</v>
      </c>
      <c r="L3076" s="19">
        <v>2025</v>
      </c>
      <c r="M3076" s="20">
        <v>1</v>
      </c>
      <c r="N3076" s="19" t="s">
        <v>1798</v>
      </c>
      <c r="O3076" s="20">
        <v>0</v>
      </c>
      <c r="P3076" s="20">
        <v>0</v>
      </c>
      <c r="Q3076" s="20">
        <v>0</v>
      </c>
      <c r="R3076" s="21">
        <v>0.92</v>
      </c>
      <c r="S3076" s="20">
        <v>0</v>
      </c>
    </row>
    <row r="3077" spans="2:19" ht="15" customHeight="1" x14ac:dyDescent="0.25">
      <c r="B3077" s="2" t="str">
        <f t="shared" si="94"/>
        <v>NSG_Business_Small/Mid-Size Business_Rebates_Pipe Insulation_Steam Med Valve_CI</v>
      </c>
      <c r="C3077" s="2" t="str">
        <f t="shared" si="95"/>
        <v>NSG_Business_Small/Mid-Size Business_Rebates_Pipe Insulation_Steam Med Valve_CI_2022</v>
      </c>
      <c r="D3077" s="19" t="s">
        <v>1787</v>
      </c>
      <c r="E3077" s="19" t="s">
        <v>3</v>
      </c>
      <c r="F3077" s="19" t="s">
        <v>1432</v>
      </c>
      <c r="G3077" s="19" t="s">
        <v>1429</v>
      </c>
      <c r="H3077" s="19" t="s">
        <v>404</v>
      </c>
      <c r="I3077" s="19" t="s">
        <v>966</v>
      </c>
      <c r="J3077" s="19">
        <v>0</v>
      </c>
      <c r="K3077" s="19" t="s">
        <v>1159</v>
      </c>
      <c r="L3077" s="19">
        <v>2022</v>
      </c>
      <c r="M3077" s="20">
        <v>1</v>
      </c>
      <c r="N3077" s="19" t="s">
        <v>1798</v>
      </c>
      <c r="O3077" s="20">
        <v>0</v>
      </c>
      <c r="P3077" s="20">
        <v>0</v>
      </c>
      <c r="Q3077" s="20">
        <v>0</v>
      </c>
      <c r="R3077" s="21">
        <v>0.92</v>
      </c>
      <c r="S3077" s="20">
        <v>0</v>
      </c>
    </row>
    <row r="3078" spans="2:19" ht="15" customHeight="1" x14ac:dyDescent="0.25">
      <c r="B3078" s="2" t="str">
        <f t="shared" ref="B3078:B3141" si="96">D3078&amp;"_"&amp;E3078&amp;"_"&amp;F3078&amp;"_"&amp;G3078&amp;"_"&amp;H3078&amp;"_"&amp;I3078&amp;"_"&amp;K3078</f>
        <v>NSG_Business_Small/Mid-Size Business_Rebates_Pipe Insulation_Steam Med Valve_CI</v>
      </c>
      <c r="C3078" s="2" t="str">
        <f t="shared" ref="C3078:C3141" si="97">D3078&amp;"_"&amp;E3078&amp;"_"&amp;F3078&amp;"_"&amp;G3078&amp;"_"&amp;H3078&amp;"_"&amp;I3078&amp;"_"&amp;K3078&amp;"_"&amp;L3078</f>
        <v>NSG_Business_Small/Mid-Size Business_Rebates_Pipe Insulation_Steam Med Valve_CI_2023</v>
      </c>
      <c r="D3078" s="19" t="s">
        <v>1787</v>
      </c>
      <c r="E3078" s="19" t="s">
        <v>3</v>
      </c>
      <c r="F3078" s="19" t="s">
        <v>1432</v>
      </c>
      <c r="G3078" s="19" t="s">
        <v>1429</v>
      </c>
      <c r="H3078" s="19" t="s">
        <v>404</v>
      </c>
      <c r="I3078" s="19" t="s">
        <v>966</v>
      </c>
      <c r="J3078" s="19">
        <v>0</v>
      </c>
      <c r="K3078" s="19" t="s">
        <v>1159</v>
      </c>
      <c r="L3078" s="19">
        <v>2023</v>
      </c>
      <c r="M3078" s="20">
        <v>1</v>
      </c>
      <c r="N3078" s="19" t="s">
        <v>1798</v>
      </c>
      <c r="O3078" s="20">
        <v>0</v>
      </c>
      <c r="P3078" s="20">
        <v>0</v>
      </c>
      <c r="Q3078" s="20">
        <v>0</v>
      </c>
      <c r="R3078" s="21">
        <v>0.92</v>
      </c>
      <c r="S3078" s="20">
        <v>0</v>
      </c>
    </row>
    <row r="3079" spans="2:19" ht="15" customHeight="1" x14ac:dyDescent="0.25">
      <c r="B3079" s="2" t="str">
        <f t="shared" si="96"/>
        <v>NSG_Business_Small/Mid-Size Business_Rebates_Pipe Insulation_Steam Med Valve_CI</v>
      </c>
      <c r="C3079" s="2" t="str">
        <f t="shared" si="97"/>
        <v>NSG_Business_Small/Mid-Size Business_Rebates_Pipe Insulation_Steam Med Valve_CI_2024</v>
      </c>
      <c r="D3079" s="19" t="s">
        <v>1787</v>
      </c>
      <c r="E3079" s="19" t="s">
        <v>3</v>
      </c>
      <c r="F3079" s="19" t="s">
        <v>1432</v>
      </c>
      <c r="G3079" s="19" t="s">
        <v>1429</v>
      </c>
      <c r="H3079" s="19" t="s">
        <v>404</v>
      </c>
      <c r="I3079" s="19" t="s">
        <v>966</v>
      </c>
      <c r="J3079" s="19">
        <v>0</v>
      </c>
      <c r="K3079" s="19" t="s">
        <v>1159</v>
      </c>
      <c r="L3079" s="19">
        <v>2024</v>
      </c>
      <c r="M3079" s="20">
        <v>1</v>
      </c>
      <c r="N3079" s="19" t="s">
        <v>1798</v>
      </c>
      <c r="O3079" s="20">
        <v>0</v>
      </c>
      <c r="P3079" s="20">
        <v>0</v>
      </c>
      <c r="Q3079" s="20">
        <v>0</v>
      </c>
      <c r="R3079" s="21">
        <v>0.92</v>
      </c>
      <c r="S3079" s="20">
        <v>0</v>
      </c>
    </row>
    <row r="3080" spans="2:19" ht="15" customHeight="1" x14ac:dyDescent="0.25">
      <c r="B3080" s="2" t="str">
        <f t="shared" si="96"/>
        <v>NSG_Business_Small/Mid-Size Business_Rebates_Pipe Insulation_Steam Med Valve_CI</v>
      </c>
      <c r="C3080" s="2" t="str">
        <f t="shared" si="97"/>
        <v>NSG_Business_Small/Mid-Size Business_Rebates_Pipe Insulation_Steam Med Valve_CI_2025</v>
      </c>
      <c r="D3080" s="19" t="s">
        <v>1787</v>
      </c>
      <c r="E3080" s="19" t="s">
        <v>3</v>
      </c>
      <c r="F3080" s="19" t="s">
        <v>1432</v>
      </c>
      <c r="G3080" s="19" t="s">
        <v>1429</v>
      </c>
      <c r="H3080" s="19" t="s">
        <v>404</v>
      </c>
      <c r="I3080" s="19" t="s">
        <v>966</v>
      </c>
      <c r="J3080" s="19">
        <v>0</v>
      </c>
      <c r="K3080" s="19" t="s">
        <v>1159</v>
      </c>
      <c r="L3080" s="19">
        <v>2025</v>
      </c>
      <c r="M3080" s="20">
        <v>1</v>
      </c>
      <c r="N3080" s="19" t="s">
        <v>1798</v>
      </c>
      <c r="O3080" s="20">
        <v>0</v>
      </c>
      <c r="P3080" s="20">
        <v>0</v>
      </c>
      <c r="Q3080" s="20">
        <v>0</v>
      </c>
      <c r="R3080" s="21">
        <v>0.92</v>
      </c>
      <c r="S3080" s="20">
        <v>0</v>
      </c>
    </row>
    <row r="3081" spans="2:19" ht="15" customHeight="1" x14ac:dyDescent="0.25">
      <c r="B3081" s="2" t="str">
        <f t="shared" si="96"/>
        <v>NSG_Business_Small/Mid-Size Business_Rebates_Pipe Insulation_Steam Large Valve_CI</v>
      </c>
      <c r="C3081" s="2" t="str">
        <f t="shared" si="97"/>
        <v>NSG_Business_Small/Mid-Size Business_Rebates_Pipe Insulation_Steam Large Valve_CI_2022</v>
      </c>
      <c r="D3081" s="19" t="s">
        <v>1787</v>
      </c>
      <c r="E3081" s="19" t="s">
        <v>3</v>
      </c>
      <c r="F3081" s="19" t="s">
        <v>1432</v>
      </c>
      <c r="G3081" s="19" t="s">
        <v>1429</v>
      </c>
      <c r="H3081" s="19" t="s">
        <v>404</v>
      </c>
      <c r="I3081" s="19" t="s">
        <v>967</v>
      </c>
      <c r="J3081" s="19">
        <v>0</v>
      </c>
      <c r="K3081" s="19" t="s">
        <v>1159</v>
      </c>
      <c r="L3081" s="19">
        <v>2022</v>
      </c>
      <c r="M3081" s="20">
        <v>1</v>
      </c>
      <c r="N3081" s="19" t="s">
        <v>1798</v>
      </c>
      <c r="O3081" s="20">
        <v>0</v>
      </c>
      <c r="P3081" s="20">
        <v>0</v>
      </c>
      <c r="Q3081" s="20">
        <v>0</v>
      </c>
      <c r="R3081" s="21">
        <v>0.92</v>
      </c>
      <c r="S3081" s="20">
        <v>0</v>
      </c>
    </row>
    <row r="3082" spans="2:19" ht="15" customHeight="1" x14ac:dyDescent="0.25">
      <c r="B3082" s="2" t="str">
        <f t="shared" si="96"/>
        <v>NSG_Business_Small/Mid-Size Business_Rebates_Pipe Insulation_Steam Large Valve_CI</v>
      </c>
      <c r="C3082" s="2" t="str">
        <f t="shared" si="97"/>
        <v>NSG_Business_Small/Mid-Size Business_Rebates_Pipe Insulation_Steam Large Valve_CI_2023</v>
      </c>
      <c r="D3082" s="19" t="s">
        <v>1787</v>
      </c>
      <c r="E3082" s="19" t="s">
        <v>3</v>
      </c>
      <c r="F3082" s="19" t="s">
        <v>1432</v>
      </c>
      <c r="G3082" s="19" t="s">
        <v>1429</v>
      </c>
      <c r="H3082" s="19" t="s">
        <v>404</v>
      </c>
      <c r="I3082" s="19" t="s">
        <v>967</v>
      </c>
      <c r="J3082" s="19">
        <v>0</v>
      </c>
      <c r="K3082" s="19" t="s">
        <v>1159</v>
      </c>
      <c r="L3082" s="19">
        <v>2023</v>
      </c>
      <c r="M3082" s="20">
        <v>1</v>
      </c>
      <c r="N3082" s="19" t="s">
        <v>1798</v>
      </c>
      <c r="O3082" s="20">
        <v>0</v>
      </c>
      <c r="P3082" s="20">
        <v>0</v>
      </c>
      <c r="Q3082" s="20">
        <v>0</v>
      </c>
      <c r="R3082" s="21">
        <v>0.92</v>
      </c>
      <c r="S3082" s="20">
        <v>0</v>
      </c>
    </row>
    <row r="3083" spans="2:19" ht="15" customHeight="1" x14ac:dyDescent="0.25">
      <c r="B3083" s="2" t="str">
        <f t="shared" si="96"/>
        <v>NSG_Business_Small/Mid-Size Business_Rebates_Pipe Insulation_Steam Large Valve_CI</v>
      </c>
      <c r="C3083" s="2" t="str">
        <f t="shared" si="97"/>
        <v>NSG_Business_Small/Mid-Size Business_Rebates_Pipe Insulation_Steam Large Valve_CI_2024</v>
      </c>
      <c r="D3083" s="19" t="s">
        <v>1787</v>
      </c>
      <c r="E3083" s="19" t="s">
        <v>3</v>
      </c>
      <c r="F3083" s="19" t="s">
        <v>1432</v>
      </c>
      <c r="G3083" s="19" t="s">
        <v>1429</v>
      </c>
      <c r="H3083" s="19" t="s">
        <v>404</v>
      </c>
      <c r="I3083" s="19" t="s">
        <v>967</v>
      </c>
      <c r="J3083" s="19">
        <v>0</v>
      </c>
      <c r="K3083" s="19" t="s">
        <v>1159</v>
      </c>
      <c r="L3083" s="19">
        <v>2024</v>
      </c>
      <c r="M3083" s="20">
        <v>1</v>
      </c>
      <c r="N3083" s="19" t="s">
        <v>1798</v>
      </c>
      <c r="O3083" s="20">
        <v>0</v>
      </c>
      <c r="P3083" s="20">
        <v>0</v>
      </c>
      <c r="Q3083" s="20">
        <v>0</v>
      </c>
      <c r="R3083" s="21">
        <v>0.92</v>
      </c>
      <c r="S3083" s="20">
        <v>0</v>
      </c>
    </row>
    <row r="3084" spans="2:19" ht="15" customHeight="1" x14ac:dyDescent="0.25">
      <c r="B3084" s="2" t="str">
        <f t="shared" si="96"/>
        <v>NSG_Business_Small/Mid-Size Business_Rebates_Pipe Insulation_Steam Large Valve_CI</v>
      </c>
      <c r="C3084" s="2" t="str">
        <f t="shared" si="97"/>
        <v>NSG_Business_Small/Mid-Size Business_Rebates_Pipe Insulation_Steam Large Valve_CI_2025</v>
      </c>
      <c r="D3084" s="19" t="s">
        <v>1787</v>
      </c>
      <c r="E3084" s="19" t="s">
        <v>3</v>
      </c>
      <c r="F3084" s="19" t="s">
        <v>1432</v>
      </c>
      <c r="G3084" s="19" t="s">
        <v>1429</v>
      </c>
      <c r="H3084" s="19" t="s">
        <v>404</v>
      </c>
      <c r="I3084" s="19" t="s">
        <v>967</v>
      </c>
      <c r="J3084" s="19">
        <v>0</v>
      </c>
      <c r="K3084" s="19" t="s">
        <v>1159</v>
      </c>
      <c r="L3084" s="19">
        <v>2025</v>
      </c>
      <c r="M3084" s="20">
        <v>1</v>
      </c>
      <c r="N3084" s="19" t="s">
        <v>1798</v>
      </c>
      <c r="O3084" s="20">
        <v>0</v>
      </c>
      <c r="P3084" s="20">
        <v>0</v>
      </c>
      <c r="Q3084" s="20">
        <v>0</v>
      </c>
      <c r="R3084" s="21">
        <v>0.92</v>
      </c>
      <c r="S3084" s="20">
        <v>0</v>
      </c>
    </row>
    <row r="3085" spans="2:19" ht="15" customHeight="1" x14ac:dyDescent="0.25">
      <c r="B3085" s="2" t="str">
        <f t="shared" si="96"/>
        <v>NSG_Business_Small/Mid-Size Business_Rebates_Pipe Insulation_Steam X-Large Valve_CI</v>
      </c>
      <c r="C3085" s="2" t="str">
        <f t="shared" si="97"/>
        <v>NSG_Business_Small/Mid-Size Business_Rebates_Pipe Insulation_Steam X-Large Valve_CI_2022</v>
      </c>
      <c r="D3085" s="19" t="s">
        <v>1787</v>
      </c>
      <c r="E3085" s="19" t="s">
        <v>3</v>
      </c>
      <c r="F3085" s="19" t="s">
        <v>1432</v>
      </c>
      <c r="G3085" s="19" t="s">
        <v>1429</v>
      </c>
      <c r="H3085" s="19" t="s">
        <v>404</v>
      </c>
      <c r="I3085" s="19" t="s">
        <v>968</v>
      </c>
      <c r="J3085" s="19">
        <v>0</v>
      </c>
      <c r="K3085" s="19" t="s">
        <v>1159</v>
      </c>
      <c r="L3085" s="19">
        <v>2022</v>
      </c>
      <c r="M3085" s="20">
        <v>1</v>
      </c>
      <c r="N3085" s="19" t="s">
        <v>1798</v>
      </c>
      <c r="O3085" s="20">
        <v>0</v>
      </c>
      <c r="P3085" s="20">
        <v>0</v>
      </c>
      <c r="Q3085" s="20">
        <v>0</v>
      </c>
      <c r="R3085" s="21">
        <v>0.92</v>
      </c>
      <c r="S3085" s="20">
        <v>0</v>
      </c>
    </row>
    <row r="3086" spans="2:19" ht="15" customHeight="1" x14ac:dyDescent="0.25">
      <c r="B3086" s="2" t="str">
        <f t="shared" si="96"/>
        <v>NSG_Business_Small/Mid-Size Business_Rebates_Pipe Insulation_Steam X-Large Valve_CI</v>
      </c>
      <c r="C3086" s="2" t="str">
        <f t="shared" si="97"/>
        <v>NSG_Business_Small/Mid-Size Business_Rebates_Pipe Insulation_Steam X-Large Valve_CI_2023</v>
      </c>
      <c r="D3086" s="19" t="s">
        <v>1787</v>
      </c>
      <c r="E3086" s="19" t="s">
        <v>3</v>
      </c>
      <c r="F3086" s="19" t="s">
        <v>1432</v>
      </c>
      <c r="G3086" s="19" t="s">
        <v>1429</v>
      </c>
      <c r="H3086" s="19" t="s">
        <v>404</v>
      </c>
      <c r="I3086" s="19" t="s">
        <v>968</v>
      </c>
      <c r="J3086" s="19">
        <v>0</v>
      </c>
      <c r="K3086" s="19" t="s">
        <v>1159</v>
      </c>
      <c r="L3086" s="19">
        <v>2023</v>
      </c>
      <c r="M3086" s="20">
        <v>1</v>
      </c>
      <c r="N3086" s="19" t="s">
        <v>1798</v>
      </c>
      <c r="O3086" s="20">
        <v>0</v>
      </c>
      <c r="P3086" s="20">
        <v>0</v>
      </c>
      <c r="Q3086" s="20">
        <v>0</v>
      </c>
      <c r="R3086" s="21">
        <v>0.92</v>
      </c>
      <c r="S3086" s="20">
        <v>0</v>
      </c>
    </row>
    <row r="3087" spans="2:19" ht="15" customHeight="1" x14ac:dyDescent="0.25">
      <c r="B3087" s="2" t="str">
        <f t="shared" si="96"/>
        <v>NSG_Business_Small/Mid-Size Business_Rebates_Pipe Insulation_Steam X-Large Valve_CI</v>
      </c>
      <c r="C3087" s="2" t="str">
        <f t="shared" si="97"/>
        <v>NSG_Business_Small/Mid-Size Business_Rebates_Pipe Insulation_Steam X-Large Valve_CI_2024</v>
      </c>
      <c r="D3087" s="19" t="s">
        <v>1787</v>
      </c>
      <c r="E3087" s="19" t="s">
        <v>3</v>
      </c>
      <c r="F3087" s="19" t="s">
        <v>1432</v>
      </c>
      <c r="G3087" s="19" t="s">
        <v>1429</v>
      </c>
      <c r="H3087" s="19" t="s">
        <v>404</v>
      </c>
      <c r="I3087" s="19" t="s">
        <v>968</v>
      </c>
      <c r="J3087" s="19">
        <v>0</v>
      </c>
      <c r="K3087" s="19" t="s">
        <v>1159</v>
      </c>
      <c r="L3087" s="19">
        <v>2024</v>
      </c>
      <c r="M3087" s="20">
        <v>1</v>
      </c>
      <c r="N3087" s="19" t="s">
        <v>1798</v>
      </c>
      <c r="O3087" s="20">
        <v>0</v>
      </c>
      <c r="P3087" s="20">
        <v>0</v>
      </c>
      <c r="Q3087" s="20">
        <v>0</v>
      </c>
      <c r="R3087" s="21">
        <v>0.92</v>
      </c>
      <c r="S3087" s="20">
        <v>0</v>
      </c>
    </row>
    <row r="3088" spans="2:19" ht="15" customHeight="1" x14ac:dyDescent="0.25">
      <c r="B3088" s="2" t="str">
        <f t="shared" si="96"/>
        <v>NSG_Business_Small/Mid-Size Business_Rebates_Pipe Insulation_Steam X-Large Valve_CI</v>
      </c>
      <c r="C3088" s="2" t="str">
        <f t="shared" si="97"/>
        <v>NSG_Business_Small/Mid-Size Business_Rebates_Pipe Insulation_Steam X-Large Valve_CI_2025</v>
      </c>
      <c r="D3088" s="19" t="s">
        <v>1787</v>
      </c>
      <c r="E3088" s="19" t="s">
        <v>3</v>
      </c>
      <c r="F3088" s="19" t="s">
        <v>1432</v>
      </c>
      <c r="G3088" s="19" t="s">
        <v>1429</v>
      </c>
      <c r="H3088" s="19" t="s">
        <v>404</v>
      </c>
      <c r="I3088" s="19" t="s">
        <v>968</v>
      </c>
      <c r="J3088" s="19">
        <v>0</v>
      </c>
      <c r="K3088" s="19" t="s">
        <v>1159</v>
      </c>
      <c r="L3088" s="19">
        <v>2025</v>
      </c>
      <c r="M3088" s="20">
        <v>1</v>
      </c>
      <c r="N3088" s="19" t="s">
        <v>1798</v>
      </c>
      <c r="O3088" s="20">
        <v>0</v>
      </c>
      <c r="P3088" s="20">
        <v>0</v>
      </c>
      <c r="Q3088" s="20">
        <v>0</v>
      </c>
      <c r="R3088" s="21">
        <v>0.92</v>
      </c>
      <c r="S3088" s="20">
        <v>0</v>
      </c>
    </row>
    <row r="3089" spans="2:19" ht="15" customHeight="1" x14ac:dyDescent="0.25">
      <c r="B3089" s="2" t="str">
        <f t="shared" si="96"/>
        <v>NSG_Business_Small/Mid-Size Business_Rebates_Pre-Rinse Sprayer_0_SMB</v>
      </c>
      <c r="C3089" s="2" t="str">
        <f t="shared" si="97"/>
        <v>NSG_Business_Small/Mid-Size Business_Rebates_Pre-Rinse Sprayer_0_SMB_2022</v>
      </c>
      <c r="D3089" s="19" t="s">
        <v>1787</v>
      </c>
      <c r="E3089" s="19" t="s">
        <v>3</v>
      </c>
      <c r="F3089" s="19" t="s">
        <v>1432</v>
      </c>
      <c r="G3089" s="19" t="s">
        <v>1429</v>
      </c>
      <c r="H3089" s="19" t="s">
        <v>1219</v>
      </c>
      <c r="I3089" s="19">
        <v>0</v>
      </c>
      <c r="J3089" s="19" t="s">
        <v>43</v>
      </c>
      <c r="K3089" s="19" t="s">
        <v>1220</v>
      </c>
      <c r="L3089" s="19">
        <v>2022</v>
      </c>
      <c r="M3089" s="20">
        <v>1</v>
      </c>
      <c r="N3089" s="19" t="s">
        <v>1798</v>
      </c>
      <c r="O3089" s="20">
        <v>0</v>
      </c>
      <c r="P3089" s="20">
        <v>0</v>
      </c>
      <c r="Q3089" s="20">
        <v>0</v>
      </c>
      <c r="R3089" s="21">
        <v>0.92</v>
      </c>
      <c r="S3089" s="20">
        <v>0</v>
      </c>
    </row>
    <row r="3090" spans="2:19" ht="15" customHeight="1" x14ac:dyDescent="0.25">
      <c r="B3090" s="2" t="str">
        <f t="shared" si="96"/>
        <v>NSG_Business_Small/Mid-Size Business_Rebates_Pre-Rinse Sprayer_0_SMB</v>
      </c>
      <c r="C3090" s="2" t="str">
        <f t="shared" si="97"/>
        <v>NSG_Business_Small/Mid-Size Business_Rebates_Pre-Rinse Sprayer_0_SMB_2023</v>
      </c>
      <c r="D3090" s="19" t="s">
        <v>1787</v>
      </c>
      <c r="E3090" s="19" t="s">
        <v>3</v>
      </c>
      <c r="F3090" s="19" t="s">
        <v>1432</v>
      </c>
      <c r="G3090" s="19" t="s">
        <v>1429</v>
      </c>
      <c r="H3090" s="19" t="s">
        <v>1219</v>
      </c>
      <c r="I3090" s="19">
        <v>0</v>
      </c>
      <c r="J3090" s="19" t="s">
        <v>43</v>
      </c>
      <c r="K3090" s="19" t="s">
        <v>1220</v>
      </c>
      <c r="L3090" s="19">
        <v>2023</v>
      </c>
      <c r="M3090" s="20">
        <v>1</v>
      </c>
      <c r="N3090" s="19" t="s">
        <v>1798</v>
      </c>
      <c r="O3090" s="20">
        <v>0</v>
      </c>
      <c r="P3090" s="20">
        <v>0</v>
      </c>
      <c r="Q3090" s="20">
        <v>0</v>
      </c>
      <c r="R3090" s="21">
        <v>0.92</v>
      </c>
      <c r="S3090" s="20">
        <v>0</v>
      </c>
    </row>
    <row r="3091" spans="2:19" ht="15" customHeight="1" x14ac:dyDescent="0.25">
      <c r="B3091" s="2" t="str">
        <f t="shared" si="96"/>
        <v>NSG_Business_Small/Mid-Size Business_Rebates_Pre-Rinse Sprayer_0_SMB</v>
      </c>
      <c r="C3091" s="2" t="str">
        <f t="shared" si="97"/>
        <v>NSG_Business_Small/Mid-Size Business_Rebates_Pre-Rinse Sprayer_0_SMB_2024</v>
      </c>
      <c r="D3091" s="19" t="s">
        <v>1787</v>
      </c>
      <c r="E3091" s="19" t="s">
        <v>3</v>
      </c>
      <c r="F3091" s="19" t="s">
        <v>1432</v>
      </c>
      <c r="G3091" s="19" t="s">
        <v>1429</v>
      </c>
      <c r="H3091" s="19" t="s">
        <v>1219</v>
      </c>
      <c r="I3091" s="19">
        <v>0</v>
      </c>
      <c r="J3091" s="19" t="s">
        <v>43</v>
      </c>
      <c r="K3091" s="19" t="s">
        <v>1220</v>
      </c>
      <c r="L3091" s="19">
        <v>2024</v>
      </c>
      <c r="M3091" s="20">
        <v>1</v>
      </c>
      <c r="N3091" s="19" t="s">
        <v>1798</v>
      </c>
      <c r="O3091" s="20">
        <v>0</v>
      </c>
      <c r="P3091" s="20">
        <v>0</v>
      </c>
      <c r="Q3091" s="20">
        <v>0</v>
      </c>
      <c r="R3091" s="21">
        <v>0.92</v>
      </c>
      <c r="S3091" s="20">
        <v>0</v>
      </c>
    </row>
    <row r="3092" spans="2:19" ht="15" customHeight="1" x14ac:dyDescent="0.25">
      <c r="B3092" s="2" t="str">
        <f t="shared" si="96"/>
        <v>NSG_Business_Small/Mid-Size Business_Rebates_Pre-Rinse Sprayer_0_SMB</v>
      </c>
      <c r="C3092" s="2" t="str">
        <f t="shared" si="97"/>
        <v>NSG_Business_Small/Mid-Size Business_Rebates_Pre-Rinse Sprayer_0_SMB_2025</v>
      </c>
      <c r="D3092" s="19" t="s">
        <v>1787</v>
      </c>
      <c r="E3092" s="19" t="s">
        <v>3</v>
      </c>
      <c r="F3092" s="19" t="s">
        <v>1432</v>
      </c>
      <c r="G3092" s="19" t="s">
        <v>1429</v>
      </c>
      <c r="H3092" s="19" t="s">
        <v>1219</v>
      </c>
      <c r="I3092" s="19">
        <v>0</v>
      </c>
      <c r="J3092" s="19" t="s">
        <v>43</v>
      </c>
      <c r="K3092" s="19" t="s">
        <v>1220</v>
      </c>
      <c r="L3092" s="19">
        <v>2025</v>
      </c>
      <c r="M3092" s="20">
        <v>1</v>
      </c>
      <c r="N3092" s="19" t="s">
        <v>1798</v>
      </c>
      <c r="O3092" s="20">
        <v>0</v>
      </c>
      <c r="P3092" s="20">
        <v>0</v>
      </c>
      <c r="Q3092" s="20">
        <v>0</v>
      </c>
      <c r="R3092" s="21">
        <v>0.92</v>
      </c>
      <c r="S3092" s="20">
        <v>0</v>
      </c>
    </row>
    <row r="3093" spans="2:19" ht="15" customHeight="1" x14ac:dyDescent="0.25">
      <c r="B3093" s="2" t="str">
        <f t="shared" si="96"/>
        <v>NSG_Business_Small/Mid-Size Business_Rebates_Steam Boiler_&gt;=300MBH, &lt;1,500, &gt;=81% AFUE_CI</v>
      </c>
      <c r="C3093" s="2" t="str">
        <f t="shared" si="97"/>
        <v>NSG_Business_Small/Mid-Size Business_Rebates_Steam Boiler_&gt;=300MBH, &lt;1,500, &gt;=81% AFUE_CI_2022</v>
      </c>
      <c r="D3093" s="19" t="s">
        <v>1787</v>
      </c>
      <c r="E3093" s="19" t="s">
        <v>3</v>
      </c>
      <c r="F3093" s="19" t="s">
        <v>1432</v>
      </c>
      <c r="G3093" s="19" t="s">
        <v>1429</v>
      </c>
      <c r="H3093" s="19" t="s">
        <v>938</v>
      </c>
      <c r="I3093" s="19" t="s">
        <v>1300</v>
      </c>
      <c r="J3093" s="19" t="s">
        <v>942</v>
      </c>
      <c r="K3093" s="19" t="s">
        <v>1159</v>
      </c>
      <c r="L3093" s="19">
        <v>2022</v>
      </c>
      <c r="M3093" s="20">
        <v>500</v>
      </c>
      <c r="N3093" s="19" t="s">
        <v>667</v>
      </c>
      <c r="O3093" s="20">
        <v>2</v>
      </c>
      <c r="P3093" s="20">
        <v>1000</v>
      </c>
      <c r="Q3093" s="20">
        <v>666.10358974358803</v>
      </c>
      <c r="R3093" s="21">
        <v>0.92</v>
      </c>
      <c r="S3093" s="20">
        <v>666.10358974358803</v>
      </c>
    </row>
    <row r="3094" spans="2:19" ht="15" customHeight="1" x14ac:dyDescent="0.25">
      <c r="B3094" s="2" t="str">
        <f t="shared" si="96"/>
        <v>NSG_Business_Small/Mid-Size Business_Rebates_Steam Boiler_&gt;=300MBH, &lt;1,500, &gt;=81% AFUE_CI</v>
      </c>
      <c r="C3094" s="2" t="str">
        <f t="shared" si="97"/>
        <v>NSG_Business_Small/Mid-Size Business_Rebates_Steam Boiler_&gt;=300MBH, &lt;1,500, &gt;=81% AFUE_CI_2023</v>
      </c>
      <c r="D3094" s="19" t="s">
        <v>1787</v>
      </c>
      <c r="E3094" s="19" t="s">
        <v>3</v>
      </c>
      <c r="F3094" s="19" t="s">
        <v>1432</v>
      </c>
      <c r="G3094" s="19" t="s">
        <v>1429</v>
      </c>
      <c r="H3094" s="19" t="s">
        <v>938</v>
      </c>
      <c r="I3094" s="19" t="s">
        <v>1300</v>
      </c>
      <c r="J3094" s="19" t="s">
        <v>942</v>
      </c>
      <c r="K3094" s="19" t="s">
        <v>1159</v>
      </c>
      <c r="L3094" s="19">
        <v>2023</v>
      </c>
      <c r="M3094" s="20">
        <v>500</v>
      </c>
      <c r="N3094" s="19" t="s">
        <v>667</v>
      </c>
      <c r="O3094" s="20">
        <v>2</v>
      </c>
      <c r="P3094" s="20">
        <v>1000</v>
      </c>
      <c r="Q3094" s="20">
        <v>666.10358974358803</v>
      </c>
      <c r="R3094" s="21">
        <v>0.92</v>
      </c>
      <c r="S3094" s="20">
        <v>666.10358974358803</v>
      </c>
    </row>
    <row r="3095" spans="2:19" ht="15" customHeight="1" x14ac:dyDescent="0.25">
      <c r="B3095" s="2" t="str">
        <f t="shared" si="96"/>
        <v>NSG_Business_Small/Mid-Size Business_Rebates_Steam Boiler_&gt;=300MBH, &lt;1,500, &gt;=81% AFUE_CI</v>
      </c>
      <c r="C3095" s="2" t="str">
        <f t="shared" si="97"/>
        <v>NSG_Business_Small/Mid-Size Business_Rebates_Steam Boiler_&gt;=300MBH, &lt;1,500, &gt;=81% AFUE_CI_2024</v>
      </c>
      <c r="D3095" s="19" t="s">
        <v>1787</v>
      </c>
      <c r="E3095" s="19" t="s">
        <v>3</v>
      </c>
      <c r="F3095" s="19" t="s">
        <v>1432</v>
      </c>
      <c r="G3095" s="19" t="s">
        <v>1429</v>
      </c>
      <c r="H3095" s="19" t="s">
        <v>938</v>
      </c>
      <c r="I3095" s="19" t="s">
        <v>1300</v>
      </c>
      <c r="J3095" s="19" t="s">
        <v>942</v>
      </c>
      <c r="K3095" s="19" t="s">
        <v>1159</v>
      </c>
      <c r="L3095" s="19">
        <v>2024</v>
      </c>
      <c r="M3095" s="20">
        <v>500</v>
      </c>
      <c r="N3095" s="19" t="s">
        <v>667</v>
      </c>
      <c r="O3095" s="20">
        <v>2</v>
      </c>
      <c r="P3095" s="20">
        <v>1000</v>
      </c>
      <c r="Q3095" s="20">
        <v>666.10358974358803</v>
      </c>
      <c r="R3095" s="21">
        <v>0.92</v>
      </c>
      <c r="S3095" s="20">
        <v>666.10358974358803</v>
      </c>
    </row>
    <row r="3096" spans="2:19" ht="15" customHeight="1" x14ac:dyDescent="0.25">
      <c r="B3096" s="2" t="str">
        <f t="shared" si="96"/>
        <v>NSG_Business_Small/Mid-Size Business_Rebates_Steam Boiler_&gt;=300MBH, &lt;1,500, &gt;=81% AFUE_CI</v>
      </c>
      <c r="C3096" s="2" t="str">
        <f t="shared" si="97"/>
        <v>NSG_Business_Small/Mid-Size Business_Rebates_Steam Boiler_&gt;=300MBH, &lt;1,500, &gt;=81% AFUE_CI_2025</v>
      </c>
      <c r="D3096" s="19" t="s">
        <v>1787</v>
      </c>
      <c r="E3096" s="19" t="s">
        <v>3</v>
      </c>
      <c r="F3096" s="19" t="s">
        <v>1432</v>
      </c>
      <c r="G3096" s="19" t="s">
        <v>1429</v>
      </c>
      <c r="H3096" s="19" t="s">
        <v>938</v>
      </c>
      <c r="I3096" s="19" t="s">
        <v>1300</v>
      </c>
      <c r="J3096" s="19" t="s">
        <v>942</v>
      </c>
      <c r="K3096" s="19" t="s">
        <v>1159</v>
      </c>
      <c r="L3096" s="19">
        <v>2025</v>
      </c>
      <c r="M3096" s="20">
        <v>500</v>
      </c>
      <c r="N3096" s="19" t="s">
        <v>667</v>
      </c>
      <c r="O3096" s="20">
        <v>2</v>
      </c>
      <c r="P3096" s="20">
        <v>1000</v>
      </c>
      <c r="Q3096" s="20">
        <v>666.10358974358803</v>
      </c>
      <c r="R3096" s="21">
        <v>0.92</v>
      </c>
      <c r="S3096" s="20">
        <v>666.10358974358803</v>
      </c>
    </row>
    <row r="3097" spans="2:19" ht="15" customHeight="1" x14ac:dyDescent="0.25">
      <c r="B3097" s="2" t="str">
        <f t="shared" si="96"/>
        <v>NSG_Business_Small/Mid-Size Business_Rebates_Steam Traps_Dry Cleaner/Industrial - No Audit_MF/CI/SMB</v>
      </c>
      <c r="C3097" s="2" t="str">
        <f t="shared" si="97"/>
        <v>NSG_Business_Small/Mid-Size Business_Rebates_Steam Traps_Dry Cleaner/Industrial - No Audit_MF/CI/SMB_2022</v>
      </c>
      <c r="D3097" s="19" t="s">
        <v>1787</v>
      </c>
      <c r="E3097" s="19" t="s">
        <v>3</v>
      </c>
      <c r="F3097" s="19" t="s">
        <v>1432</v>
      </c>
      <c r="G3097" s="19" t="s">
        <v>1429</v>
      </c>
      <c r="H3097" s="19" t="s">
        <v>644</v>
      </c>
      <c r="I3097" s="19" t="s">
        <v>1274</v>
      </c>
      <c r="J3097" s="19" t="s">
        <v>37</v>
      </c>
      <c r="K3097" s="19" t="s">
        <v>662</v>
      </c>
      <c r="L3097" s="19">
        <v>2022</v>
      </c>
      <c r="M3097" s="20">
        <v>1</v>
      </c>
      <c r="N3097" s="19" t="s">
        <v>1798</v>
      </c>
      <c r="O3097" s="20">
        <v>0</v>
      </c>
      <c r="P3097" s="20">
        <v>0</v>
      </c>
      <c r="Q3097" s="20">
        <v>0</v>
      </c>
      <c r="R3097" s="21">
        <v>0.92</v>
      </c>
      <c r="S3097" s="20">
        <v>0</v>
      </c>
    </row>
    <row r="3098" spans="2:19" ht="15" customHeight="1" x14ac:dyDescent="0.25">
      <c r="B3098" s="2" t="str">
        <f t="shared" si="96"/>
        <v>NSG_Business_Small/Mid-Size Business_Rebates_Steam Traps_Dry Cleaner/Industrial - No Audit_MF/CI/SMB</v>
      </c>
      <c r="C3098" s="2" t="str">
        <f t="shared" si="97"/>
        <v>NSG_Business_Small/Mid-Size Business_Rebates_Steam Traps_Dry Cleaner/Industrial - No Audit_MF/CI/SMB_2023</v>
      </c>
      <c r="D3098" s="19" t="s">
        <v>1787</v>
      </c>
      <c r="E3098" s="19" t="s">
        <v>3</v>
      </c>
      <c r="F3098" s="19" t="s">
        <v>1432</v>
      </c>
      <c r="G3098" s="19" t="s">
        <v>1429</v>
      </c>
      <c r="H3098" s="19" t="s">
        <v>644</v>
      </c>
      <c r="I3098" s="19" t="s">
        <v>1274</v>
      </c>
      <c r="J3098" s="19" t="s">
        <v>37</v>
      </c>
      <c r="K3098" s="19" t="s">
        <v>662</v>
      </c>
      <c r="L3098" s="19">
        <v>2023</v>
      </c>
      <c r="M3098" s="20">
        <v>1</v>
      </c>
      <c r="N3098" s="19" t="s">
        <v>1798</v>
      </c>
      <c r="O3098" s="20">
        <v>0</v>
      </c>
      <c r="P3098" s="20">
        <v>0</v>
      </c>
      <c r="Q3098" s="20">
        <v>0</v>
      </c>
      <c r="R3098" s="21">
        <v>0.92</v>
      </c>
      <c r="S3098" s="20">
        <v>0</v>
      </c>
    </row>
    <row r="3099" spans="2:19" ht="15" customHeight="1" x14ac:dyDescent="0.25">
      <c r="B3099" s="2" t="str">
        <f t="shared" si="96"/>
        <v>NSG_Business_Small/Mid-Size Business_Rebates_Steam Traps_Dry Cleaner/Industrial - No Audit_MF/CI/SMB</v>
      </c>
      <c r="C3099" s="2" t="str">
        <f t="shared" si="97"/>
        <v>NSG_Business_Small/Mid-Size Business_Rebates_Steam Traps_Dry Cleaner/Industrial - No Audit_MF/CI/SMB_2024</v>
      </c>
      <c r="D3099" s="19" t="s">
        <v>1787</v>
      </c>
      <c r="E3099" s="19" t="s">
        <v>3</v>
      </c>
      <c r="F3099" s="19" t="s">
        <v>1432</v>
      </c>
      <c r="G3099" s="19" t="s">
        <v>1429</v>
      </c>
      <c r="H3099" s="19" t="s">
        <v>644</v>
      </c>
      <c r="I3099" s="19" t="s">
        <v>1274</v>
      </c>
      <c r="J3099" s="19" t="s">
        <v>37</v>
      </c>
      <c r="K3099" s="19" t="s">
        <v>662</v>
      </c>
      <c r="L3099" s="19">
        <v>2024</v>
      </c>
      <c r="M3099" s="20">
        <v>1</v>
      </c>
      <c r="N3099" s="19" t="s">
        <v>1798</v>
      </c>
      <c r="O3099" s="20">
        <v>0</v>
      </c>
      <c r="P3099" s="20">
        <v>0</v>
      </c>
      <c r="Q3099" s="20">
        <v>0</v>
      </c>
      <c r="R3099" s="21">
        <v>0.92</v>
      </c>
      <c r="S3099" s="20">
        <v>0</v>
      </c>
    </row>
    <row r="3100" spans="2:19" ht="15" customHeight="1" x14ac:dyDescent="0.25">
      <c r="B3100" s="2" t="str">
        <f t="shared" si="96"/>
        <v>NSG_Business_Small/Mid-Size Business_Rebates_Steam Traps_Dry Cleaner/Industrial - No Audit_MF/CI/SMB</v>
      </c>
      <c r="C3100" s="2" t="str">
        <f t="shared" si="97"/>
        <v>NSG_Business_Small/Mid-Size Business_Rebates_Steam Traps_Dry Cleaner/Industrial - No Audit_MF/CI/SMB_2025</v>
      </c>
      <c r="D3100" s="19" t="s">
        <v>1787</v>
      </c>
      <c r="E3100" s="19" t="s">
        <v>3</v>
      </c>
      <c r="F3100" s="19" t="s">
        <v>1432</v>
      </c>
      <c r="G3100" s="19" t="s">
        <v>1429</v>
      </c>
      <c r="H3100" s="19" t="s">
        <v>644</v>
      </c>
      <c r="I3100" s="19" t="s">
        <v>1274</v>
      </c>
      <c r="J3100" s="19" t="s">
        <v>37</v>
      </c>
      <c r="K3100" s="19" t="s">
        <v>662</v>
      </c>
      <c r="L3100" s="19">
        <v>2025</v>
      </c>
      <c r="M3100" s="20">
        <v>1</v>
      </c>
      <c r="N3100" s="19" t="s">
        <v>1798</v>
      </c>
      <c r="O3100" s="20">
        <v>0</v>
      </c>
      <c r="P3100" s="20">
        <v>0</v>
      </c>
      <c r="Q3100" s="20">
        <v>0</v>
      </c>
      <c r="R3100" s="21">
        <v>0.92</v>
      </c>
      <c r="S3100" s="20">
        <v>0</v>
      </c>
    </row>
    <row r="3101" spans="2:19" ht="15" customHeight="1" x14ac:dyDescent="0.25">
      <c r="B3101" s="2" t="str">
        <f t="shared" si="96"/>
        <v>NSG_Business_Small/Mid-Size Business_Rebates_Steam Traps_Dry Cleaner/Industrial - Audit_MF/CI/SMB</v>
      </c>
      <c r="C3101" s="2" t="str">
        <f t="shared" si="97"/>
        <v>NSG_Business_Small/Mid-Size Business_Rebates_Steam Traps_Dry Cleaner/Industrial - Audit_MF/CI/SMB_2022</v>
      </c>
      <c r="D3101" s="19" t="s">
        <v>1787</v>
      </c>
      <c r="E3101" s="19" t="s">
        <v>3</v>
      </c>
      <c r="F3101" s="19" t="s">
        <v>1432</v>
      </c>
      <c r="G3101" s="19" t="s">
        <v>1429</v>
      </c>
      <c r="H3101" s="19" t="s">
        <v>644</v>
      </c>
      <c r="I3101" s="19" t="s">
        <v>1275</v>
      </c>
      <c r="J3101" s="19" t="s">
        <v>37</v>
      </c>
      <c r="K3101" s="19" t="s">
        <v>662</v>
      </c>
      <c r="L3101" s="19">
        <v>2022</v>
      </c>
      <c r="M3101" s="20">
        <v>1</v>
      </c>
      <c r="N3101" s="19" t="s">
        <v>1798</v>
      </c>
      <c r="O3101" s="20">
        <v>0</v>
      </c>
      <c r="P3101" s="20">
        <v>0</v>
      </c>
      <c r="Q3101" s="20">
        <v>0</v>
      </c>
      <c r="R3101" s="21">
        <v>0.92</v>
      </c>
      <c r="S3101" s="20">
        <v>0</v>
      </c>
    </row>
    <row r="3102" spans="2:19" ht="15" customHeight="1" x14ac:dyDescent="0.25">
      <c r="B3102" s="2" t="str">
        <f t="shared" si="96"/>
        <v>NSG_Business_Small/Mid-Size Business_Rebates_Steam Traps_Dry Cleaner/Industrial - Audit_MF/CI/SMB</v>
      </c>
      <c r="C3102" s="2" t="str">
        <f t="shared" si="97"/>
        <v>NSG_Business_Small/Mid-Size Business_Rebates_Steam Traps_Dry Cleaner/Industrial - Audit_MF/CI/SMB_2023</v>
      </c>
      <c r="D3102" s="19" t="s">
        <v>1787</v>
      </c>
      <c r="E3102" s="19" t="s">
        <v>3</v>
      </c>
      <c r="F3102" s="19" t="s">
        <v>1432</v>
      </c>
      <c r="G3102" s="19" t="s">
        <v>1429</v>
      </c>
      <c r="H3102" s="19" t="s">
        <v>644</v>
      </c>
      <c r="I3102" s="19" t="s">
        <v>1275</v>
      </c>
      <c r="J3102" s="19" t="s">
        <v>37</v>
      </c>
      <c r="K3102" s="19" t="s">
        <v>662</v>
      </c>
      <c r="L3102" s="19">
        <v>2023</v>
      </c>
      <c r="M3102" s="20">
        <v>1</v>
      </c>
      <c r="N3102" s="19" t="s">
        <v>1798</v>
      </c>
      <c r="O3102" s="20">
        <v>0</v>
      </c>
      <c r="P3102" s="20">
        <v>0</v>
      </c>
      <c r="Q3102" s="20">
        <v>0</v>
      </c>
      <c r="R3102" s="21">
        <v>0.92</v>
      </c>
      <c r="S3102" s="20">
        <v>0</v>
      </c>
    </row>
    <row r="3103" spans="2:19" ht="15" customHeight="1" x14ac:dyDescent="0.25">
      <c r="B3103" s="2" t="str">
        <f t="shared" si="96"/>
        <v>NSG_Business_Small/Mid-Size Business_Rebates_Steam Traps_Dry Cleaner/Industrial - Audit_MF/CI/SMB</v>
      </c>
      <c r="C3103" s="2" t="str">
        <f t="shared" si="97"/>
        <v>NSG_Business_Small/Mid-Size Business_Rebates_Steam Traps_Dry Cleaner/Industrial - Audit_MF/CI/SMB_2024</v>
      </c>
      <c r="D3103" s="19" t="s">
        <v>1787</v>
      </c>
      <c r="E3103" s="19" t="s">
        <v>3</v>
      </c>
      <c r="F3103" s="19" t="s">
        <v>1432</v>
      </c>
      <c r="G3103" s="19" t="s">
        <v>1429</v>
      </c>
      <c r="H3103" s="19" t="s">
        <v>644</v>
      </c>
      <c r="I3103" s="19" t="s">
        <v>1275</v>
      </c>
      <c r="J3103" s="19" t="s">
        <v>37</v>
      </c>
      <c r="K3103" s="19" t="s">
        <v>662</v>
      </c>
      <c r="L3103" s="19">
        <v>2024</v>
      </c>
      <c r="M3103" s="20">
        <v>1</v>
      </c>
      <c r="N3103" s="19" t="s">
        <v>1798</v>
      </c>
      <c r="O3103" s="20">
        <v>0</v>
      </c>
      <c r="P3103" s="20">
        <v>0</v>
      </c>
      <c r="Q3103" s="20">
        <v>0</v>
      </c>
      <c r="R3103" s="21">
        <v>0.92</v>
      </c>
      <c r="S3103" s="20">
        <v>0</v>
      </c>
    </row>
    <row r="3104" spans="2:19" ht="15" customHeight="1" x14ac:dyDescent="0.25">
      <c r="B3104" s="2" t="str">
        <f t="shared" si="96"/>
        <v>NSG_Business_Small/Mid-Size Business_Rebates_Steam Traps_Dry Cleaner/Industrial - Audit_MF/CI/SMB</v>
      </c>
      <c r="C3104" s="2" t="str">
        <f t="shared" si="97"/>
        <v>NSG_Business_Small/Mid-Size Business_Rebates_Steam Traps_Dry Cleaner/Industrial - Audit_MF/CI/SMB_2025</v>
      </c>
      <c r="D3104" s="19" t="s">
        <v>1787</v>
      </c>
      <c r="E3104" s="19" t="s">
        <v>3</v>
      </c>
      <c r="F3104" s="19" t="s">
        <v>1432</v>
      </c>
      <c r="G3104" s="19" t="s">
        <v>1429</v>
      </c>
      <c r="H3104" s="19" t="s">
        <v>644</v>
      </c>
      <c r="I3104" s="19" t="s">
        <v>1275</v>
      </c>
      <c r="J3104" s="19" t="s">
        <v>37</v>
      </c>
      <c r="K3104" s="19" t="s">
        <v>662</v>
      </c>
      <c r="L3104" s="19">
        <v>2025</v>
      </c>
      <c r="M3104" s="20">
        <v>1</v>
      </c>
      <c r="N3104" s="19" t="s">
        <v>1798</v>
      </c>
      <c r="O3104" s="20">
        <v>0</v>
      </c>
      <c r="P3104" s="20">
        <v>0</v>
      </c>
      <c r="Q3104" s="20">
        <v>0</v>
      </c>
      <c r="R3104" s="21">
        <v>0.92</v>
      </c>
      <c r="S3104" s="20">
        <v>0</v>
      </c>
    </row>
    <row r="3105" spans="2:19" ht="15" customHeight="1" x14ac:dyDescent="0.25">
      <c r="B3105" s="2" t="str">
        <f t="shared" si="96"/>
        <v>NSG_Business_Small/Mid-Size Business_Rebates_Steam Traps_HVAC Repair/Rep - Audit_CI</v>
      </c>
      <c r="C3105" s="2" t="str">
        <f t="shared" si="97"/>
        <v>NSG_Business_Small/Mid-Size Business_Rebates_Steam Traps_HVAC Repair/Rep - Audit_CI_2022</v>
      </c>
      <c r="D3105" s="19" t="s">
        <v>1787</v>
      </c>
      <c r="E3105" s="19" t="s">
        <v>3</v>
      </c>
      <c r="F3105" s="19" t="s">
        <v>1432</v>
      </c>
      <c r="G3105" s="19" t="s">
        <v>1429</v>
      </c>
      <c r="H3105" s="19" t="s">
        <v>644</v>
      </c>
      <c r="I3105" s="19" t="s">
        <v>645</v>
      </c>
      <c r="J3105" s="19" t="s">
        <v>37</v>
      </c>
      <c r="K3105" s="19" t="s">
        <v>1159</v>
      </c>
      <c r="L3105" s="19">
        <v>2022</v>
      </c>
      <c r="M3105" s="20">
        <v>1</v>
      </c>
      <c r="N3105" s="19" t="s">
        <v>1798</v>
      </c>
      <c r="O3105" s="20">
        <v>0</v>
      </c>
      <c r="P3105" s="20">
        <v>0</v>
      </c>
      <c r="Q3105" s="20">
        <v>0</v>
      </c>
      <c r="R3105" s="21">
        <v>0.92</v>
      </c>
      <c r="S3105" s="20">
        <v>0</v>
      </c>
    </row>
    <row r="3106" spans="2:19" ht="15" customHeight="1" x14ac:dyDescent="0.25">
      <c r="B3106" s="2" t="str">
        <f t="shared" si="96"/>
        <v>NSG_Business_Small/Mid-Size Business_Rebates_Steam Traps_HVAC Repair/Rep - Audit_CI</v>
      </c>
      <c r="C3106" s="2" t="str">
        <f t="shared" si="97"/>
        <v>NSG_Business_Small/Mid-Size Business_Rebates_Steam Traps_HVAC Repair/Rep - Audit_CI_2023</v>
      </c>
      <c r="D3106" s="19" t="s">
        <v>1787</v>
      </c>
      <c r="E3106" s="19" t="s">
        <v>3</v>
      </c>
      <c r="F3106" s="19" t="s">
        <v>1432</v>
      </c>
      <c r="G3106" s="19" t="s">
        <v>1429</v>
      </c>
      <c r="H3106" s="19" t="s">
        <v>644</v>
      </c>
      <c r="I3106" s="19" t="s">
        <v>645</v>
      </c>
      <c r="J3106" s="19" t="s">
        <v>37</v>
      </c>
      <c r="K3106" s="19" t="s">
        <v>1159</v>
      </c>
      <c r="L3106" s="19">
        <v>2023</v>
      </c>
      <c r="M3106" s="20">
        <v>1</v>
      </c>
      <c r="N3106" s="19" t="s">
        <v>1798</v>
      </c>
      <c r="O3106" s="20">
        <v>0</v>
      </c>
      <c r="P3106" s="20">
        <v>0</v>
      </c>
      <c r="Q3106" s="20">
        <v>0</v>
      </c>
      <c r="R3106" s="21">
        <v>0.92</v>
      </c>
      <c r="S3106" s="20">
        <v>0</v>
      </c>
    </row>
    <row r="3107" spans="2:19" ht="15" customHeight="1" x14ac:dyDescent="0.25">
      <c r="B3107" s="2" t="str">
        <f t="shared" si="96"/>
        <v>NSG_Business_Small/Mid-Size Business_Rebates_Steam Traps_HVAC Repair/Rep - Audit_CI</v>
      </c>
      <c r="C3107" s="2" t="str">
        <f t="shared" si="97"/>
        <v>NSG_Business_Small/Mid-Size Business_Rebates_Steam Traps_HVAC Repair/Rep - Audit_CI_2024</v>
      </c>
      <c r="D3107" s="19" t="s">
        <v>1787</v>
      </c>
      <c r="E3107" s="19" t="s">
        <v>3</v>
      </c>
      <c r="F3107" s="19" t="s">
        <v>1432</v>
      </c>
      <c r="G3107" s="19" t="s">
        <v>1429</v>
      </c>
      <c r="H3107" s="19" t="s">
        <v>644</v>
      </c>
      <c r="I3107" s="19" t="s">
        <v>645</v>
      </c>
      <c r="J3107" s="19" t="s">
        <v>37</v>
      </c>
      <c r="K3107" s="19" t="s">
        <v>1159</v>
      </c>
      <c r="L3107" s="19">
        <v>2024</v>
      </c>
      <c r="M3107" s="20">
        <v>1</v>
      </c>
      <c r="N3107" s="19" t="s">
        <v>1798</v>
      </c>
      <c r="O3107" s="20">
        <v>0</v>
      </c>
      <c r="P3107" s="20">
        <v>0</v>
      </c>
      <c r="Q3107" s="20">
        <v>0</v>
      </c>
      <c r="R3107" s="21">
        <v>0.92</v>
      </c>
      <c r="S3107" s="20">
        <v>0</v>
      </c>
    </row>
    <row r="3108" spans="2:19" ht="15" customHeight="1" x14ac:dyDescent="0.25">
      <c r="B3108" s="2" t="str">
        <f t="shared" si="96"/>
        <v>NSG_Business_Small/Mid-Size Business_Rebates_Steam Traps_HVAC Repair/Rep - Audit_CI</v>
      </c>
      <c r="C3108" s="2" t="str">
        <f t="shared" si="97"/>
        <v>NSG_Business_Small/Mid-Size Business_Rebates_Steam Traps_HVAC Repair/Rep - Audit_CI_2025</v>
      </c>
      <c r="D3108" s="19" t="s">
        <v>1787</v>
      </c>
      <c r="E3108" s="19" t="s">
        <v>3</v>
      </c>
      <c r="F3108" s="19" t="s">
        <v>1432</v>
      </c>
      <c r="G3108" s="19" t="s">
        <v>1429</v>
      </c>
      <c r="H3108" s="19" t="s">
        <v>644</v>
      </c>
      <c r="I3108" s="19" t="s">
        <v>645</v>
      </c>
      <c r="J3108" s="19" t="s">
        <v>37</v>
      </c>
      <c r="K3108" s="19" t="s">
        <v>1159</v>
      </c>
      <c r="L3108" s="19">
        <v>2025</v>
      </c>
      <c r="M3108" s="20">
        <v>1</v>
      </c>
      <c r="N3108" s="19" t="s">
        <v>1798</v>
      </c>
      <c r="O3108" s="20">
        <v>0</v>
      </c>
      <c r="P3108" s="20">
        <v>0</v>
      </c>
      <c r="Q3108" s="20">
        <v>0</v>
      </c>
      <c r="R3108" s="21">
        <v>0.92</v>
      </c>
      <c r="S3108" s="20">
        <v>0</v>
      </c>
    </row>
    <row r="3109" spans="2:19" ht="15" customHeight="1" x14ac:dyDescent="0.25">
      <c r="B3109" s="2" t="str">
        <f t="shared" si="96"/>
        <v>NSG_Business_Small/Mid-Size Business_Rebates_Steam Traps_HVAC Repair/Rep - No Audit_CI</v>
      </c>
      <c r="C3109" s="2" t="str">
        <f t="shared" si="97"/>
        <v>NSG_Business_Small/Mid-Size Business_Rebates_Steam Traps_HVAC Repair/Rep - No Audit_CI_2022</v>
      </c>
      <c r="D3109" s="19" t="s">
        <v>1787</v>
      </c>
      <c r="E3109" s="19" t="s">
        <v>3</v>
      </c>
      <c r="F3109" s="19" t="s">
        <v>1432</v>
      </c>
      <c r="G3109" s="19" t="s">
        <v>1429</v>
      </c>
      <c r="H3109" s="19" t="s">
        <v>644</v>
      </c>
      <c r="I3109" s="19" t="s">
        <v>660</v>
      </c>
      <c r="J3109" s="19" t="s">
        <v>37</v>
      </c>
      <c r="K3109" s="19" t="s">
        <v>1159</v>
      </c>
      <c r="L3109" s="19">
        <v>2022</v>
      </c>
      <c r="M3109" s="20">
        <v>1</v>
      </c>
      <c r="N3109" s="19" t="s">
        <v>1798</v>
      </c>
      <c r="O3109" s="20">
        <v>0</v>
      </c>
      <c r="P3109" s="20">
        <v>0</v>
      </c>
      <c r="Q3109" s="20">
        <v>0</v>
      </c>
      <c r="R3109" s="21">
        <v>0.92</v>
      </c>
      <c r="S3109" s="20">
        <v>0</v>
      </c>
    </row>
    <row r="3110" spans="2:19" ht="15" customHeight="1" x14ac:dyDescent="0.25">
      <c r="B3110" s="2" t="str">
        <f t="shared" si="96"/>
        <v>NSG_Business_Small/Mid-Size Business_Rebates_Steam Traps_HVAC Repair/Rep - No Audit_CI</v>
      </c>
      <c r="C3110" s="2" t="str">
        <f t="shared" si="97"/>
        <v>NSG_Business_Small/Mid-Size Business_Rebates_Steam Traps_HVAC Repair/Rep - No Audit_CI_2023</v>
      </c>
      <c r="D3110" s="19" t="s">
        <v>1787</v>
      </c>
      <c r="E3110" s="19" t="s">
        <v>3</v>
      </c>
      <c r="F3110" s="19" t="s">
        <v>1432</v>
      </c>
      <c r="G3110" s="19" t="s">
        <v>1429</v>
      </c>
      <c r="H3110" s="19" t="s">
        <v>644</v>
      </c>
      <c r="I3110" s="19" t="s">
        <v>660</v>
      </c>
      <c r="J3110" s="19" t="s">
        <v>37</v>
      </c>
      <c r="K3110" s="19" t="s">
        <v>1159</v>
      </c>
      <c r="L3110" s="19">
        <v>2023</v>
      </c>
      <c r="M3110" s="20">
        <v>1</v>
      </c>
      <c r="N3110" s="19" t="s">
        <v>1798</v>
      </c>
      <c r="O3110" s="20">
        <v>0</v>
      </c>
      <c r="P3110" s="20">
        <v>0</v>
      </c>
      <c r="Q3110" s="20">
        <v>0</v>
      </c>
      <c r="R3110" s="21">
        <v>0.92</v>
      </c>
      <c r="S3110" s="20">
        <v>0</v>
      </c>
    </row>
    <row r="3111" spans="2:19" ht="15" customHeight="1" x14ac:dyDescent="0.25">
      <c r="B3111" s="2" t="str">
        <f t="shared" si="96"/>
        <v>NSG_Business_Small/Mid-Size Business_Rebates_Steam Traps_HVAC Repair/Rep - No Audit_CI</v>
      </c>
      <c r="C3111" s="2" t="str">
        <f t="shared" si="97"/>
        <v>NSG_Business_Small/Mid-Size Business_Rebates_Steam Traps_HVAC Repair/Rep - No Audit_CI_2024</v>
      </c>
      <c r="D3111" s="19" t="s">
        <v>1787</v>
      </c>
      <c r="E3111" s="19" t="s">
        <v>3</v>
      </c>
      <c r="F3111" s="19" t="s">
        <v>1432</v>
      </c>
      <c r="G3111" s="19" t="s">
        <v>1429</v>
      </c>
      <c r="H3111" s="19" t="s">
        <v>644</v>
      </c>
      <c r="I3111" s="19" t="s">
        <v>660</v>
      </c>
      <c r="J3111" s="19" t="s">
        <v>37</v>
      </c>
      <c r="K3111" s="19" t="s">
        <v>1159</v>
      </c>
      <c r="L3111" s="19">
        <v>2024</v>
      </c>
      <c r="M3111" s="20">
        <v>1</v>
      </c>
      <c r="N3111" s="19" t="s">
        <v>1798</v>
      </c>
      <c r="O3111" s="20">
        <v>0</v>
      </c>
      <c r="P3111" s="20">
        <v>0</v>
      </c>
      <c r="Q3111" s="20">
        <v>0</v>
      </c>
      <c r="R3111" s="21">
        <v>0.92</v>
      </c>
      <c r="S3111" s="20">
        <v>0</v>
      </c>
    </row>
    <row r="3112" spans="2:19" ht="15" customHeight="1" x14ac:dyDescent="0.25">
      <c r="B3112" s="2" t="str">
        <f t="shared" si="96"/>
        <v>NSG_Business_Small/Mid-Size Business_Rebates_Steam Traps_HVAC Repair/Rep - No Audit_CI</v>
      </c>
      <c r="C3112" s="2" t="str">
        <f t="shared" si="97"/>
        <v>NSG_Business_Small/Mid-Size Business_Rebates_Steam Traps_HVAC Repair/Rep - No Audit_CI_2025</v>
      </c>
      <c r="D3112" s="19" t="s">
        <v>1787</v>
      </c>
      <c r="E3112" s="19" t="s">
        <v>3</v>
      </c>
      <c r="F3112" s="19" t="s">
        <v>1432</v>
      </c>
      <c r="G3112" s="19" t="s">
        <v>1429</v>
      </c>
      <c r="H3112" s="19" t="s">
        <v>644</v>
      </c>
      <c r="I3112" s="19" t="s">
        <v>660</v>
      </c>
      <c r="J3112" s="19" t="s">
        <v>37</v>
      </c>
      <c r="K3112" s="19" t="s">
        <v>1159</v>
      </c>
      <c r="L3112" s="19">
        <v>2025</v>
      </c>
      <c r="M3112" s="20">
        <v>1</v>
      </c>
      <c r="N3112" s="19" t="s">
        <v>1798</v>
      </c>
      <c r="O3112" s="20">
        <v>0</v>
      </c>
      <c r="P3112" s="20">
        <v>0</v>
      </c>
      <c r="Q3112" s="20">
        <v>0</v>
      </c>
      <c r="R3112" s="21">
        <v>0.92</v>
      </c>
      <c r="S3112" s="20">
        <v>0</v>
      </c>
    </row>
    <row r="3113" spans="2:19" ht="15" customHeight="1" x14ac:dyDescent="0.25">
      <c r="B3113" s="2" t="str">
        <f t="shared" si="96"/>
        <v>NSG_Business_Small/Mid-Size Business_Rebates_Steam Traps_Industrial/Process Audit - psig ≤ 15_CI/SMB</v>
      </c>
      <c r="C3113" s="2" t="str">
        <f t="shared" si="97"/>
        <v>NSG_Business_Small/Mid-Size Business_Rebates_Steam Traps_Industrial/Process Audit - psig ≤ 15_CI/SMB_2022</v>
      </c>
      <c r="D3113" s="19" t="s">
        <v>1787</v>
      </c>
      <c r="E3113" s="19" t="s">
        <v>3</v>
      </c>
      <c r="F3113" s="19" t="s">
        <v>1432</v>
      </c>
      <c r="G3113" s="19" t="s">
        <v>1429</v>
      </c>
      <c r="H3113" s="19" t="s">
        <v>644</v>
      </c>
      <c r="I3113" s="19" t="s">
        <v>1383</v>
      </c>
      <c r="J3113" s="19" t="s">
        <v>37</v>
      </c>
      <c r="K3113" s="19" t="s">
        <v>970</v>
      </c>
      <c r="L3113" s="19">
        <v>2022</v>
      </c>
      <c r="M3113" s="20">
        <v>1</v>
      </c>
      <c r="N3113" s="19" t="s">
        <v>1798</v>
      </c>
      <c r="O3113" s="20">
        <v>0</v>
      </c>
      <c r="P3113" s="20">
        <v>0</v>
      </c>
      <c r="Q3113" s="20">
        <v>0</v>
      </c>
      <c r="R3113" s="21">
        <v>0.92</v>
      </c>
      <c r="S3113" s="20">
        <v>0</v>
      </c>
    </row>
    <row r="3114" spans="2:19" ht="15" customHeight="1" x14ac:dyDescent="0.25">
      <c r="B3114" s="2" t="str">
        <f t="shared" si="96"/>
        <v>NSG_Business_Small/Mid-Size Business_Rebates_Steam Traps_Industrial/Process Audit - psig ≤ 15_CI/SMB</v>
      </c>
      <c r="C3114" s="2" t="str">
        <f t="shared" si="97"/>
        <v>NSG_Business_Small/Mid-Size Business_Rebates_Steam Traps_Industrial/Process Audit - psig ≤ 15_CI/SMB_2023</v>
      </c>
      <c r="D3114" s="19" t="s">
        <v>1787</v>
      </c>
      <c r="E3114" s="19" t="s">
        <v>3</v>
      </c>
      <c r="F3114" s="19" t="s">
        <v>1432</v>
      </c>
      <c r="G3114" s="19" t="s">
        <v>1429</v>
      </c>
      <c r="H3114" s="19" t="s">
        <v>644</v>
      </c>
      <c r="I3114" s="19" t="s">
        <v>1383</v>
      </c>
      <c r="J3114" s="19" t="s">
        <v>37</v>
      </c>
      <c r="K3114" s="19" t="s">
        <v>970</v>
      </c>
      <c r="L3114" s="19">
        <v>2023</v>
      </c>
      <c r="M3114" s="20">
        <v>1</v>
      </c>
      <c r="N3114" s="19" t="s">
        <v>1798</v>
      </c>
      <c r="O3114" s="20">
        <v>0</v>
      </c>
      <c r="P3114" s="20">
        <v>0</v>
      </c>
      <c r="Q3114" s="20">
        <v>0</v>
      </c>
      <c r="R3114" s="21">
        <v>0.92</v>
      </c>
      <c r="S3114" s="20">
        <v>0</v>
      </c>
    </row>
    <row r="3115" spans="2:19" ht="15" customHeight="1" x14ac:dyDescent="0.25">
      <c r="B3115" s="2" t="str">
        <f t="shared" si="96"/>
        <v>NSG_Business_Small/Mid-Size Business_Rebates_Steam Traps_Industrial/Process Audit - psig ≤ 15_CI/SMB</v>
      </c>
      <c r="C3115" s="2" t="str">
        <f t="shared" si="97"/>
        <v>NSG_Business_Small/Mid-Size Business_Rebates_Steam Traps_Industrial/Process Audit - psig ≤ 15_CI/SMB_2024</v>
      </c>
      <c r="D3115" s="19" t="s">
        <v>1787</v>
      </c>
      <c r="E3115" s="19" t="s">
        <v>3</v>
      </c>
      <c r="F3115" s="19" t="s">
        <v>1432</v>
      </c>
      <c r="G3115" s="19" t="s">
        <v>1429</v>
      </c>
      <c r="H3115" s="19" t="s">
        <v>644</v>
      </c>
      <c r="I3115" s="19" t="s">
        <v>1383</v>
      </c>
      <c r="J3115" s="19" t="s">
        <v>37</v>
      </c>
      <c r="K3115" s="19" t="s">
        <v>970</v>
      </c>
      <c r="L3115" s="19">
        <v>2024</v>
      </c>
      <c r="M3115" s="20">
        <v>1</v>
      </c>
      <c r="N3115" s="19" t="s">
        <v>1798</v>
      </c>
      <c r="O3115" s="20">
        <v>0</v>
      </c>
      <c r="P3115" s="20">
        <v>0</v>
      </c>
      <c r="Q3115" s="20">
        <v>0</v>
      </c>
      <c r="R3115" s="21">
        <v>0.92</v>
      </c>
      <c r="S3115" s="20">
        <v>0</v>
      </c>
    </row>
    <row r="3116" spans="2:19" ht="15" customHeight="1" x14ac:dyDescent="0.25">
      <c r="B3116" s="2" t="str">
        <f t="shared" si="96"/>
        <v>NSG_Business_Small/Mid-Size Business_Rebates_Steam Traps_Industrial/Process Audit - psig ≤ 15_CI/SMB</v>
      </c>
      <c r="C3116" s="2" t="str">
        <f t="shared" si="97"/>
        <v>NSG_Business_Small/Mid-Size Business_Rebates_Steam Traps_Industrial/Process Audit - psig ≤ 15_CI/SMB_2025</v>
      </c>
      <c r="D3116" s="19" t="s">
        <v>1787</v>
      </c>
      <c r="E3116" s="19" t="s">
        <v>3</v>
      </c>
      <c r="F3116" s="19" t="s">
        <v>1432</v>
      </c>
      <c r="G3116" s="19" t="s">
        <v>1429</v>
      </c>
      <c r="H3116" s="19" t="s">
        <v>644</v>
      </c>
      <c r="I3116" s="19" t="s">
        <v>1383</v>
      </c>
      <c r="J3116" s="19" t="s">
        <v>37</v>
      </c>
      <c r="K3116" s="19" t="s">
        <v>970</v>
      </c>
      <c r="L3116" s="19">
        <v>2025</v>
      </c>
      <c r="M3116" s="20">
        <v>1</v>
      </c>
      <c r="N3116" s="19" t="s">
        <v>1798</v>
      </c>
      <c r="O3116" s="20">
        <v>0</v>
      </c>
      <c r="P3116" s="20">
        <v>0</v>
      </c>
      <c r="Q3116" s="20">
        <v>0</v>
      </c>
      <c r="R3116" s="21">
        <v>0.92</v>
      </c>
      <c r="S3116" s="20">
        <v>0</v>
      </c>
    </row>
    <row r="3117" spans="2:19" ht="15" customHeight="1" x14ac:dyDescent="0.25">
      <c r="B3117" s="2" t="str">
        <f t="shared" si="96"/>
        <v>NSG_Business_Small/Mid-Size Business_Rebates_Steam Traps_Industrial/Process Audit - 15 &lt; psig &lt; 30_CI/SMB</v>
      </c>
      <c r="C3117" s="2" t="str">
        <f t="shared" si="97"/>
        <v>NSG_Business_Small/Mid-Size Business_Rebates_Steam Traps_Industrial/Process Audit - 15 &lt; psig &lt; 30_CI/SMB_2022</v>
      </c>
      <c r="D3117" s="19" t="s">
        <v>1787</v>
      </c>
      <c r="E3117" s="19" t="s">
        <v>3</v>
      </c>
      <c r="F3117" s="19" t="s">
        <v>1432</v>
      </c>
      <c r="G3117" s="19" t="s">
        <v>1429</v>
      </c>
      <c r="H3117" s="19" t="s">
        <v>644</v>
      </c>
      <c r="I3117" s="19" t="s">
        <v>1384</v>
      </c>
      <c r="J3117" s="19" t="s">
        <v>37</v>
      </c>
      <c r="K3117" s="19" t="s">
        <v>970</v>
      </c>
      <c r="L3117" s="19">
        <v>2022</v>
      </c>
      <c r="M3117" s="20">
        <v>1</v>
      </c>
      <c r="N3117" s="19" t="s">
        <v>1798</v>
      </c>
      <c r="O3117" s="20">
        <v>0</v>
      </c>
      <c r="P3117" s="20">
        <v>0</v>
      </c>
      <c r="Q3117" s="20">
        <v>0</v>
      </c>
      <c r="R3117" s="21">
        <v>0.92</v>
      </c>
      <c r="S3117" s="20">
        <v>0</v>
      </c>
    </row>
    <row r="3118" spans="2:19" ht="15" customHeight="1" x14ac:dyDescent="0.25">
      <c r="B3118" s="2" t="str">
        <f t="shared" si="96"/>
        <v>NSG_Business_Small/Mid-Size Business_Rebates_Steam Traps_Industrial/Process Audit - 15 &lt; psig &lt; 30_CI/SMB</v>
      </c>
      <c r="C3118" s="2" t="str">
        <f t="shared" si="97"/>
        <v>NSG_Business_Small/Mid-Size Business_Rebates_Steam Traps_Industrial/Process Audit - 15 &lt; psig &lt; 30_CI/SMB_2023</v>
      </c>
      <c r="D3118" s="19" t="s">
        <v>1787</v>
      </c>
      <c r="E3118" s="19" t="s">
        <v>3</v>
      </c>
      <c r="F3118" s="19" t="s">
        <v>1432</v>
      </c>
      <c r="G3118" s="19" t="s">
        <v>1429</v>
      </c>
      <c r="H3118" s="19" t="s">
        <v>644</v>
      </c>
      <c r="I3118" s="19" t="s">
        <v>1384</v>
      </c>
      <c r="J3118" s="19" t="s">
        <v>37</v>
      </c>
      <c r="K3118" s="19" t="s">
        <v>970</v>
      </c>
      <c r="L3118" s="19">
        <v>2023</v>
      </c>
      <c r="M3118" s="20">
        <v>1</v>
      </c>
      <c r="N3118" s="19" t="s">
        <v>1798</v>
      </c>
      <c r="O3118" s="20">
        <v>0</v>
      </c>
      <c r="P3118" s="20">
        <v>0</v>
      </c>
      <c r="Q3118" s="20">
        <v>0</v>
      </c>
      <c r="R3118" s="21">
        <v>0.92</v>
      </c>
      <c r="S3118" s="20">
        <v>0</v>
      </c>
    </row>
    <row r="3119" spans="2:19" ht="15" customHeight="1" x14ac:dyDescent="0.25">
      <c r="B3119" s="2" t="str">
        <f t="shared" si="96"/>
        <v>NSG_Business_Small/Mid-Size Business_Rebates_Steam Traps_Industrial/Process Audit - 15 &lt; psig &lt; 30_CI/SMB</v>
      </c>
      <c r="C3119" s="2" t="str">
        <f t="shared" si="97"/>
        <v>NSG_Business_Small/Mid-Size Business_Rebates_Steam Traps_Industrial/Process Audit - 15 &lt; psig &lt; 30_CI/SMB_2024</v>
      </c>
      <c r="D3119" s="19" t="s">
        <v>1787</v>
      </c>
      <c r="E3119" s="19" t="s">
        <v>3</v>
      </c>
      <c r="F3119" s="19" t="s">
        <v>1432</v>
      </c>
      <c r="G3119" s="19" t="s">
        <v>1429</v>
      </c>
      <c r="H3119" s="19" t="s">
        <v>644</v>
      </c>
      <c r="I3119" s="19" t="s">
        <v>1384</v>
      </c>
      <c r="J3119" s="19" t="s">
        <v>37</v>
      </c>
      <c r="K3119" s="19" t="s">
        <v>970</v>
      </c>
      <c r="L3119" s="19">
        <v>2024</v>
      </c>
      <c r="M3119" s="20">
        <v>1</v>
      </c>
      <c r="N3119" s="19" t="s">
        <v>1798</v>
      </c>
      <c r="O3119" s="20">
        <v>0</v>
      </c>
      <c r="P3119" s="20">
        <v>0</v>
      </c>
      <c r="Q3119" s="20">
        <v>0</v>
      </c>
      <c r="R3119" s="21">
        <v>0.92</v>
      </c>
      <c r="S3119" s="20">
        <v>0</v>
      </c>
    </row>
    <row r="3120" spans="2:19" ht="15" customHeight="1" x14ac:dyDescent="0.25">
      <c r="B3120" s="2" t="str">
        <f t="shared" si="96"/>
        <v>NSG_Business_Small/Mid-Size Business_Rebates_Steam Traps_Industrial/Process Audit - 15 &lt; psig &lt; 30_CI/SMB</v>
      </c>
      <c r="C3120" s="2" t="str">
        <f t="shared" si="97"/>
        <v>NSG_Business_Small/Mid-Size Business_Rebates_Steam Traps_Industrial/Process Audit - 15 &lt; psig &lt; 30_CI/SMB_2025</v>
      </c>
      <c r="D3120" s="19" t="s">
        <v>1787</v>
      </c>
      <c r="E3120" s="19" t="s">
        <v>3</v>
      </c>
      <c r="F3120" s="19" t="s">
        <v>1432</v>
      </c>
      <c r="G3120" s="19" t="s">
        <v>1429</v>
      </c>
      <c r="H3120" s="19" t="s">
        <v>644</v>
      </c>
      <c r="I3120" s="19" t="s">
        <v>1384</v>
      </c>
      <c r="J3120" s="19" t="s">
        <v>37</v>
      </c>
      <c r="K3120" s="19" t="s">
        <v>970</v>
      </c>
      <c r="L3120" s="19">
        <v>2025</v>
      </c>
      <c r="M3120" s="20">
        <v>1</v>
      </c>
      <c r="N3120" s="19" t="s">
        <v>1798</v>
      </c>
      <c r="O3120" s="20">
        <v>0</v>
      </c>
      <c r="P3120" s="20">
        <v>0</v>
      </c>
      <c r="Q3120" s="20">
        <v>0</v>
      </c>
      <c r="R3120" s="21">
        <v>0.92</v>
      </c>
      <c r="S3120" s="20">
        <v>0</v>
      </c>
    </row>
    <row r="3121" spans="2:19" ht="15" customHeight="1" x14ac:dyDescent="0.25">
      <c r="B3121" s="2" t="str">
        <f t="shared" si="96"/>
        <v>NSG_Business_Small/Mid-Size Business_Rebates_Steam Traps_Industrial/Process Audit - 30 ≤ psig &lt; 75_CI/SMB</v>
      </c>
      <c r="C3121" s="2" t="str">
        <f t="shared" si="97"/>
        <v>NSG_Business_Small/Mid-Size Business_Rebates_Steam Traps_Industrial/Process Audit - 30 ≤ psig &lt; 75_CI/SMB_2022</v>
      </c>
      <c r="D3121" s="19" t="s">
        <v>1787</v>
      </c>
      <c r="E3121" s="19" t="s">
        <v>3</v>
      </c>
      <c r="F3121" s="19" t="s">
        <v>1432</v>
      </c>
      <c r="G3121" s="19" t="s">
        <v>1429</v>
      </c>
      <c r="H3121" s="19" t="s">
        <v>644</v>
      </c>
      <c r="I3121" s="19" t="s">
        <v>1385</v>
      </c>
      <c r="J3121" s="19" t="s">
        <v>37</v>
      </c>
      <c r="K3121" s="19" t="s">
        <v>970</v>
      </c>
      <c r="L3121" s="19">
        <v>2022</v>
      </c>
      <c r="M3121" s="20">
        <v>1</v>
      </c>
      <c r="N3121" s="19" t="s">
        <v>1798</v>
      </c>
      <c r="O3121" s="20">
        <v>0</v>
      </c>
      <c r="P3121" s="20">
        <v>0</v>
      </c>
      <c r="Q3121" s="20">
        <v>0</v>
      </c>
      <c r="R3121" s="21">
        <v>0.92</v>
      </c>
      <c r="S3121" s="20">
        <v>0</v>
      </c>
    </row>
    <row r="3122" spans="2:19" ht="15" customHeight="1" x14ac:dyDescent="0.25">
      <c r="B3122" s="2" t="str">
        <f t="shared" si="96"/>
        <v>NSG_Business_Small/Mid-Size Business_Rebates_Steam Traps_Industrial/Process Audit - 30 ≤ psig &lt; 75_CI/SMB</v>
      </c>
      <c r="C3122" s="2" t="str">
        <f t="shared" si="97"/>
        <v>NSG_Business_Small/Mid-Size Business_Rebates_Steam Traps_Industrial/Process Audit - 30 ≤ psig &lt; 75_CI/SMB_2023</v>
      </c>
      <c r="D3122" s="19" t="s">
        <v>1787</v>
      </c>
      <c r="E3122" s="19" t="s">
        <v>3</v>
      </c>
      <c r="F3122" s="19" t="s">
        <v>1432</v>
      </c>
      <c r="G3122" s="19" t="s">
        <v>1429</v>
      </c>
      <c r="H3122" s="19" t="s">
        <v>644</v>
      </c>
      <c r="I3122" s="19" t="s">
        <v>1385</v>
      </c>
      <c r="J3122" s="19" t="s">
        <v>37</v>
      </c>
      <c r="K3122" s="19" t="s">
        <v>970</v>
      </c>
      <c r="L3122" s="19">
        <v>2023</v>
      </c>
      <c r="M3122" s="20">
        <v>1</v>
      </c>
      <c r="N3122" s="19" t="s">
        <v>1798</v>
      </c>
      <c r="O3122" s="20">
        <v>0</v>
      </c>
      <c r="P3122" s="20">
        <v>0</v>
      </c>
      <c r="Q3122" s="20">
        <v>0</v>
      </c>
      <c r="R3122" s="21">
        <v>0.92</v>
      </c>
      <c r="S3122" s="20">
        <v>0</v>
      </c>
    </row>
    <row r="3123" spans="2:19" ht="15" customHeight="1" x14ac:dyDescent="0.25">
      <c r="B3123" s="2" t="str">
        <f t="shared" si="96"/>
        <v>NSG_Business_Small/Mid-Size Business_Rebates_Steam Traps_Industrial/Process Audit - 30 ≤ psig &lt; 75_CI/SMB</v>
      </c>
      <c r="C3123" s="2" t="str">
        <f t="shared" si="97"/>
        <v>NSG_Business_Small/Mid-Size Business_Rebates_Steam Traps_Industrial/Process Audit - 30 ≤ psig &lt; 75_CI/SMB_2024</v>
      </c>
      <c r="D3123" s="19" t="s">
        <v>1787</v>
      </c>
      <c r="E3123" s="19" t="s">
        <v>3</v>
      </c>
      <c r="F3123" s="19" t="s">
        <v>1432</v>
      </c>
      <c r="G3123" s="19" t="s">
        <v>1429</v>
      </c>
      <c r="H3123" s="19" t="s">
        <v>644</v>
      </c>
      <c r="I3123" s="19" t="s">
        <v>1385</v>
      </c>
      <c r="J3123" s="19" t="s">
        <v>37</v>
      </c>
      <c r="K3123" s="19" t="s">
        <v>970</v>
      </c>
      <c r="L3123" s="19">
        <v>2024</v>
      </c>
      <c r="M3123" s="20">
        <v>1</v>
      </c>
      <c r="N3123" s="19" t="s">
        <v>1798</v>
      </c>
      <c r="O3123" s="20">
        <v>0</v>
      </c>
      <c r="P3123" s="20">
        <v>0</v>
      </c>
      <c r="Q3123" s="20">
        <v>0</v>
      </c>
      <c r="R3123" s="21">
        <v>0.92</v>
      </c>
      <c r="S3123" s="20">
        <v>0</v>
      </c>
    </row>
    <row r="3124" spans="2:19" ht="15" customHeight="1" x14ac:dyDescent="0.25">
      <c r="B3124" s="2" t="str">
        <f t="shared" si="96"/>
        <v>NSG_Business_Small/Mid-Size Business_Rebates_Steam Traps_Industrial/Process Audit - 30 ≤ psig &lt; 75_CI/SMB</v>
      </c>
      <c r="C3124" s="2" t="str">
        <f t="shared" si="97"/>
        <v>NSG_Business_Small/Mid-Size Business_Rebates_Steam Traps_Industrial/Process Audit - 30 ≤ psig &lt; 75_CI/SMB_2025</v>
      </c>
      <c r="D3124" s="19" t="s">
        <v>1787</v>
      </c>
      <c r="E3124" s="19" t="s">
        <v>3</v>
      </c>
      <c r="F3124" s="19" t="s">
        <v>1432</v>
      </c>
      <c r="G3124" s="19" t="s">
        <v>1429</v>
      </c>
      <c r="H3124" s="19" t="s">
        <v>644</v>
      </c>
      <c r="I3124" s="19" t="s">
        <v>1385</v>
      </c>
      <c r="J3124" s="19" t="s">
        <v>37</v>
      </c>
      <c r="K3124" s="19" t="s">
        <v>970</v>
      </c>
      <c r="L3124" s="19">
        <v>2025</v>
      </c>
      <c r="M3124" s="20">
        <v>1</v>
      </c>
      <c r="N3124" s="19" t="s">
        <v>1798</v>
      </c>
      <c r="O3124" s="20">
        <v>0</v>
      </c>
      <c r="P3124" s="20">
        <v>0</v>
      </c>
      <c r="Q3124" s="20">
        <v>0</v>
      </c>
      <c r="R3124" s="21">
        <v>0.92</v>
      </c>
      <c r="S3124" s="20">
        <v>0</v>
      </c>
    </row>
    <row r="3125" spans="2:19" ht="15" customHeight="1" x14ac:dyDescent="0.25">
      <c r="B3125" s="2" t="str">
        <f t="shared" si="96"/>
        <v>NSG_Business_Small/Mid-Size Business_Rebates_Steam Traps_Industrial/Process Audit - 75 ≤ psig &lt; 125_CI/SMB</v>
      </c>
      <c r="C3125" s="2" t="str">
        <f t="shared" si="97"/>
        <v>NSG_Business_Small/Mid-Size Business_Rebates_Steam Traps_Industrial/Process Audit - 75 ≤ psig &lt; 125_CI/SMB_2022</v>
      </c>
      <c r="D3125" s="19" t="s">
        <v>1787</v>
      </c>
      <c r="E3125" s="19" t="s">
        <v>3</v>
      </c>
      <c r="F3125" s="19" t="s">
        <v>1432</v>
      </c>
      <c r="G3125" s="19" t="s">
        <v>1429</v>
      </c>
      <c r="H3125" s="19" t="s">
        <v>644</v>
      </c>
      <c r="I3125" s="19" t="s">
        <v>1386</v>
      </c>
      <c r="J3125" s="19" t="s">
        <v>37</v>
      </c>
      <c r="K3125" s="19" t="s">
        <v>970</v>
      </c>
      <c r="L3125" s="19">
        <v>2022</v>
      </c>
      <c r="M3125" s="20">
        <v>1</v>
      </c>
      <c r="N3125" s="19" t="s">
        <v>1798</v>
      </c>
      <c r="O3125" s="20">
        <v>0</v>
      </c>
      <c r="P3125" s="20">
        <v>0</v>
      </c>
      <c r="Q3125" s="20">
        <v>0</v>
      </c>
      <c r="R3125" s="21">
        <v>0.92</v>
      </c>
      <c r="S3125" s="20">
        <v>0</v>
      </c>
    </row>
    <row r="3126" spans="2:19" ht="15" customHeight="1" x14ac:dyDescent="0.25">
      <c r="B3126" s="2" t="str">
        <f t="shared" si="96"/>
        <v>NSG_Business_Small/Mid-Size Business_Rebates_Steam Traps_Industrial/Process Audit - 75 ≤ psig &lt; 125_CI/SMB</v>
      </c>
      <c r="C3126" s="2" t="str">
        <f t="shared" si="97"/>
        <v>NSG_Business_Small/Mid-Size Business_Rebates_Steam Traps_Industrial/Process Audit - 75 ≤ psig &lt; 125_CI/SMB_2023</v>
      </c>
      <c r="D3126" s="19" t="s">
        <v>1787</v>
      </c>
      <c r="E3126" s="19" t="s">
        <v>3</v>
      </c>
      <c r="F3126" s="19" t="s">
        <v>1432</v>
      </c>
      <c r="G3126" s="19" t="s">
        <v>1429</v>
      </c>
      <c r="H3126" s="19" t="s">
        <v>644</v>
      </c>
      <c r="I3126" s="19" t="s">
        <v>1386</v>
      </c>
      <c r="J3126" s="19" t="s">
        <v>37</v>
      </c>
      <c r="K3126" s="19" t="s">
        <v>970</v>
      </c>
      <c r="L3126" s="19">
        <v>2023</v>
      </c>
      <c r="M3126" s="20">
        <v>1</v>
      </c>
      <c r="N3126" s="19" t="s">
        <v>1798</v>
      </c>
      <c r="O3126" s="20">
        <v>0</v>
      </c>
      <c r="P3126" s="20">
        <v>0</v>
      </c>
      <c r="Q3126" s="20">
        <v>0</v>
      </c>
      <c r="R3126" s="21">
        <v>0.92</v>
      </c>
      <c r="S3126" s="20">
        <v>0</v>
      </c>
    </row>
    <row r="3127" spans="2:19" ht="15" customHeight="1" x14ac:dyDescent="0.25">
      <c r="B3127" s="2" t="str">
        <f t="shared" si="96"/>
        <v>NSG_Business_Small/Mid-Size Business_Rebates_Steam Traps_Industrial/Process Audit - 75 ≤ psig &lt; 125_CI/SMB</v>
      </c>
      <c r="C3127" s="2" t="str">
        <f t="shared" si="97"/>
        <v>NSG_Business_Small/Mid-Size Business_Rebates_Steam Traps_Industrial/Process Audit - 75 ≤ psig &lt; 125_CI/SMB_2024</v>
      </c>
      <c r="D3127" s="19" t="s">
        <v>1787</v>
      </c>
      <c r="E3127" s="19" t="s">
        <v>3</v>
      </c>
      <c r="F3127" s="19" t="s">
        <v>1432</v>
      </c>
      <c r="G3127" s="19" t="s">
        <v>1429</v>
      </c>
      <c r="H3127" s="19" t="s">
        <v>644</v>
      </c>
      <c r="I3127" s="19" t="s">
        <v>1386</v>
      </c>
      <c r="J3127" s="19" t="s">
        <v>37</v>
      </c>
      <c r="K3127" s="19" t="s">
        <v>970</v>
      </c>
      <c r="L3127" s="19">
        <v>2024</v>
      </c>
      <c r="M3127" s="20">
        <v>1</v>
      </c>
      <c r="N3127" s="19" t="s">
        <v>1798</v>
      </c>
      <c r="O3127" s="20">
        <v>0</v>
      </c>
      <c r="P3127" s="20">
        <v>0</v>
      </c>
      <c r="Q3127" s="20">
        <v>0</v>
      </c>
      <c r="R3127" s="21">
        <v>0.92</v>
      </c>
      <c r="S3127" s="20">
        <v>0</v>
      </c>
    </row>
    <row r="3128" spans="2:19" ht="15" customHeight="1" x14ac:dyDescent="0.25">
      <c r="B3128" s="2" t="str">
        <f t="shared" si="96"/>
        <v>NSG_Business_Small/Mid-Size Business_Rebates_Steam Traps_Industrial/Process Audit - 75 ≤ psig &lt; 125_CI/SMB</v>
      </c>
      <c r="C3128" s="2" t="str">
        <f t="shared" si="97"/>
        <v>NSG_Business_Small/Mid-Size Business_Rebates_Steam Traps_Industrial/Process Audit - 75 ≤ psig &lt; 125_CI/SMB_2025</v>
      </c>
      <c r="D3128" s="19" t="s">
        <v>1787</v>
      </c>
      <c r="E3128" s="19" t="s">
        <v>3</v>
      </c>
      <c r="F3128" s="19" t="s">
        <v>1432</v>
      </c>
      <c r="G3128" s="19" t="s">
        <v>1429</v>
      </c>
      <c r="H3128" s="19" t="s">
        <v>644</v>
      </c>
      <c r="I3128" s="19" t="s">
        <v>1386</v>
      </c>
      <c r="J3128" s="19" t="s">
        <v>37</v>
      </c>
      <c r="K3128" s="19" t="s">
        <v>970</v>
      </c>
      <c r="L3128" s="19">
        <v>2025</v>
      </c>
      <c r="M3128" s="20">
        <v>1</v>
      </c>
      <c r="N3128" s="19" t="s">
        <v>1798</v>
      </c>
      <c r="O3128" s="20">
        <v>0</v>
      </c>
      <c r="P3128" s="20">
        <v>0</v>
      </c>
      <c r="Q3128" s="20">
        <v>0</v>
      </c>
      <c r="R3128" s="21">
        <v>0.92</v>
      </c>
      <c r="S3128" s="20">
        <v>0</v>
      </c>
    </row>
    <row r="3129" spans="2:19" ht="15" customHeight="1" x14ac:dyDescent="0.25">
      <c r="B3129" s="2" t="str">
        <f t="shared" si="96"/>
        <v>NSG_Business_Small/Mid-Size Business_Rebates_Steam Traps_Industrial/Process Audit - 125 ≤ psig &lt; 175_CI/SMB</v>
      </c>
      <c r="C3129" s="2" t="str">
        <f t="shared" si="97"/>
        <v>NSG_Business_Small/Mid-Size Business_Rebates_Steam Traps_Industrial/Process Audit - 125 ≤ psig &lt; 175_CI/SMB_2022</v>
      </c>
      <c r="D3129" s="19" t="s">
        <v>1787</v>
      </c>
      <c r="E3129" s="19" t="s">
        <v>3</v>
      </c>
      <c r="F3129" s="19" t="s">
        <v>1432</v>
      </c>
      <c r="G3129" s="19" t="s">
        <v>1429</v>
      </c>
      <c r="H3129" s="19" t="s">
        <v>644</v>
      </c>
      <c r="I3129" s="19" t="s">
        <v>1374</v>
      </c>
      <c r="J3129" s="19" t="s">
        <v>37</v>
      </c>
      <c r="K3129" s="19" t="s">
        <v>970</v>
      </c>
      <c r="L3129" s="19">
        <v>2022</v>
      </c>
      <c r="M3129" s="20">
        <v>1</v>
      </c>
      <c r="N3129" s="19" t="s">
        <v>1798</v>
      </c>
      <c r="O3129" s="20">
        <v>0</v>
      </c>
      <c r="P3129" s="20">
        <v>0</v>
      </c>
      <c r="Q3129" s="20">
        <v>0</v>
      </c>
      <c r="R3129" s="21">
        <v>0.92</v>
      </c>
      <c r="S3129" s="20">
        <v>0</v>
      </c>
    </row>
    <row r="3130" spans="2:19" ht="15" customHeight="1" x14ac:dyDescent="0.25">
      <c r="B3130" s="2" t="str">
        <f t="shared" si="96"/>
        <v>NSG_Business_Small/Mid-Size Business_Rebates_Steam Traps_Industrial/Process Audit - 125 ≤ psig &lt; 175_CI/SMB</v>
      </c>
      <c r="C3130" s="2" t="str">
        <f t="shared" si="97"/>
        <v>NSG_Business_Small/Mid-Size Business_Rebates_Steam Traps_Industrial/Process Audit - 125 ≤ psig &lt; 175_CI/SMB_2023</v>
      </c>
      <c r="D3130" s="19" t="s">
        <v>1787</v>
      </c>
      <c r="E3130" s="19" t="s">
        <v>3</v>
      </c>
      <c r="F3130" s="19" t="s">
        <v>1432</v>
      </c>
      <c r="G3130" s="19" t="s">
        <v>1429</v>
      </c>
      <c r="H3130" s="19" t="s">
        <v>644</v>
      </c>
      <c r="I3130" s="19" t="s">
        <v>1374</v>
      </c>
      <c r="J3130" s="19" t="s">
        <v>37</v>
      </c>
      <c r="K3130" s="19" t="s">
        <v>970</v>
      </c>
      <c r="L3130" s="19">
        <v>2023</v>
      </c>
      <c r="M3130" s="20">
        <v>1</v>
      </c>
      <c r="N3130" s="19" t="s">
        <v>1798</v>
      </c>
      <c r="O3130" s="20">
        <v>0</v>
      </c>
      <c r="P3130" s="20">
        <v>0</v>
      </c>
      <c r="Q3130" s="20">
        <v>0</v>
      </c>
      <c r="R3130" s="21">
        <v>0.92</v>
      </c>
      <c r="S3130" s="20">
        <v>0</v>
      </c>
    </row>
    <row r="3131" spans="2:19" ht="15" customHeight="1" x14ac:dyDescent="0.25">
      <c r="B3131" s="2" t="str">
        <f t="shared" si="96"/>
        <v>NSG_Business_Small/Mid-Size Business_Rebates_Steam Traps_Industrial/Process Audit - 125 ≤ psig &lt; 175_CI/SMB</v>
      </c>
      <c r="C3131" s="2" t="str">
        <f t="shared" si="97"/>
        <v>NSG_Business_Small/Mid-Size Business_Rebates_Steam Traps_Industrial/Process Audit - 125 ≤ psig &lt; 175_CI/SMB_2024</v>
      </c>
      <c r="D3131" s="19" t="s">
        <v>1787</v>
      </c>
      <c r="E3131" s="19" t="s">
        <v>3</v>
      </c>
      <c r="F3131" s="19" t="s">
        <v>1432</v>
      </c>
      <c r="G3131" s="19" t="s">
        <v>1429</v>
      </c>
      <c r="H3131" s="19" t="s">
        <v>644</v>
      </c>
      <c r="I3131" s="19" t="s">
        <v>1374</v>
      </c>
      <c r="J3131" s="19" t="s">
        <v>37</v>
      </c>
      <c r="K3131" s="19" t="s">
        <v>970</v>
      </c>
      <c r="L3131" s="19">
        <v>2024</v>
      </c>
      <c r="M3131" s="20">
        <v>1</v>
      </c>
      <c r="N3131" s="19" t="s">
        <v>1798</v>
      </c>
      <c r="O3131" s="20">
        <v>0</v>
      </c>
      <c r="P3131" s="20">
        <v>0</v>
      </c>
      <c r="Q3131" s="20">
        <v>0</v>
      </c>
      <c r="R3131" s="21">
        <v>0.92</v>
      </c>
      <c r="S3131" s="20">
        <v>0</v>
      </c>
    </row>
    <row r="3132" spans="2:19" ht="15" customHeight="1" x14ac:dyDescent="0.25">
      <c r="B3132" s="2" t="str">
        <f t="shared" si="96"/>
        <v>NSG_Business_Small/Mid-Size Business_Rebates_Steam Traps_Industrial/Process Audit - 125 ≤ psig &lt; 175_CI/SMB</v>
      </c>
      <c r="C3132" s="2" t="str">
        <f t="shared" si="97"/>
        <v>NSG_Business_Small/Mid-Size Business_Rebates_Steam Traps_Industrial/Process Audit - 125 ≤ psig &lt; 175_CI/SMB_2025</v>
      </c>
      <c r="D3132" s="19" t="s">
        <v>1787</v>
      </c>
      <c r="E3132" s="19" t="s">
        <v>3</v>
      </c>
      <c r="F3132" s="19" t="s">
        <v>1432</v>
      </c>
      <c r="G3132" s="19" t="s">
        <v>1429</v>
      </c>
      <c r="H3132" s="19" t="s">
        <v>644</v>
      </c>
      <c r="I3132" s="19" t="s">
        <v>1374</v>
      </c>
      <c r="J3132" s="19" t="s">
        <v>37</v>
      </c>
      <c r="K3132" s="19" t="s">
        <v>970</v>
      </c>
      <c r="L3132" s="19">
        <v>2025</v>
      </c>
      <c r="M3132" s="20">
        <v>1</v>
      </c>
      <c r="N3132" s="19" t="s">
        <v>1798</v>
      </c>
      <c r="O3132" s="20">
        <v>0</v>
      </c>
      <c r="P3132" s="20">
        <v>0</v>
      </c>
      <c r="Q3132" s="20">
        <v>0</v>
      </c>
      <c r="R3132" s="21">
        <v>0.92</v>
      </c>
      <c r="S3132" s="20">
        <v>0</v>
      </c>
    </row>
    <row r="3133" spans="2:19" ht="15" customHeight="1" x14ac:dyDescent="0.25">
      <c r="B3133" s="2" t="str">
        <f t="shared" si="96"/>
        <v>NSG_Business_Small/Mid-Size Business_Rebates_Steam Traps_Industrial/Process Audit - 175 ≤ psig &lt; 250_CI/SMB</v>
      </c>
      <c r="C3133" s="2" t="str">
        <f t="shared" si="97"/>
        <v>NSG_Business_Small/Mid-Size Business_Rebates_Steam Traps_Industrial/Process Audit - 175 ≤ psig &lt; 250_CI/SMB_2022</v>
      </c>
      <c r="D3133" s="19" t="s">
        <v>1787</v>
      </c>
      <c r="E3133" s="19" t="s">
        <v>3</v>
      </c>
      <c r="F3133" s="19" t="s">
        <v>1432</v>
      </c>
      <c r="G3133" s="19" t="s">
        <v>1429</v>
      </c>
      <c r="H3133" s="19" t="s">
        <v>644</v>
      </c>
      <c r="I3133" s="19" t="s">
        <v>1375</v>
      </c>
      <c r="J3133" s="19" t="s">
        <v>37</v>
      </c>
      <c r="K3133" s="19" t="s">
        <v>970</v>
      </c>
      <c r="L3133" s="19">
        <v>2022</v>
      </c>
      <c r="M3133" s="20">
        <v>1</v>
      </c>
      <c r="N3133" s="19" t="s">
        <v>1798</v>
      </c>
      <c r="O3133" s="20">
        <v>0</v>
      </c>
      <c r="P3133" s="20">
        <v>0</v>
      </c>
      <c r="Q3133" s="20">
        <v>0</v>
      </c>
      <c r="R3133" s="21">
        <v>0.92</v>
      </c>
      <c r="S3133" s="20">
        <v>0</v>
      </c>
    </row>
    <row r="3134" spans="2:19" ht="15" customHeight="1" x14ac:dyDescent="0.25">
      <c r="B3134" s="2" t="str">
        <f t="shared" si="96"/>
        <v>NSG_Business_Small/Mid-Size Business_Rebates_Steam Traps_Industrial/Process Audit - 175 ≤ psig &lt; 250_CI/SMB</v>
      </c>
      <c r="C3134" s="2" t="str">
        <f t="shared" si="97"/>
        <v>NSG_Business_Small/Mid-Size Business_Rebates_Steam Traps_Industrial/Process Audit - 175 ≤ psig &lt; 250_CI/SMB_2023</v>
      </c>
      <c r="D3134" s="19" t="s">
        <v>1787</v>
      </c>
      <c r="E3134" s="19" t="s">
        <v>3</v>
      </c>
      <c r="F3134" s="19" t="s">
        <v>1432</v>
      </c>
      <c r="G3134" s="19" t="s">
        <v>1429</v>
      </c>
      <c r="H3134" s="19" t="s">
        <v>644</v>
      </c>
      <c r="I3134" s="19" t="s">
        <v>1375</v>
      </c>
      <c r="J3134" s="19" t="s">
        <v>37</v>
      </c>
      <c r="K3134" s="19" t="s">
        <v>970</v>
      </c>
      <c r="L3134" s="19">
        <v>2023</v>
      </c>
      <c r="M3134" s="20">
        <v>1</v>
      </c>
      <c r="N3134" s="19" t="s">
        <v>1798</v>
      </c>
      <c r="O3134" s="20">
        <v>0</v>
      </c>
      <c r="P3134" s="20">
        <v>0</v>
      </c>
      <c r="Q3134" s="20">
        <v>0</v>
      </c>
      <c r="R3134" s="21">
        <v>0.92</v>
      </c>
      <c r="S3134" s="20">
        <v>0</v>
      </c>
    </row>
    <row r="3135" spans="2:19" ht="15" customHeight="1" x14ac:dyDescent="0.25">
      <c r="B3135" s="2" t="str">
        <f t="shared" si="96"/>
        <v>NSG_Business_Small/Mid-Size Business_Rebates_Steam Traps_Industrial/Process Audit - 175 ≤ psig &lt; 250_CI/SMB</v>
      </c>
      <c r="C3135" s="2" t="str">
        <f t="shared" si="97"/>
        <v>NSG_Business_Small/Mid-Size Business_Rebates_Steam Traps_Industrial/Process Audit - 175 ≤ psig &lt; 250_CI/SMB_2024</v>
      </c>
      <c r="D3135" s="19" t="s">
        <v>1787</v>
      </c>
      <c r="E3135" s="19" t="s">
        <v>3</v>
      </c>
      <c r="F3135" s="19" t="s">
        <v>1432</v>
      </c>
      <c r="G3135" s="19" t="s">
        <v>1429</v>
      </c>
      <c r="H3135" s="19" t="s">
        <v>644</v>
      </c>
      <c r="I3135" s="19" t="s">
        <v>1375</v>
      </c>
      <c r="J3135" s="19" t="s">
        <v>37</v>
      </c>
      <c r="K3135" s="19" t="s">
        <v>970</v>
      </c>
      <c r="L3135" s="19">
        <v>2024</v>
      </c>
      <c r="M3135" s="20">
        <v>1</v>
      </c>
      <c r="N3135" s="19" t="s">
        <v>1798</v>
      </c>
      <c r="O3135" s="20">
        <v>0</v>
      </c>
      <c r="P3135" s="20">
        <v>0</v>
      </c>
      <c r="Q3135" s="20">
        <v>0</v>
      </c>
      <c r="R3135" s="21">
        <v>0.92</v>
      </c>
      <c r="S3135" s="20">
        <v>0</v>
      </c>
    </row>
    <row r="3136" spans="2:19" ht="15" customHeight="1" x14ac:dyDescent="0.25">
      <c r="B3136" s="2" t="str">
        <f t="shared" si="96"/>
        <v>NSG_Business_Small/Mid-Size Business_Rebates_Steam Traps_Industrial/Process Audit - 175 ≤ psig &lt; 250_CI/SMB</v>
      </c>
      <c r="C3136" s="2" t="str">
        <f t="shared" si="97"/>
        <v>NSG_Business_Small/Mid-Size Business_Rebates_Steam Traps_Industrial/Process Audit - 175 ≤ psig &lt; 250_CI/SMB_2025</v>
      </c>
      <c r="D3136" s="19" t="s">
        <v>1787</v>
      </c>
      <c r="E3136" s="19" t="s">
        <v>3</v>
      </c>
      <c r="F3136" s="19" t="s">
        <v>1432</v>
      </c>
      <c r="G3136" s="19" t="s">
        <v>1429</v>
      </c>
      <c r="H3136" s="19" t="s">
        <v>644</v>
      </c>
      <c r="I3136" s="19" t="s">
        <v>1375</v>
      </c>
      <c r="J3136" s="19" t="s">
        <v>37</v>
      </c>
      <c r="K3136" s="19" t="s">
        <v>970</v>
      </c>
      <c r="L3136" s="19">
        <v>2025</v>
      </c>
      <c r="M3136" s="20">
        <v>1</v>
      </c>
      <c r="N3136" s="19" t="s">
        <v>1798</v>
      </c>
      <c r="O3136" s="20">
        <v>0</v>
      </c>
      <c r="P3136" s="20">
        <v>0</v>
      </c>
      <c r="Q3136" s="20">
        <v>0</v>
      </c>
      <c r="R3136" s="21">
        <v>0.92</v>
      </c>
      <c r="S3136" s="20">
        <v>0</v>
      </c>
    </row>
    <row r="3137" spans="2:19" ht="15" customHeight="1" x14ac:dyDescent="0.25">
      <c r="B3137" s="2" t="str">
        <f t="shared" si="96"/>
        <v>NSG_Business_Small/Mid-Size Business_Rebates_Steam Traps_Industrial/Process Audit - 250 ≤ psig_CI/SMB</v>
      </c>
      <c r="C3137" s="2" t="str">
        <f t="shared" si="97"/>
        <v>NSG_Business_Small/Mid-Size Business_Rebates_Steam Traps_Industrial/Process Audit - 250 ≤ psig_CI/SMB_2022</v>
      </c>
      <c r="D3137" s="19" t="s">
        <v>1787</v>
      </c>
      <c r="E3137" s="19" t="s">
        <v>3</v>
      </c>
      <c r="F3137" s="19" t="s">
        <v>1432</v>
      </c>
      <c r="G3137" s="19" t="s">
        <v>1429</v>
      </c>
      <c r="H3137" s="19" t="s">
        <v>644</v>
      </c>
      <c r="I3137" s="19" t="s">
        <v>1376</v>
      </c>
      <c r="J3137" s="19" t="s">
        <v>37</v>
      </c>
      <c r="K3137" s="19" t="s">
        <v>970</v>
      </c>
      <c r="L3137" s="19">
        <v>2022</v>
      </c>
      <c r="M3137" s="20">
        <v>1</v>
      </c>
      <c r="N3137" s="19" t="s">
        <v>1798</v>
      </c>
      <c r="O3137" s="20">
        <v>0</v>
      </c>
      <c r="P3137" s="20">
        <v>0</v>
      </c>
      <c r="Q3137" s="20">
        <v>0</v>
      </c>
      <c r="R3137" s="21">
        <v>0.92</v>
      </c>
      <c r="S3137" s="20">
        <v>0</v>
      </c>
    </row>
    <row r="3138" spans="2:19" ht="15" customHeight="1" x14ac:dyDescent="0.25">
      <c r="B3138" s="2" t="str">
        <f t="shared" si="96"/>
        <v>NSG_Business_Small/Mid-Size Business_Rebates_Steam Traps_Industrial/Process Audit - 250 ≤ psig_CI/SMB</v>
      </c>
      <c r="C3138" s="2" t="str">
        <f t="shared" si="97"/>
        <v>NSG_Business_Small/Mid-Size Business_Rebates_Steam Traps_Industrial/Process Audit - 250 ≤ psig_CI/SMB_2023</v>
      </c>
      <c r="D3138" s="19" t="s">
        <v>1787</v>
      </c>
      <c r="E3138" s="19" t="s">
        <v>3</v>
      </c>
      <c r="F3138" s="19" t="s">
        <v>1432</v>
      </c>
      <c r="G3138" s="19" t="s">
        <v>1429</v>
      </c>
      <c r="H3138" s="19" t="s">
        <v>644</v>
      </c>
      <c r="I3138" s="19" t="s">
        <v>1376</v>
      </c>
      <c r="J3138" s="19" t="s">
        <v>37</v>
      </c>
      <c r="K3138" s="19" t="s">
        <v>970</v>
      </c>
      <c r="L3138" s="19">
        <v>2023</v>
      </c>
      <c r="M3138" s="20">
        <v>1</v>
      </c>
      <c r="N3138" s="19" t="s">
        <v>1798</v>
      </c>
      <c r="O3138" s="20">
        <v>0</v>
      </c>
      <c r="P3138" s="20">
        <v>0</v>
      </c>
      <c r="Q3138" s="20">
        <v>0</v>
      </c>
      <c r="R3138" s="21">
        <v>0.92</v>
      </c>
      <c r="S3138" s="20">
        <v>0</v>
      </c>
    </row>
    <row r="3139" spans="2:19" ht="15" customHeight="1" x14ac:dyDescent="0.25">
      <c r="B3139" s="2" t="str">
        <f t="shared" si="96"/>
        <v>NSG_Business_Small/Mid-Size Business_Rebates_Steam Traps_Industrial/Process Audit - 250 ≤ psig_CI/SMB</v>
      </c>
      <c r="C3139" s="2" t="str">
        <f t="shared" si="97"/>
        <v>NSG_Business_Small/Mid-Size Business_Rebates_Steam Traps_Industrial/Process Audit - 250 ≤ psig_CI/SMB_2024</v>
      </c>
      <c r="D3139" s="19" t="s">
        <v>1787</v>
      </c>
      <c r="E3139" s="19" t="s">
        <v>3</v>
      </c>
      <c r="F3139" s="19" t="s">
        <v>1432</v>
      </c>
      <c r="G3139" s="19" t="s">
        <v>1429</v>
      </c>
      <c r="H3139" s="19" t="s">
        <v>644</v>
      </c>
      <c r="I3139" s="19" t="s">
        <v>1376</v>
      </c>
      <c r="J3139" s="19" t="s">
        <v>37</v>
      </c>
      <c r="K3139" s="19" t="s">
        <v>970</v>
      </c>
      <c r="L3139" s="19">
        <v>2024</v>
      </c>
      <c r="M3139" s="20">
        <v>1</v>
      </c>
      <c r="N3139" s="19" t="s">
        <v>1798</v>
      </c>
      <c r="O3139" s="20">
        <v>0</v>
      </c>
      <c r="P3139" s="20">
        <v>0</v>
      </c>
      <c r="Q3139" s="20">
        <v>0</v>
      </c>
      <c r="R3139" s="21">
        <v>0.92</v>
      </c>
      <c r="S3139" s="20">
        <v>0</v>
      </c>
    </row>
    <row r="3140" spans="2:19" ht="15" customHeight="1" x14ac:dyDescent="0.25">
      <c r="B3140" s="2" t="str">
        <f t="shared" si="96"/>
        <v>NSG_Business_Small/Mid-Size Business_Rebates_Steam Traps_Industrial/Process Audit - 250 ≤ psig_CI/SMB</v>
      </c>
      <c r="C3140" s="2" t="str">
        <f t="shared" si="97"/>
        <v>NSG_Business_Small/Mid-Size Business_Rebates_Steam Traps_Industrial/Process Audit - 250 ≤ psig_CI/SMB_2025</v>
      </c>
      <c r="D3140" s="19" t="s">
        <v>1787</v>
      </c>
      <c r="E3140" s="19" t="s">
        <v>3</v>
      </c>
      <c r="F3140" s="19" t="s">
        <v>1432</v>
      </c>
      <c r="G3140" s="19" t="s">
        <v>1429</v>
      </c>
      <c r="H3140" s="19" t="s">
        <v>644</v>
      </c>
      <c r="I3140" s="19" t="s">
        <v>1376</v>
      </c>
      <c r="J3140" s="19" t="s">
        <v>37</v>
      </c>
      <c r="K3140" s="19" t="s">
        <v>970</v>
      </c>
      <c r="L3140" s="19">
        <v>2025</v>
      </c>
      <c r="M3140" s="20">
        <v>1</v>
      </c>
      <c r="N3140" s="19" t="s">
        <v>1798</v>
      </c>
      <c r="O3140" s="20">
        <v>0</v>
      </c>
      <c r="P3140" s="20">
        <v>0</v>
      </c>
      <c r="Q3140" s="20">
        <v>0</v>
      </c>
      <c r="R3140" s="21">
        <v>0.92</v>
      </c>
      <c r="S3140" s="20">
        <v>0</v>
      </c>
    </row>
    <row r="3141" spans="2:19" ht="15" customHeight="1" x14ac:dyDescent="0.25">
      <c r="B3141" s="2" t="str">
        <f t="shared" si="96"/>
        <v>NSG_Business_Small/Mid-Size Business_Rebates_Steam Traps_Test_CI</v>
      </c>
      <c r="C3141" s="2" t="str">
        <f t="shared" si="97"/>
        <v>NSG_Business_Small/Mid-Size Business_Rebates_Steam Traps_Test_CI_2022</v>
      </c>
      <c r="D3141" s="19" t="s">
        <v>1787</v>
      </c>
      <c r="E3141" s="19" t="s">
        <v>3</v>
      </c>
      <c r="F3141" s="19" t="s">
        <v>1432</v>
      </c>
      <c r="G3141" s="19" t="s">
        <v>1429</v>
      </c>
      <c r="H3141" s="19" t="s">
        <v>644</v>
      </c>
      <c r="I3141" s="19" t="s">
        <v>1097</v>
      </c>
      <c r="J3141" s="19">
        <v>0</v>
      </c>
      <c r="K3141" s="19" t="s">
        <v>1159</v>
      </c>
      <c r="L3141" s="19">
        <v>2022</v>
      </c>
      <c r="M3141" s="20">
        <v>1</v>
      </c>
      <c r="N3141" s="19" t="s">
        <v>1798</v>
      </c>
      <c r="O3141" s="20">
        <v>0</v>
      </c>
      <c r="P3141" s="20">
        <v>0</v>
      </c>
      <c r="Q3141" s="20">
        <v>0</v>
      </c>
      <c r="R3141" s="21">
        <v>0.92</v>
      </c>
      <c r="S3141" s="20">
        <v>0</v>
      </c>
    </row>
    <row r="3142" spans="2:19" ht="15" customHeight="1" x14ac:dyDescent="0.25">
      <c r="B3142" s="2" t="str">
        <f t="shared" ref="B3142:B3205" si="98">D3142&amp;"_"&amp;E3142&amp;"_"&amp;F3142&amp;"_"&amp;G3142&amp;"_"&amp;H3142&amp;"_"&amp;I3142&amp;"_"&amp;K3142</f>
        <v>NSG_Business_Small/Mid-Size Business_Rebates_Steam Traps_Test_CI</v>
      </c>
      <c r="C3142" s="2" t="str">
        <f t="shared" ref="C3142:C3205" si="99">D3142&amp;"_"&amp;E3142&amp;"_"&amp;F3142&amp;"_"&amp;G3142&amp;"_"&amp;H3142&amp;"_"&amp;I3142&amp;"_"&amp;K3142&amp;"_"&amp;L3142</f>
        <v>NSG_Business_Small/Mid-Size Business_Rebates_Steam Traps_Test_CI_2023</v>
      </c>
      <c r="D3142" s="19" t="s">
        <v>1787</v>
      </c>
      <c r="E3142" s="19" t="s">
        <v>3</v>
      </c>
      <c r="F3142" s="19" t="s">
        <v>1432</v>
      </c>
      <c r="G3142" s="19" t="s">
        <v>1429</v>
      </c>
      <c r="H3142" s="19" t="s">
        <v>644</v>
      </c>
      <c r="I3142" s="19" t="s">
        <v>1097</v>
      </c>
      <c r="J3142" s="19">
        <v>0</v>
      </c>
      <c r="K3142" s="19" t="s">
        <v>1159</v>
      </c>
      <c r="L3142" s="19">
        <v>2023</v>
      </c>
      <c r="M3142" s="20">
        <v>1</v>
      </c>
      <c r="N3142" s="19" t="s">
        <v>1798</v>
      </c>
      <c r="O3142" s="20">
        <v>0</v>
      </c>
      <c r="P3142" s="20">
        <v>0</v>
      </c>
      <c r="Q3142" s="20">
        <v>0</v>
      </c>
      <c r="R3142" s="21">
        <v>0.92</v>
      </c>
      <c r="S3142" s="20">
        <v>0</v>
      </c>
    </row>
    <row r="3143" spans="2:19" ht="15" customHeight="1" x14ac:dyDescent="0.25">
      <c r="B3143" s="2" t="str">
        <f t="shared" si="98"/>
        <v>NSG_Business_Small/Mid-Size Business_Rebates_Steam Traps_Test_CI</v>
      </c>
      <c r="C3143" s="2" t="str">
        <f t="shared" si="99"/>
        <v>NSG_Business_Small/Mid-Size Business_Rebates_Steam Traps_Test_CI_2024</v>
      </c>
      <c r="D3143" s="19" t="s">
        <v>1787</v>
      </c>
      <c r="E3143" s="19" t="s">
        <v>3</v>
      </c>
      <c r="F3143" s="19" t="s">
        <v>1432</v>
      </c>
      <c r="G3143" s="19" t="s">
        <v>1429</v>
      </c>
      <c r="H3143" s="19" t="s">
        <v>644</v>
      </c>
      <c r="I3143" s="19" t="s">
        <v>1097</v>
      </c>
      <c r="J3143" s="19">
        <v>0</v>
      </c>
      <c r="K3143" s="19" t="s">
        <v>1159</v>
      </c>
      <c r="L3143" s="19">
        <v>2024</v>
      </c>
      <c r="M3143" s="20">
        <v>1</v>
      </c>
      <c r="N3143" s="19" t="s">
        <v>1798</v>
      </c>
      <c r="O3143" s="20">
        <v>0</v>
      </c>
      <c r="P3143" s="20">
        <v>0</v>
      </c>
      <c r="Q3143" s="20">
        <v>0</v>
      </c>
      <c r="R3143" s="21">
        <v>0.92</v>
      </c>
      <c r="S3143" s="20">
        <v>0</v>
      </c>
    </row>
    <row r="3144" spans="2:19" ht="15" customHeight="1" x14ac:dyDescent="0.25">
      <c r="B3144" s="2" t="str">
        <f t="shared" si="98"/>
        <v>NSG_Business_Small/Mid-Size Business_Rebates_Steam Traps_Test_CI</v>
      </c>
      <c r="C3144" s="2" t="str">
        <f t="shared" si="99"/>
        <v>NSG_Business_Small/Mid-Size Business_Rebates_Steam Traps_Test_CI_2025</v>
      </c>
      <c r="D3144" s="19" t="s">
        <v>1787</v>
      </c>
      <c r="E3144" s="19" t="s">
        <v>3</v>
      </c>
      <c r="F3144" s="19" t="s">
        <v>1432</v>
      </c>
      <c r="G3144" s="19" t="s">
        <v>1429</v>
      </c>
      <c r="H3144" s="19" t="s">
        <v>644</v>
      </c>
      <c r="I3144" s="19" t="s">
        <v>1097</v>
      </c>
      <c r="J3144" s="19">
        <v>0</v>
      </c>
      <c r="K3144" s="19" t="s">
        <v>1159</v>
      </c>
      <c r="L3144" s="19">
        <v>2025</v>
      </c>
      <c r="M3144" s="20">
        <v>1</v>
      </c>
      <c r="N3144" s="19" t="s">
        <v>1798</v>
      </c>
      <c r="O3144" s="20">
        <v>0</v>
      </c>
      <c r="P3144" s="20">
        <v>0</v>
      </c>
      <c r="Q3144" s="20">
        <v>0</v>
      </c>
      <c r="R3144" s="21">
        <v>0.92</v>
      </c>
      <c r="S3144" s="20">
        <v>0</v>
      </c>
    </row>
    <row r="3145" spans="2:19" ht="15" customHeight="1" x14ac:dyDescent="0.25">
      <c r="B3145" s="2" t="str">
        <f t="shared" si="98"/>
        <v>NSG_Business_Small/Mid-Size Business_Rebates_Programmable Thermostat_0_CI</v>
      </c>
      <c r="C3145" s="2" t="str">
        <f t="shared" si="99"/>
        <v>NSG_Business_Small/Mid-Size Business_Rebates_Programmable Thermostat_0_CI_2022</v>
      </c>
      <c r="D3145" s="19" t="s">
        <v>1787</v>
      </c>
      <c r="E3145" s="19" t="s">
        <v>3</v>
      </c>
      <c r="F3145" s="19" t="s">
        <v>1432</v>
      </c>
      <c r="G3145" s="19" t="s">
        <v>1429</v>
      </c>
      <c r="H3145" s="19" t="s">
        <v>224</v>
      </c>
      <c r="I3145" s="19">
        <v>0</v>
      </c>
      <c r="J3145" s="19" t="s">
        <v>1183</v>
      </c>
      <c r="K3145" s="19" t="s">
        <v>1159</v>
      </c>
      <c r="L3145" s="19">
        <v>2022</v>
      </c>
      <c r="M3145" s="20">
        <v>1</v>
      </c>
      <c r="N3145" s="19" t="s">
        <v>1798</v>
      </c>
      <c r="O3145" s="20">
        <v>7</v>
      </c>
      <c r="P3145" s="20">
        <v>7</v>
      </c>
      <c r="Q3145" s="20">
        <v>1025.9250050000003</v>
      </c>
      <c r="R3145" s="21">
        <v>0.92</v>
      </c>
      <c r="S3145" s="20">
        <v>1025.9250050000003</v>
      </c>
    </row>
    <row r="3146" spans="2:19" ht="15" customHeight="1" x14ac:dyDescent="0.25">
      <c r="B3146" s="2" t="str">
        <f t="shared" si="98"/>
        <v>NSG_Business_Small/Mid-Size Business_Rebates_Programmable Thermostat_0_CI</v>
      </c>
      <c r="C3146" s="2" t="str">
        <f t="shared" si="99"/>
        <v>NSG_Business_Small/Mid-Size Business_Rebates_Programmable Thermostat_0_CI_2023</v>
      </c>
      <c r="D3146" s="19" t="s">
        <v>1787</v>
      </c>
      <c r="E3146" s="19" t="s">
        <v>3</v>
      </c>
      <c r="F3146" s="19" t="s">
        <v>1432</v>
      </c>
      <c r="G3146" s="19" t="s">
        <v>1429</v>
      </c>
      <c r="H3146" s="19" t="s">
        <v>224</v>
      </c>
      <c r="I3146" s="19">
        <v>0</v>
      </c>
      <c r="J3146" s="19" t="s">
        <v>1183</v>
      </c>
      <c r="K3146" s="19" t="s">
        <v>1159</v>
      </c>
      <c r="L3146" s="19">
        <v>2023</v>
      </c>
      <c r="M3146" s="20">
        <v>1</v>
      </c>
      <c r="N3146" s="19" t="s">
        <v>1798</v>
      </c>
      <c r="O3146" s="20">
        <v>7</v>
      </c>
      <c r="P3146" s="20">
        <v>7</v>
      </c>
      <c r="Q3146" s="20">
        <v>1025.9250050000003</v>
      </c>
      <c r="R3146" s="21">
        <v>0.92</v>
      </c>
      <c r="S3146" s="20">
        <v>1025.9250050000003</v>
      </c>
    </row>
    <row r="3147" spans="2:19" ht="15" customHeight="1" x14ac:dyDescent="0.25">
      <c r="B3147" s="2" t="str">
        <f t="shared" si="98"/>
        <v>NSG_Business_Small/Mid-Size Business_Rebates_Programmable Thermostat_0_CI</v>
      </c>
      <c r="C3147" s="2" t="str">
        <f t="shared" si="99"/>
        <v>NSG_Business_Small/Mid-Size Business_Rebates_Programmable Thermostat_0_CI_2024</v>
      </c>
      <c r="D3147" s="19" t="s">
        <v>1787</v>
      </c>
      <c r="E3147" s="19" t="s">
        <v>3</v>
      </c>
      <c r="F3147" s="19" t="s">
        <v>1432</v>
      </c>
      <c r="G3147" s="19" t="s">
        <v>1429</v>
      </c>
      <c r="H3147" s="19" t="s">
        <v>224</v>
      </c>
      <c r="I3147" s="19">
        <v>0</v>
      </c>
      <c r="J3147" s="19" t="s">
        <v>1183</v>
      </c>
      <c r="K3147" s="19" t="s">
        <v>1159</v>
      </c>
      <c r="L3147" s="19">
        <v>2024</v>
      </c>
      <c r="M3147" s="20">
        <v>1</v>
      </c>
      <c r="N3147" s="19" t="s">
        <v>1798</v>
      </c>
      <c r="O3147" s="20">
        <v>6</v>
      </c>
      <c r="P3147" s="20">
        <v>6</v>
      </c>
      <c r="Q3147" s="20">
        <v>879.36429000000021</v>
      </c>
      <c r="R3147" s="21">
        <v>0.92</v>
      </c>
      <c r="S3147" s="20">
        <v>879.36429000000021</v>
      </c>
    </row>
    <row r="3148" spans="2:19" ht="15" customHeight="1" x14ac:dyDescent="0.25">
      <c r="B3148" s="2" t="str">
        <f t="shared" si="98"/>
        <v>NSG_Business_Small/Mid-Size Business_Rebates_Programmable Thermostat_0_CI</v>
      </c>
      <c r="C3148" s="2" t="str">
        <f t="shared" si="99"/>
        <v>NSG_Business_Small/Mid-Size Business_Rebates_Programmable Thermostat_0_CI_2025</v>
      </c>
      <c r="D3148" s="19" t="s">
        <v>1787</v>
      </c>
      <c r="E3148" s="19" t="s">
        <v>3</v>
      </c>
      <c r="F3148" s="19" t="s">
        <v>1432</v>
      </c>
      <c r="G3148" s="19" t="s">
        <v>1429</v>
      </c>
      <c r="H3148" s="19" t="s">
        <v>224</v>
      </c>
      <c r="I3148" s="19">
        <v>0</v>
      </c>
      <c r="J3148" s="19" t="s">
        <v>1183</v>
      </c>
      <c r="K3148" s="19" t="s">
        <v>1159</v>
      </c>
      <c r="L3148" s="19">
        <v>2025</v>
      </c>
      <c r="M3148" s="20">
        <v>1</v>
      </c>
      <c r="N3148" s="19" t="s">
        <v>1798</v>
      </c>
      <c r="O3148" s="20">
        <v>6</v>
      </c>
      <c r="P3148" s="20">
        <v>6</v>
      </c>
      <c r="Q3148" s="20">
        <v>879.36429000000021</v>
      </c>
      <c r="R3148" s="21">
        <v>0.92</v>
      </c>
      <c r="S3148" s="20">
        <v>879.36429000000021</v>
      </c>
    </row>
    <row r="3149" spans="2:19" ht="15" customHeight="1" x14ac:dyDescent="0.25">
      <c r="B3149" s="2" t="str">
        <f t="shared" si="98"/>
        <v>NSG_Business_Small/Mid-Size Business_Rebates_Water Heater_Storage 88% TE ≥75MBh_CI</v>
      </c>
      <c r="C3149" s="2" t="str">
        <f t="shared" si="99"/>
        <v>NSG_Business_Small/Mid-Size Business_Rebates_Water Heater_Storage 88% TE ≥75MBh_CI_2022</v>
      </c>
      <c r="D3149" s="19" t="s">
        <v>1787</v>
      </c>
      <c r="E3149" s="19" t="s">
        <v>3</v>
      </c>
      <c r="F3149" s="19" t="s">
        <v>1432</v>
      </c>
      <c r="G3149" s="19" t="s">
        <v>1429</v>
      </c>
      <c r="H3149" s="19" t="s">
        <v>8</v>
      </c>
      <c r="I3149" s="19" t="s">
        <v>1262</v>
      </c>
      <c r="J3149" s="19" t="s">
        <v>1263</v>
      </c>
      <c r="K3149" s="19" t="s">
        <v>1159</v>
      </c>
      <c r="L3149" s="19">
        <v>2022</v>
      </c>
      <c r="M3149" s="20">
        <v>1</v>
      </c>
      <c r="N3149" s="19" t="s">
        <v>1798</v>
      </c>
      <c r="O3149" s="20">
        <v>0</v>
      </c>
      <c r="P3149" s="20">
        <v>0</v>
      </c>
      <c r="Q3149" s="20">
        <v>0</v>
      </c>
      <c r="R3149" s="21">
        <v>0.92</v>
      </c>
      <c r="S3149" s="20">
        <v>0</v>
      </c>
    </row>
    <row r="3150" spans="2:19" ht="15" customHeight="1" x14ac:dyDescent="0.25">
      <c r="B3150" s="2" t="str">
        <f t="shared" si="98"/>
        <v>NSG_Business_Small/Mid-Size Business_Rebates_Water Heater_Storage 88% TE ≥75MBh_CI</v>
      </c>
      <c r="C3150" s="2" t="str">
        <f t="shared" si="99"/>
        <v>NSG_Business_Small/Mid-Size Business_Rebates_Water Heater_Storage 88% TE ≥75MBh_CI_2023</v>
      </c>
      <c r="D3150" s="19" t="s">
        <v>1787</v>
      </c>
      <c r="E3150" s="19" t="s">
        <v>3</v>
      </c>
      <c r="F3150" s="19" t="s">
        <v>1432</v>
      </c>
      <c r="G3150" s="19" t="s">
        <v>1429</v>
      </c>
      <c r="H3150" s="19" t="s">
        <v>8</v>
      </c>
      <c r="I3150" s="19" t="s">
        <v>1262</v>
      </c>
      <c r="J3150" s="19" t="s">
        <v>1263</v>
      </c>
      <c r="K3150" s="19" t="s">
        <v>1159</v>
      </c>
      <c r="L3150" s="19">
        <v>2023</v>
      </c>
      <c r="M3150" s="20">
        <v>1</v>
      </c>
      <c r="N3150" s="19" t="s">
        <v>1798</v>
      </c>
      <c r="O3150" s="20">
        <v>0</v>
      </c>
      <c r="P3150" s="20">
        <v>0</v>
      </c>
      <c r="Q3150" s="20">
        <v>0</v>
      </c>
      <c r="R3150" s="21">
        <v>0.92</v>
      </c>
      <c r="S3150" s="20">
        <v>0</v>
      </c>
    </row>
    <row r="3151" spans="2:19" ht="15" customHeight="1" x14ac:dyDescent="0.25">
      <c r="B3151" s="2" t="str">
        <f t="shared" si="98"/>
        <v>NSG_Business_Small/Mid-Size Business_Rebates_Water Heater_Storage 88% TE ≥75MBh_CI</v>
      </c>
      <c r="C3151" s="2" t="str">
        <f t="shared" si="99"/>
        <v>NSG_Business_Small/Mid-Size Business_Rebates_Water Heater_Storage 88% TE ≥75MBh_CI_2024</v>
      </c>
      <c r="D3151" s="19" t="s">
        <v>1787</v>
      </c>
      <c r="E3151" s="19" t="s">
        <v>3</v>
      </c>
      <c r="F3151" s="19" t="s">
        <v>1432</v>
      </c>
      <c r="G3151" s="19" t="s">
        <v>1429</v>
      </c>
      <c r="H3151" s="19" t="s">
        <v>8</v>
      </c>
      <c r="I3151" s="19" t="s">
        <v>1262</v>
      </c>
      <c r="J3151" s="19" t="s">
        <v>1263</v>
      </c>
      <c r="K3151" s="19" t="s">
        <v>1159</v>
      </c>
      <c r="L3151" s="19">
        <v>2024</v>
      </c>
      <c r="M3151" s="20">
        <v>1</v>
      </c>
      <c r="N3151" s="19" t="s">
        <v>1798</v>
      </c>
      <c r="O3151" s="20">
        <v>0</v>
      </c>
      <c r="P3151" s="20">
        <v>0</v>
      </c>
      <c r="Q3151" s="20">
        <v>0</v>
      </c>
      <c r="R3151" s="21">
        <v>0.92</v>
      </c>
      <c r="S3151" s="20">
        <v>0</v>
      </c>
    </row>
    <row r="3152" spans="2:19" ht="15" customHeight="1" x14ac:dyDescent="0.25">
      <c r="B3152" s="2" t="str">
        <f t="shared" si="98"/>
        <v>NSG_Business_Small/Mid-Size Business_Rebates_Water Heater_Storage 88% TE ≥75MBh_CI</v>
      </c>
      <c r="C3152" s="2" t="str">
        <f t="shared" si="99"/>
        <v>NSG_Business_Small/Mid-Size Business_Rebates_Water Heater_Storage 88% TE ≥75MBh_CI_2025</v>
      </c>
      <c r="D3152" s="19" t="s">
        <v>1787</v>
      </c>
      <c r="E3152" s="19" t="s">
        <v>3</v>
      </c>
      <c r="F3152" s="19" t="s">
        <v>1432</v>
      </c>
      <c r="G3152" s="19" t="s">
        <v>1429</v>
      </c>
      <c r="H3152" s="19" t="s">
        <v>8</v>
      </c>
      <c r="I3152" s="19" t="s">
        <v>1262</v>
      </c>
      <c r="J3152" s="19" t="s">
        <v>1263</v>
      </c>
      <c r="K3152" s="19" t="s">
        <v>1159</v>
      </c>
      <c r="L3152" s="19">
        <v>2025</v>
      </c>
      <c r="M3152" s="20">
        <v>1</v>
      </c>
      <c r="N3152" s="19" t="s">
        <v>1798</v>
      </c>
      <c r="O3152" s="20">
        <v>0</v>
      </c>
      <c r="P3152" s="20">
        <v>0</v>
      </c>
      <c r="Q3152" s="20">
        <v>0</v>
      </c>
      <c r="R3152" s="21">
        <v>0.92</v>
      </c>
      <c r="S3152" s="20">
        <v>0</v>
      </c>
    </row>
    <row r="3153" spans="2:19" ht="15" customHeight="1" x14ac:dyDescent="0.25">
      <c r="B3153" s="2" t="str">
        <f t="shared" si="98"/>
        <v>NSG_Business_Small/Mid-Size Business_Partner Trade Ally Rebate_Boiler_≥88% AFUE, &lt;300MBh_CI</v>
      </c>
      <c r="C3153" s="2" t="str">
        <f t="shared" si="99"/>
        <v>NSG_Business_Small/Mid-Size Business_Partner Trade Ally Rebate_Boiler_≥88% AFUE, &lt;300MBh_CI_2022</v>
      </c>
      <c r="D3153" s="19" t="s">
        <v>1787</v>
      </c>
      <c r="E3153" s="19" t="s">
        <v>3</v>
      </c>
      <c r="F3153" s="19" t="s">
        <v>1432</v>
      </c>
      <c r="G3153" s="19" t="s">
        <v>1799</v>
      </c>
      <c r="H3153" s="19" t="s">
        <v>944</v>
      </c>
      <c r="I3153" s="19" t="s">
        <v>945</v>
      </c>
      <c r="J3153" s="19" t="s">
        <v>942</v>
      </c>
      <c r="K3153" s="19" t="s">
        <v>1159</v>
      </c>
      <c r="L3153" s="19">
        <v>2022</v>
      </c>
      <c r="M3153" s="20">
        <v>150</v>
      </c>
      <c r="N3153" s="19" t="s">
        <v>667</v>
      </c>
      <c r="O3153" s="20">
        <v>1</v>
      </c>
      <c r="P3153" s="20">
        <v>150</v>
      </c>
      <c r="Q3153" s="20">
        <v>109.15142857142867</v>
      </c>
      <c r="R3153" s="21">
        <v>0.92</v>
      </c>
      <c r="S3153" s="20">
        <v>109.15142857142867</v>
      </c>
    </row>
    <row r="3154" spans="2:19" ht="15" customHeight="1" x14ac:dyDescent="0.25">
      <c r="B3154" s="2" t="str">
        <f t="shared" si="98"/>
        <v>NSG_Business_Small/Mid-Size Business_Partner Trade Ally Rebate_Boiler_≥88% AFUE, &lt;300MBh_CI</v>
      </c>
      <c r="C3154" s="2" t="str">
        <f t="shared" si="99"/>
        <v>NSG_Business_Small/Mid-Size Business_Partner Trade Ally Rebate_Boiler_≥88% AFUE, &lt;300MBh_CI_2023</v>
      </c>
      <c r="D3154" s="19" t="s">
        <v>1787</v>
      </c>
      <c r="E3154" s="19" t="s">
        <v>3</v>
      </c>
      <c r="F3154" s="19" t="s">
        <v>1432</v>
      </c>
      <c r="G3154" s="19" t="s">
        <v>1799</v>
      </c>
      <c r="H3154" s="19" t="s">
        <v>944</v>
      </c>
      <c r="I3154" s="19" t="s">
        <v>945</v>
      </c>
      <c r="J3154" s="19" t="s">
        <v>942</v>
      </c>
      <c r="K3154" s="19" t="s">
        <v>1159</v>
      </c>
      <c r="L3154" s="19">
        <v>2023</v>
      </c>
      <c r="M3154" s="20">
        <v>150</v>
      </c>
      <c r="N3154" s="19" t="s">
        <v>667</v>
      </c>
      <c r="O3154" s="20">
        <v>1</v>
      </c>
      <c r="P3154" s="20">
        <v>150</v>
      </c>
      <c r="Q3154" s="20">
        <v>109.15142857142867</v>
      </c>
      <c r="R3154" s="21">
        <v>0.92</v>
      </c>
      <c r="S3154" s="20">
        <v>109.15142857142867</v>
      </c>
    </row>
    <row r="3155" spans="2:19" ht="15" customHeight="1" x14ac:dyDescent="0.25">
      <c r="B3155" s="2" t="str">
        <f t="shared" si="98"/>
        <v>NSG_Business_Small/Mid-Size Business_Partner Trade Ally Rebate_Boiler_≥88% AFUE, &lt;300MBh_CI</v>
      </c>
      <c r="C3155" s="2" t="str">
        <f t="shared" si="99"/>
        <v>NSG_Business_Small/Mid-Size Business_Partner Trade Ally Rebate_Boiler_≥88% AFUE, &lt;300MBh_CI_2024</v>
      </c>
      <c r="D3155" s="19" t="s">
        <v>1787</v>
      </c>
      <c r="E3155" s="19" t="s">
        <v>3</v>
      </c>
      <c r="F3155" s="19" t="s">
        <v>1432</v>
      </c>
      <c r="G3155" s="19" t="s">
        <v>1799</v>
      </c>
      <c r="H3155" s="19" t="s">
        <v>944</v>
      </c>
      <c r="I3155" s="19" t="s">
        <v>945</v>
      </c>
      <c r="J3155" s="19" t="s">
        <v>942</v>
      </c>
      <c r="K3155" s="19" t="s">
        <v>1159</v>
      </c>
      <c r="L3155" s="19">
        <v>2024</v>
      </c>
      <c r="M3155" s="20">
        <v>150</v>
      </c>
      <c r="N3155" s="19" t="s">
        <v>667</v>
      </c>
      <c r="O3155" s="20">
        <v>1</v>
      </c>
      <c r="P3155" s="20">
        <v>150</v>
      </c>
      <c r="Q3155" s="20">
        <v>109.15142857142867</v>
      </c>
      <c r="R3155" s="21">
        <v>0.92</v>
      </c>
      <c r="S3155" s="20">
        <v>109.15142857142867</v>
      </c>
    </row>
    <row r="3156" spans="2:19" ht="15" customHeight="1" x14ac:dyDescent="0.25">
      <c r="B3156" s="2" t="str">
        <f t="shared" si="98"/>
        <v>NSG_Business_Small/Mid-Size Business_Partner Trade Ally Rebate_Boiler_≥88% AFUE, &lt;300MBh_CI</v>
      </c>
      <c r="C3156" s="2" t="str">
        <f t="shared" si="99"/>
        <v>NSG_Business_Small/Mid-Size Business_Partner Trade Ally Rebate_Boiler_≥88% AFUE, &lt;300MBh_CI_2025</v>
      </c>
      <c r="D3156" s="19" t="s">
        <v>1787</v>
      </c>
      <c r="E3156" s="19" t="s">
        <v>3</v>
      </c>
      <c r="F3156" s="19" t="s">
        <v>1432</v>
      </c>
      <c r="G3156" s="19" t="s">
        <v>1799</v>
      </c>
      <c r="H3156" s="19" t="s">
        <v>944</v>
      </c>
      <c r="I3156" s="19" t="s">
        <v>945</v>
      </c>
      <c r="J3156" s="19" t="s">
        <v>942</v>
      </c>
      <c r="K3156" s="19" t="s">
        <v>1159</v>
      </c>
      <c r="L3156" s="19">
        <v>2025</v>
      </c>
      <c r="M3156" s="20">
        <v>150</v>
      </c>
      <c r="N3156" s="19" t="s">
        <v>667</v>
      </c>
      <c r="O3156" s="20">
        <v>1</v>
      </c>
      <c r="P3156" s="20">
        <v>150</v>
      </c>
      <c r="Q3156" s="20">
        <v>109.15142857142867</v>
      </c>
      <c r="R3156" s="21">
        <v>0.92</v>
      </c>
      <c r="S3156" s="20">
        <v>109.15142857142867</v>
      </c>
    </row>
    <row r="3157" spans="2:19" ht="15" customHeight="1" x14ac:dyDescent="0.25">
      <c r="B3157" s="2" t="str">
        <f t="shared" si="98"/>
        <v>NSG_Business_Small/Mid-Size Business_Partner Trade Ally Rebate_Boiler_≥88% AFUE, ≥300MBh TE_CI</v>
      </c>
      <c r="C3157" s="2" t="str">
        <f t="shared" si="99"/>
        <v>NSG_Business_Small/Mid-Size Business_Partner Trade Ally Rebate_Boiler_≥88% AFUE, ≥300MBh TE_CI_2022</v>
      </c>
      <c r="D3157" s="19" t="s">
        <v>1787</v>
      </c>
      <c r="E3157" s="19" t="s">
        <v>3</v>
      </c>
      <c r="F3157" s="19" t="s">
        <v>1432</v>
      </c>
      <c r="G3157" s="19" t="s">
        <v>1799</v>
      </c>
      <c r="H3157" s="19" t="s">
        <v>944</v>
      </c>
      <c r="I3157" s="19" t="s">
        <v>946</v>
      </c>
      <c r="J3157" s="19" t="s">
        <v>942</v>
      </c>
      <c r="K3157" s="19" t="s">
        <v>1159</v>
      </c>
      <c r="L3157" s="19">
        <v>2022</v>
      </c>
      <c r="M3157" s="20">
        <v>1500</v>
      </c>
      <c r="N3157" s="19" t="s">
        <v>667</v>
      </c>
      <c r="O3157" s="20">
        <v>2</v>
      </c>
      <c r="P3157" s="20">
        <v>3000</v>
      </c>
      <c r="Q3157" s="20">
        <v>4584.3599999999979</v>
      </c>
      <c r="R3157" s="21">
        <v>0.92</v>
      </c>
      <c r="S3157" s="20">
        <v>4584.3599999999979</v>
      </c>
    </row>
    <row r="3158" spans="2:19" ht="15" customHeight="1" x14ac:dyDescent="0.25">
      <c r="B3158" s="2" t="str">
        <f t="shared" si="98"/>
        <v>NSG_Business_Small/Mid-Size Business_Partner Trade Ally Rebate_Boiler_≥88% AFUE, ≥300MBh TE_CI</v>
      </c>
      <c r="C3158" s="2" t="str">
        <f t="shared" si="99"/>
        <v>NSG_Business_Small/Mid-Size Business_Partner Trade Ally Rebate_Boiler_≥88% AFUE, ≥300MBh TE_CI_2023</v>
      </c>
      <c r="D3158" s="19" t="s">
        <v>1787</v>
      </c>
      <c r="E3158" s="19" t="s">
        <v>3</v>
      </c>
      <c r="F3158" s="19" t="s">
        <v>1432</v>
      </c>
      <c r="G3158" s="19" t="s">
        <v>1799</v>
      </c>
      <c r="H3158" s="19" t="s">
        <v>944</v>
      </c>
      <c r="I3158" s="19" t="s">
        <v>946</v>
      </c>
      <c r="J3158" s="19" t="s">
        <v>942</v>
      </c>
      <c r="K3158" s="19" t="s">
        <v>1159</v>
      </c>
      <c r="L3158" s="19">
        <v>2023</v>
      </c>
      <c r="M3158" s="20">
        <v>1500</v>
      </c>
      <c r="N3158" s="19" t="s">
        <v>667</v>
      </c>
      <c r="O3158" s="20">
        <v>2</v>
      </c>
      <c r="P3158" s="20">
        <v>3000</v>
      </c>
      <c r="Q3158" s="20">
        <v>4584.3599999999979</v>
      </c>
      <c r="R3158" s="21">
        <v>0.92</v>
      </c>
      <c r="S3158" s="20">
        <v>4584.3599999999979</v>
      </c>
    </row>
    <row r="3159" spans="2:19" ht="15" customHeight="1" x14ac:dyDescent="0.25">
      <c r="B3159" s="2" t="str">
        <f t="shared" si="98"/>
        <v>NSG_Business_Small/Mid-Size Business_Partner Trade Ally Rebate_Boiler_≥88% AFUE, ≥300MBh TE_CI</v>
      </c>
      <c r="C3159" s="2" t="str">
        <f t="shared" si="99"/>
        <v>NSG_Business_Small/Mid-Size Business_Partner Trade Ally Rebate_Boiler_≥88% AFUE, ≥300MBh TE_CI_2024</v>
      </c>
      <c r="D3159" s="19" t="s">
        <v>1787</v>
      </c>
      <c r="E3159" s="19" t="s">
        <v>3</v>
      </c>
      <c r="F3159" s="19" t="s">
        <v>1432</v>
      </c>
      <c r="G3159" s="19" t="s">
        <v>1799</v>
      </c>
      <c r="H3159" s="19" t="s">
        <v>944</v>
      </c>
      <c r="I3159" s="19" t="s">
        <v>946</v>
      </c>
      <c r="J3159" s="19" t="s">
        <v>942</v>
      </c>
      <c r="K3159" s="19" t="s">
        <v>1159</v>
      </c>
      <c r="L3159" s="19">
        <v>2024</v>
      </c>
      <c r="M3159" s="20">
        <v>1500</v>
      </c>
      <c r="N3159" s="19" t="s">
        <v>667</v>
      </c>
      <c r="O3159" s="20">
        <v>2</v>
      </c>
      <c r="P3159" s="20">
        <v>3000</v>
      </c>
      <c r="Q3159" s="20">
        <v>4584.3599999999979</v>
      </c>
      <c r="R3159" s="21">
        <v>0.92</v>
      </c>
      <c r="S3159" s="20">
        <v>4584.3599999999979</v>
      </c>
    </row>
    <row r="3160" spans="2:19" ht="15" customHeight="1" x14ac:dyDescent="0.25">
      <c r="B3160" s="2" t="str">
        <f t="shared" si="98"/>
        <v>NSG_Business_Small/Mid-Size Business_Partner Trade Ally Rebate_Boiler_≥88% AFUE, ≥300MBh TE_CI</v>
      </c>
      <c r="C3160" s="2" t="str">
        <f t="shared" si="99"/>
        <v>NSG_Business_Small/Mid-Size Business_Partner Trade Ally Rebate_Boiler_≥88% AFUE, ≥300MBh TE_CI_2025</v>
      </c>
      <c r="D3160" s="19" t="s">
        <v>1787</v>
      </c>
      <c r="E3160" s="19" t="s">
        <v>3</v>
      </c>
      <c r="F3160" s="19" t="s">
        <v>1432</v>
      </c>
      <c r="G3160" s="19" t="s">
        <v>1799</v>
      </c>
      <c r="H3160" s="19" t="s">
        <v>944</v>
      </c>
      <c r="I3160" s="19" t="s">
        <v>946</v>
      </c>
      <c r="J3160" s="19" t="s">
        <v>942</v>
      </c>
      <c r="K3160" s="19" t="s">
        <v>1159</v>
      </c>
      <c r="L3160" s="19">
        <v>2025</v>
      </c>
      <c r="M3160" s="20">
        <v>1500</v>
      </c>
      <c r="N3160" s="19" t="s">
        <v>667</v>
      </c>
      <c r="O3160" s="20">
        <v>2</v>
      </c>
      <c r="P3160" s="20">
        <v>3000</v>
      </c>
      <c r="Q3160" s="20">
        <v>4584.3599999999979</v>
      </c>
      <c r="R3160" s="21">
        <v>0.92</v>
      </c>
      <c r="S3160" s="20">
        <v>4584.3599999999979</v>
      </c>
    </row>
    <row r="3161" spans="2:19" ht="15" customHeight="1" x14ac:dyDescent="0.25">
      <c r="B3161" s="2" t="str">
        <f t="shared" si="98"/>
        <v>NSG_Business_Small/Mid-Size Business_Partner Trade Ally Rebate_Boiler Reset Controls_0_CI</v>
      </c>
      <c r="C3161" s="2" t="str">
        <f t="shared" si="99"/>
        <v>NSG_Business_Small/Mid-Size Business_Partner Trade Ally Rebate_Boiler Reset Controls_0_CI_2022</v>
      </c>
      <c r="D3161" s="19" t="s">
        <v>1787</v>
      </c>
      <c r="E3161" s="19" t="s">
        <v>3</v>
      </c>
      <c r="F3161" s="19" t="s">
        <v>1432</v>
      </c>
      <c r="G3161" s="19" t="s">
        <v>1799</v>
      </c>
      <c r="H3161" s="19" t="s">
        <v>978</v>
      </c>
      <c r="I3161" s="19">
        <v>0</v>
      </c>
      <c r="J3161" s="19" t="s">
        <v>25</v>
      </c>
      <c r="K3161" s="19" t="s">
        <v>1159</v>
      </c>
      <c r="L3161" s="19">
        <v>2022</v>
      </c>
      <c r="M3161" s="20">
        <v>200</v>
      </c>
      <c r="N3161" s="19" t="s">
        <v>667</v>
      </c>
      <c r="O3161" s="20">
        <v>0</v>
      </c>
      <c r="P3161" s="20">
        <v>0</v>
      </c>
      <c r="Q3161" s="20">
        <v>0</v>
      </c>
      <c r="R3161" s="21">
        <v>0.92</v>
      </c>
      <c r="S3161" s="20">
        <v>0</v>
      </c>
    </row>
    <row r="3162" spans="2:19" ht="15" customHeight="1" x14ac:dyDescent="0.25">
      <c r="B3162" s="2" t="str">
        <f t="shared" si="98"/>
        <v>NSG_Business_Small/Mid-Size Business_Partner Trade Ally Rebate_Boiler Reset Controls_0_CI</v>
      </c>
      <c r="C3162" s="2" t="str">
        <f t="shared" si="99"/>
        <v>NSG_Business_Small/Mid-Size Business_Partner Trade Ally Rebate_Boiler Reset Controls_0_CI_2023</v>
      </c>
      <c r="D3162" s="19" t="s">
        <v>1787</v>
      </c>
      <c r="E3162" s="19" t="s">
        <v>3</v>
      </c>
      <c r="F3162" s="19" t="s">
        <v>1432</v>
      </c>
      <c r="G3162" s="19" t="s">
        <v>1799</v>
      </c>
      <c r="H3162" s="19" t="s">
        <v>978</v>
      </c>
      <c r="I3162" s="19">
        <v>0</v>
      </c>
      <c r="J3162" s="19" t="s">
        <v>25</v>
      </c>
      <c r="K3162" s="19" t="s">
        <v>1159</v>
      </c>
      <c r="L3162" s="19">
        <v>2023</v>
      </c>
      <c r="M3162" s="20">
        <v>200</v>
      </c>
      <c r="N3162" s="19" t="s">
        <v>667</v>
      </c>
      <c r="O3162" s="20">
        <v>0</v>
      </c>
      <c r="P3162" s="20">
        <v>0</v>
      </c>
      <c r="Q3162" s="20">
        <v>0</v>
      </c>
      <c r="R3162" s="21">
        <v>0.92</v>
      </c>
      <c r="S3162" s="20">
        <v>0</v>
      </c>
    </row>
    <row r="3163" spans="2:19" ht="15" customHeight="1" x14ac:dyDescent="0.25">
      <c r="B3163" s="2" t="str">
        <f t="shared" si="98"/>
        <v>NSG_Business_Small/Mid-Size Business_Partner Trade Ally Rebate_Boiler Reset Controls_0_CI</v>
      </c>
      <c r="C3163" s="2" t="str">
        <f t="shared" si="99"/>
        <v>NSG_Business_Small/Mid-Size Business_Partner Trade Ally Rebate_Boiler Reset Controls_0_CI_2024</v>
      </c>
      <c r="D3163" s="19" t="s">
        <v>1787</v>
      </c>
      <c r="E3163" s="19" t="s">
        <v>3</v>
      </c>
      <c r="F3163" s="19" t="s">
        <v>1432</v>
      </c>
      <c r="G3163" s="19" t="s">
        <v>1799</v>
      </c>
      <c r="H3163" s="19" t="s">
        <v>978</v>
      </c>
      <c r="I3163" s="19">
        <v>0</v>
      </c>
      <c r="J3163" s="19" t="s">
        <v>25</v>
      </c>
      <c r="K3163" s="19" t="s">
        <v>1159</v>
      </c>
      <c r="L3163" s="19">
        <v>2024</v>
      </c>
      <c r="M3163" s="20">
        <v>200</v>
      </c>
      <c r="N3163" s="19" t="s">
        <v>667</v>
      </c>
      <c r="O3163" s="20">
        <v>0</v>
      </c>
      <c r="P3163" s="20">
        <v>0</v>
      </c>
      <c r="Q3163" s="20">
        <v>0</v>
      </c>
      <c r="R3163" s="21">
        <v>0.92</v>
      </c>
      <c r="S3163" s="20">
        <v>0</v>
      </c>
    </row>
    <row r="3164" spans="2:19" ht="15" customHeight="1" x14ac:dyDescent="0.25">
      <c r="B3164" s="2" t="str">
        <f t="shared" si="98"/>
        <v>NSG_Business_Small/Mid-Size Business_Partner Trade Ally Rebate_Boiler Reset Controls_0_CI</v>
      </c>
      <c r="C3164" s="2" t="str">
        <f t="shared" si="99"/>
        <v>NSG_Business_Small/Mid-Size Business_Partner Trade Ally Rebate_Boiler Reset Controls_0_CI_2025</v>
      </c>
      <c r="D3164" s="19" t="s">
        <v>1787</v>
      </c>
      <c r="E3164" s="19" t="s">
        <v>3</v>
      </c>
      <c r="F3164" s="19" t="s">
        <v>1432</v>
      </c>
      <c r="G3164" s="19" t="s">
        <v>1799</v>
      </c>
      <c r="H3164" s="19" t="s">
        <v>978</v>
      </c>
      <c r="I3164" s="19">
        <v>0</v>
      </c>
      <c r="J3164" s="19" t="s">
        <v>25</v>
      </c>
      <c r="K3164" s="19" t="s">
        <v>1159</v>
      </c>
      <c r="L3164" s="19">
        <v>2025</v>
      </c>
      <c r="M3164" s="20">
        <v>200</v>
      </c>
      <c r="N3164" s="19" t="s">
        <v>667</v>
      </c>
      <c r="O3164" s="20">
        <v>0</v>
      </c>
      <c r="P3164" s="20">
        <v>0</v>
      </c>
      <c r="Q3164" s="20">
        <v>0</v>
      </c>
      <c r="R3164" s="21">
        <v>0.92</v>
      </c>
      <c r="S3164" s="20">
        <v>0</v>
      </c>
    </row>
    <row r="3165" spans="2:19" ht="15" customHeight="1" x14ac:dyDescent="0.25">
      <c r="B3165" s="2" t="str">
        <f t="shared" si="98"/>
        <v>NSG_Business_Small/Mid-Size Business_Partner Trade Ally Rebate_Boiler Tune Up_Process_MF/CI</v>
      </c>
      <c r="C3165" s="2" t="str">
        <f t="shared" si="99"/>
        <v>NSG_Business_Small/Mid-Size Business_Partner Trade Ally Rebate_Boiler Tune Up_Process_MF/CI_2022</v>
      </c>
      <c r="D3165" s="19" t="s">
        <v>1787</v>
      </c>
      <c r="E3165" s="19" t="s">
        <v>3</v>
      </c>
      <c r="F3165" s="19" t="s">
        <v>1432</v>
      </c>
      <c r="G3165" s="19" t="s">
        <v>1799</v>
      </c>
      <c r="H3165" s="19" t="s">
        <v>906</v>
      </c>
      <c r="I3165" s="19" t="s">
        <v>924</v>
      </c>
      <c r="J3165" s="19" t="s">
        <v>927</v>
      </c>
      <c r="K3165" s="19" t="s">
        <v>587</v>
      </c>
      <c r="L3165" s="19">
        <v>2022</v>
      </c>
      <c r="M3165" s="20">
        <v>5277.8760000000002</v>
      </c>
      <c r="N3165" s="19" t="s">
        <v>667</v>
      </c>
      <c r="O3165" s="20">
        <v>7</v>
      </c>
      <c r="P3165" s="20">
        <v>36945.131999999998</v>
      </c>
      <c r="Q3165" s="20">
        <v>34762.285966296135</v>
      </c>
      <c r="R3165" s="21">
        <v>0.92</v>
      </c>
      <c r="S3165" s="20">
        <v>34762.285966296135</v>
      </c>
    </row>
    <row r="3166" spans="2:19" ht="15" customHeight="1" x14ac:dyDescent="0.25">
      <c r="B3166" s="2" t="str">
        <f t="shared" si="98"/>
        <v>NSG_Business_Small/Mid-Size Business_Partner Trade Ally Rebate_Boiler Tune Up_Process_MF/CI</v>
      </c>
      <c r="C3166" s="2" t="str">
        <f t="shared" si="99"/>
        <v>NSG_Business_Small/Mid-Size Business_Partner Trade Ally Rebate_Boiler Tune Up_Process_MF/CI_2023</v>
      </c>
      <c r="D3166" s="19" t="s">
        <v>1787</v>
      </c>
      <c r="E3166" s="19" t="s">
        <v>3</v>
      </c>
      <c r="F3166" s="19" t="s">
        <v>1432</v>
      </c>
      <c r="G3166" s="19" t="s">
        <v>1799</v>
      </c>
      <c r="H3166" s="19" t="s">
        <v>906</v>
      </c>
      <c r="I3166" s="19" t="s">
        <v>924</v>
      </c>
      <c r="J3166" s="19" t="s">
        <v>927</v>
      </c>
      <c r="K3166" s="19" t="s">
        <v>587</v>
      </c>
      <c r="L3166" s="19">
        <v>2023</v>
      </c>
      <c r="M3166" s="20">
        <v>5277.8760000000002</v>
      </c>
      <c r="N3166" s="19" t="s">
        <v>667</v>
      </c>
      <c r="O3166" s="20">
        <v>7</v>
      </c>
      <c r="P3166" s="20">
        <v>36945.131999999998</v>
      </c>
      <c r="Q3166" s="20">
        <v>34762.285966296135</v>
      </c>
      <c r="R3166" s="21">
        <v>0.92</v>
      </c>
      <c r="S3166" s="20">
        <v>34762.285966296135</v>
      </c>
    </row>
    <row r="3167" spans="2:19" ht="15" customHeight="1" x14ac:dyDescent="0.25">
      <c r="B3167" s="2" t="str">
        <f t="shared" si="98"/>
        <v>NSG_Business_Small/Mid-Size Business_Partner Trade Ally Rebate_Boiler Tune Up_Process_MF/CI</v>
      </c>
      <c r="C3167" s="2" t="str">
        <f t="shared" si="99"/>
        <v>NSG_Business_Small/Mid-Size Business_Partner Trade Ally Rebate_Boiler Tune Up_Process_MF/CI_2024</v>
      </c>
      <c r="D3167" s="19" t="s">
        <v>1787</v>
      </c>
      <c r="E3167" s="19" t="s">
        <v>3</v>
      </c>
      <c r="F3167" s="19" t="s">
        <v>1432</v>
      </c>
      <c r="G3167" s="19" t="s">
        <v>1799</v>
      </c>
      <c r="H3167" s="19" t="s">
        <v>906</v>
      </c>
      <c r="I3167" s="19" t="s">
        <v>924</v>
      </c>
      <c r="J3167" s="19" t="s">
        <v>927</v>
      </c>
      <c r="K3167" s="19" t="s">
        <v>587</v>
      </c>
      <c r="L3167" s="19">
        <v>2024</v>
      </c>
      <c r="M3167" s="20">
        <v>5277.8760000000002</v>
      </c>
      <c r="N3167" s="19" t="s">
        <v>667</v>
      </c>
      <c r="O3167" s="20">
        <v>6</v>
      </c>
      <c r="P3167" s="20">
        <v>31667.256000000001</v>
      </c>
      <c r="Q3167" s="20">
        <v>29796.245113968114</v>
      </c>
      <c r="R3167" s="21">
        <v>0.92</v>
      </c>
      <c r="S3167" s="20">
        <v>29796.245113968114</v>
      </c>
    </row>
    <row r="3168" spans="2:19" ht="15" customHeight="1" x14ac:dyDescent="0.25">
      <c r="B3168" s="2" t="str">
        <f t="shared" si="98"/>
        <v>NSG_Business_Small/Mid-Size Business_Partner Trade Ally Rebate_Boiler Tune Up_Process_MF/CI</v>
      </c>
      <c r="C3168" s="2" t="str">
        <f t="shared" si="99"/>
        <v>NSG_Business_Small/Mid-Size Business_Partner Trade Ally Rebate_Boiler Tune Up_Process_MF/CI_2025</v>
      </c>
      <c r="D3168" s="19" t="s">
        <v>1787</v>
      </c>
      <c r="E3168" s="19" t="s">
        <v>3</v>
      </c>
      <c r="F3168" s="19" t="s">
        <v>1432</v>
      </c>
      <c r="G3168" s="19" t="s">
        <v>1799</v>
      </c>
      <c r="H3168" s="19" t="s">
        <v>906</v>
      </c>
      <c r="I3168" s="19" t="s">
        <v>924</v>
      </c>
      <c r="J3168" s="19" t="s">
        <v>927</v>
      </c>
      <c r="K3168" s="19" t="s">
        <v>587</v>
      </c>
      <c r="L3168" s="19">
        <v>2025</v>
      </c>
      <c r="M3168" s="20">
        <v>5277.8760000000002</v>
      </c>
      <c r="N3168" s="19" t="s">
        <v>667</v>
      </c>
      <c r="O3168" s="20">
        <v>6</v>
      </c>
      <c r="P3168" s="20">
        <v>31667.256000000001</v>
      </c>
      <c r="Q3168" s="20">
        <v>29796.245113968114</v>
      </c>
      <c r="R3168" s="21">
        <v>0.92</v>
      </c>
      <c r="S3168" s="20">
        <v>29796.245113968114</v>
      </c>
    </row>
    <row r="3169" spans="2:19" ht="15" customHeight="1" x14ac:dyDescent="0.25">
      <c r="B3169" s="2" t="str">
        <f t="shared" si="98"/>
        <v>NSG_Business_Small/Mid-Size Business_Partner Trade Ally Rebate_Boiler Tune Up_Space Heating_CI</v>
      </c>
      <c r="C3169" s="2" t="str">
        <f t="shared" si="99"/>
        <v>NSG_Business_Small/Mid-Size Business_Partner Trade Ally Rebate_Boiler Tune Up_Space Heating_CI_2022</v>
      </c>
      <c r="D3169" s="19" t="s">
        <v>1787</v>
      </c>
      <c r="E3169" s="19" t="s">
        <v>3</v>
      </c>
      <c r="F3169" s="19" t="s">
        <v>1432</v>
      </c>
      <c r="G3169" s="19" t="s">
        <v>1799</v>
      </c>
      <c r="H3169" s="19" t="s">
        <v>906</v>
      </c>
      <c r="I3169" s="19" t="s">
        <v>907</v>
      </c>
      <c r="J3169" s="19" t="s">
        <v>909</v>
      </c>
      <c r="K3169" s="19" t="s">
        <v>1159</v>
      </c>
      <c r="L3169" s="19">
        <v>2022</v>
      </c>
      <c r="M3169" s="20">
        <v>5078.5</v>
      </c>
      <c r="N3169" s="19" t="s">
        <v>667</v>
      </c>
      <c r="O3169" s="20">
        <v>3</v>
      </c>
      <c r="P3169" s="20">
        <v>15235.5</v>
      </c>
      <c r="Q3169" s="20">
        <v>6570.2878770552297</v>
      </c>
      <c r="R3169" s="21">
        <v>0.92</v>
      </c>
      <c r="S3169" s="20">
        <v>6570.2878770552297</v>
      </c>
    </row>
    <row r="3170" spans="2:19" ht="15" customHeight="1" x14ac:dyDescent="0.25">
      <c r="B3170" s="2" t="str">
        <f t="shared" si="98"/>
        <v>NSG_Business_Small/Mid-Size Business_Partner Trade Ally Rebate_Boiler Tune Up_Space Heating_CI</v>
      </c>
      <c r="C3170" s="2" t="str">
        <f t="shared" si="99"/>
        <v>NSG_Business_Small/Mid-Size Business_Partner Trade Ally Rebate_Boiler Tune Up_Space Heating_CI_2023</v>
      </c>
      <c r="D3170" s="19" t="s">
        <v>1787</v>
      </c>
      <c r="E3170" s="19" t="s">
        <v>3</v>
      </c>
      <c r="F3170" s="19" t="s">
        <v>1432</v>
      </c>
      <c r="G3170" s="19" t="s">
        <v>1799</v>
      </c>
      <c r="H3170" s="19" t="s">
        <v>906</v>
      </c>
      <c r="I3170" s="19" t="s">
        <v>907</v>
      </c>
      <c r="J3170" s="19" t="s">
        <v>909</v>
      </c>
      <c r="K3170" s="19" t="s">
        <v>1159</v>
      </c>
      <c r="L3170" s="19">
        <v>2023</v>
      </c>
      <c r="M3170" s="20">
        <v>5078.5</v>
      </c>
      <c r="N3170" s="19" t="s">
        <v>667</v>
      </c>
      <c r="O3170" s="20">
        <v>2</v>
      </c>
      <c r="P3170" s="20">
        <v>10157</v>
      </c>
      <c r="Q3170" s="20">
        <v>4380.1919180368195</v>
      </c>
      <c r="R3170" s="21">
        <v>0.92</v>
      </c>
      <c r="S3170" s="20">
        <v>4380.1919180368195</v>
      </c>
    </row>
    <row r="3171" spans="2:19" ht="15" customHeight="1" x14ac:dyDescent="0.25">
      <c r="B3171" s="2" t="str">
        <f t="shared" si="98"/>
        <v>NSG_Business_Small/Mid-Size Business_Partner Trade Ally Rebate_Boiler Tune Up_Space Heating_CI</v>
      </c>
      <c r="C3171" s="2" t="str">
        <f t="shared" si="99"/>
        <v>NSG_Business_Small/Mid-Size Business_Partner Trade Ally Rebate_Boiler Tune Up_Space Heating_CI_2024</v>
      </c>
      <c r="D3171" s="19" t="s">
        <v>1787</v>
      </c>
      <c r="E3171" s="19" t="s">
        <v>3</v>
      </c>
      <c r="F3171" s="19" t="s">
        <v>1432</v>
      </c>
      <c r="G3171" s="19" t="s">
        <v>1799</v>
      </c>
      <c r="H3171" s="19" t="s">
        <v>906</v>
      </c>
      <c r="I3171" s="19" t="s">
        <v>907</v>
      </c>
      <c r="J3171" s="19" t="s">
        <v>909</v>
      </c>
      <c r="K3171" s="19" t="s">
        <v>1159</v>
      </c>
      <c r="L3171" s="19">
        <v>2024</v>
      </c>
      <c r="M3171" s="20">
        <v>5078.5</v>
      </c>
      <c r="N3171" s="19" t="s">
        <v>667</v>
      </c>
      <c r="O3171" s="20">
        <v>2</v>
      </c>
      <c r="P3171" s="20">
        <v>10157</v>
      </c>
      <c r="Q3171" s="20">
        <v>4380.1919180368195</v>
      </c>
      <c r="R3171" s="21">
        <v>0.92</v>
      </c>
      <c r="S3171" s="20">
        <v>4380.1919180368195</v>
      </c>
    </row>
    <row r="3172" spans="2:19" ht="15" customHeight="1" x14ac:dyDescent="0.25">
      <c r="B3172" s="2" t="str">
        <f t="shared" si="98"/>
        <v>NSG_Business_Small/Mid-Size Business_Partner Trade Ally Rebate_Boiler Tune Up_Space Heating_CI</v>
      </c>
      <c r="C3172" s="2" t="str">
        <f t="shared" si="99"/>
        <v>NSG_Business_Small/Mid-Size Business_Partner Trade Ally Rebate_Boiler Tune Up_Space Heating_CI_2025</v>
      </c>
      <c r="D3172" s="19" t="s">
        <v>1787</v>
      </c>
      <c r="E3172" s="19" t="s">
        <v>3</v>
      </c>
      <c r="F3172" s="19" t="s">
        <v>1432</v>
      </c>
      <c r="G3172" s="19" t="s">
        <v>1799</v>
      </c>
      <c r="H3172" s="19" t="s">
        <v>906</v>
      </c>
      <c r="I3172" s="19" t="s">
        <v>907</v>
      </c>
      <c r="J3172" s="19" t="s">
        <v>909</v>
      </c>
      <c r="K3172" s="19" t="s">
        <v>1159</v>
      </c>
      <c r="L3172" s="19">
        <v>2025</v>
      </c>
      <c r="M3172" s="20">
        <v>5078.5</v>
      </c>
      <c r="N3172" s="19" t="s">
        <v>667</v>
      </c>
      <c r="O3172" s="20">
        <v>2</v>
      </c>
      <c r="P3172" s="20">
        <v>10157</v>
      </c>
      <c r="Q3172" s="20">
        <v>4380.1919180368195</v>
      </c>
      <c r="R3172" s="21">
        <v>0.92</v>
      </c>
      <c r="S3172" s="20">
        <v>4380.1919180368195</v>
      </c>
    </row>
    <row r="3173" spans="2:19" ht="15" customHeight="1" x14ac:dyDescent="0.25">
      <c r="B3173" s="2" t="str">
        <f t="shared" si="98"/>
        <v>NSG_Business_Small/Mid-Size Business_Partner Trade Ally Rebate_Condensing Unit Heater_0_MF/CI</v>
      </c>
      <c r="C3173" s="2" t="str">
        <f t="shared" si="99"/>
        <v>NSG_Business_Small/Mid-Size Business_Partner Trade Ally Rebate_Condensing Unit Heater_0_MF/CI_2022</v>
      </c>
      <c r="D3173" s="19" t="s">
        <v>1787</v>
      </c>
      <c r="E3173" s="19" t="s">
        <v>3</v>
      </c>
      <c r="F3173" s="19" t="s">
        <v>1432</v>
      </c>
      <c r="G3173" s="19" t="s">
        <v>1799</v>
      </c>
      <c r="H3173" s="19" t="s">
        <v>13</v>
      </c>
      <c r="I3173" s="19">
        <v>0</v>
      </c>
      <c r="J3173" s="19" t="s">
        <v>32</v>
      </c>
      <c r="K3173" s="19" t="s">
        <v>587</v>
      </c>
      <c r="L3173" s="19">
        <v>2022</v>
      </c>
      <c r="M3173" s="20">
        <v>150</v>
      </c>
      <c r="N3173" s="19" t="s">
        <v>667</v>
      </c>
      <c r="O3173" s="20">
        <v>0</v>
      </c>
      <c r="P3173" s="20">
        <v>0</v>
      </c>
      <c r="Q3173" s="20">
        <v>0</v>
      </c>
      <c r="R3173" s="21">
        <v>0.92</v>
      </c>
      <c r="S3173" s="20">
        <v>0</v>
      </c>
    </row>
    <row r="3174" spans="2:19" ht="15" customHeight="1" x14ac:dyDescent="0.25">
      <c r="B3174" s="2" t="str">
        <f t="shared" si="98"/>
        <v>NSG_Business_Small/Mid-Size Business_Partner Trade Ally Rebate_Condensing Unit Heater_0_MF/CI</v>
      </c>
      <c r="C3174" s="2" t="str">
        <f t="shared" si="99"/>
        <v>NSG_Business_Small/Mid-Size Business_Partner Trade Ally Rebate_Condensing Unit Heater_0_MF/CI_2023</v>
      </c>
      <c r="D3174" s="19" t="s">
        <v>1787</v>
      </c>
      <c r="E3174" s="19" t="s">
        <v>3</v>
      </c>
      <c r="F3174" s="19" t="s">
        <v>1432</v>
      </c>
      <c r="G3174" s="19" t="s">
        <v>1799</v>
      </c>
      <c r="H3174" s="19" t="s">
        <v>13</v>
      </c>
      <c r="I3174" s="19">
        <v>0</v>
      </c>
      <c r="J3174" s="19" t="s">
        <v>32</v>
      </c>
      <c r="K3174" s="19" t="s">
        <v>587</v>
      </c>
      <c r="L3174" s="19">
        <v>2023</v>
      </c>
      <c r="M3174" s="20">
        <v>150</v>
      </c>
      <c r="N3174" s="19" t="s">
        <v>667</v>
      </c>
      <c r="O3174" s="20">
        <v>0</v>
      </c>
      <c r="P3174" s="20">
        <v>0</v>
      </c>
      <c r="Q3174" s="20">
        <v>0</v>
      </c>
      <c r="R3174" s="21">
        <v>0.92</v>
      </c>
      <c r="S3174" s="20">
        <v>0</v>
      </c>
    </row>
    <row r="3175" spans="2:19" ht="15" customHeight="1" x14ac:dyDescent="0.25">
      <c r="B3175" s="2" t="str">
        <f t="shared" si="98"/>
        <v>NSG_Business_Small/Mid-Size Business_Partner Trade Ally Rebate_Condensing Unit Heater_0_MF/CI</v>
      </c>
      <c r="C3175" s="2" t="str">
        <f t="shared" si="99"/>
        <v>NSG_Business_Small/Mid-Size Business_Partner Trade Ally Rebate_Condensing Unit Heater_0_MF/CI_2024</v>
      </c>
      <c r="D3175" s="19" t="s">
        <v>1787</v>
      </c>
      <c r="E3175" s="19" t="s">
        <v>3</v>
      </c>
      <c r="F3175" s="19" t="s">
        <v>1432</v>
      </c>
      <c r="G3175" s="19" t="s">
        <v>1799</v>
      </c>
      <c r="H3175" s="19" t="s">
        <v>13</v>
      </c>
      <c r="I3175" s="19">
        <v>0</v>
      </c>
      <c r="J3175" s="19" t="s">
        <v>32</v>
      </c>
      <c r="K3175" s="19" t="s">
        <v>587</v>
      </c>
      <c r="L3175" s="19">
        <v>2024</v>
      </c>
      <c r="M3175" s="20">
        <v>150</v>
      </c>
      <c r="N3175" s="19" t="s">
        <v>667</v>
      </c>
      <c r="O3175" s="20">
        <v>0</v>
      </c>
      <c r="P3175" s="20">
        <v>0</v>
      </c>
      <c r="Q3175" s="20">
        <v>0</v>
      </c>
      <c r="R3175" s="21">
        <v>0.92</v>
      </c>
      <c r="S3175" s="20">
        <v>0</v>
      </c>
    </row>
    <row r="3176" spans="2:19" ht="15" customHeight="1" x14ac:dyDescent="0.25">
      <c r="B3176" s="2" t="str">
        <f t="shared" si="98"/>
        <v>NSG_Business_Small/Mid-Size Business_Partner Trade Ally Rebate_Condensing Unit Heater_0_MF/CI</v>
      </c>
      <c r="C3176" s="2" t="str">
        <f t="shared" si="99"/>
        <v>NSG_Business_Small/Mid-Size Business_Partner Trade Ally Rebate_Condensing Unit Heater_0_MF/CI_2025</v>
      </c>
      <c r="D3176" s="19" t="s">
        <v>1787</v>
      </c>
      <c r="E3176" s="19" t="s">
        <v>3</v>
      </c>
      <c r="F3176" s="19" t="s">
        <v>1432</v>
      </c>
      <c r="G3176" s="19" t="s">
        <v>1799</v>
      </c>
      <c r="H3176" s="19" t="s">
        <v>13</v>
      </c>
      <c r="I3176" s="19">
        <v>0</v>
      </c>
      <c r="J3176" s="19" t="s">
        <v>32</v>
      </c>
      <c r="K3176" s="19" t="s">
        <v>587</v>
      </c>
      <c r="L3176" s="19">
        <v>2025</v>
      </c>
      <c r="M3176" s="20">
        <v>150</v>
      </c>
      <c r="N3176" s="19" t="s">
        <v>667</v>
      </c>
      <c r="O3176" s="20">
        <v>0</v>
      </c>
      <c r="P3176" s="20">
        <v>0</v>
      </c>
      <c r="Q3176" s="20">
        <v>0</v>
      </c>
      <c r="R3176" s="21">
        <v>0.92</v>
      </c>
      <c r="S3176" s="20">
        <v>0</v>
      </c>
    </row>
    <row r="3177" spans="2:19" ht="15" customHeight="1" x14ac:dyDescent="0.25">
      <c r="B3177" s="2" t="str">
        <f t="shared" si="98"/>
        <v>NSG_Business_Small/Mid-Size Business_Partner Trade Ally Rebate_DCV - Kitchen_0_MF/CI</v>
      </c>
      <c r="C3177" s="2" t="str">
        <f t="shared" si="99"/>
        <v>NSG_Business_Small/Mid-Size Business_Partner Trade Ally Rebate_DCV - Kitchen_0_MF/CI_2022</v>
      </c>
      <c r="D3177" s="19" t="s">
        <v>1787</v>
      </c>
      <c r="E3177" s="19" t="s">
        <v>3</v>
      </c>
      <c r="F3177" s="19" t="s">
        <v>1432</v>
      </c>
      <c r="G3177" s="19" t="s">
        <v>1799</v>
      </c>
      <c r="H3177" s="19" t="s">
        <v>1077</v>
      </c>
      <c r="I3177" s="19">
        <v>0</v>
      </c>
      <c r="J3177" s="19" t="s">
        <v>48</v>
      </c>
      <c r="K3177" s="19" t="s">
        <v>587</v>
      </c>
      <c r="L3177" s="19">
        <v>2022</v>
      </c>
      <c r="M3177" s="20">
        <v>7.75</v>
      </c>
      <c r="N3177" s="19" t="s">
        <v>333</v>
      </c>
      <c r="O3177" s="20">
        <v>1</v>
      </c>
      <c r="P3177" s="20">
        <v>7.75</v>
      </c>
      <c r="Q3177" s="20">
        <v>5518.62</v>
      </c>
      <c r="R3177" s="21">
        <v>0.92</v>
      </c>
      <c r="S3177" s="20">
        <v>5518.62</v>
      </c>
    </row>
    <row r="3178" spans="2:19" ht="15" customHeight="1" x14ac:dyDescent="0.25">
      <c r="B3178" s="2" t="str">
        <f t="shared" si="98"/>
        <v>NSG_Business_Small/Mid-Size Business_Partner Trade Ally Rebate_DCV - Kitchen_0_MF/CI</v>
      </c>
      <c r="C3178" s="2" t="str">
        <f t="shared" si="99"/>
        <v>NSG_Business_Small/Mid-Size Business_Partner Trade Ally Rebate_DCV - Kitchen_0_MF/CI_2023</v>
      </c>
      <c r="D3178" s="19" t="s">
        <v>1787</v>
      </c>
      <c r="E3178" s="19" t="s">
        <v>3</v>
      </c>
      <c r="F3178" s="19" t="s">
        <v>1432</v>
      </c>
      <c r="G3178" s="19" t="s">
        <v>1799</v>
      </c>
      <c r="H3178" s="19" t="s">
        <v>1077</v>
      </c>
      <c r="I3178" s="19">
        <v>0</v>
      </c>
      <c r="J3178" s="19" t="s">
        <v>48</v>
      </c>
      <c r="K3178" s="19" t="s">
        <v>587</v>
      </c>
      <c r="L3178" s="19">
        <v>2023</v>
      </c>
      <c r="M3178" s="20">
        <v>7.75</v>
      </c>
      <c r="N3178" s="19" t="s">
        <v>333</v>
      </c>
      <c r="O3178" s="20">
        <v>1</v>
      </c>
      <c r="P3178" s="20">
        <v>7.75</v>
      </c>
      <c r="Q3178" s="20">
        <v>5518.62</v>
      </c>
      <c r="R3178" s="21">
        <v>0.92</v>
      </c>
      <c r="S3178" s="20">
        <v>5518.62</v>
      </c>
    </row>
    <row r="3179" spans="2:19" ht="15" customHeight="1" x14ac:dyDescent="0.25">
      <c r="B3179" s="2" t="str">
        <f t="shared" si="98"/>
        <v>NSG_Business_Small/Mid-Size Business_Partner Trade Ally Rebate_DCV - Kitchen_0_MF/CI</v>
      </c>
      <c r="C3179" s="2" t="str">
        <f t="shared" si="99"/>
        <v>NSG_Business_Small/Mid-Size Business_Partner Trade Ally Rebate_DCV - Kitchen_0_MF/CI_2024</v>
      </c>
      <c r="D3179" s="19" t="s">
        <v>1787</v>
      </c>
      <c r="E3179" s="19" t="s">
        <v>3</v>
      </c>
      <c r="F3179" s="19" t="s">
        <v>1432</v>
      </c>
      <c r="G3179" s="19" t="s">
        <v>1799</v>
      </c>
      <c r="H3179" s="19" t="s">
        <v>1077</v>
      </c>
      <c r="I3179" s="19">
        <v>0</v>
      </c>
      <c r="J3179" s="19" t="s">
        <v>48</v>
      </c>
      <c r="K3179" s="19" t="s">
        <v>587</v>
      </c>
      <c r="L3179" s="19">
        <v>2024</v>
      </c>
      <c r="M3179" s="20">
        <v>7.75</v>
      </c>
      <c r="N3179" s="19" t="s">
        <v>333</v>
      </c>
      <c r="O3179" s="20">
        <v>1</v>
      </c>
      <c r="P3179" s="20">
        <v>7.75</v>
      </c>
      <c r="Q3179" s="20">
        <v>5518.62</v>
      </c>
      <c r="R3179" s="21">
        <v>0.92</v>
      </c>
      <c r="S3179" s="20">
        <v>5518.62</v>
      </c>
    </row>
    <row r="3180" spans="2:19" ht="15" customHeight="1" x14ac:dyDescent="0.25">
      <c r="B3180" s="2" t="str">
        <f t="shared" si="98"/>
        <v>NSG_Business_Small/Mid-Size Business_Partner Trade Ally Rebate_DCV - Kitchen_0_MF/CI</v>
      </c>
      <c r="C3180" s="2" t="str">
        <f t="shared" si="99"/>
        <v>NSG_Business_Small/Mid-Size Business_Partner Trade Ally Rebate_DCV - Kitchen_0_MF/CI_2025</v>
      </c>
      <c r="D3180" s="19" t="s">
        <v>1787</v>
      </c>
      <c r="E3180" s="19" t="s">
        <v>3</v>
      </c>
      <c r="F3180" s="19" t="s">
        <v>1432</v>
      </c>
      <c r="G3180" s="19" t="s">
        <v>1799</v>
      </c>
      <c r="H3180" s="19" t="s">
        <v>1077</v>
      </c>
      <c r="I3180" s="19">
        <v>0</v>
      </c>
      <c r="J3180" s="19" t="s">
        <v>48</v>
      </c>
      <c r="K3180" s="19" t="s">
        <v>587</v>
      </c>
      <c r="L3180" s="19">
        <v>2025</v>
      </c>
      <c r="M3180" s="20">
        <v>7.75</v>
      </c>
      <c r="N3180" s="19" t="s">
        <v>333</v>
      </c>
      <c r="O3180" s="20">
        <v>1</v>
      </c>
      <c r="P3180" s="20">
        <v>7.75</v>
      </c>
      <c r="Q3180" s="20">
        <v>5518.62</v>
      </c>
      <c r="R3180" s="21">
        <v>0.92</v>
      </c>
      <c r="S3180" s="20">
        <v>5518.62</v>
      </c>
    </row>
    <row r="3181" spans="2:19" ht="15" customHeight="1" x14ac:dyDescent="0.25">
      <c r="B3181" s="2" t="str">
        <f t="shared" si="98"/>
        <v>NSG_Business_Small/Mid-Size Business_Partner Trade Ally Rebate_Direct Fired Heaters_0_MF/CI</v>
      </c>
      <c r="C3181" s="2" t="str">
        <f t="shared" si="99"/>
        <v>NSG_Business_Small/Mid-Size Business_Partner Trade Ally Rebate_Direct Fired Heaters_0_MF/CI_2022</v>
      </c>
      <c r="D3181" s="19" t="s">
        <v>1787</v>
      </c>
      <c r="E3181" s="19" t="s">
        <v>3</v>
      </c>
      <c r="F3181" s="19" t="s">
        <v>1432</v>
      </c>
      <c r="G3181" s="19" t="s">
        <v>1799</v>
      </c>
      <c r="H3181" s="19" t="s">
        <v>666</v>
      </c>
      <c r="I3181" s="19">
        <v>0</v>
      </c>
      <c r="J3181" s="19" t="s">
        <v>673</v>
      </c>
      <c r="K3181" s="19" t="s">
        <v>587</v>
      </c>
      <c r="L3181" s="19">
        <v>2022</v>
      </c>
      <c r="M3181" s="20">
        <v>150</v>
      </c>
      <c r="N3181" s="19" t="s">
        <v>667</v>
      </c>
      <c r="O3181" s="20">
        <v>0</v>
      </c>
      <c r="P3181" s="20">
        <v>0</v>
      </c>
      <c r="Q3181" s="20">
        <v>0</v>
      </c>
      <c r="R3181" s="21">
        <v>0.92</v>
      </c>
      <c r="S3181" s="20">
        <v>0</v>
      </c>
    </row>
    <row r="3182" spans="2:19" ht="15" customHeight="1" x14ac:dyDescent="0.25">
      <c r="B3182" s="2" t="str">
        <f t="shared" si="98"/>
        <v>NSG_Business_Small/Mid-Size Business_Partner Trade Ally Rebate_Direct Fired Heaters_0_MF/CI</v>
      </c>
      <c r="C3182" s="2" t="str">
        <f t="shared" si="99"/>
        <v>NSG_Business_Small/Mid-Size Business_Partner Trade Ally Rebate_Direct Fired Heaters_0_MF/CI_2023</v>
      </c>
      <c r="D3182" s="19" t="s">
        <v>1787</v>
      </c>
      <c r="E3182" s="19" t="s">
        <v>3</v>
      </c>
      <c r="F3182" s="19" t="s">
        <v>1432</v>
      </c>
      <c r="G3182" s="19" t="s">
        <v>1799</v>
      </c>
      <c r="H3182" s="19" t="s">
        <v>666</v>
      </c>
      <c r="I3182" s="19">
        <v>0</v>
      </c>
      <c r="J3182" s="19" t="s">
        <v>673</v>
      </c>
      <c r="K3182" s="19" t="s">
        <v>587</v>
      </c>
      <c r="L3182" s="19">
        <v>2023</v>
      </c>
      <c r="M3182" s="20">
        <v>150</v>
      </c>
      <c r="N3182" s="19" t="s">
        <v>667</v>
      </c>
      <c r="O3182" s="20">
        <v>0</v>
      </c>
      <c r="P3182" s="20">
        <v>0</v>
      </c>
      <c r="Q3182" s="20">
        <v>0</v>
      </c>
      <c r="R3182" s="21">
        <v>0.92</v>
      </c>
      <c r="S3182" s="20">
        <v>0</v>
      </c>
    </row>
    <row r="3183" spans="2:19" ht="15" customHeight="1" x14ac:dyDescent="0.25">
      <c r="B3183" s="2" t="str">
        <f t="shared" si="98"/>
        <v>NSG_Business_Small/Mid-Size Business_Partner Trade Ally Rebate_Direct Fired Heaters_0_MF/CI</v>
      </c>
      <c r="C3183" s="2" t="str">
        <f t="shared" si="99"/>
        <v>NSG_Business_Small/Mid-Size Business_Partner Trade Ally Rebate_Direct Fired Heaters_0_MF/CI_2024</v>
      </c>
      <c r="D3183" s="19" t="s">
        <v>1787</v>
      </c>
      <c r="E3183" s="19" t="s">
        <v>3</v>
      </c>
      <c r="F3183" s="19" t="s">
        <v>1432</v>
      </c>
      <c r="G3183" s="19" t="s">
        <v>1799</v>
      </c>
      <c r="H3183" s="19" t="s">
        <v>666</v>
      </c>
      <c r="I3183" s="19">
        <v>0</v>
      </c>
      <c r="J3183" s="19" t="s">
        <v>673</v>
      </c>
      <c r="K3183" s="19" t="s">
        <v>587</v>
      </c>
      <c r="L3183" s="19">
        <v>2024</v>
      </c>
      <c r="M3183" s="20">
        <v>150</v>
      </c>
      <c r="N3183" s="19" t="s">
        <v>667</v>
      </c>
      <c r="O3183" s="20">
        <v>0</v>
      </c>
      <c r="P3183" s="20">
        <v>0</v>
      </c>
      <c r="Q3183" s="20">
        <v>0</v>
      </c>
      <c r="R3183" s="21">
        <v>0.92</v>
      </c>
      <c r="S3183" s="20">
        <v>0</v>
      </c>
    </row>
    <row r="3184" spans="2:19" ht="15" customHeight="1" x14ac:dyDescent="0.25">
      <c r="B3184" s="2" t="str">
        <f t="shared" si="98"/>
        <v>NSG_Business_Small/Mid-Size Business_Partner Trade Ally Rebate_Direct Fired Heaters_0_MF/CI</v>
      </c>
      <c r="C3184" s="2" t="str">
        <f t="shared" si="99"/>
        <v>NSG_Business_Small/Mid-Size Business_Partner Trade Ally Rebate_Direct Fired Heaters_0_MF/CI_2025</v>
      </c>
      <c r="D3184" s="19" t="s">
        <v>1787</v>
      </c>
      <c r="E3184" s="19" t="s">
        <v>3</v>
      </c>
      <c r="F3184" s="19" t="s">
        <v>1432</v>
      </c>
      <c r="G3184" s="19" t="s">
        <v>1799</v>
      </c>
      <c r="H3184" s="19" t="s">
        <v>666</v>
      </c>
      <c r="I3184" s="19">
        <v>0</v>
      </c>
      <c r="J3184" s="19" t="s">
        <v>673</v>
      </c>
      <c r="K3184" s="19" t="s">
        <v>587</v>
      </c>
      <c r="L3184" s="19">
        <v>2025</v>
      </c>
      <c r="M3184" s="20">
        <v>150</v>
      </c>
      <c r="N3184" s="19" t="s">
        <v>667</v>
      </c>
      <c r="O3184" s="20">
        <v>0</v>
      </c>
      <c r="P3184" s="20">
        <v>0</v>
      </c>
      <c r="Q3184" s="20">
        <v>0</v>
      </c>
      <c r="R3184" s="21">
        <v>0.92</v>
      </c>
      <c r="S3184" s="20">
        <v>0</v>
      </c>
    </row>
    <row r="3185" spans="2:19" ht="15" customHeight="1" x14ac:dyDescent="0.25">
      <c r="B3185" s="2" t="str">
        <f t="shared" si="98"/>
        <v>NSG_Business_Small/Mid-Size Business_Partner Trade Ally Rebate_High Speed Washer_Hotel/Motel/Hospital_CI</v>
      </c>
      <c r="C3185" s="2" t="str">
        <f t="shared" si="99"/>
        <v>NSG_Business_Small/Mid-Size Business_Partner Trade Ally Rebate_High Speed Washer_Hotel/Motel/Hospital_CI_2022</v>
      </c>
      <c r="D3185" s="19" t="s">
        <v>1787</v>
      </c>
      <c r="E3185" s="19" t="s">
        <v>3</v>
      </c>
      <c r="F3185" s="19" t="s">
        <v>1432</v>
      </c>
      <c r="G3185" s="19" t="s">
        <v>1799</v>
      </c>
      <c r="H3185" s="19" t="s">
        <v>725</v>
      </c>
      <c r="I3185" s="19" t="s">
        <v>1162</v>
      </c>
      <c r="J3185" s="19" t="s">
        <v>730</v>
      </c>
      <c r="K3185" s="19" t="s">
        <v>1159</v>
      </c>
      <c r="L3185" s="19">
        <v>2022</v>
      </c>
      <c r="M3185" s="20">
        <v>250</v>
      </c>
      <c r="N3185" s="19" t="s">
        <v>1803</v>
      </c>
      <c r="O3185" s="20">
        <v>0</v>
      </c>
      <c r="P3185" s="20">
        <v>0</v>
      </c>
      <c r="Q3185" s="20">
        <v>0</v>
      </c>
      <c r="R3185" s="21">
        <v>0.92</v>
      </c>
      <c r="S3185" s="20">
        <v>0</v>
      </c>
    </row>
    <row r="3186" spans="2:19" ht="15" customHeight="1" x14ac:dyDescent="0.25">
      <c r="B3186" s="2" t="str">
        <f t="shared" si="98"/>
        <v>NSG_Business_Small/Mid-Size Business_Partner Trade Ally Rebate_High Speed Washer_Hotel/Motel/Hospital_CI</v>
      </c>
      <c r="C3186" s="2" t="str">
        <f t="shared" si="99"/>
        <v>NSG_Business_Small/Mid-Size Business_Partner Trade Ally Rebate_High Speed Washer_Hotel/Motel/Hospital_CI_2023</v>
      </c>
      <c r="D3186" s="19" t="s">
        <v>1787</v>
      </c>
      <c r="E3186" s="19" t="s">
        <v>3</v>
      </c>
      <c r="F3186" s="19" t="s">
        <v>1432</v>
      </c>
      <c r="G3186" s="19" t="s">
        <v>1799</v>
      </c>
      <c r="H3186" s="19" t="s">
        <v>725</v>
      </c>
      <c r="I3186" s="19" t="s">
        <v>1162</v>
      </c>
      <c r="J3186" s="19" t="s">
        <v>730</v>
      </c>
      <c r="K3186" s="19" t="s">
        <v>1159</v>
      </c>
      <c r="L3186" s="19">
        <v>2023</v>
      </c>
      <c r="M3186" s="20">
        <v>250</v>
      </c>
      <c r="N3186" s="19" t="s">
        <v>1803</v>
      </c>
      <c r="O3186" s="20">
        <v>0</v>
      </c>
      <c r="P3186" s="20">
        <v>0</v>
      </c>
      <c r="Q3186" s="20">
        <v>0</v>
      </c>
      <c r="R3186" s="21">
        <v>0.92</v>
      </c>
      <c r="S3186" s="20">
        <v>0</v>
      </c>
    </row>
    <row r="3187" spans="2:19" ht="15" customHeight="1" x14ac:dyDescent="0.25">
      <c r="B3187" s="2" t="str">
        <f t="shared" si="98"/>
        <v>NSG_Business_Small/Mid-Size Business_Partner Trade Ally Rebate_High Speed Washer_Hotel/Motel/Hospital_CI</v>
      </c>
      <c r="C3187" s="2" t="str">
        <f t="shared" si="99"/>
        <v>NSG_Business_Small/Mid-Size Business_Partner Trade Ally Rebate_High Speed Washer_Hotel/Motel/Hospital_CI_2024</v>
      </c>
      <c r="D3187" s="19" t="s">
        <v>1787</v>
      </c>
      <c r="E3187" s="19" t="s">
        <v>3</v>
      </c>
      <c r="F3187" s="19" t="s">
        <v>1432</v>
      </c>
      <c r="G3187" s="19" t="s">
        <v>1799</v>
      </c>
      <c r="H3187" s="19" t="s">
        <v>725</v>
      </c>
      <c r="I3187" s="19" t="s">
        <v>1162</v>
      </c>
      <c r="J3187" s="19" t="s">
        <v>730</v>
      </c>
      <c r="K3187" s="19" t="s">
        <v>1159</v>
      </c>
      <c r="L3187" s="19">
        <v>2024</v>
      </c>
      <c r="M3187" s="20">
        <v>250</v>
      </c>
      <c r="N3187" s="19" t="s">
        <v>1803</v>
      </c>
      <c r="O3187" s="20">
        <v>0</v>
      </c>
      <c r="P3187" s="20">
        <v>0</v>
      </c>
      <c r="Q3187" s="20">
        <v>0</v>
      </c>
      <c r="R3187" s="21">
        <v>0.92</v>
      </c>
      <c r="S3187" s="20">
        <v>0</v>
      </c>
    </row>
    <row r="3188" spans="2:19" ht="15" customHeight="1" x14ac:dyDescent="0.25">
      <c r="B3188" s="2" t="str">
        <f t="shared" si="98"/>
        <v>NSG_Business_Small/Mid-Size Business_Partner Trade Ally Rebate_High Speed Washer_Hotel/Motel/Hospital_CI</v>
      </c>
      <c r="C3188" s="2" t="str">
        <f t="shared" si="99"/>
        <v>NSG_Business_Small/Mid-Size Business_Partner Trade Ally Rebate_High Speed Washer_Hotel/Motel/Hospital_CI_2025</v>
      </c>
      <c r="D3188" s="19" t="s">
        <v>1787</v>
      </c>
      <c r="E3188" s="19" t="s">
        <v>3</v>
      </c>
      <c r="F3188" s="19" t="s">
        <v>1432</v>
      </c>
      <c r="G3188" s="19" t="s">
        <v>1799</v>
      </c>
      <c r="H3188" s="19" t="s">
        <v>725</v>
      </c>
      <c r="I3188" s="19" t="s">
        <v>1162</v>
      </c>
      <c r="J3188" s="19" t="s">
        <v>730</v>
      </c>
      <c r="K3188" s="19" t="s">
        <v>1159</v>
      </c>
      <c r="L3188" s="19">
        <v>2025</v>
      </c>
      <c r="M3188" s="20">
        <v>250</v>
      </c>
      <c r="N3188" s="19" t="s">
        <v>1803</v>
      </c>
      <c r="O3188" s="20">
        <v>0</v>
      </c>
      <c r="P3188" s="20">
        <v>0</v>
      </c>
      <c r="Q3188" s="20">
        <v>0</v>
      </c>
      <c r="R3188" s="21">
        <v>0.92</v>
      </c>
      <c r="S3188" s="20">
        <v>0</v>
      </c>
    </row>
    <row r="3189" spans="2:19" ht="15" customHeight="1" x14ac:dyDescent="0.25">
      <c r="B3189" s="2" t="str">
        <f t="shared" si="98"/>
        <v>NSG_Business_Small/Mid-Size Business_Partner Trade Ally Rebate_High Speed Washer_Laundromat_SMB</v>
      </c>
      <c r="C3189" s="2" t="str">
        <f t="shared" si="99"/>
        <v>NSG_Business_Small/Mid-Size Business_Partner Trade Ally Rebate_High Speed Washer_Laundromat_SMB_2022</v>
      </c>
      <c r="D3189" s="19" t="s">
        <v>1787</v>
      </c>
      <c r="E3189" s="19" t="s">
        <v>3</v>
      </c>
      <c r="F3189" s="19" t="s">
        <v>1432</v>
      </c>
      <c r="G3189" s="19" t="s">
        <v>1799</v>
      </c>
      <c r="H3189" s="19" t="s">
        <v>725</v>
      </c>
      <c r="I3189" s="19" t="s">
        <v>1356</v>
      </c>
      <c r="J3189" s="19" t="s">
        <v>730</v>
      </c>
      <c r="K3189" s="19" t="s">
        <v>1220</v>
      </c>
      <c r="L3189" s="19">
        <v>2022</v>
      </c>
      <c r="M3189" s="20">
        <v>250</v>
      </c>
      <c r="N3189" s="19" t="s">
        <v>1803</v>
      </c>
      <c r="O3189" s="20">
        <v>0</v>
      </c>
      <c r="P3189" s="20">
        <v>0</v>
      </c>
      <c r="Q3189" s="20">
        <v>0</v>
      </c>
      <c r="R3189" s="21">
        <v>0.92</v>
      </c>
      <c r="S3189" s="20">
        <v>0</v>
      </c>
    </row>
    <row r="3190" spans="2:19" ht="15" customHeight="1" x14ac:dyDescent="0.25">
      <c r="B3190" s="2" t="str">
        <f t="shared" si="98"/>
        <v>NSG_Business_Small/Mid-Size Business_Partner Trade Ally Rebate_High Speed Washer_Laundromat_SMB</v>
      </c>
      <c r="C3190" s="2" t="str">
        <f t="shared" si="99"/>
        <v>NSG_Business_Small/Mid-Size Business_Partner Trade Ally Rebate_High Speed Washer_Laundromat_SMB_2023</v>
      </c>
      <c r="D3190" s="19" t="s">
        <v>1787</v>
      </c>
      <c r="E3190" s="19" t="s">
        <v>3</v>
      </c>
      <c r="F3190" s="19" t="s">
        <v>1432</v>
      </c>
      <c r="G3190" s="19" t="s">
        <v>1799</v>
      </c>
      <c r="H3190" s="19" t="s">
        <v>725</v>
      </c>
      <c r="I3190" s="19" t="s">
        <v>1356</v>
      </c>
      <c r="J3190" s="19" t="s">
        <v>730</v>
      </c>
      <c r="K3190" s="19" t="s">
        <v>1220</v>
      </c>
      <c r="L3190" s="19">
        <v>2023</v>
      </c>
      <c r="M3190" s="20">
        <v>250</v>
      </c>
      <c r="N3190" s="19" t="s">
        <v>1803</v>
      </c>
      <c r="O3190" s="20">
        <v>0</v>
      </c>
      <c r="P3190" s="20">
        <v>0</v>
      </c>
      <c r="Q3190" s="20">
        <v>0</v>
      </c>
      <c r="R3190" s="21">
        <v>0.92</v>
      </c>
      <c r="S3190" s="20">
        <v>0</v>
      </c>
    </row>
    <row r="3191" spans="2:19" ht="15" customHeight="1" x14ac:dyDescent="0.25">
      <c r="B3191" s="2" t="str">
        <f t="shared" si="98"/>
        <v>NSG_Business_Small/Mid-Size Business_Partner Trade Ally Rebate_High Speed Washer_Laundromat_SMB</v>
      </c>
      <c r="C3191" s="2" t="str">
        <f t="shared" si="99"/>
        <v>NSG_Business_Small/Mid-Size Business_Partner Trade Ally Rebate_High Speed Washer_Laundromat_SMB_2024</v>
      </c>
      <c r="D3191" s="19" t="s">
        <v>1787</v>
      </c>
      <c r="E3191" s="19" t="s">
        <v>3</v>
      </c>
      <c r="F3191" s="19" t="s">
        <v>1432</v>
      </c>
      <c r="G3191" s="19" t="s">
        <v>1799</v>
      </c>
      <c r="H3191" s="19" t="s">
        <v>725</v>
      </c>
      <c r="I3191" s="19" t="s">
        <v>1356</v>
      </c>
      <c r="J3191" s="19" t="s">
        <v>730</v>
      </c>
      <c r="K3191" s="19" t="s">
        <v>1220</v>
      </c>
      <c r="L3191" s="19">
        <v>2024</v>
      </c>
      <c r="M3191" s="20">
        <v>250</v>
      </c>
      <c r="N3191" s="19" t="s">
        <v>1803</v>
      </c>
      <c r="O3191" s="20">
        <v>0</v>
      </c>
      <c r="P3191" s="20">
        <v>0</v>
      </c>
      <c r="Q3191" s="20">
        <v>0</v>
      </c>
      <c r="R3191" s="21">
        <v>0.92</v>
      </c>
      <c r="S3191" s="20">
        <v>0</v>
      </c>
    </row>
    <row r="3192" spans="2:19" ht="15" customHeight="1" x14ac:dyDescent="0.25">
      <c r="B3192" s="2" t="str">
        <f t="shared" si="98"/>
        <v>NSG_Business_Small/Mid-Size Business_Partner Trade Ally Rebate_High Speed Washer_Laundromat_SMB</v>
      </c>
      <c r="C3192" s="2" t="str">
        <f t="shared" si="99"/>
        <v>NSG_Business_Small/Mid-Size Business_Partner Trade Ally Rebate_High Speed Washer_Laundromat_SMB_2025</v>
      </c>
      <c r="D3192" s="19" t="s">
        <v>1787</v>
      </c>
      <c r="E3192" s="19" t="s">
        <v>3</v>
      </c>
      <c r="F3192" s="19" t="s">
        <v>1432</v>
      </c>
      <c r="G3192" s="19" t="s">
        <v>1799</v>
      </c>
      <c r="H3192" s="19" t="s">
        <v>725</v>
      </c>
      <c r="I3192" s="19" t="s">
        <v>1356</v>
      </c>
      <c r="J3192" s="19" t="s">
        <v>730</v>
      </c>
      <c r="K3192" s="19" t="s">
        <v>1220</v>
      </c>
      <c r="L3192" s="19">
        <v>2025</v>
      </c>
      <c r="M3192" s="20">
        <v>250</v>
      </c>
      <c r="N3192" s="19" t="s">
        <v>1803</v>
      </c>
      <c r="O3192" s="20">
        <v>0</v>
      </c>
      <c r="P3192" s="20">
        <v>0</v>
      </c>
      <c r="Q3192" s="20">
        <v>0</v>
      </c>
      <c r="R3192" s="21">
        <v>0.92</v>
      </c>
      <c r="S3192" s="20">
        <v>0</v>
      </c>
    </row>
    <row r="3193" spans="2:19" ht="15" customHeight="1" x14ac:dyDescent="0.25">
      <c r="B3193" s="2" t="str">
        <f t="shared" si="98"/>
        <v>NSG_Business_Small/Mid-Size Business_Partner Trade Ally Rebate_Small Commercial Advanced Thermostat_0_CI</v>
      </c>
      <c r="C3193" s="2" t="str">
        <f t="shared" si="99"/>
        <v>NSG_Business_Small/Mid-Size Business_Partner Trade Ally Rebate_Small Commercial Advanced Thermostat_0_CI_2022</v>
      </c>
      <c r="D3193" s="19" t="s">
        <v>1787</v>
      </c>
      <c r="E3193" s="19" t="s">
        <v>3</v>
      </c>
      <c r="F3193" s="19" t="s">
        <v>1432</v>
      </c>
      <c r="G3193" s="19" t="s">
        <v>1799</v>
      </c>
      <c r="H3193" s="19" t="s">
        <v>1302</v>
      </c>
      <c r="I3193" s="19">
        <v>0</v>
      </c>
      <c r="J3193" s="19" t="s">
        <v>1183</v>
      </c>
      <c r="K3193" s="19" t="s">
        <v>1159</v>
      </c>
      <c r="L3193" s="19">
        <v>2022</v>
      </c>
      <c r="M3193" s="20">
        <v>1</v>
      </c>
      <c r="N3193" s="19" t="s">
        <v>1798</v>
      </c>
      <c r="O3193" s="20">
        <v>5</v>
      </c>
      <c r="P3193" s="20">
        <v>5</v>
      </c>
      <c r="Q3193" s="20">
        <v>942.06678719999991</v>
      </c>
      <c r="R3193" s="21">
        <v>0.96</v>
      </c>
      <c r="S3193" s="20">
        <v>942.06678719999991</v>
      </c>
    </row>
    <row r="3194" spans="2:19" ht="15" customHeight="1" x14ac:dyDescent="0.25">
      <c r="B3194" s="2" t="str">
        <f t="shared" si="98"/>
        <v>NSG_Business_Small/Mid-Size Business_Partner Trade Ally Rebate_Small Commercial Advanced Thermostat_0_CI</v>
      </c>
      <c r="C3194" s="2" t="str">
        <f t="shared" si="99"/>
        <v>NSG_Business_Small/Mid-Size Business_Partner Trade Ally Rebate_Small Commercial Advanced Thermostat_0_CI_2023</v>
      </c>
      <c r="D3194" s="19" t="s">
        <v>1787</v>
      </c>
      <c r="E3194" s="19" t="s">
        <v>3</v>
      </c>
      <c r="F3194" s="19" t="s">
        <v>1432</v>
      </c>
      <c r="G3194" s="19" t="s">
        <v>1799</v>
      </c>
      <c r="H3194" s="19" t="s">
        <v>1302</v>
      </c>
      <c r="I3194" s="19">
        <v>0</v>
      </c>
      <c r="J3194" s="19" t="s">
        <v>1183</v>
      </c>
      <c r="K3194" s="19" t="s">
        <v>1159</v>
      </c>
      <c r="L3194" s="19">
        <v>2023</v>
      </c>
      <c r="M3194" s="20">
        <v>1</v>
      </c>
      <c r="N3194" s="19" t="s">
        <v>1798</v>
      </c>
      <c r="O3194" s="20">
        <v>4</v>
      </c>
      <c r="P3194" s="20">
        <v>4</v>
      </c>
      <c r="Q3194" s="20">
        <v>753.65342975999988</v>
      </c>
      <c r="R3194" s="21">
        <v>0.96</v>
      </c>
      <c r="S3194" s="20">
        <v>753.65342975999988</v>
      </c>
    </row>
    <row r="3195" spans="2:19" ht="15" customHeight="1" x14ac:dyDescent="0.25">
      <c r="B3195" s="2" t="str">
        <f t="shared" si="98"/>
        <v>NSG_Business_Small/Mid-Size Business_Partner Trade Ally Rebate_Small Commercial Advanced Thermostat_0_CI</v>
      </c>
      <c r="C3195" s="2" t="str">
        <f t="shared" si="99"/>
        <v>NSG_Business_Small/Mid-Size Business_Partner Trade Ally Rebate_Small Commercial Advanced Thermostat_0_CI_2024</v>
      </c>
      <c r="D3195" s="19" t="s">
        <v>1787</v>
      </c>
      <c r="E3195" s="19" t="s">
        <v>3</v>
      </c>
      <c r="F3195" s="19" t="s">
        <v>1432</v>
      </c>
      <c r="G3195" s="19" t="s">
        <v>1799</v>
      </c>
      <c r="H3195" s="19" t="s">
        <v>1302</v>
      </c>
      <c r="I3195" s="19">
        <v>0</v>
      </c>
      <c r="J3195" s="19" t="s">
        <v>1183</v>
      </c>
      <c r="K3195" s="19" t="s">
        <v>1159</v>
      </c>
      <c r="L3195" s="19">
        <v>2024</v>
      </c>
      <c r="M3195" s="20">
        <v>1</v>
      </c>
      <c r="N3195" s="19" t="s">
        <v>1798</v>
      </c>
      <c r="O3195" s="20">
        <v>4</v>
      </c>
      <c r="P3195" s="20">
        <v>4</v>
      </c>
      <c r="Q3195" s="20">
        <v>753.65342975999988</v>
      </c>
      <c r="R3195" s="21">
        <v>0.96</v>
      </c>
      <c r="S3195" s="20">
        <v>753.65342975999988</v>
      </c>
    </row>
    <row r="3196" spans="2:19" ht="15" customHeight="1" x14ac:dyDescent="0.25">
      <c r="B3196" s="2" t="str">
        <f t="shared" si="98"/>
        <v>NSG_Business_Small/Mid-Size Business_Partner Trade Ally Rebate_Small Commercial Advanced Thermostat_0_CI</v>
      </c>
      <c r="C3196" s="2" t="str">
        <f t="shared" si="99"/>
        <v>NSG_Business_Small/Mid-Size Business_Partner Trade Ally Rebate_Small Commercial Advanced Thermostat_0_CI_2025</v>
      </c>
      <c r="D3196" s="19" t="s">
        <v>1787</v>
      </c>
      <c r="E3196" s="19" t="s">
        <v>3</v>
      </c>
      <c r="F3196" s="19" t="s">
        <v>1432</v>
      </c>
      <c r="G3196" s="19" t="s">
        <v>1799</v>
      </c>
      <c r="H3196" s="19" t="s">
        <v>1302</v>
      </c>
      <c r="I3196" s="19">
        <v>0</v>
      </c>
      <c r="J3196" s="19" t="s">
        <v>1183</v>
      </c>
      <c r="K3196" s="19" t="s">
        <v>1159</v>
      </c>
      <c r="L3196" s="19">
        <v>2025</v>
      </c>
      <c r="M3196" s="20">
        <v>1</v>
      </c>
      <c r="N3196" s="19" t="s">
        <v>1798</v>
      </c>
      <c r="O3196" s="20">
        <v>4</v>
      </c>
      <c r="P3196" s="20">
        <v>4</v>
      </c>
      <c r="Q3196" s="20">
        <v>753.65342975999988</v>
      </c>
      <c r="R3196" s="21">
        <v>0.96</v>
      </c>
      <c r="S3196" s="20">
        <v>753.65342975999988</v>
      </c>
    </row>
    <row r="3197" spans="2:19" ht="15" customHeight="1" x14ac:dyDescent="0.25">
      <c r="B3197" s="2" t="str">
        <f t="shared" si="98"/>
        <v>NSG_Business_Small/Mid-Size Business_Partner Trade Ally Rebate_Demand Controlled Ventilation_0_MF/CI/SMB</v>
      </c>
      <c r="C3197" s="2" t="str">
        <f t="shared" si="99"/>
        <v>NSG_Business_Small/Mid-Size Business_Partner Trade Ally Rebate_Demand Controlled Ventilation_0_MF/CI/SMB_2022</v>
      </c>
      <c r="D3197" s="19" t="s">
        <v>1787</v>
      </c>
      <c r="E3197" s="19" t="s">
        <v>3</v>
      </c>
      <c r="F3197" s="19" t="s">
        <v>1432</v>
      </c>
      <c r="G3197" s="19" t="s">
        <v>1799</v>
      </c>
      <c r="H3197" s="19" t="s">
        <v>14</v>
      </c>
      <c r="I3197" s="19">
        <v>0</v>
      </c>
      <c r="J3197" s="19" t="s">
        <v>34</v>
      </c>
      <c r="K3197" s="19" t="s">
        <v>662</v>
      </c>
      <c r="L3197" s="19">
        <v>2022</v>
      </c>
      <c r="M3197" s="20">
        <v>10000</v>
      </c>
      <c r="N3197" s="19" t="s">
        <v>634</v>
      </c>
      <c r="O3197" s="20">
        <v>0</v>
      </c>
      <c r="P3197" s="20">
        <v>0</v>
      </c>
      <c r="Q3197" s="20">
        <v>0</v>
      </c>
      <c r="R3197" s="21">
        <v>0.92</v>
      </c>
      <c r="S3197" s="20">
        <v>0</v>
      </c>
    </row>
    <row r="3198" spans="2:19" ht="15" customHeight="1" x14ac:dyDescent="0.25">
      <c r="B3198" s="2" t="str">
        <f t="shared" si="98"/>
        <v>NSG_Business_Small/Mid-Size Business_Partner Trade Ally Rebate_Demand Controlled Ventilation_0_MF/CI/SMB</v>
      </c>
      <c r="C3198" s="2" t="str">
        <f t="shared" si="99"/>
        <v>NSG_Business_Small/Mid-Size Business_Partner Trade Ally Rebate_Demand Controlled Ventilation_0_MF/CI/SMB_2023</v>
      </c>
      <c r="D3198" s="19" t="s">
        <v>1787</v>
      </c>
      <c r="E3198" s="19" t="s">
        <v>3</v>
      </c>
      <c r="F3198" s="19" t="s">
        <v>1432</v>
      </c>
      <c r="G3198" s="19" t="s">
        <v>1799</v>
      </c>
      <c r="H3198" s="19" t="s">
        <v>14</v>
      </c>
      <c r="I3198" s="19">
        <v>0</v>
      </c>
      <c r="J3198" s="19" t="s">
        <v>34</v>
      </c>
      <c r="K3198" s="19" t="s">
        <v>662</v>
      </c>
      <c r="L3198" s="19">
        <v>2023</v>
      </c>
      <c r="M3198" s="20">
        <v>10000</v>
      </c>
      <c r="N3198" s="19" t="s">
        <v>634</v>
      </c>
      <c r="O3198" s="20">
        <v>0</v>
      </c>
      <c r="P3198" s="20">
        <v>0</v>
      </c>
      <c r="Q3198" s="20">
        <v>0</v>
      </c>
      <c r="R3198" s="21">
        <v>0.92</v>
      </c>
      <c r="S3198" s="20">
        <v>0</v>
      </c>
    </row>
    <row r="3199" spans="2:19" ht="15" customHeight="1" x14ac:dyDescent="0.25">
      <c r="B3199" s="2" t="str">
        <f t="shared" si="98"/>
        <v>NSG_Business_Small/Mid-Size Business_Partner Trade Ally Rebate_Demand Controlled Ventilation_0_MF/CI/SMB</v>
      </c>
      <c r="C3199" s="2" t="str">
        <f t="shared" si="99"/>
        <v>NSG_Business_Small/Mid-Size Business_Partner Trade Ally Rebate_Demand Controlled Ventilation_0_MF/CI/SMB_2024</v>
      </c>
      <c r="D3199" s="19" t="s">
        <v>1787</v>
      </c>
      <c r="E3199" s="19" t="s">
        <v>3</v>
      </c>
      <c r="F3199" s="19" t="s">
        <v>1432</v>
      </c>
      <c r="G3199" s="19" t="s">
        <v>1799</v>
      </c>
      <c r="H3199" s="19" t="s">
        <v>14</v>
      </c>
      <c r="I3199" s="19">
        <v>0</v>
      </c>
      <c r="J3199" s="19" t="s">
        <v>34</v>
      </c>
      <c r="K3199" s="19" t="s">
        <v>662</v>
      </c>
      <c r="L3199" s="19">
        <v>2024</v>
      </c>
      <c r="M3199" s="20">
        <v>10000</v>
      </c>
      <c r="N3199" s="19" t="s">
        <v>634</v>
      </c>
      <c r="O3199" s="20">
        <v>0</v>
      </c>
      <c r="P3199" s="20">
        <v>0</v>
      </c>
      <c r="Q3199" s="20">
        <v>0</v>
      </c>
      <c r="R3199" s="21">
        <v>0.92</v>
      </c>
      <c r="S3199" s="20">
        <v>0</v>
      </c>
    </row>
    <row r="3200" spans="2:19" ht="15" customHeight="1" x14ac:dyDescent="0.25">
      <c r="B3200" s="2" t="str">
        <f t="shared" si="98"/>
        <v>NSG_Business_Small/Mid-Size Business_Partner Trade Ally Rebate_Demand Controlled Ventilation_0_MF/CI/SMB</v>
      </c>
      <c r="C3200" s="2" t="str">
        <f t="shared" si="99"/>
        <v>NSG_Business_Small/Mid-Size Business_Partner Trade Ally Rebate_Demand Controlled Ventilation_0_MF/CI/SMB_2025</v>
      </c>
      <c r="D3200" s="19" t="s">
        <v>1787</v>
      </c>
      <c r="E3200" s="19" t="s">
        <v>3</v>
      </c>
      <c r="F3200" s="19" t="s">
        <v>1432</v>
      </c>
      <c r="G3200" s="19" t="s">
        <v>1799</v>
      </c>
      <c r="H3200" s="19" t="s">
        <v>14</v>
      </c>
      <c r="I3200" s="19">
        <v>0</v>
      </c>
      <c r="J3200" s="19" t="s">
        <v>34</v>
      </c>
      <c r="K3200" s="19" t="s">
        <v>662</v>
      </c>
      <c r="L3200" s="19">
        <v>2025</v>
      </c>
      <c r="M3200" s="20">
        <v>10000</v>
      </c>
      <c r="N3200" s="19" t="s">
        <v>634</v>
      </c>
      <c r="O3200" s="20">
        <v>0</v>
      </c>
      <c r="P3200" s="20">
        <v>0</v>
      </c>
      <c r="Q3200" s="20">
        <v>0</v>
      </c>
      <c r="R3200" s="21">
        <v>0.92</v>
      </c>
      <c r="S3200" s="20">
        <v>0</v>
      </c>
    </row>
    <row r="3201" spans="2:19" ht="15" customHeight="1" x14ac:dyDescent="0.25">
      <c r="B3201" s="2" t="str">
        <f t="shared" si="98"/>
        <v>NSG_Business_Small/Mid-Size Business_Partner Trade Ally Rebate_Condensate Tank Insulation_0_MF/CI/SMB</v>
      </c>
      <c r="C3201" s="2" t="str">
        <f t="shared" si="99"/>
        <v>NSG_Business_Small/Mid-Size Business_Partner Trade Ally Rebate_Condensate Tank Insulation_0_MF/CI/SMB_2022</v>
      </c>
      <c r="D3201" s="19" t="s">
        <v>1787</v>
      </c>
      <c r="E3201" s="19" t="s">
        <v>3</v>
      </c>
      <c r="F3201" s="19" t="s">
        <v>1432</v>
      </c>
      <c r="G3201" s="19" t="s">
        <v>1799</v>
      </c>
      <c r="H3201" s="19" t="s">
        <v>806</v>
      </c>
      <c r="I3201" s="19">
        <v>0</v>
      </c>
      <c r="J3201" s="19" t="s">
        <v>810</v>
      </c>
      <c r="K3201" s="19" t="s">
        <v>662</v>
      </c>
      <c r="L3201" s="19">
        <v>2022</v>
      </c>
      <c r="M3201" s="20">
        <v>550</v>
      </c>
      <c r="N3201" s="19" t="s">
        <v>634</v>
      </c>
      <c r="O3201" s="20">
        <v>1</v>
      </c>
      <c r="P3201" s="20">
        <v>550</v>
      </c>
      <c r="Q3201" s="20">
        <v>8473.5759550674411</v>
      </c>
      <c r="R3201" s="21">
        <v>0.92</v>
      </c>
      <c r="S3201" s="20">
        <v>8473.5759550674411</v>
      </c>
    </row>
    <row r="3202" spans="2:19" ht="15" customHeight="1" x14ac:dyDescent="0.25">
      <c r="B3202" s="2" t="str">
        <f t="shared" si="98"/>
        <v>NSG_Business_Small/Mid-Size Business_Partner Trade Ally Rebate_Condensate Tank Insulation_0_MF/CI/SMB</v>
      </c>
      <c r="C3202" s="2" t="str">
        <f t="shared" si="99"/>
        <v>NSG_Business_Small/Mid-Size Business_Partner Trade Ally Rebate_Condensate Tank Insulation_0_MF/CI/SMB_2023</v>
      </c>
      <c r="D3202" s="19" t="s">
        <v>1787</v>
      </c>
      <c r="E3202" s="19" t="s">
        <v>3</v>
      </c>
      <c r="F3202" s="19" t="s">
        <v>1432</v>
      </c>
      <c r="G3202" s="19" t="s">
        <v>1799</v>
      </c>
      <c r="H3202" s="19" t="s">
        <v>806</v>
      </c>
      <c r="I3202" s="19">
        <v>0</v>
      </c>
      <c r="J3202" s="19" t="s">
        <v>810</v>
      </c>
      <c r="K3202" s="19" t="s">
        <v>662</v>
      </c>
      <c r="L3202" s="19">
        <v>2023</v>
      </c>
      <c r="M3202" s="20">
        <v>550</v>
      </c>
      <c r="N3202" s="19" t="s">
        <v>634</v>
      </c>
      <c r="O3202" s="20">
        <v>1</v>
      </c>
      <c r="P3202" s="20">
        <v>550</v>
      </c>
      <c r="Q3202" s="20">
        <v>8473.5759550674411</v>
      </c>
      <c r="R3202" s="21">
        <v>0.92</v>
      </c>
      <c r="S3202" s="20">
        <v>8473.5759550674411</v>
      </c>
    </row>
    <row r="3203" spans="2:19" ht="15" customHeight="1" x14ac:dyDescent="0.25">
      <c r="B3203" s="2" t="str">
        <f t="shared" si="98"/>
        <v>NSG_Business_Small/Mid-Size Business_Partner Trade Ally Rebate_Condensate Tank Insulation_0_MF/CI/SMB</v>
      </c>
      <c r="C3203" s="2" t="str">
        <f t="shared" si="99"/>
        <v>NSG_Business_Small/Mid-Size Business_Partner Trade Ally Rebate_Condensate Tank Insulation_0_MF/CI/SMB_2024</v>
      </c>
      <c r="D3203" s="19" t="s">
        <v>1787</v>
      </c>
      <c r="E3203" s="19" t="s">
        <v>3</v>
      </c>
      <c r="F3203" s="19" t="s">
        <v>1432</v>
      </c>
      <c r="G3203" s="19" t="s">
        <v>1799</v>
      </c>
      <c r="H3203" s="19" t="s">
        <v>806</v>
      </c>
      <c r="I3203" s="19">
        <v>0</v>
      </c>
      <c r="J3203" s="19" t="s">
        <v>810</v>
      </c>
      <c r="K3203" s="19" t="s">
        <v>662</v>
      </c>
      <c r="L3203" s="19">
        <v>2024</v>
      </c>
      <c r="M3203" s="20">
        <v>550</v>
      </c>
      <c r="N3203" s="19" t="s">
        <v>634</v>
      </c>
      <c r="O3203" s="20">
        <v>1</v>
      </c>
      <c r="P3203" s="20">
        <v>550</v>
      </c>
      <c r="Q3203" s="20">
        <v>8473.5759550674411</v>
      </c>
      <c r="R3203" s="21">
        <v>0.92</v>
      </c>
      <c r="S3203" s="20">
        <v>8473.5759550674411</v>
      </c>
    </row>
    <row r="3204" spans="2:19" ht="15" customHeight="1" x14ac:dyDescent="0.25">
      <c r="B3204" s="2" t="str">
        <f t="shared" si="98"/>
        <v>NSG_Business_Small/Mid-Size Business_Partner Trade Ally Rebate_Condensate Tank Insulation_0_MF/CI/SMB</v>
      </c>
      <c r="C3204" s="2" t="str">
        <f t="shared" si="99"/>
        <v>NSG_Business_Small/Mid-Size Business_Partner Trade Ally Rebate_Condensate Tank Insulation_0_MF/CI/SMB_2025</v>
      </c>
      <c r="D3204" s="19" t="s">
        <v>1787</v>
      </c>
      <c r="E3204" s="19" t="s">
        <v>3</v>
      </c>
      <c r="F3204" s="19" t="s">
        <v>1432</v>
      </c>
      <c r="G3204" s="19" t="s">
        <v>1799</v>
      </c>
      <c r="H3204" s="19" t="s">
        <v>806</v>
      </c>
      <c r="I3204" s="19">
        <v>0</v>
      </c>
      <c r="J3204" s="19" t="s">
        <v>810</v>
      </c>
      <c r="K3204" s="19" t="s">
        <v>662</v>
      </c>
      <c r="L3204" s="19">
        <v>2025</v>
      </c>
      <c r="M3204" s="20">
        <v>550</v>
      </c>
      <c r="N3204" s="19" t="s">
        <v>634</v>
      </c>
      <c r="O3204" s="20">
        <v>1</v>
      </c>
      <c r="P3204" s="20">
        <v>550</v>
      </c>
      <c r="Q3204" s="20">
        <v>8473.5759550674411</v>
      </c>
      <c r="R3204" s="21">
        <v>0.92</v>
      </c>
      <c r="S3204" s="20">
        <v>8473.5759550674411</v>
      </c>
    </row>
    <row r="3205" spans="2:19" ht="15" customHeight="1" x14ac:dyDescent="0.25">
      <c r="B3205" s="2" t="str">
        <f t="shared" si="98"/>
        <v>NSG_Business_Small/Mid-Size Business_Partner Trade Ally Rebate_Dock Door Seals_0_CI</v>
      </c>
      <c r="C3205" s="2" t="str">
        <f t="shared" si="99"/>
        <v>NSG_Business_Small/Mid-Size Business_Partner Trade Ally Rebate_Dock Door Seals_0_CI_2022</v>
      </c>
      <c r="D3205" s="19" t="s">
        <v>1787</v>
      </c>
      <c r="E3205" s="19" t="s">
        <v>3</v>
      </c>
      <c r="F3205" s="19" t="s">
        <v>1432</v>
      </c>
      <c r="G3205" s="19" t="s">
        <v>1799</v>
      </c>
      <c r="H3205" s="19" t="s">
        <v>1291</v>
      </c>
      <c r="I3205" s="19">
        <v>0</v>
      </c>
      <c r="J3205" s="19">
        <v>0</v>
      </c>
      <c r="K3205" s="19" t="s">
        <v>1159</v>
      </c>
      <c r="L3205" s="19">
        <v>2022</v>
      </c>
      <c r="M3205" s="20">
        <v>1</v>
      </c>
      <c r="N3205" s="19" t="s">
        <v>1798</v>
      </c>
      <c r="O3205" s="20">
        <v>0</v>
      </c>
      <c r="P3205" s="20">
        <v>0</v>
      </c>
      <c r="Q3205" s="20">
        <v>0</v>
      </c>
      <c r="R3205" s="21">
        <v>0.92</v>
      </c>
      <c r="S3205" s="20">
        <v>0</v>
      </c>
    </row>
    <row r="3206" spans="2:19" ht="15" customHeight="1" x14ac:dyDescent="0.25">
      <c r="B3206" s="2" t="str">
        <f t="shared" ref="B3206:B3269" si="100">D3206&amp;"_"&amp;E3206&amp;"_"&amp;F3206&amp;"_"&amp;G3206&amp;"_"&amp;H3206&amp;"_"&amp;I3206&amp;"_"&amp;K3206</f>
        <v>NSG_Business_Small/Mid-Size Business_Partner Trade Ally Rebate_Dock Door Seals_0_CI</v>
      </c>
      <c r="C3206" s="2" t="str">
        <f t="shared" ref="C3206:C3269" si="101">D3206&amp;"_"&amp;E3206&amp;"_"&amp;F3206&amp;"_"&amp;G3206&amp;"_"&amp;H3206&amp;"_"&amp;I3206&amp;"_"&amp;K3206&amp;"_"&amp;L3206</f>
        <v>NSG_Business_Small/Mid-Size Business_Partner Trade Ally Rebate_Dock Door Seals_0_CI_2023</v>
      </c>
      <c r="D3206" s="19" t="s">
        <v>1787</v>
      </c>
      <c r="E3206" s="19" t="s">
        <v>3</v>
      </c>
      <c r="F3206" s="19" t="s">
        <v>1432</v>
      </c>
      <c r="G3206" s="19" t="s">
        <v>1799</v>
      </c>
      <c r="H3206" s="19" t="s">
        <v>1291</v>
      </c>
      <c r="I3206" s="19">
        <v>0</v>
      </c>
      <c r="J3206" s="19">
        <v>0</v>
      </c>
      <c r="K3206" s="19" t="s">
        <v>1159</v>
      </c>
      <c r="L3206" s="19">
        <v>2023</v>
      </c>
      <c r="M3206" s="20">
        <v>1</v>
      </c>
      <c r="N3206" s="19" t="s">
        <v>1798</v>
      </c>
      <c r="O3206" s="20">
        <v>0</v>
      </c>
      <c r="P3206" s="20">
        <v>0</v>
      </c>
      <c r="Q3206" s="20">
        <v>0</v>
      </c>
      <c r="R3206" s="21">
        <v>0.92</v>
      </c>
      <c r="S3206" s="20">
        <v>0</v>
      </c>
    </row>
    <row r="3207" spans="2:19" ht="15" customHeight="1" x14ac:dyDescent="0.25">
      <c r="B3207" s="2" t="str">
        <f t="shared" si="100"/>
        <v>NSG_Business_Small/Mid-Size Business_Partner Trade Ally Rebate_Dock Door Seals_0_CI</v>
      </c>
      <c r="C3207" s="2" t="str">
        <f t="shared" si="101"/>
        <v>NSG_Business_Small/Mid-Size Business_Partner Trade Ally Rebate_Dock Door Seals_0_CI_2024</v>
      </c>
      <c r="D3207" s="19" t="s">
        <v>1787</v>
      </c>
      <c r="E3207" s="19" t="s">
        <v>3</v>
      </c>
      <c r="F3207" s="19" t="s">
        <v>1432</v>
      </c>
      <c r="G3207" s="19" t="s">
        <v>1799</v>
      </c>
      <c r="H3207" s="19" t="s">
        <v>1291</v>
      </c>
      <c r="I3207" s="19">
        <v>0</v>
      </c>
      <c r="J3207" s="19">
        <v>0</v>
      </c>
      <c r="K3207" s="19" t="s">
        <v>1159</v>
      </c>
      <c r="L3207" s="19">
        <v>2024</v>
      </c>
      <c r="M3207" s="20">
        <v>1</v>
      </c>
      <c r="N3207" s="19" t="s">
        <v>1798</v>
      </c>
      <c r="O3207" s="20">
        <v>0</v>
      </c>
      <c r="P3207" s="20">
        <v>0</v>
      </c>
      <c r="Q3207" s="20">
        <v>0</v>
      </c>
      <c r="R3207" s="21">
        <v>0.92</v>
      </c>
      <c r="S3207" s="20">
        <v>0</v>
      </c>
    </row>
    <row r="3208" spans="2:19" ht="15" customHeight="1" x14ac:dyDescent="0.25">
      <c r="B3208" s="2" t="str">
        <f t="shared" si="100"/>
        <v>NSG_Business_Small/Mid-Size Business_Partner Trade Ally Rebate_Dock Door Seals_0_CI</v>
      </c>
      <c r="C3208" s="2" t="str">
        <f t="shared" si="101"/>
        <v>NSG_Business_Small/Mid-Size Business_Partner Trade Ally Rebate_Dock Door Seals_0_CI_2025</v>
      </c>
      <c r="D3208" s="19" t="s">
        <v>1787</v>
      </c>
      <c r="E3208" s="19" t="s">
        <v>3</v>
      </c>
      <c r="F3208" s="19" t="s">
        <v>1432</v>
      </c>
      <c r="G3208" s="19" t="s">
        <v>1799</v>
      </c>
      <c r="H3208" s="19" t="s">
        <v>1291</v>
      </c>
      <c r="I3208" s="19">
        <v>0</v>
      </c>
      <c r="J3208" s="19">
        <v>0</v>
      </c>
      <c r="K3208" s="19" t="s">
        <v>1159</v>
      </c>
      <c r="L3208" s="19">
        <v>2025</v>
      </c>
      <c r="M3208" s="20">
        <v>1</v>
      </c>
      <c r="N3208" s="19" t="s">
        <v>1798</v>
      </c>
      <c r="O3208" s="20">
        <v>0</v>
      </c>
      <c r="P3208" s="20">
        <v>0</v>
      </c>
      <c r="Q3208" s="20">
        <v>0</v>
      </c>
      <c r="R3208" s="21">
        <v>0.92</v>
      </c>
      <c r="S3208" s="20">
        <v>0</v>
      </c>
    </row>
    <row r="3209" spans="2:19" ht="15" customHeight="1" x14ac:dyDescent="0.25">
      <c r="B3209" s="2" t="str">
        <f t="shared" si="100"/>
        <v>NSG_Business_Small/Mid-Size Business_Partner Trade Ally Rebate_Furnace_&gt;95% AFUE_CI</v>
      </c>
      <c r="C3209" s="2" t="str">
        <f t="shared" si="101"/>
        <v>NSG_Business_Small/Mid-Size Business_Partner Trade Ally Rebate_Furnace_&gt;95% AFUE_CI_2022</v>
      </c>
      <c r="D3209" s="19" t="s">
        <v>1787</v>
      </c>
      <c r="E3209" s="19" t="s">
        <v>3</v>
      </c>
      <c r="F3209" s="19" t="s">
        <v>1432</v>
      </c>
      <c r="G3209" s="19" t="s">
        <v>1799</v>
      </c>
      <c r="H3209" s="19" t="s">
        <v>490</v>
      </c>
      <c r="I3209" s="19" t="s">
        <v>982</v>
      </c>
      <c r="J3209" s="19" t="s">
        <v>983</v>
      </c>
      <c r="K3209" s="19" t="s">
        <v>1159</v>
      </c>
      <c r="L3209" s="19">
        <v>2022</v>
      </c>
      <c r="M3209" s="20">
        <v>1</v>
      </c>
      <c r="N3209" s="19" t="s">
        <v>1798</v>
      </c>
      <c r="O3209" s="20">
        <v>4</v>
      </c>
      <c r="P3209" s="20">
        <v>4</v>
      </c>
      <c r="Q3209" s="20">
        <v>909.27463999999952</v>
      </c>
      <c r="R3209" s="21">
        <v>0.92</v>
      </c>
      <c r="S3209" s="20">
        <v>909.27463999999952</v>
      </c>
    </row>
    <row r="3210" spans="2:19" ht="15" customHeight="1" x14ac:dyDescent="0.25">
      <c r="B3210" s="2" t="str">
        <f t="shared" si="100"/>
        <v>NSG_Business_Small/Mid-Size Business_Partner Trade Ally Rebate_Furnace_&gt;95% AFUE_CI</v>
      </c>
      <c r="C3210" s="2" t="str">
        <f t="shared" si="101"/>
        <v>NSG_Business_Small/Mid-Size Business_Partner Trade Ally Rebate_Furnace_&gt;95% AFUE_CI_2023</v>
      </c>
      <c r="D3210" s="19" t="s">
        <v>1787</v>
      </c>
      <c r="E3210" s="19" t="s">
        <v>3</v>
      </c>
      <c r="F3210" s="19" t="s">
        <v>1432</v>
      </c>
      <c r="G3210" s="19" t="s">
        <v>1799</v>
      </c>
      <c r="H3210" s="19" t="s">
        <v>490</v>
      </c>
      <c r="I3210" s="19" t="s">
        <v>982</v>
      </c>
      <c r="J3210" s="19" t="s">
        <v>983</v>
      </c>
      <c r="K3210" s="19" t="s">
        <v>1159</v>
      </c>
      <c r="L3210" s="19">
        <v>2023</v>
      </c>
      <c r="M3210" s="20">
        <v>1</v>
      </c>
      <c r="N3210" s="19" t="s">
        <v>1798</v>
      </c>
      <c r="O3210" s="20">
        <v>3</v>
      </c>
      <c r="P3210" s="20">
        <v>3</v>
      </c>
      <c r="Q3210" s="20">
        <v>681.95597999999961</v>
      </c>
      <c r="R3210" s="21">
        <v>0.92</v>
      </c>
      <c r="S3210" s="20">
        <v>681.95597999999961</v>
      </c>
    </row>
    <row r="3211" spans="2:19" ht="15" customHeight="1" x14ac:dyDescent="0.25">
      <c r="B3211" s="2" t="str">
        <f t="shared" si="100"/>
        <v>NSG_Business_Small/Mid-Size Business_Partner Trade Ally Rebate_Furnace_&gt;95% AFUE_CI</v>
      </c>
      <c r="C3211" s="2" t="str">
        <f t="shared" si="101"/>
        <v>NSG_Business_Small/Mid-Size Business_Partner Trade Ally Rebate_Furnace_&gt;95% AFUE_CI_2024</v>
      </c>
      <c r="D3211" s="19" t="s">
        <v>1787</v>
      </c>
      <c r="E3211" s="19" t="s">
        <v>3</v>
      </c>
      <c r="F3211" s="19" t="s">
        <v>1432</v>
      </c>
      <c r="G3211" s="19" t="s">
        <v>1799</v>
      </c>
      <c r="H3211" s="19" t="s">
        <v>490</v>
      </c>
      <c r="I3211" s="19" t="s">
        <v>982</v>
      </c>
      <c r="J3211" s="19" t="s">
        <v>983</v>
      </c>
      <c r="K3211" s="19" t="s">
        <v>1159</v>
      </c>
      <c r="L3211" s="19">
        <v>2024</v>
      </c>
      <c r="M3211" s="20">
        <v>1</v>
      </c>
      <c r="N3211" s="19" t="s">
        <v>1798</v>
      </c>
      <c r="O3211" s="20">
        <v>3</v>
      </c>
      <c r="P3211" s="20">
        <v>3</v>
      </c>
      <c r="Q3211" s="20">
        <v>681.95597999999961</v>
      </c>
      <c r="R3211" s="21">
        <v>0.92</v>
      </c>
      <c r="S3211" s="20">
        <v>681.95597999999961</v>
      </c>
    </row>
    <row r="3212" spans="2:19" ht="15" customHeight="1" x14ac:dyDescent="0.25">
      <c r="B3212" s="2" t="str">
        <f t="shared" si="100"/>
        <v>NSG_Business_Small/Mid-Size Business_Partner Trade Ally Rebate_Furnace_&gt;95% AFUE_CI</v>
      </c>
      <c r="C3212" s="2" t="str">
        <f t="shared" si="101"/>
        <v>NSG_Business_Small/Mid-Size Business_Partner Trade Ally Rebate_Furnace_&gt;95% AFUE_CI_2025</v>
      </c>
      <c r="D3212" s="19" t="s">
        <v>1787</v>
      </c>
      <c r="E3212" s="19" t="s">
        <v>3</v>
      </c>
      <c r="F3212" s="19" t="s">
        <v>1432</v>
      </c>
      <c r="G3212" s="19" t="s">
        <v>1799</v>
      </c>
      <c r="H3212" s="19" t="s">
        <v>490</v>
      </c>
      <c r="I3212" s="19" t="s">
        <v>982</v>
      </c>
      <c r="J3212" s="19" t="s">
        <v>983</v>
      </c>
      <c r="K3212" s="19" t="s">
        <v>1159</v>
      </c>
      <c r="L3212" s="19">
        <v>2025</v>
      </c>
      <c r="M3212" s="20">
        <v>1</v>
      </c>
      <c r="N3212" s="19" t="s">
        <v>1798</v>
      </c>
      <c r="O3212" s="20">
        <v>3</v>
      </c>
      <c r="P3212" s="20">
        <v>3</v>
      </c>
      <c r="Q3212" s="20">
        <v>681.95597999999961</v>
      </c>
      <c r="R3212" s="21">
        <v>0.92</v>
      </c>
      <c r="S3212" s="20">
        <v>681.95597999999961</v>
      </c>
    </row>
    <row r="3213" spans="2:19" ht="15" customHeight="1" x14ac:dyDescent="0.25">
      <c r="B3213" s="2" t="str">
        <f t="shared" si="100"/>
        <v>NSG_Business_Small/Mid-Size Business_Partner Trade Ally Rebate_Water Heater_≥75 MBH, ≥88% TE _CI</v>
      </c>
      <c r="C3213" s="2" t="str">
        <f t="shared" si="101"/>
        <v>NSG_Business_Small/Mid-Size Business_Partner Trade Ally Rebate_Water Heater_≥75 MBH, ≥88% TE _CI_2022</v>
      </c>
      <c r="D3213" s="19" t="s">
        <v>1787</v>
      </c>
      <c r="E3213" s="19" t="s">
        <v>3</v>
      </c>
      <c r="F3213" s="19" t="s">
        <v>1432</v>
      </c>
      <c r="G3213" s="19" t="s">
        <v>1799</v>
      </c>
      <c r="H3213" s="19" t="s">
        <v>8</v>
      </c>
      <c r="I3213" s="19" t="s">
        <v>1293</v>
      </c>
      <c r="J3213" s="19" t="s">
        <v>1294</v>
      </c>
      <c r="K3213" s="19" t="s">
        <v>1159</v>
      </c>
      <c r="L3213" s="19">
        <v>2022</v>
      </c>
      <c r="M3213" s="20">
        <v>250</v>
      </c>
      <c r="N3213" s="19" t="s">
        <v>667</v>
      </c>
      <c r="O3213" s="20">
        <v>1</v>
      </c>
      <c r="P3213" s="20">
        <v>250</v>
      </c>
      <c r="Q3213" s="20">
        <v>574.48696115383598</v>
      </c>
      <c r="R3213" s="21">
        <v>0.92</v>
      </c>
      <c r="S3213" s="20">
        <v>574.48696115383598</v>
      </c>
    </row>
    <row r="3214" spans="2:19" ht="15" customHeight="1" x14ac:dyDescent="0.25">
      <c r="B3214" s="2" t="str">
        <f t="shared" si="100"/>
        <v>NSG_Business_Small/Mid-Size Business_Partner Trade Ally Rebate_Water Heater_≥75 MBH, ≥88% TE _CI</v>
      </c>
      <c r="C3214" s="2" t="str">
        <f t="shared" si="101"/>
        <v>NSG_Business_Small/Mid-Size Business_Partner Trade Ally Rebate_Water Heater_≥75 MBH, ≥88% TE _CI_2023</v>
      </c>
      <c r="D3214" s="19" t="s">
        <v>1787</v>
      </c>
      <c r="E3214" s="19" t="s">
        <v>3</v>
      </c>
      <c r="F3214" s="19" t="s">
        <v>1432</v>
      </c>
      <c r="G3214" s="19" t="s">
        <v>1799</v>
      </c>
      <c r="H3214" s="19" t="s">
        <v>8</v>
      </c>
      <c r="I3214" s="19" t="s">
        <v>1293</v>
      </c>
      <c r="J3214" s="19" t="s">
        <v>1294</v>
      </c>
      <c r="K3214" s="19" t="s">
        <v>1159</v>
      </c>
      <c r="L3214" s="19">
        <v>2023</v>
      </c>
      <c r="M3214" s="20">
        <v>250</v>
      </c>
      <c r="N3214" s="19" t="s">
        <v>667</v>
      </c>
      <c r="O3214" s="20">
        <v>1</v>
      </c>
      <c r="P3214" s="20">
        <v>250</v>
      </c>
      <c r="Q3214" s="20">
        <v>574.48696115383598</v>
      </c>
      <c r="R3214" s="21">
        <v>0.92</v>
      </c>
      <c r="S3214" s="20">
        <v>574.48696115383598</v>
      </c>
    </row>
    <row r="3215" spans="2:19" ht="15" customHeight="1" x14ac:dyDescent="0.25">
      <c r="B3215" s="2" t="str">
        <f t="shared" si="100"/>
        <v>NSG_Business_Small/Mid-Size Business_Partner Trade Ally Rebate_Water Heater_≥75 MBH, ≥88% TE _CI</v>
      </c>
      <c r="C3215" s="2" t="str">
        <f t="shared" si="101"/>
        <v>NSG_Business_Small/Mid-Size Business_Partner Trade Ally Rebate_Water Heater_≥75 MBH, ≥88% TE _CI_2024</v>
      </c>
      <c r="D3215" s="19" t="s">
        <v>1787</v>
      </c>
      <c r="E3215" s="19" t="s">
        <v>3</v>
      </c>
      <c r="F3215" s="19" t="s">
        <v>1432</v>
      </c>
      <c r="G3215" s="19" t="s">
        <v>1799</v>
      </c>
      <c r="H3215" s="19" t="s">
        <v>8</v>
      </c>
      <c r="I3215" s="19" t="s">
        <v>1293</v>
      </c>
      <c r="J3215" s="19" t="s">
        <v>1294</v>
      </c>
      <c r="K3215" s="19" t="s">
        <v>1159</v>
      </c>
      <c r="L3215" s="19">
        <v>2024</v>
      </c>
      <c r="M3215" s="20">
        <v>250</v>
      </c>
      <c r="N3215" s="19" t="s">
        <v>667</v>
      </c>
      <c r="O3215" s="20">
        <v>1</v>
      </c>
      <c r="P3215" s="20">
        <v>250</v>
      </c>
      <c r="Q3215" s="20">
        <v>574.48696115383598</v>
      </c>
      <c r="R3215" s="21">
        <v>0.92</v>
      </c>
      <c r="S3215" s="20">
        <v>574.48696115383598</v>
      </c>
    </row>
    <row r="3216" spans="2:19" ht="15" customHeight="1" x14ac:dyDescent="0.25">
      <c r="B3216" s="2" t="str">
        <f t="shared" si="100"/>
        <v>NSG_Business_Small/Mid-Size Business_Partner Trade Ally Rebate_Water Heater_≥75 MBH, ≥88% TE _CI</v>
      </c>
      <c r="C3216" s="2" t="str">
        <f t="shared" si="101"/>
        <v>NSG_Business_Small/Mid-Size Business_Partner Trade Ally Rebate_Water Heater_≥75 MBH, ≥88% TE _CI_2025</v>
      </c>
      <c r="D3216" s="19" t="s">
        <v>1787</v>
      </c>
      <c r="E3216" s="19" t="s">
        <v>3</v>
      </c>
      <c r="F3216" s="19" t="s">
        <v>1432</v>
      </c>
      <c r="G3216" s="19" t="s">
        <v>1799</v>
      </c>
      <c r="H3216" s="19" t="s">
        <v>8</v>
      </c>
      <c r="I3216" s="19" t="s">
        <v>1293</v>
      </c>
      <c r="J3216" s="19" t="s">
        <v>1294</v>
      </c>
      <c r="K3216" s="19" t="s">
        <v>1159</v>
      </c>
      <c r="L3216" s="19">
        <v>2025</v>
      </c>
      <c r="M3216" s="20">
        <v>250</v>
      </c>
      <c r="N3216" s="19" t="s">
        <v>667</v>
      </c>
      <c r="O3216" s="20">
        <v>1</v>
      </c>
      <c r="P3216" s="20">
        <v>250</v>
      </c>
      <c r="Q3216" s="20">
        <v>574.48696115383598</v>
      </c>
      <c r="R3216" s="21">
        <v>0.92</v>
      </c>
      <c r="S3216" s="20">
        <v>574.48696115383598</v>
      </c>
    </row>
    <row r="3217" spans="2:19" ht="15" customHeight="1" x14ac:dyDescent="0.25">
      <c r="B3217" s="2" t="str">
        <f t="shared" si="100"/>
        <v>NSG_Business_Small/Mid-Size Business_Partner Trade Ally Rebate_Linkageless Controls_0_CI</v>
      </c>
      <c r="C3217" s="2" t="str">
        <f t="shared" si="101"/>
        <v>NSG_Business_Small/Mid-Size Business_Partner Trade Ally Rebate_Linkageless Controls_0_CI_2022</v>
      </c>
      <c r="D3217" s="19" t="s">
        <v>1787</v>
      </c>
      <c r="E3217" s="19" t="s">
        <v>3</v>
      </c>
      <c r="F3217" s="19" t="s">
        <v>1432</v>
      </c>
      <c r="G3217" s="19" t="s">
        <v>1799</v>
      </c>
      <c r="H3217" s="19" t="s">
        <v>1287</v>
      </c>
      <c r="I3217" s="19">
        <v>0</v>
      </c>
      <c r="J3217" s="19" t="s">
        <v>28</v>
      </c>
      <c r="K3217" s="19" t="s">
        <v>1159</v>
      </c>
      <c r="L3217" s="19">
        <v>2022</v>
      </c>
      <c r="M3217" s="20">
        <v>1500</v>
      </c>
      <c r="N3217" s="19" t="s">
        <v>667</v>
      </c>
      <c r="O3217" s="20">
        <v>1</v>
      </c>
      <c r="P3217" s="20">
        <v>1500</v>
      </c>
      <c r="Q3217" s="20">
        <v>776.63639999999998</v>
      </c>
      <c r="R3217" s="21">
        <v>0.92</v>
      </c>
      <c r="S3217" s="20">
        <v>776.63639999999998</v>
      </c>
    </row>
    <row r="3218" spans="2:19" ht="15" customHeight="1" x14ac:dyDescent="0.25">
      <c r="B3218" s="2" t="str">
        <f t="shared" si="100"/>
        <v>NSG_Business_Small/Mid-Size Business_Partner Trade Ally Rebate_Linkageless Controls_0_CI</v>
      </c>
      <c r="C3218" s="2" t="str">
        <f t="shared" si="101"/>
        <v>NSG_Business_Small/Mid-Size Business_Partner Trade Ally Rebate_Linkageless Controls_0_CI_2023</v>
      </c>
      <c r="D3218" s="19" t="s">
        <v>1787</v>
      </c>
      <c r="E3218" s="19" t="s">
        <v>3</v>
      </c>
      <c r="F3218" s="19" t="s">
        <v>1432</v>
      </c>
      <c r="G3218" s="19" t="s">
        <v>1799</v>
      </c>
      <c r="H3218" s="19" t="s">
        <v>1287</v>
      </c>
      <c r="I3218" s="19">
        <v>0</v>
      </c>
      <c r="J3218" s="19" t="s">
        <v>28</v>
      </c>
      <c r="K3218" s="19" t="s">
        <v>1159</v>
      </c>
      <c r="L3218" s="19">
        <v>2023</v>
      </c>
      <c r="M3218" s="20">
        <v>1500</v>
      </c>
      <c r="N3218" s="19" t="s">
        <v>667</v>
      </c>
      <c r="O3218" s="20">
        <v>1</v>
      </c>
      <c r="P3218" s="20">
        <v>1500</v>
      </c>
      <c r="Q3218" s="20">
        <v>776.63639999999998</v>
      </c>
      <c r="R3218" s="21">
        <v>0.92</v>
      </c>
      <c r="S3218" s="20">
        <v>776.63639999999998</v>
      </c>
    </row>
    <row r="3219" spans="2:19" ht="15" customHeight="1" x14ac:dyDescent="0.25">
      <c r="B3219" s="2" t="str">
        <f t="shared" si="100"/>
        <v>NSG_Business_Small/Mid-Size Business_Partner Trade Ally Rebate_Linkageless Controls_0_CI</v>
      </c>
      <c r="C3219" s="2" t="str">
        <f t="shared" si="101"/>
        <v>NSG_Business_Small/Mid-Size Business_Partner Trade Ally Rebate_Linkageless Controls_0_CI_2024</v>
      </c>
      <c r="D3219" s="19" t="s">
        <v>1787</v>
      </c>
      <c r="E3219" s="19" t="s">
        <v>3</v>
      </c>
      <c r="F3219" s="19" t="s">
        <v>1432</v>
      </c>
      <c r="G3219" s="19" t="s">
        <v>1799</v>
      </c>
      <c r="H3219" s="19" t="s">
        <v>1287</v>
      </c>
      <c r="I3219" s="19">
        <v>0</v>
      </c>
      <c r="J3219" s="19" t="s">
        <v>28</v>
      </c>
      <c r="K3219" s="19" t="s">
        <v>1159</v>
      </c>
      <c r="L3219" s="19">
        <v>2024</v>
      </c>
      <c r="M3219" s="20">
        <v>1500</v>
      </c>
      <c r="N3219" s="19" t="s">
        <v>667</v>
      </c>
      <c r="O3219" s="20">
        <v>1</v>
      </c>
      <c r="P3219" s="20">
        <v>1500</v>
      </c>
      <c r="Q3219" s="20">
        <v>776.63639999999998</v>
      </c>
      <c r="R3219" s="21">
        <v>0.92</v>
      </c>
      <c r="S3219" s="20">
        <v>776.63639999999998</v>
      </c>
    </row>
    <row r="3220" spans="2:19" ht="15" customHeight="1" x14ac:dyDescent="0.25">
      <c r="B3220" s="2" t="str">
        <f t="shared" si="100"/>
        <v>NSG_Business_Small/Mid-Size Business_Partner Trade Ally Rebate_Linkageless Controls_0_CI</v>
      </c>
      <c r="C3220" s="2" t="str">
        <f t="shared" si="101"/>
        <v>NSG_Business_Small/Mid-Size Business_Partner Trade Ally Rebate_Linkageless Controls_0_CI_2025</v>
      </c>
      <c r="D3220" s="19" t="s">
        <v>1787</v>
      </c>
      <c r="E3220" s="19" t="s">
        <v>3</v>
      </c>
      <c r="F3220" s="19" t="s">
        <v>1432</v>
      </c>
      <c r="G3220" s="19" t="s">
        <v>1799</v>
      </c>
      <c r="H3220" s="19" t="s">
        <v>1287</v>
      </c>
      <c r="I3220" s="19">
        <v>0</v>
      </c>
      <c r="J3220" s="19" t="s">
        <v>28</v>
      </c>
      <c r="K3220" s="19" t="s">
        <v>1159</v>
      </c>
      <c r="L3220" s="19">
        <v>2025</v>
      </c>
      <c r="M3220" s="20">
        <v>1500</v>
      </c>
      <c r="N3220" s="19" t="s">
        <v>667</v>
      </c>
      <c r="O3220" s="20">
        <v>1</v>
      </c>
      <c r="P3220" s="20">
        <v>1500</v>
      </c>
      <c r="Q3220" s="20">
        <v>776.63639999999998</v>
      </c>
      <c r="R3220" s="21">
        <v>0.92</v>
      </c>
      <c r="S3220" s="20">
        <v>776.63639999999998</v>
      </c>
    </row>
    <row r="3221" spans="2:19" ht="15" customHeight="1" x14ac:dyDescent="0.25">
      <c r="B3221" s="2" t="str">
        <f t="shared" si="100"/>
        <v>NSG_Business_Small/Mid-Size Business_Partner Trade Ally Rebate_Water Heater_Central Lodging 88% TE_CI</v>
      </c>
      <c r="C3221" s="2" t="str">
        <f t="shared" si="101"/>
        <v>NSG_Business_Small/Mid-Size Business_Partner Trade Ally Rebate_Water Heater_Central Lodging 88% TE_CI_2022</v>
      </c>
      <c r="D3221" s="19" t="s">
        <v>1787</v>
      </c>
      <c r="E3221" s="19" t="s">
        <v>3</v>
      </c>
      <c r="F3221" s="19" t="s">
        <v>1432</v>
      </c>
      <c r="G3221" s="19" t="s">
        <v>1799</v>
      </c>
      <c r="H3221" s="19" t="s">
        <v>8</v>
      </c>
      <c r="I3221" s="19" t="s">
        <v>1304</v>
      </c>
      <c r="J3221" s="19" t="s">
        <v>30</v>
      </c>
      <c r="K3221" s="19" t="s">
        <v>1159</v>
      </c>
      <c r="L3221" s="19">
        <v>2022</v>
      </c>
      <c r="M3221" s="20">
        <v>150</v>
      </c>
      <c r="N3221" s="19" t="s">
        <v>667</v>
      </c>
      <c r="O3221" s="20">
        <v>0</v>
      </c>
      <c r="P3221" s="20">
        <v>0</v>
      </c>
      <c r="Q3221" s="20">
        <v>0</v>
      </c>
      <c r="R3221" s="21">
        <v>0.92</v>
      </c>
      <c r="S3221" s="20">
        <v>0</v>
      </c>
    </row>
    <row r="3222" spans="2:19" ht="15" customHeight="1" x14ac:dyDescent="0.25">
      <c r="B3222" s="2" t="str">
        <f t="shared" si="100"/>
        <v>NSG_Business_Small/Mid-Size Business_Partner Trade Ally Rebate_Water Heater_Central Lodging 88% TE_CI</v>
      </c>
      <c r="C3222" s="2" t="str">
        <f t="shared" si="101"/>
        <v>NSG_Business_Small/Mid-Size Business_Partner Trade Ally Rebate_Water Heater_Central Lodging 88% TE_CI_2023</v>
      </c>
      <c r="D3222" s="19" t="s">
        <v>1787</v>
      </c>
      <c r="E3222" s="19" t="s">
        <v>3</v>
      </c>
      <c r="F3222" s="19" t="s">
        <v>1432</v>
      </c>
      <c r="G3222" s="19" t="s">
        <v>1799</v>
      </c>
      <c r="H3222" s="19" t="s">
        <v>8</v>
      </c>
      <c r="I3222" s="19" t="s">
        <v>1304</v>
      </c>
      <c r="J3222" s="19" t="s">
        <v>30</v>
      </c>
      <c r="K3222" s="19" t="s">
        <v>1159</v>
      </c>
      <c r="L3222" s="19">
        <v>2023</v>
      </c>
      <c r="M3222" s="20">
        <v>150</v>
      </c>
      <c r="N3222" s="19" t="s">
        <v>667</v>
      </c>
      <c r="O3222" s="20">
        <v>0</v>
      </c>
      <c r="P3222" s="20">
        <v>0</v>
      </c>
      <c r="Q3222" s="20">
        <v>0</v>
      </c>
      <c r="R3222" s="21">
        <v>0.92</v>
      </c>
      <c r="S3222" s="20">
        <v>0</v>
      </c>
    </row>
    <row r="3223" spans="2:19" ht="15" customHeight="1" x14ac:dyDescent="0.25">
      <c r="B3223" s="2" t="str">
        <f t="shared" si="100"/>
        <v>NSG_Business_Small/Mid-Size Business_Partner Trade Ally Rebate_Water Heater_Central Lodging 88% TE_CI</v>
      </c>
      <c r="C3223" s="2" t="str">
        <f t="shared" si="101"/>
        <v>NSG_Business_Small/Mid-Size Business_Partner Trade Ally Rebate_Water Heater_Central Lodging 88% TE_CI_2024</v>
      </c>
      <c r="D3223" s="19" t="s">
        <v>1787</v>
      </c>
      <c r="E3223" s="19" t="s">
        <v>3</v>
      </c>
      <c r="F3223" s="19" t="s">
        <v>1432</v>
      </c>
      <c r="G3223" s="19" t="s">
        <v>1799</v>
      </c>
      <c r="H3223" s="19" t="s">
        <v>8</v>
      </c>
      <c r="I3223" s="19" t="s">
        <v>1304</v>
      </c>
      <c r="J3223" s="19" t="s">
        <v>30</v>
      </c>
      <c r="K3223" s="19" t="s">
        <v>1159</v>
      </c>
      <c r="L3223" s="19">
        <v>2024</v>
      </c>
      <c r="M3223" s="20">
        <v>150</v>
      </c>
      <c r="N3223" s="19" t="s">
        <v>667</v>
      </c>
      <c r="O3223" s="20">
        <v>0</v>
      </c>
      <c r="P3223" s="20">
        <v>0</v>
      </c>
      <c r="Q3223" s="20">
        <v>0</v>
      </c>
      <c r="R3223" s="21">
        <v>0.92</v>
      </c>
      <c r="S3223" s="20">
        <v>0</v>
      </c>
    </row>
    <row r="3224" spans="2:19" ht="15" customHeight="1" x14ac:dyDescent="0.25">
      <c r="B3224" s="2" t="str">
        <f t="shared" si="100"/>
        <v>NSG_Business_Small/Mid-Size Business_Partner Trade Ally Rebate_Water Heater_Central Lodging 88% TE_CI</v>
      </c>
      <c r="C3224" s="2" t="str">
        <f t="shared" si="101"/>
        <v>NSG_Business_Small/Mid-Size Business_Partner Trade Ally Rebate_Water Heater_Central Lodging 88% TE_CI_2025</v>
      </c>
      <c r="D3224" s="19" t="s">
        <v>1787</v>
      </c>
      <c r="E3224" s="19" t="s">
        <v>3</v>
      </c>
      <c r="F3224" s="19" t="s">
        <v>1432</v>
      </c>
      <c r="G3224" s="19" t="s">
        <v>1799</v>
      </c>
      <c r="H3224" s="19" t="s">
        <v>8</v>
      </c>
      <c r="I3224" s="19" t="s">
        <v>1304</v>
      </c>
      <c r="J3224" s="19" t="s">
        <v>30</v>
      </c>
      <c r="K3224" s="19" t="s">
        <v>1159</v>
      </c>
      <c r="L3224" s="19">
        <v>2025</v>
      </c>
      <c r="M3224" s="20">
        <v>150</v>
      </c>
      <c r="N3224" s="19" t="s">
        <v>667</v>
      </c>
      <c r="O3224" s="20">
        <v>0</v>
      </c>
      <c r="P3224" s="20">
        <v>0</v>
      </c>
      <c r="Q3224" s="20">
        <v>0</v>
      </c>
      <c r="R3224" s="21">
        <v>0.92</v>
      </c>
      <c r="S3224" s="20">
        <v>0</v>
      </c>
    </row>
    <row r="3225" spans="2:19" ht="15" customHeight="1" x14ac:dyDescent="0.25">
      <c r="B3225" s="2" t="str">
        <f t="shared" si="100"/>
        <v>NSG_Business_Small/Mid-Size Business_Partner Trade Ally Rebate_DHW Storage Tank Insulation_0_MF/CI/SMB</v>
      </c>
      <c r="C3225" s="2" t="str">
        <f t="shared" si="101"/>
        <v>NSG_Business_Small/Mid-Size Business_Partner Trade Ally Rebate_DHW Storage Tank Insulation_0_MF/CI/SMB_2022</v>
      </c>
      <c r="D3225" s="19" t="s">
        <v>1787</v>
      </c>
      <c r="E3225" s="19" t="s">
        <v>3</v>
      </c>
      <c r="F3225" s="19" t="s">
        <v>1432</v>
      </c>
      <c r="G3225" s="19" t="s">
        <v>1799</v>
      </c>
      <c r="H3225" s="19" t="s">
        <v>832</v>
      </c>
      <c r="I3225" s="19">
        <v>0</v>
      </c>
      <c r="J3225" s="19" t="s">
        <v>810</v>
      </c>
      <c r="K3225" s="19" t="s">
        <v>662</v>
      </c>
      <c r="L3225" s="19">
        <v>2022</v>
      </c>
      <c r="M3225" s="20">
        <v>56</v>
      </c>
      <c r="N3225" s="19" t="s">
        <v>634</v>
      </c>
      <c r="O3225" s="20">
        <v>1</v>
      </c>
      <c r="P3225" s="20">
        <v>56</v>
      </c>
      <c r="Q3225" s="20">
        <v>358.34081253221052</v>
      </c>
      <c r="R3225" s="21">
        <v>0.92</v>
      </c>
      <c r="S3225" s="20">
        <v>358.34081253221052</v>
      </c>
    </row>
    <row r="3226" spans="2:19" ht="15" customHeight="1" x14ac:dyDescent="0.25">
      <c r="B3226" s="2" t="str">
        <f t="shared" si="100"/>
        <v>NSG_Business_Small/Mid-Size Business_Partner Trade Ally Rebate_DHW Storage Tank Insulation_0_MF/CI/SMB</v>
      </c>
      <c r="C3226" s="2" t="str">
        <f t="shared" si="101"/>
        <v>NSG_Business_Small/Mid-Size Business_Partner Trade Ally Rebate_DHW Storage Tank Insulation_0_MF/CI/SMB_2023</v>
      </c>
      <c r="D3226" s="19" t="s">
        <v>1787</v>
      </c>
      <c r="E3226" s="19" t="s">
        <v>3</v>
      </c>
      <c r="F3226" s="19" t="s">
        <v>1432</v>
      </c>
      <c r="G3226" s="19" t="s">
        <v>1799</v>
      </c>
      <c r="H3226" s="19" t="s">
        <v>832</v>
      </c>
      <c r="I3226" s="19">
        <v>0</v>
      </c>
      <c r="J3226" s="19" t="s">
        <v>810</v>
      </c>
      <c r="K3226" s="19" t="s">
        <v>662</v>
      </c>
      <c r="L3226" s="19">
        <v>2023</v>
      </c>
      <c r="M3226" s="20">
        <v>56</v>
      </c>
      <c r="N3226" s="19" t="s">
        <v>634</v>
      </c>
      <c r="O3226" s="20">
        <v>1</v>
      </c>
      <c r="P3226" s="20">
        <v>56</v>
      </c>
      <c r="Q3226" s="20">
        <v>358.34081253221052</v>
      </c>
      <c r="R3226" s="21">
        <v>0.92</v>
      </c>
      <c r="S3226" s="20">
        <v>358.34081253221052</v>
      </c>
    </row>
    <row r="3227" spans="2:19" ht="15" customHeight="1" x14ac:dyDescent="0.25">
      <c r="B3227" s="2" t="str">
        <f t="shared" si="100"/>
        <v>NSG_Business_Small/Mid-Size Business_Partner Trade Ally Rebate_DHW Storage Tank Insulation_0_MF/CI/SMB</v>
      </c>
      <c r="C3227" s="2" t="str">
        <f t="shared" si="101"/>
        <v>NSG_Business_Small/Mid-Size Business_Partner Trade Ally Rebate_DHW Storage Tank Insulation_0_MF/CI/SMB_2024</v>
      </c>
      <c r="D3227" s="19" t="s">
        <v>1787</v>
      </c>
      <c r="E3227" s="19" t="s">
        <v>3</v>
      </c>
      <c r="F3227" s="19" t="s">
        <v>1432</v>
      </c>
      <c r="G3227" s="19" t="s">
        <v>1799</v>
      </c>
      <c r="H3227" s="19" t="s">
        <v>832</v>
      </c>
      <c r="I3227" s="19">
        <v>0</v>
      </c>
      <c r="J3227" s="19" t="s">
        <v>810</v>
      </c>
      <c r="K3227" s="19" t="s">
        <v>662</v>
      </c>
      <c r="L3227" s="19">
        <v>2024</v>
      </c>
      <c r="M3227" s="20">
        <v>56</v>
      </c>
      <c r="N3227" s="19" t="s">
        <v>634</v>
      </c>
      <c r="O3227" s="20">
        <v>1</v>
      </c>
      <c r="P3227" s="20">
        <v>56</v>
      </c>
      <c r="Q3227" s="20">
        <v>358.34081253221052</v>
      </c>
      <c r="R3227" s="21">
        <v>0.92</v>
      </c>
      <c r="S3227" s="20">
        <v>358.34081253221052</v>
      </c>
    </row>
    <row r="3228" spans="2:19" ht="15" customHeight="1" x14ac:dyDescent="0.25">
      <c r="B3228" s="2" t="str">
        <f t="shared" si="100"/>
        <v>NSG_Business_Small/Mid-Size Business_Partner Trade Ally Rebate_DHW Storage Tank Insulation_0_MF/CI/SMB</v>
      </c>
      <c r="C3228" s="2" t="str">
        <f t="shared" si="101"/>
        <v>NSG_Business_Small/Mid-Size Business_Partner Trade Ally Rebate_DHW Storage Tank Insulation_0_MF/CI/SMB_2025</v>
      </c>
      <c r="D3228" s="19" t="s">
        <v>1787</v>
      </c>
      <c r="E3228" s="19" t="s">
        <v>3</v>
      </c>
      <c r="F3228" s="19" t="s">
        <v>1432</v>
      </c>
      <c r="G3228" s="19" t="s">
        <v>1799</v>
      </c>
      <c r="H3228" s="19" t="s">
        <v>832</v>
      </c>
      <c r="I3228" s="19">
        <v>0</v>
      </c>
      <c r="J3228" s="19" t="s">
        <v>810</v>
      </c>
      <c r="K3228" s="19" t="s">
        <v>662</v>
      </c>
      <c r="L3228" s="19">
        <v>2025</v>
      </c>
      <c r="M3228" s="20">
        <v>56</v>
      </c>
      <c r="N3228" s="19" t="s">
        <v>634</v>
      </c>
      <c r="O3228" s="20">
        <v>1</v>
      </c>
      <c r="P3228" s="20">
        <v>56</v>
      </c>
      <c r="Q3228" s="20">
        <v>358.34081253221052</v>
      </c>
      <c r="R3228" s="21">
        <v>0.92</v>
      </c>
      <c r="S3228" s="20">
        <v>358.34081253221052</v>
      </c>
    </row>
    <row r="3229" spans="2:19" ht="15" customHeight="1" x14ac:dyDescent="0.25">
      <c r="B3229" s="2" t="str">
        <f t="shared" si="100"/>
        <v>NSG_Business_Small/Mid-Size Business_Partner Trade Ally Rebate_Water Heater_Storage 0.67 EF_CI</v>
      </c>
      <c r="C3229" s="2" t="str">
        <f t="shared" si="101"/>
        <v>NSG_Business_Small/Mid-Size Business_Partner Trade Ally Rebate_Water Heater_Storage 0.67 EF_CI_2022</v>
      </c>
      <c r="D3229" s="19" t="s">
        <v>1787</v>
      </c>
      <c r="E3229" s="19" t="s">
        <v>3</v>
      </c>
      <c r="F3229" s="19" t="s">
        <v>1432</v>
      </c>
      <c r="G3229" s="19" t="s">
        <v>1799</v>
      </c>
      <c r="H3229" s="19" t="s">
        <v>8</v>
      </c>
      <c r="I3229" s="19" t="s">
        <v>879</v>
      </c>
      <c r="J3229" s="19" t="s">
        <v>1263</v>
      </c>
      <c r="K3229" s="19" t="s">
        <v>1159</v>
      </c>
      <c r="L3229" s="19">
        <v>2022</v>
      </c>
      <c r="M3229" s="20">
        <v>1</v>
      </c>
      <c r="N3229" s="19" t="s">
        <v>1798</v>
      </c>
      <c r="O3229" s="20">
        <v>0</v>
      </c>
      <c r="P3229" s="20">
        <v>0</v>
      </c>
      <c r="Q3229" s="20">
        <v>0</v>
      </c>
      <c r="R3229" s="21">
        <v>0.92</v>
      </c>
      <c r="S3229" s="20">
        <v>0</v>
      </c>
    </row>
    <row r="3230" spans="2:19" ht="15" customHeight="1" x14ac:dyDescent="0.25">
      <c r="B3230" s="2" t="str">
        <f t="shared" si="100"/>
        <v>NSG_Business_Small/Mid-Size Business_Partner Trade Ally Rebate_Water Heater_Storage 0.67 EF_CI</v>
      </c>
      <c r="C3230" s="2" t="str">
        <f t="shared" si="101"/>
        <v>NSG_Business_Small/Mid-Size Business_Partner Trade Ally Rebate_Water Heater_Storage 0.67 EF_CI_2023</v>
      </c>
      <c r="D3230" s="19" t="s">
        <v>1787</v>
      </c>
      <c r="E3230" s="19" t="s">
        <v>3</v>
      </c>
      <c r="F3230" s="19" t="s">
        <v>1432</v>
      </c>
      <c r="G3230" s="19" t="s">
        <v>1799</v>
      </c>
      <c r="H3230" s="19" t="s">
        <v>8</v>
      </c>
      <c r="I3230" s="19" t="s">
        <v>879</v>
      </c>
      <c r="J3230" s="19" t="s">
        <v>1263</v>
      </c>
      <c r="K3230" s="19" t="s">
        <v>1159</v>
      </c>
      <c r="L3230" s="19">
        <v>2023</v>
      </c>
      <c r="M3230" s="20">
        <v>1</v>
      </c>
      <c r="N3230" s="19" t="s">
        <v>1798</v>
      </c>
      <c r="O3230" s="20">
        <v>0</v>
      </c>
      <c r="P3230" s="20">
        <v>0</v>
      </c>
      <c r="Q3230" s="20">
        <v>0</v>
      </c>
      <c r="R3230" s="21">
        <v>0.92</v>
      </c>
      <c r="S3230" s="20">
        <v>0</v>
      </c>
    </row>
    <row r="3231" spans="2:19" ht="15" customHeight="1" x14ac:dyDescent="0.25">
      <c r="B3231" s="2" t="str">
        <f t="shared" si="100"/>
        <v>NSG_Business_Small/Mid-Size Business_Partner Trade Ally Rebate_Water Heater_Storage 0.67 EF_CI</v>
      </c>
      <c r="C3231" s="2" t="str">
        <f t="shared" si="101"/>
        <v>NSG_Business_Small/Mid-Size Business_Partner Trade Ally Rebate_Water Heater_Storage 0.67 EF_CI_2024</v>
      </c>
      <c r="D3231" s="19" t="s">
        <v>1787</v>
      </c>
      <c r="E3231" s="19" t="s">
        <v>3</v>
      </c>
      <c r="F3231" s="19" t="s">
        <v>1432</v>
      </c>
      <c r="G3231" s="19" t="s">
        <v>1799</v>
      </c>
      <c r="H3231" s="19" t="s">
        <v>8</v>
      </c>
      <c r="I3231" s="19" t="s">
        <v>879</v>
      </c>
      <c r="J3231" s="19" t="s">
        <v>1263</v>
      </c>
      <c r="K3231" s="19" t="s">
        <v>1159</v>
      </c>
      <c r="L3231" s="19">
        <v>2024</v>
      </c>
      <c r="M3231" s="20">
        <v>1</v>
      </c>
      <c r="N3231" s="19" t="s">
        <v>1798</v>
      </c>
      <c r="O3231" s="20">
        <v>0</v>
      </c>
      <c r="P3231" s="20">
        <v>0</v>
      </c>
      <c r="Q3231" s="20">
        <v>0</v>
      </c>
      <c r="R3231" s="21">
        <v>0.92</v>
      </c>
      <c r="S3231" s="20">
        <v>0</v>
      </c>
    </row>
    <row r="3232" spans="2:19" ht="15" customHeight="1" x14ac:dyDescent="0.25">
      <c r="B3232" s="2" t="str">
        <f t="shared" si="100"/>
        <v>NSG_Business_Small/Mid-Size Business_Partner Trade Ally Rebate_Water Heater_Storage 0.67 EF_CI</v>
      </c>
      <c r="C3232" s="2" t="str">
        <f t="shared" si="101"/>
        <v>NSG_Business_Small/Mid-Size Business_Partner Trade Ally Rebate_Water Heater_Storage 0.67 EF_CI_2025</v>
      </c>
      <c r="D3232" s="19" t="s">
        <v>1787</v>
      </c>
      <c r="E3232" s="19" t="s">
        <v>3</v>
      </c>
      <c r="F3232" s="19" t="s">
        <v>1432</v>
      </c>
      <c r="G3232" s="19" t="s">
        <v>1799</v>
      </c>
      <c r="H3232" s="19" t="s">
        <v>8</v>
      </c>
      <c r="I3232" s="19" t="s">
        <v>879</v>
      </c>
      <c r="J3232" s="19" t="s">
        <v>1263</v>
      </c>
      <c r="K3232" s="19" t="s">
        <v>1159</v>
      </c>
      <c r="L3232" s="19">
        <v>2025</v>
      </c>
      <c r="M3232" s="20">
        <v>1</v>
      </c>
      <c r="N3232" s="19" t="s">
        <v>1798</v>
      </c>
      <c r="O3232" s="20">
        <v>0</v>
      </c>
      <c r="P3232" s="20">
        <v>0</v>
      </c>
      <c r="Q3232" s="20">
        <v>0</v>
      </c>
      <c r="R3232" s="21">
        <v>0.92</v>
      </c>
      <c r="S3232" s="20">
        <v>0</v>
      </c>
    </row>
    <row r="3233" spans="2:19" ht="15" customHeight="1" x14ac:dyDescent="0.25">
      <c r="B3233" s="2" t="str">
        <f t="shared" si="100"/>
        <v>NSG_Business_Small/Mid-Size Business_Partner Trade Ally Rebate_Infrared Heater_0_MF/CI</v>
      </c>
      <c r="C3233" s="2" t="str">
        <f t="shared" si="101"/>
        <v>NSG_Business_Small/Mid-Size Business_Partner Trade Ally Rebate_Infrared Heater_0_MF/CI_2022</v>
      </c>
      <c r="D3233" s="19" t="s">
        <v>1787</v>
      </c>
      <c r="E3233" s="19" t="s">
        <v>3</v>
      </c>
      <c r="F3233" s="19" t="s">
        <v>1432</v>
      </c>
      <c r="G3233" s="19" t="s">
        <v>1799</v>
      </c>
      <c r="H3233" s="19" t="s">
        <v>742</v>
      </c>
      <c r="I3233" s="19">
        <v>0</v>
      </c>
      <c r="J3233" s="19" t="s">
        <v>33</v>
      </c>
      <c r="K3233" s="19" t="s">
        <v>587</v>
      </c>
      <c r="L3233" s="19">
        <v>2022</v>
      </c>
      <c r="M3233" s="20">
        <v>150</v>
      </c>
      <c r="N3233" s="19" t="s">
        <v>667</v>
      </c>
      <c r="O3233" s="20">
        <v>0</v>
      </c>
      <c r="P3233" s="20">
        <v>0</v>
      </c>
      <c r="Q3233" s="20">
        <v>0</v>
      </c>
      <c r="R3233" s="21">
        <v>0.92</v>
      </c>
      <c r="S3233" s="20">
        <v>0</v>
      </c>
    </row>
    <row r="3234" spans="2:19" ht="15" customHeight="1" x14ac:dyDescent="0.25">
      <c r="B3234" s="2" t="str">
        <f t="shared" si="100"/>
        <v>NSG_Business_Small/Mid-Size Business_Partner Trade Ally Rebate_Infrared Heater_0_MF/CI</v>
      </c>
      <c r="C3234" s="2" t="str">
        <f t="shared" si="101"/>
        <v>NSG_Business_Small/Mid-Size Business_Partner Trade Ally Rebate_Infrared Heater_0_MF/CI_2023</v>
      </c>
      <c r="D3234" s="19" t="s">
        <v>1787</v>
      </c>
      <c r="E3234" s="19" t="s">
        <v>3</v>
      </c>
      <c r="F3234" s="19" t="s">
        <v>1432</v>
      </c>
      <c r="G3234" s="19" t="s">
        <v>1799</v>
      </c>
      <c r="H3234" s="19" t="s">
        <v>742</v>
      </c>
      <c r="I3234" s="19">
        <v>0</v>
      </c>
      <c r="J3234" s="19" t="s">
        <v>33</v>
      </c>
      <c r="K3234" s="19" t="s">
        <v>587</v>
      </c>
      <c r="L3234" s="19">
        <v>2023</v>
      </c>
      <c r="M3234" s="20">
        <v>150</v>
      </c>
      <c r="N3234" s="19" t="s">
        <v>667</v>
      </c>
      <c r="O3234" s="20">
        <v>0</v>
      </c>
      <c r="P3234" s="20">
        <v>0</v>
      </c>
      <c r="Q3234" s="20">
        <v>0</v>
      </c>
      <c r="R3234" s="21">
        <v>0.92</v>
      </c>
      <c r="S3234" s="20">
        <v>0</v>
      </c>
    </row>
    <row r="3235" spans="2:19" ht="15" customHeight="1" x14ac:dyDescent="0.25">
      <c r="B3235" s="2" t="str">
        <f t="shared" si="100"/>
        <v>NSG_Business_Small/Mid-Size Business_Partner Trade Ally Rebate_Infrared Heater_0_MF/CI</v>
      </c>
      <c r="C3235" s="2" t="str">
        <f t="shared" si="101"/>
        <v>NSG_Business_Small/Mid-Size Business_Partner Trade Ally Rebate_Infrared Heater_0_MF/CI_2024</v>
      </c>
      <c r="D3235" s="19" t="s">
        <v>1787</v>
      </c>
      <c r="E3235" s="19" t="s">
        <v>3</v>
      </c>
      <c r="F3235" s="19" t="s">
        <v>1432</v>
      </c>
      <c r="G3235" s="19" t="s">
        <v>1799</v>
      </c>
      <c r="H3235" s="19" t="s">
        <v>742</v>
      </c>
      <c r="I3235" s="19">
        <v>0</v>
      </c>
      <c r="J3235" s="19" t="s">
        <v>33</v>
      </c>
      <c r="K3235" s="19" t="s">
        <v>587</v>
      </c>
      <c r="L3235" s="19">
        <v>2024</v>
      </c>
      <c r="M3235" s="20">
        <v>150</v>
      </c>
      <c r="N3235" s="19" t="s">
        <v>667</v>
      </c>
      <c r="O3235" s="20">
        <v>0</v>
      </c>
      <c r="P3235" s="20">
        <v>0</v>
      </c>
      <c r="Q3235" s="20">
        <v>0</v>
      </c>
      <c r="R3235" s="21">
        <v>0.92</v>
      </c>
      <c r="S3235" s="20">
        <v>0</v>
      </c>
    </row>
    <row r="3236" spans="2:19" ht="15" customHeight="1" x14ac:dyDescent="0.25">
      <c r="B3236" s="2" t="str">
        <f t="shared" si="100"/>
        <v>NSG_Business_Small/Mid-Size Business_Partner Trade Ally Rebate_Infrared Heater_0_MF/CI</v>
      </c>
      <c r="C3236" s="2" t="str">
        <f t="shared" si="101"/>
        <v>NSG_Business_Small/Mid-Size Business_Partner Trade Ally Rebate_Infrared Heater_0_MF/CI_2025</v>
      </c>
      <c r="D3236" s="19" t="s">
        <v>1787</v>
      </c>
      <c r="E3236" s="19" t="s">
        <v>3</v>
      </c>
      <c r="F3236" s="19" t="s">
        <v>1432</v>
      </c>
      <c r="G3236" s="19" t="s">
        <v>1799</v>
      </c>
      <c r="H3236" s="19" t="s">
        <v>742</v>
      </c>
      <c r="I3236" s="19">
        <v>0</v>
      </c>
      <c r="J3236" s="19" t="s">
        <v>33</v>
      </c>
      <c r="K3236" s="19" t="s">
        <v>587</v>
      </c>
      <c r="L3236" s="19">
        <v>2025</v>
      </c>
      <c r="M3236" s="20">
        <v>150</v>
      </c>
      <c r="N3236" s="19" t="s">
        <v>667</v>
      </c>
      <c r="O3236" s="20">
        <v>0</v>
      </c>
      <c r="P3236" s="20">
        <v>0</v>
      </c>
      <c r="Q3236" s="20">
        <v>0</v>
      </c>
      <c r="R3236" s="21">
        <v>0.92</v>
      </c>
      <c r="S3236" s="20">
        <v>0</v>
      </c>
    </row>
    <row r="3237" spans="2:19" ht="15" customHeight="1" x14ac:dyDescent="0.25">
      <c r="B3237" s="2" t="str">
        <f t="shared" si="100"/>
        <v>NSG_Business_Small/Mid-Size Business_Partner Trade Ally Rebate_Modulating Commercial Gas Clothes Dryer_Hotels &amp; Hospitals_CI</v>
      </c>
      <c r="C3237" s="2" t="str">
        <f t="shared" si="101"/>
        <v>NSG_Business_Small/Mid-Size Business_Partner Trade Ally Rebate_Modulating Commercial Gas Clothes Dryer_Hotels &amp; Hospitals_CI_2022</v>
      </c>
      <c r="D3237" s="19" t="s">
        <v>1787</v>
      </c>
      <c r="E3237" s="19" t="s">
        <v>3</v>
      </c>
      <c r="F3237" s="19" t="s">
        <v>1432</v>
      </c>
      <c r="G3237" s="19" t="s">
        <v>1799</v>
      </c>
      <c r="H3237" s="19" t="s">
        <v>12</v>
      </c>
      <c r="I3237" s="19" t="s">
        <v>1253</v>
      </c>
      <c r="J3237" s="19" t="s">
        <v>29</v>
      </c>
      <c r="K3237" s="19" t="s">
        <v>1159</v>
      </c>
      <c r="L3237" s="19">
        <v>2022</v>
      </c>
      <c r="M3237" s="20">
        <v>1</v>
      </c>
      <c r="N3237" s="19" t="s">
        <v>1798</v>
      </c>
      <c r="O3237" s="20">
        <v>0</v>
      </c>
      <c r="P3237" s="20">
        <v>0</v>
      </c>
      <c r="Q3237" s="20">
        <v>0</v>
      </c>
      <c r="R3237" s="21">
        <v>0.92</v>
      </c>
      <c r="S3237" s="20">
        <v>0</v>
      </c>
    </row>
    <row r="3238" spans="2:19" ht="15" customHeight="1" x14ac:dyDescent="0.25">
      <c r="B3238" s="2" t="str">
        <f t="shared" si="100"/>
        <v>NSG_Business_Small/Mid-Size Business_Partner Trade Ally Rebate_Modulating Commercial Gas Clothes Dryer_Hotels &amp; Hospitals_CI</v>
      </c>
      <c r="C3238" s="2" t="str">
        <f t="shared" si="101"/>
        <v>NSG_Business_Small/Mid-Size Business_Partner Trade Ally Rebate_Modulating Commercial Gas Clothes Dryer_Hotels &amp; Hospitals_CI_2023</v>
      </c>
      <c r="D3238" s="19" t="s">
        <v>1787</v>
      </c>
      <c r="E3238" s="19" t="s">
        <v>3</v>
      </c>
      <c r="F3238" s="19" t="s">
        <v>1432</v>
      </c>
      <c r="G3238" s="19" t="s">
        <v>1799</v>
      </c>
      <c r="H3238" s="19" t="s">
        <v>12</v>
      </c>
      <c r="I3238" s="19" t="s">
        <v>1253</v>
      </c>
      <c r="J3238" s="19" t="s">
        <v>29</v>
      </c>
      <c r="K3238" s="19" t="s">
        <v>1159</v>
      </c>
      <c r="L3238" s="19">
        <v>2023</v>
      </c>
      <c r="M3238" s="20">
        <v>1</v>
      </c>
      <c r="N3238" s="19" t="s">
        <v>1798</v>
      </c>
      <c r="O3238" s="20">
        <v>0</v>
      </c>
      <c r="P3238" s="20">
        <v>0</v>
      </c>
      <c r="Q3238" s="20">
        <v>0</v>
      </c>
      <c r="R3238" s="21">
        <v>0.92</v>
      </c>
      <c r="S3238" s="20">
        <v>0</v>
      </c>
    </row>
    <row r="3239" spans="2:19" ht="15" customHeight="1" x14ac:dyDescent="0.25">
      <c r="B3239" s="2" t="str">
        <f t="shared" si="100"/>
        <v>NSG_Business_Small/Mid-Size Business_Partner Trade Ally Rebate_Modulating Commercial Gas Clothes Dryer_Hotels &amp; Hospitals_CI</v>
      </c>
      <c r="C3239" s="2" t="str">
        <f t="shared" si="101"/>
        <v>NSG_Business_Small/Mid-Size Business_Partner Trade Ally Rebate_Modulating Commercial Gas Clothes Dryer_Hotels &amp; Hospitals_CI_2024</v>
      </c>
      <c r="D3239" s="19" t="s">
        <v>1787</v>
      </c>
      <c r="E3239" s="19" t="s">
        <v>3</v>
      </c>
      <c r="F3239" s="19" t="s">
        <v>1432</v>
      </c>
      <c r="G3239" s="19" t="s">
        <v>1799</v>
      </c>
      <c r="H3239" s="19" t="s">
        <v>12</v>
      </c>
      <c r="I3239" s="19" t="s">
        <v>1253</v>
      </c>
      <c r="J3239" s="19" t="s">
        <v>29</v>
      </c>
      <c r="K3239" s="19" t="s">
        <v>1159</v>
      </c>
      <c r="L3239" s="19">
        <v>2024</v>
      </c>
      <c r="M3239" s="20">
        <v>1</v>
      </c>
      <c r="N3239" s="19" t="s">
        <v>1798</v>
      </c>
      <c r="O3239" s="20">
        <v>0</v>
      </c>
      <c r="P3239" s="20">
        <v>0</v>
      </c>
      <c r="Q3239" s="20">
        <v>0</v>
      </c>
      <c r="R3239" s="21">
        <v>0.92</v>
      </c>
      <c r="S3239" s="20">
        <v>0</v>
      </c>
    </row>
    <row r="3240" spans="2:19" ht="15" customHeight="1" x14ac:dyDescent="0.25">
      <c r="B3240" s="2" t="str">
        <f t="shared" si="100"/>
        <v>NSG_Business_Small/Mid-Size Business_Partner Trade Ally Rebate_Modulating Commercial Gas Clothes Dryer_Hotels &amp; Hospitals_CI</v>
      </c>
      <c r="C3240" s="2" t="str">
        <f t="shared" si="101"/>
        <v>NSG_Business_Small/Mid-Size Business_Partner Trade Ally Rebate_Modulating Commercial Gas Clothes Dryer_Hotels &amp; Hospitals_CI_2025</v>
      </c>
      <c r="D3240" s="19" t="s">
        <v>1787</v>
      </c>
      <c r="E3240" s="19" t="s">
        <v>3</v>
      </c>
      <c r="F3240" s="19" t="s">
        <v>1432</v>
      </c>
      <c r="G3240" s="19" t="s">
        <v>1799</v>
      </c>
      <c r="H3240" s="19" t="s">
        <v>12</v>
      </c>
      <c r="I3240" s="19" t="s">
        <v>1253</v>
      </c>
      <c r="J3240" s="19" t="s">
        <v>29</v>
      </c>
      <c r="K3240" s="19" t="s">
        <v>1159</v>
      </c>
      <c r="L3240" s="19">
        <v>2025</v>
      </c>
      <c r="M3240" s="20">
        <v>1</v>
      </c>
      <c r="N3240" s="19" t="s">
        <v>1798</v>
      </c>
      <c r="O3240" s="20">
        <v>0</v>
      </c>
      <c r="P3240" s="20">
        <v>0</v>
      </c>
      <c r="Q3240" s="20">
        <v>0</v>
      </c>
      <c r="R3240" s="21">
        <v>0.92</v>
      </c>
      <c r="S3240" s="20">
        <v>0</v>
      </c>
    </row>
    <row r="3241" spans="2:19" ht="15" customHeight="1" x14ac:dyDescent="0.25">
      <c r="B3241" s="2" t="str">
        <f t="shared" si="100"/>
        <v>NSG_Business_Small/Mid-Size Business_Partner Trade Ally Rebate_Modulating Commercial Gas Clothes Dryer_Laundromat &amp; MF Dorms_MF/SMB</v>
      </c>
      <c r="C3241" s="2" t="str">
        <f t="shared" si="101"/>
        <v>NSG_Business_Small/Mid-Size Business_Partner Trade Ally Rebate_Modulating Commercial Gas Clothes Dryer_Laundromat &amp; MF Dorms_MF/SMB_2022</v>
      </c>
      <c r="D3241" s="19" t="s">
        <v>1787</v>
      </c>
      <c r="E3241" s="19" t="s">
        <v>3</v>
      </c>
      <c r="F3241" s="19" t="s">
        <v>1432</v>
      </c>
      <c r="G3241" s="19" t="s">
        <v>1799</v>
      </c>
      <c r="H3241" s="19" t="s">
        <v>12</v>
      </c>
      <c r="I3241" s="19" t="s">
        <v>1255</v>
      </c>
      <c r="J3241" s="19" t="s">
        <v>29</v>
      </c>
      <c r="K3241" s="19" t="s">
        <v>1256</v>
      </c>
      <c r="L3241" s="19">
        <v>2022</v>
      </c>
      <c r="M3241" s="20">
        <v>1</v>
      </c>
      <c r="N3241" s="19" t="s">
        <v>1798</v>
      </c>
      <c r="O3241" s="20">
        <v>2</v>
      </c>
      <c r="P3241" s="20">
        <v>2</v>
      </c>
      <c r="Q3241" s="20">
        <v>423.43920000000003</v>
      </c>
      <c r="R3241" s="21">
        <v>0.92</v>
      </c>
      <c r="S3241" s="20">
        <v>423.43920000000003</v>
      </c>
    </row>
    <row r="3242" spans="2:19" ht="15" customHeight="1" x14ac:dyDescent="0.25">
      <c r="B3242" s="2" t="str">
        <f t="shared" si="100"/>
        <v>NSG_Business_Small/Mid-Size Business_Partner Trade Ally Rebate_Modulating Commercial Gas Clothes Dryer_Laundromat &amp; MF Dorms_MF/SMB</v>
      </c>
      <c r="C3242" s="2" t="str">
        <f t="shared" si="101"/>
        <v>NSG_Business_Small/Mid-Size Business_Partner Trade Ally Rebate_Modulating Commercial Gas Clothes Dryer_Laundromat &amp; MF Dorms_MF/SMB_2023</v>
      </c>
      <c r="D3242" s="19" t="s">
        <v>1787</v>
      </c>
      <c r="E3242" s="19" t="s">
        <v>3</v>
      </c>
      <c r="F3242" s="19" t="s">
        <v>1432</v>
      </c>
      <c r="G3242" s="19" t="s">
        <v>1799</v>
      </c>
      <c r="H3242" s="19" t="s">
        <v>12</v>
      </c>
      <c r="I3242" s="19" t="s">
        <v>1255</v>
      </c>
      <c r="J3242" s="19" t="s">
        <v>29</v>
      </c>
      <c r="K3242" s="19" t="s">
        <v>1256</v>
      </c>
      <c r="L3242" s="19">
        <v>2023</v>
      </c>
      <c r="M3242" s="20">
        <v>1</v>
      </c>
      <c r="N3242" s="19" t="s">
        <v>1798</v>
      </c>
      <c r="O3242" s="20">
        <v>2</v>
      </c>
      <c r="P3242" s="20">
        <v>2</v>
      </c>
      <c r="Q3242" s="20">
        <v>423.43920000000003</v>
      </c>
      <c r="R3242" s="21">
        <v>0.92</v>
      </c>
      <c r="S3242" s="20">
        <v>423.43920000000003</v>
      </c>
    </row>
    <row r="3243" spans="2:19" ht="15" customHeight="1" x14ac:dyDescent="0.25">
      <c r="B3243" s="2" t="str">
        <f t="shared" si="100"/>
        <v>NSG_Business_Small/Mid-Size Business_Partner Trade Ally Rebate_Modulating Commercial Gas Clothes Dryer_Laundromat &amp; MF Dorms_MF/SMB</v>
      </c>
      <c r="C3243" s="2" t="str">
        <f t="shared" si="101"/>
        <v>NSG_Business_Small/Mid-Size Business_Partner Trade Ally Rebate_Modulating Commercial Gas Clothes Dryer_Laundromat &amp; MF Dorms_MF/SMB_2024</v>
      </c>
      <c r="D3243" s="19" t="s">
        <v>1787</v>
      </c>
      <c r="E3243" s="19" t="s">
        <v>3</v>
      </c>
      <c r="F3243" s="19" t="s">
        <v>1432</v>
      </c>
      <c r="G3243" s="19" t="s">
        <v>1799</v>
      </c>
      <c r="H3243" s="19" t="s">
        <v>12</v>
      </c>
      <c r="I3243" s="19" t="s">
        <v>1255</v>
      </c>
      <c r="J3243" s="19" t="s">
        <v>29</v>
      </c>
      <c r="K3243" s="19" t="s">
        <v>1256</v>
      </c>
      <c r="L3243" s="19">
        <v>2024</v>
      </c>
      <c r="M3243" s="20">
        <v>1</v>
      </c>
      <c r="N3243" s="19" t="s">
        <v>1798</v>
      </c>
      <c r="O3243" s="20">
        <v>2</v>
      </c>
      <c r="P3243" s="20">
        <v>2</v>
      </c>
      <c r="Q3243" s="20">
        <v>423.43920000000003</v>
      </c>
      <c r="R3243" s="21">
        <v>0.92</v>
      </c>
      <c r="S3243" s="20">
        <v>423.43920000000003</v>
      </c>
    </row>
    <row r="3244" spans="2:19" ht="15" customHeight="1" x14ac:dyDescent="0.25">
      <c r="B3244" s="2" t="str">
        <f t="shared" si="100"/>
        <v>NSG_Business_Small/Mid-Size Business_Partner Trade Ally Rebate_Modulating Commercial Gas Clothes Dryer_Laundromat &amp; MF Dorms_MF/SMB</v>
      </c>
      <c r="C3244" s="2" t="str">
        <f t="shared" si="101"/>
        <v>NSG_Business_Small/Mid-Size Business_Partner Trade Ally Rebate_Modulating Commercial Gas Clothes Dryer_Laundromat &amp; MF Dorms_MF/SMB_2025</v>
      </c>
      <c r="D3244" s="19" t="s">
        <v>1787</v>
      </c>
      <c r="E3244" s="19" t="s">
        <v>3</v>
      </c>
      <c r="F3244" s="19" t="s">
        <v>1432</v>
      </c>
      <c r="G3244" s="19" t="s">
        <v>1799</v>
      </c>
      <c r="H3244" s="19" t="s">
        <v>12</v>
      </c>
      <c r="I3244" s="19" t="s">
        <v>1255</v>
      </c>
      <c r="J3244" s="19" t="s">
        <v>29</v>
      </c>
      <c r="K3244" s="19" t="s">
        <v>1256</v>
      </c>
      <c r="L3244" s="19">
        <v>2025</v>
      </c>
      <c r="M3244" s="20">
        <v>1</v>
      </c>
      <c r="N3244" s="19" t="s">
        <v>1798</v>
      </c>
      <c r="O3244" s="20">
        <v>2</v>
      </c>
      <c r="P3244" s="20">
        <v>2</v>
      </c>
      <c r="Q3244" s="20">
        <v>423.43920000000003</v>
      </c>
      <c r="R3244" s="21">
        <v>0.92</v>
      </c>
      <c r="S3244" s="20">
        <v>423.43920000000003</v>
      </c>
    </row>
    <row r="3245" spans="2:19" ht="15" customHeight="1" x14ac:dyDescent="0.25">
      <c r="B3245" s="2" t="str">
        <f t="shared" si="100"/>
        <v>NSG_Business_Small/Mid-Size Business_Partner Trade Ally Rebate_Ozone Laundry_0_MF/CI</v>
      </c>
      <c r="C3245" s="2" t="str">
        <f t="shared" si="101"/>
        <v>NSG_Business_Small/Mid-Size Business_Partner Trade Ally Rebate_Ozone Laundry_0_MF/CI_2022</v>
      </c>
      <c r="D3245" s="19" t="s">
        <v>1787</v>
      </c>
      <c r="E3245" s="19" t="s">
        <v>3</v>
      </c>
      <c r="F3245" s="19" t="s">
        <v>1432</v>
      </c>
      <c r="G3245" s="19" t="s">
        <v>1799</v>
      </c>
      <c r="H3245" s="19" t="s">
        <v>16</v>
      </c>
      <c r="I3245" s="19">
        <v>0</v>
      </c>
      <c r="J3245" s="19" t="s">
        <v>592</v>
      </c>
      <c r="K3245" s="19" t="s">
        <v>587</v>
      </c>
      <c r="L3245" s="19">
        <v>2022</v>
      </c>
      <c r="M3245" s="20">
        <v>250</v>
      </c>
      <c r="N3245" s="19" t="s">
        <v>1803</v>
      </c>
      <c r="O3245" s="20">
        <v>0</v>
      </c>
      <c r="P3245" s="20">
        <v>0</v>
      </c>
      <c r="Q3245" s="20">
        <v>0</v>
      </c>
      <c r="R3245" s="21">
        <v>0.92</v>
      </c>
      <c r="S3245" s="20">
        <v>0</v>
      </c>
    </row>
    <row r="3246" spans="2:19" ht="15" customHeight="1" x14ac:dyDescent="0.25">
      <c r="B3246" s="2" t="str">
        <f t="shared" si="100"/>
        <v>NSG_Business_Small/Mid-Size Business_Partner Trade Ally Rebate_Ozone Laundry_0_MF/CI</v>
      </c>
      <c r="C3246" s="2" t="str">
        <f t="shared" si="101"/>
        <v>NSG_Business_Small/Mid-Size Business_Partner Trade Ally Rebate_Ozone Laundry_0_MF/CI_2023</v>
      </c>
      <c r="D3246" s="19" t="s">
        <v>1787</v>
      </c>
      <c r="E3246" s="19" t="s">
        <v>3</v>
      </c>
      <c r="F3246" s="19" t="s">
        <v>1432</v>
      </c>
      <c r="G3246" s="19" t="s">
        <v>1799</v>
      </c>
      <c r="H3246" s="19" t="s">
        <v>16</v>
      </c>
      <c r="I3246" s="19">
        <v>0</v>
      </c>
      <c r="J3246" s="19" t="s">
        <v>592</v>
      </c>
      <c r="K3246" s="19" t="s">
        <v>587</v>
      </c>
      <c r="L3246" s="19">
        <v>2023</v>
      </c>
      <c r="M3246" s="20">
        <v>250</v>
      </c>
      <c r="N3246" s="19" t="s">
        <v>1803</v>
      </c>
      <c r="O3246" s="20">
        <v>0</v>
      </c>
      <c r="P3246" s="20">
        <v>0</v>
      </c>
      <c r="Q3246" s="20">
        <v>0</v>
      </c>
      <c r="R3246" s="21">
        <v>0.92</v>
      </c>
      <c r="S3246" s="20">
        <v>0</v>
      </c>
    </row>
    <row r="3247" spans="2:19" ht="15" customHeight="1" x14ac:dyDescent="0.25">
      <c r="B3247" s="2" t="str">
        <f t="shared" si="100"/>
        <v>NSG_Business_Small/Mid-Size Business_Partner Trade Ally Rebate_Ozone Laundry_0_MF/CI</v>
      </c>
      <c r="C3247" s="2" t="str">
        <f t="shared" si="101"/>
        <v>NSG_Business_Small/Mid-Size Business_Partner Trade Ally Rebate_Ozone Laundry_0_MF/CI_2024</v>
      </c>
      <c r="D3247" s="19" t="s">
        <v>1787</v>
      </c>
      <c r="E3247" s="19" t="s">
        <v>3</v>
      </c>
      <c r="F3247" s="19" t="s">
        <v>1432</v>
      </c>
      <c r="G3247" s="19" t="s">
        <v>1799</v>
      </c>
      <c r="H3247" s="19" t="s">
        <v>16</v>
      </c>
      <c r="I3247" s="19">
        <v>0</v>
      </c>
      <c r="J3247" s="19" t="s">
        <v>592</v>
      </c>
      <c r="K3247" s="19" t="s">
        <v>587</v>
      </c>
      <c r="L3247" s="19">
        <v>2024</v>
      </c>
      <c r="M3247" s="20">
        <v>250</v>
      </c>
      <c r="N3247" s="19" t="s">
        <v>1803</v>
      </c>
      <c r="O3247" s="20">
        <v>0</v>
      </c>
      <c r="P3247" s="20">
        <v>0</v>
      </c>
      <c r="Q3247" s="20">
        <v>0</v>
      </c>
      <c r="R3247" s="21">
        <v>0.92</v>
      </c>
      <c r="S3247" s="20">
        <v>0</v>
      </c>
    </row>
    <row r="3248" spans="2:19" ht="15" customHeight="1" x14ac:dyDescent="0.25">
      <c r="B3248" s="2" t="str">
        <f t="shared" si="100"/>
        <v>NSG_Business_Small/Mid-Size Business_Partner Trade Ally Rebate_Ozone Laundry_0_MF/CI</v>
      </c>
      <c r="C3248" s="2" t="str">
        <f t="shared" si="101"/>
        <v>NSG_Business_Small/Mid-Size Business_Partner Trade Ally Rebate_Ozone Laundry_0_MF/CI_2025</v>
      </c>
      <c r="D3248" s="19" t="s">
        <v>1787</v>
      </c>
      <c r="E3248" s="19" t="s">
        <v>3</v>
      </c>
      <c r="F3248" s="19" t="s">
        <v>1432</v>
      </c>
      <c r="G3248" s="19" t="s">
        <v>1799</v>
      </c>
      <c r="H3248" s="19" t="s">
        <v>16</v>
      </c>
      <c r="I3248" s="19">
        <v>0</v>
      </c>
      <c r="J3248" s="19" t="s">
        <v>592</v>
      </c>
      <c r="K3248" s="19" t="s">
        <v>587</v>
      </c>
      <c r="L3248" s="19">
        <v>2025</v>
      </c>
      <c r="M3248" s="20">
        <v>250</v>
      </c>
      <c r="N3248" s="19" t="s">
        <v>1803</v>
      </c>
      <c r="O3248" s="20">
        <v>0</v>
      </c>
      <c r="P3248" s="20">
        <v>0</v>
      </c>
      <c r="Q3248" s="20">
        <v>0</v>
      </c>
      <c r="R3248" s="21">
        <v>0.92</v>
      </c>
      <c r="S3248" s="20">
        <v>0</v>
      </c>
    </row>
    <row r="3249" spans="2:19" ht="15" customHeight="1" x14ac:dyDescent="0.25">
      <c r="B3249" s="2" t="str">
        <f t="shared" si="100"/>
        <v>NSG_Business_Small/Mid-Size Business_Partner Trade Ally Rebate_Pipe Insulation_Dry Cleaners_CI/SMB</v>
      </c>
      <c r="C3249" s="2" t="str">
        <f t="shared" si="101"/>
        <v>NSG_Business_Small/Mid-Size Business_Partner Trade Ally Rebate_Pipe Insulation_Dry Cleaners_CI/SMB_2022</v>
      </c>
      <c r="D3249" s="19" t="s">
        <v>1787</v>
      </c>
      <c r="E3249" s="19" t="s">
        <v>3</v>
      </c>
      <c r="F3249" s="19" t="s">
        <v>1432</v>
      </c>
      <c r="G3249" s="19" t="s">
        <v>1799</v>
      </c>
      <c r="H3249" s="19" t="s">
        <v>404</v>
      </c>
      <c r="I3249" s="19" t="s">
        <v>969</v>
      </c>
      <c r="J3249" s="19">
        <v>0</v>
      </c>
      <c r="K3249" s="19" t="s">
        <v>970</v>
      </c>
      <c r="L3249" s="19">
        <v>2022</v>
      </c>
      <c r="M3249" s="20">
        <v>5</v>
      </c>
      <c r="N3249" s="19" t="s">
        <v>1802</v>
      </c>
      <c r="O3249" s="20">
        <v>4</v>
      </c>
      <c r="P3249" s="20">
        <v>20</v>
      </c>
      <c r="Q3249" s="20">
        <v>48.875331384046326</v>
      </c>
      <c r="R3249" s="21">
        <v>0.92</v>
      </c>
      <c r="S3249" s="20">
        <v>48.875331384046326</v>
      </c>
    </row>
    <row r="3250" spans="2:19" ht="15" customHeight="1" x14ac:dyDescent="0.25">
      <c r="B3250" s="2" t="str">
        <f t="shared" si="100"/>
        <v>NSG_Business_Small/Mid-Size Business_Partner Trade Ally Rebate_Pipe Insulation_Dry Cleaners_CI/SMB</v>
      </c>
      <c r="C3250" s="2" t="str">
        <f t="shared" si="101"/>
        <v>NSG_Business_Small/Mid-Size Business_Partner Trade Ally Rebate_Pipe Insulation_Dry Cleaners_CI/SMB_2023</v>
      </c>
      <c r="D3250" s="19" t="s">
        <v>1787</v>
      </c>
      <c r="E3250" s="19" t="s">
        <v>3</v>
      </c>
      <c r="F3250" s="19" t="s">
        <v>1432</v>
      </c>
      <c r="G3250" s="19" t="s">
        <v>1799</v>
      </c>
      <c r="H3250" s="19" t="s">
        <v>404</v>
      </c>
      <c r="I3250" s="19" t="s">
        <v>969</v>
      </c>
      <c r="J3250" s="19">
        <v>0</v>
      </c>
      <c r="K3250" s="19" t="s">
        <v>970</v>
      </c>
      <c r="L3250" s="19">
        <v>2023</v>
      </c>
      <c r="M3250" s="20">
        <v>5</v>
      </c>
      <c r="N3250" s="19" t="s">
        <v>1802</v>
      </c>
      <c r="O3250" s="20">
        <v>3</v>
      </c>
      <c r="P3250" s="20">
        <v>15</v>
      </c>
      <c r="Q3250" s="20">
        <v>36.656498538034747</v>
      </c>
      <c r="R3250" s="21">
        <v>0.92</v>
      </c>
      <c r="S3250" s="20">
        <v>36.656498538034747</v>
      </c>
    </row>
    <row r="3251" spans="2:19" ht="15" customHeight="1" x14ac:dyDescent="0.25">
      <c r="B3251" s="2" t="str">
        <f t="shared" si="100"/>
        <v>NSG_Business_Small/Mid-Size Business_Partner Trade Ally Rebate_Pipe Insulation_Dry Cleaners_CI/SMB</v>
      </c>
      <c r="C3251" s="2" t="str">
        <f t="shared" si="101"/>
        <v>NSG_Business_Small/Mid-Size Business_Partner Trade Ally Rebate_Pipe Insulation_Dry Cleaners_CI/SMB_2024</v>
      </c>
      <c r="D3251" s="19" t="s">
        <v>1787</v>
      </c>
      <c r="E3251" s="19" t="s">
        <v>3</v>
      </c>
      <c r="F3251" s="19" t="s">
        <v>1432</v>
      </c>
      <c r="G3251" s="19" t="s">
        <v>1799</v>
      </c>
      <c r="H3251" s="19" t="s">
        <v>404</v>
      </c>
      <c r="I3251" s="19" t="s">
        <v>969</v>
      </c>
      <c r="J3251" s="19">
        <v>0</v>
      </c>
      <c r="K3251" s="19" t="s">
        <v>970</v>
      </c>
      <c r="L3251" s="19">
        <v>2024</v>
      </c>
      <c r="M3251" s="20">
        <v>5</v>
      </c>
      <c r="N3251" s="19" t="s">
        <v>1802</v>
      </c>
      <c r="O3251" s="20">
        <v>3</v>
      </c>
      <c r="P3251" s="20">
        <v>15</v>
      </c>
      <c r="Q3251" s="20">
        <v>36.656498538034747</v>
      </c>
      <c r="R3251" s="21">
        <v>0.92</v>
      </c>
      <c r="S3251" s="20">
        <v>36.656498538034747</v>
      </c>
    </row>
    <row r="3252" spans="2:19" ht="15" customHeight="1" x14ac:dyDescent="0.25">
      <c r="B3252" s="2" t="str">
        <f t="shared" si="100"/>
        <v>NSG_Business_Small/Mid-Size Business_Partner Trade Ally Rebate_Pipe Insulation_Dry Cleaners_CI/SMB</v>
      </c>
      <c r="C3252" s="2" t="str">
        <f t="shared" si="101"/>
        <v>NSG_Business_Small/Mid-Size Business_Partner Trade Ally Rebate_Pipe Insulation_Dry Cleaners_CI/SMB_2025</v>
      </c>
      <c r="D3252" s="19" t="s">
        <v>1787</v>
      </c>
      <c r="E3252" s="19" t="s">
        <v>3</v>
      </c>
      <c r="F3252" s="19" t="s">
        <v>1432</v>
      </c>
      <c r="G3252" s="19" t="s">
        <v>1799</v>
      </c>
      <c r="H3252" s="19" t="s">
        <v>404</v>
      </c>
      <c r="I3252" s="19" t="s">
        <v>969</v>
      </c>
      <c r="J3252" s="19">
        <v>0</v>
      </c>
      <c r="K3252" s="19" t="s">
        <v>970</v>
      </c>
      <c r="L3252" s="19">
        <v>2025</v>
      </c>
      <c r="M3252" s="20">
        <v>5</v>
      </c>
      <c r="N3252" s="19" t="s">
        <v>1802</v>
      </c>
      <c r="O3252" s="20">
        <v>3</v>
      </c>
      <c r="P3252" s="20">
        <v>15</v>
      </c>
      <c r="Q3252" s="20">
        <v>36.656498538034747</v>
      </c>
      <c r="R3252" s="21">
        <v>0.92</v>
      </c>
      <c r="S3252" s="20">
        <v>36.656498538034747</v>
      </c>
    </row>
    <row r="3253" spans="2:19" ht="15" customHeight="1" x14ac:dyDescent="0.25">
      <c r="B3253" s="2" t="str">
        <f t="shared" si="100"/>
        <v>NSG_Business_Small/Mid-Size Business_Partner Trade Ally Rebate_Pipe Insulation_HW Small 1" to 2"_MF/CI/SMB</v>
      </c>
      <c r="C3253" s="2" t="str">
        <f t="shared" si="101"/>
        <v>NSG_Business_Small/Mid-Size Business_Partner Trade Ally Rebate_Pipe Insulation_HW Small 1" to 2"_MF/CI/SMB_2022</v>
      </c>
      <c r="D3253" s="19" t="s">
        <v>1787</v>
      </c>
      <c r="E3253" s="19" t="s">
        <v>3</v>
      </c>
      <c r="F3253" s="19" t="s">
        <v>1432</v>
      </c>
      <c r="G3253" s="19" t="s">
        <v>1799</v>
      </c>
      <c r="H3253" s="19" t="s">
        <v>404</v>
      </c>
      <c r="I3253" s="19" t="s">
        <v>953</v>
      </c>
      <c r="J3253" s="19">
        <v>0</v>
      </c>
      <c r="K3253" s="19" t="s">
        <v>662</v>
      </c>
      <c r="L3253" s="19">
        <v>2022</v>
      </c>
      <c r="M3253" s="20">
        <v>75</v>
      </c>
      <c r="N3253" s="19" t="s">
        <v>616</v>
      </c>
      <c r="O3253" s="20">
        <v>0</v>
      </c>
      <c r="P3253" s="20">
        <v>0</v>
      </c>
      <c r="Q3253" s="20">
        <v>0</v>
      </c>
      <c r="R3253" s="21">
        <v>0.92</v>
      </c>
      <c r="S3253" s="20">
        <v>0</v>
      </c>
    </row>
    <row r="3254" spans="2:19" ht="15" customHeight="1" x14ac:dyDescent="0.25">
      <c r="B3254" s="2" t="str">
        <f t="shared" si="100"/>
        <v>NSG_Business_Small/Mid-Size Business_Partner Trade Ally Rebate_Pipe Insulation_HW Small 1" to 2"_MF/CI/SMB</v>
      </c>
      <c r="C3254" s="2" t="str">
        <f t="shared" si="101"/>
        <v>NSG_Business_Small/Mid-Size Business_Partner Trade Ally Rebate_Pipe Insulation_HW Small 1" to 2"_MF/CI/SMB_2023</v>
      </c>
      <c r="D3254" s="19" t="s">
        <v>1787</v>
      </c>
      <c r="E3254" s="19" t="s">
        <v>3</v>
      </c>
      <c r="F3254" s="19" t="s">
        <v>1432</v>
      </c>
      <c r="G3254" s="19" t="s">
        <v>1799</v>
      </c>
      <c r="H3254" s="19" t="s">
        <v>404</v>
      </c>
      <c r="I3254" s="19" t="s">
        <v>953</v>
      </c>
      <c r="J3254" s="19">
        <v>0</v>
      </c>
      <c r="K3254" s="19" t="s">
        <v>662</v>
      </c>
      <c r="L3254" s="19">
        <v>2023</v>
      </c>
      <c r="M3254" s="20">
        <v>75</v>
      </c>
      <c r="N3254" s="19" t="s">
        <v>616</v>
      </c>
      <c r="O3254" s="20">
        <v>0</v>
      </c>
      <c r="P3254" s="20">
        <v>0</v>
      </c>
      <c r="Q3254" s="20">
        <v>0</v>
      </c>
      <c r="R3254" s="21">
        <v>0.92</v>
      </c>
      <c r="S3254" s="20">
        <v>0</v>
      </c>
    </row>
    <row r="3255" spans="2:19" ht="15" customHeight="1" x14ac:dyDescent="0.25">
      <c r="B3255" s="2" t="str">
        <f t="shared" si="100"/>
        <v>NSG_Business_Small/Mid-Size Business_Partner Trade Ally Rebate_Pipe Insulation_HW Small 1" to 2"_MF/CI/SMB</v>
      </c>
      <c r="C3255" s="2" t="str">
        <f t="shared" si="101"/>
        <v>NSG_Business_Small/Mid-Size Business_Partner Trade Ally Rebate_Pipe Insulation_HW Small 1" to 2"_MF/CI/SMB_2024</v>
      </c>
      <c r="D3255" s="19" t="s">
        <v>1787</v>
      </c>
      <c r="E3255" s="19" t="s">
        <v>3</v>
      </c>
      <c r="F3255" s="19" t="s">
        <v>1432</v>
      </c>
      <c r="G3255" s="19" t="s">
        <v>1799</v>
      </c>
      <c r="H3255" s="19" t="s">
        <v>404</v>
      </c>
      <c r="I3255" s="19" t="s">
        <v>953</v>
      </c>
      <c r="J3255" s="19">
        <v>0</v>
      </c>
      <c r="K3255" s="19" t="s">
        <v>662</v>
      </c>
      <c r="L3255" s="19">
        <v>2024</v>
      </c>
      <c r="M3255" s="20">
        <v>75</v>
      </c>
      <c r="N3255" s="19" t="s">
        <v>616</v>
      </c>
      <c r="O3255" s="20">
        <v>0</v>
      </c>
      <c r="P3255" s="20">
        <v>0</v>
      </c>
      <c r="Q3255" s="20">
        <v>0</v>
      </c>
      <c r="R3255" s="21">
        <v>0.92</v>
      </c>
      <c r="S3255" s="20">
        <v>0</v>
      </c>
    </row>
    <row r="3256" spans="2:19" ht="15" customHeight="1" x14ac:dyDescent="0.25">
      <c r="B3256" s="2" t="str">
        <f t="shared" si="100"/>
        <v>NSG_Business_Small/Mid-Size Business_Partner Trade Ally Rebate_Pipe Insulation_HW Small 1" to 2"_MF/CI/SMB</v>
      </c>
      <c r="C3256" s="2" t="str">
        <f t="shared" si="101"/>
        <v>NSG_Business_Small/Mid-Size Business_Partner Trade Ally Rebate_Pipe Insulation_HW Small 1" to 2"_MF/CI/SMB_2025</v>
      </c>
      <c r="D3256" s="19" t="s">
        <v>1787</v>
      </c>
      <c r="E3256" s="19" t="s">
        <v>3</v>
      </c>
      <c r="F3256" s="19" t="s">
        <v>1432</v>
      </c>
      <c r="G3256" s="19" t="s">
        <v>1799</v>
      </c>
      <c r="H3256" s="19" t="s">
        <v>404</v>
      </c>
      <c r="I3256" s="19" t="s">
        <v>953</v>
      </c>
      <c r="J3256" s="19">
        <v>0</v>
      </c>
      <c r="K3256" s="19" t="s">
        <v>662</v>
      </c>
      <c r="L3256" s="19">
        <v>2025</v>
      </c>
      <c r="M3256" s="20">
        <v>75</v>
      </c>
      <c r="N3256" s="19" t="s">
        <v>616</v>
      </c>
      <c r="O3256" s="20">
        <v>0</v>
      </c>
      <c r="P3256" s="20">
        <v>0</v>
      </c>
      <c r="Q3256" s="20">
        <v>0</v>
      </c>
      <c r="R3256" s="21">
        <v>0.92</v>
      </c>
      <c r="S3256" s="20">
        <v>0</v>
      </c>
    </row>
    <row r="3257" spans="2:19" ht="15" customHeight="1" x14ac:dyDescent="0.25">
      <c r="B3257" s="2" t="str">
        <f t="shared" si="100"/>
        <v>NSG_Business_Small/Mid-Size Business_Partner Trade Ally Rebate_Pipe Insulation_HW Medium 2.1" to 4"_MF/CI/SMB</v>
      </c>
      <c r="C3257" s="2" t="str">
        <f t="shared" si="101"/>
        <v>NSG_Business_Small/Mid-Size Business_Partner Trade Ally Rebate_Pipe Insulation_HW Medium 2.1" to 4"_MF/CI/SMB_2022</v>
      </c>
      <c r="D3257" s="19" t="s">
        <v>1787</v>
      </c>
      <c r="E3257" s="19" t="s">
        <v>3</v>
      </c>
      <c r="F3257" s="19" t="s">
        <v>1432</v>
      </c>
      <c r="G3257" s="19" t="s">
        <v>1799</v>
      </c>
      <c r="H3257" s="19" t="s">
        <v>404</v>
      </c>
      <c r="I3257" s="19" t="s">
        <v>954</v>
      </c>
      <c r="J3257" s="19">
        <v>0</v>
      </c>
      <c r="K3257" s="19" t="s">
        <v>662</v>
      </c>
      <c r="L3257" s="19">
        <v>2022</v>
      </c>
      <c r="M3257" s="20">
        <v>75</v>
      </c>
      <c r="N3257" s="19" t="s">
        <v>616</v>
      </c>
      <c r="O3257" s="20">
        <v>2</v>
      </c>
      <c r="P3257" s="20">
        <v>150</v>
      </c>
      <c r="Q3257" s="20">
        <v>724.3900346139435</v>
      </c>
      <c r="R3257" s="21">
        <v>0.92</v>
      </c>
      <c r="S3257" s="20">
        <v>724.3900346139435</v>
      </c>
    </row>
    <row r="3258" spans="2:19" ht="15" customHeight="1" x14ac:dyDescent="0.25">
      <c r="B3258" s="2" t="str">
        <f t="shared" si="100"/>
        <v>NSG_Business_Small/Mid-Size Business_Partner Trade Ally Rebate_Pipe Insulation_HW Medium 2.1" to 4"_MF/CI/SMB</v>
      </c>
      <c r="C3258" s="2" t="str">
        <f t="shared" si="101"/>
        <v>NSG_Business_Small/Mid-Size Business_Partner Trade Ally Rebate_Pipe Insulation_HW Medium 2.1" to 4"_MF/CI/SMB_2023</v>
      </c>
      <c r="D3258" s="19" t="s">
        <v>1787</v>
      </c>
      <c r="E3258" s="19" t="s">
        <v>3</v>
      </c>
      <c r="F3258" s="19" t="s">
        <v>1432</v>
      </c>
      <c r="G3258" s="19" t="s">
        <v>1799</v>
      </c>
      <c r="H3258" s="19" t="s">
        <v>404</v>
      </c>
      <c r="I3258" s="19" t="s">
        <v>954</v>
      </c>
      <c r="J3258" s="19">
        <v>0</v>
      </c>
      <c r="K3258" s="19" t="s">
        <v>662</v>
      </c>
      <c r="L3258" s="19">
        <v>2023</v>
      </c>
      <c r="M3258" s="20">
        <v>75</v>
      </c>
      <c r="N3258" s="19" t="s">
        <v>616</v>
      </c>
      <c r="O3258" s="20">
        <v>2</v>
      </c>
      <c r="P3258" s="20">
        <v>150</v>
      </c>
      <c r="Q3258" s="20">
        <v>724.3900346139435</v>
      </c>
      <c r="R3258" s="21">
        <v>0.92</v>
      </c>
      <c r="S3258" s="20">
        <v>724.3900346139435</v>
      </c>
    </row>
    <row r="3259" spans="2:19" ht="15" customHeight="1" x14ac:dyDescent="0.25">
      <c r="B3259" s="2" t="str">
        <f t="shared" si="100"/>
        <v>NSG_Business_Small/Mid-Size Business_Partner Trade Ally Rebate_Pipe Insulation_HW Medium 2.1" to 4"_MF/CI/SMB</v>
      </c>
      <c r="C3259" s="2" t="str">
        <f t="shared" si="101"/>
        <v>NSG_Business_Small/Mid-Size Business_Partner Trade Ally Rebate_Pipe Insulation_HW Medium 2.1" to 4"_MF/CI/SMB_2024</v>
      </c>
      <c r="D3259" s="19" t="s">
        <v>1787</v>
      </c>
      <c r="E3259" s="19" t="s">
        <v>3</v>
      </c>
      <c r="F3259" s="19" t="s">
        <v>1432</v>
      </c>
      <c r="G3259" s="19" t="s">
        <v>1799</v>
      </c>
      <c r="H3259" s="19" t="s">
        <v>404</v>
      </c>
      <c r="I3259" s="19" t="s">
        <v>954</v>
      </c>
      <c r="J3259" s="19">
        <v>0</v>
      </c>
      <c r="K3259" s="19" t="s">
        <v>662</v>
      </c>
      <c r="L3259" s="19">
        <v>2024</v>
      </c>
      <c r="M3259" s="20">
        <v>75</v>
      </c>
      <c r="N3259" s="19" t="s">
        <v>616</v>
      </c>
      <c r="O3259" s="20">
        <v>2</v>
      </c>
      <c r="P3259" s="20">
        <v>150</v>
      </c>
      <c r="Q3259" s="20">
        <v>724.3900346139435</v>
      </c>
      <c r="R3259" s="21">
        <v>0.92</v>
      </c>
      <c r="S3259" s="20">
        <v>724.3900346139435</v>
      </c>
    </row>
    <row r="3260" spans="2:19" ht="15" customHeight="1" x14ac:dyDescent="0.25">
      <c r="B3260" s="2" t="str">
        <f t="shared" si="100"/>
        <v>NSG_Business_Small/Mid-Size Business_Partner Trade Ally Rebate_Pipe Insulation_HW Medium 2.1" to 4"_MF/CI/SMB</v>
      </c>
      <c r="C3260" s="2" t="str">
        <f t="shared" si="101"/>
        <v>NSG_Business_Small/Mid-Size Business_Partner Trade Ally Rebate_Pipe Insulation_HW Medium 2.1" to 4"_MF/CI/SMB_2025</v>
      </c>
      <c r="D3260" s="19" t="s">
        <v>1787</v>
      </c>
      <c r="E3260" s="19" t="s">
        <v>3</v>
      </c>
      <c r="F3260" s="19" t="s">
        <v>1432</v>
      </c>
      <c r="G3260" s="19" t="s">
        <v>1799</v>
      </c>
      <c r="H3260" s="19" t="s">
        <v>404</v>
      </c>
      <c r="I3260" s="19" t="s">
        <v>954</v>
      </c>
      <c r="J3260" s="19">
        <v>0</v>
      </c>
      <c r="K3260" s="19" t="s">
        <v>662</v>
      </c>
      <c r="L3260" s="19">
        <v>2025</v>
      </c>
      <c r="M3260" s="20">
        <v>75</v>
      </c>
      <c r="N3260" s="19" t="s">
        <v>616</v>
      </c>
      <c r="O3260" s="20">
        <v>2</v>
      </c>
      <c r="P3260" s="20">
        <v>150</v>
      </c>
      <c r="Q3260" s="20">
        <v>724.3900346139435</v>
      </c>
      <c r="R3260" s="21">
        <v>0.92</v>
      </c>
      <c r="S3260" s="20">
        <v>724.3900346139435</v>
      </c>
    </row>
    <row r="3261" spans="2:19" ht="15" customHeight="1" x14ac:dyDescent="0.25">
      <c r="B3261" s="2" t="str">
        <f t="shared" si="100"/>
        <v>NSG_Business_Small/Mid-Size Business_Partner Trade Ally Rebate_Pipe Insulation_HW Large &gt;4"_MF/CI/SMB</v>
      </c>
      <c r="C3261" s="2" t="str">
        <f t="shared" si="101"/>
        <v>NSG_Business_Small/Mid-Size Business_Partner Trade Ally Rebate_Pipe Insulation_HW Large &gt;4"_MF/CI/SMB_2022</v>
      </c>
      <c r="D3261" s="19" t="s">
        <v>1787</v>
      </c>
      <c r="E3261" s="19" t="s">
        <v>3</v>
      </c>
      <c r="F3261" s="19" t="s">
        <v>1432</v>
      </c>
      <c r="G3261" s="19" t="s">
        <v>1799</v>
      </c>
      <c r="H3261" s="19" t="s">
        <v>404</v>
      </c>
      <c r="I3261" s="19" t="s">
        <v>955</v>
      </c>
      <c r="J3261" s="19">
        <v>0</v>
      </c>
      <c r="K3261" s="19" t="s">
        <v>662</v>
      </c>
      <c r="L3261" s="19">
        <v>2022</v>
      </c>
      <c r="M3261" s="20">
        <v>75</v>
      </c>
      <c r="N3261" s="19" t="s">
        <v>616</v>
      </c>
      <c r="O3261" s="20">
        <v>0</v>
      </c>
      <c r="P3261" s="20">
        <v>0</v>
      </c>
      <c r="Q3261" s="20">
        <v>0</v>
      </c>
      <c r="R3261" s="21">
        <v>0.92</v>
      </c>
      <c r="S3261" s="20">
        <v>0</v>
      </c>
    </row>
    <row r="3262" spans="2:19" ht="15" customHeight="1" x14ac:dyDescent="0.25">
      <c r="B3262" s="2" t="str">
        <f t="shared" si="100"/>
        <v>NSG_Business_Small/Mid-Size Business_Partner Trade Ally Rebate_Pipe Insulation_HW Large &gt;4"_MF/CI/SMB</v>
      </c>
      <c r="C3262" s="2" t="str">
        <f t="shared" si="101"/>
        <v>NSG_Business_Small/Mid-Size Business_Partner Trade Ally Rebate_Pipe Insulation_HW Large &gt;4"_MF/CI/SMB_2023</v>
      </c>
      <c r="D3262" s="19" t="s">
        <v>1787</v>
      </c>
      <c r="E3262" s="19" t="s">
        <v>3</v>
      </c>
      <c r="F3262" s="19" t="s">
        <v>1432</v>
      </c>
      <c r="G3262" s="19" t="s">
        <v>1799</v>
      </c>
      <c r="H3262" s="19" t="s">
        <v>404</v>
      </c>
      <c r="I3262" s="19" t="s">
        <v>955</v>
      </c>
      <c r="J3262" s="19">
        <v>0</v>
      </c>
      <c r="K3262" s="19" t="s">
        <v>662</v>
      </c>
      <c r="L3262" s="19">
        <v>2023</v>
      </c>
      <c r="M3262" s="20">
        <v>75</v>
      </c>
      <c r="N3262" s="19" t="s">
        <v>616</v>
      </c>
      <c r="O3262" s="20">
        <v>0</v>
      </c>
      <c r="P3262" s="20">
        <v>0</v>
      </c>
      <c r="Q3262" s="20">
        <v>0</v>
      </c>
      <c r="R3262" s="21">
        <v>0.92</v>
      </c>
      <c r="S3262" s="20">
        <v>0</v>
      </c>
    </row>
    <row r="3263" spans="2:19" ht="15" customHeight="1" x14ac:dyDescent="0.25">
      <c r="B3263" s="2" t="str">
        <f t="shared" si="100"/>
        <v>NSG_Business_Small/Mid-Size Business_Partner Trade Ally Rebate_Pipe Insulation_HW Large &gt;4"_MF/CI/SMB</v>
      </c>
      <c r="C3263" s="2" t="str">
        <f t="shared" si="101"/>
        <v>NSG_Business_Small/Mid-Size Business_Partner Trade Ally Rebate_Pipe Insulation_HW Large &gt;4"_MF/CI/SMB_2024</v>
      </c>
      <c r="D3263" s="19" t="s">
        <v>1787</v>
      </c>
      <c r="E3263" s="19" t="s">
        <v>3</v>
      </c>
      <c r="F3263" s="19" t="s">
        <v>1432</v>
      </c>
      <c r="G3263" s="19" t="s">
        <v>1799</v>
      </c>
      <c r="H3263" s="19" t="s">
        <v>404</v>
      </c>
      <c r="I3263" s="19" t="s">
        <v>955</v>
      </c>
      <c r="J3263" s="19">
        <v>0</v>
      </c>
      <c r="K3263" s="19" t="s">
        <v>662</v>
      </c>
      <c r="L3263" s="19">
        <v>2024</v>
      </c>
      <c r="M3263" s="20">
        <v>75</v>
      </c>
      <c r="N3263" s="19" t="s">
        <v>616</v>
      </c>
      <c r="O3263" s="20">
        <v>0</v>
      </c>
      <c r="P3263" s="20">
        <v>0</v>
      </c>
      <c r="Q3263" s="20">
        <v>0</v>
      </c>
      <c r="R3263" s="21">
        <v>0.92</v>
      </c>
      <c r="S3263" s="20">
        <v>0</v>
      </c>
    </row>
    <row r="3264" spans="2:19" ht="15" customHeight="1" x14ac:dyDescent="0.25">
      <c r="B3264" s="2" t="str">
        <f t="shared" si="100"/>
        <v>NSG_Business_Small/Mid-Size Business_Partner Trade Ally Rebate_Pipe Insulation_HW Large &gt;4"_MF/CI/SMB</v>
      </c>
      <c r="C3264" s="2" t="str">
        <f t="shared" si="101"/>
        <v>NSG_Business_Small/Mid-Size Business_Partner Trade Ally Rebate_Pipe Insulation_HW Large &gt;4"_MF/CI/SMB_2025</v>
      </c>
      <c r="D3264" s="19" t="s">
        <v>1787</v>
      </c>
      <c r="E3264" s="19" t="s">
        <v>3</v>
      </c>
      <c r="F3264" s="19" t="s">
        <v>1432</v>
      </c>
      <c r="G3264" s="19" t="s">
        <v>1799</v>
      </c>
      <c r="H3264" s="19" t="s">
        <v>404</v>
      </c>
      <c r="I3264" s="19" t="s">
        <v>955</v>
      </c>
      <c r="J3264" s="19">
        <v>0</v>
      </c>
      <c r="K3264" s="19" t="s">
        <v>662</v>
      </c>
      <c r="L3264" s="19">
        <v>2025</v>
      </c>
      <c r="M3264" s="20">
        <v>75</v>
      </c>
      <c r="N3264" s="19" t="s">
        <v>616</v>
      </c>
      <c r="O3264" s="20">
        <v>0</v>
      </c>
      <c r="P3264" s="20">
        <v>0</v>
      </c>
      <c r="Q3264" s="20">
        <v>0</v>
      </c>
      <c r="R3264" s="21">
        <v>0.92</v>
      </c>
      <c r="S3264" s="20">
        <v>0</v>
      </c>
    </row>
    <row r="3265" spans="2:19" ht="15" customHeight="1" x14ac:dyDescent="0.25">
      <c r="B3265" s="2" t="str">
        <f t="shared" si="100"/>
        <v>NSG_Business_Small/Mid-Size Business_Partner Trade Ally Rebate_Pipe Insulation_Steam - Small 1" to 2"_CI</v>
      </c>
      <c r="C3265" s="2" t="str">
        <f t="shared" si="101"/>
        <v>NSG_Business_Small/Mid-Size Business_Partner Trade Ally Rebate_Pipe Insulation_Steam - Small 1" to 2"_CI_2022</v>
      </c>
      <c r="D3265" s="19" t="s">
        <v>1787</v>
      </c>
      <c r="E3265" s="19" t="s">
        <v>3</v>
      </c>
      <c r="F3265" s="19" t="s">
        <v>1432</v>
      </c>
      <c r="G3265" s="19" t="s">
        <v>1799</v>
      </c>
      <c r="H3265" s="19" t="s">
        <v>404</v>
      </c>
      <c r="I3265" s="19" t="s">
        <v>956</v>
      </c>
      <c r="J3265" s="19">
        <v>0</v>
      </c>
      <c r="K3265" s="19" t="s">
        <v>1159</v>
      </c>
      <c r="L3265" s="19">
        <v>2022</v>
      </c>
      <c r="M3265" s="20">
        <v>75</v>
      </c>
      <c r="N3265" s="19" t="s">
        <v>616</v>
      </c>
      <c r="O3265" s="20">
        <v>3</v>
      </c>
      <c r="P3265" s="20">
        <v>225</v>
      </c>
      <c r="Q3265" s="20">
        <v>659.39347089292119</v>
      </c>
      <c r="R3265" s="21">
        <v>0.92</v>
      </c>
      <c r="S3265" s="20">
        <v>659.39347089292119</v>
      </c>
    </row>
    <row r="3266" spans="2:19" ht="15" customHeight="1" x14ac:dyDescent="0.25">
      <c r="B3266" s="2" t="str">
        <f t="shared" si="100"/>
        <v>NSG_Business_Small/Mid-Size Business_Partner Trade Ally Rebate_Pipe Insulation_Steam - Small 1" to 2"_CI</v>
      </c>
      <c r="C3266" s="2" t="str">
        <f t="shared" si="101"/>
        <v>NSG_Business_Small/Mid-Size Business_Partner Trade Ally Rebate_Pipe Insulation_Steam - Small 1" to 2"_CI_2023</v>
      </c>
      <c r="D3266" s="19" t="s">
        <v>1787</v>
      </c>
      <c r="E3266" s="19" t="s">
        <v>3</v>
      </c>
      <c r="F3266" s="19" t="s">
        <v>1432</v>
      </c>
      <c r="G3266" s="19" t="s">
        <v>1799</v>
      </c>
      <c r="H3266" s="19" t="s">
        <v>404</v>
      </c>
      <c r="I3266" s="19" t="s">
        <v>956</v>
      </c>
      <c r="J3266" s="19">
        <v>0</v>
      </c>
      <c r="K3266" s="19" t="s">
        <v>1159</v>
      </c>
      <c r="L3266" s="19">
        <v>2023</v>
      </c>
      <c r="M3266" s="20">
        <v>75</v>
      </c>
      <c r="N3266" s="19" t="s">
        <v>616</v>
      </c>
      <c r="O3266" s="20">
        <v>2</v>
      </c>
      <c r="P3266" s="20">
        <v>150</v>
      </c>
      <c r="Q3266" s="20">
        <v>439.59564726194748</v>
      </c>
      <c r="R3266" s="21">
        <v>0.92</v>
      </c>
      <c r="S3266" s="20">
        <v>439.59564726194748</v>
      </c>
    </row>
    <row r="3267" spans="2:19" ht="15" customHeight="1" x14ac:dyDescent="0.25">
      <c r="B3267" s="2" t="str">
        <f t="shared" si="100"/>
        <v>NSG_Business_Small/Mid-Size Business_Partner Trade Ally Rebate_Pipe Insulation_Steam - Small 1" to 2"_CI</v>
      </c>
      <c r="C3267" s="2" t="str">
        <f t="shared" si="101"/>
        <v>NSG_Business_Small/Mid-Size Business_Partner Trade Ally Rebate_Pipe Insulation_Steam - Small 1" to 2"_CI_2024</v>
      </c>
      <c r="D3267" s="19" t="s">
        <v>1787</v>
      </c>
      <c r="E3267" s="19" t="s">
        <v>3</v>
      </c>
      <c r="F3267" s="19" t="s">
        <v>1432</v>
      </c>
      <c r="G3267" s="19" t="s">
        <v>1799</v>
      </c>
      <c r="H3267" s="19" t="s">
        <v>404</v>
      </c>
      <c r="I3267" s="19" t="s">
        <v>956</v>
      </c>
      <c r="J3267" s="19">
        <v>0</v>
      </c>
      <c r="K3267" s="19" t="s">
        <v>1159</v>
      </c>
      <c r="L3267" s="19">
        <v>2024</v>
      </c>
      <c r="M3267" s="20">
        <v>75</v>
      </c>
      <c r="N3267" s="19" t="s">
        <v>616</v>
      </c>
      <c r="O3267" s="20">
        <v>2</v>
      </c>
      <c r="P3267" s="20">
        <v>150</v>
      </c>
      <c r="Q3267" s="20">
        <v>439.59564726194748</v>
      </c>
      <c r="R3267" s="21">
        <v>0.92</v>
      </c>
      <c r="S3267" s="20">
        <v>439.59564726194748</v>
      </c>
    </row>
    <row r="3268" spans="2:19" ht="15" customHeight="1" x14ac:dyDescent="0.25">
      <c r="B3268" s="2" t="str">
        <f t="shared" si="100"/>
        <v>NSG_Business_Small/Mid-Size Business_Partner Trade Ally Rebate_Pipe Insulation_Steam - Small 1" to 2"_CI</v>
      </c>
      <c r="C3268" s="2" t="str">
        <f t="shared" si="101"/>
        <v>NSG_Business_Small/Mid-Size Business_Partner Trade Ally Rebate_Pipe Insulation_Steam - Small 1" to 2"_CI_2025</v>
      </c>
      <c r="D3268" s="19" t="s">
        <v>1787</v>
      </c>
      <c r="E3268" s="19" t="s">
        <v>3</v>
      </c>
      <c r="F3268" s="19" t="s">
        <v>1432</v>
      </c>
      <c r="G3268" s="19" t="s">
        <v>1799</v>
      </c>
      <c r="H3268" s="19" t="s">
        <v>404</v>
      </c>
      <c r="I3268" s="19" t="s">
        <v>956</v>
      </c>
      <c r="J3268" s="19">
        <v>0</v>
      </c>
      <c r="K3268" s="19" t="s">
        <v>1159</v>
      </c>
      <c r="L3268" s="19">
        <v>2025</v>
      </c>
      <c r="M3268" s="20">
        <v>75</v>
      </c>
      <c r="N3268" s="19" t="s">
        <v>616</v>
      </c>
      <c r="O3268" s="20">
        <v>2</v>
      </c>
      <c r="P3268" s="20">
        <v>150</v>
      </c>
      <c r="Q3268" s="20">
        <v>439.59564726194748</v>
      </c>
      <c r="R3268" s="21">
        <v>0.92</v>
      </c>
      <c r="S3268" s="20">
        <v>439.59564726194748</v>
      </c>
    </row>
    <row r="3269" spans="2:19" ht="15" customHeight="1" x14ac:dyDescent="0.25">
      <c r="B3269" s="2" t="str">
        <f t="shared" si="100"/>
        <v>NSG_Business_Small/Mid-Size Business_Partner Trade Ally Rebate_Pipe Insulation_Steam - Med 2.1" to 5"_CI</v>
      </c>
      <c r="C3269" s="2" t="str">
        <f t="shared" si="101"/>
        <v>NSG_Business_Small/Mid-Size Business_Partner Trade Ally Rebate_Pipe Insulation_Steam - Med 2.1" to 5"_CI_2022</v>
      </c>
      <c r="D3269" s="19" t="s">
        <v>1787</v>
      </c>
      <c r="E3269" s="19" t="s">
        <v>3</v>
      </c>
      <c r="F3269" s="19" t="s">
        <v>1432</v>
      </c>
      <c r="G3269" s="19" t="s">
        <v>1799</v>
      </c>
      <c r="H3269" s="19" t="s">
        <v>404</v>
      </c>
      <c r="I3269" s="19" t="s">
        <v>957</v>
      </c>
      <c r="J3269" s="19">
        <v>0</v>
      </c>
      <c r="K3269" s="19" t="s">
        <v>1159</v>
      </c>
      <c r="L3269" s="19">
        <v>2022</v>
      </c>
      <c r="M3269" s="20">
        <v>75</v>
      </c>
      <c r="N3269" s="19" t="s">
        <v>616</v>
      </c>
      <c r="O3269" s="20">
        <v>4</v>
      </c>
      <c r="P3269" s="20">
        <v>300</v>
      </c>
      <c r="Q3269" s="20">
        <v>3535.8487193076576</v>
      </c>
      <c r="R3269" s="21">
        <v>0.92</v>
      </c>
      <c r="S3269" s="20">
        <v>3535.8487193076576</v>
      </c>
    </row>
    <row r="3270" spans="2:19" ht="15" customHeight="1" x14ac:dyDescent="0.25">
      <c r="B3270" s="2" t="str">
        <f t="shared" ref="B3270:B3333" si="102">D3270&amp;"_"&amp;E3270&amp;"_"&amp;F3270&amp;"_"&amp;G3270&amp;"_"&amp;H3270&amp;"_"&amp;I3270&amp;"_"&amp;K3270</f>
        <v>NSG_Business_Small/Mid-Size Business_Partner Trade Ally Rebate_Pipe Insulation_Steam - Med 2.1" to 5"_CI</v>
      </c>
      <c r="C3270" s="2" t="str">
        <f t="shared" ref="C3270:C3333" si="103">D3270&amp;"_"&amp;E3270&amp;"_"&amp;F3270&amp;"_"&amp;G3270&amp;"_"&amp;H3270&amp;"_"&amp;I3270&amp;"_"&amp;K3270&amp;"_"&amp;L3270</f>
        <v>NSG_Business_Small/Mid-Size Business_Partner Trade Ally Rebate_Pipe Insulation_Steam - Med 2.1" to 5"_CI_2023</v>
      </c>
      <c r="D3270" s="19" t="s">
        <v>1787</v>
      </c>
      <c r="E3270" s="19" t="s">
        <v>3</v>
      </c>
      <c r="F3270" s="19" t="s">
        <v>1432</v>
      </c>
      <c r="G3270" s="19" t="s">
        <v>1799</v>
      </c>
      <c r="H3270" s="19" t="s">
        <v>404</v>
      </c>
      <c r="I3270" s="19" t="s">
        <v>957</v>
      </c>
      <c r="J3270" s="19">
        <v>0</v>
      </c>
      <c r="K3270" s="19" t="s">
        <v>1159</v>
      </c>
      <c r="L3270" s="19">
        <v>2023</v>
      </c>
      <c r="M3270" s="20">
        <v>75</v>
      </c>
      <c r="N3270" s="19" t="s">
        <v>616</v>
      </c>
      <c r="O3270" s="20">
        <v>3</v>
      </c>
      <c r="P3270" s="20">
        <v>225</v>
      </c>
      <c r="Q3270" s="20">
        <v>2651.8865394807431</v>
      </c>
      <c r="R3270" s="21">
        <v>0.92</v>
      </c>
      <c r="S3270" s="20">
        <v>2651.8865394807431</v>
      </c>
    </row>
    <row r="3271" spans="2:19" ht="15" customHeight="1" x14ac:dyDescent="0.25">
      <c r="B3271" s="2" t="str">
        <f t="shared" si="102"/>
        <v>NSG_Business_Small/Mid-Size Business_Partner Trade Ally Rebate_Pipe Insulation_Steam - Med 2.1" to 5"_CI</v>
      </c>
      <c r="C3271" s="2" t="str">
        <f t="shared" si="103"/>
        <v>NSG_Business_Small/Mid-Size Business_Partner Trade Ally Rebate_Pipe Insulation_Steam - Med 2.1" to 5"_CI_2024</v>
      </c>
      <c r="D3271" s="19" t="s">
        <v>1787</v>
      </c>
      <c r="E3271" s="19" t="s">
        <v>3</v>
      </c>
      <c r="F3271" s="19" t="s">
        <v>1432</v>
      </c>
      <c r="G3271" s="19" t="s">
        <v>1799</v>
      </c>
      <c r="H3271" s="19" t="s">
        <v>404</v>
      </c>
      <c r="I3271" s="19" t="s">
        <v>957</v>
      </c>
      <c r="J3271" s="19">
        <v>0</v>
      </c>
      <c r="K3271" s="19" t="s">
        <v>1159</v>
      </c>
      <c r="L3271" s="19">
        <v>2024</v>
      </c>
      <c r="M3271" s="20">
        <v>75</v>
      </c>
      <c r="N3271" s="19" t="s">
        <v>616</v>
      </c>
      <c r="O3271" s="20">
        <v>3</v>
      </c>
      <c r="P3271" s="20">
        <v>225</v>
      </c>
      <c r="Q3271" s="20">
        <v>2651.8865394807431</v>
      </c>
      <c r="R3271" s="21">
        <v>0.92</v>
      </c>
      <c r="S3271" s="20">
        <v>2651.8865394807431</v>
      </c>
    </row>
    <row r="3272" spans="2:19" ht="15" customHeight="1" x14ac:dyDescent="0.25">
      <c r="B3272" s="2" t="str">
        <f t="shared" si="102"/>
        <v>NSG_Business_Small/Mid-Size Business_Partner Trade Ally Rebate_Pipe Insulation_Steam - Med 2.1" to 5"_CI</v>
      </c>
      <c r="C3272" s="2" t="str">
        <f t="shared" si="103"/>
        <v>NSG_Business_Small/Mid-Size Business_Partner Trade Ally Rebate_Pipe Insulation_Steam - Med 2.1" to 5"_CI_2025</v>
      </c>
      <c r="D3272" s="19" t="s">
        <v>1787</v>
      </c>
      <c r="E3272" s="19" t="s">
        <v>3</v>
      </c>
      <c r="F3272" s="19" t="s">
        <v>1432</v>
      </c>
      <c r="G3272" s="19" t="s">
        <v>1799</v>
      </c>
      <c r="H3272" s="19" t="s">
        <v>404</v>
      </c>
      <c r="I3272" s="19" t="s">
        <v>957</v>
      </c>
      <c r="J3272" s="19">
        <v>0</v>
      </c>
      <c r="K3272" s="19" t="s">
        <v>1159</v>
      </c>
      <c r="L3272" s="19">
        <v>2025</v>
      </c>
      <c r="M3272" s="20">
        <v>75</v>
      </c>
      <c r="N3272" s="19" t="s">
        <v>616</v>
      </c>
      <c r="O3272" s="20">
        <v>3</v>
      </c>
      <c r="P3272" s="20">
        <v>225</v>
      </c>
      <c r="Q3272" s="20">
        <v>2651.8865394807431</v>
      </c>
      <c r="R3272" s="21">
        <v>0.92</v>
      </c>
      <c r="S3272" s="20">
        <v>2651.8865394807431</v>
      </c>
    </row>
    <row r="3273" spans="2:19" ht="15" customHeight="1" x14ac:dyDescent="0.25">
      <c r="B3273" s="2" t="str">
        <f t="shared" si="102"/>
        <v>NSG_Business_Small/Mid-Size Business_Partner Trade Ally Rebate_Pipe Insulation_Steam - Large 5.1" to 8"_CI</v>
      </c>
      <c r="C3273" s="2" t="str">
        <f t="shared" si="103"/>
        <v>NSG_Business_Small/Mid-Size Business_Partner Trade Ally Rebate_Pipe Insulation_Steam - Large 5.1" to 8"_CI_2022</v>
      </c>
      <c r="D3273" s="19" t="s">
        <v>1787</v>
      </c>
      <c r="E3273" s="19" t="s">
        <v>3</v>
      </c>
      <c r="F3273" s="19" t="s">
        <v>1432</v>
      </c>
      <c r="G3273" s="19" t="s">
        <v>1799</v>
      </c>
      <c r="H3273" s="19" t="s">
        <v>404</v>
      </c>
      <c r="I3273" s="19" t="s">
        <v>958</v>
      </c>
      <c r="J3273" s="19">
        <v>0</v>
      </c>
      <c r="K3273" s="19" t="s">
        <v>1159</v>
      </c>
      <c r="L3273" s="19">
        <v>2022</v>
      </c>
      <c r="M3273" s="20">
        <v>75</v>
      </c>
      <c r="N3273" s="19" t="s">
        <v>616</v>
      </c>
      <c r="O3273" s="20">
        <v>2</v>
      </c>
      <c r="P3273" s="20">
        <v>150</v>
      </c>
      <c r="Q3273" s="20">
        <v>3449.9673768443013</v>
      </c>
      <c r="R3273" s="21">
        <v>0.92</v>
      </c>
      <c r="S3273" s="20">
        <v>3449.9673768443013</v>
      </c>
    </row>
    <row r="3274" spans="2:19" ht="15" customHeight="1" x14ac:dyDescent="0.25">
      <c r="B3274" s="2" t="str">
        <f t="shared" si="102"/>
        <v>NSG_Business_Small/Mid-Size Business_Partner Trade Ally Rebate_Pipe Insulation_Steam - Large 5.1" to 8"_CI</v>
      </c>
      <c r="C3274" s="2" t="str">
        <f t="shared" si="103"/>
        <v>NSG_Business_Small/Mid-Size Business_Partner Trade Ally Rebate_Pipe Insulation_Steam - Large 5.1" to 8"_CI_2023</v>
      </c>
      <c r="D3274" s="19" t="s">
        <v>1787</v>
      </c>
      <c r="E3274" s="19" t="s">
        <v>3</v>
      </c>
      <c r="F3274" s="19" t="s">
        <v>1432</v>
      </c>
      <c r="G3274" s="19" t="s">
        <v>1799</v>
      </c>
      <c r="H3274" s="19" t="s">
        <v>404</v>
      </c>
      <c r="I3274" s="19" t="s">
        <v>958</v>
      </c>
      <c r="J3274" s="19">
        <v>0</v>
      </c>
      <c r="K3274" s="19" t="s">
        <v>1159</v>
      </c>
      <c r="L3274" s="19">
        <v>2023</v>
      </c>
      <c r="M3274" s="20">
        <v>75</v>
      </c>
      <c r="N3274" s="19" t="s">
        <v>616</v>
      </c>
      <c r="O3274" s="20">
        <v>2</v>
      </c>
      <c r="P3274" s="20">
        <v>150</v>
      </c>
      <c r="Q3274" s="20">
        <v>3449.9673768443013</v>
      </c>
      <c r="R3274" s="21">
        <v>0.92</v>
      </c>
      <c r="S3274" s="20">
        <v>3449.9673768443013</v>
      </c>
    </row>
    <row r="3275" spans="2:19" ht="15" customHeight="1" x14ac:dyDescent="0.25">
      <c r="B3275" s="2" t="str">
        <f t="shared" si="102"/>
        <v>NSG_Business_Small/Mid-Size Business_Partner Trade Ally Rebate_Pipe Insulation_Steam - Large 5.1" to 8"_CI</v>
      </c>
      <c r="C3275" s="2" t="str">
        <f t="shared" si="103"/>
        <v>NSG_Business_Small/Mid-Size Business_Partner Trade Ally Rebate_Pipe Insulation_Steam - Large 5.1" to 8"_CI_2024</v>
      </c>
      <c r="D3275" s="19" t="s">
        <v>1787</v>
      </c>
      <c r="E3275" s="19" t="s">
        <v>3</v>
      </c>
      <c r="F3275" s="19" t="s">
        <v>1432</v>
      </c>
      <c r="G3275" s="19" t="s">
        <v>1799</v>
      </c>
      <c r="H3275" s="19" t="s">
        <v>404</v>
      </c>
      <c r="I3275" s="19" t="s">
        <v>958</v>
      </c>
      <c r="J3275" s="19">
        <v>0</v>
      </c>
      <c r="K3275" s="19" t="s">
        <v>1159</v>
      </c>
      <c r="L3275" s="19">
        <v>2024</v>
      </c>
      <c r="M3275" s="20">
        <v>75</v>
      </c>
      <c r="N3275" s="19" t="s">
        <v>616</v>
      </c>
      <c r="O3275" s="20">
        <v>2</v>
      </c>
      <c r="P3275" s="20">
        <v>150</v>
      </c>
      <c r="Q3275" s="20">
        <v>3449.9673768443013</v>
      </c>
      <c r="R3275" s="21">
        <v>0.92</v>
      </c>
      <c r="S3275" s="20">
        <v>3449.9673768443013</v>
      </c>
    </row>
    <row r="3276" spans="2:19" ht="15" customHeight="1" x14ac:dyDescent="0.25">
      <c r="B3276" s="2" t="str">
        <f t="shared" si="102"/>
        <v>NSG_Business_Small/Mid-Size Business_Partner Trade Ally Rebate_Pipe Insulation_Steam - Large 5.1" to 8"_CI</v>
      </c>
      <c r="C3276" s="2" t="str">
        <f t="shared" si="103"/>
        <v>NSG_Business_Small/Mid-Size Business_Partner Trade Ally Rebate_Pipe Insulation_Steam - Large 5.1" to 8"_CI_2025</v>
      </c>
      <c r="D3276" s="19" t="s">
        <v>1787</v>
      </c>
      <c r="E3276" s="19" t="s">
        <v>3</v>
      </c>
      <c r="F3276" s="19" t="s">
        <v>1432</v>
      </c>
      <c r="G3276" s="19" t="s">
        <v>1799</v>
      </c>
      <c r="H3276" s="19" t="s">
        <v>404</v>
      </c>
      <c r="I3276" s="19" t="s">
        <v>958</v>
      </c>
      <c r="J3276" s="19">
        <v>0</v>
      </c>
      <c r="K3276" s="19" t="s">
        <v>1159</v>
      </c>
      <c r="L3276" s="19">
        <v>2025</v>
      </c>
      <c r="M3276" s="20">
        <v>75</v>
      </c>
      <c r="N3276" s="19" t="s">
        <v>616</v>
      </c>
      <c r="O3276" s="20">
        <v>2</v>
      </c>
      <c r="P3276" s="20">
        <v>150</v>
      </c>
      <c r="Q3276" s="20">
        <v>3449.9673768443013</v>
      </c>
      <c r="R3276" s="21">
        <v>0.92</v>
      </c>
      <c r="S3276" s="20">
        <v>3449.9673768443013</v>
      </c>
    </row>
    <row r="3277" spans="2:19" ht="15" customHeight="1" x14ac:dyDescent="0.25">
      <c r="B3277" s="2" t="str">
        <f t="shared" si="102"/>
        <v>NSG_Business_Small/Mid-Size Business_Partner Trade Ally Rebate_Pipe Insulation_Steam - X-Large &gt;8"_CI</v>
      </c>
      <c r="C3277" s="2" t="str">
        <f t="shared" si="103"/>
        <v>NSG_Business_Small/Mid-Size Business_Partner Trade Ally Rebate_Pipe Insulation_Steam - X-Large &gt;8"_CI_2022</v>
      </c>
      <c r="D3277" s="19" t="s">
        <v>1787</v>
      </c>
      <c r="E3277" s="19" t="s">
        <v>3</v>
      </c>
      <c r="F3277" s="19" t="s">
        <v>1432</v>
      </c>
      <c r="G3277" s="19" t="s">
        <v>1799</v>
      </c>
      <c r="H3277" s="19" t="s">
        <v>404</v>
      </c>
      <c r="I3277" s="19" t="s">
        <v>960</v>
      </c>
      <c r="J3277" s="19">
        <v>0</v>
      </c>
      <c r="K3277" s="19" t="s">
        <v>1159</v>
      </c>
      <c r="L3277" s="19">
        <v>2022</v>
      </c>
      <c r="M3277" s="20">
        <v>75</v>
      </c>
      <c r="N3277" s="19" t="s">
        <v>616</v>
      </c>
      <c r="O3277" s="20">
        <v>1</v>
      </c>
      <c r="P3277" s="20">
        <v>75</v>
      </c>
      <c r="Q3277" s="20">
        <v>2482.9510597067892</v>
      </c>
      <c r="R3277" s="21">
        <v>0.92</v>
      </c>
      <c r="S3277" s="20">
        <v>2482.9510597067892</v>
      </c>
    </row>
    <row r="3278" spans="2:19" ht="15" customHeight="1" x14ac:dyDescent="0.25">
      <c r="B3278" s="2" t="str">
        <f t="shared" si="102"/>
        <v>NSG_Business_Small/Mid-Size Business_Partner Trade Ally Rebate_Pipe Insulation_Steam - X-Large &gt;8"_CI</v>
      </c>
      <c r="C3278" s="2" t="str">
        <f t="shared" si="103"/>
        <v>NSG_Business_Small/Mid-Size Business_Partner Trade Ally Rebate_Pipe Insulation_Steam - X-Large &gt;8"_CI_2023</v>
      </c>
      <c r="D3278" s="19" t="s">
        <v>1787</v>
      </c>
      <c r="E3278" s="19" t="s">
        <v>3</v>
      </c>
      <c r="F3278" s="19" t="s">
        <v>1432</v>
      </c>
      <c r="G3278" s="19" t="s">
        <v>1799</v>
      </c>
      <c r="H3278" s="19" t="s">
        <v>404</v>
      </c>
      <c r="I3278" s="19" t="s">
        <v>960</v>
      </c>
      <c r="J3278" s="19">
        <v>0</v>
      </c>
      <c r="K3278" s="19" t="s">
        <v>1159</v>
      </c>
      <c r="L3278" s="19">
        <v>2023</v>
      </c>
      <c r="M3278" s="20">
        <v>75</v>
      </c>
      <c r="N3278" s="19" t="s">
        <v>616</v>
      </c>
      <c r="O3278" s="20">
        <v>1</v>
      </c>
      <c r="P3278" s="20">
        <v>75</v>
      </c>
      <c r="Q3278" s="20">
        <v>2482.9510597067892</v>
      </c>
      <c r="R3278" s="21">
        <v>0.92</v>
      </c>
      <c r="S3278" s="20">
        <v>2482.9510597067892</v>
      </c>
    </row>
    <row r="3279" spans="2:19" ht="15" customHeight="1" x14ac:dyDescent="0.25">
      <c r="B3279" s="2" t="str">
        <f t="shared" si="102"/>
        <v>NSG_Business_Small/Mid-Size Business_Partner Trade Ally Rebate_Pipe Insulation_Steam - X-Large &gt;8"_CI</v>
      </c>
      <c r="C3279" s="2" t="str">
        <f t="shared" si="103"/>
        <v>NSG_Business_Small/Mid-Size Business_Partner Trade Ally Rebate_Pipe Insulation_Steam - X-Large &gt;8"_CI_2024</v>
      </c>
      <c r="D3279" s="19" t="s">
        <v>1787</v>
      </c>
      <c r="E3279" s="19" t="s">
        <v>3</v>
      </c>
      <c r="F3279" s="19" t="s">
        <v>1432</v>
      </c>
      <c r="G3279" s="19" t="s">
        <v>1799</v>
      </c>
      <c r="H3279" s="19" t="s">
        <v>404</v>
      </c>
      <c r="I3279" s="19" t="s">
        <v>960</v>
      </c>
      <c r="J3279" s="19">
        <v>0</v>
      </c>
      <c r="K3279" s="19" t="s">
        <v>1159</v>
      </c>
      <c r="L3279" s="19">
        <v>2024</v>
      </c>
      <c r="M3279" s="20">
        <v>75</v>
      </c>
      <c r="N3279" s="19" t="s">
        <v>616</v>
      </c>
      <c r="O3279" s="20">
        <v>1</v>
      </c>
      <c r="P3279" s="20">
        <v>75</v>
      </c>
      <c r="Q3279" s="20">
        <v>2482.9510597067892</v>
      </c>
      <c r="R3279" s="21">
        <v>0.92</v>
      </c>
      <c r="S3279" s="20">
        <v>2482.9510597067892</v>
      </c>
    </row>
    <row r="3280" spans="2:19" ht="15" customHeight="1" x14ac:dyDescent="0.25">
      <c r="B3280" s="2" t="str">
        <f t="shared" si="102"/>
        <v>NSG_Business_Small/Mid-Size Business_Partner Trade Ally Rebate_Pipe Insulation_Steam - X-Large &gt;8"_CI</v>
      </c>
      <c r="C3280" s="2" t="str">
        <f t="shared" si="103"/>
        <v>NSG_Business_Small/Mid-Size Business_Partner Trade Ally Rebate_Pipe Insulation_Steam - X-Large &gt;8"_CI_2025</v>
      </c>
      <c r="D3280" s="19" t="s">
        <v>1787</v>
      </c>
      <c r="E3280" s="19" t="s">
        <v>3</v>
      </c>
      <c r="F3280" s="19" t="s">
        <v>1432</v>
      </c>
      <c r="G3280" s="19" t="s">
        <v>1799</v>
      </c>
      <c r="H3280" s="19" t="s">
        <v>404</v>
      </c>
      <c r="I3280" s="19" t="s">
        <v>960</v>
      </c>
      <c r="J3280" s="19">
        <v>0</v>
      </c>
      <c r="K3280" s="19" t="s">
        <v>1159</v>
      </c>
      <c r="L3280" s="19">
        <v>2025</v>
      </c>
      <c r="M3280" s="20">
        <v>75</v>
      </c>
      <c r="N3280" s="19" t="s">
        <v>616</v>
      </c>
      <c r="O3280" s="20">
        <v>1</v>
      </c>
      <c r="P3280" s="20">
        <v>75</v>
      </c>
      <c r="Q3280" s="20">
        <v>2482.9510597067892</v>
      </c>
      <c r="R3280" s="21">
        <v>0.92</v>
      </c>
      <c r="S3280" s="20">
        <v>2482.9510597067892</v>
      </c>
    </row>
    <row r="3281" spans="2:19" ht="15" customHeight="1" x14ac:dyDescent="0.25">
      <c r="B3281" s="2" t="str">
        <f t="shared" si="102"/>
        <v>NSG_Business_Small/Mid-Size Business_Partner Trade Ally Rebate_Pipe Insulation_Steam Med Fitting_CI</v>
      </c>
      <c r="C3281" s="2" t="str">
        <f t="shared" si="103"/>
        <v>NSG_Business_Small/Mid-Size Business_Partner Trade Ally Rebate_Pipe Insulation_Steam Med Fitting_CI_2022</v>
      </c>
      <c r="D3281" s="19" t="s">
        <v>1787</v>
      </c>
      <c r="E3281" s="19" t="s">
        <v>3</v>
      </c>
      <c r="F3281" s="19" t="s">
        <v>1432</v>
      </c>
      <c r="G3281" s="19" t="s">
        <v>1799</v>
      </c>
      <c r="H3281" s="19" t="s">
        <v>404</v>
      </c>
      <c r="I3281" s="19" t="s">
        <v>962</v>
      </c>
      <c r="J3281" s="19">
        <v>0</v>
      </c>
      <c r="K3281" s="19" t="s">
        <v>1159</v>
      </c>
      <c r="L3281" s="19">
        <v>2022</v>
      </c>
      <c r="M3281" s="20">
        <v>1</v>
      </c>
      <c r="N3281" s="19" t="s">
        <v>1798</v>
      </c>
      <c r="O3281" s="20">
        <v>0</v>
      </c>
      <c r="P3281" s="20">
        <v>0</v>
      </c>
      <c r="Q3281" s="20">
        <v>0</v>
      </c>
      <c r="R3281" s="21">
        <v>0.92</v>
      </c>
      <c r="S3281" s="20">
        <v>0</v>
      </c>
    </row>
    <row r="3282" spans="2:19" ht="15" customHeight="1" x14ac:dyDescent="0.25">
      <c r="B3282" s="2" t="str">
        <f t="shared" si="102"/>
        <v>NSG_Business_Small/Mid-Size Business_Partner Trade Ally Rebate_Pipe Insulation_Steam Med Fitting_CI</v>
      </c>
      <c r="C3282" s="2" t="str">
        <f t="shared" si="103"/>
        <v>NSG_Business_Small/Mid-Size Business_Partner Trade Ally Rebate_Pipe Insulation_Steam Med Fitting_CI_2023</v>
      </c>
      <c r="D3282" s="19" t="s">
        <v>1787</v>
      </c>
      <c r="E3282" s="19" t="s">
        <v>3</v>
      </c>
      <c r="F3282" s="19" t="s">
        <v>1432</v>
      </c>
      <c r="G3282" s="19" t="s">
        <v>1799</v>
      </c>
      <c r="H3282" s="19" t="s">
        <v>404</v>
      </c>
      <c r="I3282" s="19" t="s">
        <v>962</v>
      </c>
      <c r="J3282" s="19">
        <v>0</v>
      </c>
      <c r="K3282" s="19" t="s">
        <v>1159</v>
      </c>
      <c r="L3282" s="19">
        <v>2023</v>
      </c>
      <c r="M3282" s="20">
        <v>1</v>
      </c>
      <c r="N3282" s="19" t="s">
        <v>1798</v>
      </c>
      <c r="O3282" s="20">
        <v>0</v>
      </c>
      <c r="P3282" s="20">
        <v>0</v>
      </c>
      <c r="Q3282" s="20">
        <v>0</v>
      </c>
      <c r="R3282" s="21">
        <v>0.92</v>
      </c>
      <c r="S3282" s="20">
        <v>0</v>
      </c>
    </row>
    <row r="3283" spans="2:19" ht="15" customHeight="1" x14ac:dyDescent="0.25">
      <c r="B3283" s="2" t="str">
        <f t="shared" si="102"/>
        <v>NSG_Business_Small/Mid-Size Business_Partner Trade Ally Rebate_Pipe Insulation_Steam Med Fitting_CI</v>
      </c>
      <c r="C3283" s="2" t="str">
        <f t="shared" si="103"/>
        <v>NSG_Business_Small/Mid-Size Business_Partner Trade Ally Rebate_Pipe Insulation_Steam Med Fitting_CI_2024</v>
      </c>
      <c r="D3283" s="19" t="s">
        <v>1787</v>
      </c>
      <c r="E3283" s="19" t="s">
        <v>3</v>
      </c>
      <c r="F3283" s="19" t="s">
        <v>1432</v>
      </c>
      <c r="G3283" s="19" t="s">
        <v>1799</v>
      </c>
      <c r="H3283" s="19" t="s">
        <v>404</v>
      </c>
      <c r="I3283" s="19" t="s">
        <v>962</v>
      </c>
      <c r="J3283" s="19">
        <v>0</v>
      </c>
      <c r="K3283" s="19" t="s">
        <v>1159</v>
      </c>
      <c r="L3283" s="19">
        <v>2024</v>
      </c>
      <c r="M3283" s="20">
        <v>1</v>
      </c>
      <c r="N3283" s="19" t="s">
        <v>1798</v>
      </c>
      <c r="O3283" s="20">
        <v>0</v>
      </c>
      <c r="P3283" s="20">
        <v>0</v>
      </c>
      <c r="Q3283" s="20">
        <v>0</v>
      </c>
      <c r="R3283" s="21">
        <v>0.92</v>
      </c>
      <c r="S3283" s="20">
        <v>0</v>
      </c>
    </row>
    <row r="3284" spans="2:19" ht="15" customHeight="1" x14ac:dyDescent="0.25">
      <c r="B3284" s="2" t="str">
        <f t="shared" si="102"/>
        <v>NSG_Business_Small/Mid-Size Business_Partner Trade Ally Rebate_Pipe Insulation_Steam Med Fitting_CI</v>
      </c>
      <c r="C3284" s="2" t="str">
        <f t="shared" si="103"/>
        <v>NSG_Business_Small/Mid-Size Business_Partner Trade Ally Rebate_Pipe Insulation_Steam Med Fitting_CI_2025</v>
      </c>
      <c r="D3284" s="19" t="s">
        <v>1787</v>
      </c>
      <c r="E3284" s="19" t="s">
        <v>3</v>
      </c>
      <c r="F3284" s="19" t="s">
        <v>1432</v>
      </c>
      <c r="G3284" s="19" t="s">
        <v>1799</v>
      </c>
      <c r="H3284" s="19" t="s">
        <v>404</v>
      </c>
      <c r="I3284" s="19" t="s">
        <v>962</v>
      </c>
      <c r="J3284" s="19">
        <v>0</v>
      </c>
      <c r="K3284" s="19" t="s">
        <v>1159</v>
      </c>
      <c r="L3284" s="19">
        <v>2025</v>
      </c>
      <c r="M3284" s="20">
        <v>1</v>
      </c>
      <c r="N3284" s="19" t="s">
        <v>1798</v>
      </c>
      <c r="O3284" s="20">
        <v>0</v>
      </c>
      <c r="P3284" s="20">
        <v>0</v>
      </c>
      <c r="Q3284" s="20">
        <v>0</v>
      </c>
      <c r="R3284" s="21">
        <v>0.92</v>
      </c>
      <c r="S3284" s="20">
        <v>0</v>
      </c>
    </row>
    <row r="3285" spans="2:19" ht="15" customHeight="1" x14ac:dyDescent="0.25">
      <c r="B3285" s="2" t="str">
        <f t="shared" si="102"/>
        <v>NSG_Business_Small/Mid-Size Business_Partner Trade Ally Rebate_Pipe Insulation_Steam Large Fitting_CI</v>
      </c>
      <c r="C3285" s="2" t="str">
        <f t="shared" si="103"/>
        <v>NSG_Business_Small/Mid-Size Business_Partner Trade Ally Rebate_Pipe Insulation_Steam Large Fitting_CI_2022</v>
      </c>
      <c r="D3285" s="19" t="s">
        <v>1787</v>
      </c>
      <c r="E3285" s="19" t="s">
        <v>3</v>
      </c>
      <c r="F3285" s="19" t="s">
        <v>1432</v>
      </c>
      <c r="G3285" s="19" t="s">
        <v>1799</v>
      </c>
      <c r="H3285" s="19" t="s">
        <v>404</v>
      </c>
      <c r="I3285" s="19" t="s">
        <v>963</v>
      </c>
      <c r="J3285" s="19">
        <v>0</v>
      </c>
      <c r="K3285" s="19" t="s">
        <v>1159</v>
      </c>
      <c r="L3285" s="19">
        <v>2022</v>
      </c>
      <c r="M3285" s="20">
        <v>1</v>
      </c>
      <c r="N3285" s="19" t="s">
        <v>1798</v>
      </c>
      <c r="O3285" s="20">
        <v>0</v>
      </c>
      <c r="P3285" s="20">
        <v>0</v>
      </c>
      <c r="Q3285" s="20">
        <v>0</v>
      </c>
      <c r="R3285" s="21">
        <v>0.92</v>
      </c>
      <c r="S3285" s="20">
        <v>0</v>
      </c>
    </row>
    <row r="3286" spans="2:19" ht="15" customHeight="1" x14ac:dyDescent="0.25">
      <c r="B3286" s="2" t="str">
        <f t="shared" si="102"/>
        <v>NSG_Business_Small/Mid-Size Business_Partner Trade Ally Rebate_Pipe Insulation_Steam Large Fitting_CI</v>
      </c>
      <c r="C3286" s="2" t="str">
        <f t="shared" si="103"/>
        <v>NSG_Business_Small/Mid-Size Business_Partner Trade Ally Rebate_Pipe Insulation_Steam Large Fitting_CI_2023</v>
      </c>
      <c r="D3286" s="19" t="s">
        <v>1787</v>
      </c>
      <c r="E3286" s="19" t="s">
        <v>3</v>
      </c>
      <c r="F3286" s="19" t="s">
        <v>1432</v>
      </c>
      <c r="G3286" s="19" t="s">
        <v>1799</v>
      </c>
      <c r="H3286" s="19" t="s">
        <v>404</v>
      </c>
      <c r="I3286" s="19" t="s">
        <v>963</v>
      </c>
      <c r="J3286" s="19">
        <v>0</v>
      </c>
      <c r="K3286" s="19" t="s">
        <v>1159</v>
      </c>
      <c r="L3286" s="19">
        <v>2023</v>
      </c>
      <c r="M3286" s="20">
        <v>1</v>
      </c>
      <c r="N3286" s="19" t="s">
        <v>1798</v>
      </c>
      <c r="O3286" s="20">
        <v>0</v>
      </c>
      <c r="P3286" s="20">
        <v>0</v>
      </c>
      <c r="Q3286" s="20">
        <v>0</v>
      </c>
      <c r="R3286" s="21">
        <v>0.92</v>
      </c>
      <c r="S3286" s="20">
        <v>0</v>
      </c>
    </row>
    <row r="3287" spans="2:19" ht="15" customHeight="1" x14ac:dyDescent="0.25">
      <c r="B3287" s="2" t="str">
        <f t="shared" si="102"/>
        <v>NSG_Business_Small/Mid-Size Business_Partner Trade Ally Rebate_Pipe Insulation_Steam Large Fitting_CI</v>
      </c>
      <c r="C3287" s="2" t="str">
        <f t="shared" si="103"/>
        <v>NSG_Business_Small/Mid-Size Business_Partner Trade Ally Rebate_Pipe Insulation_Steam Large Fitting_CI_2024</v>
      </c>
      <c r="D3287" s="19" t="s">
        <v>1787</v>
      </c>
      <c r="E3287" s="19" t="s">
        <v>3</v>
      </c>
      <c r="F3287" s="19" t="s">
        <v>1432</v>
      </c>
      <c r="G3287" s="19" t="s">
        <v>1799</v>
      </c>
      <c r="H3287" s="19" t="s">
        <v>404</v>
      </c>
      <c r="I3287" s="19" t="s">
        <v>963</v>
      </c>
      <c r="J3287" s="19">
        <v>0</v>
      </c>
      <c r="K3287" s="19" t="s">
        <v>1159</v>
      </c>
      <c r="L3287" s="19">
        <v>2024</v>
      </c>
      <c r="M3287" s="20">
        <v>1</v>
      </c>
      <c r="N3287" s="19" t="s">
        <v>1798</v>
      </c>
      <c r="O3287" s="20">
        <v>0</v>
      </c>
      <c r="P3287" s="20">
        <v>0</v>
      </c>
      <c r="Q3287" s="20">
        <v>0</v>
      </c>
      <c r="R3287" s="21">
        <v>0.92</v>
      </c>
      <c r="S3287" s="20">
        <v>0</v>
      </c>
    </row>
    <row r="3288" spans="2:19" ht="15" customHeight="1" x14ac:dyDescent="0.25">
      <c r="B3288" s="2" t="str">
        <f t="shared" si="102"/>
        <v>NSG_Business_Small/Mid-Size Business_Partner Trade Ally Rebate_Pipe Insulation_Steam Large Fitting_CI</v>
      </c>
      <c r="C3288" s="2" t="str">
        <f t="shared" si="103"/>
        <v>NSG_Business_Small/Mid-Size Business_Partner Trade Ally Rebate_Pipe Insulation_Steam Large Fitting_CI_2025</v>
      </c>
      <c r="D3288" s="19" t="s">
        <v>1787</v>
      </c>
      <c r="E3288" s="19" t="s">
        <v>3</v>
      </c>
      <c r="F3288" s="19" t="s">
        <v>1432</v>
      </c>
      <c r="G3288" s="19" t="s">
        <v>1799</v>
      </c>
      <c r="H3288" s="19" t="s">
        <v>404</v>
      </c>
      <c r="I3288" s="19" t="s">
        <v>963</v>
      </c>
      <c r="J3288" s="19">
        <v>0</v>
      </c>
      <c r="K3288" s="19" t="s">
        <v>1159</v>
      </c>
      <c r="L3288" s="19">
        <v>2025</v>
      </c>
      <c r="M3288" s="20">
        <v>1</v>
      </c>
      <c r="N3288" s="19" t="s">
        <v>1798</v>
      </c>
      <c r="O3288" s="20">
        <v>0</v>
      </c>
      <c r="P3288" s="20">
        <v>0</v>
      </c>
      <c r="Q3288" s="20">
        <v>0</v>
      </c>
      <c r="R3288" s="21">
        <v>0.92</v>
      </c>
      <c r="S3288" s="20">
        <v>0</v>
      </c>
    </row>
    <row r="3289" spans="2:19" ht="15" customHeight="1" x14ac:dyDescent="0.25">
      <c r="B3289" s="2" t="str">
        <f t="shared" si="102"/>
        <v>NSG_Business_Small/Mid-Size Business_Partner Trade Ally Rebate_Pipe Insulation_Steam X-Large Fitting_CI</v>
      </c>
      <c r="C3289" s="2" t="str">
        <f t="shared" si="103"/>
        <v>NSG_Business_Small/Mid-Size Business_Partner Trade Ally Rebate_Pipe Insulation_Steam X-Large Fitting_CI_2022</v>
      </c>
      <c r="D3289" s="19" t="s">
        <v>1787</v>
      </c>
      <c r="E3289" s="19" t="s">
        <v>3</v>
      </c>
      <c r="F3289" s="19" t="s">
        <v>1432</v>
      </c>
      <c r="G3289" s="19" t="s">
        <v>1799</v>
      </c>
      <c r="H3289" s="19" t="s">
        <v>404</v>
      </c>
      <c r="I3289" s="19" t="s">
        <v>964</v>
      </c>
      <c r="J3289" s="19">
        <v>0</v>
      </c>
      <c r="K3289" s="19" t="s">
        <v>1159</v>
      </c>
      <c r="L3289" s="19">
        <v>2022</v>
      </c>
      <c r="M3289" s="20">
        <v>1</v>
      </c>
      <c r="N3289" s="19" t="s">
        <v>1798</v>
      </c>
      <c r="O3289" s="20">
        <v>0</v>
      </c>
      <c r="P3289" s="20">
        <v>0</v>
      </c>
      <c r="Q3289" s="20">
        <v>0</v>
      </c>
      <c r="R3289" s="21">
        <v>0.92</v>
      </c>
      <c r="S3289" s="20">
        <v>0</v>
      </c>
    </row>
    <row r="3290" spans="2:19" ht="15" customHeight="1" x14ac:dyDescent="0.25">
      <c r="B3290" s="2" t="str">
        <f t="shared" si="102"/>
        <v>NSG_Business_Small/Mid-Size Business_Partner Trade Ally Rebate_Pipe Insulation_Steam X-Large Fitting_CI</v>
      </c>
      <c r="C3290" s="2" t="str">
        <f t="shared" si="103"/>
        <v>NSG_Business_Small/Mid-Size Business_Partner Trade Ally Rebate_Pipe Insulation_Steam X-Large Fitting_CI_2023</v>
      </c>
      <c r="D3290" s="19" t="s">
        <v>1787</v>
      </c>
      <c r="E3290" s="19" t="s">
        <v>3</v>
      </c>
      <c r="F3290" s="19" t="s">
        <v>1432</v>
      </c>
      <c r="G3290" s="19" t="s">
        <v>1799</v>
      </c>
      <c r="H3290" s="19" t="s">
        <v>404</v>
      </c>
      <c r="I3290" s="19" t="s">
        <v>964</v>
      </c>
      <c r="J3290" s="19">
        <v>0</v>
      </c>
      <c r="K3290" s="19" t="s">
        <v>1159</v>
      </c>
      <c r="L3290" s="19">
        <v>2023</v>
      </c>
      <c r="M3290" s="20">
        <v>1</v>
      </c>
      <c r="N3290" s="19" t="s">
        <v>1798</v>
      </c>
      <c r="O3290" s="20">
        <v>0</v>
      </c>
      <c r="P3290" s="20">
        <v>0</v>
      </c>
      <c r="Q3290" s="20">
        <v>0</v>
      </c>
      <c r="R3290" s="21">
        <v>0.92</v>
      </c>
      <c r="S3290" s="20">
        <v>0</v>
      </c>
    </row>
    <row r="3291" spans="2:19" ht="15" customHeight="1" x14ac:dyDescent="0.25">
      <c r="B3291" s="2" t="str">
        <f t="shared" si="102"/>
        <v>NSG_Business_Small/Mid-Size Business_Partner Trade Ally Rebate_Pipe Insulation_Steam X-Large Fitting_CI</v>
      </c>
      <c r="C3291" s="2" t="str">
        <f t="shared" si="103"/>
        <v>NSG_Business_Small/Mid-Size Business_Partner Trade Ally Rebate_Pipe Insulation_Steam X-Large Fitting_CI_2024</v>
      </c>
      <c r="D3291" s="19" t="s">
        <v>1787</v>
      </c>
      <c r="E3291" s="19" t="s">
        <v>3</v>
      </c>
      <c r="F3291" s="19" t="s">
        <v>1432</v>
      </c>
      <c r="G3291" s="19" t="s">
        <v>1799</v>
      </c>
      <c r="H3291" s="19" t="s">
        <v>404</v>
      </c>
      <c r="I3291" s="19" t="s">
        <v>964</v>
      </c>
      <c r="J3291" s="19">
        <v>0</v>
      </c>
      <c r="K3291" s="19" t="s">
        <v>1159</v>
      </c>
      <c r="L3291" s="19">
        <v>2024</v>
      </c>
      <c r="M3291" s="20">
        <v>1</v>
      </c>
      <c r="N3291" s="19" t="s">
        <v>1798</v>
      </c>
      <c r="O3291" s="20">
        <v>0</v>
      </c>
      <c r="P3291" s="20">
        <v>0</v>
      </c>
      <c r="Q3291" s="20">
        <v>0</v>
      </c>
      <c r="R3291" s="21">
        <v>0.92</v>
      </c>
      <c r="S3291" s="20">
        <v>0</v>
      </c>
    </row>
    <row r="3292" spans="2:19" ht="15" customHeight="1" x14ac:dyDescent="0.25">
      <c r="B3292" s="2" t="str">
        <f t="shared" si="102"/>
        <v>NSG_Business_Small/Mid-Size Business_Partner Trade Ally Rebate_Pipe Insulation_Steam X-Large Fitting_CI</v>
      </c>
      <c r="C3292" s="2" t="str">
        <f t="shared" si="103"/>
        <v>NSG_Business_Small/Mid-Size Business_Partner Trade Ally Rebate_Pipe Insulation_Steam X-Large Fitting_CI_2025</v>
      </c>
      <c r="D3292" s="19" t="s">
        <v>1787</v>
      </c>
      <c r="E3292" s="19" t="s">
        <v>3</v>
      </c>
      <c r="F3292" s="19" t="s">
        <v>1432</v>
      </c>
      <c r="G3292" s="19" t="s">
        <v>1799</v>
      </c>
      <c r="H3292" s="19" t="s">
        <v>404</v>
      </c>
      <c r="I3292" s="19" t="s">
        <v>964</v>
      </c>
      <c r="J3292" s="19">
        <v>0</v>
      </c>
      <c r="K3292" s="19" t="s">
        <v>1159</v>
      </c>
      <c r="L3292" s="19">
        <v>2025</v>
      </c>
      <c r="M3292" s="20">
        <v>1</v>
      </c>
      <c r="N3292" s="19" t="s">
        <v>1798</v>
      </c>
      <c r="O3292" s="20">
        <v>0</v>
      </c>
      <c r="P3292" s="20">
        <v>0</v>
      </c>
      <c r="Q3292" s="20">
        <v>0</v>
      </c>
      <c r="R3292" s="21">
        <v>0.92</v>
      </c>
      <c r="S3292" s="20">
        <v>0</v>
      </c>
    </row>
    <row r="3293" spans="2:19" ht="15" customHeight="1" x14ac:dyDescent="0.25">
      <c r="B3293" s="2" t="str">
        <f t="shared" si="102"/>
        <v>NSG_Business_Small/Mid-Size Business_Partner Trade Ally Rebate_Pipe Insulation_Steam Med Valve_CI</v>
      </c>
      <c r="C3293" s="2" t="str">
        <f t="shared" si="103"/>
        <v>NSG_Business_Small/Mid-Size Business_Partner Trade Ally Rebate_Pipe Insulation_Steam Med Valve_CI_2022</v>
      </c>
      <c r="D3293" s="19" t="s">
        <v>1787</v>
      </c>
      <c r="E3293" s="19" t="s">
        <v>3</v>
      </c>
      <c r="F3293" s="19" t="s">
        <v>1432</v>
      </c>
      <c r="G3293" s="19" t="s">
        <v>1799</v>
      </c>
      <c r="H3293" s="19" t="s">
        <v>404</v>
      </c>
      <c r="I3293" s="19" t="s">
        <v>966</v>
      </c>
      <c r="J3293" s="19">
        <v>0</v>
      </c>
      <c r="K3293" s="19" t="s">
        <v>1159</v>
      </c>
      <c r="L3293" s="19">
        <v>2022</v>
      </c>
      <c r="M3293" s="20">
        <v>1</v>
      </c>
      <c r="N3293" s="19" t="s">
        <v>1798</v>
      </c>
      <c r="O3293" s="20">
        <v>0</v>
      </c>
      <c r="P3293" s="20">
        <v>0</v>
      </c>
      <c r="Q3293" s="20">
        <v>0</v>
      </c>
      <c r="R3293" s="21">
        <v>0.92</v>
      </c>
      <c r="S3293" s="20">
        <v>0</v>
      </c>
    </row>
    <row r="3294" spans="2:19" ht="15" customHeight="1" x14ac:dyDescent="0.25">
      <c r="B3294" s="2" t="str">
        <f t="shared" si="102"/>
        <v>NSG_Business_Small/Mid-Size Business_Partner Trade Ally Rebate_Pipe Insulation_Steam Med Valve_CI</v>
      </c>
      <c r="C3294" s="2" t="str">
        <f t="shared" si="103"/>
        <v>NSG_Business_Small/Mid-Size Business_Partner Trade Ally Rebate_Pipe Insulation_Steam Med Valve_CI_2023</v>
      </c>
      <c r="D3294" s="19" t="s">
        <v>1787</v>
      </c>
      <c r="E3294" s="19" t="s">
        <v>3</v>
      </c>
      <c r="F3294" s="19" t="s">
        <v>1432</v>
      </c>
      <c r="G3294" s="19" t="s">
        <v>1799</v>
      </c>
      <c r="H3294" s="19" t="s">
        <v>404</v>
      </c>
      <c r="I3294" s="19" t="s">
        <v>966</v>
      </c>
      <c r="J3294" s="19">
        <v>0</v>
      </c>
      <c r="K3294" s="19" t="s">
        <v>1159</v>
      </c>
      <c r="L3294" s="19">
        <v>2023</v>
      </c>
      <c r="M3294" s="20">
        <v>1</v>
      </c>
      <c r="N3294" s="19" t="s">
        <v>1798</v>
      </c>
      <c r="O3294" s="20">
        <v>0</v>
      </c>
      <c r="P3294" s="20">
        <v>0</v>
      </c>
      <c r="Q3294" s="20">
        <v>0</v>
      </c>
      <c r="R3294" s="21">
        <v>0.92</v>
      </c>
      <c r="S3294" s="20">
        <v>0</v>
      </c>
    </row>
    <row r="3295" spans="2:19" ht="15" customHeight="1" x14ac:dyDescent="0.25">
      <c r="B3295" s="2" t="str">
        <f t="shared" si="102"/>
        <v>NSG_Business_Small/Mid-Size Business_Partner Trade Ally Rebate_Pipe Insulation_Steam Med Valve_CI</v>
      </c>
      <c r="C3295" s="2" t="str">
        <f t="shared" si="103"/>
        <v>NSG_Business_Small/Mid-Size Business_Partner Trade Ally Rebate_Pipe Insulation_Steam Med Valve_CI_2024</v>
      </c>
      <c r="D3295" s="19" t="s">
        <v>1787</v>
      </c>
      <c r="E3295" s="19" t="s">
        <v>3</v>
      </c>
      <c r="F3295" s="19" t="s">
        <v>1432</v>
      </c>
      <c r="G3295" s="19" t="s">
        <v>1799</v>
      </c>
      <c r="H3295" s="19" t="s">
        <v>404</v>
      </c>
      <c r="I3295" s="19" t="s">
        <v>966</v>
      </c>
      <c r="J3295" s="19">
        <v>0</v>
      </c>
      <c r="K3295" s="19" t="s">
        <v>1159</v>
      </c>
      <c r="L3295" s="19">
        <v>2024</v>
      </c>
      <c r="M3295" s="20">
        <v>1</v>
      </c>
      <c r="N3295" s="19" t="s">
        <v>1798</v>
      </c>
      <c r="O3295" s="20">
        <v>0</v>
      </c>
      <c r="P3295" s="20">
        <v>0</v>
      </c>
      <c r="Q3295" s="20">
        <v>0</v>
      </c>
      <c r="R3295" s="21">
        <v>0.92</v>
      </c>
      <c r="S3295" s="20">
        <v>0</v>
      </c>
    </row>
    <row r="3296" spans="2:19" ht="15" customHeight="1" x14ac:dyDescent="0.25">
      <c r="B3296" s="2" t="str">
        <f t="shared" si="102"/>
        <v>NSG_Business_Small/Mid-Size Business_Partner Trade Ally Rebate_Pipe Insulation_Steam Med Valve_CI</v>
      </c>
      <c r="C3296" s="2" t="str">
        <f t="shared" si="103"/>
        <v>NSG_Business_Small/Mid-Size Business_Partner Trade Ally Rebate_Pipe Insulation_Steam Med Valve_CI_2025</v>
      </c>
      <c r="D3296" s="19" t="s">
        <v>1787</v>
      </c>
      <c r="E3296" s="19" t="s">
        <v>3</v>
      </c>
      <c r="F3296" s="19" t="s">
        <v>1432</v>
      </c>
      <c r="G3296" s="19" t="s">
        <v>1799</v>
      </c>
      <c r="H3296" s="19" t="s">
        <v>404</v>
      </c>
      <c r="I3296" s="19" t="s">
        <v>966</v>
      </c>
      <c r="J3296" s="19">
        <v>0</v>
      </c>
      <c r="K3296" s="19" t="s">
        <v>1159</v>
      </c>
      <c r="L3296" s="19">
        <v>2025</v>
      </c>
      <c r="M3296" s="20">
        <v>1</v>
      </c>
      <c r="N3296" s="19" t="s">
        <v>1798</v>
      </c>
      <c r="O3296" s="20">
        <v>0</v>
      </c>
      <c r="P3296" s="20">
        <v>0</v>
      </c>
      <c r="Q3296" s="20">
        <v>0</v>
      </c>
      <c r="R3296" s="21">
        <v>0.92</v>
      </c>
      <c r="S3296" s="20">
        <v>0</v>
      </c>
    </row>
    <row r="3297" spans="2:19" ht="15" customHeight="1" x14ac:dyDescent="0.25">
      <c r="B3297" s="2" t="str">
        <f t="shared" si="102"/>
        <v>NSG_Business_Small/Mid-Size Business_Partner Trade Ally Rebate_Pipe Insulation_Steam Large Valve_CI</v>
      </c>
      <c r="C3297" s="2" t="str">
        <f t="shared" si="103"/>
        <v>NSG_Business_Small/Mid-Size Business_Partner Trade Ally Rebate_Pipe Insulation_Steam Large Valve_CI_2022</v>
      </c>
      <c r="D3297" s="19" t="s">
        <v>1787</v>
      </c>
      <c r="E3297" s="19" t="s">
        <v>3</v>
      </c>
      <c r="F3297" s="19" t="s">
        <v>1432</v>
      </c>
      <c r="G3297" s="19" t="s">
        <v>1799</v>
      </c>
      <c r="H3297" s="19" t="s">
        <v>404</v>
      </c>
      <c r="I3297" s="19" t="s">
        <v>967</v>
      </c>
      <c r="J3297" s="19">
        <v>0</v>
      </c>
      <c r="K3297" s="19" t="s">
        <v>1159</v>
      </c>
      <c r="L3297" s="19">
        <v>2022</v>
      </c>
      <c r="M3297" s="20">
        <v>1</v>
      </c>
      <c r="N3297" s="19" t="s">
        <v>1798</v>
      </c>
      <c r="O3297" s="20">
        <v>0</v>
      </c>
      <c r="P3297" s="20">
        <v>0</v>
      </c>
      <c r="Q3297" s="20">
        <v>0</v>
      </c>
      <c r="R3297" s="21">
        <v>0.92</v>
      </c>
      <c r="S3297" s="20">
        <v>0</v>
      </c>
    </row>
    <row r="3298" spans="2:19" ht="15" customHeight="1" x14ac:dyDescent="0.25">
      <c r="B3298" s="2" t="str">
        <f t="shared" si="102"/>
        <v>NSG_Business_Small/Mid-Size Business_Partner Trade Ally Rebate_Pipe Insulation_Steam Large Valve_CI</v>
      </c>
      <c r="C3298" s="2" t="str">
        <f t="shared" si="103"/>
        <v>NSG_Business_Small/Mid-Size Business_Partner Trade Ally Rebate_Pipe Insulation_Steam Large Valve_CI_2023</v>
      </c>
      <c r="D3298" s="19" t="s">
        <v>1787</v>
      </c>
      <c r="E3298" s="19" t="s">
        <v>3</v>
      </c>
      <c r="F3298" s="19" t="s">
        <v>1432</v>
      </c>
      <c r="G3298" s="19" t="s">
        <v>1799</v>
      </c>
      <c r="H3298" s="19" t="s">
        <v>404</v>
      </c>
      <c r="I3298" s="19" t="s">
        <v>967</v>
      </c>
      <c r="J3298" s="19">
        <v>0</v>
      </c>
      <c r="K3298" s="19" t="s">
        <v>1159</v>
      </c>
      <c r="L3298" s="19">
        <v>2023</v>
      </c>
      <c r="M3298" s="20">
        <v>1</v>
      </c>
      <c r="N3298" s="19" t="s">
        <v>1798</v>
      </c>
      <c r="O3298" s="20">
        <v>0</v>
      </c>
      <c r="P3298" s="20">
        <v>0</v>
      </c>
      <c r="Q3298" s="20">
        <v>0</v>
      </c>
      <c r="R3298" s="21">
        <v>0.92</v>
      </c>
      <c r="S3298" s="20">
        <v>0</v>
      </c>
    </row>
    <row r="3299" spans="2:19" ht="15" customHeight="1" x14ac:dyDescent="0.25">
      <c r="B3299" s="2" t="str">
        <f t="shared" si="102"/>
        <v>NSG_Business_Small/Mid-Size Business_Partner Trade Ally Rebate_Pipe Insulation_Steam Large Valve_CI</v>
      </c>
      <c r="C3299" s="2" t="str">
        <f t="shared" si="103"/>
        <v>NSG_Business_Small/Mid-Size Business_Partner Trade Ally Rebate_Pipe Insulation_Steam Large Valve_CI_2024</v>
      </c>
      <c r="D3299" s="19" t="s">
        <v>1787</v>
      </c>
      <c r="E3299" s="19" t="s">
        <v>3</v>
      </c>
      <c r="F3299" s="19" t="s">
        <v>1432</v>
      </c>
      <c r="G3299" s="19" t="s">
        <v>1799</v>
      </c>
      <c r="H3299" s="19" t="s">
        <v>404</v>
      </c>
      <c r="I3299" s="19" t="s">
        <v>967</v>
      </c>
      <c r="J3299" s="19">
        <v>0</v>
      </c>
      <c r="K3299" s="19" t="s">
        <v>1159</v>
      </c>
      <c r="L3299" s="19">
        <v>2024</v>
      </c>
      <c r="M3299" s="20">
        <v>1</v>
      </c>
      <c r="N3299" s="19" t="s">
        <v>1798</v>
      </c>
      <c r="O3299" s="20">
        <v>0</v>
      </c>
      <c r="P3299" s="20">
        <v>0</v>
      </c>
      <c r="Q3299" s="20">
        <v>0</v>
      </c>
      <c r="R3299" s="21">
        <v>0.92</v>
      </c>
      <c r="S3299" s="20">
        <v>0</v>
      </c>
    </row>
    <row r="3300" spans="2:19" ht="15" customHeight="1" x14ac:dyDescent="0.25">
      <c r="B3300" s="2" t="str">
        <f t="shared" si="102"/>
        <v>NSG_Business_Small/Mid-Size Business_Partner Trade Ally Rebate_Pipe Insulation_Steam Large Valve_CI</v>
      </c>
      <c r="C3300" s="2" t="str">
        <f t="shared" si="103"/>
        <v>NSG_Business_Small/Mid-Size Business_Partner Trade Ally Rebate_Pipe Insulation_Steam Large Valve_CI_2025</v>
      </c>
      <c r="D3300" s="19" t="s">
        <v>1787</v>
      </c>
      <c r="E3300" s="19" t="s">
        <v>3</v>
      </c>
      <c r="F3300" s="19" t="s">
        <v>1432</v>
      </c>
      <c r="G3300" s="19" t="s">
        <v>1799</v>
      </c>
      <c r="H3300" s="19" t="s">
        <v>404</v>
      </c>
      <c r="I3300" s="19" t="s">
        <v>967</v>
      </c>
      <c r="J3300" s="19">
        <v>0</v>
      </c>
      <c r="K3300" s="19" t="s">
        <v>1159</v>
      </c>
      <c r="L3300" s="19">
        <v>2025</v>
      </c>
      <c r="M3300" s="20">
        <v>1</v>
      </c>
      <c r="N3300" s="19" t="s">
        <v>1798</v>
      </c>
      <c r="O3300" s="20">
        <v>0</v>
      </c>
      <c r="P3300" s="20">
        <v>0</v>
      </c>
      <c r="Q3300" s="20">
        <v>0</v>
      </c>
      <c r="R3300" s="21">
        <v>0.92</v>
      </c>
      <c r="S3300" s="20">
        <v>0</v>
      </c>
    </row>
    <row r="3301" spans="2:19" ht="15" customHeight="1" x14ac:dyDescent="0.25">
      <c r="B3301" s="2" t="str">
        <f t="shared" si="102"/>
        <v>NSG_Business_Small/Mid-Size Business_Partner Trade Ally Rebate_Pipe Insulation_Steam X-Large Valve_CI</v>
      </c>
      <c r="C3301" s="2" t="str">
        <f t="shared" si="103"/>
        <v>NSG_Business_Small/Mid-Size Business_Partner Trade Ally Rebate_Pipe Insulation_Steam X-Large Valve_CI_2022</v>
      </c>
      <c r="D3301" s="19" t="s">
        <v>1787</v>
      </c>
      <c r="E3301" s="19" t="s">
        <v>3</v>
      </c>
      <c r="F3301" s="19" t="s">
        <v>1432</v>
      </c>
      <c r="G3301" s="19" t="s">
        <v>1799</v>
      </c>
      <c r="H3301" s="19" t="s">
        <v>404</v>
      </c>
      <c r="I3301" s="19" t="s">
        <v>968</v>
      </c>
      <c r="J3301" s="19">
        <v>0</v>
      </c>
      <c r="K3301" s="19" t="s">
        <v>1159</v>
      </c>
      <c r="L3301" s="19">
        <v>2022</v>
      </c>
      <c r="M3301" s="20">
        <v>1</v>
      </c>
      <c r="N3301" s="19" t="s">
        <v>1798</v>
      </c>
      <c r="O3301" s="20">
        <v>0</v>
      </c>
      <c r="P3301" s="20">
        <v>0</v>
      </c>
      <c r="Q3301" s="20">
        <v>0</v>
      </c>
      <c r="R3301" s="21">
        <v>0.92</v>
      </c>
      <c r="S3301" s="20">
        <v>0</v>
      </c>
    </row>
    <row r="3302" spans="2:19" ht="15" customHeight="1" x14ac:dyDescent="0.25">
      <c r="B3302" s="2" t="str">
        <f t="shared" si="102"/>
        <v>NSG_Business_Small/Mid-Size Business_Partner Trade Ally Rebate_Pipe Insulation_Steam X-Large Valve_CI</v>
      </c>
      <c r="C3302" s="2" t="str">
        <f t="shared" si="103"/>
        <v>NSG_Business_Small/Mid-Size Business_Partner Trade Ally Rebate_Pipe Insulation_Steam X-Large Valve_CI_2023</v>
      </c>
      <c r="D3302" s="19" t="s">
        <v>1787</v>
      </c>
      <c r="E3302" s="19" t="s">
        <v>3</v>
      </c>
      <c r="F3302" s="19" t="s">
        <v>1432</v>
      </c>
      <c r="G3302" s="19" t="s">
        <v>1799</v>
      </c>
      <c r="H3302" s="19" t="s">
        <v>404</v>
      </c>
      <c r="I3302" s="19" t="s">
        <v>968</v>
      </c>
      <c r="J3302" s="19">
        <v>0</v>
      </c>
      <c r="K3302" s="19" t="s">
        <v>1159</v>
      </c>
      <c r="L3302" s="19">
        <v>2023</v>
      </c>
      <c r="M3302" s="20">
        <v>1</v>
      </c>
      <c r="N3302" s="19" t="s">
        <v>1798</v>
      </c>
      <c r="O3302" s="20">
        <v>0</v>
      </c>
      <c r="P3302" s="20">
        <v>0</v>
      </c>
      <c r="Q3302" s="20">
        <v>0</v>
      </c>
      <c r="R3302" s="21">
        <v>0.92</v>
      </c>
      <c r="S3302" s="20">
        <v>0</v>
      </c>
    </row>
    <row r="3303" spans="2:19" ht="15" customHeight="1" x14ac:dyDescent="0.25">
      <c r="B3303" s="2" t="str">
        <f t="shared" si="102"/>
        <v>NSG_Business_Small/Mid-Size Business_Partner Trade Ally Rebate_Pipe Insulation_Steam X-Large Valve_CI</v>
      </c>
      <c r="C3303" s="2" t="str">
        <f t="shared" si="103"/>
        <v>NSG_Business_Small/Mid-Size Business_Partner Trade Ally Rebate_Pipe Insulation_Steam X-Large Valve_CI_2024</v>
      </c>
      <c r="D3303" s="19" t="s">
        <v>1787</v>
      </c>
      <c r="E3303" s="19" t="s">
        <v>3</v>
      </c>
      <c r="F3303" s="19" t="s">
        <v>1432</v>
      </c>
      <c r="G3303" s="19" t="s">
        <v>1799</v>
      </c>
      <c r="H3303" s="19" t="s">
        <v>404</v>
      </c>
      <c r="I3303" s="19" t="s">
        <v>968</v>
      </c>
      <c r="J3303" s="19">
        <v>0</v>
      </c>
      <c r="K3303" s="19" t="s">
        <v>1159</v>
      </c>
      <c r="L3303" s="19">
        <v>2024</v>
      </c>
      <c r="M3303" s="20">
        <v>1</v>
      </c>
      <c r="N3303" s="19" t="s">
        <v>1798</v>
      </c>
      <c r="O3303" s="20">
        <v>0</v>
      </c>
      <c r="P3303" s="20">
        <v>0</v>
      </c>
      <c r="Q3303" s="20">
        <v>0</v>
      </c>
      <c r="R3303" s="21">
        <v>0.92</v>
      </c>
      <c r="S3303" s="20">
        <v>0</v>
      </c>
    </row>
    <row r="3304" spans="2:19" ht="15" customHeight="1" x14ac:dyDescent="0.25">
      <c r="B3304" s="2" t="str">
        <f t="shared" si="102"/>
        <v>NSG_Business_Small/Mid-Size Business_Partner Trade Ally Rebate_Pipe Insulation_Steam X-Large Valve_CI</v>
      </c>
      <c r="C3304" s="2" t="str">
        <f t="shared" si="103"/>
        <v>NSG_Business_Small/Mid-Size Business_Partner Trade Ally Rebate_Pipe Insulation_Steam X-Large Valve_CI_2025</v>
      </c>
      <c r="D3304" s="19" t="s">
        <v>1787</v>
      </c>
      <c r="E3304" s="19" t="s">
        <v>3</v>
      </c>
      <c r="F3304" s="19" t="s">
        <v>1432</v>
      </c>
      <c r="G3304" s="19" t="s">
        <v>1799</v>
      </c>
      <c r="H3304" s="19" t="s">
        <v>404</v>
      </c>
      <c r="I3304" s="19" t="s">
        <v>968</v>
      </c>
      <c r="J3304" s="19">
        <v>0</v>
      </c>
      <c r="K3304" s="19" t="s">
        <v>1159</v>
      </c>
      <c r="L3304" s="19">
        <v>2025</v>
      </c>
      <c r="M3304" s="20">
        <v>1</v>
      </c>
      <c r="N3304" s="19" t="s">
        <v>1798</v>
      </c>
      <c r="O3304" s="20">
        <v>0</v>
      </c>
      <c r="P3304" s="20">
        <v>0</v>
      </c>
      <c r="Q3304" s="20">
        <v>0</v>
      </c>
      <c r="R3304" s="21">
        <v>0.92</v>
      </c>
      <c r="S3304" s="20">
        <v>0</v>
      </c>
    </row>
    <row r="3305" spans="2:19" ht="15" customHeight="1" x14ac:dyDescent="0.25">
      <c r="B3305" s="2" t="str">
        <f t="shared" si="102"/>
        <v>NSG_Business_Small/Mid-Size Business_Partner Trade Ally Rebate_Pre-Rinse Sprayer_0_CI</v>
      </c>
      <c r="C3305" s="2" t="str">
        <f t="shared" si="103"/>
        <v>NSG_Business_Small/Mid-Size Business_Partner Trade Ally Rebate_Pre-Rinse Sprayer_0_CI_2022</v>
      </c>
      <c r="D3305" s="19" t="s">
        <v>1787</v>
      </c>
      <c r="E3305" s="19" t="s">
        <v>3</v>
      </c>
      <c r="F3305" s="19" t="s">
        <v>1432</v>
      </c>
      <c r="G3305" s="19" t="s">
        <v>1799</v>
      </c>
      <c r="H3305" s="19" t="s">
        <v>1219</v>
      </c>
      <c r="I3305" s="19">
        <v>0</v>
      </c>
      <c r="J3305" s="19" t="s">
        <v>43</v>
      </c>
      <c r="K3305" s="19" t="s">
        <v>1159</v>
      </c>
      <c r="L3305" s="19">
        <v>2022</v>
      </c>
      <c r="M3305" s="20">
        <v>1</v>
      </c>
      <c r="N3305" s="19" t="s">
        <v>1798</v>
      </c>
      <c r="O3305" s="20">
        <v>0</v>
      </c>
      <c r="P3305" s="20">
        <v>0</v>
      </c>
      <c r="Q3305" s="20">
        <v>0</v>
      </c>
      <c r="R3305" s="21">
        <v>0.92</v>
      </c>
      <c r="S3305" s="20">
        <v>0</v>
      </c>
    </row>
    <row r="3306" spans="2:19" ht="15" customHeight="1" x14ac:dyDescent="0.25">
      <c r="B3306" s="2" t="str">
        <f t="shared" si="102"/>
        <v>NSG_Business_Small/Mid-Size Business_Partner Trade Ally Rebate_Pre-Rinse Sprayer_0_CI</v>
      </c>
      <c r="C3306" s="2" t="str">
        <f t="shared" si="103"/>
        <v>NSG_Business_Small/Mid-Size Business_Partner Trade Ally Rebate_Pre-Rinse Sprayer_0_CI_2023</v>
      </c>
      <c r="D3306" s="19" t="s">
        <v>1787</v>
      </c>
      <c r="E3306" s="19" t="s">
        <v>3</v>
      </c>
      <c r="F3306" s="19" t="s">
        <v>1432</v>
      </c>
      <c r="G3306" s="19" t="s">
        <v>1799</v>
      </c>
      <c r="H3306" s="19" t="s">
        <v>1219</v>
      </c>
      <c r="I3306" s="19">
        <v>0</v>
      </c>
      <c r="J3306" s="19" t="s">
        <v>43</v>
      </c>
      <c r="K3306" s="19" t="s">
        <v>1159</v>
      </c>
      <c r="L3306" s="19">
        <v>2023</v>
      </c>
      <c r="M3306" s="20">
        <v>1</v>
      </c>
      <c r="N3306" s="19" t="s">
        <v>1798</v>
      </c>
      <c r="O3306" s="20">
        <v>0</v>
      </c>
      <c r="P3306" s="20">
        <v>0</v>
      </c>
      <c r="Q3306" s="20">
        <v>0</v>
      </c>
      <c r="R3306" s="21">
        <v>0.92</v>
      </c>
      <c r="S3306" s="20">
        <v>0</v>
      </c>
    </row>
    <row r="3307" spans="2:19" ht="15" customHeight="1" x14ac:dyDescent="0.25">
      <c r="B3307" s="2" t="str">
        <f t="shared" si="102"/>
        <v>NSG_Business_Small/Mid-Size Business_Partner Trade Ally Rebate_Pre-Rinse Sprayer_0_CI</v>
      </c>
      <c r="C3307" s="2" t="str">
        <f t="shared" si="103"/>
        <v>NSG_Business_Small/Mid-Size Business_Partner Trade Ally Rebate_Pre-Rinse Sprayer_0_CI_2024</v>
      </c>
      <c r="D3307" s="19" t="s">
        <v>1787</v>
      </c>
      <c r="E3307" s="19" t="s">
        <v>3</v>
      </c>
      <c r="F3307" s="19" t="s">
        <v>1432</v>
      </c>
      <c r="G3307" s="19" t="s">
        <v>1799</v>
      </c>
      <c r="H3307" s="19" t="s">
        <v>1219</v>
      </c>
      <c r="I3307" s="19">
        <v>0</v>
      </c>
      <c r="J3307" s="19" t="s">
        <v>43</v>
      </c>
      <c r="K3307" s="19" t="s">
        <v>1159</v>
      </c>
      <c r="L3307" s="19">
        <v>2024</v>
      </c>
      <c r="M3307" s="20">
        <v>1</v>
      </c>
      <c r="N3307" s="19" t="s">
        <v>1798</v>
      </c>
      <c r="O3307" s="20">
        <v>0</v>
      </c>
      <c r="P3307" s="20">
        <v>0</v>
      </c>
      <c r="Q3307" s="20">
        <v>0</v>
      </c>
      <c r="R3307" s="21">
        <v>0.92</v>
      </c>
      <c r="S3307" s="20">
        <v>0</v>
      </c>
    </row>
    <row r="3308" spans="2:19" ht="15" customHeight="1" x14ac:dyDescent="0.25">
      <c r="B3308" s="2" t="str">
        <f t="shared" si="102"/>
        <v>NSG_Business_Small/Mid-Size Business_Partner Trade Ally Rebate_Pre-Rinse Sprayer_0_CI</v>
      </c>
      <c r="C3308" s="2" t="str">
        <f t="shared" si="103"/>
        <v>NSG_Business_Small/Mid-Size Business_Partner Trade Ally Rebate_Pre-Rinse Sprayer_0_CI_2025</v>
      </c>
      <c r="D3308" s="19" t="s">
        <v>1787</v>
      </c>
      <c r="E3308" s="19" t="s">
        <v>3</v>
      </c>
      <c r="F3308" s="19" t="s">
        <v>1432</v>
      </c>
      <c r="G3308" s="19" t="s">
        <v>1799</v>
      </c>
      <c r="H3308" s="19" t="s">
        <v>1219</v>
      </c>
      <c r="I3308" s="19">
        <v>0</v>
      </c>
      <c r="J3308" s="19" t="s">
        <v>43</v>
      </c>
      <c r="K3308" s="19" t="s">
        <v>1159</v>
      </c>
      <c r="L3308" s="19">
        <v>2025</v>
      </c>
      <c r="M3308" s="20">
        <v>1</v>
      </c>
      <c r="N3308" s="19" t="s">
        <v>1798</v>
      </c>
      <c r="O3308" s="20">
        <v>0</v>
      </c>
      <c r="P3308" s="20">
        <v>0</v>
      </c>
      <c r="Q3308" s="20">
        <v>0</v>
      </c>
      <c r="R3308" s="21">
        <v>0.92</v>
      </c>
      <c r="S3308" s="20">
        <v>0</v>
      </c>
    </row>
    <row r="3309" spans="2:19" ht="15" customHeight="1" x14ac:dyDescent="0.25">
      <c r="B3309" s="2" t="str">
        <f t="shared" si="102"/>
        <v>NSG_Business_Small/Mid-Size Business_Partner Trade Ally Rebate_Steam Boiler_&gt;=300MBH, &lt;1,500, &gt;=81% AFUE_CI</v>
      </c>
      <c r="C3309" s="2" t="str">
        <f t="shared" si="103"/>
        <v>NSG_Business_Small/Mid-Size Business_Partner Trade Ally Rebate_Steam Boiler_&gt;=300MBH, &lt;1,500, &gt;=81% AFUE_CI_2022</v>
      </c>
      <c r="D3309" s="19" t="s">
        <v>1787</v>
      </c>
      <c r="E3309" s="19" t="s">
        <v>3</v>
      </c>
      <c r="F3309" s="19" t="s">
        <v>1432</v>
      </c>
      <c r="G3309" s="19" t="s">
        <v>1799</v>
      </c>
      <c r="H3309" s="19" t="s">
        <v>938</v>
      </c>
      <c r="I3309" s="19" t="s">
        <v>1300</v>
      </c>
      <c r="J3309" s="19" t="s">
        <v>942</v>
      </c>
      <c r="K3309" s="19" t="s">
        <v>1159</v>
      </c>
      <c r="L3309" s="19">
        <v>2022</v>
      </c>
      <c r="M3309" s="20">
        <v>500</v>
      </c>
      <c r="N3309" s="19" t="s">
        <v>667</v>
      </c>
      <c r="O3309" s="20">
        <v>2</v>
      </c>
      <c r="P3309" s="20">
        <v>1000</v>
      </c>
      <c r="Q3309" s="20">
        <v>666.10358974358803</v>
      </c>
      <c r="R3309" s="21">
        <v>0.92</v>
      </c>
      <c r="S3309" s="20">
        <v>666.10358974358803</v>
      </c>
    </row>
    <row r="3310" spans="2:19" ht="15" customHeight="1" x14ac:dyDescent="0.25">
      <c r="B3310" s="2" t="str">
        <f t="shared" si="102"/>
        <v>NSG_Business_Small/Mid-Size Business_Partner Trade Ally Rebate_Steam Boiler_&gt;=300MBH, &lt;1,500, &gt;=81% AFUE_CI</v>
      </c>
      <c r="C3310" s="2" t="str">
        <f t="shared" si="103"/>
        <v>NSG_Business_Small/Mid-Size Business_Partner Trade Ally Rebate_Steam Boiler_&gt;=300MBH, &lt;1,500, &gt;=81% AFUE_CI_2023</v>
      </c>
      <c r="D3310" s="19" t="s">
        <v>1787</v>
      </c>
      <c r="E3310" s="19" t="s">
        <v>3</v>
      </c>
      <c r="F3310" s="19" t="s">
        <v>1432</v>
      </c>
      <c r="G3310" s="19" t="s">
        <v>1799</v>
      </c>
      <c r="H3310" s="19" t="s">
        <v>938</v>
      </c>
      <c r="I3310" s="19" t="s">
        <v>1300</v>
      </c>
      <c r="J3310" s="19" t="s">
        <v>942</v>
      </c>
      <c r="K3310" s="19" t="s">
        <v>1159</v>
      </c>
      <c r="L3310" s="19">
        <v>2023</v>
      </c>
      <c r="M3310" s="20">
        <v>500</v>
      </c>
      <c r="N3310" s="19" t="s">
        <v>667</v>
      </c>
      <c r="O3310" s="20">
        <v>2</v>
      </c>
      <c r="P3310" s="20">
        <v>1000</v>
      </c>
      <c r="Q3310" s="20">
        <v>666.10358974358803</v>
      </c>
      <c r="R3310" s="21">
        <v>0.92</v>
      </c>
      <c r="S3310" s="20">
        <v>666.10358974358803</v>
      </c>
    </row>
    <row r="3311" spans="2:19" ht="15" customHeight="1" x14ac:dyDescent="0.25">
      <c r="B3311" s="2" t="str">
        <f t="shared" si="102"/>
        <v>NSG_Business_Small/Mid-Size Business_Partner Trade Ally Rebate_Steam Boiler_&gt;=300MBH, &lt;1,500, &gt;=81% AFUE_CI</v>
      </c>
      <c r="C3311" s="2" t="str">
        <f t="shared" si="103"/>
        <v>NSG_Business_Small/Mid-Size Business_Partner Trade Ally Rebate_Steam Boiler_&gt;=300MBH, &lt;1,500, &gt;=81% AFUE_CI_2024</v>
      </c>
      <c r="D3311" s="19" t="s">
        <v>1787</v>
      </c>
      <c r="E3311" s="19" t="s">
        <v>3</v>
      </c>
      <c r="F3311" s="19" t="s">
        <v>1432</v>
      </c>
      <c r="G3311" s="19" t="s">
        <v>1799</v>
      </c>
      <c r="H3311" s="19" t="s">
        <v>938</v>
      </c>
      <c r="I3311" s="19" t="s">
        <v>1300</v>
      </c>
      <c r="J3311" s="19" t="s">
        <v>942</v>
      </c>
      <c r="K3311" s="19" t="s">
        <v>1159</v>
      </c>
      <c r="L3311" s="19">
        <v>2024</v>
      </c>
      <c r="M3311" s="20">
        <v>500</v>
      </c>
      <c r="N3311" s="19" t="s">
        <v>667</v>
      </c>
      <c r="O3311" s="20">
        <v>2</v>
      </c>
      <c r="P3311" s="20">
        <v>1000</v>
      </c>
      <c r="Q3311" s="20">
        <v>666.10358974358803</v>
      </c>
      <c r="R3311" s="21">
        <v>0.92</v>
      </c>
      <c r="S3311" s="20">
        <v>666.10358974358803</v>
      </c>
    </row>
    <row r="3312" spans="2:19" ht="15" customHeight="1" x14ac:dyDescent="0.25">
      <c r="B3312" s="2" t="str">
        <f t="shared" si="102"/>
        <v>NSG_Business_Small/Mid-Size Business_Partner Trade Ally Rebate_Steam Boiler_&gt;=300MBH, &lt;1,500, &gt;=81% AFUE_CI</v>
      </c>
      <c r="C3312" s="2" t="str">
        <f t="shared" si="103"/>
        <v>NSG_Business_Small/Mid-Size Business_Partner Trade Ally Rebate_Steam Boiler_&gt;=300MBH, &lt;1,500, &gt;=81% AFUE_CI_2025</v>
      </c>
      <c r="D3312" s="19" t="s">
        <v>1787</v>
      </c>
      <c r="E3312" s="19" t="s">
        <v>3</v>
      </c>
      <c r="F3312" s="19" t="s">
        <v>1432</v>
      </c>
      <c r="G3312" s="19" t="s">
        <v>1799</v>
      </c>
      <c r="H3312" s="19" t="s">
        <v>938</v>
      </c>
      <c r="I3312" s="19" t="s">
        <v>1300</v>
      </c>
      <c r="J3312" s="19" t="s">
        <v>942</v>
      </c>
      <c r="K3312" s="19" t="s">
        <v>1159</v>
      </c>
      <c r="L3312" s="19">
        <v>2025</v>
      </c>
      <c r="M3312" s="20">
        <v>500</v>
      </c>
      <c r="N3312" s="19" t="s">
        <v>667</v>
      </c>
      <c r="O3312" s="20">
        <v>2</v>
      </c>
      <c r="P3312" s="20">
        <v>1000</v>
      </c>
      <c r="Q3312" s="20">
        <v>666.10358974358803</v>
      </c>
      <c r="R3312" s="21">
        <v>0.92</v>
      </c>
      <c r="S3312" s="20">
        <v>666.10358974358803</v>
      </c>
    </row>
    <row r="3313" spans="2:19" ht="15" customHeight="1" x14ac:dyDescent="0.25">
      <c r="B3313" s="2" t="str">
        <f t="shared" si="102"/>
        <v>NSG_Business_Small/Mid-Size Business_Partner Trade Ally Rebate_Steam Traps_Dry Cleaner/Industrial - No Audit_MF/CI/SMB</v>
      </c>
      <c r="C3313" s="2" t="str">
        <f t="shared" si="103"/>
        <v>NSG_Business_Small/Mid-Size Business_Partner Trade Ally Rebate_Steam Traps_Dry Cleaner/Industrial - No Audit_MF/CI/SMB_2022</v>
      </c>
      <c r="D3313" s="19" t="s">
        <v>1787</v>
      </c>
      <c r="E3313" s="19" t="s">
        <v>3</v>
      </c>
      <c r="F3313" s="19" t="s">
        <v>1432</v>
      </c>
      <c r="G3313" s="19" t="s">
        <v>1799</v>
      </c>
      <c r="H3313" s="19" t="s">
        <v>644</v>
      </c>
      <c r="I3313" s="19" t="s">
        <v>1274</v>
      </c>
      <c r="J3313" s="19" t="s">
        <v>37</v>
      </c>
      <c r="K3313" s="19" t="s">
        <v>662</v>
      </c>
      <c r="L3313" s="19">
        <v>2022</v>
      </c>
      <c r="M3313" s="20">
        <v>1</v>
      </c>
      <c r="N3313" s="19" t="s">
        <v>1798</v>
      </c>
      <c r="O3313" s="20">
        <v>5</v>
      </c>
      <c r="P3313" s="20">
        <v>5</v>
      </c>
      <c r="Q3313" s="20">
        <v>804.83257419639995</v>
      </c>
      <c r="R3313" s="21">
        <v>0.92</v>
      </c>
      <c r="S3313" s="20">
        <v>804.83257419639995</v>
      </c>
    </row>
    <row r="3314" spans="2:19" ht="15" customHeight="1" x14ac:dyDescent="0.25">
      <c r="B3314" s="2" t="str">
        <f t="shared" si="102"/>
        <v>NSG_Business_Small/Mid-Size Business_Partner Trade Ally Rebate_Steam Traps_Dry Cleaner/Industrial - No Audit_MF/CI/SMB</v>
      </c>
      <c r="C3314" s="2" t="str">
        <f t="shared" si="103"/>
        <v>NSG_Business_Small/Mid-Size Business_Partner Trade Ally Rebate_Steam Traps_Dry Cleaner/Industrial - No Audit_MF/CI/SMB_2023</v>
      </c>
      <c r="D3314" s="19" t="s">
        <v>1787</v>
      </c>
      <c r="E3314" s="19" t="s">
        <v>3</v>
      </c>
      <c r="F3314" s="19" t="s">
        <v>1432</v>
      </c>
      <c r="G3314" s="19" t="s">
        <v>1799</v>
      </c>
      <c r="H3314" s="19" t="s">
        <v>644</v>
      </c>
      <c r="I3314" s="19" t="s">
        <v>1274</v>
      </c>
      <c r="J3314" s="19" t="s">
        <v>37</v>
      </c>
      <c r="K3314" s="19" t="s">
        <v>662</v>
      </c>
      <c r="L3314" s="19">
        <v>2023</v>
      </c>
      <c r="M3314" s="20">
        <v>1</v>
      </c>
      <c r="N3314" s="19" t="s">
        <v>1798</v>
      </c>
      <c r="O3314" s="20">
        <v>4</v>
      </c>
      <c r="P3314" s="20">
        <v>4</v>
      </c>
      <c r="Q3314" s="20">
        <v>643.86605935711998</v>
      </c>
      <c r="R3314" s="21">
        <v>0.92</v>
      </c>
      <c r="S3314" s="20">
        <v>643.86605935711998</v>
      </c>
    </row>
    <row r="3315" spans="2:19" ht="15" customHeight="1" x14ac:dyDescent="0.25">
      <c r="B3315" s="2" t="str">
        <f t="shared" si="102"/>
        <v>NSG_Business_Small/Mid-Size Business_Partner Trade Ally Rebate_Steam Traps_Dry Cleaner/Industrial - No Audit_MF/CI/SMB</v>
      </c>
      <c r="C3315" s="2" t="str">
        <f t="shared" si="103"/>
        <v>NSG_Business_Small/Mid-Size Business_Partner Trade Ally Rebate_Steam Traps_Dry Cleaner/Industrial - No Audit_MF/CI/SMB_2024</v>
      </c>
      <c r="D3315" s="19" t="s">
        <v>1787</v>
      </c>
      <c r="E3315" s="19" t="s">
        <v>3</v>
      </c>
      <c r="F3315" s="19" t="s">
        <v>1432</v>
      </c>
      <c r="G3315" s="19" t="s">
        <v>1799</v>
      </c>
      <c r="H3315" s="19" t="s">
        <v>644</v>
      </c>
      <c r="I3315" s="19" t="s">
        <v>1274</v>
      </c>
      <c r="J3315" s="19" t="s">
        <v>37</v>
      </c>
      <c r="K3315" s="19" t="s">
        <v>662</v>
      </c>
      <c r="L3315" s="19">
        <v>2024</v>
      </c>
      <c r="M3315" s="20">
        <v>1</v>
      </c>
      <c r="N3315" s="19" t="s">
        <v>1798</v>
      </c>
      <c r="O3315" s="20">
        <v>4</v>
      </c>
      <c r="P3315" s="20">
        <v>4</v>
      </c>
      <c r="Q3315" s="20">
        <v>643.86605935711998</v>
      </c>
      <c r="R3315" s="21">
        <v>0.92</v>
      </c>
      <c r="S3315" s="20">
        <v>643.86605935711998</v>
      </c>
    </row>
    <row r="3316" spans="2:19" ht="15" customHeight="1" x14ac:dyDescent="0.25">
      <c r="B3316" s="2" t="str">
        <f t="shared" si="102"/>
        <v>NSG_Business_Small/Mid-Size Business_Partner Trade Ally Rebate_Steam Traps_Dry Cleaner/Industrial - No Audit_MF/CI/SMB</v>
      </c>
      <c r="C3316" s="2" t="str">
        <f t="shared" si="103"/>
        <v>NSG_Business_Small/Mid-Size Business_Partner Trade Ally Rebate_Steam Traps_Dry Cleaner/Industrial - No Audit_MF/CI/SMB_2025</v>
      </c>
      <c r="D3316" s="19" t="s">
        <v>1787</v>
      </c>
      <c r="E3316" s="19" t="s">
        <v>3</v>
      </c>
      <c r="F3316" s="19" t="s">
        <v>1432</v>
      </c>
      <c r="G3316" s="19" t="s">
        <v>1799</v>
      </c>
      <c r="H3316" s="19" t="s">
        <v>644</v>
      </c>
      <c r="I3316" s="19" t="s">
        <v>1274</v>
      </c>
      <c r="J3316" s="19" t="s">
        <v>37</v>
      </c>
      <c r="K3316" s="19" t="s">
        <v>662</v>
      </c>
      <c r="L3316" s="19">
        <v>2025</v>
      </c>
      <c r="M3316" s="20">
        <v>1</v>
      </c>
      <c r="N3316" s="19" t="s">
        <v>1798</v>
      </c>
      <c r="O3316" s="20">
        <v>4</v>
      </c>
      <c r="P3316" s="20">
        <v>4</v>
      </c>
      <c r="Q3316" s="20">
        <v>643.86605935711998</v>
      </c>
      <c r="R3316" s="21">
        <v>0.92</v>
      </c>
      <c r="S3316" s="20">
        <v>643.86605935711998</v>
      </c>
    </row>
    <row r="3317" spans="2:19" ht="15" customHeight="1" x14ac:dyDescent="0.25">
      <c r="B3317" s="2" t="str">
        <f t="shared" si="102"/>
        <v>NSG_Business_Small/Mid-Size Business_Partner Trade Ally Rebate_Steam Traps_Dry Cleaner/Industrial - Audit_MF/CI/SMB</v>
      </c>
      <c r="C3317" s="2" t="str">
        <f t="shared" si="103"/>
        <v>NSG_Business_Small/Mid-Size Business_Partner Trade Ally Rebate_Steam Traps_Dry Cleaner/Industrial - Audit_MF/CI/SMB_2022</v>
      </c>
      <c r="D3317" s="19" t="s">
        <v>1787</v>
      </c>
      <c r="E3317" s="19" t="s">
        <v>3</v>
      </c>
      <c r="F3317" s="19" t="s">
        <v>1432</v>
      </c>
      <c r="G3317" s="19" t="s">
        <v>1799</v>
      </c>
      <c r="H3317" s="19" t="s">
        <v>644</v>
      </c>
      <c r="I3317" s="19" t="s">
        <v>1275</v>
      </c>
      <c r="J3317" s="19" t="s">
        <v>37</v>
      </c>
      <c r="K3317" s="19" t="s">
        <v>662</v>
      </c>
      <c r="L3317" s="19">
        <v>2022</v>
      </c>
      <c r="M3317" s="20">
        <v>1</v>
      </c>
      <c r="N3317" s="19" t="s">
        <v>1798</v>
      </c>
      <c r="O3317" s="20">
        <v>18</v>
      </c>
      <c r="P3317" s="20">
        <v>18</v>
      </c>
      <c r="Q3317" s="20">
        <v>10731.100989285333</v>
      </c>
      <c r="R3317" s="21">
        <v>0.92</v>
      </c>
      <c r="S3317" s="20">
        <v>10731.100989285333</v>
      </c>
    </row>
    <row r="3318" spans="2:19" ht="15" customHeight="1" x14ac:dyDescent="0.25">
      <c r="B3318" s="2" t="str">
        <f t="shared" si="102"/>
        <v>NSG_Business_Small/Mid-Size Business_Partner Trade Ally Rebate_Steam Traps_Dry Cleaner/Industrial - Audit_MF/CI/SMB</v>
      </c>
      <c r="C3318" s="2" t="str">
        <f t="shared" si="103"/>
        <v>NSG_Business_Small/Mid-Size Business_Partner Trade Ally Rebate_Steam Traps_Dry Cleaner/Industrial - Audit_MF/CI/SMB_2023</v>
      </c>
      <c r="D3318" s="19" t="s">
        <v>1787</v>
      </c>
      <c r="E3318" s="19" t="s">
        <v>3</v>
      </c>
      <c r="F3318" s="19" t="s">
        <v>1432</v>
      </c>
      <c r="G3318" s="19" t="s">
        <v>1799</v>
      </c>
      <c r="H3318" s="19" t="s">
        <v>644</v>
      </c>
      <c r="I3318" s="19" t="s">
        <v>1275</v>
      </c>
      <c r="J3318" s="19" t="s">
        <v>37</v>
      </c>
      <c r="K3318" s="19" t="s">
        <v>662</v>
      </c>
      <c r="L3318" s="19">
        <v>2023</v>
      </c>
      <c r="M3318" s="20">
        <v>1</v>
      </c>
      <c r="N3318" s="19" t="s">
        <v>1798</v>
      </c>
      <c r="O3318" s="20">
        <v>16</v>
      </c>
      <c r="P3318" s="20">
        <v>16</v>
      </c>
      <c r="Q3318" s="20">
        <v>9538.7564349202949</v>
      </c>
      <c r="R3318" s="21">
        <v>0.92</v>
      </c>
      <c r="S3318" s="20">
        <v>9538.7564349202949</v>
      </c>
    </row>
    <row r="3319" spans="2:19" ht="15" customHeight="1" x14ac:dyDescent="0.25">
      <c r="B3319" s="2" t="str">
        <f t="shared" si="102"/>
        <v>NSG_Business_Small/Mid-Size Business_Partner Trade Ally Rebate_Steam Traps_Dry Cleaner/Industrial - Audit_MF/CI/SMB</v>
      </c>
      <c r="C3319" s="2" t="str">
        <f t="shared" si="103"/>
        <v>NSG_Business_Small/Mid-Size Business_Partner Trade Ally Rebate_Steam Traps_Dry Cleaner/Industrial - Audit_MF/CI/SMB_2024</v>
      </c>
      <c r="D3319" s="19" t="s">
        <v>1787</v>
      </c>
      <c r="E3319" s="19" t="s">
        <v>3</v>
      </c>
      <c r="F3319" s="19" t="s">
        <v>1432</v>
      </c>
      <c r="G3319" s="19" t="s">
        <v>1799</v>
      </c>
      <c r="H3319" s="19" t="s">
        <v>644</v>
      </c>
      <c r="I3319" s="19" t="s">
        <v>1275</v>
      </c>
      <c r="J3319" s="19" t="s">
        <v>37</v>
      </c>
      <c r="K3319" s="19" t="s">
        <v>662</v>
      </c>
      <c r="L3319" s="19">
        <v>2024</v>
      </c>
      <c r="M3319" s="20">
        <v>1</v>
      </c>
      <c r="N3319" s="19" t="s">
        <v>1798</v>
      </c>
      <c r="O3319" s="20">
        <v>16</v>
      </c>
      <c r="P3319" s="20">
        <v>16</v>
      </c>
      <c r="Q3319" s="20">
        <v>9538.7564349202949</v>
      </c>
      <c r="R3319" s="21">
        <v>0.92</v>
      </c>
      <c r="S3319" s="20">
        <v>9538.7564349202949</v>
      </c>
    </row>
    <row r="3320" spans="2:19" ht="15" customHeight="1" x14ac:dyDescent="0.25">
      <c r="B3320" s="2" t="str">
        <f t="shared" si="102"/>
        <v>NSG_Business_Small/Mid-Size Business_Partner Trade Ally Rebate_Steam Traps_Dry Cleaner/Industrial - Audit_MF/CI/SMB</v>
      </c>
      <c r="C3320" s="2" t="str">
        <f t="shared" si="103"/>
        <v>NSG_Business_Small/Mid-Size Business_Partner Trade Ally Rebate_Steam Traps_Dry Cleaner/Industrial - Audit_MF/CI/SMB_2025</v>
      </c>
      <c r="D3320" s="19" t="s">
        <v>1787</v>
      </c>
      <c r="E3320" s="19" t="s">
        <v>3</v>
      </c>
      <c r="F3320" s="19" t="s">
        <v>1432</v>
      </c>
      <c r="G3320" s="19" t="s">
        <v>1799</v>
      </c>
      <c r="H3320" s="19" t="s">
        <v>644</v>
      </c>
      <c r="I3320" s="19" t="s">
        <v>1275</v>
      </c>
      <c r="J3320" s="19" t="s">
        <v>37</v>
      </c>
      <c r="K3320" s="19" t="s">
        <v>662</v>
      </c>
      <c r="L3320" s="19">
        <v>2025</v>
      </c>
      <c r="M3320" s="20">
        <v>1</v>
      </c>
      <c r="N3320" s="19" t="s">
        <v>1798</v>
      </c>
      <c r="O3320" s="20">
        <v>15</v>
      </c>
      <c r="P3320" s="20">
        <v>15</v>
      </c>
      <c r="Q3320" s="20">
        <v>8942.584157737776</v>
      </c>
      <c r="R3320" s="21">
        <v>0.92</v>
      </c>
      <c r="S3320" s="20">
        <v>8942.584157737776</v>
      </c>
    </row>
    <row r="3321" spans="2:19" ht="15" customHeight="1" x14ac:dyDescent="0.25">
      <c r="B3321" s="2" t="str">
        <f t="shared" si="102"/>
        <v>NSG_Business_Small/Mid-Size Business_Partner Trade Ally Rebate_Steam Traps_HVAC Repair/Rep - Audit_CI</v>
      </c>
      <c r="C3321" s="2" t="str">
        <f t="shared" si="103"/>
        <v>NSG_Business_Small/Mid-Size Business_Partner Trade Ally Rebate_Steam Traps_HVAC Repair/Rep - Audit_CI_2022</v>
      </c>
      <c r="D3321" s="19" t="s">
        <v>1787</v>
      </c>
      <c r="E3321" s="19" t="s">
        <v>3</v>
      </c>
      <c r="F3321" s="19" t="s">
        <v>1432</v>
      </c>
      <c r="G3321" s="19" t="s">
        <v>1799</v>
      </c>
      <c r="H3321" s="19" t="s">
        <v>644</v>
      </c>
      <c r="I3321" s="19" t="s">
        <v>645</v>
      </c>
      <c r="J3321" s="19" t="s">
        <v>37</v>
      </c>
      <c r="K3321" s="19" t="s">
        <v>1159</v>
      </c>
      <c r="L3321" s="19">
        <v>2022</v>
      </c>
      <c r="M3321" s="20">
        <v>1</v>
      </c>
      <c r="N3321" s="19" t="s">
        <v>1798</v>
      </c>
      <c r="O3321" s="20">
        <v>36</v>
      </c>
      <c r="P3321" s="20">
        <v>36</v>
      </c>
      <c r="Q3321" s="20">
        <v>12710.374001344304</v>
      </c>
      <c r="R3321" s="21">
        <v>0.92</v>
      </c>
      <c r="S3321" s="20">
        <v>12710.374001344304</v>
      </c>
    </row>
    <row r="3322" spans="2:19" ht="15" customHeight="1" x14ac:dyDescent="0.25">
      <c r="B3322" s="2" t="str">
        <f t="shared" si="102"/>
        <v>NSG_Business_Small/Mid-Size Business_Partner Trade Ally Rebate_Steam Traps_HVAC Repair/Rep - Audit_CI</v>
      </c>
      <c r="C3322" s="2" t="str">
        <f t="shared" si="103"/>
        <v>NSG_Business_Small/Mid-Size Business_Partner Trade Ally Rebate_Steam Traps_HVAC Repair/Rep - Audit_CI_2023</v>
      </c>
      <c r="D3322" s="19" t="s">
        <v>1787</v>
      </c>
      <c r="E3322" s="19" t="s">
        <v>3</v>
      </c>
      <c r="F3322" s="19" t="s">
        <v>1432</v>
      </c>
      <c r="G3322" s="19" t="s">
        <v>1799</v>
      </c>
      <c r="H3322" s="19" t="s">
        <v>644</v>
      </c>
      <c r="I3322" s="19" t="s">
        <v>645</v>
      </c>
      <c r="J3322" s="19" t="s">
        <v>37</v>
      </c>
      <c r="K3322" s="19" t="s">
        <v>1159</v>
      </c>
      <c r="L3322" s="19">
        <v>2023</v>
      </c>
      <c r="M3322" s="20">
        <v>1</v>
      </c>
      <c r="N3322" s="19" t="s">
        <v>1798</v>
      </c>
      <c r="O3322" s="20">
        <v>33</v>
      </c>
      <c r="P3322" s="20">
        <v>33</v>
      </c>
      <c r="Q3322" s="20">
        <v>11651.176167898942</v>
      </c>
      <c r="R3322" s="21">
        <v>0.92</v>
      </c>
      <c r="S3322" s="20">
        <v>11651.176167898942</v>
      </c>
    </row>
    <row r="3323" spans="2:19" ht="15" customHeight="1" x14ac:dyDescent="0.25">
      <c r="B3323" s="2" t="str">
        <f t="shared" si="102"/>
        <v>NSG_Business_Small/Mid-Size Business_Partner Trade Ally Rebate_Steam Traps_HVAC Repair/Rep - Audit_CI</v>
      </c>
      <c r="C3323" s="2" t="str">
        <f t="shared" si="103"/>
        <v>NSG_Business_Small/Mid-Size Business_Partner Trade Ally Rebate_Steam Traps_HVAC Repair/Rep - Audit_CI_2024</v>
      </c>
      <c r="D3323" s="19" t="s">
        <v>1787</v>
      </c>
      <c r="E3323" s="19" t="s">
        <v>3</v>
      </c>
      <c r="F3323" s="19" t="s">
        <v>1432</v>
      </c>
      <c r="G3323" s="19" t="s">
        <v>1799</v>
      </c>
      <c r="H3323" s="19" t="s">
        <v>644</v>
      </c>
      <c r="I3323" s="19" t="s">
        <v>645</v>
      </c>
      <c r="J3323" s="19" t="s">
        <v>37</v>
      </c>
      <c r="K3323" s="19" t="s">
        <v>1159</v>
      </c>
      <c r="L3323" s="19">
        <v>2024</v>
      </c>
      <c r="M3323" s="20">
        <v>1</v>
      </c>
      <c r="N3323" s="19" t="s">
        <v>1798</v>
      </c>
      <c r="O3323" s="20">
        <v>32</v>
      </c>
      <c r="P3323" s="20">
        <v>32</v>
      </c>
      <c r="Q3323" s="20">
        <v>11298.110223417158</v>
      </c>
      <c r="R3323" s="21">
        <v>0.92</v>
      </c>
      <c r="S3323" s="20">
        <v>11298.110223417158</v>
      </c>
    </row>
    <row r="3324" spans="2:19" ht="15" customHeight="1" x14ac:dyDescent="0.25">
      <c r="B3324" s="2" t="str">
        <f t="shared" si="102"/>
        <v>NSG_Business_Small/Mid-Size Business_Partner Trade Ally Rebate_Steam Traps_HVAC Repair/Rep - Audit_CI</v>
      </c>
      <c r="C3324" s="2" t="str">
        <f t="shared" si="103"/>
        <v>NSG_Business_Small/Mid-Size Business_Partner Trade Ally Rebate_Steam Traps_HVAC Repair/Rep - Audit_CI_2025</v>
      </c>
      <c r="D3324" s="19" t="s">
        <v>1787</v>
      </c>
      <c r="E3324" s="19" t="s">
        <v>3</v>
      </c>
      <c r="F3324" s="19" t="s">
        <v>1432</v>
      </c>
      <c r="G3324" s="19" t="s">
        <v>1799</v>
      </c>
      <c r="H3324" s="19" t="s">
        <v>644</v>
      </c>
      <c r="I3324" s="19" t="s">
        <v>645</v>
      </c>
      <c r="J3324" s="19" t="s">
        <v>37</v>
      </c>
      <c r="K3324" s="19" t="s">
        <v>1159</v>
      </c>
      <c r="L3324" s="19">
        <v>2025</v>
      </c>
      <c r="M3324" s="20">
        <v>1</v>
      </c>
      <c r="N3324" s="19" t="s">
        <v>1798</v>
      </c>
      <c r="O3324" s="20">
        <v>30</v>
      </c>
      <c r="P3324" s="20">
        <v>30</v>
      </c>
      <c r="Q3324" s="20">
        <v>10591.978334453584</v>
      </c>
      <c r="R3324" s="21">
        <v>0.92</v>
      </c>
      <c r="S3324" s="20">
        <v>10591.978334453584</v>
      </c>
    </row>
    <row r="3325" spans="2:19" ht="15" customHeight="1" x14ac:dyDescent="0.25">
      <c r="B3325" s="2" t="str">
        <f t="shared" si="102"/>
        <v>NSG_Business_Small/Mid-Size Business_Partner Trade Ally Rebate_Steam Traps_HVAC Repair/Rep - No Audit_CI</v>
      </c>
      <c r="C3325" s="2" t="str">
        <f t="shared" si="103"/>
        <v>NSG_Business_Small/Mid-Size Business_Partner Trade Ally Rebate_Steam Traps_HVAC Repair/Rep - No Audit_CI_2022</v>
      </c>
      <c r="D3325" s="19" t="s">
        <v>1787</v>
      </c>
      <c r="E3325" s="19" t="s">
        <v>3</v>
      </c>
      <c r="F3325" s="19" t="s">
        <v>1432</v>
      </c>
      <c r="G3325" s="19" t="s">
        <v>1799</v>
      </c>
      <c r="H3325" s="19" t="s">
        <v>644</v>
      </c>
      <c r="I3325" s="19" t="s">
        <v>660</v>
      </c>
      <c r="J3325" s="19" t="s">
        <v>37</v>
      </c>
      <c r="K3325" s="19" t="s">
        <v>1159</v>
      </c>
      <c r="L3325" s="19">
        <v>2022</v>
      </c>
      <c r="M3325" s="20">
        <v>1</v>
      </c>
      <c r="N3325" s="19" t="s">
        <v>1798</v>
      </c>
      <c r="O3325" s="20">
        <v>9</v>
      </c>
      <c r="P3325" s="20">
        <v>9</v>
      </c>
      <c r="Q3325" s="20">
        <v>857.95024509074051</v>
      </c>
      <c r="R3325" s="21">
        <v>0.92</v>
      </c>
      <c r="S3325" s="20">
        <v>857.95024509074051</v>
      </c>
    </row>
    <row r="3326" spans="2:19" ht="15" customHeight="1" x14ac:dyDescent="0.25">
      <c r="B3326" s="2" t="str">
        <f t="shared" si="102"/>
        <v>NSG_Business_Small/Mid-Size Business_Partner Trade Ally Rebate_Steam Traps_HVAC Repair/Rep - No Audit_CI</v>
      </c>
      <c r="C3326" s="2" t="str">
        <f t="shared" si="103"/>
        <v>NSG_Business_Small/Mid-Size Business_Partner Trade Ally Rebate_Steam Traps_HVAC Repair/Rep - No Audit_CI_2023</v>
      </c>
      <c r="D3326" s="19" t="s">
        <v>1787</v>
      </c>
      <c r="E3326" s="19" t="s">
        <v>3</v>
      </c>
      <c r="F3326" s="19" t="s">
        <v>1432</v>
      </c>
      <c r="G3326" s="19" t="s">
        <v>1799</v>
      </c>
      <c r="H3326" s="19" t="s">
        <v>644</v>
      </c>
      <c r="I3326" s="19" t="s">
        <v>660</v>
      </c>
      <c r="J3326" s="19" t="s">
        <v>37</v>
      </c>
      <c r="K3326" s="19" t="s">
        <v>1159</v>
      </c>
      <c r="L3326" s="19">
        <v>2023</v>
      </c>
      <c r="M3326" s="20">
        <v>1</v>
      </c>
      <c r="N3326" s="19" t="s">
        <v>1798</v>
      </c>
      <c r="O3326" s="20">
        <v>8</v>
      </c>
      <c r="P3326" s="20">
        <v>8</v>
      </c>
      <c r="Q3326" s="20">
        <v>762.62244008065818</v>
      </c>
      <c r="R3326" s="21">
        <v>0.92</v>
      </c>
      <c r="S3326" s="20">
        <v>762.62244008065818</v>
      </c>
    </row>
    <row r="3327" spans="2:19" ht="15" customHeight="1" x14ac:dyDescent="0.25">
      <c r="B3327" s="2" t="str">
        <f t="shared" si="102"/>
        <v>NSG_Business_Small/Mid-Size Business_Partner Trade Ally Rebate_Steam Traps_HVAC Repair/Rep - No Audit_CI</v>
      </c>
      <c r="C3327" s="2" t="str">
        <f t="shared" si="103"/>
        <v>NSG_Business_Small/Mid-Size Business_Partner Trade Ally Rebate_Steam Traps_HVAC Repair/Rep - No Audit_CI_2024</v>
      </c>
      <c r="D3327" s="19" t="s">
        <v>1787</v>
      </c>
      <c r="E3327" s="19" t="s">
        <v>3</v>
      </c>
      <c r="F3327" s="19" t="s">
        <v>1432</v>
      </c>
      <c r="G3327" s="19" t="s">
        <v>1799</v>
      </c>
      <c r="H3327" s="19" t="s">
        <v>644</v>
      </c>
      <c r="I3327" s="19" t="s">
        <v>660</v>
      </c>
      <c r="J3327" s="19" t="s">
        <v>37</v>
      </c>
      <c r="K3327" s="19" t="s">
        <v>1159</v>
      </c>
      <c r="L3327" s="19">
        <v>2024</v>
      </c>
      <c r="M3327" s="20">
        <v>1</v>
      </c>
      <c r="N3327" s="19" t="s">
        <v>1798</v>
      </c>
      <c r="O3327" s="20">
        <v>8</v>
      </c>
      <c r="P3327" s="20">
        <v>8</v>
      </c>
      <c r="Q3327" s="20">
        <v>762.62244008065818</v>
      </c>
      <c r="R3327" s="21">
        <v>0.92</v>
      </c>
      <c r="S3327" s="20">
        <v>762.62244008065818</v>
      </c>
    </row>
    <row r="3328" spans="2:19" ht="15" customHeight="1" x14ac:dyDescent="0.25">
      <c r="B3328" s="2" t="str">
        <f t="shared" si="102"/>
        <v>NSG_Business_Small/Mid-Size Business_Partner Trade Ally Rebate_Steam Traps_HVAC Repair/Rep - No Audit_CI</v>
      </c>
      <c r="C3328" s="2" t="str">
        <f t="shared" si="103"/>
        <v>NSG_Business_Small/Mid-Size Business_Partner Trade Ally Rebate_Steam Traps_HVAC Repair/Rep - No Audit_CI_2025</v>
      </c>
      <c r="D3328" s="19" t="s">
        <v>1787</v>
      </c>
      <c r="E3328" s="19" t="s">
        <v>3</v>
      </c>
      <c r="F3328" s="19" t="s">
        <v>1432</v>
      </c>
      <c r="G3328" s="19" t="s">
        <v>1799</v>
      </c>
      <c r="H3328" s="19" t="s">
        <v>644</v>
      </c>
      <c r="I3328" s="19" t="s">
        <v>660</v>
      </c>
      <c r="J3328" s="19" t="s">
        <v>37</v>
      </c>
      <c r="K3328" s="19" t="s">
        <v>1159</v>
      </c>
      <c r="L3328" s="19">
        <v>2025</v>
      </c>
      <c r="M3328" s="20">
        <v>1</v>
      </c>
      <c r="N3328" s="19" t="s">
        <v>1798</v>
      </c>
      <c r="O3328" s="20">
        <v>8</v>
      </c>
      <c r="P3328" s="20">
        <v>8</v>
      </c>
      <c r="Q3328" s="20">
        <v>762.62244008065818</v>
      </c>
      <c r="R3328" s="21">
        <v>0.92</v>
      </c>
      <c r="S3328" s="20">
        <v>762.62244008065818</v>
      </c>
    </row>
    <row r="3329" spans="2:19" ht="15" customHeight="1" x14ac:dyDescent="0.25">
      <c r="B3329" s="2" t="str">
        <f t="shared" si="102"/>
        <v>NSG_Business_Small/Mid-Size Business_Partner Trade Ally Rebate_Steam Traps_Industrial/Process Audit - psig ≤ 15_CI/SMB</v>
      </c>
      <c r="C3329" s="2" t="str">
        <f t="shared" si="103"/>
        <v>NSG_Business_Small/Mid-Size Business_Partner Trade Ally Rebate_Steam Traps_Industrial/Process Audit - psig ≤ 15_CI/SMB_2022</v>
      </c>
      <c r="D3329" s="19" t="s">
        <v>1787</v>
      </c>
      <c r="E3329" s="19" t="s">
        <v>3</v>
      </c>
      <c r="F3329" s="19" t="s">
        <v>1432</v>
      </c>
      <c r="G3329" s="19" t="s">
        <v>1799</v>
      </c>
      <c r="H3329" s="19" t="s">
        <v>644</v>
      </c>
      <c r="I3329" s="19" t="s">
        <v>1383</v>
      </c>
      <c r="J3329" s="19" t="s">
        <v>37</v>
      </c>
      <c r="K3329" s="19" t="s">
        <v>970</v>
      </c>
      <c r="L3329" s="19">
        <v>2022</v>
      </c>
      <c r="M3329" s="20">
        <v>1</v>
      </c>
      <c r="N3329" s="19" t="s">
        <v>1798</v>
      </c>
      <c r="O3329" s="20">
        <v>0</v>
      </c>
      <c r="P3329" s="20">
        <v>0</v>
      </c>
      <c r="Q3329" s="20">
        <v>0</v>
      </c>
      <c r="R3329" s="21">
        <v>0.92</v>
      </c>
      <c r="S3329" s="20">
        <v>0</v>
      </c>
    </row>
    <row r="3330" spans="2:19" ht="15" customHeight="1" x14ac:dyDescent="0.25">
      <c r="B3330" s="2" t="str">
        <f t="shared" si="102"/>
        <v>NSG_Business_Small/Mid-Size Business_Partner Trade Ally Rebate_Steam Traps_Industrial/Process Audit - psig ≤ 15_CI/SMB</v>
      </c>
      <c r="C3330" s="2" t="str">
        <f t="shared" si="103"/>
        <v>NSG_Business_Small/Mid-Size Business_Partner Trade Ally Rebate_Steam Traps_Industrial/Process Audit - psig ≤ 15_CI/SMB_2023</v>
      </c>
      <c r="D3330" s="19" t="s">
        <v>1787</v>
      </c>
      <c r="E3330" s="19" t="s">
        <v>3</v>
      </c>
      <c r="F3330" s="19" t="s">
        <v>1432</v>
      </c>
      <c r="G3330" s="19" t="s">
        <v>1799</v>
      </c>
      <c r="H3330" s="19" t="s">
        <v>644</v>
      </c>
      <c r="I3330" s="19" t="s">
        <v>1383</v>
      </c>
      <c r="J3330" s="19" t="s">
        <v>37</v>
      </c>
      <c r="K3330" s="19" t="s">
        <v>970</v>
      </c>
      <c r="L3330" s="19">
        <v>2023</v>
      </c>
      <c r="M3330" s="20">
        <v>1</v>
      </c>
      <c r="N3330" s="19" t="s">
        <v>1798</v>
      </c>
      <c r="O3330" s="20">
        <v>0</v>
      </c>
      <c r="P3330" s="20">
        <v>0</v>
      </c>
      <c r="Q3330" s="20">
        <v>0</v>
      </c>
      <c r="R3330" s="21">
        <v>0.92</v>
      </c>
      <c r="S3330" s="20">
        <v>0</v>
      </c>
    </row>
    <row r="3331" spans="2:19" ht="15" customHeight="1" x14ac:dyDescent="0.25">
      <c r="B3331" s="2" t="str">
        <f t="shared" si="102"/>
        <v>NSG_Business_Small/Mid-Size Business_Partner Trade Ally Rebate_Steam Traps_Industrial/Process Audit - psig ≤ 15_CI/SMB</v>
      </c>
      <c r="C3331" s="2" t="str">
        <f t="shared" si="103"/>
        <v>NSG_Business_Small/Mid-Size Business_Partner Trade Ally Rebate_Steam Traps_Industrial/Process Audit - psig ≤ 15_CI/SMB_2024</v>
      </c>
      <c r="D3331" s="19" t="s">
        <v>1787</v>
      </c>
      <c r="E3331" s="19" t="s">
        <v>3</v>
      </c>
      <c r="F3331" s="19" t="s">
        <v>1432</v>
      </c>
      <c r="G3331" s="19" t="s">
        <v>1799</v>
      </c>
      <c r="H3331" s="19" t="s">
        <v>644</v>
      </c>
      <c r="I3331" s="19" t="s">
        <v>1383</v>
      </c>
      <c r="J3331" s="19" t="s">
        <v>37</v>
      </c>
      <c r="K3331" s="19" t="s">
        <v>970</v>
      </c>
      <c r="L3331" s="19">
        <v>2024</v>
      </c>
      <c r="M3331" s="20">
        <v>1</v>
      </c>
      <c r="N3331" s="19" t="s">
        <v>1798</v>
      </c>
      <c r="O3331" s="20">
        <v>0</v>
      </c>
      <c r="P3331" s="20">
        <v>0</v>
      </c>
      <c r="Q3331" s="20">
        <v>0</v>
      </c>
      <c r="R3331" s="21">
        <v>0.92</v>
      </c>
      <c r="S3331" s="20">
        <v>0</v>
      </c>
    </row>
    <row r="3332" spans="2:19" ht="15" customHeight="1" x14ac:dyDescent="0.25">
      <c r="B3332" s="2" t="str">
        <f t="shared" si="102"/>
        <v>NSG_Business_Small/Mid-Size Business_Partner Trade Ally Rebate_Steam Traps_Industrial/Process Audit - psig ≤ 15_CI/SMB</v>
      </c>
      <c r="C3332" s="2" t="str">
        <f t="shared" si="103"/>
        <v>NSG_Business_Small/Mid-Size Business_Partner Trade Ally Rebate_Steam Traps_Industrial/Process Audit - psig ≤ 15_CI/SMB_2025</v>
      </c>
      <c r="D3332" s="19" t="s">
        <v>1787</v>
      </c>
      <c r="E3332" s="19" t="s">
        <v>3</v>
      </c>
      <c r="F3332" s="19" t="s">
        <v>1432</v>
      </c>
      <c r="G3332" s="19" t="s">
        <v>1799</v>
      </c>
      <c r="H3332" s="19" t="s">
        <v>644</v>
      </c>
      <c r="I3332" s="19" t="s">
        <v>1383</v>
      </c>
      <c r="J3332" s="19" t="s">
        <v>37</v>
      </c>
      <c r="K3332" s="19" t="s">
        <v>970</v>
      </c>
      <c r="L3332" s="19">
        <v>2025</v>
      </c>
      <c r="M3332" s="20">
        <v>1</v>
      </c>
      <c r="N3332" s="19" t="s">
        <v>1798</v>
      </c>
      <c r="O3332" s="20">
        <v>0</v>
      </c>
      <c r="P3332" s="20">
        <v>0</v>
      </c>
      <c r="Q3332" s="20">
        <v>0</v>
      </c>
      <c r="R3332" s="21">
        <v>0.92</v>
      </c>
      <c r="S3332" s="20">
        <v>0</v>
      </c>
    </row>
    <row r="3333" spans="2:19" ht="15" customHeight="1" x14ac:dyDescent="0.25">
      <c r="B3333" s="2" t="str">
        <f t="shared" si="102"/>
        <v>NSG_Business_Small/Mid-Size Business_Partner Trade Ally Rebate_Steam Traps_Industrial/Process Audit - 15 &lt; psig &lt; 30_CI/SMB</v>
      </c>
      <c r="C3333" s="2" t="str">
        <f t="shared" si="103"/>
        <v>NSG_Business_Small/Mid-Size Business_Partner Trade Ally Rebate_Steam Traps_Industrial/Process Audit - 15 &lt; psig &lt; 30_CI/SMB_2022</v>
      </c>
      <c r="D3333" s="19" t="s">
        <v>1787</v>
      </c>
      <c r="E3333" s="19" t="s">
        <v>3</v>
      </c>
      <c r="F3333" s="19" t="s">
        <v>1432</v>
      </c>
      <c r="G3333" s="19" t="s">
        <v>1799</v>
      </c>
      <c r="H3333" s="19" t="s">
        <v>644</v>
      </c>
      <c r="I3333" s="19" t="s">
        <v>1384</v>
      </c>
      <c r="J3333" s="19" t="s">
        <v>37</v>
      </c>
      <c r="K3333" s="19" t="s">
        <v>970</v>
      </c>
      <c r="L3333" s="19">
        <v>2022</v>
      </c>
      <c r="M3333" s="20">
        <v>1</v>
      </c>
      <c r="N3333" s="19" t="s">
        <v>1798</v>
      </c>
      <c r="O3333" s="20">
        <v>0</v>
      </c>
      <c r="P3333" s="20">
        <v>0</v>
      </c>
      <c r="Q3333" s="20">
        <v>0</v>
      </c>
      <c r="R3333" s="21">
        <v>0.92</v>
      </c>
      <c r="S3333" s="20">
        <v>0</v>
      </c>
    </row>
    <row r="3334" spans="2:19" ht="15" customHeight="1" x14ac:dyDescent="0.25">
      <c r="B3334" s="2" t="str">
        <f t="shared" ref="B3334:B3397" si="104">D3334&amp;"_"&amp;E3334&amp;"_"&amp;F3334&amp;"_"&amp;G3334&amp;"_"&amp;H3334&amp;"_"&amp;I3334&amp;"_"&amp;K3334</f>
        <v>NSG_Business_Small/Mid-Size Business_Partner Trade Ally Rebate_Steam Traps_Industrial/Process Audit - 15 &lt; psig &lt; 30_CI/SMB</v>
      </c>
      <c r="C3334" s="2" t="str">
        <f t="shared" ref="C3334:C3397" si="105">D3334&amp;"_"&amp;E3334&amp;"_"&amp;F3334&amp;"_"&amp;G3334&amp;"_"&amp;H3334&amp;"_"&amp;I3334&amp;"_"&amp;K3334&amp;"_"&amp;L3334</f>
        <v>NSG_Business_Small/Mid-Size Business_Partner Trade Ally Rebate_Steam Traps_Industrial/Process Audit - 15 &lt; psig &lt; 30_CI/SMB_2023</v>
      </c>
      <c r="D3334" s="19" t="s">
        <v>1787</v>
      </c>
      <c r="E3334" s="19" t="s">
        <v>3</v>
      </c>
      <c r="F3334" s="19" t="s">
        <v>1432</v>
      </c>
      <c r="G3334" s="19" t="s">
        <v>1799</v>
      </c>
      <c r="H3334" s="19" t="s">
        <v>644</v>
      </c>
      <c r="I3334" s="19" t="s">
        <v>1384</v>
      </c>
      <c r="J3334" s="19" t="s">
        <v>37</v>
      </c>
      <c r="K3334" s="19" t="s">
        <v>970</v>
      </c>
      <c r="L3334" s="19">
        <v>2023</v>
      </c>
      <c r="M3334" s="20">
        <v>1</v>
      </c>
      <c r="N3334" s="19" t="s">
        <v>1798</v>
      </c>
      <c r="O3334" s="20">
        <v>0</v>
      </c>
      <c r="P3334" s="20">
        <v>0</v>
      </c>
      <c r="Q3334" s="20">
        <v>0</v>
      </c>
      <c r="R3334" s="21">
        <v>0.92</v>
      </c>
      <c r="S3334" s="20">
        <v>0</v>
      </c>
    </row>
    <row r="3335" spans="2:19" ht="15" customHeight="1" x14ac:dyDescent="0.25">
      <c r="B3335" s="2" t="str">
        <f t="shared" si="104"/>
        <v>NSG_Business_Small/Mid-Size Business_Partner Trade Ally Rebate_Steam Traps_Industrial/Process Audit - 15 &lt; psig &lt; 30_CI/SMB</v>
      </c>
      <c r="C3335" s="2" t="str">
        <f t="shared" si="105"/>
        <v>NSG_Business_Small/Mid-Size Business_Partner Trade Ally Rebate_Steam Traps_Industrial/Process Audit - 15 &lt; psig &lt; 30_CI/SMB_2024</v>
      </c>
      <c r="D3335" s="19" t="s">
        <v>1787</v>
      </c>
      <c r="E3335" s="19" t="s">
        <v>3</v>
      </c>
      <c r="F3335" s="19" t="s">
        <v>1432</v>
      </c>
      <c r="G3335" s="19" t="s">
        <v>1799</v>
      </c>
      <c r="H3335" s="19" t="s">
        <v>644</v>
      </c>
      <c r="I3335" s="19" t="s">
        <v>1384</v>
      </c>
      <c r="J3335" s="19" t="s">
        <v>37</v>
      </c>
      <c r="K3335" s="19" t="s">
        <v>970</v>
      </c>
      <c r="L3335" s="19">
        <v>2024</v>
      </c>
      <c r="M3335" s="20">
        <v>1</v>
      </c>
      <c r="N3335" s="19" t="s">
        <v>1798</v>
      </c>
      <c r="O3335" s="20">
        <v>0</v>
      </c>
      <c r="P3335" s="20">
        <v>0</v>
      </c>
      <c r="Q3335" s="20">
        <v>0</v>
      </c>
      <c r="R3335" s="21">
        <v>0.92</v>
      </c>
      <c r="S3335" s="20">
        <v>0</v>
      </c>
    </row>
    <row r="3336" spans="2:19" ht="15" customHeight="1" x14ac:dyDescent="0.25">
      <c r="B3336" s="2" t="str">
        <f t="shared" si="104"/>
        <v>NSG_Business_Small/Mid-Size Business_Partner Trade Ally Rebate_Steam Traps_Industrial/Process Audit - 15 &lt; psig &lt; 30_CI/SMB</v>
      </c>
      <c r="C3336" s="2" t="str">
        <f t="shared" si="105"/>
        <v>NSG_Business_Small/Mid-Size Business_Partner Trade Ally Rebate_Steam Traps_Industrial/Process Audit - 15 &lt; psig &lt; 30_CI/SMB_2025</v>
      </c>
      <c r="D3336" s="19" t="s">
        <v>1787</v>
      </c>
      <c r="E3336" s="19" t="s">
        <v>3</v>
      </c>
      <c r="F3336" s="19" t="s">
        <v>1432</v>
      </c>
      <c r="G3336" s="19" t="s">
        <v>1799</v>
      </c>
      <c r="H3336" s="19" t="s">
        <v>644</v>
      </c>
      <c r="I3336" s="19" t="s">
        <v>1384</v>
      </c>
      <c r="J3336" s="19" t="s">
        <v>37</v>
      </c>
      <c r="K3336" s="19" t="s">
        <v>970</v>
      </c>
      <c r="L3336" s="19">
        <v>2025</v>
      </c>
      <c r="M3336" s="20">
        <v>1</v>
      </c>
      <c r="N3336" s="19" t="s">
        <v>1798</v>
      </c>
      <c r="O3336" s="20">
        <v>0</v>
      </c>
      <c r="P3336" s="20">
        <v>0</v>
      </c>
      <c r="Q3336" s="20">
        <v>0</v>
      </c>
      <c r="R3336" s="21">
        <v>0.92</v>
      </c>
      <c r="S3336" s="20">
        <v>0</v>
      </c>
    </row>
    <row r="3337" spans="2:19" ht="15" customHeight="1" x14ac:dyDescent="0.25">
      <c r="B3337" s="2" t="str">
        <f t="shared" si="104"/>
        <v>NSG_Business_Small/Mid-Size Business_Partner Trade Ally Rebate_Steam Traps_Industrial/Process Audit - 30 ≤ psig &lt; 75_CI/SMB</v>
      </c>
      <c r="C3337" s="2" t="str">
        <f t="shared" si="105"/>
        <v>NSG_Business_Small/Mid-Size Business_Partner Trade Ally Rebate_Steam Traps_Industrial/Process Audit - 30 ≤ psig &lt; 75_CI/SMB_2022</v>
      </c>
      <c r="D3337" s="19" t="s">
        <v>1787</v>
      </c>
      <c r="E3337" s="19" t="s">
        <v>3</v>
      </c>
      <c r="F3337" s="19" t="s">
        <v>1432</v>
      </c>
      <c r="G3337" s="19" t="s">
        <v>1799</v>
      </c>
      <c r="H3337" s="19" t="s">
        <v>644</v>
      </c>
      <c r="I3337" s="19" t="s">
        <v>1385</v>
      </c>
      <c r="J3337" s="19" t="s">
        <v>37</v>
      </c>
      <c r="K3337" s="19" t="s">
        <v>970</v>
      </c>
      <c r="L3337" s="19">
        <v>2022</v>
      </c>
      <c r="M3337" s="20">
        <v>1</v>
      </c>
      <c r="N3337" s="19" t="s">
        <v>1798</v>
      </c>
      <c r="O3337" s="20">
        <v>0</v>
      </c>
      <c r="P3337" s="20">
        <v>0</v>
      </c>
      <c r="Q3337" s="20">
        <v>0</v>
      </c>
      <c r="R3337" s="21">
        <v>0.92</v>
      </c>
      <c r="S3337" s="20">
        <v>0</v>
      </c>
    </row>
    <row r="3338" spans="2:19" ht="15" customHeight="1" x14ac:dyDescent="0.25">
      <c r="B3338" s="2" t="str">
        <f t="shared" si="104"/>
        <v>NSG_Business_Small/Mid-Size Business_Partner Trade Ally Rebate_Steam Traps_Industrial/Process Audit - 30 ≤ psig &lt; 75_CI/SMB</v>
      </c>
      <c r="C3338" s="2" t="str">
        <f t="shared" si="105"/>
        <v>NSG_Business_Small/Mid-Size Business_Partner Trade Ally Rebate_Steam Traps_Industrial/Process Audit - 30 ≤ psig &lt; 75_CI/SMB_2023</v>
      </c>
      <c r="D3338" s="19" t="s">
        <v>1787</v>
      </c>
      <c r="E3338" s="19" t="s">
        <v>3</v>
      </c>
      <c r="F3338" s="19" t="s">
        <v>1432</v>
      </c>
      <c r="G3338" s="19" t="s">
        <v>1799</v>
      </c>
      <c r="H3338" s="19" t="s">
        <v>644</v>
      </c>
      <c r="I3338" s="19" t="s">
        <v>1385</v>
      </c>
      <c r="J3338" s="19" t="s">
        <v>37</v>
      </c>
      <c r="K3338" s="19" t="s">
        <v>970</v>
      </c>
      <c r="L3338" s="19">
        <v>2023</v>
      </c>
      <c r="M3338" s="20">
        <v>1</v>
      </c>
      <c r="N3338" s="19" t="s">
        <v>1798</v>
      </c>
      <c r="O3338" s="20">
        <v>0</v>
      </c>
      <c r="P3338" s="20">
        <v>0</v>
      </c>
      <c r="Q3338" s="20">
        <v>0</v>
      </c>
      <c r="R3338" s="21">
        <v>0.92</v>
      </c>
      <c r="S3338" s="20">
        <v>0</v>
      </c>
    </row>
    <row r="3339" spans="2:19" ht="15" customHeight="1" x14ac:dyDescent="0.25">
      <c r="B3339" s="2" t="str">
        <f t="shared" si="104"/>
        <v>NSG_Business_Small/Mid-Size Business_Partner Trade Ally Rebate_Steam Traps_Industrial/Process Audit - 30 ≤ psig &lt; 75_CI/SMB</v>
      </c>
      <c r="C3339" s="2" t="str">
        <f t="shared" si="105"/>
        <v>NSG_Business_Small/Mid-Size Business_Partner Trade Ally Rebate_Steam Traps_Industrial/Process Audit - 30 ≤ psig &lt; 75_CI/SMB_2024</v>
      </c>
      <c r="D3339" s="19" t="s">
        <v>1787</v>
      </c>
      <c r="E3339" s="19" t="s">
        <v>3</v>
      </c>
      <c r="F3339" s="19" t="s">
        <v>1432</v>
      </c>
      <c r="G3339" s="19" t="s">
        <v>1799</v>
      </c>
      <c r="H3339" s="19" t="s">
        <v>644</v>
      </c>
      <c r="I3339" s="19" t="s">
        <v>1385</v>
      </c>
      <c r="J3339" s="19" t="s">
        <v>37</v>
      </c>
      <c r="K3339" s="19" t="s">
        <v>970</v>
      </c>
      <c r="L3339" s="19">
        <v>2024</v>
      </c>
      <c r="M3339" s="20">
        <v>1</v>
      </c>
      <c r="N3339" s="19" t="s">
        <v>1798</v>
      </c>
      <c r="O3339" s="20">
        <v>0</v>
      </c>
      <c r="P3339" s="20">
        <v>0</v>
      </c>
      <c r="Q3339" s="20">
        <v>0</v>
      </c>
      <c r="R3339" s="21">
        <v>0.92</v>
      </c>
      <c r="S3339" s="20">
        <v>0</v>
      </c>
    </row>
    <row r="3340" spans="2:19" ht="15" customHeight="1" x14ac:dyDescent="0.25">
      <c r="B3340" s="2" t="str">
        <f t="shared" si="104"/>
        <v>NSG_Business_Small/Mid-Size Business_Partner Trade Ally Rebate_Steam Traps_Industrial/Process Audit - 30 ≤ psig &lt; 75_CI/SMB</v>
      </c>
      <c r="C3340" s="2" t="str">
        <f t="shared" si="105"/>
        <v>NSG_Business_Small/Mid-Size Business_Partner Trade Ally Rebate_Steam Traps_Industrial/Process Audit - 30 ≤ psig &lt; 75_CI/SMB_2025</v>
      </c>
      <c r="D3340" s="19" t="s">
        <v>1787</v>
      </c>
      <c r="E3340" s="19" t="s">
        <v>3</v>
      </c>
      <c r="F3340" s="19" t="s">
        <v>1432</v>
      </c>
      <c r="G3340" s="19" t="s">
        <v>1799</v>
      </c>
      <c r="H3340" s="19" t="s">
        <v>644</v>
      </c>
      <c r="I3340" s="19" t="s">
        <v>1385</v>
      </c>
      <c r="J3340" s="19" t="s">
        <v>37</v>
      </c>
      <c r="K3340" s="19" t="s">
        <v>970</v>
      </c>
      <c r="L3340" s="19">
        <v>2025</v>
      </c>
      <c r="M3340" s="20">
        <v>1</v>
      </c>
      <c r="N3340" s="19" t="s">
        <v>1798</v>
      </c>
      <c r="O3340" s="20">
        <v>0</v>
      </c>
      <c r="P3340" s="20">
        <v>0</v>
      </c>
      <c r="Q3340" s="20">
        <v>0</v>
      </c>
      <c r="R3340" s="21">
        <v>0.92</v>
      </c>
      <c r="S3340" s="20">
        <v>0</v>
      </c>
    </row>
    <row r="3341" spans="2:19" ht="15" customHeight="1" x14ac:dyDescent="0.25">
      <c r="B3341" s="2" t="str">
        <f t="shared" si="104"/>
        <v>NSG_Business_Small/Mid-Size Business_Partner Trade Ally Rebate_Steam Traps_Industrial/Process Audit - 75 ≤ psig &lt; 125_CI/SMB</v>
      </c>
      <c r="C3341" s="2" t="str">
        <f t="shared" si="105"/>
        <v>NSG_Business_Small/Mid-Size Business_Partner Trade Ally Rebate_Steam Traps_Industrial/Process Audit - 75 ≤ psig &lt; 125_CI/SMB_2022</v>
      </c>
      <c r="D3341" s="19" t="s">
        <v>1787</v>
      </c>
      <c r="E3341" s="19" t="s">
        <v>3</v>
      </c>
      <c r="F3341" s="19" t="s">
        <v>1432</v>
      </c>
      <c r="G3341" s="19" t="s">
        <v>1799</v>
      </c>
      <c r="H3341" s="19" t="s">
        <v>644</v>
      </c>
      <c r="I3341" s="19" t="s">
        <v>1386</v>
      </c>
      <c r="J3341" s="19" t="s">
        <v>37</v>
      </c>
      <c r="K3341" s="19" t="s">
        <v>970</v>
      </c>
      <c r="L3341" s="19">
        <v>2022</v>
      </c>
      <c r="M3341" s="20">
        <v>1</v>
      </c>
      <c r="N3341" s="19" t="s">
        <v>1798</v>
      </c>
      <c r="O3341" s="20">
        <v>0</v>
      </c>
      <c r="P3341" s="20">
        <v>0</v>
      </c>
      <c r="Q3341" s="20">
        <v>0</v>
      </c>
      <c r="R3341" s="21">
        <v>0.92</v>
      </c>
      <c r="S3341" s="20">
        <v>0</v>
      </c>
    </row>
    <row r="3342" spans="2:19" ht="15" customHeight="1" x14ac:dyDescent="0.25">
      <c r="B3342" s="2" t="str">
        <f t="shared" si="104"/>
        <v>NSG_Business_Small/Mid-Size Business_Partner Trade Ally Rebate_Steam Traps_Industrial/Process Audit - 75 ≤ psig &lt; 125_CI/SMB</v>
      </c>
      <c r="C3342" s="2" t="str">
        <f t="shared" si="105"/>
        <v>NSG_Business_Small/Mid-Size Business_Partner Trade Ally Rebate_Steam Traps_Industrial/Process Audit - 75 ≤ psig &lt; 125_CI/SMB_2023</v>
      </c>
      <c r="D3342" s="19" t="s">
        <v>1787</v>
      </c>
      <c r="E3342" s="19" t="s">
        <v>3</v>
      </c>
      <c r="F3342" s="19" t="s">
        <v>1432</v>
      </c>
      <c r="G3342" s="19" t="s">
        <v>1799</v>
      </c>
      <c r="H3342" s="19" t="s">
        <v>644</v>
      </c>
      <c r="I3342" s="19" t="s">
        <v>1386</v>
      </c>
      <c r="J3342" s="19" t="s">
        <v>37</v>
      </c>
      <c r="K3342" s="19" t="s">
        <v>970</v>
      </c>
      <c r="L3342" s="19">
        <v>2023</v>
      </c>
      <c r="M3342" s="20">
        <v>1</v>
      </c>
      <c r="N3342" s="19" t="s">
        <v>1798</v>
      </c>
      <c r="O3342" s="20">
        <v>0</v>
      </c>
      <c r="P3342" s="20">
        <v>0</v>
      </c>
      <c r="Q3342" s="20">
        <v>0</v>
      </c>
      <c r="R3342" s="21">
        <v>0.92</v>
      </c>
      <c r="S3342" s="20">
        <v>0</v>
      </c>
    </row>
    <row r="3343" spans="2:19" ht="15" customHeight="1" x14ac:dyDescent="0.25">
      <c r="B3343" s="2" t="str">
        <f t="shared" si="104"/>
        <v>NSG_Business_Small/Mid-Size Business_Partner Trade Ally Rebate_Steam Traps_Industrial/Process Audit - 75 ≤ psig &lt; 125_CI/SMB</v>
      </c>
      <c r="C3343" s="2" t="str">
        <f t="shared" si="105"/>
        <v>NSG_Business_Small/Mid-Size Business_Partner Trade Ally Rebate_Steam Traps_Industrial/Process Audit - 75 ≤ psig &lt; 125_CI/SMB_2024</v>
      </c>
      <c r="D3343" s="19" t="s">
        <v>1787</v>
      </c>
      <c r="E3343" s="19" t="s">
        <v>3</v>
      </c>
      <c r="F3343" s="19" t="s">
        <v>1432</v>
      </c>
      <c r="G3343" s="19" t="s">
        <v>1799</v>
      </c>
      <c r="H3343" s="19" t="s">
        <v>644</v>
      </c>
      <c r="I3343" s="19" t="s">
        <v>1386</v>
      </c>
      <c r="J3343" s="19" t="s">
        <v>37</v>
      </c>
      <c r="K3343" s="19" t="s">
        <v>970</v>
      </c>
      <c r="L3343" s="19">
        <v>2024</v>
      </c>
      <c r="M3343" s="20">
        <v>1</v>
      </c>
      <c r="N3343" s="19" t="s">
        <v>1798</v>
      </c>
      <c r="O3343" s="20">
        <v>0</v>
      </c>
      <c r="P3343" s="20">
        <v>0</v>
      </c>
      <c r="Q3343" s="20">
        <v>0</v>
      </c>
      <c r="R3343" s="21">
        <v>0.92</v>
      </c>
      <c r="S3343" s="20">
        <v>0</v>
      </c>
    </row>
    <row r="3344" spans="2:19" ht="15" customHeight="1" x14ac:dyDescent="0.25">
      <c r="B3344" s="2" t="str">
        <f t="shared" si="104"/>
        <v>NSG_Business_Small/Mid-Size Business_Partner Trade Ally Rebate_Steam Traps_Industrial/Process Audit - 75 ≤ psig &lt; 125_CI/SMB</v>
      </c>
      <c r="C3344" s="2" t="str">
        <f t="shared" si="105"/>
        <v>NSG_Business_Small/Mid-Size Business_Partner Trade Ally Rebate_Steam Traps_Industrial/Process Audit - 75 ≤ psig &lt; 125_CI/SMB_2025</v>
      </c>
      <c r="D3344" s="19" t="s">
        <v>1787</v>
      </c>
      <c r="E3344" s="19" t="s">
        <v>3</v>
      </c>
      <c r="F3344" s="19" t="s">
        <v>1432</v>
      </c>
      <c r="G3344" s="19" t="s">
        <v>1799</v>
      </c>
      <c r="H3344" s="19" t="s">
        <v>644</v>
      </c>
      <c r="I3344" s="19" t="s">
        <v>1386</v>
      </c>
      <c r="J3344" s="19" t="s">
        <v>37</v>
      </c>
      <c r="K3344" s="19" t="s">
        <v>970</v>
      </c>
      <c r="L3344" s="19">
        <v>2025</v>
      </c>
      <c r="M3344" s="20">
        <v>1</v>
      </c>
      <c r="N3344" s="19" t="s">
        <v>1798</v>
      </c>
      <c r="O3344" s="20">
        <v>0</v>
      </c>
      <c r="P3344" s="20">
        <v>0</v>
      </c>
      <c r="Q3344" s="20">
        <v>0</v>
      </c>
      <c r="R3344" s="21">
        <v>0.92</v>
      </c>
      <c r="S3344" s="20">
        <v>0</v>
      </c>
    </row>
    <row r="3345" spans="2:19" ht="15" customHeight="1" x14ac:dyDescent="0.25">
      <c r="B3345" s="2" t="str">
        <f t="shared" si="104"/>
        <v>NSG_Business_Small/Mid-Size Business_Partner Trade Ally Rebate_Steam Traps_Industrial/Process Audit - 125 ≤ psig &lt; 175_CI/SMB</v>
      </c>
      <c r="C3345" s="2" t="str">
        <f t="shared" si="105"/>
        <v>NSG_Business_Small/Mid-Size Business_Partner Trade Ally Rebate_Steam Traps_Industrial/Process Audit - 125 ≤ psig &lt; 175_CI/SMB_2022</v>
      </c>
      <c r="D3345" s="19" t="s">
        <v>1787</v>
      </c>
      <c r="E3345" s="19" t="s">
        <v>3</v>
      </c>
      <c r="F3345" s="19" t="s">
        <v>1432</v>
      </c>
      <c r="G3345" s="19" t="s">
        <v>1799</v>
      </c>
      <c r="H3345" s="19" t="s">
        <v>644</v>
      </c>
      <c r="I3345" s="19" t="s">
        <v>1374</v>
      </c>
      <c r="J3345" s="19" t="s">
        <v>37</v>
      </c>
      <c r="K3345" s="19" t="s">
        <v>970</v>
      </c>
      <c r="L3345" s="19">
        <v>2022</v>
      </c>
      <c r="M3345" s="20">
        <v>1</v>
      </c>
      <c r="N3345" s="19" t="s">
        <v>1798</v>
      </c>
      <c r="O3345" s="20">
        <v>0</v>
      </c>
      <c r="P3345" s="20">
        <v>0</v>
      </c>
      <c r="Q3345" s="20">
        <v>0</v>
      </c>
      <c r="R3345" s="21">
        <v>0.92</v>
      </c>
      <c r="S3345" s="20">
        <v>0</v>
      </c>
    </row>
    <row r="3346" spans="2:19" ht="15" customHeight="1" x14ac:dyDescent="0.25">
      <c r="B3346" s="2" t="str">
        <f t="shared" si="104"/>
        <v>NSG_Business_Small/Mid-Size Business_Partner Trade Ally Rebate_Steam Traps_Industrial/Process Audit - 125 ≤ psig &lt; 175_CI/SMB</v>
      </c>
      <c r="C3346" s="2" t="str">
        <f t="shared" si="105"/>
        <v>NSG_Business_Small/Mid-Size Business_Partner Trade Ally Rebate_Steam Traps_Industrial/Process Audit - 125 ≤ psig &lt; 175_CI/SMB_2023</v>
      </c>
      <c r="D3346" s="19" t="s">
        <v>1787</v>
      </c>
      <c r="E3346" s="19" t="s">
        <v>3</v>
      </c>
      <c r="F3346" s="19" t="s">
        <v>1432</v>
      </c>
      <c r="G3346" s="19" t="s">
        <v>1799</v>
      </c>
      <c r="H3346" s="19" t="s">
        <v>644</v>
      </c>
      <c r="I3346" s="19" t="s">
        <v>1374</v>
      </c>
      <c r="J3346" s="19" t="s">
        <v>37</v>
      </c>
      <c r="K3346" s="19" t="s">
        <v>970</v>
      </c>
      <c r="L3346" s="19">
        <v>2023</v>
      </c>
      <c r="M3346" s="20">
        <v>1</v>
      </c>
      <c r="N3346" s="19" t="s">
        <v>1798</v>
      </c>
      <c r="O3346" s="20">
        <v>0</v>
      </c>
      <c r="P3346" s="20">
        <v>0</v>
      </c>
      <c r="Q3346" s="20">
        <v>0</v>
      </c>
      <c r="R3346" s="21">
        <v>0.92</v>
      </c>
      <c r="S3346" s="20">
        <v>0</v>
      </c>
    </row>
    <row r="3347" spans="2:19" ht="15" customHeight="1" x14ac:dyDescent="0.25">
      <c r="B3347" s="2" t="str">
        <f t="shared" si="104"/>
        <v>NSG_Business_Small/Mid-Size Business_Partner Trade Ally Rebate_Steam Traps_Industrial/Process Audit - 125 ≤ psig &lt; 175_CI/SMB</v>
      </c>
      <c r="C3347" s="2" t="str">
        <f t="shared" si="105"/>
        <v>NSG_Business_Small/Mid-Size Business_Partner Trade Ally Rebate_Steam Traps_Industrial/Process Audit - 125 ≤ psig &lt; 175_CI/SMB_2024</v>
      </c>
      <c r="D3347" s="19" t="s">
        <v>1787</v>
      </c>
      <c r="E3347" s="19" t="s">
        <v>3</v>
      </c>
      <c r="F3347" s="19" t="s">
        <v>1432</v>
      </c>
      <c r="G3347" s="19" t="s">
        <v>1799</v>
      </c>
      <c r="H3347" s="19" t="s">
        <v>644</v>
      </c>
      <c r="I3347" s="19" t="s">
        <v>1374</v>
      </c>
      <c r="J3347" s="19" t="s">
        <v>37</v>
      </c>
      <c r="K3347" s="19" t="s">
        <v>970</v>
      </c>
      <c r="L3347" s="19">
        <v>2024</v>
      </c>
      <c r="M3347" s="20">
        <v>1</v>
      </c>
      <c r="N3347" s="19" t="s">
        <v>1798</v>
      </c>
      <c r="O3347" s="20">
        <v>0</v>
      </c>
      <c r="P3347" s="20">
        <v>0</v>
      </c>
      <c r="Q3347" s="20">
        <v>0</v>
      </c>
      <c r="R3347" s="21">
        <v>0.92</v>
      </c>
      <c r="S3347" s="20">
        <v>0</v>
      </c>
    </row>
    <row r="3348" spans="2:19" ht="15" customHeight="1" x14ac:dyDescent="0.25">
      <c r="B3348" s="2" t="str">
        <f t="shared" si="104"/>
        <v>NSG_Business_Small/Mid-Size Business_Partner Trade Ally Rebate_Steam Traps_Industrial/Process Audit - 125 ≤ psig &lt; 175_CI/SMB</v>
      </c>
      <c r="C3348" s="2" t="str">
        <f t="shared" si="105"/>
        <v>NSG_Business_Small/Mid-Size Business_Partner Trade Ally Rebate_Steam Traps_Industrial/Process Audit - 125 ≤ psig &lt; 175_CI/SMB_2025</v>
      </c>
      <c r="D3348" s="19" t="s">
        <v>1787</v>
      </c>
      <c r="E3348" s="19" t="s">
        <v>3</v>
      </c>
      <c r="F3348" s="19" t="s">
        <v>1432</v>
      </c>
      <c r="G3348" s="19" t="s">
        <v>1799</v>
      </c>
      <c r="H3348" s="19" t="s">
        <v>644</v>
      </c>
      <c r="I3348" s="19" t="s">
        <v>1374</v>
      </c>
      <c r="J3348" s="19" t="s">
        <v>37</v>
      </c>
      <c r="K3348" s="19" t="s">
        <v>970</v>
      </c>
      <c r="L3348" s="19">
        <v>2025</v>
      </c>
      <c r="M3348" s="20">
        <v>1</v>
      </c>
      <c r="N3348" s="19" t="s">
        <v>1798</v>
      </c>
      <c r="O3348" s="20">
        <v>0</v>
      </c>
      <c r="P3348" s="20">
        <v>0</v>
      </c>
      <c r="Q3348" s="20">
        <v>0</v>
      </c>
      <c r="R3348" s="21">
        <v>0.92</v>
      </c>
      <c r="S3348" s="20">
        <v>0</v>
      </c>
    </row>
    <row r="3349" spans="2:19" ht="15" customHeight="1" x14ac:dyDescent="0.25">
      <c r="B3349" s="2" t="str">
        <f t="shared" si="104"/>
        <v>NSG_Business_Small/Mid-Size Business_Partner Trade Ally Rebate_Steam Traps_Industrial/Process Audit - 175 ≤ psig &lt; 250_CI/SMB</v>
      </c>
      <c r="C3349" s="2" t="str">
        <f t="shared" si="105"/>
        <v>NSG_Business_Small/Mid-Size Business_Partner Trade Ally Rebate_Steam Traps_Industrial/Process Audit - 175 ≤ psig &lt; 250_CI/SMB_2022</v>
      </c>
      <c r="D3349" s="19" t="s">
        <v>1787</v>
      </c>
      <c r="E3349" s="19" t="s">
        <v>3</v>
      </c>
      <c r="F3349" s="19" t="s">
        <v>1432</v>
      </c>
      <c r="G3349" s="19" t="s">
        <v>1799</v>
      </c>
      <c r="H3349" s="19" t="s">
        <v>644</v>
      </c>
      <c r="I3349" s="19" t="s">
        <v>1375</v>
      </c>
      <c r="J3349" s="19" t="s">
        <v>37</v>
      </c>
      <c r="K3349" s="19" t="s">
        <v>970</v>
      </c>
      <c r="L3349" s="19">
        <v>2022</v>
      </c>
      <c r="M3349" s="20">
        <v>1</v>
      </c>
      <c r="N3349" s="19" t="s">
        <v>1798</v>
      </c>
      <c r="O3349" s="20">
        <v>0</v>
      </c>
      <c r="P3349" s="20">
        <v>0</v>
      </c>
      <c r="Q3349" s="20">
        <v>0</v>
      </c>
      <c r="R3349" s="21">
        <v>0.92</v>
      </c>
      <c r="S3349" s="20">
        <v>0</v>
      </c>
    </row>
    <row r="3350" spans="2:19" ht="15" customHeight="1" x14ac:dyDescent="0.25">
      <c r="B3350" s="2" t="str">
        <f t="shared" si="104"/>
        <v>NSG_Business_Small/Mid-Size Business_Partner Trade Ally Rebate_Steam Traps_Industrial/Process Audit - 175 ≤ psig &lt; 250_CI/SMB</v>
      </c>
      <c r="C3350" s="2" t="str">
        <f t="shared" si="105"/>
        <v>NSG_Business_Small/Mid-Size Business_Partner Trade Ally Rebate_Steam Traps_Industrial/Process Audit - 175 ≤ psig &lt; 250_CI/SMB_2023</v>
      </c>
      <c r="D3350" s="19" t="s">
        <v>1787</v>
      </c>
      <c r="E3350" s="19" t="s">
        <v>3</v>
      </c>
      <c r="F3350" s="19" t="s">
        <v>1432</v>
      </c>
      <c r="G3350" s="19" t="s">
        <v>1799</v>
      </c>
      <c r="H3350" s="19" t="s">
        <v>644</v>
      </c>
      <c r="I3350" s="19" t="s">
        <v>1375</v>
      </c>
      <c r="J3350" s="19" t="s">
        <v>37</v>
      </c>
      <c r="K3350" s="19" t="s">
        <v>970</v>
      </c>
      <c r="L3350" s="19">
        <v>2023</v>
      </c>
      <c r="M3350" s="20">
        <v>1</v>
      </c>
      <c r="N3350" s="19" t="s">
        <v>1798</v>
      </c>
      <c r="O3350" s="20">
        <v>0</v>
      </c>
      <c r="P3350" s="20">
        <v>0</v>
      </c>
      <c r="Q3350" s="20">
        <v>0</v>
      </c>
      <c r="R3350" s="21">
        <v>0.92</v>
      </c>
      <c r="S3350" s="20">
        <v>0</v>
      </c>
    </row>
    <row r="3351" spans="2:19" ht="15" customHeight="1" x14ac:dyDescent="0.25">
      <c r="B3351" s="2" t="str">
        <f t="shared" si="104"/>
        <v>NSG_Business_Small/Mid-Size Business_Partner Trade Ally Rebate_Steam Traps_Industrial/Process Audit - 175 ≤ psig &lt; 250_CI/SMB</v>
      </c>
      <c r="C3351" s="2" t="str">
        <f t="shared" si="105"/>
        <v>NSG_Business_Small/Mid-Size Business_Partner Trade Ally Rebate_Steam Traps_Industrial/Process Audit - 175 ≤ psig &lt; 250_CI/SMB_2024</v>
      </c>
      <c r="D3351" s="19" t="s">
        <v>1787</v>
      </c>
      <c r="E3351" s="19" t="s">
        <v>3</v>
      </c>
      <c r="F3351" s="19" t="s">
        <v>1432</v>
      </c>
      <c r="G3351" s="19" t="s">
        <v>1799</v>
      </c>
      <c r="H3351" s="19" t="s">
        <v>644</v>
      </c>
      <c r="I3351" s="19" t="s">
        <v>1375</v>
      </c>
      <c r="J3351" s="19" t="s">
        <v>37</v>
      </c>
      <c r="K3351" s="19" t="s">
        <v>970</v>
      </c>
      <c r="L3351" s="19">
        <v>2024</v>
      </c>
      <c r="M3351" s="20">
        <v>1</v>
      </c>
      <c r="N3351" s="19" t="s">
        <v>1798</v>
      </c>
      <c r="O3351" s="20">
        <v>0</v>
      </c>
      <c r="P3351" s="20">
        <v>0</v>
      </c>
      <c r="Q3351" s="20">
        <v>0</v>
      </c>
      <c r="R3351" s="21">
        <v>0.92</v>
      </c>
      <c r="S3351" s="20">
        <v>0</v>
      </c>
    </row>
    <row r="3352" spans="2:19" ht="15" customHeight="1" x14ac:dyDescent="0.25">
      <c r="B3352" s="2" t="str">
        <f t="shared" si="104"/>
        <v>NSG_Business_Small/Mid-Size Business_Partner Trade Ally Rebate_Steam Traps_Industrial/Process Audit - 175 ≤ psig &lt; 250_CI/SMB</v>
      </c>
      <c r="C3352" s="2" t="str">
        <f t="shared" si="105"/>
        <v>NSG_Business_Small/Mid-Size Business_Partner Trade Ally Rebate_Steam Traps_Industrial/Process Audit - 175 ≤ psig &lt; 250_CI/SMB_2025</v>
      </c>
      <c r="D3352" s="19" t="s">
        <v>1787</v>
      </c>
      <c r="E3352" s="19" t="s">
        <v>3</v>
      </c>
      <c r="F3352" s="19" t="s">
        <v>1432</v>
      </c>
      <c r="G3352" s="19" t="s">
        <v>1799</v>
      </c>
      <c r="H3352" s="19" t="s">
        <v>644</v>
      </c>
      <c r="I3352" s="19" t="s">
        <v>1375</v>
      </c>
      <c r="J3352" s="19" t="s">
        <v>37</v>
      </c>
      <c r="K3352" s="19" t="s">
        <v>970</v>
      </c>
      <c r="L3352" s="19">
        <v>2025</v>
      </c>
      <c r="M3352" s="20">
        <v>1</v>
      </c>
      <c r="N3352" s="19" t="s">
        <v>1798</v>
      </c>
      <c r="O3352" s="20">
        <v>0</v>
      </c>
      <c r="P3352" s="20">
        <v>0</v>
      </c>
      <c r="Q3352" s="20">
        <v>0</v>
      </c>
      <c r="R3352" s="21">
        <v>0.92</v>
      </c>
      <c r="S3352" s="20">
        <v>0</v>
      </c>
    </row>
    <row r="3353" spans="2:19" ht="15" customHeight="1" x14ac:dyDescent="0.25">
      <c r="B3353" s="2" t="str">
        <f t="shared" si="104"/>
        <v>NSG_Business_Small/Mid-Size Business_Partner Trade Ally Rebate_Steam Traps_Industrial/Process Audit - 250 ≤ psig_CI/SMB</v>
      </c>
      <c r="C3353" s="2" t="str">
        <f t="shared" si="105"/>
        <v>NSG_Business_Small/Mid-Size Business_Partner Trade Ally Rebate_Steam Traps_Industrial/Process Audit - 250 ≤ psig_CI/SMB_2022</v>
      </c>
      <c r="D3353" s="19" t="s">
        <v>1787</v>
      </c>
      <c r="E3353" s="19" t="s">
        <v>3</v>
      </c>
      <c r="F3353" s="19" t="s">
        <v>1432</v>
      </c>
      <c r="G3353" s="19" t="s">
        <v>1799</v>
      </c>
      <c r="H3353" s="19" t="s">
        <v>644</v>
      </c>
      <c r="I3353" s="19" t="s">
        <v>1376</v>
      </c>
      <c r="J3353" s="19" t="s">
        <v>37</v>
      </c>
      <c r="K3353" s="19" t="s">
        <v>970</v>
      </c>
      <c r="L3353" s="19">
        <v>2022</v>
      </c>
      <c r="M3353" s="20">
        <v>1</v>
      </c>
      <c r="N3353" s="19" t="s">
        <v>1798</v>
      </c>
      <c r="O3353" s="20">
        <v>0</v>
      </c>
      <c r="P3353" s="20">
        <v>0</v>
      </c>
      <c r="Q3353" s="20">
        <v>0</v>
      </c>
      <c r="R3353" s="21">
        <v>0.92</v>
      </c>
      <c r="S3353" s="20">
        <v>0</v>
      </c>
    </row>
    <row r="3354" spans="2:19" ht="15" customHeight="1" x14ac:dyDescent="0.25">
      <c r="B3354" s="2" t="str">
        <f t="shared" si="104"/>
        <v>NSG_Business_Small/Mid-Size Business_Partner Trade Ally Rebate_Steam Traps_Industrial/Process Audit - 250 ≤ psig_CI/SMB</v>
      </c>
      <c r="C3354" s="2" t="str">
        <f t="shared" si="105"/>
        <v>NSG_Business_Small/Mid-Size Business_Partner Trade Ally Rebate_Steam Traps_Industrial/Process Audit - 250 ≤ psig_CI/SMB_2023</v>
      </c>
      <c r="D3354" s="19" t="s">
        <v>1787</v>
      </c>
      <c r="E3354" s="19" t="s">
        <v>3</v>
      </c>
      <c r="F3354" s="19" t="s">
        <v>1432</v>
      </c>
      <c r="G3354" s="19" t="s">
        <v>1799</v>
      </c>
      <c r="H3354" s="19" t="s">
        <v>644</v>
      </c>
      <c r="I3354" s="19" t="s">
        <v>1376</v>
      </c>
      <c r="J3354" s="19" t="s">
        <v>37</v>
      </c>
      <c r="K3354" s="19" t="s">
        <v>970</v>
      </c>
      <c r="L3354" s="19">
        <v>2023</v>
      </c>
      <c r="M3354" s="20">
        <v>1</v>
      </c>
      <c r="N3354" s="19" t="s">
        <v>1798</v>
      </c>
      <c r="O3354" s="20">
        <v>0</v>
      </c>
      <c r="P3354" s="20">
        <v>0</v>
      </c>
      <c r="Q3354" s="20">
        <v>0</v>
      </c>
      <c r="R3354" s="21">
        <v>0.92</v>
      </c>
      <c r="S3354" s="20">
        <v>0</v>
      </c>
    </row>
    <row r="3355" spans="2:19" ht="15" customHeight="1" x14ac:dyDescent="0.25">
      <c r="B3355" s="2" t="str">
        <f t="shared" si="104"/>
        <v>NSG_Business_Small/Mid-Size Business_Partner Trade Ally Rebate_Steam Traps_Industrial/Process Audit - 250 ≤ psig_CI/SMB</v>
      </c>
      <c r="C3355" s="2" t="str">
        <f t="shared" si="105"/>
        <v>NSG_Business_Small/Mid-Size Business_Partner Trade Ally Rebate_Steam Traps_Industrial/Process Audit - 250 ≤ psig_CI/SMB_2024</v>
      </c>
      <c r="D3355" s="19" t="s">
        <v>1787</v>
      </c>
      <c r="E3355" s="19" t="s">
        <v>3</v>
      </c>
      <c r="F3355" s="19" t="s">
        <v>1432</v>
      </c>
      <c r="G3355" s="19" t="s">
        <v>1799</v>
      </c>
      <c r="H3355" s="19" t="s">
        <v>644</v>
      </c>
      <c r="I3355" s="19" t="s">
        <v>1376</v>
      </c>
      <c r="J3355" s="19" t="s">
        <v>37</v>
      </c>
      <c r="K3355" s="19" t="s">
        <v>970</v>
      </c>
      <c r="L3355" s="19">
        <v>2024</v>
      </c>
      <c r="M3355" s="20">
        <v>1</v>
      </c>
      <c r="N3355" s="19" t="s">
        <v>1798</v>
      </c>
      <c r="O3355" s="20">
        <v>0</v>
      </c>
      <c r="P3355" s="20">
        <v>0</v>
      </c>
      <c r="Q3355" s="20">
        <v>0</v>
      </c>
      <c r="R3355" s="21">
        <v>0.92</v>
      </c>
      <c r="S3355" s="20">
        <v>0</v>
      </c>
    </row>
    <row r="3356" spans="2:19" ht="15" customHeight="1" x14ac:dyDescent="0.25">
      <c r="B3356" s="2" t="str">
        <f t="shared" si="104"/>
        <v>NSG_Business_Small/Mid-Size Business_Partner Trade Ally Rebate_Steam Traps_Industrial/Process Audit - 250 ≤ psig_CI/SMB</v>
      </c>
      <c r="C3356" s="2" t="str">
        <f t="shared" si="105"/>
        <v>NSG_Business_Small/Mid-Size Business_Partner Trade Ally Rebate_Steam Traps_Industrial/Process Audit - 250 ≤ psig_CI/SMB_2025</v>
      </c>
      <c r="D3356" s="19" t="s">
        <v>1787</v>
      </c>
      <c r="E3356" s="19" t="s">
        <v>3</v>
      </c>
      <c r="F3356" s="19" t="s">
        <v>1432</v>
      </c>
      <c r="G3356" s="19" t="s">
        <v>1799</v>
      </c>
      <c r="H3356" s="19" t="s">
        <v>644</v>
      </c>
      <c r="I3356" s="19" t="s">
        <v>1376</v>
      </c>
      <c r="J3356" s="19" t="s">
        <v>37</v>
      </c>
      <c r="K3356" s="19" t="s">
        <v>970</v>
      </c>
      <c r="L3356" s="19">
        <v>2025</v>
      </c>
      <c r="M3356" s="20">
        <v>1</v>
      </c>
      <c r="N3356" s="19" t="s">
        <v>1798</v>
      </c>
      <c r="O3356" s="20">
        <v>0</v>
      </c>
      <c r="P3356" s="20">
        <v>0</v>
      </c>
      <c r="Q3356" s="20">
        <v>0</v>
      </c>
      <c r="R3356" s="21">
        <v>0.92</v>
      </c>
      <c r="S3356" s="20">
        <v>0</v>
      </c>
    </row>
    <row r="3357" spans="2:19" ht="15" customHeight="1" x14ac:dyDescent="0.25">
      <c r="B3357" s="2" t="str">
        <f t="shared" si="104"/>
        <v>NSG_Business_Small/Mid-Size Business_Partner Trade Ally Rebate_Steam Traps_Test_CI</v>
      </c>
      <c r="C3357" s="2" t="str">
        <f t="shared" si="105"/>
        <v>NSG_Business_Small/Mid-Size Business_Partner Trade Ally Rebate_Steam Traps_Test_CI_2022</v>
      </c>
      <c r="D3357" s="19" t="s">
        <v>1787</v>
      </c>
      <c r="E3357" s="19" t="s">
        <v>3</v>
      </c>
      <c r="F3357" s="19" t="s">
        <v>1432</v>
      </c>
      <c r="G3357" s="19" t="s">
        <v>1799</v>
      </c>
      <c r="H3357" s="19" t="s">
        <v>644</v>
      </c>
      <c r="I3357" s="19" t="s">
        <v>1097</v>
      </c>
      <c r="J3357" s="19">
        <v>0</v>
      </c>
      <c r="K3357" s="19" t="s">
        <v>1159</v>
      </c>
      <c r="L3357" s="19">
        <v>2022</v>
      </c>
      <c r="M3357" s="20">
        <v>1</v>
      </c>
      <c r="N3357" s="19" t="s">
        <v>1798</v>
      </c>
      <c r="O3357" s="20">
        <v>180</v>
      </c>
      <c r="P3357" s="20">
        <v>180</v>
      </c>
      <c r="Q3357" s="20">
        <v>0</v>
      </c>
      <c r="R3357" s="21">
        <v>0.92</v>
      </c>
      <c r="S3357" s="20">
        <v>0</v>
      </c>
    </row>
    <row r="3358" spans="2:19" ht="15" customHeight="1" x14ac:dyDescent="0.25">
      <c r="B3358" s="2" t="str">
        <f t="shared" si="104"/>
        <v>NSG_Business_Small/Mid-Size Business_Partner Trade Ally Rebate_Steam Traps_Test_CI</v>
      </c>
      <c r="C3358" s="2" t="str">
        <f t="shared" si="105"/>
        <v>NSG_Business_Small/Mid-Size Business_Partner Trade Ally Rebate_Steam Traps_Test_CI_2023</v>
      </c>
      <c r="D3358" s="19" t="s">
        <v>1787</v>
      </c>
      <c r="E3358" s="19" t="s">
        <v>3</v>
      </c>
      <c r="F3358" s="19" t="s">
        <v>1432</v>
      </c>
      <c r="G3358" s="19" t="s">
        <v>1799</v>
      </c>
      <c r="H3358" s="19" t="s">
        <v>644</v>
      </c>
      <c r="I3358" s="19" t="s">
        <v>1097</v>
      </c>
      <c r="J3358" s="19">
        <v>0</v>
      </c>
      <c r="K3358" s="19" t="s">
        <v>1159</v>
      </c>
      <c r="L3358" s="19">
        <v>2023</v>
      </c>
      <c r="M3358" s="20">
        <v>1</v>
      </c>
      <c r="N3358" s="19" t="s">
        <v>1798</v>
      </c>
      <c r="O3358" s="20">
        <v>164</v>
      </c>
      <c r="P3358" s="20">
        <v>164</v>
      </c>
      <c r="Q3358" s="20">
        <v>0</v>
      </c>
      <c r="R3358" s="21">
        <v>0.92</v>
      </c>
      <c r="S3358" s="20">
        <v>0</v>
      </c>
    </row>
    <row r="3359" spans="2:19" ht="15" customHeight="1" x14ac:dyDescent="0.25">
      <c r="B3359" s="2" t="str">
        <f t="shared" si="104"/>
        <v>NSG_Business_Small/Mid-Size Business_Partner Trade Ally Rebate_Steam Traps_Test_CI</v>
      </c>
      <c r="C3359" s="2" t="str">
        <f t="shared" si="105"/>
        <v>NSG_Business_Small/Mid-Size Business_Partner Trade Ally Rebate_Steam Traps_Test_CI_2024</v>
      </c>
      <c r="D3359" s="19" t="s">
        <v>1787</v>
      </c>
      <c r="E3359" s="19" t="s">
        <v>3</v>
      </c>
      <c r="F3359" s="19" t="s">
        <v>1432</v>
      </c>
      <c r="G3359" s="19" t="s">
        <v>1799</v>
      </c>
      <c r="H3359" s="19" t="s">
        <v>644</v>
      </c>
      <c r="I3359" s="19" t="s">
        <v>1097</v>
      </c>
      <c r="J3359" s="19">
        <v>0</v>
      </c>
      <c r="K3359" s="19" t="s">
        <v>1159</v>
      </c>
      <c r="L3359" s="19">
        <v>2024</v>
      </c>
      <c r="M3359" s="20">
        <v>1</v>
      </c>
      <c r="N3359" s="19" t="s">
        <v>1798</v>
      </c>
      <c r="O3359" s="20">
        <v>160</v>
      </c>
      <c r="P3359" s="20">
        <v>160</v>
      </c>
      <c r="Q3359" s="20">
        <v>0</v>
      </c>
      <c r="R3359" s="21">
        <v>0.92</v>
      </c>
      <c r="S3359" s="20">
        <v>0</v>
      </c>
    </row>
    <row r="3360" spans="2:19" ht="15" customHeight="1" x14ac:dyDescent="0.25">
      <c r="B3360" s="2" t="str">
        <f t="shared" si="104"/>
        <v>NSG_Business_Small/Mid-Size Business_Partner Trade Ally Rebate_Steam Traps_Test_CI</v>
      </c>
      <c r="C3360" s="2" t="str">
        <f t="shared" si="105"/>
        <v>NSG_Business_Small/Mid-Size Business_Partner Trade Ally Rebate_Steam Traps_Test_CI_2025</v>
      </c>
      <c r="D3360" s="19" t="s">
        <v>1787</v>
      </c>
      <c r="E3360" s="19" t="s">
        <v>3</v>
      </c>
      <c r="F3360" s="19" t="s">
        <v>1432</v>
      </c>
      <c r="G3360" s="19" t="s">
        <v>1799</v>
      </c>
      <c r="H3360" s="19" t="s">
        <v>644</v>
      </c>
      <c r="I3360" s="19" t="s">
        <v>1097</v>
      </c>
      <c r="J3360" s="19">
        <v>0</v>
      </c>
      <c r="K3360" s="19" t="s">
        <v>1159</v>
      </c>
      <c r="L3360" s="19">
        <v>2025</v>
      </c>
      <c r="M3360" s="20">
        <v>1</v>
      </c>
      <c r="N3360" s="19" t="s">
        <v>1798</v>
      </c>
      <c r="O3360" s="20">
        <v>150</v>
      </c>
      <c r="P3360" s="20">
        <v>150</v>
      </c>
      <c r="Q3360" s="20">
        <v>0</v>
      </c>
      <c r="R3360" s="21">
        <v>0.92</v>
      </c>
      <c r="S3360" s="20">
        <v>0</v>
      </c>
    </row>
    <row r="3361" spans="2:19" ht="15" customHeight="1" x14ac:dyDescent="0.25">
      <c r="B3361" s="2" t="str">
        <f t="shared" si="104"/>
        <v>NSG_Business_Small/Mid-Size Business_Partner Trade Ally Rebate_Programmable Thermostat_0_CI</v>
      </c>
      <c r="C3361" s="2" t="str">
        <f t="shared" si="105"/>
        <v>NSG_Business_Small/Mid-Size Business_Partner Trade Ally Rebate_Programmable Thermostat_0_CI_2022</v>
      </c>
      <c r="D3361" s="19" t="s">
        <v>1787</v>
      </c>
      <c r="E3361" s="19" t="s">
        <v>3</v>
      </c>
      <c r="F3361" s="19" t="s">
        <v>1432</v>
      </c>
      <c r="G3361" s="19" t="s">
        <v>1799</v>
      </c>
      <c r="H3361" s="19" t="s">
        <v>224</v>
      </c>
      <c r="I3361" s="19">
        <v>0</v>
      </c>
      <c r="J3361" s="19" t="s">
        <v>1183</v>
      </c>
      <c r="K3361" s="19" t="s">
        <v>1159</v>
      </c>
      <c r="L3361" s="19">
        <v>2022</v>
      </c>
      <c r="M3361" s="20">
        <v>1</v>
      </c>
      <c r="N3361" s="19" t="s">
        <v>1798</v>
      </c>
      <c r="O3361" s="20">
        <v>0</v>
      </c>
      <c r="P3361" s="20">
        <v>0</v>
      </c>
      <c r="Q3361" s="20">
        <v>0</v>
      </c>
      <c r="R3361" s="21">
        <v>0.92</v>
      </c>
      <c r="S3361" s="20">
        <v>0</v>
      </c>
    </row>
    <row r="3362" spans="2:19" ht="15" customHeight="1" x14ac:dyDescent="0.25">
      <c r="B3362" s="2" t="str">
        <f t="shared" si="104"/>
        <v>NSG_Business_Small/Mid-Size Business_Partner Trade Ally Rebate_Programmable Thermostat_0_CI</v>
      </c>
      <c r="C3362" s="2" t="str">
        <f t="shared" si="105"/>
        <v>NSG_Business_Small/Mid-Size Business_Partner Trade Ally Rebate_Programmable Thermostat_0_CI_2023</v>
      </c>
      <c r="D3362" s="19" t="s">
        <v>1787</v>
      </c>
      <c r="E3362" s="19" t="s">
        <v>3</v>
      </c>
      <c r="F3362" s="19" t="s">
        <v>1432</v>
      </c>
      <c r="G3362" s="19" t="s">
        <v>1799</v>
      </c>
      <c r="H3362" s="19" t="s">
        <v>224</v>
      </c>
      <c r="I3362" s="19">
        <v>0</v>
      </c>
      <c r="J3362" s="19" t="s">
        <v>1183</v>
      </c>
      <c r="K3362" s="19" t="s">
        <v>1159</v>
      </c>
      <c r="L3362" s="19">
        <v>2023</v>
      </c>
      <c r="M3362" s="20">
        <v>1</v>
      </c>
      <c r="N3362" s="19" t="s">
        <v>1798</v>
      </c>
      <c r="O3362" s="20">
        <v>0</v>
      </c>
      <c r="P3362" s="20">
        <v>0</v>
      </c>
      <c r="Q3362" s="20">
        <v>0</v>
      </c>
      <c r="R3362" s="21">
        <v>0.92</v>
      </c>
      <c r="S3362" s="20">
        <v>0</v>
      </c>
    </row>
    <row r="3363" spans="2:19" ht="15" customHeight="1" x14ac:dyDescent="0.25">
      <c r="B3363" s="2" t="str">
        <f t="shared" si="104"/>
        <v>NSG_Business_Small/Mid-Size Business_Partner Trade Ally Rebate_Programmable Thermostat_0_CI</v>
      </c>
      <c r="C3363" s="2" t="str">
        <f t="shared" si="105"/>
        <v>NSG_Business_Small/Mid-Size Business_Partner Trade Ally Rebate_Programmable Thermostat_0_CI_2024</v>
      </c>
      <c r="D3363" s="19" t="s">
        <v>1787</v>
      </c>
      <c r="E3363" s="19" t="s">
        <v>3</v>
      </c>
      <c r="F3363" s="19" t="s">
        <v>1432</v>
      </c>
      <c r="G3363" s="19" t="s">
        <v>1799</v>
      </c>
      <c r="H3363" s="19" t="s">
        <v>224</v>
      </c>
      <c r="I3363" s="19">
        <v>0</v>
      </c>
      <c r="J3363" s="19" t="s">
        <v>1183</v>
      </c>
      <c r="K3363" s="19" t="s">
        <v>1159</v>
      </c>
      <c r="L3363" s="19">
        <v>2024</v>
      </c>
      <c r="M3363" s="20">
        <v>1</v>
      </c>
      <c r="N3363" s="19" t="s">
        <v>1798</v>
      </c>
      <c r="O3363" s="20">
        <v>0</v>
      </c>
      <c r="P3363" s="20">
        <v>0</v>
      </c>
      <c r="Q3363" s="20">
        <v>0</v>
      </c>
      <c r="R3363" s="21">
        <v>0.92</v>
      </c>
      <c r="S3363" s="20">
        <v>0</v>
      </c>
    </row>
    <row r="3364" spans="2:19" ht="15" customHeight="1" x14ac:dyDescent="0.25">
      <c r="B3364" s="2" t="str">
        <f t="shared" si="104"/>
        <v>NSG_Business_Small/Mid-Size Business_Partner Trade Ally Rebate_Programmable Thermostat_0_CI</v>
      </c>
      <c r="C3364" s="2" t="str">
        <f t="shared" si="105"/>
        <v>NSG_Business_Small/Mid-Size Business_Partner Trade Ally Rebate_Programmable Thermostat_0_CI_2025</v>
      </c>
      <c r="D3364" s="19" t="s">
        <v>1787</v>
      </c>
      <c r="E3364" s="19" t="s">
        <v>3</v>
      </c>
      <c r="F3364" s="19" t="s">
        <v>1432</v>
      </c>
      <c r="G3364" s="19" t="s">
        <v>1799</v>
      </c>
      <c r="H3364" s="19" t="s">
        <v>224</v>
      </c>
      <c r="I3364" s="19">
        <v>0</v>
      </c>
      <c r="J3364" s="19" t="s">
        <v>1183</v>
      </c>
      <c r="K3364" s="19" t="s">
        <v>1159</v>
      </c>
      <c r="L3364" s="19">
        <v>2025</v>
      </c>
      <c r="M3364" s="20">
        <v>1</v>
      </c>
      <c r="N3364" s="19" t="s">
        <v>1798</v>
      </c>
      <c r="O3364" s="20">
        <v>0</v>
      </c>
      <c r="P3364" s="20">
        <v>0</v>
      </c>
      <c r="Q3364" s="20">
        <v>0</v>
      </c>
      <c r="R3364" s="21">
        <v>0.92</v>
      </c>
      <c r="S3364" s="20">
        <v>0</v>
      </c>
    </row>
    <row r="3365" spans="2:19" ht="15" customHeight="1" x14ac:dyDescent="0.25">
      <c r="B3365" s="2" t="str">
        <f t="shared" si="104"/>
        <v>NSG_Business_Small/Mid-Size Business_Partner Trade Ally Rebate_Water Heater_Storage 88% TE ≥75MBh_CI</v>
      </c>
      <c r="C3365" s="2" t="str">
        <f t="shared" si="105"/>
        <v>NSG_Business_Small/Mid-Size Business_Partner Trade Ally Rebate_Water Heater_Storage 88% TE ≥75MBh_CI_2022</v>
      </c>
      <c r="D3365" s="19" t="s">
        <v>1787</v>
      </c>
      <c r="E3365" s="19" t="s">
        <v>3</v>
      </c>
      <c r="F3365" s="19" t="s">
        <v>1432</v>
      </c>
      <c r="G3365" s="19" t="s">
        <v>1799</v>
      </c>
      <c r="H3365" s="19" t="s">
        <v>8</v>
      </c>
      <c r="I3365" s="19" t="s">
        <v>1262</v>
      </c>
      <c r="J3365" s="19" t="s">
        <v>1263</v>
      </c>
      <c r="K3365" s="19" t="s">
        <v>1159</v>
      </c>
      <c r="L3365" s="19">
        <v>2022</v>
      </c>
      <c r="M3365" s="20">
        <v>1</v>
      </c>
      <c r="N3365" s="19" t="s">
        <v>1798</v>
      </c>
      <c r="O3365" s="20">
        <v>0</v>
      </c>
      <c r="P3365" s="20">
        <v>0</v>
      </c>
      <c r="Q3365" s="20">
        <v>0</v>
      </c>
      <c r="R3365" s="21">
        <v>0.92</v>
      </c>
      <c r="S3365" s="20">
        <v>0</v>
      </c>
    </row>
    <row r="3366" spans="2:19" ht="15" customHeight="1" x14ac:dyDescent="0.25">
      <c r="B3366" s="2" t="str">
        <f t="shared" si="104"/>
        <v>NSG_Business_Small/Mid-Size Business_Partner Trade Ally Rebate_Water Heater_Storage 88% TE ≥75MBh_CI</v>
      </c>
      <c r="C3366" s="2" t="str">
        <f t="shared" si="105"/>
        <v>NSG_Business_Small/Mid-Size Business_Partner Trade Ally Rebate_Water Heater_Storage 88% TE ≥75MBh_CI_2023</v>
      </c>
      <c r="D3366" s="19" t="s">
        <v>1787</v>
      </c>
      <c r="E3366" s="19" t="s">
        <v>3</v>
      </c>
      <c r="F3366" s="19" t="s">
        <v>1432</v>
      </c>
      <c r="G3366" s="19" t="s">
        <v>1799</v>
      </c>
      <c r="H3366" s="19" t="s">
        <v>8</v>
      </c>
      <c r="I3366" s="19" t="s">
        <v>1262</v>
      </c>
      <c r="J3366" s="19" t="s">
        <v>1263</v>
      </c>
      <c r="K3366" s="19" t="s">
        <v>1159</v>
      </c>
      <c r="L3366" s="19">
        <v>2023</v>
      </c>
      <c r="M3366" s="20">
        <v>1</v>
      </c>
      <c r="N3366" s="19" t="s">
        <v>1798</v>
      </c>
      <c r="O3366" s="20">
        <v>0</v>
      </c>
      <c r="P3366" s="20">
        <v>0</v>
      </c>
      <c r="Q3366" s="20">
        <v>0</v>
      </c>
      <c r="R3366" s="21">
        <v>0.92</v>
      </c>
      <c r="S3366" s="20">
        <v>0</v>
      </c>
    </row>
    <row r="3367" spans="2:19" ht="15" customHeight="1" x14ac:dyDescent="0.25">
      <c r="B3367" s="2" t="str">
        <f t="shared" si="104"/>
        <v>NSG_Business_Small/Mid-Size Business_Partner Trade Ally Rebate_Water Heater_Storage 88% TE ≥75MBh_CI</v>
      </c>
      <c r="C3367" s="2" t="str">
        <f t="shared" si="105"/>
        <v>NSG_Business_Small/Mid-Size Business_Partner Trade Ally Rebate_Water Heater_Storage 88% TE ≥75MBh_CI_2024</v>
      </c>
      <c r="D3367" s="19" t="s">
        <v>1787</v>
      </c>
      <c r="E3367" s="19" t="s">
        <v>3</v>
      </c>
      <c r="F3367" s="19" t="s">
        <v>1432</v>
      </c>
      <c r="G3367" s="19" t="s">
        <v>1799</v>
      </c>
      <c r="H3367" s="19" t="s">
        <v>8</v>
      </c>
      <c r="I3367" s="19" t="s">
        <v>1262</v>
      </c>
      <c r="J3367" s="19" t="s">
        <v>1263</v>
      </c>
      <c r="K3367" s="19" t="s">
        <v>1159</v>
      </c>
      <c r="L3367" s="19">
        <v>2024</v>
      </c>
      <c r="M3367" s="20">
        <v>1</v>
      </c>
      <c r="N3367" s="19" t="s">
        <v>1798</v>
      </c>
      <c r="O3367" s="20">
        <v>0</v>
      </c>
      <c r="P3367" s="20">
        <v>0</v>
      </c>
      <c r="Q3367" s="20">
        <v>0</v>
      </c>
      <c r="R3367" s="21">
        <v>0.92</v>
      </c>
      <c r="S3367" s="20">
        <v>0</v>
      </c>
    </row>
    <row r="3368" spans="2:19" ht="15" customHeight="1" x14ac:dyDescent="0.25">
      <c r="B3368" s="2" t="str">
        <f t="shared" si="104"/>
        <v>NSG_Business_Small/Mid-Size Business_Partner Trade Ally Rebate_Water Heater_Storage 88% TE ≥75MBh_CI</v>
      </c>
      <c r="C3368" s="2" t="str">
        <f t="shared" si="105"/>
        <v>NSG_Business_Small/Mid-Size Business_Partner Trade Ally Rebate_Water Heater_Storage 88% TE ≥75MBh_CI_2025</v>
      </c>
      <c r="D3368" s="19" t="s">
        <v>1787</v>
      </c>
      <c r="E3368" s="19" t="s">
        <v>3</v>
      </c>
      <c r="F3368" s="19" t="s">
        <v>1432</v>
      </c>
      <c r="G3368" s="19" t="s">
        <v>1799</v>
      </c>
      <c r="H3368" s="19" t="s">
        <v>8</v>
      </c>
      <c r="I3368" s="19" t="s">
        <v>1262</v>
      </c>
      <c r="J3368" s="19" t="s">
        <v>1263</v>
      </c>
      <c r="K3368" s="19" t="s">
        <v>1159</v>
      </c>
      <c r="L3368" s="19">
        <v>2025</v>
      </c>
      <c r="M3368" s="20">
        <v>1</v>
      </c>
      <c r="N3368" s="19" t="s">
        <v>1798</v>
      </c>
      <c r="O3368" s="20">
        <v>0</v>
      </c>
      <c r="P3368" s="20">
        <v>0</v>
      </c>
      <c r="Q3368" s="20">
        <v>0</v>
      </c>
      <c r="R3368" s="21">
        <v>0.92</v>
      </c>
      <c r="S3368" s="20">
        <v>0</v>
      </c>
    </row>
    <row r="3369" spans="2:19" ht="15" customHeight="1" x14ac:dyDescent="0.25">
      <c r="B3369" s="2" t="str">
        <f t="shared" si="104"/>
        <v>NSG_Business_Small/Mid-Size Business_Custom_C&amp;I Custom_0_CI</v>
      </c>
      <c r="C3369" s="2" t="str">
        <f t="shared" si="105"/>
        <v>NSG_Business_Small/Mid-Size Business_Custom_C&amp;I Custom_0_CI_2022</v>
      </c>
      <c r="D3369" s="19" t="s">
        <v>1787</v>
      </c>
      <c r="E3369" s="19" t="s">
        <v>3</v>
      </c>
      <c r="F3369" s="19" t="s">
        <v>1432</v>
      </c>
      <c r="G3369" s="19" t="s">
        <v>5</v>
      </c>
      <c r="H3369" s="19" t="s">
        <v>1285</v>
      </c>
      <c r="I3369" s="19">
        <v>0</v>
      </c>
      <c r="J3369" s="19">
        <v>0</v>
      </c>
      <c r="K3369" s="19" t="s">
        <v>1159</v>
      </c>
      <c r="L3369" s="19">
        <v>2022</v>
      </c>
      <c r="M3369" s="20">
        <v>10784</v>
      </c>
      <c r="N3369" s="19" t="s">
        <v>609</v>
      </c>
      <c r="O3369" s="20">
        <v>1</v>
      </c>
      <c r="P3369" s="20">
        <v>10784</v>
      </c>
      <c r="Q3369" s="20">
        <v>7980.16</v>
      </c>
      <c r="R3369" s="21">
        <v>0.74</v>
      </c>
      <c r="S3369" s="20">
        <v>7980.16</v>
      </c>
    </row>
    <row r="3370" spans="2:19" ht="15" customHeight="1" x14ac:dyDescent="0.25">
      <c r="B3370" s="2" t="str">
        <f t="shared" si="104"/>
        <v>NSG_Business_Small/Mid-Size Business_Custom_C&amp;I Custom_0_CI</v>
      </c>
      <c r="C3370" s="2" t="str">
        <f t="shared" si="105"/>
        <v>NSG_Business_Small/Mid-Size Business_Custom_C&amp;I Custom_0_CI_2023</v>
      </c>
      <c r="D3370" s="19" t="s">
        <v>1787</v>
      </c>
      <c r="E3370" s="19" t="s">
        <v>3</v>
      </c>
      <c r="F3370" s="19" t="s">
        <v>1432</v>
      </c>
      <c r="G3370" s="19" t="s">
        <v>5</v>
      </c>
      <c r="H3370" s="19" t="s">
        <v>1285</v>
      </c>
      <c r="I3370" s="19">
        <v>0</v>
      </c>
      <c r="J3370" s="19">
        <v>0</v>
      </c>
      <c r="K3370" s="19" t="s">
        <v>1159</v>
      </c>
      <c r="L3370" s="19">
        <v>2023</v>
      </c>
      <c r="M3370" s="20">
        <v>10784</v>
      </c>
      <c r="N3370" s="19" t="s">
        <v>609</v>
      </c>
      <c r="O3370" s="20">
        <v>1</v>
      </c>
      <c r="P3370" s="20">
        <v>10784</v>
      </c>
      <c r="Q3370" s="20">
        <v>7980.16</v>
      </c>
      <c r="R3370" s="21">
        <v>0.74</v>
      </c>
      <c r="S3370" s="20">
        <v>7980.16</v>
      </c>
    </row>
    <row r="3371" spans="2:19" ht="15" customHeight="1" x14ac:dyDescent="0.25">
      <c r="B3371" s="2" t="str">
        <f t="shared" si="104"/>
        <v>NSG_Business_Small/Mid-Size Business_Custom_C&amp;I Custom_0_CI</v>
      </c>
      <c r="C3371" s="2" t="str">
        <f t="shared" si="105"/>
        <v>NSG_Business_Small/Mid-Size Business_Custom_C&amp;I Custom_0_CI_2024</v>
      </c>
      <c r="D3371" s="19" t="s">
        <v>1787</v>
      </c>
      <c r="E3371" s="19" t="s">
        <v>3</v>
      </c>
      <c r="F3371" s="19" t="s">
        <v>1432</v>
      </c>
      <c r="G3371" s="19" t="s">
        <v>5</v>
      </c>
      <c r="H3371" s="19" t="s">
        <v>1285</v>
      </c>
      <c r="I3371" s="19">
        <v>0</v>
      </c>
      <c r="J3371" s="19">
        <v>0</v>
      </c>
      <c r="K3371" s="19" t="s">
        <v>1159</v>
      </c>
      <c r="L3371" s="19">
        <v>2024</v>
      </c>
      <c r="M3371" s="20">
        <v>10784</v>
      </c>
      <c r="N3371" s="19" t="s">
        <v>609</v>
      </c>
      <c r="O3371" s="20">
        <v>1</v>
      </c>
      <c r="P3371" s="20">
        <v>10784</v>
      </c>
      <c r="Q3371" s="20">
        <v>7980.16</v>
      </c>
      <c r="R3371" s="21">
        <v>0.74</v>
      </c>
      <c r="S3371" s="20">
        <v>7980.16</v>
      </c>
    </row>
    <row r="3372" spans="2:19" ht="15" customHeight="1" x14ac:dyDescent="0.25">
      <c r="B3372" s="2" t="str">
        <f t="shared" si="104"/>
        <v>NSG_Business_Small/Mid-Size Business_Custom_C&amp;I Custom_0_CI</v>
      </c>
      <c r="C3372" s="2" t="str">
        <f t="shared" si="105"/>
        <v>NSG_Business_Small/Mid-Size Business_Custom_C&amp;I Custom_0_CI_2025</v>
      </c>
      <c r="D3372" s="19" t="s">
        <v>1787</v>
      </c>
      <c r="E3372" s="19" t="s">
        <v>3</v>
      </c>
      <c r="F3372" s="19" t="s">
        <v>1432</v>
      </c>
      <c r="G3372" s="19" t="s">
        <v>5</v>
      </c>
      <c r="H3372" s="19" t="s">
        <v>1285</v>
      </c>
      <c r="I3372" s="19">
        <v>0</v>
      </c>
      <c r="J3372" s="19">
        <v>0</v>
      </c>
      <c r="K3372" s="19" t="s">
        <v>1159</v>
      </c>
      <c r="L3372" s="19">
        <v>2025</v>
      </c>
      <c r="M3372" s="20">
        <v>10784</v>
      </c>
      <c r="N3372" s="19" t="s">
        <v>609</v>
      </c>
      <c r="O3372" s="20">
        <v>1</v>
      </c>
      <c r="P3372" s="20">
        <v>10784</v>
      </c>
      <c r="Q3372" s="20">
        <v>7980.16</v>
      </c>
      <c r="R3372" s="21">
        <v>0.74</v>
      </c>
      <c r="S3372" s="20">
        <v>7980.16</v>
      </c>
    </row>
    <row r="3373" spans="2:19" ht="15" customHeight="1" x14ac:dyDescent="0.25">
      <c r="B3373" s="2" t="str">
        <f t="shared" si="104"/>
        <v>PGL_Income Eligible_Single Family_CBA_Unit Visit_0_SF</v>
      </c>
      <c r="C3373" s="2" t="str">
        <f t="shared" si="105"/>
        <v>PGL_Income Eligible_Single Family_CBA_Unit Visit_0_SF_2022</v>
      </c>
      <c r="D3373" s="19" t="s">
        <v>1794</v>
      </c>
      <c r="E3373" s="19" t="s">
        <v>325</v>
      </c>
      <c r="F3373" s="19" t="s">
        <v>375</v>
      </c>
      <c r="G3373" s="19" t="s">
        <v>1809</v>
      </c>
      <c r="H3373" s="19" t="s">
        <v>1090</v>
      </c>
      <c r="I3373" s="19">
        <v>0</v>
      </c>
      <c r="J3373" s="19" t="s">
        <v>1469</v>
      </c>
      <c r="K3373" s="19" t="s">
        <v>409</v>
      </c>
      <c r="L3373" s="19">
        <v>2022</v>
      </c>
      <c r="M3373" s="20">
        <v>1</v>
      </c>
      <c r="N3373" s="19" t="s">
        <v>505</v>
      </c>
      <c r="O3373" s="20">
        <v>900</v>
      </c>
      <c r="P3373" s="20">
        <v>900</v>
      </c>
      <c r="Q3373" s="20">
        <v>0</v>
      </c>
      <c r="R3373" s="21">
        <v>1</v>
      </c>
      <c r="S3373" s="20">
        <v>0</v>
      </c>
    </row>
    <row r="3374" spans="2:19" ht="15" customHeight="1" x14ac:dyDescent="0.25">
      <c r="B3374" s="2" t="str">
        <f t="shared" si="104"/>
        <v>PGL_Income Eligible_Single Family_CBA_Unit Visit_0_SF</v>
      </c>
      <c r="C3374" s="2" t="str">
        <f t="shared" si="105"/>
        <v>PGL_Income Eligible_Single Family_CBA_Unit Visit_0_SF_2023</v>
      </c>
      <c r="D3374" s="19" t="s">
        <v>1794</v>
      </c>
      <c r="E3374" s="19" t="s">
        <v>325</v>
      </c>
      <c r="F3374" s="19" t="s">
        <v>375</v>
      </c>
      <c r="G3374" s="19" t="s">
        <v>1809</v>
      </c>
      <c r="H3374" s="19" t="s">
        <v>1090</v>
      </c>
      <c r="I3374" s="19">
        <v>0</v>
      </c>
      <c r="J3374" s="19" t="s">
        <v>1469</v>
      </c>
      <c r="K3374" s="19" t="s">
        <v>409</v>
      </c>
      <c r="L3374" s="19">
        <v>2023</v>
      </c>
      <c r="M3374" s="20">
        <v>1</v>
      </c>
      <c r="N3374" s="19" t="s">
        <v>505</v>
      </c>
      <c r="O3374" s="20">
        <v>900</v>
      </c>
      <c r="P3374" s="20">
        <v>900</v>
      </c>
      <c r="Q3374" s="20">
        <v>0</v>
      </c>
      <c r="R3374" s="21">
        <v>1</v>
      </c>
      <c r="S3374" s="20">
        <v>0</v>
      </c>
    </row>
    <row r="3375" spans="2:19" ht="15" customHeight="1" x14ac:dyDescent="0.25">
      <c r="B3375" s="2" t="str">
        <f t="shared" si="104"/>
        <v>PGL_Income Eligible_Single Family_CBA_Unit Visit_0_SF</v>
      </c>
      <c r="C3375" s="2" t="str">
        <f t="shared" si="105"/>
        <v>PGL_Income Eligible_Single Family_CBA_Unit Visit_0_SF_2024</v>
      </c>
      <c r="D3375" s="19" t="s">
        <v>1794</v>
      </c>
      <c r="E3375" s="19" t="s">
        <v>325</v>
      </c>
      <c r="F3375" s="19" t="s">
        <v>375</v>
      </c>
      <c r="G3375" s="19" t="s">
        <v>1809</v>
      </c>
      <c r="H3375" s="19" t="s">
        <v>1090</v>
      </c>
      <c r="I3375" s="19">
        <v>0</v>
      </c>
      <c r="J3375" s="19" t="s">
        <v>1469</v>
      </c>
      <c r="K3375" s="19" t="s">
        <v>409</v>
      </c>
      <c r="L3375" s="19">
        <v>2024</v>
      </c>
      <c r="M3375" s="20">
        <v>1</v>
      </c>
      <c r="N3375" s="19" t="s">
        <v>505</v>
      </c>
      <c r="O3375" s="20">
        <v>940</v>
      </c>
      <c r="P3375" s="20">
        <v>940</v>
      </c>
      <c r="Q3375" s="20">
        <v>0</v>
      </c>
      <c r="R3375" s="21">
        <v>1</v>
      </c>
      <c r="S3375" s="20">
        <v>0</v>
      </c>
    </row>
    <row r="3376" spans="2:19" ht="15" customHeight="1" x14ac:dyDescent="0.25">
      <c r="B3376" s="2" t="str">
        <f t="shared" si="104"/>
        <v>PGL_Income Eligible_Single Family_CBA_Unit Visit_0_SF</v>
      </c>
      <c r="C3376" s="2" t="str">
        <f t="shared" si="105"/>
        <v>PGL_Income Eligible_Single Family_CBA_Unit Visit_0_SF_2025</v>
      </c>
      <c r="D3376" s="19" t="s">
        <v>1794</v>
      </c>
      <c r="E3376" s="19" t="s">
        <v>325</v>
      </c>
      <c r="F3376" s="19" t="s">
        <v>375</v>
      </c>
      <c r="G3376" s="19" t="s">
        <v>1809</v>
      </c>
      <c r="H3376" s="19" t="s">
        <v>1090</v>
      </c>
      <c r="I3376" s="19">
        <v>0</v>
      </c>
      <c r="J3376" s="19" t="s">
        <v>1469</v>
      </c>
      <c r="K3376" s="19" t="s">
        <v>409</v>
      </c>
      <c r="L3376" s="19">
        <v>2025</v>
      </c>
      <c r="M3376" s="20">
        <v>1</v>
      </c>
      <c r="N3376" s="19" t="s">
        <v>505</v>
      </c>
      <c r="O3376" s="20">
        <v>1030</v>
      </c>
      <c r="P3376" s="20">
        <v>1030</v>
      </c>
      <c r="Q3376" s="20">
        <v>0</v>
      </c>
      <c r="R3376" s="21">
        <v>1</v>
      </c>
      <c r="S3376" s="20">
        <v>0</v>
      </c>
    </row>
    <row r="3377" spans="2:19" ht="15" customHeight="1" x14ac:dyDescent="0.25">
      <c r="B3377" s="2" t="str">
        <f t="shared" si="104"/>
        <v>PGL_Income Eligible_Single Family_CBA_Low Flow Bathroom Aerator_0_SF</v>
      </c>
      <c r="C3377" s="2" t="str">
        <f t="shared" si="105"/>
        <v>PGL_Income Eligible_Single Family_CBA_Low Flow Bathroom Aerator_0_SF_2022</v>
      </c>
      <c r="D3377" s="19" t="s">
        <v>1794</v>
      </c>
      <c r="E3377" s="19" t="s">
        <v>325</v>
      </c>
      <c r="F3377" s="19" t="s">
        <v>375</v>
      </c>
      <c r="G3377" s="19" t="s">
        <v>1809</v>
      </c>
      <c r="H3377" s="19" t="s">
        <v>555</v>
      </c>
      <c r="I3377" s="19">
        <v>0</v>
      </c>
      <c r="J3377" s="19" t="s">
        <v>534</v>
      </c>
      <c r="K3377" s="19" t="s">
        <v>409</v>
      </c>
      <c r="L3377" s="19">
        <v>2022</v>
      </c>
      <c r="M3377" s="20">
        <v>1</v>
      </c>
      <c r="N3377" s="19" t="s">
        <v>1795</v>
      </c>
      <c r="O3377" s="20">
        <v>32</v>
      </c>
      <c r="P3377" s="20">
        <v>32</v>
      </c>
      <c r="Q3377" s="20">
        <v>29.099546495185869</v>
      </c>
      <c r="R3377" s="21">
        <v>1</v>
      </c>
      <c r="S3377" s="20">
        <v>29.099546495185869</v>
      </c>
    </row>
    <row r="3378" spans="2:19" ht="15" customHeight="1" x14ac:dyDescent="0.25">
      <c r="B3378" s="2" t="str">
        <f t="shared" si="104"/>
        <v>PGL_Income Eligible_Single Family_CBA_Low Flow Bathroom Aerator_0_SF</v>
      </c>
      <c r="C3378" s="2" t="str">
        <f t="shared" si="105"/>
        <v>PGL_Income Eligible_Single Family_CBA_Low Flow Bathroom Aerator_0_SF_2023</v>
      </c>
      <c r="D3378" s="19" t="s">
        <v>1794</v>
      </c>
      <c r="E3378" s="19" t="s">
        <v>325</v>
      </c>
      <c r="F3378" s="19" t="s">
        <v>375</v>
      </c>
      <c r="G3378" s="19" t="s">
        <v>1809</v>
      </c>
      <c r="H3378" s="19" t="s">
        <v>555</v>
      </c>
      <c r="I3378" s="19">
        <v>0</v>
      </c>
      <c r="J3378" s="19" t="s">
        <v>534</v>
      </c>
      <c r="K3378" s="19" t="s">
        <v>409</v>
      </c>
      <c r="L3378" s="19">
        <v>2023</v>
      </c>
      <c r="M3378" s="20">
        <v>1</v>
      </c>
      <c r="N3378" s="19" t="s">
        <v>1795</v>
      </c>
      <c r="O3378" s="20">
        <v>32</v>
      </c>
      <c r="P3378" s="20">
        <v>32</v>
      </c>
      <c r="Q3378" s="20">
        <v>29.099546495185869</v>
      </c>
      <c r="R3378" s="21">
        <v>1</v>
      </c>
      <c r="S3378" s="20">
        <v>29.099546495185869</v>
      </c>
    </row>
    <row r="3379" spans="2:19" ht="15" customHeight="1" x14ac:dyDescent="0.25">
      <c r="B3379" s="2" t="str">
        <f t="shared" si="104"/>
        <v>PGL_Income Eligible_Single Family_CBA_Low Flow Bathroom Aerator_0_SF</v>
      </c>
      <c r="C3379" s="2" t="str">
        <f t="shared" si="105"/>
        <v>PGL_Income Eligible_Single Family_CBA_Low Flow Bathroom Aerator_0_SF_2024</v>
      </c>
      <c r="D3379" s="19" t="s">
        <v>1794</v>
      </c>
      <c r="E3379" s="19" t="s">
        <v>325</v>
      </c>
      <c r="F3379" s="19" t="s">
        <v>375</v>
      </c>
      <c r="G3379" s="19" t="s">
        <v>1809</v>
      </c>
      <c r="H3379" s="19" t="s">
        <v>555</v>
      </c>
      <c r="I3379" s="19">
        <v>0</v>
      </c>
      <c r="J3379" s="19" t="s">
        <v>534</v>
      </c>
      <c r="K3379" s="19" t="s">
        <v>409</v>
      </c>
      <c r="L3379" s="19">
        <v>2024</v>
      </c>
      <c r="M3379" s="20">
        <v>1</v>
      </c>
      <c r="N3379" s="19" t="s">
        <v>1795</v>
      </c>
      <c r="O3379" s="20">
        <v>33</v>
      </c>
      <c r="P3379" s="20">
        <v>33</v>
      </c>
      <c r="Q3379" s="20">
        <v>30.008907323160429</v>
      </c>
      <c r="R3379" s="21">
        <v>1</v>
      </c>
      <c r="S3379" s="20">
        <v>30.008907323160429</v>
      </c>
    </row>
    <row r="3380" spans="2:19" ht="15" customHeight="1" x14ac:dyDescent="0.25">
      <c r="B3380" s="2" t="str">
        <f t="shared" si="104"/>
        <v>PGL_Income Eligible_Single Family_CBA_Low Flow Bathroom Aerator_0_SF</v>
      </c>
      <c r="C3380" s="2" t="str">
        <f t="shared" si="105"/>
        <v>PGL_Income Eligible_Single Family_CBA_Low Flow Bathroom Aerator_0_SF_2025</v>
      </c>
      <c r="D3380" s="19" t="s">
        <v>1794</v>
      </c>
      <c r="E3380" s="19" t="s">
        <v>325</v>
      </c>
      <c r="F3380" s="19" t="s">
        <v>375</v>
      </c>
      <c r="G3380" s="19" t="s">
        <v>1809</v>
      </c>
      <c r="H3380" s="19" t="s">
        <v>555</v>
      </c>
      <c r="I3380" s="19">
        <v>0</v>
      </c>
      <c r="J3380" s="19" t="s">
        <v>534</v>
      </c>
      <c r="K3380" s="19" t="s">
        <v>409</v>
      </c>
      <c r="L3380" s="19">
        <v>2025</v>
      </c>
      <c r="M3380" s="20">
        <v>1</v>
      </c>
      <c r="N3380" s="19" t="s">
        <v>1795</v>
      </c>
      <c r="O3380" s="20">
        <v>37</v>
      </c>
      <c r="P3380" s="20">
        <v>37</v>
      </c>
      <c r="Q3380" s="20">
        <v>33.64635063505866</v>
      </c>
      <c r="R3380" s="21">
        <v>1</v>
      </c>
      <c r="S3380" s="20">
        <v>33.64635063505866</v>
      </c>
    </row>
    <row r="3381" spans="2:19" ht="15" customHeight="1" x14ac:dyDescent="0.25">
      <c r="B3381" s="2" t="str">
        <f t="shared" si="104"/>
        <v>PGL_Income Eligible_Single Family_CBA_Low Flow Kitchen Aerator_0_SF</v>
      </c>
      <c r="C3381" s="2" t="str">
        <f t="shared" si="105"/>
        <v>PGL_Income Eligible_Single Family_CBA_Low Flow Kitchen Aerator_0_SF_2022</v>
      </c>
      <c r="D3381" s="19" t="s">
        <v>1794</v>
      </c>
      <c r="E3381" s="19" t="s">
        <v>325</v>
      </c>
      <c r="F3381" s="19" t="s">
        <v>375</v>
      </c>
      <c r="G3381" s="19" t="s">
        <v>1809</v>
      </c>
      <c r="H3381" s="19" t="s">
        <v>533</v>
      </c>
      <c r="I3381" s="19">
        <v>0</v>
      </c>
      <c r="J3381" s="19" t="s">
        <v>534</v>
      </c>
      <c r="K3381" s="19" t="s">
        <v>409</v>
      </c>
      <c r="L3381" s="19">
        <v>2022</v>
      </c>
      <c r="M3381" s="20">
        <v>1</v>
      </c>
      <c r="N3381" s="19" t="s">
        <v>1795</v>
      </c>
      <c r="O3381" s="20">
        <v>41</v>
      </c>
      <c r="P3381" s="20">
        <v>41</v>
      </c>
      <c r="Q3381" s="20">
        <v>352.3388397480968</v>
      </c>
      <c r="R3381" s="21">
        <v>1</v>
      </c>
      <c r="S3381" s="20">
        <v>352.3388397480968</v>
      </c>
    </row>
    <row r="3382" spans="2:19" ht="15" customHeight="1" x14ac:dyDescent="0.25">
      <c r="B3382" s="2" t="str">
        <f t="shared" si="104"/>
        <v>PGL_Income Eligible_Single Family_CBA_Low Flow Kitchen Aerator_0_SF</v>
      </c>
      <c r="C3382" s="2" t="str">
        <f t="shared" si="105"/>
        <v>PGL_Income Eligible_Single Family_CBA_Low Flow Kitchen Aerator_0_SF_2023</v>
      </c>
      <c r="D3382" s="19" t="s">
        <v>1794</v>
      </c>
      <c r="E3382" s="19" t="s">
        <v>325</v>
      </c>
      <c r="F3382" s="19" t="s">
        <v>375</v>
      </c>
      <c r="G3382" s="19" t="s">
        <v>1809</v>
      </c>
      <c r="H3382" s="19" t="s">
        <v>533</v>
      </c>
      <c r="I3382" s="19">
        <v>0</v>
      </c>
      <c r="J3382" s="19" t="s">
        <v>534</v>
      </c>
      <c r="K3382" s="19" t="s">
        <v>409</v>
      </c>
      <c r="L3382" s="19">
        <v>2023</v>
      </c>
      <c r="M3382" s="20">
        <v>1</v>
      </c>
      <c r="N3382" s="19" t="s">
        <v>1795</v>
      </c>
      <c r="O3382" s="20">
        <v>41</v>
      </c>
      <c r="P3382" s="20">
        <v>41</v>
      </c>
      <c r="Q3382" s="20">
        <v>352.3388397480968</v>
      </c>
      <c r="R3382" s="21">
        <v>1</v>
      </c>
      <c r="S3382" s="20">
        <v>352.3388397480968</v>
      </c>
    </row>
    <row r="3383" spans="2:19" ht="15" customHeight="1" x14ac:dyDescent="0.25">
      <c r="B3383" s="2" t="str">
        <f t="shared" si="104"/>
        <v>PGL_Income Eligible_Single Family_CBA_Low Flow Kitchen Aerator_0_SF</v>
      </c>
      <c r="C3383" s="2" t="str">
        <f t="shared" si="105"/>
        <v>PGL_Income Eligible_Single Family_CBA_Low Flow Kitchen Aerator_0_SF_2024</v>
      </c>
      <c r="D3383" s="19" t="s">
        <v>1794</v>
      </c>
      <c r="E3383" s="19" t="s">
        <v>325</v>
      </c>
      <c r="F3383" s="19" t="s">
        <v>375</v>
      </c>
      <c r="G3383" s="19" t="s">
        <v>1809</v>
      </c>
      <c r="H3383" s="19" t="s">
        <v>533</v>
      </c>
      <c r="I3383" s="19">
        <v>0</v>
      </c>
      <c r="J3383" s="19" t="s">
        <v>534</v>
      </c>
      <c r="K3383" s="19" t="s">
        <v>409</v>
      </c>
      <c r="L3383" s="19">
        <v>2024</v>
      </c>
      <c r="M3383" s="20">
        <v>1</v>
      </c>
      <c r="N3383" s="19" t="s">
        <v>1795</v>
      </c>
      <c r="O3383" s="20">
        <v>42</v>
      </c>
      <c r="P3383" s="20">
        <v>42</v>
      </c>
      <c r="Q3383" s="20">
        <v>360.93246998585528</v>
      </c>
      <c r="R3383" s="21">
        <v>1</v>
      </c>
      <c r="S3383" s="20">
        <v>360.93246998585528</v>
      </c>
    </row>
    <row r="3384" spans="2:19" ht="15" customHeight="1" x14ac:dyDescent="0.25">
      <c r="B3384" s="2" t="str">
        <f t="shared" si="104"/>
        <v>PGL_Income Eligible_Single Family_CBA_Low Flow Kitchen Aerator_0_SF</v>
      </c>
      <c r="C3384" s="2" t="str">
        <f t="shared" si="105"/>
        <v>PGL_Income Eligible_Single Family_CBA_Low Flow Kitchen Aerator_0_SF_2025</v>
      </c>
      <c r="D3384" s="19" t="s">
        <v>1794</v>
      </c>
      <c r="E3384" s="19" t="s">
        <v>325</v>
      </c>
      <c r="F3384" s="19" t="s">
        <v>375</v>
      </c>
      <c r="G3384" s="19" t="s">
        <v>1809</v>
      </c>
      <c r="H3384" s="19" t="s">
        <v>533</v>
      </c>
      <c r="I3384" s="19">
        <v>0</v>
      </c>
      <c r="J3384" s="19" t="s">
        <v>534</v>
      </c>
      <c r="K3384" s="19" t="s">
        <v>409</v>
      </c>
      <c r="L3384" s="19">
        <v>2025</v>
      </c>
      <c r="M3384" s="20">
        <v>1</v>
      </c>
      <c r="N3384" s="19" t="s">
        <v>1795</v>
      </c>
      <c r="O3384" s="20">
        <v>47</v>
      </c>
      <c r="P3384" s="20">
        <v>47</v>
      </c>
      <c r="Q3384" s="20">
        <v>403.9006211746476</v>
      </c>
      <c r="R3384" s="21">
        <v>1</v>
      </c>
      <c r="S3384" s="20">
        <v>403.9006211746476</v>
      </c>
    </row>
    <row r="3385" spans="2:19" ht="15" customHeight="1" x14ac:dyDescent="0.25">
      <c r="B3385" s="2" t="str">
        <f t="shared" si="104"/>
        <v>PGL_Income Eligible_Single Family_CBA_Low Flow Showerhead_0_SF</v>
      </c>
      <c r="C3385" s="2" t="str">
        <f t="shared" si="105"/>
        <v>PGL_Income Eligible_Single Family_CBA_Low Flow Showerhead_0_SF_2022</v>
      </c>
      <c r="D3385" s="19" t="s">
        <v>1794</v>
      </c>
      <c r="E3385" s="19" t="s">
        <v>325</v>
      </c>
      <c r="F3385" s="19" t="s">
        <v>375</v>
      </c>
      <c r="G3385" s="19" t="s">
        <v>1809</v>
      </c>
      <c r="H3385" s="19" t="s">
        <v>15</v>
      </c>
      <c r="I3385" s="19">
        <v>0</v>
      </c>
      <c r="J3385" s="19" t="s">
        <v>23</v>
      </c>
      <c r="K3385" s="19" t="s">
        <v>409</v>
      </c>
      <c r="L3385" s="19">
        <v>2022</v>
      </c>
      <c r="M3385" s="20">
        <v>1</v>
      </c>
      <c r="N3385" s="19" t="s">
        <v>1795</v>
      </c>
      <c r="O3385" s="20">
        <v>330</v>
      </c>
      <c r="P3385" s="20">
        <v>330</v>
      </c>
      <c r="Q3385" s="20">
        <v>2900.4384069244002</v>
      </c>
      <c r="R3385" s="21">
        <v>1</v>
      </c>
      <c r="S3385" s="20">
        <v>2900.4384069244002</v>
      </c>
    </row>
    <row r="3386" spans="2:19" ht="15" customHeight="1" x14ac:dyDescent="0.25">
      <c r="B3386" s="2" t="str">
        <f t="shared" si="104"/>
        <v>PGL_Income Eligible_Single Family_CBA_Low Flow Showerhead_0_SF</v>
      </c>
      <c r="C3386" s="2" t="str">
        <f t="shared" si="105"/>
        <v>PGL_Income Eligible_Single Family_CBA_Low Flow Showerhead_0_SF_2023</v>
      </c>
      <c r="D3386" s="19" t="s">
        <v>1794</v>
      </c>
      <c r="E3386" s="19" t="s">
        <v>325</v>
      </c>
      <c r="F3386" s="19" t="s">
        <v>375</v>
      </c>
      <c r="G3386" s="19" t="s">
        <v>1809</v>
      </c>
      <c r="H3386" s="19" t="s">
        <v>15</v>
      </c>
      <c r="I3386" s="19">
        <v>0</v>
      </c>
      <c r="J3386" s="19" t="s">
        <v>23</v>
      </c>
      <c r="K3386" s="19" t="s">
        <v>409</v>
      </c>
      <c r="L3386" s="19">
        <v>2023</v>
      </c>
      <c r="M3386" s="20">
        <v>1</v>
      </c>
      <c r="N3386" s="19" t="s">
        <v>1795</v>
      </c>
      <c r="O3386" s="20">
        <v>330</v>
      </c>
      <c r="P3386" s="20">
        <v>330</v>
      </c>
      <c r="Q3386" s="20">
        <v>2900.4384069244002</v>
      </c>
      <c r="R3386" s="21">
        <v>1</v>
      </c>
      <c r="S3386" s="20">
        <v>2900.4384069244002</v>
      </c>
    </row>
    <row r="3387" spans="2:19" ht="15" customHeight="1" x14ac:dyDescent="0.25">
      <c r="B3387" s="2" t="str">
        <f t="shared" si="104"/>
        <v>PGL_Income Eligible_Single Family_CBA_Low Flow Showerhead_0_SF</v>
      </c>
      <c r="C3387" s="2" t="str">
        <f t="shared" si="105"/>
        <v>PGL_Income Eligible_Single Family_CBA_Low Flow Showerhead_0_SF_2024</v>
      </c>
      <c r="D3387" s="19" t="s">
        <v>1794</v>
      </c>
      <c r="E3387" s="19" t="s">
        <v>325</v>
      </c>
      <c r="F3387" s="19" t="s">
        <v>375</v>
      </c>
      <c r="G3387" s="19" t="s">
        <v>1809</v>
      </c>
      <c r="H3387" s="19" t="s">
        <v>15</v>
      </c>
      <c r="I3387" s="19">
        <v>0</v>
      </c>
      <c r="J3387" s="19" t="s">
        <v>23</v>
      </c>
      <c r="K3387" s="19" t="s">
        <v>409</v>
      </c>
      <c r="L3387" s="19">
        <v>2024</v>
      </c>
      <c r="M3387" s="20">
        <v>1</v>
      </c>
      <c r="N3387" s="19" t="s">
        <v>1795</v>
      </c>
      <c r="O3387" s="20">
        <v>345</v>
      </c>
      <c r="P3387" s="20">
        <v>345</v>
      </c>
      <c r="Q3387" s="20">
        <v>3032.2765163300546</v>
      </c>
      <c r="R3387" s="21">
        <v>1</v>
      </c>
      <c r="S3387" s="20">
        <v>3032.2765163300546</v>
      </c>
    </row>
    <row r="3388" spans="2:19" ht="15" customHeight="1" x14ac:dyDescent="0.25">
      <c r="B3388" s="2" t="str">
        <f t="shared" si="104"/>
        <v>PGL_Income Eligible_Single Family_CBA_Low Flow Showerhead_0_SF</v>
      </c>
      <c r="C3388" s="2" t="str">
        <f t="shared" si="105"/>
        <v>PGL_Income Eligible_Single Family_CBA_Low Flow Showerhead_0_SF_2025</v>
      </c>
      <c r="D3388" s="19" t="s">
        <v>1794</v>
      </c>
      <c r="E3388" s="19" t="s">
        <v>325</v>
      </c>
      <c r="F3388" s="19" t="s">
        <v>375</v>
      </c>
      <c r="G3388" s="19" t="s">
        <v>1809</v>
      </c>
      <c r="H3388" s="19" t="s">
        <v>15</v>
      </c>
      <c r="I3388" s="19">
        <v>0</v>
      </c>
      <c r="J3388" s="19" t="s">
        <v>23</v>
      </c>
      <c r="K3388" s="19" t="s">
        <v>409</v>
      </c>
      <c r="L3388" s="19">
        <v>2025</v>
      </c>
      <c r="M3388" s="20">
        <v>1</v>
      </c>
      <c r="N3388" s="19" t="s">
        <v>1795</v>
      </c>
      <c r="O3388" s="20">
        <v>378</v>
      </c>
      <c r="P3388" s="20">
        <v>378</v>
      </c>
      <c r="Q3388" s="20">
        <v>3322.3203570224946</v>
      </c>
      <c r="R3388" s="21">
        <v>1</v>
      </c>
      <c r="S3388" s="20">
        <v>3322.3203570224946</v>
      </c>
    </row>
    <row r="3389" spans="2:19" ht="15" customHeight="1" x14ac:dyDescent="0.25">
      <c r="B3389" s="2" t="str">
        <f t="shared" si="104"/>
        <v>PGL_Income Eligible_Single Family_CBA_Pipe Insulation_DHW_SF</v>
      </c>
      <c r="C3389" s="2" t="str">
        <f t="shared" si="105"/>
        <v>PGL_Income Eligible_Single Family_CBA_Pipe Insulation_DHW_SF_2022</v>
      </c>
      <c r="D3389" s="19" t="s">
        <v>1794</v>
      </c>
      <c r="E3389" s="19" t="s">
        <v>325</v>
      </c>
      <c r="F3389" s="19" t="s">
        <v>375</v>
      </c>
      <c r="G3389" s="19" t="s">
        <v>1809</v>
      </c>
      <c r="H3389" s="19" t="s">
        <v>404</v>
      </c>
      <c r="I3389" s="19" t="s">
        <v>1019</v>
      </c>
      <c r="J3389" s="19" t="s">
        <v>1008</v>
      </c>
      <c r="K3389" s="19" t="s">
        <v>409</v>
      </c>
      <c r="L3389" s="19">
        <v>2022</v>
      </c>
      <c r="M3389" s="20">
        <v>3</v>
      </c>
      <c r="N3389" s="19" t="s">
        <v>1796</v>
      </c>
      <c r="O3389" s="20">
        <v>190</v>
      </c>
      <c r="P3389" s="20">
        <v>570</v>
      </c>
      <c r="Q3389" s="20">
        <v>503.12002194807155</v>
      </c>
      <c r="R3389" s="21">
        <v>1</v>
      </c>
      <c r="S3389" s="20">
        <v>503.12002194807155</v>
      </c>
    </row>
    <row r="3390" spans="2:19" ht="15" customHeight="1" x14ac:dyDescent="0.25">
      <c r="B3390" s="2" t="str">
        <f t="shared" si="104"/>
        <v>PGL_Income Eligible_Single Family_CBA_Pipe Insulation_DHW_SF</v>
      </c>
      <c r="C3390" s="2" t="str">
        <f t="shared" si="105"/>
        <v>PGL_Income Eligible_Single Family_CBA_Pipe Insulation_DHW_SF_2023</v>
      </c>
      <c r="D3390" s="19" t="s">
        <v>1794</v>
      </c>
      <c r="E3390" s="19" t="s">
        <v>325</v>
      </c>
      <c r="F3390" s="19" t="s">
        <v>375</v>
      </c>
      <c r="G3390" s="19" t="s">
        <v>1809</v>
      </c>
      <c r="H3390" s="19" t="s">
        <v>404</v>
      </c>
      <c r="I3390" s="19" t="s">
        <v>1019</v>
      </c>
      <c r="J3390" s="19" t="s">
        <v>1008</v>
      </c>
      <c r="K3390" s="19" t="s">
        <v>409</v>
      </c>
      <c r="L3390" s="19">
        <v>2023</v>
      </c>
      <c r="M3390" s="20">
        <v>3</v>
      </c>
      <c r="N3390" s="19" t="s">
        <v>1796</v>
      </c>
      <c r="O3390" s="20">
        <v>190</v>
      </c>
      <c r="P3390" s="20">
        <v>570</v>
      </c>
      <c r="Q3390" s="20">
        <v>503.12002194807155</v>
      </c>
      <c r="R3390" s="21">
        <v>1</v>
      </c>
      <c r="S3390" s="20">
        <v>503.12002194807155</v>
      </c>
    </row>
    <row r="3391" spans="2:19" ht="15" customHeight="1" x14ac:dyDescent="0.25">
      <c r="B3391" s="2" t="str">
        <f t="shared" si="104"/>
        <v>PGL_Income Eligible_Single Family_CBA_Pipe Insulation_DHW_SF</v>
      </c>
      <c r="C3391" s="2" t="str">
        <f t="shared" si="105"/>
        <v>PGL_Income Eligible_Single Family_CBA_Pipe Insulation_DHW_SF_2024</v>
      </c>
      <c r="D3391" s="19" t="s">
        <v>1794</v>
      </c>
      <c r="E3391" s="19" t="s">
        <v>325</v>
      </c>
      <c r="F3391" s="19" t="s">
        <v>375</v>
      </c>
      <c r="G3391" s="19" t="s">
        <v>1809</v>
      </c>
      <c r="H3391" s="19" t="s">
        <v>404</v>
      </c>
      <c r="I3391" s="19" t="s">
        <v>1019</v>
      </c>
      <c r="J3391" s="19" t="s">
        <v>1008</v>
      </c>
      <c r="K3391" s="19" t="s">
        <v>409</v>
      </c>
      <c r="L3391" s="19">
        <v>2024</v>
      </c>
      <c r="M3391" s="20">
        <v>3</v>
      </c>
      <c r="N3391" s="19" t="s">
        <v>1796</v>
      </c>
      <c r="O3391" s="20">
        <v>198</v>
      </c>
      <c r="P3391" s="20">
        <v>594</v>
      </c>
      <c r="Q3391" s="20">
        <v>524.3040228722009</v>
      </c>
      <c r="R3391" s="21">
        <v>1</v>
      </c>
      <c r="S3391" s="20">
        <v>524.3040228722009</v>
      </c>
    </row>
    <row r="3392" spans="2:19" ht="15" customHeight="1" x14ac:dyDescent="0.25">
      <c r="B3392" s="2" t="str">
        <f t="shared" si="104"/>
        <v>PGL_Income Eligible_Single Family_CBA_Pipe Insulation_DHW_SF</v>
      </c>
      <c r="C3392" s="2" t="str">
        <f t="shared" si="105"/>
        <v>PGL_Income Eligible_Single Family_CBA_Pipe Insulation_DHW_SF_2025</v>
      </c>
      <c r="D3392" s="19" t="s">
        <v>1794</v>
      </c>
      <c r="E3392" s="19" t="s">
        <v>325</v>
      </c>
      <c r="F3392" s="19" t="s">
        <v>375</v>
      </c>
      <c r="G3392" s="19" t="s">
        <v>1809</v>
      </c>
      <c r="H3392" s="19" t="s">
        <v>404</v>
      </c>
      <c r="I3392" s="19" t="s">
        <v>1019</v>
      </c>
      <c r="J3392" s="19" t="s">
        <v>1008</v>
      </c>
      <c r="K3392" s="19" t="s">
        <v>409</v>
      </c>
      <c r="L3392" s="19">
        <v>2025</v>
      </c>
      <c r="M3392" s="20">
        <v>3</v>
      </c>
      <c r="N3392" s="19" t="s">
        <v>1796</v>
      </c>
      <c r="O3392" s="20">
        <v>217</v>
      </c>
      <c r="P3392" s="20">
        <v>651</v>
      </c>
      <c r="Q3392" s="20">
        <v>574.61602506700808</v>
      </c>
      <c r="R3392" s="21">
        <v>1</v>
      </c>
      <c r="S3392" s="20">
        <v>574.61602506700808</v>
      </c>
    </row>
    <row r="3393" spans="2:19" ht="15" customHeight="1" x14ac:dyDescent="0.25">
      <c r="B3393" s="2" t="str">
        <f t="shared" si="104"/>
        <v>PGL_Income Eligible_Single Family_CBA_Pipe Insulation_Boiler_SF</v>
      </c>
      <c r="C3393" s="2" t="str">
        <f t="shared" si="105"/>
        <v>PGL_Income Eligible_Single Family_CBA_Pipe Insulation_Boiler_SF_2022</v>
      </c>
      <c r="D3393" s="19" t="s">
        <v>1794</v>
      </c>
      <c r="E3393" s="19" t="s">
        <v>325</v>
      </c>
      <c r="F3393" s="19" t="s">
        <v>375</v>
      </c>
      <c r="G3393" s="19" t="s">
        <v>1809</v>
      </c>
      <c r="H3393" s="19" t="s">
        <v>404</v>
      </c>
      <c r="I3393" s="19" t="s">
        <v>944</v>
      </c>
      <c r="J3393" s="19" t="s">
        <v>1008</v>
      </c>
      <c r="K3393" s="19" t="s">
        <v>409</v>
      </c>
      <c r="L3393" s="19">
        <v>2022</v>
      </c>
      <c r="M3393" s="20">
        <v>3</v>
      </c>
      <c r="N3393" s="19" t="s">
        <v>1796</v>
      </c>
      <c r="O3393" s="20">
        <v>112</v>
      </c>
      <c r="P3393" s="20">
        <v>336</v>
      </c>
      <c r="Q3393" s="20">
        <v>2.1851702839932337</v>
      </c>
      <c r="R3393" s="21">
        <v>1</v>
      </c>
      <c r="S3393" s="20">
        <v>2.1851702839932337</v>
      </c>
    </row>
    <row r="3394" spans="2:19" ht="15" customHeight="1" x14ac:dyDescent="0.25">
      <c r="B3394" s="2" t="str">
        <f t="shared" si="104"/>
        <v>PGL_Income Eligible_Single Family_CBA_Pipe Insulation_Boiler_SF</v>
      </c>
      <c r="C3394" s="2" t="str">
        <f t="shared" si="105"/>
        <v>PGL_Income Eligible_Single Family_CBA_Pipe Insulation_Boiler_SF_2023</v>
      </c>
      <c r="D3394" s="19" t="s">
        <v>1794</v>
      </c>
      <c r="E3394" s="19" t="s">
        <v>325</v>
      </c>
      <c r="F3394" s="19" t="s">
        <v>375</v>
      </c>
      <c r="G3394" s="19" t="s">
        <v>1809</v>
      </c>
      <c r="H3394" s="19" t="s">
        <v>404</v>
      </c>
      <c r="I3394" s="19" t="s">
        <v>944</v>
      </c>
      <c r="J3394" s="19" t="s">
        <v>1008</v>
      </c>
      <c r="K3394" s="19" t="s">
        <v>409</v>
      </c>
      <c r="L3394" s="19">
        <v>2023</v>
      </c>
      <c r="M3394" s="20">
        <v>3</v>
      </c>
      <c r="N3394" s="19" t="s">
        <v>1796</v>
      </c>
      <c r="O3394" s="20">
        <v>112</v>
      </c>
      <c r="P3394" s="20">
        <v>336</v>
      </c>
      <c r="Q3394" s="20">
        <v>2.1851702839932337</v>
      </c>
      <c r="R3394" s="21">
        <v>1</v>
      </c>
      <c r="S3394" s="20">
        <v>2.1851702839932337</v>
      </c>
    </row>
    <row r="3395" spans="2:19" ht="15" customHeight="1" x14ac:dyDescent="0.25">
      <c r="B3395" s="2" t="str">
        <f t="shared" si="104"/>
        <v>PGL_Income Eligible_Single Family_CBA_Pipe Insulation_Boiler_SF</v>
      </c>
      <c r="C3395" s="2" t="str">
        <f t="shared" si="105"/>
        <v>PGL_Income Eligible_Single Family_CBA_Pipe Insulation_Boiler_SF_2024</v>
      </c>
      <c r="D3395" s="19" t="s">
        <v>1794</v>
      </c>
      <c r="E3395" s="19" t="s">
        <v>325</v>
      </c>
      <c r="F3395" s="19" t="s">
        <v>375</v>
      </c>
      <c r="G3395" s="19" t="s">
        <v>1809</v>
      </c>
      <c r="H3395" s="19" t="s">
        <v>404</v>
      </c>
      <c r="I3395" s="19" t="s">
        <v>944</v>
      </c>
      <c r="J3395" s="19" t="s">
        <v>1008</v>
      </c>
      <c r="K3395" s="19" t="s">
        <v>409</v>
      </c>
      <c r="L3395" s="19">
        <v>2024</v>
      </c>
      <c r="M3395" s="20">
        <v>3</v>
      </c>
      <c r="N3395" s="19" t="s">
        <v>1796</v>
      </c>
      <c r="O3395" s="20">
        <v>117</v>
      </c>
      <c r="P3395" s="20">
        <v>351</v>
      </c>
      <c r="Q3395" s="20">
        <v>2.28272252881436</v>
      </c>
      <c r="R3395" s="21">
        <v>1</v>
      </c>
      <c r="S3395" s="20">
        <v>2.28272252881436</v>
      </c>
    </row>
    <row r="3396" spans="2:19" ht="15" customHeight="1" x14ac:dyDescent="0.25">
      <c r="B3396" s="2" t="str">
        <f t="shared" si="104"/>
        <v>PGL_Income Eligible_Single Family_CBA_Pipe Insulation_Boiler_SF</v>
      </c>
      <c r="C3396" s="2" t="str">
        <f t="shared" si="105"/>
        <v>PGL_Income Eligible_Single Family_CBA_Pipe Insulation_Boiler_SF_2025</v>
      </c>
      <c r="D3396" s="19" t="s">
        <v>1794</v>
      </c>
      <c r="E3396" s="19" t="s">
        <v>325</v>
      </c>
      <c r="F3396" s="19" t="s">
        <v>375</v>
      </c>
      <c r="G3396" s="19" t="s">
        <v>1809</v>
      </c>
      <c r="H3396" s="19" t="s">
        <v>404</v>
      </c>
      <c r="I3396" s="19" t="s">
        <v>944</v>
      </c>
      <c r="J3396" s="19" t="s">
        <v>1008</v>
      </c>
      <c r="K3396" s="19" t="s">
        <v>409</v>
      </c>
      <c r="L3396" s="19">
        <v>2025</v>
      </c>
      <c r="M3396" s="20">
        <v>3</v>
      </c>
      <c r="N3396" s="19" t="s">
        <v>1796</v>
      </c>
      <c r="O3396" s="20">
        <v>128</v>
      </c>
      <c r="P3396" s="20">
        <v>384</v>
      </c>
      <c r="Q3396" s="20">
        <v>2.4973374674208384</v>
      </c>
      <c r="R3396" s="21">
        <v>1</v>
      </c>
      <c r="S3396" s="20">
        <v>2.4973374674208384</v>
      </c>
    </row>
    <row r="3397" spans="2:19" ht="15" customHeight="1" x14ac:dyDescent="0.25">
      <c r="B3397" s="2" t="str">
        <f t="shared" si="104"/>
        <v>PGL_Income Eligible_Single Family_CBA_Programmable Thermostat_Furnace (DI)_SF</v>
      </c>
      <c r="C3397" s="2" t="str">
        <f t="shared" si="105"/>
        <v>PGL_Income Eligible_Single Family_CBA_Programmable Thermostat_Furnace (DI)_SF_2022</v>
      </c>
      <c r="D3397" s="19" t="s">
        <v>1794</v>
      </c>
      <c r="E3397" s="19" t="s">
        <v>325</v>
      </c>
      <c r="F3397" s="19" t="s">
        <v>375</v>
      </c>
      <c r="G3397" s="19" t="s">
        <v>1809</v>
      </c>
      <c r="H3397" s="19" t="s">
        <v>224</v>
      </c>
      <c r="I3397" s="19" t="s">
        <v>1038</v>
      </c>
      <c r="J3397" s="19" t="s">
        <v>24</v>
      </c>
      <c r="K3397" s="19" t="s">
        <v>409</v>
      </c>
      <c r="L3397" s="19">
        <v>2022</v>
      </c>
      <c r="M3397" s="20">
        <v>1</v>
      </c>
      <c r="N3397" s="19" t="s">
        <v>1795</v>
      </c>
      <c r="O3397" s="20">
        <v>180</v>
      </c>
      <c r="P3397" s="20">
        <v>180</v>
      </c>
      <c r="Q3397" s="20">
        <v>11215.800000000001</v>
      </c>
      <c r="R3397" s="21">
        <v>1</v>
      </c>
      <c r="S3397" s="20">
        <v>11215.800000000001</v>
      </c>
    </row>
    <row r="3398" spans="2:19" ht="15" customHeight="1" x14ac:dyDescent="0.25">
      <c r="B3398" s="2" t="str">
        <f t="shared" ref="B3398:B3461" si="106">D3398&amp;"_"&amp;E3398&amp;"_"&amp;F3398&amp;"_"&amp;G3398&amp;"_"&amp;H3398&amp;"_"&amp;I3398&amp;"_"&amp;K3398</f>
        <v>PGL_Income Eligible_Single Family_CBA_Programmable Thermostat_Furnace (DI)_SF</v>
      </c>
      <c r="C3398" s="2" t="str">
        <f t="shared" ref="C3398:C3461" si="107">D3398&amp;"_"&amp;E3398&amp;"_"&amp;F3398&amp;"_"&amp;G3398&amp;"_"&amp;H3398&amp;"_"&amp;I3398&amp;"_"&amp;K3398&amp;"_"&amp;L3398</f>
        <v>PGL_Income Eligible_Single Family_CBA_Programmable Thermostat_Furnace (DI)_SF_2023</v>
      </c>
      <c r="D3398" s="19" t="s">
        <v>1794</v>
      </c>
      <c r="E3398" s="19" t="s">
        <v>325</v>
      </c>
      <c r="F3398" s="19" t="s">
        <v>375</v>
      </c>
      <c r="G3398" s="19" t="s">
        <v>1809</v>
      </c>
      <c r="H3398" s="19" t="s">
        <v>224</v>
      </c>
      <c r="I3398" s="19" t="s">
        <v>1038</v>
      </c>
      <c r="J3398" s="19" t="s">
        <v>24</v>
      </c>
      <c r="K3398" s="19" t="s">
        <v>409</v>
      </c>
      <c r="L3398" s="19">
        <v>2023</v>
      </c>
      <c r="M3398" s="20">
        <v>1</v>
      </c>
      <c r="N3398" s="19" t="s">
        <v>1795</v>
      </c>
      <c r="O3398" s="20">
        <v>180</v>
      </c>
      <c r="P3398" s="20">
        <v>180</v>
      </c>
      <c r="Q3398" s="20">
        <v>11215.800000000001</v>
      </c>
      <c r="R3398" s="21">
        <v>1</v>
      </c>
      <c r="S3398" s="20">
        <v>11215.800000000001</v>
      </c>
    </row>
    <row r="3399" spans="2:19" ht="15" customHeight="1" x14ac:dyDescent="0.25">
      <c r="B3399" s="2" t="str">
        <f t="shared" si="106"/>
        <v>PGL_Income Eligible_Single Family_CBA_Programmable Thermostat_Furnace (DI)_SF</v>
      </c>
      <c r="C3399" s="2" t="str">
        <f t="shared" si="107"/>
        <v>PGL_Income Eligible_Single Family_CBA_Programmable Thermostat_Furnace (DI)_SF_2024</v>
      </c>
      <c r="D3399" s="19" t="s">
        <v>1794</v>
      </c>
      <c r="E3399" s="19" t="s">
        <v>325</v>
      </c>
      <c r="F3399" s="19" t="s">
        <v>375</v>
      </c>
      <c r="G3399" s="19" t="s">
        <v>1809</v>
      </c>
      <c r="H3399" s="19" t="s">
        <v>224</v>
      </c>
      <c r="I3399" s="19" t="s">
        <v>1038</v>
      </c>
      <c r="J3399" s="19" t="s">
        <v>24</v>
      </c>
      <c r="K3399" s="19" t="s">
        <v>409</v>
      </c>
      <c r="L3399" s="19">
        <v>2024</v>
      </c>
      <c r="M3399" s="20">
        <v>1</v>
      </c>
      <c r="N3399" s="19" t="s">
        <v>1795</v>
      </c>
      <c r="O3399" s="20">
        <v>188</v>
      </c>
      <c r="P3399" s="20">
        <v>188</v>
      </c>
      <c r="Q3399" s="20">
        <v>11714.28</v>
      </c>
      <c r="R3399" s="21">
        <v>1</v>
      </c>
      <c r="S3399" s="20">
        <v>11714.28</v>
      </c>
    </row>
    <row r="3400" spans="2:19" ht="15" customHeight="1" x14ac:dyDescent="0.25">
      <c r="B3400" s="2" t="str">
        <f t="shared" si="106"/>
        <v>PGL_Income Eligible_Single Family_CBA_Programmable Thermostat_Furnace (DI)_SF</v>
      </c>
      <c r="C3400" s="2" t="str">
        <f t="shared" si="107"/>
        <v>PGL_Income Eligible_Single Family_CBA_Programmable Thermostat_Furnace (DI)_SF_2025</v>
      </c>
      <c r="D3400" s="19" t="s">
        <v>1794</v>
      </c>
      <c r="E3400" s="19" t="s">
        <v>325</v>
      </c>
      <c r="F3400" s="19" t="s">
        <v>375</v>
      </c>
      <c r="G3400" s="19" t="s">
        <v>1809</v>
      </c>
      <c r="H3400" s="19" t="s">
        <v>224</v>
      </c>
      <c r="I3400" s="19" t="s">
        <v>1038</v>
      </c>
      <c r="J3400" s="19" t="s">
        <v>24</v>
      </c>
      <c r="K3400" s="19" t="s">
        <v>409</v>
      </c>
      <c r="L3400" s="19">
        <v>2025</v>
      </c>
      <c r="M3400" s="20">
        <v>1</v>
      </c>
      <c r="N3400" s="19" t="s">
        <v>1795</v>
      </c>
      <c r="O3400" s="20">
        <v>206</v>
      </c>
      <c r="P3400" s="20">
        <v>206</v>
      </c>
      <c r="Q3400" s="20">
        <v>12835.86</v>
      </c>
      <c r="R3400" s="21">
        <v>1</v>
      </c>
      <c r="S3400" s="20">
        <v>12835.86</v>
      </c>
    </row>
    <row r="3401" spans="2:19" ht="15" customHeight="1" x14ac:dyDescent="0.25">
      <c r="B3401" s="2" t="str">
        <f t="shared" si="106"/>
        <v>PGL_Income Eligible_Single Family_CBA_Programmable Thermostat_Boiler (DI)_SF</v>
      </c>
      <c r="C3401" s="2" t="str">
        <f t="shared" si="107"/>
        <v>PGL_Income Eligible_Single Family_CBA_Programmable Thermostat_Boiler (DI)_SF_2022</v>
      </c>
      <c r="D3401" s="19" t="s">
        <v>1794</v>
      </c>
      <c r="E3401" s="19" t="s">
        <v>325</v>
      </c>
      <c r="F3401" s="19" t="s">
        <v>375</v>
      </c>
      <c r="G3401" s="19" t="s">
        <v>1809</v>
      </c>
      <c r="H3401" s="19" t="s">
        <v>224</v>
      </c>
      <c r="I3401" s="19" t="s">
        <v>1045</v>
      </c>
      <c r="J3401" s="19" t="s">
        <v>24</v>
      </c>
      <c r="K3401" s="19" t="s">
        <v>409</v>
      </c>
      <c r="L3401" s="19">
        <v>2022</v>
      </c>
      <c r="M3401" s="20">
        <v>1</v>
      </c>
      <c r="N3401" s="19" t="s">
        <v>1795</v>
      </c>
      <c r="O3401" s="20">
        <v>45</v>
      </c>
      <c r="P3401" s="20">
        <v>45</v>
      </c>
      <c r="Q3401" s="20">
        <v>4148.7300000000005</v>
      </c>
      <c r="R3401" s="21">
        <v>1</v>
      </c>
      <c r="S3401" s="20">
        <v>4148.7300000000005</v>
      </c>
    </row>
    <row r="3402" spans="2:19" ht="15" customHeight="1" x14ac:dyDescent="0.25">
      <c r="B3402" s="2" t="str">
        <f t="shared" si="106"/>
        <v>PGL_Income Eligible_Single Family_CBA_Programmable Thermostat_Boiler (DI)_SF</v>
      </c>
      <c r="C3402" s="2" t="str">
        <f t="shared" si="107"/>
        <v>PGL_Income Eligible_Single Family_CBA_Programmable Thermostat_Boiler (DI)_SF_2023</v>
      </c>
      <c r="D3402" s="19" t="s">
        <v>1794</v>
      </c>
      <c r="E3402" s="19" t="s">
        <v>325</v>
      </c>
      <c r="F3402" s="19" t="s">
        <v>375</v>
      </c>
      <c r="G3402" s="19" t="s">
        <v>1809</v>
      </c>
      <c r="H3402" s="19" t="s">
        <v>224</v>
      </c>
      <c r="I3402" s="19" t="s">
        <v>1045</v>
      </c>
      <c r="J3402" s="19" t="s">
        <v>24</v>
      </c>
      <c r="K3402" s="19" t="s">
        <v>409</v>
      </c>
      <c r="L3402" s="19">
        <v>2023</v>
      </c>
      <c r="M3402" s="20">
        <v>1</v>
      </c>
      <c r="N3402" s="19" t="s">
        <v>1795</v>
      </c>
      <c r="O3402" s="20">
        <v>45</v>
      </c>
      <c r="P3402" s="20">
        <v>45</v>
      </c>
      <c r="Q3402" s="20">
        <v>4148.7300000000005</v>
      </c>
      <c r="R3402" s="21">
        <v>1</v>
      </c>
      <c r="S3402" s="20">
        <v>4148.7300000000005</v>
      </c>
    </row>
    <row r="3403" spans="2:19" ht="15" customHeight="1" x14ac:dyDescent="0.25">
      <c r="B3403" s="2" t="str">
        <f t="shared" si="106"/>
        <v>PGL_Income Eligible_Single Family_CBA_Programmable Thermostat_Boiler (DI)_SF</v>
      </c>
      <c r="C3403" s="2" t="str">
        <f t="shared" si="107"/>
        <v>PGL_Income Eligible_Single Family_CBA_Programmable Thermostat_Boiler (DI)_SF_2024</v>
      </c>
      <c r="D3403" s="19" t="s">
        <v>1794</v>
      </c>
      <c r="E3403" s="19" t="s">
        <v>325</v>
      </c>
      <c r="F3403" s="19" t="s">
        <v>375</v>
      </c>
      <c r="G3403" s="19" t="s">
        <v>1809</v>
      </c>
      <c r="H3403" s="19" t="s">
        <v>224</v>
      </c>
      <c r="I3403" s="19" t="s">
        <v>1045</v>
      </c>
      <c r="J3403" s="19" t="s">
        <v>24</v>
      </c>
      <c r="K3403" s="19" t="s">
        <v>409</v>
      </c>
      <c r="L3403" s="19">
        <v>2024</v>
      </c>
      <c r="M3403" s="20">
        <v>1</v>
      </c>
      <c r="N3403" s="19" t="s">
        <v>1795</v>
      </c>
      <c r="O3403" s="20">
        <v>47</v>
      </c>
      <c r="P3403" s="20">
        <v>47</v>
      </c>
      <c r="Q3403" s="20">
        <v>4333.1180000000004</v>
      </c>
      <c r="R3403" s="21">
        <v>1</v>
      </c>
      <c r="S3403" s="20">
        <v>4333.1180000000004</v>
      </c>
    </row>
    <row r="3404" spans="2:19" ht="15" customHeight="1" x14ac:dyDescent="0.25">
      <c r="B3404" s="2" t="str">
        <f t="shared" si="106"/>
        <v>PGL_Income Eligible_Single Family_CBA_Programmable Thermostat_Boiler (DI)_SF</v>
      </c>
      <c r="C3404" s="2" t="str">
        <f t="shared" si="107"/>
        <v>PGL_Income Eligible_Single Family_CBA_Programmable Thermostat_Boiler (DI)_SF_2025</v>
      </c>
      <c r="D3404" s="19" t="s">
        <v>1794</v>
      </c>
      <c r="E3404" s="19" t="s">
        <v>325</v>
      </c>
      <c r="F3404" s="19" t="s">
        <v>375</v>
      </c>
      <c r="G3404" s="19" t="s">
        <v>1809</v>
      </c>
      <c r="H3404" s="19" t="s">
        <v>224</v>
      </c>
      <c r="I3404" s="19" t="s">
        <v>1045</v>
      </c>
      <c r="J3404" s="19" t="s">
        <v>24</v>
      </c>
      <c r="K3404" s="19" t="s">
        <v>409</v>
      </c>
      <c r="L3404" s="19">
        <v>2025</v>
      </c>
      <c r="M3404" s="20">
        <v>1</v>
      </c>
      <c r="N3404" s="19" t="s">
        <v>1795</v>
      </c>
      <c r="O3404" s="20">
        <v>52</v>
      </c>
      <c r="P3404" s="20">
        <v>52</v>
      </c>
      <c r="Q3404" s="20">
        <v>4794.0879999999997</v>
      </c>
      <c r="R3404" s="21">
        <v>1</v>
      </c>
      <c r="S3404" s="20">
        <v>4794.0879999999997</v>
      </c>
    </row>
    <row r="3405" spans="2:19" ht="15" customHeight="1" x14ac:dyDescent="0.25">
      <c r="B3405" s="2" t="str">
        <f t="shared" si="106"/>
        <v>PGL_Income Eligible_Single Family_CBA_Advanced Thermostat_Furnace (Replace Manual)_SF</v>
      </c>
      <c r="C3405" s="2" t="str">
        <f t="shared" si="107"/>
        <v>PGL_Income Eligible_Single Family_CBA_Advanced Thermostat_Furnace (Replace Manual)_SF_2022</v>
      </c>
      <c r="D3405" s="19" t="s">
        <v>1794</v>
      </c>
      <c r="E3405" s="19" t="s">
        <v>325</v>
      </c>
      <c r="F3405" s="19" t="s">
        <v>375</v>
      </c>
      <c r="G3405" s="19" t="s">
        <v>1809</v>
      </c>
      <c r="H3405" s="19" t="s">
        <v>7</v>
      </c>
      <c r="I3405" s="19" t="s">
        <v>1047</v>
      </c>
      <c r="J3405" s="19" t="s">
        <v>24</v>
      </c>
      <c r="K3405" s="19" t="s">
        <v>409</v>
      </c>
      <c r="L3405" s="19">
        <v>2022</v>
      </c>
      <c r="M3405" s="20">
        <v>1</v>
      </c>
      <c r="N3405" s="19" t="s">
        <v>1795</v>
      </c>
      <c r="O3405" s="20">
        <v>38</v>
      </c>
      <c r="P3405" s="20">
        <v>38</v>
      </c>
      <c r="Q3405" s="20">
        <v>3971.7599999999998</v>
      </c>
      <c r="R3405" s="21">
        <v>1</v>
      </c>
      <c r="S3405" s="20">
        <v>3971.7599999999998</v>
      </c>
    </row>
    <row r="3406" spans="2:19" ht="15" customHeight="1" x14ac:dyDescent="0.25">
      <c r="B3406" s="2" t="str">
        <f t="shared" si="106"/>
        <v>PGL_Income Eligible_Single Family_CBA_Advanced Thermostat_Furnace (Replace Manual)_SF</v>
      </c>
      <c r="C3406" s="2" t="str">
        <f t="shared" si="107"/>
        <v>PGL_Income Eligible_Single Family_CBA_Advanced Thermostat_Furnace (Replace Manual)_SF_2023</v>
      </c>
      <c r="D3406" s="19" t="s">
        <v>1794</v>
      </c>
      <c r="E3406" s="19" t="s">
        <v>325</v>
      </c>
      <c r="F3406" s="19" t="s">
        <v>375</v>
      </c>
      <c r="G3406" s="19" t="s">
        <v>1809</v>
      </c>
      <c r="H3406" s="19" t="s">
        <v>7</v>
      </c>
      <c r="I3406" s="19" t="s">
        <v>1047</v>
      </c>
      <c r="J3406" s="19" t="s">
        <v>24</v>
      </c>
      <c r="K3406" s="19" t="s">
        <v>409</v>
      </c>
      <c r="L3406" s="19">
        <v>2023</v>
      </c>
      <c r="M3406" s="20">
        <v>1</v>
      </c>
      <c r="N3406" s="19" t="s">
        <v>1795</v>
      </c>
      <c r="O3406" s="20">
        <v>38</v>
      </c>
      <c r="P3406" s="20">
        <v>38</v>
      </c>
      <c r="Q3406" s="20">
        <v>3971.7599999999998</v>
      </c>
      <c r="R3406" s="21">
        <v>1</v>
      </c>
      <c r="S3406" s="20">
        <v>3971.7599999999998</v>
      </c>
    </row>
    <row r="3407" spans="2:19" ht="15" customHeight="1" x14ac:dyDescent="0.25">
      <c r="B3407" s="2" t="str">
        <f t="shared" si="106"/>
        <v>PGL_Income Eligible_Single Family_CBA_Advanced Thermostat_Furnace (Replace Manual)_SF</v>
      </c>
      <c r="C3407" s="2" t="str">
        <f t="shared" si="107"/>
        <v>PGL_Income Eligible_Single Family_CBA_Advanced Thermostat_Furnace (Replace Manual)_SF_2024</v>
      </c>
      <c r="D3407" s="19" t="s">
        <v>1794</v>
      </c>
      <c r="E3407" s="19" t="s">
        <v>325</v>
      </c>
      <c r="F3407" s="19" t="s">
        <v>375</v>
      </c>
      <c r="G3407" s="19" t="s">
        <v>1809</v>
      </c>
      <c r="H3407" s="19" t="s">
        <v>7</v>
      </c>
      <c r="I3407" s="19" t="s">
        <v>1047</v>
      </c>
      <c r="J3407" s="19" t="s">
        <v>24</v>
      </c>
      <c r="K3407" s="19" t="s">
        <v>409</v>
      </c>
      <c r="L3407" s="19">
        <v>2024</v>
      </c>
      <c r="M3407" s="20">
        <v>1</v>
      </c>
      <c r="N3407" s="19" t="s">
        <v>1795</v>
      </c>
      <c r="O3407" s="20">
        <v>40</v>
      </c>
      <c r="P3407" s="20">
        <v>40</v>
      </c>
      <c r="Q3407" s="20">
        <v>4180.8</v>
      </c>
      <c r="R3407" s="21">
        <v>1</v>
      </c>
      <c r="S3407" s="20">
        <v>4180.8</v>
      </c>
    </row>
    <row r="3408" spans="2:19" ht="15" customHeight="1" x14ac:dyDescent="0.25">
      <c r="B3408" s="2" t="str">
        <f t="shared" si="106"/>
        <v>PGL_Income Eligible_Single Family_CBA_Advanced Thermostat_Furnace (Replace Manual)_SF</v>
      </c>
      <c r="C3408" s="2" t="str">
        <f t="shared" si="107"/>
        <v>PGL_Income Eligible_Single Family_CBA_Advanced Thermostat_Furnace (Replace Manual)_SF_2025</v>
      </c>
      <c r="D3408" s="19" t="s">
        <v>1794</v>
      </c>
      <c r="E3408" s="19" t="s">
        <v>325</v>
      </c>
      <c r="F3408" s="19" t="s">
        <v>375</v>
      </c>
      <c r="G3408" s="19" t="s">
        <v>1809</v>
      </c>
      <c r="H3408" s="19" t="s">
        <v>7</v>
      </c>
      <c r="I3408" s="19" t="s">
        <v>1047</v>
      </c>
      <c r="J3408" s="19" t="s">
        <v>24</v>
      </c>
      <c r="K3408" s="19" t="s">
        <v>409</v>
      </c>
      <c r="L3408" s="19">
        <v>2025</v>
      </c>
      <c r="M3408" s="20">
        <v>1</v>
      </c>
      <c r="N3408" s="19" t="s">
        <v>1795</v>
      </c>
      <c r="O3408" s="20">
        <v>44</v>
      </c>
      <c r="P3408" s="20">
        <v>44</v>
      </c>
      <c r="Q3408" s="20">
        <v>4598.88</v>
      </c>
      <c r="R3408" s="21">
        <v>1</v>
      </c>
      <c r="S3408" s="20">
        <v>4598.88</v>
      </c>
    </row>
    <row r="3409" spans="2:19" ht="15" customHeight="1" x14ac:dyDescent="0.25">
      <c r="B3409" s="2" t="str">
        <f t="shared" si="106"/>
        <v>PGL_Income Eligible_Single Family_CBA_Advanced Thermostat_Boiler (Replace Manual)_SF</v>
      </c>
      <c r="C3409" s="2" t="str">
        <f t="shared" si="107"/>
        <v>PGL_Income Eligible_Single Family_CBA_Advanced Thermostat_Boiler (Replace Manual)_SF_2022</v>
      </c>
      <c r="D3409" s="19" t="s">
        <v>1794</v>
      </c>
      <c r="E3409" s="19" t="s">
        <v>325</v>
      </c>
      <c r="F3409" s="19" t="s">
        <v>375</v>
      </c>
      <c r="G3409" s="19" t="s">
        <v>1809</v>
      </c>
      <c r="H3409" s="19" t="s">
        <v>7</v>
      </c>
      <c r="I3409" s="19" t="s">
        <v>1051</v>
      </c>
      <c r="J3409" s="19" t="s">
        <v>24</v>
      </c>
      <c r="K3409" s="19" t="s">
        <v>409</v>
      </c>
      <c r="L3409" s="19">
        <v>2022</v>
      </c>
      <c r="M3409" s="20">
        <v>1</v>
      </c>
      <c r="N3409" s="19" t="s">
        <v>1795</v>
      </c>
      <c r="O3409" s="20">
        <v>38</v>
      </c>
      <c r="P3409" s="20">
        <v>38</v>
      </c>
      <c r="Q3409" s="20">
        <v>5868.72</v>
      </c>
      <c r="R3409" s="21">
        <v>1</v>
      </c>
      <c r="S3409" s="20">
        <v>5868.72</v>
      </c>
    </row>
    <row r="3410" spans="2:19" ht="15" customHeight="1" x14ac:dyDescent="0.25">
      <c r="B3410" s="2" t="str">
        <f t="shared" si="106"/>
        <v>PGL_Income Eligible_Single Family_CBA_Advanced Thermostat_Boiler (Replace Manual)_SF</v>
      </c>
      <c r="C3410" s="2" t="str">
        <f t="shared" si="107"/>
        <v>PGL_Income Eligible_Single Family_CBA_Advanced Thermostat_Boiler (Replace Manual)_SF_2023</v>
      </c>
      <c r="D3410" s="19" t="s">
        <v>1794</v>
      </c>
      <c r="E3410" s="19" t="s">
        <v>325</v>
      </c>
      <c r="F3410" s="19" t="s">
        <v>375</v>
      </c>
      <c r="G3410" s="19" t="s">
        <v>1809</v>
      </c>
      <c r="H3410" s="19" t="s">
        <v>7</v>
      </c>
      <c r="I3410" s="19" t="s">
        <v>1051</v>
      </c>
      <c r="J3410" s="19" t="s">
        <v>24</v>
      </c>
      <c r="K3410" s="19" t="s">
        <v>409</v>
      </c>
      <c r="L3410" s="19">
        <v>2023</v>
      </c>
      <c r="M3410" s="20">
        <v>1</v>
      </c>
      <c r="N3410" s="19" t="s">
        <v>1795</v>
      </c>
      <c r="O3410" s="20">
        <v>38</v>
      </c>
      <c r="P3410" s="20">
        <v>38</v>
      </c>
      <c r="Q3410" s="20">
        <v>5868.72</v>
      </c>
      <c r="R3410" s="21">
        <v>1</v>
      </c>
      <c r="S3410" s="20">
        <v>5868.72</v>
      </c>
    </row>
    <row r="3411" spans="2:19" ht="15" customHeight="1" x14ac:dyDescent="0.25">
      <c r="B3411" s="2" t="str">
        <f t="shared" si="106"/>
        <v>PGL_Income Eligible_Single Family_CBA_Advanced Thermostat_Boiler (Replace Manual)_SF</v>
      </c>
      <c r="C3411" s="2" t="str">
        <f t="shared" si="107"/>
        <v>PGL_Income Eligible_Single Family_CBA_Advanced Thermostat_Boiler (Replace Manual)_SF_2024</v>
      </c>
      <c r="D3411" s="19" t="s">
        <v>1794</v>
      </c>
      <c r="E3411" s="19" t="s">
        <v>325</v>
      </c>
      <c r="F3411" s="19" t="s">
        <v>375</v>
      </c>
      <c r="G3411" s="19" t="s">
        <v>1809</v>
      </c>
      <c r="H3411" s="19" t="s">
        <v>7</v>
      </c>
      <c r="I3411" s="19" t="s">
        <v>1051</v>
      </c>
      <c r="J3411" s="19" t="s">
        <v>24</v>
      </c>
      <c r="K3411" s="19" t="s">
        <v>409</v>
      </c>
      <c r="L3411" s="19">
        <v>2024</v>
      </c>
      <c r="M3411" s="20">
        <v>1</v>
      </c>
      <c r="N3411" s="19" t="s">
        <v>1795</v>
      </c>
      <c r="O3411" s="20">
        <v>40</v>
      </c>
      <c r="P3411" s="20">
        <v>40</v>
      </c>
      <c r="Q3411" s="20">
        <v>6177.6</v>
      </c>
      <c r="R3411" s="21">
        <v>1</v>
      </c>
      <c r="S3411" s="20">
        <v>6177.6</v>
      </c>
    </row>
    <row r="3412" spans="2:19" ht="15" customHeight="1" x14ac:dyDescent="0.25">
      <c r="B3412" s="2" t="str">
        <f t="shared" si="106"/>
        <v>PGL_Income Eligible_Single Family_CBA_Advanced Thermostat_Boiler (Replace Manual)_SF</v>
      </c>
      <c r="C3412" s="2" t="str">
        <f t="shared" si="107"/>
        <v>PGL_Income Eligible_Single Family_CBA_Advanced Thermostat_Boiler (Replace Manual)_SF_2025</v>
      </c>
      <c r="D3412" s="19" t="s">
        <v>1794</v>
      </c>
      <c r="E3412" s="19" t="s">
        <v>325</v>
      </c>
      <c r="F3412" s="19" t="s">
        <v>375</v>
      </c>
      <c r="G3412" s="19" t="s">
        <v>1809</v>
      </c>
      <c r="H3412" s="19" t="s">
        <v>7</v>
      </c>
      <c r="I3412" s="19" t="s">
        <v>1051</v>
      </c>
      <c r="J3412" s="19" t="s">
        <v>24</v>
      </c>
      <c r="K3412" s="19" t="s">
        <v>409</v>
      </c>
      <c r="L3412" s="19">
        <v>2025</v>
      </c>
      <c r="M3412" s="20">
        <v>1</v>
      </c>
      <c r="N3412" s="19" t="s">
        <v>1795</v>
      </c>
      <c r="O3412" s="20">
        <v>44</v>
      </c>
      <c r="P3412" s="20">
        <v>44</v>
      </c>
      <c r="Q3412" s="20">
        <v>6795.36</v>
      </c>
      <c r="R3412" s="21">
        <v>1</v>
      </c>
      <c r="S3412" s="20">
        <v>6795.36</v>
      </c>
    </row>
    <row r="3413" spans="2:19" ht="15" customHeight="1" x14ac:dyDescent="0.25">
      <c r="B3413" s="2" t="str">
        <f t="shared" si="106"/>
        <v>PGL_Income Eligible_Single Family_CBA_Advanced Thermostat_Furnace (Replace Programmable)_SF</v>
      </c>
      <c r="C3413" s="2" t="str">
        <f t="shared" si="107"/>
        <v>PGL_Income Eligible_Single Family_CBA_Advanced Thermostat_Furnace (Replace Programmable)_SF_2022</v>
      </c>
      <c r="D3413" s="19" t="s">
        <v>1794</v>
      </c>
      <c r="E3413" s="19" t="s">
        <v>325</v>
      </c>
      <c r="F3413" s="19" t="s">
        <v>375</v>
      </c>
      <c r="G3413" s="19" t="s">
        <v>1809</v>
      </c>
      <c r="H3413" s="19" t="s">
        <v>7</v>
      </c>
      <c r="I3413" s="19" t="s">
        <v>1049</v>
      </c>
      <c r="J3413" s="19" t="s">
        <v>24</v>
      </c>
      <c r="K3413" s="19" t="s">
        <v>409</v>
      </c>
      <c r="L3413" s="19">
        <v>2022</v>
      </c>
      <c r="M3413" s="20">
        <v>1</v>
      </c>
      <c r="N3413" s="19" t="s">
        <v>1795</v>
      </c>
      <c r="O3413" s="20">
        <v>38</v>
      </c>
      <c r="P3413" s="20">
        <v>38</v>
      </c>
      <c r="Q3413" s="20">
        <v>2787.87</v>
      </c>
      <c r="R3413" s="21">
        <v>1</v>
      </c>
      <c r="S3413" s="20">
        <v>2787.87</v>
      </c>
    </row>
    <row r="3414" spans="2:19" ht="15" customHeight="1" x14ac:dyDescent="0.25">
      <c r="B3414" s="2" t="str">
        <f t="shared" si="106"/>
        <v>PGL_Income Eligible_Single Family_CBA_Advanced Thermostat_Furnace (Replace Programmable)_SF</v>
      </c>
      <c r="C3414" s="2" t="str">
        <f t="shared" si="107"/>
        <v>PGL_Income Eligible_Single Family_CBA_Advanced Thermostat_Furnace (Replace Programmable)_SF_2023</v>
      </c>
      <c r="D3414" s="19" t="s">
        <v>1794</v>
      </c>
      <c r="E3414" s="19" t="s">
        <v>325</v>
      </c>
      <c r="F3414" s="19" t="s">
        <v>375</v>
      </c>
      <c r="G3414" s="19" t="s">
        <v>1809</v>
      </c>
      <c r="H3414" s="19" t="s">
        <v>7</v>
      </c>
      <c r="I3414" s="19" t="s">
        <v>1049</v>
      </c>
      <c r="J3414" s="19" t="s">
        <v>24</v>
      </c>
      <c r="K3414" s="19" t="s">
        <v>409</v>
      </c>
      <c r="L3414" s="19">
        <v>2023</v>
      </c>
      <c r="M3414" s="20">
        <v>1</v>
      </c>
      <c r="N3414" s="19" t="s">
        <v>1795</v>
      </c>
      <c r="O3414" s="20">
        <v>38</v>
      </c>
      <c r="P3414" s="20">
        <v>38</v>
      </c>
      <c r="Q3414" s="20">
        <v>2787.87</v>
      </c>
      <c r="R3414" s="21">
        <v>1</v>
      </c>
      <c r="S3414" s="20">
        <v>2787.87</v>
      </c>
    </row>
    <row r="3415" spans="2:19" ht="15" customHeight="1" x14ac:dyDescent="0.25">
      <c r="B3415" s="2" t="str">
        <f t="shared" si="106"/>
        <v>PGL_Income Eligible_Single Family_CBA_Advanced Thermostat_Furnace (Replace Programmable)_SF</v>
      </c>
      <c r="C3415" s="2" t="str">
        <f t="shared" si="107"/>
        <v>PGL_Income Eligible_Single Family_CBA_Advanced Thermostat_Furnace (Replace Programmable)_SF_2024</v>
      </c>
      <c r="D3415" s="19" t="s">
        <v>1794</v>
      </c>
      <c r="E3415" s="19" t="s">
        <v>325</v>
      </c>
      <c r="F3415" s="19" t="s">
        <v>375</v>
      </c>
      <c r="G3415" s="19" t="s">
        <v>1809</v>
      </c>
      <c r="H3415" s="19" t="s">
        <v>7</v>
      </c>
      <c r="I3415" s="19" t="s">
        <v>1049</v>
      </c>
      <c r="J3415" s="19" t="s">
        <v>24</v>
      </c>
      <c r="K3415" s="19" t="s">
        <v>409</v>
      </c>
      <c r="L3415" s="19">
        <v>2024</v>
      </c>
      <c r="M3415" s="20">
        <v>1</v>
      </c>
      <c r="N3415" s="19" t="s">
        <v>1795</v>
      </c>
      <c r="O3415" s="20">
        <v>40</v>
      </c>
      <c r="P3415" s="20">
        <v>40</v>
      </c>
      <c r="Q3415" s="20">
        <v>2934.6</v>
      </c>
      <c r="R3415" s="21">
        <v>1</v>
      </c>
      <c r="S3415" s="20">
        <v>2934.6</v>
      </c>
    </row>
    <row r="3416" spans="2:19" ht="15" customHeight="1" x14ac:dyDescent="0.25">
      <c r="B3416" s="2" t="str">
        <f t="shared" si="106"/>
        <v>PGL_Income Eligible_Single Family_CBA_Advanced Thermostat_Furnace (Replace Programmable)_SF</v>
      </c>
      <c r="C3416" s="2" t="str">
        <f t="shared" si="107"/>
        <v>PGL_Income Eligible_Single Family_CBA_Advanced Thermostat_Furnace (Replace Programmable)_SF_2025</v>
      </c>
      <c r="D3416" s="19" t="s">
        <v>1794</v>
      </c>
      <c r="E3416" s="19" t="s">
        <v>325</v>
      </c>
      <c r="F3416" s="19" t="s">
        <v>375</v>
      </c>
      <c r="G3416" s="19" t="s">
        <v>1809</v>
      </c>
      <c r="H3416" s="19" t="s">
        <v>7</v>
      </c>
      <c r="I3416" s="19" t="s">
        <v>1049</v>
      </c>
      <c r="J3416" s="19" t="s">
        <v>24</v>
      </c>
      <c r="K3416" s="19" t="s">
        <v>409</v>
      </c>
      <c r="L3416" s="19">
        <v>2025</v>
      </c>
      <c r="M3416" s="20">
        <v>1</v>
      </c>
      <c r="N3416" s="19" t="s">
        <v>1795</v>
      </c>
      <c r="O3416" s="20">
        <v>44</v>
      </c>
      <c r="P3416" s="20">
        <v>44</v>
      </c>
      <c r="Q3416" s="20">
        <v>3228.06</v>
      </c>
      <c r="R3416" s="21">
        <v>1</v>
      </c>
      <c r="S3416" s="20">
        <v>3228.06</v>
      </c>
    </row>
    <row r="3417" spans="2:19" ht="15" customHeight="1" x14ac:dyDescent="0.25">
      <c r="B3417" s="2" t="str">
        <f t="shared" si="106"/>
        <v>PGL_Income Eligible_Single Family_CBA_Advanced Thermostat_Boiler (Replace Programmable)_SF</v>
      </c>
      <c r="C3417" s="2" t="str">
        <f t="shared" si="107"/>
        <v>PGL_Income Eligible_Single Family_CBA_Advanced Thermostat_Boiler (Replace Programmable)_SF_2022</v>
      </c>
      <c r="D3417" s="19" t="s">
        <v>1794</v>
      </c>
      <c r="E3417" s="19" t="s">
        <v>325</v>
      </c>
      <c r="F3417" s="19" t="s">
        <v>375</v>
      </c>
      <c r="G3417" s="19" t="s">
        <v>1809</v>
      </c>
      <c r="H3417" s="19" t="s">
        <v>7</v>
      </c>
      <c r="I3417" s="19" t="s">
        <v>1052</v>
      </c>
      <c r="J3417" s="19" t="s">
        <v>24</v>
      </c>
      <c r="K3417" s="19" t="s">
        <v>409</v>
      </c>
      <c r="L3417" s="19">
        <v>2022</v>
      </c>
      <c r="M3417" s="20">
        <v>1</v>
      </c>
      <c r="N3417" s="19" t="s">
        <v>1795</v>
      </c>
      <c r="O3417" s="20">
        <v>38</v>
      </c>
      <c r="P3417" s="20">
        <v>38</v>
      </c>
      <c r="Q3417" s="20">
        <v>4119.3899999999994</v>
      </c>
      <c r="R3417" s="21">
        <v>1</v>
      </c>
      <c r="S3417" s="20">
        <v>4119.3899999999994</v>
      </c>
    </row>
    <row r="3418" spans="2:19" ht="15" customHeight="1" x14ac:dyDescent="0.25">
      <c r="B3418" s="2" t="str">
        <f t="shared" si="106"/>
        <v>PGL_Income Eligible_Single Family_CBA_Advanced Thermostat_Boiler (Replace Programmable)_SF</v>
      </c>
      <c r="C3418" s="2" t="str">
        <f t="shared" si="107"/>
        <v>PGL_Income Eligible_Single Family_CBA_Advanced Thermostat_Boiler (Replace Programmable)_SF_2023</v>
      </c>
      <c r="D3418" s="19" t="s">
        <v>1794</v>
      </c>
      <c r="E3418" s="19" t="s">
        <v>325</v>
      </c>
      <c r="F3418" s="19" t="s">
        <v>375</v>
      </c>
      <c r="G3418" s="19" t="s">
        <v>1809</v>
      </c>
      <c r="H3418" s="19" t="s">
        <v>7</v>
      </c>
      <c r="I3418" s="19" t="s">
        <v>1052</v>
      </c>
      <c r="J3418" s="19" t="s">
        <v>24</v>
      </c>
      <c r="K3418" s="19" t="s">
        <v>409</v>
      </c>
      <c r="L3418" s="19">
        <v>2023</v>
      </c>
      <c r="M3418" s="20">
        <v>1</v>
      </c>
      <c r="N3418" s="19" t="s">
        <v>1795</v>
      </c>
      <c r="O3418" s="20">
        <v>38</v>
      </c>
      <c r="P3418" s="20">
        <v>38</v>
      </c>
      <c r="Q3418" s="20">
        <v>4119.3899999999994</v>
      </c>
      <c r="R3418" s="21">
        <v>1</v>
      </c>
      <c r="S3418" s="20">
        <v>4119.3899999999994</v>
      </c>
    </row>
    <row r="3419" spans="2:19" ht="15" customHeight="1" x14ac:dyDescent="0.25">
      <c r="B3419" s="2" t="str">
        <f t="shared" si="106"/>
        <v>PGL_Income Eligible_Single Family_CBA_Advanced Thermostat_Boiler (Replace Programmable)_SF</v>
      </c>
      <c r="C3419" s="2" t="str">
        <f t="shared" si="107"/>
        <v>PGL_Income Eligible_Single Family_CBA_Advanced Thermostat_Boiler (Replace Programmable)_SF_2024</v>
      </c>
      <c r="D3419" s="19" t="s">
        <v>1794</v>
      </c>
      <c r="E3419" s="19" t="s">
        <v>325</v>
      </c>
      <c r="F3419" s="19" t="s">
        <v>375</v>
      </c>
      <c r="G3419" s="19" t="s">
        <v>1809</v>
      </c>
      <c r="H3419" s="19" t="s">
        <v>7</v>
      </c>
      <c r="I3419" s="19" t="s">
        <v>1052</v>
      </c>
      <c r="J3419" s="19" t="s">
        <v>24</v>
      </c>
      <c r="K3419" s="19" t="s">
        <v>409</v>
      </c>
      <c r="L3419" s="19">
        <v>2024</v>
      </c>
      <c r="M3419" s="20">
        <v>1</v>
      </c>
      <c r="N3419" s="19" t="s">
        <v>1795</v>
      </c>
      <c r="O3419" s="20">
        <v>40</v>
      </c>
      <c r="P3419" s="20">
        <v>40</v>
      </c>
      <c r="Q3419" s="20">
        <v>4336.2</v>
      </c>
      <c r="R3419" s="21">
        <v>1</v>
      </c>
      <c r="S3419" s="20">
        <v>4336.2</v>
      </c>
    </row>
    <row r="3420" spans="2:19" ht="15" customHeight="1" x14ac:dyDescent="0.25">
      <c r="B3420" s="2" t="str">
        <f t="shared" si="106"/>
        <v>PGL_Income Eligible_Single Family_CBA_Advanced Thermostat_Boiler (Replace Programmable)_SF</v>
      </c>
      <c r="C3420" s="2" t="str">
        <f t="shared" si="107"/>
        <v>PGL_Income Eligible_Single Family_CBA_Advanced Thermostat_Boiler (Replace Programmable)_SF_2025</v>
      </c>
      <c r="D3420" s="19" t="s">
        <v>1794</v>
      </c>
      <c r="E3420" s="19" t="s">
        <v>325</v>
      </c>
      <c r="F3420" s="19" t="s">
        <v>375</v>
      </c>
      <c r="G3420" s="19" t="s">
        <v>1809</v>
      </c>
      <c r="H3420" s="19" t="s">
        <v>7</v>
      </c>
      <c r="I3420" s="19" t="s">
        <v>1052</v>
      </c>
      <c r="J3420" s="19" t="s">
        <v>24</v>
      </c>
      <c r="K3420" s="19" t="s">
        <v>409</v>
      </c>
      <c r="L3420" s="19">
        <v>2025</v>
      </c>
      <c r="M3420" s="20">
        <v>1</v>
      </c>
      <c r="N3420" s="19" t="s">
        <v>1795</v>
      </c>
      <c r="O3420" s="20">
        <v>44</v>
      </c>
      <c r="P3420" s="20">
        <v>44</v>
      </c>
      <c r="Q3420" s="20">
        <v>4769.82</v>
      </c>
      <c r="R3420" s="21">
        <v>1</v>
      </c>
      <c r="S3420" s="20">
        <v>4769.82</v>
      </c>
    </row>
    <row r="3421" spans="2:19" ht="15" customHeight="1" x14ac:dyDescent="0.25">
      <c r="B3421" s="2" t="str">
        <f t="shared" si="106"/>
        <v>PGL_Income Eligible_Single Family_CBA_Thermostat - Reprogram_Furnace (DI)_SF</v>
      </c>
      <c r="C3421" s="2" t="str">
        <f t="shared" si="107"/>
        <v>PGL_Income Eligible_Single Family_CBA_Thermostat - Reprogram_Furnace (DI)_SF_2022</v>
      </c>
      <c r="D3421" s="19" t="s">
        <v>1794</v>
      </c>
      <c r="E3421" s="19" t="s">
        <v>325</v>
      </c>
      <c r="F3421" s="19" t="s">
        <v>375</v>
      </c>
      <c r="G3421" s="19" t="s">
        <v>1809</v>
      </c>
      <c r="H3421" s="19" t="s">
        <v>1055</v>
      </c>
      <c r="I3421" s="19" t="s">
        <v>1038</v>
      </c>
      <c r="J3421" s="19" t="s">
        <v>24</v>
      </c>
      <c r="K3421" s="19" t="s">
        <v>409</v>
      </c>
      <c r="L3421" s="19">
        <v>2022</v>
      </c>
      <c r="M3421" s="20">
        <v>1</v>
      </c>
      <c r="N3421" s="19" t="s">
        <v>1795</v>
      </c>
      <c r="O3421" s="20">
        <v>18</v>
      </c>
      <c r="P3421" s="20">
        <v>18</v>
      </c>
      <c r="Q3421" s="20">
        <v>1121.58</v>
      </c>
      <c r="R3421" s="21">
        <v>1</v>
      </c>
      <c r="S3421" s="20">
        <v>1121.58</v>
      </c>
    </row>
    <row r="3422" spans="2:19" ht="15" customHeight="1" x14ac:dyDescent="0.25">
      <c r="B3422" s="2" t="str">
        <f t="shared" si="106"/>
        <v>PGL_Income Eligible_Single Family_CBA_Thermostat - Reprogram_Furnace (DI)_SF</v>
      </c>
      <c r="C3422" s="2" t="str">
        <f t="shared" si="107"/>
        <v>PGL_Income Eligible_Single Family_CBA_Thermostat - Reprogram_Furnace (DI)_SF_2023</v>
      </c>
      <c r="D3422" s="19" t="s">
        <v>1794</v>
      </c>
      <c r="E3422" s="19" t="s">
        <v>325</v>
      </c>
      <c r="F3422" s="19" t="s">
        <v>375</v>
      </c>
      <c r="G3422" s="19" t="s">
        <v>1809</v>
      </c>
      <c r="H3422" s="19" t="s">
        <v>1055</v>
      </c>
      <c r="I3422" s="19" t="s">
        <v>1038</v>
      </c>
      <c r="J3422" s="19" t="s">
        <v>24</v>
      </c>
      <c r="K3422" s="19" t="s">
        <v>409</v>
      </c>
      <c r="L3422" s="19">
        <v>2023</v>
      </c>
      <c r="M3422" s="20">
        <v>1</v>
      </c>
      <c r="N3422" s="19" t="s">
        <v>1795</v>
      </c>
      <c r="O3422" s="20">
        <v>18</v>
      </c>
      <c r="P3422" s="20">
        <v>18</v>
      </c>
      <c r="Q3422" s="20">
        <v>1121.58</v>
      </c>
      <c r="R3422" s="21">
        <v>1</v>
      </c>
      <c r="S3422" s="20">
        <v>1121.58</v>
      </c>
    </row>
    <row r="3423" spans="2:19" ht="15" customHeight="1" x14ac:dyDescent="0.25">
      <c r="B3423" s="2" t="str">
        <f t="shared" si="106"/>
        <v>PGL_Income Eligible_Single Family_CBA_Thermostat - Reprogram_Furnace (DI)_SF</v>
      </c>
      <c r="C3423" s="2" t="str">
        <f t="shared" si="107"/>
        <v>PGL_Income Eligible_Single Family_CBA_Thermostat - Reprogram_Furnace (DI)_SF_2024</v>
      </c>
      <c r="D3423" s="19" t="s">
        <v>1794</v>
      </c>
      <c r="E3423" s="19" t="s">
        <v>325</v>
      </c>
      <c r="F3423" s="19" t="s">
        <v>375</v>
      </c>
      <c r="G3423" s="19" t="s">
        <v>1809</v>
      </c>
      <c r="H3423" s="19" t="s">
        <v>1055</v>
      </c>
      <c r="I3423" s="19" t="s">
        <v>1038</v>
      </c>
      <c r="J3423" s="19" t="s">
        <v>24</v>
      </c>
      <c r="K3423" s="19" t="s">
        <v>409</v>
      </c>
      <c r="L3423" s="19">
        <v>2024</v>
      </c>
      <c r="M3423" s="20">
        <v>1</v>
      </c>
      <c r="N3423" s="19" t="s">
        <v>1795</v>
      </c>
      <c r="O3423" s="20">
        <v>19</v>
      </c>
      <c r="P3423" s="20">
        <v>19</v>
      </c>
      <c r="Q3423" s="20">
        <v>1183.8900000000001</v>
      </c>
      <c r="R3423" s="21">
        <v>1</v>
      </c>
      <c r="S3423" s="20">
        <v>1183.8900000000001</v>
      </c>
    </row>
    <row r="3424" spans="2:19" ht="15" customHeight="1" x14ac:dyDescent="0.25">
      <c r="B3424" s="2" t="str">
        <f t="shared" si="106"/>
        <v>PGL_Income Eligible_Single Family_CBA_Thermostat - Reprogram_Furnace (DI)_SF</v>
      </c>
      <c r="C3424" s="2" t="str">
        <f t="shared" si="107"/>
        <v>PGL_Income Eligible_Single Family_CBA_Thermostat - Reprogram_Furnace (DI)_SF_2025</v>
      </c>
      <c r="D3424" s="19" t="s">
        <v>1794</v>
      </c>
      <c r="E3424" s="19" t="s">
        <v>325</v>
      </c>
      <c r="F3424" s="19" t="s">
        <v>375</v>
      </c>
      <c r="G3424" s="19" t="s">
        <v>1809</v>
      </c>
      <c r="H3424" s="19" t="s">
        <v>1055</v>
      </c>
      <c r="I3424" s="19" t="s">
        <v>1038</v>
      </c>
      <c r="J3424" s="19" t="s">
        <v>24</v>
      </c>
      <c r="K3424" s="19" t="s">
        <v>409</v>
      </c>
      <c r="L3424" s="19">
        <v>2025</v>
      </c>
      <c r="M3424" s="20">
        <v>1</v>
      </c>
      <c r="N3424" s="19" t="s">
        <v>1795</v>
      </c>
      <c r="O3424" s="20">
        <v>21</v>
      </c>
      <c r="P3424" s="20">
        <v>21</v>
      </c>
      <c r="Q3424" s="20">
        <v>1308.51</v>
      </c>
      <c r="R3424" s="21">
        <v>1</v>
      </c>
      <c r="S3424" s="20">
        <v>1308.51</v>
      </c>
    </row>
    <row r="3425" spans="2:19" ht="15" customHeight="1" x14ac:dyDescent="0.25">
      <c r="B3425" s="2" t="str">
        <f t="shared" si="106"/>
        <v>PGL_Income Eligible_Single Family_CBA_Thermostat - Reprogram_Boiler (DI)_SF</v>
      </c>
      <c r="C3425" s="2" t="str">
        <f t="shared" si="107"/>
        <v>PGL_Income Eligible_Single Family_CBA_Thermostat - Reprogram_Boiler (DI)_SF_2022</v>
      </c>
      <c r="D3425" s="19" t="s">
        <v>1794</v>
      </c>
      <c r="E3425" s="19" t="s">
        <v>325</v>
      </c>
      <c r="F3425" s="19" t="s">
        <v>375</v>
      </c>
      <c r="G3425" s="19" t="s">
        <v>1809</v>
      </c>
      <c r="H3425" s="19" t="s">
        <v>1055</v>
      </c>
      <c r="I3425" s="19" t="s">
        <v>1045</v>
      </c>
      <c r="J3425" s="19" t="s">
        <v>24</v>
      </c>
      <c r="K3425" s="19" t="s">
        <v>409</v>
      </c>
      <c r="L3425" s="19">
        <v>2022</v>
      </c>
      <c r="M3425" s="20">
        <v>1</v>
      </c>
      <c r="N3425" s="19" t="s">
        <v>1795</v>
      </c>
      <c r="O3425" s="20">
        <v>18</v>
      </c>
      <c r="P3425" s="20">
        <v>18</v>
      </c>
      <c r="Q3425" s="20">
        <v>1659.492</v>
      </c>
      <c r="R3425" s="21">
        <v>1</v>
      </c>
      <c r="S3425" s="20">
        <v>1659.492</v>
      </c>
    </row>
    <row r="3426" spans="2:19" ht="15" customHeight="1" x14ac:dyDescent="0.25">
      <c r="B3426" s="2" t="str">
        <f t="shared" si="106"/>
        <v>PGL_Income Eligible_Single Family_CBA_Thermostat - Reprogram_Boiler (DI)_SF</v>
      </c>
      <c r="C3426" s="2" t="str">
        <f t="shared" si="107"/>
        <v>PGL_Income Eligible_Single Family_CBA_Thermostat - Reprogram_Boiler (DI)_SF_2023</v>
      </c>
      <c r="D3426" s="19" t="s">
        <v>1794</v>
      </c>
      <c r="E3426" s="19" t="s">
        <v>325</v>
      </c>
      <c r="F3426" s="19" t="s">
        <v>375</v>
      </c>
      <c r="G3426" s="19" t="s">
        <v>1809</v>
      </c>
      <c r="H3426" s="19" t="s">
        <v>1055</v>
      </c>
      <c r="I3426" s="19" t="s">
        <v>1045</v>
      </c>
      <c r="J3426" s="19" t="s">
        <v>24</v>
      </c>
      <c r="K3426" s="19" t="s">
        <v>409</v>
      </c>
      <c r="L3426" s="19">
        <v>2023</v>
      </c>
      <c r="M3426" s="20">
        <v>1</v>
      </c>
      <c r="N3426" s="19" t="s">
        <v>1795</v>
      </c>
      <c r="O3426" s="20">
        <v>18</v>
      </c>
      <c r="P3426" s="20">
        <v>18</v>
      </c>
      <c r="Q3426" s="20">
        <v>1659.492</v>
      </c>
      <c r="R3426" s="21">
        <v>1</v>
      </c>
      <c r="S3426" s="20">
        <v>1659.492</v>
      </c>
    </row>
    <row r="3427" spans="2:19" ht="15" customHeight="1" x14ac:dyDescent="0.25">
      <c r="B3427" s="2" t="str">
        <f t="shared" si="106"/>
        <v>PGL_Income Eligible_Single Family_CBA_Thermostat - Reprogram_Boiler (DI)_SF</v>
      </c>
      <c r="C3427" s="2" t="str">
        <f t="shared" si="107"/>
        <v>PGL_Income Eligible_Single Family_CBA_Thermostat - Reprogram_Boiler (DI)_SF_2024</v>
      </c>
      <c r="D3427" s="19" t="s">
        <v>1794</v>
      </c>
      <c r="E3427" s="19" t="s">
        <v>325</v>
      </c>
      <c r="F3427" s="19" t="s">
        <v>375</v>
      </c>
      <c r="G3427" s="19" t="s">
        <v>1809</v>
      </c>
      <c r="H3427" s="19" t="s">
        <v>1055</v>
      </c>
      <c r="I3427" s="19" t="s">
        <v>1045</v>
      </c>
      <c r="J3427" s="19" t="s">
        <v>24</v>
      </c>
      <c r="K3427" s="19" t="s">
        <v>409</v>
      </c>
      <c r="L3427" s="19">
        <v>2024</v>
      </c>
      <c r="M3427" s="20">
        <v>1</v>
      </c>
      <c r="N3427" s="19" t="s">
        <v>1795</v>
      </c>
      <c r="O3427" s="20">
        <v>19</v>
      </c>
      <c r="P3427" s="20">
        <v>19</v>
      </c>
      <c r="Q3427" s="20">
        <v>1751.6860000000001</v>
      </c>
      <c r="R3427" s="21">
        <v>1</v>
      </c>
      <c r="S3427" s="20">
        <v>1751.6860000000001</v>
      </c>
    </row>
    <row r="3428" spans="2:19" ht="15" customHeight="1" x14ac:dyDescent="0.25">
      <c r="B3428" s="2" t="str">
        <f t="shared" si="106"/>
        <v>PGL_Income Eligible_Single Family_CBA_Thermostat - Reprogram_Boiler (DI)_SF</v>
      </c>
      <c r="C3428" s="2" t="str">
        <f t="shared" si="107"/>
        <v>PGL_Income Eligible_Single Family_CBA_Thermostat - Reprogram_Boiler (DI)_SF_2025</v>
      </c>
      <c r="D3428" s="19" t="s">
        <v>1794</v>
      </c>
      <c r="E3428" s="19" t="s">
        <v>325</v>
      </c>
      <c r="F3428" s="19" t="s">
        <v>375</v>
      </c>
      <c r="G3428" s="19" t="s">
        <v>1809</v>
      </c>
      <c r="H3428" s="19" t="s">
        <v>1055</v>
      </c>
      <c r="I3428" s="19" t="s">
        <v>1045</v>
      </c>
      <c r="J3428" s="19" t="s">
        <v>24</v>
      </c>
      <c r="K3428" s="19" t="s">
        <v>409</v>
      </c>
      <c r="L3428" s="19">
        <v>2025</v>
      </c>
      <c r="M3428" s="20">
        <v>1</v>
      </c>
      <c r="N3428" s="19" t="s">
        <v>1795</v>
      </c>
      <c r="O3428" s="20">
        <v>21</v>
      </c>
      <c r="P3428" s="20">
        <v>21</v>
      </c>
      <c r="Q3428" s="20">
        <v>1936.0740000000001</v>
      </c>
      <c r="R3428" s="21">
        <v>1</v>
      </c>
      <c r="S3428" s="20">
        <v>1936.0740000000001</v>
      </c>
    </row>
    <row r="3429" spans="2:19" ht="15" customHeight="1" x14ac:dyDescent="0.25">
      <c r="B3429" s="2" t="str">
        <f t="shared" si="106"/>
        <v>PGL_Income Eligible_Single Family_CBA_Air Sealing_0_SF</v>
      </c>
      <c r="C3429" s="2" t="str">
        <f t="shared" si="107"/>
        <v>PGL_Income Eligible_Single Family_CBA_Air Sealing_0_SF_2022</v>
      </c>
      <c r="D3429" s="19" t="s">
        <v>1794</v>
      </c>
      <c r="E3429" s="19" t="s">
        <v>325</v>
      </c>
      <c r="F3429" s="19" t="s">
        <v>375</v>
      </c>
      <c r="G3429" s="19" t="s">
        <v>1809</v>
      </c>
      <c r="H3429" s="19" t="s">
        <v>221</v>
      </c>
      <c r="I3429" s="19">
        <v>0</v>
      </c>
      <c r="J3429" s="19" t="s">
        <v>881</v>
      </c>
      <c r="K3429" s="19" t="s">
        <v>409</v>
      </c>
      <c r="L3429" s="19">
        <v>2022</v>
      </c>
      <c r="M3429" s="20">
        <v>743.2399999999999</v>
      </c>
      <c r="N3429" s="19" t="s">
        <v>1800</v>
      </c>
      <c r="O3429" s="20">
        <v>0</v>
      </c>
      <c r="P3429" s="20">
        <v>0</v>
      </c>
      <c r="Q3429" s="20">
        <v>0</v>
      </c>
      <c r="R3429" s="21">
        <v>1</v>
      </c>
      <c r="S3429" s="20">
        <v>0</v>
      </c>
    </row>
    <row r="3430" spans="2:19" ht="15" customHeight="1" x14ac:dyDescent="0.25">
      <c r="B3430" s="2" t="str">
        <f t="shared" si="106"/>
        <v>PGL_Income Eligible_Single Family_CBA_Air Sealing_0_SF</v>
      </c>
      <c r="C3430" s="2" t="str">
        <f t="shared" si="107"/>
        <v>PGL_Income Eligible_Single Family_CBA_Air Sealing_0_SF_2023</v>
      </c>
      <c r="D3430" s="19" t="s">
        <v>1794</v>
      </c>
      <c r="E3430" s="19" t="s">
        <v>325</v>
      </c>
      <c r="F3430" s="19" t="s">
        <v>375</v>
      </c>
      <c r="G3430" s="19" t="s">
        <v>1809</v>
      </c>
      <c r="H3430" s="19" t="s">
        <v>221</v>
      </c>
      <c r="I3430" s="19">
        <v>0</v>
      </c>
      <c r="J3430" s="19" t="s">
        <v>881</v>
      </c>
      <c r="K3430" s="19" t="s">
        <v>409</v>
      </c>
      <c r="L3430" s="19">
        <v>2023</v>
      </c>
      <c r="M3430" s="20">
        <v>743.2399999999999</v>
      </c>
      <c r="N3430" s="19" t="s">
        <v>1800</v>
      </c>
      <c r="O3430" s="20">
        <v>0</v>
      </c>
      <c r="P3430" s="20">
        <v>0</v>
      </c>
      <c r="Q3430" s="20">
        <v>0</v>
      </c>
      <c r="R3430" s="21">
        <v>1</v>
      </c>
      <c r="S3430" s="20">
        <v>0</v>
      </c>
    </row>
    <row r="3431" spans="2:19" ht="15" customHeight="1" x14ac:dyDescent="0.25">
      <c r="B3431" s="2" t="str">
        <f t="shared" si="106"/>
        <v>PGL_Income Eligible_Single Family_CBA_Air Sealing_0_SF</v>
      </c>
      <c r="C3431" s="2" t="str">
        <f t="shared" si="107"/>
        <v>PGL_Income Eligible_Single Family_CBA_Air Sealing_0_SF_2024</v>
      </c>
      <c r="D3431" s="19" t="s">
        <v>1794</v>
      </c>
      <c r="E3431" s="19" t="s">
        <v>325</v>
      </c>
      <c r="F3431" s="19" t="s">
        <v>375</v>
      </c>
      <c r="G3431" s="19" t="s">
        <v>1809</v>
      </c>
      <c r="H3431" s="19" t="s">
        <v>221</v>
      </c>
      <c r="I3431" s="19">
        <v>0</v>
      </c>
      <c r="J3431" s="19" t="s">
        <v>881</v>
      </c>
      <c r="K3431" s="19" t="s">
        <v>409</v>
      </c>
      <c r="L3431" s="19">
        <v>2024</v>
      </c>
      <c r="M3431" s="20">
        <v>743.2399999999999</v>
      </c>
      <c r="N3431" s="19" t="s">
        <v>1800</v>
      </c>
      <c r="O3431" s="20">
        <v>0</v>
      </c>
      <c r="P3431" s="20">
        <v>0</v>
      </c>
      <c r="Q3431" s="20">
        <v>0</v>
      </c>
      <c r="R3431" s="21">
        <v>1</v>
      </c>
      <c r="S3431" s="20">
        <v>0</v>
      </c>
    </row>
    <row r="3432" spans="2:19" ht="15" customHeight="1" x14ac:dyDescent="0.25">
      <c r="B3432" s="2" t="str">
        <f t="shared" si="106"/>
        <v>PGL_Income Eligible_Single Family_CBA_Air Sealing_0_SF</v>
      </c>
      <c r="C3432" s="2" t="str">
        <f t="shared" si="107"/>
        <v>PGL_Income Eligible_Single Family_CBA_Air Sealing_0_SF_2025</v>
      </c>
      <c r="D3432" s="19" t="s">
        <v>1794</v>
      </c>
      <c r="E3432" s="19" t="s">
        <v>325</v>
      </c>
      <c r="F3432" s="19" t="s">
        <v>375</v>
      </c>
      <c r="G3432" s="19" t="s">
        <v>1809</v>
      </c>
      <c r="H3432" s="19" t="s">
        <v>221</v>
      </c>
      <c r="I3432" s="19">
        <v>0</v>
      </c>
      <c r="J3432" s="19" t="s">
        <v>881</v>
      </c>
      <c r="K3432" s="19" t="s">
        <v>409</v>
      </c>
      <c r="L3432" s="19">
        <v>2025</v>
      </c>
      <c r="M3432" s="20">
        <v>743.2399999999999</v>
      </c>
      <c r="N3432" s="19" t="s">
        <v>1800</v>
      </c>
      <c r="O3432" s="20">
        <v>0</v>
      </c>
      <c r="P3432" s="20">
        <v>0</v>
      </c>
      <c r="Q3432" s="20">
        <v>0</v>
      </c>
      <c r="R3432" s="21">
        <v>1</v>
      </c>
      <c r="S3432" s="20">
        <v>0</v>
      </c>
    </row>
    <row r="3433" spans="2:19" ht="15" customHeight="1" x14ac:dyDescent="0.25">
      <c r="B3433" s="2" t="str">
        <f t="shared" si="106"/>
        <v>PGL_Income Eligible_Single Family_CBA_Attic Insulation_0_SF</v>
      </c>
      <c r="C3433" s="2" t="str">
        <f t="shared" si="107"/>
        <v>PGL_Income Eligible_Single Family_CBA_Attic Insulation_0_SF_2022</v>
      </c>
      <c r="D3433" s="19" t="s">
        <v>1794</v>
      </c>
      <c r="E3433" s="19" t="s">
        <v>325</v>
      </c>
      <c r="F3433" s="19" t="s">
        <v>375</v>
      </c>
      <c r="G3433" s="19" t="s">
        <v>1809</v>
      </c>
      <c r="H3433" s="19" t="s">
        <v>631</v>
      </c>
      <c r="I3433" s="19">
        <v>0</v>
      </c>
      <c r="J3433" s="19" t="s">
        <v>632</v>
      </c>
      <c r="K3433" s="19" t="s">
        <v>409</v>
      </c>
      <c r="L3433" s="19">
        <v>2022</v>
      </c>
      <c r="M3433" s="20">
        <v>800</v>
      </c>
      <c r="N3433" s="19" t="s">
        <v>751</v>
      </c>
      <c r="O3433" s="20">
        <v>900</v>
      </c>
      <c r="P3433" s="20">
        <v>720000</v>
      </c>
      <c r="Q3433" s="20">
        <v>57929.170641929493</v>
      </c>
      <c r="R3433" s="21">
        <v>1</v>
      </c>
      <c r="S3433" s="20">
        <v>57929.170641929493</v>
      </c>
    </row>
    <row r="3434" spans="2:19" ht="15" customHeight="1" x14ac:dyDescent="0.25">
      <c r="B3434" s="2" t="str">
        <f t="shared" si="106"/>
        <v>PGL_Income Eligible_Single Family_CBA_Attic Insulation_0_SF</v>
      </c>
      <c r="C3434" s="2" t="str">
        <f t="shared" si="107"/>
        <v>PGL_Income Eligible_Single Family_CBA_Attic Insulation_0_SF_2023</v>
      </c>
      <c r="D3434" s="19" t="s">
        <v>1794</v>
      </c>
      <c r="E3434" s="19" t="s">
        <v>325</v>
      </c>
      <c r="F3434" s="19" t="s">
        <v>375</v>
      </c>
      <c r="G3434" s="19" t="s">
        <v>1809</v>
      </c>
      <c r="H3434" s="19" t="s">
        <v>631</v>
      </c>
      <c r="I3434" s="19">
        <v>0</v>
      </c>
      <c r="J3434" s="19" t="s">
        <v>632</v>
      </c>
      <c r="K3434" s="19" t="s">
        <v>409</v>
      </c>
      <c r="L3434" s="19">
        <v>2023</v>
      </c>
      <c r="M3434" s="20">
        <v>800</v>
      </c>
      <c r="N3434" s="19" t="s">
        <v>751</v>
      </c>
      <c r="O3434" s="20">
        <v>900</v>
      </c>
      <c r="P3434" s="20">
        <v>720000</v>
      </c>
      <c r="Q3434" s="20">
        <v>57929.170641929493</v>
      </c>
      <c r="R3434" s="21">
        <v>1</v>
      </c>
      <c r="S3434" s="20">
        <v>57929.170641929493</v>
      </c>
    </row>
    <row r="3435" spans="2:19" ht="15" customHeight="1" x14ac:dyDescent="0.25">
      <c r="B3435" s="2" t="str">
        <f t="shared" si="106"/>
        <v>PGL_Income Eligible_Single Family_CBA_Attic Insulation_0_SF</v>
      </c>
      <c r="C3435" s="2" t="str">
        <f t="shared" si="107"/>
        <v>PGL_Income Eligible_Single Family_CBA_Attic Insulation_0_SF_2024</v>
      </c>
      <c r="D3435" s="19" t="s">
        <v>1794</v>
      </c>
      <c r="E3435" s="19" t="s">
        <v>325</v>
      </c>
      <c r="F3435" s="19" t="s">
        <v>375</v>
      </c>
      <c r="G3435" s="19" t="s">
        <v>1809</v>
      </c>
      <c r="H3435" s="19" t="s">
        <v>631</v>
      </c>
      <c r="I3435" s="19">
        <v>0</v>
      </c>
      <c r="J3435" s="19" t="s">
        <v>632</v>
      </c>
      <c r="K3435" s="19" t="s">
        <v>409</v>
      </c>
      <c r="L3435" s="19">
        <v>2024</v>
      </c>
      <c r="M3435" s="20">
        <v>800</v>
      </c>
      <c r="N3435" s="19" t="s">
        <v>751</v>
      </c>
      <c r="O3435" s="20">
        <v>940</v>
      </c>
      <c r="P3435" s="20">
        <v>752000</v>
      </c>
      <c r="Q3435" s="20">
        <v>60503.800448237467</v>
      </c>
      <c r="R3435" s="21">
        <v>1</v>
      </c>
      <c r="S3435" s="20">
        <v>60503.800448237467</v>
      </c>
    </row>
    <row r="3436" spans="2:19" ht="15" customHeight="1" x14ac:dyDescent="0.25">
      <c r="B3436" s="2" t="str">
        <f t="shared" si="106"/>
        <v>PGL_Income Eligible_Single Family_CBA_Attic Insulation_0_SF</v>
      </c>
      <c r="C3436" s="2" t="str">
        <f t="shared" si="107"/>
        <v>PGL_Income Eligible_Single Family_CBA_Attic Insulation_0_SF_2025</v>
      </c>
      <c r="D3436" s="19" t="s">
        <v>1794</v>
      </c>
      <c r="E3436" s="19" t="s">
        <v>325</v>
      </c>
      <c r="F3436" s="19" t="s">
        <v>375</v>
      </c>
      <c r="G3436" s="19" t="s">
        <v>1809</v>
      </c>
      <c r="H3436" s="19" t="s">
        <v>631</v>
      </c>
      <c r="I3436" s="19">
        <v>0</v>
      </c>
      <c r="J3436" s="19" t="s">
        <v>632</v>
      </c>
      <c r="K3436" s="19" t="s">
        <v>409</v>
      </c>
      <c r="L3436" s="19">
        <v>2025</v>
      </c>
      <c r="M3436" s="20">
        <v>800</v>
      </c>
      <c r="N3436" s="19" t="s">
        <v>751</v>
      </c>
      <c r="O3436" s="20">
        <v>1030</v>
      </c>
      <c r="P3436" s="20">
        <v>824000</v>
      </c>
      <c r="Q3436" s="20">
        <v>66296.717512430419</v>
      </c>
      <c r="R3436" s="21">
        <v>1</v>
      </c>
      <c r="S3436" s="20">
        <v>66296.717512430419</v>
      </c>
    </row>
    <row r="3437" spans="2:19" ht="15" customHeight="1" x14ac:dyDescent="0.25">
      <c r="B3437" s="2" t="str">
        <f t="shared" si="106"/>
        <v>PGL_Income Eligible_Single Family_CBA_Air sealing w/ attic insulation_0_IE SF</v>
      </c>
      <c r="C3437" s="2" t="str">
        <f t="shared" si="107"/>
        <v>PGL_Income Eligible_Single Family_CBA_Air sealing w/ attic insulation_0_IE SF_2022</v>
      </c>
      <c r="D3437" s="19" t="s">
        <v>1794</v>
      </c>
      <c r="E3437" s="19" t="s">
        <v>325</v>
      </c>
      <c r="F3437" s="19" t="s">
        <v>375</v>
      </c>
      <c r="G3437" s="19" t="s">
        <v>1809</v>
      </c>
      <c r="H3437" s="19" t="s">
        <v>1436</v>
      </c>
      <c r="I3437" s="19">
        <v>0</v>
      </c>
      <c r="J3437" s="19" t="s">
        <v>881</v>
      </c>
      <c r="K3437" s="19" t="s">
        <v>581</v>
      </c>
      <c r="L3437" s="19">
        <v>2022</v>
      </c>
      <c r="M3437" s="20">
        <v>743.2399999999999</v>
      </c>
      <c r="N3437" s="19" t="s">
        <v>1800</v>
      </c>
      <c r="O3437" s="20">
        <v>900</v>
      </c>
      <c r="P3437" s="20">
        <v>668915.99999999988</v>
      </c>
      <c r="Q3437" s="20">
        <v>46216.026534642646</v>
      </c>
      <c r="R3437" s="21">
        <v>1</v>
      </c>
      <c r="S3437" s="20">
        <v>46216.026534642646</v>
      </c>
    </row>
    <row r="3438" spans="2:19" ht="15" customHeight="1" x14ac:dyDescent="0.25">
      <c r="B3438" s="2" t="str">
        <f t="shared" si="106"/>
        <v>PGL_Income Eligible_Single Family_CBA_Air sealing w/ attic insulation_0_IE SF</v>
      </c>
      <c r="C3438" s="2" t="str">
        <f t="shared" si="107"/>
        <v>PGL_Income Eligible_Single Family_CBA_Air sealing w/ attic insulation_0_IE SF_2023</v>
      </c>
      <c r="D3438" s="19" t="s">
        <v>1794</v>
      </c>
      <c r="E3438" s="19" t="s">
        <v>325</v>
      </c>
      <c r="F3438" s="19" t="s">
        <v>375</v>
      </c>
      <c r="G3438" s="19" t="s">
        <v>1809</v>
      </c>
      <c r="H3438" s="19" t="s">
        <v>1436</v>
      </c>
      <c r="I3438" s="19">
        <v>0</v>
      </c>
      <c r="J3438" s="19" t="s">
        <v>881</v>
      </c>
      <c r="K3438" s="19" t="s">
        <v>581</v>
      </c>
      <c r="L3438" s="19">
        <v>2023</v>
      </c>
      <c r="M3438" s="20">
        <v>743.2399999999999</v>
      </c>
      <c r="N3438" s="19" t="s">
        <v>1800</v>
      </c>
      <c r="O3438" s="20">
        <v>900</v>
      </c>
      <c r="P3438" s="20">
        <v>668915.99999999988</v>
      </c>
      <c r="Q3438" s="20">
        <v>46216.026534642646</v>
      </c>
      <c r="R3438" s="21">
        <v>1</v>
      </c>
      <c r="S3438" s="20">
        <v>46216.026534642646</v>
      </c>
    </row>
    <row r="3439" spans="2:19" ht="15" customHeight="1" x14ac:dyDescent="0.25">
      <c r="B3439" s="2" t="str">
        <f t="shared" si="106"/>
        <v>PGL_Income Eligible_Single Family_CBA_Air sealing w/ attic insulation_0_IE SF</v>
      </c>
      <c r="C3439" s="2" t="str">
        <f t="shared" si="107"/>
        <v>PGL_Income Eligible_Single Family_CBA_Air sealing w/ attic insulation_0_IE SF_2024</v>
      </c>
      <c r="D3439" s="19" t="s">
        <v>1794</v>
      </c>
      <c r="E3439" s="19" t="s">
        <v>325</v>
      </c>
      <c r="F3439" s="19" t="s">
        <v>375</v>
      </c>
      <c r="G3439" s="19" t="s">
        <v>1809</v>
      </c>
      <c r="H3439" s="19" t="s">
        <v>1436</v>
      </c>
      <c r="I3439" s="19">
        <v>0</v>
      </c>
      <c r="J3439" s="19" t="s">
        <v>881</v>
      </c>
      <c r="K3439" s="19" t="s">
        <v>581</v>
      </c>
      <c r="L3439" s="19">
        <v>2024</v>
      </c>
      <c r="M3439" s="20">
        <v>743.2399999999999</v>
      </c>
      <c r="N3439" s="19" t="s">
        <v>1800</v>
      </c>
      <c r="O3439" s="20">
        <v>940</v>
      </c>
      <c r="P3439" s="20">
        <v>698645.59999999986</v>
      </c>
      <c r="Q3439" s="20">
        <v>48270.072158404546</v>
      </c>
      <c r="R3439" s="21">
        <v>1</v>
      </c>
      <c r="S3439" s="20">
        <v>48270.072158404546</v>
      </c>
    </row>
    <row r="3440" spans="2:19" ht="15" customHeight="1" x14ac:dyDescent="0.25">
      <c r="B3440" s="2" t="str">
        <f t="shared" si="106"/>
        <v>PGL_Income Eligible_Single Family_CBA_Air sealing w/ attic insulation_0_IE SF</v>
      </c>
      <c r="C3440" s="2" t="str">
        <f t="shared" si="107"/>
        <v>PGL_Income Eligible_Single Family_CBA_Air sealing w/ attic insulation_0_IE SF_2025</v>
      </c>
      <c r="D3440" s="19" t="s">
        <v>1794</v>
      </c>
      <c r="E3440" s="19" t="s">
        <v>325</v>
      </c>
      <c r="F3440" s="19" t="s">
        <v>375</v>
      </c>
      <c r="G3440" s="19" t="s">
        <v>1809</v>
      </c>
      <c r="H3440" s="19" t="s">
        <v>1436</v>
      </c>
      <c r="I3440" s="19">
        <v>0</v>
      </c>
      <c r="J3440" s="19" t="s">
        <v>881</v>
      </c>
      <c r="K3440" s="19" t="s">
        <v>581</v>
      </c>
      <c r="L3440" s="19">
        <v>2025</v>
      </c>
      <c r="M3440" s="20">
        <v>743.2399999999999</v>
      </c>
      <c r="N3440" s="19" t="s">
        <v>1800</v>
      </c>
      <c r="O3440" s="20">
        <v>1030</v>
      </c>
      <c r="P3440" s="20">
        <v>765537.19999999984</v>
      </c>
      <c r="Q3440" s="20">
        <v>52891.674811868805</v>
      </c>
      <c r="R3440" s="21">
        <v>1</v>
      </c>
      <c r="S3440" s="20">
        <v>52891.674811868805</v>
      </c>
    </row>
    <row r="3441" spans="2:19" ht="15" customHeight="1" x14ac:dyDescent="0.25">
      <c r="B3441" s="2" t="str">
        <f t="shared" si="106"/>
        <v>PGL_Income Eligible_Single Family_CBA_Duct Sealing_0_SF</v>
      </c>
      <c r="C3441" s="2" t="str">
        <f t="shared" si="107"/>
        <v>PGL_Income Eligible_Single Family_CBA_Duct Sealing_0_SF_2022</v>
      </c>
      <c r="D3441" s="19" t="s">
        <v>1794</v>
      </c>
      <c r="E3441" s="19" t="s">
        <v>325</v>
      </c>
      <c r="F3441" s="19" t="s">
        <v>375</v>
      </c>
      <c r="G3441" s="19" t="s">
        <v>1809</v>
      </c>
      <c r="H3441" s="19" t="s">
        <v>680</v>
      </c>
      <c r="I3441" s="19">
        <v>0</v>
      </c>
      <c r="J3441" s="19" t="s">
        <v>684</v>
      </c>
      <c r="K3441" s="19" t="s">
        <v>409</v>
      </c>
      <c r="L3441" s="19">
        <v>2022</v>
      </c>
      <c r="M3441" s="20">
        <v>120</v>
      </c>
      <c r="N3441" s="19" t="s">
        <v>1801</v>
      </c>
      <c r="O3441" s="20">
        <v>0</v>
      </c>
      <c r="P3441" s="20">
        <v>0</v>
      </c>
      <c r="Q3441" s="20">
        <v>0</v>
      </c>
      <c r="R3441" s="21">
        <v>1</v>
      </c>
      <c r="S3441" s="20">
        <v>0</v>
      </c>
    </row>
    <row r="3442" spans="2:19" ht="15" customHeight="1" x14ac:dyDescent="0.25">
      <c r="B3442" s="2" t="str">
        <f t="shared" si="106"/>
        <v>PGL_Income Eligible_Single Family_CBA_Duct Sealing_0_SF</v>
      </c>
      <c r="C3442" s="2" t="str">
        <f t="shared" si="107"/>
        <v>PGL_Income Eligible_Single Family_CBA_Duct Sealing_0_SF_2023</v>
      </c>
      <c r="D3442" s="19" t="s">
        <v>1794</v>
      </c>
      <c r="E3442" s="19" t="s">
        <v>325</v>
      </c>
      <c r="F3442" s="19" t="s">
        <v>375</v>
      </c>
      <c r="G3442" s="19" t="s">
        <v>1809</v>
      </c>
      <c r="H3442" s="19" t="s">
        <v>680</v>
      </c>
      <c r="I3442" s="19">
        <v>0</v>
      </c>
      <c r="J3442" s="19" t="s">
        <v>684</v>
      </c>
      <c r="K3442" s="19" t="s">
        <v>409</v>
      </c>
      <c r="L3442" s="19">
        <v>2023</v>
      </c>
      <c r="M3442" s="20">
        <v>120</v>
      </c>
      <c r="N3442" s="19" t="s">
        <v>1801</v>
      </c>
      <c r="O3442" s="20">
        <v>0</v>
      </c>
      <c r="P3442" s="20">
        <v>0</v>
      </c>
      <c r="Q3442" s="20">
        <v>0</v>
      </c>
      <c r="R3442" s="21">
        <v>1</v>
      </c>
      <c r="S3442" s="20">
        <v>0</v>
      </c>
    </row>
    <row r="3443" spans="2:19" ht="15" customHeight="1" x14ac:dyDescent="0.25">
      <c r="B3443" s="2" t="str">
        <f t="shared" si="106"/>
        <v>PGL_Income Eligible_Single Family_CBA_Duct Sealing_0_SF</v>
      </c>
      <c r="C3443" s="2" t="str">
        <f t="shared" si="107"/>
        <v>PGL_Income Eligible_Single Family_CBA_Duct Sealing_0_SF_2024</v>
      </c>
      <c r="D3443" s="19" t="s">
        <v>1794</v>
      </c>
      <c r="E3443" s="19" t="s">
        <v>325</v>
      </c>
      <c r="F3443" s="19" t="s">
        <v>375</v>
      </c>
      <c r="G3443" s="19" t="s">
        <v>1809</v>
      </c>
      <c r="H3443" s="19" t="s">
        <v>680</v>
      </c>
      <c r="I3443" s="19">
        <v>0</v>
      </c>
      <c r="J3443" s="19" t="s">
        <v>684</v>
      </c>
      <c r="K3443" s="19" t="s">
        <v>409</v>
      </c>
      <c r="L3443" s="19">
        <v>2024</v>
      </c>
      <c r="M3443" s="20">
        <v>120</v>
      </c>
      <c r="N3443" s="19" t="s">
        <v>1801</v>
      </c>
      <c r="O3443" s="20">
        <v>0</v>
      </c>
      <c r="P3443" s="20">
        <v>0</v>
      </c>
      <c r="Q3443" s="20">
        <v>0</v>
      </c>
      <c r="R3443" s="21">
        <v>1</v>
      </c>
      <c r="S3443" s="20">
        <v>0</v>
      </c>
    </row>
    <row r="3444" spans="2:19" ht="15" customHeight="1" x14ac:dyDescent="0.25">
      <c r="B3444" s="2" t="str">
        <f t="shared" si="106"/>
        <v>PGL_Income Eligible_Single Family_CBA_Duct Sealing_0_SF</v>
      </c>
      <c r="C3444" s="2" t="str">
        <f t="shared" si="107"/>
        <v>PGL_Income Eligible_Single Family_CBA_Duct Sealing_0_SF_2025</v>
      </c>
      <c r="D3444" s="19" t="s">
        <v>1794</v>
      </c>
      <c r="E3444" s="19" t="s">
        <v>325</v>
      </c>
      <c r="F3444" s="19" t="s">
        <v>375</v>
      </c>
      <c r="G3444" s="19" t="s">
        <v>1809</v>
      </c>
      <c r="H3444" s="19" t="s">
        <v>680</v>
      </c>
      <c r="I3444" s="19">
        <v>0</v>
      </c>
      <c r="J3444" s="19" t="s">
        <v>684</v>
      </c>
      <c r="K3444" s="19" t="s">
        <v>409</v>
      </c>
      <c r="L3444" s="19">
        <v>2025</v>
      </c>
      <c r="M3444" s="20">
        <v>120</v>
      </c>
      <c r="N3444" s="19" t="s">
        <v>1801</v>
      </c>
      <c r="O3444" s="20">
        <v>0</v>
      </c>
      <c r="P3444" s="20">
        <v>0</v>
      </c>
      <c r="Q3444" s="20">
        <v>0</v>
      </c>
      <c r="R3444" s="21">
        <v>1</v>
      </c>
      <c r="S3444" s="20">
        <v>0</v>
      </c>
    </row>
    <row r="3445" spans="2:19" ht="15" customHeight="1" x14ac:dyDescent="0.25">
      <c r="B3445" s="2" t="str">
        <f t="shared" si="106"/>
        <v>PGL_Income Eligible_Single Family_CBA_Wall Insulation_0_SF</v>
      </c>
      <c r="C3445" s="2" t="str">
        <f t="shared" si="107"/>
        <v>PGL_Income Eligible_Single Family_CBA_Wall Insulation_0_SF_2022</v>
      </c>
      <c r="D3445" s="19" t="s">
        <v>1794</v>
      </c>
      <c r="E3445" s="19" t="s">
        <v>325</v>
      </c>
      <c r="F3445" s="19" t="s">
        <v>375</v>
      </c>
      <c r="G3445" s="19" t="s">
        <v>1809</v>
      </c>
      <c r="H3445" s="19" t="s">
        <v>222</v>
      </c>
      <c r="I3445" s="19">
        <v>0</v>
      </c>
      <c r="J3445" s="19" t="s">
        <v>783</v>
      </c>
      <c r="K3445" s="19" t="s">
        <v>409</v>
      </c>
      <c r="L3445" s="19">
        <v>2022</v>
      </c>
      <c r="M3445" s="20">
        <v>500</v>
      </c>
      <c r="N3445" s="19" t="s">
        <v>751</v>
      </c>
      <c r="O3445" s="20">
        <v>720</v>
      </c>
      <c r="P3445" s="20">
        <v>360000</v>
      </c>
      <c r="Q3445" s="20">
        <v>38979.105882352938</v>
      </c>
      <c r="R3445" s="21">
        <v>1</v>
      </c>
      <c r="S3445" s="20">
        <v>38979.105882352938</v>
      </c>
    </row>
    <row r="3446" spans="2:19" ht="15" customHeight="1" x14ac:dyDescent="0.25">
      <c r="B3446" s="2" t="str">
        <f t="shared" si="106"/>
        <v>PGL_Income Eligible_Single Family_CBA_Wall Insulation_0_SF</v>
      </c>
      <c r="C3446" s="2" t="str">
        <f t="shared" si="107"/>
        <v>PGL_Income Eligible_Single Family_CBA_Wall Insulation_0_SF_2023</v>
      </c>
      <c r="D3446" s="19" t="s">
        <v>1794</v>
      </c>
      <c r="E3446" s="19" t="s">
        <v>325</v>
      </c>
      <c r="F3446" s="19" t="s">
        <v>375</v>
      </c>
      <c r="G3446" s="19" t="s">
        <v>1809</v>
      </c>
      <c r="H3446" s="19" t="s">
        <v>222</v>
      </c>
      <c r="I3446" s="19">
        <v>0</v>
      </c>
      <c r="J3446" s="19" t="s">
        <v>783</v>
      </c>
      <c r="K3446" s="19" t="s">
        <v>409</v>
      </c>
      <c r="L3446" s="19">
        <v>2023</v>
      </c>
      <c r="M3446" s="20">
        <v>500</v>
      </c>
      <c r="N3446" s="19" t="s">
        <v>751</v>
      </c>
      <c r="O3446" s="20">
        <v>720</v>
      </c>
      <c r="P3446" s="20">
        <v>360000</v>
      </c>
      <c r="Q3446" s="20">
        <v>38979.105882352938</v>
      </c>
      <c r="R3446" s="21">
        <v>1</v>
      </c>
      <c r="S3446" s="20">
        <v>38979.105882352938</v>
      </c>
    </row>
    <row r="3447" spans="2:19" ht="15" customHeight="1" x14ac:dyDescent="0.25">
      <c r="B3447" s="2" t="str">
        <f t="shared" si="106"/>
        <v>PGL_Income Eligible_Single Family_CBA_Wall Insulation_0_SF</v>
      </c>
      <c r="C3447" s="2" t="str">
        <f t="shared" si="107"/>
        <v>PGL_Income Eligible_Single Family_CBA_Wall Insulation_0_SF_2024</v>
      </c>
      <c r="D3447" s="19" t="s">
        <v>1794</v>
      </c>
      <c r="E3447" s="19" t="s">
        <v>325</v>
      </c>
      <c r="F3447" s="19" t="s">
        <v>375</v>
      </c>
      <c r="G3447" s="19" t="s">
        <v>1809</v>
      </c>
      <c r="H3447" s="19" t="s">
        <v>222</v>
      </c>
      <c r="I3447" s="19">
        <v>0</v>
      </c>
      <c r="J3447" s="19" t="s">
        <v>783</v>
      </c>
      <c r="K3447" s="19" t="s">
        <v>409</v>
      </c>
      <c r="L3447" s="19">
        <v>2024</v>
      </c>
      <c r="M3447" s="20">
        <v>500</v>
      </c>
      <c r="N3447" s="19" t="s">
        <v>751</v>
      </c>
      <c r="O3447" s="20">
        <v>752</v>
      </c>
      <c r="P3447" s="20">
        <v>376000</v>
      </c>
      <c r="Q3447" s="20">
        <v>40711.510588235287</v>
      </c>
      <c r="R3447" s="21">
        <v>1</v>
      </c>
      <c r="S3447" s="20">
        <v>40711.510588235287</v>
      </c>
    </row>
    <row r="3448" spans="2:19" ht="15" customHeight="1" x14ac:dyDescent="0.25">
      <c r="B3448" s="2" t="str">
        <f t="shared" si="106"/>
        <v>PGL_Income Eligible_Single Family_CBA_Wall Insulation_0_SF</v>
      </c>
      <c r="C3448" s="2" t="str">
        <f t="shared" si="107"/>
        <v>PGL_Income Eligible_Single Family_CBA_Wall Insulation_0_SF_2025</v>
      </c>
      <c r="D3448" s="19" t="s">
        <v>1794</v>
      </c>
      <c r="E3448" s="19" t="s">
        <v>325</v>
      </c>
      <c r="F3448" s="19" t="s">
        <v>375</v>
      </c>
      <c r="G3448" s="19" t="s">
        <v>1809</v>
      </c>
      <c r="H3448" s="19" t="s">
        <v>222</v>
      </c>
      <c r="I3448" s="19">
        <v>0</v>
      </c>
      <c r="J3448" s="19" t="s">
        <v>783</v>
      </c>
      <c r="K3448" s="19" t="s">
        <v>409</v>
      </c>
      <c r="L3448" s="19">
        <v>2025</v>
      </c>
      <c r="M3448" s="20">
        <v>500</v>
      </c>
      <c r="N3448" s="19" t="s">
        <v>751</v>
      </c>
      <c r="O3448" s="20">
        <v>824</v>
      </c>
      <c r="P3448" s="20">
        <v>412000</v>
      </c>
      <c r="Q3448" s="20">
        <v>44609.421176470583</v>
      </c>
      <c r="R3448" s="21">
        <v>1</v>
      </c>
      <c r="S3448" s="20">
        <v>44609.421176470583</v>
      </c>
    </row>
    <row r="3449" spans="2:19" ht="15" customHeight="1" x14ac:dyDescent="0.25">
      <c r="B3449" s="2" t="str">
        <f t="shared" si="106"/>
        <v>PGL_Income Eligible_Single Family_CBA_Foundation Insulation_0_SF</v>
      </c>
      <c r="C3449" s="2" t="str">
        <f t="shared" si="107"/>
        <v>PGL_Income Eligible_Single Family_CBA_Foundation Insulation_0_SF_2022</v>
      </c>
      <c r="D3449" s="19" t="s">
        <v>1794</v>
      </c>
      <c r="E3449" s="19" t="s">
        <v>325</v>
      </c>
      <c r="F3449" s="19" t="s">
        <v>375</v>
      </c>
      <c r="G3449" s="19" t="s">
        <v>1809</v>
      </c>
      <c r="H3449" s="19" t="s">
        <v>608</v>
      </c>
      <c r="I3449" s="19">
        <v>0</v>
      </c>
      <c r="J3449" s="19" t="s">
        <v>610</v>
      </c>
      <c r="K3449" s="19" t="s">
        <v>409</v>
      </c>
      <c r="L3449" s="19">
        <v>2022</v>
      </c>
      <c r="M3449" s="20">
        <v>140</v>
      </c>
      <c r="N3449" s="19" t="s">
        <v>751</v>
      </c>
      <c r="O3449" s="20">
        <v>76</v>
      </c>
      <c r="P3449" s="20">
        <v>10640</v>
      </c>
      <c r="Q3449" s="20">
        <v>1457.2049999999999</v>
      </c>
      <c r="R3449" s="21">
        <v>1</v>
      </c>
      <c r="S3449" s="20">
        <v>1457.2049999999999</v>
      </c>
    </row>
    <row r="3450" spans="2:19" ht="15" customHeight="1" x14ac:dyDescent="0.25">
      <c r="B3450" s="2" t="str">
        <f t="shared" si="106"/>
        <v>PGL_Income Eligible_Single Family_CBA_Foundation Insulation_0_SF</v>
      </c>
      <c r="C3450" s="2" t="str">
        <f t="shared" si="107"/>
        <v>PGL_Income Eligible_Single Family_CBA_Foundation Insulation_0_SF_2023</v>
      </c>
      <c r="D3450" s="19" t="s">
        <v>1794</v>
      </c>
      <c r="E3450" s="19" t="s">
        <v>325</v>
      </c>
      <c r="F3450" s="19" t="s">
        <v>375</v>
      </c>
      <c r="G3450" s="19" t="s">
        <v>1809</v>
      </c>
      <c r="H3450" s="19" t="s">
        <v>608</v>
      </c>
      <c r="I3450" s="19">
        <v>0</v>
      </c>
      <c r="J3450" s="19" t="s">
        <v>610</v>
      </c>
      <c r="K3450" s="19" t="s">
        <v>409</v>
      </c>
      <c r="L3450" s="19">
        <v>2023</v>
      </c>
      <c r="M3450" s="20">
        <v>140</v>
      </c>
      <c r="N3450" s="19" t="s">
        <v>751</v>
      </c>
      <c r="O3450" s="20">
        <v>76</v>
      </c>
      <c r="P3450" s="20">
        <v>10640</v>
      </c>
      <c r="Q3450" s="20">
        <v>1457.2049999999999</v>
      </c>
      <c r="R3450" s="21">
        <v>1</v>
      </c>
      <c r="S3450" s="20">
        <v>1457.2049999999999</v>
      </c>
    </row>
    <row r="3451" spans="2:19" ht="15" customHeight="1" x14ac:dyDescent="0.25">
      <c r="B3451" s="2" t="str">
        <f t="shared" si="106"/>
        <v>PGL_Income Eligible_Single Family_CBA_Foundation Insulation_0_SF</v>
      </c>
      <c r="C3451" s="2" t="str">
        <f t="shared" si="107"/>
        <v>PGL_Income Eligible_Single Family_CBA_Foundation Insulation_0_SF_2024</v>
      </c>
      <c r="D3451" s="19" t="s">
        <v>1794</v>
      </c>
      <c r="E3451" s="19" t="s">
        <v>325</v>
      </c>
      <c r="F3451" s="19" t="s">
        <v>375</v>
      </c>
      <c r="G3451" s="19" t="s">
        <v>1809</v>
      </c>
      <c r="H3451" s="19" t="s">
        <v>608</v>
      </c>
      <c r="I3451" s="19">
        <v>0</v>
      </c>
      <c r="J3451" s="19" t="s">
        <v>610</v>
      </c>
      <c r="K3451" s="19" t="s">
        <v>409</v>
      </c>
      <c r="L3451" s="19">
        <v>2024</v>
      </c>
      <c r="M3451" s="20">
        <v>140</v>
      </c>
      <c r="N3451" s="19" t="s">
        <v>751</v>
      </c>
      <c r="O3451" s="20">
        <v>80</v>
      </c>
      <c r="P3451" s="20">
        <v>11200</v>
      </c>
      <c r="Q3451" s="20">
        <v>1533.8999999999999</v>
      </c>
      <c r="R3451" s="21">
        <v>1</v>
      </c>
      <c r="S3451" s="20">
        <v>1533.8999999999999</v>
      </c>
    </row>
    <row r="3452" spans="2:19" ht="15" customHeight="1" x14ac:dyDescent="0.25">
      <c r="B3452" s="2" t="str">
        <f t="shared" si="106"/>
        <v>PGL_Income Eligible_Single Family_CBA_Foundation Insulation_0_SF</v>
      </c>
      <c r="C3452" s="2" t="str">
        <f t="shared" si="107"/>
        <v>PGL_Income Eligible_Single Family_CBA_Foundation Insulation_0_SF_2025</v>
      </c>
      <c r="D3452" s="19" t="s">
        <v>1794</v>
      </c>
      <c r="E3452" s="19" t="s">
        <v>325</v>
      </c>
      <c r="F3452" s="19" t="s">
        <v>375</v>
      </c>
      <c r="G3452" s="19" t="s">
        <v>1809</v>
      </c>
      <c r="H3452" s="19" t="s">
        <v>608</v>
      </c>
      <c r="I3452" s="19">
        <v>0</v>
      </c>
      <c r="J3452" s="19" t="s">
        <v>610</v>
      </c>
      <c r="K3452" s="19" t="s">
        <v>409</v>
      </c>
      <c r="L3452" s="19">
        <v>2025</v>
      </c>
      <c r="M3452" s="20">
        <v>140</v>
      </c>
      <c r="N3452" s="19" t="s">
        <v>751</v>
      </c>
      <c r="O3452" s="20">
        <v>87</v>
      </c>
      <c r="P3452" s="20">
        <v>12180</v>
      </c>
      <c r="Q3452" s="20">
        <v>1668.1162499999998</v>
      </c>
      <c r="R3452" s="21">
        <v>1</v>
      </c>
      <c r="S3452" s="20">
        <v>1668.1162499999998</v>
      </c>
    </row>
    <row r="3453" spans="2:19" ht="15" customHeight="1" x14ac:dyDescent="0.25">
      <c r="B3453" s="2" t="str">
        <f t="shared" si="106"/>
        <v>PGL_Income Eligible_Single Family_CBA_Rim Joist Insulation_0_SF</v>
      </c>
      <c r="C3453" s="2" t="str">
        <f t="shared" si="107"/>
        <v>PGL_Income Eligible_Single Family_CBA_Rim Joist Insulation_0_SF_2022</v>
      </c>
      <c r="D3453" s="19" t="s">
        <v>1794</v>
      </c>
      <c r="E3453" s="19" t="s">
        <v>325</v>
      </c>
      <c r="F3453" s="19" t="s">
        <v>375</v>
      </c>
      <c r="G3453" s="19" t="s">
        <v>1809</v>
      </c>
      <c r="H3453" s="19" t="s">
        <v>759</v>
      </c>
      <c r="I3453" s="19">
        <v>0</v>
      </c>
      <c r="J3453" s="19" t="s">
        <v>761</v>
      </c>
      <c r="K3453" s="19" t="s">
        <v>409</v>
      </c>
      <c r="L3453" s="19">
        <v>2022</v>
      </c>
      <c r="M3453" s="20">
        <v>1</v>
      </c>
      <c r="N3453" s="19" t="s">
        <v>1795</v>
      </c>
      <c r="O3453" s="20">
        <v>21</v>
      </c>
      <c r="P3453" s="20">
        <v>21</v>
      </c>
      <c r="Q3453" s="20">
        <v>2.8801228235294114</v>
      </c>
      <c r="R3453" s="21">
        <v>1</v>
      </c>
      <c r="S3453" s="20">
        <v>2.8801228235294114</v>
      </c>
    </row>
    <row r="3454" spans="2:19" ht="15" customHeight="1" x14ac:dyDescent="0.25">
      <c r="B3454" s="2" t="str">
        <f t="shared" si="106"/>
        <v>PGL_Income Eligible_Single Family_CBA_Rim Joist Insulation_0_SF</v>
      </c>
      <c r="C3454" s="2" t="str">
        <f t="shared" si="107"/>
        <v>PGL_Income Eligible_Single Family_CBA_Rim Joist Insulation_0_SF_2023</v>
      </c>
      <c r="D3454" s="19" t="s">
        <v>1794</v>
      </c>
      <c r="E3454" s="19" t="s">
        <v>325</v>
      </c>
      <c r="F3454" s="19" t="s">
        <v>375</v>
      </c>
      <c r="G3454" s="19" t="s">
        <v>1809</v>
      </c>
      <c r="H3454" s="19" t="s">
        <v>759</v>
      </c>
      <c r="I3454" s="19">
        <v>0</v>
      </c>
      <c r="J3454" s="19" t="s">
        <v>761</v>
      </c>
      <c r="K3454" s="19" t="s">
        <v>409</v>
      </c>
      <c r="L3454" s="19">
        <v>2023</v>
      </c>
      <c r="M3454" s="20">
        <v>1</v>
      </c>
      <c r="N3454" s="19" t="s">
        <v>1795</v>
      </c>
      <c r="O3454" s="20">
        <v>21</v>
      </c>
      <c r="P3454" s="20">
        <v>21</v>
      </c>
      <c r="Q3454" s="20">
        <v>2.8801228235294114</v>
      </c>
      <c r="R3454" s="21">
        <v>1</v>
      </c>
      <c r="S3454" s="20">
        <v>2.8801228235294114</v>
      </c>
    </row>
    <row r="3455" spans="2:19" ht="15" customHeight="1" x14ac:dyDescent="0.25">
      <c r="B3455" s="2" t="str">
        <f t="shared" si="106"/>
        <v>PGL_Income Eligible_Single Family_CBA_Rim Joist Insulation_0_SF</v>
      </c>
      <c r="C3455" s="2" t="str">
        <f t="shared" si="107"/>
        <v>PGL_Income Eligible_Single Family_CBA_Rim Joist Insulation_0_SF_2024</v>
      </c>
      <c r="D3455" s="19" t="s">
        <v>1794</v>
      </c>
      <c r="E3455" s="19" t="s">
        <v>325</v>
      </c>
      <c r="F3455" s="19" t="s">
        <v>375</v>
      </c>
      <c r="G3455" s="19" t="s">
        <v>1809</v>
      </c>
      <c r="H3455" s="19" t="s">
        <v>759</v>
      </c>
      <c r="I3455" s="19">
        <v>0</v>
      </c>
      <c r="J3455" s="19" t="s">
        <v>761</v>
      </c>
      <c r="K3455" s="19" t="s">
        <v>409</v>
      </c>
      <c r="L3455" s="19">
        <v>2024</v>
      </c>
      <c r="M3455" s="20">
        <v>1</v>
      </c>
      <c r="N3455" s="19" t="s">
        <v>1795</v>
      </c>
      <c r="O3455" s="20">
        <v>22</v>
      </c>
      <c r="P3455" s="20">
        <v>22</v>
      </c>
      <c r="Q3455" s="20">
        <v>3.0172715294117642</v>
      </c>
      <c r="R3455" s="21">
        <v>1</v>
      </c>
      <c r="S3455" s="20">
        <v>3.0172715294117642</v>
      </c>
    </row>
    <row r="3456" spans="2:19" ht="15" customHeight="1" x14ac:dyDescent="0.25">
      <c r="B3456" s="2" t="str">
        <f t="shared" si="106"/>
        <v>PGL_Income Eligible_Single Family_CBA_Rim Joist Insulation_0_SF</v>
      </c>
      <c r="C3456" s="2" t="str">
        <f t="shared" si="107"/>
        <v>PGL_Income Eligible_Single Family_CBA_Rim Joist Insulation_0_SF_2025</v>
      </c>
      <c r="D3456" s="19" t="s">
        <v>1794</v>
      </c>
      <c r="E3456" s="19" t="s">
        <v>325</v>
      </c>
      <c r="F3456" s="19" t="s">
        <v>375</v>
      </c>
      <c r="G3456" s="19" t="s">
        <v>1809</v>
      </c>
      <c r="H3456" s="19" t="s">
        <v>759</v>
      </c>
      <c r="I3456" s="19">
        <v>0</v>
      </c>
      <c r="J3456" s="19" t="s">
        <v>761</v>
      </c>
      <c r="K3456" s="19" t="s">
        <v>409</v>
      </c>
      <c r="L3456" s="19">
        <v>2025</v>
      </c>
      <c r="M3456" s="20">
        <v>1</v>
      </c>
      <c r="N3456" s="19" t="s">
        <v>1795</v>
      </c>
      <c r="O3456" s="20">
        <v>24</v>
      </c>
      <c r="P3456" s="20">
        <v>24</v>
      </c>
      <c r="Q3456" s="20">
        <v>3.2915689411764699</v>
      </c>
      <c r="R3456" s="21">
        <v>1</v>
      </c>
      <c r="S3456" s="20">
        <v>3.2915689411764699</v>
      </c>
    </row>
    <row r="3457" spans="2:19" ht="15" customHeight="1" x14ac:dyDescent="0.25">
      <c r="B3457" s="2" t="str">
        <f t="shared" si="106"/>
        <v>PGL_Income Eligible_Single Family_CBA_Floor Insulation Above Crawlspace_0_SF</v>
      </c>
      <c r="C3457" s="2" t="str">
        <f t="shared" si="107"/>
        <v>PGL_Income Eligible_Single Family_CBA_Floor Insulation Above Crawlspace_0_SF_2022</v>
      </c>
      <c r="D3457" s="19" t="s">
        <v>1794</v>
      </c>
      <c r="E3457" s="19" t="s">
        <v>325</v>
      </c>
      <c r="F3457" s="19" t="s">
        <v>375</v>
      </c>
      <c r="G3457" s="19" t="s">
        <v>1809</v>
      </c>
      <c r="H3457" s="19" t="s">
        <v>244</v>
      </c>
      <c r="I3457" s="19">
        <v>0</v>
      </c>
      <c r="J3457" s="19" t="s">
        <v>750</v>
      </c>
      <c r="K3457" s="19" t="s">
        <v>409</v>
      </c>
      <c r="L3457" s="19">
        <v>2022</v>
      </c>
      <c r="M3457" s="20">
        <v>1</v>
      </c>
      <c r="N3457" s="19" t="s">
        <v>1795</v>
      </c>
      <c r="O3457" s="20">
        <v>0</v>
      </c>
      <c r="P3457" s="20">
        <v>0</v>
      </c>
      <c r="Q3457" s="20">
        <v>0</v>
      </c>
      <c r="R3457" s="21">
        <v>1</v>
      </c>
      <c r="S3457" s="20">
        <v>0</v>
      </c>
    </row>
    <row r="3458" spans="2:19" ht="15" customHeight="1" x14ac:dyDescent="0.25">
      <c r="B3458" s="2" t="str">
        <f t="shared" si="106"/>
        <v>PGL_Income Eligible_Single Family_CBA_Floor Insulation Above Crawlspace_0_SF</v>
      </c>
      <c r="C3458" s="2" t="str">
        <f t="shared" si="107"/>
        <v>PGL_Income Eligible_Single Family_CBA_Floor Insulation Above Crawlspace_0_SF_2023</v>
      </c>
      <c r="D3458" s="19" t="s">
        <v>1794</v>
      </c>
      <c r="E3458" s="19" t="s">
        <v>325</v>
      </c>
      <c r="F3458" s="19" t="s">
        <v>375</v>
      </c>
      <c r="G3458" s="19" t="s">
        <v>1809</v>
      </c>
      <c r="H3458" s="19" t="s">
        <v>244</v>
      </c>
      <c r="I3458" s="19">
        <v>0</v>
      </c>
      <c r="J3458" s="19" t="s">
        <v>750</v>
      </c>
      <c r="K3458" s="19" t="s">
        <v>409</v>
      </c>
      <c r="L3458" s="19">
        <v>2023</v>
      </c>
      <c r="M3458" s="20">
        <v>1</v>
      </c>
      <c r="N3458" s="19" t="s">
        <v>1795</v>
      </c>
      <c r="O3458" s="20">
        <v>0</v>
      </c>
      <c r="P3458" s="20">
        <v>0</v>
      </c>
      <c r="Q3458" s="20">
        <v>0</v>
      </c>
      <c r="R3458" s="21">
        <v>1</v>
      </c>
      <c r="S3458" s="20">
        <v>0</v>
      </c>
    </row>
    <row r="3459" spans="2:19" ht="15" customHeight="1" x14ac:dyDescent="0.25">
      <c r="B3459" s="2" t="str">
        <f t="shared" si="106"/>
        <v>PGL_Income Eligible_Single Family_CBA_Floor Insulation Above Crawlspace_0_SF</v>
      </c>
      <c r="C3459" s="2" t="str">
        <f t="shared" si="107"/>
        <v>PGL_Income Eligible_Single Family_CBA_Floor Insulation Above Crawlspace_0_SF_2024</v>
      </c>
      <c r="D3459" s="19" t="s">
        <v>1794</v>
      </c>
      <c r="E3459" s="19" t="s">
        <v>325</v>
      </c>
      <c r="F3459" s="19" t="s">
        <v>375</v>
      </c>
      <c r="G3459" s="19" t="s">
        <v>1809</v>
      </c>
      <c r="H3459" s="19" t="s">
        <v>244</v>
      </c>
      <c r="I3459" s="19">
        <v>0</v>
      </c>
      <c r="J3459" s="19" t="s">
        <v>750</v>
      </c>
      <c r="K3459" s="19" t="s">
        <v>409</v>
      </c>
      <c r="L3459" s="19">
        <v>2024</v>
      </c>
      <c r="M3459" s="20">
        <v>1</v>
      </c>
      <c r="N3459" s="19" t="s">
        <v>1795</v>
      </c>
      <c r="O3459" s="20">
        <v>0</v>
      </c>
      <c r="P3459" s="20">
        <v>0</v>
      </c>
      <c r="Q3459" s="20">
        <v>0</v>
      </c>
      <c r="R3459" s="21">
        <v>1</v>
      </c>
      <c r="S3459" s="20">
        <v>0</v>
      </c>
    </row>
    <row r="3460" spans="2:19" ht="15" customHeight="1" x14ac:dyDescent="0.25">
      <c r="B3460" s="2" t="str">
        <f t="shared" si="106"/>
        <v>PGL_Income Eligible_Single Family_CBA_Floor Insulation Above Crawlspace_0_SF</v>
      </c>
      <c r="C3460" s="2" t="str">
        <f t="shared" si="107"/>
        <v>PGL_Income Eligible_Single Family_CBA_Floor Insulation Above Crawlspace_0_SF_2025</v>
      </c>
      <c r="D3460" s="19" t="s">
        <v>1794</v>
      </c>
      <c r="E3460" s="19" t="s">
        <v>325</v>
      </c>
      <c r="F3460" s="19" t="s">
        <v>375</v>
      </c>
      <c r="G3460" s="19" t="s">
        <v>1809</v>
      </c>
      <c r="H3460" s="19" t="s">
        <v>244</v>
      </c>
      <c r="I3460" s="19">
        <v>0</v>
      </c>
      <c r="J3460" s="19" t="s">
        <v>750</v>
      </c>
      <c r="K3460" s="19" t="s">
        <v>409</v>
      </c>
      <c r="L3460" s="19">
        <v>2025</v>
      </c>
      <c r="M3460" s="20">
        <v>1</v>
      </c>
      <c r="N3460" s="19" t="s">
        <v>1795</v>
      </c>
      <c r="O3460" s="20">
        <v>0</v>
      </c>
      <c r="P3460" s="20">
        <v>0</v>
      </c>
      <c r="Q3460" s="20">
        <v>0</v>
      </c>
      <c r="R3460" s="21">
        <v>1</v>
      </c>
      <c r="S3460" s="20">
        <v>0</v>
      </c>
    </row>
    <row r="3461" spans="2:19" ht="15" customHeight="1" x14ac:dyDescent="0.25">
      <c r="B3461" s="2" t="str">
        <f t="shared" si="106"/>
        <v>PGL_Income Eligible_Single Family_CBA_Knee Wall Insulation_0_SF</v>
      </c>
      <c r="C3461" s="2" t="str">
        <f t="shared" si="107"/>
        <v>PGL_Income Eligible_Single Family_CBA_Knee Wall Insulation_0_SF_2022</v>
      </c>
      <c r="D3461" s="19" t="s">
        <v>1794</v>
      </c>
      <c r="E3461" s="19" t="s">
        <v>325</v>
      </c>
      <c r="F3461" s="19" t="s">
        <v>375</v>
      </c>
      <c r="G3461" s="19" t="s">
        <v>1809</v>
      </c>
      <c r="H3461" s="19" t="s">
        <v>781</v>
      </c>
      <c r="I3461" s="19">
        <v>0</v>
      </c>
      <c r="J3461" s="19" t="s">
        <v>783</v>
      </c>
      <c r="K3461" s="19" t="s">
        <v>409</v>
      </c>
      <c r="L3461" s="19">
        <v>2022</v>
      </c>
      <c r="M3461" s="20">
        <v>0</v>
      </c>
      <c r="N3461" s="19">
        <v>0</v>
      </c>
      <c r="O3461" s="20">
        <v>0</v>
      </c>
      <c r="P3461" s="20">
        <v>0</v>
      </c>
      <c r="Q3461" s="20">
        <v>0</v>
      </c>
      <c r="R3461" s="21">
        <v>1</v>
      </c>
      <c r="S3461" s="20">
        <v>0</v>
      </c>
    </row>
    <row r="3462" spans="2:19" ht="15" customHeight="1" x14ac:dyDescent="0.25">
      <c r="B3462" s="2" t="str">
        <f t="shared" ref="B3462:B3525" si="108">D3462&amp;"_"&amp;E3462&amp;"_"&amp;F3462&amp;"_"&amp;G3462&amp;"_"&amp;H3462&amp;"_"&amp;I3462&amp;"_"&amp;K3462</f>
        <v>PGL_Income Eligible_Single Family_CBA_Knee Wall Insulation_0_SF</v>
      </c>
      <c r="C3462" s="2" t="str">
        <f t="shared" ref="C3462:C3525" si="109">D3462&amp;"_"&amp;E3462&amp;"_"&amp;F3462&amp;"_"&amp;G3462&amp;"_"&amp;H3462&amp;"_"&amp;I3462&amp;"_"&amp;K3462&amp;"_"&amp;L3462</f>
        <v>PGL_Income Eligible_Single Family_CBA_Knee Wall Insulation_0_SF_2023</v>
      </c>
      <c r="D3462" s="19" t="s">
        <v>1794</v>
      </c>
      <c r="E3462" s="19" t="s">
        <v>325</v>
      </c>
      <c r="F3462" s="19" t="s">
        <v>375</v>
      </c>
      <c r="G3462" s="19" t="s">
        <v>1809</v>
      </c>
      <c r="H3462" s="19" t="s">
        <v>781</v>
      </c>
      <c r="I3462" s="19">
        <v>0</v>
      </c>
      <c r="J3462" s="19" t="s">
        <v>783</v>
      </c>
      <c r="K3462" s="19" t="s">
        <v>409</v>
      </c>
      <c r="L3462" s="19">
        <v>2023</v>
      </c>
      <c r="M3462" s="20">
        <v>0</v>
      </c>
      <c r="N3462" s="19">
        <v>0</v>
      </c>
      <c r="O3462" s="20">
        <v>0</v>
      </c>
      <c r="P3462" s="20">
        <v>0</v>
      </c>
      <c r="Q3462" s="20">
        <v>0</v>
      </c>
      <c r="R3462" s="21">
        <v>1</v>
      </c>
      <c r="S3462" s="20">
        <v>0</v>
      </c>
    </row>
    <row r="3463" spans="2:19" ht="15" customHeight="1" x14ac:dyDescent="0.25">
      <c r="B3463" s="2" t="str">
        <f t="shared" si="108"/>
        <v>PGL_Income Eligible_Single Family_CBA_Knee Wall Insulation_0_SF</v>
      </c>
      <c r="C3463" s="2" t="str">
        <f t="shared" si="109"/>
        <v>PGL_Income Eligible_Single Family_CBA_Knee Wall Insulation_0_SF_2024</v>
      </c>
      <c r="D3463" s="19" t="s">
        <v>1794</v>
      </c>
      <c r="E3463" s="19" t="s">
        <v>325</v>
      </c>
      <c r="F3463" s="19" t="s">
        <v>375</v>
      </c>
      <c r="G3463" s="19" t="s">
        <v>1809</v>
      </c>
      <c r="H3463" s="19" t="s">
        <v>781</v>
      </c>
      <c r="I3463" s="19">
        <v>0</v>
      </c>
      <c r="J3463" s="19" t="s">
        <v>783</v>
      </c>
      <c r="K3463" s="19" t="s">
        <v>409</v>
      </c>
      <c r="L3463" s="19">
        <v>2024</v>
      </c>
      <c r="M3463" s="20">
        <v>0</v>
      </c>
      <c r="N3463" s="19">
        <v>0</v>
      </c>
      <c r="O3463" s="20">
        <v>0</v>
      </c>
      <c r="P3463" s="20">
        <v>0</v>
      </c>
      <c r="Q3463" s="20">
        <v>0</v>
      </c>
      <c r="R3463" s="21">
        <v>1</v>
      </c>
      <c r="S3463" s="20">
        <v>0</v>
      </c>
    </row>
    <row r="3464" spans="2:19" ht="15" customHeight="1" x14ac:dyDescent="0.25">
      <c r="B3464" s="2" t="str">
        <f t="shared" si="108"/>
        <v>PGL_Income Eligible_Single Family_CBA_Knee Wall Insulation_0_SF</v>
      </c>
      <c r="C3464" s="2" t="str">
        <f t="shared" si="109"/>
        <v>PGL_Income Eligible_Single Family_CBA_Knee Wall Insulation_0_SF_2025</v>
      </c>
      <c r="D3464" s="19" t="s">
        <v>1794</v>
      </c>
      <c r="E3464" s="19" t="s">
        <v>325</v>
      </c>
      <c r="F3464" s="19" t="s">
        <v>375</v>
      </c>
      <c r="G3464" s="19" t="s">
        <v>1809</v>
      </c>
      <c r="H3464" s="19" t="s">
        <v>781</v>
      </c>
      <c r="I3464" s="19">
        <v>0</v>
      </c>
      <c r="J3464" s="19" t="s">
        <v>783</v>
      </c>
      <c r="K3464" s="19" t="s">
        <v>409</v>
      </c>
      <c r="L3464" s="19">
        <v>2025</v>
      </c>
      <c r="M3464" s="20">
        <v>0</v>
      </c>
      <c r="N3464" s="19">
        <v>0</v>
      </c>
      <c r="O3464" s="20">
        <v>0</v>
      </c>
      <c r="P3464" s="20">
        <v>0</v>
      </c>
      <c r="Q3464" s="20">
        <v>0</v>
      </c>
      <c r="R3464" s="21">
        <v>1</v>
      </c>
      <c r="S3464" s="20">
        <v>0</v>
      </c>
    </row>
    <row r="3465" spans="2:19" ht="15" customHeight="1" x14ac:dyDescent="0.25">
      <c r="B3465" s="2" t="str">
        <f t="shared" si="108"/>
        <v>PGL_Income Eligible_Single Family_CBA_Water Heater_Storage 0.67 EF_SF</v>
      </c>
      <c r="C3465" s="2" t="str">
        <f t="shared" si="109"/>
        <v>PGL_Income Eligible_Single Family_CBA_Water Heater_Storage 0.67 EF_SF_2022</v>
      </c>
      <c r="D3465" s="19" t="s">
        <v>1794</v>
      </c>
      <c r="E3465" s="19" t="s">
        <v>325</v>
      </c>
      <c r="F3465" s="19" t="s">
        <v>375</v>
      </c>
      <c r="G3465" s="19" t="s">
        <v>1809</v>
      </c>
      <c r="H3465" s="19" t="s">
        <v>8</v>
      </c>
      <c r="I3465" s="19" t="s">
        <v>879</v>
      </c>
      <c r="J3465" s="19" t="s">
        <v>866</v>
      </c>
      <c r="K3465" s="19" t="s">
        <v>409</v>
      </c>
      <c r="L3465" s="19">
        <v>2022</v>
      </c>
      <c r="M3465" s="20">
        <v>1</v>
      </c>
      <c r="N3465" s="19" t="s">
        <v>1795</v>
      </c>
      <c r="O3465" s="20">
        <v>0</v>
      </c>
      <c r="P3465" s="20">
        <v>0</v>
      </c>
      <c r="Q3465" s="20">
        <v>0</v>
      </c>
      <c r="R3465" s="21">
        <v>1</v>
      </c>
      <c r="S3465" s="20">
        <v>0</v>
      </c>
    </row>
    <row r="3466" spans="2:19" ht="15" customHeight="1" x14ac:dyDescent="0.25">
      <c r="B3466" s="2" t="str">
        <f t="shared" si="108"/>
        <v>PGL_Income Eligible_Single Family_CBA_Water Heater_Storage 0.67 EF_SF</v>
      </c>
      <c r="C3466" s="2" t="str">
        <f t="shared" si="109"/>
        <v>PGL_Income Eligible_Single Family_CBA_Water Heater_Storage 0.67 EF_SF_2023</v>
      </c>
      <c r="D3466" s="19" t="s">
        <v>1794</v>
      </c>
      <c r="E3466" s="19" t="s">
        <v>325</v>
      </c>
      <c r="F3466" s="19" t="s">
        <v>375</v>
      </c>
      <c r="G3466" s="19" t="s">
        <v>1809</v>
      </c>
      <c r="H3466" s="19" t="s">
        <v>8</v>
      </c>
      <c r="I3466" s="19" t="s">
        <v>879</v>
      </c>
      <c r="J3466" s="19" t="s">
        <v>866</v>
      </c>
      <c r="K3466" s="19" t="s">
        <v>409</v>
      </c>
      <c r="L3466" s="19">
        <v>2023</v>
      </c>
      <c r="M3466" s="20">
        <v>1</v>
      </c>
      <c r="N3466" s="19" t="s">
        <v>1795</v>
      </c>
      <c r="O3466" s="20">
        <v>0</v>
      </c>
      <c r="P3466" s="20">
        <v>0</v>
      </c>
      <c r="Q3466" s="20">
        <v>0</v>
      </c>
      <c r="R3466" s="21">
        <v>1</v>
      </c>
      <c r="S3466" s="20">
        <v>0</v>
      </c>
    </row>
    <row r="3467" spans="2:19" ht="15" customHeight="1" x14ac:dyDescent="0.25">
      <c r="B3467" s="2" t="str">
        <f t="shared" si="108"/>
        <v>PGL_Income Eligible_Single Family_CBA_Water Heater_Storage 0.67 EF_SF</v>
      </c>
      <c r="C3467" s="2" t="str">
        <f t="shared" si="109"/>
        <v>PGL_Income Eligible_Single Family_CBA_Water Heater_Storage 0.67 EF_SF_2024</v>
      </c>
      <c r="D3467" s="19" t="s">
        <v>1794</v>
      </c>
      <c r="E3467" s="19" t="s">
        <v>325</v>
      </c>
      <c r="F3467" s="19" t="s">
        <v>375</v>
      </c>
      <c r="G3467" s="19" t="s">
        <v>1809</v>
      </c>
      <c r="H3467" s="19" t="s">
        <v>8</v>
      </c>
      <c r="I3467" s="19" t="s">
        <v>879</v>
      </c>
      <c r="J3467" s="19" t="s">
        <v>866</v>
      </c>
      <c r="K3467" s="19" t="s">
        <v>409</v>
      </c>
      <c r="L3467" s="19">
        <v>2024</v>
      </c>
      <c r="M3467" s="20">
        <v>1</v>
      </c>
      <c r="N3467" s="19" t="s">
        <v>1795</v>
      </c>
      <c r="O3467" s="20">
        <v>0</v>
      </c>
      <c r="P3467" s="20">
        <v>0</v>
      </c>
      <c r="Q3467" s="20">
        <v>0</v>
      </c>
      <c r="R3467" s="21">
        <v>1</v>
      </c>
      <c r="S3467" s="20">
        <v>0</v>
      </c>
    </row>
    <row r="3468" spans="2:19" ht="15" customHeight="1" x14ac:dyDescent="0.25">
      <c r="B3468" s="2" t="str">
        <f t="shared" si="108"/>
        <v>PGL_Income Eligible_Single Family_CBA_Water Heater_Storage 0.67 EF_SF</v>
      </c>
      <c r="C3468" s="2" t="str">
        <f t="shared" si="109"/>
        <v>PGL_Income Eligible_Single Family_CBA_Water Heater_Storage 0.67 EF_SF_2025</v>
      </c>
      <c r="D3468" s="19" t="s">
        <v>1794</v>
      </c>
      <c r="E3468" s="19" t="s">
        <v>325</v>
      </c>
      <c r="F3468" s="19" t="s">
        <v>375</v>
      </c>
      <c r="G3468" s="19" t="s">
        <v>1809</v>
      </c>
      <c r="H3468" s="19" t="s">
        <v>8</v>
      </c>
      <c r="I3468" s="19" t="s">
        <v>879</v>
      </c>
      <c r="J3468" s="19" t="s">
        <v>866</v>
      </c>
      <c r="K3468" s="19" t="s">
        <v>409</v>
      </c>
      <c r="L3468" s="19">
        <v>2025</v>
      </c>
      <c r="M3468" s="20">
        <v>1</v>
      </c>
      <c r="N3468" s="19" t="s">
        <v>1795</v>
      </c>
      <c r="O3468" s="20">
        <v>0</v>
      </c>
      <c r="P3468" s="20">
        <v>0</v>
      </c>
      <c r="Q3468" s="20">
        <v>0</v>
      </c>
      <c r="R3468" s="21">
        <v>1</v>
      </c>
      <c r="S3468" s="20">
        <v>0</v>
      </c>
    </row>
    <row r="3469" spans="2:19" ht="15" customHeight="1" x14ac:dyDescent="0.25">
      <c r="B3469" s="2" t="str">
        <f t="shared" si="108"/>
        <v>PGL_Income Eligible_Single Family_CBA_Boiler_≥88% AFUE, &lt;300MBh_SF</v>
      </c>
      <c r="C3469" s="2" t="str">
        <f t="shared" si="109"/>
        <v>PGL_Income Eligible_Single Family_CBA_Boiler_≥88% AFUE, &lt;300MBh_SF_2022</v>
      </c>
      <c r="D3469" s="19" t="s">
        <v>1794</v>
      </c>
      <c r="E3469" s="19" t="s">
        <v>325</v>
      </c>
      <c r="F3469" s="19" t="s">
        <v>375</v>
      </c>
      <c r="G3469" s="19" t="s">
        <v>1809</v>
      </c>
      <c r="H3469" s="19" t="s">
        <v>944</v>
      </c>
      <c r="I3469" s="19" t="s">
        <v>945</v>
      </c>
      <c r="J3469" s="19" t="s">
        <v>1057</v>
      </c>
      <c r="K3469" s="19" t="s">
        <v>409</v>
      </c>
      <c r="L3469" s="19">
        <v>2022</v>
      </c>
      <c r="M3469" s="20">
        <v>1</v>
      </c>
      <c r="N3469" s="19" t="s">
        <v>1795</v>
      </c>
      <c r="O3469" s="20">
        <v>0</v>
      </c>
      <c r="P3469" s="20">
        <v>0</v>
      </c>
      <c r="Q3469" s="20">
        <v>0</v>
      </c>
      <c r="R3469" s="21">
        <v>1</v>
      </c>
      <c r="S3469" s="20">
        <v>0</v>
      </c>
    </row>
    <row r="3470" spans="2:19" ht="15" customHeight="1" x14ac:dyDescent="0.25">
      <c r="B3470" s="2" t="str">
        <f t="shared" si="108"/>
        <v>PGL_Income Eligible_Single Family_CBA_Boiler_≥88% AFUE, &lt;300MBh_SF</v>
      </c>
      <c r="C3470" s="2" t="str">
        <f t="shared" si="109"/>
        <v>PGL_Income Eligible_Single Family_CBA_Boiler_≥88% AFUE, &lt;300MBh_SF_2023</v>
      </c>
      <c r="D3470" s="19" t="s">
        <v>1794</v>
      </c>
      <c r="E3470" s="19" t="s">
        <v>325</v>
      </c>
      <c r="F3470" s="19" t="s">
        <v>375</v>
      </c>
      <c r="G3470" s="19" t="s">
        <v>1809</v>
      </c>
      <c r="H3470" s="19" t="s">
        <v>944</v>
      </c>
      <c r="I3470" s="19" t="s">
        <v>945</v>
      </c>
      <c r="J3470" s="19" t="s">
        <v>1057</v>
      </c>
      <c r="K3470" s="19" t="s">
        <v>409</v>
      </c>
      <c r="L3470" s="19">
        <v>2023</v>
      </c>
      <c r="M3470" s="20">
        <v>1</v>
      </c>
      <c r="N3470" s="19" t="s">
        <v>1795</v>
      </c>
      <c r="O3470" s="20">
        <v>0</v>
      </c>
      <c r="P3470" s="20">
        <v>0</v>
      </c>
      <c r="Q3470" s="20">
        <v>0</v>
      </c>
      <c r="R3470" s="21">
        <v>1</v>
      </c>
      <c r="S3470" s="20">
        <v>0</v>
      </c>
    </row>
    <row r="3471" spans="2:19" ht="15" customHeight="1" x14ac:dyDescent="0.25">
      <c r="B3471" s="2" t="str">
        <f t="shared" si="108"/>
        <v>PGL_Income Eligible_Single Family_CBA_Boiler_≥88% AFUE, &lt;300MBh_SF</v>
      </c>
      <c r="C3471" s="2" t="str">
        <f t="shared" si="109"/>
        <v>PGL_Income Eligible_Single Family_CBA_Boiler_≥88% AFUE, &lt;300MBh_SF_2024</v>
      </c>
      <c r="D3471" s="19" t="s">
        <v>1794</v>
      </c>
      <c r="E3471" s="19" t="s">
        <v>325</v>
      </c>
      <c r="F3471" s="19" t="s">
        <v>375</v>
      </c>
      <c r="G3471" s="19" t="s">
        <v>1809</v>
      </c>
      <c r="H3471" s="19" t="s">
        <v>944</v>
      </c>
      <c r="I3471" s="19" t="s">
        <v>945</v>
      </c>
      <c r="J3471" s="19" t="s">
        <v>1057</v>
      </c>
      <c r="K3471" s="19" t="s">
        <v>409</v>
      </c>
      <c r="L3471" s="19">
        <v>2024</v>
      </c>
      <c r="M3471" s="20">
        <v>1</v>
      </c>
      <c r="N3471" s="19" t="s">
        <v>1795</v>
      </c>
      <c r="O3471" s="20">
        <v>0</v>
      </c>
      <c r="P3471" s="20">
        <v>0</v>
      </c>
      <c r="Q3471" s="20">
        <v>0</v>
      </c>
      <c r="R3471" s="21">
        <v>1</v>
      </c>
      <c r="S3471" s="20">
        <v>0</v>
      </c>
    </row>
    <row r="3472" spans="2:19" ht="15" customHeight="1" x14ac:dyDescent="0.25">
      <c r="B3472" s="2" t="str">
        <f t="shared" si="108"/>
        <v>PGL_Income Eligible_Single Family_CBA_Boiler_≥88% AFUE, &lt;300MBh_SF</v>
      </c>
      <c r="C3472" s="2" t="str">
        <f t="shared" si="109"/>
        <v>PGL_Income Eligible_Single Family_CBA_Boiler_≥88% AFUE, &lt;300MBh_SF_2025</v>
      </c>
      <c r="D3472" s="19" t="s">
        <v>1794</v>
      </c>
      <c r="E3472" s="19" t="s">
        <v>325</v>
      </c>
      <c r="F3472" s="19" t="s">
        <v>375</v>
      </c>
      <c r="G3472" s="19" t="s">
        <v>1809</v>
      </c>
      <c r="H3472" s="19" t="s">
        <v>944</v>
      </c>
      <c r="I3472" s="19" t="s">
        <v>945</v>
      </c>
      <c r="J3472" s="19" t="s">
        <v>1057</v>
      </c>
      <c r="K3472" s="19" t="s">
        <v>409</v>
      </c>
      <c r="L3472" s="19">
        <v>2025</v>
      </c>
      <c r="M3472" s="20">
        <v>1</v>
      </c>
      <c r="N3472" s="19" t="s">
        <v>1795</v>
      </c>
      <c r="O3472" s="20">
        <v>0</v>
      </c>
      <c r="P3472" s="20">
        <v>0</v>
      </c>
      <c r="Q3472" s="20">
        <v>0</v>
      </c>
      <c r="R3472" s="21">
        <v>1</v>
      </c>
      <c r="S3472" s="20">
        <v>0</v>
      </c>
    </row>
    <row r="3473" spans="2:19" ht="15" customHeight="1" x14ac:dyDescent="0.25">
      <c r="B3473" s="2" t="str">
        <f t="shared" si="108"/>
        <v>PGL_Income Eligible_Single Family_CBA_Weatherstripping_0_IE SF</v>
      </c>
      <c r="C3473" s="2" t="str">
        <f t="shared" si="109"/>
        <v>PGL_Income Eligible_Single Family_CBA_Weatherstripping_0_IE SF_2022</v>
      </c>
      <c r="D3473" s="19" t="s">
        <v>1794</v>
      </c>
      <c r="E3473" s="19" t="s">
        <v>325</v>
      </c>
      <c r="F3473" s="19" t="s">
        <v>375</v>
      </c>
      <c r="G3473" s="19" t="s">
        <v>1809</v>
      </c>
      <c r="H3473" s="19" t="s">
        <v>576</v>
      </c>
      <c r="I3473" s="19">
        <v>0</v>
      </c>
      <c r="J3473" s="19" t="s">
        <v>573</v>
      </c>
      <c r="K3473" s="19" t="s">
        <v>581</v>
      </c>
      <c r="L3473" s="19">
        <v>2022</v>
      </c>
      <c r="M3473" s="20">
        <v>17</v>
      </c>
      <c r="N3473" s="19" t="s">
        <v>1810</v>
      </c>
      <c r="O3473" s="20">
        <v>900</v>
      </c>
      <c r="P3473" s="20">
        <v>15300</v>
      </c>
      <c r="Q3473" s="20">
        <v>7466.4</v>
      </c>
      <c r="R3473" s="21">
        <v>1</v>
      </c>
      <c r="S3473" s="20">
        <v>7466.4</v>
      </c>
    </row>
    <row r="3474" spans="2:19" ht="15" customHeight="1" x14ac:dyDescent="0.25">
      <c r="B3474" s="2" t="str">
        <f t="shared" si="108"/>
        <v>PGL_Income Eligible_Single Family_CBA_Weatherstripping_0_IE SF</v>
      </c>
      <c r="C3474" s="2" t="str">
        <f t="shared" si="109"/>
        <v>PGL_Income Eligible_Single Family_CBA_Weatherstripping_0_IE SF_2023</v>
      </c>
      <c r="D3474" s="19" t="s">
        <v>1794</v>
      </c>
      <c r="E3474" s="19" t="s">
        <v>325</v>
      </c>
      <c r="F3474" s="19" t="s">
        <v>375</v>
      </c>
      <c r="G3474" s="19" t="s">
        <v>1809</v>
      </c>
      <c r="H3474" s="19" t="s">
        <v>576</v>
      </c>
      <c r="I3474" s="19">
        <v>0</v>
      </c>
      <c r="J3474" s="19" t="s">
        <v>573</v>
      </c>
      <c r="K3474" s="19" t="s">
        <v>581</v>
      </c>
      <c r="L3474" s="19">
        <v>2023</v>
      </c>
      <c r="M3474" s="20">
        <v>17</v>
      </c>
      <c r="N3474" s="19" t="s">
        <v>1810</v>
      </c>
      <c r="O3474" s="20">
        <v>900</v>
      </c>
      <c r="P3474" s="20">
        <v>15300</v>
      </c>
      <c r="Q3474" s="20">
        <v>7466.4</v>
      </c>
      <c r="R3474" s="21">
        <v>1</v>
      </c>
      <c r="S3474" s="20">
        <v>7466.4</v>
      </c>
    </row>
    <row r="3475" spans="2:19" ht="15" customHeight="1" x14ac:dyDescent="0.25">
      <c r="B3475" s="2" t="str">
        <f t="shared" si="108"/>
        <v>PGL_Income Eligible_Single Family_CBA_Weatherstripping_0_IE SF</v>
      </c>
      <c r="C3475" s="2" t="str">
        <f t="shared" si="109"/>
        <v>PGL_Income Eligible_Single Family_CBA_Weatherstripping_0_IE SF_2024</v>
      </c>
      <c r="D3475" s="19" t="s">
        <v>1794</v>
      </c>
      <c r="E3475" s="19" t="s">
        <v>325</v>
      </c>
      <c r="F3475" s="19" t="s">
        <v>375</v>
      </c>
      <c r="G3475" s="19" t="s">
        <v>1809</v>
      </c>
      <c r="H3475" s="19" t="s">
        <v>576</v>
      </c>
      <c r="I3475" s="19">
        <v>0</v>
      </c>
      <c r="J3475" s="19" t="s">
        <v>573</v>
      </c>
      <c r="K3475" s="19" t="s">
        <v>581</v>
      </c>
      <c r="L3475" s="19">
        <v>2024</v>
      </c>
      <c r="M3475" s="20">
        <v>17</v>
      </c>
      <c r="N3475" s="19" t="s">
        <v>1810</v>
      </c>
      <c r="O3475" s="20">
        <v>940</v>
      </c>
      <c r="P3475" s="20">
        <v>15980</v>
      </c>
      <c r="Q3475" s="20">
        <v>7798.24</v>
      </c>
      <c r="R3475" s="21">
        <v>1</v>
      </c>
      <c r="S3475" s="20">
        <v>7798.24</v>
      </c>
    </row>
    <row r="3476" spans="2:19" ht="15" customHeight="1" x14ac:dyDescent="0.25">
      <c r="B3476" s="2" t="str">
        <f t="shared" si="108"/>
        <v>PGL_Income Eligible_Single Family_CBA_Weatherstripping_0_IE SF</v>
      </c>
      <c r="C3476" s="2" t="str">
        <f t="shared" si="109"/>
        <v>PGL_Income Eligible_Single Family_CBA_Weatherstripping_0_IE SF_2025</v>
      </c>
      <c r="D3476" s="19" t="s">
        <v>1794</v>
      </c>
      <c r="E3476" s="19" t="s">
        <v>325</v>
      </c>
      <c r="F3476" s="19" t="s">
        <v>375</v>
      </c>
      <c r="G3476" s="19" t="s">
        <v>1809</v>
      </c>
      <c r="H3476" s="19" t="s">
        <v>576</v>
      </c>
      <c r="I3476" s="19">
        <v>0</v>
      </c>
      <c r="J3476" s="19" t="s">
        <v>573</v>
      </c>
      <c r="K3476" s="19" t="s">
        <v>581</v>
      </c>
      <c r="L3476" s="19">
        <v>2025</v>
      </c>
      <c r="M3476" s="20">
        <v>17</v>
      </c>
      <c r="N3476" s="19" t="s">
        <v>1810</v>
      </c>
      <c r="O3476" s="20">
        <v>1030</v>
      </c>
      <c r="P3476" s="20">
        <v>17510</v>
      </c>
      <c r="Q3476" s="20">
        <v>8544.8799999999992</v>
      </c>
      <c r="R3476" s="21">
        <v>1</v>
      </c>
      <c r="S3476" s="20">
        <v>8544.8799999999992</v>
      </c>
    </row>
    <row r="3477" spans="2:19" ht="15" customHeight="1" x14ac:dyDescent="0.25">
      <c r="B3477" s="2" t="str">
        <f t="shared" si="108"/>
        <v>PGL_Income Eligible_Single Family_CBA_Furnace_&gt;95% AFUE_SF</v>
      </c>
      <c r="C3477" s="2" t="str">
        <f t="shared" si="109"/>
        <v>PGL_Income Eligible_Single Family_CBA_Furnace_&gt;95% AFUE_SF_2022</v>
      </c>
      <c r="D3477" s="19" t="s">
        <v>1794</v>
      </c>
      <c r="E3477" s="19" t="s">
        <v>325</v>
      </c>
      <c r="F3477" s="19" t="s">
        <v>375</v>
      </c>
      <c r="G3477" s="19" t="s">
        <v>1809</v>
      </c>
      <c r="H3477" s="19" t="s">
        <v>490</v>
      </c>
      <c r="I3477" s="19" t="s">
        <v>982</v>
      </c>
      <c r="J3477" s="19" t="s">
        <v>990</v>
      </c>
      <c r="K3477" s="19" t="s">
        <v>409</v>
      </c>
      <c r="L3477" s="19">
        <v>2022</v>
      </c>
      <c r="M3477" s="20">
        <v>1</v>
      </c>
      <c r="N3477" s="19" t="s">
        <v>1795</v>
      </c>
      <c r="O3477" s="20">
        <v>0</v>
      </c>
      <c r="P3477" s="20">
        <v>0</v>
      </c>
      <c r="Q3477" s="20">
        <v>0</v>
      </c>
      <c r="R3477" s="21">
        <v>1</v>
      </c>
      <c r="S3477" s="20">
        <v>0</v>
      </c>
    </row>
    <row r="3478" spans="2:19" ht="15" customHeight="1" x14ac:dyDescent="0.25">
      <c r="B3478" s="2" t="str">
        <f t="shared" si="108"/>
        <v>PGL_Income Eligible_Single Family_CBA_Furnace_&gt;95% AFUE_SF</v>
      </c>
      <c r="C3478" s="2" t="str">
        <f t="shared" si="109"/>
        <v>PGL_Income Eligible_Single Family_CBA_Furnace_&gt;95% AFUE_SF_2023</v>
      </c>
      <c r="D3478" s="19" t="s">
        <v>1794</v>
      </c>
      <c r="E3478" s="19" t="s">
        <v>325</v>
      </c>
      <c r="F3478" s="19" t="s">
        <v>375</v>
      </c>
      <c r="G3478" s="19" t="s">
        <v>1809</v>
      </c>
      <c r="H3478" s="19" t="s">
        <v>490</v>
      </c>
      <c r="I3478" s="19" t="s">
        <v>982</v>
      </c>
      <c r="J3478" s="19" t="s">
        <v>990</v>
      </c>
      <c r="K3478" s="19" t="s">
        <v>409</v>
      </c>
      <c r="L3478" s="19">
        <v>2023</v>
      </c>
      <c r="M3478" s="20">
        <v>1</v>
      </c>
      <c r="N3478" s="19" t="s">
        <v>1795</v>
      </c>
      <c r="O3478" s="20">
        <v>0</v>
      </c>
      <c r="P3478" s="20">
        <v>0</v>
      </c>
      <c r="Q3478" s="20">
        <v>0</v>
      </c>
      <c r="R3478" s="21">
        <v>1</v>
      </c>
      <c r="S3478" s="20">
        <v>0</v>
      </c>
    </row>
    <row r="3479" spans="2:19" ht="15" customHeight="1" x14ac:dyDescent="0.25">
      <c r="B3479" s="2" t="str">
        <f t="shared" si="108"/>
        <v>PGL_Income Eligible_Single Family_CBA_Furnace_&gt;95% AFUE_SF</v>
      </c>
      <c r="C3479" s="2" t="str">
        <f t="shared" si="109"/>
        <v>PGL_Income Eligible_Single Family_CBA_Furnace_&gt;95% AFUE_SF_2024</v>
      </c>
      <c r="D3479" s="19" t="s">
        <v>1794</v>
      </c>
      <c r="E3479" s="19" t="s">
        <v>325</v>
      </c>
      <c r="F3479" s="19" t="s">
        <v>375</v>
      </c>
      <c r="G3479" s="19" t="s">
        <v>1809</v>
      </c>
      <c r="H3479" s="19" t="s">
        <v>490</v>
      </c>
      <c r="I3479" s="19" t="s">
        <v>982</v>
      </c>
      <c r="J3479" s="19" t="s">
        <v>990</v>
      </c>
      <c r="K3479" s="19" t="s">
        <v>409</v>
      </c>
      <c r="L3479" s="19">
        <v>2024</v>
      </c>
      <c r="M3479" s="20">
        <v>1</v>
      </c>
      <c r="N3479" s="19" t="s">
        <v>1795</v>
      </c>
      <c r="O3479" s="20">
        <v>0</v>
      </c>
      <c r="P3479" s="20">
        <v>0</v>
      </c>
      <c r="Q3479" s="20">
        <v>0</v>
      </c>
      <c r="R3479" s="21">
        <v>1</v>
      </c>
      <c r="S3479" s="20">
        <v>0</v>
      </c>
    </row>
    <row r="3480" spans="2:19" ht="15" customHeight="1" x14ac:dyDescent="0.25">
      <c r="B3480" s="2" t="str">
        <f t="shared" si="108"/>
        <v>PGL_Income Eligible_Single Family_CBA_Furnace_&gt;95% AFUE_SF</v>
      </c>
      <c r="C3480" s="2" t="str">
        <f t="shared" si="109"/>
        <v>PGL_Income Eligible_Single Family_CBA_Furnace_&gt;95% AFUE_SF_2025</v>
      </c>
      <c r="D3480" s="19" t="s">
        <v>1794</v>
      </c>
      <c r="E3480" s="19" t="s">
        <v>325</v>
      </c>
      <c r="F3480" s="19" t="s">
        <v>375</v>
      </c>
      <c r="G3480" s="19" t="s">
        <v>1809</v>
      </c>
      <c r="H3480" s="19" t="s">
        <v>490</v>
      </c>
      <c r="I3480" s="19" t="s">
        <v>982</v>
      </c>
      <c r="J3480" s="19" t="s">
        <v>990</v>
      </c>
      <c r="K3480" s="19" t="s">
        <v>409</v>
      </c>
      <c r="L3480" s="19">
        <v>2025</v>
      </c>
      <c r="M3480" s="20">
        <v>1</v>
      </c>
      <c r="N3480" s="19" t="s">
        <v>1795</v>
      </c>
      <c r="O3480" s="20">
        <v>0</v>
      </c>
      <c r="P3480" s="20">
        <v>0</v>
      </c>
      <c r="Q3480" s="20">
        <v>0</v>
      </c>
      <c r="R3480" s="21">
        <v>1</v>
      </c>
      <c r="S3480" s="20">
        <v>0</v>
      </c>
    </row>
    <row r="3481" spans="2:19" ht="15" customHeight="1" x14ac:dyDescent="0.25">
      <c r="B3481" s="2" t="str">
        <f t="shared" si="108"/>
        <v>PGL_Income Eligible_Single Family_CBA_Health and Safety_no savings_SF</v>
      </c>
      <c r="C3481" s="2" t="str">
        <f t="shared" si="109"/>
        <v>PGL_Income Eligible_Single Family_CBA_Health and Safety_no savings_SF_2022</v>
      </c>
      <c r="D3481" s="19" t="s">
        <v>1794</v>
      </c>
      <c r="E3481" s="19" t="s">
        <v>325</v>
      </c>
      <c r="F3481" s="19" t="s">
        <v>375</v>
      </c>
      <c r="G3481" s="19" t="s">
        <v>1809</v>
      </c>
      <c r="H3481" s="19" t="s">
        <v>1437</v>
      </c>
      <c r="I3481" s="19" t="s">
        <v>1438</v>
      </c>
      <c r="J3481" s="19" t="s">
        <v>1469</v>
      </c>
      <c r="K3481" s="19" t="s">
        <v>409</v>
      </c>
      <c r="L3481" s="19">
        <v>2022</v>
      </c>
      <c r="M3481" s="20">
        <v>1</v>
      </c>
      <c r="N3481" s="19" t="s">
        <v>1795</v>
      </c>
      <c r="O3481" s="20">
        <v>900</v>
      </c>
      <c r="P3481" s="20">
        <v>900</v>
      </c>
      <c r="Q3481" s="20">
        <v>0</v>
      </c>
      <c r="R3481" s="21">
        <v>1</v>
      </c>
      <c r="S3481" s="20">
        <v>0</v>
      </c>
    </row>
    <row r="3482" spans="2:19" ht="15" customHeight="1" x14ac:dyDescent="0.25">
      <c r="B3482" s="2" t="str">
        <f t="shared" si="108"/>
        <v>PGL_Income Eligible_Single Family_CBA_Health and Safety_no savings_SF</v>
      </c>
      <c r="C3482" s="2" t="str">
        <f t="shared" si="109"/>
        <v>PGL_Income Eligible_Single Family_CBA_Health and Safety_no savings_SF_2023</v>
      </c>
      <c r="D3482" s="19" t="s">
        <v>1794</v>
      </c>
      <c r="E3482" s="19" t="s">
        <v>325</v>
      </c>
      <c r="F3482" s="19" t="s">
        <v>375</v>
      </c>
      <c r="G3482" s="19" t="s">
        <v>1809</v>
      </c>
      <c r="H3482" s="19" t="s">
        <v>1437</v>
      </c>
      <c r="I3482" s="19" t="s">
        <v>1438</v>
      </c>
      <c r="J3482" s="19" t="s">
        <v>1469</v>
      </c>
      <c r="K3482" s="19" t="s">
        <v>409</v>
      </c>
      <c r="L3482" s="19">
        <v>2023</v>
      </c>
      <c r="M3482" s="20">
        <v>1</v>
      </c>
      <c r="N3482" s="19" t="s">
        <v>1795</v>
      </c>
      <c r="O3482" s="20">
        <v>900</v>
      </c>
      <c r="P3482" s="20">
        <v>900</v>
      </c>
      <c r="Q3482" s="20">
        <v>0</v>
      </c>
      <c r="R3482" s="21">
        <v>1</v>
      </c>
      <c r="S3482" s="20">
        <v>0</v>
      </c>
    </row>
    <row r="3483" spans="2:19" ht="15" customHeight="1" x14ac:dyDescent="0.25">
      <c r="B3483" s="2" t="str">
        <f t="shared" si="108"/>
        <v>PGL_Income Eligible_Single Family_CBA_Health and Safety_no savings_SF</v>
      </c>
      <c r="C3483" s="2" t="str">
        <f t="shared" si="109"/>
        <v>PGL_Income Eligible_Single Family_CBA_Health and Safety_no savings_SF_2024</v>
      </c>
      <c r="D3483" s="19" t="s">
        <v>1794</v>
      </c>
      <c r="E3483" s="19" t="s">
        <v>325</v>
      </c>
      <c r="F3483" s="19" t="s">
        <v>375</v>
      </c>
      <c r="G3483" s="19" t="s">
        <v>1809</v>
      </c>
      <c r="H3483" s="19" t="s">
        <v>1437</v>
      </c>
      <c r="I3483" s="19" t="s">
        <v>1438</v>
      </c>
      <c r="J3483" s="19" t="s">
        <v>1469</v>
      </c>
      <c r="K3483" s="19" t="s">
        <v>409</v>
      </c>
      <c r="L3483" s="19">
        <v>2024</v>
      </c>
      <c r="M3483" s="20">
        <v>1</v>
      </c>
      <c r="N3483" s="19" t="s">
        <v>1795</v>
      </c>
      <c r="O3483" s="20">
        <v>940</v>
      </c>
      <c r="P3483" s="20">
        <v>940</v>
      </c>
      <c r="Q3483" s="20">
        <v>0</v>
      </c>
      <c r="R3483" s="21">
        <v>1</v>
      </c>
      <c r="S3483" s="20">
        <v>0</v>
      </c>
    </row>
    <row r="3484" spans="2:19" ht="15" customHeight="1" x14ac:dyDescent="0.25">
      <c r="B3484" s="2" t="str">
        <f t="shared" si="108"/>
        <v>PGL_Income Eligible_Single Family_CBA_Health and Safety_no savings_SF</v>
      </c>
      <c r="C3484" s="2" t="str">
        <f t="shared" si="109"/>
        <v>PGL_Income Eligible_Single Family_CBA_Health and Safety_no savings_SF_2025</v>
      </c>
      <c r="D3484" s="19" t="s">
        <v>1794</v>
      </c>
      <c r="E3484" s="19" t="s">
        <v>325</v>
      </c>
      <c r="F3484" s="19" t="s">
        <v>375</v>
      </c>
      <c r="G3484" s="19" t="s">
        <v>1809</v>
      </c>
      <c r="H3484" s="19" t="s">
        <v>1437</v>
      </c>
      <c r="I3484" s="19" t="s">
        <v>1438</v>
      </c>
      <c r="J3484" s="19" t="s">
        <v>1469</v>
      </c>
      <c r="K3484" s="19" t="s">
        <v>409</v>
      </c>
      <c r="L3484" s="19">
        <v>2025</v>
      </c>
      <c r="M3484" s="20">
        <v>1</v>
      </c>
      <c r="N3484" s="19" t="s">
        <v>1795</v>
      </c>
      <c r="O3484" s="20">
        <v>1030</v>
      </c>
      <c r="P3484" s="20">
        <v>1030</v>
      </c>
      <c r="Q3484" s="20">
        <v>0</v>
      </c>
      <c r="R3484" s="21">
        <v>1</v>
      </c>
      <c r="S3484" s="20">
        <v>0</v>
      </c>
    </row>
    <row r="3485" spans="2:19" ht="15" customHeight="1" x14ac:dyDescent="0.25">
      <c r="B3485" s="2" t="str">
        <f t="shared" si="108"/>
        <v>PGL_Income Eligible_Single Family_IHWAP_Unit Visit_0_SF</v>
      </c>
      <c r="C3485" s="2" t="str">
        <f t="shared" si="109"/>
        <v>PGL_Income Eligible_Single Family_IHWAP_Unit Visit_0_SF_2022</v>
      </c>
      <c r="D3485" s="19" t="s">
        <v>1794</v>
      </c>
      <c r="E3485" s="19" t="s">
        <v>325</v>
      </c>
      <c r="F3485" s="19" t="s">
        <v>375</v>
      </c>
      <c r="G3485" s="19" t="s">
        <v>1439</v>
      </c>
      <c r="H3485" s="19" t="s">
        <v>1090</v>
      </c>
      <c r="I3485" s="19">
        <v>0</v>
      </c>
      <c r="J3485" s="19" t="s">
        <v>1469</v>
      </c>
      <c r="K3485" s="19" t="s">
        <v>409</v>
      </c>
      <c r="L3485" s="19">
        <v>2022</v>
      </c>
      <c r="M3485" s="20">
        <v>1</v>
      </c>
      <c r="N3485" s="19" t="s">
        <v>505</v>
      </c>
      <c r="O3485" s="20">
        <v>108</v>
      </c>
      <c r="P3485" s="20">
        <v>108</v>
      </c>
      <c r="Q3485" s="20">
        <v>0</v>
      </c>
      <c r="R3485" s="21">
        <v>1</v>
      </c>
      <c r="S3485" s="20">
        <v>0</v>
      </c>
    </row>
    <row r="3486" spans="2:19" ht="15" customHeight="1" x14ac:dyDescent="0.25">
      <c r="B3486" s="2" t="str">
        <f t="shared" si="108"/>
        <v>PGL_Income Eligible_Single Family_IHWAP_Unit Visit_0_SF</v>
      </c>
      <c r="C3486" s="2" t="str">
        <f t="shared" si="109"/>
        <v>PGL_Income Eligible_Single Family_IHWAP_Unit Visit_0_SF_2023</v>
      </c>
      <c r="D3486" s="19" t="s">
        <v>1794</v>
      </c>
      <c r="E3486" s="19" t="s">
        <v>325</v>
      </c>
      <c r="F3486" s="19" t="s">
        <v>375</v>
      </c>
      <c r="G3486" s="19" t="s">
        <v>1439</v>
      </c>
      <c r="H3486" s="19" t="s">
        <v>1090</v>
      </c>
      <c r="I3486" s="19">
        <v>0</v>
      </c>
      <c r="J3486" s="19" t="s">
        <v>1469</v>
      </c>
      <c r="K3486" s="19" t="s">
        <v>409</v>
      </c>
      <c r="L3486" s="19">
        <v>2023</v>
      </c>
      <c r="M3486" s="20">
        <v>1</v>
      </c>
      <c r="N3486" s="19" t="s">
        <v>505</v>
      </c>
      <c r="O3486" s="20">
        <v>108</v>
      </c>
      <c r="P3486" s="20">
        <v>108</v>
      </c>
      <c r="Q3486" s="20">
        <v>0</v>
      </c>
      <c r="R3486" s="21">
        <v>1</v>
      </c>
      <c r="S3486" s="20">
        <v>0</v>
      </c>
    </row>
    <row r="3487" spans="2:19" ht="15" customHeight="1" x14ac:dyDescent="0.25">
      <c r="B3487" s="2" t="str">
        <f t="shared" si="108"/>
        <v>PGL_Income Eligible_Single Family_IHWAP_Unit Visit_0_SF</v>
      </c>
      <c r="C3487" s="2" t="str">
        <f t="shared" si="109"/>
        <v>PGL_Income Eligible_Single Family_IHWAP_Unit Visit_0_SF_2024</v>
      </c>
      <c r="D3487" s="19" t="s">
        <v>1794</v>
      </c>
      <c r="E3487" s="19" t="s">
        <v>325</v>
      </c>
      <c r="F3487" s="19" t="s">
        <v>375</v>
      </c>
      <c r="G3487" s="19" t="s">
        <v>1439</v>
      </c>
      <c r="H3487" s="19" t="s">
        <v>1090</v>
      </c>
      <c r="I3487" s="19">
        <v>0</v>
      </c>
      <c r="J3487" s="19" t="s">
        <v>1469</v>
      </c>
      <c r="K3487" s="19" t="s">
        <v>409</v>
      </c>
      <c r="L3487" s="19">
        <v>2024</v>
      </c>
      <c r="M3487" s="20">
        <v>1</v>
      </c>
      <c r="N3487" s="19" t="s">
        <v>505</v>
      </c>
      <c r="O3487" s="20">
        <v>108</v>
      </c>
      <c r="P3487" s="20">
        <v>108</v>
      </c>
      <c r="Q3487" s="20">
        <v>0</v>
      </c>
      <c r="R3487" s="21">
        <v>1</v>
      </c>
      <c r="S3487" s="20">
        <v>0</v>
      </c>
    </row>
    <row r="3488" spans="2:19" ht="15" customHeight="1" x14ac:dyDescent="0.25">
      <c r="B3488" s="2" t="str">
        <f t="shared" si="108"/>
        <v>PGL_Income Eligible_Single Family_IHWAP_Unit Visit_0_SF</v>
      </c>
      <c r="C3488" s="2" t="str">
        <f t="shared" si="109"/>
        <v>PGL_Income Eligible_Single Family_IHWAP_Unit Visit_0_SF_2025</v>
      </c>
      <c r="D3488" s="19" t="s">
        <v>1794</v>
      </c>
      <c r="E3488" s="19" t="s">
        <v>325</v>
      </c>
      <c r="F3488" s="19" t="s">
        <v>375</v>
      </c>
      <c r="G3488" s="19" t="s">
        <v>1439</v>
      </c>
      <c r="H3488" s="19" t="s">
        <v>1090</v>
      </c>
      <c r="I3488" s="19">
        <v>0</v>
      </c>
      <c r="J3488" s="19" t="s">
        <v>1469</v>
      </c>
      <c r="K3488" s="19" t="s">
        <v>409</v>
      </c>
      <c r="L3488" s="19">
        <v>2025</v>
      </c>
      <c r="M3488" s="20">
        <v>1</v>
      </c>
      <c r="N3488" s="19" t="s">
        <v>505</v>
      </c>
      <c r="O3488" s="20">
        <v>108</v>
      </c>
      <c r="P3488" s="20">
        <v>108</v>
      </c>
      <c r="Q3488" s="20">
        <v>0</v>
      </c>
      <c r="R3488" s="21">
        <v>1</v>
      </c>
      <c r="S3488" s="20">
        <v>0</v>
      </c>
    </row>
    <row r="3489" spans="2:19" ht="15" customHeight="1" x14ac:dyDescent="0.25">
      <c r="B3489" s="2" t="str">
        <f t="shared" si="108"/>
        <v>PGL_Income Eligible_Single Family_IHWAP_Low Flow Bathroom Aerator_0_SF</v>
      </c>
      <c r="C3489" s="2" t="str">
        <f t="shared" si="109"/>
        <v>PGL_Income Eligible_Single Family_IHWAP_Low Flow Bathroom Aerator_0_SF_2022</v>
      </c>
      <c r="D3489" s="19" t="s">
        <v>1794</v>
      </c>
      <c r="E3489" s="19" t="s">
        <v>325</v>
      </c>
      <c r="F3489" s="19" t="s">
        <v>375</v>
      </c>
      <c r="G3489" s="19" t="s">
        <v>1439</v>
      </c>
      <c r="H3489" s="19" t="s">
        <v>555</v>
      </c>
      <c r="I3489" s="19">
        <v>0</v>
      </c>
      <c r="J3489" s="19" t="s">
        <v>534</v>
      </c>
      <c r="K3489" s="19" t="s">
        <v>409</v>
      </c>
      <c r="L3489" s="19">
        <v>2022</v>
      </c>
      <c r="M3489" s="20">
        <v>1</v>
      </c>
      <c r="N3489" s="19" t="s">
        <v>1795</v>
      </c>
      <c r="O3489" s="20">
        <v>78</v>
      </c>
      <c r="P3489" s="20">
        <v>78</v>
      </c>
      <c r="Q3489" s="20">
        <v>70.930144582015558</v>
      </c>
      <c r="R3489" s="21">
        <v>1</v>
      </c>
      <c r="S3489" s="20">
        <v>70.930144582015558</v>
      </c>
    </row>
    <row r="3490" spans="2:19" ht="15" customHeight="1" x14ac:dyDescent="0.25">
      <c r="B3490" s="2" t="str">
        <f t="shared" si="108"/>
        <v>PGL_Income Eligible_Single Family_IHWAP_Low Flow Bathroom Aerator_0_SF</v>
      </c>
      <c r="C3490" s="2" t="str">
        <f t="shared" si="109"/>
        <v>PGL_Income Eligible_Single Family_IHWAP_Low Flow Bathroom Aerator_0_SF_2023</v>
      </c>
      <c r="D3490" s="19" t="s">
        <v>1794</v>
      </c>
      <c r="E3490" s="19" t="s">
        <v>325</v>
      </c>
      <c r="F3490" s="19" t="s">
        <v>375</v>
      </c>
      <c r="G3490" s="19" t="s">
        <v>1439</v>
      </c>
      <c r="H3490" s="19" t="s">
        <v>555</v>
      </c>
      <c r="I3490" s="19">
        <v>0</v>
      </c>
      <c r="J3490" s="19" t="s">
        <v>534</v>
      </c>
      <c r="K3490" s="19" t="s">
        <v>409</v>
      </c>
      <c r="L3490" s="19">
        <v>2023</v>
      </c>
      <c r="M3490" s="20">
        <v>1</v>
      </c>
      <c r="N3490" s="19" t="s">
        <v>1795</v>
      </c>
      <c r="O3490" s="20">
        <v>78</v>
      </c>
      <c r="P3490" s="20">
        <v>78</v>
      </c>
      <c r="Q3490" s="20">
        <v>70.930144582015558</v>
      </c>
      <c r="R3490" s="21">
        <v>1</v>
      </c>
      <c r="S3490" s="20">
        <v>70.930144582015558</v>
      </c>
    </row>
    <row r="3491" spans="2:19" ht="15" customHeight="1" x14ac:dyDescent="0.25">
      <c r="B3491" s="2" t="str">
        <f t="shared" si="108"/>
        <v>PGL_Income Eligible_Single Family_IHWAP_Low Flow Bathroom Aerator_0_SF</v>
      </c>
      <c r="C3491" s="2" t="str">
        <f t="shared" si="109"/>
        <v>PGL_Income Eligible_Single Family_IHWAP_Low Flow Bathroom Aerator_0_SF_2024</v>
      </c>
      <c r="D3491" s="19" t="s">
        <v>1794</v>
      </c>
      <c r="E3491" s="19" t="s">
        <v>325</v>
      </c>
      <c r="F3491" s="19" t="s">
        <v>375</v>
      </c>
      <c r="G3491" s="19" t="s">
        <v>1439</v>
      </c>
      <c r="H3491" s="19" t="s">
        <v>555</v>
      </c>
      <c r="I3491" s="19">
        <v>0</v>
      </c>
      <c r="J3491" s="19" t="s">
        <v>534</v>
      </c>
      <c r="K3491" s="19" t="s">
        <v>409</v>
      </c>
      <c r="L3491" s="19">
        <v>2024</v>
      </c>
      <c r="M3491" s="20">
        <v>1</v>
      </c>
      <c r="N3491" s="19" t="s">
        <v>1795</v>
      </c>
      <c r="O3491" s="20">
        <v>78</v>
      </c>
      <c r="P3491" s="20">
        <v>78</v>
      </c>
      <c r="Q3491" s="20">
        <v>70.930144582015558</v>
      </c>
      <c r="R3491" s="21">
        <v>1</v>
      </c>
      <c r="S3491" s="20">
        <v>70.930144582015558</v>
      </c>
    </row>
    <row r="3492" spans="2:19" ht="15" customHeight="1" x14ac:dyDescent="0.25">
      <c r="B3492" s="2" t="str">
        <f t="shared" si="108"/>
        <v>PGL_Income Eligible_Single Family_IHWAP_Low Flow Bathroom Aerator_0_SF</v>
      </c>
      <c r="C3492" s="2" t="str">
        <f t="shared" si="109"/>
        <v>PGL_Income Eligible_Single Family_IHWAP_Low Flow Bathroom Aerator_0_SF_2025</v>
      </c>
      <c r="D3492" s="19" t="s">
        <v>1794</v>
      </c>
      <c r="E3492" s="19" t="s">
        <v>325</v>
      </c>
      <c r="F3492" s="19" t="s">
        <v>375</v>
      </c>
      <c r="G3492" s="19" t="s">
        <v>1439</v>
      </c>
      <c r="H3492" s="19" t="s">
        <v>555</v>
      </c>
      <c r="I3492" s="19">
        <v>0</v>
      </c>
      <c r="J3492" s="19" t="s">
        <v>534</v>
      </c>
      <c r="K3492" s="19" t="s">
        <v>409</v>
      </c>
      <c r="L3492" s="19">
        <v>2025</v>
      </c>
      <c r="M3492" s="20">
        <v>1</v>
      </c>
      <c r="N3492" s="19" t="s">
        <v>1795</v>
      </c>
      <c r="O3492" s="20">
        <v>78</v>
      </c>
      <c r="P3492" s="20">
        <v>78</v>
      </c>
      <c r="Q3492" s="20">
        <v>70.930144582015558</v>
      </c>
      <c r="R3492" s="21">
        <v>1</v>
      </c>
      <c r="S3492" s="20">
        <v>70.930144582015558</v>
      </c>
    </row>
    <row r="3493" spans="2:19" ht="15" customHeight="1" x14ac:dyDescent="0.25">
      <c r="B3493" s="2" t="str">
        <f t="shared" si="108"/>
        <v>PGL_Income Eligible_Single Family_IHWAP_Low Flow Kitchen Aerator_0_SF</v>
      </c>
      <c r="C3493" s="2" t="str">
        <f t="shared" si="109"/>
        <v>PGL_Income Eligible_Single Family_IHWAP_Low Flow Kitchen Aerator_0_SF_2022</v>
      </c>
      <c r="D3493" s="19" t="s">
        <v>1794</v>
      </c>
      <c r="E3493" s="19" t="s">
        <v>325</v>
      </c>
      <c r="F3493" s="19" t="s">
        <v>375</v>
      </c>
      <c r="G3493" s="19" t="s">
        <v>1439</v>
      </c>
      <c r="H3493" s="19" t="s">
        <v>533</v>
      </c>
      <c r="I3493" s="19">
        <v>0</v>
      </c>
      <c r="J3493" s="19" t="s">
        <v>534</v>
      </c>
      <c r="K3493" s="19" t="s">
        <v>409</v>
      </c>
      <c r="L3493" s="19">
        <v>2022</v>
      </c>
      <c r="M3493" s="20">
        <v>1</v>
      </c>
      <c r="N3493" s="19" t="s">
        <v>1795</v>
      </c>
      <c r="O3493" s="20">
        <v>52</v>
      </c>
      <c r="P3493" s="20">
        <v>52</v>
      </c>
      <c r="Q3493" s="20">
        <v>446.86877236343986</v>
      </c>
      <c r="R3493" s="21">
        <v>1</v>
      </c>
      <c r="S3493" s="20">
        <v>446.86877236343986</v>
      </c>
    </row>
    <row r="3494" spans="2:19" ht="15" customHeight="1" x14ac:dyDescent="0.25">
      <c r="B3494" s="2" t="str">
        <f t="shared" si="108"/>
        <v>PGL_Income Eligible_Single Family_IHWAP_Low Flow Kitchen Aerator_0_SF</v>
      </c>
      <c r="C3494" s="2" t="str">
        <f t="shared" si="109"/>
        <v>PGL_Income Eligible_Single Family_IHWAP_Low Flow Kitchen Aerator_0_SF_2023</v>
      </c>
      <c r="D3494" s="19" t="s">
        <v>1794</v>
      </c>
      <c r="E3494" s="19" t="s">
        <v>325</v>
      </c>
      <c r="F3494" s="19" t="s">
        <v>375</v>
      </c>
      <c r="G3494" s="19" t="s">
        <v>1439</v>
      </c>
      <c r="H3494" s="19" t="s">
        <v>533</v>
      </c>
      <c r="I3494" s="19">
        <v>0</v>
      </c>
      <c r="J3494" s="19" t="s">
        <v>534</v>
      </c>
      <c r="K3494" s="19" t="s">
        <v>409</v>
      </c>
      <c r="L3494" s="19">
        <v>2023</v>
      </c>
      <c r="M3494" s="20">
        <v>1</v>
      </c>
      <c r="N3494" s="19" t="s">
        <v>1795</v>
      </c>
      <c r="O3494" s="20">
        <v>52</v>
      </c>
      <c r="P3494" s="20">
        <v>52</v>
      </c>
      <c r="Q3494" s="20">
        <v>446.86877236343986</v>
      </c>
      <c r="R3494" s="21">
        <v>1</v>
      </c>
      <c r="S3494" s="20">
        <v>446.86877236343986</v>
      </c>
    </row>
    <row r="3495" spans="2:19" ht="15" customHeight="1" x14ac:dyDescent="0.25">
      <c r="B3495" s="2" t="str">
        <f t="shared" si="108"/>
        <v>PGL_Income Eligible_Single Family_IHWAP_Low Flow Kitchen Aerator_0_SF</v>
      </c>
      <c r="C3495" s="2" t="str">
        <f t="shared" si="109"/>
        <v>PGL_Income Eligible_Single Family_IHWAP_Low Flow Kitchen Aerator_0_SF_2024</v>
      </c>
      <c r="D3495" s="19" t="s">
        <v>1794</v>
      </c>
      <c r="E3495" s="19" t="s">
        <v>325</v>
      </c>
      <c r="F3495" s="19" t="s">
        <v>375</v>
      </c>
      <c r="G3495" s="19" t="s">
        <v>1439</v>
      </c>
      <c r="H3495" s="19" t="s">
        <v>533</v>
      </c>
      <c r="I3495" s="19">
        <v>0</v>
      </c>
      <c r="J3495" s="19" t="s">
        <v>534</v>
      </c>
      <c r="K3495" s="19" t="s">
        <v>409</v>
      </c>
      <c r="L3495" s="19">
        <v>2024</v>
      </c>
      <c r="M3495" s="20">
        <v>1</v>
      </c>
      <c r="N3495" s="19" t="s">
        <v>1795</v>
      </c>
      <c r="O3495" s="20">
        <v>52</v>
      </c>
      <c r="P3495" s="20">
        <v>52</v>
      </c>
      <c r="Q3495" s="20">
        <v>446.86877236343986</v>
      </c>
      <c r="R3495" s="21">
        <v>1</v>
      </c>
      <c r="S3495" s="20">
        <v>446.86877236343986</v>
      </c>
    </row>
    <row r="3496" spans="2:19" ht="15" customHeight="1" x14ac:dyDescent="0.25">
      <c r="B3496" s="2" t="str">
        <f t="shared" si="108"/>
        <v>PGL_Income Eligible_Single Family_IHWAP_Low Flow Kitchen Aerator_0_SF</v>
      </c>
      <c r="C3496" s="2" t="str">
        <f t="shared" si="109"/>
        <v>PGL_Income Eligible_Single Family_IHWAP_Low Flow Kitchen Aerator_0_SF_2025</v>
      </c>
      <c r="D3496" s="19" t="s">
        <v>1794</v>
      </c>
      <c r="E3496" s="19" t="s">
        <v>325</v>
      </c>
      <c r="F3496" s="19" t="s">
        <v>375</v>
      </c>
      <c r="G3496" s="19" t="s">
        <v>1439</v>
      </c>
      <c r="H3496" s="19" t="s">
        <v>533</v>
      </c>
      <c r="I3496" s="19">
        <v>0</v>
      </c>
      <c r="J3496" s="19" t="s">
        <v>534</v>
      </c>
      <c r="K3496" s="19" t="s">
        <v>409</v>
      </c>
      <c r="L3496" s="19">
        <v>2025</v>
      </c>
      <c r="M3496" s="20">
        <v>1</v>
      </c>
      <c r="N3496" s="19" t="s">
        <v>1795</v>
      </c>
      <c r="O3496" s="20">
        <v>52</v>
      </c>
      <c r="P3496" s="20">
        <v>52</v>
      </c>
      <c r="Q3496" s="20">
        <v>446.86877236343986</v>
      </c>
      <c r="R3496" s="21">
        <v>1</v>
      </c>
      <c r="S3496" s="20">
        <v>446.86877236343986</v>
      </c>
    </row>
    <row r="3497" spans="2:19" ht="15" customHeight="1" x14ac:dyDescent="0.25">
      <c r="B3497" s="2" t="str">
        <f t="shared" si="108"/>
        <v>PGL_Income Eligible_Single Family_IHWAP_Low Flow Showerhead_0_SF</v>
      </c>
      <c r="C3497" s="2" t="str">
        <f t="shared" si="109"/>
        <v>PGL_Income Eligible_Single Family_IHWAP_Low Flow Showerhead_0_SF_2022</v>
      </c>
      <c r="D3497" s="19" t="s">
        <v>1794</v>
      </c>
      <c r="E3497" s="19" t="s">
        <v>325</v>
      </c>
      <c r="F3497" s="19" t="s">
        <v>375</v>
      </c>
      <c r="G3497" s="19" t="s">
        <v>1439</v>
      </c>
      <c r="H3497" s="19" t="s">
        <v>15</v>
      </c>
      <c r="I3497" s="19">
        <v>0</v>
      </c>
      <c r="J3497" s="19" t="s">
        <v>23</v>
      </c>
      <c r="K3497" s="19" t="s">
        <v>409</v>
      </c>
      <c r="L3497" s="19">
        <v>2022</v>
      </c>
      <c r="M3497" s="20">
        <v>1</v>
      </c>
      <c r="N3497" s="19" t="s">
        <v>1795</v>
      </c>
      <c r="O3497" s="20">
        <v>60</v>
      </c>
      <c r="P3497" s="20">
        <v>60</v>
      </c>
      <c r="Q3497" s="20">
        <v>527.35243762261825</v>
      </c>
      <c r="R3497" s="21">
        <v>1</v>
      </c>
      <c r="S3497" s="20">
        <v>527.35243762261825</v>
      </c>
    </row>
    <row r="3498" spans="2:19" ht="15" customHeight="1" x14ac:dyDescent="0.25">
      <c r="B3498" s="2" t="str">
        <f t="shared" si="108"/>
        <v>PGL_Income Eligible_Single Family_IHWAP_Low Flow Showerhead_0_SF</v>
      </c>
      <c r="C3498" s="2" t="str">
        <f t="shared" si="109"/>
        <v>PGL_Income Eligible_Single Family_IHWAP_Low Flow Showerhead_0_SF_2023</v>
      </c>
      <c r="D3498" s="19" t="s">
        <v>1794</v>
      </c>
      <c r="E3498" s="19" t="s">
        <v>325</v>
      </c>
      <c r="F3498" s="19" t="s">
        <v>375</v>
      </c>
      <c r="G3498" s="19" t="s">
        <v>1439</v>
      </c>
      <c r="H3498" s="19" t="s">
        <v>15</v>
      </c>
      <c r="I3498" s="19">
        <v>0</v>
      </c>
      <c r="J3498" s="19" t="s">
        <v>23</v>
      </c>
      <c r="K3498" s="19" t="s">
        <v>409</v>
      </c>
      <c r="L3498" s="19">
        <v>2023</v>
      </c>
      <c r="M3498" s="20">
        <v>1</v>
      </c>
      <c r="N3498" s="19" t="s">
        <v>1795</v>
      </c>
      <c r="O3498" s="20">
        <v>60</v>
      </c>
      <c r="P3498" s="20">
        <v>60</v>
      </c>
      <c r="Q3498" s="20">
        <v>527.35243762261825</v>
      </c>
      <c r="R3498" s="21">
        <v>1</v>
      </c>
      <c r="S3498" s="20">
        <v>527.35243762261825</v>
      </c>
    </row>
    <row r="3499" spans="2:19" ht="15" customHeight="1" x14ac:dyDescent="0.25">
      <c r="B3499" s="2" t="str">
        <f t="shared" si="108"/>
        <v>PGL_Income Eligible_Single Family_IHWAP_Low Flow Showerhead_0_SF</v>
      </c>
      <c r="C3499" s="2" t="str">
        <f t="shared" si="109"/>
        <v>PGL_Income Eligible_Single Family_IHWAP_Low Flow Showerhead_0_SF_2024</v>
      </c>
      <c r="D3499" s="19" t="s">
        <v>1794</v>
      </c>
      <c r="E3499" s="19" t="s">
        <v>325</v>
      </c>
      <c r="F3499" s="19" t="s">
        <v>375</v>
      </c>
      <c r="G3499" s="19" t="s">
        <v>1439</v>
      </c>
      <c r="H3499" s="19" t="s">
        <v>15</v>
      </c>
      <c r="I3499" s="19">
        <v>0</v>
      </c>
      <c r="J3499" s="19" t="s">
        <v>23</v>
      </c>
      <c r="K3499" s="19" t="s">
        <v>409</v>
      </c>
      <c r="L3499" s="19">
        <v>2024</v>
      </c>
      <c r="M3499" s="20">
        <v>1</v>
      </c>
      <c r="N3499" s="19" t="s">
        <v>1795</v>
      </c>
      <c r="O3499" s="20">
        <v>60</v>
      </c>
      <c r="P3499" s="20">
        <v>60</v>
      </c>
      <c r="Q3499" s="20">
        <v>527.35243762261825</v>
      </c>
      <c r="R3499" s="21">
        <v>1</v>
      </c>
      <c r="S3499" s="20">
        <v>527.35243762261825</v>
      </c>
    </row>
    <row r="3500" spans="2:19" ht="15" customHeight="1" x14ac:dyDescent="0.25">
      <c r="B3500" s="2" t="str">
        <f t="shared" si="108"/>
        <v>PGL_Income Eligible_Single Family_IHWAP_Low Flow Showerhead_0_SF</v>
      </c>
      <c r="C3500" s="2" t="str">
        <f t="shared" si="109"/>
        <v>PGL_Income Eligible_Single Family_IHWAP_Low Flow Showerhead_0_SF_2025</v>
      </c>
      <c r="D3500" s="19" t="s">
        <v>1794</v>
      </c>
      <c r="E3500" s="19" t="s">
        <v>325</v>
      </c>
      <c r="F3500" s="19" t="s">
        <v>375</v>
      </c>
      <c r="G3500" s="19" t="s">
        <v>1439</v>
      </c>
      <c r="H3500" s="19" t="s">
        <v>15</v>
      </c>
      <c r="I3500" s="19">
        <v>0</v>
      </c>
      <c r="J3500" s="19" t="s">
        <v>23</v>
      </c>
      <c r="K3500" s="19" t="s">
        <v>409</v>
      </c>
      <c r="L3500" s="19">
        <v>2025</v>
      </c>
      <c r="M3500" s="20">
        <v>1</v>
      </c>
      <c r="N3500" s="19" t="s">
        <v>1795</v>
      </c>
      <c r="O3500" s="20">
        <v>60</v>
      </c>
      <c r="P3500" s="20">
        <v>60</v>
      </c>
      <c r="Q3500" s="20">
        <v>527.35243762261825</v>
      </c>
      <c r="R3500" s="21">
        <v>1</v>
      </c>
      <c r="S3500" s="20">
        <v>527.35243762261825</v>
      </c>
    </row>
    <row r="3501" spans="2:19" ht="15" customHeight="1" x14ac:dyDescent="0.25">
      <c r="B3501" s="2" t="str">
        <f t="shared" si="108"/>
        <v>PGL_Income Eligible_Single Family_IHWAP_Pipe Insulation_DHW_SF</v>
      </c>
      <c r="C3501" s="2" t="str">
        <f t="shared" si="109"/>
        <v>PGL_Income Eligible_Single Family_IHWAP_Pipe Insulation_DHW_SF_2022</v>
      </c>
      <c r="D3501" s="19" t="s">
        <v>1794</v>
      </c>
      <c r="E3501" s="19" t="s">
        <v>325</v>
      </c>
      <c r="F3501" s="19" t="s">
        <v>375</v>
      </c>
      <c r="G3501" s="19" t="s">
        <v>1439</v>
      </c>
      <c r="H3501" s="19" t="s">
        <v>404</v>
      </c>
      <c r="I3501" s="19" t="s">
        <v>1019</v>
      </c>
      <c r="J3501" s="19" t="s">
        <v>1008</v>
      </c>
      <c r="K3501" s="19" t="s">
        <v>409</v>
      </c>
      <c r="L3501" s="19">
        <v>2022</v>
      </c>
      <c r="M3501" s="20">
        <v>3</v>
      </c>
      <c r="N3501" s="19" t="s">
        <v>1796</v>
      </c>
      <c r="O3501" s="20">
        <v>108</v>
      </c>
      <c r="P3501" s="20">
        <v>324</v>
      </c>
      <c r="Q3501" s="20">
        <v>285.98401247574594</v>
      </c>
      <c r="R3501" s="21">
        <v>1</v>
      </c>
      <c r="S3501" s="20">
        <v>285.98401247574594</v>
      </c>
    </row>
    <row r="3502" spans="2:19" ht="15" customHeight="1" x14ac:dyDescent="0.25">
      <c r="B3502" s="2" t="str">
        <f t="shared" si="108"/>
        <v>PGL_Income Eligible_Single Family_IHWAP_Pipe Insulation_DHW_SF</v>
      </c>
      <c r="C3502" s="2" t="str">
        <f t="shared" si="109"/>
        <v>PGL_Income Eligible_Single Family_IHWAP_Pipe Insulation_DHW_SF_2023</v>
      </c>
      <c r="D3502" s="19" t="s">
        <v>1794</v>
      </c>
      <c r="E3502" s="19" t="s">
        <v>325</v>
      </c>
      <c r="F3502" s="19" t="s">
        <v>375</v>
      </c>
      <c r="G3502" s="19" t="s">
        <v>1439</v>
      </c>
      <c r="H3502" s="19" t="s">
        <v>404</v>
      </c>
      <c r="I3502" s="19" t="s">
        <v>1019</v>
      </c>
      <c r="J3502" s="19" t="s">
        <v>1008</v>
      </c>
      <c r="K3502" s="19" t="s">
        <v>409</v>
      </c>
      <c r="L3502" s="19">
        <v>2023</v>
      </c>
      <c r="M3502" s="20">
        <v>3</v>
      </c>
      <c r="N3502" s="19" t="s">
        <v>1796</v>
      </c>
      <c r="O3502" s="20">
        <v>108</v>
      </c>
      <c r="P3502" s="20">
        <v>324</v>
      </c>
      <c r="Q3502" s="20">
        <v>285.98401247574594</v>
      </c>
      <c r="R3502" s="21">
        <v>1</v>
      </c>
      <c r="S3502" s="20">
        <v>285.98401247574594</v>
      </c>
    </row>
    <row r="3503" spans="2:19" ht="15" customHeight="1" x14ac:dyDescent="0.25">
      <c r="B3503" s="2" t="str">
        <f t="shared" si="108"/>
        <v>PGL_Income Eligible_Single Family_IHWAP_Pipe Insulation_DHW_SF</v>
      </c>
      <c r="C3503" s="2" t="str">
        <f t="shared" si="109"/>
        <v>PGL_Income Eligible_Single Family_IHWAP_Pipe Insulation_DHW_SF_2024</v>
      </c>
      <c r="D3503" s="19" t="s">
        <v>1794</v>
      </c>
      <c r="E3503" s="19" t="s">
        <v>325</v>
      </c>
      <c r="F3503" s="19" t="s">
        <v>375</v>
      </c>
      <c r="G3503" s="19" t="s">
        <v>1439</v>
      </c>
      <c r="H3503" s="19" t="s">
        <v>404</v>
      </c>
      <c r="I3503" s="19" t="s">
        <v>1019</v>
      </c>
      <c r="J3503" s="19" t="s">
        <v>1008</v>
      </c>
      <c r="K3503" s="19" t="s">
        <v>409</v>
      </c>
      <c r="L3503" s="19">
        <v>2024</v>
      </c>
      <c r="M3503" s="20">
        <v>3</v>
      </c>
      <c r="N3503" s="19" t="s">
        <v>1796</v>
      </c>
      <c r="O3503" s="20">
        <v>108</v>
      </c>
      <c r="P3503" s="20">
        <v>324</v>
      </c>
      <c r="Q3503" s="20">
        <v>285.98401247574594</v>
      </c>
      <c r="R3503" s="21">
        <v>1</v>
      </c>
      <c r="S3503" s="20">
        <v>285.98401247574594</v>
      </c>
    </row>
    <row r="3504" spans="2:19" ht="15" customHeight="1" x14ac:dyDescent="0.25">
      <c r="B3504" s="2" t="str">
        <f t="shared" si="108"/>
        <v>PGL_Income Eligible_Single Family_IHWAP_Pipe Insulation_DHW_SF</v>
      </c>
      <c r="C3504" s="2" t="str">
        <f t="shared" si="109"/>
        <v>PGL_Income Eligible_Single Family_IHWAP_Pipe Insulation_DHW_SF_2025</v>
      </c>
      <c r="D3504" s="19" t="s">
        <v>1794</v>
      </c>
      <c r="E3504" s="19" t="s">
        <v>325</v>
      </c>
      <c r="F3504" s="19" t="s">
        <v>375</v>
      </c>
      <c r="G3504" s="19" t="s">
        <v>1439</v>
      </c>
      <c r="H3504" s="19" t="s">
        <v>404</v>
      </c>
      <c r="I3504" s="19" t="s">
        <v>1019</v>
      </c>
      <c r="J3504" s="19" t="s">
        <v>1008</v>
      </c>
      <c r="K3504" s="19" t="s">
        <v>409</v>
      </c>
      <c r="L3504" s="19">
        <v>2025</v>
      </c>
      <c r="M3504" s="20">
        <v>3</v>
      </c>
      <c r="N3504" s="19" t="s">
        <v>1796</v>
      </c>
      <c r="O3504" s="20">
        <v>108</v>
      </c>
      <c r="P3504" s="20">
        <v>324</v>
      </c>
      <c r="Q3504" s="20">
        <v>285.98401247574594</v>
      </c>
      <c r="R3504" s="21">
        <v>1</v>
      </c>
      <c r="S3504" s="20">
        <v>285.98401247574594</v>
      </c>
    </row>
    <row r="3505" spans="2:19" ht="15" customHeight="1" x14ac:dyDescent="0.25">
      <c r="B3505" s="2" t="str">
        <f t="shared" si="108"/>
        <v>PGL_Income Eligible_Single Family_IHWAP_Pipe Insulation_Boiler_SF</v>
      </c>
      <c r="C3505" s="2" t="str">
        <f t="shared" si="109"/>
        <v>PGL_Income Eligible_Single Family_IHWAP_Pipe Insulation_Boiler_SF_2022</v>
      </c>
      <c r="D3505" s="19" t="s">
        <v>1794</v>
      </c>
      <c r="E3505" s="19" t="s">
        <v>325</v>
      </c>
      <c r="F3505" s="19" t="s">
        <v>375</v>
      </c>
      <c r="G3505" s="19" t="s">
        <v>1439</v>
      </c>
      <c r="H3505" s="19" t="s">
        <v>404</v>
      </c>
      <c r="I3505" s="19" t="s">
        <v>944</v>
      </c>
      <c r="J3505" s="19" t="s">
        <v>1008</v>
      </c>
      <c r="K3505" s="19" t="s">
        <v>409</v>
      </c>
      <c r="L3505" s="19">
        <v>2022</v>
      </c>
      <c r="M3505" s="20">
        <v>3</v>
      </c>
      <c r="N3505" s="19" t="s">
        <v>1796</v>
      </c>
      <c r="O3505" s="20">
        <v>97</v>
      </c>
      <c r="P3505" s="20">
        <v>291</v>
      </c>
      <c r="Q3505" s="20">
        <v>1.8925135495298542</v>
      </c>
      <c r="R3505" s="21">
        <v>1</v>
      </c>
      <c r="S3505" s="20">
        <v>1.8925135495298542</v>
      </c>
    </row>
    <row r="3506" spans="2:19" ht="15" customHeight="1" x14ac:dyDescent="0.25">
      <c r="B3506" s="2" t="str">
        <f t="shared" si="108"/>
        <v>PGL_Income Eligible_Single Family_IHWAP_Pipe Insulation_Boiler_SF</v>
      </c>
      <c r="C3506" s="2" t="str">
        <f t="shared" si="109"/>
        <v>PGL_Income Eligible_Single Family_IHWAP_Pipe Insulation_Boiler_SF_2023</v>
      </c>
      <c r="D3506" s="19" t="s">
        <v>1794</v>
      </c>
      <c r="E3506" s="19" t="s">
        <v>325</v>
      </c>
      <c r="F3506" s="19" t="s">
        <v>375</v>
      </c>
      <c r="G3506" s="19" t="s">
        <v>1439</v>
      </c>
      <c r="H3506" s="19" t="s">
        <v>404</v>
      </c>
      <c r="I3506" s="19" t="s">
        <v>944</v>
      </c>
      <c r="J3506" s="19" t="s">
        <v>1008</v>
      </c>
      <c r="K3506" s="19" t="s">
        <v>409</v>
      </c>
      <c r="L3506" s="19">
        <v>2023</v>
      </c>
      <c r="M3506" s="20">
        <v>3</v>
      </c>
      <c r="N3506" s="19" t="s">
        <v>1796</v>
      </c>
      <c r="O3506" s="20">
        <v>97</v>
      </c>
      <c r="P3506" s="20">
        <v>291</v>
      </c>
      <c r="Q3506" s="20">
        <v>1.8925135495298542</v>
      </c>
      <c r="R3506" s="21">
        <v>1</v>
      </c>
      <c r="S3506" s="20">
        <v>1.8925135495298542</v>
      </c>
    </row>
    <row r="3507" spans="2:19" ht="15" customHeight="1" x14ac:dyDescent="0.25">
      <c r="B3507" s="2" t="str">
        <f t="shared" si="108"/>
        <v>PGL_Income Eligible_Single Family_IHWAP_Pipe Insulation_Boiler_SF</v>
      </c>
      <c r="C3507" s="2" t="str">
        <f t="shared" si="109"/>
        <v>PGL_Income Eligible_Single Family_IHWAP_Pipe Insulation_Boiler_SF_2024</v>
      </c>
      <c r="D3507" s="19" t="s">
        <v>1794</v>
      </c>
      <c r="E3507" s="19" t="s">
        <v>325</v>
      </c>
      <c r="F3507" s="19" t="s">
        <v>375</v>
      </c>
      <c r="G3507" s="19" t="s">
        <v>1439</v>
      </c>
      <c r="H3507" s="19" t="s">
        <v>404</v>
      </c>
      <c r="I3507" s="19" t="s">
        <v>944</v>
      </c>
      <c r="J3507" s="19" t="s">
        <v>1008</v>
      </c>
      <c r="K3507" s="19" t="s">
        <v>409</v>
      </c>
      <c r="L3507" s="19">
        <v>2024</v>
      </c>
      <c r="M3507" s="20">
        <v>3</v>
      </c>
      <c r="N3507" s="19" t="s">
        <v>1796</v>
      </c>
      <c r="O3507" s="20">
        <v>97</v>
      </c>
      <c r="P3507" s="20">
        <v>291</v>
      </c>
      <c r="Q3507" s="20">
        <v>1.8925135495298542</v>
      </c>
      <c r="R3507" s="21">
        <v>1</v>
      </c>
      <c r="S3507" s="20">
        <v>1.8925135495298542</v>
      </c>
    </row>
    <row r="3508" spans="2:19" ht="15" customHeight="1" x14ac:dyDescent="0.25">
      <c r="B3508" s="2" t="str">
        <f t="shared" si="108"/>
        <v>PGL_Income Eligible_Single Family_IHWAP_Pipe Insulation_Boiler_SF</v>
      </c>
      <c r="C3508" s="2" t="str">
        <f t="shared" si="109"/>
        <v>PGL_Income Eligible_Single Family_IHWAP_Pipe Insulation_Boiler_SF_2025</v>
      </c>
      <c r="D3508" s="19" t="s">
        <v>1794</v>
      </c>
      <c r="E3508" s="19" t="s">
        <v>325</v>
      </c>
      <c r="F3508" s="19" t="s">
        <v>375</v>
      </c>
      <c r="G3508" s="19" t="s">
        <v>1439</v>
      </c>
      <c r="H3508" s="19" t="s">
        <v>404</v>
      </c>
      <c r="I3508" s="19" t="s">
        <v>944</v>
      </c>
      <c r="J3508" s="19" t="s">
        <v>1008</v>
      </c>
      <c r="K3508" s="19" t="s">
        <v>409</v>
      </c>
      <c r="L3508" s="19">
        <v>2025</v>
      </c>
      <c r="M3508" s="20">
        <v>3</v>
      </c>
      <c r="N3508" s="19" t="s">
        <v>1796</v>
      </c>
      <c r="O3508" s="20">
        <v>97</v>
      </c>
      <c r="P3508" s="20">
        <v>291</v>
      </c>
      <c r="Q3508" s="20">
        <v>1.8925135495298542</v>
      </c>
      <c r="R3508" s="21">
        <v>1</v>
      </c>
      <c r="S3508" s="20">
        <v>1.8925135495298542</v>
      </c>
    </row>
    <row r="3509" spans="2:19" ht="15" customHeight="1" x14ac:dyDescent="0.25">
      <c r="B3509" s="2" t="str">
        <f t="shared" si="108"/>
        <v>PGL_Income Eligible_Single Family_IHWAP_Programmable Thermostat_Furnace (DI)_SF</v>
      </c>
      <c r="C3509" s="2" t="str">
        <f t="shared" si="109"/>
        <v>PGL_Income Eligible_Single Family_IHWAP_Programmable Thermostat_Furnace (DI)_SF_2022</v>
      </c>
      <c r="D3509" s="19" t="s">
        <v>1794</v>
      </c>
      <c r="E3509" s="19" t="s">
        <v>325</v>
      </c>
      <c r="F3509" s="19" t="s">
        <v>375</v>
      </c>
      <c r="G3509" s="19" t="s">
        <v>1439</v>
      </c>
      <c r="H3509" s="19" t="s">
        <v>224</v>
      </c>
      <c r="I3509" s="19" t="s">
        <v>1038</v>
      </c>
      <c r="J3509" s="19" t="s">
        <v>24</v>
      </c>
      <c r="K3509" s="19" t="s">
        <v>409</v>
      </c>
      <c r="L3509" s="19">
        <v>2022</v>
      </c>
      <c r="M3509" s="20">
        <v>1</v>
      </c>
      <c r="N3509" s="19" t="s">
        <v>1795</v>
      </c>
      <c r="O3509" s="20">
        <v>11</v>
      </c>
      <c r="P3509" s="20">
        <v>11</v>
      </c>
      <c r="Q3509" s="20">
        <v>685.41000000000008</v>
      </c>
      <c r="R3509" s="21">
        <v>1</v>
      </c>
      <c r="S3509" s="20">
        <v>685.41000000000008</v>
      </c>
    </row>
    <row r="3510" spans="2:19" ht="15" customHeight="1" x14ac:dyDescent="0.25">
      <c r="B3510" s="2" t="str">
        <f t="shared" si="108"/>
        <v>PGL_Income Eligible_Single Family_IHWAP_Programmable Thermostat_Furnace (DI)_SF</v>
      </c>
      <c r="C3510" s="2" t="str">
        <f t="shared" si="109"/>
        <v>PGL_Income Eligible_Single Family_IHWAP_Programmable Thermostat_Furnace (DI)_SF_2023</v>
      </c>
      <c r="D3510" s="19" t="s">
        <v>1794</v>
      </c>
      <c r="E3510" s="19" t="s">
        <v>325</v>
      </c>
      <c r="F3510" s="19" t="s">
        <v>375</v>
      </c>
      <c r="G3510" s="19" t="s">
        <v>1439</v>
      </c>
      <c r="H3510" s="19" t="s">
        <v>224</v>
      </c>
      <c r="I3510" s="19" t="s">
        <v>1038</v>
      </c>
      <c r="J3510" s="19" t="s">
        <v>24</v>
      </c>
      <c r="K3510" s="19" t="s">
        <v>409</v>
      </c>
      <c r="L3510" s="19">
        <v>2023</v>
      </c>
      <c r="M3510" s="20">
        <v>1</v>
      </c>
      <c r="N3510" s="19" t="s">
        <v>1795</v>
      </c>
      <c r="O3510" s="20">
        <v>11</v>
      </c>
      <c r="P3510" s="20">
        <v>11</v>
      </c>
      <c r="Q3510" s="20">
        <v>685.41000000000008</v>
      </c>
      <c r="R3510" s="21">
        <v>1</v>
      </c>
      <c r="S3510" s="20">
        <v>685.41000000000008</v>
      </c>
    </row>
    <row r="3511" spans="2:19" ht="15" customHeight="1" x14ac:dyDescent="0.25">
      <c r="B3511" s="2" t="str">
        <f t="shared" si="108"/>
        <v>PGL_Income Eligible_Single Family_IHWAP_Programmable Thermostat_Furnace (DI)_SF</v>
      </c>
      <c r="C3511" s="2" t="str">
        <f t="shared" si="109"/>
        <v>PGL_Income Eligible_Single Family_IHWAP_Programmable Thermostat_Furnace (DI)_SF_2024</v>
      </c>
      <c r="D3511" s="19" t="s">
        <v>1794</v>
      </c>
      <c r="E3511" s="19" t="s">
        <v>325</v>
      </c>
      <c r="F3511" s="19" t="s">
        <v>375</v>
      </c>
      <c r="G3511" s="19" t="s">
        <v>1439</v>
      </c>
      <c r="H3511" s="19" t="s">
        <v>224</v>
      </c>
      <c r="I3511" s="19" t="s">
        <v>1038</v>
      </c>
      <c r="J3511" s="19" t="s">
        <v>24</v>
      </c>
      <c r="K3511" s="19" t="s">
        <v>409</v>
      </c>
      <c r="L3511" s="19">
        <v>2024</v>
      </c>
      <c r="M3511" s="20">
        <v>1</v>
      </c>
      <c r="N3511" s="19" t="s">
        <v>1795</v>
      </c>
      <c r="O3511" s="20">
        <v>11</v>
      </c>
      <c r="P3511" s="20">
        <v>11</v>
      </c>
      <c r="Q3511" s="20">
        <v>685.41000000000008</v>
      </c>
      <c r="R3511" s="21">
        <v>1</v>
      </c>
      <c r="S3511" s="20">
        <v>685.41000000000008</v>
      </c>
    </row>
    <row r="3512" spans="2:19" ht="15" customHeight="1" x14ac:dyDescent="0.25">
      <c r="B3512" s="2" t="str">
        <f t="shared" si="108"/>
        <v>PGL_Income Eligible_Single Family_IHWAP_Programmable Thermostat_Furnace (DI)_SF</v>
      </c>
      <c r="C3512" s="2" t="str">
        <f t="shared" si="109"/>
        <v>PGL_Income Eligible_Single Family_IHWAP_Programmable Thermostat_Furnace (DI)_SF_2025</v>
      </c>
      <c r="D3512" s="19" t="s">
        <v>1794</v>
      </c>
      <c r="E3512" s="19" t="s">
        <v>325</v>
      </c>
      <c r="F3512" s="19" t="s">
        <v>375</v>
      </c>
      <c r="G3512" s="19" t="s">
        <v>1439</v>
      </c>
      <c r="H3512" s="19" t="s">
        <v>224</v>
      </c>
      <c r="I3512" s="19" t="s">
        <v>1038</v>
      </c>
      <c r="J3512" s="19" t="s">
        <v>24</v>
      </c>
      <c r="K3512" s="19" t="s">
        <v>409</v>
      </c>
      <c r="L3512" s="19">
        <v>2025</v>
      </c>
      <c r="M3512" s="20">
        <v>1</v>
      </c>
      <c r="N3512" s="19" t="s">
        <v>1795</v>
      </c>
      <c r="O3512" s="20">
        <v>11</v>
      </c>
      <c r="P3512" s="20">
        <v>11</v>
      </c>
      <c r="Q3512" s="20">
        <v>685.41000000000008</v>
      </c>
      <c r="R3512" s="21">
        <v>1</v>
      </c>
      <c r="S3512" s="20">
        <v>685.41000000000008</v>
      </c>
    </row>
    <row r="3513" spans="2:19" ht="15" customHeight="1" x14ac:dyDescent="0.25">
      <c r="B3513" s="2" t="str">
        <f t="shared" si="108"/>
        <v>PGL_Income Eligible_Single Family_IHWAP_Programmable Thermostat_Boiler (DI)_SF</v>
      </c>
      <c r="C3513" s="2" t="str">
        <f t="shared" si="109"/>
        <v>PGL_Income Eligible_Single Family_IHWAP_Programmable Thermostat_Boiler (DI)_SF_2022</v>
      </c>
      <c r="D3513" s="19" t="s">
        <v>1794</v>
      </c>
      <c r="E3513" s="19" t="s">
        <v>325</v>
      </c>
      <c r="F3513" s="19" t="s">
        <v>375</v>
      </c>
      <c r="G3513" s="19" t="s">
        <v>1439</v>
      </c>
      <c r="H3513" s="19" t="s">
        <v>224</v>
      </c>
      <c r="I3513" s="19" t="s">
        <v>1045</v>
      </c>
      <c r="J3513" s="19" t="s">
        <v>24</v>
      </c>
      <c r="K3513" s="19" t="s">
        <v>409</v>
      </c>
      <c r="L3513" s="19">
        <v>2022</v>
      </c>
      <c r="M3513" s="20">
        <v>1</v>
      </c>
      <c r="N3513" s="19" t="s">
        <v>1795</v>
      </c>
      <c r="O3513" s="20">
        <v>11</v>
      </c>
      <c r="P3513" s="20">
        <v>11</v>
      </c>
      <c r="Q3513" s="20">
        <v>1014.134</v>
      </c>
      <c r="R3513" s="21">
        <v>1</v>
      </c>
      <c r="S3513" s="20">
        <v>1014.134</v>
      </c>
    </row>
    <row r="3514" spans="2:19" ht="15" customHeight="1" x14ac:dyDescent="0.25">
      <c r="B3514" s="2" t="str">
        <f t="shared" si="108"/>
        <v>PGL_Income Eligible_Single Family_IHWAP_Programmable Thermostat_Boiler (DI)_SF</v>
      </c>
      <c r="C3514" s="2" t="str">
        <f t="shared" si="109"/>
        <v>PGL_Income Eligible_Single Family_IHWAP_Programmable Thermostat_Boiler (DI)_SF_2023</v>
      </c>
      <c r="D3514" s="19" t="s">
        <v>1794</v>
      </c>
      <c r="E3514" s="19" t="s">
        <v>325</v>
      </c>
      <c r="F3514" s="19" t="s">
        <v>375</v>
      </c>
      <c r="G3514" s="19" t="s">
        <v>1439</v>
      </c>
      <c r="H3514" s="19" t="s">
        <v>224</v>
      </c>
      <c r="I3514" s="19" t="s">
        <v>1045</v>
      </c>
      <c r="J3514" s="19" t="s">
        <v>24</v>
      </c>
      <c r="K3514" s="19" t="s">
        <v>409</v>
      </c>
      <c r="L3514" s="19">
        <v>2023</v>
      </c>
      <c r="M3514" s="20">
        <v>1</v>
      </c>
      <c r="N3514" s="19" t="s">
        <v>1795</v>
      </c>
      <c r="O3514" s="20">
        <v>11</v>
      </c>
      <c r="P3514" s="20">
        <v>11</v>
      </c>
      <c r="Q3514" s="20">
        <v>1014.134</v>
      </c>
      <c r="R3514" s="21">
        <v>1</v>
      </c>
      <c r="S3514" s="20">
        <v>1014.134</v>
      </c>
    </row>
    <row r="3515" spans="2:19" ht="15" customHeight="1" x14ac:dyDescent="0.25">
      <c r="B3515" s="2" t="str">
        <f t="shared" si="108"/>
        <v>PGL_Income Eligible_Single Family_IHWAP_Programmable Thermostat_Boiler (DI)_SF</v>
      </c>
      <c r="C3515" s="2" t="str">
        <f t="shared" si="109"/>
        <v>PGL_Income Eligible_Single Family_IHWAP_Programmable Thermostat_Boiler (DI)_SF_2024</v>
      </c>
      <c r="D3515" s="19" t="s">
        <v>1794</v>
      </c>
      <c r="E3515" s="19" t="s">
        <v>325</v>
      </c>
      <c r="F3515" s="19" t="s">
        <v>375</v>
      </c>
      <c r="G3515" s="19" t="s">
        <v>1439</v>
      </c>
      <c r="H3515" s="19" t="s">
        <v>224</v>
      </c>
      <c r="I3515" s="19" t="s">
        <v>1045</v>
      </c>
      <c r="J3515" s="19" t="s">
        <v>24</v>
      </c>
      <c r="K3515" s="19" t="s">
        <v>409</v>
      </c>
      <c r="L3515" s="19">
        <v>2024</v>
      </c>
      <c r="M3515" s="20">
        <v>1</v>
      </c>
      <c r="N3515" s="19" t="s">
        <v>1795</v>
      </c>
      <c r="O3515" s="20">
        <v>11</v>
      </c>
      <c r="P3515" s="20">
        <v>11</v>
      </c>
      <c r="Q3515" s="20">
        <v>1014.134</v>
      </c>
      <c r="R3515" s="21">
        <v>1</v>
      </c>
      <c r="S3515" s="20">
        <v>1014.134</v>
      </c>
    </row>
    <row r="3516" spans="2:19" ht="15" customHeight="1" x14ac:dyDescent="0.25">
      <c r="B3516" s="2" t="str">
        <f t="shared" si="108"/>
        <v>PGL_Income Eligible_Single Family_IHWAP_Programmable Thermostat_Boiler (DI)_SF</v>
      </c>
      <c r="C3516" s="2" t="str">
        <f t="shared" si="109"/>
        <v>PGL_Income Eligible_Single Family_IHWAP_Programmable Thermostat_Boiler (DI)_SF_2025</v>
      </c>
      <c r="D3516" s="19" t="s">
        <v>1794</v>
      </c>
      <c r="E3516" s="19" t="s">
        <v>325</v>
      </c>
      <c r="F3516" s="19" t="s">
        <v>375</v>
      </c>
      <c r="G3516" s="19" t="s">
        <v>1439</v>
      </c>
      <c r="H3516" s="19" t="s">
        <v>224</v>
      </c>
      <c r="I3516" s="19" t="s">
        <v>1045</v>
      </c>
      <c r="J3516" s="19" t="s">
        <v>24</v>
      </c>
      <c r="K3516" s="19" t="s">
        <v>409</v>
      </c>
      <c r="L3516" s="19">
        <v>2025</v>
      </c>
      <c r="M3516" s="20">
        <v>1</v>
      </c>
      <c r="N3516" s="19" t="s">
        <v>1795</v>
      </c>
      <c r="O3516" s="20">
        <v>11</v>
      </c>
      <c r="P3516" s="20">
        <v>11</v>
      </c>
      <c r="Q3516" s="20">
        <v>1014.134</v>
      </c>
      <c r="R3516" s="21">
        <v>1</v>
      </c>
      <c r="S3516" s="20">
        <v>1014.134</v>
      </c>
    </row>
    <row r="3517" spans="2:19" ht="15" customHeight="1" x14ac:dyDescent="0.25">
      <c r="B3517" s="2" t="str">
        <f t="shared" si="108"/>
        <v>PGL_Income Eligible_Single Family_IHWAP_Advanced Thermostat_Furnace (Replace Manual)_SF</v>
      </c>
      <c r="C3517" s="2" t="str">
        <f t="shared" si="109"/>
        <v>PGL_Income Eligible_Single Family_IHWAP_Advanced Thermostat_Furnace (Replace Manual)_SF_2022</v>
      </c>
      <c r="D3517" s="19" t="s">
        <v>1794</v>
      </c>
      <c r="E3517" s="19" t="s">
        <v>325</v>
      </c>
      <c r="F3517" s="19" t="s">
        <v>375</v>
      </c>
      <c r="G3517" s="19" t="s">
        <v>1439</v>
      </c>
      <c r="H3517" s="19" t="s">
        <v>7</v>
      </c>
      <c r="I3517" s="19" t="s">
        <v>1047</v>
      </c>
      <c r="J3517" s="19" t="s">
        <v>24</v>
      </c>
      <c r="K3517" s="19" t="s">
        <v>409</v>
      </c>
      <c r="L3517" s="19">
        <v>2022</v>
      </c>
      <c r="M3517" s="20">
        <v>1</v>
      </c>
      <c r="N3517" s="19" t="s">
        <v>1795</v>
      </c>
      <c r="O3517" s="20">
        <v>14</v>
      </c>
      <c r="P3517" s="20">
        <v>14</v>
      </c>
      <c r="Q3517" s="20">
        <v>1463.28</v>
      </c>
      <c r="R3517" s="21">
        <v>1</v>
      </c>
      <c r="S3517" s="20">
        <v>1463.28</v>
      </c>
    </row>
    <row r="3518" spans="2:19" ht="15" customHeight="1" x14ac:dyDescent="0.25">
      <c r="B3518" s="2" t="str">
        <f t="shared" si="108"/>
        <v>PGL_Income Eligible_Single Family_IHWAP_Advanced Thermostat_Furnace (Replace Manual)_SF</v>
      </c>
      <c r="C3518" s="2" t="str">
        <f t="shared" si="109"/>
        <v>PGL_Income Eligible_Single Family_IHWAP_Advanced Thermostat_Furnace (Replace Manual)_SF_2023</v>
      </c>
      <c r="D3518" s="19" t="s">
        <v>1794</v>
      </c>
      <c r="E3518" s="19" t="s">
        <v>325</v>
      </c>
      <c r="F3518" s="19" t="s">
        <v>375</v>
      </c>
      <c r="G3518" s="19" t="s">
        <v>1439</v>
      </c>
      <c r="H3518" s="19" t="s">
        <v>7</v>
      </c>
      <c r="I3518" s="19" t="s">
        <v>1047</v>
      </c>
      <c r="J3518" s="19" t="s">
        <v>24</v>
      </c>
      <c r="K3518" s="19" t="s">
        <v>409</v>
      </c>
      <c r="L3518" s="19">
        <v>2023</v>
      </c>
      <c r="M3518" s="20">
        <v>1</v>
      </c>
      <c r="N3518" s="19" t="s">
        <v>1795</v>
      </c>
      <c r="O3518" s="20">
        <v>14</v>
      </c>
      <c r="P3518" s="20">
        <v>14</v>
      </c>
      <c r="Q3518" s="20">
        <v>1463.28</v>
      </c>
      <c r="R3518" s="21">
        <v>1</v>
      </c>
      <c r="S3518" s="20">
        <v>1463.28</v>
      </c>
    </row>
    <row r="3519" spans="2:19" ht="15" customHeight="1" x14ac:dyDescent="0.25">
      <c r="B3519" s="2" t="str">
        <f t="shared" si="108"/>
        <v>PGL_Income Eligible_Single Family_IHWAP_Advanced Thermostat_Furnace (Replace Manual)_SF</v>
      </c>
      <c r="C3519" s="2" t="str">
        <f t="shared" si="109"/>
        <v>PGL_Income Eligible_Single Family_IHWAP_Advanced Thermostat_Furnace (Replace Manual)_SF_2024</v>
      </c>
      <c r="D3519" s="19" t="s">
        <v>1794</v>
      </c>
      <c r="E3519" s="19" t="s">
        <v>325</v>
      </c>
      <c r="F3519" s="19" t="s">
        <v>375</v>
      </c>
      <c r="G3519" s="19" t="s">
        <v>1439</v>
      </c>
      <c r="H3519" s="19" t="s">
        <v>7</v>
      </c>
      <c r="I3519" s="19" t="s">
        <v>1047</v>
      </c>
      <c r="J3519" s="19" t="s">
        <v>24</v>
      </c>
      <c r="K3519" s="19" t="s">
        <v>409</v>
      </c>
      <c r="L3519" s="19">
        <v>2024</v>
      </c>
      <c r="M3519" s="20">
        <v>1</v>
      </c>
      <c r="N3519" s="19" t="s">
        <v>1795</v>
      </c>
      <c r="O3519" s="20">
        <v>14</v>
      </c>
      <c r="P3519" s="20">
        <v>14</v>
      </c>
      <c r="Q3519" s="20">
        <v>1463.28</v>
      </c>
      <c r="R3519" s="21">
        <v>1</v>
      </c>
      <c r="S3519" s="20">
        <v>1463.28</v>
      </c>
    </row>
    <row r="3520" spans="2:19" ht="15" customHeight="1" x14ac:dyDescent="0.25">
      <c r="B3520" s="2" t="str">
        <f t="shared" si="108"/>
        <v>PGL_Income Eligible_Single Family_IHWAP_Advanced Thermostat_Furnace (Replace Manual)_SF</v>
      </c>
      <c r="C3520" s="2" t="str">
        <f t="shared" si="109"/>
        <v>PGL_Income Eligible_Single Family_IHWAP_Advanced Thermostat_Furnace (Replace Manual)_SF_2025</v>
      </c>
      <c r="D3520" s="19" t="s">
        <v>1794</v>
      </c>
      <c r="E3520" s="19" t="s">
        <v>325</v>
      </c>
      <c r="F3520" s="19" t="s">
        <v>375</v>
      </c>
      <c r="G3520" s="19" t="s">
        <v>1439</v>
      </c>
      <c r="H3520" s="19" t="s">
        <v>7</v>
      </c>
      <c r="I3520" s="19" t="s">
        <v>1047</v>
      </c>
      <c r="J3520" s="19" t="s">
        <v>24</v>
      </c>
      <c r="K3520" s="19" t="s">
        <v>409</v>
      </c>
      <c r="L3520" s="19">
        <v>2025</v>
      </c>
      <c r="M3520" s="20">
        <v>1</v>
      </c>
      <c r="N3520" s="19" t="s">
        <v>1795</v>
      </c>
      <c r="O3520" s="20">
        <v>14</v>
      </c>
      <c r="P3520" s="20">
        <v>14</v>
      </c>
      <c r="Q3520" s="20">
        <v>1463.28</v>
      </c>
      <c r="R3520" s="21">
        <v>1</v>
      </c>
      <c r="S3520" s="20">
        <v>1463.28</v>
      </c>
    </row>
    <row r="3521" spans="2:19" ht="15" customHeight="1" x14ac:dyDescent="0.25">
      <c r="B3521" s="2" t="str">
        <f t="shared" si="108"/>
        <v>PGL_Income Eligible_Single Family_IHWAP_Advanced Thermostat_Boiler (Replace Manual)_SF</v>
      </c>
      <c r="C3521" s="2" t="str">
        <f t="shared" si="109"/>
        <v>PGL_Income Eligible_Single Family_IHWAP_Advanced Thermostat_Boiler (Replace Manual)_SF_2022</v>
      </c>
      <c r="D3521" s="19" t="s">
        <v>1794</v>
      </c>
      <c r="E3521" s="19" t="s">
        <v>325</v>
      </c>
      <c r="F3521" s="19" t="s">
        <v>375</v>
      </c>
      <c r="G3521" s="19" t="s">
        <v>1439</v>
      </c>
      <c r="H3521" s="19" t="s">
        <v>7</v>
      </c>
      <c r="I3521" s="19" t="s">
        <v>1051</v>
      </c>
      <c r="J3521" s="19" t="s">
        <v>24</v>
      </c>
      <c r="K3521" s="19" t="s">
        <v>409</v>
      </c>
      <c r="L3521" s="19">
        <v>2022</v>
      </c>
      <c r="M3521" s="20">
        <v>1</v>
      </c>
      <c r="N3521" s="19" t="s">
        <v>1795</v>
      </c>
      <c r="O3521" s="20">
        <v>14</v>
      </c>
      <c r="P3521" s="20">
        <v>14</v>
      </c>
      <c r="Q3521" s="20">
        <v>2162.16</v>
      </c>
      <c r="R3521" s="21">
        <v>1</v>
      </c>
      <c r="S3521" s="20">
        <v>2162.16</v>
      </c>
    </row>
    <row r="3522" spans="2:19" ht="15" customHeight="1" x14ac:dyDescent="0.25">
      <c r="B3522" s="2" t="str">
        <f t="shared" si="108"/>
        <v>PGL_Income Eligible_Single Family_IHWAP_Advanced Thermostat_Boiler (Replace Manual)_SF</v>
      </c>
      <c r="C3522" s="2" t="str">
        <f t="shared" si="109"/>
        <v>PGL_Income Eligible_Single Family_IHWAP_Advanced Thermostat_Boiler (Replace Manual)_SF_2023</v>
      </c>
      <c r="D3522" s="19" t="s">
        <v>1794</v>
      </c>
      <c r="E3522" s="19" t="s">
        <v>325</v>
      </c>
      <c r="F3522" s="19" t="s">
        <v>375</v>
      </c>
      <c r="G3522" s="19" t="s">
        <v>1439</v>
      </c>
      <c r="H3522" s="19" t="s">
        <v>7</v>
      </c>
      <c r="I3522" s="19" t="s">
        <v>1051</v>
      </c>
      <c r="J3522" s="19" t="s">
        <v>24</v>
      </c>
      <c r="K3522" s="19" t="s">
        <v>409</v>
      </c>
      <c r="L3522" s="19">
        <v>2023</v>
      </c>
      <c r="M3522" s="20">
        <v>1</v>
      </c>
      <c r="N3522" s="19" t="s">
        <v>1795</v>
      </c>
      <c r="O3522" s="20">
        <v>14</v>
      </c>
      <c r="P3522" s="20">
        <v>14</v>
      </c>
      <c r="Q3522" s="20">
        <v>2162.16</v>
      </c>
      <c r="R3522" s="21">
        <v>1</v>
      </c>
      <c r="S3522" s="20">
        <v>2162.16</v>
      </c>
    </row>
    <row r="3523" spans="2:19" ht="15" customHeight="1" x14ac:dyDescent="0.25">
      <c r="B3523" s="2" t="str">
        <f t="shared" si="108"/>
        <v>PGL_Income Eligible_Single Family_IHWAP_Advanced Thermostat_Boiler (Replace Manual)_SF</v>
      </c>
      <c r="C3523" s="2" t="str">
        <f t="shared" si="109"/>
        <v>PGL_Income Eligible_Single Family_IHWAP_Advanced Thermostat_Boiler (Replace Manual)_SF_2024</v>
      </c>
      <c r="D3523" s="19" t="s">
        <v>1794</v>
      </c>
      <c r="E3523" s="19" t="s">
        <v>325</v>
      </c>
      <c r="F3523" s="19" t="s">
        <v>375</v>
      </c>
      <c r="G3523" s="19" t="s">
        <v>1439</v>
      </c>
      <c r="H3523" s="19" t="s">
        <v>7</v>
      </c>
      <c r="I3523" s="19" t="s">
        <v>1051</v>
      </c>
      <c r="J3523" s="19" t="s">
        <v>24</v>
      </c>
      <c r="K3523" s="19" t="s">
        <v>409</v>
      </c>
      <c r="L3523" s="19">
        <v>2024</v>
      </c>
      <c r="M3523" s="20">
        <v>1</v>
      </c>
      <c r="N3523" s="19" t="s">
        <v>1795</v>
      </c>
      <c r="O3523" s="20">
        <v>14</v>
      </c>
      <c r="P3523" s="20">
        <v>14</v>
      </c>
      <c r="Q3523" s="20">
        <v>2162.16</v>
      </c>
      <c r="R3523" s="21">
        <v>1</v>
      </c>
      <c r="S3523" s="20">
        <v>2162.16</v>
      </c>
    </row>
    <row r="3524" spans="2:19" ht="15" customHeight="1" x14ac:dyDescent="0.25">
      <c r="B3524" s="2" t="str">
        <f t="shared" si="108"/>
        <v>PGL_Income Eligible_Single Family_IHWAP_Advanced Thermostat_Boiler (Replace Manual)_SF</v>
      </c>
      <c r="C3524" s="2" t="str">
        <f t="shared" si="109"/>
        <v>PGL_Income Eligible_Single Family_IHWAP_Advanced Thermostat_Boiler (Replace Manual)_SF_2025</v>
      </c>
      <c r="D3524" s="19" t="s">
        <v>1794</v>
      </c>
      <c r="E3524" s="19" t="s">
        <v>325</v>
      </c>
      <c r="F3524" s="19" t="s">
        <v>375</v>
      </c>
      <c r="G3524" s="19" t="s">
        <v>1439</v>
      </c>
      <c r="H3524" s="19" t="s">
        <v>7</v>
      </c>
      <c r="I3524" s="19" t="s">
        <v>1051</v>
      </c>
      <c r="J3524" s="19" t="s">
        <v>24</v>
      </c>
      <c r="K3524" s="19" t="s">
        <v>409</v>
      </c>
      <c r="L3524" s="19">
        <v>2025</v>
      </c>
      <c r="M3524" s="20">
        <v>1</v>
      </c>
      <c r="N3524" s="19" t="s">
        <v>1795</v>
      </c>
      <c r="O3524" s="20">
        <v>14</v>
      </c>
      <c r="P3524" s="20">
        <v>14</v>
      </c>
      <c r="Q3524" s="20">
        <v>2162.16</v>
      </c>
      <c r="R3524" s="21">
        <v>1</v>
      </c>
      <c r="S3524" s="20">
        <v>2162.16</v>
      </c>
    </row>
    <row r="3525" spans="2:19" ht="15" customHeight="1" x14ac:dyDescent="0.25">
      <c r="B3525" s="2" t="str">
        <f t="shared" si="108"/>
        <v>PGL_Income Eligible_Single Family_IHWAP_Advanced Thermostat_Furnace (Replace Programmable)_SF</v>
      </c>
      <c r="C3525" s="2" t="str">
        <f t="shared" si="109"/>
        <v>PGL_Income Eligible_Single Family_IHWAP_Advanced Thermostat_Furnace (Replace Programmable)_SF_2022</v>
      </c>
      <c r="D3525" s="19" t="s">
        <v>1794</v>
      </c>
      <c r="E3525" s="19" t="s">
        <v>325</v>
      </c>
      <c r="F3525" s="19" t="s">
        <v>375</v>
      </c>
      <c r="G3525" s="19" t="s">
        <v>1439</v>
      </c>
      <c r="H3525" s="19" t="s">
        <v>7</v>
      </c>
      <c r="I3525" s="19" t="s">
        <v>1049</v>
      </c>
      <c r="J3525" s="19" t="s">
        <v>24</v>
      </c>
      <c r="K3525" s="19" t="s">
        <v>409</v>
      </c>
      <c r="L3525" s="19">
        <v>2022</v>
      </c>
      <c r="M3525" s="20">
        <v>1</v>
      </c>
      <c r="N3525" s="19" t="s">
        <v>1795</v>
      </c>
      <c r="O3525" s="20">
        <v>14</v>
      </c>
      <c r="P3525" s="20">
        <v>14</v>
      </c>
      <c r="Q3525" s="20">
        <v>1027.1099999999999</v>
      </c>
      <c r="R3525" s="21">
        <v>1</v>
      </c>
      <c r="S3525" s="20">
        <v>1027.1099999999999</v>
      </c>
    </row>
    <row r="3526" spans="2:19" ht="15" customHeight="1" x14ac:dyDescent="0.25">
      <c r="B3526" s="2" t="str">
        <f t="shared" ref="B3526:B3589" si="110">D3526&amp;"_"&amp;E3526&amp;"_"&amp;F3526&amp;"_"&amp;G3526&amp;"_"&amp;H3526&amp;"_"&amp;I3526&amp;"_"&amp;K3526</f>
        <v>PGL_Income Eligible_Single Family_IHWAP_Advanced Thermostat_Furnace (Replace Programmable)_SF</v>
      </c>
      <c r="C3526" s="2" t="str">
        <f t="shared" ref="C3526:C3589" si="111">D3526&amp;"_"&amp;E3526&amp;"_"&amp;F3526&amp;"_"&amp;G3526&amp;"_"&amp;H3526&amp;"_"&amp;I3526&amp;"_"&amp;K3526&amp;"_"&amp;L3526</f>
        <v>PGL_Income Eligible_Single Family_IHWAP_Advanced Thermostat_Furnace (Replace Programmable)_SF_2023</v>
      </c>
      <c r="D3526" s="19" t="s">
        <v>1794</v>
      </c>
      <c r="E3526" s="19" t="s">
        <v>325</v>
      </c>
      <c r="F3526" s="19" t="s">
        <v>375</v>
      </c>
      <c r="G3526" s="19" t="s">
        <v>1439</v>
      </c>
      <c r="H3526" s="19" t="s">
        <v>7</v>
      </c>
      <c r="I3526" s="19" t="s">
        <v>1049</v>
      </c>
      <c r="J3526" s="19" t="s">
        <v>24</v>
      </c>
      <c r="K3526" s="19" t="s">
        <v>409</v>
      </c>
      <c r="L3526" s="19">
        <v>2023</v>
      </c>
      <c r="M3526" s="20">
        <v>1</v>
      </c>
      <c r="N3526" s="19" t="s">
        <v>1795</v>
      </c>
      <c r="O3526" s="20">
        <v>14</v>
      </c>
      <c r="P3526" s="20">
        <v>14</v>
      </c>
      <c r="Q3526" s="20">
        <v>1027.1099999999999</v>
      </c>
      <c r="R3526" s="21">
        <v>1</v>
      </c>
      <c r="S3526" s="20">
        <v>1027.1099999999999</v>
      </c>
    </row>
    <row r="3527" spans="2:19" ht="15" customHeight="1" x14ac:dyDescent="0.25">
      <c r="B3527" s="2" t="str">
        <f t="shared" si="110"/>
        <v>PGL_Income Eligible_Single Family_IHWAP_Advanced Thermostat_Furnace (Replace Programmable)_SF</v>
      </c>
      <c r="C3527" s="2" t="str">
        <f t="shared" si="111"/>
        <v>PGL_Income Eligible_Single Family_IHWAP_Advanced Thermostat_Furnace (Replace Programmable)_SF_2024</v>
      </c>
      <c r="D3527" s="19" t="s">
        <v>1794</v>
      </c>
      <c r="E3527" s="19" t="s">
        <v>325</v>
      </c>
      <c r="F3527" s="19" t="s">
        <v>375</v>
      </c>
      <c r="G3527" s="19" t="s">
        <v>1439</v>
      </c>
      <c r="H3527" s="19" t="s">
        <v>7</v>
      </c>
      <c r="I3527" s="19" t="s">
        <v>1049</v>
      </c>
      <c r="J3527" s="19" t="s">
        <v>24</v>
      </c>
      <c r="K3527" s="19" t="s">
        <v>409</v>
      </c>
      <c r="L3527" s="19">
        <v>2024</v>
      </c>
      <c r="M3527" s="20">
        <v>1</v>
      </c>
      <c r="N3527" s="19" t="s">
        <v>1795</v>
      </c>
      <c r="O3527" s="20">
        <v>14</v>
      </c>
      <c r="P3527" s="20">
        <v>14</v>
      </c>
      <c r="Q3527" s="20">
        <v>1027.1099999999999</v>
      </c>
      <c r="R3527" s="21">
        <v>1</v>
      </c>
      <c r="S3527" s="20">
        <v>1027.1099999999999</v>
      </c>
    </row>
    <row r="3528" spans="2:19" ht="15" customHeight="1" x14ac:dyDescent="0.25">
      <c r="B3528" s="2" t="str">
        <f t="shared" si="110"/>
        <v>PGL_Income Eligible_Single Family_IHWAP_Advanced Thermostat_Furnace (Replace Programmable)_SF</v>
      </c>
      <c r="C3528" s="2" t="str">
        <f t="shared" si="111"/>
        <v>PGL_Income Eligible_Single Family_IHWAP_Advanced Thermostat_Furnace (Replace Programmable)_SF_2025</v>
      </c>
      <c r="D3528" s="19" t="s">
        <v>1794</v>
      </c>
      <c r="E3528" s="19" t="s">
        <v>325</v>
      </c>
      <c r="F3528" s="19" t="s">
        <v>375</v>
      </c>
      <c r="G3528" s="19" t="s">
        <v>1439</v>
      </c>
      <c r="H3528" s="19" t="s">
        <v>7</v>
      </c>
      <c r="I3528" s="19" t="s">
        <v>1049</v>
      </c>
      <c r="J3528" s="19" t="s">
        <v>24</v>
      </c>
      <c r="K3528" s="19" t="s">
        <v>409</v>
      </c>
      <c r="L3528" s="19">
        <v>2025</v>
      </c>
      <c r="M3528" s="20">
        <v>1</v>
      </c>
      <c r="N3528" s="19" t="s">
        <v>1795</v>
      </c>
      <c r="O3528" s="20">
        <v>14</v>
      </c>
      <c r="P3528" s="20">
        <v>14</v>
      </c>
      <c r="Q3528" s="20">
        <v>1027.1099999999999</v>
      </c>
      <c r="R3528" s="21">
        <v>1</v>
      </c>
      <c r="S3528" s="20">
        <v>1027.1099999999999</v>
      </c>
    </row>
    <row r="3529" spans="2:19" ht="15" customHeight="1" x14ac:dyDescent="0.25">
      <c r="B3529" s="2" t="str">
        <f t="shared" si="110"/>
        <v>PGL_Income Eligible_Single Family_IHWAP_Advanced Thermostat_Boiler (Replace Programmable)_SF</v>
      </c>
      <c r="C3529" s="2" t="str">
        <f t="shared" si="111"/>
        <v>PGL_Income Eligible_Single Family_IHWAP_Advanced Thermostat_Boiler (Replace Programmable)_SF_2022</v>
      </c>
      <c r="D3529" s="19" t="s">
        <v>1794</v>
      </c>
      <c r="E3529" s="19" t="s">
        <v>325</v>
      </c>
      <c r="F3529" s="19" t="s">
        <v>375</v>
      </c>
      <c r="G3529" s="19" t="s">
        <v>1439</v>
      </c>
      <c r="H3529" s="19" t="s">
        <v>7</v>
      </c>
      <c r="I3529" s="19" t="s">
        <v>1052</v>
      </c>
      <c r="J3529" s="19" t="s">
        <v>24</v>
      </c>
      <c r="K3529" s="19" t="s">
        <v>409</v>
      </c>
      <c r="L3529" s="19">
        <v>2022</v>
      </c>
      <c r="M3529" s="20">
        <v>1</v>
      </c>
      <c r="N3529" s="19" t="s">
        <v>1795</v>
      </c>
      <c r="O3529" s="20">
        <v>14</v>
      </c>
      <c r="P3529" s="20">
        <v>14</v>
      </c>
      <c r="Q3529" s="20">
        <v>1517.6699999999998</v>
      </c>
      <c r="R3529" s="21">
        <v>1</v>
      </c>
      <c r="S3529" s="20">
        <v>1517.6699999999998</v>
      </c>
    </row>
    <row r="3530" spans="2:19" ht="15" customHeight="1" x14ac:dyDescent="0.25">
      <c r="B3530" s="2" t="str">
        <f t="shared" si="110"/>
        <v>PGL_Income Eligible_Single Family_IHWAP_Advanced Thermostat_Boiler (Replace Programmable)_SF</v>
      </c>
      <c r="C3530" s="2" t="str">
        <f t="shared" si="111"/>
        <v>PGL_Income Eligible_Single Family_IHWAP_Advanced Thermostat_Boiler (Replace Programmable)_SF_2023</v>
      </c>
      <c r="D3530" s="19" t="s">
        <v>1794</v>
      </c>
      <c r="E3530" s="19" t="s">
        <v>325</v>
      </c>
      <c r="F3530" s="19" t="s">
        <v>375</v>
      </c>
      <c r="G3530" s="19" t="s">
        <v>1439</v>
      </c>
      <c r="H3530" s="19" t="s">
        <v>7</v>
      </c>
      <c r="I3530" s="19" t="s">
        <v>1052</v>
      </c>
      <c r="J3530" s="19" t="s">
        <v>24</v>
      </c>
      <c r="K3530" s="19" t="s">
        <v>409</v>
      </c>
      <c r="L3530" s="19">
        <v>2023</v>
      </c>
      <c r="M3530" s="20">
        <v>1</v>
      </c>
      <c r="N3530" s="19" t="s">
        <v>1795</v>
      </c>
      <c r="O3530" s="20">
        <v>14</v>
      </c>
      <c r="P3530" s="20">
        <v>14</v>
      </c>
      <c r="Q3530" s="20">
        <v>1517.6699999999998</v>
      </c>
      <c r="R3530" s="21">
        <v>1</v>
      </c>
      <c r="S3530" s="20">
        <v>1517.6699999999998</v>
      </c>
    </row>
    <row r="3531" spans="2:19" ht="15" customHeight="1" x14ac:dyDescent="0.25">
      <c r="B3531" s="2" t="str">
        <f t="shared" si="110"/>
        <v>PGL_Income Eligible_Single Family_IHWAP_Advanced Thermostat_Boiler (Replace Programmable)_SF</v>
      </c>
      <c r="C3531" s="2" t="str">
        <f t="shared" si="111"/>
        <v>PGL_Income Eligible_Single Family_IHWAP_Advanced Thermostat_Boiler (Replace Programmable)_SF_2024</v>
      </c>
      <c r="D3531" s="19" t="s">
        <v>1794</v>
      </c>
      <c r="E3531" s="19" t="s">
        <v>325</v>
      </c>
      <c r="F3531" s="19" t="s">
        <v>375</v>
      </c>
      <c r="G3531" s="19" t="s">
        <v>1439</v>
      </c>
      <c r="H3531" s="19" t="s">
        <v>7</v>
      </c>
      <c r="I3531" s="19" t="s">
        <v>1052</v>
      </c>
      <c r="J3531" s="19" t="s">
        <v>24</v>
      </c>
      <c r="K3531" s="19" t="s">
        <v>409</v>
      </c>
      <c r="L3531" s="19">
        <v>2024</v>
      </c>
      <c r="M3531" s="20">
        <v>1</v>
      </c>
      <c r="N3531" s="19" t="s">
        <v>1795</v>
      </c>
      <c r="O3531" s="20">
        <v>14</v>
      </c>
      <c r="P3531" s="20">
        <v>14</v>
      </c>
      <c r="Q3531" s="20">
        <v>1517.6699999999998</v>
      </c>
      <c r="R3531" s="21">
        <v>1</v>
      </c>
      <c r="S3531" s="20">
        <v>1517.6699999999998</v>
      </c>
    </row>
    <row r="3532" spans="2:19" ht="15" customHeight="1" x14ac:dyDescent="0.25">
      <c r="B3532" s="2" t="str">
        <f t="shared" si="110"/>
        <v>PGL_Income Eligible_Single Family_IHWAP_Advanced Thermostat_Boiler (Replace Programmable)_SF</v>
      </c>
      <c r="C3532" s="2" t="str">
        <f t="shared" si="111"/>
        <v>PGL_Income Eligible_Single Family_IHWAP_Advanced Thermostat_Boiler (Replace Programmable)_SF_2025</v>
      </c>
      <c r="D3532" s="19" t="s">
        <v>1794</v>
      </c>
      <c r="E3532" s="19" t="s">
        <v>325</v>
      </c>
      <c r="F3532" s="19" t="s">
        <v>375</v>
      </c>
      <c r="G3532" s="19" t="s">
        <v>1439</v>
      </c>
      <c r="H3532" s="19" t="s">
        <v>7</v>
      </c>
      <c r="I3532" s="19" t="s">
        <v>1052</v>
      </c>
      <c r="J3532" s="19" t="s">
        <v>24</v>
      </c>
      <c r="K3532" s="19" t="s">
        <v>409</v>
      </c>
      <c r="L3532" s="19">
        <v>2025</v>
      </c>
      <c r="M3532" s="20">
        <v>1</v>
      </c>
      <c r="N3532" s="19" t="s">
        <v>1795</v>
      </c>
      <c r="O3532" s="20">
        <v>14</v>
      </c>
      <c r="P3532" s="20">
        <v>14</v>
      </c>
      <c r="Q3532" s="20">
        <v>1517.6699999999998</v>
      </c>
      <c r="R3532" s="21">
        <v>1</v>
      </c>
      <c r="S3532" s="20">
        <v>1517.6699999999998</v>
      </c>
    </row>
    <row r="3533" spans="2:19" ht="15" customHeight="1" x14ac:dyDescent="0.25">
      <c r="B3533" s="2" t="str">
        <f t="shared" si="110"/>
        <v>PGL_Income Eligible_Single Family_IHWAP_Thermostat - Reprogram_Furnace (DI)_SF</v>
      </c>
      <c r="C3533" s="2" t="str">
        <f t="shared" si="111"/>
        <v>PGL_Income Eligible_Single Family_IHWAP_Thermostat - Reprogram_Furnace (DI)_SF_2022</v>
      </c>
      <c r="D3533" s="19" t="s">
        <v>1794</v>
      </c>
      <c r="E3533" s="19" t="s">
        <v>325</v>
      </c>
      <c r="F3533" s="19" t="s">
        <v>375</v>
      </c>
      <c r="G3533" s="19" t="s">
        <v>1439</v>
      </c>
      <c r="H3533" s="19" t="s">
        <v>1055</v>
      </c>
      <c r="I3533" s="19" t="s">
        <v>1038</v>
      </c>
      <c r="J3533" s="19" t="s">
        <v>24</v>
      </c>
      <c r="K3533" s="19" t="s">
        <v>409</v>
      </c>
      <c r="L3533" s="19">
        <v>2022</v>
      </c>
      <c r="M3533" s="20">
        <v>1</v>
      </c>
      <c r="N3533" s="19" t="s">
        <v>1795</v>
      </c>
      <c r="O3533" s="20">
        <v>2</v>
      </c>
      <c r="P3533" s="20">
        <v>2</v>
      </c>
      <c r="Q3533" s="20">
        <v>124.62</v>
      </c>
      <c r="R3533" s="21">
        <v>1</v>
      </c>
      <c r="S3533" s="20">
        <v>124.62</v>
      </c>
    </row>
    <row r="3534" spans="2:19" ht="15" customHeight="1" x14ac:dyDescent="0.25">
      <c r="B3534" s="2" t="str">
        <f t="shared" si="110"/>
        <v>PGL_Income Eligible_Single Family_IHWAP_Thermostat - Reprogram_Furnace (DI)_SF</v>
      </c>
      <c r="C3534" s="2" t="str">
        <f t="shared" si="111"/>
        <v>PGL_Income Eligible_Single Family_IHWAP_Thermostat - Reprogram_Furnace (DI)_SF_2023</v>
      </c>
      <c r="D3534" s="19" t="s">
        <v>1794</v>
      </c>
      <c r="E3534" s="19" t="s">
        <v>325</v>
      </c>
      <c r="F3534" s="19" t="s">
        <v>375</v>
      </c>
      <c r="G3534" s="19" t="s">
        <v>1439</v>
      </c>
      <c r="H3534" s="19" t="s">
        <v>1055</v>
      </c>
      <c r="I3534" s="19" t="s">
        <v>1038</v>
      </c>
      <c r="J3534" s="19" t="s">
        <v>24</v>
      </c>
      <c r="K3534" s="19" t="s">
        <v>409</v>
      </c>
      <c r="L3534" s="19">
        <v>2023</v>
      </c>
      <c r="M3534" s="20">
        <v>1</v>
      </c>
      <c r="N3534" s="19" t="s">
        <v>1795</v>
      </c>
      <c r="O3534" s="20">
        <v>2</v>
      </c>
      <c r="P3534" s="20">
        <v>2</v>
      </c>
      <c r="Q3534" s="20">
        <v>124.62</v>
      </c>
      <c r="R3534" s="21">
        <v>1</v>
      </c>
      <c r="S3534" s="20">
        <v>124.62</v>
      </c>
    </row>
    <row r="3535" spans="2:19" ht="15" customHeight="1" x14ac:dyDescent="0.25">
      <c r="B3535" s="2" t="str">
        <f t="shared" si="110"/>
        <v>PGL_Income Eligible_Single Family_IHWAP_Thermostat - Reprogram_Furnace (DI)_SF</v>
      </c>
      <c r="C3535" s="2" t="str">
        <f t="shared" si="111"/>
        <v>PGL_Income Eligible_Single Family_IHWAP_Thermostat - Reprogram_Furnace (DI)_SF_2024</v>
      </c>
      <c r="D3535" s="19" t="s">
        <v>1794</v>
      </c>
      <c r="E3535" s="19" t="s">
        <v>325</v>
      </c>
      <c r="F3535" s="19" t="s">
        <v>375</v>
      </c>
      <c r="G3535" s="19" t="s">
        <v>1439</v>
      </c>
      <c r="H3535" s="19" t="s">
        <v>1055</v>
      </c>
      <c r="I3535" s="19" t="s">
        <v>1038</v>
      </c>
      <c r="J3535" s="19" t="s">
        <v>24</v>
      </c>
      <c r="K3535" s="19" t="s">
        <v>409</v>
      </c>
      <c r="L3535" s="19">
        <v>2024</v>
      </c>
      <c r="M3535" s="20">
        <v>1</v>
      </c>
      <c r="N3535" s="19" t="s">
        <v>1795</v>
      </c>
      <c r="O3535" s="20">
        <v>2</v>
      </c>
      <c r="P3535" s="20">
        <v>2</v>
      </c>
      <c r="Q3535" s="20">
        <v>124.62</v>
      </c>
      <c r="R3535" s="21">
        <v>1</v>
      </c>
      <c r="S3535" s="20">
        <v>124.62</v>
      </c>
    </row>
    <row r="3536" spans="2:19" ht="15" customHeight="1" x14ac:dyDescent="0.25">
      <c r="B3536" s="2" t="str">
        <f t="shared" si="110"/>
        <v>PGL_Income Eligible_Single Family_IHWAP_Thermostat - Reprogram_Furnace (DI)_SF</v>
      </c>
      <c r="C3536" s="2" t="str">
        <f t="shared" si="111"/>
        <v>PGL_Income Eligible_Single Family_IHWAP_Thermostat - Reprogram_Furnace (DI)_SF_2025</v>
      </c>
      <c r="D3536" s="19" t="s">
        <v>1794</v>
      </c>
      <c r="E3536" s="19" t="s">
        <v>325</v>
      </c>
      <c r="F3536" s="19" t="s">
        <v>375</v>
      </c>
      <c r="G3536" s="19" t="s">
        <v>1439</v>
      </c>
      <c r="H3536" s="19" t="s">
        <v>1055</v>
      </c>
      <c r="I3536" s="19" t="s">
        <v>1038</v>
      </c>
      <c r="J3536" s="19" t="s">
        <v>24</v>
      </c>
      <c r="K3536" s="19" t="s">
        <v>409</v>
      </c>
      <c r="L3536" s="19">
        <v>2025</v>
      </c>
      <c r="M3536" s="20">
        <v>1</v>
      </c>
      <c r="N3536" s="19" t="s">
        <v>1795</v>
      </c>
      <c r="O3536" s="20">
        <v>2</v>
      </c>
      <c r="P3536" s="20">
        <v>2</v>
      </c>
      <c r="Q3536" s="20">
        <v>124.62</v>
      </c>
      <c r="R3536" s="21">
        <v>1</v>
      </c>
      <c r="S3536" s="20">
        <v>124.62</v>
      </c>
    </row>
    <row r="3537" spans="2:19" ht="15" customHeight="1" x14ac:dyDescent="0.25">
      <c r="B3537" s="2" t="str">
        <f t="shared" si="110"/>
        <v>PGL_Income Eligible_Single Family_IHWAP_Thermostat - Reprogram_Boiler (DI)_SF</v>
      </c>
      <c r="C3537" s="2" t="str">
        <f t="shared" si="111"/>
        <v>PGL_Income Eligible_Single Family_IHWAP_Thermostat - Reprogram_Boiler (DI)_SF_2022</v>
      </c>
      <c r="D3537" s="19" t="s">
        <v>1794</v>
      </c>
      <c r="E3537" s="19" t="s">
        <v>325</v>
      </c>
      <c r="F3537" s="19" t="s">
        <v>375</v>
      </c>
      <c r="G3537" s="19" t="s">
        <v>1439</v>
      </c>
      <c r="H3537" s="19" t="s">
        <v>1055</v>
      </c>
      <c r="I3537" s="19" t="s">
        <v>1045</v>
      </c>
      <c r="J3537" s="19" t="s">
        <v>24</v>
      </c>
      <c r="K3537" s="19" t="s">
        <v>409</v>
      </c>
      <c r="L3537" s="19">
        <v>2022</v>
      </c>
      <c r="M3537" s="20">
        <v>1</v>
      </c>
      <c r="N3537" s="19" t="s">
        <v>1795</v>
      </c>
      <c r="O3537" s="20">
        <v>2</v>
      </c>
      <c r="P3537" s="20">
        <v>2</v>
      </c>
      <c r="Q3537" s="20">
        <v>184.38800000000001</v>
      </c>
      <c r="R3537" s="21">
        <v>1</v>
      </c>
      <c r="S3537" s="20">
        <v>184.38800000000001</v>
      </c>
    </row>
    <row r="3538" spans="2:19" ht="15" customHeight="1" x14ac:dyDescent="0.25">
      <c r="B3538" s="2" t="str">
        <f t="shared" si="110"/>
        <v>PGL_Income Eligible_Single Family_IHWAP_Thermostat - Reprogram_Boiler (DI)_SF</v>
      </c>
      <c r="C3538" s="2" t="str">
        <f t="shared" si="111"/>
        <v>PGL_Income Eligible_Single Family_IHWAP_Thermostat - Reprogram_Boiler (DI)_SF_2023</v>
      </c>
      <c r="D3538" s="19" t="s">
        <v>1794</v>
      </c>
      <c r="E3538" s="19" t="s">
        <v>325</v>
      </c>
      <c r="F3538" s="19" t="s">
        <v>375</v>
      </c>
      <c r="G3538" s="19" t="s">
        <v>1439</v>
      </c>
      <c r="H3538" s="19" t="s">
        <v>1055</v>
      </c>
      <c r="I3538" s="19" t="s">
        <v>1045</v>
      </c>
      <c r="J3538" s="19" t="s">
        <v>24</v>
      </c>
      <c r="K3538" s="19" t="s">
        <v>409</v>
      </c>
      <c r="L3538" s="19">
        <v>2023</v>
      </c>
      <c r="M3538" s="20">
        <v>1</v>
      </c>
      <c r="N3538" s="19" t="s">
        <v>1795</v>
      </c>
      <c r="O3538" s="20">
        <v>2</v>
      </c>
      <c r="P3538" s="20">
        <v>2</v>
      </c>
      <c r="Q3538" s="20">
        <v>184.38800000000001</v>
      </c>
      <c r="R3538" s="21">
        <v>1</v>
      </c>
      <c r="S3538" s="20">
        <v>184.38800000000001</v>
      </c>
    </row>
    <row r="3539" spans="2:19" ht="15" customHeight="1" x14ac:dyDescent="0.25">
      <c r="B3539" s="2" t="str">
        <f t="shared" si="110"/>
        <v>PGL_Income Eligible_Single Family_IHWAP_Thermostat - Reprogram_Boiler (DI)_SF</v>
      </c>
      <c r="C3539" s="2" t="str">
        <f t="shared" si="111"/>
        <v>PGL_Income Eligible_Single Family_IHWAP_Thermostat - Reprogram_Boiler (DI)_SF_2024</v>
      </c>
      <c r="D3539" s="19" t="s">
        <v>1794</v>
      </c>
      <c r="E3539" s="19" t="s">
        <v>325</v>
      </c>
      <c r="F3539" s="19" t="s">
        <v>375</v>
      </c>
      <c r="G3539" s="19" t="s">
        <v>1439</v>
      </c>
      <c r="H3539" s="19" t="s">
        <v>1055</v>
      </c>
      <c r="I3539" s="19" t="s">
        <v>1045</v>
      </c>
      <c r="J3539" s="19" t="s">
        <v>24</v>
      </c>
      <c r="K3539" s="19" t="s">
        <v>409</v>
      </c>
      <c r="L3539" s="19">
        <v>2024</v>
      </c>
      <c r="M3539" s="20">
        <v>1</v>
      </c>
      <c r="N3539" s="19" t="s">
        <v>1795</v>
      </c>
      <c r="O3539" s="20">
        <v>2</v>
      </c>
      <c r="P3539" s="20">
        <v>2</v>
      </c>
      <c r="Q3539" s="20">
        <v>184.38800000000001</v>
      </c>
      <c r="R3539" s="21">
        <v>1</v>
      </c>
      <c r="S3539" s="20">
        <v>184.38800000000001</v>
      </c>
    </row>
    <row r="3540" spans="2:19" ht="15" customHeight="1" x14ac:dyDescent="0.25">
      <c r="B3540" s="2" t="str">
        <f t="shared" si="110"/>
        <v>PGL_Income Eligible_Single Family_IHWAP_Thermostat - Reprogram_Boiler (DI)_SF</v>
      </c>
      <c r="C3540" s="2" t="str">
        <f t="shared" si="111"/>
        <v>PGL_Income Eligible_Single Family_IHWAP_Thermostat - Reprogram_Boiler (DI)_SF_2025</v>
      </c>
      <c r="D3540" s="19" t="s">
        <v>1794</v>
      </c>
      <c r="E3540" s="19" t="s">
        <v>325</v>
      </c>
      <c r="F3540" s="19" t="s">
        <v>375</v>
      </c>
      <c r="G3540" s="19" t="s">
        <v>1439</v>
      </c>
      <c r="H3540" s="19" t="s">
        <v>1055</v>
      </c>
      <c r="I3540" s="19" t="s">
        <v>1045</v>
      </c>
      <c r="J3540" s="19" t="s">
        <v>24</v>
      </c>
      <c r="K3540" s="19" t="s">
        <v>409</v>
      </c>
      <c r="L3540" s="19">
        <v>2025</v>
      </c>
      <c r="M3540" s="20">
        <v>1</v>
      </c>
      <c r="N3540" s="19" t="s">
        <v>1795</v>
      </c>
      <c r="O3540" s="20">
        <v>2</v>
      </c>
      <c r="P3540" s="20">
        <v>2</v>
      </c>
      <c r="Q3540" s="20">
        <v>184.38800000000001</v>
      </c>
      <c r="R3540" s="21">
        <v>1</v>
      </c>
      <c r="S3540" s="20">
        <v>184.38800000000001</v>
      </c>
    </row>
    <row r="3541" spans="2:19" ht="15" customHeight="1" x14ac:dyDescent="0.25">
      <c r="B3541" s="2" t="str">
        <f t="shared" si="110"/>
        <v>PGL_Income Eligible_Single Family_IHWAP_Air Sealing_0_SF</v>
      </c>
      <c r="C3541" s="2" t="str">
        <f t="shared" si="111"/>
        <v>PGL_Income Eligible_Single Family_IHWAP_Air Sealing_0_SF_2022</v>
      </c>
      <c r="D3541" s="19" t="s">
        <v>1794</v>
      </c>
      <c r="E3541" s="19" t="s">
        <v>325</v>
      </c>
      <c r="F3541" s="19" t="s">
        <v>375</v>
      </c>
      <c r="G3541" s="19" t="s">
        <v>1439</v>
      </c>
      <c r="H3541" s="19" t="s">
        <v>221</v>
      </c>
      <c r="I3541" s="19">
        <v>0</v>
      </c>
      <c r="J3541" s="19" t="s">
        <v>881</v>
      </c>
      <c r="K3541" s="19" t="s">
        <v>409</v>
      </c>
      <c r="L3541" s="19">
        <v>2022</v>
      </c>
      <c r="M3541" s="20">
        <v>743.2399999999999</v>
      </c>
      <c r="N3541" s="19" t="s">
        <v>1800</v>
      </c>
      <c r="O3541" s="20">
        <v>0</v>
      </c>
      <c r="P3541" s="20">
        <v>0</v>
      </c>
      <c r="Q3541" s="20">
        <v>0</v>
      </c>
      <c r="R3541" s="21">
        <v>1</v>
      </c>
      <c r="S3541" s="20">
        <v>0</v>
      </c>
    </row>
    <row r="3542" spans="2:19" ht="15" customHeight="1" x14ac:dyDescent="0.25">
      <c r="B3542" s="2" t="str">
        <f t="shared" si="110"/>
        <v>PGL_Income Eligible_Single Family_IHWAP_Air Sealing_0_SF</v>
      </c>
      <c r="C3542" s="2" t="str">
        <f t="shared" si="111"/>
        <v>PGL_Income Eligible_Single Family_IHWAP_Air Sealing_0_SF_2023</v>
      </c>
      <c r="D3542" s="19" t="s">
        <v>1794</v>
      </c>
      <c r="E3542" s="19" t="s">
        <v>325</v>
      </c>
      <c r="F3542" s="19" t="s">
        <v>375</v>
      </c>
      <c r="G3542" s="19" t="s">
        <v>1439</v>
      </c>
      <c r="H3542" s="19" t="s">
        <v>221</v>
      </c>
      <c r="I3542" s="19">
        <v>0</v>
      </c>
      <c r="J3542" s="19" t="s">
        <v>881</v>
      </c>
      <c r="K3542" s="19" t="s">
        <v>409</v>
      </c>
      <c r="L3542" s="19">
        <v>2023</v>
      </c>
      <c r="M3542" s="20">
        <v>743.2399999999999</v>
      </c>
      <c r="N3542" s="19" t="s">
        <v>1800</v>
      </c>
      <c r="O3542" s="20">
        <v>0</v>
      </c>
      <c r="P3542" s="20">
        <v>0</v>
      </c>
      <c r="Q3542" s="20">
        <v>0</v>
      </c>
      <c r="R3542" s="21">
        <v>1</v>
      </c>
      <c r="S3542" s="20">
        <v>0</v>
      </c>
    </row>
    <row r="3543" spans="2:19" ht="15" customHeight="1" x14ac:dyDescent="0.25">
      <c r="B3543" s="2" t="str">
        <f t="shared" si="110"/>
        <v>PGL_Income Eligible_Single Family_IHWAP_Air Sealing_0_SF</v>
      </c>
      <c r="C3543" s="2" t="str">
        <f t="shared" si="111"/>
        <v>PGL_Income Eligible_Single Family_IHWAP_Air Sealing_0_SF_2024</v>
      </c>
      <c r="D3543" s="19" t="s">
        <v>1794</v>
      </c>
      <c r="E3543" s="19" t="s">
        <v>325</v>
      </c>
      <c r="F3543" s="19" t="s">
        <v>375</v>
      </c>
      <c r="G3543" s="19" t="s">
        <v>1439</v>
      </c>
      <c r="H3543" s="19" t="s">
        <v>221</v>
      </c>
      <c r="I3543" s="19">
        <v>0</v>
      </c>
      <c r="J3543" s="19" t="s">
        <v>881</v>
      </c>
      <c r="K3543" s="19" t="s">
        <v>409</v>
      </c>
      <c r="L3543" s="19">
        <v>2024</v>
      </c>
      <c r="M3543" s="20">
        <v>743.2399999999999</v>
      </c>
      <c r="N3543" s="19" t="s">
        <v>1800</v>
      </c>
      <c r="O3543" s="20">
        <v>0</v>
      </c>
      <c r="P3543" s="20">
        <v>0</v>
      </c>
      <c r="Q3543" s="20">
        <v>0</v>
      </c>
      <c r="R3543" s="21">
        <v>1</v>
      </c>
      <c r="S3543" s="20">
        <v>0</v>
      </c>
    </row>
    <row r="3544" spans="2:19" ht="15" customHeight="1" x14ac:dyDescent="0.25">
      <c r="B3544" s="2" t="str">
        <f t="shared" si="110"/>
        <v>PGL_Income Eligible_Single Family_IHWAP_Air Sealing_0_SF</v>
      </c>
      <c r="C3544" s="2" t="str">
        <f t="shared" si="111"/>
        <v>PGL_Income Eligible_Single Family_IHWAP_Air Sealing_0_SF_2025</v>
      </c>
      <c r="D3544" s="19" t="s">
        <v>1794</v>
      </c>
      <c r="E3544" s="19" t="s">
        <v>325</v>
      </c>
      <c r="F3544" s="19" t="s">
        <v>375</v>
      </c>
      <c r="G3544" s="19" t="s">
        <v>1439</v>
      </c>
      <c r="H3544" s="19" t="s">
        <v>221</v>
      </c>
      <c r="I3544" s="19">
        <v>0</v>
      </c>
      <c r="J3544" s="19" t="s">
        <v>881</v>
      </c>
      <c r="K3544" s="19" t="s">
        <v>409</v>
      </c>
      <c r="L3544" s="19">
        <v>2025</v>
      </c>
      <c r="M3544" s="20">
        <v>743.2399999999999</v>
      </c>
      <c r="N3544" s="19" t="s">
        <v>1800</v>
      </c>
      <c r="O3544" s="20">
        <v>0</v>
      </c>
      <c r="P3544" s="20">
        <v>0</v>
      </c>
      <c r="Q3544" s="20">
        <v>0</v>
      </c>
      <c r="R3544" s="21">
        <v>1</v>
      </c>
      <c r="S3544" s="20">
        <v>0</v>
      </c>
    </row>
    <row r="3545" spans="2:19" ht="15" customHeight="1" x14ac:dyDescent="0.25">
      <c r="B3545" s="2" t="str">
        <f t="shared" si="110"/>
        <v>PGL_Income Eligible_Single Family_IHWAP_Attic Insulation_0_SF</v>
      </c>
      <c r="C3545" s="2" t="str">
        <f t="shared" si="111"/>
        <v>PGL_Income Eligible_Single Family_IHWAP_Attic Insulation_0_SF_2022</v>
      </c>
      <c r="D3545" s="19" t="s">
        <v>1794</v>
      </c>
      <c r="E3545" s="19" t="s">
        <v>325</v>
      </c>
      <c r="F3545" s="19" t="s">
        <v>375</v>
      </c>
      <c r="G3545" s="19" t="s">
        <v>1439</v>
      </c>
      <c r="H3545" s="19" t="s">
        <v>631</v>
      </c>
      <c r="I3545" s="19">
        <v>0</v>
      </c>
      <c r="J3545" s="19" t="s">
        <v>632</v>
      </c>
      <c r="K3545" s="19" t="s">
        <v>409</v>
      </c>
      <c r="L3545" s="19">
        <v>2022</v>
      </c>
      <c r="M3545" s="20">
        <v>800</v>
      </c>
      <c r="N3545" s="19" t="s">
        <v>751</v>
      </c>
      <c r="O3545" s="20">
        <v>108</v>
      </c>
      <c r="P3545" s="20">
        <v>86400</v>
      </c>
      <c r="Q3545" s="20">
        <v>6951.500477031539</v>
      </c>
      <c r="R3545" s="21">
        <v>1</v>
      </c>
      <c r="S3545" s="20">
        <v>6951.500477031539</v>
      </c>
    </row>
    <row r="3546" spans="2:19" ht="15" customHeight="1" x14ac:dyDescent="0.25">
      <c r="B3546" s="2" t="str">
        <f t="shared" si="110"/>
        <v>PGL_Income Eligible_Single Family_IHWAP_Attic Insulation_0_SF</v>
      </c>
      <c r="C3546" s="2" t="str">
        <f t="shared" si="111"/>
        <v>PGL_Income Eligible_Single Family_IHWAP_Attic Insulation_0_SF_2023</v>
      </c>
      <c r="D3546" s="19" t="s">
        <v>1794</v>
      </c>
      <c r="E3546" s="19" t="s">
        <v>325</v>
      </c>
      <c r="F3546" s="19" t="s">
        <v>375</v>
      </c>
      <c r="G3546" s="19" t="s">
        <v>1439</v>
      </c>
      <c r="H3546" s="19" t="s">
        <v>631</v>
      </c>
      <c r="I3546" s="19">
        <v>0</v>
      </c>
      <c r="J3546" s="19" t="s">
        <v>632</v>
      </c>
      <c r="K3546" s="19" t="s">
        <v>409</v>
      </c>
      <c r="L3546" s="19">
        <v>2023</v>
      </c>
      <c r="M3546" s="20">
        <v>800</v>
      </c>
      <c r="N3546" s="19" t="s">
        <v>751</v>
      </c>
      <c r="O3546" s="20">
        <v>108</v>
      </c>
      <c r="P3546" s="20">
        <v>86400</v>
      </c>
      <c r="Q3546" s="20">
        <v>6951.500477031539</v>
      </c>
      <c r="R3546" s="21">
        <v>1</v>
      </c>
      <c r="S3546" s="20">
        <v>6951.500477031539</v>
      </c>
    </row>
    <row r="3547" spans="2:19" ht="15" customHeight="1" x14ac:dyDescent="0.25">
      <c r="B3547" s="2" t="str">
        <f t="shared" si="110"/>
        <v>PGL_Income Eligible_Single Family_IHWAP_Attic Insulation_0_SF</v>
      </c>
      <c r="C3547" s="2" t="str">
        <f t="shared" si="111"/>
        <v>PGL_Income Eligible_Single Family_IHWAP_Attic Insulation_0_SF_2024</v>
      </c>
      <c r="D3547" s="19" t="s">
        <v>1794</v>
      </c>
      <c r="E3547" s="19" t="s">
        <v>325</v>
      </c>
      <c r="F3547" s="19" t="s">
        <v>375</v>
      </c>
      <c r="G3547" s="19" t="s">
        <v>1439</v>
      </c>
      <c r="H3547" s="19" t="s">
        <v>631</v>
      </c>
      <c r="I3547" s="19">
        <v>0</v>
      </c>
      <c r="J3547" s="19" t="s">
        <v>632</v>
      </c>
      <c r="K3547" s="19" t="s">
        <v>409</v>
      </c>
      <c r="L3547" s="19">
        <v>2024</v>
      </c>
      <c r="M3547" s="20">
        <v>800</v>
      </c>
      <c r="N3547" s="19" t="s">
        <v>751</v>
      </c>
      <c r="O3547" s="20">
        <v>108</v>
      </c>
      <c r="P3547" s="20">
        <v>86400</v>
      </c>
      <c r="Q3547" s="20">
        <v>6951.500477031539</v>
      </c>
      <c r="R3547" s="21">
        <v>1</v>
      </c>
      <c r="S3547" s="20">
        <v>6951.500477031539</v>
      </c>
    </row>
    <row r="3548" spans="2:19" ht="15" customHeight="1" x14ac:dyDescent="0.25">
      <c r="B3548" s="2" t="str">
        <f t="shared" si="110"/>
        <v>PGL_Income Eligible_Single Family_IHWAP_Attic Insulation_0_SF</v>
      </c>
      <c r="C3548" s="2" t="str">
        <f t="shared" si="111"/>
        <v>PGL_Income Eligible_Single Family_IHWAP_Attic Insulation_0_SF_2025</v>
      </c>
      <c r="D3548" s="19" t="s">
        <v>1794</v>
      </c>
      <c r="E3548" s="19" t="s">
        <v>325</v>
      </c>
      <c r="F3548" s="19" t="s">
        <v>375</v>
      </c>
      <c r="G3548" s="19" t="s">
        <v>1439</v>
      </c>
      <c r="H3548" s="19" t="s">
        <v>631</v>
      </c>
      <c r="I3548" s="19">
        <v>0</v>
      </c>
      <c r="J3548" s="19" t="s">
        <v>632</v>
      </c>
      <c r="K3548" s="19" t="s">
        <v>409</v>
      </c>
      <c r="L3548" s="19">
        <v>2025</v>
      </c>
      <c r="M3548" s="20">
        <v>800</v>
      </c>
      <c r="N3548" s="19" t="s">
        <v>751</v>
      </c>
      <c r="O3548" s="20">
        <v>108</v>
      </c>
      <c r="P3548" s="20">
        <v>86400</v>
      </c>
      <c r="Q3548" s="20">
        <v>6951.500477031539</v>
      </c>
      <c r="R3548" s="21">
        <v>1</v>
      </c>
      <c r="S3548" s="20">
        <v>6951.500477031539</v>
      </c>
    </row>
    <row r="3549" spans="2:19" ht="15" customHeight="1" x14ac:dyDescent="0.25">
      <c r="B3549" s="2" t="str">
        <f t="shared" si="110"/>
        <v>PGL_Income Eligible_Single Family_IHWAP_Air sealing w/ attic insulation_0_IE SF</v>
      </c>
      <c r="C3549" s="2" t="str">
        <f t="shared" si="111"/>
        <v>PGL_Income Eligible_Single Family_IHWAP_Air sealing w/ attic insulation_0_IE SF_2022</v>
      </c>
      <c r="D3549" s="19" t="s">
        <v>1794</v>
      </c>
      <c r="E3549" s="19" t="s">
        <v>325</v>
      </c>
      <c r="F3549" s="19" t="s">
        <v>375</v>
      </c>
      <c r="G3549" s="19" t="s">
        <v>1439</v>
      </c>
      <c r="H3549" s="19" t="s">
        <v>1436</v>
      </c>
      <c r="I3549" s="19">
        <v>0</v>
      </c>
      <c r="J3549" s="19" t="s">
        <v>881</v>
      </c>
      <c r="K3549" s="19" t="s">
        <v>581</v>
      </c>
      <c r="L3549" s="19">
        <v>2022</v>
      </c>
      <c r="M3549" s="20">
        <v>743.2399999999999</v>
      </c>
      <c r="N3549" s="19" t="s">
        <v>1800</v>
      </c>
      <c r="O3549" s="20">
        <v>108</v>
      </c>
      <c r="P3549" s="20">
        <v>80269.919999999984</v>
      </c>
      <c r="Q3549" s="20">
        <v>5545.9231841571182</v>
      </c>
      <c r="R3549" s="21">
        <v>1</v>
      </c>
      <c r="S3549" s="20">
        <v>5545.9231841571182</v>
      </c>
    </row>
    <row r="3550" spans="2:19" ht="15" customHeight="1" x14ac:dyDescent="0.25">
      <c r="B3550" s="2" t="str">
        <f t="shared" si="110"/>
        <v>PGL_Income Eligible_Single Family_IHWAP_Air sealing w/ attic insulation_0_IE SF</v>
      </c>
      <c r="C3550" s="2" t="str">
        <f t="shared" si="111"/>
        <v>PGL_Income Eligible_Single Family_IHWAP_Air sealing w/ attic insulation_0_IE SF_2023</v>
      </c>
      <c r="D3550" s="19" t="s">
        <v>1794</v>
      </c>
      <c r="E3550" s="19" t="s">
        <v>325</v>
      </c>
      <c r="F3550" s="19" t="s">
        <v>375</v>
      </c>
      <c r="G3550" s="19" t="s">
        <v>1439</v>
      </c>
      <c r="H3550" s="19" t="s">
        <v>1436</v>
      </c>
      <c r="I3550" s="19">
        <v>0</v>
      </c>
      <c r="J3550" s="19" t="s">
        <v>881</v>
      </c>
      <c r="K3550" s="19" t="s">
        <v>581</v>
      </c>
      <c r="L3550" s="19">
        <v>2023</v>
      </c>
      <c r="M3550" s="20">
        <v>743.2399999999999</v>
      </c>
      <c r="N3550" s="19" t="s">
        <v>1800</v>
      </c>
      <c r="O3550" s="20">
        <v>108</v>
      </c>
      <c r="P3550" s="20">
        <v>80269.919999999984</v>
      </c>
      <c r="Q3550" s="20">
        <v>5545.9231841571182</v>
      </c>
      <c r="R3550" s="21">
        <v>1</v>
      </c>
      <c r="S3550" s="20">
        <v>5545.9231841571182</v>
      </c>
    </row>
    <row r="3551" spans="2:19" ht="15" customHeight="1" x14ac:dyDescent="0.25">
      <c r="B3551" s="2" t="str">
        <f t="shared" si="110"/>
        <v>PGL_Income Eligible_Single Family_IHWAP_Air sealing w/ attic insulation_0_IE SF</v>
      </c>
      <c r="C3551" s="2" t="str">
        <f t="shared" si="111"/>
        <v>PGL_Income Eligible_Single Family_IHWAP_Air sealing w/ attic insulation_0_IE SF_2024</v>
      </c>
      <c r="D3551" s="19" t="s">
        <v>1794</v>
      </c>
      <c r="E3551" s="19" t="s">
        <v>325</v>
      </c>
      <c r="F3551" s="19" t="s">
        <v>375</v>
      </c>
      <c r="G3551" s="19" t="s">
        <v>1439</v>
      </c>
      <c r="H3551" s="19" t="s">
        <v>1436</v>
      </c>
      <c r="I3551" s="19">
        <v>0</v>
      </c>
      <c r="J3551" s="19" t="s">
        <v>881</v>
      </c>
      <c r="K3551" s="19" t="s">
        <v>581</v>
      </c>
      <c r="L3551" s="19">
        <v>2024</v>
      </c>
      <c r="M3551" s="20">
        <v>743.2399999999999</v>
      </c>
      <c r="N3551" s="19" t="s">
        <v>1800</v>
      </c>
      <c r="O3551" s="20">
        <v>108</v>
      </c>
      <c r="P3551" s="20">
        <v>80269.919999999984</v>
      </c>
      <c r="Q3551" s="20">
        <v>5545.9231841571182</v>
      </c>
      <c r="R3551" s="21">
        <v>1</v>
      </c>
      <c r="S3551" s="20">
        <v>5545.9231841571182</v>
      </c>
    </row>
    <row r="3552" spans="2:19" ht="15" customHeight="1" x14ac:dyDescent="0.25">
      <c r="B3552" s="2" t="str">
        <f t="shared" si="110"/>
        <v>PGL_Income Eligible_Single Family_IHWAP_Air sealing w/ attic insulation_0_IE SF</v>
      </c>
      <c r="C3552" s="2" t="str">
        <f t="shared" si="111"/>
        <v>PGL_Income Eligible_Single Family_IHWAP_Air sealing w/ attic insulation_0_IE SF_2025</v>
      </c>
      <c r="D3552" s="19" t="s">
        <v>1794</v>
      </c>
      <c r="E3552" s="19" t="s">
        <v>325</v>
      </c>
      <c r="F3552" s="19" t="s">
        <v>375</v>
      </c>
      <c r="G3552" s="19" t="s">
        <v>1439</v>
      </c>
      <c r="H3552" s="19" t="s">
        <v>1436</v>
      </c>
      <c r="I3552" s="19">
        <v>0</v>
      </c>
      <c r="J3552" s="19" t="s">
        <v>881</v>
      </c>
      <c r="K3552" s="19" t="s">
        <v>581</v>
      </c>
      <c r="L3552" s="19">
        <v>2025</v>
      </c>
      <c r="M3552" s="20">
        <v>743.2399999999999</v>
      </c>
      <c r="N3552" s="19" t="s">
        <v>1800</v>
      </c>
      <c r="O3552" s="20">
        <v>108</v>
      </c>
      <c r="P3552" s="20">
        <v>80269.919999999984</v>
      </c>
      <c r="Q3552" s="20">
        <v>5545.9231841571182</v>
      </c>
      <c r="R3552" s="21">
        <v>1</v>
      </c>
      <c r="S3552" s="20">
        <v>5545.9231841571182</v>
      </c>
    </row>
    <row r="3553" spans="2:19" ht="15" customHeight="1" x14ac:dyDescent="0.25">
      <c r="B3553" s="2" t="str">
        <f t="shared" si="110"/>
        <v>PGL_Income Eligible_Single Family_IHWAP_Duct Sealing_0_SF</v>
      </c>
      <c r="C3553" s="2" t="str">
        <f t="shared" si="111"/>
        <v>PGL_Income Eligible_Single Family_IHWAP_Duct Sealing_0_SF_2022</v>
      </c>
      <c r="D3553" s="19" t="s">
        <v>1794</v>
      </c>
      <c r="E3553" s="19" t="s">
        <v>325</v>
      </c>
      <c r="F3553" s="19" t="s">
        <v>375</v>
      </c>
      <c r="G3553" s="19" t="s">
        <v>1439</v>
      </c>
      <c r="H3553" s="19" t="s">
        <v>680</v>
      </c>
      <c r="I3553" s="19">
        <v>0</v>
      </c>
      <c r="J3553" s="19" t="s">
        <v>684</v>
      </c>
      <c r="K3553" s="19" t="s">
        <v>409</v>
      </c>
      <c r="L3553" s="19">
        <v>2022</v>
      </c>
      <c r="M3553" s="20">
        <v>120</v>
      </c>
      <c r="N3553" s="19" t="s">
        <v>1801</v>
      </c>
      <c r="O3553" s="20">
        <v>11</v>
      </c>
      <c r="P3553" s="20">
        <v>1320</v>
      </c>
      <c r="Q3553" s="20">
        <v>929.23959827833585</v>
      </c>
      <c r="R3553" s="21">
        <v>1</v>
      </c>
      <c r="S3553" s="20">
        <v>929.23959827833585</v>
      </c>
    </row>
    <row r="3554" spans="2:19" ht="15" customHeight="1" x14ac:dyDescent="0.25">
      <c r="B3554" s="2" t="str">
        <f t="shared" si="110"/>
        <v>PGL_Income Eligible_Single Family_IHWAP_Duct Sealing_0_SF</v>
      </c>
      <c r="C3554" s="2" t="str">
        <f t="shared" si="111"/>
        <v>PGL_Income Eligible_Single Family_IHWAP_Duct Sealing_0_SF_2023</v>
      </c>
      <c r="D3554" s="19" t="s">
        <v>1794</v>
      </c>
      <c r="E3554" s="19" t="s">
        <v>325</v>
      </c>
      <c r="F3554" s="19" t="s">
        <v>375</v>
      </c>
      <c r="G3554" s="19" t="s">
        <v>1439</v>
      </c>
      <c r="H3554" s="19" t="s">
        <v>680</v>
      </c>
      <c r="I3554" s="19">
        <v>0</v>
      </c>
      <c r="J3554" s="19" t="s">
        <v>684</v>
      </c>
      <c r="K3554" s="19" t="s">
        <v>409</v>
      </c>
      <c r="L3554" s="19">
        <v>2023</v>
      </c>
      <c r="M3554" s="20">
        <v>120</v>
      </c>
      <c r="N3554" s="19" t="s">
        <v>1801</v>
      </c>
      <c r="O3554" s="20">
        <v>11</v>
      </c>
      <c r="P3554" s="20">
        <v>1320</v>
      </c>
      <c r="Q3554" s="20">
        <v>929.23959827833585</v>
      </c>
      <c r="R3554" s="21">
        <v>1</v>
      </c>
      <c r="S3554" s="20">
        <v>929.23959827833585</v>
      </c>
    </row>
    <row r="3555" spans="2:19" ht="15" customHeight="1" x14ac:dyDescent="0.25">
      <c r="B3555" s="2" t="str">
        <f t="shared" si="110"/>
        <v>PGL_Income Eligible_Single Family_IHWAP_Duct Sealing_0_SF</v>
      </c>
      <c r="C3555" s="2" t="str">
        <f t="shared" si="111"/>
        <v>PGL_Income Eligible_Single Family_IHWAP_Duct Sealing_0_SF_2024</v>
      </c>
      <c r="D3555" s="19" t="s">
        <v>1794</v>
      </c>
      <c r="E3555" s="19" t="s">
        <v>325</v>
      </c>
      <c r="F3555" s="19" t="s">
        <v>375</v>
      </c>
      <c r="G3555" s="19" t="s">
        <v>1439</v>
      </c>
      <c r="H3555" s="19" t="s">
        <v>680</v>
      </c>
      <c r="I3555" s="19">
        <v>0</v>
      </c>
      <c r="J3555" s="19" t="s">
        <v>684</v>
      </c>
      <c r="K3555" s="19" t="s">
        <v>409</v>
      </c>
      <c r="L3555" s="19">
        <v>2024</v>
      </c>
      <c r="M3555" s="20">
        <v>120</v>
      </c>
      <c r="N3555" s="19" t="s">
        <v>1801</v>
      </c>
      <c r="O3555" s="20">
        <v>11</v>
      </c>
      <c r="P3555" s="20">
        <v>1320</v>
      </c>
      <c r="Q3555" s="20">
        <v>929.23959827833585</v>
      </c>
      <c r="R3555" s="21">
        <v>1</v>
      </c>
      <c r="S3555" s="20">
        <v>929.23959827833585</v>
      </c>
    </row>
    <row r="3556" spans="2:19" ht="15" customHeight="1" x14ac:dyDescent="0.25">
      <c r="B3556" s="2" t="str">
        <f t="shared" si="110"/>
        <v>PGL_Income Eligible_Single Family_IHWAP_Duct Sealing_0_SF</v>
      </c>
      <c r="C3556" s="2" t="str">
        <f t="shared" si="111"/>
        <v>PGL_Income Eligible_Single Family_IHWAP_Duct Sealing_0_SF_2025</v>
      </c>
      <c r="D3556" s="19" t="s">
        <v>1794</v>
      </c>
      <c r="E3556" s="19" t="s">
        <v>325</v>
      </c>
      <c r="F3556" s="19" t="s">
        <v>375</v>
      </c>
      <c r="G3556" s="19" t="s">
        <v>1439</v>
      </c>
      <c r="H3556" s="19" t="s">
        <v>680</v>
      </c>
      <c r="I3556" s="19">
        <v>0</v>
      </c>
      <c r="J3556" s="19" t="s">
        <v>684</v>
      </c>
      <c r="K3556" s="19" t="s">
        <v>409</v>
      </c>
      <c r="L3556" s="19">
        <v>2025</v>
      </c>
      <c r="M3556" s="20">
        <v>120</v>
      </c>
      <c r="N3556" s="19" t="s">
        <v>1801</v>
      </c>
      <c r="O3556" s="20">
        <v>11</v>
      </c>
      <c r="P3556" s="20">
        <v>1320</v>
      </c>
      <c r="Q3556" s="20">
        <v>929.23959827833585</v>
      </c>
      <c r="R3556" s="21">
        <v>1</v>
      </c>
      <c r="S3556" s="20">
        <v>929.23959827833585</v>
      </c>
    </row>
    <row r="3557" spans="2:19" ht="15" customHeight="1" x14ac:dyDescent="0.25">
      <c r="B3557" s="2" t="str">
        <f t="shared" si="110"/>
        <v>PGL_Income Eligible_Single Family_IHWAP_Wall Insulation_0_SF</v>
      </c>
      <c r="C3557" s="2" t="str">
        <f t="shared" si="111"/>
        <v>PGL_Income Eligible_Single Family_IHWAP_Wall Insulation_0_SF_2022</v>
      </c>
      <c r="D3557" s="19" t="s">
        <v>1794</v>
      </c>
      <c r="E3557" s="19" t="s">
        <v>325</v>
      </c>
      <c r="F3557" s="19" t="s">
        <v>375</v>
      </c>
      <c r="G3557" s="19" t="s">
        <v>1439</v>
      </c>
      <c r="H3557" s="19" t="s">
        <v>222</v>
      </c>
      <c r="I3557" s="19">
        <v>0</v>
      </c>
      <c r="J3557" s="19" t="s">
        <v>783</v>
      </c>
      <c r="K3557" s="19" t="s">
        <v>409</v>
      </c>
      <c r="L3557" s="19">
        <v>2022</v>
      </c>
      <c r="M3557" s="20">
        <v>500</v>
      </c>
      <c r="N3557" s="19" t="s">
        <v>751</v>
      </c>
      <c r="O3557" s="20">
        <v>54</v>
      </c>
      <c r="P3557" s="20">
        <v>27000</v>
      </c>
      <c r="Q3557" s="20">
        <v>2923.4329411764702</v>
      </c>
      <c r="R3557" s="21">
        <v>1</v>
      </c>
      <c r="S3557" s="20">
        <v>2923.4329411764702</v>
      </c>
    </row>
    <row r="3558" spans="2:19" ht="15" customHeight="1" x14ac:dyDescent="0.25">
      <c r="B3558" s="2" t="str">
        <f t="shared" si="110"/>
        <v>PGL_Income Eligible_Single Family_IHWAP_Wall Insulation_0_SF</v>
      </c>
      <c r="C3558" s="2" t="str">
        <f t="shared" si="111"/>
        <v>PGL_Income Eligible_Single Family_IHWAP_Wall Insulation_0_SF_2023</v>
      </c>
      <c r="D3558" s="19" t="s">
        <v>1794</v>
      </c>
      <c r="E3558" s="19" t="s">
        <v>325</v>
      </c>
      <c r="F3558" s="19" t="s">
        <v>375</v>
      </c>
      <c r="G3558" s="19" t="s">
        <v>1439</v>
      </c>
      <c r="H3558" s="19" t="s">
        <v>222</v>
      </c>
      <c r="I3558" s="19">
        <v>0</v>
      </c>
      <c r="J3558" s="19" t="s">
        <v>783</v>
      </c>
      <c r="K3558" s="19" t="s">
        <v>409</v>
      </c>
      <c r="L3558" s="19">
        <v>2023</v>
      </c>
      <c r="M3558" s="20">
        <v>500</v>
      </c>
      <c r="N3558" s="19" t="s">
        <v>751</v>
      </c>
      <c r="O3558" s="20">
        <v>54</v>
      </c>
      <c r="P3558" s="20">
        <v>27000</v>
      </c>
      <c r="Q3558" s="20">
        <v>2923.4329411764702</v>
      </c>
      <c r="R3558" s="21">
        <v>1</v>
      </c>
      <c r="S3558" s="20">
        <v>2923.4329411764702</v>
      </c>
    </row>
    <row r="3559" spans="2:19" ht="15" customHeight="1" x14ac:dyDescent="0.25">
      <c r="B3559" s="2" t="str">
        <f t="shared" si="110"/>
        <v>PGL_Income Eligible_Single Family_IHWAP_Wall Insulation_0_SF</v>
      </c>
      <c r="C3559" s="2" t="str">
        <f t="shared" si="111"/>
        <v>PGL_Income Eligible_Single Family_IHWAP_Wall Insulation_0_SF_2024</v>
      </c>
      <c r="D3559" s="19" t="s">
        <v>1794</v>
      </c>
      <c r="E3559" s="19" t="s">
        <v>325</v>
      </c>
      <c r="F3559" s="19" t="s">
        <v>375</v>
      </c>
      <c r="G3559" s="19" t="s">
        <v>1439</v>
      </c>
      <c r="H3559" s="19" t="s">
        <v>222</v>
      </c>
      <c r="I3559" s="19">
        <v>0</v>
      </c>
      <c r="J3559" s="19" t="s">
        <v>783</v>
      </c>
      <c r="K3559" s="19" t="s">
        <v>409</v>
      </c>
      <c r="L3559" s="19">
        <v>2024</v>
      </c>
      <c r="M3559" s="20">
        <v>500</v>
      </c>
      <c r="N3559" s="19" t="s">
        <v>751</v>
      </c>
      <c r="O3559" s="20">
        <v>54</v>
      </c>
      <c r="P3559" s="20">
        <v>27000</v>
      </c>
      <c r="Q3559" s="20">
        <v>2923.4329411764702</v>
      </c>
      <c r="R3559" s="21">
        <v>1</v>
      </c>
      <c r="S3559" s="20">
        <v>2923.4329411764702</v>
      </c>
    </row>
    <row r="3560" spans="2:19" ht="15" customHeight="1" x14ac:dyDescent="0.25">
      <c r="B3560" s="2" t="str">
        <f t="shared" si="110"/>
        <v>PGL_Income Eligible_Single Family_IHWAP_Wall Insulation_0_SF</v>
      </c>
      <c r="C3560" s="2" t="str">
        <f t="shared" si="111"/>
        <v>PGL_Income Eligible_Single Family_IHWAP_Wall Insulation_0_SF_2025</v>
      </c>
      <c r="D3560" s="19" t="s">
        <v>1794</v>
      </c>
      <c r="E3560" s="19" t="s">
        <v>325</v>
      </c>
      <c r="F3560" s="19" t="s">
        <v>375</v>
      </c>
      <c r="G3560" s="19" t="s">
        <v>1439</v>
      </c>
      <c r="H3560" s="19" t="s">
        <v>222</v>
      </c>
      <c r="I3560" s="19">
        <v>0</v>
      </c>
      <c r="J3560" s="19" t="s">
        <v>783</v>
      </c>
      <c r="K3560" s="19" t="s">
        <v>409</v>
      </c>
      <c r="L3560" s="19">
        <v>2025</v>
      </c>
      <c r="M3560" s="20">
        <v>500</v>
      </c>
      <c r="N3560" s="19" t="s">
        <v>751</v>
      </c>
      <c r="O3560" s="20">
        <v>54</v>
      </c>
      <c r="P3560" s="20">
        <v>27000</v>
      </c>
      <c r="Q3560" s="20">
        <v>2923.4329411764702</v>
      </c>
      <c r="R3560" s="21">
        <v>1</v>
      </c>
      <c r="S3560" s="20">
        <v>2923.4329411764702</v>
      </c>
    </row>
    <row r="3561" spans="2:19" ht="15" customHeight="1" x14ac:dyDescent="0.25">
      <c r="B3561" s="2" t="str">
        <f t="shared" si="110"/>
        <v>PGL_Income Eligible_Single Family_IHWAP_Foundation Insulation_0_SF</v>
      </c>
      <c r="C3561" s="2" t="str">
        <f t="shared" si="111"/>
        <v>PGL_Income Eligible_Single Family_IHWAP_Foundation Insulation_0_SF_2022</v>
      </c>
      <c r="D3561" s="19" t="s">
        <v>1794</v>
      </c>
      <c r="E3561" s="19" t="s">
        <v>325</v>
      </c>
      <c r="F3561" s="19" t="s">
        <v>375</v>
      </c>
      <c r="G3561" s="19" t="s">
        <v>1439</v>
      </c>
      <c r="H3561" s="19" t="s">
        <v>608</v>
      </c>
      <c r="I3561" s="19">
        <v>0</v>
      </c>
      <c r="J3561" s="19" t="s">
        <v>610</v>
      </c>
      <c r="K3561" s="19" t="s">
        <v>409</v>
      </c>
      <c r="L3561" s="19">
        <v>2022</v>
      </c>
      <c r="M3561" s="20">
        <v>140</v>
      </c>
      <c r="N3561" s="19" t="s">
        <v>751</v>
      </c>
      <c r="O3561" s="20">
        <v>22</v>
      </c>
      <c r="P3561" s="20">
        <v>3080</v>
      </c>
      <c r="Q3561" s="20">
        <v>421.82249999999999</v>
      </c>
      <c r="R3561" s="21">
        <v>1</v>
      </c>
      <c r="S3561" s="20">
        <v>421.82249999999999</v>
      </c>
    </row>
    <row r="3562" spans="2:19" ht="15" customHeight="1" x14ac:dyDescent="0.25">
      <c r="B3562" s="2" t="str">
        <f t="shared" si="110"/>
        <v>PGL_Income Eligible_Single Family_IHWAP_Foundation Insulation_0_SF</v>
      </c>
      <c r="C3562" s="2" t="str">
        <f t="shared" si="111"/>
        <v>PGL_Income Eligible_Single Family_IHWAP_Foundation Insulation_0_SF_2023</v>
      </c>
      <c r="D3562" s="19" t="s">
        <v>1794</v>
      </c>
      <c r="E3562" s="19" t="s">
        <v>325</v>
      </c>
      <c r="F3562" s="19" t="s">
        <v>375</v>
      </c>
      <c r="G3562" s="19" t="s">
        <v>1439</v>
      </c>
      <c r="H3562" s="19" t="s">
        <v>608</v>
      </c>
      <c r="I3562" s="19">
        <v>0</v>
      </c>
      <c r="J3562" s="19" t="s">
        <v>610</v>
      </c>
      <c r="K3562" s="19" t="s">
        <v>409</v>
      </c>
      <c r="L3562" s="19">
        <v>2023</v>
      </c>
      <c r="M3562" s="20">
        <v>140</v>
      </c>
      <c r="N3562" s="19" t="s">
        <v>751</v>
      </c>
      <c r="O3562" s="20">
        <v>22</v>
      </c>
      <c r="P3562" s="20">
        <v>3080</v>
      </c>
      <c r="Q3562" s="20">
        <v>421.82249999999999</v>
      </c>
      <c r="R3562" s="21">
        <v>1</v>
      </c>
      <c r="S3562" s="20">
        <v>421.82249999999999</v>
      </c>
    </row>
    <row r="3563" spans="2:19" ht="15" customHeight="1" x14ac:dyDescent="0.25">
      <c r="B3563" s="2" t="str">
        <f t="shared" si="110"/>
        <v>PGL_Income Eligible_Single Family_IHWAP_Foundation Insulation_0_SF</v>
      </c>
      <c r="C3563" s="2" t="str">
        <f t="shared" si="111"/>
        <v>PGL_Income Eligible_Single Family_IHWAP_Foundation Insulation_0_SF_2024</v>
      </c>
      <c r="D3563" s="19" t="s">
        <v>1794</v>
      </c>
      <c r="E3563" s="19" t="s">
        <v>325</v>
      </c>
      <c r="F3563" s="19" t="s">
        <v>375</v>
      </c>
      <c r="G3563" s="19" t="s">
        <v>1439</v>
      </c>
      <c r="H3563" s="19" t="s">
        <v>608</v>
      </c>
      <c r="I3563" s="19">
        <v>0</v>
      </c>
      <c r="J3563" s="19" t="s">
        <v>610</v>
      </c>
      <c r="K3563" s="19" t="s">
        <v>409</v>
      </c>
      <c r="L3563" s="19">
        <v>2024</v>
      </c>
      <c r="M3563" s="20">
        <v>140</v>
      </c>
      <c r="N3563" s="19" t="s">
        <v>751</v>
      </c>
      <c r="O3563" s="20">
        <v>22</v>
      </c>
      <c r="P3563" s="20">
        <v>3080</v>
      </c>
      <c r="Q3563" s="20">
        <v>421.82249999999999</v>
      </c>
      <c r="R3563" s="21">
        <v>1</v>
      </c>
      <c r="S3563" s="20">
        <v>421.82249999999999</v>
      </c>
    </row>
    <row r="3564" spans="2:19" ht="15" customHeight="1" x14ac:dyDescent="0.25">
      <c r="B3564" s="2" t="str">
        <f t="shared" si="110"/>
        <v>PGL_Income Eligible_Single Family_IHWAP_Foundation Insulation_0_SF</v>
      </c>
      <c r="C3564" s="2" t="str">
        <f t="shared" si="111"/>
        <v>PGL_Income Eligible_Single Family_IHWAP_Foundation Insulation_0_SF_2025</v>
      </c>
      <c r="D3564" s="19" t="s">
        <v>1794</v>
      </c>
      <c r="E3564" s="19" t="s">
        <v>325</v>
      </c>
      <c r="F3564" s="19" t="s">
        <v>375</v>
      </c>
      <c r="G3564" s="19" t="s">
        <v>1439</v>
      </c>
      <c r="H3564" s="19" t="s">
        <v>608</v>
      </c>
      <c r="I3564" s="19">
        <v>0</v>
      </c>
      <c r="J3564" s="19" t="s">
        <v>610</v>
      </c>
      <c r="K3564" s="19" t="s">
        <v>409</v>
      </c>
      <c r="L3564" s="19">
        <v>2025</v>
      </c>
      <c r="M3564" s="20">
        <v>140</v>
      </c>
      <c r="N3564" s="19" t="s">
        <v>751</v>
      </c>
      <c r="O3564" s="20">
        <v>22</v>
      </c>
      <c r="P3564" s="20">
        <v>3080</v>
      </c>
      <c r="Q3564" s="20">
        <v>421.82249999999999</v>
      </c>
      <c r="R3564" s="21">
        <v>1</v>
      </c>
      <c r="S3564" s="20">
        <v>421.82249999999999</v>
      </c>
    </row>
    <row r="3565" spans="2:19" ht="15" customHeight="1" x14ac:dyDescent="0.25">
      <c r="B3565" s="2" t="str">
        <f t="shared" si="110"/>
        <v>PGL_Income Eligible_Single Family_IHWAP_Rim Joist Insulation_0_SF</v>
      </c>
      <c r="C3565" s="2" t="str">
        <f t="shared" si="111"/>
        <v>PGL_Income Eligible_Single Family_IHWAP_Rim Joist Insulation_0_SF_2022</v>
      </c>
      <c r="D3565" s="19" t="s">
        <v>1794</v>
      </c>
      <c r="E3565" s="19" t="s">
        <v>325</v>
      </c>
      <c r="F3565" s="19" t="s">
        <v>375</v>
      </c>
      <c r="G3565" s="19" t="s">
        <v>1439</v>
      </c>
      <c r="H3565" s="19" t="s">
        <v>759</v>
      </c>
      <c r="I3565" s="19">
        <v>0</v>
      </c>
      <c r="J3565" s="19" t="s">
        <v>761</v>
      </c>
      <c r="K3565" s="19" t="s">
        <v>409</v>
      </c>
      <c r="L3565" s="19">
        <v>2022</v>
      </c>
      <c r="M3565" s="20">
        <v>1</v>
      </c>
      <c r="N3565" s="19" t="s">
        <v>1795</v>
      </c>
      <c r="O3565" s="20">
        <v>22</v>
      </c>
      <c r="P3565" s="20">
        <v>22</v>
      </c>
      <c r="Q3565" s="20">
        <v>3.0172715294117642</v>
      </c>
      <c r="R3565" s="21">
        <v>1</v>
      </c>
      <c r="S3565" s="20">
        <v>3.0172715294117642</v>
      </c>
    </row>
    <row r="3566" spans="2:19" ht="15" customHeight="1" x14ac:dyDescent="0.25">
      <c r="B3566" s="2" t="str">
        <f t="shared" si="110"/>
        <v>PGL_Income Eligible_Single Family_IHWAP_Rim Joist Insulation_0_SF</v>
      </c>
      <c r="C3566" s="2" t="str">
        <f t="shared" si="111"/>
        <v>PGL_Income Eligible_Single Family_IHWAP_Rim Joist Insulation_0_SF_2023</v>
      </c>
      <c r="D3566" s="19" t="s">
        <v>1794</v>
      </c>
      <c r="E3566" s="19" t="s">
        <v>325</v>
      </c>
      <c r="F3566" s="19" t="s">
        <v>375</v>
      </c>
      <c r="G3566" s="19" t="s">
        <v>1439</v>
      </c>
      <c r="H3566" s="19" t="s">
        <v>759</v>
      </c>
      <c r="I3566" s="19">
        <v>0</v>
      </c>
      <c r="J3566" s="19" t="s">
        <v>761</v>
      </c>
      <c r="K3566" s="19" t="s">
        <v>409</v>
      </c>
      <c r="L3566" s="19">
        <v>2023</v>
      </c>
      <c r="M3566" s="20">
        <v>1</v>
      </c>
      <c r="N3566" s="19" t="s">
        <v>1795</v>
      </c>
      <c r="O3566" s="20">
        <v>22</v>
      </c>
      <c r="P3566" s="20">
        <v>22</v>
      </c>
      <c r="Q3566" s="20">
        <v>3.0172715294117642</v>
      </c>
      <c r="R3566" s="21">
        <v>1</v>
      </c>
      <c r="S3566" s="20">
        <v>3.0172715294117642</v>
      </c>
    </row>
    <row r="3567" spans="2:19" ht="15" customHeight="1" x14ac:dyDescent="0.25">
      <c r="B3567" s="2" t="str">
        <f t="shared" si="110"/>
        <v>PGL_Income Eligible_Single Family_IHWAP_Rim Joist Insulation_0_SF</v>
      </c>
      <c r="C3567" s="2" t="str">
        <f t="shared" si="111"/>
        <v>PGL_Income Eligible_Single Family_IHWAP_Rim Joist Insulation_0_SF_2024</v>
      </c>
      <c r="D3567" s="19" t="s">
        <v>1794</v>
      </c>
      <c r="E3567" s="19" t="s">
        <v>325</v>
      </c>
      <c r="F3567" s="19" t="s">
        <v>375</v>
      </c>
      <c r="G3567" s="19" t="s">
        <v>1439</v>
      </c>
      <c r="H3567" s="19" t="s">
        <v>759</v>
      </c>
      <c r="I3567" s="19">
        <v>0</v>
      </c>
      <c r="J3567" s="19" t="s">
        <v>761</v>
      </c>
      <c r="K3567" s="19" t="s">
        <v>409</v>
      </c>
      <c r="L3567" s="19">
        <v>2024</v>
      </c>
      <c r="M3567" s="20">
        <v>1</v>
      </c>
      <c r="N3567" s="19" t="s">
        <v>1795</v>
      </c>
      <c r="O3567" s="20">
        <v>22</v>
      </c>
      <c r="P3567" s="20">
        <v>22</v>
      </c>
      <c r="Q3567" s="20">
        <v>3.0172715294117642</v>
      </c>
      <c r="R3567" s="21">
        <v>1</v>
      </c>
      <c r="S3567" s="20">
        <v>3.0172715294117642</v>
      </c>
    </row>
    <row r="3568" spans="2:19" ht="15" customHeight="1" x14ac:dyDescent="0.25">
      <c r="B3568" s="2" t="str">
        <f t="shared" si="110"/>
        <v>PGL_Income Eligible_Single Family_IHWAP_Rim Joist Insulation_0_SF</v>
      </c>
      <c r="C3568" s="2" t="str">
        <f t="shared" si="111"/>
        <v>PGL_Income Eligible_Single Family_IHWAP_Rim Joist Insulation_0_SF_2025</v>
      </c>
      <c r="D3568" s="19" t="s">
        <v>1794</v>
      </c>
      <c r="E3568" s="19" t="s">
        <v>325</v>
      </c>
      <c r="F3568" s="19" t="s">
        <v>375</v>
      </c>
      <c r="G3568" s="19" t="s">
        <v>1439</v>
      </c>
      <c r="H3568" s="19" t="s">
        <v>759</v>
      </c>
      <c r="I3568" s="19">
        <v>0</v>
      </c>
      <c r="J3568" s="19" t="s">
        <v>761</v>
      </c>
      <c r="K3568" s="19" t="s">
        <v>409</v>
      </c>
      <c r="L3568" s="19">
        <v>2025</v>
      </c>
      <c r="M3568" s="20">
        <v>1</v>
      </c>
      <c r="N3568" s="19" t="s">
        <v>1795</v>
      </c>
      <c r="O3568" s="20">
        <v>22</v>
      </c>
      <c r="P3568" s="20">
        <v>22</v>
      </c>
      <c r="Q3568" s="20">
        <v>3.0172715294117642</v>
      </c>
      <c r="R3568" s="21">
        <v>1</v>
      </c>
      <c r="S3568" s="20">
        <v>3.0172715294117642</v>
      </c>
    </row>
    <row r="3569" spans="2:19" ht="15" customHeight="1" x14ac:dyDescent="0.25">
      <c r="B3569" s="2" t="str">
        <f t="shared" si="110"/>
        <v>PGL_Income Eligible_Single Family_IHWAP_Floor Insulation Above Crawlspace_0_SF</v>
      </c>
      <c r="C3569" s="2" t="str">
        <f t="shared" si="111"/>
        <v>PGL_Income Eligible_Single Family_IHWAP_Floor Insulation Above Crawlspace_0_SF_2022</v>
      </c>
      <c r="D3569" s="19" t="s">
        <v>1794</v>
      </c>
      <c r="E3569" s="19" t="s">
        <v>325</v>
      </c>
      <c r="F3569" s="19" t="s">
        <v>375</v>
      </c>
      <c r="G3569" s="19" t="s">
        <v>1439</v>
      </c>
      <c r="H3569" s="19" t="s">
        <v>244</v>
      </c>
      <c r="I3569" s="19">
        <v>0</v>
      </c>
      <c r="J3569" s="19" t="s">
        <v>750</v>
      </c>
      <c r="K3569" s="19" t="s">
        <v>409</v>
      </c>
      <c r="L3569" s="19">
        <v>2022</v>
      </c>
      <c r="M3569" s="20">
        <v>1</v>
      </c>
      <c r="N3569" s="19" t="s">
        <v>1795</v>
      </c>
      <c r="O3569" s="20">
        <v>65</v>
      </c>
      <c r="P3569" s="20">
        <v>65</v>
      </c>
      <c r="Q3569" s="20">
        <v>6.8180162473794566</v>
      </c>
      <c r="R3569" s="21">
        <v>1</v>
      </c>
      <c r="S3569" s="20">
        <v>6.8180162473794566</v>
      </c>
    </row>
    <row r="3570" spans="2:19" ht="15" customHeight="1" x14ac:dyDescent="0.25">
      <c r="B3570" s="2" t="str">
        <f t="shared" si="110"/>
        <v>PGL_Income Eligible_Single Family_IHWAP_Floor Insulation Above Crawlspace_0_SF</v>
      </c>
      <c r="C3570" s="2" t="str">
        <f t="shared" si="111"/>
        <v>PGL_Income Eligible_Single Family_IHWAP_Floor Insulation Above Crawlspace_0_SF_2023</v>
      </c>
      <c r="D3570" s="19" t="s">
        <v>1794</v>
      </c>
      <c r="E3570" s="19" t="s">
        <v>325</v>
      </c>
      <c r="F3570" s="19" t="s">
        <v>375</v>
      </c>
      <c r="G3570" s="19" t="s">
        <v>1439</v>
      </c>
      <c r="H3570" s="19" t="s">
        <v>244</v>
      </c>
      <c r="I3570" s="19">
        <v>0</v>
      </c>
      <c r="J3570" s="19" t="s">
        <v>750</v>
      </c>
      <c r="K3570" s="19" t="s">
        <v>409</v>
      </c>
      <c r="L3570" s="19">
        <v>2023</v>
      </c>
      <c r="M3570" s="20">
        <v>1</v>
      </c>
      <c r="N3570" s="19" t="s">
        <v>1795</v>
      </c>
      <c r="O3570" s="20">
        <v>65</v>
      </c>
      <c r="P3570" s="20">
        <v>65</v>
      </c>
      <c r="Q3570" s="20">
        <v>6.8180162473794566</v>
      </c>
      <c r="R3570" s="21">
        <v>1</v>
      </c>
      <c r="S3570" s="20">
        <v>6.8180162473794566</v>
      </c>
    </row>
    <row r="3571" spans="2:19" ht="15" customHeight="1" x14ac:dyDescent="0.25">
      <c r="B3571" s="2" t="str">
        <f t="shared" si="110"/>
        <v>PGL_Income Eligible_Single Family_IHWAP_Floor Insulation Above Crawlspace_0_SF</v>
      </c>
      <c r="C3571" s="2" t="str">
        <f t="shared" si="111"/>
        <v>PGL_Income Eligible_Single Family_IHWAP_Floor Insulation Above Crawlspace_0_SF_2024</v>
      </c>
      <c r="D3571" s="19" t="s">
        <v>1794</v>
      </c>
      <c r="E3571" s="19" t="s">
        <v>325</v>
      </c>
      <c r="F3571" s="19" t="s">
        <v>375</v>
      </c>
      <c r="G3571" s="19" t="s">
        <v>1439</v>
      </c>
      <c r="H3571" s="19" t="s">
        <v>244</v>
      </c>
      <c r="I3571" s="19">
        <v>0</v>
      </c>
      <c r="J3571" s="19" t="s">
        <v>750</v>
      </c>
      <c r="K3571" s="19" t="s">
        <v>409</v>
      </c>
      <c r="L3571" s="19">
        <v>2024</v>
      </c>
      <c r="M3571" s="20">
        <v>1</v>
      </c>
      <c r="N3571" s="19" t="s">
        <v>1795</v>
      </c>
      <c r="O3571" s="20">
        <v>65</v>
      </c>
      <c r="P3571" s="20">
        <v>65</v>
      </c>
      <c r="Q3571" s="20">
        <v>6.8180162473794566</v>
      </c>
      <c r="R3571" s="21">
        <v>1</v>
      </c>
      <c r="S3571" s="20">
        <v>6.8180162473794566</v>
      </c>
    </row>
    <row r="3572" spans="2:19" ht="15" customHeight="1" x14ac:dyDescent="0.25">
      <c r="B3572" s="2" t="str">
        <f t="shared" si="110"/>
        <v>PGL_Income Eligible_Single Family_IHWAP_Floor Insulation Above Crawlspace_0_SF</v>
      </c>
      <c r="C3572" s="2" t="str">
        <f t="shared" si="111"/>
        <v>PGL_Income Eligible_Single Family_IHWAP_Floor Insulation Above Crawlspace_0_SF_2025</v>
      </c>
      <c r="D3572" s="19" t="s">
        <v>1794</v>
      </c>
      <c r="E3572" s="19" t="s">
        <v>325</v>
      </c>
      <c r="F3572" s="19" t="s">
        <v>375</v>
      </c>
      <c r="G3572" s="19" t="s">
        <v>1439</v>
      </c>
      <c r="H3572" s="19" t="s">
        <v>244</v>
      </c>
      <c r="I3572" s="19">
        <v>0</v>
      </c>
      <c r="J3572" s="19" t="s">
        <v>750</v>
      </c>
      <c r="K3572" s="19" t="s">
        <v>409</v>
      </c>
      <c r="L3572" s="19">
        <v>2025</v>
      </c>
      <c r="M3572" s="20">
        <v>1</v>
      </c>
      <c r="N3572" s="19" t="s">
        <v>1795</v>
      </c>
      <c r="O3572" s="20">
        <v>65</v>
      </c>
      <c r="P3572" s="20">
        <v>65</v>
      </c>
      <c r="Q3572" s="20">
        <v>6.8180162473794566</v>
      </c>
      <c r="R3572" s="21">
        <v>1</v>
      </c>
      <c r="S3572" s="20">
        <v>6.8180162473794566</v>
      </c>
    </row>
    <row r="3573" spans="2:19" ht="15" customHeight="1" x14ac:dyDescent="0.25">
      <c r="B3573" s="2" t="str">
        <f t="shared" si="110"/>
        <v>PGL_Income Eligible_Single Family_IHWAP_Water Heater_Storage 0.67 EF_SF</v>
      </c>
      <c r="C3573" s="2" t="str">
        <f t="shared" si="111"/>
        <v>PGL_Income Eligible_Single Family_IHWAP_Water Heater_Storage 0.67 EF_SF_2022</v>
      </c>
      <c r="D3573" s="19" t="s">
        <v>1794</v>
      </c>
      <c r="E3573" s="19" t="s">
        <v>325</v>
      </c>
      <c r="F3573" s="19" t="s">
        <v>375</v>
      </c>
      <c r="G3573" s="19" t="s">
        <v>1439</v>
      </c>
      <c r="H3573" s="19" t="s">
        <v>8</v>
      </c>
      <c r="I3573" s="19" t="s">
        <v>879</v>
      </c>
      <c r="J3573" s="19" t="s">
        <v>866</v>
      </c>
      <c r="K3573" s="19" t="s">
        <v>409</v>
      </c>
      <c r="L3573" s="19">
        <v>2022</v>
      </c>
      <c r="M3573" s="20">
        <v>1</v>
      </c>
      <c r="N3573" s="19" t="s">
        <v>1795</v>
      </c>
      <c r="O3573" s="20">
        <v>45</v>
      </c>
      <c r="P3573" s="20">
        <v>45</v>
      </c>
      <c r="Q3573" s="20">
        <v>1010.4708543749957</v>
      </c>
      <c r="R3573" s="21">
        <v>1</v>
      </c>
      <c r="S3573" s="20">
        <v>1010.4708543749957</v>
      </c>
    </row>
    <row r="3574" spans="2:19" ht="15" customHeight="1" x14ac:dyDescent="0.25">
      <c r="B3574" s="2" t="str">
        <f t="shared" si="110"/>
        <v>PGL_Income Eligible_Single Family_IHWAP_Water Heater_Storage 0.67 EF_SF</v>
      </c>
      <c r="C3574" s="2" t="str">
        <f t="shared" si="111"/>
        <v>PGL_Income Eligible_Single Family_IHWAP_Water Heater_Storage 0.67 EF_SF_2023</v>
      </c>
      <c r="D3574" s="19" t="s">
        <v>1794</v>
      </c>
      <c r="E3574" s="19" t="s">
        <v>325</v>
      </c>
      <c r="F3574" s="19" t="s">
        <v>375</v>
      </c>
      <c r="G3574" s="19" t="s">
        <v>1439</v>
      </c>
      <c r="H3574" s="19" t="s">
        <v>8</v>
      </c>
      <c r="I3574" s="19" t="s">
        <v>879</v>
      </c>
      <c r="J3574" s="19" t="s">
        <v>866</v>
      </c>
      <c r="K3574" s="19" t="s">
        <v>409</v>
      </c>
      <c r="L3574" s="19">
        <v>2023</v>
      </c>
      <c r="M3574" s="20">
        <v>1</v>
      </c>
      <c r="N3574" s="19" t="s">
        <v>1795</v>
      </c>
      <c r="O3574" s="20">
        <v>45</v>
      </c>
      <c r="P3574" s="20">
        <v>45</v>
      </c>
      <c r="Q3574" s="20">
        <v>1010.4708543749957</v>
      </c>
      <c r="R3574" s="21">
        <v>1</v>
      </c>
      <c r="S3574" s="20">
        <v>1010.4708543749957</v>
      </c>
    </row>
    <row r="3575" spans="2:19" ht="15" customHeight="1" x14ac:dyDescent="0.25">
      <c r="B3575" s="2" t="str">
        <f t="shared" si="110"/>
        <v>PGL_Income Eligible_Single Family_IHWAP_Water Heater_Storage 0.67 EF_SF</v>
      </c>
      <c r="C3575" s="2" t="str">
        <f t="shared" si="111"/>
        <v>PGL_Income Eligible_Single Family_IHWAP_Water Heater_Storage 0.67 EF_SF_2024</v>
      </c>
      <c r="D3575" s="19" t="s">
        <v>1794</v>
      </c>
      <c r="E3575" s="19" t="s">
        <v>325</v>
      </c>
      <c r="F3575" s="19" t="s">
        <v>375</v>
      </c>
      <c r="G3575" s="19" t="s">
        <v>1439</v>
      </c>
      <c r="H3575" s="19" t="s">
        <v>8</v>
      </c>
      <c r="I3575" s="19" t="s">
        <v>879</v>
      </c>
      <c r="J3575" s="19" t="s">
        <v>866</v>
      </c>
      <c r="K3575" s="19" t="s">
        <v>409</v>
      </c>
      <c r="L3575" s="19">
        <v>2024</v>
      </c>
      <c r="M3575" s="20">
        <v>1</v>
      </c>
      <c r="N3575" s="19" t="s">
        <v>1795</v>
      </c>
      <c r="O3575" s="20">
        <v>45</v>
      </c>
      <c r="P3575" s="20">
        <v>45</v>
      </c>
      <c r="Q3575" s="20">
        <v>1010.4708543749957</v>
      </c>
      <c r="R3575" s="21">
        <v>1</v>
      </c>
      <c r="S3575" s="20">
        <v>1010.4708543749957</v>
      </c>
    </row>
    <row r="3576" spans="2:19" ht="15" customHeight="1" x14ac:dyDescent="0.25">
      <c r="B3576" s="2" t="str">
        <f t="shared" si="110"/>
        <v>PGL_Income Eligible_Single Family_IHWAP_Water Heater_Storage 0.67 EF_SF</v>
      </c>
      <c r="C3576" s="2" t="str">
        <f t="shared" si="111"/>
        <v>PGL_Income Eligible_Single Family_IHWAP_Water Heater_Storage 0.67 EF_SF_2025</v>
      </c>
      <c r="D3576" s="19" t="s">
        <v>1794</v>
      </c>
      <c r="E3576" s="19" t="s">
        <v>325</v>
      </c>
      <c r="F3576" s="19" t="s">
        <v>375</v>
      </c>
      <c r="G3576" s="19" t="s">
        <v>1439</v>
      </c>
      <c r="H3576" s="19" t="s">
        <v>8</v>
      </c>
      <c r="I3576" s="19" t="s">
        <v>879</v>
      </c>
      <c r="J3576" s="19" t="s">
        <v>866</v>
      </c>
      <c r="K3576" s="19" t="s">
        <v>409</v>
      </c>
      <c r="L3576" s="19">
        <v>2025</v>
      </c>
      <c r="M3576" s="20">
        <v>1</v>
      </c>
      <c r="N3576" s="19" t="s">
        <v>1795</v>
      </c>
      <c r="O3576" s="20">
        <v>45</v>
      </c>
      <c r="P3576" s="20">
        <v>45</v>
      </c>
      <c r="Q3576" s="20">
        <v>1010.4708543749957</v>
      </c>
      <c r="R3576" s="21">
        <v>1</v>
      </c>
      <c r="S3576" s="20">
        <v>1010.4708543749957</v>
      </c>
    </row>
    <row r="3577" spans="2:19" ht="15" customHeight="1" x14ac:dyDescent="0.25">
      <c r="B3577" s="2" t="str">
        <f t="shared" si="110"/>
        <v>PGL_Income Eligible_Single Family_IHWAP_Boiler_≥88% AFUE, &lt;300MBh_SF</v>
      </c>
      <c r="C3577" s="2" t="str">
        <f t="shared" si="111"/>
        <v>PGL_Income Eligible_Single Family_IHWAP_Boiler_≥88% AFUE, &lt;300MBh_SF_2022</v>
      </c>
      <c r="D3577" s="19" t="s">
        <v>1794</v>
      </c>
      <c r="E3577" s="19" t="s">
        <v>325</v>
      </c>
      <c r="F3577" s="19" t="s">
        <v>375</v>
      </c>
      <c r="G3577" s="19" t="s">
        <v>1439</v>
      </c>
      <c r="H3577" s="19" t="s">
        <v>944</v>
      </c>
      <c r="I3577" s="19" t="s">
        <v>945</v>
      </c>
      <c r="J3577" s="19" t="s">
        <v>1057</v>
      </c>
      <c r="K3577" s="19" t="s">
        <v>409</v>
      </c>
      <c r="L3577" s="19">
        <v>2022</v>
      </c>
      <c r="M3577" s="20">
        <v>1</v>
      </c>
      <c r="N3577" s="19" t="s">
        <v>1795</v>
      </c>
      <c r="O3577" s="20">
        <v>15</v>
      </c>
      <c r="P3577" s="20">
        <v>15</v>
      </c>
      <c r="Q3577" s="20">
        <v>2210.7561904761906</v>
      </c>
      <c r="R3577" s="21">
        <v>1</v>
      </c>
      <c r="S3577" s="20">
        <v>2210.7561904761906</v>
      </c>
    </row>
    <row r="3578" spans="2:19" ht="15" customHeight="1" x14ac:dyDescent="0.25">
      <c r="B3578" s="2" t="str">
        <f t="shared" si="110"/>
        <v>PGL_Income Eligible_Single Family_IHWAP_Boiler_≥88% AFUE, &lt;300MBh_SF</v>
      </c>
      <c r="C3578" s="2" t="str">
        <f t="shared" si="111"/>
        <v>PGL_Income Eligible_Single Family_IHWAP_Boiler_≥88% AFUE, &lt;300MBh_SF_2023</v>
      </c>
      <c r="D3578" s="19" t="s">
        <v>1794</v>
      </c>
      <c r="E3578" s="19" t="s">
        <v>325</v>
      </c>
      <c r="F3578" s="19" t="s">
        <v>375</v>
      </c>
      <c r="G3578" s="19" t="s">
        <v>1439</v>
      </c>
      <c r="H3578" s="19" t="s">
        <v>944</v>
      </c>
      <c r="I3578" s="19" t="s">
        <v>945</v>
      </c>
      <c r="J3578" s="19" t="s">
        <v>1057</v>
      </c>
      <c r="K3578" s="19" t="s">
        <v>409</v>
      </c>
      <c r="L3578" s="19">
        <v>2023</v>
      </c>
      <c r="M3578" s="20">
        <v>1</v>
      </c>
      <c r="N3578" s="19" t="s">
        <v>1795</v>
      </c>
      <c r="O3578" s="20">
        <v>15</v>
      </c>
      <c r="P3578" s="20">
        <v>15</v>
      </c>
      <c r="Q3578" s="20">
        <v>2210.7561904761906</v>
      </c>
      <c r="R3578" s="21">
        <v>1</v>
      </c>
      <c r="S3578" s="20">
        <v>2210.7561904761906</v>
      </c>
    </row>
    <row r="3579" spans="2:19" ht="15" customHeight="1" x14ac:dyDescent="0.25">
      <c r="B3579" s="2" t="str">
        <f t="shared" si="110"/>
        <v>PGL_Income Eligible_Single Family_IHWAP_Boiler_≥88% AFUE, &lt;300MBh_SF</v>
      </c>
      <c r="C3579" s="2" t="str">
        <f t="shared" si="111"/>
        <v>PGL_Income Eligible_Single Family_IHWAP_Boiler_≥88% AFUE, &lt;300MBh_SF_2024</v>
      </c>
      <c r="D3579" s="19" t="s">
        <v>1794</v>
      </c>
      <c r="E3579" s="19" t="s">
        <v>325</v>
      </c>
      <c r="F3579" s="19" t="s">
        <v>375</v>
      </c>
      <c r="G3579" s="19" t="s">
        <v>1439</v>
      </c>
      <c r="H3579" s="19" t="s">
        <v>944</v>
      </c>
      <c r="I3579" s="19" t="s">
        <v>945</v>
      </c>
      <c r="J3579" s="19" t="s">
        <v>1057</v>
      </c>
      <c r="K3579" s="19" t="s">
        <v>409</v>
      </c>
      <c r="L3579" s="19">
        <v>2024</v>
      </c>
      <c r="M3579" s="20">
        <v>1</v>
      </c>
      <c r="N3579" s="19" t="s">
        <v>1795</v>
      </c>
      <c r="O3579" s="20">
        <v>15</v>
      </c>
      <c r="P3579" s="20">
        <v>15</v>
      </c>
      <c r="Q3579" s="20">
        <v>2210.7561904761906</v>
      </c>
      <c r="R3579" s="21">
        <v>1</v>
      </c>
      <c r="S3579" s="20">
        <v>2210.7561904761906</v>
      </c>
    </row>
    <row r="3580" spans="2:19" ht="15" customHeight="1" x14ac:dyDescent="0.25">
      <c r="B3580" s="2" t="str">
        <f t="shared" si="110"/>
        <v>PGL_Income Eligible_Single Family_IHWAP_Boiler_≥88% AFUE, &lt;300MBh_SF</v>
      </c>
      <c r="C3580" s="2" t="str">
        <f t="shared" si="111"/>
        <v>PGL_Income Eligible_Single Family_IHWAP_Boiler_≥88% AFUE, &lt;300MBh_SF_2025</v>
      </c>
      <c r="D3580" s="19" t="s">
        <v>1794</v>
      </c>
      <c r="E3580" s="19" t="s">
        <v>325</v>
      </c>
      <c r="F3580" s="19" t="s">
        <v>375</v>
      </c>
      <c r="G3580" s="19" t="s">
        <v>1439</v>
      </c>
      <c r="H3580" s="19" t="s">
        <v>944</v>
      </c>
      <c r="I3580" s="19" t="s">
        <v>945</v>
      </c>
      <c r="J3580" s="19" t="s">
        <v>1057</v>
      </c>
      <c r="K3580" s="19" t="s">
        <v>409</v>
      </c>
      <c r="L3580" s="19">
        <v>2025</v>
      </c>
      <c r="M3580" s="20">
        <v>1</v>
      </c>
      <c r="N3580" s="19" t="s">
        <v>1795</v>
      </c>
      <c r="O3580" s="20">
        <v>15</v>
      </c>
      <c r="P3580" s="20">
        <v>15</v>
      </c>
      <c r="Q3580" s="20">
        <v>2210.7561904761906</v>
      </c>
      <c r="R3580" s="21">
        <v>1</v>
      </c>
      <c r="S3580" s="20">
        <v>2210.7561904761906</v>
      </c>
    </row>
    <row r="3581" spans="2:19" ht="15" customHeight="1" x14ac:dyDescent="0.25">
      <c r="B3581" s="2" t="str">
        <f t="shared" si="110"/>
        <v>PGL_Income Eligible_Single Family_IHWAP_Weatherstripping_0_IE SF</v>
      </c>
      <c r="C3581" s="2" t="str">
        <f t="shared" si="111"/>
        <v>PGL_Income Eligible_Single Family_IHWAP_Weatherstripping_0_IE SF_2022</v>
      </c>
      <c r="D3581" s="19" t="s">
        <v>1794</v>
      </c>
      <c r="E3581" s="19" t="s">
        <v>325</v>
      </c>
      <c r="F3581" s="19" t="s">
        <v>375</v>
      </c>
      <c r="G3581" s="19" t="s">
        <v>1439</v>
      </c>
      <c r="H3581" s="19" t="s">
        <v>576</v>
      </c>
      <c r="I3581" s="19">
        <v>0</v>
      </c>
      <c r="J3581" s="19" t="s">
        <v>573</v>
      </c>
      <c r="K3581" s="19" t="s">
        <v>581</v>
      </c>
      <c r="L3581" s="19">
        <v>2022</v>
      </c>
      <c r="M3581" s="20">
        <v>17</v>
      </c>
      <c r="N3581" s="19" t="s">
        <v>1810</v>
      </c>
      <c r="O3581" s="20">
        <v>32</v>
      </c>
      <c r="P3581" s="20">
        <v>544</v>
      </c>
      <c r="Q3581" s="20">
        <v>265.47199999999998</v>
      </c>
      <c r="R3581" s="21">
        <v>1</v>
      </c>
      <c r="S3581" s="20">
        <v>265.47199999999998</v>
      </c>
    </row>
    <row r="3582" spans="2:19" ht="15" customHeight="1" x14ac:dyDescent="0.25">
      <c r="B3582" s="2" t="str">
        <f t="shared" si="110"/>
        <v>PGL_Income Eligible_Single Family_IHWAP_Weatherstripping_0_IE SF</v>
      </c>
      <c r="C3582" s="2" t="str">
        <f t="shared" si="111"/>
        <v>PGL_Income Eligible_Single Family_IHWAP_Weatherstripping_0_IE SF_2023</v>
      </c>
      <c r="D3582" s="19" t="s">
        <v>1794</v>
      </c>
      <c r="E3582" s="19" t="s">
        <v>325</v>
      </c>
      <c r="F3582" s="19" t="s">
        <v>375</v>
      </c>
      <c r="G3582" s="19" t="s">
        <v>1439</v>
      </c>
      <c r="H3582" s="19" t="s">
        <v>576</v>
      </c>
      <c r="I3582" s="19">
        <v>0</v>
      </c>
      <c r="J3582" s="19" t="s">
        <v>573</v>
      </c>
      <c r="K3582" s="19" t="s">
        <v>581</v>
      </c>
      <c r="L3582" s="19">
        <v>2023</v>
      </c>
      <c r="M3582" s="20">
        <v>17</v>
      </c>
      <c r="N3582" s="19" t="s">
        <v>1810</v>
      </c>
      <c r="O3582" s="20">
        <v>32</v>
      </c>
      <c r="P3582" s="20">
        <v>544</v>
      </c>
      <c r="Q3582" s="20">
        <v>265.47199999999998</v>
      </c>
      <c r="R3582" s="21">
        <v>1</v>
      </c>
      <c r="S3582" s="20">
        <v>265.47199999999998</v>
      </c>
    </row>
    <row r="3583" spans="2:19" ht="15" customHeight="1" x14ac:dyDescent="0.25">
      <c r="B3583" s="2" t="str">
        <f t="shared" si="110"/>
        <v>PGL_Income Eligible_Single Family_IHWAP_Weatherstripping_0_IE SF</v>
      </c>
      <c r="C3583" s="2" t="str">
        <f t="shared" si="111"/>
        <v>PGL_Income Eligible_Single Family_IHWAP_Weatherstripping_0_IE SF_2024</v>
      </c>
      <c r="D3583" s="19" t="s">
        <v>1794</v>
      </c>
      <c r="E3583" s="19" t="s">
        <v>325</v>
      </c>
      <c r="F3583" s="19" t="s">
        <v>375</v>
      </c>
      <c r="G3583" s="19" t="s">
        <v>1439</v>
      </c>
      <c r="H3583" s="19" t="s">
        <v>576</v>
      </c>
      <c r="I3583" s="19">
        <v>0</v>
      </c>
      <c r="J3583" s="19" t="s">
        <v>573</v>
      </c>
      <c r="K3583" s="19" t="s">
        <v>581</v>
      </c>
      <c r="L3583" s="19">
        <v>2024</v>
      </c>
      <c r="M3583" s="20">
        <v>17</v>
      </c>
      <c r="N3583" s="19" t="s">
        <v>1810</v>
      </c>
      <c r="O3583" s="20">
        <v>32</v>
      </c>
      <c r="P3583" s="20">
        <v>544</v>
      </c>
      <c r="Q3583" s="20">
        <v>265.47199999999998</v>
      </c>
      <c r="R3583" s="21">
        <v>1</v>
      </c>
      <c r="S3583" s="20">
        <v>265.47199999999998</v>
      </c>
    </row>
    <row r="3584" spans="2:19" ht="15" customHeight="1" x14ac:dyDescent="0.25">
      <c r="B3584" s="2" t="str">
        <f t="shared" si="110"/>
        <v>PGL_Income Eligible_Single Family_IHWAP_Weatherstripping_0_IE SF</v>
      </c>
      <c r="C3584" s="2" t="str">
        <f t="shared" si="111"/>
        <v>PGL_Income Eligible_Single Family_IHWAP_Weatherstripping_0_IE SF_2025</v>
      </c>
      <c r="D3584" s="19" t="s">
        <v>1794</v>
      </c>
      <c r="E3584" s="19" t="s">
        <v>325</v>
      </c>
      <c r="F3584" s="19" t="s">
        <v>375</v>
      </c>
      <c r="G3584" s="19" t="s">
        <v>1439</v>
      </c>
      <c r="H3584" s="19" t="s">
        <v>576</v>
      </c>
      <c r="I3584" s="19">
        <v>0</v>
      </c>
      <c r="J3584" s="19" t="s">
        <v>573</v>
      </c>
      <c r="K3584" s="19" t="s">
        <v>581</v>
      </c>
      <c r="L3584" s="19">
        <v>2025</v>
      </c>
      <c r="M3584" s="20">
        <v>17</v>
      </c>
      <c r="N3584" s="19" t="s">
        <v>1810</v>
      </c>
      <c r="O3584" s="20">
        <v>32</v>
      </c>
      <c r="P3584" s="20">
        <v>544</v>
      </c>
      <c r="Q3584" s="20">
        <v>265.47199999999998</v>
      </c>
      <c r="R3584" s="21">
        <v>1</v>
      </c>
      <c r="S3584" s="20">
        <v>265.47199999999998</v>
      </c>
    </row>
    <row r="3585" spans="2:19" ht="15" customHeight="1" x14ac:dyDescent="0.25">
      <c r="B3585" s="2" t="str">
        <f t="shared" si="110"/>
        <v>PGL_Income Eligible_Single Family_IHWAP_Furnace_&gt;95% AFUE_SF</v>
      </c>
      <c r="C3585" s="2" t="str">
        <f t="shared" si="111"/>
        <v>PGL_Income Eligible_Single Family_IHWAP_Furnace_&gt;95% AFUE_SF_2022</v>
      </c>
      <c r="D3585" s="19" t="s">
        <v>1794</v>
      </c>
      <c r="E3585" s="19" t="s">
        <v>325</v>
      </c>
      <c r="F3585" s="19" t="s">
        <v>375</v>
      </c>
      <c r="G3585" s="19" t="s">
        <v>1439</v>
      </c>
      <c r="H3585" s="19" t="s">
        <v>490</v>
      </c>
      <c r="I3585" s="19" t="s">
        <v>982</v>
      </c>
      <c r="J3585" s="19" t="s">
        <v>990</v>
      </c>
      <c r="K3585" s="19" t="s">
        <v>409</v>
      </c>
      <c r="L3585" s="19">
        <v>2022</v>
      </c>
      <c r="M3585" s="20">
        <v>1</v>
      </c>
      <c r="N3585" s="19" t="s">
        <v>1795</v>
      </c>
      <c r="O3585" s="20">
        <v>70</v>
      </c>
      <c r="P3585" s="20">
        <v>70</v>
      </c>
      <c r="Q3585" s="20">
        <v>12994.151353276347</v>
      </c>
      <c r="R3585" s="21">
        <v>1</v>
      </c>
      <c r="S3585" s="20">
        <v>12994.151353276347</v>
      </c>
    </row>
    <row r="3586" spans="2:19" ht="15" customHeight="1" x14ac:dyDescent="0.25">
      <c r="B3586" s="2" t="str">
        <f t="shared" si="110"/>
        <v>PGL_Income Eligible_Single Family_IHWAP_Furnace_&gt;95% AFUE_SF</v>
      </c>
      <c r="C3586" s="2" t="str">
        <f t="shared" si="111"/>
        <v>PGL_Income Eligible_Single Family_IHWAP_Furnace_&gt;95% AFUE_SF_2023</v>
      </c>
      <c r="D3586" s="19" t="s">
        <v>1794</v>
      </c>
      <c r="E3586" s="19" t="s">
        <v>325</v>
      </c>
      <c r="F3586" s="19" t="s">
        <v>375</v>
      </c>
      <c r="G3586" s="19" t="s">
        <v>1439</v>
      </c>
      <c r="H3586" s="19" t="s">
        <v>490</v>
      </c>
      <c r="I3586" s="19" t="s">
        <v>982</v>
      </c>
      <c r="J3586" s="19" t="s">
        <v>990</v>
      </c>
      <c r="K3586" s="19" t="s">
        <v>409</v>
      </c>
      <c r="L3586" s="19">
        <v>2023</v>
      </c>
      <c r="M3586" s="20">
        <v>1</v>
      </c>
      <c r="N3586" s="19" t="s">
        <v>1795</v>
      </c>
      <c r="O3586" s="20">
        <v>70</v>
      </c>
      <c r="P3586" s="20">
        <v>70</v>
      </c>
      <c r="Q3586" s="20">
        <v>12994.151353276347</v>
      </c>
      <c r="R3586" s="21">
        <v>1</v>
      </c>
      <c r="S3586" s="20">
        <v>12994.151353276347</v>
      </c>
    </row>
    <row r="3587" spans="2:19" ht="15" customHeight="1" x14ac:dyDescent="0.25">
      <c r="B3587" s="2" t="str">
        <f t="shared" si="110"/>
        <v>PGL_Income Eligible_Single Family_IHWAP_Furnace_&gt;95% AFUE_SF</v>
      </c>
      <c r="C3587" s="2" t="str">
        <f t="shared" si="111"/>
        <v>PGL_Income Eligible_Single Family_IHWAP_Furnace_&gt;95% AFUE_SF_2024</v>
      </c>
      <c r="D3587" s="19" t="s">
        <v>1794</v>
      </c>
      <c r="E3587" s="19" t="s">
        <v>325</v>
      </c>
      <c r="F3587" s="19" t="s">
        <v>375</v>
      </c>
      <c r="G3587" s="19" t="s">
        <v>1439</v>
      </c>
      <c r="H3587" s="19" t="s">
        <v>490</v>
      </c>
      <c r="I3587" s="19" t="s">
        <v>982</v>
      </c>
      <c r="J3587" s="19" t="s">
        <v>990</v>
      </c>
      <c r="K3587" s="19" t="s">
        <v>409</v>
      </c>
      <c r="L3587" s="19">
        <v>2024</v>
      </c>
      <c r="M3587" s="20">
        <v>1</v>
      </c>
      <c r="N3587" s="19" t="s">
        <v>1795</v>
      </c>
      <c r="O3587" s="20">
        <v>70</v>
      </c>
      <c r="P3587" s="20">
        <v>70</v>
      </c>
      <c r="Q3587" s="20">
        <v>12994.151353276347</v>
      </c>
      <c r="R3587" s="21">
        <v>1</v>
      </c>
      <c r="S3587" s="20">
        <v>12994.151353276347</v>
      </c>
    </row>
    <row r="3588" spans="2:19" ht="15" customHeight="1" x14ac:dyDescent="0.25">
      <c r="B3588" s="2" t="str">
        <f t="shared" si="110"/>
        <v>PGL_Income Eligible_Single Family_IHWAP_Furnace_&gt;95% AFUE_SF</v>
      </c>
      <c r="C3588" s="2" t="str">
        <f t="shared" si="111"/>
        <v>PGL_Income Eligible_Single Family_IHWAP_Furnace_&gt;95% AFUE_SF_2025</v>
      </c>
      <c r="D3588" s="19" t="s">
        <v>1794</v>
      </c>
      <c r="E3588" s="19" t="s">
        <v>325</v>
      </c>
      <c r="F3588" s="19" t="s">
        <v>375</v>
      </c>
      <c r="G3588" s="19" t="s">
        <v>1439</v>
      </c>
      <c r="H3588" s="19" t="s">
        <v>490</v>
      </c>
      <c r="I3588" s="19" t="s">
        <v>982</v>
      </c>
      <c r="J3588" s="19" t="s">
        <v>990</v>
      </c>
      <c r="K3588" s="19" t="s">
        <v>409</v>
      </c>
      <c r="L3588" s="19">
        <v>2025</v>
      </c>
      <c r="M3588" s="20">
        <v>1</v>
      </c>
      <c r="N3588" s="19" t="s">
        <v>1795</v>
      </c>
      <c r="O3588" s="20">
        <v>70</v>
      </c>
      <c r="P3588" s="20">
        <v>70</v>
      </c>
      <c r="Q3588" s="20">
        <v>12994.151353276347</v>
      </c>
      <c r="R3588" s="21">
        <v>1</v>
      </c>
      <c r="S3588" s="20">
        <v>12994.151353276347</v>
      </c>
    </row>
    <row r="3589" spans="2:19" ht="15" customHeight="1" x14ac:dyDescent="0.25">
      <c r="B3589" s="2" t="str">
        <f t="shared" si="110"/>
        <v>PGL_Income Eligible_Single Family_IHWAP_Health and Safety_no savings_SF</v>
      </c>
      <c r="C3589" s="2" t="str">
        <f t="shared" si="111"/>
        <v>PGL_Income Eligible_Single Family_IHWAP_Health and Safety_no savings_SF_2022</v>
      </c>
      <c r="D3589" s="19" t="s">
        <v>1794</v>
      </c>
      <c r="E3589" s="19" t="s">
        <v>325</v>
      </c>
      <c r="F3589" s="19" t="s">
        <v>375</v>
      </c>
      <c r="G3589" s="19" t="s">
        <v>1439</v>
      </c>
      <c r="H3589" s="19" t="s">
        <v>1437</v>
      </c>
      <c r="I3589" s="19" t="s">
        <v>1438</v>
      </c>
      <c r="J3589" s="19" t="s">
        <v>1469</v>
      </c>
      <c r="K3589" s="19" t="s">
        <v>409</v>
      </c>
      <c r="L3589" s="19">
        <v>2022</v>
      </c>
      <c r="M3589" s="20">
        <v>1</v>
      </c>
      <c r="N3589" s="19" t="s">
        <v>1795</v>
      </c>
      <c r="O3589" s="20">
        <v>108</v>
      </c>
      <c r="P3589" s="20">
        <v>108</v>
      </c>
      <c r="Q3589" s="20">
        <v>0</v>
      </c>
      <c r="R3589" s="21">
        <v>1</v>
      </c>
      <c r="S3589" s="20">
        <v>0</v>
      </c>
    </row>
    <row r="3590" spans="2:19" ht="15" customHeight="1" x14ac:dyDescent="0.25">
      <c r="B3590" s="2" t="str">
        <f t="shared" ref="B3590:B3653" si="112">D3590&amp;"_"&amp;E3590&amp;"_"&amp;F3590&amp;"_"&amp;G3590&amp;"_"&amp;H3590&amp;"_"&amp;I3590&amp;"_"&amp;K3590</f>
        <v>PGL_Income Eligible_Single Family_IHWAP_Health and Safety_no savings_SF</v>
      </c>
      <c r="C3590" s="2" t="str">
        <f t="shared" ref="C3590:C3653" si="113">D3590&amp;"_"&amp;E3590&amp;"_"&amp;F3590&amp;"_"&amp;G3590&amp;"_"&amp;H3590&amp;"_"&amp;I3590&amp;"_"&amp;K3590&amp;"_"&amp;L3590</f>
        <v>PGL_Income Eligible_Single Family_IHWAP_Health and Safety_no savings_SF_2023</v>
      </c>
      <c r="D3590" s="19" t="s">
        <v>1794</v>
      </c>
      <c r="E3590" s="19" t="s">
        <v>325</v>
      </c>
      <c r="F3590" s="19" t="s">
        <v>375</v>
      </c>
      <c r="G3590" s="19" t="s">
        <v>1439</v>
      </c>
      <c r="H3590" s="19" t="s">
        <v>1437</v>
      </c>
      <c r="I3590" s="19" t="s">
        <v>1438</v>
      </c>
      <c r="J3590" s="19" t="s">
        <v>1469</v>
      </c>
      <c r="K3590" s="19" t="s">
        <v>409</v>
      </c>
      <c r="L3590" s="19">
        <v>2023</v>
      </c>
      <c r="M3590" s="20">
        <v>1</v>
      </c>
      <c r="N3590" s="19" t="s">
        <v>1795</v>
      </c>
      <c r="O3590" s="20">
        <v>108</v>
      </c>
      <c r="P3590" s="20">
        <v>108</v>
      </c>
      <c r="Q3590" s="20">
        <v>0</v>
      </c>
      <c r="R3590" s="21">
        <v>1</v>
      </c>
      <c r="S3590" s="20">
        <v>0</v>
      </c>
    </row>
    <row r="3591" spans="2:19" ht="15" customHeight="1" x14ac:dyDescent="0.25">
      <c r="B3591" s="2" t="str">
        <f t="shared" si="112"/>
        <v>PGL_Income Eligible_Single Family_IHWAP_Health and Safety_no savings_SF</v>
      </c>
      <c r="C3591" s="2" t="str">
        <f t="shared" si="113"/>
        <v>PGL_Income Eligible_Single Family_IHWAP_Health and Safety_no savings_SF_2024</v>
      </c>
      <c r="D3591" s="19" t="s">
        <v>1794</v>
      </c>
      <c r="E3591" s="19" t="s">
        <v>325</v>
      </c>
      <c r="F3591" s="19" t="s">
        <v>375</v>
      </c>
      <c r="G3591" s="19" t="s">
        <v>1439</v>
      </c>
      <c r="H3591" s="19" t="s">
        <v>1437</v>
      </c>
      <c r="I3591" s="19" t="s">
        <v>1438</v>
      </c>
      <c r="J3591" s="19" t="s">
        <v>1469</v>
      </c>
      <c r="K3591" s="19" t="s">
        <v>409</v>
      </c>
      <c r="L3591" s="19">
        <v>2024</v>
      </c>
      <c r="M3591" s="20">
        <v>1</v>
      </c>
      <c r="N3591" s="19" t="s">
        <v>1795</v>
      </c>
      <c r="O3591" s="20">
        <v>108</v>
      </c>
      <c r="P3591" s="20">
        <v>108</v>
      </c>
      <c r="Q3591" s="20">
        <v>0</v>
      </c>
      <c r="R3591" s="21">
        <v>1</v>
      </c>
      <c r="S3591" s="20">
        <v>0</v>
      </c>
    </row>
    <row r="3592" spans="2:19" ht="15" customHeight="1" x14ac:dyDescent="0.25">
      <c r="B3592" s="2" t="str">
        <f t="shared" si="112"/>
        <v>PGL_Income Eligible_Single Family_IHWAP_Health and Safety_no savings_SF</v>
      </c>
      <c r="C3592" s="2" t="str">
        <f t="shared" si="113"/>
        <v>PGL_Income Eligible_Single Family_IHWAP_Health and Safety_no savings_SF_2025</v>
      </c>
      <c r="D3592" s="19" t="s">
        <v>1794</v>
      </c>
      <c r="E3592" s="19" t="s">
        <v>325</v>
      </c>
      <c r="F3592" s="19" t="s">
        <v>375</v>
      </c>
      <c r="G3592" s="19" t="s">
        <v>1439</v>
      </c>
      <c r="H3592" s="19" t="s">
        <v>1437</v>
      </c>
      <c r="I3592" s="19" t="s">
        <v>1438</v>
      </c>
      <c r="J3592" s="19" t="s">
        <v>1469</v>
      </c>
      <c r="K3592" s="19" t="s">
        <v>409</v>
      </c>
      <c r="L3592" s="19">
        <v>2025</v>
      </c>
      <c r="M3592" s="20">
        <v>1</v>
      </c>
      <c r="N3592" s="19" t="s">
        <v>1795</v>
      </c>
      <c r="O3592" s="20">
        <v>108</v>
      </c>
      <c r="P3592" s="20">
        <v>108</v>
      </c>
      <c r="Q3592" s="20">
        <v>0</v>
      </c>
      <c r="R3592" s="21">
        <v>1</v>
      </c>
      <c r="S3592" s="20">
        <v>0</v>
      </c>
    </row>
    <row r="3593" spans="2:19" ht="15" customHeight="1" x14ac:dyDescent="0.25">
      <c r="B3593" s="2" t="str">
        <f t="shared" si="112"/>
        <v>PGL_Income Eligible_Single Family_IE Kits_IE Kits_IE Kit_IE</v>
      </c>
      <c r="C3593" s="2" t="str">
        <f t="shared" si="113"/>
        <v>PGL_Income Eligible_Single Family_IE Kits_IE Kits_IE Kit_IE_2022</v>
      </c>
      <c r="D3593" s="19" t="s">
        <v>1794</v>
      </c>
      <c r="E3593" s="19" t="s">
        <v>325</v>
      </c>
      <c r="F3593" s="19" t="s">
        <v>375</v>
      </c>
      <c r="G3593" s="19" t="s">
        <v>1440</v>
      </c>
      <c r="H3593" s="19" t="s">
        <v>1440</v>
      </c>
      <c r="I3593" s="19" t="s">
        <v>550</v>
      </c>
      <c r="J3593" s="19" t="s">
        <v>1469</v>
      </c>
      <c r="K3593" s="19" t="s">
        <v>551</v>
      </c>
      <c r="L3593" s="19">
        <v>2022</v>
      </c>
      <c r="M3593" s="20">
        <v>1</v>
      </c>
      <c r="N3593" s="19" t="s">
        <v>1811</v>
      </c>
      <c r="O3593" s="20">
        <v>5700.0000000000009</v>
      </c>
      <c r="P3593" s="20">
        <v>5700.0000000000009</v>
      </c>
      <c r="Q3593" s="20">
        <v>0</v>
      </c>
      <c r="R3593" s="21">
        <v>1</v>
      </c>
      <c r="S3593" s="20">
        <v>0</v>
      </c>
    </row>
    <row r="3594" spans="2:19" ht="15" customHeight="1" x14ac:dyDescent="0.25">
      <c r="B3594" s="2" t="str">
        <f t="shared" si="112"/>
        <v>PGL_Income Eligible_Single Family_IE Kits_IE Kits_IE Kit_IE</v>
      </c>
      <c r="C3594" s="2" t="str">
        <f t="shared" si="113"/>
        <v>PGL_Income Eligible_Single Family_IE Kits_IE Kits_IE Kit_IE_2023</v>
      </c>
      <c r="D3594" s="19" t="s">
        <v>1794</v>
      </c>
      <c r="E3594" s="19" t="s">
        <v>325</v>
      </c>
      <c r="F3594" s="19" t="s">
        <v>375</v>
      </c>
      <c r="G3594" s="19" t="s">
        <v>1440</v>
      </c>
      <c r="H3594" s="19" t="s">
        <v>1440</v>
      </c>
      <c r="I3594" s="19" t="s">
        <v>550</v>
      </c>
      <c r="J3594" s="19" t="s">
        <v>1469</v>
      </c>
      <c r="K3594" s="19" t="s">
        <v>551</v>
      </c>
      <c r="L3594" s="19">
        <v>2023</v>
      </c>
      <c r="M3594" s="20">
        <v>1</v>
      </c>
      <c r="N3594" s="19" t="s">
        <v>1811</v>
      </c>
      <c r="O3594" s="20">
        <v>5700.0000000000009</v>
      </c>
      <c r="P3594" s="20">
        <v>5700.0000000000009</v>
      </c>
      <c r="Q3594" s="20">
        <v>0</v>
      </c>
      <c r="R3594" s="21">
        <v>1</v>
      </c>
      <c r="S3594" s="20">
        <v>0</v>
      </c>
    </row>
    <row r="3595" spans="2:19" ht="15" customHeight="1" x14ac:dyDescent="0.25">
      <c r="B3595" s="2" t="str">
        <f t="shared" si="112"/>
        <v>PGL_Income Eligible_Single Family_IE Kits_IE Kits_IE Kit_IE</v>
      </c>
      <c r="C3595" s="2" t="str">
        <f t="shared" si="113"/>
        <v>PGL_Income Eligible_Single Family_IE Kits_IE Kits_IE Kit_IE_2024</v>
      </c>
      <c r="D3595" s="19" t="s">
        <v>1794</v>
      </c>
      <c r="E3595" s="19" t="s">
        <v>325</v>
      </c>
      <c r="F3595" s="19" t="s">
        <v>375</v>
      </c>
      <c r="G3595" s="19" t="s">
        <v>1440</v>
      </c>
      <c r="H3595" s="19" t="s">
        <v>1440</v>
      </c>
      <c r="I3595" s="19" t="s">
        <v>550</v>
      </c>
      <c r="J3595" s="19" t="s">
        <v>1469</v>
      </c>
      <c r="K3595" s="19" t="s">
        <v>551</v>
      </c>
      <c r="L3595" s="19">
        <v>2024</v>
      </c>
      <c r="M3595" s="20">
        <v>1</v>
      </c>
      <c r="N3595" s="19" t="s">
        <v>1811</v>
      </c>
      <c r="O3595" s="20">
        <v>5700.0000000000009</v>
      </c>
      <c r="P3595" s="20">
        <v>5700.0000000000009</v>
      </c>
      <c r="Q3595" s="20">
        <v>0</v>
      </c>
      <c r="R3595" s="21">
        <v>1</v>
      </c>
      <c r="S3595" s="20">
        <v>0</v>
      </c>
    </row>
    <row r="3596" spans="2:19" ht="15" customHeight="1" x14ac:dyDescent="0.25">
      <c r="B3596" s="2" t="str">
        <f t="shared" si="112"/>
        <v>PGL_Income Eligible_Single Family_IE Kits_IE Kits_IE Kit_IE</v>
      </c>
      <c r="C3596" s="2" t="str">
        <f t="shared" si="113"/>
        <v>PGL_Income Eligible_Single Family_IE Kits_IE Kits_IE Kit_IE_2025</v>
      </c>
      <c r="D3596" s="19" t="s">
        <v>1794</v>
      </c>
      <c r="E3596" s="19" t="s">
        <v>325</v>
      </c>
      <c r="F3596" s="19" t="s">
        <v>375</v>
      </c>
      <c r="G3596" s="19" t="s">
        <v>1440</v>
      </c>
      <c r="H3596" s="19" t="s">
        <v>1440</v>
      </c>
      <c r="I3596" s="19" t="s">
        <v>550</v>
      </c>
      <c r="J3596" s="19" t="s">
        <v>1469</v>
      </c>
      <c r="K3596" s="19" t="s">
        <v>551</v>
      </c>
      <c r="L3596" s="19">
        <v>2025</v>
      </c>
      <c r="M3596" s="20">
        <v>1</v>
      </c>
      <c r="N3596" s="19" t="s">
        <v>1811</v>
      </c>
      <c r="O3596" s="20">
        <v>5700.0000000000009</v>
      </c>
      <c r="P3596" s="20">
        <v>5700.0000000000009</v>
      </c>
      <c r="Q3596" s="20">
        <v>0</v>
      </c>
      <c r="R3596" s="21">
        <v>1</v>
      </c>
      <c r="S3596" s="20">
        <v>0</v>
      </c>
    </row>
    <row r="3597" spans="2:19" ht="15" customHeight="1" x14ac:dyDescent="0.25">
      <c r="B3597" s="2" t="str">
        <f t="shared" si="112"/>
        <v>PGL_Income Eligible_Single Family_IE Kits_Low Flow Bathroom Aerator_IE Kit_IE</v>
      </c>
      <c r="C3597" s="2" t="str">
        <f t="shared" si="113"/>
        <v>PGL_Income Eligible_Single Family_IE Kits_Low Flow Bathroom Aerator_IE Kit_IE_2022</v>
      </c>
      <c r="D3597" s="19" t="s">
        <v>1794</v>
      </c>
      <c r="E3597" s="19" t="s">
        <v>325</v>
      </c>
      <c r="F3597" s="19" t="s">
        <v>375</v>
      </c>
      <c r="G3597" s="19" t="s">
        <v>1440</v>
      </c>
      <c r="H3597" s="19" t="s">
        <v>555</v>
      </c>
      <c r="I3597" s="19" t="s">
        <v>550</v>
      </c>
      <c r="J3597" s="19" t="s">
        <v>534</v>
      </c>
      <c r="K3597" s="19" t="s">
        <v>551</v>
      </c>
      <c r="L3597" s="19">
        <v>2022</v>
      </c>
      <c r="M3597" s="20">
        <v>1</v>
      </c>
      <c r="N3597" s="19" t="s">
        <v>1795</v>
      </c>
      <c r="O3597" s="20">
        <v>5700</v>
      </c>
      <c r="P3597" s="20">
        <v>5700</v>
      </c>
      <c r="Q3597" s="20">
        <v>3365.3817527487777</v>
      </c>
      <c r="R3597" s="21">
        <v>1</v>
      </c>
      <c r="S3597" s="20">
        <v>3365.3817527487777</v>
      </c>
    </row>
    <row r="3598" spans="2:19" ht="15" customHeight="1" x14ac:dyDescent="0.25">
      <c r="B3598" s="2" t="str">
        <f t="shared" si="112"/>
        <v>PGL_Income Eligible_Single Family_IE Kits_Low Flow Bathroom Aerator_IE Kit_IE</v>
      </c>
      <c r="C3598" s="2" t="str">
        <f t="shared" si="113"/>
        <v>PGL_Income Eligible_Single Family_IE Kits_Low Flow Bathroom Aerator_IE Kit_IE_2023</v>
      </c>
      <c r="D3598" s="19" t="s">
        <v>1794</v>
      </c>
      <c r="E3598" s="19" t="s">
        <v>325</v>
      </c>
      <c r="F3598" s="19" t="s">
        <v>375</v>
      </c>
      <c r="G3598" s="19" t="s">
        <v>1440</v>
      </c>
      <c r="H3598" s="19" t="s">
        <v>555</v>
      </c>
      <c r="I3598" s="19" t="s">
        <v>550</v>
      </c>
      <c r="J3598" s="19" t="s">
        <v>534</v>
      </c>
      <c r="K3598" s="19" t="s">
        <v>551</v>
      </c>
      <c r="L3598" s="19">
        <v>2023</v>
      </c>
      <c r="M3598" s="20">
        <v>1</v>
      </c>
      <c r="N3598" s="19" t="s">
        <v>1795</v>
      </c>
      <c r="O3598" s="20">
        <v>5700</v>
      </c>
      <c r="P3598" s="20">
        <v>5700</v>
      </c>
      <c r="Q3598" s="20">
        <v>3365.3817527487777</v>
      </c>
      <c r="R3598" s="21">
        <v>1</v>
      </c>
      <c r="S3598" s="20">
        <v>3365.3817527487777</v>
      </c>
    </row>
    <row r="3599" spans="2:19" ht="15" customHeight="1" x14ac:dyDescent="0.25">
      <c r="B3599" s="2" t="str">
        <f t="shared" si="112"/>
        <v>PGL_Income Eligible_Single Family_IE Kits_Low Flow Bathroom Aerator_IE Kit_IE</v>
      </c>
      <c r="C3599" s="2" t="str">
        <f t="shared" si="113"/>
        <v>PGL_Income Eligible_Single Family_IE Kits_Low Flow Bathroom Aerator_IE Kit_IE_2024</v>
      </c>
      <c r="D3599" s="19" t="s">
        <v>1794</v>
      </c>
      <c r="E3599" s="19" t="s">
        <v>325</v>
      </c>
      <c r="F3599" s="19" t="s">
        <v>375</v>
      </c>
      <c r="G3599" s="19" t="s">
        <v>1440</v>
      </c>
      <c r="H3599" s="19" t="s">
        <v>555</v>
      </c>
      <c r="I3599" s="19" t="s">
        <v>550</v>
      </c>
      <c r="J3599" s="19" t="s">
        <v>534</v>
      </c>
      <c r="K3599" s="19" t="s">
        <v>551</v>
      </c>
      <c r="L3599" s="19">
        <v>2024</v>
      </c>
      <c r="M3599" s="20">
        <v>1</v>
      </c>
      <c r="N3599" s="19" t="s">
        <v>1795</v>
      </c>
      <c r="O3599" s="20">
        <v>5700</v>
      </c>
      <c r="P3599" s="20">
        <v>5700</v>
      </c>
      <c r="Q3599" s="20">
        <v>3365.3817527487777</v>
      </c>
      <c r="R3599" s="21">
        <v>1</v>
      </c>
      <c r="S3599" s="20">
        <v>3365.3817527487777</v>
      </c>
    </row>
    <row r="3600" spans="2:19" ht="15" customHeight="1" x14ac:dyDescent="0.25">
      <c r="B3600" s="2" t="str">
        <f t="shared" si="112"/>
        <v>PGL_Income Eligible_Single Family_IE Kits_Low Flow Bathroom Aerator_IE Kit_IE</v>
      </c>
      <c r="C3600" s="2" t="str">
        <f t="shared" si="113"/>
        <v>PGL_Income Eligible_Single Family_IE Kits_Low Flow Bathroom Aerator_IE Kit_IE_2025</v>
      </c>
      <c r="D3600" s="19" t="s">
        <v>1794</v>
      </c>
      <c r="E3600" s="19" t="s">
        <v>325</v>
      </c>
      <c r="F3600" s="19" t="s">
        <v>375</v>
      </c>
      <c r="G3600" s="19" t="s">
        <v>1440</v>
      </c>
      <c r="H3600" s="19" t="s">
        <v>555</v>
      </c>
      <c r="I3600" s="19" t="s">
        <v>550</v>
      </c>
      <c r="J3600" s="19" t="s">
        <v>534</v>
      </c>
      <c r="K3600" s="19" t="s">
        <v>551</v>
      </c>
      <c r="L3600" s="19">
        <v>2025</v>
      </c>
      <c r="M3600" s="20">
        <v>1</v>
      </c>
      <c r="N3600" s="19" t="s">
        <v>1795</v>
      </c>
      <c r="O3600" s="20">
        <v>5700</v>
      </c>
      <c r="P3600" s="20">
        <v>5700</v>
      </c>
      <c r="Q3600" s="20">
        <v>3365.3817527487777</v>
      </c>
      <c r="R3600" s="21">
        <v>1</v>
      </c>
      <c r="S3600" s="20">
        <v>3365.3817527487777</v>
      </c>
    </row>
    <row r="3601" spans="2:19" ht="15" customHeight="1" x14ac:dyDescent="0.25">
      <c r="B3601" s="2" t="str">
        <f t="shared" si="112"/>
        <v>PGL_Income Eligible_Single Family_IE Kits_Low Flow Kitchen Aerator_IE Kit_IE</v>
      </c>
      <c r="C3601" s="2" t="str">
        <f t="shared" si="113"/>
        <v>PGL_Income Eligible_Single Family_IE Kits_Low Flow Kitchen Aerator_IE Kit_IE_2022</v>
      </c>
      <c r="D3601" s="19" t="s">
        <v>1794</v>
      </c>
      <c r="E3601" s="19" t="s">
        <v>325</v>
      </c>
      <c r="F3601" s="19" t="s">
        <v>375</v>
      </c>
      <c r="G3601" s="19" t="s">
        <v>1440</v>
      </c>
      <c r="H3601" s="19" t="s">
        <v>533</v>
      </c>
      <c r="I3601" s="19" t="s">
        <v>550</v>
      </c>
      <c r="J3601" s="19" t="s">
        <v>534</v>
      </c>
      <c r="K3601" s="19" t="s">
        <v>551</v>
      </c>
      <c r="L3601" s="19">
        <v>2022</v>
      </c>
      <c r="M3601" s="20">
        <v>1</v>
      </c>
      <c r="N3601" s="19" t="s">
        <v>1795</v>
      </c>
      <c r="O3601" s="20">
        <v>5700</v>
      </c>
      <c r="P3601" s="20">
        <v>5700</v>
      </c>
      <c r="Q3601" s="20">
        <v>28358.979784602921</v>
      </c>
      <c r="R3601" s="21">
        <v>1</v>
      </c>
      <c r="S3601" s="20">
        <v>28358.979784602921</v>
      </c>
    </row>
    <row r="3602" spans="2:19" ht="15" customHeight="1" x14ac:dyDescent="0.25">
      <c r="B3602" s="2" t="str">
        <f t="shared" si="112"/>
        <v>PGL_Income Eligible_Single Family_IE Kits_Low Flow Kitchen Aerator_IE Kit_IE</v>
      </c>
      <c r="C3602" s="2" t="str">
        <f t="shared" si="113"/>
        <v>PGL_Income Eligible_Single Family_IE Kits_Low Flow Kitchen Aerator_IE Kit_IE_2023</v>
      </c>
      <c r="D3602" s="19" t="s">
        <v>1794</v>
      </c>
      <c r="E3602" s="19" t="s">
        <v>325</v>
      </c>
      <c r="F3602" s="19" t="s">
        <v>375</v>
      </c>
      <c r="G3602" s="19" t="s">
        <v>1440</v>
      </c>
      <c r="H3602" s="19" t="s">
        <v>533</v>
      </c>
      <c r="I3602" s="19" t="s">
        <v>550</v>
      </c>
      <c r="J3602" s="19" t="s">
        <v>534</v>
      </c>
      <c r="K3602" s="19" t="s">
        <v>551</v>
      </c>
      <c r="L3602" s="19">
        <v>2023</v>
      </c>
      <c r="M3602" s="20">
        <v>1</v>
      </c>
      <c r="N3602" s="19" t="s">
        <v>1795</v>
      </c>
      <c r="O3602" s="20">
        <v>5700</v>
      </c>
      <c r="P3602" s="20">
        <v>5700</v>
      </c>
      <c r="Q3602" s="20">
        <v>28358.979784602921</v>
      </c>
      <c r="R3602" s="21">
        <v>1</v>
      </c>
      <c r="S3602" s="20">
        <v>28358.979784602921</v>
      </c>
    </row>
    <row r="3603" spans="2:19" ht="15" customHeight="1" x14ac:dyDescent="0.25">
      <c r="B3603" s="2" t="str">
        <f t="shared" si="112"/>
        <v>PGL_Income Eligible_Single Family_IE Kits_Low Flow Kitchen Aerator_IE Kit_IE</v>
      </c>
      <c r="C3603" s="2" t="str">
        <f t="shared" si="113"/>
        <v>PGL_Income Eligible_Single Family_IE Kits_Low Flow Kitchen Aerator_IE Kit_IE_2024</v>
      </c>
      <c r="D3603" s="19" t="s">
        <v>1794</v>
      </c>
      <c r="E3603" s="19" t="s">
        <v>325</v>
      </c>
      <c r="F3603" s="19" t="s">
        <v>375</v>
      </c>
      <c r="G3603" s="19" t="s">
        <v>1440</v>
      </c>
      <c r="H3603" s="19" t="s">
        <v>533</v>
      </c>
      <c r="I3603" s="19" t="s">
        <v>550</v>
      </c>
      <c r="J3603" s="19" t="s">
        <v>534</v>
      </c>
      <c r="K3603" s="19" t="s">
        <v>551</v>
      </c>
      <c r="L3603" s="19">
        <v>2024</v>
      </c>
      <c r="M3603" s="20">
        <v>1</v>
      </c>
      <c r="N3603" s="19" t="s">
        <v>1795</v>
      </c>
      <c r="O3603" s="20">
        <v>5700</v>
      </c>
      <c r="P3603" s="20">
        <v>5700</v>
      </c>
      <c r="Q3603" s="20">
        <v>28358.979784602921</v>
      </c>
      <c r="R3603" s="21">
        <v>1</v>
      </c>
      <c r="S3603" s="20">
        <v>28358.979784602921</v>
      </c>
    </row>
    <row r="3604" spans="2:19" ht="15" customHeight="1" x14ac:dyDescent="0.25">
      <c r="B3604" s="2" t="str">
        <f t="shared" si="112"/>
        <v>PGL_Income Eligible_Single Family_IE Kits_Low Flow Kitchen Aerator_IE Kit_IE</v>
      </c>
      <c r="C3604" s="2" t="str">
        <f t="shared" si="113"/>
        <v>PGL_Income Eligible_Single Family_IE Kits_Low Flow Kitchen Aerator_IE Kit_IE_2025</v>
      </c>
      <c r="D3604" s="19" t="s">
        <v>1794</v>
      </c>
      <c r="E3604" s="19" t="s">
        <v>325</v>
      </c>
      <c r="F3604" s="19" t="s">
        <v>375</v>
      </c>
      <c r="G3604" s="19" t="s">
        <v>1440</v>
      </c>
      <c r="H3604" s="19" t="s">
        <v>533</v>
      </c>
      <c r="I3604" s="19" t="s">
        <v>550</v>
      </c>
      <c r="J3604" s="19" t="s">
        <v>534</v>
      </c>
      <c r="K3604" s="19" t="s">
        <v>551</v>
      </c>
      <c r="L3604" s="19">
        <v>2025</v>
      </c>
      <c r="M3604" s="20">
        <v>1</v>
      </c>
      <c r="N3604" s="19" t="s">
        <v>1795</v>
      </c>
      <c r="O3604" s="20">
        <v>5700</v>
      </c>
      <c r="P3604" s="20">
        <v>5700</v>
      </c>
      <c r="Q3604" s="20">
        <v>28358.979784602921</v>
      </c>
      <c r="R3604" s="21">
        <v>1</v>
      </c>
      <c r="S3604" s="20">
        <v>28358.979784602921</v>
      </c>
    </row>
    <row r="3605" spans="2:19" ht="15" customHeight="1" x14ac:dyDescent="0.25">
      <c r="B3605" s="2" t="str">
        <f t="shared" si="112"/>
        <v>PGL_Income Eligible_Single Family_IE Kits_Low Flow Showerhead_IE Kit_IE</v>
      </c>
      <c r="C3605" s="2" t="str">
        <f t="shared" si="113"/>
        <v>PGL_Income Eligible_Single Family_IE Kits_Low Flow Showerhead_IE Kit_IE_2022</v>
      </c>
      <c r="D3605" s="19" t="s">
        <v>1794</v>
      </c>
      <c r="E3605" s="19" t="s">
        <v>325</v>
      </c>
      <c r="F3605" s="19" t="s">
        <v>375</v>
      </c>
      <c r="G3605" s="19" t="s">
        <v>1440</v>
      </c>
      <c r="H3605" s="19" t="s">
        <v>15</v>
      </c>
      <c r="I3605" s="19" t="s">
        <v>550</v>
      </c>
      <c r="J3605" s="19" t="s">
        <v>23</v>
      </c>
      <c r="K3605" s="19" t="s">
        <v>551</v>
      </c>
      <c r="L3605" s="19">
        <v>2022</v>
      </c>
      <c r="M3605" s="20">
        <v>1</v>
      </c>
      <c r="N3605" s="19" t="s">
        <v>1795</v>
      </c>
      <c r="O3605" s="20">
        <v>5700</v>
      </c>
      <c r="P3605" s="20">
        <v>5700</v>
      </c>
      <c r="Q3605" s="20">
        <v>35657.869681805991</v>
      </c>
      <c r="R3605" s="21">
        <v>1</v>
      </c>
      <c r="S3605" s="20">
        <v>35657.869681805991</v>
      </c>
    </row>
    <row r="3606" spans="2:19" ht="15" customHeight="1" x14ac:dyDescent="0.25">
      <c r="B3606" s="2" t="str">
        <f t="shared" si="112"/>
        <v>PGL_Income Eligible_Single Family_IE Kits_Low Flow Showerhead_IE Kit_IE</v>
      </c>
      <c r="C3606" s="2" t="str">
        <f t="shared" si="113"/>
        <v>PGL_Income Eligible_Single Family_IE Kits_Low Flow Showerhead_IE Kit_IE_2023</v>
      </c>
      <c r="D3606" s="19" t="s">
        <v>1794</v>
      </c>
      <c r="E3606" s="19" t="s">
        <v>325</v>
      </c>
      <c r="F3606" s="19" t="s">
        <v>375</v>
      </c>
      <c r="G3606" s="19" t="s">
        <v>1440</v>
      </c>
      <c r="H3606" s="19" t="s">
        <v>15</v>
      </c>
      <c r="I3606" s="19" t="s">
        <v>550</v>
      </c>
      <c r="J3606" s="19" t="s">
        <v>23</v>
      </c>
      <c r="K3606" s="19" t="s">
        <v>551</v>
      </c>
      <c r="L3606" s="19">
        <v>2023</v>
      </c>
      <c r="M3606" s="20">
        <v>1</v>
      </c>
      <c r="N3606" s="19" t="s">
        <v>1795</v>
      </c>
      <c r="O3606" s="20">
        <v>5700</v>
      </c>
      <c r="P3606" s="20">
        <v>5700</v>
      </c>
      <c r="Q3606" s="20">
        <v>35657.869681805991</v>
      </c>
      <c r="R3606" s="21">
        <v>1</v>
      </c>
      <c r="S3606" s="20">
        <v>35657.869681805991</v>
      </c>
    </row>
    <row r="3607" spans="2:19" ht="15" customHeight="1" x14ac:dyDescent="0.25">
      <c r="B3607" s="2" t="str">
        <f t="shared" si="112"/>
        <v>PGL_Income Eligible_Single Family_IE Kits_Low Flow Showerhead_IE Kit_IE</v>
      </c>
      <c r="C3607" s="2" t="str">
        <f t="shared" si="113"/>
        <v>PGL_Income Eligible_Single Family_IE Kits_Low Flow Showerhead_IE Kit_IE_2024</v>
      </c>
      <c r="D3607" s="19" t="s">
        <v>1794</v>
      </c>
      <c r="E3607" s="19" t="s">
        <v>325</v>
      </c>
      <c r="F3607" s="19" t="s">
        <v>375</v>
      </c>
      <c r="G3607" s="19" t="s">
        <v>1440</v>
      </c>
      <c r="H3607" s="19" t="s">
        <v>15</v>
      </c>
      <c r="I3607" s="19" t="s">
        <v>550</v>
      </c>
      <c r="J3607" s="19" t="s">
        <v>23</v>
      </c>
      <c r="K3607" s="19" t="s">
        <v>551</v>
      </c>
      <c r="L3607" s="19">
        <v>2024</v>
      </c>
      <c r="M3607" s="20">
        <v>1</v>
      </c>
      <c r="N3607" s="19" t="s">
        <v>1795</v>
      </c>
      <c r="O3607" s="20">
        <v>5700</v>
      </c>
      <c r="P3607" s="20">
        <v>5700</v>
      </c>
      <c r="Q3607" s="20">
        <v>35657.869681805991</v>
      </c>
      <c r="R3607" s="21">
        <v>1</v>
      </c>
      <c r="S3607" s="20">
        <v>35657.869681805991</v>
      </c>
    </row>
    <row r="3608" spans="2:19" ht="15" customHeight="1" x14ac:dyDescent="0.25">
      <c r="B3608" s="2" t="str">
        <f t="shared" si="112"/>
        <v>PGL_Income Eligible_Single Family_IE Kits_Low Flow Showerhead_IE Kit_IE</v>
      </c>
      <c r="C3608" s="2" t="str">
        <f t="shared" si="113"/>
        <v>PGL_Income Eligible_Single Family_IE Kits_Low Flow Showerhead_IE Kit_IE_2025</v>
      </c>
      <c r="D3608" s="19" t="s">
        <v>1794</v>
      </c>
      <c r="E3608" s="19" t="s">
        <v>325</v>
      </c>
      <c r="F3608" s="19" t="s">
        <v>375</v>
      </c>
      <c r="G3608" s="19" t="s">
        <v>1440</v>
      </c>
      <c r="H3608" s="19" t="s">
        <v>15</v>
      </c>
      <c r="I3608" s="19" t="s">
        <v>550</v>
      </c>
      <c r="J3608" s="19" t="s">
        <v>23</v>
      </c>
      <c r="K3608" s="19" t="s">
        <v>551</v>
      </c>
      <c r="L3608" s="19">
        <v>2025</v>
      </c>
      <c r="M3608" s="20">
        <v>1</v>
      </c>
      <c r="N3608" s="19" t="s">
        <v>1795</v>
      </c>
      <c r="O3608" s="20">
        <v>5700</v>
      </c>
      <c r="P3608" s="20">
        <v>5700</v>
      </c>
      <c r="Q3608" s="20">
        <v>35657.869681805991</v>
      </c>
      <c r="R3608" s="21">
        <v>1</v>
      </c>
      <c r="S3608" s="20">
        <v>35657.869681805991</v>
      </c>
    </row>
    <row r="3609" spans="2:19" ht="15" customHeight="1" x14ac:dyDescent="0.25">
      <c r="B3609" s="2" t="str">
        <f t="shared" si="112"/>
        <v>PGL_Income Eligible_Single Family_IE Kits_Shower Timer_IE Kit_IE</v>
      </c>
      <c r="C3609" s="2" t="str">
        <f t="shared" si="113"/>
        <v>PGL_Income Eligible_Single Family_IE Kits_Shower Timer_IE Kit_IE_2022</v>
      </c>
      <c r="D3609" s="19" t="s">
        <v>1794</v>
      </c>
      <c r="E3609" s="19" t="s">
        <v>325</v>
      </c>
      <c r="F3609" s="19" t="s">
        <v>375</v>
      </c>
      <c r="G3609" s="19" t="s">
        <v>1440</v>
      </c>
      <c r="H3609" s="19" t="s">
        <v>1031</v>
      </c>
      <c r="I3609" s="19" t="s">
        <v>550</v>
      </c>
      <c r="J3609" s="19" t="s">
        <v>1033</v>
      </c>
      <c r="K3609" s="19" t="s">
        <v>551</v>
      </c>
      <c r="L3609" s="19">
        <v>2022</v>
      </c>
      <c r="M3609" s="20">
        <v>1</v>
      </c>
      <c r="N3609" s="19" t="s">
        <v>1795</v>
      </c>
      <c r="O3609" s="20">
        <v>5700</v>
      </c>
      <c r="P3609" s="20">
        <v>5700</v>
      </c>
      <c r="Q3609" s="20">
        <v>21131.304359222013</v>
      </c>
      <c r="R3609" s="21">
        <v>1</v>
      </c>
      <c r="S3609" s="20">
        <v>21131.304359222013</v>
      </c>
    </row>
    <row r="3610" spans="2:19" ht="15" customHeight="1" x14ac:dyDescent="0.25">
      <c r="B3610" s="2" t="str">
        <f t="shared" si="112"/>
        <v>PGL_Income Eligible_Single Family_IE Kits_Shower Timer_IE Kit_IE</v>
      </c>
      <c r="C3610" s="2" t="str">
        <f t="shared" si="113"/>
        <v>PGL_Income Eligible_Single Family_IE Kits_Shower Timer_IE Kit_IE_2023</v>
      </c>
      <c r="D3610" s="19" t="s">
        <v>1794</v>
      </c>
      <c r="E3610" s="19" t="s">
        <v>325</v>
      </c>
      <c r="F3610" s="19" t="s">
        <v>375</v>
      </c>
      <c r="G3610" s="19" t="s">
        <v>1440</v>
      </c>
      <c r="H3610" s="19" t="s">
        <v>1031</v>
      </c>
      <c r="I3610" s="19" t="s">
        <v>550</v>
      </c>
      <c r="J3610" s="19" t="s">
        <v>1033</v>
      </c>
      <c r="K3610" s="19" t="s">
        <v>551</v>
      </c>
      <c r="L3610" s="19">
        <v>2023</v>
      </c>
      <c r="M3610" s="20">
        <v>1</v>
      </c>
      <c r="N3610" s="19" t="s">
        <v>1795</v>
      </c>
      <c r="O3610" s="20">
        <v>5700</v>
      </c>
      <c r="P3610" s="20">
        <v>5700</v>
      </c>
      <c r="Q3610" s="20">
        <v>21131.304359222013</v>
      </c>
      <c r="R3610" s="21">
        <v>1</v>
      </c>
      <c r="S3610" s="20">
        <v>21131.304359222013</v>
      </c>
    </row>
    <row r="3611" spans="2:19" ht="15" customHeight="1" x14ac:dyDescent="0.25">
      <c r="B3611" s="2" t="str">
        <f t="shared" si="112"/>
        <v>PGL_Income Eligible_Single Family_IE Kits_Shower Timer_IE Kit_IE</v>
      </c>
      <c r="C3611" s="2" t="str">
        <f t="shared" si="113"/>
        <v>PGL_Income Eligible_Single Family_IE Kits_Shower Timer_IE Kit_IE_2024</v>
      </c>
      <c r="D3611" s="19" t="s">
        <v>1794</v>
      </c>
      <c r="E3611" s="19" t="s">
        <v>325</v>
      </c>
      <c r="F3611" s="19" t="s">
        <v>375</v>
      </c>
      <c r="G3611" s="19" t="s">
        <v>1440</v>
      </c>
      <c r="H3611" s="19" t="s">
        <v>1031</v>
      </c>
      <c r="I3611" s="19" t="s">
        <v>550</v>
      </c>
      <c r="J3611" s="19" t="s">
        <v>1033</v>
      </c>
      <c r="K3611" s="19" t="s">
        <v>551</v>
      </c>
      <c r="L3611" s="19">
        <v>2024</v>
      </c>
      <c r="M3611" s="20">
        <v>1</v>
      </c>
      <c r="N3611" s="19" t="s">
        <v>1795</v>
      </c>
      <c r="O3611" s="20">
        <v>5700</v>
      </c>
      <c r="P3611" s="20">
        <v>5700</v>
      </c>
      <c r="Q3611" s="20">
        <v>21131.304359222013</v>
      </c>
      <c r="R3611" s="21">
        <v>1</v>
      </c>
      <c r="S3611" s="20">
        <v>21131.304359222013</v>
      </c>
    </row>
    <row r="3612" spans="2:19" ht="15" customHeight="1" x14ac:dyDescent="0.25">
      <c r="B3612" s="2" t="str">
        <f t="shared" si="112"/>
        <v>PGL_Income Eligible_Single Family_IE Kits_Shower Timer_IE Kit_IE</v>
      </c>
      <c r="C3612" s="2" t="str">
        <f t="shared" si="113"/>
        <v>PGL_Income Eligible_Single Family_IE Kits_Shower Timer_IE Kit_IE_2025</v>
      </c>
      <c r="D3612" s="19" t="s">
        <v>1794</v>
      </c>
      <c r="E3612" s="19" t="s">
        <v>325</v>
      </c>
      <c r="F3612" s="19" t="s">
        <v>375</v>
      </c>
      <c r="G3612" s="19" t="s">
        <v>1440</v>
      </c>
      <c r="H3612" s="19" t="s">
        <v>1031</v>
      </c>
      <c r="I3612" s="19" t="s">
        <v>550</v>
      </c>
      <c r="J3612" s="19" t="s">
        <v>1033</v>
      </c>
      <c r="K3612" s="19" t="s">
        <v>551</v>
      </c>
      <c r="L3612" s="19">
        <v>2025</v>
      </c>
      <c r="M3612" s="20">
        <v>1</v>
      </c>
      <c r="N3612" s="19" t="s">
        <v>1795</v>
      </c>
      <c r="O3612" s="20">
        <v>5700</v>
      </c>
      <c r="P3612" s="20">
        <v>5700</v>
      </c>
      <c r="Q3612" s="20">
        <v>21131.304359222013</v>
      </c>
      <c r="R3612" s="21">
        <v>1</v>
      </c>
      <c r="S3612" s="20">
        <v>21131.304359222013</v>
      </c>
    </row>
    <row r="3613" spans="2:19" ht="15" customHeight="1" x14ac:dyDescent="0.25">
      <c r="B3613" s="2" t="str">
        <f t="shared" si="112"/>
        <v>PGL_Income Eligible_Single Family_IE Kits_Pipe Insulation_IE Kit_IE</v>
      </c>
      <c r="C3613" s="2" t="str">
        <f t="shared" si="113"/>
        <v>PGL_Income Eligible_Single Family_IE Kits_Pipe Insulation_IE Kit_IE_2022</v>
      </c>
      <c r="D3613" s="19" t="s">
        <v>1794</v>
      </c>
      <c r="E3613" s="19" t="s">
        <v>325</v>
      </c>
      <c r="F3613" s="19" t="s">
        <v>375</v>
      </c>
      <c r="G3613" s="19" t="s">
        <v>1440</v>
      </c>
      <c r="H3613" s="19" t="s">
        <v>404</v>
      </c>
      <c r="I3613" s="19" t="s">
        <v>550</v>
      </c>
      <c r="J3613" s="19" t="s">
        <v>1008</v>
      </c>
      <c r="K3613" s="19" t="s">
        <v>551</v>
      </c>
      <c r="L3613" s="19">
        <v>2022</v>
      </c>
      <c r="M3613" s="20">
        <v>1</v>
      </c>
      <c r="N3613" s="19" t="s">
        <v>1810</v>
      </c>
      <c r="O3613" s="20">
        <v>34200</v>
      </c>
      <c r="P3613" s="20">
        <v>34200</v>
      </c>
      <c r="Q3613" s="20">
        <v>16904.832737455206</v>
      </c>
      <c r="R3613" s="21">
        <v>1</v>
      </c>
      <c r="S3613" s="20">
        <v>16904.832737455206</v>
      </c>
    </row>
    <row r="3614" spans="2:19" ht="15" customHeight="1" x14ac:dyDescent="0.25">
      <c r="B3614" s="2" t="str">
        <f t="shared" si="112"/>
        <v>PGL_Income Eligible_Single Family_IE Kits_Pipe Insulation_IE Kit_IE</v>
      </c>
      <c r="C3614" s="2" t="str">
        <f t="shared" si="113"/>
        <v>PGL_Income Eligible_Single Family_IE Kits_Pipe Insulation_IE Kit_IE_2023</v>
      </c>
      <c r="D3614" s="19" t="s">
        <v>1794</v>
      </c>
      <c r="E3614" s="19" t="s">
        <v>325</v>
      </c>
      <c r="F3614" s="19" t="s">
        <v>375</v>
      </c>
      <c r="G3614" s="19" t="s">
        <v>1440</v>
      </c>
      <c r="H3614" s="19" t="s">
        <v>404</v>
      </c>
      <c r="I3614" s="19" t="s">
        <v>550</v>
      </c>
      <c r="J3614" s="19" t="s">
        <v>1008</v>
      </c>
      <c r="K3614" s="19" t="s">
        <v>551</v>
      </c>
      <c r="L3614" s="19">
        <v>2023</v>
      </c>
      <c r="M3614" s="20">
        <v>1</v>
      </c>
      <c r="N3614" s="19" t="s">
        <v>1810</v>
      </c>
      <c r="O3614" s="20">
        <v>34200</v>
      </c>
      <c r="P3614" s="20">
        <v>34200</v>
      </c>
      <c r="Q3614" s="20">
        <v>16904.832737455206</v>
      </c>
      <c r="R3614" s="21">
        <v>1</v>
      </c>
      <c r="S3614" s="20">
        <v>16904.832737455206</v>
      </c>
    </row>
    <row r="3615" spans="2:19" ht="15" customHeight="1" x14ac:dyDescent="0.25">
      <c r="B3615" s="2" t="str">
        <f t="shared" si="112"/>
        <v>PGL_Income Eligible_Single Family_IE Kits_Pipe Insulation_IE Kit_IE</v>
      </c>
      <c r="C3615" s="2" t="str">
        <f t="shared" si="113"/>
        <v>PGL_Income Eligible_Single Family_IE Kits_Pipe Insulation_IE Kit_IE_2024</v>
      </c>
      <c r="D3615" s="19" t="s">
        <v>1794</v>
      </c>
      <c r="E3615" s="19" t="s">
        <v>325</v>
      </c>
      <c r="F3615" s="19" t="s">
        <v>375</v>
      </c>
      <c r="G3615" s="19" t="s">
        <v>1440</v>
      </c>
      <c r="H3615" s="19" t="s">
        <v>404</v>
      </c>
      <c r="I3615" s="19" t="s">
        <v>550</v>
      </c>
      <c r="J3615" s="19" t="s">
        <v>1008</v>
      </c>
      <c r="K3615" s="19" t="s">
        <v>551</v>
      </c>
      <c r="L3615" s="19">
        <v>2024</v>
      </c>
      <c r="M3615" s="20">
        <v>1</v>
      </c>
      <c r="N3615" s="19" t="s">
        <v>1810</v>
      </c>
      <c r="O3615" s="20">
        <v>34200</v>
      </c>
      <c r="P3615" s="20">
        <v>34200</v>
      </c>
      <c r="Q3615" s="20">
        <v>16904.832737455206</v>
      </c>
      <c r="R3615" s="21">
        <v>1</v>
      </c>
      <c r="S3615" s="20">
        <v>16904.832737455206</v>
      </c>
    </row>
    <row r="3616" spans="2:19" ht="15" customHeight="1" x14ac:dyDescent="0.25">
      <c r="B3616" s="2" t="str">
        <f t="shared" si="112"/>
        <v>PGL_Income Eligible_Single Family_IE Kits_Pipe Insulation_IE Kit_IE</v>
      </c>
      <c r="C3616" s="2" t="str">
        <f t="shared" si="113"/>
        <v>PGL_Income Eligible_Single Family_IE Kits_Pipe Insulation_IE Kit_IE_2025</v>
      </c>
      <c r="D3616" s="19" t="s">
        <v>1794</v>
      </c>
      <c r="E3616" s="19" t="s">
        <v>325</v>
      </c>
      <c r="F3616" s="19" t="s">
        <v>375</v>
      </c>
      <c r="G3616" s="19" t="s">
        <v>1440</v>
      </c>
      <c r="H3616" s="19" t="s">
        <v>404</v>
      </c>
      <c r="I3616" s="19" t="s">
        <v>550</v>
      </c>
      <c r="J3616" s="19" t="s">
        <v>1008</v>
      </c>
      <c r="K3616" s="19" t="s">
        <v>551</v>
      </c>
      <c r="L3616" s="19">
        <v>2025</v>
      </c>
      <c r="M3616" s="20">
        <v>1</v>
      </c>
      <c r="N3616" s="19" t="s">
        <v>1810</v>
      </c>
      <c r="O3616" s="20">
        <v>34200</v>
      </c>
      <c r="P3616" s="20">
        <v>34200</v>
      </c>
      <c r="Q3616" s="20">
        <v>16904.832737455206</v>
      </c>
      <c r="R3616" s="21">
        <v>1</v>
      </c>
      <c r="S3616" s="20">
        <v>16904.832737455206</v>
      </c>
    </row>
    <row r="3617" spans="2:19" ht="15" customHeight="1" x14ac:dyDescent="0.25">
      <c r="B3617" s="2" t="str">
        <f t="shared" si="112"/>
        <v>PGL_Income Eligible_Single Family_IE Kits_Weatherstripping_IE Kit_IE</v>
      </c>
      <c r="C3617" s="2" t="str">
        <f t="shared" si="113"/>
        <v>PGL_Income Eligible_Single Family_IE Kits_Weatherstripping_IE Kit_IE_2022</v>
      </c>
      <c r="D3617" s="19" t="s">
        <v>1794</v>
      </c>
      <c r="E3617" s="19" t="s">
        <v>325</v>
      </c>
      <c r="F3617" s="19" t="s">
        <v>375</v>
      </c>
      <c r="G3617" s="19" t="s">
        <v>1440</v>
      </c>
      <c r="H3617" s="19" t="s">
        <v>576</v>
      </c>
      <c r="I3617" s="19" t="s">
        <v>550</v>
      </c>
      <c r="J3617" s="19" t="s">
        <v>573</v>
      </c>
      <c r="K3617" s="19" t="s">
        <v>551</v>
      </c>
      <c r="L3617" s="19">
        <v>2022</v>
      </c>
      <c r="M3617" s="20">
        <v>17</v>
      </c>
      <c r="N3617" s="19" t="s">
        <v>1810</v>
      </c>
      <c r="O3617" s="20">
        <v>5700</v>
      </c>
      <c r="P3617" s="20">
        <v>96900</v>
      </c>
      <c r="Q3617" s="20">
        <v>29790.935999999998</v>
      </c>
      <c r="R3617" s="21">
        <v>1</v>
      </c>
      <c r="S3617" s="20">
        <v>29790.935999999998</v>
      </c>
    </row>
    <row r="3618" spans="2:19" ht="15" customHeight="1" x14ac:dyDescent="0.25">
      <c r="B3618" s="2" t="str">
        <f t="shared" si="112"/>
        <v>PGL_Income Eligible_Single Family_IE Kits_Weatherstripping_IE Kit_IE</v>
      </c>
      <c r="C3618" s="2" t="str">
        <f t="shared" si="113"/>
        <v>PGL_Income Eligible_Single Family_IE Kits_Weatherstripping_IE Kit_IE_2023</v>
      </c>
      <c r="D3618" s="19" t="s">
        <v>1794</v>
      </c>
      <c r="E3618" s="19" t="s">
        <v>325</v>
      </c>
      <c r="F3618" s="19" t="s">
        <v>375</v>
      </c>
      <c r="G3618" s="19" t="s">
        <v>1440</v>
      </c>
      <c r="H3618" s="19" t="s">
        <v>576</v>
      </c>
      <c r="I3618" s="19" t="s">
        <v>550</v>
      </c>
      <c r="J3618" s="19" t="s">
        <v>573</v>
      </c>
      <c r="K3618" s="19" t="s">
        <v>551</v>
      </c>
      <c r="L3618" s="19">
        <v>2023</v>
      </c>
      <c r="M3618" s="20">
        <v>17</v>
      </c>
      <c r="N3618" s="19" t="s">
        <v>1810</v>
      </c>
      <c r="O3618" s="20">
        <v>5700</v>
      </c>
      <c r="P3618" s="20">
        <v>96900</v>
      </c>
      <c r="Q3618" s="20">
        <v>29790.935999999998</v>
      </c>
      <c r="R3618" s="21">
        <v>1</v>
      </c>
      <c r="S3618" s="20">
        <v>29790.935999999998</v>
      </c>
    </row>
    <row r="3619" spans="2:19" ht="15" customHeight="1" x14ac:dyDescent="0.25">
      <c r="B3619" s="2" t="str">
        <f t="shared" si="112"/>
        <v>PGL_Income Eligible_Single Family_IE Kits_Weatherstripping_IE Kit_IE</v>
      </c>
      <c r="C3619" s="2" t="str">
        <f t="shared" si="113"/>
        <v>PGL_Income Eligible_Single Family_IE Kits_Weatherstripping_IE Kit_IE_2024</v>
      </c>
      <c r="D3619" s="19" t="s">
        <v>1794</v>
      </c>
      <c r="E3619" s="19" t="s">
        <v>325</v>
      </c>
      <c r="F3619" s="19" t="s">
        <v>375</v>
      </c>
      <c r="G3619" s="19" t="s">
        <v>1440</v>
      </c>
      <c r="H3619" s="19" t="s">
        <v>576</v>
      </c>
      <c r="I3619" s="19" t="s">
        <v>550</v>
      </c>
      <c r="J3619" s="19" t="s">
        <v>573</v>
      </c>
      <c r="K3619" s="19" t="s">
        <v>551</v>
      </c>
      <c r="L3619" s="19">
        <v>2024</v>
      </c>
      <c r="M3619" s="20">
        <v>17</v>
      </c>
      <c r="N3619" s="19" t="s">
        <v>1810</v>
      </c>
      <c r="O3619" s="20">
        <v>5700</v>
      </c>
      <c r="P3619" s="20">
        <v>96900</v>
      </c>
      <c r="Q3619" s="20">
        <v>29790.935999999998</v>
      </c>
      <c r="R3619" s="21">
        <v>1</v>
      </c>
      <c r="S3619" s="20">
        <v>29790.935999999998</v>
      </c>
    </row>
    <row r="3620" spans="2:19" ht="15" customHeight="1" x14ac:dyDescent="0.25">
      <c r="B3620" s="2" t="str">
        <f t="shared" si="112"/>
        <v>PGL_Income Eligible_Single Family_IE Kits_Weatherstripping_IE Kit_IE</v>
      </c>
      <c r="C3620" s="2" t="str">
        <f t="shared" si="113"/>
        <v>PGL_Income Eligible_Single Family_IE Kits_Weatherstripping_IE Kit_IE_2025</v>
      </c>
      <c r="D3620" s="19" t="s">
        <v>1794</v>
      </c>
      <c r="E3620" s="19" t="s">
        <v>325</v>
      </c>
      <c r="F3620" s="19" t="s">
        <v>375</v>
      </c>
      <c r="G3620" s="19" t="s">
        <v>1440</v>
      </c>
      <c r="H3620" s="19" t="s">
        <v>576</v>
      </c>
      <c r="I3620" s="19" t="s">
        <v>550</v>
      </c>
      <c r="J3620" s="19" t="s">
        <v>573</v>
      </c>
      <c r="K3620" s="19" t="s">
        <v>551</v>
      </c>
      <c r="L3620" s="19">
        <v>2025</v>
      </c>
      <c r="M3620" s="20">
        <v>17</v>
      </c>
      <c r="N3620" s="19" t="s">
        <v>1810</v>
      </c>
      <c r="O3620" s="20">
        <v>5700</v>
      </c>
      <c r="P3620" s="20">
        <v>96900</v>
      </c>
      <c r="Q3620" s="20">
        <v>29790.935999999998</v>
      </c>
      <c r="R3620" s="21">
        <v>1</v>
      </c>
      <c r="S3620" s="20">
        <v>29790.935999999998</v>
      </c>
    </row>
    <row r="3621" spans="2:19" ht="15" customHeight="1" x14ac:dyDescent="0.25">
      <c r="B3621" s="2" t="str">
        <f t="shared" si="112"/>
        <v>PGL_Income Eligible_Single Family_IE Kits_Outlet and Switch Gaskets_IE Kit_IE</v>
      </c>
      <c r="C3621" s="2" t="str">
        <f t="shared" si="113"/>
        <v>PGL_Income Eligible_Single Family_IE Kits_Outlet and Switch Gaskets_IE Kit_IE_2022</v>
      </c>
      <c r="D3621" s="19" t="s">
        <v>1794</v>
      </c>
      <c r="E3621" s="19" t="s">
        <v>325</v>
      </c>
      <c r="F3621" s="19" t="s">
        <v>375</v>
      </c>
      <c r="G3621" s="19" t="s">
        <v>1440</v>
      </c>
      <c r="H3621" s="19" t="s">
        <v>563</v>
      </c>
      <c r="I3621" s="19" t="s">
        <v>550</v>
      </c>
      <c r="J3621" s="19" t="s">
        <v>573</v>
      </c>
      <c r="K3621" s="19" t="s">
        <v>551</v>
      </c>
      <c r="L3621" s="19">
        <v>2022</v>
      </c>
      <c r="M3621" s="20">
        <v>1</v>
      </c>
      <c r="N3621" s="19" t="s">
        <v>1798</v>
      </c>
      <c r="O3621" s="20">
        <v>114000</v>
      </c>
      <c r="P3621" s="20">
        <v>114000</v>
      </c>
      <c r="Q3621" s="20">
        <v>21860.640000000003</v>
      </c>
      <c r="R3621" s="21">
        <v>1</v>
      </c>
      <c r="S3621" s="20">
        <v>21860.640000000003</v>
      </c>
    </row>
    <row r="3622" spans="2:19" ht="15" customHeight="1" x14ac:dyDescent="0.25">
      <c r="B3622" s="2" t="str">
        <f t="shared" si="112"/>
        <v>PGL_Income Eligible_Single Family_IE Kits_Outlet and Switch Gaskets_IE Kit_IE</v>
      </c>
      <c r="C3622" s="2" t="str">
        <f t="shared" si="113"/>
        <v>PGL_Income Eligible_Single Family_IE Kits_Outlet and Switch Gaskets_IE Kit_IE_2023</v>
      </c>
      <c r="D3622" s="19" t="s">
        <v>1794</v>
      </c>
      <c r="E3622" s="19" t="s">
        <v>325</v>
      </c>
      <c r="F3622" s="19" t="s">
        <v>375</v>
      </c>
      <c r="G3622" s="19" t="s">
        <v>1440</v>
      </c>
      <c r="H3622" s="19" t="s">
        <v>563</v>
      </c>
      <c r="I3622" s="19" t="s">
        <v>550</v>
      </c>
      <c r="J3622" s="19" t="s">
        <v>573</v>
      </c>
      <c r="K3622" s="19" t="s">
        <v>551</v>
      </c>
      <c r="L3622" s="19">
        <v>2023</v>
      </c>
      <c r="M3622" s="20">
        <v>1</v>
      </c>
      <c r="N3622" s="19" t="s">
        <v>1798</v>
      </c>
      <c r="O3622" s="20">
        <v>114000</v>
      </c>
      <c r="P3622" s="20">
        <v>114000</v>
      </c>
      <c r="Q3622" s="20">
        <v>21860.640000000003</v>
      </c>
      <c r="R3622" s="21">
        <v>1</v>
      </c>
      <c r="S3622" s="20">
        <v>21860.640000000003</v>
      </c>
    </row>
    <row r="3623" spans="2:19" ht="15" customHeight="1" x14ac:dyDescent="0.25">
      <c r="B3623" s="2" t="str">
        <f t="shared" si="112"/>
        <v>PGL_Income Eligible_Single Family_IE Kits_Outlet and Switch Gaskets_IE Kit_IE</v>
      </c>
      <c r="C3623" s="2" t="str">
        <f t="shared" si="113"/>
        <v>PGL_Income Eligible_Single Family_IE Kits_Outlet and Switch Gaskets_IE Kit_IE_2024</v>
      </c>
      <c r="D3623" s="19" t="s">
        <v>1794</v>
      </c>
      <c r="E3623" s="19" t="s">
        <v>325</v>
      </c>
      <c r="F3623" s="19" t="s">
        <v>375</v>
      </c>
      <c r="G3623" s="19" t="s">
        <v>1440</v>
      </c>
      <c r="H3623" s="19" t="s">
        <v>563</v>
      </c>
      <c r="I3623" s="19" t="s">
        <v>550</v>
      </c>
      <c r="J3623" s="19" t="s">
        <v>573</v>
      </c>
      <c r="K3623" s="19" t="s">
        <v>551</v>
      </c>
      <c r="L3623" s="19">
        <v>2024</v>
      </c>
      <c r="M3623" s="20">
        <v>1</v>
      </c>
      <c r="N3623" s="19" t="s">
        <v>1798</v>
      </c>
      <c r="O3623" s="20">
        <v>114000</v>
      </c>
      <c r="P3623" s="20">
        <v>114000</v>
      </c>
      <c r="Q3623" s="20">
        <v>21860.640000000003</v>
      </c>
      <c r="R3623" s="21">
        <v>1</v>
      </c>
      <c r="S3623" s="20">
        <v>21860.640000000003</v>
      </c>
    </row>
    <row r="3624" spans="2:19" ht="15" customHeight="1" x14ac:dyDescent="0.25">
      <c r="B3624" s="2" t="str">
        <f t="shared" si="112"/>
        <v>PGL_Income Eligible_Single Family_IE Kits_Outlet and Switch Gaskets_IE Kit_IE</v>
      </c>
      <c r="C3624" s="2" t="str">
        <f t="shared" si="113"/>
        <v>PGL_Income Eligible_Single Family_IE Kits_Outlet and Switch Gaskets_IE Kit_IE_2025</v>
      </c>
      <c r="D3624" s="19" t="s">
        <v>1794</v>
      </c>
      <c r="E3624" s="19" t="s">
        <v>325</v>
      </c>
      <c r="F3624" s="19" t="s">
        <v>375</v>
      </c>
      <c r="G3624" s="19" t="s">
        <v>1440</v>
      </c>
      <c r="H3624" s="19" t="s">
        <v>563</v>
      </c>
      <c r="I3624" s="19" t="s">
        <v>550</v>
      </c>
      <c r="J3624" s="19" t="s">
        <v>573</v>
      </c>
      <c r="K3624" s="19" t="s">
        <v>551</v>
      </c>
      <c r="L3624" s="19">
        <v>2025</v>
      </c>
      <c r="M3624" s="20">
        <v>1</v>
      </c>
      <c r="N3624" s="19" t="s">
        <v>1798</v>
      </c>
      <c r="O3624" s="20">
        <v>114000</v>
      </c>
      <c r="P3624" s="20">
        <v>114000</v>
      </c>
      <c r="Q3624" s="20">
        <v>21860.640000000003</v>
      </c>
      <c r="R3624" s="21">
        <v>1</v>
      </c>
      <c r="S3624" s="20">
        <v>21860.640000000003</v>
      </c>
    </row>
    <row r="3625" spans="2:19" ht="15" customHeight="1" x14ac:dyDescent="0.25">
      <c r="B3625" s="2" t="str">
        <f t="shared" si="112"/>
        <v>PGL_Income Eligible_Single Family_IE Kits_Window Kit_IE Kit_IE</v>
      </c>
      <c r="C3625" s="2" t="str">
        <f t="shared" si="113"/>
        <v>PGL_Income Eligible_Single Family_IE Kits_Window Kit_IE Kit_IE_2022</v>
      </c>
      <c r="D3625" s="19" t="s">
        <v>1794</v>
      </c>
      <c r="E3625" s="19" t="s">
        <v>325</v>
      </c>
      <c r="F3625" s="19" t="s">
        <v>375</v>
      </c>
      <c r="G3625" s="19" t="s">
        <v>1440</v>
      </c>
      <c r="H3625" s="19" t="s">
        <v>574</v>
      </c>
      <c r="I3625" s="19" t="s">
        <v>550</v>
      </c>
      <c r="J3625" s="19" t="s">
        <v>573</v>
      </c>
      <c r="K3625" s="19" t="s">
        <v>551</v>
      </c>
      <c r="L3625" s="19">
        <v>2022</v>
      </c>
      <c r="M3625" s="20">
        <v>1</v>
      </c>
      <c r="N3625" s="19" t="s">
        <v>634</v>
      </c>
      <c r="O3625" s="20">
        <v>427500</v>
      </c>
      <c r="P3625" s="20">
        <v>427500</v>
      </c>
      <c r="Q3625" s="20">
        <v>35674.019999999997</v>
      </c>
      <c r="R3625" s="21">
        <v>1</v>
      </c>
      <c r="S3625" s="20">
        <v>35674.019999999997</v>
      </c>
    </row>
    <row r="3626" spans="2:19" ht="15" customHeight="1" x14ac:dyDescent="0.25">
      <c r="B3626" s="2" t="str">
        <f t="shared" si="112"/>
        <v>PGL_Income Eligible_Single Family_IE Kits_Window Kit_IE Kit_IE</v>
      </c>
      <c r="C3626" s="2" t="str">
        <f t="shared" si="113"/>
        <v>PGL_Income Eligible_Single Family_IE Kits_Window Kit_IE Kit_IE_2023</v>
      </c>
      <c r="D3626" s="19" t="s">
        <v>1794</v>
      </c>
      <c r="E3626" s="19" t="s">
        <v>325</v>
      </c>
      <c r="F3626" s="19" t="s">
        <v>375</v>
      </c>
      <c r="G3626" s="19" t="s">
        <v>1440</v>
      </c>
      <c r="H3626" s="19" t="s">
        <v>574</v>
      </c>
      <c r="I3626" s="19" t="s">
        <v>550</v>
      </c>
      <c r="J3626" s="19" t="s">
        <v>573</v>
      </c>
      <c r="K3626" s="19" t="s">
        <v>551</v>
      </c>
      <c r="L3626" s="19">
        <v>2023</v>
      </c>
      <c r="M3626" s="20">
        <v>1</v>
      </c>
      <c r="N3626" s="19" t="s">
        <v>634</v>
      </c>
      <c r="O3626" s="20">
        <v>427500</v>
      </c>
      <c r="P3626" s="20">
        <v>427500</v>
      </c>
      <c r="Q3626" s="20">
        <v>35674.019999999997</v>
      </c>
      <c r="R3626" s="21">
        <v>1</v>
      </c>
      <c r="S3626" s="20">
        <v>35674.019999999997</v>
      </c>
    </row>
    <row r="3627" spans="2:19" ht="15" customHeight="1" x14ac:dyDescent="0.25">
      <c r="B3627" s="2" t="str">
        <f t="shared" si="112"/>
        <v>PGL_Income Eligible_Single Family_IE Kits_Window Kit_IE Kit_IE</v>
      </c>
      <c r="C3627" s="2" t="str">
        <f t="shared" si="113"/>
        <v>PGL_Income Eligible_Single Family_IE Kits_Window Kit_IE Kit_IE_2024</v>
      </c>
      <c r="D3627" s="19" t="s">
        <v>1794</v>
      </c>
      <c r="E3627" s="19" t="s">
        <v>325</v>
      </c>
      <c r="F3627" s="19" t="s">
        <v>375</v>
      </c>
      <c r="G3627" s="19" t="s">
        <v>1440</v>
      </c>
      <c r="H3627" s="19" t="s">
        <v>574</v>
      </c>
      <c r="I3627" s="19" t="s">
        <v>550</v>
      </c>
      <c r="J3627" s="19" t="s">
        <v>573</v>
      </c>
      <c r="K3627" s="19" t="s">
        <v>551</v>
      </c>
      <c r="L3627" s="19">
        <v>2024</v>
      </c>
      <c r="M3627" s="20">
        <v>1</v>
      </c>
      <c r="N3627" s="19" t="s">
        <v>634</v>
      </c>
      <c r="O3627" s="20">
        <v>427500</v>
      </c>
      <c r="P3627" s="20">
        <v>427500</v>
      </c>
      <c r="Q3627" s="20">
        <v>35674.019999999997</v>
      </c>
      <c r="R3627" s="21">
        <v>1</v>
      </c>
      <c r="S3627" s="20">
        <v>35674.019999999997</v>
      </c>
    </row>
    <row r="3628" spans="2:19" ht="15" customHeight="1" x14ac:dyDescent="0.25">
      <c r="B3628" s="2" t="str">
        <f t="shared" si="112"/>
        <v>PGL_Income Eligible_Single Family_IE Kits_Window Kit_IE Kit_IE</v>
      </c>
      <c r="C3628" s="2" t="str">
        <f t="shared" si="113"/>
        <v>PGL_Income Eligible_Single Family_IE Kits_Window Kit_IE Kit_IE_2025</v>
      </c>
      <c r="D3628" s="19" t="s">
        <v>1794</v>
      </c>
      <c r="E3628" s="19" t="s">
        <v>325</v>
      </c>
      <c r="F3628" s="19" t="s">
        <v>375</v>
      </c>
      <c r="G3628" s="19" t="s">
        <v>1440</v>
      </c>
      <c r="H3628" s="19" t="s">
        <v>574</v>
      </c>
      <c r="I3628" s="19" t="s">
        <v>550</v>
      </c>
      <c r="J3628" s="19" t="s">
        <v>573</v>
      </c>
      <c r="K3628" s="19" t="s">
        <v>551</v>
      </c>
      <c r="L3628" s="19">
        <v>2025</v>
      </c>
      <c r="M3628" s="20">
        <v>1</v>
      </c>
      <c r="N3628" s="19" t="s">
        <v>634</v>
      </c>
      <c r="O3628" s="20">
        <v>427500</v>
      </c>
      <c r="P3628" s="20">
        <v>427500</v>
      </c>
      <c r="Q3628" s="20">
        <v>35674.019999999997</v>
      </c>
      <c r="R3628" s="21">
        <v>1</v>
      </c>
      <c r="S3628" s="20">
        <v>35674.019999999997</v>
      </c>
    </row>
    <row r="3629" spans="2:19" ht="15" customHeight="1" x14ac:dyDescent="0.25">
      <c r="B3629" s="2" t="str">
        <f t="shared" si="112"/>
        <v>PGL_Income Eligible_Single Family_IE Kits_Water Heater Temperature Setback_IE Kit_IE</v>
      </c>
      <c r="C3629" s="2" t="str">
        <f t="shared" si="113"/>
        <v>PGL_Income Eligible_Single Family_IE Kits_Water Heater Temperature Setback_IE Kit_IE_2022</v>
      </c>
      <c r="D3629" s="19" t="s">
        <v>1794</v>
      </c>
      <c r="E3629" s="19" t="s">
        <v>325</v>
      </c>
      <c r="F3629" s="19" t="s">
        <v>375</v>
      </c>
      <c r="G3629" s="19" t="s">
        <v>1440</v>
      </c>
      <c r="H3629" s="19" t="s">
        <v>223</v>
      </c>
      <c r="I3629" s="19" t="s">
        <v>550</v>
      </c>
      <c r="J3629" s="19" t="s">
        <v>1022</v>
      </c>
      <c r="K3629" s="19" t="s">
        <v>551</v>
      </c>
      <c r="L3629" s="19">
        <v>2022</v>
      </c>
      <c r="M3629" s="20">
        <v>1</v>
      </c>
      <c r="N3629" s="19" t="s">
        <v>1795</v>
      </c>
      <c r="O3629" s="20">
        <v>5700</v>
      </c>
      <c r="P3629" s="20">
        <v>5700</v>
      </c>
      <c r="Q3629" s="20">
        <v>1993.0460202692311</v>
      </c>
      <c r="R3629" s="21">
        <v>1</v>
      </c>
      <c r="S3629" s="20">
        <v>1993.0460202692311</v>
      </c>
    </row>
    <row r="3630" spans="2:19" ht="15" customHeight="1" x14ac:dyDescent="0.25">
      <c r="B3630" s="2" t="str">
        <f t="shared" si="112"/>
        <v>PGL_Income Eligible_Single Family_IE Kits_Water Heater Temperature Setback_IE Kit_IE</v>
      </c>
      <c r="C3630" s="2" t="str">
        <f t="shared" si="113"/>
        <v>PGL_Income Eligible_Single Family_IE Kits_Water Heater Temperature Setback_IE Kit_IE_2023</v>
      </c>
      <c r="D3630" s="19" t="s">
        <v>1794</v>
      </c>
      <c r="E3630" s="19" t="s">
        <v>325</v>
      </c>
      <c r="F3630" s="19" t="s">
        <v>375</v>
      </c>
      <c r="G3630" s="19" t="s">
        <v>1440</v>
      </c>
      <c r="H3630" s="19" t="s">
        <v>223</v>
      </c>
      <c r="I3630" s="19" t="s">
        <v>550</v>
      </c>
      <c r="J3630" s="19" t="s">
        <v>1022</v>
      </c>
      <c r="K3630" s="19" t="s">
        <v>551</v>
      </c>
      <c r="L3630" s="19">
        <v>2023</v>
      </c>
      <c r="M3630" s="20">
        <v>1</v>
      </c>
      <c r="N3630" s="19" t="s">
        <v>1795</v>
      </c>
      <c r="O3630" s="20">
        <v>5700</v>
      </c>
      <c r="P3630" s="20">
        <v>5700</v>
      </c>
      <c r="Q3630" s="20">
        <v>1993.0460202692311</v>
      </c>
      <c r="R3630" s="21">
        <v>1</v>
      </c>
      <c r="S3630" s="20">
        <v>1993.0460202692311</v>
      </c>
    </row>
    <row r="3631" spans="2:19" ht="15" customHeight="1" x14ac:dyDescent="0.25">
      <c r="B3631" s="2" t="str">
        <f t="shared" si="112"/>
        <v>PGL_Income Eligible_Single Family_IE Kits_Water Heater Temperature Setback_IE Kit_IE</v>
      </c>
      <c r="C3631" s="2" t="str">
        <f t="shared" si="113"/>
        <v>PGL_Income Eligible_Single Family_IE Kits_Water Heater Temperature Setback_IE Kit_IE_2024</v>
      </c>
      <c r="D3631" s="19" t="s">
        <v>1794</v>
      </c>
      <c r="E3631" s="19" t="s">
        <v>325</v>
      </c>
      <c r="F3631" s="19" t="s">
        <v>375</v>
      </c>
      <c r="G3631" s="19" t="s">
        <v>1440</v>
      </c>
      <c r="H3631" s="19" t="s">
        <v>223</v>
      </c>
      <c r="I3631" s="19" t="s">
        <v>550</v>
      </c>
      <c r="J3631" s="19" t="s">
        <v>1022</v>
      </c>
      <c r="K3631" s="19" t="s">
        <v>551</v>
      </c>
      <c r="L3631" s="19">
        <v>2024</v>
      </c>
      <c r="M3631" s="20">
        <v>1</v>
      </c>
      <c r="N3631" s="19" t="s">
        <v>1795</v>
      </c>
      <c r="O3631" s="20">
        <v>5700</v>
      </c>
      <c r="P3631" s="20">
        <v>5700</v>
      </c>
      <c r="Q3631" s="20">
        <v>1993.0460202692311</v>
      </c>
      <c r="R3631" s="21">
        <v>1</v>
      </c>
      <c r="S3631" s="20">
        <v>1993.0460202692311</v>
      </c>
    </row>
    <row r="3632" spans="2:19" ht="15" customHeight="1" x14ac:dyDescent="0.25">
      <c r="B3632" s="2" t="str">
        <f t="shared" si="112"/>
        <v>PGL_Income Eligible_Single Family_IE Kits_Water Heater Temperature Setback_IE Kit_IE</v>
      </c>
      <c r="C3632" s="2" t="str">
        <f t="shared" si="113"/>
        <v>PGL_Income Eligible_Single Family_IE Kits_Water Heater Temperature Setback_IE Kit_IE_2025</v>
      </c>
      <c r="D3632" s="19" t="s">
        <v>1794</v>
      </c>
      <c r="E3632" s="19" t="s">
        <v>325</v>
      </c>
      <c r="F3632" s="19" t="s">
        <v>375</v>
      </c>
      <c r="G3632" s="19" t="s">
        <v>1440</v>
      </c>
      <c r="H3632" s="19" t="s">
        <v>223</v>
      </c>
      <c r="I3632" s="19" t="s">
        <v>550</v>
      </c>
      <c r="J3632" s="19" t="s">
        <v>1022</v>
      </c>
      <c r="K3632" s="19" t="s">
        <v>551</v>
      </c>
      <c r="L3632" s="19">
        <v>2025</v>
      </c>
      <c r="M3632" s="20">
        <v>1</v>
      </c>
      <c r="N3632" s="19" t="s">
        <v>1795</v>
      </c>
      <c r="O3632" s="20">
        <v>5700</v>
      </c>
      <c r="P3632" s="20">
        <v>5700</v>
      </c>
      <c r="Q3632" s="20">
        <v>1993.0460202692311</v>
      </c>
      <c r="R3632" s="21">
        <v>1</v>
      </c>
      <c r="S3632" s="20">
        <v>1993.0460202692311</v>
      </c>
    </row>
    <row r="3633" spans="2:19" ht="15" customHeight="1" x14ac:dyDescent="0.25">
      <c r="B3633" s="2" t="str">
        <f t="shared" si="112"/>
        <v>NSG_Income Eligible_Single Family_IHWAP_Unit Visit_0_SF</v>
      </c>
      <c r="C3633" s="2" t="str">
        <f t="shared" si="113"/>
        <v>NSG_Income Eligible_Single Family_IHWAP_Unit Visit_0_SF_2022</v>
      </c>
      <c r="D3633" s="19" t="s">
        <v>1787</v>
      </c>
      <c r="E3633" s="19" t="s">
        <v>325</v>
      </c>
      <c r="F3633" s="19" t="s">
        <v>375</v>
      </c>
      <c r="G3633" s="19" t="s">
        <v>1439</v>
      </c>
      <c r="H3633" s="19" t="s">
        <v>1090</v>
      </c>
      <c r="I3633" s="19">
        <v>0</v>
      </c>
      <c r="J3633" s="19" t="s">
        <v>1469</v>
      </c>
      <c r="K3633" s="19" t="s">
        <v>409</v>
      </c>
      <c r="L3633" s="19">
        <v>2022</v>
      </c>
      <c r="M3633" s="20">
        <v>1</v>
      </c>
      <c r="N3633" s="19" t="s">
        <v>505</v>
      </c>
      <c r="O3633" s="20">
        <v>50</v>
      </c>
      <c r="P3633" s="20">
        <v>50</v>
      </c>
      <c r="Q3633" s="20">
        <v>0</v>
      </c>
      <c r="R3633" s="21">
        <v>1</v>
      </c>
      <c r="S3633" s="20">
        <v>0</v>
      </c>
    </row>
    <row r="3634" spans="2:19" ht="15" customHeight="1" x14ac:dyDescent="0.25">
      <c r="B3634" s="2" t="str">
        <f t="shared" si="112"/>
        <v>NSG_Income Eligible_Single Family_IHWAP_Unit Visit_0_SF</v>
      </c>
      <c r="C3634" s="2" t="str">
        <f t="shared" si="113"/>
        <v>NSG_Income Eligible_Single Family_IHWAP_Unit Visit_0_SF_2023</v>
      </c>
      <c r="D3634" s="19" t="s">
        <v>1787</v>
      </c>
      <c r="E3634" s="19" t="s">
        <v>325</v>
      </c>
      <c r="F3634" s="19" t="s">
        <v>375</v>
      </c>
      <c r="G3634" s="19" t="s">
        <v>1439</v>
      </c>
      <c r="H3634" s="19" t="s">
        <v>1090</v>
      </c>
      <c r="I3634" s="19">
        <v>0</v>
      </c>
      <c r="J3634" s="19" t="s">
        <v>1469</v>
      </c>
      <c r="K3634" s="19" t="s">
        <v>409</v>
      </c>
      <c r="L3634" s="19">
        <v>2023</v>
      </c>
      <c r="M3634" s="20">
        <v>1</v>
      </c>
      <c r="N3634" s="19" t="s">
        <v>505</v>
      </c>
      <c r="O3634" s="20">
        <v>55</v>
      </c>
      <c r="P3634" s="20">
        <v>55</v>
      </c>
      <c r="Q3634" s="20">
        <v>0</v>
      </c>
      <c r="R3634" s="21">
        <v>1</v>
      </c>
      <c r="S3634" s="20">
        <v>0</v>
      </c>
    </row>
    <row r="3635" spans="2:19" ht="15" customHeight="1" x14ac:dyDescent="0.25">
      <c r="B3635" s="2" t="str">
        <f t="shared" si="112"/>
        <v>NSG_Income Eligible_Single Family_IHWAP_Unit Visit_0_SF</v>
      </c>
      <c r="C3635" s="2" t="str">
        <f t="shared" si="113"/>
        <v>NSG_Income Eligible_Single Family_IHWAP_Unit Visit_0_SF_2024</v>
      </c>
      <c r="D3635" s="19" t="s">
        <v>1787</v>
      </c>
      <c r="E3635" s="19" t="s">
        <v>325</v>
      </c>
      <c r="F3635" s="19" t="s">
        <v>375</v>
      </c>
      <c r="G3635" s="19" t="s">
        <v>1439</v>
      </c>
      <c r="H3635" s="19" t="s">
        <v>1090</v>
      </c>
      <c r="I3635" s="19">
        <v>0</v>
      </c>
      <c r="J3635" s="19" t="s">
        <v>1469</v>
      </c>
      <c r="K3635" s="19" t="s">
        <v>409</v>
      </c>
      <c r="L3635" s="19">
        <v>2024</v>
      </c>
      <c r="M3635" s="20">
        <v>1</v>
      </c>
      <c r="N3635" s="19" t="s">
        <v>505</v>
      </c>
      <c r="O3635" s="20">
        <v>70</v>
      </c>
      <c r="P3635" s="20">
        <v>70</v>
      </c>
      <c r="Q3635" s="20">
        <v>0</v>
      </c>
      <c r="R3635" s="21">
        <v>1</v>
      </c>
      <c r="S3635" s="20">
        <v>0</v>
      </c>
    </row>
    <row r="3636" spans="2:19" ht="15" customHeight="1" x14ac:dyDescent="0.25">
      <c r="B3636" s="2" t="str">
        <f t="shared" si="112"/>
        <v>NSG_Income Eligible_Single Family_IHWAP_Unit Visit_0_SF</v>
      </c>
      <c r="C3636" s="2" t="str">
        <f t="shared" si="113"/>
        <v>NSG_Income Eligible_Single Family_IHWAP_Unit Visit_0_SF_2025</v>
      </c>
      <c r="D3636" s="19" t="s">
        <v>1787</v>
      </c>
      <c r="E3636" s="19" t="s">
        <v>325</v>
      </c>
      <c r="F3636" s="19" t="s">
        <v>375</v>
      </c>
      <c r="G3636" s="19" t="s">
        <v>1439</v>
      </c>
      <c r="H3636" s="19" t="s">
        <v>1090</v>
      </c>
      <c r="I3636" s="19">
        <v>0</v>
      </c>
      <c r="J3636" s="19" t="s">
        <v>1469</v>
      </c>
      <c r="K3636" s="19" t="s">
        <v>409</v>
      </c>
      <c r="L3636" s="19">
        <v>2025</v>
      </c>
      <c r="M3636" s="20">
        <v>1</v>
      </c>
      <c r="N3636" s="19" t="s">
        <v>505</v>
      </c>
      <c r="O3636" s="20">
        <v>75</v>
      </c>
      <c r="P3636" s="20">
        <v>75</v>
      </c>
      <c r="Q3636" s="20">
        <v>0</v>
      </c>
      <c r="R3636" s="21">
        <v>1</v>
      </c>
      <c r="S3636" s="20">
        <v>0</v>
      </c>
    </row>
    <row r="3637" spans="2:19" ht="15" customHeight="1" x14ac:dyDescent="0.25">
      <c r="B3637" s="2" t="str">
        <f t="shared" si="112"/>
        <v>NSG_Income Eligible_Single Family_IHWAP_Low Flow Bathroom Aerator_0_SF</v>
      </c>
      <c r="C3637" s="2" t="str">
        <f t="shared" si="113"/>
        <v>NSG_Income Eligible_Single Family_IHWAP_Low Flow Bathroom Aerator_0_SF_2022</v>
      </c>
      <c r="D3637" s="19" t="s">
        <v>1787</v>
      </c>
      <c r="E3637" s="19" t="s">
        <v>325</v>
      </c>
      <c r="F3637" s="19" t="s">
        <v>375</v>
      </c>
      <c r="G3637" s="19" t="s">
        <v>1439</v>
      </c>
      <c r="H3637" s="19" t="s">
        <v>555</v>
      </c>
      <c r="I3637" s="19">
        <v>0</v>
      </c>
      <c r="J3637" s="19" t="s">
        <v>534</v>
      </c>
      <c r="K3637" s="19" t="s">
        <v>409</v>
      </c>
      <c r="L3637" s="19">
        <v>2022</v>
      </c>
      <c r="M3637" s="20">
        <v>1</v>
      </c>
      <c r="N3637" s="19" t="s">
        <v>1795</v>
      </c>
      <c r="O3637" s="20">
        <v>18</v>
      </c>
      <c r="P3637" s="20">
        <v>18</v>
      </c>
      <c r="Q3637" s="20">
        <v>16.36849490354205</v>
      </c>
      <c r="R3637" s="21">
        <v>1</v>
      </c>
      <c r="S3637" s="20">
        <v>16.36849490354205</v>
      </c>
    </row>
    <row r="3638" spans="2:19" ht="15" customHeight="1" x14ac:dyDescent="0.25">
      <c r="B3638" s="2" t="str">
        <f t="shared" si="112"/>
        <v>NSG_Income Eligible_Single Family_IHWAP_Low Flow Bathroom Aerator_0_SF</v>
      </c>
      <c r="C3638" s="2" t="str">
        <f t="shared" si="113"/>
        <v>NSG_Income Eligible_Single Family_IHWAP_Low Flow Bathroom Aerator_0_SF_2023</v>
      </c>
      <c r="D3638" s="19" t="s">
        <v>1787</v>
      </c>
      <c r="E3638" s="19" t="s">
        <v>325</v>
      </c>
      <c r="F3638" s="19" t="s">
        <v>375</v>
      </c>
      <c r="G3638" s="19" t="s">
        <v>1439</v>
      </c>
      <c r="H3638" s="19" t="s">
        <v>555</v>
      </c>
      <c r="I3638" s="19">
        <v>0</v>
      </c>
      <c r="J3638" s="19" t="s">
        <v>534</v>
      </c>
      <c r="K3638" s="19" t="s">
        <v>409</v>
      </c>
      <c r="L3638" s="19">
        <v>2023</v>
      </c>
      <c r="M3638" s="20">
        <v>1</v>
      </c>
      <c r="N3638" s="19" t="s">
        <v>1795</v>
      </c>
      <c r="O3638" s="20">
        <v>20</v>
      </c>
      <c r="P3638" s="20">
        <v>20</v>
      </c>
      <c r="Q3638" s="20">
        <v>18.187216559491169</v>
      </c>
      <c r="R3638" s="21">
        <v>1</v>
      </c>
      <c r="S3638" s="20">
        <v>18.187216559491169</v>
      </c>
    </row>
    <row r="3639" spans="2:19" ht="15" customHeight="1" x14ac:dyDescent="0.25">
      <c r="B3639" s="2" t="str">
        <f t="shared" si="112"/>
        <v>NSG_Income Eligible_Single Family_IHWAP_Low Flow Bathroom Aerator_0_SF</v>
      </c>
      <c r="C3639" s="2" t="str">
        <f t="shared" si="113"/>
        <v>NSG_Income Eligible_Single Family_IHWAP_Low Flow Bathroom Aerator_0_SF_2024</v>
      </c>
      <c r="D3639" s="19" t="s">
        <v>1787</v>
      </c>
      <c r="E3639" s="19" t="s">
        <v>325</v>
      </c>
      <c r="F3639" s="19" t="s">
        <v>375</v>
      </c>
      <c r="G3639" s="19" t="s">
        <v>1439</v>
      </c>
      <c r="H3639" s="19" t="s">
        <v>555</v>
      </c>
      <c r="I3639" s="19">
        <v>0</v>
      </c>
      <c r="J3639" s="19" t="s">
        <v>534</v>
      </c>
      <c r="K3639" s="19" t="s">
        <v>409</v>
      </c>
      <c r="L3639" s="19">
        <v>2024</v>
      </c>
      <c r="M3639" s="20">
        <v>1</v>
      </c>
      <c r="N3639" s="19" t="s">
        <v>1795</v>
      </c>
      <c r="O3639" s="20">
        <v>25</v>
      </c>
      <c r="P3639" s="20">
        <v>25</v>
      </c>
      <c r="Q3639" s="20">
        <v>22.73402069936396</v>
      </c>
      <c r="R3639" s="21">
        <v>1</v>
      </c>
      <c r="S3639" s="20">
        <v>22.73402069936396</v>
      </c>
    </row>
    <row r="3640" spans="2:19" ht="15" customHeight="1" x14ac:dyDescent="0.25">
      <c r="B3640" s="2" t="str">
        <f t="shared" si="112"/>
        <v>NSG_Income Eligible_Single Family_IHWAP_Low Flow Bathroom Aerator_0_SF</v>
      </c>
      <c r="C3640" s="2" t="str">
        <f t="shared" si="113"/>
        <v>NSG_Income Eligible_Single Family_IHWAP_Low Flow Bathroom Aerator_0_SF_2025</v>
      </c>
      <c r="D3640" s="19" t="s">
        <v>1787</v>
      </c>
      <c r="E3640" s="19" t="s">
        <v>325</v>
      </c>
      <c r="F3640" s="19" t="s">
        <v>375</v>
      </c>
      <c r="G3640" s="19" t="s">
        <v>1439</v>
      </c>
      <c r="H3640" s="19" t="s">
        <v>555</v>
      </c>
      <c r="I3640" s="19">
        <v>0</v>
      </c>
      <c r="J3640" s="19" t="s">
        <v>534</v>
      </c>
      <c r="K3640" s="19" t="s">
        <v>409</v>
      </c>
      <c r="L3640" s="19">
        <v>2025</v>
      </c>
      <c r="M3640" s="20">
        <v>1</v>
      </c>
      <c r="N3640" s="19" t="s">
        <v>1795</v>
      </c>
      <c r="O3640" s="20">
        <v>27</v>
      </c>
      <c r="P3640" s="20">
        <v>27</v>
      </c>
      <c r="Q3640" s="20">
        <v>24.552742355313079</v>
      </c>
      <c r="R3640" s="21">
        <v>1</v>
      </c>
      <c r="S3640" s="20">
        <v>24.552742355313079</v>
      </c>
    </row>
    <row r="3641" spans="2:19" ht="15" customHeight="1" x14ac:dyDescent="0.25">
      <c r="B3641" s="2" t="str">
        <f t="shared" si="112"/>
        <v>NSG_Income Eligible_Single Family_IHWAP_Low Flow Kitchen Aerator_0_SF</v>
      </c>
      <c r="C3641" s="2" t="str">
        <f t="shared" si="113"/>
        <v>NSG_Income Eligible_Single Family_IHWAP_Low Flow Kitchen Aerator_0_SF_2022</v>
      </c>
      <c r="D3641" s="19" t="s">
        <v>1787</v>
      </c>
      <c r="E3641" s="19" t="s">
        <v>325</v>
      </c>
      <c r="F3641" s="19" t="s">
        <v>375</v>
      </c>
      <c r="G3641" s="19" t="s">
        <v>1439</v>
      </c>
      <c r="H3641" s="19" t="s">
        <v>533</v>
      </c>
      <c r="I3641" s="19">
        <v>0</v>
      </c>
      <c r="J3641" s="19" t="s">
        <v>534</v>
      </c>
      <c r="K3641" s="19" t="s">
        <v>409</v>
      </c>
      <c r="L3641" s="19">
        <v>2022</v>
      </c>
      <c r="M3641" s="20">
        <v>1</v>
      </c>
      <c r="N3641" s="19" t="s">
        <v>1795</v>
      </c>
      <c r="O3641" s="20">
        <v>18</v>
      </c>
      <c r="P3641" s="20">
        <v>18</v>
      </c>
      <c r="Q3641" s="20">
        <v>154.68534427965227</v>
      </c>
      <c r="R3641" s="21">
        <v>1</v>
      </c>
      <c r="S3641" s="20">
        <v>154.68534427965227</v>
      </c>
    </row>
    <row r="3642" spans="2:19" ht="15" customHeight="1" x14ac:dyDescent="0.25">
      <c r="B3642" s="2" t="str">
        <f t="shared" si="112"/>
        <v>NSG_Income Eligible_Single Family_IHWAP_Low Flow Kitchen Aerator_0_SF</v>
      </c>
      <c r="C3642" s="2" t="str">
        <f t="shared" si="113"/>
        <v>NSG_Income Eligible_Single Family_IHWAP_Low Flow Kitchen Aerator_0_SF_2023</v>
      </c>
      <c r="D3642" s="19" t="s">
        <v>1787</v>
      </c>
      <c r="E3642" s="19" t="s">
        <v>325</v>
      </c>
      <c r="F3642" s="19" t="s">
        <v>375</v>
      </c>
      <c r="G3642" s="19" t="s">
        <v>1439</v>
      </c>
      <c r="H3642" s="19" t="s">
        <v>533</v>
      </c>
      <c r="I3642" s="19">
        <v>0</v>
      </c>
      <c r="J3642" s="19" t="s">
        <v>534</v>
      </c>
      <c r="K3642" s="19" t="s">
        <v>409</v>
      </c>
      <c r="L3642" s="19">
        <v>2023</v>
      </c>
      <c r="M3642" s="20">
        <v>1</v>
      </c>
      <c r="N3642" s="19" t="s">
        <v>1795</v>
      </c>
      <c r="O3642" s="20">
        <v>20</v>
      </c>
      <c r="P3642" s="20">
        <v>20</v>
      </c>
      <c r="Q3642" s="20">
        <v>171.87260475516919</v>
      </c>
      <c r="R3642" s="21">
        <v>1</v>
      </c>
      <c r="S3642" s="20">
        <v>171.87260475516919</v>
      </c>
    </row>
    <row r="3643" spans="2:19" ht="15" customHeight="1" x14ac:dyDescent="0.25">
      <c r="B3643" s="2" t="str">
        <f t="shared" si="112"/>
        <v>NSG_Income Eligible_Single Family_IHWAP_Low Flow Kitchen Aerator_0_SF</v>
      </c>
      <c r="C3643" s="2" t="str">
        <f t="shared" si="113"/>
        <v>NSG_Income Eligible_Single Family_IHWAP_Low Flow Kitchen Aerator_0_SF_2024</v>
      </c>
      <c r="D3643" s="19" t="s">
        <v>1787</v>
      </c>
      <c r="E3643" s="19" t="s">
        <v>325</v>
      </c>
      <c r="F3643" s="19" t="s">
        <v>375</v>
      </c>
      <c r="G3643" s="19" t="s">
        <v>1439</v>
      </c>
      <c r="H3643" s="19" t="s">
        <v>533</v>
      </c>
      <c r="I3643" s="19">
        <v>0</v>
      </c>
      <c r="J3643" s="19" t="s">
        <v>534</v>
      </c>
      <c r="K3643" s="19" t="s">
        <v>409</v>
      </c>
      <c r="L3643" s="19">
        <v>2024</v>
      </c>
      <c r="M3643" s="20">
        <v>1</v>
      </c>
      <c r="N3643" s="19" t="s">
        <v>1795</v>
      </c>
      <c r="O3643" s="20">
        <v>25</v>
      </c>
      <c r="P3643" s="20">
        <v>25</v>
      </c>
      <c r="Q3643" s="20">
        <v>214.84075594396148</v>
      </c>
      <c r="R3643" s="21">
        <v>1</v>
      </c>
      <c r="S3643" s="20">
        <v>214.84075594396148</v>
      </c>
    </row>
    <row r="3644" spans="2:19" ht="15" customHeight="1" x14ac:dyDescent="0.25">
      <c r="B3644" s="2" t="str">
        <f t="shared" si="112"/>
        <v>NSG_Income Eligible_Single Family_IHWAP_Low Flow Kitchen Aerator_0_SF</v>
      </c>
      <c r="C3644" s="2" t="str">
        <f t="shared" si="113"/>
        <v>NSG_Income Eligible_Single Family_IHWAP_Low Flow Kitchen Aerator_0_SF_2025</v>
      </c>
      <c r="D3644" s="19" t="s">
        <v>1787</v>
      </c>
      <c r="E3644" s="19" t="s">
        <v>325</v>
      </c>
      <c r="F3644" s="19" t="s">
        <v>375</v>
      </c>
      <c r="G3644" s="19" t="s">
        <v>1439</v>
      </c>
      <c r="H3644" s="19" t="s">
        <v>533</v>
      </c>
      <c r="I3644" s="19">
        <v>0</v>
      </c>
      <c r="J3644" s="19" t="s">
        <v>534</v>
      </c>
      <c r="K3644" s="19" t="s">
        <v>409</v>
      </c>
      <c r="L3644" s="19">
        <v>2025</v>
      </c>
      <c r="M3644" s="20">
        <v>1</v>
      </c>
      <c r="N3644" s="19" t="s">
        <v>1795</v>
      </c>
      <c r="O3644" s="20">
        <v>27</v>
      </c>
      <c r="P3644" s="20">
        <v>27</v>
      </c>
      <c r="Q3644" s="20">
        <v>232.0280164194784</v>
      </c>
      <c r="R3644" s="21">
        <v>1</v>
      </c>
      <c r="S3644" s="20">
        <v>232.0280164194784</v>
      </c>
    </row>
    <row r="3645" spans="2:19" ht="15" customHeight="1" x14ac:dyDescent="0.25">
      <c r="B3645" s="2" t="str">
        <f t="shared" si="112"/>
        <v>NSG_Income Eligible_Single Family_IHWAP_Low Flow Showerhead_0_SF</v>
      </c>
      <c r="C3645" s="2" t="str">
        <f t="shared" si="113"/>
        <v>NSG_Income Eligible_Single Family_IHWAP_Low Flow Showerhead_0_SF_2022</v>
      </c>
      <c r="D3645" s="19" t="s">
        <v>1787</v>
      </c>
      <c r="E3645" s="19" t="s">
        <v>325</v>
      </c>
      <c r="F3645" s="19" t="s">
        <v>375</v>
      </c>
      <c r="G3645" s="19" t="s">
        <v>1439</v>
      </c>
      <c r="H3645" s="19" t="s">
        <v>15</v>
      </c>
      <c r="I3645" s="19">
        <v>0</v>
      </c>
      <c r="J3645" s="19" t="s">
        <v>23</v>
      </c>
      <c r="K3645" s="19" t="s">
        <v>409</v>
      </c>
      <c r="L3645" s="19">
        <v>2022</v>
      </c>
      <c r="M3645" s="20">
        <v>1</v>
      </c>
      <c r="N3645" s="19" t="s">
        <v>1795</v>
      </c>
      <c r="O3645" s="20">
        <v>18</v>
      </c>
      <c r="P3645" s="20">
        <v>18</v>
      </c>
      <c r="Q3645" s="20">
        <v>158.20573128678546</v>
      </c>
      <c r="R3645" s="21">
        <v>1</v>
      </c>
      <c r="S3645" s="20">
        <v>158.20573128678546</v>
      </c>
    </row>
    <row r="3646" spans="2:19" ht="15" customHeight="1" x14ac:dyDescent="0.25">
      <c r="B3646" s="2" t="str">
        <f t="shared" si="112"/>
        <v>NSG_Income Eligible_Single Family_IHWAP_Low Flow Showerhead_0_SF</v>
      </c>
      <c r="C3646" s="2" t="str">
        <f t="shared" si="113"/>
        <v>NSG_Income Eligible_Single Family_IHWAP_Low Flow Showerhead_0_SF_2023</v>
      </c>
      <c r="D3646" s="19" t="s">
        <v>1787</v>
      </c>
      <c r="E3646" s="19" t="s">
        <v>325</v>
      </c>
      <c r="F3646" s="19" t="s">
        <v>375</v>
      </c>
      <c r="G3646" s="19" t="s">
        <v>1439</v>
      </c>
      <c r="H3646" s="19" t="s">
        <v>15</v>
      </c>
      <c r="I3646" s="19">
        <v>0</v>
      </c>
      <c r="J3646" s="19" t="s">
        <v>23</v>
      </c>
      <c r="K3646" s="19" t="s">
        <v>409</v>
      </c>
      <c r="L3646" s="19">
        <v>2023</v>
      </c>
      <c r="M3646" s="20">
        <v>1</v>
      </c>
      <c r="N3646" s="19" t="s">
        <v>1795</v>
      </c>
      <c r="O3646" s="20">
        <v>20</v>
      </c>
      <c r="P3646" s="20">
        <v>20</v>
      </c>
      <c r="Q3646" s="20">
        <v>175.78414587420608</v>
      </c>
      <c r="R3646" s="21">
        <v>1</v>
      </c>
      <c r="S3646" s="20">
        <v>175.78414587420608</v>
      </c>
    </row>
    <row r="3647" spans="2:19" ht="15" customHeight="1" x14ac:dyDescent="0.25">
      <c r="B3647" s="2" t="str">
        <f t="shared" si="112"/>
        <v>NSG_Income Eligible_Single Family_IHWAP_Low Flow Showerhead_0_SF</v>
      </c>
      <c r="C3647" s="2" t="str">
        <f t="shared" si="113"/>
        <v>NSG_Income Eligible_Single Family_IHWAP_Low Flow Showerhead_0_SF_2024</v>
      </c>
      <c r="D3647" s="19" t="s">
        <v>1787</v>
      </c>
      <c r="E3647" s="19" t="s">
        <v>325</v>
      </c>
      <c r="F3647" s="19" t="s">
        <v>375</v>
      </c>
      <c r="G3647" s="19" t="s">
        <v>1439</v>
      </c>
      <c r="H3647" s="19" t="s">
        <v>15</v>
      </c>
      <c r="I3647" s="19">
        <v>0</v>
      </c>
      <c r="J3647" s="19" t="s">
        <v>23</v>
      </c>
      <c r="K3647" s="19" t="s">
        <v>409</v>
      </c>
      <c r="L3647" s="19">
        <v>2024</v>
      </c>
      <c r="M3647" s="20">
        <v>1</v>
      </c>
      <c r="N3647" s="19" t="s">
        <v>1795</v>
      </c>
      <c r="O3647" s="20">
        <v>25</v>
      </c>
      <c r="P3647" s="20">
        <v>25</v>
      </c>
      <c r="Q3647" s="20">
        <v>219.73018234275759</v>
      </c>
      <c r="R3647" s="21">
        <v>1</v>
      </c>
      <c r="S3647" s="20">
        <v>219.73018234275759</v>
      </c>
    </row>
    <row r="3648" spans="2:19" ht="15" customHeight="1" x14ac:dyDescent="0.25">
      <c r="B3648" s="2" t="str">
        <f t="shared" si="112"/>
        <v>NSG_Income Eligible_Single Family_IHWAP_Low Flow Showerhead_0_SF</v>
      </c>
      <c r="C3648" s="2" t="str">
        <f t="shared" si="113"/>
        <v>NSG_Income Eligible_Single Family_IHWAP_Low Flow Showerhead_0_SF_2025</v>
      </c>
      <c r="D3648" s="19" t="s">
        <v>1787</v>
      </c>
      <c r="E3648" s="19" t="s">
        <v>325</v>
      </c>
      <c r="F3648" s="19" t="s">
        <v>375</v>
      </c>
      <c r="G3648" s="19" t="s">
        <v>1439</v>
      </c>
      <c r="H3648" s="19" t="s">
        <v>15</v>
      </c>
      <c r="I3648" s="19">
        <v>0</v>
      </c>
      <c r="J3648" s="19" t="s">
        <v>23</v>
      </c>
      <c r="K3648" s="19" t="s">
        <v>409</v>
      </c>
      <c r="L3648" s="19">
        <v>2025</v>
      </c>
      <c r="M3648" s="20">
        <v>1</v>
      </c>
      <c r="N3648" s="19" t="s">
        <v>1795</v>
      </c>
      <c r="O3648" s="20">
        <v>27</v>
      </c>
      <c r="P3648" s="20">
        <v>27</v>
      </c>
      <c r="Q3648" s="20">
        <v>237.3085969301782</v>
      </c>
      <c r="R3648" s="21">
        <v>1</v>
      </c>
      <c r="S3648" s="20">
        <v>237.3085969301782</v>
      </c>
    </row>
    <row r="3649" spans="2:19" ht="15" customHeight="1" x14ac:dyDescent="0.25">
      <c r="B3649" s="2" t="str">
        <f t="shared" si="112"/>
        <v>NSG_Income Eligible_Single Family_IHWAP_Pipe Insulation_DHW_SF</v>
      </c>
      <c r="C3649" s="2" t="str">
        <f t="shared" si="113"/>
        <v>NSG_Income Eligible_Single Family_IHWAP_Pipe Insulation_DHW_SF_2022</v>
      </c>
      <c r="D3649" s="19" t="s">
        <v>1787</v>
      </c>
      <c r="E3649" s="19" t="s">
        <v>325</v>
      </c>
      <c r="F3649" s="19" t="s">
        <v>375</v>
      </c>
      <c r="G3649" s="19" t="s">
        <v>1439</v>
      </c>
      <c r="H3649" s="19" t="s">
        <v>404</v>
      </c>
      <c r="I3649" s="19" t="s">
        <v>1019</v>
      </c>
      <c r="J3649" s="19" t="s">
        <v>1008</v>
      </c>
      <c r="K3649" s="19" t="s">
        <v>409</v>
      </c>
      <c r="L3649" s="19">
        <v>2022</v>
      </c>
      <c r="M3649" s="20">
        <v>1</v>
      </c>
      <c r="N3649" s="19" t="s">
        <v>1796</v>
      </c>
      <c r="O3649" s="20">
        <v>1</v>
      </c>
      <c r="P3649" s="20">
        <v>1</v>
      </c>
      <c r="Q3649" s="20">
        <v>0.88266670517205537</v>
      </c>
      <c r="R3649" s="21">
        <v>1</v>
      </c>
      <c r="S3649" s="20">
        <v>0.88266670517205537</v>
      </c>
    </row>
    <row r="3650" spans="2:19" ht="15" customHeight="1" x14ac:dyDescent="0.25">
      <c r="B3650" s="2" t="str">
        <f t="shared" si="112"/>
        <v>NSG_Income Eligible_Single Family_IHWAP_Pipe Insulation_DHW_SF</v>
      </c>
      <c r="C3650" s="2" t="str">
        <f t="shared" si="113"/>
        <v>NSG_Income Eligible_Single Family_IHWAP_Pipe Insulation_DHW_SF_2023</v>
      </c>
      <c r="D3650" s="19" t="s">
        <v>1787</v>
      </c>
      <c r="E3650" s="19" t="s">
        <v>325</v>
      </c>
      <c r="F3650" s="19" t="s">
        <v>375</v>
      </c>
      <c r="G3650" s="19" t="s">
        <v>1439</v>
      </c>
      <c r="H3650" s="19" t="s">
        <v>404</v>
      </c>
      <c r="I3650" s="19" t="s">
        <v>1019</v>
      </c>
      <c r="J3650" s="19" t="s">
        <v>1008</v>
      </c>
      <c r="K3650" s="19" t="s">
        <v>409</v>
      </c>
      <c r="L3650" s="19">
        <v>2023</v>
      </c>
      <c r="M3650" s="20">
        <v>1</v>
      </c>
      <c r="N3650" s="19" t="s">
        <v>1796</v>
      </c>
      <c r="O3650" s="20">
        <v>1</v>
      </c>
      <c r="P3650" s="20">
        <v>1</v>
      </c>
      <c r="Q3650" s="20">
        <v>0.88266670517205537</v>
      </c>
      <c r="R3650" s="21">
        <v>1</v>
      </c>
      <c r="S3650" s="20">
        <v>0.88266670517205537</v>
      </c>
    </row>
    <row r="3651" spans="2:19" ht="15" customHeight="1" x14ac:dyDescent="0.25">
      <c r="B3651" s="2" t="str">
        <f t="shared" si="112"/>
        <v>NSG_Income Eligible_Single Family_IHWAP_Pipe Insulation_DHW_SF</v>
      </c>
      <c r="C3651" s="2" t="str">
        <f t="shared" si="113"/>
        <v>NSG_Income Eligible_Single Family_IHWAP_Pipe Insulation_DHW_SF_2024</v>
      </c>
      <c r="D3651" s="19" t="s">
        <v>1787</v>
      </c>
      <c r="E3651" s="19" t="s">
        <v>325</v>
      </c>
      <c r="F3651" s="19" t="s">
        <v>375</v>
      </c>
      <c r="G3651" s="19" t="s">
        <v>1439</v>
      </c>
      <c r="H3651" s="19" t="s">
        <v>404</v>
      </c>
      <c r="I3651" s="19" t="s">
        <v>1019</v>
      </c>
      <c r="J3651" s="19" t="s">
        <v>1008</v>
      </c>
      <c r="K3651" s="19" t="s">
        <v>409</v>
      </c>
      <c r="L3651" s="19">
        <v>2024</v>
      </c>
      <c r="M3651" s="20">
        <v>1</v>
      </c>
      <c r="N3651" s="19" t="s">
        <v>1796</v>
      </c>
      <c r="O3651" s="20">
        <v>1</v>
      </c>
      <c r="P3651" s="20">
        <v>1</v>
      </c>
      <c r="Q3651" s="20">
        <v>0.88266670517205537</v>
      </c>
      <c r="R3651" s="21">
        <v>1</v>
      </c>
      <c r="S3651" s="20">
        <v>0.88266670517205537</v>
      </c>
    </row>
    <row r="3652" spans="2:19" ht="15" customHeight="1" x14ac:dyDescent="0.25">
      <c r="B3652" s="2" t="str">
        <f t="shared" si="112"/>
        <v>NSG_Income Eligible_Single Family_IHWAP_Pipe Insulation_DHW_SF</v>
      </c>
      <c r="C3652" s="2" t="str">
        <f t="shared" si="113"/>
        <v>NSG_Income Eligible_Single Family_IHWAP_Pipe Insulation_DHW_SF_2025</v>
      </c>
      <c r="D3652" s="19" t="s">
        <v>1787</v>
      </c>
      <c r="E3652" s="19" t="s">
        <v>325</v>
      </c>
      <c r="F3652" s="19" t="s">
        <v>375</v>
      </c>
      <c r="G3652" s="19" t="s">
        <v>1439</v>
      </c>
      <c r="H3652" s="19" t="s">
        <v>404</v>
      </c>
      <c r="I3652" s="19" t="s">
        <v>1019</v>
      </c>
      <c r="J3652" s="19" t="s">
        <v>1008</v>
      </c>
      <c r="K3652" s="19" t="s">
        <v>409</v>
      </c>
      <c r="L3652" s="19">
        <v>2025</v>
      </c>
      <c r="M3652" s="20">
        <v>1</v>
      </c>
      <c r="N3652" s="19" t="s">
        <v>1796</v>
      </c>
      <c r="O3652" s="20">
        <v>1</v>
      </c>
      <c r="P3652" s="20">
        <v>1</v>
      </c>
      <c r="Q3652" s="20">
        <v>0.88266670517205537</v>
      </c>
      <c r="R3652" s="21">
        <v>1</v>
      </c>
      <c r="S3652" s="20">
        <v>0.88266670517205537</v>
      </c>
    </row>
    <row r="3653" spans="2:19" ht="15" customHeight="1" x14ac:dyDescent="0.25">
      <c r="B3653" s="2" t="str">
        <f t="shared" si="112"/>
        <v>NSG_Income Eligible_Single Family_IHWAP_Pipe Insulation_Boiler_SF</v>
      </c>
      <c r="C3653" s="2" t="str">
        <f t="shared" si="113"/>
        <v>NSG_Income Eligible_Single Family_IHWAP_Pipe Insulation_Boiler_SF_2022</v>
      </c>
      <c r="D3653" s="19" t="s">
        <v>1787</v>
      </c>
      <c r="E3653" s="19" t="s">
        <v>325</v>
      </c>
      <c r="F3653" s="19" t="s">
        <v>375</v>
      </c>
      <c r="G3653" s="19" t="s">
        <v>1439</v>
      </c>
      <c r="H3653" s="19" t="s">
        <v>404</v>
      </c>
      <c r="I3653" s="19" t="s">
        <v>944</v>
      </c>
      <c r="J3653" s="19" t="s">
        <v>1008</v>
      </c>
      <c r="K3653" s="19" t="s">
        <v>409</v>
      </c>
      <c r="L3653" s="19">
        <v>2022</v>
      </c>
      <c r="M3653" s="20">
        <v>1</v>
      </c>
      <c r="N3653" s="19" t="s">
        <v>1796</v>
      </c>
      <c r="O3653" s="20">
        <v>1</v>
      </c>
      <c r="P3653" s="20">
        <v>1</v>
      </c>
      <c r="Q3653" s="20">
        <v>6.5034829880750997E-3</v>
      </c>
      <c r="R3653" s="21">
        <v>1</v>
      </c>
      <c r="S3653" s="20">
        <v>6.5034829880750997E-3</v>
      </c>
    </row>
    <row r="3654" spans="2:19" ht="15" customHeight="1" x14ac:dyDescent="0.25">
      <c r="B3654" s="2" t="str">
        <f t="shared" ref="B3654:B3717" si="114">D3654&amp;"_"&amp;E3654&amp;"_"&amp;F3654&amp;"_"&amp;G3654&amp;"_"&amp;H3654&amp;"_"&amp;I3654&amp;"_"&amp;K3654</f>
        <v>NSG_Income Eligible_Single Family_IHWAP_Pipe Insulation_Boiler_SF</v>
      </c>
      <c r="C3654" s="2" t="str">
        <f t="shared" ref="C3654:C3717" si="115">D3654&amp;"_"&amp;E3654&amp;"_"&amp;F3654&amp;"_"&amp;G3654&amp;"_"&amp;H3654&amp;"_"&amp;I3654&amp;"_"&amp;K3654&amp;"_"&amp;L3654</f>
        <v>NSG_Income Eligible_Single Family_IHWAP_Pipe Insulation_Boiler_SF_2023</v>
      </c>
      <c r="D3654" s="19" t="s">
        <v>1787</v>
      </c>
      <c r="E3654" s="19" t="s">
        <v>325</v>
      </c>
      <c r="F3654" s="19" t="s">
        <v>375</v>
      </c>
      <c r="G3654" s="19" t="s">
        <v>1439</v>
      </c>
      <c r="H3654" s="19" t="s">
        <v>404</v>
      </c>
      <c r="I3654" s="19" t="s">
        <v>944</v>
      </c>
      <c r="J3654" s="19" t="s">
        <v>1008</v>
      </c>
      <c r="K3654" s="19" t="s">
        <v>409</v>
      </c>
      <c r="L3654" s="19">
        <v>2023</v>
      </c>
      <c r="M3654" s="20">
        <v>1</v>
      </c>
      <c r="N3654" s="19" t="s">
        <v>1796</v>
      </c>
      <c r="O3654" s="20">
        <v>1</v>
      </c>
      <c r="P3654" s="20">
        <v>1</v>
      </c>
      <c r="Q3654" s="20">
        <v>6.5034829880750997E-3</v>
      </c>
      <c r="R3654" s="21">
        <v>1</v>
      </c>
      <c r="S3654" s="20">
        <v>6.5034829880750997E-3</v>
      </c>
    </row>
    <row r="3655" spans="2:19" ht="15" customHeight="1" x14ac:dyDescent="0.25">
      <c r="B3655" s="2" t="str">
        <f t="shared" si="114"/>
        <v>NSG_Income Eligible_Single Family_IHWAP_Pipe Insulation_Boiler_SF</v>
      </c>
      <c r="C3655" s="2" t="str">
        <f t="shared" si="115"/>
        <v>NSG_Income Eligible_Single Family_IHWAP_Pipe Insulation_Boiler_SF_2024</v>
      </c>
      <c r="D3655" s="19" t="s">
        <v>1787</v>
      </c>
      <c r="E3655" s="19" t="s">
        <v>325</v>
      </c>
      <c r="F3655" s="19" t="s">
        <v>375</v>
      </c>
      <c r="G3655" s="19" t="s">
        <v>1439</v>
      </c>
      <c r="H3655" s="19" t="s">
        <v>404</v>
      </c>
      <c r="I3655" s="19" t="s">
        <v>944</v>
      </c>
      <c r="J3655" s="19" t="s">
        <v>1008</v>
      </c>
      <c r="K3655" s="19" t="s">
        <v>409</v>
      </c>
      <c r="L3655" s="19">
        <v>2024</v>
      </c>
      <c r="M3655" s="20">
        <v>1</v>
      </c>
      <c r="N3655" s="19" t="s">
        <v>1796</v>
      </c>
      <c r="O3655" s="20">
        <v>1</v>
      </c>
      <c r="P3655" s="20">
        <v>1</v>
      </c>
      <c r="Q3655" s="20">
        <v>6.5034829880750997E-3</v>
      </c>
      <c r="R3655" s="21">
        <v>1</v>
      </c>
      <c r="S3655" s="20">
        <v>6.5034829880750997E-3</v>
      </c>
    </row>
    <row r="3656" spans="2:19" ht="15" customHeight="1" x14ac:dyDescent="0.25">
      <c r="B3656" s="2" t="str">
        <f t="shared" si="114"/>
        <v>NSG_Income Eligible_Single Family_IHWAP_Pipe Insulation_Boiler_SF</v>
      </c>
      <c r="C3656" s="2" t="str">
        <f t="shared" si="115"/>
        <v>NSG_Income Eligible_Single Family_IHWAP_Pipe Insulation_Boiler_SF_2025</v>
      </c>
      <c r="D3656" s="19" t="s">
        <v>1787</v>
      </c>
      <c r="E3656" s="19" t="s">
        <v>325</v>
      </c>
      <c r="F3656" s="19" t="s">
        <v>375</v>
      </c>
      <c r="G3656" s="19" t="s">
        <v>1439</v>
      </c>
      <c r="H3656" s="19" t="s">
        <v>404</v>
      </c>
      <c r="I3656" s="19" t="s">
        <v>944</v>
      </c>
      <c r="J3656" s="19" t="s">
        <v>1008</v>
      </c>
      <c r="K3656" s="19" t="s">
        <v>409</v>
      </c>
      <c r="L3656" s="19">
        <v>2025</v>
      </c>
      <c r="M3656" s="20">
        <v>1</v>
      </c>
      <c r="N3656" s="19" t="s">
        <v>1796</v>
      </c>
      <c r="O3656" s="20">
        <v>1</v>
      </c>
      <c r="P3656" s="20">
        <v>1</v>
      </c>
      <c r="Q3656" s="20">
        <v>6.5034829880750997E-3</v>
      </c>
      <c r="R3656" s="21">
        <v>1</v>
      </c>
      <c r="S3656" s="20">
        <v>6.5034829880750997E-3</v>
      </c>
    </row>
    <row r="3657" spans="2:19" ht="15" customHeight="1" x14ac:dyDescent="0.25">
      <c r="B3657" s="2" t="str">
        <f t="shared" si="114"/>
        <v>NSG_Income Eligible_Single Family_IHWAP_Programmable Thermostat_Furnace (DI)_SF</v>
      </c>
      <c r="C3657" s="2" t="str">
        <f t="shared" si="115"/>
        <v>NSG_Income Eligible_Single Family_IHWAP_Programmable Thermostat_Furnace (DI)_SF_2022</v>
      </c>
      <c r="D3657" s="19" t="s">
        <v>1787</v>
      </c>
      <c r="E3657" s="19" t="s">
        <v>325</v>
      </c>
      <c r="F3657" s="19" t="s">
        <v>375</v>
      </c>
      <c r="G3657" s="19" t="s">
        <v>1439</v>
      </c>
      <c r="H3657" s="19" t="s">
        <v>224</v>
      </c>
      <c r="I3657" s="19" t="s">
        <v>1038</v>
      </c>
      <c r="J3657" s="19" t="s">
        <v>24</v>
      </c>
      <c r="K3657" s="19" t="s">
        <v>409</v>
      </c>
      <c r="L3657" s="19">
        <v>2022</v>
      </c>
      <c r="M3657" s="20">
        <v>1</v>
      </c>
      <c r="N3657" s="19" t="s">
        <v>1795</v>
      </c>
      <c r="O3657" s="20">
        <v>0</v>
      </c>
      <c r="P3657" s="20">
        <v>0</v>
      </c>
      <c r="Q3657" s="20">
        <v>0</v>
      </c>
      <c r="R3657" s="21">
        <v>1</v>
      </c>
      <c r="S3657" s="20">
        <v>0</v>
      </c>
    </row>
    <row r="3658" spans="2:19" ht="15" customHeight="1" x14ac:dyDescent="0.25">
      <c r="B3658" s="2" t="str">
        <f t="shared" si="114"/>
        <v>NSG_Income Eligible_Single Family_IHWAP_Programmable Thermostat_Furnace (DI)_SF</v>
      </c>
      <c r="C3658" s="2" t="str">
        <f t="shared" si="115"/>
        <v>NSG_Income Eligible_Single Family_IHWAP_Programmable Thermostat_Furnace (DI)_SF_2023</v>
      </c>
      <c r="D3658" s="19" t="s">
        <v>1787</v>
      </c>
      <c r="E3658" s="19" t="s">
        <v>325</v>
      </c>
      <c r="F3658" s="19" t="s">
        <v>375</v>
      </c>
      <c r="G3658" s="19" t="s">
        <v>1439</v>
      </c>
      <c r="H3658" s="19" t="s">
        <v>224</v>
      </c>
      <c r="I3658" s="19" t="s">
        <v>1038</v>
      </c>
      <c r="J3658" s="19" t="s">
        <v>24</v>
      </c>
      <c r="K3658" s="19" t="s">
        <v>409</v>
      </c>
      <c r="L3658" s="19">
        <v>2023</v>
      </c>
      <c r="M3658" s="20">
        <v>1</v>
      </c>
      <c r="N3658" s="19" t="s">
        <v>1795</v>
      </c>
      <c r="O3658" s="20">
        <v>0</v>
      </c>
      <c r="P3658" s="20">
        <v>0</v>
      </c>
      <c r="Q3658" s="20">
        <v>0</v>
      </c>
      <c r="R3658" s="21">
        <v>1</v>
      </c>
      <c r="S3658" s="20">
        <v>0</v>
      </c>
    </row>
    <row r="3659" spans="2:19" ht="15" customHeight="1" x14ac:dyDescent="0.25">
      <c r="B3659" s="2" t="str">
        <f t="shared" si="114"/>
        <v>NSG_Income Eligible_Single Family_IHWAP_Programmable Thermostat_Furnace (DI)_SF</v>
      </c>
      <c r="C3659" s="2" t="str">
        <f t="shared" si="115"/>
        <v>NSG_Income Eligible_Single Family_IHWAP_Programmable Thermostat_Furnace (DI)_SF_2024</v>
      </c>
      <c r="D3659" s="19" t="s">
        <v>1787</v>
      </c>
      <c r="E3659" s="19" t="s">
        <v>325</v>
      </c>
      <c r="F3659" s="19" t="s">
        <v>375</v>
      </c>
      <c r="G3659" s="19" t="s">
        <v>1439</v>
      </c>
      <c r="H3659" s="19" t="s">
        <v>224</v>
      </c>
      <c r="I3659" s="19" t="s">
        <v>1038</v>
      </c>
      <c r="J3659" s="19" t="s">
        <v>24</v>
      </c>
      <c r="K3659" s="19" t="s">
        <v>409</v>
      </c>
      <c r="L3659" s="19">
        <v>2024</v>
      </c>
      <c r="M3659" s="20">
        <v>1</v>
      </c>
      <c r="N3659" s="19" t="s">
        <v>1795</v>
      </c>
      <c r="O3659" s="20">
        <v>0</v>
      </c>
      <c r="P3659" s="20">
        <v>0</v>
      </c>
      <c r="Q3659" s="20">
        <v>0</v>
      </c>
      <c r="R3659" s="21">
        <v>1</v>
      </c>
      <c r="S3659" s="20">
        <v>0</v>
      </c>
    </row>
    <row r="3660" spans="2:19" ht="15" customHeight="1" x14ac:dyDescent="0.25">
      <c r="B3660" s="2" t="str">
        <f t="shared" si="114"/>
        <v>NSG_Income Eligible_Single Family_IHWAP_Programmable Thermostat_Furnace (DI)_SF</v>
      </c>
      <c r="C3660" s="2" t="str">
        <f t="shared" si="115"/>
        <v>NSG_Income Eligible_Single Family_IHWAP_Programmable Thermostat_Furnace (DI)_SF_2025</v>
      </c>
      <c r="D3660" s="19" t="s">
        <v>1787</v>
      </c>
      <c r="E3660" s="19" t="s">
        <v>325</v>
      </c>
      <c r="F3660" s="19" t="s">
        <v>375</v>
      </c>
      <c r="G3660" s="19" t="s">
        <v>1439</v>
      </c>
      <c r="H3660" s="19" t="s">
        <v>224</v>
      </c>
      <c r="I3660" s="19" t="s">
        <v>1038</v>
      </c>
      <c r="J3660" s="19" t="s">
        <v>24</v>
      </c>
      <c r="K3660" s="19" t="s">
        <v>409</v>
      </c>
      <c r="L3660" s="19">
        <v>2025</v>
      </c>
      <c r="M3660" s="20">
        <v>1</v>
      </c>
      <c r="N3660" s="19" t="s">
        <v>1795</v>
      </c>
      <c r="O3660" s="20">
        <v>0</v>
      </c>
      <c r="P3660" s="20">
        <v>0</v>
      </c>
      <c r="Q3660" s="20">
        <v>0</v>
      </c>
      <c r="R3660" s="21">
        <v>1</v>
      </c>
      <c r="S3660" s="20">
        <v>0</v>
      </c>
    </row>
    <row r="3661" spans="2:19" ht="15" customHeight="1" x14ac:dyDescent="0.25">
      <c r="B3661" s="2" t="str">
        <f t="shared" si="114"/>
        <v>NSG_Income Eligible_Single Family_IHWAP_Programmable Thermostat_Boiler (DI)_SF</v>
      </c>
      <c r="C3661" s="2" t="str">
        <f t="shared" si="115"/>
        <v>NSG_Income Eligible_Single Family_IHWAP_Programmable Thermostat_Boiler (DI)_SF_2022</v>
      </c>
      <c r="D3661" s="19" t="s">
        <v>1787</v>
      </c>
      <c r="E3661" s="19" t="s">
        <v>325</v>
      </c>
      <c r="F3661" s="19" t="s">
        <v>375</v>
      </c>
      <c r="G3661" s="19" t="s">
        <v>1439</v>
      </c>
      <c r="H3661" s="19" t="s">
        <v>224</v>
      </c>
      <c r="I3661" s="19" t="s">
        <v>1045</v>
      </c>
      <c r="J3661" s="19" t="s">
        <v>24</v>
      </c>
      <c r="K3661" s="19" t="s">
        <v>409</v>
      </c>
      <c r="L3661" s="19">
        <v>2022</v>
      </c>
      <c r="M3661" s="20">
        <v>1</v>
      </c>
      <c r="N3661" s="19" t="s">
        <v>1795</v>
      </c>
      <c r="O3661" s="20">
        <v>0</v>
      </c>
      <c r="P3661" s="20">
        <v>0</v>
      </c>
      <c r="Q3661" s="20">
        <v>0</v>
      </c>
      <c r="R3661" s="21">
        <v>1</v>
      </c>
      <c r="S3661" s="20">
        <v>0</v>
      </c>
    </row>
    <row r="3662" spans="2:19" ht="15" customHeight="1" x14ac:dyDescent="0.25">
      <c r="B3662" s="2" t="str">
        <f t="shared" si="114"/>
        <v>NSG_Income Eligible_Single Family_IHWAP_Programmable Thermostat_Boiler (DI)_SF</v>
      </c>
      <c r="C3662" s="2" t="str">
        <f t="shared" si="115"/>
        <v>NSG_Income Eligible_Single Family_IHWAP_Programmable Thermostat_Boiler (DI)_SF_2023</v>
      </c>
      <c r="D3662" s="19" t="s">
        <v>1787</v>
      </c>
      <c r="E3662" s="19" t="s">
        <v>325</v>
      </c>
      <c r="F3662" s="19" t="s">
        <v>375</v>
      </c>
      <c r="G3662" s="19" t="s">
        <v>1439</v>
      </c>
      <c r="H3662" s="19" t="s">
        <v>224</v>
      </c>
      <c r="I3662" s="19" t="s">
        <v>1045</v>
      </c>
      <c r="J3662" s="19" t="s">
        <v>24</v>
      </c>
      <c r="K3662" s="19" t="s">
        <v>409</v>
      </c>
      <c r="L3662" s="19">
        <v>2023</v>
      </c>
      <c r="M3662" s="20">
        <v>1</v>
      </c>
      <c r="N3662" s="19" t="s">
        <v>1795</v>
      </c>
      <c r="O3662" s="20">
        <v>0</v>
      </c>
      <c r="P3662" s="20">
        <v>0</v>
      </c>
      <c r="Q3662" s="20">
        <v>0</v>
      </c>
      <c r="R3662" s="21">
        <v>1</v>
      </c>
      <c r="S3662" s="20">
        <v>0</v>
      </c>
    </row>
    <row r="3663" spans="2:19" ht="15" customHeight="1" x14ac:dyDescent="0.25">
      <c r="B3663" s="2" t="str">
        <f t="shared" si="114"/>
        <v>NSG_Income Eligible_Single Family_IHWAP_Programmable Thermostat_Boiler (DI)_SF</v>
      </c>
      <c r="C3663" s="2" t="str">
        <f t="shared" si="115"/>
        <v>NSG_Income Eligible_Single Family_IHWAP_Programmable Thermostat_Boiler (DI)_SF_2024</v>
      </c>
      <c r="D3663" s="19" t="s">
        <v>1787</v>
      </c>
      <c r="E3663" s="19" t="s">
        <v>325</v>
      </c>
      <c r="F3663" s="19" t="s">
        <v>375</v>
      </c>
      <c r="G3663" s="19" t="s">
        <v>1439</v>
      </c>
      <c r="H3663" s="19" t="s">
        <v>224</v>
      </c>
      <c r="I3663" s="19" t="s">
        <v>1045</v>
      </c>
      <c r="J3663" s="19" t="s">
        <v>24</v>
      </c>
      <c r="K3663" s="19" t="s">
        <v>409</v>
      </c>
      <c r="L3663" s="19">
        <v>2024</v>
      </c>
      <c r="M3663" s="20">
        <v>1</v>
      </c>
      <c r="N3663" s="19" t="s">
        <v>1795</v>
      </c>
      <c r="O3663" s="20">
        <v>0</v>
      </c>
      <c r="P3663" s="20">
        <v>0</v>
      </c>
      <c r="Q3663" s="20">
        <v>0</v>
      </c>
      <c r="R3663" s="21">
        <v>1</v>
      </c>
      <c r="S3663" s="20">
        <v>0</v>
      </c>
    </row>
    <row r="3664" spans="2:19" ht="15" customHeight="1" x14ac:dyDescent="0.25">
      <c r="B3664" s="2" t="str">
        <f t="shared" si="114"/>
        <v>NSG_Income Eligible_Single Family_IHWAP_Programmable Thermostat_Boiler (DI)_SF</v>
      </c>
      <c r="C3664" s="2" t="str">
        <f t="shared" si="115"/>
        <v>NSG_Income Eligible_Single Family_IHWAP_Programmable Thermostat_Boiler (DI)_SF_2025</v>
      </c>
      <c r="D3664" s="19" t="s">
        <v>1787</v>
      </c>
      <c r="E3664" s="19" t="s">
        <v>325</v>
      </c>
      <c r="F3664" s="19" t="s">
        <v>375</v>
      </c>
      <c r="G3664" s="19" t="s">
        <v>1439</v>
      </c>
      <c r="H3664" s="19" t="s">
        <v>224</v>
      </c>
      <c r="I3664" s="19" t="s">
        <v>1045</v>
      </c>
      <c r="J3664" s="19" t="s">
        <v>24</v>
      </c>
      <c r="K3664" s="19" t="s">
        <v>409</v>
      </c>
      <c r="L3664" s="19">
        <v>2025</v>
      </c>
      <c r="M3664" s="20">
        <v>1</v>
      </c>
      <c r="N3664" s="19" t="s">
        <v>1795</v>
      </c>
      <c r="O3664" s="20">
        <v>0</v>
      </c>
      <c r="P3664" s="20">
        <v>0</v>
      </c>
      <c r="Q3664" s="20">
        <v>0</v>
      </c>
      <c r="R3664" s="21">
        <v>1</v>
      </c>
      <c r="S3664" s="20">
        <v>0</v>
      </c>
    </row>
    <row r="3665" spans="2:19" ht="15" customHeight="1" x14ac:dyDescent="0.25">
      <c r="B3665" s="2" t="str">
        <f t="shared" si="114"/>
        <v>NSG_Income Eligible_Single Family_IHWAP_Advanced Thermostat_Furnace (Replace Manual)_SF</v>
      </c>
      <c r="C3665" s="2" t="str">
        <f t="shared" si="115"/>
        <v>NSG_Income Eligible_Single Family_IHWAP_Advanced Thermostat_Furnace (Replace Manual)_SF_2022</v>
      </c>
      <c r="D3665" s="19" t="s">
        <v>1787</v>
      </c>
      <c r="E3665" s="19" t="s">
        <v>325</v>
      </c>
      <c r="F3665" s="19" t="s">
        <v>375</v>
      </c>
      <c r="G3665" s="19" t="s">
        <v>1439</v>
      </c>
      <c r="H3665" s="19" t="s">
        <v>7</v>
      </c>
      <c r="I3665" s="19" t="s">
        <v>1047</v>
      </c>
      <c r="J3665" s="19" t="s">
        <v>24</v>
      </c>
      <c r="K3665" s="19" t="s">
        <v>409</v>
      </c>
      <c r="L3665" s="19">
        <v>2022</v>
      </c>
      <c r="M3665" s="20">
        <v>1</v>
      </c>
      <c r="N3665" s="19" t="s">
        <v>1795</v>
      </c>
      <c r="O3665" s="20">
        <v>10</v>
      </c>
      <c r="P3665" s="20">
        <v>10</v>
      </c>
      <c r="Q3665" s="20">
        <v>1045.2</v>
      </c>
      <c r="R3665" s="21">
        <v>1</v>
      </c>
      <c r="S3665" s="20">
        <v>1045.2</v>
      </c>
    </row>
    <row r="3666" spans="2:19" ht="15" customHeight="1" x14ac:dyDescent="0.25">
      <c r="B3666" s="2" t="str">
        <f t="shared" si="114"/>
        <v>NSG_Income Eligible_Single Family_IHWAP_Advanced Thermostat_Furnace (Replace Manual)_SF</v>
      </c>
      <c r="C3666" s="2" t="str">
        <f t="shared" si="115"/>
        <v>NSG_Income Eligible_Single Family_IHWAP_Advanced Thermostat_Furnace (Replace Manual)_SF_2023</v>
      </c>
      <c r="D3666" s="19" t="s">
        <v>1787</v>
      </c>
      <c r="E3666" s="19" t="s">
        <v>325</v>
      </c>
      <c r="F3666" s="19" t="s">
        <v>375</v>
      </c>
      <c r="G3666" s="19" t="s">
        <v>1439</v>
      </c>
      <c r="H3666" s="19" t="s">
        <v>7</v>
      </c>
      <c r="I3666" s="19" t="s">
        <v>1047</v>
      </c>
      <c r="J3666" s="19" t="s">
        <v>24</v>
      </c>
      <c r="K3666" s="19" t="s">
        <v>409</v>
      </c>
      <c r="L3666" s="19">
        <v>2023</v>
      </c>
      <c r="M3666" s="20">
        <v>1</v>
      </c>
      <c r="N3666" s="19" t="s">
        <v>1795</v>
      </c>
      <c r="O3666" s="20">
        <v>11</v>
      </c>
      <c r="P3666" s="20">
        <v>11</v>
      </c>
      <c r="Q3666" s="20">
        <v>1149.72</v>
      </c>
      <c r="R3666" s="21">
        <v>1</v>
      </c>
      <c r="S3666" s="20">
        <v>1149.72</v>
      </c>
    </row>
    <row r="3667" spans="2:19" ht="15" customHeight="1" x14ac:dyDescent="0.25">
      <c r="B3667" s="2" t="str">
        <f t="shared" si="114"/>
        <v>NSG_Income Eligible_Single Family_IHWAP_Advanced Thermostat_Furnace (Replace Manual)_SF</v>
      </c>
      <c r="C3667" s="2" t="str">
        <f t="shared" si="115"/>
        <v>NSG_Income Eligible_Single Family_IHWAP_Advanced Thermostat_Furnace (Replace Manual)_SF_2024</v>
      </c>
      <c r="D3667" s="19" t="s">
        <v>1787</v>
      </c>
      <c r="E3667" s="19" t="s">
        <v>325</v>
      </c>
      <c r="F3667" s="19" t="s">
        <v>375</v>
      </c>
      <c r="G3667" s="19" t="s">
        <v>1439</v>
      </c>
      <c r="H3667" s="19" t="s">
        <v>7</v>
      </c>
      <c r="I3667" s="19" t="s">
        <v>1047</v>
      </c>
      <c r="J3667" s="19" t="s">
        <v>24</v>
      </c>
      <c r="K3667" s="19" t="s">
        <v>409</v>
      </c>
      <c r="L3667" s="19">
        <v>2024</v>
      </c>
      <c r="M3667" s="20">
        <v>1</v>
      </c>
      <c r="N3667" s="19" t="s">
        <v>1795</v>
      </c>
      <c r="O3667" s="20">
        <v>14</v>
      </c>
      <c r="P3667" s="20">
        <v>14</v>
      </c>
      <c r="Q3667" s="20">
        <v>1463.28</v>
      </c>
      <c r="R3667" s="21">
        <v>1</v>
      </c>
      <c r="S3667" s="20">
        <v>1463.28</v>
      </c>
    </row>
    <row r="3668" spans="2:19" ht="15" customHeight="1" x14ac:dyDescent="0.25">
      <c r="B3668" s="2" t="str">
        <f t="shared" si="114"/>
        <v>NSG_Income Eligible_Single Family_IHWAP_Advanced Thermostat_Furnace (Replace Manual)_SF</v>
      </c>
      <c r="C3668" s="2" t="str">
        <f t="shared" si="115"/>
        <v>NSG_Income Eligible_Single Family_IHWAP_Advanced Thermostat_Furnace (Replace Manual)_SF_2025</v>
      </c>
      <c r="D3668" s="19" t="s">
        <v>1787</v>
      </c>
      <c r="E3668" s="19" t="s">
        <v>325</v>
      </c>
      <c r="F3668" s="19" t="s">
        <v>375</v>
      </c>
      <c r="G3668" s="19" t="s">
        <v>1439</v>
      </c>
      <c r="H3668" s="19" t="s">
        <v>7</v>
      </c>
      <c r="I3668" s="19" t="s">
        <v>1047</v>
      </c>
      <c r="J3668" s="19" t="s">
        <v>24</v>
      </c>
      <c r="K3668" s="19" t="s">
        <v>409</v>
      </c>
      <c r="L3668" s="19">
        <v>2025</v>
      </c>
      <c r="M3668" s="20">
        <v>1</v>
      </c>
      <c r="N3668" s="19" t="s">
        <v>1795</v>
      </c>
      <c r="O3668" s="20">
        <v>15</v>
      </c>
      <c r="P3668" s="20">
        <v>15</v>
      </c>
      <c r="Q3668" s="20">
        <v>1567.8</v>
      </c>
      <c r="R3668" s="21">
        <v>1</v>
      </c>
      <c r="S3668" s="20">
        <v>1567.8</v>
      </c>
    </row>
    <row r="3669" spans="2:19" ht="15" customHeight="1" x14ac:dyDescent="0.25">
      <c r="B3669" s="2" t="str">
        <f t="shared" si="114"/>
        <v>NSG_Income Eligible_Single Family_IHWAP_Advanced Thermostat_Boiler (Replace Manual)_SF</v>
      </c>
      <c r="C3669" s="2" t="str">
        <f t="shared" si="115"/>
        <v>NSG_Income Eligible_Single Family_IHWAP_Advanced Thermostat_Boiler (Replace Manual)_SF_2022</v>
      </c>
      <c r="D3669" s="19" t="s">
        <v>1787</v>
      </c>
      <c r="E3669" s="19" t="s">
        <v>325</v>
      </c>
      <c r="F3669" s="19" t="s">
        <v>375</v>
      </c>
      <c r="G3669" s="19" t="s">
        <v>1439</v>
      </c>
      <c r="H3669" s="19" t="s">
        <v>7</v>
      </c>
      <c r="I3669" s="19" t="s">
        <v>1051</v>
      </c>
      <c r="J3669" s="19" t="s">
        <v>24</v>
      </c>
      <c r="K3669" s="19" t="s">
        <v>409</v>
      </c>
      <c r="L3669" s="19">
        <v>2022</v>
      </c>
      <c r="M3669" s="20">
        <v>1</v>
      </c>
      <c r="N3669" s="19" t="s">
        <v>1795</v>
      </c>
      <c r="O3669" s="20">
        <v>10</v>
      </c>
      <c r="P3669" s="20">
        <v>10</v>
      </c>
      <c r="Q3669" s="20">
        <v>1544.4</v>
      </c>
      <c r="R3669" s="21">
        <v>1</v>
      </c>
      <c r="S3669" s="20">
        <v>1544.4</v>
      </c>
    </row>
    <row r="3670" spans="2:19" ht="15" customHeight="1" x14ac:dyDescent="0.25">
      <c r="B3670" s="2" t="str">
        <f t="shared" si="114"/>
        <v>NSG_Income Eligible_Single Family_IHWAP_Advanced Thermostat_Boiler (Replace Manual)_SF</v>
      </c>
      <c r="C3670" s="2" t="str">
        <f t="shared" si="115"/>
        <v>NSG_Income Eligible_Single Family_IHWAP_Advanced Thermostat_Boiler (Replace Manual)_SF_2023</v>
      </c>
      <c r="D3670" s="19" t="s">
        <v>1787</v>
      </c>
      <c r="E3670" s="19" t="s">
        <v>325</v>
      </c>
      <c r="F3670" s="19" t="s">
        <v>375</v>
      </c>
      <c r="G3670" s="19" t="s">
        <v>1439</v>
      </c>
      <c r="H3670" s="19" t="s">
        <v>7</v>
      </c>
      <c r="I3670" s="19" t="s">
        <v>1051</v>
      </c>
      <c r="J3670" s="19" t="s">
        <v>24</v>
      </c>
      <c r="K3670" s="19" t="s">
        <v>409</v>
      </c>
      <c r="L3670" s="19">
        <v>2023</v>
      </c>
      <c r="M3670" s="20">
        <v>1</v>
      </c>
      <c r="N3670" s="19" t="s">
        <v>1795</v>
      </c>
      <c r="O3670" s="20">
        <v>11</v>
      </c>
      <c r="P3670" s="20">
        <v>11</v>
      </c>
      <c r="Q3670" s="20">
        <v>1698.84</v>
      </c>
      <c r="R3670" s="21">
        <v>1</v>
      </c>
      <c r="S3670" s="20">
        <v>1698.84</v>
      </c>
    </row>
    <row r="3671" spans="2:19" ht="15" customHeight="1" x14ac:dyDescent="0.25">
      <c r="B3671" s="2" t="str">
        <f t="shared" si="114"/>
        <v>NSG_Income Eligible_Single Family_IHWAP_Advanced Thermostat_Boiler (Replace Manual)_SF</v>
      </c>
      <c r="C3671" s="2" t="str">
        <f t="shared" si="115"/>
        <v>NSG_Income Eligible_Single Family_IHWAP_Advanced Thermostat_Boiler (Replace Manual)_SF_2024</v>
      </c>
      <c r="D3671" s="19" t="s">
        <v>1787</v>
      </c>
      <c r="E3671" s="19" t="s">
        <v>325</v>
      </c>
      <c r="F3671" s="19" t="s">
        <v>375</v>
      </c>
      <c r="G3671" s="19" t="s">
        <v>1439</v>
      </c>
      <c r="H3671" s="19" t="s">
        <v>7</v>
      </c>
      <c r="I3671" s="19" t="s">
        <v>1051</v>
      </c>
      <c r="J3671" s="19" t="s">
        <v>24</v>
      </c>
      <c r="K3671" s="19" t="s">
        <v>409</v>
      </c>
      <c r="L3671" s="19">
        <v>2024</v>
      </c>
      <c r="M3671" s="20">
        <v>1</v>
      </c>
      <c r="N3671" s="19" t="s">
        <v>1795</v>
      </c>
      <c r="O3671" s="20">
        <v>14</v>
      </c>
      <c r="P3671" s="20">
        <v>14</v>
      </c>
      <c r="Q3671" s="20">
        <v>2162.16</v>
      </c>
      <c r="R3671" s="21">
        <v>1</v>
      </c>
      <c r="S3671" s="20">
        <v>2162.16</v>
      </c>
    </row>
    <row r="3672" spans="2:19" ht="15" customHeight="1" x14ac:dyDescent="0.25">
      <c r="B3672" s="2" t="str">
        <f t="shared" si="114"/>
        <v>NSG_Income Eligible_Single Family_IHWAP_Advanced Thermostat_Boiler (Replace Manual)_SF</v>
      </c>
      <c r="C3672" s="2" t="str">
        <f t="shared" si="115"/>
        <v>NSG_Income Eligible_Single Family_IHWAP_Advanced Thermostat_Boiler (Replace Manual)_SF_2025</v>
      </c>
      <c r="D3672" s="19" t="s">
        <v>1787</v>
      </c>
      <c r="E3672" s="19" t="s">
        <v>325</v>
      </c>
      <c r="F3672" s="19" t="s">
        <v>375</v>
      </c>
      <c r="G3672" s="19" t="s">
        <v>1439</v>
      </c>
      <c r="H3672" s="19" t="s">
        <v>7</v>
      </c>
      <c r="I3672" s="19" t="s">
        <v>1051</v>
      </c>
      <c r="J3672" s="19" t="s">
        <v>24</v>
      </c>
      <c r="K3672" s="19" t="s">
        <v>409</v>
      </c>
      <c r="L3672" s="19">
        <v>2025</v>
      </c>
      <c r="M3672" s="20">
        <v>1</v>
      </c>
      <c r="N3672" s="19" t="s">
        <v>1795</v>
      </c>
      <c r="O3672" s="20">
        <v>15</v>
      </c>
      <c r="P3672" s="20">
        <v>15</v>
      </c>
      <c r="Q3672" s="20">
        <v>2316.6</v>
      </c>
      <c r="R3672" s="21">
        <v>1</v>
      </c>
      <c r="S3672" s="20">
        <v>2316.6</v>
      </c>
    </row>
    <row r="3673" spans="2:19" ht="15" customHeight="1" x14ac:dyDescent="0.25">
      <c r="B3673" s="2" t="str">
        <f t="shared" si="114"/>
        <v>NSG_Income Eligible_Single Family_IHWAP_Advanced Thermostat_Furnace (Replace Programmable)_SF</v>
      </c>
      <c r="C3673" s="2" t="str">
        <f t="shared" si="115"/>
        <v>NSG_Income Eligible_Single Family_IHWAP_Advanced Thermostat_Furnace (Replace Programmable)_SF_2022</v>
      </c>
      <c r="D3673" s="19" t="s">
        <v>1787</v>
      </c>
      <c r="E3673" s="19" t="s">
        <v>325</v>
      </c>
      <c r="F3673" s="19" t="s">
        <v>375</v>
      </c>
      <c r="G3673" s="19" t="s">
        <v>1439</v>
      </c>
      <c r="H3673" s="19" t="s">
        <v>7</v>
      </c>
      <c r="I3673" s="19" t="s">
        <v>1049</v>
      </c>
      <c r="J3673" s="19" t="s">
        <v>24</v>
      </c>
      <c r="K3673" s="19" t="s">
        <v>409</v>
      </c>
      <c r="L3673" s="19">
        <v>2022</v>
      </c>
      <c r="M3673" s="20">
        <v>1</v>
      </c>
      <c r="N3673" s="19" t="s">
        <v>1795</v>
      </c>
      <c r="O3673" s="20">
        <v>10</v>
      </c>
      <c r="P3673" s="20">
        <v>10</v>
      </c>
      <c r="Q3673" s="20">
        <v>733.65</v>
      </c>
      <c r="R3673" s="21">
        <v>1</v>
      </c>
      <c r="S3673" s="20">
        <v>733.65</v>
      </c>
    </row>
    <row r="3674" spans="2:19" ht="15" customHeight="1" x14ac:dyDescent="0.25">
      <c r="B3674" s="2" t="str">
        <f t="shared" si="114"/>
        <v>NSG_Income Eligible_Single Family_IHWAP_Advanced Thermostat_Furnace (Replace Programmable)_SF</v>
      </c>
      <c r="C3674" s="2" t="str">
        <f t="shared" si="115"/>
        <v>NSG_Income Eligible_Single Family_IHWAP_Advanced Thermostat_Furnace (Replace Programmable)_SF_2023</v>
      </c>
      <c r="D3674" s="19" t="s">
        <v>1787</v>
      </c>
      <c r="E3674" s="19" t="s">
        <v>325</v>
      </c>
      <c r="F3674" s="19" t="s">
        <v>375</v>
      </c>
      <c r="G3674" s="19" t="s">
        <v>1439</v>
      </c>
      <c r="H3674" s="19" t="s">
        <v>7</v>
      </c>
      <c r="I3674" s="19" t="s">
        <v>1049</v>
      </c>
      <c r="J3674" s="19" t="s">
        <v>24</v>
      </c>
      <c r="K3674" s="19" t="s">
        <v>409</v>
      </c>
      <c r="L3674" s="19">
        <v>2023</v>
      </c>
      <c r="M3674" s="20">
        <v>1</v>
      </c>
      <c r="N3674" s="19" t="s">
        <v>1795</v>
      </c>
      <c r="O3674" s="20">
        <v>11</v>
      </c>
      <c r="P3674" s="20">
        <v>11</v>
      </c>
      <c r="Q3674" s="20">
        <v>807.01499999999999</v>
      </c>
      <c r="R3674" s="21">
        <v>1</v>
      </c>
      <c r="S3674" s="20">
        <v>807.01499999999999</v>
      </c>
    </row>
    <row r="3675" spans="2:19" ht="15" customHeight="1" x14ac:dyDescent="0.25">
      <c r="B3675" s="2" t="str">
        <f t="shared" si="114"/>
        <v>NSG_Income Eligible_Single Family_IHWAP_Advanced Thermostat_Furnace (Replace Programmable)_SF</v>
      </c>
      <c r="C3675" s="2" t="str">
        <f t="shared" si="115"/>
        <v>NSG_Income Eligible_Single Family_IHWAP_Advanced Thermostat_Furnace (Replace Programmable)_SF_2024</v>
      </c>
      <c r="D3675" s="19" t="s">
        <v>1787</v>
      </c>
      <c r="E3675" s="19" t="s">
        <v>325</v>
      </c>
      <c r="F3675" s="19" t="s">
        <v>375</v>
      </c>
      <c r="G3675" s="19" t="s">
        <v>1439</v>
      </c>
      <c r="H3675" s="19" t="s">
        <v>7</v>
      </c>
      <c r="I3675" s="19" t="s">
        <v>1049</v>
      </c>
      <c r="J3675" s="19" t="s">
        <v>24</v>
      </c>
      <c r="K3675" s="19" t="s">
        <v>409</v>
      </c>
      <c r="L3675" s="19">
        <v>2024</v>
      </c>
      <c r="M3675" s="20">
        <v>1</v>
      </c>
      <c r="N3675" s="19" t="s">
        <v>1795</v>
      </c>
      <c r="O3675" s="20">
        <v>14</v>
      </c>
      <c r="P3675" s="20">
        <v>14</v>
      </c>
      <c r="Q3675" s="20">
        <v>1027.1099999999999</v>
      </c>
      <c r="R3675" s="21">
        <v>1</v>
      </c>
      <c r="S3675" s="20">
        <v>1027.1099999999999</v>
      </c>
    </row>
    <row r="3676" spans="2:19" ht="15" customHeight="1" x14ac:dyDescent="0.25">
      <c r="B3676" s="2" t="str">
        <f t="shared" si="114"/>
        <v>NSG_Income Eligible_Single Family_IHWAP_Advanced Thermostat_Furnace (Replace Programmable)_SF</v>
      </c>
      <c r="C3676" s="2" t="str">
        <f t="shared" si="115"/>
        <v>NSG_Income Eligible_Single Family_IHWAP_Advanced Thermostat_Furnace (Replace Programmable)_SF_2025</v>
      </c>
      <c r="D3676" s="19" t="s">
        <v>1787</v>
      </c>
      <c r="E3676" s="19" t="s">
        <v>325</v>
      </c>
      <c r="F3676" s="19" t="s">
        <v>375</v>
      </c>
      <c r="G3676" s="19" t="s">
        <v>1439</v>
      </c>
      <c r="H3676" s="19" t="s">
        <v>7</v>
      </c>
      <c r="I3676" s="19" t="s">
        <v>1049</v>
      </c>
      <c r="J3676" s="19" t="s">
        <v>24</v>
      </c>
      <c r="K3676" s="19" t="s">
        <v>409</v>
      </c>
      <c r="L3676" s="19">
        <v>2025</v>
      </c>
      <c r="M3676" s="20">
        <v>1</v>
      </c>
      <c r="N3676" s="19" t="s">
        <v>1795</v>
      </c>
      <c r="O3676" s="20">
        <v>15</v>
      </c>
      <c r="P3676" s="20">
        <v>15</v>
      </c>
      <c r="Q3676" s="20">
        <v>1100.4749999999999</v>
      </c>
      <c r="R3676" s="21">
        <v>1</v>
      </c>
      <c r="S3676" s="20">
        <v>1100.4749999999999</v>
      </c>
    </row>
    <row r="3677" spans="2:19" ht="15" customHeight="1" x14ac:dyDescent="0.25">
      <c r="B3677" s="2" t="str">
        <f t="shared" si="114"/>
        <v>NSG_Income Eligible_Single Family_IHWAP_Advanced Thermostat_Boiler (Replace Programmable)_SF</v>
      </c>
      <c r="C3677" s="2" t="str">
        <f t="shared" si="115"/>
        <v>NSG_Income Eligible_Single Family_IHWAP_Advanced Thermostat_Boiler (Replace Programmable)_SF_2022</v>
      </c>
      <c r="D3677" s="19" t="s">
        <v>1787</v>
      </c>
      <c r="E3677" s="19" t="s">
        <v>325</v>
      </c>
      <c r="F3677" s="19" t="s">
        <v>375</v>
      </c>
      <c r="G3677" s="19" t="s">
        <v>1439</v>
      </c>
      <c r="H3677" s="19" t="s">
        <v>7</v>
      </c>
      <c r="I3677" s="19" t="s">
        <v>1052</v>
      </c>
      <c r="J3677" s="19" t="s">
        <v>24</v>
      </c>
      <c r="K3677" s="19" t="s">
        <v>409</v>
      </c>
      <c r="L3677" s="19">
        <v>2022</v>
      </c>
      <c r="M3677" s="20">
        <v>1</v>
      </c>
      <c r="N3677" s="19" t="s">
        <v>1795</v>
      </c>
      <c r="O3677" s="20">
        <v>10</v>
      </c>
      <c r="P3677" s="20">
        <v>10</v>
      </c>
      <c r="Q3677" s="20">
        <v>1084.05</v>
      </c>
      <c r="R3677" s="21">
        <v>1</v>
      </c>
      <c r="S3677" s="20">
        <v>1084.05</v>
      </c>
    </row>
    <row r="3678" spans="2:19" ht="15" customHeight="1" x14ac:dyDescent="0.25">
      <c r="B3678" s="2" t="str">
        <f t="shared" si="114"/>
        <v>NSG_Income Eligible_Single Family_IHWAP_Advanced Thermostat_Boiler (Replace Programmable)_SF</v>
      </c>
      <c r="C3678" s="2" t="str">
        <f t="shared" si="115"/>
        <v>NSG_Income Eligible_Single Family_IHWAP_Advanced Thermostat_Boiler (Replace Programmable)_SF_2023</v>
      </c>
      <c r="D3678" s="19" t="s">
        <v>1787</v>
      </c>
      <c r="E3678" s="19" t="s">
        <v>325</v>
      </c>
      <c r="F3678" s="19" t="s">
        <v>375</v>
      </c>
      <c r="G3678" s="19" t="s">
        <v>1439</v>
      </c>
      <c r="H3678" s="19" t="s">
        <v>7</v>
      </c>
      <c r="I3678" s="19" t="s">
        <v>1052</v>
      </c>
      <c r="J3678" s="19" t="s">
        <v>24</v>
      </c>
      <c r="K3678" s="19" t="s">
        <v>409</v>
      </c>
      <c r="L3678" s="19">
        <v>2023</v>
      </c>
      <c r="M3678" s="20">
        <v>1</v>
      </c>
      <c r="N3678" s="19" t="s">
        <v>1795</v>
      </c>
      <c r="O3678" s="20">
        <v>11</v>
      </c>
      <c r="P3678" s="20">
        <v>11</v>
      </c>
      <c r="Q3678" s="20">
        <v>1192.4549999999999</v>
      </c>
      <c r="R3678" s="21">
        <v>1</v>
      </c>
      <c r="S3678" s="20">
        <v>1192.4549999999999</v>
      </c>
    </row>
    <row r="3679" spans="2:19" ht="15" customHeight="1" x14ac:dyDescent="0.25">
      <c r="B3679" s="2" t="str">
        <f t="shared" si="114"/>
        <v>NSG_Income Eligible_Single Family_IHWAP_Advanced Thermostat_Boiler (Replace Programmable)_SF</v>
      </c>
      <c r="C3679" s="2" t="str">
        <f t="shared" si="115"/>
        <v>NSG_Income Eligible_Single Family_IHWAP_Advanced Thermostat_Boiler (Replace Programmable)_SF_2024</v>
      </c>
      <c r="D3679" s="19" t="s">
        <v>1787</v>
      </c>
      <c r="E3679" s="19" t="s">
        <v>325</v>
      </c>
      <c r="F3679" s="19" t="s">
        <v>375</v>
      </c>
      <c r="G3679" s="19" t="s">
        <v>1439</v>
      </c>
      <c r="H3679" s="19" t="s">
        <v>7</v>
      </c>
      <c r="I3679" s="19" t="s">
        <v>1052</v>
      </c>
      <c r="J3679" s="19" t="s">
        <v>24</v>
      </c>
      <c r="K3679" s="19" t="s">
        <v>409</v>
      </c>
      <c r="L3679" s="19">
        <v>2024</v>
      </c>
      <c r="M3679" s="20">
        <v>1</v>
      </c>
      <c r="N3679" s="19" t="s">
        <v>1795</v>
      </c>
      <c r="O3679" s="20">
        <v>14</v>
      </c>
      <c r="P3679" s="20">
        <v>14</v>
      </c>
      <c r="Q3679" s="20">
        <v>1517.6699999999998</v>
      </c>
      <c r="R3679" s="21">
        <v>1</v>
      </c>
      <c r="S3679" s="20">
        <v>1517.6699999999998</v>
      </c>
    </row>
    <row r="3680" spans="2:19" ht="15" customHeight="1" x14ac:dyDescent="0.25">
      <c r="B3680" s="2" t="str">
        <f t="shared" si="114"/>
        <v>NSG_Income Eligible_Single Family_IHWAP_Advanced Thermostat_Boiler (Replace Programmable)_SF</v>
      </c>
      <c r="C3680" s="2" t="str">
        <f t="shared" si="115"/>
        <v>NSG_Income Eligible_Single Family_IHWAP_Advanced Thermostat_Boiler (Replace Programmable)_SF_2025</v>
      </c>
      <c r="D3680" s="19" t="s">
        <v>1787</v>
      </c>
      <c r="E3680" s="19" t="s">
        <v>325</v>
      </c>
      <c r="F3680" s="19" t="s">
        <v>375</v>
      </c>
      <c r="G3680" s="19" t="s">
        <v>1439</v>
      </c>
      <c r="H3680" s="19" t="s">
        <v>7</v>
      </c>
      <c r="I3680" s="19" t="s">
        <v>1052</v>
      </c>
      <c r="J3680" s="19" t="s">
        <v>24</v>
      </c>
      <c r="K3680" s="19" t="s">
        <v>409</v>
      </c>
      <c r="L3680" s="19">
        <v>2025</v>
      </c>
      <c r="M3680" s="20">
        <v>1</v>
      </c>
      <c r="N3680" s="19" t="s">
        <v>1795</v>
      </c>
      <c r="O3680" s="20">
        <v>15</v>
      </c>
      <c r="P3680" s="20">
        <v>15</v>
      </c>
      <c r="Q3680" s="20">
        <v>1626.0749999999998</v>
      </c>
      <c r="R3680" s="21">
        <v>1</v>
      </c>
      <c r="S3680" s="20">
        <v>1626.0749999999998</v>
      </c>
    </row>
    <row r="3681" spans="2:19" ht="15" customHeight="1" x14ac:dyDescent="0.25">
      <c r="B3681" s="2" t="str">
        <f t="shared" si="114"/>
        <v>NSG_Income Eligible_Single Family_IHWAP_Thermostat - Reprogram_Furnace (DI)_SF</v>
      </c>
      <c r="C3681" s="2" t="str">
        <f t="shared" si="115"/>
        <v>NSG_Income Eligible_Single Family_IHWAP_Thermostat - Reprogram_Furnace (DI)_SF_2022</v>
      </c>
      <c r="D3681" s="19" t="s">
        <v>1787</v>
      </c>
      <c r="E3681" s="19" t="s">
        <v>325</v>
      </c>
      <c r="F3681" s="19" t="s">
        <v>375</v>
      </c>
      <c r="G3681" s="19" t="s">
        <v>1439</v>
      </c>
      <c r="H3681" s="19" t="s">
        <v>1055</v>
      </c>
      <c r="I3681" s="19" t="s">
        <v>1038</v>
      </c>
      <c r="J3681" s="19" t="s">
        <v>24</v>
      </c>
      <c r="K3681" s="19" t="s">
        <v>409</v>
      </c>
      <c r="L3681" s="19">
        <v>2022</v>
      </c>
      <c r="M3681" s="20">
        <v>1</v>
      </c>
      <c r="N3681" s="19" t="s">
        <v>1795</v>
      </c>
      <c r="O3681" s="20">
        <v>0</v>
      </c>
      <c r="P3681" s="20">
        <v>0</v>
      </c>
      <c r="Q3681" s="20">
        <v>0</v>
      </c>
      <c r="R3681" s="21">
        <v>1</v>
      </c>
      <c r="S3681" s="20">
        <v>0</v>
      </c>
    </row>
    <row r="3682" spans="2:19" ht="15" customHeight="1" x14ac:dyDescent="0.25">
      <c r="B3682" s="2" t="str">
        <f t="shared" si="114"/>
        <v>NSG_Income Eligible_Single Family_IHWAP_Thermostat - Reprogram_Furnace (DI)_SF</v>
      </c>
      <c r="C3682" s="2" t="str">
        <f t="shared" si="115"/>
        <v>NSG_Income Eligible_Single Family_IHWAP_Thermostat - Reprogram_Furnace (DI)_SF_2023</v>
      </c>
      <c r="D3682" s="19" t="s">
        <v>1787</v>
      </c>
      <c r="E3682" s="19" t="s">
        <v>325</v>
      </c>
      <c r="F3682" s="19" t="s">
        <v>375</v>
      </c>
      <c r="G3682" s="19" t="s">
        <v>1439</v>
      </c>
      <c r="H3682" s="19" t="s">
        <v>1055</v>
      </c>
      <c r="I3682" s="19" t="s">
        <v>1038</v>
      </c>
      <c r="J3682" s="19" t="s">
        <v>24</v>
      </c>
      <c r="K3682" s="19" t="s">
        <v>409</v>
      </c>
      <c r="L3682" s="19">
        <v>2023</v>
      </c>
      <c r="M3682" s="20">
        <v>1</v>
      </c>
      <c r="N3682" s="19" t="s">
        <v>1795</v>
      </c>
      <c r="O3682" s="20">
        <v>0</v>
      </c>
      <c r="P3682" s="20">
        <v>0</v>
      </c>
      <c r="Q3682" s="20">
        <v>0</v>
      </c>
      <c r="R3682" s="21">
        <v>1</v>
      </c>
      <c r="S3682" s="20">
        <v>0</v>
      </c>
    </row>
    <row r="3683" spans="2:19" ht="15" customHeight="1" x14ac:dyDescent="0.25">
      <c r="B3683" s="2" t="str">
        <f t="shared" si="114"/>
        <v>NSG_Income Eligible_Single Family_IHWAP_Thermostat - Reprogram_Furnace (DI)_SF</v>
      </c>
      <c r="C3683" s="2" t="str">
        <f t="shared" si="115"/>
        <v>NSG_Income Eligible_Single Family_IHWAP_Thermostat - Reprogram_Furnace (DI)_SF_2024</v>
      </c>
      <c r="D3683" s="19" t="s">
        <v>1787</v>
      </c>
      <c r="E3683" s="19" t="s">
        <v>325</v>
      </c>
      <c r="F3683" s="19" t="s">
        <v>375</v>
      </c>
      <c r="G3683" s="19" t="s">
        <v>1439</v>
      </c>
      <c r="H3683" s="19" t="s">
        <v>1055</v>
      </c>
      <c r="I3683" s="19" t="s">
        <v>1038</v>
      </c>
      <c r="J3683" s="19" t="s">
        <v>24</v>
      </c>
      <c r="K3683" s="19" t="s">
        <v>409</v>
      </c>
      <c r="L3683" s="19">
        <v>2024</v>
      </c>
      <c r="M3683" s="20">
        <v>1</v>
      </c>
      <c r="N3683" s="19" t="s">
        <v>1795</v>
      </c>
      <c r="O3683" s="20">
        <v>0</v>
      </c>
      <c r="P3683" s="20">
        <v>0</v>
      </c>
      <c r="Q3683" s="20">
        <v>0</v>
      </c>
      <c r="R3683" s="21">
        <v>1</v>
      </c>
      <c r="S3683" s="20">
        <v>0</v>
      </c>
    </row>
    <row r="3684" spans="2:19" ht="15" customHeight="1" x14ac:dyDescent="0.25">
      <c r="B3684" s="2" t="str">
        <f t="shared" si="114"/>
        <v>NSG_Income Eligible_Single Family_IHWAP_Thermostat - Reprogram_Furnace (DI)_SF</v>
      </c>
      <c r="C3684" s="2" t="str">
        <f t="shared" si="115"/>
        <v>NSG_Income Eligible_Single Family_IHWAP_Thermostat - Reprogram_Furnace (DI)_SF_2025</v>
      </c>
      <c r="D3684" s="19" t="s">
        <v>1787</v>
      </c>
      <c r="E3684" s="19" t="s">
        <v>325</v>
      </c>
      <c r="F3684" s="19" t="s">
        <v>375</v>
      </c>
      <c r="G3684" s="19" t="s">
        <v>1439</v>
      </c>
      <c r="H3684" s="19" t="s">
        <v>1055</v>
      </c>
      <c r="I3684" s="19" t="s">
        <v>1038</v>
      </c>
      <c r="J3684" s="19" t="s">
        <v>24</v>
      </c>
      <c r="K3684" s="19" t="s">
        <v>409</v>
      </c>
      <c r="L3684" s="19">
        <v>2025</v>
      </c>
      <c r="M3684" s="20">
        <v>1</v>
      </c>
      <c r="N3684" s="19" t="s">
        <v>1795</v>
      </c>
      <c r="O3684" s="20">
        <v>0</v>
      </c>
      <c r="P3684" s="20">
        <v>0</v>
      </c>
      <c r="Q3684" s="20">
        <v>0</v>
      </c>
      <c r="R3684" s="21">
        <v>1</v>
      </c>
      <c r="S3684" s="20">
        <v>0</v>
      </c>
    </row>
    <row r="3685" spans="2:19" ht="15" customHeight="1" x14ac:dyDescent="0.25">
      <c r="B3685" s="2" t="str">
        <f t="shared" si="114"/>
        <v>NSG_Income Eligible_Single Family_IHWAP_Thermostat - Reprogram_Boiler (DI)_SF</v>
      </c>
      <c r="C3685" s="2" t="str">
        <f t="shared" si="115"/>
        <v>NSG_Income Eligible_Single Family_IHWAP_Thermostat - Reprogram_Boiler (DI)_SF_2022</v>
      </c>
      <c r="D3685" s="19" t="s">
        <v>1787</v>
      </c>
      <c r="E3685" s="19" t="s">
        <v>325</v>
      </c>
      <c r="F3685" s="19" t="s">
        <v>375</v>
      </c>
      <c r="G3685" s="19" t="s">
        <v>1439</v>
      </c>
      <c r="H3685" s="19" t="s">
        <v>1055</v>
      </c>
      <c r="I3685" s="19" t="s">
        <v>1045</v>
      </c>
      <c r="J3685" s="19" t="s">
        <v>24</v>
      </c>
      <c r="K3685" s="19" t="s">
        <v>409</v>
      </c>
      <c r="L3685" s="19">
        <v>2022</v>
      </c>
      <c r="M3685" s="20">
        <v>1</v>
      </c>
      <c r="N3685" s="19" t="s">
        <v>1795</v>
      </c>
      <c r="O3685" s="20">
        <v>0</v>
      </c>
      <c r="P3685" s="20">
        <v>0</v>
      </c>
      <c r="Q3685" s="20">
        <v>0</v>
      </c>
      <c r="R3685" s="21">
        <v>1</v>
      </c>
      <c r="S3685" s="20">
        <v>0</v>
      </c>
    </row>
    <row r="3686" spans="2:19" ht="15" customHeight="1" x14ac:dyDescent="0.25">
      <c r="B3686" s="2" t="str">
        <f t="shared" si="114"/>
        <v>NSG_Income Eligible_Single Family_IHWAP_Thermostat - Reprogram_Boiler (DI)_SF</v>
      </c>
      <c r="C3686" s="2" t="str">
        <f t="shared" si="115"/>
        <v>NSG_Income Eligible_Single Family_IHWAP_Thermostat - Reprogram_Boiler (DI)_SF_2023</v>
      </c>
      <c r="D3686" s="19" t="s">
        <v>1787</v>
      </c>
      <c r="E3686" s="19" t="s">
        <v>325</v>
      </c>
      <c r="F3686" s="19" t="s">
        <v>375</v>
      </c>
      <c r="G3686" s="19" t="s">
        <v>1439</v>
      </c>
      <c r="H3686" s="19" t="s">
        <v>1055</v>
      </c>
      <c r="I3686" s="19" t="s">
        <v>1045</v>
      </c>
      <c r="J3686" s="19" t="s">
        <v>24</v>
      </c>
      <c r="K3686" s="19" t="s">
        <v>409</v>
      </c>
      <c r="L3686" s="19">
        <v>2023</v>
      </c>
      <c r="M3686" s="20">
        <v>1</v>
      </c>
      <c r="N3686" s="19" t="s">
        <v>1795</v>
      </c>
      <c r="O3686" s="20">
        <v>0</v>
      </c>
      <c r="P3686" s="20">
        <v>0</v>
      </c>
      <c r="Q3686" s="20">
        <v>0</v>
      </c>
      <c r="R3686" s="21">
        <v>1</v>
      </c>
      <c r="S3686" s="20">
        <v>0</v>
      </c>
    </row>
    <row r="3687" spans="2:19" ht="15" customHeight="1" x14ac:dyDescent="0.25">
      <c r="B3687" s="2" t="str">
        <f t="shared" si="114"/>
        <v>NSG_Income Eligible_Single Family_IHWAP_Thermostat - Reprogram_Boiler (DI)_SF</v>
      </c>
      <c r="C3687" s="2" t="str">
        <f t="shared" si="115"/>
        <v>NSG_Income Eligible_Single Family_IHWAP_Thermostat - Reprogram_Boiler (DI)_SF_2024</v>
      </c>
      <c r="D3687" s="19" t="s">
        <v>1787</v>
      </c>
      <c r="E3687" s="19" t="s">
        <v>325</v>
      </c>
      <c r="F3687" s="19" t="s">
        <v>375</v>
      </c>
      <c r="G3687" s="19" t="s">
        <v>1439</v>
      </c>
      <c r="H3687" s="19" t="s">
        <v>1055</v>
      </c>
      <c r="I3687" s="19" t="s">
        <v>1045</v>
      </c>
      <c r="J3687" s="19" t="s">
        <v>24</v>
      </c>
      <c r="K3687" s="19" t="s">
        <v>409</v>
      </c>
      <c r="L3687" s="19">
        <v>2024</v>
      </c>
      <c r="M3687" s="20">
        <v>1</v>
      </c>
      <c r="N3687" s="19" t="s">
        <v>1795</v>
      </c>
      <c r="O3687" s="20">
        <v>0</v>
      </c>
      <c r="P3687" s="20">
        <v>0</v>
      </c>
      <c r="Q3687" s="20">
        <v>0</v>
      </c>
      <c r="R3687" s="21">
        <v>1</v>
      </c>
      <c r="S3687" s="20">
        <v>0</v>
      </c>
    </row>
    <row r="3688" spans="2:19" ht="15" customHeight="1" x14ac:dyDescent="0.25">
      <c r="B3688" s="2" t="str">
        <f t="shared" si="114"/>
        <v>NSG_Income Eligible_Single Family_IHWAP_Thermostat - Reprogram_Boiler (DI)_SF</v>
      </c>
      <c r="C3688" s="2" t="str">
        <f t="shared" si="115"/>
        <v>NSG_Income Eligible_Single Family_IHWAP_Thermostat - Reprogram_Boiler (DI)_SF_2025</v>
      </c>
      <c r="D3688" s="19" t="s">
        <v>1787</v>
      </c>
      <c r="E3688" s="19" t="s">
        <v>325</v>
      </c>
      <c r="F3688" s="19" t="s">
        <v>375</v>
      </c>
      <c r="G3688" s="19" t="s">
        <v>1439</v>
      </c>
      <c r="H3688" s="19" t="s">
        <v>1055</v>
      </c>
      <c r="I3688" s="19" t="s">
        <v>1045</v>
      </c>
      <c r="J3688" s="19" t="s">
        <v>24</v>
      </c>
      <c r="K3688" s="19" t="s">
        <v>409</v>
      </c>
      <c r="L3688" s="19">
        <v>2025</v>
      </c>
      <c r="M3688" s="20">
        <v>1</v>
      </c>
      <c r="N3688" s="19" t="s">
        <v>1795</v>
      </c>
      <c r="O3688" s="20">
        <v>0</v>
      </c>
      <c r="P3688" s="20">
        <v>0</v>
      </c>
      <c r="Q3688" s="20">
        <v>0</v>
      </c>
      <c r="R3688" s="21">
        <v>1</v>
      </c>
      <c r="S3688" s="20">
        <v>0</v>
      </c>
    </row>
    <row r="3689" spans="2:19" ht="15" customHeight="1" x14ac:dyDescent="0.25">
      <c r="B3689" s="2" t="str">
        <f t="shared" si="114"/>
        <v>NSG_Income Eligible_Single Family_IHWAP_Air Sealing_0_SF</v>
      </c>
      <c r="C3689" s="2" t="str">
        <f t="shared" si="115"/>
        <v>NSG_Income Eligible_Single Family_IHWAP_Air Sealing_0_SF_2022</v>
      </c>
      <c r="D3689" s="19" t="s">
        <v>1787</v>
      </c>
      <c r="E3689" s="19" t="s">
        <v>325</v>
      </c>
      <c r="F3689" s="19" t="s">
        <v>375</v>
      </c>
      <c r="G3689" s="19" t="s">
        <v>1439</v>
      </c>
      <c r="H3689" s="19" t="s">
        <v>221</v>
      </c>
      <c r="I3689" s="19">
        <v>0</v>
      </c>
      <c r="J3689" s="19" t="s">
        <v>881</v>
      </c>
      <c r="K3689" s="19" t="s">
        <v>409</v>
      </c>
      <c r="L3689" s="19">
        <v>2022</v>
      </c>
      <c r="M3689" s="20">
        <v>743.2399999999999</v>
      </c>
      <c r="N3689" s="19" t="s">
        <v>1800</v>
      </c>
      <c r="O3689" s="20">
        <v>32</v>
      </c>
      <c r="P3689" s="20">
        <v>23783.679999999997</v>
      </c>
      <c r="Q3689" s="20">
        <v>2074.7935593554498</v>
      </c>
      <c r="R3689" s="21">
        <v>1</v>
      </c>
      <c r="S3689" s="20">
        <v>2074.7935593554498</v>
      </c>
    </row>
    <row r="3690" spans="2:19" ht="15" customHeight="1" x14ac:dyDescent="0.25">
      <c r="B3690" s="2" t="str">
        <f t="shared" si="114"/>
        <v>NSG_Income Eligible_Single Family_IHWAP_Air Sealing_0_SF</v>
      </c>
      <c r="C3690" s="2" t="str">
        <f t="shared" si="115"/>
        <v>NSG_Income Eligible_Single Family_IHWAP_Air Sealing_0_SF_2023</v>
      </c>
      <c r="D3690" s="19" t="s">
        <v>1787</v>
      </c>
      <c r="E3690" s="19" t="s">
        <v>325</v>
      </c>
      <c r="F3690" s="19" t="s">
        <v>375</v>
      </c>
      <c r="G3690" s="19" t="s">
        <v>1439</v>
      </c>
      <c r="H3690" s="19" t="s">
        <v>221</v>
      </c>
      <c r="I3690" s="19">
        <v>0</v>
      </c>
      <c r="J3690" s="19" t="s">
        <v>881</v>
      </c>
      <c r="K3690" s="19" t="s">
        <v>409</v>
      </c>
      <c r="L3690" s="19">
        <v>2023</v>
      </c>
      <c r="M3690" s="20">
        <v>743.2399999999999</v>
      </c>
      <c r="N3690" s="19" t="s">
        <v>1800</v>
      </c>
      <c r="O3690" s="20">
        <v>35</v>
      </c>
      <c r="P3690" s="20">
        <v>26013.399999999998</v>
      </c>
      <c r="Q3690" s="20">
        <v>2269.3054555450231</v>
      </c>
      <c r="R3690" s="21">
        <v>1</v>
      </c>
      <c r="S3690" s="20">
        <v>2269.3054555450231</v>
      </c>
    </row>
    <row r="3691" spans="2:19" ht="15" customHeight="1" x14ac:dyDescent="0.25">
      <c r="B3691" s="2" t="str">
        <f t="shared" si="114"/>
        <v>NSG_Income Eligible_Single Family_IHWAP_Air Sealing_0_SF</v>
      </c>
      <c r="C3691" s="2" t="str">
        <f t="shared" si="115"/>
        <v>NSG_Income Eligible_Single Family_IHWAP_Air Sealing_0_SF_2024</v>
      </c>
      <c r="D3691" s="19" t="s">
        <v>1787</v>
      </c>
      <c r="E3691" s="19" t="s">
        <v>325</v>
      </c>
      <c r="F3691" s="19" t="s">
        <v>375</v>
      </c>
      <c r="G3691" s="19" t="s">
        <v>1439</v>
      </c>
      <c r="H3691" s="19" t="s">
        <v>221</v>
      </c>
      <c r="I3691" s="19">
        <v>0</v>
      </c>
      <c r="J3691" s="19" t="s">
        <v>881</v>
      </c>
      <c r="K3691" s="19" t="s">
        <v>409</v>
      </c>
      <c r="L3691" s="19">
        <v>2024</v>
      </c>
      <c r="M3691" s="20">
        <v>743.2399999999999</v>
      </c>
      <c r="N3691" s="19" t="s">
        <v>1800</v>
      </c>
      <c r="O3691" s="20">
        <v>45</v>
      </c>
      <c r="P3691" s="20">
        <v>33445.799999999996</v>
      </c>
      <c r="Q3691" s="20">
        <v>2917.6784428436013</v>
      </c>
      <c r="R3691" s="21">
        <v>1</v>
      </c>
      <c r="S3691" s="20">
        <v>2917.6784428436013</v>
      </c>
    </row>
    <row r="3692" spans="2:19" ht="15" customHeight="1" x14ac:dyDescent="0.25">
      <c r="B3692" s="2" t="str">
        <f t="shared" si="114"/>
        <v>NSG_Income Eligible_Single Family_IHWAP_Air Sealing_0_SF</v>
      </c>
      <c r="C3692" s="2" t="str">
        <f t="shared" si="115"/>
        <v>NSG_Income Eligible_Single Family_IHWAP_Air Sealing_0_SF_2025</v>
      </c>
      <c r="D3692" s="19" t="s">
        <v>1787</v>
      </c>
      <c r="E3692" s="19" t="s">
        <v>325</v>
      </c>
      <c r="F3692" s="19" t="s">
        <v>375</v>
      </c>
      <c r="G3692" s="19" t="s">
        <v>1439</v>
      </c>
      <c r="H3692" s="19" t="s">
        <v>221</v>
      </c>
      <c r="I3692" s="19">
        <v>0</v>
      </c>
      <c r="J3692" s="19" t="s">
        <v>881</v>
      </c>
      <c r="K3692" s="19" t="s">
        <v>409</v>
      </c>
      <c r="L3692" s="19">
        <v>2025</v>
      </c>
      <c r="M3692" s="20">
        <v>743.2399999999999</v>
      </c>
      <c r="N3692" s="19" t="s">
        <v>1800</v>
      </c>
      <c r="O3692" s="20">
        <v>48</v>
      </c>
      <c r="P3692" s="20">
        <v>35675.519999999997</v>
      </c>
      <c r="Q3692" s="20">
        <v>3112.1903390331745</v>
      </c>
      <c r="R3692" s="21">
        <v>1</v>
      </c>
      <c r="S3692" s="20">
        <v>3112.1903390331745</v>
      </c>
    </row>
    <row r="3693" spans="2:19" ht="15" customHeight="1" x14ac:dyDescent="0.25">
      <c r="B3693" s="2" t="str">
        <f t="shared" si="114"/>
        <v>NSG_Income Eligible_Single Family_IHWAP_Attic Insulation_0_SF</v>
      </c>
      <c r="C3693" s="2" t="str">
        <f t="shared" si="115"/>
        <v>NSG_Income Eligible_Single Family_IHWAP_Attic Insulation_0_SF_2022</v>
      </c>
      <c r="D3693" s="19" t="s">
        <v>1787</v>
      </c>
      <c r="E3693" s="19" t="s">
        <v>325</v>
      </c>
      <c r="F3693" s="19" t="s">
        <v>375</v>
      </c>
      <c r="G3693" s="19" t="s">
        <v>1439</v>
      </c>
      <c r="H3693" s="19" t="s">
        <v>631</v>
      </c>
      <c r="I3693" s="19">
        <v>0</v>
      </c>
      <c r="J3693" s="19" t="s">
        <v>632</v>
      </c>
      <c r="K3693" s="19" t="s">
        <v>409</v>
      </c>
      <c r="L3693" s="19">
        <v>2022</v>
      </c>
      <c r="M3693" s="20">
        <v>800</v>
      </c>
      <c r="N3693" s="19" t="s">
        <v>751</v>
      </c>
      <c r="O3693" s="20">
        <v>30</v>
      </c>
      <c r="P3693" s="20">
        <v>24000</v>
      </c>
      <c r="Q3693" s="20">
        <v>1930.9723547309832</v>
      </c>
      <c r="R3693" s="21">
        <v>1</v>
      </c>
      <c r="S3693" s="20">
        <v>1930.9723547309832</v>
      </c>
    </row>
    <row r="3694" spans="2:19" ht="15" customHeight="1" x14ac:dyDescent="0.25">
      <c r="B3694" s="2" t="str">
        <f t="shared" si="114"/>
        <v>NSG_Income Eligible_Single Family_IHWAP_Attic Insulation_0_SF</v>
      </c>
      <c r="C3694" s="2" t="str">
        <f t="shared" si="115"/>
        <v>NSG_Income Eligible_Single Family_IHWAP_Attic Insulation_0_SF_2023</v>
      </c>
      <c r="D3694" s="19" t="s">
        <v>1787</v>
      </c>
      <c r="E3694" s="19" t="s">
        <v>325</v>
      </c>
      <c r="F3694" s="19" t="s">
        <v>375</v>
      </c>
      <c r="G3694" s="19" t="s">
        <v>1439</v>
      </c>
      <c r="H3694" s="19" t="s">
        <v>631</v>
      </c>
      <c r="I3694" s="19">
        <v>0</v>
      </c>
      <c r="J3694" s="19" t="s">
        <v>632</v>
      </c>
      <c r="K3694" s="19" t="s">
        <v>409</v>
      </c>
      <c r="L3694" s="19">
        <v>2023</v>
      </c>
      <c r="M3694" s="20">
        <v>800</v>
      </c>
      <c r="N3694" s="19" t="s">
        <v>751</v>
      </c>
      <c r="O3694" s="20">
        <v>33</v>
      </c>
      <c r="P3694" s="20">
        <v>26400</v>
      </c>
      <c r="Q3694" s="20">
        <v>2124.0695902040816</v>
      </c>
      <c r="R3694" s="21">
        <v>1</v>
      </c>
      <c r="S3694" s="20">
        <v>2124.0695902040816</v>
      </c>
    </row>
    <row r="3695" spans="2:19" ht="15" customHeight="1" x14ac:dyDescent="0.25">
      <c r="B3695" s="2" t="str">
        <f t="shared" si="114"/>
        <v>NSG_Income Eligible_Single Family_IHWAP_Attic Insulation_0_SF</v>
      </c>
      <c r="C3695" s="2" t="str">
        <f t="shared" si="115"/>
        <v>NSG_Income Eligible_Single Family_IHWAP_Attic Insulation_0_SF_2024</v>
      </c>
      <c r="D3695" s="19" t="s">
        <v>1787</v>
      </c>
      <c r="E3695" s="19" t="s">
        <v>325</v>
      </c>
      <c r="F3695" s="19" t="s">
        <v>375</v>
      </c>
      <c r="G3695" s="19" t="s">
        <v>1439</v>
      </c>
      <c r="H3695" s="19" t="s">
        <v>631</v>
      </c>
      <c r="I3695" s="19">
        <v>0</v>
      </c>
      <c r="J3695" s="19" t="s">
        <v>632</v>
      </c>
      <c r="K3695" s="19" t="s">
        <v>409</v>
      </c>
      <c r="L3695" s="19">
        <v>2024</v>
      </c>
      <c r="M3695" s="20">
        <v>800</v>
      </c>
      <c r="N3695" s="19" t="s">
        <v>751</v>
      </c>
      <c r="O3695" s="20">
        <v>42</v>
      </c>
      <c r="P3695" s="20">
        <v>33600</v>
      </c>
      <c r="Q3695" s="20">
        <v>2703.3612966233763</v>
      </c>
      <c r="R3695" s="21">
        <v>1</v>
      </c>
      <c r="S3695" s="20">
        <v>2703.3612966233763</v>
      </c>
    </row>
    <row r="3696" spans="2:19" ht="15" customHeight="1" x14ac:dyDescent="0.25">
      <c r="B3696" s="2" t="str">
        <f t="shared" si="114"/>
        <v>NSG_Income Eligible_Single Family_IHWAP_Attic Insulation_0_SF</v>
      </c>
      <c r="C3696" s="2" t="str">
        <f t="shared" si="115"/>
        <v>NSG_Income Eligible_Single Family_IHWAP_Attic Insulation_0_SF_2025</v>
      </c>
      <c r="D3696" s="19" t="s">
        <v>1787</v>
      </c>
      <c r="E3696" s="19" t="s">
        <v>325</v>
      </c>
      <c r="F3696" s="19" t="s">
        <v>375</v>
      </c>
      <c r="G3696" s="19" t="s">
        <v>1439</v>
      </c>
      <c r="H3696" s="19" t="s">
        <v>631</v>
      </c>
      <c r="I3696" s="19">
        <v>0</v>
      </c>
      <c r="J3696" s="19" t="s">
        <v>632</v>
      </c>
      <c r="K3696" s="19" t="s">
        <v>409</v>
      </c>
      <c r="L3696" s="19">
        <v>2025</v>
      </c>
      <c r="M3696" s="20">
        <v>800</v>
      </c>
      <c r="N3696" s="19" t="s">
        <v>751</v>
      </c>
      <c r="O3696" s="20">
        <v>45</v>
      </c>
      <c r="P3696" s="20">
        <v>36000</v>
      </c>
      <c r="Q3696" s="20">
        <v>2896.4585320964748</v>
      </c>
      <c r="R3696" s="21">
        <v>1</v>
      </c>
      <c r="S3696" s="20">
        <v>2896.4585320964748</v>
      </c>
    </row>
    <row r="3697" spans="2:19" ht="15" customHeight="1" x14ac:dyDescent="0.25">
      <c r="B3697" s="2" t="str">
        <f t="shared" si="114"/>
        <v>NSG_Income Eligible_Single Family_IHWAP_Air sealing w/ attic insulation_0_SF</v>
      </c>
      <c r="C3697" s="2" t="str">
        <f t="shared" si="115"/>
        <v>NSG_Income Eligible_Single Family_IHWAP_Air sealing w/ attic insulation_0_SF_2022</v>
      </c>
      <c r="D3697" s="19" t="s">
        <v>1787</v>
      </c>
      <c r="E3697" s="19" t="s">
        <v>325</v>
      </c>
      <c r="F3697" s="19" t="s">
        <v>375</v>
      </c>
      <c r="G3697" s="19" t="s">
        <v>1439</v>
      </c>
      <c r="H3697" s="19" t="s">
        <v>1436</v>
      </c>
      <c r="I3697" s="19">
        <v>0</v>
      </c>
      <c r="J3697" s="19" t="s">
        <v>881</v>
      </c>
      <c r="K3697" s="19" t="s">
        <v>409</v>
      </c>
      <c r="L3697" s="19">
        <v>2022</v>
      </c>
      <c r="M3697" s="20">
        <v>743.2399999999999</v>
      </c>
      <c r="N3697" s="19" t="s">
        <v>1800</v>
      </c>
      <c r="O3697" s="20">
        <v>0</v>
      </c>
      <c r="P3697" s="20">
        <v>0</v>
      </c>
      <c r="Q3697" s="20">
        <v>0</v>
      </c>
      <c r="R3697" s="21">
        <v>1</v>
      </c>
      <c r="S3697" s="20">
        <v>0</v>
      </c>
    </row>
    <row r="3698" spans="2:19" ht="15" customHeight="1" x14ac:dyDescent="0.25">
      <c r="B3698" s="2" t="str">
        <f t="shared" si="114"/>
        <v>NSG_Income Eligible_Single Family_IHWAP_Air sealing w/ attic insulation_0_SF</v>
      </c>
      <c r="C3698" s="2" t="str">
        <f t="shared" si="115"/>
        <v>NSG_Income Eligible_Single Family_IHWAP_Air sealing w/ attic insulation_0_SF_2023</v>
      </c>
      <c r="D3698" s="19" t="s">
        <v>1787</v>
      </c>
      <c r="E3698" s="19" t="s">
        <v>325</v>
      </c>
      <c r="F3698" s="19" t="s">
        <v>375</v>
      </c>
      <c r="G3698" s="19" t="s">
        <v>1439</v>
      </c>
      <c r="H3698" s="19" t="s">
        <v>1436</v>
      </c>
      <c r="I3698" s="19">
        <v>0</v>
      </c>
      <c r="J3698" s="19" t="s">
        <v>881</v>
      </c>
      <c r="K3698" s="19" t="s">
        <v>409</v>
      </c>
      <c r="L3698" s="19">
        <v>2023</v>
      </c>
      <c r="M3698" s="20">
        <v>743.2399999999999</v>
      </c>
      <c r="N3698" s="19" t="s">
        <v>1800</v>
      </c>
      <c r="O3698" s="20">
        <v>0</v>
      </c>
      <c r="P3698" s="20">
        <v>0</v>
      </c>
      <c r="Q3698" s="20">
        <v>0</v>
      </c>
      <c r="R3698" s="21">
        <v>1</v>
      </c>
      <c r="S3698" s="20">
        <v>0</v>
      </c>
    </row>
    <row r="3699" spans="2:19" ht="15" customHeight="1" x14ac:dyDescent="0.25">
      <c r="B3699" s="2" t="str">
        <f t="shared" si="114"/>
        <v>NSG_Income Eligible_Single Family_IHWAP_Air sealing w/ attic insulation_0_SF</v>
      </c>
      <c r="C3699" s="2" t="str">
        <f t="shared" si="115"/>
        <v>NSG_Income Eligible_Single Family_IHWAP_Air sealing w/ attic insulation_0_SF_2024</v>
      </c>
      <c r="D3699" s="19" t="s">
        <v>1787</v>
      </c>
      <c r="E3699" s="19" t="s">
        <v>325</v>
      </c>
      <c r="F3699" s="19" t="s">
        <v>375</v>
      </c>
      <c r="G3699" s="19" t="s">
        <v>1439</v>
      </c>
      <c r="H3699" s="19" t="s">
        <v>1436</v>
      </c>
      <c r="I3699" s="19">
        <v>0</v>
      </c>
      <c r="J3699" s="19" t="s">
        <v>881</v>
      </c>
      <c r="K3699" s="19" t="s">
        <v>409</v>
      </c>
      <c r="L3699" s="19">
        <v>2024</v>
      </c>
      <c r="M3699" s="20">
        <v>743.2399999999999</v>
      </c>
      <c r="N3699" s="19" t="s">
        <v>1800</v>
      </c>
      <c r="O3699" s="20">
        <v>0</v>
      </c>
      <c r="P3699" s="20">
        <v>0</v>
      </c>
      <c r="Q3699" s="20">
        <v>0</v>
      </c>
      <c r="R3699" s="21">
        <v>1</v>
      </c>
      <c r="S3699" s="20">
        <v>0</v>
      </c>
    </row>
    <row r="3700" spans="2:19" ht="15" customHeight="1" x14ac:dyDescent="0.25">
      <c r="B3700" s="2" t="str">
        <f t="shared" si="114"/>
        <v>NSG_Income Eligible_Single Family_IHWAP_Air sealing w/ attic insulation_0_SF</v>
      </c>
      <c r="C3700" s="2" t="str">
        <f t="shared" si="115"/>
        <v>NSG_Income Eligible_Single Family_IHWAP_Air sealing w/ attic insulation_0_SF_2025</v>
      </c>
      <c r="D3700" s="19" t="s">
        <v>1787</v>
      </c>
      <c r="E3700" s="19" t="s">
        <v>325</v>
      </c>
      <c r="F3700" s="19" t="s">
        <v>375</v>
      </c>
      <c r="G3700" s="19" t="s">
        <v>1439</v>
      </c>
      <c r="H3700" s="19" t="s">
        <v>1436</v>
      </c>
      <c r="I3700" s="19">
        <v>0</v>
      </c>
      <c r="J3700" s="19" t="s">
        <v>881</v>
      </c>
      <c r="K3700" s="19" t="s">
        <v>409</v>
      </c>
      <c r="L3700" s="19">
        <v>2025</v>
      </c>
      <c r="M3700" s="20">
        <v>743.2399999999999</v>
      </c>
      <c r="N3700" s="19" t="s">
        <v>1800</v>
      </c>
      <c r="O3700" s="20">
        <v>0</v>
      </c>
      <c r="P3700" s="20">
        <v>0</v>
      </c>
      <c r="Q3700" s="20">
        <v>0</v>
      </c>
      <c r="R3700" s="21">
        <v>1</v>
      </c>
      <c r="S3700" s="20">
        <v>0</v>
      </c>
    </row>
    <row r="3701" spans="2:19" ht="15" customHeight="1" x14ac:dyDescent="0.25">
      <c r="B3701" s="2" t="str">
        <f t="shared" si="114"/>
        <v>NSG_Income Eligible_Single Family_IHWAP_Duct Sealing_0_SF</v>
      </c>
      <c r="C3701" s="2" t="str">
        <f t="shared" si="115"/>
        <v>NSG_Income Eligible_Single Family_IHWAP_Duct Sealing_0_SF_2022</v>
      </c>
      <c r="D3701" s="19" t="s">
        <v>1787</v>
      </c>
      <c r="E3701" s="19" t="s">
        <v>325</v>
      </c>
      <c r="F3701" s="19" t="s">
        <v>375</v>
      </c>
      <c r="G3701" s="19" t="s">
        <v>1439</v>
      </c>
      <c r="H3701" s="19" t="s">
        <v>680</v>
      </c>
      <c r="I3701" s="19">
        <v>0</v>
      </c>
      <c r="J3701" s="19" t="s">
        <v>684</v>
      </c>
      <c r="K3701" s="19" t="s">
        <v>409</v>
      </c>
      <c r="L3701" s="19">
        <v>2022</v>
      </c>
      <c r="M3701" s="20">
        <v>120</v>
      </c>
      <c r="N3701" s="19" t="s">
        <v>1801</v>
      </c>
      <c r="O3701" s="20">
        <v>15</v>
      </c>
      <c r="P3701" s="20">
        <v>1800</v>
      </c>
      <c r="Q3701" s="20">
        <v>1267.1449067431852</v>
      </c>
      <c r="R3701" s="21">
        <v>1</v>
      </c>
      <c r="S3701" s="20">
        <v>1267.1449067431852</v>
      </c>
    </row>
    <row r="3702" spans="2:19" ht="15" customHeight="1" x14ac:dyDescent="0.25">
      <c r="B3702" s="2" t="str">
        <f t="shared" si="114"/>
        <v>NSG_Income Eligible_Single Family_IHWAP_Duct Sealing_0_SF</v>
      </c>
      <c r="C3702" s="2" t="str">
        <f t="shared" si="115"/>
        <v>NSG_Income Eligible_Single Family_IHWAP_Duct Sealing_0_SF_2023</v>
      </c>
      <c r="D3702" s="19" t="s">
        <v>1787</v>
      </c>
      <c r="E3702" s="19" t="s">
        <v>325</v>
      </c>
      <c r="F3702" s="19" t="s">
        <v>375</v>
      </c>
      <c r="G3702" s="19" t="s">
        <v>1439</v>
      </c>
      <c r="H3702" s="19" t="s">
        <v>680</v>
      </c>
      <c r="I3702" s="19">
        <v>0</v>
      </c>
      <c r="J3702" s="19" t="s">
        <v>684</v>
      </c>
      <c r="K3702" s="19" t="s">
        <v>409</v>
      </c>
      <c r="L3702" s="19">
        <v>2023</v>
      </c>
      <c r="M3702" s="20">
        <v>120</v>
      </c>
      <c r="N3702" s="19" t="s">
        <v>1801</v>
      </c>
      <c r="O3702" s="20">
        <v>17</v>
      </c>
      <c r="P3702" s="20">
        <v>2040</v>
      </c>
      <c r="Q3702" s="20">
        <v>1436.0975609756099</v>
      </c>
      <c r="R3702" s="21">
        <v>1</v>
      </c>
      <c r="S3702" s="20">
        <v>1436.0975609756099</v>
      </c>
    </row>
    <row r="3703" spans="2:19" ht="15" customHeight="1" x14ac:dyDescent="0.25">
      <c r="B3703" s="2" t="str">
        <f t="shared" si="114"/>
        <v>NSG_Income Eligible_Single Family_IHWAP_Duct Sealing_0_SF</v>
      </c>
      <c r="C3703" s="2" t="str">
        <f t="shared" si="115"/>
        <v>NSG_Income Eligible_Single Family_IHWAP_Duct Sealing_0_SF_2024</v>
      </c>
      <c r="D3703" s="19" t="s">
        <v>1787</v>
      </c>
      <c r="E3703" s="19" t="s">
        <v>325</v>
      </c>
      <c r="F3703" s="19" t="s">
        <v>375</v>
      </c>
      <c r="G3703" s="19" t="s">
        <v>1439</v>
      </c>
      <c r="H3703" s="19" t="s">
        <v>680</v>
      </c>
      <c r="I3703" s="19">
        <v>0</v>
      </c>
      <c r="J3703" s="19" t="s">
        <v>684</v>
      </c>
      <c r="K3703" s="19" t="s">
        <v>409</v>
      </c>
      <c r="L3703" s="19">
        <v>2024</v>
      </c>
      <c r="M3703" s="20">
        <v>120</v>
      </c>
      <c r="N3703" s="19" t="s">
        <v>1801</v>
      </c>
      <c r="O3703" s="20">
        <v>21</v>
      </c>
      <c r="P3703" s="20">
        <v>2520</v>
      </c>
      <c r="Q3703" s="20">
        <v>1774.0028694404593</v>
      </c>
      <c r="R3703" s="21">
        <v>1</v>
      </c>
      <c r="S3703" s="20">
        <v>1774.0028694404593</v>
      </c>
    </row>
    <row r="3704" spans="2:19" ht="15" customHeight="1" x14ac:dyDescent="0.25">
      <c r="B3704" s="2" t="str">
        <f t="shared" si="114"/>
        <v>NSG_Income Eligible_Single Family_IHWAP_Duct Sealing_0_SF</v>
      </c>
      <c r="C3704" s="2" t="str">
        <f t="shared" si="115"/>
        <v>NSG_Income Eligible_Single Family_IHWAP_Duct Sealing_0_SF_2025</v>
      </c>
      <c r="D3704" s="19" t="s">
        <v>1787</v>
      </c>
      <c r="E3704" s="19" t="s">
        <v>325</v>
      </c>
      <c r="F3704" s="19" t="s">
        <v>375</v>
      </c>
      <c r="G3704" s="19" t="s">
        <v>1439</v>
      </c>
      <c r="H3704" s="19" t="s">
        <v>680</v>
      </c>
      <c r="I3704" s="19">
        <v>0</v>
      </c>
      <c r="J3704" s="19" t="s">
        <v>684</v>
      </c>
      <c r="K3704" s="19" t="s">
        <v>409</v>
      </c>
      <c r="L3704" s="19">
        <v>2025</v>
      </c>
      <c r="M3704" s="20">
        <v>120</v>
      </c>
      <c r="N3704" s="19" t="s">
        <v>1801</v>
      </c>
      <c r="O3704" s="20">
        <v>23</v>
      </c>
      <c r="P3704" s="20">
        <v>2760</v>
      </c>
      <c r="Q3704" s="20">
        <v>1942.9555236728841</v>
      </c>
      <c r="R3704" s="21">
        <v>1</v>
      </c>
      <c r="S3704" s="20">
        <v>1942.9555236728841</v>
      </c>
    </row>
    <row r="3705" spans="2:19" ht="15" customHeight="1" x14ac:dyDescent="0.25">
      <c r="B3705" s="2" t="str">
        <f t="shared" si="114"/>
        <v>NSG_Income Eligible_Single Family_IHWAP_Wall Insulation_0_SF</v>
      </c>
      <c r="C3705" s="2" t="str">
        <f t="shared" si="115"/>
        <v>NSG_Income Eligible_Single Family_IHWAP_Wall Insulation_0_SF_2022</v>
      </c>
      <c r="D3705" s="19" t="s">
        <v>1787</v>
      </c>
      <c r="E3705" s="19" t="s">
        <v>325</v>
      </c>
      <c r="F3705" s="19" t="s">
        <v>375</v>
      </c>
      <c r="G3705" s="19" t="s">
        <v>1439</v>
      </c>
      <c r="H3705" s="19" t="s">
        <v>222</v>
      </c>
      <c r="I3705" s="19">
        <v>0</v>
      </c>
      <c r="J3705" s="19" t="s">
        <v>783</v>
      </c>
      <c r="K3705" s="19" t="s">
        <v>409</v>
      </c>
      <c r="L3705" s="19">
        <v>2022</v>
      </c>
      <c r="M3705" s="20">
        <v>500</v>
      </c>
      <c r="N3705" s="19" t="s">
        <v>751</v>
      </c>
      <c r="O3705" s="20">
        <v>10</v>
      </c>
      <c r="P3705" s="20">
        <v>5000</v>
      </c>
      <c r="Q3705" s="20">
        <v>541.37647058823529</v>
      </c>
      <c r="R3705" s="21">
        <v>1</v>
      </c>
      <c r="S3705" s="20">
        <v>541.37647058823529</v>
      </c>
    </row>
    <row r="3706" spans="2:19" ht="15" customHeight="1" x14ac:dyDescent="0.25">
      <c r="B3706" s="2" t="str">
        <f t="shared" si="114"/>
        <v>NSG_Income Eligible_Single Family_IHWAP_Wall Insulation_0_SF</v>
      </c>
      <c r="C3706" s="2" t="str">
        <f t="shared" si="115"/>
        <v>NSG_Income Eligible_Single Family_IHWAP_Wall Insulation_0_SF_2023</v>
      </c>
      <c r="D3706" s="19" t="s">
        <v>1787</v>
      </c>
      <c r="E3706" s="19" t="s">
        <v>325</v>
      </c>
      <c r="F3706" s="19" t="s">
        <v>375</v>
      </c>
      <c r="G3706" s="19" t="s">
        <v>1439</v>
      </c>
      <c r="H3706" s="19" t="s">
        <v>222</v>
      </c>
      <c r="I3706" s="19">
        <v>0</v>
      </c>
      <c r="J3706" s="19" t="s">
        <v>783</v>
      </c>
      <c r="K3706" s="19" t="s">
        <v>409</v>
      </c>
      <c r="L3706" s="19">
        <v>2023</v>
      </c>
      <c r="M3706" s="20">
        <v>500</v>
      </c>
      <c r="N3706" s="19" t="s">
        <v>751</v>
      </c>
      <c r="O3706" s="20">
        <v>11</v>
      </c>
      <c r="P3706" s="20">
        <v>5500</v>
      </c>
      <c r="Q3706" s="20">
        <v>595.51411764705881</v>
      </c>
      <c r="R3706" s="21">
        <v>1</v>
      </c>
      <c r="S3706" s="20">
        <v>595.51411764705881</v>
      </c>
    </row>
    <row r="3707" spans="2:19" ht="15" customHeight="1" x14ac:dyDescent="0.25">
      <c r="B3707" s="2" t="str">
        <f t="shared" si="114"/>
        <v>NSG_Income Eligible_Single Family_IHWAP_Wall Insulation_0_SF</v>
      </c>
      <c r="C3707" s="2" t="str">
        <f t="shared" si="115"/>
        <v>NSG_Income Eligible_Single Family_IHWAP_Wall Insulation_0_SF_2024</v>
      </c>
      <c r="D3707" s="19" t="s">
        <v>1787</v>
      </c>
      <c r="E3707" s="19" t="s">
        <v>325</v>
      </c>
      <c r="F3707" s="19" t="s">
        <v>375</v>
      </c>
      <c r="G3707" s="19" t="s">
        <v>1439</v>
      </c>
      <c r="H3707" s="19" t="s">
        <v>222</v>
      </c>
      <c r="I3707" s="19">
        <v>0</v>
      </c>
      <c r="J3707" s="19" t="s">
        <v>783</v>
      </c>
      <c r="K3707" s="19" t="s">
        <v>409</v>
      </c>
      <c r="L3707" s="19">
        <v>2024</v>
      </c>
      <c r="M3707" s="20">
        <v>500</v>
      </c>
      <c r="N3707" s="19" t="s">
        <v>751</v>
      </c>
      <c r="O3707" s="20">
        <v>14</v>
      </c>
      <c r="P3707" s="20">
        <v>7000</v>
      </c>
      <c r="Q3707" s="20">
        <v>757.92705882352936</v>
      </c>
      <c r="R3707" s="21">
        <v>1</v>
      </c>
      <c r="S3707" s="20">
        <v>757.92705882352936</v>
      </c>
    </row>
    <row r="3708" spans="2:19" ht="15" customHeight="1" x14ac:dyDescent="0.25">
      <c r="B3708" s="2" t="str">
        <f t="shared" si="114"/>
        <v>NSG_Income Eligible_Single Family_IHWAP_Wall Insulation_0_SF</v>
      </c>
      <c r="C3708" s="2" t="str">
        <f t="shared" si="115"/>
        <v>NSG_Income Eligible_Single Family_IHWAP_Wall Insulation_0_SF_2025</v>
      </c>
      <c r="D3708" s="19" t="s">
        <v>1787</v>
      </c>
      <c r="E3708" s="19" t="s">
        <v>325</v>
      </c>
      <c r="F3708" s="19" t="s">
        <v>375</v>
      </c>
      <c r="G3708" s="19" t="s">
        <v>1439</v>
      </c>
      <c r="H3708" s="19" t="s">
        <v>222</v>
      </c>
      <c r="I3708" s="19">
        <v>0</v>
      </c>
      <c r="J3708" s="19" t="s">
        <v>783</v>
      </c>
      <c r="K3708" s="19" t="s">
        <v>409</v>
      </c>
      <c r="L3708" s="19">
        <v>2025</v>
      </c>
      <c r="M3708" s="20">
        <v>500</v>
      </c>
      <c r="N3708" s="19" t="s">
        <v>751</v>
      </c>
      <c r="O3708" s="20">
        <v>15</v>
      </c>
      <c r="P3708" s="20">
        <v>7500</v>
      </c>
      <c r="Q3708" s="20">
        <v>812.06470588235288</v>
      </c>
      <c r="R3708" s="21">
        <v>1</v>
      </c>
      <c r="S3708" s="20">
        <v>812.06470588235288</v>
      </c>
    </row>
    <row r="3709" spans="2:19" ht="15" customHeight="1" x14ac:dyDescent="0.25">
      <c r="B3709" s="2" t="str">
        <f t="shared" si="114"/>
        <v>NSG_Income Eligible_Single Family_IHWAP_Foundation Insulation_0_SF</v>
      </c>
      <c r="C3709" s="2" t="str">
        <f t="shared" si="115"/>
        <v>NSG_Income Eligible_Single Family_IHWAP_Foundation Insulation_0_SF_2022</v>
      </c>
      <c r="D3709" s="19" t="s">
        <v>1787</v>
      </c>
      <c r="E3709" s="19" t="s">
        <v>325</v>
      </c>
      <c r="F3709" s="19" t="s">
        <v>375</v>
      </c>
      <c r="G3709" s="19" t="s">
        <v>1439</v>
      </c>
      <c r="H3709" s="19" t="s">
        <v>608</v>
      </c>
      <c r="I3709" s="19">
        <v>0</v>
      </c>
      <c r="J3709" s="19" t="s">
        <v>610</v>
      </c>
      <c r="K3709" s="19" t="s">
        <v>409</v>
      </c>
      <c r="L3709" s="19">
        <v>2022</v>
      </c>
      <c r="M3709" s="20">
        <v>140</v>
      </c>
      <c r="N3709" s="19" t="s">
        <v>751</v>
      </c>
      <c r="O3709" s="20">
        <v>0</v>
      </c>
      <c r="P3709" s="20">
        <v>0</v>
      </c>
      <c r="Q3709" s="20">
        <v>0</v>
      </c>
      <c r="R3709" s="21">
        <v>1</v>
      </c>
      <c r="S3709" s="20">
        <v>0</v>
      </c>
    </row>
    <row r="3710" spans="2:19" ht="15" customHeight="1" x14ac:dyDescent="0.25">
      <c r="B3710" s="2" t="str">
        <f t="shared" si="114"/>
        <v>NSG_Income Eligible_Single Family_IHWAP_Foundation Insulation_0_SF</v>
      </c>
      <c r="C3710" s="2" t="str">
        <f t="shared" si="115"/>
        <v>NSG_Income Eligible_Single Family_IHWAP_Foundation Insulation_0_SF_2023</v>
      </c>
      <c r="D3710" s="19" t="s">
        <v>1787</v>
      </c>
      <c r="E3710" s="19" t="s">
        <v>325</v>
      </c>
      <c r="F3710" s="19" t="s">
        <v>375</v>
      </c>
      <c r="G3710" s="19" t="s">
        <v>1439</v>
      </c>
      <c r="H3710" s="19" t="s">
        <v>608</v>
      </c>
      <c r="I3710" s="19">
        <v>0</v>
      </c>
      <c r="J3710" s="19" t="s">
        <v>610</v>
      </c>
      <c r="K3710" s="19" t="s">
        <v>409</v>
      </c>
      <c r="L3710" s="19">
        <v>2023</v>
      </c>
      <c r="M3710" s="20">
        <v>140</v>
      </c>
      <c r="N3710" s="19" t="s">
        <v>751</v>
      </c>
      <c r="O3710" s="20">
        <v>0</v>
      </c>
      <c r="P3710" s="20">
        <v>0</v>
      </c>
      <c r="Q3710" s="20">
        <v>0</v>
      </c>
      <c r="R3710" s="21">
        <v>1</v>
      </c>
      <c r="S3710" s="20">
        <v>0</v>
      </c>
    </row>
    <row r="3711" spans="2:19" ht="15" customHeight="1" x14ac:dyDescent="0.25">
      <c r="B3711" s="2" t="str">
        <f t="shared" si="114"/>
        <v>NSG_Income Eligible_Single Family_IHWAP_Foundation Insulation_0_SF</v>
      </c>
      <c r="C3711" s="2" t="str">
        <f t="shared" si="115"/>
        <v>NSG_Income Eligible_Single Family_IHWAP_Foundation Insulation_0_SF_2024</v>
      </c>
      <c r="D3711" s="19" t="s">
        <v>1787</v>
      </c>
      <c r="E3711" s="19" t="s">
        <v>325</v>
      </c>
      <c r="F3711" s="19" t="s">
        <v>375</v>
      </c>
      <c r="G3711" s="19" t="s">
        <v>1439</v>
      </c>
      <c r="H3711" s="19" t="s">
        <v>608</v>
      </c>
      <c r="I3711" s="19">
        <v>0</v>
      </c>
      <c r="J3711" s="19" t="s">
        <v>610</v>
      </c>
      <c r="K3711" s="19" t="s">
        <v>409</v>
      </c>
      <c r="L3711" s="19">
        <v>2024</v>
      </c>
      <c r="M3711" s="20">
        <v>140</v>
      </c>
      <c r="N3711" s="19" t="s">
        <v>751</v>
      </c>
      <c r="O3711" s="20">
        <v>0</v>
      </c>
      <c r="P3711" s="20">
        <v>0</v>
      </c>
      <c r="Q3711" s="20">
        <v>0</v>
      </c>
      <c r="R3711" s="21">
        <v>1</v>
      </c>
      <c r="S3711" s="20">
        <v>0</v>
      </c>
    </row>
    <row r="3712" spans="2:19" ht="15" customHeight="1" x14ac:dyDescent="0.25">
      <c r="B3712" s="2" t="str">
        <f t="shared" si="114"/>
        <v>NSG_Income Eligible_Single Family_IHWAP_Foundation Insulation_0_SF</v>
      </c>
      <c r="C3712" s="2" t="str">
        <f t="shared" si="115"/>
        <v>NSG_Income Eligible_Single Family_IHWAP_Foundation Insulation_0_SF_2025</v>
      </c>
      <c r="D3712" s="19" t="s">
        <v>1787</v>
      </c>
      <c r="E3712" s="19" t="s">
        <v>325</v>
      </c>
      <c r="F3712" s="19" t="s">
        <v>375</v>
      </c>
      <c r="G3712" s="19" t="s">
        <v>1439</v>
      </c>
      <c r="H3712" s="19" t="s">
        <v>608</v>
      </c>
      <c r="I3712" s="19">
        <v>0</v>
      </c>
      <c r="J3712" s="19" t="s">
        <v>610</v>
      </c>
      <c r="K3712" s="19" t="s">
        <v>409</v>
      </c>
      <c r="L3712" s="19">
        <v>2025</v>
      </c>
      <c r="M3712" s="20">
        <v>140</v>
      </c>
      <c r="N3712" s="19" t="s">
        <v>751</v>
      </c>
      <c r="O3712" s="20">
        <v>0</v>
      </c>
      <c r="P3712" s="20">
        <v>0</v>
      </c>
      <c r="Q3712" s="20">
        <v>0</v>
      </c>
      <c r="R3712" s="21">
        <v>1</v>
      </c>
      <c r="S3712" s="20">
        <v>0</v>
      </c>
    </row>
    <row r="3713" spans="2:19" ht="15" customHeight="1" x14ac:dyDescent="0.25">
      <c r="B3713" s="2" t="str">
        <f t="shared" si="114"/>
        <v>NSG_Income Eligible_Single Family_IHWAP_Rim Joist Insulation_0_SF</v>
      </c>
      <c r="C3713" s="2" t="str">
        <f t="shared" si="115"/>
        <v>NSG_Income Eligible_Single Family_IHWAP_Rim Joist Insulation_0_SF_2022</v>
      </c>
      <c r="D3713" s="19" t="s">
        <v>1787</v>
      </c>
      <c r="E3713" s="19" t="s">
        <v>325</v>
      </c>
      <c r="F3713" s="19" t="s">
        <v>375</v>
      </c>
      <c r="G3713" s="19" t="s">
        <v>1439</v>
      </c>
      <c r="H3713" s="19" t="s">
        <v>759</v>
      </c>
      <c r="I3713" s="19">
        <v>0</v>
      </c>
      <c r="J3713" s="19" t="s">
        <v>761</v>
      </c>
      <c r="K3713" s="19" t="s">
        <v>409</v>
      </c>
      <c r="L3713" s="19">
        <v>2022</v>
      </c>
      <c r="M3713" s="20">
        <v>1</v>
      </c>
      <c r="N3713" s="19" t="s">
        <v>1795</v>
      </c>
      <c r="O3713" s="20">
        <v>0</v>
      </c>
      <c r="P3713" s="20">
        <v>0</v>
      </c>
      <c r="Q3713" s="20">
        <v>0</v>
      </c>
      <c r="R3713" s="21">
        <v>1</v>
      </c>
      <c r="S3713" s="20">
        <v>0</v>
      </c>
    </row>
    <row r="3714" spans="2:19" ht="15" customHeight="1" x14ac:dyDescent="0.25">
      <c r="B3714" s="2" t="str">
        <f t="shared" si="114"/>
        <v>NSG_Income Eligible_Single Family_IHWAP_Rim Joist Insulation_0_SF</v>
      </c>
      <c r="C3714" s="2" t="str">
        <f t="shared" si="115"/>
        <v>NSG_Income Eligible_Single Family_IHWAP_Rim Joist Insulation_0_SF_2023</v>
      </c>
      <c r="D3714" s="19" t="s">
        <v>1787</v>
      </c>
      <c r="E3714" s="19" t="s">
        <v>325</v>
      </c>
      <c r="F3714" s="19" t="s">
        <v>375</v>
      </c>
      <c r="G3714" s="19" t="s">
        <v>1439</v>
      </c>
      <c r="H3714" s="19" t="s">
        <v>759</v>
      </c>
      <c r="I3714" s="19">
        <v>0</v>
      </c>
      <c r="J3714" s="19" t="s">
        <v>761</v>
      </c>
      <c r="K3714" s="19" t="s">
        <v>409</v>
      </c>
      <c r="L3714" s="19">
        <v>2023</v>
      </c>
      <c r="M3714" s="20">
        <v>1</v>
      </c>
      <c r="N3714" s="19" t="s">
        <v>1795</v>
      </c>
      <c r="O3714" s="20">
        <v>0</v>
      </c>
      <c r="P3714" s="20">
        <v>0</v>
      </c>
      <c r="Q3714" s="20">
        <v>0</v>
      </c>
      <c r="R3714" s="21">
        <v>1</v>
      </c>
      <c r="S3714" s="20">
        <v>0</v>
      </c>
    </row>
    <row r="3715" spans="2:19" ht="15" customHeight="1" x14ac:dyDescent="0.25">
      <c r="B3715" s="2" t="str">
        <f t="shared" si="114"/>
        <v>NSG_Income Eligible_Single Family_IHWAP_Rim Joist Insulation_0_SF</v>
      </c>
      <c r="C3715" s="2" t="str">
        <f t="shared" si="115"/>
        <v>NSG_Income Eligible_Single Family_IHWAP_Rim Joist Insulation_0_SF_2024</v>
      </c>
      <c r="D3715" s="19" t="s">
        <v>1787</v>
      </c>
      <c r="E3715" s="19" t="s">
        <v>325</v>
      </c>
      <c r="F3715" s="19" t="s">
        <v>375</v>
      </c>
      <c r="G3715" s="19" t="s">
        <v>1439</v>
      </c>
      <c r="H3715" s="19" t="s">
        <v>759</v>
      </c>
      <c r="I3715" s="19">
        <v>0</v>
      </c>
      <c r="J3715" s="19" t="s">
        <v>761</v>
      </c>
      <c r="K3715" s="19" t="s">
        <v>409</v>
      </c>
      <c r="L3715" s="19">
        <v>2024</v>
      </c>
      <c r="M3715" s="20">
        <v>1</v>
      </c>
      <c r="N3715" s="19" t="s">
        <v>1795</v>
      </c>
      <c r="O3715" s="20">
        <v>0</v>
      </c>
      <c r="P3715" s="20">
        <v>0</v>
      </c>
      <c r="Q3715" s="20">
        <v>0</v>
      </c>
      <c r="R3715" s="21">
        <v>1</v>
      </c>
      <c r="S3715" s="20">
        <v>0</v>
      </c>
    </row>
    <row r="3716" spans="2:19" ht="15" customHeight="1" x14ac:dyDescent="0.25">
      <c r="B3716" s="2" t="str">
        <f t="shared" si="114"/>
        <v>NSG_Income Eligible_Single Family_IHWAP_Rim Joist Insulation_0_SF</v>
      </c>
      <c r="C3716" s="2" t="str">
        <f t="shared" si="115"/>
        <v>NSG_Income Eligible_Single Family_IHWAP_Rim Joist Insulation_0_SF_2025</v>
      </c>
      <c r="D3716" s="19" t="s">
        <v>1787</v>
      </c>
      <c r="E3716" s="19" t="s">
        <v>325</v>
      </c>
      <c r="F3716" s="19" t="s">
        <v>375</v>
      </c>
      <c r="G3716" s="19" t="s">
        <v>1439</v>
      </c>
      <c r="H3716" s="19" t="s">
        <v>759</v>
      </c>
      <c r="I3716" s="19">
        <v>0</v>
      </c>
      <c r="J3716" s="19" t="s">
        <v>761</v>
      </c>
      <c r="K3716" s="19" t="s">
        <v>409</v>
      </c>
      <c r="L3716" s="19">
        <v>2025</v>
      </c>
      <c r="M3716" s="20">
        <v>1</v>
      </c>
      <c r="N3716" s="19" t="s">
        <v>1795</v>
      </c>
      <c r="O3716" s="20">
        <v>0</v>
      </c>
      <c r="P3716" s="20">
        <v>0</v>
      </c>
      <c r="Q3716" s="20">
        <v>0</v>
      </c>
      <c r="R3716" s="21">
        <v>1</v>
      </c>
      <c r="S3716" s="20">
        <v>0</v>
      </c>
    </row>
    <row r="3717" spans="2:19" ht="15" customHeight="1" x14ac:dyDescent="0.25">
      <c r="B3717" s="2" t="str">
        <f t="shared" si="114"/>
        <v>NSG_Income Eligible_Single Family_IHWAP_Floor Insulation Above Crawlspace_0_SF</v>
      </c>
      <c r="C3717" s="2" t="str">
        <f t="shared" si="115"/>
        <v>NSG_Income Eligible_Single Family_IHWAP_Floor Insulation Above Crawlspace_0_SF_2022</v>
      </c>
      <c r="D3717" s="19" t="s">
        <v>1787</v>
      </c>
      <c r="E3717" s="19" t="s">
        <v>325</v>
      </c>
      <c r="F3717" s="19" t="s">
        <v>375</v>
      </c>
      <c r="G3717" s="19" t="s">
        <v>1439</v>
      </c>
      <c r="H3717" s="19" t="s">
        <v>244</v>
      </c>
      <c r="I3717" s="19">
        <v>0</v>
      </c>
      <c r="J3717" s="19" t="s">
        <v>750</v>
      </c>
      <c r="K3717" s="19" t="s">
        <v>409</v>
      </c>
      <c r="L3717" s="19">
        <v>2022</v>
      </c>
      <c r="M3717" s="20">
        <v>1</v>
      </c>
      <c r="N3717" s="19" t="s">
        <v>1795</v>
      </c>
      <c r="O3717" s="20">
        <v>0</v>
      </c>
      <c r="P3717" s="20">
        <v>0</v>
      </c>
      <c r="Q3717" s="20">
        <v>0</v>
      </c>
      <c r="R3717" s="21">
        <v>1</v>
      </c>
      <c r="S3717" s="20">
        <v>0</v>
      </c>
    </row>
    <row r="3718" spans="2:19" ht="15" customHeight="1" x14ac:dyDescent="0.25">
      <c r="B3718" s="2" t="str">
        <f t="shared" ref="B3718:B3781" si="116">D3718&amp;"_"&amp;E3718&amp;"_"&amp;F3718&amp;"_"&amp;G3718&amp;"_"&amp;H3718&amp;"_"&amp;I3718&amp;"_"&amp;K3718</f>
        <v>NSG_Income Eligible_Single Family_IHWAP_Floor Insulation Above Crawlspace_0_SF</v>
      </c>
      <c r="C3718" s="2" t="str">
        <f t="shared" ref="C3718:C3781" si="117">D3718&amp;"_"&amp;E3718&amp;"_"&amp;F3718&amp;"_"&amp;G3718&amp;"_"&amp;H3718&amp;"_"&amp;I3718&amp;"_"&amp;K3718&amp;"_"&amp;L3718</f>
        <v>NSG_Income Eligible_Single Family_IHWAP_Floor Insulation Above Crawlspace_0_SF_2023</v>
      </c>
      <c r="D3718" s="19" t="s">
        <v>1787</v>
      </c>
      <c r="E3718" s="19" t="s">
        <v>325</v>
      </c>
      <c r="F3718" s="19" t="s">
        <v>375</v>
      </c>
      <c r="G3718" s="19" t="s">
        <v>1439</v>
      </c>
      <c r="H3718" s="19" t="s">
        <v>244</v>
      </c>
      <c r="I3718" s="19">
        <v>0</v>
      </c>
      <c r="J3718" s="19" t="s">
        <v>750</v>
      </c>
      <c r="K3718" s="19" t="s">
        <v>409</v>
      </c>
      <c r="L3718" s="19">
        <v>2023</v>
      </c>
      <c r="M3718" s="20">
        <v>1</v>
      </c>
      <c r="N3718" s="19" t="s">
        <v>1795</v>
      </c>
      <c r="O3718" s="20">
        <v>0</v>
      </c>
      <c r="P3718" s="20">
        <v>0</v>
      </c>
      <c r="Q3718" s="20">
        <v>0</v>
      </c>
      <c r="R3718" s="21">
        <v>1</v>
      </c>
      <c r="S3718" s="20">
        <v>0</v>
      </c>
    </row>
    <row r="3719" spans="2:19" ht="15" customHeight="1" x14ac:dyDescent="0.25">
      <c r="B3719" s="2" t="str">
        <f t="shared" si="116"/>
        <v>NSG_Income Eligible_Single Family_IHWAP_Floor Insulation Above Crawlspace_0_SF</v>
      </c>
      <c r="C3719" s="2" t="str">
        <f t="shared" si="117"/>
        <v>NSG_Income Eligible_Single Family_IHWAP_Floor Insulation Above Crawlspace_0_SF_2024</v>
      </c>
      <c r="D3719" s="19" t="s">
        <v>1787</v>
      </c>
      <c r="E3719" s="19" t="s">
        <v>325</v>
      </c>
      <c r="F3719" s="19" t="s">
        <v>375</v>
      </c>
      <c r="G3719" s="19" t="s">
        <v>1439</v>
      </c>
      <c r="H3719" s="19" t="s">
        <v>244</v>
      </c>
      <c r="I3719" s="19">
        <v>0</v>
      </c>
      <c r="J3719" s="19" t="s">
        <v>750</v>
      </c>
      <c r="K3719" s="19" t="s">
        <v>409</v>
      </c>
      <c r="L3719" s="19">
        <v>2024</v>
      </c>
      <c r="M3719" s="20">
        <v>1</v>
      </c>
      <c r="N3719" s="19" t="s">
        <v>1795</v>
      </c>
      <c r="O3719" s="20">
        <v>0</v>
      </c>
      <c r="P3719" s="20">
        <v>0</v>
      </c>
      <c r="Q3719" s="20">
        <v>0</v>
      </c>
      <c r="R3719" s="21">
        <v>1</v>
      </c>
      <c r="S3719" s="20">
        <v>0</v>
      </c>
    </row>
    <row r="3720" spans="2:19" ht="15" customHeight="1" x14ac:dyDescent="0.25">
      <c r="B3720" s="2" t="str">
        <f t="shared" si="116"/>
        <v>NSG_Income Eligible_Single Family_IHWAP_Floor Insulation Above Crawlspace_0_SF</v>
      </c>
      <c r="C3720" s="2" t="str">
        <f t="shared" si="117"/>
        <v>NSG_Income Eligible_Single Family_IHWAP_Floor Insulation Above Crawlspace_0_SF_2025</v>
      </c>
      <c r="D3720" s="19" t="s">
        <v>1787</v>
      </c>
      <c r="E3720" s="19" t="s">
        <v>325</v>
      </c>
      <c r="F3720" s="19" t="s">
        <v>375</v>
      </c>
      <c r="G3720" s="19" t="s">
        <v>1439</v>
      </c>
      <c r="H3720" s="19" t="s">
        <v>244</v>
      </c>
      <c r="I3720" s="19">
        <v>0</v>
      </c>
      <c r="J3720" s="19" t="s">
        <v>750</v>
      </c>
      <c r="K3720" s="19" t="s">
        <v>409</v>
      </c>
      <c r="L3720" s="19">
        <v>2025</v>
      </c>
      <c r="M3720" s="20">
        <v>1</v>
      </c>
      <c r="N3720" s="19" t="s">
        <v>1795</v>
      </c>
      <c r="O3720" s="20">
        <v>0</v>
      </c>
      <c r="P3720" s="20">
        <v>0</v>
      </c>
      <c r="Q3720" s="20">
        <v>0</v>
      </c>
      <c r="R3720" s="21">
        <v>1</v>
      </c>
      <c r="S3720" s="20">
        <v>0</v>
      </c>
    </row>
    <row r="3721" spans="2:19" ht="15" customHeight="1" x14ac:dyDescent="0.25">
      <c r="B3721" s="2" t="str">
        <f t="shared" si="116"/>
        <v>NSG_Income Eligible_Single Family_IHWAP_Water Heater_Storage 0.67 EF_SF</v>
      </c>
      <c r="C3721" s="2" t="str">
        <f t="shared" si="117"/>
        <v>NSG_Income Eligible_Single Family_IHWAP_Water Heater_Storage 0.67 EF_SF_2022</v>
      </c>
      <c r="D3721" s="19" t="s">
        <v>1787</v>
      </c>
      <c r="E3721" s="19" t="s">
        <v>325</v>
      </c>
      <c r="F3721" s="19" t="s">
        <v>375</v>
      </c>
      <c r="G3721" s="19" t="s">
        <v>1439</v>
      </c>
      <c r="H3721" s="19" t="s">
        <v>8</v>
      </c>
      <c r="I3721" s="19" t="s">
        <v>879</v>
      </c>
      <c r="J3721" s="19" t="s">
        <v>866</v>
      </c>
      <c r="K3721" s="19" t="s">
        <v>409</v>
      </c>
      <c r="L3721" s="19">
        <v>2022</v>
      </c>
      <c r="M3721" s="20">
        <v>1</v>
      </c>
      <c r="N3721" s="19" t="s">
        <v>1795</v>
      </c>
      <c r="O3721" s="20">
        <v>29</v>
      </c>
      <c r="P3721" s="20">
        <v>29</v>
      </c>
      <c r="Q3721" s="20">
        <v>651.19232837499726</v>
      </c>
      <c r="R3721" s="21">
        <v>1</v>
      </c>
      <c r="S3721" s="20">
        <v>651.19232837499726</v>
      </c>
    </row>
    <row r="3722" spans="2:19" ht="15" customHeight="1" x14ac:dyDescent="0.25">
      <c r="B3722" s="2" t="str">
        <f t="shared" si="116"/>
        <v>NSG_Income Eligible_Single Family_IHWAP_Water Heater_Storage 0.67 EF_SF</v>
      </c>
      <c r="C3722" s="2" t="str">
        <f t="shared" si="117"/>
        <v>NSG_Income Eligible_Single Family_IHWAP_Water Heater_Storage 0.67 EF_SF_2023</v>
      </c>
      <c r="D3722" s="19" t="s">
        <v>1787</v>
      </c>
      <c r="E3722" s="19" t="s">
        <v>325</v>
      </c>
      <c r="F3722" s="19" t="s">
        <v>375</v>
      </c>
      <c r="G3722" s="19" t="s">
        <v>1439</v>
      </c>
      <c r="H3722" s="19" t="s">
        <v>8</v>
      </c>
      <c r="I3722" s="19" t="s">
        <v>879</v>
      </c>
      <c r="J3722" s="19" t="s">
        <v>866</v>
      </c>
      <c r="K3722" s="19" t="s">
        <v>409</v>
      </c>
      <c r="L3722" s="19">
        <v>2023</v>
      </c>
      <c r="M3722" s="20">
        <v>1</v>
      </c>
      <c r="N3722" s="19" t="s">
        <v>1795</v>
      </c>
      <c r="O3722" s="20">
        <v>31</v>
      </c>
      <c r="P3722" s="20">
        <v>31</v>
      </c>
      <c r="Q3722" s="20">
        <v>696.10214412499704</v>
      </c>
      <c r="R3722" s="21">
        <v>1</v>
      </c>
      <c r="S3722" s="20">
        <v>696.10214412499704</v>
      </c>
    </row>
    <row r="3723" spans="2:19" ht="15" customHeight="1" x14ac:dyDescent="0.25">
      <c r="B3723" s="2" t="str">
        <f t="shared" si="116"/>
        <v>NSG_Income Eligible_Single Family_IHWAP_Water Heater_Storage 0.67 EF_SF</v>
      </c>
      <c r="C3723" s="2" t="str">
        <f t="shared" si="117"/>
        <v>NSG_Income Eligible_Single Family_IHWAP_Water Heater_Storage 0.67 EF_SF_2024</v>
      </c>
      <c r="D3723" s="19" t="s">
        <v>1787</v>
      </c>
      <c r="E3723" s="19" t="s">
        <v>325</v>
      </c>
      <c r="F3723" s="19" t="s">
        <v>375</v>
      </c>
      <c r="G3723" s="19" t="s">
        <v>1439</v>
      </c>
      <c r="H3723" s="19" t="s">
        <v>8</v>
      </c>
      <c r="I3723" s="19" t="s">
        <v>879</v>
      </c>
      <c r="J3723" s="19" t="s">
        <v>866</v>
      </c>
      <c r="K3723" s="19" t="s">
        <v>409</v>
      </c>
      <c r="L3723" s="19">
        <v>2024</v>
      </c>
      <c r="M3723" s="20">
        <v>1</v>
      </c>
      <c r="N3723" s="19" t="s">
        <v>1795</v>
      </c>
      <c r="O3723" s="20">
        <v>40</v>
      </c>
      <c r="P3723" s="20">
        <v>40</v>
      </c>
      <c r="Q3723" s="20">
        <v>898.19631499999616</v>
      </c>
      <c r="R3723" s="21">
        <v>1</v>
      </c>
      <c r="S3723" s="20">
        <v>898.19631499999616</v>
      </c>
    </row>
    <row r="3724" spans="2:19" ht="15" customHeight="1" x14ac:dyDescent="0.25">
      <c r="B3724" s="2" t="str">
        <f t="shared" si="116"/>
        <v>NSG_Income Eligible_Single Family_IHWAP_Water Heater_Storage 0.67 EF_SF</v>
      </c>
      <c r="C3724" s="2" t="str">
        <f t="shared" si="117"/>
        <v>NSG_Income Eligible_Single Family_IHWAP_Water Heater_Storage 0.67 EF_SF_2025</v>
      </c>
      <c r="D3724" s="19" t="s">
        <v>1787</v>
      </c>
      <c r="E3724" s="19" t="s">
        <v>325</v>
      </c>
      <c r="F3724" s="19" t="s">
        <v>375</v>
      </c>
      <c r="G3724" s="19" t="s">
        <v>1439</v>
      </c>
      <c r="H3724" s="19" t="s">
        <v>8</v>
      </c>
      <c r="I3724" s="19" t="s">
        <v>879</v>
      </c>
      <c r="J3724" s="19" t="s">
        <v>866</v>
      </c>
      <c r="K3724" s="19" t="s">
        <v>409</v>
      </c>
      <c r="L3724" s="19">
        <v>2025</v>
      </c>
      <c r="M3724" s="20">
        <v>1</v>
      </c>
      <c r="N3724" s="19" t="s">
        <v>1795</v>
      </c>
      <c r="O3724" s="20">
        <v>43</v>
      </c>
      <c r="P3724" s="20">
        <v>43</v>
      </c>
      <c r="Q3724" s="20">
        <v>965.56103862499583</v>
      </c>
      <c r="R3724" s="21">
        <v>1</v>
      </c>
      <c r="S3724" s="20">
        <v>965.56103862499583</v>
      </c>
    </row>
    <row r="3725" spans="2:19" ht="15" customHeight="1" x14ac:dyDescent="0.25">
      <c r="B3725" s="2" t="str">
        <f t="shared" si="116"/>
        <v>NSG_Income Eligible_Single Family_IHWAP_Boiler_≥88% AFUE, &lt;300MBh_SF</v>
      </c>
      <c r="C3725" s="2" t="str">
        <f t="shared" si="117"/>
        <v>NSG_Income Eligible_Single Family_IHWAP_Boiler_≥88% AFUE, &lt;300MBh_SF_2022</v>
      </c>
      <c r="D3725" s="19" t="s">
        <v>1787</v>
      </c>
      <c r="E3725" s="19" t="s">
        <v>325</v>
      </c>
      <c r="F3725" s="19" t="s">
        <v>375</v>
      </c>
      <c r="G3725" s="19" t="s">
        <v>1439</v>
      </c>
      <c r="H3725" s="19" t="s">
        <v>944</v>
      </c>
      <c r="I3725" s="19" t="s">
        <v>945</v>
      </c>
      <c r="J3725" s="19" t="s">
        <v>1057</v>
      </c>
      <c r="K3725" s="19" t="s">
        <v>409</v>
      </c>
      <c r="L3725" s="19">
        <v>2022</v>
      </c>
      <c r="M3725" s="20">
        <v>1</v>
      </c>
      <c r="N3725" s="19" t="s">
        <v>1795</v>
      </c>
      <c r="O3725" s="20">
        <v>0</v>
      </c>
      <c r="P3725" s="20">
        <v>0</v>
      </c>
      <c r="Q3725" s="20">
        <v>0</v>
      </c>
      <c r="R3725" s="21">
        <v>1</v>
      </c>
      <c r="S3725" s="20">
        <v>0</v>
      </c>
    </row>
    <row r="3726" spans="2:19" ht="15" customHeight="1" x14ac:dyDescent="0.25">
      <c r="B3726" s="2" t="str">
        <f t="shared" si="116"/>
        <v>NSG_Income Eligible_Single Family_IHWAP_Boiler_≥88% AFUE, &lt;300MBh_SF</v>
      </c>
      <c r="C3726" s="2" t="str">
        <f t="shared" si="117"/>
        <v>NSG_Income Eligible_Single Family_IHWAP_Boiler_≥88% AFUE, &lt;300MBh_SF_2023</v>
      </c>
      <c r="D3726" s="19" t="s">
        <v>1787</v>
      </c>
      <c r="E3726" s="19" t="s">
        <v>325</v>
      </c>
      <c r="F3726" s="19" t="s">
        <v>375</v>
      </c>
      <c r="G3726" s="19" t="s">
        <v>1439</v>
      </c>
      <c r="H3726" s="19" t="s">
        <v>944</v>
      </c>
      <c r="I3726" s="19" t="s">
        <v>945</v>
      </c>
      <c r="J3726" s="19" t="s">
        <v>1057</v>
      </c>
      <c r="K3726" s="19" t="s">
        <v>409</v>
      </c>
      <c r="L3726" s="19">
        <v>2023</v>
      </c>
      <c r="M3726" s="20">
        <v>1</v>
      </c>
      <c r="N3726" s="19" t="s">
        <v>1795</v>
      </c>
      <c r="O3726" s="20">
        <v>0</v>
      </c>
      <c r="P3726" s="20">
        <v>0</v>
      </c>
      <c r="Q3726" s="20">
        <v>0</v>
      </c>
      <c r="R3726" s="21">
        <v>1</v>
      </c>
      <c r="S3726" s="20">
        <v>0</v>
      </c>
    </row>
    <row r="3727" spans="2:19" ht="15" customHeight="1" x14ac:dyDescent="0.25">
      <c r="B3727" s="2" t="str">
        <f t="shared" si="116"/>
        <v>NSG_Income Eligible_Single Family_IHWAP_Boiler_≥88% AFUE, &lt;300MBh_SF</v>
      </c>
      <c r="C3727" s="2" t="str">
        <f t="shared" si="117"/>
        <v>NSG_Income Eligible_Single Family_IHWAP_Boiler_≥88% AFUE, &lt;300MBh_SF_2024</v>
      </c>
      <c r="D3727" s="19" t="s">
        <v>1787</v>
      </c>
      <c r="E3727" s="19" t="s">
        <v>325</v>
      </c>
      <c r="F3727" s="19" t="s">
        <v>375</v>
      </c>
      <c r="G3727" s="19" t="s">
        <v>1439</v>
      </c>
      <c r="H3727" s="19" t="s">
        <v>944</v>
      </c>
      <c r="I3727" s="19" t="s">
        <v>945</v>
      </c>
      <c r="J3727" s="19" t="s">
        <v>1057</v>
      </c>
      <c r="K3727" s="19" t="s">
        <v>409</v>
      </c>
      <c r="L3727" s="19">
        <v>2024</v>
      </c>
      <c r="M3727" s="20">
        <v>1</v>
      </c>
      <c r="N3727" s="19" t="s">
        <v>1795</v>
      </c>
      <c r="O3727" s="20">
        <v>0</v>
      </c>
      <c r="P3727" s="20">
        <v>0</v>
      </c>
      <c r="Q3727" s="20">
        <v>0</v>
      </c>
      <c r="R3727" s="21">
        <v>1</v>
      </c>
      <c r="S3727" s="20">
        <v>0</v>
      </c>
    </row>
    <row r="3728" spans="2:19" ht="15" customHeight="1" x14ac:dyDescent="0.25">
      <c r="B3728" s="2" t="str">
        <f t="shared" si="116"/>
        <v>NSG_Income Eligible_Single Family_IHWAP_Boiler_≥88% AFUE, &lt;300MBh_SF</v>
      </c>
      <c r="C3728" s="2" t="str">
        <f t="shared" si="117"/>
        <v>NSG_Income Eligible_Single Family_IHWAP_Boiler_≥88% AFUE, &lt;300MBh_SF_2025</v>
      </c>
      <c r="D3728" s="19" t="s">
        <v>1787</v>
      </c>
      <c r="E3728" s="19" t="s">
        <v>325</v>
      </c>
      <c r="F3728" s="19" t="s">
        <v>375</v>
      </c>
      <c r="G3728" s="19" t="s">
        <v>1439</v>
      </c>
      <c r="H3728" s="19" t="s">
        <v>944</v>
      </c>
      <c r="I3728" s="19" t="s">
        <v>945</v>
      </c>
      <c r="J3728" s="19" t="s">
        <v>1057</v>
      </c>
      <c r="K3728" s="19" t="s">
        <v>409</v>
      </c>
      <c r="L3728" s="19">
        <v>2025</v>
      </c>
      <c r="M3728" s="20">
        <v>1</v>
      </c>
      <c r="N3728" s="19" t="s">
        <v>1795</v>
      </c>
      <c r="O3728" s="20">
        <v>0</v>
      </c>
      <c r="P3728" s="20">
        <v>0</v>
      </c>
      <c r="Q3728" s="20">
        <v>0</v>
      </c>
      <c r="R3728" s="21">
        <v>1</v>
      </c>
      <c r="S3728" s="20">
        <v>0</v>
      </c>
    </row>
    <row r="3729" spans="2:19" ht="15" customHeight="1" x14ac:dyDescent="0.25">
      <c r="B3729" s="2" t="str">
        <f t="shared" si="116"/>
        <v>NSG_Income Eligible_Single Family_IHWAP_Weatherstripping_0_IE SF</v>
      </c>
      <c r="C3729" s="2" t="str">
        <f t="shared" si="117"/>
        <v>NSG_Income Eligible_Single Family_IHWAP_Weatherstripping_0_IE SF_2022</v>
      </c>
      <c r="D3729" s="19" t="s">
        <v>1787</v>
      </c>
      <c r="E3729" s="19" t="s">
        <v>325</v>
      </c>
      <c r="F3729" s="19" t="s">
        <v>375</v>
      </c>
      <c r="G3729" s="19" t="s">
        <v>1439</v>
      </c>
      <c r="H3729" s="19" t="s">
        <v>576</v>
      </c>
      <c r="I3729" s="19">
        <v>0</v>
      </c>
      <c r="J3729" s="19" t="s">
        <v>573</v>
      </c>
      <c r="K3729" s="19" t="s">
        <v>581</v>
      </c>
      <c r="L3729" s="19">
        <v>2022</v>
      </c>
      <c r="M3729" s="20">
        <v>17</v>
      </c>
      <c r="N3729" s="19" t="s">
        <v>1810</v>
      </c>
      <c r="O3729" s="20">
        <v>10</v>
      </c>
      <c r="P3729" s="20">
        <v>170</v>
      </c>
      <c r="Q3729" s="20">
        <v>82.96</v>
      </c>
      <c r="R3729" s="21">
        <v>1</v>
      </c>
      <c r="S3729" s="20">
        <v>82.96</v>
      </c>
    </row>
    <row r="3730" spans="2:19" ht="15" customHeight="1" x14ac:dyDescent="0.25">
      <c r="B3730" s="2" t="str">
        <f t="shared" si="116"/>
        <v>NSG_Income Eligible_Single Family_IHWAP_Weatherstripping_0_IE SF</v>
      </c>
      <c r="C3730" s="2" t="str">
        <f t="shared" si="117"/>
        <v>NSG_Income Eligible_Single Family_IHWAP_Weatherstripping_0_IE SF_2023</v>
      </c>
      <c r="D3730" s="19" t="s">
        <v>1787</v>
      </c>
      <c r="E3730" s="19" t="s">
        <v>325</v>
      </c>
      <c r="F3730" s="19" t="s">
        <v>375</v>
      </c>
      <c r="G3730" s="19" t="s">
        <v>1439</v>
      </c>
      <c r="H3730" s="19" t="s">
        <v>576</v>
      </c>
      <c r="I3730" s="19">
        <v>0</v>
      </c>
      <c r="J3730" s="19" t="s">
        <v>573</v>
      </c>
      <c r="K3730" s="19" t="s">
        <v>581</v>
      </c>
      <c r="L3730" s="19">
        <v>2023</v>
      </c>
      <c r="M3730" s="20">
        <v>17</v>
      </c>
      <c r="N3730" s="19" t="s">
        <v>1810</v>
      </c>
      <c r="O3730" s="20">
        <v>11</v>
      </c>
      <c r="P3730" s="20">
        <v>187</v>
      </c>
      <c r="Q3730" s="20">
        <v>91.256</v>
      </c>
      <c r="R3730" s="21">
        <v>1</v>
      </c>
      <c r="S3730" s="20">
        <v>91.256</v>
      </c>
    </row>
    <row r="3731" spans="2:19" ht="15" customHeight="1" x14ac:dyDescent="0.25">
      <c r="B3731" s="2" t="str">
        <f t="shared" si="116"/>
        <v>NSG_Income Eligible_Single Family_IHWAP_Weatherstripping_0_IE SF</v>
      </c>
      <c r="C3731" s="2" t="str">
        <f t="shared" si="117"/>
        <v>NSG_Income Eligible_Single Family_IHWAP_Weatherstripping_0_IE SF_2024</v>
      </c>
      <c r="D3731" s="19" t="s">
        <v>1787</v>
      </c>
      <c r="E3731" s="19" t="s">
        <v>325</v>
      </c>
      <c r="F3731" s="19" t="s">
        <v>375</v>
      </c>
      <c r="G3731" s="19" t="s">
        <v>1439</v>
      </c>
      <c r="H3731" s="19" t="s">
        <v>576</v>
      </c>
      <c r="I3731" s="19">
        <v>0</v>
      </c>
      <c r="J3731" s="19" t="s">
        <v>573</v>
      </c>
      <c r="K3731" s="19" t="s">
        <v>581</v>
      </c>
      <c r="L3731" s="19">
        <v>2024</v>
      </c>
      <c r="M3731" s="20">
        <v>17</v>
      </c>
      <c r="N3731" s="19" t="s">
        <v>1810</v>
      </c>
      <c r="O3731" s="20">
        <v>14</v>
      </c>
      <c r="P3731" s="20">
        <v>238</v>
      </c>
      <c r="Q3731" s="20">
        <v>116.14399999999999</v>
      </c>
      <c r="R3731" s="21">
        <v>1</v>
      </c>
      <c r="S3731" s="20">
        <v>116.14399999999999</v>
      </c>
    </row>
    <row r="3732" spans="2:19" ht="15" customHeight="1" x14ac:dyDescent="0.25">
      <c r="B3732" s="2" t="str">
        <f t="shared" si="116"/>
        <v>NSG_Income Eligible_Single Family_IHWAP_Weatherstripping_0_IE SF</v>
      </c>
      <c r="C3732" s="2" t="str">
        <f t="shared" si="117"/>
        <v>NSG_Income Eligible_Single Family_IHWAP_Weatherstripping_0_IE SF_2025</v>
      </c>
      <c r="D3732" s="19" t="s">
        <v>1787</v>
      </c>
      <c r="E3732" s="19" t="s">
        <v>325</v>
      </c>
      <c r="F3732" s="19" t="s">
        <v>375</v>
      </c>
      <c r="G3732" s="19" t="s">
        <v>1439</v>
      </c>
      <c r="H3732" s="19" t="s">
        <v>576</v>
      </c>
      <c r="I3732" s="19">
        <v>0</v>
      </c>
      <c r="J3732" s="19" t="s">
        <v>573</v>
      </c>
      <c r="K3732" s="19" t="s">
        <v>581</v>
      </c>
      <c r="L3732" s="19">
        <v>2025</v>
      </c>
      <c r="M3732" s="20">
        <v>17</v>
      </c>
      <c r="N3732" s="19" t="s">
        <v>1810</v>
      </c>
      <c r="O3732" s="20">
        <v>15</v>
      </c>
      <c r="P3732" s="20">
        <v>255</v>
      </c>
      <c r="Q3732" s="20">
        <v>124.44</v>
      </c>
      <c r="R3732" s="21">
        <v>1</v>
      </c>
      <c r="S3732" s="20">
        <v>124.44</v>
      </c>
    </row>
    <row r="3733" spans="2:19" ht="15" customHeight="1" x14ac:dyDescent="0.25">
      <c r="B3733" s="2" t="str">
        <f t="shared" si="116"/>
        <v>NSG_Income Eligible_Single Family_IHWAP_Furnace_&gt;95% AFUE_SF</v>
      </c>
      <c r="C3733" s="2" t="str">
        <f t="shared" si="117"/>
        <v>NSG_Income Eligible_Single Family_IHWAP_Furnace_&gt;95% AFUE_SF_2022</v>
      </c>
      <c r="D3733" s="19" t="s">
        <v>1787</v>
      </c>
      <c r="E3733" s="19" t="s">
        <v>325</v>
      </c>
      <c r="F3733" s="19" t="s">
        <v>375</v>
      </c>
      <c r="G3733" s="19" t="s">
        <v>1439</v>
      </c>
      <c r="H3733" s="19" t="s">
        <v>490</v>
      </c>
      <c r="I3733" s="19" t="s">
        <v>982</v>
      </c>
      <c r="J3733" s="19" t="s">
        <v>990</v>
      </c>
      <c r="K3733" s="19" t="s">
        <v>409</v>
      </c>
      <c r="L3733" s="19">
        <v>2022</v>
      </c>
      <c r="M3733" s="20">
        <v>1</v>
      </c>
      <c r="N3733" s="19" t="s">
        <v>1795</v>
      </c>
      <c r="O3733" s="20">
        <v>39</v>
      </c>
      <c r="P3733" s="20">
        <v>39</v>
      </c>
      <c r="Q3733" s="20">
        <v>7239.5986111111079</v>
      </c>
      <c r="R3733" s="21">
        <v>1</v>
      </c>
      <c r="S3733" s="20">
        <v>7239.5986111111079</v>
      </c>
    </row>
    <row r="3734" spans="2:19" ht="15" customHeight="1" x14ac:dyDescent="0.25">
      <c r="B3734" s="2" t="str">
        <f t="shared" si="116"/>
        <v>NSG_Income Eligible_Single Family_IHWAP_Furnace_&gt;95% AFUE_SF</v>
      </c>
      <c r="C3734" s="2" t="str">
        <f t="shared" si="117"/>
        <v>NSG_Income Eligible_Single Family_IHWAP_Furnace_&gt;95% AFUE_SF_2023</v>
      </c>
      <c r="D3734" s="19" t="s">
        <v>1787</v>
      </c>
      <c r="E3734" s="19" t="s">
        <v>325</v>
      </c>
      <c r="F3734" s="19" t="s">
        <v>375</v>
      </c>
      <c r="G3734" s="19" t="s">
        <v>1439</v>
      </c>
      <c r="H3734" s="19" t="s">
        <v>490</v>
      </c>
      <c r="I3734" s="19" t="s">
        <v>982</v>
      </c>
      <c r="J3734" s="19" t="s">
        <v>990</v>
      </c>
      <c r="K3734" s="19" t="s">
        <v>409</v>
      </c>
      <c r="L3734" s="19">
        <v>2023</v>
      </c>
      <c r="M3734" s="20">
        <v>1</v>
      </c>
      <c r="N3734" s="19" t="s">
        <v>1795</v>
      </c>
      <c r="O3734" s="20">
        <v>43</v>
      </c>
      <c r="P3734" s="20">
        <v>43</v>
      </c>
      <c r="Q3734" s="20">
        <v>7982.121545584042</v>
      </c>
      <c r="R3734" s="21">
        <v>1</v>
      </c>
      <c r="S3734" s="20">
        <v>7982.121545584042</v>
      </c>
    </row>
    <row r="3735" spans="2:19" ht="15" customHeight="1" x14ac:dyDescent="0.25">
      <c r="B3735" s="2" t="str">
        <f t="shared" si="116"/>
        <v>NSG_Income Eligible_Single Family_IHWAP_Furnace_&gt;95% AFUE_SF</v>
      </c>
      <c r="C3735" s="2" t="str">
        <f t="shared" si="117"/>
        <v>NSG_Income Eligible_Single Family_IHWAP_Furnace_&gt;95% AFUE_SF_2024</v>
      </c>
      <c r="D3735" s="19" t="s">
        <v>1787</v>
      </c>
      <c r="E3735" s="19" t="s">
        <v>325</v>
      </c>
      <c r="F3735" s="19" t="s">
        <v>375</v>
      </c>
      <c r="G3735" s="19" t="s">
        <v>1439</v>
      </c>
      <c r="H3735" s="19" t="s">
        <v>490</v>
      </c>
      <c r="I3735" s="19" t="s">
        <v>982</v>
      </c>
      <c r="J3735" s="19" t="s">
        <v>990</v>
      </c>
      <c r="K3735" s="19" t="s">
        <v>409</v>
      </c>
      <c r="L3735" s="19">
        <v>2024</v>
      </c>
      <c r="M3735" s="20">
        <v>1</v>
      </c>
      <c r="N3735" s="19" t="s">
        <v>1795</v>
      </c>
      <c r="O3735" s="20">
        <v>55</v>
      </c>
      <c r="P3735" s="20">
        <v>55</v>
      </c>
      <c r="Q3735" s="20">
        <v>10209.690349002845</v>
      </c>
      <c r="R3735" s="21">
        <v>1</v>
      </c>
      <c r="S3735" s="20">
        <v>10209.690349002845</v>
      </c>
    </row>
    <row r="3736" spans="2:19" ht="15" customHeight="1" x14ac:dyDescent="0.25">
      <c r="B3736" s="2" t="str">
        <f t="shared" si="116"/>
        <v>NSG_Income Eligible_Single Family_IHWAP_Furnace_&gt;95% AFUE_SF</v>
      </c>
      <c r="C3736" s="2" t="str">
        <f t="shared" si="117"/>
        <v>NSG_Income Eligible_Single Family_IHWAP_Furnace_&gt;95% AFUE_SF_2025</v>
      </c>
      <c r="D3736" s="19" t="s">
        <v>1787</v>
      </c>
      <c r="E3736" s="19" t="s">
        <v>325</v>
      </c>
      <c r="F3736" s="19" t="s">
        <v>375</v>
      </c>
      <c r="G3736" s="19" t="s">
        <v>1439</v>
      </c>
      <c r="H3736" s="19" t="s">
        <v>490</v>
      </c>
      <c r="I3736" s="19" t="s">
        <v>982</v>
      </c>
      <c r="J3736" s="19" t="s">
        <v>990</v>
      </c>
      <c r="K3736" s="19" t="s">
        <v>409</v>
      </c>
      <c r="L3736" s="19">
        <v>2025</v>
      </c>
      <c r="M3736" s="20">
        <v>1</v>
      </c>
      <c r="N3736" s="19" t="s">
        <v>1795</v>
      </c>
      <c r="O3736" s="20">
        <v>59</v>
      </c>
      <c r="P3736" s="20">
        <v>59</v>
      </c>
      <c r="Q3736" s="20">
        <v>10952.213283475779</v>
      </c>
      <c r="R3736" s="21">
        <v>1</v>
      </c>
      <c r="S3736" s="20">
        <v>10952.213283475779</v>
      </c>
    </row>
    <row r="3737" spans="2:19" ht="15" customHeight="1" x14ac:dyDescent="0.25">
      <c r="B3737" s="2" t="str">
        <f t="shared" si="116"/>
        <v>NSG_Income Eligible_Single Family_IHWAP_Health and Safety_no savings_SF</v>
      </c>
      <c r="C3737" s="2" t="str">
        <f t="shared" si="117"/>
        <v>NSG_Income Eligible_Single Family_IHWAP_Health and Safety_no savings_SF_2022</v>
      </c>
      <c r="D3737" s="19" t="s">
        <v>1787</v>
      </c>
      <c r="E3737" s="19" t="s">
        <v>325</v>
      </c>
      <c r="F3737" s="19" t="s">
        <v>375</v>
      </c>
      <c r="G3737" s="19" t="s">
        <v>1439</v>
      </c>
      <c r="H3737" s="19" t="s">
        <v>1437</v>
      </c>
      <c r="I3737" s="19" t="s">
        <v>1438</v>
      </c>
      <c r="J3737" s="19" t="s">
        <v>1469</v>
      </c>
      <c r="K3737" s="19" t="s">
        <v>409</v>
      </c>
      <c r="L3737" s="19">
        <v>2022</v>
      </c>
      <c r="M3737" s="20">
        <v>1</v>
      </c>
      <c r="N3737" s="19" t="s">
        <v>1795</v>
      </c>
      <c r="O3737" s="20">
        <v>50</v>
      </c>
      <c r="P3737" s="20">
        <v>50</v>
      </c>
      <c r="Q3737" s="20">
        <v>0</v>
      </c>
      <c r="R3737" s="21">
        <v>1</v>
      </c>
      <c r="S3737" s="20">
        <v>0</v>
      </c>
    </row>
    <row r="3738" spans="2:19" ht="15" customHeight="1" x14ac:dyDescent="0.25">
      <c r="B3738" s="2" t="str">
        <f t="shared" si="116"/>
        <v>NSG_Income Eligible_Single Family_IHWAP_Health and Safety_no savings_SF</v>
      </c>
      <c r="C3738" s="2" t="str">
        <f t="shared" si="117"/>
        <v>NSG_Income Eligible_Single Family_IHWAP_Health and Safety_no savings_SF_2023</v>
      </c>
      <c r="D3738" s="19" t="s">
        <v>1787</v>
      </c>
      <c r="E3738" s="19" t="s">
        <v>325</v>
      </c>
      <c r="F3738" s="19" t="s">
        <v>375</v>
      </c>
      <c r="G3738" s="19" t="s">
        <v>1439</v>
      </c>
      <c r="H3738" s="19" t="s">
        <v>1437</v>
      </c>
      <c r="I3738" s="19" t="s">
        <v>1438</v>
      </c>
      <c r="J3738" s="19" t="s">
        <v>1469</v>
      </c>
      <c r="K3738" s="19" t="s">
        <v>409</v>
      </c>
      <c r="L3738" s="19">
        <v>2023</v>
      </c>
      <c r="M3738" s="20">
        <v>1</v>
      </c>
      <c r="N3738" s="19" t="s">
        <v>1795</v>
      </c>
      <c r="O3738" s="20">
        <v>55</v>
      </c>
      <c r="P3738" s="20">
        <v>55</v>
      </c>
      <c r="Q3738" s="20">
        <v>0</v>
      </c>
      <c r="R3738" s="21">
        <v>1</v>
      </c>
      <c r="S3738" s="20">
        <v>0</v>
      </c>
    </row>
    <row r="3739" spans="2:19" ht="15" customHeight="1" x14ac:dyDescent="0.25">
      <c r="B3739" s="2" t="str">
        <f t="shared" si="116"/>
        <v>NSG_Income Eligible_Single Family_IHWAP_Health and Safety_no savings_SF</v>
      </c>
      <c r="C3739" s="2" t="str">
        <f t="shared" si="117"/>
        <v>NSG_Income Eligible_Single Family_IHWAP_Health and Safety_no savings_SF_2024</v>
      </c>
      <c r="D3739" s="19" t="s">
        <v>1787</v>
      </c>
      <c r="E3739" s="19" t="s">
        <v>325</v>
      </c>
      <c r="F3739" s="19" t="s">
        <v>375</v>
      </c>
      <c r="G3739" s="19" t="s">
        <v>1439</v>
      </c>
      <c r="H3739" s="19" t="s">
        <v>1437</v>
      </c>
      <c r="I3739" s="19" t="s">
        <v>1438</v>
      </c>
      <c r="J3739" s="19" t="s">
        <v>1469</v>
      </c>
      <c r="K3739" s="19" t="s">
        <v>409</v>
      </c>
      <c r="L3739" s="19">
        <v>2024</v>
      </c>
      <c r="M3739" s="20">
        <v>1</v>
      </c>
      <c r="N3739" s="19" t="s">
        <v>1795</v>
      </c>
      <c r="O3739" s="20">
        <v>70</v>
      </c>
      <c r="P3739" s="20">
        <v>70</v>
      </c>
      <c r="Q3739" s="20">
        <v>0</v>
      </c>
      <c r="R3739" s="21">
        <v>1</v>
      </c>
      <c r="S3739" s="20">
        <v>0</v>
      </c>
    </row>
    <row r="3740" spans="2:19" ht="15" customHeight="1" x14ac:dyDescent="0.25">
      <c r="B3740" s="2" t="str">
        <f t="shared" si="116"/>
        <v>NSG_Income Eligible_Single Family_IHWAP_Health and Safety_no savings_SF</v>
      </c>
      <c r="C3740" s="2" t="str">
        <f t="shared" si="117"/>
        <v>NSG_Income Eligible_Single Family_IHWAP_Health and Safety_no savings_SF_2025</v>
      </c>
      <c r="D3740" s="19" t="s">
        <v>1787</v>
      </c>
      <c r="E3740" s="19" t="s">
        <v>325</v>
      </c>
      <c r="F3740" s="19" t="s">
        <v>375</v>
      </c>
      <c r="G3740" s="19" t="s">
        <v>1439</v>
      </c>
      <c r="H3740" s="19" t="s">
        <v>1437</v>
      </c>
      <c r="I3740" s="19" t="s">
        <v>1438</v>
      </c>
      <c r="J3740" s="19" t="s">
        <v>1469</v>
      </c>
      <c r="K3740" s="19" t="s">
        <v>409</v>
      </c>
      <c r="L3740" s="19">
        <v>2025</v>
      </c>
      <c r="M3740" s="20">
        <v>1</v>
      </c>
      <c r="N3740" s="19" t="s">
        <v>1795</v>
      </c>
      <c r="O3740" s="20">
        <v>75</v>
      </c>
      <c r="P3740" s="20">
        <v>75</v>
      </c>
      <c r="Q3740" s="20">
        <v>0</v>
      </c>
      <c r="R3740" s="21">
        <v>1</v>
      </c>
      <c r="S3740" s="20">
        <v>0</v>
      </c>
    </row>
    <row r="3741" spans="2:19" ht="15" customHeight="1" x14ac:dyDescent="0.25">
      <c r="B3741" s="2" t="str">
        <f t="shared" si="116"/>
        <v>NSG_Income Eligible_Single Family_IE Kits_IE Kits_IE Kit_IE</v>
      </c>
      <c r="C3741" s="2" t="str">
        <f t="shared" si="117"/>
        <v>NSG_Income Eligible_Single Family_IE Kits_IE Kits_IE Kit_IE_2022</v>
      </c>
      <c r="D3741" s="19" t="s">
        <v>1787</v>
      </c>
      <c r="E3741" s="19" t="s">
        <v>325</v>
      </c>
      <c r="F3741" s="19" t="s">
        <v>375</v>
      </c>
      <c r="G3741" s="19" t="s">
        <v>1440</v>
      </c>
      <c r="H3741" s="19" t="s">
        <v>1440</v>
      </c>
      <c r="I3741" s="19" t="s">
        <v>550</v>
      </c>
      <c r="J3741" s="19" t="s">
        <v>1469</v>
      </c>
      <c r="K3741" s="19" t="s">
        <v>551</v>
      </c>
      <c r="L3741" s="19">
        <v>2022</v>
      </c>
      <c r="M3741" s="20">
        <v>1</v>
      </c>
      <c r="N3741" s="19" t="s">
        <v>1811</v>
      </c>
      <c r="O3741" s="20">
        <v>560</v>
      </c>
      <c r="P3741" s="20">
        <v>560</v>
      </c>
      <c r="Q3741" s="20">
        <v>0</v>
      </c>
      <c r="R3741" s="21">
        <v>1</v>
      </c>
      <c r="S3741" s="20">
        <v>0</v>
      </c>
    </row>
    <row r="3742" spans="2:19" ht="15" customHeight="1" x14ac:dyDescent="0.25">
      <c r="B3742" s="2" t="str">
        <f t="shared" si="116"/>
        <v>NSG_Income Eligible_Single Family_IE Kits_IE Kits_IE Kit_IE</v>
      </c>
      <c r="C3742" s="2" t="str">
        <f t="shared" si="117"/>
        <v>NSG_Income Eligible_Single Family_IE Kits_IE Kits_IE Kit_IE_2023</v>
      </c>
      <c r="D3742" s="19" t="s">
        <v>1787</v>
      </c>
      <c r="E3742" s="19" t="s">
        <v>325</v>
      </c>
      <c r="F3742" s="19" t="s">
        <v>375</v>
      </c>
      <c r="G3742" s="19" t="s">
        <v>1440</v>
      </c>
      <c r="H3742" s="19" t="s">
        <v>1440</v>
      </c>
      <c r="I3742" s="19" t="s">
        <v>550</v>
      </c>
      <c r="J3742" s="19" t="s">
        <v>1469</v>
      </c>
      <c r="K3742" s="19" t="s">
        <v>551</v>
      </c>
      <c r="L3742" s="19">
        <v>2023</v>
      </c>
      <c r="M3742" s="20">
        <v>1</v>
      </c>
      <c r="N3742" s="19" t="s">
        <v>1811</v>
      </c>
      <c r="O3742" s="20">
        <v>560</v>
      </c>
      <c r="P3742" s="20">
        <v>560</v>
      </c>
      <c r="Q3742" s="20">
        <v>0</v>
      </c>
      <c r="R3742" s="21">
        <v>1</v>
      </c>
      <c r="S3742" s="20">
        <v>0</v>
      </c>
    </row>
    <row r="3743" spans="2:19" ht="15" customHeight="1" x14ac:dyDescent="0.25">
      <c r="B3743" s="2" t="str">
        <f t="shared" si="116"/>
        <v>NSG_Income Eligible_Single Family_IE Kits_IE Kits_IE Kit_IE</v>
      </c>
      <c r="C3743" s="2" t="str">
        <f t="shared" si="117"/>
        <v>NSG_Income Eligible_Single Family_IE Kits_IE Kits_IE Kit_IE_2024</v>
      </c>
      <c r="D3743" s="19" t="s">
        <v>1787</v>
      </c>
      <c r="E3743" s="19" t="s">
        <v>325</v>
      </c>
      <c r="F3743" s="19" t="s">
        <v>375</v>
      </c>
      <c r="G3743" s="19" t="s">
        <v>1440</v>
      </c>
      <c r="H3743" s="19" t="s">
        <v>1440</v>
      </c>
      <c r="I3743" s="19" t="s">
        <v>550</v>
      </c>
      <c r="J3743" s="19" t="s">
        <v>1469</v>
      </c>
      <c r="K3743" s="19" t="s">
        <v>551</v>
      </c>
      <c r="L3743" s="19">
        <v>2024</v>
      </c>
      <c r="M3743" s="20">
        <v>1</v>
      </c>
      <c r="N3743" s="19" t="s">
        <v>1811</v>
      </c>
      <c r="O3743" s="20">
        <v>560</v>
      </c>
      <c r="P3743" s="20">
        <v>560</v>
      </c>
      <c r="Q3743" s="20">
        <v>0</v>
      </c>
      <c r="R3743" s="21">
        <v>1</v>
      </c>
      <c r="S3743" s="20">
        <v>0</v>
      </c>
    </row>
    <row r="3744" spans="2:19" ht="15" customHeight="1" x14ac:dyDescent="0.25">
      <c r="B3744" s="2" t="str">
        <f t="shared" si="116"/>
        <v>NSG_Income Eligible_Single Family_IE Kits_IE Kits_IE Kit_IE</v>
      </c>
      <c r="C3744" s="2" t="str">
        <f t="shared" si="117"/>
        <v>NSG_Income Eligible_Single Family_IE Kits_IE Kits_IE Kit_IE_2025</v>
      </c>
      <c r="D3744" s="19" t="s">
        <v>1787</v>
      </c>
      <c r="E3744" s="19" t="s">
        <v>325</v>
      </c>
      <c r="F3744" s="19" t="s">
        <v>375</v>
      </c>
      <c r="G3744" s="19" t="s">
        <v>1440</v>
      </c>
      <c r="H3744" s="19" t="s">
        <v>1440</v>
      </c>
      <c r="I3744" s="19" t="s">
        <v>550</v>
      </c>
      <c r="J3744" s="19" t="s">
        <v>1469</v>
      </c>
      <c r="K3744" s="19" t="s">
        <v>551</v>
      </c>
      <c r="L3744" s="19">
        <v>2025</v>
      </c>
      <c r="M3744" s="20">
        <v>1</v>
      </c>
      <c r="N3744" s="19" t="s">
        <v>1811</v>
      </c>
      <c r="O3744" s="20">
        <v>560</v>
      </c>
      <c r="P3744" s="20">
        <v>560</v>
      </c>
      <c r="Q3744" s="20">
        <v>0</v>
      </c>
      <c r="R3744" s="21">
        <v>1</v>
      </c>
      <c r="S3744" s="20">
        <v>0</v>
      </c>
    </row>
    <row r="3745" spans="2:19" ht="15" customHeight="1" x14ac:dyDescent="0.25">
      <c r="B3745" s="2" t="str">
        <f t="shared" si="116"/>
        <v>NSG_Income Eligible_Single Family_IE Kits_Low Flow Bathroom Aerator_IE Kit_IE</v>
      </c>
      <c r="C3745" s="2" t="str">
        <f t="shared" si="117"/>
        <v>NSG_Income Eligible_Single Family_IE Kits_Low Flow Bathroom Aerator_IE Kit_IE_2022</v>
      </c>
      <c r="D3745" s="19" t="s">
        <v>1787</v>
      </c>
      <c r="E3745" s="19" t="s">
        <v>325</v>
      </c>
      <c r="F3745" s="19" t="s">
        <v>375</v>
      </c>
      <c r="G3745" s="19" t="s">
        <v>1440</v>
      </c>
      <c r="H3745" s="19" t="s">
        <v>555</v>
      </c>
      <c r="I3745" s="19" t="s">
        <v>550</v>
      </c>
      <c r="J3745" s="19" t="s">
        <v>534</v>
      </c>
      <c r="K3745" s="19" t="s">
        <v>551</v>
      </c>
      <c r="L3745" s="19">
        <v>2022</v>
      </c>
      <c r="M3745" s="20">
        <v>1</v>
      </c>
      <c r="N3745" s="19" t="s">
        <v>1795</v>
      </c>
      <c r="O3745" s="20">
        <v>560</v>
      </c>
      <c r="P3745" s="20">
        <v>560</v>
      </c>
      <c r="Q3745" s="20">
        <v>330.63399676128341</v>
      </c>
      <c r="R3745" s="21">
        <v>1</v>
      </c>
      <c r="S3745" s="20">
        <v>330.63399676128341</v>
      </c>
    </row>
    <row r="3746" spans="2:19" ht="15" customHeight="1" x14ac:dyDescent="0.25">
      <c r="B3746" s="2" t="str">
        <f t="shared" si="116"/>
        <v>NSG_Income Eligible_Single Family_IE Kits_Low Flow Bathroom Aerator_IE Kit_IE</v>
      </c>
      <c r="C3746" s="2" t="str">
        <f t="shared" si="117"/>
        <v>NSG_Income Eligible_Single Family_IE Kits_Low Flow Bathroom Aerator_IE Kit_IE_2023</v>
      </c>
      <c r="D3746" s="19" t="s">
        <v>1787</v>
      </c>
      <c r="E3746" s="19" t="s">
        <v>325</v>
      </c>
      <c r="F3746" s="19" t="s">
        <v>375</v>
      </c>
      <c r="G3746" s="19" t="s">
        <v>1440</v>
      </c>
      <c r="H3746" s="19" t="s">
        <v>555</v>
      </c>
      <c r="I3746" s="19" t="s">
        <v>550</v>
      </c>
      <c r="J3746" s="19" t="s">
        <v>534</v>
      </c>
      <c r="K3746" s="19" t="s">
        <v>551</v>
      </c>
      <c r="L3746" s="19">
        <v>2023</v>
      </c>
      <c r="M3746" s="20">
        <v>1</v>
      </c>
      <c r="N3746" s="19" t="s">
        <v>1795</v>
      </c>
      <c r="O3746" s="20">
        <v>560</v>
      </c>
      <c r="P3746" s="20">
        <v>560</v>
      </c>
      <c r="Q3746" s="20">
        <v>330.63399676128341</v>
      </c>
      <c r="R3746" s="21">
        <v>1</v>
      </c>
      <c r="S3746" s="20">
        <v>330.63399676128341</v>
      </c>
    </row>
    <row r="3747" spans="2:19" ht="15" customHeight="1" x14ac:dyDescent="0.25">
      <c r="B3747" s="2" t="str">
        <f t="shared" si="116"/>
        <v>NSG_Income Eligible_Single Family_IE Kits_Low Flow Bathroom Aerator_IE Kit_IE</v>
      </c>
      <c r="C3747" s="2" t="str">
        <f t="shared" si="117"/>
        <v>NSG_Income Eligible_Single Family_IE Kits_Low Flow Bathroom Aerator_IE Kit_IE_2024</v>
      </c>
      <c r="D3747" s="19" t="s">
        <v>1787</v>
      </c>
      <c r="E3747" s="19" t="s">
        <v>325</v>
      </c>
      <c r="F3747" s="19" t="s">
        <v>375</v>
      </c>
      <c r="G3747" s="19" t="s">
        <v>1440</v>
      </c>
      <c r="H3747" s="19" t="s">
        <v>555</v>
      </c>
      <c r="I3747" s="19" t="s">
        <v>550</v>
      </c>
      <c r="J3747" s="19" t="s">
        <v>534</v>
      </c>
      <c r="K3747" s="19" t="s">
        <v>551</v>
      </c>
      <c r="L3747" s="19">
        <v>2024</v>
      </c>
      <c r="M3747" s="20">
        <v>1</v>
      </c>
      <c r="N3747" s="19" t="s">
        <v>1795</v>
      </c>
      <c r="O3747" s="20">
        <v>560</v>
      </c>
      <c r="P3747" s="20">
        <v>560</v>
      </c>
      <c r="Q3747" s="20">
        <v>330.63399676128341</v>
      </c>
      <c r="R3747" s="21">
        <v>1</v>
      </c>
      <c r="S3747" s="20">
        <v>330.63399676128341</v>
      </c>
    </row>
    <row r="3748" spans="2:19" ht="15" customHeight="1" x14ac:dyDescent="0.25">
      <c r="B3748" s="2" t="str">
        <f t="shared" si="116"/>
        <v>NSG_Income Eligible_Single Family_IE Kits_Low Flow Bathroom Aerator_IE Kit_IE</v>
      </c>
      <c r="C3748" s="2" t="str">
        <f t="shared" si="117"/>
        <v>NSG_Income Eligible_Single Family_IE Kits_Low Flow Bathroom Aerator_IE Kit_IE_2025</v>
      </c>
      <c r="D3748" s="19" t="s">
        <v>1787</v>
      </c>
      <c r="E3748" s="19" t="s">
        <v>325</v>
      </c>
      <c r="F3748" s="19" t="s">
        <v>375</v>
      </c>
      <c r="G3748" s="19" t="s">
        <v>1440</v>
      </c>
      <c r="H3748" s="19" t="s">
        <v>555</v>
      </c>
      <c r="I3748" s="19" t="s">
        <v>550</v>
      </c>
      <c r="J3748" s="19" t="s">
        <v>534</v>
      </c>
      <c r="K3748" s="19" t="s">
        <v>551</v>
      </c>
      <c r="L3748" s="19">
        <v>2025</v>
      </c>
      <c r="M3748" s="20">
        <v>1</v>
      </c>
      <c r="N3748" s="19" t="s">
        <v>1795</v>
      </c>
      <c r="O3748" s="20">
        <v>560</v>
      </c>
      <c r="P3748" s="20">
        <v>560</v>
      </c>
      <c r="Q3748" s="20">
        <v>330.63399676128341</v>
      </c>
      <c r="R3748" s="21">
        <v>1</v>
      </c>
      <c r="S3748" s="20">
        <v>330.63399676128341</v>
      </c>
    </row>
    <row r="3749" spans="2:19" ht="15" customHeight="1" x14ac:dyDescent="0.25">
      <c r="B3749" s="2" t="str">
        <f t="shared" si="116"/>
        <v>NSG_Income Eligible_Single Family_IE Kits_Low Flow Kitchen Aerator_IE Kit_IE</v>
      </c>
      <c r="C3749" s="2" t="str">
        <f t="shared" si="117"/>
        <v>NSG_Income Eligible_Single Family_IE Kits_Low Flow Kitchen Aerator_IE Kit_IE_2022</v>
      </c>
      <c r="D3749" s="19" t="s">
        <v>1787</v>
      </c>
      <c r="E3749" s="19" t="s">
        <v>325</v>
      </c>
      <c r="F3749" s="19" t="s">
        <v>375</v>
      </c>
      <c r="G3749" s="19" t="s">
        <v>1440</v>
      </c>
      <c r="H3749" s="19" t="s">
        <v>533</v>
      </c>
      <c r="I3749" s="19" t="s">
        <v>550</v>
      </c>
      <c r="J3749" s="19" t="s">
        <v>534</v>
      </c>
      <c r="K3749" s="19" t="s">
        <v>551</v>
      </c>
      <c r="L3749" s="19">
        <v>2022</v>
      </c>
      <c r="M3749" s="20">
        <v>1</v>
      </c>
      <c r="N3749" s="19" t="s">
        <v>1795</v>
      </c>
      <c r="O3749" s="20">
        <v>560</v>
      </c>
      <c r="P3749" s="20">
        <v>560</v>
      </c>
      <c r="Q3749" s="20">
        <v>2786.1453823469537</v>
      </c>
      <c r="R3749" s="21">
        <v>1</v>
      </c>
      <c r="S3749" s="20">
        <v>2786.1453823469537</v>
      </c>
    </row>
    <row r="3750" spans="2:19" ht="15" customHeight="1" x14ac:dyDescent="0.25">
      <c r="B3750" s="2" t="str">
        <f t="shared" si="116"/>
        <v>NSG_Income Eligible_Single Family_IE Kits_Low Flow Kitchen Aerator_IE Kit_IE</v>
      </c>
      <c r="C3750" s="2" t="str">
        <f t="shared" si="117"/>
        <v>NSG_Income Eligible_Single Family_IE Kits_Low Flow Kitchen Aerator_IE Kit_IE_2023</v>
      </c>
      <c r="D3750" s="19" t="s">
        <v>1787</v>
      </c>
      <c r="E3750" s="19" t="s">
        <v>325</v>
      </c>
      <c r="F3750" s="19" t="s">
        <v>375</v>
      </c>
      <c r="G3750" s="19" t="s">
        <v>1440</v>
      </c>
      <c r="H3750" s="19" t="s">
        <v>533</v>
      </c>
      <c r="I3750" s="19" t="s">
        <v>550</v>
      </c>
      <c r="J3750" s="19" t="s">
        <v>534</v>
      </c>
      <c r="K3750" s="19" t="s">
        <v>551</v>
      </c>
      <c r="L3750" s="19">
        <v>2023</v>
      </c>
      <c r="M3750" s="20">
        <v>1</v>
      </c>
      <c r="N3750" s="19" t="s">
        <v>1795</v>
      </c>
      <c r="O3750" s="20">
        <v>560</v>
      </c>
      <c r="P3750" s="20">
        <v>560</v>
      </c>
      <c r="Q3750" s="20">
        <v>2786.1453823469537</v>
      </c>
      <c r="R3750" s="21">
        <v>1</v>
      </c>
      <c r="S3750" s="20">
        <v>2786.1453823469537</v>
      </c>
    </row>
    <row r="3751" spans="2:19" ht="15" customHeight="1" x14ac:dyDescent="0.25">
      <c r="B3751" s="2" t="str">
        <f t="shared" si="116"/>
        <v>NSG_Income Eligible_Single Family_IE Kits_Low Flow Kitchen Aerator_IE Kit_IE</v>
      </c>
      <c r="C3751" s="2" t="str">
        <f t="shared" si="117"/>
        <v>NSG_Income Eligible_Single Family_IE Kits_Low Flow Kitchen Aerator_IE Kit_IE_2024</v>
      </c>
      <c r="D3751" s="19" t="s">
        <v>1787</v>
      </c>
      <c r="E3751" s="19" t="s">
        <v>325</v>
      </c>
      <c r="F3751" s="19" t="s">
        <v>375</v>
      </c>
      <c r="G3751" s="19" t="s">
        <v>1440</v>
      </c>
      <c r="H3751" s="19" t="s">
        <v>533</v>
      </c>
      <c r="I3751" s="19" t="s">
        <v>550</v>
      </c>
      <c r="J3751" s="19" t="s">
        <v>534</v>
      </c>
      <c r="K3751" s="19" t="s">
        <v>551</v>
      </c>
      <c r="L3751" s="19">
        <v>2024</v>
      </c>
      <c r="M3751" s="20">
        <v>1</v>
      </c>
      <c r="N3751" s="19" t="s">
        <v>1795</v>
      </c>
      <c r="O3751" s="20">
        <v>560</v>
      </c>
      <c r="P3751" s="20">
        <v>560</v>
      </c>
      <c r="Q3751" s="20">
        <v>2786.1453823469537</v>
      </c>
      <c r="R3751" s="21">
        <v>1</v>
      </c>
      <c r="S3751" s="20">
        <v>2786.1453823469537</v>
      </c>
    </row>
    <row r="3752" spans="2:19" ht="15" customHeight="1" x14ac:dyDescent="0.25">
      <c r="B3752" s="2" t="str">
        <f t="shared" si="116"/>
        <v>NSG_Income Eligible_Single Family_IE Kits_Low Flow Kitchen Aerator_IE Kit_IE</v>
      </c>
      <c r="C3752" s="2" t="str">
        <f t="shared" si="117"/>
        <v>NSG_Income Eligible_Single Family_IE Kits_Low Flow Kitchen Aerator_IE Kit_IE_2025</v>
      </c>
      <c r="D3752" s="19" t="s">
        <v>1787</v>
      </c>
      <c r="E3752" s="19" t="s">
        <v>325</v>
      </c>
      <c r="F3752" s="19" t="s">
        <v>375</v>
      </c>
      <c r="G3752" s="19" t="s">
        <v>1440</v>
      </c>
      <c r="H3752" s="19" t="s">
        <v>533</v>
      </c>
      <c r="I3752" s="19" t="s">
        <v>550</v>
      </c>
      <c r="J3752" s="19" t="s">
        <v>534</v>
      </c>
      <c r="K3752" s="19" t="s">
        <v>551</v>
      </c>
      <c r="L3752" s="19">
        <v>2025</v>
      </c>
      <c r="M3752" s="20">
        <v>1</v>
      </c>
      <c r="N3752" s="19" t="s">
        <v>1795</v>
      </c>
      <c r="O3752" s="20">
        <v>560</v>
      </c>
      <c r="P3752" s="20">
        <v>560</v>
      </c>
      <c r="Q3752" s="20">
        <v>2786.1453823469537</v>
      </c>
      <c r="R3752" s="21">
        <v>1</v>
      </c>
      <c r="S3752" s="20">
        <v>2786.1453823469537</v>
      </c>
    </row>
    <row r="3753" spans="2:19" ht="15" customHeight="1" x14ac:dyDescent="0.25">
      <c r="B3753" s="2" t="str">
        <f t="shared" si="116"/>
        <v>NSG_Income Eligible_Single Family_IE Kits_Low Flow Showerhead_IE Kit_IE</v>
      </c>
      <c r="C3753" s="2" t="str">
        <f t="shared" si="117"/>
        <v>NSG_Income Eligible_Single Family_IE Kits_Low Flow Showerhead_IE Kit_IE_2022</v>
      </c>
      <c r="D3753" s="19" t="s">
        <v>1787</v>
      </c>
      <c r="E3753" s="19" t="s">
        <v>325</v>
      </c>
      <c r="F3753" s="19" t="s">
        <v>375</v>
      </c>
      <c r="G3753" s="19" t="s">
        <v>1440</v>
      </c>
      <c r="H3753" s="19" t="s">
        <v>15</v>
      </c>
      <c r="I3753" s="19" t="s">
        <v>550</v>
      </c>
      <c r="J3753" s="19" t="s">
        <v>23</v>
      </c>
      <c r="K3753" s="19" t="s">
        <v>551</v>
      </c>
      <c r="L3753" s="19">
        <v>2022</v>
      </c>
      <c r="M3753" s="20">
        <v>1</v>
      </c>
      <c r="N3753" s="19" t="s">
        <v>1795</v>
      </c>
      <c r="O3753" s="20">
        <v>560</v>
      </c>
      <c r="P3753" s="20">
        <v>560</v>
      </c>
      <c r="Q3753" s="20">
        <v>3503.2293020721672</v>
      </c>
      <c r="R3753" s="21">
        <v>1</v>
      </c>
      <c r="S3753" s="20">
        <v>3503.2293020721672</v>
      </c>
    </row>
    <row r="3754" spans="2:19" ht="15" customHeight="1" x14ac:dyDescent="0.25">
      <c r="B3754" s="2" t="str">
        <f t="shared" si="116"/>
        <v>NSG_Income Eligible_Single Family_IE Kits_Low Flow Showerhead_IE Kit_IE</v>
      </c>
      <c r="C3754" s="2" t="str">
        <f t="shared" si="117"/>
        <v>NSG_Income Eligible_Single Family_IE Kits_Low Flow Showerhead_IE Kit_IE_2023</v>
      </c>
      <c r="D3754" s="19" t="s">
        <v>1787</v>
      </c>
      <c r="E3754" s="19" t="s">
        <v>325</v>
      </c>
      <c r="F3754" s="19" t="s">
        <v>375</v>
      </c>
      <c r="G3754" s="19" t="s">
        <v>1440</v>
      </c>
      <c r="H3754" s="19" t="s">
        <v>15</v>
      </c>
      <c r="I3754" s="19" t="s">
        <v>550</v>
      </c>
      <c r="J3754" s="19" t="s">
        <v>23</v>
      </c>
      <c r="K3754" s="19" t="s">
        <v>551</v>
      </c>
      <c r="L3754" s="19">
        <v>2023</v>
      </c>
      <c r="M3754" s="20">
        <v>1</v>
      </c>
      <c r="N3754" s="19" t="s">
        <v>1795</v>
      </c>
      <c r="O3754" s="20">
        <v>560</v>
      </c>
      <c r="P3754" s="20">
        <v>560</v>
      </c>
      <c r="Q3754" s="20">
        <v>3503.2293020721672</v>
      </c>
      <c r="R3754" s="21">
        <v>1</v>
      </c>
      <c r="S3754" s="20">
        <v>3503.2293020721672</v>
      </c>
    </row>
    <row r="3755" spans="2:19" ht="15" customHeight="1" x14ac:dyDescent="0.25">
      <c r="B3755" s="2" t="str">
        <f t="shared" si="116"/>
        <v>NSG_Income Eligible_Single Family_IE Kits_Low Flow Showerhead_IE Kit_IE</v>
      </c>
      <c r="C3755" s="2" t="str">
        <f t="shared" si="117"/>
        <v>NSG_Income Eligible_Single Family_IE Kits_Low Flow Showerhead_IE Kit_IE_2024</v>
      </c>
      <c r="D3755" s="19" t="s">
        <v>1787</v>
      </c>
      <c r="E3755" s="19" t="s">
        <v>325</v>
      </c>
      <c r="F3755" s="19" t="s">
        <v>375</v>
      </c>
      <c r="G3755" s="19" t="s">
        <v>1440</v>
      </c>
      <c r="H3755" s="19" t="s">
        <v>15</v>
      </c>
      <c r="I3755" s="19" t="s">
        <v>550</v>
      </c>
      <c r="J3755" s="19" t="s">
        <v>23</v>
      </c>
      <c r="K3755" s="19" t="s">
        <v>551</v>
      </c>
      <c r="L3755" s="19">
        <v>2024</v>
      </c>
      <c r="M3755" s="20">
        <v>1</v>
      </c>
      <c r="N3755" s="19" t="s">
        <v>1795</v>
      </c>
      <c r="O3755" s="20">
        <v>560</v>
      </c>
      <c r="P3755" s="20">
        <v>560</v>
      </c>
      <c r="Q3755" s="20">
        <v>3503.2293020721672</v>
      </c>
      <c r="R3755" s="21">
        <v>1</v>
      </c>
      <c r="S3755" s="20">
        <v>3503.2293020721672</v>
      </c>
    </row>
    <row r="3756" spans="2:19" ht="15" customHeight="1" x14ac:dyDescent="0.25">
      <c r="B3756" s="2" t="str">
        <f t="shared" si="116"/>
        <v>NSG_Income Eligible_Single Family_IE Kits_Low Flow Showerhead_IE Kit_IE</v>
      </c>
      <c r="C3756" s="2" t="str">
        <f t="shared" si="117"/>
        <v>NSG_Income Eligible_Single Family_IE Kits_Low Flow Showerhead_IE Kit_IE_2025</v>
      </c>
      <c r="D3756" s="19" t="s">
        <v>1787</v>
      </c>
      <c r="E3756" s="19" t="s">
        <v>325</v>
      </c>
      <c r="F3756" s="19" t="s">
        <v>375</v>
      </c>
      <c r="G3756" s="19" t="s">
        <v>1440</v>
      </c>
      <c r="H3756" s="19" t="s">
        <v>15</v>
      </c>
      <c r="I3756" s="19" t="s">
        <v>550</v>
      </c>
      <c r="J3756" s="19" t="s">
        <v>23</v>
      </c>
      <c r="K3756" s="19" t="s">
        <v>551</v>
      </c>
      <c r="L3756" s="19">
        <v>2025</v>
      </c>
      <c r="M3756" s="20">
        <v>1</v>
      </c>
      <c r="N3756" s="19" t="s">
        <v>1795</v>
      </c>
      <c r="O3756" s="20">
        <v>560</v>
      </c>
      <c r="P3756" s="20">
        <v>560</v>
      </c>
      <c r="Q3756" s="20">
        <v>3503.2293020721672</v>
      </c>
      <c r="R3756" s="21">
        <v>1</v>
      </c>
      <c r="S3756" s="20">
        <v>3503.2293020721672</v>
      </c>
    </row>
    <row r="3757" spans="2:19" ht="15" customHeight="1" x14ac:dyDescent="0.25">
      <c r="B3757" s="2" t="str">
        <f t="shared" si="116"/>
        <v>NSG_Income Eligible_Single Family_IE Kits_Shower Timer_IE Kit_IE</v>
      </c>
      <c r="C3757" s="2" t="str">
        <f t="shared" si="117"/>
        <v>NSG_Income Eligible_Single Family_IE Kits_Shower Timer_IE Kit_IE_2022</v>
      </c>
      <c r="D3757" s="19" t="s">
        <v>1787</v>
      </c>
      <c r="E3757" s="19" t="s">
        <v>325</v>
      </c>
      <c r="F3757" s="19" t="s">
        <v>375</v>
      </c>
      <c r="G3757" s="19" t="s">
        <v>1440</v>
      </c>
      <c r="H3757" s="19" t="s">
        <v>1031</v>
      </c>
      <c r="I3757" s="19" t="s">
        <v>550</v>
      </c>
      <c r="J3757" s="19" t="s">
        <v>1033</v>
      </c>
      <c r="K3757" s="19" t="s">
        <v>551</v>
      </c>
      <c r="L3757" s="19">
        <v>2022</v>
      </c>
      <c r="M3757" s="20">
        <v>1</v>
      </c>
      <c r="N3757" s="19" t="s">
        <v>1795</v>
      </c>
      <c r="O3757" s="20">
        <v>560</v>
      </c>
      <c r="P3757" s="20">
        <v>560</v>
      </c>
      <c r="Q3757" s="20">
        <v>2076.0579721340928</v>
      </c>
      <c r="R3757" s="21">
        <v>1</v>
      </c>
      <c r="S3757" s="20">
        <v>2076.0579721340928</v>
      </c>
    </row>
    <row r="3758" spans="2:19" ht="15" customHeight="1" x14ac:dyDescent="0.25">
      <c r="B3758" s="2" t="str">
        <f t="shared" si="116"/>
        <v>NSG_Income Eligible_Single Family_IE Kits_Shower Timer_IE Kit_IE</v>
      </c>
      <c r="C3758" s="2" t="str">
        <f t="shared" si="117"/>
        <v>NSG_Income Eligible_Single Family_IE Kits_Shower Timer_IE Kit_IE_2023</v>
      </c>
      <c r="D3758" s="19" t="s">
        <v>1787</v>
      </c>
      <c r="E3758" s="19" t="s">
        <v>325</v>
      </c>
      <c r="F3758" s="19" t="s">
        <v>375</v>
      </c>
      <c r="G3758" s="19" t="s">
        <v>1440</v>
      </c>
      <c r="H3758" s="19" t="s">
        <v>1031</v>
      </c>
      <c r="I3758" s="19" t="s">
        <v>550</v>
      </c>
      <c r="J3758" s="19" t="s">
        <v>1033</v>
      </c>
      <c r="K3758" s="19" t="s">
        <v>551</v>
      </c>
      <c r="L3758" s="19">
        <v>2023</v>
      </c>
      <c r="M3758" s="20">
        <v>1</v>
      </c>
      <c r="N3758" s="19" t="s">
        <v>1795</v>
      </c>
      <c r="O3758" s="20">
        <v>560</v>
      </c>
      <c r="P3758" s="20">
        <v>560</v>
      </c>
      <c r="Q3758" s="20">
        <v>2076.0579721340928</v>
      </c>
      <c r="R3758" s="21">
        <v>1</v>
      </c>
      <c r="S3758" s="20">
        <v>2076.0579721340928</v>
      </c>
    </row>
    <row r="3759" spans="2:19" ht="15" customHeight="1" x14ac:dyDescent="0.25">
      <c r="B3759" s="2" t="str">
        <f t="shared" si="116"/>
        <v>NSG_Income Eligible_Single Family_IE Kits_Shower Timer_IE Kit_IE</v>
      </c>
      <c r="C3759" s="2" t="str">
        <f t="shared" si="117"/>
        <v>NSG_Income Eligible_Single Family_IE Kits_Shower Timer_IE Kit_IE_2024</v>
      </c>
      <c r="D3759" s="19" t="s">
        <v>1787</v>
      </c>
      <c r="E3759" s="19" t="s">
        <v>325</v>
      </c>
      <c r="F3759" s="19" t="s">
        <v>375</v>
      </c>
      <c r="G3759" s="19" t="s">
        <v>1440</v>
      </c>
      <c r="H3759" s="19" t="s">
        <v>1031</v>
      </c>
      <c r="I3759" s="19" t="s">
        <v>550</v>
      </c>
      <c r="J3759" s="19" t="s">
        <v>1033</v>
      </c>
      <c r="K3759" s="19" t="s">
        <v>551</v>
      </c>
      <c r="L3759" s="19">
        <v>2024</v>
      </c>
      <c r="M3759" s="20">
        <v>1</v>
      </c>
      <c r="N3759" s="19" t="s">
        <v>1795</v>
      </c>
      <c r="O3759" s="20">
        <v>560</v>
      </c>
      <c r="P3759" s="20">
        <v>560</v>
      </c>
      <c r="Q3759" s="20">
        <v>2076.0579721340928</v>
      </c>
      <c r="R3759" s="21">
        <v>1</v>
      </c>
      <c r="S3759" s="20">
        <v>2076.0579721340928</v>
      </c>
    </row>
    <row r="3760" spans="2:19" ht="15" customHeight="1" x14ac:dyDescent="0.25">
      <c r="B3760" s="2" t="str">
        <f t="shared" si="116"/>
        <v>NSG_Income Eligible_Single Family_IE Kits_Shower Timer_IE Kit_IE</v>
      </c>
      <c r="C3760" s="2" t="str">
        <f t="shared" si="117"/>
        <v>NSG_Income Eligible_Single Family_IE Kits_Shower Timer_IE Kit_IE_2025</v>
      </c>
      <c r="D3760" s="19" t="s">
        <v>1787</v>
      </c>
      <c r="E3760" s="19" t="s">
        <v>325</v>
      </c>
      <c r="F3760" s="19" t="s">
        <v>375</v>
      </c>
      <c r="G3760" s="19" t="s">
        <v>1440</v>
      </c>
      <c r="H3760" s="19" t="s">
        <v>1031</v>
      </c>
      <c r="I3760" s="19" t="s">
        <v>550</v>
      </c>
      <c r="J3760" s="19" t="s">
        <v>1033</v>
      </c>
      <c r="K3760" s="19" t="s">
        <v>551</v>
      </c>
      <c r="L3760" s="19">
        <v>2025</v>
      </c>
      <c r="M3760" s="20">
        <v>1</v>
      </c>
      <c r="N3760" s="19" t="s">
        <v>1795</v>
      </c>
      <c r="O3760" s="20">
        <v>560</v>
      </c>
      <c r="P3760" s="20">
        <v>560</v>
      </c>
      <c r="Q3760" s="20">
        <v>2076.0579721340928</v>
      </c>
      <c r="R3760" s="21">
        <v>1</v>
      </c>
      <c r="S3760" s="20">
        <v>2076.0579721340928</v>
      </c>
    </row>
    <row r="3761" spans="2:19" ht="15" customHeight="1" x14ac:dyDescent="0.25">
      <c r="B3761" s="2" t="str">
        <f t="shared" si="116"/>
        <v>NSG_Income Eligible_Single Family_IE Kits_Pipe Insulation_IE Kit_IE</v>
      </c>
      <c r="C3761" s="2" t="str">
        <f t="shared" si="117"/>
        <v>NSG_Income Eligible_Single Family_IE Kits_Pipe Insulation_IE Kit_IE_2022</v>
      </c>
      <c r="D3761" s="19" t="s">
        <v>1787</v>
      </c>
      <c r="E3761" s="19" t="s">
        <v>325</v>
      </c>
      <c r="F3761" s="19" t="s">
        <v>375</v>
      </c>
      <c r="G3761" s="19" t="s">
        <v>1440</v>
      </c>
      <c r="H3761" s="19" t="s">
        <v>404</v>
      </c>
      <c r="I3761" s="19" t="s">
        <v>550</v>
      </c>
      <c r="J3761" s="19" t="s">
        <v>1008</v>
      </c>
      <c r="K3761" s="19" t="s">
        <v>551</v>
      </c>
      <c r="L3761" s="19">
        <v>2022</v>
      </c>
      <c r="M3761" s="20">
        <v>1</v>
      </c>
      <c r="N3761" s="19" t="s">
        <v>1810</v>
      </c>
      <c r="O3761" s="20">
        <v>3360</v>
      </c>
      <c r="P3761" s="20">
        <v>3360</v>
      </c>
      <c r="Q3761" s="20">
        <v>1660.8256724517396</v>
      </c>
      <c r="R3761" s="21">
        <v>1</v>
      </c>
      <c r="S3761" s="20">
        <v>1660.8256724517396</v>
      </c>
    </row>
    <row r="3762" spans="2:19" ht="15" customHeight="1" x14ac:dyDescent="0.25">
      <c r="B3762" s="2" t="str">
        <f t="shared" si="116"/>
        <v>NSG_Income Eligible_Single Family_IE Kits_Pipe Insulation_IE Kit_IE</v>
      </c>
      <c r="C3762" s="2" t="str">
        <f t="shared" si="117"/>
        <v>NSG_Income Eligible_Single Family_IE Kits_Pipe Insulation_IE Kit_IE_2023</v>
      </c>
      <c r="D3762" s="19" t="s">
        <v>1787</v>
      </c>
      <c r="E3762" s="19" t="s">
        <v>325</v>
      </c>
      <c r="F3762" s="19" t="s">
        <v>375</v>
      </c>
      <c r="G3762" s="19" t="s">
        <v>1440</v>
      </c>
      <c r="H3762" s="19" t="s">
        <v>404</v>
      </c>
      <c r="I3762" s="19" t="s">
        <v>550</v>
      </c>
      <c r="J3762" s="19" t="s">
        <v>1008</v>
      </c>
      <c r="K3762" s="19" t="s">
        <v>551</v>
      </c>
      <c r="L3762" s="19">
        <v>2023</v>
      </c>
      <c r="M3762" s="20">
        <v>1</v>
      </c>
      <c r="N3762" s="19" t="s">
        <v>1810</v>
      </c>
      <c r="O3762" s="20">
        <v>3360</v>
      </c>
      <c r="P3762" s="20">
        <v>3360</v>
      </c>
      <c r="Q3762" s="20">
        <v>1660.8256724517396</v>
      </c>
      <c r="R3762" s="21">
        <v>1</v>
      </c>
      <c r="S3762" s="20">
        <v>1660.8256724517396</v>
      </c>
    </row>
    <row r="3763" spans="2:19" ht="15" customHeight="1" x14ac:dyDescent="0.25">
      <c r="B3763" s="2" t="str">
        <f t="shared" si="116"/>
        <v>NSG_Income Eligible_Single Family_IE Kits_Pipe Insulation_IE Kit_IE</v>
      </c>
      <c r="C3763" s="2" t="str">
        <f t="shared" si="117"/>
        <v>NSG_Income Eligible_Single Family_IE Kits_Pipe Insulation_IE Kit_IE_2024</v>
      </c>
      <c r="D3763" s="19" t="s">
        <v>1787</v>
      </c>
      <c r="E3763" s="19" t="s">
        <v>325</v>
      </c>
      <c r="F3763" s="19" t="s">
        <v>375</v>
      </c>
      <c r="G3763" s="19" t="s">
        <v>1440</v>
      </c>
      <c r="H3763" s="19" t="s">
        <v>404</v>
      </c>
      <c r="I3763" s="19" t="s">
        <v>550</v>
      </c>
      <c r="J3763" s="19" t="s">
        <v>1008</v>
      </c>
      <c r="K3763" s="19" t="s">
        <v>551</v>
      </c>
      <c r="L3763" s="19">
        <v>2024</v>
      </c>
      <c r="M3763" s="20">
        <v>1</v>
      </c>
      <c r="N3763" s="19" t="s">
        <v>1810</v>
      </c>
      <c r="O3763" s="20">
        <v>3360</v>
      </c>
      <c r="P3763" s="20">
        <v>3360</v>
      </c>
      <c r="Q3763" s="20">
        <v>1660.8256724517396</v>
      </c>
      <c r="R3763" s="21">
        <v>1</v>
      </c>
      <c r="S3763" s="20">
        <v>1660.8256724517396</v>
      </c>
    </row>
    <row r="3764" spans="2:19" ht="15" customHeight="1" x14ac:dyDescent="0.25">
      <c r="B3764" s="2" t="str">
        <f t="shared" si="116"/>
        <v>NSG_Income Eligible_Single Family_IE Kits_Pipe Insulation_IE Kit_IE</v>
      </c>
      <c r="C3764" s="2" t="str">
        <f t="shared" si="117"/>
        <v>NSG_Income Eligible_Single Family_IE Kits_Pipe Insulation_IE Kit_IE_2025</v>
      </c>
      <c r="D3764" s="19" t="s">
        <v>1787</v>
      </c>
      <c r="E3764" s="19" t="s">
        <v>325</v>
      </c>
      <c r="F3764" s="19" t="s">
        <v>375</v>
      </c>
      <c r="G3764" s="19" t="s">
        <v>1440</v>
      </c>
      <c r="H3764" s="19" t="s">
        <v>404</v>
      </c>
      <c r="I3764" s="19" t="s">
        <v>550</v>
      </c>
      <c r="J3764" s="19" t="s">
        <v>1008</v>
      </c>
      <c r="K3764" s="19" t="s">
        <v>551</v>
      </c>
      <c r="L3764" s="19">
        <v>2025</v>
      </c>
      <c r="M3764" s="20">
        <v>1</v>
      </c>
      <c r="N3764" s="19" t="s">
        <v>1810</v>
      </c>
      <c r="O3764" s="20">
        <v>3360</v>
      </c>
      <c r="P3764" s="20">
        <v>3360</v>
      </c>
      <c r="Q3764" s="20">
        <v>1660.8256724517396</v>
      </c>
      <c r="R3764" s="21">
        <v>1</v>
      </c>
      <c r="S3764" s="20">
        <v>1660.8256724517396</v>
      </c>
    </row>
    <row r="3765" spans="2:19" ht="15" customHeight="1" x14ac:dyDescent="0.25">
      <c r="B3765" s="2" t="str">
        <f t="shared" si="116"/>
        <v>NSG_Income Eligible_Single Family_IE Kits_Weatherstripping_IE Kit_IE</v>
      </c>
      <c r="C3765" s="2" t="str">
        <f t="shared" si="117"/>
        <v>NSG_Income Eligible_Single Family_IE Kits_Weatherstripping_IE Kit_IE_2022</v>
      </c>
      <c r="D3765" s="19" t="s">
        <v>1787</v>
      </c>
      <c r="E3765" s="19" t="s">
        <v>325</v>
      </c>
      <c r="F3765" s="19" t="s">
        <v>375</v>
      </c>
      <c r="G3765" s="19" t="s">
        <v>1440</v>
      </c>
      <c r="H3765" s="19" t="s">
        <v>576</v>
      </c>
      <c r="I3765" s="19" t="s">
        <v>550</v>
      </c>
      <c r="J3765" s="19" t="s">
        <v>573</v>
      </c>
      <c r="K3765" s="19" t="s">
        <v>551</v>
      </c>
      <c r="L3765" s="19">
        <v>2022</v>
      </c>
      <c r="M3765" s="20">
        <v>17</v>
      </c>
      <c r="N3765" s="19" t="s">
        <v>1810</v>
      </c>
      <c r="O3765" s="20">
        <v>560</v>
      </c>
      <c r="P3765" s="20">
        <v>9520</v>
      </c>
      <c r="Q3765" s="20">
        <v>2926.8287999999998</v>
      </c>
      <c r="R3765" s="21">
        <v>1</v>
      </c>
      <c r="S3765" s="20">
        <v>2926.8287999999998</v>
      </c>
    </row>
    <row r="3766" spans="2:19" ht="15" customHeight="1" x14ac:dyDescent="0.25">
      <c r="B3766" s="2" t="str">
        <f t="shared" si="116"/>
        <v>NSG_Income Eligible_Single Family_IE Kits_Weatherstripping_IE Kit_IE</v>
      </c>
      <c r="C3766" s="2" t="str">
        <f t="shared" si="117"/>
        <v>NSG_Income Eligible_Single Family_IE Kits_Weatherstripping_IE Kit_IE_2023</v>
      </c>
      <c r="D3766" s="19" t="s">
        <v>1787</v>
      </c>
      <c r="E3766" s="19" t="s">
        <v>325</v>
      </c>
      <c r="F3766" s="19" t="s">
        <v>375</v>
      </c>
      <c r="G3766" s="19" t="s">
        <v>1440</v>
      </c>
      <c r="H3766" s="19" t="s">
        <v>576</v>
      </c>
      <c r="I3766" s="19" t="s">
        <v>550</v>
      </c>
      <c r="J3766" s="19" t="s">
        <v>573</v>
      </c>
      <c r="K3766" s="19" t="s">
        <v>551</v>
      </c>
      <c r="L3766" s="19">
        <v>2023</v>
      </c>
      <c r="M3766" s="20">
        <v>17</v>
      </c>
      <c r="N3766" s="19" t="s">
        <v>1810</v>
      </c>
      <c r="O3766" s="20">
        <v>560</v>
      </c>
      <c r="P3766" s="20">
        <v>9520</v>
      </c>
      <c r="Q3766" s="20">
        <v>2926.8287999999998</v>
      </c>
      <c r="R3766" s="21">
        <v>1</v>
      </c>
      <c r="S3766" s="20">
        <v>2926.8287999999998</v>
      </c>
    </row>
    <row r="3767" spans="2:19" ht="15" customHeight="1" x14ac:dyDescent="0.25">
      <c r="B3767" s="2" t="str">
        <f t="shared" si="116"/>
        <v>NSG_Income Eligible_Single Family_IE Kits_Weatherstripping_IE Kit_IE</v>
      </c>
      <c r="C3767" s="2" t="str">
        <f t="shared" si="117"/>
        <v>NSG_Income Eligible_Single Family_IE Kits_Weatherstripping_IE Kit_IE_2024</v>
      </c>
      <c r="D3767" s="19" t="s">
        <v>1787</v>
      </c>
      <c r="E3767" s="19" t="s">
        <v>325</v>
      </c>
      <c r="F3767" s="19" t="s">
        <v>375</v>
      </c>
      <c r="G3767" s="19" t="s">
        <v>1440</v>
      </c>
      <c r="H3767" s="19" t="s">
        <v>576</v>
      </c>
      <c r="I3767" s="19" t="s">
        <v>550</v>
      </c>
      <c r="J3767" s="19" t="s">
        <v>573</v>
      </c>
      <c r="K3767" s="19" t="s">
        <v>551</v>
      </c>
      <c r="L3767" s="19">
        <v>2024</v>
      </c>
      <c r="M3767" s="20">
        <v>17</v>
      </c>
      <c r="N3767" s="19" t="s">
        <v>1810</v>
      </c>
      <c r="O3767" s="20">
        <v>560</v>
      </c>
      <c r="P3767" s="20">
        <v>9520</v>
      </c>
      <c r="Q3767" s="20">
        <v>2926.8287999999998</v>
      </c>
      <c r="R3767" s="21">
        <v>1</v>
      </c>
      <c r="S3767" s="20">
        <v>2926.8287999999998</v>
      </c>
    </row>
    <row r="3768" spans="2:19" ht="15" customHeight="1" x14ac:dyDescent="0.25">
      <c r="B3768" s="2" t="str">
        <f t="shared" si="116"/>
        <v>NSG_Income Eligible_Single Family_IE Kits_Weatherstripping_IE Kit_IE</v>
      </c>
      <c r="C3768" s="2" t="str">
        <f t="shared" si="117"/>
        <v>NSG_Income Eligible_Single Family_IE Kits_Weatherstripping_IE Kit_IE_2025</v>
      </c>
      <c r="D3768" s="19" t="s">
        <v>1787</v>
      </c>
      <c r="E3768" s="19" t="s">
        <v>325</v>
      </c>
      <c r="F3768" s="19" t="s">
        <v>375</v>
      </c>
      <c r="G3768" s="19" t="s">
        <v>1440</v>
      </c>
      <c r="H3768" s="19" t="s">
        <v>576</v>
      </c>
      <c r="I3768" s="19" t="s">
        <v>550</v>
      </c>
      <c r="J3768" s="19" t="s">
        <v>573</v>
      </c>
      <c r="K3768" s="19" t="s">
        <v>551</v>
      </c>
      <c r="L3768" s="19">
        <v>2025</v>
      </c>
      <c r="M3768" s="20">
        <v>17</v>
      </c>
      <c r="N3768" s="19" t="s">
        <v>1810</v>
      </c>
      <c r="O3768" s="20">
        <v>560</v>
      </c>
      <c r="P3768" s="20">
        <v>9520</v>
      </c>
      <c r="Q3768" s="20">
        <v>2926.8287999999998</v>
      </c>
      <c r="R3768" s="21">
        <v>1</v>
      </c>
      <c r="S3768" s="20">
        <v>2926.8287999999998</v>
      </c>
    </row>
    <row r="3769" spans="2:19" ht="15" customHeight="1" x14ac:dyDescent="0.25">
      <c r="B3769" s="2" t="str">
        <f t="shared" si="116"/>
        <v>NSG_Income Eligible_Single Family_IE Kits_Outlet and Switch Gaskets_IE Kit_IE</v>
      </c>
      <c r="C3769" s="2" t="str">
        <f t="shared" si="117"/>
        <v>NSG_Income Eligible_Single Family_IE Kits_Outlet and Switch Gaskets_IE Kit_IE_2022</v>
      </c>
      <c r="D3769" s="19" t="s">
        <v>1787</v>
      </c>
      <c r="E3769" s="19" t="s">
        <v>325</v>
      </c>
      <c r="F3769" s="19" t="s">
        <v>375</v>
      </c>
      <c r="G3769" s="19" t="s">
        <v>1440</v>
      </c>
      <c r="H3769" s="19" t="s">
        <v>563</v>
      </c>
      <c r="I3769" s="19" t="s">
        <v>550</v>
      </c>
      <c r="J3769" s="19" t="s">
        <v>573</v>
      </c>
      <c r="K3769" s="19" t="s">
        <v>551</v>
      </c>
      <c r="L3769" s="19">
        <v>2022</v>
      </c>
      <c r="M3769" s="20">
        <v>1</v>
      </c>
      <c r="N3769" s="19" t="s">
        <v>1798</v>
      </c>
      <c r="O3769" s="20">
        <v>11200</v>
      </c>
      <c r="P3769" s="20">
        <v>11200</v>
      </c>
      <c r="Q3769" s="20">
        <v>2147.712</v>
      </c>
      <c r="R3769" s="21">
        <v>1</v>
      </c>
      <c r="S3769" s="20">
        <v>2147.712</v>
      </c>
    </row>
    <row r="3770" spans="2:19" ht="15" customHeight="1" x14ac:dyDescent="0.25">
      <c r="B3770" s="2" t="str">
        <f t="shared" si="116"/>
        <v>NSG_Income Eligible_Single Family_IE Kits_Outlet and Switch Gaskets_IE Kit_IE</v>
      </c>
      <c r="C3770" s="2" t="str">
        <f t="shared" si="117"/>
        <v>NSG_Income Eligible_Single Family_IE Kits_Outlet and Switch Gaskets_IE Kit_IE_2023</v>
      </c>
      <c r="D3770" s="19" t="s">
        <v>1787</v>
      </c>
      <c r="E3770" s="19" t="s">
        <v>325</v>
      </c>
      <c r="F3770" s="19" t="s">
        <v>375</v>
      </c>
      <c r="G3770" s="19" t="s">
        <v>1440</v>
      </c>
      <c r="H3770" s="19" t="s">
        <v>563</v>
      </c>
      <c r="I3770" s="19" t="s">
        <v>550</v>
      </c>
      <c r="J3770" s="19" t="s">
        <v>573</v>
      </c>
      <c r="K3770" s="19" t="s">
        <v>551</v>
      </c>
      <c r="L3770" s="19">
        <v>2023</v>
      </c>
      <c r="M3770" s="20">
        <v>1</v>
      </c>
      <c r="N3770" s="19" t="s">
        <v>1798</v>
      </c>
      <c r="O3770" s="20">
        <v>11200</v>
      </c>
      <c r="P3770" s="20">
        <v>11200</v>
      </c>
      <c r="Q3770" s="20">
        <v>2147.712</v>
      </c>
      <c r="R3770" s="21">
        <v>1</v>
      </c>
      <c r="S3770" s="20">
        <v>2147.712</v>
      </c>
    </row>
    <row r="3771" spans="2:19" ht="15" customHeight="1" x14ac:dyDescent="0.25">
      <c r="B3771" s="2" t="str">
        <f t="shared" si="116"/>
        <v>NSG_Income Eligible_Single Family_IE Kits_Outlet and Switch Gaskets_IE Kit_IE</v>
      </c>
      <c r="C3771" s="2" t="str">
        <f t="shared" si="117"/>
        <v>NSG_Income Eligible_Single Family_IE Kits_Outlet and Switch Gaskets_IE Kit_IE_2024</v>
      </c>
      <c r="D3771" s="19" t="s">
        <v>1787</v>
      </c>
      <c r="E3771" s="19" t="s">
        <v>325</v>
      </c>
      <c r="F3771" s="19" t="s">
        <v>375</v>
      </c>
      <c r="G3771" s="19" t="s">
        <v>1440</v>
      </c>
      <c r="H3771" s="19" t="s">
        <v>563</v>
      </c>
      <c r="I3771" s="19" t="s">
        <v>550</v>
      </c>
      <c r="J3771" s="19" t="s">
        <v>573</v>
      </c>
      <c r="K3771" s="19" t="s">
        <v>551</v>
      </c>
      <c r="L3771" s="19">
        <v>2024</v>
      </c>
      <c r="M3771" s="20">
        <v>1</v>
      </c>
      <c r="N3771" s="19" t="s">
        <v>1798</v>
      </c>
      <c r="O3771" s="20">
        <v>11200</v>
      </c>
      <c r="P3771" s="20">
        <v>11200</v>
      </c>
      <c r="Q3771" s="20">
        <v>2147.712</v>
      </c>
      <c r="R3771" s="21">
        <v>1</v>
      </c>
      <c r="S3771" s="20">
        <v>2147.712</v>
      </c>
    </row>
    <row r="3772" spans="2:19" ht="15" customHeight="1" x14ac:dyDescent="0.25">
      <c r="B3772" s="2" t="str">
        <f t="shared" si="116"/>
        <v>NSG_Income Eligible_Single Family_IE Kits_Outlet and Switch Gaskets_IE Kit_IE</v>
      </c>
      <c r="C3772" s="2" t="str">
        <f t="shared" si="117"/>
        <v>NSG_Income Eligible_Single Family_IE Kits_Outlet and Switch Gaskets_IE Kit_IE_2025</v>
      </c>
      <c r="D3772" s="19" t="s">
        <v>1787</v>
      </c>
      <c r="E3772" s="19" t="s">
        <v>325</v>
      </c>
      <c r="F3772" s="19" t="s">
        <v>375</v>
      </c>
      <c r="G3772" s="19" t="s">
        <v>1440</v>
      </c>
      <c r="H3772" s="19" t="s">
        <v>563</v>
      </c>
      <c r="I3772" s="19" t="s">
        <v>550</v>
      </c>
      <c r="J3772" s="19" t="s">
        <v>573</v>
      </c>
      <c r="K3772" s="19" t="s">
        <v>551</v>
      </c>
      <c r="L3772" s="19">
        <v>2025</v>
      </c>
      <c r="M3772" s="20">
        <v>1</v>
      </c>
      <c r="N3772" s="19" t="s">
        <v>1798</v>
      </c>
      <c r="O3772" s="20">
        <v>11200</v>
      </c>
      <c r="P3772" s="20">
        <v>11200</v>
      </c>
      <c r="Q3772" s="20">
        <v>2147.712</v>
      </c>
      <c r="R3772" s="21">
        <v>1</v>
      </c>
      <c r="S3772" s="20">
        <v>2147.712</v>
      </c>
    </row>
    <row r="3773" spans="2:19" ht="15" customHeight="1" x14ac:dyDescent="0.25">
      <c r="B3773" s="2" t="str">
        <f t="shared" si="116"/>
        <v>NSG_Income Eligible_Single Family_IE Kits_Window Kit_IE Kit_IE</v>
      </c>
      <c r="C3773" s="2" t="str">
        <f t="shared" si="117"/>
        <v>NSG_Income Eligible_Single Family_IE Kits_Window Kit_IE Kit_IE_2022</v>
      </c>
      <c r="D3773" s="19" t="s">
        <v>1787</v>
      </c>
      <c r="E3773" s="19" t="s">
        <v>325</v>
      </c>
      <c r="F3773" s="19" t="s">
        <v>375</v>
      </c>
      <c r="G3773" s="19" t="s">
        <v>1440</v>
      </c>
      <c r="H3773" s="19" t="s">
        <v>574</v>
      </c>
      <c r="I3773" s="19" t="s">
        <v>550</v>
      </c>
      <c r="J3773" s="19" t="s">
        <v>573</v>
      </c>
      <c r="K3773" s="19" t="s">
        <v>551</v>
      </c>
      <c r="L3773" s="19">
        <v>2022</v>
      </c>
      <c r="M3773" s="20">
        <v>1</v>
      </c>
      <c r="N3773" s="19" t="s">
        <v>634</v>
      </c>
      <c r="O3773" s="20">
        <v>42000</v>
      </c>
      <c r="P3773" s="20">
        <v>42000</v>
      </c>
      <c r="Q3773" s="20">
        <v>3504.8159999999998</v>
      </c>
      <c r="R3773" s="21">
        <v>1</v>
      </c>
      <c r="S3773" s="20">
        <v>3504.8159999999998</v>
      </c>
    </row>
    <row r="3774" spans="2:19" ht="15" customHeight="1" x14ac:dyDescent="0.25">
      <c r="B3774" s="2" t="str">
        <f t="shared" si="116"/>
        <v>NSG_Income Eligible_Single Family_IE Kits_Window Kit_IE Kit_IE</v>
      </c>
      <c r="C3774" s="2" t="str">
        <f t="shared" si="117"/>
        <v>NSG_Income Eligible_Single Family_IE Kits_Window Kit_IE Kit_IE_2023</v>
      </c>
      <c r="D3774" s="19" t="s">
        <v>1787</v>
      </c>
      <c r="E3774" s="19" t="s">
        <v>325</v>
      </c>
      <c r="F3774" s="19" t="s">
        <v>375</v>
      </c>
      <c r="G3774" s="19" t="s">
        <v>1440</v>
      </c>
      <c r="H3774" s="19" t="s">
        <v>574</v>
      </c>
      <c r="I3774" s="19" t="s">
        <v>550</v>
      </c>
      <c r="J3774" s="19" t="s">
        <v>573</v>
      </c>
      <c r="K3774" s="19" t="s">
        <v>551</v>
      </c>
      <c r="L3774" s="19">
        <v>2023</v>
      </c>
      <c r="M3774" s="20">
        <v>1</v>
      </c>
      <c r="N3774" s="19" t="s">
        <v>634</v>
      </c>
      <c r="O3774" s="20">
        <v>42000</v>
      </c>
      <c r="P3774" s="20">
        <v>42000</v>
      </c>
      <c r="Q3774" s="20">
        <v>3504.8159999999998</v>
      </c>
      <c r="R3774" s="21">
        <v>1</v>
      </c>
      <c r="S3774" s="20">
        <v>3504.8159999999998</v>
      </c>
    </row>
    <row r="3775" spans="2:19" ht="15" customHeight="1" x14ac:dyDescent="0.25">
      <c r="B3775" s="2" t="str">
        <f t="shared" si="116"/>
        <v>NSG_Income Eligible_Single Family_IE Kits_Window Kit_IE Kit_IE</v>
      </c>
      <c r="C3775" s="2" t="str">
        <f t="shared" si="117"/>
        <v>NSG_Income Eligible_Single Family_IE Kits_Window Kit_IE Kit_IE_2024</v>
      </c>
      <c r="D3775" s="19" t="s">
        <v>1787</v>
      </c>
      <c r="E3775" s="19" t="s">
        <v>325</v>
      </c>
      <c r="F3775" s="19" t="s">
        <v>375</v>
      </c>
      <c r="G3775" s="19" t="s">
        <v>1440</v>
      </c>
      <c r="H3775" s="19" t="s">
        <v>574</v>
      </c>
      <c r="I3775" s="19" t="s">
        <v>550</v>
      </c>
      <c r="J3775" s="19" t="s">
        <v>573</v>
      </c>
      <c r="K3775" s="19" t="s">
        <v>551</v>
      </c>
      <c r="L3775" s="19">
        <v>2024</v>
      </c>
      <c r="M3775" s="20">
        <v>1</v>
      </c>
      <c r="N3775" s="19" t="s">
        <v>634</v>
      </c>
      <c r="O3775" s="20">
        <v>42000</v>
      </c>
      <c r="P3775" s="20">
        <v>42000</v>
      </c>
      <c r="Q3775" s="20">
        <v>3504.8159999999998</v>
      </c>
      <c r="R3775" s="21">
        <v>1</v>
      </c>
      <c r="S3775" s="20">
        <v>3504.8159999999998</v>
      </c>
    </row>
    <row r="3776" spans="2:19" ht="15" customHeight="1" x14ac:dyDescent="0.25">
      <c r="B3776" s="2" t="str">
        <f t="shared" si="116"/>
        <v>NSG_Income Eligible_Single Family_IE Kits_Window Kit_IE Kit_IE</v>
      </c>
      <c r="C3776" s="2" t="str">
        <f t="shared" si="117"/>
        <v>NSG_Income Eligible_Single Family_IE Kits_Window Kit_IE Kit_IE_2025</v>
      </c>
      <c r="D3776" s="19" t="s">
        <v>1787</v>
      </c>
      <c r="E3776" s="19" t="s">
        <v>325</v>
      </c>
      <c r="F3776" s="19" t="s">
        <v>375</v>
      </c>
      <c r="G3776" s="19" t="s">
        <v>1440</v>
      </c>
      <c r="H3776" s="19" t="s">
        <v>574</v>
      </c>
      <c r="I3776" s="19" t="s">
        <v>550</v>
      </c>
      <c r="J3776" s="19" t="s">
        <v>573</v>
      </c>
      <c r="K3776" s="19" t="s">
        <v>551</v>
      </c>
      <c r="L3776" s="19">
        <v>2025</v>
      </c>
      <c r="M3776" s="20">
        <v>1</v>
      </c>
      <c r="N3776" s="19" t="s">
        <v>634</v>
      </c>
      <c r="O3776" s="20">
        <v>42000</v>
      </c>
      <c r="P3776" s="20">
        <v>42000</v>
      </c>
      <c r="Q3776" s="20">
        <v>3504.8159999999998</v>
      </c>
      <c r="R3776" s="21">
        <v>1</v>
      </c>
      <c r="S3776" s="20">
        <v>3504.8159999999998</v>
      </c>
    </row>
    <row r="3777" spans="2:19" ht="15" customHeight="1" x14ac:dyDescent="0.25">
      <c r="B3777" s="2" t="str">
        <f t="shared" si="116"/>
        <v>NSG_Income Eligible_Single Family_IE Kits_Water Heater Temperature Setback_IE Kit_IE</v>
      </c>
      <c r="C3777" s="2" t="str">
        <f t="shared" si="117"/>
        <v>NSG_Income Eligible_Single Family_IE Kits_Water Heater Temperature Setback_IE Kit_IE_2022</v>
      </c>
      <c r="D3777" s="19" t="s">
        <v>1787</v>
      </c>
      <c r="E3777" s="19" t="s">
        <v>325</v>
      </c>
      <c r="F3777" s="19" t="s">
        <v>375</v>
      </c>
      <c r="G3777" s="19" t="s">
        <v>1440</v>
      </c>
      <c r="H3777" s="19" t="s">
        <v>223</v>
      </c>
      <c r="I3777" s="19" t="s">
        <v>550</v>
      </c>
      <c r="J3777" s="19" t="s">
        <v>1022</v>
      </c>
      <c r="K3777" s="19" t="s">
        <v>551</v>
      </c>
      <c r="L3777" s="19">
        <v>2022</v>
      </c>
      <c r="M3777" s="20">
        <v>1</v>
      </c>
      <c r="N3777" s="19" t="s">
        <v>1795</v>
      </c>
      <c r="O3777" s="20">
        <v>560</v>
      </c>
      <c r="P3777" s="20">
        <v>560</v>
      </c>
      <c r="Q3777" s="20">
        <v>195.80803006153849</v>
      </c>
      <c r="R3777" s="21">
        <v>1</v>
      </c>
      <c r="S3777" s="20">
        <v>195.80803006153849</v>
      </c>
    </row>
    <row r="3778" spans="2:19" ht="15" customHeight="1" x14ac:dyDescent="0.25">
      <c r="B3778" s="2" t="str">
        <f t="shared" si="116"/>
        <v>NSG_Income Eligible_Single Family_IE Kits_Water Heater Temperature Setback_IE Kit_IE</v>
      </c>
      <c r="C3778" s="2" t="str">
        <f t="shared" si="117"/>
        <v>NSG_Income Eligible_Single Family_IE Kits_Water Heater Temperature Setback_IE Kit_IE_2023</v>
      </c>
      <c r="D3778" s="19" t="s">
        <v>1787</v>
      </c>
      <c r="E3778" s="19" t="s">
        <v>325</v>
      </c>
      <c r="F3778" s="19" t="s">
        <v>375</v>
      </c>
      <c r="G3778" s="19" t="s">
        <v>1440</v>
      </c>
      <c r="H3778" s="19" t="s">
        <v>223</v>
      </c>
      <c r="I3778" s="19" t="s">
        <v>550</v>
      </c>
      <c r="J3778" s="19" t="s">
        <v>1022</v>
      </c>
      <c r="K3778" s="19" t="s">
        <v>551</v>
      </c>
      <c r="L3778" s="19">
        <v>2023</v>
      </c>
      <c r="M3778" s="20">
        <v>1</v>
      </c>
      <c r="N3778" s="19" t="s">
        <v>1795</v>
      </c>
      <c r="O3778" s="20">
        <v>560</v>
      </c>
      <c r="P3778" s="20">
        <v>560</v>
      </c>
      <c r="Q3778" s="20">
        <v>195.80803006153849</v>
      </c>
      <c r="R3778" s="21">
        <v>1</v>
      </c>
      <c r="S3778" s="20">
        <v>195.80803006153849</v>
      </c>
    </row>
    <row r="3779" spans="2:19" ht="15" customHeight="1" x14ac:dyDescent="0.25">
      <c r="B3779" s="2" t="str">
        <f t="shared" si="116"/>
        <v>NSG_Income Eligible_Single Family_IE Kits_Water Heater Temperature Setback_IE Kit_IE</v>
      </c>
      <c r="C3779" s="2" t="str">
        <f t="shared" si="117"/>
        <v>NSG_Income Eligible_Single Family_IE Kits_Water Heater Temperature Setback_IE Kit_IE_2024</v>
      </c>
      <c r="D3779" s="19" t="s">
        <v>1787</v>
      </c>
      <c r="E3779" s="19" t="s">
        <v>325</v>
      </c>
      <c r="F3779" s="19" t="s">
        <v>375</v>
      </c>
      <c r="G3779" s="19" t="s">
        <v>1440</v>
      </c>
      <c r="H3779" s="19" t="s">
        <v>223</v>
      </c>
      <c r="I3779" s="19" t="s">
        <v>550</v>
      </c>
      <c r="J3779" s="19" t="s">
        <v>1022</v>
      </c>
      <c r="K3779" s="19" t="s">
        <v>551</v>
      </c>
      <c r="L3779" s="19">
        <v>2024</v>
      </c>
      <c r="M3779" s="20">
        <v>1</v>
      </c>
      <c r="N3779" s="19" t="s">
        <v>1795</v>
      </c>
      <c r="O3779" s="20">
        <v>560</v>
      </c>
      <c r="P3779" s="20">
        <v>560</v>
      </c>
      <c r="Q3779" s="20">
        <v>195.80803006153849</v>
      </c>
      <c r="R3779" s="21">
        <v>1</v>
      </c>
      <c r="S3779" s="20">
        <v>195.80803006153849</v>
      </c>
    </row>
    <row r="3780" spans="2:19" ht="15" customHeight="1" x14ac:dyDescent="0.25">
      <c r="B3780" s="2" t="str">
        <f t="shared" si="116"/>
        <v>NSG_Income Eligible_Single Family_IE Kits_Water Heater Temperature Setback_IE Kit_IE</v>
      </c>
      <c r="C3780" s="2" t="str">
        <f t="shared" si="117"/>
        <v>NSG_Income Eligible_Single Family_IE Kits_Water Heater Temperature Setback_IE Kit_IE_2025</v>
      </c>
      <c r="D3780" s="19" t="s">
        <v>1787</v>
      </c>
      <c r="E3780" s="19" t="s">
        <v>325</v>
      </c>
      <c r="F3780" s="19" t="s">
        <v>375</v>
      </c>
      <c r="G3780" s="19" t="s">
        <v>1440</v>
      </c>
      <c r="H3780" s="19" t="s">
        <v>223</v>
      </c>
      <c r="I3780" s="19" t="s">
        <v>550</v>
      </c>
      <c r="J3780" s="19" t="s">
        <v>1022</v>
      </c>
      <c r="K3780" s="19" t="s">
        <v>551</v>
      </c>
      <c r="L3780" s="19">
        <v>2025</v>
      </c>
      <c r="M3780" s="20">
        <v>1</v>
      </c>
      <c r="N3780" s="19" t="s">
        <v>1795</v>
      </c>
      <c r="O3780" s="20">
        <v>560</v>
      </c>
      <c r="P3780" s="20">
        <v>560</v>
      </c>
      <c r="Q3780" s="20">
        <v>195.80803006153849</v>
      </c>
      <c r="R3780" s="21">
        <v>1</v>
      </c>
      <c r="S3780" s="20">
        <v>195.80803006153849</v>
      </c>
    </row>
    <row r="3781" spans="2:19" ht="15" customHeight="1" x14ac:dyDescent="0.25">
      <c r="B3781" s="2" t="str">
        <f t="shared" si="116"/>
        <v>PGL_Income Eligible_Multi-Family_Whole Building - DI_Unit Visit_0_MF</v>
      </c>
      <c r="C3781" s="2" t="str">
        <f t="shared" si="117"/>
        <v>PGL_Income Eligible_Multi-Family_Whole Building - DI_Unit Visit_0_MF_2022</v>
      </c>
      <c r="D3781" s="19" t="s">
        <v>1794</v>
      </c>
      <c r="E3781" s="19" t="s">
        <v>325</v>
      </c>
      <c r="F3781" s="19" t="s">
        <v>1422</v>
      </c>
      <c r="G3781" s="19" t="s">
        <v>1812</v>
      </c>
      <c r="H3781" s="19" t="s">
        <v>1090</v>
      </c>
      <c r="I3781" s="19">
        <v>0</v>
      </c>
      <c r="J3781" s="19">
        <v>0</v>
      </c>
      <c r="K3781" s="19" t="s">
        <v>553</v>
      </c>
      <c r="L3781" s="19">
        <v>2022</v>
      </c>
      <c r="M3781" s="20">
        <v>1</v>
      </c>
      <c r="N3781" s="19" t="s">
        <v>1067</v>
      </c>
      <c r="O3781" s="20">
        <v>1800</v>
      </c>
      <c r="P3781" s="20">
        <v>1800</v>
      </c>
      <c r="Q3781" s="20">
        <v>0</v>
      </c>
      <c r="R3781" s="21">
        <v>1</v>
      </c>
      <c r="S3781" s="20">
        <v>0</v>
      </c>
    </row>
    <row r="3782" spans="2:19" ht="15" customHeight="1" x14ac:dyDescent="0.25">
      <c r="B3782" s="2" t="str">
        <f t="shared" ref="B3782:B3845" si="118">D3782&amp;"_"&amp;E3782&amp;"_"&amp;F3782&amp;"_"&amp;G3782&amp;"_"&amp;H3782&amp;"_"&amp;I3782&amp;"_"&amp;K3782</f>
        <v>PGL_Income Eligible_Multi-Family_Whole Building - DI_Unit Visit_0_MF</v>
      </c>
      <c r="C3782" s="2" t="str">
        <f t="shared" ref="C3782:C3845" si="119">D3782&amp;"_"&amp;E3782&amp;"_"&amp;F3782&amp;"_"&amp;G3782&amp;"_"&amp;H3782&amp;"_"&amp;I3782&amp;"_"&amp;K3782&amp;"_"&amp;L3782</f>
        <v>PGL_Income Eligible_Multi-Family_Whole Building - DI_Unit Visit_0_MF_2023</v>
      </c>
      <c r="D3782" s="19" t="s">
        <v>1794</v>
      </c>
      <c r="E3782" s="19" t="s">
        <v>325</v>
      </c>
      <c r="F3782" s="19" t="s">
        <v>1422</v>
      </c>
      <c r="G3782" s="19" t="s">
        <v>1812</v>
      </c>
      <c r="H3782" s="19" t="s">
        <v>1090</v>
      </c>
      <c r="I3782" s="19">
        <v>0</v>
      </c>
      <c r="J3782" s="19">
        <v>0</v>
      </c>
      <c r="K3782" s="19" t="s">
        <v>553</v>
      </c>
      <c r="L3782" s="19">
        <v>2023</v>
      </c>
      <c r="M3782" s="20">
        <v>1</v>
      </c>
      <c r="N3782" s="19" t="s">
        <v>1067</v>
      </c>
      <c r="O3782" s="20">
        <v>2300</v>
      </c>
      <c r="P3782" s="20">
        <v>2300</v>
      </c>
      <c r="Q3782" s="20">
        <v>0</v>
      </c>
      <c r="R3782" s="21">
        <v>1</v>
      </c>
      <c r="S3782" s="20">
        <v>0</v>
      </c>
    </row>
    <row r="3783" spans="2:19" ht="15" customHeight="1" x14ac:dyDescent="0.25">
      <c r="B3783" s="2" t="str">
        <f t="shared" si="118"/>
        <v>PGL_Income Eligible_Multi-Family_Whole Building - DI_Unit Visit_0_MF</v>
      </c>
      <c r="C3783" s="2" t="str">
        <f t="shared" si="119"/>
        <v>PGL_Income Eligible_Multi-Family_Whole Building - DI_Unit Visit_0_MF_2024</v>
      </c>
      <c r="D3783" s="19" t="s">
        <v>1794</v>
      </c>
      <c r="E3783" s="19" t="s">
        <v>325</v>
      </c>
      <c r="F3783" s="19" t="s">
        <v>1422</v>
      </c>
      <c r="G3783" s="19" t="s">
        <v>1812</v>
      </c>
      <c r="H3783" s="19" t="s">
        <v>1090</v>
      </c>
      <c r="I3783" s="19">
        <v>0</v>
      </c>
      <c r="J3783" s="19">
        <v>0</v>
      </c>
      <c r="K3783" s="19" t="s">
        <v>553</v>
      </c>
      <c r="L3783" s="19">
        <v>2024</v>
      </c>
      <c r="M3783" s="20">
        <v>1</v>
      </c>
      <c r="N3783" s="19" t="s">
        <v>1067</v>
      </c>
      <c r="O3783" s="20">
        <v>2800</v>
      </c>
      <c r="P3783" s="20">
        <v>2800</v>
      </c>
      <c r="Q3783" s="20">
        <v>0</v>
      </c>
      <c r="R3783" s="21">
        <v>1</v>
      </c>
      <c r="S3783" s="20">
        <v>0</v>
      </c>
    </row>
    <row r="3784" spans="2:19" ht="15" customHeight="1" x14ac:dyDescent="0.25">
      <c r="B3784" s="2" t="str">
        <f t="shared" si="118"/>
        <v>PGL_Income Eligible_Multi-Family_Whole Building - DI_Unit Visit_0_MF</v>
      </c>
      <c r="C3784" s="2" t="str">
        <f t="shared" si="119"/>
        <v>PGL_Income Eligible_Multi-Family_Whole Building - DI_Unit Visit_0_MF_2025</v>
      </c>
      <c r="D3784" s="19" t="s">
        <v>1794</v>
      </c>
      <c r="E3784" s="19" t="s">
        <v>325</v>
      </c>
      <c r="F3784" s="19" t="s">
        <v>1422</v>
      </c>
      <c r="G3784" s="19" t="s">
        <v>1812</v>
      </c>
      <c r="H3784" s="19" t="s">
        <v>1090</v>
      </c>
      <c r="I3784" s="19">
        <v>0</v>
      </c>
      <c r="J3784" s="19">
        <v>0</v>
      </c>
      <c r="K3784" s="19" t="s">
        <v>553</v>
      </c>
      <c r="L3784" s="19">
        <v>2025</v>
      </c>
      <c r="M3784" s="20">
        <v>1</v>
      </c>
      <c r="N3784" s="19" t="s">
        <v>1067</v>
      </c>
      <c r="O3784" s="20">
        <v>3300</v>
      </c>
      <c r="P3784" s="20">
        <v>3300</v>
      </c>
      <c r="Q3784" s="20">
        <v>0</v>
      </c>
      <c r="R3784" s="21">
        <v>1</v>
      </c>
      <c r="S3784" s="20">
        <v>0</v>
      </c>
    </row>
    <row r="3785" spans="2:19" ht="15" customHeight="1" x14ac:dyDescent="0.25">
      <c r="B3785" s="2" t="str">
        <f t="shared" si="118"/>
        <v>PGL_Income Eligible_Multi-Family_Whole Building - DI_Low Flow Bathroom Aerator_0_MF</v>
      </c>
      <c r="C3785" s="2" t="str">
        <f t="shared" si="119"/>
        <v>PGL_Income Eligible_Multi-Family_Whole Building - DI_Low Flow Bathroom Aerator_0_MF_2022</v>
      </c>
      <c r="D3785" s="19" t="s">
        <v>1794</v>
      </c>
      <c r="E3785" s="19" t="s">
        <v>325</v>
      </c>
      <c r="F3785" s="19" t="s">
        <v>1422</v>
      </c>
      <c r="G3785" s="19" t="s">
        <v>1812</v>
      </c>
      <c r="H3785" s="19" t="s">
        <v>555</v>
      </c>
      <c r="I3785" s="19">
        <v>0</v>
      </c>
      <c r="J3785" s="19" t="s">
        <v>534</v>
      </c>
      <c r="K3785" s="19" t="s">
        <v>553</v>
      </c>
      <c r="L3785" s="19">
        <v>2022</v>
      </c>
      <c r="M3785" s="20">
        <v>1</v>
      </c>
      <c r="N3785" s="19" t="s">
        <v>1798</v>
      </c>
      <c r="O3785" s="20">
        <v>285</v>
      </c>
      <c r="P3785" s="20">
        <v>285</v>
      </c>
      <c r="Q3785" s="20">
        <v>447.3109432537201</v>
      </c>
      <c r="R3785" s="21">
        <v>1</v>
      </c>
      <c r="S3785" s="20">
        <v>447.3109432537201</v>
      </c>
    </row>
    <row r="3786" spans="2:19" ht="15" customHeight="1" x14ac:dyDescent="0.25">
      <c r="B3786" s="2" t="str">
        <f t="shared" si="118"/>
        <v>PGL_Income Eligible_Multi-Family_Whole Building - DI_Low Flow Bathroom Aerator_0_MF</v>
      </c>
      <c r="C3786" s="2" t="str">
        <f t="shared" si="119"/>
        <v>PGL_Income Eligible_Multi-Family_Whole Building - DI_Low Flow Bathroom Aerator_0_MF_2023</v>
      </c>
      <c r="D3786" s="19" t="s">
        <v>1794</v>
      </c>
      <c r="E3786" s="19" t="s">
        <v>325</v>
      </c>
      <c r="F3786" s="19" t="s">
        <v>1422</v>
      </c>
      <c r="G3786" s="19" t="s">
        <v>1812</v>
      </c>
      <c r="H3786" s="19" t="s">
        <v>555</v>
      </c>
      <c r="I3786" s="19">
        <v>0</v>
      </c>
      <c r="J3786" s="19" t="s">
        <v>534</v>
      </c>
      <c r="K3786" s="19" t="s">
        <v>553</v>
      </c>
      <c r="L3786" s="19">
        <v>2023</v>
      </c>
      <c r="M3786" s="20">
        <v>1</v>
      </c>
      <c r="N3786" s="19" t="s">
        <v>1798</v>
      </c>
      <c r="O3786" s="20">
        <v>364</v>
      </c>
      <c r="P3786" s="20">
        <v>364</v>
      </c>
      <c r="Q3786" s="20">
        <v>571.3023976994881</v>
      </c>
      <c r="R3786" s="21">
        <v>1</v>
      </c>
      <c r="S3786" s="20">
        <v>571.3023976994881</v>
      </c>
    </row>
    <row r="3787" spans="2:19" ht="15" customHeight="1" x14ac:dyDescent="0.25">
      <c r="B3787" s="2" t="str">
        <f t="shared" si="118"/>
        <v>PGL_Income Eligible_Multi-Family_Whole Building - DI_Low Flow Bathroom Aerator_0_MF</v>
      </c>
      <c r="C3787" s="2" t="str">
        <f t="shared" si="119"/>
        <v>PGL_Income Eligible_Multi-Family_Whole Building - DI_Low Flow Bathroom Aerator_0_MF_2024</v>
      </c>
      <c r="D3787" s="19" t="s">
        <v>1794</v>
      </c>
      <c r="E3787" s="19" t="s">
        <v>325</v>
      </c>
      <c r="F3787" s="19" t="s">
        <v>1422</v>
      </c>
      <c r="G3787" s="19" t="s">
        <v>1812</v>
      </c>
      <c r="H3787" s="19" t="s">
        <v>555</v>
      </c>
      <c r="I3787" s="19">
        <v>0</v>
      </c>
      <c r="J3787" s="19" t="s">
        <v>534</v>
      </c>
      <c r="K3787" s="19" t="s">
        <v>553</v>
      </c>
      <c r="L3787" s="19">
        <v>2024</v>
      </c>
      <c r="M3787" s="20">
        <v>1</v>
      </c>
      <c r="N3787" s="19" t="s">
        <v>1798</v>
      </c>
      <c r="O3787" s="20">
        <v>443</v>
      </c>
      <c r="P3787" s="20">
        <v>443</v>
      </c>
      <c r="Q3787" s="20">
        <v>695.2938521452561</v>
      </c>
      <c r="R3787" s="21">
        <v>1</v>
      </c>
      <c r="S3787" s="20">
        <v>695.2938521452561</v>
      </c>
    </row>
    <row r="3788" spans="2:19" ht="15" customHeight="1" x14ac:dyDescent="0.25">
      <c r="B3788" s="2" t="str">
        <f t="shared" si="118"/>
        <v>PGL_Income Eligible_Multi-Family_Whole Building - DI_Low Flow Bathroom Aerator_0_MF</v>
      </c>
      <c r="C3788" s="2" t="str">
        <f t="shared" si="119"/>
        <v>PGL_Income Eligible_Multi-Family_Whole Building - DI_Low Flow Bathroom Aerator_0_MF_2025</v>
      </c>
      <c r="D3788" s="19" t="s">
        <v>1794</v>
      </c>
      <c r="E3788" s="19" t="s">
        <v>325</v>
      </c>
      <c r="F3788" s="19" t="s">
        <v>1422</v>
      </c>
      <c r="G3788" s="19" t="s">
        <v>1812</v>
      </c>
      <c r="H3788" s="19" t="s">
        <v>555</v>
      </c>
      <c r="I3788" s="19">
        <v>0</v>
      </c>
      <c r="J3788" s="19" t="s">
        <v>534</v>
      </c>
      <c r="K3788" s="19" t="s">
        <v>553</v>
      </c>
      <c r="L3788" s="19">
        <v>2025</v>
      </c>
      <c r="M3788" s="20">
        <v>1</v>
      </c>
      <c r="N3788" s="19" t="s">
        <v>1798</v>
      </c>
      <c r="O3788" s="20">
        <v>523</v>
      </c>
      <c r="P3788" s="20">
        <v>523</v>
      </c>
      <c r="Q3788" s="20">
        <v>820.85481867261615</v>
      </c>
      <c r="R3788" s="21">
        <v>1</v>
      </c>
      <c r="S3788" s="20">
        <v>820.85481867261615</v>
      </c>
    </row>
    <row r="3789" spans="2:19" ht="15" customHeight="1" x14ac:dyDescent="0.25">
      <c r="B3789" s="2" t="str">
        <f t="shared" si="118"/>
        <v>PGL_Income Eligible_Multi-Family_Whole Building - DI_Low Flow Kitchen Aerator_0_MF</v>
      </c>
      <c r="C3789" s="2" t="str">
        <f t="shared" si="119"/>
        <v>PGL_Income Eligible_Multi-Family_Whole Building - DI_Low Flow Kitchen Aerator_0_MF_2022</v>
      </c>
      <c r="D3789" s="19" t="s">
        <v>1794</v>
      </c>
      <c r="E3789" s="19" t="s">
        <v>325</v>
      </c>
      <c r="F3789" s="19" t="s">
        <v>1422</v>
      </c>
      <c r="G3789" s="19" t="s">
        <v>1812</v>
      </c>
      <c r="H3789" s="19" t="s">
        <v>533</v>
      </c>
      <c r="I3789" s="19">
        <v>0</v>
      </c>
      <c r="J3789" s="19" t="s">
        <v>534</v>
      </c>
      <c r="K3789" s="19" t="s">
        <v>553</v>
      </c>
      <c r="L3789" s="19">
        <v>2022</v>
      </c>
      <c r="M3789" s="20">
        <v>1</v>
      </c>
      <c r="N3789" s="19" t="s">
        <v>1798</v>
      </c>
      <c r="O3789" s="20">
        <v>735</v>
      </c>
      <c r="P3789" s="20">
        <v>735</v>
      </c>
      <c r="Q3789" s="20">
        <v>5778.0449844434497</v>
      </c>
      <c r="R3789" s="21">
        <v>1</v>
      </c>
      <c r="S3789" s="20">
        <v>5778.0449844434497</v>
      </c>
    </row>
    <row r="3790" spans="2:19" ht="15" customHeight="1" x14ac:dyDescent="0.25">
      <c r="B3790" s="2" t="str">
        <f t="shared" si="118"/>
        <v>PGL_Income Eligible_Multi-Family_Whole Building - DI_Low Flow Kitchen Aerator_0_MF</v>
      </c>
      <c r="C3790" s="2" t="str">
        <f t="shared" si="119"/>
        <v>PGL_Income Eligible_Multi-Family_Whole Building - DI_Low Flow Kitchen Aerator_0_MF_2023</v>
      </c>
      <c r="D3790" s="19" t="s">
        <v>1794</v>
      </c>
      <c r="E3790" s="19" t="s">
        <v>325</v>
      </c>
      <c r="F3790" s="19" t="s">
        <v>1422</v>
      </c>
      <c r="G3790" s="19" t="s">
        <v>1812</v>
      </c>
      <c r="H3790" s="19" t="s">
        <v>533</v>
      </c>
      <c r="I3790" s="19">
        <v>0</v>
      </c>
      <c r="J3790" s="19" t="s">
        <v>534</v>
      </c>
      <c r="K3790" s="19" t="s">
        <v>553</v>
      </c>
      <c r="L3790" s="19">
        <v>2023</v>
      </c>
      <c r="M3790" s="20">
        <v>1</v>
      </c>
      <c r="N3790" s="19" t="s">
        <v>1798</v>
      </c>
      <c r="O3790" s="20">
        <v>940</v>
      </c>
      <c r="P3790" s="20">
        <v>940</v>
      </c>
      <c r="Q3790" s="20">
        <v>7389.6085515331197</v>
      </c>
      <c r="R3790" s="21">
        <v>1</v>
      </c>
      <c r="S3790" s="20">
        <v>7389.6085515331197</v>
      </c>
    </row>
    <row r="3791" spans="2:19" ht="15" customHeight="1" x14ac:dyDescent="0.25">
      <c r="B3791" s="2" t="str">
        <f t="shared" si="118"/>
        <v>PGL_Income Eligible_Multi-Family_Whole Building - DI_Low Flow Kitchen Aerator_0_MF</v>
      </c>
      <c r="C3791" s="2" t="str">
        <f t="shared" si="119"/>
        <v>PGL_Income Eligible_Multi-Family_Whole Building - DI_Low Flow Kitchen Aerator_0_MF_2024</v>
      </c>
      <c r="D3791" s="19" t="s">
        <v>1794</v>
      </c>
      <c r="E3791" s="19" t="s">
        <v>325</v>
      </c>
      <c r="F3791" s="19" t="s">
        <v>1422</v>
      </c>
      <c r="G3791" s="19" t="s">
        <v>1812</v>
      </c>
      <c r="H3791" s="19" t="s">
        <v>533</v>
      </c>
      <c r="I3791" s="19">
        <v>0</v>
      </c>
      <c r="J3791" s="19" t="s">
        <v>534</v>
      </c>
      <c r="K3791" s="19" t="s">
        <v>553</v>
      </c>
      <c r="L3791" s="19">
        <v>2024</v>
      </c>
      <c r="M3791" s="20">
        <v>1</v>
      </c>
      <c r="N3791" s="19" t="s">
        <v>1798</v>
      </c>
      <c r="O3791" s="20">
        <v>1144</v>
      </c>
      <c r="P3791" s="20">
        <v>1144</v>
      </c>
      <c r="Q3791" s="20">
        <v>8993.3108329296701</v>
      </c>
      <c r="R3791" s="21">
        <v>1</v>
      </c>
      <c r="S3791" s="20">
        <v>8993.3108329296701</v>
      </c>
    </row>
    <row r="3792" spans="2:19" ht="15" customHeight="1" x14ac:dyDescent="0.25">
      <c r="B3792" s="2" t="str">
        <f t="shared" si="118"/>
        <v>PGL_Income Eligible_Multi-Family_Whole Building - DI_Low Flow Kitchen Aerator_0_MF</v>
      </c>
      <c r="C3792" s="2" t="str">
        <f t="shared" si="119"/>
        <v>PGL_Income Eligible_Multi-Family_Whole Building - DI_Low Flow Kitchen Aerator_0_MF_2025</v>
      </c>
      <c r="D3792" s="19" t="s">
        <v>1794</v>
      </c>
      <c r="E3792" s="19" t="s">
        <v>325</v>
      </c>
      <c r="F3792" s="19" t="s">
        <v>1422</v>
      </c>
      <c r="G3792" s="19" t="s">
        <v>1812</v>
      </c>
      <c r="H3792" s="19" t="s">
        <v>533</v>
      </c>
      <c r="I3792" s="19">
        <v>0</v>
      </c>
      <c r="J3792" s="19" t="s">
        <v>534</v>
      </c>
      <c r="K3792" s="19" t="s">
        <v>553</v>
      </c>
      <c r="L3792" s="19">
        <v>2025</v>
      </c>
      <c r="M3792" s="20">
        <v>1</v>
      </c>
      <c r="N3792" s="19" t="s">
        <v>1798</v>
      </c>
      <c r="O3792" s="20">
        <v>1348</v>
      </c>
      <c r="P3792" s="20">
        <v>1348</v>
      </c>
      <c r="Q3792" s="20">
        <v>10597.013114326219</v>
      </c>
      <c r="R3792" s="21">
        <v>1</v>
      </c>
      <c r="S3792" s="20">
        <v>10597.013114326219</v>
      </c>
    </row>
    <row r="3793" spans="2:19" ht="15" customHeight="1" x14ac:dyDescent="0.25">
      <c r="B3793" s="2" t="str">
        <f t="shared" si="118"/>
        <v>PGL_Income Eligible_Multi-Family_Whole Building - DI_Low Flow Showerhead_0_MF</v>
      </c>
      <c r="C3793" s="2" t="str">
        <f t="shared" si="119"/>
        <v>PGL_Income Eligible_Multi-Family_Whole Building - DI_Low Flow Showerhead_0_MF_2022</v>
      </c>
      <c r="D3793" s="19" t="s">
        <v>1794</v>
      </c>
      <c r="E3793" s="19" t="s">
        <v>325</v>
      </c>
      <c r="F3793" s="19" t="s">
        <v>1422</v>
      </c>
      <c r="G3793" s="19" t="s">
        <v>1812</v>
      </c>
      <c r="H3793" s="19" t="s">
        <v>15</v>
      </c>
      <c r="I3793" s="19">
        <v>0</v>
      </c>
      <c r="J3793" s="19" t="s">
        <v>23</v>
      </c>
      <c r="K3793" s="19" t="s">
        <v>553</v>
      </c>
      <c r="L3793" s="19">
        <v>2022</v>
      </c>
      <c r="M3793" s="20">
        <v>1</v>
      </c>
      <c r="N3793" s="19" t="s">
        <v>1798</v>
      </c>
      <c r="O3793" s="20">
        <v>731</v>
      </c>
      <c r="P3793" s="20">
        <v>731</v>
      </c>
      <c r="Q3793" s="20">
        <v>8274.2333270870695</v>
      </c>
      <c r="R3793" s="21">
        <v>1</v>
      </c>
      <c r="S3793" s="20">
        <v>8274.2333270870695</v>
      </c>
    </row>
    <row r="3794" spans="2:19" ht="15" customHeight="1" x14ac:dyDescent="0.25">
      <c r="B3794" s="2" t="str">
        <f t="shared" si="118"/>
        <v>PGL_Income Eligible_Multi-Family_Whole Building - DI_Low Flow Showerhead_0_MF</v>
      </c>
      <c r="C3794" s="2" t="str">
        <f t="shared" si="119"/>
        <v>PGL_Income Eligible_Multi-Family_Whole Building - DI_Low Flow Showerhead_0_MF_2023</v>
      </c>
      <c r="D3794" s="19" t="s">
        <v>1794</v>
      </c>
      <c r="E3794" s="19" t="s">
        <v>325</v>
      </c>
      <c r="F3794" s="19" t="s">
        <v>1422</v>
      </c>
      <c r="G3794" s="19" t="s">
        <v>1812</v>
      </c>
      <c r="H3794" s="19" t="s">
        <v>15</v>
      </c>
      <c r="I3794" s="19">
        <v>0</v>
      </c>
      <c r="J3794" s="19" t="s">
        <v>23</v>
      </c>
      <c r="K3794" s="19" t="s">
        <v>553</v>
      </c>
      <c r="L3794" s="19">
        <v>2023</v>
      </c>
      <c r="M3794" s="20">
        <v>1</v>
      </c>
      <c r="N3794" s="19" t="s">
        <v>1798</v>
      </c>
      <c r="O3794" s="20">
        <v>935</v>
      </c>
      <c r="P3794" s="20">
        <v>935</v>
      </c>
      <c r="Q3794" s="20">
        <v>10583.32169743695</v>
      </c>
      <c r="R3794" s="21">
        <v>1</v>
      </c>
      <c r="S3794" s="20">
        <v>10583.32169743695</v>
      </c>
    </row>
    <row r="3795" spans="2:19" ht="15" customHeight="1" x14ac:dyDescent="0.25">
      <c r="B3795" s="2" t="str">
        <f t="shared" si="118"/>
        <v>PGL_Income Eligible_Multi-Family_Whole Building - DI_Low Flow Showerhead_0_MF</v>
      </c>
      <c r="C3795" s="2" t="str">
        <f t="shared" si="119"/>
        <v>PGL_Income Eligible_Multi-Family_Whole Building - DI_Low Flow Showerhead_0_MF_2024</v>
      </c>
      <c r="D3795" s="19" t="s">
        <v>1794</v>
      </c>
      <c r="E3795" s="19" t="s">
        <v>325</v>
      </c>
      <c r="F3795" s="19" t="s">
        <v>1422</v>
      </c>
      <c r="G3795" s="19" t="s">
        <v>1812</v>
      </c>
      <c r="H3795" s="19" t="s">
        <v>15</v>
      </c>
      <c r="I3795" s="19">
        <v>0</v>
      </c>
      <c r="J3795" s="19" t="s">
        <v>23</v>
      </c>
      <c r="K3795" s="19" t="s">
        <v>553</v>
      </c>
      <c r="L3795" s="19">
        <v>2024</v>
      </c>
      <c r="M3795" s="20">
        <v>1</v>
      </c>
      <c r="N3795" s="19" t="s">
        <v>1798</v>
      </c>
      <c r="O3795" s="20">
        <v>1138</v>
      </c>
      <c r="P3795" s="20">
        <v>1138</v>
      </c>
      <c r="Q3795" s="20">
        <v>12881.091007147859</v>
      </c>
      <c r="R3795" s="21">
        <v>1</v>
      </c>
      <c r="S3795" s="20">
        <v>12881.091007147859</v>
      </c>
    </row>
    <row r="3796" spans="2:19" ht="15" customHeight="1" x14ac:dyDescent="0.25">
      <c r="B3796" s="2" t="str">
        <f t="shared" si="118"/>
        <v>PGL_Income Eligible_Multi-Family_Whole Building - DI_Low Flow Showerhead_0_MF</v>
      </c>
      <c r="C3796" s="2" t="str">
        <f t="shared" si="119"/>
        <v>PGL_Income Eligible_Multi-Family_Whole Building - DI_Low Flow Showerhead_0_MF_2025</v>
      </c>
      <c r="D3796" s="19" t="s">
        <v>1794</v>
      </c>
      <c r="E3796" s="19" t="s">
        <v>325</v>
      </c>
      <c r="F3796" s="19" t="s">
        <v>1422</v>
      </c>
      <c r="G3796" s="19" t="s">
        <v>1812</v>
      </c>
      <c r="H3796" s="19" t="s">
        <v>15</v>
      </c>
      <c r="I3796" s="19">
        <v>0</v>
      </c>
      <c r="J3796" s="19" t="s">
        <v>23</v>
      </c>
      <c r="K3796" s="19" t="s">
        <v>553</v>
      </c>
      <c r="L3796" s="19">
        <v>2025</v>
      </c>
      <c r="M3796" s="20">
        <v>1</v>
      </c>
      <c r="N3796" s="19" t="s">
        <v>1798</v>
      </c>
      <c r="O3796" s="20">
        <v>1341</v>
      </c>
      <c r="P3796" s="20">
        <v>1341</v>
      </c>
      <c r="Q3796" s="20">
        <v>15178.860316858769</v>
      </c>
      <c r="R3796" s="21">
        <v>1</v>
      </c>
      <c r="S3796" s="20">
        <v>15178.860316858769</v>
      </c>
    </row>
    <row r="3797" spans="2:19" ht="15" customHeight="1" x14ac:dyDescent="0.25">
      <c r="B3797" s="2" t="str">
        <f t="shared" si="118"/>
        <v>PGL_Income Eligible_Multi-Family_Whole Building - DI_Pipe Insulation_DHW_MF</v>
      </c>
      <c r="C3797" s="2" t="str">
        <f t="shared" si="119"/>
        <v>PGL_Income Eligible_Multi-Family_Whole Building - DI_Pipe Insulation_DHW_MF_2022</v>
      </c>
      <c r="D3797" s="19" t="s">
        <v>1794</v>
      </c>
      <c r="E3797" s="19" t="s">
        <v>325</v>
      </c>
      <c r="F3797" s="19" t="s">
        <v>1422</v>
      </c>
      <c r="G3797" s="19" t="s">
        <v>1812</v>
      </c>
      <c r="H3797" s="19" t="s">
        <v>404</v>
      </c>
      <c r="I3797" s="19" t="s">
        <v>1019</v>
      </c>
      <c r="J3797" s="19" t="s">
        <v>1008</v>
      </c>
      <c r="K3797" s="19" t="s">
        <v>553</v>
      </c>
      <c r="L3797" s="19">
        <v>2022</v>
      </c>
      <c r="M3797" s="20">
        <v>3</v>
      </c>
      <c r="N3797" s="19" t="s">
        <v>616</v>
      </c>
      <c r="O3797" s="20">
        <v>918</v>
      </c>
      <c r="P3797" s="20">
        <v>2754</v>
      </c>
      <c r="Q3797" s="20">
        <v>2430.8641060438404</v>
      </c>
      <c r="R3797" s="21">
        <v>1</v>
      </c>
      <c r="S3797" s="20">
        <v>2430.8641060438404</v>
      </c>
    </row>
    <row r="3798" spans="2:19" ht="15" customHeight="1" x14ac:dyDescent="0.25">
      <c r="B3798" s="2" t="str">
        <f t="shared" si="118"/>
        <v>PGL_Income Eligible_Multi-Family_Whole Building - DI_Pipe Insulation_DHW_MF</v>
      </c>
      <c r="C3798" s="2" t="str">
        <f t="shared" si="119"/>
        <v>PGL_Income Eligible_Multi-Family_Whole Building - DI_Pipe Insulation_DHW_MF_2023</v>
      </c>
      <c r="D3798" s="19" t="s">
        <v>1794</v>
      </c>
      <c r="E3798" s="19" t="s">
        <v>325</v>
      </c>
      <c r="F3798" s="19" t="s">
        <v>1422</v>
      </c>
      <c r="G3798" s="19" t="s">
        <v>1812</v>
      </c>
      <c r="H3798" s="19" t="s">
        <v>404</v>
      </c>
      <c r="I3798" s="19" t="s">
        <v>1019</v>
      </c>
      <c r="J3798" s="19" t="s">
        <v>1008</v>
      </c>
      <c r="K3798" s="19" t="s">
        <v>553</v>
      </c>
      <c r="L3798" s="19">
        <v>2023</v>
      </c>
      <c r="M3798" s="20">
        <v>3</v>
      </c>
      <c r="N3798" s="19" t="s">
        <v>616</v>
      </c>
      <c r="O3798" s="20">
        <v>1173</v>
      </c>
      <c r="P3798" s="20">
        <v>3519</v>
      </c>
      <c r="Q3798" s="20">
        <v>3106.1041355004627</v>
      </c>
      <c r="R3798" s="21">
        <v>1</v>
      </c>
      <c r="S3798" s="20">
        <v>3106.1041355004627</v>
      </c>
    </row>
    <row r="3799" spans="2:19" ht="15" customHeight="1" x14ac:dyDescent="0.25">
      <c r="B3799" s="2" t="str">
        <f t="shared" si="118"/>
        <v>PGL_Income Eligible_Multi-Family_Whole Building - DI_Pipe Insulation_DHW_MF</v>
      </c>
      <c r="C3799" s="2" t="str">
        <f t="shared" si="119"/>
        <v>PGL_Income Eligible_Multi-Family_Whole Building - DI_Pipe Insulation_DHW_MF_2024</v>
      </c>
      <c r="D3799" s="19" t="s">
        <v>1794</v>
      </c>
      <c r="E3799" s="19" t="s">
        <v>325</v>
      </c>
      <c r="F3799" s="19" t="s">
        <v>1422</v>
      </c>
      <c r="G3799" s="19" t="s">
        <v>1812</v>
      </c>
      <c r="H3799" s="19" t="s">
        <v>404</v>
      </c>
      <c r="I3799" s="19" t="s">
        <v>1019</v>
      </c>
      <c r="J3799" s="19" t="s">
        <v>1008</v>
      </c>
      <c r="K3799" s="19" t="s">
        <v>553</v>
      </c>
      <c r="L3799" s="19">
        <v>2024</v>
      </c>
      <c r="M3799" s="20">
        <v>3</v>
      </c>
      <c r="N3799" s="19" t="s">
        <v>616</v>
      </c>
      <c r="O3799" s="20">
        <v>1428</v>
      </c>
      <c r="P3799" s="20">
        <v>4284</v>
      </c>
      <c r="Q3799" s="20">
        <v>3781.344164957085</v>
      </c>
      <c r="R3799" s="21">
        <v>1</v>
      </c>
      <c r="S3799" s="20">
        <v>3781.344164957085</v>
      </c>
    </row>
    <row r="3800" spans="2:19" ht="15" customHeight="1" x14ac:dyDescent="0.25">
      <c r="B3800" s="2" t="str">
        <f t="shared" si="118"/>
        <v>PGL_Income Eligible_Multi-Family_Whole Building - DI_Pipe Insulation_DHW_MF</v>
      </c>
      <c r="C3800" s="2" t="str">
        <f t="shared" si="119"/>
        <v>PGL_Income Eligible_Multi-Family_Whole Building - DI_Pipe Insulation_DHW_MF_2025</v>
      </c>
      <c r="D3800" s="19" t="s">
        <v>1794</v>
      </c>
      <c r="E3800" s="19" t="s">
        <v>325</v>
      </c>
      <c r="F3800" s="19" t="s">
        <v>1422</v>
      </c>
      <c r="G3800" s="19" t="s">
        <v>1812</v>
      </c>
      <c r="H3800" s="19" t="s">
        <v>404</v>
      </c>
      <c r="I3800" s="19" t="s">
        <v>1019</v>
      </c>
      <c r="J3800" s="19" t="s">
        <v>1008</v>
      </c>
      <c r="K3800" s="19" t="s">
        <v>553</v>
      </c>
      <c r="L3800" s="19">
        <v>2025</v>
      </c>
      <c r="M3800" s="20">
        <v>3</v>
      </c>
      <c r="N3800" s="19" t="s">
        <v>616</v>
      </c>
      <c r="O3800" s="20">
        <v>1683</v>
      </c>
      <c r="P3800" s="20">
        <v>5049</v>
      </c>
      <c r="Q3800" s="20">
        <v>4456.5841944137073</v>
      </c>
      <c r="R3800" s="21">
        <v>1</v>
      </c>
      <c r="S3800" s="20">
        <v>4456.5841944137073</v>
      </c>
    </row>
    <row r="3801" spans="2:19" ht="15" customHeight="1" x14ac:dyDescent="0.25">
      <c r="B3801" s="2" t="str">
        <f t="shared" si="118"/>
        <v>PGL_Income Eligible_Multi-Family_Whole Building - DI_Pipe Insulation_Boiler_MF</v>
      </c>
      <c r="C3801" s="2" t="str">
        <f t="shared" si="119"/>
        <v>PGL_Income Eligible_Multi-Family_Whole Building - DI_Pipe Insulation_Boiler_MF_2022</v>
      </c>
      <c r="D3801" s="19" t="s">
        <v>1794</v>
      </c>
      <c r="E3801" s="19" t="s">
        <v>325</v>
      </c>
      <c r="F3801" s="19" t="s">
        <v>1422</v>
      </c>
      <c r="G3801" s="19" t="s">
        <v>1812</v>
      </c>
      <c r="H3801" s="19" t="s">
        <v>404</v>
      </c>
      <c r="I3801" s="19" t="s">
        <v>944</v>
      </c>
      <c r="J3801" s="19" t="s">
        <v>1008</v>
      </c>
      <c r="K3801" s="19" t="s">
        <v>553</v>
      </c>
      <c r="L3801" s="19">
        <v>2022</v>
      </c>
      <c r="M3801" s="20">
        <v>3</v>
      </c>
      <c r="N3801" s="19" t="s">
        <v>616</v>
      </c>
      <c r="O3801" s="20">
        <v>0</v>
      </c>
      <c r="P3801" s="20">
        <v>0</v>
      </c>
      <c r="Q3801" s="20">
        <v>0</v>
      </c>
      <c r="R3801" s="21">
        <v>1</v>
      </c>
      <c r="S3801" s="20">
        <v>0</v>
      </c>
    </row>
    <row r="3802" spans="2:19" ht="15" customHeight="1" x14ac:dyDescent="0.25">
      <c r="B3802" s="2" t="str">
        <f t="shared" si="118"/>
        <v>PGL_Income Eligible_Multi-Family_Whole Building - DI_Pipe Insulation_Boiler_MF</v>
      </c>
      <c r="C3802" s="2" t="str">
        <f t="shared" si="119"/>
        <v>PGL_Income Eligible_Multi-Family_Whole Building - DI_Pipe Insulation_Boiler_MF_2023</v>
      </c>
      <c r="D3802" s="19" t="s">
        <v>1794</v>
      </c>
      <c r="E3802" s="19" t="s">
        <v>325</v>
      </c>
      <c r="F3802" s="19" t="s">
        <v>1422</v>
      </c>
      <c r="G3802" s="19" t="s">
        <v>1812</v>
      </c>
      <c r="H3802" s="19" t="s">
        <v>404</v>
      </c>
      <c r="I3802" s="19" t="s">
        <v>944</v>
      </c>
      <c r="J3802" s="19" t="s">
        <v>1008</v>
      </c>
      <c r="K3802" s="19" t="s">
        <v>553</v>
      </c>
      <c r="L3802" s="19">
        <v>2023</v>
      </c>
      <c r="M3802" s="20">
        <v>3</v>
      </c>
      <c r="N3802" s="19" t="s">
        <v>616</v>
      </c>
      <c r="O3802" s="20">
        <v>0</v>
      </c>
      <c r="P3802" s="20">
        <v>0</v>
      </c>
      <c r="Q3802" s="20">
        <v>0</v>
      </c>
      <c r="R3802" s="21">
        <v>1</v>
      </c>
      <c r="S3802" s="20">
        <v>0</v>
      </c>
    </row>
    <row r="3803" spans="2:19" ht="15" customHeight="1" x14ac:dyDescent="0.25">
      <c r="B3803" s="2" t="str">
        <f t="shared" si="118"/>
        <v>PGL_Income Eligible_Multi-Family_Whole Building - DI_Pipe Insulation_Boiler_MF</v>
      </c>
      <c r="C3803" s="2" t="str">
        <f t="shared" si="119"/>
        <v>PGL_Income Eligible_Multi-Family_Whole Building - DI_Pipe Insulation_Boiler_MF_2024</v>
      </c>
      <c r="D3803" s="19" t="s">
        <v>1794</v>
      </c>
      <c r="E3803" s="19" t="s">
        <v>325</v>
      </c>
      <c r="F3803" s="19" t="s">
        <v>1422</v>
      </c>
      <c r="G3803" s="19" t="s">
        <v>1812</v>
      </c>
      <c r="H3803" s="19" t="s">
        <v>404</v>
      </c>
      <c r="I3803" s="19" t="s">
        <v>944</v>
      </c>
      <c r="J3803" s="19" t="s">
        <v>1008</v>
      </c>
      <c r="K3803" s="19" t="s">
        <v>553</v>
      </c>
      <c r="L3803" s="19">
        <v>2024</v>
      </c>
      <c r="M3803" s="20">
        <v>3</v>
      </c>
      <c r="N3803" s="19" t="s">
        <v>616</v>
      </c>
      <c r="O3803" s="20">
        <v>0</v>
      </c>
      <c r="P3803" s="20">
        <v>0</v>
      </c>
      <c r="Q3803" s="20">
        <v>0</v>
      </c>
      <c r="R3803" s="21">
        <v>1</v>
      </c>
      <c r="S3803" s="20">
        <v>0</v>
      </c>
    </row>
    <row r="3804" spans="2:19" ht="15" customHeight="1" x14ac:dyDescent="0.25">
      <c r="B3804" s="2" t="str">
        <f t="shared" si="118"/>
        <v>PGL_Income Eligible_Multi-Family_Whole Building - DI_Pipe Insulation_Boiler_MF</v>
      </c>
      <c r="C3804" s="2" t="str">
        <f t="shared" si="119"/>
        <v>PGL_Income Eligible_Multi-Family_Whole Building - DI_Pipe Insulation_Boiler_MF_2025</v>
      </c>
      <c r="D3804" s="19" t="s">
        <v>1794</v>
      </c>
      <c r="E3804" s="19" t="s">
        <v>325</v>
      </c>
      <c r="F3804" s="19" t="s">
        <v>1422</v>
      </c>
      <c r="G3804" s="19" t="s">
        <v>1812</v>
      </c>
      <c r="H3804" s="19" t="s">
        <v>404</v>
      </c>
      <c r="I3804" s="19" t="s">
        <v>944</v>
      </c>
      <c r="J3804" s="19" t="s">
        <v>1008</v>
      </c>
      <c r="K3804" s="19" t="s">
        <v>553</v>
      </c>
      <c r="L3804" s="19">
        <v>2025</v>
      </c>
      <c r="M3804" s="20">
        <v>3</v>
      </c>
      <c r="N3804" s="19" t="s">
        <v>616</v>
      </c>
      <c r="O3804" s="20">
        <v>0</v>
      </c>
      <c r="P3804" s="20">
        <v>0</v>
      </c>
      <c r="Q3804" s="20">
        <v>0</v>
      </c>
      <c r="R3804" s="21">
        <v>1</v>
      </c>
      <c r="S3804" s="20">
        <v>0</v>
      </c>
    </row>
    <row r="3805" spans="2:19" ht="15" customHeight="1" x14ac:dyDescent="0.25">
      <c r="B3805" s="2" t="str">
        <f t="shared" si="118"/>
        <v>PGL_Income Eligible_Multi-Family_Whole Building - DI_Programmable Thermostat_Furnace (DI)_MF</v>
      </c>
      <c r="C3805" s="2" t="str">
        <f t="shared" si="119"/>
        <v>PGL_Income Eligible_Multi-Family_Whole Building - DI_Programmable Thermostat_Furnace (DI)_MF_2022</v>
      </c>
      <c r="D3805" s="19" t="s">
        <v>1794</v>
      </c>
      <c r="E3805" s="19" t="s">
        <v>325</v>
      </c>
      <c r="F3805" s="19" t="s">
        <v>1422</v>
      </c>
      <c r="G3805" s="19" t="s">
        <v>1812</v>
      </c>
      <c r="H3805" s="19" t="s">
        <v>224</v>
      </c>
      <c r="I3805" s="19" t="s">
        <v>1038</v>
      </c>
      <c r="J3805" s="19" t="s">
        <v>24</v>
      </c>
      <c r="K3805" s="19" t="s">
        <v>553</v>
      </c>
      <c r="L3805" s="19">
        <v>2022</v>
      </c>
      <c r="M3805" s="20">
        <v>1</v>
      </c>
      <c r="N3805" s="19" t="s">
        <v>1798</v>
      </c>
      <c r="O3805" s="20">
        <v>99</v>
      </c>
      <c r="P3805" s="20">
        <v>99</v>
      </c>
      <c r="Q3805" s="20">
        <v>4009.6484999999998</v>
      </c>
      <c r="R3805" s="21">
        <v>1</v>
      </c>
      <c r="S3805" s="20">
        <v>4009.6484999999998</v>
      </c>
    </row>
    <row r="3806" spans="2:19" ht="15" customHeight="1" x14ac:dyDescent="0.25">
      <c r="B3806" s="2" t="str">
        <f t="shared" si="118"/>
        <v>PGL_Income Eligible_Multi-Family_Whole Building - DI_Programmable Thermostat_Furnace (DI)_MF</v>
      </c>
      <c r="C3806" s="2" t="str">
        <f t="shared" si="119"/>
        <v>PGL_Income Eligible_Multi-Family_Whole Building - DI_Programmable Thermostat_Furnace (DI)_MF_2023</v>
      </c>
      <c r="D3806" s="19" t="s">
        <v>1794</v>
      </c>
      <c r="E3806" s="19" t="s">
        <v>325</v>
      </c>
      <c r="F3806" s="19" t="s">
        <v>1422</v>
      </c>
      <c r="G3806" s="19" t="s">
        <v>1812</v>
      </c>
      <c r="H3806" s="19" t="s">
        <v>224</v>
      </c>
      <c r="I3806" s="19" t="s">
        <v>1038</v>
      </c>
      <c r="J3806" s="19" t="s">
        <v>24</v>
      </c>
      <c r="K3806" s="19" t="s">
        <v>553</v>
      </c>
      <c r="L3806" s="19">
        <v>2023</v>
      </c>
      <c r="M3806" s="20">
        <v>1</v>
      </c>
      <c r="N3806" s="19" t="s">
        <v>1798</v>
      </c>
      <c r="O3806" s="20">
        <v>127</v>
      </c>
      <c r="P3806" s="20">
        <v>127</v>
      </c>
      <c r="Q3806" s="20">
        <v>5143.6904999999997</v>
      </c>
      <c r="R3806" s="21">
        <v>1</v>
      </c>
      <c r="S3806" s="20">
        <v>5143.6904999999997</v>
      </c>
    </row>
    <row r="3807" spans="2:19" ht="15" customHeight="1" x14ac:dyDescent="0.25">
      <c r="B3807" s="2" t="str">
        <f t="shared" si="118"/>
        <v>PGL_Income Eligible_Multi-Family_Whole Building - DI_Programmable Thermostat_Furnace (DI)_MF</v>
      </c>
      <c r="C3807" s="2" t="str">
        <f t="shared" si="119"/>
        <v>PGL_Income Eligible_Multi-Family_Whole Building - DI_Programmable Thermostat_Furnace (DI)_MF_2024</v>
      </c>
      <c r="D3807" s="19" t="s">
        <v>1794</v>
      </c>
      <c r="E3807" s="19" t="s">
        <v>325</v>
      </c>
      <c r="F3807" s="19" t="s">
        <v>1422</v>
      </c>
      <c r="G3807" s="19" t="s">
        <v>1812</v>
      </c>
      <c r="H3807" s="19" t="s">
        <v>224</v>
      </c>
      <c r="I3807" s="19" t="s">
        <v>1038</v>
      </c>
      <c r="J3807" s="19" t="s">
        <v>24</v>
      </c>
      <c r="K3807" s="19" t="s">
        <v>553</v>
      </c>
      <c r="L3807" s="19">
        <v>2024</v>
      </c>
      <c r="M3807" s="20">
        <v>1</v>
      </c>
      <c r="N3807" s="19" t="s">
        <v>1798</v>
      </c>
      <c r="O3807" s="20">
        <v>154</v>
      </c>
      <c r="P3807" s="20">
        <v>154</v>
      </c>
      <c r="Q3807" s="20">
        <v>6237.2309999999998</v>
      </c>
      <c r="R3807" s="21">
        <v>1</v>
      </c>
      <c r="S3807" s="20">
        <v>6237.2309999999998</v>
      </c>
    </row>
    <row r="3808" spans="2:19" ht="15" customHeight="1" x14ac:dyDescent="0.25">
      <c r="B3808" s="2" t="str">
        <f t="shared" si="118"/>
        <v>PGL_Income Eligible_Multi-Family_Whole Building - DI_Programmable Thermostat_Furnace (DI)_MF</v>
      </c>
      <c r="C3808" s="2" t="str">
        <f t="shared" si="119"/>
        <v>PGL_Income Eligible_Multi-Family_Whole Building - DI_Programmable Thermostat_Furnace (DI)_MF_2025</v>
      </c>
      <c r="D3808" s="19" t="s">
        <v>1794</v>
      </c>
      <c r="E3808" s="19" t="s">
        <v>325</v>
      </c>
      <c r="F3808" s="19" t="s">
        <v>1422</v>
      </c>
      <c r="G3808" s="19" t="s">
        <v>1812</v>
      </c>
      <c r="H3808" s="19" t="s">
        <v>224</v>
      </c>
      <c r="I3808" s="19" t="s">
        <v>1038</v>
      </c>
      <c r="J3808" s="19" t="s">
        <v>24</v>
      </c>
      <c r="K3808" s="19" t="s">
        <v>553</v>
      </c>
      <c r="L3808" s="19">
        <v>2025</v>
      </c>
      <c r="M3808" s="20">
        <v>1</v>
      </c>
      <c r="N3808" s="19" t="s">
        <v>1798</v>
      </c>
      <c r="O3808" s="20">
        <v>182</v>
      </c>
      <c r="P3808" s="20">
        <v>182</v>
      </c>
      <c r="Q3808" s="20">
        <v>7371.2730000000001</v>
      </c>
      <c r="R3808" s="21">
        <v>1</v>
      </c>
      <c r="S3808" s="20">
        <v>7371.2730000000001</v>
      </c>
    </row>
    <row r="3809" spans="2:19" ht="15" customHeight="1" x14ac:dyDescent="0.25">
      <c r="B3809" s="2" t="str">
        <f t="shared" si="118"/>
        <v>PGL_Income Eligible_Multi-Family_Whole Building - DI_Programmable Thermostat_Boiler (DI)_MF</v>
      </c>
      <c r="C3809" s="2" t="str">
        <f t="shared" si="119"/>
        <v>PGL_Income Eligible_Multi-Family_Whole Building - DI_Programmable Thermostat_Boiler (DI)_MF_2022</v>
      </c>
      <c r="D3809" s="19" t="s">
        <v>1794</v>
      </c>
      <c r="E3809" s="19" t="s">
        <v>325</v>
      </c>
      <c r="F3809" s="19" t="s">
        <v>1422</v>
      </c>
      <c r="G3809" s="19" t="s">
        <v>1812</v>
      </c>
      <c r="H3809" s="19" t="s">
        <v>224</v>
      </c>
      <c r="I3809" s="19" t="s">
        <v>1045</v>
      </c>
      <c r="J3809" s="19" t="s">
        <v>24</v>
      </c>
      <c r="K3809" s="19" t="s">
        <v>553</v>
      </c>
      <c r="L3809" s="19">
        <v>2022</v>
      </c>
      <c r="M3809" s="20">
        <v>1</v>
      </c>
      <c r="N3809" s="19" t="s">
        <v>1798</v>
      </c>
      <c r="O3809" s="20">
        <v>0</v>
      </c>
      <c r="P3809" s="20">
        <v>0</v>
      </c>
      <c r="Q3809" s="20">
        <v>0</v>
      </c>
      <c r="R3809" s="21">
        <v>1</v>
      </c>
      <c r="S3809" s="20">
        <v>0</v>
      </c>
    </row>
    <row r="3810" spans="2:19" ht="15" customHeight="1" x14ac:dyDescent="0.25">
      <c r="B3810" s="2" t="str">
        <f t="shared" si="118"/>
        <v>PGL_Income Eligible_Multi-Family_Whole Building - DI_Programmable Thermostat_Boiler (DI)_MF</v>
      </c>
      <c r="C3810" s="2" t="str">
        <f t="shared" si="119"/>
        <v>PGL_Income Eligible_Multi-Family_Whole Building - DI_Programmable Thermostat_Boiler (DI)_MF_2023</v>
      </c>
      <c r="D3810" s="19" t="s">
        <v>1794</v>
      </c>
      <c r="E3810" s="19" t="s">
        <v>325</v>
      </c>
      <c r="F3810" s="19" t="s">
        <v>1422</v>
      </c>
      <c r="G3810" s="19" t="s">
        <v>1812</v>
      </c>
      <c r="H3810" s="19" t="s">
        <v>224</v>
      </c>
      <c r="I3810" s="19" t="s">
        <v>1045</v>
      </c>
      <c r="J3810" s="19" t="s">
        <v>24</v>
      </c>
      <c r="K3810" s="19" t="s">
        <v>553</v>
      </c>
      <c r="L3810" s="19">
        <v>2023</v>
      </c>
      <c r="M3810" s="20">
        <v>1</v>
      </c>
      <c r="N3810" s="19" t="s">
        <v>1798</v>
      </c>
      <c r="O3810" s="20">
        <v>0</v>
      </c>
      <c r="P3810" s="20">
        <v>0</v>
      </c>
      <c r="Q3810" s="20">
        <v>0</v>
      </c>
      <c r="R3810" s="21">
        <v>1</v>
      </c>
      <c r="S3810" s="20">
        <v>0</v>
      </c>
    </row>
    <row r="3811" spans="2:19" ht="15" customHeight="1" x14ac:dyDescent="0.25">
      <c r="B3811" s="2" t="str">
        <f t="shared" si="118"/>
        <v>PGL_Income Eligible_Multi-Family_Whole Building - DI_Programmable Thermostat_Boiler (DI)_MF</v>
      </c>
      <c r="C3811" s="2" t="str">
        <f t="shared" si="119"/>
        <v>PGL_Income Eligible_Multi-Family_Whole Building - DI_Programmable Thermostat_Boiler (DI)_MF_2024</v>
      </c>
      <c r="D3811" s="19" t="s">
        <v>1794</v>
      </c>
      <c r="E3811" s="19" t="s">
        <v>325</v>
      </c>
      <c r="F3811" s="19" t="s">
        <v>1422</v>
      </c>
      <c r="G3811" s="19" t="s">
        <v>1812</v>
      </c>
      <c r="H3811" s="19" t="s">
        <v>224</v>
      </c>
      <c r="I3811" s="19" t="s">
        <v>1045</v>
      </c>
      <c r="J3811" s="19" t="s">
        <v>24</v>
      </c>
      <c r="K3811" s="19" t="s">
        <v>553</v>
      </c>
      <c r="L3811" s="19">
        <v>2024</v>
      </c>
      <c r="M3811" s="20">
        <v>1</v>
      </c>
      <c r="N3811" s="19" t="s">
        <v>1798</v>
      </c>
      <c r="O3811" s="20">
        <v>0</v>
      </c>
      <c r="P3811" s="20">
        <v>0</v>
      </c>
      <c r="Q3811" s="20">
        <v>0</v>
      </c>
      <c r="R3811" s="21">
        <v>1</v>
      </c>
      <c r="S3811" s="20">
        <v>0</v>
      </c>
    </row>
    <row r="3812" spans="2:19" ht="15" customHeight="1" x14ac:dyDescent="0.25">
      <c r="B3812" s="2" t="str">
        <f t="shared" si="118"/>
        <v>PGL_Income Eligible_Multi-Family_Whole Building - DI_Programmable Thermostat_Boiler (DI)_MF</v>
      </c>
      <c r="C3812" s="2" t="str">
        <f t="shared" si="119"/>
        <v>PGL_Income Eligible_Multi-Family_Whole Building - DI_Programmable Thermostat_Boiler (DI)_MF_2025</v>
      </c>
      <c r="D3812" s="19" t="s">
        <v>1794</v>
      </c>
      <c r="E3812" s="19" t="s">
        <v>325</v>
      </c>
      <c r="F3812" s="19" t="s">
        <v>1422</v>
      </c>
      <c r="G3812" s="19" t="s">
        <v>1812</v>
      </c>
      <c r="H3812" s="19" t="s">
        <v>224</v>
      </c>
      <c r="I3812" s="19" t="s">
        <v>1045</v>
      </c>
      <c r="J3812" s="19" t="s">
        <v>24</v>
      </c>
      <c r="K3812" s="19" t="s">
        <v>553</v>
      </c>
      <c r="L3812" s="19">
        <v>2025</v>
      </c>
      <c r="M3812" s="20">
        <v>1</v>
      </c>
      <c r="N3812" s="19" t="s">
        <v>1798</v>
      </c>
      <c r="O3812" s="20">
        <v>0</v>
      </c>
      <c r="P3812" s="20">
        <v>0</v>
      </c>
      <c r="Q3812" s="20">
        <v>0</v>
      </c>
      <c r="R3812" s="21">
        <v>1</v>
      </c>
      <c r="S3812" s="20">
        <v>0</v>
      </c>
    </row>
    <row r="3813" spans="2:19" ht="15" customHeight="1" x14ac:dyDescent="0.25">
      <c r="B3813" s="2" t="str">
        <f t="shared" si="118"/>
        <v>PGL_Income Eligible_Multi-Family_Whole Building - DI_Advanced Thermostat_Furnace (Replace Manual)_MF</v>
      </c>
      <c r="C3813" s="2" t="str">
        <f t="shared" si="119"/>
        <v>PGL_Income Eligible_Multi-Family_Whole Building - DI_Advanced Thermostat_Furnace (Replace Manual)_MF_2022</v>
      </c>
      <c r="D3813" s="19" t="s">
        <v>1794</v>
      </c>
      <c r="E3813" s="19" t="s">
        <v>325</v>
      </c>
      <c r="F3813" s="19" t="s">
        <v>1422</v>
      </c>
      <c r="G3813" s="19" t="s">
        <v>1812</v>
      </c>
      <c r="H3813" s="19" t="s">
        <v>7</v>
      </c>
      <c r="I3813" s="19" t="s">
        <v>1047</v>
      </c>
      <c r="J3813" s="19" t="s">
        <v>24</v>
      </c>
      <c r="K3813" s="19" t="s">
        <v>553</v>
      </c>
      <c r="L3813" s="19">
        <v>2022</v>
      </c>
      <c r="M3813" s="20">
        <v>1</v>
      </c>
      <c r="N3813" s="19" t="s">
        <v>1798</v>
      </c>
      <c r="O3813" s="20">
        <v>36</v>
      </c>
      <c r="P3813" s="20">
        <v>36</v>
      </c>
      <c r="Q3813" s="20">
        <v>2445.768</v>
      </c>
      <c r="R3813" s="21">
        <v>1</v>
      </c>
      <c r="S3813" s="20">
        <v>2445.768</v>
      </c>
    </row>
    <row r="3814" spans="2:19" ht="15" customHeight="1" x14ac:dyDescent="0.25">
      <c r="B3814" s="2" t="str">
        <f t="shared" si="118"/>
        <v>PGL_Income Eligible_Multi-Family_Whole Building - DI_Advanced Thermostat_Furnace (Replace Manual)_MF</v>
      </c>
      <c r="C3814" s="2" t="str">
        <f t="shared" si="119"/>
        <v>PGL_Income Eligible_Multi-Family_Whole Building - DI_Advanced Thermostat_Furnace (Replace Manual)_MF_2023</v>
      </c>
      <c r="D3814" s="19" t="s">
        <v>1794</v>
      </c>
      <c r="E3814" s="19" t="s">
        <v>325</v>
      </c>
      <c r="F3814" s="19" t="s">
        <v>1422</v>
      </c>
      <c r="G3814" s="19" t="s">
        <v>1812</v>
      </c>
      <c r="H3814" s="19" t="s">
        <v>7</v>
      </c>
      <c r="I3814" s="19" t="s">
        <v>1047</v>
      </c>
      <c r="J3814" s="19" t="s">
        <v>24</v>
      </c>
      <c r="K3814" s="19" t="s">
        <v>553</v>
      </c>
      <c r="L3814" s="19">
        <v>2023</v>
      </c>
      <c r="M3814" s="20">
        <v>1</v>
      </c>
      <c r="N3814" s="19" t="s">
        <v>1798</v>
      </c>
      <c r="O3814" s="20">
        <v>46</v>
      </c>
      <c r="P3814" s="20">
        <v>46</v>
      </c>
      <c r="Q3814" s="20">
        <v>3125.1480000000001</v>
      </c>
      <c r="R3814" s="21">
        <v>1</v>
      </c>
      <c r="S3814" s="20">
        <v>3125.1480000000001</v>
      </c>
    </row>
    <row r="3815" spans="2:19" ht="15" customHeight="1" x14ac:dyDescent="0.25">
      <c r="B3815" s="2" t="str">
        <f t="shared" si="118"/>
        <v>PGL_Income Eligible_Multi-Family_Whole Building - DI_Advanced Thermostat_Furnace (Replace Manual)_MF</v>
      </c>
      <c r="C3815" s="2" t="str">
        <f t="shared" si="119"/>
        <v>PGL_Income Eligible_Multi-Family_Whole Building - DI_Advanced Thermostat_Furnace (Replace Manual)_MF_2024</v>
      </c>
      <c r="D3815" s="19" t="s">
        <v>1794</v>
      </c>
      <c r="E3815" s="19" t="s">
        <v>325</v>
      </c>
      <c r="F3815" s="19" t="s">
        <v>1422</v>
      </c>
      <c r="G3815" s="19" t="s">
        <v>1812</v>
      </c>
      <c r="H3815" s="19" t="s">
        <v>7</v>
      </c>
      <c r="I3815" s="19" t="s">
        <v>1047</v>
      </c>
      <c r="J3815" s="19" t="s">
        <v>24</v>
      </c>
      <c r="K3815" s="19" t="s">
        <v>553</v>
      </c>
      <c r="L3815" s="19">
        <v>2024</v>
      </c>
      <c r="M3815" s="20">
        <v>1</v>
      </c>
      <c r="N3815" s="19" t="s">
        <v>1798</v>
      </c>
      <c r="O3815" s="20">
        <v>56</v>
      </c>
      <c r="P3815" s="20">
        <v>56</v>
      </c>
      <c r="Q3815" s="20">
        <v>3804.5280000000002</v>
      </c>
      <c r="R3815" s="21">
        <v>1</v>
      </c>
      <c r="S3815" s="20">
        <v>3804.5280000000002</v>
      </c>
    </row>
    <row r="3816" spans="2:19" ht="15" customHeight="1" x14ac:dyDescent="0.25">
      <c r="B3816" s="2" t="str">
        <f t="shared" si="118"/>
        <v>PGL_Income Eligible_Multi-Family_Whole Building - DI_Advanced Thermostat_Furnace (Replace Manual)_MF</v>
      </c>
      <c r="C3816" s="2" t="str">
        <f t="shared" si="119"/>
        <v>PGL_Income Eligible_Multi-Family_Whole Building - DI_Advanced Thermostat_Furnace (Replace Manual)_MF_2025</v>
      </c>
      <c r="D3816" s="19" t="s">
        <v>1794</v>
      </c>
      <c r="E3816" s="19" t="s">
        <v>325</v>
      </c>
      <c r="F3816" s="19" t="s">
        <v>1422</v>
      </c>
      <c r="G3816" s="19" t="s">
        <v>1812</v>
      </c>
      <c r="H3816" s="19" t="s">
        <v>7</v>
      </c>
      <c r="I3816" s="19" t="s">
        <v>1047</v>
      </c>
      <c r="J3816" s="19" t="s">
        <v>24</v>
      </c>
      <c r="K3816" s="19" t="s">
        <v>553</v>
      </c>
      <c r="L3816" s="19">
        <v>2025</v>
      </c>
      <c r="M3816" s="20">
        <v>1</v>
      </c>
      <c r="N3816" s="19" t="s">
        <v>1798</v>
      </c>
      <c r="O3816" s="20">
        <v>66</v>
      </c>
      <c r="P3816" s="20">
        <v>66</v>
      </c>
      <c r="Q3816" s="20">
        <v>4483.9080000000004</v>
      </c>
      <c r="R3816" s="21">
        <v>1</v>
      </c>
      <c r="S3816" s="20">
        <v>4483.9080000000004</v>
      </c>
    </row>
    <row r="3817" spans="2:19" ht="15" customHeight="1" x14ac:dyDescent="0.25">
      <c r="B3817" s="2" t="str">
        <f t="shared" si="118"/>
        <v>PGL_Income Eligible_Multi-Family_Whole Building - DI_Advanced Thermostat_Boiler (Replace Manual)_MF</v>
      </c>
      <c r="C3817" s="2" t="str">
        <f t="shared" si="119"/>
        <v>PGL_Income Eligible_Multi-Family_Whole Building - DI_Advanced Thermostat_Boiler (Replace Manual)_MF_2022</v>
      </c>
      <c r="D3817" s="19" t="s">
        <v>1794</v>
      </c>
      <c r="E3817" s="19" t="s">
        <v>325</v>
      </c>
      <c r="F3817" s="19" t="s">
        <v>1422</v>
      </c>
      <c r="G3817" s="19" t="s">
        <v>1812</v>
      </c>
      <c r="H3817" s="19" t="s">
        <v>7</v>
      </c>
      <c r="I3817" s="19" t="s">
        <v>1051</v>
      </c>
      <c r="J3817" s="19" t="s">
        <v>24</v>
      </c>
      <c r="K3817" s="19" t="s">
        <v>553</v>
      </c>
      <c r="L3817" s="19">
        <v>2022</v>
      </c>
      <c r="M3817" s="20">
        <v>1</v>
      </c>
      <c r="N3817" s="19" t="s">
        <v>1798</v>
      </c>
      <c r="O3817" s="20">
        <v>0</v>
      </c>
      <c r="P3817" s="20">
        <v>0</v>
      </c>
      <c r="Q3817" s="20">
        <v>0</v>
      </c>
      <c r="R3817" s="21">
        <v>1</v>
      </c>
      <c r="S3817" s="20">
        <v>0</v>
      </c>
    </row>
    <row r="3818" spans="2:19" ht="15" customHeight="1" x14ac:dyDescent="0.25">
      <c r="B3818" s="2" t="str">
        <f t="shared" si="118"/>
        <v>PGL_Income Eligible_Multi-Family_Whole Building - DI_Advanced Thermostat_Boiler (Replace Manual)_MF</v>
      </c>
      <c r="C3818" s="2" t="str">
        <f t="shared" si="119"/>
        <v>PGL_Income Eligible_Multi-Family_Whole Building - DI_Advanced Thermostat_Boiler (Replace Manual)_MF_2023</v>
      </c>
      <c r="D3818" s="19" t="s">
        <v>1794</v>
      </c>
      <c r="E3818" s="19" t="s">
        <v>325</v>
      </c>
      <c r="F3818" s="19" t="s">
        <v>1422</v>
      </c>
      <c r="G3818" s="19" t="s">
        <v>1812</v>
      </c>
      <c r="H3818" s="19" t="s">
        <v>7</v>
      </c>
      <c r="I3818" s="19" t="s">
        <v>1051</v>
      </c>
      <c r="J3818" s="19" t="s">
        <v>24</v>
      </c>
      <c r="K3818" s="19" t="s">
        <v>553</v>
      </c>
      <c r="L3818" s="19">
        <v>2023</v>
      </c>
      <c r="M3818" s="20">
        <v>1</v>
      </c>
      <c r="N3818" s="19" t="s">
        <v>1798</v>
      </c>
      <c r="O3818" s="20">
        <v>0</v>
      </c>
      <c r="P3818" s="20">
        <v>0</v>
      </c>
      <c r="Q3818" s="20">
        <v>0</v>
      </c>
      <c r="R3818" s="21">
        <v>1</v>
      </c>
      <c r="S3818" s="20">
        <v>0</v>
      </c>
    </row>
    <row r="3819" spans="2:19" ht="15" customHeight="1" x14ac:dyDescent="0.25">
      <c r="B3819" s="2" t="str">
        <f t="shared" si="118"/>
        <v>PGL_Income Eligible_Multi-Family_Whole Building - DI_Advanced Thermostat_Boiler (Replace Manual)_MF</v>
      </c>
      <c r="C3819" s="2" t="str">
        <f t="shared" si="119"/>
        <v>PGL_Income Eligible_Multi-Family_Whole Building - DI_Advanced Thermostat_Boiler (Replace Manual)_MF_2024</v>
      </c>
      <c r="D3819" s="19" t="s">
        <v>1794</v>
      </c>
      <c r="E3819" s="19" t="s">
        <v>325</v>
      </c>
      <c r="F3819" s="19" t="s">
        <v>1422</v>
      </c>
      <c r="G3819" s="19" t="s">
        <v>1812</v>
      </c>
      <c r="H3819" s="19" t="s">
        <v>7</v>
      </c>
      <c r="I3819" s="19" t="s">
        <v>1051</v>
      </c>
      <c r="J3819" s="19" t="s">
        <v>24</v>
      </c>
      <c r="K3819" s="19" t="s">
        <v>553</v>
      </c>
      <c r="L3819" s="19">
        <v>2024</v>
      </c>
      <c r="M3819" s="20">
        <v>1</v>
      </c>
      <c r="N3819" s="19" t="s">
        <v>1798</v>
      </c>
      <c r="O3819" s="20">
        <v>0</v>
      </c>
      <c r="P3819" s="20">
        <v>0</v>
      </c>
      <c r="Q3819" s="20">
        <v>0</v>
      </c>
      <c r="R3819" s="21">
        <v>1</v>
      </c>
      <c r="S3819" s="20">
        <v>0</v>
      </c>
    </row>
    <row r="3820" spans="2:19" ht="15" customHeight="1" x14ac:dyDescent="0.25">
      <c r="B3820" s="2" t="str">
        <f t="shared" si="118"/>
        <v>PGL_Income Eligible_Multi-Family_Whole Building - DI_Advanced Thermostat_Boiler (Replace Manual)_MF</v>
      </c>
      <c r="C3820" s="2" t="str">
        <f t="shared" si="119"/>
        <v>PGL_Income Eligible_Multi-Family_Whole Building - DI_Advanced Thermostat_Boiler (Replace Manual)_MF_2025</v>
      </c>
      <c r="D3820" s="19" t="s">
        <v>1794</v>
      </c>
      <c r="E3820" s="19" t="s">
        <v>325</v>
      </c>
      <c r="F3820" s="19" t="s">
        <v>1422</v>
      </c>
      <c r="G3820" s="19" t="s">
        <v>1812</v>
      </c>
      <c r="H3820" s="19" t="s">
        <v>7</v>
      </c>
      <c r="I3820" s="19" t="s">
        <v>1051</v>
      </c>
      <c r="J3820" s="19" t="s">
        <v>24</v>
      </c>
      <c r="K3820" s="19" t="s">
        <v>553</v>
      </c>
      <c r="L3820" s="19">
        <v>2025</v>
      </c>
      <c r="M3820" s="20">
        <v>1</v>
      </c>
      <c r="N3820" s="19" t="s">
        <v>1798</v>
      </c>
      <c r="O3820" s="20">
        <v>0</v>
      </c>
      <c r="P3820" s="20">
        <v>0</v>
      </c>
      <c r="Q3820" s="20">
        <v>0</v>
      </c>
      <c r="R3820" s="21">
        <v>1</v>
      </c>
      <c r="S3820" s="20">
        <v>0</v>
      </c>
    </row>
    <row r="3821" spans="2:19" ht="15" customHeight="1" x14ac:dyDescent="0.25">
      <c r="B3821" s="2" t="str">
        <f t="shared" si="118"/>
        <v>PGL_Income Eligible_Multi-Family_Whole Building - DI_Advanced Thermostat_Furnace (Replace Programmable)_MF</v>
      </c>
      <c r="C3821" s="2" t="str">
        <f t="shared" si="119"/>
        <v>PGL_Income Eligible_Multi-Family_Whole Building - DI_Advanced Thermostat_Furnace (Replace Programmable)_MF_2022</v>
      </c>
      <c r="D3821" s="19" t="s">
        <v>1794</v>
      </c>
      <c r="E3821" s="19" t="s">
        <v>325</v>
      </c>
      <c r="F3821" s="19" t="s">
        <v>1422</v>
      </c>
      <c r="G3821" s="19" t="s">
        <v>1812</v>
      </c>
      <c r="H3821" s="19" t="s">
        <v>7</v>
      </c>
      <c r="I3821" s="19" t="s">
        <v>1049</v>
      </c>
      <c r="J3821" s="19" t="s">
        <v>24</v>
      </c>
      <c r="K3821" s="19" t="s">
        <v>553</v>
      </c>
      <c r="L3821" s="19">
        <v>2022</v>
      </c>
      <c r="M3821" s="20">
        <v>1</v>
      </c>
      <c r="N3821" s="19" t="s">
        <v>1798</v>
      </c>
      <c r="O3821" s="20">
        <v>18</v>
      </c>
      <c r="P3821" s="20">
        <v>18</v>
      </c>
      <c r="Q3821" s="20">
        <v>858.37049999999999</v>
      </c>
      <c r="R3821" s="21">
        <v>1</v>
      </c>
      <c r="S3821" s="20">
        <v>858.37049999999999</v>
      </c>
    </row>
    <row r="3822" spans="2:19" ht="15" customHeight="1" x14ac:dyDescent="0.25">
      <c r="B3822" s="2" t="str">
        <f t="shared" si="118"/>
        <v>PGL_Income Eligible_Multi-Family_Whole Building - DI_Advanced Thermostat_Furnace (Replace Programmable)_MF</v>
      </c>
      <c r="C3822" s="2" t="str">
        <f t="shared" si="119"/>
        <v>PGL_Income Eligible_Multi-Family_Whole Building - DI_Advanced Thermostat_Furnace (Replace Programmable)_MF_2023</v>
      </c>
      <c r="D3822" s="19" t="s">
        <v>1794</v>
      </c>
      <c r="E3822" s="19" t="s">
        <v>325</v>
      </c>
      <c r="F3822" s="19" t="s">
        <v>1422</v>
      </c>
      <c r="G3822" s="19" t="s">
        <v>1812</v>
      </c>
      <c r="H3822" s="19" t="s">
        <v>7</v>
      </c>
      <c r="I3822" s="19" t="s">
        <v>1049</v>
      </c>
      <c r="J3822" s="19" t="s">
        <v>24</v>
      </c>
      <c r="K3822" s="19" t="s">
        <v>553</v>
      </c>
      <c r="L3822" s="19">
        <v>2023</v>
      </c>
      <c r="M3822" s="20">
        <v>1</v>
      </c>
      <c r="N3822" s="19" t="s">
        <v>1798</v>
      </c>
      <c r="O3822" s="20">
        <v>23</v>
      </c>
      <c r="P3822" s="20">
        <v>23</v>
      </c>
      <c r="Q3822" s="20">
        <v>1096.80675</v>
      </c>
      <c r="R3822" s="21">
        <v>1</v>
      </c>
      <c r="S3822" s="20">
        <v>1096.80675</v>
      </c>
    </row>
    <row r="3823" spans="2:19" ht="15" customHeight="1" x14ac:dyDescent="0.25">
      <c r="B3823" s="2" t="str">
        <f t="shared" si="118"/>
        <v>PGL_Income Eligible_Multi-Family_Whole Building - DI_Advanced Thermostat_Furnace (Replace Programmable)_MF</v>
      </c>
      <c r="C3823" s="2" t="str">
        <f t="shared" si="119"/>
        <v>PGL_Income Eligible_Multi-Family_Whole Building - DI_Advanced Thermostat_Furnace (Replace Programmable)_MF_2024</v>
      </c>
      <c r="D3823" s="19" t="s">
        <v>1794</v>
      </c>
      <c r="E3823" s="19" t="s">
        <v>325</v>
      </c>
      <c r="F3823" s="19" t="s">
        <v>1422</v>
      </c>
      <c r="G3823" s="19" t="s">
        <v>1812</v>
      </c>
      <c r="H3823" s="19" t="s">
        <v>7</v>
      </c>
      <c r="I3823" s="19" t="s">
        <v>1049</v>
      </c>
      <c r="J3823" s="19" t="s">
        <v>24</v>
      </c>
      <c r="K3823" s="19" t="s">
        <v>553</v>
      </c>
      <c r="L3823" s="19">
        <v>2024</v>
      </c>
      <c r="M3823" s="20">
        <v>1</v>
      </c>
      <c r="N3823" s="19" t="s">
        <v>1798</v>
      </c>
      <c r="O3823" s="20">
        <v>28</v>
      </c>
      <c r="P3823" s="20">
        <v>28</v>
      </c>
      <c r="Q3823" s="20">
        <v>1335.2429999999999</v>
      </c>
      <c r="R3823" s="21">
        <v>1</v>
      </c>
      <c r="S3823" s="20">
        <v>1335.2429999999999</v>
      </c>
    </row>
    <row r="3824" spans="2:19" ht="15" customHeight="1" x14ac:dyDescent="0.25">
      <c r="B3824" s="2" t="str">
        <f t="shared" si="118"/>
        <v>PGL_Income Eligible_Multi-Family_Whole Building - DI_Advanced Thermostat_Furnace (Replace Programmable)_MF</v>
      </c>
      <c r="C3824" s="2" t="str">
        <f t="shared" si="119"/>
        <v>PGL_Income Eligible_Multi-Family_Whole Building - DI_Advanced Thermostat_Furnace (Replace Programmable)_MF_2025</v>
      </c>
      <c r="D3824" s="19" t="s">
        <v>1794</v>
      </c>
      <c r="E3824" s="19" t="s">
        <v>325</v>
      </c>
      <c r="F3824" s="19" t="s">
        <v>1422</v>
      </c>
      <c r="G3824" s="19" t="s">
        <v>1812</v>
      </c>
      <c r="H3824" s="19" t="s">
        <v>7</v>
      </c>
      <c r="I3824" s="19" t="s">
        <v>1049</v>
      </c>
      <c r="J3824" s="19" t="s">
        <v>24</v>
      </c>
      <c r="K3824" s="19" t="s">
        <v>553</v>
      </c>
      <c r="L3824" s="19">
        <v>2025</v>
      </c>
      <c r="M3824" s="20">
        <v>1</v>
      </c>
      <c r="N3824" s="19" t="s">
        <v>1798</v>
      </c>
      <c r="O3824" s="20">
        <v>33</v>
      </c>
      <c r="P3824" s="20">
        <v>33</v>
      </c>
      <c r="Q3824" s="20">
        <v>1573.6792499999999</v>
      </c>
      <c r="R3824" s="21">
        <v>1</v>
      </c>
      <c r="S3824" s="20">
        <v>1573.6792499999999</v>
      </c>
    </row>
    <row r="3825" spans="2:19" ht="15" customHeight="1" x14ac:dyDescent="0.25">
      <c r="B3825" s="2" t="str">
        <f t="shared" si="118"/>
        <v>PGL_Income Eligible_Multi-Family_Whole Building - DI_Advanced Thermostat_Boiler (Replace Programmable)_MF</v>
      </c>
      <c r="C3825" s="2" t="str">
        <f t="shared" si="119"/>
        <v>PGL_Income Eligible_Multi-Family_Whole Building - DI_Advanced Thermostat_Boiler (Replace Programmable)_MF_2022</v>
      </c>
      <c r="D3825" s="19" t="s">
        <v>1794</v>
      </c>
      <c r="E3825" s="19" t="s">
        <v>325</v>
      </c>
      <c r="F3825" s="19" t="s">
        <v>1422</v>
      </c>
      <c r="G3825" s="19" t="s">
        <v>1812</v>
      </c>
      <c r="H3825" s="19" t="s">
        <v>7</v>
      </c>
      <c r="I3825" s="19" t="s">
        <v>1052</v>
      </c>
      <c r="J3825" s="19" t="s">
        <v>24</v>
      </c>
      <c r="K3825" s="19" t="s">
        <v>553</v>
      </c>
      <c r="L3825" s="19">
        <v>2022</v>
      </c>
      <c r="M3825" s="20">
        <v>1</v>
      </c>
      <c r="N3825" s="19" t="s">
        <v>1798</v>
      </c>
      <c r="O3825" s="20">
        <v>0</v>
      </c>
      <c r="P3825" s="20">
        <v>0</v>
      </c>
      <c r="Q3825" s="20">
        <v>0</v>
      </c>
      <c r="R3825" s="21">
        <v>1</v>
      </c>
      <c r="S3825" s="20">
        <v>0</v>
      </c>
    </row>
    <row r="3826" spans="2:19" ht="15" customHeight="1" x14ac:dyDescent="0.25">
      <c r="B3826" s="2" t="str">
        <f t="shared" si="118"/>
        <v>PGL_Income Eligible_Multi-Family_Whole Building - DI_Advanced Thermostat_Boiler (Replace Programmable)_MF</v>
      </c>
      <c r="C3826" s="2" t="str">
        <f t="shared" si="119"/>
        <v>PGL_Income Eligible_Multi-Family_Whole Building - DI_Advanced Thermostat_Boiler (Replace Programmable)_MF_2023</v>
      </c>
      <c r="D3826" s="19" t="s">
        <v>1794</v>
      </c>
      <c r="E3826" s="19" t="s">
        <v>325</v>
      </c>
      <c r="F3826" s="19" t="s">
        <v>1422</v>
      </c>
      <c r="G3826" s="19" t="s">
        <v>1812</v>
      </c>
      <c r="H3826" s="19" t="s">
        <v>7</v>
      </c>
      <c r="I3826" s="19" t="s">
        <v>1052</v>
      </c>
      <c r="J3826" s="19" t="s">
        <v>24</v>
      </c>
      <c r="K3826" s="19" t="s">
        <v>553</v>
      </c>
      <c r="L3826" s="19">
        <v>2023</v>
      </c>
      <c r="M3826" s="20">
        <v>1</v>
      </c>
      <c r="N3826" s="19" t="s">
        <v>1798</v>
      </c>
      <c r="O3826" s="20">
        <v>0</v>
      </c>
      <c r="P3826" s="20">
        <v>0</v>
      </c>
      <c r="Q3826" s="20">
        <v>0</v>
      </c>
      <c r="R3826" s="21">
        <v>1</v>
      </c>
      <c r="S3826" s="20">
        <v>0</v>
      </c>
    </row>
    <row r="3827" spans="2:19" ht="15" customHeight="1" x14ac:dyDescent="0.25">
      <c r="B3827" s="2" t="str">
        <f t="shared" si="118"/>
        <v>PGL_Income Eligible_Multi-Family_Whole Building - DI_Advanced Thermostat_Boiler (Replace Programmable)_MF</v>
      </c>
      <c r="C3827" s="2" t="str">
        <f t="shared" si="119"/>
        <v>PGL_Income Eligible_Multi-Family_Whole Building - DI_Advanced Thermostat_Boiler (Replace Programmable)_MF_2024</v>
      </c>
      <c r="D3827" s="19" t="s">
        <v>1794</v>
      </c>
      <c r="E3827" s="19" t="s">
        <v>325</v>
      </c>
      <c r="F3827" s="19" t="s">
        <v>1422</v>
      </c>
      <c r="G3827" s="19" t="s">
        <v>1812</v>
      </c>
      <c r="H3827" s="19" t="s">
        <v>7</v>
      </c>
      <c r="I3827" s="19" t="s">
        <v>1052</v>
      </c>
      <c r="J3827" s="19" t="s">
        <v>24</v>
      </c>
      <c r="K3827" s="19" t="s">
        <v>553</v>
      </c>
      <c r="L3827" s="19">
        <v>2024</v>
      </c>
      <c r="M3827" s="20">
        <v>1</v>
      </c>
      <c r="N3827" s="19" t="s">
        <v>1798</v>
      </c>
      <c r="O3827" s="20">
        <v>0</v>
      </c>
      <c r="P3827" s="20">
        <v>0</v>
      </c>
      <c r="Q3827" s="20">
        <v>0</v>
      </c>
      <c r="R3827" s="21">
        <v>1</v>
      </c>
      <c r="S3827" s="20">
        <v>0</v>
      </c>
    </row>
    <row r="3828" spans="2:19" ht="15" customHeight="1" x14ac:dyDescent="0.25">
      <c r="B3828" s="2" t="str">
        <f t="shared" si="118"/>
        <v>PGL_Income Eligible_Multi-Family_Whole Building - DI_Advanced Thermostat_Boiler (Replace Programmable)_MF</v>
      </c>
      <c r="C3828" s="2" t="str">
        <f t="shared" si="119"/>
        <v>PGL_Income Eligible_Multi-Family_Whole Building - DI_Advanced Thermostat_Boiler (Replace Programmable)_MF_2025</v>
      </c>
      <c r="D3828" s="19" t="s">
        <v>1794</v>
      </c>
      <c r="E3828" s="19" t="s">
        <v>325</v>
      </c>
      <c r="F3828" s="19" t="s">
        <v>1422</v>
      </c>
      <c r="G3828" s="19" t="s">
        <v>1812</v>
      </c>
      <c r="H3828" s="19" t="s">
        <v>7</v>
      </c>
      <c r="I3828" s="19" t="s">
        <v>1052</v>
      </c>
      <c r="J3828" s="19" t="s">
        <v>24</v>
      </c>
      <c r="K3828" s="19" t="s">
        <v>553</v>
      </c>
      <c r="L3828" s="19">
        <v>2025</v>
      </c>
      <c r="M3828" s="20">
        <v>1</v>
      </c>
      <c r="N3828" s="19" t="s">
        <v>1798</v>
      </c>
      <c r="O3828" s="20">
        <v>0</v>
      </c>
      <c r="P3828" s="20">
        <v>0</v>
      </c>
      <c r="Q3828" s="20">
        <v>0</v>
      </c>
      <c r="R3828" s="21">
        <v>1</v>
      </c>
      <c r="S3828" s="20">
        <v>0</v>
      </c>
    </row>
    <row r="3829" spans="2:19" ht="15" customHeight="1" x14ac:dyDescent="0.25">
      <c r="B3829" s="2" t="str">
        <f t="shared" si="118"/>
        <v>PGL_Income Eligible_Multi-Family_Whole Building - DI_Thermostat - Reprogram_Furnace (DI)_MF</v>
      </c>
      <c r="C3829" s="2" t="str">
        <f t="shared" si="119"/>
        <v>PGL_Income Eligible_Multi-Family_Whole Building - DI_Thermostat - Reprogram_Furnace (DI)_MF_2022</v>
      </c>
      <c r="D3829" s="19" t="s">
        <v>1794</v>
      </c>
      <c r="E3829" s="19" t="s">
        <v>325</v>
      </c>
      <c r="F3829" s="19" t="s">
        <v>1422</v>
      </c>
      <c r="G3829" s="19" t="s">
        <v>1812</v>
      </c>
      <c r="H3829" s="19" t="s">
        <v>1055</v>
      </c>
      <c r="I3829" s="19" t="s">
        <v>1038</v>
      </c>
      <c r="J3829" s="19" t="s">
        <v>24</v>
      </c>
      <c r="K3829" s="19" t="s">
        <v>553</v>
      </c>
      <c r="L3829" s="19">
        <v>2022</v>
      </c>
      <c r="M3829" s="20">
        <v>1</v>
      </c>
      <c r="N3829" s="19" t="s">
        <v>1798</v>
      </c>
      <c r="O3829" s="20">
        <v>0</v>
      </c>
      <c r="P3829" s="20">
        <v>0</v>
      </c>
      <c r="Q3829" s="20">
        <v>0</v>
      </c>
      <c r="R3829" s="21">
        <v>1</v>
      </c>
      <c r="S3829" s="20">
        <v>0</v>
      </c>
    </row>
    <row r="3830" spans="2:19" ht="15" customHeight="1" x14ac:dyDescent="0.25">
      <c r="B3830" s="2" t="str">
        <f t="shared" si="118"/>
        <v>PGL_Income Eligible_Multi-Family_Whole Building - DI_Thermostat - Reprogram_Furnace (DI)_MF</v>
      </c>
      <c r="C3830" s="2" t="str">
        <f t="shared" si="119"/>
        <v>PGL_Income Eligible_Multi-Family_Whole Building - DI_Thermostat - Reprogram_Furnace (DI)_MF_2023</v>
      </c>
      <c r="D3830" s="19" t="s">
        <v>1794</v>
      </c>
      <c r="E3830" s="19" t="s">
        <v>325</v>
      </c>
      <c r="F3830" s="19" t="s">
        <v>1422</v>
      </c>
      <c r="G3830" s="19" t="s">
        <v>1812</v>
      </c>
      <c r="H3830" s="19" t="s">
        <v>1055</v>
      </c>
      <c r="I3830" s="19" t="s">
        <v>1038</v>
      </c>
      <c r="J3830" s="19" t="s">
        <v>24</v>
      </c>
      <c r="K3830" s="19" t="s">
        <v>553</v>
      </c>
      <c r="L3830" s="19">
        <v>2023</v>
      </c>
      <c r="M3830" s="20">
        <v>1</v>
      </c>
      <c r="N3830" s="19" t="s">
        <v>1798</v>
      </c>
      <c r="O3830" s="20">
        <v>0</v>
      </c>
      <c r="P3830" s="20">
        <v>0</v>
      </c>
      <c r="Q3830" s="20">
        <v>0</v>
      </c>
      <c r="R3830" s="21">
        <v>1</v>
      </c>
      <c r="S3830" s="20">
        <v>0</v>
      </c>
    </row>
    <row r="3831" spans="2:19" ht="15" customHeight="1" x14ac:dyDescent="0.25">
      <c r="B3831" s="2" t="str">
        <f t="shared" si="118"/>
        <v>PGL_Income Eligible_Multi-Family_Whole Building - DI_Thermostat - Reprogram_Furnace (DI)_MF</v>
      </c>
      <c r="C3831" s="2" t="str">
        <f t="shared" si="119"/>
        <v>PGL_Income Eligible_Multi-Family_Whole Building - DI_Thermostat - Reprogram_Furnace (DI)_MF_2024</v>
      </c>
      <c r="D3831" s="19" t="s">
        <v>1794</v>
      </c>
      <c r="E3831" s="19" t="s">
        <v>325</v>
      </c>
      <c r="F3831" s="19" t="s">
        <v>1422</v>
      </c>
      <c r="G3831" s="19" t="s">
        <v>1812</v>
      </c>
      <c r="H3831" s="19" t="s">
        <v>1055</v>
      </c>
      <c r="I3831" s="19" t="s">
        <v>1038</v>
      </c>
      <c r="J3831" s="19" t="s">
        <v>24</v>
      </c>
      <c r="K3831" s="19" t="s">
        <v>553</v>
      </c>
      <c r="L3831" s="19">
        <v>2024</v>
      </c>
      <c r="M3831" s="20">
        <v>1</v>
      </c>
      <c r="N3831" s="19" t="s">
        <v>1798</v>
      </c>
      <c r="O3831" s="20">
        <v>0</v>
      </c>
      <c r="P3831" s="20">
        <v>0</v>
      </c>
      <c r="Q3831" s="20">
        <v>0</v>
      </c>
      <c r="R3831" s="21">
        <v>1</v>
      </c>
      <c r="S3831" s="20">
        <v>0</v>
      </c>
    </row>
    <row r="3832" spans="2:19" ht="15" customHeight="1" x14ac:dyDescent="0.25">
      <c r="B3832" s="2" t="str">
        <f t="shared" si="118"/>
        <v>PGL_Income Eligible_Multi-Family_Whole Building - DI_Thermostat - Reprogram_Furnace (DI)_MF</v>
      </c>
      <c r="C3832" s="2" t="str">
        <f t="shared" si="119"/>
        <v>PGL_Income Eligible_Multi-Family_Whole Building - DI_Thermostat - Reprogram_Furnace (DI)_MF_2025</v>
      </c>
      <c r="D3832" s="19" t="s">
        <v>1794</v>
      </c>
      <c r="E3832" s="19" t="s">
        <v>325</v>
      </c>
      <c r="F3832" s="19" t="s">
        <v>1422</v>
      </c>
      <c r="G3832" s="19" t="s">
        <v>1812</v>
      </c>
      <c r="H3832" s="19" t="s">
        <v>1055</v>
      </c>
      <c r="I3832" s="19" t="s">
        <v>1038</v>
      </c>
      <c r="J3832" s="19" t="s">
        <v>24</v>
      </c>
      <c r="K3832" s="19" t="s">
        <v>553</v>
      </c>
      <c r="L3832" s="19">
        <v>2025</v>
      </c>
      <c r="M3832" s="20">
        <v>1</v>
      </c>
      <c r="N3832" s="19" t="s">
        <v>1798</v>
      </c>
      <c r="O3832" s="20">
        <v>0</v>
      </c>
      <c r="P3832" s="20">
        <v>0</v>
      </c>
      <c r="Q3832" s="20">
        <v>0</v>
      </c>
      <c r="R3832" s="21">
        <v>1</v>
      </c>
      <c r="S3832" s="20">
        <v>0</v>
      </c>
    </row>
    <row r="3833" spans="2:19" ht="15" customHeight="1" x14ac:dyDescent="0.25">
      <c r="B3833" s="2" t="str">
        <f t="shared" si="118"/>
        <v>PGL_Income Eligible_Multi-Family_Whole Building - DI_Thermostat - Reprogram_Boiler (DI)_MF</v>
      </c>
      <c r="C3833" s="2" t="str">
        <f t="shared" si="119"/>
        <v>PGL_Income Eligible_Multi-Family_Whole Building - DI_Thermostat - Reprogram_Boiler (DI)_MF_2022</v>
      </c>
      <c r="D3833" s="19" t="s">
        <v>1794</v>
      </c>
      <c r="E3833" s="19" t="s">
        <v>325</v>
      </c>
      <c r="F3833" s="19" t="s">
        <v>1422</v>
      </c>
      <c r="G3833" s="19" t="s">
        <v>1812</v>
      </c>
      <c r="H3833" s="19" t="s">
        <v>1055</v>
      </c>
      <c r="I3833" s="19" t="s">
        <v>1045</v>
      </c>
      <c r="J3833" s="19" t="s">
        <v>24</v>
      </c>
      <c r="K3833" s="19" t="s">
        <v>553</v>
      </c>
      <c r="L3833" s="19">
        <v>2022</v>
      </c>
      <c r="M3833" s="20">
        <v>1</v>
      </c>
      <c r="N3833" s="19" t="s">
        <v>1798</v>
      </c>
      <c r="O3833" s="20">
        <v>0</v>
      </c>
      <c r="P3833" s="20">
        <v>0</v>
      </c>
      <c r="Q3833" s="20">
        <v>0</v>
      </c>
      <c r="R3833" s="21">
        <v>1</v>
      </c>
      <c r="S3833" s="20">
        <v>0</v>
      </c>
    </row>
    <row r="3834" spans="2:19" ht="15" customHeight="1" x14ac:dyDescent="0.25">
      <c r="B3834" s="2" t="str">
        <f t="shared" si="118"/>
        <v>PGL_Income Eligible_Multi-Family_Whole Building - DI_Thermostat - Reprogram_Boiler (DI)_MF</v>
      </c>
      <c r="C3834" s="2" t="str">
        <f t="shared" si="119"/>
        <v>PGL_Income Eligible_Multi-Family_Whole Building - DI_Thermostat - Reprogram_Boiler (DI)_MF_2023</v>
      </c>
      <c r="D3834" s="19" t="s">
        <v>1794</v>
      </c>
      <c r="E3834" s="19" t="s">
        <v>325</v>
      </c>
      <c r="F3834" s="19" t="s">
        <v>1422</v>
      </c>
      <c r="G3834" s="19" t="s">
        <v>1812</v>
      </c>
      <c r="H3834" s="19" t="s">
        <v>1055</v>
      </c>
      <c r="I3834" s="19" t="s">
        <v>1045</v>
      </c>
      <c r="J3834" s="19" t="s">
        <v>24</v>
      </c>
      <c r="K3834" s="19" t="s">
        <v>553</v>
      </c>
      <c r="L3834" s="19">
        <v>2023</v>
      </c>
      <c r="M3834" s="20">
        <v>1</v>
      </c>
      <c r="N3834" s="19" t="s">
        <v>1798</v>
      </c>
      <c r="O3834" s="20">
        <v>0</v>
      </c>
      <c r="P3834" s="20">
        <v>0</v>
      </c>
      <c r="Q3834" s="20">
        <v>0</v>
      </c>
      <c r="R3834" s="21">
        <v>1</v>
      </c>
      <c r="S3834" s="20">
        <v>0</v>
      </c>
    </row>
    <row r="3835" spans="2:19" ht="15" customHeight="1" x14ac:dyDescent="0.25">
      <c r="B3835" s="2" t="str">
        <f t="shared" si="118"/>
        <v>PGL_Income Eligible_Multi-Family_Whole Building - DI_Thermostat - Reprogram_Boiler (DI)_MF</v>
      </c>
      <c r="C3835" s="2" t="str">
        <f t="shared" si="119"/>
        <v>PGL_Income Eligible_Multi-Family_Whole Building - DI_Thermostat - Reprogram_Boiler (DI)_MF_2024</v>
      </c>
      <c r="D3835" s="19" t="s">
        <v>1794</v>
      </c>
      <c r="E3835" s="19" t="s">
        <v>325</v>
      </c>
      <c r="F3835" s="19" t="s">
        <v>1422</v>
      </c>
      <c r="G3835" s="19" t="s">
        <v>1812</v>
      </c>
      <c r="H3835" s="19" t="s">
        <v>1055</v>
      </c>
      <c r="I3835" s="19" t="s">
        <v>1045</v>
      </c>
      <c r="J3835" s="19" t="s">
        <v>24</v>
      </c>
      <c r="K3835" s="19" t="s">
        <v>553</v>
      </c>
      <c r="L3835" s="19">
        <v>2024</v>
      </c>
      <c r="M3835" s="20">
        <v>1</v>
      </c>
      <c r="N3835" s="19" t="s">
        <v>1798</v>
      </c>
      <c r="O3835" s="20">
        <v>0</v>
      </c>
      <c r="P3835" s="20">
        <v>0</v>
      </c>
      <c r="Q3835" s="20">
        <v>0</v>
      </c>
      <c r="R3835" s="21">
        <v>1</v>
      </c>
      <c r="S3835" s="20">
        <v>0</v>
      </c>
    </row>
    <row r="3836" spans="2:19" ht="15" customHeight="1" x14ac:dyDescent="0.25">
      <c r="B3836" s="2" t="str">
        <f t="shared" si="118"/>
        <v>PGL_Income Eligible_Multi-Family_Whole Building - DI_Thermostat - Reprogram_Boiler (DI)_MF</v>
      </c>
      <c r="C3836" s="2" t="str">
        <f t="shared" si="119"/>
        <v>PGL_Income Eligible_Multi-Family_Whole Building - DI_Thermostat - Reprogram_Boiler (DI)_MF_2025</v>
      </c>
      <c r="D3836" s="19" t="s">
        <v>1794</v>
      </c>
      <c r="E3836" s="19" t="s">
        <v>325</v>
      </c>
      <c r="F3836" s="19" t="s">
        <v>1422</v>
      </c>
      <c r="G3836" s="19" t="s">
        <v>1812</v>
      </c>
      <c r="H3836" s="19" t="s">
        <v>1055</v>
      </c>
      <c r="I3836" s="19" t="s">
        <v>1045</v>
      </c>
      <c r="J3836" s="19" t="s">
        <v>24</v>
      </c>
      <c r="K3836" s="19" t="s">
        <v>553</v>
      </c>
      <c r="L3836" s="19">
        <v>2025</v>
      </c>
      <c r="M3836" s="20">
        <v>1</v>
      </c>
      <c r="N3836" s="19" t="s">
        <v>1798</v>
      </c>
      <c r="O3836" s="20">
        <v>0</v>
      </c>
      <c r="P3836" s="20">
        <v>0</v>
      </c>
      <c r="Q3836" s="20">
        <v>0</v>
      </c>
      <c r="R3836" s="21">
        <v>1</v>
      </c>
      <c r="S3836" s="20">
        <v>0</v>
      </c>
    </row>
    <row r="3837" spans="2:19" ht="15" customHeight="1" x14ac:dyDescent="0.25">
      <c r="B3837" s="2" t="str">
        <f t="shared" si="118"/>
        <v>PGL_Income Eligible_Multi-Family_Whole Building - Prescriptive_Air Sealing_0_MF</v>
      </c>
      <c r="C3837" s="2" t="str">
        <f t="shared" si="119"/>
        <v>PGL_Income Eligible_Multi-Family_Whole Building - Prescriptive_Air Sealing_0_MF_2022</v>
      </c>
      <c r="D3837" s="19" t="s">
        <v>1794</v>
      </c>
      <c r="E3837" s="19" t="s">
        <v>325</v>
      </c>
      <c r="F3837" s="19" t="s">
        <v>1422</v>
      </c>
      <c r="G3837" s="19" t="s">
        <v>1813</v>
      </c>
      <c r="H3837" s="19" t="s">
        <v>221</v>
      </c>
      <c r="I3837" s="19">
        <v>0</v>
      </c>
      <c r="J3837" s="19" t="s">
        <v>881</v>
      </c>
      <c r="K3837" s="19" t="s">
        <v>553</v>
      </c>
      <c r="L3837" s="19">
        <v>2022</v>
      </c>
      <c r="M3837" s="20">
        <v>1</v>
      </c>
      <c r="N3837" s="19" t="s">
        <v>1814</v>
      </c>
      <c r="O3837" s="20">
        <v>180</v>
      </c>
      <c r="P3837" s="20">
        <v>180</v>
      </c>
      <c r="Q3837" s="20">
        <v>7851.2417061611368</v>
      </c>
      <c r="R3837" s="21">
        <v>1</v>
      </c>
      <c r="S3837" s="20">
        <v>7851.2417061611368</v>
      </c>
    </row>
    <row r="3838" spans="2:19" ht="15" customHeight="1" x14ac:dyDescent="0.25">
      <c r="B3838" s="2" t="str">
        <f t="shared" si="118"/>
        <v>PGL_Income Eligible_Multi-Family_Whole Building - Prescriptive_Air Sealing_0_MF</v>
      </c>
      <c r="C3838" s="2" t="str">
        <f t="shared" si="119"/>
        <v>PGL_Income Eligible_Multi-Family_Whole Building - Prescriptive_Air Sealing_0_MF_2023</v>
      </c>
      <c r="D3838" s="19" t="s">
        <v>1794</v>
      </c>
      <c r="E3838" s="19" t="s">
        <v>325</v>
      </c>
      <c r="F3838" s="19" t="s">
        <v>1422</v>
      </c>
      <c r="G3838" s="19" t="s">
        <v>1813</v>
      </c>
      <c r="H3838" s="19" t="s">
        <v>221</v>
      </c>
      <c r="I3838" s="19">
        <v>0</v>
      </c>
      <c r="J3838" s="19" t="s">
        <v>881</v>
      </c>
      <c r="K3838" s="19" t="s">
        <v>553</v>
      </c>
      <c r="L3838" s="19">
        <v>2023</v>
      </c>
      <c r="M3838" s="20">
        <v>1</v>
      </c>
      <c r="N3838" s="19" t="s">
        <v>1814</v>
      </c>
      <c r="O3838" s="20">
        <v>230</v>
      </c>
      <c r="P3838" s="20">
        <v>230</v>
      </c>
      <c r="Q3838" s="20">
        <v>10032.142180094786</v>
      </c>
      <c r="R3838" s="21">
        <v>1</v>
      </c>
      <c r="S3838" s="20">
        <v>10032.142180094786</v>
      </c>
    </row>
    <row r="3839" spans="2:19" ht="15" customHeight="1" x14ac:dyDescent="0.25">
      <c r="B3839" s="2" t="str">
        <f t="shared" si="118"/>
        <v>PGL_Income Eligible_Multi-Family_Whole Building - Prescriptive_Air Sealing_0_MF</v>
      </c>
      <c r="C3839" s="2" t="str">
        <f t="shared" si="119"/>
        <v>PGL_Income Eligible_Multi-Family_Whole Building - Prescriptive_Air Sealing_0_MF_2024</v>
      </c>
      <c r="D3839" s="19" t="s">
        <v>1794</v>
      </c>
      <c r="E3839" s="19" t="s">
        <v>325</v>
      </c>
      <c r="F3839" s="19" t="s">
        <v>1422</v>
      </c>
      <c r="G3839" s="19" t="s">
        <v>1813</v>
      </c>
      <c r="H3839" s="19" t="s">
        <v>221</v>
      </c>
      <c r="I3839" s="19">
        <v>0</v>
      </c>
      <c r="J3839" s="19" t="s">
        <v>881</v>
      </c>
      <c r="K3839" s="19" t="s">
        <v>553</v>
      </c>
      <c r="L3839" s="19">
        <v>2024</v>
      </c>
      <c r="M3839" s="20">
        <v>1</v>
      </c>
      <c r="N3839" s="19" t="s">
        <v>1814</v>
      </c>
      <c r="O3839" s="20">
        <v>280</v>
      </c>
      <c r="P3839" s="20">
        <v>280</v>
      </c>
      <c r="Q3839" s="20">
        <v>12213.042654028435</v>
      </c>
      <c r="R3839" s="21">
        <v>1</v>
      </c>
      <c r="S3839" s="20">
        <v>12213.042654028435</v>
      </c>
    </row>
    <row r="3840" spans="2:19" ht="15" customHeight="1" x14ac:dyDescent="0.25">
      <c r="B3840" s="2" t="str">
        <f t="shared" si="118"/>
        <v>PGL_Income Eligible_Multi-Family_Whole Building - Prescriptive_Air Sealing_0_MF</v>
      </c>
      <c r="C3840" s="2" t="str">
        <f t="shared" si="119"/>
        <v>PGL_Income Eligible_Multi-Family_Whole Building - Prescriptive_Air Sealing_0_MF_2025</v>
      </c>
      <c r="D3840" s="19" t="s">
        <v>1794</v>
      </c>
      <c r="E3840" s="19" t="s">
        <v>325</v>
      </c>
      <c r="F3840" s="19" t="s">
        <v>1422</v>
      </c>
      <c r="G3840" s="19" t="s">
        <v>1813</v>
      </c>
      <c r="H3840" s="19" t="s">
        <v>221</v>
      </c>
      <c r="I3840" s="19">
        <v>0</v>
      </c>
      <c r="J3840" s="19" t="s">
        <v>881</v>
      </c>
      <c r="K3840" s="19" t="s">
        <v>553</v>
      </c>
      <c r="L3840" s="19">
        <v>2025</v>
      </c>
      <c r="M3840" s="20">
        <v>1</v>
      </c>
      <c r="N3840" s="19" t="s">
        <v>1814</v>
      </c>
      <c r="O3840" s="20">
        <v>330</v>
      </c>
      <c r="P3840" s="20">
        <v>330</v>
      </c>
      <c r="Q3840" s="20">
        <v>14393.943127962084</v>
      </c>
      <c r="R3840" s="21">
        <v>1</v>
      </c>
      <c r="S3840" s="20">
        <v>14393.943127962084</v>
      </c>
    </row>
    <row r="3841" spans="2:19" ht="15" customHeight="1" x14ac:dyDescent="0.25">
      <c r="B3841" s="2" t="str">
        <f t="shared" si="118"/>
        <v>PGL_Income Eligible_Multi-Family_Whole Building - Prescriptive_Air Sealing w/ Attic Insulation_0_IE MF</v>
      </c>
      <c r="C3841" s="2" t="str">
        <f t="shared" si="119"/>
        <v>PGL_Income Eligible_Multi-Family_Whole Building - Prescriptive_Air Sealing w/ Attic Insulation_0_IE MF_2022</v>
      </c>
      <c r="D3841" s="19" t="s">
        <v>1794</v>
      </c>
      <c r="E3841" s="19" t="s">
        <v>325</v>
      </c>
      <c r="F3841" s="19" t="s">
        <v>1422</v>
      </c>
      <c r="G3841" s="19" t="s">
        <v>1813</v>
      </c>
      <c r="H3841" s="19" t="s">
        <v>890</v>
      </c>
      <c r="I3841" s="19">
        <v>0</v>
      </c>
      <c r="J3841" s="19" t="s">
        <v>1469</v>
      </c>
      <c r="K3841" s="19" t="s">
        <v>1398</v>
      </c>
      <c r="L3841" s="19">
        <v>2022</v>
      </c>
      <c r="M3841" s="20">
        <v>1</v>
      </c>
      <c r="N3841" s="19" t="s">
        <v>1814</v>
      </c>
      <c r="O3841" s="20">
        <v>360</v>
      </c>
      <c r="P3841" s="20">
        <v>360</v>
      </c>
      <c r="Q3841" s="20">
        <v>12436.366862559242</v>
      </c>
      <c r="R3841" s="21">
        <v>1</v>
      </c>
      <c r="S3841" s="20">
        <v>12436.366862559242</v>
      </c>
    </row>
    <row r="3842" spans="2:19" ht="15" customHeight="1" x14ac:dyDescent="0.25">
      <c r="B3842" s="2" t="str">
        <f t="shared" si="118"/>
        <v>PGL_Income Eligible_Multi-Family_Whole Building - Prescriptive_Air Sealing w/ Attic Insulation_0_IE MF</v>
      </c>
      <c r="C3842" s="2" t="str">
        <f t="shared" si="119"/>
        <v>PGL_Income Eligible_Multi-Family_Whole Building - Prescriptive_Air Sealing w/ Attic Insulation_0_IE MF_2023</v>
      </c>
      <c r="D3842" s="19" t="s">
        <v>1794</v>
      </c>
      <c r="E3842" s="19" t="s">
        <v>325</v>
      </c>
      <c r="F3842" s="19" t="s">
        <v>1422</v>
      </c>
      <c r="G3842" s="19" t="s">
        <v>1813</v>
      </c>
      <c r="H3842" s="19" t="s">
        <v>890</v>
      </c>
      <c r="I3842" s="19">
        <v>0</v>
      </c>
      <c r="J3842" s="19" t="s">
        <v>1469</v>
      </c>
      <c r="K3842" s="19" t="s">
        <v>1398</v>
      </c>
      <c r="L3842" s="19">
        <v>2023</v>
      </c>
      <c r="M3842" s="20">
        <v>1</v>
      </c>
      <c r="N3842" s="19" t="s">
        <v>1814</v>
      </c>
      <c r="O3842" s="20">
        <v>460</v>
      </c>
      <c r="P3842" s="20">
        <v>460</v>
      </c>
      <c r="Q3842" s="20">
        <v>15890.913213270142</v>
      </c>
      <c r="R3842" s="21">
        <v>1</v>
      </c>
      <c r="S3842" s="20">
        <v>15890.913213270142</v>
      </c>
    </row>
    <row r="3843" spans="2:19" ht="15" customHeight="1" x14ac:dyDescent="0.25">
      <c r="B3843" s="2" t="str">
        <f t="shared" si="118"/>
        <v>PGL_Income Eligible_Multi-Family_Whole Building - Prescriptive_Air Sealing w/ Attic Insulation_0_IE MF</v>
      </c>
      <c r="C3843" s="2" t="str">
        <f t="shared" si="119"/>
        <v>PGL_Income Eligible_Multi-Family_Whole Building - Prescriptive_Air Sealing w/ Attic Insulation_0_IE MF_2024</v>
      </c>
      <c r="D3843" s="19" t="s">
        <v>1794</v>
      </c>
      <c r="E3843" s="19" t="s">
        <v>325</v>
      </c>
      <c r="F3843" s="19" t="s">
        <v>1422</v>
      </c>
      <c r="G3843" s="19" t="s">
        <v>1813</v>
      </c>
      <c r="H3843" s="19" t="s">
        <v>890</v>
      </c>
      <c r="I3843" s="19">
        <v>0</v>
      </c>
      <c r="J3843" s="19" t="s">
        <v>1469</v>
      </c>
      <c r="K3843" s="19" t="s">
        <v>1398</v>
      </c>
      <c r="L3843" s="19">
        <v>2024</v>
      </c>
      <c r="M3843" s="20">
        <v>1</v>
      </c>
      <c r="N3843" s="19" t="s">
        <v>1814</v>
      </c>
      <c r="O3843" s="20">
        <v>560</v>
      </c>
      <c r="P3843" s="20">
        <v>560</v>
      </c>
      <c r="Q3843" s="20">
        <v>19345.459563981043</v>
      </c>
      <c r="R3843" s="21">
        <v>1</v>
      </c>
      <c r="S3843" s="20">
        <v>19345.459563981043</v>
      </c>
    </row>
    <row r="3844" spans="2:19" ht="15" customHeight="1" x14ac:dyDescent="0.25">
      <c r="B3844" s="2" t="str">
        <f t="shared" si="118"/>
        <v>PGL_Income Eligible_Multi-Family_Whole Building - Prescriptive_Air Sealing w/ Attic Insulation_0_IE MF</v>
      </c>
      <c r="C3844" s="2" t="str">
        <f t="shared" si="119"/>
        <v>PGL_Income Eligible_Multi-Family_Whole Building - Prescriptive_Air Sealing w/ Attic Insulation_0_IE MF_2025</v>
      </c>
      <c r="D3844" s="19" t="s">
        <v>1794</v>
      </c>
      <c r="E3844" s="19" t="s">
        <v>325</v>
      </c>
      <c r="F3844" s="19" t="s">
        <v>1422</v>
      </c>
      <c r="G3844" s="19" t="s">
        <v>1813</v>
      </c>
      <c r="H3844" s="19" t="s">
        <v>890</v>
      </c>
      <c r="I3844" s="19">
        <v>0</v>
      </c>
      <c r="J3844" s="19" t="s">
        <v>1469</v>
      </c>
      <c r="K3844" s="19" t="s">
        <v>1398</v>
      </c>
      <c r="L3844" s="19">
        <v>2025</v>
      </c>
      <c r="M3844" s="20">
        <v>1</v>
      </c>
      <c r="N3844" s="19" t="s">
        <v>1814</v>
      </c>
      <c r="O3844" s="20">
        <v>660</v>
      </c>
      <c r="P3844" s="20">
        <v>660</v>
      </c>
      <c r="Q3844" s="20">
        <v>22800.005914691945</v>
      </c>
      <c r="R3844" s="21">
        <v>1</v>
      </c>
      <c r="S3844" s="20">
        <v>22800.005914691945</v>
      </c>
    </row>
    <row r="3845" spans="2:19" ht="15" customHeight="1" x14ac:dyDescent="0.25">
      <c r="B3845" s="2" t="str">
        <f t="shared" si="118"/>
        <v>PGL_Income Eligible_Multi-Family_Whole Building - Prescriptive_Attic Insulation_0_SF</v>
      </c>
      <c r="C3845" s="2" t="str">
        <f t="shared" si="119"/>
        <v>PGL_Income Eligible_Multi-Family_Whole Building - Prescriptive_Attic Insulation_0_SF_2022</v>
      </c>
      <c r="D3845" s="19" t="s">
        <v>1794</v>
      </c>
      <c r="E3845" s="19" t="s">
        <v>325</v>
      </c>
      <c r="F3845" s="19" t="s">
        <v>1422</v>
      </c>
      <c r="G3845" s="19" t="s">
        <v>1813</v>
      </c>
      <c r="H3845" s="19" t="s">
        <v>631</v>
      </c>
      <c r="I3845" s="19">
        <v>0</v>
      </c>
      <c r="J3845" s="19" t="s">
        <v>632</v>
      </c>
      <c r="K3845" s="19" t="s">
        <v>409</v>
      </c>
      <c r="L3845" s="19">
        <v>2022</v>
      </c>
      <c r="M3845" s="20">
        <v>571.34801762114535</v>
      </c>
      <c r="N3845" s="19" t="s">
        <v>751</v>
      </c>
      <c r="O3845" s="20">
        <v>360</v>
      </c>
      <c r="P3845" s="20">
        <v>205685.28634361233</v>
      </c>
      <c r="Q3845" s="20">
        <v>16548.858404351737</v>
      </c>
      <c r="R3845" s="21">
        <v>1</v>
      </c>
      <c r="S3845" s="20">
        <v>16548.858404351737</v>
      </c>
    </row>
    <row r="3846" spans="2:19" ht="15" customHeight="1" x14ac:dyDescent="0.25">
      <c r="B3846" s="2" t="str">
        <f t="shared" ref="B3846:B3909" si="120">D3846&amp;"_"&amp;E3846&amp;"_"&amp;F3846&amp;"_"&amp;G3846&amp;"_"&amp;H3846&amp;"_"&amp;I3846&amp;"_"&amp;K3846</f>
        <v>PGL_Income Eligible_Multi-Family_Whole Building - Prescriptive_Attic Insulation_0_SF</v>
      </c>
      <c r="C3846" s="2" t="str">
        <f t="shared" ref="C3846:C3909" si="121">D3846&amp;"_"&amp;E3846&amp;"_"&amp;F3846&amp;"_"&amp;G3846&amp;"_"&amp;H3846&amp;"_"&amp;I3846&amp;"_"&amp;K3846&amp;"_"&amp;L3846</f>
        <v>PGL_Income Eligible_Multi-Family_Whole Building - Prescriptive_Attic Insulation_0_SF_2023</v>
      </c>
      <c r="D3846" s="19" t="s">
        <v>1794</v>
      </c>
      <c r="E3846" s="19" t="s">
        <v>325</v>
      </c>
      <c r="F3846" s="19" t="s">
        <v>1422</v>
      </c>
      <c r="G3846" s="19" t="s">
        <v>1813</v>
      </c>
      <c r="H3846" s="19" t="s">
        <v>631</v>
      </c>
      <c r="I3846" s="19">
        <v>0</v>
      </c>
      <c r="J3846" s="19" t="s">
        <v>632</v>
      </c>
      <c r="K3846" s="19" t="s">
        <v>409</v>
      </c>
      <c r="L3846" s="19">
        <v>2023</v>
      </c>
      <c r="M3846" s="20">
        <v>571.34801762114535</v>
      </c>
      <c r="N3846" s="19" t="s">
        <v>751</v>
      </c>
      <c r="O3846" s="20">
        <v>460</v>
      </c>
      <c r="P3846" s="20">
        <v>262820.08810572687</v>
      </c>
      <c r="Q3846" s="20">
        <v>21145.763516671661</v>
      </c>
      <c r="R3846" s="21">
        <v>1</v>
      </c>
      <c r="S3846" s="20">
        <v>21145.763516671661</v>
      </c>
    </row>
    <row r="3847" spans="2:19" ht="15" customHeight="1" x14ac:dyDescent="0.25">
      <c r="B3847" s="2" t="str">
        <f t="shared" si="120"/>
        <v>PGL_Income Eligible_Multi-Family_Whole Building - Prescriptive_Attic Insulation_0_SF</v>
      </c>
      <c r="C3847" s="2" t="str">
        <f t="shared" si="121"/>
        <v>PGL_Income Eligible_Multi-Family_Whole Building - Prescriptive_Attic Insulation_0_SF_2024</v>
      </c>
      <c r="D3847" s="19" t="s">
        <v>1794</v>
      </c>
      <c r="E3847" s="19" t="s">
        <v>325</v>
      </c>
      <c r="F3847" s="19" t="s">
        <v>1422</v>
      </c>
      <c r="G3847" s="19" t="s">
        <v>1813</v>
      </c>
      <c r="H3847" s="19" t="s">
        <v>631</v>
      </c>
      <c r="I3847" s="19">
        <v>0</v>
      </c>
      <c r="J3847" s="19" t="s">
        <v>632</v>
      </c>
      <c r="K3847" s="19" t="s">
        <v>409</v>
      </c>
      <c r="L3847" s="19">
        <v>2024</v>
      </c>
      <c r="M3847" s="20">
        <v>571.34801762114535</v>
      </c>
      <c r="N3847" s="19" t="s">
        <v>751</v>
      </c>
      <c r="O3847" s="20">
        <v>560</v>
      </c>
      <c r="P3847" s="20">
        <v>319954.88986784138</v>
      </c>
      <c r="Q3847" s="20">
        <v>25742.668628991589</v>
      </c>
      <c r="R3847" s="21">
        <v>1</v>
      </c>
      <c r="S3847" s="20">
        <v>25742.668628991589</v>
      </c>
    </row>
    <row r="3848" spans="2:19" ht="15" customHeight="1" x14ac:dyDescent="0.25">
      <c r="B3848" s="2" t="str">
        <f t="shared" si="120"/>
        <v>PGL_Income Eligible_Multi-Family_Whole Building - Prescriptive_Attic Insulation_0_SF</v>
      </c>
      <c r="C3848" s="2" t="str">
        <f t="shared" si="121"/>
        <v>PGL_Income Eligible_Multi-Family_Whole Building - Prescriptive_Attic Insulation_0_SF_2025</v>
      </c>
      <c r="D3848" s="19" t="s">
        <v>1794</v>
      </c>
      <c r="E3848" s="19" t="s">
        <v>325</v>
      </c>
      <c r="F3848" s="19" t="s">
        <v>1422</v>
      </c>
      <c r="G3848" s="19" t="s">
        <v>1813</v>
      </c>
      <c r="H3848" s="19" t="s">
        <v>631</v>
      </c>
      <c r="I3848" s="19">
        <v>0</v>
      </c>
      <c r="J3848" s="19" t="s">
        <v>632</v>
      </c>
      <c r="K3848" s="19" t="s">
        <v>409</v>
      </c>
      <c r="L3848" s="19">
        <v>2025</v>
      </c>
      <c r="M3848" s="20">
        <v>571.34801762114535</v>
      </c>
      <c r="N3848" s="19" t="s">
        <v>751</v>
      </c>
      <c r="O3848" s="20">
        <v>660</v>
      </c>
      <c r="P3848" s="20">
        <v>377089.69162995595</v>
      </c>
      <c r="Q3848" s="20">
        <v>30339.573741311513</v>
      </c>
      <c r="R3848" s="21">
        <v>1</v>
      </c>
      <c r="S3848" s="20">
        <v>30339.573741311513</v>
      </c>
    </row>
    <row r="3849" spans="2:19" ht="15" customHeight="1" x14ac:dyDescent="0.25">
      <c r="B3849" s="2" t="str">
        <f t="shared" si="120"/>
        <v>PGL_Income Eligible_Multi-Family_Whole Building - Prescriptive_Door Sweep_0_IE MF</v>
      </c>
      <c r="C3849" s="2" t="str">
        <f t="shared" si="121"/>
        <v>PGL_Income Eligible_Multi-Family_Whole Building - Prescriptive_Door Sweep_0_IE MF_2022</v>
      </c>
      <c r="D3849" s="19" t="s">
        <v>1794</v>
      </c>
      <c r="E3849" s="19" t="s">
        <v>325</v>
      </c>
      <c r="F3849" s="19" t="s">
        <v>1422</v>
      </c>
      <c r="G3849" s="19" t="s">
        <v>1813</v>
      </c>
      <c r="H3849" s="19" t="s">
        <v>6</v>
      </c>
      <c r="I3849" s="19">
        <v>0</v>
      </c>
      <c r="J3849" s="19" t="s">
        <v>1469</v>
      </c>
      <c r="K3849" s="19" t="s">
        <v>1398</v>
      </c>
      <c r="L3849" s="19">
        <v>2022</v>
      </c>
      <c r="M3849" s="20">
        <v>1</v>
      </c>
      <c r="N3849" s="19" t="s">
        <v>1815</v>
      </c>
      <c r="O3849" s="20">
        <v>1080</v>
      </c>
      <c r="P3849" s="20">
        <v>1080</v>
      </c>
      <c r="Q3849" s="20">
        <v>7888.3200000000015</v>
      </c>
      <c r="R3849" s="21">
        <v>1</v>
      </c>
      <c r="S3849" s="20">
        <v>7888.3200000000015</v>
      </c>
    </row>
    <row r="3850" spans="2:19" ht="15" customHeight="1" x14ac:dyDescent="0.25">
      <c r="B3850" s="2" t="str">
        <f t="shared" si="120"/>
        <v>PGL_Income Eligible_Multi-Family_Whole Building - Prescriptive_Door Sweep_0_IE MF</v>
      </c>
      <c r="C3850" s="2" t="str">
        <f t="shared" si="121"/>
        <v>PGL_Income Eligible_Multi-Family_Whole Building - Prescriptive_Door Sweep_0_IE MF_2023</v>
      </c>
      <c r="D3850" s="19" t="s">
        <v>1794</v>
      </c>
      <c r="E3850" s="19" t="s">
        <v>325</v>
      </c>
      <c r="F3850" s="19" t="s">
        <v>1422</v>
      </c>
      <c r="G3850" s="19" t="s">
        <v>1813</v>
      </c>
      <c r="H3850" s="19" t="s">
        <v>6</v>
      </c>
      <c r="I3850" s="19">
        <v>0</v>
      </c>
      <c r="J3850" s="19" t="s">
        <v>1469</v>
      </c>
      <c r="K3850" s="19" t="s">
        <v>1398</v>
      </c>
      <c r="L3850" s="19">
        <v>2023</v>
      </c>
      <c r="M3850" s="20">
        <v>1</v>
      </c>
      <c r="N3850" s="19" t="s">
        <v>1815</v>
      </c>
      <c r="O3850" s="20">
        <v>1380</v>
      </c>
      <c r="P3850" s="20">
        <v>1380</v>
      </c>
      <c r="Q3850" s="20">
        <v>10079.520000000002</v>
      </c>
      <c r="R3850" s="21">
        <v>1</v>
      </c>
      <c r="S3850" s="20">
        <v>10079.520000000002</v>
      </c>
    </row>
    <row r="3851" spans="2:19" ht="15" customHeight="1" x14ac:dyDescent="0.25">
      <c r="B3851" s="2" t="str">
        <f t="shared" si="120"/>
        <v>PGL_Income Eligible_Multi-Family_Whole Building - Prescriptive_Door Sweep_0_IE MF</v>
      </c>
      <c r="C3851" s="2" t="str">
        <f t="shared" si="121"/>
        <v>PGL_Income Eligible_Multi-Family_Whole Building - Prescriptive_Door Sweep_0_IE MF_2024</v>
      </c>
      <c r="D3851" s="19" t="s">
        <v>1794</v>
      </c>
      <c r="E3851" s="19" t="s">
        <v>325</v>
      </c>
      <c r="F3851" s="19" t="s">
        <v>1422</v>
      </c>
      <c r="G3851" s="19" t="s">
        <v>1813</v>
      </c>
      <c r="H3851" s="19" t="s">
        <v>6</v>
      </c>
      <c r="I3851" s="19">
        <v>0</v>
      </c>
      <c r="J3851" s="19" t="s">
        <v>1469</v>
      </c>
      <c r="K3851" s="19" t="s">
        <v>1398</v>
      </c>
      <c r="L3851" s="19">
        <v>2024</v>
      </c>
      <c r="M3851" s="20">
        <v>1</v>
      </c>
      <c r="N3851" s="19" t="s">
        <v>1815</v>
      </c>
      <c r="O3851" s="20">
        <v>1680</v>
      </c>
      <c r="P3851" s="20">
        <v>1680</v>
      </c>
      <c r="Q3851" s="20">
        <v>12270.720000000001</v>
      </c>
      <c r="R3851" s="21">
        <v>1</v>
      </c>
      <c r="S3851" s="20">
        <v>12270.720000000001</v>
      </c>
    </row>
    <row r="3852" spans="2:19" ht="15" customHeight="1" x14ac:dyDescent="0.25">
      <c r="B3852" s="2" t="str">
        <f t="shared" si="120"/>
        <v>PGL_Income Eligible_Multi-Family_Whole Building - Prescriptive_Door Sweep_0_IE MF</v>
      </c>
      <c r="C3852" s="2" t="str">
        <f t="shared" si="121"/>
        <v>PGL_Income Eligible_Multi-Family_Whole Building - Prescriptive_Door Sweep_0_IE MF_2025</v>
      </c>
      <c r="D3852" s="19" t="s">
        <v>1794</v>
      </c>
      <c r="E3852" s="19" t="s">
        <v>325</v>
      </c>
      <c r="F3852" s="19" t="s">
        <v>1422</v>
      </c>
      <c r="G3852" s="19" t="s">
        <v>1813</v>
      </c>
      <c r="H3852" s="19" t="s">
        <v>6</v>
      </c>
      <c r="I3852" s="19">
        <v>0</v>
      </c>
      <c r="J3852" s="19" t="s">
        <v>1469</v>
      </c>
      <c r="K3852" s="19" t="s">
        <v>1398</v>
      </c>
      <c r="L3852" s="19">
        <v>2025</v>
      </c>
      <c r="M3852" s="20">
        <v>1</v>
      </c>
      <c r="N3852" s="19" t="s">
        <v>1815</v>
      </c>
      <c r="O3852" s="20">
        <v>1980</v>
      </c>
      <c r="P3852" s="20">
        <v>1980</v>
      </c>
      <c r="Q3852" s="20">
        <v>14461.920000000002</v>
      </c>
      <c r="R3852" s="21">
        <v>1</v>
      </c>
      <c r="S3852" s="20">
        <v>14461.920000000002</v>
      </c>
    </row>
    <row r="3853" spans="2:19" ht="15" customHeight="1" x14ac:dyDescent="0.25">
      <c r="B3853" s="2" t="str">
        <f t="shared" si="120"/>
        <v>PGL_Income Eligible_Multi-Family_Whole Building - Prescriptive_Weatherstripping_0_IE MF</v>
      </c>
      <c r="C3853" s="2" t="str">
        <f t="shared" si="121"/>
        <v>PGL_Income Eligible_Multi-Family_Whole Building - Prescriptive_Weatherstripping_0_IE MF_2022</v>
      </c>
      <c r="D3853" s="19" t="s">
        <v>1794</v>
      </c>
      <c r="E3853" s="19" t="s">
        <v>325</v>
      </c>
      <c r="F3853" s="19" t="s">
        <v>1422</v>
      </c>
      <c r="G3853" s="19" t="s">
        <v>1813</v>
      </c>
      <c r="H3853" s="19" t="s">
        <v>576</v>
      </c>
      <c r="I3853" s="19">
        <v>0</v>
      </c>
      <c r="J3853" s="19" t="s">
        <v>1469</v>
      </c>
      <c r="K3853" s="19" t="s">
        <v>1398</v>
      </c>
      <c r="L3853" s="19">
        <v>2022</v>
      </c>
      <c r="M3853" s="20">
        <v>17</v>
      </c>
      <c r="N3853" s="19" t="s">
        <v>1810</v>
      </c>
      <c r="O3853" s="20">
        <v>1620</v>
      </c>
      <c r="P3853" s="20">
        <v>27540</v>
      </c>
      <c r="Q3853" s="20">
        <v>13439.519999999999</v>
      </c>
      <c r="R3853" s="21">
        <v>1</v>
      </c>
      <c r="S3853" s="20">
        <v>13439.519999999999</v>
      </c>
    </row>
    <row r="3854" spans="2:19" ht="15" customHeight="1" x14ac:dyDescent="0.25">
      <c r="B3854" s="2" t="str">
        <f t="shared" si="120"/>
        <v>PGL_Income Eligible_Multi-Family_Whole Building - Prescriptive_Weatherstripping_0_IE MF</v>
      </c>
      <c r="C3854" s="2" t="str">
        <f t="shared" si="121"/>
        <v>PGL_Income Eligible_Multi-Family_Whole Building - Prescriptive_Weatherstripping_0_IE MF_2023</v>
      </c>
      <c r="D3854" s="19" t="s">
        <v>1794</v>
      </c>
      <c r="E3854" s="19" t="s">
        <v>325</v>
      </c>
      <c r="F3854" s="19" t="s">
        <v>1422</v>
      </c>
      <c r="G3854" s="19" t="s">
        <v>1813</v>
      </c>
      <c r="H3854" s="19" t="s">
        <v>576</v>
      </c>
      <c r="I3854" s="19">
        <v>0</v>
      </c>
      <c r="J3854" s="19" t="s">
        <v>1469</v>
      </c>
      <c r="K3854" s="19" t="s">
        <v>1398</v>
      </c>
      <c r="L3854" s="19">
        <v>2023</v>
      </c>
      <c r="M3854" s="20">
        <v>17</v>
      </c>
      <c r="N3854" s="19" t="s">
        <v>1810</v>
      </c>
      <c r="O3854" s="20">
        <v>2070</v>
      </c>
      <c r="P3854" s="20">
        <v>35190</v>
      </c>
      <c r="Q3854" s="20">
        <v>17172.719999999998</v>
      </c>
      <c r="R3854" s="21">
        <v>1</v>
      </c>
      <c r="S3854" s="20">
        <v>17172.719999999998</v>
      </c>
    </row>
    <row r="3855" spans="2:19" ht="15" customHeight="1" x14ac:dyDescent="0.25">
      <c r="B3855" s="2" t="str">
        <f t="shared" si="120"/>
        <v>PGL_Income Eligible_Multi-Family_Whole Building - Prescriptive_Weatherstripping_0_IE MF</v>
      </c>
      <c r="C3855" s="2" t="str">
        <f t="shared" si="121"/>
        <v>PGL_Income Eligible_Multi-Family_Whole Building - Prescriptive_Weatherstripping_0_IE MF_2024</v>
      </c>
      <c r="D3855" s="19" t="s">
        <v>1794</v>
      </c>
      <c r="E3855" s="19" t="s">
        <v>325</v>
      </c>
      <c r="F3855" s="19" t="s">
        <v>1422</v>
      </c>
      <c r="G3855" s="19" t="s">
        <v>1813</v>
      </c>
      <c r="H3855" s="19" t="s">
        <v>576</v>
      </c>
      <c r="I3855" s="19">
        <v>0</v>
      </c>
      <c r="J3855" s="19" t="s">
        <v>1469</v>
      </c>
      <c r="K3855" s="19" t="s">
        <v>1398</v>
      </c>
      <c r="L3855" s="19">
        <v>2024</v>
      </c>
      <c r="M3855" s="20">
        <v>17</v>
      </c>
      <c r="N3855" s="19" t="s">
        <v>1810</v>
      </c>
      <c r="O3855" s="20">
        <v>2520</v>
      </c>
      <c r="P3855" s="20">
        <v>42840</v>
      </c>
      <c r="Q3855" s="20">
        <v>20905.919999999998</v>
      </c>
      <c r="R3855" s="21">
        <v>1</v>
      </c>
      <c r="S3855" s="20">
        <v>20905.919999999998</v>
      </c>
    </row>
    <row r="3856" spans="2:19" ht="15" customHeight="1" x14ac:dyDescent="0.25">
      <c r="B3856" s="2" t="str">
        <f t="shared" si="120"/>
        <v>PGL_Income Eligible_Multi-Family_Whole Building - Prescriptive_Weatherstripping_0_IE MF</v>
      </c>
      <c r="C3856" s="2" t="str">
        <f t="shared" si="121"/>
        <v>PGL_Income Eligible_Multi-Family_Whole Building - Prescriptive_Weatherstripping_0_IE MF_2025</v>
      </c>
      <c r="D3856" s="19" t="s">
        <v>1794</v>
      </c>
      <c r="E3856" s="19" t="s">
        <v>325</v>
      </c>
      <c r="F3856" s="19" t="s">
        <v>1422</v>
      </c>
      <c r="G3856" s="19" t="s">
        <v>1813</v>
      </c>
      <c r="H3856" s="19" t="s">
        <v>576</v>
      </c>
      <c r="I3856" s="19">
        <v>0</v>
      </c>
      <c r="J3856" s="19" t="s">
        <v>1469</v>
      </c>
      <c r="K3856" s="19" t="s">
        <v>1398</v>
      </c>
      <c r="L3856" s="19">
        <v>2025</v>
      </c>
      <c r="M3856" s="20">
        <v>17</v>
      </c>
      <c r="N3856" s="19" t="s">
        <v>1810</v>
      </c>
      <c r="O3856" s="20">
        <v>2970</v>
      </c>
      <c r="P3856" s="20">
        <v>50490</v>
      </c>
      <c r="Q3856" s="20">
        <v>24639.119999999999</v>
      </c>
      <c r="R3856" s="21">
        <v>1</v>
      </c>
      <c r="S3856" s="20">
        <v>24639.119999999999</v>
      </c>
    </row>
    <row r="3857" spans="2:19" ht="15" customHeight="1" x14ac:dyDescent="0.25">
      <c r="B3857" s="2" t="str">
        <f t="shared" si="120"/>
        <v>PGL_Income Eligible_Multi-Family_Whole Building - Prescriptive_A/C Cover and Gap Sealer_0_MF</v>
      </c>
      <c r="C3857" s="2" t="str">
        <f t="shared" si="121"/>
        <v>PGL_Income Eligible_Multi-Family_Whole Building - Prescriptive_A/C Cover and Gap Sealer_0_MF_2022</v>
      </c>
      <c r="D3857" s="19" t="s">
        <v>1794</v>
      </c>
      <c r="E3857" s="19" t="s">
        <v>325</v>
      </c>
      <c r="F3857" s="19" t="s">
        <v>1422</v>
      </c>
      <c r="G3857" s="19" t="s">
        <v>1813</v>
      </c>
      <c r="H3857" s="19" t="s">
        <v>1400</v>
      </c>
      <c r="I3857" s="19">
        <v>0</v>
      </c>
      <c r="J3857" s="19" t="s">
        <v>1469</v>
      </c>
      <c r="K3857" s="19" t="s">
        <v>553</v>
      </c>
      <c r="L3857" s="19">
        <v>2022</v>
      </c>
      <c r="M3857" s="20">
        <v>1</v>
      </c>
      <c r="N3857" s="19" t="s">
        <v>1798</v>
      </c>
      <c r="O3857" s="20">
        <v>720</v>
      </c>
      <c r="P3857" s="20">
        <v>720</v>
      </c>
      <c r="Q3857" s="20">
        <v>9100.8000000000011</v>
      </c>
      <c r="R3857" s="21">
        <v>1</v>
      </c>
      <c r="S3857" s="20">
        <v>9100.8000000000011</v>
      </c>
    </row>
    <row r="3858" spans="2:19" ht="15" customHeight="1" x14ac:dyDescent="0.25">
      <c r="B3858" s="2" t="str">
        <f t="shared" si="120"/>
        <v>PGL_Income Eligible_Multi-Family_Whole Building - Prescriptive_A/C Cover and Gap Sealer_0_MF</v>
      </c>
      <c r="C3858" s="2" t="str">
        <f t="shared" si="121"/>
        <v>PGL_Income Eligible_Multi-Family_Whole Building - Prescriptive_A/C Cover and Gap Sealer_0_MF_2023</v>
      </c>
      <c r="D3858" s="19" t="s">
        <v>1794</v>
      </c>
      <c r="E3858" s="19" t="s">
        <v>325</v>
      </c>
      <c r="F3858" s="19" t="s">
        <v>1422</v>
      </c>
      <c r="G3858" s="19" t="s">
        <v>1813</v>
      </c>
      <c r="H3858" s="19" t="s">
        <v>1400</v>
      </c>
      <c r="I3858" s="19">
        <v>0</v>
      </c>
      <c r="J3858" s="19" t="s">
        <v>1469</v>
      </c>
      <c r="K3858" s="19" t="s">
        <v>553</v>
      </c>
      <c r="L3858" s="19">
        <v>2023</v>
      </c>
      <c r="M3858" s="20">
        <v>1</v>
      </c>
      <c r="N3858" s="19" t="s">
        <v>1798</v>
      </c>
      <c r="O3858" s="20">
        <v>920</v>
      </c>
      <c r="P3858" s="20">
        <v>920</v>
      </c>
      <c r="Q3858" s="20">
        <v>11628.800000000001</v>
      </c>
      <c r="R3858" s="21">
        <v>1</v>
      </c>
      <c r="S3858" s="20">
        <v>11628.800000000001</v>
      </c>
    </row>
    <row r="3859" spans="2:19" ht="15" customHeight="1" x14ac:dyDescent="0.25">
      <c r="B3859" s="2" t="str">
        <f t="shared" si="120"/>
        <v>PGL_Income Eligible_Multi-Family_Whole Building - Prescriptive_A/C Cover and Gap Sealer_0_MF</v>
      </c>
      <c r="C3859" s="2" t="str">
        <f t="shared" si="121"/>
        <v>PGL_Income Eligible_Multi-Family_Whole Building - Prescriptive_A/C Cover and Gap Sealer_0_MF_2024</v>
      </c>
      <c r="D3859" s="19" t="s">
        <v>1794</v>
      </c>
      <c r="E3859" s="19" t="s">
        <v>325</v>
      </c>
      <c r="F3859" s="19" t="s">
        <v>1422</v>
      </c>
      <c r="G3859" s="19" t="s">
        <v>1813</v>
      </c>
      <c r="H3859" s="19" t="s">
        <v>1400</v>
      </c>
      <c r="I3859" s="19">
        <v>0</v>
      </c>
      <c r="J3859" s="19" t="s">
        <v>1469</v>
      </c>
      <c r="K3859" s="19" t="s">
        <v>553</v>
      </c>
      <c r="L3859" s="19">
        <v>2024</v>
      </c>
      <c r="M3859" s="20">
        <v>1</v>
      </c>
      <c r="N3859" s="19" t="s">
        <v>1798</v>
      </c>
      <c r="O3859" s="20">
        <v>1120</v>
      </c>
      <c r="P3859" s="20">
        <v>1120</v>
      </c>
      <c r="Q3859" s="20">
        <v>14156.800000000001</v>
      </c>
      <c r="R3859" s="21">
        <v>1</v>
      </c>
      <c r="S3859" s="20">
        <v>14156.800000000001</v>
      </c>
    </row>
    <row r="3860" spans="2:19" ht="15" customHeight="1" x14ac:dyDescent="0.25">
      <c r="B3860" s="2" t="str">
        <f t="shared" si="120"/>
        <v>PGL_Income Eligible_Multi-Family_Whole Building - Prescriptive_A/C Cover and Gap Sealer_0_MF</v>
      </c>
      <c r="C3860" s="2" t="str">
        <f t="shared" si="121"/>
        <v>PGL_Income Eligible_Multi-Family_Whole Building - Prescriptive_A/C Cover and Gap Sealer_0_MF_2025</v>
      </c>
      <c r="D3860" s="19" t="s">
        <v>1794</v>
      </c>
      <c r="E3860" s="19" t="s">
        <v>325</v>
      </c>
      <c r="F3860" s="19" t="s">
        <v>1422</v>
      </c>
      <c r="G3860" s="19" t="s">
        <v>1813</v>
      </c>
      <c r="H3860" s="19" t="s">
        <v>1400</v>
      </c>
      <c r="I3860" s="19">
        <v>0</v>
      </c>
      <c r="J3860" s="19" t="s">
        <v>1469</v>
      </c>
      <c r="K3860" s="19" t="s">
        <v>553</v>
      </c>
      <c r="L3860" s="19">
        <v>2025</v>
      </c>
      <c r="M3860" s="20">
        <v>1</v>
      </c>
      <c r="N3860" s="19" t="s">
        <v>1798</v>
      </c>
      <c r="O3860" s="20">
        <v>1320</v>
      </c>
      <c r="P3860" s="20">
        <v>1320</v>
      </c>
      <c r="Q3860" s="20">
        <v>16684.8</v>
      </c>
      <c r="R3860" s="21">
        <v>1</v>
      </c>
      <c r="S3860" s="20">
        <v>16684.8</v>
      </c>
    </row>
    <row r="3861" spans="2:19" ht="15" customHeight="1" x14ac:dyDescent="0.25">
      <c r="B3861" s="2" t="str">
        <f t="shared" si="120"/>
        <v>PGL_Income Eligible_Multi-Family_Whole Building - Prescriptive_Wall Insulation_0_SF</v>
      </c>
      <c r="C3861" s="2" t="str">
        <f t="shared" si="121"/>
        <v>PGL_Income Eligible_Multi-Family_Whole Building - Prescriptive_Wall Insulation_0_SF_2022</v>
      </c>
      <c r="D3861" s="19" t="s">
        <v>1794</v>
      </c>
      <c r="E3861" s="19" t="s">
        <v>325</v>
      </c>
      <c r="F3861" s="19" t="s">
        <v>1422</v>
      </c>
      <c r="G3861" s="19" t="s">
        <v>1813</v>
      </c>
      <c r="H3861" s="19" t="s">
        <v>222</v>
      </c>
      <c r="I3861" s="19">
        <v>0</v>
      </c>
      <c r="J3861" s="19" t="s">
        <v>783</v>
      </c>
      <c r="K3861" s="19" t="s">
        <v>409</v>
      </c>
      <c r="L3861" s="19">
        <v>2022</v>
      </c>
      <c r="M3861" s="20">
        <v>600</v>
      </c>
      <c r="N3861" s="19" t="s">
        <v>751</v>
      </c>
      <c r="O3861" s="20">
        <v>9</v>
      </c>
      <c r="P3861" s="20">
        <v>5400</v>
      </c>
      <c r="Q3861" s="20">
        <v>584.68658823529404</v>
      </c>
      <c r="R3861" s="21">
        <v>1</v>
      </c>
      <c r="S3861" s="20">
        <v>584.68658823529404</v>
      </c>
    </row>
    <row r="3862" spans="2:19" ht="15" customHeight="1" x14ac:dyDescent="0.25">
      <c r="B3862" s="2" t="str">
        <f t="shared" si="120"/>
        <v>PGL_Income Eligible_Multi-Family_Whole Building - Prescriptive_Wall Insulation_0_SF</v>
      </c>
      <c r="C3862" s="2" t="str">
        <f t="shared" si="121"/>
        <v>PGL_Income Eligible_Multi-Family_Whole Building - Prescriptive_Wall Insulation_0_SF_2023</v>
      </c>
      <c r="D3862" s="19" t="s">
        <v>1794</v>
      </c>
      <c r="E3862" s="19" t="s">
        <v>325</v>
      </c>
      <c r="F3862" s="19" t="s">
        <v>1422</v>
      </c>
      <c r="G3862" s="19" t="s">
        <v>1813</v>
      </c>
      <c r="H3862" s="19" t="s">
        <v>222</v>
      </c>
      <c r="I3862" s="19">
        <v>0</v>
      </c>
      <c r="J3862" s="19" t="s">
        <v>783</v>
      </c>
      <c r="K3862" s="19" t="s">
        <v>409</v>
      </c>
      <c r="L3862" s="19">
        <v>2023</v>
      </c>
      <c r="M3862" s="20">
        <v>600</v>
      </c>
      <c r="N3862" s="19" t="s">
        <v>751</v>
      </c>
      <c r="O3862" s="20">
        <v>12</v>
      </c>
      <c r="P3862" s="20">
        <v>7200</v>
      </c>
      <c r="Q3862" s="20">
        <v>779.58211764705879</v>
      </c>
      <c r="R3862" s="21">
        <v>1</v>
      </c>
      <c r="S3862" s="20">
        <v>779.58211764705879</v>
      </c>
    </row>
    <row r="3863" spans="2:19" ht="15" customHeight="1" x14ac:dyDescent="0.25">
      <c r="B3863" s="2" t="str">
        <f t="shared" si="120"/>
        <v>PGL_Income Eligible_Multi-Family_Whole Building - Prescriptive_Wall Insulation_0_SF</v>
      </c>
      <c r="C3863" s="2" t="str">
        <f t="shared" si="121"/>
        <v>PGL_Income Eligible_Multi-Family_Whole Building - Prescriptive_Wall Insulation_0_SF_2024</v>
      </c>
      <c r="D3863" s="19" t="s">
        <v>1794</v>
      </c>
      <c r="E3863" s="19" t="s">
        <v>325</v>
      </c>
      <c r="F3863" s="19" t="s">
        <v>1422</v>
      </c>
      <c r="G3863" s="19" t="s">
        <v>1813</v>
      </c>
      <c r="H3863" s="19" t="s">
        <v>222</v>
      </c>
      <c r="I3863" s="19">
        <v>0</v>
      </c>
      <c r="J3863" s="19" t="s">
        <v>783</v>
      </c>
      <c r="K3863" s="19" t="s">
        <v>409</v>
      </c>
      <c r="L3863" s="19">
        <v>2024</v>
      </c>
      <c r="M3863" s="20">
        <v>600</v>
      </c>
      <c r="N3863" s="19" t="s">
        <v>751</v>
      </c>
      <c r="O3863" s="20">
        <v>14</v>
      </c>
      <c r="P3863" s="20">
        <v>8400</v>
      </c>
      <c r="Q3863" s="20">
        <v>909.51247058823526</v>
      </c>
      <c r="R3863" s="21">
        <v>1</v>
      </c>
      <c r="S3863" s="20">
        <v>909.51247058823526</v>
      </c>
    </row>
    <row r="3864" spans="2:19" ht="15" customHeight="1" x14ac:dyDescent="0.25">
      <c r="B3864" s="2" t="str">
        <f t="shared" si="120"/>
        <v>PGL_Income Eligible_Multi-Family_Whole Building - Prescriptive_Wall Insulation_0_SF</v>
      </c>
      <c r="C3864" s="2" t="str">
        <f t="shared" si="121"/>
        <v>PGL_Income Eligible_Multi-Family_Whole Building - Prescriptive_Wall Insulation_0_SF_2025</v>
      </c>
      <c r="D3864" s="19" t="s">
        <v>1794</v>
      </c>
      <c r="E3864" s="19" t="s">
        <v>325</v>
      </c>
      <c r="F3864" s="19" t="s">
        <v>1422</v>
      </c>
      <c r="G3864" s="19" t="s">
        <v>1813</v>
      </c>
      <c r="H3864" s="19" t="s">
        <v>222</v>
      </c>
      <c r="I3864" s="19">
        <v>0</v>
      </c>
      <c r="J3864" s="19" t="s">
        <v>783</v>
      </c>
      <c r="K3864" s="19" t="s">
        <v>409</v>
      </c>
      <c r="L3864" s="19">
        <v>2025</v>
      </c>
      <c r="M3864" s="20">
        <v>600</v>
      </c>
      <c r="N3864" s="19" t="s">
        <v>751</v>
      </c>
      <c r="O3864" s="20">
        <v>17</v>
      </c>
      <c r="P3864" s="20">
        <v>10200</v>
      </c>
      <c r="Q3864" s="20">
        <v>1104.4079999999999</v>
      </c>
      <c r="R3864" s="21">
        <v>1</v>
      </c>
      <c r="S3864" s="20">
        <v>1104.4079999999999</v>
      </c>
    </row>
    <row r="3865" spans="2:19" ht="15" customHeight="1" x14ac:dyDescent="0.25">
      <c r="B3865" s="2" t="str">
        <f t="shared" si="120"/>
        <v>PGL_Income Eligible_Multi-Family_Whole Building - Prescriptive_Foundation Insulation_0_SF</v>
      </c>
      <c r="C3865" s="2" t="str">
        <f t="shared" si="121"/>
        <v>PGL_Income Eligible_Multi-Family_Whole Building - Prescriptive_Foundation Insulation_0_SF_2022</v>
      </c>
      <c r="D3865" s="19" t="s">
        <v>1794</v>
      </c>
      <c r="E3865" s="19" t="s">
        <v>325</v>
      </c>
      <c r="F3865" s="19" t="s">
        <v>1422</v>
      </c>
      <c r="G3865" s="19" t="s">
        <v>1813</v>
      </c>
      <c r="H3865" s="19" t="s">
        <v>608</v>
      </c>
      <c r="I3865" s="19">
        <v>0</v>
      </c>
      <c r="J3865" s="19" t="s">
        <v>610</v>
      </c>
      <c r="K3865" s="19" t="s">
        <v>409</v>
      </c>
      <c r="L3865" s="19">
        <v>2022</v>
      </c>
      <c r="M3865" s="20">
        <v>200</v>
      </c>
      <c r="N3865" s="19" t="s">
        <v>751</v>
      </c>
      <c r="O3865" s="20">
        <v>3</v>
      </c>
      <c r="P3865" s="20">
        <v>600</v>
      </c>
      <c r="Q3865" s="20">
        <v>82.173214285714295</v>
      </c>
      <c r="R3865" s="21">
        <v>1</v>
      </c>
      <c r="S3865" s="20">
        <v>82.173214285714295</v>
      </c>
    </row>
    <row r="3866" spans="2:19" ht="15" customHeight="1" x14ac:dyDescent="0.25">
      <c r="B3866" s="2" t="str">
        <f t="shared" si="120"/>
        <v>PGL_Income Eligible_Multi-Family_Whole Building - Prescriptive_Foundation Insulation_0_SF</v>
      </c>
      <c r="C3866" s="2" t="str">
        <f t="shared" si="121"/>
        <v>PGL_Income Eligible_Multi-Family_Whole Building - Prescriptive_Foundation Insulation_0_SF_2023</v>
      </c>
      <c r="D3866" s="19" t="s">
        <v>1794</v>
      </c>
      <c r="E3866" s="19" t="s">
        <v>325</v>
      </c>
      <c r="F3866" s="19" t="s">
        <v>1422</v>
      </c>
      <c r="G3866" s="19" t="s">
        <v>1813</v>
      </c>
      <c r="H3866" s="19" t="s">
        <v>608</v>
      </c>
      <c r="I3866" s="19">
        <v>0</v>
      </c>
      <c r="J3866" s="19" t="s">
        <v>610</v>
      </c>
      <c r="K3866" s="19" t="s">
        <v>409</v>
      </c>
      <c r="L3866" s="19">
        <v>2023</v>
      </c>
      <c r="M3866" s="20">
        <v>200</v>
      </c>
      <c r="N3866" s="19" t="s">
        <v>751</v>
      </c>
      <c r="O3866" s="20">
        <v>3</v>
      </c>
      <c r="P3866" s="20">
        <v>600</v>
      </c>
      <c r="Q3866" s="20">
        <v>82.173214285714295</v>
      </c>
      <c r="R3866" s="21">
        <v>1</v>
      </c>
      <c r="S3866" s="20">
        <v>82.173214285714295</v>
      </c>
    </row>
    <row r="3867" spans="2:19" ht="15" customHeight="1" x14ac:dyDescent="0.25">
      <c r="B3867" s="2" t="str">
        <f t="shared" si="120"/>
        <v>PGL_Income Eligible_Multi-Family_Whole Building - Prescriptive_Foundation Insulation_0_SF</v>
      </c>
      <c r="C3867" s="2" t="str">
        <f t="shared" si="121"/>
        <v>PGL_Income Eligible_Multi-Family_Whole Building - Prescriptive_Foundation Insulation_0_SF_2024</v>
      </c>
      <c r="D3867" s="19" t="s">
        <v>1794</v>
      </c>
      <c r="E3867" s="19" t="s">
        <v>325</v>
      </c>
      <c r="F3867" s="19" t="s">
        <v>1422</v>
      </c>
      <c r="G3867" s="19" t="s">
        <v>1813</v>
      </c>
      <c r="H3867" s="19" t="s">
        <v>608</v>
      </c>
      <c r="I3867" s="19">
        <v>0</v>
      </c>
      <c r="J3867" s="19" t="s">
        <v>610</v>
      </c>
      <c r="K3867" s="19" t="s">
        <v>409</v>
      </c>
      <c r="L3867" s="19">
        <v>2024</v>
      </c>
      <c r="M3867" s="20">
        <v>200</v>
      </c>
      <c r="N3867" s="19" t="s">
        <v>751</v>
      </c>
      <c r="O3867" s="20">
        <v>4</v>
      </c>
      <c r="P3867" s="20">
        <v>800</v>
      </c>
      <c r="Q3867" s="20">
        <v>109.56428571428572</v>
      </c>
      <c r="R3867" s="21">
        <v>1</v>
      </c>
      <c r="S3867" s="20">
        <v>109.56428571428572</v>
      </c>
    </row>
    <row r="3868" spans="2:19" ht="15" customHeight="1" x14ac:dyDescent="0.25">
      <c r="B3868" s="2" t="str">
        <f t="shared" si="120"/>
        <v>PGL_Income Eligible_Multi-Family_Whole Building - Prescriptive_Foundation Insulation_0_SF</v>
      </c>
      <c r="C3868" s="2" t="str">
        <f t="shared" si="121"/>
        <v>PGL_Income Eligible_Multi-Family_Whole Building - Prescriptive_Foundation Insulation_0_SF_2025</v>
      </c>
      <c r="D3868" s="19" t="s">
        <v>1794</v>
      </c>
      <c r="E3868" s="19" t="s">
        <v>325</v>
      </c>
      <c r="F3868" s="19" t="s">
        <v>1422</v>
      </c>
      <c r="G3868" s="19" t="s">
        <v>1813</v>
      </c>
      <c r="H3868" s="19" t="s">
        <v>608</v>
      </c>
      <c r="I3868" s="19">
        <v>0</v>
      </c>
      <c r="J3868" s="19" t="s">
        <v>610</v>
      </c>
      <c r="K3868" s="19" t="s">
        <v>409</v>
      </c>
      <c r="L3868" s="19">
        <v>2025</v>
      </c>
      <c r="M3868" s="20">
        <v>200</v>
      </c>
      <c r="N3868" s="19" t="s">
        <v>751</v>
      </c>
      <c r="O3868" s="20">
        <v>5</v>
      </c>
      <c r="P3868" s="20">
        <v>1000</v>
      </c>
      <c r="Q3868" s="20">
        <v>136.95535714285714</v>
      </c>
      <c r="R3868" s="21">
        <v>1</v>
      </c>
      <c r="S3868" s="20">
        <v>136.95535714285714</v>
      </c>
    </row>
    <row r="3869" spans="2:19" ht="15" customHeight="1" x14ac:dyDescent="0.25">
      <c r="B3869" s="2" t="str">
        <f t="shared" si="120"/>
        <v>PGL_Income Eligible_Multi-Family_Whole Building - Prescriptive_Floor Insulation Above Crawlspace_0_SF</v>
      </c>
      <c r="C3869" s="2" t="str">
        <f t="shared" si="121"/>
        <v>PGL_Income Eligible_Multi-Family_Whole Building - Prescriptive_Floor Insulation Above Crawlspace_0_SF_2022</v>
      </c>
      <c r="D3869" s="19" t="s">
        <v>1794</v>
      </c>
      <c r="E3869" s="19" t="s">
        <v>325</v>
      </c>
      <c r="F3869" s="19" t="s">
        <v>1422</v>
      </c>
      <c r="G3869" s="19" t="s">
        <v>1813</v>
      </c>
      <c r="H3869" s="19" t="s">
        <v>244</v>
      </c>
      <c r="I3869" s="19">
        <v>0</v>
      </c>
      <c r="J3869" s="19" t="s">
        <v>750</v>
      </c>
      <c r="K3869" s="19" t="s">
        <v>409</v>
      </c>
      <c r="L3869" s="19">
        <v>2022</v>
      </c>
      <c r="M3869" s="20">
        <v>300</v>
      </c>
      <c r="N3869" s="19" t="s">
        <v>751</v>
      </c>
      <c r="O3869" s="20">
        <v>3</v>
      </c>
      <c r="P3869" s="20">
        <v>900</v>
      </c>
      <c r="Q3869" s="20">
        <v>94.403301886792462</v>
      </c>
      <c r="R3869" s="21">
        <v>1</v>
      </c>
      <c r="S3869" s="20">
        <v>94.403301886792462</v>
      </c>
    </row>
    <row r="3870" spans="2:19" ht="15" customHeight="1" x14ac:dyDescent="0.25">
      <c r="B3870" s="2" t="str">
        <f t="shared" si="120"/>
        <v>PGL_Income Eligible_Multi-Family_Whole Building - Prescriptive_Floor Insulation Above Crawlspace_0_SF</v>
      </c>
      <c r="C3870" s="2" t="str">
        <f t="shared" si="121"/>
        <v>PGL_Income Eligible_Multi-Family_Whole Building - Prescriptive_Floor Insulation Above Crawlspace_0_SF_2023</v>
      </c>
      <c r="D3870" s="19" t="s">
        <v>1794</v>
      </c>
      <c r="E3870" s="19" t="s">
        <v>325</v>
      </c>
      <c r="F3870" s="19" t="s">
        <v>1422</v>
      </c>
      <c r="G3870" s="19" t="s">
        <v>1813</v>
      </c>
      <c r="H3870" s="19" t="s">
        <v>244</v>
      </c>
      <c r="I3870" s="19">
        <v>0</v>
      </c>
      <c r="J3870" s="19" t="s">
        <v>750</v>
      </c>
      <c r="K3870" s="19" t="s">
        <v>409</v>
      </c>
      <c r="L3870" s="19">
        <v>2023</v>
      </c>
      <c r="M3870" s="20">
        <v>300</v>
      </c>
      <c r="N3870" s="19" t="s">
        <v>751</v>
      </c>
      <c r="O3870" s="20">
        <v>3</v>
      </c>
      <c r="P3870" s="20">
        <v>900</v>
      </c>
      <c r="Q3870" s="20">
        <v>94.403301886792462</v>
      </c>
      <c r="R3870" s="21">
        <v>1</v>
      </c>
      <c r="S3870" s="20">
        <v>94.403301886792462</v>
      </c>
    </row>
    <row r="3871" spans="2:19" ht="15" customHeight="1" x14ac:dyDescent="0.25">
      <c r="B3871" s="2" t="str">
        <f t="shared" si="120"/>
        <v>PGL_Income Eligible_Multi-Family_Whole Building - Prescriptive_Floor Insulation Above Crawlspace_0_SF</v>
      </c>
      <c r="C3871" s="2" t="str">
        <f t="shared" si="121"/>
        <v>PGL_Income Eligible_Multi-Family_Whole Building - Prescriptive_Floor Insulation Above Crawlspace_0_SF_2024</v>
      </c>
      <c r="D3871" s="19" t="s">
        <v>1794</v>
      </c>
      <c r="E3871" s="19" t="s">
        <v>325</v>
      </c>
      <c r="F3871" s="19" t="s">
        <v>1422</v>
      </c>
      <c r="G3871" s="19" t="s">
        <v>1813</v>
      </c>
      <c r="H3871" s="19" t="s">
        <v>244</v>
      </c>
      <c r="I3871" s="19">
        <v>0</v>
      </c>
      <c r="J3871" s="19" t="s">
        <v>750</v>
      </c>
      <c r="K3871" s="19" t="s">
        <v>409</v>
      </c>
      <c r="L3871" s="19">
        <v>2024</v>
      </c>
      <c r="M3871" s="20">
        <v>300</v>
      </c>
      <c r="N3871" s="19" t="s">
        <v>751</v>
      </c>
      <c r="O3871" s="20">
        <v>4</v>
      </c>
      <c r="P3871" s="20">
        <v>1200</v>
      </c>
      <c r="Q3871" s="20">
        <v>125.87106918238996</v>
      </c>
      <c r="R3871" s="21">
        <v>1</v>
      </c>
      <c r="S3871" s="20">
        <v>125.87106918238996</v>
      </c>
    </row>
    <row r="3872" spans="2:19" ht="15" customHeight="1" x14ac:dyDescent="0.25">
      <c r="B3872" s="2" t="str">
        <f t="shared" si="120"/>
        <v>PGL_Income Eligible_Multi-Family_Whole Building - Prescriptive_Floor Insulation Above Crawlspace_0_SF</v>
      </c>
      <c r="C3872" s="2" t="str">
        <f t="shared" si="121"/>
        <v>PGL_Income Eligible_Multi-Family_Whole Building - Prescriptive_Floor Insulation Above Crawlspace_0_SF_2025</v>
      </c>
      <c r="D3872" s="19" t="s">
        <v>1794</v>
      </c>
      <c r="E3872" s="19" t="s">
        <v>325</v>
      </c>
      <c r="F3872" s="19" t="s">
        <v>1422</v>
      </c>
      <c r="G3872" s="19" t="s">
        <v>1813</v>
      </c>
      <c r="H3872" s="19" t="s">
        <v>244</v>
      </c>
      <c r="I3872" s="19">
        <v>0</v>
      </c>
      <c r="J3872" s="19" t="s">
        <v>750</v>
      </c>
      <c r="K3872" s="19" t="s">
        <v>409</v>
      </c>
      <c r="L3872" s="19">
        <v>2025</v>
      </c>
      <c r="M3872" s="20">
        <v>300</v>
      </c>
      <c r="N3872" s="19" t="s">
        <v>751</v>
      </c>
      <c r="O3872" s="20">
        <v>5</v>
      </c>
      <c r="P3872" s="20">
        <v>1500</v>
      </c>
      <c r="Q3872" s="20">
        <v>157.33883647798746</v>
      </c>
      <c r="R3872" s="21">
        <v>1</v>
      </c>
      <c r="S3872" s="20">
        <v>157.33883647798746</v>
      </c>
    </row>
    <row r="3873" spans="2:19" ht="15" customHeight="1" x14ac:dyDescent="0.25">
      <c r="B3873" s="2" t="str">
        <f t="shared" si="120"/>
        <v>PGL_Income Eligible_Multi-Family_Whole Building - Prescriptive_Boiler_≥88% AFUE, &lt;300MBh_MF</v>
      </c>
      <c r="C3873" s="2" t="str">
        <f t="shared" si="121"/>
        <v>PGL_Income Eligible_Multi-Family_Whole Building - Prescriptive_Boiler_≥88% AFUE, &lt;300MBh_MF_2022</v>
      </c>
      <c r="D3873" s="19" t="s">
        <v>1794</v>
      </c>
      <c r="E3873" s="19" t="s">
        <v>325</v>
      </c>
      <c r="F3873" s="19" t="s">
        <v>1422</v>
      </c>
      <c r="G3873" s="19" t="s">
        <v>1813</v>
      </c>
      <c r="H3873" s="19" t="s">
        <v>944</v>
      </c>
      <c r="I3873" s="19" t="s">
        <v>945</v>
      </c>
      <c r="J3873" s="19" t="s">
        <v>942</v>
      </c>
      <c r="K3873" s="19" t="s">
        <v>553</v>
      </c>
      <c r="L3873" s="19">
        <v>2022</v>
      </c>
      <c r="M3873" s="20">
        <v>150</v>
      </c>
      <c r="N3873" s="19" t="s">
        <v>667</v>
      </c>
      <c r="O3873" s="20">
        <v>18</v>
      </c>
      <c r="P3873" s="20">
        <v>2700</v>
      </c>
      <c r="Q3873" s="20">
        <v>2135.5714285714303</v>
      </c>
      <c r="R3873" s="21">
        <v>1</v>
      </c>
      <c r="S3873" s="20">
        <v>2135.5714285714303</v>
      </c>
    </row>
    <row r="3874" spans="2:19" ht="15" customHeight="1" x14ac:dyDescent="0.25">
      <c r="B3874" s="2" t="str">
        <f t="shared" si="120"/>
        <v>PGL_Income Eligible_Multi-Family_Whole Building - Prescriptive_Boiler_≥88% AFUE, &lt;300MBh_MF</v>
      </c>
      <c r="C3874" s="2" t="str">
        <f t="shared" si="121"/>
        <v>PGL_Income Eligible_Multi-Family_Whole Building - Prescriptive_Boiler_≥88% AFUE, &lt;300MBh_MF_2023</v>
      </c>
      <c r="D3874" s="19" t="s">
        <v>1794</v>
      </c>
      <c r="E3874" s="19" t="s">
        <v>325</v>
      </c>
      <c r="F3874" s="19" t="s">
        <v>1422</v>
      </c>
      <c r="G3874" s="19" t="s">
        <v>1813</v>
      </c>
      <c r="H3874" s="19" t="s">
        <v>944</v>
      </c>
      <c r="I3874" s="19" t="s">
        <v>945</v>
      </c>
      <c r="J3874" s="19" t="s">
        <v>942</v>
      </c>
      <c r="K3874" s="19" t="s">
        <v>553</v>
      </c>
      <c r="L3874" s="19">
        <v>2023</v>
      </c>
      <c r="M3874" s="20">
        <v>150</v>
      </c>
      <c r="N3874" s="19" t="s">
        <v>667</v>
      </c>
      <c r="O3874" s="20">
        <v>23</v>
      </c>
      <c r="P3874" s="20">
        <v>3450</v>
      </c>
      <c r="Q3874" s="20">
        <v>2728.7857142857165</v>
      </c>
      <c r="R3874" s="21">
        <v>1</v>
      </c>
      <c r="S3874" s="20">
        <v>2728.7857142857165</v>
      </c>
    </row>
    <row r="3875" spans="2:19" ht="15" customHeight="1" x14ac:dyDescent="0.25">
      <c r="B3875" s="2" t="str">
        <f t="shared" si="120"/>
        <v>PGL_Income Eligible_Multi-Family_Whole Building - Prescriptive_Boiler_≥88% AFUE, &lt;300MBh_MF</v>
      </c>
      <c r="C3875" s="2" t="str">
        <f t="shared" si="121"/>
        <v>PGL_Income Eligible_Multi-Family_Whole Building - Prescriptive_Boiler_≥88% AFUE, &lt;300MBh_MF_2024</v>
      </c>
      <c r="D3875" s="19" t="s">
        <v>1794</v>
      </c>
      <c r="E3875" s="19" t="s">
        <v>325</v>
      </c>
      <c r="F3875" s="19" t="s">
        <v>1422</v>
      </c>
      <c r="G3875" s="19" t="s">
        <v>1813</v>
      </c>
      <c r="H3875" s="19" t="s">
        <v>944</v>
      </c>
      <c r="I3875" s="19" t="s">
        <v>945</v>
      </c>
      <c r="J3875" s="19" t="s">
        <v>942</v>
      </c>
      <c r="K3875" s="19" t="s">
        <v>553</v>
      </c>
      <c r="L3875" s="19">
        <v>2024</v>
      </c>
      <c r="M3875" s="20">
        <v>150</v>
      </c>
      <c r="N3875" s="19" t="s">
        <v>667</v>
      </c>
      <c r="O3875" s="20">
        <v>28</v>
      </c>
      <c r="P3875" s="20">
        <v>4200</v>
      </c>
      <c r="Q3875" s="20">
        <v>3322.0000000000027</v>
      </c>
      <c r="R3875" s="21">
        <v>1</v>
      </c>
      <c r="S3875" s="20">
        <v>3322.0000000000027</v>
      </c>
    </row>
    <row r="3876" spans="2:19" ht="15" customHeight="1" x14ac:dyDescent="0.25">
      <c r="B3876" s="2" t="str">
        <f t="shared" si="120"/>
        <v>PGL_Income Eligible_Multi-Family_Whole Building - Prescriptive_Boiler_≥88% AFUE, &lt;300MBh_MF</v>
      </c>
      <c r="C3876" s="2" t="str">
        <f t="shared" si="121"/>
        <v>PGL_Income Eligible_Multi-Family_Whole Building - Prescriptive_Boiler_≥88% AFUE, &lt;300MBh_MF_2025</v>
      </c>
      <c r="D3876" s="19" t="s">
        <v>1794</v>
      </c>
      <c r="E3876" s="19" t="s">
        <v>325</v>
      </c>
      <c r="F3876" s="19" t="s">
        <v>1422</v>
      </c>
      <c r="G3876" s="19" t="s">
        <v>1813</v>
      </c>
      <c r="H3876" s="19" t="s">
        <v>944</v>
      </c>
      <c r="I3876" s="19" t="s">
        <v>945</v>
      </c>
      <c r="J3876" s="19" t="s">
        <v>942</v>
      </c>
      <c r="K3876" s="19" t="s">
        <v>553</v>
      </c>
      <c r="L3876" s="19">
        <v>2025</v>
      </c>
      <c r="M3876" s="20">
        <v>150</v>
      </c>
      <c r="N3876" s="19" t="s">
        <v>667</v>
      </c>
      <c r="O3876" s="20">
        <v>33</v>
      </c>
      <c r="P3876" s="20">
        <v>4950</v>
      </c>
      <c r="Q3876" s="20">
        <v>3915.214285714289</v>
      </c>
      <c r="R3876" s="21">
        <v>1</v>
      </c>
      <c r="S3876" s="20">
        <v>3915.214285714289</v>
      </c>
    </row>
    <row r="3877" spans="2:19" ht="15" customHeight="1" x14ac:dyDescent="0.25">
      <c r="B3877" s="2" t="str">
        <f t="shared" si="120"/>
        <v>PGL_Income Eligible_Multi-Family_Whole Building - Prescriptive_Boiler_≥88% AFUE, ≥300MBh TE_MF</v>
      </c>
      <c r="C3877" s="2" t="str">
        <f t="shared" si="121"/>
        <v>PGL_Income Eligible_Multi-Family_Whole Building - Prescriptive_Boiler_≥88% AFUE, ≥300MBh TE_MF_2022</v>
      </c>
      <c r="D3877" s="19" t="s">
        <v>1794</v>
      </c>
      <c r="E3877" s="19" t="s">
        <v>325</v>
      </c>
      <c r="F3877" s="19" t="s">
        <v>1422</v>
      </c>
      <c r="G3877" s="19" t="s">
        <v>1813</v>
      </c>
      <c r="H3877" s="19" t="s">
        <v>944</v>
      </c>
      <c r="I3877" s="19" t="s">
        <v>946</v>
      </c>
      <c r="J3877" s="19" t="s">
        <v>942</v>
      </c>
      <c r="K3877" s="19" t="s">
        <v>553</v>
      </c>
      <c r="L3877" s="19">
        <v>2022</v>
      </c>
      <c r="M3877" s="20">
        <v>350</v>
      </c>
      <c r="N3877" s="19" t="s">
        <v>667</v>
      </c>
      <c r="O3877" s="20">
        <v>18</v>
      </c>
      <c r="P3877" s="20">
        <v>6300</v>
      </c>
      <c r="Q3877" s="20">
        <v>10464.299999999994</v>
      </c>
      <c r="R3877" s="21">
        <v>1</v>
      </c>
      <c r="S3877" s="20">
        <v>10464.299999999994</v>
      </c>
    </row>
    <row r="3878" spans="2:19" ht="15" customHeight="1" x14ac:dyDescent="0.25">
      <c r="B3878" s="2" t="str">
        <f t="shared" si="120"/>
        <v>PGL_Income Eligible_Multi-Family_Whole Building - Prescriptive_Boiler_≥88% AFUE, ≥300MBh TE_MF</v>
      </c>
      <c r="C3878" s="2" t="str">
        <f t="shared" si="121"/>
        <v>PGL_Income Eligible_Multi-Family_Whole Building - Prescriptive_Boiler_≥88% AFUE, ≥300MBh TE_MF_2023</v>
      </c>
      <c r="D3878" s="19" t="s">
        <v>1794</v>
      </c>
      <c r="E3878" s="19" t="s">
        <v>325</v>
      </c>
      <c r="F3878" s="19" t="s">
        <v>1422</v>
      </c>
      <c r="G3878" s="19" t="s">
        <v>1813</v>
      </c>
      <c r="H3878" s="19" t="s">
        <v>944</v>
      </c>
      <c r="I3878" s="19" t="s">
        <v>946</v>
      </c>
      <c r="J3878" s="19" t="s">
        <v>942</v>
      </c>
      <c r="K3878" s="19" t="s">
        <v>553</v>
      </c>
      <c r="L3878" s="19">
        <v>2023</v>
      </c>
      <c r="M3878" s="20">
        <v>350</v>
      </c>
      <c r="N3878" s="19" t="s">
        <v>667</v>
      </c>
      <c r="O3878" s="20">
        <v>23</v>
      </c>
      <c r="P3878" s="20">
        <v>8050</v>
      </c>
      <c r="Q3878" s="20">
        <v>13371.049999999992</v>
      </c>
      <c r="R3878" s="21">
        <v>1</v>
      </c>
      <c r="S3878" s="20">
        <v>13371.049999999992</v>
      </c>
    </row>
    <row r="3879" spans="2:19" ht="15" customHeight="1" x14ac:dyDescent="0.25">
      <c r="B3879" s="2" t="str">
        <f t="shared" si="120"/>
        <v>PGL_Income Eligible_Multi-Family_Whole Building - Prescriptive_Boiler_≥88% AFUE, ≥300MBh TE_MF</v>
      </c>
      <c r="C3879" s="2" t="str">
        <f t="shared" si="121"/>
        <v>PGL_Income Eligible_Multi-Family_Whole Building - Prescriptive_Boiler_≥88% AFUE, ≥300MBh TE_MF_2024</v>
      </c>
      <c r="D3879" s="19" t="s">
        <v>1794</v>
      </c>
      <c r="E3879" s="19" t="s">
        <v>325</v>
      </c>
      <c r="F3879" s="19" t="s">
        <v>1422</v>
      </c>
      <c r="G3879" s="19" t="s">
        <v>1813</v>
      </c>
      <c r="H3879" s="19" t="s">
        <v>944</v>
      </c>
      <c r="I3879" s="19" t="s">
        <v>946</v>
      </c>
      <c r="J3879" s="19" t="s">
        <v>942</v>
      </c>
      <c r="K3879" s="19" t="s">
        <v>553</v>
      </c>
      <c r="L3879" s="19">
        <v>2024</v>
      </c>
      <c r="M3879" s="20">
        <v>350</v>
      </c>
      <c r="N3879" s="19" t="s">
        <v>667</v>
      </c>
      <c r="O3879" s="20">
        <v>28</v>
      </c>
      <c r="P3879" s="20">
        <v>9800</v>
      </c>
      <c r="Q3879" s="20">
        <v>16277.799999999992</v>
      </c>
      <c r="R3879" s="21">
        <v>1</v>
      </c>
      <c r="S3879" s="20">
        <v>16277.799999999992</v>
      </c>
    </row>
    <row r="3880" spans="2:19" ht="15" customHeight="1" x14ac:dyDescent="0.25">
      <c r="B3880" s="2" t="str">
        <f t="shared" si="120"/>
        <v>PGL_Income Eligible_Multi-Family_Whole Building - Prescriptive_Boiler_≥88% AFUE, ≥300MBh TE_MF</v>
      </c>
      <c r="C3880" s="2" t="str">
        <f t="shared" si="121"/>
        <v>PGL_Income Eligible_Multi-Family_Whole Building - Prescriptive_Boiler_≥88% AFUE, ≥300MBh TE_MF_2025</v>
      </c>
      <c r="D3880" s="19" t="s">
        <v>1794</v>
      </c>
      <c r="E3880" s="19" t="s">
        <v>325</v>
      </c>
      <c r="F3880" s="19" t="s">
        <v>1422</v>
      </c>
      <c r="G3880" s="19" t="s">
        <v>1813</v>
      </c>
      <c r="H3880" s="19" t="s">
        <v>944</v>
      </c>
      <c r="I3880" s="19" t="s">
        <v>946</v>
      </c>
      <c r="J3880" s="19" t="s">
        <v>942</v>
      </c>
      <c r="K3880" s="19" t="s">
        <v>553</v>
      </c>
      <c r="L3880" s="19">
        <v>2025</v>
      </c>
      <c r="M3880" s="20">
        <v>350</v>
      </c>
      <c r="N3880" s="19" t="s">
        <v>667</v>
      </c>
      <c r="O3880" s="20">
        <v>33</v>
      </c>
      <c r="P3880" s="20">
        <v>11550</v>
      </c>
      <c r="Q3880" s="20">
        <v>19184.549999999988</v>
      </c>
      <c r="R3880" s="21">
        <v>1</v>
      </c>
      <c r="S3880" s="20">
        <v>19184.549999999988</v>
      </c>
    </row>
    <row r="3881" spans="2:19" ht="15" customHeight="1" x14ac:dyDescent="0.25">
      <c r="B3881" s="2" t="str">
        <f t="shared" si="120"/>
        <v>PGL_Income Eligible_Multi-Family_Whole Building - Prescriptive_Boiler Reset Controls_0_MF</v>
      </c>
      <c r="C3881" s="2" t="str">
        <f t="shared" si="121"/>
        <v>PGL_Income Eligible_Multi-Family_Whole Building - Prescriptive_Boiler Reset Controls_0_MF_2022</v>
      </c>
      <c r="D3881" s="19" t="s">
        <v>1794</v>
      </c>
      <c r="E3881" s="19" t="s">
        <v>325</v>
      </c>
      <c r="F3881" s="19" t="s">
        <v>1422</v>
      </c>
      <c r="G3881" s="19" t="s">
        <v>1813</v>
      </c>
      <c r="H3881" s="19" t="s">
        <v>978</v>
      </c>
      <c r="I3881" s="19">
        <v>0</v>
      </c>
      <c r="J3881" s="19" t="s">
        <v>25</v>
      </c>
      <c r="K3881" s="19" t="s">
        <v>553</v>
      </c>
      <c r="L3881" s="19">
        <v>2022</v>
      </c>
      <c r="M3881" s="20">
        <v>200</v>
      </c>
      <c r="N3881" s="19" t="s">
        <v>667</v>
      </c>
      <c r="O3881" s="20">
        <v>18</v>
      </c>
      <c r="P3881" s="20">
        <v>3600</v>
      </c>
      <c r="Q3881" s="20">
        <v>4783.68</v>
      </c>
      <c r="R3881" s="21">
        <v>1</v>
      </c>
      <c r="S3881" s="20">
        <v>4783.68</v>
      </c>
    </row>
    <row r="3882" spans="2:19" ht="15" customHeight="1" x14ac:dyDescent="0.25">
      <c r="B3882" s="2" t="str">
        <f t="shared" si="120"/>
        <v>PGL_Income Eligible_Multi-Family_Whole Building - Prescriptive_Boiler Reset Controls_0_MF</v>
      </c>
      <c r="C3882" s="2" t="str">
        <f t="shared" si="121"/>
        <v>PGL_Income Eligible_Multi-Family_Whole Building - Prescriptive_Boiler Reset Controls_0_MF_2023</v>
      </c>
      <c r="D3882" s="19" t="s">
        <v>1794</v>
      </c>
      <c r="E3882" s="19" t="s">
        <v>325</v>
      </c>
      <c r="F3882" s="19" t="s">
        <v>1422</v>
      </c>
      <c r="G3882" s="19" t="s">
        <v>1813</v>
      </c>
      <c r="H3882" s="19" t="s">
        <v>978</v>
      </c>
      <c r="I3882" s="19">
        <v>0</v>
      </c>
      <c r="J3882" s="19" t="s">
        <v>25</v>
      </c>
      <c r="K3882" s="19" t="s">
        <v>553</v>
      </c>
      <c r="L3882" s="19">
        <v>2023</v>
      </c>
      <c r="M3882" s="20">
        <v>200</v>
      </c>
      <c r="N3882" s="19" t="s">
        <v>667</v>
      </c>
      <c r="O3882" s="20">
        <v>23</v>
      </c>
      <c r="P3882" s="20">
        <v>4600</v>
      </c>
      <c r="Q3882" s="20">
        <v>6112.48</v>
      </c>
      <c r="R3882" s="21">
        <v>1</v>
      </c>
      <c r="S3882" s="20">
        <v>6112.48</v>
      </c>
    </row>
    <row r="3883" spans="2:19" ht="15" customHeight="1" x14ac:dyDescent="0.25">
      <c r="B3883" s="2" t="str">
        <f t="shared" si="120"/>
        <v>PGL_Income Eligible_Multi-Family_Whole Building - Prescriptive_Boiler Reset Controls_0_MF</v>
      </c>
      <c r="C3883" s="2" t="str">
        <f t="shared" si="121"/>
        <v>PGL_Income Eligible_Multi-Family_Whole Building - Prescriptive_Boiler Reset Controls_0_MF_2024</v>
      </c>
      <c r="D3883" s="19" t="s">
        <v>1794</v>
      </c>
      <c r="E3883" s="19" t="s">
        <v>325</v>
      </c>
      <c r="F3883" s="19" t="s">
        <v>1422</v>
      </c>
      <c r="G3883" s="19" t="s">
        <v>1813</v>
      </c>
      <c r="H3883" s="19" t="s">
        <v>978</v>
      </c>
      <c r="I3883" s="19">
        <v>0</v>
      </c>
      <c r="J3883" s="19" t="s">
        <v>25</v>
      </c>
      <c r="K3883" s="19" t="s">
        <v>553</v>
      </c>
      <c r="L3883" s="19">
        <v>2024</v>
      </c>
      <c r="M3883" s="20">
        <v>200</v>
      </c>
      <c r="N3883" s="19" t="s">
        <v>667</v>
      </c>
      <c r="O3883" s="20">
        <v>28</v>
      </c>
      <c r="P3883" s="20">
        <v>5600</v>
      </c>
      <c r="Q3883" s="20">
        <v>7441.28</v>
      </c>
      <c r="R3883" s="21">
        <v>1</v>
      </c>
      <c r="S3883" s="20">
        <v>7441.28</v>
      </c>
    </row>
    <row r="3884" spans="2:19" ht="15" customHeight="1" x14ac:dyDescent="0.25">
      <c r="B3884" s="2" t="str">
        <f t="shared" si="120"/>
        <v>PGL_Income Eligible_Multi-Family_Whole Building - Prescriptive_Boiler Reset Controls_0_MF</v>
      </c>
      <c r="C3884" s="2" t="str">
        <f t="shared" si="121"/>
        <v>PGL_Income Eligible_Multi-Family_Whole Building - Prescriptive_Boiler Reset Controls_0_MF_2025</v>
      </c>
      <c r="D3884" s="19" t="s">
        <v>1794</v>
      </c>
      <c r="E3884" s="19" t="s">
        <v>325</v>
      </c>
      <c r="F3884" s="19" t="s">
        <v>1422</v>
      </c>
      <c r="G3884" s="19" t="s">
        <v>1813</v>
      </c>
      <c r="H3884" s="19" t="s">
        <v>978</v>
      </c>
      <c r="I3884" s="19">
        <v>0</v>
      </c>
      <c r="J3884" s="19" t="s">
        <v>25</v>
      </c>
      <c r="K3884" s="19" t="s">
        <v>553</v>
      </c>
      <c r="L3884" s="19">
        <v>2025</v>
      </c>
      <c r="M3884" s="20">
        <v>200</v>
      </c>
      <c r="N3884" s="19" t="s">
        <v>667</v>
      </c>
      <c r="O3884" s="20">
        <v>33</v>
      </c>
      <c r="P3884" s="20">
        <v>6600</v>
      </c>
      <c r="Q3884" s="20">
        <v>8770.08</v>
      </c>
      <c r="R3884" s="21">
        <v>1</v>
      </c>
      <c r="S3884" s="20">
        <v>8770.08</v>
      </c>
    </row>
    <row r="3885" spans="2:19" ht="15" customHeight="1" x14ac:dyDescent="0.25">
      <c r="B3885" s="2" t="str">
        <f t="shared" si="120"/>
        <v>PGL_Income Eligible_Multi-Family_Whole Building - Prescriptive_Boiler Tune Up_Space Heating_MF</v>
      </c>
      <c r="C3885" s="2" t="str">
        <f t="shared" si="121"/>
        <v>PGL_Income Eligible_Multi-Family_Whole Building - Prescriptive_Boiler Tune Up_Space Heating_MF_2022</v>
      </c>
      <c r="D3885" s="19" t="s">
        <v>1794</v>
      </c>
      <c r="E3885" s="19" t="s">
        <v>325</v>
      </c>
      <c r="F3885" s="19" t="s">
        <v>1422</v>
      </c>
      <c r="G3885" s="19" t="s">
        <v>1813</v>
      </c>
      <c r="H3885" s="19" t="s">
        <v>906</v>
      </c>
      <c r="I3885" s="19" t="s">
        <v>907</v>
      </c>
      <c r="J3885" s="19" t="s">
        <v>909</v>
      </c>
      <c r="K3885" s="19" t="s">
        <v>553</v>
      </c>
      <c r="L3885" s="19">
        <v>2022</v>
      </c>
      <c r="M3885" s="20">
        <v>800</v>
      </c>
      <c r="N3885" s="19" t="s">
        <v>667</v>
      </c>
      <c r="O3885" s="20">
        <v>45</v>
      </c>
      <c r="P3885" s="20">
        <v>36000</v>
      </c>
      <c r="Q3885" s="20">
        <v>16874.944785276108</v>
      </c>
      <c r="R3885" s="21">
        <v>1</v>
      </c>
      <c r="S3885" s="20">
        <v>16874.944785276108</v>
      </c>
    </row>
    <row r="3886" spans="2:19" ht="15" customHeight="1" x14ac:dyDescent="0.25">
      <c r="B3886" s="2" t="str">
        <f t="shared" si="120"/>
        <v>PGL_Income Eligible_Multi-Family_Whole Building - Prescriptive_Boiler Tune Up_Space Heating_MF</v>
      </c>
      <c r="C3886" s="2" t="str">
        <f t="shared" si="121"/>
        <v>PGL_Income Eligible_Multi-Family_Whole Building - Prescriptive_Boiler Tune Up_Space Heating_MF_2023</v>
      </c>
      <c r="D3886" s="19" t="s">
        <v>1794</v>
      </c>
      <c r="E3886" s="19" t="s">
        <v>325</v>
      </c>
      <c r="F3886" s="19" t="s">
        <v>1422</v>
      </c>
      <c r="G3886" s="19" t="s">
        <v>1813</v>
      </c>
      <c r="H3886" s="19" t="s">
        <v>906</v>
      </c>
      <c r="I3886" s="19" t="s">
        <v>907</v>
      </c>
      <c r="J3886" s="19" t="s">
        <v>909</v>
      </c>
      <c r="K3886" s="19" t="s">
        <v>553</v>
      </c>
      <c r="L3886" s="19">
        <v>2023</v>
      </c>
      <c r="M3886" s="20">
        <v>800</v>
      </c>
      <c r="N3886" s="19" t="s">
        <v>667</v>
      </c>
      <c r="O3886" s="20">
        <v>58</v>
      </c>
      <c r="P3886" s="20">
        <v>46400</v>
      </c>
      <c r="Q3886" s="20">
        <v>21749.928834355873</v>
      </c>
      <c r="R3886" s="21">
        <v>1</v>
      </c>
      <c r="S3886" s="20">
        <v>21749.928834355873</v>
      </c>
    </row>
    <row r="3887" spans="2:19" ht="15" customHeight="1" x14ac:dyDescent="0.25">
      <c r="B3887" s="2" t="str">
        <f t="shared" si="120"/>
        <v>PGL_Income Eligible_Multi-Family_Whole Building - Prescriptive_Boiler Tune Up_Space Heating_MF</v>
      </c>
      <c r="C3887" s="2" t="str">
        <f t="shared" si="121"/>
        <v>PGL_Income Eligible_Multi-Family_Whole Building - Prescriptive_Boiler Tune Up_Space Heating_MF_2024</v>
      </c>
      <c r="D3887" s="19" t="s">
        <v>1794</v>
      </c>
      <c r="E3887" s="19" t="s">
        <v>325</v>
      </c>
      <c r="F3887" s="19" t="s">
        <v>1422</v>
      </c>
      <c r="G3887" s="19" t="s">
        <v>1813</v>
      </c>
      <c r="H3887" s="19" t="s">
        <v>906</v>
      </c>
      <c r="I3887" s="19" t="s">
        <v>907</v>
      </c>
      <c r="J3887" s="19" t="s">
        <v>909</v>
      </c>
      <c r="K3887" s="19" t="s">
        <v>553</v>
      </c>
      <c r="L3887" s="19">
        <v>2024</v>
      </c>
      <c r="M3887" s="20">
        <v>800</v>
      </c>
      <c r="N3887" s="19" t="s">
        <v>667</v>
      </c>
      <c r="O3887" s="20">
        <v>70</v>
      </c>
      <c r="P3887" s="20">
        <v>56000</v>
      </c>
      <c r="Q3887" s="20">
        <v>26249.914110429505</v>
      </c>
      <c r="R3887" s="21">
        <v>1</v>
      </c>
      <c r="S3887" s="20">
        <v>26249.914110429505</v>
      </c>
    </row>
    <row r="3888" spans="2:19" ht="15" customHeight="1" x14ac:dyDescent="0.25">
      <c r="B3888" s="2" t="str">
        <f t="shared" si="120"/>
        <v>PGL_Income Eligible_Multi-Family_Whole Building - Prescriptive_Boiler Tune Up_Space Heating_MF</v>
      </c>
      <c r="C3888" s="2" t="str">
        <f t="shared" si="121"/>
        <v>PGL_Income Eligible_Multi-Family_Whole Building - Prescriptive_Boiler Tune Up_Space Heating_MF_2025</v>
      </c>
      <c r="D3888" s="19" t="s">
        <v>1794</v>
      </c>
      <c r="E3888" s="19" t="s">
        <v>325</v>
      </c>
      <c r="F3888" s="19" t="s">
        <v>1422</v>
      </c>
      <c r="G3888" s="19" t="s">
        <v>1813</v>
      </c>
      <c r="H3888" s="19" t="s">
        <v>906</v>
      </c>
      <c r="I3888" s="19" t="s">
        <v>907</v>
      </c>
      <c r="J3888" s="19" t="s">
        <v>909</v>
      </c>
      <c r="K3888" s="19" t="s">
        <v>553</v>
      </c>
      <c r="L3888" s="19">
        <v>2025</v>
      </c>
      <c r="M3888" s="20">
        <v>800</v>
      </c>
      <c r="N3888" s="19" t="s">
        <v>667</v>
      </c>
      <c r="O3888" s="20">
        <v>83</v>
      </c>
      <c r="P3888" s="20">
        <v>66400</v>
      </c>
      <c r="Q3888" s="20">
        <v>31124.89815950927</v>
      </c>
      <c r="R3888" s="21">
        <v>1</v>
      </c>
      <c r="S3888" s="20">
        <v>31124.89815950927</v>
      </c>
    </row>
    <row r="3889" spans="2:19" ht="15" customHeight="1" x14ac:dyDescent="0.25">
      <c r="B3889" s="2" t="str">
        <f t="shared" si="120"/>
        <v>PGL_Income Eligible_Multi-Family_Whole Building - Prescriptive_Furnace (In Unit)_&gt;95% AFUE_MF</v>
      </c>
      <c r="C3889" s="2" t="str">
        <f t="shared" si="121"/>
        <v>PGL_Income Eligible_Multi-Family_Whole Building - Prescriptive_Furnace (In Unit)_&gt;95% AFUE_MF_2022</v>
      </c>
      <c r="D3889" s="19" t="s">
        <v>1794</v>
      </c>
      <c r="E3889" s="19" t="s">
        <v>325</v>
      </c>
      <c r="F3889" s="19" t="s">
        <v>1422</v>
      </c>
      <c r="G3889" s="19" t="s">
        <v>1813</v>
      </c>
      <c r="H3889" s="19" t="s">
        <v>988</v>
      </c>
      <c r="I3889" s="19" t="s">
        <v>982</v>
      </c>
      <c r="J3889" s="19" t="s">
        <v>990</v>
      </c>
      <c r="K3889" s="19" t="s">
        <v>553</v>
      </c>
      <c r="L3889" s="19">
        <v>2022</v>
      </c>
      <c r="M3889" s="20">
        <v>1</v>
      </c>
      <c r="N3889" s="19" t="s">
        <v>1798</v>
      </c>
      <c r="O3889" s="20">
        <v>18</v>
      </c>
      <c r="P3889" s="20">
        <v>18</v>
      </c>
      <c r="Q3889" s="20">
        <v>3341.3532051282036</v>
      </c>
      <c r="R3889" s="21">
        <v>1</v>
      </c>
      <c r="S3889" s="20">
        <v>3341.3532051282036</v>
      </c>
    </row>
    <row r="3890" spans="2:19" ht="15" customHeight="1" x14ac:dyDescent="0.25">
      <c r="B3890" s="2" t="str">
        <f t="shared" si="120"/>
        <v>PGL_Income Eligible_Multi-Family_Whole Building - Prescriptive_Furnace (In Unit)_&gt;95% AFUE_MF</v>
      </c>
      <c r="C3890" s="2" t="str">
        <f t="shared" si="121"/>
        <v>PGL_Income Eligible_Multi-Family_Whole Building - Prescriptive_Furnace (In Unit)_&gt;95% AFUE_MF_2023</v>
      </c>
      <c r="D3890" s="19" t="s">
        <v>1794</v>
      </c>
      <c r="E3890" s="19" t="s">
        <v>325</v>
      </c>
      <c r="F3890" s="19" t="s">
        <v>1422</v>
      </c>
      <c r="G3890" s="19" t="s">
        <v>1813</v>
      </c>
      <c r="H3890" s="19" t="s">
        <v>988</v>
      </c>
      <c r="I3890" s="19" t="s">
        <v>982</v>
      </c>
      <c r="J3890" s="19" t="s">
        <v>990</v>
      </c>
      <c r="K3890" s="19" t="s">
        <v>553</v>
      </c>
      <c r="L3890" s="19">
        <v>2023</v>
      </c>
      <c r="M3890" s="20">
        <v>1</v>
      </c>
      <c r="N3890" s="19" t="s">
        <v>1798</v>
      </c>
      <c r="O3890" s="20">
        <v>23</v>
      </c>
      <c r="P3890" s="20">
        <v>23</v>
      </c>
      <c r="Q3890" s="20">
        <v>4269.5068732193713</v>
      </c>
      <c r="R3890" s="21">
        <v>1</v>
      </c>
      <c r="S3890" s="20">
        <v>4269.5068732193713</v>
      </c>
    </row>
    <row r="3891" spans="2:19" ht="15" customHeight="1" x14ac:dyDescent="0.25">
      <c r="B3891" s="2" t="str">
        <f t="shared" si="120"/>
        <v>PGL_Income Eligible_Multi-Family_Whole Building - Prescriptive_Furnace (In Unit)_&gt;95% AFUE_MF</v>
      </c>
      <c r="C3891" s="2" t="str">
        <f t="shared" si="121"/>
        <v>PGL_Income Eligible_Multi-Family_Whole Building - Prescriptive_Furnace (In Unit)_&gt;95% AFUE_MF_2024</v>
      </c>
      <c r="D3891" s="19" t="s">
        <v>1794</v>
      </c>
      <c r="E3891" s="19" t="s">
        <v>325</v>
      </c>
      <c r="F3891" s="19" t="s">
        <v>1422</v>
      </c>
      <c r="G3891" s="19" t="s">
        <v>1813</v>
      </c>
      <c r="H3891" s="19" t="s">
        <v>988</v>
      </c>
      <c r="I3891" s="19" t="s">
        <v>982</v>
      </c>
      <c r="J3891" s="19" t="s">
        <v>990</v>
      </c>
      <c r="K3891" s="19" t="s">
        <v>553</v>
      </c>
      <c r="L3891" s="19">
        <v>2024</v>
      </c>
      <c r="M3891" s="20">
        <v>1</v>
      </c>
      <c r="N3891" s="19" t="s">
        <v>1798</v>
      </c>
      <c r="O3891" s="20">
        <v>28</v>
      </c>
      <c r="P3891" s="20">
        <v>28</v>
      </c>
      <c r="Q3891" s="20">
        <v>5197.660541310539</v>
      </c>
      <c r="R3891" s="21">
        <v>1</v>
      </c>
      <c r="S3891" s="20">
        <v>5197.660541310539</v>
      </c>
    </row>
    <row r="3892" spans="2:19" ht="15" customHeight="1" x14ac:dyDescent="0.25">
      <c r="B3892" s="2" t="str">
        <f t="shared" si="120"/>
        <v>PGL_Income Eligible_Multi-Family_Whole Building - Prescriptive_Furnace (In Unit)_&gt;95% AFUE_MF</v>
      </c>
      <c r="C3892" s="2" t="str">
        <f t="shared" si="121"/>
        <v>PGL_Income Eligible_Multi-Family_Whole Building - Prescriptive_Furnace (In Unit)_&gt;95% AFUE_MF_2025</v>
      </c>
      <c r="D3892" s="19" t="s">
        <v>1794</v>
      </c>
      <c r="E3892" s="19" t="s">
        <v>325</v>
      </c>
      <c r="F3892" s="19" t="s">
        <v>1422</v>
      </c>
      <c r="G3892" s="19" t="s">
        <v>1813</v>
      </c>
      <c r="H3892" s="19" t="s">
        <v>988</v>
      </c>
      <c r="I3892" s="19" t="s">
        <v>982</v>
      </c>
      <c r="J3892" s="19" t="s">
        <v>990</v>
      </c>
      <c r="K3892" s="19" t="s">
        <v>553</v>
      </c>
      <c r="L3892" s="19">
        <v>2025</v>
      </c>
      <c r="M3892" s="20">
        <v>1</v>
      </c>
      <c r="N3892" s="19" t="s">
        <v>1798</v>
      </c>
      <c r="O3892" s="20">
        <v>33</v>
      </c>
      <c r="P3892" s="20">
        <v>33</v>
      </c>
      <c r="Q3892" s="20">
        <v>6125.8142094017066</v>
      </c>
      <c r="R3892" s="21">
        <v>1</v>
      </c>
      <c r="S3892" s="20">
        <v>6125.8142094017066</v>
      </c>
    </row>
    <row r="3893" spans="2:19" ht="15" customHeight="1" x14ac:dyDescent="0.25">
      <c r="B3893" s="2" t="str">
        <f t="shared" si="120"/>
        <v>PGL_Income Eligible_Multi-Family_Whole Building - Prescriptive_Pipe Insulation_Hyd. Boiler Sm ≤1.25"_MF</v>
      </c>
      <c r="C3893" s="2" t="str">
        <f t="shared" si="121"/>
        <v>PGL_Income Eligible_Multi-Family_Whole Building - Prescriptive_Pipe Insulation_Hyd. Boiler Sm ≤1.25"_MF_2022</v>
      </c>
      <c r="D3893" s="19" t="s">
        <v>1794</v>
      </c>
      <c r="E3893" s="19" t="s">
        <v>325</v>
      </c>
      <c r="F3893" s="19" t="s">
        <v>1422</v>
      </c>
      <c r="G3893" s="19" t="s">
        <v>1813</v>
      </c>
      <c r="H3893" s="19" t="s">
        <v>404</v>
      </c>
      <c r="I3893" s="19" t="s">
        <v>947</v>
      </c>
      <c r="J3893" s="19">
        <v>0</v>
      </c>
      <c r="K3893" s="19" t="s">
        <v>553</v>
      </c>
      <c r="L3893" s="19">
        <v>2022</v>
      </c>
      <c r="M3893" s="20">
        <v>75</v>
      </c>
      <c r="N3893" s="19" t="s">
        <v>616</v>
      </c>
      <c r="O3893" s="20">
        <v>27</v>
      </c>
      <c r="P3893" s="20">
        <v>2025</v>
      </c>
      <c r="Q3893" s="20">
        <v>4188.1754855769232</v>
      </c>
      <c r="R3893" s="21">
        <v>1</v>
      </c>
      <c r="S3893" s="20">
        <v>4188.1754855769232</v>
      </c>
    </row>
    <row r="3894" spans="2:19" ht="15" customHeight="1" x14ac:dyDescent="0.25">
      <c r="B3894" s="2" t="str">
        <f t="shared" si="120"/>
        <v>PGL_Income Eligible_Multi-Family_Whole Building - Prescriptive_Pipe Insulation_Hyd. Boiler Sm ≤1.25"_MF</v>
      </c>
      <c r="C3894" s="2" t="str">
        <f t="shared" si="121"/>
        <v>PGL_Income Eligible_Multi-Family_Whole Building - Prescriptive_Pipe Insulation_Hyd. Boiler Sm ≤1.25"_MF_2023</v>
      </c>
      <c r="D3894" s="19" t="s">
        <v>1794</v>
      </c>
      <c r="E3894" s="19" t="s">
        <v>325</v>
      </c>
      <c r="F3894" s="19" t="s">
        <v>1422</v>
      </c>
      <c r="G3894" s="19" t="s">
        <v>1813</v>
      </c>
      <c r="H3894" s="19" t="s">
        <v>404</v>
      </c>
      <c r="I3894" s="19" t="s">
        <v>947</v>
      </c>
      <c r="J3894" s="19">
        <v>0</v>
      </c>
      <c r="K3894" s="19" t="s">
        <v>553</v>
      </c>
      <c r="L3894" s="19">
        <v>2023</v>
      </c>
      <c r="M3894" s="20">
        <v>75</v>
      </c>
      <c r="N3894" s="19" t="s">
        <v>616</v>
      </c>
      <c r="O3894" s="20">
        <v>35</v>
      </c>
      <c r="P3894" s="20">
        <v>2625</v>
      </c>
      <c r="Q3894" s="20">
        <v>5429.1163701923078</v>
      </c>
      <c r="R3894" s="21">
        <v>1</v>
      </c>
      <c r="S3894" s="20">
        <v>5429.1163701923078</v>
      </c>
    </row>
    <row r="3895" spans="2:19" ht="15" customHeight="1" x14ac:dyDescent="0.25">
      <c r="B3895" s="2" t="str">
        <f t="shared" si="120"/>
        <v>PGL_Income Eligible_Multi-Family_Whole Building - Prescriptive_Pipe Insulation_Hyd. Boiler Sm ≤1.25"_MF</v>
      </c>
      <c r="C3895" s="2" t="str">
        <f t="shared" si="121"/>
        <v>PGL_Income Eligible_Multi-Family_Whole Building - Prescriptive_Pipe Insulation_Hyd. Boiler Sm ≤1.25"_MF_2024</v>
      </c>
      <c r="D3895" s="19" t="s">
        <v>1794</v>
      </c>
      <c r="E3895" s="19" t="s">
        <v>325</v>
      </c>
      <c r="F3895" s="19" t="s">
        <v>1422</v>
      </c>
      <c r="G3895" s="19" t="s">
        <v>1813</v>
      </c>
      <c r="H3895" s="19" t="s">
        <v>404</v>
      </c>
      <c r="I3895" s="19" t="s">
        <v>947</v>
      </c>
      <c r="J3895" s="19">
        <v>0</v>
      </c>
      <c r="K3895" s="19" t="s">
        <v>553</v>
      </c>
      <c r="L3895" s="19">
        <v>2024</v>
      </c>
      <c r="M3895" s="20">
        <v>75</v>
      </c>
      <c r="N3895" s="19" t="s">
        <v>616</v>
      </c>
      <c r="O3895" s="20">
        <v>42</v>
      </c>
      <c r="P3895" s="20">
        <v>3150</v>
      </c>
      <c r="Q3895" s="20">
        <v>6514.9396442307698</v>
      </c>
      <c r="R3895" s="21">
        <v>1</v>
      </c>
      <c r="S3895" s="20">
        <v>6514.9396442307698</v>
      </c>
    </row>
    <row r="3896" spans="2:19" ht="15" customHeight="1" x14ac:dyDescent="0.25">
      <c r="B3896" s="2" t="str">
        <f t="shared" si="120"/>
        <v>PGL_Income Eligible_Multi-Family_Whole Building - Prescriptive_Pipe Insulation_Hyd. Boiler Sm ≤1.25"_MF</v>
      </c>
      <c r="C3896" s="2" t="str">
        <f t="shared" si="121"/>
        <v>PGL_Income Eligible_Multi-Family_Whole Building - Prescriptive_Pipe Insulation_Hyd. Boiler Sm ≤1.25"_MF_2025</v>
      </c>
      <c r="D3896" s="19" t="s">
        <v>1794</v>
      </c>
      <c r="E3896" s="19" t="s">
        <v>325</v>
      </c>
      <c r="F3896" s="19" t="s">
        <v>1422</v>
      </c>
      <c r="G3896" s="19" t="s">
        <v>1813</v>
      </c>
      <c r="H3896" s="19" t="s">
        <v>404</v>
      </c>
      <c r="I3896" s="19" t="s">
        <v>947</v>
      </c>
      <c r="J3896" s="19">
        <v>0</v>
      </c>
      <c r="K3896" s="19" t="s">
        <v>553</v>
      </c>
      <c r="L3896" s="19">
        <v>2025</v>
      </c>
      <c r="M3896" s="20">
        <v>75</v>
      </c>
      <c r="N3896" s="19" t="s">
        <v>616</v>
      </c>
      <c r="O3896" s="20">
        <v>50</v>
      </c>
      <c r="P3896" s="20">
        <v>3750</v>
      </c>
      <c r="Q3896" s="20">
        <v>7755.8805288461544</v>
      </c>
      <c r="R3896" s="21">
        <v>1</v>
      </c>
      <c r="S3896" s="20">
        <v>7755.8805288461544</v>
      </c>
    </row>
    <row r="3897" spans="2:19" ht="15" customHeight="1" x14ac:dyDescent="0.25">
      <c r="B3897" s="2" t="str">
        <f t="shared" si="120"/>
        <v>PGL_Income Eligible_Multi-Family_Whole Building - Prescriptive_Pipe Insulation_Hyd. Boiler Med 1.25-2"_MF</v>
      </c>
      <c r="C3897" s="2" t="str">
        <f t="shared" si="121"/>
        <v>PGL_Income Eligible_Multi-Family_Whole Building - Prescriptive_Pipe Insulation_Hyd. Boiler Med 1.25-2"_MF_2022</v>
      </c>
      <c r="D3897" s="19" t="s">
        <v>1794</v>
      </c>
      <c r="E3897" s="19" t="s">
        <v>325</v>
      </c>
      <c r="F3897" s="19" t="s">
        <v>1422</v>
      </c>
      <c r="G3897" s="19" t="s">
        <v>1813</v>
      </c>
      <c r="H3897" s="19" t="s">
        <v>404</v>
      </c>
      <c r="I3897" s="19" t="s">
        <v>951</v>
      </c>
      <c r="J3897" s="19">
        <v>0</v>
      </c>
      <c r="K3897" s="19" t="s">
        <v>553</v>
      </c>
      <c r="L3897" s="19">
        <v>2022</v>
      </c>
      <c r="M3897" s="20">
        <v>75</v>
      </c>
      <c r="N3897" s="19" t="s">
        <v>616</v>
      </c>
      <c r="O3897" s="20">
        <v>9</v>
      </c>
      <c r="P3897" s="20">
        <v>675</v>
      </c>
      <c r="Q3897" s="20">
        <v>2432.3472115384611</v>
      </c>
      <c r="R3897" s="21">
        <v>1</v>
      </c>
      <c r="S3897" s="20">
        <v>2432.3472115384611</v>
      </c>
    </row>
    <row r="3898" spans="2:19" ht="15" customHeight="1" x14ac:dyDescent="0.25">
      <c r="B3898" s="2" t="str">
        <f t="shared" si="120"/>
        <v>PGL_Income Eligible_Multi-Family_Whole Building - Prescriptive_Pipe Insulation_Hyd. Boiler Med 1.25-2"_MF</v>
      </c>
      <c r="C3898" s="2" t="str">
        <f t="shared" si="121"/>
        <v>PGL_Income Eligible_Multi-Family_Whole Building - Prescriptive_Pipe Insulation_Hyd. Boiler Med 1.25-2"_MF_2023</v>
      </c>
      <c r="D3898" s="19" t="s">
        <v>1794</v>
      </c>
      <c r="E3898" s="19" t="s">
        <v>325</v>
      </c>
      <c r="F3898" s="19" t="s">
        <v>1422</v>
      </c>
      <c r="G3898" s="19" t="s">
        <v>1813</v>
      </c>
      <c r="H3898" s="19" t="s">
        <v>404</v>
      </c>
      <c r="I3898" s="19" t="s">
        <v>951</v>
      </c>
      <c r="J3898" s="19">
        <v>0</v>
      </c>
      <c r="K3898" s="19" t="s">
        <v>553</v>
      </c>
      <c r="L3898" s="19">
        <v>2023</v>
      </c>
      <c r="M3898" s="20">
        <v>75</v>
      </c>
      <c r="N3898" s="19" t="s">
        <v>616</v>
      </c>
      <c r="O3898" s="20">
        <v>12</v>
      </c>
      <c r="P3898" s="20">
        <v>900</v>
      </c>
      <c r="Q3898" s="20">
        <v>3243.1296153846151</v>
      </c>
      <c r="R3898" s="21">
        <v>1</v>
      </c>
      <c r="S3898" s="20">
        <v>3243.1296153846151</v>
      </c>
    </row>
    <row r="3899" spans="2:19" ht="15" customHeight="1" x14ac:dyDescent="0.25">
      <c r="B3899" s="2" t="str">
        <f t="shared" si="120"/>
        <v>PGL_Income Eligible_Multi-Family_Whole Building - Prescriptive_Pipe Insulation_Hyd. Boiler Med 1.25-2"_MF</v>
      </c>
      <c r="C3899" s="2" t="str">
        <f t="shared" si="121"/>
        <v>PGL_Income Eligible_Multi-Family_Whole Building - Prescriptive_Pipe Insulation_Hyd. Boiler Med 1.25-2"_MF_2024</v>
      </c>
      <c r="D3899" s="19" t="s">
        <v>1794</v>
      </c>
      <c r="E3899" s="19" t="s">
        <v>325</v>
      </c>
      <c r="F3899" s="19" t="s">
        <v>1422</v>
      </c>
      <c r="G3899" s="19" t="s">
        <v>1813</v>
      </c>
      <c r="H3899" s="19" t="s">
        <v>404</v>
      </c>
      <c r="I3899" s="19" t="s">
        <v>951</v>
      </c>
      <c r="J3899" s="19">
        <v>0</v>
      </c>
      <c r="K3899" s="19" t="s">
        <v>553</v>
      </c>
      <c r="L3899" s="19">
        <v>2024</v>
      </c>
      <c r="M3899" s="20">
        <v>75</v>
      </c>
      <c r="N3899" s="19" t="s">
        <v>616</v>
      </c>
      <c r="O3899" s="20">
        <v>14</v>
      </c>
      <c r="P3899" s="20">
        <v>1050</v>
      </c>
      <c r="Q3899" s="20">
        <v>3783.6512179487177</v>
      </c>
      <c r="R3899" s="21">
        <v>1</v>
      </c>
      <c r="S3899" s="20">
        <v>3783.6512179487177</v>
      </c>
    </row>
    <row r="3900" spans="2:19" ht="15" customHeight="1" x14ac:dyDescent="0.25">
      <c r="B3900" s="2" t="str">
        <f t="shared" si="120"/>
        <v>PGL_Income Eligible_Multi-Family_Whole Building - Prescriptive_Pipe Insulation_Hyd. Boiler Med 1.25-2"_MF</v>
      </c>
      <c r="C3900" s="2" t="str">
        <f t="shared" si="121"/>
        <v>PGL_Income Eligible_Multi-Family_Whole Building - Prescriptive_Pipe Insulation_Hyd. Boiler Med 1.25-2"_MF_2025</v>
      </c>
      <c r="D3900" s="19" t="s">
        <v>1794</v>
      </c>
      <c r="E3900" s="19" t="s">
        <v>325</v>
      </c>
      <c r="F3900" s="19" t="s">
        <v>1422</v>
      </c>
      <c r="G3900" s="19" t="s">
        <v>1813</v>
      </c>
      <c r="H3900" s="19" t="s">
        <v>404</v>
      </c>
      <c r="I3900" s="19" t="s">
        <v>951</v>
      </c>
      <c r="J3900" s="19">
        <v>0</v>
      </c>
      <c r="K3900" s="19" t="s">
        <v>553</v>
      </c>
      <c r="L3900" s="19">
        <v>2025</v>
      </c>
      <c r="M3900" s="20">
        <v>75</v>
      </c>
      <c r="N3900" s="19" t="s">
        <v>616</v>
      </c>
      <c r="O3900" s="20">
        <v>17</v>
      </c>
      <c r="P3900" s="20">
        <v>1275</v>
      </c>
      <c r="Q3900" s="20">
        <v>4594.4336217948712</v>
      </c>
      <c r="R3900" s="21">
        <v>1</v>
      </c>
      <c r="S3900" s="20">
        <v>4594.4336217948712</v>
      </c>
    </row>
    <row r="3901" spans="2:19" ht="15" customHeight="1" x14ac:dyDescent="0.25">
      <c r="B3901" s="2" t="str">
        <f t="shared" si="120"/>
        <v>PGL_Income Eligible_Multi-Family_Whole Building - Prescriptive_Pipe Insulation_Hyd. Boiler Large ≥2"_MF</v>
      </c>
      <c r="C3901" s="2" t="str">
        <f t="shared" si="121"/>
        <v>PGL_Income Eligible_Multi-Family_Whole Building - Prescriptive_Pipe Insulation_Hyd. Boiler Large ≥2"_MF_2022</v>
      </c>
      <c r="D3901" s="19" t="s">
        <v>1794</v>
      </c>
      <c r="E3901" s="19" t="s">
        <v>325</v>
      </c>
      <c r="F3901" s="19" t="s">
        <v>1422</v>
      </c>
      <c r="G3901" s="19" t="s">
        <v>1813</v>
      </c>
      <c r="H3901" s="19" t="s">
        <v>404</v>
      </c>
      <c r="I3901" s="19" t="s">
        <v>952</v>
      </c>
      <c r="J3901" s="19">
        <v>0</v>
      </c>
      <c r="K3901" s="19" t="s">
        <v>553</v>
      </c>
      <c r="L3901" s="19">
        <v>2022</v>
      </c>
      <c r="M3901" s="20">
        <v>75</v>
      </c>
      <c r="N3901" s="19" t="s">
        <v>616</v>
      </c>
      <c r="O3901" s="20">
        <v>2</v>
      </c>
      <c r="P3901" s="20">
        <v>150</v>
      </c>
      <c r="Q3901" s="20">
        <v>928.01737179487179</v>
      </c>
      <c r="R3901" s="21">
        <v>1</v>
      </c>
      <c r="S3901" s="20">
        <v>928.01737179487179</v>
      </c>
    </row>
    <row r="3902" spans="2:19" ht="15" customHeight="1" x14ac:dyDescent="0.25">
      <c r="B3902" s="2" t="str">
        <f t="shared" si="120"/>
        <v>PGL_Income Eligible_Multi-Family_Whole Building - Prescriptive_Pipe Insulation_Hyd. Boiler Large ≥2"_MF</v>
      </c>
      <c r="C3902" s="2" t="str">
        <f t="shared" si="121"/>
        <v>PGL_Income Eligible_Multi-Family_Whole Building - Prescriptive_Pipe Insulation_Hyd. Boiler Large ≥2"_MF_2023</v>
      </c>
      <c r="D3902" s="19" t="s">
        <v>1794</v>
      </c>
      <c r="E3902" s="19" t="s">
        <v>325</v>
      </c>
      <c r="F3902" s="19" t="s">
        <v>1422</v>
      </c>
      <c r="G3902" s="19" t="s">
        <v>1813</v>
      </c>
      <c r="H3902" s="19" t="s">
        <v>404</v>
      </c>
      <c r="I3902" s="19" t="s">
        <v>952</v>
      </c>
      <c r="J3902" s="19">
        <v>0</v>
      </c>
      <c r="K3902" s="19" t="s">
        <v>553</v>
      </c>
      <c r="L3902" s="19">
        <v>2023</v>
      </c>
      <c r="M3902" s="20">
        <v>75</v>
      </c>
      <c r="N3902" s="19" t="s">
        <v>616</v>
      </c>
      <c r="O3902" s="20">
        <v>2</v>
      </c>
      <c r="P3902" s="20">
        <v>150</v>
      </c>
      <c r="Q3902" s="20">
        <v>928.01737179487179</v>
      </c>
      <c r="R3902" s="21">
        <v>1</v>
      </c>
      <c r="S3902" s="20">
        <v>928.01737179487179</v>
      </c>
    </row>
    <row r="3903" spans="2:19" ht="15" customHeight="1" x14ac:dyDescent="0.25">
      <c r="B3903" s="2" t="str">
        <f t="shared" si="120"/>
        <v>PGL_Income Eligible_Multi-Family_Whole Building - Prescriptive_Pipe Insulation_Hyd. Boiler Large ≥2"_MF</v>
      </c>
      <c r="C3903" s="2" t="str">
        <f t="shared" si="121"/>
        <v>PGL_Income Eligible_Multi-Family_Whole Building - Prescriptive_Pipe Insulation_Hyd. Boiler Large ≥2"_MF_2024</v>
      </c>
      <c r="D3903" s="19" t="s">
        <v>1794</v>
      </c>
      <c r="E3903" s="19" t="s">
        <v>325</v>
      </c>
      <c r="F3903" s="19" t="s">
        <v>1422</v>
      </c>
      <c r="G3903" s="19" t="s">
        <v>1813</v>
      </c>
      <c r="H3903" s="19" t="s">
        <v>404</v>
      </c>
      <c r="I3903" s="19" t="s">
        <v>952</v>
      </c>
      <c r="J3903" s="19">
        <v>0</v>
      </c>
      <c r="K3903" s="19" t="s">
        <v>553</v>
      </c>
      <c r="L3903" s="19">
        <v>2024</v>
      </c>
      <c r="M3903" s="20">
        <v>75</v>
      </c>
      <c r="N3903" s="19" t="s">
        <v>616</v>
      </c>
      <c r="O3903" s="20">
        <v>3</v>
      </c>
      <c r="P3903" s="20">
        <v>225</v>
      </c>
      <c r="Q3903" s="20">
        <v>1392.0260576923076</v>
      </c>
      <c r="R3903" s="21">
        <v>1</v>
      </c>
      <c r="S3903" s="20">
        <v>1392.0260576923076</v>
      </c>
    </row>
    <row r="3904" spans="2:19" ht="15" customHeight="1" x14ac:dyDescent="0.25">
      <c r="B3904" s="2" t="str">
        <f t="shared" si="120"/>
        <v>PGL_Income Eligible_Multi-Family_Whole Building - Prescriptive_Pipe Insulation_Hyd. Boiler Large ≥2"_MF</v>
      </c>
      <c r="C3904" s="2" t="str">
        <f t="shared" si="121"/>
        <v>PGL_Income Eligible_Multi-Family_Whole Building - Prescriptive_Pipe Insulation_Hyd. Boiler Large ≥2"_MF_2025</v>
      </c>
      <c r="D3904" s="19" t="s">
        <v>1794</v>
      </c>
      <c r="E3904" s="19" t="s">
        <v>325</v>
      </c>
      <c r="F3904" s="19" t="s">
        <v>1422</v>
      </c>
      <c r="G3904" s="19" t="s">
        <v>1813</v>
      </c>
      <c r="H3904" s="19" t="s">
        <v>404</v>
      </c>
      <c r="I3904" s="19" t="s">
        <v>952</v>
      </c>
      <c r="J3904" s="19">
        <v>0</v>
      </c>
      <c r="K3904" s="19" t="s">
        <v>553</v>
      </c>
      <c r="L3904" s="19">
        <v>2025</v>
      </c>
      <c r="M3904" s="20">
        <v>75</v>
      </c>
      <c r="N3904" s="19" t="s">
        <v>616</v>
      </c>
      <c r="O3904" s="20">
        <v>3</v>
      </c>
      <c r="P3904" s="20">
        <v>225</v>
      </c>
      <c r="Q3904" s="20">
        <v>1392.0260576923076</v>
      </c>
      <c r="R3904" s="21">
        <v>1</v>
      </c>
      <c r="S3904" s="20">
        <v>1392.0260576923076</v>
      </c>
    </row>
    <row r="3905" spans="2:19" ht="15" customHeight="1" x14ac:dyDescent="0.25">
      <c r="B3905" s="2" t="str">
        <f t="shared" si="120"/>
        <v>PGL_Income Eligible_Multi-Family_Whole Building - Prescriptive_Pipe Insulation_HW Small 1" to 2"_MF/CI/SMB</v>
      </c>
      <c r="C3905" s="2" t="str">
        <f t="shared" si="121"/>
        <v>PGL_Income Eligible_Multi-Family_Whole Building - Prescriptive_Pipe Insulation_HW Small 1" to 2"_MF/CI/SMB_2022</v>
      </c>
      <c r="D3905" s="19" t="s">
        <v>1794</v>
      </c>
      <c r="E3905" s="19" t="s">
        <v>325</v>
      </c>
      <c r="F3905" s="19" t="s">
        <v>1422</v>
      </c>
      <c r="G3905" s="19" t="s">
        <v>1813</v>
      </c>
      <c r="H3905" s="19" t="s">
        <v>404</v>
      </c>
      <c r="I3905" s="19" t="s">
        <v>953</v>
      </c>
      <c r="J3905" s="19">
        <v>0</v>
      </c>
      <c r="K3905" s="19" t="s">
        <v>662</v>
      </c>
      <c r="L3905" s="19">
        <v>2022</v>
      </c>
      <c r="M3905" s="20">
        <v>75</v>
      </c>
      <c r="N3905" s="19" t="s">
        <v>616</v>
      </c>
      <c r="O3905" s="20">
        <v>72</v>
      </c>
      <c r="P3905" s="20">
        <v>5400</v>
      </c>
      <c r="Q3905" s="20">
        <v>14357.596100184648</v>
      </c>
      <c r="R3905" s="21">
        <v>1</v>
      </c>
      <c r="S3905" s="20">
        <v>14357.596100184648</v>
      </c>
    </row>
    <row r="3906" spans="2:19" ht="15" customHeight="1" x14ac:dyDescent="0.25">
      <c r="B3906" s="2" t="str">
        <f t="shared" si="120"/>
        <v>PGL_Income Eligible_Multi-Family_Whole Building - Prescriptive_Pipe Insulation_HW Small 1" to 2"_MF/CI/SMB</v>
      </c>
      <c r="C3906" s="2" t="str">
        <f t="shared" si="121"/>
        <v>PGL_Income Eligible_Multi-Family_Whole Building - Prescriptive_Pipe Insulation_HW Small 1" to 2"_MF/CI/SMB_2023</v>
      </c>
      <c r="D3906" s="19" t="s">
        <v>1794</v>
      </c>
      <c r="E3906" s="19" t="s">
        <v>325</v>
      </c>
      <c r="F3906" s="19" t="s">
        <v>1422</v>
      </c>
      <c r="G3906" s="19" t="s">
        <v>1813</v>
      </c>
      <c r="H3906" s="19" t="s">
        <v>404</v>
      </c>
      <c r="I3906" s="19" t="s">
        <v>953</v>
      </c>
      <c r="J3906" s="19">
        <v>0</v>
      </c>
      <c r="K3906" s="19" t="s">
        <v>662</v>
      </c>
      <c r="L3906" s="19">
        <v>2023</v>
      </c>
      <c r="M3906" s="20">
        <v>75</v>
      </c>
      <c r="N3906" s="19" t="s">
        <v>616</v>
      </c>
      <c r="O3906" s="20">
        <v>92</v>
      </c>
      <c r="P3906" s="20">
        <v>6900</v>
      </c>
      <c r="Q3906" s="20">
        <v>18345.81723912483</v>
      </c>
      <c r="R3906" s="21">
        <v>1</v>
      </c>
      <c r="S3906" s="20">
        <v>18345.81723912483</v>
      </c>
    </row>
    <row r="3907" spans="2:19" ht="15" customHeight="1" x14ac:dyDescent="0.25">
      <c r="B3907" s="2" t="str">
        <f t="shared" si="120"/>
        <v>PGL_Income Eligible_Multi-Family_Whole Building - Prescriptive_Pipe Insulation_HW Small 1" to 2"_MF/CI/SMB</v>
      </c>
      <c r="C3907" s="2" t="str">
        <f t="shared" si="121"/>
        <v>PGL_Income Eligible_Multi-Family_Whole Building - Prescriptive_Pipe Insulation_HW Small 1" to 2"_MF/CI/SMB_2024</v>
      </c>
      <c r="D3907" s="19" t="s">
        <v>1794</v>
      </c>
      <c r="E3907" s="19" t="s">
        <v>325</v>
      </c>
      <c r="F3907" s="19" t="s">
        <v>1422</v>
      </c>
      <c r="G3907" s="19" t="s">
        <v>1813</v>
      </c>
      <c r="H3907" s="19" t="s">
        <v>404</v>
      </c>
      <c r="I3907" s="19" t="s">
        <v>953</v>
      </c>
      <c r="J3907" s="19">
        <v>0</v>
      </c>
      <c r="K3907" s="19" t="s">
        <v>662</v>
      </c>
      <c r="L3907" s="19">
        <v>2024</v>
      </c>
      <c r="M3907" s="20">
        <v>75</v>
      </c>
      <c r="N3907" s="19" t="s">
        <v>616</v>
      </c>
      <c r="O3907" s="20">
        <v>112</v>
      </c>
      <c r="P3907" s="20">
        <v>8400</v>
      </c>
      <c r="Q3907" s="20">
        <v>22334.038378065008</v>
      </c>
      <c r="R3907" s="21">
        <v>1</v>
      </c>
      <c r="S3907" s="20">
        <v>22334.038378065008</v>
      </c>
    </row>
    <row r="3908" spans="2:19" ht="15" customHeight="1" x14ac:dyDescent="0.25">
      <c r="B3908" s="2" t="str">
        <f t="shared" si="120"/>
        <v>PGL_Income Eligible_Multi-Family_Whole Building - Prescriptive_Pipe Insulation_HW Small 1" to 2"_MF/CI/SMB</v>
      </c>
      <c r="C3908" s="2" t="str">
        <f t="shared" si="121"/>
        <v>PGL_Income Eligible_Multi-Family_Whole Building - Prescriptive_Pipe Insulation_HW Small 1" to 2"_MF/CI/SMB_2025</v>
      </c>
      <c r="D3908" s="19" t="s">
        <v>1794</v>
      </c>
      <c r="E3908" s="19" t="s">
        <v>325</v>
      </c>
      <c r="F3908" s="19" t="s">
        <v>1422</v>
      </c>
      <c r="G3908" s="19" t="s">
        <v>1813</v>
      </c>
      <c r="H3908" s="19" t="s">
        <v>404</v>
      </c>
      <c r="I3908" s="19" t="s">
        <v>953</v>
      </c>
      <c r="J3908" s="19">
        <v>0</v>
      </c>
      <c r="K3908" s="19" t="s">
        <v>662</v>
      </c>
      <c r="L3908" s="19">
        <v>2025</v>
      </c>
      <c r="M3908" s="20">
        <v>75</v>
      </c>
      <c r="N3908" s="19" t="s">
        <v>616</v>
      </c>
      <c r="O3908" s="20">
        <v>132</v>
      </c>
      <c r="P3908" s="20">
        <v>9900</v>
      </c>
      <c r="Q3908" s="20">
        <v>26322.259517005186</v>
      </c>
      <c r="R3908" s="21">
        <v>1</v>
      </c>
      <c r="S3908" s="20">
        <v>26322.259517005186</v>
      </c>
    </row>
    <row r="3909" spans="2:19" ht="15" customHeight="1" x14ac:dyDescent="0.25">
      <c r="B3909" s="2" t="str">
        <f t="shared" si="120"/>
        <v>PGL_Income Eligible_Multi-Family_Whole Building - Prescriptive_Pipe Insulation_HW Medium 2.1" to 4"_MF/CI/SMB</v>
      </c>
      <c r="C3909" s="2" t="str">
        <f t="shared" si="121"/>
        <v>PGL_Income Eligible_Multi-Family_Whole Building - Prescriptive_Pipe Insulation_HW Medium 2.1" to 4"_MF/CI/SMB_2022</v>
      </c>
      <c r="D3909" s="19" t="s">
        <v>1794</v>
      </c>
      <c r="E3909" s="19" t="s">
        <v>325</v>
      </c>
      <c r="F3909" s="19" t="s">
        <v>1422</v>
      </c>
      <c r="G3909" s="19" t="s">
        <v>1813</v>
      </c>
      <c r="H3909" s="19" t="s">
        <v>404</v>
      </c>
      <c r="I3909" s="19" t="s">
        <v>954</v>
      </c>
      <c r="J3909" s="19">
        <v>0</v>
      </c>
      <c r="K3909" s="19" t="s">
        <v>662</v>
      </c>
      <c r="L3909" s="19">
        <v>2022</v>
      </c>
      <c r="M3909" s="20">
        <v>75</v>
      </c>
      <c r="N3909" s="19" t="s">
        <v>616</v>
      </c>
      <c r="O3909" s="20">
        <v>90</v>
      </c>
      <c r="P3909" s="20">
        <v>6750</v>
      </c>
      <c r="Q3909" s="20">
        <v>35432.12125829071</v>
      </c>
      <c r="R3909" s="21">
        <v>1</v>
      </c>
      <c r="S3909" s="20">
        <v>35432.12125829071</v>
      </c>
    </row>
    <row r="3910" spans="2:19" ht="15" customHeight="1" x14ac:dyDescent="0.25">
      <c r="B3910" s="2" t="str">
        <f t="shared" ref="B3910:B3973" si="122">D3910&amp;"_"&amp;E3910&amp;"_"&amp;F3910&amp;"_"&amp;G3910&amp;"_"&amp;H3910&amp;"_"&amp;I3910&amp;"_"&amp;K3910</f>
        <v>PGL_Income Eligible_Multi-Family_Whole Building - Prescriptive_Pipe Insulation_HW Medium 2.1" to 4"_MF/CI/SMB</v>
      </c>
      <c r="C3910" s="2" t="str">
        <f t="shared" ref="C3910:C3973" si="123">D3910&amp;"_"&amp;E3910&amp;"_"&amp;F3910&amp;"_"&amp;G3910&amp;"_"&amp;H3910&amp;"_"&amp;I3910&amp;"_"&amp;K3910&amp;"_"&amp;L3910</f>
        <v>PGL_Income Eligible_Multi-Family_Whole Building - Prescriptive_Pipe Insulation_HW Medium 2.1" to 4"_MF/CI/SMB_2023</v>
      </c>
      <c r="D3910" s="19" t="s">
        <v>1794</v>
      </c>
      <c r="E3910" s="19" t="s">
        <v>325</v>
      </c>
      <c r="F3910" s="19" t="s">
        <v>1422</v>
      </c>
      <c r="G3910" s="19" t="s">
        <v>1813</v>
      </c>
      <c r="H3910" s="19" t="s">
        <v>404</v>
      </c>
      <c r="I3910" s="19" t="s">
        <v>954</v>
      </c>
      <c r="J3910" s="19">
        <v>0</v>
      </c>
      <c r="K3910" s="19" t="s">
        <v>662</v>
      </c>
      <c r="L3910" s="19">
        <v>2023</v>
      </c>
      <c r="M3910" s="20">
        <v>75</v>
      </c>
      <c r="N3910" s="19" t="s">
        <v>616</v>
      </c>
      <c r="O3910" s="20">
        <v>115</v>
      </c>
      <c r="P3910" s="20">
        <v>8625</v>
      </c>
      <c r="Q3910" s="20">
        <v>45274.377163371464</v>
      </c>
      <c r="R3910" s="21">
        <v>1</v>
      </c>
      <c r="S3910" s="20">
        <v>45274.377163371464</v>
      </c>
    </row>
    <row r="3911" spans="2:19" ht="15" customHeight="1" x14ac:dyDescent="0.25">
      <c r="B3911" s="2" t="str">
        <f t="shared" si="122"/>
        <v>PGL_Income Eligible_Multi-Family_Whole Building - Prescriptive_Pipe Insulation_HW Medium 2.1" to 4"_MF/CI/SMB</v>
      </c>
      <c r="C3911" s="2" t="str">
        <f t="shared" si="123"/>
        <v>PGL_Income Eligible_Multi-Family_Whole Building - Prescriptive_Pipe Insulation_HW Medium 2.1" to 4"_MF/CI/SMB_2024</v>
      </c>
      <c r="D3911" s="19" t="s">
        <v>1794</v>
      </c>
      <c r="E3911" s="19" t="s">
        <v>325</v>
      </c>
      <c r="F3911" s="19" t="s">
        <v>1422</v>
      </c>
      <c r="G3911" s="19" t="s">
        <v>1813</v>
      </c>
      <c r="H3911" s="19" t="s">
        <v>404</v>
      </c>
      <c r="I3911" s="19" t="s">
        <v>954</v>
      </c>
      <c r="J3911" s="19">
        <v>0</v>
      </c>
      <c r="K3911" s="19" t="s">
        <v>662</v>
      </c>
      <c r="L3911" s="19">
        <v>2024</v>
      </c>
      <c r="M3911" s="20">
        <v>75</v>
      </c>
      <c r="N3911" s="19" t="s">
        <v>616</v>
      </c>
      <c r="O3911" s="20">
        <v>140</v>
      </c>
      <c r="P3911" s="20">
        <v>10500</v>
      </c>
      <c r="Q3911" s="20">
        <v>55116.633068452218</v>
      </c>
      <c r="R3911" s="21">
        <v>1</v>
      </c>
      <c r="S3911" s="20">
        <v>55116.633068452218</v>
      </c>
    </row>
    <row r="3912" spans="2:19" ht="15" customHeight="1" x14ac:dyDescent="0.25">
      <c r="B3912" s="2" t="str">
        <f t="shared" si="122"/>
        <v>PGL_Income Eligible_Multi-Family_Whole Building - Prescriptive_Pipe Insulation_HW Medium 2.1" to 4"_MF/CI/SMB</v>
      </c>
      <c r="C3912" s="2" t="str">
        <f t="shared" si="123"/>
        <v>PGL_Income Eligible_Multi-Family_Whole Building - Prescriptive_Pipe Insulation_HW Medium 2.1" to 4"_MF/CI/SMB_2025</v>
      </c>
      <c r="D3912" s="19" t="s">
        <v>1794</v>
      </c>
      <c r="E3912" s="19" t="s">
        <v>325</v>
      </c>
      <c r="F3912" s="19" t="s">
        <v>1422</v>
      </c>
      <c r="G3912" s="19" t="s">
        <v>1813</v>
      </c>
      <c r="H3912" s="19" t="s">
        <v>404</v>
      </c>
      <c r="I3912" s="19" t="s">
        <v>954</v>
      </c>
      <c r="J3912" s="19">
        <v>0</v>
      </c>
      <c r="K3912" s="19" t="s">
        <v>662</v>
      </c>
      <c r="L3912" s="19">
        <v>2025</v>
      </c>
      <c r="M3912" s="20">
        <v>75</v>
      </c>
      <c r="N3912" s="19" t="s">
        <v>616</v>
      </c>
      <c r="O3912" s="20">
        <v>165</v>
      </c>
      <c r="P3912" s="20">
        <v>12375</v>
      </c>
      <c r="Q3912" s="20">
        <v>64958.888973532972</v>
      </c>
      <c r="R3912" s="21">
        <v>1</v>
      </c>
      <c r="S3912" s="20">
        <v>64958.888973532972</v>
      </c>
    </row>
    <row r="3913" spans="2:19" ht="15" customHeight="1" x14ac:dyDescent="0.25">
      <c r="B3913" s="2" t="str">
        <f t="shared" si="122"/>
        <v>PGL_Income Eligible_Multi-Family_Whole Building - Prescriptive_Pipe Insulation_HW Large &gt;4"_MF/CI/SMB</v>
      </c>
      <c r="C3913" s="2" t="str">
        <f t="shared" si="123"/>
        <v>PGL_Income Eligible_Multi-Family_Whole Building - Prescriptive_Pipe Insulation_HW Large &gt;4"_MF/CI/SMB_2022</v>
      </c>
      <c r="D3913" s="19" t="s">
        <v>1794</v>
      </c>
      <c r="E3913" s="19" t="s">
        <v>325</v>
      </c>
      <c r="F3913" s="19" t="s">
        <v>1422</v>
      </c>
      <c r="G3913" s="19" t="s">
        <v>1813</v>
      </c>
      <c r="H3913" s="19" t="s">
        <v>404</v>
      </c>
      <c r="I3913" s="19" t="s">
        <v>955</v>
      </c>
      <c r="J3913" s="19">
        <v>0</v>
      </c>
      <c r="K3913" s="19" t="s">
        <v>662</v>
      </c>
      <c r="L3913" s="19">
        <v>2022</v>
      </c>
      <c r="M3913" s="20">
        <v>75</v>
      </c>
      <c r="N3913" s="19" t="s">
        <v>616</v>
      </c>
      <c r="O3913" s="20">
        <v>0</v>
      </c>
      <c r="P3913" s="20">
        <v>0</v>
      </c>
      <c r="Q3913" s="20">
        <v>0</v>
      </c>
      <c r="R3913" s="21">
        <v>1</v>
      </c>
      <c r="S3913" s="20">
        <v>0</v>
      </c>
    </row>
    <row r="3914" spans="2:19" ht="15" customHeight="1" x14ac:dyDescent="0.25">
      <c r="B3914" s="2" t="str">
        <f t="shared" si="122"/>
        <v>PGL_Income Eligible_Multi-Family_Whole Building - Prescriptive_Pipe Insulation_HW Large &gt;4"_MF/CI/SMB</v>
      </c>
      <c r="C3914" s="2" t="str">
        <f t="shared" si="123"/>
        <v>PGL_Income Eligible_Multi-Family_Whole Building - Prescriptive_Pipe Insulation_HW Large &gt;4"_MF/CI/SMB_2023</v>
      </c>
      <c r="D3914" s="19" t="s">
        <v>1794</v>
      </c>
      <c r="E3914" s="19" t="s">
        <v>325</v>
      </c>
      <c r="F3914" s="19" t="s">
        <v>1422</v>
      </c>
      <c r="G3914" s="19" t="s">
        <v>1813</v>
      </c>
      <c r="H3914" s="19" t="s">
        <v>404</v>
      </c>
      <c r="I3914" s="19" t="s">
        <v>955</v>
      </c>
      <c r="J3914" s="19">
        <v>0</v>
      </c>
      <c r="K3914" s="19" t="s">
        <v>662</v>
      </c>
      <c r="L3914" s="19">
        <v>2023</v>
      </c>
      <c r="M3914" s="20">
        <v>75</v>
      </c>
      <c r="N3914" s="19" t="s">
        <v>616</v>
      </c>
      <c r="O3914" s="20">
        <v>0</v>
      </c>
      <c r="P3914" s="20">
        <v>0</v>
      </c>
      <c r="Q3914" s="20">
        <v>0</v>
      </c>
      <c r="R3914" s="21">
        <v>1</v>
      </c>
      <c r="S3914" s="20">
        <v>0</v>
      </c>
    </row>
    <row r="3915" spans="2:19" ht="15" customHeight="1" x14ac:dyDescent="0.25">
      <c r="B3915" s="2" t="str">
        <f t="shared" si="122"/>
        <v>PGL_Income Eligible_Multi-Family_Whole Building - Prescriptive_Pipe Insulation_HW Large &gt;4"_MF/CI/SMB</v>
      </c>
      <c r="C3915" s="2" t="str">
        <f t="shared" si="123"/>
        <v>PGL_Income Eligible_Multi-Family_Whole Building - Prescriptive_Pipe Insulation_HW Large &gt;4"_MF/CI/SMB_2024</v>
      </c>
      <c r="D3915" s="19" t="s">
        <v>1794</v>
      </c>
      <c r="E3915" s="19" t="s">
        <v>325</v>
      </c>
      <c r="F3915" s="19" t="s">
        <v>1422</v>
      </c>
      <c r="G3915" s="19" t="s">
        <v>1813</v>
      </c>
      <c r="H3915" s="19" t="s">
        <v>404</v>
      </c>
      <c r="I3915" s="19" t="s">
        <v>955</v>
      </c>
      <c r="J3915" s="19">
        <v>0</v>
      </c>
      <c r="K3915" s="19" t="s">
        <v>662</v>
      </c>
      <c r="L3915" s="19">
        <v>2024</v>
      </c>
      <c r="M3915" s="20">
        <v>75</v>
      </c>
      <c r="N3915" s="19" t="s">
        <v>616</v>
      </c>
      <c r="O3915" s="20">
        <v>0</v>
      </c>
      <c r="P3915" s="20">
        <v>0</v>
      </c>
      <c r="Q3915" s="20">
        <v>0</v>
      </c>
      <c r="R3915" s="21">
        <v>1</v>
      </c>
      <c r="S3915" s="20">
        <v>0</v>
      </c>
    </row>
    <row r="3916" spans="2:19" ht="15" customHeight="1" x14ac:dyDescent="0.25">
      <c r="B3916" s="2" t="str">
        <f t="shared" si="122"/>
        <v>PGL_Income Eligible_Multi-Family_Whole Building - Prescriptive_Pipe Insulation_HW Large &gt;4"_MF/CI/SMB</v>
      </c>
      <c r="C3916" s="2" t="str">
        <f t="shared" si="123"/>
        <v>PGL_Income Eligible_Multi-Family_Whole Building - Prescriptive_Pipe Insulation_HW Large &gt;4"_MF/CI/SMB_2025</v>
      </c>
      <c r="D3916" s="19" t="s">
        <v>1794</v>
      </c>
      <c r="E3916" s="19" t="s">
        <v>325</v>
      </c>
      <c r="F3916" s="19" t="s">
        <v>1422</v>
      </c>
      <c r="G3916" s="19" t="s">
        <v>1813</v>
      </c>
      <c r="H3916" s="19" t="s">
        <v>404</v>
      </c>
      <c r="I3916" s="19" t="s">
        <v>955</v>
      </c>
      <c r="J3916" s="19">
        <v>0</v>
      </c>
      <c r="K3916" s="19" t="s">
        <v>662</v>
      </c>
      <c r="L3916" s="19">
        <v>2025</v>
      </c>
      <c r="M3916" s="20">
        <v>75</v>
      </c>
      <c r="N3916" s="19" t="s">
        <v>616</v>
      </c>
      <c r="O3916" s="20">
        <v>0</v>
      </c>
      <c r="P3916" s="20">
        <v>0</v>
      </c>
      <c r="Q3916" s="20">
        <v>0</v>
      </c>
      <c r="R3916" s="21">
        <v>1</v>
      </c>
      <c r="S3916" s="20">
        <v>0</v>
      </c>
    </row>
    <row r="3917" spans="2:19" ht="15" customHeight="1" x14ac:dyDescent="0.25">
      <c r="B3917" s="2" t="str">
        <f t="shared" si="122"/>
        <v>PGL_Income Eligible_Multi-Family_Whole Building - Prescriptive_Pipe Insulation_Steam - Small 1" to 2"_MF</v>
      </c>
      <c r="C3917" s="2" t="str">
        <f t="shared" si="123"/>
        <v>PGL_Income Eligible_Multi-Family_Whole Building - Prescriptive_Pipe Insulation_Steam - Small 1" to 2"_MF_2022</v>
      </c>
      <c r="D3917" s="19" t="s">
        <v>1794</v>
      </c>
      <c r="E3917" s="19" t="s">
        <v>325</v>
      </c>
      <c r="F3917" s="19" t="s">
        <v>1422</v>
      </c>
      <c r="G3917" s="19" t="s">
        <v>1813</v>
      </c>
      <c r="H3917" s="19" t="s">
        <v>404</v>
      </c>
      <c r="I3917" s="19" t="s">
        <v>956</v>
      </c>
      <c r="J3917" s="19">
        <v>0</v>
      </c>
      <c r="K3917" s="19" t="s">
        <v>553</v>
      </c>
      <c r="L3917" s="19">
        <v>2022</v>
      </c>
      <c r="M3917" s="20">
        <v>75</v>
      </c>
      <c r="N3917" s="19" t="s">
        <v>616</v>
      </c>
      <c r="O3917" s="20">
        <v>11</v>
      </c>
      <c r="P3917" s="20">
        <v>825</v>
      </c>
      <c r="Q3917" s="20">
        <v>3272.8550730880202</v>
      </c>
      <c r="R3917" s="21">
        <v>1</v>
      </c>
      <c r="S3917" s="20">
        <v>3272.8550730880202</v>
      </c>
    </row>
    <row r="3918" spans="2:19" ht="15" customHeight="1" x14ac:dyDescent="0.25">
      <c r="B3918" s="2" t="str">
        <f t="shared" si="122"/>
        <v>PGL_Income Eligible_Multi-Family_Whole Building - Prescriptive_Pipe Insulation_Steam - Small 1" to 2"_MF</v>
      </c>
      <c r="C3918" s="2" t="str">
        <f t="shared" si="123"/>
        <v>PGL_Income Eligible_Multi-Family_Whole Building - Prescriptive_Pipe Insulation_Steam - Small 1" to 2"_MF_2023</v>
      </c>
      <c r="D3918" s="19" t="s">
        <v>1794</v>
      </c>
      <c r="E3918" s="19" t="s">
        <v>325</v>
      </c>
      <c r="F3918" s="19" t="s">
        <v>1422</v>
      </c>
      <c r="G3918" s="19" t="s">
        <v>1813</v>
      </c>
      <c r="H3918" s="19" t="s">
        <v>404</v>
      </c>
      <c r="I3918" s="19" t="s">
        <v>956</v>
      </c>
      <c r="J3918" s="19">
        <v>0</v>
      </c>
      <c r="K3918" s="19" t="s">
        <v>553</v>
      </c>
      <c r="L3918" s="19">
        <v>2023</v>
      </c>
      <c r="M3918" s="20">
        <v>75</v>
      </c>
      <c r="N3918" s="19" t="s">
        <v>616</v>
      </c>
      <c r="O3918" s="20">
        <v>14</v>
      </c>
      <c r="P3918" s="20">
        <v>1050</v>
      </c>
      <c r="Q3918" s="20">
        <v>4165.4519112029348</v>
      </c>
      <c r="R3918" s="21">
        <v>1</v>
      </c>
      <c r="S3918" s="20">
        <v>4165.4519112029348</v>
      </c>
    </row>
    <row r="3919" spans="2:19" ht="15" customHeight="1" x14ac:dyDescent="0.25">
      <c r="B3919" s="2" t="str">
        <f t="shared" si="122"/>
        <v>PGL_Income Eligible_Multi-Family_Whole Building - Prescriptive_Pipe Insulation_Steam - Small 1" to 2"_MF</v>
      </c>
      <c r="C3919" s="2" t="str">
        <f t="shared" si="123"/>
        <v>PGL_Income Eligible_Multi-Family_Whole Building - Prescriptive_Pipe Insulation_Steam - Small 1" to 2"_MF_2024</v>
      </c>
      <c r="D3919" s="19" t="s">
        <v>1794</v>
      </c>
      <c r="E3919" s="19" t="s">
        <v>325</v>
      </c>
      <c r="F3919" s="19" t="s">
        <v>1422</v>
      </c>
      <c r="G3919" s="19" t="s">
        <v>1813</v>
      </c>
      <c r="H3919" s="19" t="s">
        <v>404</v>
      </c>
      <c r="I3919" s="19" t="s">
        <v>956</v>
      </c>
      <c r="J3919" s="19">
        <v>0</v>
      </c>
      <c r="K3919" s="19" t="s">
        <v>553</v>
      </c>
      <c r="L3919" s="19">
        <v>2024</v>
      </c>
      <c r="M3919" s="20">
        <v>75</v>
      </c>
      <c r="N3919" s="19" t="s">
        <v>616</v>
      </c>
      <c r="O3919" s="20">
        <v>17</v>
      </c>
      <c r="P3919" s="20">
        <v>1275</v>
      </c>
      <c r="Q3919" s="20">
        <v>5058.0487493178498</v>
      </c>
      <c r="R3919" s="21">
        <v>1</v>
      </c>
      <c r="S3919" s="20">
        <v>5058.0487493178498</v>
      </c>
    </row>
    <row r="3920" spans="2:19" ht="15" customHeight="1" x14ac:dyDescent="0.25">
      <c r="B3920" s="2" t="str">
        <f t="shared" si="122"/>
        <v>PGL_Income Eligible_Multi-Family_Whole Building - Prescriptive_Pipe Insulation_Steam - Small 1" to 2"_MF</v>
      </c>
      <c r="C3920" s="2" t="str">
        <f t="shared" si="123"/>
        <v>PGL_Income Eligible_Multi-Family_Whole Building - Prescriptive_Pipe Insulation_Steam - Small 1" to 2"_MF_2025</v>
      </c>
      <c r="D3920" s="19" t="s">
        <v>1794</v>
      </c>
      <c r="E3920" s="19" t="s">
        <v>325</v>
      </c>
      <c r="F3920" s="19" t="s">
        <v>1422</v>
      </c>
      <c r="G3920" s="19" t="s">
        <v>1813</v>
      </c>
      <c r="H3920" s="19" t="s">
        <v>404</v>
      </c>
      <c r="I3920" s="19" t="s">
        <v>956</v>
      </c>
      <c r="J3920" s="19">
        <v>0</v>
      </c>
      <c r="K3920" s="19" t="s">
        <v>553</v>
      </c>
      <c r="L3920" s="19">
        <v>2025</v>
      </c>
      <c r="M3920" s="20">
        <v>75</v>
      </c>
      <c r="N3920" s="19" t="s">
        <v>616</v>
      </c>
      <c r="O3920" s="20">
        <v>20</v>
      </c>
      <c r="P3920" s="20">
        <v>1500</v>
      </c>
      <c r="Q3920" s="20">
        <v>5950.6455874327639</v>
      </c>
      <c r="R3920" s="21">
        <v>1</v>
      </c>
      <c r="S3920" s="20">
        <v>5950.6455874327639</v>
      </c>
    </row>
    <row r="3921" spans="2:19" ht="15" customHeight="1" x14ac:dyDescent="0.25">
      <c r="B3921" s="2" t="str">
        <f t="shared" si="122"/>
        <v>PGL_Income Eligible_Multi-Family_Whole Building - Prescriptive_Pipe Insulation_Steam - Med 2.1" to 5"_MF</v>
      </c>
      <c r="C3921" s="2" t="str">
        <f t="shared" si="123"/>
        <v>PGL_Income Eligible_Multi-Family_Whole Building - Prescriptive_Pipe Insulation_Steam - Med 2.1" to 5"_MF_2022</v>
      </c>
      <c r="D3921" s="19" t="s">
        <v>1794</v>
      </c>
      <c r="E3921" s="19" t="s">
        <v>325</v>
      </c>
      <c r="F3921" s="19" t="s">
        <v>1422</v>
      </c>
      <c r="G3921" s="19" t="s">
        <v>1813</v>
      </c>
      <c r="H3921" s="19" t="s">
        <v>404</v>
      </c>
      <c r="I3921" s="19" t="s">
        <v>957</v>
      </c>
      <c r="J3921" s="19">
        <v>0</v>
      </c>
      <c r="K3921" s="19" t="s">
        <v>553</v>
      </c>
      <c r="L3921" s="19">
        <v>2022</v>
      </c>
      <c r="M3921" s="20">
        <v>75</v>
      </c>
      <c r="N3921" s="19" t="s">
        <v>616</v>
      </c>
      <c r="O3921" s="20">
        <v>4</v>
      </c>
      <c r="P3921" s="20">
        <v>300</v>
      </c>
      <c r="Q3921" s="20">
        <v>4786.3491621062794</v>
      </c>
      <c r="R3921" s="21">
        <v>1</v>
      </c>
      <c r="S3921" s="20">
        <v>4786.3491621062794</v>
      </c>
    </row>
    <row r="3922" spans="2:19" ht="15" customHeight="1" x14ac:dyDescent="0.25">
      <c r="B3922" s="2" t="str">
        <f t="shared" si="122"/>
        <v>PGL_Income Eligible_Multi-Family_Whole Building - Prescriptive_Pipe Insulation_Steam - Med 2.1" to 5"_MF</v>
      </c>
      <c r="C3922" s="2" t="str">
        <f t="shared" si="123"/>
        <v>PGL_Income Eligible_Multi-Family_Whole Building - Prescriptive_Pipe Insulation_Steam - Med 2.1" to 5"_MF_2023</v>
      </c>
      <c r="D3922" s="19" t="s">
        <v>1794</v>
      </c>
      <c r="E3922" s="19" t="s">
        <v>325</v>
      </c>
      <c r="F3922" s="19" t="s">
        <v>1422</v>
      </c>
      <c r="G3922" s="19" t="s">
        <v>1813</v>
      </c>
      <c r="H3922" s="19" t="s">
        <v>404</v>
      </c>
      <c r="I3922" s="19" t="s">
        <v>957</v>
      </c>
      <c r="J3922" s="19">
        <v>0</v>
      </c>
      <c r="K3922" s="19" t="s">
        <v>553</v>
      </c>
      <c r="L3922" s="19">
        <v>2023</v>
      </c>
      <c r="M3922" s="20">
        <v>75</v>
      </c>
      <c r="N3922" s="19" t="s">
        <v>616</v>
      </c>
      <c r="O3922" s="20">
        <v>5</v>
      </c>
      <c r="P3922" s="20">
        <v>375</v>
      </c>
      <c r="Q3922" s="20">
        <v>5982.9364526328491</v>
      </c>
      <c r="R3922" s="21">
        <v>1</v>
      </c>
      <c r="S3922" s="20">
        <v>5982.9364526328491</v>
      </c>
    </row>
    <row r="3923" spans="2:19" ht="15" customHeight="1" x14ac:dyDescent="0.25">
      <c r="B3923" s="2" t="str">
        <f t="shared" si="122"/>
        <v>PGL_Income Eligible_Multi-Family_Whole Building - Prescriptive_Pipe Insulation_Steam - Med 2.1" to 5"_MF</v>
      </c>
      <c r="C3923" s="2" t="str">
        <f t="shared" si="123"/>
        <v>PGL_Income Eligible_Multi-Family_Whole Building - Prescriptive_Pipe Insulation_Steam - Med 2.1" to 5"_MF_2024</v>
      </c>
      <c r="D3923" s="19" t="s">
        <v>1794</v>
      </c>
      <c r="E3923" s="19" t="s">
        <v>325</v>
      </c>
      <c r="F3923" s="19" t="s">
        <v>1422</v>
      </c>
      <c r="G3923" s="19" t="s">
        <v>1813</v>
      </c>
      <c r="H3923" s="19" t="s">
        <v>404</v>
      </c>
      <c r="I3923" s="19" t="s">
        <v>957</v>
      </c>
      <c r="J3923" s="19">
        <v>0</v>
      </c>
      <c r="K3923" s="19" t="s">
        <v>553</v>
      </c>
      <c r="L3923" s="19">
        <v>2024</v>
      </c>
      <c r="M3923" s="20">
        <v>75</v>
      </c>
      <c r="N3923" s="19" t="s">
        <v>616</v>
      </c>
      <c r="O3923" s="20">
        <v>6</v>
      </c>
      <c r="P3923" s="20">
        <v>450</v>
      </c>
      <c r="Q3923" s="20">
        <v>7179.5237431594196</v>
      </c>
      <c r="R3923" s="21">
        <v>1</v>
      </c>
      <c r="S3923" s="20">
        <v>7179.5237431594196</v>
      </c>
    </row>
    <row r="3924" spans="2:19" ht="15" customHeight="1" x14ac:dyDescent="0.25">
      <c r="B3924" s="2" t="str">
        <f t="shared" si="122"/>
        <v>PGL_Income Eligible_Multi-Family_Whole Building - Prescriptive_Pipe Insulation_Steam - Med 2.1" to 5"_MF</v>
      </c>
      <c r="C3924" s="2" t="str">
        <f t="shared" si="123"/>
        <v>PGL_Income Eligible_Multi-Family_Whole Building - Prescriptive_Pipe Insulation_Steam - Med 2.1" to 5"_MF_2025</v>
      </c>
      <c r="D3924" s="19" t="s">
        <v>1794</v>
      </c>
      <c r="E3924" s="19" t="s">
        <v>325</v>
      </c>
      <c r="F3924" s="19" t="s">
        <v>1422</v>
      </c>
      <c r="G3924" s="19" t="s">
        <v>1813</v>
      </c>
      <c r="H3924" s="19" t="s">
        <v>404</v>
      </c>
      <c r="I3924" s="19" t="s">
        <v>957</v>
      </c>
      <c r="J3924" s="19">
        <v>0</v>
      </c>
      <c r="K3924" s="19" t="s">
        <v>553</v>
      </c>
      <c r="L3924" s="19">
        <v>2025</v>
      </c>
      <c r="M3924" s="20">
        <v>75</v>
      </c>
      <c r="N3924" s="19" t="s">
        <v>616</v>
      </c>
      <c r="O3924" s="20">
        <v>7</v>
      </c>
      <c r="P3924" s="20">
        <v>525</v>
      </c>
      <c r="Q3924" s="20">
        <v>8376.1110336859892</v>
      </c>
      <c r="R3924" s="21">
        <v>1</v>
      </c>
      <c r="S3924" s="20">
        <v>8376.1110336859892</v>
      </c>
    </row>
    <row r="3925" spans="2:19" ht="15" customHeight="1" x14ac:dyDescent="0.25">
      <c r="B3925" s="2" t="str">
        <f t="shared" si="122"/>
        <v>PGL_Income Eligible_Multi-Family_Whole Building - Prescriptive_Pipe Insulation_Steam - Large 5.1" to 8"_MF</v>
      </c>
      <c r="C3925" s="2" t="str">
        <f t="shared" si="123"/>
        <v>PGL_Income Eligible_Multi-Family_Whole Building - Prescriptive_Pipe Insulation_Steam - Large 5.1" to 8"_MF_2022</v>
      </c>
      <c r="D3925" s="19" t="s">
        <v>1794</v>
      </c>
      <c r="E3925" s="19" t="s">
        <v>325</v>
      </c>
      <c r="F3925" s="19" t="s">
        <v>1422</v>
      </c>
      <c r="G3925" s="19" t="s">
        <v>1813</v>
      </c>
      <c r="H3925" s="19" t="s">
        <v>404</v>
      </c>
      <c r="I3925" s="19" t="s">
        <v>958</v>
      </c>
      <c r="J3925" s="19">
        <v>0</v>
      </c>
      <c r="K3925" s="19" t="s">
        <v>553</v>
      </c>
      <c r="L3925" s="19">
        <v>2022</v>
      </c>
      <c r="M3925" s="20">
        <v>75</v>
      </c>
      <c r="N3925" s="19" t="s">
        <v>616</v>
      </c>
      <c r="O3925" s="20">
        <v>5</v>
      </c>
      <c r="P3925" s="20">
        <v>375</v>
      </c>
      <c r="Q3925" s="20">
        <v>11675.23682028881</v>
      </c>
      <c r="R3925" s="21">
        <v>1</v>
      </c>
      <c r="S3925" s="20">
        <v>11675.23682028881</v>
      </c>
    </row>
    <row r="3926" spans="2:19" ht="15" customHeight="1" x14ac:dyDescent="0.25">
      <c r="B3926" s="2" t="str">
        <f t="shared" si="122"/>
        <v>PGL_Income Eligible_Multi-Family_Whole Building - Prescriptive_Pipe Insulation_Steam - Large 5.1" to 8"_MF</v>
      </c>
      <c r="C3926" s="2" t="str">
        <f t="shared" si="123"/>
        <v>PGL_Income Eligible_Multi-Family_Whole Building - Prescriptive_Pipe Insulation_Steam - Large 5.1" to 8"_MF_2023</v>
      </c>
      <c r="D3926" s="19" t="s">
        <v>1794</v>
      </c>
      <c r="E3926" s="19" t="s">
        <v>325</v>
      </c>
      <c r="F3926" s="19" t="s">
        <v>1422</v>
      </c>
      <c r="G3926" s="19" t="s">
        <v>1813</v>
      </c>
      <c r="H3926" s="19" t="s">
        <v>404</v>
      </c>
      <c r="I3926" s="19" t="s">
        <v>958</v>
      </c>
      <c r="J3926" s="19">
        <v>0</v>
      </c>
      <c r="K3926" s="19" t="s">
        <v>553</v>
      </c>
      <c r="L3926" s="19">
        <v>2023</v>
      </c>
      <c r="M3926" s="20">
        <v>75</v>
      </c>
      <c r="N3926" s="19" t="s">
        <v>616</v>
      </c>
      <c r="O3926" s="20">
        <v>7</v>
      </c>
      <c r="P3926" s="20">
        <v>525</v>
      </c>
      <c r="Q3926" s="20">
        <v>16345.331548404334</v>
      </c>
      <c r="R3926" s="21">
        <v>1</v>
      </c>
      <c r="S3926" s="20">
        <v>16345.331548404334</v>
      </c>
    </row>
    <row r="3927" spans="2:19" ht="15" customHeight="1" x14ac:dyDescent="0.25">
      <c r="B3927" s="2" t="str">
        <f t="shared" si="122"/>
        <v>PGL_Income Eligible_Multi-Family_Whole Building - Prescriptive_Pipe Insulation_Steam - Large 5.1" to 8"_MF</v>
      </c>
      <c r="C3927" s="2" t="str">
        <f t="shared" si="123"/>
        <v>PGL_Income Eligible_Multi-Family_Whole Building - Prescriptive_Pipe Insulation_Steam - Large 5.1" to 8"_MF_2024</v>
      </c>
      <c r="D3927" s="19" t="s">
        <v>1794</v>
      </c>
      <c r="E3927" s="19" t="s">
        <v>325</v>
      </c>
      <c r="F3927" s="19" t="s">
        <v>1422</v>
      </c>
      <c r="G3927" s="19" t="s">
        <v>1813</v>
      </c>
      <c r="H3927" s="19" t="s">
        <v>404</v>
      </c>
      <c r="I3927" s="19" t="s">
        <v>958</v>
      </c>
      <c r="J3927" s="19">
        <v>0</v>
      </c>
      <c r="K3927" s="19" t="s">
        <v>553</v>
      </c>
      <c r="L3927" s="19">
        <v>2024</v>
      </c>
      <c r="M3927" s="20">
        <v>75</v>
      </c>
      <c r="N3927" s="19" t="s">
        <v>616</v>
      </c>
      <c r="O3927" s="20">
        <v>8</v>
      </c>
      <c r="P3927" s="20">
        <v>600</v>
      </c>
      <c r="Q3927" s="20">
        <v>18680.378912462096</v>
      </c>
      <c r="R3927" s="21">
        <v>1</v>
      </c>
      <c r="S3927" s="20">
        <v>18680.378912462096</v>
      </c>
    </row>
    <row r="3928" spans="2:19" ht="15" customHeight="1" x14ac:dyDescent="0.25">
      <c r="B3928" s="2" t="str">
        <f t="shared" si="122"/>
        <v>PGL_Income Eligible_Multi-Family_Whole Building - Prescriptive_Pipe Insulation_Steam - Large 5.1" to 8"_MF</v>
      </c>
      <c r="C3928" s="2" t="str">
        <f t="shared" si="123"/>
        <v>PGL_Income Eligible_Multi-Family_Whole Building - Prescriptive_Pipe Insulation_Steam - Large 5.1" to 8"_MF_2025</v>
      </c>
      <c r="D3928" s="19" t="s">
        <v>1794</v>
      </c>
      <c r="E3928" s="19" t="s">
        <v>325</v>
      </c>
      <c r="F3928" s="19" t="s">
        <v>1422</v>
      </c>
      <c r="G3928" s="19" t="s">
        <v>1813</v>
      </c>
      <c r="H3928" s="19" t="s">
        <v>404</v>
      </c>
      <c r="I3928" s="19" t="s">
        <v>958</v>
      </c>
      <c r="J3928" s="19">
        <v>0</v>
      </c>
      <c r="K3928" s="19" t="s">
        <v>553</v>
      </c>
      <c r="L3928" s="19">
        <v>2025</v>
      </c>
      <c r="M3928" s="20">
        <v>75</v>
      </c>
      <c r="N3928" s="19" t="s">
        <v>616</v>
      </c>
      <c r="O3928" s="20">
        <v>10</v>
      </c>
      <c r="P3928" s="20">
        <v>750</v>
      </c>
      <c r="Q3928" s="20">
        <v>23350.47364057762</v>
      </c>
      <c r="R3928" s="21">
        <v>1</v>
      </c>
      <c r="S3928" s="20">
        <v>23350.47364057762</v>
      </c>
    </row>
    <row r="3929" spans="2:19" ht="15" customHeight="1" x14ac:dyDescent="0.25">
      <c r="B3929" s="2" t="str">
        <f t="shared" si="122"/>
        <v>PGL_Income Eligible_Multi-Family_Whole Building - Prescriptive_Pipe Insulation_Steam - X-Large &gt;8"_MF</v>
      </c>
      <c r="C3929" s="2" t="str">
        <f t="shared" si="123"/>
        <v>PGL_Income Eligible_Multi-Family_Whole Building - Prescriptive_Pipe Insulation_Steam - X-Large &gt;8"_MF_2022</v>
      </c>
      <c r="D3929" s="19" t="s">
        <v>1794</v>
      </c>
      <c r="E3929" s="19" t="s">
        <v>325</v>
      </c>
      <c r="F3929" s="19" t="s">
        <v>1422</v>
      </c>
      <c r="G3929" s="19" t="s">
        <v>1813</v>
      </c>
      <c r="H3929" s="19" t="s">
        <v>404</v>
      </c>
      <c r="I3929" s="19" t="s">
        <v>960</v>
      </c>
      <c r="J3929" s="19">
        <v>0</v>
      </c>
      <c r="K3929" s="19" t="s">
        <v>553</v>
      </c>
      <c r="L3929" s="19">
        <v>2022</v>
      </c>
      <c r="M3929" s="20">
        <v>75</v>
      </c>
      <c r="N3929" s="19" t="s">
        <v>616</v>
      </c>
      <c r="O3929" s="20">
        <v>2</v>
      </c>
      <c r="P3929" s="20">
        <v>150</v>
      </c>
      <c r="Q3929" s="20">
        <v>6722.1601757359722</v>
      </c>
      <c r="R3929" s="21">
        <v>1</v>
      </c>
      <c r="S3929" s="20">
        <v>6722.1601757359722</v>
      </c>
    </row>
    <row r="3930" spans="2:19" ht="15" customHeight="1" x14ac:dyDescent="0.25">
      <c r="B3930" s="2" t="str">
        <f t="shared" si="122"/>
        <v>PGL_Income Eligible_Multi-Family_Whole Building - Prescriptive_Pipe Insulation_Steam - X-Large &gt;8"_MF</v>
      </c>
      <c r="C3930" s="2" t="str">
        <f t="shared" si="123"/>
        <v>PGL_Income Eligible_Multi-Family_Whole Building - Prescriptive_Pipe Insulation_Steam - X-Large &gt;8"_MF_2023</v>
      </c>
      <c r="D3930" s="19" t="s">
        <v>1794</v>
      </c>
      <c r="E3930" s="19" t="s">
        <v>325</v>
      </c>
      <c r="F3930" s="19" t="s">
        <v>1422</v>
      </c>
      <c r="G3930" s="19" t="s">
        <v>1813</v>
      </c>
      <c r="H3930" s="19" t="s">
        <v>404</v>
      </c>
      <c r="I3930" s="19" t="s">
        <v>960</v>
      </c>
      <c r="J3930" s="19">
        <v>0</v>
      </c>
      <c r="K3930" s="19" t="s">
        <v>553</v>
      </c>
      <c r="L3930" s="19">
        <v>2023</v>
      </c>
      <c r="M3930" s="20">
        <v>75</v>
      </c>
      <c r="N3930" s="19" t="s">
        <v>616</v>
      </c>
      <c r="O3930" s="20">
        <v>2</v>
      </c>
      <c r="P3930" s="20">
        <v>150</v>
      </c>
      <c r="Q3930" s="20">
        <v>6722.1601757359722</v>
      </c>
      <c r="R3930" s="21">
        <v>1</v>
      </c>
      <c r="S3930" s="20">
        <v>6722.1601757359722</v>
      </c>
    </row>
    <row r="3931" spans="2:19" ht="15" customHeight="1" x14ac:dyDescent="0.25">
      <c r="B3931" s="2" t="str">
        <f t="shared" si="122"/>
        <v>PGL_Income Eligible_Multi-Family_Whole Building - Prescriptive_Pipe Insulation_Steam - X-Large &gt;8"_MF</v>
      </c>
      <c r="C3931" s="2" t="str">
        <f t="shared" si="123"/>
        <v>PGL_Income Eligible_Multi-Family_Whole Building - Prescriptive_Pipe Insulation_Steam - X-Large &gt;8"_MF_2024</v>
      </c>
      <c r="D3931" s="19" t="s">
        <v>1794</v>
      </c>
      <c r="E3931" s="19" t="s">
        <v>325</v>
      </c>
      <c r="F3931" s="19" t="s">
        <v>1422</v>
      </c>
      <c r="G3931" s="19" t="s">
        <v>1813</v>
      </c>
      <c r="H3931" s="19" t="s">
        <v>404</v>
      </c>
      <c r="I3931" s="19" t="s">
        <v>960</v>
      </c>
      <c r="J3931" s="19">
        <v>0</v>
      </c>
      <c r="K3931" s="19" t="s">
        <v>553</v>
      </c>
      <c r="L3931" s="19">
        <v>2024</v>
      </c>
      <c r="M3931" s="20">
        <v>75</v>
      </c>
      <c r="N3931" s="19" t="s">
        <v>616</v>
      </c>
      <c r="O3931" s="20">
        <v>3</v>
      </c>
      <c r="P3931" s="20">
        <v>225</v>
      </c>
      <c r="Q3931" s="20">
        <v>10083.240263603959</v>
      </c>
      <c r="R3931" s="21">
        <v>1</v>
      </c>
      <c r="S3931" s="20">
        <v>10083.240263603959</v>
      </c>
    </row>
    <row r="3932" spans="2:19" ht="15" customHeight="1" x14ac:dyDescent="0.25">
      <c r="B3932" s="2" t="str">
        <f t="shared" si="122"/>
        <v>PGL_Income Eligible_Multi-Family_Whole Building - Prescriptive_Pipe Insulation_Steam - X-Large &gt;8"_MF</v>
      </c>
      <c r="C3932" s="2" t="str">
        <f t="shared" si="123"/>
        <v>PGL_Income Eligible_Multi-Family_Whole Building - Prescriptive_Pipe Insulation_Steam - X-Large &gt;8"_MF_2025</v>
      </c>
      <c r="D3932" s="19" t="s">
        <v>1794</v>
      </c>
      <c r="E3932" s="19" t="s">
        <v>325</v>
      </c>
      <c r="F3932" s="19" t="s">
        <v>1422</v>
      </c>
      <c r="G3932" s="19" t="s">
        <v>1813</v>
      </c>
      <c r="H3932" s="19" t="s">
        <v>404</v>
      </c>
      <c r="I3932" s="19" t="s">
        <v>960</v>
      </c>
      <c r="J3932" s="19">
        <v>0</v>
      </c>
      <c r="K3932" s="19" t="s">
        <v>553</v>
      </c>
      <c r="L3932" s="19">
        <v>2025</v>
      </c>
      <c r="M3932" s="20">
        <v>75</v>
      </c>
      <c r="N3932" s="19" t="s">
        <v>616</v>
      </c>
      <c r="O3932" s="20">
        <v>3</v>
      </c>
      <c r="P3932" s="20">
        <v>225</v>
      </c>
      <c r="Q3932" s="20">
        <v>10083.240263603959</v>
      </c>
      <c r="R3932" s="21">
        <v>1</v>
      </c>
      <c r="S3932" s="20">
        <v>10083.240263603959</v>
      </c>
    </row>
    <row r="3933" spans="2:19" ht="15" customHeight="1" x14ac:dyDescent="0.25">
      <c r="B3933" s="2" t="str">
        <f t="shared" si="122"/>
        <v>PGL_Income Eligible_Multi-Family_Whole Building - Prescriptive_Pipe Insulation_Steam Small Fitting_MF</v>
      </c>
      <c r="C3933" s="2" t="str">
        <f t="shared" si="123"/>
        <v>PGL_Income Eligible_Multi-Family_Whole Building - Prescriptive_Pipe Insulation_Steam Small Fitting_MF_2022</v>
      </c>
      <c r="D3933" s="19" t="s">
        <v>1794</v>
      </c>
      <c r="E3933" s="19" t="s">
        <v>325</v>
      </c>
      <c r="F3933" s="19" t="s">
        <v>1422</v>
      </c>
      <c r="G3933" s="19" t="s">
        <v>1813</v>
      </c>
      <c r="H3933" s="19" t="s">
        <v>404</v>
      </c>
      <c r="I3933" s="19" t="s">
        <v>961</v>
      </c>
      <c r="J3933" s="19">
        <v>0</v>
      </c>
      <c r="K3933" s="19" t="s">
        <v>553</v>
      </c>
      <c r="L3933" s="19">
        <v>2022</v>
      </c>
      <c r="M3933" s="20">
        <v>1</v>
      </c>
      <c r="N3933" s="19" t="s">
        <v>1798</v>
      </c>
      <c r="O3933" s="20">
        <v>0</v>
      </c>
      <c r="P3933" s="20">
        <v>0</v>
      </c>
      <c r="Q3933" s="20">
        <v>0</v>
      </c>
      <c r="R3933" s="21">
        <v>1</v>
      </c>
      <c r="S3933" s="20">
        <v>0</v>
      </c>
    </row>
    <row r="3934" spans="2:19" ht="15" customHeight="1" x14ac:dyDescent="0.25">
      <c r="B3934" s="2" t="str">
        <f t="shared" si="122"/>
        <v>PGL_Income Eligible_Multi-Family_Whole Building - Prescriptive_Pipe Insulation_Steam Small Fitting_MF</v>
      </c>
      <c r="C3934" s="2" t="str">
        <f t="shared" si="123"/>
        <v>PGL_Income Eligible_Multi-Family_Whole Building - Prescriptive_Pipe Insulation_Steam Small Fitting_MF_2023</v>
      </c>
      <c r="D3934" s="19" t="s">
        <v>1794</v>
      </c>
      <c r="E3934" s="19" t="s">
        <v>325</v>
      </c>
      <c r="F3934" s="19" t="s">
        <v>1422</v>
      </c>
      <c r="G3934" s="19" t="s">
        <v>1813</v>
      </c>
      <c r="H3934" s="19" t="s">
        <v>404</v>
      </c>
      <c r="I3934" s="19" t="s">
        <v>961</v>
      </c>
      <c r="J3934" s="19">
        <v>0</v>
      </c>
      <c r="K3934" s="19" t="s">
        <v>553</v>
      </c>
      <c r="L3934" s="19">
        <v>2023</v>
      </c>
      <c r="M3934" s="20">
        <v>1</v>
      </c>
      <c r="N3934" s="19" t="s">
        <v>1798</v>
      </c>
      <c r="O3934" s="20">
        <v>0</v>
      </c>
      <c r="P3934" s="20">
        <v>0</v>
      </c>
      <c r="Q3934" s="20">
        <v>0</v>
      </c>
      <c r="R3934" s="21">
        <v>1</v>
      </c>
      <c r="S3934" s="20">
        <v>0</v>
      </c>
    </row>
    <row r="3935" spans="2:19" ht="15" customHeight="1" x14ac:dyDescent="0.25">
      <c r="B3935" s="2" t="str">
        <f t="shared" si="122"/>
        <v>PGL_Income Eligible_Multi-Family_Whole Building - Prescriptive_Pipe Insulation_Steam Small Fitting_MF</v>
      </c>
      <c r="C3935" s="2" t="str">
        <f t="shared" si="123"/>
        <v>PGL_Income Eligible_Multi-Family_Whole Building - Prescriptive_Pipe Insulation_Steam Small Fitting_MF_2024</v>
      </c>
      <c r="D3935" s="19" t="s">
        <v>1794</v>
      </c>
      <c r="E3935" s="19" t="s">
        <v>325</v>
      </c>
      <c r="F3935" s="19" t="s">
        <v>1422</v>
      </c>
      <c r="G3935" s="19" t="s">
        <v>1813</v>
      </c>
      <c r="H3935" s="19" t="s">
        <v>404</v>
      </c>
      <c r="I3935" s="19" t="s">
        <v>961</v>
      </c>
      <c r="J3935" s="19">
        <v>0</v>
      </c>
      <c r="K3935" s="19" t="s">
        <v>553</v>
      </c>
      <c r="L3935" s="19">
        <v>2024</v>
      </c>
      <c r="M3935" s="20">
        <v>1</v>
      </c>
      <c r="N3935" s="19" t="s">
        <v>1798</v>
      </c>
      <c r="O3935" s="20">
        <v>0</v>
      </c>
      <c r="P3935" s="20">
        <v>0</v>
      </c>
      <c r="Q3935" s="20">
        <v>0</v>
      </c>
      <c r="R3935" s="21">
        <v>1</v>
      </c>
      <c r="S3935" s="20">
        <v>0</v>
      </c>
    </row>
    <row r="3936" spans="2:19" ht="15" customHeight="1" x14ac:dyDescent="0.25">
      <c r="B3936" s="2" t="str">
        <f t="shared" si="122"/>
        <v>PGL_Income Eligible_Multi-Family_Whole Building - Prescriptive_Pipe Insulation_Steam Small Fitting_MF</v>
      </c>
      <c r="C3936" s="2" t="str">
        <f t="shared" si="123"/>
        <v>PGL_Income Eligible_Multi-Family_Whole Building - Prescriptive_Pipe Insulation_Steam Small Fitting_MF_2025</v>
      </c>
      <c r="D3936" s="19" t="s">
        <v>1794</v>
      </c>
      <c r="E3936" s="19" t="s">
        <v>325</v>
      </c>
      <c r="F3936" s="19" t="s">
        <v>1422</v>
      </c>
      <c r="G3936" s="19" t="s">
        <v>1813</v>
      </c>
      <c r="H3936" s="19" t="s">
        <v>404</v>
      </c>
      <c r="I3936" s="19" t="s">
        <v>961</v>
      </c>
      <c r="J3936" s="19">
        <v>0</v>
      </c>
      <c r="K3936" s="19" t="s">
        <v>553</v>
      </c>
      <c r="L3936" s="19">
        <v>2025</v>
      </c>
      <c r="M3936" s="20">
        <v>1</v>
      </c>
      <c r="N3936" s="19" t="s">
        <v>1798</v>
      </c>
      <c r="O3936" s="20">
        <v>0</v>
      </c>
      <c r="P3936" s="20">
        <v>0</v>
      </c>
      <c r="Q3936" s="20">
        <v>0</v>
      </c>
      <c r="R3936" s="21">
        <v>1</v>
      </c>
      <c r="S3936" s="20">
        <v>0</v>
      </c>
    </row>
    <row r="3937" spans="2:19" ht="15" customHeight="1" x14ac:dyDescent="0.25">
      <c r="B3937" s="2" t="str">
        <f t="shared" si="122"/>
        <v>PGL_Income Eligible_Multi-Family_Whole Building - Prescriptive_Pipe Insulation_Steam Med Fitting_MF</v>
      </c>
      <c r="C3937" s="2" t="str">
        <f t="shared" si="123"/>
        <v>PGL_Income Eligible_Multi-Family_Whole Building - Prescriptive_Pipe Insulation_Steam Med Fitting_MF_2022</v>
      </c>
      <c r="D3937" s="19" t="s">
        <v>1794</v>
      </c>
      <c r="E3937" s="19" t="s">
        <v>325</v>
      </c>
      <c r="F3937" s="19" t="s">
        <v>1422</v>
      </c>
      <c r="G3937" s="19" t="s">
        <v>1813</v>
      </c>
      <c r="H3937" s="19" t="s">
        <v>404</v>
      </c>
      <c r="I3937" s="19" t="s">
        <v>962</v>
      </c>
      <c r="J3937" s="19">
        <v>0</v>
      </c>
      <c r="K3937" s="19" t="s">
        <v>553</v>
      </c>
      <c r="L3937" s="19">
        <v>2022</v>
      </c>
      <c r="M3937" s="20">
        <v>1</v>
      </c>
      <c r="N3937" s="19" t="s">
        <v>1798</v>
      </c>
      <c r="O3937" s="20">
        <v>135</v>
      </c>
      <c r="P3937" s="20">
        <v>135</v>
      </c>
      <c r="Q3937" s="20">
        <v>2718.167689160156</v>
      </c>
      <c r="R3937" s="21">
        <v>1</v>
      </c>
      <c r="S3937" s="20">
        <v>2718.167689160156</v>
      </c>
    </row>
    <row r="3938" spans="2:19" ht="15" customHeight="1" x14ac:dyDescent="0.25">
      <c r="B3938" s="2" t="str">
        <f t="shared" si="122"/>
        <v>PGL_Income Eligible_Multi-Family_Whole Building - Prescriptive_Pipe Insulation_Steam Med Fitting_MF</v>
      </c>
      <c r="C3938" s="2" t="str">
        <f t="shared" si="123"/>
        <v>PGL_Income Eligible_Multi-Family_Whole Building - Prescriptive_Pipe Insulation_Steam Med Fitting_MF_2023</v>
      </c>
      <c r="D3938" s="19" t="s">
        <v>1794</v>
      </c>
      <c r="E3938" s="19" t="s">
        <v>325</v>
      </c>
      <c r="F3938" s="19" t="s">
        <v>1422</v>
      </c>
      <c r="G3938" s="19" t="s">
        <v>1813</v>
      </c>
      <c r="H3938" s="19" t="s">
        <v>404</v>
      </c>
      <c r="I3938" s="19" t="s">
        <v>962</v>
      </c>
      <c r="J3938" s="19">
        <v>0</v>
      </c>
      <c r="K3938" s="19" t="s">
        <v>553</v>
      </c>
      <c r="L3938" s="19">
        <v>2023</v>
      </c>
      <c r="M3938" s="20">
        <v>1</v>
      </c>
      <c r="N3938" s="19" t="s">
        <v>1798</v>
      </c>
      <c r="O3938" s="20">
        <v>173</v>
      </c>
      <c r="P3938" s="20">
        <v>173</v>
      </c>
      <c r="Q3938" s="20">
        <v>3483.281557220052</v>
      </c>
      <c r="R3938" s="21">
        <v>1</v>
      </c>
      <c r="S3938" s="20">
        <v>3483.281557220052</v>
      </c>
    </row>
    <row r="3939" spans="2:19" ht="15" customHeight="1" x14ac:dyDescent="0.25">
      <c r="B3939" s="2" t="str">
        <f t="shared" si="122"/>
        <v>PGL_Income Eligible_Multi-Family_Whole Building - Prescriptive_Pipe Insulation_Steam Med Fitting_MF</v>
      </c>
      <c r="C3939" s="2" t="str">
        <f t="shared" si="123"/>
        <v>PGL_Income Eligible_Multi-Family_Whole Building - Prescriptive_Pipe Insulation_Steam Med Fitting_MF_2024</v>
      </c>
      <c r="D3939" s="19" t="s">
        <v>1794</v>
      </c>
      <c r="E3939" s="19" t="s">
        <v>325</v>
      </c>
      <c r="F3939" s="19" t="s">
        <v>1422</v>
      </c>
      <c r="G3939" s="19" t="s">
        <v>1813</v>
      </c>
      <c r="H3939" s="19" t="s">
        <v>404</v>
      </c>
      <c r="I3939" s="19" t="s">
        <v>962</v>
      </c>
      <c r="J3939" s="19">
        <v>0</v>
      </c>
      <c r="K3939" s="19" t="s">
        <v>553</v>
      </c>
      <c r="L3939" s="19">
        <v>2024</v>
      </c>
      <c r="M3939" s="20">
        <v>1</v>
      </c>
      <c r="N3939" s="19" t="s">
        <v>1798</v>
      </c>
      <c r="O3939" s="20">
        <v>210</v>
      </c>
      <c r="P3939" s="20">
        <v>210</v>
      </c>
      <c r="Q3939" s="20">
        <v>4228.2608498046875</v>
      </c>
      <c r="R3939" s="21">
        <v>1</v>
      </c>
      <c r="S3939" s="20">
        <v>4228.2608498046875</v>
      </c>
    </row>
    <row r="3940" spans="2:19" ht="15" customHeight="1" x14ac:dyDescent="0.25">
      <c r="B3940" s="2" t="str">
        <f t="shared" si="122"/>
        <v>PGL_Income Eligible_Multi-Family_Whole Building - Prescriptive_Pipe Insulation_Steam Med Fitting_MF</v>
      </c>
      <c r="C3940" s="2" t="str">
        <f t="shared" si="123"/>
        <v>PGL_Income Eligible_Multi-Family_Whole Building - Prescriptive_Pipe Insulation_Steam Med Fitting_MF_2025</v>
      </c>
      <c r="D3940" s="19" t="s">
        <v>1794</v>
      </c>
      <c r="E3940" s="19" t="s">
        <v>325</v>
      </c>
      <c r="F3940" s="19" t="s">
        <v>1422</v>
      </c>
      <c r="G3940" s="19" t="s">
        <v>1813</v>
      </c>
      <c r="H3940" s="19" t="s">
        <v>404</v>
      </c>
      <c r="I3940" s="19" t="s">
        <v>962</v>
      </c>
      <c r="J3940" s="19">
        <v>0</v>
      </c>
      <c r="K3940" s="19" t="s">
        <v>553</v>
      </c>
      <c r="L3940" s="19">
        <v>2025</v>
      </c>
      <c r="M3940" s="20">
        <v>1</v>
      </c>
      <c r="N3940" s="19" t="s">
        <v>1798</v>
      </c>
      <c r="O3940" s="20">
        <v>248</v>
      </c>
      <c r="P3940" s="20">
        <v>248</v>
      </c>
      <c r="Q3940" s="20">
        <v>4993.3747178645835</v>
      </c>
      <c r="R3940" s="21">
        <v>1</v>
      </c>
      <c r="S3940" s="20">
        <v>4993.3747178645835</v>
      </c>
    </row>
    <row r="3941" spans="2:19" ht="15" customHeight="1" x14ac:dyDescent="0.25">
      <c r="B3941" s="2" t="str">
        <f t="shared" si="122"/>
        <v>PGL_Income Eligible_Multi-Family_Whole Building - Prescriptive_Pipe Insulation_Steam Large Fitting_MF</v>
      </c>
      <c r="C3941" s="2" t="str">
        <f t="shared" si="123"/>
        <v>PGL_Income Eligible_Multi-Family_Whole Building - Prescriptive_Pipe Insulation_Steam Large Fitting_MF_2022</v>
      </c>
      <c r="D3941" s="19" t="s">
        <v>1794</v>
      </c>
      <c r="E3941" s="19" t="s">
        <v>325</v>
      </c>
      <c r="F3941" s="19" t="s">
        <v>1422</v>
      </c>
      <c r="G3941" s="19" t="s">
        <v>1813</v>
      </c>
      <c r="H3941" s="19" t="s">
        <v>404</v>
      </c>
      <c r="I3941" s="19" t="s">
        <v>963</v>
      </c>
      <c r="J3941" s="19">
        <v>0</v>
      </c>
      <c r="K3941" s="19" t="s">
        <v>553</v>
      </c>
      <c r="L3941" s="19">
        <v>2022</v>
      </c>
      <c r="M3941" s="20">
        <v>1</v>
      </c>
      <c r="N3941" s="19" t="s">
        <v>1798</v>
      </c>
      <c r="O3941" s="20">
        <v>90</v>
      </c>
      <c r="P3941" s="20">
        <v>90</v>
      </c>
      <c r="Q3941" s="20">
        <v>5965.5845909722211</v>
      </c>
      <c r="R3941" s="21">
        <v>1</v>
      </c>
      <c r="S3941" s="20">
        <v>5965.5845909722211</v>
      </c>
    </row>
    <row r="3942" spans="2:19" ht="15" customHeight="1" x14ac:dyDescent="0.25">
      <c r="B3942" s="2" t="str">
        <f t="shared" si="122"/>
        <v>PGL_Income Eligible_Multi-Family_Whole Building - Prescriptive_Pipe Insulation_Steam Large Fitting_MF</v>
      </c>
      <c r="C3942" s="2" t="str">
        <f t="shared" si="123"/>
        <v>PGL_Income Eligible_Multi-Family_Whole Building - Prescriptive_Pipe Insulation_Steam Large Fitting_MF_2023</v>
      </c>
      <c r="D3942" s="19" t="s">
        <v>1794</v>
      </c>
      <c r="E3942" s="19" t="s">
        <v>325</v>
      </c>
      <c r="F3942" s="19" t="s">
        <v>1422</v>
      </c>
      <c r="G3942" s="19" t="s">
        <v>1813</v>
      </c>
      <c r="H3942" s="19" t="s">
        <v>404</v>
      </c>
      <c r="I3942" s="19" t="s">
        <v>963</v>
      </c>
      <c r="J3942" s="19">
        <v>0</v>
      </c>
      <c r="K3942" s="19" t="s">
        <v>553</v>
      </c>
      <c r="L3942" s="19">
        <v>2023</v>
      </c>
      <c r="M3942" s="20">
        <v>1</v>
      </c>
      <c r="N3942" s="19" t="s">
        <v>1798</v>
      </c>
      <c r="O3942" s="20">
        <v>115</v>
      </c>
      <c r="P3942" s="20">
        <v>115</v>
      </c>
      <c r="Q3942" s="20">
        <v>7622.6914217978383</v>
      </c>
      <c r="R3942" s="21">
        <v>1</v>
      </c>
      <c r="S3942" s="20">
        <v>7622.6914217978383</v>
      </c>
    </row>
    <row r="3943" spans="2:19" ht="15" customHeight="1" x14ac:dyDescent="0.25">
      <c r="B3943" s="2" t="str">
        <f t="shared" si="122"/>
        <v>PGL_Income Eligible_Multi-Family_Whole Building - Prescriptive_Pipe Insulation_Steam Large Fitting_MF</v>
      </c>
      <c r="C3943" s="2" t="str">
        <f t="shared" si="123"/>
        <v>PGL_Income Eligible_Multi-Family_Whole Building - Prescriptive_Pipe Insulation_Steam Large Fitting_MF_2024</v>
      </c>
      <c r="D3943" s="19" t="s">
        <v>1794</v>
      </c>
      <c r="E3943" s="19" t="s">
        <v>325</v>
      </c>
      <c r="F3943" s="19" t="s">
        <v>1422</v>
      </c>
      <c r="G3943" s="19" t="s">
        <v>1813</v>
      </c>
      <c r="H3943" s="19" t="s">
        <v>404</v>
      </c>
      <c r="I3943" s="19" t="s">
        <v>963</v>
      </c>
      <c r="J3943" s="19">
        <v>0</v>
      </c>
      <c r="K3943" s="19" t="s">
        <v>553</v>
      </c>
      <c r="L3943" s="19">
        <v>2024</v>
      </c>
      <c r="M3943" s="20">
        <v>1</v>
      </c>
      <c r="N3943" s="19" t="s">
        <v>1798</v>
      </c>
      <c r="O3943" s="20">
        <v>140</v>
      </c>
      <c r="P3943" s="20">
        <v>140</v>
      </c>
      <c r="Q3943" s="20">
        <v>9279.7982526234555</v>
      </c>
      <c r="R3943" s="21">
        <v>1</v>
      </c>
      <c r="S3943" s="20">
        <v>9279.7982526234555</v>
      </c>
    </row>
    <row r="3944" spans="2:19" ht="15" customHeight="1" x14ac:dyDescent="0.25">
      <c r="B3944" s="2" t="str">
        <f t="shared" si="122"/>
        <v>PGL_Income Eligible_Multi-Family_Whole Building - Prescriptive_Pipe Insulation_Steam Large Fitting_MF</v>
      </c>
      <c r="C3944" s="2" t="str">
        <f t="shared" si="123"/>
        <v>PGL_Income Eligible_Multi-Family_Whole Building - Prescriptive_Pipe Insulation_Steam Large Fitting_MF_2025</v>
      </c>
      <c r="D3944" s="19" t="s">
        <v>1794</v>
      </c>
      <c r="E3944" s="19" t="s">
        <v>325</v>
      </c>
      <c r="F3944" s="19" t="s">
        <v>1422</v>
      </c>
      <c r="G3944" s="19" t="s">
        <v>1813</v>
      </c>
      <c r="H3944" s="19" t="s">
        <v>404</v>
      </c>
      <c r="I3944" s="19" t="s">
        <v>963</v>
      </c>
      <c r="J3944" s="19">
        <v>0</v>
      </c>
      <c r="K3944" s="19" t="s">
        <v>553</v>
      </c>
      <c r="L3944" s="19">
        <v>2025</v>
      </c>
      <c r="M3944" s="20">
        <v>1</v>
      </c>
      <c r="N3944" s="19" t="s">
        <v>1798</v>
      </c>
      <c r="O3944" s="20">
        <v>165</v>
      </c>
      <c r="P3944" s="20">
        <v>165</v>
      </c>
      <c r="Q3944" s="20">
        <v>10936.905083449072</v>
      </c>
      <c r="R3944" s="21">
        <v>1</v>
      </c>
      <c r="S3944" s="20">
        <v>10936.905083449072</v>
      </c>
    </row>
    <row r="3945" spans="2:19" ht="15" customHeight="1" x14ac:dyDescent="0.25">
      <c r="B3945" s="2" t="str">
        <f t="shared" si="122"/>
        <v>PGL_Income Eligible_Multi-Family_Whole Building - Prescriptive_Pipe Insulation_Steam X-Large Fitting_MF</v>
      </c>
      <c r="C3945" s="2" t="str">
        <f t="shared" si="123"/>
        <v>PGL_Income Eligible_Multi-Family_Whole Building - Prescriptive_Pipe Insulation_Steam X-Large Fitting_MF_2022</v>
      </c>
      <c r="D3945" s="19" t="s">
        <v>1794</v>
      </c>
      <c r="E3945" s="19" t="s">
        <v>325</v>
      </c>
      <c r="F3945" s="19" t="s">
        <v>1422</v>
      </c>
      <c r="G3945" s="19" t="s">
        <v>1813</v>
      </c>
      <c r="H3945" s="19" t="s">
        <v>404</v>
      </c>
      <c r="I3945" s="19" t="s">
        <v>964</v>
      </c>
      <c r="J3945" s="19">
        <v>0</v>
      </c>
      <c r="K3945" s="19" t="s">
        <v>553</v>
      </c>
      <c r="L3945" s="19">
        <v>2022</v>
      </c>
      <c r="M3945" s="20">
        <v>1</v>
      </c>
      <c r="N3945" s="19" t="s">
        <v>1798</v>
      </c>
      <c r="O3945" s="20">
        <v>9</v>
      </c>
      <c r="P3945" s="20">
        <v>9</v>
      </c>
      <c r="Q3945" s="20">
        <v>1024.9954978256171</v>
      </c>
      <c r="R3945" s="21">
        <v>1</v>
      </c>
      <c r="S3945" s="20">
        <v>1024.9954978256171</v>
      </c>
    </row>
    <row r="3946" spans="2:19" ht="15" customHeight="1" x14ac:dyDescent="0.25">
      <c r="B3946" s="2" t="str">
        <f t="shared" si="122"/>
        <v>PGL_Income Eligible_Multi-Family_Whole Building - Prescriptive_Pipe Insulation_Steam X-Large Fitting_MF</v>
      </c>
      <c r="C3946" s="2" t="str">
        <f t="shared" si="123"/>
        <v>PGL_Income Eligible_Multi-Family_Whole Building - Prescriptive_Pipe Insulation_Steam X-Large Fitting_MF_2023</v>
      </c>
      <c r="D3946" s="19" t="s">
        <v>1794</v>
      </c>
      <c r="E3946" s="19" t="s">
        <v>325</v>
      </c>
      <c r="F3946" s="19" t="s">
        <v>1422</v>
      </c>
      <c r="G3946" s="19" t="s">
        <v>1813</v>
      </c>
      <c r="H3946" s="19" t="s">
        <v>404</v>
      </c>
      <c r="I3946" s="19" t="s">
        <v>964</v>
      </c>
      <c r="J3946" s="19">
        <v>0</v>
      </c>
      <c r="K3946" s="19" t="s">
        <v>553</v>
      </c>
      <c r="L3946" s="19">
        <v>2023</v>
      </c>
      <c r="M3946" s="20">
        <v>1</v>
      </c>
      <c r="N3946" s="19" t="s">
        <v>1798</v>
      </c>
      <c r="O3946" s="20">
        <v>12</v>
      </c>
      <c r="P3946" s="20">
        <v>12</v>
      </c>
      <c r="Q3946" s="20">
        <v>1366.6606637674895</v>
      </c>
      <c r="R3946" s="21">
        <v>1</v>
      </c>
      <c r="S3946" s="20">
        <v>1366.6606637674895</v>
      </c>
    </row>
    <row r="3947" spans="2:19" ht="15" customHeight="1" x14ac:dyDescent="0.25">
      <c r="B3947" s="2" t="str">
        <f t="shared" si="122"/>
        <v>PGL_Income Eligible_Multi-Family_Whole Building - Prescriptive_Pipe Insulation_Steam X-Large Fitting_MF</v>
      </c>
      <c r="C3947" s="2" t="str">
        <f t="shared" si="123"/>
        <v>PGL_Income Eligible_Multi-Family_Whole Building - Prescriptive_Pipe Insulation_Steam X-Large Fitting_MF_2024</v>
      </c>
      <c r="D3947" s="19" t="s">
        <v>1794</v>
      </c>
      <c r="E3947" s="19" t="s">
        <v>325</v>
      </c>
      <c r="F3947" s="19" t="s">
        <v>1422</v>
      </c>
      <c r="G3947" s="19" t="s">
        <v>1813</v>
      </c>
      <c r="H3947" s="19" t="s">
        <v>404</v>
      </c>
      <c r="I3947" s="19" t="s">
        <v>964</v>
      </c>
      <c r="J3947" s="19">
        <v>0</v>
      </c>
      <c r="K3947" s="19" t="s">
        <v>553</v>
      </c>
      <c r="L3947" s="19">
        <v>2024</v>
      </c>
      <c r="M3947" s="20">
        <v>1</v>
      </c>
      <c r="N3947" s="19" t="s">
        <v>1798</v>
      </c>
      <c r="O3947" s="20">
        <v>14</v>
      </c>
      <c r="P3947" s="20">
        <v>14</v>
      </c>
      <c r="Q3947" s="20">
        <v>1594.4374410620712</v>
      </c>
      <c r="R3947" s="21">
        <v>1</v>
      </c>
      <c r="S3947" s="20">
        <v>1594.4374410620712</v>
      </c>
    </row>
    <row r="3948" spans="2:19" ht="15" customHeight="1" x14ac:dyDescent="0.25">
      <c r="B3948" s="2" t="str">
        <f t="shared" si="122"/>
        <v>PGL_Income Eligible_Multi-Family_Whole Building - Prescriptive_Pipe Insulation_Steam X-Large Fitting_MF</v>
      </c>
      <c r="C3948" s="2" t="str">
        <f t="shared" si="123"/>
        <v>PGL_Income Eligible_Multi-Family_Whole Building - Prescriptive_Pipe Insulation_Steam X-Large Fitting_MF_2025</v>
      </c>
      <c r="D3948" s="19" t="s">
        <v>1794</v>
      </c>
      <c r="E3948" s="19" t="s">
        <v>325</v>
      </c>
      <c r="F3948" s="19" t="s">
        <v>1422</v>
      </c>
      <c r="G3948" s="19" t="s">
        <v>1813</v>
      </c>
      <c r="H3948" s="19" t="s">
        <v>404</v>
      </c>
      <c r="I3948" s="19" t="s">
        <v>964</v>
      </c>
      <c r="J3948" s="19">
        <v>0</v>
      </c>
      <c r="K3948" s="19" t="s">
        <v>553</v>
      </c>
      <c r="L3948" s="19">
        <v>2025</v>
      </c>
      <c r="M3948" s="20">
        <v>1</v>
      </c>
      <c r="N3948" s="19" t="s">
        <v>1798</v>
      </c>
      <c r="O3948" s="20">
        <v>17</v>
      </c>
      <c r="P3948" s="20">
        <v>17</v>
      </c>
      <c r="Q3948" s="20">
        <v>1936.1026070039436</v>
      </c>
      <c r="R3948" s="21">
        <v>1</v>
      </c>
      <c r="S3948" s="20">
        <v>1936.1026070039436</v>
      </c>
    </row>
    <row r="3949" spans="2:19" ht="15" customHeight="1" x14ac:dyDescent="0.25">
      <c r="B3949" s="2" t="str">
        <f t="shared" si="122"/>
        <v>PGL_Income Eligible_Multi-Family_Whole Building - Prescriptive_Pipe Insulation_Steam Small Valve_MF</v>
      </c>
      <c r="C3949" s="2" t="str">
        <f t="shared" si="123"/>
        <v>PGL_Income Eligible_Multi-Family_Whole Building - Prescriptive_Pipe Insulation_Steam Small Valve_MF_2022</v>
      </c>
      <c r="D3949" s="19" t="s">
        <v>1794</v>
      </c>
      <c r="E3949" s="19" t="s">
        <v>325</v>
      </c>
      <c r="F3949" s="19" t="s">
        <v>1422</v>
      </c>
      <c r="G3949" s="19" t="s">
        <v>1813</v>
      </c>
      <c r="H3949" s="19" t="s">
        <v>404</v>
      </c>
      <c r="I3949" s="19" t="s">
        <v>965</v>
      </c>
      <c r="J3949" s="19">
        <v>0</v>
      </c>
      <c r="K3949" s="19" t="s">
        <v>553</v>
      </c>
      <c r="L3949" s="19">
        <v>2022</v>
      </c>
      <c r="M3949" s="20">
        <v>1</v>
      </c>
      <c r="N3949" s="19" t="s">
        <v>1798</v>
      </c>
      <c r="O3949" s="20">
        <v>0</v>
      </c>
      <c r="P3949" s="20">
        <v>0</v>
      </c>
      <c r="Q3949" s="20">
        <v>0</v>
      </c>
      <c r="R3949" s="21">
        <v>1</v>
      </c>
      <c r="S3949" s="20">
        <v>0</v>
      </c>
    </row>
    <row r="3950" spans="2:19" ht="15" customHeight="1" x14ac:dyDescent="0.25">
      <c r="B3950" s="2" t="str">
        <f t="shared" si="122"/>
        <v>PGL_Income Eligible_Multi-Family_Whole Building - Prescriptive_Pipe Insulation_Steam Small Valve_MF</v>
      </c>
      <c r="C3950" s="2" t="str">
        <f t="shared" si="123"/>
        <v>PGL_Income Eligible_Multi-Family_Whole Building - Prescriptive_Pipe Insulation_Steam Small Valve_MF_2023</v>
      </c>
      <c r="D3950" s="19" t="s">
        <v>1794</v>
      </c>
      <c r="E3950" s="19" t="s">
        <v>325</v>
      </c>
      <c r="F3950" s="19" t="s">
        <v>1422</v>
      </c>
      <c r="G3950" s="19" t="s">
        <v>1813</v>
      </c>
      <c r="H3950" s="19" t="s">
        <v>404</v>
      </c>
      <c r="I3950" s="19" t="s">
        <v>965</v>
      </c>
      <c r="J3950" s="19">
        <v>0</v>
      </c>
      <c r="K3950" s="19" t="s">
        <v>553</v>
      </c>
      <c r="L3950" s="19">
        <v>2023</v>
      </c>
      <c r="M3950" s="20">
        <v>1</v>
      </c>
      <c r="N3950" s="19" t="s">
        <v>1798</v>
      </c>
      <c r="O3950" s="20">
        <v>0</v>
      </c>
      <c r="P3950" s="20">
        <v>0</v>
      </c>
      <c r="Q3950" s="20">
        <v>0</v>
      </c>
      <c r="R3950" s="21">
        <v>1</v>
      </c>
      <c r="S3950" s="20">
        <v>0</v>
      </c>
    </row>
    <row r="3951" spans="2:19" ht="15" customHeight="1" x14ac:dyDescent="0.25">
      <c r="B3951" s="2" t="str">
        <f t="shared" si="122"/>
        <v>PGL_Income Eligible_Multi-Family_Whole Building - Prescriptive_Pipe Insulation_Steam Small Valve_MF</v>
      </c>
      <c r="C3951" s="2" t="str">
        <f t="shared" si="123"/>
        <v>PGL_Income Eligible_Multi-Family_Whole Building - Prescriptive_Pipe Insulation_Steam Small Valve_MF_2024</v>
      </c>
      <c r="D3951" s="19" t="s">
        <v>1794</v>
      </c>
      <c r="E3951" s="19" t="s">
        <v>325</v>
      </c>
      <c r="F3951" s="19" t="s">
        <v>1422</v>
      </c>
      <c r="G3951" s="19" t="s">
        <v>1813</v>
      </c>
      <c r="H3951" s="19" t="s">
        <v>404</v>
      </c>
      <c r="I3951" s="19" t="s">
        <v>965</v>
      </c>
      <c r="J3951" s="19">
        <v>0</v>
      </c>
      <c r="K3951" s="19" t="s">
        <v>553</v>
      </c>
      <c r="L3951" s="19">
        <v>2024</v>
      </c>
      <c r="M3951" s="20">
        <v>1</v>
      </c>
      <c r="N3951" s="19" t="s">
        <v>1798</v>
      </c>
      <c r="O3951" s="20">
        <v>0</v>
      </c>
      <c r="P3951" s="20">
        <v>0</v>
      </c>
      <c r="Q3951" s="20">
        <v>0</v>
      </c>
      <c r="R3951" s="21">
        <v>1</v>
      </c>
      <c r="S3951" s="20">
        <v>0</v>
      </c>
    </row>
    <row r="3952" spans="2:19" ht="15" customHeight="1" x14ac:dyDescent="0.25">
      <c r="B3952" s="2" t="str">
        <f t="shared" si="122"/>
        <v>PGL_Income Eligible_Multi-Family_Whole Building - Prescriptive_Pipe Insulation_Steam Small Valve_MF</v>
      </c>
      <c r="C3952" s="2" t="str">
        <f t="shared" si="123"/>
        <v>PGL_Income Eligible_Multi-Family_Whole Building - Prescriptive_Pipe Insulation_Steam Small Valve_MF_2025</v>
      </c>
      <c r="D3952" s="19" t="s">
        <v>1794</v>
      </c>
      <c r="E3952" s="19" t="s">
        <v>325</v>
      </c>
      <c r="F3952" s="19" t="s">
        <v>1422</v>
      </c>
      <c r="G3952" s="19" t="s">
        <v>1813</v>
      </c>
      <c r="H3952" s="19" t="s">
        <v>404</v>
      </c>
      <c r="I3952" s="19" t="s">
        <v>965</v>
      </c>
      <c r="J3952" s="19">
        <v>0</v>
      </c>
      <c r="K3952" s="19" t="s">
        <v>553</v>
      </c>
      <c r="L3952" s="19">
        <v>2025</v>
      </c>
      <c r="M3952" s="20">
        <v>1</v>
      </c>
      <c r="N3952" s="19" t="s">
        <v>1798</v>
      </c>
      <c r="O3952" s="20">
        <v>0</v>
      </c>
      <c r="P3952" s="20">
        <v>0</v>
      </c>
      <c r="Q3952" s="20">
        <v>0</v>
      </c>
      <c r="R3952" s="21">
        <v>1</v>
      </c>
      <c r="S3952" s="20">
        <v>0</v>
      </c>
    </row>
    <row r="3953" spans="2:19" ht="15" customHeight="1" x14ac:dyDescent="0.25">
      <c r="B3953" s="2" t="str">
        <f t="shared" si="122"/>
        <v>PGL_Income Eligible_Multi-Family_Whole Building - Prescriptive_Pipe Insulation_Steam Med Valve_MF</v>
      </c>
      <c r="C3953" s="2" t="str">
        <f t="shared" si="123"/>
        <v>PGL_Income Eligible_Multi-Family_Whole Building - Prescriptive_Pipe Insulation_Steam Med Valve_MF_2022</v>
      </c>
      <c r="D3953" s="19" t="s">
        <v>1794</v>
      </c>
      <c r="E3953" s="19" t="s">
        <v>325</v>
      </c>
      <c r="F3953" s="19" t="s">
        <v>1422</v>
      </c>
      <c r="G3953" s="19" t="s">
        <v>1813</v>
      </c>
      <c r="H3953" s="19" t="s">
        <v>404</v>
      </c>
      <c r="I3953" s="19" t="s">
        <v>966</v>
      </c>
      <c r="J3953" s="19">
        <v>0</v>
      </c>
      <c r="K3953" s="19" t="s">
        <v>553</v>
      </c>
      <c r="L3953" s="19">
        <v>2022</v>
      </c>
      <c r="M3953" s="20">
        <v>1</v>
      </c>
      <c r="N3953" s="19" t="s">
        <v>1798</v>
      </c>
      <c r="O3953" s="20">
        <v>2</v>
      </c>
      <c r="P3953" s="20">
        <v>2</v>
      </c>
      <c r="Q3953" s="20">
        <v>135.92528049817582</v>
      </c>
      <c r="R3953" s="21">
        <v>1</v>
      </c>
      <c r="S3953" s="20">
        <v>135.92528049817582</v>
      </c>
    </row>
    <row r="3954" spans="2:19" ht="15" customHeight="1" x14ac:dyDescent="0.25">
      <c r="B3954" s="2" t="str">
        <f t="shared" si="122"/>
        <v>PGL_Income Eligible_Multi-Family_Whole Building - Prescriptive_Pipe Insulation_Steam Med Valve_MF</v>
      </c>
      <c r="C3954" s="2" t="str">
        <f t="shared" si="123"/>
        <v>PGL_Income Eligible_Multi-Family_Whole Building - Prescriptive_Pipe Insulation_Steam Med Valve_MF_2023</v>
      </c>
      <c r="D3954" s="19" t="s">
        <v>1794</v>
      </c>
      <c r="E3954" s="19" t="s">
        <v>325</v>
      </c>
      <c r="F3954" s="19" t="s">
        <v>1422</v>
      </c>
      <c r="G3954" s="19" t="s">
        <v>1813</v>
      </c>
      <c r="H3954" s="19" t="s">
        <v>404</v>
      </c>
      <c r="I3954" s="19" t="s">
        <v>966</v>
      </c>
      <c r="J3954" s="19">
        <v>0</v>
      </c>
      <c r="K3954" s="19" t="s">
        <v>553</v>
      </c>
      <c r="L3954" s="19">
        <v>2023</v>
      </c>
      <c r="M3954" s="20">
        <v>1</v>
      </c>
      <c r="N3954" s="19" t="s">
        <v>1798</v>
      </c>
      <c r="O3954" s="20">
        <v>2</v>
      </c>
      <c r="P3954" s="20">
        <v>2</v>
      </c>
      <c r="Q3954" s="20">
        <v>135.92528049817582</v>
      </c>
      <c r="R3954" s="21">
        <v>1</v>
      </c>
      <c r="S3954" s="20">
        <v>135.92528049817582</v>
      </c>
    </row>
    <row r="3955" spans="2:19" ht="15" customHeight="1" x14ac:dyDescent="0.25">
      <c r="B3955" s="2" t="str">
        <f t="shared" si="122"/>
        <v>PGL_Income Eligible_Multi-Family_Whole Building - Prescriptive_Pipe Insulation_Steam Med Valve_MF</v>
      </c>
      <c r="C3955" s="2" t="str">
        <f t="shared" si="123"/>
        <v>PGL_Income Eligible_Multi-Family_Whole Building - Prescriptive_Pipe Insulation_Steam Med Valve_MF_2024</v>
      </c>
      <c r="D3955" s="19" t="s">
        <v>1794</v>
      </c>
      <c r="E3955" s="19" t="s">
        <v>325</v>
      </c>
      <c r="F3955" s="19" t="s">
        <v>1422</v>
      </c>
      <c r="G3955" s="19" t="s">
        <v>1813</v>
      </c>
      <c r="H3955" s="19" t="s">
        <v>404</v>
      </c>
      <c r="I3955" s="19" t="s">
        <v>966</v>
      </c>
      <c r="J3955" s="19">
        <v>0</v>
      </c>
      <c r="K3955" s="19" t="s">
        <v>553</v>
      </c>
      <c r="L3955" s="19">
        <v>2024</v>
      </c>
      <c r="M3955" s="20">
        <v>1</v>
      </c>
      <c r="N3955" s="19" t="s">
        <v>1798</v>
      </c>
      <c r="O3955" s="20">
        <v>3</v>
      </c>
      <c r="P3955" s="20">
        <v>3</v>
      </c>
      <c r="Q3955" s="20">
        <v>203.88792074726373</v>
      </c>
      <c r="R3955" s="21">
        <v>1</v>
      </c>
      <c r="S3955" s="20">
        <v>203.88792074726373</v>
      </c>
    </row>
    <row r="3956" spans="2:19" ht="15" customHeight="1" x14ac:dyDescent="0.25">
      <c r="B3956" s="2" t="str">
        <f t="shared" si="122"/>
        <v>PGL_Income Eligible_Multi-Family_Whole Building - Prescriptive_Pipe Insulation_Steam Med Valve_MF</v>
      </c>
      <c r="C3956" s="2" t="str">
        <f t="shared" si="123"/>
        <v>PGL_Income Eligible_Multi-Family_Whole Building - Prescriptive_Pipe Insulation_Steam Med Valve_MF_2025</v>
      </c>
      <c r="D3956" s="19" t="s">
        <v>1794</v>
      </c>
      <c r="E3956" s="19" t="s">
        <v>325</v>
      </c>
      <c r="F3956" s="19" t="s">
        <v>1422</v>
      </c>
      <c r="G3956" s="19" t="s">
        <v>1813</v>
      </c>
      <c r="H3956" s="19" t="s">
        <v>404</v>
      </c>
      <c r="I3956" s="19" t="s">
        <v>966</v>
      </c>
      <c r="J3956" s="19">
        <v>0</v>
      </c>
      <c r="K3956" s="19" t="s">
        <v>553</v>
      </c>
      <c r="L3956" s="19">
        <v>2025</v>
      </c>
      <c r="M3956" s="20">
        <v>1</v>
      </c>
      <c r="N3956" s="19" t="s">
        <v>1798</v>
      </c>
      <c r="O3956" s="20">
        <v>3</v>
      </c>
      <c r="P3956" s="20">
        <v>3</v>
      </c>
      <c r="Q3956" s="20">
        <v>203.88792074726373</v>
      </c>
      <c r="R3956" s="21">
        <v>1</v>
      </c>
      <c r="S3956" s="20">
        <v>203.88792074726373</v>
      </c>
    </row>
    <row r="3957" spans="2:19" ht="15" customHeight="1" x14ac:dyDescent="0.25">
      <c r="B3957" s="2" t="str">
        <f t="shared" si="122"/>
        <v>PGL_Income Eligible_Multi-Family_Whole Building - Prescriptive_Pipe Insulation_Steam Large Valve_MF</v>
      </c>
      <c r="C3957" s="2" t="str">
        <f t="shared" si="123"/>
        <v>PGL_Income Eligible_Multi-Family_Whole Building - Prescriptive_Pipe Insulation_Steam Large Valve_MF_2022</v>
      </c>
      <c r="D3957" s="19" t="s">
        <v>1794</v>
      </c>
      <c r="E3957" s="19" t="s">
        <v>325</v>
      </c>
      <c r="F3957" s="19" t="s">
        <v>1422</v>
      </c>
      <c r="G3957" s="19" t="s">
        <v>1813</v>
      </c>
      <c r="H3957" s="19" t="s">
        <v>404</v>
      </c>
      <c r="I3957" s="19" t="s">
        <v>967</v>
      </c>
      <c r="J3957" s="19">
        <v>0</v>
      </c>
      <c r="K3957" s="19" t="s">
        <v>553</v>
      </c>
      <c r="L3957" s="19">
        <v>2022</v>
      </c>
      <c r="M3957" s="20">
        <v>1</v>
      </c>
      <c r="N3957" s="19" t="s">
        <v>1798</v>
      </c>
      <c r="O3957" s="20">
        <v>0</v>
      </c>
      <c r="P3957" s="20">
        <v>0</v>
      </c>
      <c r="Q3957" s="20">
        <v>0</v>
      </c>
      <c r="R3957" s="21">
        <v>1</v>
      </c>
      <c r="S3957" s="20">
        <v>0</v>
      </c>
    </row>
    <row r="3958" spans="2:19" ht="15" customHeight="1" x14ac:dyDescent="0.25">
      <c r="B3958" s="2" t="str">
        <f t="shared" si="122"/>
        <v>PGL_Income Eligible_Multi-Family_Whole Building - Prescriptive_Pipe Insulation_Steam Large Valve_MF</v>
      </c>
      <c r="C3958" s="2" t="str">
        <f t="shared" si="123"/>
        <v>PGL_Income Eligible_Multi-Family_Whole Building - Prescriptive_Pipe Insulation_Steam Large Valve_MF_2023</v>
      </c>
      <c r="D3958" s="19" t="s">
        <v>1794</v>
      </c>
      <c r="E3958" s="19" t="s">
        <v>325</v>
      </c>
      <c r="F3958" s="19" t="s">
        <v>1422</v>
      </c>
      <c r="G3958" s="19" t="s">
        <v>1813</v>
      </c>
      <c r="H3958" s="19" t="s">
        <v>404</v>
      </c>
      <c r="I3958" s="19" t="s">
        <v>967</v>
      </c>
      <c r="J3958" s="19">
        <v>0</v>
      </c>
      <c r="K3958" s="19" t="s">
        <v>553</v>
      </c>
      <c r="L3958" s="19">
        <v>2023</v>
      </c>
      <c r="M3958" s="20">
        <v>1</v>
      </c>
      <c r="N3958" s="19" t="s">
        <v>1798</v>
      </c>
      <c r="O3958" s="20">
        <v>0</v>
      </c>
      <c r="P3958" s="20">
        <v>0</v>
      </c>
      <c r="Q3958" s="20">
        <v>0</v>
      </c>
      <c r="R3958" s="21">
        <v>1</v>
      </c>
      <c r="S3958" s="20">
        <v>0</v>
      </c>
    </row>
    <row r="3959" spans="2:19" ht="15" customHeight="1" x14ac:dyDescent="0.25">
      <c r="B3959" s="2" t="str">
        <f t="shared" si="122"/>
        <v>PGL_Income Eligible_Multi-Family_Whole Building - Prescriptive_Pipe Insulation_Steam Large Valve_MF</v>
      </c>
      <c r="C3959" s="2" t="str">
        <f t="shared" si="123"/>
        <v>PGL_Income Eligible_Multi-Family_Whole Building - Prescriptive_Pipe Insulation_Steam Large Valve_MF_2024</v>
      </c>
      <c r="D3959" s="19" t="s">
        <v>1794</v>
      </c>
      <c r="E3959" s="19" t="s">
        <v>325</v>
      </c>
      <c r="F3959" s="19" t="s">
        <v>1422</v>
      </c>
      <c r="G3959" s="19" t="s">
        <v>1813</v>
      </c>
      <c r="H3959" s="19" t="s">
        <v>404</v>
      </c>
      <c r="I3959" s="19" t="s">
        <v>967</v>
      </c>
      <c r="J3959" s="19">
        <v>0</v>
      </c>
      <c r="K3959" s="19" t="s">
        <v>553</v>
      </c>
      <c r="L3959" s="19">
        <v>2024</v>
      </c>
      <c r="M3959" s="20">
        <v>1</v>
      </c>
      <c r="N3959" s="19" t="s">
        <v>1798</v>
      </c>
      <c r="O3959" s="20">
        <v>0</v>
      </c>
      <c r="P3959" s="20">
        <v>0</v>
      </c>
      <c r="Q3959" s="20">
        <v>0</v>
      </c>
      <c r="R3959" s="21">
        <v>1</v>
      </c>
      <c r="S3959" s="20">
        <v>0</v>
      </c>
    </row>
    <row r="3960" spans="2:19" ht="15" customHeight="1" x14ac:dyDescent="0.25">
      <c r="B3960" s="2" t="str">
        <f t="shared" si="122"/>
        <v>PGL_Income Eligible_Multi-Family_Whole Building - Prescriptive_Pipe Insulation_Steam Large Valve_MF</v>
      </c>
      <c r="C3960" s="2" t="str">
        <f t="shared" si="123"/>
        <v>PGL_Income Eligible_Multi-Family_Whole Building - Prescriptive_Pipe Insulation_Steam Large Valve_MF_2025</v>
      </c>
      <c r="D3960" s="19" t="s">
        <v>1794</v>
      </c>
      <c r="E3960" s="19" t="s">
        <v>325</v>
      </c>
      <c r="F3960" s="19" t="s">
        <v>1422</v>
      </c>
      <c r="G3960" s="19" t="s">
        <v>1813</v>
      </c>
      <c r="H3960" s="19" t="s">
        <v>404</v>
      </c>
      <c r="I3960" s="19" t="s">
        <v>967</v>
      </c>
      <c r="J3960" s="19">
        <v>0</v>
      </c>
      <c r="K3960" s="19" t="s">
        <v>553</v>
      </c>
      <c r="L3960" s="19">
        <v>2025</v>
      </c>
      <c r="M3960" s="20">
        <v>1</v>
      </c>
      <c r="N3960" s="19" t="s">
        <v>1798</v>
      </c>
      <c r="O3960" s="20">
        <v>0</v>
      </c>
      <c r="P3960" s="20">
        <v>0</v>
      </c>
      <c r="Q3960" s="20">
        <v>0</v>
      </c>
      <c r="R3960" s="21">
        <v>1</v>
      </c>
      <c r="S3960" s="20">
        <v>0</v>
      </c>
    </row>
    <row r="3961" spans="2:19" ht="15" customHeight="1" x14ac:dyDescent="0.25">
      <c r="B3961" s="2" t="str">
        <f t="shared" si="122"/>
        <v>PGL_Income Eligible_Multi-Family_Whole Building - Prescriptive_Pipe Insulation_Steam X-Large Valve_MF</v>
      </c>
      <c r="C3961" s="2" t="str">
        <f t="shared" si="123"/>
        <v>PGL_Income Eligible_Multi-Family_Whole Building - Prescriptive_Pipe Insulation_Steam X-Large Valve_MF_2022</v>
      </c>
      <c r="D3961" s="19" t="s">
        <v>1794</v>
      </c>
      <c r="E3961" s="19" t="s">
        <v>325</v>
      </c>
      <c r="F3961" s="19" t="s">
        <v>1422</v>
      </c>
      <c r="G3961" s="19" t="s">
        <v>1813</v>
      </c>
      <c r="H3961" s="19" t="s">
        <v>404</v>
      </c>
      <c r="I3961" s="19" t="s">
        <v>968</v>
      </c>
      <c r="J3961" s="19">
        <v>0</v>
      </c>
      <c r="K3961" s="19" t="s">
        <v>553</v>
      </c>
      <c r="L3961" s="19">
        <v>2022</v>
      </c>
      <c r="M3961" s="20">
        <v>1</v>
      </c>
      <c r="N3961" s="19" t="s">
        <v>1798</v>
      </c>
      <c r="O3961" s="20">
        <v>0</v>
      </c>
      <c r="P3961" s="20">
        <v>0</v>
      </c>
      <c r="Q3961" s="20">
        <v>0</v>
      </c>
      <c r="R3961" s="21">
        <v>1</v>
      </c>
      <c r="S3961" s="20">
        <v>0</v>
      </c>
    </row>
    <row r="3962" spans="2:19" ht="15" customHeight="1" x14ac:dyDescent="0.25">
      <c r="B3962" s="2" t="str">
        <f t="shared" si="122"/>
        <v>PGL_Income Eligible_Multi-Family_Whole Building - Prescriptive_Pipe Insulation_Steam X-Large Valve_MF</v>
      </c>
      <c r="C3962" s="2" t="str">
        <f t="shared" si="123"/>
        <v>PGL_Income Eligible_Multi-Family_Whole Building - Prescriptive_Pipe Insulation_Steam X-Large Valve_MF_2023</v>
      </c>
      <c r="D3962" s="19" t="s">
        <v>1794</v>
      </c>
      <c r="E3962" s="19" t="s">
        <v>325</v>
      </c>
      <c r="F3962" s="19" t="s">
        <v>1422</v>
      </c>
      <c r="G3962" s="19" t="s">
        <v>1813</v>
      </c>
      <c r="H3962" s="19" t="s">
        <v>404</v>
      </c>
      <c r="I3962" s="19" t="s">
        <v>968</v>
      </c>
      <c r="J3962" s="19">
        <v>0</v>
      </c>
      <c r="K3962" s="19" t="s">
        <v>553</v>
      </c>
      <c r="L3962" s="19">
        <v>2023</v>
      </c>
      <c r="M3962" s="20">
        <v>1</v>
      </c>
      <c r="N3962" s="19" t="s">
        <v>1798</v>
      </c>
      <c r="O3962" s="20">
        <v>0</v>
      </c>
      <c r="P3962" s="20">
        <v>0</v>
      </c>
      <c r="Q3962" s="20">
        <v>0</v>
      </c>
      <c r="R3962" s="21">
        <v>1</v>
      </c>
      <c r="S3962" s="20">
        <v>0</v>
      </c>
    </row>
    <row r="3963" spans="2:19" ht="15" customHeight="1" x14ac:dyDescent="0.25">
      <c r="B3963" s="2" t="str">
        <f t="shared" si="122"/>
        <v>PGL_Income Eligible_Multi-Family_Whole Building - Prescriptive_Pipe Insulation_Steam X-Large Valve_MF</v>
      </c>
      <c r="C3963" s="2" t="str">
        <f t="shared" si="123"/>
        <v>PGL_Income Eligible_Multi-Family_Whole Building - Prescriptive_Pipe Insulation_Steam X-Large Valve_MF_2024</v>
      </c>
      <c r="D3963" s="19" t="s">
        <v>1794</v>
      </c>
      <c r="E3963" s="19" t="s">
        <v>325</v>
      </c>
      <c r="F3963" s="19" t="s">
        <v>1422</v>
      </c>
      <c r="G3963" s="19" t="s">
        <v>1813</v>
      </c>
      <c r="H3963" s="19" t="s">
        <v>404</v>
      </c>
      <c r="I3963" s="19" t="s">
        <v>968</v>
      </c>
      <c r="J3963" s="19">
        <v>0</v>
      </c>
      <c r="K3963" s="19" t="s">
        <v>553</v>
      </c>
      <c r="L3963" s="19">
        <v>2024</v>
      </c>
      <c r="M3963" s="20">
        <v>1</v>
      </c>
      <c r="N3963" s="19" t="s">
        <v>1798</v>
      </c>
      <c r="O3963" s="20">
        <v>0</v>
      </c>
      <c r="P3963" s="20">
        <v>0</v>
      </c>
      <c r="Q3963" s="20">
        <v>0</v>
      </c>
      <c r="R3963" s="21">
        <v>1</v>
      </c>
      <c r="S3963" s="20">
        <v>0</v>
      </c>
    </row>
    <row r="3964" spans="2:19" ht="15" customHeight="1" x14ac:dyDescent="0.25">
      <c r="B3964" s="2" t="str">
        <f t="shared" si="122"/>
        <v>PGL_Income Eligible_Multi-Family_Whole Building - Prescriptive_Pipe Insulation_Steam X-Large Valve_MF</v>
      </c>
      <c r="C3964" s="2" t="str">
        <f t="shared" si="123"/>
        <v>PGL_Income Eligible_Multi-Family_Whole Building - Prescriptive_Pipe Insulation_Steam X-Large Valve_MF_2025</v>
      </c>
      <c r="D3964" s="19" t="s">
        <v>1794</v>
      </c>
      <c r="E3964" s="19" t="s">
        <v>325</v>
      </c>
      <c r="F3964" s="19" t="s">
        <v>1422</v>
      </c>
      <c r="G3964" s="19" t="s">
        <v>1813</v>
      </c>
      <c r="H3964" s="19" t="s">
        <v>404</v>
      </c>
      <c r="I3964" s="19" t="s">
        <v>968</v>
      </c>
      <c r="J3964" s="19">
        <v>0</v>
      </c>
      <c r="K3964" s="19" t="s">
        <v>553</v>
      </c>
      <c r="L3964" s="19">
        <v>2025</v>
      </c>
      <c r="M3964" s="20">
        <v>1</v>
      </c>
      <c r="N3964" s="19" t="s">
        <v>1798</v>
      </c>
      <c r="O3964" s="20">
        <v>0</v>
      </c>
      <c r="P3964" s="20">
        <v>0</v>
      </c>
      <c r="Q3964" s="20">
        <v>0</v>
      </c>
      <c r="R3964" s="21">
        <v>1</v>
      </c>
      <c r="S3964" s="20">
        <v>0</v>
      </c>
    </row>
    <row r="3965" spans="2:19" ht="15" customHeight="1" x14ac:dyDescent="0.25">
      <c r="B3965" s="2" t="str">
        <f t="shared" si="122"/>
        <v>PGL_Income Eligible_Multi-Family_Whole Building - Prescriptive_Steam Boiler_&gt;=300MBH, &lt;1,500, &gt;=81% AFUE_MF</v>
      </c>
      <c r="C3965" s="2" t="str">
        <f t="shared" si="123"/>
        <v>PGL_Income Eligible_Multi-Family_Whole Building - Prescriptive_Steam Boiler_&gt;=300MBH, &lt;1,500, &gt;=81% AFUE_MF_2022</v>
      </c>
      <c r="D3965" s="19" t="s">
        <v>1794</v>
      </c>
      <c r="E3965" s="19" t="s">
        <v>325</v>
      </c>
      <c r="F3965" s="19" t="s">
        <v>1422</v>
      </c>
      <c r="G3965" s="19" t="s">
        <v>1813</v>
      </c>
      <c r="H3965" s="19" t="s">
        <v>938</v>
      </c>
      <c r="I3965" s="19" t="s">
        <v>1300</v>
      </c>
      <c r="J3965" s="19" t="s">
        <v>942</v>
      </c>
      <c r="K3965" s="19" t="s">
        <v>553</v>
      </c>
      <c r="L3965" s="19">
        <v>2022</v>
      </c>
      <c r="M3965" s="20">
        <v>450</v>
      </c>
      <c r="N3965" s="19" t="s">
        <v>667</v>
      </c>
      <c r="O3965" s="20">
        <v>45</v>
      </c>
      <c r="P3965" s="20">
        <v>20250</v>
      </c>
      <c r="Q3965" s="20">
        <v>12936.634615384626</v>
      </c>
      <c r="R3965" s="21">
        <v>1</v>
      </c>
      <c r="S3965" s="20">
        <v>12936.634615384626</v>
      </c>
    </row>
    <row r="3966" spans="2:19" ht="15" customHeight="1" x14ac:dyDescent="0.25">
      <c r="B3966" s="2" t="str">
        <f t="shared" si="122"/>
        <v>PGL_Income Eligible_Multi-Family_Whole Building - Prescriptive_Steam Boiler_&gt;=300MBH, &lt;1,500, &gt;=81% AFUE_MF</v>
      </c>
      <c r="C3966" s="2" t="str">
        <f t="shared" si="123"/>
        <v>PGL_Income Eligible_Multi-Family_Whole Building - Prescriptive_Steam Boiler_&gt;=300MBH, &lt;1,500, &gt;=81% AFUE_MF_2023</v>
      </c>
      <c r="D3966" s="19" t="s">
        <v>1794</v>
      </c>
      <c r="E3966" s="19" t="s">
        <v>325</v>
      </c>
      <c r="F3966" s="19" t="s">
        <v>1422</v>
      </c>
      <c r="G3966" s="19" t="s">
        <v>1813</v>
      </c>
      <c r="H3966" s="19" t="s">
        <v>938</v>
      </c>
      <c r="I3966" s="19" t="s">
        <v>1300</v>
      </c>
      <c r="J3966" s="19" t="s">
        <v>942</v>
      </c>
      <c r="K3966" s="19" t="s">
        <v>553</v>
      </c>
      <c r="L3966" s="19">
        <v>2023</v>
      </c>
      <c r="M3966" s="20">
        <v>450</v>
      </c>
      <c r="N3966" s="19" t="s">
        <v>667</v>
      </c>
      <c r="O3966" s="20">
        <v>58</v>
      </c>
      <c r="P3966" s="20">
        <v>26100</v>
      </c>
      <c r="Q3966" s="20">
        <v>16673.884615384628</v>
      </c>
      <c r="R3966" s="21">
        <v>1</v>
      </c>
      <c r="S3966" s="20">
        <v>16673.884615384628</v>
      </c>
    </row>
    <row r="3967" spans="2:19" ht="15" customHeight="1" x14ac:dyDescent="0.25">
      <c r="B3967" s="2" t="str">
        <f t="shared" si="122"/>
        <v>PGL_Income Eligible_Multi-Family_Whole Building - Prescriptive_Steam Boiler_&gt;=300MBH, &lt;1,500, &gt;=81% AFUE_MF</v>
      </c>
      <c r="C3967" s="2" t="str">
        <f t="shared" si="123"/>
        <v>PGL_Income Eligible_Multi-Family_Whole Building - Prescriptive_Steam Boiler_&gt;=300MBH, &lt;1,500, &gt;=81% AFUE_MF_2024</v>
      </c>
      <c r="D3967" s="19" t="s">
        <v>1794</v>
      </c>
      <c r="E3967" s="19" t="s">
        <v>325</v>
      </c>
      <c r="F3967" s="19" t="s">
        <v>1422</v>
      </c>
      <c r="G3967" s="19" t="s">
        <v>1813</v>
      </c>
      <c r="H3967" s="19" t="s">
        <v>938</v>
      </c>
      <c r="I3967" s="19" t="s">
        <v>1300</v>
      </c>
      <c r="J3967" s="19" t="s">
        <v>942</v>
      </c>
      <c r="K3967" s="19" t="s">
        <v>553</v>
      </c>
      <c r="L3967" s="19">
        <v>2024</v>
      </c>
      <c r="M3967" s="20">
        <v>450</v>
      </c>
      <c r="N3967" s="19" t="s">
        <v>667</v>
      </c>
      <c r="O3967" s="20">
        <v>70</v>
      </c>
      <c r="P3967" s="20">
        <v>31500</v>
      </c>
      <c r="Q3967" s="20">
        <v>20123.653846153862</v>
      </c>
      <c r="R3967" s="21">
        <v>1</v>
      </c>
      <c r="S3967" s="20">
        <v>20123.653846153862</v>
      </c>
    </row>
    <row r="3968" spans="2:19" ht="15" customHeight="1" x14ac:dyDescent="0.25">
      <c r="B3968" s="2" t="str">
        <f t="shared" si="122"/>
        <v>PGL_Income Eligible_Multi-Family_Whole Building - Prescriptive_Steam Boiler_&gt;=300MBH, &lt;1,500, &gt;=81% AFUE_MF</v>
      </c>
      <c r="C3968" s="2" t="str">
        <f t="shared" si="123"/>
        <v>PGL_Income Eligible_Multi-Family_Whole Building - Prescriptive_Steam Boiler_&gt;=300MBH, &lt;1,500, &gt;=81% AFUE_MF_2025</v>
      </c>
      <c r="D3968" s="19" t="s">
        <v>1794</v>
      </c>
      <c r="E3968" s="19" t="s">
        <v>325</v>
      </c>
      <c r="F3968" s="19" t="s">
        <v>1422</v>
      </c>
      <c r="G3968" s="19" t="s">
        <v>1813</v>
      </c>
      <c r="H3968" s="19" t="s">
        <v>938</v>
      </c>
      <c r="I3968" s="19" t="s">
        <v>1300</v>
      </c>
      <c r="J3968" s="19" t="s">
        <v>942</v>
      </c>
      <c r="K3968" s="19" t="s">
        <v>553</v>
      </c>
      <c r="L3968" s="19">
        <v>2025</v>
      </c>
      <c r="M3968" s="20">
        <v>450</v>
      </c>
      <c r="N3968" s="19" t="s">
        <v>667</v>
      </c>
      <c r="O3968" s="20">
        <v>83</v>
      </c>
      <c r="P3968" s="20">
        <v>37350</v>
      </c>
      <c r="Q3968" s="20">
        <v>23860.903846153866</v>
      </c>
      <c r="R3968" s="21">
        <v>1</v>
      </c>
      <c r="S3968" s="20">
        <v>23860.903846153866</v>
      </c>
    </row>
    <row r="3969" spans="2:19" ht="15" customHeight="1" x14ac:dyDescent="0.25">
      <c r="B3969" s="2" t="str">
        <f t="shared" si="122"/>
        <v>PGL_Income Eligible_Multi-Family_Whole Building - Prescriptive_Steam Boiler_ &gt;=1500MBH, &gt;=82% TE_MF</v>
      </c>
      <c r="C3969" s="2" t="str">
        <f t="shared" si="123"/>
        <v>PGL_Income Eligible_Multi-Family_Whole Building - Prescriptive_Steam Boiler_ &gt;=1500MBH, &gt;=82% TE_MF_2022</v>
      </c>
      <c r="D3969" s="19" t="s">
        <v>1794</v>
      </c>
      <c r="E3969" s="19" t="s">
        <v>325</v>
      </c>
      <c r="F3969" s="19" t="s">
        <v>1422</v>
      </c>
      <c r="G3969" s="19" t="s">
        <v>1813</v>
      </c>
      <c r="H3969" s="19" t="s">
        <v>938</v>
      </c>
      <c r="I3969" s="19" t="s">
        <v>939</v>
      </c>
      <c r="J3969" s="19" t="s">
        <v>942</v>
      </c>
      <c r="K3969" s="19" t="s">
        <v>553</v>
      </c>
      <c r="L3969" s="19">
        <v>2022</v>
      </c>
      <c r="M3969" s="20">
        <v>1500</v>
      </c>
      <c r="N3969" s="19" t="s">
        <v>667</v>
      </c>
      <c r="O3969" s="20">
        <v>18</v>
      </c>
      <c r="P3969" s="20">
        <v>27000</v>
      </c>
      <c r="Q3969" s="20">
        <v>22998.461538461492</v>
      </c>
      <c r="R3969" s="21">
        <v>1</v>
      </c>
      <c r="S3969" s="20">
        <v>22998.461538461492</v>
      </c>
    </row>
    <row r="3970" spans="2:19" ht="15" customHeight="1" x14ac:dyDescent="0.25">
      <c r="B3970" s="2" t="str">
        <f t="shared" si="122"/>
        <v>PGL_Income Eligible_Multi-Family_Whole Building - Prescriptive_Steam Boiler_ &gt;=1500MBH, &gt;=82% TE_MF</v>
      </c>
      <c r="C3970" s="2" t="str">
        <f t="shared" si="123"/>
        <v>PGL_Income Eligible_Multi-Family_Whole Building - Prescriptive_Steam Boiler_ &gt;=1500MBH, &gt;=82% TE_MF_2023</v>
      </c>
      <c r="D3970" s="19" t="s">
        <v>1794</v>
      </c>
      <c r="E3970" s="19" t="s">
        <v>325</v>
      </c>
      <c r="F3970" s="19" t="s">
        <v>1422</v>
      </c>
      <c r="G3970" s="19" t="s">
        <v>1813</v>
      </c>
      <c r="H3970" s="19" t="s">
        <v>938</v>
      </c>
      <c r="I3970" s="19" t="s">
        <v>939</v>
      </c>
      <c r="J3970" s="19" t="s">
        <v>942</v>
      </c>
      <c r="K3970" s="19" t="s">
        <v>553</v>
      </c>
      <c r="L3970" s="19">
        <v>2023</v>
      </c>
      <c r="M3970" s="20">
        <v>1500</v>
      </c>
      <c r="N3970" s="19" t="s">
        <v>667</v>
      </c>
      <c r="O3970" s="20">
        <v>23</v>
      </c>
      <c r="P3970" s="20">
        <v>34500</v>
      </c>
      <c r="Q3970" s="20">
        <v>29386.923076923016</v>
      </c>
      <c r="R3970" s="21">
        <v>1</v>
      </c>
      <c r="S3970" s="20">
        <v>29386.923076923016</v>
      </c>
    </row>
    <row r="3971" spans="2:19" ht="15" customHeight="1" x14ac:dyDescent="0.25">
      <c r="B3971" s="2" t="str">
        <f t="shared" si="122"/>
        <v>PGL_Income Eligible_Multi-Family_Whole Building - Prescriptive_Steam Boiler_ &gt;=1500MBH, &gt;=82% TE_MF</v>
      </c>
      <c r="C3971" s="2" t="str">
        <f t="shared" si="123"/>
        <v>PGL_Income Eligible_Multi-Family_Whole Building - Prescriptive_Steam Boiler_ &gt;=1500MBH, &gt;=82% TE_MF_2024</v>
      </c>
      <c r="D3971" s="19" t="s">
        <v>1794</v>
      </c>
      <c r="E3971" s="19" t="s">
        <v>325</v>
      </c>
      <c r="F3971" s="19" t="s">
        <v>1422</v>
      </c>
      <c r="G3971" s="19" t="s">
        <v>1813</v>
      </c>
      <c r="H3971" s="19" t="s">
        <v>938</v>
      </c>
      <c r="I3971" s="19" t="s">
        <v>939</v>
      </c>
      <c r="J3971" s="19" t="s">
        <v>942</v>
      </c>
      <c r="K3971" s="19" t="s">
        <v>553</v>
      </c>
      <c r="L3971" s="19">
        <v>2024</v>
      </c>
      <c r="M3971" s="20">
        <v>1500</v>
      </c>
      <c r="N3971" s="19" t="s">
        <v>667</v>
      </c>
      <c r="O3971" s="20">
        <v>28</v>
      </c>
      <c r="P3971" s="20">
        <v>42000</v>
      </c>
      <c r="Q3971" s="20">
        <v>35775.384615384544</v>
      </c>
      <c r="R3971" s="21">
        <v>1</v>
      </c>
      <c r="S3971" s="20">
        <v>35775.384615384544</v>
      </c>
    </row>
    <row r="3972" spans="2:19" ht="15" customHeight="1" x14ac:dyDescent="0.25">
      <c r="B3972" s="2" t="str">
        <f t="shared" si="122"/>
        <v>PGL_Income Eligible_Multi-Family_Whole Building - Prescriptive_Steam Boiler_ &gt;=1500MBH, &gt;=82% TE_MF</v>
      </c>
      <c r="C3972" s="2" t="str">
        <f t="shared" si="123"/>
        <v>PGL_Income Eligible_Multi-Family_Whole Building - Prescriptive_Steam Boiler_ &gt;=1500MBH, &gt;=82% TE_MF_2025</v>
      </c>
      <c r="D3972" s="19" t="s">
        <v>1794</v>
      </c>
      <c r="E3972" s="19" t="s">
        <v>325</v>
      </c>
      <c r="F3972" s="19" t="s">
        <v>1422</v>
      </c>
      <c r="G3972" s="19" t="s">
        <v>1813</v>
      </c>
      <c r="H3972" s="19" t="s">
        <v>938</v>
      </c>
      <c r="I3972" s="19" t="s">
        <v>939</v>
      </c>
      <c r="J3972" s="19" t="s">
        <v>942</v>
      </c>
      <c r="K3972" s="19" t="s">
        <v>553</v>
      </c>
      <c r="L3972" s="19">
        <v>2025</v>
      </c>
      <c r="M3972" s="20">
        <v>1500</v>
      </c>
      <c r="N3972" s="19" t="s">
        <v>667</v>
      </c>
      <c r="O3972" s="20">
        <v>33</v>
      </c>
      <c r="P3972" s="20">
        <v>49500</v>
      </c>
      <c r="Q3972" s="20">
        <v>42163.846153846069</v>
      </c>
      <c r="R3972" s="21">
        <v>1</v>
      </c>
      <c r="S3972" s="20">
        <v>42163.846153846069</v>
      </c>
    </row>
    <row r="3973" spans="2:19" ht="15" customHeight="1" x14ac:dyDescent="0.25">
      <c r="B3973" s="2" t="str">
        <f t="shared" si="122"/>
        <v>PGL_Income Eligible_Multi-Family_Whole Building - Prescriptive_Steam Boiler Averaging Controls_0_MF</v>
      </c>
      <c r="C3973" s="2" t="str">
        <f t="shared" si="123"/>
        <v>PGL_Income Eligible_Multi-Family_Whole Building - Prescriptive_Steam Boiler Averaging Controls_0_MF_2022</v>
      </c>
      <c r="D3973" s="19" t="s">
        <v>1794</v>
      </c>
      <c r="E3973" s="19" t="s">
        <v>325</v>
      </c>
      <c r="F3973" s="19" t="s">
        <v>1422</v>
      </c>
      <c r="G3973" s="19" t="s">
        <v>1813</v>
      </c>
      <c r="H3973" s="19" t="s">
        <v>934</v>
      </c>
      <c r="I3973" s="19">
        <v>0</v>
      </c>
      <c r="J3973" s="19" t="s">
        <v>937</v>
      </c>
      <c r="K3973" s="19" t="s">
        <v>553</v>
      </c>
      <c r="L3973" s="19">
        <v>2022</v>
      </c>
      <c r="M3973" s="20">
        <v>1</v>
      </c>
      <c r="N3973" s="19" t="s">
        <v>1804</v>
      </c>
      <c r="O3973" s="20">
        <v>180</v>
      </c>
      <c r="P3973" s="20">
        <v>180</v>
      </c>
      <c r="Q3973" s="20">
        <v>14949</v>
      </c>
      <c r="R3973" s="21">
        <v>1</v>
      </c>
      <c r="S3973" s="20">
        <v>14949</v>
      </c>
    </row>
    <row r="3974" spans="2:19" ht="15" customHeight="1" x14ac:dyDescent="0.25">
      <c r="B3974" s="2" t="str">
        <f t="shared" ref="B3974:B4037" si="124">D3974&amp;"_"&amp;E3974&amp;"_"&amp;F3974&amp;"_"&amp;G3974&amp;"_"&amp;H3974&amp;"_"&amp;I3974&amp;"_"&amp;K3974</f>
        <v>PGL_Income Eligible_Multi-Family_Whole Building - Prescriptive_Steam Boiler Averaging Controls_0_MF</v>
      </c>
      <c r="C3974" s="2" t="str">
        <f t="shared" ref="C3974:C4037" si="125">D3974&amp;"_"&amp;E3974&amp;"_"&amp;F3974&amp;"_"&amp;G3974&amp;"_"&amp;H3974&amp;"_"&amp;I3974&amp;"_"&amp;K3974&amp;"_"&amp;L3974</f>
        <v>PGL_Income Eligible_Multi-Family_Whole Building - Prescriptive_Steam Boiler Averaging Controls_0_MF_2023</v>
      </c>
      <c r="D3974" s="19" t="s">
        <v>1794</v>
      </c>
      <c r="E3974" s="19" t="s">
        <v>325</v>
      </c>
      <c r="F3974" s="19" t="s">
        <v>1422</v>
      </c>
      <c r="G3974" s="19" t="s">
        <v>1813</v>
      </c>
      <c r="H3974" s="19" t="s">
        <v>934</v>
      </c>
      <c r="I3974" s="19">
        <v>0</v>
      </c>
      <c r="J3974" s="19" t="s">
        <v>937</v>
      </c>
      <c r="K3974" s="19" t="s">
        <v>553</v>
      </c>
      <c r="L3974" s="19">
        <v>2023</v>
      </c>
      <c r="M3974" s="20">
        <v>1</v>
      </c>
      <c r="N3974" s="19" t="s">
        <v>1804</v>
      </c>
      <c r="O3974" s="20">
        <v>230</v>
      </c>
      <c r="P3974" s="20">
        <v>230</v>
      </c>
      <c r="Q3974" s="20">
        <v>19101.5</v>
      </c>
      <c r="R3974" s="21">
        <v>1</v>
      </c>
      <c r="S3974" s="20">
        <v>19101.5</v>
      </c>
    </row>
    <row r="3975" spans="2:19" ht="15" customHeight="1" x14ac:dyDescent="0.25">
      <c r="B3975" s="2" t="str">
        <f t="shared" si="124"/>
        <v>PGL_Income Eligible_Multi-Family_Whole Building - Prescriptive_Steam Boiler Averaging Controls_0_MF</v>
      </c>
      <c r="C3975" s="2" t="str">
        <f t="shared" si="125"/>
        <v>PGL_Income Eligible_Multi-Family_Whole Building - Prescriptive_Steam Boiler Averaging Controls_0_MF_2024</v>
      </c>
      <c r="D3975" s="19" t="s">
        <v>1794</v>
      </c>
      <c r="E3975" s="19" t="s">
        <v>325</v>
      </c>
      <c r="F3975" s="19" t="s">
        <v>1422</v>
      </c>
      <c r="G3975" s="19" t="s">
        <v>1813</v>
      </c>
      <c r="H3975" s="19" t="s">
        <v>934</v>
      </c>
      <c r="I3975" s="19">
        <v>0</v>
      </c>
      <c r="J3975" s="19" t="s">
        <v>937</v>
      </c>
      <c r="K3975" s="19" t="s">
        <v>553</v>
      </c>
      <c r="L3975" s="19">
        <v>2024</v>
      </c>
      <c r="M3975" s="20">
        <v>1</v>
      </c>
      <c r="N3975" s="19" t="s">
        <v>1804</v>
      </c>
      <c r="O3975" s="20">
        <v>280</v>
      </c>
      <c r="P3975" s="20">
        <v>280</v>
      </c>
      <c r="Q3975" s="20">
        <v>23254</v>
      </c>
      <c r="R3975" s="21">
        <v>1</v>
      </c>
      <c r="S3975" s="20">
        <v>23254</v>
      </c>
    </row>
    <row r="3976" spans="2:19" ht="15" customHeight="1" x14ac:dyDescent="0.25">
      <c r="B3976" s="2" t="str">
        <f t="shared" si="124"/>
        <v>PGL_Income Eligible_Multi-Family_Whole Building - Prescriptive_Steam Boiler Averaging Controls_0_MF</v>
      </c>
      <c r="C3976" s="2" t="str">
        <f t="shared" si="125"/>
        <v>PGL_Income Eligible_Multi-Family_Whole Building - Prescriptive_Steam Boiler Averaging Controls_0_MF_2025</v>
      </c>
      <c r="D3976" s="19" t="s">
        <v>1794</v>
      </c>
      <c r="E3976" s="19" t="s">
        <v>325</v>
      </c>
      <c r="F3976" s="19" t="s">
        <v>1422</v>
      </c>
      <c r="G3976" s="19" t="s">
        <v>1813</v>
      </c>
      <c r="H3976" s="19" t="s">
        <v>934</v>
      </c>
      <c r="I3976" s="19">
        <v>0</v>
      </c>
      <c r="J3976" s="19" t="s">
        <v>937</v>
      </c>
      <c r="K3976" s="19" t="s">
        <v>553</v>
      </c>
      <c r="L3976" s="19">
        <v>2025</v>
      </c>
      <c r="M3976" s="20">
        <v>1</v>
      </c>
      <c r="N3976" s="19" t="s">
        <v>1804</v>
      </c>
      <c r="O3976" s="20">
        <v>330</v>
      </c>
      <c r="P3976" s="20">
        <v>330</v>
      </c>
      <c r="Q3976" s="20">
        <v>27406.5</v>
      </c>
      <c r="R3976" s="21">
        <v>1</v>
      </c>
      <c r="S3976" s="20">
        <v>27406.5</v>
      </c>
    </row>
    <row r="3977" spans="2:19" ht="15" customHeight="1" x14ac:dyDescent="0.25">
      <c r="B3977" s="2" t="str">
        <f t="shared" si="124"/>
        <v>PGL_Income Eligible_Multi-Family_Whole Building - Prescriptive_Steam Traps_HVAC Repair/Rep - Audit_MF</v>
      </c>
      <c r="C3977" s="2" t="str">
        <f t="shared" si="125"/>
        <v>PGL_Income Eligible_Multi-Family_Whole Building - Prescriptive_Steam Traps_HVAC Repair/Rep - Audit_MF_2022</v>
      </c>
      <c r="D3977" s="19" t="s">
        <v>1794</v>
      </c>
      <c r="E3977" s="19" t="s">
        <v>325</v>
      </c>
      <c r="F3977" s="19" t="s">
        <v>1422</v>
      </c>
      <c r="G3977" s="19" t="s">
        <v>1813</v>
      </c>
      <c r="H3977" s="19" t="s">
        <v>644</v>
      </c>
      <c r="I3977" s="19" t="s">
        <v>645</v>
      </c>
      <c r="J3977" s="19" t="s">
        <v>37</v>
      </c>
      <c r="K3977" s="19" t="s">
        <v>553</v>
      </c>
      <c r="L3977" s="19">
        <v>2022</v>
      </c>
      <c r="M3977" s="20">
        <v>1</v>
      </c>
      <c r="N3977" s="19" t="s">
        <v>1798</v>
      </c>
      <c r="O3977" s="20">
        <v>180</v>
      </c>
      <c r="P3977" s="20">
        <v>180</v>
      </c>
      <c r="Q3977" s="20">
        <v>28478.2220426809</v>
      </c>
      <c r="R3977" s="21">
        <v>1</v>
      </c>
      <c r="S3977" s="20">
        <v>28478.2220426809</v>
      </c>
    </row>
    <row r="3978" spans="2:19" ht="15" customHeight="1" x14ac:dyDescent="0.25">
      <c r="B3978" s="2" t="str">
        <f t="shared" si="124"/>
        <v>PGL_Income Eligible_Multi-Family_Whole Building - Prescriptive_Steam Traps_HVAC Repair/Rep - Audit_MF</v>
      </c>
      <c r="C3978" s="2" t="str">
        <f t="shared" si="125"/>
        <v>PGL_Income Eligible_Multi-Family_Whole Building - Prescriptive_Steam Traps_HVAC Repair/Rep - Audit_MF_2023</v>
      </c>
      <c r="D3978" s="19" t="s">
        <v>1794</v>
      </c>
      <c r="E3978" s="19" t="s">
        <v>325</v>
      </c>
      <c r="F3978" s="19" t="s">
        <v>1422</v>
      </c>
      <c r="G3978" s="19" t="s">
        <v>1813</v>
      </c>
      <c r="H3978" s="19" t="s">
        <v>644</v>
      </c>
      <c r="I3978" s="19" t="s">
        <v>645</v>
      </c>
      <c r="J3978" s="19" t="s">
        <v>37</v>
      </c>
      <c r="K3978" s="19" t="s">
        <v>553</v>
      </c>
      <c r="L3978" s="19">
        <v>2023</v>
      </c>
      <c r="M3978" s="20">
        <v>1</v>
      </c>
      <c r="N3978" s="19" t="s">
        <v>1798</v>
      </c>
      <c r="O3978" s="20">
        <v>230</v>
      </c>
      <c r="P3978" s="20">
        <v>230</v>
      </c>
      <c r="Q3978" s="20">
        <v>36388.839276758925</v>
      </c>
      <c r="R3978" s="21">
        <v>1</v>
      </c>
      <c r="S3978" s="20">
        <v>36388.839276758925</v>
      </c>
    </row>
    <row r="3979" spans="2:19" ht="15" customHeight="1" x14ac:dyDescent="0.25">
      <c r="B3979" s="2" t="str">
        <f t="shared" si="124"/>
        <v>PGL_Income Eligible_Multi-Family_Whole Building - Prescriptive_Steam Traps_HVAC Repair/Rep - Audit_MF</v>
      </c>
      <c r="C3979" s="2" t="str">
        <f t="shared" si="125"/>
        <v>PGL_Income Eligible_Multi-Family_Whole Building - Prescriptive_Steam Traps_HVAC Repair/Rep - Audit_MF_2024</v>
      </c>
      <c r="D3979" s="19" t="s">
        <v>1794</v>
      </c>
      <c r="E3979" s="19" t="s">
        <v>325</v>
      </c>
      <c r="F3979" s="19" t="s">
        <v>1422</v>
      </c>
      <c r="G3979" s="19" t="s">
        <v>1813</v>
      </c>
      <c r="H3979" s="19" t="s">
        <v>644</v>
      </c>
      <c r="I3979" s="19" t="s">
        <v>645</v>
      </c>
      <c r="J3979" s="19" t="s">
        <v>37</v>
      </c>
      <c r="K3979" s="19" t="s">
        <v>553</v>
      </c>
      <c r="L3979" s="19">
        <v>2024</v>
      </c>
      <c r="M3979" s="20">
        <v>1</v>
      </c>
      <c r="N3979" s="19" t="s">
        <v>1798</v>
      </c>
      <c r="O3979" s="20">
        <v>280</v>
      </c>
      <c r="P3979" s="20">
        <v>280</v>
      </c>
      <c r="Q3979" s="20">
        <v>44299.456510836957</v>
      </c>
      <c r="R3979" s="21">
        <v>1</v>
      </c>
      <c r="S3979" s="20">
        <v>44299.456510836957</v>
      </c>
    </row>
    <row r="3980" spans="2:19" ht="15" customHeight="1" x14ac:dyDescent="0.25">
      <c r="B3980" s="2" t="str">
        <f t="shared" si="124"/>
        <v>PGL_Income Eligible_Multi-Family_Whole Building - Prescriptive_Steam Traps_HVAC Repair/Rep - Audit_MF</v>
      </c>
      <c r="C3980" s="2" t="str">
        <f t="shared" si="125"/>
        <v>PGL_Income Eligible_Multi-Family_Whole Building - Prescriptive_Steam Traps_HVAC Repair/Rep - Audit_MF_2025</v>
      </c>
      <c r="D3980" s="19" t="s">
        <v>1794</v>
      </c>
      <c r="E3980" s="19" t="s">
        <v>325</v>
      </c>
      <c r="F3980" s="19" t="s">
        <v>1422</v>
      </c>
      <c r="G3980" s="19" t="s">
        <v>1813</v>
      </c>
      <c r="H3980" s="19" t="s">
        <v>644</v>
      </c>
      <c r="I3980" s="19" t="s">
        <v>645</v>
      </c>
      <c r="J3980" s="19" t="s">
        <v>37</v>
      </c>
      <c r="K3980" s="19" t="s">
        <v>553</v>
      </c>
      <c r="L3980" s="19">
        <v>2025</v>
      </c>
      <c r="M3980" s="20">
        <v>1</v>
      </c>
      <c r="N3980" s="19" t="s">
        <v>1798</v>
      </c>
      <c r="O3980" s="20">
        <v>330</v>
      </c>
      <c r="P3980" s="20">
        <v>330</v>
      </c>
      <c r="Q3980" s="20">
        <v>52210.073744914982</v>
      </c>
      <c r="R3980" s="21">
        <v>1</v>
      </c>
      <c r="S3980" s="20">
        <v>52210.073744914982</v>
      </c>
    </row>
    <row r="3981" spans="2:19" ht="15" customHeight="1" x14ac:dyDescent="0.25">
      <c r="B3981" s="2" t="str">
        <f t="shared" si="124"/>
        <v>PGL_Income Eligible_Multi-Family_Whole Building - Prescriptive_Steam Traps_HVAC Repair/Rep - No Audit_MF</v>
      </c>
      <c r="C3981" s="2" t="str">
        <f t="shared" si="125"/>
        <v>PGL_Income Eligible_Multi-Family_Whole Building - Prescriptive_Steam Traps_HVAC Repair/Rep - No Audit_MF_2022</v>
      </c>
      <c r="D3981" s="19" t="s">
        <v>1794</v>
      </c>
      <c r="E3981" s="19" t="s">
        <v>325</v>
      </c>
      <c r="F3981" s="19" t="s">
        <v>1422</v>
      </c>
      <c r="G3981" s="19" t="s">
        <v>1813</v>
      </c>
      <c r="H3981" s="19" t="s">
        <v>644</v>
      </c>
      <c r="I3981" s="19" t="s">
        <v>660</v>
      </c>
      <c r="J3981" s="19" t="s">
        <v>37</v>
      </c>
      <c r="K3981" s="19" t="s">
        <v>553</v>
      </c>
      <c r="L3981" s="19">
        <v>2022</v>
      </c>
      <c r="M3981" s="20">
        <v>1</v>
      </c>
      <c r="N3981" s="19" t="s">
        <v>1798</v>
      </c>
      <c r="O3981" s="20">
        <v>270</v>
      </c>
      <c r="P3981" s="20">
        <v>270</v>
      </c>
      <c r="Q3981" s="20">
        <v>11533.679927285766</v>
      </c>
      <c r="R3981" s="21">
        <v>1</v>
      </c>
      <c r="S3981" s="20">
        <v>11533.679927285766</v>
      </c>
    </row>
    <row r="3982" spans="2:19" ht="15" customHeight="1" x14ac:dyDescent="0.25">
      <c r="B3982" s="2" t="str">
        <f t="shared" si="124"/>
        <v>PGL_Income Eligible_Multi-Family_Whole Building - Prescriptive_Steam Traps_HVAC Repair/Rep - No Audit_MF</v>
      </c>
      <c r="C3982" s="2" t="str">
        <f t="shared" si="125"/>
        <v>PGL_Income Eligible_Multi-Family_Whole Building - Prescriptive_Steam Traps_HVAC Repair/Rep - No Audit_MF_2023</v>
      </c>
      <c r="D3982" s="19" t="s">
        <v>1794</v>
      </c>
      <c r="E3982" s="19" t="s">
        <v>325</v>
      </c>
      <c r="F3982" s="19" t="s">
        <v>1422</v>
      </c>
      <c r="G3982" s="19" t="s">
        <v>1813</v>
      </c>
      <c r="H3982" s="19" t="s">
        <v>644</v>
      </c>
      <c r="I3982" s="19" t="s">
        <v>660</v>
      </c>
      <c r="J3982" s="19" t="s">
        <v>37</v>
      </c>
      <c r="K3982" s="19" t="s">
        <v>553</v>
      </c>
      <c r="L3982" s="19">
        <v>2023</v>
      </c>
      <c r="M3982" s="20">
        <v>1</v>
      </c>
      <c r="N3982" s="19" t="s">
        <v>1798</v>
      </c>
      <c r="O3982" s="20">
        <v>345</v>
      </c>
      <c r="P3982" s="20">
        <v>345</v>
      </c>
      <c r="Q3982" s="20">
        <v>14737.479907087367</v>
      </c>
      <c r="R3982" s="21">
        <v>1</v>
      </c>
      <c r="S3982" s="20">
        <v>14737.479907087367</v>
      </c>
    </row>
    <row r="3983" spans="2:19" ht="15" customHeight="1" x14ac:dyDescent="0.25">
      <c r="B3983" s="2" t="str">
        <f t="shared" si="124"/>
        <v>PGL_Income Eligible_Multi-Family_Whole Building - Prescriptive_Steam Traps_HVAC Repair/Rep - No Audit_MF</v>
      </c>
      <c r="C3983" s="2" t="str">
        <f t="shared" si="125"/>
        <v>PGL_Income Eligible_Multi-Family_Whole Building - Prescriptive_Steam Traps_HVAC Repair/Rep - No Audit_MF_2024</v>
      </c>
      <c r="D3983" s="19" t="s">
        <v>1794</v>
      </c>
      <c r="E3983" s="19" t="s">
        <v>325</v>
      </c>
      <c r="F3983" s="19" t="s">
        <v>1422</v>
      </c>
      <c r="G3983" s="19" t="s">
        <v>1813</v>
      </c>
      <c r="H3983" s="19" t="s">
        <v>644</v>
      </c>
      <c r="I3983" s="19" t="s">
        <v>660</v>
      </c>
      <c r="J3983" s="19" t="s">
        <v>37</v>
      </c>
      <c r="K3983" s="19" t="s">
        <v>553</v>
      </c>
      <c r="L3983" s="19">
        <v>2024</v>
      </c>
      <c r="M3983" s="20">
        <v>1</v>
      </c>
      <c r="N3983" s="19" t="s">
        <v>1798</v>
      </c>
      <c r="O3983" s="20">
        <v>420</v>
      </c>
      <c r="P3983" s="20">
        <v>420</v>
      </c>
      <c r="Q3983" s="20">
        <v>17941.279886888969</v>
      </c>
      <c r="R3983" s="21">
        <v>1</v>
      </c>
      <c r="S3983" s="20">
        <v>17941.279886888969</v>
      </c>
    </row>
    <row r="3984" spans="2:19" ht="15" customHeight="1" x14ac:dyDescent="0.25">
      <c r="B3984" s="2" t="str">
        <f t="shared" si="124"/>
        <v>PGL_Income Eligible_Multi-Family_Whole Building - Prescriptive_Steam Traps_HVAC Repair/Rep - No Audit_MF</v>
      </c>
      <c r="C3984" s="2" t="str">
        <f t="shared" si="125"/>
        <v>PGL_Income Eligible_Multi-Family_Whole Building - Prescriptive_Steam Traps_HVAC Repair/Rep - No Audit_MF_2025</v>
      </c>
      <c r="D3984" s="19" t="s">
        <v>1794</v>
      </c>
      <c r="E3984" s="19" t="s">
        <v>325</v>
      </c>
      <c r="F3984" s="19" t="s">
        <v>1422</v>
      </c>
      <c r="G3984" s="19" t="s">
        <v>1813</v>
      </c>
      <c r="H3984" s="19" t="s">
        <v>644</v>
      </c>
      <c r="I3984" s="19" t="s">
        <v>660</v>
      </c>
      <c r="J3984" s="19" t="s">
        <v>37</v>
      </c>
      <c r="K3984" s="19" t="s">
        <v>553</v>
      </c>
      <c r="L3984" s="19">
        <v>2025</v>
      </c>
      <c r="M3984" s="20">
        <v>1</v>
      </c>
      <c r="N3984" s="19" t="s">
        <v>1798</v>
      </c>
      <c r="O3984" s="20">
        <v>495</v>
      </c>
      <c r="P3984" s="20">
        <v>495</v>
      </c>
      <c r="Q3984" s="20">
        <v>21145.079866690568</v>
      </c>
      <c r="R3984" s="21">
        <v>1</v>
      </c>
      <c r="S3984" s="20">
        <v>21145.079866690568</v>
      </c>
    </row>
    <row r="3985" spans="2:19" ht="15" customHeight="1" x14ac:dyDescent="0.25">
      <c r="B3985" s="2" t="str">
        <f t="shared" si="124"/>
        <v>PGL_Income Eligible_Multi-Family_Whole Building - Prescriptive_Steam Traps_Test_MF</v>
      </c>
      <c r="C3985" s="2" t="str">
        <f t="shared" si="125"/>
        <v>PGL_Income Eligible_Multi-Family_Whole Building - Prescriptive_Steam Traps_Test_MF_2022</v>
      </c>
      <c r="D3985" s="19" t="s">
        <v>1794</v>
      </c>
      <c r="E3985" s="19" t="s">
        <v>325</v>
      </c>
      <c r="F3985" s="19" t="s">
        <v>1422</v>
      </c>
      <c r="G3985" s="19" t="s">
        <v>1813</v>
      </c>
      <c r="H3985" s="19" t="s">
        <v>644</v>
      </c>
      <c r="I3985" s="19" t="s">
        <v>1097</v>
      </c>
      <c r="J3985" s="19">
        <v>0</v>
      </c>
      <c r="K3985" s="19" t="s">
        <v>553</v>
      </c>
      <c r="L3985" s="19">
        <v>2022</v>
      </c>
      <c r="M3985" s="20">
        <v>1</v>
      </c>
      <c r="N3985" s="19" t="s">
        <v>1798</v>
      </c>
      <c r="O3985" s="20">
        <v>0</v>
      </c>
      <c r="P3985" s="20">
        <v>0</v>
      </c>
      <c r="Q3985" s="20">
        <v>0</v>
      </c>
      <c r="R3985" s="21">
        <v>1</v>
      </c>
      <c r="S3985" s="20">
        <v>0</v>
      </c>
    </row>
    <row r="3986" spans="2:19" ht="15" customHeight="1" x14ac:dyDescent="0.25">
      <c r="B3986" s="2" t="str">
        <f t="shared" si="124"/>
        <v>PGL_Income Eligible_Multi-Family_Whole Building - Prescriptive_Steam Traps_Test_MF</v>
      </c>
      <c r="C3986" s="2" t="str">
        <f t="shared" si="125"/>
        <v>PGL_Income Eligible_Multi-Family_Whole Building - Prescriptive_Steam Traps_Test_MF_2023</v>
      </c>
      <c r="D3986" s="19" t="s">
        <v>1794</v>
      </c>
      <c r="E3986" s="19" t="s">
        <v>325</v>
      </c>
      <c r="F3986" s="19" t="s">
        <v>1422</v>
      </c>
      <c r="G3986" s="19" t="s">
        <v>1813</v>
      </c>
      <c r="H3986" s="19" t="s">
        <v>644</v>
      </c>
      <c r="I3986" s="19" t="s">
        <v>1097</v>
      </c>
      <c r="J3986" s="19">
        <v>0</v>
      </c>
      <c r="K3986" s="19" t="s">
        <v>553</v>
      </c>
      <c r="L3986" s="19">
        <v>2023</v>
      </c>
      <c r="M3986" s="20">
        <v>1</v>
      </c>
      <c r="N3986" s="19" t="s">
        <v>1798</v>
      </c>
      <c r="O3986" s="20">
        <v>0</v>
      </c>
      <c r="P3986" s="20">
        <v>0</v>
      </c>
      <c r="Q3986" s="20">
        <v>0</v>
      </c>
      <c r="R3986" s="21">
        <v>1</v>
      </c>
      <c r="S3986" s="20">
        <v>0</v>
      </c>
    </row>
    <row r="3987" spans="2:19" ht="15" customHeight="1" x14ac:dyDescent="0.25">
      <c r="B3987" s="2" t="str">
        <f t="shared" si="124"/>
        <v>PGL_Income Eligible_Multi-Family_Whole Building - Prescriptive_Steam Traps_Test_MF</v>
      </c>
      <c r="C3987" s="2" t="str">
        <f t="shared" si="125"/>
        <v>PGL_Income Eligible_Multi-Family_Whole Building - Prescriptive_Steam Traps_Test_MF_2024</v>
      </c>
      <c r="D3987" s="19" t="s">
        <v>1794</v>
      </c>
      <c r="E3987" s="19" t="s">
        <v>325</v>
      </c>
      <c r="F3987" s="19" t="s">
        <v>1422</v>
      </c>
      <c r="G3987" s="19" t="s">
        <v>1813</v>
      </c>
      <c r="H3987" s="19" t="s">
        <v>644</v>
      </c>
      <c r="I3987" s="19" t="s">
        <v>1097</v>
      </c>
      <c r="J3987" s="19">
        <v>0</v>
      </c>
      <c r="K3987" s="19" t="s">
        <v>553</v>
      </c>
      <c r="L3987" s="19">
        <v>2024</v>
      </c>
      <c r="M3987" s="20">
        <v>1</v>
      </c>
      <c r="N3987" s="19" t="s">
        <v>1798</v>
      </c>
      <c r="O3987" s="20">
        <v>0</v>
      </c>
      <c r="P3987" s="20">
        <v>0</v>
      </c>
      <c r="Q3987" s="20">
        <v>0</v>
      </c>
      <c r="R3987" s="21">
        <v>1</v>
      </c>
      <c r="S3987" s="20">
        <v>0</v>
      </c>
    </row>
    <row r="3988" spans="2:19" ht="15" customHeight="1" x14ac:dyDescent="0.25">
      <c r="B3988" s="2" t="str">
        <f t="shared" si="124"/>
        <v>PGL_Income Eligible_Multi-Family_Whole Building - Prescriptive_Steam Traps_Test_MF</v>
      </c>
      <c r="C3988" s="2" t="str">
        <f t="shared" si="125"/>
        <v>PGL_Income Eligible_Multi-Family_Whole Building - Prescriptive_Steam Traps_Test_MF_2025</v>
      </c>
      <c r="D3988" s="19" t="s">
        <v>1794</v>
      </c>
      <c r="E3988" s="19" t="s">
        <v>325</v>
      </c>
      <c r="F3988" s="19" t="s">
        <v>1422</v>
      </c>
      <c r="G3988" s="19" t="s">
        <v>1813</v>
      </c>
      <c r="H3988" s="19" t="s">
        <v>644</v>
      </c>
      <c r="I3988" s="19" t="s">
        <v>1097</v>
      </c>
      <c r="J3988" s="19">
        <v>0</v>
      </c>
      <c r="K3988" s="19" t="s">
        <v>553</v>
      </c>
      <c r="L3988" s="19">
        <v>2025</v>
      </c>
      <c r="M3988" s="20">
        <v>1</v>
      </c>
      <c r="N3988" s="19" t="s">
        <v>1798</v>
      </c>
      <c r="O3988" s="20">
        <v>0</v>
      </c>
      <c r="P3988" s="20">
        <v>0</v>
      </c>
      <c r="Q3988" s="20">
        <v>0</v>
      </c>
      <c r="R3988" s="21">
        <v>1</v>
      </c>
      <c r="S3988" s="20">
        <v>0</v>
      </c>
    </row>
    <row r="3989" spans="2:19" ht="15" customHeight="1" x14ac:dyDescent="0.25">
      <c r="B3989" s="2" t="str">
        <f t="shared" si="124"/>
        <v>PGL_Income Eligible_Multi-Family_Whole Building - Prescriptive_On Demand DHW Circulation System_0_MF</v>
      </c>
      <c r="C3989" s="2" t="str">
        <f t="shared" si="125"/>
        <v>PGL_Income Eligible_Multi-Family_Whole Building - Prescriptive_On Demand DHW Circulation System_0_MF_2022</v>
      </c>
      <c r="D3989" s="19" t="s">
        <v>1794</v>
      </c>
      <c r="E3989" s="19" t="s">
        <v>325</v>
      </c>
      <c r="F3989" s="19" t="s">
        <v>1422</v>
      </c>
      <c r="G3989" s="19" t="s">
        <v>1813</v>
      </c>
      <c r="H3989" s="19" t="s">
        <v>1075</v>
      </c>
      <c r="I3989" s="19">
        <v>0</v>
      </c>
      <c r="J3989" s="19" t="s">
        <v>26</v>
      </c>
      <c r="K3989" s="19" t="s">
        <v>553</v>
      </c>
      <c r="L3989" s="19">
        <v>2022</v>
      </c>
      <c r="M3989" s="20">
        <v>1</v>
      </c>
      <c r="N3989" s="19" t="s">
        <v>1804</v>
      </c>
      <c r="O3989" s="20">
        <v>0</v>
      </c>
      <c r="P3989" s="20">
        <v>0</v>
      </c>
      <c r="Q3989" s="20">
        <v>0</v>
      </c>
      <c r="R3989" s="21">
        <v>1</v>
      </c>
      <c r="S3989" s="20">
        <v>0</v>
      </c>
    </row>
    <row r="3990" spans="2:19" ht="15" customHeight="1" x14ac:dyDescent="0.25">
      <c r="B3990" s="2" t="str">
        <f t="shared" si="124"/>
        <v>PGL_Income Eligible_Multi-Family_Whole Building - Prescriptive_On Demand DHW Circulation System_0_MF</v>
      </c>
      <c r="C3990" s="2" t="str">
        <f t="shared" si="125"/>
        <v>PGL_Income Eligible_Multi-Family_Whole Building - Prescriptive_On Demand DHW Circulation System_0_MF_2023</v>
      </c>
      <c r="D3990" s="19" t="s">
        <v>1794</v>
      </c>
      <c r="E3990" s="19" t="s">
        <v>325</v>
      </c>
      <c r="F3990" s="19" t="s">
        <v>1422</v>
      </c>
      <c r="G3990" s="19" t="s">
        <v>1813</v>
      </c>
      <c r="H3990" s="19" t="s">
        <v>1075</v>
      </c>
      <c r="I3990" s="19">
        <v>0</v>
      </c>
      <c r="J3990" s="19" t="s">
        <v>26</v>
      </c>
      <c r="K3990" s="19" t="s">
        <v>553</v>
      </c>
      <c r="L3990" s="19">
        <v>2023</v>
      </c>
      <c r="M3990" s="20">
        <v>1</v>
      </c>
      <c r="N3990" s="19" t="s">
        <v>1804</v>
      </c>
      <c r="O3990" s="20">
        <v>0</v>
      </c>
      <c r="P3990" s="20">
        <v>0</v>
      </c>
      <c r="Q3990" s="20">
        <v>0</v>
      </c>
      <c r="R3990" s="21">
        <v>1</v>
      </c>
      <c r="S3990" s="20">
        <v>0</v>
      </c>
    </row>
    <row r="3991" spans="2:19" ht="15" customHeight="1" x14ac:dyDescent="0.25">
      <c r="B3991" s="2" t="str">
        <f t="shared" si="124"/>
        <v>PGL_Income Eligible_Multi-Family_Whole Building - Prescriptive_On Demand DHW Circulation System_0_MF</v>
      </c>
      <c r="C3991" s="2" t="str">
        <f t="shared" si="125"/>
        <v>PGL_Income Eligible_Multi-Family_Whole Building - Prescriptive_On Demand DHW Circulation System_0_MF_2024</v>
      </c>
      <c r="D3991" s="19" t="s">
        <v>1794</v>
      </c>
      <c r="E3991" s="19" t="s">
        <v>325</v>
      </c>
      <c r="F3991" s="19" t="s">
        <v>1422</v>
      </c>
      <c r="G3991" s="19" t="s">
        <v>1813</v>
      </c>
      <c r="H3991" s="19" t="s">
        <v>1075</v>
      </c>
      <c r="I3991" s="19">
        <v>0</v>
      </c>
      <c r="J3991" s="19" t="s">
        <v>26</v>
      </c>
      <c r="K3991" s="19" t="s">
        <v>553</v>
      </c>
      <c r="L3991" s="19">
        <v>2024</v>
      </c>
      <c r="M3991" s="20">
        <v>1</v>
      </c>
      <c r="N3991" s="19" t="s">
        <v>1804</v>
      </c>
      <c r="O3991" s="20">
        <v>0</v>
      </c>
      <c r="P3991" s="20">
        <v>0</v>
      </c>
      <c r="Q3991" s="20">
        <v>0</v>
      </c>
      <c r="R3991" s="21">
        <v>1</v>
      </c>
      <c r="S3991" s="20">
        <v>0</v>
      </c>
    </row>
    <row r="3992" spans="2:19" ht="15" customHeight="1" x14ac:dyDescent="0.25">
      <c r="B3992" s="2" t="str">
        <f t="shared" si="124"/>
        <v>PGL_Income Eligible_Multi-Family_Whole Building - Prescriptive_On Demand DHW Circulation System_0_MF</v>
      </c>
      <c r="C3992" s="2" t="str">
        <f t="shared" si="125"/>
        <v>PGL_Income Eligible_Multi-Family_Whole Building - Prescriptive_On Demand DHW Circulation System_0_MF_2025</v>
      </c>
      <c r="D3992" s="19" t="s">
        <v>1794</v>
      </c>
      <c r="E3992" s="19" t="s">
        <v>325</v>
      </c>
      <c r="F3992" s="19" t="s">
        <v>1422</v>
      </c>
      <c r="G3992" s="19" t="s">
        <v>1813</v>
      </c>
      <c r="H3992" s="19" t="s">
        <v>1075</v>
      </c>
      <c r="I3992" s="19">
        <v>0</v>
      </c>
      <c r="J3992" s="19" t="s">
        <v>26</v>
      </c>
      <c r="K3992" s="19" t="s">
        <v>553</v>
      </c>
      <c r="L3992" s="19">
        <v>2025</v>
      </c>
      <c r="M3992" s="20">
        <v>1</v>
      </c>
      <c r="N3992" s="19" t="s">
        <v>1804</v>
      </c>
      <c r="O3992" s="20">
        <v>0</v>
      </c>
      <c r="P3992" s="20">
        <v>0</v>
      </c>
      <c r="Q3992" s="20">
        <v>0</v>
      </c>
      <c r="R3992" s="21">
        <v>1</v>
      </c>
      <c r="S3992" s="20">
        <v>0</v>
      </c>
    </row>
    <row r="3993" spans="2:19" ht="15" customHeight="1" x14ac:dyDescent="0.25">
      <c r="B3993" s="2" t="str">
        <f t="shared" si="124"/>
        <v>PGL_Income Eligible_Multi-Family_Whole Building - Prescriptive_Water Heater_Central/Indirect MF ≥88% TE_MF</v>
      </c>
      <c r="C3993" s="2" t="str">
        <f t="shared" si="125"/>
        <v>PGL_Income Eligible_Multi-Family_Whole Building - Prescriptive_Water Heater_Central/Indirect MF ≥88% TE_MF_2022</v>
      </c>
      <c r="D3993" s="19" t="s">
        <v>1794</v>
      </c>
      <c r="E3993" s="19" t="s">
        <v>325</v>
      </c>
      <c r="F3993" s="19" t="s">
        <v>1422</v>
      </c>
      <c r="G3993" s="19" t="s">
        <v>1813</v>
      </c>
      <c r="H3993" s="19" t="s">
        <v>8</v>
      </c>
      <c r="I3993" s="19" t="s">
        <v>1066</v>
      </c>
      <c r="J3993" s="19" t="s">
        <v>30</v>
      </c>
      <c r="K3993" s="19" t="s">
        <v>553</v>
      </c>
      <c r="L3993" s="19">
        <v>2022</v>
      </c>
      <c r="M3993" s="20">
        <v>1</v>
      </c>
      <c r="N3993" s="19" t="s">
        <v>1816</v>
      </c>
      <c r="O3993" s="20">
        <v>0</v>
      </c>
      <c r="P3993" s="20">
        <v>0</v>
      </c>
      <c r="Q3993" s="20">
        <v>0</v>
      </c>
      <c r="R3993" s="21">
        <v>1</v>
      </c>
      <c r="S3993" s="20">
        <v>0</v>
      </c>
    </row>
    <row r="3994" spans="2:19" ht="15" customHeight="1" x14ac:dyDescent="0.25">
      <c r="B3994" s="2" t="str">
        <f t="shared" si="124"/>
        <v>PGL_Income Eligible_Multi-Family_Whole Building - Prescriptive_Water Heater_Central/Indirect MF ≥88% TE_MF</v>
      </c>
      <c r="C3994" s="2" t="str">
        <f t="shared" si="125"/>
        <v>PGL_Income Eligible_Multi-Family_Whole Building - Prescriptive_Water Heater_Central/Indirect MF ≥88% TE_MF_2023</v>
      </c>
      <c r="D3994" s="19" t="s">
        <v>1794</v>
      </c>
      <c r="E3994" s="19" t="s">
        <v>325</v>
      </c>
      <c r="F3994" s="19" t="s">
        <v>1422</v>
      </c>
      <c r="G3994" s="19" t="s">
        <v>1813</v>
      </c>
      <c r="H3994" s="19" t="s">
        <v>8</v>
      </c>
      <c r="I3994" s="19" t="s">
        <v>1066</v>
      </c>
      <c r="J3994" s="19" t="s">
        <v>30</v>
      </c>
      <c r="K3994" s="19" t="s">
        <v>553</v>
      </c>
      <c r="L3994" s="19">
        <v>2023</v>
      </c>
      <c r="M3994" s="20">
        <v>1</v>
      </c>
      <c r="N3994" s="19" t="s">
        <v>1816</v>
      </c>
      <c r="O3994" s="20">
        <v>0</v>
      </c>
      <c r="P3994" s="20">
        <v>0</v>
      </c>
      <c r="Q3994" s="20">
        <v>0</v>
      </c>
      <c r="R3994" s="21">
        <v>1</v>
      </c>
      <c r="S3994" s="20">
        <v>0</v>
      </c>
    </row>
    <row r="3995" spans="2:19" ht="15" customHeight="1" x14ac:dyDescent="0.25">
      <c r="B3995" s="2" t="str">
        <f t="shared" si="124"/>
        <v>PGL_Income Eligible_Multi-Family_Whole Building - Prescriptive_Water Heater_Central/Indirect MF ≥88% TE_MF</v>
      </c>
      <c r="C3995" s="2" t="str">
        <f t="shared" si="125"/>
        <v>PGL_Income Eligible_Multi-Family_Whole Building - Prescriptive_Water Heater_Central/Indirect MF ≥88% TE_MF_2024</v>
      </c>
      <c r="D3995" s="19" t="s">
        <v>1794</v>
      </c>
      <c r="E3995" s="19" t="s">
        <v>325</v>
      </c>
      <c r="F3995" s="19" t="s">
        <v>1422</v>
      </c>
      <c r="G3995" s="19" t="s">
        <v>1813</v>
      </c>
      <c r="H3995" s="19" t="s">
        <v>8</v>
      </c>
      <c r="I3995" s="19" t="s">
        <v>1066</v>
      </c>
      <c r="J3995" s="19" t="s">
        <v>30</v>
      </c>
      <c r="K3995" s="19" t="s">
        <v>553</v>
      </c>
      <c r="L3995" s="19">
        <v>2024</v>
      </c>
      <c r="M3995" s="20">
        <v>1</v>
      </c>
      <c r="N3995" s="19" t="s">
        <v>1816</v>
      </c>
      <c r="O3995" s="20">
        <v>0</v>
      </c>
      <c r="P3995" s="20">
        <v>0</v>
      </c>
      <c r="Q3995" s="20">
        <v>0</v>
      </c>
      <c r="R3995" s="21">
        <v>1</v>
      </c>
      <c r="S3995" s="20">
        <v>0</v>
      </c>
    </row>
    <row r="3996" spans="2:19" ht="15" customHeight="1" x14ac:dyDescent="0.25">
      <c r="B3996" s="2" t="str">
        <f t="shared" si="124"/>
        <v>PGL_Income Eligible_Multi-Family_Whole Building - Prescriptive_Water Heater_Central/Indirect MF ≥88% TE_MF</v>
      </c>
      <c r="C3996" s="2" t="str">
        <f t="shared" si="125"/>
        <v>PGL_Income Eligible_Multi-Family_Whole Building - Prescriptive_Water Heater_Central/Indirect MF ≥88% TE_MF_2025</v>
      </c>
      <c r="D3996" s="19" t="s">
        <v>1794</v>
      </c>
      <c r="E3996" s="19" t="s">
        <v>325</v>
      </c>
      <c r="F3996" s="19" t="s">
        <v>1422</v>
      </c>
      <c r="G3996" s="19" t="s">
        <v>1813</v>
      </c>
      <c r="H3996" s="19" t="s">
        <v>8</v>
      </c>
      <c r="I3996" s="19" t="s">
        <v>1066</v>
      </c>
      <c r="J3996" s="19" t="s">
        <v>30</v>
      </c>
      <c r="K3996" s="19" t="s">
        <v>553</v>
      </c>
      <c r="L3996" s="19">
        <v>2025</v>
      </c>
      <c r="M3996" s="20">
        <v>1</v>
      </c>
      <c r="N3996" s="19" t="s">
        <v>1816</v>
      </c>
      <c r="O3996" s="20">
        <v>0</v>
      </c>
      <c r="P3996" s="20">
        <v>0</v>
      </c>
      <c r="Q3996" s="20">
        <v>0</v>
      </c>
      <c r="R3996" s="21">
        <v>1</v>
      </c>
      <c r="S3996" s="20">
        <v>0</v>
      </c>
    </row>
    <row r="3997" spans="2:19" ht="15" customHeight="1" x14ac:dyDescent="0.25">
      <c r="B3997" s="2" t="str">
        <f t="shared" si="124"/>
        <v>PGL_Income Eligible_Multi-Family_Whole Building - Prescriptive_Water Heater_Storage 0.67 EF_MF</v>
      </c>
      <c r="C3997" s="2" t="str">
        <f t="shared" si="125"/>
        <v>PGL_Income Eligible_Multi-Family_Whole Building - Prescriptive_Water Heater_Storage 0.67 EF_MF_2022</v>
      </c>
      <c r="D3997" s="19" t="s">
        <v>1794</v>
      </c>
      <c r="E3997" s="19" t="s">
        <v>325</v>
      </c>
      <c r="F3997" s="19" t="s">
        <v>1422</v>
      </c>
      <c r="G3997" s="19" t="s">
        <v>1813</v>
      </c>
      <c r="H3997" s="19" t="s">
        <v>8</v>
      </c>
      <c r="I3997" s="19" t="s">
        <v>879</v>
      </c>
      <c r="J3997" s="19" t="s">
        <v>1263</v>
      </c>
      <c r="K3997" s="19" t="s">
        <v>553</v>
      </c>
      <c r="L3997" s="19">
        <v>2022</v>
      </c>
      <c r="M3997" s="20">
        <v>1</v>
      </c>
      <c r="N3997" s="19" t="s">
        <v>1798</v>
      </c>
      <c r="O3997" s="20">
        <v>0</v>
      </c>
      <c r="P3997" s="20">
        <v>0</v>
      </c>
      <c r="Q3997" s="20">
        <v>0</v>
      </c>
      <c r="R3997" s="21">
        <v>1</v>
      </c>
      <c r="S3997" s="20">
        <v>0</v>
      </c>
    </row>
    <row r="3998" spans="2:19" ht="15" customHeight="1" x14ac:dyDescent="0.25">
      <c r="B3998" s="2" t="str">
        <f t="shared" si="124"/>
        <v>PGL_Income Eligible_Multi-Family_Whole Building - Prescriptive_Water Heater_Storage 0.67 EF_MF</v>
      </c>
      <c r="C3998" s="2" t="str">
        <f t="shared" si="125"/>
        <v>PGL_Income Eligible_Multi-Family_Whole Building - Prescriptive_Water Heater_Storage 0.67 EF_MF_2023</v>
      </c>
      <c r="D3998" s="19" t="s">
        <v>1794</v>
      </c>
      <c r="E3998" s="19" t="s">
        <v>325</v>
      </c>
      <c r="F3998" s="19" t="s">
        <v>1422</v>
      </c>
      <c r="G3998" s="19" t="s">
        <v>1813</v>
      </c>
      <c r="H3998" s="19" t="s">
        <v>8</v>
      </c>
      <c r="I3998" s="19" t="s">
        <v>879</v>
      </c>
      <c r="J3998" s="19" t="s">
        <v>1263</v>
      </c>
      <c r="K3998" s="19" t="s">
        <v>553</v>
      </c>
      <c r="L3998" s="19">
        <v>2023</v>
      </c>
      <c r="M3998" s="20">
        <v>1</v>
      </c>
      <c r="N3998" s="19" t="s">
        <v>1798</v>
      </c>
      <c r="O3998" s="20">
        <v>0</v>
      </c>
      <c r="P3998" s="20">
        <v>0</v>
      </c>
      <c r="Q3998" s="20">
        <v>0</v>
      </c>
      <c r="R3998" s="21">
        <v>1</v>
      </c>
      <c r="S3998" s="20">
        <v>0</v>
      </c>
    </row>
    <row r="3999" spans="2:19" ht="15" customHeight="1" x14ac:dyDescent="0.25">
      <c r="B3999" s="2" t="str">
        <f t="shared" si="124"/>
        <v>PGL_Income Eligible_Multi-Family_Whole Building - Prescriptive_Water Heater_Storage 0.67 EF_MF</v>
      </c>
      <c r="C3999" s="2" t="str">
        <f t="shared" si="125"/>
        <v>PGL_Income Eligible_Multi-Family_Whole Building - Prescriptive_Water Heater_Storage 0.67 EF_MF_2024</v>
      </c>
      <c r="D3999" s="19" t="s">
        <v>1794</v>
      </c>
      <c r="E3999" s="19" t="s">
        <v>325</v>
      </c>
      <c r="F3999" s="19" t="s">
        <v>1422</v>
      </c>
      <c r="G3999" s="19" t="s">
        <v>1813</v>
      </c>
      <c r="H3999" s="19" t="s">
        <v>8</v>
      </c>
      <c r="I3999" s="19" t="s">
        <v>879</v>
      </c>
      <c r="J3999" s="19" t="s">
        <v>1263</v>
      </c>
      <c r="K3999" s="19" t="s">
        <v>553</v>
      </c>
      <c r="L3999" s="19">
        <v>2024</v>
      </c>
      <c r="M3999" s="20">
        <v>1</v>
      </c>
      <c r="N3999" s="19" t="s">
        <v>1798</v>
      </c>
      <c r="O3999" s="20">
        <v>0</v>
      </c>
      <c r="P3999" s="20">
        <v>0</v>
      </c>
      <c r="Q3999" s="20">
        <v>0</v>
      </c>
      <c r="R3999" s="21">
        <v>1</v>
      </c>
      <c r="S3999" s="20">
        <v>0</v>
      </c>
    </row>
    <row r="4000" spans="2:19" ht="15" customHeight="1" x14ac:dyDescent="0.25">
      <c r="B4000" s="2" t="str">
        <f t="shared" si="124"/>
        <v>PGL_Income Eligible_Multi-Family_Whole Building - Prescriptive_Water Heater_Storage 0.67 EF_MF</v>
      </c>
      <c r="C4000" s="2" t="str">
        <f t="shared" si="125"/>
        <v>PGL_Income Eligible_Multi-Family_Whole Building - Prescriptive_Water Heater_Storage 0.67 EF_MF_2025</v>
      </c>
      <c r="D4000" s="19" t="s">
        <v>1794</v>
      </c>
      <c r="E4000" s="19" t="s">
        <v>325</v>
      </c>
      <c r="F4000" s="19" t="s">
        <v>1422</v>
      </c>
      <c r="G4000" s="19" t="s">
        <v>1813</v>
      </c>
      <c r="H4000" s="19" t="s">
        <v>8</v>
      </c>
      <c r="I4000" s="19" t="s">
        <v>879</v>
      </c>
      <c r="J4000" s="19" t="s">
        <v>1263</v>
      </c>
      <c r="K4000" s="19" t="s">
        <v>553</v>
      </c>
      <c r="L4000" s="19">
        <v>2025</v>
      </c>
      <c r="M4000" s="20">
        <v>1</v>
      </c>
      <c r="N4000" s="19" t="s">
        <v>1798</v>
      </c>
      <c r="O4000" s="20">
        <v>0</v>
      </c>
      <c r="P4000" s="20">
        <v>0</v>
      </c>
      <c r="Q4000" s="20">
        <v>0</v>
      </c>
      <c r="R4000" s="21">
        <v>1</v>
      </c>
      <c r="S4000" s="20">
        <v>0</v>
      </c>
    </row>
    <row r="4001" spans="2:19" ht="15" customHeight="1" x14ac:dyDescent="0.25">
      <c r="B4001" s="2" t="str">
        <f t="shared" si="124"/>
        <v>PGL_Income Eligible_Multi-Family_Whole Building - Prescriptive_Water Heater_Tankless_MF</v>
      </c>
      <c r="C4001" s="2" t="str">
        <f t="shared" si="125"/>
        <v>PGL_Income Eligible_Multi-Family_Whole Building - Prescriptive_Water Heater_Tankless_MF_2022</v>
      </c>
      <c r="D4001" s="19" t="s">
        <v>1794</v>
      </c>
      <c r="E4001" s="19" t="s">
        <v>325</v>
      </c>
      <c r="F4001" s="19" t="s">
        <v>1422</v>
      </c>
      <c r="G4001" s="19" t="s">
        <v>1813</v>
      </c>
      <c r="H4001" s="19" t="s">
        <v>8</v>
      </c>
      <c r="I4001" s="19" t="s">
        <v>380</v>
      </c>
      <c r="J4001" s="19" t="s">
        <v>1469</v>
      </c>
      <c r="K4001" s="19" t="s">
        <v>553</v>
      </c>
      <c r="L4001" s="19">
        <v>2022</v>
      </c>
      <c r="M4001" s="20">
        <v>1</v>
      </c>
      <c r="N4001" s="19" t="s">
        <v>1798</v>
      </c>
      <c r="O4001" s="20">
        <v>0</v>
      </c>
      <c r="P4001" s="20">
        <v>0</v>
      </c>
      <c r="Q4001" s="20">
        <v>0</v>
      </c>
      <c r="R4001" s="21">
        <v>1</v>
      </c>
      <c r="S4001" s="20">
        <v>0</v>
      </c>
    </row>
    <row r="4002" spans="2:19" ht="15" customHeight="1" x14ac:dyDescent="0.25">
      <c r="B4002" s="2" t="str">
        <f t="shared" si="124"/>
        <v>PGL_Income Eligible_Multi-Family_Whole Building - Prescriptive_Water Heater_Tankless_MF</v>
      </c>
      <c r="C4002" s="2" t="str">
        <f t="shared" si="125"/>
        <v>PGL_Income Eligible_Multi-Family_Whole Building - Prescriptive_Water Heater_Tankless_MF_2023</v>
      </c>
      <c r="D4002" s="19" t="s">
        <v>1794</v>
      </c>
      <c r="E4002" s="19" t="s">
        <v>325</v>
      </c>
      <c r="F4002" s="19" t="s">
        <v>1422</v>
      </c>
      <c r="G4002" s="19" t="s">
        <v>1813</v>
      </c>
      <c r="H4002" s="19" t="s">
        <v>8</v>
      </c>
      <c r="I4002" s="19" t="s">
        <v>380</v>
      </c>
      <c r="J4002" s="19" t="s">
        <v>1469</v>
      </c>
      <c r="K4002" s="19" t="s">
        <v>553</v>
      </c>
      <c r="L4002" s="19">
        <v>2023</v>
      </c>
      <c r="M4002" s="20">
        <v>1</v>
      </c>
      <c r="N4002" s="19" t="s">
        <v>1798</v>
      </c>
      <c r="O4002" s="20">
        <v>0</v>
      </c>
      <c r="P4002" s="20">
        <v>0</v>
      </c>
      <c r="Q4002" s="20">
        <v>0</v>
      </c>
      <c r="R4002" s="21">
        <v>1</v>
      </c>
      <c r="S4002" s="20">
        <v>0</v>
      </c>
    </row>
    <row r="4003" spans="2:19" ht="15" customHeight="1" x14ac:dyDescent="0.25">
      <c r="B4003" s="2" t="str">
        <f t="shared" si="124"/>
        <v>PGL_Income Eligible_Multi-Family_Whole Building - Prescriptive_Water Heater_Tankless_MF</v>
      </c>
      <c r="C4003" s="2" t="str">
        <f t="shared" si="125"/>
        <v>PGL_Income Eligible_Multi-Family_Whole Building - Prescriptive_Water Heater_Tankless_MF_2024</v>
      </c>
      <c r="D4003" s="19" t="s">
        <v>1794</v>
      </c>
      <c r="E4003" s="19" t="s">
        <v>325</v>
      </c>
      <c r="F4003" s="19" t="s">
        <v>1422</v>
      </c>
      <c r="G4003" s="19" t="s">
        <v>1813</v>
      </c>
      <c r="H4003" s="19" t="s">
        <v>8</v>
      </c>
      <c r="I4003" s="19" t="s">
        <v>380</v>
      </c>
      <c r="J4003" s="19" t="s">
        <v>1469</v>
      </c>
      <c r="K4003" s="19" t="s">
        <v>553</v>
      </c>
      <c r="L4003" s="19">
        <v>2024</v>
      </c>
      <c r="M4003" s="20">
        <v>1</v>
      </c>
      <c r="N4003" s="19" t="s">
        <v>1798</v>
      </c>
      <c r="O4003" s="20">
        <v>0</v>
      </c>
      <c r="P4003" s="20">
        <v>0</v>
      </c>
      <c r="Q4003" s="20">
        <v>0</v>
      </c>
      <c r="R4003" s="21">
        <v>1</v>
      </c>
      <c r="S4003" s="20">
        <v>0</v>
      </c>
    </row>
    <row r="4004" spans="2:19" ht="15" customHeight="1" x14ac:dyDescent="0.25">
      <c r="B4004" s="2" t="str">
        <f t="shared" si="124"/>
        <v>PGL_Income Eligible_Multi-Family_Whole Building - Prescriptive_Water Heater_Tankless_MF</v>
      </c>
      <c r="C4004" s="2" t="str">
        <f t="shared" si="125"/>
        <v>PGL_Income Eligible_Multi-Family_Whole Building - Prescriptive_Water Heater_Tankless_MF_2025</v>
      </c>
      <c r="D4004" s="19" t="s">
        <v>1794</v>
      </c>
      <c r="E4004" s="19" t="s">
        <v>325</v>
      </c>
      <c r="F4004" s="19" t="s">
        <v>1422</v>
      </c>
      <c r="G4004" s="19" t="s">
        <v>1813</v>
      </c>
      <c r="H4004" s="19" t="s">
        <v>8</v>
      </c>
      <c r="I4004" s="19" t="s">
        <v>380</v>
      </c>
      <c r="J4004" s="19" t="s">
        <v>1469</v>
      </c>
      <c r="K4004" s="19" t="s">
        <v>553</v>
      </c>
      <c r="L4004" s="19">
        <v>2025</v>
      </c>
      <c r="M4004" s="20">
        <v>1</v>
      </c>
      <c r="N4004" s="19" t="s">
        <v>1798</v>
      </c>
      <c r="O4004" s="20">
        <v>0</v>
      </c>
      <c r="P4004" s="20">
        <v>0</v>
      </c>
      <c r="Q4004" s="20">
        <v>0</v>
      </c>
      <c r="R4004" s="21">
        <v>1</v>
      </c>
      <c r="S4004" s="20">
        <v>0</v>
      </c>
    </row>
    <row r="4005" spans="2:19" ht="15" customHeight="1" x14ac:dyDescent="0.25">
      <c r="B4005" s="2" t="str">
        <f t="shared" si="124"/>
        <v>PGL_Income Eligible_Multi-Family_Whole Building - Prescriptive_Energy Recovery Ventilator_0_CI</v>
      </c>
      <c r="C4005" s="2" t="str">
        <f t="shared" si="125"/>
        <v>PGL_Income Eligible_Multi-Family_Whole Building - Prescriptive_Energy Recovery Ventilator_0_CI_2022</v>
      </c>
      <c r="D4005" s="19" t="s">
        <v>1794</v>
      </c>
      <c r="E4005" s="19" t="s">
        <v>325</v>
      </c>
      <c r="F4005" s="19" t="s">
        <v>1422</v>
      </c>
      <c r="G4005" s="19" t="s">
        <v>1813</v>
      </c>
      <c r="H4005" s="19" t="s">
        <v>11</v>
      </c>
      <c r="I4005" s="19">
        <v>0</v>
      </c>
      <c r="J4005" s="19" t="s">
        <v>27</v>
      </c>
      <c r="K4005" s="19" t="s">
        <v>1159</v>
      </c>
      <c r="L4005" s="19">
        <v>2022</v>
      </c>
      <c r="M4005" s="20">
        <v>1</v>
      </c>
      <c r="N4005" s="19" t="s">
        <v>331</v>
      </c>
      <c r="O4005" s="20">
        <v>0</v>
      </c>
      <c r="P4005" s="20">
        <v>0</v>
      </c>
      <c r="Q4005" s="20">
        <v>0</v>
      </c>
      <c r="R4005" s="21">
        <v>1</v>
      </c>
      <c r="S4005" s="20">
        <v>0</v>
      </c>
    </row>
    <row r="4006" spans="2:19" ht="15" customHeight="1" x14ac:dyDescent="0.25">
      <c r="B4006" s="2" t="str">
        <f t="shared" si="124"/>
        <v>PGL_Income Eligible_Multi-Family_Whole Building - Prescriptive_Energy Recovery Ventilator_0_CI</v>
      </c>
      <c r="C4006" s="2" t="str">
        <f t="shared" si="125"/>
        <v>PGL_Income Eligible_Multi-Family_Whole Building - Prescriptive_Energy Recovery Ventilator_0_CI_2023</v>
      </c>
      <c r="D4006" s="19" t="s">
        <v>1794</v>
      </c>
      <c r="E4006" s="19" t="s">
        <v>325</v>
      </c>
      <c r="F4006" s="19" t="s">
        <v>1422</v>
      </c>
      <c r="G4006" s="19" t="s">
        <v>1813</v>
      </c>
      <c r="H4006" s="19" t="s">
        <v>11</v>
      </c>
      <c r="I4006" s="19">
        <v>0</v>
      </c>
      <c r="J4006" s="19" t="s">
        <v>27</v>
      </c>
      <c r="K4006" s="19" t="s">
        <v>1159</v>
      </c>
      <c r="L4006" s="19">
        <v>2023</v>
      </c>
      <c r="M4006" s="20">
        <v>1</v>
      </c>
      <c r="N4006" s="19" t="s">
        <v>331</v>
      </c>
      <c r="O4006" s="20">
        <v>0</v>
      </c>
      <c r="P4006" s="20">
        <v>0</v>
      </c>
      <c r="Q4006" s="20">
        <v>0</v>
      </c>
      <c r="R4006" s="21">
        <v>1</v>
      </c>
      <c r="S4006" s="20">
        <v>0</v>
      </c>
    </row>
    <row r="4007" spans="2:19" ht="15" customHeight="1" x14ac:dyDescent="0.25">
      <c r="B4007" s="2" t="str">
        <f t="shared" si="124"/>
        <v>PGL_Income Eligible_Multi-Family_Whole Building - Prescriptive_Energy Recovery Ventilator_0_CI</v>
      </c>
      <c r="C4007" s="2" t="str">
        <f t="shared" si="125"/>
        <v>PGL_Income Eligible_Multi-Family_Whole Building - Prescriptive_Energy Recovery Ventilator_0_CI_2024</v>
      </c>
      <c r="D4007" s="19" t="s">
        <v>1794</v>
      </c>
      <c r="E4007" s="19" t="s">
        <v>325</v>
      </c>
      <c r="F4007" s="19" t="s">
        <v>1422</v>
      </c>
      <c r="G4007" s="19" t="s">
        <v>1813</v>
      </c>
      <c r="H4007" s="19" t="s">
        <v>11</v>
      </c>
      <c r="I4007" s="19">
        <v>0</v>
      </c>
      <c r="J4007" s="19" t="s">
        <v>27</v>
      </c>
      <c r="K4007" s="19" t="s">
        <v>1159</v>
      </c>
      <c r="L4007" s="19">
        <v>2024</v>
      </c>
      <c r="M4007" s="20">
        <v>1</v>
      </c>
      <c r="N4007" s="19" t="s">
        <v>331</v>
      </c>
      <c r="O4007" s="20">
        <v>0</v>
      </c>
      <c r="P4007" s="20">
        <v>0</v>
      </c>
      <c r="Q4007" s="20">
        <v>0</v>
      </c>
      <c r="R4007" s="21">
        <v>1</v>
      </c>
      <c r="S4007" s="20">
        <v>0</v>
      </c>
    </row>
    <row r="4008" spans="2:19" ht="15" customHeight="1" x14ac:dyDescent="0.25">
      <c r="B4008" s="2" t="str">
        <f t="shared" si="124"/>
        <v>PGL_Income Eligible_Multi-Family_Whole Building - Prescriptive_Energy Recovery Ventilator_0_CI</v>
      </c>
      <c r="C4008" s="2" t="str">
        <f t="shared" si="125"/>
        <v>PGL_Income Eligible_Multi-Family_Whole Building - Prescriptive_Energy Recovery Ventilator_0_CI_2025</v>
      </c>
      <c r="D4008" s="19" t="s">
        <v>1794</v>
      </c>
      <c r="E4008" s="19" t="s">
        <v>325</v>
      </c>
      <c r="F4008" s="19" t="s">
        <v>1422</v>
      </c>
      <c r="G4008" s="19" t="s">
        <v>1813</v>
      </c>
      <c r="H4008" s="19" t="s">
        <v>11</v>
      </c>
      <c r="I4008" s="19">
        <v>0</v>
      </c>
      <c r="J4008" s="19" t="s">
        <v>27</v>
      </c>
      <c r="K4008" s="19" t="s">
        <v>1159</v>
      </c>
      <c r="L4008" s="19">
        <v>2025</v>
      </c>
      <c r="M4008" s="20">
        <v>1</v>
      </c>
      <c r="N4008" s="19" t="s">
        <v>331</v>
      </c>
      <c r="O4008" s="20">
        <v>0</v>
      </c>
      <c r="P4008" s="20">
        <v>0</v>
      </c>
      <c r="Q4008" s="20">
        <v>0</v>
      </c>
      <c r="R4008" s="21">
        <v>1</v>
      </c>
      <c r="S4008" s="20">
        <v>0</v>
      </c>
    </row>
    <row r="4009" spans="2:19" ht="15" customHeight="1" x14ac:dyDescent="0.25">
      <c r="B4009" s="2" t="str">
        <f t="shared" si="124"/>
        <v>PGL_Income Eligible_Multi-Family_MF IHWAP_Unit Visit_0_MF</v>
      </c>
      <c r="C4009" s="2" t="str">
        <f t="shared" si="125"/>
        <v>PGL_Income Eligible_Multi-Family_MF IHWAP_Unit Visit_0_MF_2022</v>
      </c>
      <c r="D4009" s="19" t="s">
        <v>1794</v>
      </c>
      <c r="E4009" s="19" t="s">
        <v>325</v>
      </c>
      <c r="F4009" s="19" t="s">
        <v>1422</v>
      </c>
      <c r="G4009" s="19" t="s">
        <v>1441</v>
      </c>
      <c r="H4009" s="19" t="s">
        <v>1090</v>
      </c>
      <c r="I4009" s="19">
        <v>0</v>
      </c>
      <c r="J4009" s="19">
        <v>0</v>
      </c>
      <c r="K4009" s="19" t="s">
        <v>553</v>
      </c>
      <c r="L4009" s="19">
        <v>2022</v>
      </c>
      <c r="M4009" s="20">
        <v>1</v>
      </c>
      <c r="N4009" s="19">
        <v>0</v>
      </c>
      <c r="O4009" s="20">
        <v>150</v>
      </c>
      <c r="P4009" s="20">
        <v>150</v>
      </c>
      <c r="Q4009" s="20">
        <v>0</v>
      </c>
      <c r="R4009" s="21">
        <v>1</v>
      </c>
      <c r="S4009" s="20">
        <v>0</v>
      </c>
    </row>
    <row r="4010" spans="2:19" ht="15" customHeight="1" x14ac:dyDescent="0.25">
      <c r="B4010" s="2" t="str">
        <f t="shared" si="124"/>
        <v>PGL_Income Eligible_Multi-Family_MF IHWAP_Unit Visit_0_MF</v>
      </c>
      <c r="C4010" s="2" t="str">
        <f t="shared" si="125"/>
        <v>PGL_Income Eligible_Multi-Family_MF IHWAP_Unit Visit_0_MF_2023</v>
      </c>
      <c r="D4010" s="19" t="s">
        <v>1794</v>
      </c>
      <c r="E4010" s="19" t="s">
        <v>325</v>
      </c>
      <c r="F4010" s="19" t="s">
        <v>1422</v>
      </c>
      <c r="G4010" s="19" t="s">
        <v>1441</v>
      </c>
      <c r="H4010" s="19" t="s">
        <v>1090</v>
      </c>
      <c r="I4010" s="19">
        <v>0</v>
      </c>
      <c r="J4010" s="19">
        <v>0</v>
      </c>
      <c r="K4010" s="19" t="s">
        <v>553</v>
      </c>
      <c r="L4010" s="19">
        <v>2023</v>
      </c>
      <c r="M4010" s="20">
        <v>1</v>
      </c>
      <c r="N4010" s="19">
        <v>0</v>
      </c>
      <c r="O4010" s="20">
        <v>250</v>
      </c>
      <c r="P4010" s="20">
        <v>250</v>
      </c>
      <c r="Q4010" s="20">
        <v>0</v>
      </c>
      <c r="R4010" s="21">
        <v>1</v>
      </c>
      <c r="S4010" s="20">
        <v>0</v>
      </c>
    </row>
    <row r="4011" spans="2:19" ht="15" customHeight="1" x14ac:dyDescent="0.25">
      <c r="B4011" s="2" t="str">
        <f t="shared" si="124"/>
        <v>PGL_Income Eligible_Multi-Family_MF IHWAP_Unit Visit_0_MF</v>
      </c>
      <c r="C4011" s="2" t="str">
        <f t="shared" si="125"/>
        <v>PGL_Income Eligible_Multi-Family_MF IHWAP_Unit Visit_0_MF_2024</v>
      </c>
      <c r="D4011" s="19" t="s">
        <v>1794</v>
      </c>
      <c r="E4011" s="19" t="s">
        <v>325</v>
      </c>
      <c r="F4011" s="19" t="s">
        <v>1422</v>
      </c>
      <c r="G4011" s="19" t="s">
        <v>1441</v>
      </c>
      <c r="H4011" s="19" t="s">
        <v>1090</v>
      </c>
      <c r="I4011" s="19">
        <v>0</v>
      </c>
      <c r="J4011" s="19">
        <v>0</v>
      </c>
      <c r="K4011" s="19" t="s">
        <v>553</v>
      </c>
      <c r="L4011" s="19">
        <v>2024</v>
      </c>
      <c r="M4011" s="20">
        <v>1</v>
      </c>
      <c r="N4011" s="19">
        <v>0</v>
      </c>
      <c r="O4011" s="20">
        <v>450</v>
      </c>
      <c r="P4011" s="20">
        <v>450</v>
      </c>
      <c r="Q4011" s="20">
        <v>0</v>
      </c>
      <c r="R4011" s="21">
        <v>1</v>
      </c>
      <c r="S4011" s="20">
        <v>0</v>
      </c>
    </row>
    <row r="4012" spans="2:19" ht="15" customHeight="1" x14ac:dyDescent="0.25">
      <c r="B4012" s="2" t="str">
        <f t="shared" si="124"/>
        <v>PGL_Income Eligible_Multi-Family_MF IHWAP_Unit Visit_0_MF</v>
      </c>
      <c r="C4012" s="2" t="str">
        <f t="shared" si="125"/>
        <v>PGL_Income Eligible_Multi-Family_MF IHWAP_Unit Visit_0_MF_2025</v>
      </c>
      <c r="D4012" s="19" t="s">
        <v>1794</v>
      </c>
      <c r="E4012" s="19" t="s">
        <v>325</v>
      </c>
      <c r="F4012" s="19" t="s">
        <v>1422</v>
      </c>
      <c r="G4012" s="19" t="s">
        <v>1441</v>
      </c>
      <c r="H4012" s="19" t="s">
        <v>1090</v>
      </c>
      <c r="I4012" s="19">
        <v>0</v>
      </c>
      <c r="J4012" s="19">
        <v>0</v>
      </c>
      <c r="K4012" s="19" t="s">
        <v>553</v>
      </c>
      <c r="L4012" s="19">
        <v>2025</v>
      </c>
      <c r="M4012" s="20">
        <v>1</v>
      </c>
      <c r="N4012" s="19">
        <v>0</v>
      </c>
      <c r="O4012" s="20">
        <v>600</v>
      </c>
      <c r="P4012" s="20">
        <v>600</v>
      </c>
      <c r="Q4012" s="20">
        <v>0</v>
      </c>
      <c r="R4012" s="21">
        <v>1</v>
      </c>
      <c r="S4012" s="20">
        <v>0</v>
      </c>
    </row>
    <row r="4013" spans="2:19" ht="15" customHeight="1" x14ac:dyDescent="0.25">
      <c r="B4013" s="2" t="str">
        <f t="shared" si="124"/>
        <v>PGL_Income Eligible_Multi-Family_MF IHWAP_Low Flow Bathroom Aerator_0_MF</v>
      </c>
      <c r="C4013" s="2" t="str">
        <f t="shared" si="125"/>
        <v>PGL_Income Eligible_Multi-Family_MF IHWAP_Low Flow Bathroom Aerator_0_MF_2022</v>
      </c>
      <c r="D4013" s="19" t="s">
        <v>1794</v>
      </c>
      <c r="E4013" s="19" t="s">
        <v>325</v>
      </c>
      <c r="F4013" s="19" t="s">
        <v>1422</v>
      </c>
      <c r="G4013" s="19" t="s">
        <v>1441</v>
      </c>
      <c r="H4013" s="19" t="s">
        <v>555</v>
      </c>
      <c r="I4013" s="19">
        <v>0</v>
      </c>
      <c r="J4013" s="19" t="s">
        <v>534</v>
      </c>
      <c r="K4013" s="19" t="s">
        <v>553</v>
      </c>
      <c r="L4013" s="19">
        <v>2022</v>
      </c>
      <c r="M4013" s="20">
        <v>1</v>
      </c>
      <c r="N4013" s="19" t="s">
        <v>1798</v>
      </c>
      <c r="O4013" s="20">
        <v>75</v>
      </c>
      <c r="P4013" s="20">
        <v>75</v>
      </c>
      <c r="Q4013" s="20">
        <v>117.71340611940002</v>
      </c>
      <c r="R4013" s="21">
        <v>1</v>
      </c>
      <c r="S4013" s="20">
        <v>117.71340611940002</v>
      </c>
    </row>
    <row r="4014" spans="2:19" ht="15" customHeight="1" x14ac:dyDescent="0.25">
      <c r="B4014" s="2" t="str">
        <f t="shared" si="124"/>
        <v>PGL_Income Eligible_Multi-Family_MF IHWAP_Low Flow Bathroom Aerator_0_MF</v>
      </c>
      <c r="C4014" s="2" t="str">
        <f t="shared" si="125"/>
        <v>PGL_Income Eligible_Multi-Family_MF IHWAP_Low Flow Bathroom Aerator_0_MF_2023</v>
      </c>
      <c r="D4014" s="19" t="s">
        <v>1794</v>
      </c>
      <c r="E4014" s="19" t="s">
        <v>325</v>
      </c>
      <c r="F4014" s="19" t="s">
        <v>1422</v>
      </c>
      <c r="G4014" s="19" t="s">
        <v>1441</v>
      </c>
      <c r="H4014" s="19" t="s">
        <v>555</v>
      </c>
      <c r="I4014" s="19">
        <v>0</v>
      </c>
      <c r="J4014" s="19" t="s">
        <v>534</v>
      </c>
      <c r="K4014" s="19" t="s">
        <v>553</v>
      </c>
      <c r="L4014" s="19">
        <v>2023</v>
      </c>
      <c r="M4014" s="20">
        <v>1</v>
      </c>
      <c r="N4014" s="19" t="s">
        <v>1798</v>
      </c>
      <c r="O4014" s="20">
        <v>125</v>
      </c>
      <c r="P4014" s="20">
        <v>125</v>
      </c>
      <c r="Q4014" s="20">
        <v>196.18901019900002</v>
      </c>
      <c r="R4014" s="21">
        <v>1</v>
      </c>
      <c r="S4014" s="20">
        <v>196.18901019900002</v>
      </c>
    </row>
    <row r="4015" spans="2:19" ht="15" customHeight="1" x14ac:dyDescent="0.25">
      <c r="B4015" s="2" t="str">
        <f t="shared" si="124"/>
        <v>PGL_Income Eligible_Multi-Family_MF IHWAP_Low Flow Bathroom Aerator_0_MF</v>
      </c>
      <c r="C4015" s="2" t="str">
        <f t="shared" si="125"/>
        <v>PGL_Income Eligible_Multi-Family_MF IHWAP_Low Flow Bathroom Aerator_0_MF_2024</v>
      </c>
      <c r="D4015" s="19" t="s">
        <v>1794</v>
      </c>
      <c r="E4015" s="19" t="s">
        <v>325</v>
      </c>
      <c r="F4015" s="19" t="s">
        <v>1422</v>
      </c>
      <c r="G4015" s="19" t="s">
        <v>1441</v>
      </c>
      <c r="H4015" s="19" t="s">
        <v>555</v>
      </c>
      <c r="I4015" s="19">
        <v>0</v>
      </c>
      <c r="J4015" s="19" t="s">
        <v>534</v>
      </c>
      <c r="K4015" s="19" t="s">
        <v>553</v>
      </c>
      <c r="L4015" s="19">
        <v>2024</v>
      </c>
      <c r="M4015" s="20">
        <v>1</v>
      </c>
      <c r="N4015" s="19" t="s">
        <v>1798</v>
      </c>
      <c r="O4015" s="20">
        <v>225</v>
      </c>
      <c r="P4015" s="20">
        <v>225</v>
      </c>
      <c r="Q4015" s="20">
        <v>353.14021835820006</v>
      </c>
      <c r="R4015" s="21">
        <v>1</v>
      </c>
      <c r="S4015" s="20">
        <v>353.14021835820006</v>
      </c>
    </row>
    <row r="4016" spans="2:19" ht="15" customHeight="1" x14ac:dyDescent="0.25">
      <c r="B4016" s="2" t="str">
        <f t="shared" si="124"/>
        <v>PGL_Income Eligible_Multi-Family_MF IHWAP_Low Flow Bathroom Aerator_0_MF</v>
      </c>
      <c r="C4016" s="2" t="str">
        <f t="shared" si="125"/>
        <v>PGL_Income Eligible_Multi-Family_MF IHWAP_Low Flow Bathroom Aerator_0_MF_2025</v>
      </c>
      <c r="D4016" s="19" t="s">
        <v>1794</v>
      </c>
      <c r="E4016" s="19" t="s">
        <v>325</v>
      </c>
      <c r="F4016" s="19" t="s">
        <v>1422</v>
      </c>
      <c r="G4016" s="19" t="s">
        <v>1441</v>
      </c>
      <c r="H4016" s="19" t="s">
        <v>555</v>
      </c>
      <c r="I4016" s="19">
        <v>0</v>
      </c>
      <c r="J4016" s="19" t="s">
        <v>534</v>
      </c>
      <c r="K4016" s="19" t="s">
        <v>553</v>
      </c>
      <c r="L4016" s="19">
        <v>2025</v>
      </c>
      <c r="M4016" s="20">
        <v>1</v>
      </c>
      <c r="N4016" s="19" t="s">
        <v>1798</v>
      </c>
      <c r="O4016" s="20">
        <v>300</v>
      </c>
      <c r="P4016" s="20">
        <v>300</v>
      </c>
      <c r="Q4016" s="20">
        <v>470.85362447760008</v>
      </c>
      <c r="R4016" s="21">
        <v>1</v>
      </c>
      <c r="S4016" s="20">
        <v>470.85362447760008</v>
      </c>
    </row>
    <row r="4017" spans="2:19" ht="15" customHeight="1" x14ac:dyDescent="0.25">
      <c r="B4017" s="2" t="str">
        <f t="shared" si="124"/>
        <v>PGL_Income Eligible_Multi-Family_MF IHWAP_Low Flow Kitchen Aerator_0_MF</v>
      </c>
      <c r="C4017" s="2" t="str">
        <f t="shared" si="125"/>
        <v>PGL_Income Eligible_Multi-Family_MF IHWAP_Low Flow Kitchen Aerator_0_MF_2022</v>
      </c>
      <c r="D4017" s="19" t="s">
        <v>1794</v>
      </c>
      <c r="E4017" s="19" t="s">
        <v>325</v>
      </c>
      <c r="F4017" s="19" t="s">
        <v>1422</v>
      </c>
      <c r="G4017" s="19" t="s">
        <v>1441</v>
      </c>
      <c r="H4017" s="19" t="s">
        <v>533</v>
      </c>
      <c r="I4017" s="19">
        <v>0</v>
      </c>
      <c r="J4017" s="19" t="s">
        <v>534</v>
      </c>
      <c r="K4017" s="19" t="s">
        <v>553</v>
      </c>
      <c r="L4017" s="19">
        <v>2022</v>
      </c>
      <c r="M4017" s="20">
        <v>1</v>
      </c>
      <c r="N4017" s="19" t="s">
        <v>1798</v>
      </c>
      <c r="O4017" s="20">
        <v>75</v>
      </c>
      <c r="P4017" s="20">
        <v>75</v>
      </c>
      <c r="Q4017" s="20">
        <v>589.59642698402547</v>
      </c>
      <c r="R4017" s="21">
        <v>1</v>
      </c>
      <c r="S4017" s="20">
        <v>589.59642698402547</v>
      </c>
    </row>
    <row r="4018" spans="2:19" ht="15" customHeight="1" x14ac:dyDescent="0.25">
      <c r="B4018" s="2" t="str">
        <f t="shared" si="124"/>
        <v>PGL_Income Eligible_Multi-Family_MF IHWAP_Low Flow Kitchen Aerator_0_MF</v>
      </c>
      <c r="C4018" s="2" t="str">
        <f t="shared" si="125"/>
        <v>PGL_Income Eligible_Multi-Family_MF IHWAP_Low Flow Kitchen Aerator_0_MF_2023</v>
      </c>
      <c r="D4018" s="19" t="s">
        <v>1794</v>
      </c>
      <c r="E4018" s="19" t="s">
        <v>325</v>
      </c>
      <c r="F4018" s="19" t="s">
        <v>1422</v>
      </c>
      <c r="G4018" s="19" t="s">
        <v>1441</v>
      </c>
      <c r="H4018" s="19" t="s">
        <v>533</v>
      </c>
      <c r="I4018" s="19">
        <v>0</v>
      </c>
      <c r="J4018" s="19" t="s">
        <v>534</v>
      </c>
      <c r="K4018" s="19" t="s">
        <v>553</v>
      </c>
      <c r="L4018" s="19">
        <v>2023</v>
      </c>
      <c r="M4018" s="20">
        <v>1</v>
      </c>
      <c r="N4018" s="19" t="s">
        <v>1798</v>
      </c>
      <c r="O4018" s="20">
        <v>125</v>
      </c>
      <c r="P4018" s="20">
        <v>125</v>
      </c>
      <c r="Q4018" s="20">
        <v>982.66071164004256</v>
      </c>
      <c r="R4018" s="21">
        <v>1</v>
      </c>
      <c r="S4018" s="20">
        <v>982.66071164004256</v>
      </c>
    </row>
    <row r="4019" spans="2:19" ht="15" customHeight="1" x14ac:dyDescent="0.25">
      <c r="B4019" s="2" t="str">
        <f t="shared" si="124"/>
        <v>PGL_Income Eligible_Multi-Family_MF IHWAP_Low Flow Kitchen Aerator_0_MF</v>
      </c>
      <c r="C4019" s="2" t="str">
        <f t="shared" si="125"/>
        <v>PGL_Income Eligible_Multi-Family_MF IHWAP_Low Flow Kitchen Aerator_0_MF_2024</v>
      </c>
      <c r="D4019" s="19" t="s">
        <v>1794</v>
      </c>
      <c r="E4019" s="19" t="s">
        <v>325</v>
      </c>
      <c r="F4019" s="19" t="s">
        <v>1422</v>
      </c>
      <c r="G4019" s="19" t="s">
        <v>1441</v>
      </c>
      <c r="H4019" s="19" t="s">
        <v>533</v>
      </c>
      <c r="I4019" s="19">
        <v>0</v>
      </c>
      <c r="J4019" s="19" t="s">
        <v>534</v>
      </c>
      <c r="K4019" s="19" t="s">
        <v>553</v>
      </c>
      <c r="L4019" s="19">
        <v>2024</v>
      </c>
      <c r="M4019" s="20">
        <v>1</v>
      </c>
      <c r="N4019" s="19" t="s">
        <v>1798</v>
      </c>
      <c r="O4019" s="20">
        <v>225</v>
      </c>
      <c r="P4019" s="20">
        <v>225</v>
      </c>
      <c r="Q4019" s="20">
        <v>1768.7892809520765</v>
      </c>
      <c r="R4019" s="21">
        <v>1</v>
      </c>
      <c r="S4019" s="20">
        <v>1768.7892809520765</v>
      </c>
    </row>
    <row r="4020" spans="2:19" ht="15" customHeight="1" x14ac:dyDescent="0.25">
      <c r="B4020" s="2" t="str">
        <f t="shared" si="124"/>
        <v>PGL_Income Eligible_Multi-Family_MF IHWAP_Low Flow Kitchen Aerator_0_MF</v>
      </c>
      <c r="C4020" s="2" t="str">
        <f t="shared" si="125"/>
        <v>PGL_Income Eligible_Multi-Family_MF IHWAP_Low Flow Kitchen Aerator_0_MF_2025</v>
      </c>
      <c r="D4020" s="19" t="s">
        <v>1794</v>
      </c>
      <c r="E4020" s="19" t="s">
        <v>325</v>
      </c>
      <c r="F4020" s="19" t="s">
        <v>1422</v>
      </c>
      <c r="G4020" s="19" t="s">
        <v>1441</v>
      </c>
      <c r="H4020" s="19" t="s">
        <v>533</v>
      </c>
      <c r="I4020" s="19">
        <v>0</v>
      </c>
      <c r="J4020" s="19" t="s">
        <v>534</v>
      </c>
      <c r="K4020" s="19" t="s">
        <v>553</v>
      </c>
      <c r="L4020" s="19">
        <v>2025</v>
      </c>
      <c r="M4020" s="20">
        <v>1</v>
      </c>
      <c r="N4020" s="19" t="s">
        <v>1798</v>
      </c>
      <c r="O4020" s="20">
        <v>300</v>
      </c>
      <c r="P4020" s="20">
        <v>300</v>
      </c>
      <c r="Q4020" s="20">
        <v>2358.3857079361019</v>
      </c>
      <c r="R4020" s="21">
        <v>1</v>
      </c>
      <c r="S4020" s="20">
        <v>2358.3857079361019</v>
      </c>
    </row>
    <row r="4021" spans="2:19" ht="15" customHeight="1" x14ac:dyDescent="0.25">
      <c r="B4021" s="2" t="str">
        <f t="shared" si="124"/>
        <v>PGL_Income Eligible_Multi-Family_MF IHWAP_Low Flow Showerhead_0_MF</v>
      </c>
      <c r="C4021" s="2" t="str">
        <f t="shared" si="125"/>
        <v>PGL_Income Eligible_Multi-Family_MF IHWAP_Low Flow Showerhead_0_MF_2022</v>
      </c>
      <c r="D4021" s="19" t="s">
        <v>1794</v>
      </c>
      <c r="E4021" s="19" t="s">
        <v>325</v>
      </c>
      <c r="F4021" s="19" t="s">
        <v>1422</v>
      </c>
      <c r="G4021" s="19" t="s">
        <v>1441</v>
      </c>
      <c r="H4021" s="19" t="s">
        <v>15</v>
      </c>
      <c r="I4021" s="19">
        <v>0</v>
      </c>
      <c r="J4021" s="19" t="s">
        <v>23</v>
      </c>
      <c r="K4021" s="19" t="s">
        <v>553</v>
      </c>
      <c r="L4021" s="19">
        <v>2022</v>
      </c>
      <c r="M4021" s="20">
        <v>1</v>
      </c>
      <c r="N4021" s="19" t="s">
        <v>1798</v>
      </c>
      <c r="O4021" s="20">
        <v>75</v>
      </c>
      <c r="P4021" s="20">
        <v>75</v>
      </c>
      <c r="Q4021" s="20">
        <v>848.92954792274998</v>
      </c>
      <c r="R4021" s="21">
        <v>1</v>
      </c>
      <c r="S4021" s="20">
        <v>848.92954792274998</v>
      </c>
    </row>
    <row r="4022" spans="2:19" ht="15" customHeight="1" x14ac:dyDescent="0.25">
      <c r="B4022" s="2" t="str">
        <f t="shared" si="124"/>
        <v>PGL_Income Eligible_Multi-Family_MF IHWAP_Low Flow Showerhead_0_MF</v>
      </c>
      <c r="C4022" s="2" t="str">
        <f t="shared" si="125"/>
        <v>PGL_Income Eligible_Multi-Family_MF IHWAP_Low Flow Showerhead_0_MF_2023</v>
      </c>
      <c r="D4022" s="19" t="s">
        <v>1794</v>
      </c>
      <c r="E4022" s="19" t="s">
        <v>325</v>
      </c>
      <c r="F4022" s="19" t="s">
        <v>1422</v>
      </c>
      <c r="G4022" s="19" t="s">
        <v>1441</v>
      </c>
      <c r="H4022" s="19" t="s">
        <v>15</v>
      </c>
      <c r="I4022" s="19">
        <v>0</v>
      </c>
      <c r="J4022" s="19" t="s">
        <v>23</v>
      </c>
      <c r="K4022" s="19" t="s">
        <v>553</v>
      </c>
      <c r="L4022" s="19">
        <v>2023</v>
      </c>
      <c r="M4022" s="20">
        <v>1</v>
      </c>
      <c r="N4022" s="19" t="s">
        <v>1798</v>
      </c>
      <c r="O4022" s="20">
        <v>125</v>
      </c>
      <c r="P4022" s="20">
        <v>125</v>
      </c>
      <c r="Q4022" s="20">
        <v>1414.8825798712498</v>
      </c>
      <c r="R4022" s="21">
        <v>1</v>
      </c>
      <c r="S4022" s="20">
        <v>1414.8825798712498</v>
      </c>
    </row>
    <row r="4023" spans="2:19" ht="15" customHeight="1" x14ac:dyDescent="0.25">
      <c r="B4023" s="2" t="str">
        <f t="shared" si="124"/>
        <v>PGL_Income Eligible_Multi-Family_MF IHWAP_Low Flow Showerhead_0_MF</v>
      </c>
      <c r="C4023" s="2" t="str">
        <f t="shared" si="125"/>
        <v>PGL_Income Eligible_Multi-Family_MF IHWAP_Low Flow Showerhead_0_MF_2024</v>
      </c>
      <c r="D4023" s="19" t="s">
        <v>1794</v>
      </c>
      <c r="E4023" s="19" t="s">
        <v>325</v>
      </c>
      <c r="F4023" s="19" t="s">
        <v>1422</v>
      </c>
      <c r="G4023" s="19" t="s">
        <v>1441</v>
      </c>
      <c r="H4023" s="19" t="s">
        <v>15</v>
      </c>
      <c r="I4023" s="19">
        <v>0</v>
      </c>
      <c r="J4023" s="19" t="s">
        <v>23</v>
      </c>
      <c r="K4023" s="19" t="s">
        <v>553</v>
      </c>
      <c r="L4023" s="19">
        <v>2024</v>
      </c>
      <c r="M4023" s="20">
        <v>1</v>
      </c>
      <c r="N4023" s="19" t="s">
        <v>1798</v>
      </c>
      <c r="O4023" s="20">
        <v>225</v>
      </c>
      <c r="P4023" s="20">
        <v>225</v>
      </c>
      <c r="Q4023" s="20">
        <v>2546.7886437682496</v>
      </c>
      <c r="R4023" s="21">
        <v>1</v>
      </c>
      <c r="S4023" s="20">
        <v>2546.7886437682496</v>
      </c>
    </row>
    <row r="4024" spans="2:19" ht="15" customHeight="1" x14ac:dyDescent="0.25">
      <c r="B4024" s="2" t="str">
        <f t="shared" si="124"/>
        <v>PGL_Income Eligible_Multi-Family_MF IHWAP_Low Flow Showerhead_0_MF</v>
      </c>
      <c r="C4024" s="2" t="str">
        <f t="shared" si="125"/>
        <v>PGL_Income Eligible_Multi-Family_MF IHWAP_Low Flow Showerhead_0_MF_2025</v>
      </c>
      <c r="D4024" s="19" t="s">
        <v>1794</v>
      </c>
      <c r="E4024" s="19" t="s">
        <v>325</v>
      </c>
      <c r="F4024" s="19" t="s">
        <v>1422</v>
      </c>
      <c r="G4024" s="19" t="s">
        <v>1441</v>
      </c>
      <c r="H4024" s="19" t="s">
        <v>15</v>
      </c>
      <c r="I4024" s="19">
        <v>0</v>
      </c>
      <c r="J4024" s="19" t="s">
        <v>23</v>
      </c>
      <c r="K4024" s="19" t="s">
        <v>553</v>
      </c>
      <c r="L4024" s="19">
        <v>2025</v>
      </c>
      <c r="M4024" s="20">
        <v>1</v>
      </c>
      <c r="N4024" s="19" t="s">
        <v>1798</v>
      </c>
      <c r="O4024" s="20">
        <v>300</v>
      </c>
      <c r="P4024" s="20">
        <v>300</v>
      </c>
      <c r="Q4024" s="20">
        <v>3395.7181916909999</v>
      </c>
      <c r="R4024" s="21">
        <v>1</v>
      </c>
      <c r="S4024" s="20">
        <v>3395.7181916909999</v>
      </c>
    </row>
    <row r="4025" spans="2:19" ht="15" customHeight="1" x14ac:dyDescent="0.25">
      <c r="B4025" s="2" t="str">
        <f t="shared" si="124"/>
        <v>PGL_Income Eligible_Multi-Family_MF IHWAP_Advanced Thermostat_Furnace (Replace Manual)_MF</v>
      </c>
      <c r="C4025" s="2" t="str">
        <f t="shared" si="125"/>
        <v>PGL_Income Eligible_Multi-Family_MF IHWAP_Advanced Thermostat_Furnace (Replace Manual)_MF_2022</v>
      </c>
      <c r="D4025" s="19" t="s">
        <v>1794</v>
      </c>
      <c r="E4025" s="19" t="s">
        <v>325</v>
      </c>
      <c r="F4025" s="19" t="s">
        <v>1422</v>
      </c>
      <c r="G4025" s="19" t="s">
        <v>1441</v>
      </c>
      <c r="H4025" s="19" t="s">
        <v>7</v>
      </c>
      <c r="I4025" s="19" t="s">
        <v>1047</v>
      </c>
      <c r="J4025" s="19" t="s">
        <v>24</v>
      </c>
      <c r="K4025" s="19" t="s">
        <v>553</v>
      </c>
      <c r="L4025" s="19">
        <v>2022</v>
      </c>
      <c r="M4025" s="20">
        <v>1</v>
      </c>
      <c r="N4025" s="19" t="s">
        <v>1798</v>
      </c>
      <c r="O4025" s="20">
        <v>8</v>
      </c>
      <c r="P4025" s="20">
        <v>8</v>
      </c>
      <c r="Q4025" s="20">
        <v>543.50400000000002</v>
      </c>
      <c r="R4025" s="21">
        <v>1</v>
      </c>
      <c r="S4025" s="20">
        <v>543.50400000000002</v>
      </c>
    </row>
    <row r="4026" spans="2:19" ht="15" customHeight="1" x14ac:dyDescent="0.25">
      <c r="B4026" s="2" t="str">
        <f t="shared" si="124"/>
        <v>PGL_Income Eligible_Multi-Family_MF IHWAP_Advanced Thermostat_Furnace (Replace Manual)_MF</v>
      </c>
      <c r="C4026" s="2" t="str">
        <f t="shared" si="125"/>
        <v>PGL_Income Eligible_Multi-Family_MF IHWAP_Advanced Thermostat_Furnace (Replace Manual)_MF_2023</v>
      </c>
      <c r="D4026" s="19" t="s">
        <v>1794</v>
      </c>
      <c r="E4026" s="19" t="s">
        <v>325</v>
      </c>
      <c r="F4026" s="19" t="s">
        <v>1422</v>
      </c>
      <c r="G4026" s="19" t="s">
        <v>1441</v>
      </c>
      <c r="H4026" s="19" t="s">
        <v>7</v>
      </c>
      <c r="I4026" s="19" t="s">
        <v>1047</v>
      </c>
      <c r="J4026" s="19" t="s">
        <v>24</v>
      </c>
      <c r="K4026" s="19" t="s">
        <v>553</v>
      </c>
      <c r="L4026" s="19">
        <v>2023</v>
      </c>
      <c r="M4026" s="20">
        <v>1</v>
      </c>
      <c r="N4026" s="19" t="s">
        <v>1798</v>
      </c>
      <c r="O4026" s="20">
        <v>13</v>
      </c>
      <c r="P4026" s="20">
        <v>13</v>
      </c>
      <c r="Q4026" s="20">
        <v>883.19400000000007</v>
      </c>
      <c r="R4026" s="21">
        <v>1</v>
      </c>
      <c r="S4026" s="20">
        <v>883.19400000000007</v>
      </c>
    </row>
    <row r="4027" spans="2:19" ht="15" customHeight="1" x14ac:dyDescent="0.25">
      <c r="B4027" s="2" t="str">
        <f t="shared" si="124"/>
        <v>PGL_Income Eligible_Multi-Family_MF IHWAP_Advanced Thermostat_Furnace (Replace Manual)_MF</v>
      </c>
      <c r="C4027" s="2" t="str">
        <f t="shared" si="125"/>
        <v>PGL_Income Eligible_Multi-Family_MF IHWAP_Advanced Thermostat_Furnace (Replace Manual)_MF_2024</v>
      </c>
      <c r="D4027" s="19" t="s">
        <v>1794</v>
      </c>
      <c r="E4027" s="19" t="s">
        <v>325</v>
      </c>
      <c r="F4027" s="19" t="s">
        <v>1422</v>
      </c>
      <c r="G4027" s="19" t="s">
        <v>1441</v>
      </c>
      <c r="H4027" s="19" t="s">
        <v>7</v>
      </c>
      <c r="I4027" s="19" t="s">
        <v>1047</v>
      </c>
      <c r="J4027" s="19" t="s">
        <v>24</v>
      </c>
      <c r="K4027" s="19" t="s">
        <v>553</v>
      </c>
      <c r="L4027" s="19">
        <v>2024</v>
      </c>
      <c r="M4027" s="20">
        <v>1</v>
      </c>
      <c r="N4027" s="19" t="s">
        <v>1798</v>
      </c>
      <c r="O4027" s="20">
        <v>23</v>
      </c>
      <c r="P4027" s="20">
        <v>23</v>
      </c>
      <c r="Q4027" s="20">
        <v>1562.5740000000001</v>
      </c>
      <c r="R4027" s="21">
        <v>1</v>
      </c>
      <c r="S4027" s="20">
        <v>1562.5740000000001</v>
      </c>
    </row>
    <row r="4028" spans="2:19" ht="15" customHeight="1" x14ac:dyDescent="0.25">
      <c r="B4028" s="2" t="str">
        <f t="shared" si="124"/>
        <v>PGL_Income Eligible_Multi-Family_MF IHWAP_Advanced Thermostat_Furnace (Replace Manual)_MF</v>
      </c>
      <c r="C4028" s="2" t="str">
        <f t="shared" si="125"/>
        <v>PGL_Income Eligible_Multi-Family_MF IHWAP_Advanced Thermostat_Furnace (Replace Manual)_MF_2025</v>
      </c>
      <c r="D4028" s="19" t="s">
        <v>1794</v>
      </c>
      <c r="E4028" s="19" t="s">
        <v>325</v>
      </c>
      <c r="F4028" s="19" t="s">
        <v>1422</v>
      </c>
      <c r="G4028" s="19" t="s">
        <v>1441</v>
      </c>
      <c r="H4028" s="19" t="s">
        <v>7</v>
      </c>
      <c r="I4028" s="19" t="s">
        <v>1047</v>
      </c>
      <c r="J4028" s="19" t="s">
        <v>24</v>
      </c>
      <c r="K4028" s="19" t="s">
        <v>553</v>
      </c>
      <c r="L4028" s="19">
        <v>2025</v>
      </c>
      <c r="M4028" s="20">
        <v>1</v>
      </c>
      <c r="N4028" s="19" t="s">
        <v>1798</v>
      </c>
      <c r="O4028" s="20">
        <v>30</v>
      </c>
      <c r="P4028" s="20">
        <v>30</v>
      </c>
      <c r="Q4028" s="20">
        <v>2038.14</v>
      </c>
      <c r="R4028" s="21">
        <v>1</v>
      </c>
      <c r="S4028" s="20">
        <v>2038.14</v>
      </c>
    </row>
    <row r="4029" spans="2:19" ht="15" customHeight="1" x14ac:dyDescent="0.25">
      <c r="B4029" s="2" t="str">
        <f t="shared" si="124"/>
        <v>PGL_Income Eligible_Multi-Family_MF IHWAP_Advanced Thermostat_Boiler (Replace Manual)_MF</v>
      </c>
      <c r="C4029" s="2" t="str">
        <f t="shared" si="125"/>
        <v>PGL_Income Eligible_Multi-Family_MF IHWAP_Advanced Thermostat_Boiler (Replace Manual)_MF_2022</v>
      </c>
      <c r="D4029" s="19" t="s">
        <v>1794</v>
      </c>
      <c r="E4029" s="19" t="s">
        <v>325</v>
      </c>
      <c r="F4029" s="19" t="s">
        <v>1422</v>
      </c>
      <c r="G4029" s="19" t="s">
        <v>1441</v>
      </c>
      <c r="H4029" s="19" t="s">
        <v>7</v>
      </c>
      <c r="I4029" s="19" t="s">
        <v>1051</v>
      </c>
      <c r="J4029" s="19" t="s">
        <v>24</v>
      </c>
      <c r="K4029" s="19" t="s">
        <v>553</v>
      </c>
      <c r="L4029" s="19">
        <v>2022</v>
      </c>
      <c r="M4029" s="20">
        <v>1</v>
      </c>
      <c r="N4029" s="19" t="s">
        <v>1798</v>
      </c>
      <c r="O4029" s="20">
        <v>8</v>
      </c>
      <c r="P4029" s="20">
        <v>8</v>
      </c>
      <c r="Q4029" s="20">
        <v>803.08799999999997</v>
      </c>
      <c r="R4029" s="21">
        <v>1</v>
      </c>
      <c r="S4029" s="20">
        <v>803.08799999999997</v>
      </c>
    </row>
    <row r="4030" spans="2:19" ht="15" customHeight="1" x14ac:dyDescent="0.25">
      <c r="B4030" s="2" t="str">
        <f t="shared" si="124"/>
        <v>PGL_Income Eligible_Multi-Family_MF IHWAP_Advanced Thermostat_Boiler (Replace Manual)_MF</v>
      </c>
      <c r="C4030" s="2" t="str">
        <f t="shared" si="125"/>
        <v>PGL_Income Eligible_Multi-Family_MF IHWAP_Advanced Thermostat_Boiler (Replace Manual)_MF_2023</v>
      </c>
      <c r="D4030" s="19" t="s">
        <v>1794</v>
      </c>
      <c r="E4030" s="19" t="s">
        <v>325</v>
      </c>
      <c r="F4030" s="19" t="s">
        <v>1422</v>
      </c>
      <c r="G4030" s="19" t="s">
        <v>1441</v>
      </c>
      <c r="H4030" s="19" t="s">
        <v>7</v>
      </c>
      <c r="I4030" s="19" t="s">
        <v>1051</v>
      </c>
      <c r="J4030" s="19" t="s">
        <v>24</v>
      </c>
      <c r="K4030" s="19" t="s">
        <v>553</v>
      </c>
      <c r="L4030" s="19">
        <v>2023</v>
      </c>
      <c r="M4030" s="20">
        <v>1</v>
      </c>
      <c r="N4030" s="19" t="s">
        <v>1798</v>
      </c>
      <c r="O4030" s="20">
        <v>13</v>
      </c>
      <c r="P4030" s="20">
        <v>13</v>
      </c>
      <c r="Q4030" s="20">
        <v>1305.018</v>
      </c>
      <c r="R4030" s="21">
        <v>1</v>
      </c>
      <c r="S4030" s="20">
        <v>1305.018</v>
      </c>
    </row>
    <row r="4031" spans="2:19" ht="15" customHeight="1" x14ac:dyDescent="0.25">
      <c r="B4031" s="2" t="str">
        <f t="shared" si="124"/>
        <v>PGL_Income Eligible_Multi-Family_MF IHWAP_Advanced Thermostat_Boiler (Replace Manual)_MF</v>
      </c>
      <c r="C4031" s="2" t="str">
        <f t="shared" si="125"/>
        <v>PGL_Income Eligible_Multi-Family_MF IHWAP_Advanced Thermostat_Boiler (Replace Manual)_MF_2024</v>
      </c>
      <c r="D4031" s="19" t="s">
        <v>1794</v>
      </c>
      <c r="E4031" s="19" t="s">
        <v>325</v>
      </c>
      <c r="F4031" s="19" t="s">
        <v>1422</v>
      </c>
      <c r="G4031" s="19" t="s">
        <v>1441</v>
      </c>
      <c r="H4031" s="19" t="s">
        <v>7</v>
      </c>
      <c r="I4031" s="19" t="s">
        <v>1051</v>
      </c>
      <c r="J4031" s="19" t="s">
        <v>24</v>
      </c>
      <c r="K4031" s="19" t="s">
        <v>553</v>
      </c>
      <c r="L4031" s="19">
        <v>2024</v>
      </c>
      <c r="M4031" s="20">
        <v>1</v>
      </c>
      <c r="N4031" s="19" t="s">
        <v>1798</v>
      </c>
      <c r="O4031" s="20">
        <v>23</v>
      </c>
      <c r="P4031" s="20">
        <v>23</v>
      </c>
      <c r="Q4031" s="20">
        <v>2308.8779999999997</v>
      </c>
      <c r="R4031" s="21">
        <v>1</v>
      </c>
      <c r="S4031" s="20">
        <v>2308.8779999999997</v>
      </c>
    </row>
    <row r="4032" spans="2:19" ht="15" customHeight="1" x14ac:dyDescent="0.25">
      <c r="B4032" s="2" t="str">
        <f t="shared" si="124"/>
        <v>PGL_Income Eligible_Multi-Family_MF IHWAP_Advanced Thermostat_Boiler (Replace Manual)_MF</v>
      </c>
      <c r="C4032" s="2" t="str">
        <f t="shared" si="125"/>
        <v>PGL_Income Eligible_Multi-Family_MF IHWAP_Advanced Thermostat_Boiler (Replace Manual)_MF_2025</v>
      </c>
      <c r="D4032" s="19" t="s">
        <v>1794</v>
      </c>
      <c r="E4032" s="19" t="s">
        <v>325</v>
      </c>
      <c r="F4032" s="19" t="s">
        <v>1422</v>
      </c>
      <c r="G4032" s="19" t="s">
        <v>1441</v>
      </c>
      <c r="H4032" s="19" t="s">
        <v>7</v>
      </c>
      <c r="I4032" s="19" t="s">
        <v>1051</v>
      </c>
      <c r="J4032" s="19" t="s">
        <v>24</v>
      </c>
      <c r="K4032" s="19" t="s">
        <v>553</v>
      </c>
      <c r="L4032" s="19">
        <v>2025</v>
      </c>
      <c r="M4032" s="20">
        <v>1</v>
      </c>
      <c r="N4032" s="19" t="s">
        <v>1798</v>
      </c>
      <c r="O4032" s="20">
        <v>30</v>
      </c>
      <c r="P4032" s="20">
        <v>30</v>
      </c>
      <c r="Q4032" s="20">
        <v>3011.58</v>
      </c>
      <c r="R4032" s="21">
        <v>1</v>
      </c>
      <c r="S4032" s="20">
        <v>3011.58</v>
      </c>
    </row>
    <row r="4033" spans="2:19" ht="15" customHeight="1" x14ac:dyDescent="0.25">
      <c r="B4033" s="2" t="str">
        <f t="shared" si="124"/>
        <v>PGL_Income Eligible_Multi-Family_MF IHWAP_Advanced Thermostat_Furnace (Replace Programmable)_MF</v>
      </c>
      <c r="C4033" s="2" t="str">
        <f t="shared" si="125"/>
        <v>PGL_Income Eligible_Multi-Family_MF IHWAP_Advanced Thermostat_Furnace (Replace Programmable)_MF_2022</v>
      </c>
      <c r="D4033" s="19" t="s">
        <v>1794</v>
      </c>
      <c r="E4033" s="19" t="s">
        <v>325</v>
      </c>
      <c r="F4033" s="19" t="s">
        <v>1422</v>
      </c>
      <c r="G4033" s="19" t="s">
        <v>1441</v>
      </c>
      <c r="H4033" s="19" t="s">
        <v>7</v>
      </c>
      <c r="I4033" s="19" t="s">
        <v>1049</v>
      </c>
      <c r="J4033" s="19" t="s">
        <v>24</v>
      </c>
      <c r="K4033" s="19" t="s">
        <v>553</v>
      </c>
      <c r="L4033" s="19">
        <v>2022</v>
      </c>
      <c r="M4033" s="20">
        <v>1</v>
      </c>
      <c r="N4033" s="19" t="s">
        <v>1798</v>
      </c>
      <c r="O4033" s="20">
        <v>8</v>
      </c>
      <c r="P4033" s="20">
        <v>8</v>
      </c>
      <c r="Q4033" s="20">
        <v>381.49799999999999</v>
      </c>
      <c r="R4033" s="21">
        <v>1</v>
      </c>
      <c r="S4033" s="20">
        <v>381.49799999999999</v>
      </c>
    </row>
    <row r="4034" spans="2:19" ht="15" customHeight="1" x14ac:dyDescent="0.25">
      <c r="B4034" s="2" t="str">
        <f t="shared" si="124"/>
        <v>PGL_Income Eligible_Multi-Family_MF IHWAP_Advanced Thermostat_Furnace (Replace Programmable)_MF</v>
      </c>
      <c r="C4034" s="2" t="str">
        <f t="shared" si="125"/>
        <v>PGL_Income Eligible_Multi-Family_MF IHWAP_Advanced Thermostat_Furnace (Replace Programmable)_MF_2023</v>
      </c>
      <c r="D4034" s="19" t="s">
        <v>1794</v>
      </c>
      <c r="E4034" s="19" t="s">
        <v>325</v>
      </c>
      <c r="F4034" s="19" t="s">
        <v>1422</v>
      </c>
      <c r="G4034" s="19" t="s">
        <v>1441</v>
      </c>
      <c r="H4034" s="19" t="s">
        <v>7</v>
      </c>
      <c r="I4034" s="19" t="s">
        <v>1049</v>
      </c>
      <c r="J4034" s="19" t="s">
        <v>24</v>
      </c>
      <c r="K4034" s="19" t="s">
        <v>553</v>
      </c>
      <c r="L4034" s="19">
        <v>2023</v>
      </c>
      <c r="M4034" s="20">
        <v>1</v>
      </c>
      <c r="N4034" s="19" t="s">
        <v>1798</v>
      </c>
      <c r="O4034" s="20">
        <v>13</v>
      </c>
      <c r="P4034" s="20">
        <v>13</v>
      </c>
      <c r="Q4034" s="20">
        <v>619.93425000000002</v>
      </c>
      <c r="R4034" s="21">
        <v>1</v>
      </c>
      <c r="S4034" s="20">
        <v>619.93425000000002</v>
      </c>
    </row>
    <row r="4035" spans="2:19" ht="15" customHeight="1" x14ac:dyDescent="0.25">
      <c r="B4035" s="2" t="str">
        <f t="shared" si="124"/>
        <v>PGL_Income Eligible_Multi-Family_MF IHWAP_Advanced Thermostat_Furnace (Replace Programmable)_MF</v>
      </c>
      <c r="C4035" s="2" t="str">
        <f t="shared" si="125"/>
        <v>PGL_Income Eligible_Multi-Family_MF IHWAP_Advanced Thermostat_Furnace (Replace Programmable)_MF_2024</v>
      </c>
      <c r="D4035" s="19" t="s">
        <v>1794</v>
      </c>
      <c r="E4035" s="19" t="s">
        <v>325</v>
      </c>
      <c r="F4035" s="19" t="s">
        <v>1422</v>
      </c>
      <c r="G4035" s="19" t="s">
        <v>1441</v>
      </c>
      <c r="H4035" s="19" t="s">
        <v>7</v>
      </c>
      <c r="I4035" s="19" t="s">
        <v>1049</v>
      </c>
      <c r="J4035" s="19" t="s">
        <v>24</v>
      </c>
      <c r="K4035" s="19" t="s">
        <v>553</v>
      </c>
      <c r="L4035" s="19">
        <v>2024</v>
      </c>
      <c r="M4035" s="20">
        <v>1</v>
      </c>
      <c r="N4035" s="19" t="s">
        <v>1798</v>
      </c>
      <c r="O4035" s="20">
        <v>23</v>
      </c>
      <c r="P4035" s="20">
        <v>23</v>
      </c>
      <c r="Q4035" s="20">
        <v>1096.80675</v>
      </c>
      <c r="R4035" s="21">
        <v>1</v>
      </c>
      <c r="S4035" s="20">
        <v>1096.80675</v>
      </c>
    </row>
    <row r="4036" spans="2:19" ht="15" customHeight="1" x14ac:dyDescent="0.25">
      <c r="B4036" s="2" t="str">
        <f t="shared" si="124"/>
        <v>PGL_Income Eligible_Multi-Family_MF IHWAP_Advanced Thermostat_Furnace (Replace Programmable)_MF</v>
      </c>
      <c r="C4036" s="2" t="str">
        <f t="shared" si="125"/>
        <v>PGL_Income Eligible_Multi-Family_MF IHWAP_Advanced Thermostat_Furnace (Replace Programmable)_MF_2025</v>
      </c>
      <c r="D4036" s="19" t="s">
        <v>1794</v>
      </c>
      <c r="E4036" s="19" t="s">
        <v>325</v>
      </c>
      <c r="F4036" s="19" t="s">
        <v>1422</v>
      </c>
      <c r="G4036" s="19" t="s">
        <v>1441</v>
      </c>
      <c r="H4036" s="19" t="s">
        <v>7</v>
      </c>
      <c r="I4036" s="19" t="s">
        <v>1049</v>
      </c>
      <c r="J4036" s="19" t="s">
        <v>24</v>
      </c>
      <c r="K4036" s="19" t="s">
        <v>553</v>
      </c>
      <c r="L4036" s="19">
        <v>2025</v>
      </c>
      <c r="M4036" s="20">
        <v>1</v>
      </c>
      <c r="N4036" s="19" t="s">
        <v>1798</v>
      </c>
      <c r="O4036" s="20">
        <v>30</v>
      </c>
      <c r="P4036" s="20">
        <v>30</v>
      </c>
      <c r="Q4036" s="20">
        <v>1430.6175000000001</v>
      </c>
      <c r="R4036" s="21">
        <v>1</v>
      </c>
      <c r="S4036" s="20">
        <v>1430.6175000000001</v>
      </c>
    </row>
    <row r="4037" spans="2:19" ht="15" customHeight="1" x14ac:dyDescent="0.25">
      <c r="B4037" s="2" t="str">
        <f t="shared" si="124"/>
        <v>PGL_Income Eligible_Multi-Family_MF IHWAP_Advanced Thermostat_Boiler (Replace Programmable)_MF</v>
      </c>
      <c r="C4037" s="2" t="str">
        <f t="shared" si="125"/>
        <v>PGL_Income Eligible_Multi-Family_MF IHWAP_Advanced Thermostat_Boiler (Replace Programmable)_MF_2022</v>
      </c>
      <c r="D4037" s="19" t="s">
        <v>1794</v>
      </c>
      <c r="E4037" s="19" t="s">
        <v>325</v>
      </c>
      <c r="F4037" s="19" t="s">
        <v>1422</v>
      </c>
      <c r="G4037" s="19" t="s">
        <v>1441</v>
      </c>
      <c r="H4037" s="19" t="s">
        <v>7</v>
      </c>
      <c r="I4037" s="19" t="s">
        <v>1052</v>
      </c>
      <c r="J4037" s="19" t="s">
        <v>24</v>
      </c>
      <c r="K4037" s="19" t="s">
        <v>553</v>
      </c>
      <c r="L4037" s="19">
        <v>2022</v>
      </c>
      <c r="M4037" s="20">
        <v>1</v>
      </c>
      <c r="N4037" s="19" t="s">
        <v>1798</v>
      </c>
      <c r="O4037" s="20">
        <v>8</v>
      </c>
      <c r="P4037" s="20">
        <v>8</v>
      </c>
      <c r="Q4037" s="20">
        <v>563.7059999999999</v>
      </c>
      <c r="R4037" s="21">
        <v>1</v>
      </c>
      <c r="S4037" s="20">
        <v>563.7059999999999</v>
      </c>
    </row>
    <row r="4038" spans="2:19" ht="15" customHeight="1" x14ac:dyDescent="0.25">
      <c r="B4038" s="2" t="str">
        <f t="shared" ref="B4038:B4101" si="126">D4038&amp;"_"&amp;E4038&amp;"_"&amp;F4038&amp;"_"&amp;G4038&amp;"_"&amp;H4038&amp;"_"&amp;I4038&amp;"_"&amp;K4038</f>
        <v>PGL_Income Eligible_Multi-Family_MF IHWAP_Advanced Thermostat_Boiler (Replace Programmable)_MF</v>
      </c>
      <c r="C4038" s="2" t="str">
        <f t="shared" ref="C4038:C4101" si="127">D4038&amp;"_"&amp;E4038&amp;"_"&amp;F4038&amp;"_"&amp;G4038&amp;"_"&amp;H4038&amp;"_"&amp;I4038&amp;"_"&amp;K4038&amp;"_"&amp;L4038</f>
        <v>PGL_Income Eligible_Multi-Family_MF IHWAP_Advanced Thermostat_Boiler (Replace Programmable)_MF_2023</v>
      </c>
      <c r="D4038" s="19" t="s">
        <v>1794</v>
      </c>
      <c r="E4038" s="19" t="s">
        <v>325</v>
      </c>
      <c r="F4038" s="19" t="s">
        <v>1422</v>
      </c>
      <c r="G4038" s="19" t="s">
        <v>1441</v>
      </c>
      <c r="H4038" s="19" t="s">
        <v>7</v>
      </c>
      <c r="I4038" s="19" t="s">
        <v>1052</v>
      </c>
      <c r="J4038" s="19" t="s">
        <v>24</v>
      </c>
      <c r="K4038" s="19" t="s">
        <v>553</v>
      </c>
      <c r="L4038" s="19">
        <v>2023</v>
      </c>
      <c r="M4038" s="20">
        <v>1</v>
      </c>
      <c r="N4038" s="19" t="s">
        <v>1798</v>
      </c>
      <c r="O4038" s="20">
        <v>13</v>
      </c>
      <c r="P4038" s="20">
        <v>13</v>
      </c>
      <c r="Q4038" s="20">
        <v>916.02224999999987</v>
      </c>
      <c r="R4038" s="21">
        <v>1</v>
      </c>
      <c r="S4038" s="20">
        <v>916.02224999999987</v>
      </c>
    </row>
    <row r="4039" spans="2:19" ht="15" customHeight="1" x14ac:dyDescent="0.25">
      <c r="B4039" s="2" t="str">
        <f t="shared" si="126"/>
        <v>PGL_Income Eligible_Multi-Family_MF IHWAP_Advanced Thermostat_Boiler (Replace Programmable)_MF</v>
      </c>
      <c r="C4039" s="2" t="str">
        <f t="shared" si="127"/>
        <v>PGL_Income Eligible_Multi-Family_MF IHWAP_Advanced Thermostat_Boiler (Replace Programmable)_MF_2024</v>
      </c>
      <c r="D4039" s="19" t="s">
        <v>1794</v>
      </c>
      <c r="E4039" s="19" t="s">
        <v>325</v>
      </c>
      <c r="F4039" s="19" t="s">
        <v>1422</v>
      </c>
      <c r="G4039" s="19" t="s">
        <v>1441</v>
      </c>
      <c r="H4039" s="19" t="s">
        <v>7</v>
      </c>
      <c r="I4039" s="19" t="s">
        <v>1052</v>
      </c>
      <c r="J4039" s="19" t="s">
        <v>24</v>
      </c>
      <c r="K4039" s="19" t="s">
        <v>553</v>
      </c>
      <c r="L4039" s="19">
        <v>2024</v>
      </c>
      <c r="M4039" s="20">
        <v>1</v>
      </c>
      <c r="N4039" s="19" t="s">
        <v>1798</v>
      </c>
      <c r="O4039" s="20">
        <v>23</v>
      </c>
      <c r="P4039" s="20">
        <v>23</v>
      </c>
      <c r="Q4039" s="20">
        <v>1620.6547499999997</v>
      </c>
      <c r="R4039" s="21">
        <v>1</v>
      </c>
      <c r="S4039" s="20">
        <v>1620.6547499999997</v>
      </c>
    </row>
    <row r="4040" spans="2:19" ht="15" customHeight="1" x14ac:dyDescent="0.25">
      <c r="B4040" s="2" t="str">
        <f t="shared" si="126"/>
        <v>PGL_Income Eligible_Multi-Family_MF IHWAP_Advanced Thermostat_Boiler (Replace Programmable)_MF</v>
      </c>
      <c r="C4040" s="2" t="str">
        <f t="shared" si="127"/>
        <v>PGL_Income Eligible_Multi-Family_MF IHWAP_Advanced Thermostat_Boiler (Replace Programmable)_MF_2025</v>
      </c>
      <c r="D4040" s="19" t="s">
        <v>1794</v>
      </c>
      <c r="E4040" s="19" t="s">
        <v>325</v>
      </c>
      <c r="F4040" s="19" t="s">
        <v>1422</v>
      </c>
      <c r="G4040" s="19" t="s">
        <v>1441</v>
      </c>
      <c r="H4040" s="19" t="s">
        <v>7</v>
      </c>
      <c r="I4040" s="19" t="s">
        <v>1052</v>
      </c>
      <c r="J4040" s="19" t="s">
        <v>24</v>
      </c>
      <c r="K4040" s="19" t="s">
        <v>553</v>
      </c>
      <c r="L4040" s="19">
        <v>2025</v>
      </c>
      <c r="M4040" s="20">
        <v>1</v>
      </c>
      <c r="N4040" s="19" t="s">
        <v>1798</v>
      </c>
      <c r="O4040" s="20">
        <v>30</v>
      </c>
      <c r="P4040" s="20">
        <v>30</v>
      </c>
      <c r="Q4040" s="20">
        <v>2113.8974999999996</v>
      </c>
      <c r="R4040" s="21">
        <v>1</v>
      </c>
      <c r="S4040" s="20">
        <v>2113.8974999999996</v>
      </c>
    </row>
    <row r="4041" spans="2:19" ht="15" customHeight="1" x14ac:dyDescent="0.25">
      <c r="B4041" s="2" t="str">
        <f t="shared" si="126"/>
        <v>PGL_Income Eligible_Multi-Family_MF IHWAP_Pipe Insulation_DHW_MF</v>
      </c>
      <c r="C4041" s="2" t="str">
        <f t="shared" si="127"/>
        <v>PGL_Income Eligible_Multi-Family_MF IHWAP_Pipe Insulation_DHW_MF_2022</v>
      </c>
      <c r="D4041" s="19" t="s">
        <v>1794</v>
      </c>
      <c r="E4041" s="19" t="s">
        <v>325</v>
      </c>
      <c r="F4041" s="19" t="s">
        <v>1422</v>
      </c>
      <c r="G4041" s="19" t="s">
        <v>1441</v>
      </c>
      <c r="H4041" s="19" t="s">
        <v>404</v>
      </c>
      <c r="I4041" s="19" t="s">
        <v>1019</v>
      </c>
      <c r="J4041" s="19" t="s">
        <v>1008</v>
      </c>
      <c r="K4041" s="19" t="s">
        <v>553</v>
      </c>
      <c r="L4041" s="19">
        <v>2022</v>
      </c>
      <c r="M4041" s="20">
        <v>3</v>
      </c>
      <c r="N4041" s="19" t="s">
        <v>616</v>
      </c>
      <c r="O4041" s="20">
        <v>120</v>
      </c>
      <c r="P4041" s="20">
        <v>360</v>
      </c>
      <c r="Q4041" s="20">
        <v>317.76001386193991</v>
      </c>
      <c r="R4041" s="21">
        <v>1</v>
      </c>
      <c r="S4041" s="20">
        <v>317.76001386193991</v>
      </c>
    </row>
    <row r="4042" spans="2:19" ht="15" customHeight="1" x14ac:dyDescent="0.25">
      <c r="B4042" s="2" t="str">
        <f t="shared" si="126"/>
        <v>PGL_Income Eligible_Multi-Family_MF IHWAP_Pipe Insulation_DHW_MF</v>
      </c>
      <c r="C4042" s="2" t="str">
        <f t="shared" si="127"/>
        <v>PGL_Income Eligible_Multi-Family_MF IHWAP_Pipe Insulation_DHW_MF_2023</v>
      </c>
      <c r="D4042" s="19" t="s">
        <v>1794</v>
      </c>
      <c r="E4042" s="19" t="s">
        <v>325</v>
      </c>
      <c r="F4042" s="19" t="s">
        <v>1422</v>
      </c>
      <c r="G4042" s="19" t="s">
        <v>1441</v>
      </c>
      <c r="H4042" s="19" t="s">
        <v>404</v>
      </c>
      <c r="I4042" s="19" t="s">
        <v>1019</v>
      </c>
      <c r="J4042" s="19" t="s">
        <v>1008</v>
      </c>
      <c r="K4042" s="19" t="s">
        <v>553</v>
      </c>
      <c r="L4042" s="19">
        <v>2023</v>
      </c>
      <c r="M4042" s="20">
        <v>3</v>
      </c>
      <c r="N4042" s="19" t="s">
        <v>616</v>
      </c>
      <c r="O4042" s="20">
        <v>200</v>
      </c>
      <c r="P4042" s="20">
        <v>600</v>
      </c>
      <c r="Q4042" s="20">
        <v>529.60002310323318</v>
      </c>
      <c r="R4042" s="21">
        <v>1</v>
      </c>
      <c r="S4042" s="20">
        <v>529.60002310323318</v>
      </c>
    </row>
    <row r="4043" spans="2:19" ht="15" customHeight="1" x14ac:dyDescent="0.25">
      <c r="B4043" s="2" t="str">
        <f t="shared" si="126"/>
        <v>PGL_Income Eligible_Multi-Family_MF IHWAP_Pipe Insulation_DHW_MF</v>
      </c>
      <c r="C4043" s="2" t="str">
        <f t="shared" si="127"/>
        <v>PGL_Income Eligible_Multi-Family_MF IHWAP_Pipe Insulation_DHW_MF_2024</v>
      </c>
      <c r="D4043" s="19" t="s">
        <v>1794</v>
      </c>
      <c r="E4043" s="19" t="s">
        <v>325</v>
      </c>
      <c r="F4043" s="19" t="s">
        <v>1422</v>
      </c>
      <c r="G4043" s="19" t="s">
        <v>1441</v>
      </c>
      <c r="H4043" s="19" t="s">
        <v>404</v>
      </c>
      <c r="I4043" s="19" t="s">
        <v>1019</v>
      </c>
      <c r="J4043" s="19" t="s">
        <v>1008</v>
      </c>
      <c r="K4043" s="19" t="s">
        <v>553</v>
      </c>
      <c r="L4043" s="19">
        <v>2024</v>
      </c>
      <c r="M4043" s="20">
        <v>3</v>
      </c>
      <c r="N4043" s="19" t="s">
        <v>616</v>
      </c>
      <c r="O4043" s="20">
        <v>360</v>
      </c>
      <c r="P4043" s="20">
        <v>1080</v>
      </c>
      <c r="Q4043" s="20">
        <v>953.28004158581984</v>
      </c>
      <c r="R4043" s="21">
        <v>1</v>
      </c>
      <c r="S4043" s="20">
        <v>953.28004158581984</v>
      </c>
    </row>
    <row r="4044" spans="2:19" ht="15" customHeight="1" x14ac:dyDescent="0.25">
      <c r="B4044" s="2" t="str">
        <f t="shared" si="126"/>
        <v>PGL_Income Eligible_Multi-Family_MF IHWAP_Pipe Insulation_DHW_MF</v>
      </c>
      <c r="C4044" s="2" t="str">
        <f t="shared" si="127"/>
        <v>PGL_Income Eligible_Multi-Family_MF IHWAP_Pipe Insulation_DHW_MF_2025</v>
      </c>
      <c r="D4044" s="19" t="s">
        <v>1794</v>
      </c>
      <c r="E4044" s="19" t="s">
        <v>325</v>
      </c>
      <c r="F4044" s="19" t="s">
        <v>1422</v>
      </c>
      <c r="G4044" s="19" t="s">
        <v>1441</v>
      </c>
      <c r="H4044" s="19" t="s">
        <v>404</v>
      </c>
      <c r="I4044" s="19" t="s">
        <v>1019</v>
      </c>
      <c r="J4044" s="19" t="s">
        <v>1008</v>
      </c>
      <c r="K4044" s="19" t="s">
        <v>553</v>
      </c>
      <c r="L4044" s="19">
        <v>2025</v>
      </c>
      <c r="M4044" s="20">
        <v>3</v>
      </c>
      <c r="N4044" s="19" t="s">
        <v>616</v>
      </c>
      <c r="O4044" s="20">
        <v>480</v>
      </c>
      <c r="P4044" s="20">
        <v>1440</v>
      </c>
      <c r="Q4044" s="20">
        <v>1271.0400554477596</v>
      </c>
      <c r="R4044" s="21">
        <v>1</v>
      </c>
      <c r="S4044" s="20">
        <v>1271.0400554477596</v>
      </c>
    </row>
    <row r="4045" spans="2:19" ht="15" customHeight="1" x14ac:dyDescent="0.25">
      <c r="B4045" s="2" t="str">
        <f t="shared" si="126"/>
        <v>PGL_Income Eligible_Multi-Family_MF IHWAP_Furnace_&gt;95% AFUE_MF</v>
      </c>
      <c r="C4045" s="2" t="str">
        <f t="shared" si="127"/>
        <v>PGL_Income Eligible_Multi-Family_MF IHWAP_Furnace_&gt;95% AFUE_MF_2022</v>
      </c>
      <c r="D4045" s="19" t="s">
        <v>1794</v>
      </c>
      <c r="E4045" s="19" t="s">
        <v>325</v>
      </c>
      <c r="F4045" s="19" t="s">
        <v>1422</v>
      </c>
      <c r="G4045" s="19" t="s">
        <v>1441</v>
      </c>
      <c r="H4045" s="19" t="s">
        <v>490</v>
      </c>
      <c r="I4045" s="19" t="s">
        <v>982</v>
      </c>
      <c r="J4045" s="19" t="s">
        <v>983</v>
      </c>
      <c r="K4045" s="19" t="s">
        <v>553</v>
      </c>
      <c r="L4045" s="19">
        <v>2022</v>
      </c>
      <c r="M4045" s="20">
        <v>1</v>
      </c>
      <c r="N4045" s="19" t="s">
        <v>1798</v>
      </c>
      <c r="O4045" s="20">
        <v>15</v>
      </c>
      <c r="P4045" s="20">
        <v>15</v>
      </c>
      <c r="Q4045" s="20">
        <v>3550.387499999998</v>
      </c>
      <c r="R4045" s="21">
        <v>1</v>
      </c>
      <c r="S4045" s="20">
        <v>3550.387499999998</v>
      </c>
    </row>
    <row r="4046" spans="2:19" ht="15" customHeight="1" x14ac:dyDescent="0.25">
      <c r="B4046" s="2" t="str">
        <f t="shared" si="126"/>
        <v>PGL_Income Eligible_Multi-Family_MF IHWAP_Furnace_&gt;95% AFUE_MF</v>
      </c>
      <c r="C4046" s="2" t="str">
        <f t="shared" si="127"/>
        <v>PGL_Income Eligible_Multi-Family_MF IHWAP_Furnace_&gt;95% AFUE_MF_2023</v>
      </c>
      <c r="D4046" s="19" t="s">
        <v>1794</v>
      </c>
      <c r="E4046" s="19" t="s">
        <v>325</v>
      </c>
      <c r="F4046" s="19" t="s">
        <v>1422</v>
      </c>
      <c r="G4046" s="19" t="s">
        <v>1441</v>
      </c>
      <c r="H4046" s="19" t="s">
        <v>490</v>
      </c>
      <c r="I4046" s="19" t="s">
        <v>982</v>
      </c>
      <c r="J4046" s="19" t="s">
        <v>983</v>
      </c>
      <c r="K4046" s="19" t="s">
        <v>553</v>
      </c>
      <c r="L4046" s="19">
        <v>2023</v>
      </c>
      <c r="M4046" s="20">
        <v>1</v>
      </c>
      <c r="N4046" s="19" t="s">
        <v>1798</v>
      </c>
      <c r="O4046" s="20">
        <v>25</v>
      </c>
      <c r="P4046" s="20">
        <v>25</v>
      </c>
      <c r="Q4046" s="20">
        <v>5917.3124999999964</v>
      </c>
      <c r="R4046" s="21">
        <v>1</v>
      </c>
      <c r="S4046" s="20">
        <v>5917.3124999999964</v>
      </c>
    </row>
    <row r="4047" spans="2:19" ht="15" customHeight="1" x14ac:dyDescent="0.25">
      <c r="B4047" s="2" t="str">
        <f t="shared" si="126"/>
        <v>PGL_Income Eligible_Multi-Family_MF IHWAP_Furnace_&gt;95% AFUE_MF</v>
      </c>
      <c r="C4047" s="2" t="str">
        <f t="shared" si="127"/>
        <v>PGL_Income Eligible_Multi-Family_MF IHWAP_Furnace_&gt;95% AFUE_MF_2024</v>
      </c>
      <c r="D4047" s="19" t="s">
        <v>1794</v>
      </c>
      <c r="E4047" s="19" t="s">
        <v>325</v>
      </c>
      <c r="F4047" s="19" t="s">
        <v>1422</v>
      </c>
      <c r="G4047" s="19" t="s">
        <v>1441</v>
      </c>
      <c r="H4047" s="19" t="s">
        <v>490</v>
      </c>
      <c r="I4047" s="19" t="s">
        <v>982</v>
      </c>
      <c r="J4047" s="19" t="s">
        <v>983</v>
      </c>
      <c r="K4047" s="19" t="s">
        <v>553</v>
      </c>
      <c r="L4047" s="19">
        <v>2024</v>
      </c>
      <c r="M4047" s="20">
        <v>1</v>
      </c>
      <c r="N4047" s="19" t="s">
        <v>1798</v>
      </c>
      <c r="O4047" s="20">
        <v>45</v>
      </c>
      <c r="P4047" s="20">
        <v>45</v>
      </c>
      <c r="Q4047" s="20">
        <v>10651.162499999993</v>
      </c>
      <c r="R4047" s="21">
        <v>1</v>
      </c>
      <c r="S4047" s="20">
        <v>10651.162499999993</v>
      </c>
    </row>
    <row r="4048" spans="2:19" ht="15" customHeight="1" x14ac:dyDescent="0.25">
      <c r="B4048" s="2" t="str">
        <f t="shared" si="126"/>
        <v>PGL_Income Eligible_Multi-Family_MF IHWAP_Furnace_&gt;95% AFUE_MF</v>
      </c>
      <c r="C4048" s="2" t="str">
        <f t="shared" si="127"/>
        <v>PGL_Income Eligible_Multi-Family_MF IHWAP_Furnace_&gt;95% AFUE_MF_2025</v>
      </c>
      <c r="D4048" s="19" t="s">
        <v>1794</v>
      </c>
      <c r="E4048" s="19" t="s">
        <v>325</v>
      </c>
      <c r="F4048" s="19" t="s">
        <v>1422</v>
      </c>
      <c r="G4048" s="19" t="s">
        <v>1441</v>
      </c>
      <c r="H4048" s="19" t="s">
        <v>490</v>
      </c>
      <c r="I4048" s="19" t="s">
        <v>982</v>
      </c>
      <c r="J4048" s="19" t="s">
        <v>983</v>
      </c>
      <c r="K4048" s="19" t="s">
        <v>553</v>
      </c>
      <c r="L4048" s="19">
        <v>2025</v>
      </c>
      <c r="M4048" s="20">
        <v>1</v>
      </c>
      <c r="N4048" s="19" t="s">
        <v>1798</v>
      </c>
      <c r="O4048" s="20">
        <v>60</v>
      </c>
      <c r="P4048" s="20">
        <v>60</v>
      </c>
      <c r="Q4048" s="20">
        <v>14201.549999999992</v>
      </c>
      <c r="R4048" s="21">
        <v>1</v>
      </c>
      <c r="S4048" s="20">
        <v>14201.549999999992</v>
      </c>
    </row>
    <row r="4049" spans="2:19" ht="15" customHeight="1" x14ac:dyDescent="0.25">
      <c r="B4049" s="2" t="str">
        <f t="shared" si="126"/>
        <v>PGL_Income Eligible_Multi-Family_MF IHWAP_Attic Insulation_0_SF</v>
      </c>
      <c r="C4049" s="2" t="str">
        <f t="shared" si="127"/>
        <v>PGL_Income Eligible_Multi-Family_MF IHWAP_Attic Insulation_0_SF_2022</v>
      </c>
      <c r="D4049" s="19" t="s">
        <v>1794</v>
      </c>
      <c r="E4049" s="19" t="s">
        <v>325</v>
      </c>
      <c r="F4049" s="19" t="s">
        <v>1422</v>
      </c>
      <c r="G4049" s="19" t="s">
        <v>1441</v>
      </c>
      <c r="H4049" s="19" t="s">
        <v>631</v>
      </c>
      <c r="I4049" s="19">
        <v>0</v>
      </c>
      <c r="J4049" s="19" t="s">
        <v>632</v>
      </c>
      <c r="K4049" s="19" t="s">
        <v>409</v>
      </c>
      <c r="L4049" s="19">
        <v>2022</v>
      </c>
      <c r="M4049" s="20">
        <v>571.34801762114535</v>
      </c>
      <c r="N4049" s="19" t="s">
        <v>751</v>
      </c>
      <c r="O4049" s="20">
        <v>15</v>
      </c>
      <c r="P4049" s="20">
        <v>8570.2202643171804</v>
      </c>
      <c r="Q4049" s="20">
        <v>689.53576684798895</v>
      </c>
      <c r="R4049" s="21">
        <v>1</v>
      </c>
      <c r="S4049" s="20">
        <v>689.53576684798895</v>
      </c>
    </row>
    <row r="4050" spans="2:19" ht="15" customHeight="1" x14ac:dyDescent="0.25">
      <c r="B4050" s="2" t="str">
        <f t="shared" si="126"/>
        <v>PGL_Income Eligible_Multi-Family_MF IHWAP_Attic Insulation_0_SF</v>
      </c>
      <c r="C4050" s="2" t="str">
        <f t="shared" si="127"/>
        <v>PGL_Income Eligible_Multi-Family_MF IHWAP_Attic Insulation_0_SF_2023</v>
      </c>
      <c r="D4050" s="19" t="s">
        <v>1794</v>
      </c>
      <c r="E4050" s="19" t="s">
        <v>325</v>
      </c>
      <c r="F4050" s="19" t="s">
        <v>1422</v>
      </c>
      <c r="G4050" s="19" t="s">
        <v>1441</v>
      </c>
      <c r="H4050" s="19" t="s">
        <v>631</v>
      </c>
      <c r="I4050" s="19">
        <v>0</v>
      </c>
      <c r="J4050" s="19" t="s">
        <v>632</v>
      </c>
      <c r="K4050" s="19" t="s">
        <v>409</v>
      </c>
      <c r="L4050" s="19">
        <v>2023</v>
      </c>
      <c r="M4050" s="20">
        <v>571.34801762114535</v>
      </c>
      <c r="N4050" s="19" t="s">
        <v>751</v>
      </c>
      <c r="O4050" s="20">
        <v>25</v>
      </c>
      <c r="P4050" s="20">
        <v>14283.700440528633</v>
      </c>
      <c r="Q4050" s="20">
        <v>1149.2262780799815</v>
      </c>
      <c r="R4050" s="21">
        <v>1</v>
      </c>
      <c r="S4050" s="20">
        <v>1149.2262780799815</v>
      </c>
    </row>
    <row r="4051" spans="2:19" ht="15" customHeight="1" x14ac:dyDescent="0.25">
      <c r="B4051" s="2" t="str">
        <f t="shared" si="126"/>
        <v>PGL_Income Eligible_Multi-Family_MF IHWAP_Attic Insulation_0_SF</v>
      </c>
      <c r="C4051" s="2" t="str">
        <f t="shared" si="127"/>
        <v>PGL_Income Eligible_Multi-Family_MF IHWAP_Attic Insulation_0_SF_2024</v>
      </c>
      <c r="D4051" s="19" t="s">
        <v>1794</v>
      </c>
      <c r="E4051" s="19" t="s">
        <v>325</v>
      </c>
      <c r="F4051" s="19" t="s">
        <v>1422</v>
      </c>
      <c r="G4051" s="19" t="s">
        <v>1441</v>
      </c>
      <c r="H4051" s="19" t="s">
        <v>631</v>
      </c>
      <c r="I4051" s="19">
        <v>0</v>
      </c>
      <c r="J4051" s="19" t="s">
        <v>632</v>
      </c>
      <c r="K4051" s="19" t="s">
        <v>409</v>
      </c>
      <c r="L4051" s="19">
        <v>2024</v>
      </c>
      <c r="M4051" s="20">
        <v>571.34801762114535</v>
      </c>
      <c r="N4051" s="19" t="s">
        <v>751</v>
      </c>
      <c r="O4051" s="20">
        <v>45</v>
      </c>
      <c r="P4051" s="20">
        <v>25710.660792951541</v>
      </c>
      <c r="Q4051" s="20">
        <v>2068.6073005439671</v>
      </c>
      <c r="R4051" s="21">
        <v>1</v>
      </c>
      <c r="S4051" s="20">
        <v>2068.6073005439671</v>
      </c>
    </row>
    <row r="4052" spans="2:19" ht="15" customHeight="1" x14ac:dyDescent="0.25">
      <c r="B4052" s="2" t="str">
        <f t="shared" si="126"/>
        <v>PGL_Income Eligible_Multi-Family_MF IHWAP_Attic Insulation_0_SF</v>
      </c>
      <c r="C4052" s="2" t="str">
        <f t="shared" si="127"/>
        <v>PGL_Income Eligible_Multi-Family_MF IHWAP_Attic Insulation_0_SF_2025</v>
      </c>
      <c r="D4052" s="19" t="s">
        <v>1794</v>
      </c>
      <c r="E4052" s="19" t="s">
        <v>325</v>
      </c>
      <c r="F4052" s="19" t="s">
        <v>1422</v>
      </c>
      <c r="G4052" s="19" t="s">
        <v>1441</v>
      </c>
      <c r="H4052" s="19" t="s">
        <v>631</v>
      </c>
      <c r="I4052" s="19">
        <v>0</v>
      </c>
      <c r="J4052" s="19" t="s">
        <v>632</v>
      </c>
      <c r="K4052" s="19" t="s">
        <v>409</v>
      </c>
      <c r="L4052" s="19">
        <v>2025</v>
      </c>
      <c r="M4052" s="20">
        <v>571.34801762114535</v>
      </c>
      <c r="N4052" s="19" t="s">
        <v>751</v>
      </c>
      <c r="O4052" s="20">
        <v>60</v>
      </c>
      <c r="P4052" s="20">
        <v>34280.881057268722</v>
      </c>
      <c r="Q4052" s="20">
        <v>2758.1430673919558</v>
      </c>
      <c r="R4052" s="21">
        <v>1</v>
      </c>
      <c r="S4052" s="20">
        <v>2758.1430673919558</v>
      </c>
    </row>
    <row r="4053" spans="2:19" ht="15" customHeight="1" x14ac:dyDescent="0.25">
      <c r="B4053" s="2" t="str">
        <f t="shared" si="126"/>
        <v>PGL_Income Eligible_Multi-Family_MF IHWAP_Wall Insulation_0_SF</v>
      </c>
      <c r="C4053" s="2" t="str">
        <f t="shared" si="127"/>
        <v>PGL_Income Eligible_Multi-Family_MF IHWAP_Wall Insulation_0_SF_2022</v>
      </c>
      <c r="D4053" s="19" t="s">
        <v>1794</v>
      </c>
      <c r="E4053" s="19" t="s">
        <v>325</v>
      </c>
      <c r="F4053" s="19" t="s">
        <v>1422</v>
      </c>
      <c r="G4053" s="19" t="s">
        <v>1441</v>
      </c>
      <c r="H4053" s="19" t="s">
        <v>222</v>
      </c>
      <c r="I4053" s="19">
        <v>0</v>
      </c>
      <c r="J4053" s="19" t="s">
        <v>783</v>
      </c>
      <c r="K4053" s="19" t="s">
        <v>409</v>
      </c>
      <c r="L4053" s="19">
        <v>2022</v>
      </c>
      <c r="M4053" s="20">
        <v>600</v>
      </c>
      <c r="N4053" s="19" t="s">
        <v>751</v>
      </c>
      <c r="O4053" s="20">
        <v>15</v>
      </c>
      <c r="P4053" s="20">
        <v>9000</v>
      </c>
      <c r="Q4053" s="20">
        <v>974.47764705882355</v>
      </c>
      <c r="R4053" s="21">
        <v>1</v>
      </c>
      <c r="S4053" s="20">
        <v>974.47764705882355</v>
      </c>
    </row>
    <row r="4054" spans="2:19" ht="15" customHeight="1" x14ac:dyDescent="0.25">
      <c r="B4054" s="2" t="str">
        <f t="shared" si="126"/>
        <v>PGL_Income Eligible_Multi-Family_MF IHWAP_Wall Insulation_0_SF</v>
      </c>
      <c r="C4054" s="2" t="str">
        <f t="shared" si="127"/>
        <v>PGL_Income Eligible_Multi-Family_MF IHWAP_Wall Insulation_0_SF_2023</v>
      </c>
      <c r="D4054" s="19" t="s">
        <v>1794</v>
      </c>
      <c r="E4054" s="19" t="s">
        <v>325</v>
      </c>
      <c r="F4054" s="19" t="s">
        <v>1422</v>
      </c>
      <c r="G4054" s="19" t="s">
        <v>1441</v>
      </c>
      <c r="H4054" s="19" t="s">
        <v>222</v>
      </c>
      <c r="I4054" s="19">
        <v>0</v>
      </c>
      <c r="J4054" s="19" t="s">
        <v>783</v>
      </c>
      <c r="K4054" s="19" t="s">
        <v>409</v>
      </c>
      <c r="L4054" s="19">
        <v>2023</v>
      </c>
      <c r="M4054" s="20">
        <v>600</v>
      </c>
      <c r="N4054" s="19" t="s">
        <v>751</v>
      </c>
      <c r="O4054" s="20">
        <v>25</v>
      </c>
      <c r="P4054" s="20">
        <v>15000</v>
      </c>
      <c r="Q4054" s="20">
        <v>1624.1294117647058</v>
      </c>
      <c r="R4054" s="21">
        <v>1</v>
      </c>
      <c r="S4054" s="20">
        <v>1624.1294117647058</v>
      </c>
    </row>
    <row r="4055" spans="2:19" ht="15" customHeight="1" x14ac:dyDescent="0.25">
      <c r="B4055" s="2" t="str">
        <f t="shared" si="126"/>
        <v>PGL_Income Eligible_Multi-Family_MF IHWAP_Wall Insulation_0_SF</v>
      </c>
      <c r="C4055" s="2" t="str">
        <f t="shared" si="127"/>
        <v>PGL_Income Eligible_Multi-Family_MF IHWAP_Wall Insulation_0_SF_2024</v>
      </c>
      <c r="D4055" s="19" t="s">
        <v>1794</v>
      </c>
      <c r="E4055" s="19" t="s">
        <v>325</v>
      </c>
      <c r="F4055" s="19" t="s">
        <v>1422</v>
      </c>
      <c r="G4055" s="19" t="s">
        <v>1441</v>
      </c>
      <c r="H4055" s="19" t="s">
        <v>222</v>
      </c>
      <c r="I4055" s="19">
        <v>0</v>
      </c>
      <c r="J4055" s="19" t="s">
        <v>783</v>
      </c>
      <c r="K4055" s="19" t="s">
        <v>409</v>
      </c>
      <c r="L4055" s="19">
        <v>2024</v>
      </c>
      <c r="M4055" s="20">
        <v>600</v>
      </c>
      <c r="N4055" s="19" t="s">
        <v>751</v>
      </c>
      <c r="O4055" s="20">
        <v>45</v>
      </c>
      <c r="P4055" s="20">
        <v>27000</v>
      </c>
      <c r="Q4055" s="20">
        <v>2923.4329411764706</v>
      </c>
      <c r="R4055" s="21">
        <v>1</v>
      </c>
      <c r="S4055" s="20">
        <v>2923.4329411764706</v>
      </c>
    </row>
    <row r="4056" spans="2:19" ht="15" customHeight="1" x14ac:dyDescent="0.25">
      <c r="B4056" s="2" t="str">
        <f t="shared" si="126"/>
        <v>PGL_Income Eligible_Multi-Family_MF IHWAP_Wall Insulation_0_SF</v>
      </c>
      <c r="C4056" s="2" t="str">
        <f t="shared" si="127"/>
        <v>PGL_Income Eligible_Multi-Family_MF IHWAP_Wall Insulation_0_SF_2025</v>
      </c>
      <c r="D4056" s="19" t="s">
        <v>1794</v>
      </c>
      <c r="E4056" s="19" t="s">
        <v>325</v>
      </c>
      <c r="F4056" s="19" t="s">
        <v>1422</v>
      </c>
      <c r="G4056" s="19" t="s">
        <v>1441</v>
      </c>
      <c r="H4056" s="19" t="s">
        <v>222</v>
      </c>
      <c r="I4056" s="19">
        <v>0</v>
      </c>
      <c r="J4056" s="19" t="s">
        <v>783</v>
      </c>
      <c r="K4056" s="19" t="s">
        <v>409</v>
      </c>
      <c r="L4056" s="19">
        <v>2025</v>
      </c>
      <c r="M4056" s="20">
        <v>600</v>
      </c>
      <c r="N4056" s="19" t="s">
        <v>751</v>
      </c>
      <c r="O4056" s="20">
        <v>60</v>
      </c>
      <c r="P4056" s="20">
        <v>36000</v>
      </c>
      <c r="Q4056" s="20">
        <v>3897.9105882352942</v>
      </c>
      <c r="R4056" s="21">
        <v>1</v>
      </c>
      <c r="S4056" s="20">
        <v>3897.9105882352942</v>
      </c>
    </row>
    <row r="4057" spans="2:19" ht="15" customHeight="1" x14ac:dyDescent="0.25">
      <c r="B4057" s="2" t="str">
        <f t="shared" si="126"/>
        <v>PGL_Income Eligible_Multi-Family_MF IHWAP_Water Heater_Storage 0.67 EF_MF</v>
      </c>
      <c r="C4057" s="2" t="str">
        <f t="shared" si="127"/>
        <v>PGL_Income Eligible_Multi-Family_MF IHWAP_Water Heater_Storage 0.67 EF_MF_2022</v>
      </c>
      <c r="D4057" s="19" t="s">
        <v>1794</v>
      </c>
      <c r="E4057" s="19" t="s">
        <v>325</v>
      </c>
      <c r="F4057" s="19" t="s">
        <v>1422</v>
      </c>
      <c r="G4057" s="19" t="s">
        <v>1441</v>
      </c>
      <c r="H4057" s="19" t="s">
        <v>8</v>
      </c>
      <c r="I4057" s="19" t="s">
        <v>879</v>
      </c>
      <c r="J4057" s="19" t="s">
        <v>1263</v>
      </c>
      <c r="K4057" s="19" t="s">
        <v>553</v>
      </c>
      <c r="L4057" s="19">
        <v>2022</v>
      </c>
      <c r="M4057" s="20">
        <v>1</v>
      </c>
      <c r="N4057" s="19" t="s">
        <v>1798</v>
      </c>
      <c r="O4057" s="20">
        <v>8</v>
      </c>
      <c r="P4057" s="20">
        <v>8</v>
      </c>
      <c r="Q4057" s="20">
        <v>283.48414267900995</v>
      </c>
      <c r="R4057" s="21">
        <v>1</v>
      </c>
      <c r="S4057" s="20">
        <v>283.48414267900995</v>
      </c>
    </row>
    <row r="4058" spans="2:19" ht="15" customHeight="1" x14ac:dyDescent="0.25">
      <c r="B4058" s="2" t="str">
        <f t="shared" si="126"/>
        <v>PGL_Income Eligible_Multi-Family_MF IHWAP_Water Heater_Storage 0.67 EF_MF</v>
      </c>
      <c r="C4058" s="2" t="str">
        <f t="shared" si="127"/>
        <v>PGL_Income Eligible_Multi-Family_MF IHWAP_Water Heater_Storage 0.67 EF_MF_2023</v>
      </c>
      <c r="D4058" s="19" t="s">
        <v>1794</v>
      </c>
      <c r="E4058" s="19" t="s">
        <v>325</v>
      </c>
      <c r="F4058" s="19" t="s">
        <v>1422</v>
      </c>
      <c r="G4058" s="19" t="s">
        <v>1441</v>
      </c>
      <c r="H4058" s="19" t="s">
        <v>8</v>
      </c>
      <c r="I4058" s="19" t="s">
        <v>879</v>
      </c>
      <c r="J4058" s="19" t="s">
        <v>1263</v>
      </c>
      <c r="K4058" s="19" t="s">
        <v>553</v>
      </c>
      <c r="L4058" s="19">
        <v>2023</v>
      </c>
      <c r="M4058" s="20">
        <v>1</v>
      </c>
      <c r="N4058" s="19" t="s">
        <v>1798</v>
      </c>
      <c r="O4058" s="20">
        <v>13</v>
      </c>
      <c r="P4058" s="20">
        <v>13</v>
      </c>
      <c r="Q4058" s="20">
        <v>460.66173185339119</v>
      </c>
      <c r="R4058" s="21">
        <v>1</v>
      </c>
      <c r="S4058" s="20">
        <v>460.66173185339119</v>
      </c>
    </row>
    <row r="4059" spans="2:19" ht="15" customHeight="1" x14ac:dyDescent="0.25">
      <c r="B4059" s="2" t="str">
        <f t="shared" si="126"/>
        <v>PGL_Income Eligible_Multi-Family_MF IHWAP_Water Heater_Storage 0.67 EF_MF</v>
      </c>
      <c r="C4059" s="2" t="str">
        <f t="shared" si="127"/>
        <v>PGL_Income Eligible_Multi-Family_MF IHWAP_Water Heater_Storage 0.67 EF_MF_2024</v>
      </c>
      <c r="D4059" s="19" t="s">
        <v>1794</v>
      </c>
      <c r="E4059" s="19" t="s">
        <v>325</v>
      </c>
      <c r="F4059" s="19" t="s">
        <v>1422</v>
      </c>
      <c r="G4059" s="19" t="s">
        <v>1441</v>
      </c>
      <c r="H4059" s="19" t="s">
        <v>8</v>
      </c>
      <c r="I4059" s="19" t="s">
        <v>879</v>
      </c>
      <c r="J4059" s="19" t="s">
        <v>1263</v>
      </c>
      <c r="K4059" s="19" t="s">
        <v>553</v>
      </c>
      <c r="L4059" s="19">
        <v>2024</v>
      </c>
      <c r="M4059" s="20">
        <v>1</v>
      </c>
      <c r="N4059" s="19" t="s">
        <v>1798</v>
      </c>
      <c r="O4059" s="20">
        <v>23</v>
      </c>
      <c r="P4059" s="20">
        <v>23</v>
      </c>
      <c r="Q4059" s="20">
        <v>815.01691020215355</v>
      </c>
      <c r="R4059" s="21">
        <v>1</v>
      </c>
      <c r="S4059" s="20">
        <v>815.01691020215355</v>
      </c>
    </row>
    <row r="4060" spans="2:19" ht="15" customHeight="1" x14ac:dyDescent="0.25">
      <c r="B4060" s="2" t="str">
        <f t="shared" si="126"/>
        <v>PGL_Income Eligible_Multi-Family_MF IHWAP_Water Heater_Storage 0.67 EF_MF</v>
      </c>
      <c r="C4060" s="2" t="str">
        <f t="shared" si="127"/>
        <v>PGL_Income Eligible_Multi-Family_MF IHWAP_Water Heater_Storage 0.67 EF_MF_2025</v>
      </c>
      <c r="D4060" s="19" t="s">
        <v>1794</v>
      </c>
      <c r="E4060" s="19" t="s">
        <v>325</v>
      </c>
      <c r="F4060" s="19" t="s">
        <v>1422</v>
      </c>
      <c r="G4060" s="19" t="s">
        <v>1441</v>
      </c>
      <c r="H4060" s="19" t="s">
        <v>8</v>
      </c>
      <c r="I4060" s="19" t="s">
        <v>879</v>
      </c>
      <c r="J4060" s="19" t="s">
        <v>1263</v>
      </c>
      <c r="K4060" s="19" t="s">
        <v>553</v>
      </c>
      <c r="L4060" s="19">
        <v>2025</v>
      </c>
      <c r="M4060" s="20">
        <v>1</v>
      </c>
      <c r="N4060" s="19" t="s">
        <v>1798</v>
      </c>
      <c r="O4060" s="20">
        <v>30</v>
      </c>
      <c r="P4060" s="20">
        <v>30</v>
      </c>
      <c r="Q4060" s="20">
        <v>1063.0655350462873</v>
      </c>
      <c r="R4060" s="21">
        <v>1</v>
      </c>
      <c r="S4060" s="20">
        <v>1063.0655350462873</v>
      </c>
    </row>
    <row r="4061" spans="2:19" ht="15" customHeight="1" x14ac:dyDescent="0.25">
      <c r="B4061" s="2" t="str">
        <f t="shared" si="126"/>
        <v>PGL_Income Eligible_Multi-Family_MF IHWAP_Health &amp; Safety_0_MF</v>
      </c>
      <c r="C4061" s="2" t="str">
        <f t="shared" si="127"/>
        <v>PGL_Income Eligible_Multi-Family_MF IHWAP_Health &amp; Safety_0_MF_2022</v>
      </c>
      <c r="D4061" s="19" t="s">
        <v>1794</v>
      </c>
      <c r="E4061" s="19" t="s">
        <v>325</v>
      </c>
      <c r="F4061" s="19" t="s">
        <v>1422</v>
      </c>
      <c r="G4061" s="19" t="s">
        <v>1441</v>
      </c>
      <c r="H4061" s="19" t="s">
        <v>241</v>
      </c>
      <c r="I4061" s="19">
        <v>0</v>
      </c>
      <c r="J4061" s="19" t="s">
        <v>1469</v>
      </c>
      <c r="K4061" s="19" t="s">
        <v>553</v>
      </c>
      <c r="L4061" s="19">
        <v>2022</v>
      </c>
      <c r="M4061" s="20">
        <v>1</v>
      </c>
      <c r="N4061" s="19" t="s">
        <v>1798</v>
      </c>
      <c r="O4061" s="20">
        <v>150</v>
      </c>
      <c r="P4061" s="20">
        <v>150</v>
      </c>
      <c r="Q4061" s="20">
        <v>0</v>
      </c>
      <c r="R4061" s="21">
        <v>1</v>
      </c>
      <c r="S4061" s="20">
        <v>0</v>
      </c>
    </row>
    <row r="4062" spans="2:19" ht="15" customHeight="1" x14ac:dyDescent="0.25">
      <c r="B4062" s="2" t="str">
        <f t="shared" si="126"/>
        <v>PGL_Income Eligible_Multi-Family_MF IHWAP_Health &amp; Safety_0_MF</v>
      </c>
      <c r="C4062" s="2" t="str">
        <f t="shared" si="127"/>
        <v>PGL_Income Eligible_Multi-Family_MF IHWAP_Health &amp; Safety_0_MF_2023</v>
      </c>
      <c r="D4062" s="19" t="s">
        <v>1794</v>
      </c>
      <c r="E4062" s="19" t="s">
        <v>325</v>
      </c>
      <c r="F4062" s="19" t="s">
        <v>1422</v>
      </c>
      <c r="G4062" s="19" t="s">
        <v>1441</v>
      </c>
      <c r="H4062" s="19" t="s">
        <v>241</v>
      </c>
      <c r="I4062" s="19">
        <v>0</v>
      </c>
      <c r="J4062" s="19" t="s">
        <v>1469</v>
      </c>
      <c r="K4062" s="19" t="s">
        <v>553</v>
      </c>
      <c r="L4062" s="19">
        <v>2023</v>
      </c>
      <c r="M4062" s="20">
        <v>1</v>
      </c>
      <c r="N4062" s="19" t="s">
        <v>1798</v>
      </c>
      <c r="O4062" s="20">
        <v>250</v>
      </c>
      <c r="P4062" s="20">
        <v>250</v>
      </c>
      <c r="Q4062" s="20">
        <v>0</v>
      </c>
      <c r="R4062" s="21">
        <v>1</v>
      </c>
      <c r="S4062" s="20">
        <v>0</v>
      </c>
    </row>
    <row r="4063" spans="2:19" ht="15" customHeight="1" x14ac:dyDescent="0.25">
      <c r="B4063" s="2" t="str">
        <f t="shared" si="126"/>
        <v>PGL_Income Eligible_Multi-Family_MF IHWAP_Health &amp; Safety_0_MF</v>
      </c>
      <c r="C4063" s="2" t="str">
        <f t="shared" si="127"/>
        <v>PGL_Income Eligible_Multi-Family_MF IHWAP_Health &amp; Safety_0_MF_2024</v>
      </c>
      <c r="D4063" s="19" t="s">
        <v>1794</v>
      </c>
      <c r="E4063" s="19" t="s">
        <v>325</v>
      </c>
      <c r="F4063" s="19" t="s">
        <v>1422</v>
      </c>
      <c r="G4063" s="19" t="s">
        <v>1441</v>
      </c>
      <c r="H4063" s="19" t="s">
        <v>241</v>
      </c>
      <c r="I4063" s="19">
        <v>0</v>
      </c>
      <c r="J4063" s="19" t="s">
        <v>1469</v>
      </c>
      <c r="K4063" s="19" t="s">
        <v>553</v>
      </c>
      <c r="L4063" s="19">
        <v>2024</v>
      </c>
      <c r="M4063" s="20">
        <v>1</v>
      </c>
      <c r="N4063" s="19" t="s">
        <v>1798</v>
      </c>
      <c r="O4063" s="20">
        <v>450</v>
      </c>
      <c r="P4063" s="20">
        <v>450</v>
      </c>
      <c r="Q4063" s="20">
        <v>0</v>
      </c>
      <c r="R4063" s="21">
        <v>1</v>
      </c>
      <c r="S4063" s="20">
        <v>0</v>
      </c>
    </row>
    <row r="4064" spans="2:19" ht="15" customHeight="1" x14ac:dyDescent="0.25">
      <c r="B4064" s="2" t="str">
        <f t="shared" si="126"/>
        <v>PGL_Income Eligible_Multi-Family_MF IHWAP_Health &amp; Safety_0_MF</v>
      </c>
      <c r="C4064" s="2" t="str">
        <f t="shared" si="127"/>
        <v>PGL_Income Eligible_Multi-Family_MF IHWAP_Health &amp; Safety_0_MF_2025</v>
      </c>
      <c r="D4064" s="19" t="s">
        <v>1794</v>
      </c>
      <c r="E4064" s="19" t="s">
        <v>325</v>
      </c>
      <c r="F4064" s="19" t="s">
        <v>1422</v>
      </c>
      <c r="G4064" s="19" t="s">
        <v>1441</v>
      </c>
      <c r="H4064" s="19" t="s">
        <v>241</v>
      </c>
      <c r="I4064" s="19">
        <v>0</v>
      </c>
      <c r="J4064" s="19" t="s">
        <v>1469</v>
      </c>
      <c r="K4064" s="19" t="s">
        <v>553</v>
      </c>
      <c r="L4064" s="19">
        <v>2025</v>
      </c>
      <c r="M4064" s="20">
        <v>1</v>
      </c>
      <c r="N4064" s="19" t="s">
        <v>1798</v>
      </c>
      <c r="O4064" s="20">
        <v>600</v>
      </c>
      <c r="P4064" s="20">
        <v>600</v>
      </c>
      <c r="Q4064" s="20">
        <v>0</v>
      </c>
      <c r="R4064" s="21">
        <v>1</v>
      </c>
      <c r="S4064" s="20">
        <v>0</v>
      </c>
    </row>
    <row r="4065" spans="2:19" ht="15" customHeight="1" x14ac:dyDescent="0.25">
      <c r="B4065" s="2" t="str">
        <f t="shared" si="126"/>
        <v>PGL_Income Eligible_Multi-Family_MF IHWAP_Custom_0_MF</v>
      </c>
      <c r="C4065" s="2" t="str">
        <f t="shared" si="127"/>
        <v>PGL_Income Eligible_Multi-Family_MF IHWAP_Custom_0_MF_2022</v>
      </c>
      <c r="D4065" s="19" t="s">
        <v>1794</v>
      </c>
      <c r="E4065" s="19" t="s">
        <v>325</v>
      </c>
      <c r="F4065" s="19" t="s">
        <v>1422</v>
      </c>
      <c r="G4065" s="19" t="s">
        <v>1441</v>
      </c>
      <c r="H4065" s="19" t="s">
        <v>5</v>
      </c>
      <c r="I4065" s="19">
        <v>0</v>
      </c>
      <c r="J4065" s="19">
        <v>0</v>
      </c>
      <c r="K4065" s="19" t="s">
        <v>553</v>
      </c>
      <c r="L4065" s="19">
        <v>2022</v>
      </c>
      <c r="M4065" s="20">
        <v>1700</v>
      </c>
      <c r="N4065" s="19" t="s">
        <v>609</v>
      </c>
      <c r="O4065" s="20">
        <v>10</v>
      </c>
      <c r="P4065" s="20">
        <v>17000</v>
      </c>
      <c r="Q4065" s="20">
        <v>17000</v>
      </c>
      <c r="R4065" s="21">
        <v>1</v>
      </c>
      <c r="S4065" s="20">
        <v>17000</v>
      </c>
    </row>
    <row r="4066" spans="2:19" ht="15" customHeight="1" x14ac:dyDescent="0.25">
      <c r="B4066" s="2" t="str">
        <f t="shared" si="126"/>
        <v>PGL_Income Eligible_Multi-Family_MF IHWAP_Custom_0_MF</v>
      </c>
      <c r="C4066" s="2" t="str">
        <f t="shared" si="127"/>
        <v>PGL_Income Eligible_Multi-Family_MF IHWAP_Custom_0_MF_2023</v>
      </c>
      <c r="D4066" s="19" t="s">
        <v>1794</v>
      </c>
      <c r="E4066" s="19" t="s">
        <v>325</v>
      </c>
      <c r="F4066" s="19" t="s">
        <v>1422</v>
      </c>
      <c r="G4066" s="19" t="s">
        <v>1441</v>
      </c>
      <c r="H4066" s="19" t="s">
        <v>5</v>
      </c>
      <c r="I4066" s="19">
        <v>0</v>
      </c>
      <c r="J4066" s="19">
        <v>0</v>
      </c>
      <c r="K4066" s="19" t="s">
        <v>553</v>
      </c>
      <c r="L4066" s="19">
        <v>2023</v>
      </c>
      <c r="M4066" s="20">
        <v>1700</v>
      </c>
      <c r="N4066" s="19" t="s">
        <v>609</v>
      </c>
      <c r="O4066" s="20">
        <v>10</v>
      </c>
      <c r="P4066" s="20">
        <v>17000</v>
      </c>
      <c r="Q4066" s="20">
        <v>17000</v>
      </c>
      <c r="R4066" s="21">
        <v>1</v>
      </c>
      <c r="S4066" s="20">
        <v>17000</v>
      </c>
    </row>
    <row r="4067" spans="2:19" ht="15" customHeight="1" x14ac:dyDescent="0.25">
      <c r="B4067" s="2" t="str">
        <f t="shared" si="126"/>
        <v>PGL_Income Eligible_Multi-Family_MF IHWAP_Custom_0_MF</v>
      </c>
      <c r="C4067" s="2" t="str">
        <f t="shared" si="127"/>
        <v>PGL_Income Eligible_Multi-Family_MF IHWAP_Custom_0_MF_2024</v>
      </c>
      <c r="D4067" s="19" t="s">
        <v>1794</v>
      </c>
      <c r="E4067" s="19" t="s">
        <v>325</v>
      </c>
      <c r="F4067" s="19" t="s">
        <v>1422</v>
      </c>
      <c r="G4067" s="19" t="s">
        <v>1441</v>
      </c>
      <c r="H4067" s="19" t="s">
        <v>5</v>
      </c>
      <c r="I4067" s="19">
        <v>0</v>
      </c>
      <c r="J4067" s="19">
        <v>0</v>
      </c>
      <c r="K4067" s="19" t="s">
        <v>553</v>
      </c>
      <c r="L4067" s="19">
        <v>2024</v>
      </c>
      <c r="M4067" s="20">
        <v>1700</v>
      </c>
      <c r="N4067" s="19" t="s">
        <v>609</v>
      </c>
      <c r="O4067" s="20">
        <v>10</v>
      </c>
      <c r="P4067" s="20">
        <v>17000</v>
      </c>
      <c r="Q4067" s="20">
        <v>17000</v>
      </c>
      <c r="R4067" s="21">
        <v>1</v>
      </c>
      <c r="S4067" s="20">
        <v>17000</v>
      </c>
    </row>
    <row r="4068" spans="2:19" ht="15" customHeight="1" x14ac:dyDescent="0.25">
      <c r="B4068" s="2" t="str">
        <f t="shared" si="126"/>
        <v>PGL_Income Eligible_Multi-Family_MF IHWAP_Custom_0_MF</v>
      </c>
      <c r="C4068" s="2" t="str">
        <f t="shared" si="127"/>
        <v>PGL_Income Eligible_Multi-Family_MF IHWAP_Custom_0_MF_2025</v>
      </c>
      <c r="D4068" s="19" t="s">
        <v>1794</v>
      </c>
      <c r="E4068" s="19" t="s">
        <v>325</v>
      </c>
      <c r="F4068" s="19" t="s">
        <v>1422</v>
      </c>
      <c r="G4068" s="19" t="s">
        <v>1441</v>
      </c>
      <c r="H4068" s="19" t="s">
        <v>5</v>
      </c>
      <c r="I4068" s="19">
        <v>0</v>
      </c>
      <c r="J4068" s="19">
        <v>0</v>
      </c>
      <c r="K4068" s="19" t="s">
        <v>553</v>
      </c>
      <c r="L4068" s="19">
        <v>2025</v>
      </c>
      <c r="M4068" s="20">
        <v>1700</v>
      </c>
      <c r="N4068" s="19" t="s">
        <v>609</v>
      </c>
      <c r="O4068" s="20">
        <v>10</v>
      </c>
      <c r="P4068" s="20">
        <v>17000</v>
      </c>
      <c r="Q4068" s="20">
        <v>17000</v>
      </c>
      <c r="R4068" s="21">
        <v>1</v>
      </c>
      <c r="S4068" s="20">
        <v>17000</v>
      </c>
    </row>
    <row r="4069" spans="2:19" ht="15" customHeight="1" x14ac:dyDescent="0.25">
      <c r="B4069" s="2" t="str">
        <f t="shared" si="126"/>
        <v>PGL_Income Eligible_Multi-Family_Whole Building - Public Housing_Unit Visit_0_MF</v>
      </c>
      <c r="C4069" s="2" t="str">
        <f t="shared" si="127"/>
        <v>PGL_Income Eligible_Multi-Family_Whole Building - Public Housing_Unit Visit_0_MF_2022</v>
      </c>
      <c r="D4069" s="19" t="s">
        <v>1794</v>
      </c>
      <c r="E4069" s="19" t="s">
        <v>325</v>
      </c>
      <c r="F4069" s="19" t="s">
        <v>1422</v>
      </c>
      <c r="G4069" s="19" t="s">
        <v>1817</v>
      </c>
      <c r="H4069" s="19" t="s">
        <v>1090</v>
      </c>
      <c r="I4069" s="19">
        <v>0</v>
      </c>
      <c r="J4069" s="19">
        <v>0</v>
      </c>
      <c r="K4069" s="19" t="s">
        <v>553</v>
      </c>
      <c r="L4069" s="19">
        <v>2022</v>
      </c>
      <c r="M4069" s="20">
        <v>1</v>
      </c>
      <c r="N4069" s="19" t="s">
        <v>1067</v>
      </c>
      <c r="O4069" s="20">
        <v>1500</v>
      </c>
      <c r="P4069" s="20">
        <v>1500</v>
      </c>
      <c r="Q4069" s="20">
        <v>0</v>
      </c>
      <c r="R4069" s="21">
        <v>1</v>
      </c>
      <c r="S4069" s="20">
        <v>0</v>
      </c>
    </row>
    <row r="4070" spans="2:19" ht="15" customHeight="1" x14ac:dyDescent="0.25">
      <c r="B4070" s="2" t="str">
        <f t="shared" si="126"/>
        <v>PGL_Income Eligible_Multi-Family_Whole Building - Public Housing_Unit Visit_0_MF</v>
      </c>
      <c r="C4070" s="2" t="str">
        <f t="shared" si="127"/>
        <v>PGL_Income Eligible_Multi-Family_Whole Building - Public Housing_Unit Visit_0_MF_2023</v>
      </c>
      <c r="D4070" s="19" t="s">
        <v>1794</v>
      </c>
      <c r="E4070" s="19" t="s">
        <v>325</v>
      </c>
      <c r="F4070" s="19" t="s">
        <v>1422</v>
      </c>
      <c r="G4070" s="19" t="s">
        <v>1817</v>
      </c>
      <c r="H4070" s="19" t="s">
        <v>1090</v>
      </c>
      <c r="I4070" s="19">
        <v>0</v>
      </c>
      <c r="J4070" s="19">
        <v>0</v>
      </c>
      <c r="K4070" s="19" t="s">
        <v>553</v>
      </c>
      <c r="L4070" s="19">
        <v>2023</v>
      </c>
      <c r="M4070" s="20">
        <v>1</v>
      </c>
      <c r="N4070" s="19" t="s">
        <v>1067</v>
      </c>
      <c r="O4070" s="20">
        <v>1500</v>
      </c>
      <c r="P4070" s="20">
        <v>1500</v>
      </c>
      <c r="Q4070" s="20">
        <v>0</v>
      </c>
      <c r="R4070" s="21">
        <v>1</v>
      </c>
      <c r="S4070" s="20">
        <v>0</v>
      </c>
    </row>
    <row r="4071" spans="2:19" ht="15" customHeight="1" x14ac:dyDescent="0.25">
      <c r="B4071" s="2" t="str">
        <f t="shared" si="126"/>
        <v>PGL_Income Eligible_Multi-Family_Whole Building - Public Housing_Unit Visit_0_MF</v>
      </c>
      <c r="C4071" s="2" t="str">
        <f t="shared" si="127"/>
        <v>PGL_Income Eligible_Multi-Family_Whole Building - Public Housing_Unit Visit_0_MF_2024</v>
      </c>
      <c r="D4071" s="19" t="s">
        <v>1794</v>
      </c>
      <c r="E4071" s="19" t="s">
        <v>325</v>
      </c>
      <c r="F4071" s="19" t="s">
        <v>1422</v>
      </c>
      <c r="G4071" s="19" t="s">
        <v>1817</v>
      </c>
      <c r="H4071" s="19" t="s">
        <v>1090</v>
      </c>
      <c r="I4071" s="19">
        <v>0</v>
      </c>
      <c r="J4071" s="19">
        <v>0</v>
      </c>
      <c r="K4071" s="19" t="s">
        <v>553</v>
      </c>
      <c r="L4071" s="19">
        <v>2024</v>
      </c>
      <c r="M4071" s="20">
        <v>1</v>
      </c>
      <c r="N4071" s="19" t="s">
        <v>1067</v>
      </c>
      <c r="O4071" s="20">
        <v>1500</v>
      </c>
      <c r="P4071" s="20">
        <v>1500</v>
      </c>
      <c r="Q4071" s="20">
        <v>0</v>
      </c>
      <c r="R4071" s="21">
        <v>1</v>
      </c>
      <c r="S4071" s="20">
        <v>0</v>
      </c>
    </row>
    <row r="4072" spans="2:19" ht="15" customHeight="1" x14ac:dyDescent="0.25">
      <c r="B4072" s="2" t="str">
        <f t="shared" si="126"/>
        <v>PGL_Income Eligible_Multi-Family_Whole Building - Public Housing_Unit Visit_0_MF</v>
      </c>
      <c r="C4072" s="2" t="str">
        <f t="shared" si="127"/>
        <v>PGL_Income Eligible_Multi-Family_Whole Building - Public Housing_Unit Visit_0_MF_2025</v>
      </c>
      <c r="D4072" s="19" t="s">
        <v>1794</v>
      </c>
      <c r="E4072" s="19" t="s">
        <v>325</v>
      </c>
      <c r="F4072" s="19" t="s">
        <v>1422</v>
      </c>
      <c r="G4072" s="19" t="s">
        <v>1817</v>
      </c>
      <c r="H4072" s="19" t="s">
        <v>1090</v>
      </c>
      <c r="I4072" s="19">
        <v>0</v>
      </c>
      <c r="J4072" s="19">
        <v>0</v>
      </c>
      <c r="K4072" s="19" t="s">
        <v>553</v>
      </c>
      <c r="L4072" s="19">
        <v>2025</v>
      </c>
      <c r="M4072" s="20">
        <v>1</v>
      </c>
      <c r="N4072" s="19" t="s">
        <v>1067</v>
      </c>
      <c r="O4072" s="20">
        <v>1500</v>
      </c>
      <c r="P4072" s="20">
        <v>1500</v>
      </c>
      <c r="Q4072" s="20">
        <v>0</v>
      </c>
      <c r="R4072" s="21">
        <v>1</v>
      </c>
      <c r="S4072" s="20">
        <v>0</v>
      </c>
    </row>
    <row r="4073" spans="2:19" ht="15" customHeight="1" x14ac:dyDescent="0.25">
      <c r="B4073" s="2" t="str">
        <f t="shared" si="126"/>
        <v>PGL_Income Eligible_Multi-Family_Whole Building - Public Housing_Low Flow Bathroom Aerator_0_MF</v>
      </c>
      <c r="C4073" s="2" t="str">
        <f t="shared" si="127"/>
        <v>PGL_Income Eligible_Multi-Family_Whole Building - Public Housing_Low Flow Bathroom Aerator_0_MF_2022</v>
      </c>
      <c r="D4073" s="19" t="s">
        <v>1794</v>
      </c>
      <c r="E4073" s="19" t="s">
        <v>325</v>
      </c>
      <c r="F4073" s="19" t="s">
        <v>1422</v>
      </c>
      <c r="G4073" s="19" t="s">
        <v>1817</v>
      </c>
      <c r="H4073" s="19" t="s">
        <v>555</v>
      </c>
      <c r="I4073" s="19">
        <v>0</v>
      </c>
      <c r="J4073" s="19" t="s">
        <v>534</v>
      </c>
      <c r="K4073" s="19" t="s">
        <v>553</v>
      </c>
      <c r="L4073" s="19">
        <v>2022</v>
      </c>
      <c r="M4073" s="20">
        <v>1</v>
      </c>
      <c r="N4073" s="19" t="s">
        <v>1798</v>
      </c>
      <c r="O4073" s="20">
        <v>238</v>
      </c>
      <c r="P4073" s="20">
        <v>238</v>
      </c>
      <c r="Q4073" s="20">
        <v>373.54387541889605</v>
      </c>
      <c r="R4073" s="21">
        <v>1</v>
      </c>
      <c r="S4073" s="20">
        <v>373.54387541889605</v>
      </c>
    </row>
    <row r="4074" spans="2:19" ht="15" customHeight="1" x14ac:dyDescent="0.25">
      <c r="B4074" s="2" t="str">
        <f t="shared" si="126"/>
        <v>PGL_Income Eligible_Multi-Family_Whole Building - Public Housing_Low Flow Bathroom Aerator_0_MF</v>
      </c>
      <c r="C4074" s="2" t="str">
        <f t="shared" si="127"/>
        <v>PGL_Income Eligible_Multi-Family_Whole Building - Public Housing_Low Flow Bathroom Aerator_0_MF_2023</v>
      </c>
      <c r="D4074" s="19" t="s">
        <v>1794</v>
      </c>
      <c r="E4074" s="19" t="s">
        <v>325</v>
      </c>
      <c r="F4074" s="19" t="s">
        <v>1422</v>
      </c>
      <c r="G4074" s="19" t="s">
        <v>1817</v>
      </c>
      <c r="H4074" s="19" t="s">
        <v>555</v>
      </c>
      <c r="I4074" s="19">
        <v>0</v>
      </c>
      <c r="J4074" s="19" t="s">
        <v>534</v>
      </c>
      <c r="K4074" s="19" t="s">
        <v>553</v>
      </c>
      <c r="L4074" s="19">
        <v>2023</v>
      </c>
      <c r="M4074" s="20">
        <v>1</v>
      </c>
      <c r="N4074" s="19" t="s">
        <v>1798</v>
      </c>
      <c r="O4074" s="20">
        <v>238</v>
      </c>
      <c r="P4074" s="20">
        <v>238</v>
      </c>
      <c r="Q4074" s="20">
        <v>373.54387541889605</v>
      </c>
      <c r="R4074" s="21">
        <v>1</v>
      </c>
      <c r="S4074" s="20">
        <v>373.54387541889605</v>
      </c>
    </row>
    <row r="4075" spans="2:19" ht="15" customHeight="1" x14ac:dyDescent="0.25">
      <c r="B4075" s="2" t="str">
        <f t="shared" si="126"/>
        <v>PGL_Income Eligible_Multi-Family_Whole Building - Public Housing_Low Flow Bathroom Aerator_0_MF</v>
      </c>
      <c r="C4075" s="2" t="str">
        <f t="shared" si="127"/>
        <v>PGL_Income Eligible_Multi-Family_Whole Building - Public Housing_Low Flow Bathroom Aerator_0_MF_2024</v>
      </c>
      <c r="D4075" s="19" t="s">
        <v>1794</v>
      </c>
      <c r="E4075" s="19" t="s">
        <v>325</v>
      </c>
      <c r="F4075" s="19" t="s">
        <v>1422</v>
      </c>
      <c r="G4075" s="19" t="s">
        <v>1817</v>
      </c>
      <c r="H4075" s="19" t="s">
        <v>555</v>
      </c>
      <c r="I4075" s="19">
        <v>0</v>
      </c>
      <c r="J4075" s="19" t="s">
        <v>534</v>
      </c>
      <c r="K4075" s="19" t="s">
        <v>553</v>
      </c>
      <c r="L4075" s="19">
        <v>2024</v>
      </c>
      <c r="M4075" s="20">
        <v>1</v>
      </c>
      <c r="N4075" s="19" t="s">
        <v>1798</v>
      </c>
      <c r="O4075" s="20">
        <v>238</v>
      </c>
      <c r="P4075" s="20">
        <v>238</v>
      </c>
      <c r="Q4075" s="20">
        <v>373.54387541889605</v>
      </c>
      <c r="R4075" s="21">
        <v>1</v>
      </c>
      <c r="S4075" s="20">
        <v>373.54387541889605</v>
      </c>
    </row>
    <row r="4076" spans="2:19" ht="15" customHeight="1" x14ac:dyDescent="0.25">
      <c r="B4076" s="2" t="str">
        <f t="shared" si="126"/>
        <v>PGL_Income Eligible_Multi-Family_Whole Building - Public Housing_Low Flow Bathroom Aerator_0_MF</v>
      </c>
      <c r="C4076" s="2" t="str">
        <f t="shared" si="127"/>
        <v>PGL_Income Eligible_Multi-Family_Whole Building - Public Housing_Low Flow Bathroom Aerator_0_MF_2025</v>
      </c>
      <c r="D4076" s="19" t="s">
        <v>1794</v>
      </c>
      <c r="E4076" s="19" t="s">
        <v>325</v>
      </c>
      <c r="F4076" s="19" t="s">
        <v>1422</v>
      </c>
      <c r="G4076" s="19" t="s">
        <v>1817</v>
      </c>
      <c r="H4076" s="19" t="s">
        <v>555</v>
      </c>
      <c r="I4076" s="19">
        <v>0</v>
      </c>
      <c r="J4076" s="19" t="s">
        <v>534</v>
      </c>
      <c r="K4076" s="19" t="s">
        <v>553</v>
      </c>
      <c r="L4076" s="19">
        <v>2025</v>
      </c>
      <c r="M4076" s="20">
        <v>1</v>
      </c>
      <c r="N4076" s="19" t="s">
        <v>1798</v>
      </c>
      <c r="O4076" s="20">
        <v>238</v>
      </c>
      <c r="P4076" s="20">
        <v>238</v>
      </c>
      <c r="Q4076" s="20">
        <v>373.54387541889605</v>
      </c>
      <c r="R4076" s="21">
        <v>1</v>
      </c>
      <c r="S4076" s="20">
        <v>373.54387541889605</v>
      </c>
    </row>
    <row r="4077" spans="2:19" ht="15" customHeight="1" x14ac:dyDescent="0.25">
      <c r="B4077" s="2" t="str">
        <f t="shared" si="126"/>
        <v>PGL_Income Eligible_Multi-Family_Whole Building - Public Housing_Low Flow Kitchen Aerator_0_MF</v>
      </c>
      <c r="C4077" s="2" t="str">
        <f t="shared" si="127"/>
        <v>PGL_Income Eligible_Multi-Family_Whole Building - Public Housing_Low Flow Kitchen Aerator_0_MF_2022</v>
      </c>
      <c r="D4077" s="19" t="s">
        <v>1794</v>
      </c>
      <c r="E4077" s="19" t="s">
        <v>325</v>
      </c>
      <c r="F4077" s="19" t="s">
        <v>1422</v>
      </c>
      <c r="G4077" s="19" t="s">
        <v>1817</v>
      </c>
      <c r="H4077" s="19" t="s">
        <v>533</v>
      </c>
      <c r="I4077" s="19">
        <v>0</v>
      </c>
      <c r="J4077" s="19" t="s">
        <v>534</v>
      </c>
      <c r="K4077" s="19" t="s">
        <v>553</v>
      </c>
      <c r="L4077" s="19">
        <v>2022</v>
      </c>
      <c r="M4077" s="20">
        <v>1</v>
      </c>
      <c r="N4077" s="19" t="s">
        <v>1798</v>
      </c>
      <c r="O4077" s="20">
        <v>613</v>
      </c>
      <c r="P4077" s="20">
        <v>613</v>
      </c>
      <c r="Q4077" s="20">
        <v>4818.9681298827691</v>
      </c>
      <c r="R4077" s="21">
        <v>1</v>
      </c>
      <c r="S4077" s="20">
        <v>4818.9681298827691</v>
      </c>
    </row>
    <row r="4078" spans="2:19" ht="15" customHeight="1" x14ac:dyDescent="0.25">
      <c r="B4078" s="2" t="str">
        <f t="shared" si="126"/>
        <v>PGL_Income Eligible_Multi-Family_Whole Building - Public Housing_Low Flow Kitchen Aerator_0_MF</v>
      </c>
      <c r="C4078" s="2" t="str">
        <f t="shared" si="127"/>
        <v>PGL_Income Eligible_Multi-Family_Whole Building - Public Housing_Low Flow Kitchen Aerator_0_MF_2023</v>
      </c>
      <c r="D4078" s="19" t="s">
        <v>1794</v>
      </c>
      <c r="E4078" s="19" t="s">
        <v>325</v>
      </c>
      <c r="F4078" s="19" t="s">
        <v>1422</v>
      </c>
      <c r="G4078" s="19" t="s">
        <v>1817</v>
      </c>
      <c r="H4078" s="19" t="s">
        <v>533</v>
      </c>
      <c r="I4078" s="19">
        <v>0</v>
      </c>
      <c r="J4078" s="19" t="s">
        <v>534</v>
      </c>
      <c r="K4078" s="19" t="s">
        <v>553</v>
      </c>
      <c r="L4078" s="19">
        <v>2023</v>
      </c>
      <c r="M4078" s="20">
        <v>1</v>
      </c>
      <c r="N4078" s="19" t="s">
        <v>1798</v>
      </c>
      <c r="O4078" s="20">
        <v>613</v>
      </c>
      <c r="P4078" s="20">
        <v>613</v>
      </c>
      <c r="Q4078" s="20">
        <v>4818.9681298827691</v>
      </c>
      <c r="R4078" s="21">
        <v>1</v>
      </c>
      <c r="S4078" s="20">
        <v>4818.9681298827691</v>
      </c>
    </row>
    <row r="4079" spans="2:19" ht="15" customHeight="1" x14ac:dyDescent="0.25">
      <c r="B4079" s="2" t="str">
        <f t="shared" si="126"/>
        <v>PGL_Income Eligible_Multi-Family_Whole Building - Public Housing_Low Flow Kitchen Aerator_0_MF</v>
      </c>
      <c r="C4079" s="2" t="str">
        <f t="shared" si="127"/>
        <v>PGL_Income Eligible_Multi-Family_Whole Building - Public Housing_Low Flow Kitchen Aerator_0_MF_2024</v>
      </c>
      <c r="D4079" s="19" t="s">
        <v>1794</v>
      </c>
      <c r="E4079" s="19" t="s">
        <v>325</v>
      </c>
      <c r="F4079" s="19" t="s">
        <v>1422</v>
      </c>
      <c r="G4079" s="19" t="s">
        <v>1817</v>
      </c>
      <c r="H4079" s="19" t="s">
        <v>533</v>
      </c>
      <c r="I4079" s="19">
        <v>0</v>
      </c>
      <c r="J4079" s="19" t="s">
        <v>534</v>
      </c>
      <c r="K4079" s="19" t="s">
        <v>553</v>
      </c>
      <c r="L4079" s="19">
        <v>2024</v>
      </c>
      <c r="M4079" s="20">
        <v>1</v>
      </c>
      <c r="N4079" s="19" t="s">
        <v>1798</v>
      </c>
      <c r="O4079" s="20">
        <v>613</v>
      </c>
      <c r="P4079" s="20">
        <v>613</v>
      </c>
      <c r="Q4079" s="20">
        <v>4818.9681298827691</v>
      </c>
      <c r="R4079" s="21">
        <v>1</v>
      </c>
      <c r="S4079" s="20">
        <v>4818.9681298827691</v>
      </c>
    </row>
    <row r="4080" spans="2:19" ht="15" customHeight="1" x14ac:dyDescent="0.25">
      <c r="B4080" s="2" t="str">
        <f t="shared" si="126"/>
        <v>PGL_Income Eligible_Multi-Family_Whole Building - Public Housing_Low Flow Kitchen Aerator_0_MF</v>
      </c>
      <c r="C4080" s="2" t="str">
        <f t="shared" si="127"/>
        <v>PGL_Income Eligible_Multi-Family_Whole Building - Public Housing_Low Flow Kitchen Aerator_0_MF_2025</v>
      </c>
      <c r="D4080" s="19" t="s">
        <v>1794</v>
      </c>
      <c r="E4080" s="19" t="s">
        <v>325</v>
      </c>
      <c r="F4080" s="19" t="s">
        <v>1422</v>
      </c>
      <c r="G4080" s="19" t="s">
        <v>1817</v>
      </c>
      <c r="H4080" s="19" t="s">
        <v>533</v>
      </c>
      <c r="I4080" s="19">
        <v>0</v>
      </c>
      <c r="J4080" s="19" t="s">
        <v>534</v>
      </c>
      <c r="K4080" s="19" t="s">
        <v>553</v>
      </c>
      <c r="L4080" s="19">
        <v>2025</v>
      </c>
      <c r="M4080" s="20">
        <v>1</v>
      </c>
      <c r="N4080" s="19" t="s">
        <v>1798</v>
      </c>
      <c r="O4080" s="20">
        <v>613</v>
      </c>
      <c r="P4080" s="20">
        <v>613</v>
      </c>
      <c r="Q4080" s="20">
        <v>4818.9681298827691</v>
      </c>
      <c r="R4080" s="21">
        <v>1</v>
      </c>
      <c r="S4080" s="20">
        <v>4818.9681298827691</v>
      </c>
    </row>
    <row r="4081" spans="2:19" ht="15" customHeight="1" x14ac:dyDescent="0.25">
      <c r="B4081" s="2" t="str">
        <f t="shared" si="126"/>
        <v>PGL_Income Eligible_Multi-Family_Whole Building - Public Housing_Low Flow Showerhead_0_MF</v>
      </c>
      <c r="C4081" s="2" t="str">
        <f t="shared" si="127"/>
        <v>PGL_Income Eligible_Multi-Family_Whole Building - Public Housing_Low Flow Showerhead_0_MF_2022</v>
      </c>
      <c r="D4081" s="19" t="s">
        <v>1794</v>
      </c>
      <c r="E4081" s="19" t="s">
        <v>325</v>
      </c>
      <c r="F4081" s="19" t="s">
        <v>1422</v>
      </c>
      <c r="G4081" s="19" t="s">
        <v>1817</v>
      </c>
      <c r="H4081" s="19" t="s">
        <v>15</v>
      </c>
      <c r="I4081" s="19">
        <v>0</v>
      </c>
      <c r="J4081" s="19" t="s">
        <v>23</v>
      </c>
      <c r="K4081" s="19" t="s">
        <v>553</v>
      </c>
      <c r="L4081" s="19">
        <v>2022</v>
      </c>
      <c r="M4081" s="20">
        <v>3</v>
      </c>
      <c r="N4081" s="19" t="s">
        <v>616</v>
      </c>
      <c r="O4081" s="20">
        <v>610</v>
      </c>
      <c r="P4081" s="20">
        <v>1830</v>
      </c>
      <c r="Q4081" s="20">
        <v>20713.880969315098</v>
      </c>
      <c r="R4081" s="21">
        <v>1</v>
      </c>
      <c r="S4081" s="20">
        <v>20713.880969315098</v>
      </c>
    </row>
    <row r="4082" spans="2:19" ht="15" customHeight="1" x14ac:dyDescent="0.25">
      <c r="B4082" s="2" t="str">
        <f t="shared" si="126"/>
        <v>PGL_Income Eligible_Multi-Family_Whole Building - Public Housing_Low Flow Showerhead_0_MF</v>
      </c>
      <c r="C4082" s="2" t="str">
        <f t="shared" si="127"/>
        <v>PGL_Income Eligible_Multi-Family_Whole Building - Public Housing_Low Flow Showerhead_0_MF_2023</v>
      </c>
      <c r="D4082" s="19" t="s">
        <v>1794</v>
      </c>
      <c r="E4082" s="19" t="s">
        <v>325</v>
      </c>
      <c r="F4082" s="19" t="s">
        <v>1422</v>
      </c>
      <c r="G4082" s="19" t="s">
        <v>1817</v>
      </c>
      <c r="H4082" s="19" t="s">
        <v>15</v>
      </c>
      <c r="I4082" s="19">
        <v>0</v>
      </c>
      <c r="J4082" s="19" t="s">
        <v>23</v>
      </c>
      <c r="K4082" s="19" t="s">
        <v>553</v>
      </c>
      <c r="L4082" s="19">
        <v>2023</v>
      </c>
      <c r="M4082" s="20">
        <v>3</v>
      </c>
      <c r="N4082" s="19" t="s">
        <v>616</v>
      </c>
      <c r="O4082" s="20">
        <v>610</v>
      </c>
      <c r="P4082" s="20">
        <v>1830</v>
      </c>
      <c r="Q4082" s="20">
        <v>20713.880969315098</v>
      </c>
      <c r="R4082" s="21">
        <v>1</v>
      </c>
      <c r="S4082" s="20">
        <v>20713.880969315098</v>
      </c>
    </row>
    <row r="4083" spans="2:19" ht="15" customHeight="1" x14ac:dyDescent="0.25">
      <c r="B4083" s="2" t="str">
        <f t="shared" si="126"/>
        <v>PGL_Income Eligible_Multi-Family_Whole Building - Public Housing_Low Flow Showerhead_0_MF</v>
      </c>
      <c r="C4083" s="2" t="str">
        <f t="shared" si="127"/>
        <v>PGL_Income Eligible_Multi-Family_Whole Building - Public Housing_Low Flow Showerhead_0_MF_2024</v>
      </c>
      <c r="D4083" s="19" t="s">
        <v>1794</v>
      </c>
      <c r="E4083" s="19" t="s">
        <v>325</v>
      </c>
      <c r="F4083" s="19" t="s">
        <v>1422</v>
      </c>
      <c r="G4083" s="19" t="s">
        <v>1817</v>
      </c>
      <c r="H4083" s="19" t="s">
        <v>15</v>
      </c>
      <c r="I4083" s="19">
        <v>0</v>
      </c>
      <c r="J4083" s="19" t="s">
        <v>23</v>
      </c>
      <c r="K4083" s="19" t="s">
        <v>553</v>
      </c>
      <c r="L4083" s="19">
        <v>2024</v>
      </c>
      <c r="M4083" s="20">
        <v>3</v>
      </c>
      <c r="N4083" s="19" t="s">
        <v>616</v>
      </c>
      <c r="O4083" s="20">
        <v>610</v>
      </c>
      <c r="P4083" s="20">
        <v>1830</v>
      </c>
      <c r="Q4083" s="20">
        <v>20713.880969315098</v>
      </c>
      <c r="R4083" s="21">
        <v>1</v>
      </c>
      <c r="S4083" s="20">
        <v>20713.880969315098</v>
      </c>
    </row>
    <row r="4084" spans="2:19" ht="15" customHeight="1" x14ac:dyDescent="0.25">
      <c r="B4084" s="2" t="str">
        <f t="shared" si="126"/>
        <v>PGL_Income Eligible_Multi-Family_Whole Building - Public Housing_Low Flow Showerhead_0_MF</v>
      </c>
      <c r="C4084" s="2" t="str">
        <f t="shared" si="127"/>
        <v>PGL_Income Eligible_Multi-Family_Whole Building - Public Housing_Low Flow Showerhead_0_MF_2025</v>
      </c>
      <c r="D4084" s="19" t="s">
        <v>1794</v>
      </c>
      <c r="E4084" s="19" t="s">
        <v>325</v>
      </c>
      <c r="F4084" s="19" t="s">
        <v>1422</v>
      </c>
      <c r="G4084" s="19" t="s">
        <v>1817</v>
      </c>
      <c r="H4084" s="19" t="s">
        <v>15</v>
      </c>
      <c r="I4084" s="19">
        <v>0</v>
      </c>
      <c r="J4084" s="19" t="s">
        <v>23</v>
      </c>
      <c r="K4084" s="19" t="s">
        <v>553</v>
      </c>
      <c r="L4084" s="19">
        <v>2025</v>
      </c>
      <c r="M4084" s="20">
        <v>3</v>
      </c>
      <c r="N4084" s="19" t="s">
        <v>616</v>
      </c>
      <c r="O4084" s="20">
        <v>610</v>
      </c>
      <c r="P4084" s="20">
        <v>1830</v>
      </c>
      <c r="Q4084" s="20">
        <v>20713.880969315098</v>
      </c>
      <c r="R4084" s="21">
        <v>1</v>
      </c>
      <c r="S4084" s="20">
        <v>20713.880969315098</v>
      </c>
    </row>
    <row r="4085" spans="2:19" ht="15" customHeight="1" x14ac:dyDescent="0.25">
      <c r="B4085" s="2" t="str">
        <f t="shared" si="126"/>
        <v>PGL_Income Eligible_Multi-Family_Whole Building - Public Housing_Pipe Insulation_DHW_MF</v>
      </c>
      <c r="C4085" s="2" t="str">
        <f t="shared" si="127"/>
        <v>PGL_Income Eligible_Multi-Family_Whole Building - Public Housing_Pipe Insulation_DHW_MF_2022</v>
      </c>
      <c r="D4085" s="19" t="s">
        <v>1794</v>
      </c>
      <c r="E4085" s="19" t="s">
        <v>325</v>
      </c>
      <c r="F4085" s="19" t="s">
        <v>1422</v>
      </c>
      <c r="G4085" s="19" t="s">
        <v>1817</v>
      </c>
      <c r="H4085" s="19" t="s">
        <v>404</v>
      </c>
      <c r="I4085" s="19" t="s">
        <v>1019</v>
      </c>
      <c r="J4085" s="19" t="s">
        <v>1008</v>
      </c>
      <c r="K4085" s="19" t="s">
        <v>553</v>
      </c>
      <c r="L4085" s="19">
        <v>2022</v>
      </c>
      <c r="M4085" s="20">
        <v>3</v>
      </c>
      <c r="N4085" s="19" t="s">
        <v>616</v>
      </c>
      <c r="O4085" s="20">
        <v>765</v>
      </c>
      <c r="P4085" s="20">
        <v>2295</v>
      </c>
      <c r="Q4085" s="20">
        <v>2025.720088369867</v>
      </c>
      <c r="R4085" s="21">
        <v>1</v>
      </c>
      <c r="S4085" s="20">
        <v>2025.720088369867</v>
      </c>
    </row>
    <row r="4086" spans="2:19" ht="15" customHeight="1" x14ac:dyDescent="0.25">
      <c r="B4086" s="2" t="str">
        <f t="shared" si="126"/>
        <v>PGL_Income Eligible_Multi-Family_Whole Building - Public Housing_Pipe Insulation_DHW_MF</v>
      </c>
      <c r="C4086" s="2" t="str">
        <f t="shared" si="127"/>
        <v>PGL_Income Eligible_Multi-Family_Whole Building - Public Housing_Pipe Insulation_DHW_MF_2023</v>
      </c>
      <c r="D4086" s="19" t="s">
        <v>1794</v>
      </c>
      <c r="E4086" s="19" t="s">
        <v>325</v>
      </c>
      <c r="F4086" s="19" t="s">
        <v>1422</v>
      </c>
      <c r="G4086" s="19" t="s">
        <v>1817</v>
      </c>
      <c r="H4086" s="19" t="s">
        <v>404</v>
      </c>
      <c r="I4086" s="19" t="s">
        <v>1019</v>
      </c>
      <c r="J4086" s="19" t="s">
        <v>1008</v>
      </c>
      <c r="K4086" s="19" t="s">
        <v>553</v>
      </c>
      <c r="L4086" s="19">
        <v>2023</v>
      </c>
      <c r="M4086" s="20">
        <v>3</v>
      </c>
      <c r="N4086" s="19" t="s">
        <v>616</v>
      </c>
      <c r="O4086" s="20">
        <v>765</v>
      </c>
      <c r="P4086" s="20">
        <v>2295</v>
      </c>
      <c r="Q4086" s="20">
        <v>2025.720088369867</v>
      </c>
      <c r="R4086" s="21">
        <v>1</v>
      </c>
      <c r="S4086" s="20">
        <v>2025.720088369867</v>
      </c>
    </row>
    <row r="4087" spans="2:19" ht="15" customHeight="1" x14ac:dyDescent="0.25">
      <c r="B4087" s="2" t="str">
        <f t="shared" si="126"/>
        <v>PGL_Income Eligible_Multi-Family_Whole Building - Public Housing_Pipe Insulation_DHW_MF</v>
      </c>
      <c r="C4087" s="2" t="str">
        <f t="shared" si="127"/>
        <v>PGL_Income Eligible_Multi-Family_Whole Building - Public Housing_Pipe Insulation_DHW_MF_2024</v>
      </c>
      <c r="D4087" s="19" t="s">
        <v>1794</v>
      </c>
      <c r="E4087" s="19" t="s">
        <v>325</v>
      </c>
      <c r="F4087" s="19" t="s">
        <v>1422</v>
      </c>
      <c r="G4087" s="19" t="s">
        <v>1817</v>
      </c>
      <c r="H4087" s="19" t="s">
        <v>404</v>
      </c>
      <c r="I4087" s="19" t="s">
        <v>1019</v>
      </c>
      <c r="J4087" s="19" t="s">
        <v>1008</v>
      </c>
      <c r="K4087" s="19" t="s">
        <v>553</v>
      </c>
      <c r="L4087" s="19">
        <v>2024</v>
      </c>
      <c r="M4087" s="20">
        <v>3</v>
      </c>
      <c r="N4087" s="19" t="s">
        <v>616</v>
      </c>
      <c r="O4087" s="20">
        <v>765</v>
      </c>
      <c r="P4087" s="20">
        <v>2295</v>
      </c>
      <c r="Q4087" s="20">
        <v>2025.720088369867</v>
      </c>
      <c r="R4087" s="21">
        <v>1</v>
      </c>
      <c r="S4087" s="20">
        <v>2025.720088369867</v>
      </c>
    </row>
    <row r="4088" spans="2:19" ht="15" customHeight="1" x14ac:dyDescent="0.25">
      <c r="B4088" s="2" t="str">
        <f t="shared" si="126"/>
        <v>PGL_Income Eligible_Multi-Family_Whole Building - Public Housing_Pipe Insulation_DHW_MF</v>
      </c>
      <c r="C4088" s="2" t="str">
        <f t="shared" si="127"/>
        <v>PGL_Income Eligible_Multi-Family_Whole Building - Public Housing_Pipe Insulation_DHW_MF_2025</v>
      </c>
      <c r="D4088" s="19" t="s">
        <v>1794</v>
      </c>
      <c r="E4088" s="19" t="s">
        <v>325</v>
      </c>
      <c r="F4088" s="19" t="s">
        <v>1422</v>
      </c>
      <c r="G4088" s="19" t="s">
        <v>1817</v>
      </c>
      <c r="H4088" s="19" t="s">
        <v>404</v>
      </c>
      <c r="I4088" s="19" t="s">
        <v>1019</v>
      </c>
      <c r="J4088" s="19" t="s">
        <v>1008</v>
      </c>
      <c r="K4088" s="19" t="s">
        <v>553</v>
      </c>
      <c r="L4088" s="19">
        <v>2025</v>
      </c>
      <c r="M4088" s="20">
        <v>3</v>
      </c>
      <c r="N4088" s="19" t="s">
        <v>616</v>
      </c>
      <c r="O4088" s="20">
        <v>765</v>
      </c>
      <c r="P4088" s="20">
        <v>2295</v>
      </c>
      <c r="Q4088" s="20">
        <v>2025.720088369867</v>
      </c>
      <c r="R4088" s="21">
        <v>1</v>
      </c>
      <c r="S4088" s="20">
        <v>2025.720088369867</v>
      </c>
    </row>
    <row r="4089" spans="2:19" ht="15" customHeight="1" x14ac:dyDescent="0.25">
      <c r="B4089" s="2" t="str">
        <f t="shared" si="126"/>
        <v>PGL_Income Eligible_Multi-Family_Whole Building - Public Housing_Pipe Insulation_Boiler_MF</v>
      </c>
      <c r="C4089" s="2" t="str">
        <f t="shared" si="127"/>
        <v>PGL_Income Eligible_Multi-Family_Whole Building - Public Housing_Pipe Insulation_Boiler_MF_2022</v>
      </c>
      <c r="D4089" s="19" t="s">
        <v>1794</v>
      </c>
      <c r="E4089" s="19" t="s">
        <v>325</v>
      </c>
      <c r="F4089" s="19" t="s">
        <v>1422</v>
      </c>
      <c r="G4089" s="19" t="s">
        <v>1817</v>
      </c>
      <c r="H4089" s="19" t="s">
        <v>404</v>
      </c>
      <c r="I4089" s="19" t="s">
        <v>944</v>
      </c>
      <c r="J4089" s="19" t="s">
        <v>1008</v>
      </c>
      <c r="K4089" s="19" t="s">
        <v>553</v>
      </c>
      <c r="L4089" s="19">
        <v>2022</v>
      </c>
      <c r="M4089" s="20">
        <v>1</v>
      </c>
      <c r="N4089" s="19" t="s">
        <v>1798</v>
      </c>
      <c r="O4089" s="20">
        <v>0</v>
      </c>
      <c r="P4089" s="20">
        <v>0</v>
      </c>
      <c r="Q4089" s="20">
        <v>0</v>
      </c>
      <c r="R4089" s="21">
        <v>1</v>
      </c>
      <c r="S4089" s="20">
        <v>0</v>
      </c>
    </row>
    <row r="4090" spans="2:19" ht="15" customHeight="1" x14ac:dyDescent="0.25">
      <c r="B4090" s="2" t="str">
        <f t="shared" si="126"/>
        <v>PGL_Income Eligible_Multi-Family_Whole Building - Public Housing_Pipe Insulation_Boiler_MF</v>
      </c>
      <c r="C4090" s="2" t="str">
        <f t="shared" si="127"/>
        <v>PGL_Income Eligible_Multi-Family_Whole Building - Public Housing_Pipe Insulation_Boiler_MF_2023</v>
      </c>
      <c r="D4090" s="19" t="s">
        <v>1794</v>
      </c>
      <c r="E4090" s="19" t="s">
        <v>325</v>
      </c>
      <c r="F4090" s="19" t="s">
        <v>1422</v>
      </c>
      <c r="G4090" s="19" t="s">
        <v>1817</v>
      </c>
      <c r="H4090" s="19" t="s">
        <v>404</v>
      </c>
      <c r="I4090" s="19" t="s">
        <v>944</v>
      </c>
      <c r="J4090" s="19" t="s">
        <v>1008</v>
      </c>
      <c r="K4090" s="19" t="s">
        <v>553</v>
      </c>
      <c r="L4090" s="19">
        <v>2023</v>
      </c>
      <c r="M4090" s="20">
        <v>1</v>
      </c>
      <c r="N4090" s="19" t="s">
        <v>1798</v>
      </c>
      <c r="O4090" s="20">
        <v>0</v>
      </c>
      <c r="P4090" s="20">
        <v>0</v>
      </c>
      <c r="Q4090" s="20">
        <v>0</v>
      </c>
      <c r="R4090" s="21">
        <v>1</v>
      </c>
      <c r="S4090" s="20">
        <v>0</v>
      </c>
    </row>
    <row r="4091" spans="2:19" ht="15" customHeight="1" x14ac:dyDescent="0.25">
      <c r="B4091" s="2" t="str">
        <f t="shared" si="126"/>
        <v>PGL_Income Eligible_Multi-Family_Whole Building - Public Housing_Pipe Insulation_Boiler_MF</v>
      </c>
      <c r="C4091" s="2" t="str">
        <f t="shared" si="127"/>
        <v>PGL_Income Eligible_Multi-Family_Whole Building - Public Housing_Pipe Insulation_Boiler_MF_2024</v>
      </c>
      <c r="D4091" s="19" t="s">
        <v>1794</v>
      </c>
      <c r="E4091" s="19" t="s">
        <v>325</v>
      </c>
      <c r="F4091" s="19" t="s">
        <v>1422</v>
      </c>
      <c r="G4091" s="19" t="s">
        <v>1817</v>
      </c>
      <c r="H4091" s="19" t="s">
        <v>404</v>
      </c>
      <c r="I4091" s="19" t="s">
        <v>944</v>
      </c>
      <c r="J4091" s="19" t="s">
        <v>1008</v>
      </c>
      <c r="K4091" s="19" t="s">
        <v>553</v>
      </c>
      <c r="L4091" s="19">
        <v>2024</v>
      </c>
      <c r="M4091" s="20">
        <v>1</v>
      </c>
      <c r="N4091" s="19" t="s">
        <v>1798</v>
      </c>
      <c r="O4091" s="20">
        <v>0</v>
      </c>
      <c r="P4091" s="20">
        <v>0</v>
      </c>
      <c r="Q4091" s="20">
        <v>0</v>
      </c>
      <c r="R4091" s="21">
        <v>1</v>
      </c>
      <c r="S4091" s="20">
        <v>0</v>
      </c>
    </row>
    <row r="4092" spans="2:19" ht="15" customHeight="1" x14ac:dyDescent="0.25">
      <c r="B4092" s="2" t="str">
        <f t="shared" si="126"/>
        <v>PGL_Income Eligible_Multi-Family_Whole Building - Public Housing_Pipe Insulation_Boiler_MF</v>
      </c>
      <c r="C4092" s="2" t="str">
        <f t="shared" si="127"/>
        <v>PGL_Income Eligible_Multi-Family_Whole Building - Public Housing_Pipe Insulation_Boiler_MF_2025</v>
      </c>
      <c r="D4092" s="19" t="s">
        <v>1794</v>
      </c>
      <c r="E4092" s="19" t="s">
        <v>325</v>
      </c>
      <c r="F4092" s="19" t="s">
        <v>1422</v>
      </c>
      <c r="G4092" s="19" t="s">
        <v>1817</v>
      </c>
      <c r="H4092" s="19" t="s">
        <v>404</v>
      </c>
      <c r="I4092" s="19" t="s">
        <v>944</v>
      </c>
      <c r="J4092" s="19" t="s">
        <v>1008</v>
      </c>
      <c r="K4092" s="19" t="s">
        <v>553</v>
      </c>
      <c r="L4092" s="19">
        <v>2025</v>
      </c>
      <c r="M4092" s="20">
        <v>1</v>
      </c>
      <c r="N4092" s="19" t="s">
        <v>1798</v>
      </c>
      <c r="O4092" s="20">
        <v>0</v>
      </c>
      <c r="P4092" s="20">
        <v>0</v>
      </c>
      <c r="Q4092" s="20">
        <v>0</v>
      </c>
      <c r="R4092" s="21">
        <v>1</v>
      </c>
      <c r="S4092" s="20">
        <v>0</v>
      </c>
    </row>
    <row r="4093" spans="2:19" ht="15" customHeight="1" x14ac:dyDescent="0.25">
      <c r="B4093" s="2" t="str">
        <f t="shared" si="126"/>
        <v>PGL_Income Eligible_Multi-Family_Whole Building - Public Housing_Programmable Thermostat_Furnace (DI)_MF</v>
      </c>
      <c r="C4093" s="2" t="str">
        <f t="shared" si="127"/>
        <v>PGL_Income Eligible_Multi-Family_Whole Building - Public Housing_Programmable Thermostat_Furnace (DI)_MF_2022</v>
      </c>
      <c r="D4093" s="19" t="s">
        <v>1794</v>
      </c>
      <c r="E4093" s="19" t="s">
        <v>325</v>
      </c>
      <c r="F4093" s="19" t="s">
        <v>1422</v>
      </c>
      <c r="G4093" s="19" t="s">
        <v>1817</v>
      </c>
      <c r="H4093" s="19" t="s">
        <v>224</v>
      </c>
      <c r="I4093" s="19" t="s">
        <v>1038</v>
      </c>
      <c r="J4093" s="19" t="s">
        <v>24</v>
      </c>
      <c r="K4093" s="19" t="s">
        <v>553</v>
      </c>
      <c r="L4093" s="19">
        <v>2022</v>
      </c>
      <c r="M4093" s="20">
        <v>1</v>
      </c>
      <c r="N4093" s="19" t="s">
        <v>1798</v>
      </c>
      <c r="O4093" s="20">
        <v>83</v>
      </c>
      <c r="P4093" s="20">
        <v>83</v>
      </c>
      <c r="Q4093" s="20">
        <v>3361.6244999999999</v>
      </c>
      <c r="R4093" s="21">
        <v>1</v>
      </c>
      <c r="S4093" s="20">
        <v>3361.6244999999999</v>
      </c>
    </row>
    <row r="4094" spans="2:19" ht="15" customHeight="1" x14ac:dyDescent="0.25">
      <c r="B4094" s="2" t="str">
        <f t="shared" si="126"/>
        <v>PGL_Income Eligible_Multi-Family_Whole Building - Public Housing_Programmable Thermostat_Furnace (DI)_MF</v>
      </c>
      <c r="C4094" s="2" t="str">
        <f t="shared" si="127"/>
        <v>PGL_Income Eligible_Multi-Family_Whole Building - Public Housing_Programmable Thermostat_Furnace (DI)_MF_2023</v>
      </c>
      <c r="D4094" s="19" t="s">
        <v>1794</v>
      </c>
      <c r="E4094" s="19" t="s">
        <v>325</v>
      </c>
      <c r="F4094" s="19" t="s">
        <v>1422</v>
      </c>
      <c r="G4094" s="19" t="s">
        <v>1817</v>
      </c>
      <c r="H4094" s="19" t="s">
        <v>224</v>
      </c>
      <c r="I4094" s="19" t="s">
        <v>1038</v>
      </c>
      <c r="J4094" s="19" t="s">
        <v>24</v>
      </c>
      <c r="K4094" s="19" t="s">
        <v>553</v>
      </c>
      <c r="L4094" s="19">
        <v>2023</v>
      </c>
      <c r="M4094" s="20">
        <v>1</v>
      </c>
      <c r="N4094" s="19" t="s">
        <v>1798</v>
      </c>
      <c r="O4094" s="20">
        <v>83</v>
      </c>
      <c r="P4094" s="20">
        <v>83</v>
      </c>
      <c r="Q4094" s="20">
        <v>3361.6244999999999</v>
      </c>
      <c r="R4094" s="21">
        <v>1</v>
      </c>
      <c r="S4094" s="20">
        <v>3361.6244999999999</v>
      </c>
    </row>
    <row r="4095" spans="2:19" ht="15" customHeight="1" x14ac:dyDescent="0.25">
      <c r="B4095" s="2" t="str">
        <f t="shared" si="126"/>
        <v>PGL_Income Eligible_Multi-Family_Whole Building - Public Housing_Programmable Thermostat_Furnace (DI)_MF</v>
      </c>
      <c r="C4095" s="2" t="str">
        <f t="shared" si="127"/>
        <v>PGL_Income Eligible_Multi-Family_Whole Building - Public Housing_Programmable Thermostat_Furnace (DI)_MF_2024</v>
      </c>
      <c r="D4095" s="19" t="s">
        <v>1794</v>
      </c>
      <c r="E4095" s="19" t="s">
        <v>325</v>
      </c>
      <c r="F4095" s="19" t="s">
        <v>1422</v>
      </c>
      <c r="G4095" s="19" t="s">
        <v>1817</v>
      </c>
      <c r="H4095" s="19" t="s">
        <v>224</v>
      </c>
      <c r="I4095" s="19" t="s">
        <v>1038</v>
      </c>
      <c r="J4095" s="19" t="s">
        <v>24</v>
      </c>
      <c r="K4095" s="19" t="s">
        <v>553</v>
      </c>
      <c r="L4095" s="19">
        <v>2024</v>
      </c>
      <c r="M4095" s="20">
        <v>1</v>
      </c>
      <c r="N4095" s="19" t="s">
        <v>1798</v>
      </c>
      <c r="O4095" s="20">
        <v>83</v>
      </c>
      <c r="P4095" s="20">
        <v>83</v>
      </c>
      <c r="Q4095" s="20">
        <v>3361.6244999999999</v>
      </c>
      <c r="R4095" s="21">
        <v>1</v>
      </c>
      <c r="S4095" s="20">
        <v>3361.6244999999999</v>
      </c>
    </row>
    <row r="4096" spans="2:19" ht="15" customHeight="1" x14ac:dyDescent="0.25">
      <c r="B4096" s="2" t="str">
        <f t="shared" si="126"/>
        <v>PGL_Income Eligible_Multi-Family_Whole Building - Public Housing_Programmable Thermostat_Furnace (DI)_MF</v>
      </c>
      <c r="C4096" s="2" t="str">
        <f t="shared" si="127"/>
        <v>PGL_Income Eligible_Multi-Family_Whole Building - Public Housing_Programmable Thermostat_Furnace (DI)_MF_2025</v>
      </c>
      <c r="D4096" s="19" t="s">
        <v>1794</v>
      </c>
      <c r="E4096" s="19" t="s">
        <v>325</v>
      </c>
      <c r="F4096" s="19" t="s">
        <v>1422</v>
      </c>
      <c r="G4096" s="19" t="s">
        <v>1817</v>
      </c>
      <c r="H4096" s="19" t="s">
        <v>224</v>
      </c>
      <c r="I4096" s="19" t="s">
        <v>1038</v>
      </c>
      <c r="J4096" s="19" t="s">
        <v>24</v>
      </c>
      <c r="K4096" s="19" t="s">
        <v>553</v>
      </c>
      <c r="L4096" s="19">
        <v>2025</v>
      </c>
      <c r="M4096" s="20">
        <v>1</v>
      </c>
      <c r="N4096" s="19" t="s">
        <v>1798</v>
      </c>
      <c r="O4096" s="20">
        <v>83</v>
      </c>
      <c r="P4096" s="20">
        <v>83</v>
      </c>
      <c r="Q4096" s="20">
        <v>3361.6244999999999</v>
      </c>
      <c r="R4096" s="21">
        <v>1</v>
      </c>
      <c r="S4096" s="20">
        <v>3361.6244999999999</v>
      </c>
    </row>
    <row r="4097" spans="2:19" ht="15" customHeight="1" x14ac:dyDescent="0.25">
      <c r="B4097" s="2" t="str">
        <f t="shared" si="126"/>
        <v>PGL_Income Eligible_Multi-Family_Whole Building - Public Housing_Programmable Thermostat_Boiler (DI)_MF</v>
      </c>
      <c r="C4097" s="2" t="str">
        <f t="shared" si="127"/>
        <v>PGL_Income Eligible_Multi-Family_Whole Building - Public Housing_Programmable Thermostat_Boiler (DI)_MF_2022</v>
      </c>
      <c r="D4097" s="19" t="s">
        <v>1794</v>
      </c>
      <c r="E4097" s="19" t="s">
        <v>325</v>
      </c>
      <c r="F4097" s="19" t="s">
        <v>1422</v>
      </c>
      <c r="G4097" s="19" t="s">
        <v>1817</v>
      </c>
      <c r="H4097" s="19" t="s">
        <v>224</v>
      </c>
      <c r="I4097" s="19" t="s">
        <v>1045</v>
      </c>
      <c r="J4097" s="19" t="s">
        <v>24</v>
      </c>
      <c r="K4097" s="19" t="s">
        <v>553</v>
      </c>
      <c r="L4097" s="19">
        <v>2022</v>
      </c>
      <c r="M4097" s="20">
        <v>1</v>
      </c>
      <c r="N4097" s="19" t="s">
        <v>1798</v>
      </c>
      <c r="O4097" s="20">
        <v>0</v>
      </c>
      <c r="P4097" s="20">
        <v>0</v>
      </c>
      <c r="Q4097" s="20">
        <v>0</v>
      </c>
      <c r="R4097" s="21">
        <v>1</v>
      </c>
      <c r="S4097" s="20">
        <v>0</v>
      </c>
    </row>
    <row r="4098" spans="2:19" ht="15" customHeight="1" x14ac:dyDescent="0.25">
      <c r="B4098" s="2" t="str">
        <f t="shared" si="126"/>
        <v>PGL_Income Eligible_Multi-Family_Whole Building - Public Housing_Programmable Thermostat_Boiler (DI)_MF</v>
      </c>
      <c r="C4098" s="2" t="str">
        <f t="shared" si="127"/>
        <v>PGL_Income Eligible_Multi-Family_Whole Building - Public Housing_Programmable Thermostat_Boiler (DI)_MF_2023</v>
      </c>
      <c r="D4098" s="19" t="s">
        <v>1794</v>
      </c>
      <c r="E4098" s="19" t="s">
        <v>325</v>
      </c>
      <c r="F4098" s="19" t="s">
        <v>1422</v>
      </c>
      <c r="G4098" s="19" t="s">
        <v>1817</v>
      </c>
      <c r="H4098" s="19" t="s">
        <v>224</v>
      </c>
      <c r="I4098" s="19" t="s">
        <v>1045</v>
      </c>
      <c r="J4098" s="19" t="s">
        <v>24</v>
      </c>
      <c r="K4098" s="19" t="s">
        <v>553</v>
      </c>
      <c r="L4098" s="19">
        <v>2023</v>
      </c>
      <c r="M4098" s="20">
        <v>1</v>
      </c>
      <c r="N4098" s="19" t="s">
        <v>1798</v>
      </c>
      <c r="O4098" s="20">
        <v>0</v>
      </c>
      <c r="P4098" s="20">
        <v>0</v>
      </c>
      <c r="Q4098" s="20">
        <v>0</v>
      </c>
      <c r="R4098" s="21">
        <v>1</v>
      </c>
      <c r="S4098" s="20">
        <v>0</v>
      </c>
    </row>
    <row r="4099" spans="2:19" ht="15" customHeight="1" x14ac:dyDescent="0.25">
      <c r="B4099" s="2" t="str">
        <f t="shared" si="126"/>
        <v>PGL_Income Eligible_Multi-Family_Whole Building - Public Housing_Programmable Thermostat_Boiler (DI)_MF</v>
      </c>
      <c r="C4099" s="2" t="str">
        <f t="shared" si="127"/>
        <v>PGL_Income Eligible_Multi-Family_Whole Building - Public Housing_Programmable Thermostat_Boiler (DI)_MF_2024</v>
      </c>
      <c r="D4099" s="19" t="s">
        <v>1794</v>
      </c>
      <c r="E4099" s="19" t="s">
        <v>325</v>
      </c>
      <c r="F4099" s="19" t="s">
        <v>1422</v>
      </c>
      <c r="G4099" s="19" t="s">
        <v>1817</v>
      </c>
      <c r="H4099" s="19" t="s">
        <v>224</v>
      </c>
      <c r="I4099" s="19" t="s">
        <v>1045</v>
      </c>
      <c r="J4099" s="19" t="s">
        <v>24</v>
      </c>
      <c r="K4099" s="19" t="s">
        <v>553</v>
      </c>
      <c r="L4099" s="19">
        <v>2024</v>
      </c>
      <c r="M4099" s="20">
        <v>1</v>
      </c>
      <c r="N4099" s="19" t="s">
        <v>1798</v>
      </c>
      <c r="O4099" s="20">
        <v>0</v>
      </c>
      <c r="P4099" s="20">
        <v>0</v>
      </c>
      <c r="Q4099" s="20">
        <v>0</v>
      </c>
      <c r="R4099" s="21">
        <v>1</v>
      </c>
      <c r="S4099" s="20">
        <v>0</v>
      </c>
    </row>
    <row r="4100" spans="2:19" ht="15" customHeight="1" x14ac:dyDescent="0.25">
      <c r="B4100" s="2" t="str">
        <f t="shared" si="126"/>
        <v>PGL_Income Eligible_Multi-Family_Whole Building - Public Housing_Programmable Thermostat_Boiler (DI)_MF</v>
      </c>
      <c r="C4100" s="2" t="str">
        <f t="shared" si="127"/>
        <v>PGL_Income Eligible_Multi-Family_Whole Building - Public Housing_Programmable Thermostat_Boiler (DI)_MF_2025</v>
      </c>
      <c r="D4100" s="19" t="s">
        <v>1794</v>
      </c>
      <c r="E4100" s="19" t="s">
        <v>325</v>
      </c>
      <c r="F4100" s="19" t="s">
        <v>1422</v>
      </c>
      <c r="G4100" s="19" t="s">
        <v>1817</v>
      </c>
      <c r="H4100" s="19" t="s">
        <v>224</v>
      </c>
      <c r="I4100" s="19" t="s">
        <v>1045</v>
      </c>
      <c r="J4100" s="19" t="s">
        <v>24</v>
      </c>
      <c r="K4100" s="19" t="s">
        <v>553</v>
      </c>
      <c r="L4100" s="19">
        <v>2025</v>
      </c>
      <c r="M4100" s="20">
        <v>1</v>
      </c>
      <c r="N4100" s="19" t="s">
        <v>1798</v>
      </c>
      <c r="O4100" s="20">
        <v>0</v>
      </c>
      <c r="P4100" s="20">
        <v>0</v>
      </c>
      <c r="Q4100" s="20">
        <v>0</v>
      </c>
      <c r="R4100" s="21">
        <v>1</v>
      </c>
      <c r="S4100" s="20">
        <v>0</v>
      </c>
    </row>
    <row r="4101" spans="2:19" ht="15" customHeight="1" x14ac:dyDescent="0.25">
      <c r="B4101" s="2" t="str">
        <f t="shared" si="126"/>
        <v>PGL_Income Eligible_Multi-Family_Whole Building - Public Housing_Advanced Thermostat_Furnace (Replace Manual)_MF</v>
      </c>
      <c r="C4101" s="2" t="str">
        <f t="shared" si="127"/>
        <v>PGL_Income Eligible_Multi-Family_Whole Building - Public Housing_Advanced Thermostat_Furnace (Replace Manual)_MF_2022</v>
      </c>
      <c r="D4101" s="19" t="s">
        <v>1794</v>
      </c>
      <c r="E4101" s="19" t="s">
        <v>325</v>
      </c>
      <c r="F4101" s="19" t="s">
        <v>1422</v>
      </c>
      <c r="G4101" s="19" t="s">
        <v>1817</v>
      </c>
      <c r="H4101" s="19" t="s">
        <v>7</v>
      </c>
      <c r="I4101" s="19" t="s">
        <v>1047</v>
      </c>
      <c r="J4101" s="19" t="s">
        <v>24</v>
      </c>
      <c r="K4101" s="19" t="s">
        <v>553</v>
      </c>
      <c r="L4101" s="19">
        <v>2022</v>
      </c>
      <c r="M4101" s="20">
        <v>1</v>
      </c>
      <c r="N4101" s="19" t="s">
        <v>1798</v>
      </c>
      <c r="O4101" s="20">
        <v>3</v>
      </c>
      <c r="P4101" s="20">
        <v>3</v>
      </c>
      <c r="Q4101" s="20">
        <v>203.81400000000002</v>
      </c>
      <c r="R4101" s="21">
        <v>1</v>
      </c>
      <c r="S4101" s="20">
        <v>203.81400000000002</v>
      </c>
    </row>
    <row r="4102" spans="2:19" ht="15" customHeight="1" x14ac:dyDescent="0.25">
      <c r="B4102" s="2" t="str">
        <f t="shared" ref="B4102:B4165" si="128">D4102&amp;"_"&amp;E4102&amp;"_"&amp;F4102&amp;"_"&amp;G4102&amp;"_"&amp;H4102&amp;"_"&amp;I4102&amp;"_"&amp;K4102</f>
        <v>PGL_Income Eligible_Multi-Family_Whole Building - Public Housing_Advanced Thermostat_Furnace (Replace Manual)_MF</v>
      </c>
      <c r="C4102" s="2" t="str">
        <f t="shared" ref="C4102:C4165" si="129">D4102&amp;"_"&amp;E4102&amp;"_"&amp;F4102&amp;"_"&amp;G4102&amp;"_"&amp;H4102&amp;"_"&amp;I4102&amp;"_"&amp;K4102&amp;"_"&amp;L4102</f>
        <v>PGL_Income Eligible_Multi-Family_Whole Building - Public Housing_Advanced Thermostat_Furnace (Replace Manual)_MF_2023</v>
      </c>
      <c r="D4102" s="19" t="s">
        <v>1794</v>
      </c>
      <c r="E4102" s="19" t="s">
        <v>325</v>
      </c>
      <c r="F4102" s="19" t="s">
        <v>1422</v>
      </c>
      <c r="G4102" s="19" t="s">
        <v>1817</v>
      </c>
      <c r="H4102" s="19" t="s">
        <v>7</v>
      </c>
      <c r="I4102" s="19" t="s">
        <v>1047</v>
      </c>
      <c r="J4102" s="19" t="s">
        <v>24</v>
      </c>
      <c r="K4102" s="19" t="s">
        <v>553</v>
      </c>
      <c r="L4102" s="19">
        <v>2023</v>
      </c>
      <c r="M4102" s="20">
        <v>1</v>
      </c>
      <c r="N4102" s="19" t="s">
        <v>1798</v>
      </c>
      <c r="O4102" s="20">
        <v>3</v>
      </c>
      <c r="P4102" s="20">
        <v>3</v>
      </c>
      <c r="Q4102" s="20">
        <v>203.81400000000002</v>
      </c>
      <c r="R4102" s="21">
        <v>1</v>
      </c>
      <c r="S4102" s="20">
        <v>203.81400000000002</v>
      </c>
    </row>
    <row r="4103" spans="2:19" ht="15" customHeight="1" x14ac:dyDescent="0.25">
      <c r="B4103" s="2" t="str">
        <f t="shared" si="128"/>
        <v>PGL_Income Eligible_Multi-Family_Whole Building - Public Housing_Advanced Thermostat_Furnace (Replace Manual)_MF</v>
      </c>
      <c r="C4103" s="2" t="str">
        <f t="shared" si="129"/>
        <v>PGL_Income Eligible_Multi-Family_Whole Building - Public Housing_Advanced Thermostat_Furnace (Replace Manual)_MF_2024</v>
      </c>
      <c r="D4103" s="19" t="s">
        <v>1794</v>
      </c>
      <c r="E4103" s="19" t="s">
        <v>325</v>
      </c>
      <c r="F4103" s="19" t="s">
        <v>1422</v>
      </c>
      <c r="G4103" s="19" t="s">
        <v>1817</v>
      </c>
      <c r="H4103" s="19" t="s">
        <v>7</v>
      </c>
      <c r="I4103" s="19" t="s">
        <v>1047</v>
      </c>
      <c r="J4103" s="19" t="s">
        <v>24</v>
      </c>
      <c r="K4103" s="19" t="s">
        <v>553</v>
      </c>
      <c r="L4103" s="19">
        <v>2024</v>
      </c>
      <c r="M4103" s="20">
        <v>1</v>
      </c>
      <c r="N4103" s="19" t="s">
        <v>1798</v>
      </c>
      <c r="O4103" s="20">
        <v>3</v>
      </c>
      <c r="P4103" s="20">
        <v>3</v>
      </c>
      <c r="Q4103" s="20">
        <v>203.81400000000002</v>
      </c>
      <c r="R4103" s="21">
        <v>1</v>
      </c>
      <c r="S4103" s="20">
        <v>203.81400000000002</v>
      </c>
    </row>
    <row r="4104" spans="2:19" ht="15" customHeight="1" x14ac:dyDescent="0.25">
      <c r="B4104" s="2" t="str">
        <f t="shared" si="128"/>
        <v>PGL_Income Eligible_Multi-Family_Whole Building - Public Housing_Advanced Thermostat_Furnace (Replace Manual)_MF</v>
      </c>
      <c r="C4104" s="2" t="str">
        <f t="shared" si="129"/>
        <v>PGL_Income Eligible_Multi-Family_Whole Building - Public Housing_Advanced Thermostat_Furnace (Replace Manual)_MF_2025</v>
      </c>
      <c r="D4104" s="19" t="s">
        <v>1794</v>
      </c>
      <c r="E4104" s="19" t="s">
        <v>325</v>
      </c>
      <c r="F4104" s="19" t="s">
        <v>1422</v>
      </c>
      <c r="G4104" s="19" t="s">
        <v>1817</v>
      </c>
      <c r="H4104" s="19" t="s">
        <v>7</v>
      </c>
      <c r="I4104" s="19" t="s">
        <v>1047</v>
      </c>
      <c r="J4104" s="19" t="s">
        <v>24</v>
      </c>
      <c r="K4104" s="19" t="s">
        <v>553</v>
      </c>
      <c r="L4104" s="19">
        <v>2025</v>
      </c>
      <c r="M4104" s="20">
        <v>1</v>
      </c>
      <c r="N4104" s="19" t="s">
        <v>1798</v>
      </c>
      <c r="O4104" s="20">
        <v>3</v>
      </c>
      <c r="P4104" s="20">
        <v>3</v>
      </c>
      <c r="Q4104" s="20">
        <v>203.81400000000002</v>
      </c>
      <c r="R4104" s="21">
        <v>1</v>
      </c>
      <c r="S4104" s="20">
        <v>203.81400000000002</v>
      </c>
    </row>
    <row r="4105" spans="2:19" ht="15" customHeight="1" x14ac:dyDescent="0.25">
      <c r="B4105" s="2" t="str">
        <f t="shared" si="128"/>
        <v>PGL_Income Eligible_Multi-Family_Whole Building - Public Housing_Advanced Thermostat_Boiler (Replace Manual)_MF</v>
      </c>
      <c r="C4105" s="2" t="str">
        <f t="shared" si="129"/>
        <v>PGL_Income Eligible_Multi-Family_Whole Building - Public Housing_Advanced Thermostat_Boiler (Replace Manual)_MF_2022</v>
      </c>
      <c r="D4105" s="19" t="s">
        <v>1794</v>
      </c>
      <c r="E4105" s="19" t="s">
        <v>325</v>
      </c>
      <c r="F4105" s="19" t="s">
        <v>1422</v>
      </c>
      <c r="G4105" s="19" t="s">
        <v>1817</v>
      </c>
      <c r="H4105" s="19" t="s">
        <v>7</v>
      </c>
      <c r="I4105" s="19" t="s">
        <v>1051</v>
      </c>
      <c r="J4105" s="19" t="s">
        <v>24</v>
      </c>
      <c r="K4105" s="19" t="s">
        <v>553</v>
      </c>
      <c r="L4105" s="19">
        <v>2022</v>
      </c>
      <c r="M4105" s="20">
        <v>1</v>
      </c>
      <c r="N4105" s="19" t="s">
        <v>1798</v>
      </c>
      <c r="O4105" s="20">
        <v>0</v>
      </c>
      <c r="P4105" s="20">
        <v>0</v>
      </c>
      <c r="Q4105" s="20">
        <v>0</v>
      </c>
      <c r="R4105" s="21">
        <v>1</v>
      </c>
      <c r="S4105" s="20">
        <v>0</v>
      </c>
    </row>
    <row r="4106" spans="2:19" ht="15" customHeight="1" x14ac:dyDescent="0.25">
      <c r="B4106" s="2" t="str">
        <f t="shared" si="128"/>
        <v>PGL_Income Eligible_Multi-Family_Whole Building - Public Housing_Advanced Thermostat_Boiler (Replace Manual)_MF</v>
      </c>
      <c r="C4106" s="2" t="str">
        <f t="shared" si="129"/>
        <v>PGL_Income Eligible_Multi-Family_Whole Building - Public Housing_Advanced Thermostat_Boiler (Replace Manual)_MF_2023</v>
      </c>
      <c r="D4106" s="19" t="s">
        <v>1794</v>
      </c>
      <c r="E4106" s="19" t="s">
        <v>325</v>
      </c>
      <c r="F4106" s="19" t="s">
        <v>1422</v>
      </c>
      <c r="G4106" s="19" t="s">
        <v>1817</v>
      </c>
      <c r="H4106" s="19" t="s">
        <v>7</v>
      </c>
      <c r="I4106" s="19" t="s">
        <v>1051</v>
      </c>
      <c r="J4106" s="19" t="s">
        <v>24</v>
      </c>
      <c r="K4106" s="19" t="s">
        <v>553</v>
      </c>
      <c r="L4106" s="19">
        <v>2023</v>
      </c>
      <c r="M4106" s="20">
        <v>1</v>
      </c>
      <c r="N4106" s="19" t="s">
        <v>1798</v>
      </c>
      <c r="O4106" s="20">
        <v>0</v>
      </c>
      <c r="P4106" s="20">
        <v>0</v>
      </c>
      <c r="Q4106" s="20">
        <v>0</v>
      </c>
      <c r="R4106" s="21">
        <v>1</v>
      </c>
      <c r="S4106" s="20">
        <v>0</v>
      </c>
    </row>
    <row r="4107" spans="2:19" ht="15" customHeight="1" x14ac:dyDescent="0.25">
      <c r="B4107" s="2" t="str">
        <f t="shared" si="128"/>
        <v>PGL_Income Eligible_Multi-Family_Whole Building - Public Housing_Advanced Thermostat_Boiler (Replace Manual)_MF</v>
      </c>
      <c r="C4107" s="2" t="str">
        <f t="shared" si="129"/>
        <v>PGL_Income Eligible_Multi-Family_Whole Building - Public Housing_Advanced Thermostat_Boiler (Replace Manual)_MF_2024</v>
      </c>
      <c r="D4107" s="19" t="s">
        <v>1794</v>
      </c>
      <c r="E4107" s="19" t="s">
        <v>325</v>
      </c>
      <c r="F4107" s="19" t="s">
        <v>1422</v>
      </c>
      <c r="G4107" s="19" t="s">
        <v>1817</v>
      </c>
      <c r="H4107" s="19" t="s">
        <v>7</v>
      </c>
      <c r="I4107" s="19" t="s">
        <v>1051</v>
      </c>
      <c r="J4107" s="19" t="s">
        <v>24</v>
      </c>
      <c r="K4107" s="19" t="s">
        <v>553</v>
      </c>
      <c r="L4107" s="19">
        <v>2024</v>
      </c>
      <c r="M4107" s="20">
        <v>1</v>
      </c>
      <c r="N4107" s="19" t="s">
        <v>1798</v>
      </c>
      <c r="O4107" s="20">
        <v>0</v>
      </c>
      <c r="P4107" s="20">
        <v>0</v>
      </c>
      <c r="Q4107" s="20">
        <v>0</v>
      </c>
      <c r="R4107" s="21">
        <v>1</v>
      </c>
      <c r="S4107" s="20">
        <v>0</v>
      </c>
    </row>
    <row r="4108" spans="2:19" ht="15" customHeight="1" x14ac:dyDescent="0.25">
      <c r="B4108" s="2" t="str">
        <f t="shared" si="128"/>
        <v>PGL_Income Eligible_Multi-Family_Whole Building - Public Housing_Advanced Thermostat_Boiler (Replace Manual)_MF</v>
      </c>
      <c r="C4108" s="2" t="str">
        <f t="shared" si="129"/>
        <v>PGL_Income Eligible_Multi-Family_Whole Building - Public Housing_Advanced Thermostat_Boiler (Replace Manual)_MF_2025</v>
      </c>
      <c r="D4108" s="19" t="s">
        <v>1794</v>
      </c>
      <c r="E4108" s="19" t="s">
        <v>325</v>
      </c>
      <c r="F4108" s="19" t="s">
        <v>1422</v>
      </c>
      <c r="G4108" s="19" t="s">
        <v>1817</v>
      </c>
      <c r="H4108" s="19" t="s">
        <v>7</v>
      </c>
      <c r="I4108" s="19" t="s">
        <v>1051</v>
      </c>
      <c r="J4108" s="19" t="s">
        <v>24</v>
      </c>
      <c r="K4108" s="19" t="s">
        <v>553</v>
      </c>
      <c r="L4108" s="19">
        <v>2025</v>
      </c>
      <c r="M4108" s="20">
        <v>1</v>
      </c>
      <c r="N4108" s="19" t="s">
        <v>1798</v>
      </c>
      <c r="O4108" s="20">
        <v>0</v>
      </c>
      <c r="P4108" s="20">
        <v>0</v>
      </c>
      <c r="Q4108" s="20">
        <v>0</v>
      </c>
      <c r="R4108" s="21">
        <v>1</v>
      </c>
      <c r="S4108" s="20">
        <v>0</v>
      </c>
    </row>
    <row r="4109" spans="2:19" ht="15" customHeight="1" x14ac:dyDescent="0.25">
      <c r="B4109" s="2" t="str">
        <f t="shared" si="128"/>
        <v>PGL_Income Eligible_Multi-Family_Whole Building - Public Housing_Advanced Thermostat_Furnace (Replace Programmable)_MF</v>
      </c>
      <c r="C4109" s="2" t="str">
        <f t="shared" si="129"/>
        <v>PGL_Income Eligible_Multi-Family_Whole Building - Public Housing_Advanced Thermostat_Furnace (Replace Programmable)_MF_2022</v>
      </c>
      <c r="D4109" s="19" t="s">
        <v>1794</v>
      </c>
      <c r="E4109" s="19" t="s">
        <v>325</v>
      </c>
      <c r="F4109" s="19" t="s">
        <v>1422</v>
      </c>
      <c r="G4109" s="19" t="s">
        <v>1817</v>
      </c>
      <c r="H4109" s="19" t="s">
        <v>7</v>
      </c>
      <c r="I4109" s="19" t="s">
        <v>1049</v>
      </c>
      <c r="J4109" s="19" t="s">
        <v>24</v>
      </c>
      <c r="K4109" s="19" t="s">
        <v>553</v>
      </c>
      <c r="L4109" s="19">
        <v>2022</v>
      </c>
      <c r="M4109" s="20">
        <v>1</v>
      </c>
      <c r="N4109" s="19" t="s">
        <v>1798</v>
      </c>
      <c r="O4109" s="20">
        <v>3</v>
      </c>
      <c r="P4109" s="20">
        <v>3</v>
      </c>
      <c r="Q4109" s="20">
        <v>143.06174999999999</v>
      </c>
      <c r="R4109" s="21">
        <v>1</v>
      </c>
      <c r="S4109" s="20">
        <v>143.06174999999999</v>
      </c>
    </row>
    <row r="4110" spans="2:19" ht="15" customHeight="1" x14ac:dyDescent="0.25">
      <c r="B4110" s="2" t="str">
        <f t="shared" si="128"/>
        <v>PGL_Income Eligible_Multi-Family_Whole Building - Public Housing_Advanced Thermostat_Furnace (Replace Programmable)_MF</v>
      </c>
      <c r="C4110" s="2" t="str">
        <f t="shared" si="129"/>
        <v>PGL_Income Eligible_Multi-Family_Whole Building - Public Housing_Advanced Thermostat_Furnace (Replace Programmable)_MF_2023</v>
      </c>
      <c r="D4110" s="19" t="s">
        <v>1794</v>
      </c>
      <c r="E4110" s="19" t="s">
        <v>325</v>
      </c>
      <c r="F4110" s="19" t="s">
        <v>1422</v>
      </c>
      <c r="G4110" s="19" t="s">
        <v>1817</v>
      </c>
      <c r="H4110" s="19" t="s">
        <v>7</v>
      </c>
      <c r="I4110" s="19" t="s">
        <v>1049</v>
      </c>
      <c r="J4110" s="19" t="s">
        <v>24</v>
      </c>
      <c r="K4110" s="19" t="s">
        <v>553</v>
      </c>
      <c r="L4110" s="19">
        <v>2023</v>
      </c>
      <c r="M4110" s="20">
        <v>1</v>
      </c>
      <c r="N4110" s="19" t="s">
        <v>1798</v>
      </c>
      <c r="O4110" s="20">
        <v>3</v>
      </c>
      <c r="P4110" s="20">
        <v>3</v>
      </c>
      <c r="Q4110" s="20">
        <v>143.06174999999999</v>
      </c>
      <c r="R4110" s="21">
        <v>1</v>
      </c>
      <c r="S4110" s="20">
        <v>143.06174999999999</v>
      </c>
    </row>
    <row r="4111" spans="2:19" ht="15" customHeight="1" x14ac:dyDescent="0.25">
      <c r="B4111" s="2" t="str">
        <f t="shared" si="128"/>
        <v>PGL_Income Eligible_Multi-Family_Whole Building - Public Housing_Advanced Thermostat_Furnace (Replace Programmable)_MF</v>
      </c>
      <c r="C4111" s="2" t="str">
        <f t="shared" si="129"/>
        <v>PGL_Income Eligible_Multi-Family_Whole Building - Public Housing_Advanced Thermostat_Furnace (Replace Programmable)_MF_2024</v>
      </c>
      <c r="D4111" s="19" t="s">
        <v>1794</v>
      </c>
      <c r="E4111" s="19" t="s">
        <v>325</v>
      </c>
      <c r="F4111" s="19" t="s">
        <v>1422</v>
      </c>
      <c r="G4111" s="19" t="s">
        <v>1817</v>
      </c>
      <c r="H4111" s="19" t="s">
        <v>7</v>
      </c>
      <c r="I4111" s="19" t="s">
        <v>1049</v>
      </c>
      <c r="J4111" s="19" t="s">
        <v>24</v>
      </c>
      <c r="K4111" s="19" t="s">
        <v>553</v>
      </c>
      <c r="L4111" s="19">
        <v>2024</v>
      </c>
      <c r="M4111" s="20">
        <v>1</v>
      </c>
      <c r="N4111" s="19" t="s">
        <v>1798</v>
      </c>
      <c r="O4111" s="20">
        <v>3</v>
      </c>
      <c r="P4111" s="20">
        <v>3</v>
      </c>
      <c r="Q4111" s="20">
        <v>143.06174999999999</v>
      </c>
      <c r="R4111" s="21">
        <v>1</v>
      </c>
      <c r="S4111" s="20">
        <v>143.06174999999999</v>
      </c>
    </row>
    <row r="4112" spans="2:19" ht="15" customHeight="1" x14ac:dyDescent="0.25">
      <c r="B4112" s="2" t="str">
        <f t="shared" si="128"/>
        <v>PGL_Income Eligible_Multi-Family_Whole Building - Public Housing_Advanced Thermostat_Furnace (Replace Programmable)_MF</v>
      </c>
      <c r="C4112" s="2" t="str">
        <f t="shared" si="129"/>
        <v>PGL_Income Eligible_Multi-Family_Whole Building - Public Housing_Advanced Thermostat_Furnace (Replace Programmable)_MF_2025</v>
      </c>
      <c r="D4112" s="19" t="s">
        <v>1794</v>
      </c>
      <c r="E4112" s="19" t="s">
        <v>325</v>
      </c>
      <c r="F4112" s="19" t="s">
        <v>1422</v>
      </c>
      <c r="G4112" s="19" t="s">
        <v>1817</v>
      </c>
      <c r="H4112" s="19" t="s">
        <v>7</v>
      </c>
      <c r="I4112" s="19" t="s">
        <v>1049</v>
      </c>
      <c r="J4112" s="19" t="s">
        <v>24</v>
      </c>
      <c r="K4112" s="19" t="s">
        <v>553</v>
      </c>
      <c r="L4112" s="19">
        <v>2025</v>
      </c>
      <c r="M4112" s="20">
        <v>1</v>
      </c>
      <c r="N4112" s="19" t="s">
        <v>1798</v>
      </c>
      <c r="O4112" s="20">
        <v>3</v>
      </c>
      <c r="P4112" s="20">
        <v>3</v>
      </c>
      <c r="Q4112" s="20">
        <v>143.06174999999999</v>
      </c>
      <c r="R4112" s="21">
        <v>1</v>
      </c>
      <c r="S4112" s="20">
        <v>143.06174999999999</v>
      </c>
    </row>
    <row r="4113" spans="2:19" ht="15" customHeight="1" x14ac:dyDescent="0.25">
      <c r="B4113" s="2" t="str">
        <f t="shared" si="128"/>
        <v>PGL_Income Eligible_Multi-Family_Whole Building - Public Housing_Advanced Thermostat_Boiler (Replace Programmable)_MF</v>
      </c>
      <c r="C4113" s="2" t="str">
        <f t="shared" si="129"/>
        <v>PGL_Income Eligible_Multi-Family_Whole Building - Public Housing_Advanced Thermostat_Boiler (Replace Programmable)_MF_2022</v>
      </c>
      <c r="D4113" s="19" t="s">
        <v>1794</v>
      </c>
      <c r="E4113" s="19" t="s">
        <v>325</v>
      </c>
      <c r="F4113" s="19" t="s">
        <v>1422</v>
      </c>
      <c r="G4113" s="19" t="s">
        <v>1817</v>
      </c>
      <c r="H4113" s="19" t="s">
        <v>7</v>
      </c>
      <c r="I4113" s="19" t="s">
        <v>1052</v>
      </c>
      <c r="J4113" s="19" t="s">
        <v>24</v>
      </c>
      <c r="K4113" s="19" t="s">
        <v>553</v>
      </c>
      <c r="L4113" s="19">
        <v>2022</v>
      </c>
      <c r="M4113" s="20">
        <v>1</v>
      </c>
      <c r="N4113" s="19" t="s">
        <v>1798</v>
      </c>
      <c r="O4113" s="20">
        <v>0</v>
      </c>
      <c r="P4113" s="20">
        <v>0</v>
      </c>
      <c r="Q4113" s="20">
        <v>0</v>
      </c>
      <c r="R4113" s="21">
        <v>1</v>
      </c>
      <c r="S4113" s="20">
        <v>0</v>
      </c>
    </row>
    <row r="4114" spans="2:19" ht="15" customHeight="1" x14ac:dyDescent="0.25">
      <c r="B4114" s="2" t="str">
        <f t="shared" si="128"/>
        <v>PGL_Income Eligible_Multi-Family_Whole Building - Public Housing_Advanced Thermostat_Boiler (Replace Programmable)_MF</v>
      </c>
      <c r="C4114" s="2" t="str">
        <f t="shared" si="129"/>
        <v>PGL_Income Eligible_Multi-Family_Whole Building - Public Housing_Advanced Thermostat_Boiler (Replace Programmable)_MF_2023</v>
      </c>
      <c r="D4114" s="19" t="s">
        <v>1794</v>
      </c>
      <c r="E4114" s="19" t="s">
        <v>325</v>
      </c>
      <c r="F4114" s="19" t="s">
        <v>1422</v>
      </c>
      <c r="G4114" s="19" t="s">
        <v>1817</v>
      </c>
      <c r="H4114" s="19" t="s">
        <v>7</v>
      </c>
      <c r="I4114" s="19" t="s">
        <v>1052</v>
      </c>
      <c r="J4114" s="19" t="s">
        <v>24</v>
      </c>
      <c r="K4114" s="19" t="s">
        <v>553</v>
      </c>
      <c r="L4114" s="19">
        <v>2023</v>
      </c>
      <c r="M4114" s="20">
        <v>1</v>
      </c>
      <c r="N4114" s="19" t="s">
        <v>1798</v>
      </c>
      <c r="O4114" s="20">
        <v>0</v>
      </c>
      <c r="P4114" s="20">
        <v>0</v>
      </c>
      <c r="Q4114" s="20">
        <v>0</v>
      </c>
      <c r="R4114" s="21">
        <v>1</v>
      </c>
      <c r="S4114" s="20">
        <v>0</v>
      </c>
    </row>
    <row r="4115" spans="2:19" ht="15" customHeight="1" x14ac:dyDescent="0.25">
      <c r="B4115" s="2" t="str">
        <f t="shared" si="128"/>
        <v>PGL_Income Eligible_Multi-Family_Whole Building - Public Housing_Advanced Thermostat_Boiler (Replace Programmable)_MF</v>
      </c>
      <c r="C4115" s="2" t="str">
        <f t="shared" si="129"/>
        <v>PGL_Income Eligible_Multi-Family_Whole Building - Public Housing_Advanced Thermostat_Boiler (Replace Programmable)_MF_2024</v>
      </c>
      <c r="D4115" s="19" t="s">
        <v>1794</v>
      </c>
      <c r="E4115" s="19" t="s">
        <v>325</v>
      </c>
      <c r="F4115" s="19" t="s">
        <v>1422</v>
      </c>
      <c r="G4115" s="19" t="s">
        <v>1817</v>
      </c>
      <c r="H4115" s="19" t="s">
        <v>7</v>
      </c>
      <c r="I4115" s="19" t="s">
        <v>1052</v>
      </c>
      <c r="J4115" s="19" t="s">
        <v>24</v>
      </c>
      <c r="K4115" s="19" t="s">
        <v>553</v>
      </c>
      <c r="L4115" s="19">
        <v>2024</v>
      </c>
      <c r="M4115" s="20">
        <v>1</v>
      </c>
      <c r="N4115" s="19" t="s">
        <v>1798</v>
      </c>
      <c r="O4115" s="20">
        <v>0</v>
      </c>
      <c r="P4115" s="20">
        <v>0</v>
      </c>
      <c r="Q4115" s="20">
        <v>0</v>
      </c>
      <c r="R4115" s="21">
        <v>1</v>
      </c>
      <c r="S4115" s="20">
        <v>0</v>
      </c>
    </row>
    <row r="4116" spans="2:19" ht="15" customHeight="1" x14ac:dyDescent="0.25">
      <c r="B4116" s="2" t="str">
        <f t="shared" si="128"/>
        <v>PGL_Income Eligible_Multi-Family_Whole Building - Public Housing_Advanced Thermostat_Boiler (Replace Programmable)_MF</v>
      </c>
      <c r="C4116" s="2" t="str">
        <f t="shared" si="129"/>
        <v>PGL_Income Eligible_Multi-Family_Whole Building - Public Housing_Advanced Thermostat_Boiler (Replace Programmable)_MF_2025</v>
      </c>
      <c r="D4116" s="19" t="s">
        <v>1794</v>
      </c>
      <c r="E4116" s="19" t="s">
        <v>325</v>
      </c>
      <c r="F4116" s="19" t="s">
        <v>1422</v>
      </c>
      <c r="G4116" s="19" t="s">
        <v>1817</v>
      </c>
      <c r="H4116" s="19" t="s">
        <v>7</v>
      </c>
      <c r="I4116" s="19" t="s">
        <v>1052</v>
      </c>
      <c r="J4116" s="19" t="s">
        <v>24</v>
      </c>
      <c r="K4116" s="19" t="s">
        <v>553</v>
      </c>
      <c r="L4116" s="19">
        <v>2025</v>
      </c>
      <c r="M4116" s="20">
        <v>1</v>
      </c>
      <c r="N4116" s="19" t="s">
        <v>1798</v>
      </c>
      <c r="O4116" s="20">
        <v>0</v>
      </c>
      <c r="P4116" s="20">
        <v>0</v>
      </c>
      <c r="Q4116" s="20">
        <v>0</v>
      </c>
      <c r="R4116" s="21">
        <v>1</v>
      </c>
      <c r="S4116" s="20">
        <v>0</v>
      </c>
    </row>
    <row r="4117" spans="2:19" ht="15" customHeight="1" x14ac:dyDescent="0.25">
      <c r="B4117" s="2" t="str">
        <f t="shared" si="128"/>
        <v>PGL_Income Eligible_Multi-Family_Whole Building - Public Housing_Thermostat - Reprogram_Boiler (DI)_MF</v>
      </c>
      <c r="C4117" s="2" t="str">
        <f t="shared" si="129"/>
        <v>PGL_Income Eligible_Multi-Family_Whole Building - Public Housing_Thermostat - Reprogram_Boiler (DI)_MF_2022</v>
      </c>
      <c r="D4117" s="19" t="s">
        <v>1794</v>
      </c>
      <c r="E4117" s="19" t="s">
        <v>325</v>
      </c>
      <c r="F4117" s="19" t="s">
        <v>1422</v>
      </c>
      <c r="G4117" s="19" t="s">
        <v>1817</v>
      </c>
      <c r="H4117" s="19" t="s">
        <v>1055</v>
      </c>
      <c r="I4117" s="19" t="s">
        <v>1045</v>
      </c>
      <c r="J4117" s="19" t="s">
        <v>24</v>
      </c>
      <c r="K4117" s="19" t="s">
        <v>553</v>
      </c>
      <c r="L4117" s="19">
        <v>2022</v>
      </c>
      <c r="M4117" s="20">
        <v>1</v>
      </c>
      <c r="N4117" s="19" t="s">
        <v>1798</v>
      </c>
      <c r="O4117" s="20">
        <v>0</v>
      </c>
      <c r="P4117" s="20">
        <v>0</v>
      </c>
      <c r="Q4117" s="20">
        <v>0</v>
      </c>
      <c r="R4117" s="21">
        <v>1</v>
      </c>
      <c r="S4117" s="20">
        <v>0</v>
      </c>
    </row>
    <row r="4118" spans="2:19" ht="15" customHeight="1" x14ac:dyDescent="0.25">
      <c r="B4118" s="2" t="str">
        <f t="shared" si="128"/>
        <v>PGL_Income Eligible_Multi-Family_Whole Building - Public Housing_Thermostat - Reprogram_Boiler (DI)_MF</v>
      </c>
      <c r="C4118" s="2" t="str">
        <f t="shared" si="129"/>
        <v>PGL_Income Eligible_Multi-Family_Whole Building - Public Housing_Thermostat - Reprogram_Boiler (DI)_MF_2023</v>
      </c>
      <c r="D4118" s="19" t="s">
        <v>1794</v>
      </c>
      <c r="E4118" s="19" t="s">
        <v>325</v>
      </c>
      <c r="F4118" s="19" t="s">
        <v>1422</v>
      </c>
      <c r="G4118" s="19" t="s">
        <v>1817</v>
      </c>
      <c r="H4118" s="19" t="s">
        <v>1055</v>
      </c>
      <c r="I4118" s="19" t="s">
        <v>1045</v>
      </c>
      <c r="J4118" s="19" t="s">
        <v>24</v>
      </c>
      <c r="K4118" s="19" t="s">
        <v>553</v>
      </c>
      <c r="L4118" s="19">
        <v>2023</v>
      </c>
      <c r="M4118" s="20">
        <v>1</v>
      </c>
      <c r="N4118" s="19" t="s">
        <v>1798</v>
      </c>
      <c r="O4118" s="20">
        <v>0</v>
      </c>
      <c r="P4118" s="20">
        <v>0</v>
      </c>
      <c r="Q4118" s="20">
        <v>0</v>
      </c>
      <c r="R4118" s="21">
        <v>1</v>
      </c>
      <c r="S4118" s="20">
        <v>0</v>
      </c>
    </row>
    <row r="4119" spans="2:19" ht="15" customHeight="1" x14ac:dyDescent="0.25">
      <c r="B4119" s="2" t="str">
        <f t="shared" si="128"/>
        <v>PGL_Income Eligible_Multi-Family_Whole Building - Public Housing_Thermostat - Reprogram_Boiler (DI)_MF</v>
      </c>
      <c r="C4119" s="2" t="str">
        <f t="shared" si="129"/>
        <v>PGL_Income Eligible_Multi-Family_Whole Building - Public Housing_Thermostat - Reprogram_Boiler (DI)_MF_2024</v>
      </c>
      <c r="D4119" s="19" t="s">
        <v>1794</v>
      </c>
      <c r="E4119" s="19" t="s">
        <v>325</v>
      </c>
      <c r="F4119" s="19" t="s">
        <v>1422</v>
      </c>
      <c r="G4119" s="19" t="s">
        <v>1817</v>
      </c>
      <c r="H4119" s="19" t="s">
        <v>1055</v>
      </c>
      <c r="I4119" s="19" t="s">
        <v>1045</v>
      </c>
      <c r="J4119" s="19" t="s">
        <v>24</v>
      </c>
      <c r="K4119" s="19" t="s">
        <v>553</v>
      </c>
      <c r="L4119" s="19">
        <v>2024</v>
      </c>
      <c r="M4119" s="20">
        <v>1</v>
      </c>
      <c r="N4119" s="19" t="s">
        <v>1798</v>
      </c>
      <c r="O4119" s="20">
        <v>0</v>
      </c>
      <c r="P4119" s="20">
        <v>0</v>
      </c>
      <c r="Q4119" s="20">
        <v>0</v>
      </c>
      <c r="R4119" s="21">
        <v>1</v>
      </c>
      <c r="S4119" s="20">
        <v>0</v>
      </c>
    </row>
    <row r="4120" spans="2:19" ht="15" customHeight="1" x14ac:dyDescent="0.25">
      <c r="B4120" s="2" t="str">
        <f t="shared" si="128"/>
        <v>PGL_Income Eligible_Multi-Family_Whole Building - Public Housing_Thermostat - Reprogram_Boiler (DI)_MF</v>
      </c>
      <c r="C4120" s="2" t="str">
        <f t="shared" si="129"/>
        <v>PGL_Income Eligible_Multi-Family_Whole Building - Public Housing_Thermostat - Reprogram_Boiler (DI)_MF_2025</v>
      </c>
      <c r="D4120" s="19" t="s">
        <v>1794</v>
      </c>
      <c r="E4120" s="19" t="s">
        <v>325</v>
      </c>
      <c r="F4120" s="19" t="s">
        <v>1422</v>
      </c>
      <c r="G4120" s="19" t="s">
        <v>1817</v>
      </c>
      <c r="H4120" s="19" t="s">
        <v>1055</v>
      </c>
      <c r="I4120" s="19" t="s">
        <v>1045</v>
      </c>
      <c r="J4120" s="19" t="s">
        <v>24</v>
      </c>
      <c r="K4120" s="19" t="s">
        <v>553</v>
      </c>
      <c r="L4120" s="19">
        <v>2025</v>
      </c>
      <c r="M4120" s="20">
        <v>1</v>
      </c>
      <c r="N4120" s="19" t="s">
        <v>1798</v>
      </c>
      <c r="O4120" s="20">
        <v>0</v>
      </c>
      <c r="P4120" s="20">
        <v>0</v>
      </c>
      <c r="Q4120" s="20">
        <v>0</v>
      </c>
      <c r="R4120" s="21">
        <v>1</v>
      </c>
      <c r="S4120" s="20">
        <v>0</v>
      </c>
    </row>
    <row r="4121" spans="2:19" ht="15" customHeight="1" x14ac:dyDescent="0.25">
      <c r="B4121" s="2" t="str">
        <f t="shared" si="128"/>
        <v>PGL_Income Eligible_Multi-Family_Whole Building - Public Housing_Thermostat - Reprogram_Furnace (DI)_MF</v>
      </c>
      <c r="C4121" s="2" t="str">
        <f t="shared" si="129"/>
        <v>PGL_Income Eligible_Multi-Family_Whole Building - Public Housing_Thermostat - Reprogram_Furnace (DI)_MF_2022</v>
      </c>
      <c r="D4121" s="19" t="s">
        <v>1794</v>
      </c>
      <c r="E4121" s="19" t="s">
        <v>325</v>
      </c>
      <c r="F4121" s="19" t="s">
        <v>1422</v>
      </c>
      <c r="G4121" s="19" t="s">
        <v>1817</v>
      </c>
      <c r="H4121" s="19" t="s">
        <v>1055</v>
      </c>
      <c r="I4121" s="19" t="s">
        <v>1038</v>
      </c>
      <c r="J4121" s="19" t="s">
        <v>24</v>
      </c>
      <c r="K4121" s="19" t="s">
        <v>553</v>
      </c>
      <c r="L4121" s="19">
        <v>2022</v>
      </c>
      <c r="M4121" s="20">
        <v>1</v>
      </c>
      <c r="N4121" s="19" t="s">
        <v>1798</v>
      </c>
      <c r="O4121" s="20">
        <v>0</v>
      </c>
      <c r="P4121" s="20">
        <v>0</v>
      </c>
      <c r="Q4121" s="20">
        <v>0</v>
      </c>
      <c r="R4121" s="21">
        <v>1</v>
      </c>
      <c r="S4121" s="20">
        <v>0</v>
      </c>
    </row>
    <row r="4122" spans="2:19" ht="15" customHeight="1" x14ac:dyDescent="0.25">
      <c r="B4122" s="2" t="str">
        <f t="shared" si="128"/>
        <v>PGL_Income Eligible_Multi-Family_Whole Building - Public Housing_Thermostat - Reprogram_Furnace (DI)_MF</v>
      </c>
      <c r="C4122" s="2" t="str">
        <f t="shared" si="129"/>
        <v>PGL_Income Eligible_Multi-Family_Whole Building - Public Housing_Thermostat - Reprogram_Furnace (DI)_MF_2023</v>
      </c>
      <c r="D4122" s="19" t="s">
        <v>1794</v>
      </c>
      <c r="E4122" s="19" t="s">
        <v>325</v>
      </c>
      <c r="F4122" s="19" t="s">
        <v>1422</v>
      </c>
      <c r="G4122" s="19" t="s">
        <v>1817</v>
      </c>
      <c r="H4122" s="19" t="s">
        <v>1055</v>
      </c>
      <c r="I4122" s="19" t="s">
        <v>1038</v>
      </c>
      <c r="J4122" s="19" t="s">
        <v>24</v>
      </c>
      <c r="K4122" s="19" t="s">
        <v>553</v>
      </c>
      <c r="L4122" s="19">
        <v>2023</v>
      </c>
      <c r="M4122" s="20">
        <v>1</v>
      </c>
      <c r="N4122" s="19" t="s">
        <v>1798</v>
      </c>
      <c r="O4122" s="20">
        <v>0</v>
      </c>
      <c r="P4122" s="20">
        <v>0</v>
      </c>
      <c r="Q4122" s="20">
        <v>0</v>
      </c>
      <c r="R4122" s="21">
        <v>1</v>
      </c>
      <c r="S4122" s="20">
        <v>0</v>
      </c>
    </row>
    <row r="4123" spans="2:19" ht="15" customHeight="1" x14ac:dyDescent="0.25">
      <c r="B4123" s="2" t="str">
        <f t="shared" si="128"/>
        <v>PGL_Income Eligible_Multi-Family_Whole Building - Public Housing_Thermostat - Reprogram_Furnace (DI)_MF</v>
      </c>
      <c r="C4123" s="2" t="str">
        <f t="shared" si="129"/>
        <v>PGL_Income Eligible_Multi-Family_Whole Building - Public Housing_Thermostat - Reprogram_Furnace (DI)_MF_2024</v>
      </c>
      <c r="D4123" s="19" t="s">
        <v>1794</v>
      </c>
      <c r="E4123" s="19" t="s">
        <v>325</v>
      </c>
      <c r="F4123" s="19" t="s">
        <v>1422</v>
      </c>
      <c r="G4123" s="19" t="s">
        <v>1817</v>
      </c>
      <c r="H4123" s="19" t="s">
        <v>1055</v>
      </c>
      <c r="I4123" s="19" t="s">
        <v>1038</v>
      </c>
      <c r="J4123" s="19" t="s">
        <v>24</v>
      </c>
      <c r="K4123" s="19" t="s">
        <v>553</v>
      </c>
      <c r="L4123" s="19">
        <v>2024</v>
      </c>
      <c r="M4123" s="20">
        <v>1</v>
      </c>
      <c r="N4123" s="19" t="s">
        <v>1798</v>
      </c>
      <c r="O4123" s="20">
        <v>0</v>
      </c>
      <c r="P4123" s="20">
        <v>0</v>
      </c>
      <c r="Q4123" s="20">
        <v>0</v>
      </c>
      <c r="R4123" s="21">
        <v>1</v>
      </c>
      <c r="S4123" s="20">
        <v>0</v>
      </c>
    </row>
    <row r="4124" spans="2:19" ht="15" customHeight="1" x14ac:dyDescent="0.25">
      <c r="B4124" s="2" t="str">
        <f t="shared" si="128"/>
        <v>PGL_Income Eligible_Multi-Family_Whole Building - Public Housing_Thermostat - Reprogram_Furnace (DI)_MF</v>
      </c>
      <c r="C4124" s="2" t="str">
        <f t="shared" si="129"/>
        <v>PGL_Income Eligible_Multi-Family_Whole Building - Public Housing_Thermostat - Reprogram_Furnace (DI)_MF_2025</v>
      </c>
      <c r="D4124" s="19" t="s">
        <v>1794</v>
      </c>
      <c r="E4124" s="19" t="s">
        <v>325</v>
      </c>
      <c r="F4124" s="19" t="s">
        <v>1422</v>
      </c>
      <c r="G4124" s="19" t="s">
        <v>1817</v>
      </c>
      <c r="H4124" s="19" t="s">
        <v>1055</v>
      </c>
      <c r="I4124" s="19" t="s">
        <v>1038</v>
      </c>
      <c r="J4124" s="19" t="s">
        <v>24</v>
      </c>
      <c r="K4124" s="19" t="s">
        <v>553</v>
      </c>
      <c r="L4124" s="19">
        <v>2025</v>
      </c>
      <c r="M4124" s="20">
        <v>1</v>
      </c>
      <c r="N4124" s="19" t="s">
        <v>1798</v>
      </c>
      <c r="O4124" s="20">
        <v>0</v>
      </c>
      <c r="P4124" s="20">
        <v>0</v>
      </c>
      <c r="Q4124" s="20">
        <v>0</v>
      </c>
      <c r="R4124" s="21">
        <v>1</v>
      </c>
      <c r="S4124" s="20">
        <v>0</v>
      </c>
    </row>
    <row r="4125" spans="2:19" ht="15" customHeight="1" x14ac:dyDescent="0.25">
      <c r="B4125" s="2" t="str">
        <f t="shared" si="128"/>
        <v>PGL_Income Eligible_Multi-Family_Whole Building - Public Housing_Air Sealing_0_MF</v>
      </c>
      <c r="C4125" s="2" t="str">
        <f t="shared" si="129"/>
        <v>PGL_Income Eligible_Multi-Family_Whole Building - Public Housing_Air Sealing_0_MF_2022</v>
      </c>
      <c r="D4125" s="19" t="s">
        <v>1794</v>
      </c>
      <c r="E4125" s="19" t="s">
        <v>325</v>
      </c>
      <c r="F4125" s="19" t="s">
        <v>1422</v>
      </c>
      <c r="G4125" s="19" t="s">
        <v>1817</v>
      </c>
      <c r="H4125" s="19" t="s">
        <v>221</v>
      </c>
      <c r="I4125" s="19">
        <v>0</v>
      </c>
      <c r="J4125" s="19" t="s">
        <v>881</v>
      </c>
      <c r="K4125" s="19" t="s">
        <v>553</v>
      </c>
      <c r="L4125" s="19">
        <v>2022</v>
      </c>
      <c r="M4125" s="20">
        <v>1</v>
      </c>
      <c r="N4125" s="19" t="s">
        <v>1814</v>
      </c>
      <c r="O4125" s="20">
        <v>150</v>
      </c>
      <c r="P4125" s="20">
        <v>150</v>
      </c>
      <c r="Q4125" s="20">
        <v>6542.7014218009472</v>
      </c>
      <c r="R4125" s="21">
        <v>1</v>
      </c>
      <c r="S4125" s="20">
        <v>6542.7014218009472</v>
      </c>
    </row>
    <row r="4126" spans="2:19" ht="15" customHeight="1" x14ac:dyDescent="0.25">
      <c r="B4126" s="2" t="str">
        <f t="shared" si="128"/>
        <v>PGL_Income Eligible_Multi-Family_Whole Building - Public Housing_Air Sealing_0_MF</v>
      </c>
      <c r="C4126" s="2" t="str">
        <f t="shared" si="129"/>
        <v>PGL_Income Eligible_Multi-Family_Whole Building - Public Housing_Air Sealing_0_MF_2023</v>
      </c>
      <c r="D4126" s="19" t="s">
        <v>1794</v>
      </c>
      <c r="E4126" s="19" t="s">
        <v>325</v>
      </c>
      <c r="F4126" s="19" t="s">
        <v>1422</v>
      </c>
      <c r="G4126" s="19" t="s">
        <v>1817</v>
      </c>
      <c r="H4126" s="19" t="s">
        <v>221</v>
      </c>
      <c r="I4126" s="19">
        <v>0</v>
      </c>
      <c r="J4126" s="19" t="s">
        <v>881</v>
      </c>
      <c r="K4126" s="19" t="s">
        <v>553</v>
      </c>
      <c r="L4126" s="19">
        <v>2023</v>
      </c>
      <c r="M4126" s="20">
        <v>1</v>
      </c>
      <c r="N4126" s="19" t="s">
        <v>1814</v>
      </c>
      <c r="O4126" s="20">
        <v>150</v>
      </c>
      <c r="P4126" s="20">
        <v>150</v>
      </c>
      <c r="Q4126" s="20">
        <v>6542.7014218009472</v>
      </c>
      <c r="R4126" s="21">
        <v>1</v>
      </c>
      <c r="S4126" s="20">
        <v>6542.7014218009472</v>
      </c>
    </row>
    <row r="4127" spans="2:19" ht="15" customHeight="1" x14ac:dyDescent="0.25">
      <c r="B4127" s="2" t="str">
        <f t="shared" si="128"/>
        <v>PGL_Income Eligible_Multi-Family_Whole Building - Public Housing_Air Sealing_0_MF</v>
      </c>
      <c r="C4127" s="2" t="str">
        <f t="shared" si="129"/>
        <v>PGL_Income Eligible_Multi-Family_Whole Building - Public Housing_Air Sealing_0_MF_2024</v>
      </c>
      <c r="D4127" s="19" t="s">
        <v>1794</v>
      </c>
      <c r="E4127" s="19" t="s">
        <v>325</v>
      </c>
      <c r="F4127" s="19" t="s">
        <v>1422</v>
      </c>
      <c r="G4127" s="19" t="s">
        <v>1817</v>
      </c>
      <c r="H4127" s="19" t="s">
        <v>221</v>
      </c>
      <c r="I4127" s="19">
        <v>0</v>
      </c>
      <c r="J4127" s="19" t="s">
        <v>881</v>
      </c>
      <c r="K4127" s="19" t="s">
        <v>553</v>
      </c>
      <c r="L4127" s="19">
        <v>2024</v>
      </c>
      <c r="M4127" s="20">
        <v>1</v>
      </c>
      <c r="N4127" s="19" t="s">
        <v>1814</v>
      </c>
      <c r="O4127" s="20">
        <v>150</v>
      </c>
      <c r="P4127" s="20">
        <v>150</v>
      </c>
      <c r="Q4127" s="20">
        <v>6542.7014218009472</v>
      </c>
      <c r="R4127" s="21">
        <v>1</v>
      </c>
      <c r="S4127" s="20">
        <v>6542.7014218009472</v>
      </c>
    </row>
    <row r="4128" spans="2:19" ht="15" customHeight="1" x14ac:dyDescent="0.25">
      <c r="B4128" s="2" t="str">
        <f t="shared" si="128"/>
        <v>PGL_Income Eligible_Multi-Family_Whole Building - Public Housing_Air Sealing_0_MF</v>
      </c>
      <c r="C4128" s="2" t="str">
        <f t="shared" si="129"/>
        <v>PGL_Income Eligible_Multi-Family_Whole Building - Public Housing_Air Sealing_0_MF_2025</v>
      </c>
      <c r="D4128" s="19" t="s">
        <v>1794</v>
      </c>
      <c r="E4128" s="19" t="s">
        <v>325</v>
      </c>
      <c r="F4128" s="19" t="s">
        <v>1422</v>
      </c>
      <c r="G4128" s="19" t="s">
        <v>1817</v>
      </c>
      <c r="H4128" s="19" t="s">
        <v>221</v>
      </c>
      <c r="I4128" s="19">
        <v>0</v>
      </c>
      <c r="J4128" s="19" t="s">
        <v>881</v>
      </c>
      <c r="K4128" s="19" t="s">
        <v>553</v>
      </c>
      <c r="L4128" s="19">
        <v>2025</v>
      </c>
      <c r="M4128" s="20">
        <v>1</v>
      </c>
      <c r="N4128" s="19" t="s">
        <v>1814</v>
      </c>
      <c r="O4128" s="20">
        <v>150</v>
      </c>
      <c r="P4128" s="20">
        <v>150</v>
      </c>
      <c r="Q4128" s="20">
        <v>6542.7014218009472</v>
      </c>
      <c r="R4128" s="21">
        <v>1</v>
      </c>
      <c r="S4128" s="20">
        <v>6542.7014218009472</v>
      </c>
    </row>
    <row r="4129" spans="2:19" ht="15" customHeight="1" x14ac:dyDescent="0.25">
      <c r="B4129" s="2" t="str">
        <f t="shared" si="128"/>
        <v>PGL_Income Eligible_Multi-Family_Whole Building - Public Housing_Air Sealing w/ Attic Insulation_0_IE MF</v>
      </c>
      <c r="C4129" s="2" t="str">
        <f t="shared" si="129"/>
        <v>PGL_Income Eligible_Multi-Family_Whole Building - Public Housing_Air Sealing w/ Attic Insulation_0_IE MF_2022</v>
      </c>
      <c r="D4129" s="19" t="s">
        <v>1794</v>
      </c>
      <c r="E4129" s="19" t="s">
        <v>325</v>
      </c>
      <c r="F4129" s="19" t="s">
        <v>1422</v>
      </c>
      <c r="G4129" s="19" t="s">
        <v>1817</v>
      </c>
      <c r="H4129" s="19" t="s">
        <v>890</v>
      </c>
      <c r="I4129" s="19">
        <v>0</v>
      </c>
      <c r="J4129" s="19" t="s">
        <v>1469</v>
      </c>
      <c r="K4129" s="19" t="s">
        <v>1398</v>
      </c>
      <c r="L4129" s="19">
        <v>2022</v>
      </c>
      <c r="M4129" s="20">
        <v>1</v>
      </c>
      <c r="N4129" s="19" t="s">
        <v>1814</v>
      </c>
      <c r="O4129" s="20">
        <v>300</v>
      </c>
      <c r="P4129" s="20">
        <v>300</v>
      </c>
      <c r="Q4129" s="20">
        <v>10363.639052132701</v>
      </c>
      <c r="R4129" s="21">
        <v>1</v>
      </c>
      <c r="S4129" s="20">
        <v>10363.639052132701</v>
      </c>
    </row>
    <row r="4130" spans="2:19" ht="15" customHeight="1" x14ac:dyDescent="0.25">
      <c r="B4130" s="2" t="str">
        <f t="shared" si="128"/>
        <v>PGL_Income Eligible_Multi-Family_Whole Building - Public Housing_Air Sealing w/ Attic Insulation_0_IE MF</v>
      </c>
      <c r="C4130" s="2" t="str">
        <f t="shared" si="129"/>
        <v>PGL_Income Eligible_Multi-Family_Whole Building - Public Housing_Air Sealing w/ Attic Insulation_0_IE MF_2023</v>
      </c>
      <c r="D4130" s="19" t="s">
        <v>1794</v>
      </c>
      <c r="E4130" s="19" t="s">
        <v>325</v>
      </c>
      <c r="F4130" s="19" t="s">
        <v>1422</v>
      </c>
      <c r="G4130" s="19" t="s">
        <v>1817</v>
      </c>
      <c r="H4130" s="19" t="s">
        <v>890</v>
      </c>
      <c r="I4130" s="19">
        <v>0</v>
      </c>
      <c r="J4130" s="19" t="s">
        <v>1469</v>
      </c>
      <c r="K4130" s="19" t="s">
        <v>1398</v>
      </c>
      <c r="L4130" s="19">
        <v>2023</v>
      </c>
      <c r="M4130" s="20">
        <v>1</v>
      </c>
      <c r="N4130" s="19" t="s">
        <v>1814</v>
      </c>
      <c r="O4130" s="20">
        <v>300</v>
      </c>
      <c r="P4130" s="20">
        <v>300</v>
      </c>
      <c r="Q4130" s="20">
        <v>10363.639052132701</v>
      </c>
      <c r="R4130" s="21">
        <v>1</v>
      </c>
      <c r="S4130" s="20">
        <v>10363.639052132701</v>
      </c>
    </row>
    <row r="4131" spans="2:19" ht="15" customHeight="1" x14ac:dyDescent="0.25">
      <c r="B4131" s="2" t="str">
        <f t="shared" si="128"/>
        <v>PGL_Income Eligible_Multi-Family_Whole Building - Public Housing_Air Sealing w/ Attic Insulation_0_IE MF</v>
      </c>
      <c r="C4131" s="2" t="str">
        <f t="shared" si="129"/>
        <v>PGL_Income Eligible_Multi-Family_Whole Building - Public Housing_Air Sealing w/ Attic Insulation_0_IE MF_2024</v>
      </c>
      <c r="D4131" s="19" t="s">
        <v>1794</v>
      </c>
      <c r="E4131" s="19" t="s">
        <v>325</v>
      </c>
      <c r="F4131" s="19" t="s">
        <v>1422</v>
      </c>
      <c r="G4131" s="19" t="s">
        <v>1817</v>
      </c>
      <c r="H4131" s="19" t="s">
        <v>890</v>
      </c>
      <c r="I4131" s="19">
        <v>0</v>
      </c>
      <c r="J4131" s="19" t="s">
        <v>1469</v>
      </c>
      <c r="K4131" s="19" t="s">
        <v>1398</v>
      </c>
      <c r="L4131" s="19">
        <v>2024</v>
      </c>
      <c r="M4131" s="20">
        <v>1</v>
      </c>
      <c r="N4131" s="19" t="s">
        <v>1814</v>
      </c>
      <c r="O4131" s="20">
        <v>300</v>
      </c>
      <c r="P4131" s="20">
        <v>300</v>
      </c>
      <c r="Q4131" s="20">
        <v>10363.639052132701</v>
      </c>
      <c r="R4131" s="21">
        <v>1</v>
      </c>
      <c r="S4131" s="20">
        <v>10363.639052132701</v>
      </c>
    </row>
    <row r="4132" spans="2:19" ht="15" customHeight="1" x14ac:dyDescent="0.25">
      <c r="B4132" s="2" t="str">
        <f t="shared" si="128"/>
        <v>PGL_Income Eligible_Multi-Family_Whole Building - Public Housing_Air Sealing w/ Attic Insulation_0_IE MF</v>
      </c>
      <c r="C4132" s="2" t="str">
        <f t="shared" si="129"/>
        <v>PGL_Income Eligible_Multi-Family_Whole Building - Public Housing_Air Sealing w/ Attic Insulation_0_IE MF_2025</v>
      </c>
      <c r="D4132" s="19" t="s">
        <v>1794</v>
      </c>
      <c r="E4132" s="19" t="s">
        <v>325</v>
      </c>
      <c r="F4132" s="19" t="s">
        <v>1422</v>
      </c>
      <c r="G4132" s="19" t="s">
        <v>1817</v>
      </c>
      <c r="H4132" s="19" t="s">
        <v>890</v>
      </c>
      <c r="I4132" s="19">
        <v>0</v>
      </c>
      <c r="J4132" s="19" t="s">
        <v>1469</v>
      </c>
      <c r="K4132" s="19" t="s">
        <v>1398</v>
      </c>
      <c r="L4132" s="19">
        <v>2025</v>
      </c>
      <c r="M4132" s="20">
        <v>1</v>
      </c>
      <c r="N4132" s="19" t="s">
        <v>1814</v>
      </c>
      <c r="O4132" s="20">
        <v>300</v>
      </c>
      <c r="P4132" s="20">
        <v>300</v>
      </c>
      <c r="Q4132" s="20">
        <v>10363.639052132701</v>
      </c>
      <c r="R4132" s="21">
        <v>1</v>
      </c>
      <c r="S4132" s="20">
        <v>10363.639052132701</v>
      </c>
    </row>
    <row r="4133" spans="2:19" ht="15" customHeight="1" x14ac:dyDescent="0.25">
      <c r="B4133" s="2" t="str">
        <f t="shared" si="128"/>
        <v>PGL_Income Eligible_Multi-Family_Whole Building - Public Housing_Attic Insulation_0_SF</v>
      </c>
      <c r="C4133" s="2" t="str">
        <f t="shared" si="129"/>
        <v>PGL_Income Eligible_Multi-Family_Whole Building - Public Housing_Attic Insulation_0_SF_2022</v>
      </c>
      <c r="D4133" s="19" t="s">
        <v>1794</v>
      </c>
      <c r="E4133" s="19" t="s">
        <v>325</v>
      </c>
      <c r="F4133" s="19" t="s">
        <v>1422</v>
      </c>
      <c r="G4133" s="19" t="s">
        <v>1817</v>
      </c>
      <c r="H4133" s="19" t="s">
        <v>631</v>
      </c>
      <c r="I4133" s="19">
        <v>0</v>
      </c>
      <c r="J4133" s="19" t="s">
        <v>632</v>
      </c>
      <c r="K4133" s="19" t="s">
        <v>409</v>
      </c>
      <c r="L4133" s="19">
        <v>2022</v>
      </c>
      <c r="M4133" s="20">
        <v>571.34801762114535</v>
      </c>
      <c r="N4133" s="19" t="s">
        <v>751</v>
      </c>
      <c r="O4133" s="20">
        <v>300</v>
      </c>
      <c r="P4133" s="20">
        <v>171404.40528634359</v>
      </c>
      <c r="Q4133" s="20">
        <v>13790.71533695978</v>
      </c>
      <c r="R4133" s="21">
        <v>1</v>
      </c>
      <c r="S4133" s="20">
        <v>13790.71533695978</v>
      </c>
    </row>
    <row r="4134" spans="2:19" ht="15" customHeight="1" x14ac:dyDescent="0.25">
      <c r="B4134" s="2" t="str">
        <f t="shared" si="128"/>
        <v>PGL_Income Eligible_Multi-Family_Whole Building - Public Housing_Attic Insulation_0_SF</v>
      </c>
      <c r="C4134" s="2" t="str">
        <f t="shared" si="129"/>
        <v>PGL_Income Eligible_Multi-Family_Whole Building - Public Housing_Attic Insulation_0_SF_2023</v>
      </c>
      <c r="D4134" s="19" t="s">
        <v>1794</v>
      </c>
      <c r="E4134" s="19" t="s">
        <v>325</v>
      </c>
      <c r="F4134" s="19" t="s">
        <v>1422</v>
      </c>
      <c r="G4134" s="19" t="s">
        <v>1817</v>
      </c>
      <c r="H4134" s="19" t="s">
        <v>631</v>
      </c>
      <c r="I4134" s="19">
        <v>0</v>
      </c>
      <c r="J4134" s="19" t="s">
        <v>632</v>
      </c>
      <c r="K4134" s="19" t="s">
        <v>409</v>
      </c>
      <c r="L4134" s="19">
        <v>2023</v>
      </c>
      <c r="M4134" s="20">
        <v>571.34801762114535</v>
      </c>
      <c r="N4134" s="19" t="s">
        <v>751</v>
      </c>
      <c r="O4134" s="20">
        <v>300</v>
      </c>
      <c r="P4134" s="20">
        <v>171404.40528634359</v>
      </c>
      <c r="Q4134" s="20">
        <v>13790.71533695978</v>
      </c>
      <c r="R4134" s="21">
        <v>1</v>
      </c>
      <c r="S4134" s="20">
        <v>13790.71533695978</v>
      </c>
    </row>
    <row r="4135" spans="2:19" ht="15" customHeight="1" x14ac:dyDescent="0.25">
      <c r="B4135" s="2" t="str">
        <f t="shared" si="128"/>
        <v>PGL_Income Eligible_Multi-Family_Whole Building - Public Housing_Attic Insulation_0_SF</v>
      </c>
      <c r="C4135" s="2" t="str">
        <f t="shared" si="129"/>
        <v>PGL_Income Eligible_Multi-Family_Whole Building - Public Housing_Attic Insulation_0_SF_2024</v>
      </c>
      <c r="D4135" s="19" t="s">
        <v>1794</v>
      </c>
      <c r="E4135" s="19" t="s">
        <v>325</v>
      </c>
      <c r="F4135" s="19" t="s">
        <v>1422</v>
      </c>
      <c r="G4135" s="19" t="s">
        <v>1817</v>
      </c>
      <c r="H4135" s="19" t="s">
        <v>631</v>
      </c>
      <c r="I4135" s="19">
        <v>0</v>
      </c>
      <c r="J4135" s="19" t="s">
        <v>632</v>
      </c>
      <c r="K4135" s="19" t="s">
        <v>409</v>
      </c>
      <c r="L4135" s="19">
        <v>2024</v>
      </c>
      <c r="M4135" s="20">
        <v>571.34801762114535</v>
      </c>
      <c r="N4135" s="19" t="s">
        <v>751</v>
      </c>
      <c r="O4135" s="20">
        <v>300</v>
      </c>
      <c r="P4135" s="20">
        <v>171404.40528634359</v>
      </c>
      <c r="Q4135" s="20">
        <v>13790.71533695978</v>
      </c>
      <c r="R4135" s="21">
        <v>1</v>
      </c>
      <c r="S4135" s="20">
        <v>13790.71533695978</v>
      </c>
    </row>
    <row r="4136" spans="2:19" ht="15" customHeight="1" x14ac:dyDescent="0.25">
      <c r="B4136" s="2" t="str">
        <f t="shared" si="128"/>
        <v>PGL_Income Eligible_Multi-Family_Whole Building - Public Housing_Attic Insulation_0_SF</v>
      </c>
      <c r="C4136" s="2" t="str">
        <f t="shared" si="129"/>
        <v>PGL_Income Eligible_Multi-Family_Whole Building - Public Housing_Attic Insulation_0_SF_2025</v>
      </c>
      <c r="D4136" s="19" t="s">
        <v>1794</v>
      </c>
      <c r="E4136" s="19" t="s">
        <v>325</v>
      </c>
      <c r="F4136" s="19" t="s">
        <v>1422</v>
      </c>
      <c r="G4136" s="19" t="s">
        <v>1817</v>
      </c>
      <c r="H4136" s="19" t="s">
        <v>631</v>
      </c>
      <c r="I4136" s="19">
        <v>0</v>
      </c>
      <c r="J4136" s="19" t="s">
        <v>632</v>
      </c>
      <c r="K4136" s="19" t="s">
        <v>409</v>
      </c>
      <c r="L4136" s="19">
        <v>2025</v>
      </c>
      <c r="M4136" s="20">
        <v>571.34801762114535</v>
      </c>
      <c r="N4136" s="19" t="s">
        <v>751</v>
      </c>
      <c r="O4136" s="20">
        <v>300</v>
      </c>
      <c r="P4136" s="20">
        <v>171404.40528634359</v>
      </c>
      <c r="Q4136" s="20">
        <v>13790.71533695978</v>
      </c>
      <c r="R4136" s="21">
        <v>1</v>
      </c>
      <c r="S4136" s="20">
        <v>13790.71533695978</v>
      </c>
    </row>
    <row r="4137" spans="2:19" ht="15" customHeight="1" x14ac:dyDescent="0.25">
      <c r="B4137" s="2" t="str">
        <f t="shared" si="128"/>
        <v>PGL_Income Eligible_Multi-Family_Whole Building - Public Housing_Door Sweep_0_IE MF</v>
      </c>
      <c r="C4137" s="2" t="str">
        <f t="shared" si="129"/>
        <v>PGL_Income Eligible_Multi-Family_Whole Building - Public Housing_Door Sweep_0_IE MF_2022</v>
      </c>
      <c r="D4137" s="19" t="s">
        <v>1794</v>
      </c>
      <c r="E4137" s="19" t="s">
        <v>325</v>
      </c>
      <c r="F4137" s="19" t="s">
        <v>1422</v>
      </c>
      <c r="G4137" s="19" t="s">
        <v>1817</v>
      </c>
      <c r="H4137" s="19" t="s">
        <v>6</v>
      </c>
      <c r="I4137" s="19">
        <v>0</v>
      </c>
      <c r="J4137" s="19" t="s">
        <v>1469</v>
      </c>
      <c r="K4137" s="19" t="s">
        <v>1398</v>
      </c>
      <c r="L4137" s="19">
        <v>2022</v>
      </c>
      <c r="M4137" s="20">
        <v>1</v>
      </c>
      <c r="N4137" s="19" t="s">
        <v>1815</v>
      </c>
      <c r="O4137" s="20">
        <v>7</v>
      </c>
      <c r="P4137" s="20">
        <v>7</v>
      </c>
      <c r="Q4137" s="20">
        <v>51.128000000000007</v>
      </c>
      <c r="R4137" s="21">
        <v>1</v>
      </c>
      <c r="S4137" s="20">
        <v>51.128000000000007</v>
      </c>
    </row>
    <row r="4138" spans="2:19" ht="15" customHeight="1" x14ac:dyDescent="0.25">
      <c r="B4138" s="2" t="str">
        <f t="shared" si="128"/>
        <v>PGL_Income Eligible_Multi-Family_Whole Building - Public Housing_Door Sweep_0_IE MF</v>
      </c>
      <c r="C4138" s="2" t="str">
        <f t="shared" si="129"/>
        <v>PGL_Income Eligible_Multi-Family_Whole Building - Public Housing_Door Sweep_0_IE MF_2023</v>
      </c>
      <c r="D4138" s="19" t="s">
        <v>1794</v>
      </c>
      <c r="E4138" s="19" t="s">
        <v>325</v>
      </c>
      <c r="F4138" s="19" t="s">
        <v>1422</v>
      </c>
      <c r="G4138" s="19" t="s">
        <v>1817</v>
      </c>
      <c r="H4138" s="19" t="s">
        <v>6</v>
      </c>
      <c r="I4138" s="19">
        <v>0</v>
      </c>
      <c r="J4138" s="19" t="s">
        <v>1469</v>
      </c>
      <c r="K4138" s="19" t="s">
        <v>1398</v>
      </c>
      <c r="L4138" s="19">
        <v>2023</v>
      </c>
      <c r="M4138" s="20">
        <v>1</v>
      </c>
      <c r="N4138" s="19" t="s">
        <v>1815</v>
      </c>
      <c r="O4138" s="20">
        <v>7</v>
      </c>
      <c r="P4138" s="20">
        <v>7</v>
      </c>
      <c r="Q4138" s="20">
        <v>51.128000000000007</v>
      </c>
      <c r="R4138" s="21">
        <v>1</v>
      </c>
      <c r="S4138" s="20">
        <v>51.128000000000007</v>
      </c>
    </row>
    <row r="4139" spans="2:19" ht="15" customHeight="1" x14ac:dyDescent="0.25">
      <c r="B4139" s="2" t="str">
        <f t="shared" si="128"/>
        <v>PGL_Income Eligible_Multi-Family_Whole Building - Public Housing_Door Sweep_0_IE MF</v>
      </c>
      <c r="C4139" s="2" t="str">
        <f t="shared" si="129"/>
        <v>PGL_Income Eligible_Multi-Family_Whole Building - Public Housing_Door Sweep_0_IE MF_2024</v>
      </c>
      <c r="D4139" s="19" t="s">
        <v>1794</v>
      </c>
      <c r="E4139" s="19" t="s">
        <v>325</v>
      </c>
      <c r="F4139" s="19" t="s">
        <v>1422</v>
      </c>
      <c r="G4139" s="19" t="s">
        <v>1817</v>
      </c>
      <c r="H4139" s="19" t="s">
        <v>6</v>
      </c>
      <c r="I4139" s="19">
        <v>0</v>
      </c>
      <c r="J4139" s="19" t="s">
        <v>1469</v>
      </c>
      <c r="K4139" s="19" t="s">
        <v>1398</v>
      </c>
      <c r="L4139" s="19">
        <v>2024</v>
      </c>
      <c r="M4139" s="20">
        <v>1</v>
      </c>
      <c r="N4139" s="19" t="s">
        <v>1815</v>
      </c>
      <c r="O4139" s="20">
        <v>7</v>
      </c>
      <c r="P4139" s="20">
        <v>7</v>
      </c>
      <c r="Q4139" s="20">
        <v>51.128000000000007</v>
      </c>
      <c r="R4139" s="21">
        <v>1</v>
      </c>
      <c r="S4139" s="20">
        <v>51.128000000000007</v>
      </c>
    </row>
    <row r="4140" spans="2:19" ht="15" customHeight="1" x14ac:dyDescent="0.25">
      <c r="B4140" s="2" t="str">
        <f t="shared" si="128"/>
        <v>PGL_Income Eligible_Multi-Family_Whole Building - Public Housing_Door Sweep_0_IE MF</v>
      </c>
      <c r="C4140" s="2" t="str">
        <f t="shared" si="129"/>
        <v>PGL_Income Eligible_Multi-Family_Whole Building - Public Housing_Door Sweep_0_IE MF_2025</v>
      </c>
      <c r="D4140" s="19" t="s">
        <v>1794</v>
      </c>
      <c r="E4140" s="19" t="s">
        <v>325</v>
      </c>
      <c r="F4140" s="19" t="s">
        <v>1422</v>
      </c>
      <c r="G4140" s="19" t="s">
        <v>1817</v>
      </c>
      <c r="H4140" s="19" t="s">
        <v>6</v>
      </c>
      <c r="I4140" s="19">
        <v>0</v>
      </c>
      <c r="J4140" s="19" t="s">
        <v>1469</v>
      </c>
      <c r="K4140" s="19" t="s">
        <v>1398</v>
      </c>
      <c r="L4140" s="19">
        <v>2025</v>
      </c>
      <c r="M4140" s="20">
        <v>1</v>
      </c>
      <c r="N4140" s="19" t="s">
        <v>1815</v>
      </c>
      <c r="O4140" s="20">
        <v>7</v>
      </c>
      <c r="P4140" s="20">
        <v>7</v>
      </c>
      <c r="Q4140" s="20">
        <v>51.128000000000007</v>
      </c>
      <c r="R4140" s="21">
        <v>1</v>
      </c>
      <c r="S4140" s="20">
        <v>51.128000000000007</v>
      </c>
    </row>
    <row r="4141" spans="2:19" ht="15" customHeight="1" x14ac:dyDescent="0.25">
      <c r="B4141" s="2" t="str">
        <f t="shared" si="128"/>
        <v>PGL_Income Eligible_Multi-Family_Whole Building - Public Housing_Weatherstripping_0_IE MF</v>
      </c>
      <c r="C4141" s="2" t="str">
        <f t="shared" si="129"/>
        <v>PGL_Income Eligible_Multi-Family_Whole Building - Public Housing_Weatherstripping_0_IE MF_2022</v>
      </c>
      <c r="D4141" s="19" t="s">
        <v>1794</v>
      </c>
      <c r="E4141" s="19" t="s">
        <v>325</v>
      </c>
      <c r="F4141" s="19" t="s">
        <v>1422</v>
      </c>
      <c r="G4141" s="19" t="s">
        <v>1817</v>
      </c>
      <c r="H4141" s="19" t="s">
        <v>576</v>
      </c>
      <c r="I4141" s="19">
        <v>0</v>
      </c>
      <c r="J4141" s="19" t="s">
        <v>1469</v>
      </c>
      <c r="K4141" s="19" t="s">
        <v>1398</v>
      </c>
      <c r="L4141" s="19">
        <v>2022</v>
      </c>
      <c r="M4141" s="20">
        <v>17</v>
      </c>
      <c r="N4141" s="19" t="s">
        <v>1810</v>
      </c>
      <c r="O4141" s="20">
        <v>7</v>
      </c>
      <c r="P4141" s="20">
        <v>119</v>
      </c>
      <c r="Q4141" s="20">
        <v>58.071999999999996</v>
      </c>
      <c r="R4141" s="21">
        <v>1</v>
      </c>
      <c r="S4141" s="20">
        <v>58.071999999999996</v>
      </c>
    </row>
    <row r="4142" spans="2:19" ht="15" customHeight="1" x14ac:dyDescent="0.25">
      <c r="B4142" s="2" t="str">
        <f t="shared" si="128"/>
        <v>PGL_Income Eligible_Multi-Family_Whole Building - Public Housing_Weatherstripping_0_IE MF</v>
      </c>
      <c r="C4142" s="2" t="str">
        <f t="shared" si="129"/>
        <v>PGL_Income Eligible_Multi-Family_Whole Building - Public Housing_Weatherstripping_0_IE MF_2023</v>
      </c>
      <c r="D4142" s="19" t="s">
        <v>1794</v>
      </c>
      <c r="E4142" s="19" t="s">
        <v>325</v>
      </c>
      <c r="F4142" s="19" t="s">
        <v>1422</v>
      </c>
      <c r="G4142" s="19" t="s">
        <v>1817</v>
      </c>
      <c r="H4142" s="19" t="s">
        <v>576</v>
      </c>
      <c r="I4142" s="19">
        <v>0</v>
      </c>
      <c r="J4142" s="19" t="s">
        <v>1469</v>
      </c>
      <c r="K4142" s="19" t="s">
        <v>1398</v>
      </c>
      <c r="L4142" s="19">
        <v>2023</v>
      </c>
      <c r="M4142" s="20">
        <v>17</v>
      </c>
      <c r="N4142" s="19" t="s">
        <v>1810</v>
      </c>
      <c r="O4142" s="20">
        <v>7</v>
      </c>
      <c r="P4142" s="20">
        <v>119</v>
      </c>
      <c r="Q4142" s="20">
        <v>58.071999999999996</v>
      </c>
      <c r="R4142" s="21">
        <v>1</v>
      </c>
      <c r="S4142" s="20">
        <v>58.071999999999996</v>
      </c>
    </row>
    <row r="4143" spans="2:19" ht="15" customHeight="1" x14ac:dyDescent="0.25">
      <c r="B4143" s="2" t="str">
        <f t="shared" si="128"/>
        <v>PGL_Income Eligible_Multi-Family_Whole Building - Public Housing_Weatherstripping_0_IE MF</v>
      </c>
      <c r="C4143" s="2" t="str">
        <f t="shared" si="129"/>
        <v>PGL_Income Eligible_Multi-Family_Whole Building - Public Housing_Weatherstripping_0_IE MF_2024</v>
      </c>
      <c r="D4143" s="19" t="s">
        <v>1794</v>
      </c>
      <c r="E4143" s="19" t="s">
        <v>325</v>
      </c>
      <c r="F4143" s="19" t="s">
        <v>1422</v>
      </c>
      <c r="G4143" s="19" t="s">
        <v>1817</v>
      </c>
      <c r="H4143" s="19" t="s">
        <v>576</v>
      </c>
      <c r="I4143" s="19">
        <v>0</v>
      </c>
      <c r="J4143" s="19" t="s">
        <v>1469</v>
      </c>
      <c r="K4143" s="19" t="s">
        <v>1398</v>
      </c>
      <c r="L4143" s="19">
        <v>2024</v>
      </c>
      <c r="M4143" s="20">
        <v>17</v>
      </c>
      <c r="N4143" s="19" t="s">
        <v>1810</v>
      </c>
      <c r="O4143" s="20">
        <v>7</v>
      </c>
      <c r="P4143" s="20">
        <v>119</v>
      </c>
      <c r="Q4143" s="20">
        <v>58.071999999999996</v>
      </c>
      <c r="R4143" s="21">
        <v>1</v>
      </c>
      <c r="S4143" s="20">
        <v>58.071999999999996</v>
      </c>
    </row>
    <row r="4144" spans="2:19" ht="15" customHeight="1" x14ac:dyDescent="0.25">
      <c r="B4144" s="2" t="str">
        <f t="shared" si="128"/>
        <v>PGL_Income Eligible_Multi-Family_Whole Building - Public Housing_Weatherstripping_0_IE MF</v>
      </c>
      <c r="C4144" s="2" t="str">
        <f t="shared" si="129"/>
        <v>PGL_Income Eligible_Multi-Family_Whole Building - Public Housing_Weatherstripping_0_IE MF_2025</v>
      </c>
      <c r="D4144" s="19" t="s">
        <v>1794</v>
      </c>
      <c r="E4144" s="19" t="s">
        <v>325</v>
      </c>
      <c r="F4144" s="19" t="s">
        <v>1422</v>
      </c>
      <c r="G4144" s="19" t="s">
        <v>1817</v>
      </c>
      <c r="H4144" s="19" t="s">
        <v>576</v>
      </c>
      <c r="I4144" s="19">
        <v>0</v>
      </c>
      <c r="J4144" s="19" t="s">
        <v>1469</v>
      </c>
      <c r="K4144" s="19" t="s">
        <v>1398</v>
      </c>
      <c r="L4144" s="19">
        <v>2025</v>
      </c>
      <c r="M4144" s="20">
        <v>17</v>
      </c>
      <c r="N4144" s="19" t="s">
        <v>1810</v>
      </c>
      <c r="O4144" s="20">
        <v>7</v>
      </c>
      <c r="P4144" s="20">
        <v>119</v>
      </c>
      <c r="Q4144" s="20">
        <v>58.071999999999996</v>
      </c>
      <c r="R4144" s="21">
        <v>1</v>
      </c>
      <c r="S4144" s="20">
        <v>58.071999999999996</v>
      </c>
    </row>
    <row r="4145" spans="2:19" ht="15" customHeight="1" x14ac:dyDescent="0.25">
      <c r="B4145" s="2" t="str">
        <f t="shared" si="128"/>
        <v>PGL_Income Eligible_Multi-Family_Whole Building - Public Housing_A/C Cover and Gap Sealer_0_MF</v>
      </c>
      <c r="C4145" s="2" t="str">
        <f t="shared" si="129"/>
        <v>PGL_Income Eligible_Multi-Family_Whole Building - Public Housing_A/C Cover and Gap Sealer_0_MF_2022</v>
      </c>
      <c r="D4145" s="19" t="s">
        <v>1794</v>
      </c>
      <c r="E4145" s="19" t="s">
        <v>325</v>
      </c>
      <c r="F4145" s="19" t="s">
        <v>1422</v>
      </c>
      <c r="G4145" s="19" t="s">
        <v>1817</v>
      </c>
      <c r="H4145" s="19" t="s">
        <v>1400</v>
      </c>
      <c r="I4145" s="19">
        <v>0</v>
      </c>
      <c r="J4145" s="19" t="s">
        <v>1469</v>
      </c>
      <c r="K4145" s="19" t="s">
        <v>553</v>
      </c>
      <c r="L4145" s="19">
        <v>2022</v>
      </c>
      <c r="M4145" s="20">
        <v>1</v>
      </c>
      <c r="N4145" s="19" t="s">
        <v>1798</v>
      </c>
      <c r="O4145" s="20">
        <v>20</v>
      </c>
      <c r="P4145" s="20">
        <v>20</v>
      </c>
      <c r="Q4145" s="20">
        <v>252.8</v>
      </c>
      <c r="R4145" s="21">
        <v>1</v>
      </c>
      <c r="S4145" s="20">
        <v>252.8</v>
      </c>
    </row>
    <row r="4146" spans="2:19" ht="15" customHeight="1" x14ac:dyDescent="0.25">
      <c r="B4146" s="2" t="str">
        <f t="shared" si="128"/>
        <v>PGL_Income Eligible_Multi-Family_Whole Building - Public Housing_A/C Cover and Gap Sealer_0_MF</v>
      </c>
      <c r="C4146" s="2" t="str">
        <f t="shared" si="129"/>
        <v>PGL_Income Eligible_Multi-Family_Whole Building - Public Housing_A/C Cover and Gap Sealer_0_MF_2023</v>
      </c>
      <c r="D4146" s="19" t="s">
        <v>1794</v>
      </c>
      <c r="E4146" s="19" t="s">
        <v>325</v>
      </c>
      <c r="F4146" s="19" t="s">
        <v>1422</v>
      </c>
      <c r="G4146" s="19" t="s">
        <v>1817</v>
      </c>
      <c r="H4146" s="19" t="s">
        <v>1400</v>
      </c>
      <c r="I4146" s="19">
        <v>0</v>
      </c>
      <c r="J4146" s="19" t="s">
        <v>1469</v>
      </c>
      <c r="K4146" s="19" t="s">
        <v>553</v>
      </c>
      <c r="L4146" s="19">
        <v>2023</v>
      </c>
      <c r="M4146" s="20">
        <v>1</v>
      </c>
      <c r="N4146" s="19" t="s">
        <v>1798</v>
      </c>
      <c r="O4146" s="20">
        <v>20</v>
      </c>
      <c r="P4146" s="20">
        <v>20</v>
      </c>
      <c r="Q4146" s="20">
        <v>252.8</v>
      </c>
      <c r="R4146" s="21">
        <v>1</v>
      </c>
      <c r="S4146" s="20">
        <v>252.8</v>
      </c>
    </row>
    <row r="4147" spans="2:19" ht="15" customHeight="1" x14ac:dyDescent="0.25">
      <c r="B4147" s="2" t="str">
        <f t="shared" si="128"/>
        <v>PGL_Income Eligible_Multi-Family_Whole Building - Public Housing_A/C Cover and Gap Sealer_0_MF</v>
      </c>
      <c r="C4147" s="2" t="str">
        <f t="shared" si="129"/>
        <v>PGL_Income Eligible_Multi-Family_Whole Building - Public Housing_A/C Cover and Gap Sealer_0_MF_2024</v>
      </c>
      <c r="D4147" s="19" t="s">
        <v>1794</v>
      </c>
      <c r="E4147" s="19" t="s">
        <v>325</v>
      </c>
      <c r="F4147" s="19" t="s">
        <v>1422</v>
      </c>
      <c r="G4147" s="19" t="s">
        <v>1817</v>
      </c>
      <c r="H4147" s="19" t="s">
        <v>1400</v>
      </c>
      <c r="I4147" s="19">
        <v>0</v>
      </c>
      <c r="J4147" s="19" t="s">
        <v>1469</v>
      </c>
      <c r="K4147" s="19" t="s">
        <v>553</v>
      </c>
      <c r="L4147" s="19">
        <v>2024</v>
      </c>
      <c r="M4147" s="20">
        <v>1</v>
      </c>
      <c r="N4147" s="19" t="s">
        <v>1798</v>
      </c>
      <c r="O4147" s="20">
        <v>20</v>
      </c>
      <c r="P4147" s="20">
        <v>20</v>
      </c>
      <c r="Q4147" s="20">
        <v>252.8</v>
      </c>
      <c r="R4147" s="21">
        <v>1</v>
      </c>
      <c r="S4147" s="20">
        <v>252.8</v>
      </c>
    </row>
    <row r="4148" spans="2:19" ht="15" customHeight="1" x14ac:dyDescent="0.25">
      <c r="B4148" s="2" t="str">
        <f t="shared" si="128"/>
        <v>PGL_Income Eligible_Multi-Family_Whole Building - Public Housing_A/C Cover and Gap Sealer_0_MF</v>
      </c>
      <c r="C4148" s="2" t="str">
        <f t="shared" si="129"/>
        <v>PGL_Income Eligible_Multi-Family_Whole Building - Public Housing_A/C Cover and Gap Sealer_0_MF_2025</v>
      </c>
      <c r="D4148" s="19" t="s">
        <v>1794</v>
      </c>
      <c r="E4148" s="19" t="s">
        <v>325</v>
      </c>
      <c r="F4148" s="19" t="s">
        <v>1422</v>
      </c>
      <c r="G4148" s="19" t="s">
        <v>1817</v>
      </c>
      <c r="H4148" s="19" t="s">
        <v>1400</v>
      </c>
      <c r="I4148" s="19">
        <v>0</v>
      </c>
      <c r="J4148" s="19" t="s">
        <v>1469</v>
      </c>
      <c r="K4148" s="19" t="s">
        <v>553</v>
      </c>
      <c r="L4148" s="19">
        <v>2025</v>
      </c>
      <c r="M4148" s="20">
        <v>1</v>
      </c>
      <c r="N4148" s="19" t="s">
        <v>1798</v>
      </c>
      <c r="O4148" s="20">
        <v>20</v>
      </c>
      <c r="P4148" s="20">
        <v>20</v>
      </c>
      <c r="Q4148" s="20">
        <v>252.8</v>
      </c>
      <c r="R4148" s="21">
        <v>1</v>
      </c>
      <c r="S4148" s="20">
        <v>252.8</v>
      </c>
    </row>
    <row r="4149" spans="2:19" ht="15" customHeight="1" x14ac:dyDescent="0.25">
      <c r="B4149" s="2" t="str">
        <f t="shared" si="128"/>
        <v>PGL_Income Eligible_Multi-Family_Whole Building - Public Housing_Wall Insulation_0_SF</v>
      </c>
      <c r="C4149" s="2" t="str">
        <f t="shared" si="129"/>
        <v>PGL_Income Eligible_Multi-Family_Whole Building - Public Housing_Wall Insulation_0_SF_2022</v>
      </c>
      <c r="D4149" s="19" t="s">
        <v>1794</v>
      </c>
      <c r="E4149" s="19" t="s">
        <v>325</v>
      </c>
      <c r="F4149" s="19" t="s">
        <v>1422</v>
      </c>
      <c r="G4149" s="19" t="s">
        <v>1817</v>
      </c>
      <c r="H4149" s="19" t="s">
        <v>222</v>
      </c>
      <c r="I4149" s="19">
        <v>0</v>
      </c>
      <c r="J4149" s="19" t="s">
        <v>783</v>
      </c>
      <c r="K4149" s="19" t="s">
        <v>409</v>
      </c>
      <c r="L4149" s="19">
        <v>2022</v>
      </c>
      <c r="M4149" s="20">
        <v>600</v>
      </c>
      <c r="N4149" s="19" t="s">
        <v>751</v>
      </c>
      <c r="O4149" s="20">
        <v>150</v>
      </c>
      <c r="P4149" s="20">
        <v>90000</v>
      </c>
      <c r="Q4149" s="20">
        <v>9744.7764705882346</v>
      </c>
      <c r="R4149" s="21">
        <v>1</v>
      </c>
      <c r="S4149" s="20">
        <v>9744.7764705882346</v>
      </c>
    </row>
    <row r="4150" spans="2:19" ht="15" customHeight="1" x14ac:dyDescent="0.25">
      <c r="B4150" s="2" t="str">
        <f t="shared" si="128"/>
        <v>PGL_Income Eligible_Multi-Family_Whole Building - Public Housing_Wall Insulation_0_SF</v>
      </c>
      <c r="C4150" s="2" t="str">
        <f t="shared" si="129"/>
        <v>PGL_Income Eligible_Multi-Family_Whole Building - Public Housing_Wall Insulation_0_SF_2023</v>
      </c>
      <c r="D4150" s="19" t="s">
        <v>1794</v>
      </c>
      <c r="E4150" s="19" t="s">
        <v>325</v>
      </c>
      <c r="F4150" s="19" t="s">
        <v>1422</v>
      </c>
      <c r="G4150" s="19" t="s">
        <v>1817</v>
      </c>
      <c r="H4150" s="19" t="s">
        <v>222</v>
      </c>
      <c r="I4150" s="19">
        <v>0</v>
      </c>
      <c r="J4150" s="19" t="s">
        <v>783</v>
      </c>
      <c r="K4150" s="19" t="s">
        <v>409</v>
      </c>
      <c r="L4150" s="19">
        <v>2023</v>
      </c>
      <c r="M4150" s="20">
        <v>600</v>
      </c>
      <c r="N4150" s="19" t="s">
        <v>751</v>
      </c>
      <c r="O4150" s="20">
        <v>150</v>
      </c>
      <c r="P4150" s="20">
        <v>90000</v>
      </c>
      <c r="Q4150" s="20">
        <v>9744.7764705882346</v>
      </c>
      <c r="R4150" s="21">
        <v>1</v>
      </c>
      <c r="S4150" s="20">
        <v>9744.7764705882346</v>
      </c>
    </row>
    <row r="4151" spans="2:19" ht="15" customHeight="1" x14ac:dyDescent="0.25">
      <c r="B4151" s="2" t="str">
        <f t="shared" si="128"/>
        <v>PGL_Income Eligible_Multi-Family_Whole Building - Public Housing_Wall Insulation_0_SF</v>
      </c>
      <c r="C4151" s="2" t="str">
        <f t="shared" si="129"/>
        <v>PGL_Income Eligible_Multi-Family_Whole Building - Public Housing_Wall Insulation_0_SF_2024</v>
      </c>
      <c r="D4151" s="19" t="s">
        <v>1794</v>
      </c>
      <c r="E4151" s="19" t="s">
        <v>325</v>
      </c>
      <c r="F4151" s="19" t="s">
        <v>1422</v>
      </c>
      <c r="G4151" s="19" t="s">
        <v>1817</v>
      </c>
      <c r="H4151" s="19" t="s">
        <v>222</v>
      </c>
      <c r="I4151" s="19">
        <v>0</v>
      </c>
      <c r="J4151" s="19" t="s">
        <v>783</v>
      </c>
      <c r="K4151" s="19" t="s">
        <v>409</v>
      </c>
      <c r="L4151" s="19">
        <v>2024</v>
      </c>
      <c r="M4151" s="20">
        <v>600</v>
      </c>
      <c r="N4151" s="19" t="s">
        <v>751</v>
      </c>
      <c r="O4151" s="20">
        <v>150</v>
      </c>
      <c r="P4151" s="20">
        <v>90000</v>
      </c>
      <c r="Q4151" s="20">
        <v>9744.7764705882346</v>
      </c>
      <c r="R4151" s="21">
        <v>1</v>
      </c>
      <c r="S4151" s="20">
        <v>9744.7764705882346</v>
      </c>
    </row>
    <row r="4152" spans="2:19" ht="15" customHeight="1" x14ac:dyDescent="0.25">
      <c r="B4152" s="2" t="str">
        <f t="shared" si="128"/>
        <v>PGL_Income Eligible_Multi-Family_Whole Building - Public Housing_Wall Insulation_0_SF</v>
      </c>
      <c r="C4152" s="2" t="str">
        <f t="shared" si="129"/>
        <v>PGL_Income Eligible_Multi-Family_Whole Building - Public Housing_Wall Insulation_0_SF_2025</v>
      </c>
      <c r="D4152" s="19" t="s">
        <v>1794</v>
      </c>
      <c r="E4152" s="19" t="s">
        <v>325</v>
      </c>
      <c r="F4152" s="19" t="s">
        <v>1422</v>
      </c>
      <c r="G4152" s="19" t="s">
        <v>1817</v>
      </c>
      <c r="H4152" s="19" t="s">
        <v>222</v>
      </c>
      <c r="I4152" s="19">
        <v>0</v>
      </c>
      <c r="J4152" s="19" t="s">
        <v>783</v>
      </c>
      <c r="K4152" s="19" t="s">
        <v>409</v>
      </c>
      <c r="L4152" s="19">
        <v>2025</v>
      </c>
      <c r="M4152" s="20">
        <v>600</v>
      </c>
      <c r="N4152" s="19" t="s">
        <v>751</v>
      </c>
      <c r="O4152" s="20">
        <v>150</v>
      </c>
      <c r="P4152" s="20">
        <v>90000</v>
      </c>
      <c r="Q4152" s="20">
        <v>9744.7764705882346</v>
      </c>
      <c r="R4152" s="21">
        <v>1</v>
      </c>
      <c r="S4152" s="20">
        <v>9744.7764705882346</v>
      </c>
    </row>
    <row r="4153" spans="2:19" ht="15" customHeight="1" x14ac:dyDescent="0.25">
      <c r="B4153" s="2" t="str">
        <f t="shared" si="128"/>
        <v>PGL_Income Eligible_Multi-Family_Whole Building - Public Housing_Foundation Insulation_0_SF</v>
      </c>
      <c r="C4153" s="2" t="str">
        <f t="shared" si="129"/>
        <v>PGL_Income Eligible_Multi-Family_Whole Building - Public Housing_Foundation Insulation_0_SF_2022</v>
      </c>
      <c r="D4153" s="19" t="s">
        <v>1794</v>
      </c>
      <c r="E4153" s="19" t="s">
        <v>325</v>
      </c>
      <c r="F4153" s="19" t="s">
        <v>1422</v>
      </c>
      <c r="G4153" s="19" t="s">
        <v>1817</v>
      </c>
      <c r="H4153" s="19" t="s">
        <v>608</v>
      </c>
      <c r="I4153" s="19">
        <v>0</v>
      </c>
      <c r="J4153" s="19" t="s">
        <v>610</v>
      </c>
      <c r="K4153" s="19" t="s">
        <v>409</v>
      </c>
      <c r="L4153" s="19">
        <v>2022</v>
      </c>
      <c r="M4153" s="20">
        <v>200</v>
      </c>
      <c r="N4153" s="19" t="s">
        <v>751</v>
      </c>
      <c r="O4153" s="20">
        <v>30</v>
      </c>
      <c r="P4153" s="20">
        <v>6000</v>
      </c>
      <c r="Q4153" s="20">
        <v>821.73214285714289</v>
      </c>
      <c r="R4153" s="21">
        <v>1</v>
      </c>
      <c r="S4153" s="20">
        <v>821.73214285714289</v>
      </c>
    </row>
    <row r="4154" spans="2:19" ht="15" customHeight="1" x14ac:dyDescent="0.25">
      <c r="B4154" s="2" t="str">
        <f t="shared" si="128"/>
        <v>PGL_Income Eligible_Multi-Family_Whole Building - Public Housing_Foundation Insulation_0_SF</v>
      </c>
      <c r="C4154" s="2" t="str">
        <f t="shared" si="129"/>
        <v>PGL_Income Eligible_Multi-Family_Whole Building - Public Housing_Foundation Insulation_0_SF_2023</v>
      </c>
      <c r="D4154" s="19" t="s">
        <v>1794</v>
      </c>
      <c r="E4154" s="19" t="s">
        <v>325</v>
      </c>
      <c r="F4154" s="19" t="s">
        <v>1422</v>
      </c>
      <c r="G4154" s="19" t="s">
        <v>1817</v>
      </c>
      <c r="H4154" s="19" t="s">
        <v>608</v>
      </c>
      <c r="I4154" s="19">
        <v>0</v>
      </c>
      <c r="J4154" s="19" t="s">
        <v>610</v>
      </c>
      <c r="K4154" s="19" t="s">
        <v>409</v>
      </c>
      <c r="L4154" s="19">
        <v>2023</v>
      </c>
      <c r="M4154" s="20">
        <v>200</v>
      </c>
      <c r="N4154" s="19" t="s">
        <v>751</v>
      </c>
      <c r="O4154" s="20">
        <v>30</v>
      </c>
      <c r="P4154" s="20">
        <v>6000</v>
      </c>
      <c r="Q4154" s="20">
        <v>821.73214285714289</v>
      </c>
      <c r="R4154" s="21">
        <v>1</v>
      </c>
      <c r="S4154" s="20">
        <v>821.73214285714289</v>
      </c>
    </row>
    <row r="4155" spans="2:19" ht="15" customHeight="1" x14ac:dyDescent="0.25">
      <c r="B4155" s="2" t="str">
        <f t="shared" si="128"/>
        <v>PGL_Income Eligible_Multi-Family_Whole Building - Public Housing_Foundation Insulation_0_SF</v>
      </c>
      <c r="C4155" s="2" t="str">
        <f t="shared" si="129"/>
        <v>PGL_Income Eligible_Multi-Family_Whole Building - Public Housing_Foundation Insulation_0_SF_2024</v>
      </c>
      <c r="D4155" s="19" t="s">
        <v>1794</v>
      </c>
      <c r="E4155" s="19" t="s">
        <v>325</v>
      </c>
      <c r="F4155" s="19" t="s">
        <v>1422</v>
      </c>
      <c r="G4155" s="19" t="s">
        <v>1817</v>
      </c>
      <c r="H4155" s="19" t="s">
        <v>608</v>
      </c>
      <c r="I4155" s="19">
        <v>0</v>
      </c>
      <c r="J4155" s="19" t="s">
        <v>610</v>
      </c>
      <c r="K4155" s="19" t="s">
        <v>409</v>
      </c>
      <c r="L4155" s="19">
        <v>2024</v>
      </c>
      <c r="M4155" s="20">
        <v>200</v>
      </c>
      <c r="N4155" s="19" t="s">
        <v>751</v>
      </c>
      <c r="O4155" s="20">
        <v>30</v>
      </c>
      <c r="P4155" s="20">
        <v>6000</v>
      </c>
      <c r="Q4155" s="20">
        <v>821.73214285714289</v>
      </c>
      <c r="R4155" s="21">
        <v>1</v>
      </c>
      <c r="S4155" s="20">
        <v>821.73214285714289</v>
      </c>
    </row>
    <row r="4156" spans="2:19" ht="15" customHeight="1" x14ac:dyDescent="0.25">
      <c r="B4156" s="2" t="str">
        <f t="shared" si="128"/>
        <v>PGL_Income Eligible_Multi-Family_Whole Building - Public Housing_Foundation Insulation_0_SF</v>
      </c>
      <c r="C4156" s="2" t="str">
        <f t="shared" si="129"/>
        <v>PGL_Income Eligible_Multi-Family_Whole Building - Public Housing_Foundation Insulation_0_SF_2025</v>
      </c>
      <c r="D4156" s="19" t="s">
        <v>1794</v>
      </c>
      <c r="E4156" s="19" t="s">
        <v>325</v>
      </c>
      <c r="F4156" s="19" t="s">
        <v>1422</v>
      </c>
      <c r="G4156" s="19" t="s">
        <v>1817</v>
      </c>
      <c r="H4156" s="19" t="s">
        <v>608</v>
      </c>
      <c r="I4156" s="19">
        <v>0</v>
      </c>
      <c r="J4156" s="19" t="s">
        <v>610</v>
      </c>
      <c r="K4156" s="19" t="s">
        <v>409</v>
      </c>
      <c r="L4156" s="19">
        <v>2025</v>
      </c>
      <c r="M4156" s="20">
        <v>200</v>
      </c>
      <c r="N4156" s="19" t="s">
        <v>751</v>
      </c>
      <c r="O4156" s="20">
        <v>30</v>
      </c>
      <c r="P4156" s="20">
        <v>6000</v>
      </c>
      <c r="Q4156" s="20">
        <v>821.73214285714289</v>
      </c>
      <c r="R4156" s="21">
        <v>1</v>
      </c>
      <c r="S4156" s="20">
        <v>821.73214285714289</v>
      </c>
    </row>
    <row r="4157" spans="2:19" ht="15" customHeight="1" x14ac:dyDescent="0.25">
      <c r="B4157" s="2" t="str">
        <f t="shared" si="128"/>
        <v>PGL_Income Eligible_Multi-Family_Whole Building - Public Housing_Floor Insulation Above Crawlspace_0_Sf</v>
      </c>
      <c r="C4157" s="2" t="str">
        <f t="shared" si="129"/>
        <v>PGL_Income Eligible_Multi-Family_Whole Building - Public Housing_Floor Insulation Above Crawlspace_0_Sf_2022</v>
      </c>
      <c r="D4157" s="19" t="s">
        <v>1794</v>
      </c>
      <c r="E4157" s="19" t="s">
        <v>325</v>
      </c>
      <c r="F4157" s="19" t="s">
        <v>1422</v>
      </c>
      <c r="G4157" s="19" t="s">
        <v>1817</v>
      </c>
      <c r="H4157" s="19" t="s">
        <v>244</v>
      </c>
      <c r="I4157" s="19">
        <v>0</v>
      </c>
      <c r="J4157" s="19" t="s">
        <v>750</v>
      </c>
      <c r="K4157" s="19" t="s">
        <v>1442</v>
      </c>
      <c r="L4157" s="19">
        <v>2022</v>
      </c>
      <c r="M4157" s="20">
        <v>300</v>
      </c>
      <c r="N4157" s="19" t="s">
        <v>751</v>
      </c>
      <c r="O4157" s="20">
        <v>30</v>
      </c>
      <c r="P4157" s="20">
        <v>9000</v>
      </c>
      <c r="Q4157" s="20">
        <v>944.03301886792474</v>
      </c>
      <c r="R4157" s="21">
        <v>1</v>
      </c>
      <c r="S4157" s="20">
        <v>944.03301886792474</v>
      </c>
    </row>
    <row r="4158" spans="2:19" ht="15" customHeight="1" x14ac:dyDescent="0.25">
      <c r="B4158" s="2" t="str">
        <f t="shared" si="128"/>
        <v>PGL_Income Eligible_Multi-Family_Whole Building - Public Housing_Floor Insulation Above Crawlspace_0_Sf</v>
      </c>
      <c r="C4158" s="2" t="str">
        <f t="shared" si="129"/>
        <v>PGL_Income Eligible_Multi-Family_Whole Building - Public Housing_Floor Insulation Above Crawlspace_0_Sf_2023</v>
      </c>
      <c r="D4158" s="19" t="s">
        <v>1794</v>
      </c>
      <c r="E4158" s="19" t="s">
        <v>325</v>
      </c>
      <c r="F4158" s="19" t="s">
        <v>1422</v>
      </c>
      <c r="G4158" s="19" t="s">
        <v>1817</v>
      </c>
      <c r="H4158" s="19" t="s">
        <v>244</v>
      </c>
      <c r="I4158" s="19">
        <v>0</v>
      </c>
      <c r="J4158" s="19" t="s">
        <v>750</v>
      </c>
      <c r="K4158" s="19" t="s">
        <v>1442</v>
      </c>
      <c r="L4158" s="19">
        <v>2023</v>
      </c>
      <c r="M4158" s="20">
        <v>300</v>
      </c>
      <c r="N4158" s="19" t="s">
        <v>751</v>
      </c>
      <c r="O4158" s="20">
        <v>30</v>
      </c>
      <c r="P4158" s="20">
        <v>9000</v>
      </c>
      <c r="Q4158" s="20">
        <v>944.03301886792474</v>
      </c>
      <c r="R4158" s="21">
        <v>1</v>
      </c>
      <c r="S4158" s="20">
        <v>944.03301886792474</v>
      </c>
    </row>
    <row r="4159" spans="2:19" ht="15" customHeight="1" x14ac:dyDescent="0.25">
      <c r="B4159" s="2" t="str">
        <f t="shared" si="128"/>
        <v>PGL_Income Eligible_Multi-Family_Whole Building - Public Housing_Floor Insulation Above Crawlspace_0_Sf</v>
      </c>
      <c r="C4159" s="2" t="str">
        <f t="shared" si="129"/>
        <v>PGL_Income Eligible_Multi-Family_Whole Building - Public Housing_Floor Insulation Above Crawlspace_0_Sf_2024</v>
      </c>
      <c r="D4159" s="19" t="s">
        <v>1794</v>
      </c>
      <c r="E4159" s="19" t="s">
        <v>325</v>
      </c>
      <c r="F4159" s="19" t="s">
        <v>1422</v>
      </c>
      <c r="G4159" s="19" t="s">
        <v>1817</v>
      </c>
      <c r="H4159" s="19" t="s">
        <v>244</v>
      </c>
      <c r="I4159" s="19">
        <v>0</v>
      </c>
      <c r="J4159" s="19" t="s">
        <v>750</v>
      </c>
      <c r="K4159" s="19" t="s">
        <v>1442</v>
      </c>
      <c r="L4159" s="19">
        <v>2024</v>
      </c>
      <c r="M4159" s="20">
        <v>300</v>
      </c>
      <c r="N4159" s="19" t="s">
        <v>751</v>
      </c>
      <c r="O4159" s="20">
        <v>30</v>
      </c>
      <c r="P4159" s="20">
        <v>9000</v>
      </c>
      <c r="Q4159" s="20">
        <v>944.03301886792474</v>
      </c>
      <c r="R4159" s="21">
        <v>1</v>
      </c>
      <c r="S4159" s="20">
        <v>944.03301886792474</v>
      </c>
    </row>
    <row r="4160" spans="2:19" ht="15" customHeight="1" x14ac:dyDescent="0.25">
      <c r="B4160" s="2" t="str">
        <f t="shared" si="128"/>
        <v>PGL_Income Eligible_Multi-Family_Whole Building - Public Housing_Floor Insulation Above Crawlspace_0_Sf</v>
      </c>
      <c r="C4160" s="2" t="str">
        <f t="shared" si="129"/>
        <v>PGL_Income Eligible_Multi-Family_Whole Building - Public Housing_Floor Insulation Above Crawlspace_0_Sf_2025</v>
      </c>
      <c r="D4160" s="19" t="s">
        <v>1794</v>
      </c>
      <c r="E4160" s="19" t="s">
        <v>325</v>
      </c>
      <c r="F4160" s="19" t="s">
        <v>1422</v>
      </c>
      <c r="G4160" s="19" t="s">
        <v>1817</v>
      </c>
      <c r="H4160" s="19" t="s">
        <v>244</v>
      </c>
      <c r="I4160" s="19">
        <v>0</v>
      </c>
      <c r="J4160" s="19" t="s">
        <v>750</v>
      </c>
      <c r="K4160" s="19" t="s">
        <v>1442</v>
      </c>
      <c r="L4160" s="19">
        <v>2025</v>
      </c>
      <c r="M4160" s="20">
        <v>300</v>
      </c>
      <c r="N4160" s="19" t="s">
        <v>751</v>
      </c>
      <c r="O4160" s="20">
        <v>30</v>
      </c>
      <c r="P4160" s="20">
        <v>9000</v>
      </c>
      <c r="Q4160" s="20">
        <v>944.03301886792474</v>
      </c>
      <c r="R4160" s="21">
        <v>1</v>
      </c>
      <c r="S4160" s="20">
        <v>944.03301886792474</v>
      </c>
    </row>
    <row r="4161" spans="2:19" ht="15" customHeight="1" x14ac:dyDescent="0.25">
      <c r="B4161" s="2" t="str">
        <f t="shared" si="128"/>
        <v>PGL_Income Eligible_Multi-Family_Whole Building - Public Housing_Boiler_≥88% AFUE, &lt;300MBh_MF</v>
      </c>
      <c r="C4161" s="2" t="str">
        <f t="shared" si="129"/>
        <v>PGL_Income Eligible_Multi-Family_Whole Building - Public Housing_Boiler_≥88% AFUE, &lt;300MBh_MF_2022</v>
      </c>
      <c r="D4161" s="19" t="s">
        <v>1794</v>
      </c>
      <c r="E4161" s="19" t="s">
        <v>325</v>
      </c>
      <c r="F4161" s="19" t="s">
        <v>1422</v>
      </c>
      <c r="G4161" s="19" t="s">
        <v>1817</v>
      </c>
      <c r="H4161" s="19" t="s">
        <v>944</v>
      </c>
      <c r="I4161" s="19" t="s">
        <v>945</v>
      </c>
      <c r="J4161" s="19" t="s">
        <v>942</v>
      </c>
      <c r="K4161" s="19" t="s">
        <v>553</v>
      </c>
      <c r="L4161" s="19">
        <v>2022</v>
      </c>
      <c r="M4161" s="20">
        <v>150</v>
      </c>
      <c r="N4161" s="19" t="s">
        <v>667</v>
      </c>
      <c r="O4161" s="20">
        <v>3</v>
      </c>
      <c r="P4161" s="20">
        <v>450</v>
      </c>
      <c r="Q4161" s="20">
        <v>355.92857142857173</v>
      </c>
      <c r="R4161" s="21">
        <v>1</v>
      </c>
      <c r="S4161" s="20">
        <v>355.92857142857173</v>
      </c>
    </row>
    <row r="4162" spans="2:19" ht="15" customHeight="1" x14ac:dyDescent="0.25">
      <c r="B4162" s="2" t="str">
        <f t="shared" si="128"/>
        <v>PGL_Income Eligible_Multi-Family_Whole Building - Public Housing_Boiler_≥88% AFUE, &lt;300MBh_MF</v>
      </c>
      <c r="C4162" s="2" t="str">
        <f t="shared" si="129"/>
        <v>PGL_Income Eligible_Multi-Family_Whole Building - Public Housing_Boiler_≥88% AFUE, &lt;300MBh_MF_2023</v>
      </c>
      <c r="D4162" s="19" t="s">
        <v>1794</v>
      </c>
      <c r="E4162" s="19" t="s">
        <v>325</v>
      </c>
      <c r="F4162" s="19" t="s">
        <v>1422</v>
      </c>
      <c r="G4162" s="19" t="s">
        <v>1817</v>
      </c>
      <c r="H4162" s="19" t="s">
        <v>944</v>
      </c>
      <c r="I4162" s="19" t="s">
        <v>945</v>
      </c>
      <c r="J4162" s="19" t="s">
        <v>942</v>
      </c>
      <c r="K4162" s="19" t="s">
        <v>553</v>
      </c>
      <c r="L4162" s="19">
        <v>2023</v>
      </c>
      <c r="M4162" s="20">
        <v>150</v>
      </c>
      <c r="N4162" s="19" t="s">
        <v>667</v>
      </c>
      <c r="O4162" s="20">
        <v>3</v>
      </c>
      <c r="P4162" s="20">
        <v>450</v>
      </c>
      <c r="Q4162" s="20">
        <v>355.92857142857173</v>
      </c>
      <c r="R4162" s="21">
        <v>1</v>
      </c>
      <c r="S4162" s="20">
        <v>355.92857142857173</v>
      </c>
    </row>
    <row r="4163" spans="2:19" ht="15" customHeight="1" x14ac:dyDescent="0.25">
      <c r="B4163" s="2" t="str">
        <f t="shared" si="128"/>
        <v>PGL_Income Eligible_Multi-Family_Whole Building - Public Housing_Boiler_≥88% AFUE, &lt;300MBh_MF</v>
      </c>
      <c r="C4163" s="2" t="str">
        <f t="shared" si="129"/>
        <v>PGL_Income Eligible_Multi-Family_Whole Building - Public Housing_Boiler_≥88% AFUE, &lt;300MBh_MF_2024</v>
      </c>
      <c r="D4163" s="19" t="s">
        <v>1794</v>
      </c>
      <c r="E4163" s="19" t="s">
        <v>325</v>
      </c>
      <c r="F4163" s="19" t="s">
        <v>1422</v>
      </c>
      <c r="G4163" s="19" t="s">
        <v>1817</v>
      </c>
      <c r="H4163" s="19" t="s">
        <v>944</v>
      </c>
      <c r="I4163" s="19" t="s">
        <v>945</v>
      </c>
      <c r="J4163" s="19" t="s">
        <v>942</v>
      </c>
      <c r="K4163" s="19" t="s">
        <v>553</v>
      </c>
      <c r="L4163" s="19">
        <v>2024</v>
      </c>
      <c r="M4163" s="20">
        <v>150</v>
      </c>
      <c r="N4163" s="19" t="s">
        <v>667</v>
      </c>
      <c r="O4163" s="20">
        <v>3</v>
      </c>
      <c r="P4163" s="20">
        <v>450</v>
      </c>
      <c r="Q4163" s="20">
        <v>355.92857142857173</v>
      </c>
      <c r="R4163" s="21">
        <v>1</v>
      </c>
      <c r="S4163" s="20">
        <v>355.92857142857173</v>
      </c>
    </row>
    <row r="4164" spans="2:19" ht="15" customHeight="1" x14ac:dyDescent="0.25">
      <c r="B4164" s="2" t="str">
        <f t="shared" si="128"/>
        <v>PGL_Income Eligible_Multi-Family_Whole Building - Public Housing_Boiler_≥88% AFUE, &lt;300MBh_MF</v>
      </c>
      <c r="C4164" s="2" t="str">
        <f t="shared" si="129"/>
        <v>PGL_Income Eligible_Multi-Family_Whole Building - Public Housing_Boiler_≥88% AFUE, &lt;300MBh_MF_2025</v>
      </c>
      <c r="D4164" s="19" t="s">
        <v>1794</v>
      </c>
      <c r="E4164" s="19" t="s">
        <v>325</v>
      </c>
      <c r="F4164" s="19" t="s">
        <v>1422</v>
      </c>
      <c r="G4164" s="19" t="s">
        <v>1817</v>
      </c>
      <c r="H4164" s="19" t="s">
        <v>944</v>
      </c>
      <c r="I4164" s="19" t="s">
        <v>945</v>
      </c>
      <c r="J4164" s="19" t="s">
        <v>942</v>
      </c>
      <c r="K4164" s="19" t="s">
        <v>553</v>
      </c>
      <c r="L4164" s="19">
        <v>2025</v>
      </c>
      <c r="M4164" s="20">
        <v>150</v>
      </c>
      <c r="N4164" s="19" t="s">
        <v>667</v>
      </c>
      <c r="O4164" s="20">
        <v>3</v>
      </c>
      <c r="P4164" s="20">
        <v>450</v>
      </c>
      <c r="Q4164" s="20">
        <v>355.92857142857173</v>
      </c>
      <c r="R4164" s="21">
        <v>1</v>
      </c>
      <c r="S4164" s="20">
        <v>355.92857142857173</v>
      </c>
    </row>
    <row r="4165" spans="2:19" ht="15" customHeight="1" x14ac:dyDescent="0.25">
      <c r="B4165" s="2" t="str">
        <f t="shared" si="128"/>
        <v>PGL_Income Eligible_Multi-Family_Whole Building - Public Housing_Boiler_≥88% AFUE, ≥300MBh TE_MF</v>
      </c>
      <c r="C4165" s="2" t="str">
        <f t="shared" si="129"/>
        <v>PGL_Income Eligible_Multi-Family_Whole Building - Public Housing_Boiler_≥88% AFUE, ≥300MBh TE_MF_2022</v>
      </c>
      <c r="D4165" s="19" t="s">
        <v>1794</v>
      </c>
      <c r="E4165" s="19" t="s">
        <v>325</v>
      </c>
      <c r="F4165" s="19" t="s">
        <v>1422</v>
      </c>
      <c r="G4165" s="19" t="s">
        <v>1817</v>
      </c>
      <c r="H4165" s="19" t="s">
        <v>944</v>
      </c>
      <c r="I4165" s="19" t="s">
        <v>946</v>
      </c>
      <c r="J4165" s="19" t="s">
        <v>942</v>
      </c>
      <c r="K4165" s="19" t="s">
        <v>553</v>
      </c>
      <c r="L4165" s="19">
        <v>2022</v>
      </c>
      <c r="M4165" s="20">
        <v>350</v>
      </c>
      <c r="N4165" s="19" t="s">
        <v>667</v>
      </c>
      <c r="O4165" s="20">
        <v>8</v>
      </c>
      <c r="P4165" s="20">
        <v>2800</v>
      </c>
      <c r="Q4165" s="20">
        <v>4650.7999999999975</v>
      </c>
      <c r="R4165" s="21">
        <v>1</v>
      </c>
      <c r="S4165" s="20">
        <v>4650.7999999999975</v>
      </c>
    </row>
    <row r="4166" spans="2:19" ht="15" customHeight="1" x14ac:dyDescent="0.25">
      <c r="B4166" s="2" t="str">
        <f t="shared" ref="B4166:B4229" si="130">D4166&amp;"_"&amp;E4166&amp;"_"&amp;F4166&amp;"_"&amp;G4166&amp;"_"&amp;H4166&amp;"_"&amp;I4166&amp;"_"&amp;K4166</f>
        <v>PGL_Income Eligible_Multi-Family_Whole Building - Public Housing_Boiler_≥88% AFUE, ≥300MBh TE_MF</v>
      </c>
      <c r="C4166" s="2" t="str">
        <f t="shared" ref="C4166:C4229" si="131">D4166&amp;"_"&amp;E4166&amp;"_"&amp;F4166&amp;"_"&amp;G4166&amp;"_"&amp;H4166&amp;"_"&amp;I4166&amp;"_"&amp;K4166&amp;"_"&amp;L4166</f>
        <v>PGL_Income Eligible_Multi-Family_Whole Building - Public Housing_Boiler_≥88% AFUE, ≥300MBh TE_MF_2023</v>
      </c>
      <c r="D4166" s="19" t="s">
        <v>1794</v>
      </c>
      <c r="E4166" s="19" t="s">
        <v>325</v>
      </c>
      <c r="F4166" s="19" t="s">
        <v>1422</v>
      </c>
      <c r="G4166" s="19" t="s">
        <v>1817</v>
      </c>
      <c r="H4166" s="19" t="s">
        <v>944</v>
      </c>
      <c r="I4166" s="19" t="s">
        <v>946</v>
      </c>
      <c r="J4166" s="19" t="s">
        <v>942</v>
      </c>
      <c r="K4166" s="19" t="s">
        <v>553</v>
      </c>
      <c r="L4166" s="19">
        <v>2023</v>
      </c>
      <c r="M4166" s="20">
        <v>350</v>
      </c>
      <c r="N4166" s="19" t="s">
        <v>667</v>
      </c>
      <c r="O4166" s="20">
        <v>8</v>
      </c>
      <c r="P4166" s="20">
        <v>2800</v>
      </c>
      <c r="Q4166" s="20">
        <v>4650.7999999999975</v>
      </c>
      <c r="R4166" s="21">
        <v>1</v>
      </c>
      <c r="S4166" s="20">
        <v>4650.7999999999975</v>
      </c>
    </row>
    <row r="4167" spans="2:19" ht="15" customHeight="1" x14ac:dyDescent="0.25">
      <c r="B4167" s="2" t="str">
        <f t="shared" si="130"/>
        <v>PGL_Income Eligible_Multi-Family_Whole Building - Public Housing_Boiler_≥88% AFUE, ≥300MBh TE_MF</v>
      </c>
      <c r="C4167" s="2" t="str">
        <f t="shared" si="131"/>
        <v>PGL_Income Eligible_Multi-Family_Whole Building - Public Housing_Boiler_≥88% AFUE, ≥300MBh TE_MF_2024</v>
      </c>
      <c r="D4167" s="19" t="s">
        <v>1794</v>
      </c>
      <c r="E4167" s="19" t="s">
        <v>325</v>
      </c>
      <c r="F4167" s="19" t="s">
        <v>1422</v>
      </c>
      <c r="G4167" s="19" t="s">
        <v>1817</v>
      </c>
      <c r="H4167" s="19" t="s">
        <v>944</v>
      </c>
      <c r="I4167" s="19" t="s">
        <v>946</v>
      </c>
      <c r="J4167" s="19" t="s">
        <v>942</v>
      </c>
      <c r="K4167" s="19" t="s">
        <v>553</v>
      </c>
      <c r="L4167" s="19">
        <v>2024</v>
      </c>
      <c r="M4167" s="20">
        <v>350</v>
      </c>
      <c r="N4167" s="19" t="s">
        <v>667</v>
      </c>
      <c r="O4167" s="20">
        <v>8</v>
      </c>
      <c r="P4167" s="20">
        <v>2800</v>
      </c>
      <c r="Q4167" s="20">
        <v>4650.7999999999975</v>
      </c>
      <c r="R4167" s="21">
        <v>1</v>
      </c>
      <c r="S4167" s="20">
        <v>4650.7999999999975</v>
      </c>
    </row>
    <row r="4168" spans="2:19" ht="15" customHeight="1" x14ac:dyDescent="0.25">
      <c r="B4168" s="2" t="str">
        <f t="shared" si="130"/>
        <v>PGL_Income Eligible_Multi-Family_Whole Building - Public Housing_Boiler_≥88% AFUE, ≥300MBh TE_MF</v>
      </c>
      <c r="C4168" s="2" t="str">
        <f t="shared" si="131"/>
        <v>PGL_Income Eligible_Multi-Family_Whole Building - Public Housing_Boiler_≥88% AFUE, ≥300MBh TE_MF_2025</v>
      </c>
      <c r="D4168" s="19" t="s">
        <v>1794</v>
      </c>
      <c r="E4168" s="19" t="s">
        <v>325</v>
      </c>
      <c r="F4168" s="19" t="s">
        <v>1422</v>
      </c>
      <c r="G4168" s="19" t="s">
        <v>1817</v>
      </c>
      <c r="H4168" s="19" t="s">
        <v>944</v>
      </c>
      <c r="I4168" s="19" t="s">
        <v>946</v>
      </c>
      <c r="J4168" s="19" t="s">
        <v>942</v>
      </c>
      <c r="K4168" s="19" t="s">
        <v>553</v>
      </c>
      <c r="L4168" s="19">
        <v>2025</v>
      </c>
      <c r="M4168" s="20">
        <v>350</v>
      </c>
      <c r="N4168" s="19" t="s">
        <v>667</v>
      </c>
      <c r="O4168" s="20">
        <v>8</v>
      </c>
      <c r="P4168" s="20">
        <v>2800</v>
      </c>
      <c r="Q4168" s="20">
        <v>4650.7999999999975</v>
      </c>
      <c r="R4168" s="21">
        <v>1</v>
      </c>
      <c r="S4168" s="20">
        <v>4650.7999999999975</v>
      </c>
    </row>
    <row r="4169" spans="2:19" ht="15" customHeight="1" x14ac:dyDescent="0.25">
      <c r="B4169" s="2" t="str">
        <f t="shared" si="130"/>
        <v>PGL_Income Eligible_Multi-Family_Whole Building - Public Housing_Boiler Reset Controls_0_MF</v>
      </c>
      <c r="C4169" s="2" t="str">
        <f t="shared" si="131"/>
        <v>PGL_Income Eligible_Multi-Family_Whole Building - Public Housing_Boiler Reset Controls_0_MF_2022</v>
      </c>
      <c r="D4169" s="19" t="s">
        <v>1794</v>
      </c>
      <c r="E4169" s="19" t="s">
        <v>325</v>
      </c>
      <c r="F4169" s="19" t="s">
        <v>1422</v>
      </c>
      <c r="G4169" s="19" t="s">
        <v>1817</v>
      </c>
      <c r="H4169" s="19" t="s">
        <v>978</v>
      </c>
      <c r="I4169" s="19">
        <v>0</v>
      </c>
      <c r="J4169" s="19" t="s">
        <v>25</v>
      </c>
      <c r="K4169" s="19" t="s">
        <v>553</v>
      </c>
      <c r="L4169" s="19">
        <v>2022</v>
      </c>
      <c r="M4169" s="20">
        <v>200</v>
      </c>
      <c r="N4169" s="19" t="s">
        <v>667</v>
      </c>
      <c r="O4169" s="20">
        <v>150</v>
      </c>
      <c r="P4169" s="20">
        <v>30000</v>
      </c>
      <c r="Q4169" s="20">
        <v>39864</v>
      </c>
      <c r="R4169" s="21">
        <v>1</v>
      </c>
      <c r="S4169" s="20">
        <v>39864</v>
      </c>
    </row>
    <row r="4170" spans="2:19" ht="15" customHeight="1" x14ac:dyDescent="0.25">
      <c r="B4170" s="2" t="str">
        <f t="shared" si="130"/>
        <v>PGL_Income Eligible_Multi-Family_Whole Building - Public Housing_Boiler Reset Controls_0_MF</v>
      </c>
      <c r="C4170" s="2" t="str">
        <f t="shared" si="131"/>
        <v>PGL_Income Eligible_Multi-Family_Whole Building - Public Housing_Boiler Reset Controls_0_MF_2023</v>
      </c>
      <c r="D4170" s="19" t="s">
        <v>1794</v>
      </c>
      <c r="E4170" s="19" t="s">
        <v>325</v>
      </c>
      <c r="F4170" s="19" t="s">
        <v>1422</v>
      </c>
      <c r="G4170" s="19" t="s">
        <v>1817</v>
      </c>
      <c r="H4170" s="19" t="s">
        <v>978</v>
      </c>
      <c r="I4170" s="19">
        <v>0</v>
      </c>
      <c r="J4170" s="19" t="s">
        <v>25</v>
      </c>
      <c r="K4170" s="19" t="s">
        <v>553</v>
      </c>
      <c r="L4170" s="19">
        <v>2023</v>
      </c>
      <c r="M4170" s="20">
        <v>200</v>
      </c>
      <c r="N4170" s="19" t="s">
        <v>667</v>
      </c>
      <c r="O4170" s="20">
        <v>150</v>
      </c>
      <c r="P4170" s="20">
        <v>30000</v>
      </c>
      <c r="Q4170" s="20">
        <v>39864</v>
      </c>
      <c r="R4170" s="21">
        <v>1</v>
      </c>
      <c r="S4170" s="20">
        <v>39864</v>
      </c>
    </row>
    <row r="4171" spans="2:19" ht="15" customHeight="1" x14ac:dyDescent="0.25">
      <c r="B4171" s="2" t="str">
        <f t="shared" si="130"/>
        <v>PGL_Income Eligible_Multi-Family_Whole Building - Public Housing_Boiler Reset Controls_0_MF</v>
      </c>
      <c r="C4171" s="2" t="str">
        <f t="shared" si="131"/>
        <v>PGL_Income Eligible_Multi-Family_Whole Building - Public Housing_Boiler Reset Controls_0_MF_2024</v>
      </c>
      <c r="D4171" s="19" t="s">
        <v>1794</v>
      </c>
      <c r="E4171" s="19" t="s">
        <v>325</v>
      </c>
      <c r="F4171" s="19" t="s">
        <v>1422</v>
      </c>
      <c r="G4171" s="19" t="s">
        <v>1817</v>
      </c>
      <c r="H4171" s="19" t="s">
        <v>978</v>
      </c>
      <c r="I4171" s="19">
        <v>0</v>
      </c>
      <c r="J4171" s="19" t="s">
        <v>25</v>
      </c>
      <c r="K4171" s="19" t="s">
        <v>553</v>
      </c>
      <c r="L4171" s="19">
        <v>2024</v>
      </c>
      <c r="M4171" s="20">
        <v>200</v>
      </c>
      <c r="N4171" s="19" t="s">
        <v>667</v>
      </c>
      <c r="O4171" s="20">
        <v>150</v>
      </c>
      <c r="P4171" s="20">
        <v>30000</v>
      </c>
      <c r="Q4171" s="20">
        <v>39864</v>
      </c>
      <c r="R4171" s="21">
        <v>1</v>
      </c>
      <c r="S4171" s="20">
        <v>39864</v>
      </c>
    </row>
    <row r="4172" spans="2:19" ht="15" customHeight="1" x14ac:dyDescent="0.25">
      <c r="B4172" s="2" t="str">
        <f t="shared" si="130"/>
        <v>PGL_Income Eligible_Multi-Family_Whole Building - Public Housing_Boiler Reset Controls_0_MF</v>
      </c>
      <c r="C4172" s="2" t="str">
        <f t="shared" si="131"/>
        <v>PGL_Income Eligible_Multi-Family_Whole Building - Public Housing_Boiler Reset Controls_0_MF_2025</v>
      </c>
      <c r="D4172" s="19" t="s">
        <v>1794</v>
      </c>
      <c r="E4172" s="19" t="s">
        <v>325</v>
      </c>
      <c r="F4172" s="19" t="s">
        <v>1422</v>
      </c>
      <c r="G4172" s="19" t="s">
        <v>1817</v>
      </c>
      <c r="H4172" s="19" t="s">
        <v>978</v>
      </c>
      <c r="I4172" s="19">
        <v>0</v>
      </c>
      <c r="J4172" s="19" t="s">
        <v>25</v>
      </c>
      <c r="K4172" s="19" t="s">
        <v>553</v>
      </c>
      <c r="L4172" s="19">
        <v>2025</v>
      </c>
      <c r="M4172" s="20">
        <v>200</v>
      </c>
      <c r="N4172" s="19" t="s">
        <v>667</v>
      </c>
      <c r="O4172" s="20">
        <v>150</v>
      </c>
      <c r="P4172" s="20">
        <v>30000</v>
      </c>
      <c r="Q4172" s="20">
        <v>39864</v>
      </c>
      <c r="R4172" s="21">
        <v>1</v>
      </c>
      <c r="S4172" s="20">
        <v>39864</v>
      </c>
    </row>
    <row r="4173" spans="2:19" ht="15" customHeight="1" x14ac:dyDescent="0.25">
      <c r="B4173" s="2" t="str">
        <f t="shared" si="130"/>
        <v>PGL_Income Eligible_Multi-Family_Whole Building - Public Housing_Boiler Tune Up_Space Heating_MF</v>
      </c>
      <c r="C4173" s="2" t="str">
        <f t="shared" si="131"/>
        <v>PGL_Income Eligible_Multi-Family_Whole Building - Public Housing_Boiler Tune Up_Space Heating_MF_2022</v>
      </c>
      <c r="D4173" s="19" t="s">
        <v>1794</v>
      </c>
      <c r="E4173" s="19" t="s">
        <v>325</v>
      </c>
      <c r="F4173" s="19" t="s">
        <v>1422</v>
      </c>
      <c r="G4173" s="19" t="s">
        <v>1817</v>
      </c>
      <c r="H4173" s="19" t="s">
        <v>906</v>
      </c>
      <c r="I4173" s="19" t="s">
        <v>907</v>
      </c>
      <c r="J4173" s="19" t="s">
        <v>909</v>
      </c>
      <c r="K4173" s="19" t="s">
        <v>553</v>
      </c>
      <c r="L4173" s="19">
        <v>2022</v>
      </c>
      <c r="M4173" s="20">
        <v>800</v>
      </c>
      <c r="N4173" s="19" t="s">
        <v>667</v>
      </c>
      <c r="O4173" s="20">
        <v>0</v>
      </c>
      <c r="P4173" s="20">
        <v>0</v>
      </c>
      <c r="Q4173" s="20">
        <v>0</v>
      </c>
      <c r="R4173" s="21">
        <v>1</v>
      </c>
      <c r="S4173" s="20">
        <v>0</v>
      </c>
    </row>
    <row r="4174" spans="2:19" ht="15" customHeight="1" x14ac:dyDescent="0.25">
      <c r="B4174" s="2" t="str">
        <f t="shared" si="130"/>
        <v>PGL_Income Eligible_Multi-Family_Whole Building - Public Housing_Boiler Tune Up_Space Heating_MF</v>
      </c>
      <c r="C4174" s="2" t="str">
        <f t="shared" si="131"/>
        <v>PGL_Income Eligible_Multi-Family_Whole Building - Public Housing_Boiler Tune Up_Space Heating_MF_2023</v>
      </c>
      <c r="D4174" s="19" t="s">
        <v>1794</v>
      </c>
      <c r="E4174" s="19" t="s">
        <v>325</v>
      </c>
      <c r="F4174" s="19" t="s">
        <v>1422</v>
      </c>
      <c r="G4174" s="19" t="s">
        <v>1817</v>
      </c>
      <c r="H4174" s="19" t="s">
        <v>906</v>
      </c>
      <c r="I4174" s="19" t="s">
        <v>907</v>
      </c>
      <c r="J4174" s="19" t="s">
        <v>909</v>
      </c>
      <c r="K4174" s="19" t="s">
        <v>553</v>
      </c>
      <c r="L4174" s="19">
        <v>2023</v>
      </c>
      <c r="M4174" s="20">
        <v>800</v>
      </c>
      <c r="N4174" s="19" t="s">
        <v>667</v>
      </c>
      <c r="O4174" s="20">
        <v>0</v>
      </c>
      <c r="P4174" s="20">
        <v>0</v>
      </c>
      <c r="Q4174" s="20">
        <v>0</v>
      </c>
      <c r="R4174" s="21">
        <v>1</v>
      </c>
      <c r="S4174" s="20">
        <v>0</v>
      </c>
    </row>
    <row r="4175" spans="2:19" ht="15" customHeight="1" x14ac:dyDescent="0.25">
      <c r="B4175" s="2" t="str">
        <f t="shared" si="130"/>
        <v>PGL_Income Eligible_Multi-Family_Whole Building - Public Housing_Boiler Tune Up_Space Heating_MF</v>
      </c>
      <c r="C4175" s="2" t="str">
        <f t="shared" si="131"/>
        <v>PGL_Income Eligible_Multi-Family_Whole Building - Public Housing_Boiler Tune Up_Space Heating_MF_2024</v>
      </c>
      <c r="D4175" s="19" t="s">
        <v>1794</v>
      </c>
      <c r="E4175" s="19" t="s">
        <v>325</v>
      </c>
      <c r="F4175" s="19" t="s">
        <v>1422</v>
      </c>
      <c r="G4175" s="19" t="s">
        <v>1817</v>
      </c>
      <c r="H4175" s="19" t="s">
        <v>906</v>
      </c>
      <c r="I4175" s="19" t="s">
        <v>907</v>
      </c>
      <c r="J4175" s="19" t="s">
        <v>909</v>
      </c>
      <c r="K4175" s="19" t="s">
        <v>553</v>
      </c>
      <c r="L4175" s="19">
        <v>2024</v>
      </c>
      <c r="M4175" s="20">
        <v>800</v>
      </c>
      <c r="N4175" s="19" t="s">
        <v>667</v>
      </c>
      <c r="O4175" s="20">
        <v>0</v>
      </c>
      <c r="P4175" s="20">
        <v>0</v>
      </c>
      <c r="Q4175" s="20">
        <v>0</v>
      </c>
      <c r="R4175" s="21">
        <v>1</v>
      </c>
      <c r="S4175" s="20">
        <v>0</v>
      </c>
    </row>
    <row r="4176" spans="2:19" ht="15" customHeight="1" x14ac:dyDescent="0.25">
      <c r="B4176" s="2" t="str">
        <f t="shared" si="130"/>
        <v>PGL_Income Eligible_Multi-Family_Whole Building - Public Housing_Boiler Tune Up_Space Heating_MF</v>
      </c>
      <c r="C4176" s="2" t="str">
        <f t="shared" si="131"/>
        <v>PGL_Income Eligible_Multi-Family_Whole Building - Public Housing_Boiler Tune Up_Space Heating_MF_2025</v>
      </c>
      <c r="D4176" s="19" t="s">
        <v>1794</v>
      </c>
      <c r="E4176" s="19" t="s">
        <v>325</v>
      </c>
      <c r="F4176" s="19" t="s">
        <v>1422</v>
      </c>
      <c r="G4176" s="19" t="s">
        <v>1817</v>
      </c>
      <c r="H4176" s="19" t="s">
        <v>906</v>
      </c>
      <c r="I4176" s="19" t="s">
        <v>907</v>
      </c>
      <c r="J4176" s="19" t="s">
        <v>909</v>
      </c>
      <c r="K4176" s="19" t="s">
        <v>553</v>
      </c>
      <c r="L4176" s="19">
        <v>2025</v>
      </c>
      <c r="M4176" s="20">
        <v>800</v>
      </c>
      <c r="N4176" s="19" t="s">
        <v>667</v>
      </c>
      <c r="O4176" s="20">
        <v>0</v>
      </c>
      <c r="P4176" s="20">
        <v>0</v>
      </c>
      <c r="Q4176" s="20">
        <v>0</v>
      </c>
      <c r="R4176" s="21">
        <v>1</v>
      </c>
      <c r="S4176" s="20">
        <v>0</v>
      </c>
    </row>
    <row r="4177" spans="2:19" ht="15" customHeight="1" x14ac:dyDescent="0.25">
      <c r="B4177" s="2" t="str">
        <f t="shared" si="130"/>
        <v>PGL_Income Eligible_Multi-Family_Whole Building - Public Housing_Furnace (In Unit)_&gt;95% AFUE_MF</v>
      </c>
      <c r="C4177" s="2" t="str">
        <f t="shared" si="131"/>
        <v>PGL_Income Eligible_Multi-Family_Whole Building - Public Housing_Furnace (In Unit)_&gt;95% AFUE_MF_2022</v>
      </c>
      <c r="D4177" s="19" t="s">
        <v>1794</v>
      </c>
      <c r="E4177" s="19" t="s">
        <v>325</v>
      </c>
      <c r="F4177" s="19" t="s">
        <v>1422</v>
      </c>
      <c r="G4177" s="19" t="s">
        <v>1817</v>
      </c>
      <c r="H4177" s="19" t="s">
        <v>988</v>
      </c>
      <c r="I4177" s="19" t="s">
        <v>982</v>
      </c>
      <c r="J4177" s="19" t="s">
        <v>990</v>
      </c>
      <c r="K4177" s="19" t="s">
        <v>553</v>
      </c>
      <c r="L4177" s="19">
        <v>2022</v>
      </c>
      <c r="M4177" s="20">
        <v>1</v>
      </c>
      <c r="N4177" s="19" t="s">
        <v>1798</v>
      </c>
      <c r="O4177" s="20">
        <v>0</v>
      </c>
      <c r="P4177" s="20">
        <v>0</v>
      </c>
      <c r="Q4177" s="20">
        <v>0</v>
      </c>
      <c r="R4177" s="21">
        <v>1</v>
      </c>
      <c r="S4177" s="20">
        <v>0</v>
      </c>
    </row>
    <row r="4178" spans="2:19" ht="15" customHeight="1" x14ac:dyDescent="0.25">
      <c r="B4178" s="2" t="str">
        <f t="shared" si="130"/>
        <v>PGL_Income Eligible_Multi-Family_Whole Building - Public Housing_Furnace (In Unit)_&gt;95% AFUE_MF</v>
      </c>
      <c r="C4178" s="2" t="str">
        <f t="shared" si="131"/>
        <v>PGL_Income Eligible_Multi-Family_Whole Building - Public Housing_Furnace (In Unit)_&gt;95% AFUE_MF_2023</v>
      </c>
      <c r="D4178" s="19" t="s">
        <v>1794</v>
      </c>
      <c r="E4178" s="19" t="s">
        <v>325</v>
      </c>
      <c r="F4178" s="19" t="s">
        <v>1422</v>
      </c>
      <c r="G4178" s="19" t="s">
        <v>1817</v>
      </c>
      <c r="H4178" s="19" t="s">
        <v>988</v>
      </c>
      <c r="I4178" s="19" t="s">
        <v>982</v>
      </c>
      <c r="J4178" s="19" t="s">
        <v>990</v>
      </c>
      <c r="K4178" s="19" t="s">
        <v>553</v>
      </c>
      <c r="L4178" s="19">
        <v>2023</v>
      </c>
      <c r="M4178" s="20">
        <v>1</v>
      </c>
      <c r="N4178" s="19" t="s">
        <v>1798</v>
      </c>
      <c r="O4178" s="20">
        <v>0</v>
      </c>
      <c r="P4178" s="20">
        <v>0</v>
      </c>
      <c r="Q4178" s="20">
        <v>0</v>
      </c>
      <c r="R4178" s="21">
        <v>1</v>
      </c>
      <c r="S4178" s="20">
        <v>0</v>
      </c>
    </row>
    <row r="4179" spans="2:19" ht="15" customHeight="1" x14ac:dyDescent="0.25">
      <c r="B4179" s="2" t="str">
        <f t="shared" si="130"/>
        <v>PGL_Income Eligible_Multi-Family_Whole Building - Public Housing_Furnace (In Unit)_&gt;95% AFUE_MF</v>
      </c>
      <c r="C4179" s="2" t="str">
        <f t="shared" si="131"/>
        <v>PGL_Income Eligible_Multi-Family_Whole Building - Public Housing_Furnace (In Unit)_&gt;95% AFUE_MF_2024</v>
      </c>
      <c r="D4179" s="19" t="s">
        <v>1794</v>
      </c>
      <c r="E4179" s="19" t="s">
        <v>325</v>
      </c>
      <c r="F4179" s="19" t="s">
        <v>1422</v>
      </c>
      <c r="G4179" s="19" t="s">
        <v>1817</v>
      </c>
      <c r="H4179" s="19" t="s">
        <v>988</v>
      </c>
      <c r="I4179" s="19" t="s">
        <v>982</v>
      </c>
      <c r="J4179" s="19" t="s">
        <v>990</v>
      </c>
      <c r="K4179" s="19" t="s">
        <v>553</v>
      </c>
      <c r="L4179" s="19">
        <v>2024</v>
      </c>
      <c r="M4179" s="20">
        <v>1</v>
      </c>
      <c r="N4179" s="19" t="s">
        <v>1798</v>
      </c>
      <c r="O4179" s="20">
        <v>0</v>
      </c>
      <c r="P4179" s="20">
        <v>0</v>
      </c>
      <c r="Q4179" s="20">
        <v>0</v>
      </c>
      <c r="R4179" s="21">
        <v>1</v>
      </c>
      <c r="S4179" s="20">
        <v>0</v>
      </c>
    </row>
    <row r="4180" spans="2:19" ht="15" customHeight="1" x14ac:dyDescent="0.25">
      <c r="B4180" s="2" t="str">
        <f t="shared" si="130"/>
        <v>PGL_Income Eligible_Multi-Family_Whole Building - Public Housing_Furnace (In Unit)_&gt;95% AFUE_MF</v>
      </c>
      <c r="C4180" s="2" t="str">
        <f t="shared" si="131"/>
        <v>PGL_Income Eligible_Multi-Family_Whole Building - Public Housing_Furnace (In Unit)_&gt;95% AFUE_MF_2025</v>
      </c>
      <c r="D4180" s="19" t="s">
        <v>1794</v>
      </c>
      <c r="E4180" s="19" t="s">
        <v>325</v>
      </c>
      <c r="F4180" s="19" t="s">
        <v>1422</v>
      </c>
      <c r="G4180" s="19" t="s">
        <v>1817</v>
      </c>
      <c r="H4180" s="19" t="s">
        <v>988</v>
      </c>
      <c r="I4180" s="19" t="s">
        <v>982</v>
      </c>
      <c r="J4180" s="19" t="s">
        <v>990</v>
      </c>
      <c r="K4180" s="19" t="s">
        <v>553</v>
      </c>
      <c r="L4180" s="19">
        <v>2025</v>
      </c>
      <c r="M4180" s="20">
        <v>1</v>
      </c>
      <c r="N4180" s="19" t="s">
        <v>1798</v>
      </c>
      <c r="O4180" s="20">
        <v>0</v>
      </c>
      <c r="P4180" s="20">
        <v>0</v>
      </c>
      <c r="Q4180" s="20">
        <v>0</v>
      </c>
      <c r="R4180" s="21">
        <v>1</v>
      </c>
      <c r="S4180" s="20">
        <v>0</v>
      </c>
    </row>
    <row r="4181" spans="2:19" ht="15" customHeight="1" x14ac:dyDescent="0.25">
      <c r="B4181" s="2" t="str">
        <f t="shared" si="130"/>
        <v>PGL_Income Eligible_Multi-Family_Whole Building - Public Housing_Pipe Insulation_Hyd. Boiler Sm ≤1.25"_MF</v>
      </c>
      <c r="C4181" s="2" t="str">
        <f t="shared" si="131"/>
        <v>PGL_Income Eligible_Multi-Family_Whole Building - Public Housing_Pipe Insulation_Hyd. Boiler Sm ≤1.25"_MF_2022</v>
      </c>
      <c r="D4181" s="19" t="s">
        <v>1794</v>
      </c>
      <c r="E4181" s="19" t="s">
        <v>325</v>
      </c>
      <c r="F4181" s="19" t="s">
        <v>1422</v>
      </c>
      <c r="G4181" s="19" t="s">
        <v>1817</v>
      </c>
      <c r="H4181" s="19" t="s">
        <v>404</v>
      </c>
      <c r="I4181" s="19" t="s">
        <v>947</v>
      </c>
      <c r="J4181" s="19">
        <v>0</v>
      </c>
      <c r="K4181" s="19" t="s">
        <v>553</v>
      </c>
      <c r="L4181" s="19">
        <v>2022</v>
      </c>
      <c r="M4181" s="20">
        <v>75</v>
      </c>
      <c r="N4181" s="19" t="s">
        <v>616</v>
      </c>
      <c r="O4181" s="20">
        <v>0</v>
      </c>
      <c r="P4181" s="20">
        <v>0</v>
      </c>
      <c r="Q4181" s="20">
        <v>0</v>
      </c>
      <c r="R4181" s="21">
        <v>1</v>
      </c>
      <c r="S4181" s="20">
        <v>0</v>
      </c>
    </row>
    <row r="4182" spans="2:19" ht="15" customHeight="1" x14ac:dyDescent="0.25">
      <c r="B4182" s="2" t="str">
        <f t="shared" si="130"/>
        <v>PGL_Income Eligible_Multi-Family_Whole Building - Public Housing_Pipe Insulation_Hyd. Boiler Sm ≤1.25"_MF</v>
      </c>
      <c r="C4182" s="2" t="str">
        <f t="shared" si="131"/>
        <v>PGL_Income Eligible_Multi-Family_Whole Building - Public Housing_Pipe Insulation_Hyd. Boiler Sm ≤1.25"_MF_2023</v>
      </c>
      <c r="D4182" s="19" t="s">
        <v>1794</v>
      </c>
      <c r="E4182" s="19" t="s">
        <v>325</v>
      </c>
      <c r="F4182" s="19" t="s">
        <v>1422</v>
      </c>
      <c r="G4182" s="19" t="s">
        <v>1817</v>
      </c>
      <c r="H4182" s="19" t="s">
        <v>404</v>
      </c>
      <c r="I4182" s="19" t="s">
        <v>947</v>
      </c>
      <c r="J4182" s="19">
        <v>0</v>
      </c>
      <c r="K4182" s="19" t="s">
        <v>553</v>
      </c>
      <c r="L4182" s="19">
        <v>2023</v>
      </c>
      <c r="M4182" s="20">
        <v>75</v>
      </c>
      <c r="N4182" s="19" t="s">
        <v>616</v>
      </c>
      <c r="O4182" s="20">
        <v>0</v>
      </c>
      <c r="P4182" s="20">
        <v>0</v>
      </c>
      <c r="Q4182" s="20">
        <v>0</v>
      </c>
      <c r="R4182" s="21">
        <v>1</v>
      </c>
      <c r="S4182" s="20">
        <v>0</v>
      </c>
    </row>
    <row r="4183" spans="2:19" ht="15" customHeight="1" x14ac:dyDescent="0.25">
      <c r="B4183" s="2" t="str">
        <f t="shared" si="130"/>
        <v>PGL_Income Eligible_Multi-Family_Whole Building - Public Housing_Pipe Insulation_Hyd. Boiler Sm ≤1.25"_MF</v>
      </c>
      <c r="C4183" s="2" t="str">
        <f t="shared" si="131"/>
        <v>PGL_Income Eligible_Multi-Family_Whole Building - Public Housing_Pipe Insulation_Hyd. Boiler Sm ≤1.25"_MF_2024</v>
      </c>
      <c r="D4183" s="19" t="s">
        <v>1794</v>
      </c>
      <c r="E4183" s="19" t="s">
        <v>325</v>
      </c>
      <c r="F4183" s="19" t="s">
        <v>1422</v>
      </c>
      <c r="G4183" s="19" t="s">
        <v>1817</v>
      </c>
      <c r="H4183" s="19" t="s">
        <v>404</v>
      </c>
      <c r="I4183" s="19" t="s">
        <v>947</v>
      </c>
      <c r="J4183" s="19">
        <v>0</v>
      </c>
      <c r="K4183" s="19" t="s">
        <v>553</v>
      </c>
      <c r="L4183" s="19">
        <v>2024</v>
      </c>
      <c r="M4183" s="20">
        <v>75</v>
      </c>
      <c r="N4183" s="19" t="s">
        <v>616</v>
      </c>
      <c r="O4183" s="20">
        <v>0</v>
      </c>
      <c r="P4183" s="20">
        <v>0</v>
      </c>
      <c r="Q4183" s="20">
        <v>0</v>
      </c>
      <c r="R4183" s="21">
        <v>1</v>
      </c>
      <c r="S4183" s="20">
        <v>0</v>
      </c>
    </row>
    <row r="4184" spans="2:19" ht="15" customHeight="1" x14ac:dyDescent="0.25">
      <c r="B4184" s="2" t="str">
        <f t="shared" si="130"/>
        <v>PGL_Income Eligible_Multi-Family_Whole Building - Public Housing_Pipe Insulation_Hyd. Boiler Sm ≤1.25"_MF</v>
      </c>
      <c r="C4184" s="2" t="str">
        <f t="shared" si="131"/>
        <v>PGL_Income Eligible_Multi-Family_Whole Building - Public Housing_Pipe Insulation_Hyd. Boiler Sm ≤1.25"_MF_2025</v>
      </c>
      <c r="D4184" s="19" t="s">
        <v>1794</v>
      </c>
      <c r="E4184" s="19" t="s">
        <v>325</v>
      </c>
      <c r="F4184" s="19" t="s">
        <v>1422</v>
      </c>
      <c r="G4184" s="19" t="s">
        <v>1817</v>
      </c>
      <c r="H4184" s="19" t="s">
        <v>404</v>
      </c>
      <c r="I4184" s="19" t="s">
        <v>947</v>
      </c>
      <c r="J4184" s="19">
        <v>0</v>
      </c>
      <c r="K4184" s="19" t="s">
        <v>553</v>
      </c>
      <c r="L4184" s="19">
        <v>2025</v>
      </c>
      <c r="M4184" s="20">
        <v>75</v>
      </c>
      <c r="N4184" s="19" t="s">
        <v>616</v>
      </c>
      <c r="O4184" s="20">
        <v>0</v>
      </c>
      <c r="P4184" s="20">
        <v>0</v>
      </c>
      <c r="Q4184" s="20">
        <v>0</v>
      </c>
      <c r="R4184" s="21">
        <v>1</v>
      </c>
      <c r="S4184" s="20">
        <v>0</v>
      </c>
    </row>
    <row r="4185" spans="2:19" ht="15" customHeight="1" x14ac:dyDescent="0.25">
      <c r="B4185" s="2" t="str">
        <f t="shared" si="130"/>
        <v>PGL_Income Eligible_Multi-Family_Whole Building - Public Housing_Pipe Insulation_Hyd. Boiler Med 1.25-2"_MF</v>
      </c>
      <c r="C4185" s="2" t="str">
        <f t="shared" si="131"/>
        <v>PGL_Income Eligible_Multi-Family_Whole Building - Public Housing_Pipe Insulation_Hyd. Boiler Med 1.25-2"_MF_2022</v>
      </c>
      <c r="D4185" s="19" t="s">
        <v>1794</v>
      </c>
      <c r="E4185" s="19" t="s">
        <v>325</v>
      </c>
      <c r="F4185" s="19" t="s">
        <v>1422</v>
      </c>
      <c r="G4185" s="19" t="s">
        <v>1817</v>
      </c>
      <c r="H4185" s="19" t="s">
        <v>404</v>
      </c>
      <c r="I4185" s="19" t="s">
        <v>951</v>
      </c>
      <c r="J4185" s="19">
        <v>0</v>
      </c>
      <c r="K4185" s="19" t="s">
        <v>553</v>
      </c>
      <c r="L4185" s="19">
        <v>2022</v>
      </c>
      <c r="M4185" s="20">
        <v>75</v>
      </c>
      <c r="N4185" s="19" t="s">
        <v>616</v>
      </c>
      <c r="O4185" s="20">
        <v>0</v>
      </c>
      <c r="P4185" s="20">
        <v>0</v>
      </c>
      <c r="Q4185" s="20">
        <v>0</v>
      </c>
      <c r="R4185" s="21">
        <v>1</v>
      </c>
      <c r="S4185" s="20">
        <v>0</v>
      </c>
    </row>
    <row r="4186" spans="2:19" ht="15" customHeight="1" x14ac:dyDescent="0.25">
      <c r="B4186" s="2" t="str">
        <f t="shared" si="130"/>
        <v>PGL_Income Eligible_Multi-Family_Whole Building - Public Housing_Pipe Insulation_Hyd. Boiler Med 1.25-2"_MF</v>
      </c>
      <c r="C4186" s="2" t="str">
        <f t="shared" si="131"/>
        <v>PGL_Income Eligible_Multi-Family_Whole Building - Public Housing_Pipe Insulation_Hyd. Boiler Med 1.25-2"_MF_2023</v>
      </c>
      <c r="D4186" s="19" t="s">
        <v>1794</v>
      </c>
      <c r="E4186" s="19" t="s">
        <v>325</v>
      </c>
      <c r="F4186" s="19" t="s">
        <v>1422</v>
      </c>
      <c r="G4186" s="19" t="s">
        <v>1817</v>
      </c>
      <c r="H4186" s="19" t="s">
        <v>404</v>
      </c>
      <c r="I4186" s="19" t="s">
        <v>951</v>
      </c>
      <c r="J4186" s="19">
        <v>0</v>
      </c>
      <c r="K4186" s="19" t="s">
        <v>553</v>
      </c>
      <c r="L4186" s="19">
        <v>2023</v>
      </c>
      <c r="M4186" s="20">
        <v>75</v>
      </c>
      <c r="N4186" s="19" t="s">
        <v>616</v>
      </c>
      <c r="O4186" s="20">
        <v>0</v>
      </c>
      <c r="P4186" s="20">
        <v>0</v>
      </c>
      <c r="Q4186" s="20">
        <v>0</v>
      </c>
      <c r="R4186" s="21">
        <v>1</v>
      </c>
      <c r="S4186" s="20">
        <v>0</v>
      </c>
    </row>
    <row r="4187" spans="2:19" ht="15" customHeight="1" x14ac:dyDescent="0.25">
      <c r="B4187" s="2" t="str">
        <f t="shared" si="130"/>
        <v>PGL_Income Eligible_Multi-Family_Whole Building - Public Housing_Pipe Insulation_Hyd. Boiler Med 1.25-2"_MF</v>
      </c>
      <c r="C4187" s="2" t="str">
        <f t="shared" si="131"/>
        <v>PGL_Income Eligible_Multi-Family_Whole Building - Public Housing_Pipe Insulation_Hyd. Boiler Med 1.25-2"_MF_2024</v>
      </c>
      <c r="D4187" s="19" t="s">
        <v>1794</v>
      </c>
      <c r="E4187" s="19" t="s">
        <v>325</v>
      </c>
      <c r="F4187" s="19" t="s">
        <v>1422</v>
      </c>
      <c r="G4187" s="19" t="s">
        <v>1817</v>
      </c>
      <c r="H4187" s="19" t="s">
        <v>404</v>
      </c>
      <c r="I4187" s="19" t="s">
        <v>951</v>
      </c>
      <c r="J4187" s="19">
        <v>0</v>
      </c>
      <c r="K4187" s="19" t="s">
        <v>553</v>
      </c>
      <c r="L4187" s="19">
        <v>2024</v>
      </c>
      <c r="M4187" s="20">
        <v>75</v>
      </c>
      <c r="N4187" s="19" t="s">
        <v>616</v>
      </c>
      <c r="O4187" s="20">
        <v>0</v>
      </c>
      <c r="P4187" s="20">
        <v>0</v>
      </c>
      <c r="Q4187" s="20">
        <v>0</v>
      </c>
      <c r="R4187" s="21">
        <v>1</v>
      </c>
      <c r="S4187" s="20">
        <v>0</v>
      </c>
    </row>
    <row r="4188" spans="2:19" ht="15" customHeight="1" x14ac:dyDescent="0.25">
      <c r="B4188" s="2" t="str">
        <f t="shared" si="130"/>
        <v>PGL_Income Eligible_Multi-Family_Whole Building - Public Housing_Pipe Insulation_Hyd. Boiler Med 1.25-2"_MF</v>
      </c>
      <c r="C4188" s="2" t="str">
        <f t="shared" si="131"/>
        <v>PGL_Income Eligible_Multi-Family_Whole Building - Public Housing_Pipe Insulation_Hyd. Boiler Med 1.25-2"_MF_2025</v>
      </c>
      <c r="D4188" s="19" t="s">
        <v>1794</v>
      </c>
      <c r="E4188" s="19" t="s">
        <v>325</v>
      </c>
      <c r="F4188" s="19" t="s">
        <v>1422</v>
      </c>
      <c r="G4188" s="19" t="s">
        <v>1817</v>
      </c>
      <c r="H4188" s="19" t="s">
        <v>404</v>
      </c>
      <c r="I4188" s="19" t="s">
        <v>951</v>
      </c>
      <c r="J4188" s="19">
        <v>0</v>
      </c>
      <c r="K4188" s="19" t="s">
        <v>553</v>
      </c>
      <c r="L4188" s="19">
        <v>2025</v>
      </c>
      <c r="M4188" s="20">
        <v>75</v>
      </c>
      <c r="N4188" s="19" t="s">
        <v>616</v>
      </c>
      <c r="O4188" s="20">
        <v>0</v>
      </c>
      <c r="P4188" s="20">
        <v>0</v>
      </c>
      <c r="Q4188" s="20">
        <v>0</v>
      </c>
      <c r="R4188" s="21">
        <v>1</v>
      </c>
      <c r="S4188" s="20">
        <v>0</v>
      </c>
    </row>
    <row r="4189" spans="2:19" ht="15" customHeight="1" x14ac:dyDescent="0.25">
      <c r="B4189" s="2" t="str">
        <f t="shared" si="130"/>
        <v>PGL_Income Eligible_Multi-Family_Whole Building - Public Housing_Pipe Insulation_Hyd. Boiler Large ≥2"_MF</v>
      </c>
      <c r="C4189" s="2" t="str">
        <f t="shared" si="131"/>
        <v>PGL_Income Eligible_Multi-Family_Whole Building - Public Housing_Pipe Insulation_Hyd. Boiler Large ≥2"_MF_2022</v>
      </c>
      <c r="D4189" s="19" t="s">
        <v>1794</v>
      </c>
      <c r="E4189" s="19" t="s">
        <v>325</v>
      </c>
      <c r="F4189" s="19" t="s">
        <v>1422</v>
      </c>
      <c r="G4189" s="19" t="s">
        <v>1817</v>
      </c>
      <c r="H4189" s="19" t="s">
        <v>404</v>
      </c>
      <c r="I4189" s="19" t="s">
        <v>952</v>
      </c>
      <c r="J4189" s="19">
        <v>0</v>
      </c>
      <c r="K4189" s="19" t="s">
        <v>553</v>
      </c>
      <c r="L4189" s="19">
        <v>2022</v>
      </c>
      <c r="M4189" s="20">
        <v>75</v>
      </c>
      <c r="N4189" s="19" t="s">
        <v>616</v>
      </c>
      <c r="O4189" s="20">
        <v>0</v>
      </c>
      <c r="P4189" s="20">
        <v>0</v>
      </c>
      <c r="Q4189" s="20">
        <v>0</v>
      </c>
      <c r="R4189" s="21">
        <v>1</v>
      </c>
      <c r="S4189" s="20">
        <v>0</v>
      </c>
    </row>
    <row r="4190" spans="2:19" ht="15" customHeight="1" x14ac:dyDescent="0.25">
      <c r="B4190" s="2" t="str">
        <f t="shared" si="130"/>
        <v>PGL_Income Eligible_Multi-Family_Whole Building - Public Housing_Pipe Insulation_Hyd. Boiler Large ≥2"_MF</v>
      </c>
      <c r="C4190" s="2" t="str">
        <f t="shared" si="131"/>
        <v>PGL_Income Eligible_Multi-Family_Whole Building - Public Housing_Pipe Insulation_Hyd. Boiler Large ≥2"_MF_2023</v>
      </c>
      <c r="D4190" s="19" t="s">
        <v>1794</v>
      </c>
      <c r="E4190" s="19" t="s">
        <v>325</v>
      </c>
      <c r="F4190" s="19" t="s">
        <v>1422</v>
      </c>
      <c r="G4190" s="19" t="s">
        <v>1817</v>
      </c>
      <c r="H4190" s="19" t="s">
        <v>404</v>
      </c>
      <c r="I4190" s="19" t="s">
        <v>952</v>
      </c>
      <c r="J4190" s="19">
        <v>0</v>
      </c>
      <c r="K4190" s="19" t="s">
        <v>553</v>
      </c>
      <c r="L4190" s="19">
        <v>2023</v>
      </c>
      <c r="M4190" s="20">
        <v>75</v>
      </c>
      <c r="N4190" s="19" t="s">
        <v>616</v>
      </c>
      <c r="O4190" s="20">
        <v>0</v>
      </c>
      <c r="P4190" s="20">
        <v>0</v>
      </c>
      <c r="Q4190" s="20">
        <v>0</v>
      </c>
      <c r="R4190" s="21">
        <v>1</v>
      </c>
      <c r="S4190" s="20">
        <v>0</v>
      </c>
    </row>
    <row r="4191" spans="2:19" ht="15" customHeight="1" x14ac:dyDescent="0.25">
      <c r="B4191" s="2" t="str">
        <f t="shared" si="130"/>
        <v>PGL_Income Eligible_Multi-Family_Whole Building - Public Housing_Pipe Insulation_Hyd. Boiler Large ≥2"_MF</v>
      </c>
      <c r="C4191" s="2" t="str">
        <f t="shared" si="131"/>
        <v>PGL_Income Eligible_Multi-Family_Whole Building - Public Housing_Pipe Insulation_Hyd. Boiler Large ≥2"_MF_2024</v>
      </c>
      <c r="D4191" s="19" t="s">
        <v>1794</v>
      </c>
      <c r="E4191" s="19" t="s">
        <v>325</v>
      </c>
      <c r="F4191" s="19" t="s">
        <v>1422</v>
      </c>
      <c r="G4191" s="19" t="s">
        <v>1817</v>
      </c>
      <c r="H4191" s="19" t="s">
        <v>404</v>
      </c>
      <c r="I4191" s="19" t="s">
        <v>952</v>
      </c>
      <c r="J4191" s="19">
        <v>0</v>
      </c>
      <c r="K4191" s="19" t="s">
        <v>553</v>
      </c>
      <c r="L4191" s="19">
        <v>2024</v>
      </c>
      <c r="M4191" s="20">
        <v>75</v>
      </c>
      <c r="N4191" s="19" t="s">
        <v>616</v>
      </c>
      <c r="O4191" s="20">
        <v>0</v>
      </c>
      <c r="P4191" s="20">
        <v>0</v>
      </c>
      <c r="Q4191" s="20">
        <v>0</v>
      </c>
      <c r="R4191" s="21">
        <v>1</v>
      </c>
      <c r="S4191" s="20">
        <v>0</v>
      </c>
    </row>
    <row r="4192" spans="2:19" ht="15" customHeight="1" x14ac:dyDescent="0.25">
      <c r="B4192" s="2" t="str">
        <f t="shared" si="130"/>
        <v>PGL_Income Eligible_Multi-Family_Whole Building - Public Housing_Pipe Insulation_Hyd. Boiler Large ≥2"_MF</v>
      </c>
      <c r="C4192" s="2" t="str">
        <f t="shared" si="131"/>
        <v>PGL_Income Eligible_Multi-Family_Whole Building - Public Housing_Pipe Insulation_Hyd. Boiler Large ≥2"_MF_2025</v>
      </c>
      <c r="D4192" s="19" t="s">
        <v>1794</v>
      </c>
      <c r="E4192" s="19" t="s">
        <v>325</v>
      </c>
      <c r="F4192" s="19" t="s">
        <v>1422</v>
      </c>
      <c r="G4192" s="19" t="s">
        <v>1817</v>
      </c>
      <c r="H4192" s="19" t="s">
        <v>404</v>
      </c>
      <c r="I4192" s="19" t="s">
        <v>952</v>
      </c>
      <c r="J4192" s="19">
        <v>0</v>
      </c>
      <c r="K4192" s="19" t="s">
        <v>553</v>
      </c>
      <c r="L4192" s="19">
        <v>2025</v>
      </c>
      <c r="M4192" s="20">
        <v>75</v>
      </c>
      <c r="N4192" s="19" t="s">
        <v>616</v>
      </c>
      <c r="O4192" s="20">
        <v>0</v>
      </c>
      <c r="P4192" s="20">
        <v>0</v>
      </c>
      <c r="Q4192" s="20">
        <v>0</v>
      </c>
      <c r="R4192" s="21">
        <v>1</v>
      </c>
      <c r="S4192" s="20">
        <v>0</v>
      </c>
    </row>
    <row r="4193" spans="2:19" ht="15" customHeight="1" x14ac:dyDescent="0.25">
      <c r="B4193" s="2" t="str">
        <f t="shared" si="130"/>
        <v>PGL_Income Eligible_Multi-Family_Whole Building - Public Housing_Pipe Insulation_HW Small 1" to 2"_MF/CI/SMB</v>
      </c>
      <c r="C4193" s="2" t="str">
        <f t="shared" si="131"/>
        <v>PGL_Income Eligible_Multi-Family_Whole Building - Public Housing_Pipe Insulation_HW Small 1" to 2"_MF/CI/SMB_2022</v>
      </c>
      <c r="D4193" s="19" t="s">
        <v>1794</v>
      </c>
      <c r="E4193" s="19" t="s">
        <v>325</v>
      </c>
      <c r="F4193" s="19" t="s">
        <v>1422</v>
      </c>
      <c r="G4193" s="19" t="s">
        <v>1817</v>
      </c>
      <c r="H4193" s="19" t="s">
        <v>404</v>
      </c>
      <c r="I4193" s="19" t="s">
        <v>953</v>
      </c>
      <c r="J4193" s="19">
        <v>0</v>
      </c>
      <c r="K4193" s="19" t="s">
        <v>662</v>
      </c>
      <c r="L4193" s="19">
        <v>2022</v>
      </c>
      <c r="M4193" s="20">
        <v>75</v>
      </c>
      <c r="N4193" s="19" t="s">
        <v>616</v>
      </c>
      <c r="O4193" s="20">
        <v>0</v>
      </c>
      <c r="P4193" s="20">
        <v>0</v>
      </c>
      <c r="Q4193" s="20">
        <v>0</v>
      </c>
      <c r="R4193" s="21">
        <v>1</v>
      </c>
      <c r="S4193" s="20">
        <v>0</v>
      </c>
    </row>
    <row r="4194" spans="2:19" ht="15" customHeight="1" x14ac:dyDescent="0.25">
      <c r="B4194" s="2" t="str">
        <f t="shared" si="130"/>
        <v>PGL_Income Eligible_Multi-Family_Whole Building - Public Housing_Pipe Insulation_HW Small 1" to 2"_MF/CI/SMB</v>
      </c>
      <c r="C4194" s="2" t="str">
        <f t="shared" si="131"/>
        <v>PGL_Income Eligible_Multi-Family_Whole Building - Public Housing_Pipe Insulation_HW Small 1" to 2"_MF/CI/SMB_2023</v>
      </c>
      <c r="D4194" s="19" t="s">
        <v>1794</v>
      </c>
      <c r="E4194" s="19" t="s">
        <v>325</v>
      </c>
      <c r="F4194" s="19" t="s">
        <v>1422</v>
      </c>
      <c r="G4194" s="19" t="s">
        <v>1817</v>
      </c>
      <c r="H4194" s="19" t="s">
        <v>404</v>
      </c>
      <c r="I4194" s="19" t="s">
        <v>953</v>
      </c>
      <c r="J4194" s="19">
        <v>0</v>
      </c>
      <c r="K4194" s="19" t="s">
        <v>662</v>
      </c>
      <c r="L4194" s="19">
        <v>2023</v>
      </c>
      <c r="M4194" s="20">
        <v>75</v>
      </c>
      <c r="N4194" s="19" t="s">
        <v>616</v>
      </c>
      <c r="O4194" s="20">
        <v>0</v>
      </c>
      <c r="P4194" s="20">
        <v>0</v>
      </c>
      <c r="Q4194" s="20">
        <v>0</v>
      </c>
      <c r="R4194" s="21">
        <v>1</v>
      </c>
      <c r="S4194" s="20">
        <v>0</v>
      </c>
    </row>
    <row r="4195" spans="2:19" ht="15" customHeight="1" x14ac:dyDescent="0.25">
      <c r="B4195" s="2" t="str">
        <f t="shared" si="130"/>
        <v>PGL_Income Eligible_Multi-Family_Whole Building - Public Housing_Pipe Insulation_HW Small 1" to 2"_MF/CI/SMB</v>
      </c>
      <c r="C4195" s="2" t="str">
        <f t="shared" si="131"/>
        <v>PGL_Income Eligible_Multi-Family_Whole Building - Public Housing_Pipe Insulation_HW Small 1" to 2"_MF/CI/SMB_2024</v>
      </c>
      <c r="D4195" s="19" t="s">
        <v>1794</v>
      </c>
      <c r="E4195" s="19" t="s">
        <v>325</v>
      </c>
      <c r="F4195" s="19" t="s">
        <v>1422</v>
      </c>
      <c r="G4195" s="19" t="s">
        <v>1817</v>
      </c>
      <c r="H4195" s="19" t="s">
        <v>404</v>
      </c>
      <c r="I4195" s="19" t="s">
        <v>953</v>
      </c>
      <c r="J4195" s="19">
        <v>0</v>
      </c>
      <c r="K4195" s="19" t="s">
        <v>662</v>
      </c>
      <c r="L4195" s="19">
        <v>2024</v>
      </c>
      <c r="M4195" s="20">
        <v>75</v>
      </c>
      <c r="N4195" s="19" t="s">
        <v>616</v>
      </c>
      <c r="O4195" s="20">
        <v>0</v>
      </c>
      <c r="P4195" s="20">
        <v>0</v>
      </c>
      <c r="Q4195" s="20">
        <v>0</v>
      </c>
      <c r="R4195" s="21">
        <v>1</v>
      </c>
      <c r="S4195" s="20">
        <v>0</v>
      </c>
    </row>
    <row r="4196" spans="2:19" ht="15" customHeight="1" x14ac:dyDescent="0.25">
      <c r="B4196" s="2" t="str">
        <f t="shared" si="130"/>
        <v>PGL_Income Eligible_Multi-Family_Whole Building - Public Housing_Pipe Insulation_HW Small 1" to 2"_MF/CI/SMB</v>
      </c>
      <c r="C4196" s="2" t="str">
        <f t="shared" si="131"/>
        <v>PGL_Income Eligible_Multi-Family_Whole Building - Public Housing_Pipe Insulation_HW Small 1" to 2"_MF/CI/SMB_2025</v>
      </c>
      <c r="D4196" s="19" t="s">
        <v>1794</v>
      </c>
      <c r="E4196" s="19" t="s">
        <v>325</v>
      </c>
      <c r="F4196" s="19" t="s">
        <v>1422</v>
      </c>
      <c r="G4196" s="19" t="s">
        <v>1817</v>
      </c>
      <c r="H4196" s="19" t="s">
        <v>404</v>
      </c>
      <c r="I4196" s="19" t="s">
        <v>953</v>
      </c>
      <c r="J4196" s="19">
        <v>0</v>
      </c>
      <c r="K4196" s="19" t="s">
        <v>662</v>
      </c>
      <c r="L4196" s="19">
        <v>2025</v>
      </c>
      <c r="M4196" s="20">
        <v>75</v>
      </c>
      <c r="N4196" s="19" t="s">
        <v>616</v>
      </c>
      <c r="O4196" s="20">
        <v>0</v>
      </c>
      <c r="P4196" s="20">
        <v>0</v>
      </c>
      <c r="Q4196" s="20">
        <v>0</v>
      </c>
      <c r="R4196" s="21">
        <v>1</v>
      </c>
      <c r="S4196" s="20">
        <v>0</v>
      </c>
    </row>
    <row r="4197" spans="2:19" ht="15" customHeight="1" x14ac:dyDescent="0.25">
      <c r="B4197" s="2" t="str">
        <f t="shared" si="130"/>
        <v>PGL_Income Eligible_Multi-Family_Whole Building - Public Housing_Pipe Insulation_HW Medium 2.1" to 4"_MF/CI/SMB</v>
      </c>
      <c r="C4197" s="2" t="str">
        <f t="shared" si="131"/>
        <v>PGL_Income Eligible_Multi-Family_Whole Building - Public Housing_Pipe Insulation_HW Medium 2.1" to 4"_MF/CI/SMB_2022</v>
      </c>
      <c r="D4197" s="19" t="s">
        <v>1794</v>
      </c>
      <c r="E4197" s="19" t="s">
        <v>325</v>
      </c>
      <c r="F4197" s="19" t="s">
        <v>1422</v>
      </c>
      <c r="G4197" s="19" t="s">
        <v>1817</v>
      </c>
      <c r="H4197" s="19" t="s">
        <v>404</v>
      </c>
      <c r="I4197" s="19" t="s">
        <v>954</v>
      </c>
      <c r="J4197" s="19">
        <v>0</v>
      </c>
      <c r="K4197" s="19" t="s">
        <v>662</v>
      </c>
      <c r="L4197" s="19">
        <v>2022</v>
      </c>
      <c r="M4197" s="20">
        <v>75</v>
      </c>
      <c r="N4197" s="19" t="s">
        <v>616</v>
      </c>
      <c r="O4197" s="20">
        <v>0</v>
      </c>
      <c r="P4197" s="20">
        <v>0</v>
      </c>
      <c r="Q4197" s="20">
        <v>0</v>
      </c>
      <c r="R4197" s="21">
        <v>1</v>
      </c>
      <c r="S4197" s="20">
        <v>0</v>
      </c>
    </row>
    <row r="4198" spans="2:19" ht="15" customHeight="1" x14ac:dyDescent="0.25">
      <c r="B4198" s="2" t="str">
        <f t="shared" si="130"/>
        <v>PGL_Income Eligible_Multi-Family_Whole Building - Public Housing_Pipe Insulation_HW Medium 2.1" to 4"_MF/CI/SMB</v>
      </c>
      <c r="C4198" s="2" t="str">
        <f t="shared" si="131"/>
        <v>PGL_Income Eligible_Multi-Family_Whole Building - Public Housing_Pipe Insulation_HW Medium 2.1" to 4"_MF/CI/SMB_2023</v>
      </c>
      <c r="D4198" s="19" t="s">
        <v>1794</v>
      </c>
      <c r="E4198" s="19" t="s">
        <v>325</v>
      </c>
      <c r="F4198" s="19" t="s">
        <v>1422</v>
      </c>
      <c r="G4198" s="19" t="s">
        <v>1817</v>
      </c>
      <c r="H4198" s="19" t="s">
        <v>404</v>
      </c>
      <c r="I4198" s="19" t="s">
        <v>954</v>
      </c>
      <c r="J4198" s="19">
        <v>0</v>
      </c>
      <c r="K4198" s="19" t="s">
        <v>662</v>
      </c>
      <c r="L4198" s="19">
        <v>2023</v>
      </c>
      <c r="M4198" s="20">
        <v>75</v>
      </c>
      <c r="N4198" s="19" t="s">
        <v>616</v>
      </c>
      <c r="O4198" s="20">
        <v>0</v>
      </c>
      <c r="P4198" s="20">
        <v>0</v>
      </c>
      <c r="Q4198" s="20">
        <v>0</v>
      </c>
      <c r="R4198" s="21">
        <v>1</v>
      </c>
      <c r="S4198" s="20">
        <v>0</v>
      </c>
    </row>
    <row r="4199" spans="2:19" ht="15" customHeight="1" x14ac:dyDescent="0.25">
      <c r="B4199" s="2" t="str">
        <f t="shared" si="130"/>
        <v>PGL_Income Eligible_Multi-Family_Whole Building - Public Housing_Pipe Insulation_HW Medium 2.1" to 4"_MF/CI/SMB</v>
      </c>
      <c r="C4199" s="2" t="str">
        <f t="shared" si="131"/>
        <v>PGL_Income Eligible_Multi-Family_Whole Building - Public Housing_Pipe Insulation_HW Medium 2.1" to 4"_MF/CI/SMB_2024</v>
      </c>
      <c r="D4199" s="19" t="s">
        <v>1794</v>
      </c>
      <c r="E4199" s="19" t="s">
        <v>325</v>
      </c>
      <c r="F4199" s="19" t="s">
        <v>1422</v>
      </c>
      <c r="G4199" s="19" t="s">
        <v>1817</v>
      </c>
      <c r="H4199" s="19" t="s">
        <v>404</v>
      </c>
      <c r="I4199" s="19" t="s">
        <v>954</v>
      </c>
      <c r="J4199" s="19">
        <v>0</v>
      </c>
      <c r="K4199" s="19" t="s">
        <v>662</v>
      </c>
      <c r="L4199" s="19">
        <v>2024</v>
      </c>
      <c r="M4199" s="20">
        <v>75</v>
      </c>
      <c r="N4199" s="19" t="s">
        <v>616</v>
      </c>
      <c r="O4199" s="20">
        <v>0</v>
      </c>
      <c r="P4199" s="20">
        <v>0</v>
      </c>
      <c r="Q4199" s="20">
        <v>0</v>
      </c>
      <c r="R4199" s="21">
        <v>1</v>
      </c>
      <c r="S4199" s="20">
        <v>0</v>
      </c>
    </row>
    <row r="4200" spans="2:19" ht="15" customHeight="1" x14ac:dyDescent="0.25">
      <c r="B4200" s="2" t="str">
        <f t="shared" si="130"/>
        <v>PGL_Income Eligible_Multi-Family_Whole Building - Public Housing_Pipe Insulation_HW Medium 2.1" to 4"_MF/CI/SMB</v>
      </c>
      <c r="C4200" s="2" t="str">
        <f t="shared" si="131"/>
        <v>PGL_Income Eligible_Multi-Family_Whole Building - Public Housing_Pipe Insulation_HW Medium 2.1" to 4"_MF/CI/SMB_2025</v>
      </c>
      <c r="D4200" s="19" t="s">
        <v>1794</v>
      </c>
      <c r="E4200" s="19" t="s">
        <v>325</v>
      </c>
      <c r="F4200" s="19" t="s">
        <v>1422</v>
      </c>
      <c r="G4200" s="19" t="s">
        <v>1817</v>
      </c>
      <c r="H4200" s="19" t="s">
        <v>404</v>
      </c>
      <c r="I4200" s="19" t="s">
        <v>954</v>
      </c>
      <c r="J4200" s="19">
        <v>0</v>
      </c>
      <c r="K4200" s="19" t="s">
        <v>662</v>
      </c>
      <c r="L4200" s="19">
        <v>2025</v>
      </c>
      <c r="M4200" s="20">
        <v>75</v>
      </c>
      <c r="N4200" s="19" t="s">
        <v>616</v>
      </c>
      <c r="O4200" s="20">
        <v>0</v>
      </c>
      <c r="P4200" s="20">
        <v>0</v>
      </c>
      <c r="Q4200" s="20">
        <v>0</v>
      </c>
      <c r="R4200" s="21">
        <v>1</v>
      </c>
      <c r="S4200" s="20">
        <v>0</v>
      </c>
    </row>
    <row r="4201" spans="2:19" ht="15" customHeight="1" x14ac:dyDescent="0.25">
      <c r="B4201" s="2" t="str">
        <f t="shared" si="130"/>
        <v>PGL_Income Eligible_Multi-Family_Whole Building - Public Housing_Pipe Insulation_HW Large &gt;4"_MF/CI/SMB</v>
      </c>
      <c r="C4201" s="2" t="str">
        <f t="shared" si="131"/>
        <v>PGL_Income Eligible_Multi-Family_Whole Building - Public Housing_Pipe Insulation_HW Large &gt;4"_MF/CI/SMB_2022</v>
      </c>
      <c r="D4201" s="19" t="s">
        <v>1794</v>
      </c>
      <c r="E4201" s="19" t="s">
        <v>325</v>
      </c>
      <c r="F4201" s="19" t="s">
        <v>1422</v>
      </c>
      <c r="G4201" s="19" t="s">
        <v>1817</v>
      </c>
      <c r="H4201" s="19" t="s">
        <v>404</v>
      </c>
      <c r="I4201" s="19" t="s">
        <v>955</v>
      </c>
      <c r="J4201" s="19">
        <v>0</v>
      </c>
      <c r="K4201" s="19" t="s">
        <v>662</v>
      </c>
      <c r="L4201" s="19">
        <v>2022</v>
      </c>
      <c r="M4201" s="20">
        <v>75</v>
      </c>
      <c r="N4201" s="19" t="s">
        <v>616</v>
      </c>
      <c r="O4201" s="20">
        <v>0</v>
      </c>
      <c r="P4201" s="20">
        <v>0</v>
      </c>
      <c r="Q4201" s="20">
        <v>0</v>
      </c>
      <c r="R4201" s="21">
        <v>1</v>
      </c>
      <c r="S4201" s="20">
        <v>0</v>
      </c>
    </row>
    <row r="4202" spans="2:19" ht="15" customHeight="1" x14ac:dyDescent="0.25">
      <c r="B4202" s="2" t="str">
        <f t="shared" si="130"/>
        <v>PGL_Income Eligible_Multi-Family_Whole Building - Public Housing_Pipe Insulation_HW Large &gt;4"_MF/CI/SMB</v>
      </c>
      <c r="C4202" s="2" t="str">
        <f t="shared" si="131"/>
        <v>PGL_Income Eligible_Multi-Family_Whole Building - Public Housing_Pipe Insulation_HW Large &gt;4"_MF/CI/SMB_2023</v>
      </c>
      <c r="D4202" s="19" t="s">
        <v>1794</v>
      </c>
      <c r="E4202" s="19" t="s">
        <v>325</v>
      </c>
      <c r="F4202" s="19" t="s">
        <v>1422</v>
      </c>
      <c r="G4202" s="19" t="s">
        <v>1817</v>
      </c>
      <c r="H4202" s="19" t="s">
        <v>404</v>
      </c>
      <c r="I4202" s="19" t="s">
        <v>955</v>
      </c>
      <c r="J4202" s="19">
        <v>0</v>
      </c>
      <c r="K4202" s="19" t="s">
        <v>662</v>
      </c>
      <c r="L4202" s="19">
        <v>2023</v>
      </c>
      <c r="M4202" s="20">
        <v>75</v>
      </c>
      <c r="N4202" s="19" t="s">
        <v>616</v>
      </c>
      <c r="O4202" s="20">
        <v>0</v>
      </c>
      <c r="P4202" s="20">
        <v>0</v>
      </c>
      <c r="Q4202" s="20">
        <v>0</v>
      </c>
      <c r="R4202" s="21">
        <v>1</v>
      </c>
      <c r="S4202" s="20">
        <v>0</v>
      </c>
    </row>
    <row r="4203" spans="2:19" ht="15" customHeight="1" x14ac:dyDescent="0.25">
      <c r="B4203" s="2" t="str">
        <f t="shared" si="130"/>
        <v>PGL_Income Eligible_Multi-Family_Whole Building - Public Housing_Pipe Insulation_HW Large &gt;4"_MF/CI/SMB</v>
      </c>
      <c r="C4203" s="2" t="str">
        <f t="shared" si="131"/>
        <v>PGL_Income Eligible_Multi-Family_Whole Building - Public Housing_Pipe Insulation_HW Large &gt;4"_MF/CI/SMB_2024</v>
      </c>
      <c r="D4203" s="19" t="s">
        <v>1794</v>
      </c>
      <c r="E4203" s="19" t="s">
        <v>325</v>
      </c>
      <c r="F4203" s="19" t="s">
        <v>1422</v>
      </c>
      <c r="G4203" s="19" t="s">
        <v>1817</v>
      </c>
      <c r="H4203" s="19" t="s">
        <v>404</v>
      </c>
      <c r="I4203" s="19" t="s">
        <v>955</v>
      </c>
      <c r="J4203" s="19">
        <v>0</v>
      </c>
      <c r="K4203" s="19" t="s">
        <v>662</v>
      </c>
      <c r="L4203" s="19">
        <v>2024</v>
      </c>
      <c r="M4203" s="20">
        <v>75</v>
      </c>
      <c r="N4203" s="19" t="s">
        <v>616</v>
      </c>
      <c r="O4203" s="20">
        <v>0</v>
      </c>
      <c r="P4203" s="20">
        <v>0</v>
      </c>
      <c r="Q4203" s="20">
        <v>0</v>
      </c>
      <c r="R4203" s="21">
        <v>1</v>
      </c>
      <c r="S4203" s="20">
        <v>0</v>
      </c>
    </row>
    <row r="4204" spans="2:19" ht="15" customHeight="1" x14ac:dyDescent="0.25">
      <c r="B4204" s="2" t="str">
        <f t="shared" si="130"/>
        <v>PGL_Income Eligible_Multi-Family_Whole Building - Public Housing_Pipe Insulation_HW Large &gt;4"_MF/CI/SMB</v>
      </c>
      <c r="C4204" s="2" t="str">
        <f t="shared" si="131"/>
        <v>PGL_Income Eligible_Multi-Family_Whole Building - Public Housing_Pipe Insulation_HW Large &gt;4"_MF/CI/SMB_2025</v>
      </c>
      <c r="D4204" s="19" t="s">
        <v>1794</v>
      </c>
      <c r="E4204" s="19" t="s">
        <v>325</v>
      </c>
      <c r="F4204" s="19" t="s">
        <v>1422</v>
      </c>
      <c r="G4204" s="19" t="s">
        <v>1817</v>
      </c>
      <c r="H4204" s="19" t="s">
        <v>404</v>
      </c>
      <c r="I4204" s="19" t="s">
        <v>955</v>
      </c>
      <c r="J4204" s="19">
        <v>0</v>
      </c>
      <c r="K4204" s="19" t="s">
        <v>662</v>
      </c>
      <c r="L4204" s="19">
        <v>2025</v>
      </c>
      <c r="M4204" s="20">
        <v>75</v>
      </c>
      <c r="N4204" s="19" t="s">
        <v>616</v>
      </c>
      <c r="O4204" s="20">
        <v>0</v>
      </c>
      <c r="P4204" s="20">
        <v>0</v>
      </c>
      <c r="Q4204" s="20">
        <v>0</v>
      </c>
      <c r="R4204" s="21">
        <v>1</v>
      </c>
      <c r="S4204" s="20">
        <v>0</v>
      </c>
    </row>
    <row r="4205" spans="2:19" ht="15" customHeight="1" x14ac:dyDescent="0.25">
      <c r="B4205" s="2" t="str">
        <f t="shared" si="130"/>
        <v>PGL_Income Eligible_Multi-Family_Whole Building - Public Housing_Pipe Insulation_Steam - Small 1" to 2"_MF</v>
      </c>
      <c r="C4205" s="2" t="str">
        <f t="shared" si="131"/>
        <v>PGL_Income Eligible_Multi-Family_Whole Building - Public Housing_Pipe Insulation_Steam - Small 1" to 2"_MF_2022</v>
      </c>
      <c r="D4205" s="19" t="s">
        <v>1794</v>
      </c>
      <c r="E4205" s="19" t="s">
        <v>325</v>
      </c>
      <c r="F4205" s="19" t="s">
        <v>1422</v>
      </c>
      <c r="G4205" s="19" t="s">
        <v>1817</v>
      </c>
      <c r="H4205" s="19" t="s">
        <v>404</v>
      </c>
      <c r="I4205" s="19" t="s">
        <v>956</v>
      </c>
      <c r="J4205" s="19">
        <v>0</v>
      </c>
      <c r="K4205" s="19" t="s">
        <v>553</v>
      </c>
      <c r="L4205" s="19">
        <v>2022</v>
      </c>
      <c r="M4205" s="20">
        <v>75</v>
      </c>
      <c r="N4205" s="19" t="s">
        <v>616</v>
      </c>
      <c r="O4205" s="20">
        <v>0</v>
      </c>
      <c r="P4205" s="20">
        <v>0</v>
      </c>
      <c r="Q4205" s="20">
        <v>0</v>
      </c>
      <c r="R4205" s="21">
        <v>1</v>
      </c>
      <c r="S4205" s="20">
        <v>0</v>
      </c>
    </row>
    <row r="4206" spans="2:19" ht="15" customHeight="1" x14ac:dyDescent="0.25">
      <c r="B4206" s="2" t="str">
        <f t="shared" si="130"/>
        <v>PGL_Income Eligible_Multi-Family_Whole Building - Public Housing_Pipe Insulation_Steam - Small 1" to 2"_MF</v>
      </c>
      <c r="C4206" s="2" t="str">
        <f t="shared" si="131"/>
        <v>PGL_Income Eligible_Multi-Family_Whole Building - Public Housing_Pipe Insulation_Steam - Small 1" to 2"_MF_2023</v>
      </c>
      <c r="D4206" s="19" t="s">
        <v>1794</v>
      </c>
      <c r="E4206" s="19" t="s">
        <v>325</v>
      </c>
      <c r="F4206" s="19" t="s">
        <v>1422</v>
      </c>
      <c r="G4206" s="19" t="s">
        <v>1817</v>
      </c>
      <c r="H4206" s="19" t="s">
        <v>404</v>
      </c>
      <c r="I4206" s="19" t="s">
        <v>956</v>
      </c>
      <c r="J4206" s="19">
        <v>0</v>
      </c>
      <c r="K4206" s="19" t="s">
        <v>553</v>
      </c>
      <c r="L4206" s="19">
        <v>2023</v>
      </c>
      <c r="M4206" s="20">
        <v>75</v>
      </c>
      <c r="N4206" s="19" t="s">
        <v>616</v>
      </c>
      <c r="O4206" s="20">
        <v>0</v>
      </c>
      <c r="P4206" s="20">
        <v>0</v>
      </c>
      <c r="Q4206" s="20">
        <v>0</v>
      </c>
      <c r="R4206" s="21">
        <v>1</v>
      </c>
      <c r="S4206" s="20">
        <v>0</v>
      </c>
    </row>
    <row r="4207" spans="2:19" ht="15" customHeight="1" x14ac:dyDescent="0.25">
      <c r="B4207" s="2" t="str">
        <f t="shared" si="130"/>
        <v>PGL_Income Eligible_Multi-Family_Whole Building - Public Housing_Pipe Insulation_Steam - Small 1" to 2"_MF</v>
      </c>
      <c r="C4207" s="2" t="str">
        <f t="shared" si="131"/>
        <v>PGL_Income Eligible_Multi-Family_Whole Building - Public Housing_Pipe Insulation_Steam - Small 1" to 2"_MF_2024</v>
      </c>
      <c r="D4207" s="19" t="s">
        <v>1794</v>
      </c>
      <c r="E4207" s="19" t="s">
        <v>325</v>
      </c>
      <c r="F4207" s="19" t="s">
        <v>1422</v>
      </c>
      <c r="G4207" s="19" t="s">
        <v>1817</v>
      </c>
      <c r="H4207" s="19" t="s">
        <v>404</v>
      </c>
      <c r="I4207" s="19" t="s">
        <v>956</v>
      </c>
      <c r="J4207" s="19">
        <v>0</v>
      </c>
      <c r="K4207" s="19" t="s">
        <v>553</v>
      </c>
      <c r="L4207" s="19">
        <v>2024</v>
      </c>
      <c r="M4207" s="20">
        <v>75</v>
      </c>
      <c r="N4207" s="19" t="s">
        <v>616</v>
      </c>
      <c r="O4207" s="20">
        <v>0</v>
      </c>
      <c r="P4207" s="20">
        <v>0</v>
      </c>
      <c r="Q4207" s="20">
        <v>0</v>
      </c>
      <c r="R4207" s="21">
        <v>1</v>
      </c>
      <c r="S4207" s="20">
        <v>0</v>
      </c>
    </row>
    <row r="4208" spans="2:19" ht="15" customHeight="1" x14ac:dyDescent="0.25">
      <c r="B4208" s="2" t="str">
        <f t="shared" si="130"/>
        <v>PGL_Income Eligible_Multi-Family_Whole Building - Public Housing_Pipe Insulation_Steam - Small 1" to 2"_MF</v>
      </c>
      <c r="C4208" s="2" t="str">
        <f t="shared" si="131"/>
        <v>PGL_Income Eligible_Multi-Family_Whole Building - Public Housing_Pipe Insulation_Steam - Small 1" to 2"_MF_2025</v>
      </c>
      <c r="D4208" s="19" t="s">
        <v>1794</v>
      </c>
      <c r="E4208" s="19" t="s">
        <v>325</v>
      </c>
      <c r="F4208" s="19" t="s">
        <v>1422</v>
      </c>
      <c r="G4208" s="19" t="s">
        <v>1817</v>
      </c>
      <c r="H4208" s="19" t="s">
        <v>404</v>
      </c>
      <c r="I4208" s="19" t="s">
        <v>956</v>
      </c>
      <c r="J4208" s="19">
        <v>0</v>
      </c>
      <c r="K4208" s="19" t="s">
        <v>553</v>
      </c>
      <c r="L4208" s="19">
        <v>2025</v>
      </c>
      <c r="M4208" s="20">
        <v>75</v>
      </c>
      <c r="N4208" s="19" t="s">
        <v>616</v>
      </c>
      <c r="O4208" s="20">
        <v>0</v>
      </c>
      <c r="P4208" s="20">
        <v>0</v>
      </c>
      <c r="Q4208" s="20">
        <v>0</v>
      </c>
      <c r="R4208" s="21">
        <v>1</v>
      </c>
      <c r="S4208" s="20">
        <v>0</v>
      </c>
    </row>
    <row r="4209" spans="2:19" ht="15" customHeight="1" x14ac:dyDescent="0.25">
      <c r="B4209" s="2" t="str">
        <f t="shared" si="130"/>
        <v>PGL_Income Eligible_Multi-Family_Whole Building - Public Housing_Pipe Insulation_Steam - Med 2.1" to 5"_MF</v>
      </c>
      <c r="C4209" s="2" t="str">
        <f t="shared" si="131"/>
        <v>PGL_Income Eligible_Multi-Family_Whole Building - Public Housing_Pipe Insulation_Steam - Med 2.1" to 5"_MF_2022</v>
      </c>
      <c r="D4209" s="19" t="s">
        <v>1794</v>
      </c>
      <c r="E4209" s="19" t="s">
        <v>325</v>
      </c>
      <c r="F4209" s="19" t="s">
        <v>1422</v>
      </c>
      <c r="G4209" s="19" t="s">
        <v>1817</v>
      </c>
      <c r="H4209" s="19" t="s">
        <v>404</v>
      </c>
      <c r="I4209" s="19" t="s">
        <v>957</v>
      </c>
      <c r="J4209" s="19">
        <v>0</v>
      </c>
      <c r="K4209" s="19" t="s">
        <v>553</v>
      </c>
      <c r="L4209" s="19">
        <v>2022</v>
      </c>
      <c r="M4209" s="20">
        <v>75</v>
      </c>
      <c r="N4209" s="19" t="s">
        <v>616</v>
      </c>
      <c r="O4209" s="20">
        <v>0</v>
      </c>
      <c r="P4209" s="20">
        <v>0</v>
      </c>
      <c r="Q4209" s="20">
        <v>0</v>
      </c>
      <c r="R4209" s="21">
        <v>1</v>
      </c>
      <c r="S4209" s="20">
        <v>0</v>
      </c>
    </row>
    <row r="4210" spans="2:19" ht="15" customHeight="1" x14ac:dyDescent="0.25">
      <c r="B4210" s="2" t="str">
        <f t="shared" si="130"/>
        <v>PGL_Income Eligible_Multi-Family_Whole Building - Public Housing_Pipe Insulation_Steam - Med 2.1" to 5"_MF</v>
      </c>
      <c r="C4210" s="2" t="str">
        <f t="shared" si="131"/>
        <v>PGL_Income Eligible_Multi-Family_Whole Building - Public Housing_Pipe Insulation_Steam - Med 2.1" to 5"_MF_2023</v>
      </c>
      <c r="D4210" s="19" t="s">
        <v>1794</v>
      </c>
      <c r="E4210" s="19" t="s">
        <v>325</v>
      </c>
      <c r="F4210" s="19" t="s">
        <v>1422</v>
      </c>
      <c r="G4210" s="19" t="s">
        <v>1817</v>
      </c>
      <c r="H4210" s="19" t="s">
        <v>404</v>
      </c>
      <c r="I4210" s="19" t="s">
        <v>957</v>
      </c>
      <c r="J4210" s="19">
        <v>0</v>
      </c>
      <c r="K4210" s="19" t="s">
        <v>553</v>
      </c>
      <c r="L4210" s="19">
        <v>2023</v>
      </c>
      <c r="M4210" s="20">
        <v>75</v>
      </c>
      <c r="N4210" s="19" t="s">
        <v>616</v>
      </c>
      <c r="O4210" s="20">
        <v>0</v>
      </c>
      <c r="P4210" s="20">
        <v>0</v>
      </c>
      <c r="Q4210" s="20">
        <v>0</v>
      </c>
      <c r="R4210" s="21">
        <v>1</v>
      </c>
      <c r="S4210" s="20">
        <v>0</v>
      </c>
    </row>
    <row r="4211" spans="2:19" ht="15" customHeight="1" x14ac:dyDescent="0.25">
      <c r="B4211" s="2" t="str">
        <f t="shared" si="130"/>
        <v>PGL_Income Eligible_Multi-Family_Whole Building - Public Housing_Pipe Insulation_Steam - Med 2.1" to 5"_MF</v>
      </c>
      <c r="C4211" s="2" t="str">
        <f t="shared" si="131"/>
        <v>PGL_Income Eligible_Multi-Family_Whole Building - Public Housing_Pipe Insulation_Steam - Med 2.1" to 5"_MF_2024</v>
      </c>
      <c r="D4211" s="19" t="s">
        <v>1794</v>
      </c>
      <c r="E4211" s="19" t="s">
        <v>325</v>
      </c>
      <c r="F4211" s="19" t="s">
        <v>1422</v>
      </c>
      <c r="G4211" s="19" t="s">
        <v>1817</v>
      </c>
      <c r="H4211" s="19" t="s">
        <v>404</v>
      </c>
      <c r="I4211" s="19" t="s">
        <v>957</v>
      </c>
      <c r="J4211" s="19">
        <v>0</v>
      </c>
      <c r="K4211" s="19" t="s">
        <v>553</v>
      </c>
      <c r="L4211" s="19">
        <v>2024</v>
      </c>
      <c r="M4211" s="20">
        <v>75</v>
      </c>
      <c r="N4211" s="19" t="s">
        <v>616</v>
      </c>
      <c r="O4211" s="20">
        <v>0</v>
      </c>
      <c r="P4211" s="20">
        <v>0</v>
      </c>
      <c r="Q4211" s="20">
        <v>0</v>
      </c>
      <c r="R4211" s="21">
        <v>1</v>
      </c>
      <c r="S4211" s="20">
        <v>0</v>
      </c>
    </row>
    <row r="4212" spans="2:19" ht="15" customHeight="1" x14ac:dyDescent="0.25">
      <c r="B4212" s="2" t="str">
        <f t="shared" si="130"/>
        <v>PGL_Income Eligible_Multi-Family_Whole Building - Public Housing_Pipe Insulation_Steam - Med 2.1" to 5"_MF</v>
      </c>
      <c r="C4212" s="2" t="str">
        <f t="shared" si="131"/>
        <v>PGL_Income Eligible_Multi-Family_Whole Building - Public Housing_Pipe Insulation_Steam - Med 2.1" to 5"_MF_2025</v>
      </c>
      <c r="D4212" s="19" t="s">
        <v>1794</v>
      </c>
      <c r="E4212" s="19" t="s">
        <v>325</v>
      </c>
      <c r="F4212" s="19" t="s">
        <v>1422</v>
      </c>
      <c r="G4212" s="19" t="s">
        <v>1817</v>
      </c>
      <c r="H4212" s="19" t="s">
        <v>404</v>
      </c>
      <c r="I4212" s="19" t="s">
        <v>957</v>
      </c>
      <c r="J4212" s="19">
        <v>0</v>
      </c>
      <c r="K4212" s="19" t="s">
        <v>553</v>
      </c>
      <c r="L4212" s="19">
        <v>2025</v>
      </c>
      <c r="M4212" s="20">
        <v>75</v>
      </c>
      <c r="N4212" s="19" t="s">
        <v>616</v>
      </c>
      <c r="O4212" s="20">
        <v>0</v>
      </c>
      <c r="P4212" s="20">
        <v>0</v>
      </c>
      <c r="Q4212" s="20">
        <v>0</v>
      </c>
      <c r="R4212" s="21">
        <v>1</v>
      </c>
      <c r="S4212" s="20">
        <v>0</v>
      </c>
    </row>
    <row r="4213" spans="2:19" ht="15" customHeight="1" x14ac:dyDescent="0.25">
      <c r="B4213" s="2" t="str">
        <f t="shared" si="130"/>
        <v>PGL_Income Eligible_Multi-Family_Whole Building - Public Housing_Pipe Insulation_Steam - Large 5.1" to 8"_MF</v>
      </c>
      <c r="C4213" s="2" t="str">
        <f t="shared" si="131"/>
        <v>PGL_Income Eligible_Multi-Family_Whole Building - Public Housing_Pipe Insulation_Steam - Large 5.1" to 8"_MF_2022</v>
      </c>
      <c r="D4213" s="19" t="s">
        <v>1794</v>
      </c>
      <c r="E4213" s="19" t="s">
        <v>325</v>
      </c>
      <c r="F4213" s="19" t="s">
        <v>1422</v>
      </c>
      <c r="G4213" s="19" t="s">
        <v>1817</v>
      </c>
      <c r="H4213" s="19" t="s">
        <v>404</v>
      </c>
      <c r="I4213" s="19" t="s">
        <v>958</v>
      </c>
      <c r="J4213" s="19">
        <v>0</v>
      </c>
      <c r="K4213" s="19" t="s">
        <v>553</v>
      </c>
      <c r="L4213" s="19">
        <v>2022</v>
      </c>
      <c r="M4213" s="20">
        <v>75</v>
      </c>
      <c r="N4213" s="19" t="s">
        <v>616</v>
      </c>
      <c r="O4213" s="20">
        <v>0</v>
      </c>
      <c r="P4213" s="20">
        <v>0</v>
      </c>
      <c r="Q4213" s="20">
        <v>0</v>
      </c>
      <c r="R4213" s="21">
        <v>1</v>
      </c>
      <c r="S4213" s="20">
        <v>0</v>
      </c>
    </row>
    <row r="4214" spans="2:19" ht="15" customHeight="1" x14ac:dyDescent="0.25">
      <c r="B4214" s="2" t="str">
        <f t="shared" si="130"/>
        <v>PGL_Income Eligible_Multi-Family_Whole Building - Public Housing_Pipe Insulation_Steam - Large 5.1" to 8"_MF</v>
      </c>
      <c r="C4214" s="2" t="str">
        <f t="shared" si="131"/>
        <v>PGL_Income Eligible_Multi-Family_Whole Building - Public Housing_Pipe Insulation_Steam - Large 5.1" to 8"_MF_2023</v>
      </c>
      <c r="D4214" s="19" t="s">
        <v>1794</v>
      </c>
      <c r="E4214" s="19" t="s">
        <v>325</v>
      </c>
      <c r="F4214" s="19" t="s">
        <v>1422</v>
      </c>
      <c r="G4214" s="19" t="s">
        <v>1817</v>
      </c>
      <c r="H4214" s="19" t="s">
        <v>404</v>
      </c>
      <c r="I4214" s="19" t="s">
        <v>958</v>
      </c>
      <c r="J4214" s="19">
        <v>0</v>
      </c>
      <c r="K4214" s="19" t="s">
        <v>553</v>
      </c>
      <c r="L4214" s="19">
        <v>2023</v>
      </c>
      <c r="M4214" s="20">
        <v>75</v>
      </c>
      <c r="N4214" s="19" t="s">
        <v>616</v>
      </c>
      <c r="O4214" s="20">
        <v>0</v>
      </c>
      <c r="P4214" s="20">
        <v>0</v>
      </c>
      <c r="Q4214" s="20">
        <v>0</v>
      </c>
      <c r="R4214" s="21">
        <v>1</v>
      </c>
      <c r="S4214" s="20">
        <v>0</v>
      </c>
    </row>
    <row r="4215" spans="2:19" ht="15" customHeight="1" x14ac:dyDescent="0.25">
      <c r="B4215" s="2" t="str">
        <f t="shared" si="130"/>
        <v>PGL_Income Eligible_Multi-Family_Whole Building - Public Housing_Pipe Insulation_Steam - Large 5.1" to 8"_MF</v>
      </c>
      <c r="C4215" s="2" t="str">
        <f t="shared" si="131"/>
        <v>PGL_Income Eligible_Multi-Family_Whole Building - Public Housing_Pipe Insulation_Steam - Large 5.1" to 8"_MF_2024</v>
      </c>
      <c r="D4215" s="19" t="s">
        <v>1794</v>
      </c>
      <c r="E4215" s="19" t="s">
        <v>325</v>
      </c>
      <c r="F4215" s="19" t="s">
        <v>1422</v>
      </c>
      <c r="G4215" s="19" t="s">
        <v>1817</v>
      </c>
      <c r="H4215" s="19" t="s">
        <v>404</v>
      </c>
      <c r="I4215" s="19" t="s">
        <v>958</v>
      </c>
      <c r="J4215" s="19">
        <v>0</v>
      </c>
      <c r="K4215" s="19" t="s">
        <v>553</v>
      </c>
      <c r="L4215" s="19">
        <v>2024</v>
      </c>
      <c r="M4215" s="20">
        <v>75</v>
      </c>
      <c r="N4215" s="19" t="s">
        <v>616</v>
      </c>
      <c r="O4215" s="20">
        <v>0</v>
      </c>
      <c r="P4215" s="20">
        <v>0</v>
      </c>
      <c r="Q4215" s="20">
        <v>0</v>
      </c>
      <c r="R4215" s="21">
        <v>1</v>
      </c>
      <c r="S4215" s="20">
        <v>0</v>
      </c>
    </row>
    <row r="4216" spans="2:19" ht="15" customHeight="1" x14ac:dyDescent="0.25">
      <c r="B4216" s="2" t="str">
        <f t="shared" si="130"/>
        <v>PGL_Income Eligible_Multi-Family_Whole Building - Public Housing_Pipe Insulation_Steam - Large 5.1" to 8"_MF</v>
      </c>
      <c r="C4216" s="2" t="str">
        <f t="shared" si="131"/>
        <v>PGL_Income Eligible_Multi-Family_Whole Building - Public Housing_Pipe Insulation_Steam - Large 5.1" to 8"_MF_2025</v>
      </c>
      <c r="D4216" s="19" t="s">
        <v>1794</v>
      </c>
      <c r="E4216" s="19" t="s">
        <v>325</v>
      </c>
      <c r="F4216" s="19" t="s">
        <v>1422</v>
      </c>
      <c r="G4216" s="19" t="s">
        <v>1817</v>
      </c>
      <c r="H4216" s="19" t="s">
        <v>404</v>
      </c>
      <c r="I4216" s="19" t="s">
        <v>958</v>
      </c>
      <c r="J4216" s="19">
        <v>0</v>
      </c>
      <c r="K4216" s="19" t="s">
        <v>553</v>
      </c>
      <c r="L4216" s="19">
        <v>2025</v>
      </c>
      <c r="M4216" s="20">
        <v>75</v>
      </c>
      <c r="N4216" s="19" t="s">
        <v>616</v>
      </c>
      <c r="O4216" s="20">
        <v>0</v>
      </c>
      <c r="P4216" s="20">
        <v>0</v>
      </c>
      <c r="Q4216" s="20">
        <v>0</v>
      </c>
      <c r="R4216" s="21">
        <v>1</v>
      </c>
      <c r="S4216" s="20">
        <v>0</v>
      </c>
    </row>
    <row r="4217" spans="2:19" ht="15" customHeight="1" x14ac:dyDescent="0.25">
      <c r="B4217" s="2" t="str">
        <f t="shared" si="130"/>
        <v>PGL_Income Eligible_Multi-Family_Whole Building - Public Housing_Pipe Insulation_Steam - X-Large &gt;8"_MF</v>
      </c>
      <c r="C4217" s="2" t="str">
        <f t="shared" si="131"/>
        <v>PGL_Income Eligible_Multi-Family_Whole Building - Public Housing_Pipe Insulation_Steam - X-Large &gt;8"_MF_2022</v>
      </c>
      <c r="D4217" s="19" t="s">
        <v>1794</v>
      </c>
      <c r="E4217" s="19" t="s">
        <v>325</v>
      </c>
      <c r="F4217" s="19" t="s">
        <v>1422</v>
      </c>
      <c r="G4217" s="19" t="s">
        <v>1817</v>
      </c>
      <c r="H4217" s="19" t="s">
        <v>404</v>
      </c>
      <c r="I4217" s="19" t="s">
        <v>960</v>
      </c>
      <c r="J4217" s="19">
        <v>0</v>
      </c>
      <c r="K4217" s="19" t="s">
        <v>553</v>
      </c>
      <c r="L4217" s="19">
        <v>2022</v>
      </c>
      <c r="M4217" s="20">
        <v>75</v>
      </c>
      <c r="N4217" s="19" t="s">
        <v>616</v>
      </c>
      <c r="O4217" s="20">
        <v>0</v>
      </c>
      <c r="P4217" s="20">
        <v>0</v>
      </c>
      <c r="Q4217" s="20">
        <v>0</v>
      </c>
      <c r="R4217" s="21">
        <v>1</v>
      </c>
      <c r="S4217" s="20">
        <v>0</v>
      </c>
    </row>
    <row r="4218" spans="2:19" ht="15" customHeight="1" x14ac:dyDescent="0.25">
      <c r="B4218" s="2" t="str">
        <f t="shared" si="130"/>
        <v>PGL_Income Eligible_Multi-Family_Whole Building - Public Housing_Pipe Insulation_Steam - X-Large &gt;8"_MF</v>
      </c>
      <c r="C4218" s="2" t="str">
        <f t="shared" si="131"/>
        <v>PGL_Income Eligible_Multi-Family_Whole Building - Public Housing_Pipe Insulation_Steam - X-Large &gt;8"_MF_2023</v>
      </c>
      <c r="D4218" s="19" t="s">
        <v>1794</v>
      </c>
      <c r="E4218" s="19" t="s">
        <v>325</v>
      </c>
      <c r="F4218" s="19" t="s">
        <v>1422</v>
      </c>
      <c r="G4218" s="19" t="s">
        <v>1817</v>
      </c>
      <c r="H4218" s="19" t="s">
        <v>404</v>
      </c>
      <c r="I4218" s="19" t="s">
        <v>960</v>
      </c>
      <c r="J4218" s="19">
        <v>0</v>
      </c>
      <c r="K4218" s="19" t="s">
        <v>553</v>
      </c>
      <c r="L4218" s="19">
        <v>2023</v>
      </c>
      <c r="M4218" s="20">
        <v>75</v>
      </c>
      <c r="N4218" s="19" t="s">
        <v>616</v>
      </c>
      <c r="O4218" s="20">
        <v>0</v>
      </c>
      <c r="P4218" s="20">
        <v>0</v>
      </c>
      <c r="Q4218" s="20">
        <v>0</v>
      </c>
      <c r="R4218" s="21">
        <v>1</v>
      </c>
      <c r="S4218" s="20">
        <v>0</v>
      </c>
    </row>
    <row r="4219" spans="2:19" ht="15" customHeight="1" x14ac:dyDescent="0.25">
      <c r="B4219" s="2" t="str">
        <f t="shared" si="130"/>
        <v>PGL_Income Eligible_Multi-Family_Whole Building - Public Housing_Pipe Insulation_Steam - X-Large &gt;8"_MF</v>
      </c>
      <c r="C4219" s="2" t="str">
        <f t="shared" si="131"/>
        <v>PGL_Income Eligible_Multi-Family_Whole Building - Public Housing_Pipe Insulation_Steam - X-Large &gt;8"_MF_2024</v>
      </c>
      <c r="D4219" s="19" t="s">
        <v>1794</v>
      </c>
      <c r="E4219" s="19" t="s">
        <v>325</v>
      </c>
      <c r="F4219" s="19" t="s">
        <v>1422</v>
      </c>
      <c r="G4219" s="19" t="s">
        <v>1817</v>
      </c>
      <c r="H4219" s="19" t="s">
        <v>404</v>
      </c>
      <c r="I4219" s="19" t="s">
        <v>960</v>
      </c>
      <c r="J4219" s="19">
        <v>0</v>
      </c>
      <c r="K4219" s="19" t="s">
        <v>553</v>
      </c>
      <c r="L4219" s="19">
        <v>2024</v>
      </c>
      <c r="M4219" s="20">
        <v>75</v>
      </c>
      <c r="N4219" s="19" t="s">
        <v>616</v>
      </c>
      <c r="O4219" s="20">
        <v>0</v>
      </c>
      <c r="P4219" s="20">
        <v>0</v>
      </c>
      <c r="Q4219" s="20">
        <v>0</v>
      </c>
      <c r="R4219" s="21">
        <v>1</v>
      </c>
      <c r="S4219" s="20">
        <v>0</v>
      </c>
    </row>
    <row r="4220" spans="2:19" ht="15" customHeight="1" x14ac:dyDescent="0.25">
      <c r="B4220" s="2" t="str">
        <f t="shared" si="130"/>
        <v>PGL_Income Eligible_Multi-Family_Whole Building - Public Housing_Pipe Insulation_Steam - X-Large &gt;8"_MF</v>
      </c>
      <c r="C4220" s="2" t="str">
        <f t="shared" si="131"/>
        <v>PGL_Income Eligible_Multi-Family_Whole Building - Public Housing_Pipe Insulation_Steam - X-Large &gt;8"_MF_2025</v>
      </c>
      <c r="D4220" s="19" t="s">
        <v>1794</v>
      </c>
      <c r="E4220" s="19" t="s">
        <v>325</v>
      </c>
      <c r="F4220" s="19" t="s">
        <v>1422</v>
      </c>
      <c r="G4220" s="19" t="s">
        <v>1817</v>
      </c>
      <c r="H4220" s="19" t="s">
        <v>404</v>
      </c>
      <c r="I4220" s="19" t="s">
        <v>960</v>
      </c>
      <c r="J4220" s="19">
        <v>0</v>
      </c>
      <c r="K4220" s="19" t="s">
        <v>553</v>
      </c>
      <c r="L4220" s="19">
        <v>2025</v>
      </c>
      <c r="M4220" s="20">
        <v>75</v>
      </c>
      <c r="N4220" s="19" t="s">
        <v>616</v>
      </c>
      <c r="O4220" s="20">
        <v>0</v>
      </c>
      <c r="P4220" s="20">
        <v>0</v>
      </c>
      <c r="Q4220" s="20">
        <v>0</v>
      </c>
      <c r="R4220" s="21">
        <v>1</v>
      </c>
      <c r="S4220" s="20">
        <v>0</v>
      </c>
    </row>
    <row r="4221" spans="2:19" ht="15" customHeight="1" x14ac:dyDescent="0.25">
      <c r="B4221" s="2" t="str">
        <f t="shared" si="130"/>
        <v>PGL_Income Eligible_Multi-Family_Whole Building - Public Housing_Pipe Insulation_Steam Small Fitting_MF</v>
      </c>
      <c r="C4221" s="2" t="str">
        <f t="shared" si="131"/>
        <v>PGL_Income Eligible_Multi-Family_Whole Building - Public Housing_Pipe Insulation_Steam Small Fitting_MF_2022</v>
      </c>
      <c r="D4221" s="19" t="s">
        <v>1794</v>
      </c>
      <c r="E4221" s="19" t="s">
        <v>325</v>
      </c>
      <c r="F4221" s="19" t="s">
        <v>1422</v>
      </c>
      <c r="G4221" s="19" t="s">
        <v>1817</v>
      </c>
      <c r="H4221" s="19" t="s">
        <v>404</v>
      </c>
      <c r="I4221" s="19" t="s">
        <v>961</v>
      </c>
      <c r="J4221" s="19">
        <v>0</v>
      </c>
      <c r="K4221" s="19" t="s">
        <v>553</v>
      </c>
      <c r="L4221" s="19">
        <v>2022</v>
      </c>
      <c r="M4221" s="20">
        <v>1</v>
      </c>
      <c r="N4221" s="19" t="s">
        <v>1798</v>
      </c>
      <c r="O4221" s="20">
        <v>0</v>
      </c>
      <c r="P4221" s="20">
        <v>0</v>
      </c>
      <c r="Q4221" s="20">
        <v>0</v>
      </c>
      <c r="R4221" s="21">
        <v>1</v>
      </c>
      <c r="S4221" s="20">
        <v>0</v>
      </c>
    </row>
    <row r="4222" spans="2:19" ht="15" customHeight="1" x14ac:dyDescent="0.25">
      <c r="B4222" s="2" t="str">
        <f t="shared" si="130"/>
        <v>PGL_Income Eligible_Multi-Family_Whole Building - Public Housing_Pipe Insulation_Steam Small Fitting_MF</v>
      </c>
      <c r="C4222" s="2" t="str">
        <f t="shared" si="131"/>
        <v>PGL_Income Eligible_Multi-Family_Whole Building - Public Housing_Pipe Insulation_Steam Small Fitting_MF_2023</v>
      </c>
      <c r="D4222" s="19" t="s">
        <v>1794</v>
      </c>
      <c r="E4222" s="19" t="s">
        <v>325</v>
      </c>
      <c r="F4222" s="19" t="s">
        <v>1422</v>
      </c>
      <c r="G4222" s="19" t="s">
        <v>1817</v>
      </c>
      <c r="H4222" s="19" t="s">
        <v>404</v>
      </c>
      <c r="I4222" s="19" t="s">
        <v>961</v>
      </c>
      <c r="J4222" s="19">
        <v>0</v>
      </c>
      <c r="K4222" s="19" t="s">
        <v>553</v>
      </c>
      <c r="L4222" s="19">
        <v>2023</v>
      </c>
      <c r="M4222" s="20">
        <v>1</v>
      </c>
      <c r="N4222" s="19" t="s">
        <v>1798</v>
      </c>
      <c r="O4222" s="20">
        <v>0</v>
      </c>
      <c r="P4222" s="20">
        <v>0</v>
      </c>
      <c r="Q4222" s="20">
        <v>0</v>
      </c>
      <c r="R4222" s="21">
        <v>1</v>
      </c>
      <c r="S4222" s="20">
        <v>0</v>
      </c>
    </row>
    <row r="4223" spans="2:19" ht="15" customHeight="1" x14ac:dyDescent="0.25">
      <c r="B4223" s="2" t="str">
        <f t="shared" si="130"/>
        <v>PGL_Income Eligible_Multi-Family_Whole Building - Public Housing_Pipe Insulation_Steam Small Fitting_MF</v>
      </c>
      <c r="C4223" s="2" t="str">
        <f t="shared" si="131"/>
        <v>PGL_Income Eligible_Multi-Family_Whole Building - Public Housing_Pipe Insulation_Steam Small Fitting_MF_2024</v>
      </c>
      <c r="D4223" s="19" t="s">
        <v>1794</v>
      </c>
      <c r="E4223" s="19" t="s">
        <v>325</v>
      </c>
      <c r="F4223" s="19" t="s">
        <v>1422</v>
      </c>
      <c r="G4223" s="19" t="s">
        <v>1817</v>
      </c>
      <c r="H4223" s="19" t="s">
        <v>404</v>
      </c>
      <c r="I4223" s="19" t="s">
        <v>961</v>
      </c>
      <c r="J4223" s="19">
        <v>0</v>
      </c>
      <c r="K4223" s="19" t="s">
        <v>553</v>
      </c>
      <c r="L4223" s="19">
        <v>2024</v>
      </c>
      <c r="M4223" s="20">
        <v>1</v>
      </c>
      <c r="N4223" s="19" t="s">
        <v>1798</v>
      </c>
      <c r="O4223" s="20">
        <v>0</v>
      </c>
      <c r="P4223" s="20">
        <v>0</v>
      </c>
      <c r="Q4223" s="20">
        <v>0</v>
      </c>
      <c r="R4223" s="21">
        <v>1</v>
      </c>
      <c r="S4223" s="20">
        <v>0</v>
      </c>
    </row>
    <row r="4224" spans="2:19" ht="15" customHeight="1" x14ac:dyDescent="0.25">
      <c r="B4224" s="2" t="str">
        <f t="shared" si="130"/>
        <v>PGL_Income Eligible_Multi-Family_Whole Building - Public Housing_Pipe Insulation_Steam Small Fitting_MF</v>
      </c>
      <c r="C4224" s="2" t="str">
        <f t="shared" si="131"/>
        <v>PGL_Income Eligible_Multi-Family_Whole Building - Public Housing_Pipe Insulation_Steam Small Fitting_MF_2025</v>
      </c>
      <c r="D4224" s="19" t="s">
        <v>1794</v>
      </c>
      <c r="E4224" s="19" t="s">
        <v>325</v>
      </c>
      <c r="F4224" s="19" t="s">
        <v>1422</v>
      </c>
      <c r="G4224" s="19" t="s">
        <v>1817</v>
      </c>
      <c r="H4224" s="19" t="s">
        <v>404</v>
      </c>
      <c r="I4224" s="19" t="s">
        <v>961</v>
      </c>
      <c r="J4224" s="19">
        <v>0</v>
      </c>
      <c r="K4224" s="19" t="s">
        <v>553</v>
      </c>
      <c r="L4224" s="19">
        <v>2025</v>
      </c>
      <c r="M4224" s="20">
        <v>1</v>
      </c>
      <c r="N4224" s="19" t="s">
        <v>1798</v>
      </c>
      <c r="O4224" s="20">
        <v>0</v>
      </c>
      <c r="P4224" s="20">
        <v>0</v>
      </c>
      <c r="Q4224" s="20">
        <v>0</v>
      </c>
      <c r="R4224" s="21">
        <v>1</v>
      </c>
      <c r="S4224" s="20">
        <v>0</v>
      </c>
    </row>
    <row r="4225" spans="2:19" ht="15" customHeight="1" x14ac:dyDescent="0.25">
      <c r="B4225" s="2" t="str">
        <f t="shared" si="130"/>
        <v>PGL_Income Eligible_Multi-Family_Whole Building - Public Housing_Pipe Insulation_Steam Med Fitting_MF</v>
      </c>
      <c r="C4225" s="2" t="str">
        <f t="shared" si="131"/>
        <v>PGL_Income Eligible_Multi-Family_Whole Building - Public Housing_Pipe Insulation_Steam Med Fitting_MF_2022</v>
      </c>
      <c r="D4225" s="19" t="s">
        <v>1794</v>
      </c>
      <c r="E4225" s="19" t="s">
        <v>325</v>
      </c>
      <c r="F4225" s="19" t="s">
        <v>1422</v>
      </c>
      <c r="G4225" s="19" t="s">
        <v>1817</v>
      </c>
      <c r="H4225" s="19" t="s">
        <v>404</v>
      </c>
      <c r="I4225" s="19" t="s">
        <v>962</v>
      </c>
      <c r="J4225" s="19">
        <v>0</v>
      </c>
      <c r="K4225" s="19" t="s">
        <v>553</v>
      </c>
      <c r="L4225" s="19">
        <v>2022</v>
      </c>
      <c r="M4225" s="20">
        <v>1</v>
      </c>
      <c r="N4225" s="19" t="s">
        <v>1798</v>
      </c>
      <c r="O4225" s="20">
        <v>0</v>
      </c>
      <c r="P4225" s="20">
        <v>0</v>
      </c>
      <c r="Q4225" s="20">
        <v>0</v>
      </c>
      <c r="R4225" s="21">
        <v>1</v>
      </c>
      <c r="S4225" s="20">
        <v>0</v>
      </c>
    </row>
    <row r="4226" spans="2:19" ht="15" customHeight="1" x14ac:dyDescent="0.25">
      <c r="B4226" s="2" t="str">
        <f t="shared" si="130"/>
        <v>PGL_Income Eligible_Multi-Family_Whole Building - Public Housing_Pipe Insulation_Steam Med Fitting_MF</v>
      </c>
      <c r="C4226" s="2" t="str">
        <f t="shared" si="131"/>
        <v>PGL_Income Eligible_Multi-Family_Whole Building - Public Housing_Pipe Insulation_Steam Med Fitting_MF_2023</v>
      </c>
      <c r="D4226" s="19" t="s">
        <v>1794</v>
      </c>
      <c r="E4226" s="19" t="s">
        <v>325</v>
      </c>
      <c r="F4226" s="19" t="s">
        <v>1422</v>
      </c>
      <c r="G4226" s="19" t="s">
        <v>1817</v>
      </c>
      <c r="H4226" s="19" t="s">
        <v>404</v>
      </c>
      <c r="I4226" s="19" t="s">
        <v>962</v>
      </c>
      <c r="J4226" s="19">
        <v>0</v>
      </c>
      <c r="K4226" s="19" t="s">
        <v>553</v>
      </c>
      <c r="L4226" s="19">
        <v>2023</v>
      </c>
      <c r="M4226" s="20">
        <v>1</v>
      </c>
      <c r="N4226" s="19" t="s">
        <v>1798</v>
      </c>
      <c r="O4226" s="20">
        <v>0</v>
      </c>
      <c r="P4226" s="20">
        <v>0</v>
      </c>
      <c r="Q4226" s="20">
        <v>0</v>
      </c>
      <c r="R4226" s="21">
        <v>1</v>
      </c>
      <c r="S4226" s="20">
        <v>0</v>
      </c>
    </row>
    <row r="4227" spans="2:19" ht="15" customHeight="1" x14ac:dyDescent="0.25">
      <c r="B4227" s="2" t="str">
        <f t="shared" si="130"/>
        <v>PGL_Income Eligible_Multi-Family_Whole Building - Public Housing_Pipe Insulation_Steam Med Fitting_MF</v>
      </c>
      <c r="C4227" s="2" t="str">
        <f t="shared" si="131"/>
        <v>PGL_Income Eligible_Multi-Family_Whole Building - Public Housing_Pipe Insulation_Steam Med Fitting_MF_2024</v>
      </c>
      <c r="D4227" s="19" t="s">
        <v>1794</v>
      </c>
      <c r="E4227" s="19" t="s">
        <v>325</v>
      </c>
      <c r="F4227" s="19" t="s">
        <v>1422</v>
      </c>
      <c r="G4227" s="19" t="s">
        <v>1817</v>
      </c>
      <c r="H4227" s="19" t="s">
        <v>404</v>
      </c>
      <c r="I4227" s="19" t="s">
        <v>962</v>
      </c>
      <c r="J4227" s="19">
        <v>0</v>
      </c>
      <c r="K4227" s="19" t="s">
        <v>553</v>
      </c>
      <c r="L4227" s="19">
        <v>2024</v>
      </c>
      <c r="M4227" s="20">
        <v>1</v>
      </c>
      <c r="N4227" s="19" t="s">
        <v>1798</v>
      </c>
      <c r="O4227" s="20">
        <v>0</v>
      </c>
      <c r="P4227" s="20">
        <v>0</v>
      </c>
      <c r="Q4227" s="20">
        <v>0</v>
      </c>
      <c r="R4227" s="21">
        <v>1</v>
      </c>
      <c r="S4227" s="20">
        <v>0</v>
      </c>
    </row>
    <row r="4228" spans="2:19" ht="15" customHeight="1" x14ac:dyDescent="0.25">
      <c r="B4228" s="2" t="str">
        <f t="shared" si="130"/>
        <v>PGL_Income Eligible_Multi-Family_Whole Building - Public Housing_Pipe Insulation_Steam Med Fitting_MF</v>
      </c>
      <c r="C4228" s="2" t="str">
        <f t="shared" si="131"/>
        <v>PGL_Income Eligible_Multi-Family_Whole Building - Public Housing_Pipe Insulation_Steam Med Fitting_MF_2025</v>
      </c>
      <c r="D4228" s="19" t="s">
        <v>1794</v>
      </c>
      <c r="E4228" s="19" t="s">
        <v>325</v>
      </c>
      <c r="F4228" s="19" t="s">
        <v>1422</v>
      </c>
      <c r="G4228" s="19" t="s">
        <v>1817</v>
      </c>
      <c r="H4228" s="19" t="s">
        <v>404</v>
      </c>
      <c r="I4228" s="19" t="s">
        <v>962</v>
      </c>
      <c r="J4228" s="19">
        <v>0</v>
      </c>
      <c r="K4228" s="19" t="s">
        <v>553</v>
      </c>
      <c r="L4228" s="19">
        <v>2025</v>
      </c>
      <c r="M4228" s="20">
        <v>1</v>
      </c>
      <c r="N4228" s="19" t="s">
        <v>1798</v>
      </c>
      <c r="O4228" s="20">
        <v>0</v>
      </c>
      <c r="P4228" s="20">
        <v>0</v>
      </c>
      <c r="Q4228" s="20">
        <v>0</v>
      </c>
      <c r="R4228" s="21">
        <v>1</v>
      </c>
      <c r="S4228" s="20">
        <v>0</v>
      </c>
    </row>
    <row r="4229" spans="2:19" ht="15" customHeight="1" x14ac:dyDescent="0.25">
      <c r="B4229" s="2" t="str">
        <f t="shared" si="130"/>
        <v>PGL_Income Eligible_Multi-Family_Whole Building - Public Housing_Pipe Insulation_Steam Large Fitting_MF</v>
      </c>
      <c r="C4229" s="2" t="str">
        <f t="shared" si="131"/>
        <v>PGL_Income Eligible_Multi-Family_Whole Building - Public Housing_Pipe Insulation_Steam Large Fitting_MF_2022</v>
      </c>
      <c r="D4229" s="19" t="s">
        <v>1794</v>
      </c>
      <c r="E4229" s="19" t="s">
        <v>325</v>
      </c>
      <c r="F4229" s="19" t="s">
        <v>1422</v>
      </c>
      <c r="G4229" s="19" t="s">
        <v>1817</v>
      </c>
      <c r="H4229" s="19" t="s">
        <v>404</v>
      </c>
      <c r="I4229" s="19" t="s">
        <v>963</v>
      </c>
      <c r="J4229" s="19">
        <v>0</v>
      </c>
      <c r="K4229" s="19" t="s">
        <v>553</v>
      </c>
      <c r="L4229" s="19">
        <v>2022</v>
      </c>
      <c r="M4229" s="20">
        <v>1</v>
      </c>
      <c r="N4229" s="19" t="s">
        <v>1798</v>
      </c>
      <c r="O4229" s="20">
        <v>0</v>
      </c>
      <c r="P4229" s="20">
        <v>0</v>
      </c>
      <c r="Q4229" s="20">
        <v>0</v>
      </c>
      <c r="R4229" s="21">
        <v>1</v>
      </c>
      <c r="S4229" s="20">
        <v>0</v>
      </c>
    </row>
    <row r="4230" spans="2:19" ht="15" customHeight="1" x14ac:dyDescent="0.25">
      <c r="B4230" s="2" t="str">
        <f t="shared" ref="B4230:B4293" si="132">D4230&amp;"_"&amp;E4230&amp;"_"&amp;F4230&amp;"_"&amp;G4230&amp;"_"&amp;H4230&amp;"_"&amp;I4230&amp;"_"&amp;K4230</f>
        <v>PGL_Income Eligible_Multi-Family_Whole Building - Public Housing_Pipe Insulation_Steam Large Fitting_MF</v>
      </c>
      <c r="C4230" s="2" t="str">
        <f t="shared" ref="C4230:C4293" si="133">D4230&amp;"_"&amp;E4230&amp;"_"&amp;F4230&amp;"_"&amp;G4230&amp;"_"&amp;H4230&amp;"_"&amp;I4230&amp;"_"&amp;K4230&amp;"_"&amp;L4230</f>
        <v>PGL_Income Eligible_Multi-Family_Whole Building - Public Housing_Pipe Insulation_Steam Large Fitting_MF_2023</v>
      </c>
      <c r="D4230" s="19" t="s">
        <v>1794</v>
      </c>
      <c r="E4230" s="19" t="s">
        <v>325</v>
      </c>
      <c r="F4230" s="19" t="s">
        <v>1422</v>
      </c>
      <c r="G4230" s="19" t="s">
        <v>1817</v>
      </c>
      <c r="H4230" s="19" t="s">
        <v>404</v>
      </c>
      <c r="I4230" s="19" t="s">
        <v>963</v>
      </c>
      <c r="J4230" s="19">
        <v>0</v>
      </c>
      <c r="K4230" s="19" t="s">
        <v>553</v>
      </c>
      <c r="L4230" s="19">
        <v>2023</v>
      </c>
      <c r="M4230" s="20">
        <v>1</v>
      </c>
      <c r="N4230" s="19" t="s">
        <v>1798</v>
      </c>
      <c r="O4230" s="20">
        <v>0</v>
      </c>
      <c r="P4230" s="20">
        <v>0</v>
      </c>
      <c r="Q4230" s="20">
        <v>0</v>
      </c>
      <c r="R4230" s="21">
        <v>1</v>
      </c>
      <c r="S4230" s="20">
        <v>0</v>
      </c>
    </row>
    <row r="4231" spans="2:19" ht="15" customHeight="1" x14ac:dyDescent="0.25">
      <c r="B4231" s="2" t="str">
        <f t="shared" si="132"/>
        <v>PGL_Income Eligible_Multi-Family_Whole Building - Public Housing_Pipe Insulation_Steam Large Fitting_MF</v>
      </c>
      <c r="C4231" s="2" t="str">
        <f t="shared" si="133"/>
        <v>PGL_Income Eligible_Multi-Family_Whole Building - Public Housing_Pipe Insulation_Steam Large Fitting_MF_2024</v>
      </c>
      <c r="D4231" s="19" t="s">
        <v>1794</v>
      </c>
      <c r="E4231" s="19" t="s">
        <v>325</v>
      </c>
      <c r="F4231" s="19" t="s">
        <v>1422</v>
      </c>
      <c r="G4231" s="19" t="s">
        <v>1817</v>
      </c>
      <c r="H4231" s="19" t="s">
        <v>404</v>
      </c>
      <c r="I4231" s="19" t="s">
        <v>963</v>
      </c>
      <c r="J4231" s="19">
        <v>0</v>
      </c>
      <c r="K4231" s="19" t="s">
        <v>553</v>
      </c>
      <c r="L4231" s="19">
        <v>2024</v>
      </c>
      <c r="M4231" s="20">
        <v>1</v>
      </c>
      <c r="N4231" s="19" t="s">
        <v>1798</v>
      </c>
      <c r="O4231" s="20">
        <v>0</v>
      </c>
      <c r="P4231" s="20">
        <v>0</v>
      </c>
      <c r="Q4231" s="20">
        <v>0</v>
      </c>
      <c r="R4231" s="21">
        <v>1</v>
      </c>
      <c r="S4231" s="20">
        <v>0</v>
      </c>
    </row>
    <row r="4232" spans="2:19" ht="15" customHeight="1" x14ac:dyDescent="0.25">
      <c r="B4232" s="2" t="str">
        <f t="shared" si="132"/>
        <v>PGL_Income Eligible_Multi-Family_Whole Building - Public Housing_Pipe Insulation_Steam Large Fitting_MF</v>
      </c>
      <c r="C4232" s="2" t="str">
        <f t="shared" si="133"/>
        <v>PGL_Income Eligible_Multi-Family_Whole Building - Public Housing_Pipe Insulation_Steam Large Fitting_MF_2025</v>
      </c>
      <c r="D4232" s="19" t="s">
        <v>1794</v>
      </c>
      <c r="E4232" s="19" t="s">
        <v>325</v>
      </c>
      <c r="F4232" s="19" t="s">
        <v>1422</v>
      </c>
      <c r="G4232" s="19" t="s">
        <v>1817</v>
      </c>
      <c r="H4232" s="19" t="s">
        <v>404</v>
      </c>
      <c r="I4232" s="19" t="s">
        <v>963</v>
      </c>
      <c r="J4232" s="19">
        <v>0</v>
      </c>
      <c r="K4232" s="19" t="s">
        <v>553</v>
      </c>
      <c r="L4232" s="19">
        <v>2025</v>
      </c>
      <c r="M4232" s="20">
        <v>1</v>
      </c>
      <c r="N4232" s="19" t="s">
        <v>1798</v>
      </c>
      <c r="O4232" s="20">
        <v>0</v>
      </c>
      <c r="P4232" s="20">
        <v>0</v>
      </c>
      <c r="Q4232" s="20">
        <v>0</v>
      </c>
      <c r="R4232" s="21">
        <v>1</v>
      </c>
      <c r="S4232" s="20">
        <v>0</v>
      </c>
    </row>
    <row r="4233" spans="2:19" ht="15" customHeight="1" x14ac:dyDescent="0.25">
      <c r="B4233" s="2" t="str">
        <f t="shared" si="132"/>
        <v>PGL_Income Eligible_Multi-Family_Whole Building - Public Housing_Pipe Insulation_Steam X-Large Fitting_MF</v>
      </c>
      <c r="C4233" s="2" t="str">
        <f t="shared" si="133"/>
        <v>PGL_Income Eligible_Multi-Family_Whole Building - Public Housing_Pipe Insulation_Steam X-Large Fitting_MF_2022</v>
      </c>
      <c r="D4233" s="19" t="s">
        <v>1794</v>
      </c>
      <c r="E4233" s="19" t="s">
        <v>325</v>
      </c>
      <c r="F4233" s="19" t="s">
        <v>1422</v>
      </c>
      <c r="G4233" s="19" t="s">
        <v>1817</v>
      </c>
      <c r="H4233" s="19" t="s">
        <v>404</v>
      </c>
      <c r="I4233" s="19" t="s">
        <v>964</v>
      </c>
      <c r="J4233" s="19">
        <v>0</v>
      </c>
      <c r="K4233" s="19" t="s">
        <v>553</v>
      </c>
      <c r="L4233" s="19">
        <v>2022</v>
      </c>
      <c r="M4233" s="20">
        <v>1</v>
      </c>
      <c r="N4233" s="19" t="s">
        <v>1798</v>
      </c>
      <c r="O4233" s="20">
        <v>0</v>
      </c>
      <c r="P4233" s="20">
        <v>0</v>
      </c>
      <c r="Q4233" s="20">
        <v>0</v>
      </c>
      <c r="R4233" s="21">
        <v>1</v>
      </c>
      <c r="S4233" s="20">
        <v>0</v>
      </c>
    </row>
    <row r="4234" spans="2:19" ht="15" customHeight="1" x14ac:dyDescent="0.25">
      <c r="B4234" s="2" t="str">
        <f t="shared" si="132"/>
        <v>PGL_Income Eligible_Multi-Family_Whole Building - Public Housing_Pipe Insulation_Steam X-Large Fitting_MF</v>
      </c>
      <c r="C4234" s="2" t="str">
        <f t="shared" si="133"/>
        <v>PGL_Income Eligible_Multi-Family_Whole Building - Public Housing_Pipe Insulation_Steam X-Large Fitting_MF_2023</v>
      </c>
      <c r="D4234" s="19" t="s">
        <v>1794</v>
      </c>
      <c r="E4234" s="19" t="s">
        <v>325</v>
      </c>
      <c r="F4234" s="19" t="s">
        <v>1422</v>
      </c>
      <c r="G4234" s="19" t="s">
        <v>1817</v>
      </c>
      <c r="H4234" s="19" t="s">
        <v>404</v>
      </c>
      <c r="I4234" s="19" t="s">
        <v>964</v>
      </c>
      <c r="J4234" s="19">
        <v>0</v>
      </c>
      <c r="K4234" s="19" t="s">
        <v>553</v>
      </c>
      <c r="L4234" s="19">
        <v>2023</v>
      </c>
      <c r="M4234" s="20">
        <v>1</v>
      </c>
      <c r="N4234" s="19" t="s">
        <v>1798</v>
      </c>
      <c r="O4234" s="20">
        <v>0</v>
      </c>
      <c r="P4234" s="20">
        <v>0</v>
      </c>
      <c r="Q4234" s="20">
        <v>0</v>
      </c>
      <c r="R4234" s="21">
        <v>1</v>
      </c>
      <c r="S4234" s="20">
        <v>0</v>
      </c>
    </row>
    <row r="4235" spans="2:19" ht="15" customHeight="1" x14ac:dyDescent="0.25">
      <c r="B4235" s="2" t="str">
        <f t="shared" si="132"/>
        <v>PGL_Income Eligible_Multi-Family_Whole Building - Public Housing_Pipe Insulation_Steam X-Large Fitting_MF</v>
      </c>
      <c r="C4235" s="2" t="str">
        <f t="shared" si="133"/>
        <v>PGL_Income Eligible_Multi-Family_Whole Building - Public Housing_Pipe Insulation_Steam X-Large Fitting_MF_2024</v>
      </c>
      <c r="D4235" s="19" t="s">
        <v>1794</v>
      </c>
      <c r="E4235" s="19" t="s">
        <v>325</v>
      </c>
      <c r="F4235" s="19" t="s">
        <v>1422</v>
      </c>
      <c r="G4235" s="19" t="s">
        <v>1817</v>
      </c>
      <c r="H4235" s="19" t="s">
        <v>404</v>
      </c>
      <c r="I4235" s="19" t="s">
        <v>964</v>
      </c>
      <c r="J4235" s="19">
        <v>0</v>
      </c>
      <c r="K4235" s="19" t="s">
        <v>553</v>
      </c>
      <c r="L4235" s="19">
        <v>2024</v>
      </c>
      <c r="M4235" s="20">
        <v>1</v>
      </c>
      <c r="N4235" s="19" t="s">
        <v>1798</v>
      </c>
      <c r="O4235" s="20">
        <v>0</v>
      </c>
      <c r="P4235" s="20">
        <v>0</v>
      </c>
      <c r="Q4235" s="20">
        <v>0</v>
      </c>
      <c r="R4235" s="21">
        <v>1</v>
      </c>
      <c r="S4235" s="20">
        <v>0</v>
      </c>
    </row>
    <row r="4236" spans="2:19" ht="15" customHeight="1" x14ac:dyDescent="0.25">
      <c r="B4236" s="2" t="str">
        <f t="shared" si="132"/>
        <v>PGL_Income Eligible_Multi-Family_Whole Building - Public Housing_Pipe Insulation_Steam X-Large Fitting_MF</v>
      </c>
      <c r="C4236" s="2" t="str">
        <f t="shared" si="133"/>
        <v>PGL_Income Eligible_Multi-Family_Whole Building - Public Housing_Pipe Insulation_Steam X-Large Fitting_MF_2025</v>
      </c>
      <c r="D4236" s="19" t="s">
        <v>1794</v>
      </c>
      <c r="E4236" s="19" t="s">
        <v>325</v>
      </c>
      <c r="F4236" s="19" t="s">
        <v>1422</v>
      </c>
      <c r="G4236" s="19" t="s">
        <v>1817</v>
      </c>
      <c r="H4236" s="19" t="s">
        <v>404</v>
      </c>
      <c r="I4236" s="19" t="s">
        <v>964</v>
      </c>
      <c r="J4236" s="19">
        <v>0</v>
      </c>
      <c r="K4236" s="19" t="s">
        <v>553</v>
      </c>
      <c r="L4236" s="19">
        <v>2025</v>
      </c>
      <c r="M4236" s="20">
        <v>1</v>
      </c>
      <c r="N4236" s="19" t="s">
        <v>1798</v>
      </c>
      <c r="O4236" s="20">
        <v>0</v>
      </c>
      <c r="P4236" s="20">
        <v>0</v>
      </c>
      <c r="Q4236" s="20">
        <v>0</v>
      </c>
      <c r="R4236" s="21">
        <v>1</v>
      </c>
      <c r="S4236" s="20">
        <v>0</v>
      </c>
    </row>
    <row r="4237" spans="2:19" ht="15" customHeight="1" x14ac:dyDescent="0.25">
      <c r="B4237" s="2" t="str">
        <f t="shared" si="132"/>
        <v>PGL_Income Eligible_Multi-Family_Whole Building - Public Housing_Pipe Insulation_Steam Small Valve_MF</v>
      </c>
      <c r="C4237" s="2" t="str">
        <f t="shared" si="133"/>
        <v>PGL_Income Eligible_Multi-Family_Whole Building - Public Housing_Pipe Insulation_Steam Small Valve_MF_2022</v>
      </c>
      <c r="D4237" s="19" t="s">
        <v>1794</v>
      </c>
      <c r="E4237" s="19" t="s">
        <v>325</v>
      </c>
      <c r="F4237" s="19" t="s">
        <v>1422</v>
      </c>
      <c r="G4237" s="19" t="s">
        <v>1817</v>
      </c>
      <c r="H4237" s="19" t="s">
        <v>404</v>
      </c>
      <c r="I4237" s="19" t="s">
        <v>965</v>
      </c>
      <c r="J4237" s="19">
        <v>0</v>
      </c>
      <c r="K4237" s="19" t="s">
        <v>553</v>
      </c>
      <c r="L4237" s="19">
        <v>2022</v>
      </c>
      <c r="M4237" s="20">
        <v>1</v>
      </c>
      <c r="N4237" s="19" t="s">
        <v>1798</v>
      </c>
      <c r="O4237" s="20">
        <v>0</v>
      </c>
      <c r="P4237" s="20">
        <v>0</v>
      </c>
      <c r="Q4237" s="20">
        <v>0</v>
      </c>
      <c r="R4237" s="21">
        <v>1</v>
      </c>
      <c r="S4237" s="20">
        <v>0</v>
      </c>
    </row>
    <row r="4238" spans="2:19" ht="15" customHeight="1" x14ac:dyDescent="0.25">
      <c r="B4238" s="2" t="str">
        <f t="shared" si="132"/>
        <v>PGL_Income Eligible_Multi-Family_Whole Building - Public Housing_Pipe Insulation_Steam Small Valve_MF</v>
      </c>
      <c r="C4238" s="2" t="str">
        <f t="shared" si="133"/>
        <v>PGL_Income Eligible_Multi-Family_Whole Building - Public Housing_Pipe Insulation_Steam Small Valve_MF_2023</v>
      </c>
      <c r="D4238" s="19" t="s">
        <v>1794</v>
      </c>
      <c r="E4238" s="19" t="s">
        <v>325</v>
      </c>
      <c r="F4238" s="19" t="s">
        <v>1422</v>
      </c>
      <c r="G4238" s="19" t="s">
        <v>1817</v>
      </c>
      <c r="H4238" s="19" t="s">
        <v>404</v>
      </c>
      <c r="I4238" s="19" t="s">
        <v>965</v>
      </c>
      <c r="J4238" s="19">
        <v>0</v>
      </c>
      <c r="K4238" s="19" t="s">
        <v>553</v>
      </c>
      <c r="L4238" s="19">
        <v>2023</v>
      </c>
      <c r="M4238" s="20">
        <v>1</v>
      </c>
      <c r="N4238" s="19" t="s">
        <v>1798</v>
      </c>
      <c r="O4238" s="20">
        <v>0</v>
      </c>
      <c r="P4238" s="20">
        <v>0</v>
      </c>
      <c r="Q4238" s="20">
        <v>0</v>
      </c>
      <c r="R4238" s="21">
        <v>1</v>
      </c>
      <c r="S4238" s="20">
        <v>0</v>
      </c>
    </row>
    <row r="4239" spans="2:19" ht="15" customHeight="1" x14ac:dyDescent="0.25">
      <c r="B4239" s="2" t="str">
        <f t="shared" si="132"/>
        <v>PGL_Income Eligible_Multi-Family_Whole Building - Public Housing_Pipe Insulation_Steam Small Valve_MF</v>
      </c>
      <c r="C4239" s="2" t="str">
        <f t="shared" si="133"/>
        <v>PGL_Income Eligible_Multi-Family_Whole Building - Public Housing_Pipe Insulation_Steam Small Valve_MF_2024</v>
      </c>
      <c r="D4239" s="19" t="s">
        <v>1794</v>
      </c>
      <c r="E4239" s="19" t="s">
        <v>325</v>
      </c>
      <c r="F4239" s="19" t="s">
        <v>1422</v>
      </c>
      <c r="G4239" s="19" t="s">
        <v>1817</v>
      </c>
      <c r="H4239" s="19" t="s">
        <v>404</v>
      </c>
      <c r="I4239" s="19" t="s">
        <v>965</v>
      </c>
      <c r="J4239" s="19">
        <v>0</v>
      </c>
      <c r="K4239" s="19" t="s">
        <v>553</v>
      </c>
      <c r="L4239" s="19">
        <v>2024</v>
      </c>
      <c r="M4239" s="20">
        <v>1</v>
      </c>
      <c r="N4239" s="19" t="s">
        <v>1798</v>
      </c>
      <c r="O4239" s="20">
        <v>0</v>
      </c>
      <c r="P4239" s="20">
        <v>0</v>
      </c>
      <c r="Q4239" s="20">
        <v>0</v>
      </c>
      <c r="R4239" s="21">
        <v>1</v>
      </c>
      <c r="S4239" s="20">
        <v>0</v>
      </c>
    </row>
    <row r="4240" spans="2:19" ht="15" customHeight="1" x14ac:dyDescent="0.25">
      <c r="B4240" s="2" t="str">
        <f t="shared" si="132"/>
        <v>PGL_Income Eligible_Multi-Family_Whole Building - Public Housing_Pipe Insulation_Steam Small Valve_MF</v>
      </c>
      <c r="C4240" s="2" t="str">
        <f t="shared" si="133"/>
        <v>PGL_Income Eligible_Multi-Family_Whole Building - Public Housing_Pipe Insulation_Steam Small Valve_MF_2025</v>
      </c>
      <c r="D4240" s="19" t="s">
        <v>1794</v>
      </c>
      <c r="E4240" s="19" t="s">
        <v>325</v>
      </c>
      <c r="F4240" s="19" t="s">
        <v>1422</v>
      </c>
      <c r="G4240" s="19" t="s">
        <v>1817</v>
      </c>
      <c r="H4240" s="19" t="s">
        <v>404</v>
      </c>
      <c r="I4240" s="19" t="s">
        <v>965</v>
      </c>
      <c r="J4240" s="19">
        <v>0</v>
      </c>
      <c r="K4240" s="19" t="s">
        <v>553</v>
      </c>
      <c r="L4240" s="19">
        <v>2025</v>
      </c>
      <c r="M4240" s="20">
        <v>1</v>
      </c>
      <c r="N4240" s="19" t="s">
        <v>1798</v>
      </c>
      <c r="O4240" s="20">
        <v>0</v>
      </c>
      <c r="P4240" s="20">
        <v>0</v>
      </c>
      <c r="Q4240" s="20">
        <v>0</v>
      </c>
      <c r="R4240" s="21">
        <v>1</v>
      </c>
      <c r="S4240" s="20">
        <v>0</v>
      </c>
    </row>
    <row r="4241" spans="2:19" ht="15" customHeight="1" x14ac:dyDescent="0.25">
      <c r="B4241" s="2" t="str">
        <f t="shared" si="132"/>
        <v>PGL_Income Eligible_Multi-Family_Whole Building - Public Housing_Pipe Insulation_Steam Med Valve_MF</v>
      </c>
      <c r="C4241" s="2" t="str">
        <f t="shared" si="133"/>
        <v>PGL_Income Eligible_Multi-Family_Whole Building - Public Housing_Pipe Insulation_Steam Med Valve_MF_2022</v>
      </c>
      <c r="D4241" s="19" t="s">
        <v>1794</v>
      </c>
      <c r="E4241" s="19" t="s">
        <v>325</v>
      </c>
      <c r="F4241" s="19" t="s">
        <v>1422</v>
      </c>
      <c r="G4241" s="19" t="s">
        <v>1817</v>
      </c>
      <c r="H4241" s="19" t="s">
        <v>404</v>
      </c>
      <c r="I4241" s="19" t="s">
        <v>966</v>
      </c>
      <c r="J4241" s="19">
        <v>0</v>
      </c>
      <c r="K4241" s="19" t="s">
        <v>553</v>
      </c>
      <c r="L4241" s="19">
        <v>2022</v>
      </c>
      <c r="M4241" s="20">
        <v>1</v>
      </c>
      <c r="N4241" s="19" t="s">
        <v>1798</v>
      </c>
      <c r="O4241" s="20">
        <v>0</v>
      </c>
      <c r="P4241" s="20">
        <v>0</v>
      </c>
      <c r="Q4241" s="20">
        <v>0</v>
      </c>
      <c r="R4241" s="21">
        <v>1</v>
      </c>
      <c r="S4241" s="20">
        <v>0</v>
      </c>
    </row>
    <row r="4242" spans="2:19" ht="15" customHeight="1" x14ac:dyDescent="0.25">
      <c r="B4242" s="2" t="str">
        <f t="shared" si="132"/>
        <v>PGL_Income Eligible_Multi-Family_Whole Building - Public Housing_Pipe Insulation_Steam Med Valve_MF</v>
      </c>
      <c r="C4242" s="2" t="str">
        <f t="shared" si="133"/>
        <v>PGL_Income Eligible_Multi-Family_Whole Building - Public Housing_Pipe Insulation_Steam Med Valve_MF_2023</v>
      </c>
      <c r="D4242" s="19" t="s">
        <v>1794</v>
      </c>
      <c r="E4242" s="19" t="s">
        <v>325</v>
      </c>
      <c r="F4242" s="19" t="s">
        <v>1422</v>
      </c>
      <c r="G4242" s="19" t="s">
        <v>1817</v>
      </c>
      <c r="H4242" s="19" t="s">
        <v>404</v>
      </c>
      <c r="I4242" s="19" t="s">
        <v>966</v>
      </c>
      <c r="J4242" s="19">
        <v>0</v>
      </c>
      <c r="K4242" s="19" t="s">
        <v>553</v>
      </c>
      <c r="L4242" s="19">
        <v>2023</v>
      </c>
      <c r="M4242" s="20">
        <v>1</v>
      </c>
      <c r="N4242" s="19" t="s">
        <v>1798</v>
      </c>
      <c r="O4242" s="20">
        <v>0</v>
      </c>
      <c r="P4242" s="20">
        <v>0</v>
      </c>
      <c r="Q4242" s="20">
        <v>0</v>
      </c>
      <c r="R4242" s="21">
        <v>1</v>
      </c>
      <c r="S4242" s="20">
        <v>0</v>
      </c>
    </row>
    <row r="4243" spans="2:19" ht="15" customHeight="1" x14ac:dyDescent="0.25">
      <c r="B4243" s="2" t="str">
        <f t="shared" si="132"/>
        <v>PGL_Income Eligible_Multi-Family_Whole Building - Public Housing_Pipe Insulation_Steam Med Valve_MF</v>
      </c>
      <c r="C4243" s="2" t="str">
        <f t="shared" si="133"/>
        <v>PGL_Income Eligible_Multi-Family_Whole Building - Public Housing_Pipe Insulation_Steam Med Valve_MF_2024</v>
      </c>
      <c r="D4243" s="19" t="s">
        <v>1794</v>
      </c>
      <c r="E4243" s="19" t="s">
        <v>325</v>
      </c>
      <c r="F4243" s="19" t="s">
        <v>1422</v>
      </c>
      <c r="G4243" s="19" t="s">
        <v>1817</v>
      </c>
      <c r="H4243" s="19" t="s">
        <v>404</v>
      </c>
      <c r="I4243" s="19" t="s">
        <v>966</v>
      </c>
      <c r="J4243" s="19">
        <v>0</v>
      </c>
      <c r="K4243" s="19" t="s">
        <v>553</v>
      </c>
      <c r="L4243" s="19">
        <v>2024</v>
      </c>
      <c r="M4243" s="20">
        <v>1</v>
      </c>
      <c r="N4243" s="19" t="s">
        <v>1798</v>
      </c>
      <c r="O4243" s="20">
        <v>0</v>
      </c>
      <c r="P4243" s="20">
        <v>0</v>
      </c>
      <c r="Q4243" s="20">
        <v>0</v>
      </c>
      <c r="R4243" s="21">
        <v>1</v>
      </c>
      <c r="S4243" s="20">
        <v>0</v>
      </c>
    </row>
    <row r="4244" spans="2:19" ht="15" customHeight="1" x14ac:dyDescent="0.25">
      <c r="B4244" s="2" t="str">
        <f t="shared" si="132"/>
        <v>PGL_Income Eligible_Multi-Family_Whole Building - Public Housing_Pipe Insulation_Steam Med Valve_MF</v>
      </c>
      <c r="C4244" s="2" t="str">
        <f t="shared" si="133"/>
        <v>PGL_Income Eligible_Multi-Family_Whole Building - Public Housing_Pipe Insulation_Steam Med Valve_MF_2025</v>
      </c>
      <c r="D4244" s="19" t="s">
        <v>1794</v>
      </c>
      <c r="E4244" s="19" t="s">
        <v>325</v>
      </c>
      <c r="F4244" s="19" t="s">
        <v>1422</v>
      </c>
      <c r="G4244" s="19" t="s">
        <v>1817</v>
      </c>
      <c r="H4244" s="19" t="s">
        <v>404</v>
      </c>
      <c r="I4244" s="19" t="s">
        <v>966</v>
      </c>
      <c r="J4244" s="19">
        <v>0</v>
      </c>
      <c r="K4244" s="19" t="s">
        <v>553</v>
      </c>
      <c r="L4244" s="19">
        <v>2025</v>
      </c>
      <c r="M4244" s="20">
        <v>1</v>
      </c>
      <c r="N4244" s="19" t="s">
        <v>1798</v>
      </c>
      <c r="O4244" s="20">
        <v>0</v>
      </c>
      <c r="P4244" s="20">
        <v>0</v>
      </c>
      <c r="Q4244" s="20">
        <v>0</v>
      </c>
      <c r="R4244" s="21">
        <v>1</v>
      </c>
      <c r="S4244" s="20">
        <v>0</v>
      </c>
    </row>
    <row r="4245" spans="2:19" ht="15" customHeight="1" x14ac:dyDescent="0.25">
      <c r="B4245" s="2" t="str">
        <f t="shared" si="132"/>
        <v>PGL_Income Eligible_Multi-Family_Whole Building - Public Housing_Pipe Insulation_Steam Large Valve_MF</v>
      </c>
      <c r="C4245" s="2" t="str">
        <f t="shared" si="133"/>
        <v>PGL_Income Eligible_Multi-Family_Whole Building - Public Housing_Pipe Insulation_Steam Large Valve_MF_2022</v>
      </c>
      <c r="D4245" s="19" t="s">
        <v>1794</v>
      </c>
      <c r="E4245" s="19" t="s">
        <v>325</v>
      </c>
      <c r="F4245" s="19" t="s">
        <v>1422</v>
      </c>
      <c r="G4245" s="19" t="s">
        <v>1817</v>
      </c>
      <c r="H4245" s="19" t="s">
        <v>404</v>
      </c>
      <c r="I4245" s="19" t="s">
        <v>967</v>
      </c>
      <c r="J4245" s="19">
        <v>0</v>
      </c>
      <c r="K4245" s="19" t="s">
        <v>553</v>
      </c>
      <c r="L4245" s="19">
        <v>2022</v>
      </c>
      <c r="M4245" s="20">
        <v>1</v>
      </c>
      <c r="N4245" s="19" t="s">
        <v>1798</v>
      </c>
      <c r="O4245" s="20">
        <v>0</v>
      </c>
      <c r="P4245" s="20">
        <v>0</v>
      </c>
      <c r="Q4245" s="20">
        <v>0</v>
      </c>
      <c r="R4245" s="21">
        <v>1</v>
      </c>
      <c r="S4245" s="20">
        <v>0</v>
      </c>
    </row>
    <row r="4246" spans="2:19" ht="15" customHeight="1" x14ac:dyDescent="0.25">
      <c r="B4246" s="2" t="str">
        <f t="shared" si="132"/>
        <v>PGL_Income Eligible_Multi-Family_Whole Building - Public Housing_Pipe Insulation_Steam Large Valve_MF</v>
      </c>
      <c r="C4246" s="2" t="str">
        <f t="shared" si="133"/>
        <v>PGL_Income Eligible_Multi-Family_Whole Building - Public Housing_Pipe Insulation_Steam Large Valve_MF_2023</v>
      </c>
      <c r="D4246" s="19" t="s">
        <v>1794</v>
      </c>
      <c r="E4246" s="19" t="s">
        <v>325</v>
      </c>
      <c r="F4246" s="19" t="s">
        <v>1422</v>
      </c>
      <c r="G4246" s="19" t="s">
        <v>1817</v>
      </c>
      <c r="H4246" s="19" t="s">
        <v>404</v>
      </c>
      <c r="I4246" s="19" t="s">
        <v>967</v>
      </c>
      <c r="J4246" s="19">
        <v>0</v>
      </c>
      <c r="K4246" s="19" t="s">
        <v>553</v>
      </c>
      <c r="L4246" s="19">
        <v>2023</v>
      </c>
      <c r="M4246" s="20">
        <v>1</v>
      </c>
      <c r="N4246" s="19" t="s">
        <v>1798</v>
      </c>
      <c r="O4246" s="20">
        <v>0</v>
      </c>
      <c r="P4246" s="20">
        <v>0</v>
      </c>
      <c r="Q4246" s="20">
        <v>0</v>
      </c>
      <c r="R4246" s="21">
        <v>1</v>
      </c>
      <c r="S4246" s="20">
        <v>0</v>
      </c>
    </row>
    <row r="4247" spans="2:19" ht="15" customHeight="1" x14ac:dyDescent="0.25">
      <c r="B4247" s="2" t="str">
        <f t="shared" si="132"/>
        <v>PGL_Income Eligible_Multi-Family_Whole Building - Public Housing_Pipe Insulation_Steam Large Valve_MF</v>
      </c>
      <c r="C4247" s="2" t="str">
        <f t="shared" si="133"/>
        <v>PGL_Income Eligible_Multi-Family_Whole Building - Public Housing_Pipe Insulation_Steam Large Valve_MF_2024</v>
      </c>
      <c r="D4247" s="19" t="s">
        <v>1794</v>
      </c>
      <c r="E4247" s="19" t="s">
        <v>325</v>
      </c>
      <c r="F4247" s="19" t="s">
        <v>1422</v>
      </c>
      <c r="G4247" s="19" t="s">
        <v>1817</v>
      </c>
      <c r="H4247" s="19" t="s">
        <v>404</v>
      </c>
      <c r="I4247" s="19" t="s">
        <v>967</v>
      </c>
      <c r="J4247" s="19">
        <v>0</v>
      </c>
      <c r="K4247" s="19" t="s">
        <v>553</v>
      </c>
      <c r="L4247" s="19">
        <v>2024</v>
      </c>
      <c r="M4247" s="20">
        <v>1</v>
      </c>
      <c r="N4247" s="19" t="s">
        <v>1798</v>
      </c>
      <c r="O4247" s="20">
        <v>0</v>
      </c>
      <c r="P4247" s="20">
        <v>0</v>
      </c>
      <c r="Q4247" s="20">
        <v>0</v>
      </c>
      <c r="R4247" s="21">
        <v>1</v>
      </c>
      <c r="S4247" s="20">
        <v>0</v>
      </c>
    </row>
    <row r="4248" spans="2:19" ht="15" customHeight="1" x14ac:dyDescent="0.25">
      <c r="B4248" s="2" t="str">
        <f t="shared" si="132"/>
        <v>PGL_Income Eligible_Multi-Family_Whole Building - Public Housing_Pipe Insulation_Steam Large Valve_MF</v>
      </c>
      <c r="C4248" s="2" t="str">
        <f t="shared" si="133"/>
        <v>PGL_Income Eligible_Multi-Family_Whole Building - Public Housing_Pipe Insulation_Steam Large Valve_MF_2025</v>
      </c>
      <c r="D4248" s="19" t="s">
        <v>1794</v>
      </c>
      <c r="E4248" s="19" t="s">
        <v>325</v>
      </c>
      <c r="F4248" s="19" t="s">
        <v>1422</v>
      </c>
      <c r="G4248" s="19" t="s">
        <v>1817</v>
      </c>
      <c r="H4248" s="19" t="s">
        <v>404</v>
      </c>
      <c r="I4248" s="19" t="s">
        <v>967</v>
      </c>
      <c r="J4248" s="19">
        <v>0</v>
      </c>
      <c r="K4248" s="19" t="s">
        <v>553</v>
      </c>
      <c r="L4248" s="19">
        <v>2025</v>
      </c>
      <c r="M4248" s="20">
        <v>1</v>
      </c>
      <c r="N4248" s="19" t="s">
        <v>1798</v>
      </c>
      <c r="O4248" s="20">
        <v>0</v>
      </c>
      <c r="P4248" s="20">
        <v>0</v>
      </c>
      <c r="Q4248" s="20">
        <v>0</v>
      </c>
      <c r="R4248" s="21">
        <v>1</v>
      </c>
      <c r="S4248" s="20">
        <v>0</v>
      </c>
    </row>
    <row r="4249" spans="2:19" ht="15" customHeight="1" x14ac:dyDescent="0.25">
      <c r="B4249" s="2" t="str">
        <f t="shared" si="132"/>
        <v>PGL_Income Eligible_Multi-Family_Whole Building - Public Housing_Pipe Insulation_Steam X-Large Valve_MF</v>
      </c>
      <c r="C4249" s="2" t="str">
        <f t="shared" si="133"/>
        <v>PGL_Income Eligible_Multi-Family_Whole Building - Public Housing_Pipe Insulation_Steam X-Large Valve_MF_2022</v>
      </c>
      <c r="D4249" s="19" t="s">
        <v>1794</v>
      </c>
      <c r="E4249" s="19" t="s">
        <v>325</v>
      </c>
      <c r="F4249" s="19" t="s">
        <v>1422</v>
      </c>
      <c r="G4249" s="19" t="s">
        <v>1817</v>
      </c>
      <c r="H4249" s="19" t="s">
        <v>404</v>
      </c>
      <c r="I4249" s="19" t="s">
        <v>968</v>
      </c>
      <c r="J4249" s="19">
        <v>0</v>
      </c>
      <c r="K4249" s="19" t="s">
        <v>553</v>
      </c>
      <c r="L4249" s="19">
        <v>2022</v>
      </c>
      <c r="M4249" s="20">
        <v>1</v>
      </c>
      <c r="N4249" s="19" t="s">
        <v>1798</v>
      </c>
      <c r="O4249" s="20">
        <v>0</v>
      </c>
      <c r="P4249" s="20">
        <v>0</v>
      </c>
      <c r="Q4249" s="20">
        <v>0</v>
      </c>
      <c r="R4249" s="21">
        <v>1</v>
      </c>
      <c r="S4249" s="20">
        <v>0</v>
      </c>
    </row>
    <row r="4250" spans="2:19" ht="15" customHeight="1" x14ac:dyDescent="0.25">
      <c r="B4250" s="2" t="str">
        <f t="shared" si="132"/>
        <v>PGL_Income Eligible_Multi-Family_Whole Building - Public Housing_Pipe Insulation_Steam X-Large Valve_MF</v>
      </c>
      <c r="C4250" s="2" t="str">
        <f t="shared" si="133"/>
        <v>PGL_Income Eligible_Multi-Family_Whole Building - Public Housing_Pipe Insulation_Steam X-Large Valve_MF_2023</v>
      </c>
      <c r="D4250" s="19" t="s">
        <v>1794</v>
      </c>
      <c r="E4250" s="19" t="s">
        <v>325</v>
      </c>
      <c r="F4250" s="19" t="s">
        <v>1422</v>
      </c>
      <c r="G4250" s="19" t="s">
        <v>1817</v>
      </c>
      <c r="H4250" s="19" t="s">
        <v>404</v>
      </c>
      <c r="I4250" s="19" t="s">
        <v>968</v>
      </c>
      <c r="J4250" s="19">
        <v>0</v>
      </c>
      <c r="K4250" s="19" t="s">
        <v>553</v>
      </c>
      <c r="L4250" s="19">
        <v>2023</v>
      </c>
      <c r="M4250" s="20">
        <v>1</v>
      </c>
      <c r="N4250" s="19" t="s">
        <v>1798</v>
      </c>
      <c r="O4250" s="20">
        <v>0</v>
      </c>
      <c r="P4250" s="20">
        <v>0</v>
      </c>
      <c r="Q4250" s="20">
        <v>0</v>
      </c>
      <c r="R4250" s="21">
        <v>1</v>
      </c>
      <c r="S4250" s="20">
        <v>0</v>
      </c>
    </row>
    <row r="4251" spans="2:19" ht="15" customHeight="1" x14ac:dyDescent="0.25">
      <c r="B4251" s="2" t="str">
        <f t="shared" si="132"/>
        <v>PGL_Income Eligible_Multi-Family_Whole Building - Public Housing_Pipe Insulation_Steam X-Large Valve_MF</v>
      </c>
      <c r="C4251" s="2" t="str">
        <f t="shared" si="133"/>
        <v>PGL_Income Eligible_Multi-Family_Whole Building - Public Housing_Pipe Insulation_Steam X-Large Valve_MF_2024</v>
      </c>
      <c r="D4251" s="19" t="s">
        <v>1794</v>
      </c>
      <c r="E4251" s="19" t="s">
        <v>325</v>
      </c>
      <c r="F4251" s="19" t="s">
        <v>1422</v>
      </c>
      <c r="G4251" s="19" t="s">
        <v>1817</v>
      </c>
      <c r="H4251" s="19" t="s">
        <v>404</v>
      </c>
      <c r="I4251" s="19" t="s">
        <v>968</v>
      </c>
      <c r="J4251" s="19">
        <v>0</v>
      </c>
      <c r="K4251" s="19" t="s">
        <v>553</v>
      </c>
      <c r="L4251" s="19">
        <v>2024</v>
      </c>
      <c r="M4251" s="20">
        <v>1</v>
      </c>
      <c r="N4251" s="19" t="s">
        <v>1798</v>
      </c>
      <c r="O4251" s="20">
        <v>0</v>
      </c>
      <c r="P4251" s="20">
        <v>0</v>
      </c>
      <c r="Q4251" s="20">
        <v>0</v>
      </c>
      <c r="R4251" s="21">
        <v>1</v>
      </c>
      <c r="S4251" s="20">
        <v>0</v>
      </c>
    </row>
    <row r="4252" spans="2:19" ht="15" customHeight="1" x14ac:dyDescent="0.25">
      <c r="B4252" s="2" t="str">
        <f t="shared" si="132"/>
        <v>PGL_Income Eligible_Multi-Family_Whole Building - Public Housing_Pipe Insulation_Steam X-Large Valve_MF</v>
      </c>
      <c r="C4252" s="2" t="str">
        <f t="shared" si="133"/>
        <v>PGL_Income Eligible_Multi-Family_Whole Building - Public Housing_Pipe Insulation_Steam X-Large Valve_MF_2025</v>
      </c>
      <c r="D4252" s="19" t="s">
        <v>1794</v>
      </c>
      <c r="E4252" s="19" t="s">
        <v>325</v>
      </c>
      <c r="F4252" s="19" t="s">
        <v>1422</v>
      </c>
      <c r="G4252" s="19" t="s">
        <v>1817</v>
      </c>
      <c r="H4252" s="19" t="s">
        <v>404</v>
      </c>
      <c r="I4252" s="19" t="s">
        <v>968</v>
      </c>
      <c r="J4252" s="19">
        <v>0</v>
      </c>
      <c r="K4252" s="19" t="s">
        <v>553</v>
      </c>
      <c r="L4252" s="19">
        <v>2025</v>
      </c>
      <c r="M4252" s="20">
        <v>1</v>
      </c>
      <c r="N4252" s="19" t="s">
        <v>1798</v>
      </c>
      <c r="O4252" s="20">
        <v>0</v>
      </c>
      <c r="P4252" s="20">
        <v>0</v>
      </c>
      <c r="Q4252" s="20">
        <v>0</v>
      </c>
      <c r="R4252" s="21">
        <v>1</v>
      </c>
      <c r="S4252" s="20">
        <v>0</v>
      </c>
    </row>
    <row r="4253" spans="2:19" ht="15" customHeight="1" x14ac:dyDescent="0.25">
      <c r="B4253" s="2" t="str">
        <f t="shared" si="132"/>
        <v>PGL_Income Eligible_Multi-Family_Whole Building - Public Housing_Steam Boiler_&gt;=300MBH, &lt;1,500, &gt;=81% AFUE_MF</v>
      </c>
      <c r="C4253" s="2" t="str">
        <f t="shared" si="133"/>
        <v>PGL_Income Eligible_Multi-Family_Whole Building - Public Housing_Steam Boiler_&gt;=300MBH, &lt;1,500, &gt;=81% AFUE_MF_2022</v>
      </c>
      <c r="D4253" s="19" t="s">
        <v>1794</v>
      </c>
      <c r="E4253" s="19" t="s">
        <v>325</v>
      </c>
      <c r="F4253" s="19" t="s">
        <v>1422</v>
      </c>
      <c r="G4253" s="19" t="s">
        <v>1817</v>
      </c>
      <c r="H4253" s="19" t="s">
        <v>938</v>
      </c>
      <c r="I4253" s="19" t="s">
        <v>1300</v>
      </c>
      <c r="J4253" s="19" t="s">
        <v>942</v>
      </c>
      <c r="K4253" s="19" t="s">
        <v>553</v>
      </c>
      <c r="L4253" s="19">
        <v>2022</v>
      </c>
      <c r="M4253" s="20">
        <v>450</v>
      </c>
      <c r="N4253" s="19" t="s">
        <v>667</v>
      </c>
      <c r="O4253" s="20">
        <v>0</v>
      </c>
      <c r="P4253" s="20">
        <v>0</v>
      </c>
      <c r="Q4253" s="20">
        <v>0</v>
      </c>
      <c r="R4253" s="21">
        <v>1</v>
      </c>
      <c r="S4253" s="20">
        <v>0</v>
      </c>
    </row>
    <row r="4254" spans="2:19" ht="15" customHeight="1" x14ac:dyDescent="0.25">
      <c r="B4254" s="2" t="str">
        <f t="shared" si="132"/>
        <v>PGL_Income Eligible_Multi-Family_Whole Building - Public Housing_Steam Boiler_&gt;=300MBH, &lt;1,500, &gt;=81% AFUE_MF</v>
      </c>
      <c r="C4254" s="2" t="str">
        <f t="shared" si="133"/>
        <v>PGL_Income Eligible_Multi-Family_Whole Building - Public Housing_Steam Boiler_&gt;=300MBH, &lt;1,500, &gt;=81% AFUE_MF_2023</v>
      </c>
      <c r="D4254" s="19" t="s">
        <v>1794</v>
      </c>
      <c r="E4254" s="19" t="s">
        <v>325</v>
      </c>
      <c r="F4254" s="19" t="s">
        <v>1422</v>
      </c>
      <c r="G4254" s="19" t="s">
        <v>1817</v>
      </c>
      <c r="H4254" s="19" t="s">
        <v>938</v>
      </c>
      <c r="I4254" s="19" t="s">
        <v>1300</v>
      </c>
      <c r="J4254" s="19" t="s">
        <v>942</v>
      </c>
      <c r="K4254" s="19" t="s">
        <v>553</v>
      </c>
      <c r="L4254" s="19">
        <v>2023</v>
      </c>
      <c r="M4254" s="20">
        <v>450</v>
      </c>
      <c r="N4254" s="19" t="s">
        <v>667</v>
      </c>
      <c r="O4254" s="20">
        <v>0</v>
      </c>
      <c r="P4254" s="20">
        <v>0</v>
      </c>
      <c r="Q4254" s="20">
        <v>0</v>
      </c>
      <c r="R4254" s="21">
        <v>1</v>
      </c>
      <c r="S4254" s="20">
        <v>0</v>
      </c>
    </row>
    <row r="4255" spans="2:19" ht="15" customHeight="1" x14ac:dyDescent="0.25">
      <c r="B4255" s="2" t="str">
        <f t="shared" si="132"/>
        <v>PGL_Income Eligible_Multi-Family_Whole Building - Public Housing_Steam Boiler_&gt;=300MBH, &lt;1,500, &gt;=81% AFUE_MF</v>
      </c>
      <c r="C4255" s="2" t="str">
        <f t="shared" si="133"/>
        <v>PGL_Income Eligible_Multi-Family_Whole Building - Public Housing_Steam Boiler_&gt;=300MBH, &lt;1,500, &gt;=81% AFUE_MF_2024</v>
      </c>
      <c r="D4255" s="19" t="s">
        <v>1794</v>
      </c>
      <c r="E4255" s="19" t="s">
        <v>325</v>
      </c>
      <c r="F4255" s="19" t="s">
        <v>1422</v>
      </c>
      <c r="G4255" s="19" t="s">
        <v>1817</v>
      </c>
      <c r="H4255" s="19" t="s">
        <v>938</v>
      </c>
      <c r="I4255" s="19" t="s">
        <v>1300</v>
      </c>
      <c r="J4255" s="19" t="s">
        <v>942</v>
      </c>
      <c r="K4255" s="19" t="s">
        <v>553</v>
      </c>
      <c r="L4255" s="19">
        <v>2024</v>
      </c>
      <c r="M4255" s="20">
        <v>450</v>
      </c>
      <c r="N4255" s="19" t="s">
        <v>667</v>
      </c>
      <c r="O4255" s="20">
        <v>0</v>
      </c>
      <c r="P4255" s="20">
        <v>0</v>
      </c>
      <c r="Q4255" s="20">
        <v>0</v>
      </c>
      <c r="R4255" s="21">
        <v>1</v>
      </c>
      <c r="S4255" s="20">
        <v>0</v>
      </c>
    </row>
    <row r="4256" spans="2:19" ht="15" customHeight="1" x14ac:dyDescent="0.25">
      <c r="B4256" s="2" t="str">
        <f t="shared" si="132"/>
        <v>PGL_Income Eligible_Multi-Family_Whole Building - Public Housing_Steam Boiler_&gt;=300MBH, &lt;1,500, &gt;=81% AFUE_MF</v>
      </c>
      <c r="C4256" s="2" t="str">
        <f t="shared" si="133"/>
        <v>PGL_Income Eligible_Multi-Family_Whole Building - Public Housing_Steam Boiler_&gt;=300MBH, &lt;1,500, &gt;=81% AFUE_MF_2025</v>
      </c>
      <c r="D4256" s="19" t="s">
        <v>1794</v>
      </c>
      <c r="E4256" s="19" t="s">
        <v>325</v>
      </c>
      <c r="F4256" s="19" t="s">
        <v>1422</v>
      </c>
      <c r="G4256" s="19" t="s">
        <v>1817</v>
      </c>
      <c r="H4256" s="19" t="s">
        <v>938</v>
      </c>
      <c r="I4256" s="19" t="s">
        <v>1300</v>
      </c>
      <c r="J4256" s="19" t="s">
        <v>942</v>
      </c>
      <c r="K4256" s="19" t="s">
        <v>553</v>
      </c>
      <c r="L4256" s="19">
        <v>2025</v>
      </c>
      <c r="M4256" s="20">
        <v>450</v>
      </c>
      <c r="N4256" s="19" t="s">
        <v>667</v>
      </c>
      <c r="O4256" s="20">
        <v>0</v>
      </c>
      <c r="P4256" s="20">
        <v>0</v>
      </c>
      <c r="Q4256" s="20">
        <v>0</v>
      </c>
      <c r="R4256" s="21">
        <v>1</v>
      </c>
      <c r="S4256" s="20">
        <v>0</v>
      </c>
    </row>
    <row r="4257" spans="2:19" ht="15" customHeight="1" x14ac:dyDescent="0.25">
      <c r="B4257" s="2" t="str">
        <f t="shared" si="132"/>
        <v>PGL_Income Eligible_Multi-Family_Whole Building - Public Housing_Steam Boiler_ &gt;=1500MBH, &gt;=82% TE_MF</v>
      </c>
      <c r="C4257" s="2" t="str">
        <f t="shared" si="133"/>
        <v>PGL_Income Eligible_Multi-Family_Whole Building - Public Housing_Steam Boiler_ &gt;=1500MBH, &gt;=82% TE_MF_2022</v>
      </c>
      <c r="D4257" s="19" t="s">
        <v>1794</v>
      </c>
      <c r="E4257" s="19" t="s">
        <v>325</v>
      </c>
      <c r="F4257" s="19" t="s">
        <v>1422</v>
      </c>
      <c r="G4257" s="19" t="s">
        <v>1817</v>
      </c>
      <c r="H4257" s="19" t="s">
        <v>938</v>
      </c>
      <c r="I4257" s="19" t="s">
        <v>939</v>
      </c>
      <c r="J4257" s="19" t="s">
        <v>942</v>
      </c>
      <c r="K4257" s="19" t="s">
        <v>553</v>
      </c>
      <c r="L4257" s="19">
        <v>2022</v>
      </c>
      <c r="M4257" s="20">
        <v>1500</v>
      </c>
      <c r="N4257" s="19" t="s">
        <v>667</v>
      </c>
      <c r="O4257" s="20">
        <v>0</v>
      </c>
      <c r="P4257" s="20">
        <v>0</v>
      </c>
      <c r="Q4257" s="20">
        <v>0</v>
      </c>
      <c r="R4257" s="21">
        <v>1</v>
      </c>
      <c r="S4257" s="20">
        <v>0</v>
      </c>
    </row>
    <row r="4258" spans="2:19" ht="15" customHeight="1" x14ac:dyDescent="0.25">
      <c r="B4258" s="2" t="str">
        <f t="shared" si="132"/>
        <v>PGL_Income Eligible_Multi-Family_Whole Building - Public Housing_Steam Boiler_ &gt;=1500MBH, &gt;=82% TE_MF</v>
      </c>
      <c r="C4258" s="2" t="str">
        <f t="shared" si="133"/>
        <v>PGL_Income Eligible_Multi-Family_Whole Building - Public Housing_Steam Boiler_ &gt;=1500MBH, &gt;=82% TE_MF_2023</v>
      </c>
      <c r="D4258" s="19" t="s">
        <v>1794</v>
      </c>
      <c r="E4258" s="19" t="s">
        <v>325</v>
      </c>
      <c r="F4258" s="19" t="s">
        <v>1422</v>
      </c>
      <c r="G4258" s="19" t="s">
        <v>1817</v>
      </c>
      <c r="H4258" s="19" t="s">
        <v>938</v>
      </c>
      <c r="I4258" s="19" t="s">
        <v>939</v>
      </c>
      <c r="J4258" s="19" t="s">
        <v>942</v>
      </c>
      <c r="K4258" s="19" t="s">
        <v>553</v>
      </c>
      <c r="L4258" s="19">
        <v>2023</v>
      </c>
      <c r="M4258" s="20">
        <v>1500</v>
      </c>
      <c r="N4258" s="19" t="s">
        <v>667</v>
      </c>
      <c r="O4258" s="20">
        <v>0</v>
      </c>
      <c r="P4258" s="20">
        <v>0</v>
      </c>
      <c r="Q4258" s="20">
        <v>0</v>
      </c>
      <c r="R4258" s="21">
        <v>1</v>
      </c>
      <c r="S4258" s="20">
        <v>0</v>
      </c>
    </row>
    <row r="4259" spans="2:19" ht="15" customHeight="1" x14ac:dyDescent="0.25">
      <c r="B4259" s="2" t="str">
        <f t="shared" si="132"/>
        <v>PGL_Income Eligible_Multi-Family_Whole Building - Public Housing_Steam Boiler_ &gt;=1500MBH, &gt;=82% TE_MF</v>
      </c>
      <c r="C4259" s="2" t="str">
        <f t="shared" si="133"/>
        <v>PGL_Income Eligible_Multi-Family_Whole Building - Public Housing_Steam Boiler_ &gt;=1500MBH, &gt;=82% TE_MF_2024</v>
      </c>
      <c r="D4259" s="19" t="s">
        <v>1794</v>
      </c>
      <c r="E4259" s="19" t="s">
        <v>325</v>
      </c>
      <c r="F4259" s="19" t="s">
        <v>1422</v>
      </c>
      <c r="G4259" s="19" t="s">
        <v>1817</v>
      </c>
      <c r="H4259" s="19" t="s">
        <v>938</v>
      </c>
      <c r="I4259" s="19" t="s">
        <v>939</v>
      </c>
      <c r="J4259" s="19" t="s">
        <v>942</v>
      </c>
      <c r="K4259" s="19" t="s">
        <v>553</v>
      </c>
      <c r="L4259" s="19">
        <v>2024</v>
      </c>
      <c r="M4259" s="20">
        <v>1500</v>
      </c>
      <c r="N4259" s="19" t="s">
        <v>667</v>
      </c>
      <c r="O4259" s="20">
        <v>0</v>
      </c>
      <c r="P4259" s="20">
        <v>0</v>
      </c>
      <c r="Q4259" s="20">
        <v>0</v>
      </c>
      <c r="R4259" s="21">
        <v>1</v>
      </c>
      <c r="S4259" s="20">
        <v>0</v>
      </c>
    </row>
    <row r="4260" spans="2:19" ht="15" customHeight="1" x14ac:dyDescent="0.25">
      <c r="B4260" s="2" t="str">
        <f t="shared" si="132"/>
        <v>PGL_Income Eligible_Multi-Family_Whole Building - Public Housing_Steam Boiler_ &gt;=1500MBH, &gt;=82% TE_MF</v>
      </c>
      <c r="C4260" s="2" t="str">
        <f t="shared" si="133"/>
        <v>PGL_Income Eligible_Multi-Family_Whole Building - Public Housing_Steam Boiler_ &gt;=1500MBH, &gt;=82% TE_MF_2025</v>
      </c>
      <c r="D4260" s="19" t="s">
        <v>1794</v>
      </c>
      <c r="E4260" s="19" t="s">
        <v>325</v>
      </c>
      <c r="F4260" s="19" t="s">
        <v>1422</v>
      </c>
      <c r="G4260" s="19" t="s">
        <v>1817</v>
      </c>
      <c r="H4260" s="19" t="s">
        <v>938</v>
      </c>
      <c r="I4260" s="19" t="s">
        <v>939</v>
      </c>
      <c r="J4260" s="19" t="s">
        <v>942</v>
      </c>
      <c r="K4260" s="19" t="s">
        <v>553</v>
      </c>
      <c r="L4260" s="19">
        <v>2025</v>
      </c>
      <c r="M4260" s="20">
        <v>1500</v>
      </c>
      <c r="N4260" s="19" t="s">
        <v>667</v>
      </c>
      <c r="O4260" s="20">
        <v>0</v>
      </c>
      <c r="P4260" s="20">
        <v>0</v>
      </c>
      <c r="Q4260" s="20">
        <v>0</v>
      </c>
      <c r="R4260" s="21">
        <v>1</v>
      </c>
      <c r="S4260" s="20">
        <v>0</v>
      </c>
    </row>
    <row r="4261" spans="2:19" ht="15" customHeight="1" x14ac:dyDescent="0.25">
      <c r="B4261" s="2" t="str">
        <f t="shared" si="132"/>
        <v>PGL_Income Eligible_Multi-Family_Whole Building - Public Housing_Steam Boiler Averaging Controls_0_MF</v>
      </c>
      <c r="C4261" s="2" t="str">
        <f t="shared" si="133"/>
        <v>PGL_Income Eligible_Multi-Family_Whole Building - Public Housing_Steam Boiler Averaging Controls_0_MF_2022</v>
      </c>
      <c r="D4261" s="19" t="s">
        <v>1794</v>
      </c>
      <c r="E4261" s="19" t="s">
        <v>325</v>
      </c>
      <c r="F4261" s="19" t="s">
        <v>1422</v>
      </c>
      <c r="G4261" s="19" t="s">
        <v>1817</v>
      </c>
      <c r="H4261" s="19" t="s">
        <v>934</v>
      </c>
      <c r="I4261" s="19">
        <v>0</v>
      </c>
      <c r="J4261" s="19" t="s">
        <v>937</v>
      </c>
      <c r="K4261" s="19" t="s">
        <v>553</v>
      </c>
      <c r="L4261" s="19">
        <v>2022</v>
      </c>
      <c r="M4261" s="20">
        <v>1</v>
      </c>
      <c r="N4261" s="19" t="s">
        <v>1804</v>
      </c>
      <c r="O4261" s="20">
        <v>0</v>
      </c>
      <c r="P4261" s="20">
        <v>0</v>
      </c>
      <c r="Q4261" s="20">
        <v>0</v>
      </c>
      <c r="R4261" s="21">
        <v>1</v>
      </c>
      <c r="S4261" s="20">
        <v>0</v>
      </c>
    </row>
    <row r="4262" spans="2:19" ht="15" customHeight="1" x14ac:dyDescent="0.25">
      <c r="B4262" s="2" t="str">
        <f t="shared" si="132"/>
        <v>PGL_Income Eligible_Multi-Family_Whole Building - Public Housing_Steam Boiler Averaging Controls_0_MF</v>
      </c>
      <c r="C4262" s="2" t="str">
        <f t="shared" si="133"/>
        <v>PGL_Income Eligible_Multi-Family_Whole Building - Public Housing_Steam Boiler Averaging Controls_0_MF_2023</v>
      </c>
      <c r="D4262" s="19" t="s">
        <v>1794</v>
      </c>
      <c r="E4262" s="19" t="s">
        <v>325</v>
      </c>
      <c r="F4262" s="19" t="s">
        <v>1422</v>
      </c>
      <c r="G4262" s="19" t="s">
        <v>1817</v>
      </c>
      <c r="H4262" s="19" t="s">
        <v>934</v>
      </c>
      <c r="I4262" s="19">
        <v>0</v>
      </c>
      <c r="J4262" s="19" t="s">
        <v>937</v>
      </c>
      <c r="K4262" s="19" t="s">
        <v>553</v>
      </c>
      <c r="L4262" s="19">
        <v>2023</v>
      </c>
      <c r="M4262" s="20">
        <v>1</v>
      </c>
      <c r="N4262" s="19" t="s">
        <v>1804</v>
      </c>
      <c r="O4262" s="20">
        <v>0</v>
      </c>
      <c r="P4262" s="20">
        <v>0</v>
      </c>
      <c r="Q4262" s="20">
        <v>0</v>
      </c>
      <c r="R4262" s="21">
        <v>1</v>
      </c>
      <c r="S4262" s="20">
        <v>0</v>
      </c>
    </row>
    <row r="4263" spans="2:19" ht="15" customHeight="1" x14ac:dyDescent="0.25">
      <c r="B4263" s="2" t="str">
        <f t="shared" si="132"/>
        <v>PGL_Income Eligible_Multi-Family_Whole Building - Public Housing_Steam Boiler Averaging Controls_0_MF</v>
      </c>
      <c r="C4263" s="2" t="str">
        <f t="shared" si="133"/>
        <v>PGL_Income Eligible_Multi-Family_Whole Building - Public Housing_Steam Boiler Averaging Controls_0_MF_2024</v>
      </c>
      <c r="D4263" s="19" t="s">
        <v>1794</v>
      </c>
      <c r="E4263" s="19" t="s">
        <v>325</v>
      </c>
      <c r="F4263" s="19" t="s">
        <v>1422</v>
      </c>
      <c r="G4263" s="19" t="s">
        <v>1817</v>
      </c>
      <c r="H4263" s="19" t="s">
        <v>934</v>
      </c>
      <c r="I4263" s="19">
        <v>0</v>
      </c>
      <c r="J4263" s="19" t="s">
        <v>937</v>
      </c>
      <c r="K4263" s="19" t="s">
        <v>553</v>
      </c>
      <c r="L4263" s="19">
        <v>2024</v>
      </c>
      <c r="M4263" s="20">
        <v>1</v>
      </c>
      <c r="N4263" s="19" t="s">
        <v>1804</v>
      </c>
      <c r="O4263" s="20">
        <v>0</v>
      </c>
      <c r="P4263" s="20">
        <v>0</v>
      </c>
      <c r="Q4263" s="20">
        <v>0</v>
      </c>
      <c r="R4263" s="21">
        <v>1</v>
      </c>
      <c r="S4263" s="20">
        <v>0</v>
      </c>
    </row>
    <row r="4264" spans="2:19" ht="15" customHeight="1" x14ac:dyDescent="0.25">
      <c r="B4264" s="2" t="str">
        <f t="shared" si="132"/>
        <v>PGL_Income Eligible_Multi-Family_Whole Building - Public Housing_Steam Boiler Averaging Controls_0_MF</v>
      </c>
      <c r="C4264" s="2" t="str">
        <f t="shared" si="133"/>
        <v>PGL_Income Eligible_Multi-Family_Whole Building - Public Housing_Steam Boiler Averaging Controls_0_MF_2025</v>
      </c>
      <c r="D4264" s="19" t="s">
        <v>1794</v>
      </c>
      <c r="E4264" s="19" t="s">
        <v>325</v>
      </c>
      <c r="F4264" s="19" t="s">
        <v>1422</v>
      </c>
      <c r="G4264" s="19" t="s">
        <v>1817</v>
      </c>
      <c r="H4264" s="19" t="s">
        <v>934</v>
      </c>
      <c r="I4264" s="19">
        <v>0</v>
      </c>
      <c r="J4264" s="19" t="s">
        <v>937</v>
      </c>
      <c r="K4264" s="19" t="s">
        <v>553</v>
      </c>
      <c r="L4264" s="19">
        <v>2025</v>
      </c>
      <c r="M4264" s="20">
        <v>1</v>
      </c>
      <c r="N4264" s="19" t="s">
        <v>1804</v>
      </c>
      <c r="O4264" s="20">
        <v>0</v>
      </c>
      <c r="P4264" s="20">
        <v>0</v>
      </c>
      <c r="Q4264" s="20">
        <v>0</v>
      </c>
      <c r="R4264" s="21">
        <v>1</v>
      </c>
      <c r="S4264" s="20">
        <v>0</v>
      </c>
    </row>
    <row r="4265" spans="2:19" ht="15" customHeight="1" x14ac:dyDescent="0.25">
      <c r="B4265" s="2" t="str">
        <f t="shared" si="132"/>
        <v>PGL_Income Eligible_Multi-Family_Whole Building - Public Housing_Steam Traps_HVAC Repair/Rep - Audit_MF</v>
      </c>
      <c r="C4265" s="2" t="str">
        <f t="shared" si="133"/>
        <v>PGL_Income Eligible_Multi-Family_Whole Building - Public Housing_Steam Traps_HVAC Repair/Rep - Audit_MF_2022</v>
      </c>
      <c r="D4265" s="19" t="s">
        <v>1794</v>
      </c>
      <c r="E4265" s="19" t="s">
        <v>325</v>
      </c>
      <c r="F4265" s="19" t="s">
        <v>1422</v>
      </c>
      <c r="G4265" s="19" t="s">
        <v>1817</v>
      </c>
      <c r="H4265" s="19" t="s">
        <v>644</v>
      </c>
      <c r="I4265" s="19" t="s">
        <v>645</v>
      </c>
      <c r="J4265" s="19" t="s">
        <v>37</v>
      </c>
      <c r="K4265" s="19" t="s">
        <v>553</v>
      </c>
      <c r="L4265" s="19">
        <v>2022</v>
      </c>
      <c r="M4265" s="20">
        <v>1</v>
      </c>
      <c r="N4265" s="19" t="s">
        <v>1798</v>
      </c>
      <c r="O4265" s="20">
        <v>0</v>
      </c>
      <c r="P4265" s="20">
        <v>0</v>
      </c>
      <c r="Q4265" s="20">
        <v>0</v>
      </c>
      <c r="R4265" s="21">
        <v>1</v>
      </c>
      <c r="S4265" s="20">
        <v>0</v>
      </c>
    </row>
    <row r="4266" spans="2:19" ht="15" customHeight="1" x14ac:dyDescent="0.25">
      <c r="B4266" s="2" t="str">
        <f t="shared" si="132"/>
        <v>PGL_Income Eligible_Multi-Family_Whole Building - Public Housing_Steam Traps_HVAC Repair/Rep - Audit_MF</v>
      </c>
      <c r="C4266" s="2" t="str">
        <f t="shared" si="133"/>
        <v>PGL_Income Eligible_Multi-Family_Whole Building - Public Housing_Steam Traps_HVAC Repair/Rep - Audit_MF_2023</v>
      </c>
      <c r="D4266" s="19" t="s">
        <v>1794</v>
      </c>
      <c r="E4266" s="19" t="s">
        <v>325</v>
      </c>
      <c r="F4266" s="19" t="s">
        <v>1422</v>
      </c>
      <c r="G4266" s="19" t="s">
        <v>1817</v>
      </c>
      <c r="H4266" s="19" t="s">
        <v>644</v>
      </c>
      <c r="I4266" s="19" t="s">
        <v>645</v>
      </c>
      <c r="J4266" s="19" t="s">
        <v>37</v>
      </c>
      <c r="K4266" s="19" t="s">
        <v>553</v>
      </c>
      <c r="L4266" s="19">
        <v>2023</v>
      </c>
      <c r="M4266" s="20">
        <v>1</v>
      </c>
      <c r="N4266" s="19" t="s">
        <v>1798</v>
      </c>
      <c r="O4266" s="20">
        <v>0</v>
      </c>
      <c r="P4266" s="20">
        <v>0</v>
      </c>
      <c r="Q4266" s="20">
        <v>0</v>
      </c>
      <c r="R4266" s="21">
        <v>1</v>
      </c>
      <c r="S4266" s="20">
        <v>0</v>
      </c>
    </row>
    <row r="4267" spans="2:19" ht="15" customHeight="1" x14ac:dyDescent="0.25">
      <c r="B4267" s="2" t="str">
        <f t="shared" si="132"/>
        <v>PGL_Income Eligible_Multi-Family_Whole Building - Public Housing_Steam Traps_HVAC Repair/Rep - Audit_MF</v>
      </c>
      <c r="C4267" s="2" t="str">
        <f t="shared" si="133"/>
        <v>PGL_Income Eligible_Multi-Family_Whole Building - Public Housing_Steam Traps_HVAC Repair/Rep - Audit_MF_2024</v>
      </c>
      <c r="D4267" s="19" t="s">
        <v>1794</v>
      </c>
      <c r="E4267" s="19" t="s">
        <v>325</v>
      </c>
      <c r="F4267" s="19" t="s">
        <v>1422</v>
      </c>
      <c r="G4267" s="19" t="s">
        <v>1817</v>
      </c>
      <c r="H4267" s="19" t="s">
        <v>644</v>
      </c>
      <c r="I4267" s="19" t="s">
        <v>645</v>
      </c>
      <c r="J4267" s="19" t="s">
        <v>37</v>
      </c>
      <c r="K4267" s="19" t="s">
        <v>553</v>
      </c>
      <c r="L4267" s="19">
        <v>2024</v>
      </c>
      <c r="M4267" s="20">
        <v>1</v>
      </c>
      <c r="N4267" s="19" t="s">
        <v>1798</v>
      </c>
      <c r="O4267" s="20">
        <v>0</v>
      </c>
      <c r="P4267" s="20">
        <v>0</v>
      </c>
      <c r="Q4267" s="20">
        <v>0</v>
      </c>
      <c r="R4267" s="21">
        <v>1</v>
      </c>
      <c r="S4267" s="20">
        <v>0</v>
      </c>
    </row>
    <row r="4268" spans="2:19" ht="15" customHeight="1" x14ac:dyDescent="0.25">
      <c r="B4268" s="2" t="str">
        <f t="shared" si="132"/>
        <v>PGL_Income Eligible_Multi-Family_Whole Building - Public Housing_Steam Traps_HVAC Repair/Rep - Audit_MF</v>
      </c>
      <c r="C4268" s="2" t="str">
        <f t="shared" si="133"/>
        <v>PGL_Income Eligible_Multi-Family_Whole Building - Public Housing_Steam Traps_HVAC Repair/Rep - Audit_MF_2025</v>
      </c>
      <c r="D4268" s="19" t="s">
        <v>1794</v>
      </c>
      <c r="E4268" s="19" t="s">
        <v>325</v>
      </c>
      <c r="F4268" s="19" t="s">
        <v>1422</v>
      </c>
      <c r="G4268" s="19" t="s">
        <v>1817</v>
      </c>
      <c r="H4268" s="19" t="s">
        <v>644</v>
      </c>
      <c r="I4268" s="19" t="s">
        <v>645</v>
      </c>
      <c r="J4268" s="19" t="s">
        <v>37</v>
      </c>
      <c r="K4268" s="19" t="s">
        <v>553</v>
      </c>
      <c r="L4268" s="19">
        <v>2025</v>
      </c>
      <c r="M4268" s="20">
        <v>1</v>
      </c>
      <c r="N4268" s="19" t="s">
        <v>1798</v>
      </c>
      <c r="O4268" s="20">
        <v>0</v>
      </c>
      <c r="P4268" s="20">
        <v>0</v>
      </c>
      <c r="Q4268" s="20">
        <v>0</v>
      </c>
      <c r="R4268" s="21">
        <v>1</v>
      </c>
      <c r="S4268" s="20">
        <v>0</v>
      </c>
    </row>
    <row r="4269" spans="2:19" ht="15" customHeight="1" x14ac:dyDescent="0.25">
      <c r="B4269" s="2" t="str">
        <f t="shared" si="132"/>
        <v>PGL_Income Eligible_Multi-Family_Whole Building - Public Housing_Steam Traps_HVAC Repair/Rep - No Audit_MF</v>
      </c>
      <c r="C4269" s="2" t="str">
        <f t="shared" si="133"/>
        <v>PGL_Income Eligible_Multi-Family_Whole Building - Public Housing_Steam Traps_HVAC Repair/Rep - No Audit_MF_2022</v>
      </c>
      <c r="D4269" s="19" t="s">
        <v>1794</v>
      </c>
      <c r="E4269" s="19" t="s">
        <v>325</v>
      </c>
      <c r="F4269" s="19" t="s">
        <v>1422</v>
      </c>
      <c r="G4269" s="19" t="s">
        <v>1817</v>
      </c>
      <c r="H4269" s="19" t="s">
        <v>644</v>
      </c>
      <c r="I4269" s="19" t="s">
        <v>660</v>
      </c>
      <c r="J4269" s="19" t="s">
        <v>37</v>
      </c>
      <c r="K4269" s="19" t="s">
        <v>553</v>
      </c>
      <c r="L4269" s="19">
        <v>2022</v>
      </c>
      <c r="M4269" s="20">
        <v>1</v>
      </c>
      <c r="N4269" s="19" t="s">
        <v>1798</v>
      </c>
      <c r="O4269" s="20">
        <v>0</v>
      </c>
      <c r="P4269" s="20">
        <v>0</v>
      </c>
      <c r="Q4269" s="20">
        <v>0</v>
      </c>
      <c r="R4269" s="21">
        <v>1</v>
      </c>
      <c r="S4269" s="20">
        <v>0</v>
      </c>
    </row>
    <row r="4270" spans="2:19" ht="15" customHeight="1" x14ac:dyDescent="0.25">
      <c r="B4270" s="2" t="str">
        <f t="shared" si="132"/>
        <v>PGL_Income Eligible_Multi-Family_Whole Building - Public Housing_Steam Traps_HVAC Repair/Rep - No Audit_MF</v>
      </c>
      <c r="C4270" s="2" t="str">
        <f t="shared" si="133"/>
        <v>PGL_Income Eligible_Multi-Family_Whole Building - Public Housing_Steam Traps_HVAC Repair/Rep - No Audit_MF_2023</v>
      </c>
      <c r="D4270" s="19" t="s">
        <v>1794</v>
      </c>
      <c r="E4270" s="19" t="s">
        <v>325</v>
      </c>
      <c r="F4270" s="19" t="s">
        <v>1422</v>
      </c>
      <c r="G4270" s="19" t="s">
        <v>1817</v>
      </c>
      <c r="H4270" s="19" t="s">
        <v>644</v>
      </c>
      <c r="I4270" s="19" t="s">
        <v>660</v>
      </c>
      <c r="J4270" s="19" t="s">
        <v>37</v>
      </c>
      <c r="K4270" s="19" t="s">
        <v>553</v>
      </c>
      <c r="L4270" s="19">
        <v>2023</v>
      </c>
      <c r="M4270" s="20">
        <v>1</v>
      </c>
      <c r="N4270" s="19" t="s">
        <v>1798</v>
      </c>
      <c r="O4270" s="20">
        <v>0</v>
      </c>
      <c r="P4270" s="20">
        <v>0</v>
      </c>
      <c r="Q4270" s="20">
        <v>0</v>
      </c>
      <c r="R4270" s="21">
        <v>1</v>
      </c>
      <c r="S4270" s="20">
        <v>0</v>
      </c>
    </row>
    <row r="4271" spans="2:19" ht="15" customHeight="1" x14ac:dyDescent="0.25">
      <c r="B4271" s="2" t="str">
        <f t="shared" si="132"/>
        <v>PGL_Income Eligible_Multi-Family_Whole Building - Public Housing_Steam Traps_HVAC Repair/Rep - No Audit_MF</v>
      </c>
      <c r="C4271" s="2" t="str">
        <f t="shared" si="133"/>
        <v>PGL_Income Eligible_Multi-Family_Whole Building - Public Housing_Steam Traps_HVAC Repair/Rep - No Audit_MF_2024</v>
      </c>
      <c r="D4271" s="19" t="s">
        <v>1794</v>
      </c>
      <c r="E4271" s="19" t="s">
        <v>325</v>
      </c>
      <c r="F4271" s="19" t="s">
        <v>1422</v>
      </c>
      <c r="G4271" s="19" t="s">
        <v>1817</v>
      </c>
      <c r="H4271" s="19" t="s">
        <v>644</v>
      </c>
      <c r="I4271" s="19" t="s">
        <v>660</v>
      </c>
      <c r="J4271" s="19" t="s">
        <v>37</v>
      </c>
      <c r="K4271" s="19" t="s">
        <v>553</v>
      </c>
      <c r="L4271" s="19">
        <v>2024</v>
      </c>
      <c r="M4271" s="20">
        <v>1</v>
      </c>
      <c r="N4271" s="19" t="s">
        <v>1798</v>
      </c>
      <c r="O4271" s="20">
        <v>0</v>
      </c>
      <c r="P4271" s="20">
        <v>0</v>
      </c>
      <c r="Q4271" s="20">
        <v>0</v>
      </c>
      <c r="R4271" s="21">
        <v>1</v>
      </c>
      <c r="S4271" s="20">
        <v>0</v>
      </c>
    </row>
    <row r="4272" spans="2:19" ht="15" customHeight="1" x14ac:dyDescent="0.25">
      <c r="B4272" s="2" t="str">
        <f t="shared" si="132"/>
        <v>PGL_Income Eligible_Multi-Family_Whole Building - Public Housing_Steam Traps_HVAC Repair/Rep - No Audit_MF</v>
      </c>
      <c r="C4272" s="2" t="str">
        <f t="shared" si="133"/>
        <v>PGL_Income Eligible_Multi-Family_Whole Building - Public Housing_Steam Traps_HVAC Repair/Rep - No Audit_MF_2025</v>
      </c>
      <c r="D4272" s="19" t="s">
        <v>1794</v>
      </c>
      <c r="E4272" s="19" t="s">
        <v>325</v>
      </c>
      <c r="F4272" s="19" t="s">
        <v>1422</v>
      </c>
      <c r="G4272" s="19" t="s">
        <v>1817</v>
      </c>
      <c r="H4272" s="19" t="s">
        <v>644</v>
      </c>
      <c r="I4272" s="19" t="s">
        <v>660</v>
      </c>
      <c r="J4272" s="19" t="s">
        <v>37</v>
      </c>
      <c r="K4272" s="19" t="s">
        <v>553</v>
      </c>
      <c r="L4272" s="19">
        <v>2025</v>
      </c>
      <c r="M4272" s="20">
        <v>1</v>
      </c>
      <c r="N4272" s="19" t="s">
        <v>1798</v>
      </c>
      <c r="O4272" s="20">
        <v>0</v>
      </c>
      <c r="P4272" s="20">
        <v>0</v>
      </c>
      <c r="Q4272" s="20">
        <v>0</v>
      </c>
      <c r="R4272" s="21">
        <v>1</v>
      </c>
      <c r="S4272" s="20">
        <v>0</v>
      </c>
    </row>
    <row r="4273" spans="2:19" ht="15" customHeight="1" x14ac:dyDescent="0.25">
      <c r="B4273" s="2" t="str">
        <f t="shared" si="132"/>
        <v>PGL_Income Eligible_Multi-Family_Whole Building - Public Housing_Steam Traps_Test_MF</v>
      </c>
      <c r="C4273" s="2" t="str">
        <f t="shared" si="133"/>
        <v>PGL_Income Eligible_Multi-Family_Whole Building - Public Housing_Steam Traps_Test_MF_2022</v>
      </c>
      <c r="D4273" s="19" t="s">
        <v>1794</v>
      </c>
      <c r="E4273" s="19" t="s">
        <v>325</v>
      </c>
      <c r="F4273" s="19" t="s">
        <v>1422</v>
      </c>
      <c r="G4273" s="19" t="s">
        <v>1817</v>
      </c>
      <c r="H4273" s="19" t="s">
        <v>644</v>
      </c>
      <c r="I4273" s="19" t="s">
        <v>1097</v>
      </c>
      <c r="J4273" s="19">
        <v>0</v>
      </c>
      <c r="K4273" s="19" t="s">
        <v>553</v>
      </c>
      <c r="L4273" s="19">
        <v>2022</v>
      </c>
      <c r="M4273" s="20">
        <v>1</v>
      </c>
      <c r="N4273" s="19" t="s">
        <v>1798</v>
      </c>
      <c r="O4273" s="20">
        <v>0</v>
      </c>
      <c r="P4273" s="20">
        <v>0</v>
      </c>
      <c r="Q4273" s="20">
        <v>0</v>
      </c>
      <c r="R4273" s="21">
        <v>1</v>
      </c>
      <c r="S4273" s="20">
        <v>0</v>
      </c>
    </row>
    <row r="4274" spans="2:19" ht="15" customHeight="1" x14ac:dyDescent="0.25">
      <c r="B4274" s="2" t="str">
        <f t="shared" si="132"/>
        <v>PGL_Income Eligible_Multi-Family_Whole Building - Public Housing_Steam Traps_Test_MF</v>
      </c>
      <c r="C4274" s="2" t="str">
        <f t="shared" si="133"/>
        <v>PGL_Income Eligible_Multi-Family_Whole Building - Public Housing_Steam Traps_Test_MF_2023</v>
      </c>
      <c r="D4274" s="19" t="s">
        <v>1794</v>
      </c>
      <c r="E4274" s="19" t="s">
        <v>325</v>
      </c>
      <c r="F4274" s="19" t="s">
        <v>1422</v>
      </c>
      <c r="G4274" s="19" t="s">
        <v>1817</v>
      </c>
      <c r="H4274" s="19" t="s">
        <v>644</v>
      </c>
      <c r="I4274" s="19" t="s">
        <v>1097</v>
      </c>
      <c r="J4274" s="19">
        <v>0</v>
      </c>
      <c r="K4274" s="19" t="s">
        <v>553</v>
      </c>
      <c r="L4274" s="19">
        <v>2023</v>
      </c>
      <c r="M4274" s="20">
        <v>1</v>
      </c>
      <c r="N4274" s="19" t="s">
        <v>1798</v>
      </c>
      <c r="O4274" s="20">
        <v>0</v>
      </c>
      <c r="P4274" s="20">
        <v>0</v>
      </c>
      <c r="Q4274" s="20">
        <v>0</v>
      </c>
      <c r="R4274" s="21">
        <v>1</v>
      </c>
      <c r="S4274" s="20">
        <v>0</v>
      </c>
    </row>
    <row r="4275" spans="2:19" ht="15" customHeight="1" x14ac:dyDescent="0.25">
      <c r="B4275" s="2" t="str">
        <f t="shared" si="132"/>
        <v>PGL_Income Eligible_Multi-Family_Whole Building - Public Housing_Steam Traps_Test_MF</v>
      </c>
      <c r="C4275" s="2" t="str">
        <f t="shared" si="133"/>
        <v>PGL_Income Eligible_Multi-Family_Whole Building - Public Housing_Steam Traps_Test_MF_2024</v>
      </c>
      <c r="D4275" s="19" t="s">
        <v>1794</v>
      </c>
      <c r="E4275" s="19" t="s">
        <v>325</v>
      </c>
      <c r="F4275" s="19" t="s">
        <v>1422</v>
      </c>
      <c r="G4275" s="19" t="s">
        <v>1817</v>
      </c>
      <c r="H4275" s="19" t="s">
        <v>644</v>
      </c>
      <c r="I4275" s="19" t="s">
        <v>1097</v>
      </c>
      <c r="J4275" s="19">
        <v>0</v>
      </c>
      <c r="K4275" s="19" t="s">
        <v>553</v>
      </c>
      <c r="L4275" s="19">
        <v>2024</v>
      </c>
      <c r="M4275" s="20">
        <v>1</v>
      </c>
      <c r="N4275" s="19" t="s">
        <v>1798</v>
      </c>
      <c r="O4275" s="20">
        <v>0</v>
      </c>
      <c r="P4275" s="20">
        <v>0</v>
      </c>
      <c r="Q4275" s="20">
        <v>0</v>
      </c>
      <c r="R4275" s="21">
        <v>1</v>
      </c>
      <c r="S4275" s="20">
        <v>0</v>
      </c>
    </row>
    <row r="4276" spans="2:19" ht="15" customHeight="1" x14ac:dyDescent="0.25">
      <c r="B4276" s="2" t="str">
        <f t="shared" si="132"/>
        <v>PGL_Income Eligible_Multi-Family_Whole Building - Public Housing_Steam Traps_Test_MF</v>
      </c>
      <c r="C4276" s="2" t="str">
        <f t="shared" si="133"/>
        <v>PGL_Income Eligible_Multi-Family_Whole Building - Public Housing_Steam Traps_Test_MF_2025</v>
      </c>
      <c r="D4276" s="19" t="s">
        <v>1794</v>
      </c>
      <c r="E4276" s="19" t="s">
        <v>325</v>
      </c>
      <c r="F4276" s="19" t="s">
        <v>1422</v>
      </c>
      <c r="G4276" s="19" t="s">
        <v>1817</v>
      </c>
      <c r="H4276" s="19" t="s">
        <v>644</v>
      </c>
      <c r="I4276" s="19" t="s">
        <v>1097</v>
      </c>
      <c r="J4276" s="19">
        <v>0</v>
      </c>
      <c r="K4276" s="19" t="s">
        <v>553</v>
      </c>
      <c r="L4276" s="19">
        <v>2025</v>
      </c>
      <c r="M4276" s="20">
        <v>1</v>
      </c>
      <c r="N4276" s="19" t="s">
        <v>1798</v>
      </c>
      <c r="O4276" s="20">
        <v>0</v>
      </c>
      <c r="P4276" s="20">
        <v>0</v>
      </c>
      <c r="Q4276" s="20">
        <v>0</v>
      </c>
      <c r="R4276" s="21">
        <v>1</v>
      </c>
      <c r="S4276" s="20">
        <v>0</v>
      </c>
    </row>
    <row r="4277" spans="2:19" ht="15" customHeight="1" x14ac:dyDescent="0.25">
      <c r="B4277" s="2" t="str">
        <f t="shared" si="132"/>
        <v>PGL_Income Eligible_Multi-Family_Whole Building - Public Housing_On Demand DHW Circulation System_0_MF</v>
      </c>
      <c r="C4277" s="2" t="str">
        <f t="shared" si="133"/>
        <v>PGL_Income Eligible_Multi-Family_Whole Building - Public Housing_On Demand DHW Circulation System_0_MF_2022</v>
      </c>
      <c r="D4277" s="19" t="s">
        <v>1794</v>
      </c>
      <c r="E4277" s="19" t="s">
        <v>325</v>
      </c>
      <c r="F4277" s="19" t="s">
        <v>1422</v>
      </c>
      <c r="G4277" s="19" t="s">
        <v>1817</v>
      </c>
      <c r="H4277" s="19" t="s">
        <v>1075</v>
      </c>
      <c r="I4277" s="19">
        <v>0</v>
      </c>
      <c r="J4277" s="19" t="s">
        <v>26</v>
      </c>
      <c r="K4277" s="19" t="s">
        <v>553</v>
      </c>
      <c r="L4277" s="19">
        <v>2022</v>
      </c>
      <c r="M4277" s="20">
        <v>1</v>
      </c>
      <c r="N4277" s="19" t="s">
        <v>1804</v>
      </c>
      <c r="O4277" s="20">
        <v>0</v>
      </c>
      <c r="P4277" s="20">
        <v>0</v>
      </c>
      <c r="Q4277" s="20">
        <v>0</v>
      </c>
      <c r="R4277" s="21">
        <v>1</v>
      </c>
      <c r="S4277" s="20">
        <v>0</v>
      </c>
    </row>
    <row r="4278" spans="2:19" ht="15" customHeight="1" x14ac:dyDescent="0.25">
      <c r="B4278" s="2" t="str">
        <f t="shared" si="132"/>
        <v>PGL_Income Eligible_Multi-Family_Whole Building - Public Housing_On Demand DHW Circulation System_0_MF</v>
      </c>
      <c r="C4278" s="2" t="str">
        <f t="shared" si="133"/>
        <v>PGL_Income Eligible_Multi-Family_Whole Building - Public Housing_On Demand DHW Circulation System_0_MF_2023</v>
      </c>
      <c r="D4278" s="19" t="s">
        <v>1794</v>
      </c>
      <c r="E4278" s="19" t="s">
        <v>325</v>
      </c>
      <c r="F4278" s="19" t="s">
        <v>1422</v>
      </c>
      <c r="G4278" s="19" t="s">
        <v>1817</v>
      </c>
      <c r="H4278" s="19" t="s">
        <v>1075</v>
      </c>
      <c r="I4278" s="19">
        <v>0</v>
      </c>
      <c r="J4278" s="19" t="s">
        <v>26</v>
      </c>
      <c r="K4278" s="19" t="s">
        <v>553</v>
      </c>
      <c r="L4278" s="19">
        <v>2023</v>
      </c>
      <c r="M4278" s="20">
        <v>1</v>
      </c>
      <c r="N4278" s="19" t="s">
        <v>1804</v>
      </c>
      <c r="O4278" s="20">
        <v>0</v>
      </c>
      <c r="P4278" s="20">
        <v>0</v>
      </c>
      <c r="Q4278" s="20">
        <v>0</v>
      </c>
      <c r="R4278" s="21">
        <v>1</v>
      </c>
      <c r="S4278" s="20">
        <v>0</v>
      </c>
    </row>
    <row r="4279" spans="2:19" ht="15" customHeight="1" x14ac:dyDescent="0.25">
      <c r="B4279" s="2" t="str">
        <f t="shared" si="132"/>
        <v>PGL_Income Eligible_Multi-Family_Whole Building - Public Housing_On Demand DHW Circulation System_0_MF</v>
      </c>
      <c r="C4279" s="2" t="str">
        <f t="shared" si="133"/>
        <v>PGL_Income Eligible_Multi-Family_Whole Building - Public Housing_On Demand DHW Circulation System_0_MF_2024</v>
      </c>
      <c r="D4279" s="19" t="s">
        <v>1794</v>
      </c>
      <c r="E4279" s="19" t="s">
        <v>325</v>
      </c>
      <c r="F4279" s="19" t="s">
        <v>1422</v>
      </c>
      <c r="G4279" s="19" t="s">
        <v>1817</v>
      </c>
      <c r="H4279" s="19" t="s">
        <v>1075</v>
      </c>
      <c r="I4279" s="19">
        <v>0</v>
      </c>
      <c r="J4279" s="19" t="s">
        <v>26</v>
      </c>
      <c r="K4279" s="19" t="s">
        <v>553</v>
      </c>
      <c r="L4279" s="19">
        <v>2024</v>
      </c>
      <c r="M4279" s="20">
        <v>1</v>
      </c>
      <c r="N4279" s="19" t="s">
        <v>1804</v>
      </c>
      <c r="O4279" s="20">
        <v>0</v>
      </c>
      <c r="P4279" s="20">
        <v>0</v>
      </c>
      <c r="Q4279" s="20">
        <v>0</v>
      </c>
      <c r="R4279" s="21">
        <v>1</v>
      </c>
      <c r="S4279" s="20">
        <v>0</v>
      </c>
    </row>
    <row r="4280" spans="2:19" ht="15" customHeight="1" x14ac:dyDescent="0.25">
      <c r="B4280" s="2" t="str">
        <f t="shared" si="132"/>
        <v>PGL_Income Eligible_Multi-Family_Whole Building - Public Housing_On Demand DHW Circulation System_0_MF</v>
      </c>
      <c r="C4280" s="2" t="str">
        <f t="shared" si="133"/>
        <v>PGL_Income Eligible_Multi-Family_Whole Building - Public Housing_On Demand DHW Circulation System_0_MF_2025</v>
      </c>
      <c r="D4280" s="19" t="s">
        <v>1794</v>
      </c>
      <c r="E4280" s="19" t="s">
        <v>325</v>
      </c>
      <c r="F4280" s="19" t="s">
        <v>1422</v>
      </c>
      <c r="G4280" s="19" t="s">
        <v>1817</v>
      </c>
      <c r="H4280" s="19" t="s">
        <v>1075</v>
      </c>
      <c r="I4280" s="19">
        <v>0</v>
      </c>
      <c r="J4280" s="19" t="s">
        <v>26</v>
      </c>
      <c r="K4280" s="19" t="s">
        <v>553</v>
      </c>
      <c r="L4280" s="19">
        <v>2025</v>
      </c>
      <c r="M4280" s="20">
        <v>1</v>
      </c>
      <c r="N4280" s="19" t="s">
        <v>1804</v>
      </c>
      <c r="O4280" s="20">
        <v>0</v>
      </c>
      <c r="P4280" s="20">
        <v>0</v>
      </c>
      <c r="Q4280" s="20">
        <v>0</v>
      </c>
      <c r="R4280" s="21">
        <v>1</v>
      </c>
      <c r="S4280" s="20">
        <v>0</v>
      </c>
    </row>
    <row r="4281" spans="2:19" ht="15" customHeight="1" x14ac:dyDescent="0.25">
      <c r="B4281" s="2" t="str">
        <f t="shared" si="132"/>
        <v>PGL_Income Eligible_Multi-Family_Whole Building - Public Housing_Water Heater_Central/Indirect MF ≥88% TE_MF</v>
      </c>
      <c r="C4281" s="2" t="str">
        <f t="shared" si="133"/>
        <v>PGL_Income Eligible_Multi-Family_Whole Building - Public Housing_Water Heater_Central/Indirect MF ≥88% TE_MF_2022</v>
      </c>
      <c r="D4281" s="19" t="s">
        <v>1794</v>
      </c>
      <c r="E4281" s="19" t="s">
        <v>325</v>
      </c>
      <c r="F4281" s="19" t="s">
        <v>1422</v>
      </c>
      <c r="G4281" s="19" t="s">
        <v>1817</v>
      </c>
      <c r="H4281" s="19" t="s">
        <v>8</v>
      </c>
      <c r="I4281" s="19" t="s">
        <v>1066</v>
      </c>
      <c r="J4281" s="19" t="s">
        <v>30</v>
      </c>
      <c r="K4281" s="19" t="s">
        <v>553</v>
      </c>
      <c r="L4281" s="19">
        <v>2022</v>
      </c>
      <c r="M4281" s="20">
        <v>1</v>
      </c>
      <c r="N4281" s="19" t="s">
        <v>1816</v>
      </c>
      <c r="O4281" s="20">
        <v>0</v>
      </c>
      <c r="P4281" s="20">
        <v>0</v>
      </c>
      <c r="Q4281" s="20">
        <v>0</v>
      </c>
      <c r="R4281" s="21">
        <v>1</v>
      </c>
      <c r="S4281" s="20">
        <v>0</v>
      </c>
    </row>
    <row r="4282" spans="2:19" ht="15" customHeight="1" x14ac:dyDescent="0.25">
      <c r="B4282" s="2" t="str">
        <f t="shared" si="132"/>
        <v>PGL_Income Eligible_Multi-Family_Whole Building - Public Housing_Water Heater_Central/Indirect MF ≥88% TE_MF</v>
      </c>
      <c r="C4282" s="2" t="str">
        <f t="shared" si="133"/>
        <v>PGL_Income Eligible_Multi-Family_Whole Building - Public Housing_Water Heater_Central/Indirect MF ≥88% TE_MF_2023</v>
      </c>
      <c r="D4282" s="19" t="s">
        <v>1794</v>
      </c>
      <c r="E4282" s="19" t="s">
        <v>325</v>
      </c>
      <c r="F4282" s="19" t="s">
        <v>1422</v>
      </c>
      <c r="G4282" s="19" t="s">
        <v>1817</v>
      </c>
      <c r="H4282" s="19" t="s">
        <v>8</v>
      </c>
      <c r="I4282" s="19" t="s">
        <v>1066</v>
      </c>
      <c r="J4282" s="19" t="s">
        <v>30</v>
      </c>
      <c r="K4282" s="19" t="s">
        <v>553</v>
      </c>
      <c r="L4282" s="19">
        <v>2023</v>
      </c>
      <c r="M4282" s="20">
        <v>1</v>
      </c>
      <c r="N4282" s="19" t="s">
        <v>1816</v>
      </c>
      <c r="O4282" s="20">
        <v>0</v>
      </c>
      <c r="P4282" s="20">
        <v>0</v>
      </c>
      <c r="Q4282" s="20">
        <v>0</v>
      </c>
      <c r="R4282" s="21">
        <v>1</v>
      </c>
      <c r="S4282" s="20">
        <v>0</v>
      </c>
    </row>
    <row r="4283" spans="2:19" ht="15" customHeight="1" x14ac:dyDescent="0.25">
      <c r="B4283" s="2" t="str">
        <f t="shared" si="132"/>
        <v>PGL_Income Eligible_Multi-Family_Whole Building - Public Housing_Water Heater_Central/Indirect MF ≥88% TE_MF</v>
      </c>
      <c r="C4283" s="2" t="str">
        <f t="shared" si="133"/>
        <v>PGL_Income Eligible_Multi-Family_Whole Building - Public Housing_Water Heater_Central/Indirect MF ≥88% TE_MF_2024</v>
      </c>
      <c r="D4283" s="19" t="s">
        <v>1794</v>
      </c>
      <c r="E4283" s="19" t="s">
        <v>325</v>
      </c>
      <c r="F4283" s="19" t="s">
        <v>1422</v>
      </c>
      <c r="G4283" s="19" t="s">
        <v>1817</v>
      </c>
      <c r="H4283" s="19" t="s">
        <v>8</v>
      </c>
      <c r="I4283" s="19" t="s">
        <v>1066</v>
      </c>
      <c r="J4283" s="19" t="s">
        <v>30</v>
      </c>
      <c r="K4283" s="19" t="s">
        <v>553</v>
      </c>
      <c r="L4283" s="19">
        <v>2024</v>
      </c>
      <c r="M4283" s="20">
        <v>1</v>
      </c>
      <c r="N4283" s="19" t="s">
        <v>1816</v>
      </c>
      <c r="O4283" s="20">
        <v>0</v>
      </c>
      <c r="P4283" s="20">
        <v>0</v>
      </c>
      <c r="Q4283" s="20">
        <v>0</v>
      </c>
      <c r="R4283" s="21">
        <v>1</v>
      </c>
      <c r="S4283" s="20">
        <v>0</v>
      </c>
    </row>
    <row r="4284" spans="2:19" ht="15" customHeight="1" x14ac:dyDescent="0.25">
      <c r="B4284" s="2" t="str">
        <f t="shared" si="132"/>
        <v>PGL_Income Eligible_Multi-Family_Whole Building - Public Housing_Water Heater_Central/Indirect MF ≥88% TE_MF</v>
      </c>
      <c r="C4284" s="2" t="str">
        <f t="shared" si="133"/>
        <v>PGL_Income Eligible_Multi-Family_Whole Building - Public Housing_Water Heater_Central/Indirect MF ≥88% TE_MF_2025</v>
      </c>
      <c r="D4284" s="19" t="s">
        <v>1794</v>
      </c>
      <c r="E4284" s="19" t="s">
        <v>325</v>
      </c>
      <c r="F4284" s="19" t="s">
        <v>1422</v>
      </c>
      <c r="G4284" s="19" t="s">
        <v>1817</v>
      </c>
      <c r="H4284" s="19" t="s">
        <v>8</v>
      </c>
      <c r="I4284" s="19" t="s">
        <v>1066</v>
      </c>
      <c r="J4284" s="19" t="s">
        <v>30</v>
      </c>
      <c r="K4284" s="19" t="s">
        <v>553</v>
      </c>
      <c r="L4284" s="19">
        <v>2025</v>
      </c>
      <c r="M4284" s="20">
        <v>1</v>
      </c>
      <c r="N4284" s="19" t="s">
        <v>1816</v>
      </c>
      <c r="O4284" s="20">
        <v>0</v>
      </c>
      <c r="P4284" s="20">
        <v>0</v>
      </c>
      <c r="Q4284" s="20">
        <v>0</v>
      </c>
      <c r="R4284" s="21">
        <v>1</v>
      </c>
      <c r="S4284" s="20">
        <v>0</v>
      </c>
    </row>
    <row r="4285" spans="2:19" ht="15" customHeight="1" x14ac:dyDescent="0.25">
      <c r="B4285" s="2" t="str">
        <f t="shared" si="132"/>
        <v>PGL_Income Eligible_Multi-Family_Whole Building - Public Housing_Water Heater_Storage 0.67 EF_MF</v>
      </c>
      <c r="C4285" s="2" t="str">
        <f t="shared" si="133"/>
        <v>PGL_Income Eligible_Multi-Family_Whole Building - Public Housing_Water Heater_Storage 0.67 EF_MF_2022</v>
      </c>
      <c r="D4285" s="19" t="s">
        <v>1794</v>
      </c>
      <c r="E4285" s="19" t="s">
        <v>325</v>
      </c>
      <c r="F4285" s="19" t="s">
        <v>1422</v>
      </c>
      <c r="G4285" s="19" t="s">
        <v>1817</v>
      </c>
      <c r="H4285" s="19" t="s">
        <v>8</v>
      </c>
      <c r="I4285" s="19" t="s">
        <v>879</v>
      </c>
      <c r="J4285" s="19" t="s">
        <v>1263</v>
      </c>
      <c r="K4285" s="19" t="s">
        <v>553</v>
      </c>
      <c r="L4285" s="19">
        <v>2022</v>
      </c>
      <c r="M4285" s="20">
        <v>1</v>
      </c>
      <c r="N4285" s="19" t="s">
        <v>1798</v>
      </c>
      <c r="O4285" s="20">
        <v>0</v>
      </c>
      <c r="P4285" s="20">
        <v>0</v>
      </c>
      <c r="Q4285" s="20">
        <v>0</v>
      </c>
      <c r="R4285" s="21">
        <v>1</v>
      </c>
      <c r="S4285" s="20">
        <v>0</v>
      </c>
    </row>
    <row r="4286" spans="2:19" ht="15" customHeight="1" x14ac:dyDescent="0.25">
      <c r="B4286" s="2" t="str">
        <f t="shared" si="132"/>
        <v>PGL_Income Eligible_Multi-Family_Whole Building - Public Housing_Water Heater_Storage 0.67 EF_MF</v>
      </c>
      <c r="C4286" s="2" t="str">
        <f t="shared" si="133"/>
        <v>PGL_Income Eligible_Multi-Family_Whole Building - Public Housing_Water Heater_Storage 0.67 EF_MF_2023</v>
      </c>
      <c r="D4286" s="19" t="s">
        <v>1794</v>
      </c>
      <c r="E4286" s="19" t="s">
        <v>325</v>
      </c>
      <c r="F4286" s="19" t="s">
        <v>1422</v>
      </c>
      <c r="G4286" s="19" t="s">
        <v>1817</v>
      </c>
      <c r="H4286" s="19" t="s">
        <v>8</v>
      </c>
      <c r="I4286" s="19" t="s">
        <v>879</v>
      </c>
      <c r="J4286" s="19" t="s">
        <v>1263</v>
      </c>
      <c r="K4286" s="19" t="s">
        <v>553</v>
      </c>
      <c r="L4286" s="19">
        <v>2023</v>
      </c>
      <c r="M4286" s="20">
        <v>1</v>
      </c>
      <c r="N4286" s="19" t="s">
        <v>1798</v>
      </c>
      <c r="O4286" s="20">
        <v>0</v>
      </c>
      <c r="P4286" s="20">
        <v>0</v>
      </c>
      <c r="Q4286" s="20">
        <v>0</v>
      </c>
      <c r="R4286" s="21">
        <v>1</v>
      </c>
      <c r="S4286" s="20">
        <v>0</v>
      </c>
    </row>
    <row r="4287" spans="2:19" ht="15" customHeight="1" x14ac:dyDescent="0.25">
      <c r="B4287" s="2" t="str">
        <f t="shared" si="132"/>
        <v>PGL_Income Eligible_Multi-Family_Whole Building - Public Housing_Water Heater_Storage 0.67 EF_MF</v>
      </c>
      <c r="C4287" s="2" t="str">
        <f t="shared" si="133"/>
        <v>PGL_Income Eligible_Multi-Family_Whole Building - Public Housing_Water Heater_Storage 0.67 EF_MF_2024</v>
      </c>
      <c r="D4287" s="19" t="s">
        <v>1794</v>
      </c>
      <c r="E4287" s="19" t="s">
        <v>325</v>
      </c>
      <c r="F4287" s="19" t="s">
        <v>1422</v>
      </c>
      <c r="G4287" s="19" t="s">
        <v>1817</v>
      </c>
      <c r="H4287" s="19" t="s">
        <v>8</v>
      </c>
      <c r="I4287" s="19" t="s">
        <v>879</v>
      </c>
      <c r="J4287" s="19" t="s">
        <v>1263</v>
      </c>
      <c r="K4287" s="19" t="s">
        <v>553</v>
      </c>
      <c r="L4287" s="19">
        <v>2024</v>
      </c>
      <c r="M4287" s="20">
        <v>1</v>
      </c>
      <c r="N4287" s="19" t="s">
        <v>1798</v>
      </c>
      <c r="O4287" s="20">
        <v>0</v>
      </c>
      <c r="P4287" s="20">
        <v>0</v>
      </c>
      <c r="Q4287" s="20">
        <v>0</v>
      </c>
      <c r="R4287" s="21">
        <v>1</v>
      </c>
      <c r="S4287" s="20">
        <v>0</v>
      </c>
    </row>
    <row r="4288" spans="2:19" ht="15" customHeight="1" x14ac:dyDescent="0.25">
      <c r="B4288" s="2" t="str">
        <f t="shared" si="132"/>
        <v>PGL_Income Eligible_Multi-Family_Whole Building - Public Housing_Water Heater_Storage 0.67 EF_MF</v>
      </c>
      <c r="C4288" s="2" t="str">
        <f t="shared" si="133"/>
        <v>PGL_Income Eligible_Multi-Family_Whole Building - Public Housing_Water Heater_Storage 0.67 EF_MF_2025</v>
      </c>
      <c r="D4288" s="19" t="s">
        <v>1794</v>
      </c>
      <c r="E4288" s="19" t="s">
        <v>325</v>
      </c>
      <c r="F4288" s="19" t="s">
        <v>1422</v>
      </c>
      <c r="G4288" s="19" t="s">
        <v>1817</v>
      </c>
      <c r="H4288" s="19" t="s">
        <v>8</v>
      </c>
      <c r="I4288" s="19" t="s">
        <v>879</v>
      </c>
      <c r="J4288" s="19" t="s">
        <v>1263</v>
      </c>
      <c r="K4288" s="19" t="s">
        <v>553</v>
      </c>
      <c r="L4288" s="19">
        <v>2025</v>
      </c>
      <c r="M4288" s="20">
        <v>1</v>
      </c>
      <c r="N4288" s="19" t="s">
        <v>1798</v>
      </c>
      <c r="O4288" s="20">
        <v>0</v>
      </c>
      <c r="P4288" s="20">
        <v>0</v>
      </c>
      <c r="Q4288" s="20">
        <v>0</v>
      </c>
      <c r="R4288" s="21">
        <v>1</v>
      </c>
      <c r="S4288" s="20">
        <v>0</v>
      </c>
    </row>
    <row r="4289" spans="2:19" ht="15" customHeight="1" x14ac:dyDescent="0.25">
      <c r="B4289" s="2" t="str">
        <f t="shared" si="132"/>
        <v>PGL_Income Eligible_Multi-Family_Whole Building - Public Housing_Water Heater_Tankless_MF</v>
      </c>
      <c r="C4289" s="2" t="str">
        <f t="shared" si="133"/>
        <v>PGL_Income Eligible_Multi-Family_Whole Building - Public Housing_Water Heater_Tankless_MF_2022</v>
      </c>
      <c r="D4289" s="19" t="s">
        <v>1794</v>
      </c>
      <c r="E4289" s="19" t="s">
        <v>325</v>
      </c>
      <c r="F4289" s="19" t="s">
        <v>1422</v>
      </c>
      <c r="G4289" s="19" t="s">
        <v>1817</v>
      </c>
      <c r="H4289" s="19" t="s">
        <v>8</v>
      </c>
      <c r="I4289" s="19" t="s">
        <v>380</v>
      </c>
      <c r="J4289" s="19" t="s">
        <v>1469</v>
      </c>
      <c r="K4289" s="19" t="s">
        <v>553</v>
      </c>
      <c r="L4289" s="19">
        <v>2022</v>
      </c>
      <c r="M4289" s="20">
        <v>1</v>
      </c>
      <c r="N4289" s="19" t="s">
        <v>1798</v>
      </c>
      <c r="O4289" s="20">
        <v>0</v>
      </c>
      <c r="P4289" s="20">
        <v>0</v>
      </c>
      <c r="Q4289" s="20">
        <v>0</v>
      </c>
      <c r="R4289" s="21">
        <v>1</v>
      </c>
      <c r="S4289" s="20">
        <v>0</v>
      </c>
    </row>
    <row r="4290" spans="2:19" ht="15" customHeight="1" x14ac:dyDescent="0.25">
      <c r="B4290" s="2" t="str">
        <f t="shared" si="132"/>
        <v>PGL_Income Eligible_Multi-Family_Whole Building - Public Housing_Water Heater_Tankless_MF</v>
      </c>
      <c r="C4290" s="2" t="str">
        <f t="shared" si="133"/>
        <v>PGL_Income Eligible_Multi-Family_Whole Building - Public Housing_Water Heater_Tankless_MF_2023</v>
      </c>
      <c r="D4290" s="19" t="s">
        <v>1794</v>
      </c>
      <c r="E4290" s="19" t="s">
        <v>325</v>
      </c>
      <c r="F4290" s="19" t="s">
        <v>1422</v>
      </c>
      <c r="G4290" s="19" t="s">
        <v>1817</v>
      </c>
      <c r="H4290" s="19" t="s">
        <v>8</v>
      </c>
      <c r="I4290" s="19" t="s">
        <v>380</v>
      </c>
      <c r="J4290" s="19" t="s">
        <v>1469</v>
      </c>
      <c r="K4290" s="19" t="s">
        <v>553</v>
      </c>
      <c r="L4290" s="19">
        <v>2023</v>
      </c>
      <c r="M4290" s="20">
        <v>1</v>
      </c>
      <c r="N4290" s="19" t="s">
        <v>1798</v>
      </c>
      <c r="O4290" s="20">
        <v>0</v>
      </c>
      <c r="P4290" s="20">
        <v>0</v>
      </c>
      <c r="Q4290" s="20">
        <v>0</v>
      </c>
      <c r="R4290" s="21">
        <v>1</v>
      </c>
      <c r="S4290" s="20">
        <v>0</v>
      </c>
    </row>
    <row r="4291" spans="2:19" ht="15" customHeight="1" x14ac:dyDescent="0.25">
      <c r="B4291" s="2" t="str">
        <f t="shared" si="132"/>
        <v>PGL_Income Eligible_Multi-Family_Whole Building - Public Housing_Water Heater_Tankless_MF</v>
      </c>
      <c r="C4291" s="2" t="str">
        <f t="shared" si="133"/>
        <v>PGL_Income Eligible_Multi-Family_Whole Building - Public Housing_Water Heater_Tankless_MF_2024</v>
      </c>
      <c r="D4291" s="19" t="s">
        <v>1794</v>
      </c>
      <c r="E4291" s="19" t="s">
        <v>325</v>
      </c>
      <c r="F4291" s="19" t="s">
        <v>1422</v>
      </c>
      <c r="G4291" s="19" t="s">
        <v>1817</v>
      </c>
      <c r="H4291" s="19" t="s">
        <v>8</v>
      </c>
      <c r="I4291" s="19" t="s">
        <v>380</v>
      </c>
      <c r="J4291" s="19" t="s">
        <v>1469</v>
      </c>
      <c r="K4291" s="19" t="s">
        <v>553</v>
      </c>
      <c r="L4291" s="19">
        <v>2024</v>
      </c>
      <c r="M4291" s="20">
        <v>1</v>
      </c>
      <c r="N4291" s="19" t="s">
        <v>1798</v>
      </c>
      <c r="O4291" s="20">
        <v>0</v>
      </c>
      <c r="P4291" s="20">
        <v>0</v>
      </c>
      <c r="Q4291" s="20">
        <v>0</v>
      </c>
      <c r="R4291" s="21">
        <v>1</v>
      </c>
      <c r="S4291" s="20">
        <v>0</v>
      </c>
    </row>
    <row r="4292" spans="2:19" ht="15" customHeight="1" x14ac:dyDescent="0.25">
      <c r="B4292" s="2" t="str">
        <f t="shared" si="132"/>
        <v>PGL_Income Eligible_Multi-Family_Whole Building - Public Housing_Water Heater_Tankless_MF</v>
      </c>
      <c r="C4292" s="2" t="str">
        <f t="shared" si="133"/>
        <v>PGL_Income Eligible_Multi-Family_Whole Building - Public Housing_Water Heater_Tankless_MF_2025</v>
      </c>
      <c r="D4292" s="19" t="s">
        <v>1794</v>
      </c>
      <c r="E4292" s="19" t="s">
        <v>325</v>
      </c>
      <c r="F4292" s="19" t="s">
        <v>1422</v>
      </c>
      <c r="G4292" s="19" t="s">
        <v>1817</v>
      </c>
      <c r="H4292" s="19" t="s">
        <v>8</v>
      </c>
      <c r="I4292" s="19" t="s">
        <v>380</v>
      </c>
      <c r="J4292" s="19" t="s">
        <v>1469</v>
      </c>
      <c r="K4292" s="19" t="s">
        <v>553</v>
      </c>
      <c r="L4292" s="19">
        <v>2025</v>
      </c>
      <c r="M4292" s="20">
        <v>1</v>
      </c>
      <c r="N4292" s="19" t="s">
        <v>1798</v>
      </c>
      <c r="O4292" s="20">
        <v>0</v>
      </c>
      <c r="P4292" s="20">
        <v>0</v>
      </c>
      <c r="Q4292" s="20">
        <v>0</v>
      </c>
      <c r="R4292" s="21">
        <v>1</v>
      </c>
      <c r="S4292" s="20">
        <v>0</v>
      </c>
    </row>
    <row r="4293" spans="2:19" ht="15" customHeight="1" x14ac:dyDescent="0.25">
      <c r="B4293" s="2" t="str">
        <f t="shared" si="132"/>
        <v>PGL_Income Eligible_Multi-Family_Whole Building - Public Housing_Energy Recovery Ventilator_0_CI</v>
      </c>
      <c r="C4293" s="2" t="str">
        <f t="shared" si="133"/>
        <v>PGL_Income Eligible_Multi-Family_Whole Building - Public Housing_Energy Recovery Ventilator_0_CI_2022</v>
      </c>
      <c r="D4293" s="19" t="s">
        <v>1794</v>
      </c>
      <c r="E4293" s="19" t="s">
        <v>325</v>
      </c>
      <c r="F4293" s="19" t="s">
        <v>1422</v>
      </c>
      <c r="G4293" s="19" t="s">
        <v>1817</v>
      </c>
      <c r="H4293" s="19" t="s">
        <v>11</v>
      </c>
      <c r="I4293" s="19">
        <v>0</v>
      </c>
      <c r="J4293" s="19" t="s">
        <v>27</v>
      </c>
      <c r="K4293" s="19" t="s">
        <v>1159</v>
      </c>
      <c r="L4293" s="19">
        <v>2022</v>
      </c>
      <c r="M4293" s="20">
        <v>1</v>
      </c>
      <c r="N4293" s="19" t="s">
        <v>331</v>
      </c>
      <c r="O4293" s="20">
        <v>0</v>
      </c>
      <c r="P4293" s="20">
        <v>0</v>
      </c>
      <c r="Q4293" s="20">
        <v>0</v>
      </c>
      <c r="R4293" s="21">
        <v>1</v>
      </c>
      <c r="S4293" s="20">
        <v>0</v>
      </c>
    </row>
    <row r="4294" spans="2:19" ht="15" customHeight="1" x14ac:dyDescent="0.25">
      <c r="B4294" s="2" t="str">
        <f t="shared" ref="B4294:B4357" si="134">D4294&amp;"_"&amp;E4294&amp;"_"&amp;F4294&amp;"_"&amp;G4294&amp;"_"&amp;H4294&amp;"_"&amp;I4294&amp;"_"&amp;K4294</f>
        <v>PGL_Income Eligible_Multi-Family_Whole Building - Public Housing_Energy Recovery Ventilator_0_CI</v>
      </c>
      <c r="C4294" s="2" t="str">
        <f t="shared" ref="C4294:C4357" si="135">D4294&amp;"_"&amp;E4294&amp;"_"&amp;F4294&amp;"_"&amp;G4294&amp;"_"&amp;H4294&amp;"_"&amp;I4294&amp;"_"&amp;K4294&amp;"_"&amp;L4294</f>
        <v>PGL_Income Eligible_Multi-Family_Whole Building - Public Housing_Energy Recovery Ventilator_0_CI_2023</v>
      </c>
      <c r="D4294" s="19" t="s">
        <v>1794</v>
      </c>
      <c r="E4294" s="19" t="s">
        <v>325</v>
      </c>
      <c r="F4294" s="19" t="s">
        <v>1422</v>
      </c>
      <c r="G4294" s="19" t="s">
        <v>1817</v>
      </c>
      <c r="H4294" s="19" t="s">
        <v>11</v>
      </c>
      <c r="I4294" s="19">
        <v>0</v>
      </c>
      <c r="J4294" s="19" t="s">
        <v>27</v>
      </c>
      <c r="K4294" s="19" t="s">
        <v>1159</v>
      </c>
      <c r="L4294" s="19">
        <v>2023</v>
      </c>
      <c r="M4294" s="20">
        <v>1</v>
      </c>
      <c r="N4294" s="19" t="s">
        <v>331</v>
      </c>
      <c r="O4294" s="20">
        <v>0</v>
      </c>
      <c r="P4294" s="20">
        <v>0</v>
      </c>
      <c r="Q4294" s="20">
        <v>0</v>
      </c>
      <c r="R4294" s="21">
        <v>1</v>
      </c>
      <c r="S4294" s="20">
        <v>0</v>
      </c>
    </row>
    <row r="4295" spans="2:19" ht="15" customHeight="1" x14ac:dyDescent="0.25">
      <c r="B4295" s="2" t="str">
        <f t="shared" si="134"/>
        <v>PGL_Income Eligible_Multi-Family_Whole Building - Public Housing_Energy Recovery Ventilator_0_CI</v>
      </c>
      <c r="C4295" s="2" t="str">
        <f t="shared" si="135"/>
        <v>PGL_Income Eligible_Multi-Family_Whole Building - Public Housing_Energy Recovery Ventilator_0_CI_2024</v>
      </c>
      <c r="D4295" s="19" t="s">
        <v>1794</v>
      </c>
      <c r="E4295" s="19" t="s">
        <v>325</v>
      </c>
      <c r="F4295" s="19" t="s">
        <v>1422</v>
      </c>
      <c r="G4295" s="19" t="s">
        <v>1817</v>
      </c>
      <c r="H4295" s="19" t="s">
        <v>11</v>
      </c>
      <c r="I4295" s="19">
        <v>0</v>
      </c>
      <c r="J4295" s="19" t="s">
        <v>27</v>
      </c>
      <c r="K4295" s="19" t="s">
        <v>1159</v>
      </c>
      <c r="L4295" s="19">
        <v>2024</v>
      </c>
      <c r="M4295" s="20">
        <v>1</v>
      </c>
      <c r="N4295" s="19" t="s">
        <v>331</v>
      </c>
      <c r="O4295" s="20">
        <v>0</v>
      </c>
      <c r="P4295" s="20">
        <v>0</v>
      </c>
      <c r="Q4295" s="20">
        <v>0</v>
      </c>
      <c r="R4295" s="21">
        <v>1</v>
      </c>
      <c r="S4295" s="20">
        <v>0</v>
      </c>
    </row>
    <row r="4296" spans="2:19" ht="15" customHeight="1" x14ac:dyDescent="0.25">
      <c r="B4296" s="2" t="str">
        <f t="shared" si="134"/>
        <v>PGL_Income Eligible_Multi-Family_Whole Building - Public Housing_Energy Recovery Ventilator_0_CI</v>
      </c>
      <c r="C4296" s="2" t="str">
        <f t="shared" si="135"/>
        <v>PGL_Income Eligible_Multi-Family_Whole Building - Public Housing_Energy Recovery Ventilator_0_CI_2025</v>
      </c>
      <c r="D4296" s="19" t="s">
        <v>1794</v>
      </c>
      <c r="E4296" s="19" t="s">
        <v>325</v>
      </c>
      <c r="F4296" s="19" t="s">
        <v>1422</v>
      </c>
      <c r="G4296" s="19" t="s">
        <v>1817</v>
      </c>
      <c r="H4296" s="19" t="s">
        <v>11</v>
      </c>
      <c r="I4296" s="19">
        <v>0</v>
      </c>
      <c r="J4296" s="19" t="s">
        <v>27</v>
      </c>
      <c r="K4296" s="19" t="s">
        <v>1159</v>
      </c>
      <c r="L4296" s="19">
        <v>2025</v>
      </c>
      <c r="M4296" s="20">
        <v>1</v>
      </c>
      <c r="N4296" s="19" t="s">
        <v>331</v>
      </c>
      <c r="O4296" s="20">
        <v>0</v>
      </c>
      <c r="P4296" s="20">
        <v>0</v>
      </c>
      <c r="Q4296" s="20">
        <v>0</v>
      </c>
      <c r="R4296" s="21">
        <v>1</v>
      </c>
      <c r="S4296" s="20">
        <v>0</v>
      </c>
    </row>
    <row r="4297" spans="2:19" ht="15" customHeight="1" x14ac:dyDescent="0.25">
      <c r="B4297" s="2" t="str">
        <f t="shared" si="134"/>
        <v>PGL_Income Eligible_Multi-Family_Partner Trade Ally Rebate_Steam Traps_Test_MF</v>
      </c>
      <c r="C4297" s="2" t="str">
        <f t="shared" si="135"/>
        <v>PGL_Income Eligible_Multi-Family_Partner Trade Ally Rebate_Steam Traps_Test_MF_2022</v>
      </c>
      <c r="D4297" s="19" t="s">
        <v>1794</v>
      </c>
      <c r="E4297" s="19" t="s">
        <v>325</v>
      </c>
      <c r="F4297" s="19" t="s">
        <v>1422</v>
      </c>
      <c r="G4297" s="19" t="s">
        <v>1799</v>
      </c>
      <c r="H4297" s="19" t="s">
        <v>644</v>
      </c>
      <c r="I4297" s="19" t="s">
        <v>1097</v>
      </c>
      <c r="J4297" s="19">
        <v>0</v>
      </c>
      <c r="K4297" s="19" t="s">
        <v>553</v>
      </c>
      <c r="L4297" s="19">
        <v>2022</v>
      </c>
      <c r="M4297" s="20">
        <v>1</v>
      </c>
      <c r="N4297" s="19" t="s">
        <v>1798</v>
      </c>
      <c r="O4297" s="20">
        <v>0</v>
      </c>
      <c r="P4297" s="20">
        <v>0</v>
      </c>
      <c r="Q4297" s="20">
        <v>0</v>
      </c>
      <c r="R4297" s="21">
        <v>1</v>
      </c>
      <c r="S4297" s="20">
        <v>0</v>
      </c>
    </row>
    <row r="4298" spans="2:19" ht="15" customHeight="1" x14ac:dyDescent="0.25">
      <c r="B4298" s="2" t="str">
        <f t="shared" si="134"/>
        <v>PGL_Income Eligible_Multi-Family_Partner Trade Ally Rebate_Steam Traps_Test_MF</v>
      </c>
      <c r="C4298" s="2" t="str">
        <f t="shared" si="135"/>
        <v>PGL_Income Eligible_Multi-Family_Partner Trade Ally Rebate_Steam Traps_Test_MF_2023</v>
      </c>
      <c r="D4298" s="19" t="s">
        <v>1794</v>
      </c>
      <c r="E4298" s="19" t="s">
        <v>325</v>
      </c>
      <c r="F4298" s="19" t="s">
        <v>1422</v>
      </c>
      <c r="G4298" s="19" t="s">
        <v>1799</v>
      </c>
      <c r="H4298" s="19" t="s">
        <v>644</v>
      </c>
      <c r="I4298" s="19" t="s">
        <v>1097</v>
      </c>
      <c r="J4298" s="19">
        <v>0</v>
      </c>
      <c r="K4298" s="19" t="s">
        <v>553</v>
      </c>
      <c r="L4298" s="19">
        <v>2023</v>
      </c>
      <c r="M4298" s="20">
        <v>1</v>
      </c>
      <c r="N4298" s="19" t="s">
        <v>1798</v>
      </c>
      <c r="O4298" s="20">
        <v>0</v>
      </c>
      <c r="P4298" s="20">
        <v>0</v>
      </c>
      <c r="Q4298" s="20">
        <v>0</v>
      </c>
      <c r="R4298" s="21">
        <v>1</v>
      </c>
      <c r="S4298" s="20">
        <v>0</v>
      </c>
    </row>
    <row r="4299" spans="2:19" ht="15" customHeight="1" x14ac:dyDescent="0.25">
      <c r="B4299" s="2" t="str">
        <f t="shared" si="134"/>
        <v>PGL_Income Eligible_Multi-Family_Partner Trade Ally Rebate_Steam Traps_Test_MF</v>
      </c>
      <c r="C4299" s="2" t="str">
        <f t="shared" si="135"/>
        <v>PGL_Income Eligible_Multi-Family_Partner Trade Ally Rebate_Steam Traps_Test_MF_2024</v>
      </c>
      <c r="D4299" s="19" t="s">
        <v>1794</v>
      </c>
      <c r="E4299" s="19" t="s">
        <v>325</v>
      </c>
      <c r="F4299" s="19" t="s">
        <v>1422</v>
      </c>
      <c r="G4299" s="19" t="s">
        <v>1799</v>
      </c>
      <c r="H4299" s="19" t="s">
        <v>644</v>
      </c>
      <c r="I4299" s="19" t="s">
        <v>1097</v>
      </c>
      <c r="J4299" s="19">
        <v>0</v>
      </c>
      <c r="K4299" s="19" t="s">
        <v>553</v>
      </c>
      <c r="L4299" s="19">
        <v>2024</v>
      </c>
      <c r="M4299" s="20">
        <v>1</v>
      </c>
      <c r="N4299" s="19" t="s">
        <v>1798</v>
      </c>
      <c r="O4299" s="20">
        <v>0</v>
      </c>
      <c r="P4299" s="20">
        <v>0</v>
      </c>
      <c r="Q4299" s="20">
        <v>0</v>
      </c>
      <c r="R4299" s="21">
        <v>1</v>
      </c>
      <c r="S4299" s="20">
        <v>0</v>
      </c>
    </row>
    <row r="4300" spans="2:19" ht="15" customHeight="1" x14ac:dyDescent="0.25">
      <c r="B4300" s="2" t="str">
        <f t="shared" si="134"/>
        <v>PGL_Income Eligible_Multi-Family_Partner Trade Ally Rebate_Steam Traps_Test_MF</v>
      </c>
      <c r="C4300" s="2" t="str">
        <f t="shared" si="135"/>
        <v>PGL_Income Eligible_Multi-Family_Partner Trade Ally Rebate_Steam Traps_Test_MF_2025</v>
      </c>
      <c r="D4300" s="19" t="s">
        <v>1794</v>
      </c>
      <c r="E4300" s="19" t="s">
        <v>325</v>
      </c>
      <c r="F4300" s="19" t="s">
        <v>1422</v>
      </c>
      <c r="G4300" s="19" t="s">
        <v>1799</v>
      </c>
      <c r="H4300" s="19" t="s">
        <v>644</v>
      </c>
      <c r="I4300" s="19" t="s">
        <v>1097</v>
      </c>
      <c r="J4300" s="19">
        <v>0</v>
      </c>
      <c r="K4300" s="19" t="s">
        <v>553</v>
      </c>
      <c r="L4300" s="19">
        <v>2025</v>
      </c>
      <c r="M4300" s="20">
        <v>1</v>
      </c>
      <c r="N4300" s="19" t="s">
        <v>1798</v>
      </c>
      <c r="O4300" s="20">
        <v>0</v>
      </c>
      <c r="P4300" s="20">
        <v>0</v>
      </c>
      <c r="Q4300" s="20">
        <v>0</v>
      </c>
      <c r="R4300" s="21">
        <v>1</v>
      </c>
      <c r="S4300" s="20">
        <v>0</v>
      </c>
    </row>
    <row r="4301" spans="2:19" ht="15" customHeight="1" x14ac:dyDescent="0.25">
      <c r="B4301" s="2" t="str">
        <f t="shared" si="134"/>
        <v>PGL_Income Eligible_Multi-Family_Partner Trade Ally Rebate_Steam Traps_HVAC Repair/Rep - Audit_MF</v>
      </c>
      <c r="C4301" s="2" t="str">
        <f t="shared" si="135"/>
        <v>PGL_Income Eligible_Multi-Family_Partner Trade Ally Rebate_Steam Traps_HVAC Repair/Rep - Audit_MF_2022</v>
      </c>
      <c r="D4301" s="19" t="s">
        <v>1794</v>
      </c>
      <c r="E4301" s="19" t="s">
        <v>325</v>
      </c>
      <c r="F4301" s="19" t="s">
        <v>1422</v>
      </c>
      <c r="G4301" s="19" t="s">
        <v>1799</v>
      </c>
      <c r="H4301" s="19" t="s">
        <v>644</v>
      </c>
      <c r="I4301" s="19" t="s">
        <v>645</v>
      </c>
      <c r="J4301" s="19" t="s">
        <v>37</v>
      </c>
      <c r="K4301" s="19" t="s">
        <v>553</v>
      </c>
      <c r="L4301" s="19">
        <v>2022</v>
      </c>
      <c r="M4301" s="20">
        <v>1</v>
      </c>
      <c r="N4301" s="19" t="s">
        <v>1798</v>
      </c>
      <c r="O4301" s="20">
        <v>50</v>
      </c>
      <c r="P4301" s="20">
        <v>50</v>
      </c>
      <c r="Q4301" s="20">
        <v>7910.6172340780276</v>
      </c>
      <c r="R4301" s="21">
        <v>1</v>
      </c>
      <c r="S4301" s="20">
        <v>7910.6172340780276</v>
      </c>
    </row>
    <row r="4302" spans="2:19" ht="15" customHeight="1" x14ac:dyDescent="0.25">
      <c r="B4302" s="2" t="str">
        <f t="shared" si="134"/>
        <v>PGL_Income Eligible_Multi-Family_Partner Trade Ally Rebate_Steam Traps_HVAC Repair/Rep - Audit_MF</v>
      </c>
      <c r="C4302" s="2" t="str">
        <f t="shared" si="135"/>
        <v>PGL_Income Eligible_Multi-Family_Partner Trade Ally Rebate_Steam Traps_HVAC Repair/Rep - Audit_MF_2023</v>
      </c>
      <c r="D4302" s="19" t="s">
        <v>1794</v>
      </c>
      <c r="E4302" s="19" t="s">
        <v>325</v>
      </c>
      <c r="F4302" s="19" t="s">
        <v>1422</v>
      </c>
      <c r="G4302" s="19" t="s">
        <v>1799</v>
      </c>
      <c r="H4302" s="19" t="s">
        <v>644</v>
      </c>
      <c r="I4302" s="19" t="s">
        <v>645</v>
      </c>
      <c r="J4302" s="19" t="s">
        <v>37</v>
      </c>
      <c r="K4302" s="19" t="s">
        <v>553</v>
      </c>
      <c r="L4302" s="19">
        <v>2023</v>
      </c>
      <c r="M4302" s="20">
        <v>1</v>
      </c>
      <c r="N4302" s="19" t="s">
        <v>1798</v>
      </c>
      <c r="O4302" s="20">
        <v>50</v>
      </c>
      <c r="P4302" s="20">
        <v>50</v>
      </c>
      <c r="Q4302" s="20">
        <v>7910.6172340780276</v>
      </c>
      <c r="R4302" s="21">
        <v>1</v>
      </c>
      <c r="S4302" s="20">
        <v>7910.6172340780276</v>
      </c>
    </row>
    <row r="4303" spans="2:19" ht="15" customHeight="1" x14ac:dyDescent="0.25">
      <c r="B4303" s="2" t="str">
        <f t="shared" si="134"/>
        <v>PGL_Income Eligible_Multi-Family_Partner Trade Ally Rebate_Steam Traps_HVAC Repair/Rep - Audit_MF</v>
      </c>
      <c r="C4303" s="2" t="str">
        <f t="shared" si="135"/>
        <v>PGL_Income Eligible_Multi-Family_Partner Trade Ally Rebate_Steam Traps_HVAC Repair/Rep - Audit_MF_2024</v>
      </c>
      <c r="D4303" s="19" t="s">
        <v>1794</v>
      </c>
      <c r="E4303" s="19" t="s">
        <v>325</v>
      </c>
      <c r="F4303" s="19" t="s">
        <v>1422</v>
      </c>
      <c r="G4303" s="19" t="s">
        <v>1799</v>
      </c>
      <c r="H4303" s="19" t="s">
        <v>644</v>
      </c>
      <c r="I4303" s="19" t="s">
        <v>645</v>
      </c>
      <c r="J4303" s="19" t="s">
        <v>37</v>
      </c>
      <c r="K4303" s="19" t="s">
        <v>553</v>
      </c>
      <c r="L4303" s="19">
        <v>2024</v>
      </c>
      <c r="M4303" s="20">
        <v>1</v>
      </c>
      <c r="N4303" s="19" t="s">
        <v>1798</v>
      </c>
      <c r="O4303" s="20">
        <v>50</v>
      </c>
      <c r="P4303" s="20">
        <v>50</v>
      </c>
      <c r="Q4303" s="20">
        <v>7910.6172340780276</v>
      </c>
      <c r="R4303" s="21">
        <v>1</v>
      </c>
      <c r="S4303" s="20">
        <v>7910.6172340780276</v>
      </c>
    </row>
    <row r="4304" spans="2:19" ht="15" customHeight="1" x14ac:dyDescent="0.25">
      <c r="B4304" s="2" t="str">
        <f t="shared" si="134"/>
        <v>PGL_Income Eligible_Multi-Family_Partner Trade Ally Rebate_Steam Traps_HVAC Repair/Rep - Audit_MF</v>
      </c>
      <c r="C4304" s="2" t="str">
        <f t="shared" si="135"/>
        <v>PGL_Income Eligible_Multi-Family_Partner Trade Ally Rebate_Steam Traps_HVAC Repair/Rep - Audit_MF_2025</v>
      </c>
      <c r="D4304" s="19" t="s">
        <v>1794</v>
      </c>
      <c r="E4304" s="19" t="s">
        <v>325</v>
      </c>
      <c r="F4304" s="19" t="s">
        <v>1422</v>
      </c>
      <c r="G4304" s="19" t="s">
        <v>1799</v>
      </c>
      <c r="H4304" s="19" t="s">
        <v>644</v>
      </c>
      <c r="I4304" s="19" t="s">
        <v>645</v>
      </c>
      <c r="J4304" s="19" t="s">
        <v>37</v>
      </c>
      <c r="K4304" s="19" t="s">
        <v>553</v>
      </c>
      <c r="L4304" s="19">
        <v>2025</v>
      </c>
      <c r="M4304" s="20">
        <v>1</v>
      </c>
      <c r="N4304" s="19" t="s">
        <v>1798</v>
      </c>
      <c r="O4304" s="20">
        <v>50</v>
      </c>
      <c r="P4304" s="20">
        <v>50</v>
      </c>
      <c r="Q4304" s="20">
        <v>7910.6172340780276</v>
      </c>
      <c r="R4304" s="21">
        <v>1</v>
      </c>
      <c r="S4304" s="20">
        <v>7910.6172340780276</v>
      </c>
    </row>
    <row r="4305" spans="2:19" ht="15" customHeight="1" x14ac:dyDescent="0.25">
      <c r="B4305" s="2" t="str">
        <f t="shared" si="134"/>
        <v>PGL_Income Eligible_Multi-Family_Partner Trade Ally Rebate_Steam Traps_HVAC Repair/Rep - No Audit_MF</v>
      </c>
      <c r="C4305" s="2" t="str">
        <f t="shared" si="135"/>
        <v>PGL_Income Eligible_Multi-Family_Partner Trade Ally Rebate_Steam Traps_HVAC Repair/Rep - No Audit_MF_2022</v>
      </c>
      <c r="D4305" s="19" t="s">
        <v>1794</v>
      </c>
      <c r="E4305" s="19" t="s">
        <v>325</v>
      </c>
      <c r="F4305" s="19" t="s">
        <v>1422</v>
      </c>
      <c r="G4305" s="19" t="s">
        <v>1799</v>
      </c>
      <c r="H4305" s="19" t="s">
        <v>644</v>
      </c>
      <c r="I4305" s="19" t="s">
        <v>660</v>
      </c>
      <c r="J4305" s="19" t="s">
        <v>37</v>
      </c>
      <c r="K4305" s="19" t="s">
        <v>553</v>
      </c>
      <c r="L4305" s="19">
        <v>2022</v>
      </c>
      <c r="M4305" s="20">
        <v>1</v>
      </c>
      <c r="N4305" s="19" t="s">
        <v>1798</v>
      </c>
      <c r="O4305" s="20">
        <v>30</v>
      </c>
      <c r="P4305" s="20">
        <v>30</v>
      </c>
      <c r="Q4305" s="20">
        <v>1281.5199919206407</v>
      </c>
      <c r="R4305" s="21">
        <v>1</v>
      </c>
      <c r="S4305" s="20">
        <v>1281.5199919206407</v>
      </c>
    </row>
    <row r="4306" spans="2:19" ht="15" customHeight="1" x14ac:dyDescent="0.25">
      <c r="B4306" s="2" t="str">
        <f t="shared" si="134"/>
        <v>PGL_Income Eligible_Multi-Family_Partner Trade Ally Rebate_Steam Traps_HVAC Repair/Rep - No Audit_MF</v>
      </c>
      <c r="C4306" s="2" t="str">
        <f t="shared" si="135"/>
        <v>PGL_Income Eligible_Multi-Family_Partner Trade Ally Rebate_Steam Traps_HVAC Repair/Rep - No Audit_MF_2023</v>
      </c>
      <c r="D4306" s="19" t="s">
        <v>1794</v>
      </c>
      <c r="E4306" s="19" t="s">
        <v>325</v>
      </c>
      <c r="F4306" s="19" t="s">
        <v>1422</v>
      </c>
      <c r="G4306" s="19" t="s">
        <v>1799</v>
      </c>
      <c r="H4306" s="19" t="s">
        <v>644</v>
      </c>
      <c r="I4306" s="19" t="s">
        <v>660</v>
      </c>
      <c r="J4306" s="19" t="s">
        <v>37</v>
      </c>
      <c r="K4306" s="19" t="s">
        <v>553</v>
      </c>
      <c r="L4306" s="19">
        <v>2023</v>
      </c>
      <c r="M4306" s="20">
        <v>1</v>
      </c>
      <c r="N4306" s="19" t="s">
        <v>1798</v>
      </c>
      <c r="O4306" s="20">
        <v>30</v>
      </c>
      <c r="P4306" s="20">
        <v>30</v>
      </c>
      <c r="Q4306" s="20">
        <v>1281.5199919206407</v>
      </c>
      <c r="R4306" s="21">
        <v>1</v>
      </c>
      <c r="S4306" s="20">
        <v>1281.5199919206407</v>
      </c>
    </row>
    <row r="4307" spans="2:19" ht="15" customHeight="1" x14ac:dyDescent="0.25">
      <c r="B4307" s="2" t="str">
        <f t="shared" si="134"/>
        <v>PGL_Income Eligible_Multi-Family_Partner Trade Ally Rebate_Steam Traps_HVAC Repair/Rep - No Audit_MF</v>
      </c>
      <c r="C4307" s="2" t="str">
        <f t="shared" si="135"/>
        <v>PGL_Income Eligible_Multi-Family_Partner Trade Ally Rebate_Steam Traps_HVAC Repair/Rep - No Audit_MF_2024</v>
      </c>
      <c r="D4307" s="19" t="s">
        <v>1794</v>
      </c>
      <c r="E4307" s="19" t="s">
        <v>325</v>
      </c>
      <c r="F4307" s="19" t="s">
        <v>1422</v>
      </c>
      <c r="G4307" s="19" t="s">
        <v>1799</v>
      </c>
      <c r="H4307" s="19" t="s">
        <v>644</v>
      </c>
      <c r="I4307" s="19" t="s">
        <v>660</v>
      </c>
      <c r="J4307" s="19" t="s">
        <v>37</v>
      </c>
      <c r="K4307" s="19" t="s">
        <v>553</v>
      </c>
      <c r="L4307" s="19">
        <v>2024</v>
      </c>
      <c r="M4307" s="20">
        <v>1</v>
      </c>
      <c r="N4307" s="19" t="s">
        <v>1798</v>
      </c>
      <c r="O4307" s="20">
        <v>30</v>
      </c>
      <c r="P4307" s="20">
        <v>30</v>
      </c>
      <c r="Q4307" s="20">
        <v>1281.5199919206407</v>
      </c>
      <c r="R4307" s="21">
        <v>1</v>
      </c>
      <c r="S4307" s="20">
        <v>1281.5199919206407</v>
      </c>
    </row>
    <row r="4308" spans="2:19" ht="15" customHeight="1" x14ac:dyDescent="0.25">
      <c r="B4308" s="2" t="str">
        <f t="shared" si="134"/>
        <v>PGL_Income Eligible_Multi-Family_Partner Trade Ally Rebate_Steam Traps_HVAC Repair/Rep - No Audit_MF</v>
      </c>
      <c r="C4308" s="2" t="str">
        <f t="shared" si="135"/>
        <v>PGL_Income Eligible_Multi-Family_Partner Trade Ally Rebate_Steam Traps_HVAC Repair/Rep - No Audit_MF_2025</v>
      </c>
      <c r="D4308" s="19" t="s">
        <v>1794</v>
      </c>
      <c r="E4308" s="19" t="s">
        <v>325</v>
      </c>
      <c r="F4308" s="19" t="s">
        <v>1422</v>
      </c>
      <c r="G4308" s="19" t="s">
        <v>1799</v>
      </c>
      <c r="H4308" s="19" t="s">
        <v>644</v>
      </c>
      <c r="I4308" s="19" t="s">
        <v>660</v>
      </c>
      <c r="J4308" s="19" t="s">
        <v>37</v>
      </c>
      <c r="K4308" s="19" t="s">
        <v>553</v>
      </c>
      <c r="L4308" s="19">
        <v>2025</v>
      </c>
      <c r="M4308" s="20">
        <v>1</v>
      </c>
      <c r="N4308" s="19" t="s">
        <v>1798</v>
      </c>
      <c r="O4308" s="20">
        <v>30</v>
      </c>
      <c r="P4308" s="20">
        <v>30</v>
      </c>
      <c r="Q4308" s="20">
        <v>1281.5199919206407</v>
      </c>
      <c r="R4308" s="21">
        <v>1</v>
      </c>
      <c r="S4308" s="20">
        <v>1281.5199919206407</v>
      </c>
    </row>
    <row r="4309" spans="2:19" ht="15" customHeight="1" x14ac:dyDescent="0.25">
      <c r="B4309" s="2" t="str">
        <f t="shared" si="134"/>
        <v>PGL_Income Eligible_Multi-Family_Partner Trade Ally Rebate_Pipe Insulation_Hyd. Boiler Sm ≤1.25"_MF</v>
      </c>
      <c r="C4309" s="2" t="str">
        <f t="shared" si="135"/>
        <v>PGL_Income Eligible_Multi-Family_Partner Trade Ally Rebate_Pipe Insulation_Hyd. Boiler Sm ≤1.25"_MF_2022</v>
      </c>
      <c r="D4309" s="19" t="s">
        <v>1794</v>
      </c>
      <c r="E4309" s="19" t="s">
        <v>325</v>
      </c>
      <c r="F4309" s="19" t="s">
        <v>1422</v>
      </c>
      <c r="G4309" s="19" t="s">
        <v>1799</v>
      </c>
      <c r="H4309" s="19" t="s">
        <v>404</v>
      </c>
      <c r="I4309" s="19" t="s">
        <v>947</v>
      </c>
      <c r="J4309" s="19">
        <v>0</v>
      </c>
      <c r="K4309" s="19" t="s">
        <v>553</v>
      </c>
      <c r="L4309" s="19">
        <v>2022</v>
      </c>
      <c r="M4309" s="20">
        <v>75</v>
      </c>
      <c r="N4309" s="19" t="s">
        <v>616</v>
      </c>
      <c r="O4309" s="20">
        <v>40</v>
      </c>
      <c r="P4309" s="20">
        <v>3000</v>
      </c>
      <c r="Q4309" s="20">
        <v>6204.7044230769234</v>
      </c>
      <c r="R4309" s="21">
        <v>1</v>
      </c>
      <c r="S4309" s="20">
        <v>6204.7044230769234</v>
      </c>
    </row>
    <row r="4310" spans="2:19" ht="15" customHeight="1" x14ac:dyDescent="0.25">
      <c r="B4310" s="2" t="str">
        <f t="shared" si="134"/>
        <v>PGL_Income Eligible_Multi-Family_Partner Trade Ally Rebate_Pipe Insulation_Hyd. Boiler Sm ≤1.25"_MF</v>
      </c>
      <c r="C4310" s="2" t="str">
        <f t="shared" si="135"/>
        <v>PGL_Income Eligible_Multi-Family_Partner Trade Ally Rebate_Pipe Insulation_Hyd. Boiler Sm ≤1.25"_MF_2023</v>
      </c>
      <c r="D4310" s="19" t="s">
        <v>1794</v>
      </c>
      <c r="E4310" s="19" t="s">
        <v>325</v>
      </c>
      <c r="F4310" s="19" t="s">
        <v>1422</v>
      </c>
      <c r="G4310" s="19" t="s">
        <v>1799</v>
      </c>
      <c r="H4310" s="19" t="s">
        <v>404</v>
      </c>
      <c r="I4310" s="19" t="s">
        <v>947</v>
      </c>
      <c r="J4310" s="19">
        <v>0</v>
      </c>
      <c r="K4310" s="19" t="s">
        <v>553</v>
      </c>
      <c r="L4310" s="19">
        <v>2023</v>
      </c>
      <c r="M4310" s="20">
        <v>75</v>
      </c>
      <c r="N4310" s="19" t="s">
        <v>616</v>
      </c>
      <c r="O4310" s="20">
        <v>40</v>
      </c>
      <c r="P4310" s="20">
        <v>3000</v>
      </c>
      <c r="Q4310" s="20">
        <v>6204.7044230769234</v>
      </c>
      <c r="R4310" s="21">
        <v>1</v>
      </c>
      <c r="S4310" s="20">
        <v>6204.7044230769234</v>
      </c>
    </row>
    <row r="4311" spans="2:19" ht="15" customHeight="1" x14ac:dyDescent="0.25">
      <c r="B4311" s="2" t="str">
        <f t="shared" si="134"/>
        <v>PGL_Income Eligible_Multi-Family_Partner Trade Ally Rebate_Pipe Insulation_Hyd. Boiler Sm ≤1.25"_MF</v>
      </c>
      <c r="C4311" s="2" t="str">
        <f t="shared" si="135"/>
        <v>PGL_Income Eligible_Multi-Family_Partner Trade Ally Rebate_Pipe Insulation_Hyd. Boiler Sm ≤1.25"_MF_2024</v>
      </c>
      <c r="D4311" s="19" t="s">
        <v>1794</v>
      </c>
      <c r="E4311" s="19" t="s">
        <v>325</v>
      </c>
      <c r="F4311" s="19" t="s">
        <v>1422</v>
      </c>
      <c r="G4311" s="19" t="s">
        <v>1799</v>
      </c>
      <c r="H4311" s="19" t="s">
        <v>404</v>
      </c>
      <c r="I4311" s="19" t="s">
        <v>947</v>
      </c>
      <c r="J4311" s="19">
        <v>0</v>
      </c>
      <c r="K4311" s="19" t="s">
        <v>553</v>
      </c>
      <c r="L4311" s="19">
        <v>2024</v>
      </c>
      <c r="M4311" s="20">
        <v>75</v>
      </c>
      <c r="N4311" s="19" t="s">
        <v>616</v>
      </c>
      <c r="O4311" s="20">
        <v>40</v>
      </c>
      <c r="P4311" s="20">
        <v>3000</v>
      </c>
      <c r="Q4311" s="20">
        <v>6204.7044230769234</v>
      </c>
      <c r="R4311" s="21">
        <v>1</v>
      </c>
      <c r="S4311" s="20">
        <v>6204.7044230769234</v>
      </c>
    </row>
    <row r="4312" spans="2:19" ht="15" customHeight="1" x14ac:dyDescent="0.25">
      <c r="B4312" s="2" t="str">
        <f t="shared" si="134"/>
        <v>PGL_Income Eligible_Multi-Family_Partner Trade Ally Rebate_Pipe Insulation_Hyd. Boiler Sm ≤1.25"_MF</v>
      </c>
      <c r="C4312" s="2" t="str">
        <f t="shared" si="135"/>
        <v>PGL_Income Eligible_Multi-Family_Partner Trade Ally Rebate_Pipe Insulation_Hyd. Boiler Sm ≤1.25"_MF_2025</v>
      </c>
      <c r="D4312" s="19" t="s">
        <v>1794</v>
      </c>
      <c r="E4312" s="19" t="s">
        <v>325</v>
      </c>
      <c r="F4312" s="19" t="s">
        <v>1422</v>
      </c>
      <c r="G4312" s="19" t="s">
        <v>1799</v>
      </c>
      <c r="H4312" s="19" t="s">
        <v>404</v>
      </c>
      <c r="I4312" s="19" t="s">
        <v>947</v>
      </c>
      <c r="J4312" s="19">
        <v>0</v>
      </c>
      <c r="K4312" s="19" t="s">
        <v>553</v>
      </c>
      <c r="L4312" s="19">
        <v>2025</v>
      </c>
      <c r="M4312" s="20">
        <v>75</v>
      </c>
      <c r="N4312" s="19" t="s">
        <v>616</v>
      </c>
      <c r="O4312" s="20">
        <v>40</v>
      </c>
      <c r="P4312" s="20">
        <v>3000</v>
      </c>
      <c r="Q4312" s="20">
        <v>6204.7044230769234</v>
      </c>
      <c r="R4312" s="21">
        <v>1</v>
      </c>
      <c r="S4312" s="20">
        <v>6204.7044230769234</v>
      </c>
    </row>
    <row r="4313" spans="2:19" ht="15" customHeight="1" x14ac:dyDescent="0.25">
      <c r="B4313" s="2" t="str">
        <f t="shared" si="134"/>
        <v>PGL_Income Eligible_Multi-Family_Partner Trade Ally Rebate_Pipe Insulation_Hyd. Boiler Med 1.25-2"_MF</v>
      </c>
      <c r="C4313" s="2" t="str">
        <f t="shared" si="135"/>
        <v>PGL_Income Eligible_Multi-Family_Partner Trade Ally Rebate_Pipe Insulation_Hyd. Boiler Med 1.25-2"_MF_2022</v>
      </c>
      <c r="D4313" s="19" t="s">
        <v>1794</v>
      </c>
      <c r="E4313" s="19" t="s">
        <v>325</v>
      </c>
      <c r="F4313" s="19" t="s">
        <v>1422</v>
      </c>
      <c r="G4313" s="19" t="s">
        <v>1799</v>
      </c>
      <c r="H4313" s="19" t="s">
        <v>404</v>
      </c>
      <c r="I4313" s="19" t="s">
        <v>951</v>
      </c>
      <c r="J4313" s="19">
        <v>0</v>
      </c>
      <c r="K4313" s="19" t="s">
        <v>553</v>
      </c>
      <c r="L4313" s="19">
        <v>2022</v>
      </c>
      <c r="M4313" s="20">
        <v>75</v>
      </c>
      <c r="N4313" s="19" t="s">
        <v>616</v>
      </c>
      <c r="O4313" s="20">
        <v>20</v>
      </c>
      <c r="P4313" s="20">
        <v>1500</v>
      </c>
      <c r="Q4313" s="20">
        <v>5405.2160256410252</v>
      </c>
      <c r="R4313" s="21">
        <v>1</v>
      </c>
      <c r="S4313" s="20">
        <v>5405.2160256410252</v>
      </c>
    </row>
    <row r="4314" spans="2:19" ht="15" customHeight="1" x14ac:dyDescent="0.25">
      <c r="B4314" s="2" t="str">
        <f t="shared" si="134"/>
        <v>PGL_Income Eligible_Multi-Family_Partner Trade Ally Rebate_Pipe Insulation_Hyd. Boiler Med 1.25-2"_MF</v>
      </c>
      <c r="C4314" s="2" t="str">
        <f t="shared" si="135"/>
        <v>PGL_Income Eligible_Multi-Family_Partner Trade Ally Rebate_Pipe Insulation_Hyd. Boiler Med 1.25-2"_MF_2023</v>
      </c>
      <c r="D4314" s="19" t="s">
        <v>1794</v>
      </c>
      <c r="E4314" s="19" t="s">
        <v>325</v>
      </c>
      <c r="F4314" s="19" t="s">
        <v>1422</v>
      </c>
      <c r="G4314" s="19" t="s">
        <v>1799</v>
      </c>
      <c r="H4314" s="19" t="s">
        <v>404</v>
      </c>
      <c r="I4314" s="19" t="s">
        <v>951</v>
      </c>
      <c r="J4314" s="19">
        <v>0</v>
      </c>
      <c r="K4314" s="19" t="s">
        <v>553</v>
      </c>
      <c r="L4314" s="19">
        <v>2023</v>
      </c>
      <c r="M4314" s="20">
        <v>75</v>
      </c>
      <c r="N4314" s="19" t="s">
        <v>616</v>
      </c>
      <c r="O4314" s="20">
        <v>20</v>
      </c>
      <c r="P4314" s="20">
        <v>1500</v>
      </c>
      <c r="Q4314" s="20">
        <v>5405.2160256410252</v>
      </c>
      <c r="R4314" s="21">
        <v>1</v>
      </c>
      <c r="S4314" s="20">
        <v>5405.2160256410252</v>
      </c>
    </row>
    <row r="4315" spans="2:19" ht="15" customHeight="1" x14ac:dyDescent="0.25">
      <c r="B4315" s="2" t="str">
        <f t="shared" si="134"/>
        <v>PGL_Income Eligible_Multi-Family_Partner Trade Ally Rebate_Pipe Insulation_Hyd. Boiler Med 1.25-2"_MF</v>
      </c>
      <c r="C4315" s="2" t="str">
        <f t="shared" si="135"/>
        <v>PGL_Income Eligible_Multi-Family_Partner Trade Ally Rebate_Pipe Insulation_Hyd. Boiler Med 1.25-2"_MF_2024</v>
      </c>
      <c r="D4315" s="19" t="s">
        <v>1794</v>
      </c>
      <c r="E4315" s="19" t="s">
        <v>325</v>
      </c>
      <c r="F4315" s="19" t="s">
        <v>1422</v>
      </c>
      <c r="G4315" s="19" t="s">
        <v>1799</v>
      </c>
      <c r="H4315" s="19" t="s">
        <v>404</v>
      </c>
      <c r="I4315" s="19" t="s">
        <v>951</v>
      </c>
      <c r="J4315" s="19">
        <v>0</v>
      </c>
      <c r="K4315" s="19" t="s">
        <v>553</v>
      </c>
      <c r="L4315" s="19">
        <v>2024</v>
      </c>
      <c r="M4315" s="20">
        <v>75</v>
      </c>
      <c r="N4315" s="19" t="s">
        <v>616</v>
      </c>
      <c r="O4315" s="20">
        <v>20</v>
      </c>
      <c r="P4315" s="20">
        <v>1500</v>
      </c>
      <c r="Q4315" s="20">
        <v>5405.2160256410252</v>
      </c>
      <c r="R4315" s="21">
        <v>1</v>
      </c>
      <c r="S4315" s="20">
        <v>5405.2160256410252</v>
      </c>
    </row>
    <row r="4316" spans="2:19" ht="15" customHeight="1" x14ac:dyDescent="0.25">
      <c r="B4316" s="2" t="str">
        <f t="shared" si="134"/>
        <v>PGL_Income Eligible_Multi-Family_Partner Trade Ally Rebate_Pipe Insulation_Hyd. Boiler Med 1.25-2"_MF</v>
      </c>
      <c r="C4316" s="2" t="str">
        <f t="shared" si="135"/>
        <v>PGL_Income Eligible_Multi-Family_Partner Trade Ally Rebate_Pipe Insulation_Hyd. Boiler Med 1.25-2"_MF_2025</v>
      </c>
      <c r="D4316" s="19" t="s">
        <v>1794</v>
      </c>
      <c r="E4316" s="19" t="s">
        <v>325</v>
      </c>
      <c r="F4316" s="19" t="s">
        <v>1422</v>
      </c>
      <c r="G4316" s="19" t="s">
        <v>1799</v>
      </c>
      <c r="H4316" s="19" t="s">
        <v>404</v>
      </c>
      <c r="I4316" s="19" t="s">
        <v>951</v>
      </c>
      <c r="J4316" s="19">
        <v>0</v>
      </c>
      <c r="K4316" s="19" t="s">
        <v>553</v>
      </c>
      <c r="L4316" s="19">
        <v>2025</v>
      </c>
      <c r="M4316" s="20">
        <v>75</v>
      </c>
      <c r="N4316" s="19" t="s">
        <v>616</v>
      </c>
      <c r="O4316" s="20">
        <v>20</v>
      </c>
      <c r="P4316" s="20">
        <v>1500</v>
      </c>
      <c r="Q4316" s="20">
        <v>5405.2160256410252</v>
      </c>
      <c r="R4316" s="21">
        <v>1</v>
      </c>
      <c r="S4316" s="20">
        <v>5405.2160256410252</v>
      </c>
    </row>
    <row r="4317" spans="2:19" ht="15" customHeight="1" x14ac:dyDescent="0.25">
      <c r="B4317" s="2" t="str">
        <f t="shared" si="134"/>
        <v>PGL_Income Eligible_Multi-Family_Partner Trade Ally Rebate_Pipe Insulation_Hyd. Boiler Large ≥2"_MF</v>
      </c>
      <c r="C4317" s="2" t="str">
        <f t="shared" si="135"/>
        <v>PGL_Income Eligible_Multi-Family_Partner Trade Ally Rebate_Pipe Insulation_Hyd. Boiler Large ≥2"_MF_2022</v>
      </c>
      <c r="D4317" s="19" t="s">
        <v>1794</v>
      </c>
      <c r="E4317" s="19" t="s">
        <v>325</v>
      </c>
      <c r="F4317" s="19" t="s">
        <v>1422</v>
      </c>
      <c r="G4317" s="19" t="s">
        <v>1799</v>
      </c>
      <c r="H4317" s="19" t="s">
        <v>404</v>
      </c>
      <c r="I4317" s="19" t="s">
        <v>952</v>
      </c>
      <c r="J4317" s="19">
        <v>0</v>
      </c>
      <c r="K4317" s="19" t="s">
        <v>553</v>
      </c>
      <c r="L4317" s="19">
        <v>2022</v>
      </c>
      <c r="M4317" s="20">
        <v>75</v>
      </c>
      <c r="N4317" s="19" t="s">
        <v>616</v>
      </c>
      <c r="O4317" s="20">
        <v>25</v>
      </c>
      <c r="P4317" s="20">
        <v>1875</v>
      </c>
      <c r="Q4317" s="20">
        <v>11600.217147435897</v>
      </c>
      <c r="R4317" s="21">
        <v>1</v>
      </c>
      <c r="S4317" s="20">
        <v>11600.217147435897</v>
      </c>
    </row>
    <row r="4318" spans="2:19" ht="15" customHeight="1" x14ac:dyDescent="0.25">
      <c r="B4318" s="2" t="str">
        <f t="shared" si="134"/>
        <v>PGL_Income Eligible_Multi-Family_Partner Trade Ally Rebate_Pipe Insulation_Hyd. Boiler Large ≥2"_MF</v>
      </c>
      <c r="C4318" s="2" t="str">
        <f t="shared" si="135"/>
        <v>PGL_Income Eligible_Multi-Family_Partner Trade Ally Rebate_Pipe Insulation_Hyd. Boiler Large ≥2"_MF_2023</v>
      </c>
      <c r="D4318" s="19" t="s">
        <v>1794</v>
      </c>
      <c r="E4318" s="19" t="s">
        <v>325</v>
      </c>
      <c r="F4318" s="19" t="s">
        <v>1422</v>
      </c>
      <c r="G4318" s="19" t="s">
        <v>1799</v>
      </c>
      <c r="H4318" s="19" t="s">
        <v>404</v>
      </c>
      <c r="I4318" s="19" t="s">
        <v>952</v>
      </c>
      <c r="J4318" s="19">
        <v>0</v>
      </c>
      <c r="K4318" s="19" t="s">
        <v>553</v>
      </c>
      <c r="L4318" s="19">
        <v>2023</v>
      </c>
      <c r="M4318" s="20">
        <v>75</v>
      </c>
      <c r="N4318" s="19" t="s">
        <v>616</v>
      </c>
      <c r="O4318" s="20">
        <v>25</v>
      </c>
      <c r="P4318" s="20">
        <v>1875</v>
      </c>
      <c r="Q4318" s="20">
        <v>11600.217147435897</v>
      </c>
      <c r="R4318" s="21">
        <v>1</v>
      </c>
      <c r="S4318" s="20">
        <v>11600.217147435897</v>
      </c>
    </row>
    <row r="4319" spans="2:19" ht="15" customHeight="1" x14ac:dyDescent="0.25">
      <c r="B4319" s="2" t="str">
        <f t="shared" si="134"/>
        <v>PGL_Income Eligible_Multi-Family_Partner Trade Ally Rebate_Pipe Insulation_Hyd. Boiler Large ≥2"_MF</v>
      </c>
      <c r="C4319" s="2" t="str">
        <f t="shared" si="135"/>
        <v>PGL_Income Eligible_Multi-Family_Partner Trade Ally Rebate_Pipe Insulation_Hyd. Boiler Large ≥2"_MF_2024</v>
      </c>
      <c r="D4319" s="19" t="s">
        <v>1794</v>
      </c>
      <c r="E4319" s="19" t="s">
        <v>325</v>
      </c>
      <c r="F4319" s="19" t="s">
        <v>1422</v>
      </c>
      <c r="G4319" s="19" t="s">
        <v>1799</v>
      </c>
      <c r="H4319" s="19" t="s">
        <v>404</v>
      </c>
      <c r="I4319" s="19" t="s">
        <v>952</v>
      </c>
      <c r="J4319" s="19">
        <v>0</v>
      </c>
      <c r="K4319" s="19" t="s">
        <v>553</v>
      </c>
      <c r="L4319" s="19">
        <v>2024</v>
      </c>
      <c r="M4319" s="20">
        <v>75</v>
      </c>
      <c r="N4319" s="19" t="s">
        <v>616</v>
      </c>
      <c r="O4319" s="20">
        <v>25</v>
      </c>
      <c r="P4319" s="20">
        <v>1875</v>
      </c>
      <c r="Q4319" s="20">
        <v>11600.217147435897</v>
      </c>
      <c r="R4319" s="21">
        <v>1</v>
      </c>
      <c r="S4319" s="20">
        <v>11600.217147435897</v>
      </c>
    </row>
    <row r="4320" spans="2:19" ht="15" customHeight="1" x14ac:dyDescent="0.25">
      <c r="B4320" s="2" t="str">
        <f t="shared" si="134"/>
        <v>PGL_Income Eligible_Multi-Family_Partner Trade Ally Rebate_Pipe Insulation_Hyd. Boiler Large ≥2"_MF</v>
      </c>
      <c r="C4320" s="2" t="str">
        <f t="shared" si="135"/>
        <v>PGL_Income Eligible_Multi-Family_Partner Trade Ally Rebate_Pipe Insulation_Hyd. Boiler Large ≥2"_MF_2025</v>
      </c>
      <c r="D4320" s="19" t="s">
        <v>1794</v>
      </c>
      <c r="E4320" s="19" t="s">
        <v>325</v>
      </c>
      <c r="F4320" s="19" t="s">
        <v>1422</v>
      </c>
      <c r="G4320" s="19" t="s">
        <v>1799</v>
      </c>
      <c r="H4320" s="19" t="s">
        <v>404</v>
      </c>
      <c r="I4320" s="19" t="s">
        <v>952</v>
      </c>
      <c r="J4320" s="19">
        <v>0</v>
      </c>
      <c r="K4320" s="19" t="s">
        <v>553</v>
      </c>
      <c r="L4320" s="19">
        <v>2025</v>
      </c>
      <c r="M4320" s="20">
        <v>75</v>
      </c>
      <c r="N4320" s="19" t="s">
        <v>616</v>
      </c>
      <c r="O4320" s="20">
        <v>25</v>
      </c>
      <c r="P4320" s="20">
        <v>1875</v>
      </c>
      <c r="Q4320" s="20">
        <v>11600.217147435897</v>
      </c>
      <c r="R4320" s="21">
        <v>1</v>
      </c>
      <c r="S4320" s="20">
        <v>11600.217147435897</v>
      </c>
    </row>
    <row r="4321" spans="2:19" ht="15" customHeight="1" x14ac:dyDescent="0.25">
      <c r="B4321" s="2" t="str">
        <f t="shared" si="134"/>
        <v>PGL_Income Eligible_Multi-Family_Partner Trade Ally Rebate_Pipe Insulation_HW Small 1" to 2"_MF/CI/SMB</v>
      </c>
      <c r="C4321" s="2" t="str">
        <f t="shared" si="135"/>
        <v>PGL_Income Eligible_Multi-Family_Partner Trade Ally Rebate_Pipe Insulation_HW Small 1" to 2"_MF/CI/SMB_2022</v>
      </c>
      <c r="D4321" s="19" t="s">
        <v>1794</v>
      </c>
      <c r="E4321" s="19" t="s">
        <v>325</v>
      </c>
      <c r="F4321" s="19" t="s">
        <v>1422</v>
      </c>
      <c r="G4321" s="19" t="s">
        <v>1799</v>
      </c>
      <c r="H4321" s="19" t="s">
        <v>404</v>
      </c>
      <c r="I4321" s="19" t="s">
        <v>953</v>
      </c>
      <c r="J4321" s="19">
        <v>0</v>
      </c>
      <c r="K4321" s="19" t="s">
        <v>662</v>
      </c>
      <c r="L4321" s="19">
        <v>2022</v>
      </c>
      <c r="M4321" s="20">
        <v>75</v>
      </c>
      <c r="N4321" s="19" t="s">
        <v>616</v>
      </c>
      <c r="O4321" s="20">
        <v>35</v>
      </c>
      <c r="P4321" s="20">
        <v>2625</v>
      </c>
      <c r="Q4321" s="20">
        <v>6979.3869931453155</v>
      </c>
      <c r="R4321" s="21">
        <v>1</v>
      </c>
      <c r="S4321" s="20">
        <v>6979.3869931453155</v>
      </c>
    </row>
    <row r="4322" spans="2:19" ht="15" customHeight="1" x14ac:dyDescent="0.25">
      <c r="B4322" s="2" t="str">
        <f t="shared" si="134"/>
        <v>PGL_Income Eligible_Multi-Family_Partner Trade Ally Rebate_Pipe Insulation_HW Small 1" to 2"_MF/CI/SMB</v>
      </c>
      <c r="C4322" s="2" t="str">
        <f t="shared" si="135"/>
        <v>PGL_Income Eligible_Multi-Family_Partner Trade Ally Rebate_Pipe Insulation_HW Small 1" to 2"_MF/CI/SMB_2023</v>
      </c>
      <c r="D4322" s="19" t="s">
        <v>1794</v>
      </c>
      <c r="E4322" s="19" t="s">
        <v>325</v>
      </c>
      <c r="F4322" s="19" t="s">
        <v>1422</v>
      </c>
      <c r="G4322" s="19" t="s">
        <v>1799</v>
      </c>
      <c r="H4322" s="19" t="s">
        <v>404</v>
      </c>
      <c r="I4322" s="19" t="s">
        <v>953</v>
      </c>
      <c r="J4322" s="19">
        <v>0</v>
      </c>
      <c r="K4322" s="19" t="s">
        <v>662</v>
      </c>
      <c r="L4322" s="19">
        <v>2023</v>
      </c>
      <c r="M4322" s="20">
        <v>75</v>
      </c>
      <c r="N4322" s="19" t="s">
        <v>616</v>
      </c>
      <c r="O4322" s="20">
        <v>35</v>
      </c>
      <c r="P4322" s="20">
        <v>2625</v>
      </c>
      <c r="Q4322" s="20">
        <v>6979.3869931453155</v>
      </c>
      <c r="R4322" s="21">
        <v>1</v>
      </c>
      <c r="S4322" s="20">
        <v>6979.3869931453155</v>
      </c>
    </row>
    <row r="4323" spans="2:19" ht="15" customHeight="1" x14ac:dyDescent="0.25">
      <c r="B4323" s="2" t="str">
        <f t="shared" si="134"/>
        <v>PGL_Income Eligible_Multi-Family_Partner Trade Ally Rebate_Pipe Insulation_HW Small 1" to 2"_MF/CI/SMB</v>
      </c>
      <c r="C4323" s="2" t="str">
        <f t="shared" si="135"/>
        <v>PGL_Income Eligible_Multi-Family_Partner Trade Ally Rebate_Pipe Insulation_HW Small 1" to 2"_MF/CI/SMB_2024</v>
      </c>
      <c r="D4323" s="19" t="s">
        <v>1794</v>
      </c>
      <c r="E4323" s="19" t="s">
        <v>325</v>
      </c>
      <c r="F4323" s="19" t="s">
        <v>1422</v>
      </c>
      <c r="G4323" s="19" t="s">
        <v>1799</v>
      </c>
      <c r="H4323" s="19" t="s">
        <v>404</v>
      </c>
      <c r="I4323" s="19" t="s">
        <v>953</v>
      </c>
      <c r="J4323" s="19">
        <v>0</v>
      </c>
      <c r="K4323" s="19" t="s">
        <v>662</v>
      </c>
      <c r="L4323" s="19">
        <v>2024</v>
      </c>
      <c r="M4323" s="20">
        <v>75</v>
      </c>
      <c r="N4323" s="19" t="s">
        <v>616</v>
      </c>
      <c r="O4323" s="20">
        <v>35</v>
      </c>
      <c r="P4323" s="20">
        <v>2625</v>
      </c>
      <c r="Q4323" s="20">
        <v>6979.3869931453155</v>
      </c>
      <c r="R4323" s="21">
        <v>1</v>
      </c>
      <c r="S4323" s="20">
        <v>6979.3869931453155</v>
      </c>
    </row>
    <row r="4324" spans="2:19" ht="15" customHeight="1" x14ac:dyDescent="0.25">
      <c r="B4324" s="2" t="str">
        <f t="shared" si="134"/>
        <v>PGL_Income Eligible_Multi-Family_Partner Trade Ally Rebate_Pipe Insulation_HW Small 1" to 2"_MF/CI/SMB</v>
      </c>
      <c r="C4324" s="2" t="str">
        <f t="shared" si="135"/>
        <v>PGL_Income Eligible_Multi-Family_Partner Trade Ally Rebate_Pipe Insulation_HW Small 1" to 2"_MF/CI/SMB_2025</v>
      </c>
      <c r="D4324" s="19" t="s">
        <v>1794</v>
      </c>
      <c r="E4324" s="19" t="s">
        <v>325</v>
      </c>
      <c r="F4324" s="19" t="s">
        <v>1422</v>
      </c>
      <c r="G4324" s="19" t="s">
        <v>1799</v>
      </c>
      <c r="H4324" s="19" t="s">
        <v>404</v>
      </c>
      <c r="I4324" s="19" t="s">
        <v>953</v>
      </c>
      <c r="J4324" s="19">
        <v>0</v>
      </c>
      <c r="K4324" s="19" t="s">
        <v>662</v>
      </c>
      <c r="L4324" s="19">
        <v>2025</v>
      </c>
      <c r="M4324" s="20">
        <v>75</v>
      </c>
      <c r="N4324" s="19" t="s">
        <v>616</v>
      </c>
      <c r="O4324" s="20">
        <v>35</v>
      </c>
      <c r="P4324" s="20">
        <v>2625</v>
      </c>
      <c r="Q4324" s="20">
        <v>6979.3869931453155</v>
      </c>
      <c r="R4324" s="21">
        <v>1</v>
      </c>
      <c r="S4324" s="20">
        <v>6979.3869931453155</v>
      </c>
    </row>
    <row r="4325" spans="2:19" ht="15" customHeight="1" x14ac:dyDescent="0.25">
      <c r="B4325" s="2" t="str">
        <f t="shared" si="134"/>
        <v>PGL_Income Eligible_Multi-Family_Partner Trade Ally Rebate_Pipe Insulation_HW Medium 2.1" to 4"_MF/CI/SMB</v>
      </c>
      <c r="C4325" s="2" t="str">
        <f t="shared" si="135"/>
        <v>PGL_Income Eligible_Multi-Family_Partner Trade Ally Rebate_Pipe Insulation_HW Medium 2.1" to 4"_MF/CI/SMB_2022</v>
      </c>
      <c r="D4325" s="19" t="s">
        <v>1794</v>
      </c>
      <c r="E4325" s="19" t="s">
        <v>325</v>
      </c>
      <c r="F4325" s="19" t="s">
        <v>1422</v>
      </c>
      <c r="G4325" s="19" t="s">
        <v>1799</v>
      </c>
      <c r="H4325" s="19" t="s">
        <v>404</v>
      </c>
      <c r="I4325" s="19" t="s">
        <v>954</v>
      </c>
      <c r="J4325" s="19">
        <v>0</v>
      </c>
      <c r="K4325" s="19" t="s">
        <v>662</v>
      </c>
      <c r="L4325" s="19">
        <v>2022</v>
      </c>
      <c r="M4325" s="20">
        <v>75</v>
      </c>
      <c r="N4325" s="19" t="s">
        <v>616</v>
      </c>
      <c r="O4325" s="20">
        <v>20</v>
      </c>
      <c r="P4325" s="20">
        <v>1500</v>
      </c>
      <c r="Q4325" s="20">
        <v>7873.8047240646029</v>
      </c>
      <c r="R4325" s="21">
        <v>1</v>
      </c>
      <c r="S4325" s="20">
        <v>7873.8047240646029</v>
      </c>
    </row>
    <row r="4326" spans="2:19" ht="15" customHeight="1" x14ac:dyDescent="0.25">
      <c r="B4326" s="2" t="str">
        <f t="shared" si="134"/>
        <v>PGL_Income Eligible_Multi-Family_Partner Trade Ally Rebate_Pipe Insulation_HW Medium 2.1" to 4"_MF/CI/SMB</v>
      </c>
      <c r="C4326" s="2" t="str">
        <f t="shared" si="135"/>
        <v>PGL_Income Eligible_Multi-Family_Partner Trade Ally Rebate_Pipe Insulation_HW Medium 2.1" to 4"_MF/CI/SMB_2023</v>
      </c>
      <c r="D4326" s="19" t="s">
        <v>1794</v>
      </c>
      <c r="E4326" s="19" t="s">
        <v>325</v>
      </c>
      <c r="F4326" s="19" t="s">
        <v>1422</v>
      </c>
      <c r="G4326" s="19" t="s">
        <v>1799</v>
      </c>
      <c r="H4326" s="19" t="s">
        <v>404</v>
      </c>
      <c r="I4326" s="19" t="s">
        <v>954</v>
      </c>
      <c r="J4326" s="19">
        <v>0</v>
      </c>
      <c r="K4326" s="19" t="s">
        <v>662</v>
      </c>
      <c r="L4326" s="19">
        <v>2023</v>
      </c>
      <c r="M4326" s="20">
        <v>75</v>
      </c>
      <c r="N4326" s="19" t="s">
        <v>616</v>
      </c>
      <c r="O4326" s="20">
        <v>20</v>
      </c>
      <c r="P4326" s="20">
        <v>1500</v>
      </c>
      <c r="Q4326" s="20">
        <v>7873.8047240646029</v>
      </c>
      <c r="R4326" s="21">
        <v>1</v>
      </c>
      <c r="S4326" s="20">
        <v>7873.8047240646029</v>
      </c>
    </row>
    <row r="4327" spans="2:19" ht="15" customHeight="1" x14ac:dyDescent="0.25">
      <c r="B4327" s="2" t="str">
        <f t="shared" si="134"/>
        <v>PGL_Income Eligible_Multi-Family_Partner Trade Ally Rebate_Pipe Insulation_HW Medium 2.1" to 4"_MF/CI/SMB</v>
      </c>
      <c r="C4327" s="2" t="str">
        <f t="shared" si="135"/>
        <v>PGL_Income Eligible_Multi-Family_Partner Trade Ally Rebate_Pipe Insulation_HW Medium 2.1" to 4"_MF/CI/SMB_2024</v>
      </c>
      <c r="D4327" s="19" t="s">
        <v>1794</v>
      </c>
      <c r="E4327" s="19" t="s">
        <v>325</v>
      </c>
      <c r="F4327" s="19" t="s">
        <v>1422</v>
      </c>
      <c r="G4327" s="19" t="s">
        <v>1799</v>
      </c>
      <c r="H4327" s="19" t="s">
        <v>404</v>
      </c>
      <c r="I4327" s="19" t="s">
        <v>954</v>
      </c>
      <c r="J4327" s="19">
        <v>0</v>
      </c>
      <c r="K4327" s="19" t="s">
        <v>662</v>
      </c>
      <c r="L4327" s="19">
        <v>2024</v>
      </c>
      <c r="M4327" s="20">
        <v>75</v>
      </c>
      <c r="N4327" s="19" t="s">
        <v>616</v>
      </c>
      <c r="O4327" s="20">
        <v>20</v>
      </c>
      <c r="P4327" s="20">
        <v>1500</v>
      </c>
      <c r="Q4327" s="20">
        <v>7873.8047240646029</v>
      </c>
      <c r="R4327" s="21">
        <v>1</v>
      </c>
      <c r="S4327" s="20">
        <v>7873.8047240646029</v>
      </c>
    </row>
    <row r="4328" spans="2:19" ht="15" customHeight="1" x14ac:dyDescent="0.25">
      <c r="B4328" s="2" t="str">
        <f t="shared" si="134"/>
        <v>PGL_Income Eligible_Multi-Family_Partner Trade Ally Rebate_Pipe Insulation_HW Medium 2.1" to 4"_MF/CI/SMB</v>
      </c>
      <c r="C4328" s="2" t="str">
        <f t="shared" si="135"/>
        <v>PGL_Income Eligible_Multi-Family_Partner Trade Ally Rebate_Pipe Insulation_HW Medium 2.1" to 4"_MF/CI/SMB_2025</v>
      </c>
      <c r="D4328" s="19" t="s">
        <v>1794</v>
      </c>
      <c r="E4328" s="19" t="s">
        <v>325</v>
      </c>
      <c r="F4328" s="19" t="s">
        <v>1422</v>
      </c>
      <c r="G4328" s="19" t="s">
        <v>1799</v>
      </c>
      <c r="H4328" s="19" t="s">
        <v>404</v>
      </c>
      <c r="I4328" s="19" t="s">
        <v>954</v>
      </c>
      <c r="J4328" s="19">
        <v>0</v>
      </c>
      <c r="K4328" s="19" t="s">
        <v>662</v>
      </c>
      <c r="L4328" s="19">
        <v>2025</v>
      </c>
      <c r="M4328" s="20">
        <v>75</v>
      </c>
      <c r="N4328" s="19" t="s">
        <v>616</v>
      </c>
      <c r="O4328" s="20">
        <v>20</v>
      </c>
      <c r="P4328" s="20">
        <v>1500</v>
      </c>
      <c r="Q4328" s="20">
        <v>7873.8047240646029</v>
      </c>
      <c r="R4328" s="21">
        <v>1</v>
      </c>
      <c r="S4328" s="20">
        <v>7873.8047240646029</v>
      </c>
    </row>
    <row r="4329" spans="2:19" ht="15" customHeight="1" x14ac:dyDescent="0.25">
      <c r="B4329" s="2" t="str">
        <f t="shared" si="134"/>
        <v>PGL_Income Eligible_Multi-Family_Partner Trade Ally Rebate_Pipe Insulation_HW Large &gt;4"_MF/CI/SMB</v>
      </c>
      <c r="C4329" s="2" t="str">
        <f t="shared" si="135"/>
        <v>PGL_Income Eligible_Multi-Family_Partner Trade Ally Rebate_Pipe Insulation_HW Large &gt;4"_MF/CI/SMB_2022</v>
      </c>
      <c r="D4329" s="19" t="s">
        <v>1794</v>
      </c>
      <c r="E4329" s="19" t="s">
        <v>325</v>
      </c>
      <c r="F4329" s="19" t="s">
        <v>1422</v>
      </c>
      <c r="G4329" s="19" t="s">
        <v>1799</v>
      </c>
      <c r="H4329" s="19" t="s">
        <v>404</v>
      </c>
      <c r="I4329" s="19" t="s">
        <v>955</v>
      </c>
      <c r="J4329" s="19">
        <v>0</v>
      </c>
      <c r="K4329" s="19" t="s">
        <v>662</v>
      </c>
      <c r="L4329" s="19">
        <v>2022</v>
      </c>
      <c r="M4329" s="20">
        <v>75</v>
      </c>
      <c r="N4329" s="19" t="s">
        <v>616</v>
      </c>
      <c r="O4329" s="20">
        <v>32</v>
      </c>
      <c r="P4329" s="20">
        <v>2400</v>
      </c>
      <c r="Q4329" s="20">
        <v>21697.827140618083</v>
      </c>
      <c r="R4329" s="21">
        <v>1</v>
      </c>
      <c r="S4329" s="20">
        <v>21697.827140618083</v>
      </c>
    </row>
    <row r="4330" spans="2:19" ht="15" customHeight="1" x14ac:dyDescent="0.25">
      <c r="B4330" s="2" t="str">
        <f t="shared" si="134"/>
        <v>PGL_Income Eligible_Multi-Family_Partner Trade Ally Rebate_Pipe Insulation_HW Large &gt;4"_MF/CI/SMB</v>
      </c>
      <c r="C4330" s="2" t="str">
        <f t="shared" si="135"/>
        <v>PGL_Income Eligible_Multi-Family_Partner Trade Ally Rebate_Pipe Insulation_HW Large &gt;4"_MF/CI/SMB_2023</v>
      </c>
      <c r="D4330" s="19" t="s">
        <v>1794</v>
      </c>
      <c r="E4330" s="19" t="s">
        <v>325</v>
      </c>
      <c r="F4330" s="19" t="s">
        <v>1422</v>
      </c>
      <c r="G4330" s="19" t="s">
        <v>1799</v>
      </c>
      <c r="H4330" s="19" t="s">
        <v>404</v>
      </c>
      <c r="I4330" s="19" t="s">
        <v>955</v>
      </c>
      <c r="J4330" s="19">
        <v>0</v>
      </c>
      <c r="K4330" s="19" t="s">
        <v>662</v>
      </c>
      <c r="L4330" s="19">
        <v>2023</v>
      </c>
      <c r="M4330" s="20">
        <v>75</v>
      </c>
      <c r="N4330" s="19" t="s">
        <v>616</v>
      </c>
      <c r="O4330" s="20">
        <v>32</v>
      </c>
      <c r="P4330" s="20">
        <v>2400</v>
      </c>
      <c r="Q4330" s="20">
        <v>21697.827140618083</v>
      </c>
      <c r="R4330" s="21">
        <v>1</v>
      </c>
      <c r="S4330" s="20">
        <v>21697.827140618083</v>
      </c>
    </row>
    <row r="4331" spans="2:19" ht="15" customHeight="1" x14ac:dyDescent="0.25">
      <c r="B4331" s="2" t="str">
        <f t="shared" si="134"/>
        <v>PGL_Income Eligible_Multi-Family_Partner Trade Ally Rebate_Pipe Insulation_HW Large &gt;4"_MF/CI/SMB</v>
      </c>
      <c r="C4331" s="2" t="str">
        <f t="shared" si="135"/>
        <v>PGL_Income Eligible_Multi-Family_Partner Trade Ally Rebate_Pipe Insulation_HW Large &gt;4"_MF/CI/SMB_2024</v>
      </c>
      <c r="D4331" s="19" t="s">
        <v>1794</v>
      </c>
      <c r="E4331" s="19" t="s">
        <v>325</v>
      </c>
      <c r="F4331" s="19" t="s">
        <v>1422</v>
      </c>
      <c r="G4331" s="19" t="s">
        <v>1799</v>
      </c>
      <c r="H4331" s="19" t="s">
        <v>404</v>
      </c>
      <c r="I4331" s="19" t="s">
        <v>955</v>
      </c>
      <c r="J4331" s="19">
        <v>0</v>
      </c>
      <c r="K4331" s="19" t="s">
        <v>662</v>
      </c>
      <c r="L4331" s="19">
        <v>2024</v>
      </c>
      <c r="M4331" s="20">
        <v>75</v>
      </c>
      <c r="N4331" s="19" t="s">
        <v>616</v>
      </c>
      <c r="O4331" s="20">
        <v>32</v>
      </c>
      <c r="P4331" s="20">
        <v>2400</v>
      </c>
      <c r="Q4331" s="20">
        <v>21697.827140618083</v>
      </c>
      <c r="R4331" s="21">
        <v>1</v>
      </c>
      <c r="S4331" s="20">
        <v>21697.827140618083</v>
      </c>
    </row>
    <row r="4332" spans="2:19" ht="15" customHeight="1" x14ac:dyDescent="0.25">
      <c r="B4332" s="2" t="str">
        <f t="shared" si="134"/>
        <v>PGL_Income Eligible_Multi-Family_Partner Trade Ally Rebate_Pipe Insulation_HW Large &gt;4"_MF/CI/SMB</v>
      </c>
      <c r="C4332" s="2" t="str">
        <f t="shared" si="135"/>
        <v>PGL_Income Eligible_Multi-Family_Partner Trade Ally Rebate_Pipe Insulation_HW Large &gt;4"_MF/CI/SMB_2025</v>
      </c>
      <c r="D4332" s="19" t="s">
        <v>1794</v>
      </c>
      <c r="E4332" s="19" t="s">
        <v>325</v>
      </c>
      <c r="F4332" s="19" t="s">
        <v>1422</v>
      </c>
      <c r="G4332" s="19" t="s">
        <v>1799</v>
      </c>
      <c r="H4332" s="19" t="s">
        <v>404</v>
      </c>
      <c r="I4332" s="19" t="s">
        <v>955</v>
      </c>
      <c r="J4332" s="19">
        <v>0</v>
      </c>
      <c r="K4332" s="19" t="s">
        <v>662</v>
      </c>
      <c r="L4332" s="19">
        <v>2025</v>
      </c>
      <c r="M4332" s="20">
        <v>75</v>
      </c>
      <c r="N4332" s="19" t="s">
        <v>616</v>
      </c>
      <c r="O4332" s="20">
        <v>32</v>
      </c>
      <c r="P4332" s="20">
        <v>2400</v>
      </c>
      <c r="Q4332" s="20">
        <v>21697.827140618083</v>
      </c>
      <c r="R4332" s="21">
        <v>1</v>
      </c>
      <c r="S4332" s="20">
        <v>21697.827140618083</v>
      </c>
    </row>
    <row r="4333" spans="2:19" ht="15" customHeight="1" x14ac:dyDescent="0.25">
      <c r="B4333" s="2" t="str">
        <f t="shared" si="134"/>
        <v>PGL_Income Eligible_Multi-Family_Partner Trade Ally Rebate_Pipe Insulation_Steam - Small 1" to 2"_MF</v>
      </c>
      <c r="C4333" s="2" t="str">
        <f t="shared" si="135"/>
        <v>PGL_Income Eligible_Multi-Family_Partner Trade Ally Rebate_Pipe Insulation_Steam - Small 1" to 2"_MF_2022</v>
      </c>
      <c r="D4333" s="19" t="s">
        <v>1794</v>
      </c>
      <c r="E4333" s="19" t="s">
        <v>325</v>
      </c>
      <c r="F4333" s="19" t="s">
        <v>1422</v>
      </c>
      <c r="G4333" s="19" t="s">
        <v>1799</v>
      </c>
      <c r="H4333" s="19" t="s">
        <v>404</v>
      </c>
      <c r="I4333" s="19" t="s">
        <v>956</v>
      </c>
      <c r="J4333" s="19">
        <v>0</v>
      </c>
      <c r="K4333" s="19" t="s">
        <v>553</v>
      </c>
      <c r="L4333" s="19">
        <v>2022</v>
      </c>
      <c r="M4333" s="20">
        <v>75</v>
      </c>
      <c r="N4333" s="19" t="s">
        <v>616</v>
      </c>
      <c r="O4333" s="20">
        <v>9</v>
      </c>
      <c r="P4333" s="20">
        <v>675</v>
      </c>
      <c r="Q4333" s="20">
        <v>2677.7905143447438</v>
      </c>
      <c r="R4333" s="21">
        <v>1</v>
      </c>
      <c r="S4333" s="20">
        <v>2677.7905143447438</v>
      </c>
    </row>
    <row r="4334" spans="2:19" ht="15" customHeight="1" x14ac:dyDescent="0.25">
      <c r="B4334" s="2" t="str">
        <f t="shared" si="134"/>
        <v>PGL_Income Eligible_Multi-Family_Partner Trade Ally Rebate_Pipe Insulation_Steam - Small 1" to 2"_MF</v>
      </c>
      <c r="C4334" s="2" t="str">
        <f t="shared" si="135"/>
        <v>PGL_Income Eligible_Multi-Family_Partner Trade Ally Rebate_Pipe Insulation_Steam - Small 1" to 2"_MF_2023</v>
      </c>
      <c r="D4334" s="19" t="s">
        <v>1794</v>
      </c>
      <c r="E4334" s="19" t="s">
        <v>325</v>
      </c>
      <c r="F4334" s="19" t="s">
        <v>1422</v>
      </c>
      <c r="G4334" s="19" t="s">
        <v>1799</v>
      </c>
      <c r="H4334" s="19" t="s">
        <v>404</v>
      </c>
      <c r="I4334" s="19" t="s">
        <v>956</v>
      </c>
      <c r="J4334" s="19">
        <v>0</v>
      </c>
      <c r="K4334" s="19" t="s">
        <v>553</v>
      </c>
      <c r="L4334" s="19">
        <v>2023</v>
      </c>
      <c r="M4334" s="20">
        <v>75</v>
      </c>
      <c r="N4334" s="19" t="s">
        <v>616</v>
      </c>
      <c r="O4334" s="20">
        <v>9</v>
      </c>
      <c r="P4334" s="20">
        <v>675</v>
      </c>
      <c r="Q4334" s="20">
        <v>2677.7905143447438</v>
      </c>
      <c r="R4334" s="21">
        <v>1</v>
      </c>
      <c r="S4334" s="20">
        <v>2677.7905143447438</v>
      </c>
    </row>
    <row r="4335" spans="2:19" ht="15" customHeight="1" x14ac:dyDescent="0.25">
      <c r="B4335" s="2" t="str">
        <f t="shared" si="134"/>
        <v>PGL_Income Eligible_Multi-Family_Partner Trade Ally Rebate_Pipe Insulation_Steam - Small 1" to 2"_MF</v>
      </c>
      <c r="C4335" s="2" t="str">
        <f t="shared" si="135"/>
        <v>PGL_Income Eligible_Multi-Family_Partner Trade Ally Rebate_Pipe Insulation_Steam - Small 1" to 2"_MF_2024</v>
      </c>
      <c r="D4335" s="19" t="s">
        <v>1794</v>
      </c>
      <c r="E4335" s="19" t="s">
        <v>325</v>
      </c>
      <c r="F4335" s="19" t="s">
        <v>1422</v>
      </c>
      <c r="G4335" s="19" t="s">
        <v>1799</v>
      </c>
      <c r="H4335" s="19" t="s">
        <v>404</v>
      </c>
      <c r="I4335" s="19" t="s">
        <v>956</v>
      </c>
      <c r="J4335" s="19">
        <v>0</v>
      </c>
      <c r="K4335" s="19" t="s">
        <v>553</v>
      </c>
      <c r="L4335" s="19">
        <v>2024</v>
      </c>
      <c r="M4335" s="20">
        <v>75</v>
      </c>
      <c r="N4335" s="19" t="s">
        <v>616</v>
      </c>
      <c r="O4335" s="20">
        <v>9</v>
      </c>
      <c r="P4335" s="20">
        <v>675</v>
      </c>
      <c r="Q4335" s="20">
        <v>2677.7905143447438</v>
      </c>
      <c r="R4335" s="21">
        <v>1</v>
      </c>
      <c r="S4335" s="20">
        <v>2677.7905143447438</v>
      </c>
    </row>
    <row r="4336" spans="2:19" ht="15" customHeight="1" x14ac:dyDescent="0.25">
      <c r="B4336" s="2" t="str">
        <f t="shared" si="134"/>
        <v>PGL_Income Eligible_Multi-Family_Partner Trade Ally Rebate_Pipe Insulation_Steam - Small 1" to 2"_MF</v>
      </c>
      <c r="C4336" s="2" t="str">
        <f t="shared" si="135"/>
        <v>PGL_Income Eligible_Multi-Family_Partner Trade Ally Rebate_Pipe Insulation_Steam - Small 1" to 2"_MF_2025</v>
      </c>
      <c r="D4336" s="19" t="s">
        <v>1794</v>
      </c>
      <c r="E4336" s="19" t="s">
        <v>325</v>
      </c>
      <c r="F4336" s="19" t="s">
        <v>1422</v>
      </c>
      <c r="G4336" s="19" t="s">
        <v>1799</v>
      </c>
      <c r="H4336" s="19" t="s">
        <v>404</v>
      </c>
      <c r="I4336" s="19" t="s">
        <v>956</v>
      </c>
      <c r="J4336" s="19">
        <v>0</v>
      </c>
      <c r="K4336" s="19" t="s">
        <v>553</v>
      </c>
      <c r="L4336" s="19">
        <v>2025</v>
      </c>
      <c r="M4336" s="20">
        <v>75</v>
      </c>
      <c r="N4336" s="19" t="s">
        <v>616</v>
      </c>
      <c r="O4336" s="20">
        <v>9</v>
      </c>
      <c r="P4336" s="20">
        <v>675</v>
      </c>
      <c r="Q4336" s="20">
        <v>2677.7905143447438</v>
      </c>
      <c r="R4336" s="21">
        <v>1</v>
      </c>
      <c r="S4336" s="20">
        <v>2677.7905143447438</v>
      </c>
    </row>
    <row r="4337" spans="2:19" ht="15" customHeight="1" x14ac:dyDescent="0.25">
      <c r="B4337" s="2" t="str">
        <f t="shared" si="134"/>
        <v>PGL_Income Eligible_Multi-Family_Partner Trade Ally Rebate_Pipe Insulation_Steam - Med 2.1" to 5"_MF</v>
      </c>
      <c r="C4337" s="2" t="str">
        <f t="shared" si="135"/>
        <v>PGL_Income Eligible_Multi-Family_Partner Trade Ally Rebate_Pipe Insulation_Steam - Med 2.1" to 5"_MF_2022</v>
      </c>
      <c r="D4337" s="19" t="s">
        <v>1794</v>
      </c>
      <c r="E4337" s="19" t="s">
        <v>325</v>
      </c>
      <c r="F4337" s="19" t="s">
        <v>1422</v>
      </c>
      <c r="G4337" s="19" t="s">
        <v>1799</v>
      </c>
      <c r="H4337" s="19" t="s">
        <v>404</v>
      </c>
      <c r="I4337" s="19" t="s">
        <v>957</v>
      </c>
      <c r="J4337" s="19">
        <v>0</v>
      </c>
      <c r="K4337" s="19" t="s">
        <v>553</v>
      </c>
      <c r="L4337" s="19">
        <v>2022</v>
      </c>
      <c r="M4337" s="20">
        <v>75</v>
      </c>
      <c r="N4337" s="19" t="s">
        <v>616</v>
      </c>
      <c r="O4337" s="20">
        <v>20</v>
      </c>
      <c r="P4337" s="20">
        <v>1500</v>
      </c>
      <c r="Q4337" s="20">
        <v>23931.745810531396</v>
      </c>
      <c r="R4337" s="21">
        <v>1</v>
      </c>
      <c r="S4337" s="20">
        <v>23931.745810531396</v>
      </c>
    </row>
    <row r="4338" spans="2:19" ht="15" customHeight="1" x14ac:dyDescent="0.25">
      <c r="B4338" s="2" t="str">
        <f t="shared" si="134"/>
        <v>PGL_Income Eligible_Multi-Family_Partner Trade Ally Rebate_Pipe Insulation_Steam - Med 2.1" to 5"_MF</v>
      </c>
      <c r="C4338" s="2" t="str">
        <f t="shared" si="135"/>
        <v>PGL_Income Eligible_Multi-Family_Partner Trade Ally Rebate_Pipe Insulation_Steam - Med 2.1" to 5"_MF_2023</v>
      </c>
      <c r="D4338" s="19" t="s">
        <v>1794</v>
      </c>
      <c r="E4338" s="19" t="s">
        <v>325</v>
      </c>
      <c r="F4338" s="19" t="s">
        <v>1422</v>
      </c>
      <c r="G4338" s="19" t="s">
        <v>1799</v>
      </c>
      <c r="H4338" s="19" t="s">
        <v>404</v>
      </c>
      <c r="I4338" s="19" t="s">
        <v>957</v>
      </c>
      <c r="J4338" s="19">
        <v>0</v>
      </c>
      <c r="K4338" s="19" t="s">
        <v>553</v>
      </c>
      <c r="L4338" s="19">
        <v>2023</v>
      </c>
      <c r="M4338" s="20">
        <v>75</v>
      </c>
      <c r="N4338" s="19" t="s">
        <v>616</v>
      </c>
      <c r="O4338" s="20">
        <v>20</v>
      </c>
      <c r="P4338" s="20">
        <v>1500</v>
      </c>
      <c r="Q4338" s="20">
        <v>23931.745810531396</v>
      </c>
      <c r="R4338" s="21">
        <v>1</v>
      </c>
      <c r="S4338" s="20">
        <v>23931.745810531396</v>
      </c>
    </row>
    <row r="4339" spans="2:19" ht="15" customHeight="1" x14ac:dyDescent="0.25">
      <c r="B4339" s="2" t="str">
        <f t="shared" si="134"/>
        <v>PGL_Income Eligible_Multi-Family_Partner Trade Ally Rebate_Pipe Insulation_Steam - Med 2.1" to 5"_MF</v>
      </c>
      <c r="C4339" s="2" t="str">
        <f t="shared" si="135"/>
        <v>PGL_Income Eligible_Multi-Family_Partner Trade Ally Rebate_Pipe Insulation_Steam - Med 2.1" to 5"_MF_2024</v>
      </c>
      <c r="D4339" s="19" t="s">
        <v>1794</v>
      </c>
      <c r="E4339" s="19" t="s">
        <v>325</v>
      </c>
      <c r="F4339" s="19" t="s">
        <v>1422</v>
      </c>
      <c r="G4339" s="19" t="s">
        <v>1799</v>
      </c>
      <c r="H4339" s="19" t="s">
        <v>404</v>
      </c>
      <c r="I4339" s="19" t="s">
        <v>957</v>
      </c>
      <c r="J4339" s="19">
        <v>0</v>
      </c>
      <c r="K4339" s="19" t="s">
        <v>553</v>
      </c>
      <c r="L4339" s="19">
        <v>2024</v>
      </c>
      <c r="M4339" s="20">
        <v>75</v>
      </c>
      <c r="N4339" s="19" t="s">
        <v>616</v>
      </c>
      <c r="O4339" s="20">
        <v>20</v>
      </c>
      <c r="P4339" s="20">
        <v>1500</v>
      </c>
      <c r="Q4339" s="20">
        <v>23931.745810531396</v>
      </c>
      <c r="R4339" s="21">
        <v>1</v>
      </c>
      <c r="S4339" s="20">
        <v>23931.745810531396</v>
      </c>
    </row>
    <row r="4340" spans="2:19" ht="15" customHeight="1" x14ac:dyDescent="0.25">
      <c r="B4340" s="2" t="str">
        <f t="shared" si="134"/>
        <v>PGL_Income Eligible_Multi-Family_Partner Trade Ally Rebate_Pipe Insulation_Steam - Med 2.1" to 5"_MF</v>
      </c>
      <c r="C4340" s="2" t="str">
        <f t="shared" si="135"/>
        <v>PGL_Income Eligible_Multi-Family_Partner Trade Ally Rebate_Pipe Insulation_Steam - Med 2.1" to 5"_MF_2025</v>
      </c>
      <c r="D4340" s="19" t="s">
        <v>1794</v>
      </c>
      <c r="E4340" s="19" t="s">
        <v>325</v>
      </c>
      <c r="F4340" s="19" t="s">
        <v>1422</v>
      </c>
      <c r="G4340" s="19" t="s">
        <v>1799</v>
      </c>
      <c r="H4340" s="19" t="s">
        <v>404</v>
      </c>
      <c r="I4340" s="19" t="s">
        <v>957</v>
      </c>
      <c r="J4340" s="19">
        <v>0</v>
      </c>
      <c r="K4340" s="19" t="s">
        <v>553</v>
      </c>
      <c r="L4340" s="19">
        <v>2025</v>
      </c>
      <c r="M4340" s="20">
        <v>75</v>
      </c>
      <c r="N4340" s="19" t="s">
        <v>616</v>
      </c>
      <c r="O4340" s="20">
        <v>20</v>
      </c>
      <c r="P4340" s="20">
        <v>1500</v>
      </c>
      <c r="Q4340" s="20">
        <v>23931.745810531396</v>
      </c>
      <c r="R4340" s="21">
        <v>1</v>
      </c>
      <c r="S4340" s="20">
        <v>23931.745810531396</v>
      </c>
    </row>
    <row r="4341" spans="2:19" ht="15" customHeight="1" x14ac:dyDescent="0.25">
      <c r="B4341" s="2" t="str">
        <f t="shared" si="134"/>
        <v>PGL_Income Eligible_Multi-Family_Partner Trade Ally Rebate_Pipe Insulation_Steam - Large 5.1" to 8"_MF</v>
      </c>
      <c r="C4341" s="2" t="str">
        <f t="shared" si="135"/>
        <v>PGL_Income Eligible_Multi-Family_Partner Trade Ally Rebate_Pipe Insulation_Steam - Large 5.1" to 8"_MF_2022</v>
      </c>
      <c r="D4341" s="19" t="s">
        <v>1794</v>
      </c>
      <c r="E4341" s="19" t="s">
        <v>325</v>
      </c>
      <c r="F4341" s="19" t="s">
        <v>1422</v>
      </c>
      <c r="G4341" s="19" t="s">
        <v>1799</v>
      </c>
      <c r="H4341" s="19" t="s">
        <v>404</v>
      </c>
      <c r="I4341" s="19" t="s">
        <v>958</v>
      </c>
      <c r="J4341" s="19">
        <v>0</v>
      </c>
      <c r="K4341" s="19" t="s">
        <v>553</v>
      </c>
      <c r="L4341" s="19">
        <v>2022</v>
      </c>
      <c r="M4341" s="20">
        <v>75</v>
      </c>
      <c r="N4341" s="19" t="s">
        <v>616</v>
      </c>
      <c r="O4341" s="20">
        <v>4</v>
      </c>
      <c r="P4341" s="20">
        <v>300</v>
      </c>
      <c r="Q4341" s="20">
        <v>9340.1894562310481</v>
      </c>
      <c r="R4341" s="21">
        <v>1</v>
      </c>
      <c r="S4341" s="20">
        <v>9340.1894562310481</v>
      </c>
    </row>
    <row r="4342" spans="2:19" ht="15" customHeight="1" x14ac:dyDescent="0.25">
      <c r="B4342" s="2" t="str">
        <f t="shared" si="134"/>
        <v>PGL_Income Eligible_Multi-Family_Partner Trade Ally Rebate_Pipe Insulation_Steam - Large 5.1" to 8"_MF</v>
      </c>
      <c r="C4342" s="2" t="str">
        <f t="shared" si="135"/>
        <v>PGL_Income Eligible_Multi-Family_Partner Trade Ally Rebate_Pipe Insulation_Steam - Large 5.1" to 8"_MF_2023</v>
      </c>
      <c r="D4342" s="19" t="s">
        <v>1794</v>
      </c>
      <c r="E4342" s="19" t="s">
        <v>325</v>
      </c>
      <c r="F4342" s="19" t="s">
        <v>1422</v>
      </c>
      <c r="G4342" s="19" t="s">
        <v>1799</v>
      </c>
      <c r="H4342" s="19" t="s">
        <v>404</v>
      </c>
      <c r="I4342" s="19" t="s">
        <v>958</v>
      </c>
      <c r="J4342" s="19">
        <v>0</v>
      </c>
      <c r="K4342" s="19" t="s">
        <v>553</v>
      </c>
      <c r="L4342" s="19">
        <v>2023</v>
      </c>
      <c r="M4342" s="20">
        <v>75</v>
      </c>
      <c r="N4342" s="19" t="s">
        <v>616</v>
      </c>
      <c r="O4342" s="20">
        <v>4</v>
      </c>
      <c r="P4342" s="20">
        <v>300</v>
      </c>
      <c r="Q4342" s="20">
        <v>9340.1894562310481</v>
      </c>
      <c r="R4342" s="21">
        <v>1</v>
      </c>
      <c r="S4342" s="20">
        <v>9340.1894562310481</v>
      </c>
    </row>
    <row r="4343" spans="2:19" ht="15" customHeight="1" x14ac:dyDescent="0.25">
      <c r="B4343" s="2" t="str">
        <f t="shared" si="134"/>
        <v>PGL_Income Eligible_Multi-Family_Partner Trade Ally Rebate_Pipe Insulation_Steam - Large 5.1" to 8"_MF</v>
      </c>
      <c r="C4343" s="2" t="str">
        <f t="shared" si="135"/>
        <v>PGL_Income Eligible_Multi-Family_Partner Trade Ally Rebate_Pipe Insulation_Steam - Large 5.1" to 8"_MF_2024</v>
      </c>
      <c r="D4343" s="19" t="s">
        <v>1794</v>
      </c>
      <c r="E4343" s="19" t="s">
        <v>325</v>
      </c>
      <c r="F4343" s="19" t="s">
        <v>1422</v>
      </c>
      <c r="G4343" s="19" t="s">
        <v>1799</v>
      </c>
      <c r="H4343" s="19" t="s">
        <v>404</v>
      </c>
      <c r="I4343" s="19" t="s">
        <v>958</v>
      </c>
      <c r="J4343" s="19">
        <v>0</v>
      </c>
      <c r="K4343" s="19" t="s">
        <v>553</v>
      </c>
      <c r="L4343" s="19">
        <v>2024</v>
      </c>
      <c r="M4343" s="20">
        <v>75</v>
      </c>
      <c r="N4343" s="19" t="s">
        <v>616</v>
      </c>
      <c r="O4343" s="20">
        <v>4</v>
      </c>
      <c r="P4343" s="20">
        <v>300</v>
      </c>
      <c r="Q4343" s="20">
        <v>9340.1894562310481</v>
      </c>
      <c r="R4343" s="21">
        <v>1</v>
      </c>
      <c r="S4343" s="20">
        <v>9340.1894562310481</v>
      </c>
    </row>
    <row r="4344" spans="2:19" ht="15" customHeight="1" x14ac:dyDescent="0.25">
      <c r="B4344" s="2" t="str">
        <f t="shared" si="134"/>
        <v>PGL_Income Eligible_Multi-Family_Partner Trade Ally Rebate_Pipe Insulation_Steam - Large 5.1" to 8"_MF</v>
      </c>
      <c r="C4344" s="2" t="str">
        <f t="shared" si="135"/>
        <v>PGL_Income Eligible_Multi-Family_Partner Trade Ally Rebate_Pipe Insulation_Steam - Large 5.1" to 8"_MF_2025</v>
      </c>
      <c r="D4344" s="19" t="s">
        <v>1794</v>
      </c>
      <c r="E4344" s="19" t="s">
        <v>325</v>
      </c>
      <c r="F4344" s="19" t="s">
        <v>1422</v>
      </c>
      <c r="G4344" s="19" t="s">
        <v>1799</v>
      </c>
      <c r="H4344" s="19" t="s">
        <v>404</v>
      </c>
      <c r="I4344" s="19" t="s">
        <v>958</v>
      </c>
      <c r="J4344" s="19">
        <v>0</v>
      </c>
      <c r="K4344" s="19" t="s">
        <v>553</v>
      </c>
      <c r="L4344" s="19">
        <v>2025</v>
      </c>
      <c r="M4344" s="20">
        <v>75</v>
      </c>
      <c r="N4344" s="19" t="s">
        <v>616</v>
      </c>
      <c r="O4344" s="20">
        <v>4</v>
      </c>
      <c r="P4344" s="20">
        <v>300</v>
      </c>
      <c r="Q4344" s="20">
        <v>9340.1894562310481</v>
      </c>
      <c r="R4344" s="21">
        <v>1</v>
      </c>
      <c r="S4344" s="20">
        <v>9340.1894562310481</v>
      </c>
    </row>
    <row r="4345" spans="2:19" ht="15" customHeight="1" x14ac:dyDescent="0.25">
      <c r="B4345" s="2" t="str">
        <f t="shared" si="134"/>
        <v>PGL_Income Eligible_Multi-Family_Partner Trade Ally Rebate_Pipe Insulation_Steam - X-Large &gt;8"_MF</v>
      </c>
      <c r="C4345" s="2" t="str">
        <f t="shared" si="135"/>
        <v>PGL_Income Eligible_Multi-Family_Partner Trade Ally Rebate_Pipe Insulation_Steam - X-Large &gt;8"_MF_2022</v>
      </c>
      <c r="D4345" s="19" t="s">
        <v>1794</v>
      </c>
      <c r="E4345" s="19" t="s">
        <v>325</v>
      </c>
      <c r="F4345" s="19" t="s">
        <v>1422</v>
      </c>
      <c r="G4345" s="19" t="s">
        <v>1799</v>
      </c>
      <c r="H4345" s="19" t="s">
        <v>404</v>
      </c>
      <c r="I4345" s="19" t="s">
        <v>960</v>
      </c>
      <c r="J4345" s="19">
        <v>0</v>
      </c>
      <c r="K4345" s="19" t="s">
        <v>553</v>
      </c>
      <c r="L4345" s="19">
        <v>2022</v>
      </c>
      <c r="M4345" s="20">
        <v>75</v>
      </c>
      <c r="N4345" s="19" t="s">
        <v>616</v>
      </c>
      <c r="O4345" s="20">
        <v>10</v>
      </c>
      <c r="P4345" s="20">
        <v>750</v>
      </c>
      <c r="Q4345" s="20">
        <v>33610.80087867986</v>
      </c>
      <c r="R4345" s="21">
        <v>1</v>
      </c>
      <c r="S4345" s="20">
        <v>33610.80087867986</v>
      </c>
    </row>
    <row r="4346" spans="2:19" ht="15" customHeight="1" x14ac:dyDescent="0.25">
      <c r="B4346" s="2" t="str">
        <f t="shared" si="134"/>
        <v>PGL_Income Eligible_Multi-Family_Partner Trade Ally Rebate_Pipe Insulation_Steam - X-Large &gt;8"_MF</v>
      </c>
      <c r="C4346" s="2" t="str">
        <f t="shared" si="135"/>
        <v>PGL_Income Eligible_Multi-Family_Partner Trade Ally Rebate_Pipe Insulation_Steam - X-Large &gt;8"_MF_2023</v>
      </c>
      <c r="D4346" s="19" t="s">
        <v>1794</v>
      </c>
      <c r="E4346" s="19" t="s">
        <v>325</v>
      </c>
      <c r="F4346" s="19" t="s">
        <v>1422</v>
      </c>
      <c r="G4346" s="19" t="s">
        <v>1799</v>
      </c>
      <c r="H4346" s="19" t="s">
        <v>404</v>
      </c>
      <c r="I4346" s="19" t="s">
        <v>960</v>
      </c>
      <c r="J4346" s="19">
        <v>0</v>
      </c>
      <c r="K4346" s="19" t="s">
        <v>553</v>
      </c>
      <c r="L4346" s="19">
        <v>2023</v>
      </c>
      <c r="M4346" s="20">
        <v>75</v>
      </c>
      <c r="N4346" s="19" t="s">
        <v>616</v>
      </c>
      <c r="O4346" s="20">
        <v>10</v>
      </c>
      <c r="P4346" s="20">
        <v>750</v>
      </c>
      <c r="Q4346" s="20">
        <v>33610.80087867986</v>
      </c>
      <c r="R4346" s="21">
        <v>1</v>
      </c>
      <c r="S4346" s="20">
        <v>33610.80087867986</v>
      </c>
    </row>
    <row r="4347" spans="2:19" ht="15" customHeight="1" x14ac:dyDescent="0.25">
      <c r="B4347" s="2" t="str">
        <f t="shared" si="134"/>
        <v>PGL_Income Eligible_Multi-Family_Partner Trade Ally Rebate_Pipe Insulation_Steam - X-Large &gt;8"_MF</v>
      </c>
      <c r="C4347" s="2" t="str">
        <f t="shared" si="135"/>
        <v>PGL_Income Eligible_Multi-Family_Partner Trade Ally Rebate_Pipe Insulation_Steam - X-Large &gt;8"_MF_2024</v>
      </c>
      <c r="D4347" s="19" t="s">
        <v>1794</v>
      </c>
      <c r="E4347" s="19" t="s">
        <v>325</v>
      </c>
      <c r="F4347" s="19" t="s">
        <v>1422</v>
      </c>
      <c r="G4347" s="19" t="s">
        <v>1799</v>
      </c>
      <c r="H4347" s="19" t="s">
        <v>404</v>
      </c>
      <c r="I4347" s="19" t="s">
        <v>960</v>
      </c>
      <c r="J4347" s="19">
        <v>0</v>
      </c>
      <c r="K4347" s="19" t="s">
        <v>553</v>
      </c>
      <c r="L4347" s="19">
        <v>2024</v>
      </c>
      <c r="M4347" s="20">
        <v>75</v>
      </c>
      <c r="N4347" s="19" t="s">
        <v>616</v>
      </c>
      <c r="O4347" s="20">
        <v>10</v>
      </c>
      <c r="P4347" s="20">
        <v>750</v>
      </c>
      <c r="Q4347" s="20">
        <v>33610.80087867986</v>
      </c>
      <c r="R4347" s="21">
        <v>1</v>
      </c>
      <c r="S4347" s="20">
        <v>33610.80087867986</v>
      </c>
    </row>
    <row r="4348" spans="2:19" ht="15" customHeight="1" x14ac:dyDescent="0.25">
      <c r="B4348" s="2" t="str">
        <f t="shared" si="134"/>
        <v>PGL_Income Eligible_Multi-Family_Partner Trade Ally Rebate_Pipe Insulation_Steam - X-Large &gt;8"_MF</v>
      </c>
      <c r="C4348" s="2" t="str">
        <f t="shared" si="135"/>
        <v>PGL_Income Eligible_Multi-Family_Partner Trade Ally Rebate_Pipe Insulation_Steam - X-Large &gt;8"_MF_2025</v>
      </c>
      <c r="D4348" s="19" t="s">
        <v>1794</v>
      </c>
      <c r="E4348" s="19" t="s">
        <v>325</v>
      </c>
      <c r="F4348" s="19" t="s">
        <v>1422</v>
      </c>
      <c r="G4348" s="19" t="s">
        <v>1799</v>
      </c>
      <c r="H4348" s="19" t="s">
        <v>404</v>
      </c>
      <c r="I4348" s="19" t="s">
        <v>960</v>
      </c>
      <c r="J4348" s="19">
        <v>0</v>
      </c>
      <c r="K4348" s="19" t="s">
        <v>553</v>
      </c>
      <c r="L4348" s="19">
        <v>2025</v>
      </c>
      <c r="M4348" s="20">
        <v>75</v>
      </c>
      <c r="N4348" s="19" t="s">
        <v>616</v>
      </c>
      <c r="O4348" s="20">
        <v>10</v>
      </c>
      <c r="P4348" s="20">
        <v>750</v>
      </c>
      <c r="Q4348" s="20">
        <v>33610.80087867986</v>
      </c>
      <c r="R4348" s="21">
        <v>1</v>
      </c>
      <c r="S4348" s="20">
        <v>33610.80087867986</v>
      </c>
    </row>
    <row r="4349" spans="2:19" ht="15" customHeight="1" x14ac:dyDescent="0.25">
      <c r="B4349" s="2" t="str">
        <f t="shared" si="134"/>
        <v>PGL_Income Eligible_Multi-Family_Partner Trade Ally Rebate_Pipe Insulation_Steam Med Fitting_MF</v>
      </c>
      <c r="C4349" s="2" t="str">
        <f t="shared" si="135"/>
        <v>PGL_Income Eligible_Multi-Family_Partner Trade Ally Rebate_Pipe Insulation_Steam Med Fitting_MF_2022</v>
      </c>
      <c r="D4349" s="19" t="s">
        <v>1794</v>
      </c>
      <c r="E4349" s="19" t="s">
        <v>325</v>
      </c>
      <c r="F4349" s="19" t="s">
        <v>1422</v>
      </c>
      <c r="G4349" s="19" t="s">
        <v>1799</v>
      </c>
      <c r="H4349" s="19" t="s">
        <v>404</v>
      </c>
      <c r="I4349" s="19" t="s">
        <v>962</v>
      </c>
      <c r="J4349" s="19">
        <v>0</v>
      </c>
      <c r="K4349" s="19" t="s">
        <v>553</v>
      </c>
      <c r="L4349" s="19">
        <v>2022</v>
      </c>
      <c r="M4349" s="20">
        <v>1</v>
      </c>
      <c r="N4349" s="19" t="s">
        <v>1798</v>
      </c>
      <c r="O4349" s="20">
        <v>20</v>
      </c>
      <c r="P4349" s="20">
        <v>20</v>
      </c>
      <c r="Q4349" s="20">
        <v>402.69150950520833</v>
      </c>
      <c r="R4349" s="21">
        <v>1</v>
      </c>
      <c r="S4349" s="20">
        <v>402.69150950520833</v>
      </c>
    </row>
    <row r="4350" spans="2:19" ht="15" customHeight="1" x14ac:dyDescent="0.25">
      <c r="B4350" s="2" t="str">
        <f t="shared" si="134"/>
        <v>PGL_Income Eligible_Multi-Family_Partner Trade Ally Rebate_Pipe Insulation_Steam Med Fitting_MF</v>
      </c>
      <c r="C4350" s="2" t="str">
        <f t="shared" si="135"/>
        <v>PGL_Income Eligible_Multi-Family_Partner Trade Ally Rebate_Pipe Insulation_Steam Med Fitting_MF_2023</v>
      </c>
      <c r="D4350" s="19" t="s">
        <v>1794</v>
      </c>
      <c r="E4350" s="19" t="s">
        <v>325</v>
      </c>
      <c r="F4350" s="19" t="s">
        <v>1422</v>
      </c>
      <c r="G4350" s="19" t="s">
        <v>1799</v>
      </c>
      <c r="H4350" s="19" t="s">
        <v>404</v>
      </c>
      <c r="I4350" s="19" t="s">
        <v>962</v>
      </c>
      <c r="J4350" s="19">
        <v>0</v>
      </c>
      <c r="K4350" s="19" t="s">
        <v>553</v>
      </c>
      <c r="L4350" s="19">
        <v>2023</v>
      </c>
      <c r="M4350" s="20">
        <v>1</v>
      </c>
      <c r="N4350" s="19" t="s">
        <v>1798</v>
      </c>
      <c r="O4350" s="20">
        <v>20</v>
      </c>
      <c r="P4350" s="20">
        <v>20</v>
      </c>
      <c r="Q4350" s="20">
        <v>402.69150950520833</v>
      </c>
      <c r="R4350" s="21">
        <v>1</v>
      </c>
      <c r="S4350" s="20">
        <v>402.69150950520833</v>
      </c>
    </row>
    <row r="4351" spans="2:19" ht="15" customHeight="1" x14ac:dyDescent="0.25">
      <c r="B4351" s="2" t="str">
        <f t="shared" si="134"/>
        <v>PGL_Income Eligible_Multi-Family_Partner Trade Ally Rebate_Pipe Insulation_Steam Med Fitting_MF</v>
      </c>
      <c r="C4351" s="2" t="str">
        <f t="shared" si="135"/>
        <v>PGL_Income Eligible_Multi-Family_Partner Trade Ally Rebate_Pipe Insulation_Steam Med Fitting_MF_2024</v>
      </c>
      <c r="D4351" s="19" t="s">
        <v>1794</v>
      </c>
      <c r="E4351" s="19" t="s">
        <v>325</v>
      </c>
      <c r="F4351" s="19" t="s">
        <v>1422</v>
      </c>
      <c r="G4351" s="19" t="s">
        <v>1799</v>
      </c>
      <c r="H4351" s="19" t="s">
        <v>404</v>
      </c>
      <c r="I4351" s="19" t="s">
        <v>962</v>
      </c>
      <c r="J4351" s="19">
        <v>0</v>
      </c>
      <c r="K4351" s="19" t="s">
        <v>553</v>
      </c>
      <c r="L4351" s="19">
        <v>2024</v>
      </c>
      <c r="M4351" s="20">
        <v>1</v>
      </c>
      <c r="N4351" s="19" t="s">
        <v>1798</v>
      </c>
      <c r="O4351" s="20">
        <v>20</v>
      </c>
      <c r="P4351" s="20">
        <v>20</v>
      </c>
      <c r="Q4351" s="20">
        <v>402.69150950520833</v>
      </c>
      <c r="R4351" s="21">
        <v>1</v>
      </c>
      <c r="S4351" s="20">
        <v>402.69150950520833</v>
      </c>
    </row>
    <row r="4352" spans="2:19" ht="15" customHeight="1" x14ac:dyDescent="0.25">
      <c r="B4352" s="2" t="str">
        <f t="shared" si="134"/>
        <v>PGL_Income Eligible_Multi-Family_Partner Trade Ally Rebate_Pipe Insulation_Steam Med Fitting_MF</v>
      </c>
      <c r="C4352" s="2" t="str">
        <f t="shared" si="135"/>
        <v>PGL_Income Eligible_Multi-Family_Partner Trade Ally Rebate_Pipe Insulation_Steam Med Fitting_MF_2025</v>
      </c>
      <c r="D4352" s="19" t="s">
        <v>1794</v>
      </c>
      <c r="E4352" s="19" t="s">
        <v>325</v>
      </c>
      <c r="F4352" s="19" t="s">
        <v>1422</v>
      </c>
      <c r="G4352" s="19" t="s">
        <v>1799</v>
      </c>
      <c r="H4352" s="19" t="s">
        <v>404</v>
      </c>
      <c r="I4352" s="19" t="s">
        <v>962</v>
      </c>
      <c r="J4352" s="19">
        <v>0</v>
      </c>
      <c r="K4352" s="19" t="s">
        <v>553</v>
      </c>
      <c r="L4352" s="19">
        <v>2025</v>
      </c>
      <c r="M4352" s="20">
        <v>1</v>
      </c>
      <c r="N4352" s="19" t="s">
        <v>1798</v>
      </c>
      <c r="O4352" s="20">
        <v>20</v>
      </c>
      <c r="P4352" s="20">
        <v>20</v>
      </c>
      <c r="Q4352" s="20">
        <v>402.69150950520833</v>
      </c>
      <c r="R4352" s="21">
        <v>1</v>
      </c>
      <c r="S4352" s="20">
        <v>402.69150950520833</v>
      </c>
    </row>
    <row r="4353" spans="2:19" ht="15" customHeight="1" x14ac:dyDescent="0.25">
      <c r="B4353" s="2" t="str">
        <f t="shared" si="134"/>
        <v>PGL_Income Eligible_Multi-Family_Partner Trade Ally Rebate_Pipe Insulation_Steam Large Fitting_MF</v>
      </c>
      <c r="C4353" s="2" t="str">
        <f t="shared" si="135"/>
        <v>PGL_Income Eligible_Multi-Family_Partner Trade Ally Rebate_Pipe Insulation_Steam Large Fitting_MF_2022</v>
      </c>
      <c r="D4353" s="19" t="s">
        <v>1794</v>
      </c>
      <c r="E4353" s="19" t="s">
        <v>325</v>
      </c>
      <c r="F4353" s="19" t="s">
        <v>1422</v>
      </c>
      <c r="G4353" s="19" t="s">
        <v>1799</v>
      </c>
      <c r="H4353" s="19" t="s">
        <v>404</v>
      </c>
      <c r="I4353" s="19" t="s">
        <v>963</v>
      </c>
      <c r="J4353" s="19">
        <v>0</v>
      </c>
      <c r="K4353" s="19" t="s">
        <v>553</v>
      </c>
      <c r="L4353" s="19">
        <v>2022</v>
      </c>
      <c r="M4353" s="20">
        <v>1</v>
      </c>
      <c r="N4353" s="19" t="s">
        <v>1798</v>
      </c>
      <c r="O4353" s="20">
        <v>10</v>
      </c>
      <c r="P4353" s="20">
        <v>10</v>
      </c>
      <c r="Q4353" s="20">
        <v>662.8427323302468</v>
      </c>
      <c r="R4353" s="21">
        <v>1</v>
      </c>
      <c r="S4353" s="20">
        <v>662.8427323302468</v>
      </c>
    </row>
    <row r="4354" spans="2:19" ht="15" customHeight="1" x14ac:dyDescent="0.25">
      <c r="B4354" s="2" t="str">
        <f t="shared" si="134"/>
        <v>PGL_Income Eligible_Multi-Family_Partner Trade Ally Rebate_Pipe Insulation_Steam Large Fitting_MF</v>
      </c>
      <c r="C4354" s="2" t="str">
        <f t="shared" si="135"/>
        <v>PGL_Income Eligible_Multi-Family_Partner Trade Ally Rebate_Pipe Insulation_Steam Large Fitting_MF_2023</v>
      </c>
      <c r="D4354" s="19" t="s">
        <v>1794</v>
      </c>
      <c r="E4354" s="19" t="s">
        <v>325</v>
      </c>
      <c r="F4354" s="19" t="s">
        <v>1422</v>
      </c>
      <c r="G4354" s="19" t="s">
        <v>1799</v>
      </c>
      <c r="H4354" s="19" t="s">
        <v>404</v>
      </c>
      <c r="I4354" s="19" t="s">
        <v>963</v>
      </c>
      <c r="J4354" s="19">
        <v>0</v>
      </c>
      <c r="K4354" s="19" t="s">
        <v>553</v>
      </c>
      <c r="L4354" s="19">
        <v>2023</v>
      </c>
      <c r="M4354" s="20">
        <v>1</v>
      </c>
      <c r="N4354" s="19" t="s">
        <v>1798</v>
      </c>
      <c r="O4354" s="20">
        <v>10</v>
      </c>
      <c r="P4354" s="20">
        <v>10</v>
      </c>
      <c r="Q4354" s="20">
        <v>662.8427323302468</v>
      </c>
      <c r="R4354" s="21">
        <v>1</v>
      </c>
      <c r="S4354" s="20">
        <v>662.8427323302468</v>
      </c>
    </row>
    <row r="4355" spans="2:19" ht="15" customHeight="1" x14ac:dyDescent="0.25">
      <c r="B4355" s="2" t="str">
        <f t="shared" si="134"/>
        <v>PGL_Income Eligible_Multi-Family_Partner Trade Ally Rebate_Pipe Insulation_Steam Large Fitting_MF</v>
      </c>
      <c r="C4355" s="2" t="str">
        <f t="shared" si="135"/>
        <v>PGL_Income Eligible_Multi-Family_Partner Trade Ally Rebate_Pipe Insulation_Steam Large Fitting_MF_2024</v>
      </c>
      <c r="D4355" s="19" t="s">
        <v>1794</v>
      </c>
      <c r="E4355" s="19" t="s">
        <v>325</v>
      </c>
      <c r="F4355" s="19" t="s">
        <v>1422</v>
      </c>
      <c r="G4355" s="19" t="s">
        <v>1799</v>
      </c>
      <c r="H4355" s="19" t="s">
        <v>404</v>
      </c>
      <c r="I4355" s="19" t="s">
        <v>963</v>
      </c>
      <c r="J4355" s="19">
        <v>0</v>
      </c>
      <c r="K4355" s="19" t="s">
        <v>553</v>
      </c>
      <c r="L4355" s="19">
        <v>2024</v>
      </c>
      <c r="M4355" s="20">
        <v>1</v>
      </c>
      <c r="N4355" s="19" t="s">
        <v>1798</v>
      </c>
      <c r="O4355" s="20">
        <v>10</v>
      </c>
      <c r="P4355" s="20">
        <v>10</v>
      </c>
      <c r="Q4355" s="20">
        <v>662.8427323302468</v>
      </c>
      <c r="R4355" s="21">
        <v>1</v>
      </c>
      <c r="S4355" s="20">
        <v>662.8427323302468</v>
      </c>
    </row>
    <row r="4356" spans="2:19" ht="15" customHeight="1" x14ac:dyDescent="0.25">
      <c r="B4356" s="2" t="str">
        <f t="shared" si="134"/>
        <v>PGL_Income Eligible_Multi-Family_Partner Trade Ally Rebate_Pipe Insulation_Steam Large Fitting_MF</v>
      </c>
      <c r="C4356" s="2" t="str">
        <f t="shared" si="135"/>
        <v>PGL_Income Eligible_Multi-Family_Partner Trade Ally Rebate_Pipe Insulation_Steam Large Fitting_MF_2025</v>
      </c>
      <c r="D4356" s="19" t="s">
        <v>1794</v>
      </c>
      <c r="E4356" s="19" t="s">
        <v>325</v>
      </c>
      <c r="F4356" s="19" t="s">
        <v>1422</v>
      </c>
      <c r="G4356" s="19" t="s">
        <v>1799</v>
      </c>
      <c r="H4356" s="19" t="s">
        <v>404</v>
      </c>
      <c r="I4356" s="19" t="s">
        <v>963</v>
      </c>
      <c r="J4356" s="19">
        <v>0</v>
      </c>
      <c r="K4356" s="19" t="s">
        <v>553</v>
      </c>
      <c r="L4356" s="19">
        <v>2025</v>
      </c>
      <c r="M4356" s="20">
        <v>1</v>
      </c>
      <c r="N4356" s="19" t="s">
        <v>1798</v>
      </c>
      <c r="O4356" s="20">
        <v>10</v>
      </c>
      <c r="P4356" s="20">
        <v>10</v>
      </c>
      <c r="Q4356" s="20">
        <v>662.8427323302468</v>
      </c>
      <c r="R4356" s="21">
        <v>1</v>
      </c>
      <c r="S4356" s="20">
        <v>662.8427323302468</v>
      </c>
    </row>
    <row r="4357" spans="2:19" ht="15" customHeight="1" x14ac:dyDescent="0.25">
      <c r="B4357" s="2" t="str">
        <f t="shared" si="134"/>
        <v>PGL_Income Eligible_Multi-Family_Partner Trade Ally Rebate_Pipe Insulation_Steam X-Large Fitting_MF</v>
      </c>
      <c r="C4357" s="2" t="str">
        <f t="shared" si="135"/>
        <v>PGL_Income Eligible_Multi-Family_Partner Trade Ally Rebate_Pipe Insulation_Steam X-Large Fitting_MF_2022</v>
      </c>
      <c r="D4357" s="19" t="s">
        <v>1794</v>
      </c>
      <c r="E4357" s="19" t="s">
        <v>325</v>
      </c>
      <c r="F4357" s="19" t="s">
        <v>1422</v>
      </c>
      <c r="G4357" s="19" t="s">
        <v>1799</v>
      </c>
      <c r="H4357" s="19" t="s">
        <v>404</v>
      </c>
      <c r="I4357" s="19" t="s">
        <v>964</v>
      </c>
      <c r="J4357" s="19">
        <v>0</v>
      </c>
      <c r="K4357" s="19" t="s">
        <v>553</v>
      </c>
      <c r="L4357" s="19">
        <v>2022</v>
      </c>
      <c r="M4357" s="20">
        <v>1</v>
      </c>
      <c r="N4357" s="19" t="s">
        <v>1798</v>
      </c>
      <c r="O4357" s="20">
        <v>8</v>
      </c>
      <c r="P4357" s="20">
        <v>8</v>
      </c>
      <c r="Q4357" s="20">
        <v>911.10710917832637</v>
      </c>
      <c r="R4357" s="21">
        <v>1</v>
      </c>
      <c r="S4357" s="20">
        <v>911.10710917832637</v>
      </c>
    </row>
    <row r="4358" spans="2:19" ht="15" customHeight="1" x14ac:dyDescent="0.25">
      <c r="B4358" s="2" t="str">
        <f t="shared" ref="B4358:B4421" si="136">D4358&amp;"_"&amp;E4358&amp;"_"&amp;F4358&amp;"_"&amp;G4358&amp;"_"&amp;H4358&amp;"_"&amp;I4358&amp;"_"&amp;K4358</f>
        <v>PGL_Income Eligible_Multi-Family_Partner Trade Ally Rebate_Pipe Insulation_Steam X-Large Fitting_MF</v>
      </c>
      <c r="C4358" s="2" t="str">
        <f t="shared" ref="C4358:C4421" si="137">D4358&amp;"_"&amp;E4358&amp;"_"&amp;F4358&amp;"_"&amp;G4358&amp;"_"&amp;H4358&amp;"_"&amp;I4358&amp;"_"&amp;K4358&amp;"_"&amp;L4358</f>
        <v>PGL_Income Eligible_Multi-Family_Partner Trade Ally Rebate_Pipe Insulation_Steam X-Large Fitting_MF_2023</v>
      </c>
      <c r="D4358" s="19" t="s">
        <v>1794</v>
      </c>
      <c r="E4358" s="19" t="s">
        <v>325</v>
      </c>
      <c r="F4358" s="19" t="s">
        <v>1422</v>
      </c>
      <c r="G4358" s="19" t="s">
        <v>1799</v>
      </c>
      <c r="H4358" s="19" t="s">
        <v>404</v>
      </c>
      <c r="I4358" s="19" t="s">
        <v>964</v>
      </c>
      <c r="J4358" s="19">
        <v>0</v>
      </c>
      <c r="K4358" s="19" t="s">
        <v>553</v>
      </c>
      <c r="L4358" s="19">
        <v>2023</v>
      </c>
      <c r="M4358" s="20">
        <v>1</v>
      </c>
      <c r="N4358" s="19" t="s">
        <v>1798</v>
      </c>
      <c r="O4358" s="20">
        <v>8</v>
      </c>
      <c r="P4358" s="20">
        <v>8</v>
      </c>
      <c r="Q4358" s="20">
        <v>911.10710917832637</v>
      </c>
      <c r="R4358" s="21">
        <v>1</v>
      </c>
      <c r="S4358" s="20">
        <v>911.10710917832637</v>
      </c>
    </row>
    <row r="4359" spans="2:19" ht="15" customHeight="1" x14ac:dyDescent="0.25">
      <c r="B4359" s="2" t="str">
        <f t="shared" si="136"/>
        <v>PGL_Income Eligible_Multi-Family_Partner Trade Ally Rebate_Pipe Insulation_Steam X-Large Fitting_MF</v>
      </c>
      <c r="C4359" s="2" t="str">
        <f t="shared" si="137"/>
        <v>PGL_Income Eligible_Multi-Family_Partner Trade Ally Rebate_Pipe Insulation_Steam X-Large Fitting_MF_2024</v>
      </c>
      <c r="D4359" s="19" t="s">
        <v>1794</v>
      </c>
      <c r="E4359" s="19" t="s">
        <v>325</v>
      </c>
      <c r="F4359" s="19" t="s">
        <v>1422</v>
      </c>
      <c r="G4359" s="19" t="s">
        <v>1799</v>
      </c>
      <c r="H4359" s="19" t="s">
        <v>404</v>
      </c>
      <c r="I4359" s="19" t="s">
        <v>964</v>
      </c>
      <c r="J4359" s="19">
        <v>0</v>
      </c>
      <c r="K4359" s="19" t="s">
        <v>553</v>
      </c>
      <c r="L4359" s="19">
        <v>2024</v>
      </c>
      <c r="M4359" s="20">
        <v>1</v>
      </c>
      <c r="N4359" s="19" t="s">
        <v>1798</v>
      </c>
      <c r="O4359" s="20">
        <v>8</v>
      </c>
      <c r="P4359" s="20">
        <v>8</v>
      </c>
      <c r="Q4359" s="20">
        <v>911.10710917832637</v>
      </c>
      <c r="R4359" s="21">
        <v>1</v>
      </c>
      <c r="S4359" s="20">
        <v>911.10710917832637</v>
      </c>
    </row>
    <row r="4360" spans="2:19" ht="15" customHeight="1" x14ac:dyDescent="0.25">
      <c r="B4360" s="2" t="str">
        <f t="shared" si="136"/>
        <v>PGL_Income Eligible_Multi-Family_Partner Trade Ally Rebate_Pipe Insulation_Steam X-Large Fitting_MF</v>
      </c>
      <c r="C4360" s="2" t="str">
        <f t="shared" si="137"/>
        <v>PGL_Income Eligible_Multi-Family_Partner Trade Ally Rebate_Pipe Insulation_Steam X-Large Fitting_MF_2025</v>
      </c>
      <c r="D4360" s="19" t="s">
        <v>1794</v>
      </c>
      <c r="E4360" s="19" t="s">
        <v>325</v>
      </c>
      <c r="F4360" s="19" t="s">
        <v>1422</v>
      </c>
      <c r="G4360" s="19" t="s">
        <v>1799</v>
      </c>
      <c r="H4360" s="19" t="s">
        <v>404</v>
      </c>
      <c r="I4360" s="19" t="s">
        <v>964</v>
      </c>
      <c r="J4360" s="19">
        <v>0</v>
      </c>
      <c r="K4360" s="19" t="s">
        <v>553</v>
      </c>
      <c r="L4360" s="19">
        <v>2025</v>
      </c>
      <c r="M4360" s="20">
        <v>1</v>
      </c>
      <c r="N4360" s="19" t="s">
        <v>1798</v>
      </c>
      <c r="O4360" s="20">
        <v>8</v>
      </c>
      <c r="P4360" s="20">
        <v>8</v>
      </c>
      <c r="Q4360" s="20">
        <v>911.10710917832637</v>
      </c>
      <c r="R4360" s="21">
        <v>1</v>
      </c>
      <c r="S4360" s="20">
        <v>911.10710917832637</v>
      </c>
    </row>
    <row r="4361" spans="2:19" ht="15" customHeight="1" x14ac:dyDescent="0.25">
      <c r="B4361" s="2" t="str">
        <f t="shared" si="136"/>
        <v>PGL_Income Eligible_Multi-Family_Partner Trade Ally Rebate_Pipe Insulation_Steam Med Valve_MF</v>
      </c>
      <c r="C4361" s="2" t="str">
        <f t="shared" si="137"/>
        <v>PGL_Income Eligible_Multi-Family_Partner Trade Ally Rebate_Pipe Insulation_Steam Med Valve_MF_2022</v>
      </c>
      <c r="D4361" s="19" t="s">
        <v>1794</v>
      </c>
      <c r="E4361" s="19" t="s">
        <v>325</v>
      </c>
      <c r="F4361" s="19" t="s">
        <v>1422</v>
      </c>
      <c r="G4361" s="19" t="s">
        <v>1799</v>
      </c>
      <c r="H4361" s="19" t="s">
        <v>404</v>
      </c>
      <c r="I4361" s="19" t="s">
        <v>966</v>
      </c>
      <c r="J4361" s="19">
        <v>0</v>
      </c>
      <c r="K4361" s="19" t="s">
        <v>553</v>
      </c>
      <c r="L4361" s="19">
        <v>2022</v>
      </c>
      <c r="M4361" s="20">
        <v>1</v>
      </c>
      <c r="N4361" s="19" t="s">
        <v>1798</v>
      </c>
      <c r="O4361" s="20">
        <v>10</v>
      </c>
      <c r="P4361" s="20">
        <v>10</v>
      </c>
      <c r="Q4361" s="20">
        <v>679.62640249087917</v>
      </c>
      <c r="R4361" s="21">
        <v>1</v>
      </c>
      <c r="S4361" s="20">
        <v>679.62640249087917</v>
      </c>
    </row>
    <row r="4362" spans="2:19" ht="15" customHeight="1" x14ac:dyDescent="0.25">
      <c r="B4362" s="2" t="str">
        <f t="shared" si="136"/>
        <v>PGL_Income Eligible_Multi-Family_Partner Trade Ally Rebate_Pipe Insulation_Steam Med Valve_MF</v>
      </c>
      <c r="C4362" s="2" t="str">
        <f t="shared" si="137"/>
        <v>PGL_Income Eligible_Multi-Family_Partner Trade Ally Rebate_Pipe Insulation_Steam Med Valve_MF_2023</v>
      </c>
      <c r="D4362" s="19" t="s">
        <v>1794</v>
      </c>
      <c r="E4362" s="19" t="s">
        <v>325</v>
      </c>
      <c r="F4362" s="19" t="s">
        <v>1422</v>
      </c>
      <c r="G4362" s="19" t="s">
        <v>1799</v>
      </c>
      <c r="H4362" s="19" t="s">
        <v>404</v>
      </c>
      <c r="I4362" s="19" t="s">
        <v>966</v>
      </c>
      <c r="J4362" s="19">
        <v>0</v>
      </c>
      <c r="K4362" s="19" t="s">
        <v>553</v>
      </c>
      <c r="L4362" s="19">
        <v>2023</v>
      </c>
      <c r="M4362" s="20">
        <v>1</v>
      </c>
      <c r="N4362" s="19" t="s">
        <v>1798</v>
      </c>
      <c r="O4362" s="20">
        <v>10</v>
      </c>
      <c r="P4362" s="20">
        <v>10</v>
      </c>
      <c r="Q4362" s="20">
        <v>679.62640249087917</v>
      </c>
      <c r="R4362" s="21">
        <v>1</v>
      </c>
      <c r="S4362" s="20">
        <v>679.62640249087917</v>
      </c>
    </row>
    <row r="4363" spans="2:19" ht="15" customHeight="1" x14ac:dyDescent="0.25">
      <c r="B4363" s="2" t="str">
        <f t="shared" si="136"/>
        <v>PGL_Income Eligible_Multi-Family_Partner Trade Ally Rebate_Pipe Insulation_Steam Med Valve_MF</v>
      </c>
      <c r="C4363" s="2" t="str">
        <f t="shared" si="137"/>
        <v>PGL_Income Eligible_Multi-Family_Partner Trade Ally Rebate_Pipe Insulation_Steam Med Valve_MF_2024</v>
      </c>
      <c r="D4363" s="19" t="s">
        <v>1794</v>
      </c>
      <c r="E4363" s="19" t="s">
        <v>325</v>
      </c>
      <c r="F4363" s="19" t="s">
        <v>1422</v>
      </c>
      <c r="G4363" s="19" t="s">
        <v>1799</v>
      </c>
      <c r="H4363" s="19" t="s">
        <v>404</v>
      </c>
      <c r="I4363" s="19" t="s">
        <v>966</v>
      </c>
      <c r="J4363" s="19">
        <v>0</v>
      </c>
      <c r="K4363" s="19" t="s">
        <v>553</v>
      </c>
      <c r="L4363" s="19">
        <v>2024</v>
      </c>
      <c r="M4363" s="20">
        <v>1</v>
      </c>
      <c r="N4363" s="19" t="s">
        <v>1798</v>
      </c>
      <c r="O4363" s="20">
        <v>10</v>
      </c>
      <c r="P4363" s="20">
        <v>10</v>
      </c>
      <c r="Q4363" s="20">
        <v>679.62640249087917</v>
      </c>
      <c r="R4363" s="21">
        <v>1</v>
      </c>
      <c r="S4363" s="20">
        <v>679.62640249087917</v>
      </c>
    </row>
    <row r="4364" spans="2:19" ht="15" customHeight="1" x14ac:dyDescent="0.25">
      <c r="B4364" s="2" t="str">
        <f t="shared" si="136"/>
        <v>PGL_Income Eligible_Multi-Family_Partner Trade Ally Rebate_Pipe Insulation_Steam Med Valve_MF</v>
      </c>
      <c r="C4364" s="2" t="str">
        <f t="shared" si="137"/>
        <v>PGL_Income Eligible_Multi-Family_Partner Trade Ally Rebate_Pipe Insulation_Steam Med Valve_MF_2025</v>
      </c>
      <c r="D4364" s="19" t="s">
        <v>1794</v>
      </c>
      <c r="E4364" s="19" t="s">
        <v>325</v>
      </c>
      <c r="F4364" s="19" t="s">
        <v>1422</v>
      </c>
      <c r="G4364" s="19" t="s">
        <v>1799</v>
      </c>
      <c r="H4364" s="19" t="s">
        <v>404</v>
      </c>
      <c r="I4364" s="19" t="s">
        <v>966</v>
      </c>
      <c r="J4364" s="19">
        <v>0</v>
      </c>
      <c r="K4364" s="19" t="s">
        <v>553</v>
      </c>
      <c r="L4364" s="19">
        <v>2025</v>
      </c>
      <c r="M4364" s="20">
        <v>1</v>
      </c>
      <c r="N4364" s="19" t="s">
        <v>1798</v>
      </c>
      <c r="O4364" s="20">
        <v>10</v>
      </c>
      <c r="P4364" s="20">
        <v>10</v>
      </c>
      <c r="Q4364" s="20">
        <v>679.62640249087917</v>
      </c>
      <c r="R4364" s="21">
        <v>1</v>
      </c>
      <c r="S4364" s="20">
        <v>679.62640249087917</v>
      </c>
    </row>
    <row r="4365" spans="2:19" ht="15" customHeight="1" x14ac:dyDescent="0.25">
      <c r="B4365" s="2" t="str">
        <f t="shared" si="136"/>
        <v>PGL_Income Eligible_Multi-Family_Partner Trade Ally Rebate_Pipe Insulation_Steam Large Valve_MF</v>
      </c>
      <c r="C4365" s="2" t="str">
        <f t="shared" si="137"/>
        <v>PGL_Income Eligible_Multi-Family_Partner Trade Ally Rebate_Pipe Insulation_Steam Large Valve_MF_2022</v>
      </c>
      <c r="D4365" s="19" t="s">
        <v>1794</v>
      </c>
      <c r="E4365" s="19" t="s">
        <v>325</v>
      </c>
      <c r="F4365" s="19" t="s">
        <v>1422</v>
      </c>
      <c r="G4365" s="19" t="s">
        <v>1799</v>
      </c>
      <c r="H4365" s="19" t="s">
        <v>404</v>
      </c>
      <c r="I4365" s="19" t="s">
        <v>967</v>
      </c>
      <c r="J4365" s="19">
        <v>0</v>
      </c>
      <c r="K4365" s="19" t="s">
        <v>553</v>
      </c>
      <c r="L4365" s="19">
        <v>2022</v>
      </c>
      <c r="M4365" s="20">
        <v>1</v>
      </c>
      <c r="N4365" s="19" t="s">
        <v>1798</v>
      </c>
      <c r="O4365" s="20">
        <v>2</v>
      </c>
      <c r="P4365" s="20">
        <v>2</v>
      </c>
      <c r="Q4365" s="20">
        <v>267.81957044115927</v>
      </c>
      <c r="R4365" s="21">
        <v>1</v>
      </c>
      <c r="S4365" s="20">
        <v>267.81957044115927</v>
      </c>
    </row>
    <row r="4366" spans="2:19" ht="15" customHeight="1" x14ac:dyDescent="0.25">
      <c r="B4366" s="2" t="str">
        <f t="shared" si="136"/>
        <v>PGL_Income Eligible_Multi-Family_Partner Trade Ally Rebate_Pipe Insulation_Steam Large Valve_MF</v>
      </c>
      <c r="C4366" s="2" t="str">
        <f t="shared" si="137"/>
        <v>PGL_Income Eligible_Multi-Family_Partner Trade Ally Rebate_Pipe Insulation_Steam Large Valve_MF_2023</v>
      </c>
      <c r="D4366" s="19" t="s">
        <v>1794</v>
      </c>
      <c r="E4366" s="19" t="s">
        <v>325</v>
      </c>
      <c r="F4366" s="19" t="s">
        <v>1422</v>
      </c>
      <c r="G4366" s="19" t="s">
        <v>1799</v>
      </c>
      <c r="H4366" s="19" t="s">
        <v>404</v>
      </c>
      <c r="I4366" s="19" t="s">
        <v>967</v>
      </c>
      <c r="J4366" s="19">
        <v>0</v>
      </c>
      <c r="K4366" s="19" t="s">
        <v>553</v>
      </c>
      <c r="L4366" s="19">
        <v>2023</v>
      </c>
      <c r="M4366" s="20">
        <v>1</v>
      </c>
      <c r="N4366" s="19" t="s">
        <v>1798</v>
      </c>
      <c r="O4366" s="20">
        <v>2</v>
      </c>
      <c r="P4366" s="20">
        <v>2</v>
      </c>
      <c r="Q4366" s="20">
        <v>267.81957044115927</v>
      </c>
      <c r="R4366" s="21">
        <v>1</v>
      </c>
      <c r="S4366" s="20">
        <v>267.81957044115927</v>
      </c>
    </row>
    <row r="4367" spans="2:19" ht="15" customHeight="1" x14ac:dyDescent="0.25">
      <c r="B4367" s="2" t="str">
        <f t="shared" si="136"/>
        <v>PGL_Income Eligible_Multi-Family_Partner Trade Ally Rebate_Pipe Insulation_Steam Large Valve_MF</v>
      </c>
      <c r="C4367" s="2" t="str">
        <f t="shared" si="137"/>
        <v>PGL_Income Eligible_Multi-Family_Partner Trade Ally Rebate_Pipe Insulation_Steam Large Valve_MF_2024</v>
      </c>
      <c r="D4367" s="19" t="s">
        <v>1794</v>
      </c>
      <c r="E4367" s="19" t="s">
        <v>325</v>
      </c>
      <c r="F4367" s="19" t="s">
        <v>1422</v>
      </c>
      <c r="G4367" s="19" t="s">
        <v>1799</v>
      </c>
      <c r="H4367" s="19" t="s">
        <v>404</v>
      </c>
      <c r="I4367" s="19" t="s">
        <v>967</v>
      </c>
      <c r="J4367" s="19">
        <v>0</v>
      </c>
      <c r="K4367" s="19" t="s">
        <v>553</v>
      </c>
      <c r="L4367" s="19">
        <v>2024</v>
      </c>
      <c r="M4367" s="20">
        <v>1</v>
      </c>
      <c r="N4367" s="19" t="s">
        <v>1798</v>
      </c>
      <c r="O4367" s="20">
        <v>2</v>
      </c>
      <c r="P4367" s="20">
        <v>2</v>
      </c>
      <c r="Q4367" s="20">
        <v>267.81957044115927</v>
      </c>
      <c r="R4367" s="21">
        <v>1</v>
      </c>
      <c r="S4367" s="20">
        <v>267.81957044115927</v>
      </c>
    </row>
    <row r="4368" spans="2:19" ht="15" customHeight="1" x14ac:dyDescent="0.25">
      <c r="B4368" s="2" t="str">
        <f t="shared" si="136"/>
        <v>PGL_Income Eligible_Multi-Family_Partner Trade Ally Rebate_Pipe Insulation_Steam Large Valve_MF</v>
      </c>
      <c r="C4368" s="2" t="str">
        <f t="shared" si="137"/>
        <v>PGL_Income Eligible_Multi-Family_Partner Trade Ally Rebate_Pipe Insulation_Steam Large Valve_MF_2025</v>
      </c>
      <c r="D4368" s="19" t="s">
        <v>1794</v>
      </c>
      <c r="E4368" s="19" t="s">
        <v>325</v>
      </c>
      <c r="F4368" s="19" t="s">
        <v>1422</v>
      </c>
      <c r="G4368" s="19" t="s">
        <v>1799</v>
      </c>
      <c r="H4368" s="19" t="s">
        <v>404</v>
      </c>
      <c r="I4368" s="19" t="s">
        <v>967</v>
      </c>
      <c r="J4368" s="19">
        <v>0</v>
      </c>
      <c r="K4368" s="19" t="s">
        <v>553</v>
      </c>
      <c r="L4368" s="19">
        <v>2025</v>
      </c>
      <c r="M4368" s="20">
        <v>1</v>
      </c>
      <c r="N4368" s="19" t="s">
        <v>1798</v>
      </c>
      <c r="O4368" s="20">
        <v>2</v>
      </c>
      <c r="P4368" s="20">
        <v>2</v>
      </c>
      <c r="Q4368" s="20">
        <v>267.81957044115927</v>
      </c>
      <c r="R4368" s="21">
        <v>1</v>
      </c>
      <c r="S4368" s="20">
        <v>267.81957044115927</v>
      </c>
    </row>
    <row r="4369" spans="2:19" ht="15" customHeight="1" x14ac:dyDescent="0.25">
      <c r="B4369" s="2" t="str">
        <f t="shared" si="136"/>
        <v>PGL_Income Eligible_Multi-Family_Partner Trade Ally Rebate_Pipe Insulation_Steam X-Large Valve_MF</v>
      </c>
      <c r="C4369" s="2" t="str">
        <f t="shared" si="137"/>
        <v>PGL_Income Eligible_Multi-Family_Partner Trade Ally Rebate_Pipe Insulation_Steam X-Large Valve_MF_2022</v>
      </c>
      <c r="D4369" s="19" t="s">
        <v>1794</v>
      </c>
      <c r="E4369" s="19" t="s">
        <v>325</v>
      </c>
      <c r="F4369" s="19" t="s">
        <v>1422</v>
      </c>
      <c r="G4369" s="19" t="s">
        <v>1799</v>
      </c>
      <c r="H4369" s="19" t="s">
        <v>404</v>
      </c>
      <c r="I4369" s="19" t="s">
        <v>968</v>
      </c>
      <c r="J4369" s="19">
        <v>0</v>
      </c>
      <c r="K4369" s="19" t="s">
        <v>553</v>
      </c>
      <c r="L4369" s="19">
        <v>2022</v>
      </c>
      <c r="M4369" s="20">
        <v>1</v>
      </c>
      <c r="N4369" s="19" t="s">
        <v>1798</v>
      </c>
      <c r="O4369" s="20">
        <v>0</v>
      </c>
      <c r="P4369" s="20">
        <v>0</v>
      </c>
      <c r="Q4369" s="20">
        <v>0</v>
      </c>
      <c r="R4369" s="21">
        <v>1</v>
      </c>
      <c r="S4369" s="20">
        <v>0</v>
      </c>
    </row>
    <row r="4370" spans="2:19" ht="15" customHeight="1" x14ac:dyDescent="0.25">
      <c r="B4370" s="2" t="str">
        <f t="shared" si="136"/>
        <v>PGL_Income Eligible_Multi-Family_Partner Trade Ally Rebate_Pipe Insulation_Steam X-Large Valve_MF</v>
      </c>
      <c r="C4370" s="2" t="str">
        <f t="shared" si="137"/>
        <v>PGL_Income Eligible_Multi-Family_Partner Trade Ally Rebate_Pipe Insulation_Steam X-Large Valve_MF_2023</v>
      </c>
      <c r="D4370" s="19" t="s">
        <v>1794</v>
      </c>
      <c r="E4370" s="19" t="s">
        <v>325</v>
      </c>
      <c r="F4370" s="19" t="s">
        <v>1422</v>
      </c>
      <c r="G4370" s="19" t="s">
        <v>1799</v>
      </c>
      <c r="H4370" s="19" t="s">
        <v>404</v>
      </c>
      <c r="I4370" s="19" t="s">
        <v>968</v>
      </c>
      <c r="J4370" s="19">
        <v>0</v>
      </c>
      <c r="K4370" s="19" t="s">
        <v>553</v>
      </c>
      <c r="L4370" s="19">
        <v>2023</v>
      </c>
      <c r="M4370" s="20">
        <v>1</v>
      </c>
      <c r="N4370" s="19" t="s">
        <v>1798</v>
      </c>
      <c r="O4370" s="20">
        <v>0</v>
      </c>
      <c r="P4370" s="20">
        <v>0</v>
      </c>
      <c r="Q4370" s="20">
        <v>0</v>
      </c>
      <c r="R4370" s="21">
        <v>1</v>
      </c>
      <c r="S4370" s="20">
        <v>0</v>
      </c>
    </row>
    <row r="4371" spans="2:19" ht="15" customHeight="1" x14ac:dyDescent="0.25">
      <c r="B4371" s="2" t="str">
        <f t="shared" si="136"/>
        <v>PGL_Income Eligible_Multi-Family_Partner Trade Ally Rebate_Pipe Insulation_Steam X-Large Valve_MF</v>
      </c>
      <c r="C4371" s="2" t="str">
        <f t="shared" si="137"/>
        <v>PGL_Income Eligible_Multi-Family_Partner Trade Ally Rebate_Pipe Insulation_Steam X-Large Valve_MF_2024</v>
      </c>
      <c r="D4371" s="19" t="s">
        <v>1794</v>
      </c>
      <c r="E4371" s="19" t="s">
        <v>325</v>
      </c>
      <c r="F4371" s="19" t="s">
        <v>1422</v>
      </c>
      <c r="G4371" s="19" t="s">
        <v>1799</v>
      </c>
      <c r="H4371" s="19" t="s">
        <v>404</v>
      </c>
      <c r="I4371" s="19" t="s">
        <v>968</v>
      </c>
      <c r="J4371" s="19">
        <v>0</v>
      </c>
      <c r="K4371" s="19" t="s">
        <v>553</v>
      </c>
      <c r="L4371" s="19">
        <v>2024</v>
      </c>
      <c r="M4371" s="20">
        <v>1</v>
      </c>
      <c r="N4371" s="19" t="s">
        <v>1798</v>
      </c>
      <c r="O4371" s="20">
        <v>0</v>
      </c>
      <c r="P4371" s="20">
        <v>0</v>
      </c>
      <c r="Q4371" s="20">
        <v>0</v>
      </c>
      <c r="R4371" s="21">
        <v>1</v>
      </c>
      <c r="S4371" s="20">
        <v>0</v>
      </c>
    </row>
    <row r="4372" spans="2:19" ht="15" customHeight="1" x14ac:dyDescent="0.25">
      <c r="B4372" s="2" t="str">
        <f t="shared" si="136"/>
        <v>PGL_Income Eligible_Multi-Family_Partner Trade Ally Rebate_Pipe Insulation_Steam X-Large Valve_MF</v>
      </c>
      <c r="C4372" s="2" t="str">
        <f t="shared" si="137"/>
        <v>PGL_Income Eligible_Multi-Family_Partner Trade Ally Rebate_Pipe Insulation_Steam X-Large Valve_MF_2025</v>
      </c>
      <c r="D4372" s="19" t="s">
        <v>1794</v>
      </c>
      <c r="E4372" s="19" t="s">
        <v>325</v>
      </c>
      <c r="F4372" s="19" t="s">
        <v>1422</v>
      </c>
      <c r="G4372" s="19" t="s">
        <v>1799</v>
      </c>
      <c r="H4372" s="19" t="s">
        <v>404</v>
      </c>
      <c r="I4372" s="19" t="s">
        <v>968</v>
      </c>
      <c r="J4372" s="19">
        <v>0</v>
      </c>
      <c r="K4372" s="19" t="s">
        <v>553</v>
      </c>
      <c r="L4372" s="19">
        <v>2025</v>
      </c>
      <c r="M4372" s="20">
        <v>1</v>
      </c>
      <c r="N4372" s="19" t="s">
        <v>1798</v>
      </c>
      <c r="O4372" s="20">
        <v>0</v>
      </c>
      <c r="P4372" s="20">
        <v>0</v>
      </c>
      <c r="Q4372" s="20">
        <v>0</v>
      </c>
      <c r="R4372" s="21">
        <v>1</v>
      </c>
      <c r="S4372" s="20">
        <v>0</v>
      </c>
    </row>
    <row r="4373" spans="2:19" ht="15" customHeight="1" x14ac:dyDescent="0.25">
      <c r="B4373" s="2" t="str">
        <f t="shared" si="136"/>
        <v>PGL_Income Eligible_Multi-Family_Partner Trade Ally Rebate_Condensate Tank Insulation_0_MF/CI/SMB</v>
      </c>
      <c r="C4373" s="2" t="str">
        <f t="shared" si="137"/>
        <v>PGL_Income Eligible_Multi-Family_Partner Trade Ally Rebate_Condensate Tank Insulation_0_MF/CI/SMB_2022</v>
      </c>
      <c r="D4373" s="19" t="s">
        <v>1794</v>
      </c>
      <c r="E4373" s="19" t="s">
        <v>325</v>
      </c>
      <c r="F4373" s="19" t="s">
        <v>1422</v>
      </c>
      <c r="G4373" s="19" t="s">
        <v>1799</v>
      </c>
      <c r="H4373" s="19" t="s">
        <v>806</v>
      </c>
      <c r="I4373" s="19">
        <v>0</v>
      </c>
      <c r="J4373" s="19" t="s">
        <v>810</v>
      </c>
      <c r="K4373" s="19" t="s">
        <v>662</v>
      </c>
      <c r="L4373" s="19">
        <v>2022</v>
      </c>
      <c r="M4373" s="20">
        <v>250</v>
      </c>
      <c r="N4373" s="19" t="s">
        <v>634</v>
      </c>
      <c r="O4373" s="20">
        <v>0</v>
      </c>
      <c r="P4373" s="20">
        <v>0</v>
      </c>
      <c r="Q4373" s="20">
        <v>0</v>
      </c>
      <c r="R4373" s="21">
        <v>1</v>
      </c>
      <c r="S4373" s="20">
        <v>0</v>
      </c>
    </row>
    <row r="4374" spans="2:19" ht="15" customHeight="1" x14ac:dyDescent="0.25">
      <c r="B4374" s="2" t="str">
        <f t="shared" si="136"/>
        <v>PGL_Income Eligible_Multi-Family_Partner Trade Ally Rebate_Condensate Tank Insulation_0_MF/CI/SMB</v>
      </c>
      <c r="C4374" s="2" t="str">
        <f t="shared" si="137"/>
        <v>PGL_Income Eligible_Multi-Family_Partner Trade Ally Rebate_Condensate Tank Insulation_0_MF/CI/SMB_2023</v>
      </c>
      <c r="D4374" s="19" t="s">
        <v>1794</v>
      </c>
      <c r="E4374" s="19" t="s">
        <v>325</v>
      </c>
      <c r="F4374" s="19" t="s">
        <v>1422</v>
      </c>
      <c r="G4374" s="19" t="s">
        <v>1799</v>
      </c>
      <c r="H4374" s="19" t="s">
        <v>806</v>
      </c>
      <c r="I4374" s="19">
        <v>0</v>
      </c>
      <c r="J4374" s="19" t="s">
        <v>810</v>
      </c>
      <c r="K4374" s="19" t="s">
        <v>662</v>
      </c>
      <c r="L4374" s="19">
        <v>2023</v>
      </c>
      <c r="M4374" s="20">
        <v>250</v>
      </c>
      <c r="N4374" s="19" t="s">
        <v>634</v>
      </c>
      <c r="O4374" s="20">
        <v>0</v>
      </c>
      <c r="P4374" s="20">
        <v>0</v>
      </c>
      <c r="Q4374" s="20">
        <v>0</v>
      </c>
      <c r="R4374" s="21">
        <v>1</v>
      </c>
      <c r="S4374" s="20">
        <v>0</v>
      </c>
    </row>
    <row r="4375" spans="2:19" ht="15" customHeight="1" x14ac:dyDescent="0.25">
      <c r="B4375" s="2" t="str">
        <f t="shared" si="136"/>
        <v>PGL_Income Eligible_Multi-Family_Partner Trade Ally Rebate_Condensate Tank Insulation_0_MF/CI/SMB</v>
      </c>
      <c r="C4375" s="2" t="str">
        <f t="shared" si="137"/>
        <v>PGL_Income Eligible_Multi-Family_Partner Trade Ally Rebate_Condensate Tank Insulation_0_MF/CI/SMB_2024</v>
      </c>
      <c r="D4375" s="19" t="s">
        <v>1794</v>
      </c>
      <c r="E4375" s="19" t="s">
        <v>325</v>
      </c>
      <c r="F4375" s="19" t="s">
        <v>1422</v>
      </c>
      <c r="G4375" s="19" t="s">
        <v>1799</v>
      </c>
      <c r="H4375" s="19" t="s">
        <v>806</v>
      </c>
      <c r="I4375" s="19">
        <v>0</v>
      </c>
      <c r="J4375" s="19" t="s">
        <v>810</v>
      </c>
      <c r="K4375" s="19" t="s">
        <v>662</v>
      </c>
      <c r="L4375" s="19">
        <v>2024</v>
      </c>
      <c r="M4375" s="20">
        <v>250</v>
      </c>
      <c r="N4375" s="19" t="s">
        <v>634</v>
      </c>
      <c r="O4375" s="20">
        <v>0</v>
      </c>
      <c r="P4375" s="20">
        <v>0</v>
      </c>
      <c r="Q4375" s="20">
        <v>0</v>
      </c>
      <c r="R4375" s="21">
        <v>1</v>
      </c>
      <c r="S4375" s="20">
        <v>0</v>
      </c>
    </row>
    <row r="4376" spans="2:19" ht="15" customHeight="1" x14ac:dyDescent="0.25">
      <c r="B4376" s="2" t="str">
        <f t="shared" si="136"/>
        <v>PGL_Income Eligible_Multi-Family_Partner Trade Ally Rebate_Condensate Tank Insulation_0_MF/CI/SMB</v>
      </c>
      <c r="C4376" s="2" t="str">
        <f t="shared" si="137"/>
        <v>PGL_Income Eligible_Multi-Family_Partner Trade Ally Rebate_Condensate Tank Insulation_0_MF/CI/SMB_2025</v>
      </c>
      <c r="D4376" s="19" t="s">
        <v>1794</v>
      </c>
      <c r="E4376" s="19" t="s">
        <v>325</v>
      </c>
      <c r="F4376" s="19" t="s">
        <v>1422</v>
      </c>
      <c r="G4376" s="19" t="s">
        <v>1799</v>
      </c>
      <c r="H4376" s="19" t="s">
        <v>806</v>
      </c>
      <c r="I4376" s="19">
        <v>0</v>
      </c>
      <c r="J4376" s="19" t="s">
        <v>810</v>
      </c>
      <c r="K4376" s="19" t="s">
        <v>662</v>
      </c>
      <c r="L4376" s="19">
        <v>2025</v>
      </c>
      <c r="M4376" s="20">
        <v>250</v>
      </c>
      <c r="N4376" s="19" t="s">
        <v>634</v>
      </c>
      <c r="O4376" s="20">
        <v>0</v>
      </c>
      <c r="P4376" s="20">
        <v>0</v>
      </c>
      <c r="Q4376" s="20">
        <v>0</v>
      </c>
      <c r="R4376" s="21">
        <v>1</v>
      </c>
      <c r="S4376" s="20">
        <v>0</v>
      </c>
    </row>
    <row r="4377" spans="2:19" ht="15" customHeight="1" x14ac:dyDescent="0.25">
      <c r="B4377" s="2" t="str">
        <f t="shared" si="136"/>
        <v>PGL_Income Eligible_Multi-Family_Partner Trade Ally Rebate_DHW Storage Tank Insulation_0_MF/CI/SMB</v>
      </c>
      <c r="C4377" s="2" t="str">
        <f t="shared" si="137"/>
        <v>PGL_Income Eligible_Multi-Family_Partner Trade Ally Rebate_DHW Storage Tank Insulation_0_MF/CI/SMB_2022</v>
      </c>
      <c r="D4377" s="19" t="s">
        <v>1794</v>
      </c>
      <c r="E4377" s="19" t="s">
        <v>325</v>
      </c>
      <c r="F4377" s="19" t="s">
        <v>1422</v>
      </c>
      <c r="G4377" s="19" t="s">
        <v>1799</v>
      </c>
      <c r="H4377" s="19" t="s">
        <v>832</v>
      </c>
      <c r="I4377" s="19">
        <v>0</v>
      </c>
      <c r="J4377" s="19" t="s">
        <v>810</v>
      </c>
      <c r="K4377" s="19" t="s">
        <v>662</v>
      </c>
      <c r="L4377" s="19">
        <v>2022</v>
      </c>
      <c r="M4377" s="20">
        <v>148</v>
      </c>
      <c r="N4377" s="19" t="s">
        <v>634</v>
      </c>
      <c r="O4377" s="20">
        <v>0</v>
      </c>
      <c r="P4377" s="20">
        <v>0</v>
      </c>
      <c r="Q4377" s="20">
        <v>0</v>
      </c>
      <c r="R4377" s="21">
        <v>1</v>
      </c>
      <c r="S4377" s="20">
        <v>0</v>
      </c>
    </row>
    <row r="4378" spans="2:19" ht="15" customHeight="1" x14ac:dyDescent="0.25">
      <c r="B4378" s="2" t="str">
        <f t="shared" si="136"/>
        <v>PGL_Income Eligible_Multi-Family_Partner Trade Ally Rebate_DHW Storage Tank Insulation_0_MF/CI/SMB</v>
      </c>
      <c r="C4378" s="2" t="str">
        <f t="shared" si="137"/>
        <v>PGL_Income Eligible_Multi-Family_Partner Trade Ally Rebate_DHW Storage Tank Insulation_0_MF/CI/SMB_2023</v>
      </c>
      <c r="D4378" s="19" t="s">
        <v>1794</v>
      </c>
      <c r="E4378" s="19" t="s">
        <v>325</v>
      </c>
      <c r="F4378" s="19" t="s">
        <v>1422</v>
      </c>
      <c r="G4378" s="19" t="s">
        <v>1799</v>
      </c>
      <c r="H4378" s="19" t="s">
        <v>832</v>
      </c>
      <c r="I4378" s="19">
        <v>0</v>
      </c>
      <c r="J4378" s="19" t="s">
        <v>810</v>
      </c>
      <c r="K4378" s="19" t="s">
        <v>662</v>
      </c>
      <c r="L4378" s="19">
        <v>2023</v>
      </c>
      <c r="M4378" s="20">
        <v>148</v>
      </c>
      <c r="N4378" s="19" t="s">
        <v>634</v>
      </c>
      <c r="O4378" s="20">
        <v>0</v>
      </c>
      <c r="P4378" s="20">
        <v>0</v>
      </c>
      <c r="Q4378" s="20">
        <v>0</v>
      </c>
      <c r="R4378" s="21">
        <v>1</v>
      </c>
      <c r="S4378" s="20">
        <v>0</v>
      </c>
    </row>
    <row r="4379" spans="2:19" ht="15" customHeight="1" x14ac:dyDescent="0.25">
      <c r="B4379" s="2" t="str">
        <f t="shared" si="136"/>
        <v>PGL_Income Eligible_Multi-Family_Partner Trade Ally Rebate_DHW Storage Tank Insulation_0_MF/CI/SMB</v>
      </c>
      <c r="C4379" s="2" t="str">
        <f t="shared" si="137"/>
        <v>PGL_Income Eligible_Multi-Family_Partner Trade Ally Rebate_DHW Storage Tank Insulation_0_MF/CI/SMB_2024</v>
      </c>
      <c r="D4379" s="19" t="s">
        <v>1794</v>
      </c>
      <c r="E4379" s="19" t="s">
        <v>325</v>
      </c>
      <c r="F4379" s="19" t="s">
        <v>1422</v>
      </c>
      <c r="G4379" s="19" t="s">
        <v>1799</v>
      </c>
      <c r="H4379" s="19" t="s">
        <v>832</v>
      </c>
      <c r="I4379" s="19">
        <v>0</v>
      </c>
      <c r="J4379" s="19" t="s">
        <v>810</v>
      </c>
      <c r="K4379" s="19" t="s">
        <v>662</v>
      </c>
      <c r="L4379" s="19">
        <v>2024</v>
      </c>
      <c r="M4379" s="20">
        <v>148</v>
      </c>
      <c r="N4379" s="19" t="s">
        <v>634</v>
      </c>
      <c r="O4379" s="20">
        <v>0</v>
      </c>
      <c r="P4379" s="20">
        <v>0</v>
      </c>
      <c r="Q4379" s="20">
        <v>0</v>
      </c>
      <c r="R4379" s="21">
        <v>1</v>
      </c>
      <c r="S4379" s="20">
        <v>0</v>
      </c>
    </row>
    <row r="4380" spans="2:19" ht="15" customHeight="1" x14ac:dyDescent="0.25">
      <c r="B4380" s="2" t="str">
        <f t="shared" si="136"/>
        <v>PGL_Income Eligible_Multi-Family_Partner Trade Ally Rebate_DHW Storage Tank Insulation_0_MF/CI/SMB</v>
      </c>
      <c r="C4380" s="2" t="str">
        <f t="shared" si="137"/>
        <v>PGL_Income Eligible_Multi-Family_Partner Trade Ally Rebate_DHW Storage Tank Insulation_0_MF/CI/SMB_2025</v>
      </c>
      <c r="D4380" s="19" t="s">
        <v>1794</v>
      </c>
      <c r="E4380" s="19" t="s">
        <v>325</v>
      </c>
      <c r="F4380" s="19" t="s">
        <v>1422</v>
      </c>
      <c r="G4380" s="19" t="s">
        <v>1799</v>
      </c>
      <c r="H4380" s="19" t="s">
        <v>832</v>
      </c>
      <c r="I4380" s="19">
        <v>0</v>
      </c>
      <c r="J4380" s="19" t="s">
        <v>810</v>
      </c>
      <c r="K4380" s="19" t="s">
        <v>662</v>
      </c>
      <c r="L4380" s="19">
        <v>2025</v>
      </c>
      <c r="M4380" s="20">
        <v>148</v>
      </c>
      <c r="N4380" s="19" t="s">
        <v>634</v>
      </c>
      <c r="O4380" s="20">
        <v>0</v>
      </c>
      <c r="P4380" s="20">
        <v>0</v>
      </c>
      <c r="Q4380" s="20">
        <v>0</v>
      </c>
      <c r="R4380" s="21">
        <v>1</v>
      </c>
      <c r="S4380" s="20">
        <v>0</v>
      </c>
    </row>
    <row r="4381" spans="2:19" ht="15" customHeight="1" x14ac:dyDescent="0.25">
      <c r="B4381" s="2" t="str">
        <f t="shared" si="136"/>
        <v>PGL_Income Eligible_Multi-Family_Partner Trade Ally Rebate_Steam Boiler Averaging Controls_0_MF</v>
      </c>
      <c r="C4381" s="2" t="str">
        <f t="shared" si="137"/>
        <v>PGL_Income Eligible_Multi-Family_Partner Trade Ally Rebate_Steam Boiler Averaging Controls_0_MF_2022</v>
      </c>
      <c r="D4381" s="19" t="s">
        <v>1794</v>
      </c>
      <c r="E4381" s="19" t="s">
        <v>325</v>
      </c>
      <c r="F4381" s="19" t="s">
        <v>1422</v>
      </c>
      <c r="G4381" s="19" t="s">
        <v>1799</v>
      </c>
      <c r="H4381" s="19" t="s">
        <v>934</v>
      </c>
      <c r="I4381" s="19">
        <v>0</v>
      </c>
      <c r="J4381" s="19" t="s">
        <v>937</v>
      </c>
      <c r="K4381" s="19" t="s">
        <v>553</v>
      </c>
      <c r="L4381" s="19">
        <v>2022</v>
      </c>
      <c r="M4381" s="20">
        <v>1</v>
      </c>
      <c r="N4381" s="19" t="s">
        <v>1804</v>
      </c>
      <c r="O4381" s="20">
        <v>0</v>
      </c>
      <c r="P4381" s="20">
        <v>0</v>
      </c>
      <c r="Q4381" s="20">
        <v>0</v>
      </c>
      <c r="R4381" s="21">
        <v>1</v>
      </c>
      <c r="S4381" s="20">
        <v>0</v>
      </c>
    </row>
    <row r="4382" spans="2:19" ht="15" customHeight="1" x14ac:dyDescent="0.25">
      <c r="B4382" s="2" t="str">
        <f t="shared" si="136"/>
        <v>PGL_Income Eligible_Multi-Family_Partner Trade Ally Rebate_Steam Boiler Averaging Controls_0_MF</v>
      </c>
      <c r="C4382" s="2" t="str">
        <f t="shared" si="137"/>
        <v>PGL_Income Eligible_Multi-Family_Partner Trade Ally Rebate_Steam Boiler Averaging Controls_0_MF_2023</v>
      </c>
      <c r="D4382" s="19" t="s">
        <v>1794</v>
      </c>
      <c r="E4382" s="19" t="s">
        <v>325</v>
      </c>
      <c r="F4382" s="19" t="s">
        <v>1422</v>
      </c>
      <c r="G4382" s="19" t="s">
        <v>1799</v>
      </c>
      <c r="H4382" s="19" t="s">
        <v>934</v>
      </c>
      <c r="I4382" s="19">
        <v>0</v>
      </c>
      <c r="J4382" s="19" t="s">
        <v>937</v>
      </c>
      <c r="K4382" s="19" t="s">
        <v>553</v>
      </c>
      <c r="L4382" s="19">
        <v>2023</v>
      </c>
      <c r="M4382" s="20">
        <v>1</v>
      </c>
      <c r="N4382" s="19" t="s">
        <v>1804</v>
      </c>
      <c r="O4382" s="20">
        <v>0</v>
      </c>
      <c r="P4382" s="20">
        <v>0</v>
      </c>
      <c r="Q4382" s="20">
        <v>0</v>
      </c>
      <c r="R4382" s="21">
        <v>1</v>
      </c>
      <c r="S4382" s="20">
        <v>0</v>
      </c>
    </row>
    <row r="4383" spans="2:19" ht="15" customHeight="1" x14ac:dyDescent="0.25">
      <c r="B4383" s="2" t="str">
        <f t="shared" si="136"/>
        <v>PGL_Income Eligible_Multi-Family_Partner Trade Ally Rebate_Steam Boiler Averaging Controls_0_MF</v>
      </c>
      <c r="C4383" s="2" t="str">
        <f t="shared" si="137"/>
        <v>PGL_Income Eligible_Multi-Family_Partner Trade Ally Rebate_Steam Boiler Averaging Controls_0_MF_2024</v>
      </c>
      <c r="D4383" s="19" t="s">
        <v>1794</v>
      </c>
      <c r="E4383" s="19" t="s">
        <v>325</v>
      </c>
      <c r="F4383" s="19" t="s">
        <v>1422</v>
      </c>
      <c r="G4383" s="19" t="s">
        <v>1799</v>
      </c>
      <c r="H4383" s="19" t="s">
        <v>934</v>
      </c>
      <c r="I4383" s="19">
        <v>0</v>
      </c>
      <c r="J4383" s="19" t="s">
        <v>937</v>
      </c>
      <c r="K4383" s="19" t="s">
        <v>553</v>
      </c>
      <c r="L4383" s="19">
        <v>2024</v>
      </c>
      <c r="M4383" s="20">
        <v>1</v>
      </c>
      <c r="N4383" s="19" t="s">
        <v>1804</v>
      </c>
      <c r="O4383" s="20">
        <v>0</v>
      </c>
      <c r="P4383" s="20">
        <v>0</v>
      </c>
      <c r="Q4383" s="20">
        <v>0</v>
      </c>
      <c r="R4383" s="21">
        <v>1</v>
      </c>
      <c r="S4383" s="20">
        <v>0</v>
      </c>
    </row>
    <row r="4384" spans="2:19" ht="15" customHeight="1" x14ac:dyDescent="0.25">
      <c r="B4384" s="2" t="str">
        <f t="shared" si="136"/>
        <v>PGL_Income Eligible_Multi-Family_Partner Trade Ally Rebate_Steam Boiler Averaging Controls_0_MF</v>
      </c>
      <c r="C4384" s="2" t="str">
        <f t="shared" si="137"/>
        <v>PGL_Income Eligible_Multi-Family_Partner Trade Ally Rebate_Steam Boiler Averaging Controls_0_MF_2025</v>
      </c>
      <c r="D4384" s="19" t="s">
        <v>1794</v>
      </c>
      <c r="E4384" s="19" t="s">
        <v>325</v>
      </c>
      <c r="F4384" s="19" t="s">
        <v>1422</v>
      </c>
      <c r="G4384" s="19" t="s">
        <v>1799</v>
      </c>
      <c r="H4384" s="19" t="s">
        <v>934</v>
      </c>
      <c r="I4384" s="19">
        <v>0</v>
      </c>
      <c r="J4384" s="19" t="s">
        <v>937</v>
      </c>
      <c r="K4384" s="19" t="s">
        <v>553</v>
      </c>
      <c r="L4384" s="19">
        <v>2025</v>
      </c>
      <c r="M4384" s="20">
        <v>1</v>
      </c>
      <c r="N4384" s="19" t="s">
        <v>1804</v>
      </c>
      <c r="O4384" s="20">
        <v>0</v>
      </c>
      <c r="P4384" s="20">
        <v>0</v>
      </c>
      <c r="Q4384" s="20">
        <v>0</v>
      </c>
      <c r="R4384" s="21">
        <v>1</v>
      </c>
      <c r="S4384" s="20">
        <v>0</v>
      </c>
    </row>
    <row r="4385" spans="2:19" ht="15" customHeight="1" x14ac:dyDescent="0.25">
      <c r="B4385" s="2" t="str">
        <f t="shared" si="136"/>
        <v>PGL_Income Eligible_Multi-Family_Partner Trade Ally Rebate_Boiler Reset Controls_0_MF</v>
      </c>
      <c r="C4385" s="2" t="str">
        <f t="shared" si="137"/>
        <v>PGL_Income Eligible_Multi-Family_Partner Trade Ally Rebate_Boiler Reset Controls_0_MF_2022</v>
      </c>
      <c r="D4385" s="19" t="s">
        <v>1794</v>
      </c>
      <c r="E4385" s="19" t="s">
        <v>325</v>
      </c>
      <c r="F4385" s="19" t="s">
        <v>1422</v>
      </c>
      <c r="G4385" s="19" t="s">
        <v>1799</v>
      </c>
      <c r="H4385" s="19" t="s">
        <v>978</v>
      </c>
      <c r="I4385" s="19">
        <v>0</v>
      </c>
      <c r="J4385" s="19" t="s">
        <v>25</v>
      </c>
      <c r="K4385" s="19" t="s">
        <v>553</v>
      </c>
      <c r="L4385" s="19">
        <v>2022</v>
      </c>
      <c r="M4385" s="20">
        <v>200</v>
      </c>
      <c r="N4385" s="19" t="s">
        <v>667</v>
      </c>
      <c r="O4385" s="20">
        <v>0</v>
      </c>
      <c r="P4385" s="20">
        <v>0</v>
      </c>
      <c r="Q4385" s="20">
        <v>0</v>
      </c>
      <c r="R4385" s="21">
        <v>1</v>
      </c>
      <c r="S4385" s="20">
        <v>0</v>
      </c>
    </row>
    <row r="4386" spans="2:19" ht="15" customHeight="1" x14ac:dyDescent="0.25">
      <c r="B4386" s="2" t="str">
        <f t="shared" si="136"/>
        <v>PGL_Income Eligible_Multi-Family_Partner Trade Ally Rebate_Boiler Reset Controls_0_MF</v>
      </c>
      <c r="C4386" s="2" t="str">
        <f t="shared" si="137"/>
        <v>PGL_Income Eligible_Multi-Family_Partner Trade Ally Rebate_Boiler Reset Controls_0_MF_2023</v>
      </c>
      <c r="D4386" s="19" t="s">
        <v>1794</v>
      </c>
      <c r="E4386" s="19" t="s">
        <v>325</v>
      </c>
      <c r="F4386" s="19" t="s">
        <v>1422</v>
      </c>
      <c r="G4386" s="19" t="s">
        <v>1799</v>
      </c>
      <c r="H4386" s="19" t="s">
        <v>978</v>
      </c>
      <c r="I4386" s="19">
        <v>0</v>
      </c>
      <c r="J4386" s="19" t="s">
        <v>25</v>
      </c>
      <c r="K4386" s="19" t="s">
        <v>553</v>
      </c>
      <c r="L4386" s="19">
        <v>2023</v>
      </c>
      <c r="M4386" s="20">
        <v>200</v>
      </c>
      <c r="N4386" s="19" t="s">
        <v>667</v>
      </c>
      <c r="O4386" s="20">
        <v>0</v>
      </c>
      <c r="P4386" s="20">
        <v>0</v>
      </c>
      <c r="Q4386" s="20">
        <v>0</v>
      </c>
      <c r="R4386" s="21">
        <v>1</v>
      </c>
      <c r="S4386" s="20">
        <v>0</v>
      </c>
    </row>
    <row r="4387" spans="2:19" ht="15" customHeight="1" x14ac:dyDescent="0.25">
      <c r="B4387" s="2" t="str">
        <f t="shared" si="136"/>
        <v>PGL_Income Eligible_Multi-Family_Partner Trade Ally Rebate_Boiler Reset Controls_0_MF</v>
      </c>
      <c r="C4387" s="2" t="str">
        <f t="shared" si="137"/>
        <v>PGL_Income Eligible_Multi-Family_Partner Trade Ally Rebate_Boiler Reset Controls_0_MF_2024</v>
      </c>
      <c r="D4387" s="19" t="s">
        <v>1794</v>
      </c>
      <c r="E4387" s="19" t="s">
        <v>325</v>
      </c>
      <c r="F4387" s="19" t="s">
        <v>1422</v>
      </c>
      <c r="G4387" s="19" t="s">
        <v>1799</v>
      </c>
      <c r="H4387" s="19" t="s">
        <v>978</v>
      </c>
      <c r="I4387" s="19">
        <v>0</v>
      </c>
      <c r="J4387" s="19" t="s">
        <v>25</v>
      </c>
      <c r="K4387" s="19" t="s">
        <v>553</v>
      </c>
      <c r="L4387" s="19">
        <v>2024</v>
      </c>
      <c r="M4387" s="20">
        <v>200</v>
      </c>
      <c r="N4387" s="19" t="s">
        <v>667</v>
      </c>
      <c r="O4387" s="20">
        <v>0</v>
      </c>
      <c r="P4387" s="20">
        <v>0</v>
      </c>
      <c r="Q4387" s="20">
        <v>0</v>
      </c>
      <c r="R4387" s="21">
        <v>1</v>
      </c>
      <c r="S4387" s="20">
        <v>0</v>
      </c>
    </row>
    <row r="4388" spans="2:19" ht="15" customHeight="1" x14ac:dyDescent="0.25">
      <c r="B4388" s="2" t="str">
        <f t="shared" si="136"/>
        <v>PGL_Income Eligible_Multi-Family_Partner Trade Ally Rebate_Boiler Reset Controls_0_MF</v>
      </c>
      <c r="C4388" s="2" t="str">
        <f t="shared" si="137"/>
        <v>PGL_Income Eligible_Multi-Family_Partner Trade Ally Rebate_Boiler Reset Controls_0_MF_2025</v>
      </c>
      <c r="D4388" s="19" t="s">
        <v>1794</v>
      </c>
      <c r="E4388" s="19" t="s">
        <v>325</v>
      </c>
      <c r="F4388" s="19" t="s">
        <v>1422</v>
      </c>
      <c r="G4388" s="19" t="s">
        <v>1799</v>
      </c>
      <c r="H4388" s="19" t="s">
        <v>978</v>
      </c>
      <c r="I4388" s="19">
        <v>0</v>
      </c>
      <c r="J4388" s="19" t="s">
        <v>25</v>
      </c>
      <c r="K4388" s="19" t="s">
        <v>553</v>
      </c>
      <c r="L4388" s="19">
        <v>2025</v>
      </c>
      <c r="M4388" s="20">
        <v>200</v>
      </c>
      <c r="N4388" s="19" t="s">
        <v>667</v>
      </c>
      <c r="O4388" s="20">
        <v>0</v>
      </c>
      <c r="P4388" s="20">
        <v>0</v>
      </c>
      <c r="Q4388" s="20">
        <v>0</v>
      </c>
      <c r="R4388" s="21">
        <v>1</v>
      </c>
      <c r="S4388" s="20">
        <v>0</v>
      </c>
    </row>
    <row r="4389" spans="2:19" ht="15" customHeight="1" x14ac:dyDescent="0.25">
      <c r="B4389" s="2" t="str">
        <f t="shared" si="136"/>
        <v>PGL_Income Eligible_Multi-Family_Partner Trade Ally Rebate_Boiler Tune Up_Space Heating_MF</v>
      </c>
      <c r="C4389" s="2" t="str">
        <f t="shared" si="137"/>
        <v>PGL_Income Eligible_Multi-Family_Partner Trade Ally Rebate_Boiler Tune Up_Space Heating_MF_2022</v>
      </c>
      <c r="D4389" s="19" t="s">
        <v>1794</v>
      </c>
      <c r="E4389" s="19" t="s">
        <v>325</v>
      </c>
      <c r="F4389" s="19" t="s">
        <v>1422</v>
      </c>
      <c r="G4389" s="19" t="s">
        <v>1799</v>
      </c>
      <c r="H4389" s="19" t="s">
        <v>906</v>
      </c>
      <c r="I4389" s="19" t="s">
        <v>907</v>
      </c>
      <c r="J4389" s="19" t="s">
        <v>909</v>
      </c>
      <c r="K4389" s="19" t="s">
        <v>553</v>
      </c>
      <c r="L4389" s="19">
        <v>2022</v>
      </c>
      <c r="M4389" s="20">
        <v>800</v>
      </c>
      <c r="N4389" s="19" t="s">
        <v>667</v>
      </c>
      <c r="O4389" s="20">
        <v>0</v>
      </c>
      <c r="P4389" s="20">
        <v>0</v>
      </c>
      <c r="Q4389" s="20">
        <v>0</v>
      </c>
      <c r="R4389" s="21">
        <v>1</v>
      </c>
      <c r="S4389" s="20">
        <v>0</v>
      </c>
    </row>
    <row r="4390" spans="2:19" ht="15" customHeight="1" x14ac:dyDescent="0.25">
      <c r="B4390" s="2" t="str">
        <f t="shared" si="136"/>
        <v>PGL_Income Eligible_Multi-Family_Partner Trade Ally Rebate_Boiler Tune Up_Space Heating_MF</v>
      </c>
      <c r="C4390" s="2" t="str">
        <f t="shared" si="137"/>
        <v>PGL_Income Eligible_Multi-Family_Partner Trade Ally Rebate_Boiler Tune Up_Space Heating_MF_2023</v>
      </c>
      <c r="D4390" s="19" t="s">
        <v>1794</v>
      </c>
      <c r="E4390" s="19" t="s">
        <v>325</v>
      </c>
      <c r="F4390" s="19" t="s">
        <v>1422</v>
      </c>
      <c r="G4390" s="19" t="s">
        <v>1799</v>
      </c>
      <c r="H4390" s="19" t="s">
        <v>906</v>
      </c>
      <c r="I4390" s="19" t="s">
        <v>907</v>
      </c>
      <c r="J4390" s="19" t="s">
        <v>909</v>
      </c>
      <c r="K4390" s="19" t="s">
        <v>553</v>
      </c>
      <c r="L4390" s="19">
        <v>2023</v>
      </c>
      <c r="M4390" s="20">
        <v>800</v>
      </c>
      <c r="N4390" s="19" t="s">
        <v>667</v>
      </c>
      <c r="O4390" s="20">
        <v>0</v>
      </c>
      <c r="P4390" s="20">
        <v>0</v>
      </c>
      <c r="Q4390" s="20">
        <v>0</v>
      </c>
      <c r="R4390" s="21">
        <v>1</v>
      </c>
      <c r="S4390" s="20">
        <v>0</v>
      </c>
    </row>
    <row r="4391" spans="2:19" ht="15" customHeight="1" x14ac:dyDescent="0.25">
      <c r="B4391" s="2" t="str">
        <f t="shared" si="136"/>
        <v>PGL_Income Eligible_Multi-Family_Partner Trade Ally Rebate_Boiler Tune Up_Space Heating_MF</v>
      </c>
      <c r="C4391" s="2" t="str">
        <f t="shared" si="137"/>
        <v>PGL_Income Eligible_Multi-Family_Partner Trade Ally Rebate_Boiler Tune Up_Space Heating_MF_2024</v>
      </c>
      <c r="D4391" s="19" t="s">
        <v>1794</v>
      </c>
      <c r="E4391" s="19" t="s">
        <v>325</v>
      </c>
      <c r="F4391" s="19" t="s">
        <v>1422</v>
      </c>
      <c r="G4391" s="19" t="s">
        <v>1799</v>
      </c>
      <c r="H4391" s="19" t="s">
        <v>906</v>
      </c>
      <c r="I4391" s="19" t="s">
        <v>907</v>
      </c>
      <c r="J4391" s="19" t="s">
        <v>909</v>
      </c>
      <c r="K4391" s="19" t="s">
        <v>553</v>
      </c>
      <c r="L4391" s="19">
        <v>2024</v>
      </c>
      <c r="M4391" s="20">
        <v>800</v>
      </c>
      <c r="N4391" s="19" t="s">
        <v>667</v>
      </c>
      <c r="O4391" s="20">
        <v>0</v>
      </c>
      <c r="P4391" s="20">
        <v>0</v>
      </c>
      <c r="Q4391" s="20">
        <v>0</v>
      </c>
      <c r="R4391" s="21">
        <v>1</v>
      </c>
      <c r="S4391" s="20">
        <v>0</v>
      </c>
    </row>
    <row r="4392" spans="2:19" ht="15" customHeight="1" x14ac:dyDescent="0.25">
      <c r="B4392" s="2" t="str">
        <f t="shared" si="136"/>
        <v>PGL_Income Eligible_Multi-Family_Partner Trade Ally Rebate_Boiler Tune Up_Space Heating_MF</v>
      </c>
      <c r="C4392" s="2" t="str">
        <f t="shared" si="137"/>
        <v>PGL_Income Eligible_Multi-Family_Partner Trade Ally Rebate_Boiler Tune Up_Space Heating_MF_2025</v>
      </c>
      <c r="D4392" s="19" t="s">
        <v>1794</v>
      </c>
      <c r="E4392" s="19" t="s">
        <v>325</v>
      </c>
      <c r="F4392" s="19" t="s">
        <v>1422</v>
      </c>
      <c r="G4392" s="19" t="s">
        <v>1799</v>
      </c>
      <c r="H4392" s="19" t="s">
        <v>906</v>
      </c>
      <c r="I4392" s="19" t="s">
        <v>907</v>
      </c>
      <c r="J4392" s="19" t="s">
        <v>909</v>
      </c>
      <c r="K4392" s="19" t="s">
        <v>553</v>
      </c>
      <c r="L4392" s="19">
        <v>2025</v>
      </c>
      <c r="M4392" s="20">
        <v>800</v>
      </c>
      <c r="N4392" s="19" t="s">
        <v>667</v>
      </c>
      <c r="O4392" s="20">
        <v>0</v>
      </c>
      <c r="P4392" s="20">
        <v>0</v>
      </c>
      <c r="Q4392" s="20">
        <v>0</v>
      </c>
      <c r="R4392" s="21">
        <v>1</v>
      </c>
      <c r="S4392" s="20">
        <v>0</v>
      </c>
    </row>
    <row r="4393" spans="2:19" ht="15" customHeight="1" x14ac:dyDescent="0.25">
      <c r="B4393" s="2" t="str">
        <f t="shared" si="136"/>
        <v>PGL_Income Eligible_Multi-Family_Partner Trade Ally Rebate_Linkageless Controls_0_MF</v>
      </c>
      <c r="C4393" s="2" t="str">
        <f t="shared" si="137"/>
        <v>PGL_Income Eligible_Multi-Family_Partner Trade Ally Rebate_Linkageless Controls_0_MF_2022</v>
      </c>
      <c r="D4393" s="19" t="s">
        <v>1794</v>
      </c>
      <c r="E4393" s="19" t="s">
        <v>325</v>
      </c>
      <c r="F4393" s="19" t="s">
        <v>1422</v>
      </c>
      <c r="G4393" s="19" t="s">
        <v>1799</v>
      </c>
      <c r="H4393" s="19" t="s">
        <v>1287</v>
      </c>
      <c r="I4393" s="19">
        <v>0</v>
      </c>
      <c r="J4393" s="19" t="s">
        <v>28</v>
      </c>
      <c r="K4393" s="19" t="s">
        <v>553</v>
      </c>
      <c r="L4393" s="19">
        <v>2022</v>
      </c>
      <c r="M4393" s="20">
        <v>5000</v>
      </c>
      <c r="N4393" s="19" t="s">
        <v>667</v>
      </c>
      <c r="O4393" s="20">
        <v>2</v>
      </c>
      <c r="P4393" s="20">
        <v>10000</v>
      </c>
      <c r="Q4393" s="20">
        <v>6318.1333333333332</v>
      </c>
      <c r="R4393" s="21">
        <v>1</v>
      </c>
      <c r="S4393" s="20">
        <v>6318.1333333333332</v>
      </c>
    </row>
    <row r="4394" spans="2:19" ht="15" customHeight="1" x14ac:dyDescent="0.25">
      <c r="B4394" s="2" t="str">
        <f t="shared" si="136"/>
        <v>PGL_Income Eligible_Multi-Family_Partner Trade Ally Rebate_Linkageless Controls_0_MF</v>
      </c>
      <c r="C4394" s="2" t="str">
        <f t="shared" si="137"/>
        <v>PGL_Income Eligible_Multi-Family_Partner Trade Ally Rebate_Linkageless Controls_0_MF_2023</v>
      </c>
      <c r="D4394" s="19" t="s">
        <v>1794</v>
      </c>
      <c r="E4394" s="19" t="s">
        <v>325</v>
      </c>
      <c r="F4394" s="19" t="s">
        <v>1422</v>
      </c>
      <c r="G4394" s="19" t="s">
        <v>1799</v>
      </c>
      <c r="H4394" s="19" t="s">
        <v>1287</v>
      </c>
      <c r="I4394" s="19">
        <v>0</v>
      </c>
      <c r="J4394" s="19" t="s">
        <v>28</v>
      </c>
      <c r="K4394" s="19" t="s">
        <v>553</v>
      </c>
      <c r="L4394" s="19">
        <v>2023</v>
      </c>
      <c r="M4394" s="20">
        <v>5000</v>
      </c>
      <c r="N4394" s="19" t="s">
        <v>667</v>
      </c>
      <c r="O4394" s="20">
        <v>2</v>
      </c>
      <c r="P4394" s="20">
        <v>10000</v>
      </c>
      <c r="Q4394" s="20">
        <v>6318.1333333333332</v>
      </c>
      <c r="R4394" s="21">
        <v>1</v>
      </c>
      <c r="S4394" s="20">
        <v>6318.1333333333332</v>
      </c>
    </row>
    <row r="4395" spans="2:19" ht="15" customHeight="1" x14ac:dyDescent="0.25">
      <c r="B4395" s="2" t="str">
        <f t="shared" si="136"/>
        <v>PGL_Income Eligible_Multi-Family_Partner Trade Ally Rebate_Linkageless Controls_0_MF</v>
      </c>
      <c r="C4395" s="2" t="str">
        <f t="shared" si="137"/>
        <v>PGL_Income Eligible_Multi-Family_Partner Trade Ally Rebate_Linkageless Controls_0_MF_2024</v>
      </c>
      <c r="D4395" s="19" t="s">
        <v>1794</v>
      </c>
      <c r="E4395" s="19" t="s">
        <v>325</v>
      </c>
      <c r="F4395" s="19" t="s">
        <v>1422</v>
      </c>
      <c r="G4395" s="19" t="s">
        <v>1799</v>
      </c>
      <c r="H4395" s="19" t="s">
        <v>1287</v>
      </c>
      <c r="I4395" s="19">
        <v>0</v>
      </c>
      <c r="J4395" s="19" t="s">
        <v>28</v>
      </c>
      <c r="K4395" s="19" t="s">
        <v>553</v>
      </c>
      <c r="L4395" s="19">
        <v>2024</v>
      </c>
      <c r="M4395" s="20">
        <v>5000</v>
      </c>
      <c r="N4395" s="19" t="s">
        <v>667</v>
      </c>
      <c r="O4395" s="20">
        <v>2</v>
      </c>
      <c r="P4395" s="20">
        <v>10000</v>
      </c>
      <c r="Q4395" s="20">
        <v>6318.1333333333332</v>
      </c>
      <c r="R4395" s="21">
        <v>1</v>
      </c>
      <c r="S4395" s="20">
        <v>6318.1333333333332</v>
      </c>
    </row>
    <row r="4396" spans="2:19" ht="15" customHeight="1" x14ac:dyDescent="0.25">
      <c r="B4396" s="2" t="str">
        <f t="shared" si="136"/>
        <v>PGL_Income Eligible_Multi-Family_Partner Trade Ally Rebate_Linkageless Controls_0_MF</v>
      </c>
      <c r="C4396" s="2" t="str">
        <f t="shared" si="137"/>
        <v>PGL_Income Eligible_Multi-Family_Partner Trade Ally Rebate_Linkageless Controls_0_MF_2025</v>
      </c>
      <c r="D4396" s="19" t="s">
        <v>1794</v>
      </c>
      <c r="E4396" s="19" t="s">
        <v>325</v>
      </c>
      <c r="F4396" s="19" t="s">
        <v>1422</v>
      </c>
      <c r="G4396" s="19" t="s">
        <v>1799</v>
      </c>
      <c r="H4396" s="19" t="s">
        <v>1287</v>
      </c>
      <c r="I4396" s="19">
        <v>0</v>
      </c>
      <c r="J4396" s="19" t="s">
        <v>28</v>
      </c>
      <c r="K4396" s="19" t="s">
        <v>553</v>
      </c>
      <c r="L4396" s="19">
        <v>2025</v>
      </c>
      <c r="M4396" s="20">
        <v>5000</v>
      </c>
      <c r="N4396" s="19" t="s">
        <v>667</v>
      </c>
      <c r="O4396" s="20">
        <v>2</v>
      </c>
      <c r="P4396" s="20">
        <v>10000</v>
      </c>
      <c r="Q4396" s="20">
        <v>6318.1333333333332</v>
      </c>
      <c r="R4396" s="21">
        <v>1</v>
      </c>
      <c r="S4396" s="20">
        <v>6318.1333333333332</v>
      </c>
    </row>
    <row r="4397" spans="2:19" ht="15" customHeight="1" x14ac:dyDescent="0.25">
      <c r="B4397" s="2" t="str">
        <f t="shared" si="136"/>
        <v>PGL_Income Eligible_Multi-Family_Partner Trade Ally Rebate_Advanced Thermostat_Furnace (Replace Manual)_MF</v>
      </c>
      <c r="C4397" s="2" t="str">
        <f t="shared" si="137"/>
        <v>PGL_Income Eligible_Multi-Family_Partner Trade Ally Rebate_Advanced Thermostat_Furnace (Replace Manual)_MF_2022</v>
      </c>
      <c r="D4397" s="19" t="s">
        <v>1794</v>
      </c>
      <c r="E4397" s="19" t="s">
        <v>325</v>
      </c>
      <c r="F4397" s="19" t="s">
        <v>1422</v>
      </c>
      <c r="G4397" s="19" t="s">
        <v>1799</v>
      </c>
      <c r="H4397" s="19" t="s">
        <v>7</v>
      </c>
      <c r="I4397" s="19" t="s">
        <v>1047</v>
      </c>
      <c r="J4397" s="19" t="s">
        <v>24</v>
      </c>
      <c r="K4397" s="19" t="s">
        <v>553</v>
      </c>
      <c r="L4397" s="19">
        <v>2022</v>
      </c>
      <c r="M4397" s="20">
        <v>1</v>
      </c>
      <c r="N4397" s="19" t="s">
        <v>1798</v>
      </c>
      <c r="O4397" s="20">
        <v>0</v>
      </c>
      <c r="P4397" s="20">
        <v>0</v>
      </c>
      <c r="Q4397" s="20">
        <v>0</v>
      </c>
      <c r="R4397" s="21">
        <v>1</v>
      </c>
      <c r="S4397" s="20">
        <v>0</v>
      </c>
    </row>
    <row r="4398" spans="2:19" ht="15" customHeight="1" x14ac:dyDescent="0.25">
      <c r="B4398" s="2" t="str">
        <f t="shared" si="136"/>
        <v>PGL_Income Eligible_Multi-Family_Partner Trade Ally Rebate_Advanced Thermostat_Furnace (Replace Manual)_MF</v>
      </c>
      <c r="C4398" s="2" t="str">
        <f t="shared" si="137"/>
        <v>PGL_Income Eligible_Multi-Family_Partner Trade Ally Rebate_Advanced Thermostat_Furnace (Replace Manual)_MF_2023</v>
      </c>
      <c r="D4398" s="19" t="s">
        <v>1794</v>
      </c>
      <c r="E4398" s="19" t="s">
        <v>325</v>
      </c>
      <c r="F4398" s="19" t="s">
        <v>1422</v>
      </c>
      <c r="G4398" s="19" t="s">
        <v>1799</v>
      </c>
      <c r="H4398" s="19" t="s">
        <v>7</v>
      </c>
      <c r="I4398" s="19" t="s">
        <v>1047</v>
      </c>
      <c r="J4398" s="19" t="s">
        <v>24</v>
      </c>
      <c r="K4398" s="19" t="s">
        <v>553</v>
      </c>
      <c r="L4398" s="19">
        <v>2023</v>
      </c>
      <c r="M4398" s="20">
        <v>1</v>
      </c>
      <c r="N4398" s="19" t="s">
        <v>1798</v>
      </c>
      <c r="O4398" s="20">
        <v>0</v>
      </c>
      <c r="P4398" s="20">
        <v>0</v>
      </c>
      <c r="Q4398" s="20">
        <v>0</v>
      </c>
      <c r="R4398" s="21">
        <v>1</v>
      </c>
      <c r="S4398" s="20">
        <v>0</v>
      </c>
    </row>
    <row r="4399" spans="2:19" ht="15" customHeight="1" x14ac:dyDescent="0.25">
      <c r="B4399" s="2" t="str">
        <f t="shared" si="136"/>
        <v>PGL_Income Eligible_Multi-Family_Partner Trade Ally Rebate_Advanced Thermostat_Furnace (Replace Manual)_MF</v>
      </c>
      <c r="C4399" s="2" t="str">
        <f t="shared" si="137"/>
        <v>PGL_Income Eligible_Multi-Family_Partner Trade Ally Rebate_Advanced Thermostat_Furnace (Replace Manual)_MF_2024</v>
      </c>
      <c r="D4399" s="19" t="s">
        <v>1794</v>
      </c>
      <c r="E4399" s="19" t="s">
        <v>325</v>
      </c>
      <c r="F4399" s="19" t="s">
        <v>1422</v>
      </c>
      <c r="G4399" s="19" t="s">
        <v>1799</v>
      </c>
      <c r="H4399" s="19" t="s">
        <v>7</v>
      </c>
      <c r="I4399" s="19" t="s">
        <v>1047</v>
      </c>
      <c r="J4399" s="19" t="s">
        <v>24</v>
      </c>
      <c r="K4399" s="19" t="s">
        <v>553</v>
      </c>
      <c r="L4399" s="19">
        <v>2024</v>
      </c>
      <c r="M4399" s="20">
        <v>1</v>
      </c>
      <c r="N4399" s="19" t="s">
        <v>1798</v>
      </c>
      <c r="O4399" s="20">
        <v>0</v>
      </c>
      <c r="P4399" s="20">
        <v>0</v>
      </c>
      <c r="Q4399" s="20">
        <v>0</v>
      </c>
      <c r="R4399" s="21">
        <v>1</v>
      </c>
      <c r="S4399" s="20">
        <v>0</v>
      </c>
    </row>
    <row r="4400" spans="2:19" ht="15" customHeight="1" x14ac:dyDescent="0.25">
      <c r="B4400" s="2" t="str">
        <f t="shared" si="136"/>
        <v>PGL_Income Eligible_Multi-Family_Partner Trade Ally Rebate_Advanced Thermostat_Furnace (Replace Manual)_MF</v>
      </c>
      <c r="C4400" s="2" t="str">
        <f t="shared" si="137"/>
        <v>PGL_Income Eligible_Multi-Family_Partner Trade Ally Rebate_Advanced Thermostat_Furnace (Replace Manual)_MF_2025</v>
      </c>
      <c r="D4400" s="19" t="s">
        <v>1794</v>
      </c>
      <c r="E4400" s="19" t="s">
        <v>325</v>
      </c>
      <c r="F4400" s="19" t="s">
        <v>1422</v>
      </c>
      <c r="G4400" s="19" t="s">
        <v>1799</v>
      </c>
      <c r="H4400" s="19" t="s">
        <v>7</v>
      </c>
      <c r="I4400" s="19" t="s">
        <v>1047</v>
      </c>
      <c r="J4400" s="19" t="s">
        <v>24</v>
      </c>
      <c r="K4400" s="19" t="s">
        <v>553</v>
      </c>
      <c r="L4400" s="19">
        <v>2025</v>
      </c>
      <c r="M4400" s="20">
        <v>1</v>
      </c>
      <c r="N4400" s="19" t="s">
        <v>1798</v>
      </c>
      <c r="O4400" s="20">
        <v>0</v>
      </c>
      <c r="P4400" s="20">
        <v>0</v>
      </c>
      <c r="Q4400" s="20">
        <v>0</v>
      </c>
      <c r="R4400" s="21">
        <v>1</v>
      </c>
      <c r="S4400" s="20">
        <v>0</v>
      </c>
    </row>
    <row r="4401" spans="2:19" ht="15" customHeight="1" x14ac:dyDescent="0.25">
      <c r="B4401" s="2" t="str">
        <f t="shared" si="136"/>
        <v>PGL_Income Eligible_Multi-Family_Partner Trade Ally Rebate_Advanced Thermostat_Boiler (Replace Manual)_MF</v>
      </c>
      <c r="C4401" s="2" t="str">
        <f t="shared" si="137"/>
        <v>PGL_Income Eligible_Multi-Family_Partner Trade Ally Rebate_Advanced Thermostat_Boiler (Replace Manual)_MF_2022</v>
      </c>
      <c r="D4401" s="19" t="s">
        <v>1794</v>
      </c>
      <c r="E4401" s="19" t="s">
        <v>325</v>
      </c>
      <c r="F4401" s="19" t="s">
        <v>1422</v>
      </c>
      <c r="G4401" s="19" t="s">
        <v>1799</v>
      </c>
      <c r="H4401" s="19" t="s">
        <v>7</v>
      </c>
      <c r="I4401" s="19" t="s">
        <v>1051</v>
      </c>
      <c r="J4401" s="19" t="s">
        <v>24</v>
      </c>
      <c r="K4401" s="19" t="s">
        <v>553</v>
      </c>
      <c r="L4401" s="19">
        <v>2022</v>
      </c>
      <c r="M4401" s="20">
        <v>1</v>
      </c>
      <c r="N4401" s="19" t="s">
        <v>1798</v>
      </c>
      <c r="O4401" s="20">
        <v>0</v>
      </c>
      <c r="P4401" s="20">
        <v>0</v>
      </c>
      <c r="Q4401" s="20">
        <v>0</v>
      </c>
      <c r="R4401" s="21">
        <v>1</v>
      </c>
      <c r="S4401" s="20">
        <v>0</v>
      </c>
    </row>
    <row r="4402" spans="2:19" ht="15" customHeight="1" x14ac:dyDescent="0.25">
      <c r="B4402" s="2" t="str">
        <f t="shared" si="136"/>
        <v>PGL_Income Eligible_Multi-Family_Partner Trade Ally Rebate_Advanced Thermostat_Boiler (Replace Manual)_MF</v>
      </c>
      <c r="C4402" s="2" t="str">
        <f t="shared" si="137"/>
        <v>PGL_Income Eligible_Multi-Family_Partner Trade Ally Rebate_Advanced Thermostat_Boiler (Replace Manual)_MF_2023</v>
      </c>
      <c r="D4402" s="19" t="s">
        <v>1794</v>
      </c>
      <c r="E4402" s="19" t="s">
        <v>325</v>
      </c>
      <c r="F4402" s="19" t="s">
        <v>1422</v>
      </c>
      <c r="G4402" s="19" t="s">
        <v>1799</v>
      </c>
      <c r="H4402" s="19" t="s">
        <v>7</v>
      </c>
      <c r="I4402" s="19" t="s">
        <v>1051</v>
      </c>
      <c r="J4402" s="19" t="s">
        <v>24</v>
      </c>
      <c r="K4402" s="19" t="s">
        <v>553</v>
      </c>
      <c r="L4402" s="19">
        <v>2023</v>
      </c>
      <c r="M4402" s="20">
        <v>1</v>
      </c>
      <c r="N4402" s="19" t="s">
        <v>1798</v>
      </c>
      <c r="O4402" s="20">
        <v>0</v>
      </c>
      <c r="P4402" s="20">
        <v>0</v>
      </c>
      <c r="Q4402" s="20">
        <v>0</v>
      </c>
      <c r="R4402" s="21">
        <v>1</v>
      </c>
      <c r="S4402" s="20">
        <v>0</v>
      </c>
    </row>
    <row r="4403" spans="2:19" ht="15" customHeight="1" x14ac:dyDescent="0.25">
      <c r="B4403" s="2" t="str">
        <f t="shared" si="136"/>
        <v>PGL_Income Eligible_Multi-Family_Partner Trade Ally Rebate_Advanced Thermostat_Boiler (Replace Manual)_MF</v>
      </c>
      <c r="C4403" s="2" t="str">
        <f t="shared" si="137"/>
        <v>PGL_Income Eligible_Multi-Family_Partner Trade Ally Rebate_Advanced Thermostat_Boiler (Replace Manual)_MF_2024</v>
      </c>
      <c r="D4403" s="19" t="s">
        <v>1794</v>
      </c>
      <c r="E4403" s="19" t="s">
        <v>325</v>
      </c>
      <c r="F4403" s="19" t="s">
        <v>1422</v>
      </c>
      <c r="G4403" s="19" t="s">
        <v>1799</v>
      </c>
      <c r="H4403" s="19" t="s">
        <v>7</v>
      </c>
      <c r="I4403" s="19" t="s">
        <v>1051</v>
      </c>
      <c r="J4403" s="19" t="s">
        <v>24</v>
      </c>
      <c r="K4403" s="19" t="s">
        <v>553</v>
      </c>
      <c r="L4403" s="19">
        <v>2024</v>
      </c>
      <c r="M4403" s="20">
        <v>1</v>
      </c>
      <c r="N4403" s="19" t="s">
        <v>1798</v>
      </c>
      <c r="O4403" s="20">
        <v>0</v>
      </c>
      <c r="P4403" s="20">
        <v>0</v>
      </c>
      <c r="Q4403" s="20">
        <v>0</v>
      </c>
      <c r="R4403" s="21">
        <v>1</v>
      </c>
      <c r="S4403" s="20">
        <v>0</v>
      </c>
    </row>
    <row r="4404" spans="2:19" ht="15" customHeight="1" x14ac:dyDescent="0.25">
      <c r="B4404" s="2" t="str">
        <f t="shared" si="136"/>
        <v>PGL_Income Eligible_Multi-Family_Partner Trade Ally Rebate_Advanced Thermostat_Boiler (Replace Manual)_MF</v>
      </c>
      <c r="C4404" s="2" t="str">
        <f t="shared" si="137"/>
        <v>PGL_Income Eligible_Multi-Family_Partner Trade Ally Rebate_Advanced Thermostat_Boiler (Replace Manual)_MF_2025</v>
      </c>
      <c r="D4404" s="19" t="s">
        <v>1794</v>
      </c>
      <c r="E4404" s="19" t="s">
        <v>325</v>
      </c>
      <c r="F4404" s="19" t="s">
        <v>1422</v>
      </c>
      <c r="G4404" s="19" t="s">
        <v>1799</v>
      </c>
      <c r="H4404" s="19" t="s">
        <v>7</v>
      </c>
      <c r="I4404" s="19" t="s">
        <v>1051</v>
      </c>
      <c r="J4404" s="19" t="s">
        <v>24</v>
      </c>
      <c r="K4404" s="19" t="s">
        <v>553</v>
      </c>
      <c r="L4404" s="19">
        <v>2025</v>
      </c>
      <c r="M4404" s="20">
        <v>1</v>
      </c>
      <c r="N4404" s="19" t="s">
        <v>1798</v>
      </c>
      <c r="O4404" s="20">
        <v>0</v>
      </c>
      <c r="P4404" s="20">
        <v>0</v>
      </c>
      <c r="Q4404" s="20">
        <v>0</v>
      </c>
      <c r="R4404" s="21">
        <v>1</v>
      </c>
      <c r="S4404" s="20">
        <v>0</v>
      </c>
    </row>
    <row r="4405" spans="2:19" ht="15" customHeight="1" x14ac:dyDescent="0.25">
      <c r="B4405" s="2" t="str">
        <f t="shared" si="136"/>
        <v>PGL_Income Eligible_Multi-Family_Partner Trade Ally Rebate_Advanced Thermostat_Furnace (Replace Programmable)_MF</v>
      </c>
      <c r="C4405" s="2" t="str">
        <f t="shared" si="137"/>
        <v>PGL_Income Eligible_Multi-Family_Partner Trade Ally Rebate_Advanced Thermostat_Furnace (Replace Programmable)_MF_2022</v>
      </c>
      <c r="D4405" s="19" t="s">
        <v>1794</v>
      </c>
      <c r="E4405" s="19" t="s">
        <v>325</v>
      </c>
      <c r="F4405" s="19" t="s">
        <v>1422</v>
      </c>
      <c r="G4405" s="19" t="s">
        <v>1799</v>
      </c>
      <c r="H4405" s="19" t="s">
        <v>7</v>
      </c>
      <c r="I4405" s="19" t="s">
        <v>1049</v>
      </c>
      <c r="J4405" s="19" t="s">
        <v>24</v>
      </c>
      <c r="K4405" s="19" t="s">
        <v>553</v>
      </c>
      <c r="L4405" s="19">
        <v>2022</v>
      </c>
      <c r="M4405" s="20">
        <v>1</v>
      </c>
      <c r="N4405" s="19" t="s">
        <v>1798</v>
      </c>
      <c r="O4405" s="20">
        <v>0</v>
      </c>
      <c r="P4405" s="20">
        <v>0</v>
      </c>
      <c r="Q4405" s="20">
        <v>0</v>
      </c>
      <c r="R4405" s="21">
        <v>1</v>
      </c>
      <c r="S4405" s="20">
        <v>0</v>
      </c>
    </row>
    <row r="4406" spans="2:19" ht="15" customHeight="1" x14ac:dyDescent="0.25">
      <c r="B4406" s="2" t="str">
        <f t="shared" si="136"/>
        <v>PGL_Income Eligible_Multi-Family_Partner Trade Ally Rebate_Advanced Thermostat_Furnace (Replace Programmable)_MF</v>
      </c>
      <c r="C4406" s="2" t="str">
        <f t="shared" si="137"/>
        <v>PGL_Income Eligible_Multi-Family_Partner Trade Ally Rebate_Advanced Thermostat_Furnace (Replace Programmable)_MF_2023</v>
      </c>
      <c r="D4406" s="19" t="s">
        <v>1794</v>
      </c>
      <c r="E4406" s="19" t="s">
        <v>325</v>
      </c>
      <c r="F4406" s="19" t="s">
        <v>1422</v>
      </c>
      <c r="G4406" s="19" t="s">
        <v>1799</v>
      </c>
      <c r="H4406" s="19" t="s">
        <v>7</v>
      </c>
      <c r="I4406" s="19" t="s">
        <v>1049</v>
      </c>
      <c r="J4406" s="19" t="s">
        <v>24</v>
      </c>
      <c r="K4406" s="19" t="s">
        <v>553</v>
      </c>
      <c r="L4406" s="19">
        <v>2023</v>
      </c>
      <c r="M4406" s="20">
        <v>1</v>
      </c>
      <c r="N4406" s="19" t="s">
        <v>1798</v>
      </c>
      <c r="O4406" s="20">
        <v>0</v>
      </c>
      <c r="P4406" s="20">
        <v>0</v>
      </c>
      <c r="Q4406" s="20">
        <v>0</v>
      </c>
      <c r="R4406" s="21">
        <v>1</v>
      </c>
      <c r="S4406" s="20">
        <v>0</v>
      </c>
    </row>
    <row r="4407" spans="2:19" ht="15" customHeight="1" x14ac:dyDescent="0.25">
      <c r="B4407" s="2" t="str">
        <f t="shared" si="136"/>
        <v>PGL_Income Eligible_Multi-Family_Partner Trade Ally Rebate_Advanced Thermostat_Furnace (Replace Programmable)_MF</v>
      </c>
      <c r="C4407" s="2" t="str">
        <f t="shared" si="137"/>
        <v>PGL_Income Eligible_Multi-Family_Partner Trade Ally Rebate_Advanced Thermostat_Furnace (Replace Programmable)_MF_2024</v>
      </c>
      <c r="D4407" s="19" t="s">
        <v>1794</v>
      </c>
      <c r="E4407" s="19" t="s">
        <v>325</v>
      </c>
      <c r="F4407" s="19" t="s">
        <v>1422</v>
      </c>
      <c r="G4407" s="19" t="s">
        <v>1799</v>
      </c>
      <c r="H4407" s="19" t="s">
        <v>7</v>
      </c>
      <c r="I4407" s="19" t="s">
        <v>1049</v>
      </c>
      <c r="J4407" s="19" t="s">
        <v>24</v>
      </c>
      <c r="K4407" s="19" t="s">
        <v>553</v>
      </c>
      <c r="L4407" s="19">
        <v>2024</v>
      </c>
      <c r="M4407" s="20">
        <v>1</v>
      </c>
      <c r="N4407" s="19" t="s">
        <v>1798</v>
      </c>
      <c r="O4407" s="20">
        <v>0</v>
      </c>
      <c r="P4407" s="20">
        <v>0</v>
      </c>
      <c r="Q4407" s="20">
        <v>0</v>
      </c>
      <c r="R4407" s="21">
        <v>1</v>
      </c>
      <c r="S4407" s="20">
        <v>0</v>
      </c>
    </row>
    <row r="4408" spans="2:19" ht="15" customHeight="1" x14ac:dyDescent="0.25">
      <c r="B4408" s="2" t="str">
        <f t="shared" si="136"/>
        <v>PGL_Income Eligible_Multi-Family_Partner Trade Ally Rebate_Advanced Thermostat_Furnace (Replace Programmable)_MF</v>
      </c>
      <c r="C4408" s="2" t="str">
        <f t="shared" si="137"/>
        <v>PGL_Income Eligible_Multi-Family_Partner Trade Ally Rebate_Advanced Thermostat_Furnace (Replace Programmable)_MF_2025</v>
      </c>
      <c r="D4408" s="19" t="s">
        <v>1794</v>
      </c>
      <c r="E4408" s="19" t="s">
        <v>325</v>
      </c>
      <c r="F4408" s="19" t="s">
        <v>1422</v>
      </c>
      <c r="G4408" s="19" t="s">
        <v>1799</v>
      </c>
      <c r="H4408" s="19" t="s">
        <v>7</v>
      </c>
      <c r="I4408" s="19" t="s">
        <v>1049</v>
      </c>
      <c r="J4408" s="19" t="s">
        <v>24</v>
      </c>
      <c r="K4408" s="19" t="s">
        <v>553</v>
      </c>
      <c r="L4408" s="19">
        <v>2025</v>
      </c>
      <c r="M4408" s="20">
        <v>1</v>
      </c>
      <c r="N4408" s="19" t="s">
        <v>1798</v>
      </c>
      <c r="O4408" s="20">
        <v>0</v>
      </c>
      <c r="P4408" s="20">
        <v>0</v>
      </c>
      <c r="Q4408" s="20">
        <v>0</v>
      </c>
      <c r="R4408" s="21">
        <v>1</v>
      </c>
      <c r="S4408" s="20">
        <v>0</v>
      </c>
    </row>
    <row r="4409" spans="2:19" ht="15" customHeight="1" x14ac:dyDescent="0.25">
      <c r="B4409" s="2" t="str">
        <f t="shared" si="136"/>
        <v>PGL_Income Eligible_Multi-Family_Partner Trade Ally Rebate_Advanced Thermostat_Boiler (Replace Programmable)_MF</v>
      </c>
      <c r="C4409" s="2" t="str">
        <f t="shared" si="137"/>
        <v>PGL_Income Eligible_Multi-Family_Partner Trade Ally Rebate_Advanced Thermostat_Boiler (Replace Programmable)_MF_2022</v>
      </c>
      <c r="D4409" s="19" t="s">
        <v>1794</v>
      </c>
      <c r="E4409" s="19" t="s">
        <v>325</v>
      </c>
      <c r="F4409" s="19" t="s">
        <v>1422</v>
      </c>
      <c r="G4409" s="19" t="s">
        <v>1799</v>
      </c>
      <c r="H4409" s="19" t="s">
        <v>7</v>
      </c>
      <c r="I4409" s="19" t="s">
        <v>1052</v>
      </c>
      <c r="J4409" s="19" t="s">
        <v>24</v>
      </c>
      <c r="K4409" s="19" t="s">
        <v>553</v>
      </c>
      <c r="L4409" s="19">
        <v>2022</v>
      </c>
      <c r="M4409" s="20">
        <v>1</v>
      </c>
      <c r="N4409" s="19" t="s">
        <v>1798</v>
      </c>
      <c r="O4409" s="20">
        <v>0</v>
      </c>
      <c r="P4409" s="20">
        <v>0</v>
      </c>
      <c r="Q4409" s="20">
        <v>0</v>
      </c>
      <c r="R4409" s="21">
        <v>1</v>
      </c>
      <c r="S4409" s="20">
        <v>0</v>
      </c>
    </row>
    <row r="4410" spans="2:19" ht="15" customHeight="1" x14ac:dyDescent="0.25">
      <c r="B4410" s="2" t="str">
        <f t="shared" si="136"/>
        <v>PGL_Income Eligible_Multi-Family_Partner Trade Ally Rebate_Advanced Thermostat_Boiler (Replace Programmable)_MF</v>
      </c>
      <c r="C4410" s="2" t="str">
        <f t="shared" si="137"/>
        <v>PGL_Income Eligible_Multi-Family_Partner Trade Ally Rebate_Advanced Thermostat_Boiler (Replace Programmable)_MF_2023</v>
      </c>
      <c r="D4410" s="19" t="s">
        <v>1794</v>
      </c>
      <c r="E4410" s="19" t="s">
        <v>325</v>
      </c>
      <c r="F4410" s="19" t="s">
        <v>1422</v>
      </c>
      <c r="G4410" s="19" t="s">
        <v>1799</v>
      </c>
      <c r="H4410" s="19" t="s">
        <v>7</v>
      </c>
      <c r="I4410" s="19" t="s">
        <v>1052</v>
      </c>
      <c r="J4410" s="19" t="s">
        <v>24</v>
      </c>
      <c r="K4410" s="19" t="s">
        <v>553</v>
      </c>
      <c r="L4410" s="19">
        <v>2023</v>
      </c>
      <c r="M4410" s="20">
        <v>1</v>
      </c>
      <c r="N4410" s="19" t="s">
        <v>1798</v>
      </c>
      <c r="O4410" s="20">
        <v>0</v>
      </c>
      <c r="P4410" s="20">
        <v>0</v>
      </c>
      <c r="Q4410" s="20">
        <v>0</v>
      </c>
      <c r="R4410" s="21">
        <v>1</v>
      </c>
      <c r="S4410" s="20">
        <v>0</v>
      </c>
    </row>
    <row r="4411" spans="2:19" ht="15" customHeight="1" x14ac:dyDescent="0.25">
      <c r="B4411" s="2" t="str">
        <f t="shared" si="136"/>
        <v>PGL_Income Eligible_Multi-Family_Partner Trade Ally Rebate_Advanced Thermostat_Boiler (Replace Programmable)_MF</v>
      </c>
      <c r="C4411" s="2" t="str">
        <f t="shared" si="137"/>
        <v>PGL_Income Eligible_Multi-Family_Partner Trade Ally Rebate_Advanced Thermostat_Boiler (Replace Programmable)_MF_2024</v>
      </c>
      <c r="D4411" s="19" t="s">
        <v>1794</v>
      </c>
      <c r="E4411" s="19" t="s">
        <v>325</v>
      </c>
      <c r="F4411" s="19" t="s">
        <v>1422</v>
      </c>
      <c r="G4411" s="19" t="s">
        <v>1799</v>
      </c>
      <c r="H4411" s="19" t="s">
        <v>7</v>
      </c>
      <c r="I4411" s="19" t="s">
        <v>1052</v>
      </c>
      <c r="J4411" s="19" t="s">
        <v>24</v>
      </c>
      <c r="K4411" s="19" t="s">
        <v>553</v>
      </c>
      <c r="L4411" s="19">
        <v>2024</v>
      </c>
      <c r="M4411" s="20">
        <v>1</v>
      </c>
      <c r="N4411" s="19" t="s">
        <v>1798</v>
      </c>
      <c r="O4411" s="20">
        <v>0</v>
      </c>
      <c r="P4411" s="20">
        <v>0</v>
      </c>
      <c r="Q4411" s="20">
        <v>0</v>
      </c>
      <c r="R4411" s="21">
        <v>1</v>
      </c>
      <c r="S4411" s="20">
        <v>0</v>
      </c>
    </row>
    <row r="4412" spans="2:19" ht="15" customHeight="1" x14ac:dyDescent="0.25">
      <c r="B4412" s="2" t="str">
        <f t="shared" si="136"/>
        <v>PGL_Income Eligible_Multi-Family_Partner Trade Ally Rebate_Advanced Thermostat_Boiler (Replace Programmable)_MF</v>
      </c>
      <c r="C4412" s="2" t="str">
        <f t="shared" si="137"/>
        <v>PGL_Income Eligible_Multi-Family_Partner Trade Ally Rebate_Advanced Thermostat_Boiler (Replace Programmable)_MF_2025</v>
      </c>
      <c r="D4412" s="19" t="s">
        <v>1794</v>
      </c>
      <c r="E4412" s="19" t="s">
        <v>325</v>
      </c>
      <c r="F4412" s="19" t="s">
        <v>1422</v>
      </c>
      <c r="G4412" s="19" t="s">
        <v>1799</v>
      </c>
      <c r="H4412" s="19" t="s">
        <v>7</v>
      </c>
      <c r="I4412" s="19" t="s">
        <v>1052</v>
      </c>
      <c r="J4412" s="19" t="s">
        <v>24</v>
      </c>
      <c r="K4412" s="19" t="s">
        <v>553</v>
      </c>
      <c r="L4412" s="19">
        <v>2025</v>
      </c>
      <c r="M4412" s="20">
        <v>1</v>
      </c>
      <c r="N4412" s="19" t="s">
        <v>1798</v>
      </c>
      <c r="O4412" s="20">
        <v>0</v>
      </c>
      <c r="P4412" s="20">
        <v>0</v>
      </c>
      <c r="Q4412" s="20">
        <v>0</v>
      </c>
      <c r="R4412" s="21">
        <v>1</v>
      </c>
      <c r="S4412" s="20">
        <v>0</v>
      </c>
    </row>
    <row r="4413" spans="2:19" ht="15" customHeight="1" x14ac:dyDescent="0.25">
      <c r="B4413" s="2" t="str">
        <f t="shared" si="136"/>
        <v>PGL_Income Eligible_Multi-Family_Partner Trade Ally Rebate_On Demand DHW Circulation System_0_MF</v>
      </c>
      <c r="C4413" s="2" t="str">
        <f t="shared" si="137"/>
        <v>PGL_Income Eligible_Multi-Family_Partner Trade Ally Rebate_On Demand DHW Circulation System_0_MF_2022</v>
      </c>
      <c r="D4413" s="19" t="s">
        <v>1794</v>
      </c>
      <c r="E4413" s="19" t="s">
        <v>325</v>
      </c>
      <c r="F4413" s="19" t="s">
        <v>1422</v>
      </c>
      <c r="G4413" s="19" t="s">
        <v>1799</v>
      </c>
      <c r="H4413" s="19" t="s">
        <v>1075</v>
      </c>
      <c r="I4413" s="19">
        <v>0</v>
      </c>
      <c r="J4413" s="19" t="s">
        <v>26</v>
      </c>
      <c r="K4413" s="19" t="s">
        <v>553</v>
      </c>
      <c r="L4413" s="19">
        <v>2022</v>
      </c>
      <c r="M4413" s="20">
        <v>1</v>
      </c>
      <c r="N4413" s="19" t="s">
        <v>1804</v>
      </c>
      <c r="O4413" s="20">
        <v>0</v>
      </c>
      <c r="P4413" s="20">
        <v>0</v>
      </c>
      <c r="Q4413" s="20">
        <v>0</v>
      </c>
      <c r="R4413" s="21">
        <v>1</v>
      </c>
      <c r="S4413" s="20">
        <v>0</v>
      </c>
    </row>
    <row r="4414" spans="2:19" ht="15" customHeight="1" x14ac:dyDescent="0.25">
      <c r="B4414" s="2" t="str">
        <f t="shared" si="136"/>
        <v>PGL_Income Eligible_Multi-Family_Partner Trade Ally Rebate_On Demand DHW Circulation System_0_MF</v>
      </c>
      <c r="C4414" s="2" t="str">
        <f t="shared" si="137"/>
        <v>PGL_Income Eligible_Multi-Family_Partner Trade Ally Rebate_On Demand DHW Circulation System_0_MF_2023</v>
      </c>
      <c r="D4414" s="19" t="s">
        <v>1794</v>
      </c>
      <c r="E4414" s="19" t="s">
        <v>325</v>
      </c>
      <c r="F4414" s="19" t="s">
        <v>1422</v>
      </c>
      <c r="G4414" s="19" t="s">
        <v>1799</v>
      </c>
      <c r="H4414" s="19" t="s">
        <v>1075</v>
      </c>
      <c r="I4414" s="19">
        <v>0</v>
      </c>
      <c r="J4414" s="19" t="s">
        <v>26</v>
      </c>
      <c r="K4414" s="19" t="s">
        <v>553</v>
      </c>
      <c r="L4414" s="19">
        <v>2023</v>
      </c>
      <c r="M4414" s="20">
        <v>1</v>
      </c>
      <c r="N4414" s="19" t="s">
        <v>1804</v>
      </c>
      <c r="O4414" s="20">
        <v>0</v>
      </c>
      <c r="P4414" s="20">
        <v>0</v>
      </c>
      <c r="Q4414" s="20">
        <v>0</v>
      </c>
      <c r="R4414" s="21">
        <v>1</v>
      </c>
      <c r="S4414" s="20">
        <v>0</v>
      </c>
    </row>
    <row r="4415" spans="2:19" ht="15" customHeight="1" x14ac:dyDescent="0.25">
      <c r="B4415" s="2" t="str">
        <f t="shared" si="136"/>
        <v>PGL_Income Eligible_Multi-Family_Partner Trade Ally Rebate_On Demand DHW Circulation System_0_MF</v>
      </c>
      <c r="C4415" s="2" t="str">
        <f t="shared" si="137"/>
        <v>PGL_Income Eligible_Multi-Family_Partner Trade Ally Rebate_On Demand DHW Circulation System_0_MF_2024</v>
      </c>
      <c r="D4415" s="19" t="s">
        <v>1794</v>
      </c>
      <c r="E4415" s="19" t="s">
        <v>325</v>
      </c>
      <c r="F4415" s="19" t="s">
        <v>1422</v>
      </c>
      <c r="G4415" s="19" t="s">
        <v>1799</v>
      </c>
      <c r="H4415" s="19" t="s">
        <v>1075</v>
      </c>
      <c r="I4415" s="19">
        <v>0</v>
      </c>
      <c r="J4415" s="19" t="s">
        <v>26</v>
      </c>
      <c r="K4415" s="19" t="s">
        <v>553</v>
      </c>
      <c r="L4415" s="19">
        <v>2024</v>
      </c>
      <c r="M4415" s="20">
        <v>1</v>
      </c>
      <c r="N4415" s="19" t="s">
        <v>1804</v>
      </c>
      <c r="O4415" s="20">
        <v>0</v>
      </c>
      <c r="P4415" s="20">
        <v>0</v>
      </c>
      <c r="Q4415" s="20">
        <v>0</v>
      </c>
      <c r="R4415" s="21">
        <v>1</v>
      </c>
      <c r="S4415" s="20">
        <v>0</v>
      </c>
    </row>
    <row r="4416" spans="2:19" ht="15" customHeight="1" x14ac:dyDescent="0.25">
      <c r="B4416" s="2" t="str">
        <f t="shared" si="136"/>
        <v>PGL_Income Eligible_Multi-Family_Partner Trade Ally Rebate_On Demand DHW Circulation System_0_MF</v>
      </c>
      <c r="C4416" s="2" t="str">
        <f t="shared" si="137"/>
        <v>PGL_Income Eligible_Multi-Family_Partner Trade Ally Rebate_On Demand DHW Circulation System_0_MF_2025</v>
      </c>
      <c r="D4416" s="19" t="s">
        <v>1794</v>
      </c>
      <c r="E4416" s="19" t="s">
        <v>325</v>
      </c>
      <c r="F4416" s="19" t="s">
        <v>1422</v>
      </c>
      <c r="G4416" s="19" t="s">
        <v>1799</v>
      </c>
      <c r="H4416" s="19" t="s">
        <v>1075</v>
      </c>
      <c r="I4416" s="19">
        <v>0</v>
      </c>
      <c r="J4416" s="19" t="s">
        <v>26</v>
      </c>
      <c r="K4416" s="19" t="s">
        <v>553</v>
      </c>
      <c r="L4416" s="19">
        <v>2025</v>
      </c>
      <c r="M4416" s="20">
        <v>1</v>
      </c>
      <c r="N4416" s="19" t="s">
        <v>1804</v>
      </c>
      <c r="O4416" s="20">
        <v>0</v>
      </c>
      <c r="P4416" s="20">
        <v>0</v>
      </c>
      <c r="Q4416" s="20">
        <v>0</v>
      </c>
      <c r="R4416" s="21">
        <v>1</v>
      </c>
      <c r="S4416" s="20">
        <v>0</v>
      </c>
    </row>
    <row r="4417" spans="2:19" ht="15" customHeight="1" x14ac:dyDescent="0.25">
      <c r="B4417" s="2" t="str">
        <f t="shared" si="136"/>
        <v>PGL_Income Eligible_Multi-Family_Partner Trade Ally Rebate_Shut Off Flue Damper_0_MF</v>
      </c>
      <c r="C4417" s="2" t="str">
        <f t="shared" si="137"/>
        <v>PGL_Income Eligible_Multi-Family_Partner Trade Ally Rebate_Shut Off Flue Damper_0_MF_2022</v>
      </c>
      <c r="D4417" s="19" t="s">
        <v>1794</v>
      </c>
      <c r="E4417" s="19" t="s">
        <v>325</v>
      </c>
      <c r="F4417" s="19" t="s">
        <v>1422</v>
      </c>
      <c r="G4417" s="19" t="s">
        <v>1799</v>
      </c>
      <c r="H4417" s="19" t="s">
        <v>1443</v>
      </c>
      <c r="I4417" s="19">
        <v>0</v>
      </c>
      <c r="J4417" s="19" t="s">
        <v>1469</v>
      </c>
      <c r="K4417" s="19" t="s">
        <v>553</v>
      </c>
      <c r="L4417" s="19">
        <v>2022</v>
      </c>
      <c r="M4417" s="20">
        <v>1</v>
      </c>
      <c r="N4417" s="19" t="s">
        <v>667</v>
      </c>
      <c r="O4417" s="20">
        <v>0</v>
      </c>
      <c r="P4417" s="20">
        <v>0</v>
      </c>
      <c r="Q4417" s="20">
        <v>0</v>
      </c>
      <c r="R4417" s="21">
        <v>1</v>
      </c>
      <c r="S4417" s="20">
        <v>0</v>
      </c>
    </row>
    <row r="4418" spans="2:19" ht="15" customHeight="1" x14ac:dyDescent="0.25">
      <c r="B4418" s="2" t="str">
        <f t="shared" si="136"/>
        <v>PGL_Income Eligible_Multi-Family_Partner Trade Ally Rebate_Shut Off Flue Damper_0_MF</v>
      </c>
      <c r="C4418" s="2" t="str">
        <f t="shared" si="137"/>
        <v>PGL_Income Eligible_Multi-Family_Partner Trade Ally Rebate_Shut Off Flue Damper_0_MF_2023</v>
      </c>
      <c r="D4418" s="19" t="s">
        <v>1794</v>
      </c>
      <c r="E4418" s="19" t="s">
        <v>325</v>
      </c>
      <c r="F4418" s="19" t="s">
        <v>1422</v>
      </c>
      <c r="G4418" s="19" t="s">
        <v>1799</v>
      </c>
      <c r="H4418" s="19" t="s">
        <v>1443</v>
      </c>
      <c r="I4418" s="19">
        <v>0</v>
      </c>
      <c r="J4418" s="19" t="s">
        <v>1469</v>
      </c>
      <c r="K4418" s="19" t="s">
        <v>553</v>
      </c>
      <c r="L4418" s="19">
        <v>2023</v>
      </c>
      <c r="M4418" s="20">
        <v>1</v>
      </c>
      <c r="N4418" s="19" t="s">
        <v>667</v>
      </c>
      <c r="O4418" s="20">
        <v>0</v>
      </c>
      <c r="P4418" s="20">
        <v>0</v>
      </c>
      <c r="Q4418" s="20">
        <v>0</v>
      </c>
      <c r="R4418" s="21">
        <v>1</v>
      </c>
      <c r="S4418" s="20">
        <v>0</v>
      </c>
    </row>
    <row r="4419" spans="2:19" ht="15" customHeight="1" x14ac:dyDescent="0.25">
      <c r="B4419" s="2" t="str">
        <f t="shared" si="136"/>
        <v>PGL_Income Eligible_Multi-Family_Partner Trade Ally Rebate_Shut Off Flue Damper_0_MF</v>
      </c>
      <c r="C4419" s="2" t="str">
        <f t="shared" si="137"/>
        <v>PGL_Income Eligible_Multi-Family_Partner Trade Ally Rebate_Shut Off Flue Damper_0_MF_2024</v>
      </c>
      <c r="D4419" s="19" t="s">
        <v>1794</v>
      </c>
      <c r="E4419" s="19" t="s">
        <v>325</v>
      </c>
      <c r="F4419" s="19" t="s">
        <v>1422</v>
      </c>
      <c r="G4419" s="19" t="s">
        <v>1799</v>
      </c>
      <c r="H4419" s="19" t="s">
        <v>1443</v>
      </c>
      <c r="I4419" s="19">
        <v>0</v>
      </c>
      <c r="J4419" s="19" t="s">
        <v>1469</v>
      </c>
      <c r="K4419" s="19" t="s">
        <v>553</v>
      </c>
      <c r="L4419" s="19">
        <v>2024</v>
      </c>
      <c r="M4419" s="20">
        <v>1</v>
      </c>
      <c r="N4419" s="19" t="s">
        <v>667</v>
      </c>
      <c r="O4419" s="20">
        <v>0</v>
      </c>
      <c r="P4419" s="20">
        <v>0</v>
      </c>
      <c r="Q4419" s="20">
        <v>0</v>
      </c>
      <c r="R4419" s="21">
        <v>1</v>
      </c>
      <c r="S4419" s="20">
        <v>0</v>
      </c>
    </row>
    <row r="4420" spans="2:19" ht="15" customHeight="1" x14ac:dyDescent="0.25">
      <c r="B4420" s="2" t="str">
        <f t="shared" si="136"/>
        <v>PGL_Income Eligible_Multi-Family_Partner Trade Ally Rebate_Shut Off Flue Damper_0_MF</v>
      </c>
      <c r="C4420" s="2" t="str">
        <f t="shared" si="137"/>
        <v>PGL_Income Eligible_Multi-Family_Partner Trade Ally Rebate_Shut Off Flue Damper_0_MF_2025</v>
      </c>
      <c r="D4420" s="19" t="s">
        <v>1794</v>
      </c>
      <c r="E4420" s="19" t="s">
        <v>325</v>
      </c>
      <c r="F4420" s="19" t="s">
        <v>1422</v>
      </c>
      <c r="G4420" s="19" t="s">
        <v>1799</v>
      </c>
      <c r="H4420" s="19" t="s">
        <v>1443</v>
      </c>
      <c r="I4420" s="19">
        <v>0</v>
      </c>
      <c r="J4420" s="19" t="s">
        <v>1469</v>
      </c>
      <c r="K4420" s="19" t="s">
        <v>553</v>
      </c>
      <c r="L4420" s="19">
        <v>2025</v>
      </c>
      <c r="M4420" s="20">
        <v>1</v>
      </c>
      <c r="N4420" s="19" t="s">
        <v>667</v>
      </c>
      <c r="O4420" s="20">
        <v>0</v>
      </c>
      <c r="P4420" s="20">
        <v>0</v>
      </c>
      <c r="Q4420" s="20">
        <v>0</v>
      </c>
      <c r="R4420" s="21">
        <v>1</v>
      </c>
      <c r="S4420" s="20">
        <v>0</v>
      </c>
    </row>
    <row r="4421" spans="2:19" ht="15" customHeight="1" x14ac:dyDescent="0.25">
      <c r="B4421" s="2" t="str">
        <f t="shared" si="136"/>
        <v>PGL_Income Eligible_Multi-Family_IE Kits_IE Kits_IE Kit_IE</v>
      </c>
      <c r="C4421" s="2" t="str">
        <f t="shared" si="137"/>
        <v>PGL_Income Eligible_Multi-Family_IE Kits_IE Kits_IE Kit_IE_2022</v>
      </c>
      <c r="D4421" s="19" t="s">
        <v>1794</v>
      </c>
      <c r="E4421" s="19" t="s">
        <v>325</v>
      </c>
      <c r="F4421" s="19" t="s">
        <v>1422</v>
      </c>
      <c r="G4421" s="19" t="s">
        <v>1440</v>
      </c>
      <c r="H4421" s="19" t="s">
        <v>1440</v>
      </c>
      <c r="I4421" s="19" t="s">
        <v>550</v>
      </c>
      <c r="J4421" s="19" t="s">
        <v>1469</v>
      </c>
      <c r="K4421" s="19" t="s">
        <v>551</v>
      </c>
      <c r="L4421" s="19">
        <v>2022</v>
      </c>
      <c r="M4421" s="20">
        <v>1</v>
      </c>
      <c r="N4421" s="19">
        <v>1</v>
      </c>
      <c r="O4421" s="20">
        <v>4100</v>
      </c>
      <c r="P4421" s="20">
        <v>4100</v>
      </c>
      <c r="Q4421" s="20">
        <v>0</v>
      </c>
      <c r="R4421" s="21">
        <v>1</v>
      </c>
      <c r="S4421" s="20">
        <v>0</v>
      </c>
    </row>
    <row r="4422" spans="2:19" ht="15" customHeight="1" x14ac:dyDescent="0.25">
      <c r="B4422" s="2" t="str">
        <f t="shared" ref="B4422:B4485" si="138">D4422&amp;"_"&amp;E4422&amp;"_"&amp;F4422&amp;"_"&amp;G4422&amp;"_"&amp;H4422&amp;"_"&amp;I4422&amp;"_"&amp;K4422</f>
        <v>PGL_Income Eligible_Multi-Family_IE Kits_IE Kits_IE Kit_IE</v>
      </c>
      <c r="C4422" s="2" t="str">
        <f t="shared" ref="C4422:C4485" si="139">D4422&amp;"_"&amp;E4422&amp;"_"&amp;F4422&amp;"_"&amp;G4422&amp;"_"&amp;H4422&amp;"_"&amp;I4422&amp;"_"&amp;K4422&amp;"_"&amp;L4422</f>
        <v>PGL_Income Eligible_Multi-Family_IE Kits_IE Kits_IE Kit_IE_2023</v>
      </c>
      <c r="D4422" s="19" t="s">
        <v>1794</v>
      </c>
      <c r="E4422" s="19" t="s">
        <v>325</v>
      </c>
      <c r="F4422" s="19" t="s">
        <v>1422</v>
      </c>
      <c r="G4422" s="19" t="s">
        <v>1440</v>
      </c>
      <c r="H4422" s="19" t="s">
        <v>1440</v>
      </c>
      <c r="I4422" s="19" t="s">
        <v>550</v>
      </c>
      <c r="J4422" s="19" t="s">
        <v>1469</v>
      </c>
      <c r="K4422" s="19" t="s">
        <v>551</v>
      </c>
      <c r="L4422" s="19">
        <v>2023</v>
      </c>
      <c r="M4422" s="20">
        <v>1</v>
      </c>
      <c r="N4422" s="19">
        <v>1</v>
      </c>
      <c r="O4422" s="20">
        <v>4000</v>
      </c>
      <c r="P4422" s="20">
        <v>4000</v>
      </c>
      <c r="Q4422" s="20">
        <v>0</v>
      </c>
      <c r="R4422" s="21">
        <v>1</v>
      </c>
      <c r="S4422" s="20">
        <v>0</v>
      </c>
    </row>
    <row r="4423" spans="2:19" ht="15" customHeight="1" x14ac:dyDescent="0.25">
      <c r="B4423" s="2" t="str">
        <f t="shared" si="138"/>
        <v>PGL_Income Eligible_Multi-Family_IE Kits_IE Kits_IE Kit_IE</v>
      </c>
      <c r="C4423" s="2" t="str">
        <f t="shared" si="139"/>
        <v>PGL_Income Eligible_Multi-Family_IE Kits_IE Kits_IE Kit_IE_2024</v>
      </c>
      <c r="D4423" s="19" t="s">
        <v>1794</v>
      </c>
      <c r="E4423" s="19" t="s">
        <v>325</v>
      </c>
      <c r="F4423" s="19" t="s">
        <v>1422</v>
      </c>
      <c r="G4423" s="19" t="s">
        <v>1440</v>
      </c>
      <c r="H4423" s="19" t="s">
        <v>1440</v>
      </c>
      <c r="I4423" s="19" t="s">
        <v>550</v>
      </c>
      <c r="J4423" s="19" t="s">
        <v>1469</v>
      </c>
      <c r="K4423" s="19" t="s">
        <v>551</v>
      </c>
      <c r="L4423" s="19">
        <v>2024</v>
      </c>
      <c r="M4423" s="20">
        <v>1</v>
      </c>
      <c r="N4423" s="19">
        <v>1</v>
      </c>
      <c r="O4423" s="20">
        <v>4000</v>
      </c>
      <c r="P4423" s="20">
        <v>4000</v>
      </c>
      <c r="Q4423" s="20">
        <v>0</v>
      </c>
      <c r="R4423" s="21">
        <v>1</v>
      </c>
      <c r="S4423" s="20">
        <v>0</v>
      </c>
    </row>
    <row r="4424" spans="2:19" ht="15" customHeight="1" x14ac:dyDescent="0.25">
      <c r="B4424" s="2" t="str">
        <f t="shared" si="138"/>
        <v>PGL_Income Eligible_Multi-Family_IE Kits_IE Kits_IE Kit_IE</v>
      </c>
      <c r="C4424" s="2" t="str">
        <f t="shared" si="139"/>
        <v>PGL_Income Eligible_Multi-Family_IE Kits_IE Kits_IE Kit_IE_2025</v>
      </c>
      <c r="D4424" s="19" t="s">
        <v>1794</v>
      </c>
      <c r="E4424" s="19" t="s">
        <v>325</v>
      </c>
      <c r="F4424" s="19" t="s">
        <v>1422</v>
      </c>
      <c r="G4424" s="19" t="s">
        <v>1440</v>
      </c>
      <c r="H4424" s="19" t="s">
        <v>1440</v>
      </c>
      <c r="I4424" s="19" t="s">
        <v>550</v>
      </c>
      <c r="J4424" s="19" t="s">
        <v>1469</v>
      </c>
      <c r="K4424" s="19" t="s">
        <v>551</v>
      </c>
      <c r="L4424" s="19">
        <v>2025</v>
      </c>
      <c r="M4424" s="20">
        <v>1</v>
      </c>
      <c r="N4424" s="19">
        <v>1</v>
      </c>
      <c r="O4424" s="20">
        <v>4000</v>
      </c>
      <c r="P4424" s="20">
        <v>4000</v>
      </c>
      <c r="Q4424" s="20">
        <v>0</v>
      </c>
      <c r="R4424" s="21">
        <v>1</v>
      </c>
      <c r="S4424" s="20">
        <v>0</v>
      </c>
    </row>
    <row r="4425" spans="2:19" ht="15" customHeight="1" x14ac:dyDescent="0.25">
      <c r="B4425" s="2" t="str">
        <f t="shared" si="138"/>
        <v>PGL_Income Eligible_Multi-Family_IE Kits_Low Flow Bathroom Aerator_IE Kit_IE</v>
      </c>
      <c r="C4425" s="2" t="str">
        <f t="shared" si="139"/>
        <v>PGL_Income Eligible_Multi-Family_IE Kits_Low Flow Bathroom Aerator_IE Kit_IE_2022</v>
      </c>
      <c r="D4425" s="19" t="s">
        <v>1794</v>
      </c>
      <c r="E4425" s="19" t="s">
        <v>325</v>
      </c>
      <c r="F4425" s="19" t="s">
        <v>1422</v>
      </c>
      <c r="G4425" s="19" t="s">
        <v>1440</v>
      </c>
      <c r="H4425" s="19" t="s">
        <v>555</v>
      </c>
      <c r="I4425" s="19" t="s">
        <v>550</v>
      </c>
      <c r="J4425" s="19" t="s">
        <v>534</v>
      </c>
      <c r="K4425" s="19" t="s">
        <v>551</v>
      </c>
      <c r="L4425" s="19">
        <v>2022</v>
      </c>
      <c r="M4425" s="20">
        <v>1</v>
      </c>
      <c r="N4425" s="19" t="s">
        <v>1795</v>
      </c>
      <c r="O4425" s="20">
        <v>4100</v>
      </c>
      <c r="P4425" s="20">
        <v>4100</v>
      </c>
      <c r="Q4425" s="20">
        <v>2420.7131905736824</v>
      </c>
      <c r="R4425" s="21">
        <v>1</v>
      </c>
      <c r="S4425" s="20">
        <v>2420.7131905736824</v>
      </c>
    </row>
    <row r="4426" spans="2:19" ht="15" customHeight="1" x14ac:dyDescent="0.25">
      <c r="B4426" s="2" t="str">
        <f t="shared" si="138"/>
        <v>PGL_Income Eligible_Multi-Family_IE Kits_Low Flow Bathroom Aerator_IE Kit_IE</v>
      </c>
      <c r="C4426" s="2" t="str">
        <f t="shared" si="139"/>
        <v>PGL_Income Eligible_Multi-Family_IE Kits_Low Flow Bathroom Aerator_IE Kit_IE_2023</v>
      </c>
      <c r="D4426" s="19" t="s">
        <v>1794</v>
      </c>
      <c r="E4426" s="19" t="s">
        <v>325</v>
      </c>
      <c r="F4426" s="19" t="s">
        <v>1422</v>
      </c>
      <c r="G4426" s="19" t="s">
        <v>1440</v>
      </c>
      <c r="H4426" s="19" t="s">
        <v>555</v>
      </c>
      <c r="I4426" s="19" t="s">
        <v>550</v>
      </c>
      <c r="J4426" s="19" t="s">
        <v>534</v>
      </c>
      <c r="K4426" s="19" t="s">
        <v>551</v>
      </c>
      <c r="L4426" s="19">
        <v>2023</v>
      </c>
      <c r="M4426" s="20">
        <v>1</v>
      </c>
      <c r="N4426" s="19" t="s">
        <v>1795</v>
      </c>
      <c r="O4426" s="20">
        <v>4000</v>
      </c>
      <c r="P4426" s="20">
        <v>4000</v>
      </c>
      <c r="Q4426" s="20">
        <v>2361.6714054377389</v>
      </c>
      <c r="R4426" s="21">
        <v>1</v>
      </c>
      <c r="S4426" s="20">
        <v>2361.6714054377389</v>
      </c>
    </row>
    <row r="4427" spans="2:19" ht="15" customHeight="1" x14ac:dyDescent="0.25">
      <c r="B4427" s="2" t="str">
        <f t="shared" si="138"/>
        <v>PGL_Income Eligible_Multi-Family_IE Kits_Low Flow Bathroom Aerator_IE Kit_IE</v>
      </c>
      <c r="C4427" s="2" t="str">
        <f t="shared" si="139"/>
        <v>PGL_Income Eligible_Multi-Family_IE Kits_Low Flow Bathroom Aerator_IE Kit_IE_2024</v>
      </c>
      <c r="D4427" s="19" t="s">
        <v>1794</v>
      </c>
      <c r="E4427" s="19" t="s">
        <v>325</v>
      </c>
      <c r="F4427" s="19" t="s">
        <v>1422</v>
      </c>
      <c r="G4427" s="19" t="s">
        <v>1440</v>
      </c>
      <c r="H4427" s="19" t="s">
        <v>555</v>
      </c>
      <c r="I4427" s="19" t="s">
        <v>550</v>
      </c>
      <c r="J4427" s="19" t="s">
        <v>534</v>
      </c>
      <c r="K4427" s="19" t="s">
        <v>551</v>
      </c>
      <c r="L4427" s="19">
        <v>2024</v>
      </c>
      <c r="M4427" s="20">
        <v>1</v>
      </c>
      <c r="N4427" s="19" t="s">
        <v>1795</v>
      </c>
      <c r="O4427" s="20">
        <v>4000</v>
      </c>
      <c r="P4427" s="20">
        <v>4000</v>
      </c>
      <c r="Q4427" s="20">
        <v>2361.6714054377389</v>
      </c>
      <c r="R4427" s="21">
        <v>1</v>
      </c>
      <c r="S4427" s="20">
        <v>2361.6714054377389</v>
      </c>
    </row>
    <row r="4428" spans="2:19" ht="15" customHeight="1" x14ac:dyDescent="0.25">
      <c r="B4428" s="2" t="str">
        <f t="shared" si="138"/>
        <v>PGL_Income Eligible_Multi-Family_IE Kits_Low Flow Bathroom Aerator_IE Kit_IE</v>
      </c>
      <c r="C4428" s="2" t="str">
        <f t="shared" si="139"/>
        <v>PGL_Income Eligible_Multi-Family_IE Kits_Low Flow Bathroom Aerator_IE Kit_IE_2025</v>
      </c>
      <c r="D4428" s="19" t="s">
        <v>1794</v>
      </c>
      <c r="E4428" s="19" t="s">
        <v>325</v>
      </c>
      <c r="F4428" s="19" t="s">
        <v>1422</v>
      </c>
      <c r="G4428" s="19" t="s">
        <v>1440</v>
      </c>
      <c r="H4428" s="19" t="s">
        <v>555</v>
      </c>
      <c r="I4428" s="19" t="s">
        <v>550</v>
      </c>
      <c r="J4428" s="19" t="s">
        <v>534</v>
      </c>
      <c r="K4428" s="19" t="s">
        <v>551</v>
      </c>
      <c r="L4428" s="19">
        <v>2025</v>
      </c>
      <c r="M4428" s="20">
        <v>1</v>
      </c>
      <c r="N4428" s="19" t="s">
        <v>1795</v>
      </c>
      <c r="O4428" s="20">
        <v>4000</v>
      </c>
      <c r="P4428" s="20">
        <v>4000</v>
      </c>
      <c r="Q4428" s="20">
        <v>2361.6714054377389</v>
      </c>
      <c r="R4428" s="21">
        <v>1</v>
      </c>
      <c r="S4428" s="20">
        <v>2361.6714054377389</v>
      </c>
    </row>
    <row r="4429" spans="2:19" ht="15" customHeight="1" x14ac:dyDescent="0.25">
      <c r="B4429" s="2" t="str">
        <f t="shared" si="138"/>
        <v>PGL_Income Eligible_Multi-Family_IE Kits_Low Flow Kitchen Aerator_IE Kit_IE</v>
      </c>
      <c r="C4429" s="2" t="str">
        <f t="shared" si="139"/>
        <v>PGL_Income Eligible_Multi-Family_IE Kits_Low Flow Kitchen Aerator_IE Kit_IE_2022</v>
      </c>
      <c r="D4429" s="19" t="s">
        <v>1794</v>
      </c>
      <c r="E4429" s="19" t="s">
        <v>325</v>
      </c>
      <c r="F4429" s="19" t="s">
        <v>1422</v>
      </c>
      <c r="G4429" s="19" t="s">
        <v>1440</v>
      </c>
      <c r="H4429" s="19" t="s">
        <v>533</v>
      </c>
      <c r="I4429" s="19" t="s">
        <v>550</v>
      </c>
      <c r="J4429" s="19" t="s">
        <v>534</v>
      </c>
      <c r="K4429" s="19" t="s">
        <v>551</v>
      </c>
      <c r="L4429" s="19">
        <v>2022</v>
      </c>
      <c r="M4429" s="20">
        <v>1</v>
      </c>
      <c r="N4429" s="19" t="s">
        <v>1795</v>
      </c>
      <c r="O4429" s="20">
        <v>4100</v>
      </c>
      <c r="P4429" s="20">
        <v>4100</v>
      </c>
      <c r="Q4429" s="20">
        <v>20398.564406468769</v>
      </c>
      <c r="R4429" s="21">
        <v>1</v>
      </c>
      <c r="S4429" s="20">
        <v>20398.564406468769</v>
      </c>
    </row>
    <row r="4430" spans="2:19" ht="15" customHeight="1" x14ac:dyDescent="0.25">
      <c r="B4430" s="2" t="str">
        <f t="shared" si="138"/>
        <v>PGL_Income Eligible_Multi-Family_IE Kits_Low Flow Kitchen Aerator_IE Kit_IE</v>
      </c>
      <c r="C4430" s="2" t="str">
        <f t="shared" si="139"/>
        <v>PGL_Income Eligible_Multi-Family_IE Kits_Low Flow Kitchen Aerator_IE Kit_IE_2023</v>
      </c>
      <c r="D4430" s="19" t="s">
        <v>1794</v>
      </c>
      <c r="E4430" s="19" t="s">
        <v>325</v>
      </c>
      <c r="F4430" s="19" t="s">
        <v>1422</v>
      </c>
      <c r="G4430" s="19" t="s">
        <v>1440</v>
      </c>
      <c r="H4430" s="19" t="s">
        <v>533</v>
      </c>
      <c r="I4430" s="19" t="s">
        <v>550</v>
      </c>
      <c r="J4430" s="19" t="s">
        <v>534</v>
      </c>
      <c r="K4430" s="19" t="s">
        <v>551</v>
      </c>
      <c r="L4430" s="19">
        <v>2023</v>
      </c>
      <c r="M4430" s="20">
        <v>1</v>
      </c>
      <c r="N4430" s="19" t="s">
        <v>1795</v>
      </c>
      <c r="O4430" s="20">
        <v>4000</v>
      </c>
      <c r="P4430" s="20">
        <v>4000</v>
      </c>
      <c r="Q4430" s="20">
        <v>19901.038445335384</v>
      </c>
      <c r="R4430" s="21">
        <v>1</v>
      </c>
      <c r="S4430" s="20">
        <v>19901.038445335384</v>
      </c>
    </row>
    <row r="4431" spans="2:19" ht="15" customHeight="1" x14ac:dyDescent="0.25">
      <c r="B4431" s="2" t="str">
        <f t="shared" si="138"/>
        <v>PGL_Income Eligible_Multi-Family_IE Kits_Low Flow Kitchen Aerator_IE Kit_IE</v>
      </c>
      <c r="C4431" s="2" t="str">
        <f t="shared" si="139"/>
        <v>PGL_Income Eligible_Multi-Family_IE Kits_Low Flow Kitchen Aerator_IE Kit_IE_2024</v>
      </c>
      <c r="D4431" s="19" t="s">
        <v>1794</v>
      </c>
      <c r="E4431" s="19" t="s">
        <v>325</v>
      </c>
      <c r="F4431" s="19" t="s">
        <v>1422</v>
      </c>
      <c r="G4431" s="19" t="s">
        <v>1440</v>
      </c>
      <c r="H4431" s="19" t="s">
        <v>533</v>
      </c>
      <c r="I4431" s="19" t="s">
        <v>550</v>
      </c>
      <c r="J4431" s="19" t="s">
        <v>534</v>
      </c>
      <c r="K4431" s="19" t="s">
        <v>551</v>
      </c>
      <c r="L4431" s="19">
        <v>2024</v>
      </c>
      <c r="M4431" s="20">
        <v>1</v>
      </c>
      <c r="N4431" s="19" t="s">
        <v>1795</v>
      </c>
      <c r="O4431" s="20">
        <v>4000</v>
      </c>
      <c r="P4431" s="20">
        <v>4000</v>
      </c>
      <c r="Q4431" s="20">
        <v>19901.038445335384</v>
      </c>
      <c r="R4431" s="21">
        <v>1</v>
      </c>
      <c r="S4431" s="20">
        <v>19901.038445335384</v>
      </c>
    </row>
    <row r="4432" spans="2:19" ht="15" customHeight="1" x14ac:dyDescent="0.25">
      <c r="B4432" s="2" t="str">
        <f t="shared" si="138"/>
        <v>PGL_Income Eligible_Multi-Family_IE Kits_Low Flow Kitchen Aerator_IE Kit_IE</v>
      </c>
      <c r="C4432" s="2" t="str">
        <f t="shared" si="139"/>
        <v>PGL_Income Eligible_Multi-Family_IE Kits_Low Flow Kitchen Aerator_IE Kit_IE_2025</v>
      </c>
      <c r="D4432" s="19" t="s">
        <v>1794</v>
      </c>
      <c r="E4432" s="19" t="s">
        <v>325</v>
      </c>
      <c r="F4432" s="19" t="s">
        <v>1422</v>
      </c>
      <c r="G4432" s="19" t="s">
        <v>1440</v>
      </c>
      <c r="H4432" s="19" t="s">
        <v>533</v>
      </c>
      <c r="I4432" s="19" t="s">
        <v>550</v>
      </c>
      <c r="J4432" s="19" t="s">
        <v>534</v>
      </c>
      <c r="K4432" s="19" t="s">
        <v>551</v>
      </c>
      <c r="L4432" s="19">
        <v>2025</v>
      </c>
      <c r="M4432" s="20">
        <v>1</v>
      </c>
      <c r="N4432" s="19" t="s">
        <v>1795</v>
      </c>
      <c r="O4432" s="20">
        <v>4000</v>
      </c>
      <c r="P4432" s="20">
        <v>4000</v>
      </c>
      <c r="Q4432" s="20">
        <v>19901.038445335384</v>
      </c>
      <c r="R4432" s="21">
        <v>1</v>
      </c>
      <c r="S4432" s="20">
        <v>19901.038445335384</v>
      </c>
    </row>
    <row r="4433" spans="2:19" ht="15" customHeight="1" x14ac:dyDescent="0.25">
      <c r="B4433" s="2" t="str">
        <f t="shared" si="138"/>
        <v>PGL_Income Eligible_Multi-Family_IE Kits_Low Flow Showerhead_IE Kit_IE</v>
      </c>
      <c r="C4433" s="2" t="str">
        <f t="shared" si="139"/>
        <v>PGL_Income Eligible_Multi-Family_IE Kits_Low Flow Showerhead_IE Kit_IE_2022</v>
      </c>
      <c r="D4433" s="19" t="s">
        <v>1794</v>
      </c>
      <c r="E4433" s="19" t="s">
        <v>325</v>
      </c>
      <c r="F4433" s="19" t="s">
        <v>1422</v>
      </c>
      <c r="G4433" s="19" t="s">
        <v>1440</v>
      </c>
      <c r="H4433" s="19" t="s">
        <v>15</v>
      </c>
      <c r="I4433" s="19" t="s">
        <v>550</v>
      </c>
      <c r="J4433" s="19" t="s">
        <v>23</v>
      </c>
      <c r="K4433" s="19" t="s">
        <v>551</v>
      </c>
      <c r="L4433" s="19">
        <v>2022</v>
      </c>
      <c r="M4433" s="20">
        <v>1</v>
      </c>
      <c r="N4433" s="19" t="s">
        <v>1795</v>
      </c>
      <c r="O4433" s="20">
        <v>4100</v>
      </c>
      <c r="P4433" s="20">
        <v>4100</v>
      </c>
      <c r="Q4433" s="20">
        <v>25648.64310445694</v>
      </c>
      <c r="R4433" s="21">
        <v>1</v>
      </c>
      <c r="S4433" s="20">
        <v>25648.64310445694</v>
      </c>
    </row>
    <row r="4434" spans="2:19" ht="15" customHeight="1" x14ac:dyDescent="0.25">
      <c r="B4434" s="2" t="str">
        <f t="shared" si="138"/>
        <v>PGL_Income Eligible_Multi-Family_IE Kits_Low Flow Showerhead_IE Kit_IE</v>
      </c>
      <c r="C4434" s="2" t="str">
        <f t="shared" si="139"/>
        <v>PGL_Income Eligible_Multi-Family_IE Kits_Low Flow Showerhead_IE Kit_IE_2023</v>
      </c>
      <c r="D4434" s="19" t="s">
        <v>1794</v>
      </c>
      <c r="E4434" s="19" t="s">
        <v>325</v>
      </c>
      <c r="F4434" s="19" t="s">
        <v>1422</v>
      </c>
      <c r="G4434" s="19" t="s">
        <v>1440</v>
      </c>
      <c r="H4434" s="19" t="s">
        <v>15</v>
      </c>
      <c r="I4434" s="19" t="s">
        <v>550</v>
      </c>
      <c r="J4434" s="19" t="s">
        <v>23</v>
      </c>
      <c r="K4434" s="19" t="s">
        <v>551</v>
      </c>
      <c r="L4434" s="19">
        <v>2023</v>
      </c>
      <c r="M4434" s="20">
        <v>1</v>
      </c>
      <c r="N4434" s="19" t="s">
        <v>1795</v>
      </c>
      <c r="O4434" s="20">
        <v>4000</v>
      </c>
      <c r="P4434" s="20">
        <v>4000</v>
      </c>
      <c r="Q4434" s="20">
        <v>25023.066443372623</v>
      </c>
      <c r="R4434" s="21">
        <v>1</v>
      </c>
      <c r="S4434" s="20">
        <v>25023.066443372623</v>
      </c>
    </row>
    <row r="4435" spans="2:19" ht="15" customHeight="1" x14ac:dyDescent="0.25">
      <c r="B4435" s="2" t="str">
        <f t="shared" si="138"/>
        <v>PGL_Income Eligible_Multi-Family_IE Kits_Low Flow Showerhead_IE Kit_IE</v>
      </c>
      <c r="C4435" s="2" t="str">
        <f t="shared" si="139"/>
        <v>PGL_Income Eligible_Multi-Family_IE Kits_Low Flow Showerhead_IE Kit_IE_2024</v>
      </c>
      <c r="D4435" s="19" t="s">
        <v>1794</v>
      </c>
      <c r="E4435" s="19" t="s">
        <v>325</v>
      </c>
      <c r="F4435" s="19" t="s">
        <v>1422</v>
      </c>
      <c r="G4435" s="19" t="s">
        <v>1440</v>
      </c>
      <c r="H4435" s="19" t="s">
        <v>15</v>
      </c>
      <c r="I4435" s="19" t="s">
        <v>550</v>
      </c>
      <c r="J4435" s="19" t="s">
        <v>23</v>
      </c>
      <c r="K4435" s="19" t="s">
        <v>551</v>
      </c>
      <c r="L4435" s="19">
        <v>2024</v>
      </c>
      <c r="M4435" s="20">
        <v>1</v>
      </c>
      <c r="N4435" s="19" t="s">
        <v>1795</v>
      </c>
      <c r="O4435" s="20">
        <v>4000</v>
      </c>
      <c r="P4435" s="20">
        <v>4000</v>
      </c>
      <c r="Q4435" s="20">
        <v>25023.066443372623</v>
      </c>
      <c r="R4435" s="21">
        <v>1</v>
      </c>
      <c r="S4435" s="20">
        <v>25023.066443372623</v>
      </c>
    </row>
    <row r="4436" spans="2:19" ht="15" customHeight="1" x14ac:dyDescent="0.25">
      <c r="B4436" s="2" t="str">
        <f t="shared" si="138"/>
        <v>PGL_Income Eligible_Multi-Family_IE Kits_Low Flow Showerhead_IE Kit_IE</v>
      </c>
      <c r="C4436" s="2" t="str">
        <f t="shared" si="139"/>
        <v>PGL_Income Eligible_Multi-Family_IE Kits_Low Flow Showerhead_IE Kit_IE_2025</v>
      </c>
      <c r="D4436" s="19" t="s">
        <v>1794</v>
      </c>
      <c r="E4436" s="19" t="s">
        <v>325</v>
      </c>
      <c r="F4436" s="19" t="s">
        <v>1422</v>
      </c>
      <c r="G4436" s="19" t="s">
        <v>1440</v>
      </c>
      <c r="H4436" s="19" t="s">
        <v>15</v>
      </c>
      <c r="I4436" s="19" t="s">
        <v>550</v>
      </c>
      <c r="J4436" s="19" t="s">
        <v>23</v>
      </c>
      <c r="K4436" s="19" t="s">
        <v>551</v>
      </c>
      <c r="L4436" s="19">
        <v>2025</v>
      </c>
      <c r="M4436" s="20">
        <v>1</v>
      </c>
      <c r="N4436" s="19" t="s">
        <v>1795</v>
      </c>
      <c r="O4436" s="20">
        <v>4000</v>
      </c>
      <c r="P4436" s="20">
        <v>4000</v>
      </c>
      <c r="Q4436" s="20">
        <v>25023.066443372623</v>
      </c>
      <c r="R4436" s="21">
        <v>1</v>
      </c>
      <c r="S4436" s="20">
        <v>25023.066443372623</v>
      </c>
    </row>
    <row r="4437" spans="2:19" ht="15" customHeight="1" x14ac:dyDescent="0.25">
      <c r="B4437" s="2" t="str">
        <f t="shared" si="138"/>
        <v>PGL_Income Eligible_Multi-Family_IE Kits_Shower Timer_IE Kit_IE</v>
      </c>
      <c r="C4437" s="2" t="str">
        <f t="shared" si="139"/>
        <v>PGL_Income Eligible_Multi-Family_IE Kits_Shower Timer_IE Kit_IE_2022</v>
      </c>
      <c r="D4437" s="19" t="s">
        <v>1794</v>
      </c>
      <c r="E4437" s="19" t="s">
        <v>325</v>
      </c>
      <c r="F4437" s="19" t="s">
        <v>1422</v>
      </c>
      <c r="G4437" s="19" t="s">
        <v>1440</v>
      </c>
      <c r="H4437" s="19" t="s">
        <v>1031</v>
      </c>
      <c r="I4437" s="19" t="s">
        <v>550</v>
      </c>
      <c r="J4437" s="19" t="s">
        <v>1033</v>
      </c>
      <c r="K4437" s="19" t="s">
        <v>551</v>
      </c>
      <c r="L4437" s="19">
        <v>2022</v>
      </c>
      <c r="M4437" s="20">
        <v>1</v>
      </c>
      <c r="N4437" s="19" t="s">
        <v>1795</v>
      </c>
      <c r="O4437" s="20">
        <v>4100</v>
      </c>
      <c r="P4437" s="20">
        <v>4100</v>
      </c>
      <c r="Q4437" s="20">
        <v>15199.710153124606</v>
      </c>
      <c r="R4437" s="21">
        <v>1</v>
      </c>
      <c r="S4437" s="20">
        <v>15199.710153124606</v>
      </c>
    </row>
    <row r="4438" spans="2:19" ht="15" customHeight="1" x14ac:dyDescent="0.25">
      <c r="B4438" s="2" t="str">
        <f t="shared" si="138"/>
        <v>PGL_Income Eligible_Multi-Family_IE Kits_Shower Timer_IE Kit_IE</v>
      </c>
      <c r="C4438" s="2" t="str">
        <f t="shared" si="139"/>
        <v>PGL_Income Eligible_Multi-Family_IE Kits_Shower Timer_IE Kit_IE_2023</v>
      </c>
      <c r="D4438" s="19" t="s">
        <v>1794</v>
      </c>
      <c r="E4438" s="19" t="s">
        <v>325</v>
      </c>
      <c r="F4438" s="19" t="s">
        <v>1422</v>
      </c>
      <c r="G4438" s="19" t="s">
        <v>1440</v>
      </c>
      <c r="H4438" s="19" t="s">
        <v>1031</v>
      </c>
      <c r="I4438" s="19" t="s">
        <v>550</v>
      </c>
      <c r="J4438" s="19" t="s">
        <v>1033</v>
      </c>
      <c r="K4438" s="19" t="s">
        <v>551</v>
      </c>
      <c r="L4438" s="19">
        <v>2023</v>
      </c>
      <c r="M4438" s="20">
        <v>1</v>
      </c>
      <c r="N4438" s="19" t="s">
        <v>1795</v>
      </c>
      <c r="O4438" s="20">
        <v>4000</v>
      </c>
      <c r="P4438" s="20">
        <v>4000</v>
      </c>
      <c r="Q4438" s="20">
        <v>14828.985515243518</v>
      </c>
      <c r="R4438" s="21">
        <v>1</v>
      </c>
      <c r="S4438" s="20">
        <v>14828.985515243518</v>
      </c>
    </row>
    <row r="4439" spans="2:19" ht="15" customHeight="1" x14ac:dyDescent="0.25">
      <c r="B4439" s="2" t="str">
        <f t="shared" si="138"/>
        <v>PGL_Income Eligible_Multi-Family_IE Kits_Shower Timer_IE Kit_IE</v>
      </c>
      <c r="C4439" s="2" t="str">
        <f t="shared" si="139"/>
        <v>PGL_Income Eligible_Multi-Family_IE Kits_Shower Timer_IE Kit_IE_2024</v>
      </c>
      <c r="D4439" s="19" t="s">
        <v>1794</v>
      </c>
      <c r="E4439" s="19" t="s">
        <v>325</v>
      </c>
      <c r="F4439" s="19" t="s">
        <v>1422</v>
      </c>
      <c r="G4439" s="19" t="s">
        <v>1440</v>
      </c>
      <c r="H4439" s="19" t="s">
        <v>1031</v>
      </c>
      <c r="I4439" s="19" t="s">
        <v>550</v>
      </c>
      <c r="J4439" s="19" t="s">
        <v>1033</v>
      </c>
      <c r="K4439" s="19" t="s">
        <v>551</v>
      </c>
      <c r="L4439" s="19">
        <v>2024</v>
      </c>
      <c r="M4439" s="20">
        <v>1</v>
      </c>
      <c r="N4439" s="19" t="s">
        <v>1795</v>
      </c>
      <c r="O4439" s="20">
        <v>4000</v>
      </c>
      <c r="P4439" s="20">
        <v>4000</v>
      </c>
      <c r="Q4439" s="20">
        <v>14828.985515243518</v>
      </c>
      <c r="R4439" s="21">
        <v>1</v>
      </c>
      <c r="S4439" s="20">
        <v>14828.985515243518</v>
      </c>
    </row>
    <row r="4440" spans="2:19" ht="15" customHeight="1" x14ac:dyDescent="0.25">
      <c r="B4440" s="2" t="str">
        <f t="shared" si="138"/>
        <v>PGL_Income Eligible_Multi-Family_IE Kits_Shower Timer_IE Kit_IE</v>
      </c>
      <c r="C4440" s="2" t="str">
        <f t="shared" si="139"/>
        <v>PGL_Income Eligible_Multi-Family_IE Kits_Shower Timer_IE Kit_IE_2025</v>
      </c>
      <c r="D4440" s="19" t="s">
        <v>1794</v>
      </c>
      <c r="E4440" s="19" t="s">
        <v>325</v>
      </c>
      <c r="F4440" s="19" t="s">
        <v>1422</v>
      </c>
      <c r="G4440" s="19" t="s">
        <v>1440</v>
      </c>
      <c r="H4440" s="19" t="s">
        <v>1031</v>
      </c>
      <c r="I4440" s="19" t="s">
        <v>550</v>
      </c>
      <c r="J4440" s="19" t="s">
        <v>1033</v>
      </c>
      <c r="K4440" s="19" t="s">
        <v>551</v>
      </c>
      <c r="L4440" s="19">
        <v>2025</v>
      </c>
      <c r="M4440" s="20">
        <v>1</v>
      </c>
      <c r="N4440" s="19" t="s">
        <v>1795</v>
      </c>
      <c r="O4440" s="20">
        <v>4000</v>
      </c>
      <c r="P4440" s="20">
        <v>4000</v>
      </c>
      <c r="Q4440" s="20">
        <v>14828.985515243518</v>
      </c>
      <c r="R4440" s="21">
        <v>1</v>
      </c>
      <c r="S4440" s="20">
        <v>14828.985515243518</v>
      </c>
    </row>
    <row r="4441" spans="2:19" ht="15" customHeight="1" x14ac:dyDescent="0.25">
      <c r="B4441" s="2" t="str">
        <f t="shared" si="138"/>
        <v>PGL_Income Eligible_Multi-Family_IE Kits_Pipe Insulation_IE Kit_IE</v>
      </c>
      <c r="C4441" s="2" t="str">
        <f t="shared" si="139"/>
        <v>PGL_Income Eligible_Multi-Family_IE Kits_Pipe Insulation_IE Kit_IE_2022</v>
      </c>
      <c r="D4441" s="19" t="s">
        <v>1794</v>
      </c>
      <c r="E4441" s="19" t="s">
        <v>325</v>
      </c>
      <c r="F4441" s="19" t="s">
        <v>1422</v>
      </c>
      <c r="G4441" s="19" t="s">
        <v>1440</v>
      </c>
      <c r="H4441" s="19" t="s">
        <v>404</v>
      </c>
      <c r="I4441" s="19" t="s">
        <v>550</v>
      </c>
      <c r="J4441" s="19" t="s">
        <v>1008</v>
      </c>
      <c r="K4441" s="19" t="s">
        <v>551</v>
      </c>
      <c r="L4441" s="19">
        <v>2022</v>
      </c>
      <c r="M4441" s="20">
        <v>1</v>
      </c>
      <c r="N4441" s="19" t="s">
        <v>1810</v>
      </c>
      <c r="O4441" s="20">
        <v>24600</v>
      </c>
      <c r="P4441" s="20">
        <v>24600</v>
      </c>
      <c r="Q4441" s="20">
        <v>12159.616530450236</v>
      </c>
      <c r="R4441" s="21">
        <v>1</v>
      </c>
      <c r="S4441" s="20">
        <v>12159.616530450236</v>
      </c>
    </row>
    <row r="4442" spans="2:19" ht="15" customHeight="1" x14ac:dyDescent="0.25">
      <c r="B4442" s="2" t="str">
        <f t="shared" si="138"/>
        <v>PGL_Income Eligible_Multi-Family_IE Kits_Pipe Insulation_IE Kit_IE</v>
      </c>
      <c r="C4442" s="2" t="str">
        <f t="shared" si="139"/>
        <v>PGL_Income Eligible_Multi-Family_IE Kits_Pipe Insulation_IE Kit_IE_2023</v>
      </c>
      <c r="D4442" s="19" t="s">
        <v>1794</v>
      </c>
      <c r="E4442" s="19" t="s">
        <v>325</v>
      </c>
      <c r="F4442" s="19" t="s">
        <v>1422</v>
      </c>
      <c r="G4442" s="19" t="s">
        <v>1440</v>
      </c>
      <c r="H4442" s="19" t="s">
        <v>404</v>
      </c>
      <c r="I4442" s="19" t="s">
        <v>550</v>
      </c>
      <c r="J4442" s="19" t="s">
        <v>1008</v>
      </c>
      <c r="K4442" s="19" t="s">
        <v>551</v>
      </c>
      <c r="L4442" s="19">
        <v>2023</v>
      </c>
      <c r="M4442" s="20">
        <v>1</v>
      </c>
      <c r="N4442" s="19" t="s">
        <v>1810</v>
      </c>
      <c r="O4442" s="20">
        <v>24000</v>
      </c>
      <c r="P4442" s="20">
        <v>24000</v>
      </c>
      <c r="Q4442" s="20">
        <v>11863.040517512425</v>
      </c>
      <c r="R4442" s="21">
        <v>1</v>
      </c>
      <c r="S4442" s="20">
        <v>11863.040517512425</v>
      </c>
    </row>
    <row r="4443" spans="2:19" ht="15" customHeight="1" x14ac:dyDescent="0.25">
      <c r="B4443" s="2" t="str">
        <f t="shared" si="138"/>
        <v>PGL_Income Eligible_Multi-Family_IE Kits_Pipe Insulation_IE Kit_IE</v>
      </c>
      <c r="C4443" s="2" t="str">
        <f t="shared" si="139"/>
        <v>PGL_Income Eligible_Multi-Family_IE Kits_Pipe Insulation_IE Kit_IE_2024</v>
      </c>
      <c r="D4443" s="19" t="s">
        <v>1794</v>
      </c>
      <c r="E4443" s="19" t="s">
        <v>325</v>
      </c>
      <c r="F4443" s="19" t="s">
        <v>1422</v>
      </c>
      <c r="G4443" s="19" t="s">
        <v>1440</v>
      </c>
      <c r="H4443" s="19" t="s">
        <v>404</v>
      </c>
      <c r="I4443" s="19" t="s">
        <v>550</v>
      </c>
      <c r="J4443" s="19" t="s">
        <v>1008</v>
      </c>
      <c r="K4443" s="19" t="s">
        <v>551</v>
      </c>
      <c r="L4443" s="19">
        <v>2024</v>
      </c>
      <c r="M4443" s="20">
        <v>1</v>
      </c>
      <c r="N4443" s="19" t="s">
        <v>1810</v>
      </c>
      <c r="O4443" s="20">
        <v>24000</v>
      </c>
      <c r="P4443" s="20">
        <v>24000</v>
      </c>
      <c r="Q4443" s="20">
        <v>11863.040517512425</v>
      </c>
      <c r="R4443" s="21">
        <v>1</v>
      </c>
      <c r="S4443" s="20">
        <v>11863.040517512425</v>
      </c>
    </row>
    <row r="4444" spans="2:19" ht="15" customHeight="1" x14ac:dyDescent="0.25">
      <c r="B4444" s="2" t="str">
        <f t="shared" si="138"/>
        <v>PGL_Income Eligible_Multi-Family_IE Kits_Pipe Insulation_IE Kit_IE</v>
      </c>
      <c r="C4444" s="2" t="str">
        <f t="shared" si="139"/>
        <v>PGL_Income Eligible_Multi-Family_IE Kits_Pipe Insulation_IE Kit_IE_2025</v>
      </c>
      <c r="D4444" s="19" t="s">
        <v>1794</v>
      </c>
      <c r="E4444" s="19" t="s">
        <v>325</v>
      </c>
      <c r="F4444" s="19" t="s">
        <v>1422</v>
      </c>
      <c r="G4444" s="19" t="s">
        <v>1440</v>
      </c>
      <c r="H4444" s="19" t="s">
        <v>404</v>
      </c>
      <c r="I4444" s="19" t="s">
        <v>550</v>
      </c>
      <c r="J4444" s="19" t="s">
        <v>1008</v>
      </c>
      <c r="K4444" s="19" t="s">
        <v>551</v>
      </c>
      <c r="L4444" s="19">
        <v>2025</v>
      </c>
      <c r="M4444" s="20">
        <v>1</v>
      </c>
      <c r="N4444" s="19" t="s">
        <v>1810</v>
      </c>
      <c r="O4444" s="20">
        <v>24000</v>
      </c>
      <c r="P4444" s="20">
        <v>24000</v>
      </c>
      <c r="Q4444" s="20">
        <v>11863.040517512425</v>
      </c>
      <c r="R4444" s="21">
        <v>1</v>
      </c>
      <c r="S4444" s="20">
        <v>11863.040517512425</v>
      </c>
    </row>
    <row r="4445" spans="2:19" ht="15" customHeight="1" x14ac:dyDescent="0.25">
      <c r="B4445" s="2" t="str">
        <f t="shared" si="138"/>
        <v>PGL_Income Eligible_Multi-Family_IE Kits_Weatherstripping_IE Kit_IE</v>
      </c>
      <c r="C4445" s="2" t="str">
        <f t="shared" si="139"/>
        <v>PGL_Income Eligible_Multi-Family_IE Kits_Weatherstripping_IE Kit_IE_2022</v>
      </c>
      <c r="D4445" s="19" t="s">
        <v>1794</v>
      </c>
      <c r="E4445" s="19" t="s">
        <v>325</v>
      </c>
      <c r="F4445" s="19" t="s">
        <v>1422</v>
      </c>
      <c r="G4445" s="19" t="s">
        <v>1440</v>
      </c>
      <c r="H4445" s="19" t="s">
        <v>576</v>
      </c>
      <c r="I4445" s="19" t="s">
        <v>550</v>
      </c>
      <c r="J4445" s="19" t="s">
        <v>573</v>
      </c>
      <c r="K4445" s="19" t="s">
        <v>551</v>
      </c>
      <c r="L4445" s="19">
        <v>2022</v>
      </c>
      <c r="M4445" s="20">
        <v>17</v>
      </c>
      <c r="N4445" s="19" t="s">
        <v>1810</v>
      </c>
      <c r="O4445" s="20">
        <v>4100</v>
      </c>
      <c r="P4445" s="20">
        <v>69700</v>
      </c>
      <c r="Q4445" s="20">
        <v>21428.567999999999</v>
      </c>
      <c r="R4445" s="21">
        <v>1</v>
      </c>
      <c r="S4445" s="20">
        <v>21428.567999999999</v>
      </c>
    </row>
    <row r="4446" spans="2:19" ht="15" customHeight="1" x14ac:dyDescent="0.25">
      <c r="B4446" s="2" t="str">
        <f t="shared" si="138"/>
        <v>PGL_Income Eligible_Multi-Family_IE Kits_Weatherstripping_IE Kit_IE</v>
      </c>
      <c r="C4446" s="2" t="str">
        <f t="shared" si="139"/>
        <v>PGL_Income Eligible_Multi-Family_IE Kits_Weatherstripping_IE Kit_IE_2023</v>
      </c>
      <c r="D4446" s="19" t="s">
        <v>1794</v>
      </c>
      <c r="E4446" s="19" t="s">
        <v>325</v>
      </c>
      <c r="F4446" s="19" t="s">
        <v>1422</v>
      </c>
      <c r="G4446" s="19" t="s">
        <v>1440</v>
      </c>
      <c r="H4446" s="19" t="s">
        <v>576</v>
      </c>
      <c r="I4446" s="19" t="s">
        <v>550</v>
      </c>
      <c r="J4446" s="19" t="s">
        <v>573</v>
      </c>
      <c r="K4446" s="19" t="s">
        <v>551</v>
      </c>
      <c r="L4446" s="19">
        <v>2023</v>
      </c>
      <c r="M4446" s="20">
        <v>17</v>
      </c>
      <c r="N4446" s="19" t="s">
        <v>1810</v>
      </c>
      <c r="O4446" s="20">
        <v>4000</v>
      </c>
      <c r="P4446" s="20">
        <v>68000</v>
      </c>
      <c r="Q4446" s="20">
        <v>20905.919999999998</v>
      </c>
      <c r="R4446" s="21">
        <v>1</v>
      </c>
      <c r="S4446" s="20">
        <v>20905.919999999998</v>
      </c>
    </row>
    <row r="4447" spans="2:19" ht="15" customHeight="1" x14ac:dyDescent="0.25">
      <c r="B4447" s="2" t="str">
        <f t="shared" si="138"/>
        <v>PGL_Income Eligible_Multi-Family_IE Kits_Weatherstripping_IE Kit_IE</v>
      </c>
      <c r="C4447" s="2" t="str">
        <f t="shared" si="139"/>
        <v>PGL_Income Eligible_Multi-Family_IE Kits_Weatherstripping_IE Kit_IE_2024</v>
      </c>
      <c r="D4447" s="19" t="s">
        <v>1794</v>
      </c>
      <c r="E4447" s="19" t="s">
        <v>325</v>
      </c>
      <c r="F4447" s="19" t="s">
        <v>1422</v>
      </c>
      <c r="G4447" s="19" t="s">
        <v>1440</v>
      </c>
      <c r="H4447" s="19" t="s">
        <v>576</v>
      </c>
      <c r="I4447" s="19" t="s">
        <v>550</v>
      </c>
      <c r="J4447" s="19" t="s">
        <v>573</v>
      </c>
      <c r="K4447" s="19" t="s">
        <v>551</v>
      </c>
      <c r="L4447" s="19">
        <v>2024</v>
      </c>
      <c r="M4447" s="20">
        <v>17</v>
      </c>
      <c r="N4447" s="19" t="s">
        <v>1810</v>
      </c>
      <c r="O4447" s="20">
        <v>4000</v>
      </c>
      <c r="P4447" s="20">
        <v>68000</v>
      </c>
      <c r="Q4447" s="20">
        <v>20905.919999999998</v>
      </c>
      <c r="R4447" s="21">
        <v>1</v>
      </c>
      <c r="S4447" s="20">
        <v>20905.919999999998</v>
      </c>
    </row>
    <row r="4448" spans="2:19" ht="15" customHeight="1" x14ac:dyDescent="0.25">
      <c r="B4448" s="2" t="str">
        <f t="shared" si="138"/>
        <v>PGL_Income Eligible_Multi-Family_IE Kits_Weatherstripping_IE Kit_IE</v>
      </c>
      <c r="C4448" s="2" t="str">
        <f t="shared" si="139"/>
        <v>PGL_Income Eligible_Multi-Family_IE Kits_Weatherstripping_IE Kit_IE_2025</v>
      </c>
      <c r="D4448" s="19" t="s">
        <v>1794</v>
      </c>
      <c r="E4448" s="19" t="s">
        <v>325</v>
      </c>
      <c r="F4448" s="19" t="s">
        <v>1422</v>
      </c>
      <c r="G4448" s="19" t="s">
        <v>1440</v>
      </c>
      <c r="H4448" s="19" t="s">
        <v>576</v>
      </c>
      <c r="I4448" s="19" t="s">
        <v>550</v>
      </c>
      <c r="J4448" s="19" t="s">
        <v>573</v>
      </c>
      <c r="K4448" s="19" t="s">
        <v>551</v>
      </c>
      <c r="L4448" s="19">
        <v>2025</v>
      </c>
      <c r="M4448" s="20">
        <v>17</v>
      </c>
      <c r="N4448" s="19" t="s">
        <v>1810</v>
      </c>
      <c r="O4448" s="20">
        <v>4000</v>
      </c>
      <c r="P4448" s="20">
        <v>68000</v>
      </c>
      <c r="Q4448" s="20">
        <v>20905.919999999998</v>
      </c>
      <c r="R4448" s="21">
        <v>1</v>
      </c>
      <c r="S4448" s="20">
        <v>20905.919999999998</v>
      </c>
    </row>
    <row r="4449" spans="2:19" ht="15" customHeight="1" x14ac:dyDescent="0.25">
      <c r="B4449" s="2" t="str">
        <f t="shared" si="138"/>
        <v>PGL_Income Eligible_Multi-Family_IE Kits_Outlet and Switch Gaskets_IE Kit_IE</v>
      </c>
      <c r="C4449" s="2" t="str">
        <f t="shared" si="139"/>
        <v>PGL_Income Eligible_Multi-Family_IE Kits_Outlet and Switch Gaskets_IE Kit_IE_2022</v>
      </c>
      <c r="D4449" s="19" t="s">
        <v>1794</v>
      </c>
      <c r="E4449" s="19" t="s">
        <v>325</v>
      </c>
      <c r="F4449" s="19" t="s">
        <v>1422</v>
      </c>
      <c r="G4449" s="19" t="s">
        <v>1440</v>
      </c>
      <c r="H4449" s="19" t="s">
        <v>563</v>
      </c>
      <c r="I4449" s="19" t="s">
        <v>550</v>
      </c>
      <c r="J4449" s="19" t="s">
        <v>573</v>
      </c>
      <c r="K4449" s="19" t="s">
        <v>551</v>
      </c>
      <c r="L4449" s="19">
        <v>2022</v>
      </c>
      <c r="M4449" s="20">
        <v>1</v>
      </c>
      <c r="N4449" s="19" t="s">
        <v>1798</v>
      </c>
      <c r="O4449" s="20">
        <v>82000</v>
      </c>
      <c r="P4449" s="20">
        <v>82000</v>
      </c>
      <c r="Q4449" s="20">
        <v>15724.320000000002</v>
      </c>
      <c r="R4449" s="21">
        <v>1</v>
      </c>
      <c r="S4449" s="20">
        <v>15724.320000000002</v>
      </c>
    </row>
    <row r="4450" spans="2:19" ht="15" customHeight="1" x14ac:dyDescent="0.25">
      <c r="B4450" s="2" t="str">
        <f t="shared" si="138"/>
        <v>PGL_Income Eligible_Multi-Family_IE Kits_Outlet and Switch Gaskets_IE Kit_IE</v>
      </c>
      <c r="C4450" s="2" t="str">
        <f t="shared" si="139"/>
        <v>PGL_Income Eligible_Multi-Family_IE Kits_Outlet and Switch Gaskets_IE Kit_IE_2023</v>
      </c>
      <c r="D4450" s="19" t="s">
        <v>1794</v>
      </c>
      <c r="E4450" s="19" t="s">
        <v>325</v>
      </c>
      <c r="F4450" s="19" t="s">
        <v>1422</v>
      </c>
      <c r="G4450" s="19" t="s">
        <v>1440</v>
      </c>
      <c r="H4450" s="19" t="s">
        <v>563</v>
      </c>
      <c r="I4450" s="19" t="s">
        <v>550</v>
      </c>
      <c r="J4450" s="19" t="s">
        <v>573</v>
      </c>
      <c r="K4450" s="19" t="s">
        <v>551</v>
      </c>
      <c r="L4450" s="19">
        <v>2023</v>
      </c>
      <c r="M4450" s="20">
        <v>1</v>
      </c>
      <c r="N4450" s="19" t="s">
        <v>1798</v>
      </c>
      <c r="O4450" s="20">
        <v>80000</v>
      </c>
      <c r="P4450" s="20">
        <v>80000</v>
      </c>
      <c r="Q4450" s="20">
        <v>15340.800000000001</v>
      </c>
      <c r="R4450" s="21">
        <v>1</v>
      </c>
      <c r="S4450" s="20">
        <v>15340.800000000001</v>
      </c>
    </row>
    <row r="4451" spans="2:19" ht="15" customHeight="1" x14ac:dyDescent="0.25">
      <c r="B4451" s="2" t="str">
        <f t="shared" si="138"/>
        <v>PGL_Income Eligible_Multi-Family_IE Kits_Outlet and Switch Gaskets_IE Kit_IE</v>
      </c>
      <c r="C4451" s="2" t="str">
        <f t="shared" si="139"/>
        <v>PGL_Income Eligible_Multi-Family_IE Kits_Outlet and Switch Gaskets_IE Kit_IE_2024</v>
      </c>
      <c r="D4451" s="19" t="s">
        <v>1794</v>
      </c>
      <c r="E4451" s="19" t="s">
        <v>325</v>
      </c>
      <c r="F4451" s="19" t="s">
        <v>1422</v>
      </c>
      <c r="G4451" s="19" t="s">
        <v>1440</v>
      </c>
      <c r="H4451" s="19" t="s">
        <v>563</v>
      </c>
      <c r="I4451" s="19" t="s">
        <v>550</v>
      </c>
      <c r="J4451" s="19" t="s">
        <v>573</v>
      </c>
      <c r="K4451" s="19" t="s">
        <v>551</v>
      </c>
      <c r="L4451" s="19">
        <v>2024</v>
      </c>
      <c r="M4451" s="20">
        <v>1</v>
      </c>
      <c r="N4451" s="19" t="s">
        <v>1798</v>
      </c>
      <c r="O4451" s="20">
        <v>80000</v>
      </c>
      <c r="P4451" s="20">
        <v>80000</v>
      </c>
      <c r="Q4451" s="20">
        <v>15340.800000000001</v>
      </c>
      <c r="R4451" s="21">
        <v>1</v>
      </c>
      <c r="S4451" s="20">
        <v>15340.800000000001</v>
      </c>
    </row>
    <row r="4452" spans="2:19" ht="15" customHeight="1" x14ac:dyDescent="0.25">
      <c r="B4452" s="2" t="str">
        <f t="shared" si="138"/>
        <v>PGL_Income Eligible_Multi-Family_IE Kits_Outlet and Switch Gaskets_IE Kit_IE</v>
      </c>
      <c r="C4452" s="2" t="str">
        <f t="shared" si="139"/>
        <v>PGL_Income Eligible_Multi-Family_IE Kits_Outlet and Switch Gaskets_IE Kit_IE_2025</v>
      </c>
      <c r="D4452" s="19" t="s">
        <v>1794</v>
      </c>
      <c r="E4452" s="19" t="s">
        <v>325</v>
      </c>
      <c r="F4452" s="19" t="s">
        <v>1422</v>
      </c>
      <c r="G4452" s="19" t="s">
        <v>1440</v>
      </c>
      <c r="H4452" s="19" t="s">
        <v>563</v>
      </c>
      <c r="I4452" s="19" t="s">
        <v>550</v>
      </c>
      <c r="J4452" s="19" t="s">
        <v>573</v>
      </c>
      <c r="K4452" s="19" t="s">
        <v>551</v>
      </c>
      <c r="L4452" s="19">
        <v>2025</v>
      </c>
      <c r="M4452" s="20">
        <v>1</v>
      </c>
      <c r="N4452" s="19" t="s">
        <v>1798</v>
      </c>
      <c r="O4452" s="20">
        <v>80000</v>
      </c>
      <c r="P4452" s="20">
        <v>80000</v>
      </c>
      <c r="Q4452" s="20">
        <v>15340.800000000001</v>
      </c>
      <c r="R4452" s="21">
        <v>1</v>
      </c>
      <c r="S4452" s="20">
        <v>15340.800000000001</v>
      </c>
    </row>
    <row r="4453" spans="2:19" ht="15" customHeight="1" x14ac:dyDescent="0.25">
      <c r="B4453" s="2" t="str">
        <f t="shared" si="138"/>
        <v>PGL_Income Eligible_Multi-Family_IE Kits_Window Kit_IE Kit_IE</v>
      </c>
      <c r="C4453" s="2" t="str">
        <f t="shared" si="139"/>
        <v>PGL_Income Eligible_Multi-Family_IE Kits_Window Kit_IE Kit_IE_2022</v>
      </c>
      <c r="D4453" s="19" t="s">
        <v>1794</v>
      </c>
      <c r="E4453" s="19" t="s">
        <v>325</v>
      </c>
      <c r="F4453" s="19" t="s">
        <v>1422</v>
      </c>
      <c r="G4453" s="19" t="s">
        <v>1440</v>
      </c>
      <c r="H4453" s="19" t="s">
        <v>574</v>
      </c>
      <c r="I4453" s="19" t="s">
        <v>550</v>
      </c>
      <c r="J4453" s="19" t="s">
        <v>573</v>
      </c>
      <c r="K4453" s="19" t="s">
        <v>551</v>
      </c>
      <c r="L4453" s="19">
        <v>2022</v>
      </c>
      <c r="M4453" s="20">
        <v>1</v>
      </c>
      <c r="N4453" s="19" t="s">
        <v>634</v>
      </c>
      <c r="O4453" s="20">
        <v>307500</v>
      </c>
      <c r="P4453" s="20">
        <v>307500</v>
      </c>
      <c r="Q4453" s="20">
        <v>25660.26</v>
      </c>
      <c r="R4453" s="21">
        <v>1</v>
      </c>
      <c r="S4453" s="20">
        <v>25660.26</v>
      </c>
    </row>
    <row r="4454" spans="2:19" ht="15" customHeight="1" x14ac:dyDescent="0.25">
      <c r="B4454" s="2" t="str">
        <f t="shared" si="138"/>
        <v>PGL_Income Eligible_Multi-Family_IE Kits_Window Kit_IE Kit_IE</v>
      </c>
      <c r="C4454" s="2" t="str">
        <f t="shared" si="139"/>
        <v>PGL_Income Eligible_Multi-Family_IE Kits_Window Kit_IE Kit_IE_2023</v>
      </c>
      <c r="D4454" s="19" t="s">
        <v>1794</v>
      </c>
      <c r="E4454" s="19" t="s">
        <v>325</v>
      </c>
      <c r="F4454" s="19" t="s">
        <v>1422</v>
      </c>
      <c r="G4454" s="19" t="s">
        <v>1440</v>
      </c>
      <c r="H4454" s="19" t="s">
        <v>574</v>
      </c>
      <c r="I4454" s="19" t="s">
        <v>550</v>
      </c>
      <c r="J4454" s="19" t="s">
        <v>573</v>
      </c>
      <c r="K4454" s="19" t="s">
        <v>551</v>
      </c>
      <c r="L4454" s="19">
        <v>2023</v>
      </c>
      <c r="M4454" s="20">
        <v>1</v>
      </c>
      <c r="N4454" s="19" t="s">
        <v>634</v>
      </c>
      <c r="O4454" s="20">
        <v>300000</v>
      </c>
      <c r="P4454" s="20">
        <v>300000</v>
      </c>
      <c r="Q4454" s="20">
        <v>25034.399999999998</v>
      </c>
      <c r="R4454" s="21">
        <v>1</v>
      </c>
      <c r="S4454" s="20">
        <v>25034.399999999998</v>
      </c>
    </row>
    <row r="4455" spans="2:19" ht="15" customHeight="1" x14ac:dyDescent="0.25">
      <c r="B4455" s="2" t="str">
        <f t="shared" si="138"/>
        <v>PGL_Income Eligible_Multi-Family_IE Kits_Window Kit_IE Kit_IE</v>
      </c>
      <c r="C4455" s="2" t="str">
        <f t="shared" si="139"/>
        <v>PGL_Income Eligible_Multi-Family_IE Kits_Window Kit_IE Kit_IE_2024</v>
      </c>
      <c r="D4455" s="19" t="s">
        <v>1794</v>
      </c>
      <c r="E4455" s="19" t="s">
        <v>325</v>
      </c>
      <c r="F4455" s="19" t="s">
        <v>1422</v>
      </c>
      <c r="G4455" s="19" t="s">
        <v>1440</v>
      </c>
      <c r="H4455" s="19" t="s">
        <v>574</v>
      </c>
      <c r="I4455" s="19" t="s">
        <v>550</v>
      </c>
      <c r="J4455" s="19" t="s">
        <v>573</v>
      </c>
      <c r="K4455" s="19" t="s">
        <v>551</v>
      </c>
      <c r="L4455" s="19">
        <v>2024</v>
      </c>
      <c r="M4455" s="20">
        <v>1</v>
      </c>
      <c r="N4455" s="19" t="s">
        <v>634</v>
      </c>
      <c r="O4455" s="20">
        <v>300000</v>
      </c>
      <c r="P4455" s="20">
        <v>300000</v>
      </c>
      <c r="Q4455" s="20">
        <v>25034.399999999998</v>
      </c>
      <c r="R4455" s="21">
        <v>1</v>
      </c>
      <c r="S4455" s="20">
        <v>25034.399999999998</v>
      </c>
    </row>
    <row r="4456" spans="2:19" ht="15" customHeight="1" x14ac:dyDescent="0.25">
      <c r="B4456" s="2" t="str">
        <f t="shared" si="138"/>
        <v>PGL_Income Eligible_Multi-Family_IE Kits_Window Kit_IE Kit_IE</v>
      </c>
      <c r="C4456" s="2" t="str">
        <f t="shared" si="139"/>
        <v>PGL_Income Eligible_Multi-Family_IE Kits_Window Kit_IE Kit_IE_2025</v>
      </c>
      <c r="D4456" s="19" t="s">
        <v>1794</v>
      </c>
      <c r="E4456" s="19" t="s">
        <v>325</v>
      </c>
      <c r="F4456" s="19" t="s">
        <v>1422</v>
      </c>
      <c r="G4456" s="19" t="s">
        <v>1440</v>
      </c>
      <c r="H4456" s="19" t="s">
        <v>574</v>
      </c>
      <c r="I4456" s="19" t="s">
        <v>550</v>
      </c>
      <c r="J4456" s="19" t="s">
        <v>573</v>
      </c>
      <c r="K4456" s="19" t="s">
        <v>551</v>
      </c>
      <c r="L4456" s="19">
        <v>2025</v>
      </c>
      <c r="M4456" s="20">
        <v>1</v>
      </c>
      <c r="N4456" s="19" t="s">
        <v>634</v>
      </c>
      <c r="O4456" s="20">
        <v>300000</v>
      </c>
      <c r="P4456" s="20">
        <v>300000</v>
      </c>
      <c r="Q4456" s="20">
        <v>25034.399999999998</v>
      </c>
      <c r="R4456" s="21">
        <v>1</v>
      </c>
      <c r="S4456" s="20">
        <v>25034.399999999998</v>
      </c>
    </row>
    <row r="4457" spans="2:19" ht="15" customHeight="1" x14ac:dyDescent="0.25">
      <c r="B4457" s="2" t="str">
        <f t="shared" si="138"/>
        <v>PGL_Income Eligible_Multi-Family_IE Kits_Water Heater Temperature Setback_IE Kit_IE</v>
      </c>
      <c r="C4457" s="2" t="str">
        <f t="shared" si="139"/>
        <v>PGL_Income Eligible_Multi-Family_IE Kits_Water Heater Temperature Setback_IE Kit_IE_2022</v>
      </c>
      <c r="D4457" s="19" t="s">
        <v>1794</v>
      </c>
      <c r="E4457" s="19" t="s">
        <v>325</v>
      </c>
      <c r="F4457" s="19" t="s">
        <v>1422</v>
      </c>
      <c r="G4457" s="19" t="s">
        <v>1440</v>
      </c>
      <c r="H4457" s="19" t="s">
        <v>223</v>
      </c>
      <c r="I4457" s="19" t="s">
        <v>550</v>
      </c>
      <c r="J4457" s="19" t="s">
        <v>1022</v>
      </c>
      <c r="K4457" s="19" t="s">
        <v>551</v>
      </c>
      <c r="L4457" s="19">
        <v>2022</v>
      </c>
      <c r="M4457" s="20">
        <v>1</v>
      </c>
      <c r="N4457" s="19" t="s">
        <v>1795</v>
      </c>
      <c r="O4457" s="20">
        <v>4100</v>
      </c>
      <c r="P4457" s="20">
        <v>4100</v>
      </c>
      <c r="Q4457" s="20">
        <v>1433.5945058076927</v>
      </c>
      <c r="R4457" s="21">
        <v>1</v>
      </c>
      <c r="S4457" s="20">
        <v>1433.5945058076927</v>
      </c>
    </row>
    <row r="4458" spans="2:19" ht="15" customHeight="1" x14ac:dyDescent="0.25">
      <c r="B4458" s="2" t="str">
        <f t="shared" si="138"/>
        <v>PGL_Income Eligible_Multi-Family_IE Kits_Water Heater Temperature Setback_IE Kit_IE</v>
      </c>
      <c r="C4458" s="2" t="str">
        <f t="shared" si="139"/>
        <v>PGL_Income Eligible_Multi-Family_IE Kits_Water Heater Temperature Setback_IE Kit_IE_2023</v>
      </c>
      <c r="D4458" s="19" t="s">
        <v>1794</v>
      </c>
      <c r="E4458" s="19" t="s">
        <v>325</v>
      </c>
      <c r="F4458" s="19" t="s">
        <v>1422</v>
      </c>
      <c r="G4458" s="19" t="s">
        <v>1440</v>
      </c>
      <c r="H4458" s="19" t="s">
        <v>223</v>
      </c>
      <c r="I4458" s="19" t="s">
        <v>550</v>
      </c>
      <c r="J4458" s="19" t="s">
        <v>1022</v>
      </c>
      <c r="K4458" s="19" t="s">
        <v>551</v>
      </c>
      <c r="L4458" s="19">
        <v>2023</v>
      </c>
      <c r="M4458" s="20">
        <v>1</v>
      </c>
      <c r="N4458" s="19" t="s">
        <v>1795</v>
      </c>
      <c r="O4458" s="20">
        <v>4000</v>
      </c>
      <c r="P4458" s="20">
        <v>4000</v>
      </c>
      <c r="Q4458" s="20">
        <v>1398.6287861538465</v>
      </c>
      <c r="R4458" s="21">
        <v>1</v>
      </c>
      <c r="S4458" s="20">
        <v>1398.6287861538465</v>
      </c>
    </row>
    <row r="4459" spans="2:19" ht="15" customHeight="1" x14ac:dyDescent="0.25">
      <c r="B4459" s="2" t="str">
        <f t="shared" si="138"/>
        <v>PGL_Income Eligible_Multi-Family_IE Kits_Water Heater Temperature Setback_IE Kit_IE</v>
      </c>
      <c r="C4459" s="2" t="str">
        <f t="shared" si="139"/>
        <v>PGL_Income Eligible_Multi-Family_IE Kits_Water Heater Temperature Setback_IE Kit_IE_2024</v>
      </c>
      <c r="D4459" s="19" t="s">
        <v>1794</v>
      </c>
      <c r="E4459" s="19" t="s">
        <v>325</v>
      </c>
      <c r="F4459" s="19" t="s">
        <v>1422</v>
      </c>
      <c r="G4459" s="19" t="s">
        <v>1440</v>
      </c>
      <c r="H4459" s="19" t="s">
        <v>223</v>
      </c>
      <c r="I4459" s="19" t="s">
        <v>550</v>
      </c>
      <c r="J4459" s="19" t="s">
        <v>1022</v>
      </c>
      <c r="K4459" s="19" t="s">
        <v>551</v>
      </c>
      <c r="L4459" s="19">
        <v>2024</v>
      </c>
      <c r="M4459" s="20">
        <v>1</v>
      </c>
      <c r="N4459" s="19" t="s">
        <v>1795</v>
      </c>
      <c r="O4459" s="20">
        <v>4000</v>
      </c>
      <c r="P4459" s="20">
        <v>4000</v>
      </c>
      <c r="Q4459" s="20">
        <v>1398.6287861538465</v>
      </c>
      <c r="R4459" s="21">
        <v>1</v>
      </c>
      <c r="S4459" s="20">
        <v>1398.6287861538465</v>
      </c>
    </row>
    <row r="4460" spans="2:19" ht="15" customHeight="1" x14ac:dyDescent="0.25">
      <c r="B4460" s="2" t="str">
        <f t="shared" si="138"/>
        <v>PGL_Income Eligible_Multi-Family_IE Kits_Water Heater Temperature Setback_IE Kit_IE</v>
      </c>
      <c r="C4460" s="2" t="str">
        <f t="shared" si="139"/>
        <v>PGL_Income Eligible_Multi-Family_IE Kits_Water Heater Temperature Setback_IE Kit_IE_2025</v>
      </c>
      <c r="D4460" s="19" t="s">
        <v>1794</v>
      </c>
      <c r="E4460" s="19" t="s">
        <v>325</v>
      </c>
      <c r="F4460" s="19" t="s">
        <v>1422</v>
      </c>
      <c r="G4460" s="19" t="s">
        <v>1440</v>
      </c>
      <c r="H4460" s="19" t="s">
        <v>223</v>
      </c>
      <c r="I4460" s="19" t="s">
        <v>550</v>
      </c>
      <c r="J4460" s="19" t="s">
        <v>1022</v>
      </c>
      <c r="K4460" s="19" t="s">
        <v>551</v>
      </c>
      <c r="L4460" s="19">
        <v>2025</v>
      </c>
      <c r="M4460" s="20">
        <v>1</v>
      </c>
      <c r="N4460" s="19" t="s">
        <v>1795</v>
      </c>
      <c r="O4460" s="20">
        <v>4000</v>
      </c>
      <c r="P4460" s="20">
        <v>4000</v>
      </c>
      <c r="Q4460" s="20">
        <v>1398.6287861538465</v>
      </c>
      <c r="R4460" s="21">
        <v>1</v>
      </c>
      <c r="S4460" s="20">
        <v>1398.6287861538465</v>
      </c>
    </row>
    <row r="4461" spans="2:19" ht="15" customHeight="1" x14ac:dyDescent="0.25">
      <c r="B4461" s="2" t="str">
        <f t="shared" si="138"/>
        <v>PGL_Income Eligible_Multi-Family_New Construction_Affordable Housing New Construction_0_IE</v>
      </c>
      <c r="C4461" s="2" t="str">
        <f t="shared" si="139"/>
        <v>PGL_Income Eligible_Multi-Family_New Construction_Affordable Housing New Construction_0_IE_2022</v>
      </c>
      <c r="D4461" s="19" t="s">
        <v>1794</v>
      </c>
      <c r="E4461" s="19" t="s">
        <v>325</v>
      </c>
      <c r="F4461" s="19" t="s">
        <v>1422</v>
      </c>
      <c r="G4461" s="19" t="s">
        <v>1092</v>
      </c>
      <c r="H4461" s="19" t="s">
        <v>1157</v>
      </c>
      <c r="I4461" s="19">
        <v>0</v>
      </c>
      <c r="J4461" s="19">
        <v>0</v>
      </c>
      <c r="K4461" s="19" t="s">
        <v>551</v>
      </c>
      <c r="L4461" s="19">
        <v>2022</v>
      </c>
      <c r="M4461" s="20">
        <v>6774</v>
      </c>
      <c r="N4461" s="19" t="s">
        <v>1798</v>
      </c>
      <c r="O4461" s="20">
        <v>1</v>
      </c>
      <c r="P4461" s="20">
        <v>6774</v>
      </c>
      <c r="Q4461" s="20">
        <v>6774</v>
      </c>
      <c r="R4461" s="21">
        <v>1</v>
      </c>
      <c r="S4461" s="20">
        <v>6774</v>
      </c>
    </row>
    <row r="4462" spans="2:19" ht="15" customHeight="1" x14ac:dyDescent="0.25">
      <c r="B4462" s="2" t="str">
        <f t="shared" si="138"/>
        <v>PGL_Income Eligible_Multi-Family_New Construction_Affordable Housing New Construction_0_IE</v>
      </c>
      <c r="C4462" s="2" t="str">
        <f t="shared" si="139"/>
        <v>PGL_Income Eligible_Multi-Family_New Construction_Affordable Housing New Construction_0_IE_2023</v>
      </c>
      <c r="D4462" s="19" t="s">
        <v>1794</v>
      </c>
      <c r="E4462" s="19" t="s">
        <v>325</v>
      </c>
      <c r="F4462" s="19" t="s">
        <v>1422</v>
      </c>
      <c r="G4462" s="19" t="s">
        <v>1092</v>
      </c>
      <c r="H4462" s="19" t="s">
        <v>1157</v>
      </c>
      <c r="I4462" s="19">
        <v>0</v>
      </c>
      <c r="J4462" s="19">
        <v>0</v>
      </c>
      <c r="K4462" s="19" t="s">
        <v>551</v>
      </c>
      <c r="L4462" s="19">
        <v>2023</v>
      </c>
      <c r="M4462" s="20">
        <v>6774</v>
      </c>
      <c r="N4462" s="19" t="s">
        <v>1798</v>
      </c>
      <c r="O4462" s="20">
        <v>1</v>
      </c>
      <c r="P4462" s="20">
        <v>6774</v>
      </c>
      <c r="Q4462" s="20">
        <v>6774</v>
      </c>
      <c r="R4462" s="21">
        <v>1</v>
      </c>
      <c r="S4462" s="20">
        <v>6774</v>
      </c>
    </row>
    <row r="4463" spans="2:19" ht="15" customHeight="1" x14ac:dyDescent="0.25">
      <c r="B4463" s="2" t="str">
        <f t="shared" si="138"/>
        <v>PGL_Income Eligible_Multi-Family_New Construction_Affordable Housing New Construction_0_IE</v>
      </c>
      <c r="C4463" s="2" t="str">
        <f t="shared" si="139"/>
        <v>PGL_Income Eligible_Multi-Family_New Construction_Affordable Housing New Construction_0_IE_2024</v>
      </c>
      <c r="D4463" s="19" t="s">
        <v>1794</v>
      </c>
      <c r="E4463" s="19" t="s">
        <v>325</v>
      </c>
      <c r="F4463" s="19" t="s">
        <v>1422</v>
      </c>
      <c r="G4463" s="19" t="s">
        <v>1092</v>
      </c>
      <c r="H4463" s="19" t="s">
        <v>1157</v>
      </c>
      <c r="I4463" s="19">
        <v>0</v>
      </c>
      <c r="J4463" s="19">
        <v>0</v>
      </c>
      <c r="K4463" s="19" t="s">
        <v>551</v>
      </c>
      <c r="L4463" s="19">
        <v>2024</v>
      </c>
      <c r="M4463" s="20">
        <v>6774</v>
      </c>
      <c r="N4463" s="19" t="s">
        <v>1798</v>
      </c>
      <c r="O4463" s="20">
        <v>1</v>
      </c>
      <c r="P4463" s="20">
        <v>6774</v>
      </c>
      <c r="Q4463" s="20">
        <v>6774</v>
      </c>
      <c r="R4463" s="21">
        <v>1</v>
      </c>
      <c r="S4463" s="20">
        <v>6774</v>
      </c>
    </row>
    <row r="4464" spans="2:19" ht="15" customHeight="1" x14ac:dyDescent="0.25">
      <c r="B4464" s="2" t="str">
        <f t="shared" si="138"/>
        <v>PGL_Income Eligible_Multi-Family_New Construction_Affordable Housing New Construction_0_IE</v>
      </c>
      <c r="C4464" s="2" t="str">
        <f t="shared" si="139"/>
        <v>PGL_Income Eligible_Multi-Family_New Construction_Affordable Housing New Construction_0_IE_2025</v>
      </c>
      <c r="D4464" s="19" t="s">
        <v>1794</v>
      </c>
      <c r="E4464" s="19" t="s">
        <v>325</v>
      </c>
      <c r="F4464" s="19" t="s">
        <v>1422</v>
      </c>
      <c r="G4464" s="19" t="s">
        <v>1092</v>
      </c>
      <c r="H4464" s="19" t="s">
        <v>1157</v>
      </c>
      <c r="I4464" s="19">
        <v>0</v>
      </c>
      <c r="J4464" s="19">
        <v>0</v>
      </c>
      <c r="K4464" s="19" t="s">
        <v>551</v>
      </c>
      <c r="L4464" s="19">
        <v>2025</v>
      </c>
      <c r="M4464" s="20">
        <v>6774</v>
      </c>
      <c r="N4464" s="19" t="s">
        <v>1798</v>
      </c>
      <c r="O4464" s="20">
        <v>1</v>
      </c>
      <c r="P4464" s="20">
        <v>6774</v>
      </c>
      <c r="Q4464" s="20">
        <v>6774</v>
      </c>
      <c r="R4464" s="21">
        <v>1</v>
      </c>
      <c r="S4464" s="20">
        <v>6774</v>
      </c>
    </row>
    <row r="4465" spans="2:19" ht="15" customHeight="1" x14ac:dyDescent="0.25">
      <c r="B4465" s="2" t="str">
        <f t="shared" si="138"/>
        <v>NSG_Income Eligible_Multi-Family_Whole Building - DI_Unit Visit_0_MF</v>
      </c>
      <c r="C4465" s="2" t="str">
        <f t="shared" si="139"/>
        <v>NSG_Income Eligible_Multi-Family_Whole Building - DI_Unit Visit_0_MF_2022</v>
      </c>
      <c r="D4465" s="19" t="s">
        <v>1787</v>
      </c>
      <c r="E4465" s="19" t="s">
        <v>325</v>
      </c>
      <c r="F4465" s="19" t="s">
        <v>1422</v>
      </c>
      <c r="G4465" s="19" t="s">
        <v>1812</v>
      </c>
      <c r="H4465" s="19" t="s">
        <v>1090</v>
      </c>
      <c r="I4465" s="19">
        <v>0</v>
      </c>
      <c r="J4465" s="19">
        <v>0</v>
      </c>
      <c r="K4465" s="19" t="s">
        <v>553</v>
      </c>
      <c r="L4465" s="19">
        <v>2022</v>
      </c>
      <c r="M4465" s="20">
        <v>1</v>
      </c>
      <c r="N4465" s="19" t="s">
        <v>1798</v>
      </c>
      <c r="O4465" s="20">
        <v>30</v>
      </c>
      <c r="P4465" s="20">
        <v>30</v>
      </c>
      <c r="Q4465" s="20">
        <v>0</v>
      </c>
      <c r="R4465" s="21">
        <v>1</v>
      </c>
      <c r="S4465" s="20">
        <v>0</v>
      </c>
    </row>
    <row r="4466" spans="2:19" ht="15" customHeight="1" x14ac:dyDescent="0.25">
      <c r="B4466" s="2" t="str">
        <f t="shared" si="138"/>
        <v>NSG_Income Eligible_Multi-Family_Whole Building - DI_Unit Visit_0_MF</v>
      </c>
      <c r="C4466" s="2" t="str">
        <f t="shared" si="139"/>
        <v>NSG_Income Eligible_Multi-Family_Whole Building - DI_Unit Visit_0_MF_2023</v>
      </c>
      <c r="D4466" s="19" t="s">
        <v>1787</v>
      </c>
      <c r="E4466" s="19" t="s">
        <v>325</v>
      </c>
      <c r="F4466" s="19" t="s">
        <v>1422</v>
      </c>
      <c r="G4466" s="19" t="s">
        <v>1812</v>
      </c>
      <c r="H4466" s="19" t="s">
        <v>1090</v>
      </c>
      <c r="I4466" s="19">
        <v>0</v>
      </c>
      <c r="J4466" s="19">
        <v>0</v>
      </c>
      <c r="K4466" s="19" t="s">
        <v>553</v>
      </c>
      <c r="L4466" s="19">
        <v>2023</v>
      </c>
      <c r="M4466" s="20">
        <v>1</v>
      </c>
      <c r="N4466" s="19" t="s">
        <v>1798</v>
      </c>
      <c r="O4466" s="20">
        <v>30</v>
      </c>
      <c r="P4466" s="20">
        <v>30</v>
      </c>
      <c r="Q4466" s="20">
        <v>0</v>
      </c>
      <c r="R4466" s="21">
        <v>1</v>
      </c>
      <c r="S4466" s="20">
        <v>0</v>
      </c>
    </row>
    <row r="4467" spans="2:19" ht="15" customHeight="1" x14ac:dyDescent="0.25">
      <c r="B4467" s="2" t="str">
        <f t="shared" si="138"/>
        <v>NSG_Income Eligible_Multi-Family_Whole Building - DI_Unit Visit_0_MF</v>
      </c>
      <c r="C4467" s="2" t="str">
        <f t="shared" si="139"/>
        <v>NSG_Income Eligible_Multi-Family_Whole Building - DI_Unit Visit_0_MF_2024</v>
      </c>
      <c r="D4467" s="19" t="s">
        <v>1787</v>
      </c>
      <c r="E4467" s="19" t="s">
        <v>325</v>
      </c>
      <c r="F4467" s="19" t="s">
        <v>1422</v>
      </c>
      <c r="G4467" s="19" t="s">
        <v>1812</v>
      </c>
      <c r="H4467" s="19" t="s">
        <v>1090</v>
      </c>
      <c r="I4467" s="19">
        <v>0</v>
      </c>
      <c r="J4467" s="19">
        <v>0</v>
      </c>
      <c r="K4467" s="19" t="s">
        <v>553</v>
      </c>
      <c r="L4467" s="19">
        <v>2024</v>
      </c>
      <c r="M4467" s="20">
        <v>1</v>
      </c>
      <c r="N4467" s="19" t="s">
        <v>1798</v>
      </c>
      <c r="O4467" s="20">
        <v>30</v>
      </c>
      <c r="P4467" s="20">
        <v>30</v>
      </c>
      <c r="Q4467" s="20">
        <v>0</v>
      </c>
      <c r="R4467" s="21">
        <v>1</v>
      </c>
      <c r="S4467" s="20">
        <v>0</v>
      </c>
    </row>
    <row r="4468" spans="2:19" ht="15" customHeight="1" x14ac:dyDescent="0.25">
      <c r="B4468" s="2" t="str">
        <f t="shared" si="138"/>
        <v>NSG_Income Eligible_Multi-Family_Whole Building - DI_Unit Visit_0_MF</v>
      </c>
      <c r="C4468" s="2" t="str">
        <f t="shared" si="139"/>
        <v>NSG_Income Eligible_Multi-Family_Whole Building - DI_Unit Visit_0_MF_2025</v>
      </c>
      <c r="D4468" s="19" t="s">
        <v>1787</v>
      </c>
      <c r="E4468" s="19" t="s">
        <v>325</v>
      </c>
      <c r="F4468" s="19" t="s">
        <v>1422</v>
      </c>
      <c r="G4468" s="19" t="s">
        <v>1812</v>
      </c>
      <c r="H4468" s="19" t="s">
        <v>1090</v>
      </c>
      <c r="I4468" s="19">
        <v>0</v>
      </c>
      <c r="J4468" s="19">
        <v>0</v>
      </c>
      <c r="K4468" s="19" t="s">
        <v>553</v>
      </c>
      <c r="L4468" s="19">
        <v>2025</v>
      </c>
      <c r="M4468" s="20">
        <v>1</v>
      </c>
      <c r="N4468" s="19" t="s">
        <v>1798</v>
      </c>
      <c r="O4468" s="20">
        <v>30</v>
      </c>
      <c r="P4468" s="20">
        <v>30</v>
      </c>
      <c r="Q4468" s="20">
        <v>0</v>
      </c>
      <c r="R4468" s="21">
        <v>1</v>
      </c>
      <c r="S4468" s="20">
        <v>0</v>
      </c>
    </row>
    <row r="4469" spans="2:19" ht="15" customHeight="1" x14ac:dyDescent="0.25">
      <c r="B4469" s="2" t="str">
        <f t="shared" si="138"/>
        <v>NSG_Income Eligible_Multi-Family_Whole Building - DI_Low Flow Bathroom Aerator_0_MF</v>
      </c>
      <c r="C4469" s="2" t="str">
        <f t="shared" si="139"/>
        <v>NSG_Income Eligible_Multi-Family_Whole Building - DI_Low Flow Bathroom Aerator_0_MF_2022</v>
      </c>
      <c r="D4469" s="19" t="s">
        <v>1787</v>
      </c>
      <c r="E4469" s="19" t="s">
        <v>325</v>
      </c>
      <c r="F4469" s="19" t="s">
        <v>1422</v>
      </c>
      <c r="G4469" s="19" t="s">
        <v>1812</v>
      </c>
      <c r="H4469" s="19" t="s">
        <v>555</v>
      </c>
      <c r="I4469" s="19">
        <v>0</v>
      </c>
      <c r="J4469" s="19" t="s">
        <v>534</v>
      </c>
      <c r="K4469" s="19" t="s">
        <v>553</v>
      </c>
      <c r="L4469" s="19">
        <v>2022</v>
      </c>
      <c r="M4469" s="20">
        <v>1</v>
      </c>
      <c r="N4469" s="19" t="s">
        <v>1798</v>
      </c>
      <c r="O4469" s="20">
        <v>5</v>
      </c>
      <c r="P4469" s="20">
        <v>5</v>
      </c>
      <c r="Q4469" s="20">
        <v>7.8475604079600014</v>
      </c>
      <c r="R4469" s="21">
        <v>1</v>
      </c>
      <c r="S4469" s="20">
        <v>7.8475604079600014</v>
      </c>
    </row>
    <row r="4470" spans="2:19" ht="15" customHeight="1" x14ac:dyDescent="0.25">
      <c r="B4470" s="2" t="str">
        <f t="shared" si="138"/>
        <v>NSG_Income Eligible_Multi-Family_Whole Building - DI_Low Flow Bathroom Aerator_0_MF</v>
      </c>
      <c r="C4470" s="2" t="str">
        <f t="shared" si="139"/>
        <v>NSG_Income Eligible_Multi-Family_Whole Building - DI_Low Flow Bathroom Aerator_0_MF_2023</v>
      </c>
      <c r="D4470" s="19" t="s">
        <v>1787</v>
      </c>
      <c r="E4470" s="19" t="s">
        <v>325</v>
      </c>
      <c r="F4470" s="19" t="s">
        <v>1422</v>
      </c>
      <c r="G4470" s="19" t="s">
        <v>1812</v>
      </c>
      <c r="H4470" s="19" t="s">
        <v>555</v>
      </c>
      <c r="I4470" s="19">
        <v>0</v>
      </c>
      <c r="J4470" s="19" t="s">
        <v>534</v>
      </c>
      <c r="K4470" s="19" t="s">
        <v>553</v>
      </c>
      <c r="L4470" s="19">
        <v>2023</v>
      </c>
      <c r="M4470" s="20">
        <v>1</v>
      </c>
      <c r="N4470" s="19" t="s">
        <v>1798</v>
      </c>
      <c r="O4470" s="20">
        <v>5</v>
      </c>
      <c r="P4470" s="20">
        <v>5</v>
      </c>
      <c r="Q4470" s="20">
        <v>7.8475604079600014</v>
      </c>
      <c r="R4470" s="21">
        <v>1</v>
      </c>
      <c r="S4470" s="20">
        <v>7.8475604079600014</v>
      </c>
    </row>
    <row r="4471" spans="2:19" ht="15" customHeight="1" x14ac:dyDescent="0.25">
      <c r="B4471" s="2" t="str">
        <f t="shared" si="138"/>
        <v>NSG_Income Eligible_Multi-Family_Whole Building - DI_Low Flow Bathroom Aerator_0_MF</v>
      </c>
      <c r="C4471" s="2" t="str">
        <f t="shared" si="139"/>
        <v>NSG_Income Eligible_Multi-Family_Whole Building - DI_Low Flow Bathroom Aerator_0_MF_2024</v>
      </c>
      <c r="D4471" s="19" t="s">
        <v>1787</v>
      </c>
      <c r="E4471" s="19" t="s">
        <v>325</v>
      </c>
      <c r="F4471" s="19" t="s">
        <v>1422</v>
      </c>
      <c r="G4471" s="19" t="s">
        <v>1812</v>
      </c>
      <c r="H4471" s="19" t="s">
        <v>555</v>
      </c>
      <c r="I4471" s="19">
        <v>0</v>
      </c>
      <c r="J4471" s="19" t="s">
        <v>534</v>
      </c>
      <c r="K4471" s="19" t="s">
        <v>553</v>
      </c>
      <c r="L4471" s="19">
        <v>2024</v>
      </c>
      <c r="M4471" s="20">
        <v>1</v>
      </c>
      <c r="N4471" s="19" t="s">
        <v>1798</v>
      </c>
      <c r="O4471" s="20">
        <v>5</v>
      </c>
      <c r="P4471" s="20">
        <v>5</v>
      </c>
      <c r="Q4471" s="20">
        <v>7.8475604079600014</v>
      </c>
      <c r="R4471" s="21">
        <v>1</v>
      </c>
      <c r="S4471" s="20">
        <v>7.8475604079600014</v>
      </c>
    </row>
    <row r="4472" spans="2:19" ht="15" customHeight="1" x14ac:dyDescent="0.25">
      <c r="B4472" s="2" t="str">
        <f t="shared" si="138"/>
        <v>NSG_Income Eligible_Multi-Family_Whole Building - DI_Low Flow Bathroom Aerator_0_MF</v>
      </c>
      <c r="C4472" s="2" t="str">
        <f t="shared" si="139"/>
        <v>NSG_Income Eligible_Multi-Family_Whole Building - DI_Low Flow Bathroom Aerator_0_MF_2025</v>
      </c>
      <c r="D4472" s="19" t="s">
        <v>1787</v>
      </c>
      <c r="E4472" s="19" t="s">
        <v>325</v>
      </c>
      <c r="F4472" s="19" t="s">
        <v>1422</v>
      </c>
      <c r="G4472" s="19" t="s">
        <v>1812</v>
      </c>
      <c r="H4472" s="19" t="s">
        <v>555</v>
      </c>
      <c r="I4472" s="19">
        <v>0</v>
      </c>
      <c r="J4472" s="19" t="s">
        <v>534</v>
      </c>
      <c r="K4472" s="19" t="s">
        <v>553</v>
      </c>
      <c r="L4472" s="19">
        <v>2025</v>
      </c>
      <c r="M4472" s="20">
        <v>1</v>
      </c>
      <c r="N4472" s="19" t="s">
        <v>1798</v>
      </c>
      <c r="O4472" s="20">
        <v>5</v>
      </c>
      <c r="P4472" s="20">
        <v>5</v>
      </c>
      <c r="Q4472" s="20">
        <v>7.8475604079600014</v>
      </c>
      <c r="R4472" s="21">
        <v>1</v>
      </c>
      <c r="S4472" s="20">
        <v>7.8475604079600014</v>
      </c>
    </row>
    <row r="4473" spans="2:19" ht="15" customHeight="1" x14ac:dyDescent="0.25">
      <c r="B4473" s="2" t="str">
        <f t="shared" si="138"/>
        <v>NSG_Income Eligible_Multi-Family_Whole Building - DI_Low Flow Kitchen Aerator_0_MF</v>
      </c>
      <c r="C4473" s="2" t="str">
        <f t="shared" si="139"/>
        <v>NSG_Income Eligible_Multi-Family_Whole Building - DI_Low Flow Kitchen Aerator_0_MF_2022</v>
      </c>
      <c r="D4473" s="19" t="s">
        <v>1787</v>
      </c>
      <c r="E4473" s="19" t="s">
        <v>325</v>
      </c>
      <c r="F4473" s="19" t="s">
        <v>1422</v>
      </c>
      <c r="G4473" s="19" t="s">
        <v>1812</v>
      </c>
      <c r="H4473" s="19" t="s">
        <v>533</v>
      </c>
      <c r="I4473" s="19">
        <v>0</v>
      </c>
      <c r="J4473" s="19" t="s">
        <v>534</v>
      </c>
      <c r="K4473" s="19" t="s">
        <v>553</v>
      </c>
      <c r="L4473" s="19">
        <v>2022</v>
      </c>
      <c r="M4473" s="20">
        <v>1</v>
      </c>
      <c r="N4473" s="19" t="s">
        <v>1798</v>
      </c>
      <c r="O4473" s="20">
        <v>12</v>
      </c>
      <c r="P4473" s="20">
        <v>12</v>
      </c>
      <c r="Q4473" s="20">
        <v>94.335428317444084</v>
      </c>
      <c r="R4473" s="21">
        <v>1</v>
      </c>
      <c r="S4473" s="20">
        <v>94.335428317444084</v>
      </c>
    </row>
    <row r="4474" spans="2:19" ht="15" customHeight="1" x14ac:dyDescent="0.25">
      <c r="B4474" s="2" t="str">
        <f t="shared" si="138"/>
        <v>NSG_Income Eligible_Multi-Family_Whole Building - DI_Low Flow Kitchen Aerator_0_MF</v>
      </c>
      <c r="C4474" s="2" t="str">
        <f t="shared" si="139"/>
        <v>NSG_Income Eligible_Multi-Family_Whole Building - DI_Low Flow Kitchen Aerator_0_MF_2023</v>
      </c>
      <c r="D4474" s="19" t="s">
        <v>1787</v>
      </c>
      <c r="E4474" s="19" t="s">
        <v>325</v>
      </c>
      <c r="F4474" s="19" t="s">
        <v>1422</v>
      </c>
      <c r="G4474" s="19" t="s">
        <v>1812</v>
      </c>
      <c r="H4474" s="19" t="s">
        <v>533</v>
      </c>
      <c r="I4474" s="19">
        <v>0</v>
      </c>
      <c r="J4474" s="19" t="s">
        <v>534</v>
      </c>
      <c r="K4474" s="19" t="s">
        <v>553</v>
      </c>
      <c r="L4474" s="19">
        <v>2023</v>
      </c>
      <c r="M4474" s="20">
        <v>1</v>
      </c>
      <c r="N4474" s="19" t="s">
        <v>1798</v>
      </c>
      <c r="O4474" s="20">
        <v>12</v>
      </c>
      <c r="P4474" s="20">
        <v>12</v>
      </c>
      <c r="Q4474" s="20">
        <v>94.335428317444084</v>
      </c>
      <c r="R4474" s="21">
        <v>1</v>
      </c>
      <c r="S4474" s="20">
        <v>94.335428317444084</v>
      </c>
    </row>
    <row r="4475" spans="2:19" ht="15" customHeight="1" x14ac:dyDescent="0.25">
      <c r="B4475" s="2" t="str">
        <f t="shared" si="138"/>
        <v>NSG_Income Eligible_Multi-Family_Whole Building - DI_Low Flow Kitchen Aerator_0_MF</v>
      </c>
      <c r="C4475" s="2" t="str">
        <f t="shared" si="139"/>
        <v>NSG_Income Eligible_Multi-Family_Whole Building - DI_Low Flow Kitchen Aerator_0_MF_2024</v>
      </c>
      <c r="D4475" s="19" t="s">
        <v>1787</v>
      </c>
      <c r="E4475" s="19" t="s">
        <v>325</v>
      </c>
      <c r="F4475" s="19" t="s">
        <v>1422</v>
      </c>
      <c r="G4475" s="19" t="s">
        <v>1812</v>
      </c>
      <c r="H4475" s="19" t="s">
        <v>533</v>
      </c>
      <c r="I4475" s="19">
        <v>0</v>
      </c>
      <c r="J4475" s="19" t="s">
        <v>534</v>
      </c>
      <c r="K4475" s="19" t="s">
        <v>553</v>
      </c>
      <c r="L4475" s="19">
        <v>2024</v>
      </c>
      <c r="M4475" s="20">
        <v>1</v>
      </c>
      <c r="N4475" s="19" t="s">
        <v>1798</v>
      </c>
      <c r="O4475" s="20">
        <v>12</v>
      </c>
      <c r="P4475" s="20">
        <v>12</v>
      </c>
      <c r="Q4475" s="20">
        <v>94.335428317444084</v>
      </c>
      <c r="R4475" s="21">
        <v>1</v>
      </c>
      <c r="S4475" s="20">
        <v>94.335428317444084</v>
      </c>
    </row>
    <row r="4476" spans="2:19" ht="15" customHeight="1" x14ac:dyDescent="0.25">
      <c r="B4476" s="2" t="str">
        <f t="shared" si="138"/>
        <v>NSG_Income Eligible_Multi-Family_Whole Building - DI_Low Flow Kitchen Aerator_0_MF</v>
      </c>
      <c r="C4476" s="2" t="str">
        <f t="shared" si="139"/>
        <v>NSG_Income Eligible_Multi-Family_Whole Building - DI_Low Flow Kitchen Aerator_0_MF_2025</v>
      </c>
      <c r="D4476" s="19" t="s">
        <v>1787</v>
      </c>
      <c r="E4476" s="19" t="s">
        <v>325</v>
      </c>
      <c r="F4476" s="19" t="s">
        <v>1422</v>
      </c>
      <c r="G4476" s="19" t="s">
        <v>1812</v>
      </c>
      <c r="H4476" s="19" t="s">
        <v>533</v>
      </c>
      <c r="I4476" s="19">
        <v>0</v>
      </c>
      <c r="J4476" s="19" t="s">
        <v>534</v>
      </c>
      <c r="K4476" s="19" t="s">
        <v>553</v>
      </c>
      <c r="L4476" s="19">
        <v>2025</v>
      </c>
      <c r="M4476" s="20">
        <v>1</v>
      </c>
      <c r="N4476" s="19" t="s">
        <v>1798</v>
      </c>
      <c r="O4476" s="20">
        <v>12</v>
      </c>
      <c r="P4476" s="20">
        <v>12</v>
      </c>
      <c r="Q4476" s="20">
        <v>94.335428317444084</v>
      </c>
      <c r="R4476" s="21">
        <v>1</v>
      </c>
      <c r="S4476" s="20">
        <v>94.335428317444084</v>
      </c>
    </row>
    <row r="4477" spans="2:19" ht="15" customHeight="1" x14ac:dyDescent="0.25">
      <c r="B4477" s="2" t="str">
        <f t="shared" si="138"/>
        <v>NSG_Income Eligible_Multi-Family_Whole Building - DI_Low Flow Showerhead_0_MF</v>
      </c>
      <c r="C4477" s="2" t="str">
        <f t="shared" si="139"/>
        <v>NSG_Income Eligible_Multi-Family_Whole Building - DI_Low Flow Showerhead_0_MF_2022</v>
      </c>
      <c r="D4477" s="19" t="s">
        <v>1787</v>
      </c>
      <c r="E4477" s="19" t="s">
        <v>325</v>
      </c>
      <c r="F4477" s="19" t="s">
        <v>1422</v>
      </c>
      <c r="G4477" s="19" t="s">
        <v>1812</v>
      </c>
      <c r="H4477" s="19" t="s">
        <v>15</v>
      </c>
      <c r="I4477" s="19">
        <v>0</v>
      </c>
      <c r="J4477" s="19" t="s">
        <v>23</v>
      </c>
      <c r="K4477" s="19" t="s">
        <v>553</v>
      </c>
      <c r="L4477" s="19">
        <v>2022</v>
      </c>
      <c r="M4477" s="20">
        <v>1</v>
      </c>
      <c r="N4477" s="19" t="s">
        <v>1798</v>
      </c>
      <c r="O4477" s="20">
        <v>12</v>
      </c>
      <c r="P4477" s="20">
        <v>12</v>
      </c>
      <c r="Q4477" s="20">
        <v>135.82872766763998</v>
      </c>
      <c r="R4477" s="21">
        <v>1</v>
      </c>
      <c r="S4477" s="20">
        <v>135.82872766763998</v>
      </c>
    </row>
    <row r="4478" spans="2:19" ht="15" customHeight="1" x14ac:dyDescent="0.25">
      <c r="B4478" s="2" t="str">
        <f t="shared" si="138"/>
        <v>NSG_Income Eligible_Multi-Family_Whole Building - DI_Low Flow Showerhead_0_MF</v>
      </c>
      <c r="C4478" s="2" t="str">
        <f t="shared" si="139"/>
        <v>NSG_Income Eligible_Multi-Family_Whole Building - DI_Low Flow Showerhead_0_MF_2023</v>
      </c>
      <c r="D4478" s="19" t="s">
        <v>1787</v>
      </c>
      <c r="E4478" s="19" t="s">
        <v>325</v>
      </c>
      <c r="F4478" s="19" t="s">
        <v>1422</v>
      </c>
      <c r="G4478" s="19" t="s">
        <v>1812</v>
      </c>
      <c r="H4478" s="19" t="s">
        <v>15</v>
      </c>
      <c r="I4478" s="19">
        <v>0</v>
      </c>
      <c r="J4478" s="19" t="s">
        <v>23</v>
      </c>
      <c r="K4478" s="19" t="s">
        <v>553</v>
      </c>
      <c r="L4478" s="19">
        <v>2023</v>
      </c>
      <c r="M4478" s="20">
        <v>1</v>
      </c>
      <c r="N4478" s="19" t="s">
        <v>1798</v>
      </c>
      <c r="O4478" s="20">
        <v>12</v>
      </c>
      <c r="P4478" s="20">
        <v>12</v>
      </c>
      <c r="Q4478" s="20">
        <v>135.82872766763998</v>
      </c>
      <c r="R4478" s="21">
        <v>1</v>
      </c>
      <c r="S4478" s="20">
        <v>135.82872766763998</v>
      </c>
    </row>
    <row r="4479" spans="2:19" ht="15" customHeight="1" x14ac:dyDescent="0.25">
      <c r="B4479" s="2" t="str">
        <f t="shared" si="138"/>
        <v>NSG_Income Eligible_Multi-Family_Whole Building - DI_Low Flow Showerhead_0_MF</v>
      </c>
      <c r="C4479" s="2" t="str">
        <f t="shared" si="139"/>
        <v>NSG_Income Eligible_Multi-Family_Whole Building - DI_Low Flow Showerhead_0_MF_2024</v>
      </c>
      <c r="D4479" s="19" t="s">
        <v>1787</v>
      </c>
      <c r="E4479" s="19" t="s">
        <v>325</v>
      </c>
      <c r="F4479" s="19" t="s">
        <v>1422</v>
      </c>
      <c r="G4479" s="19" t="s">
        <v>1812</v>
      </c>
      <c r="H4479" s="19" t="s">
        <v>15</v>
      </c>
      <c r="I4479" s="19">
        <v>0</v>
      </c>
      <c r="J4479" s="19" t="s">
        <v>23</v>
      </c>
      <c r="K4479" s="19" t="s">
        <v>553</v>
      </c>
      <c r="L4479" s="19">
        <v>2024</v>
      </c>
      <c r="M4479" s="20">
        <v>1</v>
      </c>
      <c r="N4479" s="19" t="s">
        <v>1798</v>
      </c>
      <c r="O4479" s="20">
        <v>12</v>
      </c>
      <c r="P4479" s="20">
        <v>12</v>
      </c>
      <c r="Q4479" s="20">
        <v>135.82872766763998</v>
      </c>
      <c r="R4479" s="21">
        <v>1</v>
      </c>
      <c r="S4479" s="20">
        <v>135.82872766763998</v>
      </c>
    </row>
    <row r="4480" spans="2:19" ht="15" customHeight="1" x14ac:dyDescent="0.25">
      <c r="B4480" s="2" t="str">
        <f t="shared" si="138"/>
        <v>NSG_Income Eligible_Multi-Family_Whole Building - DI_Low Flow Showerhead_0_MF</v>
      </c>
      <c r="C4480" s="2" t="str">
        <f t="shared" si="139"/>
        <v>NSG_Income Eligible_Multi-Family_Whole Building - DI_Low Flow Showerhead_0_MF_2025</v>
      </c>
      <c r="D4480" s="19" t="s">
        <v>1787</v>
      </c>
      <c r="E4480" s="19" t="s">
        <v>325</v>
      </c>
      <c r="F4480" s="19" t="s">
        <v>1422</v>
      </c>
      <c r="G4480" s="19" t="s">
        <v>1812</v>
      </c>
      <c r="H4480" s="19" t="s">
        <v>15</v>
      </c>
      <c r="I4480" s="19">
        <v>0</v>
      </c>
      <c r="J4480" s="19" t="s">
        <v>23</v>
      </c>
      <c r="K4480" s="19" t="s">
        <v>553</v>
      </c>
      <c r="L4480" s="19">
        <v>2025</v>
      </c>
      <c r="M4480" s="20">
        <v>1</v>
      </c>
      <c r="N4480" s="19" t="s">
        <v>1798</v>
      </c>
      <c r="O4480" s="20">
        <v>12</v>
      </c>
      <c r="P4480" s="20">
        <v>12</v>
      </c>
      <c r="Q4480" s="20">
        <v>135.82872766763998</v>
      </c>
      <c r="R4480" s="21">
        <v>1</v>
      </c>
      <c r="S4480" s="20">
        <v>135.82872766763998</v>
      </c>
    </row>
    <row r="4481" spans="2:19" ht="15" customHeight="1" x14ac:dyDescent="0.25">
      <c r="B4481" s="2" t="str">
        <f t="shared" si="138"/>
        <v>NSG_Income Eligible_Multi-Family_Whole Building - DI_Pipe Insulation_DHW_MF</v>
      </c>
      <c r="C4481" s="2" t="str">
        <f t="shared" si="139"/>
        <v>NSG_Income Eligible_Multi-Family_Whole Building - DI_Pipe Insulation_DHW_MF_2022</v>
      </c>
      <c r="D4481" s="19" t="s">
        <v>1787</v>
      </c>
      <c r="E4481" s="19" t="s">
        <v>325</v>
      </c>
      <c r="F4481" s="19" t="s">
        <v>1422</v>
      </c>
      <c r="G4481" s="19" t="s">
        <v>1812</v>
      </c>
      <c r="H4481" s="19" t="s">
        <v>404</v>
      </c>
      <c r="I4481" s="19" t="s">
        <v>1019</v>
      </c>
      <c r="J4481" s="19" t="s">
        <v>1008</v>
      </c>
      <c r="K4481" s="19" t="s">
        <v>553</v>
      </c>
      <c r="L4481" s="19">
        <v>2022</v>
      </c>
      <c r="M4481" s="20">
        <v>3</v>
      </c>
      <c r="N4481" s="19" t="s">
        <v>616</v>
      </c>
      <c r="O4481" s="20">
        <v>15</v>
      </c>
      <c r="P4481" s="20">
        <v>45</v>
      </c>
      <c r="Q4481" s="20">
        <v>39.720001732742489</v>
      </c>
      <c r="R4481" s="21">
        <v>1</v>
      </c>
      <c r="S4481" s="20">
        <v>39.720001732742489</v>
      </c>
    </row>
    <row r="4482" spans="2:19" ht="15" customHeight="1" x14ac:dyDescent="0.25">
      <c r="B4482" s="2" t="str">
        <f t="shared" si="138"/>
        <v>NSG_Income Eligible_Multi-Family_Whole Building - DI_Pipe Insulation_DHW_MF</v>
      </c>
      <c r="C4482" s="2" t="str">
        <f t="shared" si="139"/>
        <v>NSG_Income Eligible_Multi-Family_Whole Building - DI_Pipe Insulation_DHW_MF_2023</v>
      </c>
      <c r="D4482" s="19" t="s">
        <v>1787</v>
      </c>
      <c r="E4482" s="19" t="s">
        <v>325</v>
      </c>
      <c r="F4482" s="19" t="s">
        <v>1422</v>
      </c>
      <c r="G4482" s="19" t="s">
        <v>1812</v>
      </c>
      <c r="H4482" s="19" t="s">
        <v>404</v>
      </c>
      <c r="I4482" s="19" t="s">
        <v>1019</v>
      </c>
      <c r="J4482" s="19" t="s">
        <v>1008</v>
      </c>
      <c r="K4482" s="19" t="s">
        <v>553</v>
      </c>
      <c r="L4482" s="19">
        <v>2023</v>
      </c>
      <c r="M4482" s="20">
        <v>3</v>
      </c>
      <c r="N4482" s="19" t="s">
        <v>616</v>
      </c>
      <c r="O4482" s="20">
        <v>15</v>
      </c>
      <c r="P4482" s="20">
        <v>45</v>
      </c>
      <c r="Q4482" s="20">
        <v>39.720001732742489</v>
      </c>
      <c r="R4482" s="21">
        <v>1</v>
      </c>
      <c r="S4482" s="20">
        <v>39.720001732742489</v>
      </c>
    </row>
    <row r="4483" spans="2:19" ht="15" customHeight="1" x14ac:dyDescent="0.25">
      <c r="B4483" s="2" t="str">
        <f t="shared" si="138"/>
        <v>NSG_Income Eligible_Multi-Family_Whole Building - DI_Pipe Insulation_DHW_MF</v>
      </c>
      <c r="C4483" s="2" t="str">
        <f t="shared" si="139"/>
        <v>NSG_Income Eligible_Multi-Family_Whole Building - DI_Pipe Insulation_DHW_MF_2024</v>
      </c>
      <c r="D4483" s="19" t="s">
        <v>1787</v>
      </c>
      <c r="E4483" s="19" t="s">
        <v>325</v>
      </c>
      <c r="F4483" s="19" t="s">
        <v>1422</v>
      </c>
      <c r="G4483" s="19" t="s">
        <v>1812</v>
      </c>
      <c r="H4483" s="19" t="s">
        <v>404</v>
      </c>
      <c r="I4483" s="19" t="s">
        <v>1019</v>
      </c>
      <c r="J4483" s="19" t="s">
        <v>1008</v>
      </c>
      <c r="K4483" s="19" t="s">
        <v>553</v>
      </c>
      <c r="L4483" s="19">
        <v>2024</v>
      </c>
      <c r="M4483" s="20">
        <v>3</v>
      </c>
      <c r="N4483" s="19" t="s">
        <v>616</v>
      </c>
      <c r="O4483" s="20">
        <v>15</v>
      </c>
      <c r="P4483" s="20">
        <v>45</v>
      </c>
      <c r="Q4483" s="20">
        <v>39.720001732742489</v>
      </c>
      <c r="R4483" s="21">
        <v>1</v>
      </c>
      <c r="S4483" s="20">
        <v>39.720001732742489</v>
      </c>
    </row>
    <row r="4484" spans="2:19" ht="15" customHeight="1" x14ac:dyDescent="0.25">
      <c r="B4484" s="2" t="str">
        <f t="shared" si="138"/>
        <v>NSG_Income Eligible_Multi-Family_Whole Building - DI_Pipe Insulation_DHW_MF</v>
      </c>
      <c r="C4484" s="2" t="str">
        <f t="shared" si="139"/>
        <v>NSG_Income Eligible_Multi-Family_Whole Building - DI_Pipe Insulation_DHW_MF_2025</v>
      </c>
      <c r="D4484" s="19" t="s">
        <v>1787</v>
      </c>
      <c r="E4484" s="19" t="s">
        <v>325</v>
      </c>
      <c r="F4484" s="19" t="s">
        <v>1422</v>
      </c>
      <c r="G4484" s="19" t="s">
        <v>1812</v>
      </c>
      <c r="H4484" s="19" t="s">
        <v>404</v>
      </c>
      <c r="I4484" s="19" t="s">
        <v>1019</v>
      </c>
      <c r="J4484" s="19" t="s">
        <v>1008</v>
      </c>
      <c r="K4484" s="19" t="s">
        <v>553</v>
      </c>
      <c r="L4484" s="19">
        <v>2025</v>
      </c>
      <c r="M4484" s="20">
        <v>3</v>
      </c>
      <c r="N4484" s="19" t="s">
        <v>616</v>
      </c>
      <c r="O4484" s="20">
        <v>15</v>
      </c>
      <c r="P4484" s="20">
        <v>45</v>
      </c>
      <c r="Q4484" s="20">
        <v>39.720001732742489</v>
      </c>
      <c r="R4484" s="21">
        <v>1</v>
      </c>
      <c r="S4484" s="20">
        <v>39.720001732742489</v>
      </c>
    </row>
    <row r="4485" spans="2:19" ht="15" customHeight="1" x14ac:dyDescent="0.25">
      <c r="B4485" s="2" t="str">
        <f t="shared" si="138"/>
        <v>NSG_Income Eligible_Multi-Family_Whole Building - DI_Pipe Insulation_Boiler_MF</v>
      </c>
      <c r="C4485" s="2" t="str">
        <f t="shared" si="139"/>
        <v>NSG_Income Eligible_Multi-Family_Whole Building - DI_Pipe Insulation_Boiler_MF_2022</v>
      </c>
      <c r="D4485" s="19" t="s">
        <v>1787</v>
      </c>
      <c r="E4485" s="19" t="s">
        <v>325</v>
      </c>
      <c r="F4485" s="19" t="s">
        <v>1422</v>
      </c>
      <c r="G4485" s="19" t="s">
        <v>1812</v>
      </c>
      <c r="H4485" s="19" t="s">
        <v>404</v>
      </c>
      <c r="I4485" s="19" t="s">
        <v>944</v>
      </c>
      <c r="J4485" s="19" t="s">
        <v>1008</v>
      </c>
      <c r="K4485" s="19" t="s">
        <v>553</v>
      </c>
      <c r="L4485" s="19">
        <v>2022</v>
      </c>
      <c r="M4485" s="20">
        <v>3</v>
      </c>
      <c r="N4485" s="19" t="s">
        <v>616</v>
      </c>
      <c r="O4485" s="20">
        <v>0</v>
      </c>
      <c r="P4485" s="20">
        <v>0</v>
      </c>
      <c r="Q4485" s="20">
        <v>0</v>
      </c>
      <c r="R4485" s="21">
        <v>1</v>
      </c>
      <c r="S4485" s="20">
        <v>0</v>
      </c>
    </row>
    <row r="4486" spans="2:19" ht="15" customHeight="1" x14ac:dyDescent="0.25">
      <c r="B4486" s="2" t="str">
        <f t="shared" ref="B4486:B4549" si="140">D4486&amp;"_"&amp;E4486&amp;"_"&amp;F4486&amp;"_"&amp;G4486&amp;"_"&amp;H4486&amp;"_"&amp;I4486&amp;"_"&amp;K4486</f>
        <v>NSG_Income Eligible_Multi-Family_Whole Building - DI_Pipe Insulation_Boiler_MF</v>
      </c>
      <c r="C4486" s="2" t="str">
        <f t="shared" ref="C4486:C4549" si="141">D4486&amp;"_"&amp;E4486&amp;"_"&amp;F4486&amp;"_"&amp;G4486&amp;"_"&amp;H4486&amp;"_"&amp;I4486&amp;"_"&amp;K4486&amp;"_"&amp;L4486</f>
        <v>NSG_Income Eligible_Multi-Family_Whole Building - DI_Pipe Insulation_Boiler_MF_2023</v>
      </c>
      <c r="D4486" s="19" t="s">
        <v>1787</v>
      </c>
      <c r="E4486" s="19" t="s">
        <v>325</v>
      </c>
      <c r="F4486" s="19" t="s">
        <v>1422</v>
      </c>
      <c r="G4486" s="19" t="s">
        <v>1812</v>
      </c>
      <c r="H4486" s="19" t="s">
        <v>404</v>
      </c>
      <c r="I4486" s="19" t="s">
        <v>944</v>
      </c>
      <c r="J4486" s="19" t="s">
        <v>1008</v>
      </c>
      <c r="K4486" s="19" t="s">
        <v>553</v>
      </c>
      <c r="L4486" s="19">
        <v>2023</v>
      </c>
      <c r="M4486" s="20">
        <v>3</v>
      </c>
      <c r="N4486" s="19" t="s">
        <v>616</v>
      </c>
      <c r="O4486" s="20">
        <v>0</v>
      </c>
      <c r="P4486" s="20">
        <v>0</v>
      </c>
      <c r="Q4486" s="20">
        <v>0</v>
      </c>
      <c r="R4486" s="21">
        <v>1</v>
      </c>
      <c r="S4486" s="20">
        <v>0</v>
      </c>
    </row>
    <row r="4487" spans="2:19" ht="15" customHeight="1" x14ac:dyDescent="0.25">
      <c r="B4487" s="2" t="str">
        <f t="shared" si="140"/>
        <v>NSG_Income Eligible_Multi-Family_Whole Building - DI_Pipe Insulation_Boiler_MF</v>
      </c>
      <c r="C4487" s="2" t="str">
        <f t="shared" si="141"/>
        <v>NSG_Income Eligible_Multi-Family_Whole Building - DI_Pipe Insulation_Boiler_MF_2024</v>
      </c>
      <c r="D4487" s="19" t="s">
        <v>1787</v>
      </c>
      <c r="E4487" s="19" t="s">
        <v>325</v>
      </c>
      <c r="F4487" s="19" t="s">
        <v>1422</v>
      </c>
      <c r="G4487" s="19" t="s">
        <v>1812</v>
      </c>
      <c r="H4487" s="19" t="s">
        <v>404</v>
      </c>
      <c r="I4487" s="19" t="s">
        <v>944</v>
      </c>
      <c r="J4487" s="19" t="s">
        <v>1008</v>
      </c>
      <c r="K4487" s="19" t="s">
        <v>553</v>
      </c>
      <c r="L4487" s="19">
        <v>2024</v>
      </c>
      <c r="M4487" s="20">
        <v>3</v>
      </c>
      <c r="N4487" s="19" t="s">
        <v>616</v>
      </c>
      <c r="O4487" s="20">
        <v>0</v>
      </c>
      <c r="P4487" s="20">
        <v>0</v>
      </c>
      <c r="Q4487" s="20">
        <v>0</v>
      </c>
      <c r="R4487" s="21">
        <v>1</v>
      </c>
      <c r="S4487" s="20">
        <v>0</v>
      </c>
    </row>
    <row r="4488" spans="2:19" ht="15" customHeight="1" x14ac:dyDescent="0.25">
      <c r="B4488" s="2" t="str">
        <f t="shared" si="140"/>
        <v>NSG_Income Eligible_Multi-Family_Whole Building - DI_Pipe Insulation_Boiler_MF</v>
      </c>
      <c r="C4488" s="2" t="str">
        <f t="shared" si="141"/>
        <v>NSG_Income Eligible_Multi-Family_Whole Building - DI_Pipe Insulation_Boiler_MF_2025</v>
      </c>
      <c r="D4488" s="19" t="s">
        <v>1787</v>
      </c>
      <c r="E4488" s="19" t="s">
        <v>325</v>
      </c>
      <c r="F4488" s="19" t="s">
        <v>1422</v>
      </c>
      <c r="G4488" s="19" t="s">
        <v>1812</v>
      </c>
      <c r="H4488" s="19" t="s">
        <v>404</v>
      </c>
      <c r="I4488" s="19" t="s">
        <v>944</v>
      </c>
      <c r="J4488" s="19" t="s">
        <v>1008</v>
      </c>
      <c r="K4488" s="19" t="s">
        <v>553</v>
      </c>
      <c r="L4488" s="19">
        <v>2025</v>
      </c>
      <c r="M4488" s="20">
        <v>3</v>
      </c>
      <c r="N4488" s="19" t="s">
        <v>616</v>
      </c>
      <c r="O4488" s="20">
        <v>0</v>
      </c>
      <c r="P4488" s="20">
        <v>0</v>
      </c>
      <c r="Q4488" s="20">
        <v>0</v>
      </c>
      <c r="R4488" s="21">
        <v>1</v>
      </c>
      <c r="S4488" s="20">
        <v>0</v>
      </c>
    </row>
    <row r="4489" spans="2:19" ht="15" customHeight="1" x14ac:dyDescent="0.25">
      <c r="B4489" s="2" t="str">
        <f t="shared" si="140"/>
        <v>NSG_Income Eligible_Multi-Family_Whole Building - DI_Programmable Thermostat_Furnace (DI)_MF</v>
      </c>
      <c r="C4489" s="2" t="str">
        <f t="shared" si="141"/>
        <v>NSG_Income Eligible_Multi-Family_Whole Building - DI_Programmable Thermostat_Furnace (DI)_MF_2022</v>
      </c>
      <c r="D4489" s="19" t="s">
        <v>1787</v>
      </c>
      <c r="E4489" s="19" t="s">
        <v>325</v>
      </c>
      <c r="F4489" s="19" t="s">
        <v>1422</v>
      </c>
      <c r="G4489" s="19" t="s">
        <v>1812</v>
      </c>
      <c r="H4489" s="19" t="s">
        <v>224</v>
      </c>
      <c r="I4489" s="19" t="s">
        <v>1038</v>
      </c>
      <c r="J4489" s="19" t="s">
        <v>24</v>
      </c>
      <c r="K4489" s="19" t="s">
        <v>553</v>
      </c>
      <c r="L4489" s="19">
        <v>2022</v>
      </c>
      <c r="M4489" s="20">
        <v>1</v>
      </c>
      <c r="N4489" s="19" t="s">
        <v>1798</v>
      </c>
      <c r="O4489" s="20">
        <v>2</v>
      </c>
      <c r="P4489" s="20">
        <v>2</v>
      </c>
      <c r="Q4489" s="20">
        <v>81.003</v>
      </c>
      <c r="R4489" s="21">
        <v>1</v>
      </c>
      <c r="S4489" s="20">
        <v>81.003</v>
      </c>
    </row>
    <row r="4490" spans="2:19" ht="15" customHeight="1" x14ac:dyDescent="0.25">
      <c r="B4490" s="2" t="str">
        <f t="shared" si="140"/>
        <v>NSG_Income Eligible_Multi-Family_Whole Building - DI_Programmable Thermostat_Furnace (DI)_MF</v>
      </c>
      <c r="C4490" s="2" t="str">
        <f t="shared" si="141"/>
        <v>NSG_Income Eligible_Multi-Family_Whole Building - DI_Programmable Thermostat_Furnace (DI)_MF_2023</v>
      </c>
      <c r="D4490" s="19" t="s">
        <v>1787</v>
      </c>
      <c r="E4490" s="19" t="s">
        <v>325</v>
      </c>
      <c r="F4490" s="19" t="s">
        <v>1422</v>
      </c>
      <c r="G4490" s="19" t="s">
        <v>1812</v>
      </c>
      <c r="H4490" s="19" t="s">
        <v>224</v>
      </c>
      <c r="I4490" s="19" t="s">
        <v>1038</v>
      </c>
      <c r="J4490" s="19" t="s">
        <v>24</v>
      </c>
      <c r="K4490" s="19" t="s">
        <v>553</v>
      </c>
      <c r="L4490" s="19">
        <v>2023</v>
      </c>
      <c r="M4490" s="20">
        <v>1</v>
      </c>
      <c r="N4490" s="19" t="s">
        <v>1798</v>
      </c>
      <c r="O4490" s="20">
        <v>2</v>
      </c>
      <c r="P4490" s="20">
        <v>2</v>
      </c>
      <c r="Q4490" s="20">
        <v>81.003</v>
      </c>
      <c r="R4490" s="21">
        <v>1</v>
      </c>
      <c r="S4490" s="20">
        <v>81.003</v>
      </c>
    </row>
    <row r="4491" spans="2:19" ht="15" customHeight="1" x14ac:dyDescent="0.25">
      <c r="B4491" s="2" t="str">
        <f t="shared" si="140"/>
        <v>NSG_Income Eligible_Multi-Family_Whole Building - DI_Programmable Thermostat_Furnace (DI)_MF</v>
      </c>
      <c r="C4491" s="2" t="str">
        <f t="shared" si="141"/>
        <v>NSG_Income Eligible_Multi-Family_Whole Building - DI_Programmable Thermostat_Furnace (DI)_MF_2024</v>
      </c>
      <c r="D4491" s="19" t="s">
        <v>1787</v>
      </c>
      <c r="E4491" s="19" t="s">
        <v>325</v>
      </c>
      <c r="F4491" s="19" t="s">
        <v>1422</v>
      </c>
      <c r="G4491" s="19" t="s">
        <v>1812</v>
      </c>
      <c r="H4491" s="19" t="s">
        <v>224</v>
      </c>
      <c r="I4491" s="19" t="s">
        <v>1038</v>
      </c>
      <c r="J4491" s="19" t="s">
        <v>24</v>
      </c>
      <c r="K4491" s="19" t="s">
        <v>553</v>
      </c>
      <c r="L4491" s="19">
        <v>2024</v>
      </c>
      <c r="M4491" s="20">
        <v>1</v>
      </c>
      <c r="N4491" s="19" t="s">
        <v>1798</v>
      </c>
      <c r="O4491" s="20">
        <v>2</v>
      </c>
      <c r="P4491" s="20">
        <v>2</v>
      </c>
      <c r="Q4491" s="20">
        <v>81.003</v>
      </c>
      <c r="R4491" s="21">
        <v>1</v>
      </c>
      <c r="S4491" s="20">
        <v>81.003</v>
      </c>
    </row>
    <row r="4492" spans="2:19" ht="15" customHeight="1" x14ac:dyDescent="0.25">
      <c r="B4492" s="2" t="str">
        <f t="shared" si="140"/>
        <v>NSG_Income Eligible_Multi-Family_Whole Building - DI_Programmable Thermostat_Furnace (DI)_MF</v>
      </c>
      <c r="C4492" s="2" t="str">
        <f t="shared" si="141"/>
        <v>NSG_Income Eligible_Multi-Family_Whole Building - DI_Programmable Thermostat_Furnace (DI)_MF_2025</v>
      </c>
      <c r="D4492" s="19" t="s">
        <v>1787</v>
      </c>
      <c r="E4492" s="19" t="s">
        <v>325</v>
      </c>
      <c r="F4492" s="19" t="s">
        <v>1422</v>
      </c>
      <c r="G4492" s="19" t="s">
        <v>1812</v>
      </c>
      <c r="H4492" s="19" t="s">
        <v>224</v>
      </c>
      <c r="I4492" s="19" t="s">
        <v>1038</v>
      </c>
      <c r="J4492" s="19" t="s">
        <v>24</v>
      </c>
      <c r="K4492" s="19" t="s">
        <v>553</v>
      </c>
      <c r="L4492" s="19">
        <v>2025</v>
      </c>
      <c r="M4492" s="20">
        <v>1</v>
      </c>
      <c r="N4492" s="19" t="s">
        <v>1798</v>
      </c>
      <c r="O4492" s="20">
        <v>2</v>
      </c>
      <c r="P4492" s="20">
        <v>2</v>
      </c>
      <c r="Q4492" s="20">
        <v>81.003</v>
      </c>
      <c r="R4492" s="21">
        <v>1</v>
      </c>
      <c r="S4492" s="20">
        <v>81.003</v>
      </c>
    </row>
    <row r="4493" spans="2:19" ht="15" customHeight="1" x14ac:dyDescent="0.25">
      <c r="B4493" s="2" t="str">
        <f t="shared" si="140"/>
        <v>NSG_Income Eligible_Multi-Family_Whole Building - DI_Programmable Thermostat_Boiler (DI)_MF</v>
      </c>
      <c r="C4493" s="2" t="str">
        <f t="shared" si="141"/>
        <v>NSG_Income Eligible_Multi-Family_Whole Building - DI_Programmable Thermostat_Boiler (DI)_MF_2022</v>
      </c>
      <c r="D4493" s="19" t="s">
        <v>1787</v>
      </c>
      <c r="E4493" s="19" t="s">
        <v>325</v>
      </c>
      <c r="F4493" s="19" t="s">
        <v>1422</v>
      </c>
      <c r="G4493" s="19" t="s">
        <v>1812</v>
      </c>
      <c r="H4493" s="19" t="s">
        <v>224</v>
      </c>
      <c r="I4493" s="19" t="s">
        <v>1045</v>
      </c>
      <c r="J4493" s="19" t="s">
        <v>24</v>
      </c>
      <c r="K4493" s="19" t="s">
        <v>553</v>
      </c>
      <c r="L4493" s="19">
        <v>2022</v>
      </c>
      <c r="M4493" s="20">
        <v>1</v>
      </c>
      <c r="N4493" s="19" t="s">
        <v>1798</v>
      </c>
      <c r="O4493" s="20">
        <v>0</v>
      </c>
      <c r="P4493" s="20">
        <v>0</v>
      </c>
      <c r="Q4493" s="20">
        <v>0</v>
      </c>
      <c r="R4493" s="21">
        <v>1</v>
      </c>
      <c r="S4493" s="20">
        <v>0</v>
      </c>
    </row>
    <row r="4494" spans="2:19" ht="15" customHeight="1" x14ac:dyDescent="0.25">
      <c r="B4494" s="2" t="str">
        <f t="shared" si="140"/>
        <v>NSG_Income Eligible_Multi-Family_Whole Building - DI_Programmable Thermostat_Boiler (DI)_MF</v>
      </c>
      <c r="C4494" s="2" t="str">
        <f t="shared" si="141"/>
        <v>NSG_Income Eligible_Multi-Family_Whole Building - DI_Programmable Thermostat_Boiler (DI)_MF_2023</v>
      </c>
      <c r="D4494" s="19" t="s">
        <v>1787</v>
      </c>
      <c r="E4494" s="19" t="s">
        <v>325</v>
      </c>
      <c r="F4494" s="19" t="s">
        <v>1422</v>
      </c>
      <c r="G4494" s="19" t="s">
        <v>1812</v>
      </c>
      <c r="H4494" s="19" t="s">
        <v>224</v>
      </c>
      <c r="I4494" s="19" t="s">
        <v>1045</v>
      </c>
      <c r="J4494" s="19" t="s">
        <v>24</v>
      </c>
      <c r="K4494" s="19" t="s">
        <v>553</v>
      </c>
      <c r="L4494" s="19">
        <v>2023</v>
      </c>
      <c r="M4494" s="20">
        <v>1</v>
      </c>
      <c r="N4494" s="19" t="s">
        <v>1798</v>
      </c>
      <c r="O4494" s="20">
        <v>0</v>
      </c>
      <c r="P4494" s="20">
        <v>0</v>
      </c>
      <c r="Q4494" s="20">
        <v>0</v>
      </c>
      <c r="R4494" s="21">
        <v>1</v>
      </c>
      <c r="S4494" s="20">
        <v>0</v>
      </c>
    </row>
    <row r="4495" spans="2:19" ht="15" customHeight="1" x14ac:dyDescent="0.25">
      <c r="B4495" s="2" t="str">
        <f t="shared" si="140"/>
        <v>NSG_Income Eligible_Multi-Family_Whole Building - DI_Programmable Thermostat_Boiler (DI)_MF</v>
      </c>
      <c r="C4495" s="2" t="str">
        <f t="shared" si="141"/>
        <v>NSG_Income Eligible_Multi-Family_Whole Building - DI_Programmable Thermostat_Boiler (DI)_MF_2024</v>
      </c>
      <c r="D4495" s="19" t="s">
        <v>1787</v>
      </c>
      <c r="E4495" s="19" t="s">
        <v>325</v>
      </c>
      <c r="F4495" s="19" t="s">
        <v>1422</v>
      </c>
      <c r="G4495" s="19" t="s">
        <v>1812</v>
      </c>
      <c r="H4495" s="19" t="s">
        <v>224</v>
      </c>
      <c r="I4495" s="19" t="s">
        <v>1045</v>
      </c>
      <c r="J4495" s="19" t="s">
        <v>24</v>
      </c>
      <c r="K4495" s="19" t="s">
        <v>553</v>
      </c>
      <c r="L4495" s="19">
        <v>2024</v>
      </c>
      <c r="M4495" s="20">
        <v>1</v>
      </c>
      <c r="N4495" s="19" t="s">
        <v>1798</v>
      </c>
      <c r="O4495" s="20">
        <v>0</v>
      </c>
      <c r="P4495" s="20">
        <v>0</v>
      </c>
      <c r="Q4495" s="20">
        <v>0</v>
      </c>
      <c r="R4495" s="21">
        <v>1</v>
      </c>
      <c r="S4495" s="20">
        <v>0</v>
      </c>
    </row>
    <row r="4496" spans="2:19" ht="15" customHeight="1" x14ac:dyDescent="0.25">
      <c r="B4496" s="2" t="str">
        <f t="shared" si="140"/>
        <v>NSG_Income Eligible_Multi-Family_Whole Building - DI_Programmable Thermostat_Boiler (DI)_MF</v>
      </c>
      <c r="C4496" s="2" t="str">
        <f t="shared" si="141"/>
        <v>NSG_Income Eligible_Multi-Family_Whole Building - DI_Programmable Thermostat_Boiler (DI)_MF_2025</v>
      </c>
      <c r="D4496" s="19" t="s">
        <v>1787</v>
      </c>
      <c r="E4496" s="19" t="s">
        <v>325</v>
      </c>
      <c r="F4496" s="19" t="s">
        <v>1422</v>
      </c>
      <c r="G4496" s="19" t="s">
        <v>1812</v>
      </c>
      <c r="H4496" s="19" t="s">
        <v>224</v>
      </c>
      <c r="I4496" s="19" t="s">
        <v>1045</v>
      </c>
      <c r="J4496" s="19" t="s">
        <v>24</v>
      </c>
      <c r="K4496" s="19" t="s">
        <v>553</v>
      </c>
      <c r="L4496" s="19">
        <v>2025</v>
      </c>
      <c r="M4496" s="20">
        <v>1</v>
      </c>
      <c r="N4496" s="19" t="s">
        <v>1798</v>
      </c>
      <c r="O4496" s="20">
        <v>0</v>
      </c>
      <c r="P4496" s="20">
        <v>0</v>
      </c>
      <c r="Q4496" s="20">
        <v>0</v>
      </c>
      <c r="R4496" s="21">
        <v>1</v>
      </c>
      <c r="S4496" s="20">
        <v>0</v>
      </c>
    </row>
    <row r="4497" spans="2:19" ht="15" customHeight="1" x14ac:dyDescent="0.25">
      <c r="B4497" s="2" t="str">
        <f t="shared" si="140"/>
        <v>NSG_Income Eligible_Multi-Family_Whole Building - DI_Advanced Thermostat_Furnace (Replace Manual)_MF</v>
      </c>
      <c r="C4497" s="2" t="str">
        <f t="shared" si="141"/>
        <v>NSG_Income Eligible_Multi-Family_Whole Building - DI_Advanced Thermostat_Furnace (Replace Manual)_MF_2022</v>
      </c>
      <c r="D4497" s="19" t="s">
        <v>1787</v>
      </c>
      <c r="E4497" s="19" t="s">
        <v>325</v>
      </c>
      <c r="F4497" s="19" t="s">
        <v>1422</v>
      </c>
      <c r="G4497" s="19" t="s">
        <v>1812</v>
      </c>
      <c r="H4497" s="19" t="s">
        <v>7</v>
      </c>
      <c r="I4497" s="19" t="s">
        <v>1047</v>
      </c>
      <c r="J4497" s="19" t="s">
        <v>24</v>
      </c>
      <c r="K4497" s="19" t="s">
        <v>553</v>
      </c>
      <c r="L4497" s="19">
        <v>2022</v>
      </c>
      <c r="M4497" s="20">
        <v>1</v>
      </c>
      <c r="N4497" s="19" t="s">
        <v>1798</v>
      </c>
      <c r="O4497" s="20">
        <v>1</v>
      </c>
      <c r="P4497" s="20">
        <v>1</v>
      </c>
      <c r="Q4497" s="20">
        <v>67.938000000000002</v>
      </c>
      <c r="R4497" s="21">
        <v>1</v>
      </c>
      <c r="S4497" s="20">
        <v>67.938000000000002</v>
      </c>
    </row>
    <row r="4498" spans="2:19" ht="15" customHeight="1" x14ac:dyDescent="0.25">
      <c r="B4498" s="2" t="str">
        <f t="shared" si="140"/>
        <v>NSG_Income Eligible_Multi-Family_Whole Building - DI_Advanced Thermostat_Furnace (Replace Manual)_MF</v>
      </c>
      <c r="C4498" s="2" t="str">
        <f t="shared" si="141"/>
        <v>NSG_Income Eligible_Multi-Family_Whole Building - DI_Advanced Thermostat_Furnace (Replace Manual)_MF_2023</v>
      </c>
      <c r="D4498" s="19" t="s">
        <v>1787</v>
      </c>
      <c r="E4498" s="19" t="s">
        <v>325</v>
      </c>
      <c r="F4498" s="19" t="s">
        <v>1422</v>
      </c>
      <c r="G4498" s="19" t="s">
        <v>1812</v>
      </c>
      <c r="H4498" s="19" t="s">
        <v>7</v>
      </c>
      <c r="I4498" s="19" t="s">
        <v>1047</v>
      </c>
      <c r="J4498" s="19" t="s">
        <v>24</v>
      </c>
      <c r="K4498" s="19" t="s">
        <v>553</v>
      </c>
      <c r="L4498" s="19">
        <v>2023</v>
      </c>
      <c r="M4498" s="20">
        <v>1</v>
      </c>
      <c r="N4498" s="19" t="s">
        <v>1798</v>
      </c>
      <c r="O4498" s="20">
        <v>1</v>
      </c>
      <c r="P4498" s="20">
        <v>1</v>
      </c>
      <c r="Q4498" s="20">
        <v>67.938000000000002</v>
      </c>
      <c r="R4498" s="21">
        <v>1</v>
      </c>
      <c r="S4498" s="20">
        <v>67.938000000000002</v>
      </c>
    </row>
    <row r="4499" spans="2:19" ht="15" customHeight="1" x14ac:dyDescent="0.25">
      <c r="B4499" s="2" t="str">
        <f t="shared" si="140"/>
        <v>NSG_Income Eligible_Multi-Family_Whole Building - DI_Advanced Thermostat_Furnace (Replace Manual)_MF</v>
      </c>
      <c r="C4499" s="2" t="str">
        <f t="shared" si="141"/>
        <v>NSG_Income Eligible_Multi-Family_Whole Building - DI_Advanced Thermostat_Furnace (Replace Manual)_MF_2024</v>
      </c>
      <c r="D4499" s="19" t="s">
        <v>1787</v>
      </c>
      <c r="E4499" s="19" t="s">
        <v>325</v>
      </c>
      <c r="F4499" s="19" t="s">
        <v>1422</v>
      </c>
      <c r="G4499" s="19" t="s">
        <v>1812</v>
      </c>
      <c r="H4499" s="19" t="s">
        <v>7</v>
      </c>
      <c r="I4499" s="19" t="s">
        <v>1047</v>
      </c>
      <c r="J4499" s="19" t="s">
        <v>24</v>
      </c>
      <c r="K4499" s="19" t="s">
        <v>553</v>
      </c>
      <c r="L4499" s="19">
        <v>2024</v>
      </c>
      <c r="M4499" s="20">
        <v>1</v>
      </c>
      <c r="N4499" s="19" t="s">
        <v>1798</v>
      </c>
      <c r="O4499" s="20">
        <v>1</v>
      </c>
      <c r="P4499" s="20">
        <v>1</v>
      </c>
      <c r="Q4499" s="20">
        <v>67.938000000000002</v>
      </c>
      <c r="R4499" s="21">
        <v>1</v>
      </c>
      <c r="S4499" s="20">
        <v>67.938000000000002</v>
      </c>
    </row>
    <row r="4500" spans="2:19" ht="15" customHeight="1" x14ac:dyDescent="0.25">
      <c r="B4500" s="2" t="str">
        <f t="shared" si="140"/>
        <v>NSG_Income Eligible_Multi-Family_Whole Building - DI_Advanced Thermostat_Furnace (Replace Manual)_MF</v>
      </c>
      <c r="C4500" s="2" t="str">
        <f t="shared" si="141"/>
        <v>NSG_Income Eligible_Multi-Family_Whole Building - DI_Advanced Thermostat_Furnace (Replace Manual)_MF_2025</v>
      </c>
      <c r="D4500" s="19" t="s">
        <v>1787</v>
      </c>
      <c r="E4500" s="19" t="s">
        <v>325</v>
      </c>
      <c r="F4500" s="19" t="s">
        <v>1422</v>
      </c>
      <c r="G4500" s="19" t="s">
        <v>1812</v>
      </c>
      <c r="H4500" s="19" t="s">
        <v>7</v>
      </c>
      <c r="I4500" s="19" t="s">
        <v>1047</v>
      </c>
      <c r="J4500" s="19" t="s">
        <v>24</v>
      </c>
      <c r="K4500" s="19" t="s">
        <v>553</v>
      </c>
      <c r="L4500" s="19">
        <v>2025</v>
      </c>
      <c r="M4500" s="20">
        <v>1</v>
      </c>
      <c r="N4500" s="19" t="s">
        <v>1798</v>
      </c>
      <c r="O4500" s="20">
        <v>1</v>
      </c>
      <c r="P4500" s="20">
        <v>1</v>
      </c>
      <c r="Q4500" s="20">
        <v>67.938000000000002</v>
      </c>
      <c r="R4500" s="21">
        <v>1</v>
      </c>
      <c r="S4500" s="20">
        <v>67.938000000000002</v>
      </c>
    </row>
    <row r="4501" spans="2:19" ht="15" customHeight="1" x14ac:dyDescent="0.25">
      <c r="B4501" s="2" t="str">
        <f t="shared" si="140"/>
        <v>NSG_Income Eligible_Multi-Family_Whole Building - DI_Advanced Thermostat_Boiler (Replace Manual)_MF</v>
      </c>
      <c r="C4501" s="2" t="str">
        <f t="shared" si="141"/>
        <v>NSG_Income Eligible_Multi-Family_Whole Building - DI_Advanced Thermostat_Boiler (Replace Manual)_MF_2022</v>
      </c>
      <c r="D4501" s="19" t="s">
        <v>1787</v>
      </c>
      <c r="E4501" s="19" t="s">
        <v>325</v>
      </c>
      <c r="F4501" s="19" t="s">
        <v>1422</v>
      </c>
      <c r="G4501" s="19" t="s">
        <v>1812</v>
      </c>
      <c r="H4501" s="19" t="s">
        <v>7</v>
      </c>
      <c r="I4501" s="19" t="s">
        <v>1051</v>
      </c>
      <c r="J4501" s="19" t="s">
        <v>24</v>
      </c>
      <c r="K4501" s="19" t="s">
        <v>553</v>
      </c>
      <c r="L4501" s="19">
        <v>2022</v>
      </c>
      <c r="M4501" s="20">
        <v>1</v>
      </c>
      <c r="N4501" s="19" t="s">
        <v>1798</v>
      </c>
      <c r="O4501" s="20">
        <v>0</v>
      </c>
      <c r="P4501" s="20">
        <v>0</v>
      </c>
      <c r="Q4501" s="20">
        <v>0</v>
      </c>
      <c r="R4501" s="21">
        <v>1</v>
      </c>
      <c r="S4501" s="20">
        <v>0</v>
      </c>
    </row>
    <row r="4502" spans="2:19" ht="15" customHeight="1" x14ac:dyDescent="0.25">
      <c r="B4502" s="2" t="str">
        <f t="shared" si="140"/>
        <v>NSG_Income Eligible_Multi-Family_Whole Building - DI_Advanced Thermostat_Boiler (Replace Manual)_MF</v>
      </c>
      <c r="C4502" s="2" t="str">
        <f t="shared" si="141"/>
        <v>NSG_Income Eligible_Multi-Family_Whole Building - DI_Advanced Thermostat_Boiler (Replace Manual)_MF_2023</v>
      </c>
      <c r="D4502" s="19" t="s">
        <v>1787</v>
      </c>
      <c r="E4502" s="19" t="s">
        <v>325</v>
      </c>
      <c r="F4502" s="19" t="s">
        <v>1422</v>
      </c>
      <c r="G4502" s="19" t="s">
        <v>1812</v>
      </c>
      <c r="H4502" s="19" t="s">
        <v>7</v>
      </c>
      <c r="I4502" s="19" t="s">
        <v>1051</v>
      </c>
      <c r="J4502" s="19" t="s">
        <v>24</v>
      </c>
      <c r="K4502" s="19" t="s">
        <v>553</v>
      </c>
      <c r="L4502" s="19">
        <v>2023</v>
      </c>
      <c r="M4502" s="20">
        <v>1</v>
      </c>
      <c r="N4502" s="19" t="s">
        <v>1798</v>
      </c>
      <c r="O4502" s="20">
        <v>0</v>
      </c>
      <c r="P4502" s="20">
        <v>0</v>
      </c>
      <c r="Q4502" s="20">
        <v>0</v>
      </c>
      <c r="R4502" s="21">
        <v>1</v>
      </c>
      <c r="S4502" s="20">
        <v>0</v>
      </c>
    </row>
    <row r="4503" spans="2:19" ht="15" customHeight="1" x14ac:dyDescent="0.25">
      <c r="B4503" s="2" t="str">
        <f t="shared" si="140"/>
        <v>NSG_Income Eligible_Multi-Family_Whole Building - DI_Advanced Thermostat_Boiler (Replace Manual)_MF</v>
      </c>
      <c r="C4503" s="2" t="str">
        <f t="shared" si="141"/>
        <v>NSG_Income Eligible_Multi-Family_Whole Building - DI_Advanced Thermostat_Boiler (Replace Manual)_MF_2024</v>
      </c>
      <c r="D4503" s="19" t="s">
        <v>1787</v>
      </c>
      <c r="E4503" s="19" t="s">
        <v>325</v>
      </c>
      <c r="F4503" s="19" t="s">
        <v>1422</v>
      </c>
      <c r="G4503" s="19" t="s">
        <v>1812</v>
      </c>
      <c r="H4503" s="19" t="s">
        <v>7</v>
      </c>
      <c r="I4503" s="19" t="s">
        <v>1051</v>
      </c>
      <c r="J4503" s="19" t="s">
        <v>24</v>
      </c>
      <c r="K4503" s="19" t="s">
        <v>553</v>
      </c>
      <c r="L4503" s="19">
        <v>2024</v>
      </c>
      <c r="M4503" s="20">
        <v>1</v>
      </c>
      <c r="N4503" s="19" t="s">
        <v>1798</v>
      </c>
      <c r="O4503" s="20">
        <v>0</v>
      </c>
      <c r="P4503" s="20">
        <v>0</v>
      </c>
      <c r="Q4503" s="20">
        <v>0</v>
      </c>
      <c r="R4503" s="21">
        <v>1</v>
      </c>
      <c r="S4503" s="20">
        <v>0</v>
      </c>
    </row>
    <row r="4504" spans="2:19" ht="15" customHeight="1" x14ac:dyDescent="0.25">
      <c r="B4504" s="2" t="str">
        <f t="shared" si="140"/>
        <v>NSG_Income Eligible_Multi-Family_Whole Building - DI_Advanced Thermostat_Boiler (Replace Manual)_MF</v>
      </c>
      <c r="C4504" s="2" t="str">
        <f t="shared" si="141"/>
        <v>NSG_Income Eligible_Multi-Family_Whole Building - DI_Advanced Thermostat_Boiler (Replace Manual)_MF_2025</v>
      </c>
      <c r="D4504" s="19" t="s">
        <v>1787</v>
      </c>
      <c r="E4504" s="19" t="s">
        <v>325</v>
      </c>
      <c r="F4504" s="19" t="s">
        <v>1422</v>
      </c>
      <c r="G4504" s="19" t="s">
        <v>1812</v>
      </c>
      <c r="H4504" s="19" t="s">
        <v>7</v>
      </c>
      <c r="I4504" s="19" t="s">
        <v>1051</v>
      </c>
      <c r="J4504" s="19" t="s">
        <v>24</v>
      </c>
      <c r="K4504" s="19" t="s">
        <v>553</v>
      </c>
      <c r="L4504" s="19">
        <v>2025</v>
      </c>
      <c r="M4504" s="20">
        <v>1</v>
      </c>
      <c r="N4504" s="19" t="s">
        <v>1798</v>
      </c>
      <c r="O4504" s="20">
        <v>0</v>
      </c>
      <c r="P4504" s="20">
        <v>0</v>
      </c>
      <c r="Q4504" s="20">
        <v>0</v>
      </c>
      <c r="R4504" s="21">
        <v>1</v>
      </c>
      <c r="S4504" s="20">
        <v>0</v>
      </c>
    </row>
    <row r="4505" spans="2:19" ht="15" customHeight="1" x14ac:dyDescent="0.25">
      <c r="B4505" s="2" t="str">
        <f t="shared" si="140"/>
        <v>NSG_Income Eligible_Multi-Family_Whole Building - DI_Advanced Thermostat_Furnace (Replace Programmable)_MF</v>
      </c>
      <c r="C4505" s="2" t="str">
        <f t="shared" si="141"/>
        <v>NSG_Income Eligible_Multi-Family_Whole Building - DI_Advanced Thermostat_Furnace (Replace Programmable)_MF_2022</v>
      </c>
      <c r="D4505" s="19" t="s">
        <v>1787</v>
      </c>
      <c r="E4505" s="19" t="s">
        <v>325</v>
      </c>
      <c r="F4505" s="19" t="s">
        <v>1422</v>
      </c>
      <c r="G4505" s="19" t="s">
        <v>1812</v>
      </c>
      <c r="H4505" s="19" t="s">
        <v>7</v>
      </c>
      <c r="I4505" s="19" t="s">
        <v>1049</v>
      </c>
      <c r="J4505" s="19" t="s">
        <v>24</v>
      </c>
      <c r="K4505" s="19" t="s">
        <v>553</v>
      </c>
      <c r="L4505" s="19">
        <v>2022</v>
      </c>
      <c r="M4505" s="20">
        <v>1</v>
      </c>
      <c r="N4505" s="19" t="s">
        <v>1798</v>
      </c>
      <c r="O4505" s="20">
        <v>0</v>
      </c>
      <c r="P4505" s="20">
        <v>0</v>
      </c>
      <c r="Q4505" s="20">
        <v>0</v>
      </c>
      <c r="R4505" s="21">
        <v>1</v>
      </c>
      <c r="S4505" s="20">
        <v>0</v>
      </c>
    </row>
    <row r="4506" spans="2:19" ht="15" customHeight="1" x14ac:dyDescent="0.25">
      <c r="B4506" s="2" t="str">
        <f t="shared" si="140"/>
        <v>NSG_Income Eligible_Multi-Family_Whole Building - DI_Advanced Thermostat_Furnace (Replace Programmable)_MF</v>
      </c>
      <c r="C4506" s="2" t="str">
        <f t="shared" si="141"/>
        <v>NSG_Income Eligible_Multi-Family_Whole Building - DI_Advanced Thermostat_Furnace (Replace Programmable)_MF_2023</v>
      </c>
      <c r="D4506" s="19" t="s">
        <v>1787</v>
      </c>
      <c r="E4506" s="19" t="s">
        <v>325</v>
      </c>
      <c r="F4506" s="19" t="s">
        <v>1422</v>
      </c>
      <c r="G4506" s="19" t="s">
        <v>1812</v>
      </c>
      <c r="H4506" s="19" t="s">
        <v>7</v>
      </c>
      <c r="I4506" s="19" t="s">
        <v>1049</v>
      </c>
      <c r="J4506" s="19" t="s">
        <v>24</v>
      </c>
      <c r="K4506" s="19" t="s">
        <v>553</v>
      </c>
      <c r="L4506" s="19">
        <v>2023</v>
      </c>
      <c r="M4506" s="20">
        <v>1</v>
      </c>
      <c r="N4506" s="19" t="s">
        <v>1798</v>
      </c>
      <c r="O4506" s="20">
        <v>0</v>
      </c>
      <c r="P4506" s="20">
        <v>0</v>
      </c>
      <c r="Q4506" s="20">
        <v>0</v>
      </c>
      <c r="R4506" s="21">
        <v>1</v>
      </c>
      <c r="S4506" s="20">
        <v>0</v>
      </c>
    </row>
    <row r="4507" spans="2:19" ht="15" customHeight="1" x14ac:dyDescent="0.25">
      <c r="B4507" s="2" t="str">
        <f t="shared" si="140"/>
        <v>NSG_Income Eligible_Multi-Family_Whole Building - DI_Advanced Thermostat_Furnace (Replace Programmable)_MF</v>
      </c>
      <c r="C4507" s="2" t="str">
        <f t="shared" si="141"/>
        <v>NSG_Income Eligible_Multi-Family_Whole Building - DI_Advanced Thermostat_Furnace (Replace Programmable)_MF_2024</v>
      </c>
      <c r="D4507" s="19" t="s">
        <v>1787</v>
      </c>
      <c r="E4507" s="19" t="s">
        <v>325</v>
      </c>
      <c r="F4507" s="19" t="s">
        <v>1422</v>
      </c>
      <c r="G4507" s="19" t="s">
        <v>1812</v>
      </c>
      <c r="H4507" s="19" t="s">
        <v>7</v>
      </c>
      <c r="I4507" s="19" t="s">
        <v>1049</v>
      </c>
      <c r="J4507" s="19" t="s">
        <v>24</v>
      </c>
      <c r="K4507" s="19" t="s">
        <v>553</v>
      </c>
      <c r="L4507" s="19">
        <v>2024</v>
      </c>
      <c r="M4507" s="20">
        <v>1</v>
      </c>
      <c r="N4507" s="19" t="s">
        <v>1798</v>
      </c>
      <c r="O4507" s="20">
        <v>0</v>
      </c>
      <c r="P4507" s="20">
        <v>0</v>
      </c>
      <c r="Q4507" s="20">
        <v>0</v>
      </c>
      <c r="R4507" s="21">
        <v>1</v>
      </c>
      <c r="S4507" s="20">
        <v>0</v>
      </c>
    </row>
    <row r="4508" spans="2:19" ht="15" customHeight="1" x14ac:dyDescent="0.25">
      <c r="B4508" s="2" t="str">
        <f t="shared" si="140"/>
        <v>NSG_Income Eligible_Multi-Family_Whole Building - DI_Advanced Thermostat_Furnace (Replace Programmable)_MF</v>
      </c>
      <c r="C4508" s="2" t="str">
        <f t="shared" si="141"/>
        <v>NSG_Income Eligible_Multi-Family_Whole Building - DI_Advanced Thermostat_Furnace (Replace Programmable)_MF_2025</v>
      </c>
      <c r="D4508" s="19" t="s">
        <v>1787</v>
      </c>
      <c r="E4508" s="19" t="s">
        <v>325</v>
      </c>
      <c r="F4508" s="19" t="s">
        <v>1422</v>
      </c>
      <c r="G4508" s="19" t="s">
        <v>1812</v>
      </c>
      <c r="H4508" s="19" t="s">
        <v>7</v>
      </c>
      <c r="I4508" s="19" t="s">
        <v>1049</v>
      </c>
      <c r="J4508" s="19" t="s">
        <v>24</v>
      </c>
      <c r="K4508" s="19" t="s">
        <v>553</v>
      </c>
      <c r="L4508" s="19">
        <v>2025</v>
      </c>
      <c r="M4508" s="20">
        <v>1</v>
      </c>
      <c r="N4508" s="19" t="s">
        <v>1798</v>
      </c>
      <c r="O4508" s="20">
        <v>0</v>
      </c>
      <c r="P4508" s="20">
        <v>0</v>
      </c>
      <c r="Q4508" s="20">
        <v>0</v>
      </c>
      <c r="R4508" s="21">
        <v>1</v>
      </c>
      <c r="S4508" s="20">
        <v>0</v>
      </c>
    </row>
    <row r="4509" spans="2:19" ht="15" customHeight="1" x14ac:dyDescent="0.25">
      <c r="B4509" s="2" t="str">
        <f t="shared" si="140"/>
        <v>NSG_Income Eligible_Multi-Family_Whole Building - DI_Advanced Thermostat_Boiler (Replace Programmable)_MF</v>
      </c>
      <c r="C4509" s="2" t="str">
        <f t="shared" si="141"/>
        <v>NSG_Income Eligible_Multi-Family_Whole Building - DI_Advanced Thermostat_Boiler (Replace Programmable)_MF_2022</v>
      </c>
      <c r="D4509" s="19" t="s">
        <v>1787</v>
      </c>
      <c r="E4509" s="19" t="s">
        <v>325</v>
      </c>
      <c r="F4509" s="19" t="s">
        <v>1422</v>
      </c>
      <c r="G4509" s="19" t="s">
        <v>1812</v>
      </c>
      <c r="H4509" s="19" t="s">
        <v>7</v>
      </c>
      <c r="I4509" s="19" t="s">
        <v>1052</v>
      </c>
      <c r="J4509" s="19" t="s">
        <v>24</v>
      </c>
      <c r="K4509" s="19" t="s">
        <v>553</v>
      </c>
      <c r="L4509" s="19">
        <v>2022</v>
      </c>
      <c r="M4509" s="20">
        <v>1</v>
      </c>
      <c r="N4509" s="19" t="s">
        <v>1798</v>
      </c>
      <c r="O4509" s="20">
        <v>0</v>
      </c>
      <c r="P4509" s="20">
        <v>0</v>
      </c>
      <c r="Q4509" s="20">
        <v>0</v>
      </c>
      <c r="R4509" s="21">
        <v>1</v>
      </c>
      <c r="S4509" s="20">
        <v>0</v>
      </c>
    </row>
    <row r="4510" spans="2:19" ht="15" customHeight="1" x14ac:dyDescent="0.25">
      <c r="B4510" s="2" t="str">
        <f t="shared" si="140"/>
        <v>NSG_Income Eligible_Multi-Family_Whole Building - DI_Advanced Thermostat_Boiler (Replace Programmable)_MF</v>
      </c>
      <c r="C4510" s="2" t="str">
        <f t="shared" si="141"/>
        <v>NSG_Income Eligible_Multi-Family_Whole Building - DI_Advanced Thermostat_Boiler (Replace Programmable)_MF_2023</v>
      </c>
      <c r="D4510" s="19" t="s">
        <v>1787</v>
      </c>
      <c r="E4510" s="19" t="s">
        <v>325</v>
      </c>
      <c r="F4510" s="19" t="s">
        <v>1422</v>
      </c>
      <c r="G4510" s="19" t="s">
        <v>1812</v>
      </c>
      <c r="H4510" s="19" t="s">
        <v>7</v>
      </c>
      <c r="I4510" s="19" t="s">
        <v>1052</v>
      </c>
      <c r="J4510" s="19" t="s">
        <v>24</v>
      </c>
      <c r="K4510" s="19" t="s">
        <v>553</v>
      </c>
      <c r="L4510" s="19">
        <v>2023</v>
      </c>
      <c r="M4510" s="20">
        <v>1</v>
      </c>
      <c r="N4510" s="19" t="s">
        <v>1798</v>
      </c>
      <c r="O4510" s="20">
        <v>0</v>
      </c>
      <c r="P4510" s="20">
        <v>0</v>
      </c>
      <c r="Q4510" s="20">
        <v>0</v>
      </c>
      <c r="R4510" s="21">
        <v>1</v>
      </c>
      <c r="S4510" s="20">
        <v>0</v>
      </c>
    </row>
    <row r="4511" spans="2:19" ht="15" customHeight="1" x14ac:dyDescent="0.25">
      <c r="B4511" s="2" t="str">
        <f t="shared" si="140"/>
        <v>NSG_Income Eligible_Multi-Family_Whole Building - DI_Advanced Thermostat_Boiler (Replace Programmable)_MF</v>
      </c>
      <c r="C4511" s="2" t="str">
        <f t="shared" si="141"/>
        <v>NSG_Income Eligible_Multi-Family_Whole Building - DI_Advanced Thermostat_Boiler (Replace Programmable)_MF_2024</v>
      </c>
      <c r="D4511" s="19" t="s">
        <v>1787</v>
      </c>
      <c r="E4511" s="19" t="s">
        <v>325</v>
      </c>
      <c r="F4511" s="19" t="s">
        <v>1422</v>
      </c>
      <c r="G4511" s="19" t="s">
        <v>1812</v>
      </c>
      <c r="H4511" s="19" t="s">
        <v>7</v>
      </c>
      <c r="I4511" s="19" t="s">
        <v>1052</v>
      </c>
      <c r="J4511" s="19" t="s">
        <v>24</v>
      </c>
      <c r="K4511" s="19" t="s">
        <v>553</v>
      </c>
      <c r="L4511" s="19">
        <v>2024</v>
      </c>
      <c r="M4511" s="20">
        <v>1</v>
      </c>
      <c r="N4511" s="19" t="s">
        <v>1798</v>
      </c>
      <c r="O4511" s="20">
        <v>0</v>
      </c>
      <c r="P4511" s="20">
        <v>0</v>
      </c>
      <c r="Q4511" s="20">
        <v>0</v>
      </c>
      <c r="R4511" s="21">
        <v>1</v>
      </c>
      <c r="S4511" s="20">
        <v>0</v>
      </c>
    </row>
    <row r="4512" spans="2:19" ht="15" customHeight="1" x14ac:dyDescent="0.25">
      <c r="B4512" s="2" t="str">
        <f t="shared" si="140"/>
        <v>NSG_Income Eligible_Multi-Family_Whole Building - DI_Advanced Thermostat_Boiler (Replace Programmable)_MF</v>
      </c>
      <c r="C4512" s="2" t="str">
        <f t="shared" si="141"/>
        <v>NSG_Income Eligible_Multi-Family_Whole Building - DI_Advanced Thermostat_Boiler (Replace Programmable)_MF_2025</v>
      </c>
      <c r="D4512" s="19" t="s">
        <v>1787</v>
      </c>
      <c r="E4512" s="19" t="s">
        <v>325</v>
      </c>
      <c r="F4512" s="19" t="s">
        <v>1422</v>
      </c>
      <c r="G4512" s="19" t="s">
        <v>1812</v>
      </c>
      <c r="H4512" s="19" t="s">
        <v>7</v>
      </c>
      <c r="I4512" s="19" t="s">
        <v>1052</v>
      </c>
      <c r="J4512" s="19" t="s">
        <v>24</v>
      </c>
      <c r="K4512" s="19" t="s">
        <v>553</v>
      </c>
      <c r="L4512" s="19">
        <v>2025</v>
      </c>
      <c r="M4512" s="20">
        <v>1</v>
      </c>
      <c r="N4512" s="19" t="s">
        <v>1798</v>
      </c>
      <c r="O4512" s="20">
        <v>0</v>
      </c>
      <c r="P4512" s="20">
        <v>0</v>
      </c>
      <c r="Q4512" s="20">
        <v>0</v>
      </c>
      <c r="R4512" s="21">
        <v>1</v>
      </c>
      <c r="S4512" s="20">
        <v>0</v>
      </c>
    </row>
    <row r="4513" spans="2:19" ht="15" customHeight="1" x14ac:dyDescent="0.25">
      <c r="B4513" s="2" t="str">
        <f t="shared" si="140"/>
        <v>NSG_Income Eligible_Multi-Family_Whole Building - DI_Thermostat - Reprogram_Furnace (DI)_MF</v>
      </c>
      <c r="C4513" s="2" t="str">
        <f t="shared" si="141"/>
        <v>NSG_Income Eligible_Multi-Family_Whole Building - DI_Thermostat - Reprogram_Furnace (DI)_MF_2022</v>
      </c>
      <c r="D4513" s="19" t="s">
        <v>1787</v>
      </c>
      <c r="E4513" s="19" t="s">
        <v>325</v>
      </c>
      <c r="F4513" s="19" t="s">
        <v>1422</v>
      </c>
      <c r="G4513" s="19" t="s">
        <v>1812</v>
      </c>
      <c r="H4513" s="19" t="s">
        <v>1055</v>
      </c>
      <c r="I4513" s="19" t="s">
        <v>1038</v>
      </c>
      <c r="J4513" s="19" t="s">
        <v>24</v>
      </c>
      <c r="K4513" s="19" t="s">
        <v>553</v>
      </c>
      <c r="L4513" s="19">
        <v>2022</v>
      </c>
      <c r="M4513" s="20">
        <v>1</v>
      </c>
      <c r="N4513" s="19" t="s">
        <v>1798</v>
      </c>
      <c r="O4513" s="20">
        <v>0</v>
      </c>
      <c r="P4513" s="20">
        <v>0</v>
      </c>
      <c r="Q4513" s="20">
        <v>0</v>
      </c>
      <c r="R4513" s="21">
        <v>1</v>
      </c>
      <c r="S4513" s="20">
        <v>0</v>
      </c>
    </row>
    <row r="4514" spans="2:19" ht="15" customHeight="1" x14ac:dyDescent="0.25">
      <c r="B4514" s="2" t="str">
        <f t="shared" si="140"/>
        <v>NSG_Income Eligible_Multi-Family_Whole Building - DI_Thermostat - Reprogram_Furnace (DI)_MF</v>
      </c>
      <c r="C4514" s="2" t="str">
        <f t="shared" si="141"/>
        <v>NSG_Income Eligible_Multi-Family_Whole Building - DI_Thermostat - Reprogram_Furnace (DI)_MF_2023</v>
      </c>
      <c r="D4514" s="19" t="s">
        <v>1787</v>
      </c>
      <c r="E4514" s="19" t="s">
        <v>325</v>
      </c>
      <c r="F4514" s="19" t="s">
        <v>1422</v>
      </c>
      <c r="G4514" s="19" t="s">
        <v>1812</v>
      </c>
      <c r="H4514" s="19" t="s">
        <v>1055</v>
      </c>
      <c r="I4514" s="19" t="s">
        <v>1038</v>
      </c>
      <c r="J4514" s="19" t="s">
        <v>24</v>
      </c>
      <c r="K4514" s="19" t="s">
        <v>553</v>
      </c>
      <c r="L4514" s="19">
        <v>2023</v>
      </c>
      <c r="M4514" s="20">
        <v>1</v>
      </c>
      <c r="N4514" s="19" t="s">
        <v>1798</v>
      </c>
      <c r="O4514" s="20">
        <v>0</v>
      </c>
      <c r="P4514" s="20">
        <v>0</v>
      </c>
      <c r="Q4514" s="20">
        <v>0</v>
      </c>
      <c r="R4514" s="21">
        <v>1</v>
      </c>
      <c r="S4514" s="20">
        <v>0</v>
      </c>
    </row>
    <row r="4515" spans="2:19" ht="15" customHeight="1" x14ac:dyDescent="0.25">
      <c r="B4515" s="2" t="str">
        <f t="shared" si="140"/>
        <v>NSG_Income Eligible_Multi-Family_Whole Building - DI_Thermostat - Reprogram_Furnace (DI)_MF</v>
      </c>
      <c r="C4515" s="2" t="str">
        <f t="shared" si="141"/>
        <v>NSG_Income Eligible_Multi-Family_Whole Building - DI_Thermostat - Reprogram_Furnace (DI)_MF_2024</v>
      </c>
      <c r="D4515" s="19" t="s">
        <v>1787</v>
      </c>
      <c r="E4515" s="19" t="s">
        <v>325</v>
      </c>
      <c r="F4515" s="19" t="s">
        <v>1422</v>
      </c>
      <c r="G4515" s="19" t="s">
        <v>1812</v>
      </c>
      <c r="H4515" s="19" t="s">
        <v>1055</v>
      </c>
      <c r="I4515" s="19" t="s">
        <v>1038</v>
      </c>
      <c r="J4515" s="19" t="s">
        <v>24</v>
      </c>
      <c r="K4515" s="19" t="s">
        <v>553</v>
      </c>
      <c r="L4515" s="19">
        <v>2024</v>
      </c>
      <c r="M4515" s="20">
        <v>1</v>
      </c>
      <c r="N4515" s="19" t="s">
        <v>1798</v>
      </c>
      <c r="O4515" s="20">
        <v>0</v>
      </c>
      <c r="P4515" s="20">
        <v>0</v>
      </c>
      <c r="Q4515" s="20">
        <v>0</v>
      </c>
      <c r="R4515" s="21">
        <v>1</v>
      </c>
      <c r="S4515" s="20">
        <v>0</v>
      </c>
    </row>
    <row r="4516" spans="2:19" ht="15" customHeight="1" x14ac:dyDescent="0.25">
      <c r="B4516" s="2" t="str">
        <f t="shared" si="140"/>
        <v>NSG_Income Eligible_Multi-Family_Whole Building - DI_Thermostat - Reprogram_Furnace (DI)_MF</v>
      </c>
      <c r="C4516" s="2" t="str">
        <f t="shared" si="141"/>
        <v>NSG_Income Eligible_Multi-Family_Whole Building - DI_Thermostat - Reprogram_Furnace (DI)_MF_2025</v>
      </c>
      <c r="D4516" s="19" t="s">
        <v>1787</v>
      </c>
      <c r="E4516" s="19" t="s">
        <v>325</v>
      </c>
      <c r="F4516" s="19" t="s">
        <v>1422</v>
      </c>
      <c r="G4516" s="19" t="s">
        <v>1812</v>
      </c>
      <c r="H4516" s="19" t="s">
        <v>1055</v>
      </c>
      <c r="I4516" s="19" t="s">
        <v>1038</v>
      </c>
      <c r="J4516" s="19" t="s">
        <v>24</v>
      </c>
      <c r="K4516" s="19" t="s">
        <v>553</v>
      </c>
      <c r="L4516" s="19">
        <v>2025</v>
      </c>
      <c r="M4516" s="20">
        <v>1</v>
      </c>
      <c r="N4516" s="19" t="s">
        <v>1798</v>
      </c>
      <c r="O4516" s="20">
        <v>0</v>
      </c>
      <c r="P4516" s="20">
        <v>0</v>
      </c>
      <c r="Q4516" s="20">
        <v>0</v>
      </c>
      <c r="R4516" s="21">
        <v>1</v>
      </c>
      <c r="S4516" s="20">
        <v>0</v>
      </c>
    </row>
    <row r="4517" spans="2:19" ht="15" customHeight="1" x14ac:dyDescent="0.25">
      <c r="B4517" s="2" t="str">
        <f t="shared" si="140"/>
        <v>NSG_Income Eligible_Multi-Family_Whole Building - DI_Thermostat - Reprogram_Boiler (DI)_MF</v>
      </c>
      <c r="C4517" s="2" t="str">
        <f t="shared" si="141"/>
        <v>NSG_Income Eligible_Multi-Family_Whole Building - DI_Thermostat - Reprogram_Boiler (DI)_MF_2022</v>
      </c>
      <c r="D4517" s="19" t="s">
        <v>1787</v>
      </c>
      <c r="E4517" s="19" t="s">
        <v>325</v>
      </c>
      <c r="F4517" s="19" t="s">
        <v>1422</v>
      </c>
      <c r="G4517" s="19" t="s">
        <v>1812</v>
      </c>
      <c r="H4517" s="19" t="s">
        <v>1055</v>
      </c>
      <c r="I4517" s="19" t="s">
        <v>1045</v>
      </c>
      <c r="J4517" s="19" t="s">
        <v>24</v>
      </c>
      <c r="K4517" s="19" t="s">
        <v>553</v>
      </c>
      <c r="L4517" s="19">
        <v>2022</v>
      </c>
      <c r="M4517" s="20">
        <v>1</v>
      </c>
      <c r="N4517" s="19" t="s">
        <v>1798</v>
      </c>
      <c r="O4517" s="20">
        <v>0</v>
      </c>
      <c r="P4517" s="20">
        <v>0</v>
      </c>
      <c r="Q4517" s="20">
        <v>0</v>
      </c>
      <c r="R4517" s="21">
        <v>1</v>
      </c>
      <c r="S4517" s="20">
        <v>0</v>
      </c>
    </row>
    <row r="4518" spans="2:19" ht="15" customHeight="1" x14ac:dyDescent="0.25">
      <c r="B4518" s="2" t="str">
        <f t="shared" si="140"/>
        <v>NSG_Income Eligible_Multi-Family_Whole Building - DI_Thermostat - Reprogram_Boiler (DI)_MF</v>
      </c>
      <c r="C4518" s="2" t="str">
        <f t="shared" si="141"/>
        <v>NSG_Income Eligible_Multi-Family_Whole Building - DI_Thermostat - Reprogram_Boiler (DI)_MF_2023</v>
      </c>
      <c r="D4518" s="19" t="s">
        <v>1787</v>
      </c>
      <c r="E4518" s="19" t="s">
        <v>325</v>
      </c>
      <c r="F4518" s="19" t="s">
        <v>1422</v>
      </c>
      <c r="G4518" s="19" t="s">
        <v>1812</v>
      </c>
      <c r="H4518" s="19" t="s">
        <v>1055</v>
      </c>
      <c r="I4518" s="19" t="s">
        <v>1045</v>
      </c>
      <c r="J4518" s="19" t="s">
        <v>24</v>
      </c>
      <c r="K4518" s="19" t="s">
        <v>553</v>
      </c>
      <c r="L4518" s="19">
        <v>2023</v>
      </c>
      <c r="M4518" s="20">
        <v>1</v>
      </c>
      <c r="N4518" s="19" t="s">
        <v>1798</v>
      </c>
      <c r="O4518" s="20">
        <v>0</v>
      </c>
      <c r="P4518" s="20">
        <v>0</v>
      </c>
      <c r="Q4518" s="20">
        <v>0</v>
      </c>
      <c r="R4518" s="21">
        <v>1</v>
      </c>
      <c r="S4518" s="20">
        <v>0</v>
      </c>
    </row>
    <row r="4519" spans="2:19" ht="15" customHeight="1" x14ac:dyDescent="0.25">
      <c r="B4519" s="2" t="str">
        <f t="shared" si="140"/>
        <v>NSG_Income Eligible_Multi-Family_Whole Building - DI_Thermostat - Reprogram_Boiler (DI)_MF</v>
      </c>
      <c r="C4519" s="2" t="str">
        <f t="shared" si="141"/>
        <v>NSG_Income Eligible_Multi-Family_Whole Building - DI_Thermostat - Reprogram_Boiler (DI)_MF_2024</v>
      </c>
      <c r="D4519" s="19" t="s">
        <v>1787</v>
      </c>
      <c r="E4519" s="19" t="s">
        <v>325</v>
      </c>
      <c r="F4519" s="19" t="s">
        <v>1422</v>
      </c>
      <c r="G4519" s="19" t="s">
        <v>1812</v>
      </c>
      <c r="H4519" s="19" t="s">
        <v>1055</v>
      </c>
      <c r="I4519" s="19" t="s">
        <v>1045</v>
      </c>
      <c r="J4519" s="19" t="s">
        <v>24</v>
      </c>
      <c r="K4519" s="19" t="s">
        <v>553</v>
      </c>
      <c r="L4519" s="19">
        <v>2024</v>
      </c>
      <c r="M4519" s="20">
        <v>1</v>
      </c>
      <c r="N4519" s="19" t="s">
        <v>1798</v>
      </c>
      <c r="O4519" s="20">
        <v>0</v>
      </c>
      <c r="P4519" s="20">
        <v>0</v>
      </c>
      <c r="Q4519" s="20">
        <v>0</v>
      </c>
      <c r="R4519" s="21">
        <v>1</v>
      </c>
      <c r="S4519" s="20">
        <v>0</v>
      </c>
    </row>
    <row r="4520" spans="2:19" ht="15" customHeight="1" x14ac:dyDescent="0.25">
      <c r="B4520" s="2" t="str">
        <f t="shared" si="140"/>
        <v>NSG_Income Eligible_Multi-Family_Whole Building - DI_Thermostat - Reprogram_Boiler (DI)_MF</v>
      </c>
      <c r="C4520" s="2" t="str">
        <f t="shared" si="141"/>
        <v>NSG_Income Eligible_Multi-Family_Whole Building - DI_Thermostat - Reprogram_Boiler (DI)_MF_2025</v>
      </c>
      <c r="D4520" s="19" t="s">
        <v>1787</v>
      </c>
      <c r="E4520" s="19" t="s">
        <v>325</v>
      </c>
      <c r="F4520" s="19" t="s">
        <v>1422</v>
      </c>
      <c r="G4520" s="19" t="s">
        <v>1812</v>
      </c>
      <c r="H4520" s="19" t="s">
        <v>1055</v>
      </c>
      <c r="I4520" s="19" t="s">
        <v>1045</v>
      </c>
      <c r="J4520" s="19" t="s">
        <v>24</v>
      </c>
      <c r="K4520" s="19" t="s">
        <v>553</v>
      </c>
      <c r="L4520" s="19">
        <v>2025</v>
      </c>
      <c r="M4520" s="20">
        <v>1</v>
      </c>
      <c r="N4520" s="19" t="s">
        <v>1798</v>
      </c>
      <c r="O4520" s="20">
        <v>0</v>
      </c>
      <c r="P4520" s="20">
        <v>0</v>
      </c>
      <c r="Q4520" s="20">
        <v>0</v>
      </c>
      <c r="R4520" s="21">
        <v>1</v>
      </c>
      <c r="S4520" s="20">
        <v>0</v>
      </c>
    </row>
    <row r="4521" spans="2:19" ht="15" customHeight="1" x14ac:dyDescent="0.25">
      <c r="B4521" s="2" t="str">
        <f t="shared" si="140"/>
        <v>NSG_Income Eligible_Multi-Family_Whole Building - Prescriptive_Air Sealing_0_MF</v>
      </c>
      <c r="C4521" s="2" t="str">
        <f t="shared" si="141"/>
        <v>NSG_Income Eligible_Multi-Family_Whole Building - Prescriptive_Air Sealing_0_MF_2022</v>
      </c>
      <c r="D4521" s="19" t="s">
        <v>1787</v>
      </c>
      <c r="E4521" s="19" t="s">
        <v>325</v>
      </c>
      <c r="F4521" s="19" t="s">
        <v>1422</v>
      </c>
      <c r="G4521" s="19" t="s">
        <v>1813</v>
      </c>
      <c r="H4521" s="19" t="s">
        <v>221</v>
      </c>
      <c r="I4521" s="19">
        <v>0</v>
      </c>
      <c r="J4521" s="19" t="s">
        <v>881</v>
      </c>
      <c r="K4521" s="19" t="s">
        <v>553</v>
      </c>
      <c r="L4521" s="19">
        <v>2022</v>
      </c>
      <c r="M4521" s="20">
        <v>1</v>
      </c>
      <c r="N4521" s="19" t="s">
        <v>1814</v>
      </c>
      <c r="O4521" s="20">
        <v>3</v>
      </c>
      <c r="P4521" s="20">
        <v>3</v>
      </c>
      <c r="Q4521" s="20">
        <v>130.85402843601895</v>
      </c>
      <c r="R4521" s="21">
        <v>1</v>
      </c>
      <c r="S4521" s="20">
        <v>130.85402843601895</v>
      </c>
    </row>
    <row r="4522" spans="2:19" ht="15" customHeight="1" x14ac:dyDescent="0.25">
      <c r="B4522" s="2" t="str">
        <f t="shared" si="140"/>
        <v>NSG_Income Eligible_Multi-Family_Whole Building - Prescriptive_Air Sealing_0_MF</v>
      </c>
      <c r="C4522" s="2" t="str">
        <f t="shared" si="141"/>
        <v>NSG_Income Eligible_Multi-Family_Whole Building - Prescriptive_Air Sealing_0_MF_2023</v>
      </c>
      <c r="D4522" s="19" t="s">
        <v>1787</v>
      </c>
      <c r="E4522" s="19" t="s">
        <v>325</v>
      </c>
      <c r="F4522" s="19" t="s">
        <v>1422</v>
      </c>
      <c r="G4522" s="19" t="s">
        <v>1813</v>
      </c>
      <c r="H4522" s="19" t="s">
        <v>221</v>
      </c>
      <c r="I4522" s="19">
        <v>0</v>
      </c>
      <c r="J4522" s="19" t="s">
        <v>881</v>
      </c>
      <c r="K4522" s="19" t="s">
        <v>553</v>
      </c>
      <c r="L4522" s="19">
        <v>2023</v>
      </c>
      <c r="M4522" s="20">
        <v>1</v>
      </c>
      <c r="N4522" s="19" t="s">
        <v>1814</v>
      </c>
      <c r="O4522" s="20">
        <v>3</v>
      </c>
      <c r="P4522" s="20">
        <v>3</v>
      </c>
      <c r="Q4522" s="20">
        <v>130.85402843601895</v>
      </c>
      <c r="R4522" s="21">
        <v>1</v>
      </c>
      <c r="S4522" s="20">
        <v>130.85402843601895</v>
      </c>
    </row>
    <row r="4523" spans="2:19" ht="15" customHeight="1" x14ac:dyDescent="0.25">
      <c r="B4523" s="2" t="str">
        <f t="shared" si="140"/>
        <v>NSG_Income Eligible_Multi-Family_Whole Building - Prescriptive_Air Sealing_0_MF</v>
      </c>
      <c r="C4523" s="2" t="str">
        <f t="shared" si="141"/>
        <v>NSG_Income Eligible_Multi-Family_Whole Building - Prescriptive_Air Sealing_0_MF_2024</v>
      </c>
      <c r="D4523" s="19" t="s">
        <v>1787</v>
      </c>
      <c r="E4523" s="19" t="s">
        <v>325</v>
      </c>
      <c r="F4523" s="19" t="s">
        <v>1422</v>
      </c>
      <c r="G4523" s="19" t="s">
        <v>1813</v>
      </c>
      <c r="H4523" s="19" t="s">
        <v>221</v>
      </c>
      <c r="I4523" s="19">
        <v>0</v>
      </c>
      <c r="J4523" s="19" t="s">
        <v>881</v>
      </c>
      <c r="K4523" s="19" t="s">
        <v>553</v>
      </c>
      <c r="L4523" s="19">
        <v>2024</v>
      </c>
      <c r="M4523" s="20">
        <v>1</v>
      </c>
      <c r="N4523" s="19" t="s">
        <v>1814</v>
      </c>
      <c r="O4523" s="20">
        <v>3</v>
      </c>
      <c r="P4523" s="20">
        <v>3</v>
      </c>
      <c r="Q4523" s="20">
        <v>130.85402843601895</v>
      </c>
      <c r="R4523" s="21">
        <v>1</v>
      </c>
      <c r="S4523" s="20">
        <v>130.85402843601895</v>
      </c>
    </row>
    <row r="4524" spans="2:19" ht="15" customHeight="1" x14ac:dyDescent="0.25">
      <c r="B4524" s="2" t="str">
        <f t="shared" si="140"/>
        <v>NSG_Income Eligible_Multi-Family_Whole Building - Prescriptive_Air Sealing_0_MF</v>
      </c>
      <c r="C4524" s="2" t="str">
        <f t="shared" si="141"/>
        <v>NSG_Income Eligible_Multi-Family_Whole Building - Prescriptive_Air Sealing_0_MF_2025</v>
      </c>
      <c r="D4524" s="19" t="s">
        <v>1787</v>
      </c>
      <c r="E4524" s="19" t="s">
        <v>325</v>
      </c>
      <c r="F4524" s="19" t="s">
        <v>1422</v>
      </c>
      <c r="G4524" s="19" t="s">
        <v>1813</v>
      </c>
      <c r="H4524" s="19" t="s">
        <v>221</v>
      </c>
      <c r="I4524" s="19">
        <v>0</v>
      </c>
      <c r="J4524" s="19" t="s">
        <v>881</v>
      </c>
      <c r="K4524" s="19" t="s">
        <v>553</v>
      </c>
      <c r="L4524" s="19">
        <v>2025</v>
      </c>
      <c r="M4524" s="20">
        <v>1</v>
      </c>
      <c r="N4524" s="19" t="s">
        <v>1814</v>
      </c>
      <c r="O4524" s="20">
        <v>3</v>
      </c>
      <c r="P4524" s="20">
        <v>3</v>
      </c>
      <c r="Q4524" s="20">
        <v>130.85402843601895</v>
      </c>
      <c r="R4524" s="21">
        <v>1</v>
      </c>
      <c r="S4524" s="20">
        <v>130.85402843601895</v>
      </c>
    </row>
    <row r="4525" spans="2:19" ht="15" customHeight="1" x14ac:dyDescent="0.25">
      <c r="B4525" s="2" t="str">
        <f t="shared" si="140"/>
        <v>NSG_Income Eligible_Multi-Family_Whole Building - Prescriptive_Air Sealing w/ Attic Insulation_0_IE MF</v>
      </c>
      <c r="C4525" s="2" t="str">
        <f t="shared" si="141"/>
        <v>NSG_Income Eligible_Multi-Family_Whole Building - Prescriptive_Air Sealing w/ Attic Insulation_0_IE MF_2022</v>
      </c>
      <c r="D4525" s="19" t="s">
        <v>1787</v>
      </c>
      <c r="E4525" s="19" t="s">
        <v>325</v>
      </c>
      <c r="F4525" s="19" t="s">
        <v>1422</v>
      </c>
      <c r="G4525" s="19" t="s">
        <v>1813</v>
      </c>
      <c r="H4525" s="19" t="s">
        <v>890</v>
      </c>
      <c r="I4525" s="19">
        <v>0</v>
      </c>
      <c r="J4525" s="19" t="s">
        <v>1469</v>
      </c>
      <c r="K4525" s="19" t="s">
        <v>1398</v>
      </c>
      <c r="L4525" s="19">
        <v>2022</v>
      </c>
      <c r="M4525" s="20">
        <v>1</v>
      </c>
      <c r="N4525" s="19" t="s">
        <v>1814</v>
      </c>
      <c r="O4525" s="20">
        <v>6</v>
      </c>
      <c r="P4525" s="20">
        <v>6</v>
      </c>
      <c r="Q4525" s="20">
        <v>207.27278104265403</v>
      </c>
      <c r="R4525" s="21">
        <v>1</v>
      </c>
      <c r="S4525" s="20">
        <v>207.27278104265403</v>
      </c>
    </row>
    <row r="4526" spans="2:19" ht="15" customHeight="1" x14ac:dyDescent="0.25">
      <c r="B4526" s="2" t="str">
        <f t="shared" si="140"/>
        <v>NSG_Income Eligible_Multi-Family_Whole Building - Prescriptive_Air Sealing w/ Attic Insulation_0_IE MF</v>
      </c>
      <c r="C4526" s="2" t="str">
        <f t="shared" si="141"/>
        <v>NSG_Income Eligible_Multi-Family_Whole Building - Prescriptive_Air Sealing w/ Attic Insulation_0_IE MF_2023</v>
      </c>
      <c r="D4526" s="19" t="s">
        <v>1787</v>
      </c>
      <c r="E4526" s="19" t="s">
        <v>325</v>
      </c>
      <c r="F4526" s="19" t="s">
        <v>1422</v>
      </c>
      <c r="G4526" s="19" t="s">
        <v>1813</v>
      </c>
      <c r="H4526" s="19" t="s">
        <v>890</v>
      </c>
      <c r="I4526" s="19">
        <v>0</v>
      </c>
      <c r="J4526" s="19" t="s">
        <v>1469</v>
      </c>
      <c r="K4526" s="19" t="s">
        <v>1398</v>
      </c>
      <c r="L4526" s="19">
        <v>2023</v>
      </c>
      <c r="M4526" s="20">
        <v>1</v>
      </c>
      <c r="N4526" s="19" t="s">
        <v>1814</v>
      </c>
      <c r="O4526" s="20">
        <v>6</v>
      </c>
      <c r="P4526" s="20">
        <v>6</v>
      </c>
      <c r="Q4526" s="20">
        <v>207.27278104265403</v>
      </c>
      <c r="R4526" s="21">
        <v>1</v>
      </c>
      <c r="S4526" s="20">
        <v>207.27278104265403</v>
      </c>
    </row>
    <row r="4527" spans="2:19" ht="15" customHeight="1" x14ac:dyDescent="0.25">
      <c r="B4527" s="2" t="str">
        <f t="shared" si="140"/>
        <v>NSG_Income Eligible_Multi-Family_Whole Building - Prescriptive_Air Sealing w/ Attic Insulation_0_IE MF</v>
      </c>
      <c r="C4527" s="2" t="str">
        <f t="shared" si="141"/>
        <v>NSG_Income Eligible_Multi-Family_Whole Building - Prescriptive_Air Sealing w/ Attic Insulation_0_IE MF_2024</v>
      </c>
      <c r="D4527" s="19" t="s">
        <v>1787</v>
      </c>
      <c r="E4527" s="19" t="s">
        <v>325</v>
      </c>
      <c r="F4527" s="19" t="s">
        <v>1422</v>
      </c>
      <c r="G4527" s="19" t="s">
        <v>1813</v>
      </c>
      <c r="H4527" s="19" t="s">
        <v>890</v>
      </c>
      <c r="I4527" s="19">
        <v>0</v>
      </c>
      <c r="J4527" s="19" t="s">
        <v>1469</v>
      </c>
      <c r="K4527" s="19" t="s">
        <v>1398</v>
      </c>
      <c r="L4527" s="19">
        <v>2024</v>
      </c>
      <c r="M4527" s="20">
        <v>1</v>
      </c>
      <c r="N4527" s="19" t="s">
        <v>1814</v>
      </c>
      <c r="O4527" s="20">
        <v>6</v>
      </c>
      <c r="P4527" s="20">
        <v>6</v>
      </c>
      <c r="Q4527" s="20">
        <v>207.27278104265403</v>
      </c>
      <c r="R4527" s="21">
        <v>1</v>
      </c>
      <c r="S4527" s="20">
        <v>207.27278104265403</v>
      </c>
    </row>
    <row r="4528" spans="2:19" ht="15" customHeight="1" x14ac:dyDescent="0.25">
      <c r="B4528" s="2" t="str">
        <f t="shared" si="140"/>
        <v>NSG_Income Eligible_Multi-Family_Whole Building - Prescriptive_Air Sealing w/ Attic Insulation_0_IE MF</v>
      </c>
      <c r="C4528" s="2" t="str">
        <f t="shared" si="141"/>
        <v>NSG_Income Eligible_Multi-Family_Whole Building - Prescriptive_Air Sealing w/ Attic Insulation_0_IE MF_2025</v>
      </c>
      <c r="D4528" s="19" t="s">
        <v>1787</v>
      </c>
      <c r="E4528" s="19" t="s">
        <v>325</v>
      </c>
      <c r="F4528" s="19" t="s">
        <v>1422</v>
      </c>
      <c r="G4528" s="19" t="s">
        <v>1813</v>
      </c>
      <c r="H4528" s="19" t="s">
        <v>890</v>
      </c>
      <c r="I4528" s="19">
        <v>0</v>
      </c>
      <c r="J4528" s="19" t="s">
        <v>1469</v>
      </c>
      <c r="K4528" s="19" t="s">
        <v>1398</v>
      </c>
      <c r="L4528" s="19">
        <v>2025</v>
      </c>
      <c r="M4528" s="20">
        <v>1</v>
      </c>
      <c r="N4528" s="19" t="s">
        <v>1814</v>
      </c>
      <c r="O4528" s="20">
        <v>6</v>
      </c>
      <c r="P4528" s="20">
        <v>6</v>
      </c>
      <c r="Q4528" s="20">
        <v>207.27278104265403</v>
      </c>
      <c r="R4528" s="21">
        <v>1</v>
      </c>
      <c r="S4528" s="20">
        <v>207.27278104265403</v>
      </c>
    </row>
    <row r="4529" spans="2:19" ht="15" customHeight="1" x14ac:dyDescent="0.25">
      <c r="B4529" s="2" t="str">
        <f t="shared" si="140"/>
        <v>NSG_Income Eligible_Multi-Family_Whole Building - Prescriptive_Attic Insulation_0_SF</v>
      </c>
      <c r="C4529" s="2" t="str">
        <f t="shared" si="141"/>
        <v>NSG_Income Eligible_Multi-Family_Whole Building - Prescriptive_Attic Insulation_0_SF_2022</v>
      </c>
      <c r="D4529" s="19" t="s">
        <v>1787</v>
      </c>
      <c r="E4529" s="19" t="s">
        <v>325</v>
      </c>
      <c r="F4529" s="19" t="s">
        <v>1422</v>
      </c>
      <c r="G4529" s="19" t="s">
        <v>1813</v>
      </c>
      <c r="H4529" s="19" t="s">
        <v>631</v>
      </c>
      <c r="I4529" s="19">
        <v>0</v>
      </c>
      <c r="J4529" s="19" t="s">
        <v>632</v>
      </c>
      <c r="K4529" s="19" t="s">
        <v>409</v>
      </c>
      <c r="L4529" s="19">
        <v>2022</v>
      </c>
      <c r="M4529" s="20">
        <v>332.76190476190476</v>
      </c>
      <c r="N4529" s="19" t="s">
        <v>751</v>
      </c>
      <c r="O4529" s="20">
        <v>6</v>
      </c>
      <c r="P4529" s="20">
        <v>1996.5714285714284</v>
      </c>
      <c r="Q4529" s="20">
        <v>160.63850970071559</v>
      </c>
      <c r="R4529" s="21">
        <v>1</v>
      </c>
      <c r="S4529" s="20">
        <v>160.63850970071559</v>
      </c>
    </row>
    <row r="4530" spans="2:19" ht="15" customHeight="1" x14ac:dyDescent="0.25">
      <c r="B4530" s="2" t="str">
        <f t="shared" si="140"/>
        <v>NSG_Income Eligible_Multi-Family_Whole Building - Prescriptive_Attic Insulation_0_SF</v>
      </c>
      <c r="C4530" s="2" t="str">
        <f t="shared" si="141"/>
        <v>NSG_Income Eligible_Multi-Family_Whole Building - Prescriptive_Attic Insulation_0_SF_2023</v>
      </c>
      <c r="D4530" s="19" t="s">
        <v>1787</v>
      </c>
      <c r="E4530" s="19" t="s">
        <v>325</v>
      </c>
      <c r="F4530" s="19" t="s">
        <v>1422</v>
      </c>
      <c r="G4530" s="19" t="s">
        <v>1813</v>
      </c>
      <c r="H4530" s="19" t="s">
        <v>631</v>
      </c>
      <c r="I4530" s="19">
        <v>0</v>
      </c>
      <c r="J4530" s="19" t="s">
        <v>632</v>
      </c>
      <c r="K4530" s="19" t="s">
        <v>409</v>
      </c>
      <c r="L4530" s="19">
        <v>2023</v>
      </c>
      <c r="M4530" s="20">
        <v>332.76190476190476</v>
      </c>
      <c r="N4530" s="19" t="s">
        <v>751</v>
      </c>
      <c r="O4530" s="20">
        <v>6</v>
      </c>
      <c r="P4530" s="20">
        <v>1996.5714285714284</v>
      </c>
      <c r="Q4530" s="20">
        <v>160.63850970071559</v>
      </c>
      <c r="R4530" s="21">
        <v>1</v>
      </c>
      <c r="S4530" s="20">
        <v>160.63850970071559</v>
      </c>
    </row>
    <row r="4531" spans="2:19" ht="15" customHeight="1" x14ac:dyDescent="0.25">
      <c r="B4531" s="2" t="str">
        <f t="shared" si="140"/>
        <v>NSG_Income Eligible_Multi-Family_Whole Building - Prescriptive_Attic Insulation_0_SF</v>
      </c>
      <c r="C4531" s="2" t="str">
        <f t="shared" si="141"/>
        <v>NSG_Income Eligible_Multi-Family_Whole Building - Prescriptive_Attic Insulation_0_SF_2024</v>
      </c>
      <c r="D4531" s="19" t="s">
        <v>1787</v>
      </c>
      <c r="E4531" s="19" t="s">
        <v>325</v>
      </c>
      <c r="F4531" s="19" t="s">
        <v>1422</v>
      </c>
      <c r="G4531" s="19" t="s">
        <v>1813</v>
      </c>
      <c r="H4531" s="19" t="s">
        <v>631</v>
      </c>
      <c r="I4531" s="19">
        <v>0</v>
      </c>
      <c r="J4531" s="19" t="s">
        <v>632</v>
      </c>
      <c r="K4531" s="19" t="s">
        <v>409</v>
      </c>
      <c r="L4531" s="19">
        <v>2024</v>
      </c>
      <c r="M4531" s="20">
        <v>332.76190476190476</v>
      </c>
      <c r="N4531" s="19" t="s">
        <v>751</v>
      </c>
      <c r="O4531" s="20">
        <v>6</v>
      </c>
      <c r="P4531" s="20">
        <v>1996.5714285714284</v>
      </c>
      <c r="Q4531" s="20">
        <v>160.63850970071559</v>
      </c>
      <c r="R4531" s="21">
        <v>1</v>
      </c>
      <c r="S4531" s="20">
        <v>160.63850970071559</v>
      </c>
    </row>
    <row r="4532" spans="2:19" ht="15" customHeight="1" x14ac:dyDescent="0.25">
      <c r="B4532" s="2" t="str">
        <f t="shared" si="140"/>
        <v>NSG_Income Eligible_Multi-Family_Whole Building - Prescriptive_Attic Insulation_0_SF</v>
      </c>
      <c r="C4532" s="2" t="str">
        <f t="shared" si="141"/>
        <v>NSG_Income Eligible_Multi-Family_Whole Building - Prescriptive_Attic Insulation_0_SF_2025</v>
      </c>
      <c r="D4532" s="19" t="s">
        <v>1787</v>
      </c>
      <c r="E4532" s="19" t="s">
        <v>325</v>
      </c>
      <c r="F4532" s="19" t="s">
        <v>1422</v>
      </c>
      <c r="G4532" s="19" t="s">
        <v>1813</v>
      </c>
      <c r="H4532" s="19" t="s">
        <v>631</v>
      </c>
      <c r="I4532" s="19">
        <v>0</v>
      </c>
      <c r="J4532" s="19" t="s">
        <v>632</v>
      </c>
      <c r="K4532" s="19" t="s">
        <v>409</v>
      </c>
      <c r="L4532" s="19">
        <v>2025</v>
      </c>
      <c r="M4532" s="20">
        <v>332.76190476190476</v>
      </c>
      <c r="N4532" s="19" t="s">
        <v>751</v>
      </c>
      <c r="O4532" s="20">
        <v>6</v>
      </c>
      <c r="P4532" s="20">
        <v>1996.5714285714284</v>
      </c>
      <c r="Q4532" s="20">
        <v>160.63850970071559</v>
      </c>
      <c r="R4532" s="21">
        <v>1</v>
      </c>
      <c r="S4532" s="20">
        <v>160.63850970071559</v>
      </c>
    </row>
    <row r="4533" spans="2:19" ht="15" customHeight="1" x14ac:dyDescent="0.25">
      <c r="B4533" s="2" t="str">
        <f t="shared" si="140"/>
        <v>NSG_Income Eligible_Multi-Family_Whole Building - Prescriptive_Door Sweep_0_IE MF</v>
      </c>
      <c r="C4533" s="2" t="str">
        <f t="shared" si="141"/>
        <v>NSG_Income Eligible_Multi-Family_Whole Building - Prescriptive_Door Sweep_0_IE MF_2022</v>
      </c>
      <c r="D4533" s="19" t="s">
        <v>1787</v>
      </c>
      <c r="E4533" s="19" t="s">
        <v>325</v>
      </c>
      <c r="F4533" s="19" t="s">
        <v>1422</v>
      </c>
      <c r="G4533" s="19" t="s">
        <v>1813</v>
      </c>
      <c r="H4533" s="19" t="s">
        <v>6</v>
      </c>
      <c r="I4533" s="19">
        <v>0</v>
      </c>
      <c r="J4533" s="19" t="s">
        <v>1469</v>
      </c>
      <c r="K4533" s="19" t="s">
        <v>1398</v>
      </c>
      <c r="L4533" s="19">
        <v>2022</v>
      </c>
      <c r="M4533" s="20">
        <v>1</v>
      </c>
      <c r="N4533" s="19" t="s">
        <v>1815</v>
      </c>
      <c r="O4533" s="20">
        <v>18</v>
      </c>
      <c r="P4533" s="20">
        <v>18</v>
      </c>
      <c r="Q4533" s="20">
        <v>131.47200000000001</v>
      </c>
      <c r="R4533" s="21">
        <v>1</v>
      </c>
      <c r="S4533" s="20">
        <v>131.47200000000001</v>
      </c>
    </row>
    <row r="4534" spans="2:19" ht="15" customHeight="1" x14ac:dyDescent="0.25">
      <c r="B4534" s="2" t="str">
        <f t="shared" si="140"/>
        <v>NSG_Income Eligible_Multi-Family_Whole Building - Prescriptive_Door Sweep_0_IE MF</v>
      </c>
      <c r="C4534" s="2" t="str">
        <f t="shared" si="141"/>
        <v>NSG_Income Eligible_Multi-Family_Whole Building - Prescriptive_Door Sweep_0_IE MF_2023</v>
      </c>
      <c r="D4534" s="19" t="s">
        <v>1787</v>
      </c>
      <c r="E4534" s="19" t="s">
        <v>325</v>
      </c>
      <c r="F4534" s="19" t="s">
        <v>1422</v>
      </c>
      <c r="G4534" s="19" t="s">
        <v>1813</v>
      </c>
      <c r="H4534" s="19" t="s">
        <v>6</v>
      </c>
      <c r="I4534" s="19">
        <v>0</v>
      </c>
      <c r="J4534" s="19" t="s">
        <v>1469</v>
      </c>
      <c r="K4534" s="19" t="s">
        <v>1398</v>
      </c>
      <c r="L4534" s="19">
        <v>2023</v>
      </c>
      <c r="M4534" s="20">
        <v>1</v>
      </c>
      <c r="N4534" s="19" t="s">
        <v>1815</v>
      </c>
      <c r="O4534" s="20">
        <v>18</v>
      </c>
      <c r="P4534" s="20">
        <v>18</v>
      </c>
      <c r="Q4534" s="20">
        <v>131.47200000000001</v>
      </c>
      <c r="R4534" s="21">
        <v>1</v>
      </c>
      <c r="S4534" s="20">
        <v>131.47200000000001</v>
      </c>
    </row>
    <row r="4535" spans="2:19" ht="15" customHeight="1" x14ac:dyDescent="0.25">
      <c r="B4535" s="2" t="str">
        <f t="shared" si="140"/>
        <v>NSG_Income Eligible_Multi-Family_Whole Building - Prescriptive_Door Sweep_0_IE MF</v>
      </c>
      <c r="C4535" s="2" t="str">
        <f t="shared" si="141"/>
        <v>NSG_Income Eligible_Multi-Family_Whole Building - Prescriptive_Door Sweep_0_IE MF_2024</v>
      </c>
      <c r="D4535" s="19" t="s">
        <v>1787</v>
      </c>
      <c r="E4535" s="19" t="s">
        <v>325</v>
      </c>
      <c r="F4535" s="19" t="s">
        <v>1422</v>
      </c>
      <c r="G4535" s="19" t="s">
        <v>1813</v>
      </c>
      <c r="H4535" s="19" t="s">
        <v>6</v>
      </c>
      <c r="I4535" s="19">
        <v>0</v>
      </c>
      <c r="J4535" s="19" t="s">
        <v>1469</v>
      </c>
      <c r="K4535" s="19" t="s">
        <v>1398</v>
      </c>
      <c r="L4535" s="19">
        <v>2024</v>
      </c>
      <c r="M4535" s="20">
        <v>1</v>
      </c>
      <c r="N4535" s="19" t="s">
        <v>1815</v>
      </c>
      <c r="O4535" s="20">
        <v>18</v>
      </c>
      <c r="P4535" s="20">
        <v>18</v>
      </c>
      <c r="Q4535" s="20">
        <v>131.47200000000001</v>
      </c>
      <c r="R4535" s="21">
        <v>1</v>
      </c>
      <c r="S4535" s="20">
        <v>131.47200000000001</v>
      </c>
    </row>
    <row r="4536" spans="2:19" ht="15" customHeight="1" x14ac:dyDescent="0.25">
      <c r="B4536" s="2" t="str">
        <f t="shared" si="140"/>
        <v>NSG_Income Eligible_Multi-Family_Whole Building - Prescriptive_Door Sweep_0_IE MF</v>
      </c>
      <c r="C4536" s="2" t="str">
        <f t="shared" si="141"/>
        <v>NSG_Income Eligible_Multi-Family_Whole Building - Prescriptive_Door Sweep_0_IE MF_2025</v>
      </c>
      <c r="D4536" s="19" t="s">
        <v>1787</v>
      </c>
      <c r="E4536" s="19" t="s">
        <v>325</v>
      </c>
      <c r="F4536" s="19" t="s">
        <v>1422</v>
      </c>
      <c r="G4536" s="19" t="s">
        <v>1813</v>
      </c>
      <c r="H4536" s="19" t="s">
        <v>6</v>
      </c>
      <c r="I4536" s="19">
        <v>0</v>
      </c>
      <c r="J4536" s="19" t="s">
        <v>1469</v>
      </c>
      <c r="K4536" s="19" t="s">
        <v>1398</v>
      </c>
      <c r="L4536" s="19">
        <v>2025</v>
      </c>
      <c r="M4536" s="20">
        <v>1</v>
      </c>
      <c r="N4536" s="19" t="s">
        <v>1815</v>
      </c>
      <c r="O4536" s="20">
        <v>18</v>
      </c>
      <c r="P4536" s="20">
        <v>18</v>
      </c>
      <c r="Q4536" s="20">
        <v>131.47200000000001</v>
      </c>
      <c r="R4536" s="21">
        <v>1</v>
      </c>
      <c r="S4536" s="20">
        <v>131.47200000000001</v>
      </c>
    </row>
    <row r="4537" spans="2:19" ht="15" customHeight="1" x14ac:dyDescent="0.25">
      <c r="B4537" s="2" t="str">
        <f t="shared" si="140"/>
        <v>NSG_Income Eligible_Multi-Family_Whole Building - Prescriptive_Weatherstripping_0_IE MF</v>
      </c>
      <c r="C4537" s="2" t="str">
        <f t="shared" si="141"/>
        <v>NSG_Income Eligible_Multi-Family_Whole Building - Prescriptive_Weatherstripping_0_IE MF_2022</v>
      </c>
      <c r="D4537" s="19" t="s">
        <v>1787</v>
      </c>
      <c r="E4537" s="19" t="s">
        <v>325</v>
      </c>
      <c r="F4537" s="19" t="s">
        <v>1422</v>
      </c>
      <c r="G4537" s="19" t="s">
        <v>1813</v>
      </c>
      <c r="H4537" s="19" t="s">
        <v>576</v>
      </c>
      <c r="I4537" s="19">
        <v>0</v>
      </c>
      <c r="J4537" s="19" t="s">
        <v>1469</v>
      </c>
      <c r="K4537" s="19" t="s">
        <v>1398</v>
      </c>
      <c r="L4537" s="19">
        <v>2022</v>
      </c>
      <c r="M4537" s="20">
        <v>17</v>
      </c>
      <c r="N4537" s="19" t="s">
        <v>1810</v>
      </c>
      <c r="O4537" s="20">
        <v>27</v>
      </c>
      <c r="P4537" s="20">
        <v>459</v>
      </c>
      <c r="Q4537" s="20">
        <v>223.99199999999999</v>
      </c>
      <c r="R4537" s="21">
        <v>1</v>
      </c>
      <c r="S4537" s="20">
        <v>223.99199999999999</v>
      </c>
    </row>
    <row r="4538" spans="2:19" ht="15" customHeight="1" x14ac:dyDescent="0.25">
      <c r="B4538" s="2" t="str">
        <f t="shared" si="140"/>
        <v>NSG_Income Eligible_Multi-Family_Whole Building - Prescriptive_Weatherstripping_0_IE MF</v>
      </c>
      <c r="C4538" s="2" t="str">
        <f t="shared" si="141"/>
        <v>NSG_Income Eligible_Multi-Family_Whole Building - Prescriptive_Weatherstripping_0_IE MF_2023</v>
      </c>
      <c r="D4538" s="19" t="s">
        <v>1787</v>
      </c>
      <c r="E4538" s="19" t="s">
        <v>325</v>
      </c>
      <c r="F4538" s="19" t="s">
        <v>1422</v>
      </c>
      <c r="G4538" s="19" t="s">
        <v>1813</v>
      </c>
      <c r="H4538" s="19" t="s">
        <v>576</v>
      </c>
      <c r="I4538" s="19">
        <v>0</v>
      </c>
      <c r="J4538" s="19" t="s">
        <v>1469</v>
      </c>
      <c r="K4538" s="19" t="s">
        <v>1398</v>
      </c>
      <c r="L4538" s="19">
        <v>2023</v>
      </c>
      <c r="M4538" s="20">
        <v>17</v>
      </c>
      <c r="N4538" s="19" t="s">
        <v>1810</v>
      </c>
      <c r="O4538" s="20">
        <v>27</v>
      </c>
      <c r="P4538" s="20">
        <v>459</v>
      </c>
      <c r="Q4538" s="20">
        <v>223.99199999999999</v>
      </c>
      <c r="R4538" s="21">
        <v>1</v>
      </c>
      <c r="S4538" s="20">
        <v>223.99199999999999</v>
      </c>
    </row>
    <row r="4539" spans="2:19" ht="15" customHeight="1" x14ac:dyDescent="0.25">
      <c r="B4539" s="2" t="str">
        <f t="shared" si="140"/>
        <v>NSG_Income Eligible_Multi-Family_Whole Building - Prescriptive_Weatherstripping_0_IE MF</v>
      </c>
      <c r="C4539" s="2" t="str">
        <f t="shared" si="141"/>
        <v>NSG_Income Eligible_Multi-Family_Whole Building - Prescriptive_Weatherstripping_0_IE MF_2024</v>
      </c>
      <c r="D4539" s="19" t="s">
        <v>1787</v>
      </c>
      <c r="E4539" s="19" t="s">
        <v>325</v>
      </c>
      <c r="F4539" s="19" t="s">
        <v>1422</v>
      </c>
      <c r="G4539" s="19" t="s">
        <v>1813</v>
      </c>
      <c r="H4539" s="19" t="s">
        <v>576</v>
      </c>
      <c r="I4539" s="19">
        <v>0</v>
      </c>
      <c r="J4539" s="19" t="s">
        <v>1469</v>
      </c>
      <c r="K4539" s="19" t="s">
        <v>1398</v>
      </c>
      <c r="L4539" s="19">
        <v>2024</v>
      </c>
      <c r="M4539" s="20">
        <v>17</v>
      </c>
      <c r="N4539" s="19" t="s">
        <v>1810</v>
      </c>
      <c r="O4539" s="20">
        <v>27</v>
      </c>
      <c r="P4539" s="20">
        <v>459</v>
      </c>
      <c r="Q4539" s="20">
        <v>223.99199999999999</v>
      </c>
      <c r="R4539" s="21">
        <v>1</v>
      </c>
      <c r="S4539" s="20">
        <v>223.99199999999999</v>
      </c>
    </row>
    <row r="4540" spans="2:19" ht="15" customHeight="1" x14ac:dyDescent="0.25">
      <c r="B4540" s="2" t="str">
        <f t="shared" si="140"/>
        <v>NSG_Income Eligible_Multi-Family_Whole Building - Prescriptive_Weatherstripping_0_IE MF</v>
      </c>
      <c r="C4540" s="2" t="str">
        <f t="shared" si="141"/>
        <v>NSG_Income Eligible_Multi-Family_Whole Building - Prescriptive_Weatherstripping_0_IE MF_2025</v>
      </c>
      <c r="D4540" s="19" t="s">
        <v>1787</v>
      </c>
      <c r="E4540" s="19" t="s">
        <v>325</v>
      </c>
      <c r="F4540" s="19" t="s">
        <v>1422</v>
      </c>
      <c r="G4540" s="19" t="s">
        <v>1813</v>
      </c>
      <c r="H4540" s="19" t="s">
        <v>576</v>
      </c>
      <c r="I4540" s="19">
        <v>0</v>
      </c>
      <c r="J4540" s="19" t="s">
        <v>1469</v>
      </c>
      <c r="K4540" s="19" t="s">
        <v>1398</v>
      </c>
      <c r="L4540" s="19">
        <v>2025</v>
      </c>
      <c r="M4540" s="20">
        <v>17</v>
      </c>
      <c r="N4540" s="19" t="s">
        <v>1810</v>
      </c>
      <c r="O4540" s="20">
        <v>27</v>
      </c>
      <c r="P4540" s="20">
        <v>459</v>
      </c>
      <c r="Q4540" s="20">
        <v>223.99199999999999</v>
      </c>
      <c r="R4540" s="21">
        <v>1</v>
      </c>
      <c r="S4540" s="20">
        <v>223.99199999999999</v>
      </c>
    </row>
    <row r="4541" spans="2:19" ht="15" customHeight="1" x14ac:dyDescent="0.25">
      <c r="B4541" s="2" t="str">
        <f t="shared" si="140"/>
        <v>NSG_Income Eligible_Multi-Family_Whole Building - Prescriptive_A/C Cover and Gap Sealer_0_MF</v>
      </c>
      <c r="C4541" s="2" t="str">
        <f t="shared" si="141"/>
        <v>NSG_Income Eligible_Multi-Family_Whole Building - Prescriptive_A/C Cover and Gap Sealer_0_MF_2022</v>
      </c>
      <c r="D4541" s="19" t="s">
        <v>1787</v>
      </c>
      <c r="E4541" s="19" t="s">
        <v>325</v>
      </c>
      <c r="F4541" s="19" t="s">
        <v>1422</v>
      </c>
      <c r="G4541" s="19" t="s">
        <v>1813</v>
      </c>
      <c r="H4541" s="19" t="s">
        <v>1400</v>
      </c>
      <c r="I4541" s="19">
        <v>0</v>
      </c>
      <c r="J4541" s="19" t="s">
        <v>1469</v>
      </c>
      <c r="K4541" s="19" t="s">
        <v>553</v>
      </c>
      <c r="L4541" s="19">
        <v>2022</v>
      </c>
      <c r="M4541" s="20">
        <v>1</v>
      </c>
      <c r="N4541" s="19" t="s">
        <v>1798</v>
      </c>
      <c r="O4541" s="20">
        <v>12</v>
      </c>
      <c r="P4541" s="20">
        <v>12</v>
      </c>
      <c r="Q4541" s="20">
        <v>151.68</v>
      </c>
      <c r="R4541" s="21">
        <v>1</v>
      </c>
      <c r="S4541" s="20">
        <v>151.68</v>
      </c>
    </row>
    <row r="4542" spans="2:19" ht="15" customHeight="1" x14ac:dyDescent="0.25">
      <c r="B4542" s="2" t="str">
        <f t="shared" si="140"/>
        <v>NSG_Income Eligible_Multi-Family_Whole Building - Prescriptive_A/C Cover and Gap Sealer_0_MF</v>
      </c>
      <c r="C4542" s="2" t="str">
        <f t="shared" si="141"/>
        <v>NSG_Income Eligible_Multi-Family_Whole Building - Prescriptive_A/C Cover and Gap Sealer_0_MF_2023</v>
      </c>
      <c r="D4542" s="19" t="s">
        <v>1787</v>
      </c>
      <c r="E4542" s="19" t="s">
        <v>325</v>
      </c>
      <c r="F4542" s="19" t="s">
        <v>1422</v>
      </c>
      <c r="G4542" s="19" t="s">
        <v>1813</v>
      </c>
      <c r="H4542" s="19" t="s">
        <v>1400</v>
      </c>
      <c r="I4542" s="19">
        <v>0</v>
      </c>
      <c r="J4542" s="19" t="s">
        <v>1469</v>
      </c>
      <c r="K4542" s="19" t="s">
        <v>553</v>
      </c>
      <c r="L4542" s="19">
        <v>2023</v>
      </c>
      <c r="M4542" s="20">
        <v>1</v>
      </c>
      <c r="N4542" s="19" t="s">
        <v>1798</v>
      </c>
      <c r="O4542" s="20">
        <v>12</v>
      </c>
      <c r="P4542" s="20">
        <v>12</v>
      </c>
      <c r="Q4542" s="20">
        <v>151.68</v>
      </c>
      <c r="R4542" s="21">
        <v>1</v>
      </c>
      <c r="S4542" s="20">
        <v>151.68</v>
      </c>
    </row>
    <row r="4543" spans="2:19" ht="15" customHeight="1" x14ac:dyDescent="0.25">
      <c r="B4543" s="2" t="str">
        <f t="shared" si="140"/>
        <v>NSG_Income Eligible_Multi-Family_Whole Building - Prescriptive_A/C Cover and Gap Sealer_0_MF</v>
      </c>
      <c r="C4543" s="2" t="str">
        <f t="shared" si="141"/>
        <v>NSG_Income Eligible_Multi-Family_Whole Building - Prescriptive_A/C Cover and Gap Sealer_0_MF_2024</v>
      </c>
      <c r="D4543" s="19" t="s">
        <v>1787</v>
      </c>
      <c r="E4543" s="19" t="s">
        <v>325</v>
      </c>
      <c r="F4543" s="19" t="s">
        <v>1422</v>
      </c>
      <c r="G4543" s="19" t="s">
        <v>1813</v>
      </c>
      <c r="H4543" s="19" t="s">
        <v>1400</v>
      </c>
      <c r="I4543" s="19">
        <v>0</v>
      </c>
      <c r="J4543" s="19" t="s">
        <v>1469</v>
      </c>
      <c r="K4543" s="19" t="s">
        <v>553</v>
      </c>
      <c r="L4543" s="19">
        <v>2024</v>
      </c>
      <c r="M4543" s="20">
        <v>1</v>
      </c>
      <c r="N4543" s="19" t="s">
        <v>1798</v>
      </c>
      <c r="O4543" s="20">
        <v>12</v>
      </c>
      <c r="P4543" s="20">
        <v>12</v>
      </c>
      <c r="Q4543" s="20">
        <v>151.68</v>
      </c>
      <c r="R4543" s="21">
        <v>1</v>
      </c>
      <c r="S4543" s="20">
        <v>151.68</v>
      </c>
    </row>
    <row r="4544" spans="2:19" ht="15" customHeight="1" x14ac:dyDescent="0.25">
      <c r="B4544" s="2" t="str">
        <f t="shared" si="140"/>
        <v>NSG_Income Eligible_Multi-Family_Whole Building - Prescriptive_A/C Cover and Gap Sealer_0_MF</v>
      </c>
      <c r="C4544" s="2" t="str">
        <f t="shared" si="141"/>
        <v>NSG_Income Eligible_Multi-Family_Whole Building - Prescriptive_A/C Cover and Gap Sealer_0_MF_2025</v>
      </c>
      <c r="D4544" s="19" t="s">
        <v>1787</v>
      </c>
      <c r="E4544" s="19" t="s">
        <v>325</v>
      </c>
      <c r="F4544" s="19" t="s">
        <v>1422</v>
      </c>
      <c r="G4544" s="19" t="s">
        <v>1813</v>
      </c>
      <c r="H4544" s="19" t="s">
        <v>1400</v>
      </c>
      <c r="I4544" s="19">
        <v>0</v>
      </c>
      <c r="J4544" s="19" t="s">
        <v>1469</v>
      </c>
      <c r="K4544" s="19" t="s">
        <v>553</v>
      </c>
      <c r="L4544" s="19">
        <v>2025</v>
      </c>
      <c r="M4544" s="20">
        <v>1</v>
      </c>
      <c r="N4544" s="19" t="s">
        <v>1798</v>
      </c>
      <c r="O4544" s="20">
        <v>12</v>
      </c>
      <c r="P4544" s="20">
        <v>12</v>
      </c>
      <c r="Q4544" s="20">
        <v>151.68</v>
      </c>
      <c r="R4544" s="21">
        <v>1</v>
      </c>
      <c r="S4544" s="20">
        <v>151.68</v>
      </c>
    </row>
    <row r="4545" spans="2:19" ht="15" customHeight="1" x14ac:dyDescent="0.25">
      <c r="B4545" s="2" t="str">
        <f t="shared" si="140"/>
        <v>NSG_Income Eligible_Multi-Family_Whole Building - Prescriptive_Wall Insulation_0_SF</v>
      </c>
      <c r="C4545" s="2" t="str">
        <f t="shared" si="141"/>
        <v>NSG_Income Eligible_Multi-Family_Whole Building - Prescriptive_Wall Insulation_0_SF_2022</v>
      </c>
      <c r="D4545" s="19" t="s">
        <v>1787</v>
      </c>
      <c r="E4545" s="19" t="s">
        <v>325</v>
      </c>
      <c r="F4545" s="19" t="s">
        <v>1422</v>
      </c>
      <c r="G4545" s="19" t="s">
        <v>1813</v>
      </c>
      <c r="H4545" s="19" t="s">
        <v>222</v>
      </c>
      <c r="I4545" s="19">
        <v>0</v>
      </c>
      <c r="J4545" s="19" t="s">
        <v>783</v>
      </c>
      <c r="K4545" s="19" t="s">
        <v>409</v>
      </c>
      <c r="L4545" s="19">
        <v>2022</v>
      </c>
      <c r="M4545" s="20">
        <v>600</v>
      </c>
      <c r="N4545" s="19" t="s">
        <v>751</v>
      </c>
      <c r="O4545" s="20">
        <v>0</v>
      </c>
      <c r="P4545" s="20">
        <v>0</v>
      </c>
      <c r="Q4545" s="20">
        <v>0</v>
      </c>
      <c r="R4545" s="21">
        <v>1</v>
      </c>
      <c r="S4545" s="20">
        <v>0</v>
      </c>
    </row>
    <row r="4546" spans="2:19" ht="15" customHeight="1" x14ac:dyDescent="0.25">
      <c r="B4546" s="2" t="str">
        <f t="shared" si="140"/>
        <v>NSG_Income Eligible_Multi-Family_Whole Building - Prescriptive_Wall Insulation_0_SF</v>
      </c>
      <c r="C4546" s="2" t="str">
        <f t="shared" si="141"/>
        <v>NSG_Income Eligible_Multi-Family_Whole Building - Prescriptive_Wall Insulation_0_SF_2023</v>
      </c>
      <c r="D4546" s="19" t="s">
        <v>1787</v>
      </c>
      <c r="E4546" s="19" t="s">
        <v>325</v>
      </c>
      <c r="F4546" s="19" t="s">
        <v>1422</v>
      </c>
      <c r="G4546" s="19" t="s">
        <v>1813</v>
      </c>
      <c r="H4546" s="19" t="s">
        <v>222</v>
      </c>
      <c r="I4546" s="19">
        <v>0</v>
      </c>
      <c r="J4546" s="19" t="s">
        <v>783</v>
      </c>
      <c r="K4546" s="19" t="s">
        <v>409</v>
      </c>
      <c r="L4546" s="19">
        <v>2023</v>
      </c>
      <c r="M4546" s="20">
        <v>600</v>
      </c>
      <c r="N4546" s="19" t="s">
        <v>751</v>
      </c>
      <c r="O4546" s="20">
        <v>0</v>
      </c>
      <c r="P4546" s="20">
        <v>0</v>
      </c>
      <c r="Q4546" s="20">
        <v>0</v>
      </c>
      <c r="R4546" s="21">
        <v>1</v>
      </c>
      <c r="S4546" s="20">
        <v>0</v>
      </c>
    </row>
    <row r="4547" spans="2:19" ht="15" customHeight="1" x14ac:dyDescent="0.25">
      <c r="B4547" s="2" t="str">
        <f t="shared" si="140"/>
        <v>NSG_Income Eligible_Multi-Family_Whole Building - Prescriptive_Wall Insulation_0_SF</v>
      </c>
      <c r="C4547" s="2" t="str">
        <f t="shared" si="141"/>
        <v>NSG_Income Eligible_Multi-Family_Whole Building - Prescriptive_Wall Insulation_0_SF_2024</v>
      </c>
      <c r="D4547" s="19" t="s">
        <v>1787</v>
      </c>
      <c r="E4547" s="19" t="s">
        <v>325</v>
      </c>
      <c r="F4547" s="19" t="s">
        <v>1422</v>
      </c>
      <c r="G4547" s="19" t="s">
        <v>1813</v>
      </c>
      <c r="H4547" s="19" t="s">
        <v>222</v>
      </c>
      <c r="I4547" s="19">
        <v>0</v>
      </c>
      <c r="J4547" s="19" t="s">
        <v>783</v>
      </c>
      <c r="K4547" s="19" t="s">
        <v>409</v>
      </c>
      <c r="L4547" s="19">
        <v>2024</v>
      </c>
      <c r="M4547" s="20">
        <v>600</v>
      </c>
      <c r="N4547" s="19" t="s">
        <v>751</v>
      </c>
      <c r="O4547" s="20">
        <v>0</v>
      </c>
      <c r="P4547" s="20">
        <v>0</v>
      </c>
      <c r="Q4547" s="20">
        <v>0</v>
      </c>
      <c r="R4547" s="21">
        <v>1</v>
      </c>
      <c r="S4547" s="20">
        <v>0</v>
      </c>
    </row>
    <row r="4548" spans="2:19" ht="15" customHeight="1" x14ac:dyDescent="0.25">
      <c r="B4548" s="2" t="str">
        <f t="shared" si="140"/>
        <v>NSG_Income Eligible_Multi-Family_Whole Building - Prescriptive_Wall Insulation_0_SF</v>
      </c>
      <c r="C4548" s="2" t="str">
        <f t="shared" si="141"/>
        <v>NSG_Income Eligible_Multi-Family_Whole Building - Prescriptive_Wall Insulation_0_SF_2025</v>
      </c>
      <c r="D4548" s="19" t="s">
        <v>1787</v>
      </c>
      <c r="E4548" s="19" t="s">
        <v>325</v>
      </c>
      <c r="F4548" s="19" t="s">
        <v>1422</v>
      </c>
      <c r="G4548" s="19" t="s">
        <v>1813</v>
      </c>
      <c r="H4548" s="19" t="s">
        <v>222</v>
      </c>
      <c r="I4548" s="19">
        <v>0</v>
      </c>
      <c r="J4548" s="19" t="s">
        <v>783</v>
      </c>
      <c r="K4548" s="19" t="s">
        <v>409</v>
      </c>
      <c r="L4548" s="19">
        <v>2025</v>
      </c>
      <c r="M4548" s="20">
        <v>600</v>
      </c>
      <c r="N4548" s="19" t="s">
        <v>751</v>
      </c>
      <c r="O4548" s="20">
        <v>0</v>
      </c>
      <c r="P4548" s="20">
        <v>0</v>
      </c>
      <c r="Q4548" s="20">
        <v>0</v>
      </c>
      <c r="R4548" s="21">
        <v>1</v>
      </c>
      <c r="S4548" s="20">
        <v>0</v>
      </c>
    </row>
    <row r="4549" spans="2:19" ht="15" customHeight="1" x14ac:dyDescent="0.25">
      <c r="B4549" s="2" t="str">
        <f t="shared" si="140"/>
        <v>NSG_Income Eligible_Multi-Family_Whole Building - Prescriptive_Foundation Insulation_0_SF</v>
      </c>
      <c r="C4549" s="2" t="str">
        <f t="shared" si="141"/>
        <v>NSG_Income Eligible_Multi-Family_Whole Building - Prescriptive_Foundation Insulation_0_SF_2022</v>
      </c>
      <c r="D4549" s="19" t="s">
        <v>1787</v>
      </c>
      <c r="E4549" s="19" t="s">
        <v>325</v>
      </c>
      <c r="F4549" s="19" t="s">
        <v>1422</v>
      </c>
      <c r="G4549" s="19" t="s">
        <v>1813</v>
      </c>
      <c r="H4549" s="19" t="s">
        <v>608</v>
      </c>
      <c r="I4549" s="19">
        <v>0</v>
      </c>
      <c r="J4549" s="19" t="s">
        <v>610</v>
      </c>
      <c r="K4549" s="19" t="s">
        <v>409</v>
      </c>
      <c r="L4549" s="19">
        <v>2022</v>
      </c>
      <c r="M4549" s="20">
        <v>200</v>
      </c>
      <c r="N4549" s="19" t="s">
        <v>751</v>
      </c>
      <c r="O4549" s="20">
        <v>0</v>
      </c>
      <c r="P4549" s="20">
        <v>0</v>
      </c>
      <c r="Q4549" s="20">
        <v>0</v>
      </c>
      <c r="R4549" s="21">
        <v>1</v>
      </c>
      <c r="S4549" s="20">
        <v>0</v>
      </c>
    </row>
    <row r="4550" spans="2:19" ht="15" customHeight="1" x14ac:dyDescent="0.25">
      <c r="B4550" s="2" t="str">
        <f t="shared" ref="B4550:B4613" si="142">D4550&amp;"_"&amp;E4550&amp;"_"&amp;F4550&amp;"_"&amp;G4550&amp;"_"&amp;H4550&amp;"_"&amp;I4550&amp;"_"&amp;K4550</f>
        <v>NSG_Income Eligible_Multi-Family_Whole Building - Prescriptive_Foundation Insulation_0_SF</v>
      </c>
      <c r="C4550" s="2" t="str">
        <f t="shared" ref="C4550:C4613" si="143">D4550&amp;"_"&amp;E4550&amp;"_"&amp;F4550&amp;"_"&amp;G4550&amp;"_"&amp;H4550&amp;"_"&amp;I4550&amp;"_"&amp;K4550&amp;"_"&amp;L4550</f>
        <v>NSG_Income Eligible_Multi-Family_Whole Building - Prescriptive_Foundation Insulation_0_SF_2023</v>
      </c>
      <c r="D4550" s="19" t="s">
        <v>1787</v>
      </c>
      <c r="E4550" s="19" t="s">
        <v>325</v>
      </c>
      <c r="F4550" s="19" t="s">
        <v>1422</v>
      </c>
      <c r="G4550" s="19" t="s">
        <v>1813</v>
      </c>
      <c r="H4550" s="19" t="s">
        <v>608</v>
      </c>
      <c r="I4550" s="19">
        <v>0</v>
      </c>
      <c r="J4550" s="19" t="s">
        <v>610</v>
      </c>
      <c r="K4550" s="19" t="s">
        <v>409</v>
      </c>
      <c r="L4550" s="19">
        <v>2023</v>
      </c>
      <c r="M4550" s="20">
        <v>200</v>
      </c>
      <c r="N4550" s="19" t="s">
        <v>751</v>
      </c>
      <c r="O4550" s="20">
        <v>0</v>
      </c>
      <c r="P4550" s="20">
        <v>0</v>
      </c>
      <c r="Q4550" s="20">
        <v>0</v>
      </c>
      <c r="R4550" s="21">
        <v>1</v>
      </c>
      <c r="S4550" s="20">
        <v>0</v>
      </c>
    </row>
    <row r="4551" spans="2:19" ht="15" customHeight="1" x14ac:dyDescent="0.25">
      <c r="B4551" s="2" t="str">
        <f t="shared" si="142"/>
        <v>NSG_Income Eligible_Multi-Family_Whole Building - Prescriptive_Foundation Insulation_0_SF</v>
      </c>
      <c r="C4551" s="2" t="str">
        <f t="shared" si="143"/>
        <v>NSG_Income Eligible_Multi-Family_Whole Building - Prescriptive_Foundation Insulation_0_SF_2024</v>
      </c>
      <c r="D4551" s="19" t="s">
        <v>1787</v>
      </c>
      <c r="E4551" s="19" t="s">
        <v>325</v>
      </c>
      <c r="F4551" s="19" t="s">
        <v>1422</v>
      </c>
      <c r="G4551" s="19" t="s">
        <v>1813</v>
      </c>
      <c r="H4551" s="19" t="s">
        <v>608</v>
      </c>
      <c r="I4551" s="19">
        <v>0</v>
      </c>
      <c r="J4551" s="19" t="s">
        <v>610</v>
      </c>
      <c r="K4551" s="19" t="s">
        <v>409</v>
      </c>
      <c r="L4551" s="19">
        <v>2024</v>
      </c>
      <c r="M4551" s="20">
        <v>200</v>
      </c>
      <c r="N4551" s="19" t="s">
        <v>751</v>
      </c>
      <c r="O4551" s="20">
        <v>0</v>
      </c>
      <c r="P4551" s="20">
        <v>0</v>
      </c>
      <c r="Q4551" s="20">
        <v>0</v>
      </c>
      <c r="R4551" s="21">
        <v>1</v>
      </c>
      <c r="S4551" s="20">
        <v>0</v>
      </c>
    </row>
    <row r="4552" spans="2:19" ht="15" customHeight="1" x14ac:dyDescent="0.25">
      <c r="B4552" s="2" t="str">
        <f t="shared" si="142"/>
        <v>NSG_Income Eligible_Multi-Family_Whole Building - Prescriptive_Foundation Insulation_0_SF</v>
      </c>
      <c r="C4552" s="2" t="str">
        <f t="shared" si="143"/>
        <v>NSG_Income Eligible_Multi-Family_Whole Building - Prescriptive_Foundation Insulation_0_SF_2025</v>
      </c>
      <c r="D4552" s="19" t="s">
        <v>1787</v>
      </c>
      <c r="E4552" s="19" t="s">
        <v>325</v>
      </c>
      <c r="F4552" s="19" t="s">
        <v>1422</v>
      </c>
      <c r="G4552" s="19" t="s">
        <v>1813</v>
      </c>
      <c r="H4552" s="19" t="s">
        <v>608</v>
      </c>
      <c r="I4552" s="19">
        <v>0</v>
      </c>
      <c r="J4552" s="19" t="s">
        <v>610</v>
      </c>
      <c r="K4552" s="19" t="s">
        <v>409</v>
      </c>
      <c r="L4552" s="19">
        <v>2025</v>
      </c>
      <c r="M4552" s="20">
        <v>200</v>
      </c>
      <c r="N4552" s="19" t="s">
        <v>751</v>
      </c>
      <c r="O4552" s="20">
        <v>0</v>
      </c>
      <c r="P4552" s="20">
        <v>0</v>
      </c>
      <c r="Q4552" s="20">
        <v>0</v>
      </c>
      <c r="R4552" s="21">
        <v>1</v>
      </c>
      <c r="S4552" s="20">
        <v>0</v>
      </c>
    </row>
    <row r="4553" spans="2:19" ht="15" customHeight="1" x14ac:dyDescent="0.25">
      <c r="B4553" s="2" t="str">
        <f t="shared" si="142"/>
        <v>NSG_Income Eligible_Multi-Family_Whole Building - Prescriptive_Floor Insulation Above Crawlspace_0_SF</v>
      </c>
      <c r="C4553" s="2" t="str">
        <f t="shared" si="143"/>
        <v>NSG_Income Eligible_Multi-Family_Whole Building - Prescriptive_Floor Insulation Above Crawlspace_0_SF_2022</v>
      </c>
      <c r="D4553" s="19" t="s">
        <v>1787</v>
      </c>
      <c r="E4553" s="19" t="s">
        <v>325</v>
      </c>
      <c r="F4553" s="19" t="s">
        <v>1422</v>
      </c>
      <c r="G4553" s="19" t="s">
        <v>1813</v>
      </c>
      <c r="H4553" s="19" t="s">
        <v>244</v>
      </c>
      <c r="I4553" s="19">
        <v>0</v>
      </c>
      <c r="J4553" s="19" t="s">
        <v>750</v>
      </c>
      <c r="K4553" s="19" t="s">
        <v>409</v>
      </c>
      <c r="L4553" s="19">
        <v>2022</v>
      </c>
      <c r="M4553" s="20">
        <v>300</v>
      </c>
      <c r="N4553" s="19" t="s">
        <v>751</v>
      </c>
      <c r="O4553" s="20">
        <v>0</v>
      </c>
      <c r="P4553" s="20">
        <v>0</v>
      </c>
      <c r="Q4553" s="20">
        <v>0</v>
      </c>
      <c r="R4553" s="21">
        <v>1</v>
      </c>
      <c r="S4553" s="20">
        <v>0</v>
      </c>
    </row>
    <row r="4554" spans="2:19" ht="15" customHeight="1" x14ac:dyDescent="0.25">
      <c r="B4554" s="2" t="str">
        <f t="shared" si="142"/>
        <v>NSG_Income Eligible_Multi-Family_Whole Building - Prescriptive_Floor Insulation Above Crawlspace_0_SF</v>
      </c>
      <c r="C4554" s="2" t="str">
        <f t="shared" si="143"/>
        <v>NSG_Income Eligible_Multi-Family_Whole Building - Prescriptive_Floor Insulation Above Crawlspace_0_SF_2023</v>
      </c>
      <c r="D4554" s="19" t="s">
        <v>1787</v>
      </c>
      <c r="E4554" s="19" t="s">
        <v>325</v>
      </c>
      <c r="F4554" s="19" t="s">
        <v>1422</v>
      </c>
      <c r="G4554" s="19" t="s">
        <v>1813</v>
      </c>
      <c r="H4554" s="19" t="s">
        <v>244</v>
      </c>
      <c r="I4554" s="19">
        <v>0</v>
      </c>
      <c r="J4554" s="19" t="s">
        <v>750</v>
      </c>
      <c r="K4554" s="19" t="s">
        <v>409</v>
      </c>
      <c r="L4554" s="19">
        <v>2023</v>
      </c>
      <c r="M4554" s="20">
        <v>300</v>
      </c>
      <c r="N4554" s="19" t="s">
        <v>751</v>
      </c>
      <c r="O4554" s="20">
        <v>0</v>
      </c>
      <c r="P4554" s="20">
        <v>0</v>
      </c>
      <c r="Q4554" s="20">
        <v>0</v>
      </c>
      <c r="R4554" s="21">
        <v>1</v>
      </c>
      <c r="S4554" s="20">
        <v>0</v>
      </c>
    </row>
    <row r="4555" spans="2:19" ht="15" customHeight="1" x14ac:dyDescent="0.25">
      <c r="B4555" s="2" t="str">
        <f t="shared" si="142"/>
        <v>NSG_Income Eligible_Multi-Family_Whole Building - Prescriptive_Floor Insulation Above Crawlspace_0_SF</v>
      </c>
      <c r="C4555" s="2" t="str">
        <f t="shared" si="143"/>
        <v>NSG_Income Eligible_Multi-Family_Whole Building - Prescriptive_Floor Insulation Above Crawlspace_0_SF_2024</v>
      </c>
      <c r="D4555" s="19" t="s">
        <v>1787</v>
      </c>
      <c r="E4555" s="19" t="s">
        <v>325</v>
      </c>
      <c r="F4555" s="19" t="s">
        <v>1422</v>
      </c>
      <c r="G4555" s="19" t="s">
        <v>1813</v>
      </c>
      <c r="H4555" s="19" t="s">
        <v>244</v>
      </c>
      <c r="I4555" s="19">
        <v>0</v>
      </c>
      <c r="J4555" s="19" t="s">
        <v>750</v>
      </c>
      <c r="K4555" s="19" t="s">
        <v>409</v>
      </c>
      <c r="L4555" s="19">
        <v>2024</v>
      </c>
      <c r="M4555" s="20">
        <v>300</v>
      </c>
      <c r="N4555" s="19" t="s">
        <v>751</v>
      </c>
      <c r="O4555" s="20">
        <v>0</v>
      </c>
      <c r="P4555" s="20">
        <v>0</v>
      </c>
      <c r="Q4555" s="20">
        <v>0</v>
      </c>
      <c r="R4555" s="21">
        <v>1</v>
      </c>
      <c r="S4555" s="20">
        <v>0</v>
      </c>
    </row>
    <row r="4556" spans="2:19" ht="15" customHeight="1" x14ac:dyDescent="0.25">
      <c r="B4556" s="2" t="str">
        <f t="shared" si="142"/>
        <v>NSG_Income Eligible_Multi-Family_Whole Building - Prescriptive_Floor Insulation Above Crawlspace_0_SF</v>
      </c>
      <c r="C4556" s="2" t="str">
        <f t="shared" si="143"/>
        <v>NSG_Income Eligible_Multi-Family_Whole Building - Prescriptive_Floor Insulation Above Crawlspace_0_SF_2025</v>
      </c>
      <c r="D4556" s="19" t="s">
        <v>1787</v>
      </c>
      <c r="E4556" s="19" t="s">
        <v>325</v>
      </c>
      <c r="F4556" s="19" t="s">
        <v>1422</v>
      </c>
      <c r="G4556" s="19" t="s">
        <v>1813</v>
      </c>
      <c r="H4556" s="19" t="s">
        <v>244</v>
      </c>
      <c r="I4556" s="19">
        <v>0</v>
      </c>
      <c r="J4556" s="19" t="s">
        <v>750</v>
      </c>
      <c r="K4556" s="19" t="s">
        <v>409</v>
      </c>
      <c r="L4556" s="19">
        <v>2025</v>
      </c>
      <c r="M4556" s="20">
        <v>300</v>
      </c>
      <c r="N4556" s="19" t="s">
        <v>751</v>
      </c>
      <c r="O4556" s="20">
        <v>0</v>
      </c>
      <c r="P4556" s="20">
        <v>0</v>
      </c>
      <c r="Q4556" s="20">
        <v>0</v>
      </c>
      <c r="R4556" s="21">
        <v>1</v>
      </c>
      <c r="S4556" s="20">
        <v>0</v>
      </c>
    </row>
    <row r="4557" spans="2:19" ht="15" customHeight="1" x14ac:dyDescent="0.25">
      <c r="B4557" s="2" t="str">
        <f t="shared" si="142"/>
        <v>NSG_Income Eligible_Multi-Family_Whole Building - Prescriptive_Boiler_≥88% AFUE, &lt;300MBh_MF</v>
      </c>
      <c r="C4557" s="2" t="str">
        <f t="shared" si="143"/>
        <v>NSG_Income Eligible_Multi-Family_Whole Building - Prescriptive_Boiler_≥88% AFUE, &lt;300MBh_MF_2022</v>
      </c>
      <c r="D4557" s="19" t="s">
        <v>1787</v>
      </c>
      <c r="E4557" s="19" t="s">
        <v>325</v>
      </c>
      <c r="F4557" s="19" t="s">
        <v>1422</v>
      </c>
      <c r="G4557" s="19" t="s">
        <v>1813</v>
      </c>
      <c r="H4557" s="19" t="s">
        <v>944</v>
      </c>
      <c r="I4557" s="19" t="s">
        <v>945</v>
      </c>
      <c r="J4557" s="19" t="s">
        <v>942</v>
      </c>
      <c r="K4557" s="19" t="s">
        <v>553</v>
      </c>
      <c r="L4557" s="19">
        <v>2022</v>
      </c>
      <c r="M4557" s="20">
        <v>150</v>
      </c>
      <c r="N4557" s="19" t="s">
        <v>667</v>
      </c>
      <c r="O4557" s="20">
        <v>0</v>
      </c>
      <c r="P4557" s="20">
        <v>0</v>
      </c>
      <c r="Q4557" s="20">
        <v>0</v>
      </c>
      <c r="R4557" s="21">
        <v>1</v>
      </c>
      <c r="S4557" s="20">
        <v>0</v>
      </c>
    </row>
    <row r="4558" spans="2:19" ht="15" customHeight="1" x14ac:dyDescent="0.25">
      <c r="B4558" s="2" t="str">
        <f t="shared" si="142"/>
        <v>NSG_Income Eligible_Multi-Family_Whole Building - Prescriptive_Boiler_≥88% AFUE, &lt;300MBh_MF</v>
      </c>
      <c r="C4558" s="2" t="str">
        <f t="shared" si="143"/>
        <v>NSG_Income Eligible_Multi-Family_Whole Building - Prescriptive_Boiler_≥88% AFUE, &lt;300MBh_MF_2023</v>
      </c>
      <c r="D4558" s="19" t="s">
        <v>1787</v>
      </c>
      <c r="E4558" s="19" t="s">
        <v>325</v>
      </c>
      <c r="F4558" s="19" t="s">
        <v>1422</v>
      </c>
      <c r="G4558" s="19" t="s">
        <v>1813</v>
      </c>
      <c r="H4558" s="19" t="s">
        <v>944</v>
      </c>
      <c r="I4558" s="19" t="s">
        <v>945</v>
      </c>
      <c r="J4558" s="19" t="s">
        <v>942</v>
      </c>
      <c r="K4558" s="19" t="s">
        <v>553</v>
      </c>
      <c r="L4558" s="19">
        <v>2023</v>
      </c>
      <c r="M4558" s="20">
        <v>150</v>
      </c>
      <c r="N4558" s="19" t="s">
        <v>667</v>
      </c>
      <c r="O4558" s="20">
        <v>0</v>
      </c>
      <c r="P4558" s="20">
        <v>0</v>
      </c>
      <c r="Q4558" s="20">
        <v>0</v>
      </c>
      <c r="R4558" s="21">
        <v>1</v>
      </c>
      <c r="S4558" s="20">
        <v>0</v>
      </c>
    </row>
    <row r="4559" spans="2:19" ht="15" customHeight="1" x14ac:dyDescent="0.25">
      <c r="B4559" s="2" t="str">
        <f t="shared" si="142"/>
        <v>NSG_Income Eligible_Multi-Family_Whole Building - Prescriptive_Boiler_≥88% AFUE, &lt;300MBh_MF</v>
      </c>
      <c r="C4559" s="2" t="str">
        <f t="shared" si="143"/>
        <v>NSG_Income Eligible_Multi-Family_Whole Building - Prescriptive_Boiler_≥88% AFUE, &lt;300MBh_MF_2024</v>
      </c>
      <c r="D4559" s="19" t="s">
        <v>1787</v>
      </c>
      <c r="E4559" s="19" t="s">
        <v>325</v>
      </c>
      <c r="F4559" s="19" t="s">
        <v>1422</v>
      </c>
      <c r="G4559" s="19" t="s">
        <v>1813</v>
      </c>
      <c r="H4559" s="19" t="s">
        <v>944</v>
      </c>
      <c r="I4559" s="19" t="s">
        <v>945</v>
      </c>
      <c r="J4559" s="19" t="s">
        <v>942</v>
      </c>
      <c r="K4559" s="19" t="s">
        <v>553</v>
      </c>
      <c r="L4559" s="19">
        <v>2024</v>
      </c>
      <c r="M4559" s="20">
        <v>150</v>
      </c>
      <c r="N4559" s="19" t="s">
        <v>667</v>
      </c>
      <c r="O4559" s="20">
        <v>0</v>
      </c>
      <c r="P4559" s="20">
        <v>0</v>
      </c>
      <c r="Q4559" s="20">
        <v>0</v>
      </c>
      <c r="R4559" s="21">
        <v>1</v>
      </c>
      <c r="S4559" s="20">
        <v>0</v>
      </c>
    </row>
    <row r="4560" spans="2:19" ht="15" customHeight="1" x14ac:dyDescent="0.25">
      <c r="B4560" s="2" t="str">
        <f t="shared" si="142"/>
        <v>NSG_Income Eligible_Multi-Family_Whole Building - Prescriptive_Boiler_≥88% AFUE, &lt;300MBh_MF</v>
      </c>
      <c r="C4560" s="2" t="str">
        <f t="shared" si="143"/>
        <v>NSG_Income Eligible_Multi-Family_Whole Building - Prescriptive_Boiler_≥88% AFUE, &lt;300MBh_MF_2025</v>
      </c>
      <c r="D4560" s="19" t="s">
        <v>1787</v>
      </c>
      <c r="E4560" s="19" t="s">
        <v>325</v>
      </c>
      <c r="F4560" s="19" t="s">
        <v>1422</v>
      </c>
      <c r="G4560" s="19" t="s">
        <v>1813</v>
      </c>
      <c r="H4560" s="19" t="s">
        <v>944</v>
      </c>
      <c r="I4560" s="19" t="s">
        <v>945</v>
      </c>
      <c r="J4560" s="19" t="s">
        <v>942</v>
      </c>
      <c r="K4560" s="19" t="s">
        <v>553</v>
      </c>
      <c r="L4560" s="19">
        <v>2025</v>
      </c>
      <c r="M4560" s="20">
        <v>150</v>
      </c>
      <c r="N4560" s="19" t="s">
        <v>667</v>
      </c>
      <c r="O4560" s="20">
        <v>0</v>
      </c>
      <c r="P4560" s="20">
        <v>0</v>
      </c>
      <c r="Q4560" s="20">
        <v>0</v>
      </c>
      <c r="R4560" s="21">
        <v>1</v>
      </c>
      <c r="S4560" s="20">
        <v>0</v>
      </c>
    </row>
    <row r="4561" spans="2:19" ht="15" customHeight="1" x14ac:dyDescent="0.25">
      <c r="B4561" s="2" t="str">
        <f t="shared" si="142"/>
        <v>NSG_Income Eligible_Multi-Family_Whole Building - Prescriptive_Boiler_≥88% AFUE, ≥300MBh TE_MF</v>
      </c>
      <c r="C4561" s="2" t="str">
        <f t="shared" si="143"/>
        <v>NSG_Income Eligible_Multi-Family_Whole Building - Prescriptive_Boiler_≥88% AFUE, ≥300MBh TE_MF_2022</v>
      </c>
      <c r="D4561" s="19" t="s">
        <v>1787</v>
      </c>
      <c r="E4561" s="19" t="s">
        <v>325</v>
      </c>
      <c r="F4561" s="19" t="s">
        <v>1422</v>
      </c>
      <c r="G4561" s="19" t="s">
        <v>1813</v>
      </c>
      <c r="H4561" s="19" t="s">
        <v>944</v>
      </c>
      <c r="I4561" s="19" t="s">
        <v>946</v>
      </c>
      <c r="J4561" s="19" t="s">
        <v>942</v>
      </c>
      <c r="K4561" s="19" t="s">
        <v>553</v>
      </c>
      <c r="L4561" s="19">
        <v>2022</v>
      </c>
      <c r="M4561" s="20">
        <v>350</v>
      </c>
      <c r="N4561" s="19" t="s">
        <v>667</v>
      </c>
      <c r="O4561" s="20">
        <v>0</v>
      </c>
      <c r="P4561" s="20">
        <v>0</v>
      </c>
      <c r="Q4561" s="20">
        <v>0</v>
      </c>
      <c r="R4561" s="21">
        <v>1</v>
      </c>
      <c r="S4561" s="20">
        <v>0</v>
      </c>
    </row>
    <row r="4562" spans="2:19" ht="15" customHeight="1" x14ac:dyDescent="0.25">
      <c r="B4562" s="2" t="str">
        <f t="shared" si="142"/>
        <v>NSG_Income Eligible_Multi-Family_Whole Building - Prescriptive_Boiler_≥88% AFUE, ≥300MBh TE_MF</v>
      </c>
      <c r="C4562" s="2" t="str">
        <f t="shared" si="143"/>
        <v>NSG_Income Eligible_Multi-Family_Whole Building - Prescriptive_Boiler_≥88% AFUE, ≥300MBh TE_MF_2023</v>
      </c>
      <c r="D4562" s="19" t="s">
        <v>1787</v>
      </c>
      <c r="E4562" s="19" t="s">
        <v>325</v>
      </c>
      <c r="F4562" s="19" t="s">
        <v>1422</v>
      </c>
      <c r="G4562" s="19" t="s">
        <v>1813</v>
      </c>
      <c r="H4562" s="19" t="s">
        <v>944</v>
      </c>
      <c r="I4562" s="19" t="s">
        <v>946</v>
      </c>
      <c r="J4562" s="19" t="s">
        <v>942</v>
      </c>
      <c r="K4562" s="19" t="s">
        <v>553</v>
      </c>
      <c r="L4562" s="19">
        <v>2023</v>
      </c>
      <c r="M4562" s="20">
        <v>350</v>
      </c>
      <c r="N4562" s="19" t="s">
        <v>667</v>
      </c>
      <c r="O4562" s="20">
        <v>0</v>
      </c>
      <c r="P4562" s="20">
        <v>0</v>
      </c>
      <c r="Q4562" s="20">
        <v>0</v>
      </c>
      <c r="R4562" s="21">
        <v>1</v>
      </c>
      <c r="S4562" s="20">
        <v>0</v>
      </c>
    </row>
    <row r="4563" spans="2:19" ht="15" customHeight="1" x14ac:dyDescent="0.25">
      <c r="B4563" s="2" t="str">
        <f t="shared" si="142"/>
        <v>NSG_Income Eligible_Multi-Family_Whole Building - Prescriptive_Boiler_≥88% AFUE, ≥300MBh TE_MF</v>
      </c>
      <c r="C4563" s="2" t="str">
        <f t="shared" si="143"/>
        <v>NSG_Income Eligible_Multi-Family_Whole Building - Prescriptive_Boiler_≥88% AFUE, ≥300MBh TE_MF_2024</v>
      </c>
      <c r="D4563" s="19" t="s">
        <v>1787</v>
      </c>
      <c r="E4563" s="19" t="s">
        <v>325</v>
      </c>
      <c r="F4563" s="19" t="s">
        <v>1422</v>
      </c>
      <c r="G4563" s="19" t="s">
        <v>1813</v>
      </c>
      <c r="H4563" s="19" t="s">
        <v>944</v>
      </c>
      <c r="I4563" s="19" t="s">
        <v>946</v>
      </c>
      <c r="J4563" s="19" t="s">
        <v>942</v>
      </c>
      <c r="K4563" s="19" t="s">
        <v>553</v>
      </c>
      <c r="L4563" s="19">
        <v>2024</v>
      </c>
      <c r="M4563" s="20">
        <v>350</v>
      </c>
      <c r="N4563" s="19" t="s">
        <v>667</v>
      </c>
      <c r="O4563" s="20">
        <v>0</v>
      </c>
      <c r="P4563" s="20">
        <v>0</v>
      </c>
      <c r="Q4563" s="20">
        <v>0</v>
      </c>
      <c r="R4563" s="21">
        <v>1</v>
      </c>
      <c r="S4563" s="20">
        <v>0</v>
      </c>
    </row>
    <row r="4564" spans="2:19" ht="15" customHeight="1" x14ac:dyDescent="0.25">
      <c r="B4564" s="2" t="str">
        <f t="shared" si="142"/>
        <v>NSG_Income Eligible_Multi-Family_Whole Building - Prescriptive_Boiler_≥88% AFUE, ≥300MBh TE_MF</v>
      </c>
      <c r="C4564" s="2" t="str">
        <f t="shared" si="143"/>
        <v>NSG_Income Eligible_Multi-Family_Whole Building - Prescriptive_Boiler_≥88% AFUE, ≥300MBh TE_MF_2025</v>
      </c>
      <c r="D4564" s="19" t="s">
        <v>1787</v>
      </c>
      <c r="E4564" s="19" t="s">
        <v>325</v>
      </c>
      <c r="F4564" s="19" t="s">
        <v>1422</v>
      </c>
      <c r="G4564" s="19" t="s">
        <v>1813</v>
      </c>
      <c r="H4564" s="19" t="s">
        <v>944</v>
      </c>
      <c r="I4564" s="19" t="s">
        <v>946</v>
      </c>
      <c r="J4564" s="19" t="s">
        <v>942</v>
      </c>
      <c r="K4564" s="19" t="s">
        <v>553</v>
      </c>
      <c r="L4564" s="19">
        <v>2025</v>
      </c>
      <c r="M4564" s="20">
        <v>350</v>
      </c>
      <c r="N4564" s="19" t="s">
        <v>667</v>
      </c>
      <c r="O4564" s="20">
        <v>0</v>
      </c>
      <c r="P4564" s="20">
        <v>0</v>
      </c>
      <c r="Q4564" s="20">
        <v>0</v>
      </c>
      <c r="R4564" s="21">
        <v>1</v>
      </c>
      <c r="S4564" s="20">
        <v>0</v>
      </c>
    </row>
    <row r="4565" spans="2:19" ht="15" customHeight="1" x14ac:dyDescent="0.25">
      <c r="B4565" s="2" t="str">
        <f t="shared" si="142"/>
        <v>NSG_Income Eligible_Multi-Family_Whole Building - Prescriptive_Boiler Reset Controls_0_MF</v>
      </c>
      <c r="C4565" s="2" t="str">
        <f t="shared" si="143"/>
        <v>NSG_Income Eligible_Multi-Family_Whole Building - Prescriptive_Boiler Reset Controls_0_MF_2022</v>
      </c>
      <c r="D4565" s="19" t="s">
        <v>1787</v>
      </c>
      <c r="E4565" s="19" t="s">
        <v>325</v>
      </c>
      <c r="F4565" s="19" t="s">
        <v>1422</v>
      </c>
      <c r="G4565" s="19" t="s">
        <v>1813</v>
      </c>
      <c r="H4565" s="19" t="s">
        <v>978</v>
      </c>
      <c r="I4565" s="19">
        <v>0</v>
      </c>
      <c r="J4565" s="19" t="s">
        <v>25</v>
      </c>
      <c r="K4565" s="19" t="s">
        <v>553</v>
      </c>
      <c r="L4565" s="19">
        <v>2022</v>
      </c>
      <c r="M4565" s="20">
        <v>200</v>
      </c>
      <c r="N4565" s="19" t="s">
        <v>667</v>
      </c>
      <c r="O4565" s="20">
        <v>0</v>
      </c>
      <c r="P4565" s="20">
        <v>0</v>
      </c>
      <c r="Q4565" s="20">
        <v>0</v>
      </c>
      <c r="R4565" s="21">
        <v>1</v>
      </c>
      <c r="S4565" s="20">
        <v>0</v>
      </c>
    </row>
    <row r="4566" spans="2:19" ht="15" customHeight="1" x14ac:dyDescent="0.25">
      <c r="B4566" s="2" t="str">
        <f t="shared" si="142"/>
        <v>NSG_Income Eligible_Multi-Family_Whole Building - Prescriptive_Boiler Reset Controls_0_MF</v>
      </c>
      <c r="C4566" s="2" t="str">
        <f t="shared" si="143"/>
        <v>NSG_Income Eligible_Multi-Family_Whole Building - Prescriptive_Boiler Reset Controls_0_MF_2023</v>
      </c>
      <c r="D4566" s="19" t="s">
        <v>1787</v>
      </c>
      <c r="E4566" s="19" t="s">
        <v>325</v>
      </c>
      <c r="F4566" s="19" t="s">
        <v>1422</v>
      </c>
      <c r="G4566" s="19" t="s">
        <v>1813</v>
      </c>
      <c r="H4566" s="19" t="s">
        <v>978</v>
      </c>
      <c r="I4566" s="19">
        <v>0</v>
      </c>
      <c r="J4566" s="19" t="s">
        <v>25</v>
      </c>
      <c r="K4566" s="19" t="s">
        <v>553</v>
      </c>
      <c r="L4566" s="19">
        <v>2023</v>
      </c>
      <c r="M4566" s="20">
        <v>200</v>
      </c>
      <c r="N4566" s="19" t="s">
        <v>667</v>
      </c>
      <c r="O4566" s="20">
        <v>0</v>
      </c>
      <c r="P4566" s="20">
        <v>0</v>
      </c>
      <c r="Q4566" s="20">
        <v>0</v>
      </c>
      <c r="R4566" s="21">
        <v>1</v>
      </c>
      <c r="S4566" s="20">
        <v>0</v>
      </c>
    </row>
    <row r="4567" spans="2:19" ht="15" customHeight="1" x14ac:dyDescent="0.25">
      <c r="B4567" s="2" t="str">
        <f t="shared" si="142"/>
        <v>NSG_Income Eligible_Multi-Family_Whole Building - Prescriptive_Boiler Reset Controls_0_MF</v>
      </c>
      <c r="C4567" s="2" t="str">
        <f t="shared" si="143"/>
        <v>NSG_Income Eligible_Multi-Family_Whole Building - Prescriptive_Boiler Reset Controls_0_MF_2024</v>
      </c>
      <c r="D4567" s="19" t="s">
        <v>1787</v>
      </c>
      <c r="E4567" s="19" t="s">
        <v>325</v>
      </c>
      <c r="F4567" s="19" t="s">
        <v>1422</v>
      </c>
      <c r="G4567" s="19" t="s">
        <v>1813</v>
      </c>
      <c r="H4567" s="19" t="s">
        <v>978</v>
      </c>
      <c r="I4567" s="19">
        <v>0</v>
      </c>
      <c r="J4567" s="19" t="s">
        <v>25</v>
      </c>
      <c r="K4567" s="19" t="s">
        <v>553</v>
      </c>
      <c r="L4567" s="19">
        <v>2024</v>
      </c>
      <c r="M4567" s="20">
        <v>200</v>
      </c>
      <c r="N4567" s="19" t="s">
        <v>667</v>
      </c>
      <c r="O4567" s="20">
        <v>0</v>
      </c>
      <c r="P4567" s="20">
        <v>0</v>
      </c>
      <c r="Q4567" s="20">
        <v>0</v>
      </c>
      <c r="R4567" s="21">
        <v>1</v>
      </c>
      <c r="S4567" s="20">
        <v>0</v>
      </c>
    </row>
    <row r="4568" spans="2:19" ht="15" customHeight="1" x14ac:dyDescent="0.25">
      <c r="B4568" s="2" t="str">
        <f t="shared" si="142"/>
        <v>NSG_Income Eligible_Multi-Family_Whole Building - Prescriptive_Boiler Reset Controls_0_MF</v>
      </c>
      <c r="C4568" s="2" t="str">
        <f t="shared" si="143"/>
        <v>NSG_Income Eligible_Multi-Family_Whole Building - Prescriptive_Boiler Reset Controls_0_MF_2025</v>
      </c>
      <c r="D4568" s="19" t="s">
        <v>1787</v>
      </c>
      <c r="E4568" s="19" t="s">
        <v>325</v>
      </c>
      <c r="F4568" s="19" t="s">
        <v>1422</v>
      </c>
      <c r="G4568" s="19" t="s">
        <v>1813</v>
      </c>
      <c r="H4568" s="19" t="s">
        <v>978</v>
      </c>
      <c r="I4568" s="19">
        <v>0</v>
      </c>
      <c r="J4568" s="19" t="s">
        <v>25</v>
      </c>
      <c r="K4568" s="19" t="s">
        <v>553</v>
      </c>
      <c r="L4568" s="19">
        <v>2025</v>
      </c>
      <c r="M4568" s="20">
        <v>200</v>
      </c>
      <c r="N4568" s="19" t="s">
        <v>667</v>
      </c>
      <c r="O4568" s="20">
        <v>0</v>
      </c>
      <c r="P4568" s="20">
        <v>0</v>
      </c>
      <c r="Q4568" s="20">
        <v>0</v>
      </c>
      <c r="R4568" s="21">
        <v>1</v>
      </c>
      <c r="S4568" s="20">
        <v>0</v>
      </c>
    </row>
    <row r="4569" spans="2:19" ht="15" customHeight="1" x14ac:dyDescent="0.25">
      <c r="B4569" s="2" t="str">
        <f t="shared" si="142"/>
        <v>NSG_Income Eligible_Multi-Family_Whole Building - Prescriptive_Boiler Tune Up_Space Heating_MF</v>
      </c>
      <c r="C4569" s="2" t="str">
        <f t="shared" si="143"/>
        <v>NSG_Income Eligible_Multi-Family_Whole Building - Prescriptive_Boiler Tune Up_Space Heating_MF_2022</v>
      </c>
      <c r="D4569" s="19" t="s">
        <v>1787</v>
      </c>
      <c r="E4569" s="19" t="s">
        <v>325</v>
      </c>
      <c r="F4569" s="19" t="s">
        <v>1422</v>
      </c>
      <c r="G4569" s="19" t="s">
        <v>1813</v>
      </c>
      <c r="H4569" s="19" t="s">
        <v>906</v>
      </c>
      <c r="I4569" s="19" t="s">
        <v>907</v>
      </c>
      <c r="J4569" s="19" t="s">
        <v>909</v>
      </c>
      <c r="K4569" s="19" t="s">
        <v>553</v>
      </c>
      <c r="L4569" s="19">
        <v>2022</v>
      </c>
      <c r="M4569" s="20">
        <v>800</v>
      </c>
      <c r="N4569" s="19" t="s">
        <v>667</v>
      </c>
      <c r="O4569" s="20">
        <v>1</v>
      </c>
      <c r="P4569" s="20">
        <v>800</v>
      </c>
      <c r="Q4569" s="20">
        <v>374.99877300613576</v>
      </c>
      <c r="R4569" s="21">
        <v>1</v>
      </c>
      <c r="S4569" s="20">
        <v>374.99877300613576</v>
      </c>
    </row>
    <row r="4570" spans="2:19" ht="15" customHeight="1" x14ac:dyDescent="0.25">
      <c r="B4570" s="2" t="str">
        <f t="shared" si="142"/>
        <v>NSG_Income Eligible_Multi-Family_Whole Building - Prescriptive_Boiler Tune Up_Space Heating_MF</v>
      </c>
      <c r="C4570" s="2" t="str">
        <f t="shared" si="143"/>
        <v>NSG_Income Eligible_Multi-Family_Whole Building - Prescriptive_Boiler Tune Up_Space Heating_MF_2023</v>
      </c>
      <c r="D4570" s="19" t="s">
        <v>1787</v>
      </c>
      <c r="E4570" s="19" t="s">
        <v>325</v>
      </c>
      <c r="F4570" s="19" t="s">
        <v>1422</v>
      </c>
      <c r="G4570" s="19" t="s">
        <v>1813</v>
      </c>
      <c r="H4570" s="19" t="s">
        <v>906</v>
      </c>
      <c r="I4570" s="19" t="s">
        <v>907</v>
      </c>
      <c r="J4570" s="19" t="s">
        <v>909</v>
      </c>
      <c r="K4570" s="19" t="s">
        <v>553</v>
      </c>
      <c r="L4570" s="19">
        <v>2023</v>
      </c>
      <c r="M4570" s="20">
        <v>800</v>
      </c>
      <c r="N4570" s="19" t="s">
        <v>667</v>
      </c>
      <c r="O4570" s="20">
        <v>1</v>
      </c>
      <c r="P4570" s="20">
        <v>800</v>
      </c>
      <c r="Q4570" s="20">
        <v>374.99877300613576</v>
      </c>
      <c r="R4570" s="21">
        <v>1</v>
      </c>
      <c r="S4570" s="20">
        <v>374.99877300613576</v>
      </c>
    </row>
    <row r="4571" spans="2:19" ht="15" customHeight="1" x14ac:dyDescent="0.25">
      <c r="B4571" s="2" t="str">
        <f t="shared" si="142"/>
        <v>NSG_Income Eligible_Multi-Family_Whole Building - Prescriptive_Boiler Tune Up_Space Heating_MF</v>
      </c>
      <c r="C4571" s="2" t="str">
        <f t="shared" si="143"/>
        <v>NSG_Income Eligible_Multi-Family_Whole Building - Prescriptive_Boiler Tune Up_Space Heating_MF_2024</v>
      </c>
      <c r="D4571" s="19" t="s">
        <v>1787</v>
      </c>
      <c r="E4571" s="19" t="s">
        <v>325</v>
      </c>
      <c r="F4571" s="19" t="s">
        <v>1422</v>
      </c>
      <c r="G4571" s="19" t="s">
        <v>1813</v>
      </c>
      <c r="H4571" s="19" t="s">
        <v>906</v>
      </c>
      <c r="I4571" s="19" t="s">
        <v>907</v>
      </c>
      <c r="J4571" s="19" t="s">
        <v>909</v>
      </c>
      <c r="K4571" s="19" t="s">
        <v>553</v>
      </c>
      <c r="L4571" s="19">
        <v>2024</v>
      </c>
      <c r="M4571" s="20">
        <v>800</v>
      </c>
      <c r="N4571" s="19" t="s">
        <v>667</v>
      </c>
      <c r="O4571" s="20">
        <v>1</v>
      </c>
      <c r="P4571" s="20">
        <v>800</v>
      </c>
      <c r="Q4571" s="20">
        <v>374.99877300613576</v>
      </c>
      <c r="R4571" s="21">
        <v>1</v>
      </c>
      <c r="S4571" s="20">
        <v>374.99877300613576</v>
      </c>
    </row>
    <row r="4572" spans="2:19" ht="15" customHeight="1" x14ac:dyDescent="0.25">
      <c r="B4572" s="2" t="str">
        <f t="shared" si="142"/>
        <v>NSG_Income Eligible_Multi-Family_Whole Building - Prescriptive_Boiler Tune Up_Space Heating_MF</v>
      </c>
      <c r="C4572" s="2" t="str">
        <f t="shared" si="143"/>
        <v>NSG_Income Eligible_Multi-Family_Whole Building - Prescriptive_Boiler Tune Up_Space Heating_MF_2025</v>
      </c>
      <c r="D4572" s="19" t="s">
        <v>1787</v>
      </c>
      <c r="E4572" s="19" t="s">
        <v>325</v>
      </c>
      <c r="F4572" s="19" t="s">
        <v>1422</v>
      </c>
      <c r="G4572" s="19" t="s">
        <v>1813</v>
      </c>
      <c r="H4572" s="19" t="s">
        <v>906</v>
      </c>
      <c r="I4572" s="19" t="s">
        <v>907</v>
      </c>
      <c r="J4572" s="19" t="s">
        <v>909</v>
      </c>
      <c r="K4572" s="19" t="s">
        <v>553</v>
      </c>
      <c r="L4572" s="19">
        <v>2025</v>
      </c>
      <c r="M4572" s="20">
        <v>800</v>
      </c>
      <c r="N4572" s="19" t="s">
        <v>667</v>
      </c>
      <c r="O4572" s="20">
        <v>1</v>
      </c>
      <c r="P4572" s="20">
        <v>800</v>
      </c>
      <c r="Q4572" s="20">
        <v>374.99877300613576</v>
      </c>
      <c r="R4572" s="21">
        <v>1</v>
      </c>
      <c r="S4572" s="20">
        <v>374.99877300613576</v>
      </c>
    </row>
    <row r="4573" spans="2:19" ht="15" customHeight="1" x14ac:dyDescent="0.25">
      <c r="B4573" s="2" t="str">
        <f t="shared" si="142"/>
        <v>NSG_Income Eligible_Multi-Family_Whole Building - Prescriptive_Furnace (In Unit)_&gt;95% AFUE_MF</v>
      </c>
      <c r="C4573" s="2" t="str">
        <f t="shared" si="143"/>
        <v>NSG_Income Eligible_Multi-Family_Whole Building - Prescriptive_Furnace (In Unit)_&gt;95% AFUE_MF_2022</v>
      </c>
      <c r="D4573" s="19" t="s">
        <v>1787</v>
      </c>
      <c r="E4573" s="19" t="s">
        <v>325</v>
      </c>
      <c r="F4573" s="19" t="s">
        <v>1422</v>
      </c>
      <c r="G4573" s="19" t="s">
        <v>1813</v>
      </c>
      <c r="H4573" s="19" t="s">
        <v>988</v>
      </c>
      <c r="I4573" s="19" t="s">
        <v>982</v>
      </c>
      <c r="J4573" s="19" t="s">
        <v>990</v>
      </c>
      <c r="K4573" s="19" t="s">
        <v>553</v>
      </c>
      <c r="L4573" s="19">
        <v>2022</v>
      </c>
      <c r="M4573" s="20">
        <v>1</v>
      </c>
      <c r="N4573" s="19" t="s">
        <v>1798</v>
      </c>
      <c r="O4573" s="20">
        <v>0</v>
      </c>
      <c r="P4573" s="20">
        <v>0</v>
      </c>
      <c r="Q4573" s="20">
        <v>0</v>
      </c>
      <c r="R4573" s="21">
        <v>1</v>
      </c>
      <c r="S4573" s="20">
        <v>0</v>
      </c>
    </row>
    <row r="4574" spans="2:19" ht="15" customHeight="1" x14ac:dyDescent="0.25">
      <c r="B4574" s="2" t="str">
        <f t="shared" si="142"/>
        <v>NSG_Income Eligible_Multi-Family_Whole Building - Prescriptive_Furnace (In Unit)_&gt;95% AFUE_MF</v>
      </c>
      <c r="C4574" s="2" t="str">
        <f t="shared" si="143"/>
        <v>NSG_Income Eligible_Multi-Family_Whole Building - Prescriptive_Furnace (In Unit)_&gt;95% AFUE_MF_2023</v>
      </c>
      <c r="D4574" s="19" t="s">
        <v>1787</v>
      </c>
      <c r="E4574" s="19" t="s">
        <v>325</v>
      </c>
      <c r="F4574" s="19" t="s">
        <v>1422</v>
      </c>
      <c r="G4574" s="19" t="s">
        <v>1813</v>
      </c>
      <c r="H4574" s="19" t="s">
        <v>988</v>
      </c>
      <c r="I4574" s="19" t="s">
        <v>982</v>
      </c>
      <c r="J4574" s="19" t="s">
        <v>990</v>
      </c>
      <c r="K4574" s="19" t="s">
        <v>553</v>
      </c>
      <c r="L4574" s="19">
        <v>2023</v>
      </c>
      <c r="M4574" s="20">
        <v>1</v>
      </c>
      <c r="N4574" s="19" t="s">
        <v>1798</v>
      </c>
      <c r="O4574" s="20">
        <v>0</v>
      </c>
      <c r="P4574" s="20">
        <v>0</v>
      </c>
      <c r="Q4574" s="20">
        <v>0</v>
      </c>
      <c r="R4574" s="21">
        <v>1</v>
      </c>
      <c r="S4574" s="20">
        <v>0</v>
      </c>
    </row>
    <row r="4575" spans="2:19" ht="15" customHeight="1" x14ac:dyDescent="0.25">
      <c r="B4575" s="2" t="str">
        <f t="shared" si="142"/>
        <v>NSG_Income Eligible_Multi-Family_Whole Building - Prescriptive_Furnace (In Unit)_&gt;95% AFUE_MF</v>
      </c>
      <c r="C4575" s="2" t="str">
        <f t="shared" si="143"/>
        <v>NSG_Income Eligible_Multi-Family_Whole Building - Prescriptive_Furnace (In Unit)_&gt;95% AFUE_MF_2024</v>
      </c>
      <c r="D4575" s="19" t="s">
        <v>1787</v>
      </c>
      <c r="E4575" s="19" t="s">
        <v>325</v>
      </c>
      <c r="F4575" s="19" t="s">
        <v>1422</v>
      </c>
      <c r="G4575" s="19" t="s">
        <v>1813</v>
      </c>
      <c r="H4575" s="19" t="s">
        <v>988</v>
      </c>
      <c r="I4575" s="19" t="s">
        <v>982</v>
      </c>
      <c r="J4575" s="19" t="s">
        <v>990</v>
      </c>
      <c r="K4575" s="19" t="s">
        <v>553</v>
      </c>
      <c r="L4575" s="19">
        <v>2024</v>
      </c>
      <c r="M4575" s="20">
        <v>1</v>
      </c>
      <c r="N4575" s="19" t="s">
        <v>1798</v>
      </c>
      <c r="O4575" s="20">
        <v>0</v>
      </c>
      <c r="P4575" s="20">
        <v>0</v>
      </c>
      <c r="Q4575" s="20">
        <v>0</v>
      </c>
      <c r="R4575" s="21">
        <v>1</v>
      </c>
      <c r="S4575" s="20">
        <v>0</v>
      </c>
    </row>
    <row r="4576" spans="2:19" ht="15" customHeight="1" x14ac:dyDescent="0.25">
      <c r="B4576" s="2" t="str">
        <f t="shared" si="142"/>
        <v>NSG_Income Eligible_Multi-Family_Whole Building - Prescriptive_Furnace (In Unit)_&gt;95% AFUE_MF</v>
      </c>
      <c r="C4576" s="2" t="str">
        <f t="shared" si="143"/>
        <v>NSG_Income Eligible_Multi-Family_Whole Building - Prescriptive_Furnace (In Unit)_&gt;95% AFUE_MF_2025</v>
      </c>
      <c r="D4576" s="19" t="s">
        <v>1787</v>
      </c>
      <c r="E4576" s="19" t="s">
        <v>325</v>
      </c>
      <c r="F4576" s="19" t="s">
        <v>1422</v>
      </c>
      <c r="G4576" s="19" t="s">
        <v>1813</v>
      </c>
      <c r="H4576" s="19" t="s">
        <v>988</v>
      </c>
      <c r="I4576" s="19" t="s">
        <v>982</v>
      </c>
      <c r="J4576" s="19" t="s">
        <v>990</v>
      </c>
      <c r="K4576" s="19" t="s">
        <v>553</v>
      </c>
      <c r="L4576" s="19">
        <v>2025</v>
      </c>
      <c r="M4576" s="20">
        <v>1</v>
      </c>
      <c r="N4576" s="19" t="s">
        <v>1798</v>
      </c>
      <c r="O4576" s="20">
        <v>0</v>
      </c>
      <c r="P4576" s="20">
        <v>0</v>
      </c>
      <c r="Q4576" s="20">
        <v>0</v>
      </c>
      <c r="R4576" s="21">
        <v>1</v>
      </c>
      <c r="S4576" s="20">
        <v>0</v>
      </c>
    </row>
    <row r="4577" spans="2:19" ht="15" customHeight="1" x14ac:dyDescent="0.25">
      <c r="B4577" s="2" t="str">
        <f t="shared" si="142"/>
        <v>NSG_Income Eligible_Multi-Family_Whole Building - Prescriptive_Pipe Insulation_Hyd. Boiler Sm ≤1.25"_MF</v>
      </c>
      <c r="C4577" s="2" t="str">
        <f t="shared" si="143"/>
        <v>NSG_Income Eligible_Multi-Family_Whole Building - Prescriptive_Pipe Insulation_Hyd. Boiler Sm ≤1.25"_MF_2022</v>
      </c>
      <c r="D4577" s="19" t="s">
        <v>1787</v>
      </c>
      <c r="E4577" s="19" t="s">
        <v>325</v>
      </c>
      <c r="F4577" s="19" t="s">
        <v>1422</v>
      </c>
      <c r="G4577" s="19" t="s">
        <v>1813</v>
      </c>
      <c r="H4577" s="19" t="s">
        <v>404</v>
      </c>
      <c r="I4577" s="19" t="s">
        <v>947</v>
      </c>
      <c r="J4577" s="19">
        <v>0</v>
      </c>
      <c r="K4577" s="19" t="s">
        <v>553</v>
      </c>
      <c r="L4577" s="19">
        <v>2022</v>
      </c>
      <c r="M4577" s="20">
        <v>75</v>
      </c>
      <c r="N4577" s="19" t="s">
        <v>616</v>
      </c>
      <c r="O4577" s="20">
        <v>0</v>
      </c>
      <c r="P4577" s="20">
        <v>0</v>
      </c>
      <c r="Q4577" s="20">
        <v>0</v>
      </c>
      <c r="R4577" s="21">
        <v>1</v>
      </c>
      <c r="S4577" s="20">
        <v>0</v>
      </c>
    </row>
    <row r="4578" spans="2:19" ht="15" customHeight="1" x14ac:dyDescent="0.25">
      <c r="B4578" s="2" t="str">
        <f t="shared" si="142"/>
        <v>NSG_Income Eligible_Multi-Family_Whole Building - Prescriptive_Pipe Insulation_Hyd. Boiler Sm ≤1.25"_MF</v>
      </c>
      <c r="C4578" s="2" t="str">
        <f t="shared" si="143"/>
        <v>NSG_Income Eligible_Multi-Family_Whole Building - Prescriptive_Pipe Insulation_Hyd. Boiler Sm ≤1.25"_MF_2023</v>
      </c>
      <c r="D4578" s="19" t="s">
        <v>1787</v>
      </c>
      <c r="E4578" s="19" t="s">
        <v>325</v>
      </c>
      <c r="F4578" s="19" t="s">
        <v>1422</v>
      </c>
      <c r="G4578" s="19" t="s">
        <v>1813</v>
      </c>
      <c r="H4578" s="19" t="s">
        <v>404</v>
      </c>
      <c r="I4578" s="19" t="s">
        <v>947</v>
      </c>
      <c r="J4578" s="19">
        <v>0</v>
      </c>
      <c r="K4578" s="19" t="s">
        <v>553</v>
      </c>
      <c r="L4578" s="19">
        <v>2023</v>
      </c>
      <c r="M4578" s="20">
        <v>75</v>
      </c>
      <c r="N4578" s="19" t="s">
        <v>616</v>
      </c>
      <c r="O4578" s="20">
        <v>0</v>
      </c>
      <c r="P4578" s="20">
        <v>0</v>
      </c>
      <c r="Q4578" s="20">
        <v>0</v>
      </c>
      <c r="R4578" s="21">
        <v>1</v>
      </c>
      <c r="S4578" s="20">
        <v>0</v>
      </c>
    </row>
    <row r="4579" spans="2:19" ht="15" customHeight="1" x14ac:dyDescent="0.25">
      <c r="B4579" s="2" t="str">
        <f t="shared" si="142"/>
        <v>NSG_Income Eligible_Multi-Family_Whole Building - Prescriptive_Pipe Insulation_Hyd. Boiler Sm ≤1.25"_MF</v>
      </c>
      <c r="C4579" s="2" t="str">
        <f t="shared" si="143"/>
        <v>NSG_Income Eligible_Multi-Family_Whole Building - Prescriptive_Pipe Insulation_Hyd. Boiler Sm ≤1.25"_MF_2024</v>
      </c>
      <c r="D4579" s="19" t="s">
        <v>1787</v>
      </c>
      <c r="E4579" s="19" t="s">
        <v>325</v>
      </c>
      <c r="F4579" s="19" t="s">
        <v>1422</v>
      </c>
      <c r="G4579" s="19" t="s">
        <v>1813</v>
      </c>
      <c r="H4579" s="19" t="s">
        <v>404</v>
      </c>
      <c r="I4579" s="19" t="s">
        <v>947</v>
      </c>
      <c r="J4579" s="19">
        <v>0</v>
      </c>
      <c r="K4579" s="19" t="s">
        <v>553</v>
      </c>
      <c r="L4579" s="19">
        <v>2024</v>
      </c>
      <c r="M4579" s="20">
        <v>75</v>
      </c>
      <c r="N4579" s="19" t="s">
        <v>616</v>
      </c>
      <c r="O4579" s="20">
        <v>0</v>
      </c>
      <c r="P4579" s="20">
        <v>0</v>
      </c>
      <c r="Q4579" s="20">
        <v>0</v>
      </c>
      <c r="R4579" s="21">
        <v>1</v>
      </c>
      <c r="S4579" s="20">
        <v>0</v>
      </c>
    </row>
    <row r="4580" spans="2:19" ht="15" customHeight="1" x14ac:dyDescent="0.25">
      <c r="B4580" s="2" t="str">
        <f t="shared" si="142"/>
        <v>NSG_Income Eligible_Multi-Family_Whole Building - Prescriptive_Pipe Insulation_Hyd. Boiler Sm ≤1.25"_MF</v>
      </c>
      <c r="C4580" s="2" t="str">
        <f t="shared" si="143"/>
        <v>NSG_Income Eligible_Multi-Family_Whole Building - Prescriptive_Pipe Insulation_Hyd. Boiler Sm ≤1.25"_MF_2025</v>
      </c>
      <c r="D4580" s="19" t="s">
        <v>1787</v>
      </c>
      <c r="E4580" s="19" t="s">
        <v>325</v>
      </c>
      <c r="F4580" s="19" t="s">
        <v>1422</v>
      </c>
      <c r="G4580" s="19" t="s">
        <v>1813</v>
      </c>
      <c r="H4580" s="19" t="s">
        <v>404</v>
      </c>
      <c r="I4580" s="19" t="s">
        <v>947</v>
      </c>
      <c r="J4580" s="19">
        <v>0</v>
      </c>
      <c r="K4580" s="19" t="s">
        <v>553</v>
      </c>
      <c r="L4580" s="19">
        <v>2025</v>
      </c>
      <c r="M4580" s="20">
        <v>75</v>
      </c>
      <c r="N4580" s="19" t="s">
        <v>616</v>
      </c>
      <c r="O4580" s="20">
        <v>0</v>
      </c>
      <c r="P4580" s="20">
        <v>0</v>
      </c>
      <c r="Q4580" s="20">
        <v>0</v>
      </c>
      <c r="R4580" s="21">
        <v>1</v>
      </c>
      <c r="S4580" s="20">
        <v>0</v>
      </c>
    </row>
    <row r="4581" spans="2:19" ht="15" customHeight="1" x14ac:dyDescent="0.25">
      <c r="B4581" s="2" t="str">
        <f t="shared" si="142"/>
        <v>NSG_Income Eligible_Multi-Family_Whole Building - Prescriptive_Pipe Insulation_Hyd. Boiler Med 1.25-2"_MF</v>
      </c>
      <c r="C4581" s="2" t="str">
        <f t="shared" si="143"/>
        <v>NSG_Income Eligible_Multi-Family_Whole Building - Prescriptive_Pipe Insulation_Hyd. Boiler Med 1.25-2"_MF_2022</v>
      </c>
      <c r="D4581" s="19" t="s">
        <v>1787</v>
      </c>
      <c r="E4581" s="19" t="s">
        <v>325</v>
      </c>
      <c r="F4581" s="19" t="s">
        <v>1422</v>
      </c>
      <c r="G4581" s="19" t="s">
        <v>1813</v>
      </c>
      <c r="H4581" s="19" t="s">
        <v>404</v>
      </c>
      <c r="I4581" s="19" t="s">
        <v>951</v>
      </c>
      <c r="J4581" s="19">
        <v>0</v>
      </c>
      <c r="K4581" s="19" t="s">
        <v>553</v>
      </c>
      <c r="L4581" s="19">
        <v>2022</v>
      </c>
      <c r="M4581" s="20">
        <v>75</v>
      </c>
      <c r="N4581" s="19" t="s">
        <v>616</v>
      </c>
      <c r="O4581" s="20">
        <v>0</v>
      </c>
      <c r="P4581" s="20">
        <v>0</v>
      </c>
      <c r="Q4581" s="20">
        <v>0</v>
      </c>
      <c r="R4581" s="21">
        <v>1</v>
      </c>
      <c r="S4581" s="20">
        <v>0</v>
      </c>
    </row>
    <row r="4582" spans="2:19" ht="15" customHeight="1" x14ac:dyDescent="0.25">
      <c r="B4582" s="2" t="str">
        <f t="shared" si="142"/>
        <v>NSG_Income Eligible_Multi-Family_Whole Building - Prescriptive_Pipe Insulation_Hyd. Boiler Med 1.25-2"_MF</v>
      </c>
      <c r="C4582" s="2" t="str">
        <f t="shared" si="143"/>
        <v>NSG_Income Eligible_Multi-Family_Whole Building - Prescriptive_Pipe Insulation_Hyd. Boiler Med 1.25-2"_MF_2023</v>
      </c>
      <c r="D4582" s="19" t="s">
        <v>1787</v>
      </c>
      <c r="E4582" s="19" t="s">
        <v>325</v>
      </c>
      <c r="F4582" s="19" t="s">
        <v>1422</v>
      </c>
      <c r="G4582" s="19" t="s">
        <v>1813</v>
      </c>
      <c r="H4582" s="19" t="s">
        <v>404</v>
      </c>
      <c r="I4582" s="19" t="s">
        <v>951</v>
      </c>
      <c r="J4582" s="19">
        <v>0</v>
      </c>
      <c r="K4582" s="19" t="s">
        <v>553</v>
      </c>
      <c r="L4582" s="19">
        <v>2023</v>
      </c>
      <c r="M4582" s="20">
        <v>75</v>
      </c>
      <c r="N4582" s="19" t="s">
        <v>616</v>
      </c>
      <c r="O4582" s="20">
        <v>0</v>
      </c>
      <c r="P4582" s="20">
        <v>0</v>
      </c>
      <c r="Q4582" s="20">
        <v>0</v>
      </c>
      <c r="R4582" s="21">
        <v>1</v>
      </c>
      <c r="S4582" s="20">
        <v>0</v>
      </c>
    </row>
    <row r="4583" spans="2:19" ht="15" customHeight="1" x14ac:dyDescent="0.25">
      <c r="B4583" s="2" t="str">
        <f t="shared" si="142"/>
        <v>NSG_Income Eligible_Multi-Family_Whole Building - Prescriptive_Pipe Insulation_Hyd. Boiler Med 1.25-2"_MF</v>
      </c>
      <c r="C4583" s="2" t="str">
        <f t="shared" si="143"/>
        <v>NSG_Income Eligible_Multi-Family_Whole Building - Prescriptive_Pipe Insulation_Hyd. Boiler Med 1.25-2"_MF_2024</v>
      </c>
      <c r="D4583" s="19" t="s">
        <v>1787</v>
      </c>
      <c r="E4583" s="19" t="s">
        <v>325</v>
      </c>
      <c r="F4583" s="19" t="s">
        <v>1422</v>
      </c>
      <c r="G4583" s="19" t="s">
        <v>1813</v>
      </c>
      <c r="H4583" s="19" t="s">
        <v>404</v>
      </c>
      <c r="I4583" s="19" t="s">
        <v>951</v>
      </c>
      <c r="J4583" s="19">
        <v>0</v>
      </c>
      <c r="K4583" s="19" t="s">
        <v>553</v>
      </c>
      <c r="L4583" s="19">
        <v>2024</v>
      </c>
      <c r="M4583" s="20">
        <v>75</v>
      </c>
      <c r="N4583" s="19" t="s">
        <v>616</v>
      </c>
      <c r="O4583" s="20">
        <v>0</v>
      </c>
      <c r="P4583" s="20">
        <v>0</v>
      </c>
      <c r="Q4583" s="20">
        <v>0</v>
      </c>
      <c r="R4583" s="21">
        <v>1</v>
      </c>
      <c r="S4583" s="20">
        <v>0</v>
      </c>
    </row>
    <row r="4584" spans="2:19" ht="15" customHeight="1" x14ac:dyDescent="0.25">
      <c r="B4584" s="2" t="str">
        <f t="shared" si="142"/>
        <v>NSG_Income Eligible_Multi-Family_Whole Building - Prescriptive_Pipe Insulation_Hyd. Boiler Med 1.25-2"_MF</v>
      </c>
      <c r="C4584" s="2" t="str">
        <f t="shared" si="143"/>
        <v>NSG_Income Eligible_Multi-Family_Whole Building - Prescriptive_Pipe Insulation_Hyd. Boiler Med 1.25-2"_MF_2025</v>
      </c>
      <c r="D4584" s="19" t="s">
        <v>1787</v>
      </c>
      <c r="E4584" s="19" t="s">
        <v>325</v>
      </c>
      <c r="F4584" s="19" t="s">
        <v>1422</v>
      </c>
      <c r="G4584" s="19" t="s">
        <v>1813</v>
      </c>
      <c r="H4584" s="19" t="s">
        <v>404</v>
      </c>
      <c r="I4584" s="19" t="s">
        <v>951</v>
      </c>
      <c r="J4584" s="19">
        <v>0</v>
      </c>
      <c r="K4584" s="19" t="s">
        <v>553</v>
      </c>
      <c r="L4584" s="19">
        <v>2025</v>
      </c>
      <c r="M4584" s="20">
        <v>75</v>
      </c>
      <c r="N4584" s="19" t="s">
        <v>616</v>
      </c>
      <c r="O4584" s="20">
        <v>0</v>
      </c>
      <c r="P4584" s="20">
        <v>0</v>
      </c>
      <c r="Q4584" s="20">
        <v>0</v>
      </c>
      <c r="R4584" s="21">
        <v>1</v>
      </c>
      <c r="S4584" s="20">
        <v>0</v>
      </c>
    </row>
    <row r="4585" spans="2:19" ht="15" customHeight="1" x14ac:dyDescent="0.25">
      <c r="B4585" s="2" t="str">
        <f t="shared" si="142"/>
        <v>NSG_Income Eligible_Multi-Family_Whole Building - Prescriptive_Pipe Insulation_Hyd. Boiler Large ≥2"_MF</v>
      </c>
      <c r="C4585" s="2" t="str">
        <f t="shared" si="143"/>
        <v>NSG_Income Eligible_Multi-Family_Whole Building - Prescriptive_Pipe Insulation_Hyd. Boiler Large ≥2"_MF_2022</v>
      </c>
      <c r="D4585" s="19" t="s">
        <v>1787</v>
      </c>
      <c r="E4585" s="19" t="s">
        <v>325</v>
      </c>
      <c r="F4585" s="19" t="s">
        <v>1422</v>
      </c>
      <c r="G4585" s="19" t="s">
        <v>1813</v>
      </c>
      <c r="H4585" s="19" t="s">
        <v>404</v>
      </c>
      <c r="I4585" s="19" t="s">
        <v>952</v>
      </c>
      <c r="J4585" s="19">
        <v>0</v>
      </c>
      <c r="K4585" s="19" t="s">
        <v>553</v>
      </c>
      <c r="L4585" s="19">
        <v>2022</v>
      </c>
      <c r="M4585" s="20">
        <v>75</v>
      </c>
      <c r="N4585" s="19" t="s">
        <v>616</v>
      </c>
      <c r="O4585" s="20">
        <v>0</v>
      </c>
      <c r="P4585" s="20">
        <v>0</v>
      </c>
      <c r="Q4585" s="20">
        <v>0</v>
      </c>
      <c r="R4585" s="21">
        <v>1</v>
      </c>
      <c r="S4585" s="20">
        <v>0</v>
      </c>
    </row>
    <row r="4586" spans="2:19" ht="15" customHeight="1" x14ac:dyDescent="0.25">
      <c r="B4586" s="2" t="str">
        <f t="shared" si="142"/>
        <v>NSG_Income Eligible_Multi-Family_Whole Building - Prescriptive_Pipe Insulation_Hyd. Boiler Large ≥2"_MF</v>
      </c>
      <c r="C4586" s="2" t="str">
        <f t="shared" si="143"/>
        <v>NSG_Income Eligible_Multi-Family_Whole Building - Prescriptive_Pipe Insulation_Hyd. Boiler Large ≥2"_MF_2023</v>
      </c>
      <c r="D4586" s="19" t="s">
        <v>1787</v>
      </c>
      <c r="E4586" s="19" t="s">
        <v>325</v>
      </c>
      <c r="F4586" s="19" t="s">
        <v>1422</v>
      </c>
      <c r="G4586" s="19" t="s">
        <v>1813</v>
      </c>
      <c r="H4586" s="19" t="s">
        <v>404</v>
      </c>
      <c r="I4586" s="19" t="s">
        <v>952</v>
      </c>
      <c r="J4586" s="19">
        <v>0</v>
      </c>
      <c r="K4586" s="19" t="s">
        <v>553</v>
      </c>
      <c r="L4586" s="19">
        <v>2023</v>
      </c>
      <c r="M4586" s="20">
        <v>75</v>
      </c>
      <c r="N4586" s="19" t="s">
        <v>616</v>
      </c>
      <c r="O4586" s="20">
        <v>0</v>
      </c>
      <c r="P4586" s="20">
        <v>0</v>
      </c>
      <c r="Q4586" s="20">
        <v>0</v>
      </c>
      <c r="R4586" s="21">
        <v>1</v>
      </c>
      <c r="S4586" s="20">
        <v>0</v>
      </c>
    </row>
    <row r="4587" spans="2:19" ht="15" customHeight="1" x14ac:dyDescent="0.25">
      <c r="B4587" s="2" t="str">
        <f t="shared" si="142"/>
        <v>NSG_Income Eligible_Multi-Family_Whole Building - Prescriptive_Pipe Insulation_Hyd. Boiler Large ≥2"_MF</v>
      </c>
      <c r="C4587" s="2" t="str">
        <f t="shared" si="143"/>
        <v>NSG_Income Eligible_Multi-Family_Whole Building - Prescriptive_Pipe Insulation_Hyd. Boiler Large ≥2"_MF_2024</v>
      </c>
      <c r="D4587" s="19" t="s">
        <v>1787</v>
      </c>
      <c r="E4587" s="19" t="s">
        <v>325</v>
      </c>
      <c r="F4587" s="19" t="s">
        <v>1422</v>
      </c>
      <c r="G4587" s="19" t="s">
        <v>1813</v>
      </c>
      <c r="H4587" s="19" t="s">
        <v>404</v>
      </c>
      <c r="I4587" s="19" t="s">
        <v>952</v>
      </c>
      <c r="J4587" s="19">
        <v>0</v>
      </c>
      <c r="K4587" s="19" t="s">
        <v>553</v>
      </c>
      <c r="L4587" s="19">
        <v>2024</v>
      </c>
      <c r="M4587" s="20">
        <v>75</v>
      </c>
      <c r="N4587" s="19" t="s">
        <v>616</v>
      </c>
      <c r="O4587" s="20">
        <v>0</v>
      </c>
      <c r="P4587" s="20">
        <v>0</v>
      </c>
      <c r="Q4587" s="20">
        <v>0</v>
      </c>
      <c r="R4587" s="21">
        <v>1</v>
      </c>
      <c r="S4587" s="20">
        <v>0</v>
      </c>
    </row>
    <row r="4588" spans="2:19" ht="15" customHeight="1" x14ac:dyDescent="0.25">
      <c r="B4588" s="2" t="str">
        <f t="shared" si="142"/>
        <v>NSG_Income Eligible_Multi-Family_Whole Building - Prescriptive_Pipe Insulation_Hyd. Boiler Large ≥2"_MF</v>
      </c>
      <c r="C4588" s="2" t="str">
        <f t="shared" si="143"/>
        <v>NSG_Income Eligible_Multi-Family_Whole Building - Prescriptive_Pipe Insulation_Hyd. Boiler Large ≥2"_MF_2025</v>
      </c>
      <c r="D4588" s="19" t="s">
        <v>1787</v>
      </c>
      <c r="E4588" s="19" t="s">
        <v>325</v>
      </c>
      <c r="F4588" s="19" t="s">
        <v>1422</v>
      </c>
      <c r="G4588" s="19" t="s">
        <v>1813</v>
      </c>
      <c r="H4588" s="19" t="s">
        <v>404</v>
      </c>
      <c r="I4588" s="19" t="s">
        <v>952</v>
      </c>
      <c r="J4588" s="19">
        <v>0</v>
      </c>
      <c r="K4588" s="19" t="s">
        <v>553</v>
      </c>
      <c r="L4588" s="19">
        <v>2025</v>
      </c>
      <c r="M4588" s="20">
        <v>75</v>
      </c>
      <c r="N4588" s="19" t="s">
        <v>616</v>
      </c>
      <c r="O4588" s="20">
        <v>0</v>
      </c>
      <c r="P4588" s="20">
        <v>0</v>
      </c>
      <c r="Q4588" s="20">
        <v>0</v>
      </c>
      <c r="R4588" s="21">
        <v>1</v>
      </c>
      <c r="S4588" s="20">
        <v>0</v>
      </c>
    </row>
    <row r="4589" spans="2:19" ht="15" customHeight="1" x14ac:dyDescent="0.25">
      <c r="B4589" s="2" t="str">
        <f t="shared" si="142"/>
        <v>NSG_Income Eligible_Multi-Family_Whole Building - Prescriptive_Pipe Insulation_HW Small 1" to 2"_MF/CI/SMB</v>
      </c>
      <c r="C4589" s="2" t="str">
        <f t="shared" si="143"/>
        <v>NSG_Income Eligible_Multi-Family_Whole Building - Prescriptive_Pipe Insulation_HW Small 1" to 2"_MF/CI/SMB_2022</v>
      </c>
      <c r="D4589" s="19" t="s">
        <v>1787</v>
      </c>
      <c r="E4589" s="19" t="s">
        <v>325</v>
      </c>
      <c r="F4589" s="19" t="s">
        <v>1422</v>
      </c>
      <c r="G4589" s="19" t="s">
        <v>1813</v>
      </c>
      <c r="H4589" s="19" t="s">
        <v>404</v>
      </c>
      <c r="I4589" s="19" t="s">
        <v>953</v>
      </c>
      <c r="J4589" s="19">
        <v>0</v>
      </c>
      <c r="K4589" s="19" t="s">
        <v>662</v>
      </c>
      <c r="L4589" s="19">
        <v>2022</v>
      </c>
      <c r="M4589" s="20">
        <v>75</v>
      </c>
      <c r="N4589" s="19" t="s">
        <v>616</v>
      </c>
      <c r="O4589" s="20">
        <v>1</v>
      </c>
      <c r="P4589" s="20">
        <v>75</v>
      </c>
      <c r="Q4589" s="20">
        <v>199.411056947009</v>
      </c>
      <c r="R4589" s="21">
        <v>1</v>
      </c>
      <c r="S4589" s="20">
        <v>199.411056947009</v>
      </c>
    </row>
    <row r="4590" spans="2:19" ht="15" customHeight="1" x14ac:dyDescent="0.25">
      <c r="B4590" s="2" t="str">
        <f t="shared" si="142"/>
        <v>NSG_Income Eligible_Multi-Family_Whole Building - Prescriptive_Pipe Insulation_HW Small 1" to 2"_MF/CI/SMB</v>
      </c>
      <c r="C4590" s="2" t="str">
        <f t="shared" si="143"/>
        <v>NSG_Income Eligible_Multi-Family_Whole Building - Prescriptive_Pipe Insulation_HW Small 1" to 2"_MF/CI/SMB_2023</v>
      </c>
      <c r="D4590" s="19" t="s">
        <v>1787</v>
      </c>
      <c r="E4590" s="19" t="s">
        <v>325</v>
      </c>
      <c r="F4590" s="19" t="s">
        <v>1422</v>
      </c>
      <c r="G4590" s="19" t="s">
        <v>1813</v>
      </c>
      <c r="H4590" s="19" t="s">
        <v>404</v>
      </c>
      <c r="I4590" s="19" t="s">
        <v>953</v>
      </c>
      <c r="J4590" s="19">
        <v>0</v>
      </c>
      <c r="K4590" s="19" t="s">
        <v>662</v>
      </c>
      <c r="L4590" s="19">
        <v>2023</v>
      </c>
      <c r="M4590" s="20">
        <v>75</v>
      </c>
      <c r="N4590" s="19" t="s">
        <v>616</v>
      </c>
      <c r="O4590" s="20">
        <v>1</v>
      </c>
      <c r="P4590" s="20">
        <v>75</v>
      </c>
      <c r="Q4590" s="20">
        <v>199.411056947009</v>
      </c>
      <c r="R4590" s="21">
        <v>1</v>
      </c>
      <c r="S4590" s="20">
        <v>199.411056947009</v>
      </c>
    </row>
    <row r="4591" spans="2:19" ht="15" customHeight="1" x14ac:dyDescent="0.25">
      <c r="B4591" s="2" t="str">
        <f t="shared" si="142"/>
        <v>NSG_Income Eligible_Multi-Family_Whole Building - Prescriptive_Pipe Insulation_HW Small 1" to 2"_MF/CI/SMB</v>
      </c>
      <c r="C4591" s="2" t="str">
        <f t="shared" si="143"/>
        <v>NSG_Income Eligible_Multi-Family_Whole Building - Prescriptive_Pipe Insulation_HW Small 1" to 2"_MF/CI/SMB_2024</v>
      </c>
      <c r="D4591" s="19" t="s">
        <v>1787</v>
      </c>
      <c r="E4591" s="19" t="s">
        <v>325</v>
      </c>
      <c r="F4591" s="19" t="s">
        <v>1422</v>
      </c>
      <c r="G4591" s="19" t="s">
        <v>1813</v>
      </c>
      <c r="H4591" s="19" t="s">
        <v>404</v>
      </c>
      <c r="I4591" s="19" t="s">
        <v>953</v>
      </c>
      <c r="J4591" s="19">
        <v>0</v>
      </c>
      <c r="K4591" s="19" t="s">
        <v>662</v>
      </c>
      <c r="L4591" s="19">
        <v>2024</v>
      </c>
      <c r="M4591" s="20">
        <v>75</v>
      </c>
      <c r="N4591" s="19" t="s">
        <v>616</v>
      </c>
      <c r="O4591" s="20">
        <v>1</v>
      </c>
      <c r="P4591" s="20">
        <v>75</v>
      </c>
      <c r="Q4591" s="20">
        <v>199.411056947009</v>
      </c>
      <c r="R4591" s="21">
        <v>1</v>
      </c>
      <c r="S4591" s="20">
        <v>199.411056947009</v>
      </c>
    </row>
    <row r="4592" spans="2:19" ht="15" customHeight="1" x14ac:dyDescent="0.25">
      <c r="B4592" s="2" t="str">
        <f t="shared" si="142"/>
        <v>NSG_Income Eligible_Multi-Family_Whole Building - Prescriptive_Pipe Insulation_HW Small 1" to 2"_MF/CI/SMB</v>
      </c>
      <c r="C4592" s="2" t="str">
        <f t="shared" si="143"/>
        <v>NSG_Income Eligible_Multi-Family_Whole Building - Prescriptive_Pipe Insulation_HW Small 1" to 2"_MF/CI/SMB_2025</v>
      </c>
      <c r="D4592" s="19" t="s">
        <v>1787</v>
      </c>
      <c r="E4592" s="19" t="s">
        <v>325</v>
      </c>
      <c r="F4592" s="19" t="s">
        <v>1422</v>
      </c>
      <c r="G4592" s="19" t="s">
        <v>1813</v>
      </c>
      <c r="H4592" s="19" t="s">
        <v>404</v>
      </c>
      <c r="I4592" s="19" t="s">
        <v>953</v>
      </c>
      <c r="J4592" s="19">
        <v>0</v>
      </c>
      <c r="K4592" s="19" t="s">
        <v>662</v>
      </c>
      <c r="L4592" s="19">
        <v>2025</v>
      </c>
      <c r="M4592" s="20">
        <v>75</v>
      </c>
      <c r="N4592" s="19" t="s">
        <v>616</v>
      </c>
      <c r="O4592" s="20">
        <v>1</v>
      </c>
      <c r="P4592" s="20">
        <v>75</v>
      </c>
      <c r="Q4592" s="20">
        <v>199.411056947009</v>
      </c>
      <c r="R4592" s="21">
        <v>1</v>
      </c>
      <c r="S4592" s="20">
        <v>199.411056947009</v>
      </c>
    </row>
    <row r="4593" spans="2:19" ht="15" customHeight="1" x14ac:dyDescent="0.25">
      <c r="B4593" s="2" t="str">
        <f t="shared" si="142"/>
        <v>NSG_Income Eligible_Multi-Family_Whole Building - Prescriptive_Pipe Insulation_HW Medium 2.1" to 4"_MF/CI/SMB</v>
      </c>
      <c r="C4593" s="2" t="str">
        <f t="shared" si="143"/>
        <v>NSG_Income Eligible_Multi-Family_Whole Building - Prescriptive_Pipe Insulation_HW Medium 2.1" to 4"_MF/CI/SMB_2022</v>
      </c>
      <c r="D4593" s="19" t="s">
        <v>1787</v>
      </c>
      <c r="E4593" s="19" t="s">
        <v>325</v>
      </c>
      <c r="F4593" s="19" t="s">
        <v>1422</v>
      </c>
      <c r="G4593" s="19" t="s">
        <v>1813</v>
      </c>
      <c r="H4593" s="19" t="s">
        <v>404</v>
      </c>
      <c r="I4593" s="19" t="s">
        <v>954</v>
      </c>
      <c r="J4593" s="19">
        <v>0</v>
      </c>
      <c r="K4593" s="19" t="s">
        <v>662</v>
      </c>
      <c r="L4593" s="19">
        <v>2022</v>
      </c>
      <c r="M4593" s="20">
        <v>75</v>
      </c>
      <c r="N4593" s="19" t="s">
        <v>616</v>
      </c>
      <c r="O4593" s="20">
        <v>2</v>
      </c>
      <c r="P4593" s="20">
        <v>150</v>
      </c>
      <c r="Q4593" s="20">
        <v>787.38047240646029</v>
      </c>
      <c r="R4593" s="21">
        <v>1</v>
      </c>
      <c r="S4593" s="20">
        <v>787.38047240646029</v>
      </c>
    </row>
    <row r="4594" spans="2:19" ht="15" customHeight="1" x14ac:dyDescent="0.25">
      <c r="B4594" s="2" t="str">
        <f t="shared" si="142"/>
        <v>NSG_Income Eligible_Multi-Family_Whole Building - Prescriptive_Pipe Insulation_HW Medium 2.1" to 4"_MF/CI/SMB</v>
      </c>
      <c r="C4594" s="2" t="str">
        <f t="shared" si="143"/>
        <v>NSG_Income Eligible_Multi-Family_Whole Building - Prescriptive_Pipe Insulation_HW Medium 2.1" to 4"_MF/CI/SMB_2023</v>
      </c>
      <c r="D4594" s="19" t="s">
        <v>1787</v>
      </c>
      <c r="E4594" s="19" t="s">
        <v>325</v>
      </c>
      <c r="F4594" s="19" t="s">
        <v>1422</v>
      </c>
      <c r="G4594" s="19" t="s">
        <v>1813</v>
      </c>
      <c r="H4594" s="19" t="s">
        <v>404</v>
      </c>
      <c r="I4594" s="19" t="s">
        <v>954</v>
      </c>
      <c r="J4594" s="19">
        <v>0</v>
      </c>
      <c r="K4594" s="19" t="s">
        <v>662</v>
      </c>
      <c r="L4594" s="19">
        <v>2023</v>
      </c>
      <c r="M4594" s="20">
        <v>75</v>
      </c>
      <c r="N4594" s="19" t="s">
        <v>616</v>
      </c>
      <c r="O4594" s="20">
        <v>2</v>
      </c>
      <c r="P4594" s="20">
        <v>150</v>
      </c>
      <c r="Q4594" s="20">
        <v>787.38047240646029</v>
      </c>
      <c r="R4594" s="21">
        <v>1</v>
      </c>
      <c r="S4594" s="20">
        <v>787.38047240646029</v>
      </c>
    </row>
    <row r="4595" spans="2:19" ht="15" customHeight="1" x14ac:dyDescent="0.25">
      <c r="B4595" s="2" t="str">
        <f t="shared" si="142"/>
        <v>NSG_Income Eligible_Multi-Family_Whole Building - Prescriptive_Pipe Insulation_HW Medium 2.1" to 4"_MF/CI/SMB</v>
      </c>
      <c r="C4595" s="2" t="str">
        <f t="shared" si="143"/>
        <v>NSG_Income Eligible_Multi-Family_Whole Building - Prescriptive_Pipe Insulation_HW Medium 2.1" to 4"_MF/CI/SMB_2024</v>
      </c>
      <c r="D4595" s="19" t="s">
        <v>1787</v>
      </c>
      <c r="E4595" s="19" t="s">
        <v>325</v>
      </c>
      <c r="F4595" s="19" t="s">
        <v>1422</v>
      </c>
      <c r="G4595" s="19" t="s">
        <v>1813</v>
      </c>
      <c r="H4595" s="19" t="s">
        <v>404</v>
      </c>
      <c r="I4595" s="19" t="s">
        <v>954</v>
      </c>
      <c r="J4595" s="19">
        <v>0</v>
      </c>
      <c r="K4595" s="19" t="s">
        <v>662</v>
      </c>
      <c r="L4595" s="19">
        <v>2024</v>
      </c>
      <c r="M4595" s="20">
        <v>75</v>
      </c>
      <c r="N4595" s="19" t="s">
        <v>616</v>
      </c>
      <c r="O4595" s="20">
        <v>2</v>
      </c>
      <c r="P4595" s="20">
        <v>150</v>
      </c>
      <c r="Q4595" s="20">
        <v>787.38047240646029</v>
      </c>
      <c r="R4595" s="21">
        <v>1</v>
      </c>
      <c r="S4595" s="20">
        <v>787.38047240646029</v>
      </c>
    </row>
    <row r="4596" spans="2:19" ht="15" customHeight="1" x14ac:dyDescent="0.25">
      <c r="B4596" s="2" t="str">
        <f t="shared" si="142"/>
        <v>NSG_Income Eligible_Multi-Family_Whole Building - Prescriptive_Pipe Insulation_HW Medium 2.1" to 4"_MF/CI/SMB</v>
      </c>
      <c r="C4596" s="2" t="str">
        <f t="shared" si="143"/>
        <v>NSG_Income Eligible_Multi-Family_Whole Building - Prescriptive_Pipe Insulation_HW Medium 2.1" to 4"_MF/CI/SMB_2025</v>
      </c>
      <c r="D4596" s="19" t="s">
        <v>1787</v>
      </c>
      <c r="E4596" s="19" t="s">
        <v>325</v>
      </c>
      <c r="F4596" s="19" t="s">
        <v>1422</v>
      </c>
      <c r="G4596" s="19" t="s">
        <v>1813</v>
      </c>
      <c r="H4596" s="19" t="s">
        <v>404</v>
      </c>
      <c r="I4596" s="19" t="s">
        <v>954</v>
      </c>
      <c r="J4596" s="19">
        <v>0</v>
      </c>
      <c r="K4596" s="19" t="s">
        <v>662</v>
      </c>
      <c r="L4596" s="19">
        <v>2025</v>
      </c>
      <c r="M4596" s="20">
        <v>75</v>
      </c>
      <c r="N4596" s="19" t="s">
        <v>616</v>
      </c>
      <c r="O4596" s="20">
        <v>2</v>
      </c>
      <c r="P4596" s="20">
        <v>150</v>
      </c>
      <c r="Q4596" s="20">
        <v>787.38047240646029</v>
      </c>
      <c r="R4596" s="21">
        <v>1</v>
      </c>
      <c r="S4596" s="20">
        <v>787.38047240646029</v>
      </c>
    </row>
    <row r="4597" spans="2:19" ht="15" customHeight="1" x14ac:dyDescent="0.25">
      <c r="B4597" s="2" t="str">
        <f t="shared" si="142"/>
        <v>NSG_Income Eligible_Multi-Family_Whole Building - Prescriptive_Pipe Insulation_HW Large &gt;4"_MF/CI/SMB</v>
      </c>
      <c r="C4597" s="2" t="str">
        <f t="shared" si="143"/>
        <v>NSG_Income Eligible_Multi-Family_Whole Building - Prescriptive_Pipe Insulation_HW Large &gt;4"_MF/CI/SMB_2022</v>
      </c>
      <c r="D4597" s="19" t="s">
        <v>1787</v>
      </c>
      <c r="E4597" s="19" t="s">
        <v>325</v>
      </c>
      <c r="F4597" s="19" t="s">
        <v>1422</v>
      </c>
      <c r="G4597" s="19" t="s">
        <v>1813</v>
      </c>
      <c r="H4597" s="19" t="s">
        <v>404</v>
      </c>
      <c r="I4597" s="19" t="s">
        <v>955</v>
      </c>
      <c r="J4597" s="19">
        <v>0</v>
      </c>
      <c r="K4597" s="19" t="s">
        <v>662</v>
      </c>
      <c r="L4597" s="19">
        <v>2022</v>
      </c>
      <c r="M4597" s="20">
        <v>75</v>
      </c>
      <c r="N4597" s="19" t="s">
        <v>616</v>
      </c>
      <c r="O4597" s="20">
        <v>0</v>
      </c>
      <c r="P4597" s="20">
        <v>0</v>
      </c>
      <c r="Q4597" s="20">
        <v>0</v>
      </c>
      <c r="R4597" s="21">
        <v>1</v>
      </c>
      <c r="S4597" s="20">
        <v>0</v>
      </c>
    </row>
    <row r="4598" spans="2:19" ht="15" customHeight="1" x14ac:dyDescent="0.25">
      <c r="B4598" s="2" t="str">
        <f t="shared" si="142"/>
        <v>NSG_Income Eligible_Multi-Family_Whole Building - Prescriptive_Pipe Insulation_HW Large &gt;4"_MF/CI/SMB</v>
      </c>
      <c r="C4598" s="2" t="str">
        <f t="shared" si="143"/>
        <v>NSG_Income Eligible_Multi-Family_Whole Building - Prescriptive_Pipe Insulation_HW Large &gt;4"_MF/CI/SMB_2023</v>
      </c>
      <c r="D4598" s="19" t="s">
        <v>1787</v>
      </c>
      <c r="E4598" s="19" t="s">
        <v>325</v>
      </c>
      <c r="F4598" s="19" t="s">
        <v>1422</v>
      </c>
      <c r="G4598" s="19" t="s">
        <v>1813</v>
      </c>
      <c r="H4598" s="19" t="s">
        <v>404</v>
      </c>
      <c r="I4598" s="19" t="s">
        <v>955</v>
      </c>
      <c r="J4598" s="19">
        <v>0</v>
      </c>
      <c r="K4598" s="19" t="s">
        <v>662</v>
      </c>
      <c r="L4598" s="19">
        <v>2023</v>
      </c>
      <c r="M4598" s="20">
        <v>75</v>
      </c>
      <c r="N4598" s="19" t="s">
        <v>616</v>
      </c>
      <c r="O4598" s="20">
        <v>0</v>
      </c>
      <c r="P4598" s="20">
        <v>0</v>
      </c>
      <c r="Q4598" s="20">
        <v>0</v>
      </c>
      <c r="R4598" s="21">
        <v>1</v>
      </c>
      <c r="S4598" s="20">
        <v>0</v>
      </c>
    </row>
    <row r="4599" spans="2:19" ht="15" customHeight="1" x14ac:dyDescent="0.25">
      <c r="B4599" s="2" t="str">
        <f t="shared" si="142"/>
        <v>NSG_Income Eligible_Multi-Family_Whole Building - Prescriptive_Pipe Insulation_HW Large &gt;4"_MF/CI/SMB</v>
      </c>
      <c r="C4599" s="2" t="str">
        <f t="shared" si="143"/>
        <v>NSG_Income Eligible_Multi-Family_Whole Building - Prescriptive_Pipe Insulation_HW Large &gt;4"_MF/CI/SMB_2024</v>
      </c>
      <c r="D4599" s="19" t="s">
        <v>1787</v>
      </c>
      <c r="E4599" s="19" t="s">
        <v>325</v>
      </c>
      <c r="F4599" s="19" t="s">
        <v>1422</v>
      </c>
      <c r="G4599" s="19" t="s">
        <v>1813</v>
      </c>
      <c r="H4599" s="19" t="s">
        <v>404</v>
      </c>
      <c r="I4599" s="19" t="s">
        <v>955</v>
      </c>
      <c r="J4599" s="19">
        <v>0</v>
      </c>
      <c r="K4599" s="19" t="s">
        <v>662</v>
      </c>
      <c r="L4599" s="19">
        <v>2024</v>
      </c>
      <c r="M4599" s="20">
        <v>75</v>
      </c>
      <c r="N4599" s="19" t="s">
        <v>616</v>
      </c>
      <c r="O4599" s="20">
        <v>0</v>
      </c>
      <c r="P4599" s="20">
        <v>0</v>
      </c>
      <c r="Q4599" s="20">
        <v>0</v>
      </c>
      <c r="R4599" s="21">
        <v>1</v>
      </c>
      <c r="S4599" s="20">
        <v>0</v>
      </c>
    </row>
    <row r="4600" spans="2:19" ht="15" customHeight="1" x14ac:dyDescent="0.25">
      <c r="B4600" s="2" t="str">
        <f t="shared" si="142"/>
        <v>NSG_Income Eligible_Multi-Family_Whole Building - Prescriptive_Pipe Insulation_HW Large &gt;4"_MF/CI/SMB</v>
      </c>
      <c r="C4600" s="2" t="str">
        <f t="shared" si="143"/>
        <v>NSG_Income Eligible_Multi-Family_Whole Building - Prescriptive_Pipe Insulation_HW Large &gt;4"_MF/CI/SMB_2025</v>
      </c>
      <c r="D4600" s="19" t="s">
        <v>1787</v>
      </c>
      <c r="E4600" s="19" t="s">
        <v>325</v>
      </c>
      <c r="F4600" s="19" t="s">
        <v>1422</v>
      </c>
      <c r="G4600" s="19" t="s">
        <v>1813</v>
      </c>
      <c r="H4600" s="19" t="s">
        <v>404</v>
      </c>
      <c r="I4600" s="19" t="s">
        <v>955</v>
      </c>
      <c r="J4600" s="19">
        <v>0</v>
      </c>
      <c r="K4600" s="19" t="s">
        <v>662</v>
      </c>
      <c r="L4600" s="19">
        <v>2025</v>
      </c>
      <c r="M4600" s="20">
        <v>75</v>
      </c>
      <c r="N4600" s="19" t="s">
        <v>616</v>
      </c>
      <c r="O4600" s="20">
        <v>0</v>
      </c>
      <c r="P4600" s="20">
        <v>0</v>
      </c>
      <c r="Q4600" s="20">
        <v>0</v>
      </c>
      <c r="R4600" s="21">
        <v>1</v>
      </c>
      <c r="S4600" s="20">
        <v>0</v>
      </c>
    </row>
    <row r="4601" spans="2:19" ht="15" customHeight="1" x14ac:dyDescent="0.25">
      <c r="B4601" s="2" t="str">
        <f t="shared" si="142"/>
        <v>NSG_Income Eligible_Multi-Family_Whole Building - Prescriptive_Pipe Insulation_Steam - Small 1" to 2"_MF</v>
      </c>
      <c r="C4601" s="2" t="str">
        <f t="shared" si="143"/>
        <v>NSG_Income Eligible_Multi-Family_Whole Building - Prescriptive_Pipe Insulation_Steam - Small 1" to 2"_MF_2022</v>
      </c>
      <c r="D4601" s="19" t="s">
        <v>1787</v>
      </c>
      <c r="E4601" s="19" t="s">
        <v>325</v>
      </c>
      <c r="F4601" s="19" t="s">
        <v>1422</v>
      </c>
      <c r="G4601" s="19" t="s">
        <v>1813</v>
      </c>
      <c r="H4601" s="19" t="s">
        <v>404</v>
      </c>
      <c r="I4601" s="19" t="s">
        <v>956</v>
      </c>
      <c r="J4601" s="19">
        <v>0</v>
      </c>
      <c r="K4601" s="19" t="s">
        <v>553</v>
      </c>
      <c r="L4601" s="19">
        <v>2022</v>
      </c>
      <c r="M4601" s="20">
        <v>75</v>
      </c>
      <c r="N4601" s="19" t="s">
        <v>616</v>
      </c>
      <c r="O4601" s="20">
        <v>0</v>
      </c>
      <c r="P4601" s="20">
        <v>0</v>
      </c>
      <c r="Q4601" s="20">
        <v>0</v>
      </c>
      <c r="R4601" s="21">
        <v>1</v>
      </c>
      <c r="S4601" s="20">
        <v>0</v>
      </c>
    </row>
    <row r="4602" spans="2:19" ht="15" customHeight="1" x14ac:dyDescent="0.25">
      <c r="B4602" s="2" t="str">
        <f t="shared" si="142"/>
        <v>NSG_Income Eligible_Multi-Family_Whole Building - Prescriptive_Pipe Insulation_Steam - Small 1" to 2"_MF</v>
      </c>
      <c r="C4602" s="2" t="str">
        <f t="shared" si="143"/>
        <v>NSG_Income Eligible_Multi-Family_Whole Building - Prescriptive_Pipe Insulation_Steam - Small 1" to 2"_MF_2023</v>
      </c>
      <c r="D4602" s="19" t="s">
        <v>1787</v>
      </c>
      <c r="E4602" s="19" t="s">
        <v>325</v>
      </c>
      <c r="F4602" s="19" t="s">
        <v>1422</v>
      </c>
      <c r="G4602" s="19" t="s">
        <v>1813</v>
      </c>
      <c r="H4602" s="19" t="s">
        <v>404</v>
      </c>
      <c r="I4602" s="19" t="s">
        <v>956</v>
      </c>
      <c r="J4602" s="19">
        <v>0</v>
      </c>
      <c r="K4602" s="19" t="s">
        <v>553</v>
      </c>
      <c r="L4602" s="19">
        <v>2023</v>
      </c>
      <c r="M4602" s="20">
        <v>75</v>
      </c>
      <c r="N4602" s="19" t="s">
        <v>616</v>
      </c>
      <c r="O4602" s="20">
        <v>0</v>
      </c>
      <c r="P4602" s="20">
        <v>0</v>
      </c>
      <c r="Q4602" s="20">
        <v>0</v>
      </c>
      <c r="R4602" s="21">
        <v>1</v>
      </c>
      <c r="S4602" s="20">
        <v>0</v>
      </c>
    </row>
    <row r="4603" spans="2:19" ht="15" customHeight="1" x14ac:dyDescent="0.25">
      <c r="B4603" s="2" t="str">
        <f t="shared" si="142"/>
        <v>NSG_Income Eligible_Multi-Family_Whole Building - Prescriptive_Pipe Insulation_Steam - Small 1" to 2"_MF</v>
      </c>
      <c r="C4603" s="2" t="str">
        <f t="shared" si="143"/>
        <v>NSG_Income Eligible_Multi-Family_Whole Building - Prescriptive_Pipe Insulation_Steam - Small 1" to 2"_MF_2024</v>
      </c>
      <c r="D4603" s="19" t="s">
        <v>1787</v>
      </c>
      <c r="E4603" s="19" t="s">
        <v>325</v>
      </c>
      <c r="F4603" s="19" t="s">
        <v>1422</v>
      </c>
      <c r="G4603" s="19" t="s">
        <v>1813</v>
      </c>
      <c r="H4603" s="19" t="s">
        <v>404</v>
      </c>
      <c r="I4603" s="19" t="s">
        <v>956</v>
      </c>
      <c r="J4603" s="19">
        <v>0</v>
      </c>
      <c r="K4603" s="19" t="s">
        <v>553</v>
      </c>
      <c r="L4603" s="19">
        <v>2024</v>
      </c>
      <c r="M4603" s="20">
        <v>75</v>
      </c>
      <c r="N4603" s="19" t="s">
        <v>616</v>
      </c>
      <c r="O4603" s="20">
        <v>0</v>
      </c>
      <c r="P4603" s="20">
        <v>0</v>
      </c>
      <c r="Q4603" s="20">
        <v>0</v>
      </c>
      <c r="R4603" s="21">
        <v>1</v>
      </c>
      <c r="S4603" s="20">
        <v>0</v>
      </c>
    </row>
    <row r="4604" spans="2:19" ht="15" customHeight="1" x14ac:dyDescent="0.25">
      <c r="B4604" s="2" t="str">
        <f t="shared" si="142"/>
        <v>NSG_Income Eligible_Multi-Family_Whole Building - Prescriptive_Pipe Insulation_Steam - Small 1" to 2"_MF</v>
      </c>
      <c r="C4604" s="2" t="str">
        <f t="shared" si="143"/>
        <v>NSG_Income Eligible_Multi-Family_Whole Building - Prescriptive_Pipe Insulation_Steam - Small 1" to 2"_MF_2025</v>
      </c>
      <c r="D4604" s="19" t="s">
        <v>1787</v>
      </c>
      <c r="E4604" s="19" t="s">
        <v>325</v>
      </c>
      <c r="F4604" s="19" t="s">
        <v>1422</v>
      </c>
      <c r="G4604" s="19" t="s">
        <v>1813</v>
      </c>
      <c r="H4604" s="19" t="s">
        <v>404</v>
      </c>
      <c r="I4604" s="19" t="s">
        <v>956</v>
      </c>
      <c r="J4604" s="19">
        <v>0</v>
      </c>
      <c r="K4604" s="19" t="s">
        <v>553</v>
      </c>
      <c r="L4604" s="19">
        <v>2025</v>
      </c>
      <c r="M4604" s="20">
        <v>75</v>
      </c>
      <c r="N4604" s="19" t="s">
        <v>616</v>
      </c>
      <c r="O4604" s="20">
        <v>0</v>
      </c>
      <c r="P4604" s="20">
        <v>0</v>
      </c>
      <c r="Q4604" s="20">
        <v>0</v>
      </c>
      <c r="R4604" s="21">
        <v>1</v>
      </c>
      <c r="S4604" s="20">
        <v>0</v>
      </c>
    </row>
    <row r="4605" spans="2:19" ht="15" customHeight="1" x14ac:dyDescent="0.25">
      <c r="B4605" s="2" t="str">
        <f t="shared" si="142"/>
        <v>NSG_Income Eligible_Multi-Family_Whole Building - Prescriptive_Pipe Insulation_Steam - Med 2.1" to 5"_MF</v>
      </c>
      <c r="C4605" s="2" t="str">
        <f t="shared" si="143"/>
        <v>NSG_Income Eligible_Multi-Family_Whole Building - Prescriptive_Pipe Insulation_Steam - Med 2.1" to 5"_MF_2022</v>
      </c>
      <c r="D4605" s="19" t="s">
        <v>1787</v>
      </c>
      <c r="E4605" s="19" t="s">
        <v>325</v>
      </c>
      <c r="F4605" s="19" t="s">
        <v>1422</v>
      </c>
      <c r="G4605" s="19" t="s">
        <v>1813</v>
      </c>
      <c r="H4605" s="19" t="s">
        <v>404</v>
      </c>
      <c r="I4605" s="19" t="s">
        <v>957</v>
      </c>
      <c r="J4605" s="19">
        <v>0</v>
      </c>
      <c r="K4605" s="19" t="s">
        <v>553</v>
      </c>
      <c r="L4605" s="19">
        <v>2022</v>
      </c>
      <c r="M4605" s="20">
        <v>75</v>
      </c>
      <c r="N4605" s="19" t="s">
        <v>616</v>
      </c>
      <c r="O4605" s="20">
        <v>0</v>
      </c>
      <c r="P4605" s="20">
        <v>0</v>
      </c>
      <c r="Q4605" s="20">
        <v>0</v>
      </c>
      <c r="R4605" s="21">
        <v>1</v>
      </c>
      <c r="S4605" s="20">
        <v>0</v>
      </c>
    </row>
    <row r="4606" spans="2:19" ht="15" customHeight="1" x14ac:dyDescent="0.25">
      <c r="B4606" s="2" t="str">
        <f t="shared" si="142"/>
        <v>NSG_Income Eligible_Multi-Family_Whole Building - Prescriptive_Pipe Insulation_Steam - Med 2.1" to 5"_MF</v>
      </c>
      <c r="C4606" s="2" t="str">
        <f t="shared" si="143"/>
        <v>NSG_Income Eligible_Multi-Family_Whole Building - Prescriptive_Pipe Insulation_Steam - Med 2.1" to 5"_MF_2023</v>
      </c>
      <c r="D4606" s="19" t="s">
        <v>1787</v>
      </c>
      <c r="E4606" s="19" t="s">
        <v>325</v>
      </c>
      <c r="F4606" s="19" t="s">
        <v>1422</v>
      </c>
      <c r="G4606" s="19" t="s">
        <v>1813</v>
      </c>
      <c r="H4606" s="19" t="s">
        <v>404</v>
      </c>
      <c r="I4606" s="19" t="s">
        <v>957</v>
      </c>
      <c r="J4606" s="19">
        <v>0</v>
      </c>
      <c r="K4606" s="19" t="s">
        <v>553</v>
      </c>
      <c r="L4606" s="19">
        <v>2023</v>
      </c>
      <c r="M4606" s="20">
        <v>75</v>
      </c>
      <c r="N4606" s="19" t="s">
        <v>616</v>
      </c>
      <c r="O4606" s="20">
        <v>0</v>
      </c>
      <c r="P4606" s="20">
        <v>0</v>
      </c>
      <c r="Q4606" s="20">
        <v>0</v>
      </c>
      <c r="R4606" s="21">
        <v>1</v>
      </c>
      <c r="S4606" s="20">
        <v>0</v>
      </c>
    </row>
    <row r="4607" spans="2:19" ht="15" customHeight="1" x14ac:dyDescent="0.25">
      <c r="B4607" s="2" t="str">
        <f t="shared" si="142"/>
        <v>NSG_Income Eligible_Multi-Family_Whole Building - Prescriptive_Pipe Insulation_Steam - Med 2.1" to 5"_MF</v>
      </c>
      <c r="C4607" s="2" t="str">
        <f t="shared" si="143"/>
        <v>NSG_Income Eligible_Multi-Family_Whole Building - Prescriptive_Pipe Insulation_Steam - Med 2.1" to 5"_MF_2024</v>
      </c>
      <c r="D4607" s="19" t="s">
        <v>1787</v>
      </c>
      <c r="E4607" s="19" t="s">
        <v>325</v>
      </c>
      <c r="F4607" s="19" t="s">
        <v>1422</v>
      </c>
      <c r="G4607" s="19" t="s">
        <v>1813</v>
      </c>
      <c r="H4607" s="19" t="s">
        <v>404</v>
      </c>
      <c r="I4607" s="19" t="s">
        <v>957</v>
      </c>
      <c r="J4607" s="19">
        <v>0</v>
      </c>
      <c r="K4607" s="19" t="s">
        <v>553</v>
      </c>
      <c r="L4607" s="19">
        <v>2024</v>
      </c>
      <c r="M4607" s="20">
        <v>75</v>
      </c>
      <c r="N4607" s="19" t="s">
        <v>616</v>
      </c>
      <c r="O4607" s="20">
        <v>0</v>
      </c>
      <c r="P4607" s="20">
        <v>0</v>
      </c>
      <c r="Q4607" s="20">
        <v>0</v>
      </c>
      <c r="R4607" s="21">
        <v>1</v>
      </c>
      <c r="S4607" s="20">
        <v>0</v>
      </c>
    </row>
    <row r="4608" spans="2:19" ht="15" customHeight="1" x14ac:dyDescent="0.25">
      <c r="B4608" s="2" t="str">
        <f t="shared" si="142"/>
        <v>NSG_Income Eligible_Multi-Family_Whole Building - Prescriptive_Pipe Insulation_Steam - Med 2.1" to 5"_MF</v>
      </c>
      <c r="C4608" s="2" t="str">
        <f t="shared" si="143"/>
        <v>NSG_Income Eligible_Multi-Family_Whole Building - Prescriptive_Pipe Insulation_Steam - Med 2.1" to 5"_MF_2025</v>
      </c>
      <c r="D4608" s="19" t="s">
        <v>1787</v>
      </c>
      <c r="E4608" s="19" t="s">
        <v>325</v>
      </c>
      <c r="F4608" s="19" t="s">
        <v>1422</v>
      </c>
      <c r="G4608" s="19" t="s">
        <v>1813</v>
      </c>
      <c r="H4608" s="19" t="s">
        <v>404</v>
      </c>
      <c r="I4608" s="19" t="s">
        <v>957</v>
      </c>
      <c r="J4608" s="19">
        <v>0</v>
      </c>
      <c r="K4608" s="19" t="s">
        <v>553</v>
      </c>
      <c r="L4608" s="19">
        <v>2025</v>
      </c>
      <c r="M4608" s="20">
        <v>75</v>
      </c>
      <c r="N4608" s="19" t="s">
        <v>616</v>
      </c>
      <c r="O4608" s="20">
        <v>0</v>
      </c>
      <c r="P4608" s="20">
        <v>0</v>
      </c>
      <c r="Q4608" s="20">
        <v>0</v>
      </c>
      <c r="R4608" s="21">
        <v>1</v>
      </c>
      <c r="S4608" s="20">
        <v>0</v>
      </c>
    </row>
    <row r="4609" spans="2:19" ht="15" customHeight="1" x14ac:dyDescent="0.25">
      <c r="B4609" s="2" t="str">
        <f t="shared" si="142"/>
        <v>NSG_Income Eligible_Multi-Family_Whole Building - Prescriptive_Pipe Insulation_Steam - Large 5.1" to 8"_MF</v>
      </c>
      <c r="C4609" s="2" t="str">
        <f t="shared" si="143"/>
        <v>NSG_Income Eligible_Multi-Family_Whole Building - Prescriptive_Pipe Insulation_Steam - Large 5.1" to 8"_MF_2022</v>
      </c>
      <c r="D4609" s="19" t="s">
        <v>1787</v>
      </c>
      <c r="E4609" s="19" t="s">
        <v>325</v>
      </c>
      <c r="F4609" s="19" t="s">
        <v>1422</v>
      </c>
      <c r="G4609" s="19" t="s">
        <v>1813</v>
      </c>
      <c r="H4609" s="19" t="s">
        <v>404</v>
      </c>
      <c r="I4609" s="19" t="s">
        <v>958</v>
      </c>
      <c r="J4609" s="19">
        <v>0</v>
      </c>
      <c r="K4609" s="19" t="s">
        <v>553</v>
      </c>
      <c r="L4609" s="19">
        <v>2022</v>
      </c>
      <c r="M4609" s="20">
        <v>75</v>
      </c>
      <c r="N4609" s="19" t="s">
        <v>616</v>
      </c>
      <c r="O4609" s="20">
        <v>0</v>
      </c>
      <c r="P4609" s="20">
        <v>0</v>
      </c>
      <c r="Q4609" s="20">
        <v>0</v>
      </c>
      <c r="R4609" s="21">
        <v>1</v>
      </c>
      <c r="S4609" s="20">
        <v>0</v>
      </c>
    </row>
    <row r="4610" spans="2:19" ht="15" customHeight="1" x14ac:dyDescent="0.25">
      <c r="B4610" s="2" t="str">
        <f t="shared" si="142"/>
        <v>NSG_Income Eligible_Multi-Family_Whole Building - Prescriptive_Pipe Insulation_Steam - Large 5.1" to 8"_MF</v>
      </c>
      <c r="C4610" s="2" t="str">
        <f t="shared" si="143"/>
        <v>NSG_Income Eligible_Multi-Family_Whole Building - Prescriptive_Pipe Insulation_Steam - Large 5.1" to 8"_MF_2023</v>
      </c>
      <c r="D4610" s="19" t="s">
        <v>1787</v>
      </c>
      <c r="E4610" s="19" t="s">
        <v>325</v>
      </c>
      <c r="F4610" s="19" t="s">
        <v>1422</v>
      </c>
      <c r="G4610" s="19" t="s">
        <v>1813</v>
      </c>
      <c r="H4610" s="19" t="s">
        <v>404</v>
      </c>
      <c r="I4610" s="19" t="s">
        <v>958</v>
      </c>
      <c r="J4610" s="19">
        <v>0</v>
      </c>
      <c r="K4610" s="19" t="s">
        <v>553</v>
      </c>
      <c r="L4610" s="19">
        <v>2023</v>
      </c>
      <c r="M4610" s="20">
        <v>75</v>
      </c>
      <c r="N4610" s="19" t="s">
        <v>616</v>
      </c>
      <c r="O4610" s="20">
        <v>0</v>
      </c>
      <c r="P4610" s="20">
        <v>0</v>
      </c>
      <c r="Q4610" s="20">
        <v>0</v>
      </c>
      <c r="R4610" s="21">
        <v>1</v>
      </c>
      <c r="S4610" s="20">
        <v>0</v>
      </c>
    </row>
    <row r="4611" spans="2:19" ht="15" customHeight="1" x14ac:dyDescent="0.25">
      <c r="B4611" s="2" t="str">
        <f t="shared" si="142"/>
        <v>NSG_Income Eligible_Multi-Family_Whole Building - Prescriptive_Pipe Insulation_Steam - Large 5.1" to 8"_MF</v>
      </c>
      <c r="C4611" s="2" t="str">
        <f t="shared" si="143"/>
        <v>NSG_Income Eligible_Multi-Family_Whole Building - Prescriptive_Pipe Insulation_Steam - Large 5.1" to 8"_MF_2024</v>
      </c>
      <c r="D4611" s="19" t="s">
        <v>1787</v>
      </c>
      <c r="E4611" s="19" t="s">
        <v>325</v>
      </c>
      <c r="F4611" s="19" t="s">
        <v>1422</v>
      </c>
      <c r="G4611" s="19" t="s">
        <v>1813</v>
      </c>
      <c r="H4611" s="19" t="s">
        <v>404</v>
      </c>
      <c r="I4611" s="19" t="s">
        <v>958</v>
      </c>
      <c r="J4611" s="19">
        <v>0</v>
      </c>
      <c r="K4611" s="19" t="s">
        <v>553</v>
      </c>
      <c r="L4611" s="19">
        <v>2024</v>
      </c>
      <c r="M4611" s="20">
        <v>75</v>
      </c>
      <c r="N4611" s="19" t="s">
        <v>616</v>
      </c>
      <c r="O4611" s="20">
        <v>0</v>
      </c>
      <c r="P4611" s="20">
        <v>0</v>
      </c>
      <c r="Q4611" s="20">
        <v>0</v>
      </c>
      <c r="R4611" s="21">
        <v>1</v>
      </c>
      <c r="S4611" s="20">
        <v>0</v>
      </c>
    </row>
    <row r="4612" spans="2:19" ht="15" customHeight="1" x14ac:dyDescent="0.25">
      <c r="B4612" s="2" t="str">
        <f t="shared" si="142"/>
        <v>NSG_Income Eligible_Multi-Family_Whole Building - Prescriptive_Pipe Insulation_Steam - Large 5.1" to 8"_MF</v>
      </c>
      <c r="C4612" s="2" t="str">
        <f t="shared" si="143"/>
        <v>NSG_Income Eligible_Multi-Family_Whole Building - Prescriptive_Pipe Insulation_Steam - Large 5.1" to 8"_MF_2025</v>
      </c>
      <c r="D4612" s="19" t="s">
        <v>1787</v>
      </c>
      <c r="E4612" s="19" t="s">
        <v>325</v>
      </c>
      <c r="F4612" s="19" t="s">
        <v>1422</v>
      </c>
      <c r="G4612" s="19" t="s">
        <v>1813</v>
      </c>
      <c r="H4612" s="19" t="s">
        <v>404</v>
      </c>
      <c r="I4612" s="19" t="s">
        <v>958</v>
      </c>
      <c r="J4612" s="19">
        <v>0</v>
      </c>
      <c r="K4612" s="19" t="s">
        <v>553</v>
      </c>
      <c r="L4612" s="19">
        <v>2025</v>
      </c>
      <c r="M4612" s="20">
        <v>75</v>
      </c>
      <c r="N4612" s="19" t="s">
        <v>616</v>
      </c>
      <c r="O4612" s="20">
        <v>0</v>
      </c>
      <c r="P4612" s="20">
        <v>0</v>
      </c>
      <c r="Q4612" s="20">
        <v>0</v>
      </c>
      <c r="R4612" s="21">
        <v>1</v>
      </c>
      <c r="S4612" s="20">
        <v>0</v>
      </c>
    </row>
    <row r="4613" spans="2:19" ht="15" customHeight="1" x14ac:dyDescent="0.25">
      <c r="B4613" s="2" t="str">
        <f t="shared" si="142"/>
        <v>NSG_Income Eligible_Multi-Family_Whole Building - Prescriptive_Pipe Insulation_Steam - X-Large &gt;8"_MF</v>
      </c>
      <c r="C4613" s="2" t="str">
        <f t="shared" si="143"/>
        <v>NSG_Income Eligible_Multi-Family_Whole Building - Prescriptive_Pipe Insulation_Steam - X-Large &gt;8"_MF_2022</v>
      </c>
      <c r="D4613" s="19" t="s">
        <v>1787</v>
      </c>
      <c r="E4613" s="19" t="s">
        <v>325</v>
      </c>
      <c r="F4613" s="19" t="s">
        <v>1422</v>
      </c>
      <c r="G4613" s="19" t="s">
        <v>1813</v>
      </c>
      <c r="H4613" s="19" t="s">
        <v>404</v>
      </c>
      <c r="I4613" s="19" t="s">
        <v>960</v>
      </c>
      <c r="J4613" s="19">
        <v>0</v>
      </c>
      <c r="K4613" s="19" t="s">
        <v>553</v>
      </c>
      <c r="L4613" s="19">
        <v>2022</v>
      </c>
      <c r="M4613" s="20">
        <v>75</v>
      </c>
      <c r="N4613" s="19" t="s">
        <v>616</v>
      </c>
      <c r="O4613" s="20">
        <v>0</v>
      </c>
      <c r="P4613" s="20">
        <v>0</v>
      </c>
      <c r="Q4613" s="20">
        <v>0</v>
      </c>
      <c r="R4613" s="21">
        <v>1</v>
      </c>
      <c r="S4613" s="20">
        <v>0</v>
      </c>
    </row>
    <row r="4614" spans="2:19" ht="15" customHeight="1" x14ac:dyDescent="0.25">
      <c r="B4614" s="2" t="str">
        <f t="shared" ref="B4614:B4677" si="144">D4614&amp;"_"&amp;E4614&amp;"_"&amp;F4614&amp;"_"&amp;G4614&amp;"_"&amp;H4614&amp;"_"&amp;I4614&amp;"_"&amp;K4614</f>
        <v>NSG_Income Eligible_Multi-Family_Whole Building - Prescriptive_Pipe Insulation_Steam - X-Large &gt;8"_MF</v>
      </c>
      <c r="C4614" s="2" t="str">
        <f t="shared" ref="C4614:C4677" si="145">D4614&amp;"_"&amp;E4614&amp;"_"&amp;F4614&amp;"_"&amp;G4614&amp;"_"&amp;H4614&amp;"_"&amp;I4614&amp;"_"&amp;K4614&amp;"_"&amp;L4614</f>
        <v>NSG_Income Eligible_Multi-Family_Whole Building - Prescriptive_Pipe Insulation_Steam - X-Large &gt;8"_MF_2023</v>
      </c>
      <c r="D4614" s="19" t="s">
        <v>1787</v>
      </c>
      <c r="E4614" s="19" t="s">
        <v>325</v>
      </c>
      <c r="F4614" s="19" t="s">
        <v>1422</v>
      </c>
      <c r="G4614" s="19" t="s">
        <v>1813</v>
      </c>
      <c r="H4614" s="19" t="s">
        <v>404</v>
      </c>
      <c r="I4614" s="19" t="s">
        <v>960</v>
      </c>
      <c r="J4614" s="19">
        <v>0</v>
      </c>
      <c r="K4614" s="19" t="s">
        <v>553</v>
      </c>
      <c r="L4614" s="19">
        <v>2023</v>
      </c>
      <c r="M4614" s="20">
        <v>75</v>
      </c>
      <c r="N4614" s="19" t="s">
        <v>616</v>
      </c>
      <c r="O4614" s="20">
        <v>0</v>
      </c>
      <c r="P4614" s="20">
        <v>0</v>
      </c>
      <c r="Q4614" s="20">
        <v>0</v>
      </c>
      <c r="R4614" s="21">
        <v>1</v>
      </c>
      <c r="S4614" s="20">
        <v>0</v>
      </c>
    </row>
    <row r="4615" spans="2:19" ht="15" customHeight="1" x14ac:dyDescent="0.25">
      <c r="B4615" s="2" t="str">
        <f t="shared" si="144"/>
        <v>NSG_Income Eligible_Multi-Family_Whole Building - Prescriptive_Pipe Insulation_Steam - X-Large &gt;8"_MF</v>
      </c>
      <c r="C4615" s="2" t="str">
        <f t="shared" si="145"/>
        <v>NSG_Income Eligible_Multi-Family_Whole Building - Prescriptive_Pipe Insulation_Steam - X-Large &gt;8"_MF_2024</v>
      </c>
      <c r="D4615" s="19" t="s">
        <v>1787</v>
      </c>
      <c r="E4615" s="19" t="s">
        <v>325</v>
      </c>
      <c r="F4615" s="19" t="s">
        <v>1422</v>
      </c>
      <c r="G4615" s="19" t="s">
        <v>1813</v>
      </c>
      <c r="H4615" s="19" t="s">
        <v>404</v>
      </c>
      <c r="I4615" s="19" t="s">
        <v>960</v>
      </c>
      <c r="J4615" s="19">
        <v>0</v>
      </c>
      <c r="K4615" s="19" t="s">
        <v>553</v>
      </c>
      <c r="L4615" s="19">
        <v>2024</v>
      </c>
      <c r="M4615" s="20">
        <v>75</v>
      </c>
      <c r="N4615" s="19" t="s">
        <v>616</v>
      </c>
      <c r="O4615" s="20">
        <v>0</v>
      </c>
      <c r="P4615" s="20">
        <v>0</v>
      </c>
      <c r="Q4615" s="20">
        <v>0</v>
      </c>
      <c r="R4615" s="21">
        <v>1</v>
      </c>
      <c r="S4615" s="20">
        <v>0</v>
      </c>
    </row>
    <row r="4616" spans="2:19" ht="15" customHeight="1" x14ac:dyDescent="0.25">
      <c r="B4616" s="2" t="str">
        <f t="shared" si="144"/>
        <v>NSG_Income Eligible_Multi-Family_Whole Building - Prescriptive_Pipe Insulation_Steam - X-Large &gt;8"_MF</v>
      </c>
      <c r="C4616" s="2" t="str">
        <f t="shared" si="145"/>
        <v>NSG_Income Eligible_Multi-Family_Whole Building - Prescriptive_Pipe Insulation_Steam - X-Large &gt;8"_MF_2025</v>
      </c>
      <c r="D4616" s="19" t="s">
        <v>1787</v>
      </c>
      <c r="E4616" s="19" t="s">
        <v>325</v>
      </c>
      <c r="F4616" s="19" t="s">
        <v>1422</v>
      </c>
      <c r="G4616" s="19" t="s">
        <v>1813</v>
      </c>
      <c r="H4616" s="19" t="s">
        <v>404</v>
      </c>
      <c r="I4616" s="19" t="s">
        <v>960</v>
      </c>
      <c r="J4616" s="19">
        <v>0</v>
      </c>
      <c r="K4616" s="19" t="s">
        <v>553</v>
      </c>
      <c r="L4616" s="19">
        <v>2025</v>
      </c>
      <c r="M4616" s="20">
        <v>75</v>
      </c>
      <c r="N4616" s="19" t="s">
        <v>616</v>
      </c>
      <c r="O4616" s="20">
        <v>0</v>
      </c>
      <c r="P4616" s="20">
        <v>0</v>
      </c>
      <c r="Q4616" s="20">
        <v>0</v>
      </c>
      <c r="R4616" s="21">
        <v>1</v>
      </c>
      <c r="S4616" s="20">
        <v>0</v>
      </c>
    </row>
    <row r="4617" spans="2:19" ht="15" customHeight="1" x14ac:dyDescent="0.25">
      <c r="B4617" s="2" t="str">
        <f t="shared" si="144"/>
        <v>NSG_Income Eligible_Multi-Family_Whole Building - Prescriptive_Pipe Insulation_Steam Small Fitting_MF</v>
      </c>
      <c r="C4617" s="2" t="str">
        <f t="shared" si="145"/>
        <v>NSG_Income Eligible_Multi-Family_Whole Building - Prescriptive_Pipe Insulation_Steam Small Fitting_MF_2022</v>
      </c>
      <c r="D4617" s="19" t="s">
        <v>1787</v>
      </c>
      <c r="E4617" s="19" t="s">
        <v>325</v>
      </c>
      <c r="F4617" s="19" t="s">
        <v>1422</v>
      </c>
      <c r="G4617" s="19" t="s">
        <v>1813</v>
      </c>
      <c r="H4617" s="19" t="s">
        <v>404</v>
      </c>
      <c r="I4617" s="19" t="s">
        <v>961</v>
      </c>
      <c r="J4617" s="19">
        <v>0</v>
      </c>
      <c r="K4617" s="19" t="s">
        <v>553</v>
      </c>
      <c r="L4617" s="19">
        <v>2022</v>
      </c>
      <c r="M4617" s="20">
        <v>1</v>
      </c>
      <c r="N4617" s="19" t="s">
        <v>1798</v>
      </c>
      <c r="O4617" s="20">
        <v>0</v>
      </c>
      <c r="P4617" s="20">
        <v>0</v>
      </c>
      <c r="Q4617" s="20">
        <v>0</v>
      </c>
      <c r="R4617" s="21">
        <v>1</v>
      </c>
      <c r="S4617" s="20">
        <v>0</v>
      </c>
    </row>
    <row r="4618" spans="2:19" ht="15" customHeight="1" x14ac:dyDescent="0.25">
      <c r="B4618" s="2" t="str">
        <f t="shared" si="144"/>
        <v>NSG_Income Eligible_Multi-Family_Whole Building - Prescriptive_Pipe Insulation_Steam Small Fitting_MF</v>
      </c>
      <c r="C4618" s="2" t="str">
        <f t="shared" si="145"/>
        <v>NSG_Income Eligible_Multi-Family_Whole Building - Prescriptive_Pipe Insulation_Steam Small Fitting_MF_2023</v>
      </c>
      <c r="D4618" s="19" t="s">
        <v>1787</v>
      </c>
      <c r="E4618" s="19" t="s">
        <v>325</v>
      </c>
      <c r="F4618" s="19" t="s">
        <v>1422</v>
      </c>
      <c r="G4618" s="19" t="s">
        <v>1813</v>
      </c>
      <c r="H4618" s="19" t="s">
        <v>404</v>
      </c>
      <c r="I4618" s="19" t="s">
        <v>961</v>
      </c>
      <c r="J4618" s="19">
        <v>0</v>
      </c>
      <c r="K4618" s="19" t="s">
        <v>553</v>
      </c>
      <c r="L4618" s="19">
        <v>2023</v>
      </c>
      <c r="M4618" s="20">
        <v>1</v>
      </c>
      <c r="N4618" s="19" t="s">
        <v>1798</v>
      </c>
      <c r="O4618" s="20">
        <v>0</v>
      </c>
      <c r="P4618" s="20">
        <v>0</v>
      </c>
      <c r="Q4618" s="20">
        <v>0</v>
      </c>
      <c r="R4618" s="21">
        <v>1</v>
      </c>
      <c r="S4618" s="20">
        <v>0</v>
      </c>
    </row>
    <row r="4619" spans="2:19" ht="15" customHeight="1" x14ac:dyDescent="0.25">
      <c r="B4619" s="2" t="str">
        <f t="shared" si="144"/>
        <v>NSG_Income Eligible_Multi-Family_Whole Building - Prescriptive_Pipe Insulation_Steam Small Fitting_MF</v>
      </c>
      <c r="C4619" s="2" t="str">
        <f t="shared" si="145"/>
        <v>NSG_Income Eligible_Multi-Family_Whole Building - Prescriptive_Pipe Insulation_Steam Small Fitting_MF_2024</v>
      </c>
      <c r="D4619" s="19" t="s">
        <v>1787</v>
      </c>
      <c r="E4619" s="19" t="s">
        <v>325</v>
      </c>
      <c r="F4619" s="19" t="s">
        <v>1422</v>
      </c>
      <c r="G4619" s="19" t="s">
        <v>1813</v>
      </c>
      <c r="H4619" s="19" t="s">
        <v>404</v>
      </c>
      <c r="I4619" s="19" t="s">
        <v>961</v>
      </c>
      <c r="J4619" s="19">
        <v>0</v>
      </c>
      <c r="K4619" s="19" t="s">
        <v>553</v>
      </c>
      <c r="L4619" s="19">
        <v>2024</v>
      </c>
      <c r="M4619" s="20">
        <v>1</v>
      </c>
      <c r="N4619" s="19" t="s">
        <v>1798</v>
      </c>
      <c r="O4619" s="20">
        <v>0</v>
      </c>
      <c r="P4619" s="20">
        <v>0</v>
      </c>
      <c r="Q4619" s="20">
        <v>0</v>
      </c>
      <c r="R4619" s="21">
        <v>1</v>
      </c>
      <c r="S4619" s="20">
        <v>0</v>
      </c>
    </row>
    <row r="4620" spans="2:19" ht="15" customHeight="1" x14ac:dyDescent="0.25">
      <c r="B4620" s="2" t="str">
        <f t="shared" si="144"/>
        <v>NSG_Income Eligible_Multi-Family_Whole Building - Prescriptive_Pipe Insulation_Steam Small Fitting_MF</v>
      </c>
      <c r="C4620" s="2" t="str">
        <f t="shared" si="145"/>
        <v>NSG_Income Eligible_Multi-Family_Whole Building - Prescriptive_Pipe Insulation_Steam Small Fitting_MF_2025</v>
      </c>
      <c r="D4620" s="19" t="s">
        <v>1787</v>
      </c>
      <c r="E4620" s="19" t="s">
        <v>325</v>
      </c>
      <c r="F4620" s="19" t="s">
        <v>1422</v>
      </c>
      <c r="G4620" s="19" t="s">
        <v>1813</v>
      </c>
      <c r="H4620" s="19" t="s">
        <v>404</v>
      </c>
      <c r="I4620" s="19" t="s">
        <v>961</v>
      </c>
      <c r="J4620" s="19">
        <v>0</v>
      </c>
      <c r="K4620" s="19" t="s">
        <v>553</v>
      </c>
      <c r="L4620" s="19">
        <v>2025</v>
      </c>
      <c r="M4620" s="20">
        <v>1</v>
      </c>
      <c r="N4620" s="19" t="s">
        <v>1798</v>
      </c>
      <c r="O4620" s="20">
        <v>0</v>
      </c>
      <c r="P4620" s="20">
        <v>0</v>
      </c>
      <c r="Q4620" s="20">
        <v>0</v>
      </c>
      <c r="R4620" s="21">
        <v>1</v>
      </c>
      <c r="S4620" s="20">
        <v>0</v>
      </c>
    </row>
    <row r="4621" spans="2:19" ht="15" customHeight="1" x14ac:dyDescent="0.25">
      <c r="B4621" s="2" t="str">
        <f t="shared" si="144"/>
        <v>NSG_Income Eligible_Multi-Family_Whole Building - Prescriptive_Pipe Insulation_Steam Med Fitting_MF</v>
      </c>
      <c r="C4621" s="2" t="str">
        <f t="shared" si="145"/>
        <v>NSG_Income Eligible_Multi-Family_Whole Building - Prescriptive_Pipe Insulation_Steam Med Fitting_MF_2022</v>
      </c>
      <c r="D4621" s="19" t="s">
        <v>1787</v>
      </c>
      <c r="E4621" s="19" t="s">
        <v>325</v>
      </c>
      <c r="F4621" s="19" t="s">
        <v>1422</v>
      </c>
      <c r="G4621" s="19" t="s">
        <v>1813</v>
      </c>
      <c r="H4621" s="19" t="s">
        <v>404</v>
      </c>
      <c r="I4621" s="19" t="s">
        <v>962</v>
      </c>
      <c r="J4621" s="19">
        <v>0</v>
      </c>
      <c r="K4621" s="19" t="s">
        <v>553</v>
      </c>
      <c r="L4621" s="19">
        <v>2022</v>
      </c>
      <c r="M4621" s="20">
        <v>1</v>
      </c>
      <c r="N4621" s="19" t="s">
        <v>1798</v>
      </c>
      <c r="O4621" s="20">
        <v>2</v>
      </c>
      <c r="P4621" s="20">
        <v>2</v>
      </c>
      <c r="Q4621" s="20">
        <v>40.269150950520832</v>
      </c>
      <c r="R4621" s="21">
        <v>1</v>
      </c>
      <c r="S4621" s="20">
        <v>40.269150950520832</v>
      </c>
    </row>
    <row r="4622" spans="2:19" ht="15" customHeight="1" x14ac:dyDescent="0.25">
      <c r="B4622" s="2" t="str">
        <f t="shared" si="144"/>
        <v>NSG_Income Eligible_Multi-Family_Whole Building - Prescriptive_Pipe Insulation_Steam Med Fitting_MF</v>
      </c>
      <c r="C4622" s="2" t="str">
        <f t="shared" si="145"/>
        <v>NSG_Income Eligible_Multi-Family_Whole Building - Prescriptive_Pipe Insulation_Steam Med Fitting_MF_2023</v>
      </c>
      <c r="D4622" s="19" t="s">
        <v>1787</v>
      </c>
      <c r="E4622" s="19" t="s">
        <v>325</v>
      </c>
      <c r="F4622" s="19" t="s">
        <v>1422</v>
      </c>
      <c r="G4622" s="19" t="s">
        <v>1813</v>
      </c>
      <c r="H4622" s="19" t="s">
        <v>404</v>
      </c>
      <c r="I4622" s="19" t="s">
        <v>962</v>
      </c>
      <c r="J4622" s="19">
        <v>0</v>
      </c>
      <c r="K4622" s="19" t="s">
        <v>553</v>
      </c>
      <c r="L4622" s="19">
        <v>2023</v>
      </c>
      <c r="M4622" s="20">
        <v>1</v>
      </c>
      <c r="N4622" s="19" t="s">
        <v>1798</v>
      </c>
      <c r="O4622" s="20">
        <v>2</v>
      </c>
      <c r="P4622" s="20">
        <v>2</v>
      </c>
      <c r="Q4622" s="20">
        <v>40.269150950520832</v>
      </c>
      <c r="R4622" s="21">
        <v>1</v>
      </c>
      <c r="S4622" s="20">
        <v>40.269150950520832</v>
      </c>
    </row>
    <row r="4623" spans="2:19" ht="15" customHeight="1" x14ac:dyDescent="0.25">
      <c r="B4623" s="2" t="str">
        <f t="shared" si="144"/>
        <v>NSG_Income Eligible_Multi-Family_Whole Building - Prescriptive_Pipe Insulation_Steam Med Fitting_MF</v>
      </c>
      <c r="C4623" s="2" t="str">
        <f t="shared" si="145"/>
        <v>NSG_Income Eligible_Multi-Family_Whole Building - Prescriptive_Pipe Insulation_Steam Med Fitting_MF_2024</v>
      </c>
      <c r="D4623" s="19" t="s">
        <v>1787</v>
      </c>
      <c r="E4623" s="19" t="s">
        <v>325</v>
      </c>
      <c r="F4623" s="19" t="s">
        <v>1422</v>
      </c>
      <c r="G4623" s="19" t="s">
        <v>1813</v>
      </c>
      <c r="H4623" s="19" t="s">
        <v>404</v>
      </c>
      <c r="I4623" s="19" t="s">
        <v>962</v>
      </c>
      <c r="J4623" s="19">
        <v>0</v>
      </c>
      <c r="K4623" s="19" t="s">
        <v>553</v>
      </c>
      <c r="L4623" s="19">
        <v>2024</v>
      </c>
      <c r="M4623" s="20">
        <v>1</v>
      </c>
      <c r="N4623" s="19" t="s">
        <v>1798</v>
      </c>
      <c r="O4623" s="20">
        <v>2</v>
      </c>
      <c r="P4623" s="20">
        <v>2</v>
      </c>
      <c r="Q4623" s="20">
        <v>40.269150950520832</v>
      </c>
      <c r="R4623" s="21">
        <v>1</v>
      </c>
      <c r="S4623" s="20">
        <v>40.269150950520832</v>
      </c>
    </row>
    <row r="4624" spans="2:19" ht="15" customHeight="1" x14ac:dyDescent="0.25">
      <c r="B4624" s="2" t="str">
        <f t="shared" si="144"/>
        <v>NSG_Income Eligible_Multi-Family_Whole Building - Prescriptive_Pipe Insulation_Steam Med Fitting_MF</v>
      </c>
      <c r="C4624" s="2" t="str">
        <f t="shared" si="145"/>
        <v>NSG_Income Eligible_Multi-Family_Whole Building - Prescriptive_Pipe Insulation_Steam Med Fitting_MF_2025</v>
      </c>
      <c r="D4624" s="19" t="s">
        <v>1787</v>
      </c>
      <c r="E4624" s="19" t="s">
        <v>325</v>
      </c>
      <c r="F4624" s="19" t="s">
        <v>1422</v>
      </c>
      <c r="G4624" s="19" t="s">
        <v>1813</v>
      </c>
      <c r="H4624" s="19" t="s">
        <v>404</v>
      </c>
      <c r="I4624" s="19" t="s">
        <v>962</v>
      </c>
      <c r="J4624" s="19">
        <v>0</v>
      </c>
      <c r="K4624" s="19" t="s">
        <v>553</v>
      </c>
      <c r="L4624" s="19">
        <v>2025</v>
      </c>
      <c r="M4624" s="20">
        <v>1</v>
      </c>
      <c r="N4624" s="19" t="s">
        <v>1798</v>
      </c>
      <c r="O4624" s="20">
        <v>2</v>
      </c>
      <c r="P4624" s="20">
        <v>2</v>
      </c>
      <c r="Q4624" s="20">
        <v>40.269150950520832</v>
      </c>
      <c r="R4624" s="21">
        <v>1</v>
      </c>
      <c r="S4624" s="20">
        <v>40.269150950520832</v>
      </c>
    </row>
    <row r="4625" spans="2:19" ht="15" customHeight="1" x14ac:dyDescent="0.25">
      <c r="B4625" s="2" t="str">
        <f t="shared" si="144"/>
        <v>NSG_Income Eligible_Multi-Family_Whole Building - Prescriptive_Pipe Insulation_Steam Large Fitting_MF</v>
      </c>
      <c r="C4625" s="2" t="str">
        <f t="shared" si="145"/>
        <v>NSG_Income Eligible_Multi-Family_Whole Building - Prescriptive_Pipe Insulation_Steam Large Fitting_MF_2022</v>
      </c>
      <c r="D4625" s="19" t="s">
        <v>1787</v>
      </c>
      <c r="E4625" s="19" t="s">
        <v>325</v>
      </c>
      <c r="F4625" s="19" t="s">
        <v>1422</v>
      </c>
      <c r="G4625" s="19" t="s">
        <v>1813</v>
      </c>
      <c r="H4625" s="19" t="s">
        <v>404</v>
      </c>
      <c r="I4625" s="19" t="s">
        <v>963</v>
      </c>
      <c r="J4625" s="19">
        <v>0</v>
      </c>
      <c r="K4625" s="19" t="s">
        <v>553</v>
      </c>
      <c r="L4625" s="19">
        <v>2022</v>
      </c>
      <c r="M4625" s="20">
        <v>1</v>
      </c>
      <c r="N4625" s="19" t="s">
        <v>1798</v>
      </c>
      <c r="O4625" s="20">
        <v>2</v>
      </c>
      <c r="P4625" s="20">
        <v>2</v>
      </c>
      <c r="Q4625" s="20">
        <v>132.56854646604936</v>
      </c>
      <c r="R4625" s="21">
        <v>1</v>
      </c>
      <c r="S4625" s="20">
        <v>132.56854646604936</v>
      </c>
    </row>
    <row r="4626" spans="2:19" ht="15" customHeight="1" x14ac:dyDescent="0.25">
      <c r="B4626" s="2" t="str">
        <f t="shared" si="144"/>
        <v>NSG_Income Eligible_Multi-Family_Whole Building - Prescriptive_Pipe Insulation_Steam Large Fitting_MF</v>
      </c>
      <c r="C4626" s="2" t="str">
        <f t="shared" si="145"/>
        <v>NSG_Income Eligible_Multi-Family_Whole Building - Prescriptive_Pipe Insulation_Steam Large Fitting_MF_2023</v>
      </c>
      <c r="D4626" s="19" t="s">
        <v>1787</v>
      </c>
      <c r="E4626" s="19" t="s">
        <v>325</v>
      </c>
      <c r="F4626" s="19" t="s">
        <v>1422</v>
      </c>
      <c r="G4626" s="19" t="s">
        <v>1813</v>
      </c>
      <c r="H4626" s="19" t="s">
        <v>404</v>
      </c>
      <c r="I4626" s="19" t="s">
        <v>963</v>
      </c>
      <c r="J4626" s="19">
        <v>0</v>
      </c>
      <c r="K4626" s="19" t="s">
        <v>553</v>
      </c>
      <c r="L4626" s="19">
        <v>2023</v>
      </c>
      <c r="M4626" s="20">
        <v>1</v>
      </c>
      <c r="N4626" s="19" t="s">
        <v>1798</v>
      </c>
      <c r="O4626" s="20">
        <v>2</v>
      </c>
      <c r="P4626" s="20">
        <v>2</v>
      </c>
      <c r="Q4626" s="20">
        <v>132.56854646604936</v>
      </c>
      <c r="R4626" s="21">
        <v>1</v>
      </c>
      <c r="S4626" s="20">
        <v>132.56854646604936</v>
      </c>
    </row>
    <row r="4627" spans="2:19" ht="15" customHeight="1" x14ac:dyDescent="0.25">
      <c r="B4627" s="2" t="str">
        <f t="shared" si="144"/>
        <v>NSG_Income Eligible_Multi-Family_Whole Building - Prescriptive_Pipe Insulation_Steam Large Fitting_MF</v>
      </c>
      <c r="C4627" s="2" t="str">
        <f t="shared" si="145"/>
        <v>NSG_Income Eligible_Multi-Family_Whole Building - Prescriptive_Pipe Insulation_Steam Large Fitting_MF_2024</v>
      </c>
      <c r="D4627" s="19" t="s">
        <v>1787</v>
      </c>
      <c r="E4627" s="19" t="s">
        <v>325</v>
      </c>
      <c r="F4627" s="19" t="s">
        <v>1422</v>
      </c>
      <c r="G4627" s="19" t="s">
        <v>1813</v>
      </c>
      <c r="H4627" s="19" t="s">
        <v>404</v>
      </c>
      <c r="I4627" s="19" t="s">
        <v>963</v>
      </c>
      <c r="J4627" s="19">
        <v>0</v>
      </c>
      <c r="K4627" s="19" t="s">
        <v>553</v>
      </c>
      <c r="L4627" s="19">
        <v>2024</v>
      </c>
      <c r="M4627" s="20">
        <v>1</v>
      </c>
      <c r="N4627" s="19" t="s">
        <v>1798</v>
      </c>
      <c r="O4627" s="20">
        <v>2</v>
      </c>
      <c r="P4627" s="20">
        <v>2</v>
      </c>
      <c r="Q4627" s="20">
        <v>132.56854646604936</v>
      </c>
      <c r="R4627" s="21">
        <v>1</v>
      </c>
      <c r="S4627" s="20">
        <v>132.56854646604936</v>
      </c>
    </row>
    <row r="4628" spans="2:19" ht="15" customHeight="1" x14ac:dyDescent="0.25">
      <c r="B4628" s="2" t="str">
        <f t="shared" si="144"/>
        <v>NSG_Income Eligible_Multi-Family_Whole Building - Prescriptive_Pipe Insulation_Steam Large Fitting_MF</v>
      </c>
      <c r="C4628" s="2" t="str">
        <f t="shared" si="145"/>
        <v>NSG_Income Eligible_Multi-Family_Whole Building - Prescriptive_Pipe Insulation_Steam Large Fitting_MF_2025</v>
      </c>
      <c r="D4628" s="19" t="s">
        <v>1787</v>
      </c>
      <c r="E4628" s="19" t="s">
        <v>325</v>
      </c>
      <c r="F4628" s="19" t="s">
        <v>1422</v>
      </c>
      <c r="G4628" s="19" t="s">
        <v>1813</v>
      </c>
      <c r="H4628" s="19" t="s">
        <v>404</v>
      </c>
      <c r="I4628" s="19" t="s">
        <v>963</v>
      </c>
      <c r="J4628" s="19">
        <v>0</v>
      </c>
      <c r="K4628" s="19" t="s">
        <v>553</v>
      </c>
      <c r="L4628" s="19">
        <v>2025</v>
      </c>
      <c r="M4628" s="20">
        <v>1</v>
      </c>
      <c r="N4628" s="19" t="s">
        <v>1798</v>
      </c>
      <c r="O4628" s="20">
        <v>2</v>
      </c>
      <c r="P4628" s="20">
        <v>2</v>
      </c>
      <c r="Q4628" s="20">
        <v>132.56854646604936</v>
      </c>
      <c r="R4628" s="21">
        <v>1</v>
      </c>
      <c r="S4628" s="20">
        <v>132.56854646604936</v>
      </c>
    </row>
    <row r="4629" spans="2:19" ht="15" customHeight="1" x14ac:dyDescent="0.25">
      <c r="B4629" s="2" t="str">
        <f t="shared" si="144"/>
        <v>NSG_Income Eligible_Multi-Family_Whole Building - Prescriptive_Pipe Insulation_Steam X-Large Fitting_MF</v>
      </c>
      <c r="C4629" s="2" t="str">
        <f t="shared" si="145"/>
        <v>NSG_Income Eligible_Multi-Family_Whole Building - Prescriptive_Pipe Insulation_Steam X-Large Fitting_MF_2022</v>
      </c>
      <c r="D4629" s="19" t="s">
        <v>1787</v>
      </c>
      <c r="E4629" s="19" t="s">
        <v>325</v>
      </c>
      <c r="F4629" s="19" t="s">
        <v>1422</v>
      </c>
      <c r="G4629" s="19" t="s">
        <v>1813</v>
      </c>
      <c r="H4629" s="19" t="s">
        <v>404</v>
      </c>
      <c r="I4629" s="19" t="s">
        <v>964</v>
      </c>
      <c r="J4629" s="19">
        <v>0</v>
      </c>
      <c r="K4629" s="19" t="s">
        <v>553</v>
      </c>
      <c r="L4629" s="19">
        <v>2022</v>
      </c>
      <c r="M4629" s="20">
        <v>1</v>
      </c>
      <c r="N4629" s="19" t="s">
        <v>1798</v>
      </c>
      <c r="O4629" s="20">
        <v>0</v>
      </c>
      <c r="P4629" s="20">
        <v>0</v>
      </c>
      <c r="Q4629" s="20">
        <v>0</v>
      </c>
      <c r="R4629" s="21">
        <v>1</v>
      </c>
      <c r="S4629" s="20">
        <v>0</v>
      </c>
    </row>
    <row r="4630" spans="2:19" ht="15" customHeight="1" x14ac:dyDescent="0.25">
      <c r="B4630" s="2" t="str">
        <f t="shared" si="144"/>
        <v>NSG_Income Eligible_Multi-Family_Whole Building - Prescriptive_Pipe Insulation_Steam X-Large Fitting_MF</v>
      </c>
      <c r="C4630" s="2" t="str">
        <f t="shared" si="145"/>
        <v>NSG_Income Eligible_Multi-Family_Whole Building - Prescriptive_Pipe Insulation_Steam X-Large Fitting_MF_2023</v>
      </c>
      <c r="D4630" s="19" t="s">
        <v>1787</v>
      </c>
      <c r="E4630" s="19" t="s">
        <v>325</v>
      </c>
      <c r="F4630" s="19" t="s">
        <v>1422</v>
      </c>
      <c r="G4630" s="19" t="s">
        <v>1813</v>
      </c>
      <c r="H4630" s="19" t="s">
        <v>404</v>
      </c>
      <c r="I4630" s="19" t="s">
        <v>964</v>
      </c>
      <c r="J4630" s="19">
        <v>0</v>
      </c>
      <c r="K4630" s="19" t="s">
        <v>553</v>
      </c>
      <c r="L4630" s="19">
        <v>2023</v>
      </c>
      <c r="M4630" s="20">
        <v>1</v>
      </c>
      <c r="N4630" s="19" t="s">
        <v>1798</v>
      </c>
      <c r="O4630" s="20">
        <v>0</v>
      </c>
      <c r="P4630" s="20">
        <v>0</v>
      </c>
      <c r="Q4630" s="20">
        <v>0</v>
      </c>
      <c r="R4630" s="21">
        <v>1</v>
      </c>
      <c r="S4630" s="20">
        <v>0</v>
      </c>
    </row>
    <row r="4631" spans="2:19" ht="15" customHeight="1" x14ac:dyDescent="0.25">
      <c r="B4631" s="2" t="str">
        <f t="shared" si="144"/>
        <v>NSG_Income Eligible_Multi-Family_Whole Building - Prescriptive_Pipe Insulation_Steam X-Large Fitting_MF</v>
      </c>
      <c r="C4631" s="2" t="str">
        <f t="shared" si="145"/>
        <v>NSG_Income Eligible_Multi-Family_Whole Building - Prescriptive_Pipe Insulation_Steam X-Large Fitting_MF_2024</v>
      </c>
      <c r="D4631" s="19" t="s">
        <v>1787</v>
      </c>
      <c r="E4631" s="19" t="s">
        <v>325</v>
      </c>
      <c r="F4631" s="19" t="s">
        <v>1422</v>
      </c>
      <c r="G4631" s="19" t="s">
        <v>1813</v>
      </c>
      <c r="H4631" s="19" t="s">
        <v>404</v>
      </c>
      <c r="I4631" s="19" t="s">
        <v>964</v>
      </c>
      <c r="J4631" s="19">
        <v>0</v>
      </c>
      <c r="K4631" s="19" t="s">
        <v>553</v>
      </c>
      <c r="L4631" s="19">
        <v>2024</v>
      </c>
      <c r="M4631" s="20">
        <v>1</v>
      </c>
      <c r="N4631" s="19" t="s">
        <v>1798</v>
      </c>
      <c r="O4631" s="20">
        <v>0</v>
      </c>
      <c r="P4631" s="20">
        <v>0</v>
      </c>
      <c r="Q4631" s="20">
        <v>0</v>
      </c>
      <c r="R4631" s="21">
        <v>1</v>
      </c>
      <c r="S4631" s="20">
        <v>0</v>
      </c>
    </row>
    <row r="4632" spans="2:19" ht="15" customHeight="1" x14ac:dyDescent="0.25">
      <c r="B4632" s="2" t="str">
        <f t="shared" si="144"/>
        <v>NSG_Income Eligible_Multi-Family_Whole Building - Prescriptive_Pipe Insulation_Steam X-Large Fitting_MF</v>
      </c>
      <c r="C4632" s="2" t="str">
        <f t="shared" si="145"/>
        <v>NSG_Income Eligible_Multi-Family_Whole Building - Prescriptive_Pipe Insulation_Steam X-Large Fitting_MF_2025</v>
      </c>
      <c r="D4632" s="19" t="s">
        <v>1787</v>
      </c>
      <c r="E4632" s="19" t="s">
        <v>325</v>
      </c>
      <c r="F4632" s="19" t="s">
        <v>1422</v>
      </c>
      <c r="G4632" s="19" t="s">
        <v>1813</v>
      </c>
      <c r="H4632" s="19" t="s">
        <v>404</v>
      </c>
      <c r="I4632" s="19" t="s">
        <v>964</v>
      </c>
      <c r="J4632" s="19">
        <v>0</v>
      </c>
      <c r="K4632" s="19" t="s">
        <v>553</v>
      </c>
      <c r="L4632" s="19">
        <v>2025</v>
      </c>
      <c r="M4632" s="20">
        <v>1</v>
      </c>
      <c r="N4632" s="19" t="s">
        <v>1798</v>
      </c>
      <c r="O4632" s="20">
        <v>0</v>
      </c>
      <c r="P4632" s="20">
        <v>0</v>
      </c>
      <c r="Q4632" s="20">
        <v>0</v>
      </c>
      <c r="R4632" s="21">
        <v>1</v>
      </c>
      <c r="S4632" s="20">
        <v>0</v>
      </c>
    </row>
    <row r="4633" spans="2:19" ht="15" customHeight="1" x14ac:dyDescent="0.25">
      <c r="B4633" s="2" t="str">
        <f t="shared" si="144"/>
        <v>NSG_Income Eligible_Multi-Family_Whole Building - Prescriptive_Pipe Insulation_Steam Small Valve_MF</v>
      </c>
      <c r="C4633" s="2" t="str">
        <f t="shared" si="145"/>
        <v>NSG_Income Eligible_Multi-Family_Whole Building - Prescriptive_Pipe Insulation_Steam Small Valve_MF_2022</v>
      </c>
      <c r="D4633" s="19" t="s">
        <v>1787</v>
      </c>
      <c r="E4633" s="19" t="s">
        <v>325</v>
      </c>
      <c r="F4633" s="19" t="s">
        <v>1422</v>
      </c>
      <c r="G4633" s="19" t="s">
        <v>1813</v>
      </c>
      <c r="H4633" s="19" t="s">
        <v>404</v>
      </c>
      <c r="I4633" s="19" t="s">
        <v>965</v>
      </c>
      <c r="J4633" s="19">
        <v>0</v>
      </c>
      <c r="K4633" s="19" t="s">
        <v>553</v>
      </c>
      <c r="L4633" s="19">
        <v>2022</v>
      </c>
      <c r="M4633" s="20">
        <v>1</v>
      </c>
      <c r="N4633" s="19" t="s">
        <v>1798</v>
      </c>
      <c r="O4633" s="20">
        <v>0</v>
      </c>
      <c r="P4633" s="20">
        <v>0</v>
      </c>
      <c r="Q4633" s="20">
        <v>0</v>
      </c>
      <c r="R4633" s="21">
        <v>1</v>
      </c>
      <c r="S4633" s="20">
        <v>0</v>
      </c>
    </row>
    <row r="4634" spans="2:19" ht="15" customHeight="1" x14ac:dyDescent="0.25">
      <c r="B4634" s="2" t="str">
        <f t="shared" si="144"/>
        <v>NSG_Income Eligible_Multi-Family_Whole Building - Prescriptive_Pipe Insulation_Steam Small Valve_MF</v>
      </c>
      <c r="C4634" s="2" t="str">
        <f t="shared" si="145"/>
        <v>NSG_Income Eligible_Multi-Family_Whole Building - Prescriptive_Pipe Insulation_Steam Small Valve_MF_2023</v>
      </c>
      <c r="D4634" s="19" t="s">
        <v>1787</v>
      </c>
      <c r="E4634" s="19" t="s">
        <v>325</v>
      </c>
      <c r="F4634" s="19" t="s">
        <v>1422</v>
      </c>
      <c r="G4634" s="19" t="s">
        <v>1813</v>
      </c>
      <c r="H4634" s="19" t="s">
        <v>404</v>
      </c>
      <c r="I4634" s="19" t="s">
        <v>965</v>
      </c>
      <c r="J4634" s="19">
        <v>0</v>
      </c>
      <c r="K4634" s="19" t="s">
        <v>553</v>
      </c>
      <c r="L4634" s="19">
        <v>2023</v>
      </c>
      <c r="M4634" s="20">
        <v>1</v>
      </c>
      <c r="N4634" s="19" t="s">
        <v>1798</v>
      </c>
      <c r="O4634" s="20">
        <v>0</v>
      </c>
      <c r="P4634" s="20">
        <v>0</v>
      </c>
      <c r="Q4634" s="20">
        <v>0</v>
      </c>
      <c r="R4634" s="21">
        <v>1</v>
      </c>
      <c r="S4634" s="20">
        <v>0</v>
      </c>
    </row>
    <row r="4635" spans="2:19" ht="15" customHeight="1" x14ac:dyDescent="0.25">
      <c r="B4635" s="2" t="str">
        <f t="shared" si="144"/>
        <v>NSG_Income Eligible_Multi-Family_Whole Building - Prescriptive_Pipe Insulation_Steam Small Valve_MF</v>
      </c>
      <c r="C4635" s="2" t="str">
        <f t="shared" si="145"/>
        <v>NSG_Income Eligible_Multi-Family_Whole Building - Prescriptive_Pipe Insulation_Steam Small Valve_MF_2024</v>
      </c>
      <c r="D4635" s="19" t="s">
        <v>1787</v>
      </c>
      <c r="E4635" s="19" t="s">
        <v>325</v>
      </c>
      <c r="F4635" s="19" t="s">
        <v>1422</v>
      </c>
      <c r="G4635" s="19" t="s">
        <v>1813</v>
      </c>
      <c r="H4635" s="19" t="s">
        <v>404</v>
      </c>
      <c r="I4635" s="19" t="s">
        <v>965</v>
      </c>
      <c r="J4635" s="19">
        <v>0</v>
      </c>
      <c r="K4635" s="19" t="s">
        <v>553</v>
      </c>
      <c r="L4635" s="19">
        <v>2024</v>
      </c>
      <c r="M4635" s="20">
        <v>1</v>
      </c>
      <c r="N4635" s="19" t="s">
        <v>1798</v>
      </c>
      <c r="O4635" s="20">
        <v>0</v>
      </c>
      <c r="P4635" s="20">
        <v>0</v>
      </c>
      <c r="Q4635" s="20">
        <v>0</v>
      </c>
      <c r="R4635" s="21">
        <v>1</v>
      </c>
      <c r="S4635" s="20">
        <v>0</v>
      </c>
    </row>
    <row r="4636" spans="2:19" ht="15" customHeight="1" x14ac:dyDescent="0.25">
      <c r="B4636" s="2" t="str">
        <f t="shared" si="144"/>
        <v>NSG_Income Eligible_Multi-Family_Whole Building - Prescriptive_Pipe Insulation_Steam Small Valve_MF</v>
      </c>
      <c r="C4636" s="2" t="str">
        <f t="shared" si="145"/>
        <v>NSG_Income Eligible_Multi-Family_Whole Building - Prescriptive_Pipe Insulation_Steam Small Valve_MF_2025</v>
      </c>
      <c r="D4636" s="19" t="s">
        <v>1787</v>
      </c>
      <c r="E4636" s="19" t="s">
        <v>325</v>
      </c>
      <c r="F4636" s="19" t="s">
        <v>1422</v>
      </c>
      <c r="G4636" s="19" t="s">
        <v>1813</v>
      </c>
      <c r="H4636" s="19" t="s">
        <v>404</v>
      </c>
      <c r="I4636" s="19" t="s">
        <v>965</v>
      </c>
      <c r="J4636" s="19">
        <v>0</v>
      </c>
      <c r="K4636" s="19" t="s">
        <v>553</v>
      </c>
      <c r="L4636" s="19">
        <v>2025</v>
      </c>
      <c r="M4636" s="20">
        <v>1</v>
      </c>
      <c r="N4636" s="19" t="s">
        <v>1798</v>
      </c>
      <c r="O4636" s="20">
        <v>0</v>
      </c>
      <c r="P4636" s="20">
        <v>0</v>
      </c>
      <c r="Q4636" s="20">
        <v>0</v>
      </c>
      <c r="R4636" s="21">
        <v>1</v>
      </c>
      <c r="S4636" s="20">
        <v>0</v>
      </c>
    </row>
    <row r="4637" spans="2:19" ht="15" customHeight="1" x14ac:dyDescent="0.25">
      <c r="B4637" s="2" t="str">
        <f t="shared" si="144"/>
        <v>NSG_Income Eligible_Multi-Family_Whole Building - Prescriptive_Pipe Insulation_Steam Med Valve_MF</v>
      </c>
      <c r="C4637" s="2" t="str">
        <f t="shared" si="145"/>
        <v>NSG_Income Eligible_Multi-Family_Whole Building - Prescriptive_Pipe Insulation_Steam Med Valve_MF_2022</v>
      </c>
      <c r="D4637" s="19" t="s">
        <v>1787</v>
      </c>
      <c r="E4637" s="19" t="s">
        <v>325</v>
      </c>
      <c r="F4637" s="19" t="s">
        <v>1422</v>
      </c>
      <c r="G4637" s="19" t="s">
        <v>1813</v>
      </c>
      <c r="H4637" s="19" t="s">
        <v>404</v>
      </c>
      <c r="I4637" s="19" t="s">
        <v>966</v>
      </c>
      <c r="J4637" s="19">
        <v>0</v>
      </c>
      <c r="K4637" s="19" t="s">
        <v>553</v>
      </c>
      <c r="L4637" s="19">
        <v>2022</v>
      </c>
      <c r="M4637" s="20">
        <v>1</v>
      </c>
      <c r="N4637" s="19" t="s">
        <v>1798</v>
      </c>
      <c r="O4637" s="20">
        <v>0</v>
      </c>
      <c r="P4637" s="20">
        <v>0</v>
      </c>
      <c r="Q4637" s="20">
        <v>0</v>
      </c>
      <c r="R4637" s="21">
        <v>1</v>
      </c>
      <c r="S4637" s="20">
        <v>0</v>
      </c>
    </row>
    <row r="4638" spans="2:19" ht="15" customHeight="1" x14ac:dyDescent="0.25">
      <c r="B4638" s="2" t="str">
        <f t="shared" si="144"/>
        <v>NSG_Income Eligible_Multi-Family_Whole Building - Prescriptive_Pipe Insulation_Steam Med Valve_MF</v>
      </c>
      <c r="C4638" s="2" t="str">
        <f t="shared" si="145"/>
        <v>NSG_Income Eligible_Multi-Family_Whole Building - Prescriptive_Pipe Insulation_Steam Med Valve_MF_2023</v>
      </c>
      <c r="D4638" s="19" t="s">
        <v>1787</v>
      </c>
      <c r="E4638" s="19" t="s">
        <v>325</v>
      </c>
      <c r="F4638" s="19" t="s">
        <v>1422</v>
      </c>
      <c r="G4638" s="19" t="s">
        <v>1813</v>
      </c>
      <c r="H4638" s="19" t="s">
        <v>404</v>
      </c>
      <c r="I4638" s="19" t="s">
        <v>966</v>
      </c>
      <c r="J4638" s="19">
        <v>0</v>
      </c>
      <c r="K4638" s="19" t="s">
        <v>553</v>
      </c>
      <c r="L4638" s="19">
        <v>2023</v>
      </c>
      <c r="M4638" s="20">
        <v>1</v>
      </c>
      <c r="N4638" s="19" t="s">
        <v>1798</v>
      </c>
      <c r="O4638" s="20">
        <v>0</v>
      </c>
      <c r="P4638" s="20">
        <v>0</v>
      </c>
      <c r="Q4638" s="20">
        <v>0</v>
      </c>
      <c r="R4638" s="21">
        <v>1</v>
      </c>
      <c r="S4638" s="20">
        <v>0</v>
      </c>
    </row>
    <row r="4639" spans="2:19" ht="15" customHeight="1" x14ac:dyDescent="0.25">
      <c r="B4639" s="2" t="str">
        <f t="shared" si="144"/>
        <v>NSG_Income Eligible_Multi-Family_Whole Building - Prescriptive_Pipe Insulation_Steam Med Valve_MF</v>
      </c>
      <c r="C4639" s="2" t="str">
        <f t="shared" si="145"/>
        <v>NSG_Income Eligible_Multi-Family_Whole Building - Prescriptive_Pipe Insulation_Steam Med Valve_MF_2024</v>
      </c>
      <c r="D4639" s="19" t="s">
        <v>1787</v>
      </c>
      <c r="E4639" s="19" t="s">
        <v>325</v>
      </c>
      <c r="F4639" s="19" t="s">
        <v>1422</v>
      </c>
      <c r="G4639" s="19" t="s">
        <v>1813</v>
      </c>
      <c r="H4639" s="19" t="s">
        <v>404</v>
      </c>
      <c r="I4639" s="19" t="s">
        <v>966</v>
      </c>
      <c r="J4639" s="19">
        <v>0</v>
      </c>
      <c r="K4639" s="19" t="s">
        <v>553</v>
      </c>
      <c r="L4639" s="19">
        <v>2024</v>
      </c>
      <c r="M4639" s="20">
        <v>1</v>
      </c>
      <c r="N4639" s="19" t="s">
        <v>1798</v>
      </c>
      <c r="O4639" s="20">
        <v>0</v>
      </c>
      <c r="P4639" s="20">
        <v>0</v>
      </c>
      <c r="Q4639" s="20">
        <v>0</v>
      </c>
      <c r="R4639" s="21">
        <v>1</v>
      </c>
      <c r="S4639" s="20">
        <v>0</v>
      </c>
    </row>
    <row r="4640" spans="2:19" ht="15" customHeight="1" x14ac:dyDescent="0.25">
      <c r="B4640" s="2" t="str">
        <f t="shared" si="144"/>
        <v>NSG_Income Eligible_Multi-Family_Whole Building - Prescriptive_Pipe Insulation_Steam Med Valve_MF</v>
      </c>
      <c r="C4640" s="2" t="str">
        <f t="shared" si="145"/>
        <v>NSG_Income Eligible_Multi-Family_Whole Building - Prescriptive_Pipe Insulation_Steam Med Valve_MF_2025</v>
      </c>
      <c r="D4640" s="19" t="s">
        <v>1787</v>
      </c>
      <c r="E4640" s="19" t="s">
        <v>325</v>
      </c>
      <c r="F4640" s="19" t="s">
        <v>1422</v>
      </c>
      <c r="G4640" s="19" t="s">
        <v>1813</v>
      </c>
      <c r="H4640" s="19" t="s">
        <v>404</v>
      </c>
      <c r="I4640" s="19" t="s">
        <v>966</v>
      </c>
      <c r="J4640" s="19">
        <v>0</v>
      </c>
      <c r="K4640" s="19" t="s">
        <v>553</v>
      </c>
      <c r="L4640" s="19">
        <v>2025</v>
      </c>
      <c r="M4640" s="20">
        <v>1</v>
      </c>
      <c r="N4640" s="19" t="s">
        <v>1798</v>
      </c>
      <c r="O4640" s="20">
        <v>0</v>
      </c>
      <c r="P4640" s="20">
        <v>0</v>
      </c>
      <c r="Q4640" s="20">
        <v>0</v>
      </c>
      <c r="R4640" s="21">
        <v>1</v>
      </c>
      <c r="S4640" s="20">
        <v>0</v>
      </c>
    </row>
    <row r="4641" spans="2:19" ht="15" customHeight="1" x14ac:dyDescent="0.25">
      <c r="B4641" s="2" t="str">
        <f t="shared" si="144"/>
        <v>NSG_Income Eligible_Multi-Family_Whole Building - Prescriptive_Pipe Insulation_Steam Large Valve_MF</v>
      </c>
      <c r="C4641" s="2" t="str">
        <f t="shared" si="145"/>
        <v>NSG_Income Eligible_Multi-Family_Whole Building - Prescriptive_Pipe Insulation_Steam Large Valve_MF_2022</v>
      </c>
      <c r="D4641" s="19" t="s">
        <v>1787</v>
      </c>
      <c r="E4641" s="19" t="s">
        <v>325</v>
      </c>
      <c r="F4641" s="19" t="s">
        <v>1422</v>
      </c>
      <c r="G4641" s="19" t="s">
        <v>1813</v>
      </c>
      <c r="H4641" s="19" t="s">
        <v>404</v>
      </c>
      <c r="I4641" s="19" t="s">
        <v>967</v>
      </c>
      <c r="J4641" s="19">
        <v>0</v>
      </c>
      <c r="K4641" s="19" t="s">
        <v>553</v>
      </c>
      <c r="L4641" s="19">
        <v>2022</v>
      </c>
      <c r="M4641" s="20">
        <v>1</v>
      </c>
      <c r="N4641" s="19" t="s">
        <v>1798</v>
      </c>
      <c r="O4641" s="20">
        <v>0</v>
      </c>
      <c r="P4641" s="20">
        <v>0</v>
      </c>
      <c r="Q4641" s="20">
        <v>0</v>
      </c>
      <c r="R4641" s="21">
        <v>1</v>
      </c>
      <c r="S4641" s="20">
        <v>0</v>
      </c>
    </row>
    <row r="4642" spans="2:19" ht="15" customHeight="1" x14ac:dyDescent="0.25">
      <c r="B4642" s="2" t="str">
        <f t="shared" si="144"/>
        <v>NSG_Income Eligible_Multi-Family_Whole Building - Prescriptive_Pipe Insulation_Steam Large Valve_MF</v>
      </c>
      <c r="C4642" s="2" t="str">
        <f t="shared" si="145"/>
        <v>NSG_Income Eligible_Multi-Family_Whole Building - Prescriptive_Pipe Insulation_Steam Large Valve_MF_2023</v>
      </c>
      <c r="D4642" s="19" t="s">
        <v>1787</v>
      </c>
      <c r="E4642" s="19" t="s">
        <v>325</v>
      </c>
      <c r="F4642" s="19" t="s">
        <v>1422</v>
      </c>
      <c r="G4642" s="19" t="s">
        <v>1813</v>
      </c>
      <c r="H4642" s="19" t="s">
        <v>404</v>
      </c>
      <c r="I4642" s="19" t="s">
        <v>967</v>
      </c>
      <c r="J4642" s="19">
        <v>0</v>
      </c>
      <c r="K4642" s="19" t="s">
        <v>553</v>
      </c>
      <c r="L4642" s="19">
        <v>2023</v>
      </c>
      <c r="M4642" s="20">
        <v>1</v>
      </c>
      <c r="N4642" s="19" t="s">
        <v>1798</v>
      </c>
      <c r="O4642" s="20">
        <v>0</v>
      </c>
      <c r="P4642" s="20">
        <v>0</v>
      </c>
      <c r="Q4642" s="20">
        <v>0</v>
      </c>
      <c r="R4642" s="21">
        <v>1</v>
      </c>
      <c r="S4642" s="20">
        <v>0</v>
      </c>
    </row>
    <row r="4643" spans="2:19" ht="15" customHeight="1" x14ac:dyDescent="0.25">
      <c r="B4643" s="2" t="str">
        <f t="shared" si="144"/>
        <v>NSG_Income Eligible_Multi-Family_Whole Building - Prescriptive_Pipe Insulation_Steam Large Valve_MF</v>
      </c>
      <c r="C4643" s="2" t="str">
        <f t="shared" si="145"/>
        <v>NSG_Income Eligible_Multi-Family_Whole Building - Prescriptive_Pipe Insulation_Steam Large Valve_MF_2024</v>
      </c>
      <c r="D4643" s="19" t="s">
        <v>1787</v>
      </c>
      <c r="E4643" s="19" t="s">
        <v>325</v>
      </c>
      <c r="F4643" s="19" t="s">
        <v>1422</v>
      </c>
      <c r="G4643" s="19" t="s">
        <v>1813</v>
      </c>
      <c r="H4643" s="19" t="s">
        <v>404</v>
      </c>
      <c r="I4643" s="19" t="s">
        <v>967</v>
      </c>
      <c r="J4643" s="19">
        <v>0</v>
      </c>
      <c r="K4643" s="19" t="s">
        <v>553</v>
      </c>
      <c r="L4643" s="19">
        <v>2024</v>
      </c>
      <c r="M4643" s="20">
        <v>1</v>
      </c>
      <c r="N4643" s="19" t="s">
        <v>1798</v>
      </c>
      <c r="O4643" s="20">
        <v>0</v>
      </c>
      <c r="P4643" s="20">
        <v>0</v>
      </c>
      <c r="Q4643" s="20">
        <v>0</v>
      </c>
      <c r="R4643" s="21">
        <v>1</v>
      </c>
      <c r="S4643" s="20">
        <v>0</v>
      </c>
    </row>
    <row r="4644" spans="2:19" ht="15" customHeight="1" x14ac:dyDescent="0.25">
      <c r="B4644" s="2" t="str">
        <f t="shared" si="144"/>
        <v>NSG_Income Eligible_Multi-Family_Whole Building - Prescriptive_Pipe Insulation_Steam Large Valve_MF</v>
      </c>
      <c r="C4644" s="2" t="str">
        <f t="shared" si="145"/>
        <v>NSG_Income Eligible_Multi-Family_Whole Building - Prescriptive_Pipe Insulation_Steam Large Valve_MF_2025</v>
      </c>
      <c r="D4644" s="19" t="s">
        <v>1787</v>
      </c>
      <c r="E4644" s="19" t="s">
        <v>325</v>
      </c>
      <c r="F4644" s="19" t="s">
        <v>1422</v>
      </c>
      <c r="G4644" s="19" t="s">
        <v>1813</v>
      </c>
      <c r="H4644" s="19" t="s">
        <v>404</v>
      </c>
      <c r="I4644" s="19" t="s">
        <v>967</v>
      </c>
      <c r="J4644" s="19">
        <v>0</v>
      </c>
      <c r="K4644" s="19" t="s">
        <v>553</v>
      </c>
      <c r="L4644" s="19">
        <v>2025</v>
      </c>
      <c r="M4644" s="20">
        <v>1</v>
      </c>
      <c r="N4644" s="19" t="s">
        <v>1798</v>
      </c>
      <c r="O4644" s="20">
        <v>0</v>
      </c>
      <c r="P4644" s="20">
        <v>0</v>
      </c>
      <c r="Q4644" s="20">
        <v>0</v>
      </c>
      <c r="R4644" s="21">
        <v>1</v>
      </c>
      <c r="S4644" s="20">
        <v>0</v>
      </c>
    </row>
    <row r="4645" spans="2:19" ht="15" customHeight="1" x14ac:dyDescent="0.25">
      <c r="B4645" s="2" t="str">
        <f t="shared" si="144"/>
        <v>NSG_Income Eligible_Multi-Family_Whole Building - Prescriptive_Pipe Insulation_Steam X-Large Valve_MF</v>
      </c>
      <c r="C4645" s="2" t="str">
        <f t="shared" si="145"/>
        <v>NSG_Income Eligible_Multi-Family_Whole Building - Prescriptive_Pipe Insulation_Steam X-Large Valve_MF_2022</v>
      </c>
      <c r="D4645" s="19" t="s">
        <v>1787</v>
      </c>
      <c r="E4645" s="19" t="s">
        <v>325</v>
      </c>
      <c r="F4645" s="19" t="s">
        <v>1422</v>
      </c>
      <c r="G4645" s="19" t="s">
        <v>1813</v>
      </c>
      <c r="H4645" s="19" t="s">
        <v>404</v>
      </c>
      <c r="I4645" s="19" t="s">
        <v>968</v>
      </c>
      <c r="J4645" s="19">
        <v>0</v>
      </c>
      <c r="K4645" s="19" t="s">
        <v>553</v>
      </c>
      <c r="L4645" s="19">
        <v>2022</v>
      </c>
      <c r="M4645" s="20">
        <v>1</v>
      </c>
      <c r="N4645" s="19" t="s">
        <v>1798</v>
      </c>
      <c r="O4645" s="20">
        <v>0</v>
      </c>
      <c r="P4645" s="20">
        <v>0</v>
      </c>
      <c r="Q4645" s="20">
        <v>0</v>
      </c>
      <c r="R4645" s="21">
        <v>1</v>
      </c>
      <c r="S4645" s="20">
        <v>0</v>
      </c>
    </row>
    <row r="4646" spans="2:19" ht="15" customHeight="1" x14ac:dyDescent="0.25">
      <c r="B4646" s="2" t="str">
        <f t="shared" si="144"/>
        <v>NSG_Income Eligible_Multi-Family_Whole Building - Prescriptive_Pipe Insulation_Steam X-Large Valve_MF</v>
      </c>
      <c r="C4646" s="2" t="str">
        <f t="shared" si="145"/>
        <v>NSG_Income Eligible_Multi-Family_Whole Building - Prescriptive_Pipe Insulation_Steam X-Large Valve_MF_2023</v>
      </c>
      <c r="D4646" s="19" t="s">
        <v>1787</v>
      </c>
      <c r="E4646" s="19" t="s">
        <v>325</v>
      </c>
      <c r="F4646" s="19" t="s">
        <v>1422</v>
      </c>
      <c r="G4646" s="19" t="s">
        <v>1813</v>
      </c>
      <c r="H4646" s="19" t="s">
        <v>404</v>
      </c>
      <c r="I4646" s="19" t="s">
        <v>968</v>
      </c>
      <c r="J4646" s="19">
        <v>0</v>
      </c>
      <c r="K4646" s="19" t="s">
        <v>553</v>
      </c>
      <c r="L4646" s="19">
        <v>2023</v>
      </c>
      <c r="M4646" s="20">
        <v>1</v>
      </c>
      <c r="N4646" s="19" t="s">
        <v>1798</v>
      </c>
      <c r="O4646" s="20">
        <v>0</v>
      </c>
      <c r="P4646" s="20">
        <v>0</v>
      </c>
      <c r="Q4646" s="20">
        <v>0</v>
      </c>
      <c r="R4646" s="21">
        <v>1</v>
      </c>
      <c r="S4646" s="20">
        <v>0</v>
      </c>
    </row>
    <row r="4647" spans="2:19" ht="15" customHeight="1" x14ac:dyDescent="0.25">
      <c r="B4647" s="2" t="str">
        <f t="shared" si="144"/>
        <v>NSG_Income Eligible_Multi-Family_Whole Building - Prescriptive_Pipe Insulation_Steam X-Large Valve_MF</v>
      </c>
      <c r="C4647" s="2" t="str">
        <f t="shared" si="145"/>
        <v>NSG_Income Eligible_Multi-Family_Whole Building - Prescriptive_Pipe Insulation_Steam X-Large Valve_MF_2024</v>
      </c>
      <c r="D4647" s="19" t="s">
        <v>1787</v>
      </c>
      <c r="E4647" s="19" t="s">
        <v>325</v>
      </c>
      <c r="F4647" s="19" t="s">
        <v>1422</v>
      </c>
      <c r="G4647" s="19" t="s">
        <v>1813</v>
      </c>
      <c r="H4647" s="19" t="s">
        <v>404</v>
      </c>
      <c r="I4647" s="19" t="s">
        <v>968</v>
      </c>
      <c r="J4647" s="19">
        <v>0</v>
      </c>
      <c r="K4647" s="19" t="s">
        <v>553</v>
      </c>
      <c r="L4647" s="19">
        <v>2024</v>
      </c>
      <c r="M4647" s="20">
        <v>1</v>
      </c>
      <c r="N4647" s="19" t="s">
        <v>1798</v>
      </c>
      <c r="O4647" s="20">
        <v>0</v>
      </c>
      <c r="P4647" s="20">
        <v>0</v>
      </c>
      <c r="Q4647" s="20">
        <v>0</v>
      </c>
      <c r="R4647" s="21">
        <v>1</v>
      </c>
      <c r="S4647" s="20">
        <v>0</v>
      </c>
    </row>
    <row r="4648" spans="2:19" ht="15" customHeight="1" x14ac:dyDescent="0.25">
      <c r="B4648" s="2" t="str">
        <f t="shared" si="144"/>
        <v>NSG_Income Eligible_Multi-Family_Whole Building - Prescriptive_Pipe Insulation_Steam X-Large Valve_MF</v>
      </c>
      <c r="C4648" s="2" t="str">
        <f t="shared" si="145"/>
        <v>NSG_Income Eligible_Multi-Family_Whole Building - Prescriptive_Pipe Insulation_Steam X-Large Valve_MF_2025</v>
      </c>
      <c r="D4648" s="19" t="s">
        <v>1787</v>
      </c>
      <c r="E4648" s="19" t="s">
        <v>325</v>
      </c>
      <c r="F4648" s="19" t="s">
        <v>1422</v>
      </c>
      <c r="G4648" s="19" t="s">
        <v>1813</v>
      </c>
      <c r="H4648" s="19" t="s">
        <v>404</v>
      </c>
      <c r="I4648" s="19" t="s">
        <v>968</v>
      </c>
      <c r="J4648" s="19">
        <v>0</v>
      </c>
      <c r="K4648" s="19" t="s">
        <v>553</v>
      </c>
      <c r="L4648" s="19">
        <v>2025</v>
      </c>
      <c r="M4648" s="20">
        <v>1</v>
      </c>
      <c r="N4648" s="19" t="s">
        <v>1798</v>
      </c>
      <c r="O4648" s="20">
        <v>0</v>
      </c>
      <c r="P4648" s="20">
        <v>0</v>
      </c>
      <c r="Q4648" s="20">
        <v>0</v>
      </c>
      <c r="R4648" s="21">
        <v>1</v>
      </c>
      <c r="S4648" s="20">
        <v>0</v>
      </c>
    </row>
    <row r="4649" spans="2:19" ht="15" customHeight="1" x14ac:dyDescent="0.25">
      <c r="B4649" s="2" t="str">
        <f t="shared" si="144"/>
        <v>NSG_Income Eligible_Multi-Family_Whole Building - Prescriptive_Steam Boiler_&gt;=300MBH, &lt;1,500, &gt;=81% AFUE_MF</v>
      </c>
      <c r="C4649" s="2" t="str">
        <f t="shared" si="145"/>
        <v>NSG_Income Eligible_Multi-Family_Whole Building - Prescriptive_Steam Boiler_&gt;=300MBH, &lt;1,500, &gt;=81% AFUE_MF_2022</v>
      </c>
      <c r="D4649" s="19" t="s">
        <v>1787</v>
      </c>
      <c r="E4649" s="19" t="s">
        <v>325</v>
      </c>
      <c r="F4649" s="19" t="s">
        <v>1422</v>
      </c>
      <c r="G4649" s="19" t="s">
        <v>1813</v>
      </c>
      <c r="H4649" s="19" t="s">
        <v>938</v>
      </c>
      <c r="I4649" s="19" t="s">
        <v>1300</v>
      </c>
      <c r="J4649" s="19" t="s">
        <v>942</v>
      </c>
      <c r="K4649" s="19" t="s">
        <v>553</v>
      </c>
      <c r="L4649" s="19">
        <v>2022</v>
      </c>
      <c r="M4649" s="20">
        <v>450</v>
      </c>
      <c r="N4649" s="19" t="s">
        <v>667</v>
      </c>
      <c r="O4649" s="20">
        <v>1</v>
      </c>
      <c r="P4649" s="20">
        <v>450</v>
      </c>
      <c r="Q4649" s="20">
        <v>287.48076923076945</v>
      </c>
      <c r="R4649" s="21">
        <v>1</v>
      </c>
      <c r="S4649" s="20">
        <v>287.48076923076945</v>
      </c>
    </row>
    <row r="4650" spans="2:19" ht="15" customHeight="1" x14ac:dyDescent="0.25">
      <c r="B4650" s="2" t="str">
        <f t="shared" si="144"/>
        <v>NSG_Income Eligible_Multi-Family_Whole Building - Prescriptive_Steam Boiler_&gt;=300MBH, &lt;1,500, &gt;=81% AFUE_MF</v>
      </c>
      <c r="C4650" s="2" t="str">
        <f t="shared" si="145"/>
        <v>NSG_Income Eligible_Multi-Family_Whole Building - Prescriptive_Steam Boiler_&gt;=300MBH, &lt;1,500, &gt;=81% AFUE_MF_2023</v>
      </c>
      <c r="D4650" s="19" t="s">
        <v>1787</v>
      </c>
      <c r="E4650" s="19" t="s">
        <v>325</v>
      </c>
      <c r="F4650" s="19" t="s">
        <v>1422</v>
      </c>
      <c r="G4650" s="19" t="s">
        <v>1813</v>
      </c>
      <c r="H4650" s="19" t="s">
        <v>938</v>
      </c>
      <c r="I4650" s="19" t="s">
        <v>1300</v>
      </c>
      <c r="J4650" s="19" t="s">
        <v>942</v>
      </c>
      <c r="K4650" s="19" t="s">
        <v>553</v>
      </c>
      <c r="L4650" s="19">
        <v>2023</v>
      </c>
      <c r="M4650" s="20">
        <v>450</v>
      </c>
      <c r="N4650" s="19" t="s">
        <v>667</v>
      </c>
      <c r="O4650" s="20">
        <v>1</v>
      </c>
      <c r="P4650" s="20">
        <v>450</v>
      </c>
      <c r="Q4650" s="20">
        <v>287.48076923076945</v>
      </c>
      <c r="R4650" s="21">
        <v>1</v>
      </c>
      <c r="S4650" s="20">
        <v>287.48076923076945</v>
      </c>
    </row>
    <row r="4651" spans="2:19" ht="15" customHeight="1" x14ac:dyDescent="0.25">
      <c r="B4651" s="2" t="str">
        <f t="shared" si="144"/>
        <v>NSG_Income Eligible_Multi-Family_Whole Building - Prescriptive_Steam Boiler_&gt;=300MBH, &lt;1,500, &gt;=81% AFUE_MF</v>
      </c>
      <c r="C4651" s="2" t="str">
        <f t="shared" si="145"/>
        <v>NSG_Income Eligible_Multi-Family_Whole Building - Prescriptive_Steam Boiler_&gt;=300MBH, &lt;1,500, &gt;=81% AFUE_MF_2024</v>
      </c>
      <c r="D4651" s="19" t="s">
        <v>1787</v>
      </c>
      <c r="E4651" s="19" t="s">
        <v>325</v>
      </c>
      <c r="F4651" s="19" t="s">
        <v>1422</v>
      </c>
      <c r="G4651" s="19" t="s">
        <v>1813</v>
      </c>
      <c r="H4651" s="19" t="s">
        <v>938</v>
      </c>
      <c r="I4651" s="19" t="s">
        <v>1300</v>
      </c>
      <c r="J4651" s="19" t="s">
        <v>942</v>
      </c>
      <c r="K4651" s="19" t="s">
        <v>553</v>
      </c>
      <c r="L4651" s="19">
        <v>2024</v>
      </c>
      <c r="M4651" s="20">
        <v>450</v>
      </c>
      <c r="N4651" s="19" t="s">
        <v>667</v>
      </c>
      <c r="O4651" s="20">
        <v>1</v>
      </c>
      <c r="P4651" s="20">
        <v>450</v>
      </c>
      <c r="Q4651" s="20">
        <v>287.48076923076945</v>
      </c>
      <c r="R4651" s="21">
        <v>1</v>
      </c>
      <c r="S4651" s="20">
        <v>287.48076923076945</v>
      </c>
    </row>
    <row r="4652" spans="2:19" ht="15" customHeight="1" x14ac:dyDescent="0.25">
      <c r="B4652" s="2" t="str">
        <f t="shared" si="144"/>
        <v>NSG_Income Eligible_Multi-Family_Whole Building - Prescriptive_Steam Boiler_&gt;=300MBH, &lt;1,500, &gt;=81% AFUE_MF</v>
      </c>
      <c r="C4652" s="2" t="str">
        <f t="shared" si="145"/>
        <v>NSG_Income Eligible_Multi-Family_Whole Building - Prescriptive_Steam Boiler_&gt;=300MBH, &lt;1,500, &gt;=81% AFUE_MF_2025</v>
      </c>
      <c r="D4652" s="19" t="s">
        <v>1787</v>
      </c>
      <c r="E4652" s="19" t="s">
        <v>325</v>
      </c>
      <c r="F4652" s="19" t="s">
        <v>1422</v>
      </c>
      <c r="G4652" s="19" t="s">
        <v>1813</v>
      </c>
      <c r="H4652" s="19" t="s">
        <v>938</v>
      </c>
      <c r="I4652" s="19" t="s">
        <v>1300</v>
      </c>
      <c r="J4652" s="19" t="s">
        <v>942</v>
      </c>
      <c r="K4652" s="19" t="s">
        <v>553</v>
      </c>
      <c r="L4652" s="19">
        <v>2025</v>
      </c>
      <c r="M4652" s="20">
        <v>450</v>
      </c>
      <c r="N4652" s="19" t="s">
        <v>667</v>
      </c>
      <c r="O4652" s="20">
        <v>1</v>
      </c>
      <c r="P4652" s="20">
        <v>450</v>
      </c>
      <c r="Q4652" s="20">
        <v>287.48076923076945</v>
      </c>
      <c r="R4652" s="21">
        <v>1</v>
      </c>
      <c r="S4652" s="20">
        <v>287.48076923076945</v>
      </c>
    </row>
    <row r="4653" spans="2:19" ht="15" customHeight="1" x14ac:dyDescent="0.25">
      <c r="B4653" s="2" t="str">
        <f t="shared" si="144"/>
        <v>NSG_Income Eligible_Multi-Family_Whole Building - Prescriptive_Steam Boiler_ &gt;=1500MBH, &gt;=82% TE_MF</v>
      </c>
      <c r="C4653" s="2" t="str">
        <f t="shared" si="145"/>
        <v>NSG_Income Eligible_Multi-Family_Whole Building - Prescriptive_Steam Boiler_ &gt;=1500MBH, &gt;=82% TE_MF_2022</v>
      </c>
      <c r="D4653" s="19" t="s">
        <v>1787</v>
      </c>
      <c r="E4653" s="19" t="s">
        <v>325</v>
      </c>
      <c r="F4653" s="19" t="s">
        <v>1422</v>
      </c>
      <c r="G4653" s="19" t="s">
        <v>1813</v>
      </c>
      <c r="H4653" s="19" t="s">
        <v>938</v>
      </c>
      <c r="I4653" s="19" t="s">
        <v>939</v>
      </c>
      <c r="J4653" s="19" t="s">
        <v>942</v>
      </c>
      <c r="K4653" s="19" t="s">
        <v>553</v>
      </c>
      <c r="L4653" s="19">
        <v>2022</v>
      </c>
      <c r="M4653" s="20">
        <v>1500</v>
      </c>
      <c r="N4653" s="19" t="s">
        <v>667</v>
      </c>
      <c r="O4653" s="20">
        <v>0</v>
      </c>
      <c r="P4653" s="20">
        <v>0</v>
      </c>
      <c r="Q4653" s="20">
        <v>0</v>
      </c>
      <c r="R4653" s="21">
        <v>1</v>
      </c>
      <c r="S4653" s="20">
        <v>0</v>
      </c>
    </row>
    <row r="4654" spans="2:19" ht="15" customHeight="1" x14ac:dyDescent="0.25">
      <c r="B4654" s="2" t="str">
        <f t="shared" si="144"/>
        <v>NSG_Income Eligible_Multi-Family_Whole Building - Prescriptive_Steam Boiler_ &gt;=1500MBH, &gt;=82% TE_MF</v>
      </c>
      <c r="C4654" s="2" t="str">
        <f t="shared" si="145"/>
        <v>NSG_Income Eligible_Multi-Family_Whole Building - Prescriptive_Steam Boiler_ &gt;=1500MBH, &gt;=82% TE_MF_2023</v>
      </c>
      <c r="D4654" s="19" t="s">
        <v>1787</v>
      </c>
      <c r="E4654" s="19" t="s">
        <v>325</v>
      </c>
      <c r="F4654" s="19" t="s">
        <v>1422</v>
      </c>
      <c r="G4654" s="19" t="s">
        <v>1813</v>
      </c>
      <c r="H4654" s="19" t="s">
        <v>938</v>
      </c>
      <c r="I4654" s="19" t="s">
        <v>939</v>
      </c>
      <c r="J4654" s="19" t="s">
        <v>942</v>
      </c>
      <c r="K4654" s="19" t="s">
        <v>553</v>
      </c>
      <c r="L4654" s="19">
        <v>2023</v>
      </c>
      <c r="M4654" s="20">
        <v>1500</v>
      </c>
      <c r="N4654" s="19" t="s">
        <v>667</v>
      </c>
      <c r="O4654" s="20">
        <v>0</v>
      </c>
      <c r="P4654" s="20">
        <v>0</v>
      </c>
      <c r="Q4654" s="20">
        <v>0</v>
      </c>
      <c r="R4654" s="21">
        <v>1</v>
      </c>
      <c r="S4654" s="20">
        <v>0</v>
      </c>
    </row>
    <row r="4655" spans="2:19" ht="15" customHeight="1" x14ac:dyDescent="0.25">
      <c r="B4655" s="2" t="str">
        <f t="shared" si="144"/>
        <v>NSG_Income Eligible_Multi-Family_Whole Building - Prescriptive_Steam Boiler_ &gt;=1500MBH, &gt;=82% TE_MF</v>
      </c>
      <c r="C4655" s="2" t="str">
        <f t="shared" si="145"/>
        <v>NSG_Income Eligible_Multi-Family_Whole Building - Prescriptive_Steam Boiler_ &gt;=1500MBH, &gt;=82% TE_MF_2024</v>
      </c>
      <c r="D4655" s="19" t="s">
        <v>1787</v>
      </c>
      <c r="E4655" s="19" t="s">
        <v>325</v>
      </c>
      <c r="F4655" s="19" t="s">
        <v>1422</v>
      </c>
      <c r="G4655" s="19" t="s">
        <v>1813</v>
      </c>
      <c r="H4655" s="19" t="s">
        <v>938</v>
      </c>
      <c r="I4655" s="19" t="s">
        <v>939</v>
      </c>
      <c r="J4655" s="19" t="s">
        <v>942</v>
      </c>
      <c r="K4655" s="19" t="s">
        <v>553</v>
      </c>
      <c r="L4655" s="19">
        <v>2024</v>
      </c>
      <c r="M4655" s="20">
        <v>1500</v>
      </c>
      <c r="N4655" s="19" t="s">
        <v>667</v>
      </c>
      <c r="O4655" s="20">
        <v>0</v>
      </c>
      <c r="P4655" s="20">
        <v>0</v>
      </c>
      <c r="Q4655" s="20">
        <v>0</v>
      </c>
      <c r="R4655" s="21">
        <v>1</v>
      </c>
      <c r="S4655" s="20">
        <v>0</v>
      </c>
    </row>
    <row r="4656" spans="2:19" ht="15" customHeight="1" x14ac:dyDescent="0.25">
      <c r="B4656" s="2" t="str">
        <f t="shared" si="144"/>
        <v>NSG_Income Eligible_Multi-Family_Whole Building - Prescriptive_Steam Boiler_ &gt;=1500MBH, &gt;=82% TE_MF</v>
      </c>
      <c r="C4656" s="2" t="str">
        <f t="shared" si="145"/>
        <v>NSG_Income Eligible_Multi-Family_Whole Building - Prescriptive_Steam Boiler_ &gt;=1500MBH, &gt;=82% TE_MF_2025</v>
      </c>
      <c r="D4656" s="19" t="s">
        <v>1787</v>
      </c>
      <c r="E4656" s="19" t="s">
        <v>325</v>
      </c>
      <c r="F4656" s="19" t="s">
        <v>1422</v>
      </c>
      <c r="G4656" s="19" t="s">
        <v>1813</v>
      </c>
      <c r="H4656" s="19" t="s">
        <v>938</v>
      </c>
      <c r="I4656" s="19" t="s">
        <v>939</v>
      </c>
      <c r="J4656" s="19" t="s">
        <v>942</v>
      </c>
      <c r="K4656" s="19" t="s">
        <v>553</v>
      </c>
      <c r="L4656" s="19">
        <v>2025</v>
      </c>
      <c r="M4656" s="20">
        <v>1500</v>
      </c>
      <c r="N4656" s="19" t="s">
        <v>667</v>
      </c>
      <c r="O4656" s="20">
        <v>0</v>
      </c>
      <c r="P4656" s="20">
        <v>0</v>
      </c>
      <c r="Q4656" s="20">
        <v>0</v>
      </c>
      <c r="R4656" s="21">
        <v>1</v>
      </c>
      <c r="S4656" s="20">
        <v>0</v>
      </c>
    </row>
    <row r="4657" spans="2:19" ht="15" customHeight="1" x14ac:dyDescent="0.25">
      <c r="B4657" s="2" t="str">
        <f t="shared" si="144"/>
        <v>NSG_Income Eligible_Multi-Family_Whole Building - Prescriptive_Steam Boiler Averaging Controls_0_MF</v>
      </c>
      <c r="C4657" s="2" t="str">
        <f t="shared" si="145"/>
        <v>NSG_Income Eligible_Multi-Family_Whole Building - Prescriptive_Steam Boiler Averaging Controls_0_MF_2022</v>
      </c>
      <c r="D4657" s="19" t="s">
        <v>1787</v>
      </c>
      <c r="E4657" s="19" t="s">
        <v>325</v>
      </c>
      <c r="F4657" s="19" t="s">
        <v>1422</v>
      </c>
      <c r="G4657" s="19" t="s">
        <v>1813</v>
      </c>
      <c r="H4657" s="19" t="s">
        <v>934</v>
      </c>
      <c r="I4657" s="19">
        <v>0</v>
      </c>
      <c r="J4657" s="19" t="s">
        <v>937</v>
      </c>
      <c r="K4657" s="19" t="s">
        <v>553</v>
      </c>
      <c r="L4657" s="19">
        <v>2022</v>
      </c>
      <c r="M4657" s="20">
        <v>1</v>
      </c>
      <c r="N4657" s="19" t="s">
        <v>1804</v>
      </c>
      <c r="O4657" s="20">
        <v>3</v>
      </c>
      <c r="P4657" s="20">
        <v>3</v>
      </c>
      <c r="Q4657" s="20">
        <v>249.14999999999998</v>
      </c>
      <c r="R4657" s="21">
        <v>1</v>
      </c>
      <c r="S4657" s="20">
        <v>249.14999999999998</v>
      </c>
    </row>
    <row r="4658" spans="2:19" ht="15" customHeight="1" x14ac:dyDescent="0.25">
      <c r="B4658" s="2" t="str">
        <f t="shared" si="144"/>
        <v>NSG_Income Eligible_Multi-Family_Whole Building - Prescriptive_Steam Boiler Averaging Controls_0_MF</v>
      </c>
      <c r="C4658" s="2" t="str">
        <f t="shared" si="145"/>
        <v>NSG_Income Eligible_Multi-Family_Whole Building - Prescriptive_Steam Boiler Averaging Controls_0_MF_2023</v>
      </c>
      <c r="D4658" s="19" t="s">
        <v>1787</v>
      </c>
      <c r="E4658" s="19" t="s">
        <v>325</v>
      </c>
      <c r="F4658" s="19" t="s">
        <v>1422</v>
      </c>
      <c r="G4658" s="19" t="s">
        <v>1813</v>
      </c>
      <c r="H4658" s="19" t="s">
        <v>934</v>
      </c>
      <c r="I4658" s="19">
        <v>0</v>
      </c>
      <c r="J4658" s="19" t="s">
        <v>937</v>
      </c>
      <c r="K4658" s="19" t="s">
        <v>553</v>
      </c>
      <c r="L4658" s="19">
        <v>2023</v>
      </c>
      <c r="M4658" s="20">
        <v>1</v>
      </c>
      <c r="N4658" s="19" t="s">
        <v>1804</v>
      </c>
      <c r="O4658" s="20">
        <v>3</v>
      </c>
      <c r="P4658" s="20">
        <v>3</v>
      </c>
      <c r="Q4658" s="20">
        <v>249.14999999999998</v>
      </c>
      <c r="R4658" s="21">
        <v>1</v>
      </c>
      <c r="S4658" s="20">
        <v>249.14999999999998</v>
      </c>
    </row>
    <row r="4659" spans="2:19" ht="15" customHeight="1" x14ac:dyDescent="0.25">
      <c r="B4659" s="2" t="str">
        <f t="shared" si="144"/>
        <v>NSG_Income Eligible_Multi-Family_Whole Building - Prescriptive_Steam Boiler Averaging Controls_0_MF</v>
      </c>
      <c r="C4659" s="2" t="str">
        <f t="shared" si="145"/>
        <v>NSG_Income Eligible_Multi-Family_Whole Building - Prescriptive_Steam Boiler Averaging Controls_0_MF_2024</v>
      </c>
      <c r="D4659" s="19" t="s">
        <v>1787</v>
      </c>
      <c r="E4659" s="19" t="s">
        <v>325</v>
      </c>
      <c r="F4659" s="19" t="s">
        <v>1422</v>
      </c>
      <c r="G4659" s="19" t="s">
        <v>1813</v>
      </c>
      <c r="H4659" s="19" t="s">
        <v>934</v>
      </c>
      <c r="I4659" s="19">
        <v>0</v>
      </c>
      <c r="J4659" s="19" t="s">
        <v>937</v>
      </c>
      <c r="K4659" s="19" t="s">
        <v>553</v>
      </c>
      <c r="L4659" s="19">
        <v>2024</v>
      </c>
      <c r="M4659" s="20">
        <v>1</v>
      </c>
      <c r="N4659" s="19" t="s">
        <v>1804</v>
      </c>
      <c r="O4659" s="20">
        <v>3</v>
      </c>
      <c r="P4659" s="20">
        <v>3</v>
      </c>
      <c r="Q4659" s="20">
        <v>249.14999999999998</v>
      </c>
      <c r="R4659" s="21">
        <v>1</v>
      </c>
      <c r="S4659" s="20">
        <v>249.14999999999998</v>
      </c>
    </row>
    <row r="4660" spans="2:19" ht="15" customHeight="1" x14ac:dyDescent="0.25">
      <c r="B4660" s="2" t="str">
        <f t="shared" si="144"/>
        <v>NSG_Income Eligible_Multi-Family_Whole Building - Prescriptive_Steam Boiler Averaging Controls_0_MF</v>
      </c>
      <c r="C4660" s="2" t="str">
        <f t="shared" si="145"/>
        <v>NSG_Income Eligible_Multi-Family_Whole Building - Prescriptive_Steam Boiler Averaging Controls_0_MF_2025</v>
      </c>
      <c r="D4660" s="19" t="s">
        <v>1787</v>
      </c>
      <c r="E4660" s="19" t="s">
        <v>325</v>
      </c>
      <c r="F4660" s="19" t="s">
        <v>1422</v>
      </c>
      <c r="G4660" s="19" t="s">
        <v>1813</v>
      </c>
      <c r="H4660" s="19" t="s">
        <v>934</v>
      </c>
      <c r="I4660" s="19">
        <v>0</v>
      </c>
      <c r="J4660" s="19" t="s">
        <v>937</v>
      </c>
      <c r="K4660" s="19" t="s">
        <v>553</v>
      </c>
      <c r="L4660" s="19">
        <v>2025</v>
      </c>
      <c r="M4660" s="20">
        <v>1</v>
      </c>
      <c r="N4660" s="19" t="s">
        <v>1804</v>
      </c>
      <c r="O4660" s="20">
        <v>3</v>
      </c>
      <c r="P4660" s="20">
        <v>3</v>
      </c>
      <c r="Q4660" s="20">
        <v>249.14999999999998</v>
      </c>
      <c r="R4660" s="21">
        <v>1</v>
      </c>
      <c r="S4660" s="20">
        <v>249.14999999999998</v>
      </c>
    </row>
    <row r="4661" spans="2:19" ht="15" customHeight="1" x14ac:dyDescent="0.25">
      <c r="B4661" s="2" t="str">
        <f t="shared" si="144"/>
        <v>NSG_Income Eligible_Multi-Family_Whole Building - Prescriptive_Steam Traps_HVAC Repair/Rep - Audit_MF</v>
      </c>
      <c r="C4661" s="2" t="str">
        <f t="shared" si="145"/>
        <v>NSG_Income Eligible_Multi-Family_Whole Building - Prescriptive_Steam Traps_HVAC Repair/Rep - Audit_MF_2022</v>
      </c>
      <c r="D4661" s="19" t="s">
        <v>1787</v>
      </c>
      <c r="E4661" s="19" t="s">
        <v>325</v>
      </c>
      <c r="F4661" s="19" t="s">
        <v>1422</v>
      </c>
      <c r="G4661" s="19" t="s">
        <v>1813</v>
      </c>
      <c r="H4661" s="19" t="s">
        <v>644</v>
      </c>
      <c r="I4661" s="19" t="s">
        <v>645</v>
      </c>
      <c r="J4661" s="19" t="s">
        <v>37</v>
      </c>
      <c r="K4661" s="19" t="s">
        <v>553</v>
      </c>
      <c r="L4661" s="19">
        <v>2022</v>
      </c>
      <c r="M4661" s="20">
        <v>1</v>
      </c>
      <c r="N4661" s="19" t="s">
        <v>1798</v>
      </c>
      <c r="O4661" s="20">
        <v>3</v>
      </c>
      <c r="P4661" s="20">
        <v>3</v>
      </c>
      <c r="Q4661" s="20">
        <v>474.63703404468163</v>
      </c>
      <c r="R4661" s="21">
        <v>1</v>
      </c>
      <c r="S4661" s="20">
        <v>474.63703404468163</v>
      </c>
    </row>
    <row r="4662" spans="2:19" ht="15" customHeight="1" x14ac:dyDescent="0.25">
      <c r="B4662" s="2" t="str">
        <f t="shared" si="144"/>
        <v>NSG_Income Eligible_Multi-Family_Whole Building - Prescriptive_Steam Traps_HVAC Repair/Rep - Audit_MF</v>
      </c>
      <c r="C4662" s="2" t="str">
        <f t="shared" si="145"/>
        <v>NSG_Income Eligible_Multi-Family_Whole Building - Prescriptive_Steam Traps_HVAC Repair/Rep - Audit_MF_2023</v>
      </c>
      <c r="D4662" s="19" t="s">
        <v>1787</v>
      </c>
      <c r="E4662" s="19" t="s">
        <v>325</v>
      </c>
      <c r="F4662" s="19" t="s">
        <v>1422</v>
      </c>
      <c r="G4662" s="19" t="s">
        <v>1813</v>
      </c>
      <c r="H4662" s="19" t="s">
        <v>644</v>
      </c>
      <c r="I4662" s="19" t="s">
        <v>645</v>
      </c>
      <c r="J4662" s="19" t="s">
        <v>37</v>
      </c>
      <c r="K4662" s="19" t="s">
        <v>553</v>
      </c>
      <c r="L4662" s="19">
        <v>2023</v>
      </c>
      <c r="M4662" s="20">
        <v>1</v>
      </c>
      <c r="N4662" s="19" t="s">
        <v>1798</v>
      </c>
      <c r="O4662" s="20">
        <v>3</v>
      </c>
      <c r="P4662" s="20">
        <v>3</v>
      </c>
      <c r="Q4662" s="20">
        <v>474.63703404468163</v>
      </c>
      <c r="R4662" s="21">
        <v>1</v>
      </c>
      <c r="S4662" s="20">
        <v>474.63703404468163</v>
      </c>
    </row>
    <row r="4663" spans="2:19" ht="15" customHeight="1" x14ac:dyDescent="0.25">
      <c r="B4663" s="2" t="str">
        <f t="shared" si="144"/>
        <v>NSG_Income Eligible_Multi-Family_Whole Building - Prescriptive_Steam Traps_HVAC Repair/Rep - Audit_MF</v>
      </c>
      <c r="C4663" s="2" t="str">
        <f t="shared" si="145"/>
        <v>NSG_Income Eligible_Multi-Family_Whole Building - Prescriptive_Steam Traps_HVAC Repair/Rep - Audit_MF_2024</v>
      </c>
      <c r="D4663" s="19" t="s">
        <v>1787</v>
      </c>
      <c r="E4663" s="19" t="s">
        <v>325</v>
      </c>
      <c r="F4663" s="19" t="s">
        <v>1422</v>
      </c>
      <c r="G4663" s="19" t="s">
        <v>1813</v>
      </c>
      <c r="H4663" s="19" t="s">
        <v>644</v>
      </c>
      <c r="I4663" s="19" t="s">
        <v>645</v>
      </c>
      <c r="J4663" s="19" t="s">
        <v>37</v>
      </c>
      <c r="K4663" s="19" t="s">
        <v>553</v>
      </c>
      <c r="L4663" s="19">
        <v>2024</v>
      </c>
      <c r="M4663" s="20">
        <v>1</v>
      </c>
      <c r="N4663" s="19" t="s">
        <v>1798</v>
      </c>
      <c r="O4663" s="20">
        <v>3</v>
      </c>
      <c r="P4663" s="20">
        <v>3</v>
      </c>
      <c r="Q4663" s="20">
        <v>474.63703404468163</v>
      </c>
      <c r="R4663" s="21">
        <v>1</v>
      </c>
      <c r="S4663" s="20">
        <v>474.63703404468163</v>
      </c>
    </row>
    <row r="4664" spans="2:19" ht="15" customHeight="1" x14ac:dyDescent="0.25">
      <c r="B4664" s="2" t="str">
        <f t="shared" si="144"/>
        <v>NSG_Income Eligible_Multi-Family_Whole Building - Prescriptive_Steam Traps_HVAC Repair/Rep - Audit_MF</v>
      </c>
      <c r="C4664" s="2" t="str">
        <f t="shared" si="145"/>
        <v>NSG_Income Eligible_Multi-Family_Whole Building - Prescriptive_Steam Traps_HVAC Repair/Rep - Audit_MF_2025</v>
      </c>
      <c r="D4664" s="19" t="s">
        <v>1787</v>
      </c>
      <c r="E4664" s="19" t="s">
        <v>325</v>
      </c>
      <c r="F4664" s="19" t="s">
        <v>1422</v>
      </c>
      <c r="G4664" s="19" t="s">
        <v>1813</v>
      </c>
      <c r="H4664" s="19" t="s">
        <v>644</v>
      </c>
      <c r="I4664" s="19" t="s">
        <v>645</v>
      </c>
      <c r="J4664" s="19" t="s">
        <v>37</v>
      </c>
      <c r="K4664" s="19" t="s">
        <v>553</v>
      </c>
      <c r="L4664" s="19">
        <v>2025</v>
      </c>
      <c r="M4664" s="20">
        <v>1</v>
      </c>
      <c r="N4664" s="19" t="s">
        <v>1798</v>
      </c>
      <c r="O4664" s="20">
        <v>3</v>
      </c>
      <c r="P4664" s="20">
        <v>3</v>
      </c>
      <c r="Q4664" s="20">
        <v>474.63703404468163</v>
      </c>
      <c r="R4664" s="21">
        <v>1</v>
      </c>
      <c r="S4664" s="20">
        <v>474.63703404468163</v>
      </c>
    </row>
    <row r="4665" spans="2:19" ht="15" customHeight="1" x14ac:dyDescent="0.25">
      <c r="B4665" s="2" t="str">
        <f t="shared" si="144"/>
        <v>NSG_Income Eligible_Multi-Family_Whole Building - Prescriptive_Steam Traps_HVAC Repair/Rep - No Audit_MF</v>
      </c>
      <c r="C4665" s="2" t="str">
        <f t="shared" si="145"/>
        <v>NSG_Income Eligible_Multi-Family_Whole Building - Prescriptive_Steam Traps_HVAC Repair/Rep - No Audit_MF_2022</v>
      </c>
      <c r="D4665" s="19" t="s">
        <v>1787</v>
      </c>
      <c r="E4665" s="19" t="s">
        <v>325</v>
      </c>
      <c r="F4665" s="19" t="s">
        <v>1422</v>
      </c>
      <c r="G4665" s="19" t="s">
        <v>1813</v>
      </c>
      <c r="H4665" s="19" t="s">
        <v>644</v>
      </c>
      <c r="I4665" s="19" t="s">
        <v>660</v>
      </c>
      <c r="J4665" s="19" t="s">
        <v>37</v>
      </c>
      <c r="K4665" s="19" t="s">
        <v>553</v>
      </c>
      <c r="L4665" s="19">
        <v>2022</v>
      </c>
      <c r="M4665" s="20">
        <v>1</v>
      </c>
      <c r="N4665" s="19" t="s">
        <v>1798</v>
      </c>
      <c r="O4665" s="20">
        <v>5</v>
      </c>
      <c r="P4665" s="20">
        <v>5</v>
      </c>
      <c r="Q4665" s="20">
        <v>213.58666532010676</v>
      </c>
      <c r="R4665" s="21">
        <v>1</v>
      </c>
      <c r="S4665" s="20">
        <v>213.58666532010676</v>
      </c>
    </row>
    <row r="4666" spans="2:19" ht="15" customHeight="1" x14ac:dyDescent="0.25">
      <c r="B4666" s="2" t="str">
        <f t="shared" si="144"/>
        <v>NSG_Income Eligible_Multi-Family_Whole Building - Prescriptive_Steam Traps_HVAC Repair/Rep - No Audit_MF</v>
      </c>
      <c r="C4666" s="2" t="str">
        <f t="shared" si="145"/>
        <v>NSG_Income Eligible_Multi-Family_Whole Building - Prescriptive_Steam Traps_HVAC Repair/Rep - No Audit_MF_2023</v>
      </c>
      <c r="D4666" s="19" t="s">
        <v>1787</v>
      </c>
      <c r="E4666" s="19" t="s">
        <v>325</v>
      </c>
      <c r="F4666" s="19" t="s">
        <v>1422</v>
      </c>
      <c r="G4666" s="19" t="s">
        <v>1813</v>
      </c>
      <c r="H4666" s="19" t="s">
        <v>644</v>
      </c>
      <c r="I4666" s="19" t="s">
        <v>660</v>
      </c>
      <c r="J4666" s="19" t="s">
        <v>37</v>
      </c>
      <c r="K4666" s="19" t="s">
        <v>553</v>
      </c>
      <c r="L4666" s="19">
        <v>2023</v>
      </c>
      <c r="M4666" s="20">
        <v>1</v>
      </c>
      <c r="N4666" s="19" t="s">
        <v>1798</v>
      </c>
      <c r="O4666" s="20">
        <v>5</v>
      </c>
      <c r="P4666" s="20">
        <v>5</v>
      </c>
      <c r="Q4666" s="20">
        <v>213.58666532010676</v>
      </c>
      <c r="R4666" s="21">
        <v>1</v>
      </c>
      <c r="S4666" s="20">
        <v>213.58666532010676</v>
      </c>
    </row>
    <row r="4667" spans="2:19" ht="15" customHeight="1" x14ac:dyDescent="0.25">
      <c r="B4667" s="2" t="str">
        <f t="shared" si="144"/>
        <v>NSG_Income Eligible_Multi-Family_Whole Building - Prescriptive_Steam Traps_HVAC Repair/Rep - No Audit_MF</v>
      </c>
      <c r="C4667" s="2" t="str">
        <f t="shared" si="145"/>
        <v>NSG_Income Eligible_Multi-Family_Whole Building - Prescriptive_Steam Traps_HVAC Repair/Rep - No Audit_MF_2024</v>
      </c>
      <c r="D4667" s="19" t="s">
        <v>1787</v>
      </c>
      <c r="E4667" s="19" t="s">
        <v>325</v>
      </c>
      <c r="F4667" s="19" t="s">
        <v>1422</v>
      </c>
      <c r="G4667" s="19" t="s">
        <v>1813</v>
      </c>
      <c r="H4667" s="19" t="s">
        <v>644</v>
      </c>
      <c r="I4667" s="19" t="s">
        <v>660</v>
      </c>
      <c r="J4667" s="19" t="s">
        <v>37</v>
      </c>
      <c r="K4667" s="19" t="s">
        <v>553</v>
      </c>
      <c r="L4667" s="19">
        <v>2024</v>
      </c>
      <c r="M4667" s="20">
        <v>1</v>
      </c>
      <c r="N4667" s="19" t="s">
        <v>1798</v>
      </c>
      <c r="O4667" s="20">
        <v>5</v>
      </c>
      <c r="P4667" s="20">
        <v>5</v>
      </c>
      <c r="Q4667" s="20">
        <v>213.58666532010676</v>
      </c>
      <c r="R4667" s="21">
        <v>1</v>
      </c>
      <c r="S4667" s="20">
        <v>213.58666532010676</v>
      </c>
    </row>
    <row r="4668" spans="2:19" ht="15" customHeight="1" x14ac:dyDescent="0.25">
      <c r="B4668" s="2" t="str">
        <f t="shared" si="144"/>
        <v>NSG_Income Eligible_Multi-Family_Whole Building - Prescriptive_Steam Traps_HVAC Repair/Rep - No Audit_MF</v>
      </c>
      <c r="C4668" s="2" t="str">
        <f t="shared" si="145"/>
        <v>NSG_Income Eligible_Multi-Family_Whole Building - Prescriptive_Steam Traps_HVAC Repair/Rep - No Audit_MF_2025</v>
      </c>
      <c r="D4668" s="19" t="s">
        <v>1787</v>
      </c>
      <c r="E4668" s="19" t="s">
        <v>325</v>
      </c>
      <c r="F4668" s="19" t="s">
        <v>1422</v>
      </c>
      <c r="G4668" s="19" t="s">
        <v>1813</v>
      </c>
      <c r="H4668" s="19" t="s">
        <v>644</v>
      </c>
      <c r="I4668" s="19" t="s">
        <v>660</v>
      </c>
      <c r="J4668" s="19" t="s">
        <v>37</v>
      </c>
      <c r="K4668" s="19" t="s">
        <v>553</v>
      </c>
      <c r="L4668" s="19">
        <v>2025</v>
      </c>
      <c r="M4668" s="20">
        <v>1</v>
      </c>
      <c r="N4668" s="19" t="s">
        <v>1798</v>
      </c>
      <c r="O4668" s="20">
        <v>5</v>
      </c>
      <c r="P4668" s="20">
        <v>5</v>
      </c>
      <c r="Q4668" s="20">
        <v>213.58666532010676</v>
      </c>
      <c r="R4668" s="21">
        <v>1</v>
      </c>
      <c r="S4668" s="20">
        <v>213.58666532010676</v>
      </c>
    </row>
    <row r="4669" spans="2:19" ht="15" customHeight="1" x14ac:dyDescent="0.25">
      <c r="B4669" s="2" t="str">
        <f t="shared" si="144"/>
        <v>NSG_Income Eligible_Multi-Family_Whole Building - Prescriptive_Steam Traps_Test_MF</v>
      </c>
      <c r="C4669" s="2" t="str">
        <f t="shared" si="145"/>
        <v>NSG_Income Eligible_Multi-Family_Whole Building - Prescriptive_Steam Traps_Test_MF_2022</v>
      </c>
      <c r="D4669" s="19" t="s">
        <v>1787</v>
      </c>
      <c r="E4669" s="19" t="s">
        <v>325</v>
      </c>
      <c r="F4669" s="19" t="s">
        <v>1422</v>
      </c>
      <c r="G4669" s="19" t="s">
        <v>1813</v>
      </c>
      <c r="H4669" s="19" t="s">
        <v>644</v>
      </c>
      <c r="I4669" s="19" t="s">
        <v>1097</v>
      </c>
      <c r="J4669" s="19">
        <v>0</v>
      </c>
      <c r="K4669" s="19" t="s">
        <v>553</v>
      </c>
      <c r="L4669" s="19">
        <v>2022</v>
      </c>
      <c r="M4669" s="20">
        <v>1</v>
      </c>
      <c r="N4669" s="19" t="s">
        <v>1798</v>
      </c>
      <c r="O4669" s="20">
        <v>0</v>
      </c>
      <c r="P4669" s="20">
        <v>0</v>
      </c>
      <c r="Q4669" s="20">
        <v>0</v>
      </c>
      <c r="R4669" s="21">
        <v>1</v>
      </c>
      <c r="S4669" s="20">
        <v>0</v>
      </c>
    </row>
    <row r="4670" spans="2:19" ht="15" customHeight="1" x14ac:dyDescent="0.25">
      <c r="B4670" s="2" t="str">
        <f t="shared" si="144"/>
        <v>NSG_Income Eligible_Multi-Family_Whole Building - Prescriptive_Steam Traps_Test_MF</v>
      </c>
      <c r="C4670" s="2" t="str">
        <f t="shared" si="145"/>
        <v>NSG_Income Eligible_Multi-Family_Whole Building - Prescriptive_Steam Traps_Test_MF_2023</v>
      </c>
      <c r="D4670" s="19" t="s">
        <v>1787</v>
      </c>
      <c r="E4670" s="19" t="s">
        <v>325</v>
      </c>
      <c r="F4670" s="19" t="s">
        <v>1422</v>
      </c>
      <c r="G4670" s="19" t="s">
        <v>1813</v>
      </c>
      <c r="H4670" s="19" t="s">
        <v>644</v>
      </c>
      <c r="I4670" s="19" t="s">
        <v>1097</v>
      </c>
      <c r="J4670" s="19">
        <v>0</v>
      </c>
      <c r="K4670" s="19" t="s">
        <v>553</v>
      </c>
      <c r="L4670" s="19">
        <v>2023</v>
      </c>
      <c r="M4670" s="20">
        <v>1</v>
      </c>
      <c r="N4670" s="19" t="s">
        <v>1798</v>
      </c>
      <c r="O4670" s="20">
        <v>0</v>
      </c>
      <c r="P4670" s="20">
        <v>0</v>
      </c>
      <c r="Q4670" s="20">
        <v>0</v>
      </c>
      <c r="R4670" s="21">
        <v>1</v>
      </c>
      <c r="S4670" s="20">
        <v>0</v>
      </c>
    </row>
    <row r="4671" spans="2:19" ht="15" customHeight="1" x14ac:dyDescent="0.25">
      <c r="B4671" s="2" t="str">
        <f t="shared" si="144"/>
        <v>NSG_Income Eligible_Multi-Family_Whole Building - Prescriptive_Steam Traps_Test_MF</v>
      </c>
      <c r="C4671" s="2" t="str">
        <f t="shared" si="145"/>
        <v>NSG_Income Eligible_Multi-Family_Whole Building - Prescriptive_Steam Traps_Test_MF_2024</v>
      </c>
      <c r="D4671" s="19" t="s">
        <v>1787</v>
      </c>
      <c r="E4671" s="19" t="s">
        <v>325</v>
      </c>
      <c r="F4671" s="19" t="s">
        <v>1422</v>
      </c>
      <c r="G4671" s="19" t="s">
        <v>1813</v>
      </c>
      <c r="H4671" s="19" t="s">
        <v>644</v>
      </c>
      <c r="I4671" s="19" t="s">
        <v>1097</v>
      </c>
      <c r="J4671" s="19">
        <v>0</v>
      </c>
      <c r="K4671" s="19" t="s">
        <v>553</v>
      </c>
      <c r="L4671" s="19">
        <v>2024</v>
      </c>
      <c r="M4671" s="20">
        <v>1</v>
      </c>
      <c r="N4671" s="19" t="s">
        <v>1798</v>
      </c>
      <c r="O4671" s="20">
        <v>0</v>
      </c>
      <c r="P4671" s="20">
        <v>0</v>
      </c>
      <c r="Q4671" s="20">
        <v>0</v>
      </c>
      <c r="R4671" s="21">
        <v>1</v>
      </c>
      <c r="S4671" s="20">
        <v>0</v>
      </c>
    </row>
    <row r="4672" spans="2:19" ht="15" customHeight="1" x14ac:dyDescent="0.25">
      <c r="B4672" s="2" t="str">
        <f t="shared" si="144"/>
        <v>NSG_Income Eligible_Multi-Family_Whole Building - Prescriptive_Steam Traps_Test_MF</v>
      </c>
      <c r="C4672" s="2" t="str">
        <f t="shared" si="145"/>
        <v>NSG_Income Eligible_Multi-Family_Whole Building - Prescriptive_Steam Traps_Test_MF_2025</v>
      </c>
      <c r="D4672" s="19" t="s">
        <v>1787</v>
      </c>
      <c r="E4672" s="19" t="s">
        <v>325</v>
      </c>
      <c r="F4672" s="19" t="s">
        <v>1422</v>
      </c>
      <c r="G4672" s="19" t="s">
        <v>1813</v>
      </c>
      <c r="H4672" s="19" t="s">
        <v>644</v>
      </c>
      <c r="I4672" s="19" t="s">
        <v>1097</v>
      </c>
      <c r="J4672" s="19">
        <v>0</v>
      </c>
      <c r="K4672" s="19" t="s">
        <v>553</v>
      </c>
      <c r="L4672" s="19">
        <v>2025</v>
      </c>
      <c r="M4672" s="20">
        <v>1</v>
      </c>
      <c r="N4672" s="19" t="s">
        <v>1798</v>
      </c>
      <c r="O4672" s="20">
        <v>0</v>
      </c>
      <c r="P4672" s="20">
        <v>0</v>
      </c>
      <c r="Q4672" s="20">
        <v>0</v>
      </c>
      <c r="R4672" s="21">
        <v>1</v>
      </c>
      <c r="S4672" s="20">
        <v>0</v>
      </c>
    </row>
    <row r="4673" spans="2:19" ht="15" customHeight="1" x14ac:dyDescent="0.25">
      <c r="B4673" s="2" t="str">
        <f t="shared" si="144"/>
        <v>NSG_Income Eligible_Multi-Family_Whole Building - Prescriptive_On Demand DHW Circulation System_0_MF</v>
      </c>
      <c r="C4673" s="2" t="str">
        <f t="shared" si="145"/>
        <v>NSG_Income Eligible_Multi-Family_Whole Building - Prescriptive_On Demand DHW Circulation System_0_MF_2022</v>
      </c>
      <c r="D4673" s="19" t="s">
        <v>1787</v>
      </c>
      <c r="E4673" s="19" t="s">
        <v>325</v>
      </c>
      <c r="F4673" s="19" t="s">
        <v>1422</v>
      </c>
      <c r="G4673" s="19" t="s">
        <v>1813</v>
      </c>
      <c r="H4673" s="19" t="s">
        <v>1075</v>
      </c>
      <c r="I4673" s="19">
        <v>0</v>
      </c>
      <c r="J4673" s="19" t="s">
        <v>26</v>
      </c>
      <c r="K4673" s="19" t="s">
        <v>553</v>
      </c>
      <c r="L4673" s="19">
        <v>2022</v>
      </c>
      <c r="M4673" s="20">
        <v>1</v>
      </c>
      <c r="N4673" s="19" t="s">
        <v>1804</v>
      </c>
      <c r="O4673" s="20">
        <v>0</v>
      </c>
      <c r="P4673" s="20">
        <v>0</v>
      </c>
      <c r="Q4673" s="20">
        <v>0</v>
      </c>
      <c r="R4673" s="21">
        <v>1</v>
      </c>
      <c r="S4673" s="20">
        <v>0</v>
      </c>
    </row>
    <row r="4674" spans="2:19" ht="15" customHeight="1" x14ac:dyDescent="0.25">
      <c r="B4674" s="2" t="str">
        <f t="shared" si="144"/>
        <v>NSG_Income Eligible_Multi-Family_Whole Building - Prescriptive_On Demand DHW Circulation System_0_MF</v>
      </c>
      <c r="C4674" s="2" t="str">
        <f t="shared" si="145"/>
        <v>NSG_Income Eligible_Multi-Family_Whole Building - Prescriptive_On Demand DHW Circulation System_0_MF_2023</v>
      </c>
      <c r="D4674" s="19" t="s">
        <v>1787</v>
      </c>
      <c r="E4674" s="19" t="s">
        <v>325</v>
      </c>
      <c r="F4674" s="19" t="s">
        <v>1422</v>
      </c>
      <c r="G4674" s="19" t="s">
        <v>1813</v>
      </c>
      <c r="H4674" s="19" t="s">
        <v>1075</v>
      </c>
      <c r="I4674" s="19">
        <v>0</v>
      </c>
      <c r="J4674" s="19" t="s">
        <v>26</v>
      </c>
      <c r="K4674" s="19" t="s">
        <v>553</v>
      </c>
      <c r="L4674" s="19">
        <v>2023</v>
      </c>
      <c r="M4674" s="20">
        <v>1</v>
      </c>
      <c r="N4674" s="19" t="s">
        <v>1804</v>
      </c>
      <c r="O4674" s="20">
        <v>0</v>
      </c>
      <c r="P4674" s="20">
        <v>0</v>
      </c>
      <c r="Q4674" s="20">
        <v>0</v>
      </c>
      <c r="R4674" s="21">
        <v>1</v>
      </c>
      <c r="S4674" s="20">
        <v>0</v>
      </c>
    </row>
    <row r="4675" spans="2:19" ht="15" customHeight="1" x14ac:dyDescent="0.25">
      <c r="B4675" s="2" t="str">
        <f t="shared" si="144"/>
        <v>NSG_Income Eligible_Multi-Family_Whole Building - Prescriptive_On Demand DHW Circulation System_0_MF</v>
      </c>
      <c r="C4675" s="2" t="str">
        <f t="shared" si="145"/>
        <v>NSG_Income Eligible_Multi-Family_Whole Building - Prescriptive_On Demand DHW Circulation System_0_MF_2024</v>
      </c>
      <c r="D4675" s="19" t="s">
        <v>1787</v>
      </c>
      <c r="E4675" s="19" t="s">
        <v>325</v>
      </c>
      <c r="F4675" s="19" t="s">
        <v>1422</v>
      </c>
      <c r="G4675" s="19" t="s">
        <v>1813</v>
      </c>
      <c r="H4675" s="19" t="s">
        <v>1075</v>
      </c>
      <c r="I4675" s="19">
        <v>0</v>
      </c>
      <c r="J4675" s="19" t="s">
        <v>26</v>
      </c>
      <c r="K4675" s="19" t="s">
        <v>553</v>
      </c>
      <c r="L4675" s="19">
        <v>2024</v>
      </c>
      <c r="M4675" s="20">
        <v>1</v>
      </c>
      <c r="N4675" s="19" t="s">
        <v>1804</v>
      </c>
      <c r="O4675" s="20">
        <v>0</v>
      </c>
      <c r="P4675" s="20">
        <v>0</v>
      </c>
      <c r="Q4675" s="20">
        <v>0</v>
      </c>
      <c r="R4675" s="21">
        <v>1</v>
      </c>
      <c r="S4675" s="20">
        <v>0</v>
      </c>
    </row>
    <row r="4676" spans="2:19" ht="15" customHeight="1" x14ac:dyDescent="0.25">
      <c r="B4676" s="2" t="str">
        <f t="shared" si="144"/>
        <v>NSG_Income Eligible_Multi-Family_Whole Building - Prescriptive_On Demand DHW Circulation System_0_MF</v>
      </c>
      <c r="C4676" s="2" t="str">
        <f t="shared" si="145"/>
        <v>NSG_Income Eligible_Multi-Family_Whole Building - Prescriptive_On Demand DHW Circulation System_0_MF_2025</v>
      </c>
      <c r="D4676" s="19" t="s">
        <v>1787</v>
      </c>
      <c r="E4676" s="19" t="s">
        <v>325</v>
      </c>
      <c r="F4676" s="19" t="s">
        <v>1422</v>
      </c>
      <c r="G4676" s="19" t="s">
        <v>1813</v>
      </c>
      <c r="H4676" s="19" t="s">
        <v>1075</v>
      </c>
      <c r="I4676" s="19">
        <v>0</v>
      </c>
      <c r="J4676" s="19" t="s">
        <v>26</v>
      </c>
      <c r="K4676" s="19" t="s">
        <v>553</v>
      </c>
      <c r="L4676" s="19">
        <v>2025</v>
      </c>
      <c r="M4676" s="20">
        <v>1</v>
      </c>
      <c r="N4676" s="19" t="s">
        <v>1804</v>
      </c>
      <c r="O4676" s="20">
        <v>0</v>
      </c>
      <c r="P4676" s="20">
        <v>0</v>
      </c>
      <c r="Q4676" s="20">
        <v>0</v>
      </c>
      <c r="R4676" s="21">
        <v>1</v>
      </c>
      <c r="S4676" s="20">
        <v>0</v>
      </c>
    </row>
    <row r="4677" spans="2:19" ht="15" customHeight="1" x14ac:dyDescent="0.25">
      <c r="B4677" s="2" t="str">
        <f t="shared" si="144"/>
        <v>NSG_Income Eligible_Multi-Family_Whole Building - Prescriptive_Water Heater_Central/Indirect MF ≥88% TE_MF</v>
      </c>
      <c r="C4677" s="2" t="str">
        <f t="shared" si="145"/>
        <v>NSG_Income Eligible_Multi-Family_Whole Building - Prescriptive_Water Heater_Central/Indirect MF ≥88% TE_MF_2022</v>
      </c>
      <c r="D4677" s="19" t="s">
        <v>1787</v>
      </c>
      <c r="E4677" s="19" t="s">
        <v>325</v>
      </c>
      <c r="F4677" s="19" t="s">
        <v>1422</v>
      </c>
      <c r="G4677" s="19" t="s">
        <v>1813</v>
      </c>
      <c r="H4677" s="19" t="s">
        <v>8</v>
      </c>
      <c r="I4677" s="19" t="s">
        <v>1066</v>
      </c>
      <c r="J4677" s="19" t="s">
        <v>30</v>
      </c>
      <c r="K4677" s="19" t="s">
        <v>553</v>
      </c>
      <c r="L4677" s="19">
        <v>2022</v>
      </c>
      <c r="M4677" s="20">
        <v>1</v>
      </c>
      <c r="N4677" s="19" t="s">
        <v>1816</v>
      </c>
      <c r="O4677" s="20">
        <v>0</v>
      </c>
      <c r="P4677" s="20">
        <v>0</v>
      </c>
      <c r="Q4677" s="20">
        <v>0</v>
      </c>
      <c r="R4677" s="21">
        <v>1</v>
      </c>
      <c r="S4677" s="20">
        <v>0</v>
      </c>
    </row>
    <row r="4678" spans="2:19" ht="15" customHeight="1" x14ac:dyDescent="0.25">
      <c r="B4678" s="2" t="str">
        <f t="shared" ref="B4678:B4741" si="146">D4678&amp;"_"&amp;E4678&amp;"_"&amp;F4678&amp;"_"&amp;G4678&amp;"_"&amp;H4678&amp;"_"&amp;I4678&amp;"_"&amp;K4678</f>
        <v>NSG_Income Eligible_Multi-Family_Whole Building - Prescriptive_Water Heater_Central/Indirect MF ≥88% TE_MF</v>
      </c>
      <c r="C4678" s="2" t="str">
        <f t="shared" ref="C4678:C4741" si="147">D4678&amp;"_"&amp;E4678&amp;"_"&amp;F4678&amp;"_"&amp;G4678&amp;"_"&amp;H4678&amp;"_"&amp;I4678&amp;"_"&amp;K4678&amp;"_"&amp;L4678</f>
        <v>NSG_Income Eligible_Multi-Family_Whole Building - Prescriptive_Water Heater_Central/Indirect MF ≥88% TE_MF_2023</v>
      </c>
      <c r="D4678" s="19" t="s">
        <v>1787</v>
      </c>
      <c r="E4678" s="19" t="s">
        <v>325</v>
      </c>
      <c r="F4678" s="19" t="s">
        <v>1422</v>
      </c>
      <c r="G4678" s="19" t="s">
        <v>1813</v>
      </c>
      <c r="H4678" s="19" t="s">
        <v>8</v>
      </c>
      <c r="I4678" s="19" t="s">
        <v>1066</v>
      </c>
      <c r="J4678" s="19" t="s">
        <v>30</v>
      </c>
      <c r="K4678" s="19" t="s">
        <v>553</v>
      </c>
      <c r="L4678" s="19">
        <v>2023</v>
      </c>
      <c r="M4678" s="20">
        <v>1</v>
      </c>
      <c r="N4678" s="19" t="s">
        <v>1816</v>
      </c>
      <c r="O4678" s="20">
        <v>0</v>
      </c>
      <c r="P4678" s="20">
        <v>0</v>
      </c>
      <c r="Q4678" s="20">
        <v>0</v>
      </c>
      <c r="R4678" s="21">
        <v>1</v>
      </c>
      <c r="S4678" s="20">
        <v>0</v>
      </c>
    </row>
    <row r="4679" spans="2:19" ht="15" customHeight="1" x14ac:dyDescent="0.25">
      <c r="B4679" s="2" t="str">
        <f t="shared" si="146"/>
        <v>NSG_Income Eligible_Multi-Family_Whole Building - Prescriptive_Water Heater_Central/Indirect MF ≥88% TE_MF</v>
      </c>
      <c r="C4679" s="2" t="str">
        <f t="shared" si="147"/>
        <v>NSG_Income Eligible_Multi-Family_Whole Building - Prescriptive_Water Heater_Central/Indirect MF ≥88% TE_MF_2024</v>
      </c>
      <c r="D4679" s="19" t="s">
        <v>1787</v>
      </c>
      <c r="E4679" s="19" t="s">
        <v>325</v>
      </c>
      <c r="F4679" s="19" t="s">
        <v>1422</v>
      </c>
      <c r="G4679" s="19" t="s">
        <v>1813</v>
      </c>
      <c r="H4679" s="19" t="s">
        <v>8</v>
      </c>
      <c r="I4679" s="19" t="s">
        <v>1066</v>
      </c>
      <c r="J4679" s="19" t="s">
        <v>30</v>
      </c>
      <c r="K4679" s="19" t="s">
        <v>553</v>
      </c>
      <c r="L4679" s="19">
        <v>2024</v>
      </c>
      <c r="M4679" s="20">
        <v>1</v>
      </c>
      <c r="N4679" s="19" t="s">
        <v>1816</v>
      </c>
      <c r="O4679" s="20">
        <v>0</v>
      </c>
      <c r="P4679" s="20">
        <v>0</v>
      </c>
      <c r="Q4679" s="20">
        <v>0</v>
      </c>
      <c r="R4679" s="21">
        <v>1</v>
      </c>
      <c r="S4679" s="20">
        <v>0</v>
      </c>
    </row>
    <row r="4680" spans="2:19" ht="15" customHeight="1" x14ac:dyDescent="0.25">
      <c r="B4680" s="2" t="str">
        <f t="shared" si="146"/>
        <v>NSG_Income Eligible_Multi-Family_Whole Building - Prescriptive_Water Heater_Central/Indirect MF ≥88% TE_MF</v>
      </c>
      <c r="C4680" s="2" t="str">
        <f t="shared" si="147"/>
        <v>NSG_Income Eligible_Multi-Family_Whole Building - Prescriptive_Water Heater_Central/Indirect MF ≥88% TE_MF_2025</v>
      </c>
      <c r="D4680" s="19" t="s">
        <v>1787</v>
      </c>
      <c r="E4680" s="19" t="s">
        <v>325</v>
      </c>
      <c r="F4680" s="19" t="s">
        <v>1422</v>
      </c>
      <c r="G4680" s="19" t="s">
        <v>1813</v>
      </c>
      <c r="H4680" s="19" t="s">
        <v>8</v>
      </c>
      <c r="I4680" s="19" t="s">
        <v>1066</v>
      </c>
      <c r="J4680" s="19" t="s">
        <v>30</v>
      </c>
      <c r="K4680" s="19" t="s">
        <v>553</v>
      </c>
      <c r="L4680" s="19">
        <v>2025</v>
      </c>
      <c r="M4680" s="20">
        <v>1</v>
      </c>
      <c r="N4680" s="19" t="s">
        <v>1816</v>
      </c>
      <c r="O4680" s="20">
        <v>0</v>
      </c>
      <c r="P4680" s="20">
        <v>0</v>
      </c>
      <c r="Q4680" s="20">
        <v>0</v>
      </c>
      <c r="R4680" s="21">
        <v>1</v>
      </c>
      <c r="S4680" s="20">
        <v>0</v>
      </c>
    </row>
    <row r="4681" spans="2:19" ht="15" customHeight="1" x14ac:dyDescent="0.25">
      <c r="B4681" s="2" t="str">
        <f t="shared" si="146"/>
        <v>NSG_Income Eligible_Multi-Family_Whole Building - Prescriptive_Water Heater_Storage 0.67 EF_MF</v>
      </c>
      <c r="C4681" s="2" t="str">
        <f t="shared" si="147"/>
        <v>NSG_Income Eligible_Multi-Family_Whole Building - Prescriptive_Water Heater_Storage 0.67 EF_MF_2022</v>
      </c>
      <c r="D4681" s="19" t="s">
        <v>1787</v>
      </c>
      <c r="E4681" s="19" t="s">
        <v>325</v>
      </c>
      <c r="F4681" s="19" t="s">
        <v>1422</v>
      </c>
      <c r="G4681" s="19" t="s">
        <v>1813</v>
      </c>
      <c r="H4681" s="19" t="s">
        <v>8</v>
      </c>
      <c r="I4681" s="19" t="s">
        <v>879</v>
      </c>
      <c r="J4681" s="19" t="s">
        <v>1263</v>
      </c>
      <c r="K4681" s="19" t="s">
        <v>553</v>
      </c>
      <c r="L4681" s="19">
        <v>2022</v>
      </c>
      <c r="M4681" s="20">
        <v>1</v>
      </c>
      <c r="N4681" s="19" t="s">
        <v>1798</v>
      </c>
      <c r="O4681" s="20">
        <v>0</v>
      </c>
      <c r="P4681" s="20">
        <v>0</v>
      </c>
      <c r="Q4681" s="20">
        <v>0</v>
      </c>
      <c r="R4681" s="21">
        <v>1</v>
      </c>
      <c r="S4681" s="20">
        <v>0</v>
      </c>
    </row>
    <row r="4682" spans="2:19" ht="15" customHeight="1" x14ac:dyDescent="0.25">
      <c r="B4682" s="2" t="str">
        <f t="shared" si="146"/>
        <v>NSG_Income Eligible_Multi-Family_Whole Building - Prescriptive_Water Heater_Storage 0.67 EF_MF</v>
      </c>
      <c r="C4682" s="2" t="str">
        <f t="shared" si="147"/>
        <v>NSG_Income Eligible_Multi-Family_Whole Building - Prescriptive_Water Heater_Storage 0.67 EF_MF_2023</v>
      </c>
      <c r="D4682" s="19" t="s">
        <v>1787</v>
      </c>
      <c r="E4682" s="19" t="s">
        <v>325</v>
      </c>
      <c r="F4682" s="19" t="s">
        <v>1422</v>
      </c>
      <c r="G4682" s="19" t="s">
        <v>1813</v>
      </c>
      <c r="H4682" s="19" t="s">
        <v>8</v>
      </c>
      <c r="I4682" s="19" t="s">
        <v>879</v>
      </c>
      <c r="J4682" s="19" t="s">
        <v>1263</v>
      </c>
      <c r="K4682" s="19" t="s">
        <v>553</v>
      </c>
      <c r="L4682" s="19">
        <v>2023</v>
      </c>
      <c r="M4682" s="20">
        <v>1</v>
      </c>
      <c r="N4682" s="19" t="s">
        <v>1798</v>
      </c>
      <c r="O4682" s="20">
        <v>0</v>
      </c>
      <c r="P4682" s="20">
        <v>0</v>
      </c>
      <c r="Q4682" s="20">
        <v>0</v>
      </c>
      <c r="R4682" s="21">
        <v>1</v>
      </c>
      <c r="S4682" s="20">
        <v>0</v>
      </c>
    </row>
    <row r="4683" spans="2:19" ht="15" customHeight="1" x14ac:dyDescent="0.25">
      <c r="B4683" s="2" t="str">
        <f t="shared" si="146"/>
        <v>NSG_Income Eligible_Multi-Family_Whole Building - Prescriptive_Water Heater_Storage 0.67 EF_MF</v>
      </c>
      <c r="C4683" s="2" t="str">
        <f t="shared" si="147"/>
        <v>NSG_Income Eligible_Multi-Family_Whole Building - Prescriptive_Water Heater_Storage 0.67 EF_MF_2024</v>
      </c>
      <c r="D4683" s="19" t="s">
        <v>1787</v>
      </c>
      <c r="E4683" s="19" t="s">
        <v>325</v>
      </c>
      <c r="F4683" s="19" t="s">
        <v>1422</v>
      </c>
      <c r="G4683" s="19" t="s">
        <v>1813</v>
      </c>
      <c r="H4683" s="19" t="s">
        <v>8</v>
      </c>
      <c r="I4683" s="19" t="s">
        <v>879</v>
      </c>
      <c r="J4683" s="19" t="s">
        <v>1263</v>
      </c>
      <c r="K4683" s="19" t="s">
        <v>553</v>
      </c>
      <c r="L4683" s="19">
        <v>2024</v>
      </c>
      <c r="M4683" s="20">
        <v>1</v>
      </c>
      <c r="N4683" s="19" t="s">
        <v>1798</v>
      </c>
      <c r="O4683" s="20">
        <v>0</v>
      </c>
      <c r="P4683" s="20">
        <v>0</v>
      </c>
      <c r="Q4683" s="20">
        <v>0</v>
      </c>
      <c r="R4683" s="21">
        <v>1</v>
      </c>
      <c r="S4683" s="20">
        <v>0</v>
      </c>
    </row>
    <row r="4684" spans="2:19" ht="15" customHeight="1" x14ac:dyDescent="0.25">
      <c r="B4684" s="2" t="str">
        <f t="shared" si="146"/>
        <v>NSG_Income Eligible_Multi-Family_Whole Building - Prescriptive_Water Heater_Storage 0.67 EF_MF</v>
      </c>
      <c r="C4684" s="2" t="str">
        <f t="shared" si="147"/>
        <v>NSG_Income Eligible_Multi-Family_Whole Building - Prescriptive_Water Heater_Storage 0.67 EF_MF_2025</v>
      </c>
      <c r="D4684" s="19" t="s">
        <v>1787</v>
      </c>
      <c r="E4684" s="19" t="s">
        <v>325</v>
      </c>
      <c r="F4684" s="19" t="s">
        <v>1422</v>
      </c>
      <c r="G4684" s="19" t="s">
        <v>1813</v>
      </c>
      <c r="H4684" s="19" t="s">
        <v>8</v>
      </c>
      <c r="I4684" s="19" t="s">
        <v>879</v>
      </c>
      <c r="J4684" s="19" t="s">
        <v>1263</v>
      </c>
      <c r="K4684" s="19" t="s">
        <v>553</v>
      </c>
      <c r="L4684" s="19">
        <v>2025</v>
      </c>
      <c r="M4684" s="20">
        <v>1</v>
      </c>
      <c r="N4684" s="19" t="s">
        <v>1798</v>
      </c>
      <c r="O4684" s="20">
        <v>0</v>
      </c>
      <c r="P4684" s="20">
        <v>0</v>
      </c>
      <c r="Q4684" s="20">
        <v>0</v>
      </c>
      <c r="R4684" s="21">
        <v>1</v>
      </c>
      <c r="S4684" s="20">
        <v>0</v>
      </c>
    </row>
    <row r="4685" spans="2:19" ht="15" customHeight="1" x14ac:dyDescent="0.25">
      <c r="B4685" s="2" t="str">
        <f t="shared" si="146"/>
        <v>NSG_Income Eligible_Multi-Family_Whole Building - Prescriptive_Water Heater_Tankless_MF</v>
      </c>
      <c r="C4685" s="2" t="str">
        <f t="shared" si="147"/>
        <v>NSG_Income Eligible_Multi-Family_Whole Building - Prescriptive_Water Heater_Tankless_MF_2022</v>
      </c>
      <c r="D4685" s="19" t="s">
        <v>1787</v>
      </c>
      <c r="E4685" s="19" t="s">
        <v>325</v>
      </c>
      <c r="F4685" s="19" t="s">
        <v>1422</v>
      </c>
      <c r="G4685" s="19" t="s">
        <v>1813</v>
      </c>
      <c r="H4685" s="19" t="s">
        <v>8</v>
      </c>
      <c r="I4685" s="19" t="s">
        <v>380</v>
      </c>
      <c r="J4685" s="19" t="s">
        <v>1469</v>
      </c>
      <c r="K4685" s="19" t="s">
        <v>553</v>
      </c>
      <c r="L4685" s="19">
        <v>2022</v>
      </c>
      <c r="M4685" s="20">
        <v>1</v>
      </c>
      <c r="N4685" s="19" t="s">
        <v>1798</v>
      </c>
      <c r="O4685" s="20">
        <v>0</v>
      </c>
      <c r="P4685" s="20">
        <v>0</v>
      </c>
      <c r="Q4685" s="20">
        <v>0</v>
      </c>
      <c r="R4685" s="21">
        <v>1</v>
      </c>
      <c r="S4685" s="20">
        <v>0</v>
      </c>
    </row>
    <row r="4686" spans="2:19" ht="15" customHeight="1" x14ac:dyDescent="0.25">
      <c r="B4686" s="2" t="str">
        <f t="shared" si="146"/>
        <v>NSG_Income Eligible_Multi-Family_Whole Building - Prescriptive_Water Heater_Tankless_MF</v>
      </c>
      <c r="C4686" s="2" t="str">
        <f t="shared" si="147"/>
        <v>NSG_Income Eligible_Multi-Family_Whole Building - Prescriptive_Water Heater_Tankless_MF_2023</v>
      </c>
      <c r="D4686" s="19" t="s">
        <v>1787</v>
      </c>
      <c r="E4686" s="19" t="s">
        <v>325</v>
      </c>
      <c r="F4686" s="19" t="s">
        <v>1422</v>
      </c>
      <c r="G4686" s="19" t="s">
        <v>1813</v>
      </c>
      <c r="H4686" s="19" t="s">
        <v>8</v>
      </c>
      <c r="I4686" s="19" t="s">
        <v>380</v>
      </c>
      <c r="J4686" s="19" t="s">
        <v>1469</v>
      </c>
      <c r="K4686" s="19" t="s">
        <v>553</v>
      </c>
      <c r="L4686" s="19">
        <v>2023</v>
      </c>
      <c r="M4686" s="20">
        <v>1</v>
      </c>
      <c r="N4686" s="19" t="s">
        <v>1798</v>
      </c>
      <c r="O4686" s="20">
        <v>0</v>
      </c>
      <c r="P4686" s="20">
        <v>0</v>
      </c>
      <c r="Q4686" s="20">
        <v>0</v>
      </c>
      <c r="R4686" s="21">
        <v>1</v>
      </c>
      <c r="S4686" s="20">
        <v>0</v>
      </c>
    </row>
    <row r="4687" spans="2:19" ht="15" customHeight="1" x14ac:dyDescent="0.25">
      <c r="B4687" s="2" t="str">
        <f t="shared" si="146"/>
        <v>NSG_Income Eligible_Multi-Family_Whole Building - Prescriptive_Water Heater_Tankless_MF</v>
      </c>
      <c r="C4687" s="2" t="str">
        <f t="shared" si="147"/>
        <v>NSG_Income Eligible_Multi-Family_Whole Building - Prescriptive_Water Heater_Tankless_MF_2024</v>
      </c>
      <c r="D4687" s="19" t="s">
        <v>1787</v>
      </c>
      <c r="E4687" s="19" t="s">
        <v>325</v>
      </c>
      <c r="F4687" s="19" t="s">
        <v>1422</v>
      </c>
      <c r="G4687" s="19" t="s">
        <v>1813</v>
      </c>
      <c r="H4687" s="19" t="s">
        <v>8</v>
      </c>
      <c r="I4687" s="19" t="s">
        <v>380</v>
      </c>
      <c r="J4687" s="19" t="s">
        <v>1469</v>
      </c>
      <c r="K4687" s="19" t="s">
        <v>553</v>
      </c>
      <c r="L4687" s="19">
        <v>2024</v>
      </c>
      <c r="M4687" s="20">
        <v>1</v>
      </c>
      <c r="N4687" s="19" t="s">
        <v>1798</v>
      </c>
      <c r="O4687" s="20">
        <v>0</v>
      </c>
      <c r="P4687" s="20">
        <v>0</v>
      </c>
      <c r="Q4687" s="20">
        <v>0</v>
      </c>
      <c r="R4687" s="21">
        <v>1</v>
      </c>
      <c r="S4687" s="20">
        <v>0</v>
      </c>
    </row>
    <row r="4688" spans="2:19" ht="15" customHeight="1" x14ac:dyDescent="0.25">
      <c r="B4688" s="2" t="str">
        <f t="shared" si="146"/>
        <v>NSG_Income Eligible_Multi-Family_Whole Building - Prescriptive_Water Heater_Tankless_MF</v>
      </c>
      <c r="C4688" s="2" t="str">
        <f t="shared" si="147"/>
        <v>NSG_Income Eligible_Multi-Family_Whole Building - Prescriptive_Water Heater_Tankless_MF_2025</v>
      </c>
      <c r="D4688" s="19" t="s">
        <v>1787</v>
      </c>
      <c r="E4688" s="19" t="s">
        <v>325</v>
      </c>
      <c r="F4688" s="19" t="s">
        <v>1422</v>
      </c>
      <c r="G4688" s="19" t="s">
        <v>1813</v>
      </c>
      <c r="H4688" s="19" t="s">
        <v>8</v>
      </c>
      <c r="I4688" s="19" t="s">
        <v>380</v>
      </c>
      <c r="J4688" s="19" t="s">
        <v>1469</v>
      </c>
      <c r="K4688" s="19" t="s">
        <v>553</v>
      </c>
      <c r="L4688" s="19">
        <v>2025</v>
      </c>
      <c r="M4688" s="20">
        <v>1</v>
      </c>
      <c r="N4688" s="19" t="s">
        <v>1798</v>
      </c>
      <c r="O4688" s="20">
        <v>0</v>
      </c>
      <c r="P4688" s="20">
        <v>0</v>
      </c>
      <c r="Q4688" s="20">
        <v>0</v>
      </c>
      <c r="R4688" s="21">
        <v>1</v>
      </c>
      <c r="S4688" s="20">
        <v>0</v>
      </c>
    </row>
    <row r="4689" spans="2:19" ht="15" customHeight="1" x14ac:dyDescent="0.25">
      <c r="B4689" s="2" t="str">
        <f t="shared" si="146"/>
        <v>NSG_Income Eligible_Multi-Family_Whole Building - Prescriptive_Energy Recovery Ventilator_0_CI</v>
      </c>
      <c r="C4689" s="2" t="str">
        <f t="shared" si="147"/>
        <v>NSG_Income Eligible_Multi-Family_Whole Building - Prescriptive_Energy Recovery Ventilator_0_CI_2022</v>
      </c>
      <c r="D4689" s="19" t="s">
        <v>1787</v>
      </c>
      <c r="E4689" s="19" t="s">
        <v>325</v>
      </c>
      <c r="F4689" s="19" t="s">
        <v>1422</v>
      </c>
      <c r="G4689" s="19" t="s">
        <v>1813</v>
      </c>
      <c r="H4689" s="19" t="s">
        <v>11</v>
      </c>
      <c r="I4689" s="19">
        <v>0</v>
      </c>
      <c r="J4689" s="19" t="s">
        <v>27</v>
      </c>
      <c r="K4689" s="19" t="s">
        <v>1159</v>
      </c>
      <c r="L4689" s="19">
        <v>2022</v>
      </c>
      <c r="M4689" s="20">
        <v>1</v>
      </c>
      <c r="N4689" s="19" t="s">
        <v>331</v>
      </c>
      <c r="O4689" s="20">
        <v>0</v>
      </c>
      <c r="P4689" s="20">
        <v>0</v>
      </c>
      <c r="Q4689" s="20">
        <v>0</v>
      </c>
      <c r="R4689" s="21">
        <v>1</v>
      </c>
      <c r="S4689" s="20">
        <v>0</v>
      </c>
    </row>
    <row r="4690" spans="2:19" ht="15" customHeight="1" x14ac:dyDescent="0.25">
      <c r="B4690" s="2" t="str">
        <f t="shared" si="146"/>
        <v>NSG_Income Eligible_Multi-Family_Whole Building - Prescriptive_Energy Recovery Ventilator_0_CI</v>
      </c>
      <c r="C4690" s="2" t="str">
        <f t="shared" si="147"/>
        <v>NSG_Income Eligible_Multi-Family_Whole Building - Prescriptive_Energy Recovery Ventilator_0_CI_2023</v>
      </c>
      <c r="D4690" s="19" t="s">
        <v>1787</v>
      </c>
      <c r="E4690" s="19" t="s">
        <v>325</v>
      </c>
      <c r="F4690" s="19" t="s">
        <v>1422</v>
      </c>
      <c r="G4690" s="19" t="s">
        <v>1813</v>
      </c>
      <c r="H4690" s="19" t="s">
        <v>11</v>
      </c>
      <c r="I4690" s="19">
        <v>0</v>
      </c>
      <c r="J4690" s="19" t="s">
        <v>27</v>
      </c>
      <c r="K4690" s="19" t="s">
        <v>1159</v>
      </c>
      <c r="L4690" s="19">
        <v>2023</v>
      </c>
      <c r="M4690" s="20">
        <v>1</v>
      </c>
      <c r="N4690" s="19" t="s">
        <v>331</v>
      </c>
      <c r="O4690" s="20">
        <v>0</v>
      </c>
      <c r="P4690" s="20">
        <v>0</v>
      </c>
      <c r="Q4690" s="20">
        <v>0</v>
      </c>
      <c r="R4690" s="21">
        <v>1</v>
      </c>
      <c r="S4690" s="20">
        <v>0</v>
      </c>
    </row>
    <row r="4691" spans="2:19" ht="15" customHeight="1" x14ac:dyDescent="0.25">
      <c r="B4691" s="2" t="str">
        <f t="shared" si="146"/>
        <v>NSG_Income Eligible_Multi-Family_Whole Building - Prescriptive_Energy Recovery Ventilator_0_CI</v>
      </c>
      <c r="C4691" s="2" t="str">
        <f t="shared" si="147"/>
        <v>NSG_Income Eligible_Multi-Family_Whole Building - Prescriptive_Energy Recovery Ventilator_0_CI_2024</v>
      </c>
      <c r="D4691" s="19" t="s">
        <v>1787</v>
      </c>
      <c r="E4691" s="19" t="s">
        <v>325</v>
      </c>
      <c r="F4691" s="19" t="s">
        <v>1422</v>
      </c>
      <c r="G4691" s="19" t="s">
        <v>1813</v>
      </c>
      <c r="H4691" s="19" t="s">
        <v>11</v>
      </c>
      <c r="I4691" s="19">
        <v>0</v>
      </c>
      <c r="J4691" s="19" t="s">
        <v>27</v>
      </c>
      <c r="K4691" s="19" t="s">
        <v>1159</v>
      </c>
      <c r="L4691" s="19">
        <v>2024</v>
      </c>
      <c r="M4691" s="20">
        <v>1</v>
      </c>
      <c r="N4691" s="19" t="s">
        <v>331</v>
      </c>
      <c r="O4691" s="20">
        <v>0</v>
      </c>
      <c r="P4691" s="20">
        <v>0</v>
      </c>
      <c r="Q4691" s="20">
        <v>0</v>
      </c>
      <c r="R4691" s="21">
        <v>1</v>
      </c>
      <c r="S4691" s="20">
        <v>0</v>
      </c>
    </row>
    <row r="4692" spans="2:19" ht="15" customHeight="1" x14ac:dyDescent="0.25">
      <c r="B4692" s="2" t="str">
        <f t="shared" si="146"/>
        <v>NSG_Income Eligible_Multi-Family_Whole Building - Prescriptive_Energy Recovery Ventilator_0_CI</v>
      </c>
      <c r="C4692" s="2" t="str">
        <f t="shared" si="147"/>
        <v>NSG_Income Eligible_Multi-Family_Whole Building - Prescriptive_Energy Recovery Ventilator_0_CI_2025</v>
      </c>
      <c r="D4692" s="19" t="s">
        <v>1787</v>
      </c>
      <c r="E4692" s="19" t="s">
        <v>325</v>
      </c>
      <c r="F4692" s="19" t="s">
        <v>1422</v>
      </c>
      <c r="G4692" s="19" t="s">
        <v>1813</v>
      </c>
      <c r="H4692" s="19" t="s">
        <v>11</v>
      </c>
      <c r="I4692" s="19">
        <v>0</v>
      </c>
      <c r="J4692" s="19" t="s">
        <v>27</v>
      </c>
      <c r="K4692" s="19" t="s">
        <v>1159</v>
      </c>
      <c r="L4692" s="19">
        <v>2025</v>
      </c>
      <c r="M4692" s="20">
        <v>1</v>
      </c>
      <c r="N4692" s="19" t="s">
        <v>331</v>
      </c>
      <c r="O4692" s="20">
        <v>0</v>
      </c>
      <c r="P4692" s="20">
        <v>0</v>
      </c>
      <c r="Q4692" s="20">
        <v>0</v>
      </c>
      <c r="R4692" s="21">
        <v>1</v>
      </c>
      <c r="S4692" s="20">
        <v>0</v>
      </c>
    </row>
    <row r="4693" spans="2:19" ht="15" customHeight="1" x14ac:dyDescent="0.25">
      <c r="B4693" s="2" t="str">
        <f t="shared" si="146"/>
        <v>NSG_Income Eligible_Multi-Family_MF IHWAP_Unit Visit_0_MF</v>
      </c>
      <c r="C4693" s="2" t="str">
        <f t="shared" si="147"/>
        <v>NSG_Income Eligible_Multi-Family_MF IHWAP_Unit Visit_0_MF_2022</v>
      </c>
      <c r="D4693" s="19" t="s">
        <v>1787</v>
      </c>
      <c r="E4693" s="19" t="s">
        <v>325</v>
      </c>
      <c r="F4693" s="19" t="s">
        <v>1422</v>
      </c>
      <c r="G4693" s="19" t="s">
        <v>1441</v>
      </c>
      <c r="H4693" s="19" t="s">
        <v>1090</v>
      </c>
      <c r="I4693" s="19">
        <v>0</v>
      </c>
      <c r="J4693" s="19">
        <v>0</v>
      </c>
      <c r="K4693" s="19" t="s">
        <v>553</v>
      </c>
      <c r="L4693" s="19">
        <v>2022</v>
      </c>
      <c r="M4693" s="20">
        <v>1</v>
      </c>
      <c r="N4693" s="19">
        <v>0</v>
      </c>
      <c r="O4693" s="20">
        <v>60</v>
      </c>
      <c r="P4693" s="20">
        <v>60</v>
      </c>
      <c r="Q4693" s="20">
        <v>0</v>
      </c>
      <c r="R4693" s="21">
        <v>1</v>
      </c>
      <c r="S4693" s="20">
        <v>0</v>
      </c>
    </row>
    <row r="4694" spans="2:19" ht="15" customHeight="1" x14ac:dyDescent="0.25">
      <c r="B4694" s="2" t="str">
        <f t="shared" si="146"/>
        <v>NSG_Income Eligible_Multi-Family_MF IHWAP_Unit Visit_0_MF</v>
      </c>
      <c r="C4694" s="2" t="str">
        <f t="shared" si="147"/>
        <v>NSG_Income Eligible_Multi-Family_MF IHWAP_Unit Visit_0_MF_2023</v>
      </c>
      <c r="D4694" s="19" t="s">
        <v>1787</v>
      </c>
      <c r="E4694" s="19" t="s">
        <v>325</v>
      </c>
      <c r="F4694" s="19" t="s">
        <v>1422</v>
      </c>
      <c r="G4694" s="19" t="s">
        <v>1441</v>
      </c>
      <c r="H4694" s="19" t="s">
        <v>1090</v>
      </c>
      <c r="I4694" s="19">
        <v>0</v>
      </c>
      <c r="J4694" s="19">
        <v>0</v>
      </c>
      <c r="K4694" s="19" t="s">
        <v>553</v>
      </c>
      <c r="L4694" s="19">
        <v>2023</v>
      </c>
      <c r="M4694" s="20">
        <v>1</v>
      </c>
      <c r="N4694" s="19">
        <v>0</v>
      </c>
      <c r="O4694" s="20">
        <v>75</v>
      </c>
      <c r="P4694" s="20">
        <v>75</v>
      </c>
      <c r="Q4694" s="20">
        <v>0</v>
      </c>
      <c r="R4694" s="21">
        <v>1</v>
      </c>
      <c r="S4694" s="20">
        <v>0</v>
      </c>
    </row>
    <row r="4695" spans="2:19" ht="15" customHeight="1" x14ac:dyDescent="0.25">
      <c r="B4695" s="2" t="str">
        <f t="shared" si="146"/>
        <v>NSG_Income Eligible_Multi-Family_MF IHWAP_Unit Visit_0_MF</v>
      </c>
      <c r="C4695" s="2" t="str">
        <f t="shared" si="147"/>
        <v>NSG_Income Eligible_Multi-Family_MF IHWAP_Unit Visit_0_MF_2024</v>
      </c>
      <c r="D4695" s="19" t="s">
        <v>1787</v>
      </c>
      <c r="E4695" s="19" t="s">
        <v>325</v>
      </c>
      <c r="F4695" s="19" t="s">
        <v>1422</v>
      </c>
      <c r="G4695" s="19" t="s">
        <v>1441</v>
      </c>
      <c r="H4695" s="19" t="s">
        <v>1090</v>
      </c>
      <c r="I4695" s="19">
        <v>0</v>
      </c>
      <c r="J4695" s="19">
        <v>0</v>
      </c>
      <c r="K4695" s="19" t="s">
        <v>553</v>
      </c>
      <c r="L4695" s="19">
        <v>2024</v>
      </c>
      <c r="M4695" s="20">
        <v>1</v>
      </c>
      <c r="N4695" s="19">
        <v>0</v>
      </c>
      <c r="O4695" s="20">
        <v>135</v>
      </c>
      <c r="P4695" s="20">
        <v>135</v>
      </c>
      <c r="Q4695" s="20">
        <v>0</v>
      </c>
      <c r="R4695" s="21">
        <v>1</v>
      </c>
      <c r="S4695" s="20">
        <v>0</v>
      </c>
    </row>
    <row r="4696" spans="2:19" ht="15" customHeight="1" x14ac:dyDescent="0.25">
      <c r="B4696" s="2" t="str">
        <f t="shared" si="146"/>
        <v>NSG_Income Eligible_Multi-Family_MF IHWAP_Unit Visit_0_MF</v>
      </c>
      <c r="C4696" s="2" t="str">
        <f t="shared" si="147"/>
        <v>NSG_Income Eligible_Multi-Family_MF IHWAP_Unit Visit_0_MF_2025</v>
      </c>
      <c r="D4696" s="19" t="s">
        <v>1787</v>
      </c>
      <c r="E4696" s="19" t="s">
        <v>325</v>
      </c>
      <c r="F4696" s="19" t="s">
        <v>1422</v>
      </c>
      <c r="G4696" s="19" t="s">
        <v>1441</v>
      </c>
      <c r="H4696" s="19" t="s">
        <v>1090</v>
      </c>
      <c r="I4696" s="19">
        <v>0</v>
      </c>
      <c r="J4696" s="19">
        <v>0</v>
      </c>
      <c r="K4696" s="19" t="s">
        <v>553</v>
      </c>
      <c r="L4696" s="19">
        <v>2025</v>
      </c>
      <c r="M4696" s="20">
        <v>1</v>
      </c>
      <c r="N4696" s="19">
        <v>0</v>
      </c>
      <c r="O4696" s="20">
        <v>150</v>
      </c>
      <c r="P4696" s="20">
        <v>150</v>
      </c>
      <c r="Q4696" s="20">
        <v>0</v>
      </c>
      <c r="R4696" s="21">
        <v>1</v>
      </c>
      <c r="S4696" s="20">
        <v>0</v>
      </c>
    </row>
    <row r="4697" spans="2:19" ht="15" customHeight="1" x14ac:dyDescent="0.25">
      <c r="B4697" s="2" t="str">
        <f t="shared" si="146"/>
        <v>NSG_Income Eligible_Multi-Family_MF IHWAP_Low Flow Bathroom Aerator_0_MF</v>
      </c>
      <c r="C4697" s="2" t="str">
        <f t="shared" si="147"/>
        <v>NSG_Income Eligible_Multi-Family_MF IHWAP_Low Flow Bathroom Aerator_0_MF_2022</v>
      </c>
      <c r="D4697" s="19" t="s">
        <v>1787</v>
      </c>
      <c r="E4697" s="19" t="s">
        <v>325</v>
      </c>
      <c r="F4697" s="19" t="s">
        <v>1422</v>
      </c>
      <c r="G4697" s="19" t="s">
        <v>1441</v>
      </c>
      <c r="H4697" s="19" t="s">
        <v>555</v>
      </c>
      <c r="I4697" s="19">
        <v>0</v>
      </c>
      <c r="J4697" s="19" t="s">
        <v>534</v>
      </c>
      <c r="K4697" s="19" t="s">
        <v>553</v>
      </c>
      <c r="L4697" s="19">
        <v>2022</v>
      </c>
      <c r="M4697" s="20">
        <v>1</v>
      </c>
      <c r="N4697" s="19" t="s">
        <v>1798</v>
      </c>
      <c r="O4697" s="20">
        <v>36</v>
      </c>
      <c r="P4697" s="20">
        <v>36</v>
      </c>
      <c r="Q4697" s="20">
        <v>56.50243493731201</v>
      </c>
      <c r="R4697" s="21">
        <v>1</v>
      </c>
      <c r="S4697" s="20">
        <v>56.50243493731201</v>
      </c>
    </row>
    <row r="4698" spans="2:19" ht="15" customHeight="1" x14ac:dyDescent="0.25">
      <c r="B4698" s="2" t="str">
        <f t="shared" si="146"/>
        <v>NSG_Income Eligible_Multi-Family_MF IHWAP_Low Flow Bathroom Aerator_0_MF</v>
      </c>
      <c r="C4698" s="2" t="str">
        <f t="shared" si="147"/>
        <v>NSG_Income Eligible_Multi-Family_MF IHWAP_Low Flow Bathroom Aerator_0_MF_2023</v>
      </c>
      <c r="D4698" s="19" t="s">
        <v>1787</v>
      </c>
      <c r="E4698" s="19" t="s">
        <v>325</v>
      </c>
      <c r="F4698" s="19" t="s">
        <v>1422</v>
      </c>
      <c r="G4698" s="19" t="s">
        <v>1441</v>
      </c>
      <c r="H4698" s="19" t="s">
        <v>555</v>
      </c>
      <c r="I4698" s="19">
        <v>0</v>
      </c>
      <c r="J4698" s="19" t="s">
        <v>534</v>
      </c>
      <c r="K4698" s="19" t="s">
        <v>553</v>
      </c>
      <c r="L4698" s="19">
        <v>2023</v>
      </c>
      <c r="M4698" s="20">
        <v>1</v>
      </c>
      <c r="N4698" s="19" t="s">
        <v>1798</v>
      </c>
      <c r="O4698" s="20">
        <v>45</v>
      </c>
      <c r="P4698" s="20">
        <v>45</v>
      </c>
      <c r="Q4698" s="20">
        <v>70.628043671640015</v>
      </c>
      <c r="R4698" s="21">
        <v>1</v>
      </c>
      <c r="S4698" s="20">
        <v>70.628043671640015</v>
      </c>
    </row>
    <row r="4699" spans="2:19" ht="15" customHeight="1" x14ac:dyDescent="0.25">
      <c r="B4699" s="2" t="str">
        <f t="shared" si="146"/>
        <v>NSG_Income Eligible_Multi-Family_MF IHWAP_Low Flow Bathroom Aerator_0_MF</v>
      </c>
      <c r="C4699" s="2" t="str">
        <f t="shared" si="147"/>
        <v>NSG_Income Eligible_Multi-Family_MF IHWAP_Low Flow Bathroom Aerator_0_MF_2024</v>
      </c>
      <c r="D4699" s="19" t="s">
        <v>1787</v>
      </c>
      <c r="E4699" s="19" t="s">
        <v>325</v>
      </c>
      <c r="F4699" s="19" t="s">
        <v>1422</v>
      </c>
      <c r="G4699" s="19" t="s">
        <v>1441</v>
      </c>
      <c r="H4699" s="19" t="s">
        <v>555</v>
      </c>
      <c r="I4699" s="19">
        <v>0</v>
      </c>
      <c r="J4699" s="19" t="s">
        <v>534</v>
      </c>
      <c r="K4699" s="19" t="s">
        <v>553</v>
      </c>
      <c r="L4699" s="19">
        <v>2024</v>
      </c>
      <c r="M4699" s="20">
        <v>1</v>
      </c>
      <c r="N4699" s="19" t="s">
        <v>1798</v>
      </c>
      <c r="O4699" s="20">
        <v>81</v>
      </c>
      <c r="P4699" s="20">
        <v>81</v>
      </c>
      <c r="Q4699" s="20">
        <v>127.13047860895202</v>
      </c>
      <c r="R4699" s="21">
        <v>1</v>
      </c>
      <c r="S4699" s="20">
        <v>127.13047860895202</v>
      </c>
    </row>
    <row r="4700" spans="2:19" ht="15" customHeight="1" x14ac:dyDescent="0.25">
      <c r="B4700" s="2" t="str">
        <f t="shared" si="146"/>
        <v>NSG_Income Eligible_Multi-Family_MF IHWAP_Low Flow Bathroom Aerator_0_MF</v>
      </c>
      <c r="C4700" s="2" t="str">
        <f t="shared" si="147"/>
        <v>NSG_Income Eligible_Multi-Family_MF IHWAP_Low Flow Bathroom Aerator_0_MF_2025</v>
      </c>
      <c r="D4700" s="19" t="s">
        <v>1787</v>
      </c>
      <c r="E4700" s="19" t="s">
        <v>325</v>
      </c>
      <c r="F4700" s="19" t="s">
        <v>1422</v>
      </c>
      <c r="G4700" s="19" t="s">
        <v>1441</v>
      </c>
      <c r="H4700" s="19" t="s">
        <v>555</v>
      </c>
      <c r="I4700" s="19">
        <v>0</v>
      </c>
      <c r="J4700" s="19" t="s">
        <v>534</v>
      </c>
      <c r="K4700" s="19" t="s">
        <v>553</v>
      </c>
      <c r="L4700" s="19">
        <v>2025</v>
      </c>
      <c r="M4700" s="20">
        <v>1</v>
      </c>
      <c r="N4700" s="19" t="s">
        <v>1798</v>
      </c>
      <c r="O4700" s="20">
        <v>90</v>
      </c>
      <c r="P4700" s="20">
        <v>90</v>
      </c>
      <c r="Q4700" s="20">
        <v>141.25608734328003</v>
      </c>
      <c r="R4700" s="21">
        <v>1</v>
      </c>
      <c r="S4700" s="20">
        <v>141.25608734328003</v>
      </c>
    </row>
    <row r="4701" spans="2:19" ht="15" customHeight="1" x14ac:dyDescent="0.25">
      <c r="B4701" s="2" t="str">
        <f t="shared" si="146"/>
        <v>NSG_Income Eligible_Multi-Family_MF IHWAP_Low Flow Kitchen Aerator_0_MF</v>
      </c>
      <c r="C4701" s="2" t="str">
        <f t="shared" si="147"/>
        <v>NSG_Income Eligible_Multi-Family_MF IHWAP_Low Flow Kitchen Aerator_0_MF_2022</v>
      </c>
      <c r="D4701" s="19" t="s">
        <v>1787</v>
      </c>
      <c r="E4701" s="19" t="s">
        <v>325</v>
      </c>
      <c r="F4701" s="19" t="s">
        <v>1422</v>
      </c>
      <c r="G4701" s="19" t="s">
        <v>1441</v>
      </c>
      <c r="H4701" s="19" t="s">
        <v>533</v>
      </c>
      <c r="I4701" s="19">
        <v>0</v>
      </c>
      <c r="J4701" s="19" t="s">
        <v>534</v>
      </c>
      <c r="K4701" s="19" t="s">
        <v>553</v>
      </c>
      <c r="L4701" s="19">
        <v>2022</v>
      </c>
      <c r="M4701" s="20">
        <v>1</v>
      </c>
      <c r="N4701" s="19" t="s">
        <v>1798</v>
      </c>
      <c r="O4701" s="20">
        <v>36</v>
      </c>
      <c r="P4701" s="20">
        <v>36</v>
      </c>
      <c r="Q4701" s="20">
        <v>283.00628495233224</v>
      </c>
      <c r="R4701" s="21">
        <v>1</v>
      </c>
      <c r="S4701" s="20">
        <v>283.00628495233224</v>
      </c>
    </row>
    <row r="4702" spans="2:19" ht="15" customHeight="1" x14ac:dyDescent="0.25">
      <c r="B4702" s="2" t="str">
        <f t="shared" si="146"/>
        <v>NSG_Income Eligible_Multi-Family_MF IHWAP_Low Flow Kitchen Aerator_0_MF</v>
      </c>
      <c r="C4702" s="2" t="str">
        <f t="shared" si="147"/>
        <v>NSG_Income Eligible_Multi-Family_MF IHWAP_Low Flow Kitchen Aerator_0_MF_2023</v>
      </c>
      <c r="D4702" s="19" t="s">
        <v>1787</v>
      </c>
      <c r="E4702" s="19" t="s">
        <v>325</v>
      </c>
      <c r="F4702" s="19" t="s">
        <v>1422</v>
      </c>
      <c r="G4702" s="19" t="s">
        <v>1441</v>
      </c>
      <c r="H4702" s="19" t="s">
        <v>533</v>
      </c>
      <c r="I4702" s="19">
        <v>0</v>
      </c>
      <c r="J4702" s="19" t="s">
        <v>534</v>
      </c>
      <c r="K4702" s="19" t="s">
        <v>553</v>
      </c>
      <c r="L4702" s="19">
        <v>2023</v>
      </c>
      <c r="M4702" s="20">
        <v>1</v>
      </c>
      <c r="N4702" s="19" t="s">
        <v>1798</v>
      </c>
      <c r="O4702" s="20">
        <v>45</v>
      </c>
      <c r="P4702" s="20">
        <v>45</v>
      </c>
      <c r="Q4702" s="20">
        <v>353.75785619041534</v>
      </c>
      <c r="R4702" s="21">
        <v>1</v>
      </c>
      <c r="S4702" s="20">
        <v>353.75785619041534</v>
      </c>
    </row>
    <row r="4703" spans="2:19" ht="15" customHeight="1" x14ac:dyDescent="0.25">
      <c r="B4703" s="2" t="str">
        <f t="shared" si="146"/>
        <v>NSG_Income Eligible_Multi-Family_MF IHWAP_Low Flow Kitchen Aerator_0_MF</v>
      </c>
      <c r="C4703" s="2" t="str">
        <f t="shared" si="147"/>
        <v>NSG_Income Eligible_Multi-Family_MF IHWAP_Low Flow Kitchen Aerator_0_MF_2024</v>
      </c>
      <c r="D4703" s="19" t="s">
        <v>1787</v>
      </c>
      <c r="E4703" s="19" t="s">
        <v>325</v>
      </c>
      <c r="F4703" s="19" t="s">
        <v>1422</v>
      </c>
      <c r="G4703" s="19" t="s">
        <v>1441</v>
      </c>
      <c r="H4703" s="19" t="s">
        <v>533</v>
      </c>
      <c r="I4703" s="19">
        <v>0</v>
      </c>
      <c r="J4703" s="19" t="s">
        <v>534</v>
      </c>
      <c r="K4703" s="19" t="s">
        <v>553</v>
      </c>
      <c r="L4703" s="19">
        <v>2024</v>
      </c>
      <c r="M4703" s="20">
        <v>1</v>
      </c>
      <c r="N4703" s="19" t="s">
        <v>1798</v>
      </c>
      <c r="O4703" s="20">
        <v>81</v>
      </c>
      <c r="P4703" s="20">
        <v>81</v>
      </c>
      <c r="Q4703" s="20">
        <v>636.76414114274758</v>
      </c>
      <c r="R4703" s="21">
        <v>1</v>
      </c>
      <c r="S4703" s="20">
        <v>636.76414114274758</v>
      </c>
    </row>
    <row r="4704" spans="2:19" ht="15" customHeight="1" x14ac:dyDescent="0.25">
      <c r="B4704" s="2" t="str">
        <f t="shared" si="146"/>
        <v>NSG_Income Eligible_Multi-Family_MF IHWAP_Low Flow Kitchen Aerator_0_MF</v>
      </c>
      <c r="C4704" s="2" t="str">
        <f t="shared" si="147"/>
        <v>NSG_Income Eligible_Multi-Family_MF IHWAP_Low Flow Kitchen Aerator_0_MF_2025</v>
      </c>
      <c r="D4704" s="19" t="s">
        <v>1787</v>
      </c>
      <c r="E4704" s="19" t="s">
        <v>325</v>
      </c>
      <c r="F4704" s="19" t="s">
        <v>1422</v>
      </c>
      <c r="G4704" s="19" t="s">
        <v>1441</v>
      </c>
      <c r="H4704" s="19" t="s">
        <v>533</v>
      </c>
      <c r="I4704" s="19">
        <v>0</v>
      </c>
      <c r="J4704" s="19" t="s">
        <v>534</v>
      </c>
      <c r="K4704" s="19" t="s">
        <v>553</v>
      </c>
      <c r="L4704" s="19">
        <v>2025</v>
      </c>
      <c r="M4704" s="20">
        <v>1</v>
      </c>
      <c r="N4704" s="19" t="s">
        <v>1798</v>
      </c>
      <c r="O4704" s="20">
        <v>90</v>
      </c>
      <c r="P4704" s="20">
        <v>90</v>
      </c>
      <c r="Q4704" s="20">
        <v>707.51571238083068</v>
      </c>
      <c r="R4704" s="21">
        <v>1</v>
      </c>
      <c r="S4704" s="20">
        <v>707.51571238083068</v>
      </c>
    </row>
    <row r="4705" spans="2:19" ht="15" customHeight="1" x14ac:dyDescent="0.25">
      <c r="B4705" s="2" t="str">
        <f t="shared" si="146"/>
        <v>NSG_Income Eligible_Multi-Family_MF IHWAP_Low Flow Showerhead_0_MF</v>
      </c>
      <c r="C4705" s="2" t="str">
        <f t="shared" si="147"/>
        <v>NSG_Income Eligible_Multi-Family_MF IHWAP_Low Flow Showerhead_0_MF_2022</v>
      </c>
      <c r="D4705" s="19" t="s">
        <v>1787</v>
      </c>
      <c r="E4705" s="19" t="s">
        <v>325</v>
      </c>
      <c r="F4705" s="19" t="s">
        <v>1422</v>
      </c>
      <c r="G4705" s="19" t="s">
        <v>1441</v>
      </c>
      <c r="H4705" s="19" t="s">
        <v>15</v>
      </c>
      <c r="I4705" s="19">
        <v>0</v>
      </c>
      <c r="J4705" s="19" t="s">
        <v>23</v>
      </c>
      <c r="K4705" s="19" t="s">
        <v>553</v>
      </c>
      <c r="L4705" s="19">
        <v>2022</v>
      </c>
      <c r="M4705" s="20">
        <v>1</v>
      </c>
      <c r="N4705" s="19" t="s">
        <v>1798</v>
      </c>
      <c r="O4705" s="20">
        <v>36</v>
      </c>
      <c r="P4705" s="20">
        <v>36</v>
      </c>
      <c r="Q4705" s="20">
        <v>407.48618300291997</v>
      </c>
      <c r="R4705" s="21">
        <v>1</v>
      </c>
      <c r="S4705" s="20">
        <v>407.48618300291997</v>
      </c>
    </row>
    <row r="4706" spans="2:19" ht="15" customHeight="1" x14ac:dyDescent="0.25">
      <c r="B4706" s="2" t="str">
        <f t="shared" si="146"/>
        <v>NSG_Income Eligible_Multi-Family_MF IHWAP_Low Flow Showerhead_0_MF</v>
      </c>
      <c r="C4706" s="2" t="str">
        <f t="shared" si="147"/>
        <v>NSG_Income Eligible_Multi-Family_MF IHWAP_Low Flow Showerhead_0_MF_2023</v>
      </c>
      <c r="D4706" s="19" t="s">
        <v>1787</v>
      </c>
      <c r="E4706" s="19" t="s">
        <v>325</v>
      </c>
      <c r="F4706" s="19" t="s">
        <v>1422</v>
      </c>
      <c r="G4706" s="19" t="s">
        <v>1441</v>
      </c>
      <c r="H4706" s="19" t="s">
        <v>15</v>
      </c>
      <c r="I4706" s="19">
        <v>0</v>
      </c>
      <c r="J4706" s="19" t="s">
        <v>23</v>
      </c>
      <c r="K4706" s="19" t="s">
        <v>553</v>
      </c>
      <c r="L4706" s="19">
        <v>2023</v>
      </c>
      <c r="M4706" s="20">
        <v>1</v>
      </c>
      <c r="N4706" s="19" t="s">
        <v>1798</v>
      </c>
      <c r="O4706" s="20">
        <v>45</v>
      </c>
      <c r="P4706" s="20">
        <v>45</v>
      </c>
      <c r="Q4706" s="20">
        <v>509.35772875364995</v>
      </c>
      <c r="R4706" s="21">
        <v>1</v>
      </c>
      <c r="S4706" s="20">
        <v>509.35772875364995</v>
      </c>
    </row>
    <row r="4707" spans="2:19" ht="15" customHeight="1" x14ac:dyDescent="0.25">
      <c r="B4707" s="2" t="str">
        <f t="shared" si="146"/>
        <v>NSG_Income Eligible_Multi-Family_MF IHWAP_Low Flow Showerhead_0_MF</v>
      </c>
      <c r="C4707" s="2" t="str">
        <f t="shared" si="147"/>
        <v>NSG_Income Eligible_Multi-Family_MF IHWAP_Low Flow Showerhead_0_MF_2024</v>
      </c>
      <c r="D4707" s="19" t="s">
        <v>1787</v>
      </c>
      <c r="E4707" s="19" t="s">
        <v>325</v>
      </c>
      <c r="F4707" s="19" t="s">
        <v>1422</v>
      </c>
      <c r="G4707" s="19" t="s">
        <v>1441</v>
      </c>
      <c r="H4707" s="19" t="s">
        <v>15</v>
      </c>
      <c r="I4707" s="19">
        <v>0</v>
      </c>
      <c r="J4707" s="19" t="s">
        <v>23</v>
      </c>
      <c r="K4707" s="19" t="s">
        <v>553</v>
      </c>
      <c r="L4707" s="19">
        <v>2024</v>
      </c>
      <c r="M4707" s="20">
        <v>1</v>
      </c>
      <c r="N4707" s="19" t="s">
        <v>1798</v>
      </c>
      <c r="O4707" s="20">
        <v>81</v>
      </c>
      <c r="P4707" s="20">
        <v>81</v>
      </c>
      <c r="Q4707" s="20">
        <v>916.84391175656992</v>
      </c>
      <c r="R4707" s="21">
        <v>1</v>
      </c>
      <c r="S4707" s="20">
        <v>916.84391175656992</v>
      </c>
    </row>
    <row r="4708" spans="2:19" ht="15" customHeight="1" x14ac:dyDescent="0.25">
      <c r="B4708" s="2" t="str">
        <f t="shared" si="146"/>
        <v>NSG_Income Eligible_Multi-Family_MF IHWAP_Low Flow Showerhead_0_MF</v>
      </c>
      <c r="C4708" s="2" t="str">
        <f t="shared" si="147"/>
        <v>NSG_Income Eligible_Multi-Family_MF IHWAP_Low Flow Showerhead_0_MF_2025</v>
      </c>
      <c r="D4708" s="19" t="s">
        <v>1787</v>
      </c>
      <c r="E4708" s="19" t="s">
        <v>325</v>
      </c>
      <c r="F4708" s="19" t="s">
        <v>1422</v>
      </c>
      <c r="G4708" s="19" t="s">
        <v>1441</v>
      </c>
      <c r="H4708" s="19" t="s">
        <v>15</v>
      </c>
      <c r="I4708" s="19">
        <v>0</v>
      </c>
      <c r="J4708" s="19" t="s">
        <v>23</v>
      </c>
      <c r="K4708" s="19" t="s">
        <v>553</v>
      </c>
      <c r="L4708" s="19">
        <v>2025</v>
      </c>
      <c r="M4708" s="20">
        <v>1</v>
      </c>
      <c r="N4708" s="19" t="s">
        <v>1798</v>
      </c>
      <c r="O4708" s="20">
        <v>90</v>
      </c>
      <c r="P4708" s="20">
        <v>90</v>
      </c>
      <c r="Q4708" s="20">
        <v>1018.7154575072999</v>
      </c>
      <c r="R4708" s="21">
        <v>1</v>
      </c>
      <c r="S4708" s="20">
        <v>1018.7154575072999</v>
      </c>
    </row>
    <row r="4709" spans="2:19" ht="15" customHeight="1" x14ac:dyDescent="0.25">
      <c r="B4709" s="2" t="str">
        <f t="shared" si="146"/>
        <v>NSG_Income Eligible_Multi-Family_MF IHWAP_Advanced Thermostat_Furnace (Replace Manual)_MF</v>
      </c>
      <c r="C4709" s="2" t="str">
        <f t="shared" si="147"/>
        <v>NSG_Income Eligible_Multi-Family_MF IHWAP_Advanced Thermostat_Furnace (Replace Manual)_MF_2022</v>
      </c>
      <c r="D4709" s="19" t="s">
        <v>1787</v>
      </c>
      <c r="E4709" s="19" t="s">
        <v>325</v>
      </c>
      <c r="F4709" s="19" t="s">
        <v>1422</v>
      </c>
      <c r="G4709" s="19" t="s">
        <v>1441</v>
      </c>
      <c r="H4709" s="19" t="s">
        <v>7</v>
      </c>
      <c r="I4709" s="19" t="s">
        <v>1047</v>
      </c>
      <c r="J4709" s="19" t="s">
        <v>24</v>
      </c>
      <c r="K4709" s="19" t="s">
        <v>553</v>
      </c>
      <c r="L4709" s="19">
        <v>2022</v>
      </c>
      <c r="M4709" s="20">
        <v>1</v>
      </c>
      <c r="N4709" s="19" t="s">
        <v>1798</v>
      </c>
      <c r="O4709" s="20">
        <v>9</v>
      </c>
      <c r="P4709" s="20">
        <v>9</v>
      </c>
      <c r="Q4709" s="20">
        <v>611.44200000000001</v>
      </c>
      <c r="R4709" s="21">
        <v>1</v>
      </c>
      <c r="S4709" s="20">
        <v>611.44200000000001</v>
      </c>
    </row>
    <row r="4710" spans="2:19" ht="15" customHeight="1" x14ac:dyDescent="0.25">
      <c r="B4710" s="2" t="str">
        <f t="shared" si="146"/>
        <v>NSG_Income Eligible_Multi-Family_MF IHWAP_Advanced Thermostat_Furnace (Replace Manual)_MF</v>
      </c>
      <c r="C4710" s="2" t="str">
        <f t="shared" si="147"/>
        <v>NSG_Income Eligible_Multi-Family_MF IHWAP_Advanced Thermostat_Furnace (Replace Manual)_MF_2023</v>
      </c>
      <c r="D4710" s="19" t="s">
        <v>1787</v>
      </c>
      <c r="E4710" s="19" t="s">
        <v>325</v>
      </c>
      <c r="F4710" s="19" t="s">
        <v>1422</v>
      </c>
      <c r="G4710" s="19" t="s">
        <v>1441</v>
      </c>
      <c r="H4710" s="19" t="s">
        <v>7</v>
      </c>
      <c r="I4710" s="19" t="s">
        <v>1047</v>
      </c>
      <c r="J4710" s="19" t="s">
        <v>24</v>
      </c>
      <c r="K4710" s="19" t="s">
        <v>553</v>
      </c>
      <c r="L4710" s="19">
        <v>2023</v>
      </c>
      <c r="M4710" s="20">
        <v>1</v>
      </c>
      <c r="N4710" s="19" t="s">
        <v>1798</v>
      </c>
      <c r="O4710" s="20">
        <v>11</v>
      </c>
      <c r="P4710" s="20">
        <v>11</v>
      </c>
      <c r="Q4710" s="20">
        <v>747.31799999999998</v>
      </c>
      <c r="R4710" s="21">
        <v>1</v>
      </c>
      <c r="S4710" s="20">
        <v>747.31799999999998</v>
      </c>
    </row>
    <row r="4711" spans="2:19" ht="15" customHeight="1" x14ac:dyDescent="0.25">
      <c r="B4711" s="2" t="str">
        <f t="shared" si="146"/>
        <v>NSG_Income Eligible_Multi-Family_MF IHWAP_Advanced Thermostat_Furnace (Replace Manual)_MF</v>
      </c>
      <c r="C4711" s="2" t="str">
        <f t="shared" si="147"/>
        <v>NSG_Income Eligible_Multi-Family_MF IHWAP_Advanced Thermostat_Furnace (Replace Manual)_MF_2024</v>
      </c>
      <c r="D4711" s="19" t="s">
        <v>1787</v>
      </c>
      <c r="E4711" s="19" t="s">
        <v>325</v>
      </c>
      <c r="F4711" s="19" t="s">
        <v>1422</v>
      </c>
      <c r="G4711" s="19" t="s">
        <v>1441</v>
      </c>
      <c r="H4711" s="19" t="s">
        <v>7</v>
      </c>
      <c r="I4711" s="19" t="s">
        <v>1047</v>
      </c>
      <c r="J4711" s="19" t="s">
        <v>24</v>
      </c>
      <c r="K4711" s="19" t="s">
        <v>553</v>
      </c>
      <c r="L4711" s="19">
        <v>2024</v>
      </c>
      <c r="M4711" s="20">
        <v>1</v>
      </c>
      <c r="N4711" s="19" t="s">
        <v>1798</v>
      </c>
      <c r="O4711" s="20">
        <v>20</v>
      </c>
      <c r="P4711" s="20">
        <v>20</v>
      </c>
      <c r="Q4711" s="20">
        <v>1358.76</v>
      </c>
      <c r="R4711" s="21">
        <v>1</v>
      </c>
      <c r="S4711" s="20">
        <v>1358.76</v>
      </c>
    </row>
    <row r="4712" spans="2:19" ht="15" customHeight="1" x14ac:dyDescent="0.25">
      <c r="B4712" s="2" t="str">
        <f t="shared" si="146"/>
        <v>NSG_Income Eligible_Multi-Family_MF IHWAP_Advanced Thermostat_Furnace (Replace Manual)_MF</v>
      </c>
      <c r="C4712" s="2" t="str">
        <f t="shared" si="147"/>
        <v>NSG_Income Eligible_Multi-Family_MF IHWAP_Advanced Thermostat_Furnace (Replace Manual)_MF_2025</v>
      </c>
      <c r="D4712" s="19" t="s">
        <v>1787</v>
      </c>
      <c r="E4712" s="19" t="s">
        <v>325</v>
      </c>
      <c r="F4712" s="19" t="s">
        <v>1422</v>
      </c>
      <c r="G4712" s="19" t="s">
        <v>1441</v>
      </c>
      <c r="H4712" s="19" t="s">
        <v>7</v>
      </c>
      <c r="I4712" s="19" t="s">
        <v>1047</v>
      </c>
      <c r="J4712" s="19" t="s">
        <v>24</v>
      </c>
      <c r="K4712" s="19" t="s">
        <v>553</v>
      </c>
      <c r="L4712" s="19">
        <v>2025</v>
      </c>
      <c r="M4712" s="20">
        <v>1</v>
      </c>
      <c r="N4712" s="19" t="s">
        <v>1798</v>
      </c>
      <c r="O4712" s="20">
        <v>23</v>
      </c>
      <c r="P4712" s="20">
        <v>23</v>
      </c>
      <c r="Q4712" s="20">
        <v>1562.5740000000001</v>
      </c>
      <c r="R4712" s="21">
        <v>1</v>
      </c>
      <c r="S4712" s="20">
        <v>1562.5740000000001</v>
      </c>
    </row>
    <row r="4713" spans="2:19" ht="15" customHeight="1" x14ac:dyDescent="0.25">
      <c r="B4713" s="2" t="str">
        <f t="shared" si="146"/>
        <v>NSG_Income Eligible_Multi-Family_MF IHWAP_Advanced Thermostat_Boiler (Replace Manual)_MF</v>
      </c>
      <c r="C4713" s="2" t="str">
        <f t="shared" si="147"/>
        <v>NSG_Income Eligible_Multi-Family_MF IHWAP_Advanced Thermostat_Boiler (Replace Manual)_MF_2022</v>
      </c>
      <c r="D4713" s="19" t="s">
        <v>1787</v>
      </c>
      <c r="E4713" s="19" t="s">
        <v>325</v>
      </c>
      <c r="F4713" s="19" t="s">
        <v>1422</v>
      </c>
      <c r="G4713" s="19" t="s">
        <v>1441</v>
      </c>
      <c r="H4713" s="19" t="s">
        <v>7</v>
      </c>
      <c r="I4713" s="19" t="s">
        <v>1051</v>
      </c>
      <c r="J4713" s="19" t="s">
        <v>24</v>
      </c>
      <c r="K4713" s="19" t="s">
        <v>553</v>
      </c>
      <c r="L4713" s="19">
        <v>2022</v>
      </c>
      <c r="M4713" s="20">
        <v>1</v>
      </c>
      <c r="N4713" s="19" t="s">
        <v>1798</v>
      </c>
      <c r="O4713" s="20">
        <v>6</v>
      </c>
      <c r="P4713" s="20">
        <v>6</v>
      </c>
      <c r="Q4713" s="20">
        <v>602.31600000000003</v>
      </c>
      <c r="R4713" s="21">
        <v>1</v>
      </c>
      <c r="S4713" s="20">
        <v>602.31600000000003</v>
      </c>
    </row>
    <row r="4714" spans="2:19" ht="15" customHeight="1" x14ac:dyDescent="0.25">
      <c r="B4714" s="2" t="str">
        <f t="shared" si="146"/>
        <v>NSG_Income Eligible_Multi-Family_MF IHWAP_Advanced Thermostat_Boiler (Replace Manual)_MF</v>
      </c>
      <c r="C4714" s="2" t="str">
        <f t="shared" si="147"/>
        <v>NSG_Income Eligible_Multi-Family_MF IHWAP_Advanced Thermostat_Boiler (Replace Manual)_MF_2023</v>
      </c>
      <c r="D4714" s="19" t="s">
        <v>1787</v>
      </c>
      <c r="E4714" s="19" t="s">
        <v>325</v>
      </c>
      <c r="F4714" s="19" t="s">
        <v>1422</v>
      </c>
      <c r="G4714" s="19" t="s">
        <v>1441</v>
      </c>
      <c r="H4714" s="19" t="s">
        <v>7</v>
      </c>
      <c r="I4714" s="19" t="s">
        <v>1051</v>
      </c>
      <c r="J4714" s="19" t="s">
        <v>24</v>
      </c>
      <c r="K4714" s="19" t="s">
        <v>553</v>
      </c>
      <c r="L4714" s="19">
        <v>2023</v>
      </c>
      <c r="M4714" s="20">
        <v>1</v>
      </c>
      <c r="N4714" s="19" t="s">
        <v>1798</v>
      </c>
      <c r="O4714" s="20">
        <v>8</v>
      </c>
      <c r="P4714" s="20">
        <v>8</v>
      </c>
      <c r="Q4714" s="20">
        <v>803.08799999999997</v>
      </c>
      <c r="R4714" s="21">
        <v>1</v>
      </c>
      <c r="S4714" s="20">
        <v>803.08799999999997</v>
      </c>
    </row>
    <row r="4715" spans="2:19" ht="15" customHeight="1" x14ac:dyDescent="0.25">
      <c r="B4715" s="2" t="str">
        <f t="shared" si="146"/>
        <v>NSG_Income Eligible_Multi-Family_MF IHWAP_Advanced Thermostat_Boiler (Replace Manual)_MF</v>
      </c>
      <c r="C4715" s="2" t="str">
        <f t="shared" si="147"/>
        <v>NSG_Income Eligible_Multi-Family_MF IHWAP_Advanced Thermostat_Boiler (Replace Manual)_MF_2024</v>
      </c>
      <c r="D4715" s="19" t="s">
        <v>1787</v>
      </c>
      <c r="E4715" s="19" t="s">
        <v>325</v>
      </c>
      <c r="F4715" s="19" t="s">
        <v>1422</v>
      </c>
      <c r="G4715" s="19" t="s">
        <v>1441</v>
      </c>
      <c r="H4715" s="19" t="s">
        <v>7</v>
      </c>
      <c r="I4715" s="19" t="s">
        <v>1051</v>
      </c>
      <c r="J4715" s="19" t="s">
        <v>24</v>
      </c>
      <c r="K4715" s="19" t="s">
        <v>553</v>
      </c>
      <c r="L4715" s="19">
        <v>2024</v>
      </c>
      <c r="M4715" s="20">
        <v>1</v>
      </c>
      <c r="N4715" s="19" t="s">
        <v>1798</v>
      </c>
      <c r="O4715" s="20">
        <v>14</v>
      </c>
      <c r="P4715" s="20">
        <v>14</v>
      </c>
      <c r="Q4715" s="20">
        <v>1405.404</v>
      </c>
      <c r="R4715" s="21">
        <v>1</v>
      </c>
      <c r="S4715" s="20">
        <v>1405.404</v>
      </c>
    </row>
    <row r="4716" spans="2:19" ht="15" customHeight="1" x14ac:dyDescent="0.25">
      <c r="B4716" s="2" t="str">
        <f t="shared" si="146"/>
        <v>NSG_Income Eligible_Multi-Family_MF IHWAP_Advanced Thermostat_Boiler (Replace Manual)_MF</v>
      </c>
      <c r="C4716" s="2" t="str">
        <f t="shared" si="147"/>
        <v>NSG_Income Eligible_Multi-Family_MF IHWAP_Advanced Thermostat_Boiler (Replace Manual)_MF_2025</v>
      </c>
      <c r="D4716" s="19" t="s">
        <v>1787</v>
      </c>
      <c r="E4716" s="19" t="s">
        <v>325</v>
      </c>
      <c r="F4716" s="19" t="s">
        <v>1422</v>
      </c>
      <c r="G4716" s="19" t="s">
        <v>1441</v>
      </c>
      <c r="H4716" s="19" t="s">
        <v>7</v>
      </c>
      <c r="I4716" s="19" t="s">
        <v>1051</v>
      </c>
      <c r="J4716" s="19" t="s">
        <v>24</v>
      </c>
      <c r="K4716" s="19" t="s">
        <v>553</v>
      </c>
      <c r="L4716" s="19">
        <v>2025</v>
      </c>
      <c r="M4716" s="20">
        <v>1</v>
      </c>
      <c r="N4716" s="19" t="s">
        <v>1798</v>
      </c>
      <c r="O4716" s="20">
        <v>15</v>
      </c>
      <c r="P4716" s="20">
        <v>15</v>
      </c>
      <c r="Q4716" s="20">
        <v>1505.79</v>
      </c>
      <c r="R4716" s="21">
        <v>1</v>
      </c>
      <c r="S4716" s="20">
        <v>1505.79</v>
      </c>
    </row>
    <row r="4717" spans="2:19" ht="15" customHeight="1" x14ac:dyDescent="0.25">
      <c r="B4717" s="2" t="str">
        <f t="shared" si="146"/>
        <v>NSG_Income Eligible_Multi-Family_MF IHWAP_Advanced Thermostat_Furnace (Replace Programmable)_MF</v>
      </c>
      <c r="C4717" s="2" t="str">
        <f t="shared" si="147"/>
        <v>NSG_Income Eligible_Multi-Family_MF IHWAP_Advanced Thermostat_Furnace (Replace Programmable)_MF_2022</v>
      </c>
      <c r="D4717" s="19" t="s">
        <v>1787</v>
      </c>
      <c r="E4717" s="19" t="s">
        <v>325</v>
      </c>
      <c r="F4717" s="19" t="s">
        <v>1422</v>
      </c>
      <c r="G4717" s="19" t="s">
        <v>1441</v>
      </c>
      <c r="H4717" s="19" t="s">
        <v>7</v>
      </c>
      <c r="I4717" s="19" t="s">
        <v>1049</v>
      </c>
      <c r="J4717" s="19" t="s">
        <v>24</v>
      </c>
      <c r="K4717" s="19" t="s">
        <v>553</v>
      </c>
      <c r="L4717" s="19">
        <v>2022</v>
      </c>
      <c r="M4717" s="20">
        <v>1</v>
      </c>
      <c r="N4717" s="19" t="s">
        <v>1798</v>
      </c>
      <c r="O4717" s="20">
        <v>6</v>
      </c>
      <c r="P4717" s="20">
        <v>6</v>
      </c>
      <c r="Q4717" s="20">
        <v>286.12349999999998</v>
      </c>
      <c r="R4717" s="21">
        <v>1</v>
      </c>
      <c r="S4717" s="20">
        <v>286.12349999999998</v>
      </c>
    </row>
    <row r="4718" spans="2:19" ht="15" customHeight="1" x14ac:dyDescent="0.25">
      <c r="B4718" s="2" t="str">
        <f t="shared" si="146"/>
        <v>NSG_Income Eligible_Multi-Family_MF IHWAP_Advanced Thermostat_Furnace (Replace Programmable)_MF</v>
      </c>
      <c r="C4718" s="2" t="str">
        <f t="shared" si="147"/>
        <v>NSG_Income Eligible_Multi-Family_MF IHWAP_Advanced Thermostat_Furnace (Replace Programmable)_MF_2023</v>
      </c>
      <c r="D4718" s="19" t="s">
        <v>1787</v>
      </c>
      <c r="E4718" s="19" t="s">
        <v>325</v>
      </c>
      <c r="F4718" s="19" t="s">
        <v>1422</v>
      </c>
      <c r="G4718" s="19" t="s">
        <v>1441</v>
      </c>
      <c r="H4718" s="19" t="s">
        <v>7</v>
      </c>
      <c r="I4718" s="19" t="s">
        <v>1049</v>
      </c>
      <c r="J4718" s="19" t="s">
        <v>24</v>
      </c>
      <c r="K4718" s="19" t="s">
        <v>553</v>
      </c>
      <c r="L4718" s="19">
        <v>2023</v>
      </c>
      <c r="M4718" s="20">
        <v>1</v>
      </c>
      <c r="N4718" s="19" t="s">
        <v>1798</v>
      </c>
      <c r="O4718" s="20">
        <v>8</v>
      </c>
      <c r="P4718" s="20">
        <v>8</v>
      </c>
      <c r="Q4718" s="20">
        <v>381.49799999999999</v>
      </c>
      <c r="R4718" s="21">
        <v>1</v>
      </c>
      <c r="S4718" s="20">
        <v>381.49799999999999</v>
      </c>
    </row>
    <row r="4719" spans="2:19" ht="15" customHeight="1" x14ac:dyDescent="0.25">
      <c r="B4719" s="2" t="str">
        <f t="shared" si="146"/>
        <v>NSG_Income Eligible_Multi-Family_MF IHWAP_Advanced Thermostat_Furnace (Replace Programmable)_MF</v>
      </c>
      <c r="C4719" s="2" t="str">
        <f t="shared" si="147"/>
        <v>NSG_Income Eligible_Multi-Family_MF IHWAP_Advanced Thermostat_Furnace (Replace Programmable)_MF_2024</v>
      </c>
      <c r="D4719" s="19" t="s">
        <v>1787</v>
      </c>
      <c r="E4719" s="19" t="s">
        <v>325</v>
      </c>
      <c r="F4719" s="19" t="s">
        <v>1422</v>
      </c>
      <c r="G4719" s="19" t="s">
        <v>1441</v>
      </c>
      <c r="H4719" s="19" t="s">
        <v>7</v>
      </c>
      <c r="I4719" s="19" t="s">
        <v>1049</v>
      </c>
      <c r="J4719" s="19" t="s">
        <v>24</v>
      </c>
      <c r="K4719" s="19" t="s">
        <v>553</v>
      </c>
      <c r="L4719" s="19">
        <v>2024</v>
      </c>
      <c r="M4719" s="20">
        <v>1</v>
      </c>
      <c r="N4719" s="19" t="s">
        <v>1798</v>
      </c>
      <c r="O4719" s="20">
        <v>14</v>
      </c>
      <c r="P4719" s="20">
        <v>14</v>
      </c>
      <c r="Q4719" s="20">
        <v>667.62149999999997</v>
      </c>
      <c r="R4719" s="21">
        <v>1</v>
      </c>
      <c r="S4719" s="20">
        <v>667.62149999999997</v>
      </c>
    </row>
    <row r="4720" spans="2:19" ht="15" customHeight="1" x14ac:dyDescent="0.25">
      <c r="B4720" s="2" t="str">
        <f t="shared" si="146"/>
        <v>NSG_Income Eligible_Multi-Family_MF IHWAP_Advanced Thermostat_Furnace (Replace Programmable)_MF</v>
      </c>
      <c r="C4720" s="2" t="str">
        <f t="shared" si="147"/>
        <v>NSG_Income Eligible_Multi-Family_MF IHWAP_Advanced Thermostat_Furnace (Replace Programmable)_MF_2025</v>
      </c>
      <c r="D4720" s="19" t="s">
        <v>1787</v>
      </c>
      <c r="E4720" s="19" t="s">
        <v>325</v>
      </c>
      <c r="F4720" s="19" t="s">
        <v>1422</v>
      </c>
      <c r="G4720" s="19" t="s">
        <v>1441</v>
      </c>
      <c r="H4720" s="19" t="s">
        <v>7</v>
      </c>
      <c r="I4720" s="19" t="s">
        <v>1049</v>
      </c>
      <c r="J4720" s="19" t="s">
        <v>24</v>
      </c>
      <c r="K4720" s="19" t="s">
        <v>553</v>
      </c>
      <c r="L4720" s="19">
        <v>2025</v>
      </c>
      <c r="M4720" s="20">
        <v>1</v>
      </c>
      <c r="N4720" s="19" t="s">
        <v>1798</v>
      </c>
      <c r="O4720" s="20">
        <v>15</v>
      </c>
      <c r="P4720" s="20">
        <v>15</v>
      </c>
      <c r="Q4720" s="20">
        <v>715.30875000000003</v>
      </c>
      <c r="R4720" s="21">
        <v>1</v>
      </c>
      <c r="S4720" s="20">
        <v>715.30875000000003</v>
      </c>
    </row>
    <row r="4721" spans="2:19" ht="15" customHeight="1" x14ac:dyDescent="0.25">
      <c r="B4721" s="2" t="str">
        <f t="shared" si="146"/>
        <v>NSG_Income Eligible_Multi-Family_MF IHWAP_Advanced Thermostat_Boiler (Replace Programmable)_MF</v>
      </c>
      <c r="C4721" s="2" t="str">
        <f t="shared" si="147"/>
        <v>NSG_Income Eligible_Multi-Family_MF IHWAP_Advanced Thermostat_Boiler (Replace Programmable)_MF_2022</v>
      </c>
      <c r="D4721" s="19" t="s">
        <v>1787</v>
      </c>
      <c r="E4721" s="19" t="s">
        <v>325</v>
      </c>
      <c r="F4721" s="19" t="s">
        <v>1422</v>
      </c>
      <c r="G4721" s="19" t="s">
        <v>1441</v>
      </c>
      <c r="H4721" s="19" t="s">
        <v>7</v>
      </c>
      <c r="I4721" s="19" t="s">
        <v>1052</v>
      </c>
      <c r="J4721" s="19" t="s">
        <v>24</v>
      </c>
      <c r="K4721" s="19" t="s">
        <v>553</v>
      </c>
      <c r="L4721" s="19">
        <v>2022</v>
      </c>
      <c r="M4721" s="20">
        <v>1</v>
      </c>
      <c r="N4721" s="19" t="s">
        <v>1798</v>
      </c>
      <c r="O4721" s="20">
        <v>3</v>
      </c>
      <c r="P4721" s="20">
        <v>3</v>
      </c>
      <c r="Q4721" s="20">
        <v>211.38974999999996</v>
      </c>
      <c r="R4721" s="21">
        <v>1</v>
      </c>
      <c r="S4721" s="20">
        <v>211.38974999999996</v>
      </c>
    </row>
    <row r="4722" spans="2:19" ht="15" customHeight="1" x14ac:dyDescent="0.25">
      <c r="B4722" s="2" t="str">
        <f t="shared" si="146"/>
        <v>NSG_Income Eligible_Multi-Family_MF IHWAP_Advanced Thermostat_Boiler (Replace Programmable)_MF</v>
      </c>
      <c r="C4722" s="2" t="str">
        <f t="shared" si="147"/>
        <v>NSG_Income Eligible_Multi-Family_MF IHWAP_Advanced Thermostat_Boiler (Replace Programmable)_MF_2023</v>
      </c>
      <c r="D4722" s="19" t="s">
        <v>1787</v>
      </c>
      <c r="E4722" s="19" t="s">
        <v>325</v>
      </c>
      <c r="F4722" s="19" t="s">
        <v>1422</v>
      </c>
      <c r="G4722" s="19" t="s">
        <v>1441</v>
      </c>
      <c r="H4722" s="19" t="s">
        <v>7</v>
      </c>
      <c r="I4722" s="19" t="s">
        <v>1052</v>
      </c>
      <c r="J4722" s="19" t="s">
        <v>24</v>
      </c>
      <c r="K4722" s="19" t="s">
        <v>553</v>
      </c>
      <c r="L4722" s="19">
        <v>2023</v>
      </c>
      <c r="M4722" s="20">
        <v>1</v>
      </c>
      <c r="N4722" s="19" t="s">
        <v>1798</v>
      </c>
      <c r="O4722" s="20">
        <v>4</v>
      </c>
      <c r="P4722" s="20">
        <v>4</v>
      </c>
      <c r="Q4722" s="20">
        <v>281.85299999999995</v>
      </c>
      <c r="R4722" s="21">
        <v>1</v>
      </c>
      <c r="S4722" s="20">
        <v>281.85299999999995</v>
      </c>
    </row>
    <row r="4723" spans="2:19" ht="15" customHeight="1" x14ac:dyDescent="0.25">
      <c r="B4723" s="2" t="str">
        <f t="shared" si="146"/>
        <v>NSG_Income Eligible_Multi-Family_MF IHWAP_Advanced Thermostat_Boiler (Replace Programmable)_MF</v>
      </c>
      <c r="C4723" s="2" t="str">
        <f t="shared" si="147"/>
        <v>NSG_Income Eligible_Multi-Family_MF IHWAP_Advanced Thermostat_Boiler (Replace Programmable)_MF_2024</v>
      </c>
      <c r="D4723" s="19" t="s">
        <v>1787</v>
      </c>
      <c r="E4723" s="19" t="s">
        <v>325</v>
      </c>
      <c r="F4723" s="19" t="s">
        <v>1422</v>
      </c>
      <c r="G4723" s="19" t="s">
        <v>1441</v>
      </c>
      <c r="H4723" s="19" t="s">
        <v>7</v>
      </c>
      <c r="I4723" s="19" t="s">
        <v>1052</v>
      </c>
      <c r="J4723" s="19" t="s">
        <v>24</v>
      </c>
      <c r="K4723" s="19" t="s">
        <v>553</v>
      </c>
      <c r="L4723" s="19">
        <v>2024</v>
      </c>
      <c r="M4723" s="20">
        <v>1</v>
      </c>
      <c r="N4723" s="19" t="s">
        <v>1798</v>
      </c>
      <c r="O4723" s="20">
        <v>7</v>
      </c>
      <c r="P4723" s="20">
        <v>7</v>
      </c>
      <c r="Q4723" s="20">
        <v>493.24274999999989</v>
      </c>
      <c r="R4723" s="21">
        <v>1</v>
      </c>
      <c r="S4723" s="20">
        <v>493.24274999999989</v>
      </c>
    </row>
    <row r="4724" spans="2:19" ht="15" customHeight="1" x14ac:dyDescent="0.25">
      <c r="B4724" s="2" t="str">
        <f t="shared" si="146"/>
        <v>NSG_Income Eligible_Multi-Family_MF IHWAP_Advanced Thermostat_Boiler (Replace Programmable)_MF</v>
      </c>
      <c r="C4724" s="2" t="str">
        <f t="shared" si="147"/>
        <v>NSG_Income Eligible_Multi-Family_MF IHWAP_Advanced Thermostat_Boiler (Replace Programmable)_MF_2025</v>
      </c>
      <c r="D4724" s="19" t="s">
        <v>1787</v>
      </c>
      <c r="E4724" s="19" t="s">
        <v>325</v>
      </c>
      <c r="F4724" s="19" t="s">
        <v>1422</v>
      </c>
      <c r="G4724" s="19" t="s">
        <v>1441</v>
      </c>
      <c r="H4724" s="19" t="s">
        <v>7</v>
      </c>
      <c r="I4724" s="19" t="s">
        <v>1052</v>
      </c>
      <c r="J4724" s="19" t="s">
        <v>24</v>
      </c>
      <c r="K4724" s="19" t="s">
        <v>553</v>
      </c>
      <c r="L4724" s="19">
        <v>2025</v>
      </c>
      <c r="M4724" s="20">
        <v>1</v>
      </c>
      <c r="N4724" s="19" t="s">
        <v>1798</v>
      </c>
      <c r="O4724" s="20">
        <v>8</v>
      </c>
      <c r="P4724" s="20">
        <v>8</v>
      </c>
      <c r="Q4724" s="20">
        <v>563.7059999999999</v>
      </c>
      <c r="R4724" s="21">
        <v>1</v>
      </c>
      <c r="S4724" s="20">
        <v>563.7059999999999</v>
      </c>
    </row>
    <row r="4725" spans="2:19" ht="15" customHeight="1" x14ac:dyDescent="0.25">
      <c r="B4725" s="2" t="str">
        <f t="shared" si="146"/>
        <v>NSG_Income Eligible_Multi-Family_MF IHWAP_Pipe Insulation_DHW_MF</v>
      </c>
      <c r="C4725" s="2" t="str">
        <f t="shared" si="147"/>
        <v>NSG_Income Eligible_Multi-Family_MF IHWAP_Pipe Insulation_DHW_MF_2022</v>
      </c>
      <c r="D4725" s="19" t="s">
        <v>1787</v>
      </c>
      <c r="E4725" s="19" t="s">
        <v>325</v>
      </c>
      <c r="F4725" s="19" t="s">
        <v>1422</v>
      </c>
      <c r="G4725" s="19" t="s">
        <v>1441</v>
      </c>
      <c r="H4725" s="19" t="s">
        <v>404</v>
      </c>
      <c r="I4725" s="19" t="s">
        <v>1019</v>
      </c>
      <c r="J4725" s="19" t="s">
        <v>1008</v>
      </c>
      <c r="K4725" s="19" t="s">
        <v>553</v>
      </c>
      <c r="L4725" s="19">
        <v>2022</v>
      </c>
      <c r="M4725" s="20">
        <v>3</v>
      </c>
      <c r="N4725" s="19" t="s">
        <v>616</v>
      </c>
      <c r="O4725" s="20">
        <v>48</v>
      </c>
      <c r="P4725" s="20">
        <v>144</v>
      </c>
      <c r="Q4725" s="20">
        <v>127.10400554477597</v>
      </c>
      <c r="R4725" s="21">
        <v>1</v>
      </c>
      <c r="S4725" s="20">
        <v>127.10400554477597</v>
      </c>
    </row>
    <row r="4726" spans="2:19" ht="15" customHeight="1" x14ac:dyDescent="0.25">
      <c r="B4726" s="2" t="str">
        <f t="shared" si="146"/>
        <v>NSG_Income Eligible_Multi-Family_MF IHWAP_Pipe Insulation_DHW_MF</v>
      </c>
      <c r="C4726" s="2" t="str">
        <f t="shared" si="147"/>
        <v>NSG_Income Eligible_Multi-Family_MF IHWAP_Pipe Insulation_DHW_MF_2023</v>
      </c>
      <c r="D4726" s="19" t="s">
        <v>1787</v>
      </c>
      <c r="E4726" s="19" t="s">
        <v>325</v>
      </c>
      <c r="F4726" s="19" t="s">
        <v>1422</v>
      </c>
      <c r="G4726" s="19" t="s">
        <v>1441</v>
      </c>
      <c r="H4726" s="19" t="s">
        <v>404</v>
      </c>
      <c r="I4726" s="19" t="s">
        <v>1019</v>
      </c>
      <c r="J4726" s="19" t="s">
        <v>1008</v>
      </c>
      <c r="K4726" s="19" t="s">
        <v>553</v>
      </c>
      <c r="L4726" s="19">
        <v>2023</v>
      </c>
      <c r="M4726" s="20">
        <v>3</v>
      </c>
      <c r="N4726" s="19" t="s">
        <v>616</v>
      </c>
      <c r="O4726" s="20">
        <v>60</v>
      </c>
      <c r="P4726" s="20">
        <v>180</v>
      </c>
      <c r="Q4726" s="20">
        <v>158.88000693096996</v>
      </c>
      <c r="R4726" s="21">
        <v>1</v>
      </c>
      <c r="S4726" s="20">
        <v>158.88000693096996</v>
      </c>
    </row>
    <row r="4727" spans="2:19" ht="15" customHeight="1" x14ac:dyDescent="0.25">
      <c r="B4727" s="2" t="str">
        <f t="shared" si="146"/>
        <v>NSG_Income Eligible_Multi-Family_MF IHWAP_Pipe Insulation_DHW_MF</v>
      </c>
      <c r="C4727" s="2" t="str">
        <f t="shared" si="147"/>
        <v>NSG_Income Eligible_Multi-Family_MF IHWAP_Pipe Insulation_DHW_MF_2024</v>
      </c>
      <c r="D4727" s="19" t="s">
        <v>1787</v>
      </c>
      <c r="E4727" s="19" t="s">
        <v>325</v>
      </c>
      <c r="F4727" s="19" t="s">
        <v>1422</v>
      </c>
      <c r="G4727" s="19" t="s">
        <v>1441</v>
      </c>
      <c r="H4727" s="19" t="s">
        <v>404</v>
      </c>
      <c r="I4727" s="19" t="s">
        <v>1019</v>
      </c>
      <c r="J4727" s="19" t="s">
        <v>1008</v>
      </c>
      <c r="K4727" s="19" t="s">
        <v>553</v>
      </c>
      <c r="L4727" s="19">
        <v>2024</v>
      </c>
      <c r="M4727" s="20">
        <v>3</v>
      </c>
      <c r="N4727" s="19" t="s">
        <v>616</v>
      </c>
      <c r="O4727" s="20">
        <v>108</v>
      </c>
      <c r="P4727" s="20">
        <v>324</v>
      </c>
      <c r="Q4727" s="20">
        <v>285.98401247574594</v>
      </c>
      <c r="R4727" s="21">
        <v>1</v>
      </c>
      <c r="S4727" s="20">
        <v>285.98401247574594</v>
      </c>
    </row>
    <row r="4728" spans="2:19" ht="15" customHeight="1" x14ac:dyDescent="0.25">
      <c r="B4728" s="2" t="str">
        <f t="shared" si="146"/>
        <v>NSG_Income Eligible_Multi-Family_MF IHWAP_Pipe Insulation_DHW_MF</v>
      </c>
      <c r="C4728" s="2" t="str">
        <f t="shared" si="147"/>
        <v>NSG_Income Eligible_Multi-Family_MF IHWAP_Pipe Insulation_DHW_MF_2025</v>
      </c>
      <c r="D4728" s="19" t="s">
        <v>1787</v>
      </c>
      <c r="E4728" s="19" t="s">
        <v>325</v>
      </c>
      <c r="F4728" s="19" t="s">
        <v>1422</v>
      </c>
      <c r="G4728" s="19" t="s">
        <v>1441</v>
      </c>
      <c r="H4728" s="19" t="s">
        <v>404</v>
      </c>
      <c r="I4728" s="19" t="s">
        <v>1019</v>
      </c>
      <c r="J4728" s="19" t="s">
        <v>1008</v>
      </c>
      <c r="K4728" s="19" t="s">
        <v>553</v>
      </c>
      <c r="L4728" s="19">
        <v>2025</v>
      </c>
      <c r="M4728" s="20">
        <v>3</v>
      </c>
      <c r="N4728" s="19" t="s">
        <v>616</v>
      </c>
      <c r="O4728" s="20">
        <v>120</v>
      </c>
      <c r="P4728" s="20">
        <v>360</v>
      </c>
      <c r="Q4728" s="20">
        <v>317.76001386193991</v>
      </c>
      <c r="R4728" s="21">
        <v>1</v>
      </c>
      <c r="S4728" s="20">
        <v>317.76001386193991</v>
      </c>
    </row>
    <row r="4729" spans="2:19" ht="15" customHeight="1" x14ac:dyDescent="0.25">
      <c r="B4729" s="2" t="str">
        <f t="shared" si="146"/>
        <v>NSG_Income Eligible_Multi-Family_MF IHWAP_Furnace_&gt;95% AFUE_MF</v>
      </c>
      <c r="C4729" s="2" t="str">
        <f t="shared" si="147"/>
        <v>NSG_Income Eligible_Multi-Family_MF IHWAP_Furnace_&gt;95% AFUE_MF_2022</v>
      </c>
      <c r="D4729" s="19" t="s">
        <v>1787</v>
      </c>
      <c r="E4729" s="19" t="s">
        <v>325</v>
      </c>
      <c r="F4729" s="19" t="s">
        <v>1422</v>
      </c>
      <c r="G4729" s="19" t="s">
        <v>1441</v>
      </c>
      <c r="H4729" s="19" t="s">
        <v>490</v>
      </c>
      <c r="I4729" s="19" t="s">
        <v>982</v>
      </c>
      <c r="J4729" s="19" t="s">
        <v>983</v>
      </c>
      <c r="K4729" s="19" t="s">
        <v>553</v>
      </c>
      <c r="L4729" s="19">
        <v>2022</v>
      </c>
      <c r="M4729" s="20">
        <v>1</v>
      </c>
      <c r="N4729" s="19" t="s">
        <v>1798</v>
      </c>
      <c r="O4729" s="20">
        <v>6</v>
      </c>
      <c r="P4729" s="20">
        <v>6</v>
      </c>
      <c r="Q4729" s="20">
        <v>1420.1549999999991</v>
      </c>
      <c r="R4729" s="21">
        <v>1</v>
      </c>
      <c r="S4729" s="20">
        <v>1420.1549999999991</v>
      </c>
    </row>
    <row r="4730" spans="2:19" ht="15" customHeight="1" x14ac:dyDescent="0.25">
      <c r="B4730" s="2" t="str">
        <f t="shared" si="146"/>
        <v>NSG_Income Eligible_Multi-Family_MF IHWAP_Furnace_&gt;95% AFUE_MF</v>
      </c>
      <c r="C4730" s="2" t="str">
        <f t="shared" si="147"/>
        <v>NSG_Income Eligible_Multi-Family_MF IHWAP_Furnace_&gt;95% AFUE_MF_2023</v>
      </c>
      <c r="D4730" s="19" t="s">
        <v>1787</v>
      </c>
      <c r="E4730" s="19" t="s">
        <v>325</v>
      </c>
      <c r="F4730" s="19" t="s">
        <v>1422</v>
      </c>
      <c r="G4730" s="19" t="s">
        <v>1441</v>
      </c>
      <c r="H4730" s="19" t="s">
        <v>490</v>
      </c>
      <c r="I4730" s="19" t="s">
        <v>982</v>
      </c>
      <c r="J4730" s="19" t="s">
        <v>983</v>
      </c>
      <c r="K4730" s="19" t="s">
        <v>553</v>
      </c>
      <c r="L4730" s="19">
        <v>2023</v>
      </c>
      <c r="M4730" s="20">
        <v>1</v>
      </c>
      <c r="N4730" s="19" t="s">
        <v>1798</v>
      </c>
      <c r="O4730" s="20">
        <v>8</v>
      </c>
      <c r="P4730" s="20">
        <v>8</v>
      </c>
      <c r="Q4730" s="20">
        <v>1893.5399999999988</v>
      </c>
      <c r="R4730" s="21">
        <v>1</v>
      </c>
      <c r="S4730" s="20">
        <v>1893.5399999999988</v>
      </c>
    </row>
    <row r="4731" spans="2:19" ht="15" customHeight="1" x14ac:dyDescent="0.25">
      <c r="B4731" s="2" t="str">
        <f t="shared" si="146"/>
        <v>NSG_Income Eligible_Multi-Family_MF IHWAP_Furnace_&gt;95% AFUE_MF</v>
      </c>
      <c r="C4731" s="2" t="str">
        <f t="shared" si="147"/>
        <v>NSG_Income Eligible_Multi-Family_MF IHWAP_Furnace_&gt;95% AFUE_MF_2024</v>
      </c>
      <c r="D4731" s="19" t="s">
        <v>1787</v>
      </c>
      <c r="E4731" s="19" t="s">
        <v>325</v>
      </c>
      <c r="F4731" s="19" t="s">
        <v>1422</v>
      </c>
      <c r="G4731" s="19" t="s">
        <v>1441</v>
      </c>
      <c r="H4731" s="19" t="s">
        <v>490</v>
      </c>
      <c r="I4731" s="19" t="s">
        <v>982</v>
      </c>
      <c r="J4731" s="19" t="s">
        <v>983</v>
      </c>
      <c r="K4731" s="19" t="s">
        <v>553</v>
      </c>
      <c r="L4731" s="19">
        <v>2024</v>
      </c>
      <c r="M4731" s="20">
        <v>1</v>
      </c>
      <c r="N4731" s="19" t="s">
        <v>1798</v>
      </c>
      <c r="O4731" s="20">
        <v>14</v>
      </c>
      <c r="P4731" s="20">
        <v>14</v>
      </c>
      <c r="Q4731" s="20">
        <v>3313.6949999999979</v>
      </c>
      <c r="R4731" s="21">
        <v>1</v>
      </c>
      <c r="S4731" s="20">
        <v>3313.6949999999979</v>
      </c>
    </row>
    <row r="4732" spans="2:19" ht="15" customHeight="1" x14ac:dyDescent="0.25">
      <c r="B4732" s="2" t="str">
        <f t="shared" si="146"/>
        <v>NSG_Income Eligible_Multi-Family_MF IHWAP_Furnace_&gt;95% AFUE_MF</v>
      </c>
      <c r="C4732" s="2" t="str">
        <f t="shared" si="147"/>
        <v>NSG_Income Eligible_Multi-Family_MF IHWAP_Furnace_&gt;95% AFUE_MF_2025</v>
      </c>
      <c r="D4732" s="19" t="s">
        <v>1787</v>
      </c>
      <c r="E4732" s="19" t="s">
        <v>325</v>
      </c>
      <c r="F4732" s="19" t="s">
        <v>1422</v>
      </c>
      <c r="G4732" s="19" t="s">
        <v>1441</v>
      </c>
      <c r="H4732" s="19" t="s">
        <v>490</v>
      </c>
      <c r="I4732" s="19" t="s">
        <v>982</v>
      </c>
      <c r="J4732" s="19" t="s">
        <v>983</v>
      </c>
      <c r="K4732" s="19" t="s">
        <v>553</v>
      </c>
      <c r="L4732" s="19">
        <v>2025</v>
      </c>
      <c r="M4732" s="20">
        <v>1</v>
      </c>
      <c r="N4732" s="19" t="s">
        <v>1798</v>
      </c>
      <c r="O4732" s="20">
        <v>15</v>
      </c>
      <c r="P4732" s="20">
        <v>15</v>
      </c>
      <c r="Q4732" s="20">
        <v>3550.387499999998</v>
      </c>
      <c r="R4732" s="21">
        <v>1</v>
      </c>
      <c r="S4732" s="20">
        <v>3550.387499999998</v>
      </c>
    </row>
    <row r="4733" spans="2:19" ht="15" customHeight="1" x14ac:dyDescent="0.25">
      <c r="B4733" s="2" t="str">
        <f t="shared" si="146"/>
        <v>NSG_Income Eligible_Multi-Family_MF IHWAP_Attic Insulation_0_SF</v>
      </c>
      <c r="C4733" s="2" t="str">
        <f t="shared" si="147"/>
        <v>NSG_Income Eligible_Multi-Family_MF IHWAP_Attic Insulation_0_SF_2022</v>
      </c>
      <c r="D4733" s="19" t="s">
        <v>1787</v>
      </c>
      <c r="E4733" s="19" t="s">
        <v>325</v>
      </c>
      <c r="F4733" s="19" t="s">
        <v>1422</v>
      </c>
      <c r="G4733" s="19" t="s">
        <v>1441</v>
      </c>
      <c r="H4733" s="19" t="s">
        <v>631</v>
      </c>
      <c r="I4733" s="19">
        <v>0</v>
      </c>
      <c r="J4733" s="19" t="s">
        <v>632</v>
      </c>
      <c r="K4733" s="19" t="s">
        <v>409</v>
      </c>
      <c r="L4733" s="19">
        <v>2022</v>
      </c>
      <c r="M4733" s="20">
        <v>332.76190476190476</v>
      </c>
      <c r="N4733" s="19" t="s">
        <v>751</v>
      </c>
      <c r="O4733" s="20">
        <v>12</v>
      </c>
      <c r="P4733" s="20">
        <v>3993.1428571428569</v>
      </c>
      <c r="Q4733" s="20">
        <v>321.27701940143118</v>
      </c>
      <c r="R4733" s="21">
        <v>1</v>
      </c>
      <c r="S4733" s="20">
        <v>321.27701940143118</v>
      </c>
    </row>
    <row r="4734" spans="2:19" ht="15" customHeight="1" x14ac:dyDescent="0.25">
      <c r="B4734" s="2" t="str">
        <f t="shared" si="146"/>
        <v>NSG_Income Eligible_Multi-Family_MF IHWAP_Attic Insulation_0_SF</v>
      </c>
      <c r="C4734" s="2" t="str">
        <f t="shared" si="147"/>
        <v>NSG_Income Eligible_Multi-Family_MF IHWAP_Attic Insulation_0_SF_2023</v>
      </c>
      <c r="D4734" s="19" t="s">
        <v>1787</v>
      </c>
      <c r="E4734" s="19" t="s">
        <v>325</v>
      </c>
      <c r="F4734" s="19" t="s">
        <v>1422</v>
      </c>
      <c r="G4734" s="19" t="s">
        <v>1441</v>
      </c>
      <c r="H4734" s="19" t="s">
        <v>631</v>
      </c>
      <c r="I4734" s="19">
        <v>0</v>
      </c>
      <c r="J4734" s="19" t="s">
        <v>632</v>
      </c>
      <c r="K4734" s="19" t="s">
        <v>409</v>
      </c>
      <c r="L4734" s="19">
        <v>2023</v>
      </c>
      <c r="M4734" s="20">
        <v>332.76190476190476</v>
      </c>
      <c r="N4734" s="19" t="s">
        <v>751</v>
      </c>
      <c r="O4734" s="20">
        <v>15</v>
      </c>
      <c r="P4734" s="20">
        <v>4991.4285714285716</v>
      </c>
      <c r="Q4734" s="20">
        <v>401.596274251789</v>
      </c>
      <c r="R4734" s="21">
        <v>1</v>
      </c>
      <c r="S4734" s="20">
        <v>401.596274251789</v>
      </c>
    </row>
    <row r="4735" spans="2:19" ht="15" customHeight="1" x14ac:dyDescent="0.25">
      <c r="B4735" s="2" t="str">
        <f t="shared" si="146"/>
        <v>NSG_Income Eligible_Multi-Family_MF IHWAP_Attic Insulation_0_SF</v>
      </c>
      <c r="C4735" s="2" t="str">
        <f t="shared" si="147"/>
        <v>NSG_Income Eligible_Multi-Family_MF IHWAP_Attic Insulation_0_SF_2024</v>
      </c>
      <c r="D4735" s="19" t="s">
        <v>1787</v>
      </c>
      <c r="E4735" s="19" t="s">
        <v>325</v>
      </c>
      <c r="F4735" s="19" t="s">
        <v>1422</v>
      </c>
      <c r="G4735" s="19" t="s">
        <v>1441</v>
      </c>
      <c r="H4735" s="19" t="s">
        <v>631</v>
      </c>
      <c r="I4735" s="19">
        <v>0</v>
      </c>
      <c r="J4735" s="19" t="s">
        <v>632</v>
      </c>
      <c r="K4735" s="19" t="s">
        <v>409</v>
      </c>
      <c r="L4735" s="19">
        <v>2024</v>
      </c>
      <c r="M4735" s="20">
        <v>332.76190476190476</v>
      </c>
      <c r="N4735" s="19" t="s">
        <v>751</v>
      </c>
      <c r="O4735" s="20">
        <v>27</v>
      </c>
      <c r="P4735" s="20">
        <v>8984.5714285714294</v>
      </c>
      <c r="Q4735" s="20">
        <v>722.87329365322023</v>
      </c>
      <c r="R4735" s="21">
        <v>1</v>
      </c>
      <c r="S4735" s="20">
        <v>722.87329365322023</v>
      </c>
    </row>
    <row r="4736" spans="2:19" ht="15" customHeight="1" x14ac:dyDescent="0.25">
      <c r="B4736" s="2" t="str">
        <f t="shared" si="146"/>
        <v>NSG_Income Eligible_Multi-Family_MF IHWAP_Attic Insulation_0_SF</v>
      </c>
      <c r="C4736" s="2" t="str">
        <f t="shared" si="147"/>
        <v>NSG_Income Eligible_Multi-Family_MF IHWAP_Attic Insulation_0_SF_2025</v>
      </c>
      <c r="D4736" s="19" t="s">
        <v>1787</v>
      </c>
      <c r="E4736" s="19" t="s">
        <v>325</v>
      </c>
      <c r="F4736" s="19" t="s">
        <v>1422</v>
      </c>
      <c r="G4736" s="19" t="s">
        <v>1441</v>
      </c>
      <c r="H4736" s="19" t="s">
        <v>631</v>
      </c>
      <c r="I4736" s="19">
        <v>0</v>
      </c>
      <c r="J4736" s="19" t="s">
        <v>632</v>
      </c>
      <c r="K4736" s="19" t="s">
        <v>409</v>
      </c>
      <c r="L4736" s="19">
        <v>2025</v>
      </c>
      <c r="M4736" s="20">
        <v>332.76190476190476</v>
      </c>
      <c r="N4736" s="19" t="s">
        <v>751</v>
      </c>
      <c r="O4736" s="20">
        <v>30</v>
      </c>
      <c r="P4736" s="20">
        <v>9982.8571428571431</v>
      </c>
      <c r="Q4736" s="20">
        <v>803.192548503578</v>
      </c>
      <c r="R4736" s="21">
        <v>1</v>
      </c>
      <c r="S4736" s="20">
        <v>803.192548503578</v>
      </c>
    </row>
    <row r="4737" spans="2:19" ht="15" customHeight="1" x14ac:dyDescent="0.25">
      <c r="B4737" s="2" t="str">
        <f t="shared" si="146"/>
        <v>NSG_Income Eligible_Multi-Family_MF IHWAP_Wall Insulation_0_SF</v>
      </c>
      <c r="C4737" s="2" t="str">
        <f t="shared" si="147"/>
        <v>NSG_Income Eligible_Multi-Family_MF IHWAP_Wall Insulation_0_SF_2022</v>
      </c>
      <c r="D4737" s="19" t="s">
        <v>1787</v>
      </c>
      <c r="E4737" s="19" t="s">
        <v>325</v>
      </c>
      <c r="F4737" s="19" t="s">
        <v>1422</v>
      </c>
      <c r="G4737" s="19" t="s">
        <v>1441</v>
      </c>
      <c r="H4737" s="19" t="s">
        <v>222</v>
      </c>
      <c r="I4737" s="19">
        <v>0</v>
      </c>
      <c r="J4737" s="19" t="s">
        <v>783</v>
      </c>
      <c r="K4737" s="19" t="s">
        <v>409</v>
      </c>
      <c r="L4737" s="19">
        <v>2022</v>
      </c>
      <c r="M4737" s="20">
        <v>600</v>
      </c>
      <c r="N4737" s="19" t="s">
        <v>751</v>
      </c>
      <c r="O4737" s="20">
        <v>12</v>
      </c>
      <c r="P4737" s="20">
        <v>7200</v>
      </c>
      <c r="Q4737" s="20">
        <v>779.58211764705879</v>
      </c>
      <c r="R4737" s="21">
        <v>1</v>
      </c>
      <c r="S4737" s="20">
        <v>779.58211764705879</v>
      </c>
    </row>
    <row r="4738" spans="2:19" ht="15" customHeight="1" x14ac:dyDescent="0.25">
      <c r="B4738" s="2" t="str">
        <f t="shared" si="146"/>
        <v>NSG_Income Eligible_Multi-Family_MF IHWAP_Wall Insulation_0_SF</v>
      </c>
      <c r="C4738" s="2" t="str">
        <f t="shared" si="147"/>
        <v>NSG_Income Eligible_Multi-Family_MF IHWAP_Wall Insulation_0_SF_2023</v>
      </c>
      <c r="D4738" s="19" t="s">
        <v>1787</v>
      </c>
      <c r="E4738" s="19" t="s">
        <v>325</v>
      </c>
      <c r="F4738" s="19" t="s">
        <v>1422</v>
      </c>
      <c r="G4738" s="19" t="s">
        <v>1441</v>
      </c>
      <c r="H4738" s="19" t="s">
        <v>222</v>
      </c>
      <c r="I4738" s="19">
        <v>0</v>
      </c>
      <c r="J4738" s="19" t="s">
        <v>783</v>
      </c>
      <c r="K4738" s="19" t="s">
        <v>409</v>
      </c>
      <c r="L4738" s="19">
        <v>2023</v>
      </c>
      <c r="M4738" s="20">
        <v>600</v>
      </c>
      <c r="N4738" s="19" t="s">
        <v>751</v>
      </c>
      <c r="O4738" s="20">
        <v>15</v>
      </c>
      <c r="P4738" s="20">
        <v>9000</v>
      </c>
      <c r="Q4738" s="20">
        <v>974.47764705882355</v>
      </c>
      <c r="R4738" s="21">
        <v>1</v>
      </c>
      <c r="S4738" s="20">
        <v>974.47764705882355</v>
      </c>
    </row>
    <row r="4739" spans="2:19" ht="15" customHeight="1" x14ac:dyDescent="0.25">
      <c r="B4739" s="2" t="str">
        <f t="shared" si="146"/>
        <v>NSG_Income Eligible_Multi-Family_MF IHWAP_Wall Insulation_0_SF</v>
      </c>
      <c r="C4739" s="2" t="str">
        <f t="shared" si="147"/>
        <v>NSG_Income Eligible_Multi-Family_MF IHWAP_Wall Insulation_0_SF_2024</v>
      </c>
      <c r="D4739" s="19" t="s">
        <v>1787</v>
      </c>
      <c r="E4739" s="19" t="s">
        <v>325</v>
      </c>
      <c r="F4739" s="19" t="s">
        <v>1422</v>
      </c>
      <c r="G4739" s="19" t="s">
        <v>1441</v>
      </c>
      <c r="H4739" s="19" t="s">
        <v>222</v>
      </c>
      <c r="I4739" s="19">
        <v>0</v>
      </c>
      <c r="J4739" s="19" t="s">
        <v>783</v>
      </c>
      <c r="K4739" s="19" t="s">
        <v>409</v>
      </c>
      <c r="L4739" s="19">
        <v>2024</v>
      </c>
      <c r="M4739" s="20">
        <v>600</v>
      </c>
      <c r="N4739" s="19" t="s">
        <v>751</v>
      </c>
      <c r="O4739" s="20">
        <v>27</v>
      </c>
      <c r="P4739" s="20">
        <v>16200</v>
      </c>
      <c r="Q4739" s="20">
        <v>1754.0597647058823</v>
      </c>
      <c r="R4739" s="21">
        <v>1</v>
      </c>
      <c r="S4739" s="20">
        <v>1754.0597647058823</v>
      </c>
    </row>
    <row r="4740" spans="2:19" ht="15" customHeight="1" x14ac:dyDescent="0.25">
      <c r="B4740" s="2" t="str">
        <f t="shared" si="146"/>
        <v>NSG_Income Eligible_Multi-Family_MF IHWAP_Wall Insulation_0_SF</v>
      </c>
      <c r="C4740" s="2" t="str">
        <f t="shared" si="147"/>
        <v>NSG_Income Eligible_Multi-Family_MF IHWAP_Wall Insulation_0_SF_2025</v>
      </c>
      <c r="D4740" s="19" t="s">
        <v>1787</v>
      </c>
      <c r="E4740" s="19" t="s">
        <v>325</v>
      </c>
      <c r="F4740" s="19" t="s">
        <v>1422</v>
      </c>
      <c r="G4740" s="19" t="s">
        <v>1441</v>
      </c>
      <c r="H4740" s="19" t="s">
        <v>222</v>
      </c>
      <c r="I4740" s="19">
        <v>0</v>
      </c>
      <c r="J4740" s="19" t="s">
        <v>783</v>
      </c>
      <c r="K4740" s="19" t="s">
        <v>409</v>
      </c>
      <c r="L4740" s="19">
        <v>2025</v>
      </c>
      <c r="M4740" s="20">
        <v>600</v>
      </c>
      <c r="N4740" s="19" t="s">
        <v>751</v>
      </c>
      <c r="O4740" s="20">
        <v>30</v>
      </c>
      <c r="P4740" s="20">
        <v>18000</v>
      </c>
      <c r="Q4740" s="20">
        <v>1948.9552941176471</v>
      </c>
      <c r="R4740" s="21">
        <v>1</v>
      </c>
      <c r="S4740" s="20">
        <v>1948.9552941176471</v>
      </c>
    </row>
    <row r="4741" spans="2:19" ht="15" customHeight="1" x14ac:dyDescent="0.25">
      <c r="B4741" s="2" t="str">
        <f t="shared" si="146"/>
        <v>NSG_Income Eligible_Multi-Family_MF IHWAP_Water Heater_Storage 0.67 EF_MF</v>
      </c>
      <c r="C4741" s="2" t="str">
        <f t="shared" si="147"/>
        <v>NSG_Income Eligible_Multi-Family_MF IHWAP_Water Heater_Storage 0.67 EF_MF_2022</v>
      </c>
      <c r="D4741" s="19" t="s">
        <v>1787</v>
      </c>
      <c r="E4741" s="19" t="s">
        <v>325</v>
      </c>
      <c r="F4741" s="19" t="s">
        <v>1422</v>
      </c>
      <c r="G4741" s="19" t="s">
        <v>1441</v>
      </c>
      <c r="H4741" s="19" t="s">
        <v>8</v>
      </c>
      <c r="I4741" s="19" t="s">
        <v>879</v>
      </c>
      <c r="J4741" s="19" t="s">
        <v>1263</v>
      </c>
      <c r="K4741" s="19" t="s">
        <v>553</v>
      </c>
      <c r="L4741" s="19">
        <v>2022</v>
      </c>
      <c r="M4741" s="20">
        <v>1</v>
      </c>
      <c r="N4741" s="19" t="s">
        <v>1798</v>
      </c>
      <c r="O4741" s="20">
        <v>6</v>
      </c>
      <c r="P4741" s="20">
        <v>6</v>
      </c>
      <c r="Q4741" s="20">
        <v>212.61310700925748</v>
      </c>
      <c r="R4741" s="21">
        <v>1</v>
      </c>
      <c r="S4741" s="20">
        <v>212.61310700925748</v>
      </c>
    </row>
    <row r="4742" spans="2:19" ht="15" customHeight="1" x14ac:dyDescent="0.25">
      <c r="B4742" s="2" t="str">
        <f t="shared" ref="B4742:B4805" si="148">D4742&amp;"_"&amp;E4742&amp;"_"&amp;F4742&amp;"_"&amp;G4742&amp;"_"&amp;H4742&amp;"_"&amp;I4742&amp;"_"&amp;K4742</f>
        <v>NSG_Income Eligible_Multi-Family_MF IHWAP_Water Heater_Storage 0.67 EF_MF</v>
      </c>
      <c r="C4742" s="2" t="str">
        <f t="shared" ref="C4742:C4805" si="149">D4742&amp;"_"&amp;E4742&amp;"_"&amp;F4742&amp;"_"&amp;G4742&amp;"_"&amp;H4742&amp;"_"&amp;I4742&amp;"_"&amp;K4742&amp;"_"&amp;L4742</f>
        <v>NSG_Income Eligible_Multi-Family_MF IHWAP_Water Heater_Storage 0.67 EF_MF_2023</v>
      </c>
      <c r="D4742" s="19" t="s">
        <v>1787</v>
      </c>
      <c r="E4742" s="19" t="s">
        <v>325</v>
      </c>
      <c r="F4742" s="19" t="s">
        <v>1422</v>
      </c>
      <c r="G4742" s="19" t="s">
        <v>1441</v>
      </c>
      <c r="H4742" s="19" t="s">
        <v>8</v>
      </c>
      <c r="I4742" s="19" t="s">
        <v>879</v>
      </c>
      <c r="J4742" s="19" t="s">
        <v>1263</v>
      </c>
      <c r="K4742" s="19" t="s">
        <v>553</v>
      </c>
      <c r="L4742" s="19">
        <v>2023</v>
      </c>
      <c r="M4742" s="20">
        <v>1</v>
      </c>
      <c r="N4742" s="19" t="s">
        <v>1798</v>
      </c>
      <c r="O4742" s="20">
        <v>8</v>
      </c>
      <c r="P4742" s="20">
        <v>8</v>
      </c>
      <c r="Q4742" s="20">
        <v>283.48414267900995</v>
      </c>
      <c r="R4742" s="21">
        <v>1</v>
      </c>
      <c r="S4742" s="20">
        <v>283.48414267900995</v>
      </c>
    </row>
    <row r="4743" spans="2:19" ht="15" customHeight="1" x14ac:dyDescent="0.25">
      <c r="B4743" s="2" t="str">
        <f t="shared" si="148"/>
        <v>NSG_Income Eligible_Multi-Family_MF IHWAP_Water Heater_Storage 0.67 EF_MF</v>
      </c>
      <c r="C4743" s="2" t="str">
        <f t="shared" si="149"/>
        <v>NSG_Income Eligible_Multi-Family_MF IHWAP_Water Heater_Storage 0.67 EF_MF_2024</v>
      </c>
      <c r="D4743" s="19" t="s">
        <v>1787</v>
      </c>
      <c r="E4743" s="19" t="s">
        <v>325</v>
      </c>
      <c r="F4743" s="19" t="s">
        <v>1422</v>
      </c>
      <c r="G4743" s="19" t="s">
        <v>1441</v>
      </c>
      <c r="H4743" s="19" t="s">
        <v>8</v>
      </c>
      <c r="I4743" s="19" t="s">
        <v>879</v>
      </c>
      <c r="J4743" s="19" t="s">
        <v>1263</v>
      </c>
      <c r="K4743" s="19" t="s">
        <v>553</v>
      </c>
      <c r="L4743" s="19">
        <v>2024</v>
      </c>
      <c r="M4743" s="20">
        <v>1</v>
      </c>
      <c r="N4743" s="19" t="s">
        <v>1798</v>
      </c>
      <c r="O4743" s="20">
        <v>14</v>
      </c>
      <c r="P4743" s="20">
        <v>14</v>
      </c>
      <c r="Q4743" s="20">
        <v>496.09724968826742</v>
      </c>
      <c r="R4743" s="21">
        <v>1</v>
      </c>
      <c r="S4743" s="20">
        <v>496.09724968826742</v>
      </c>
    </row>
    <row r="4744" spans="2:19" ht="15" customHeight="1" x14ac:dyDescent="0.25">
      <c r="B4744" s="2" t="str">
        <f t="shared" si="148"/>
        <v>NSG_Income Eligible_Multi-Family_MF IHWAP_Water Heater_Storage 0.67 EF_MF</v>
      </c>
      <c r="C4744" s="2" t="str">
        <f t="shared" si="149"/>
        <v>NSG_Income Eligible_Multi-Family_MF IHWAP_Water Heater_Storage 0.67 EF_MF_2025</v>
      </c>
      <c r="D4744" s="19" t="s">
        <v>1787</v>
      </c>
      <c r="E4744" s="19" t="s">
        <v>325</v>
      </c>
      <c r="F4744" s="19" t="s">
        <v>1422</v>
      </c>
      <c r="G4744" s="19" t="s">
        <v>1441</v>
      </c>
      <c r="H4744" s="19" t="s">
        <v>8</v>
      </c>
      <c r="I4744" s="19" t="s">
        <v>879</v>
      </c>
      <c r="J4744" s="19" t="s">
        <v>1263</v>
      </c>
      <c r="K4744" s="19" t="s">
        <v>553</v>
      </c>
      <c r="L4744" s="19">
        <v>2025</v>
      </c>
      <c r="M4744" s="20">
        <v>1</v>
      </c>
      <c r="N4744" s="19" t="s">
        <v>1798</v>
      </c>
      <c r="O4744" s="20">
        <v>15</v>
      </c>
      <c r="P4744" s="20">
        <v>15</v>
      </c>
      <c r="Q4744" s="20">
        <v>531.53276752314366</v>
      </c>
      <c r="R4744" s="21">
        <v>1</v>
      </c>
      <c r="S4744" s="20">
        <v>531.53276752314366</v>
      </c>
    </row>
    <row r="4745" spans="2:19" ht="15" customHeight="1" x14ac:dyDescent="0.25">
      <c r="B4745" s="2" t="str">
        <f t="shared" si="148"/>
        <v>NSG_Income Eligible_Multi-Family_MF IHWAP_Health &amp; Safety_0_MF</v>
      </c>
      <c r="C4745" s="2" t="str">
        <f t="shared" si="149"/>
        <v>NSG_Income Eligible_Multi-Family_MF IHWAP_Health &amp; Safety_0_MF_2022</v>
      </c>
      <c r="D4745" s="19" t="s">
        <v>1787</v>
      </c>
      <c r="E4745" s="19" t="s">
        <v>325</v>
      </c>
      <c r="F4745" s="19" t="s">
        <v>1422</v>
      </c>
      <c r="G4745" s="19" t="s">
        <v>1441</v>
      </c>
      <c r="H4745" s="19" t="s">
        <v>241</v>
      </c>
      <c r="I4745" s="19">
        <v>0</v>
      </c>
      <c r="J4745" s="19" t="s">
        <v>1469</v>
      </c>
      <c r="K4745" s="19" t="s">
        <v>553</v>
      </c>
      <c r="L4745" s="19">
        <v>2022</v>
      </c>
      <c r="M4745" s="20">
        <v>1</v>
      </c>
      <c r="N4745" s="19" t="s">
        <v>1798</v>
      </c>
      <c r="O4745" s="20">
        <v>60</v>
      </c>
      <c r="P4745" s="20">
        <v>60</v>
      </c>
      <c r="Q4745" s="20">
        <v>0</v>
      </c>
      <c r="R4745" s="21">
        <v>1</v>
      </c>
      <c r="S4745" s="20">
        <v>0</v>
      </c>
    </row>
    <row r="4746" spans="2:19" ht="15" customHeight="1" x14ac:dyDescent="0.25">
      <c r="B4746" s="2" t="str">
        <f t="shared" si="148"/>
        <v>NSG_Income Eligible_Multi-Family_MF IHWAP_Health &amp; Safety_0_MF</v>
      </c>
      <c r="C4746" s="2" t="str">
        <f t="shared" si="149"/>
        <v>NSG_Income Eligible_Multi-Family_MF IHWAP_Health &amp; Safety_0_MF_2023</v>
      </c>
      <c r="D4746" s="19" t="s">
        <v>1787</v>
      </c>
      <c r="E4746" s="19" t="s">
        <v>325</v>
      </c>
      <c r="F4746" s="19" t="s">
        <v>1422</v>
      </c>
      <c r="G4746" s="19" t="s">
        <v>1441</v>
      </c>
      <c r="H4746" s="19" t="s">
        <v>241</v>
      </c>
      <c r="I4746" s="19">
        <v>0</v>
      </c>
      <c r="J4746" s="19" t="s">
        <v>1469</v>
      </c>
      <c r="K4746" s="19" t="s">
        <v>553</v>
      </c>
      <c r="L4746" s="19">
        <v>2023</v>
      </c>
      <c r="M4746" s="20">
        <v>1</v>
      </c>
      <c r="N4746" s="19" t="s">
        <v>1798</v>
      </c>
      <c r="O4746" s="20">
        <v>75</v>
      </c>
      <c r="P4746" s="20">
        <v>75</v>
      </c>
      <c r="Q4746" s="20">
        <v>0</v>
      </c>
      <c r="R4746" s="21">
        <v>1</v>
      </c>
      <c r="S4746" s="20">
        <v>0</v>
      </c>
    </row>
    <row r="4747" spans="2:19" ht="15" customHeight="1" x14ac:dyDescent="0.25">
      <c r="B4747" s="2" t="str">
        <f t="shared" si="148"/>
        <v>NSG_Income Eligible_Multi-Family_MF IHWAP_Health &amp; Safety_0_MF</v>
      </c>
      <c r="C4747" s="2" t="str">
        <f t="shared" si="149"/>
        <v>NSG_Income Eligible_Multi-Family_MF IHWAP_Health &amp; Safety_0_MF_2024</v>
      </c>
      <c r="D4747" s="19" t="s">
        <v>1787</v>
      </c>
      <c r="E4747" s="19" t="s">
        <v>325</v>
      </c>
      <c r="F4747" s="19" t="s">
        <v>1422</v>
      </c>
      <c r="G4747" s="19" t="s">
        <v>1441</v>
      </c>
      <c r="H4747" s="19" t="s">
        <v>241</v>
      </c>
      <c r="I4747" s="19">
        <v>0</v>
      </c>
      <c r="J4747" s="19" t="s">
        <v>1469</v>
      </c>
      <c r="K4747" s="19" t="s">
        <v>553</v>
      </c>
      <c r="L4747" s="19">
        <v>2024</v>
      </c>
      <c r="M4747" s="20">
        <v>1</v>
      </c>
      <c r="N4747" s="19" t="s">
        <v>1798</v>
      </c>
      <c r="O4747" s="20">
        <v>135</v>
      </c>
      <c r="P4747" s="20">
        <v>135</v>
      </c>
      <c r="Q4747" s="20">
        <v>0</v>
      </c>
      <c r="R4747" s="21">
        <v>1</v>
      </c>
      <c r="S4747" s="20">
        <v>0</v>
      </c>
    </row>
    <row r="4748" spans="2:19" ht="15" customHeight="1" x14ac:dyDescent="0.25">
      <c r="B4748" s="2" t="str">
        <f t="shared" si="148"/>
        <v>NSG_Income Eligible_Multi-Family_MF IHWAP_Health &amp; Safety_0_MF</v>
      </c>
      <c r="C4748" s="2" t="str">
        <f t="shared" si="149"/>
        <v>NSG_Income Eligible_Multi-Family_MF IHWAP_Health &amp; Safety_0_MF_2025</v>
      </c>
      <c r="D4748" s="19" t="s">
        <v>1787</v>
      </c>
      <c r="E4748" s="19" t="s">
        <v>325</v>
      </c>
      <c r="F4748" s="19" t="s">
        <v>1422</v>
      </c>
      <c r="G4748" s="19" t="s">
        <v>1441</v>
      </c>
      <c r="H4748" s="19" t="s">
        <v>241</v>
      </c>
      <c r="I4748" s="19">
        <v>0</v>
      </c>
      <c r="J4748" s="19" t="s">
        <v>1469</v>
      </c>
      <c r="K4748" s="19" t="s">
        <v>553</v>
      </c>
      <c r="L4748" s="19">
        <v>2025</v>
      </c>
      <c r="M4748" s="20">
        <v>1</v>
      </c>
      <c r="N4748" s="19" t="s">
        <v>1798</v>
      </c>
      <c r="O4748" s="20">
        <v>150</v>
      </c>
      <c r="P4748" s="20">
        <v>150</v>
      </c>
      <c r="Q4748" s="20">
        <v>0</v>
      </c>
      <c r="R4748" s="21">
        <v>1</v>
      </c>
      <c r="S4748" s="20">
        <v>0</v>
      </c>
    </row>
    <row r="4749" spans="2:19" ht="15" customHeight="1" x14ac:dyDescent="0.25">
      <c r="B4749" s="2" t="str">
        <f t="shared" si="148"/>
        <v>NSG_Income Eligible_Multi-Family_MF IHWAP_Custom_0_MF</v>
      </c>
      <c r="C4749" s="2" t="str">
        <f t="shared" si="149"/>
        <v>NSG_Income Eligible_Multi-Family_MF IHWAP_Custom_0_MF_2022</v>
      </c>
      <c r="D4749" s="19" t="s">
        <v>1787</v>
      </c>
      <c r="E4749" s="19" t="s">
        <v>325</v>
      </c>
      <c r="F4749" s="19" t="s">
        <v>1422</v>
      </c>
      <c r="G4749" s="19" t="s">
        <v>1441</v>
      </c>
      <c r="H4749" s="19" t="s">
        <v>5</v>
      </c>
      <c r="I4749" s="19">
        <v>0</v>
      </c>
      <c r="J4749" s="19">
        <v>0</v>
      </c>
      <c r="K4749" s="19" t="s">
        <v>553</v>
      </c>
      <c r="L4749" s="19">
        <v>2022</v>
      </c>
      <c r="M4749" s="20">
        <v>1700</v>
      </c>
      <c r="N4749" s="19" t="s">
        <v>609</v>
      </c>
      <c r="O4749" s="20">
        <v>8</v>
      </c>
      <c r="P4749" s="20">
        <v>13600</v>
      </c>
      <c r="Q4749" s="20">
        <v>13600</v>
      </c>
      <c r="R4749" s="21">
        <v>1</v>
      </c>
      <c r="S4749" s="20">
        <v>13600</v>
      </c>
    </row>
    <row r="4750" spans="2:19" ht="15" customHeight="1" x14ac:dyDescent="0.25">
      <c r="B4750" s="2" t="str">
        <f t="shared" si="148"/>
        <v>NSG_Income Eligible_Multi-Family_MF IHWAP_Custom_0_MF</v>
      </c>
      <c r="C4750" s="2" t="str">
        <f t="shared" si="149"/>
        <v>NSG_Income Eligible_Multi-Family_MF IHWAP_Custom_0_MF_2023</v>
      </c>
      <c r="D4750" s="19" t="s">
        <v>1787</v>
      </c>
      <c r="E4750" s="19" t="s">
        <v>325</v>
      </c>
      <c r="F4750" s="19" t="s">
        <v>1422</v>
      </c>
      <c r="G4750" s="19" t="s">
        <v>1441</v>
      </c>
      <c r="H4750" s="19" t="s">
        <v>5</v>
      </c>
      <c r="I4750" s="19">
        <v>0</v>
      </c>
      <c r="J4750" s="19">
        <v>0</v>
      </c>
      <c r="K4750" s="19" t="s">
        <v>553</v>
      </c>
      <c r="L4750" s="19">
        <v>2023</v>
      </c>
      <c r="M4750" s="20">
        <v>1700</v>
      </c>
      <c r="N4750" s="19" t="s">
        <v>609</v>
      </c>
      <c r="O4750" s="20">
        <v>8</v>
      </c>
      <c r="P4750" s="20">
        <v>13600</v>
      </c>
      <c r="Q4750" s="20">
        <v>13600</v>
      </c>
      <c r="R4750" s="21">
        <v>1</v>
      </c>
      <c r="S4750" s="20">
        <v>13600</v>
      </c>
    </row>
    <row r="4751" spans="2:19" ht="15" customHeight="1" x14ac:dyDescent="0.25">
      <c r="B4751" s="2" t="str">
        <f t="shared" si="148"/>
        <v>NSG_Income Eligible_Multi-Family_MF IHWAP_Custom_0_MF</v>
      </c>
      <c r="C4751" s="2" t="str">
        <f t="shared" si="149"/>
        <v>NSG_Income Eligible_Multi-Family_MF IHWAP_Custom_0_MF_2024</v>
      </c>
      <c r="D4751" s="19" t="s">
        <v>1787</v>
      </c>
      <c r="E4751" s="19" t="s">
        <v>325</v>
      </c>
      <c r="F4751" s="19" t="s">
        <v>1422</v>
      </c>
      <c r="G4751" s="19" t="s">
        <v>1441</v>
      </c>
      <c r="H4751" s="19" t="s">
        <v>5</v>
      </c>
      <c r="I4751" s="19">
        <v>0</v>
      </c>
      <c r="J4751" s="19">
        <v>0</v>
      </c>
      <c r="K4751" s="19" t="s">
        <v>553</v>
      </c>
      <c r="L4751" s="19">
        <v>2024</v>
      </c>
      <c r="M4751" s="20">
        <v>1700</v>
      </c>
      <c r="N4751" s="19" t="s">
        <v>609</v>
      </c>
      <c r="O4751" s="20">
        <v>8</v>
      </c>
      <c r="P4751" s="20">
        <v>13600</v>
      </c>
      <c r="Q4751" s="20">
        <v>13600</v>
      </c>
      <c r="R4751" s="21">
        <v>1</v>
      </c>
      <c r="S4751" s="20">
        <v>13600</v>
      </c>
    </row>
    <row r="4752" spans="2:19" ht="15" customHeight="1" x14ac:dyDescent="0.25">
      <c r="B4752" s="2" t="str">
        <f t="shared" si="148"/>
        <v>NSG_Income Eligible_Multi-Family_MF IHWAP_Custom_0_MF</v>
      </c>
      <c r="C4752" s="2" t="str">
        <f t="shared" si="149"/>
        <v>NSG_Income Eligible_Multi-Family_MF IHWAP_Custom_0_MF_2025</v>
      </c>
      <c r="D4752" s="19" t="s">
        <v>1787</v>
      </c>
      <c r="E4752" s="19" t="s">
        <v>325</v>
      </c>
      <c r="F4752" s="19" t="s">
        <v>1422</v>
      </c>
      <c r="G4752" s="19" t="s">
        <v>1441</v>
      </c>
      <c r="H4752" s="19" t="s">
        <v>5</v>
      </c>
      <c r="I4752" s="19">
        <v>0</v>
      </c>
      <c r="J4752" s="19">
        <v>0</v>
      </c>
      <c r="K4752" s="19" t="s">
        <v>553</v>
      </c>
      <c r="L4752" s="19">
        <v>2025</v>
      </c>
      <c r="M4752" s="20">
        <v>1700</v>
      </c>
      <c r="N4752" s="19" t="s">
        <v>609</v>
      </c>
      <c r="O4752" s="20">
        <v>8</v>
      </c>
      <c r="P4752" s="20">
        <v>13600</v>
      </c>
      <c r="Q4752" s="20">
        <v>13600</v>
      </c>
      <c r="R4752" s="21">
        <v>1</v>
      </c>
      <c r="S4752" s="20">
        <v>13600</v>
      </c>
    </row>
    <row r="4753" spans="2:19" ht="15" customHeight="1" x14ac:dyDescent="0.25">
      <c r="B4753" s="2" t="str">
        <f t="shared" si="148"/>
        <v>NSG_Income Eligible_Multi-Family_Whole Building - Public Housing_Unit Visit_0_MF</v>
      </c>
      <c r="C4753" s="2" t="str">
        <f t="shared" si="149"/>
        <v>NSG_Income Eligible_Multi-Family_Whole Building - Public Housing_Unit Visit_0_MF_2022</v>
      </c>
      <c r="D4753" s="19" t="s">
        <v>1787</v>
      </c>
      <c r="E4753" s="19" t="s">
        <v>325</v>
      </c>
      <c r="F4753" s="19" t="s">
        <v>1422</v>
      </c>
      <c r="G4753" s="19" t="s">
        <v>1817</v>
      </c>
      <c r="H4753" s="19" t="s">
        <v>1090</v>
      </c>
      <c r="I4753" s="19">
        <v>0</v>
      </c>
      <c r="J4753" s="19">
        <v>0</v>
      </c>
      <c r="K4753" s="19" t="s">
        <v>553</v>
      </c>
      <c r="L4753" s="19">
        <v>2022</v>
      </c>
      <c r="M4753" s="20">
        <v>1</v>
      </c>
      <c r="N4753" s="19" t="s">
        <v>1067</v>
      </c>
      <c r="O4753" s="20">
        <v>30</v>
      </c>
      <c r="P4753" s="20">
        <v>30</v>
      </c>
      <c r="Q4753" s="20">
        <v>0</v>
      </c>
      <c r="R4753" s="21">
        <v>1</v>
      </c>
      <c r="S4753" s="20">
        <v>0</v>
      </c>
    </row>
    <row r="4754" spans="2:19" ht="15" customHeight="1" x14ac:dyDescent="0.25">
      <c r="B4754" s="2" t="str">
        <f t="shared" si="148"/>
        <v>NSG_Income Eligible_Multi-Family_Whole Building - Public Housing_Unit Visit_0_MF</v>
      </c>
      <c r="C4754" s="2" t="str">
        <f t="shared" si="149"/>
        <v>NSG_Income Eligible_Multi-Family_Whole Building - Public Housing_Unit Visit_0_MF_2023</v>
      </c>
      <c r="D4754" s="19" t="s">
        <v>1787</v>
      </c>
      <c r="E4754" s="19" t="s">
        <v>325</v>
      </c>
      <c r="F4754" s="19" t="s">
        <v>1422</v>
      </c>
      <c r="G4754" s="19" t="s">
        <v>1817</v>
      </c>
      <c r="H4754" s="19" t="s">
        <v>1090</v>
      </c>
      <c r="I4754" s="19">
        <v>0</v>
      </c>
      <c r="J4754" s="19">
        <v>0</v>
      </c>
      <c r="K4754" s="19" t="s">
        <v>553</v>
      </c>
      <c r="L4754" s="19">
        <v>2023</v>
      </c>
      <c r="M4754" s="20">
        <v>1</v>
      </c>
      <c r="N4754" s="19" t="s">
        <v>1067</v>
      </c>
      <c r="O4754" s="20">
        <v>30</v>
      </c>
      <c r="P4754" s="20">
        <v>30</v>
      </c>
      <c r="Q4754" s="20">
        <v>0</v>
      </c>
      <c r="R4754" s="21">
        <v>1</v>
      </c>
      <c r="S4754" s="20">
        <v>0</v>
      </c>
    </row>
    <row r="4755" spans="2:19" ht="15" customHeight="1" x14ac:dyDescent="0.25">
      <c r="B4755" s="2" t="str">
        <f t="shared" si="148"/>
        <v>NSG_Income Eligible_Multi-Family_Whole Building - Public Housing_Unit Visit_0_MF</v>
      </c>
      <c r="C4755" s="2" t="str">
        <f t="shared" si="149"/>
        <v>NSG_Income Eligible_Multi-Family_Whole Building - Public Housing_Unit Visit_0_MF_2024</v>
      </c>
      <c r="D4755" s="19" t="s">
        <v>1787</v>
      </c>
      <c r="E4755" s="19" t="s">
        <v>325</v>
      </c>
      <c r="F4755" s="19" t="s">
        <v>1422</v>
      </c>
      <c r="G4755" s="19" t="s">
        <v>1817</v>
      </c>
      <c r="H4755" s="19" t="s">
        <v>1090</v>
      </c>
      <c r="I4755" s="19">
        <v>0</v>
      </c>
      <c r="J4755" s="19">
        <v>0</v>
      </c>
      <c r="K4755" s="19" t="s">
        <v>553</v>
      </c>
      <c r="L4755" s="19">
        <v>2024</v>
      </c>
      <c r="M4755" s="20">
        <v>1</v>
      </c>
      <c r="N4755" s="19" t="s">
        <v>1067</v>
      </c>
      <c r="O4755" s="20">
        <v>30</v>
      </c>
      <c r="P4755" s="20">
        <v>30</v>
      </c>
      <c r="Q4755" s="20">
        <v>0</v>
      </c>
      <c r="R4755" s="21">
        <v>1</v>
      </c>
      <c r="S4755" s="20">
        <v>0</v>
      </c>
    </row>
    <row r="4756" spans="2:19" ht="15" customHeight="1" x14ac:dyDescent="0.25">
      <c r="B4756" s="2" t="str">
        <f t="shared" si="148"/>
        <v>NSG_Income Eligible_Multi-Family_Whole Building - Public Housing_Unit Visit_0_MF</v>
      </c>
      <c r="C4756" s="2" t="str">
        <f t="shared" si="149"/>
        <v>NSG_Income Eligible_Multi-Family_Whole Building - Public Housing_Unit Visit_0_MF_2025</v>
      </c>
      <c r="D4756" s="19" t="s">
        <v>1787</v>
      </c>
      <c r="E4756" s="19" t="s">
        <v>325</v>
      </c>
      <c r="F4756" s="19" t="s">
        <v>1422</v>
      </c>
      <c r="G4756" s="19" t="s">
        <v>1817</v>
      </c>
      <c r="H4756" s="19" t="s">
        <v>1090</v>
      </c>
      <c r="I4756" s="19">
        <v>0</v>
      </c>
      <c r="J4756" s="19">
        <v>0</v>
      </c>
      <c r="K4756" s="19" t="s">
        <v>553</v>
      </c>
      <c r="L4756" s="19">
        <v>2025</v>
      </c>
      <c r="M4756" s="20">
        <v>1</v>
      </c>
      <c r="N4756" s="19" t="s">
        <v>1067</v>
      </c>
      <c r="O4756" s="20">
        <v>30</v>
      </c>
      <c r="P4756" s="20">
        <v>30</v>
      </c>
      <c r="Q4756" s="20">
        <v>0</v>
      </c>
      <c r="R4756" s="21">
        <v>1</v>
      </c>
      <c r="S4756" s="20">
        <v>0</v>
      </c>
    </row>
    <row r="4757" spans="2:19" ht="15" customHeight="1" x14ac:dyDescent="0.25">
      <c r="B4757" s="2" t="str">
        <f t="shared" si="148"/>
        <v>NSG_Income Eligible_Multi-Family_Whole Building - Public Housing_Low Flow Bathroom Aerator_0_MF</v>
      </c>
      <c r="C4757" s="2" t="str">
        <f t="shared" si="149"/>
        <v>NSG_Income Eligible_Multi-Family_Whole Building - Public Housing_Low Flow Bathroom Aerator_0_MF_2022</v>
      </c>
      <c r="D4757" s="19" t="s">
        <v>1787</v>
      </c>
      <c r="E4757" s="19" t="s">
        <v>325</v>
      </c>
      <c r="F4757" s="19" t="s">
        <v>1422</v>
      </c>
      <c r="G4757" s="19" t="s">
        <v>1817</v>
      </c>
      <c r="H4757" s="19" t="s">
        <v>555</v>
      </c>
      <c r="I4757" s="19">
        <v>0</v>
      </c>
      <c r="J4757" s="19" t="s">
        <v>534</v>
      </c>
      <c r="K4757" s="19" t="s">
        <v>553</v>
      </c>
      <c r="L4757" s="19">
        <v>2022</v>
      </c>
      <c r="M4757" s="20">
        <v>1</v>
      </c>
      <c r="N4757" s="19" t="s">
        <v>1798</v>
      </c>
      <c r="O4757" s="20">
        <v>5</v>
      </c>
      <c r="P4757" s="20">
        <v>5</v>
      </c>
      <c r="Q4757" s="20">
        <v>7.8475604079600014</v>
      </c>
      <c r="R4757" s="21">
        <v>1</v>
      </c>
      <c r="S4757" s="20">
        <v>7.8475604079600014</v>
      </c>
    </row>
    <row r="4758" spans="2:19" ht="15" customHeight="1" x14ac:dyDescent="0.25">
      <c r="B4758" s="2" t="str">
        <f t="shared" si="148"/>
        <v>NSG_Income Eligible_Multi-Family_Whole Building - Public Housing_Low Flow Bathroom Aerator_0_MF</v>
      </c>
      <c r="C4758" s="2" t="str">
        <f t="shared" si="149"/>
        <v>NSG_Income Eligible_Multi-Family_Whole Building - Public Housing_Low Flow Bathroom Aerator_0_MF_2023</v>
      </c>
      <c r="D4758" s="19" t="s">
        <v>1787</v>
      </c>
      <c r="E4758" s="19" t="s">
        <v>325</v>
      </c>
      <c r="F4758" s="19" t="s">
        <v>1422</v>
      </c>
      <c r="G4758" s="19" t="s">
        <v>1817</v>
      </c>
      <c r="H4758" s="19" t="s">
        <v>555</v>
      </c>
      <c r="I4758" s="19">
        <v>0</v>
      </c>
      <c r="J4758" s="19" t="s">
        <v>534</v>
      </c>
      <c r="K4758" s="19" t="s">
        <v>553</v>
      </c>
      <c r="L4758" s="19">
        <v>2023</v>
      </c>
      <c r="M4758" s="20">
        <v>1</v>
      </c>
      <c r="N4758" s="19" t="s">
        <v>1798</v>
      </c>
      <c r="O4758" s="20">
        <v>5</v>
      </c>
      <c r="P4758" s="20">
        <v>5</v>
      </c>
      <c r="Q4758" s="20">
        <v>7.8475604079600014</v>
      </c>
      <c r="R4758" s="21">
        <v>1</v>
      </c>
      <c r="S4758" s="20">
        <v>7.8475604079600014</v>
      </c>
    </row>
    <row r="4759" spans="2:19" ht="15" customHeight="1" x14ac:dyDescent="0.25">
      <c r="B4759" s="2" t="str">
        <f t="shared" si="148"/>
        <v>NSG_Income Eligible_Multi-Family_Whole Building - Public Housing_Low Flow Bathroom Aerator_0_MF</v>
      </c>
      <c r="C4759" s="2" t="str">
        <f t="shared" si="149"/>
        <v>NSG_Income Eligible_Multi-Family_Whole Building - Public Housing_Low Flow Bathroom Aerator_0_MF_2024</v>
      </c>
      <c r="D4759" s="19" t="s">
        <v>1787</v>
      </c>
      <c r="E4759" s="19" t="s">
        <v>325</v>
      </c>
      <c r="F4759" s="19" t="s">
        <v>1422</v>
      </c>
      <c r="G4759" s="19" t="s">
        <v>1817</v>
      </c>
      <c r="H4759" s="19" t="s">
        <v>555</v>
      </c>
      <c r="I4759" s="19">
        <v>0</v>
      </c>
      <c r="J4759" s="19" t="s">
        <v>534</v>
      </c>
      <c r="K4759" s="19" t="s">
        <v>553</v>
      </c>
      <c r="L4759" s="19">
        <v>2024</v>
      </c>
      <c r="M4759" s="20">
        <v>1</v>
      </c>
      <c r="N4759" s="19" t="s">
        <v>1798</v>
      </c>
      <c r="O4759" s="20">
        <v>5</v>
      </c>
      <c r="P4759" s="20">
        <v>5</v>
      </c>
      <c r="Q4759" s="20">
        <v>7.8475604079600014</v>
      </c>
      <c r="R4759" s="21">
        <v>1</v>
      </c>
      <c r="S4759" s="20">
        <v>7.8475604079600014</v>
      </c>
    </row>
    <row r="4760" spans="2:19" ht="15" customHeight="1" x14ac:dyDescent="0.25">
      <c r="B4760" s="2" t="str">
        <f t="shared" si="148"/>
        <v>NSG_Income Eligible_Multi-Family_Whole Building - Public Housing_Low Flow Bathroom Aerator_0_MF</v>
      </c>
      <c r="C4760" s="2" t="str">
        <f t="shared" si="149"/>
        <v>NSG_Income Eligible_Multi-Family_Whole Building - Public Housing_Low Flow Bathroom Aerator_0_MF_2025</v>
      </c>
      <c r="D4760" s="19" t="s">
        <v>1787</v>
      </c>
      <c r="E4760" s="19" t="s">
        <v>325</v>
      </c>
      <c r="F4760" s="19" t="s">
        <v>1422</v>
      </c>
      <c r="G4760" s="19" t="s">
        <v>1817</v>
      </c>
      <c r="H4760" s="19" t="s">
        <v>555</v>
      </c>
      <c r="I4760" s="19">
        <v>0</v>
      </c>
      <c r="J4760" s="19" t="s">
        <v>534</v>
      </c>
      <c r="K4760" s="19" t="s">
        <v>553</v>
      </c>
      <c r="L4760" s="19">
        <v>2025</v>
      </c>
      <c r="M4760" s="20">
        <v>1</v>
      </c>
      <c r="N4760" s="19" t="s">
        <v>1798</v>
      </c>
      <c r="O4760" s="20">
        <v>5</v>
      </c>
      <c r="P4760" s="20">
        <v>5</v>
      </c>
      <c r="Q4760" s="20">
        <v>7.8475604079600014</v>
      </c>
      <c r="R4760" s="21">
        <v>1</v>
      </c>
      <c r="S4760" s="20">
        <v>7.8475604079600014</v>
      </c>
    </row>
    <row r="4761" spans="2:19" ht="15" customHeight="1" x14ac:dyDescent="0.25">
      <c r="B4761" s="2" t="str">
        <f t="shared" si="148"/>
        <v>NSG_Income Eligible_Multi-Family_Whole Building - Public Housing_Low Flow Kitchen Aerator_0_MF</v>
      </c>
      <c r="C4761" s="2" t="str">
        <f t="shared" si="149"/>
        <v>NSG_Income Eligible_Multi-Family_Whole Building - Public Housing_Low Flow Kitchen Aerator_0_MF_2022</v>
      </c>
      <c r="D4761" s="19" t="s">
        <v>1787</v>
      </c>
      <c r="E4761" s="19" t="s">
        <v>325</v>
      </c>
      <c r="F4761" s="19" t="s">
        <v>1422</v>
      </c>
      <c r="G4761" s="19" t="s">
        <v>1817</v>
      </c>
      <c r="H4761" s="19" t="s">
        <v>533</v>
      </c>
      <c r="I4761" s="19">
        <v>0</v>
      </c>
      <c r="J4761" s="19" t="s">
        <v>534</v>
      </c>
      <c r="K4761" s="19" t="s">
        <v>553</v>
      </c>
      <c r="L4761" s="19">
        <v>2022</v>
      </c>
      <c r="M4761" s="20">
        <v>1</v>
      </c>
      <c r="N4761" s="19" t="s">
        <v>1798</v>
      </c>
      <c r="O4761" s="20">
        <v>12</v>
      </c>
      <c r="P4761" s="20">
        <v>12</v>
      </c>
      <c r="Q4761" s="20">
        <v>94.335428317444084</v>
      </c>
      <c r="R4761" s="21">
        <v>1</v>
      </c>
      <c r="S4761" s="20">
        <v>94.335428317444084</v>
      </c>
    </row>
    <row r="4762" spans="2:19" ht="15" customHeight="1" x14ac:dyDescent="0.25">
      <c r="B4762" s="2" t="str">
        <f t="shared" si="148"/>
        <v>NSG_Income Eligible_Multi-Family_Whole Building - Public Housing_Low Flow Kitchen Aerator_0_MF</v>
      </c>
      <c r="C4762" s="2" t="str">
        <f t="shared" si="149"/>
        <v>NSG_Income Eligible_Multi-Family_Whole Building - Public Housing_Low Flow Kitchen Aerator_0_MF_2023</v>
      </c>
      <c r="D4762" s="19" t="s">
        <v>1787</v>
      </c>
      <c r="E4762" s="19" t="s">
        <v>325</v>
      </c>
      <c r="F4762" s="19" t="s">
        <v>1422</v>
      </c>
      <c r="G4762" s="19" t="s">
        <v>1817</v>
      </c>
      <c r="H4762" s="19" t="s">
        <v>533</v>
      </c>
      <c r="I4762" s="19">
        <v>0</v>
      </c>
      <c r="J4762" s="19" t="s">
        <v>534</v>
      </c>
      <c r="K4762" s="19" t="s">
        <v>553</v>
      </c>
      <c r="L4762" s="19">
        <v>2023</v>
      </c>
      <c r="M4762" s="20">
        <v>1</v>
      </c>
      <c r="N4762" s="19" t="s">
        <v>1798</v>
      </c>
      <c r="O4762" s="20">
        <v>12</v>
      </c>
      <c r="P4762" s="20">
        <v>12</v>
      </c>
      <c r="Q4762" s="20">
        <v>94.335428317444084</v>
      </c>
      <c r="R4762" s="21">
        <v>1</v>
      </c>
      <c r="S4762" s="20">
        <v>94.335428317444084</v>
      </c>
    </row>
    <row r="4763" spans="2:19" ht="15" customHeight="1" x14ac:dyDescent="0.25">
      <c r="B4763" s="2" t="str">
        <f t="shared" si="148"/>
        <v>NSG_Income Eligible_Multi-Family_Whole Building - Public Housing_Low Flow Kitchen Aerator_0_MF</v>
      </c>
      <c r="C4763" s="2" t="str">
        <f t="shared" si="149"/>
        <v>NSG_Income Eligible_Multi-Family_Whole Building - Public Housing_Low Flow Kitchen Aerator_0_MF_2024</v>
      </c>
      <c r="D4763" s="19" t="s">
        <v>1787</v>
      </c>
      <c r="E4763" s="19" t="s">
        <v>325</v>
      </c>
      <c r="F4763" s="19" t="s">
        <v>1422</v>
      </c>
      <c r="G4763" s="19" t="s">
        <v>1817</v>
      </c>
      <c r="H4763" s="19" t="s">
        <v>533</v>
      </c>
      <c r="I4763" s="19">
        <v>0</v>
      </c>
      <c r="J4763" s="19" t="s">
        <v>534</v>
      </c>
      <c r="K4763" s="19" t="s">
        <v>553</v>
      </c>
      <c r="L4763" s="19">
        <v>2024</v>
      </c>
      <c r="M4763" s="20">
        <v>1</v>
      </c>
      <c r="N4763" s="19" t="s">
        <v>1798</v>
      </c>
      <c r="O4763" s="20">
        <v>12</v>
      </c>
      <c r="P4763" s="20">
        <v>12</v>
      </c>
      <c r="Q4763" s="20">
        <v>94.335428317444084</v>
      </c>
      <c r="R4763" s="21">
        <v>1</v>
      </c>
      <c r="S4763" s="20">
        <v>94.335428317444084</v>
      </c>
    </row>
    <row r="4764" spans="2:19" ht="15" customHeight="1" x14ac:dyDescent="0.25">
      <c r="B4764" s="2" t="str">
        <f t="shared" si="148"/>
        <v>NSG_Income Eligible_Multi-Family_Whole Building - Public Housing_Low Flow Kitchen Aerator_0_MF</v>
      </c>
      <c r="C4764" s="2" t="str">
        <f t="shared" si="149"/>
        <v>NSG_Income Eligible_Multi-Family_Whole Building - Public Housing_Low Flow Kitchen Aerator_0_MF_2025</v>
      </c>
      <c r="D4764" s="19" t="s">
        <v>1787</v>
      </c>
      <c r="E4764" s="19" t="s">
        <v>325</v>
      </c>
      <c r="F4764" s="19" t="s">
        <v>1422</v>
      </c>
      <c r="G4764" s="19" t="s">
        <v>1817</v>
      </c>
      <c r="H4764" s="19" t="s">
        <v>533</v>
      </c>
      <c r="I4764" s="19">
        <v>0</v>
      </c>
      <c r="J4764" s="19" t="s">
        <v>534</v>
      </c>
      <c r="K4764" s="19" t="s">
        <v>553</v>
      </c>
      <c r="L4764" s="19">
        <v>2025</v>
      </c>
      <c r="M4764" s="20">
        <v>1</v>
      </c>
      <c r="N4764" s="19" t="s">
        <v>1798</v>
      </c>
      <c r="O4764" s="20">
        <v>12</v>
      </c>
      <c r="P4764" s="20">
        <v>12</v>
      </c>
      <c r="Q4764" s="20">
        <v>94.335428317444084</v>
      </c>
      <c r="R4764" s="21">
        <v>1</v>
      </c>
      <c r="S4764" s="20">
        <v>94.335428317444084</v>
      </c>
    </row>
    <row r="4765" spans="2:19" ht="15" customHeight="1" x14ac:dyDescent="0.25">
      <c r="B4765" s="2" t="str">
        <f t="shared" si="148"/>
        <v>NSG_Income Eligible_Multi-Family_Whole Building - Public Housing_Low Flow Showerhead_0_MF</v>
      </c>
      <c r="C4765" s="2" t="str">
        <f t="shared" si="149"/>
        <v>NSG_Income Eligible_Multi-Family_Whole Building - Public Housing_Low Flow Showerhead_0_MF_2022</v>
      </c>
      <c r="D4765" s="19" t="s">
        <v>1787</v>
      </c>
      <c r="E4765" s="19" t="s">
        <v>325</v>
      </c>
      <c r="F4765" s="19" t="s">
        <v>1422</v>
      </c>
      <c r="G4765" s="19" t="s">
        <v>1817</v>
      </c>
      <c r="H4765" s="19" t="s">
        <v>15</v>
      </c>
      <c r="I4765" s="19">
        <v>0</v>
      </c>
      <c r="J4765" s="19" t="s">
        <v>23</v>
      </c>
      <c r="K4765" s="19" t="s">
        <v>553</v>
      </c>
      <c r="L4765" s="19">
        <v>2022</v>
      </c>
      <c r="M4765" s="20">
        <v>3</v>
      </c>
      <c r="N4765" s="19" t="s">
        <v>1798</v>
      </c>
      <c r="O4765" s="20">
        <v>12</v>
      </c>
      <c r="P4765" s="20">
        <v>36</v>
      </c>
      <c r="Q4765" s="20">
        <v>407.48618300291992</v>
      </c>
      <c r="R4765" s="21">
        <v>1</v>
      </c>
      <c r="S4765" s="20">
        <v>407.48618300291992</v>
      </c>
    </row>
    <row r="4766" spans="2:19" ht="15" customHeight="1" x14ac:dyDescent="0.25">
      <c r="B4766" s="2" t="str">
        <f t="shared" si="148"/>
        <v>NSG_Income Eligible_Multi-Family_Whole Building - Public Housing_Low Flow Showerhead_0_MF</v>
      </c>
      <c r="C4766" s="2" t="str">
        <f t="shared" si="149"/>
        <v>NSG_Income Eligible_Multi-Family_Whole Building - Public Housing_Low Flow Showerhead_0_MF_2023</v>
      </c>
      <c r="D4766" s="19" t="s">
        <v>1787</v>
      </c>
      <c r="E4766" s="19" t="s">
        <v>325</v>
      </c>
      <c r="F4766" s="19" t="s">
        <v>1422</v>
      </c>
      <c r="G4766" s="19" t="s">
        <v>1817</v>
      </c>
      <c r="H4766" s="19" t="s">
        <v>15</v>
      </c>
      <c r="I4766" s="19">
        <v>0</v>
      </c>
      <c r="J4766" s="19" t="s">
        <v>23</v>
      </c>
      <c r="K4766" s="19" t="s">
        <v>553</v>
      </c>
      <c r="L4766" s="19">
        <v>2023</v>
      </c>
      <c r="M4766" s="20">
        <v>3</v>
      </c>
      <c r="N4766" s="19" t="s">
        <v>1798</v>
      </c>
      <c r="O4766" s="20">
        <v>12</v>
      </c>
      <c r="P4766" s="20">
        <v>36</v>
      </c>
      <c r="Q4766" s="20">
        <v>407.48618300291992</v>
      </c>
      <c r="R4766" s="21">
        <v>1</v>
      </c>
      <c r="S4766" s="20">
        <v>407.48618300291992</v>
      </c>
    </row>
    <row r="4767" spans="2:19" ht="15" customHeight="1" x14ac:dyDescent="0.25">
      <c r="B4767" s="2" t="str">
        <f t="shared" si="148"/>
        <v>NSG_Income Eligible_Multi-Family_Whole Building - Public Housing_Low Flow Showerhead_0_MF</v>
      </c>
      <c r="C4767" s="2" t="str">
        <f t="shared" si="149"/>
        <v>NSG_Income Eligible_Multi-Family_Whole Building - Public Housing_Low Flow Showerhead_0_MF_2024</v>
      </c>
      <c r="D4767" s="19" t="s">
        <v>1787</v>
      </c>
      <c r="E4767" s="19" t="s">
        <v>325</v>
      </c>
      <c r="F4767" s="19" t="s">
        <v>1422</v>
      </c>
      <c r="G4767" s="19" t="s">
        <v>1817</v>
      </c>
      <c r="H4767" s="19" t="s">
        <v>15</v>
      </c>
      <c r="I4767" s="19">
        <v>0</v>
      </c>
      <c r="J4767" s="19" t="s">
        <v>23</v>
      </c>
      <c r="K4767" s="19" t="s">
        <v>553</v>
      </c>
      <c r="L4767" s="19">
        <v>2024</v>
      </c>
      <c r="M4767" s="20">
        <v>3</v>
      </c>
      <c r="N4767" s="19" t="s">
        <v>1798</v>
      </c>
      <c r="O4767" s="20">
        <v>12</v>
      </c>
      <c r="P4767" s="20">
        <v>36</v>
      </c>
      <c r="Q4767" s="20">
        <v>407.48618300291992</v>
      </c>
      <c r="R4767" s="21">
        <v>1</v>
      </c>
      <c r="S4767" s="20">
        <v>407.48618300291992</v>
      </c>
    </row>
    <row r="4768" spans="2:19" ht="15" customHeight="1" x14ac:dyDescent="0.25">
      <c r="B4768" s="2" t="str">
        <f t="shared" si="148"/>
        <v>NSG_Income Eligible_Multi-Family_Whole Building - Public Housing_Low Flow Showerhead_0_MF</v>
      </c>
      <c r="C4768" s="2" t="str">
        <f t="shared" si="149"/>
        <v>NSG_Income Eligible_Multi-Family_Whole Building - Public Housing_Low Flow Showerhead_0_MF_2025</v>
      </c>
      <c r="D4768" s="19" t="s">
        <v>1787</v>
      </c>
      <c r="E4768" s="19" t="s">
        <v>325</v>
      </c>
      <c r="F4768" s="19" t="s">
        <v>1422</v>
      </c>
      <c r="G4768" s="19" t="s">
        <v>1817</v>
      </c>
      <c r="H4768" s="19" t="s">
        <v>15</v>
      </c>
      <c r="I4768" s="19">
        <v>0</v>
      </c>
      <c r="J4768" s="19" t="s">
        <v>23</v>
      </c>
      <c r="K4768" s="19" t="s">
        <v>553</v>
      </c>
      <c r="L4768" s="19">
        <v>2025</v>
      </c>
      <c r="M4768" s="20">
        <v>3</v>
      </c>
      <c r="N4768" s="19" t="s">
        <v>1798</v>
      </c>
      <c r="O4768" s="20">
        <v>12</v>
      </c>
      <c r="P4768" s="20">
        <v>36</v>
      </c>
      <c r="Q4768" s="20">
        <v>407.48618300291992</v>
      </c>
      <c r="R4768" s="21">
        <v>1</v>
      </c>
      <c r="S4768" s="20">
        <v>407.48618300291992</v>
      </c>
    </row>
    <row r="4769" spans="2:19" ht="15" customHeight="1" x14ac:dyDescent="0.25">
      <c r="B4769" s="2" t="str">
        <f t="shared" si="148"/>
        <v>NSG_Income Eligible_Multi-Family_Whole Building - Public Housing_Pipe Insulation_DHW_MF</v>
      </c>
      <c r="C4769" s="2" t="str">
        <f t="shared" si="149"/>
        <v>NSG_Income Eligible_Multi-Family_Whole Building - Public Housing_Pipe Insulation_DHW_MF_2022</v>
      </c>
      <c r="D4769" s="19" t="s">
        <v>1787</v>
      </c>
      <c r="E4769" s="19" t="s">
        <v>325</v>
      </c>
      <c r="F4769" s="19" t="s">
        <v>1422</v>
      </c>
      <c r="G4769" s="19" t="s">
        <v>1817</v>
      </c>
      <c r="H4769" s="19" t="s">
        <v>404</v>
      </c>
      <c r="I4769" s="19" t="s">
        <v>1019</v>
      </c>
      <c r="J4769" s="19" t="s">
        <v>1008</v>
      </c>
      <c r="K4769" s="19" t="s">
        <v>553</v>
      </c>
      <c r="L4769" s="19">
        <v>2022</v>
      </c>
      <c r="M4769" s="20">
        <v>3</v>
      </c>
      <c r="N4769" s="19" t="s">
        <v>1798</v>
      </c>
      <c r="O4769" s="20">
        <v>15</v>
      </c>
      <c r="P4769" s="20">
        <v>45</v>
      </c>
      <c r="Q4769" s="20">
        <v>39.720001732742489</v>
      </c>
      <c r="R4769" s="21">
        <v>1</v>
      </c>
      <c r="S4769" s="20">
        <v>39.720001732742489</v>
      </c>
    </row>
    <row r="4770" spans="2:19" ht="15" customHeight="1" x14ac:dyDescent="0.25">
      <c r="B4770" s="2" t="str">
        <f t="shared" si="148"/>
        <v>NSG_Income Eligible_Multi-Family_Whole Building - Public Housing_Pipe Insulation_DHW_MF</v>
      </c>
      <c r="C4770" s="2" t="str">
        <f t="shared" si="149"/>
        <v>NSG_Income Eligible_Multi-Family_Whole Building - Public Housing_Pipe Insulation_DHW_MF_2023</v>
      </c>
      <c r="D4770" s="19" t="s">
        <v>1787</v>
      </c>
      <c r="E4770" s="19" t="s">
        <v>325</v>
      </c>
      <c r="F4770" s="19" t="s">
        <v>1422</v>
      </c>
      <c r="G4770" s="19" t="s">
        <v>1817</v>
      </c>
      <c r="H4770" s="19" t="s">
        <v>404</v>
      </c>
      <c r="I4770" s="19" t="s">
        <v>1019</v>
      </c>
      <c r="J4770" s="19" t="s">
        <v>1008</v>
      </c>
      <c r="K4770" s="19" t="s">
        <v>553</v>
      </c>
      <c r="L4770" s="19">
        <v>2023</v>
      </c>
      <c r="M4770" s="20">
        <v>3</v>
      </c>
      <c r="N4770" s="19" t="s">
        <v>1798</v>
      </c>
      <c r="O4770" s="20">
        <v>15</v>
      </c>
      <c r="P4770" s="20">
        <v>45</v>
      </c>
      <c r="Q4770" s="20">
        <v>39.720001732742489</v>
      </c>
      <c r="R4770" s="21">
        <v>1</v>
      </c>
      <c r="S4770" s="20">
        <v>39.720001732742489</v>
      </c>
    </row>
    <row r="4771" spans="2:19" ht="15" customHeight="1" x14ac:dyDescent="0.25">
      <c r="B4771" s="2" t="str">
        <f t="shared" si="148"/>
        <v>NSG_Income Eligible_Multi-Family_Whole Building - Public Housing_Pipe Insulation_DHW_MF</v>
      </c>
      <c r="C4771" s="2" t="str">
        <f t="shared" si="149"/>
        <v>NSG_Income Eligible_Multi-Family_Whole Building - Public Housing_Pipe Insulation_DHW_MF_2024</v>
      </c>
      <c r="D4771" s="19" t="s">
        <v>1787</v>
      </c>
      <c r="E4771" s="19" t="s">
        <v>325</v>
      </c>
      <c r="F4771" s="19" t="s">
        <v>1422</v>
      </c>
      <c r="G4771" s="19" t="s">
        <v>1817</v>
      </c>
      <c r="H4771" s="19" t="s">
        <v>404</v>
      </c>
      <c r="I4771" s="19" t="s">
        <v>1019</v>
      </c>
      <c r="J4771" s="19" t="s">
        <v>1008</v>
      </c>
      <c r="K4771" s="19" t="s">
        <v>553</v>
      </c>
      <c r="L4771" s="19">
        <v>2024</v>
      </c>
      <c r="M4771" s="20">
        <v>3</v>
      </c>
      <c r="N4771" s="19" t="s">
        <v>1798</v>
      </c>
      <c r="O4771" s="20">
        <v>15</v>
      </c>
      <c r="P4771" s="20">
        <v>45</v>
      </c>
      <c r="Q4771" s="20">
        <v>39.720001732742489</v>
      </c>
      <c r="R4771" s="21">
        <v>1</v>
      </c>
      <c r="S4771" s="20">
        <v>39.720001732742489</v>
      </c>
    </row>
    <row r="4772" spans="2:19" ht="15" customHeight="1" x14ac:dyDescent="0.25">
      <c r="B4772" s="2" t="str">
        <f t="shared" si="148"/>
        <v>NSG_Income Eligible_Multi-Family_Whole Building - Public Housing_Pipe Insulation_DHW_MF</v>
      </c>
      <c r="C4772" s="2" t="str">
        <f t="shared" si="149"/>
        <v>NSG_Income Eligible_Multi-Family_Whole Building - Public Housing_Pipe Insulation_DHW_MF_2025</v>
      </c>
      <c r="D4772" s="19" t="s">
        <v>1787</v>
      </c>
      <c r="E4772" s="19" t="s">
        <v>325</v>
      </c>
      <c r="F4772" s="19" t="s">
        <v>1422</v>
      </c>
      <c r="G4772" s="19" t="s">
        <v>1817</v>
      </c>
      <c r="H4772" s="19" t="s">
        <v>404</v>
      </c>
      <c r="I4772" s="19" t="s">
        <v>1019</v>
      </c>
      <c r="J4772" s="19" t="s">
        <v>1008</v>
      </c>
      <c r="K4772" s="19" t="s">
        <v>553</v>
      </c>
      <c r="L4772" s="19">
        <v>2025</v>
      </c>
      <c r="M4772" s="20">
        <v>3</v>
      </c>
      <c r="N4772" s="19" t="s">
        <v>1798</v>
      </c>
      <c r="O4772" s="20">
        <v>15</v>
      </c>
      <c r="P4772" s="20">
        <v>45</v>
      </c>
      <c r="Q4772" s="20">
        <v>39.720001732742489</v>
      </c>
      <c r="R4772" s="21">
        <v>1</v>
      </c>
      <c r="S4772" s="20">
        <v>39.720001732742489</v>
      </c>
    </row>
    <row r="4773" spans="2:19" ht="15" customHeight="1" x14ac:dyDescent="0.25">
      <c r="B4773" s="2" t="str">
        <f t="shared" si="148"/>
        <v>NSG_Income Eligible_Multi-Family_Whole Building - Public Housing_Pipe Insulation_Boiler_MF</v>
      </c>
      <c r="C4773" s="2" t="str">
        <f t="shared" si="149"/>
        <v>NSG_Income Eligible_Multi-Family_Whole Building - Public Housing_Pipe Insulation_Boiler_MF_2022</v>
      </c>
      <c r="D4773" s="19" t="s">
        <v>1787</v>
      </c>
      <c r="E4773" s="19" t="s">
        <v>325</v>
      </c>
      <c r="F4773" s="19" t="s">
        <v>1422</v>
      </c>
      <c r="G4773" s="19" t="s">
        <v>1817</v>
      </c>
      <c r="H4773" s="19" t="s">
        <v>404</v>
      </c>
      <c r="I4773" s="19" t="s">
        <v>944</v>
      </c>
      <c r="J4773" s="19" t="s">
        <v>1008</v>
      </c>
      <c r="K4773" s="19" t="s">
        <v>553</v>
      </c>
      <c r="L4773" s="19">
        <v>2022</v>
      </c>
      <c r="M4773" s="20">
        <v>1</v>
      </c>
      <c r="N4773" s="19" t="s">
        <v>1798</v>
      </c>
      <c r="O4773" s="20">
        <v>0</v>
      </c>
      <c r="P4773" s="20">
        <v>0</v>
      </c>
      <c r="Q4773" s="20">
        <v>0</v>
      </c>
      <c r="R4773" s="21">
        <v>1</v>
      </c>
      <c r="S4773" s="20">
        <v>0</v>
      </c>
    </row>
    <row r="4774" spans="2:19" ht="15" customHeight="1" x14ac:dyDescent="0.25">
      <c r="B4774" s="2" t="str">
        <f t="shared" si="148"/>
        <v>NSG_Income Eligible_Multi-Family_Whole Building - Public Housing_Pipe Insulation_Boiler_MF</v>
      </c>
      <c r="C4774" s="2" t="str">
        <f t="shared" si="149"/>
        <v>NSG_Income Eligible_Multi-Family_Whole Building - Public Housing_Pipe Insulation_Boiler_MF_2023</v>
      </c>
      <c r="D4774" s="19" t="s">
        <v>1787</v>
      </c>
      <c r="E4774" s="19" t="s">
        <v>325</v>
      </c>
      <c r="F4774" s="19" t="s">
        <v>1422</v>
      </c>
      <c r="G4774" s="19" t="s">
        <v>1817</v>
      </c>
      <c r="H4774" s="19" t="s">
        <v>404</v>
      </c>
      <c r="I4774" s="19" t="s">
        <v>944</v>
      </c>
      <c r="J4774" s="19" t="s">
        <v>1008</v>
      </c>
      <c r="K4774" s="19" t="s">
        <v>553</v>
      </c>
      <c r="L4774" s="19">
        <v>2023</v>
      </c>
      <c r="M4774" s="20">
        <v>1</v>
      </c>
      <c r="N4774" s="19" t="s">
        <v>1798</v>
      </c>
      <c r="O4774" s="20">
        <v>0</v>
      </c>
      <c r="P4774" s="20">
        <v>0</v>
      </c>
      <c r="Q4774" s="20">
        <v>0</v>
      </c>
      <c r="R4774" s="21">
        <v>1</v>
      </c>
      <c r="S4774" s="20">
        <v>0</v>
      </c>
    </row>
    <row r="4775" spans="2:19" ht="15" customHeight="1" x14ac:dyDescent="0.25">
      <c r="B4775" s="2" t="str">
        <f t="shared" si="148"/>
        <v>NSG_Income Eligible_Multi-Family_Whole Building - Public Housing_Pipe Insulation_Boiler_MF</v>
      </c>
      <c r="C4775" s="2" t="str">
        <f t="shared" si="149"/>
        <v>NSG_Income Eligible_Multi-Family_Whole Building - Public Housing_Pipe Insulation_Boiler_MF_2024</v>
      </c>
      <c r="D4775" s="19" t="s">
        <v>1787</v>
      </c>
      <c r="E4775" s="19" t="s">
        <v>325</v>
      </c>
      <c r="F4775" s="19" t="s">
        <v>1422</v>
      </c>
      <c r="G4775" s="19" t="s">
        <v>1817</v>
      </c>
      <c r="H4775" s="19" t="s">
        <v>404</v>
      </c>
      <c r="I4775" s="19" t="s">
        <v>944</v>
      </c>
      <c r="J4775" s="19" t="s">
        <v>1008</v>
      </c>
      <c r="K4775" s="19" t="s">
        <v>553</v>
      </c>
      <c r="L4775" s="19">
        <v>2024</v>
      </c>
      <c r="M4775" s="20">
        <v>1</v>
      </c>
      <c r="N4775" s="19" t="s">
        <v>1798</v>
      </c>
      <c r="O4775" s="20">
        <v>0</v>
      </c>
      <c r="P4775" s="20">
        <v>0</v>
      </c>
      <c r="Q4775" s="20">
        <v>0</v>
      </c>
      <c r="R4775" s="21">
        <v>1</v>
      </c>
      <c r="S4775" s="20">
        <v>0</v>
      </c>
    </row>
    <row r="4776" spans="2:19" ht="15" customHeight="1" x14ac:dyDescent="0.25">
      <c r="B4776" s="2" t="str">
        <f t="shared" si="148"/>
        <v>NSG_Income Eligible_Multi-Family_Whole Building - Public Housing_Pipe Insulation_Boiler_MF</v>
      </c>
      <c r="C4776" s="2" t="str">
        <f t="shared" si="149"/>
        <v>NSG_Income Eligible_Multi-Family_Whole Building - Public Housing_Pipe Insulation_Boiler_MF_2025</v>
      </c>
      <c r="D4776" s="19" t="s">
        <v>1787</v>
      </c>
      <c r="E4776" s="19" t="s">
        <v>325</v>
      </c>
      <c r="F4776" s="19" t="s">
        <v>1422</v>
      </c>
      <c r="G4776" s="19" t="s">
        <v>1817</v>
      </c>
      <c r="H4776" s="19" t="s">
        <v>404</v>
      </c>
      <c r="I4776" s="19" t="s">
        <v>944</v>
      </c>
      <c r="J4776" s="19" t="s">
        <v>1008</v>
      </c>
      <c r="K4776" s="19" t="s">
        <v>553</v>
      </c>
      <c r="L4776" s="19">
        <v>2025</v>
      </c>
      <c r="M4776" s="20">
        <v>1</v>
      </c>
      <c r="N4776" s="19" t="s">
        <v>1798</v>
      </c>
      <c r="O4776" s="20">
        <v>0</v>
      </c>
      <c r="P4776" s="20">
        <v>0</v>
      </c>
      <c r="Q4776" s="20">
        <v>0</v>
      </c>
      <c r="R4776" s="21">
        <v>1</v>
      </c>
      <c r="S4776" s="20">
        <v>0</v>
      </c>
    </row>
    <row r="4777" spans="2:19" ht="15" customHeight="1" x14ac:dyDescent="0.25">
      <c r="B4777" s="2" t="str">
        <f t="shared" si="148"/>
        <v>NSG_Income Eligible_Multi-Family_Whole Building - Public Housing_Programmable Thermostat_Furnace (DI)_MF</v>
      </c>
      <c r="C4777" s="2" t="str">
        <f t="shared" si="149"/>
        <v>NSG_Income Eligible_Multi-Family_Whole Building - Public Housing_Programmable Thermostat_Furnace (DI)_MF_2022</v>
      </c>
      <c r="D4777" s="19" t="s">
        <v>1787</v>
      </c>
      <c r="E4777" s="19" t="s">
        <v>325</v>
      </c>
      <c r="F4777" s="19" t="s">
        <v>1422</v>
      </c>
      <c r="G4777" s="19" t="s">
        <v>1817</v>
      </c>
      <c r="H4777" s="19" t="s">
        <v>224</v>
      </c>
      <c r="I4777" s="19" t="s">
        <v>1038</v>
      </c>
      <c r="J4777" s="19" t="s">
        <v>24</v>
      </c>
      <c r="K4777" s="19" t="s">
        <v>553</v>
      </c>
      <c r="L4777" s="19">
        <v>2022</v>
      </c>
      <c r="M4777" s="20">
        <v>1</v>
      </c>
      <c r="N4777" s="19" t="s">
        <v>1798</v>
      </c>
      <c r="O4777" s="20">
        <v>2</v>
      </c>
      <c r="P4777" s="20">
        <v>2</v>
      </c>
      <c r="Q4777" s="20">
        <v>81.003</v>
      </c>
      <c r="R4777" s="21">
        <v>1</v>
      </c>
      <c r="S4777" s="20">
        <v>81.003</v>
      </c>
    </row>
    <row r="4778" spans="2:19" ht="15" customHeight="1" x14ac:dyDescent="0.25">
      <c r="B4778" s="2" t="str">
        <f t="shared" si="148"/>
        <v>NSG_Income Eligible_Multi-Family_Whole Building - Public Housing_Programmable Thermostat_Furnace (DI)_MF</v>
      </c>
      <c r="C4778" s="2" t="str">
        <f t="shared" si="149"/>
        <v>NSG_Income Eligible_Multi-Family_Whole Building - Public Housing_Programmable Thermostat_Furnace (DI)_MF_2023</v>
      </c>
      <c r="D4778" s="19" t="s">
        <v>1787</v>
      </c>
      <c r="E4778" s="19" t="s">
        <v>325</v>
      </c>
      <c r="F4778" s="19" t="s">
        <v>1422</v>
      </c>
      <c r="G4778" s="19" t="s">
        <v>1817</v>
      </c>
      <c r="H4778" s="19" t="s">
        <v>224</v>
      </c>
      <c r="I4778" s="19" t="s">
        <v>1038</v>
      </c>
      <c r="J4778" s="19" t="s">
        <v>24</v>
      </c>
      <c r="K4778" s="19" t="s">
        <v>553</v>
      </c>
      <c r="L4778" s="19">
        <v>2023</v>
      </c>
      <c r="M4778" s="20">
        <v>1</v>
      </c>
      <c r="N4778" s="19" t="s">
        <v>1798</v>
      </c>
      <c r="O4778" s="20">
        <v>2</v>
      </c>
      <c r="P4778" s="20">
        <v>2</v>
      </c>
      <c r="Q4778" s="20">
        <v>81.003</v>
      </c>
      <c r="R4778" s="21">
        <v>1</v>
      </c>
      <c r="S4778" s="20">
        <v>81.003</v>
      </c>
    </row>
    <row r="4779" spans="2:19" ht="15" customHeight="1" x14ac:dyDescent="0.25">
      <c r="B4779" s="2" t="str">
        <f t="shared" si="148"/>
        <v>NSG_Income Eligible_Multi-Family_Whole Building - Public Housing_Programmable Thermostat_Furnace (DI)_MF</v>
      </c>
      <c r="C4779" s="2" t="str">
        <f t="shared" si="149"/>
        <v>NSG_Income Eligible_Multi-Family_Whole Building - Public Housing_Programmable Thermostat_Furnace (DI)_MF_2024</v>
      </c>
      <c r="D4779" s="19" t="s">
        <v>1787</v>
      </c>
      <c r="E4779" s="19" t="s">
        <v>325</v>
      </c>
      <c r="F4779" s="19" t="s">
        <v>1422</v>
      </c>
      <c r="G4779" s="19" t="s">
        <v>1817</v>
      </c>
      <c r="H4779" s="19" t="s">
        <v>224</v>
      </c>
      <c r="I4779" s="19" t="s">
        <v>1038</v>
      </c>
      <c r="J4779" s="19" t="s">
        <v>24</v>
      </c>
      <c r="K4779" s="19" t="s">
        <v>553</v>
      </c>
      <c r="L4779" s="19">
        <v>2024</v>
      </c>
      <c r="M4779" s="20">
        <v>1</v>
      </c>
      <c r="N4779" s="19" t="s">
        <v>1798</v>
      </c>
      <c r="O4779" s="20">
        <v>2</v>
      </c>
      <c r="P4779" s="20">
        <v>2</v>
      </c>
      <c r="Q4779" s="20">
        <v>81.003</v>
      </c>
      <c r="R4779" s="21">
        <v>1</v>
      </c>
      <c r="S4779" s="20">
        <v>81.003</v>
      </c>
    </row>
    <row r="4780" spans="2:19" ht="15" customHeight="1" x14ac:dyDescent="0.25">
      <c r="B4780" s="2" t="str">
        <f t="shared" si="148"/>
        <v>NSG_Income Eligible_Multi-Family_Whole Building - Public Housing_Programmable Thermostat_Furnace (DI)_MF</v>
      </c>
      <c r="C4780" s="2" t="str">
        <f t="shared" si="149"/>
        <v>NSG_Income Eligible_Multi-Family_Whole Building - Public Housing_Programmable Thermostat_Furnace (DI)_MF_2025</v>
      </c>
      <c r="D4780" s="19" t="s">
        <v>1787</v>
      </c>
      <c r="E4780" s="19" t="s">
        <v>325</v>
      </c>
      <c r="F4780" s="19" t="s">
        <v>1422</v>
      </c>
      <c r="G4780" s="19" t="s">
        <v>1817</v>
      </c>
      <c r="H4780" s="19" t="s">
        <v>224</v>
      </c>
      <c r="I4780" s="19" t="s">
        <v>1038</v>
      </c>
      <c r="J4780" s="19" t="s">
        <v>24</v>
      </c>
      <c r="K4780" s="19" t="s">
        <v>553</v>
      </c>
      <c r="L4780" s="19">
        <v>2025</v>
      </c>
      <c r="M4780" s="20">
        <v>1</v>
      </c>
      <c r="N4780" s="19" t="s">
        <v>1798</v>
      </c>
      <c r="O4780" s="20">
        <v>2</v>
      </c>
      <c r="P4780" s="20">
        <v>2</v>
      </c>
      <c r="Q4780" s="20">
        <v>81.003</v>
      </c>
      <c r="R4780" s="21">
        <v>1</v>
      </c>
      <c r="S4780" s="20">
        <v>81.003</v>
      </c>
    </row>
    <row r="4781" spans="2:19" ht="15" customHeight="1" x14ac:dyDescent="0.25">
      <c r="B4781" s="2" t="str">
        <f t="shared" si="148"/>
        <v>NSG_Income Eligible_Multi-Family_Whole Building - Public Housing_Programmable Thermostat_Boiler (DI)_MF</v>
      </c>
      <c r="C4781" s="2" t="str">
        <f t="shared" si="149"/>
        <v>NSG_Income Eligible_Multi-Family_Whole Building - Public Housing_Programmable Thermostat_Boiler (DI)_MF_2022</v>
      </c>
      <c r="D4781" s="19" t="s">
        <v>1787</v>
      </c>
      <c r="E4781" s="19" t="s">
        <v>325</v>
      </c>
      <c r="F4781" s="19" t="s">
        <v>1422</v>
      </c>
      <c r="G4781" s="19" t="s">
        <v>1817</v>
      </c>
      <c r="H4781" s="19" t="s">
        <v>224</v>
      </c>
      <c r="I4781" s="19" t="s">
        <v>1045</v>
      </c>
      <c r="J4781" s="19" t="s">
        <v>24</v>
      </c>
      <c r="K4781" s="19" t="s">
        <v>553</v>
      </c>
      <c r="L4781" s="19">
        <v>2022</v>
      </c>
      <c r="M4781" s="20">
        <v>1</v>
      </c>
      <c r="N4781" s="19" t="s">
        <v>1798</v>
      </c>
      <c r="O4781" s="20">
        <v>0</v>
      </c>
      <c r="P4781" s="20">
        <v>0</v>
      </c>
      <c r="Q4781" s="20">
        <v>0</v>
      </c>
      <c r="R4781" s="21">
        <v>1</v>
      </c>
      <c r="S4781" s="20">
        <v>0</v>
      </c>
    </row>
    <row r="4782" spans="2:19" ht="15" customHeight="1" x14ac:dyDescent="0.25">
      <c r="B4782" s="2" t="str">
        <f t="shared" si="148"/>
        <v>NSG_Income Eligible_Multi-Family_Whole Building - Public Housing_Programmable Thermostat_Boiler (DI)_MF</v>
      </c>
      <c r="C4782" s="2" t="str">
        <f t="shared" si="149"/>
        <v>NSG_Income Eligible_Multi-Family_Whole Building - Public Housing_Programmable Thermostat_Boiler (DI)_MF_2023</v>
      </c>
      <c r="D4782" s="19" t="s">
        <v>1787</v>
      </c>
      <c r="E4782" s="19" t="s">
        <v>325</v>
      </c>
      <c r="F4782" s="19" t="s">
        <v>1422</v>
      </c>
      <c r="G4782" s="19" t="s">
        <v>1817</v>
      </c>
      <c r="H4782" s="19" t="s">
        <v>224</v>
      </c>
      <c r="I4782" s="19" t="s">
        <v>1045</v>
      </c>
      <c r="J4782" s="19" t="s">
        <v>24</v>
      </c>
      <c r="K4782" s="19" t="s">
        <v>553</v>
      </c>
      <c r="L4782" s="19">
        <v>2023</v>
      </c>
      <c r="M4782" s="20">
        <v>1</v>
      </c>
      <c r="N4782" s="19" t="s">
        <v>1798</v>
      </c>
      <c r="O4782" s="20">
        <v>0</v>
      </c>
      <c r="P4782" s="20">
        <v>0</v>
      </c>
      <c r="Q4782" s="20">
        <v>0</v>
      </c>
      <c r="R4782" s="21">
        <v>1</v>
      </c>
      <c r="S4782" s="20">
        <v>0</v>
      </c>
    </row>
    <row r="4783" spans="2:19" ht="15" customHeight="1" x14ac:dyDescent="0.25">
      <c r="B4783" s="2" t="str">
        <f t="shared" si="148"/>
        <v>NSG_Income Eligible_Multi-Family_Whole Building - Public Housing_Programmable Thermostat_Boiler (DI)_MF</v>
      </c>
      <c r="C4783" s="2" t="str">
        <f t="shared" si="149"/>
        <v>NSG_Income Eligible_Multi-Family_Whole Building - Public Housing_Programmable Thermostat_Boiler (DI)_MF_2024</v>
      </c>
      <c r="D4783" s="19" t="s">
        <v>1787</v>
      </c>
      <c r="E4783" s="19" t="s">
        <v>325</v>
      </c>
      <c r="F4783" s="19" t="s">
        <v>1422</v>
      </c>
      <c r="G4783" s="19" t="s">
        <v>1817</v>
      </c>
      <c r="H4783" s="19" t="s">
        <v>224</v>
      </c>
      <c r="I4783" s="19" t="s">
        <v>1045</v>
      </c>
      <c r="J4783" s="19" t="s">
        <v>24</v>
      </c>
      <c r="K4783" s="19" t="s">
        <v>553</v>
      </c>
      <c r="L4783" s="19">
        <v>2024</v>
      </c>
      <c r="M4783" s="20">
        <v>1</v>
      </c>
      <c r="N4783" s="19" t="s">
        <v>1798</v>
      </c>
      <c r="O4783" s="20">
        <v>0</v>
      </c>
      <c r="P4783" s="20">
        <v>0</v>
      </c>
      <c r="Q4783" s="20">
        <v>0</v>
      </c>
      <c r="R4783" s="21">
        <v>1</v>
      </c>
      <c r="S4783" s="20">
        <v>0</v>
      </c>
    </row>
    <row r="4784" spans="2:19" ht="15" customHeight="1" x14ac:dyDescent="0.25">
      <c r="B4784" s="2" t="str">
        <f t="shared" si="148"/>
        <v>NSG_Income Eligible_Multi-Family_Whole Building - Public Housing_Programmable Thermostat_Boiler (DI)_MF</v>
      </c>
      <c r="C4784" s="2" t="str">
        <f t="shared" si="149"/>
        <v>NSG_Income Eligible_Multi-Family_Whole Building - Public Housing_Programmable Thermostat_Boiler (DI)_MF_2025</v>
      </c>
      <c r="D4784" s="19" t="s">
        <v>1787</v>
      </c>
      <c r="E4784" s="19" t="s">
        <v>325</v>
      </c>
      <c r="F4784" s="19" t="s">
        <v>1422</v>
      </c>
      <c r="G4784" s="19" t="s">
        <v>1817</v>
      </c>
      <c r="H4784" s="19" t="s">
        <v>224</v>
      </c>
      <c r="I4784" s="19" t="s">
        <v>1045</v>
      </c>
      <c r="J4784" s="19" t="s">
        <v>24</v>
      </c>
      <c r="K4784" s="19" t="s">
        <v>553</v>
      </c>
      <c r="L4784" s="19">
        <v>2025</v>
      </c>
      <c r="M4784" s="20">
        <v>1</v>
      </c>
      <c r="N4784" s="19" t="s">
        <v>1798</v>
      </c>
      <c r="O4784" s="20">
        <v>0</v>
      </c>
      <c r="P4784" s="20">
        <v>0</v>
      </c>
      <c r="Q4784" s="20">
        <v>0</v>
      </c>
      <c r="R4784" s="21">
        <v>1</v>
      </c>
      <c r="S4784" s="20">
        <v>0</v>
      </c>
    </row>
    <row r="4785" spans="2:19" ht="15" customHeight="1" x14ac:dyDescent="0.25">
      <c r="B4785" s="2" t="str">
        <f t="shared" si="148"/>
        <v>NSG_Income Eligible_Multi-Family_Whole Building - Public Housing_Advanced Thermostat_Furnace (Replace Manual)_MF</v>
      </c>
      <c r="C4785" s="2" t="str">
        <f t="shared" si="149"/>
        <v>NSG_Income Eligible_Multi-Family_Whole Building - Public Housing_Advanced Thermostat_Furnace (Replace Manual)_MF_2022</v>
      </c>
      <c r="D4785" s="19" t="s">
        <v>1787</v>
      </c>
      <c r="E4785" s="19" t="s">
        <v>325</v>
      </c>
      <c r="F4785" s="19" t="s">
        <v>1422</v>
      </c>
      <c r="G4785" s="19" t="s">
        <v>1817</v>
      </c>
      <c r="H4785" s="19" t="s">
        <v>7</v>
      </c>
      <c r="I4785" s="19" t="s">
        <v>1047</v>
      </c>
      <c r="J4785" s="19" t="s">
        <v>24</v>
      </c>
      <c r="K4785" s="19" t="s">
        <v>553</v>
      </c>
      <c r="L4785" s="19">
        <v>2022</v>
      </c>
      <c r="M4785" s="20">
        <v>1</v>
      </c>
      <c r="N4785" s="19" t="s">
        <v>1798</v>
      </c>
      <c r="O4785" s="20">
        <v>0</v>
      </c>
      <c r="P4785" s="20">
        <v>0</v>
      </c>
      <c r="Q4785" s="20">
        <v>0</v>
      </c>
      <c r="R4785" s="21">
        <v>1</v>
      </c>
      <c r="S4785" s="20">
        <v>0</v>
      </c>
    </row>
    <row r="4786" spans="2:19" ht="15" customHeight="1" x14ac:dyDescent="0.25">
      <c r="B4786" s="2" t="str">
        <f t="shared" si="148"/>
        <v>NSG_Income Eligible_Multi-Family_Whole Building - Public Housing_Advanced Thermostat_Furnace (Replace Manual)_MF</v>
      </c>
      <c r="C4786" s="2" t="str">
        <f t="shared" si="149"/>
        <v>NSG_Income Eligible_Multi-Family_Whole Building - Public Housing_Advanced Thermostat_Furnace (Replace Manual)_MF_2023</v>
      </c>
      <c r="D4786" s="19" t="s">
        <v>1787</v>
      </c>
      <c r="E4786" s="19" t="s">
        <v>325</v>
      </c>
      <c r="F4786" s="19" t="s">
        <v>1422</v>
      </c>
      <c r="G4786" s="19" t="s">
        <v>1817</v>
      </c>
      <c r="H4786" s="19" t="s">
        <v>7</v>
      </c>
      <c r="I4786" s="19" t="s">
        <v>1047</v>
      </c>
      <c r="J4786" s="19" t="s">
        <v>24</v>
      </c>
      <c r="K4786" s="19" t="s">
        <v>553</v>
      </c>
      <c r="L4786" s="19">
        <v>2023</v>
      </c>
      <c r="M4786" s="20">
        <v>1</v>
      </c>
      <c r="N4786" s="19" t="s">
        <v>1798</v>
      </c>
      <c r="O4786" s="20">
        <v>0</v>
      </c>
      <c r="P4786" s="20">
        <v>0</v>
      </c>
      <c r="Q4786" s="20">
        <v>0</v>
      </c>
      <c r="R4786" s="21">
        <v>1</v>
      </c>
      <c r="S4786" s="20">
        <v>0</v>
      </c>
    </row>
    <row r="4787" spans="2:19" ht="15" customHeight="1" x14ac:dyDescent="0.25">
      <c r="B4787" s="2" t="str">
        <f t="shared" si="148"/>
        <v>NSG_Income Eligible_Multi-Family_Whole Building - Public Housing_Advanced Thermostat_Furnace (Replace Manual)_MF</v>
      </c>
      <c r="C4787" s="2" t="str">
        <f t="shared" si="149"/>
        <v>NSG_Income Eligible_Multi-Family_Whole Building - Public Housing_Advanced Thermostat_Furnace (Replace Manual)_MF_2024</v>
      </c>
      <c r="D4787" s="19" t="s">
        <v>1787</v>
      </c>
      <c r="E4787" s="19" t="s">
        <v>325</v>
      </c>
      <c r="F4787" s="19" t="s">
        <v>1422</v>
      </c>
      <c r="G4787" s="19" t="s">
        <v>1817</v>
      </c>
      <c r="H4787" s="19" t="s">
        <v>7</v>
      </c>
      <c r="I4787" s="19" t="s">
        <v>1047</v>
      </c>
      <c r="J4787" s="19" t="s">
        <v>24</v>
      </c>
      <c r="K4787" s="19" t="s">
        <v>553</v>
      </c>
      <c r="L4787" s="19">
        <v>2024</v>
      </c>
      <c r="M4787" s="20">
        <v>1</v>
      </c>
      <c r="N4787" s="19" t="s">
        <v>1798</v>
      </c>
      <c r="O4787" s="20">
        <v>0</v>
      </c>
      <c r="P4787" s="20">
        <v>0</v>
      </c>
      <c r="Q4787" s="20">
        <v>0</v>
      </c>
      <c r="R4787" s="21">
        <v>1</v>
      </c>
      <c r="S4787" s="20">
        <v>0</v>
      </c>
    </row>
    <row r="4788" spans="2:19" ht="15" customHeight="1" x14ac:dyDescent="0.25">
      <c r="B4788" s="2" t="str">
        <f t="shared" si="148"/>
        <v>NSG_Income Eligible_Multi-Family_Whole Building - Public Housing_Advanced Thermostat_Furnace (Replace Manual)_MF</v>
      </c>
      <c r="C4788" s="2" t="str">
        <f t="shared" si="149"/>
        <v>NSG_Income Eligible_Multi-Family_Whole Building - Public Housing_Advanced Thermostat_Furnace (Replace Manual)_MF_2025</v>
      </c>
      <c r="D4788" s="19" t="s">
        <v>1787</v>
      </c>
      <c r="E4788" s="19" t="s">
        <v>325</v>
      </c>
      <c r="F4788" s="19" t="s">
        <v>1422</v>
      </c>
      <c r="G4788" s="19" t="s">
        <v>1817</v>
      </c>
      <c r="H4788" s="19" t="s">
        <v>7</v>
      </c>
      <c r="I4788" s="19" t="s">
        <v>1047</v>
      </c>
      <c r="J4788" s="19" t="s">
        <v>24</v>
      </c>
      <c r="K4788" s="19" t="s">
        <v>553</v>
      </c>
      <c r="L4788" s="19">
        <v>2025</v>
      </c>
      <c r="M4788" s="20">
        <v>1</v>
      </c>
      <c r="N4788" s="19" t="s">
        <v>1798</v>
      </c>
      <c r="O4788" s="20">
        <v>0</v>
      </c>
      <c r="P4788" s="20">
        <v>0</v>
      </c>
      <c r="Q4788" s="20">
        <v>0</v>
      </c>
      <c r="R4788" s="21">
        <v>1</v>
      </c>
      <c r="S4788" s="20">
        <v>0</v>
      </c>
    </row>
    <row r="4789" spans="2:19" ht="15" customHeight="1" x14ac:dyDescent="0.25">
      <c r="B4789" s="2" t="str">
        <f t="shared" si="148"/>
        <v>NSG_Income Eligible_Multi-Family_Whole Building - Public Housing_Advanced Thermostat_Boiler (Replace Manual)_MF</v>
      </c>
      <c r="C4789" s="2" t="str">
        <f t="shared" si="149"/>
        <v>NSG_Income Eligible_Multi-Family_Whole Building - Public Housing_Advanced Thermostat_Boiler (Replace Manual)_MF_2022</v>
      </c>
      <c r="D4789" s="19" t="s">
        <v>1787</v>
      </c>
      <c r="E4789" s="19" t="s">
        <v>325</v>
      </c>
      <c r="F4789" s="19" t="s">
        <v>1422</v>
      </c>
      <c r="G4789" s="19" t="s">
        <v>1817</v>
      </c>
      <c r="H4789" s="19" t="s">
        <v>7</v>
      </c>
      <c r="I4789" s="19" t="s">
        <v>1051</v>
      </c>
      <c r="J4789" s="19" t="s">
        <v>24</v>
      </c>
      <c r="K4789" s="19" t="s">
        <v>553</v>
      </c>
      <c r="L4789" s="19">
        <v>2022</v>
      </c>
      <c r="M4789" s="20">
        <v>1</v>
      </c>
      <c r="N4789" s="19" t="s">
        <v>1798</v>
      </c>
      <c r="O4789" s="20">
        <v>0</v>
      </c>
      <c r="P4789" s="20">
        <v>0</v>
      </c>
      <c r="Q4789" s="20">
        <v>0</v>
      </c>
      <c r="R4789" s="21">
        <v>1</v>
      </c>
      <c r="S4789" s="20">
        <v>0</v>
      </c>
    </row>
    <row r="4790" spans="2:19" ht="15" customHeight="1" x14ac:dyDescent="0.25">
      <c r="B4790" s="2" t="str">
        <f t="shared" si="148"/>
        <v>NSG_Income Eligible_Multi-Family_Whole Building - Public Housing_Advanced Thermostat_Boiler (Replace Manual)_MF</v>
      </c>
      <c r="C4790" s="2" t="str">
        <f t="shared" si="149"/>
        <v>NSG_Income Eligible_Multi-Family_Whole Building - Public Housing_Advanced Thermostat_Boiler (Replace Manual)_MF_2023</v>
      </c>
      <c r="D4790" s="19" t="s">
        <v>1787</v>
      </c>
      <c r="E4790" s="19" t="s">
        <v>325</v>
      </c>
      <c r="F4790" s="19" t="s">
        <v>1422</v>
      </c>
      <c r="G4790" s="19" t="s">
        <v>1817</v>
      </c>
      <c r="H4790" s="19" t="s">
        <v>7</v>
      </c>
      <c r="I4790" s="19" t="s">
        <v>1051</v>
      </c>
      <c r="J4790" s="19" t="s">
        <v>24</v>
      </c>
      <c r="K4790" s="19" t="s">
        <v>553</v>
      </c>
      <c r="L4790" s="19">
        <v>2023</v>
      </c>
      <c r="M4790" s="20">
        <v>1</v>
      </c>
      <c r="N4790" s="19" t="s">
        <v>1798</v>
      </c>
      <c r="O4790" s="20">
        <v>0</v>
      </c>
      <c r="P4790" s="20">
        <v>0</v>
      </c>
      <c r="Q4790" s="20">
        <v>0</v>
      </c>
      <c r="R4790" s="21">
        <v>1</v>
      </c>
      <c r="S4790" s="20">
        <v>0</v>
      </c>
    </row>
    <row r="4791" spans="2:19" ht="15" customHeight="1" x14ac:dyDescent="0.25">
      <c r="B4791" s="2" t="str">
        <f t="shared" si="148"/>
        <v>NSG_Income Eligible_Multi-Family_Whole Building - Public Housing_Advanced Thermostat_Boiler (Replace Manual)_MF</v>
      </c>
      <c r="C4791" s="2" t="str">
        <f t="shared" si="149"/>
        <v>NSG_Income Eligible_Multi-Family_Whole Building - Public Housing_Advanced Thermostat_Boiler (Replace Manual)_MF_2024</v>
      </c>
      <c r="D4791" s="19" t="s">
        <v>1787</v>
      </c>
      <c r="E4791" s="19" t="s">
        <v>325</v>
      </c>
      <c r="F4791" s="19" t="s">
        <v>1422</v>
      </c>
      <c r="G4791" s="19" t="s">
        <v>1817</v>
      </c>
      <c r="H4791" s="19" t="s">
        <v>7</v>
      </c>
      <c r="I4791" s="19" t="s">
        <v>1051</v>
      </c>
      <c r="J4791" s="19" t="s">
        <v>24</v>
      </c>
      <c r="K4791" s="19" t="s">
        <v>553</v>
      </c>
      <c r="L4791" s="19">
        <v>2024</v>
      </c>
      <c r="M4791" s="20">
        <v>1</v>
      </c>
      <c r="N4791" s="19" t="s">
        <v>1798</v>
      </c>
      <c r="O4791" s="20">
        <v>0</v>
      </c>
      <c r="P4791" s="20">
        <v>0</v>
      </c>
      <c r="Q4791" s="20">
        <v>0</v>
      </c>
      <c r="R4791" s="21">
        <v>1</v>
      </c>
      <c r="S4791" s="20">
        <v>0</v>
      </c>
    </row>
    <row r="4792" spans="2:19" ht="15" customHeight="1" x14ac:dyDescent="0.25">
      <c r="B4792" s="2" t="str">
        <f t="shared" si="148"/>
        <v>NSG_Income Eligible_Multi-Family_Whole Building - Public Housing_Advanced Thermostat_Boiler (Replace Manual)_MF</v>
      </c>
      <c r="C4792" s="2" t="str">
        <f t="shared" si="149"/>
        <v>NSG_Income Eligible_Multi-Family_Whole Building - Public Housing_Advanced Thermostat_Boiler (Replace Manual)_MF_2025</v>
      </c>
      <c r="D4792" s="19" t="s">
        <v>1787</v>
      </c>
      <c r="E4792" s="19" t="s">
        <v>325</v>
      </c>
      <c r="F4792" s="19" t="s">
        <v>1422</v>
      </c>
      <c r="G4792" s="19" t="s">
        <v>1817</v>
      </c>
      <c r="H4792" s="19" t="s">
        <v>7</v>
      </c>
      <c r="I4792" s="19" t="s">
        <v>1051</v>
      </c>
      <c r="J4792" s="19" t="s">
        <v>24</v>
      </c>
      <c r="K4792" s="19" t="s">
        <v>553</v>
      </c>
      <c r="L4792" s="19">
        <v>2025</v>
      </c>
      <c r="M4792" s="20">
        <v>1</v>
      </c>
      <c r="N4792" s="19" t="s">
        <v>1798</v>
      </c>
      <c r="O4792" s="20">
        <v>0</v>
      </c>
      <c r="P4792" s="20">
        <v>0</v>
      </c>
      <c r="Q4792" s="20">
        <v>0</v>
      </c>
      <c r="R4792" s="21">
        <v>1</v>
      </c>
      <c r="S4792" s="20">
        <v>0</v>
      </c>
    </row>
    <row r="4793" spans="2:19" ht="15" customHeight="1" x14ac:dyDescent="0.25">
      <c r="B4793" s="2" t="str">
        <f t="shared" si="148"/>
        <v>NSG_Income Eligible_Multi-Family_Whole Building - Public Housing_Advanced Thermostat_Furnace (Replace Programmable)_MF</v>
      </c>
      <c r="C4793" s="2" t="str">
        <f t="shared" si="149"/>
        <v>NSG_Income Eligible_Multi-Family_Whole Building - Public Housing_Advanced Thermostat_Furnace (Replace Programmable)_MF_2022</v>
      </c>
      <c r="D4793" s="19" t="s">
        <v>1787</v>
      </c>
      <c r="E4793" s="19" t="s">
        <v>325</v>
      </c>
      <c r="F4793" s="19" t="s">
        <v>1422</v>
      </c>
      <c r="G4793" s="19" t="s">
        <v>1817</v>
      </c>
      <c r="H4793" s="19" t="s">
        <v>7</v>
      </c>
      <c r="I4793" s="19" t="s">
        <v>1049</v>
      </c>
      <c r="J4793" s="19" t="s">
        <v>24</v>
      </c>
      <c r="K4793" s="19" t="s">
        <v>553</v>
      </c>
      <c r="L4793" s="19">
        <v>2022</v>
      </c>
      <c r="M4793" s="20">
        <v>1</v>
      </c>
      <c r="N4793" s="19" t="s">
        <v>1798</v>
      </c>
      <c r="O4793" s="20">
        <v>0</v>
      </c>
      <c r="P4793" s="20">
        <v>0</v>
      </c>
      <c r="Q4793" s="20">
        <v>0</v>
      </c>
      <c r="R4793" s="21">
        <v>1</v>
      </c>
      <c r="S4793" s="20">
        <v>0</v>
      </c>
    </row>
    <row r="4794" spans="2:19" ht="15" customHeight="1" x14ac:dyDescent="0.25">
      <c r="B4794" s="2" t="str">
        <f t="shared" si="148"/>
        <v>NSG_Income Eligible_Multi-Family_Whole Building - Public Housing_Advanced Thermostat_Furnace (Replace Programmable)_MF</v>
      </c>
      <c r="C4794" s="2" t="str">
        <f t="shared" si="149"/>
        <v>NSG_Income Eligible_Multi-Family_Whole Building - Public Housing_Advanced Thermostat_Furnace (Replace Programmable)_MF_2023</v>
      </c>
      <c r="D4794" s="19" t="s">
        <v>1787</v>
      </c>
      <c r="E4794" s="19" t="s">
        <v>325</v>
      </c>
      <c r="F4794" s="19" t="s">
        <v>1422</v>
      </c>
      <c r="G4794" s="19" t="s">
        <v>1817</v>
      </c>
      <c r="H4794" s="19" t="s">
        <v>7</v>
      </c>
      <c r="I4794" s="19" t="s">
        <v>1049</v>
      </c>
      <c r="J4794" s="19" t="s">
        <v>24</v>
      </c>
      <c r="K4794" s="19" t="s">
        <v>553</v>
      </c>
      <c r="L4794" s="19">
        <v>2023</v>
      </c>
      <c r="M4794" s="20">
        <v>1</v>
      </c>
      <c r="N4794" s="19" t="s">
        <v>1798</v>
      </c>
      <c r="O4794" s="20">
        <v>0</v>
      </c>
      <c r="P4794" s="20">
        <v>0</v>
      </c>
      <c r="Q4794" s="20">
        <v>0</v>
      </c>
      <c r="R4794" s="21">
        <v>1</v>
      </c>
      <c r="S4794" s="20">
        <v>0</v>
      </c>
    </row>
    <row r="4795" spans="2:19" ht="15" customHeight="1" x14ac:dyDescent="0.25">
      <c r="B4795" s="2" t="str">
        <f t="shared" si="148"/>
        <v>NSG_Income Eligible_Multi-Family_Whole Building - Public Housing_Advanced Thermostat_Furnace (Replace Programmable)_MF</v>
      </c>
      <c r="C4795" s="2" t="str">
        <f t="shared" si="149"/>
        <v>NSG_Income Eligible_Multi-Family_Whole Building - Public Housing_Advanced Thermostat_Furnace (Replace Programmable)_MF_2024</v>
      </c>
      <c r="D4795" s="19" t="s">
        <v>1787</v>
      </c>
      <c r="E4795" s="19" t="s">
        <v>325</v>
      </c>
      <c r="F4795" s="19" t="s">
        <v>1422</v>
      </c>
      <c r="G4795" s="19" t="s">
        <v>1817</v>
      </c>
      <c r="H4795" s="19" t="s">
        <v>7</v>
      </c>
      <c r="I4795" s="19" t="s">
        <v>1049</v>
      </c>
      <c r="J4795" s="19" t="s">
        <v>24</v>
      </c>
      <c r="K4795" s="19" t="s">
        <v>553</v>
      </c>
      <c r="L4795" s="19">
        <v>2024</v>
      </c>
      <c r="M4795" s="20">
        <v>1</v>
      </c>
      <c r="N4795" s="19" t="s">
        <v>1798</v>
      </c>
      <c r="O4795" s="20">
        <v>0</v>
      </c>
      <c r="P4795" s="20">
        <v>0</v>
      </c>
      <c r="Q4795" s="20">
        <v>0</v>
      </c>
      <c r="R4795" s="21">
        <v>1</v>
      </c>
      <c r="S4795" s="20">
        <v>0</v>
      </c>
    </row>
    <row r="4796" spans="2:19" ht="15" customHeight="1" x14ac:dyDescent="0.25">
      <c r="B4796" s="2" t="str">
        <f t="shared" si="148"/>
        <v>NSG_Income Eligible_Multi-Family_Whole Building - Public Housing_Advanced Thermostat_Furnace (Replace Programmable)_MF</v>
      </c>
      <c r="C4796" s="2" t="str">
        <f t="shared" si="149"/>
        <v>NSG_Income Eligible_Multi-Family_Whole Building - Public Housing_Advanced Thermostat_Furnace (Replace Programmable)_MF_2025</v>
      </c>
      <c r="D4796" s="19" t="s">
        <v>1787</v>
      </c>
      <c r="E4796" s="19" t="s">
        <v>325</v>
      </c>
      <c r="F4796" s="19" t="s">
        <v>1422</v>
      </c>
      <c r="G4796" s="19" t="s">
        <v>1817</v>
      </c>
      <c r="H4796" s="19" t="s">
        <v>7</v>
      </c>
      <c r="I4796" s="19" t="s">
        <v>1049</v>
      </c>
      <c r="J4796" s="19" t="s">
        <v>24</v>
      </c>
      <c r="K4796" s="19" t="s">
        <v>553</v>
      </c>
      <c r="L4796" s="19">
        <v>2025</v>
      </c>
      <c r="M4796" s="20">
        <v>1</v>
      </c>
      <c r="N4796" s="19" t="s">
        <v>1798</v>
      </c>
      <c r="O4796" s="20">
        <v>0</v>
      </c>
      <c r="P4796" s="20">
        <v>0</v>
      </c>
      <c r="Q4796" s="20">
        <v>0</v>
      </c>
      <c r="R4796" s="21">
        <v>1</v>
      </c>
      <c r="S4796" s="20">
        <v>0</v>
      </c>
    </row>
    <row r="4797" spans="2:19" ht="15" customHeight="1" x14ac:dyDescent="0.25">
      <c r="B4797" s="2" t="str">
        <f t="shared" si="148"/>
        <v>NSG_Income Eligible_Multi-Family_Whole Building - Public Housing_Advanced Thermostat_Boiler (Replace Programmable)_MF</v>
      </c>
      <c r="C4797" s="2" t="str">
        <f t="shared" si="149"/>
        <v>NSG_Income Eligible_Multi-Family_Whole Building - Public Housing_Advanced Thermostat_Boiler (Replace Programmable)_MF_2022</v>
      </c>
      <c r="D4797" s="19" t="s">
        <v>1787</v>
      </c>
      <c r="E4797" s="19" t="s">
        <v>325</v>
      </c>
      <c r="F4797" s="19" t="s">
        <v>1422</v>
      </c>
      <c r="G4797" s="19" t="s">
        <v>1817</v>
      </c>
      <c r="H4797" s="19" t="s">
        <v>7</v>
      </c>
      <c r="I4797" s="19" t="s">
        <v>1052</v>
      </c>
      <c r="J4797" s="19" t="s">
        <v>24</v>
      </c>
      <c r="K4797" s="19" t="s">
        <v>553</v>
      </c>
      <c r="L4797" s="19">
        <v>2022</v>
      </c>
      <c r="M4797" s="20">
        <v>1</v>
      </c>
      <c r="N4797" s="19" t="s">
        <v>1798</v>
      </c>
      <c r="O4797" s="20">
        <v>0</v>
      </c>
      <c r="P4797" s="20">
        <v>0</v>
      </c>
      <c r="Q4797" s="20">
        <v>0</v>
      </c>
      <c r="R4797" s="21">
        <v>1</v>
      </c>
      <c r="S4797" s="20">
        <v>0</v>
      </c>
    </row>
    <row r="4798" spans="2:19" ht="15" customHeight="1" x14ac:dyDescent="0.25">
      <c r="B4798" s="2" t="str">
        <f t="shared" si="148"/>
        <v>NSG_Income Eligible_Multi-Family_Whole Building - Public Housing_Advanced Thermostat_Boiler (Replace Programmable)_MF</v>
      </c>
      <c r="C4798" s="2" t="str">
        <f t="shared" si="149"/>
        <v>NSG_Income Eligible_Multi-Family_Whole Building - Public Housing_Advanced Thermostat_Boiler (Replace Programmable)_MF_2023</v>
      </c>
      <c r="D4798" s="19" t="s">
        <v>1787</v>
      </c>
      <c r="E4798" s="19" t="s">
        <v>325</v>
      </c>
      <c r="F4798" s="19" t="s">
        <v>1422</v>
      </c>
      <c r="G4798" s="19" t="s">
        <v>1817</v>
      </c>
      <c r="H4798" s="19" t="s">
        <v>7</v>
      </c>
      <c r="I4798" s="19" t="s">
        <v>1052</v>
      </c>
      <c r="J4798" s="19" t="s">
        <v>24</v>
      </c>
      <c r="K4798" s="19" t="s">
        <v>553</v>
      </c>
      <c r="L4798" s="19">
        <v>2023</v>
      </c>
      <c r="M4798" s="20">
        <v>1</v>
      </c>
      <c r="N4798" s="19" t="s">
        <v>1798</v>
      </c>
      <c r="O4798" s="20">
        <v>0</v>
      </c>
      <c r="P4798" s="20">
        <v>0</v>
      </c>
      <c r="Q4798" s="20">
        <v>0</v>
      </c>
      <c r="R4798" s="21">
        <v>1</v>
      </c>
      <c r="S4798" s="20">
        <v>0</v>
      </c>
    </row>
    <row r="4799" spans="2:19" ht="15" customHeight="1" x14ac:dyDescent="0.25">
      <c r="B4799" s="2" t="str">
        <f t="shared" si="148"/>
        <v>NSG_Income Eligible_Multi-Family_Whole Building - Public Housing_Advanced Thermostat_Boiler (Replace Programmable)_MF</v>
      </c>
      <c r="C4799" s="2" t="str">
        <f t="shared" si="149"/>
        <v>NSG_Income Eligible_Multi-Family_Whole Building - Public Housing_Advanced Thermostat_Boiler (Replace Programmable)_MF_2024</v>
      </c>
      <c r="D4799" s="19" t="s">
        <v>1787</v>
      </c>
      <c r="E4799" s="19" t="s">
        <v>325</v>
      </c>
      <c r="F4799" s="19" t="s">
        <v>1422</v>
      </c>
      <c r="G4799" s="19" t="s">
        <v>1817</v>
      </c>
      <c r="H4799" s="19" t="s">
        <v>7</v>
      </c>
      <c r="I4799" s="19" t="s">
        <v>1052</v>
      </c>
      <c r="J4799" s="19" t="s">
        <v>24</v>
      </c>
      <c r="K4799" s="19" t="s">
        <v>553</v>
      </c>
      <c r="L4799" s="19">
        <v>2024</v>
      </c>
      <c r="M4799" s="20">
        <v>1</v>
      </c>
      <c r="N4799" s="19" t="s">
        <v>1798</v>
      </c>
      <c r="O4799" s="20">
        <v>0</v>
      </c>
      <c r="P4799" s="20">
        <v>0</v>
      </c>
      <c r="Q4799" s="20">
        <v>0</v>
      </c>
      <c r="R4799" s="21">
        <v>1</v>
      </c>
      <c r="S4799" s="20">
        <v>0</v>
      </c>
    </row>
    <row r="4800" spans="2:19" ht="15" customHeight="1" x14ac:dyDescent="0.25">
      <c r="B4800" s="2" t="str">
        <f t="shared" si="148"/>
        <v>NSG_Income Eligible_Multi-Family_Whole Building - Public Housing_Advanced Thermostat_Boiler (Replace Programmable)_MF</v>
      </c>
      <c r="C4800" s="2" t="str">
        <f t="shared" si="149"/>
        <v>NSG_Income Eligible_Multi-Family_Whole Building - Public Housing_Advanced Thermostat_Boiler (Replace Programmable)_MF_2025</v>
      </c>
      <c r="D4800" s="19" t="s">
        <v>1787</v>
      </c>
      <c r="E4800" s="19" t="s">
        <v>325</v>
      </c>
      <c r="F4800" s="19" t="s">
        <v>1422</v>
      </c>
      <c r="G4800" s="19" t="s">
        <v>1817</v>
      </c>
      <c r="H4800" s="19" t="s">
        <v>7</v>
      </c>
      <c r="I4800" s="19" t="s">
        <v>1052</v>
      </c>
      <c r="J4800" s="19" t="s">
        <v>24</v>
      </c>
      <c r="K4800" s="19" t="s">
        <v>553</v>
      </c>
      <c r="L4800" s="19">
        <v>2025</v>
      </c>
      <c r="M4800" s="20">
        <v>1</v>
      </c>
      <c r="N4800" s="19" t="s">
        <v>1798</v>
      </c>
      <c r="O4800" s="20">
        <v>0</v>
      </c>
      <c r="P4800" s="20">
        <v>0</v>
      </c>
      <c r="Q4800" s="20">
        <v>0</v>
      </c>
      <c r="R4800" s="21">
        <v>1</v>
      </c>
      <c r="S4800" s="20">
        <v>0</v>
      </c>
    </row>
    <row r="4801" spans="2:19" ht="15" customHeight="1" x14ac:dyDescent="0.25">
      <c r="B4801" s="2" t="str">
        <f t="shared" si="148"/>
        <v>NSG_Income Eligible_Multi-Family_Whole Building - Public Housing_Thermostat - Reprogram_Boiler (DI)_MF</v>
      </c>
      <c r="C4801" s="2" t="str">
        <f t="shared" si="149"/>
        <v>NSG_Income Eligible_Multi-Family_Whole Building - Public Housing_Thermostat - Reprogram_Boiler (DI)_MF_2022</v>
      </c>
      <c r="D4801" s="19" t="s">
        <v>1787</v>
      </c>
      <c r="E4801" s="19" t="s">
        <v>325</v>
      </c>
      <c r="F4801" s="19" t="s">
        <v>1422</v>
      </c>
      <c r="G4801" s="19" t="s">
        <v>1817</v>
      </c>
      <c r="H4801" s="19" t="s">
        <v>1055</v>
      </c>
      <c r="I4801" s="19" t="s">
        <v>1045</v>
      </c>
      <c r="J4801" s="19" t="s">
        <v>24</v>
      </c>
      <c r="K4801" s="19" t="s">
        <v>553</v>
      </c>
      <c r="L4801" s="19">
        <v>2022</v>
      </c>
      <c r="M4801" s="20">
        <v>1</v>
      </c>
      <c r="N4801" s="19" t="s">
        <v>1798</v>
      </c>
      <c r="O4801" s="20">
        <v>0</v>
      </c>
      <c r="P4801" s="20">
        <v>0</v>
      </c>
      <c r="Q4801" s="20">
        <v>0</v>
      </c>
      <c r="R4801" s="21">
        <v>1</v>
      </c>
      <c r="S4801" s="20">
        <v>0</v>
      </c>
    </row>
    <row r="4802" spans="2:19" ht="15" customHeight="1" x14ac:dyDescent="0.25">
      <c r="B4802" s="2" t="str">
        <f t="shared" si="148"/>
        <v>NSG_Income Eligible_Multi-Family_Whole Building - Public Housing_Thermostat - Reprogram_Boiler (DI)_MF</v>
      </c>
      <c r="C4802" s="2" t="str">
        <f t="shared" si="149"/>
        <v>NSG_Income Eligible_Multi-Family_Whole Building - Public Housing_Thermostat - Reprogram_Boiler (DI)_MF_2023</v>
      </c>
      <c r="D4802" s="19" t="s">
        <v>1787</v>
      </c>
      <c r="E4802" s="19" t="s">
        <v>325</v>
      </c>
      <c r="F4802" s="19" t="s">
        <v>1422</v>
      </c>
      <c r="G4802" s="19" t="s">
        <v>1817</v>
      </c>
      <c r="H4802" s="19" t="s">
        <v>1055</v>
      </c>
      <c r="I4802" s="19" t="s">
        <v>1045</v>
      </c>
      <c r="J4802" s="19" t="s">
        <v>24</v>
      </c>
      <c r="K4802" s="19" t="s">
        <v>553</v>
      </c>
      <c r="L4802" s="19">
        <v>2023</v>
      </c>
      <c r="M4802" s="20">
        <v>1</v>
      </c>
      <c r="N4802" s="19" t="s">
        <v>1798</v>
      </c>
      <c r="O4802" s="20">
        <v>0</v>
      </c>
      <c r="P4802" s="20">
        <v>0</v>
      </c>
      <c r="Q4802" s="20">
        <v>0</v>
      </c>
      <c r="R4802" s="21">
        <v>1</v>
      </c>
      <c r="S4802" s="20">
        <v>0</v>
      </c>
    </row>
    <row r="4803" spans="2:19" ht="15" customHeight="1" x14ac:dyDescent="0.25">
      <c r="B4803" s="2" t="str">
        <f t="shared" si="148"/>
        <v>NSG_Income Eligible_Multi-Family_Whole Building - Public Housing_Thermostat - Reprogram_Boiler (DI)_MF</v>
      </c>
      <c r="C4803" s="2" t="str">
        <f t="shared" si="149"/>
        <v>NSG_Income Eligible_Multi-Family_Whole Building - Public Housing_Thermostat - Reprogram_Boiler (DI)_MF_2024</v>
      </c>
      <c r="D4803" s="19" t="s">
        <v>1787</v>
      </c>
      <c r="E4803" s="19" t="s">
        <v>325</v>
      </c>
      <c r="F4803" s="19" t="s">
        <v>1422</v>
      </c>
      <c r="G4803" s="19" t="s">
        <v>1817</v>
      </c>
      <c r="H4803" s="19" t="s">
        <v>1055</v>
      </c>
      <c r="I4803" s="19" t="s">
        <v>1045</v>
      </c>
      <c r="J4803" s="19" t="s">
        <v>24</v>
      </c>
      <c r="K4803" s="19" t="s">
        <v>553</v>
      </c>
      <c r="L4803" s="19">
        <v>2024</v>
      </c>
      <c r="M4803" s="20">
        <v>1</v>
      </c>
      <c r="N4803" s="19" t="s">
        <v>1798</v>
      </c>
      <c r="O4803" s="20">
        <v>0</v>
      </c>
      <c r="P4803" s="20">
        <v>0</v>
      </c>
      <c r="Q4803" s="20">
        <v>0</v>
      </c>
      <c r="R4803" s="21">
        <v>1</v>
      </c>
      <c r="S4803" s="20">
        <v>0</v>
      </c>
    </row>
    <row r="4804" spans="2:19" ht="15" customHeight="1" x14ac:dyDescent="0.25">
      <c r="B4804" s="2" t="str">
        <f t="shared" si="148"/>
        <v>NSG_Income Eligible_Multi-Family_Whole Building - Public Housing_Thermostat - Reprogram_Boiler (DI)_MF</v>
      </c>
      <c r="C4804" s="2" t="str">
        <f t="shared" si="149"/>
        <v>NSG_Income Eligible_Multi-Family_Whole Building - Public Housing_Thermostat - Reprogram_Boiler (DI)_MF_2025</v>
      </c>
      <c r="D4804" s="19" t="s">
        <v>1787</v>
      </c>
      <c r="E4804" s="19" t="s">
        <v>325</v>
      </c>
      <c r="F4804" s="19" t="s">
        <v>1422</v>
      </c>
      <c r="G4804" s="19" t="s">
        <v>1817</v>
      </c>
      <c r="H4804" s="19" t="s">
        <v>1055</v>
      </c>
      <c r="I4804" s="19" t="s">
        <v>1045</v>
      </c>
      <c r="J4804" s="19" t="s">
        <v>24</v>
      </c>
      <c r="K4804" s="19" t="s">
        <v>553</v>
      </c>
      <c r="L4804" s="19">
        <v>2025</v>
      </c>
      <c r="M4804" s="20">
        <v>1</v>
      </c>
      <c r="N4804" s="19" t="s">
        <v>1798</v>
      </c>
      <c r="O4804" s="20">
        <v>0</v>
      </c>
      <c r="P4804" s="20">
        <v>0</v>
      </c>
      <c r="Q4804" s="20">
        <v>0</v>
      </c>
      <c r="R4804" s="21">
        <v>1</v>
      </c>
      <c r="S4804" s="20">
        <v>0</v>
      </c>
    </row>
    <row r="4805" spans="2:19" ht="15" customHeight="1" x14ac:dyDescent="0.25">
      <c r="B4805" s="2" t="str">
        <f t="shared" si="148"/>
        <v>NSG_Income Eligible_Multi-Family_Whole Building - Public Housing_Thermostat - Reprogram_Furnace (DI)_MF</v>
      </c>
      <c r="C4805" s="2" t="str">
        <f t="shared" si="149"/>
        <v>NSG_Income Eligible_Multi-Family_Whole Building - Public Housing_Thermostat - Reprogram_Furnace (DI)_MF_2022</v>
      </c>
      <c r="D4805" s="19" t="s">
        <v>1787</v>
      </c>
      <c r="E4805" s="19" t="s">
        <v>325</v>
      </c>
      <c r="F4805" s="19" t="s">
        <v>1422</v>
      </c>
      <c r="G4805" s="19" t="s">
        <v>1817</v>
      </c>
      <c r="H4805" s="19" t="s">
        <v>1055</v>
      </c>
      <c r="I4805" s="19" t="s">
        <v>1038</v>
      </c>
      <c r="J4805" s="19" t="s">
        <v>24</v>
      </c>
      <c r="K4805" s="19" t="s">
        <v>553</v>
      </c>
      <c r="L4805" s="19">
        <v>2022</v>
      </c>
      <c r="M4805" s="20">
        <v>1</v>
      </c>
      <c r="N4805" s="19" t="s">
        <v>1798</v>
      </c>
      <c r="O4805" s="20">
        <v>0</v>
      </c>
      <c r="P4805" s="20">
        <v>0</v>
      </c>
      <c r="Q4805" s="20">
        <v>0</v>
      </c>
      <c r="R4805" s="21">
        <v>1</v>
      </c>
      <c r="S4805" s="20">
        <v>0</v>
      </c>
    </row>
    <row r="4806" spans="2:19" ht="15" customHeight="1" x14ac:dyDescent="0.25">
      <c r="B4806" s="2" t="str">
        <f t="shared" ref="B4806:B4869" si="150">D4806&amp;"_"&amp;E4806&amp;"_"&amp;F4806&amp;"_"&amp;G4806&amp;"_"&amp;H4806&amp;"_"&amp;I4806&amp;"_"&amp;K4806</f>
        <v>NSG_Income Eligible_Multi-Family_Whole Building - Public Housing_Thermostat - Reprogram_Furnace (DI)_MF</v>
      </c>
      <c r="C4806" s="2" t="str">
        <f t="shared" ref="C4806:C4869" si="151">D4806&amp;"_"&amp;E4806&amp;"_"&amp;F4806&amp;"_"&amp;G4806&amp;"_"&amp;H4806&amp;"_"&amp;I4806&amp;"_"&amp;K4806&amp;"_"&amp;L4806</f>
        <v>NSG_Income Eligible_Multi-Family_Whole Building - Public Housing_Thermostat - Reprogram_Furnace (DI)_MF_2023</v>
      </c>
      <c r="D4806" s="19" t="s">
        <v>1787</v>
      </c>
      <c r="E4806" s="19" t="s">
        <v>325</v>
      </c>
      <c r="F4806" s="19" t="s">
        <v>1422</v>
      </c>
      <c r="G4806" s="19" t="s">
        <v>1817</v>
      </c>
      <c r="H4806" s="19" t="s">
        <v>1055</v>
      </c>
      <c r="I4806" s="19" t="s">
        <v>1038</v>
      </c>
      <c r="J4806" s="19" t="s">
        <v>24</v>
      </c>
      <c r="K4806" s="19" t="s">
        <v>553</v>
      </c>
      <c r="L4806" s="19">
        <v>2023</v>
      </c>
      <c r="M4806" s="20">
        <v>1</v>
      </c>
      <c r="N4806" s="19" t="s">
        <v>1798</v>
      </c>
      <c r="O4806" s="20">
        <v>0</v>
      </c>
      <c r="P4806" s="20">
        <v>0</v>
      </c>
      <c r="Q4806" s="20">
        <v>0</v>
      </c>
      <c r="R4806" s="21">
        <v>1</v>
      </c>
      <c r="S4806" s="20">
        <v>0</v>
      </c>
    </row>
    <row r="4807" spans="2:19" ht="15" customHeight="1" x14ac:dyDescent="0.25">
      <c r="B4807" s="2" t="str">
        <f t="shared" si="150"/>
        <v>NSG_Income Eligible_Multi-Family_Whole Building - Public Housing_Thermostat - Reprogram_Furnace (DI)_MF</v>
      </c>
      <c r="C4807" s="2" t="str">
        <f t="shared" si="151"/>
        <v>NSG_Income Eligible_Multi-Family_Whole Building - Public Housing_Thermostat - Reprogram_Furnace (DI)_MF_2024</v>
      </c>
      <c r="D4807" s="19" t="s">
        <v>1787</v>
      </c>
      <c r="E4807" s="19" t="s">
        <v>325</v>
      </c>
      <c r="F4807" s="19" t="s">
        <v>1422</v>
      </c>
      <c r="G4807" s="19" t="s">
        <v>1817</v>
      </c>
      <c r="H4807" s="19" t="s">
        <v>1055</v>
      </c>
      <c r="I4807" s="19" t="s">
        <v>1038</v>
      </c>
      <c r="J4807" s="19" t="s">
        <v>24</v>
      </c>
      <c r="K4807" s="19" t="s">
        <v>553</v>
      </c>
      <c r="L4807" s="19">
        <v>2024</v>
      </c>
      <c r="M4807" s="20">
        <v>1</v>
      </c>
      <c r="N4807" s="19" t="s">
        <v>1798</v>
      </c>
      <c r="O4807" s="20">
        <v>0</v>
      </c>
      <c r="P4807" s="20">
        <v>0</v>
      </c>
      <c r="Q4807" s="20">
        <v>0</v>
      </c>
      <c r="R4807" s="21">
        <v>1</v>
      </c>
      <c r="S4807" s="20">
        <v>0</v>
      </c>
    </row>
    <row r="4808" spans="2:19" ht="15" customHeight="1" x14ac:dyDescent="0.25">
      <c r="B4808" s="2" t="str">
        <f t="shared" si="150"/>
        <v>NSG_Income Eligible_Multi-Family_Whole Building - Public Housing_Thermostat - Reprogram_Furnace (DI)_MF</v>
      </c>
      <c r="C4808" s="2" t="str">
        <f t="shared" si="151"/>
        <v>NSG_Income Eligible_Multi-Family_Whole Building - Public Housing_Thermostat - Reprogram_Furnace (DI)_MF_2025</v>
      </c>
      <c r="D4808" s="19" t="s">
        <v>1787</v>
      </c>
      <c r="E4808" s="19" t="s">
        <v>325</v>
      </c>
      <c r="F4808" s="19" t="s">
        <v>1422</v>
      </c>
      <c r="G4808" s="19" t="s">
        <v>1817</v>
      </c>
      <c r="H4808" s="19" t="s">
        <v>1055</v>
      </c>
      <c r="I4808" s="19" t="s">
        <v>1038</v>
      </c>
      <c r="J4808" s="19" t="s">
        <v>24</v>
      </c>
      <c r="K4808" s="19" t="s">
        <v>553</v>
      </c>
      <c r="L4808" s="19">
        <v>2025</v>
      </c>
      <c r="M4808" s="20">
        <v>1</v>
      </c>
      <c r="N4808" s="19" t="s">
        <v>1798</v>
      </c>
      <c r="O4808" s="20">
        <v>0</v>
      </c>
      <c r="P4808" s="20">
        <v>0</v>
      </c>
      <c r="Q4808" s="20">
        <v>0</v>
      </c>
      <c r="R4808" s="21">
        <v>1</v>
      </c>
      <c r="S4808" s="20">
        <v>0</v>
      </c>
    </row>
    <row r="4809" spans="2:19" ht="15" customHeight="1" x14ac:dyDescent="0.25">
      <c r="B4809" s="2" t="str">
        <f t="shared" si="150"/>
        <v>NSG_Income Eligible_Multi-Family_Whole Building - Public Housing_Air Sealing_0_MF</v>
      </c>
      <c r="C4809" s="2" t="str">
        <f t="shared" si="151"/>
        <v>NSG_Income Eligible_Multi-Family_Whole Building - Public Housing_Air Sealing_0_MF_2022</v>
      </c>
      <c r="D4809" s="19" t="s">
        <v>1787</v>
      </c>
      <c r="E4809" s="19" t="s">
        <v>325</v>
      </c>
      <c r="F4809" s="19" t="s">
        <v>1422</v>
      </c>
      <c r="G4809" s="19" t="s">
        <v>1817</v>
      </c>
      <c r="H4809" s="19" t="s">
        <v>221</v>
      </c>
      <c r="I4809" s="19">
        <v>0</v>
      </c>
      <c r="J4809" s="19" t="s">
        <v>881</v>
      </c>
      <c r="K4809" s="19" t="s">
        <v>553</v>
      </c>
      <c r="L4809" s="19">
        <v>2022</v>
      </c>
      <c r="M4809" s="20">
        <v>1</v>
      </c>
      <c r="N4809" s="19" t="s">
        <v>1800</v>
      </c>
      <c r="O4809" s="20">
        <v>0</v>
      </c>
      <c r="P4809" s="20">
        <v>0</v>
      </c>
      <c r="Q4809" s="20">
        <v>0</v>
      </c>
      <c r="R4809" s="21">
        <v>1</v>
      </c>
      <c r="S4809" s="20">
        <v>0</v>
      </c>
    </row>
    <row r="4810" spans="2:19" ht="15" customHeight="1" x14ac:dyDescent="0.25">
      <c r="B4810" s="2" t="str">
        <f t="shared" si="150"/>
        <v>NSG_Income Eligible_Multi-Family_Whole Building - Public Housing_Air Sealing_0_MF</v>
      </c>
      <c r="C4810" s="2" t="str">
        <f t="shared" si="151"/>
        <v>NSG_Income Eligible_Multi-Family_Whole Building - Public Housing_Air Sealing_0_MF_2023</v>
      </c>
      <c r="D4810" s="19" t="s">
        <v>1787</v>
      </c>
      <c r="E4810" s="19" t="s">
        <v>325</v>
      </c>
      <c r="F4810" s="19" t="s">
        <v>1422</v>
      </c>
      <c r="G4810" s="19" t="s">
        <v>1817</v>
      </c>
      <c r="H4810" s="19" t="s">
        <v>221</v>
      </c>
      <c r="I4810" s="19">
        <v>0</v>
      </c>
      <c r="J4810" s="19" t="s">
        <v>881</v>
      </c>
      <c r="K4810" s="19" t="s">
        <v>553</v>
      </c>
      <c r="L4810" s="19">
        <v>2023</v>
      </c>
      <c r="M4810" s="20">
        <v>1</v>
      </c>
      <c r="N4810" s="19" t="s">
        <v>1800</v>
      </c>
      <c r="O4810" s="20">
        <v>0</v>
      </c>
      <c r="P4810" s="20">
        <v>0</v>
      </c>
      <c r="Q4810" s="20">
        <v>0</v>
      </c>
      <c r="R4810" s="21">
        <v>1</v>
      </c>
      <c r="S4810" s="20">
        <v>0</v>
      </c>
    </row>
    <row r="4811" spans="2:19" ht="15" customHeight="1" x14ac:dyDescent="0.25">
      <c r="B4811" s="2" t="str">
        <f t="shared" si="150"/>
        <v>NSG_Income Eligible_Multi-Family_Whole Building - Public Housing_Air Sealing_0_MF</v>
      </c>
      <c r="C4811" s="2" t="str">
        <f t="shared" si="151"/>
        <v>NSG_Income Eligible_Multi-Family_Whole Building - Public Housing_Air Sealing_0_MF_2024</v>
      </c>
      <c r="D4811" s="19" t="s">
        <v>1787</v>
      </c>
      <c r="E4811" s="19" t="s">
        <v>325</v>
      </c>
      <c r="F4811" s="19" t="s">
        <v>1422</v>
      </c>
      <c r="G4811" s="19" t="s">
        <v>1817</v>
      </c>
      <c r="H4811" s="19" t="s">
        <v>221</v>
      </c>
      <c r="I4811" s="19">
        <v>0</v>
      </c>
      <c r="J4811" s="19" t="s">
        <v>881</v>
      </c>
      <c r="K4811" s="19" t="s">
        <v>553</v>
      </c>
      <c r="L4811" s="19">
        <v>2024</v>
      </c>
      <c r="M4811" s="20">
        <v>1</v>
      </c>
      <c r="N4811" s="19" t="s">
        <v>1800</v>
      </c>
      <c r="O4811" s="20">
        <v>0</v>
      </c>
      <c r="P4811" s="20">
        <v>0</v>
      </c>
      <c r="Q4811" s="20">
        <v>0</v>
      </c>
      <c r="R4811" s="21">
        <v>1</v>
      </c>
      <c r="S4811" s="20">
        <v>0</v>
      </c>
    </row>
    <row r="4812" spans="2:19" ht="15" customHeight="1" x14ac:dyDescent="0.25">
      <c r="B4812" s="2" t="str">
        <f t="shared" si="150"/>
        <v>NSG_Income Eligible_Multi-Family_Whole Building - Public Housing_Air Sealing_0_MF</v>
      </c>
      <c r="C4812" s="2" t="str">
        <f t="shared" si="151"/>
        <v>NSG_Income Eligible_Multi-Family_Whole Building - Public Housing_Air Sealing_0_MF_2025</v>
      </c>
      <c r="D4812" s="19" t="s">
        <v>1787</v>
      </c>
      <c r="E4812" s="19" t="s">
        <v>325</v>
      </c>
      <c r="F4812" s="19" t="s">
        <v>1422</v>
      </c>
      <c r="G4812" s="19" t="s">
        <v>1817</v>
      </c>
      <c r="H4812" s="19" t="s">
        <v>221</v>
      </c>
      <c r="I4812" s="19">
        <v>0</v>
      </c>
      <c r="J4812" s="19" t="s">
        <v>881</v>
      </c>
      <c r="K4812" s="19" t="s">
        <v>553</v>
      </c>
      <c r="L4812" s="19">
        <v>2025</v>
      </c>
      <c r="M4812" s="20">
        <v>1</v>
      </c>
      <c r="N4812" s="19" t="s">
        <v>1800</v>
      </c>
      <c r="O4812" s="20">
        <v>0</v>
      </c>
      <c r="P4812" s="20">
        <v>0</v>
      </c>
      <c r="Q4812" s="20">
        <v>0</v>
      </c>
      <c r="R4812" s="21">
        <v>1</v>
      </c>
      <c r="S4812" s="20">
        <v>0</v>
      </c>
    </row>
    <row r="4813" spans="2:19" ht="15" customHeight="1" x14ac:dyDescent="0.25">
      <c r="B4813" s="2" t="str">
        <f t="shared" si="150"/>
        <v>NSG_Income Eligible_Multi-Family_Whole Building - Public Housing_Air Sealing w/ Attic Insulation_0_IE MF</v>
      </c>
      <c r="C4813" s="2" t="str">
        <f t="shared" si="151"/>
        <v>NSG_Income Eligible_Multi-Family_Whole Building - Public Housing_Air Sealing w/ Attic Insulation_0_IE MF_2022</v>
      </c>
      <c r="D4813" s="19" t="s">
        <v>1787</v>
      </c>
      <c r="E4813" s="19" t="s">
        <v>325</v>
      </c>
      <c r="F4813" s="19" t="s">
        <v>1422</v>
      </c>
      <c r="G4813" s="19" t="s">
        <v>1817</v>
      </c>
      <c r="H4813" s="19" t="s">
        <v>890</v>
      </c>
      <c r="I4813" s="19">
        <v>0</v>
      </c>
      <c r="J4813" s="19" t="s">
        <v>1469</v>
      </c>
      <c r="K4813" s="19" t="s">
        <v>1398</v>
      </c>
      <c r="L4813" s="19">
        <v>2022</v>
      </c>
      <c r="M4813" s="20">
        <v>1</v>
      </c>
      <c r="N4813" s="19" t="s">
        <v>1800</v>
      </c>
      <c r="O4813" s="20">
        <v>0</v>
      </c>
      <c r="P4813" s="20">
        <v>0</v>
      </c>
      <c r="Q4813" s="20">
        <v>0</v>
      </c>
      <c r="R4813" s="21">
        <v>1</v>
      </c>
      <c r="S4813" s="20">
        <v>0</v>
      </c>
    </row>
    <row r="4814" spans="2:19" ht="15" customHeight="1" x14ac:dyDescent="0.25">
      <c r="B4814" s="2" t="str">
        <f t="shared" si="150"/>
        <v>NSG_Income Eligible_Multi-Family_Whole Building - Public Housing_Air Sealing w/ Attic Insulation_0_IE MF</v>
      </c>
      <c r="C4814" s="2" t="str">
        <f t="shared" si="151"/>
        <v>NSG_Income Eligible_Multi-Family_Whole Building - Public Housing_Air Sealing w/ Attic Insulation_0_IE MF_2023</v>
      </c>
      <c r="D4814" s="19" t="s">
        <v>1787</v>
      </c>
      <c r="E4814" s="19" t="s">
        <v>325</v>
      </c>
      <c r="F4814" s="19" t="s">
        <v>1422</v>
      </c>
      <c r="G4814" s="19" t="s">
        <v>1817</v>
      </c>
      <c r="H4814" s="19" t="s">
        <v>890</v>
      </c>
      <c r="I4814" s="19">
        <v>0</v>
      </c>
      <c r="J4814" s="19" t="s">
        <v>1469</v>
      </c>
      <c r="K4814" s="19" t="s">
        <v>1398</v>
      </c>
      <c r="L4814" s="19">
        <v>2023</v>
      </c>
      <c r="M4814" s="20">
        <v>1</v>
      </c>
      <c r="N4814" s="19" t="s">
        <v>1800</v>
      </c>
      <c r="O4814" s="20">
        <v>0</v>
      </c>
      <c r="P4814" s="20">
        <v>0</v>
      </c>
      <c r="Q4814" s="20">
        <v>0</v>
      </c>
      <c r="R4814" s="21">
        <v>1</v>
      </c>
      <c r="S4814" s="20">
        <v>0</v>
      </c>
    </row>
    <row r="4815" spans="2:19" ht="15" customHeight="1" x14ac:dyDescent="0.25">
      <c r="B4815" s="2" t="str">
        <f t="shared" si="150"/>
        <v>NSG_Income Eligible_Multi-Family_Whole Building - Public Housing_Air Sealing w/ Attic Insulation_0_IE MF</v>
      </c>
      <c r="C4815" s="2" t="str">
        <f t="shared" si="151"/>
        <v>NSG_Income Eligible_Multi-Family_Whole Building - Public Housing_Air Sealing w/ Attic Insulation_0_IE MF_2024</v>
      </c>
      <c r="D4815" s="19" t="s">
        <v>1787</v>
      </c>
      <c r="E4815" s="19" t="s">
        <v>325</v>
      </c>
      <c r="F4815" s="19" t="s">
        <v>1422</v>
      </c>
      <c r="G4815" s="19" t="s">
        <v>1817</v>
      </c>
      <c r="H4815" s="19" t="s">
        <v>890</v>
      </c>
      <c r="I4815" s="19">
        <v>0</v>
      </c>
      <c r="J4815" s="19" t="s">
        <v>1469</v>
      </c>
      <c r="K4815" s="19" t="s">
        <v>1398</v>
      </c>
      <c r="L4815" s="19">
        <v>2024</v>
      </c>
      <c r="M4815" s="20">
        <v>1</v>
      </c>
      <c r="N4815" s="19" t="s">
        <v>1800</v>
      </c>
      <c r="O4815" s="20">
        <v>0</v>
      </c>
      <c r="P4815" s="20">
        <v>0</v>
      </c>
      <c r="Q4815" s="20">
        <v>0</v>
      </c>
      <c r="R4815" s="21">
        <v>1</v>
      </c>
      <c r="S4815" s="20">
        <v>0</v>
      </c>
    </row>
    <row r="4816" spans="2:19" ht="15" customHeight="1" x14ac:dyDescent="0.25">
      <c r="B4816" s="2" t="str">
        <f t="shared" si="150"/>
        <v>NSG_Income Eligible_Multi-Family_Whole Building - Public Housing_Air Sealing w/ Attic Insulation_0_IE MF</v>
      </c>
      <c r="C4816" s="2" t="str">
        <f t="shared" si="151"/>
        <v>NSG_Income Eligible_Multi-Family_Whole Building - Public Housing_Air Sealing w/ Attic Insulation_0_IE MF_2025</v>
      </c>
      <c r="D4816" s="19" t="s">
        <v>1787</v>
      </c>
      <c r="E4816" s="19" t="s">
        <v>325</v>
      </c>
      <c r="F4816" s="19" t="s">
        <v>1422</v>
      </c>
      <c r="G4816" s="19" t="s">
        <v>1817</v>
      </c>
      <c r="H4816" s="19" t="s">
        <v>890</v>
      </c>
      <c r="I4816" s="19">
        <v>0</v>
      </c>
      <c r="J4816" s="19" t="s">
        <v>1469</v>
      </c>
      <c r="K4816" s="19" t="s">
        <v>1398</v>
      </c>
      <c r="L4816" s="19">
        <v>2025</v>
      </c>
      <c r="M4816" s="20">
        <v>1</v>
      </c>
      <c r="N4816" s="19" t="s">
        <v>1800</v>
      </c>
      <c r="O4816" s="20">
        <v>0</v>
      </c>
      <c r="P4816" s="20">
        <v>0</v>
      </c>
      <c r="Q4816" s="20">
        <v>0</v>
      </c>
      <c r="R4816" s="21">
        <v>1</v>
      </c>
      <c r="S4816" s="20">
        <v>0</v>
      </c>
    </row>
    <row r="4817" spans="2:19" ht="15" customHeight="1" x14ac:dyDescent="0.25">
      <c r="B4817" s="2" t="str">
        <f t="shared" si="150"/>
        <v>NSG_Income Eligible_Multi-Family_Whole Building - Public Housing_Attic Insulation_0_SF</v>
      </c>
      <c r="C4817" s="2" t="str">
        <f t="shared" si="151"/>
        <v>NSG_Income Eligible_Multi-Family_Whole Building - Public Housing_Attic Insulation_0_SF_2022</v>
      </c>
      <c r="D4817" s="19" t="s">
        <v>1787</v>
      </c>
      <c r="E4817" s="19" t="s">
        <v>325</v>
      </c>
      <c r="F4817" s="19" t="s">
        <v>1422</v>
      </c>
      <c r="G4817" s="19" t="s">
        <v>1817</v>
      </c>
      <c r="H4817" s="19" t="s">
        <v>631</v>
      </c>
      <c r="I4817" s="19">
        <v>0</v>
      </c>
      <c r="J4817" s="19" t="s">
        <v>632</v>
      </c>
      <c r="K4817" s="19" t="s">
        <v>409</v>
      </c>
      <c r="L4817" s="19">
        <v>2022</v>
      </c>
      <c r="M4817" s="20">
        <v>332.76190476190476</v>
      </c>
      <c r="N4817" s="19" t="s">
        <v>751</v>
      </c>
      <c r="O4817" s="20">
        <v>0</v>
      </c>
      <c r="P4817" s="20">
        <v>0</v>
      </c>
      <c r="Q4817" s="20">
        <v>0</v>
      </c>
      <c r="R4817" s="21">
        <v>1</v>
      </c>
      <c r="S4817" s="20">
        <v>0</v>
      </c>
    </row>
    <row r="4818" spans="2:19" ht="15" customHeight="1" x14ac:dyDescent="0.25">
      <c r="B4818" s="2" t="str">
        <f t="shared" si="150"/>
        <v>NSG_Income Eligible_Multi-Family_Whole Building - Public Housing_Attic Insulation_0_SF</v>
      </c>
      <c r="C4818" s="2" t="str">
        <f t="shared" si="151"/>
        <v>NSG_Income Eligible_Multi-Family_Whole Building - Public Housing_Attic Insulation_0_SF_2023</v>
      </c>
      <c r="D4818" s="19" t="s">
        <v>1787</v>
      </c>
      <c r="E4818" s="19" t="s">
        <v>325</v>
      </c>
      <c r="F4818" s="19" t="s">
        <v>1422</v>
      </c>
      <c r="G4818" s="19" t="s">
        <v>1817</v>
      </c>
      <c r="H4818" s="19" t="s">
        <v>631</v>
      </c>
      <c r="I4818" s="19">
        <v>0</v>
      </c>
      <c r="J4818" s="19" t="s">
        <v>632</v>
      </c>
      <c r="K4818" s="19" t="s">
        <v>409</v>
      </c>
      <c r="L4818" s="19">
        <v>2023</v>
      </c>
      <c r="M4818" s="20">
        <v>332.76190476190476</v>
      </c>
      <c r="N4818" s="19" t="s">
        <v>751</v>
      </c>
      <c r="O4818" s="20">
        <v>0</v>
      </c>
      <c r="P4818" s="20">
        <v>0</v>
      </c>
      <c r="Q4818" s="20">
        <v>0</v>
      </c>
      <c r="R4818" s="21">
        <v>1</v>
      </c>
      <c r="S4818" s="20">
        <v>0</v>
      </c>
    </row>
    <row r="4819" spans="2:19" ht="15" customHeight="1" x14ac:dyDescent="0.25">
      <c r="B4819" s="2" t="str">
        <f t="shared" si="150"/>
        <v>NSG_Income Eligible_Multi-Family_Whole Building - Public Housing_Attic Insulation_0_SF</v>
      </c>
      <c r="C4819" s="2" t="str">
        <f t="shared" si="151"/>
        <v>NSG_Income Eligible_Multi-Family_Whole Building - Public Housing_Attic Insulation_0_SF_2024</v>
      </c>
      <c r="D4819" s="19" t="s">
        <v>1787</v>
      </c>
      <c r="E4819" s="19" t="s">
        <v>325</v>
      </c>
      <c r="F4819" s="19" t="s">
        <v>1422</v>
      </c>
      <c r="G4819" s="19" t="s">
        <v>1817</v>
      </c>
      <c r="H4819" s="19" t="s">
        <v>631</v>
      </c>
      <c r="I4819" s="19">
        <v>0</v>
      </c>
      <c r="J4819" s="19" t="s">
        <v>632</v>
      </c>
      <c r="K4819" s="19" t="s">
        <v>409</v>
      </c>
      <c r="L4819" s="19">
        <v>2024</v>
      </c>
      <c r="M4819" s="20">
        <v>332.76190476190476</v>
      </c>
      <c r="N4819" s="19" t="s">
        <v>751</v>
      </c>
      <c r="O4819" s="20">
        <v>0</v>
      </c>
      <c r="P4819" s="20">
        <v>0</v>
      </c>
      <c r="Q4819" s="20">
        <v>0</v>
      </c>
      <c r="R4819" s="21">
        <v>1</v>
      </c>
      <c r="S4819" s="20">
        <v>0</v>
      </c>
    </row>
    <row r="4820" spans="2:19" ht="15" customHeight="1" x14ac:dyDescent="0.25">
      <c r="B4820" s="2" t="str">
        <f t="shared" si="150"/>
        <v>NSG_Income Eligible_Multi-Family_Whole Building - Public Housing_Attic Insulation_0_SF</v>
      </c>
      <c r="C4820" s="2" t="str">
        <f t="shared" si="151"/>
        <v>NSG_Income Eligible_Multi-Family_Whole Building - Public Housing_Attic Insulation_0_SF_2025</v>
      </c>
      <c r="D4820" s="19" t="s">
        <v>1787</v>
      </c>
      <c r="E4820" s="19" t="s">
        <v>325</v>
      </c>
      <c r="F4820" s="19" t="s">
        <v>1422</v>
      </c>
      <c r="G4820" s="19" t="s">
        <v>1817</v>
      </c>
      <c r="H4820" s="19" t="s">
        <v>631</v>
      </c>
      <c r="I4820" s="19">
        <v>0</v>
      </c>
      <c r="J4820" s="19" t="s">
        <v>632</v>
      </c>
      <c r="K4820" s="19" t="s">
        <v>409</v>
      </c>
      <c r="L4820" s="19">
        <v>2025</v>
      </c>
      <c r="M4820" s="20">
        <v>332.76190476190476</v>
      </c>
      <c r="N4820" s="19" t="s">
        <v>751</v>
      </c>
      <c r="O4820" s="20">
        <v>0</v>
      </c>
      <c r="P4820" s="20">
        <v>0</v>
      </c>
      <c r="Q4820" s="20">
        <v>0</v>
      </c>
      <c r="R4820" s="21">
        <v>1</v>
      </c>
      <c r="S4820" s="20">
        <v>0</v>
      </c>
    </row>
    <row r="4821" spans="2:19" ht="15" customHeight="1" x14ac:dyDescent="0.25">
      <c r="B4821" s="2" t="str">
        <f t="shared" si="150"/>
        <v>NSG_Income Eligible_Multi-Family_Whole Building - Public Housing_Door Sweep_0_IE MF</v>
      </c>
      <c r="C4821" s="2" t="str">
        <f t="shared" si="151"/>
        <v>NSG_Income Eligible_Multi-Family_Whole Building - Public Housing_Door Sweep_0_IE MF_2022</v>
      </c>
      <c r="D4821" s="19" t="s">
        <v>1787</v>
      </c>
      <c r="E4821" s="19" t="s">
        <v>325</v>
      </c>
      <c r="F4821" s="19" t="s">
        <v>1422</v>
      </c>
      <c r="G4821" s="19" t="s">
        <v>1817</v>
      </c>
      <c r="H4821" s="19" t="s">
        <v>6</v>
      </c>
      <c r="I4821" s="19">
        <v>0</v>
      </c>
      <c r="J4821" s="19" t="s">
        <v>1469</v>
      </c>
      <c r="K4821" s="19" t="s">
        <v>1398</v>
      </c>
      <c r="L4821" s="19">
        <v>2022</v>
      </c>
      <c r="M4821" s="20">
        <v>1</v>
      </c>
      <c r="N4821" s="19" t="s">
        <v>1815</v>
      </c>
      <c r="O4821" s="20">
        <v>2</v>
      </c>
      <c r="P4821" s="20">
        <v>2</v>
      </c>
      <c r="Q4821" s="20">
        <v>14.608000000000002</v>
      </c>
      <c r="R4821" s="21">
        <v>1</v>
      </c>
      <c r="S4821" s="20">
        <v>14.608000000000002</v>
      </c>
    </row>
    <row r="4822" spans="2:19" ht="15" customHeight="1" x14ac:dyDescent="0.25">
      <c r="B4822" s="2" t="str">
        <f t="shared" si="150"/>
        <v>NSG_Income Eligible_Multi-Family_Whole Building - Public Housing_Door Sweep_0_IE MF</v>
      </c>
      <c r="C4822" s="2" t="str">
        <f t="shared" si="151"/>
        <v>NSG_Income Eligible_Multi-Family_Whole Building - Public Housing_Door Sweep_0_IE MF_2023</v>
      </c>
      <c r="D4822" s="19" t="s">
        <v>1787</v>
      </c>
      <c r="E4822" s="19" t="s">
        <v>325</v>
      </c>
      <c r="F4822" s="19" t="s">
        <v>1422</v>
      </c>
      <c r="G4822" s="19" t="s">
        <v>1817</v>
      </c>
      <c r="H4822" s="19" t="s">
        <v>6</v>
      </c>
      <c r="I4822" s="19">
        <v>0</v>
      </c>
      <c r="J4822" s="19" t="s">
        <v>1469</v>
      </c>
      <c r="K4822" s="19" t="s">
        <v>1398</v>
      </c>
      <c r="L4822" s="19">
        <v>2023</v>
      </c>
      <c r="M4822" s="20">
        <v>1</v>
      </c>
      <c r="N4822" s="19" t="s">
        <v>1815</v>
      </c>
      <c r="O4822" s="20">
        <v>2</v>
      </c>
      <c r="P4822" s="20">
        <v>2</v>
      </c>
      <c r="Q4822" s="20">
        <v>14.608000000000002</v>
      </c>
      <c r="R4822" s="21">
        <v>1</v>
      </c>
      <c r="S4822" s="20">
        <v>14.608000000000002</v>
      </c>
    </row>
    <row r="4823" spans="2:19" ht="15" customHeight="1" x14ac:dyDescent="0.25">
      <c r="B4823" s="2" t="str">
        <f t="shared" si="150"/>
        <v>NSG_Income Eligible_Multi-Family_Whole Building - Public Housing_Door Sweep_0_IE MF</v>
      </c>
      <c r="C4823" s="2" t="str">
        <f t="shared" si="151"/>
        <v>NSG_Income Eligible_Multi-Family_Whole Building - Public Housing_Door Sweep_0_IE MF_2024</v>
      </c>
      <c r="D4823" s="19" t="s">
        <v>1787</v>
      </c>
      <c r="E4823" s="19" t="s">
        <v>325</v>
      </c>
      <c r="F4823" s="19" t="s">
        <v>1422</v>
      </c>
      <c r="G4823" s="19" t="s">
        <v>1817</v>
      </c>
      <c r="H4823" s="19" t="s">
        <v>6</v>
      </c>
      <c r="I4823" s="19">
        <v>0</v>
      </c>
      <c r="J4823" s="19" t="s">
        <v>1469</v>
      </c>
      <c r="K4823" s="19" t="s">
        <v>1398</v>
      </c>
      <c r="L4823" s="19">
        <v>2024</v>
      </c>
      <c r="M4823" s="20">
        <v>1</v>
      </c>
      <c r="N4823" s="19" t="s">
        <v>1815</v>
      </c>
      <c r="O4823" s="20">
        <v>2</v>
      </c>
      <c r="P4823" s="20">
        <v>2</v>
      </c>
      <c r="Q4823" s="20">
        <v>14.608000000000002</v>
      </c>
      <c r="R4823" s="21">
        <v>1</v>
      </c>
      <c r="S4823" s="20">
        <v>14.608000000000002</v>
      </c>
    </row>
    <row r="4824" spans="2:19" ht="15" customHeight="1" x14ac:dyDescent="0.25">
      <c r="B4824" s="2" t="str">
        <f t="shared" si="150"/>
        <v>NSG_Income Eligible_Multi-Family_Whole Building - Public Housing_Door Sweep_0_IE MF</v>
      </c>
      <c r="C4824" s="2" t="str">
        <f t="shared" si="151"/>
        <v>NSG_Income Eligible_Multi-Family_Whole Building - Public Housing_Door Sweep_0_IE MF_2025</v>
      </c>
      <c r="D4824" s="19" t="s">
        <v>1787</v>
      </c>
      <c r="E4824" s="19" t="s">
        <v>325</v>
      </c>
      <c r="F4824" s="19" t="s">
        <v>1422</v>
      </c>
      <c r="G4824" s="19" t="s">
        <v>1817</v>
      </c>
      <c r="H4824" s="19" t="s">
        <v>6</v>
      </c>
      <c r="I4824" s="19">
        <v>0</v>
      </c>
      <c r="J4824" s="19" t="s">
        <v>1469</v>
      </c>
      <c r="K4824" s="19" t="s">
        <v>1398</v>
      </c>
      <c r="L4824" s="19">
        <v>2025</v>
      </c>
      <c r="M4824" s="20">
        <v>1</v>
      </c>
      <c r="N4824" s="19" t="s">
        <v>1815</v>
      </c>
      <c r="O4824" s="20">
        <v>2</v>
      </c>
      <c r="P4824" s="20">
        <v>2</v>
      </c>
      <c r="Q4824" s="20">
        <v>14.608000000000002</v>
      </c>
      <c r="R4824" s="21">
        <v>1</v>
      </c>
      <c r="S4824" s="20">
        <v>14.608000000000002</v>
      </c>
    </row>
    <row r="4825" spans="2:19" ht="15" customHeight="1" x14ac:dyDescent="0.25">
      <c r="B4825" s="2" t="str">
        <f t="shared" si="150"/>
        <v>NSG_Income Eligible_Multi-Family_Whole Building - Public Housing_Weatherstripping_0_IE MF</v>
      </c>
      <c r="C4825" s="2" t="str">
        <f t="shared" si="151"/>
        <v>NSG_Income Eligible_Multi-Family_Whole Building - Public Housing_Weatherstripping_0_IE MF_2022</v>
      </c>
      <c r="D4825" s="19" t="s">
        <v>1787</v>
      </c>
      <c r="E4825" s="19" t="s">
        <v>325</v>
      </c>
      <c r="F4825" s="19" t="s">
        <v>1422</v>
      </c>
      <c r="G4825" s="19" t="s">
        <v>1817</v>
      </c>
      <c r="H4825" s="19" t="s">
        <v>576</v>
      </c>
      <c r="I4825" s="19">
        <v>0</v>
      </c>
      <c r="J4825" s="19" t="s">
        <v>1469</v>
      </c>
      <c r="K4825" s="19" t="s">
        <v>1398</v>
      </c>
      <c r="L4825" s="19">
        <v>2022</v>
      </c>
      <c r="M4825" s="20">
        <v>17</v>
      </c>
      <c r="N4825" s="19" t="s">
        <v>1810</v>
      </c>
      <c r="O4825" s="20">
        <v>2</v>
      </c>
      <c r="P4825" s="20">
        <v>34</v>
      </c>
      <c r="Q4825" s="20">
        <v>16.591999999999999</v>
      </c>
      <c r="R4825" s="21">
        <v>1</v>
      </c>
      <c r="S4825" s="20">
        <v>16.591999999999999</v>
      </c>
    </row>
    <row r="4826" spans="2:19" ht="15" customHeight="1" x14ac:dyDescent="0.25">
      <c r="B4826" s="2" t="str">
        <f t="shared" si="150"/>
        <v>NSG_Income Eligible_Multi-Family_Whole Building - Public Housing_Weatherstripping_0_IE MF</v>
      </c>
      <c r="C4826" s="2" t="str">
        <f t="shared" si="151"/>
        <v>NSG_Income Eligible_Multi-Family_Whole Building - Public Housing_Weatherstripping_0_IE MF_2023</v>
      </c>
      <c r="D4826" s="19" t="s">
        <v>1787</v>
      </c>
      <c r="E4826" s="19" t="s">
        <v>325</v>
      </c>
      <c r="F4826" s="19" t="s">
        <v>1422</v>
      </c>
      <c r="G4826" s="19" t="s">
        <v>1817</v>
      </c>
      <c r="H4826" s="19" t="s">
        <v>576</v>
      </c>
      <c r="I4826" s="19">
        <v>0</v>
      </c>
      <c r="J4826" s="19" t="s">
        <v>1469</v>
      </c>
      <c r="K4826" s="19" t="s">
        <v>1398</v>
      </c>
      <c r="L4826" s="19">
        <v>2023</v>
      </c>
      <c r="M4826" s="20">
        <v>17</v>
      </c>
      <c r="N4826" s="19" t="s">
        <v>1810</v>
      </c>
      <c r="O4826" s="20">
        <v>2</v>
      </c>
      <c r="P4826" s="20">
        <v>34</v>
      </c>
      <c r="Q4826" s="20">
        <v>16.591999999999999</v>
      </c>
      <c r="R4826" s="21">
        <v>1</v>
      </c>
      <c r="S4826" s="20">
        <v>16.591999999999999</v>
      </c>
    </row>
    <row r="4827" spans="2:19" ht="15" customHeight="1" x14ac:dyDescent="0.25">
      <c r="B4827" s="2" t="str">
        <f t="shared" si="150"/>
        <v>NSG_Income Eligible_Multi-Family_Whole Building - Public Housing_Weatherstripping_0_IE MF</v>
      </c>
      <c r="C4827" s="2" t="str">
        <f t="shared" si="151"/>
        <v>NSG_Income Eligible_Multi-Family_Whole Building - Public Housing_Weatherstripping_0_IE MF_2024</v>
      </c>
      <c r="D4827" s="19" t="s">
        <v>1787</v>
      </c>
      <c r="E4827" s="19" t="s">
        <v>325</v>
      </c>
      <c r="F4827" s="19" t="s">
        <v>1422</v>
      </c>
      <c r="G4827" s="19" t="s">
        <v>1817</v>
      </c>
      <c r="H4827" s="19" t="s">
        <v>576</v>
      </c>
      <c r="I4827" s="19">
        <v>0</v>
      </c>
      <c r="J4827" s="19" t="s">
        <v>1469</v>
      </c>
      <c r="K4827" s="19" t="s">
        <v>1398</v>
      </c>
      <c r="L4827" s="19">
        <v>2024</v>
      </c>
      <c r="M4827" s="20">
        <v>17</v>
      </c>
      <c r="N4827" s="19" t="s">
        <v>1810</v>
      </c>
      <c r="O4827" s="20">
        <v>2</v>
      </c>
      <c r="P4827" s="20">
        <v>34</v>
      </c>
      <c r="Q4827" s="20">
        <v>16.591999999999999</v>
      </c>
      <c r="R4827" s="21">
        <v>1</v>
      </c>
      <c r="S4827" s="20">
        <v>16.591999999999999</v>
      </c>
    </row>
    <row r="4828" spans="2:19" ht="15" customHeight="1" x14ac:dyDescent="0.25">
      <c r="B4828" s="2" t="str">
        <f t="shared" si="150"/>
        <v>NSG_Income Eligible_Multi-Family_Whole Building - Public Housing_Weatherstripping_0_IE MF</v>
      </c>
      <c r="C4828" s="2" t="str">
        <f t="shared" si="151"/>
        <v>NSG_Income Eligible_Multi-Family_Whole Building - Public Housing_Weatherstripping_0_IE MF_2025</v>
      </c>
      <c r="D4828" s="19" t="s">
        <v>1787</v>
      </c>
      <c r="E4828" s="19" t="s">
        <v>325</v>
      </c>
      <c r="F4828" s="19" t="s">
        <v>1422</v>
      </c>
      <c r="G4828" s="19" t="s">
        <v>1817</v>
      </c>
      <c r="H4828" s="19" t="s">
        <v>576</v>
      </c>
      <c r="I4828" s="19">
        <v>0</v>
      </c>
      <c r="J4828" s="19" t="s">
        <v>1469</v>
      </c>
      <c r="K4828" s="19" t="s">
        <v>1398</v>
      </c>
      <c r="L4828" s="19">
        <v>2025</v>
      </c>
      <c r="M4828" s="20">
        <v>17</v>
      </c>
      <c r="N4828" s="19" t="s">
        <v>1810</v>
      </c>
      <c r="O4828" s="20">
        <v>2</v>
      </c>
      <c r="P4828" s="20">
        <v>34</v>
      </c>
      <c r="Q4828" s="20">
        <v>16.591999999999999</v>
      </c>
      <c r="R4828" s="21">
        <v>1</v>
      </c>
      <c r="S4828" s="20">
        <v>16.591999999999999</v>
      </c>
    </row>
    <row r="4829" spans="2:19" ht="15" customHeight="1" x14ac:dyDescent="0.25">
      <c r="B4829" s="2" t="str">
        <f t="shared" si="150"/>
        <v>NSG_Income Eligible_Multi-Family_Whole Building - Public Housing_A/C Cover and Gap Sealer_0_MF</v>
      </c>
      <c r="C4829" s="2" t="str">
        <f t="shared" si="151"/>
        <v>NSG_Income Eligible_Multi-Family_Whole Building - Public Housing_A/C Cover and Gap Sealer_0_MF_2022</v>
      </c>
      <c r="D4829" s="19" t="s">
        <v>1787</v>
      </c>
      <c r="E4829" s="19" t="s">
        <v>325</v>
      </c>
      <c r="F4829" s="19" t="s">
        <v>1422</v>
      </c>
      <c r="G4829" s="19" t="s">
        <v>1817</v>
      </c>
      <c r="H4829" s="19" t="s">
        <v>1400</v>
      </c>
      <c r="I4829" s="19">
        <v>0</v>
      </c>
      <c r="J4829" s="19" t="s">
        <v>1469</v>
      </c>
      <c r="K4829" s="19" t="s">
        <v>553</v>
      </c>
      <c r="L4829" s="19">
        <v>2022</v>
      </c>
      <c r="M4829" s="20">
        <v>1</v>
      </c>
      <c r="N4829" s="19" t="s">
        <v>1798</v>
      </c>
      <c r="O4829" s="20">
        <v>3</v>
      </c>
      <c r="P4829" s="20">
        <v>3</v>
      </c>
      <c r="Q4829" s="20">
        <v>37.92</v>
      </c>
      <c r="R4829" s="21">
        <v>1</v>
      </c>
      <c r="S4829" s="20">
        <v>37.92</v>
      </c>
    </row>
    <row r="4830" spans="2:19" ht="15" customHeight="1" x14ac:dyDescent="0.25">
      <c r="B4830" s="2" t="str">
        <f t="shared" si="150"/>
        <v>NSG_Income Eligible_Multi-Family_Whole Building - Public Housing_A/C Cover and Gap Sealer_0_MF</v>
      </c>
      <c r="C4830" s="2" t="str">
        <f t="shared" si="151"/>
        <v>NSG_Income Eligible_Multi-Family_Whole Building - Public Housing_A/C Cover and Gap Sealer_0_MF_2023</v>
      </c>
      <c r="D4830" s="19" t="s">
        <v>1787</v>
      </c>
      <c r="E4830" s="19" t="s">
        <v>325</v>
      </c>
      <c r="F4830" s="19" t="s">
        <v>1422</v>
      </c>
      <c r="G4830" s="19" t="s">
        <v>1817</v>
      </c>
      <c r="H4830" s="19" t="s">
        <v>1400</v>
      </c>
      <c r="I4830" s="19">
        <v>0</v>
      </c>
      <c r="J4830" s="19" t="s">
        <v>1469</v>
      </c>
      <c r="K4830" s="19" t="s">
        <v>553</v>
      </c>
      <c r="L4830" s="19">
        <v>2023</v>
      </c>
      <c r="M4830" s="20">
        <v>1</v>
      </c>
      <c r="N4830" s="19" t="s">
        <v>1798</v>
      </c>
      <c r="O4830" s="20">
        <v>3</v>
      </c>
      <c r="P4830" s="20">
        <v>3</v>
      </c>
      <c r="Q4830" s="20">
        <v>37.92</v>
      </c>
      <c r="R4830" s="21">
        <v>1</v>
      </c>
      <c r="S4830" s="20">
        <v>37.92</v>
      </c>
    </row>
    <row r="4831" spans="2:19" ht="15" customHeight="1" x14ac:dyDescent="0.25">
      <c r="B4831" s="2" t="str">
        <f t="shared" si="150"/>
        <v>NSG_Income Eligible_Multi-Family_Whole Building - Public Housing_A/C Cover and Gap Sealer_0_MF</v>
      </c>
      <c r="C4831" s="2" t="str">
        <f t="shared" si="151"/>
        <v>NSG_Income Eligible_Multi-Family_Whole Building - Public Housing_A/C Cover and Gap Sealer_0_MF_2024</v>
      </c>
      <c r="D4831" s="19" t="s">
        <v>1787</v>
      </c>
      <c r="E4831" s="19" t="s">
        <v>325</v>
      </c>
      <c r="F4831" s="19" t="s">
        <v>1422</v>
      </c>
      <c r="G4831" s="19" t="s">
        <v>1817</v>
      </c>
      <c r="H4831" s="19" t="s">
        <v>1400</v>
      </c>
      <c r="I4831" s="19">
        <v>0</v>
      </c>
      <c r="J4831" s="19" t="s">
        <v>1469</v>
      </c>
      <c r="K4831" s="19" t="s">
        <v>553</v>
      </c>
      <c r="L4831" s="19">
        <v>2024</v>
      </c>
      <c r="M4831" s="20">
        <v>1</v>
      </c>
      <c r="N4831" s="19" t="s">
        <v>1798</v>
      </c>
      <c r="O4831" s="20">
        <v>3</v>
      </c>
      <c r="P4831" s="20">
        <v>3</v>
      </c>
      <c r="Q4831" s="20">
        <v>37.92</v>
      </c>
      <c r="R4831" s="21">
        <v>1</v>
      </c>
      <c r="S4831" s="20">
        <v>37.92</v>
      </c>
    </row>
    <row r="4832" spans="2:19" ht="15" customHeight="1" x14ac:dyDescent="0.25">
      <c r="B4832" s="2" t="str">
        <f t="shared" si="150"/>
        <v>NSG_Income Eligible_Multi-Family_Whole Building - Public Housing_A/C Cover and Gap Sealer_0_MF</v>
      </c>
      <c r="C4832" s="2" t="str">
        <f t="shared" si="151"/>
        <v>NSG_Income Eligible_Multi-Family_Whole Building - Public Housing_A/C Cover and Gap Sealer_0_MF_2025</v>
      </c>
      <c r="D4832" s="19" t="s">
        <v>1787</v>
      </c>
      <c r="E4832" s="19" t="s">
        <v>325</v>
      </c>
      <c r="F4832" s="19" t="s">
        <v>1422</v>
      </c>
      <c r="G4832" s="19" t="s">
        <v>1817</v>
      </c>
      <c r="H4832" s="19" t="s">
        <v>1400</v>
      </c>
      <c r="I4832" s="19">
        <v>0</v>
      </c>
      <c r="J4832" s="19" t="s">
        <v>1469</v>
      </c>
      <c r="K4832" s="19" t="s">
        <v>553</v>
      </c>
      <c r="L4832" s="19">
        <v>2025</v>
      </c>
      <c r="M4832" s="20">
        <v>1</v>
      </c>
      <c r="N4832" s="19" t="s">
        <v>1798</v>
      </c>
      <c r="O4832" s="20">
        <v>3</v>
      </c>
      <c r="P4832" s="20">
        <v>3</v>
      </c>
      <c r="Q4832" s="20">
        <v>37.92</v>
      </c>
      <c r="R4832" s="21">
        <v>1</v>
      </c>
      <c r="S4832" s="20">
        <v>37.92</v>
      </c>
    </row>
    <row r="4833" spans="2:19" ht="15" customHeight="1" x14ac:dyDescent="0.25">
      <c r="B4833" s="2" t="str">
        <f t="shared" si="150"/>
        <v>NSG_Income Eligible_Multi-Family_Whole Building - Public Housing_Wall Insulation_0_SF</v>
      </c>
      <c r="C4833" s="2" t="str">
        <f t="shared" si="151"/>
        <v>NSG_Income Eligible_Multi-Family_Whole Building - Public Housing_Wall Insulation_0_SF_2022</v>
      </c>
      <c r="D4833" s="19" t="s">
        <v>1787</v>
      </c>
      <c r="E4833" s="19" t="s">
        <v>325</v>
      </c>
      <c r="F4833" s="19" t="s">
        <v>1422</v>
      </c>
      <c r="G4833" s="19" t="s">
        <v>1817</v>
      </c>
      <c r="H4833" s="19" t="s">
        <v>222</v>
      </c>
      <c r="I4833" s="19">
        <v>0</v>
      </c>
      <c r="J4833" s="19" t="s">
        <v>783</v>
      </c>
      <c r="K4833" s="19" t="s">
        <v>409</v>
      </c>
      <c r="L4833" s="19">
        <v>2022</v>
      </c>
      <c r="M4833" s="20">
        <v>600</v>
      </c>
      <c r="N4833" s="19" t="s">
        <v>1798</v>
      </c>
      <c r="O4833" s="20">
        <v>0</v>
      </c>
      <c r="P4833" s="20">
        <v>0</v>
      </c>
      <c r="Q4833" s="20">
        <v>0</v>
      </c>
      <c r="R4833" s="21">
        <v>1</v>
      </c>
      <c r="S4833" s="20">
        <v>0</v>
      </c>
    </row>
    <row r="4834" spans="2:19" ht="15" customHeight="1" x14ac:dyDescent="0.25">
      <c r="B4834" s="2" t="str">
        <f t="shared" si="150"/>
        <v>NSG_Income Eligible_Multi-Family_Whole Building - Public Housing_Wall Insulation_0_SF</v>
      </c>
      <c r="C4834" s="2" t="str">
        <f t="shared" si="151"/>
        <v>NSG_Income Eligible_Multi-Family_Whole Building - Public Housing_Wall Insulation_0_SF_2023</v>
      </c>
      <c r="D4834" s="19" t="s">
        <v>1787</v>
      </c>
      <c r="E4834" s="19" t="s">
        <v>325</v>
      </c>
      <c r="F4834" s="19" t="s">
        <v>1422</v>
      </c>
      <c r="G4834" s="19" t="s">
        <v>1817</v>
      </c>
      <c r="H4834" s="19" t="s">
        <v>222</v>
      </c>
      <c r="I4834" s="19">
        <v>0</v>
      </c>
      <c r="J4834" s="19" t="s">
        <v>783</v>
      </c>
      <c r="K4834" s="19" t="s">
        <v>409</v>
      </c>
      <c r="L4834" s="19">
        <v>2023</v>
      </c>
      <c r="M4834" s="20">
        <v>600</v>
      </c>
      <c r="N4834" s="19" t="s">
        <v>1798</v>
      </c>
      <c r="O4834" s="20">
        <v>0</v>
      </c>
      <c r="P4834" s="20">
        <v>0</v>
      </c>
      <c r="Q4834" s="20">
        <v>0</v>
      </c>
      <c r="R4834" s="21">
        <v>1</v>
      </c>
      <c r="S4834" s="20">
        <v>0</v>
      </c>
    </row>
    <row r="4835" spans="2:19" ht="15" customHeight="1" x14ac:dyDescent="0.25">
      <c r="B4835" s="2" t="str">
        <f t="shared" si="150"/>
        <v>NSG_Income Eligible_Multi-Family_Whole Building - Public Housing_Wall Insulation_0_SF</v>
      </c>
      <c r="C4835" s="2" t="str">
        <f t="shared" si="151"/>
        <v>NSG_Income Eligible_Multi-Family_Whole Building - Public Housing_Wall Insulation_0_SF_2024</v>
      </c>
      <c r="D4835" s="19" t="s">
        <v>1787</v>
      </c>
      <c r="E4835" s="19" t="s">
        <v>325</v>
      </c>
      <c r="F4835" s="19" t="s">
        <v>1422</v>
      </c>
      <c r="G4835" s="19" t="s">
        <v>1817</v>
      </c>
      <c r="H4835" s="19" t="s">
        <v>222</v>
      </c>
      <c r="I4835" s="19">
        <v>0</v>
      </c>
      <c r="J4835" s="19" t="s">
        <v>783</v>
      </c>
      <c r="K4835" s="19" t="s">
        <v>409</v>
      </c>
      <c r="L4835" s="19">
        <v>2024</v>
      </c>
      <c r="M4835" s="20">
        <v>600</v>
      </c>
      <c r="N4835" s="19" t="s">
        <v>1798</v>
      </c>
      <c r="O4835" s="20">
        <v>0</v>
      </c>
      <c r="P4835" s="20">
        <v>0</v>
      </c>
      <c r="Q4835" s="20">
        <v>0</v>
      </c>
      <c r="R4835" s="21">
        <v>1</v>
      </c>
      <c r="S4835" s="20">
        <v>0</v>
      </c>
    </row>
    <row r="4836" spans="2:19" ht="15" customHeight="1" x14ac:dyDescent="0.25">
      <c r="B4836" s="2" t="str">
        <f t="shared" si="150"/>
        <v>NSG_Income Eligible_Multi-Family_Whole Building - Public Housing_Wall Insulation_0_SF</v>
      </c>
      <c r="C4836" s="2" t="str">
        <f t="shared" si="151"/>
        <v>NSG_Income Eligible_Multi-Family_Whole Building - Public Housing_Wall Insulation_0_SF_2025</v>
      </c>
      <c r="D4836" s="19" t="s">
        <v>1787</v>
      </c>
      <c r="E4836" s="19" t="s">
        <v>325</v>
      </c>
      <c r="F4836" s="19" t="s">
        <v>1422</v>
      </c>
      <c r="G4836" s="19" t="s">
        <v>1817</v>
      </c>
      <c r="H4836" s="19" t="s">
        <v>222</v>
      </c>
      <c r="I4836" s="19">
        <v>0</v>
      </c>
      <c r="J4836" s="19" t="s">
        <v>783</v>
      </c>
      <c r="K4836" s="19" t="s">
        <v>409</v>
      </c>
      <c r="L4836" s="19">
        <v>2025</v>
      </c>
      <c r="M4836" s="20">
        <v>600</v>
      </c>
      <c r="N4836" s="19" t="s">
        <v>1798</v>
      </c>
      <c r="O4836" s="20">
        <v>0</v>
      </c>
      <c r="P4836" s="20">
        <v>0</v>
      </c>
      <c r="Q4836" s="20">
        <v>0</v>
      </c>
      <c r="R4836" s="21">
        <v>1</v>
      </c>
      <c r="S4836" s="20">
        <v>0</v>
      </c>
    </row>
    <row r="4837" spans="2:19" ht="15" customHeight="1" x14ac:dyDescent="0.25">
      <c r="B4837" s="2" t="str">
        <f t="shared" si="150"/>
        <v>NSG_Income Eligible_Multi-Family_Whole Building - Public Housing_Foundation Insulation_0_SF</v>
      </c>
      <c r="C4837" s="2" t="str">
        <f t="shared" si="151"/>
        <v>NSG_Income Eligible_Multi-Family_Whole Building - Public Housing_Foundation Insulation_0_SF_2022</v>
      </c>
      <c r="D4837" s="19" t="s">
        <v>1787</v>
      </c>
      <c r="E4837" s="19" t="s">
        <v>325</v>
      </c>
      <c r="F4837" s="19" t="s">
        <v>1422</v>
      </c>
      <c r="G4837" s="19" t="s">
        <v>1817</v>
      </c>
      <c r="H4837" s="19" t="s">
        <v>608</v>
      </c>
      <c r="I4837" s="19">
        <v>0</v>
      </c>
      <c r="J4837" s="19" t="s">
        <v>610</v>
      </c>
      <c r="K4837" s="19" t="s">
        <v>409</v>
      </c>
      <c r="L4837" s="19">
        <v>2022</v>
      </c>
      <c r="M4837" s="20">
        <v>200</v>
      </c>
      <c r="N4837" s="19" t="s">
        <v>751</v>
      </c>
      <c r="O4837" s="20">
        <v>0</v>
      </c>
      <c r="P4837" s="20">
        <v>0</v>
      </c>
      <c r="Q4837" s="20">
        <v>0</v>
      </c>
      <c r="R4837" s="21">
        <v>1</v>
      </c>
      <c r="S4837" s="20">
        <v>0</v>
      </c>
    </row>
    <row r="4838" spans="2:19" ht="15" customHeight="1" x14ac:dyDescent="0.25">
      <c r="B4838" s="2" t="str">
        <f t="shared" si="150"/>
        <v>NSG_Income Eligible_Multi-Family_Whole Building - Public Housing_Foundation Insulation_0_SF</v>
      </c>
      <c r="C4838" s="2" t="str">
        <f t="shared" si="151"/>
        <v>NSG_Income Eligible_Multi-Family_Whole Building - Public Housing_Foundation Insulation_0_SF_2023</v>
      </c>
      <c r="D4838" s="19" t="s">
        <v>1787</v>
      </c>
      <c r="E4838" s="19" t="s">
        <v>325</v>
      </c>
      <c r="F4838" s="19" t="s">
        <v>1422</v>
      </c>
      <c r="G4838" s="19" t="s">
        <v>1817</v>
      </c>
      <c r="H4838" s="19" t="s">
        <v>608</v>
      </c>
      <c r="I4838" s="19">
        <v>0</v>
      </c>
      <c r="J4838" s="19" t="s">
        <v>610</v>
      </c>
      <c r="K4838" s="19" t="s">
        <v>409</v>
      </c>
      <c r="L4838" s="19">
        <v>2023</v>
      </c>
      <c r="M4838" s="20">
        <v>200</v>
      </c>
      <c r="N4838" s="19" t="s">
        <v>751</v>
      </c>
      <c r="O4838" s="20">
        <v>0</v>
      </c>
      <c r="P4838" s="20">
        <v>0</v>
      </c>
      <c r="Q4838" s="20">
        <v>0</v>
      </c>
      <c r="R4838" s="21">
        <v>1</v>
      </c>
      <c r="S4838" s="20">
        <v>0</v>
      </c>
    </row>
    <row r="4839" spans="2:19" ht="15" customHeight="1" x14ac:dyDescent="0.25">
      <c r="B4839" s="2" t="str">
        <f t="shared" si="150"/>
        <v>NSG_Income Eligible_Multi-Family_Whole Building - Public Housing_Foundation Insulation_0_SF</v>
      </c>
      <c r="C4839" s="2" t="str">
        <f t="shared" si="151"/>
        <v>NSG_Income Eligible_Multi-Family_Whole Building - Public Housing_Foundation Insulation_0_SF_2024</v>
      </c>
      <c r="D4839" s="19" t="s">
        <v>1787</v>
      </c>
      <c r="E4839" s="19" t="s">
        <v>325</v>
      </c>
      <c r="F4839" s="19" t="s">
        <v>1422</v>
      </c>
      <c r="G4839" s="19" t="s">
        <v>1817</v>
      </c>
      <c r="H4839" s="19" t="s">
        <v>608</v>
      </c>
      <c r="I4839" s="19">
        <v>0</v>
      </c>
      <c r="J4839" s="19" t="s">
        <v>610</v>
      </c>
      <c r="K4839" s="19" t="s">
        <v>409</v>
      </c>
      <c r="L4839" s="19">
        <v>2024</v>
      </c>
      <c r="M4839" s="20">
        <v>200</v>
      </c>
      <c r="N4839" s="19" t="s">
        <v>751</v>
      </c>
      <c r="O4839" s="20">
        <v>0</v>
      </c>
      <c r="P4839" s="20">
        <v>0</v>
      </c>
      <c r="Q4839" s="20">
        <v>0</v>
      </c>
      <c r="R4839" s="21">
        <v>1</v>
      </c>
      <c r="S4839" s="20">
        <v>0</v>
      </c>
    </row>
    <row r="4840" spans="2:19" ht="15" customHeight="1" x14ac:dyDescent="0.25">
      <c r="B4840" s="2" t="str">
        <f t="shared" si="150"/>
        <v>NSG_Income Eligible_Multi-Family_Whole Building - Public Housing_Foundation Insulation_0_SF</v>
      </c>
      <c r="C4840" s="2" t="str">
        <f t="shared" si="151"/>
        <v>NSG_Income Eligible_Multi-Family_Whole Building - Public Housing_Foundation Insulation_0_SF_2025</v>
      </c>
      <c r="D4840" s="19" t="s">
        <v>1787</v>
      </c>
      <c r="E4840" s="19" t="s">
        <v>325</v>
      </c>
      <c r="F4840" s="19" t="s">
        <v>1422</v>
      </c>
      <c r="G4840" s="19" t="s">
        <v>1817</v>
      </c>
      <c r="H4840" s="19" t="s">
        <v>608</v>
      </c>
      <c r="I4840" s="19">
        <v>0</v>
      </c>
      <c r="J4840" s="19" t="s">
        <v>610</v>
      </c>
      <c r="K4840" s="19" t="s">
        <v>409</v>
      </c>
      <c r="L4840" s="19">
        <v>2025</v>
      </c>
      <c r="M4840" s="20">
        <v>200</v>
      </c>
      <c r="N4840" s="19" t="s">
        <v>751</v>
      </c>
      <c r="O4840" s="20">
        <v>0</v>
      </c>
      <c r="P4840" s="20">
        <v>0</v>
      </c>
      <c r="Q4840" s="20">
        <v>0</v>
      </c>
      <c r="R4840" s="21">
        <v>1</v>
      </c>
      <c r="S4840" s="20">
        <v>0</v>
      </c>
    </row>
    <row r="4841" spans="2:19" ht="15" customHeight="1" x14ac:dyDescent="0.25">
      <c r="B4841" s="2" t="str">
        <f t="shared" si="150"/>
        <v>NSG_Income Eligible_Multi-Family_Whole Building - Public Housing_Floor Insulation Above Crawlspace_0_Sf</v>
      </c>
      <c r="C4841" s="2" t="str">
        <f t="shared" si="151"/>
        <v>NSG_Income Eligible_Multi-Family_Whole Building - Public Housing_Floor Insulation Above Crawlspace_0_Sf_2022</v>
      </c>
      <c r="D4841" s="19" t="s">
        <v>1787</v>
      </c>
      <c r="E4841" s="19" t="s">
        <v>325</v>
      </c>
      <c r="F4841" s="19" t="s">
        <v>1422</v>
      </c>
      <c r="G4841" s="19" t="s">
        <v>1817</v>
      </c>
      <c r="H4841" s="19" t="s">
        <v>244</v>
      </c>
      <c r="I4841" s="19">
        <v>0</v>
      </c>
      <c r="J4841" s="19" t="s">
        <v>750</v>
      </c>
      <c r="K4841" s="19" t="s">
        <v>1442</v>
      </c>
      <c r="L4841" s="19">
        <v>2022</v>
      </c>
      <c r="M4841" s="20">
        <v>300</v>
      </c>
      <c r="N4841" s="19" t="s">
        <v>1798</v>
      </c>
      <c r="O4841" s="20">
        <v>0</v>
      </c>
      <c r="P4841" s="20">
        <v>0</v>
      </c>
      <c r="Q4841" s="20">
        <v>0</v>
      </c>
      <c r="R4841" s="21">
        <v>1</v>
      </c>
      <c r="S4841" s="20">
        <v>0</v>
      </c>
    </row>
    <row r="4842" spans="2:19" ht="15" customHeight="1" x14ac:dyDescent="0.25">
      <c r="B4842" s="2" t="str">
        <f t="shared" si="150"/>
        <v>NSG_Income Eligible_Multi-Family_Whole Building - Public Housing_Floor Insulation Above Crawlspace_0_Sf</v>
      </c>
      <c r="C4842" s="2" t="str">
        <f t="shared" si="151"/>
        <v>NSG_Income Eligible_Multi-Family_Whole Building - Public Housing_Floor Insulation Above Crawlspace_0_Sf_2023</v>
      </c>
      <c r="D4842" s="19" t="s">
        <v>1787</v>
      </c>
      <c r="E4842" s="19" t="s">
        <v>325</v>
      </c>
      <c r="F4842" s="19" t="s">
        <v>1422</v>
      </c>
      <c r="G4842" s="19" t="s">
        <v>1817</v>
      </c>
      <c r="H4842" s="19" t="s">
        <v>244</v>
      </c>
      <c r="I4842" s="19">
        <v>0</v>
      </c>
      <c r="J4842" s="19" t="s">
        <v>750</v>
      </c>
      <c r="K4842" s="19" t="s">
        <v>1442</v>
      </c>
      <c r="L4842" s="19">
        <v>2023</v>
      </c>
      <c r="M4842" s="20">
        <v>300</v>
      </c>
      <c r="N4842" s="19" t="s">
        <v>1798</v>
      </c>
      <c r="O4842" s="20">
        <v>0</v>
      </c>
      <c r="P4842" s="20">
        <v>0</v>
      </c>
      <c r="Q4842" s="20">
        <v>0</v>
      </c>
      <c r="R4842" s="21">
        <v>1</v>
      </c>
      <c r="S4842" s="20">
        <v>0</v>
      </c>
    </row>
    <row r="4843" spans="2:19" ht="15" customHeight="1" x14ac:dyDescent="0.25">
      <c r="B4843" s="2" t="str">
        <f t="shared" si="150"/>
        <v>NSG_Income Eligible_Multi-Family_Whole Building - Public Housing_Floor Insulation Above Crawlspace_0_Sf</v>
      </c>
      <c r="C4843" s="2" t="str">
        <f t="shared" si="151"/>
        <v>NSG_Income Eligible_Multi-Family_Whole Building - Public Housing_Floor Insulation Above Crawlspace_0_Sf_2024</v>
      </c>
      <c r="D4843" s="19" t="s">
        <v>1787</v>
      </c>
      <c r="E4843" s="19" t="s">
        <v>325</v>
      </c>
      <c r="F4843" s="19" t="s">
        <v>1422</v>
      </c>
      <c r="G4843" s="19" t="s">
        <v>1817</v>
      </c>
      <c r="H4843" s="19" t="s">
        <v>244</v>
      </c>
      <c r="I4843" s="19">
        <v>0</v>
      </c>
      <c r="J4843" s="19" t="s">
        <v>750</v>
      </c>
      <c r="K4843" s="19" t="s">
        <v>1442</v>
      </c>
      <c r="L4843" s="19">
        <v>2024</v>
      </c>
      <c r="M4843" s="20">
        <v>300</v>
      </c>
      <c r="N4843" s="19" t="s">
        <v>1798</v>
      </c>
      <c r="O4843" s="20">
        <v>0</v>
      </c>
      <c r="P4843" s="20">
        <v>0</v>
      </c>
      <c r="Q4843" s="20">
        <v>0</v>
      </c>
      <c r="R4843" s="21">
        <v>1</v>
      </c>
      <c r="S4843" s="20">
        <v>0</v>
      </c>
    </row>
    <row r="4844" spans="2:19" ht="15" customHeight="1" x14ac:dyDescent="0.25">
      <c r="B4844" s="2" t="str">
        <f t="shared" si="150"/>
        <v>NSG_Income Eligible_Multi-Family_Whole Building - Public Housing_Floor Insulation Above Crawlspace_0_Sf</v>
      </c>
      <c r="C4844" s="2" t="str">
        <f t="shared" si="151"/>
        <v>NSG_Income Eligible_Multi-Family_Whole Building - Public Housing_Floor Insulation Above Crawlspace_0_Sf_2025</v>
      </c>
      <c r="D4844" s="19" t="s">
        <v>1787</v>
      </c>
      <c r="E4844" s="19" t="s">
        <v>325</v>
      </c>
      <c r="F4844" s="19" t="s">
        <v>1422</v>
      </c>
      <c r="G4844" s="19" t="s">
        <v>1817</v>
      </c>
      <c r="H4844" s="19" t="s">
        <v>244</v>
      </c>
      <c r="I4844" s="19">
        <v>0</v>
      </c>
      <c r="J4844" s="19" t="s">
        <v>750</v>
      </c>
      <c r="K4844" s="19" t="s">
        <v>1442</v>
      </c>
      <c r="L4844" s="19">
        <v>2025</v>
      </c>
      <c r="M4844" s="20">
        <v>300</v>
      </c>
      <c r="N4844" s="19" t="s">
        <v>1798</v>
      </c>
      <c r="O4844" s="20">
        <v>0</v>
      </c>
      <c r="P4844" s="20">
        <v>0</v>
      </c>
      <c r="Q4844" s="20">
        <v>0</v>
      </c>
      <c r="R4844" s="21">
        <v>1</v>
      </c>
      <c r="S4844" s="20">
        <v>0</v>
      </c>
    </row>
    <row r="4845" spans="2:19" ht="15" customHeight="1" x14ac:dyDescent="0.25">
      <c r="B4845" s="2" t="str">
        <f t="shared" si="150"/>
        <v>NSG_Income Eligible_Multi-Family_Whole Building - Public Housing_Boiler_≥88% AFUE, &lt;300MBh_MF</v>
      </c>
      <c r="C4845" s="2" t="str">
        <f t="shared" si="151"/>
        <v>NSG_Income Eligible_Multi-Family_Whole Building - Public Housing_Boiler_≥88% AFUE, &lt;300MBh_MF_2022</v>
      </c>
      <c r="D4845" s="19" t="s">
        <v>1787</v>
      </c>
      <c r="E4845" s="19" t="s">
        <v>325</v>
      </c>
      <c r="F4845" s="19" t="s">
        <v>1422</v>
      </c>
      <c r="G4845" s="19" t="s">
        <v>1817</v>
      </c>
      <c r="H4845" s="19" t="s">
        <v>944</v>
      </c>
      <c r="I4845" s="19" t="s">
        <v>945</v>
      </c>
      <c r="J4845" s="19" t="s">
        <v>942</v>
      </c>
      <c r="K4845" s="19" t="s">
        <v>553</v>
      </c>
      <c r="L4845" s="19">
        <v>2022</v>
      </c>
      <c r="M4845" s="20">
        <v>150</v>
      </c>
      <c r="N4845" s="19" t="s">
        <v>1798</v>
      </c>
      <c r="O4845" s="20">
        <v>0</v>
      </c>
      <c r="P4845" s="20">
        <v>0</v>
      </c>
      <c r="Q4845" s="20">
        <v>0</v>
      </c>
      <c r="R4845" s="21">
        <v>1</v>
      </c>
      <c r="S4845" s="20">
        <v>0</v>
      </c>
    </row>
    <row r="4846" spans="2:19" ht="15" customHeight="1" x14ac:dyDescent="0.25">
      <c r="B4846" s="2" t="str">
        <f t="shared" si="150"/>
        <v>NSG_Income Eligible_Multi-Family_Whole Building - Public Housing_Boiler_≥88% AFUE, &lt;300MBh_MF</v>
      </c>
      <c r="C4846" s="2" t="str">
        <f t="shared" si="151"/>
        <v>NSG_Income Eligible_Multi-Family_Whole Building - Public Housing_Boiler_≥88% AFUE, &lt;300MBh_MF_2023</v>
      </c>
      <c r="D4846" s="19" t="s">
        <v>1787</v>
      </c>
      <c r="E4846" s="19" t="s">
        <v>325</v>
      </c>
      <c r="F4846" s="19" t="s">
        <v>1422</v>
      </c>
      <c r="G4846" s="19" t="s">
        <v>1817</v>
      </c>
      <c r="H4846" s="19" t="s">
        <v>944</v>
      </c>
      <c r="I4846" s="19" t="s">
        <v>945</v>
      </c>
      <c r="J4846" s="19" t="s">
        <v>942</v>
      </c>
      <c r="K4846" s="19" t="s">
        <v>553</v>
      </c>
      <c r="L4846" s="19">
        <v>2023</v>
      </c>
      <c r="M4846" s="20">
        <v>150</v>
      </c>
      <c r="N4846" s="19" t="s">
        <v>1798</v>
      </c>
      <c r="O4846" s="20">
        <v>0</v>
      </c>
      <c r="P4846" s="20">
        <v>0</v>
      </c>
      <c r="Q4846" s="20">
        <v>0</v>
      </c>
      <c r="R4846" s="21">
        <v>1</v>
      </c>
      <c r="S4846" s="20">
        <v>0</v>
      </c>
    </row>
    <row r="4847" spans="2:19" ht="15" customHeight="1" x14ac:dyDescent="0.25">
      <c r="B4847" s="2" t="str">
        <f t="shared" si="150"/>
        <v>NSG_Income Eligible_Multi-Family_Whole Building - Public Housing_Boiler_≥88% AFUE, &lt;300MBh_MF</v>
      </c>
      <c r="C4847" s="2" t="str">
        <f t="shared" si="151"/>
        <v>NSG_Income Eligible_Multi-Family_Whole Building - Public Housing_Boiler_≥88% AFUE, &lt;300MBh_MF_2024</v>
      </c>
      <c r="D4847" s="19" t="s">
        <v>1787</v>
      </c>
      <c r="E4847" s="19" t="s">
        <v>325</v>
      </c>
      <c r="F4847" s="19" t="s">
        <v>1422</v>
      </c>
      <c r="G4847" s="19" t="s">
        <v>1817</v>
      </c>
      <c r="H4847" s="19" t="s">
        <v>944</v>
      </c>
      <c r="I4847" s="19" t="s">
        <v>945</v>
      </c>
      <c r="J4847" s="19" t="s">
        <v>942</v>
      </c>
      <c r="K4847" s="19" t="s">
        <v>553</v>
      </c>
      <c r="L4847" s="19">
        <v>2024</v>
      </c>
      <c r="M4847" s="20">
        <v>150</v>
      </c>
      <c r="N4847" s="19" t="s">
        <v>1798</v>
      </c>
      <c r="O4847" s="20">
        <v>0</v>
      </c>
      <c r="P4847" s="20">
        <v>0</v>
      </c>
      <c r="Q4847" s="20">
        <v>0</v>
      </c>
      <c r="R4847" s="21">
        <v>1</v>
      </c>
      <c r="S4847" s="20">
        <v>0</v>
      </c>
    </row>
    <row r="4848" spans="2:19" ht="15" customHeight="1" x14ac:dyDescent="0.25">
      <c r="B4848" s="2" t="str">
        <f t="shared" si="150"/>
        <v>NSG_Income Eligible_Multi-Family_Whole Building - Public Housing_Boiler_≥88% AFUE, &lt;300MBh_MF</v>
      </c>
      <c r="C4848" s="2" t="str">
        <f t="shared" si="151"/>
        <v>NSG_Income Eligible_Multi-Family_Whole Building - Public Housing_Boiler_≥88% AFUE, &lt;300MBh_MF_2025</v>
      </c>
      <c r="D4848" s="19" t="s">
        <v>1787</v>
      </c>
      <c r="E4848" s="19" t="s">
        <v>325</v>
      </c>
      <c r="F4848" s="19" t="s">
        <v>1422</v>
      </c>
      <c r="G4848" s="19" t="s">
        <v>1817</v>
      </c>
      <c r="H4848" s="19" t="s">
        <v>944</v>
      </c>
      <c r="I4848" s="19" t="s">
        <v>945</v>
      </c>
      <c r="J4848" s="19" t="s">
        <v>942</v>
      </c>
      <c r="K4848" s="19" t="s">
        <v>553</v>
      </c>
      <c r="L4848" s="19">
        <v>2025</v>
      </c>
      <c r="M4848" s="20">
        <v>150</v>
      </c>
      <c r="N4848" s="19" t="s">
        <v>1798</v>
      </c>
      <c r="O4848" s="20">
        <v>0</v>
      </c>
      <c r="P4848" s="20">
        <v>0</v>
      </c>
      <c r="Q4848" s="20">
        <v>0</v>
      </c>
      <c r="R4848" s="21">
        <v>1</v>
      </c>
      <c r="S4848" s="20">
        <v>0</v>
      </c>
    </row>
    <row r="4849" spans="2:19" ht="15" customHeight="1" x14ac:dyDescent="0.25">
      <c r="B4849" s="2" t="str">
        <f t="shared" si="150"/>
        <v>NSG_Income Eligible_Multi-Family_Whole Building - Public Housing_Boiler_≥88% AFUE, ≥300MBh TE_MF</v>
      </c>
      <c r="C4849" s="2" t="str">
        <f t="shared" si="151"/>
        <v>NSG_Income Eligible_Multi-Family_Whole Building - Public Housing_Boiler_≥88% AFUE, ≥300MBh TE_MF_2022</v>
      </c>
      <c r="D4849" s="19" t="s">
        <v>1787</v>
      </c>
      <c r="E4849" s="19" t="s">
        <v>325</v>
      </c>
      <c r="F4849" s="19" t="s">
        <v>1422</v>
      </c>
      <c r="G4849" s="19" t="s">
        <v>1817</v>
      </c>
      <c r="H4849" s="19" t="s">
        <v>944</v>
      </c>
      <c r="I4849" s="19" t="s">
        <v>946</v>
      </c>
      <c r="J4849" s="19" t="s">
        <v>942</v>
      </c>
      <c r="K4849" s="19" t="s">
        <v>553</v>
      </c>
      <c r="L4849" s="19">
        <v>2022</v>
      </c>
      <c r="M4849" s="20">
        <v>350</v>
      </c>
      <c r="N4849" s="19" t="s">
        <v>1798</v>
      </c>
      <c r="O4849" s="20">
        <v>0</v>
      </c>
      <c r="P4849" s="20">
        <v>0</v>
      </c>
      <c r="Q4849" s="20">
        <v>0</v>
      </c>
      <c r="R4849" s="21">
        <v>1</v>
      </c>
      <c r="S4849" s="20">
        <v>0</v>
      </c>
    </row>
    <row r="4850" spans="2:19" ht="15" customHeight="1" x14ac:dyDescent="0.25">
      <c r="B4850" s="2" t="str">
        <f t="shared" si="150"/>
        <v>NSG_Income Eligible_Multi-Family_Whole Building - Public Housing_Boiler_≥88% AFUE, ≥300MBh TE_MF</v>
      </c>
      <c r="C4850" s="2" t="str">
        <f t="shared" si="151"/>
        <v>NSG_Income Eligible_Multi-Family_Whole Building - Public Housing_Boiler_≥88% AFUE, ≥300MBh TE_MF_2023</v>
      </c>
      <c r="D4850" s="19" t="s">
        <v>1787</v>
      </c>
      <c r="E4850" s="19" t="s">
        <v>325</v>
      </c>
      <c r="F4850" s="19" t="s">
        <v>1422</v>
      </c>
      <c r="G4850" s="19" t="s">
        <v>1817</v>
      </c>
      <c r="H4850" s="19" t="s">
        <v>944</v>
      </c>
      <c r="I4850" s="19" t="s">
        <v>946</v>
      </c>
      <c r="J4850" s="19" t="s">
        <v>942</v>
      </c>
      <c r="K4850" s="19" t="s">
        <v>553</v>
      </c>
      <c r="L4850" s="19">
        <v>2023</v>
      </c>
      <c r="M4850" s="20">
        <v>350</v>
      </c>
      <c r="N4850" s="19" t="s">
        <v>1798</v>
      </c>
      <c r="O4850" s="20">
        <v>0</v>
      </c>
      <c r="P4850" s="20">
        <v>0</v>
      </c>
      <c r="Q4850" s="20">
        <v>0</v>
      </c>
      <c r="R4850" s="21">
        <v>1</v>
      </c>
      <c r="S4850" s="20">
        <v>0</v>
      </c>
    </row>
    <row r="4851" spans="2:19" ht="15" customHeight="1" x14ac:dyDescent="0.25">
      <c r="B4851" s="2" t="str">
        <f t="shared" si="150"/>
        <v>NSG_Income Eligible_Multi-Family_Whole Building - Public Housing_Boiler_≥88% AFUE, ≥300MBh TE_MF</v>
      </c>
      <c r="C4851" s="2" t="str">
        <f t="shared" si="151"/>
        <v>NSG_Income Eligible_Multi-Family_Whole Building - Public Housing_Boiler_≥88% AFUE, ≥300MBh TE_MF_2024</v>
      </c>
      <c r="D4851" s="19" t="s">
        <v>1787</v>
      </c>
      <c r="E4851" s="19" t="s">
        <v>325</v>
      </c>
      <c r="F4851" s="19" t="s">
        <v>1422</v>
      </c>
      <c r="G4851" s="19" t="s">
        <v>1817</v>
      </c>
      <c r="H4851" s="19" t="s">
        <v>944</v>
      </c>
      <c r="I4851" s="19" t="s">
        <v>946</v>
      </c>
      <c r="J4851" s="19" t="s">
        <v>942</v>
      </c>
      <c r="K4851" s="19" t="s">
        <v>553</v>
      </c>
      <c r="L4851" s="19">
        <v>2024</v>
      </c>
      <c r="M4851" s="20">
        <v>350</v>
      </c>
      <c r="N4851" s="19" t="s">
        <v>1798</v>
      </c>
      <c r="O4851" s="20">
        <v>0</v>
      </c>
      <c r="P4851" s="20">
        <v>0</v>
      </c>
      <c r="Q4851" s="20">
        <v>0</v>
      </c>
      <c r="R4851" s="21">
        <v>1</v>
      </c>
      <c r="S4851" s="20">
        <v>0</v>
      </c>
    </row>
    <row r="4852" spans="2:19" ht="15" customHeight="1" x14ac:dyDescent="0.25">
      <c r="B4852" s="2" t="str">
        <f t="shared" si="150"/>
        <v>NSG_Income Eligible_Multi-Family_Whole Building - Public Housing_Boiler_≥88% AFUE, ≥300MBh TE_MF</v>
      </c>
      <c r="C4852" s="2" t="str">
        <f t="shared" si="151"/>
        <v>NSG_Income Eligible_Multi-Family_Whole Building - Public Housing_Boiler_≥88% AFUE, ≥300MBh TE_MF_2025</v>
      </c>
      <c r="D4852" s="19" t="s">
        <v>1787</v>
      </c>
      <c r="E4852" s="19" t="s">
        <v>325</v>
      </c>
      <c r="F4852" s="19" t="s">
        <v>1422</v>
      </c>
      <c r="G4852" s="19" t="s">
        <v>1817</v>
      </c>
      <c r="H4852" s="19" t="s">
        <v>944</v>
      </c>
      <c r="I4852" s="19" t="s">
        <v>946</v>
      </c>
      <c r="J4852" s="19" t="s">
        <v>942</v>
      </c>
      <c r="K4852" s="19" t="s">
        <v>553</v>
      </c>
      <c r="L4852" s="19">
        <v>2025</v>
      </c>
      <c r="M4852" s="20">
        <v>350</v>
      </c>
      <c r="N4852" s="19" t="s">
        <v>1798</v>
      </c>
      <c r="O4852" s="20">
        <v>0</v>
      </c>
      <c r="P4852" s="20">
        <v>0</v>
      </c>
      <c r="Q4852" s="20">
        <v>0</v>
      </c>
      <c r="R4852" s="21">
        <v>1</v>
      </c>
      <c r="S4852" s="20">
        <v>0</v>
      </c>
    </row>
    <row r="4853" spans="2:19" ht="15" customHeight="1" x14ac:dyDescent="0.25">
      <c r="B4853" s="2" t="str">
        <f t="shared" si="150"/>
        <v>NSG_Income Eligible_Multi-Family_Whole Building - Public Housing_Boiler Reset Controls_0_MF</v>
      </c>
      <c r="C4853" s="2" t="str">
        <f t="shared" si="151"/>
        <v>NSG_Income Eligible_Multi-Family_Whole Building - Public Housing_Boiler Reset Controls_0_MF_2022</v>
      </c>
      <c r="D4853" s="19" t="s">
        <v>1787</v>
      </c>
      <c r="E4853" s="19" t="s">
        <v>325</v>
      </c>
      <c r="F4853" s="19" t="s">
        <v>1422</v>
      </c>
      <c r="G4853" s="19" t="s">
        <v>1817</v>
      </c>
      <c r="H4853" s="19" t="s">
        <v>978</v>
      </c>
      <c r="I4853" s="19">
        <v>0</v>
      </c>
      <c r="J4853" s="19" t="s">
        <v>25</v>
      </c>
      <c r="K4853" s="19" t="s">
        <v>553</v>
      </c>
      <c r="L4853" s="19">
        <v>2022</v>
      </c>
      <c r="M4853" s="20">
        <v>200</v>
      </c>
      <c r="N4853" s="19" t="s">
        <v>1798</v>
      </c>
      <c r="O4853" s="20">
        <v>0</v>
      </c>
      <c r="P4853" s="20">
        <v>0</v>
      </c>
      <c r="Q4853" s="20">
        <v>0</v>
      </c>
      <c r="R4853" s="21">
        <v>1</v>
      </c>
      <c r="S4853" s="20">
        <v>0</v>
      </c>
    </row>
    <row r="4854" spans="2:19" ht="15" customHeight="1" x14ac:dyDescent="0.25">
      <c r="B4854" s="2" t="str">
        <f t="shared" si="150"/>
        <v>NSG_Income Eligible_Multi-Family_Whole Building - Public Housing_Boiler Reset Controls_0_MF</v>
      </c>
      <c r="C4854" s="2" t="str">
        <f t="shared" si="151"/>
        <v>NSG_Income Eligible_Multi-Family_Whole Building - Public Housing_Boiler Reset Controls_0_MF_2023</v>
      </c>
      <c r="D4854" s="19" t="s">
        <v>1787</v>
      </c>
      <c r="E4854" s="19" t="s">
        <v>325</v>
      </c>
      <c r="F4854" s="19" t="s">
        <v>1422</v>
      </c>
      <c r="G4854" s="19" t="s">
        <v>1817</v>
      </c>
      <c r="H4854" s="19" t="s">
        <v>978</v>
      </c>
      <c r="I4854" s="19">
        <v>0</v>
      </c>
      <c r="J4854" s="19" t="s">
        <v>25</v>
      </c>
      <c r="K4854" s="19" t="s">
        <v>553</v>
      </c>
      <c r="L4854" s="19">
        <v>2023</v>
      </c>
      <c r="M4854" s="20">
        <v>200</v>
      </c>
      <c r="N4854" s="19" t="s">
        <v>1798</v>
      </c>
      <c r="O4854" s="20">
        <v>0</v>
      </c>
      <c r="P4854" s="20">
        <v>0</v>
      </c>
      <c r="Q4854" s="20">
        <v>0</v>
      </c>
      <c r="R4854" s="21">
        <v>1</v>
      </c>
      <c r="S4854" s="20">
        <v>0</v>
      </c>
    </row>
    <row r="4855" spans="2:19" ht="15" customHeight="1" x14ac:dyDescent="0.25">
      <c r="B4855" s="2" t="str">
        <f t="shared" si="150"/>
        <v>NSG_Income Eligible_Multi-Family_Whole Building - Public Housing_Boiler Reset Controls_0_MF</v>
      </c>
      <c r="C4855" s="2" t="str">
        <f t="shared" si="151"/>
        <v>NSG_Income Eligible_Multi-Family_Whole Building - Public Housing_Boiler Reset Controls_0_MF_2024</v>
      </c>
      <c r="D4855" s="19" t="s">
        <v>1787</v>
      </c>
      <c r="E4855" s="19" t="s">
        <v>325</v>
      </c>
      <c r="F4855" s="19" t="s">
        <v>1422</v>
      </c>
      <c r="G4855" s="19" t="s">
        <v>1817</v>
      </c>
      <c r="H4855" s="19" t="s">
        <v>978</v>
      </c>
      <c r="I4855" s="19">
        <v>0</v>
      </c>
      <c r="J4855" s="19" t="s">
        <v>25</v>
      </c>
      <c r="K4855" s="19" t="s">
        <v>553</v>
      </c>
      <c r="L4855" s="19">
        <v>2024</v>
      </c>
      <c r="M4855" s="20">
        <v>200</v>
      </c>
      <c r="N4855" s="19" t="s">
        <v>1798</v>
      </c>
      <c r="O4855" s="20">
        <v>0</v>
      </c>
      <c r="P4855" s="20">
        <v>0</v>
      </c>
      <c r="Q4855" s="20">
        <v>0</v>
      </c>
      <c r="R4855" s="21">
        <v>1</v>
      </c>
      <c r="S4855" s="20">
        <v>0</v>
      </c>
    </row>
    <row r="4856" spans="2:19" ht="15" customHeight="1" x14ac:dyDescent="0.25">
      <c r="B4856" s="2" t="str">
        <f t="shared" si="150"/>
        <v>NSG_Income Eligible_Multi-Family_Whole Building - Public Housing_Boiler Reset Controls_0_MF</v>
      </c>
      <c r="C4856" s="2" t="str">
        <f t="shared" si="151"/>
        <v>NSG_Income Eligible_Multi-Family_Whole Building - Public Housing_Boiler Reset Controls_0_MF_2025</v>
      </c>
      <c r="D4856" s="19" t="s">
        <v>1787</v>
      </c>
      <c r="E4856" s="19" t="s">
        <v>325</v>
      </c>
      <c r="F4856" s="19" t="s">
        <v>1422</v>
      </c>
      <c r="G4856" s="19" t="s">
        <v>1817</v>
      </c>
      <c r="H4856" s="19" t="s">
        <v>978</v>
      </c>
      <c r="I4856" s="19">
        <v>0</v>
      </c>
      <c r="J4856" s="19" t="s">
        <v>25</v>
      </c>
      <c r="K4856" s="19" t="s">
        <v>553</v>
      </c>
      <c r="L4856" s="19">
        <v>2025</v>
      </c>
      <c r="M4856" s="20">
        <v>200</v>
      </c>
      <c r="N4856" s="19" t="s">
        <v>1798</v>
      </c>
      <c r="O4856" s="20">
        <v>0</v>
      </c>
      <c r="P4856" s="20">
        <v>0</v>
      </c>
      <c r="Q4856" s="20">
        <v>0</v>
      </c>
      <c r="R4856" s="21">
        <v>1</v>
      </c>
      <c r="S4856" s="20">
        <v>0</v>
      </c>
    </row>
    <row r="4857" spans="2:19" ht="15" customHeight="1" x14ac:dyDescent="0.25">
      <c r="B4857" s="2" t="str">
        <f t="shared" si="150"/>
        <v>NSG_Income Eligible_Multi-Family_Whole Building - Public Housing_Boiler Tune Up_Space Heating_MF</v>
      </c>
      <c r="C4857" s="2" t="str">
        <f t="shared" si="151"/>
        <v>NSG_Income Eligible_Multi-Family_Whole Building - Public Housing_Boiler Tune Up_Space Heating_MF_2022</v>
      </c>
      <c r="D4857" s="19" t="s">
        <v>1787</v>
      </c>
      <c r="E4857" s="19" t="s">
        <v>325</v>
      </c>
      <c r="F4857" s="19" t="s">
        <v>1422</v>
      </c>
      <c r="G4857" s="19" t="s">
        <v>1817</v>
      </c>
      <c r="H4857" s="19" t="s">
        <v>906</v>
      </c>
      <c r="I4857" s="19" t="s">
        <v>907</v>
      </c>
      <c r="J4857" s="19" t="s">
        <v>909</v>
      </c>
      <c r="K4857" s="19" t="s">
        <v>553</v>
      </c>
      <c r="L4857" s="19">
        <v>2022</v>
      </c>
      <c r="M4857" s="20">
        <v>800</v>
      </c>
      <c r="N4857" s="19" t="s">
        <v>1798</v>
      </c>
      <c r="O4857" s="20">
        <v>0</v>
      </c>
      <c r="P4857" s="20">
        <v>0</v>
      </c>
      <c r="Q4857" s="20">
        <v>0</v>
      </c>
      <c r="R4857" s="21">
        <v>1</v>
      </c>
      <c r="S4857" s="20">
        <v>0</v>
      </c>
    </row>
    <row r="4858" spans="2:19" ht="15" customHeight="1" x14ac:dyDescent="0.25">
      <c r="B4858" s="2" t="str">
        <f t="shared" si="150"/>
        <v>NSG_Income Eligible_Multi-Family_Whole Building - Public Housing_Boiler Tune Up_Space Heating_MF</v>
      </c>
      <c r="C4858" s="2" t="str">
        <f t="shared" si="151"/>
        <v>NSG_Income Eligible_Multi-Family_Whole Building - Public Housing_Boiler Tune Up_Space Heating_MF_2023</v>
      </c>
      <c r="D4858" s="19" t="s">
        <v>1787</v>
      </c>
      <c r="E4858" s="19" t="s">
        <v>325</v>
      </c>
      <c r="F4858" s="19" t="s">
        <v>1422</v>
      </c>
      <c r="G4858" s="19" t="s">
        <v>1817</v>
      </c>
      <c r="H4858" s="19" t="s">
        <v>906</v>
      </c>
      <c r="I4858" s="19" t="s">
        <v>907</v>
      </c>
      <c r="J4858" s="19" t="s">
        <v>909</v>
      </c>
      <c r="K4858" s="19" t="s">
        <v>553</v>
      </c>
      <c r="L4858" s="19">
        <v>2023</v>
      </c>
      <c r="M4858" s="20">
        <v>800</v>
      </c>
      <c r="N4858" s="19" t="s">
        <v>1798</v>
      </c>
      <c r="O4858" s="20">
        <v>0</v>
      </c>
      <c r="P4858" s="20">
        <v>0</v>
      </c>
      <c r="Q4858" s="20">
        <v>0</v>
      </c>
      <c r="R4858" s="21">
        <v>1</v>
      </c>
      <c r="S4858" s="20">
        <v>0</v>
      </c>
    </row>
    <row r="4859" spans="2:19" ht="15" customHeight="1" x14ac:dyDescent="0.25">
      <c r="B4859" s="2" t="str">
        <f t="shared" si="150"/>
        <v>NSG_Income Eligible_Multi-Family_Whole Building - Public Housing_Boiler Tune Up_Space Heating_MF</v>
      </c>
      <c r="C4859" s="2" t="str">
        <f t="shared" si="151"/>
        <v>NSG_Income Eligible_Multi-Family_Whole Building - Public Housing_Boiler Tune Up_Space Heating_MF_2024</v>
      </c>
      <c r="D4859" s="19" t="s">
        <v>1787</v>
      </c>
      <c r="E4859" s="19" t="s">
        <v>325</v>
      </c>
      <c r="F4859" s="19" t="s">
        <v>1422</v>
      </c>
      <c r="G4859" s="19" t="s">
        <v>1817</v>
      </c>
      <c r="H4859" s="19" t="s">
        <v>906</v>
      </c>
      <c r="I4859" s="19" t="s">
        <v>907</v>
      </c>
      <c r="J4859" s="19" t="s">
        <v>909</v>
      </c>
      <c r="K4859" s="19" t="s">
        <v>553</v>
      </c>
      <c r="L4859" s="19">
        <v>2024</v>
      </c>
      <c r="M4859" s="20">
        <v>800</v>
      </c>
      <c r="N4859" s="19" t="s">
        <v>1798</v>
      </c>
      <c r="O4859" s="20">
        <v>0</v>
      </c>
      <c r="P4859" s="20">
        <v>0</v>
      </c>
      <c r="Q4859" s="20">
        <v>0</v>
      </c>
      <c r="R4859" s="21">
        <v>1</v>
      </c>
      <c r="S4859" s="20">
        <v>0</v>
      </c>
    </row>
    <row r="4860" spans="2:19" ht="15" customHeight="1" x14ac:dyDescent="0.25">
      <c r="B4860" s="2" t="str">
        <f t="shared" si="150"/>
        <v>NSG_Income Eligible_Multi-Family_Whole Building - Public Housing_Boiler Tune Up_Space Heating_MF</v>
      </c>
      <c r="C4860" s="2" t="str">
        <f t="shared" si="151"/>
        <v>NSG_Income Eligible_Multi-Family_Whole Building - Public Housing_Boiler Tune Up_Space Heating_MF_2025</v>
      </c>
      <c r="D4860" s="19" t="s">
        <v>1787</v>
      </c>
      <c r="E4860" s="19" t="s">
        <v>325</v>
      </c>
      <c r="F4860" s="19" t="s">
        <v>1422</v>
      </c>
      <c r="G4860" s="19" t="s">
        <v>1817</v>
      </c>
      <c r="H4860" s="19" t="s">
        <v>906</v>
      </c>
      <c r="I4860" s="19" t="s">
        <v>907</v>
      </c>
      <c r="J4860" s="19" t="s">
        <v>909</v>
      </c>
      <c r="K4860" s="19" t="s">
        <v>553</v>
      </c>
      <c r="L4860" s="19">
        <v>2025</v>
      </c>
      <c r="M4860" s="20">
        <v>800</v>
      </c>
      <c r="N4860" s="19" t="s">
        <v>1798</v>
      </c>
      <c r="O4860" s="20">
        <v>0</v>
      </c>
      <c r="P4860" s="20">
        <v>0</v>
      </c>
      <c r="Q4860" s="20">
        <v>0</v>
      </c>
      <c r="R4860" s="21">
        <v>1</v>
      </c>
      <c r="S4860" s="20">
        <v>0</v>
      </c>
    </row>
    <row r="4861" spans="2:19" ht="15" customHeight="1" x14ac:dyDescent="0.25">
      <c r="B4861" s="2" t="str">
        <f t="shared" si="150"/>
        <v>NSG_Income Eligible_Multi-Family_Whole Building - Public Housing_Furnace (In Unit)_&gt;95% AFUE_MF</v>
      </c>
      <c r="C4861" s="2" t="str">
        <f t="shared" si="151"/>
        <v>NSG_Income Eligible_Multi-Family_Whole Building - Public Housing_Furnace (In Unit)_&gt;95% AFUE_MF_2022</v>
      </c>
      <c r="D4861" s="19" t="s">
        <v>1787</v>
      </c>
      <c r="E4861" s="19" t="s">
        <v>325</v>
      </c>
      <c r="F4861" s="19" t="s">
        <v>1422</v>
      </c>
      <c r="G4861" s="19" t="s">
        <v>1817</v>
      </c>
      <c r="H4861" s="19" t="s">
        <v>988</v>
      </c>
      <c r="I4861" s="19" t="s">
        <v>982</v>
      </c>
      <c r="J4861" s="19" t="s">
        <v>990</v>
      </c>
      <c r="K4861" s="19" t="s">
        <v>553</v>
      </c>
      <c r="L4861" s="19">
        <v>2022</v>
      </c>
      <c r="M4861" s="20">
        <v>1</v>
      </c>
      <c r="N4861" s="19" t="s">
        <v>1798</v>
      </c>
      <c r="O4861" s="20">
        <v>0</v>
      </c>
      <c r="P4861" s="20">
        <v>0</v>
      </c>
      <c r="Q4861" s="20">
        <v>0</v>
      </c>
      <c r="R4861" s="21">
        <v>1</v>
      </c>
      <c r="S4861" s="20">
        <v>0</v>
      </c>
    </row>
    <row r="4862" spans="2:19" ht="15" customHeight="1" x14ac:dyDescent="0.25">
      <c r="B4862" s="2" t="str">
        <f t="shared" si="150"/>
        <v>NSG_Income Eligible_Multi-Family_Whole Building - Public Housing_Furnace (In Unit)_&gt;95% AFUE_MF</v>
      </c>
      <c r="C4862" s="2" t="str">
        <f t="shared" si="151"/>
        <v>NSG_Income Eligible_Multi-Family_Whole Building - Public Housing_Furnace (In Unit)_&gt;95% AFUE_MF_2023</v>
      </c>
      <c r="D4862" s="19" t="s">
        <v>1787</v>
      </c>
      <c r="E4862" s="19" t="s">
        <v>325</v>
      </c>
      <c r="F4862" s="19" t="s">
        <v>1422</v>
      </c>
      <c r="G4862" s="19" t="s">
        <v>1817</v>
      </c>
      <c r="H4862" s="19" t="s">
        <v>988</v>
      </c>
      <c r="I4862" s="19" t="s">
        <v>982</v>
      </c>
      <c r="J4862" s="19" t="s">
        <v>990</v>
      </c>
      <c r="K4862" s="19" t="s">
        <v>553</v>
      </c>
      <c r="L4862" s="19">
        <v>2023</v>
      </c>
      <c r="M4862" s="20">
        <v>1</v>
      </c>
      <c r="N4862" s="19" t="s">
        <v>1798</v>
      </c>
      <c r="O4862" s="20">
        <v>0</v>
      </c>
      <c r="P4862" s="20">
        <v>0</v>
      </c>
      <c r="Q4862" s="20">
        <v>0</v>
      </c>
      <c r="R4862" s="21">
        <v>1</v>
      </c>
      <c r="S4862" s="20">
        <v>0</v>
      </c>
    </row>
    <row r="4863" spans="2:19" ht="15" customHeight="1" x14ac:dyDescent="0.25">
      <c r="B4863" s="2" t="str">
        <f t="shared" si="150"/>
        <v>NSG_Income Eligible_Multi-Family_Whole Building - Public Housing_Furnace (In Unit)_&gt;95% AFUE_MF</v>
      </c>
      <c r="C4863" s="2" t="str">
        <f t="shared" si="151"/>
        <v>NSG_Income Eligible_Multi-Family_Whole Building - Public Housing_Furnace (In Unit)_&gt;95% AFUE_MF_2024</v>
      </c>
      <c r="D4863" s="19" t="s">
        <v>1787</v>
      </c>
      <c r="E4863" s="19" t="s">
        <v>325</v>
      </c>
      <c r="F4863" s="19" t="s">
        <v>1422</v>
      </c>
      <c r="G4863" s="19" t="s">
        <v>1817</v>
      </c>
      <c r="H4863" s="19" t="s">
        <v>988</v>
      </c>
      <c r="I4863" s="19" t="s">
        <v>982</v>
      </c>
      <c r="J4863" s="19" t="s">
        <v>990</v>
      </c>
      <c r="K4863" s="19" t="s">
        <v>553</v>
      </c>
      <c r="L4863" s="19">
        <v>2024</v>
      </c>
      <c r="M4863" s="20">
        <v>1</v>
      </c>
      <c r="N4863" s="19" t="s">
        <v>1798</v>
      </c>
      <c r="O4863" s="20">
        <v>0</v>
      </c>
      <c r="P4863" s="20">
        <v>0</v>
      </c>
      <c r="Q4863" s="20">
        <v>0</v>
      </c>
      <c r="R4863" s="21">
        <v>1</v>
      </c>
      <c r="S4863" s="20">
        <v>0</v>
      </c>
    </row>
    <row r="4864" spans="2:19" ht="15" customHeight="1" x14ac:dyDescent="0.25">
      <c r="B4864" s="2" t="str">
        <f t="shared" si="150"/>
        <v>NSG_Income Eligible_Multi-Family_Whole Building - Public Housing_Furnace (In Unit)_&gt;95% AFUE_MF</v>
      </c>
      <c r="C4864" s="2" t="str">
        <f t="shared" si="151"/>
        <v>NSG_Income Eligible_Multi-Family_Whole Building - Public Housing_Furnace (In Unit)_&gt;95% AFUE_MF_2025</v>
      </c>
      <c r="D4864" s="19" t="s">
        <v>1787</v>
      </c>
      <c r="E4864" s="19" t="s">
        <v>325</v>
      </c>
      <c r="F4864" s="19" t="s">
        <v>1422</v>
      </c>
      <c r="G4864" s="19" t="s">
        <v>1817</v>
      </c>
      <c r="H4864" s="19" t="s">
        <v>988</v>
      </c>
      <c r="I4864" s="19" t="s">
        <v>982</v>
      </c>
      <c r="J4864" s="19" t="s">
        <v>990</v>
      </c>
      <c r="K4864" s="19" t="s">
        <v>553</v>
      </c>
      <c r="L4864" s="19">
        <v>2025</v>
      </c>
      <c r="M4864" s="20">
        <v>1</v>
      </c>
      <c r="N4864" s="19" t="s">
        <v>1798</v>
      </c>
      <c r="O4864" s="20">
        <v>0</v>
      </c>
      <c r="P4864" s="20">
        <v>0</v>
      </c>
      <c r="Q4864" s="20">
        <v>0</v>
      </c>
      <c r="R4864" s="21">
        <v>1</v>
      </c>
      <c r="S4864" s="20">
        <v>0</v>
      </c>
    </row>
    <row r="4865" spans="2:19" ht="15" customHeight="1" x14ac:dyDescent="0.25">
      <c r="B4865" s="2" t="str">
        <f t="shared" si="150"/>
        <v>NSG_Income Eligible_Multi-Family_Whole Building - Public Housing_Pipe Insulation_Hyd. Boiler Sm ≤1.25"_MF</v>
      </c>
      <c r="C4865" s="2" t="str">
        <f t="shared" si="151"/>
        <v>NSG_Income Eligible_Multi-Family_Whole Building - Public Housing_Pipe Insulation_Hyd. Boiler Sm ≤1.25"_MF_2022</v>
      </c>
      <c r="D4865" s="19" t="s">
        <v>1787</v>
      </c>
      <c r="E4865" s="19" t="s">
        <v>325</v>
      </c>
      <c r="F4865" s="19" t="s">
        <v>1422</v>
      </c>
      <c r="G4865" s="19" t="s">
        <v>1817</v>
      </c>
      <c r="H4865" s="19" t="s">
        <v>404</v>
      </c>
      <c r="I4865" s="19" t="s">
        <v>947</v>
      </c>
      <c r="J4865" s="19">
        <v>0</v>
      </c>
      <c r="K4865" s="19" t="s">
        <v>553</v>
      </c>
      <c r="L4865" s="19">
        <v>2022</v>
      </c>
      <c r="M4865" s="20">
        <v>75</v>
      </c>
      <c r="N4865" s="19" t="s">
        <v>1798</v>
      </c>
      <c r="O4865" s="20">
        <v>0</v>
      </c>
      <c r="P4865" s="20">
        <v>0</v>
      </c>
      <c r="Q4865" s="20">
        <v>0</v>
      </c>
      <c r="R4865" s="21">
        <v>1</v>
      </c>
      <c r="S4865" s="20">
        <v>0</v>
      </c>
    </row>
    <row r="4866" spans="2:19" ht="15" customHeight="1" x14ac:dyDescent="0.25">
      <c r="B4866" s="2" t="str">
        <f t="shared" si="150"/>
        <v>NSG_Income Eligible_Multi-Family_Whole Building - Public Housing_Pipe Insulation_Hyd. Boiler Sm ≤1.25"_MF</v>
      </c>
      <c r="C4866" s="2" t="str">
        <f t="shared" si="151"/>
        <v>NSG_Income Eligible_Multi-Family_Whole Building - Public Housing_Pipe Insulation_Hyd. Boiler Sm ≤1.25"_MF_2023</v>
      </c>
      <c r="D4866" s="19" t="s">
        <v>1787</v>
      </c>
      <c r="E4866" s="19" t="s">
        <v>325</v>
      </c>
      <c r="F4866" s="19" t="s">
        <v>1422</v>
      </c>
      <c r="G4866" s="19" t="s">
        <v>1817</v>
      </c>
      <c r="H4866" s="19" t="s">
        <v>404</v>
      </c>
      <c r="I4866" s="19" t="s">
        <v>947</v>
      </c>
      <c r="J4866" s="19">
        <v>0</v>
      </c>
      <c r="K4866" s="19" t="s">
        <v>553</v>
      </c>
      <c r="L4866" s="19">
        <v>2023</v>
      </c>
      <c r="M4866" s="20">
        <v>75</v>
      </c>
      <c r="N4866" s="19" t="s">
        <v>1798</v>
      </c>
      <c r="O4866" s="20">
        <v>0</v>
      </c>
      <c r="P4866" s="20">
        <v>0</v>
      </c>
      <c r="Q4866" s="20">
        <v>0</v>
      </c>
      <c r="R4866" s="21">
        <v>1</v>
      </c>
      <c r="S4866" s="20">
        <v>0</v>
      </c>
    </row>
    <row r="4867" spans="2:19" ht="15" customHeight="1" x14ac:dyDescent="0.25">
      <c r="B4867" s="2" t="str">
        <f t="shared" si="150"/>
        <v>NSG_Income Eligible_Multi-Family_Whole Building - Public Housing_Pipe Insulation_Hyd. Boiler Sm ≤1.25"_MF</v>
      </c>
      <c r="C4867" s="2" t="str">
        <f t="shared" si="151"/>
        <v>NSG_Income Eligible_Multi-Family_Whole Building - Public Housing_Pipe Insulation_Hyd. Boiler Sm ≤1.25"_MF_2024</v>
      </c>
      <c r="D4867" s="19" t="s">
        <v>1787</v>
      </c>
      <c r="E4867" s="19" t="s">
        <v>325</v>
      </c>
      <c r="F4867" s="19" t="s">
        <v>1422</v>
      </c>
      <c r="G4867" s="19" t="s">
        <v>1817</v>
      </c>
      <c r="H4867" s="19" t="s">
        <v>404</v>
      </c>
      <c r="I4867" s="19" t="s">
        <v>947</v>
      </c>
      <c r="J4867" s="19">
        <v>0</v>
      </c>
      <c r="K4867" s="19" t="s">
        <v>553</v>
      </c>
      <c r="L4867" s="19">
        <v>2024</v>
      </c>
      <c r="M4867" s="20">
        <v>75</v>
      </c>
      <c r="N4867" s="19" t="s">
        <v>1798</v>
      </c>
      <c r="O4867" s="20">
        <v>0</v>
      </c>
      <c r="P4867" s="20">
        <v>0</v>
      </c>
      <c r="Q4867" s="20">
        <v>0</v>
      </c>
      <c r="R4867" s="21">
        <v>1</v>
      </c>
      <c r="S4867" s="20">
        <v>0</v>
      </c>
    </row>
    <row r="4868" spans="2:19" ht="15" customHeight="1" x14ac:dyDescent="0.25">
      <c r="B4868" s="2" t="str">
        <f t="shared" si="150"/>
        <v>NSG_Income Eligible_Multi-Family_Whole Building - Public Housing_Pipe Insulation_Hyd. Boiler Sm ≤1.25"_MF</v>
      </c>
      <c r="C4868" s="2" t="str">
        <f t="shared" si="151"/>
        <v>NSG_Income Eligible_Multi-Family_Whole Building - Public Housing_Pipe Insulation_Hyd. Boiler Sm ≤1.25"_MF_2025</v>
      </c>
      <c r="D4868" s="19" t="s">
        <v>1787</v>
      </c>
      <c r="E4868" s="19" t="s">
        <v>325</v>
      </c>
      <c r="F4868" s="19" t="s">
        <v>1422</v>
      </c>
      <c r="G4868" s="19" t="s">
        <v>1817</v>
      </c>
      <c r="H4868" s="19" t="s">
        <v>404</v>
      </c>
      <c r="I4868" s="19" t="s">
        <v>947</v>
      </c>
      <c r="J4868" s="19">
        <v>0</v>
      </c>
      <c r="K4868" s="19" t="s">
        <v>553</v>
      </c>
      <c r="L4868" s="19">
        <v>2025</v>
      </c>
      <c r="M4868" s="20">
        <v>75</v>
      </c>
      <c r="N4868" s="19" t="s">
        <v>1798</v>
      </c>
      <c r="O4868" s="20">
        <v>0</v>
      </c>
      <c r="P4868" s="20">
        <v>0</v>
      </c>
      <c r="Q4868" s="20">
        <v>0</v>
      </c>
      <c r="R4868" s="21">
        <v>1</v>
      </c>
      <c r="S4868" s="20">
        <v>0</v>
      </c>
    </row>
    <row r="4869" spans="2:19" ht="15" customHeight="1" x14ac:dyDescent="0.25">
      <c r="B4869" s="2" t="str">
        <f t="shared" si="150"/>
        <v>NSG_Income Eligible_Multi-Family_Whole Building - Public Housing_Pipe Insulation_Hyd. Boiler Med 1.25-2"_MF</v>
      </c>
      <c r="C4869" s="2" t="str">
        <f t="shared" si="151"/>
        <v>NSG_Income Eligible_Multi-Family_Whole Building - Public Housing_Pipe Insulation_Hyd. Boiler Med 1.25-2"_MF_2022</v>
      </c>
      <c r="D4869" s="19" t="s">
        <v>1787</v>
      </c>
      <c r="E4869" s="19" t="s">
        <v>325</v>
      </c>
      <c r="F4869" s="19" t="s">
        <v>1422</v>
      </c>
      <c r="G4869" s="19" t="s">
        <v>1817</v>
      </c>
      <c r="H4869" s="19" t="s">
        <v>404</v>
      </c>
      <c r="I4869" s="19" t="s">
        <v>951</v>
      </c>
      <c r="J4869" s="19">
        <v>0</v>
      </c>
      <c r="K4869" s="19" t="s">
        <v>553</v>
      </c>
      <c r="L4869" s="19">
        <v>2022</v>
      </c>
      <c r="M4869" s="20">
        <v>75</v>
      </c>
      <c r="N4869" s="19" t="s">
        <v>1798</v>
      </c>
      <c r="O4869" s="20">
        <v>0</v>
      </c>
      <c r="P4869" s="20">
        <v>0</v>
      </c>
      <c r="Q4869" s="20">
        <v>0</v>
      </c>
      <c r="R4869" s="21">
        <v>1</v>
      </c>
      <c r="S4869" s="20">
        <v>0</v>
      </c>
    </row>
    <row r="4870" spans="2:19" ht="15" customHeight="1" x14ac:dyDescent="0.25">
      <c r="B4870" s="2" t="str">
        <f t="shared" ref="B4870:B4933" si="152">D4870&amp;"_"&amp;E4870&amp;"_"&amp;F4870&amp;"_"&amp;G4870&amp;"_"&amp;H4870&amp;"_"&amp;I4870&amp;"_"&amp;K4870</f>
        <v>NSG_Income Eligible_Multi-Family_Whole Building - Public Housing_Pipe Insulation_Hyd. Boiler Med 1.25-2"_MF</v>
      </c>
      <c r="C4870" s="2" t="str">
        <f t="shared" ref="C4870:C4933" si="153">D4870&amp;"_"&amp;E4870&amp;"_"&amp;F4870&amp;"_"&amp;G4870&amp;"_"&amp;H4870&amp;"_"&amp;I4870&amp;"_"&amp;K4870&amp;"_"&amp;L4870</f>
        <v>NSG_Income Eligible_Multi-Family_Whole Building - Public Housing_Pipe Insulation_Hyd. Boiler Med 1.25-2"_MF_2023</v>
      </c>
      <c r="D4870" s="19" t="s">
        <v>1787</v>
      </c>
      <c r="E4870" s="19" t="s">
        <v>325</v>
      </c>
      <c r="F4870" s="19" t="s">
        <v>1422</v>
      </c>
      <c r="G4870" s="19" t="s">
        <v>1817</v>
      </c>
      <c r="H4870" s="19" t="s">
        <v>404</v>
      </c>
      <c r="I4870" s="19" t="s">
        <v>951</v>
      </c>
      <c r="J4870" s="19">
        <v>0</v>
      </c>
      <c r="K4870" s="19" t="s">
        <v>553</v>
      </c>
      <c r="L4870" s="19">
        <v>2023</v>
      </c>
      <c r="M4870" s="20">
        <v>75</v>
      </c>
      <c r="N4870" s="19" t="s">
        <v>1798</v>
      </c>
      <c r="O4870" s="20">
        <v>0</v>
      </c>
      <c r="P4870" s="20">
        <v>0</v>
      </c>
      <c r="Q4870" s="20">
        <v>0</v>
      </c>
      <c r="R4870" s="21">
        <v>1</v>
      </c>
      <c r="S4870" s="20">
        <v>0</v>
      </c>
    </row>
    <row r="4871" spans="2:19" ht="15" customHeight="1" x14ac:dyDescent="0.25">
      <c r="B4871" s="2" t="str">
        <f t="shared" si="152"/>
        <v>NSG_Income Eligible_Multi-Family_Whole Building - Public Housing_Pipe Insulation_Hyd. Boiler Med 1.25-2"_MF</v>
      </c>
      <c r="C4871" s="2" t="str">
        <f t="shared" si="153"/>
        <v>NSG_Income Eligible_Multi-Family_Whole Building - Public Housing_Pipe Insulation_Hyd. Boiler Med 1.25-2"_MF_2024</v>
      </c>
      <c r="D4871" s="19" t="s">
        <v>1787</v>
      </c>
      <c r="E4871" s="19" t="s">
        <v>325</v>
      </c>
      <c r="F4871" s="19" t="s">
        <v>1422</v>
      </c>
      <c r="G4871" s="19" t="s">
        <v>1817</v>
      </c>
      <c r="H4871" s="19" t="s">
        <v>404</v>
      </c>
      <c r="I4871" s="19" t="s">
        <v>951</v>
      </c>
      <c r="J4871" s="19">
        <v>0</v>
      </c>
      <c r="K4871" s="19" t="s">
        <v>553</v>
      </c>
      <c r="L4871" s="19">
        <v>2024</v>
      </c>
      <c r="M4871" s="20">
        <v>75</v>
      </c>
      <c r="N4871" s="19" t="s">
        <v>1798</v>
      </c>
      <c r="O4871" s="20">
        <v>0</v>
      </c>
      <c r="P4871" s="20">
        <v>0</v>
      </c>
      <c r="Q4871" s="20">
        <v>0</v>
      </c>
      <c r="R4871" s="21">
        <v>1</v>
      </c>
      <c r="S4871" s="20">
        <v>0</v>
      </c>
    </row>
    <row r="4872" spans="2:19" ht="15" customHeight="1" x14ac:dyDescent="0.25">
      <c r="B4872" s="2" t="str">
        <f t="shared" si="152"/>
        <v>NSG_Income Eligible_Multi-Family_Whole Building - Public Housing_Pipe Insulation_Hyd. Boiler Med 1.25-2"_MF</v>
      </c>
      <c r="C4872" s="2" t="str">
        <f t="shared" si="153"/>
        <v>NSG_Income Eligible_Multi-Family_Whole Building - Public Housing_Pipe Insulation_Hyd. Boiler Med 1.25-2"_MF_2025</v>
      </c>
      <c r="D4872" s="19" t="s">
        <v>1787</v>
      </c>
      <c r="E4872" s="19" t="s">
        <v>325</v>
      </c>
      <c r="F4872" s="19" t="s">
        <v>1422</v>
      </c>
      <c r="G4872" s="19" t="s">
        <v>1817</v>
      </c>
      <c r="H4872" s="19" t="s">
        <v>404</v>
      </c>
      <c r="I4872" s="19" t="s">
        <v>951</v>
      </c>
      <c r="J4872" s="19">
        <v>0</v>
      </c>
      <c r="K4872" s="19" t="s">
        <v>553</v>
      </c>
      <c r="L4872" s="19">
        <v>2025</v>
      </c>
      <c r="M4872" s="20">
        <v>75</v>
      </c>
      <c r="N4872" s="19" t="s">
        <v>1798</v>
      </c>
      <c r="O4872" s="20">
        <v>0</v>
      </c>
      <c r="P4872" s="20">
        <v>0</v>
      </c>
      <c r="Q4872" s="20">
        <v>0</v>
      </c>
      <c r="R4872" s="21">
        <v>1</v>
      </c>
      <c r="S4872" s="20">
        <v>0</v>
      </c>
    </row>
    <row r="4873" spans="2:19" ht="15" customHeight="1" x14ac:dyDescent="0.25">
      <c r="B4873" s="2" t="str">
        <f t="shared" si="152"/>
        <v>NSG_Income Eligible_Multi-Family_Whole Building - Public Housing_Pipe Insulation_Hyd. Boiler Large ≥2"_MF</v>
      </c>
      <c r="C4873" s="2" t="str">
        <f t="shared" si="153"/>
        <v>NSG_Income Eligible_Multi-Family_Whole Building - Public Housing_Pipe Insulation_Hyd. Boiler Large ≥2"_MF_2022</v>
      </c>
      <c r="D4873" s="19" t="s">
        <v>1787</v>
      </c>
      <c r="E4873" s="19" t="s">
        <v>325</v>
      </c>
      <c r="F4873" s="19" t="s">
        <v>1422</v>
      </c>
      <c r="G4873" s="19" t="s">
        <v>1817</v>
      </c>
      <c r="H4873" s="19" t="s">
        <v>404</v>
      </c>
      <c r="I4873" s="19" t="s">
        <v>952</v>
      </c>
      <c r="J4873" s="19">
        <v>0</v>
      </c>
      <c r="K4873" s="19" t="s">
        <v>553</v>
      </c>
      <c r="L4873" s="19">
        <v>2022</v>
      </c>
      <c r="M4873" s="20">
        <v>75</v>
      </c>
      <c r="N4873" s="19" t="s">
        <v>1798</v>
      </c>
      <c r="O4873" s="20">
        <v>0</v>
      </c>
      <c r="P4873" s="20">
        <v>0</v>
      </c>
      <c r="Q4873" s="20">
        <v>0</v>
      </c>
      <c r="R4873" s="21">
        <v>1</v>
      </c>
      <c r="S4873" s="20">
        <v>0</v>
      </c>
    </row>
    <row r="4874" spans="2:19" ht="15" customHeight="1" x14ac:dyDescent="0.25">
      <c r="B4874" s="2" t="str">
        <f t="shared" si="152"/>
        <v>NSG_Income Eligible_Multi-Family_Whole Building - Public Housing_Pipe Insulation_Hyd. Boiler Large ≥2"_MF</v>
      </c>
      <c r="C4874" s="2" t="str">
        <f t="shared" si="153"/>
        <v>NSG_Income Eligible_Multi-Family_Whole Building - Public Housing_Pipe Insulation_Hyd. Boiler Large ≥2"_MF_2023</v>
      </c>
      <c r="D4874" s="19" t="s">
        <v>1787</v>
      </c>
      <c r="E4874" s="19" t="s">
        <v>325</v>
      </c>
      <c r="F4874" s="19" t="s">
        <v>1422</v>
      </c>
      <c r="G4874" s="19" t="s">
        <v>1817</v>
      </c>
      <c r="H4874" s="19" t="s">
        <v>404</v>
      </c>
      <c r="I4874" s="19" t="s">
        <v>952</v>
      </c>
      <c r="J4874" s="19">
        <v>0</v>
      </c>
      <c r="K4874" s="19" t="s">
        <v>553</v>
      </c>
      <c r="L4874" s="19">
        <v>2023</v>
      </c>
      <c r="M4874" s="20">
        <v>75</v>
      </c>
      <c r="N4874" s="19" t="s">
        <v>1798</v>
      </c>
      <c r="O4874" s="20">
        <v>0</v>
      </c>
      <c r="P4874" s="20">
        <v>0</v>
      </c>
      <c r="Q4874" s="20">
        <v>0</v>
      </c>
      <c r="R4874" s="21">
        <v>1</v>
      </c>
      <c r="S4874" s="20">
        <v>0</v>
      </c>
    </row>
    <row r="4875" spans="2:19" ht="15" customHeight="1" x14ac:dyDescent="0.25">
      <c r="B4875" s="2" t="str">
        <f t="shared" si="152"/>
        <v>NSG_Income Eligible_Multi-Family_Whole Building - Public Housing_Pipe Insulation_Hyd. Boiler Large ≥2"_MF</v>
      </c>
      <c r="C4875" s="2" t="str">
        <f t="shared" si="153"/>
        <v>NSG_Income Eligible_Multi-Family_Whole Building - Public Housing_Pipe Insulation_Hyd. Boiler Large ≥2"_MF_2024</v>
      </c>
      <c r="D4875" s="19" t="s">
        <v>1787</v>
      </c>
      <c r="E4875" s="19" t="s">
        <v>325</v>
      </c>
      <c r="F4875" s="19" t="s">
        <v>1422</v>
      </c>
      <c r="G4875" s="19" t="s">
        <v>1817</v>
      </c>
      <c r="H4875" s="19" t="s">
        <v>404</v>
      </c>
      <c r="I4875" s="19" t="s">
        <v>952</v>
      </c>
      <c r="J4875" s="19">
        <v>0</v>
      </c>
      <c r="K4875" s="19" t="s">
        <v>553</v>
      </c>
      <c r="L4875" s="19">
        <v>2024</v>
      </c>
      <c r="M4875" s="20">
        <v>75</v>
      </c>
      <c r="N4875" s="19" t="s">
        <v>1798</v>
      </c>
      <c r="O4875" s="20">
        <v>0</v>
      </c>
      <c r="P4875" s="20">
        <v>0</v>
      </c>
      <c r="Q4875" s="20">
        <v>0</v>
      </c>
      <c r="R4875" s="21">
        <v>1</v>
      </c>
      <c r="S4875" s="20">
        <v>0</v>
      </c>
    </row>
    <row r="4876" spans="2:19" ht="15" customHeight="1" x14ac:dyDescent="0.25">
      <c r="B4876" s="2" t="str">
        <f t="shared" si="152"/>
        <v>NSG_Income Eligible_Multi-Family_Whole Building - Public Housing_Pipe Insulation_Hyd. Boiler Large ≥2"_MF</v>
      </c>
      <c r="C4876" s="2" t="str">
        <f t="shared" si="153"/>
        <v>NSG_Income Eligible_Multi-Family_Whole Building - Public Housing_Pipe Insulation_Hyd. Boiler Large ≥2"_MF_2025</v>
      </c>
      <c r="D4876" s="19" t="s">
        <v>1787</v>
      </c>
      <c r="E4876" s="19" t="s">
        <v>325</v>
      </c>
      <c r="F4876" s="19" t="s">
        <v>1422</v>
      </c>
      <c r="G4876" s="19" t="s">
        <v>1817</v>
      </c>
      <c r="H4876" s="19" t="s">
        <v>404</v>
      </c>
      <c r="I4876" s="19" t="s">
        <v>952</v>
      </c>
      <c r="J4876" s="19">
        <v>0</v>
      </c>
      <c r="K4876" s="19" t="s">
        <v>553</v>
      </c>
      <c r="L4876" s="19">
        <v>2025</v>
      </c>
      <c r="M4876" s="20">
        <v>75</v>
      </c>
      <c r="N4876" s="19" t="s">
        <v>1798</v>
      </c>
      <c r="O4876" s="20">
        <v>0</v>
      </c>
      <c r="P4876" s="20">
        <v>0</v>
      </c>
      <c r="Q4876" s="20">
        <v>0</v>
      </c>
      <c r="R4876" s="21">
        <v>1</v>
      </c>
      <c r="S4876" s="20">
        <v>0</v>
      </c>
    </row>
    <row r="4877" spans="2:19" ht="15" customHeight="1" x14ac:dyDescent="0.25">
      <c r="B4877" s="2" t="str">
        <f t="shared" si="152"/>
        <v>NSG_Income Eligible_Multi-Family_Whole Building - Public Housing_Pipe Insulation_HW Small 1" to 2"_MF/CI/SMB</v>
      </c>
      <c r="C4877" s="2" t="str">
        <f t="shared" si="153"/>
        <v>NSG_Income Eligible_Multi-Family_Whole Building - Public Housing_Pipe Insulation_HW Small 1" to 2"_MF/CI/SMB_2022</v>
      </c>
      <c r="D4877" s="19" t="s">
        <v>1787</v>
      </c>
      <c r="E4877" s="19" t="s">
        <v>325</v>
      </c>
      <c r="F4877" s="19" t="s">
        <v>1422</v>
      </c>
      <c r="G4877" s="19" t="s">
        <v>1817</v>
      </c>
      <c r="H4877" s="19" t="s">
        <v>404</v>
      </c>
      <c r="I4877" s="19" t="s">
        <v>953</v>
      </c>
      <c r="J4877" s="19">
        <v>0</v>
      </c>
      <c r="K4877" s="19" t="s">
        <v>662</v>
      </c>
      <c r="L4877" s="19">
        <v>2022</v>
      </c>
      <c r="M4877" s="20">
        <v>75</v>
      </c>
      <c r="N4877" s="19" t="s">
        <v>1798</v>
      </c>
      <c r="O4877" s="20">
        <v>0</v>
      </c>
      <c r="P4877" s="20">
        <v>0</v>
      </c>
      <c r="Q4877" s="20">
        <v>0</v>
      </c>
      <c r="R4877" s="21">
        <v>1</v>
      </c>
      <c r="S4877" s="20">
        <v>0</v>
      </c>
    </row>
    <row r="4878" spans="2:19" ht="15" customHeight="1" x14ac:dyDescent="0.25">
      <c r="B4878" s="2" t="str">
        <f t="shared" si="152"/>
        <v>NSG_Income Eligible_Multi-Family_Whole Building - Public Housing_Pipe Insulation_HW Small 1" to 2"_MF/CI/SMB</v>
      </c>
      <c r="C4878" s="2" t="str">
        <f t="shared" si="153"/>
        <v>NSG_Income Eligible_Multi-Family_Whole Building - Public Housing_Pipe Insulation_HW Small 1" to 2"_MF/CI/SMB_2023</v>
      </c>
      <c r="D4878" s="19" t="s">
        <v>1787</v>
      </c>
      <c r="E4878" s="19" t="s">
        <v>325</v>
      </c>
      <c r="F4878" s="19" t="s">
        <v>1422</v>
      </c>
      <c r="G4878" s="19" t="s">
        <v>1817</v>
      </c>
      <c r="H4878" s="19" t="s">
        <v>404</v>
      </c>
      <c r="I4878" s="19" t="s">
        <v>953</v>
      </c>
      <c r="J4878" s="19">
        <v>0</v>
      </c>
      <c r="K4878" s="19" t="s">
        <v>662</v>
      </c>
      <c r="L4878" s="19">
        <v>2023</v>
      </c>
      <c r="M4878" s="20">
        <v>75</v>
      </c>
      <c r="N4878" s="19" t="s">
        <v>1798</v>
      </c>
      <c r="O4878" s="20">
        <v>0</v>
      </c>
      <c r="P4878" s="20">
        <v>0</v>
      </c>
      <c r="Q4878" s="20">
        <v>0</v>
      </c>
      <c r="R4878" s="21">
        <v>1</v>
      </c>
      <c r="S4878" s="20">
        <v>0</v>
      </c>
    </row>
    <row r="4879" spans="2:19" ht="15" customHeight="1" x14ac:dyDescent="0.25">
      <c r="B4879" s="2" t="str">
        <f t="shared" si="152"/>
        <v>NSG_Income Eligible_Multi-Family_Whole Building - Public Housing_Pipe Insulation_HW Small 1" to 2"_MF/CI/SMB</v>
      </c>
      <c r="C4879" s="2" t="str">
        <f t="shared" si="153"/>
        <v>NSG_Income Eligible_Multi-Family_Whole Building - Public Housing_Pipe Insulation_HW Small 1" to 2"_MF/CI/SMB_2024</v>
      </c>
      <c r="D4879" s="19" t="s">
        <v>1787</v>
      </c>
      <c r="E4879" s="19" t="s">
        <v>325</v>
      </c>
      <c r="F4879" s="19" t="s">
        <v>1422</v>
      </c>
      <c r="G4879" s="19" t="s">
        <v>1817</v>
      </c>
      <c r="H4879" s="19" t="s">
        <v>404</v>
      </c>
      <c r="I4879" s="19" t="s">
        <v>953</v>
      </c>
      <c r="J4879" s="19">
        <v>0</v>
      </c>
      <c r="K4879" s="19" t="s">
        <v>662</v>
      </c>
      <c r="L4879" s="19">
        <v>2024</v>
      </c>
      <c r="M4879" s="20">
        <v>75</v>
      </c>
      <c r="N4879" s="19" t="s">
        <v>1798</v>
      </c>
      <c r="O4879" s="20">
        <v>0</v>
      </c>
      <c r="P4879" s="20">
        <v>0</v>
      </c>
      <c r="Q4879" s="20">
        <v>0</v>
      </c>
      <c r="R4879" s="21">
        <v>1</v>
      </c>
      <c r="S4879" s="20">
        <v>0</v>
      </c>
    </row>
    <row r="4880" spans="2:19" ht="15" customHeight="1" x14ac:dyDescent="0.25">
      <c r="B4880" s="2" t="str">
        <f t="shared" si="152"/>
        <v>NSG_Income Eligible_Multi-Family_Whole Building - Public Housing_Pipe Insulation_HW Small 1" to 2"_MF/CI/SMB</v>
      </c>
      <c r="C4880" s="2" t="str">
        <f t="shared" si="153"/>
        <v>NSG_Income Eligible_Multi-Family_Whole Building - Public Housing_Pipe Insulation_HW Small 1" to 2"_MF/CI/SMB_2025</v>
      </c>
      <c r="D4880" s="19" t="s">
        <v>1787</v>
      </c>
      <c r="E4880" s="19" t="s">
        <v>325</v>
      </c>
      <c r="F4880" s="19" t="s">
        <v>1422</v>
      </c>
      <c r="G4880" s="19" t="s">
        <v>1817</v>
      </c>
      <c r="H4880" s="19" t="s">
        <v>404</v>
      </c>
      <c r="I4880" s="19" t="s">
        <v>953</v>
      </c>
      <c r="J4880" s="19">
        <v>0</v>
      </c>
      <c r="K4880" s="19" t="s">
        <v>662</v>
      </c>
      <c r="L4880" s="19">
        <v>2025</v>
      </c>
      <c r="M4880" s="20">
        <v>75</v>
      </c>
      <c r="N4880" s="19" t="s">
        <v>1798</v>
      </c>
      <c r="O4880" s="20">
        <v>0</v>
      </c>
      <c r="P4880" s="20">
        <v>0</v>
      </c>
      <c r="Q4880" s="20">
        <v>0</v>
      </c>
      <c r="R4880" s="21">
        <v>1</v>
      </c>
      <c r="S4880" s="20">
        <v>0</v>
      </c>
    </row>
    <row r="4881" spans="2:19" ht="15" customHeight="1" x14ac:dyDescent="0.25">
      <c r="B4881" s="2" t="str">
        <f t="shared" si="152"/>
        <v>NSG_Income Eligible_Multi-Family_Whole Building - Public Housing_Pipe Insulation_HW Medium 2.1" to 4"_MF/CI/SMB</v>
      </c>
      <c r="C4881" s="2" t="str">
        <f t="shared" si="153"/>
        <v>NSG_Income Eligible_Multi-Family_Whole Building - Public Housing_Pipe Insulation_HW Medium 2.1" to 4"_MF/CI/SMB_2022</v>
      </c>
      <c r="D4881" s="19" t="s">
        <v>1787</v>
      </c>
      <c r="E4881" s="19" t="s">
        <v>325</v>
      </c>
      <c r="F4881" s="19" t="s">
        <v>1422</v>
      </c>
      <c r="G4881" s="19" t="s">
        <v>1817</v>
      </c>
      <c r="H4881" s="19" t="s">
        <v>404</v>
      </c>
      <c r="I4881" s="19" t="s">
        <v>954</v>
      </c>
      <c r="J4881" s="19">
        <v>0</v>
      </c>
      <c r="K4881" s="19" t="s">
        <v>662</v>
      </c>
      <c r="L4881" s="19">
        <v>2022</v>
      </c>
      <c r="M4881" s="20">
        <v>75</v>
      </c>
      <c r="N4881" s="19" t="s">
        <v>1798</v>
      </c>
      <c r="O4881" s="20">
        <v>0</v>
      </c>
      <c r="P4881" s="20">
        <v>0</v>
      </c>
      <c r="Q4881" s="20">
        <v>0</v>
      </c>
      <c r="R4881" s="21">
        <v>1</v>
      </c>
      <c r="S4881" s="20">
        <v>0</v>
      </c>
    </row>
    <row r="4882" spans="2:19" ht="15" customHeight="1" x14ac:dyDescent="0.25">
      <c r="B4882" s="2" t="str">
        <f t="shared" si="152"/>
        <v>NSG_Income Eligible_Multi-Family_Whole Building - Public Housing_Pipe Insulation_HW Medium 2.1" to 4"_MF/CI/SMB</v>
      </c>
      <c r="C4882" s="2" t="str">
        <f t="shared" si="153"/>
        <v>NSG_Income Eligible_Multi-Family_Whole Building - Public Housing_Pipe Insulation_HW Medium 2.1" to 4"_MF/CI/SMB_2023</v>
      </c>
      <c r="D4882" s="19" t="s">
        <v>1787</v>
      </c>
      <c r="E4882" s="19" t="s">
        <v>325</v>
      </c>
      <c r="F4882" s="19" t="s">
        <v>1422</v>
      </c>
      <c r="G4882" s="19" t="s">
        <v>1817</v>
      </c>
      <c r="H4882" s="19" t="s">
        <v>404</v>
      </c>
      <c r="I4882" s="19" t="s">
        <v>954</v>
      </c>
      <c r="J4882" s="19">
        <v>0</v>
      </c>
      <c r="K4882" s="19" t="s">
        <v>662</v>
      </c>
      <c r="L4882" s="19">
        <v>2023</v>
      </c>
      <c r="M4882" s="20">
        <v>75</v>
      </c>
      <c r="N4882" s="19" t="s">
        <v>1798</v>
      </c>
      <c r="O4882" s="20">
        <v>0</v>
      </c>
      <c r="P4882" s="20">
        <v>0</v>
      </c>
      <c r="Q4882" s="20">
        <v>0</v>
      </c>
      <c r="R4882" s="21">
        <v>1</v>
      </c>
      <c r="S4882" s="20">
        <v>0</v>
      </c>
    </row>
    <row r="4883" spans="2:19" ht="15" customHeight="1" x14ac:dyDescent="0.25">
      <c r="B4883" s="2" t="str">
        <f t="shared" si="152"/>
        <v>NSG_Income Eligible_Multi-Family_Whole Building - Public Housing_Pipe Insulation_HW Medium 2.1" to 4"_MF/CI/SMB</v>
      </c>
      <c r="C4883" s="2" t="str">
        <f t="shared" si="153"/>
        <v>NSG_Income Eligible_Multi-Family_Whole Building - Public Housing_Pipe Insulation_HW Medium 2.1" to 4"_MF/CI/SMB_2024</v>
      </c>
      <c r="D4883" s="19" t="s">
        <v>1787</v>
      </c>
      <c r="E4883" s="19" t="s">
        <v>325</v>
      </c>
      <c r="F4883" s="19" t="s">
        <v>1422</v>
      </c>
      <c r="G4883" s="19" t="s">
        <v>1817</v>
      </c>
      <c r="H4883" s="19" t="s">
        <v>404</v>
      </c>
      <c r="I4883" s="19" t="s">
        <v>954</v>
      </c>
      <c r="J4883" s="19">
        <v>0</v>
      </c>
      <c r="K4883" s="19" t="s">
        <v>662</v>
      </c>
      <c r="L4883" s="19">
        <v>2024</v>
      </c>
      <c r="M4883" s="20">
        <v>75</v>
      </c>
      <c r="N4883" s="19" t="s">
        <v>1798</v>
      </c>
      <c r="O4883" s="20">
        <v>0</v>
      </c>
      <c r="P4883" s="20">
        <v>0</v>
      </c>
      <c r="Q4883" s="20">
        <v>0</v>
      </c>
      <c r="R4883" s="21">
        <v>1</v>
      </c>
      <c r="S4883" s="20">
        <v>0</v>
      </c>
    </row>
    <row r="4884" spans="2:19" ht="15" customHeight="1" x14ac:dyDescent="0.25">
      <c r="B4884" s="2" t="str">
        <f t="shared" si="152"/>
        <v>NSG_Income Eligible_Multi-Family_Whole Building - Public Housing_Pipe Insulation_HW Medium 2.1" to 4"_MF/CI/SMB</v>
      </c>
      <c r="C4884" s="2" t="str">
        <f t="shared" si="153"/>
        <v>NSG_Income Eligible_Multi-Family_Whole Building - Public Housing_Pipe Insulation_HW Medium 2.1" to 4"_MF/CI/SMB_2025</v>
      </c>
      <c r="D4884" s="19" t="s">
        <v>1787</v>
      </c>
      <c r="E4884" s="19" t="s">
        <v>325</v>
      </c>
      <c r="F4884" s="19" t="s">
        <v>1422</v>
      </c>
      <c r="G4884" s="19" t="s">
        <v>1817</v>
      </c>
      <c r="H4884" s="19" t="s">
        <v>404</v>
      </c>
      <c r="I4884" s="19" t="s">
        <v>954</v>
      </c>
      <c r="J4884" s="19">
        <v>0</v>
      </c>
      <c r="K4884" s="19" t="s">
        <v>662</v>
      </c>
      <c r="L4884" s="19">
        <v>2025</v>
      </c>
      <c r="M4884" s="20">
        <v>75</v>
      </c>
      <c r="N4884" s="19" t="s">
        <v>1798</v>
      </c>
      <c r="O4884" s="20">
        <v>0</v>
      </c>
      <c r="P4884" s="20">
        <v>0</v>
      </c>
      <c r="Q4884" s="20">
        <v>0</v>
      </c>
      <c r="R4884" s="21">
        <v>1</v>
      </c>
      <c r="S4884" s="20">
        <v>0</v>
      </c>
    </row>
    <row r="4885" spans="2:19" ht="15" customHeight="1" x14ac:dyDescent="0.25">
      <c r="B4885" s="2" t="str">
        <f t="shared" si="152"/>
        <v>NSG_Income Eligible_Multi-Family_Whole Building - Public Housing_Pipe Insulation_HW Large &gt;4"_MF/CI/SMB</v>
      </c>
      <c r="C4885" s="2" t="str">
        <f t="shared" si="153"/>
        <v>NSG_Income Eligible_Multi-Family_Whole Building - Public Housing_Pipe Insulation_HW Large &gt;4"_MF/CI/SMB_2022</v>
      </c>
      <c r="D4885" s="19" t="s">
        <v>1787</v>
      </c>
      <c r="E4885" s="19" t="s">
        <v>325</v>
      </c>
      <c r="F4885" s="19" t="s">
        <v>1422</v>
      </c>
      <c r="G4885" s="19" t="s">
        <v>1817</v>
      </c>
      <c r="H4885" s="19" t="s">
        <v>404</v>
      </c>
      <c r="I4885" s="19" t="s">
        <v>955</v>
      </c>
      <c r="J4885" s="19">
        <v>0</v>
      </c>
      <c r="K4885" s="19" t="s">
        <v>662</v>
      </c>
      <c r="L4885" s="19">
        <v>2022</v>
      </c>
      <c r="M4885" s="20">
        <v>75</v>
      </c>
      <c r="N4885" s="19" t="s">
        <v>1798</v>
      </c>
      <c r="O4885" s="20">
        <v>0</v>
      </c>
      <c r="P4885" s="20">
        <v>0</v>
      </c>
      <c r="Q4885" s="20">
        <v>0</v>
      </c>
      <c r="R4885" s="21">
        <v>1</v>
      </c>
      <c r="S4885" s="20">
        <v>0</v>
      </c>
    </row>
    <row r="4886" spans="2:19" ht="15" customHeight="1" x14ac:dyDescent="0.25">
      <c r="B4886" s="2" t="str">
        <f t="shared" si="152"/>
        <v>NSG_Income Eligible_Multi-Family_Whole Building - Public Housing_Pipe Insulation_HW Large &gt;4"_MF/CI/SMB</v>
      </c>
      <c r="C4886" s="2" t="str">
        <f t="shared" si="153"/>
        <v>NSG_Income Eligible_Multi-Family_Whole Building - Public Housing_Pipe Insulation_HW Large &gt;4"_MF/CI/SMB_2023</v>
      </c>
      <c r="D4886" s="19" t="s">
        <v>1787</v>
      </c>
      <c r="E4886" s="19" t="s">
        <v>325</v>
      </c>
      <c r="F4886" s="19" t="s">
        <v>1422</v>
      </c>
      <c r="G4886" s="19" t="s">
        <v>1817</v>
      </c>
      <c r="H4886" s="19" t="s">
        <v>404</v>
      </c>
      <c r="I4886" s="19" t="s">
        <v>955</v>
      </c>
      <c r="J4886" s="19">
        <v>0</v>
      </c>
      <c r="K4886" s="19" t="s">
        <v>662</v>
      </c>
      <c r="L4886" s="19">
        <v>2023</v>
      </c>
      <c r="M4886" s="20">
        <v>75</v>
      </c>
      <c r="N4886" s="19" t="s">
        <v>1798</v>
      </c>
      <c r="O4886" s="20">
        <v>0</v>
      </c>
      <c r="P4886" s="20">
        <v>0</v>
      </c>
      <c r="Q4886" s="20">
        <v>0</v>
      </c>
      <c r="R4886" s="21">
        <v>1</v>
      </c>
      <c r="S4886" s="20">
        <v>0</v>
      </c>
    </row>
    <row r="4887" spans="2:19" ht="15" customHeight="1" x14ac:dyDescent="0.25">
      <c r="B4887" s="2" t="str">
        <f t="shared" si="152"/>
        <v>NSG_Income Eligible_Multi-Family_Whole Building - Public Housing_Pipe Insulation_HW Large &gt;4"_MF/CI/SMB</v>
      </c>
      <c r="C4887" s="2" t="str">
        <f t="shared" si="153"/>
        <v>NSG_Income Eligible_Multi-Family_Whole Building - Public Housing_Pipe Insulation_HW Large &gt;4"_MF/CI/SMB_2024</v>
      </c>
      <c r="D4887" s="19" t="s">
        <v>1787</v>
      </c>
      <c r="E4887" s="19" t="s">
        <v>325</v>
      </c>
      <c r="F4887" s="19" t="s">
        <v>1422</v>
      </c>
      <c r="G4887" s="19" t="s">
        <v>1817</v>
      </c>
      <c r="H4887" s="19" t="s">
        <v>404</v>
      </c>
      <c r="I4887" s="19" t="s">
        <v>955</v>
      </c>
      <c r="J4887" s="19">
        <v>0</v>
      </c>
      <c r="K4887" s="19" t="s">
        <v>662</v>
      </c>
      <c r="L4887" s="19">
        <v>2024</v>
      </c>
      <c r="M4887" s="20">
        <v>75</v>
      </c>
      <c r="N4887" s="19" t="s">
        <v>1798</v>
      </c>
      <c r="O4887" s="20">
        <v>0</v>
      </c>
      <c r="P4887" s="20">
        <v>0</v>
      </c>
      <c r="Q4887" s="20">
        <v>0</v>
      </c>
      <c r="R4887" s="21">
        <v>1</v>
      </c>
      <c r="S4887" s="20">
        <v>0</v>
      </c>
    </row>
    <row r="4888" spans="2:19" ht="15" customHeight="1" x14ac:dyDescent="0.25">
      <c r="B4888" s="2" t="str">
        <f t="shared" si="152"/>
        <v>NSG_Income Eligible_Multi-Family_Whole Building - Public Housing_Pipe Insulation_HW Large &gt;4"_MF/CI/SMB</v>
      </c>
      <c r="C4888" s="2" t="str">
        <f t="shared" si="153"/>
        <v>NSG_Income Eligible_Multi-Family_Whole Building - Public Housing_Pipe Insulation_HW Large &gt;4"_MF/CI/SMB_2025</v>
      </c>
      <c r="D4888" s="19" t="s">
        <v>1787</v>
      </c>
      <c r="E4888" s="19" t="s">
        <v>325</v>
      </c>
      <c r="F4888" s="19" t="s">
        <v>1422</v>
      </c>
      <c r="G4888" s="19" t="s">
        <v>1817</v>
      </c>
      <c r="H4888" s="19" t="s">
        <v>404</v>
      </c>
      <c r="I4888" s="19" t="s">
        <v>955</v>
      </c>
      <c r="J4888" s="19">
        <v>0</v>
      </c>
      <c r="K4888" s="19" t="s">
        <v>662</v>
      </c>
      <c r="L4888" s="19">
        <v>2025</v>
      </c>
      <c r="M4888" s="20">
        <v>75</v>
      </c>
      <c r="N4888" s="19" t="s">
        <v>1798</v>
      </c>
      <c r="O4888" s="20">
        <v>0</v>
      </c>
      <c r="P4888" s="20">
        <v>0</v>
      </c>
      <c r="Q4888" s="20">
        <v>0</v>
      </c>
      <c r="R4888" s="21">
        <v>1</v>
      </c>
      <c r="S4888" s="20">
        <v>0</v>
      </c>
    </row>
    <row r="4889" spans="2:19" ht="15" customHeight="1" x14ac:dyDescent="0.25">
      <c r="B4889" s="2" t="str">
        <f t="shared" si="152"/>
        <v>NSG_Income Eligible_Multi-Family_Whole Building - Public Housing_Pipe Insulation_Steam - Small 1" to 2"_MF</v>
      </c>
      <c r="C4889" s="2" t="str">
        <f t="shared" si="153"/>
        <v>NSG_Income Eligible_Multi-Family_Whole Building - Public Housing_Pipe Insulation_Steam - Small 1" to 2"_MF_2022</v>
      </c>
      <c r="D4889" s="19" t="s">
        <v>1787</v>
      </c>
      <c r="E4889" s="19" t="s">
        <v>325</v>
      </c>
      <c r="F4889" s="19" t="s">
        <v>1422</v>
      </c>
      <c r="G4889" s="19" t="s">
        <v>1817</v>
      </c>
      <c r="H4889" s="19" t="s">
        <v>404</v>
      </c>
      <c r="I4889" s="19" t="s">
        <v>956</v>
      </c>
      <c r="J4889" s="19">
        <v>0</v>
      </c>
      <c r="K4889" s="19" t="s">
        <v>553</v>
      </c>
      <c r="L4889" s="19">
        <v>2022</v>
      </c>
      <c r="M4889" s="20">
        <v>75</v>
      </c>
      <c r="N4889" s="19" t="s">
        <v>1798</v>
      </c>
      <c r="O4889" s="20">
        <v>0</v>
      </c>
      <c r="P4889" s="20">
        <v>0</v>
      </c>
      <c r="Q4889" s="20">
        <v>0</v>
      </c>
      <c r="R4889" s="21">
        <v>1</v>
      </c>
      <c r="S4889" s="20">
        <v>0</v>
      </c>
    </row>
    <row r="4890" spans="2:19" ht="15" customHeight="1" x14ac:dyDescent="0.25">
      <c r="B4890" s="2" t="str">
        <f t="shared" si="152"/>
        <v>NSG_Income Eligible_Multi-Family_Whole Building - Public Housing_Pipe Insulation_Steam - Small 1" to 2"_MF</v>
      </c>
      <c r="C4890" s="2" t="str">
        <f t="shared" si="153"/>
        <v>NSG_Income Eligible_Multi-Family_Whole Building - Public Housing_Pipe Insulation_Steam - Small 1" to 2"_MF_2023</v>
      </c>
      <c r="D4890" s="19" t="s">
        <v>1787</v>
      </c>
      <c r="E4890" s="19" t="s">
        <v>325</v>
      </c>
      <c r="F4890" s="19" t="s">
        <v>1422</v>
      </c>
      <c r="G4890" s="19" t="s">
        <v>1817</v>
      </c>
      <c r="H4890" s="19" t="s">
        <v>404</v>
      </c>
      <c r="I4890" s="19" t="s">
        <v>956</v>
      </c>
      <c r="J4890" s="19">
        <v>0</v>
      </c>
      <c r="K4890" s="19" t="s">
        <v>553</v>
      </c>
      <c r="L4890" s="19">
        <v>2023</v>
      </c>
      <c r="M4890" s="20">
        <v>75</v>
      </c>
      <c r="N4890" s="19" t="s">
        <v>1798</v>
      </c>
      <c r="O4890" s="20">
        <v>0</v>
      </c>
      <c r="P4890" s="20">
        <v>0</v>
      </c>
      <c r="Q4890" s="20">
        <v>0</v>
      </c>
      <c r="R4890" s="21">
        <v>1</v>
      </c>
      <c r="S4890" s="20">
        <v>0</v>
      </c>
    </row>
    <row r="4891" spans="2:19" ht="15" customHeight="1" x14ac:dyDescent="0.25">
      <c r="B4891" s="2" t="str">
        <f t="shared" si="152"/>
        <v>NSG_Income Eligible_Multi-Family_Whole Building - Public Housing_Pipe Insulation_Steam - Small 1" to 2"_MF</v>
      </c>
      <c r="C4891" s="2" t="str">
        <f t="shared" si="153"/>
        <v>NSG_Income Eligible_Multi-Family_Whole Building - Public Housing_Pipe Insulation_Steam - Small 1" to 2"_MF_2024</v>
      </c>
      <c r="D4891" s="19" t="s">
        <v>1787</v>
      </c>
      <c r="E4891" s="19" t="s">
        <v>325</v>
      </c>
      <c r="F4891" s="19" t="s">
        <v>1422</v>
      </c>
      <c r="G4891" s="19" t="s">
        <v>1817</v>
      </c>
      <c r="H4891" s="19" t="s">
        <v>404</v>
      </c>
      <c r="I4891" s="19" t="s">
        <v>956</v>
      </c>
      <c r="J4891" s="19">
        <v>0</v>
      </c>
      <c r="K4891" s="19" t="s">
        <v>553</v>
      </c>
      <c r="L4891" s="19">
        <v>2024</v>
      </c>
      <c r="M4891" s="20">
        <v>75</v>
      </c>
      <c r="N4891" s="19" t="s">
        <v>1798</v>
      </c>
      <c r="O4891" s="20">
        <v>0</v>
      </c>
      <c r="P4891" s="20">
        <v>0</v>
      </c>
      <c r="Q4891" s="20">
        <v>0</v>
      </c>
      <c r="R4891" s="21">
        <v>1</v>
      </c>
      <c r="S4891" s="20">
        <v>0</v>
      </c>
    </row>
    <row r="4892" spans="2:19" ht="15" customHeight="1" x14ac:dyDescent="0.25">
      <c r="B4892" s="2" t="str">
        <f t="shared" si="152"/>
        <v>NSG_Income Eligible_Multi-Family_Whole Building - Public Housing_Pipe Insulation_Steam - Small 1" to 2"_MF</v>
      </c>
      <c r="C4892" s="2" t="str">
        <f t="shared" si="153"/>
        <v>NSG_Income Eligible_Multi-Family_Whole Building - Public Housing_Pipe Insulation_Steam - Small 1" to 2"_MF_2025</v>
      </c>
      <c r="D4892" s="19" t="s">
        <v>1787</v>
      </c>
      <c r="E4892" s="19" t="s">
        <v>325</v>
      </c>
      <c r="F4892" s="19" t="s">
        <v>1422</v>
      </c>
      <c r="G4892" s="19" t="s">
        <v>1817</v>
      </c>
      <c r="H4892" s="19" t="s">
        <v>404</v>
      </c>
      <c r="I4892" s="19" t="s">
        <v>956</v>
      </c>
      <c r="J4892" s="19">
        <v>0</v>
      </c>
      <c r="K4892" s="19" t="s">
        <v>553</v>
      </c>
      <c r="L4892" s="19">
        <v>2025</v>
      </c>
      <c r="M4892" s="20">
        <v>75</v>
      </c>
      <c r="N4892" s="19" t="s">
        <v>1798</v>
      </c>
      <c r="O4892" s="20">
        <v>0</v>
      </c>
      <c r="P4892" s="20">
        <v>0</v>
      </c>
      <c r="Q4892" s="20">
        <v>0</v>
      </c>
      <c r="R4892" s="21">
        <v>1</v>
      </c>
      <c r="S4892" s="20">
        <v>0</v>
      </c>
    </row>
    <row r="4893" spans="2:19" ht="15" customHeight="1" x14ac:dyDescent="0.25">
      <c r="B4893" s="2" t="str">
        <f t="shared" si="152"/>
        <v>NSG_Income Eligible_Multi-Family_Whole Building - Public Housing_Pipe Insulation_Steam - Med 2.1" to 5"_MF</v>
      </c>
      <c r="C4893" s="2" t="str">
        <f t="shared" si="153"/>
        <v>NSG_Income Eligible_Multi-Family_Whole Building - Public Housing_Pipe Insulation_Steam - Med 2.1" to 5"_MF_2022</v>
      </c>
      <c r="D4893" s="19" t="s">
        <v>1787</v>
      </c>
      <c r="E4893" s="19" t="s">
        <v>325</v>
      </c>
      <c r="F4893" s="19" t="s">
        <v>1422</v>
      </c>
      <c r="G4893" s="19" t="s">
        <v>1817</v>
      </c>
      <c r="H4893" s="19" t="s">
        <v>404</v>
      </c>
      <c r="I4893" s="19" t="s">
        <v>957</v>
      </c>
      <c r="J4893" s="19">
        <v>0</v>
      </c>
      <c r="K4893" s="19" t="s">
        <v>553</v>
      </c>
      <c r="L4893" s="19">
        <v>2022</v>
      </c>
      <c r="M4893" s="20">
        <v>75</v>
      </c>
      <c r="N4893" s="19" t="s">
        <v>1798</v>
      </c>
      <c r="O4893" s="20">
        <v>0</v>
      </c>
      <c r="P4893" s="20">
        <v>0</v>
      </c>
      <c r="Q4893" s="20">
        <v>0</v>
      </c>
      <c r="R4893" s="21">
        <v>1</v>
      </c>
      <c r="S4893" s="20">
        <v>0</v>
      </c>
    </row>
    <row r="4894" spans="2:19" ht="15" customHeight="1" x14ac:dyDescent="0.25">
      <c r="B4894" s="2" t="str">
        <f t="shared" si="152"/>
        <v>NSG_Income Eligible_Multi-Family_Whole Building - Public Housing_Pipe Insulation_Steam - Med 2.1" to 5"_MF</v>
      </c>
      <c r="C4894" s="2" t="str">
        <f t="shared" si="153"/>
        <v>NSG_Income Eligible_Multi-Family_Whole Building - Public Housing_Pipe Insulation_Steam - Med 2.1" to 5"_MF_2023</v>
      </c>
      <c r="D4894" s="19" t="s">
        <v>1787</v>
      </c>
      <c r="E4894" s="19" t="s">
        <v>325</v>
      </c>
      <c r="F4894" s="19" t="s">
        <v>1422</v>
      </c>
      <c r="G4894" s="19" t="s">
        <v>1817</v>
      </c>
      <c r="H4894" s="19" t="s">
        <v>404</v>
      </c>
      <c r="I4894" s="19" t="s">
        <v>957</v>
      </c>
      <c r="J4894" s="19">
        <v>0</v>
      </c>
      <c r="K4894" s="19" t="s">
        <v>553</v>
      </c>
      <c r="L4894" s="19">
        <v>2023</v>
      </c>
      <c r="M4894" s="20">
        <v>75</v>
      </c>
      <c r="N4894" s="19" t="s">
        <v>1798</v>
      </c>
      <c r="O4894" s="20">
        <v>0</v>
      </c>
      <c r="P4894" s="20">
        <v>0</v>
      </c>
      <c r="Q4894" s="20">
        <v>0</v>
      </c>
      <c r="R4894" s="21">
        <v>1</v>
      </c>
      <c r="S4894" s="20">
        <v>0</v>
      </c>
    </row>
    <row r="4895" spans="2:19" ht="15" customHeight="1" x14ac:dyDescent="0.25">
      <c r="B4895" s="2" t="str">
        <f t="shared" si="152"/>
        <v>NSG_Income Eligible_Multi-Family_Whole Building - Public Housing_Pipe Insulation_Steam - Med 2.1" to 5"_MF</v>
      </c>
      <c r="C4895" s="2" t="str">
        <f t="shared" si="153"/>
        <v>NSG_Income Eligible_Multi-Family_Whole Building - Public Housing_Pipe Insulation_Steam - Med 2.1" to 5"_MF_2024</v>
      </c>
      <c r="D4895" s="19" t="s">
        <v>1787</v>
      </c>
      <c r="E4895" s="19" t="s">
        <v>325</v>
      </c>
      <c r="F4895" s="19" t="s">
        <v>1422</v>
      </c>
      <c r="G4895" s="19" t="s">
        <v>1817</v>
      </c>
      <c r="H4895" s="19" t="s">
        <v>404</v>
      </c>
      <c r="I4895" s="19" t="s">
        <v>957</v>
      </c>
      <c r="J4895" s="19">
        <v>0</v>
      </c>
      <c r="K4895" s="19" t="s">
        <v>553</v>
      </c>
      <c r="L4895" s="19">
        <v>2024</v>
      </c>
      <c r="M4895" s="20">
        <v>75</v>
      </c>
      <c r="N4895" s="19" t="s">
        <v>1798</v>
      </c>
      <c r="O4895" s="20">
        <v>0</v>
      </c>
      <c r="P4895" s="20">
        <v>0</v>
      </c>
      <c r="Q4895" s="20">
        <v>0</v>
      </c>
      <c r="R4895" s="21">
        <v>1</v>
      </c>
      <c r="S4895" s="20">
        <v>0</v>
      </c>
    </row>
    <row r="4896" spans="2:19" ht="15" customHeight="1" x14ac:dyDescent="0.25">
      <c r="B4896" s="2" t="str">
        <f t="shared" si="152"/>
        <v>NSG_Income Eligible_Multi-Family_Whole Building - Public Housing_Pipe Insulation_Steam - Med 2.1" to 5"_MF</v>
      </c>
      <c r="C4896" s="2" t="str">
        <f t="shared" si="153"/>
        <v>NSG_Income Eligible_Multi-Family_Whole Building - Public Housing_Pipe Insulation_Steam - Med 2.1" to 5"_MF_2025</v>
      </c>
      <c r="D4896" s="19" t="s">
        <v>1787</v>
      </c>
      <c r="E4896" s="19" t="s">
        <v>325</v>
      </c>
      <c r="F4896" s="19" t="s">
        <v>1422</v>
      </c>
      <c r="G4896" s="19" t="s">
        <v>1817</v>
      </c>
      <c r="H4896" s="19" t="s">
        <v>404</v>
      </c>
      <c r="I4896" s="19" t="s">
        <v>957</v>
      </c>
      <c r="J4896" s="19">
        <v>0</v>
      </c>
      <c r="K4896" s="19" t="s">
        <v>553</v>
      </c>
      <c r="L4896" s="19">
        <v>2025</v>
      </c>
      <c r="M4896" s="20">
        <v>75</v>
      </c>
      <c r="N4896" s="19" t="s">
        <v>1798</v>
      </c>
      <c r="O4896" s="20">
        <v>0</v>
      </c>
      <c r="P4896" s="20">
        <v>0</v>
      </c>
      <c r="Q4896" s="20">
        <v>0</v>
      </c>
      <c r="R4896" s="21">
        <v>1</v>
      </c>
      <c r="S4896" s="20">
        <v>0</v>
      </c>
    </row>
    <row r="4897" spans="2:19" ht="15" customHeight="1" x14ac:dyDescent="0.25">
      <c r="B4897" s="2" t="str">
        <f t="shared" si="152"/>
        <v>NSG_Income Eligible_Multi-Family_Whole Building - Public Housing_Pipe Insulation_Steam - Large 5.1" to 8"_MF</v>
      </c>
      <c r="C4897" s="2" t="str">
        <f t="shared" si="153"/>
        <v>NSG_Income Eligible_Multi-Family_Whole Building - Public Housing_Pipe Insulation_Steam - Large 5.1" to 8"_MF_2022</v>
      </c>
      <c r="D4897" s="19" t="s">
        <v>1787</v>
      </c>
      <c r="E4897" s="19" t="s">
        <v>325</v>
      </c>
      <c r="F4897" s="19" t="s">
        <v>1422</v>
      </c>
      <c r="G4897" s="19" t="s">
        <v>1817</v>
      </c>
      <c r="H4897" s="19" t="s">
        <v>404</v>
      </c>
      <c r="I4897" s="19" t="s">
        <v>958</v>
      </c>
      <c r="J4897" s="19">
        <v>0</v>
      </c>
      <c r="K4897" s="19" t="s">
        <v>553</v>
      </c>
      <c r="L4897" s="19">
        <v>2022</v>
      </c>
      <c r="M4897" s="20">
        <v>75</v>
      </c>
      <c r="N4897" s="19" t="s">
        <v>1798</v>
      </c>
      <c r="O4897" s="20">
        <v>0</v>
      </c>
      <c r="P4897" s="20">
        <v>0</v>
      </c>
      <c r="Q4897" s="20">
        <v>0</v>
      </c>
      <c r="R4897" s="21">
        <v>1</v>
      </c>
      <c r="S4897" s="20">
        <v>0</v>
      </c>
    </row>
    <row r="4898" spans="2:19" ht="15" customHeight="1" x14ac:dyDescent="0.25">
      <c r="B4898" s="2" t="str">
        <f t="shared" si="152"/>
        <v>NSG_Income Eligible_Multi-Family_Whole Building - Public Housing_Pipe Insulation_Steam - Large 5.1" to 8"_MF</v>
      </c>
      <c r="C4898" s="2" t="str">
        <f t="shared" si="153"/>
        <v>NSG_Income Eligible_Multi-Family_Whole Building - Public Housing_Pipe Insulation_Steam - Large 5.1" to 8"_MF_2023</v>
      </c>
      <c r="D4898" s="19" t="s">
        <v>1787</v>
      </c>
      <c r="E4898" s="19" t="s">
        <v>325</v>
      </c>
      <c r="F4898" s="19" t="s">
        <v>1422</v>
      </c>
      <c r="G4898" s="19" t="s">
        <v>1817</v>
      </c>
      <c r="H4898" s="19" t="s">
        <v>404</v>
      </c>
      <c r="I4898" s="19" t="s">
        <v>958</v>
      </c>
      <c r="J4898" s="19">
        <v>0</v>
      </c>
      <c r="K4898" s="19" t="s">
        <v>553</v>
      </c>
      <c r="L4898" s="19">
        <v>2023</v>
      </c>
      <c r="M4898" s="20">
        <v>75</v>
      </c>
      <c r="N4898" s="19" t="s">
        <v>1798</v>
      </c>
      <c r="O4898" s="20">
        <v>0</v>
      </c>
      <c r="P4898" s="20">
        <v>0</v>
      </c>
      <c r="Q4898" s="20">
        <v>0</v>
      </c>
      <c r="R4898" s="21">
        <v>1</v>
      </c>
      <c r="S4898" s="20">
        <v>0</v>
      </c>
    </row>
    <row r="4899" spans="2:19" ht="15" customHeight="1" x14ac:dyDescent="0.25">
      <c r="B4899" s="2" t="str">
        <f t="shared" si="152"/>
        <v>NSG_Income Eligible_Multi-Family_Whole Building - Public Housing_Pipe Insulation_Steam - Large 5.1" to 8"_MF</v>
      </c>
      <c r="C4899" s="2" t="str">
        <f t="shared" si="153"/>
        <v>NSG_Income Eligible_Multi-Family_Whole Building - Public Housing_Pipe Insulation_Steam - Large 5.1" to 8"_MF_2024</v>
      </c>
      <c r="D4899" s="19" t="s">
        <v>1787</v>
      </c>
      <c r="E4899" s="19" t="s">
        <v>325</v>
      </c>
      <c r="F4899" s="19" t="s">
        <v>1422</v>
      </c>
      <c r="G4899" s="19" t="s">
        <v>1817</v>
      </c>
      <c r="H4899" s="19" t="s">
        <v>404</v>
      </c>
      <c r="I4899" s="19" t="s">
        <v>958</v>
      </c>
      <c r="J4899" s="19">
        <v>0</v>
      </c>
      <c r="K4899" s="19" t="s">
        <v>553</v>
      </c>
      <c r="L4899" s="19">
        <v>2024</v>
      </c>
      <c r="M4899" s="20">
        <v>75</v>
      </c>
      <c r="N4899" s="19" t="s">
        <v>1798</v>
      </c>
      <c r="O4899" s="20">
        <v>0</v>
      </c>
      <c r="P4899" s="20">
        <v>0</v>
      </c>
      <c r="Q4899" s="20">
        <v>0</v>
      </c>
      <c r="R4899" s="21">
        <v>1</v>
      </c>
      <c r="S4899" s="20">
        <v>0</v>
      </c>
    </row>
    <row r="4900" spans="2:19" ht="15" customHeight="1" x14ac:dyDescent="0.25">
      <c r="B4900" s="2" t="str">
        <f t="shared" si="152"/>
        <v>NSG_Income Eligible_Multi-Family_Whole Building - Public Housing_Pipe Insulation_Steam - Large 5.1" to 8"_MF</v>
      </c>
      <c r="C4900" s="2" t="str">
        <f t="shared" si="153"/>
        <v>NSG_Income Eligible_Multi-Family_Whole Building - Public Housing_Pipe Insulation_Steam - Large 5.1" to 8"_MF_2025</v>
      </c>
      <c r="D4900" s="19" t="s">
        <v>1787</v>
      </c>
      <c r="E4900" s="19" t="s">
        <v>325</v>
      </c>
      <c r="F4900" s="19" t="s">
        <v>1422</v>
      </c>
      <c r="G4900" s="19" t="s">
        <v>1817</v>
      </c>
      <c r="H4900" s="19" t="s">
        <v>404</v>
      </c>
      <c r="I4900" s="19" t="s">
        <v>958</v>
      </c>
      <c r="J4900" s="19">
        <v>0</v>
      </c>
      <c r="K4900" s="19" t="s">
        <v>553</v>
      </c>
      <c r="L4900" s="19">
        <v>2025</v>
      </c>
      <c r="M4900" s="20">
        <v>75</v>
      </c>
      <c r="N4900" s="19" t="s">
        <v>1798</v>
      </c>
      <c r="O4900" s="20">
        <v>0</v>
      </c>
      <c r="P4900" s="20">
        <v>0</v>
      </c>
      <c r="Q4900" s="20">
        <v>0</v>
      </c>
      <c r="R4900" s="21">
        <v>1</v>
      </c>
      <c r="S4900" s="20">
        <v>0</v>
      </c>
    </row>
    <row r="4901" spans="2:19" ht="15" customHeight="1" x14ac:dyDescent="0.25">
      <c r="B4901" s="2" t="str">
        <f t="shared" si="152"/>
        <v>NSG_Income Eligible_Multi-Family_Whole Building - Public Housing_Pipe Insulation_Steam - X-Large &gt;8"_MF</v>
      </c>
      <c r="C4901" s="2" t="str">
        <f t="shared" si="153"/>
        <v>NSG_Income Eligible_Multi-Family_Whole Building - Public Housing_Pipe Insulation_Steam - X-Large &gt;8"_MF_2022</v>
      </c>
      <c r="D4901" s="19" t="s">
        <v>1787</v>
      </c>
      <c r="E4901" s="19" t="s">
        <v>325</v>
      </c>
      <c r="F4901" s="19" t="s">
        <v>1422</v>
      </c>
      <c r="G4901" s="19" t="s">
        <v>1817</v>
      </c>
      <c r="H4901" s="19" t="s">
        <v>404</v>
      </c>
      <c r="I4901" s="19" t="s">
        <v>960</v>
      </c>
      <c r="J4901" s="19">
        <v>0</v>
      </c>
      <c r="K4901" s="19" t="s">
        <v>553</v>
      </c>
      <c r="L4901" s="19">
        <v>2022</v>
      </c>
      <c r="M4901" s="20">
        <v>75</v>
      </c>
      <c r="N4901" s="19" t="s">
        <v>1798</v>
      </c>
      <c r="O4901" s="20">
        <v>0</v>
      </c>
      <c r="P4901" s="20">
        <v>0</v>
      </c>
      <c r="Q4901" s="20">
        <v>0</v>
      </c>
      <c r="R4901" s="21">
        <v>1</v>
      </c>
      <c r="S4901" s="20">
        <v>0</v>
      </c>
    </row>
    <row r="4902" spans="2:19" ht="15" customHeight="1" x14ac:dyDescent="0.25">
      <c r="B4902" s="2" t="str">
        <f t="shared" si="152"/>
        <v>NSG_Income Eligible_Multi-Family_Whole Building - Public Housing_Pipe Insulation_Steam - X-Large &gt;8"_MF</v>
      </c>
      <c r="C4902" s="2" t="str">
        <f t="shared" si="153"/>
        <v>NSG_Income Eligible_Multi-Family_Whole Building - Public Housing_Pipe Insulation_Steam - X-Large &gt;8"_MF_2023</v>
      </c>
      <c r="D4902" s="19" t="s">
        <v>1787</v>
      </c>
      <c r="E4902" s="19" t="s">
        <v>325</v>
      </c>
      <c r="F4902" s="19" t="s">
        <v>1422</v>
      </c>
      <c r="G4902" s="19" t="s">
        <v>1817</v>
      </c>
      <c r="H4902" s="19" t="s">
        <v>404</v>
      </c>
      <c r="I4902" s="19" t="s">
        <v>960</v>
      </c>
      <c r="J4902" s="19">
        <v>0</v>
      </c>
      <c r="K4902" s="19" t="s">
        <v>553</v>
      </c>
      <c r="L4902" s="19">
        <v>2023</v>
      </c>
      <c r="M4902" s="20">
        <v>75</v>
      </c>
      <c r="N4902" s="19" t="s">
        <v>1798</v>
      </c>
      <c r="O4902" s="20">
        <v>0</v>
      </c>
      <c r="P4902" s="20">
        <v>0</v>
      </c>
      <c r="Q4902" s="20">
        <v>0</v>
      </c>
      <c r="R4902" s="21">
        <v>1</v>
      </c>
      <c r="S4902" s="20">
        <v>0</v>
      </c>
    </row>
    <row r="4903" spans="2:19" ht="15" customHeight="1" x14ac:dyDescent="0.25">
      <c r="B4903" s="2" t="str">
        <f t="shared" si="152"/>
        <v>NSG_Income Eligible_Multi-Family_Whole Building - Public Housing_Pipe Insulation_Steam - X-Large &gt;8"_MF</v>
      </c>
      <c r="C4903" s="2" t="str">
        <f t="shared" si="153"/>
        <v>NSG_Income Eligible_Multi-Family_Whole Building - Public Housing_Pipe Insulation_Steam - X-Large &gt;8"_MF_2024</v>
      </c>
      <c r="D4903" s="19" t="s">
        <v>1787</v>
      </c>
      <c r="E4903" s="19" t="s">
        <v>325</v>
      </c>
      <c r="F4903" s="19" t="s">
        <v>1422</v>
      </c>
      <c r="G4903" s="19" t="s">
        <v>1817</v>
      </c>
      <c r="H4903" s="19" t="s">
        <v>404</v>
      </c>
      <c r="I4903" s="19" t="s">
        <v>960</v>
      </c>
      <c r="J4903" s="19">
        <v>0</v>
      </c>
      <c r="K4903" s="19" t="s">
        <v>553</v>
      </c>
      <c r="L4903" s="19">
        <v>2024</v>
      </c>
      <c r="M4903" s="20">
        <v>75</v>
      </c>
      <c r="N4903" s="19" t="s">
        <v>1798</v>
      </c>
      <c r="O4903" s="20">
        <v>0</v>
      </c>
      <c r="P4903" s="20">
        <v>0</v>
      </c>
      <c r="Q4903" s="20">
        <v>0</v>
      </c>
      <c r="R4903" s="21">
        <v>1</v>
      </c>
      <c r="S4903" s="20">
        <v>0</v>
      </c>
    </row>
    <row r="4904" spans="2:19" ht="15" customHeight="1" x14ac:dyDescent="0.25">
      <c r="B4904" s="2" t="str">
        <f t="shared" si="152"/>
        <v>NSG_Income Eligible_Multi-Family_Whole Building - Public Housing_Pipe Insulation_Steam - X-Large &gt;8"_MF</v>
      </c>
      <c r="C4904" s="2" t="str">
        <f t="shared" si="153"/>
        <v>NSG_Income Eligible_Multi-Family_Whole Building - Public Housing_Pipe Insulation_Steam - X-Large &gt;8"_MF_2025</v>
      </c>
      <c r="D4904" s="19" t="s">
        <v>1787</v>
      </c>
      <c r="E4904" s="19" t="s">
        <v>325</v>
      </c>
      <c r="F4904" s="19" t="s">
        <v>1422</v>
      </c>
      <c r="G4904" s="19" t="s">
        <v>1817</v>
      </c>
      <c r="H4904" s="19" t="s">
        <v>404</v>
      </c>
      <c r="I4904" s="19" t="s">
        <v>960</v>
      </c>
      <c r="J4904" s="19">
        <v>0</v>
      </c>
      <c r="K4904" s="19" t="s">
        <v>553</v>
      </c>
      <c r="L4904" s="19">
        <v>2025</v>
      </c>
      <c r="M4904" s="20">
        <v>75</v>
      </c>
      <c r="N4904" s="19" t="s">
        <v>1798</v>
      </c>
      <c r="O4904" s="20">
        <v>0</v>
      </c>
      <c r="P4904" s="20">
        <v>0</v>
      </c>
      <c r="Q4904" s="20">
        <v>0</v>
      </c>
      <c r="R4904" s="21">
        <v>1</v>
      </c>
      <c r="S4904" s="20">
        <v>0</v>
      </c>
    </row>
    <row r="4905" spans="2:19" ht="15" customHeight="1" x14ac:dyDescent="0.25">
      <c r="B4905" s="2" t="str">
        <f t="shared" si="152"/>
        <v>NSG_Income Eligible_Multi-Family_Whole Building - Public Housing_Pipe Insulation_Steam Small Fitting_MF</v>
      </c>
      <c r="C4905" s="2" t="str">
        <f t="shared" si="153"/>
        <v>NSG_Income Eligible_Multi-Family_Whole Building - Public Housing_Pipe Insulation_Steam Small Fitting_MF_2022</v>
      </c>
      <c r="D4905" s="19" t="s">
        <v>1787</v>
      </c>
      <c r="E4905" s="19" t="s">
        <v>325</v>
      </c>
      <c r="F4905" s="19" t="s">
        <v>1422</v>
      </c>
      <c r="G4905" s="19" t="s">
        <v>1817</v>
      </c>
      <c r="H4905" s="19" t="s">
        <v>404</v>
      </c>
      <c r="I4905" s="19" t="s">
        <v>961</v>
      </c>
      <c r="J4905" s="19">
        <v>0</v>
      </c>
      <c r="K4905" s="19" t="s">
        <v>553</v>
      </c>
      <c r="L4905" s="19">
        <v>2022</v>
      </c>
      <c r="M4905" s="20">
        <v>1</v>
      </c>
      <c r="N4905" s="19" t="s">
        <v>1798</v>
      </c>
      <c r="O4905" s="20">
        <v>0</v>
      </c>
      <c r="P4905" s="20">
        <v>0</v>
      </c>
      <c r="Q4905" s="20">
        <v>0</v>
      </c>
      <c r="R4905" s="21">
        <v>1</v>
      </c>
      <c r="S4905" s="20">
        <v>0</v>
      </c>
    </row>
    <row r="4906" spans="2:19" ht="15" customHeight="1" x14ac:dyDescent="0.25">
      <c r="B4906" s="2" t="str">
        <f t="shared" si="152"/>
        <v>NSG_Income Eligible_Multi-Family_Whole Building - Public Housing_Pipe Insulation_Steam Small Fitting_MF</v>
      </c>
      <c r="C4906" s="2" t="str">
        <f t="shared" si="153"/>
        <v>NSG_Income Eligible_Multi-Family_Whole Building - Public Housing_Pipe Insulation_Steam Small Fitting_MF_2023</v>
      </c>
      <c r="D4906" s="19" t="s">
        <v>1787</v>
      </c>
      <c r="E4906" s="19" t="s">
        <v>325</v>
      </c>
      <c r="F4906" s="19" t="s">
        <v>1422</v>
      </c>
      <c r="G4906" s="19" t="s">
        <v>1817</v>
      </c>
      <c r="H4906" s="19" t="s">
        <v>404</v>
      </c>
      <c r="I4906" s="19" t="s">
        <v>961</v>
      </c>
      <c r="J4906" s="19">
        <v>0</v>
      </c>
      <c r="K4906" s="19" t="s">
        <v>553</v>
      </c>
      <c r="L4906" s="19">
        <v>2023</v>
      </c>
      <c r="M4906" s="20">
        <v>1</v>
      </c>
      <c r="N4906" s="19" t="s">
        <v>1798</v>
      </c>
      <c r="O4906" s="20">
        <v>0</v>
      </c>
      <c r="P4906" s="20">
        <v>0</v>
      </c>
      <c r="Q4906" s="20">
        <v>0</v>
      </c>
      <c r="R4906" s="21">
        <v>1</v>
      </c>
      <c r="S4906" s="20">
        <v>0</v>
      </c>
    </row>
    <row r="4907" spans="2:19" ht="15" customHeight="1" x14ac:dyDescent="0.25">
      <c r="B4907" s="2" t="str">
        <f t="shared" si="152"/>
        <v>NSG_Income Eligible_Multi-Family_Whole Building - Public Housing_Pipe Insulation_Steam Small Fitting_MF</v>
      </c>
      <c r="C4907" s="2" t="str">
        <f t="shared" si="153"/>
        <v>NSG_Income Eligible_Multi-Family_Whole Building - Public Housing_Pipe Insulation_Steam Small Fitting_MF_2024</v>
      </c>
      <c r="D4907" s="19" t="s">
        <v>1787</v>
      </c>
      <c r="E4907" s="19" t="s">
        <v>325</v>
      </c>
      <c r="F4907" s="19" t="s">
        <v>1422</v>
      </c>
      <c r="G4907" s="19" t="s">
        <v>1817</v>
      </c>
      <c r="H4907" s="19" t="s">
        <v>404</v>
      </c>
      <c r="I4907" s="19" t="s">
        <v>961</v>
      </c>
      <c r="J4907" s="19">
        <v>0</v>
      </c>
      <c r="K4907" s="19" t="s">
        <v>553</v>
      </c>
      <c r="L4907" s="19">
        <v>2024</v>
      </c>
      <c r="M4907" s="20">
        <v>1</v>
      </c>
      <c r="N4907" s="19" t="s">
        <v>1798</v>
      </c>
      <c r="O4907" s="20">
        <v>0</v>
      </c>
      <c r="P4907" s="20">
        <v>0</v>
      </c>
      <c r="Q4907" s="20">
        <v>0</v>
      </c>
      <c r="R4907" s="21">
        <v>1</v>
      </c>
      <c r="S4907" s="20">
        <v>0</v>
      </c>
    </row>
    <row r="4908" spans="2:19" ht="15" customHeight="1" x14ac:dyDescent="0.25">
      <c r="B4908" s="2" t="str">
        <f t="shared" si="152"/>
        <v>NSG_Income Eligible_Multi-Family_Whole Building - Public Housing_Pipe Insulation_Steam Small Fitting_MF</v>
      </c>
      <c r="C4908" s="2" t="str">
        <f t="shared" si="153"/>
        <v>NSG_Income Eligible_Multi-Family_Whole Building - Public Housing_Pipe Insulation_Steam Small Fitting_MF_2025</v>
      </c>
      <c r="D4908" s="19" t="s">
        <v>1787</v>
      </c>
      <c r="E4908" s="19" t="s">
        <v>325</v>
      </c>
      <c r="F4908" s="19" t="s">
        <v>1422</v>
      </c>
      <c r="G4908" s="19" t="s">
        <v>1817</v>
      </c>
      <c r="H4908" s="19" t="s">
        <v>404</v>
      </c>
      <c r="I4908" s="19" t="s">
        <v>961</v>
      </c>
      <c r="J4908" s="19">
        <v>0</v>
      </c>
      <c r="K4908" s="19" t="s">
        <v>553</v>
      </c>
      <c r="L4908" s="19">
        <v>2025</v>
      </c>
      <c r="M4908" s="20">
        <v>1</v>
      </c>
      <c r="N4908" s="19" t="s">
        <v>1798</v>
      </c>
      <c r="O4908" s="20">
        <v>0</v>
      </c>
      <c r="P4908" s="20">
        <v>0</v>
      </c>
      <c r="Q4908" s="20">
        <v>0</v>
      </c>
      <c r="R4908" s="21">
        <v>1</v>
      </c>
      <c r="S4908" s="20">
        <v>0</v>
      </c>
    </row>
    <row r="4909" spans="2:19" ht="15" customHeight="1" x14ac:dyDescent="0.25">
      <c r="B4909" s="2" t="str">
        <f t="shared" si="152"/>
        <v>NSG_Income Eligible_Multi-Family_Whole Building - Public Housing_Pipe Insulation_Steam Med Fitting_MF</v>
      </c>
      <c r="C4909" s="2" t="str">
        <f t="shared" si="153"/>
        <v>NSG_Income Eligible_Multi-Family_Whole Building - Public Housing_Pipe Insulation_Steam Med Fitting_MF_2022</v>
      </c>
      <c r="D4909" s="19" t="s">
        <v>1787</v>
      </c>
      <c r="E4909" s="19" t="s">
        <v>325</v>
      </c>
      <c r="F4909" s="19" t="s">
        <v>1422</v>
      </c>
      <c r="G4909" s="19" t="s">
        <v>1817</v>
      </c>
      <c r="H4909" s="19" t="s">
        <v>404</v>
      </c>
      <c r="I4909" s="19" t="s">
        <v>962</v>
      </c>
      <c r="J4909" s="19">
        <v>0</v>
      </c>
      <c r="K4909" s="19" t="s">
        <v>553</v>
      </c>
      <c r="L4909" s="19">
        <v>2022</v>
      </c>
      <c r="M4909" s="20">
        <v>1</v>
      </c>
      <c r="N4909" s="19" t="s">
        <v>1798</v>
      </c>
      <c r="O4909" s="20">
        <v>0</v>
      </c>
      <c r="P4909" s="20">
        <v>0</v>
      </c>
      <c r="Q4909" s="20">
        <v>0</v>
      </c>
      <c r="R4909" s="21">
        <v>1</v>
      </c>
      <c r="S4909" s="20">
        <v>0</v>
      </c>
    </row>
    <row r="4910" spans="2:19" ht="15" customHeight="1" x14ac:dyDescent="0.25">
      <c r="B4910" s="2" t="str">
        <f t="shared" si="152"/>
        <v>NSG_Income Eligible_Multi-Family_Whole Building - Public Housing_Pipe Insulation_Steam Med Fitting_MF</v>
      </c>
      <c r="C4910" s="2" t="str">
        <f t="shared" si="153"/>
        <v>NSG_Income Eligible_Multi-Family_Whole Building - Public Housing_Pipe Insulation_Steam Med Fitting_MF_2023</v>
      </c>
      <c r="D4910" s="19" t="s">
        <v>1787</v>
      </c>
      <c r="E4910" s="19" t="s">
        <v>325</v>
      </c>
      <c r="F4910" s="19" t="s">
        <v>1422</v>
      </c>
      <c r="G4910" s="19" t="s">
        <v>1817</v>
      </c>
      <c r="H4910" s="19" t="s">
        <v>404</v>
      </c>
      <c r="I4910" s="19" t="s">
        <v>962</v>
      </c>
      <c r="J4910" s="19">
        <v>0</v>
      </c>
      <c r="K4910" s="19" t="s">
        <v>553</v>
      </c>
      <c r="L4910" s="19">
        <v>2023</v>
      </c>
      <c r="M4910" s="20">
        <v>1</v>
      </c>
      <c r="N4910" s="19" t="s">
        <v>1798</v>
      </c>
      <c r="O4910" s="20">
        <v>0</v>
      </c>
      <c r="P4910" s="20">
        <v>0</v>
      </c>
      <c r="Q4910" s="20">
        <v>0</v>
      </c>
      <c r="R4910" s="21">
        <v>1</v>
      </c>
      <c r="S4910" s="20">
        <v>0</v>
      </c>
    </row>
    <row r="4911" spans="2:19" ht="15" customHeight="1" x14ac:dyDescent="0.25">
      <c r="B4911" s="2" t="str">
        <f t="shared" si="152"/>
        <v>NSG_Income Eligible_Multi-Family_Whole Building - Public Housing_Pipe Insulation_Steam Med Fitting_MF</v>
      </c>
      <c r="C4911" s="2" t="str">
        <f t="shared" si="153"/>
        <v>NSG_Income Eligible_Multi-Family_Whole Building - Public Housing_Pipe Insulation_Steam Med Fitting_MF_2024</v>
      </c>
      <c r="D4911" s="19" t="s">
        <v>1787</v>
      </c>
      <c r="E4911" s="19" t="s">
        <v>325</v>
      </c>
      <c r="F4911" s="19" t="s">
        <v>1422</v>
      </c>
      <c r="G4911" s="19" t="s">
        <v>1817</v>
      </c>
      <c r="H4911" s="19" t="s">
        <v>404</v>
      </c>
      <c r="I4911" s="19" t="s">
        <v>962</v>
      </c>
      <c r="J4911" s="19">
        <v>0</v>
      </c>
      <c r="K4911" s="19" t="s">
        <v>553</v>
      </c>
      <c r="L4911" s="19">
        <v>2024</v>
      </c>
      <c r="M4911" s="20">
        <v>1</v>
      </c>
      <c r="N4911" s="19" t="s">
        <v>1798</v>
      </c>
      <c r="O4911" s="20">
        <v>0</v>
      </c>
      <c r="P4911" s="20">
        <v>0</v>
      </c>
      <c r="Q4911" s="20">
        <v>0</v>
      </c>
      <c r="R4911" s="21">
        <v>1</v>
      </c>
      <c r="S4911" s="20">
        <v>0</v>
      </c>
    </row>
    <row r="4912" spans="2:19" ht="15" customHeight="1" x14ac:dyDescent="0.25">
      <c r="B4912" s="2" t="str">
        <f t="shared" si="152"/>
        <v>NSG_Income Eligible_Multi-Family_Whole Building - Public Housing_Pipe Insulation_Steam Med Fitting_MF</v>
      </c>
      <c r="C4912" s="2" t="str">
        <f t="shared" si="153"/>
        <v>NSG_Income Eligible_Multi-Family_Whole Building - Public Housing_Pipe Insulation_Steam Med Fitting_MF_2025</v>
      </c>
      <c r="D4912" s="19" t="s">
        <v>1787</v>
      </c>
      <c r="E4912" s="19" t="s">
        <v>325</v>
      </c>
      <c r="F4912" s="19" t="s">
        <v>1422</v>
      </c>
      <c r="G4912" s="19" t="s">
        <v>1817</v>
      </c>
      <c r="H4912" s="19" t="s">
        <v>404</v>
      </c>
      <c r="I4912" s="19" t="s">
        <v>962</v>
      </c>
      <c r="J4912" s="19">
        <v>0</v>
      </c>
      <c r="K4912" s="19" t="s">
        <v>553</v>
      </c>
      <c r="L4912" s="19">
        <v>2025</v>
      </c>
      <c r="M4912" s="20">
        <v>1</v>
      </c>
      <c r="N4912" s="19" t="s">
        <v>1798</v>
      </c>
      <c r="O4912" s="20">
        <v>0</v>
      </c>
      <c r="P4912" s="20">
        <v>0</v>
      </c>
      <c r="Q4912" s="20">
        <v>0</v>
      </c>
      <c r="R4912" s="21">
        <v>1</v>
      </c>
      <c r="S4912" s="20">
        <v>0</v>
      </c>
    </row>
    <row r="4913" spans="2:19" ht="15" customHeight="1" x14ac:dyDescent="0.25">
      <c r="B4913" s="2" t="str">
        <f t="shared" si="152"/>
        <v>NSG_Income Eligible_Multi-Family_Whole Building - Public Housing_Pipe Insulation_Steam Large Fitting_MF</v>
      </c>
      <c r="C4913" s="2" t="str">
        <f t="shared" si="153"/>
        <v>NSG_Income Eligible_Multi-Family_Whole Building - Public Housing_Pipe Insulation_Steam Large Fitting_MF_2022</v>
      </c>
      <c r="D4913" s="19" t="s">
        <v>1787</v>
      </c>
      <c r="E4913" s="19" t="s">
        <v>325</v>
      </c>
      <c r="F4913" s="19" t="s">
        <v>1422</v>
      </c>
      <c r="G4913" s="19" t="s">
        <v>1817</v>
      </c>
      <c r="H4913" s="19" t="s">
        <v>404</v>
      </c>
      <c r="I4913" s="19" t="s">
        <v>963</v>
      </c>
      <c r="J4913" s="19">
        <v>0</v>
      </c>
      <c r="K4913" s="19" t="s">
        <v>553</v>
      </c>
      <c r="L4913" s="19">
        <v>2022</v>
      </c>
      <c r="M4913" s="20">
        <v>1</v>
      </c>
      <c r="N4913" s="19" t="s">
        <v>1798</v>
      </c>
      <c r="O4913" s="20">
        <v>0</v>
      </c>
      <c r="P4913" s="20">
        <v>0</v>
      </c>
      <c r="Q4913" s="20">
        <v>0</v>
      </c>
      <c r="R4913" s="21">
        <v>1</v>
      </c>
      <c r="S4913" s="20">
        <v>0</v>
      </c>
    </row>
    <row r="4914" spans="2:19" ht="15" customHeight="1" x14ac:dyDescent="0.25">
      <c r="B4914" s="2" t="str">
        <f t="shared" si="152"/>
        <v>NSG_Income Eligible_Multi-Family_Whole Building - Public Housing_Pipe Insulation_Steam Large Fitting_MF</v>
      </c>
      <c r="C4914" s="2" t="str">
        <f t="shared" si="153"/>
        <v>NSG_Income Eligible_Multi-Family_Whole Building - Public Housing_Pipe Insulation_Steam Large Fitting_MF_2023</v>
      </c>
      <c r="D4914" s="19" t="s">
        <v>1787</v>
      </c>
      <c r="E4914" s="19" t="s">
        <v>325</v>
      </c>
      <c r="F4914" s="19" t="s">
        <v>1422</v>
      </c>
      <c r="G4914" s="19" t="s">
        <v>1817</v>
      </c>
      <c r="H4914" s="19" t="s">
        <v>404</v>
      </c>
      <c r="I4914" s="19" t="s">
        <v>963</v>
      </c>
      <c r="J4914" s="19">
        <v>0</v>
      </c>
      <c r="K4914" s="19" t="s">
        <v>553</v>
      </c>
      <c r="L4914" s="19">
        <v>2023</v>
      </c>
      <c r="M4914" s="20">
        <v>1</v>
      </c>
      <c r="N4914" s="19" t="s">
        <v>1798</v>
      </c>
      <c r="O4914" s="20">
        <v>0</v>
      </c>
      <c r="P4914" s="20">
        <v>0</v>
      </c>
      <c r="Q4914" s="20">
        <v>0</v>
      </c>
      <c r="R4914" s="21">
        <v>1</v>
      </c>
      <c r="S4914" s="20">
        <v>0</v>
      </c>
    </row>
    <row r="4915" spans="2:19" ht="15" customHeight="1" x14ac:dyDescent="0.25">
      <c r="B4915" s="2" t="str">
        <f t="shared" si="152"/>
        <v>NSG_Income Eligible_Multi-Family_Whole Building - Public Housing_Pipe Insulation_Steam Large Fitting_MF</v>
      </c>
      <c r="C4915" s="2" t="str">
        <f t="shared" si="153"/>
        <v>NSG_Income Eligible_Multi-Family_Whole Building - Public Housing_Pipe Insulation_Steam Large Fitting_MF_2024</v>
      </c>
      <c r="D4915" s="19" t="s">
        <v>1787</v>
      </c>
      <c r="E4915" s="19" t="s">
        <v>325</v>
      </c>
      <c r="F4915" s="19" t="s">
        <v>1422</v>
      </c>
      <c r="G4915" s="19" t="s">
        <v>1817</v>
      </c>
      <c r="H4915" s="19" t="s">
        <v>404</v>
      </c>
      <c r="I4915" s="19" t="s">
        <v>963</v>
      </c>
      <c r="J4915" s="19">
        <v>0</v>
      </c>
      <c r="K4915" s="19" t="s">
        <v>553</v>
      </c>
      <c r="L4915" s="19">
        <v>2024</v>
      </c>
      <c r="M4915" s="20">
        <v>1</v>
      </c>
      <c r="N4915" s="19" t="s">
        <v>1798</v>
      </c>
      <c r="O4915" s="20">
        <v>0</v>
      </c>
      <c r="P4915" s="20">
        <v>0</v>
      </c>
      <c r="Q4915" s="20">
        <v>0</v>
      </c>
      <c r="R4915" s="21">
        <v>1</v>
      </c>
      <c r="S4915" s="20">
        <v>0</v>
      </c>
    </row>
    <row r="4916" spans="2:19" ht="15" customHeight="1" x14ac:dyDescent="0.25">
      <c r="B4916" s="2" t="str">
        <f t="shared" si="152"/>
        <v>NSG_Income Eligible_Multi-Family_Whole Building - Public Housing_Pipe Insulation_Steam Large Fitting_MF</v>
      </c>
      <c r="C4916" s="2" t="str">
        <f t="shared" si="153"/>
        <v>NSG_Income Eligible_Multi-Family_Whole Building - Public Housing_Pipe Insulation_Steam Large Fitting_MF_2025</v>
      </c>
      <c r="D4916" s="19" t="s">
        <v>1787</v>
      </c>
      <c r="E4916" s="19" t="s">
        <v>325</v>
      </c>
      <c r="F4916" s="19" t="s">
        <v>1422</v>
      </c>
      <c r="G4916" s="19" t="s">
        <v>1817</v>
      </c>
      <c r="H4916" s="19" t="s">
        <v>404</v>
      </c>
      <c r="I4916" s="19" t="s">
        <v>963</v>
      </c>
      <c r="J4916" s="19">
        <v>0</v>
      </c>
      <c r="K4916" s="19" t="s">
        <v>553</v>
      </c>
      <c r="L4916" s="19">
        <v>2025</v>
      </c>
      <c r="M4916" s="20">
        <v>1</v>
      </c>
      <c r="N4916" s="19" t="s">
        <v>1798</v>
      </c>
      <c r="O4916" s="20">
        <v>0</v>
      </c>
      <c r="P4916" s="20">
        <v>0</v>
      </c>
      <c r="Q4916" s="20">
        <v>0</v>
      </c>
      <c r="R4916" s="21">
        <v>1</v>
      </c>
      <c r="S4916" s="20">
        <v>0</v>
      </c>
    </row>
    <row r="4917" spans="2:19" ht="15" customHeight="1" x14ac:dyDescent="0.25">
      <c r="B4917" s="2" t="str">
        <f t="shared" si="152"/>
        <v>NSG_Income Eligible_Multi-Family_Whole Building - Public Housing_Pipe Insulation_Steam X-Large Fitting_MF</v>
      </c>
      <c r="C4917" s="2" t="str">
        <f t="shared" si="153"/>
        <v>NSG_Income Eligible_Multi-Family_Whole Building - Public Housing_Pipe Insulation_Steam X-Large Fitting_MF_2022</v>
      </c>
      <c r="D4917" s="19" t="s">
        <v>1787</v>
      </c>
      <c r="E4917" s="19" t="s">
        <v>325</v>
      </c>
      <c r="F4917" s="19" t="s">
        <v>1422</v>
      </c>
      <c r="G4917" s="19" t="s">
        <v>1817</v>
      </c>
      <c r="H4917" s="19" t="s">
        <v>404</v>
      </c>
      <c r="I4917" s="19" t="s">
        <v>964</v>
      </c>
      <c r="J4917" s="19">
        <v>0</v>
      </c>
      <c r="K4917" s="19" t="s">
        <v>553</v>
      </c>
      <c r="L4917" s="19">
        <v>2022</v>
      </c>
      <c r="M4917" s="20">
        <v>1</v>
      </c>
      <c r="N4917" s="19" t="s">
        <v>1798</v>
      </c>
      <c r="O4917" s="20">
        <v>0</v>
      </c>
      <c r="P4917" s="20">
        <v>0</v>
      </c>
      <c r="Q4917" s="20">
        <v>0</v>
      </c>
      <c r="R4917" s="21">
        <v>1</v>
      </c>
      <c r="S4917" s="20">
        <v>0</v>
      </c>
    </row>
    <row r="4918" spans="2:19" ht="15" customHeight="1" x14ac:dyDescent="0.25">
      <c r="B4918" s="2" t="str">
        <f t="shared" si="152"/>
        <v>NSG_Income Eligible_Multi-Family_Whole Building - Public Housing_Pipe Insulation_Steam X-Large Fitting_MF</v>
      </c>
      <c r="C4918" s="2" t="str">
        <f t="shared" si="153"/>
        <v>NSG_Income Eligible_Multi-Family_Whole Building - Public Housing_Pipe Insulation_Steam X-Large Fitting_MF_2023</v>
      </c>
      <c r="D4918" s="19" t="s">
        <v>1787</v>
      </c>
      <c r="E4918" s="19" t="s">
        <v>325</v>
      </c>
      <c r="F4918" s="19" t="s">
        <v>1422</v>
      </c>
      <c r="G4918" s="19" t="s">
        <v>1817</v>
      </c>
      <c r="H4918" s="19" t="s">
        <v>404</v>
      </c>
      <c r="I4918" s="19" t="s">
        <v>964</v>
      </c>
      <c r="J4918" s="19">
        <v>0</v>
      </c>
      <c r="K4918" s="19" t="s">
        <v>553</v>
      </c>
      <c r="L4918" s="19">
        <v>2023</v>
      </c>
      <c r="M4918" s="20">
        <v>1</v>
      </c>
      <c r="N4918" s="19" t="s">
        <v>1798</v>
      </c>
      <c r="O4918" s="20">
        <v>0</v>
      </c>
      <c r="P4918" s="20">
        <v>0</v>
      </c>
      <c r="Q4918" s="20">
        <v>0</v>
      </c>
      <c r="R4918" s="21">
        <v>1</v>
      </c>
      <c r="S4918" s="20">
        <v>0</v>
      </c>
    </row>
    <row r="4919" spans="2:19" ht="15" customHeight="1" x14ac:dyDescent="0.25">
      <c r="B4919" s="2" t="str">
        <f t="shared" si="152"/>
        <v>NSG_Income Eligible_Multi-Family_Whole Building - Public Housing_Pipe Insulation_Steam X-Large Fitting_MF</v>
      </c>
      <c r="C4919" s="2" t="str">
        <f t="shared" si="153"/>
        <v>NSG_Income Eligible_Multi-Family_Whole Building - Public Housing_Pipe Insulation_Steam X-Large Fitting_MF_2024</v>
      </c>
      <c r="D4919" s="19" t="s">
        <v>1787</v>
      </c>
      <c r="E4919" s="19" t="s">
        <v>325</v>
      </c>
      <c r="F4919" s="19" t="s">
        <v>1422</v>
      </c>
      <c r="G4919" s="19" t="s">
        <v>1817</v>
      </c>
      <c r="H4919" s="19" t="s">
        <v>404</v>
      </c>
      <c r="I4919" s="19" t="s">
        <v>964</v>
      </c>
      <c r="J4919" s="19">
        <v>0</v>
      </c>
      <c r="K4919" s="19" t="s">
        <v>553</v>
      </c>
      <c r="L4919" s="19">
        <v>2024</v>
      </c>
      <c r="M4919" s="20">
        <v>1</v>
      </c>
      <c r="N4919" s="19" t="s">
        <v>1798</v>
      </c>
      <c r="O4919" s="20">
        <v>0</v>
      </c>
      <c r="P4919" s="20">
        <v>0</v>
      </c>
      <c r="Q4919" s="20">
        <v>0</v>
      </c>
      <c r="R4919" s="21">
        <v>1</v>
      </c>
      <c r="S4919" s="20">
        <v>0</v>
      </c>
    </row>
    <row r="4920" spans="2:19" ht="15" customHeight="1" x14ac:dyDescent="0.25">
      <c r="B4920" s="2" t="str">
        <f t="shared" si="152"/>
        <v>NSG_Income Eligible_Multi-Family_Whole Building - Public Housing_Pipe Insulation_Steam X-Large Fitting_MF</v>
      </c>
      <c r="C4920" s="2" t="str">
        <f t="shared" si="153"/>
        <v>NSG_Income Eligible_Multi-Family_Whole Building - Public Housing_Pipe Insulation_Steam X-Large Fitting_MF_2025</v>
      </c>
      <c r="D4920" s="19" t="s">
        <v>1787</v>
      </c>
      <c r="E4920" s="19" t="s">
        <v>325</v>
      </c>
      <c r="F4920" s="19" t="s">
        <v>1422</v>
      </c>
      <c r="G4920" s="19" t="s">
        <v>1817</v>
      </c>
      <c r="H4920" s="19" t="s">
        <v>404</v>
      </c>
      <c r="I4920" s="19" t="s">
        <v>964</v>
      </c>
      <c r="J4920" s="19">
        <v>0</v>
      </c>
      <c r="K4920" s="19" t="s">
        <v>553</v>
      </c>
      <c r="L4920" s="19">
        <v>2025</v>
      </c>
      <c r="M4920" s="20">
        <v>1</v>
      </c>
      <c r="N4920" s="19" t="s">
        <v>1798</v>
      </c>
      <c r="O4920" s="20">
        <v>0</v>
      </c>
      <c r="P4920" s="20">
        <v>0</v>
      </c>
      <c r="Q4920" s="20">
        <v>0</v>
      </c>
      <c r="R4920" s="21">
        <v>1</v>
      </c>
      <c r="S4920" s="20">
        <v>0</v>
      </c>
    </row>
    <row r="4921" spans="2:19" ht="15" customHeight="1" x14ac:dyDescent="0.25">
      <c r="B4921" s="2" t="str">
        <f t="shared" si="152"/>
        <v>NSG_Income Eligible_Multi-Family_Whole Building - Public Housing_Pipe Insulation_Steam Small Valve_MF</v>
      </c>
      <c r="C4921" s="2" t="str">
        <f t="shared" si="153"/>
        <v>NSG_Income Eligible_Multi-Family_Whole Building - Public Housing_Pipe Insulation_Steam Small Valve_MF_2022</v>
      </c>
      <c r="D4921" s="19" t="s">
        <v>1787</v>
      </c>
      <c r="E4921" s="19" t="s">
        <v>325</v>
      </c>
      <c r="F4921" s="19" t="s">
        <v>1422</v>
      </c>
      <c r="G4921" s="19" t="s">
        <v>1817</v>
      </c>
      <c r="H4921" s="19" t="s">
        <v>404</v>
      </c>
      <c r="I4921" s="19" t="s">
        <v>965</v>
      </c>
      <c r="J4921" s="19">
        <v>0</v>
      </c>
      <c r="K4921" s="19" t="s">
        <v>553</v>
      </c>
      <c r="L4921" s="19">
        <v>2022</v>
      </c>
      <c r="M4921" s="20">
        <v>1</v>
      </c>
      <c r="N4921" s="19" t="s">
        <v>1798</v>
      </c>
      <c r="O4921" s="20">
        <v>0</v>
      </c>
      <c r="P4921" s="20">
        <v>0</v>
      </c>
      <c r="Q4921" s="20">
        <v>0</v>
      </c>
      <c r="R4921" s="21">
        <v>1</v>
      </c>
      <c r="S4921" s="20">
        <v>0</v>
      </c>
    </row>
    <row r="4922" spans="2:19" ht="15" customHeight="1" x14ac:dyDescent="0.25">
      <c r="B4922" s="2" t="str">
        <f t="shared" si="152"/>
        <v>NSG_Income Eligible_Multi-Family_Whole Building - Public Housing_Pipe Insulation_Steam Small Valve_MF</v>
      </c>
      <c r="C4922" s="2" t="str">
        <f t="shared" si="153"/>
        <v>NSG_Income Eligible_Multi-Family_Whole Building - Public Housing_Pipe Insulation_Steam Small Valve_MF_2023</v>
      </c>
      <c r="D4922" s="19" t="s">
        <v>1787</v>
      </c>
      <c r="E4922" s="19" t="s">
        <v>325</v>
      </c>
      <c r="F4922" s="19" t="s">
        <v>1422</v>
      </c>
      <c r="G4922" s="19" t="s">
        <v>1817</v>
      </c>
      <c r="H4922" s="19" t="s">
        <v>404</v>
      </c>
      <c r="I4922" s="19" t="s">
        <v>965</v>
      </c>
      <c r="J4922" s="19">
        <v>0</v>
      </c>
      <c r="K4922" s="19" t="s">
        <v>553</v>
      </c>
      <c r="L4922" s="19">
        <v>2023</v>
      </c>
      <c r="M4922" s="20">
        <v>1</v>
      </c>
      <c r="N4922" s="19" t="s">
        <v>1798</v>
      </c>
      <c r="O4922" s="20">
        <v>0</v>
      </c>
      <c r="P4922" s="20">
        <v>0</v>
      </c>
      <c r="Q4922" s="20">
        <v>0</v>
      </c>
      <c r="R4922" s="21">
        <v>1</v>
      </c>
      <c r="S4922" s="20">
        <v>0</v>
      </c>
    </row>
    <row r="4923" spans="2:19" ht="15" customHeight="1" x14ac:dyDescent="0.25">
      <c r="B4923" s="2" t="str">
        <f t="shared" si="152"/>
        <v>NSG_Income Eligible_Multi-Family_Whole Building - Public Housing_Pipe Insulation_Steam Small Valve_MF</v>
      </c>
      <c r="C4923" s="2" t="str">
        <f t="shared" si="153"/>
        <v>NSG_Income Eligible_Multi-Family_Whole Building - Public Housing_Pipe Insulation_Steam Small Valve_MF_2024</v>
      </c>
      <c r="D4923" s="19" t="s">
        <v>1787</v>
      </c>
      <c r="E4923" s="19" t="s">
        <v>325</v>
      </c>
      <c r="F4923" s="19" t="s">
        <v>1422</v>
      </c>
      <c r="G4923" s="19" t="s">
        <v>1817</v>
      </c>
      <c r="H4923" s="19" t="s">
        <v>404</v>
      </c>
      <c r="I4923" s="19" t="s">
        <v>965</v>
      </c>
      <c r="J4923" s="19">
        <v>0</v>
      </c>
      <c r="K4923" s="19" t="s">
        <v>553</v>
      </c>
      <c r="L4923" s="19">
        <v>2024</v>
      </c>
      <c r="M4923" s="20">
        <v>1</v>
      </c>
      <c r="N4923" s="19" t="s">
        <v>1798</v>
      </c>
      <c r="O4923" s="20">
        <v>0</v>
      </c>
      <c r="P4923" s="20">
        <v>0</v>
      </c>
      <c r="Q4923" s="20">
        <v>0</v>
      </c>
      <c r="R4923" s="21">
        <v>1</v>
      </c>
      <c r="S4923" s="20">
        <v>0</v>
      </c>
    </row>
    <row r="4924" spans="2:19" ht="15" customHeight="1" x14ac:dyDescent="0.25">
      <c r="B4924" s="2" t="str">
        <f t="shared" si="152"/>
        <v>NSG_Income Eligible_Multi-Family_Whole Building - Public Housing_Pipe Insulation_Steam Small Valve_MF</v>
      </c>
      <c r="C4924" s="2" t="str">
        <f t="shared" si="153"/>
        <v>NSG_Income Eligible_Multi-Family_Whole Building - Public Housing_Pipe Insulation_Steam Small Valve_MF_2025</v>
      </c>
      <c r="D4924" s="19" t="s">
        <v>1787</v>
      </c>
      <c r="E4924" s="19" t="s">
        <v>325</v>
      </c>
      <c r="F4924" s="19" t="s">
        <v>1422</v>
      </c>
      <c r="G4924" s="19" t="s">
        <v>1817</v>
      </c>
      <c r="H4924" s="19" t="s">
        <v>404</v>
      </c>
      <c r="I4924" s="19" t="s">
        <v>965</v>
      </c>
      <c r="J4924" s="19">
        <v>0</v>
      </c>
      <c r="K4924" s="19" t="s">
        <v>553</v>
      </c>
      <c r="L4924" s="19">
        <v>2025</v>
      </c>
      <c r="M4924" s="20">
        <v>1</v>
      </c>
      <c r="N4924" s="19" t="s">
        <v>1798</v>
      </c>
      <c r="O4924" s="20">
        <v>0</v>
      </c>
      <c r="P4924" s="20">
        <v>0</v>
      </c>
      <c r="Q4924" s="20">
        <v>0</v>
      </c>
      <c r="R4924" s="21">
        <v>1</v>
      </c>
      <c r="S4924" s="20">
        <v>0</v>
      </c>
    </row>
    <row r="4925" spans="2:19" ht="15" customHeight="1" x14ac:dyDescent="0.25">
      <c r="B4925" s="2" t="str">
        <f t="shared" si="152"/>
        <v>NSG_Income Eligible_Multi-Family_Whole Building - Public Housing_Pipe Insulation_Steam Med Valve_MF</v>
      </c>
      <c r="C4925" s="2" t="str">
        <f t="shared" si="153"/>
        <v>NSG_Income Eligible_Multi-Family_Whole Building - Public Housing_Pipe Insulation_Steam Med Valve_MF_2022</v>
      </c>
      <c r="D4925" s="19" t="s">
        <v>1787</v>
      </c>
      <c r="E4925" s="19" t="s">
        <v>325</v>
      </c>
      <c r="F4925" s="19" t="s">
        <v>1422</v>
      </c>
      <c r="G4925" s="19" t="s">
        <v>1817</v>
      </c>
      <c r="H4925" s="19" t="s">
        <v>404</v>
      </c>
      <c r="I4925" s="19" t="s">
        <v>966</v>
      </c>
      <c r="J4925" s="19">
        <v>0</v>
      </c>
      <c r="K4925" s="19" t="s">
        <v>553</v>
      </c>
      <c r="L4925" s="19">
        <v>2022</v>
      </c>
      <c r="M4925" s="20">
        <v>1</v>
      </c>
      <c r="N4925" s="19" t="s">
        <v>1798</v>
      </c>
      <c r="O4925" s="20">
        <v>0</v>
      </c>
      <c r="P4925" s="20">
        <v>0</v>
      </c>
      <c r="Q4925" s="20">
        <v>0</v>
      </c>
      <c r="R4925" s="21">
        <v>1</v>
      </c>
      <c r="S4925" s="20">
        <v>0</v>
      </c>
    </row>
    <row r="4926" spans="2:19" ht="15" customHeight="1" x14ac:dyDescent="0.25">
      <c r="B4926" s="2" t="str">
        <f t="shared" si="152"/>
        <v>NSG_Income Eligible_Multi-Family_Whole Building - Public Housing_Pipe Insulation_Steam Med Valve_MF</v>
      </c>
      <c r="C4926" s="2" t="str">
        <f t="shared" si="153"/>
        <v>NSG_Income Eligible_Multi-Family_Whole Building - Public Housing_Pipe Insulation_Steam Med Valve_MF_2023</v>
      </c>
      <c r="D4926" s="19" t="s">
        <v>1787</v>
      </c>
      <c r="E4926" s="19" t="s">
        <v>325</v>
      </c>
      <c r="F4926" s="19" t="s">
        <v>1422</v>
      </c>
      <c r="G4926" s="19" t="s">
        <v>1817</v>
      </c>
      <c r="H4926" s="19" t="s">
        <v>404</v>
      </c>
      <c r="I4926" s="19" t="s">
        <v>966</v>
      </c>
      <c r="J4926" s="19">
        <v>0</v>
      </c>
      <c r="K4926" s="19" t="s">
        <v>553</v>
      </c>
      <c r="L4926" s="19">
        <v>2023</v>
      </c>
      <c r="M4926" s="20">
        <v>1</v>
      </c>
      <c r="N4926" s="19" t="s">
        <v>1798</v>
      </c>
      <c r="O4926" s="20">
        <v>0</v>
      </c>
      <c r="P4926" s="20">
        <v>0</v>
      </c>
      <c r="Q4926" s="20">
        <v>0</v>
      </c>
      <c r="R4926" s="21">
        <v>1</v>
      </c>
      <c r="S4926" s="20">
        <v>0</v>
      </c>
    </row>
    <row r="4927" spans="2:19" ht="15" customHeight="1" x14ac:dyDescent="0.25">
      <c r="B4927" s="2" t="str">
        <f t="shared" si="152"/>
        <v>NSG_Income Eligible_Multi-Family_Whole Building - Public Housing_Pipe Insulation_Steam Med Valve_MF</v>
      </c>
      <c r="C4927" s="2" t="str">
        <f t="shared" si="153"/>
        <v>NSG_Income Eligible_Multi-Family_Whole Building - Public Housing_Pipe Insulation_Steam Med Valve_MF_2024</v>
      </c>
      <c r="D4927" s="19" t="s">
        <v>1787</v>
      </c>
      <c r="E4927" s="19" t="s">
        <v>325</v>
      </c>
      <c r="F4927" s="19" t="s">
        <v>1422</v>
      </c>
      <c r="G4927" s="19" t="s">
        <v>1817</v>
      </c>
      <c r="H4927" s="19" t="s">
        <v>404</v>
      </c>
      <c r="I4927" s="19" t="s">
        <v>966</v>
      </c>
      <c r="J4927" s="19">
        <v>0</v>
      </c>
      <c r="K4927" s="19" t="s">
        <v>553</v>
      </c>
      <c r="L4927" s="19">
        <v>2024</v>
      </c>
      <c r="M4927" s="20">
        <v>1</v>
      </c>
      <c r="N4927" s="19" t="s">
        <v>1798</v>
      </c>
      <c r="O4927" s="20">
        <v>0</v>
      </c>
      <c r="P4927" s="20">
        <v>0</v>
      </c>
      <c r="Q4927" s="20">
        <v>0</v>
      </c>
      <c r="R4927" s="21">
        <v>1</v>
      </c>
      <c r="S4927" s="20">
        <v>0</v>
      </c>
    </row>
    <row r="4928" spans="2:19" ht="15" customHeight="1" x14ac:dyDescent="0.25">
      <c r="B4928" s="2" t="str">
        <f t="shared" si="152"/>
        <v>NSG_Income Eligible_Multi-Family_Whole Building - Public Housing_Pipe Insulation_Steam Med Valve_MF</v>
      </c>
      <c r="C4928" s="2" t="str">
        <f t="shared" si="153"/>
        <v>NSG_Income Eligible_Multi-Family_Whole Building - Public Housing_Pipe Insulation_Steam Med Valve_MF_2025</v>
      </c>
      <c r="D4928" s="19" t="s">
        <v>1787</v>
      </c>
      <c r="E4928" s="19" t="s">
        <v>325</v>
      </c>
      <c r="F4928" s="19" t="s">
        <v>1422</v>
      </c>
      <c r="G4928" s="19" t="s">
        <v>1817</v>
      </c>
      <c r="H4928" s="19" t="s">
        <v>404</v>
      </c>
      <c r="I4928" s="19" t="s">
        <v>966</v>
      </c>
      <c r="J4928" s="19">
        <v>0</v>
      </c>
      <c r="K4928" s="19" t="s">
        <v>553</v>
      </c>
      <c r="L4928" s="19">
        <v>2025</v>
      </c>
      <c r="M4928" s="20">
        <v>1</v>
      </c>
      <c r="N4928" s="19" t="s">
        <v>1798</v>
      </c>
      <c r="O4928" s="20">
        <v>0</v>
      </c>
      <c r="P4928" s="20">
        <v>0</v>
      </c>
      <c r="Q4928" s="20">
        <v>0</v>
      </c>
      <c r="R4928" s="21">
        <v>1</v>
      </c>
      <c r="S4928" s="20">
        <v>0</v>
      </c>
    </row>
    <row r="4929" spans="2:19" ht="15" customHeight="1" x14ac:dyDescent="0.25">
      <c r="B4929" s="2" t="str">
        <f t="shared" si="152"/>
        <v>NSG_Income Eligible_Multi-Family_Whole Building - Public Housing_Pipe Insulation_Steam Large Valve_MF</v>
      </c>
      <c r="C4929" s="2" t="str">
        <f t="shared" si="153"/>
        <v>NSG_Income Eligible_Multi-Family_Whole Building - Public Housing_Pipe Insulation_Steam Large Valve_MF_2022</v>
      </c>
      <c r="D4929" s="19" t="s">
        <v>1787</v>
      </c>
      <c r="E4929" s="19" t="s">
        <v>325</v>
      </c>
      <c r="F4929" s="19" t="s">
        <v>1422</v>
      </c>
      <c r="G4929" s="19" t="s">
        <v>1817</v>
      </c>
      <c r="H4929" s="19" t="s">
        <v>404</v>
      </c>
      <c r="I4929" s="19" t="s">
        <v>967</v>
      </c>
      <c r="J4929" s="19">
        <v>0</v>
      </c>
      <c r="K4929" s="19" t="s">
        <v>553</v>
      </c>
      <c r="L4929" s="19">
        <v>2022</v>
      </c>
      <c r="M4929" s="20">
        <v>1</v>
      </c>
      <c r="N4929" s="19" t="s">
        <v>1798</v>
      </c>
      <c r="O4929" s="20">
        <v>0</v>
      </c>
      <c r="P4929" s="20">
        <v>0</v>
      </c>
      <c r="Q4929" s="20">
        <v>0</v>
      </c>
      <c r="R4929" s="21">
        <v>1</v>
      </c>
      <c r="S4929" s="20">
        <v>0</v>
      </c>
    </row>
    <row r="4930" spans="2:19" ht="15" customHeight="1" x14ac:dyDescent="0.25">
      <c r="B4930" s="2" t="str">
        <f t="shared" si="152"/>
        <v>NSG_Income Eligible_Multi-Family_Whole Building - Public Housing_Pipe Insulation_Steam Large Valve_MF</v>
      </c>
      <c r="C4930" s="2" t="str">
        <f t="shared" si="153"/>
        <v>NSG_Income Eligible_Multi-Family_Whole Building - Public Housing_Pipe Insulation_Steam Large Valve_MF_2023</v>
      </c>
      <c r="D4930" s="19" t="s">
        <v>1787</v>
      </c>
      <c r="E4930" s="19" t="s">
        <v>325</v>
      </c>
      <c r="F4930" s="19" t="s">
        <v>1422</v>
      </c>
      <c r="G4930" s="19" t="s">
        <v>1817</v>
      </c>
      <c r="H4930" s="19" t="s">
        <v>404</v>
      </c>
      <c r="I4930" s="19" t="s">
        <v>967</v>
      </c>
      <c r="J4930" s="19">
        <v>0</v>
      </c>
      <c r="K4930" s="19" t="s">
        <v>553</v>
      </c>
      <c r="L4930" s="19">
        <v>2023</v>
      </c>
      <c r="M4930" s="20">
        <v>1</v>
      </c>
      <c r="N4930" s="19" t="s">
        <v>1798</v>
      </c>
      <c r="O4930" s="20">
        <v>0</v>
      </c>
      <c r="P4930" s="20">
        <v>0</v>
      </c>
      <c r="Q4930" s="20">
        <v>0</v>
      </c>
      <c r="R4930" s="21">
        <v>1</v>
      </c>
      <c r="S4930" s="20">
        <v>0</v>
      </c>
    </row>
    <row r="4931" spans="2:19" ht="15" customHeight="1" x14ac:dyDescent="0.25">
      <c r="B4931" s="2" t="str">
        <f t="shared" si="152"/>
        <v>NSG_Income Eligible_Multi-Family_Whole Building - Public Housing_Pipe Insulation_Steam Large Valve_MF</v>
      </c>
      <c r="C4931" s="2" t="str">
        <f t="shared" si="153"/>
        <v>NSG_Income Eligible_Multi-Family_Whole Building - Public Housing_Pipe Insulation_Steam Large Valve_MF_2024</v>
      </c>
      <c r="D4931" s="19" t="s">
        <v>1787</v>
      </c>
      <c r="E4931" s="19" t="s">
        <v>325</v>
      </c>
      <c r="F4931" s="19" t="s">
        <v>1422</v>
      </c>
      <c r="G4931" s="19" t="s">
        <v>1817</v>
      </c>
      <c r="H4931" s="19" t="s">
        <v>404</v>
      </c>
      <c r="I4931" s="19" t="s">
        <v>967</v>
      </c>
      <c r="J4931" s="19">
        <v>0</v>
      </c>
      <c r="K4931" s="19" t="s">
        <v>553</v>
      </c>
      <c r="L4931" s="19">
        <v>2024</v>
      </c>
      <c r="M4931" s="20">
        <v>1</v>
      </c>
      <c r="N4931" s="19" t="s">
        <v>1798</v>
      </c>
      <c r="O4931" s="20">
        <v>0</v>
      </c>
      <c r="P4931" s="20">
        <v>0</v>
      </c>
      <c r="Q4931" s="20">
        <v>0</v>
      </c>
      <c r="R4931" s="21">
        <v>1</v>
      </c>
      <c r="S4931" s="20">
        <v>0</v>
      </c>
    </row>
    <row r="4932" spans="2:19" ht="15" customHeight="1" x14ac:dyDescent="0.25">
      <c r="B4932" s="2" t="str">
        <f t="shared" si="152"/>
        <v>NSG_Income Eligible_Multi-Family_Whole Building - Public Housing_Pipe Insulation_Steam Large Valve_MF</v>
      </c>
      <c r="C4932" s="2" t="str">
        <f t="shared" si="153"/>
        <v>NSG_Income Eligible_Multi-Family_Whole Building - Public Housing_Pipe Insulation_Steam Large Valve_MF_2025</v>
      </c>
      <c r="D4932" s="19" t="s">
        <v>1787</v>
      </c>
      <c r="E4932" s="19" t="s">
        <v>325</v>
      </c>
      <c r="F4932" s="19" t="s">
        <v>1422</v>
      </c>
      <c r="G4932" s="19" t="s">
        <v>1817</v>
      </c>
      <c r="H4932" s="19" t="s">
        <v>404</v>
      </c>
      <c r="I4932" s="19" t="s">
        <v>967</v>
      </c>
      <c r="J4932" s="19">
        <v>0</v>
      </c>
      <c r="K4932" s="19" t="s">
        <v>553</v>
      </c>
      <c r="L4932" s="19">
        <v>2025</v>
      </c>
      <c r="M4932" s="20">
        <v>1</v>
      </c>
      <c r="N4932" s="19" t="s">
        <v>1798</v>
      </c>
      <c r="O4932" s="20">
        <v>0</v>
      </c>
      <c r="P4932" s="20">
        <v>0</v>
      </c>
      <c r="Q4932" s="20">
        <v>0</v>
      </c>
      <c r="R4932" s="21">
        <v>1</v>
      </c>
      <c r="S4932" s="20">
        <v>0</v>
      </c>
    </row>
    <row r="4933" spans="2:19" ht="15" customHeight="1" x14ac:dyDescent="0.25">
      <c r="B4933" s="2" t="str">
        <f t="shared" si="152"/>
        <v>NSG_Income Eligible_Multi-Family_Whole Building - Public Housing_Pipe Insulation_Steam X-Large Valve_MF</v>
      </c>
      <c r="C4933" s="2" t="str">
        <f t="shared" si="153"/>
        <v>NSG_Income Eligible_Multi-Family_Whole Building - Public Housing_Pipe Insulation_Steam X-Large Valve_MF_2022</v>
      </c>
      <c r="D4933" s="19" t="s">
        <v>1787</v>
      </c>
      <c r="E4933" s="19" t="s">
        <v>325</v>
      </c>
      <c r="F4933" s="19" t="s">
        <v>1422</v>
      </c>
      <c r="G4933" s="19" t="s">
        <v>1817</v>
      </c>
      <c r="H4933" s="19" t="s">
        <v>404</v>
      </c>
      <c r="I4933" s="19" t="s">
        <v>968</v>
      </c>
      <c r="J4933" s="19">
        <v>0</v>
      </c>
      <c r="K4933" s="19" t="s">
        <v>553</v>
      </c>
      <c r="L4933" s="19">
        <v>2022</v>
      </c>
      <c r="M4933" s="20">
        <v>1</v>
      </c>
      <c r="N4933" s="19" t="s">
        <v>1798</v>
      </c>
      <c r="O4933" s="20">
        <v>0</v>
      </c>
      <c r="P4933" s="20">
        <v>0</v>
      </c>
      <c r="Q4933" s="20">
        <v>0</v>
      </c>
      <c r="R4933" s="21">
        <v>1</v>
      </c>
      <c r="S4933" s="20">
        <v>0</v>
      </c>
    </row>
    <row r="4934" spans="2:19" ht="15" customHeight="1" x14ac:dyDescent="0.25">
      <c r="B4934" s="2" t="str">
        <f t="shared" ref="B4934:B4997" si="154">D4934&amp;"_"&amp;E4934&amp;"_"&amp;F4934&amp;"_"&amp;G4934&amp;"_"&amp;H4934&amp;"_"&amp;I4934&amp;"_"&amp;K4934</f>
        <v>NSG_Income Eligible_Multi-Family_Whole Building - Public Housing_Pipe Insulation_Steam X-Large Valve_MF</v>
      </c>
      <c r="C4934" s="2" t="str">
        <f t="shared" ref="C4934:C4997" si="155">D4934&amp;"_"&amp;E4934&amp;"_"&amp;F4934&amp;"_"&amp;G4934&amp;"_"&amp;H4934&amp;"_"&amp;I4934&amp;"_"&amp;K4934&amp;"_"&amp;L4934</f>
        <v>NSG_Income Eligible_Multi-Family_Whole Building - Public Housing_Pipe Insulation_Steam X-Large Valve_MF_2023</v>
      </c>
      <c r="D4934" s="19" t="s">
        <v>1787</v>
      </c>
      <c r="E4934" s="19" t="s">
        <v>325</v>
      </c>
      <c r="F4934" s="19" t="s">
        <v>1422</v>
      </c>
      <c r="G4934" s="19" t="s">
        <v>1817</v>
      </c>
      <c r="H4934" s="19" t="s">
        <v>404</v>
      </c>
      <c r="I4934" s="19" t="s">
        <v>968</v>
      </c>
      <c r="J4934" s="19">
        <v>0</v>
      </c>
      <c r="K4934" s="19" t="s">
        <v>553</v>
      </c>
      <c r="L4934" s="19">
        <v>2023</v>
      </c>
      <c r="M4934" s="20">
        <v>1</v>
      </c>
      <c r="N4934" s="19" t="s">
        <v>1798</v>
      </c>
      <c r="O4934" s="20">
        <v>0</v>
      </c>
      <c r="P4934" s="20">
        <v>0</v>
      </c>
      <c r="Q4934" s="20">
        <v>0</v>
      </c>
      <c r="R4934" s="21">
        <v>1</v>
      </c>
      <c r="S4934" s="20">
        <v>0</v>
      </c>
    </row>
    <row r="4935" spans="2:19" ht="15" customHeight="1" x14ac:dyDescent="0.25">
      <c r="B4935" s="2" t="str">
        <f t="shared" si="154"/>
        <v>NSG_Income Eligible_Multi-Family_Whole Building - Public Housing_Pipe Insulation_Steam X-Large Valve_MF</v>
      </c>
      <c r="C4935" s="2" t="str">
        <f t="shared" si="155"/>
        <v>NSG_Income Eligible_Multi-Family_Whole Building - Public Housing_Pipe Insulation_Steam X-Large Valve_MF_2024</v>
      </c>
      <c r="D4935" s="19" t="s">
        <v>1787</v>
      </c>
      <c r="E4935" s="19" t="s">
        <v>325</v>
      </c>
      <c r="F4935" s="19" t="s">
        <v>1422</v>
      </c>
      <c r="G4935" s="19" t="s">
        <v>1817</v>
      </c>
      <c r="H4935" s="19" t="s">
        <v>404</v>
      </c>
      <c r="I4935" s="19" t="s">
        <v>968</v>
      </c>
      <c r="J4935" s="19">
        <v>0</v>
      </c>
      <c r="K4935" s="19" t="s">
        <v>553</v>
      </c>
      <c r="L4935" s="19">
        <v>2024</v>
      </c>
      <c r="M4935" s="20">
        <v>1</v>
      </c>
      <c r="N4935" s="19" t="s">
        <v>1798</v>
      </c>
      <c r="O4935" s="20">
        <v>0</v>
      </c>
      <c r="P4935" s="20">
        <v>0</v>
      </c>
      <c r="Q4935" s="20">
        <v>0</v>
      </c>
      <c r="R4935" s="21">
        <v>1</v>
      </c>
      <c r="S4935" s="20">
        <v>0</v>
      </c>
    </row>
    <row r="4936" spans="2:19" ht="15" customHeight="1" x14ac:dyDescent="0.25">
      <c r="B4936" s="2" t="str">
        <f t="shared" si="154"/>
        <v>NSG_Income Eligible_Multi-Family_Whole Building - Public Housing_Pipe Insulation_Steam X-Large Valve_MF</v>
      </c>
      <c r="C4936" s="2" t="str">
        <f t="shared" si="155"/>
        <v>NSG_Income Eligible_Multi-Family_Whole Building - Public Housing_Pipe Insulation_Steam X-Large Valve_MF_2025</v>
      </c>
      <c r="D4936" s="19" t="s">
        <v>1787</v>
      </c>
      <c r="E4936" s="19" t="s">
        <v>325</v>
      </c>
      <c r="F4936" s="19" t="s">
        <v>1422</v>
      </c>
      <c r="G4936" s="19" t="s">
        <v>1817</v>
      </c>
      <c r="H4936" s="19" t="s">
        <v>404</v>
      </c>
      <c r="I4936" s="19" t="s">
        <v>968</v>
      </c>
      <c r="J4936" s="19">
        <v>0</v>
      </c>
      <c r="K4936" s="19" t="s">
        <v>553</v>
      </c>
      <c r="L4936" s="19">
        <v>2025</v>
      </c>
      <c r="M4936" s="20">
        <v>1</v>
      </c>
      <c r="N4936" s="19" t="s">
        <v>1798</v>
      </c>
      <c r="O4936" s="20">
        <v>0</v>
      </c>
      <c r="P4936" s="20">
        <v>0</v>
      </c>
      <c r="Q4936" s="20">
        <v>0</v>
      </c>
      <c r="R4936" s="21">
        <v>1</v>
      </c>
      <c r="S4936" s="20">
        <v>0</v>
      </c>
    </row>
    <row r="4937" spans="2:19" ht="15" customHeight="1" x14ac:dyDescent="0.25">
      <c r="B4937" s="2" t="str">
        <f t="shared" si="154"/>
        <v>NSG_Income Eligible_Multi-Family_Whole Building - Public Housing_Steam Boiler_&gt;=300MBH, &lt;1,500, &gt;=81% AFUE_MF</v>
      </c>
      <c r="C4937" s="2" t="str">
        <f t="shared" si="155"/>
        <v>NSG_Income Eligible_Multi-Family_Whole Building - Public Housing_Steam Boiler_&gt;=300MBH, &lt;1,500, &gt;=81% AFUE_MF_2022</v>
      </c>
      <c r="D4937" s="19" t="s">
        <v>1787</v>
      </c>
      <c r="E4937" s="19" t="s">
        <v>325</v>
      </c>
      <c r="F4937" s="19" t="s">
        <v>1422</v>
      </c>
      <c r="G4937" s="19" t="s">
        <v>1817</v>
      </c>
      <c r="H4937" s="19" t="s">
        <v>938</v>
      </c>
      <c r="I4937" s="19" t="s">
        <v>1300</v>
      </c>
      <c r="J4937" s="19" t="s">
        <v>942</v>
      </c>
      <c r="K4937" s="19" t="s">
        <v>553</v>
      </c>
      <c r="L4937" s="19">
        <v>2022</v>
      </c>
      <c r="M4937" s="20">
        <v>450</v>
      </c>
      <c r="N4937" s="19" t="s">
        <v>1798</v>
      </c>
      <c r="O4937" s="20">
        <v>0</v>
      </c>
      <c r="P4937" s="20">
        <v>0</v>
      </c>
      <c r="Q4937" s="20">
        <v>0</v>
      </c>
      <c r="R4937" s="21">
        <v>1</v>
      </c>
      <c r="S4937" s="20">
        <v>0</v>
      </c>
    </row>
    <row r="4938" spans="2:19" ht="15" customHeight="1" x14ac:dyDescent="0.25">
      <c r="B4938" s="2" t="str">
        <f t="shared" si="154"/>
        <v>NSG_Income Eligible_Multi-Family_Whole Building - Public Housing_Steam Boiler_&gt;=300MBH, &lt;1,500, &gt;=81% AFUE_MF</v>
      </c>
      <c r="C4938" s="2" t="str">
        <f t="shared" si="155"/>
        <v>NSG_Income Eligible_Multi-Family_Whole Building - Public Housing_Steam Boiler_&gt;=300MBH, &lt;1,500, &gt;=81% AFUE_MF_2023</v>
      </c>
      <c r="D4938" s="19" t="s">
        <v>1787</v>
      </c>
      <c r="E4938" s="19" t="s">
        <v>325</v>
      </c>
      <c r="F4938" s="19" t="s">
        <v>1422</v>
      </c>
      <c r="G4938" s="19" t="s">
        <v>1817</v>
      </c>
      <c r="H4938" s="19" t="s">
        <v>938</v>
      </c>
      <c r="I4938" s="19" t="s">
        <v>1300</v>
      </c>
      <c r="J4938" s="19" t="s">
        <v>942</v>
      </c>
      <c r="K4938" s="19" t="s">
        <v>553</v>
      </c>
      <c r="L4938" s="19">
        <v>2023</v>
      </c>
      <c r="M4938" s="20">
        <v>450</v>
      </c>
      <c r="N4938" s="19" t="s">
        <v>1798</v>
      </c>
      <c r="O4938" s="20">
        <v>0</v>
      </c>
      <c r="P4938" s="20">
        <v>0</v>
      </c>
      <c r="Q4938" s="20">
        <v>0</v>
      </c>
      <c r="R4938" s="21">
        <v>1</v>
      </c>
      <c r="S4938" s="20">
        <v>0</v>
      </c>
    </row>
    <row r="4939" spans="2:19" ht="15" customHeight="1" x14ac:dyDescent="0.25">
      <c r="B4939" s="2" t="str">
        <f t="shared" si="154"/>
        <v>NSG_Income Eligible_Multi-Family_Whole Building - Public Housing_Steam Boiler_&gt;=300MBH, &lt;1,500, &gt;=81% AFUE_MF</v>
      </c>
      <c r="C4939" s="2" t="str">
        <f t="shared" si="155"/>
        <v>NSG_Income Eligible_Multi-Family_Whole Building - Public Housing_Steam Boiler_&gt;=300MBH, &lt;1,500, &gt;=81% AFUE_MF_2024</v>
      </c>
      <c r="D4939" s="19" t="s">
        <v>1787</v>
      </c>
      <c r="E4939" s="19" t="s">
        <v>325</v>
      </c>
      <c r="F4939" s="19" t="s">
        <v>1422</v>
      </c>
      <c r="G4939" s="19" t="s">
        <v>1817</v>
      </c>
      <c r="H4939" s="19" t="s">
        <v>938</v>
      </c>
      <c r="I4939" s="19" t="s">
        <v>1300</v>
      </c>
      <c r="J4939" s="19" t="s">
        <v>942</v>
      </c>
      <c r="K4939" s="19" t="s">
        <v>553</v>
      </c>
      <c r="L4939" s="19">
        <v>2024</v>
      </c>
      <c r="M4939" s="20">
        <v>450</v>
      </c>
      <c r="N4939" s="19" t="s">
        <v>1798</v>
      </c>
      <c r="O4939" s="20">
        <v>0</v>
      </c>
      <c r="P4939" s="20">
        <v>0</v>
      </c>
      <c r="Q4939" s="20">
        <v>0</v>
      </c>
      <c r="R4939" s="21">
        <v>1</v>
      </c>
      <c r="S4939" s="20">
        <v>0</v>
      </c>
    </row>
    <row r="4940" spans="2:19" ht="15" customHeight="1" x14ac:dyDescent="0.25">
      <c r="B4940" s="2" t="str">
        <f t="shared" si="154"/>
        <v>NSG_Income Eligible_Multi-Family_Whole Building - Public Housing_Steam Boiler_&gt;=300MBH, &lt;1,500, &gt;=81% AFUE_MF</v>
      </c>
      <c r="C4940" s="2" t="str">
        <f t="shared" si="155"/>
        <v>NSG_Income Eligible_Multi-Family_Whole Building - Public Housing_Steam Boiler_&gt;=300MBH, &lt;1,500, &gt;=81% AFUE_MF_2025</v>
      </c>
      <c r="D4940" s="19" t="s">
        <v>1787</v>
      </c>
      <c r="E4940" s="19" t="s">
        <v>325</v>
      </c>
      <c r="F4940" s="19" t="s">
        <v>1422</v>
      </c>
      <c r="G4940" s="19" t="s">
        <v>1817</v>
      </c>
      <c r="H4940" s="19" t="s">
        <v>938</v>
      </c>
      <c r="I4940" s="19" t="s">
        <v>1300</v>
      </c>
      <c r="J4940" s="19" t="s">
        <v>942</v>
      </c>
      <c r="K4940" s="19" t="s">
        <v>553</v>
      </c>
      <c r="L4940" s="19">
        <v>2025</v>
      </c>
      <c r="M4940" s="20">
        <v>450</v>
      </c>
      <c r="N4940" s="19" t="s">
        <v>1798</v>
      </c>
      <c r="O4940" s="20">
        <v>0</v>
      </c>
      <c r="P4940" s="20">
        <v>0</v>
      </c>
      <c r="Q4940" s="20">
        <v>0</v>
      </c>
      <c r="R4940" s="21">
        <v>1</v>
      </c>
      <c r="S4940" s="20">
        <v>0</v>
      </c>
    </row>
    <row r="4941" spans="2:19" ht="15" customHeight="1" x14ac:dyDescent="0.25">
      <c r="B4941" s="2" t="str">
        <f t="shared" si="154"/>
        <v>NSG_Income Eligible_Multi-Family_Whole Building - Public Housing_Steam Boiler_ &gt;=1500MBH, &gt;=82% TE_MF</v>
      </c>
      <c r="C4941" s="2" t="str">
        <f t="shared" si="155"/>
        <v>NSG_Income Eligible_Multi-Family_Whole Building - Public Housing_Steam Boiler_ &gt;=1500MBH, &gt;=82% TE_MF_2022</v>
      </c>
      <c r="D4941" s="19" t="s">
        <v>1787</v>
      </c>
      <c r="E4941" s="19" t="s">
        <v>325</v>
      </c>
      <c r="F4941" s="19" t="s">
        <v>1422</v>
      </c>
      <c r="G4941" s="19" t="s">
        <v>1817</v>
      </c>
      <c r="H4941" s="19" t="s">
        <v>938</v>
      </c>
      <c r="I4941" s="19" t="s">
        <v>939</v>
      </c>
      <c r="J4941" s="19" t="s">
        <v>942</v>
      </c>
      <c r="K4941" s="19" t="s">
        <v>553</v>
      </c>
      <c r="L4941" s="19">
        <v>2022</v>
      </c>
      <c r="M4941" s="20">
        <v>1500</v>
      </c>
      <c r="N4941" s="19" t="s">
        <v>1798</v>
      </c>
      <c r="O4941" s="20">
        <v>0</v>
      </c>
      <c r="P4941" s="20">
        <v>0</v>
      </c>
      <c r="Q4941" s="20">
        <v>0</v>
      </c>
      <c r="R4941" s="21">
        <v>1</v>
      </c>
      <c r="S4941" s="20">
        <v>0</v>
      </c>
    </row>
    <row r="4942" spans="2:19" ht="15" customHeight="1" x14ac:dyDescent="0.25">
      <c r="B4942" s="2" t="str">
        <f t="shared" si="154"/>
        <v>NSG_Income Eligible_Multi-Family_Whole Building - Public Housing_Steam Boiler_ &gt;=1500MBH, &gt;=82% TE_MF</v>
      </c>
      <c r="C4942" s="2" t="str">
        <f t="shared" si="155"/>
        <v>NSG_Income Eligible_Multi-Family_Whole Building - Public Housing_Steam Boiler_ &gt;=1500MBH, &gt;=82% TE_MF_2023</v>
      </c>
      <c r="D4942" s="19" t="s">
        <v>1787</v>
      </c>
      <c r="E4942" s="19" t="s">
        <v>325</v>
      </c>
      <c r="F4942" s="19" t="s">
        <v>1422</v>
      </c>
      <c r="G4942" s="19" t="s">
        <v>1817</v>
      </c>
      <c r="H4942" s="19" t="s">
        <v>938</v>
      </c>
      <c r="I4942" s="19" t="s">
        <v>939</v>
      </c>
      <c r="J4942" s="19" t="s">
        <v>942</v>
      </c>
      <c r="K4942" s="19" t="s">
        <v>553</v>
      </c>
      <c r="L4942" s="19">
        <v>2023</v>
      </c>
      <c r="M4942" s="20">
        <v>1500</v>
      </c>
      <c r="N4942" s="19" t="s">
        <v>1798</v>
      </c>
      <c r="O4942" s="20">
        <v>0</v>
      </c>
      <c r="P4942" s="20">
        <v>0</v>
      </c>
      <c r="Q4942" s="20">
        <v>0</v>
      </c>
      <c r="R4942" s="21">
        <v>1</v>
      </c>
      <c r="S4942" s="20">
        <v>0</v>
      </c>
    </row>
    <row r="4943" spans="2:19" ht="15" customHeight="1" x14ac:dyDescent="0.25">
      <c r="B4943" s="2" t="str">
        <f t="shared" si="154"/>
        <v>NSG_Income Eligible_Multi-Family_Whole Building - Public Housing_Steam Boiler_ &gt;=1500MBH, &gt;=82% TE_MF</v>
      </c>
      <c r="C4943" s="2" t="str">
        <f t="shared" si="155"/>
        <v>NSG_Income Eligible_Multi-Family_Whole Building - Public Housing_Steam Boiler_ &gt;=1500MBH, &gt;=82% TE_MF_2024</v>
      </c>
      <c r="D4943" s="19" t="s">
        <v>1787</v>
      </c>
      <c r="E4943" s="19" t="s">
        <v>325</v>
      </c>
      <c r="F4943" s="19" t="s">
        <v>1422</v>
      </c>
      <c r="G4943" s="19" t="s">
        <v>1817</v>
      </c>
      <c r="H4943" s="19" t="s">
        <v>938</v>
      </c>
      <c r="I4943" s="19" t="s">
        <v>939</v>
      </c>
      <c r="J4943" s="19" t="s">
        <v>942</v>
      </c>
      <c r="K4943" s="19" t="s">
        <v>553</v>
      </c>
      <c r="L4943" s="19">
        <v>2024</v>
      </c>
      <c r="M4943" s="20">
        <v>1500</v>
      </c>
      <c r="N4943" s="19" t="s">
        <v>1798</v>
      </c>
      <c r="O4943" s="20">
        <v>0</v>
      </c>
      <c r="P4943" s="20">
        <v>0</v>
      </c>
      <c r="Q4943" s="20">
        <v>0</v>
      </c>
      <c r="R4943" s="21">
        <v>1</v>
      </c>
      <c r="S4943" s="20">
        <v>0</v>
      </c>
    </row>
    <row r="4944" spans="2:19" ht="15" customHeight="1" x14ac:dyDescent="0.25">
      <c r="B4944" s="2" t="str">
        <f t="shared" si="154"/>
        <v>NSG_Income Eligible_Multi-Family_Whole Building - Public Housing_Steam Boiler_ &gt;=1500MBH, &gt;=82% TE_MF</v>
      </c>
      <c r="C4944" s="2" t="str">
        <f t="shared" si="155"/>
        <v>NSG_Income Eligible_Multi-Family_Whole Building - Public Housing_Steam Boiler_ &gt;=1500MBH, &gt;=82% TE_MF_2025</v>
      </c>
      <c r="D4944" s="19" t="s">
        <v>1787</v>
      </c>
      <c r="E4944" s="19" t="s">
        <v>325</v>
      </c>
      <c r="F4944" s="19" t="s">
        <v>1422</v>
      </c>
      <c r="G4944" s="19" t="s">
        <v>1817</v>
      </c>
      <c r="H4944" s="19" t="s">
        <v>938</v>
      </c>
      <c r="I4944" s="19" t="s">
        <v>939</v>
      </c>
      <c r="J4944" s="19" t="s">
        <v>942</v>
      </c>
      <c r="K4944" s="19" t="s">
        <v>553</v>
      </c>
      <c r="L4944" s="19">
        <v>2025</v>
      </c>
      <c r="M4944" s="20">
        <v>1500</v>
      </c>
      <c r="N4944" s="19" t="s">
        <v>1798</v>
      </c>
      <c r="O4944" s="20">
        <v>0</v>
      </c>
      <c r="P4944" s="20">
        <v>0</v>
      </c>
      <c r="Q4944" s="20">
        <v>0</v>
      </c>
      <c r="R4944" s="21">
        <v>1</v>
      </c>
      <c r="S4944" s="20">
        <v>0</v>
      </c>
    </row>
    <row r="4945" spans="2:19" ht="15" customHeight="1" x14ac:dyDescent="0.25">
      <c r="B4945" s="2" t="str">
        <f t="shared" si="154"/>
        <v>NSG_Income Eligible_Multi-Family_Whole Building - Public Housing_Steam Boiler Averaging Controls_0_MF</v>
      </c>
      <c r="C4945" s="2" t="str">
        <f t="shared" si="155"/>
        <v>NSG_Income Eligible_Multi-Family_Whole Building - Public Housing_Steam Boiler Averaging Controls_0_MF_2022</v>
      </c>
      <c r="D4945" s="19" t="s">
        <v>1787</v>
      </c>
      <c r="E4945" s="19" t="s">
        <v>325</v>
      </c>
      <c r="F4945" s="19" t="s">
        <v>1422</v>
      </c>
      <c r="G4945" s="19" t="s">
        <v>1817</v>
      </c>
      <c r="H4945" s="19" t="s">
        <v>934</v>
      </c>
      <c r="I4945" s="19">
        <v>0</v>
      </c>
      <c r="J4945" s="19" t="s">
        <v>937</v>
      </c>
      <c r="K4945" s="19" t="s">
        <v>553</v>
      </c>
      <c r="L4945" s="19">
        <v>2022</v>
      </c>
      <c r="M4945" s="20">
        <v>1</v>
      </c>
      <c r="N4945" s="19" t="s">
        <v>1798</v>
      </c>
      <c r="O4945" s="20">
        <v>0</v>
      </c>
      <c r="P4945" s="20">
        <v>0</v>
      </c>
      <c r="Q4945" s="20">
        <v>0</v>
      </c>
      <c r="R4945" s="21">
        <v>1</v>
      </c>
      <c r="S4945" s="20">
        <v>0</v>
      </c>
    </row>
    <row r="4946" spans="2:19" ht="15" customHeight="1" x14ac:dyDescent="0.25">
      <c r="B4946" s="2" t="str">
        <f t="shared" si="154"/>
        <v>NSG_Income Eligible_Multi-Family_Whole Building - Public Housing_Steam Boiler Averaging Controls_0_MF</v>
      </c>
      <c r="C4946" s="2" t="str">
        <f t="shared" si="155"/>
        <v>NSG_Income Eligible_Multi-Family_Whole Building - Public Housing_Steam Boiler Averaging Controls_0_MF_2023</v>
      </c>
      <c r="D4946" s="19" t="s">
        <v>1787</v>
      </c>
      <c r="E4946" s="19" t="s">
        <v>325</v>
      </c>
      <c r="F4946" s="19" t="s">
        <v>1422</v>
      </c>
      <c r="G4946" s="19" t="s">
        <v>1817</v>
      </c>
      <c r="H4946" s="19" t="s">
        <v>934</v>
      </c>
      <c r="I4946" s="19">
        <v>0</v>
      </c>
      <c r="J4946" s="19" t="s">
        <v>937</v>
      </c>
      <c r="K4946" s="19" t="s">
        <v>553</v>
      </c>
      <c r="L4946" s="19">
        <v>2023</v>
      </c>
      <c r="M4946" s="20">
        <v>1</v>
      </c>
      <c r="N4946" s="19" t="s">
        <v>1798</v>
      </c>
      <c r="O4946" s="20">
        <v>0</v>
      </c>
      <c r="P4946" s="20">
        <v>0</v>
      </c>
      <c r="Q4946" s="20">
        <v>0</v>
      </c>
      <c r="R4946" s="21">
        <v>1</v>
      </c>
      <c r="S4946" s="20">
        <v>0</v>
      </c>
    </row>
    <row r="4947" spans="2:19" ht="15" customHeight="1" x14ac:dyDescent="0.25">
      <c r="B4947" s="2" t="str">
        <f t="shared" si="154"/>
        <v>NSG_Income Eligible_Multi-Family_Whole Building - Public Housing_Steam Boiler Averaging Controls_0_MF</v>
      </c>
      <c r="C4947" s="2" t="str">
        <f t="shared" si="155"/>
        <v>NSG_Income Eligible_Multi-Family_Whole Building - Public Housing_Steam Boiler Averaging Controls_0_MF_2024</v>
      </c>
      <c r="D4947" s="19" t="s">
        <v>1787</v>
      </c>
      <c r="E4947" s="19" t="s">
        <v>325</v>
      </c>
      <c r="F4947" s="19" t="s">
        <v>1422</v>
      </c>
      <c r="G4947" s="19" t="s">
        <v>1817</v>
      </c>
      <c r="H4947" s="19" t="s">
        <v>934</v>
      </c>
      <c r="I4947" s="19">
        <v>0</v>
      </c>
      <c r="J4947" s="19" t="s">
        <v>937</v>
      </c>
      <c r="K4947" s="19" t="s">
        <v>553</v>
      </c>
      <c r="L4947" s="19">
        <v>2024</v>
      </c>
      <c r="M4947" s="20">
        <v>1</v>
      </c>
      <c r="N4947" s="19" t="s">
        <v>1798</v>
      </c>
      <c r="O4947" s="20">
        <v>0</v>
      </c>
      <c r="P4947" s="20">
        <v>0</v>
      </c>
      <c r="Q4947" s="20">
        <v>0</v>
      </c>
      <c r="R4947" s="21">
        <v>1</v>
      </c>
      <c r="S4947" s="20">
        <v>0</v>
      </c>
    </row>
    <row r="4948" spans="2:19" ht="15" customHeight="1" x14ac:dyDescent="0.25">
      <c r="B4948" s="2" t="str">
        <f t="shared" si="154"/>
        <v>NSG_Income Eligible_Multi-Family_Whole Building - Public Housing_Steam Boiler Averaging Controls_0_MF</v>
      </c>
      <c r="C4948" s="2" t="str">
        <f t="shared" si="155"/>
        <v>NSG_Income Eligible_Multi-Family_Whole Building - Public Housing_Steam Boiler Averaging Controls_0_MF_2025</v>
      </c>
      <c r="D4948" s="19" t="s">
        <v>1787</v>
      </c>
      <c r="E4948" s="19" t="s">
        <v>325</v>
      </c>
      <c r="F4948" s="19" t="s">
        <v>1422</v>
      </c>
      <c r="G4948" s="19" t="s">
        <v>1817</v>
      </c>
      <c r="H4948" s="19" t="s">
        <v>934</v>
      </c>
      <c r="I4948" s="19">
        <v>0</v>
      </c>
      <c r="J4948" s="19" t="s">
        <v>937</v>
      </c>
      <c r="K4948" s="19" t="s">
        <v>553</v>
      </c>
      <c r="L4948" s="19">
        <v>2025</v>
      </c>
      <c r="M4948" s="20">
        <v>1</v>
      </c>
      <c r="N4948" s="19" t="s">
        <v>1798</v>
      </c>
      <c r="O4948" s="20">
        <v>0</v>
      </c>
      <c r="P4948" s="20">
        <v>0</v>
      </c>
      <c r="Q4948" s="20">
        <v>0</v>
      </c>
      <c r="R4948" s="21">
        <v>1</v>
      </c>
      <c r="S4948" s="20">
        <v>0</v>
      </c>
    </row>
    <row r="4949" spans="2:19" ht="15" customHeight="1" x14ac:dyDescent="0.25">
      <c r="B4949" s="2" t="str">
        <f t="shared" si="154"/>
        <v>NSG_Income Eligible_Multi-Family_Whole Building - Public Housing_Steam Traps_HVAC Repair/Rep - Audit_MF</v>
      </c>
      <c r="C4949" s="2" t="str">
        <f t="shared" si="155"/>
        <v>NSG_Income Eligible_Multi-Family_Whole Building - Public Housing_Steam Traps_HVAC Repair/Rep - Audit_MF_2022</v>
      </c>
      <c r="D4949" s="19" t="s">
        <v>1787</v>
      </c>
      <c r="E4949" s="19" t="s">
        <v>325</v>
      </c>
      <c r="F4949" s="19" t="s">
        <v>1422</v>
      </c>
      <c r="G4949" s="19" t="s">
        <v>1817</v>
      </c>
      <c r="H4949" s="19" t="s">
        <v>644</v>
      </c>
      <c r="I4949" s="19" t="s">
        <v>645</v>
      </c>
      <c r="J4949" s="19" t="s">
        <v>37</v>
      </c>
      <c r="K4949" s="19" t="s">
        <v>553</v>
      </c>
      <c r="L4949" s="19">
        <v>2022</v>
      </c>
      <c r="M4949" s="20">
        <v>1</v>
      </c>
      <c r="N4949" s="19" t="s">
        <v>1798</v>
      </c>
      <c r="O4949" s="20">
        <v>1</v>
      </c>
      <c r="P4949" s="20">
        <v>1</v>
      </c>
      <c r="Q4949" s="20">
        <v>158.21234468156055</v>
      </c>
      <c r="R4949" s="21">
        <v>1</v>
      </c>
      <c r="S4949" s="20">
        <v>158.21234468156055</v>
      </c>
    </row>
    <row r="4950" spans="2:19" ht="15" customHeight="1" x14ac:dyDescent="0.25">
      <c r="B4950" s="2" t="str">
        <f t="shared" si="154"/>
        <v>NSG_Income Eligible_Multi-Family_Whole Building - Public Housing_Steam Traps_HVAC Repair/Rep - Audit_MF</v>
      </c>
      <c r="C4950" s="2" t="str">
        <f t="shared" si="155"/>
        <v>NSG_Income Eligible_Multi-Family_Whole Building - Public Housing_Steam Traps_HVAC Repair/Rep - Audit_MF_2023</v>
      </c>
      <c r="D4950" s="19" t="s">
        <v>1787</v>
      </c>
      <c r="E4950" s="19" t="s">
        <v>325</v>
      </c>
      <c r="F4950" s="19" t="s">
        <v>1422</v>
      </c>
      <c r="G4950" s="19" t="s">
        <v>1817</v>
      </c>
      <c r="H4950" s="19" t="s">
        <v>644</v>
      </c>
      <c r="I4950" s="19" t="s">
        <v>645</v>
      </c>
      <c r="J4950" s="19" t="s">
        <v>37</v>
      </c>
      <c r="K4950" s="19" t="s">
        <v>553</v>
      </c>
      <c r="L4950" s="19">
        <v>2023</v>
      </c>
      <c r="M4950" s="20">
        <v>1</v>
      </c>
      <c r="N4950" s="19" t="s">
        <v>1798</v>
      </c>
      <c r="O4950" s="20">
        <v>1</v>
      </c>
      <c r="P4950" s="20">
        <v>1</v>
      </c>
      <c r="Q4950" s="20">
        <v>158.21234468156055</v>
      </c>
      <c r="R4950" s="21">
        <v>1</v>
      </c>
      <c r="S4950" s="20">
        <v>158.21234468156055</v>
      </c>
    </row>
    <row r="4951" spans="2:19" ht="15" customHeight="1" x14ac:dyDescent="0.25">
      <c r="B4951" s="2" t="str">
        <f t="shared" si="154"/>
        <v>NSG_Income Eligible_Multi-Family_Whole Building - Public Housing_Steam Traps_HVAC Repair/Rep - Audit_MF</v>
      </c>
      <c r="C4951" s="2" t="str">
        <f t="shared" si="155"/>
        <v>NSG_Income Eligible_Multi-Family_Whole Building - Public Housing_Steam Traps_HVAC Repair/Rep - Audit_MF_2024</v>
      </c>
      <c r="D4951" s="19" t="s">
        <v>1787</v>
      </c>
      <c r="E4951" s="19" t="s">
        <v>325</v>
      </c>
      <c r="F4951" s="19" t="s">
        <v>1422</v>
      </c>
      <c r="G4951" s="19" t="s">
        <v>1817</v>
      </c>
      <c r="H4951" s="19" t="s">
        <v>644</v>
      </c>
      <c r="I4951" s="19" t="s">
        <v>645</v>
      </c>
      <c r="J4951" s="19" t="s">
        <v>37</v>
      </c>
      <c r="K4951" s="19" t="s">
        <v>553</v>
      </c>
      <c r="L4951" s="19">
        <v>2024</v>
      </c>
      <c r="M4951" s="20">
        <v>1</v>
      </c>
      <c r="N4951" s="19" t="s">
        <v>1798</v>
      </c>
      <c r="O4951" s="20">
        <v>1</v>
      </c>
      <c r="P4951" s="20">
        <v>1</v>
      </c>
      <c r="Q4951" s="20">
        <v>158.21234468156055</v>
      </c>
      <c r="R4951" s="21">
        <v>1</v>
      </c>
      <c r="S4951" s="20">
        <v>158.21234468156055</v>
      </c>
    </row>
    <row r="4952" spans="2:19" ht="15" customHeight="1" x14ac:dyDescent="0.25">
      <c r="B4952" s="2" t="str">
        <f t="shared" si="154"/>
        <v>NSG_Income Eligible_Multi-Family_Whole Building - Public Housing_Steam Traps_HVAC Repair/Rep - Audit_MF</v>
      </c>
      <c r="C4952" s="2" t="str">
        <f t="shared" si="155"/>
        <v>NSG_Income Eligible_Multi-Family_Whole Building - Public Housing_Steam Traps_HVAC Repair/Rep - Audit_MF_2025</v>
      </c>
      <c r="D4952" s="19" t="s">
        <v>1787</v>
      </c>
      <c r="E4952" s="19" t="s">
        <v>325</v>
      </c>
      <c r="F4952" s="19" t="s">
        <v>1422</v>
      </c>
      <c r="G4952" s="19" t="s">
        <v>1817</v>
      </c>
      <c r="H4952" s="19" t="s">
        <v>644</v>
      </c>
      <c r="I4952" s="19" t="s">
        <v>645</v>
      </c>
      <c r="J4952" s="19" t="s">
        <v>37</v>
      </c>
      <c r="K4952" s="19" t="s">
        <v>553</v>
      </c>
      <c r="L4952" s="19">
        <v>2025</v>
      </c>
      <c r="M4952" s="20">
        <v>1</v>
      </c>
      <c r="N4952" s="19" t="s">
        <v>1798</v>
      </c>
      <c r="O4952" s="20">
        <v>1</v>
      </c>
      <c r="P4952" s="20">
        <v>1</v>
      </c>
      <c r="Q4952" s="20">
        <v>158.21234468156055</v>
      </c>
      <c r="R4952" s="21">
        <v>1</v>
      </c>
      <c r="S4952" s="20">
        <v>158.21234468156055</v>
      </c>
    </row>
    <row r="4953" spans="2:19" ht="15" customHeight="1" x14ac:dyDescent="0.25">
      <c r="B4953" s="2" t="str">
        <f t="shared" si="154"/>
        <v>NSG_Income Eligible_Multi-Family_Whole Building - Public Housing_Steam Traps_HVAC Repair/Rep - No Audit_MF</v>
      </c>
      <c r="C4953" s="2" t="str">
        <f t="shared" si="155"/>
        <v>NSG_Income Eligible_Multi-Family_Whole Building - Public Housing_Steam Traps_HVAC Repair/Rep - No Audit_MF_2022</v>
      </c>
      <c r="D4953" s="19" t="s">
        <v>1787</v>
      </c>
      <c r="E4953" s="19" t="s">
        <v>325</v>
      </c>
      <c r="F4953" s="19" t="s">
        <v>1422</v>
      </c>
      <c r="G4953" s="19" t="s">
        <v>1817</v>
      </c>
      <c r="H4953" s="19" t="s">
        <v>644</v>
      </c>
      <c r="I4953" s="19" t="s">
        <v>660</v>
      </c>
      <c r="J4953" s="19" t="s">
        <v>37</v>
      </c>
      <c r="K4953" s="19" t="s">
        <v>553</v>
      </c>
      <c r="L4953" s="19">
        <v>2022</v>
      </c>
      <c r="M4953" s="20">
        <v>1</v>
      </c>
      <c r="N4953" s="19" t="s">
        <v>1798</v>
      </c>
      <c r="O4953" s="20">
        <v>1</v>
      </c>
      <c r="P4953" s="20">
        <v>1</v>
      </c>
      <c r="Q4953" s="20">
        <v>42.717333064021354</v>
      </c>
      <c r="R4953" s="21">
        <v>1</v>
      </c>
      <c r="S4953" s="20">
        <v>42.717333064021354</v>
      </c>
    </row>
    <row r="4954" spans="2:19" ht="15" customHeight="1" x14ac:dyDescent="0.25">
      <c r="B4954" s="2" t="str">
        <f t="shared" si="154"/>
        <v>NSG_Income Eligible_Multi-Family_Whole Building - Public Housing_Steam Traps_HVAC Repair/Rep - No Audit_MF</v>
      </c>
      <c r="C4954" s="2" t="str">
        <f t="shared" si="155"/>
        <v>NSG_Income Eligible_Multi-Family_Whole Building - Public Housing_Steam Traps_HVAC Repair/Rep - No Audit_MF_2023</v>
      </c>
      <c r="D4954" s="19" t="s">
        <v>1787</v>
      </c>
      <c r="E4954" s="19" t="s">
        <v>325</v>
      </c>
      <c r="F4954" s="19" t="s">
        <v>1422</v>
      </c>
      <c r="G4954" s="19" t="s">
        <v>1817</v>
      </c>
      <c r="H4954" s="19" t="s">
        <v>644</v>
      </c>
      <c r="I4954" s="19" t="s">
        <v>660</v>
      </c>
      <c r="J4954" s="19" t="s">
        <v>37</v>
      </c>
      <c r="K4954" s="19" t="s">
        <v>553</v>
      </c>
      <c r="L4954" s="19">
        <v>2023</v>
      </c>
      <c r="M4954" s="20">
        <v>1</v>
      </c>
      <c r="N4954" s="19" t="s">
        <v>1798</v>
      </c>
      <c r="O4954" s="20">
        <v>1</v>
      </c>
      <c r="P4954" s="20">
        <v>1</v>
      </c>
      <c r="Q4954" s="20">
        <v>42.717333064021354</v>
      </c>
      <c r="R4954" s="21">
        <v>1</v>
      </c>
      <c r="S4954" s="20">
        <v>42.717333064021354</v>
      </c>
    </row>
    <row r="4955" spans="2:19" ht="15" customHeight="1" x14ac:dyDescent="0.25">
      <c r="B4955" s="2" t="str">
        <f t="shared" si="154"/>
        <v>NSG_Income Eligible_Multi-Family_Whole Building - Public Housing_Steam Traps_HVAC Repair/Rep - No Audit_MF</v>
      </c>
      <c r="C4955" s="2" t="str">
        <f t="shared" si="155"/>
        <v>NSG_Income Eligible_Multi-Family_Whole Building - Public Housing_Steam Traps_HVAC Repair/Rep - No Audit_MF_2024</v>
      </c>
      <c r="D4955" s="19" t="s">
        <v>1787</v>
      </c>
      <c r="E4955" s="19" t="s">
        <v>325</v>
      </c>
      <c r="F4955" s="19" t="s">
        <v>1422</v>
      </c>
      <c r="G4955" s="19" t="s">
        <v>1817</v>
      </c>
      <c r="H4955" s="19" t="s">
        <v>644</v>
      </c>
      <c r="I4955" s="19" t="s">
        <v>660</v>
      </c>
      <c r="J4955" s="19" t="s">
        <v>37</v>
      </c>
      <c r="K4955" s="19" t="s">
        <v>553</v>
      </c>
      <c r="L4955" s="19">
        <v>2024</v>
      </c>
      <c r="M4955" s="20">
        <v>1</v>
      </c>
      <c r="N4955" s="19" t="s">
        <v>1798</v>
      </c>
      <c r="O4955" s="20">
        <v>1</v>
      </c>
      <c r="P4955" s="20">
        <v>1</v>
      </c>
      <c r="Q4955" s="20">
        <v>42.717333064021354</v>
      </c>
      <c r="R4955" s="21">
        <v>1</v>
      </c>
      <c r="S4955" s="20">
        <v>42.717333064021354</v>
      </c>
    </row>
    <row r="4956" spans="2:19" ht="15" customHeight="1" x14ac:dyDescent="0.25">
      <c r="B4956" s="2" t="str">
        <f t="shared" si="154"/>
        <v>NSG_Income Eligible_Multi-Family_Whole Building - Public Housing_Steam Traps_HVAC Repair/Rep - No Audit_MF</v>
      </c>
      <c r="C4956" s="2" t="str">
        <f t="shared" si="155"/>
        <v>NSG_Income Eligible_Multi-Family_Whole Building - Public Housing_Steam Traps_HVAC Repair/Rep - No Audit_MF_2025</v>
      </c>
      <c r="D4956" s="19" t="s">
        <v>1787</v>
      </c>
      <c r="E4956" s="19" t="s">
        <v>325</v>
      </c>
      <c r="F4956" s="19" t="s">
        <v>1422</v>
      </c>
      <c r="G4956" s="19" t="s">
        <v>1817</v>
      </c>
      <c r="H4956" s="19" t="s">
        <v>644</v>
      </c>
      <c r="I4956" s="19" t="s">
        <v>660</v>
      </c>
      <c r="J4956" s="19" t="s">
        <v>37</v>
      </c>
      <c r="K4956" s="19" t="s">
        <v>553</v>
      </c>
      <c r="L4956" s="19">
        <v>2025</v>
      </c>
      <c r="M4956" s="20">
        <v>1</v>
      </c>
      <c r="N4956" s="19" t="s">
        <v>1798</v>
      </c>
      <c r="O4956" s="20">
        <v>1</v>
      </c>
      <c r="P4956" s="20">
        <v>1</v>
      </c>
      <c r="Q4956" s="20">
        <v>42.717333064021354</v>
      </c>
      <c r="R4956" s="21">
        <v>1</v>
      </c>
      <c r="S4956" s="20">
        <v>42.717333064021354</v>
      </c>
    </row>
    <row r="4957" spans="2:19" ht="15" customHeight="1" x14ac:dyDescent="0.25">
      <c r="B4957" s="2" t="str">
        <f t="shared" si="154"/>
        <v>NSG_Income Eligible_Multi-Family_Whole Building - Public Housing_Steam Traps_Test_MF</v>
      </c>
      <c r="C4957" s="2" t="str">
        <f t="shared" si="155"/>
        <v>NSG_Income Eligible_Multi-Family_Whole Building - Public Housing_Steam Traps_Test_MF_2022</v>
      </c>
      <c r="D4957" s="19" t="s">
        <v>1787</v>
      </c>
      <c r="E4957" s="19" t="s">
        <v>325</v>
      </c>
      <c r="F4957" s="19" t="s">
        <v>1422</v>
      </c>
      <c r="G4957" s="19" t="s">
        <v>1817</v>
      </c>
      <c r="H4957" s="19" t="s">
        <v>644</v>
      </c>
      <c r="I4957" s="19" t="s">
        <v>1097</v>
      </c>
      <c r="J4957" s="19">
        <v>0</v>
      </c>
      <c r="K4957" s="19" t="s">
        <v>553</v>
      </c>
      <c r="L4957" s="19">
        <v>2022</v>
      </c>
      <c r="M4957" s="20">
        <v>1</v>
      </c>
      <c r="N4957" s="19" t="s">
        <v>1798</v>
      </c>
      <c r="O4957" s="20">
        <v>1</v>
      </c>
      <c r="P4957" s="20">
        <v>1</v>
      </c>
      <c r="Q4957" s="20">
        <v>0</v>
      </c>
      <c r="R4957" s="21">
        <v>1</v>
      </c>
      <c r="S4957" s="20">
        <v>0</v>
      </c>
    </row>
    <row r="4958" spans="2:19" ht="15" customHeight="1" x14ac:dyDescent="0.25">
      <c r="B4958" s="2" t="str">
        <f t="shared" si="154"/>
        <v>NSG_Income Eligible_Multi-Family_Whole Building - Public Housing_Steam Traps_Test_MF</v>
      </c>
      <c r="C4958" s="2" t="str">
        <f t="shared" si="155"/>
        <v>NSG_Income Eligible_Multi-Family_Whole Building - Public Housing_Steam Traps_Test_MF_2023</v>
      </c>
      <c r="D4958" s="19" t="s">
        <v>1787</v>
      </c>
      <c r="E4958" s="19" t="s">
        <v>325</v>
      </c>
      <c r="F4958" s="19" t="s">
        <v>1422</v>
      </c>
      <c r="G4958" s="19" t="s">
        <v>1817</v>
      </c>
      <c r="H4958" s="19" t="s">
        <v>644</v>
      </c>
      <c r="I4958" s="19" t="s">
        <v>1097</v>
      </c>
      <c r="J4958" s="19">
        <v>0</v>
      </c>
      <c r="K4958" s="19" t="s">
        <v>553</v>
      </c>
      <c r="L4958" s="19">
        <v>2023</v>
      </c>
      <c r="M4958" s="20">
        <v>1</v>
      </c>
      <c r="N4958" s="19" t="s">
        <v>1798</v>
      </c>
      <c r="O4958" s="20">
        <v>1</v>
      </c>
      <c r="P4958" s="20">
        <v>1</v>
      </c>
      <c r="Q4958" s="20">
        <v>0</v>
      </c>
      <c r="R4958" s="21">
        <v>1</v>
      </c>
      <c r="S4958" s="20">
        <v>0</v>
      </c>
    </row>
    <row r="4959" spans="2:19" ht="15" customHeight="1" x14ac:dyDescent="0.25">
      <c r="B4959" s="2" t="str">
        <f t="shared" si="154"/>
        <v>NSG_Income Eligible_Multi-Family_Whole Building - Public Housing_Steam Traps_Test_MF</v>
      </c>
      <c r="C4959" s="2" t="str">
        <f t="shared" si="155"/>
        <v>NSG_Income Eligible_Multi-Family_Whole Building - Public Housing_Steam Traps_Test_MF_2024</v>
      </c>
      <c r="D4959" s="19" t="s">
        <v>1787</v>
      </c>
      <c r="E4959" s="19" t="s">
        <v>325</v>
      </c>
      <c r="F4959" s="19" t="s">
        <v>1422</v>
      </c>
      <c r="G4959" s="19" t="s">
        <v>1817</v>
      </c>
      <c r="H4959" s="19" t="s">
        <v>644</v>
      </c>
      <c r="I4959" s="19" t="s">
        <v>1097</v>
      </c>
      <c r="J4959" s="19">
        <v>0</v>
      </c>
      <c r="K4959" s="19" t="s">
        <v>553</v>
      </c>
      <c r="L4959" s="19">
        <v>2024</v>
      </c>
      <c r="M4959" s="20">
        <v>1</v>
      </c>
      <c r="N4959" s="19" t="s">
        <v>1798</v>
      </c>
      <c r="O4959" s="20">
        <v>1</v>
      </c>
      <c r="P4959" s="20">
        <v>1</v>
      </c>
      <c r="Q4959" s="20">
        <v>0</v>
      </c>
      <c r="R4959" s="21">
        <v>1</v>
      </c>
      <c r="S4959" s="20">
        <v>0</v>
      </c>
    </row>
    <row r="4960" spans="2:19" ht="15" customHeight="1" x14ac:dyDescent="0.25">
      <c r="B4960" s="2" t="str">
        <f t="shared" si="154"/>
        <v>NSG_Income Eligible_Multi-Family_Whole Building - Public Housing_Steam Traps_Test_MF</v>
      </c>
      <c r="C4960" s="2" t="str">
        <f t="shared" si="155"/>
        <v>NSG_Income Eligible_Multi-Family_Whole Building - Public Housing_Steam Traps_Test_MF_2025</v>
      </c>
      <c r="D4960" s="19" t="s">
        <v>1787</v>
      </c>
      <c r="E4960" s="19" t="s">
        <v>325</v>
      </c>
      <c r="F4960" s="19" t="s">
        <v>1422</v>
      </c>
      <c r="G4960" s="19" t="s">
        <v>1817</v>
      </c>
      <c r="H4960" s="19" t="s">
        <v>644</v>
      </c>
      <c r="I4960" s="19" t="s">
        <v>1097</v>
      </c>
      <c r="J4960" s="19">
        <v>0</v>
      </c>
      <c r="K4960" s="19" t="s">
        <v>553</v>
      </c>
      <c r="L4960" s="19">
        <v>2025</v>
      </c>
      <c r="M4960" s="20">
        <v>1</v>
      </c>
      <c r="N4960" s="19" t="s">
        <v>1798</v>
      </c>
      <c r="O4960" s="20">
        <v>1</v>
      </c>
      <c r="P4960" s="20">
        <v>1</v>
      </c>
      <c r="Q4960" s="20">
        <v>0</v>
      </c>
      <c r="R4960" s="21">
        <v>1</v>
      </c>
      <c r="S4960" s="20">
        <v>0</v>
      </c>
    </row>
    <row r="4961" spans="2:19" ht="15" customHeight="1" x14ac:dyDescent="0.25">
      <c r="B4961" s="2" t="str">
        <f t="shared" si="154"/>
        <v>NSG_Income Eligible_Multi-Family_Whole Building - Public Housing_On Demand DHW Circulation System_0_MF</v>
      </c>
      <c r="C4961" s="2" t="str">
        <f t="shared" si="155"/>
        <v>NSG_Income Eligible_Multi-Family_Whole Building - Public Housing_On Demand DHW Circulation System_0_MF_2022</v>
      </c>
      <c r="D4961" s="19" t="s">
        <v>1787</v>
      </c>
      <c r="E4961" s="19" t="s">
        <v>325</v>
      </c>
      <c r="F4961" s="19" t="s">
        <v>1422</v>
      </c>
      <c r="G4961" s="19" t="s">
        <v>1817</v>
      </c>
      <c r="H4961" s="19" t="s">
        <v>1075</v>
      </c>
      <c r="I4961" s="19">
        <v>0</v>
      </c>
      <c r="J4961" s="19" t="s">
        <v>26</v>
      </c>
      <c r="K4961" s="19" t="s">
        <v>553</v>
      </c>
      <c r="L4961" s="19">
        <v>2022</v>
      </c>
      <c r="M4961" s="20">
        <v>1</v>
      </c>
      <c r="N4961" s="19" t="s">
        <v>1798</v>
      </c>
      <c r="O4961" s="20">
        <v>0</v>
      </c>
      <c r="P4961" s="20">
        <v>0</v>
      </c>
      <c r="Q4961" s="20">
        <v>0</v>
      </c>
      <c r="R4961" s="21">
        <v>1</v>
      </c>
      <c r="S4961" s="20">
        <v>0</v>
      </c>
    </row>
    <row r="4962" spans="2:19" ht="15" customHeight="1" x14ac:dyDescent="0.25">
      <c r="B4962" s="2" t="str">
        <f t="shared" si="154"/>
        <v>NSG_Income Eligible_Multi-Family_Whole Building - Public Housing_On Demand DHW Circulation System_0_MF</v>
      </c>
      <c r="C4962" s="2" t="str">
        <f t="shared" si="155"/>
        <v>NSG_Income Eligible_Multi-Family_Whole Building - Public Housing_On Demand DHW Circulation System_0_MF_2023</v>
      </c>
      <c r="D4962" s="19" t="s">
        <v>1787</v>
      </c>
      <c r="E4962" s="19" t="s">
        <v>325</v>
      </c>
      <c r="F4962" s="19" t="s">
        <v>1422</v>
      </c>
      <c r="G4962" s="19" t="s">
        <v>1817</v>
      </c>
      <c r="H4962" s="19" t="s">
        <v>1075</v>
      </c>
      <c r="I4962" s="19">
        <v>0</v>
      </c>
      <c r="J4962" s="19" t="s">
        <v>26</v>
      </c>
      <c r="K4962" s="19" t="s">
        <v>553</v>
      </c>
      <c r="L4962" s="19">
        <v>2023</v>
      </c>
      <c r="M4962" s="20">
        <v>1</v>
      </c>
      <c r="N4962" s="19" t="s">
        <v>1798</v>
      </c>
      <c r="O4962" s="20">
        <v>0</v>
      </c>
      <c r="P4962" s="20">
        <v>0</v>
      </c>
      <c r="Q4962" s="20">
        <v>0</v>
      </c>
      <c r="R4962" s="21">
        <v>1</v>
      </c>
      <c r="S4962" s="20">
        <v>0</v>
      </c>
    </row>
    <row r="4963" spans="2:19" ht="15" customHeight="1" x14ac:dyDescent="0.25">
      <c r="B4963" s="2" t="str">
        <f t="shared" si="154"/>
        <v>NSG_Income Eligible_Multi-Family_Whole Building - Public Housing_On Demand DHW Circulation System_0_MF</v>
      </c>
      <c r="C4963" s="2" t="str">
        <f t="shared" si="155"/>
        <v>NSG_Income Eligible_Multi-Family_Whole Building - Public Housing_On Demand DHW Circulation System_0_MF_2024</v>
      </c>
      <c r="D4963" s="19" t="s">
        <v>1787</v>
      </c>
      <c r="E4963" s="19" t="s">
        <v>325</v>
      </c>
      <c r="F4963" s="19" t="s">
        <v>1422</v>
      </c>
      <c r="G4963" s="19" t="s">
        <v>1817</v>
      </c>
      <c r="H4963" s="19" t="s">
        <v>1075</v>
      </c>
      <c r="I4963" s="19">
        <v>0</v>
      </c>
      <c r="J4963" s="19" t="s">
        <v>26</v>
      </c>
      <c r="K4963" s="19" t="s">
        <v>553</v>
      </c>
      <c r="L4963" s="19">
        <v>2024</v>
      </c>
      <c r="M4963" s="20">
        <v>1</v>
      </c>
      <c r="N4963" s="19" t="s">
        <v>1798</v>
      </c>
      <c r="O4963" s="20">
        <v>0</v>
      </c>
      <c r="P4963" s="20">
        <v>0</v>
      </c>
      <c r="Q4963" s="20">
        <v>0</v>
      </c>
      <c r="R4963" s="21">
        <v>1</v>
      </c>
      <c r="S4963" s="20">
        <v>0</v>
      </c>
    </row>
    <row r="4964" spans="2:19" ht="15" customHeight="1" x14ac:dyDescent="0.25">
      <c r="B4964" s="2" t="str">
        <f t="shared" si="154"/>
        <v>NSG_Income Eligible_Multi-Family_Whole Building - Public Housing_On Demand DHW Circulation System_0_MF</v>
      </c>
      <c r="C4964" s="2" t="str">
        <f t="shared" si="155"/>
        <v>NSG_Income Eligible_Multi-Family_Whole Building - Public Housing_On Demand DHW Circulation System_0_MF_2025</v>
      </c>
      <c r="D4964" s="19" t="s">
        <v>1787</v>
      </c>
      <c r="E4964" s="19" t="s">
        <v>325</v>
      </c>
      <c r="F4964" s="19" t="s">
        <v>1422</v>
      </c>
      <c r="G4964" s="19" t="s">
        <v>1817</v>
      </c>
      <c r="H4964" s="19" t="s">
        <v>1075</v>
      </c>
      <c r="I4964" s="19">
        <v>0</v>
      </c>
      <c r="J4964" s="19" t="s">
        <v>26</v>
      </c>
      <c r="K4964" s="19" t="s">
        <v>553</v>
      </c>
      <c r="L4964" s="19">
        <v>2025</v>
      </c>
      <c r="M4964" s="20">
        <v>1</v>
      </c>
      <c r="N4964" s="19" t="s">
        <v>1798</v>
      </c>
      <c r="O4964" s="20">
        <v>0</v>
      </c>
      <c r="P4964" s="20">
        <v>0</v>
      </c>
      <c r="Q4964" s="20">
        <v>0</v>
      </c>
      <c r="R4964" s="21">
        <v>1</v>
      </c>
      <c r="S4964" s="20">
        <v>0</v>
      </c>
    </row>
    <row r="4965" spans="2:19" ht="15" customHeight="1" x14ac:dyDescent="0.25">
      <c r="B4965" s="2" t="str">
        <f t="shared" si="154"/>
        <v>NSG_Income Eligible_Multi-Family_Whole Building - Public Housing_Water Heater_Central/Indirect MF ≥88% TE_MF</v>
      </c>
      <c r="C4965" s="2" t="str">
        <f t="shared" si="155"/>
        <v>NSG_Income Eligible_Multi-Family_Whole Building - Public Housing_Water Heater_Central/Indirect MF ≥88% TE_MF_2022</v>
      </c>
      <c r="D4965" s="19" t="s">
        <v>1787</v>
      </c>
      <c r="E4965" s="19" t="s">
        <v>325</v>
      </c>
      <c r="F4965" s="19" t="s">
        <v>1422</v>
      </c>
      <c r="G4965" s="19" t="s">
        <v>1817</v>
      </c>
      <c r="H4965" s="19" t="s">
        <v>8</v>
      </c>
      <c r="I4965" s="19" t="s">
        <v>1066</v>
      </c>
      <c r="J4965" s="19" t="s">
        <v>30</v>
      </c>
      <c r="K4965" s="19" t="s">
        <v>553</v>
      </c>
      <c r="L4965" s="19">
        <v>2022</v>
      </c>
      <c r="M4965" s="20">
        <v>1</v>
      </c>
      <c r="N4965" s="19" t="s">
        <v>1798</v>
      </c>
      <c r="O4965" s="20">
        <v>0</v>
      </c>
      <c r="P4965" s="20">
        <v>0</v>
      </c>
      <c r="Q4965" s="20">
        <v>0</v>
      </c>
      <c r="R4965" s="21">
        <v>1</v>
      </c>
      <c r="S4965" s="20">
        <v>0</v>
      </c>
    </row>
    <row r="4966" spans="2:19" ht="15" customHeight="1" x14ac:dyDescent="0.25">
      <c r="B4966" s="2" t="str">
        <f t="shared" si="154"/>
        <v>NSG_Income Eligible_Multi-Family_Whole Building - Public Housing_Water Heater_Central/Indirect MF ≥88% TE_MF</v>
      </c>
      <c r="C4966" s="2" t="str">
        <f t="shared" si="155"/>
        <v>NSG_Income Eligible_Multi-Family_Whole Building - Public Housing_Water Heater_Central/Indirect MF ≥88% TE_MF_2023</v>
      </c>
      <c r="D4966" s="19" t="s">
        <v>1787</v>
      </c>
      <c r="E4966" s="19" t="s">
        <v>325</v>
      </c>
      <c r="F4966" s="19" t="s">
        <v>1422</v>
      </c>
      <c r="G4966" s="19" t="s">
        <v>1817</v>
      </c>
      <c r="H4966" s="19" t="s">
        <v>8</v>
      </c>
      <c r="I4966" s="19" t="s">
        <v>1066</v>
      </c>
      <c r="J4966" s="19" t="s">
        <v>30</v>
      </c>
      <c r="K4966" s="19" t="s">
        <v>553</v>
      </c>
      <c r="L4966" s="19">
        <v>2023</v>
      </c>
      <c r="M4966" s="20">
        <v>1</v>
      </c>
      <c r="N4966" s="19" t="s">
        <v>1798</v>
      </c>
      <c r="O4966" s="20">
        <v>0</v>
      </c>
      <c r="P4966" s="20">
        <v>0</v>
      </c>
      <c r="Q4966" s="20">
        <v>0</v>
      </c>
      <c r="R4966" s="21">
        <v>1</v>
      </c>
      <c r="S4966" s="20">
        <v>0</v>
      </c>
    </row>
    <row r="4967" spans="2:19" ht="15" customHeight="1" x14ac:dyDescent="0.25">
      <c r="B4967" s="2" t="str">
        <f t="shared" si="154"/>
        <v>NSG_Income Eligible_Multi-Family_Whole Building - Public Housing_Water Heater_Central/Indirect MF ≥88% TE_MF</v>
      </c>
      <c r="C4967" s="2" t="str">
        <f t="shared" si="155"/>
        <v>NSG_Income Eligible_Multi-Family_Whole Building - Public Housing_Water Heater_Central/Indirect MF ≥88% TE_MF_2024</v>
      </c>
      <c r="D4967" s="19" t="s">
        <v>1787</v>
      </c>
      <c r="E4967" s="19" t="s">
        <v>325</v>
      </c>
      <c r="F4967" s="19" t="s">
        <v>1422</v>
      </c>
      <c r="G4967" s="19" t="s">
        <v>1817</v>
      </c>
      <c r="H4967" s="19" t="s">
        <v>8</v>
      </c>
      <c r="I4967" s="19" t="s">
        <v>1066</v>
      </c>
      <c r="J4967" s="19" t="s">
        <v>30</v>
      </c>
      <c r="K4967" s="19" t="s">
        <v>553</v>
      </c>
      <c r="L4967" s="19">
        <v>2024</v>
      </c>
      <c r="M4967" s="20">
        <v>1</v>
      </c>
      <c r="N4967" s="19" t="s">
        <v>1798</v>
      </c>
      <c r="O4967" s="20">
        <v>0</v>
      </c>
      <c r="P4967" s="20">
        <v>0</v>
      </c>
      <c r="Q4967" s="20">
        <v>0</v>
      </c>
      <c r="R4967" s="21">
        <v>1</v>
      </c>
      <c r="S4967" s="20">
        <v>0</v>
      </c>
    </row>
    <row r="4968" spans="2:19" ht="15" customHeight="1" x14ac:dyDescent="0.25">
      <c r="B4968" s="2" t="str">
        <f t="shared" si="154"/>
        <v>NSG_Income Eligible_Multi-Family_Whole Building - Public Housing_Water Heater_Central/Indirect MF ≥88% TE_MF</v>
      </c>
      <c r="C4968" s="2" t="str">
        <f t="shared" si="155"/>
        <v>NSG_Income Eligible_Multi-Family_Whole Building - Public Housing_Water Heater_Central/Indirect MF ≥88% TE_MF_2025</v>
      </c>
      <c r="D4968" s="19" t="s">
        <v>1787</v>
      </c>
      <c r="E4968" s="19" t="s">
        <v>325</v>
      </c>
      <c r="F4968" s="19" t="s">
        <v>1422</v>
      </c>
      <c r="G4968" s="19" t="s">
        <v>1817</v>
      </c>
      <c r="H4968" s="19" t="s">
        <v>8</v>
      </c>
      <c r="I4968" s="19" t="s">
        <v>1066</v>
      </c>
      <c r="J4968" s="19" t="s">
        <v>30</v>
      </c>
      <c r="K4968" s="19" t="s">
        <v>553</v>
      </c>
      <c r="L4968" s="19">
        <v>2025</v>
      </c>
      <c r="M4968" s="20">
        <v>1</v>
      </c>
      <c r="N4968" s="19" t="s">
        <v>1798</v>
      </c>
      <c r="O4968" s="20">
        <v>0</v>
      </c>
      <c r="P4968" s="20">
        <v>0</v>
      </c>
      <c r="Q4968" s="20">
        <v>0</v>
      </c>
      <c r="R4968" s="21">
        <v>1</v>
      </c>
      <c r="S4968" s="20">
        <v>0</v>
      </c>
    </row>
    <row r="4969" spans="2:19" ht="15" customHeight="1" x14ac:dyDescent="0.25">
      <c r="B4969" s="2" t="str">
        <f t="shared" si="154"/>
        <v>NSG_Income Eligible_Multi-Family_Whole Building - Public Housing_Water Heater_Storage 0.67 EF_MF</v>
      </c>
      <c r="C4969" s="2" t="str">
        <f t="shared" si="155"/>
        <v>NSG_Income Eligible_Multi-Family_Whole Building - Public Housing_Water Heater_Storage 0.67 EF_MF_2022</v>
      </c>
      <c r="D4969" s="19" t="s">
        <v>1787</v>
      </c>
      <c r="E4969" s="19" t="s">
        <v>325</v>
      </c>
      <c r="F4969" s="19" t="s">
        <v>1422</v>
      </c>
      <c r="G4969" s="19" t="s">
        <v>1817</v>
      </c>
      <c r="H4969" s="19" t="s">
        <v>8</v>
      </c>
      <c r="I4969" s="19" t="s">
        <v>879</v>
      </c>
      <c r="J4969" s="19" t="s">
        <v>1263</v>
      </c>
      <c r="K4969" s="19" t="s">
        <v>553</v>
      </c>
      <c r="L4969" s="19">
        <v>2022</v>
      </c>
      <c r="M4969" s="20">
        <v>1</v>
      </c>
      <c r="N4969" s="19" t="s">
        <v>1798</v>
      </c>
      <c r="O4969" s="20">
        <v>0</v>
      </c>
      <c r="P4969" s="20">
        <v>0</v>
      </c>
      <c r="Q4969" s="20">
        <v>0</v>
      </c>
      <c r="R4969" s="21">
        <v>1</v>
      </c>
      <c r="S4969" s="20">
        <v>0</v>
      </c>
    </row>
    <row r="4970" spans="2:19" ht="15" customHeight="1" x14ac:dyDescent="0.25">
      <c r="B4970" s="2" t="str">
        <f t="shared" si="154"/>
        <v>NSG_Income Eligible_Multi-Family_Whole Building - Public Housing_Water Heater_Storage 0.67 EF_MF</v>
      </c>
      <c r="C4970" s="2" t="str">
        <f t="shared" si="155"/>
        <v>NSG_Income Eligible_Multi-Family_Whole Building - Public Housing_Water Heater_Storage 0.67 EF_MF_2023</v>
      </c>
      <c r="D4970" s="19" t="s">
        <v>1787</v>
      </c>
      <c r="E4970" s="19" t="s">
        <v>325</v>
      </c>
      <c r="F4970" s="19" t="s">
        <v>1422</v>
      </c>
      <c r="G4970" s="19" t="s">
        <v>1817</v>
      </c>
      <c r="H4970" s="19" t="s">
        <v>8</v>
      </c>
      <c r="I4970" s="19" t="s">
        <v>879</v>
      </c>
      <c r="J4970" s="19" t="s">
        <v>1263</v>
      </c>
      <c r="K4970" s="19" t="s">
        <v>553</v>
      </c>
      <c r="L4970" s="19">
        <v>2023</v>
      </c>
      <c r="M4970" s="20">
        <v>1</v>
      </c>
      <c r="N4970" s="19" t="s">
        <v>1798</v>
      </c>
      <c r="O4970" s="20">
        <v>0</v>
      </c>
      <c r="P4970" s="20">
        <v>0</v>
      </c>
      <c r="Q4970" s="20">
        <v>0</v>
      </c>
      <c r="R4970" s="21">
        <v>1</v>
      </c>
      <c r="S4970" s="20">
        <v>0</v>
      </c>
    </row>
    <row r="4971" spans="2:19" ht="15" customHeight="1" x14ac:dyDescent="0.25">
      <c r="B4971" s="2" t="str">
        <f t="shared" si="154"/>
        <v>NSG_Income Eligible_Multi-Family_Whole Building - Public Housing_Water Heater_Storage 0.67 EF_MF</v>
      </c>
      <c r="C4971" s="2" t="str">
        <f t="shared" si="155"/>
        <v>NSG_Income Eligible_Multi-Family_Whole Building - Public Housing_Water Heater_Storage 0.67 EF_MF_2024</v>
      </c>
      <c r="D4971" s="19" t="s">
        <v>1787</v>
      </c>
      <c r="E4971" s="19" t="s">
        <v>325</v>
      </c>
      <c r="F4971" s="19" t="s">
        <v>1422</v>
      </c>
      <c r="G4971" s="19" t="s">
        <v>1817</v>
      </c>
      <c r="H4971" s="19" t="s">
        <v>8</v>
      </c>
      <c r="I4971" s="19" t="s">
        <v>879</v>
      </c>
      <c r="J4971" s="19" t="s">
        <v>1263</v>
      </c>
      <c r="K4971" s="19" t="s">
        <v>553</v>
      </c>
      <c r="L4971" s="19">
        <v>2024</v>
      </c>
      <c r="M4971" s="20">
        <v>1</v>
      </c>
      <c r="N4971" s="19" t="s">
        <v>1798</v>
      </c>
      <c r="O4971" s="20">
        <v>0</v>
      </c>
      <c r="P4971" s="20">
        <v>0</v>
      </c>
      <c r="Q4971" s="20">
        <v>0</v>
      </c>
      <c r="R4971" s="21">
        <v>1</v>
      </c>
      <c r="S4971" s="20">
        <v>0</v>
      </c>
    </row>
    <row r="4972" spans="2:19" ht="15" customHeight="1" x14ac:dyDescent="0.25">
      <c r="B4972" s="2" t="str">
        <f t="shared" si="154"/>
        <v>NSG_Income Eligible_Multi-Family_Whole Building - Public Housing_Water Heater_Storage 0.67 EF_MF</v>
      </c>
      <c r="C4972" s="2" t="str">
        <f t="shared" si="155"/>
        <v>NSG_Income Eligible_Multi-Family_Whole Building - Public Housing_Water Heater_Storage 0.67 EF_MF_2025</v>
      </c>
      <c r="D4972" s="19" t="s">
        <v>1787</v>
      </c>
      <c r="E4972" s="19" t="s">
        <v>325</v>
      </c>
      <c r="F4972" s="19" t="s">
        <v>1422</v>
      </c>
      <c r="G4972" s="19" t="s">
        <v>1817</v>
      </c>
      <c r="H4972" s="19" t="s">
        <v>8</v>
      </c>
      <c r="I4972" s="19" t="s">
        <v>879</v>
      </c>
      <c r="J4972" s="19" t="s">
        <v>1263</v>
      </c>
      <c r="K4972" s="19" t="s">
        <v>553</v>
      </c>
      <c r="L4972" s="19">
        <v>2025</v>
      </c>
      <c r="M4972" s="20">
        <v>1</v>
      </c>
      <c r="N4972" s="19" t="s">
        <v>1798</v>
      </c>
      <c r="O4972" s="20">
        <v>0</v>
      </c>
      <c r="P4972" s="20">
        <v>0</v>
      </c>
      <c r="Q4972" s="20">
        <v>0</v>
      </c>
      <c r="R4972" s="21">
        <v>1</v>
      </c>
      <c r="S4972" s="20">
        <v>0</v>
      </c>
    </row>
    <row r="4973" spans="2:19" ht="15" customHeight="1" x14ac:dyDescent="0.25">
      <c r="B4973" s="2" t="str">
        <f t="shared" si="154"/>
        <v>NSG_Income Eligible_Multi-Family_Whole Building - Public Housing_Water Heater_Tankless_MF</v>
      </c>
      <c r="C4973" s="2" t="str">
        <f t="shared" si="155"/>
        <v>NSG_Income Eligible_Multi-Family_Whole Building - Public Housing_Water Heater_Tankless_MF_2022</v>
      </c>
      <c r="D4973" s="19" t="s">
        <v>1787</v>
      </c>
      <c r="E4973" s="19" t="s">
        <v>325</v>
      </c>
      <c r="F4973" s="19" t="s">
        <v>1422</v>
      </c>
      <c r="G4973" s="19" t="s">
        <v>1817</v>
      </c>
      <c r="H4973" s="19" t="s">
        <v>8</v>
      </c>
      <c r="I4973" s="19" t="s">
        <v>380</v>
      </c>
      <c r="J4973" s="19" t="s">
        <v>1469</v>
      </c>
      <c r="K4973" s="19" t="s">
        <v>553</v>
      </c>
      <c r="L4973" s="19">
        <v>2022</v>
      </c>
      <c r="M4973" s="20">
        <v>1</v>
      </c>
      <c r="N4973" s="19" t="s">
        <v>1798</v>
      </c>
      <c r="O4973" s="20">
        <v>0</v>
      </c>
      <c r="P4973" s="20">
        <v>0</v>
      </c>
      <c r="Q4973" s="20">
        <v>0</v>
      </c>
      <c r="R4973" s="21">
        <v>1</v>
      </c>
      <c r="S4973" s="20">
        <v>0</v>
      </c>
    </row>
    <row r="4974" spans="2:19" ht="15" customHeight="1" x14ac:dyDescent="0.25">
      <c r="B4974" s="2" t="str">
        <f t="shared" si="154"/>
        <v>NSG_Income Eligible_Multi-Family_Whole Building - Public Housing_Water Heater_Tankless_MF</v>
      </c>
      <c r="C4974" s="2" t="str">
        <f t="shared" si="155"/>
        <v>NSG_Income Eligible_Multi-Family_Whole Building - Public Housing_Water Heater_Tankless_MF_2023</v>
      </c>
      <c r="D4974" s="19" t="s">
        <v>1787</v>
      </c>
      <c r="E4974" s="19" t="s">
        <v>325</v>
      </c>
      <c r="F4974" s="19" t="s">
        <v>1422</v>
      </c>
      <c r="G4974" s="19" t="s">
        <v>1817</v>
      </c>
      <c r="H4974" s="19" t="s">
        <v>8</v>
      </c>
      <c r="I4974" s="19" t="s">
        <v>380</v>
      </c>
      <c r="J4974" s="19" t="s">
        <v>1469</v>
      </c>
      <c r="K4974" s="19" t="s">
        <v>553</v>
      </c>
      <c r="L4974" s="19">
        <v>2023</v>
      </c>
      <c r="M4974" s="20">
        <v>1</v>
      </c>
      <c r="N4974" s="19" t="s">
        <v>1798</v>
      </c>
      <c r="O4974" s="20">
        <v>0</v>
      </c>
      <c r="P4974" s="20">
        <v>0</v>
      </c>
      <c r="Q4974" s="20">
        <v>0</v>
      </c>
      <c r="R4974" s="21">
        <v>1</v>
      </c>
      <c r="S4974" s="20">
        <v>0</v>
      </c>
    </row>
    <row r="4975" spans="2:19" ht="15" customHeight="1" x14ac:dyDescent="0.25">
      <c r="B4975" s="2" t="str">
        <f t="shared" si="154"/>
        <v>NSG_Income Eligible_Multi-Family_Whole Building - Public Housing_Water Heater_Tankless_MF</v>
      </c>
      <c r="C4975" s="2" t="str">
        <f t="shared" si="155"/>
        <v>NSG_Income Eligible_Multi-Family_Whole Building - Public Housing_Water Heater_Tankless_MF_2024</v>
      </c>
      <c r="D4975" s="19" t="s">
        <v>1787</v>
      </c>
      <c r="E4975" s="19" t="s">
        <v>325</v>
      </c>
      <c r="F4975" s="19" t="s">
        <v>1422</v>
      </c>
      <c r="G4975" s="19" t="s">
        <v>1817</v>
      </c>
      <c r="H4975" s="19" t="s">
        <v>8</v>
      </c>
      <c r="I4975" s="19" t="s">
        <v>380</v>
      </c>
      <c r="J4975" s="19" t="s">
        <v>1469</v>
      </c>
      <c r="K4975" s="19" t="s">
        <v>553</v>
      </c>
      <c r="L4975" s="19">
        <v>2024</v>
      </c>
      <c r="M4975" s="20">
        <v>1</v>
      </c>
      <c r="N4975" s="19" t="s">
        <v>1798</v>
      </c>
      <c r="O4975" s="20">
        <v>0</v>
      </c>
      <c r="P4975" s="20">
        <v>0</v>
      </c>
      <c r="Q4975" s="20">
        <v>0</v>
      </c>
      <c r="R4975" s="21">
        <v>1</v>
      </c>
      <c r="S4975" s="20">
        <v>0</v>
      </c>
    </row>
    <row r="4976" spans="2:19" ht="15" customHeight="1" x14ac:dyDescent="0.25">
      <c r="B4976" s="2" t="str">
        <f t="shared" si="154"/>
        <v>NSG_Income Eligible_Multi-Family_Whole Building - Public Housing_Water Heater_Tankless_MF</v>
      </c>
      <c r="C4976" s="2" t="str">
        <f t="shared" si="155"/>
        <v>NSG_Income Eligible_Multi-Family_Whole Building - Public Housing_Water Heater_Tankless_MF_2025</v>
      </c>
      <c r="D4976" s="19" t="s">
        <v>1787</v>
      </c>
      <c r="E4976" s="19" t="s">
        <v>325</v>
      </c>
      <c r="F4976" s="19" t="s">
        <v>1422</v>
      </c>
      <c r="G4976" s="19" t="s">
        <v>1817</v>
      </c>
      <c r="H4976" s="19" t="s">
        <v>8</v>
      </c>
      <c r="I4976" s="19" t="s">
        <v>380</v>
      </c>
      <c r="J4976" s="19" t="s">
        <v>1469</v>
      </c>
      <c r="K4976" s="19" t="s">
        <v>553</v>
      </c>
      <c r="L4976" s="19">
        <v>2025</v>
      </c>
      <c r="M4976" s="20">
        <v>1</v>
      </c>
      <c r="N4976" s="19" t="s">
        <v>1798</v>
      </c>
      <c r="O4976" s="20">
        <v>0</v>
      </c>
      <c r="P4976" s="20">
        <v>0</v>
      </c>
      <c r="Q4976" s="20">
        <v>0</v>
      </c>
      <c r="R4976" s="21">
        <v>1</v>
      </c>
      <c r="S4976" s="20">
        <v>0</v>
      </c>
    </row>
    <row r="4977" spans="2:19" ht="15" customHeight="1" x14ac:dyDescent="0.25">
      <c r="B4977" s="2" t="str">
        <f t="shared" si="154"/>
        <v>NSG_Income Eligible_Multi-Family_Whole Building - Public Housing_Energy Recovery Ventilator_0_CI</v>
      </c>
      <c r="C4977" s="2" t="str">
        <f t="shared" si="155"/>
        <v>NSG_Income Eligible_Multi-Family_Whole Building - Public Housing_Energy Recovery Ventilator_0_CI_2022</v>
      </c>
      <c r="D4977" s="19" t="s">
        <v>1787</v>
      </c>
      <c r="E4977" s="19" t="s">
        <v>325</v>
      </c>
      <c r="F4977" s="19" t="s">
        <v>1422</v>
      </c>
      <c r="G4977" s="19" t="s">
        <v>1817</v>
      </c>
      <c r="H4977" s="19" t="s">
        <v>11</v>
      </c>
      <c r="I4977" s="19">
        <v>0</v>
      </c>
      <c r="J4977" s="19" t="s">
        <v>27</v>
      </c>
      <c r="K4977" s="19" t="s">
        <v>1159</v>
      </c>
      <c r="L4977" s="19">
        <v>2022</v>
      </c>
      <c r="M4977" s="20">
        <v>1</v>
      </c>
      <c r="N4977" s="19" t="s">
        <v>1798</v>
      </c>
      <c r="O4977" s="20">
        <v>0</v>
      </c>
      <c r="P4977" s="20">
        <v>0</v>
      </c>
      <c r="Q4977" s="20">
        <v>0</v>
      </c>
      <c r="R4977" s="21">
        <v>1</v>
      </c>
      <c r="S4977" s="20">
        <v>0</v>
      </c>
    </row>
    <row r="4978" spans="2:19" ht="15" customHeight="1" x14ac:dyDescent="0.25">
      <c r="B4978" s="2" t="str">
        <f t="shared" si="154"/>
        <v>NSG_Income Eligible_Multi-Family_Whole Building - Public Housing_Energy Recovery Ventilator_0_CI</v>
      </c>
      <c r="C4978" s="2" t="str">
        <f t="shared" si="155"/>
        <v>NSG_Income Eligible_Multi-Family_Whole Building - Public Housing_Energy Recovery Ventilator_0_CI_2023</v>
      </c>
      <c r="D4978" s="19" t="s">
        <v>1787</v>
      </c>
      <c r="E4978" s="19" t="s">
        <v>325</v>
      </c>
      <c r="F4978" s="19" t="s">
        <v>1422</v>
      </c>
      <c r="G4978" s="19" t="s">
        <v>1817</v>
      </c>
      <c r="H4978" s="19" t="s">
        <v>11</v>
      </c>
      <c r="I4978" s="19">
        <v>0</v>
      </c>
      <c r="J4978" s="19" t="s">
        <v>27</v>
      </c>
      <c r="K4978" s="19" t="s">
        <v>1159</v>
      </c>
      <c r="L4978" s="19">
        <v>2023</v>
      </c>
      <c r="M4978" s="20">
        <v>1</v>
      </c>
      <c r="N4978" s="19" t="s">
        <v>1798</v>
      </c>
      <c r="O4978" s="20">
        <v>0</v>
      </c>
      <c r="P4978" s="20">
        <v>0</v>
      </c>
      <c r="Q4978" s="20">
        <v>0</v>
      </c>
      <c r="R4978" s="21">
        <v>1</v>
      </c>
      <c r="S4978" s="20">
        <v>0</v>
      </c>
    </row>
    <row r="4979" spans="2:19" ht="15" customHeight="1" x14ac:dyDescent="0.25">
      <c r="B4979" s="2" t="str">
        <f t="shared" si="154"/>
        <v>NSG_Income Eligible_Multi-Family_Whole Building - Public Housing_Energy Recovery Ventilator_0_CI</v>
      </c>
      <c r="C4979" s="2" t="str">
        <f t="shared" si="155"/>
        <v>NSG_Income Eligible_Multi-Family_Whole Building - Public Housing_Energy Recovery Ventilator_0_CI_2024</v>
      </c>
      <c r="D4979" s="19" t="s">
        <v>1787</v>
      </c>
      <c r="E4979" s="19" t="s">
        <v>325</v>
      </c>
      <c r="F4979" s="19" t="s">
        <v>1422</v>
      </c>
      <c r="G4979" s="19" t="s">
        <v>1817</v>
      </c>
      <c r="H4979" s="19" t="s">
        <v>11</v>
      </c>
      <c r="I4979" s="19">
        <v>0</v>
      </c>
      <c r="J4979" s="19" t="s">
        <v>27</v>
      </c>
      <c r="K4979" s="19" t="s">
        <v>1159</v>
      </c>
      <c r="L4979" s="19">
        <v>2024</v>
      </c>
      <c r="M4979" s="20">
        <v>1</v>
      </c>
      <c r="N4979" s="19" t="s">
        <v>1798</v>
      </c>
      <c r="O4979" s="20">
        <v>0</v>
      </c>
      <c r="P4979" s="20">
        <v>0</v>
      </c>
      <c r="Q4979" s="20">
        <v>0</v>
      </c>
      <c r="R4979" s="21">
        <v>1</v>
      </c>
      <c r="S4979" s="20">
        <v>0</v>
      </c>
    </row>
    <row r="4980" spans="2:19" ht="15" customHeight="1" x14ac:dyDescent="0.25">
      <c r="B4980" s="2" t="str">
        <f t="shared" si="154"/>
        <v>NSG_Income Eligible_Multi-Family_Whole Building - Public Housing_Energy Recovery Ventilator_0_CI</v>
      </c>
      <c r="C4980" s="2" t="str">
        <f t="shared" si="155"/>
        <v>NSG_Income Eligible_Multi-Family_Whole Building - Public Housing_Energy Recovery Ventilator_0_CI_2025</v>
      </c>
      <c r="D4980" s="19" t="s">
        <v>1787</v>
      </c>
      <c r="E4980" s="19" t="s">
        <v>325</v>
      </c>
      <c r="F4980" s="19" t="s">
        <v>1422</v>
      </c>
      <c r="G4980" s="19" t="s">
        <v>1817</v>
      </c>
      <c r="H4980" s="19" t="s">
        <v>11</v>
      </c>
      <c r="I4980" s="19">
        <v>0</v>
      </c>
      <c r="J4980" s="19" t="s">
        <v>27</v>
      </c>
      <c r="K4980" s="19" t="s">
        <v>1159</v>
      </c>
      <c r="L4980" s="19">
        <v>2025</v>
      </c>
      <c r="M4980" s="20">
        <v>1</v>
      </c>
      <c r="N4980" s="19" t="s">
        <v>1798</v>
      </c>
      <c r="O4980" s="20">
        <v>0</v>
      </c>
      <c r="P4980" s="20">
        <v>0</v>
      </c>
      <c r="Q4980" s="20">
        <v>0</v>
      </c>
      <c r="R4980" s="21">
        <v>1</v>
      </c>
      <c r="S4980" s="20">
        <v>0</v>
      </c>
    </row>
    <row r="4981" spans="2:19" ht="15" customHeight="1" x14ac:dyDescent="0.25">
      <c r="B4981" s="2" t="str">
        <f t="shared" si="154"/>
        <v>NSG_Income Eligible_Multi-Family_Partner Trade Ally Rebate_Steam Traps_Test_MF</v>
      </c>
      <c r="C4981" s="2" t="str">
        <f t="shared" si="155"/>
        <v>NSG_Income Eligible_Multi-Family_Partner Trade Ally Rebate_Steam Traps_Test_MF_2022</v>
      </c>
      <c r="D4981" s="19" t="s">
        <v>1787</v>
      </c>
      <c r="E4981" s="19" t="s">
        <v>325</v>
      </c>
      <c r="F4981" s="19" t="s">
        <v>1422</v>
      </c>
      <c r="G4981" s="19" t="s">
        <v>1799</v>
      </c>
      <c r="H4981" s="19" t="s">
        <v>644</v>
      </c>
      <c r="I4981" s="19" t="s">
        <v>1097</v>
      </c>
      <c r="J4981" s="19">
        <v>0</v>
      </c>
      <c r="K4981" s="19" t="s">
        <v>553</v>
      </c>
      <c r="L4981" s="19">
        <v>2022</v>
      </c>
      <c r="M4981" s="20">
        <v>1</v>
      </c>
      <c r="N4981" s="19" t="s">
        <v>1798</v>
      </c>
      <c r="O4981" s="20">
        <v>0</v>
      </c>
      <c r="P4981" s="20">
        <v>0</v>
      </c>
      <c r="Q4981" s="20">
        <v>0</v>
      </c>
      <c r="R4981" s="21">
        <v>1</v>
      </c>
      <c r="S4981" s="20">
        <v>0</v>
      </c>
    </row>
    <row r="4982" spans="2:19" ht="15" customHeight="1" x14ac:dyDescent="0.25">
      <c r="B4982" s="2" t="str">
        <f t="shared" si="154"/>
        <v>NSG_Income Eligible_Multi-Family_Partner Trade Ally Rebate_Steam Traps_Test_MF</v>
      </c>
      <c r="C4982" s="2" t="str">
        <f t="shared" si="155"/>
        <v>NSG_Income Eligible_Multi-Family_Partner Trade Ally Rebate_Steam Traps_Test_MF_2023</v>
      </c>
      <c r="D4982" s="19" t="s">
        <v>1787</v>
      </c>
      <c r="E4982" s="19" t="s">
        <v>325</v>
      </c>
      <c r="F4982" s="19" t="s">
        <v>1422</v>
      </c>
      <c r="G4982" s="19" t="s">
        <v>1799</v>
      </c>
      <c r="H4982" s="19" t="s">
        <v>644</v>
      </c>
      <c r="I4982" s="19" t="s">
        <v>1097</v>
      </c>
      <c r="J4982" s="19">
        <v>0</v>
      </c>
      <c r="K4982" s="19" t="s">
        <v>553</v>
      </c>
      <c r="L4982" s="19">
        <v>2023</v>
      </c>
      <c r="M4982" s="20">
        <v>1</v>
      </c>
      <c r="N4982" s="19" t="s">
        <v>1798</v>
      </c>
      <c r="O4982" s="20">
        <v>0</v>
      </c>
      <c r="P4982" s="20">
        <v>0</v>
      </c>
      <c r="Q4982" s="20">
        <v>0</v>
      </c>
      <c r="R4982" s="21">
        <v>1</v>
      </c>
      <c r="S4982" s="20">
        <v>0</v>
      </c>
    </row>
    <row r="4983" spans="2:19" ht="15" customHeight="1" x14ac:dyDescent="0.25">
      <c r="B4983" s="2" t="str">
        <f t="shared" si="154"/>
        <v>NSG_Income Eligible_Multi-Family_Partner Trade Ally Rebate_Steam Traps_Test_MF</v>
      </c>
      <c r="C4983" s="2" t="str">
        <f t="shared" si="155"/>
        <v>NSG_Income Eligible_Multi-Family_Partner Trade Ally Rebate_Steam Traps_Test_MF_2024</v>
      </c>
      <c r="D4983" s="19" t="s">
        <v>1787</v>
      </c>
      <c r="E4983" s="19" t="s">
        <v>325</v>
      </c>
      <c r="F4983" s="19" t="s">
        <v>1422</v>
      </c>
      <c r="G4983" s="19" t="s">
        <v>1799</v>
      </c>
      <c r="H4983" s="19" t="s">
        <v>644</v>
      </c>
      <c r="I4983" s="19" t="s">
        <v>1097</v>
      </c>
      <c r="J4983" s="19">
        <v>0</v>
      </c>
      <c r="K4983" s="19" t="s">
        <v>553</v>
      </c>
      <c r="L4983" s="19">
        <v>2024</v>
      </c>
      <c r="M4983" s="20">
        <v>1</v>
      </c>
      <c r="N4983" s="19" t="s">
        <v>1798</v>
      </c>
      <c r="O4983" s="20">
        <v>0</v>
      </c>
      <c r="P4983" s="20">
        <v>0</v>
      </c>
      <c r="Q4983" s="20">
        <v>0</v>
      </c>
      <c r="R4983" s="21">
        <v>1</v>
      </c>
      <c r="S4983" s="20">
        <v>0</v>
      </c>
    </row>
    <row r="4984" spans="2:19" ht="15" customHeight="1" x14ac:dyDescent="0.25">
      <c r="B4984" s="2" t="str">
        <f t="shared" si="154"/>
        <v>NSG_Income Eligible_Multi-Family_Partner Trade Ally Rebate_Steam Traps_Test_MF</v>
      </c>
      <c r="C4984" s="2" t="str">
        <f t="shared" si="155"/>
        <v>NSG_Income Eligible_Multi-Family_Partner Trade Ally Rebate_Steam Traps_Test_MF_2025</v>
      </c>
      <c r="D4984" s="19" t="s">
        <v>1787</v>
      </c>
      <c r="E4984" s="19" t="s">
        <v>325</v>
      </c>
      <c r="F4984" s="19" t="s">
        <v>1422</v>
      </c>
      <c r="G4984" s="19" t="s">
        <v>1799</v>
      </c>
      <c r="H4984" s="19" t="s">
        <v>644</v>
      </c>
      <c r="I4984" s="19" t="s">
        <v>1097</v>
      </c>
      <c r="J4984" s="19">
        <v>0</v>
      </c>
      <c r="K4984" s="19" t="s">
        <v>553</v>
      </c>
      <c r="L4984" s="19">
        <v>2025</v>
      </c>
      <c r="M4984" s="20">
        <v>1</v>
      </c>
      <c r="N4984" s="19" t="s">
        <v>1798</v>
      </c>
      <c r="O4984" s="20">
        <v>0</v>
      </c>
      <c r="P4984" s="20">
        <v>0</v>
      </c>
      <c r="Q4984" s="20">
        <v>0</v>
      </c>
      <c r="R4984" s="21">
        <v>1</v>
      </c>
      <c r="S4984" s="20">
        <v>0</v>
      </c>
    </row>
    <row r="4985" spans="2:19" ht="15" customHeight="1" x14ac:dyDescent="0.25">
      <c r="B4985" s="2" t="str">
        <f t="shared" si="154"/>
        <v>NSG_Income Eligible_Multi-Family_Partner Trade Ally Rebate_Steam Traps_HVAC Repair/Rep - Audit_MF</v>
      </c>
      <c r="C4985" s="2" t="str">
        <f t="shared" si="155"/>
        <v>NSG_Income Eligible_Multi-Family_Partner Trade Ally Rebate_Steam Traps_HVAC Repair/Rep - Audit_MF_2022</v>
      </c>
      <c r="D4985" s="19" t="s">
        <v>1787</v>
      </c>
      <c r="E4985" s="19" t="s">
        <v>325</v>
      </c>
      <c r="F4985" s="19" t="s">
        <v>1422</v>
      </c>
      <c r="G4985" s="19" t="s">
        <v>1799</v>
      </c>
      <c r="H4985" s="19" t="s">
        <v>644</v>
      </c>
      <c r="I4985" s="19" t="s">
        <v>645</v>
      </c>
      <c r="J4985" s="19" t="s">
        <v>37</v>
      </c>
      <c r="K4985" s="19" t="s">
        <v>553</v>
      </c>
      <c r="L4985" s="19">
        <v>2022</v>
      </c>
      <c r="M4985" s="20">
        <v>1</v>
      </c>
      <c r="N4985" s="19" t="s">
        <v>1798</v>
      </c>
      <c r="O4985" s="20">
        <v>0</v>
      </c>
      <c r="P4985" s="20">
        <v>0</v>
      </c>
      <c r="Q4985" s="20">
        <v>0</v>
      </c>
      <c r="R4985" s="21">
        <v>1</v>
      </c>
      <c r="S4985" s="20">
        <v>0</v>
      </c>
    </row>
    <row r="4986" spans="2:19" ht="15" customHeight="1" x14ac:dyDescent="0.25">
      <c r="B4986" s="2" t="str">
        <f t="shared" si="154"/>
        <v>NSG_Income Eligible_Multi-Family_Partner Trade Ally Rebate_Steam Traps_HVAC Repair/Rep - Audit_MF</v>
      </c>
      <c r="C4986" s="2" t="str">
        <f t="shared" si="155"/>
        <v>NSG_Income Eligible_Multi-Family_Partner Trade Ally Rebate_Steam Traps_HVAC Repair/Rep - Audit_MF_2023</v>
      </c>
      <c r="D4986" s="19" t="s">
        <v>1787</v>
      </c>
      <c r="E4986" s="19" t="s">
        <v>325</v>
      </c>
      <c r="F4986" s="19" t="s">
        <v>1422</v>
      </c>
      <c r="G4986" s="19" t="s">
        <v>1799</v>
      </c>
      <c r="H4986" s="19" t="s">
        <v>644</v>
      </c>
      <c r="I4986" s="19" t="s">
        <v>645</v>
      </c>
      <c r="J4986" s="19" t="s">
        <v>37</v>
      </c>
      <c r="K4986" s="19" t="s">
        <v>553</v>
      </c>
      <c r="L4986" s="19">
        <v>2023</v>
      </c>
      <c r="M4986" s="20">
        <v>1</v>
      </c>
      <c r="N4986" s="19" t="s">
        <v>1798</v>
      </c>
      <c r="O4986" s="20">
        <v>0</v>
      </c>
      <c r="P4986" s="20">
        <v>0</v>
      </c>
      <c r="Q4986" s="20">
        <v>0</v>
      </c>
      <c r="R4986" s="21">
        <v>1</v>
      </c>
      <c r="S4986" s="20">
        <v>0</v>
      </c>
    </row>
    <row r="4987" spans="2:19" ht="15" customHeight="1" x14ac:dyDescent="0.25">
      <c r="B4987" s="2" t="str">
        <f t="shared" si="154"/>
        <v>NSG_Income Eligible_Multi-Family_Partner Trade Ally Rebate_Steam Traps_HVAC Repair/Rep - Audit_MF</v>
      </c>
      <c r="C4987" s="2" t="str">
        <f t="shared" si="155"/>
        <v>NSG_Income Eligible_Multi-Family_Partner Trade Ally Rebate_Steam Traps_HVAC Repair/Rep - Audit_MF_2024</v>
      </c>
      <c r="D4987" s="19" t="s">
        <v>1787</v>
      </c>
      <c r="E4987" s="19" t="s">
        <v>325</v>
      </c>
      <c r="F4987" s="19" t="s">
        <v>1422</v>
      </c>
      <c r="G4987" s="19" t="s">
        <v>1799</v>
      </c>
      <c r="H4987" s="19" t="s">
        <v>644</v>
      </c>
      <c r="I4987" s="19" t="s">
        <v>645</v>
      </c>
      <c r="J4987" s="19" t="s">
        <v>37</v>
      </c>
      <c r="K4987" s="19" t="s">
        <v>553</v>
      </c>
      <c r="L4987" s="19">
        <v>2024</v>
      </c>
      <c r="M4987" s="20">
        <v>1</v>
      </c>
      <c r="N4987" s="19" t="s">
        <v>1798</v>
      </c>
      <c r="O4987" s="20">
        <v>0</v>
      </c>
      <c r="P4987" s="20">
        <v>0</v>
      </c>
      <c r="Q4987" s="20">
        <v>0</v>
      </c>
      <c r="R4987" s="21">
        <v>1</v>
      </c>
      <c r="S4987" s="20">
        <v>0</v>
      </c>
    </row>
    <row r="4988" spans="2:19" ht="15" customHeight="1" x14ac:dyDescent="0.25">
      <c r="B4988" s="2" t="str">
        <f t="shared" si="154"/>
        <v>NSG_Income Eligible_Multi-Family_Partner Trade Ally Rebate_Steam Traps_HVAC Repair/Rep - Audit_MF</v>
      </c>
      <c r="C4988" s="2" t="str">
        <f t="shared" si="155"/>
        <v>NSG_Income Eligible_Multi-Family_Partner Trade Ally Rebate_Steam Traps_HVAC Repair/Rep - Audit_MF_2025</v>
      </c>
      <c r="D4988" s="19" t="s">
        <v>1787</v>
      </c>
      <c r="E4988" s="19" t="s">
        <v>325</v>
      </c>
      <c r="F4988" s="19" t="s">
        <v>1422</v>
      </c>
      <c r="G4988" s="19" t="s">
        <v>1799</v>
      </c>
      <c r="H4988" s="19" t="s">
        <v>644</v>
      </c>
      <c r="I4988" s="19" t="s">
        <v>645</v>
      </c>
      <c r="J4988" s="19" t="s">
        <v>37</v>
      </c>
      <c r="K4988" s="19" t="s">
        <v>553</v>
      </c>
      <c r="L4988" s="19">
        <v>2025</v>
      </c>
      <c r="M4988" s="20">
        <v>1</v>
      </c>
      <c r="N4988" s="19" t="s">
        <v>1798</v>
      </c>
      <c r="O4988" s="20">
        <v>0</v>
      </c>
      <c r="P4988" s="20">
        <v>0</v>
      </c>
      <c r="Q4988" s="20">
        <v>0</v>
      </c>
      <c r="R4988" s="21">
        <v>1</v>
      </c>
      <c r="S4988" s="20">
        <v>0</v>
      </c>
    </row>
    <row r="4989" spans="2:19" ht="15" customHeight="1" x14ac:dyDescent="0.25">
      <c r="B4989" s="2" t="str">
        <f t="shared" si="154"/>
        <v>NSG_Income Eligible_Multi-Family_Partner Trade Ally Rebate_Steam Traps_HVAC Repair/Rep - No Audit_MF</v>
      </c>
      <c r="C4989" s="2" t="str">
        <f t="shared" si="155"/>
        <v>NSG_Income Eligible_Multi-Family_Partner Trade Ally Rebate_Steam Traps_HVAC Repair/Rep - No Audit_MF_2022</v>
      </c>
      <c r="D4989" s="19" t="s">
        <v>1787</v>
      </c>
      <c r="E4989" s="19" t="s">
        <v>325</v>
      </c>
      <c r="F4989" s="19" t="s">
        <v>1422</v>
      </c>
      <c r="G4989" s="19" t="s">
        <v>1799</v>
      </c>
      <c r="H4989" s="19" t="s">
        <v>644</v>
      </c>
      <c r="I4989" s="19" t="s">
        <v>660</v>
      </c>
      <c r="J4989" s="19" t="s">
        <v>37</v>
      </c>
      <c r="K4989" s="19" t="s">
        <v>553</v>
      </c>
      <c r="L4989" s="19">
        <v>2022</v>
      </c>
      <c r="M4989" s="20">
        <v>1</v>
      </c>
      <c r="N4989" s="19" t="s">
        <v>1798</v>
      </c>
      <c r="O4989" s="20">
        <v>0</v>
      </c>
      <c r="P4989" s="20">
        <v>0</v>
      </c>
      <c r="Q4989" s="20">
        <v>0</v>
      </c>
      <c r="R4989" s="21">
        <v>1</v>
      </c>
      <c r="S4989" s="20">
        <v>0</v>
      </c>
    </row>
    <row r="4990" spans="2:19" ht="15" customHeight="1" x14ac:dyDescent="0.25">
      <c r="B4990" s="2" t="str">
        <f t="shared" si="154"/>
        <v>NSG_Income Eligible_Multi-Family_Partner Trade Ally Rebate_Steam Traps_HVAC Repair/Rep - No Audit_MF</v>
      </c>
      <c r="C4990" s="2" t="str">
        <f t="shared" si="155"/>
        <v>NSG_Income Eligible_Multi-Family_Partner Trade Ally Rebate_Steam Traps_HVAC Repair/Rep - No Audit_MF_2023</v>
      </c>
      <c r="D4990" s="19" t="s">
        <v>1787</v>
      </c>
      <c r="E4990" s="19" t="s">
        <v>325</v>
      </c>
      <c r="F4990" s="19" t="s">
        <v>1422</v>
      </c>
      <c r="G4990" s="19" t="s">
        <v>1799</v>
      </c>
      <c r="H4990" s="19" t="s">
        <v>644</v>
      </c>
      <c r="I4990" s="19" t="s">
        <v>660</v>
      </c>
      <c r="J4990" s="19" t="s">
        <v>37</v>
      </c>
      <c r="K4990" s="19" t="s">
        <v>553</v>
      </c>
      <c r="L4990" s="19">
        <v>2023</v>
      </c>
      <c r="M4990" s="20">
        <v>1</v>
      </c>
      <c r="N4990" s="19" t="s">
        <v>1798</v>
      </c>
      <c r="O4990" s="20">
        <v>0</v>
      </c>
      <c r="P4990" s="20">
        <v>0</v>
      </c>
      <c r="Q4990" s="20">
        <v>0</v>
      </c>
      <c r="R4990" s="21">
        <v>1</v>
      </c>
      <c r="S4990" s="20">
        <v>0</v>
      </c>
    </row>
    <row r="4991" spans="2:19" ht="15" customHeight="1" x14ac:dyDescent="0.25">
      <c r="B4991" s="2" t="str">
        <f t="shared" si="154"/>
        <v>NSG_Income Eligible_Multi-Family_Partner Trade Ally Rebate_Steam Traps_HVAC Repair/Rep - No Audit_MF</v>
      </c>
      <c r="C4991" s="2" t="str">
        <f t="shared" si="155"/>
        <v>NSG_Income Eligible_Multi-Family_Partner Trade Ally Rebate_Steam Traps_HVAC Repair/Rep - No Audit_MF_2024</v>
      </c>
      <c r="D4991" s="19" t="s">
        <v>1787</v>
      </c>
      <c r="E4991" s="19" t="s">
        <v>325</v>
      </c>
      <c r="F4991" s="19" t="s">
        <v>1422</v>
      </c>
      <c r="G4991" s="19" t="s">
        <v>1799</v>
      </c>
      <c r="H4991" s="19" t="s">
        <v>644</v>
      </c>
      <c r="I4991" s="19" t="s">
        <v>660</v>
      </c>
      <c r="J4991" s="19" t="s">
        <v>37</v>
      </c>
      <c r="K4991" s="19" t="s">
        <v>553</v>
      </c>
      <c r="L4991" s="19">
        <v>2024</v>
      </c>
      <c r="M4991" s="20">
        <v>1</v>
      </c>
      <c r="N4991" s="19" t="s">
        <v>1798</v>
      </c>
      <c r="O4991" s="20">
        <v>0</v>
      </c>
      <c r="P4991" s="20">
        <v>0</v>
      </c>
      <c r="Q4991" s="20">
        <v>0</v>
      </c>
      <c r="R4991" s="21">
        <v>1</v>
      </c>
      <c r="S4991" s="20">
        <v>0</v>
      </c>
    </row>
    <row r="4992" spans="2:19" ht="15" customHeight="1" x14ac:dyDescent="0.25">
      <c r="B4992" s="2" t="str">
        <f t="shared" si="154"/>
        <v>NSG_Income Eligible_Multi-Family_Partner Trade Ally Rebate_Steam Traps_HVAC Repair/Rep - No Audit_MF</v>
      </c>
      <c r="C4992" s="2" t="str">
        <f t="shared" si="155"/>
        <v>NSG_Income Eligible_Multi-Family_Partner Trade Ally Rebate_Steam Traps_HVAC Repair/Rep - No Audit_MF_2025</v>
      </c>
      <c r="D4992" s="19" t="s">
        <v>1787</v>
      </c>
      <c r="E4992" s="19" t="s">
        <v>325</v>
      </c>
      <c r="F4992" s="19" t="s">
        <v>1422</v>
      </c>
      <c r="G4992" s="19" t="s">
        <v>1799</v>
      </c>
      <c r="H4992" s="19" t="s">
        <v>644</v>
      </c>
      <c r="I4992" s="19" t="s">
        <v>660</v>
      </c>
      <c r="J4992" s="19" t="s">
        <v>37</v>
      </c>
      <c r="K4992" s="19" t="s">
        <v>553</v>
      </c>
      <c r="L4992" s="19">
        <v>2025</v>
      </c>
      <c r="M4992" s="20">
        <v>1</v>
      </c>
      <c r="N4992" s="19" t="s">
        <v>1798</v>
      </c>
      <c r="O4992" s="20">
        <v>0</v>
      </c>
      <c r="P4992" s="20">
        <v>0</v>
      </c>
      <c r="Q4992" s="20">
        <v>0</v>
      </c>
      <c r="R4992" s="21">
        <v>1</v>
      </c>
      <c r="S4992" s="20">
        <v>0</v>
      </c>
    </row>
    <row r="4993" spans="2:19" ht="15" customHeight="1" x14ac:dyDescent="0.25">
      <c r="B4993" s="2" t="str">
        <f t="shared" si="154"/>
        <v>NSG_Income Eligible_Multi-Family_Partner Trade Ally Rebate_Pipe Insulation_Hyd. Boiler Sm ≤1.25"_MF</v>
      </c>
      <c r="C4993" s="2" t="str">
        <f t="shared" si="155"/>
        <v>NSG_Income Eligible_Multi-Family_Partner Trade Ally Rebate_Pipe Insulation_Hyd. Boiler Sm ≤1.25"_MF_2022</v>
      </c>
      <c r="D4993" s="19" t="s">
        <v>1787</v>
      </c>
      <c r="E4993" s="19" t="s">
        <v>325</v>
      </c>
      <c r="F4993" s="19" t="s">
        <v>1422</v>
      </c>
      <c r="G4993" s="19" t="s">
        <v>1799</v>
      </c>
      <c r="H4993" s="19" t="s">
        <v>404</v>
      </c>
      <c r="I4993" s="19" t="s">
        <v>947</v>
      </c>
      <c r="J4993" s="19">
        <v>0</v>
      </c>
      <c r="K4993" s="19" t="s">
        <v>553</v>
      </c>
      <c r="L4993" s="19">
        <v>2022</v>
      </c>
      <c r="M4993" s="20">
        <v>75</v>
      </c>
      <c r="N4993" s="19" t="s">
        <v>1798</v>
      </c>
      <c r="O4993" s="20">
        <v>0</v>
      </c>
      <c r="P4993" s="20">
        <v>0</v>
      </c>
      <c r="Q4993" s="20">
        <v>0</v>
      </c>
      <c r="R4993" s="21">
        <v>1</v>
      </c>
      <c r="S4993" s="20">
        <v>0</v>
      </c>
    </row>
    <row r="4994" spans="2:19" ht="15" customHeight="1" x14ac:dyDescent="0.25">
      <c r="B4994" s="2" t="str">
        <f t="shared" si="154"/>
        <v>NSG_Income Eligible_Multi-Family_Partner Trade Ally Rebate_Pipe Insulation_Hyd. Boiler Sm ≤1.25"_MF</v>
      </c>
      <c r="C4994" s="2" t="str">
        <f t="shared" si="155"/>
        <v>NSG_Income Eligible_Multi-Family_Partner Trade Ally Rebate_Pipe Insulation_Hyd. Boiler Sm ≤1.25"_MF_2023</v>
      </c>
      <c r="D4994" s="19" t="s">
        <v>1787</v>
      </c>
      <c r="E4994" s="19" t="s">
        <v>325</v>
      </c>
      <c r="F4994" s="19" t="s">
        <v>1422</v>
      </c>
      <c r="G4994" s="19" t="s">
        <v>1799</v>
      </c>
      <c r="H4994" s="19" t="s">
        <v>404</v>
      </c>
      <c r="I4994" s="19" t="s">
        <v>947</v>
      </c>
      <c r="J4994" s="19">
        <v>0</v>
      </c>
      <c r="K4994" s="19" t="s">
        <v>553</v>
      </c>
      <c r="L4994" s="19">
        <v>2023</v>
      </c>
      <c r="M4994" s="20">
        <v>75</v>
      </c>
      <c r="N4994" s="19" t="s">
        <v>1798</v>
      </c>
      <c r="O4994" s="20">
        <v>0</v>
      </c>
      <c r="P4994" s="20">
        <v>0</v>
      </c>
      <c r="Q4994" s="20">
        <v>0</v>
      </c>
      <c r="R4994" s="21">
        <v>1</v>
      </c>
      <c r="S4994" s="20">
        <v>0</v>
      </c>
    </row>
    <row r="4995" spans="2:19" ht="15" customHeight="1" x14ac:dyDescent="0.25">
      <c r="B4995" s="2" t="str">
        <f t="shared" si="154"/>
        <v>NSG_Income Eligible_Multi-Family_Partner Trade Ally Rebate_Pipe Insulation_Hyd. Boiler Sm ≤1.25"_MF</v>
      </c>
      <c r="C4995" s="2" t="str">
        <f t="shared" si="155"/>
        <v>NSG_Income Eligible_Multi-Family_Partner Trade Ally Rebate_Pipe Insulation_Hyd. Boiler Sm ≤1.25"_MF_2024</v>
      </c>
      <c r="D4995" s="19" t="s">
        <v>1787</v>
      </c>
      <c r="E4995" s="19" t="s">
        <v>325</v>
      </c>
      <c r="F4995" s="19" t="s">
        <v>1422</v>
      </c>
      <c r="G4995" s="19" t="s">
        <v>1799</v>
      </c>
      <c r="H4995" s="19" t="s">
        <v>404</v>
      </c>
      <c r="I4995" s="19" t="s">
        <v>947</v>
      </c>
      <c r="J4995" s="19">
        <v>0</v>
      </c>
      <c r="K4995" s="19" t="s">
        <v>553</v>
      </c>
      <c r="L4995" s="19">
        <v>2024</v>
      </c>
      <c r="M4995" s="20">
        <v>75</v>
      </c>
      <c r="N4995" s="19" t="s">
        <v>1798</v>
      </c>
      <c r="O4995" s="20">
        <v>0</v>
      </c>
      <c r="P4995" s="20">
        <v>0</v>
      </c>
      <c r="Q4995" s="20">
        <v>0</v>
      </c>
      <c r="R4995" s="21">
        <v>1</v>
      </c>
      <c r="S4995" s="20">
        <v>0</v>
      </c>
    </row>
    <row r="4996" spans="2:19" ht="15" customHeight="1" x14ac:dyDescent="0.25">
      <c r="B4996" s="2" t="str">
        <f t="shared" si="154"/>
        <v>NSG_Income Eligible_Multi-Family_Partner Trade Ally Rebate_Pipe Insulation_Hyd. Boiler Sm ≤1.25"_MF</v>
      </c>
      <c r="C4996" s="2" t="str">
        <f t="shared" si="155"/>
        <v>NSG_Income Eligible_Multi-Family_Partner Trade Ally Rebate_Pipe Insulation_Hyd. Boiler Sm ≤1.25"_MF_2025</v>
      </c>
      <c r="D4996" s="19" t="s">
        <v>1787</v>
      </c>
      <c r="E4996" s="19" t="s">
        <v>325</v>
      </c>
      <c r="F4996" s="19" t="s">
        <v>1422</v>
      </c>
      <c r="G4996" s="19" t="s">
        <v>1799</v>
      </c>
      <c r="H4996" s="19" t="s">
        <v>404</v>
      </c>
      <c r="I4996" s="19" t="s">
        <v>947</v>
      </c>
      <c r="J4996" s="19">
        <v>0</v>
      </c>
      <c r="K4996" s="19" t="s">
        <v>553</v>
      </c>
      <c r="L4996" s="19">
        <v>2025</v>
      </c>
      <c r="M4996" s="20">
        <v>75</v>
      </c>
      <c r="N4996" s="19" t="s">
        <v>1798</v>
      </c>
      <c r="O4996" s="20">
        <v>0</v>
      </c>
      <c r="P4996" s="20">
        <v>0</v>
      </c>
      <c r="Q4996" s="20">
        <v>0</v>
      </c>
      <c r="R4996" s="21">
        <v>1</v>
      </c>
      <c r="S4996" s="20">
        <v>0</v>
      </c>
    </row>
    <row r="4997" spans="2:19" ht="15" customHeight="1" x14ac:dyDescent="0.25">
      <c r="B4997" s="2" t="str">
        <f t="shared" si="154"/>
        <v>NSG_Income Eligible_Multi-Family_Partner Trade Ally Rebate_Pipe Insulation_Hyd. Boiler Med 1.25-2"_MF</v>
      </c>
      <c r="C4997" s="2" t="str">
        <f t="shared" si="155"/>
        <v>NSG_Income Eligible_Multi-Family_Partner Trade Ally Rebate_Pipe Insulation_Hyd. Boiler Med 1.25-2"_MF_2022</v>
      </c>
      <c r="D4997" s="19" t="s">
        <v>1787</v>
      </c>
      <c r="E4997" s="19" t="s">
        <v>325</v>
      </c>
      <c r="F4997" s="19" t="s">
        <v>1422</v>
      </c>
      <c r="G4997" s="19" t="s">
        <v>1799</v>
      </c>
      <c r="H4997" s="19" t="s">
        <v>404</v>
      </c>
      <c r="I4997" s="19" t="s">
        <v>951</v>
      </c>
      <c r="J4997" s="19">
        <v>0</v>
      </c>
      <c r="K4997" s="19" t="s">
        <v>553</v>
      </c>
      <c r="L4997" s="19">
        <v>2022</v>
      </c>
      <c r="M4997" s="20">
        <v>75</v>
      </c>
      <c r="N4997" s="19" t="s">
        <v>1798</v>
      </c>
      <c r="O4997" s="20">
        <v>0</v>
      </c>
      <c r="P4997" s="20">
        <v>0</v>
      </c>
      <c r="Q4997" s="20">
        <v>0</v>
      </c>
      <c r="R4997" s="21">
        <v>1</v>
      </c>
      <c r="S4997" s="20">
        <v>0</v>
      </c>
    </row>
    <row r="4998" spans="2:19" ht="15" customHeight="1" x14ac:dyDescent="0.25">
      <c r="B4998" s="2" t="str">
        <f t="shared" ref="B4998:B5061" si="156">D4998&amp;"_"&amp;E4998&amp;"_"&amp;F4998&amp;"_"&amp;G4998&amp;"_"&amp;H4998&amp;"_"&amp;I4998&amp;"_"&amp;K4998</f>
        <v>NSG_Income Eligible_Multi-Family_Partner Trade Ally Rebate_Pipe Insulation_Hyd. Boiler Med 1.25-2"_MF</v>
      </c>
      <c r="C4998" s="2" t="str">
        <f t="shared" ref="C4998:C5061" si="157">D4998&amp;"_"&amp;E4998&amp;"_"&amp;F4998&amp;"_"&amp;G4998&amp;"_"&amp;H4998&amp;"_"&amp;I4998&amp;"_"&amp;K4998&amp;"_"&amp;L4998</f>
        <v>NSG_Income Eligible_Multi-Family_Partner Trade Ally Rebate_Pipe Insulation_Hyd. Boiler Med 1.25-2"_MF_2023</v>
      </c>
      <c r="D4998" s="19" t="s">
        <v>1787</v>
      </c>
      <c r="E4998" s="19" t="s">
        <v>325</v>
      </c>
      <c r="F4998" s="19" t="s">
        <v>1422</v>
      </c>
      <c r="G4998" s="19" t="s">
        <v>1799</v>
      </c>
      <c r="H4998" s="19" t="s">
        <v>404</v>
      </c>
      <c r="I4998" s="19" t="s">
        <v>951</v>
      </c>
      <c r="J4998" s="19">
        <v>0</v>
      </c>
      <c r="K4998" s="19" t="s">
        <v>553</v>
      </c>
      <c r="L4998" s="19">
        <v>2023</v>
      </c>
      <c r="M4998" s="20">
        <v>75</v>
      </c>
      <c r="N4998" s="19" t="s">
        <v>1798</v>
      </c>
      <c r="O4998" s="20">
        <v>0</v>
      </c>
      <c r="P4998" s="20">
        <v>0</v>
      </c>
      <c r="Q4998" s="20">
        <v>0</v>
      </c>
      <c r="R4998" s="21">
        <v>1</v>
      </c>
      <c r="S4998" s="20">
        <v>0</v>
      </c>
    </row>
    <row r="4999" spans="2:19" ht="15" customHeight="1" x14ac:dyDescent="0.25">
      <c r="B4999" s="2" t="str">
        <f t="shared" si="156"/>
        <v>NSG_Income Eligible_Multi-Family_Partner Trade Ally Rebate_Pipe Insulation_Hyd. Boiler Med 1.25-2"_MF</v>
      </c>
      <c r="C4999" s="2" t="str">
        <f t="shared" si="157"/>
        <v>NSG_Income Eligible_Multi-Family_Partner Trade Ally Rebate_Pipe Insulation_Hyd. Boiler Med 1.25-2"_MF_2024</v>
      </c>
      <c r="D4999" s="19" t="s">
        <v>1787</v>
      </c>
      <c r="E4999" s="19" t="s">
        <v>325</v>
      </c>
      <c r="F4999" s="19" t="s">
        <v>1422</v>
      </c>
      <c r="G4999" s="19" t="s">
        <v>1799</v>
      </c>
      <c r="H4999" s="19" t="s">
        <v>404</v>
      </c>
      <c r="I4999" s="19" t="s">
        <v>951</v>
      </c>
      <c r="J4999" s="19">
        <v>0</v>
      </c>
      <c r="K4999" s="19" t="s">
        <v>553</v>
      </c>
      <c r="L4999" s="19">
        <v>2024</v>
      </c>
      <c r="M4999" s="20">
        <v>75</v>
      </c>
      <c r="N4999" s="19" t="s">
        <v>1798</v>
      </c>
      <c r="O4999" s="20">
        <v>0</v>
      </c>
      <c r="P4999" s="20">
        <v>0</v>
      </c>
      <c r="Q4999" s="20">
        <v>0</v>
      </c>
      <c r="R4999" s="21">
        <v>1</v>
      </c>
      <c r="S4999" s="20">
        <v>0</v>
      </c>
    </row>
    <row r="5000" spans="2:19" ht="15" customHeight="1" x14ac:dyDescent="0.25">
      <c r="B5000" s="2" t="str">
        <f t="shared" si="156"/>
        <v>NSG_Income Eligible_Multi-Family_Partner Trade Ally Rebate_Pipe Insulation_Hyd. Boiler Med 1.25-2"_MF</v>
      </c>
      <c r="C5000" s="2" t="str">
        <f t="shared" si="157"/>
        <v>NSG_Income Eligible_Multi-Family_Partner Trade Ally Rebate_Pipe Insulation_Hyd. Boiler Med 1.25-2"_MF_2025</v>
      </c>
      <c r="D5000" s="19" t="s">
        <v>1787</v>
      </c>
      <c r="E5000" s="19" t="s">
        <v>325</v>
      </c>
      <c r="F5000" s="19" t="s">
        <v>1422</v>
      </c>
      <c r="G5000" s="19" t="s">
        <v>1799</v>
      </c>
      <c r="H5000" s="19" t="s">
        <v>404</v>
      </c>
      <c r="I5000" s="19" t="s">
        <v>951</v>
      </c>
      <c r="J5000" s="19">
        <v>0</v>
      </c>
      <c r="K5000" s="19" t="s">
        <v>553</v>
      </c>
      <c r="L5000" s="19">
        <v>2025</v>
      </c>
      <c r="M5000" s="20">
        <v>75</v>
      </c>
      <c r="N5000" s="19" t="s">
        <v>1798</v>
      </c>
      <c r="O5000" s="20">
        <v>0</v>
      </c>
      <c r="P5000" s="20">
        <v>0</v>
      </c>
      <c r="Q5000" s="20">
        <v>0</v>
      </c>
      <c r="R5000" s="21">
        <v>1</v>
      </c>
      <c r="S5000" s="20">
        <v>0</v>
      </c>
    </row>
    <row r="5001" spans="2:19" ht="15" customHeight="1" x14ac:dyDescent="0.25">
      <c r="B5001" s="2" t="str">
        <f t="shared" si="156"/>
        <v>NSG_Income Eligible_Multi-Family_Partner Trade Ally Rebate_Pipe Insulation_Hyd. Boiler Large ≥2"_MF</v>
      </c>
      <c r="C5001" s="2" t="str">
        <f t="shared" si="157"/>
        <v>NSG_Income Eligible_Multi-Family_Partner Trade Ally Rebate_Pipe Insulation_Hyd. Boiler Large ≥2"_MF_2022</v>
      </c>
      <c r="D5001" s="19" t="s">
        <v>1787</v>
      </c>
      <c r="E5001" s="19" t="s">
        <v>325</v>
      </c>
      <c r="F5001" s="19" t="s">
        <v>1422</v>
      </c>
      <c r="G5001" s="19" t="s">
        <v>1799</v>
      </c>
      <c r="H5001" s="19" t="s">
        <v>404</v>
      </c>
      <c r="I5001" s="19" t="s">
        <v>952</v>
      </c>
      <c r="J5001" s="19">
        <v>0</v>
      </c>
      <c r="K5001" s="19" t="s">
        <v>553</v>
      </c>
      <c r="L5001" s="19">
        <v>2022</v>
      </c>
      <c r="M5001" s="20">
        <v>75</v>
      </c>
      <c r="N5001" s="19" t="s">
        <v>1798</v>
      </c>
      <c r="O5001" s="20">
        <v>0</v>
      </c>
      <c r="P5001" s="20">
        <v>0</v>
      </c>
      <c r="Q5001" s="20">
        <v>0</v>
      </c>
      <c r="R5001" s="21">
        <v>1</v>
      </c>
      <c r="S5001" s="20">
        <v>0</v>
      </c>
    </row>
    <row r="5002" spans="2:19" ht="15" customHeight="1" x14ac:dyDescent="0.25">
      <c r="B5002" s="2" t="str">
        <f t="shared" si="156"/>
        <v>NSG_Income Eligible_Multi-Family_Partner Trade Ally Rebate_Pipe Insulation_Hyd. Boiler Large ≥2"_MF</v>
      </c>
      <c r="C5002" s="2" t="str">
        <f t="shared" si="157"/>
        <v>NSG_Income Eligible_Multi-Family_Partner Trade Ally Rebate_Pipe Insulation_Hyd. Boiler Large ≥2"_MF_2023</v>
      </c>
      <c r="D5002" s="19" t="s">
        <v>1787</v>
      </c>
      <c r="E5002" s="19" t="s">
        <v>325</v>
      </c>
      <c r="F5002" s="19" t="s">
        <v>1422</v>
      </c>
      <c r="G5002" s="19" t="s">
        <v>1799</v>
      </c>
      <c r="H5002" s="19" t="s">
        <v>404</v>
      </c>
      <c r="I5002" s="19" t="s">
        <v>952</v>
      </c>
      <c r="J5002" s="19">
        <v>0</v>
      </c>
      <c r="K5002" s="19" t="s">
        <v>553</v>
      </c>
      <c r="L5002" s="19">
        <v>2023</v>
      </c>
      <c r="M5002" s="20">
        <v>75</v>
      </c>
      <c r="N5002" s="19" t="s">
        <v>1798</v>
      </c>
      <c r="O5002" s="20">
        <v>0</v>
      </c>
      <c r="P5002" s="20">
        <v>0</v>
      </c>
      <c r="Q5002" s="20">
        <v>0</v>
      </c>
      <c r="R5002" s="21">
        <v>1</v>
      </c>
      <c r="S5002" s="20">
        <v>0</v>
      </c>
    </row>
    <row r="5003" spans="2:19" ht="15" customHeight="1" x14ac:dyDescent="0.25">
      <c r="B5003" s="2" t="str">
        <f t="shared" si="156"/>
        <v>NSG_Income Eligible_Multi-Family_Partner Trade Ally Rebate_Pipe Insulation_Hyd. Boiler Large ≥2"_MF</v>
      </c>
      <c r="C5003" s="2" t="str">
        <f t="shared" si="157"/>
        <v>NSG_Income Eligible_Multi-Family_Partner Trade Ally Rebate_Pipe Insulation_Hyd. Boiler Large ≥2"_MF_2024</v>
      </c>
      <c r="D5003" s="19" t="s">
        <v>1787</v>
      </c>
      <c r="E5003" s="19" t="s">
        <v>325</v>
      </c>
      <c r="F5003" s="19" t="s">
        <v>1422</v>
      </c>
      <c r="G5003" s="19" t="s">
        <v>1799</v>
      </c>
      <c r="H5003" s="19" t="s">
        <v>404</v>
      </c>
      <c r="I5003" s="19" t="s">
        <v>952</v>
      </c>
      <c r="J5003" s="19">
        <v>0</v>
      </c>
      <c r="K5003" s="19" t="s">
        <v>553</v>
      </c>
      <c r="L5003" s="19">
        <v>2024</v>
      </c>
      <c r="M5003" s="20">
        <v>75</v>
      </c>
      <c r="N5003" s="19" t="s">
        <v>1798</v>
      </c>
      <c r="O5003" s="20">
        <v>0</v>
      </c>
      <c r="P5003" s="20">
        <v>0</v>
      </c>
      <c r="Q5003" s="20">
        <v>0</v>
      </c>
      <c r="R5003" s="21">
        <v>1</v>
      </c>
      <c r="S5003" s="20">
        <v>0</v>
      </c>
    </row>
    <row r="5004" spans="2:19" ht="15" customHeight="1" x14ac:dyDescent="0.25">
      <c r="B5004" s="2" t="str">
        <f t="shared" si="156"/>
        <v>NSG_Income Eligible_Multi-Family_Partner Trade Ally Rebate_Pipe Insulation_Hyd. Boiler Large ≥2"_MF</v>
      </c>
      <c r="C5004" s="2" t="str">
        <f t="shared" si="157"/>
        <v>NSG_Income Eligible_Multi-Family_Partner Trade Ally Rebate_Pipe Insulation_Hyd. Boiler Large ≥2"_MF_2025</v>
      </c>
      <c r="D5004" s="19" t="s">
        <v>1787</v>
      </c>
      <c r="E5004" s="19" t="s">
        <v>325</v>
      </c>
      <c r="F5004" s="19" t="s">
        <v>1422</v>
      </c>
      <c r="G5004" s="19" t="s">
        <v>1799</v>
      </c>
      <c r="H5004" s="19" t="s">
        <v>404</v>
      </c>
      <c r="I5004" s="19" t="s">
        <v>952</v>
      </c>
      <c r="J5004" s="19">
        <v>0</v>
      </c>
      <c r="K5004" s="19" t="s">
        <v>553</v>
      </c>
      <c r="L5004" s="19">
        <v>2025</v>
      </c>
      <c r="M5004" s="20">
        <v>75</v>
      </c>
      <c r="N5004" s="19" t="s">
        <v>1798</v>
      </c>
      <c r="O5004" s="20">
        <v>0</v>
      </c>
      <c r="P5004" s="20">
        <v>0</v>
      </c>
      <c r="Q5004" s="20">
        <v>0</v>
      </c>
      <c r="R5004" s="21">
        <v>1</v>
      </c>
      <c r="S5004" s="20">
        <v>0</v>
      </c>
    </row>
    <row r="5005" spans="2:19" ht="15" customHeight="1" x14ac:dyDescent="0.25">
      <c r="B5005" s="2" t="str">
        <f t="shared" si="156"/>
        <v>NSG_Income Eligible_Multi-Family_Partner Trade Ally Rebate_Pipe Insulation_HW Small 1" to 2"_MF/CI/SMB</v>
      </c>
      <c r="C5005" s="2" t="str">
        <f t="shared" si="157"/>
        <v>NSG_Income Eligible_Multi-Family_Partner Trade Ally Rebate_Pipe Insulation_HW Small 1" to 2"_MF/CI/SMB_2022</v>
      </c>
      <c r="D5005" s="19" t="s">
        <v>1787</v>
      </c>
      <c r="E5005" s="19" t="s">
        <v>325</v>
      </c>
      <c r="F5005" s="19" t="s">
        <v>1422</v>
      </c>
      <c r="G5005" s="19" t="s">
        <v>1799</v>
      </c>
      <c r="H5005" s="19" t="s">
        <v>404</v>
      </c>
      <c r="I5005" s="19" t="s">
        <v>953</v>
      </c>
      <c r="J5005" s="19">
        <v>0</v>
      </c>
      <c r="K5005" s="19" t="s">
        <v>662</v>
      </c>
      <c r="L5005" s="19">
        <v>2022</v>
      </c>
      <c r="M5005" s="20">
        <v>75</v>
      </c>
      <c r="N5005" s="19" t="s">
        <v>1798</v>
      </c>
      <c r="O5005" s="20">
        <v>0</v>
      </c>
      <c r="P5005" s="20">
        <v>0</v>
      </c>
      <c r="Q5005" s="20">
        <v>0</v>
      </c>
      <c r="R5005" s="21">
        <v>1</v>
      </c>
      <c r="S5005" s="20">
        <v>0</v>
      </c>
    </row>
    <row r="5006" spans="2:19" ht="15" customHeight="1" x14ac:dyDescent="0.25">
      <c r="B5006" s="2" t="str">
        <f t="shared" si="156"/>
        <v>NSG_Income Eligible_Multi-Family_Partner Trade Ally Rebate_Pipe Insulation_HW Small 1" to 2"_MF/CI/SMB</v>
      </c>
      <c r="C5006" s="2" t="str">
        <f t="shared" si="157"/>
        <v>NSG_Income Eligible_Multi-Family_Partner Trade Ally Rebate_Pipe Insulation_HW Small 1" to 2"_MF/CI/SMB_2023</v>
      </c>
      <c r="D5006" s="19" t="s">
        <v>1787</v>
      </c>
      <c r="E5006" s="19" t="s">
        <v>325</v>
      </c>
      <c r="F5006" s="19" t="s">
        <v>1422</v>
      </c>
      <c r="G5006" s="19" t="s">
        <v>1799</v>
      </c>
      <c r="H5006" s="19" t="s">
        <v>404</v>
      </c>
      <c r="I5006" s="19" t="s">
        <v>953</v>
      </c>
      <c r="J5006" s="19">
        <v>0</v>
      </c>
      <c r="K5006" s="19" t="s">
        <v>662</v>
      </c>
      <c r="L5006" s="19">
        <v>2023</v>
      </c>
      <c r="M5006" s="20">
        <v>75</v>
      </c>
      <c r="N5006" s="19" t="s">
        <v>1798</v>
      </c>
      <c r="O5006" s="20">
        <v>0</v>
      </c>
      <c r="P5006" s="20">
        <v>0</v>
      </c>
      <c r="Q5006" s="20">
        <v>0</v>
      </c>
      <c r="R5006" s="21">
        <v>1</v>
      </c>
      <c r="S5006" s="20">
        <v>0</v>
      </c>
    </row>
    <row r="5007" spans="2:19" ht="15" customHeight="1" x14ac:dyDescent="0.25">
      <c r="B5007" s="2" t="str">
        <f t="shared" si="156"/>
        <v>NSG_Income Eligible_Multi-Family_Partner Trade Ally Rebate_Pipe Insulation_HW Small 1" to 2"_MF/CI/SMB</v>
      </c>
      <c r="C5007" s="2" t="str">
        <f t="shared" si="157"/>
        <v>NSG_Income Eligible_Multi-Family_Partner Trade Ally Rebate_Pipe Insulation_HW Small 1" to 2"_MF/CI/SMB_2024</v>
      </c>
      <c r="D5007" s="19" t="s">
        <v>1787</v>
      </c>
      <c r="E5007" s="19" t="s">
        <v>325</v>
      </c>
      <c r="F5007" s="19" t="s">
        <v>1422</v>
      </c>
      <c r="G5007" s="19" t="s">
        <v>1799</v>
      </c>
      <c r="H5007" s="19" t="s">
        <v>404</v>
      </c>
      <c r="I5007" s="19" t="s">
        <v>953</v>
      </c>
      <c r="J5007" s="19">
        <v>0</v>
      </c>
      <c r="K5007" s="19" t="s">
        <v>662</v>
      </c>
      <c r="L5007" s="19">
        <v>2024</v>
      </c>
      <c r="M5007" s="20">
        <v>75</v>
      </c>
      <c r="N5007" s="19" t="s">
        <v>1798</v>
      </c>
      <c r="O5007" s="20">
        <v>0</v>
      </c>
      <c r="P5007" s="20">
        <v>0</v>
      </c>
      <c r="Q5007" s="20">
        <v>0</v>
      </c>
      <c r="R5007" s="21">
        <v>1</v>
      </c>
      <c r="S5007" s="20">
        <v>0</v>
      </c>
    </row>
    <row r="5008" spans="2:19" ht="15" customHeight="1" x14ac:dyDescent="0.25">
      <c r="B5008" s="2" t="str">
        <f t="shared" si="156"/>
        <v>NSG_Income Eligible_Multi-Family_Partner Trade Ally Rebate_Pipe Insulation_HW Small 1" to 2"_MF/CI/SMB</v>
      </c>
      <c r="C5008" s="2" t="str">
        <f t="shared" si="157"/>
        <v>NSG_Income Eligible_Multi-Family_Partner Trade Ally Rebate_Pipe Insulation_HW Small 1" to 2"_MF/CI/SMB_2025</v>
      </c>
      <c r="D5008" s="19" t="s">
        <v>1787</v>
      </c>
      <c r="E5008" s="19" t="s">
        <v>325</v>
      </c>
      <c r="F5008" s="19" t="s">
        <v>1422</v>
      </c>
      <c r="G5008" s="19" t="s">
        <v>1799</v>
      </c>
      <c r="H5008" s="19" t="s">
        <v>404</v>
      </c>
      <c r="I5008" s="19" t="s">
        <v>953</v>
      </c>
      <c r="J5008" s="19">
        <v>0</v>
      </c>
      <c r="K5008" s="19" t="s">
        <v>662</v>
      </c>
      <c r="L5008" s="19">
        <v>2025</v>
      </c>
      <c r="M5008" s="20">
        <v>75</v>
      </c>
      <c r="N5008" s="19" t="s">
        <v>1798</v>
      </c>
      <c r="O5008" s="20">
        <v>0</v>
      </c>
      <c r="P5008" s="20">
        <v>0</v>
      </c>
      <c r="Q5008" s="20">
        <v>0</v>
      </c>
      <c r="R5008" s="21">
        <v>1</v>
      </c>
      <c r="S5008" s="20">
        <v>0</v>
      </c>
    </row>
    <row r="5009" spans="2:19" ht="15" customHeight="1" x14ac:dyDescent="0.25">
      <c r="B5009" s="2" t="str">
        <f t="shared" si="156"/>
        <v>NSG_Income Eligible_Multi-Family_Partner Trade Ally Rebate_Pipe Insulation_HW Medium 2.1" to 4"_MF/CI/SMB</v>
      </c>
      <c r="C5009" s="2" t="str">
        <f t="shared" si="157"/>
        <v>NSG_Income Eligible_Multi-Family_Partner Trade Ally Rebate_Pipe Insulation_HW Medium 2.1" to 4"_MF/CI/SMB_2022</v>
      </c>
      <c r="D5009" s="19" t="s">
        <v>1787</v>
      </c>
      <c r="E5009" s="19" t="s">
        <v>325</v>
      </c>
      <c r="F5009" s="19" t="s">
        <v>1422</v>
      </c>
      <c r="G5009" s="19" t="s">
        <v>1799</v>
      </c>
      <c r="H5009" s="19" t="s">
        <v>404</v>
      </c>
      <c r="I5009" s="19" t="s">
        <v>954</v>
      </c>
      <c r="J5009" s="19">
        <v>0</v>
      </c>
      <c r="K5009" s="19" t="s">
        <v>662</v>
      </c>
      <c r="L5009" s="19">
        <v>2022</v>
      </c>
      <c r="M5009" s="20">
        <v>75</v>
      </c>
      <c r="N5009" s="19" t="s">
        <v>1798</v>
      </c>
      <c r="O5009" s="20">
        <v>0</v>
      </c>
      <c r="P5009" s="20">
        <v>0</v>
      </c>
      <c r="Q5009" s="20">
        <v>0</v>
      </c>
      <c r="R5009" s="21">
        <v>1</v>
      </c>
      <c r="S5009" s="20">
        <v>0</v>
      </c>
    </row>
    <row r="5010" spans="2:19" ht="15" customHeight="1" x14ac:dyDescent="0.25">
      <c r="B5010" s="2" t="str">
        <f t="shared" si="156"/>
        <v>NSG_Income Eligible_Multi-Family_Partner Trade Ally Rebate_Pipe Insulation_HW Medium 2.1" to 4"_MF/CI/SMB</v>
      </c>
      <c r="C5010" s="2" t="str">
        <f t="shared" si="157"/>
        <v>NSG_Income Eligible_Multi-Family_Partner Trade Ally Rebate_Pipe Insulation_HW Medium 2.1" to 4"_MF/CI/SMB_2023</v>
      </c>
      <c r="D5010" s="19" t="s">
        <v>1787</v>
      </c>
      <c r="E5010" s="19" t="s">
        <v>325</v>
      </c>
      <c r="F5010" s="19" t="s">
        <v>1422</v>
      </c>
      <c r="G5010" s="19" t="s">
        <v>1799</v>
      </c>
      <c r="H5010" s="19" t="s">
        <v>404</v>
      </c>
      <c r="I5010" s="19" t="s">
        <v>954</v>
      </c>
      <c r="J5010" s="19">
        <v>0</v>
      </c>
      <c r="K5010" s="19" t="s">
        <v>662</v>
      </c>
      <c r="L5010" s="19">
        <v>2023</v>
      </c>
      <c r="M5010" s="20">
        <v>75</v>
      </c>
      <c r="N5010" s="19" t="s">
        <v>1798</v>
      </c>
      <c r="O5010" s="20">
        <v>0</v>
      </c>
      <c r="P5010" s="20">
        <v>0</v>
      </c>
      <c r="Q5010" s="20">
        <v>0</v>
      </c>
      <c r="R5010" s="21">
        <v>1</v>
      </c>
      <c r="S5010" s="20">
        <v>0</v>
      </c>
    </row>
    <row r="5011" spans="2:19" ht="15" customHeight="1" x14ac:dyDescent="0.25">
      <c r="B5011" s="2" t="str">
        <f t="shared" si="156"/>
        <v>NSG_Income Eligible_Multi-Family_Partner Trade Ally Rebate_Pipe Insulation_HW Medium 2.1" to 4"_MF/CI/SMB</v>
      </c>
      <c r="C5011" s="2" t="str">
        <f t="shared" si="157"/>
        <v>NSG_Income Eligible_Multi-Family_Partner Trade Ally Rebate_Pipe Insulation_HW Medium 2.1" to 4"_MF/CI/SMB_2024</v>
      </c>
      <c r="D5011" s="19" t="s">
        <v>1787</v>
      </c>
      <c r="E5011" s="19" t="s">
        <v>325</v>
      </c>
      <c r="F5011" s="19" t="s">
        <v>1422</v>
      </c>
      <c r="G5011" s="19" t="s">
        <v>1799</v>
      </c>
      <c r="H5011" s="19" t="s">
        <v>404</v>
      </c>
      <c r="I5011" s="19" t="s">
        <v>954</v>
      </c>
      <c r="J5011" s="19">
        <v>0</v>
      </c>
      <c r="K5011" s="19" t="s">
        <v>662</v>
      </c>
      <c r="L5011" s="19">
        <v>2024</v>
      </c>
      <c r="M5011" s="20">
        <v>75</v>
      </c>
      <c r="N5011" s="19" t="s">
        <v>1798</v>
      </c>
      <c r="O5011" s="20">
        <v>0</v>
      </c>
      <c r="P5011" s="20">
        <v>0</v>
      </c>
      <c r="Q5011" s="20">
        <v>0</v>
      </c>
      <c r="R5011" s="21">
        <v>1</v>
      </c>
      <c r="S5011" s="20">
        <v>0</v>
      </c>
    </row>
    <row r="5012" spans="2:19" ht="15" customHeight="1" x14ac:dyDescent="0.25">
      <c r="B5012" s="2" t="str">
        <f t="shared" si="156"/>
        <v>NSG_Income Eligible_Multi-Family_Partner Trade Ally Rebate_Pipe Insulation_HW Medium 2.1" to 4"_MF/CI/SMB</v>
      </c>
      <c r="C5012" s="2" t="str">
        <f t="shared" si="157"/>
        <v>NSG_Income Eligible_Multi-Family_Partner Trade Ally Rebate_Pipe Insulation_HW Medium 2.1" to 4"_MF/CI/SMB_2025</v>
      </c>
      <c r="D5012" s="19" t="s">
        <v>1787</v>
      </c>
      <c r="E5012" s="19" t="s">
        <v>325</v>
      </c>
      <c r="F5012" s="19" t="s">
        <v>1422</v>
      </c>
      <c r="G5012" s="19" t="s">
        <v>1799</v>
      </c>
      <c r="H5012" s="19" t="s">
        <v>404</v>
      </c>
      <c r="I5012" s="19" t="s">
        <v>954</v>
      </c>
      <c r="J5012" s="19">
        <v>0</v>
      </c>
      <c r="K5012" s="19" t="s">
        <v>662</v>
      </c>
      <c r="L5012" s="19">
        <v>2025</v>
      </c>
      <c r="M5012" s="20">
        <v>75</v>
      </c>
      <c r="N5012" s="19" t="s">
        <v>1798</v>
      </c>
      <c r="O5012" s="20">
        <v>0</v>
      </c>
      <c r="P5012" s="20">
        <v>0</v>
      </c>
      <c r="Q5012" s="20">
        <v>0</v>
      </c>
      <c r="R5012" s="21">
        <v>1</v>
      </c>
      <c r="S5012" s="20">
        <v>0</v>
      </c>
    </row>
    <row r="5013" spans="2:19" ht="15" customHeight="1" x14ac:dyDescent="0.25">
      <c r="B5013" s="2" t="str">
        <f t="shared" si="156"/>
        <v>NSG_Income Eligible_Multi-Family_Partner Trade Ally Rebate_Pipe Insulation_HW Large &gt;4"_MF/CI/SMB</v>
      </c>
      <c r="C5013" s="2" t="str">
        <f t="shared" si="157"/>
        <v>NSG_Income Eligible_Multi-Family_Partner Trade Ally Rebate_Pipe Insulation_HW Large &gt;4"_MF/CI/SMB_2022</v>
      </c>
      <c r="D5013" s="19" t="s">
        <v>1787</v>
      </c>
      <c r="E5013" s="19" t="s">
        <v>325</v>
      </c>
      <c r="F5013" s="19" t="s">
        <v>1422</v>
      </c>
      <c r="G5013" s="19" t="s">
        <v>1799</v>
      </c>
      <c r="H5013" s="19" t="s">
        <v>404</v>
      </c>
      <c r="I5013" s="19" t="s">
        <v>955</v>
      </c>
      <c r="J5013" s="19">
        <v>0</v>
      </c>
      <c r="K5013" s="19" t="s">
        <v>662</v>
      </c>
      <c r="L5013" s="19">
        <v>2022</v>
      </c>
      <c r="M5013" s="20">
        <v>75</v>
      </c>
      <c r="N5013" s="19" t="s">
        <v>1798</v>
      </c>
      <c r="O5013" s="20">
        <v>0</v>
      </c>
      <c r="P5013" s="20">
        <v>0</v>
      </c>
      <c r="Q5013" s="20">
        <v>0</v>
      </c>
      <c r="R5013" s="21">
        <v>1</v>
      </c>
      <c r="S5013" s="20">
        <v>0</v>
      </c>
    </row>
    <row r="5014" spans="2:19" ht="15" customHeight="1" x14ac:dyDescent="0.25">
      <c r="B5014" s="2" t="str">
        <f t="shared" si="156"/>
        <v>NSG_Income Eligible_Multi-Family_Partner Trade Ally Rebate_Pipe Insulation_HW Large &gt;4"_MF/CI/SMB</v>
      </c>
      <c r="C5014" s="2" t="str">
        <f t="shared" si="157"/>
        <v>NSG_Income Eligible_Multi-Family_Partner Trade Ally Rebate_Pipe Insulation_HW Large &gt;4"_MF/CI/SMB_2023</v>
      </c>
      <c r="D5014" s="19" t="s">
        <v>1787</v>
      </c>
      <c r="E5014" s="19" t="s">
        <v>325</v>
      </c>
      <c r="F5014" s="19" t="s">
        <v>1422</v>
      </c>
      <c r="G5014" s="19" t="s">
        <v>1799</v>
      </c>
      <c r="H5014" s="19" t="s">
        <v>404</v>
      </c>
      <c r="I5014" s="19" t="s">
        <v>955</v>
      </c>
      <c r="J5014" s="19">
        <v>0</v>
      </c>
      <c r="K5014" s="19" t="s">
        <v>662</v>
      </c>
      <c r="L5014" s="19">
        <v>2023</v>
      </c>
      <c r="M5014" s="20">
        <v>75</v>
      </c>
      <c r="N5014" s="19" t="s">
        <v>1798</v>
      </c>
      <c r="O5014" s="20">
        <v>0</v>
      </c>
      <c r="P5014" s="20">
        <v>0</v>
      </c>
      <c r="Q5014" s="20">
        <v>0</v>
      </c>
      <c r="R5014" s="21">
        <v>1</v>
      </c>
      <c r="S5014" s="20">
        <v>0</v>
      </c>
    </row>
    <row r="5015" spans="2:19" ht="15" customHeight="1" x14ac:dyDescent="0.25">
      <c r="B5015" s="2" t="str">
        <f t="shared" si="156"/>
        <v>NSG_Income Eligible_Multi-Family_Partner Trade Ally Rebate_Pipe Insulation_HW Large &gt;4"_MF/CI/SMB</v>
      </c>
      <c r="C5015" s="2" t="str">
        <f t="shared" si="157"/>
        <v>NSG_Income Eligible_Multi-Family_Partner Trade Ally Rebate_Pipe Insulation_HW Large &gt;4"_MF/CI/SMB_2024</v>
      </c>
      <c r="D5015" s="19" t="s">
        <v>1787</v>
      </c>
      <c r="E5015" s="19" t="s">
        <v>325</v>
      </c>
      <c r="F5015" s="19" t="s">
        <v>1422</v>
      </c>
      <c r="G5015" s="19" t="s">
        <v>1799</v>
      </c>
      <c r="H5015" s="19" t="s">
        <v>404</v>
      </c>
      <c r="I5015" s="19" t="s">
        <v>955</v>
      </c>
      <c r="J5015" s="19">
        <v>0</v>
      </c>
      <c r="K5015" s="19" t="s">
        <v>662</v>
      </c>
      <c r="L5015" s="19">
        <v>2024</v>
      </c>
      <c r="M5015" s="20">
        <v>75</v>
      </c>
      <c r="N5015" s="19" t="s">
        <v>1798</v>
      </c>
      <c r="O5015" s="20">
        <v>0</v>
      </c>
      <c r="P5015" s="20">
        <v>0</v>
      </c>
      <c r="Q5015" s="20">
        <v>0</v>
      </c>
      <c r="R5015" s="21">
        <v>1</v>
      </c>
      <c r="S5015" s="20">
        <v>0</v>
      </c>
    </row>
    <row r="5016" spans="2:19" ht="15" customHeight="1" x14ac:dyDescent="0.25">
      <c r="B5016" s="2" t="str">
        <f t="shared" si="156"/>
        <v>NSG_Income Eligible_Multi-Family_Partner Trade Ally Rebate_Pipe Insulation_HW Large &gt;4"_MF/CI/SMB</v>
      </c>
      <c r="C5016" s="2" t="str">
        <f t="shared" si="157"/>
        <v>NSG_Income Eligible_Multi-Family_Partner Trade Ally Rebate_Pipe Insulation_HW Large &gt;4"_MF/CI/SMB_2025</v>
      </c>
      <c r="D5016" s="19" t="s">
        <v>1787</v>
      </c>
      <c r="E5016" s="19" t="s">
        <v>325</v>
      </c>
      <c r="F5016" s="19" t="s">
        <v>1422</v>
      </c>
      <c r="G5016" s="19" t="s">
        <v>1799</v>
      </c>
      <c r="H5016" s="19" t="s">
        <v>404</v>
      </c>
      <c r="I5016" s="19" t="s">
        <v>955</v>
      </c>
      <c r="J5016" s="19">
        <v>0</v>
      </c>
      <c r="K5016" s="19" t="s">
        <v>662</v>
      </c>
      <c r="L5016" s="19">
        <v>2025</v>
      </c>
      <c r="M5016" s="20">
        <v>75</v>
      </c>
      <c r="N5016" s="19" t="s">
        <v>1798</v>
      </c>
      <c r="O5016" s="20">
        <v>0</v>
      </c>
      <c r="P5016" s="20">
        <v>0</v>
      </c>
      <c r="Q5016" s="20">
        <v>0</v>
      </c>
      <c r="R5016" s="21">
        <v>1</v>
      </c>
      <c r="S5016" s="20">
        <v>0</v>
      </c>
    </row>
    <row r="5017" spans="2:19" ht="15" customHeight="1" x14ac:dyDescent="0.25">
      <c r="B5017" s="2" t="str">
        <f t="shared" si="156"/>
        <v>NSG_Income Eligible_Multi-Family_Partner Trade Ally Rebate_Pipe Insulation_Steam - Small 1" to 2"_MF</v>
      </c>
      <c r="C5017" s="2" t="str">
        <f t="shared" si="157"/>
        <v>NSG_Income Eligible_Multi-Family_Partner Trade Ally Rebate_Pipe Insulation_Steam - Small 1" to 2"_MF_2022</v>
      </c>
      <c r="D5017" s="19" t="s">
        <v>1787</v>
      </c>
      <c r="E5017" s="19" t="s">
        <v>325</v>
      </c>
      <c r="F5017" s="19" t="s">
        <v>1422</v>
      </c>
      <c r="G5017" s="19" t="s">
        <v>1799</v>
      </c>
      <c r="H5017" s="19" t="s">
        <v>404</v>
      </c>
      <c r="I5017" s="19" t="s">
        <v>956</v>
      </c>
      <c r="J5017" s="19">
        <v>0</v>
      </c>
      <c r="K5017" s="19" t="s">
        <v>553</v>
      </c>
      <c r="L5017" s="19">
        <v>2022</v>
      </c>
      <c r="M5017" s="20">
        <v>75</v>
      </c>
      <c r="N5017" s="19" t="s">
        <v>1798</v>
      </c>
      <c r="O5017" s="20">
        <v>0</v>
      </c>
      <c r="P5017" s="20">
        <v>0</v>
      </c>
      <c r="Q5017" s="20">
        <v>0</v>
      </c>
      <c r="R5017" s="21">
        <v>1</v>
      </c>
      <c r="S5017" s="20">
        <v>0</v>
      </c>
    </row>
    <row r="5018" spans="2:19" ht="15" customHeight="1" x14ac:dyDescent="0.25">
      <c r="B5018" s="2" t="str">
        <f t="shared" si="156"/>
        <v>NSG_Income Eligible_Multi-Family_Partner Trade Ally Rebate_Pipe Insulation_Steam - Small 1" to 2"_MF</v>
      </c>
      <c r="C5018" s="2" t="str">
        <f t="shared" si="157"/>
        <v>NSG_Income Eligible_Multi-Family_Partner Trade Ally Rebate_Pipe Insulation_Steam - Small 1" to 2"_MF_2023</v>
      </c>
      <c r="D5018" s="19" t="s">
        <v>1787</v>
      </c>
      <c r="E5018" s="19" t="s">
        <v>325</v>
      </c>
      <c r="F5018" s="19" t="s">
        <v>1422</v>
      </c>
      <c r="G5018" s="19" t="s">
        <v>1799</v>
      </c>
      <c r="H5018" s="19" t="s">
        <v>404</v>
      </c>
      <c r="I5018" s="19" t="s">
        <v>956</v>
      </c>
      <c r="J5018" s="19">
        <v>0</v>
      </c>
      <c r="K5018" s="19" t="s">
        <v>553</v>
      </c>
      <c r="L5018" s="19">
        <v>2023</v>
      </c>
      <c r="M5018" s="20">
        <v>75</v>
      </c>
      <c r="N5018" s="19" t="s">
        <v>1798</v>
      </c>
      <c r="O5018" s="20">
        <v>0</v>
      </c>
      <c r="P5018" s="20">
        <v>0</v>
      </c>
      <c r="Q5018" s="20">
        <v>0</v>
      </c>
      <c r="R5018" s="21">
        <v>1</v>
      </c>
      <c r="S5018" s="20">
        <v>0</v>
      </c>
    </row>
    <row r="5019" spans="2:19" ht="15" customHeight="1" x14ac:dyDescent="0.25">
      <c r="B5019" s="2" t="str">
        <f t="shared" si="156"/>
        <v>NSG_Income Eligible_Multi-Family_Partner Trade Ally Rebate_Pipe Insulation_Steam - Small 1" to 2"_MF</v>
      </c>
      <c r="C5019" s="2" t="str">
        <f t="shared" si="157"/>
        <v>NSG_Income Eligible_Multi-Family_Partner Trade Ally Rebate_Pipe Insulation_Steam - Small 1" to 2"_MF_2024</v>
      </c>
      <c r="D5019" s="19" t="s">
        <v>1787</v>
      </c>
      <c r="E5019" s="19" t="s">
        <v>325</v>
      </c>
      <c r="F5019" s="19" t="s">
        <v>1422</v>
      </c>
      <c r="G5019" s="19" t="s">
        <v>1799</v>
      </c>
      <c r="H5019" s="19" t="s">
        <v>404</v>
      </c>
      <c r="I5019" s="19" t="s">
        <v>956</v>
      </c>
      <c r="J5019" s="19">
        <v>0</v>
      </c>
      <c r="K5019" s="19" t="s">
        <v>553</v>
      </c>
      <c r="L5019" s="19">
        <v>2024</v>
      </c>
      <c r="M5019" s="20">
        <v>75</v>
      </c>
      <c r="N5019" s="19" t="s">
        <v>1798</v>
      </c>
      <c r="O5019" s="20">
        <v>0</v>
      </c>
      <c r="P5019" s="20">
        <v>0</v>
      </c>
      <c r="Q5019" s="20">
        <v>0</v>
      </c>
      <c r="R5019" s="21">
        <v>1</v>
      </c>
      <c r="S5019" s="20">
        <v>0</v>
      </c>
    </row>
    <row r="5020" spans="2:19" ht="15" customHeight="1" x14ac:dyDescent="0.25">
      <c r="B5020" s="2" t="str">
        <f t="shared" si="156"/>
        <v>NSG_Income Eligible_Multi-Family_Partner Trade Ally Rebate_Pipe Insulation_Steam - Small 1" to 2"_MF</v>
      </c>
      <c r="C5020" s="2" t="str">
        <f t="shared" si="157"/>
        <v>NSG_Income Eligible_Multi-Family_Partner Trade Ally Rebate_Pipe Insulation_Steam - Small 1" to 2"_MF_2025</v>
      </c>
      <c r="D5020" s="19" t="s">
        <v>1787</v>
      </c>
      <c r="E5020" s="19" t="s">
        <v>325</v>
      </c>
      <c r="F5020" s="19" t="s">
        <v>1422</v>
      </c>
      <c r="G5020" s="19" t="s">
        <v>1799</v>
      </c>
      <c r="H5020" s="19" t="s">
        <v>404</v>
      </c>
      <c r="I5020" s="19" t="s">
        <v>956</v>
      </c>
      <c r="J5020" s="19">
        <v>0</v>
      </c>
      <c r="K5020" s="19" t="s">
        <v>553</v>
      </c>
      <c r="L5020" s="19">
        <v>2025</v>
      </c>
      <c r="M5020" s="20">
        <v>75</v>
      </c>
      <c r="N5020" s="19" t="s">
        <v>1798</v>
      </c>
      <c r="O5020" s="20">
        <v>0</v>
      </c>
      <c r="P5020" s="20">
        <v>0</v>
      </c>
      <c r="Q5020" s="20">
        <v>0</v>
      </c>
      <c r="R5020" s="21">
        <v>1</v>
      </c>
      <c r="S5020" s="20">
        <v>0</v>
      </c>
    </row>
    <row r="5021" spans="2:19" ht="15" customHeight="1" x14ac:dyDescent="0.25">
      <c r="B5021" s="2" t="str">
        <f t="shared" si="156"/>
        <v>NSG_Income Eligible_Multi-Family_Partner Trade Ally Rebate_Pipe Insulation_Steam - Med 2.1" to 5"_MF</v>
      </c>
      <c r="C5021" s="2" t="str">
        <f t="shared" si="157"/>
        <v>NSG_Income Eligible_Multi-Family_Partner Trade Ally Rebate_Pipe Insulation_Steam - Med 2.1" to 5"_MF_2022</v>
      </c>
      <c r="D5021" s="19" t="s">
        <v>1787</v>
      </c>
      <c r="E5021" s="19" t="s">
        <v>325</v>
      </c>
      <c r="F5021" s="19" t="s">
        <v>1422</v>
      </c>
      <c r="G5021" s="19" t="s">
        <v>1799</v>
      </c>
      <c r="H5021" s="19" t="s">
        <v>404</v>
      </c>
      <c r="I5021" s="19" t="s">
        <v>957</v>
      </c>
      <c r="J5021" s="19">
        <v>0</v>
      </c>
      <c r="K5021" s="19" t="s">
        <v>553</v>
      </c>
      <c r="L5021" s="19">
        <v>2022</v>
      </c>
      <c r="M5021" s="20">
        <v>75</v>
      </c>
      <c r="N5021" s="19" t="s">
        <v>1798</v>
      </c>
      <c r="O5021" s="20">
        <v>0</v>
      </c>
      <c r="P5021" s="20">
        <v>0</v>
      </c>
      <c r="Q5021" s="20">
        <v>0</v>
      </c>
      <c r="R5021" s="21">
        <v>1</v>
      </c>
      <c r="S5021" s="20">
        <v>0</v>
      </c>
    </row>
    <row r="5022" spans="2:19" ht="15" customHeight="1" x14ac:dyDescent="0.25">
      <c r="B5022" s="2" t="str">
        <f t="shared" si="156"/>
        <v>NSG_Income Eligible_Multi-Family_Partner Trade Ally Rebate_Pipe Insulation_Steam - Med 2.1" to 5"_MF</v>
      </c>
      <c r="C5022" s="2" t="str">
        <f t="shared" si="157"/>
        <v>NSG_Income Eligible_Multi-Family_Partner Trade Ally Rebate_Pipe Insulation_Steam - Med 2.1" to 5"_MF_2023</v>
      </c>
      <c r="D5022" s="19" t="s">
        <v>1787</v>
      </c>
      <c r="E5022" s="19" t="s">
        <v>325</v>
      </c>
      <c r="F5022" s="19" t="s">
        <v>1422</v>
      </c>
      <c r="G5022" s="19" t="s">
        <v>1799</v>
      </c>
      <c r="H5022" s="19" t="s">
        <v>404</v>
      </c>
      <c r="I5022" s="19" t="s">
        <v>957</v>
      </c>
      <c r="J5022" s="19">
        <v>0</v>
      </c>
      <c r="K5022" s="19" t="s">
        <v>553</v>
      </c>
      <c r="L5022" s="19">
        <v>2023</v>
      </c>
      <c r="M5022" s="20">
        <v>75</v>
      </c>
      <c r="N5022" s="19" t="s">
        <v>1798</v>
      </c>
      <c r="O5022" s="20">
        <v>0</v>
      </c>
      <c r="P5022" s="20">
        <v>0</v>
      </c>
      <c r="Q5022" s="20">
        <v>0</v>
      </c>
      <c r="R5022" s="21">
        <v>1</v>
      </c>
      <c r="S5022" s="20">
        <v>0</v>
      </c>
    </row>
    <row r="5023" spans="2:19" ht="15" customHeight="1" x14ac:dyDescent="0.25">
      <c r="B5023" s="2" t="str">
        <f t="shared" si="156"/>
        <v>NSG_Income Eligible_Multi-Family_Partner Trade Ally Rebate_Pipe Insulation_Steam - Med 2.1" to 5"_MF</v>
      </c>
      <c r="C5023" s="2" t="str">
        <f t="shared" si="157"/>
        <v>NSG_Income Eligible_Multi-Family_Partner Trade Ally Rebate_Pipe Insulation_Steam - Med 2.1" to 5"_MF_2024</v>
      </c>
      <c r="D5023" s="19" t="s">
        <v>1787</v>
      </c>
      <c r="E5023" s="19" t="s">
        <v>325</v>
      </c>
      <c r="F5023" s="19" t="s">
        <v>1422</v>
      </c>
      <c r="G5023" s="19" t="s">
        <v>1799</v>
      </c>
      <c r="H5023" s="19" t="s">
        <v>404</v>
      </c>
      <c r="I5023" s="19" t="s">
        <v>957</v>
      </c>
      <c r="J5023" s="19">
        <v>0</v>
      </c>
      <c r="K5023" s="19" t="s">
        <v>553</v>
      </c>
      <c r="L5023" s="19">
        <v>2024</v>
      </c>
      <c r="M5023" s="20">
        <v>75</v>
      </c>
      <c r="N5023" s="19" t="s">
        <v>1798</v>
      </c>
      <c r="O5023" s="20">
        <v>0</v>
      </c>
      <c r="P5023" s="20">
        <v>0</v>
      </c>
      <c r="Q5023" s="20">
        <v>0</v>
      </c>
      <c r="R5023" s="21">
        <v>1</v>
      </c>
      <c r="S5023" s="20">
        <v>0</v>
      </c>
    </row>
    <row r="5024" spans="2:19" ht="15" customHeight="1" x14ac:dyDescent="0.25">
      <c r="B5024" s="2" t="str">
        <f t="shared" si="156"/>
        <v>NSG_Income Eligible_Multi-Family_Partner Trade Ally Rebate_Pipe Insulation_Steam - Med 2.1" to 5"_MF</v>
      </c>
      <c r="C5024" s="2" t="str">
        <f t="shared" si="157"/>
        <v>NSG_Income Eligible_Multi-Family_Partner Trade Ally Rebate_Pipe Insulation_Steam - Med 2.1" to 5"_MF_2025</v>
      </c>
      <c r="D5024" s="19" t="s">
        <v>1787</v>
      </c>
      <c r="E5024" s="19" t="s">
        <v>325</v>
      </c>
      <c r="F5024" s="19" t="s">
        <v>1422</v>
      </c>
      <c r="G5024" s="19" t="s">
        <v>1799</v>
      </c>
      <c r="H5024" s="19" t="s">
        <v>404</v>
      </c>
      <c r="I5024" s="19" t="s">
        <v>957</v>
      </c>
      <c r="J5024" s="19">
        <v>0</v>
      </c>
      <c r="K5024" s="19" t="s">
        <v>553</v>
      </c>
      <c r="L5024" s="19">
        <v>2025</v>
      </c>
      <c r="M5024" s="20">
        <v>75</v>
      </c>
      <c r="N5024" s="19" t="s">
        <v>1798</v>
      </c>
      <c r="O5024" s="20">
        <v>0</v>
      </c>
      <c r="P5024" s="20">
        <v>0</v>
      </c>
      <c r="Q5024" s="20">
        <v>0</v>
      </c>
      <c r="R5024" s="21">
        <v>1</v>
      </c>
      <c r="S5024" s="20">
        <v>0</v>
      </c>
    </row>
    <row r="5025" spans="2:19" ht="15" customHeight="1" x14ac:dyDescent="0.25">
      <c r="B5025" s="2" t="str">
        <f t="shared" si="156"/>
        <v>NSG_Income Eligible_Multi-Family_Partner Trade Ally Rebate_Pipe Insulation_Steam - Large 5.1" to 8"_MF</v>
      </c>
      <c r="C5025" s="2" t="str">
        <f t="shared" si="157"/>
        <v>NSG_Income Eligible_Multi-Family_Partner Trade Ally Rebate_Pipe Insulation_Steam - Large 5.1" to 8"_MF_2022</v>
      </c>
      <c r="D5025" s="19" t="s">
        <v>1787</v>
      </c>
      <c r="E5025" s="19" t="s">
        <v>325</v>
      </c>
      <c r="F5025" s="19" t="s">
        <v>1422</v>
      </c>
      <c r="G5025" s="19" t="s">
        <v>1799</v>
      </c>
      <c r="H5025" s="19" t="s">
        <v>404</v>
      </c>
      <c r="I5025" s="19" t="s">
        <v>958</v>
      </c>
      <c r="J5025" s="19">
        <v>0</v>
      </c>
      <c r="K5025" s="19" t="s">
        <v>553</v>
      </c>
      <c r="L5025" s="19">
        <v>2022</v>
      </c>
      <c r="M5025" s="20">
        <v>75</v>
      </c>
      <c r="N5025" s="19" t="s">
        <v>1798</v>
      </c>
      <c r="O5025" s="20">
        <v>0</v>
      </c>
      <c r="P5025" s="20">
        <v>0</v>
      </c>
      <c r="Q5025" s="20">
        <v>0</v>
      </c>
      <c r="R5025" s="21">
        <v>1</v>
      </c>
      <c r="S5025" s="20">
        <v>0</v>
      </c>
    </row>
    <row r="5026" spans="2:19" ht="15" customHeight="1" x14ac:dyDescent="0.25">
      <c r="B5026" s="2" t="str">
        <f t="shared" si="156"/>
        <v>NSG_Income Eligible_Multi-Family_Partner Trade Ally Rebate_Pipe Insulation_Steam - Large 5.1" to 8"_MF</v>
      </c>
      <c r="C5026" s="2" t="str">
        <f t="shared" si="157"/>
        <v>NSG_Income Eligible_Multi-Family_Partner Trade Ally Rebate_Pipe Insulation_Steam - Large 5.1" to 8"_MF_2023</v>
      </c>
      <c r="D5026" s="19" t="s">
        <v>1787</v>
      </c>
      <c r="E5026" s="19" t="s">
        <v>325</v>
      </c>
      <c r="F5026" s="19" t="s">
        <v>1422</v>
      </c>
      <c r="G5026" s="19" t="s">
        <v>1799</v>
      </c>
      <c r="H5026" s="19" t="s">
        <v>404</v>
      </c>
      <c r="I5026" s="19" t="s">
        <v>958</v>
      </c>
      <c r="J5026" s="19">
        <v>0</v>
      </c>
      <c r="K5026" s="19" t="s">
        <v>553</v>
      </c>
      <c r="L5026" s="19">
        <v>2023</v>
      </c>
      <c r="M5026" s="20">
        <v>75</v>
      </c>
      <c r="N5026" s="19" t="s">
        <v>1798</v>
      </c>
      <c r="O5026" s="20">
        <v>0</v>
      </c>
      <c r="P5026" s="20">
        <v>0</v>
      </c>
      <c r="Q5026" s="20">
        <v>0</v>
      </c>
      <c r="R5026" s="21">
        <v>1</v>
      </c>
      <c r="S5026" s="20">
        <v>0</v>
      </c>
    </row>
    <row r="5027" spans="2:19" ht="15" customHeight="1" x14ac:dyDescent="0.25">
      <c r="B5027" s="2" t="str">
        <f t="shared" si="156"/>
        <v>NSG_Income Eligible_Multi-Family_Partner Trade Ally Rebate_Pipe Insulation_Steam - Large 5.1" to 8"_MF</v>
      </c>
      <c r="C5027" s="2" t="str">
        <f t="shared" si="157"/>
        <v>NSG_Income Eligible_Multi-Family_Partner Trade Ally Rebate_Pipe Insulation_Steam - Large 5.1" to 8"_MF_2024</v>
      </c>
      <c r="D5027" s="19" t="s">
        <v>1787</v>
      </c>
      <c r="E5027" s="19" t="s">
        <v>325</v>
      </c>
      <c r="F5027" s="19" t="s">
        <v>1422</v>
      </c>
      <c r="G5027" s="19" t="s">
        <v>1799</v>
      </c>
      <c r="H5027" s="19" t="s">
        <v>404</v>
      </c>
      <c r="I5027" s="19" t="s">
        <v>958</v>
      </c>
      <c r="J5027" s="19">
        <v>0</v>
      </c>
      <c r="K5027" s="19" t="s">
        <v>553</v>
      </c>
      <c r="L5027" s="19">
        <v>2024</v>
      </c>
      <c r="M5027" s="20">
        <v>75</v>
      </c>
      <c r="N5027" s="19" t="s">
        <v>1798</v>
      </c>
      <c r="O5027" s="20">
        <v>0</v>
      </c>
      <c r="P5027" s="20">
        <v>0</v>
      </c>
      <c r="Q5027" s="20">
        <v>0</v>
      </c>
      <c r="R5027" s="21">
        <v>1</v>
      </c>
      <c r="S5027" s="20">
        <v>0</v>
      </c>
    </row>
    <row r="5028" spans="2:19" ht="15" customHeight="1" x14ac:dyDescent="0.25">
      <c r="B5028" s="2" t="str">
        <f t="shared" si="156"/>
        <v>NSG_Income Eligible_Multi-Family_Partner Trade Ally Rebate_Pipe Insulation_Steam - Large 5.1" to 8"_MF</v>
      </c>
      <c r="C5028" s="2" t="str">
        <f t="shared" si="157"/>
        <v>NSG_Income Eligible_Multi-Family_Partner Trade Ally Rebate_Pipe Insulation_Steam - Large 5.1" to 8"_MF_2025</v>
      </c>
      <c r="D5028" s="19" t="s">
        <v>1787</v>
      </c>
      <c r="E5028" s="19" t="s">
        <v>325</v>
      </c>
      <c r="F5028" s="19" t="s">
        <v>1422</v>
      </c>
      <c r="G5028" s="19" t="s">
        <v>1799</v>
      </c>
      <c r="H5028" s="19" t="s">
        <v>404</v>
      </c>
      <c r="I5028" s="19" t="s">
        <v>958</v>
      </c>
      <c r="J5028" s="19">
        <v>0</v>
      </c>
      <c r="K5028" s="19" t="s">
        <v>553</v>
      </c>
      <c r="L5028" s="19">
        <v>2025</v>
      </c>
      <c r="M5028" s="20">
        <v>75</v>
      </c>
      <c r="N5028" s="19" t="s">
        <v>1798</v>
      </c>
      <c r="O5028" s="20">
        <v>0</v>
      </c>
      <c r="P5028" s="20">
        <v>0</v>
      </c>
      <c r="Q5028" s="20">
        <v>0</v>
      </c>
      <c r="R5028" s="21">
        <v>1</v>
      </c>
      <c r="S5028" s="20">
        <v>0</v>
      </c>
    </row>
    <row r="5029" spans="2:19" ht="15" customHeight="1" x14ac:dyDescent="0.25">
      <c r="B5029" s="2" t="str">
        <f t="shared" si="156"/>
        <v>NSG_Income Eligible_Multi-Family_Partner Trade Ally Rebate_Pipe Insulation_Steam - X-Large &gt;8"_MF</v>
      </c>
      <c r="C5029" s="2" t="str">
        <f t="shared" si="157"/>
        <v>NSG_Income Eligible_Multi-Family_Partner Trade Ally Rebate_Pipe Insulation_Steam - X-Large &gt;8"_MF_2022</v>
      </c>
      <c r="D5029" s="19" t="s">
        <v>1787</v>
      </c>
      <c r="E5029" s="19" t="s">
        <v>325</v>
      </c>
      <c r="F5029" s="19" t="s">
        <v>1422</v>
      </c>
      <c r="G5029" s="19" t="s">
        <v>1799</v>
      </c>
      <c r="H5029" s="19" t="s">
        <v>404</v>
      </c>
      <c r="I5029" s="19" t="s">
        <v>960</v>
      </c>
      <c r="J5029" s="19">
        <v>0</v>
      </c>
      <c r="K5029" s="19" t="s">
        <v>553</v>
      </c>
      <c r="L5029" s="19">
        <v>2022</v>
      </c>
      <c r="M5029" s="20">
        <v>75</v>
      </c>
      <c r="N5029" s="19" t="s">
        <v>1798</v>
      </c>
      <c r="O5029" s="20">
        <v>0</v>
      </c>
      <c r="P5029" s="20">
        <v>0</v>
      </c>
      <c r="Q5029" s="20">
        <v>0</v>
      </c>
      <c r="R5029" s="21">
        <v>1</v>
      </c>
      <c r="S5029" s="20">
        <v>0</v>
      </c>
    </row>
    <row r="5030" spans="2:19" ht="15" customHeight="1" x14ac:dyDescent="0.25">
      <c r="B5030" s="2" t="str">
        <f t="shared" si="156"/>
        <v>NSG_Income Eligible_Multi-Family_Partner Trade Ally Rebate_Pipe Insulation_Steam - X-Large &gt;8"_MF</v>
      </c>
      <c r="C5030" s="2" t="str">
        <f t="shared" si="157"/>
        <v>NSG_Income Eligible_Multi-Family_Partner Trade Ally Rebate_Pipe Insulation_Steam - X-Large &gt;8"_MF_2023</v>
      </c>
      <c r="D5030" s="19" t="s">
        <v>1787</v>
      </c>
      <c r="E5030" s="19" t="s">
        <v>325</v>
      </c>
      <c r="F5030" s="19" t="s">
        <v>1422</v>
      </c>
      <c r="G5030" s="19" t="s">
        <v>1799</v>
      </c>
      <c r="H5030" s="19" t="s">
        <v>404</v>
      </c>
      <c r="I5030" s="19" t="s">
        <v>960</v>
      </c>
      <c r="J5030" s="19">
        <v>0</v>
      </c>
      <c r="K5030" s="19" t="s">
        <v>553</v>
      </c>
      <c r="L5030" s="19">
        <v>2023</v>
      </c>
      <c r="M5030" s="20">
        <v>75</v>
      </c>
      <c r="N5030" s="19" t="s">
        <v>1798</v>
      </c>
      <c r="O5030" s="20">
        <v>0</v>
      </c>
      <c r="P5030" s="20">
        <v>0</v>
      </c>
      <c r="Q5030" s="20">
        <v>0</v>
      </c>
      <c r="R5030" s="21">
        <v>1</v>
      </c>
      <c r="S5030" s="20">
        <v>0</v>
      </c>
    </row>
    <row r="5031" spans="2:19" ht="15" customHeight="1" x14ac:dyDescent="0.25">
      <c r="B5031" s="2" t="str">
        <f t="shared" si="156"/>
        <v>NSG_Income Eligible_Multi-Family_Partner Trade Ally Rebate_Pipe Insulation_Steam - X-Large &gt;8"_MF</v>
      </c>
      <c r="C5031" s="2" t="str">
        <f t="shared" si="157"/>
        <v>NSG_Income Eligible_Multi-Family_Partner Trade Ally Rebate_Pipe Insulation_Steam - X-Large &gt;8"_MF_2024</v>
      </c>
      <c r="D5031" s="19" t="s">
        <v>1787</v>
      </c>
      <c r="E5031" s="19" t="s">
        <v>325</v>
      </c>
      <c r="F5031" s="19" t="s">
        <v>1422</v>
      </c>
      <c r="G5031" s="19" t="s">
        <v>1799</v>
      </c>
      <c r="H5031" s="19" t="s">
        <v>404</v>
      </c>
      <c r="I5031" s="19" t="s">
        <v>960</v>
      </c>
      <c r="J5031" s="19">
        <v>0</v>
      </c>
      <c r="K5031" s="19" t="s">
        <v>553</v>
      </c>
      <c r="L5031" s="19">
        <v>2024</v>
      </c>
      <c r="M5031" s="20">
        <v>75</v>
      </c>
      <c r="N5031" s="19" t="s">
        <v>1798</v>
      </c>
      <c r="O5031" s="20">
        <v>0</v>
      </c>
      <c r="P5031" s="20">
        <v>0</v>
      </c>
      <c r="Q5031" s="20">
        <v>0</v>
      </c>
      <c r="R5031" s="21">
        <v>1</v>
      </c>
      <c r="S5031" s="20">
        <v>0</v>
      </c>
    </row>
    <row r="5032" spans="2:19" ht="15" customHeight="1" x14ac:dyDescent="0.25">
      <c r="B5032" s="2" t="str">
        <f t="shared" si="156"/>
        <v>NSG_Income Eligible_Multi-Family_Partner Trade Ally Rebate_Pipe Insulation_Steam - X-Large &gt;8"_MF</v>
      </c>
      <c r="C5032" s="2" t="str">
        <f t="shared" si="157"/>
        <v>NSG_Income Eligible_Multi-Family_Partner Trade Ally Rebate_Pipe Insulation_Steam - X-Large &gt;8"_MF_2025</v>
      </c>
      <c r="D5032" s="19" t="s">
        <v>1787</v>
      </c>
      <c r="E5032" s="19" t="s">
        <v>325</v>
      </c>
      <c r="F5032" s="19" t="s">
        <v>1422</v>
      </c>
      <c r="G5032" s="19" t="s">
        <v>1799</v>
      </c>
      <c r="H5032" s="19" t="s">
        <v>404</v>
      </c>
      <c r="I5032" s="19" t="s">
        <v>960</v>
      </c>
      <c r="J5032" s="19">
        <v>0</v>
      </c>
      <c r="K5032" s="19" t="s">
        <v>553</v>
      </c>
      <c r="L5032" s="19">
        <v>2025</v>
      </c>
      <c r="M5032" s="20">
        <v>75</v>
      </c>
      <c r="N5032" s="19" t="s">
        <v>1798</v>
      </c>
      <c r="O5032" s="20">
        <v>0</v>
      </c>
      <c r="P5032" s="20">
        <v>0</v>
      </c>
      <c r="Q5032" s="20">
        <v>0</v>
      </c>
      <c r="R5032" s="21">
        <v>1</v>
      </c>
      <c r="S5032" s="20">
        <v>0</v>
      </c>
    </row>
    <row r="5033" spans="2:19" ht="15" customHeight="1" x14ac:dyDescent="0.25">
      <c r="B5033" s="2" t="str">
        <f t="shared" si="156"/>
        <v>NSG_Income Eligible_Multi-Family_Partner Trade Ally Rebate_Pipe Insulation_Steam Med Fitting_MF</v>
      </c>
      <c r="C5033" s="2" t="str">
        <f t="shared" si="157"/>
        <v>NSG_Income Eligible_Multi-Family_Partner Trade Ally Rebate_Pipe Insulation_Steam Med Fitting_MF_2022</v>
      </c>
      <c r="D5033" s="19" t="s">
        <v>1787</v>
      </c>
      <c r="E5033" s="19" t="s">
        <v>325</v>
      </c>
      <c r="F5033" s="19" t="s">
        <v>1422</v>
      </c>
      <c r="G5033" s="19" t="s">
        <v>1799</v>
      </c>
      <c r="H5033" s="19" t="s">
        <v>404</v>
      </c>
      <c r="I5033" s="19" t="s">
        <v>962</v>
      </c>
      <c r="J5033" s="19">
        <v>0</v>
      </c>
      <c r="K5033" s="19" t="s">
        <v>553</v>
      </c>
      <c r="L5033" s="19">
        <v>2022</v>
      </c>
      <c r="M5033" s="20">
        <v>1</v>
      </c>
      <c r="N5033" s="19" t="s">
        <v>1798</v>
      </c>
      <c r="O5033" s="20">
        <v>0</v>
      </c>
      <c r="P5033" s="20">
        <v>0</v>
      </c>
      <c r="Q5033" s="20">
        <v>0</v>
      </c>
      <c r="R5033" s="21">
        <v>1</v>
      </c>
      <c r="S5033" s="20">
        <v>0</v>
      </c>
    </row>
    <row r="5034" spans="2:19" ht="15" customHeight="1" x14ac:dyDescent="0.25">
      <c r="B5034" s="2" t="str">
        <f t="shared" si="156"/>
        <v>NSG_Income Eligible_Multi-Family_Partner Trade Ally Rebate_Pipe Insulation_Steam Med Fitting_MF</v>
      </c>
      <c r="C5034" s="2" t="str">
        <f t="shared" si="157"/>
        <v>NSG_Income Eligible_Multi-Family_Partner Trade Ally Rebate_Pipe Insulation_Steam Med Fitting_MF_2023</v>
      </c>
      <c r="D5034" s="19" t="s">
        <v>1787</v>
      </c>
      <c r="E5034" s="19" t="s">
        <v>325</v>
      </c>
      <c r="F5034" s="19" t="s">
        <v>1422</v>
      </c>
      <c r="G5034" s="19" t="s">
        <v>1799</v>
      </c>
      <c r="H5034" s="19" t="s">
        <v>404</v>
      </c>
      <c r="I5034" s="19" t="s">
        <v>962</v>
      </c>
      <c r="J5034" s="19">
        <v>0</v>
      </c>
      <c r="K5034" s="19" t="s">
        <v>553</v>
      </c>
      <c r="L5034" s="19">
        <v>2023</v>
      </c>
      <c r="M5034" s="20">
        <v>1</v>
      </c>
      <c r="N5034" s="19" t="s">
        <v>1798</v>
      </c>
      <c r="O5034" s="20">
        <v>0</v>
      </c>
      <c r="P5034" s="20">
        <v>0</v>
      </c>
      <c r="Q5034" s="20">
        <v>0</v>
      </c>
      <c r="R5034" s="21">
        <v>1</v>
      </c>
      <c r="S5034" s="20">
        <v>0</v>
      </c>
    </row>
    <row r="5035" spans="2:19" ht="15" customHeight="1" x14ac:dyDescent="0.25">
      <c r="B5035" s="2" t="str">
        <f t="shared" si="156"/>
        <v>NSG_Income Eligible_Multi-Family_Partner Trade Ally Rebate_Pipe Insulation_Steam Med Fitting_MF</v>
      </c>
      <c r="C5035" s="2" t="str">
        <f t="shared" si="157"/>
        <v>NSG_Income Eligible_Multi-Family_Partner Trade Ally Rebate_Pipe Insulation_Steam Med Fitting_MF_2024</v>
      </c>
      <c r="D5035" s="19" t="s">
        <v>1787</v>
      </c>
      <c r="E5035" s="19" t="s">
        <v>325</v>
      </c>
      <c r="F5035" s="19" t="s">
        <v>1422</v>
      </c>
      <c r="G5035" s="19" t="s">
        <v>1799</v>
      </c>
      <c r="H5035" s="19" t="s">
        <v>404</v>
      </c>
      <c r="I5035" s="19" t="s">
        <v>962</v>
      </c>
      <c r="J5035" s="19">
        <v>0</v>
      </c>
      <c r="K5035" s="19" t="s">
        <v>553</v>
      </c>
      <c r="L5035" s="19">
        <v>2024</v>
      </c>
      <c r="M5035" s="20">
        <v>1</v>
      </c>
      <c r="N5035" s="19" t="s">
        <v>1798</v>
      </c>
      <c r="O5035" s="20">
        <v>0</v>
      </c>
      <c r="P5035" s="20">
        <v>0</v>
      </c>
      <c r="Q5035" s="20">
        <v>0</v>
      </c>
      <c r="R5035" s="21">
        <v>1</v>
      </c>
      <c r="S5035" s="20">
        <v>0</v>
      </c>
    </row>
    <row r="5036" spans="2:19" ht="15" customHeight="1" x14ac:dyDescent="0.25">
      <c r="B5036" s="2" t="str">
        <f t="shared" si="156"/>
        <v>NSG_Income Eligible_Multi-Family_Partner Trade Ally Rebate_Pipe Insulation_Steam Med Fitting_MF</v>
      </c>
      <c r="C5036" s="2" t="str">
        <f t="shared" si="157"/>
        <v>NSG_Income Eligible_Multi-Family_Partner Trade Ally Rebate_Pipe Insulation_Steam Med Fitting_MF_2025</v>
      </c>
      <c r="D5036" s="19" t="s">
        <v>1787</v>
      </c>
      <c r="E5036" s="19" t="s">
        <v>325</v>
      </c>
      <c r="F5036" s="19" t="s">
        <v>1422</v>
      </c>
      <c r="G5036" s="19" t="s">
        <v>1799</v>
      </c>
      <c r="H5036" s="19" t="s">
        <v>404</v>
      </c>
      <c r="I5036" s="19" t="s">
        <v>962</v>
      </c>
      <c r="J5036" s="19">
        <v>0</v>
      </c>
      <c r="K5036" s="19" t="s">
        <v>553</v>
      </c>
      <c r="L5036" s="19">
        <v>2025</v>
      </c>
      <c r="M5036" s="20">
        <v>1</v>
      </c>
      <c r="N5036" s="19" t="s">
        <v>1798</v>
      </c>
      <c r="O5036" s="20">
        <v>0</v>
      </c>
      <c r="P5036" s="20">
        <v>0</v>
      </c>
      <c r="Q5036" s="20">
        <v>0</v>
      </c>
      <c r="R5036" s="21">
        <v>1</v>
      </c>
      <c r="S5036" s="20">
        <v>0</v>
      </c>
    </row>
    <row r="5037" spans="2:19" ht="15" customHeight="1" x14ac:dyDescent="0.25">
      <c r="B5037" s="2" t="str">
        <f t="shared" si="156"/>
        <v>NSG_Income Eligible_Multi-Family_Partner Trade Ally Rebate_Pipe Insulation_Steam Large Fitting_MF</v>
      </c>
      <c r="C5037" s="2" t="str">
        <f t="shared" si="157"/>
        <v>NSG_Income Eligible_Multi-Family_Partner Trade Ally Rebate_Pipe Insulation_Steam Large Fitting_MF_2022</v>
      </c>
      <c r="D5037" s="19" t="s">
        <v>1787</v>
      </c>
      <c r="E5037" s="19" t="s">
        <v>325</v>
      </c>
      <c r="F5037" s="19" t="s">
        <v>1422</v>
      </c>
      <c r="G5037" s="19" t="s">
        <v>1799</v>
      </c>
      <c r="H5037" s="19" t="s">
        <v>404</v>
      </c>
      <c r="I5037" s="19" t="s">
        <v>963</v>
      </c>
      <c r="J5037" s="19">
        <v>0</v>
      </c>
      <c r="K5037" s="19" t="s">
        <v>553</v>
      </c>
      <c r="L5037" s="19">
        <v>2022</v>
      </c>
      <c r="M5037" s="20">
        <v>1</v>
      </c>
      <c r="N5037" s="19" t="s">
        <v>1798</v>
      </c>
      <c r="O5037" s="20">
        <v>0</v>
      </c>
      <c r="P5037" s="20">
        <v>0</v>
      </c>
      <c r="Q5037" s="20">
        <v>0</v>
      </c>
      <c r="R5037" s="21">
        <v>1</v>
      </c>
      <c r="S5037" s="20">
        <v>0</v>
      </c>
    </row>
    <row r="5038" spans="2:19" ht="15" customHeight="1" x14ac:dyDescent="0.25">
      <c r="B5038" s="2" t="str">
        <f t="shared" si="156"/>
        <v>NSG_Income Eligible_Multi-Family_Partner Trade Ally Rebate_Pipe Insulation_Steam Large Fitting_MF</v>
      </c>
      <c r="C5038" s="2" t="str">
        <f t="shared" si="157"/>
        <v>NSG_Income Eligible_Multi-Family_Partner Trade Ally Rebate_Pipe Insulation_Steam Large Fitting_MF_2023</v>
      </c>
      <c r="D5038" s="19" t="s">
        <v>1787</v>
      </c>
      <c r="E5038" s="19" t="s">
        <v>325</v>
      </c>
      <c r="F5038" s="19" t="s">
        <v>1422</v>
      </c>
      <c r="G5038" s="19" t="s">
        <v>1799</v>
      </c>
      <c r="H5038" s="19" t="s">
        <v>404</v>
      </c>
      <c r="I5038" s="19" t="s">
        <v>963</v>
      </c>
      <c r="J5038" s="19">
        <v>0</v>
      </c>
      <c r="K5038" s="19" t="s">
        <v>553</v>
      </c>
      <c r="L5038" s="19">
        <v>2023</v>
      </c>
      <c r="M5038" s="20">
        <v>1</v>
      </c>
      <c r="N5038" s="19" t="s">
        <v>1798</v>
      </c>
      <c r="O5038" s="20">
        <v>0</v>
      </c>
      <c r="P5038" s="20">
        <v>0</v>
      </c>
      <c r="Q5038" s="20">
        <v>0</v>
      </c>
      <c r="R5038" s="21">
        <v>1</v>
      </c>
      <c r="S5038" s="20">
        <v>0</v>
      </c>
    </row>
    <row r="5039" spans="2:19" ht="15" customHeight="1" x14ac:dyDescent="0.25">
      <c r="B5039" s="2" t="str">
        <f t="shared" si="156"/>
        <v>NSG_Income Eligible_Multi-Family_Partner Trade Ally Rebate_Pipe Insulation_Steam Large Fitting_MF</v>
      </c>
      <c r="C5039" s="2" t="str">
        <f t="shared" si="157"/>
        <v>NSG_Income Eligible_Multi-Family_Partner Trade Ally Rebate_Pipe Insulation_Steam Large Fitting_MF_2024</v>
      </c>
      <c r="D5039" s="19" t="s">
        <v>1787</v>
      </c>
      <c r="E5039" s="19" t="s">
        <v>325</v>
      </c>
      <c r="F5039" s="19" t="s">
        <v>1422</v>
      </c>
      <c r="G5039" s="19" t="s">
        <v>1799</v>
      </c>
      <c r="H5039" s="19" t="s">
        <v>404</v>
      </c>
      <c r="I5039" s="19" t="s">
        <v>963</v>
      </c>
      <c r="J5039" s="19">
        <v>0</v>
      </c>
      <c r="K5039" s="19" t="s">
        <v>553</v>
      </c>
      <c r="L5039" s="19">
        <v>2024</v>
      </c>
      <c r="M5039" s="20">
        <v>1</v>
      </c>
      <c r="N5039" s="19" t="s">
        <v>1798</v>
      </c>
      <c r="O5039" s="20">
        <v>0</v>
      </c>
      <c r="P5039" s="20">
        <v>0</v>
      </c>
      <c r="Q5039" s="20">
        <v>0</v>
      </c>
      <c r="R5039" s="21">
        <v>1</v>
      </c>
      <c r="S5039" s="20">
        <v>0</v>
      </c>
    </row>
    <row r="5040" spans="2:19" ht="15" customHeight="1" x14ac:dyDescent="0.25">
      <c r="B5040" s="2" t="str">
        <f t="shared" si="156"/>
        <v>NSG_Income Eligible_Multi-Family_Partner Trade Ally Rebate_Pipe Insulation_Steam Large Fitting_MF</v>
      </c>
      <c r="C5040" s="2" t="str">
        <f t="shared" si="157"/>
        <v>NSG_Income Eligible_Multi-Family_Partner Trade Ally Rebate_Pipe Insulation_Steam Large Fitting_MF_2025</v>
      </c>
      <c r="D5040" s="19" t="s">
        <v>1787</v>
      </c>
      <c r="E5040" s="19" t="s">
        <v>325</v>
      </c>
      <c r="F5040" s="19" t="s">
        <v>1422</v>
      </c>
      <c r="G5040" s="19" t="s">
        <v>1799</v>
      </c>
      <c r="H5040" s="19" t="s">
        <v>404</v>
      </c>
      <c r="I5040" s="19" t="s">
        <v>963</v>
      </c>
      <c r="J5040" s="19">
        <v>0</v>
      </c>
      <c r="K5040" s="19" t="s">
        <v>553</v>
      </c>
      <c r="L5040" s="19">
        <v>2025</v>
      </c>
      <c r="M5040" s="20">
        <v>1</v>
      </c>
      <c r="N5040" s="19" t="s">
        <v>1798</v>
      </c>
      <c r="O5040" s="20">
        <v>0</v>
      </c>
      <c r="P5040" s="20">
        <v>0</v>
      </c>
      <c r="Q5040" s="20">
        <v>0</v>
      </c>
      <c r="R5040" s="21">
        <v>1</v>
      </c>
      <c r="S5040" s="20">
        <v>0</v>
      </c>
    </row>
    <row r="5041" spans="2:19" ht="15" customHeight="1" x14ac:dyDescent="0.25">
      <c r="B5041" s="2" t="str">
        <f t="shared" si="156"/>
        <v>NSG_Income Eligible_Multi-Family_Partner Trade Ally Rebate_Pipe Insulation_Steam X-Large Fitting_MF</v>
      </c>
      <c r="C5041" s="2" t="str">
        <f t="shared" si="157"/>
        <v>NSG_Income Eligible_Multi-Family_Partner Trade Ally Rebate_Pipe Insulation_Steam X-Large Fitting_MF_2022</v>
      </c>
      <c r="D5041" s="19" t="s">
        <v>1787</v>
      </c>
      <c r="E5041" s="19" t="s">
        <v>325</v>
      </c>
      <c r="F5041" s="19" t="s">
        <v>1422</v>
      </c>
      <c r="G5041" s="19" t="s">
        <v>1799</v>
      </c>
      <c r="H5041" s="19" t="s">
        <v>404</v>
      </c>
      <c r="I5041" s="19" t="s">
        <v>964</v>
      </c>
      <c r="J5041" s="19">
        <v>0</v>
      </c>
      <c r="K5041" s="19" t="s">
        <v>553</v>
      </c>
      <c r="L5041" s="19">
        <v>2022</v>
      </c>
      <c r="M5041" s="20">
        <v>1</v>
      </c>
      <c r="N5041" s="19" t="s">
        <v>1798</v>
      </c>
      <c r="O5041" s="20">
        <v>0</v>
      </c>
      <c r="P5041" s="20">
        <v>0</v>
      </c>
      <c r="Q5041" s="20">
        <v>0</v>
      </c>
      <c r="R5041" s="21">
        <v>1</v>
      </c>
      <c r="S5041" s="20">
        <v>0</v>
      </c>
    </row>
    <row r="5042" spans="2:19" ht="15" customHeight="1" x14ac:dyDescent="0.25">
      <c r="B5042" s="2" t="str">
        <f t="shared" si="156"/>
        <v>NSG_Income Eligible_Multi-Family_Partner Trade Ally Rebate_Pipe Insulation_Steam X-Large Fitting_MF</v>
      </c>
      <c r="C5042" s="2" t="str">
        <f t="shared" si="157"/>
        <v>NSG_Income Eligible_Multi-Family_Partner Trade Ally Rebate_Pipe Insulation_Steam X-Large Fitting_MF_2023</v>
      </c>
      <c r="D5042" s="19" t="s">
        <v>1787</v>
      </c>
      <c r="E5042" s="19" t="s">
        <v>325</v>
      </c>
      <c r="F5042" s="19" t="s">
        <v>1422</v>
      </c>
      <c r="G5042" s="19" t="s">
        <v>1799</v>
      </c>
      <c r="H5042" s="19" t="s">
        <v>404</v>
      </c>
      <c r="I5042" s="19" t="s">
        <v>964</v>
      </c>
      <c r="J5042" s="19">
        <v>0</v>
      </c>
      <c r="K5042" s="19" t="s">
        <v>553</v>
      </c>
      <c r="L5042" s="19">
        <v>2023</v>
      </c>
      <c r="M5042" s="20">
        <v>1</v>
      </c>
      <c r="N5042" s="19" t="s">
        <v>1798</v>
      </c>
      <c r="O5042" s="20">
        <v>0</v>
      </c>
      <c r="P5042" s="20">
        <v>0</v>
      </c>
      <c r="Q5042" s="20">
        <v>0</v>
      </c>
      <c r="R5042" s="21">
        <v>1</v>
      </c>
      <c r="S5042" s="20">
        <v>0</v>
      </c>
    </row>
    <row r="5043" spans="2:19" ht="15" customHeight="1" x14ac:dyDescent="0.25">
      <c r="B5043" s="2" t="str">
        <f t="shared" si="156"/>
        <v>NSG_Income Eligible_Multi-Family_Partner Trade Ally Rebate_Pipe Insulation_Steam X-Large Fitting_MF</v>
      </c>
      <c r="C5043" s="2" t="str">
        <f t="shared" si="157"/>
        <v>NSG_Income Eligible_Multi-Family_Partner Trade Ally Rebate_Pipe Insulation_Steam X-Large Fitting_MF_2024</v>
      </c>
      <c r="D5043" s="19" t="s">
        <v>1787</v>
      </c>
      <c r="E5043" s="19" t="s">
        <v>325</v>
      </c>
      <c r="F5043" s="19" t="s">
        <v>1422</v>
      </c>
      <c r="G5043" s="19" t="s">
        <v>1799</v>
      </c>
      <c r="H5043" s="19" t="s">
        <v>404</v>
      </c>
      <c r="I5043" s="19" t="s">
        <v>964</v>
      </c>
      <c r="J5043" s="19">
        <v>0</v>
      </c>
      <c r="K5043" s="19" t="s">
        <v>553</v>
      </c>
      <c r="L5043" s="19">
        <v>2024</v>
      </c>
      <c r="M5043" s="20">
        <v>1</v>
      </c>
      <c r="N5043" s="19" t="s">
        <v>1798</v>
      </c>
      <c r="O5043" s="20">
        <v>0</v>
      </c>
      <c r="P5043" s="20">
        <v>0</v>
      </c>
      <c r="Q5043" s="20">
        <v>0</v>
      </c>
      <c r="R5043" s="21">
        <v>1</v>
      </c>
      <c r="S5043" s="20">
        <v>0</v>
      </c>
    </row>
    <row r="5044" spans="2:19" ht="15" customHeight="1" x14ac:dyDescent="0.25">
      <c r="B5044" s="2" t="str">
        <f t="shared" si="156"/>
        <v>NSG_Income Eligible_Multi-Family_Partner Trade Ally Rebate_Pipe Insulation_Steam X-Large Fitting_MF</v>
      </c>
      <c r="C5044" s="2" t="str">
        <f t="shared" si="157"/>
        <v>NSG_Income Eligible_Multi-Family_Partner Trade Ally Rebate_Pipe Insulation_Steam X-Large Fitting_MF_2025</v>
      </c>
      <c r="D5044" s="19" t="s">
        <v>1787</v>
      </c>
      <c r="E5044" s="19" t="s">
        <v>325</v>
      </c>
      <c r="F5044" s="19" t="s">
        <v>1422</v>
      </c>
      <c r="G5044" s="19" t="s">
        <v>1799</v>
      </c>
      <c r="H5044" s="19" t="s">
        <v>404</v>
      </c>
      <c r="I5044" s="19" t="s">
        <v>964</v>
      </c>
      <c r="J5044" s="19">
        <v>0</v>
      </c>
      <c r="K5044" s="19" t="s">
        <v>553</v>
      </c>
      <c r="L5044" s="19">
        <v>2025</v>
      </c>
      <c r="M5044" s="20">
        <v>1</v>
      </c>
      <c r="N5044" s="19" t="s">
        <v>1798</v>
      </c>
      <c r="O5044" s="20">
        <v>0</v>
      </c>
      <c r="P5044" s="20">
        <v>0</v>
      </c>
      <c r="Q5044" s="20">
        <v>0</v>
      </c>
      <c r="R5044" s="21">
        <v>1</v>
      </c>
      <c r="S5044" s="20">
        <v>0</v>
      </c>
    </row>
    <row r="5045" spans="2:19" ht="15" customHeight="1" x14ac:dyDescent="0.25">
      <c r="B5045" s="2" t="str">
        <f t="shared" si="156"/>
        <v>NSG_Income Eligible_Multi-Family_Partner Trade Ally Rebate_Pipe Insulation_Steam Med Valve_MF</v>
      </c>
      <c r="C5045" s="2" t="str">
        <f t="shared" si="157"/>
        <v>NSG_Income Eligible_Multi-Family_Partner Trade Ally Rebate_Pipe Insulation_Steam Med Valve_MF_2022</v>
      </c>
      <c r="D5045" s="19" t="s">
        <v>1787</v>
      </c>
      <c r="E5045" s="19" t="s">
        <v>325</v>
      </c>
      <c r="F5045" s="19" t="s">
        <v>1422</v>
      </c>
      <c r="G5045" s="19" t="s">
        <v>1799</v>
      </c>
      <c r="H5045" s="19" t="s">
        <v>404</v>
      </c>
      <c r="I5045" s="19" t="s">
        <v>966</v>
      </c>
      <c r="J5045" s="19">
        <v>0</v>
      </c>
      <c r="K5045" s="19" t="s">
        <v>553</v>
      </c>
      <c r="L5045" s="19">
        <v>2022</v>
      </c>
      <c r="M5045" s="20">
        <v>1</v>
      </c>
      <c r="N5045" s="19" t="s">
        <v>1798</v>
      </c>
      <c r="O5045" s="20">
        <v>0</v>
      </c>
      <c r="P5045" s="20">
        <v>0</v>
      </c>
      <c r="Q5045" s="20">
        <v>0</v>
      </c>
      <c r="R5045" s="21">
        <v>1</v>
      </c>
      <c r="S5045" s="20">
        <v>0</v>
      </c>
    </row>
    <row r="5046" spans="2:19" ht="15" customHeight="1" x14ac:dyDescent="0.25">
      <c r="B5046" s="2" t="str">
        <f t="shared" si="156"/>
        <v>NSG_Income Eligible_Multi-Family_Partner Trade Ally Rebate_Pipe Insulation_Steam Med Valve_MF</v>
      </c>
      <c r="C5046" s="2" t="str">
        <f t="shared" si="157"/>
        <v>NSG_Income Eligible_Multi-Family_Partner Trade Ally Rebate_Pipe Insulation_Steam Med Valve_MF_2023</v>
      </c>
      <c r="D5046" s="19" t="s">
        <v>1787</v>
      </c>
      <c r="E5046" s="19" t="s">
        <v>325</v>
      </c>
      <c r="F5046" s="19" t="s">
        <v>1422</v>
      </c>
      <c r="G5046" s="19" t="s">
        <v>1799</v>
      </c>
      <c r="H5046" s="19" t="s">
        <v>404</v>
      </c>
      <c r="I5046" s="19" t="s">
        <v>966</v>
      </c>
      <c r="J5046" s="19">
        <v>0</v>
      </c>
      <c r="K5046" s="19" t="s">
        <v>553</v>
      </c>
      <c r="L5046" s="19">
        <v>2023</v>
      </c>
      <c r="M5046" s="20">
        <v>1</v>
      </c>
      <c r="N5046" s="19" t="s">
        <v>1798</v>
      </c>
      <c r="O5046" s="20">
        <v>0</v>
      </c>
      <c r="P5046" s="20">
        <v>0</v>
      </c>
      <c r="Q5046" s="20">
        <v>0</v>
      </c>
      <c r="R5046" s="21">
        <v>1</v>
      </c>
      <c r="S5046" s="20">
        <v>0</v>
      </c>
    </row>
    <row r="5047" spans="2:19" ht="15" customHeight="1" x14ac:dyDescent="0.25">
      <c r="B5047" s="2" t="str">
        <f t="shared" si="156"/>
        <v>NSG_Income Eligible_Multi-Family_Partner Trade Ally Rebate_Pipe Insulation_Steam Med Valve_MF</v>
      </c>
      <c r="C5047" s="2" t="str">
        <f t="shared" si="157"/>
        <v>NSG_Income Eligible_Multi-Family_Partner Trade Ally Rebate_Pipe Insulation_Steam Med Valve_MF_2024</v>
      </c>
      <c r="D5047" s="19" t="s">
        <v>1787</v>
      </c>
      <c r="E5047" s="19" t="s">
        <v>325</v>
      </c>
      <c r="F5047" s="19" t="s">
        <v>1422</v>
      </c>
      <c r="G5047" s="19" t="s">
        <v>1799</v>
      </c>
      <c r="H5047" s="19" t="s">
        <v>404</v>
      </c>
      <c r="I5047" s="19" t="s">
        <v>966</v>
      </c>
      <c r="J5047" s="19">
        <v>0</v>
      </c>
      <c r="K5047" s="19" t="s">
        <v>553</v>
      </c>
      <c r="L5047" s="19">
        <v>2024</v>
      </c>
      <c r="M5047" s="20">
        <v>1</v>
      </c>
      <c r="N5047" s="19" t="s">
        <v>1798</v>
      </c>
      <c r="O5047" s="20">
        <v>0</v>
      </c>
      <c r="P5047" s="20">
        <v>0</v>
      </c>
      <c r="Q5047" s="20">
        <v>0</v>
      </c>
      <c r="R5047" s="21">
        <v>1</v>
      </c>
      <c r="S5047" s="20">
        <v>0</v>
      </c>
    </row>
    <row r="5048" spans="2:19" ht="15" customHeight="1" x14ac:dyDescent="0.25">
      <c r="B5048" s="2" t="str">
        <f t="shared" si="156"/>
        <v>NSG_Income Eligible_Multi-Family_Partner Trade Ally Rebate_Pipe Insulation_Steam Med Valve_MF</v>
      </c>
      <c r="C5048" s="2" t="str">
        <f t="shared" si="157"/>
        <v>NSG_Income Eligible_Multi-Family_Partner Trade Ally Rebate_Pipe Insulation_Steam Med Valve_MF_2025</v>
      </c>
      <c r="D5048" s="19" t="s">
        <v>1787</v>
      </c>
      <c r="E5048" s="19" t="s">
        <v>325</v>
      </c>
      <c r="F5048" s="19" t="s">
        <v>1422</v>
      </c>
      <c r="G5048" s="19" t="s">
        <v>1799</v>
      </c>
      <c r="H5048" s="19" t="s">
        <v>404</v>
      </c>
      <c r="I5048" s="19" t="s">
        <v>966</v>
      </c>
      <c r="J5048" s="19">
        <v>0</v>
      </c>
      <c r="K5048" s="19" t="s">
        <v>553</v>
      </c>
      <c r="L5048" s="19">
        <v>2025</v>
      </c>
      <c r="M5048" s="20">
        <v>1</v>
      </c>
      <c r="N5048" s="19" t="s">
        <v>1798</v>
      </c>
      <c r="O5048" s="20">
        <v>0</v>
      </c>
      <c r="P5048" s="20">
        <v>0</v>
      </c>
      <c r="Q5048" s="20">
        <v>0</v>
      </c>
      <c r="R5048" s="21">
        <v>1</v>
      </c>
      <c r="S5048" s="20">
        <v>0</v>
      </c>
    </row>
    <row r="5049" spans="2:19" ht="15" customHeight="1" x14ac:dyDescent="0.25">
      <c r="B5049" s="2" t="str">
        <f t="shared" si="156"/>
        <v>NSG_Income Eligible_Multi-Family_Partner Trade Ally Rebate_Pipe Insulation_Steam Large Valve_MF</v>
      </c>
      <c r="C5049" s="2" t="str">
        <f t="shared" si="157"/>
        <v>NSG_Income Eligible_Multi-Family_Partner Trade Ally Rebate_Pipe Insulation_Steam Large Valve_MF_2022</v>
      </c>
      <c r="D5049" s="19" t="s">
        <v>1787</v>
      </c>
      <c r="E5049" s="19" t="s">
        <v>325</v>
      </c>
      <c r="F5049" s="19" t="s">
        <v>1422</v>
      </c>
      <c r="G5049" s="19" t="s">
        <v>1799</v>
      </c>
      <c r="H5049" s="19" t="s">
        <v>404</v>
      </c>
      <c r="I5049" s="19" t="s">
        <v>967</v>
      </c>
      <c r="J5049" s="19">
        <v>0</v>
      </c>
      <c r="K5049" s="19" t="s">
        <v>553</v>
      </c>
      <c r="L5049" s="19">
        <v>2022</v>
      </c>
      <c r="M5049" s="20">
        <v>1</v>
      </c>
      <c r="N5049" s="19" t="s">
        <v>1798</v>
      </c>
      <c r="O5049" s="20">
        <v>0</v>
      </c>
      <c r="P5049" s="20">
        <v>0</v>
      </c>
      <c r="Q5049" s="20">
        <v>0</v>
      </c>
      <c r="R5049" s="21">
        <v>1</v>
      </c>
      <c r="S5049" s="20">
        <v>0</v>
      </c>
    </row>
    <row r="5050" spans="2:19" ht="15" customHeight="1" x14ac:dyDescent="0.25">
      <c r="B5050" s="2" t="str">
        <f t="shared" si="156"/>
        <v>NSG_Income Eligible_Multi-Family_Partner Trade Ally Rebate_Pipe Insulation_Steam Large Valve_MF</v>
      </c>
      <c r="C5050" s="2" t="str">
        <f t="shared" si="157"/>
        <v>NSG_Income Eligible_Multi-Family_Partner Trade Ally Rebate_Pipe Insulation_Steam Large Valve_MF_2023</v>
      </c>
      <c r="D5050" s="19" t="s">
        <v>1787</v>
      </c>
      <c r="E5050" s="19" t="s">
        <v>325</v>
      </c>
      <c r="F5050" s="19" t="s">
        <v>1422</v>
      </c>
      <c r="G5050" s="19" t="s">
        <v>1799</v>
      </c>
      <c r="H5050" s="19" t="s">
        <v>404</v>
      </c>
      <c r="I5050" s="19" t="s">
        <v>967</v>
      </c>
      <c r="J5050" s="19">
        <v>0</v>
      </c>
      <c r="K5050" s="19" t="s">
        <v>553</v>
      </c>
      <c r="L5050" s="19">
        <v>2023</v>
      </c>
      <c r="M5050" s="20">
        <v>1</v>
      </c>
      <c r="N5050" s="19" t="s">
        <v>1798</v>
      </c>
      <c r="O5050" s="20">
        <v>0</v>
      </c>
      <c r="P5050" s="20">
        <v>0</v>
      </c>
      <c r="Q5050" s="20">
        <v>0</v>
      </c>
      <c r="R5050" s="21">
        <v>1</v>
      </c>
      <c r="S5050" s="20">
        <v>0</v>
      </c>
    </row>
    <row r="5051" spans="2:19" ht="15" customHeight="1" x14ac:dyDescent="0.25">
      <c r="B5051" s="2" t="str">
        <f t="shared" si="156"/>
        <v>NSG_Income Eligible_Multi-Family_Partner Trade Ally Rebate_Pipe Insulation_Steam Large Valve_MF</v>
      </c>
      <c r="C5051" s="2" t="str">
        <f t="shared" si="157"/>
        <v>NSG_Income Eligible_Multi-Family_Partner Trade Ally Rebate_Pipe Insulation_Steam Large Valve_MF_2024</v>
      </c>
      <c r="D5051" s="19" t="s">
        <v>1787</v>
      </c>
      <c r="E5051" s="19" t="s">
        <v>325</v>
      </c>
      <c r="F5051" s="19" t="s">
        <v>1422</v>
      </c>
      <c r="G5051" s="19" t="s">
        <v>1799</v>
      </c>
      <c r="H5051" s="19" t="s">
        <v>404</v>
      </c>
      <c r="I5051" s="19" t="s">
        <v>967</v>
      </c>
      <c r="J5051" s="19">
        <v>0</v>
      </c>
      <c r="K5051" s="19" t="s">
        <v>553</v>
      </c>
      <c r="L5051" s="19">
        <v>2024</v>
      </c>
      <c r="M5051" s="20">
        <v>1</v>
      </c>
      <c r="N5051" s="19" t="s">
        <v>1798</v>
      </c>
      <c r="O5051" s="20">
        <v>0</v>
      </c>
      <c r="P5051" s="20">
        <v>0</v>
      </c>
      <c r="Q5051" s="20">
        <v>0</v>
      </c>
      <c r="R5051" s="21">
        <v>1</v>
      </c>
      <c r="S5051" s="20">
        <v>0</v>
      </c>
    </row>
    <row r="5052" spans="2:19" ht="15" customHeight="1" x14ac:dyDescent="0.25">
      <c r="B5052" s="2" t="str">
        <f t="shared" si="156"/>
        <v>NSG_Income Eligible_Multi-Family_Partner Trade Ally Rebate_Pipe Insulation_Steam Large Valve_MF</v>
      </c>
      <c r="C5052" s="2" t="str">
        <f t="shared" si="157"/>
        <v>NSG_Income Eligible_Multi-Family_Partner Trade Ally Rebate_Pipe Insulation_Steam Large Valve_MF_2025</v>
      </c>
      <c r="D5052" s="19" t="s">
        <v>1787</v>
      </c>
      <c r="E5052" s="19" t="s">
        <v>325</v>
      </c>
      <c r="F5052" s="19" t="s">
        <v>1422</v>
      </c>
      <c r="G5052" s="19" t="s">
        <v>1799</v>
      </c>
      <c r="H5052" s="19" t="s">
        <v>404</v>
      </c>
      <c r="I5052" s="19" t="s">
        <v>967</v>
      </c>
      <c r="J5052" s="19">
        <v>0</v>
      </c>
      <c r="K5052" s="19" t="s">
        <v>553</v>
      </c>
      <c r="L5052" s="19">
        <v>2025</v>
      </c>
      <c r="M5052" s="20">
        <v>1</v>
      </c>
      <c r="N5052" s="19" t="s">
        <v>1798</v>
      </c>
      <c r="O5052" s="20">
        <v>0</v>
      </c>
      <c r="P5052" s="20">
        <v>0</v>
      </c>
      <c r="Q5052" s="20">
        <v>0</v>
      </c>
      <c r="R5052" s="21">
        <v>1</v>
      </c>
      <c r="S5052" s="20">
        <v>0</v>
      </c>
    </row>
    <row r="5053" spans="2:19" ht="15" customHeight="1" x14ac:dyDescent="0.25">
      <c r="B5053" s="2" t="str">
        <f t="shared" si="156"/>
        <v>NSG_Income Eligible_Multi-Family_Partner Trade Ally Rebate_Pipe Insulation_Steam X-Large Valve_MF</v>
      </c>
      <c r="C5053" s="2" t="str">
        <f t="shared" si="157"/>
        <v>NSG_Income Eligible_Multi-Family_Partner Trade Ally Rebate_Pipe Insulation_Steam X-Large Valve_MF_2022</v>
      </c>
      <c r="D5053" s="19" t="s">
        <v>1787</v>
      </c>
      <c r="E5053" s="19" t="s">
        <v>325</v>
      </c>
      <c r="F5053" s="19" t="s">
        <v>1422</v>
      </c>
      <c r="G5053" s="19" t="s">
        <v>1799</v>
      </c>
      <c r="H5053" s="19" t="s">
        <v>404</v>
      </c>
      <c r="I5053" s="19" t="s">
        <v>968</v>
      </c>
      <c r="J5053" s="19">
        <v>0</v>
      </c>
      <c r="K5053" s="19" t="s">
        <v>553</v>
      </c>
      <c r="L5053" s="19">
        <v>2022</v>
      </c>
      <c r="M5053" s="20">
        <v>1</v>
      </c>
      <c r="N5053" s="19" t="s">
        <v>1798</v>
      </c>
      <c r="O5053" s="20">
        <v>0</v>
      </c>
      <c r="P5053" s="20">
        <v>0</v>
      </c>
      <c r="Q5053" s="20">
        <v>0</v>
      </c>
      <c r="R5053" s="21">
        <v>1</v>
      </c>
      <c r="S5053" s="20">
        <v>0</v>
      </c>
    </row>
    <row r="5054" spans="2:19" ht="15" customHeight="1" x14ac:dyDescent="0.25">
      <c r="B5054" s="2" t="str">
        <f t="shared" si="156"/>
        <v>NSG_Income Eligible_Multi-Family_Partner Trade Ally Rebate_Pipe Insulation_Steam X-Large Valve_MF</v>
      </c>
      <c r="C5054" s="2" t="str">
        <f t="shared" si="157"/>
        <v>NSG_Income Eligible_Multi-Family_Partner Trade Ally Rebate_Pipe Insulation_Steam X-Large Valve_MF_2023</v>
      </c>
      <c r="D5054" s="19" t="s">
        <v>1787</v>
      </c>
      <c r="E5054" s="19" t="s">
        <v>325</v>
      </c>
      <c r="F5054" s="19" t="s">
        <v>1422</v>
      </c>
      <c r="G5054" s="19" t="s">
        <v>1799</v>
      </c>
      <c r="H5054" s="19" t="s">
        <v>404</v>
      </c>
      <c r="I5054" s="19" t="s">
        <v>968</v>
      </c>
      <c r="J5054" s="19">
        <v>0</v>
      </c>
      <c r="K5054" s="19" t="s">
        <v>553</v>
      </c>
      <c r="L5054" s="19">
        <v>2023</v>
      </c>
      <c r="M5054" s="20">
        <v>1</v>
      </c>
      <c r="N5054" s="19" t="s">
        <v>1798</v>
      </c>
      <c r="O5054" s="20">
        <v>0</v>
      </c>
      <c r="P5054" s="20">
        <v>0</v>
      </c>
      <c r="Q5054" s="20">
        <v>0</v>
      </c>
      <c r="R5054" s="21">
        <v>1</v>
      </c>
      <c r="S5054" s="20">
        <v>0</v>
      </c>
    </row>
    <row r="5055" spans="2:19" ht="15" customHeight="1" x14ac:dyDescent="0.25">
      <c r="B5055" s="2" t="str">
        <f t="shared" si="156"/>
        <v>NSG_Income Eligible_Multi-Family_Partner Trade Ally Rebate_Pipe Insulation_Steam X-Large Valve_MF</v>
      </c>
      <c r="C5055" s="2" t="str">
        <f t="shared" si="157"/>
        <v>NSG_Income Eligible_Multi-Family_Partner Trade Ally Rebate_Pipe Insulation_Steam X-Large Valve_MF_2024</v>
      </c>
      <c r="D5055" s="19" t="s">
        <v>1787</v>
      </c>
      <c r="E5055" s="19" t="s">
        <v>325</v>
      </c>
      <c r="F5055" s="19" t="s">
        <v>1422</v>
      </c>
      <c r="G5055" s="19" t="s">
        <v>1799</v>
      </c>
      <c r="H5055" s="19" t="s">
        <v>404</v>
      </c>
      <c r="I5055" s="19" t="s">
        <v>968</v>
      </c>
      <c r="J5055" s="19">
        <v>0</v>
      </c>
      <c r="K5055" s="19" t="s">
        <v>553</v>
      </c>
      <c r="L5055" s="19">
        <v>2024</v>
      </c>
      <c r="M5055" s="20">
        <v>1</v>
      </c>
      <c r="N5055" s="19" t="s">
        <v>1798</v>
      </c>
      <c r="O5055" s="20">
        <v>0</v>
      </c>
      <c r="P5055" s="20">
        <v>0</v>
      </c>
      <c r="Q5055" s="20">
        <v>0</v>
      </c>
      <c r="R5055" s="21">
        <v>1</v>
      </c>
      <c r="S5055" s="20">
        <v>0</v>
      </c>
    </row>
    <row r="5056" spans="2:19" ht="15" customHeight="1" x14ac:dyDescent="0.25">
      <c r="B5056" s="2" t="str">
        <f t="shared" si="156"/>
        <v>NSG_Income Eligible_Multi-Family_Partner Trade Ally Rebate_Pipe Insulation_Steam X-Large Valve_MF</v>
      </c>
      <c r="C5056" s="2" t="str">
        <f t="shared" si="157"/>
        <v>NSG_Income Eligible_Multi-Family_Partner Trade Ally Rebate_Pipe Insulation_Steam X-Large Valve_MF_2025</v>
      </c>
      <c r="D5056" s="19" t="s">
        <v>1787</v>
      </c>
      <c r="E5056" s="19" t="s">
        <v>325</v>
      </c>
      <c r="F5056" s="19" t="s">
        <v>1422</v>
      </c>
      <c r="G5056" s="19" t="s">
        <v>1799</v>
      </c>
      <c r="H5056" s="19" t="s">
        <v>404</v>
      </c>
      <c r="I5056" s="19" t="s">
        <v>968</v>
      </c>
      <c r="J5056" s="19">
        <v>0</v>
      </c>
      <c r="K5056" s="19" t="s">
        <v>553</v>
      </c>
      <c r="L5056" s="19">
        <v>2025</v>
      </c>
      <c r="M5056" s="20">
        <v>1</v>
      </c>
      <c r="N5056" s="19" t="s">
        <v>1798</v>
      </c>
      <c r="O5056" s="20">
        <v>0</v>
      </c>
      <c r="P5056" s="20">
        <v>0</v>
      </c>
      <c r="Q5056" s="20">
        <v>0</v>
      </c>
      <c r="R5056" s="21">
        <v>1</v>
      </c>
      <c r="S5056" s="20">
        <v>0</v>
      </c>
    </row>
    <row r="5057" spans="2:19" ht="15" customHeight="1" x14ac:dyDescent="0.25">
      <c r="B5057" s="2" t="str">
        <f t="shared" si="156"/>
        <v>NSG_Income Eligible_Multi-Family_Partner Trade Ally Rebate_Condensate Tank Insulation_0_MF/CI/SMB</v>
      </c>
      <c r="C5057" s="2" t="str">
        <f t="shared" si="157"/>
        <v>NSG_Income Eligible_Multi-Family_Partner Trade Ally Rebate_Condensate Tank Insulation_0_MF/CI/SMB_2022</v>
      </c>
      <c r="D5057" s="19" t="s">
        <v>1787</v>
      </c>
      <c r="E5057" s="19" t="s">
        <v>325</v>
      </c>
      <c r="F5057" s="19" t="s">
        <v>1422</v>
      </c>
      <c r="G5057" s="19" t="s">
        <v>1799</v>
      </c>
      <c r="H5057" s="19" t="s">
        <v>806</v>
      </c>
      <c r="I5057" s="19">
        <v>0</v>
      </c>
      <c r="J5057" s="19" t="s">
        <v>810</v>
      </c>
      <c r="K5057" s="19" t="s">
        <v>662</v>
      </c>
      <c r="L5057" s="19">
        <v>2022</v>
      </c>
      <c r="M5057" s="20">
        <v>250</v>
      </c>
      <c r="N5057" s="19" t="s">
        <v>1798</v>
      </c>
      <c r="O5057" s="20">
        <v>0</v>
      </c>
      <c r="P5057" s="20">
        <v>0</v>
      </c>
      <c r="Q5057" s="20">
        <v>0</v>
      </c>
      <c r="R5057" s="21">
        <v>1</v>
      </c>
      <c r="S5057" s="20">
        <v>0</v>
      </c>
    </row>
    <row r="5058" spans="2:19" ht="15" customHeight="1" x14ac:dyDescent="0.25">
      <c r="B5058" s="2" t="str">
        <f t="shared" si="156"/>
        <v>NSG_Income Eligible_Multi-Family_Partner Trade Ally Rebate_Condensate Tank Insulation_0_MF/CI/SMB</v>
      </c>
      <c r="C5058" s="2" t="str">
        <f t="shared" si="157"/>
        <v>NSG_Income Eligible_Multi-Family_Partner Trade Ally Rebate_Condensate Tank Insulation_0_MF/CI/SMB_2023</v>
      </c>
      <c r="D5058" s="19" t="s">
        <v>1787</v>
      </c>
      <c r="E5058" s="19" t="s">
        <v>325</v>
      </c>
      <c r="F5058" s="19" t="s">
        <v>1422</v>
      </c>
      <c r="G5058" s="19" t="s">
        <v>1799</v>
      </c>
      <c r="H5058" s="19" t="s">
        <v>806</v>
      </c>
      <c r="I5058" s="19">
        <v>0</v>
      </c>
      <c r="J5058" s="19" t="s">
        <v>810</v>
      </c>
      <c r="K5058" s="19" t="s">
        <v>662</v>
      </c>
      <c r="L5058" s="19">
        <v>2023</v>
      </c>
      <c r="M5058" s="20">
        <v>250</v>
      </c>
      <c r="N5058" s="19" t="s">
        <v>1798</v>
      </c>
      <c r="O5058" s="20">
        <v>0</v>
      </c>
      <c r="P5058" s="20">
        <v>0</v>
      </c>
      <c r="Q5058" s="20">
        <v>0</v>
      </c>
      <c r="R5058" s="21">
        <v>1</v>
      </c>
      <c r="S5058" s="20">
        <v>0</v>
      </c>
    </row>
    <row r="5059" spans="2:19" ht="15" customHeight="1" x14ac:dyDescent="0.25">
      <c r="B5059" s="2" t="str">
        <f t="shared" si="156"/>
        <v>NSG_Income Eligible_Multi-Family_Partner Trade Ally Rebate_Condensate Tank Insulation_0_MF/CI/SMB</v>
      </c>
      <c r="C5059" s="2" t="str">
        <f t="shared" si="157"/>
        <v>NSG_Income Eligible_Multi-Family_Partner Trade Ally Rebate_Condensate Tank Insulation_0_MF/CI/SMB_2024</v>
      </c>
      <c r="D5059" s="19" t="s">
        <v>1787</v>
      </c>
      <c r="E5059" s="19" t="s">
        <v>325</v>
      </c>
      <c r="F5059" s="19" t="s">
        <v>1422</v>
      </c>
      <c r="G5059" s="19" t="s">
        <v>1799</v>
      </c>
      <c r="H5059" s="19" t="s">
        <v>806</v>
      </c>
      <c r="I5059" s="19">
        <v>0</v>
      </c>
      <c r="J5059" s="19" t="s">
        <v>810</v>
      </c>
      <c r="K5059" s="19" t="s">
        <v>662</v>
      </c>
      <c r="L5059" s="19">
        <v>2024</v>
      </c>
      <c r="M5059" s="20">
        <v>250</v>
      </c>
      <c r="N5059" s="19" t="s">
        <v>1798</v>
      </c>
      <c r="O5059" s="20">
        <v>0</v>
      </c>
      <c r="P5059" s="20">
        <v>0</v>
      </c>
      <c r="Q5059" s="20">
        <v>0</v>
      </c>
      <c r="R5059" s="21">
        <v>1</v>
      </c>
      <c r="S5059" s="20">
        <v>0</v>
      </c>
    </row>
    <row r="5060" spans="2:19" ht="15" customHeight="1" x14ac:dyDescent="0.25">
      <c r="B5060" s="2" t="str">
        <f t="shared" si="156"/>
        <v>NSG_Income Eligible_Multi-Family_Partner Trade Ally Rebate_Condensate Tank Insulation_0_MF/CI/SMB</v>
      </c>
      <c r="C5060" s="2" t="str">
        <f t="shared" si="157"/>
        <v>NSG_Income Eligible_Multi-Family_Partner Trade Ally Rebate_Condensate Tank Insulation_0_MF/CI/SMB_2025</v>
      </c>
      <c r="D5060" s="19" t="s">
        <v>1787</v>
      </c>
      <c r="E5060" s="19" t="s">
        <v>325</v>
      </c>
      <c r="F5060" s="19" t="s">
        <v>1422</v>
      </c>
      <c r="G5060" s="19" t="s">
        <v>1799</v>
      </c>
      <c r="H5060" s="19" t="s">
        <v>806</v>
      </c>
      <c r="I5060" s="19">
        <v>0</v>
      </c>
      <c r="J5060" s="19" t="s">
        <v>810</v>
      </c>
      <c r="K5060" s="19" t="s">
        <v>662</v>
      </c>
      <c r="L5060" s="19">
        <v>2025</v>
      </c>
      <c r="M5060" s="20">
        <v>250</v>
      </c>
      <c r="N5060" s="19" t="s">
        <v>1798</v>
      </c>
      <c r="O5060" s="20">
        <v>0</v>
      </c>
      <c r="P5060" s="20">
        <v>0</v>
      </c>
      <c r="Q5060" s="20">
        <v>0</v>
      </c>
      <c r="R5060" s="21">
        <v>1</v>
      </c>
      <c r="S5060" s="20">
        <v>0</v>
      </c>
    </row>
    <row r="5061" spans="2:19" ht="15" customHeight="1" x14ac:dyDescent="0.25">
      <c r="B5061" s="2" t="str">
        <f t="shared" si="156"/>
        <v>NSG_Income Eligible_Multi-Family_Partner Trade Ally Rebate_DHW Storage Tank Insulation_0_MF/CI/SMB</v>
      </c>
      <c r="C5061" s="2" t="str">
        <f t="shared" si="157"/>
        <v>NSG_Income Eligible_Multi-Family_Partner Trade Ally Rebate_DHW Storage Tank Insulation_0_MF/CI/SMB_2022</v>
      </c>
      <c r="D5061" s="19" t="s">
        <v>1787</v>
      </c>
      <c r="E5061" s="19" t="s">
        <v>325</v>
      </c>
      <c r="F5061" s="19" t="s">
        <v>1422</v>
      </c>
      <c r="G5061" s="19" t="s">
        <v>1799</v>
      </c>
      <c r="H5061" s="19" t="s">
        <v>832</v>
      </c>
      <c r="I5061" s="19">
        <v>0</v>
      </c>
      <c r="J5061" s="19" t="s">
        <v>810</v>
      </c>
      <c r="K5061" s="19" t="s">
        <v>662</v>
      </c>
      <c r="L5061" s="19">
        <v>2022</v>
      </c>
      <c r="M5061" s="20">
        <v>148</v>
      </c>
      <c r="N5061" s="19" t="s">
        <v>1798</v>
      </c>
      <c r="O5061" s="20">
        <v>0</v>
      </c>
      <c r="P5061" s="20">
        <v>0</v>
      </c>
      <c r="Q5061" s="20">
        <v>0</v>
      </c>
      <c r="R5061" s="21">
        <v>1</v>
      </c>
      <c r="S5061" s="20">
        <v>0</v>
      </c>
    </row>
    <row r="5062" spans="2:19" ht="15" customHeight="1" x14ac:dyDescent="0.25">
      <c r="B5062" s="2" t="str">
        <f t="shared" ref="B5062:B5125" si="158">D5062&amp;"_"&amp;E5062&amp;"_"&amp;F5062&amp;"_"&amp;G5062&amp;"_"&amp;H5062&amp;"_"&amp;I5062&amp;"_"&amp;K5062</f>
        <v>NSG_Income Eligible_Multi-Family_Partner Trade Ally Rebate_DHW Storage Tank Insulation_0_MF/CI/SMB</v>
      </c>
      <c r="C5062" s="2" t="str">
        <f t="shared" ref="C5062:C5125" si="159">D5062&amp;"_"&amp;E5062&amp;"_"&amp;F5062&amp;"_"&amp;G5062&amp;"_"&amp;H5062&amp;"_"&amp;I5062&amp;"_"&amp;K5062&amp;"_"&amp;L5062</f>
        <v>NSG_Income Eligible_Multi-Family_Partner Trade Ally Rebate_DHW Storage Tank Insulation_0_MF/CI/SMB_2023</v>
      </c>
      <c r="D5062" s="19" t="s">
        <v>1787</v>
      </c>
      <c r="E5062" s="19" t="s">
        <v>325</v>
      </c>
      <c r="F5062" s="19" t="s">
        <v>1422</v>
      </c>
      <c r="G5062" s="19" t="s">
        <v>1799</v>
      </c>
      <c r="H5062" s="19" t="s">
        <v>832</v>
      </c>
      <c r="I5062" s="19">
        <v>0</v>
      </c>
      <c r="J5062" s="19" t="s">
        <v>810</v>
      </c>
      <c r="K5062" s="19" t="s">
        <v>662</v>
      </c>
      <c r="L5062" s="19">
        <v>2023</v>
      </c>
      <c r="M5062" s="20">
        <v>148</v>
      </c>
      <c r="N5062" s="19" t="s">
        <v>1798</v>
      </c>
      <c r="O5062" s="20">
        <v>0</v>
      </c>
      <c r="P5062" s="20">
        <v>0</v>
      </c>
      <c r="Q5062" s="20">
        <v>0</v>
      </c>
      <c r="R5062" s="21">
        <v>1</v>
      </c>
      <c r="S5062" s="20">
        <v>0</v>
      </c>
    </row>
    <row r="5063" spans="2:19" ht="15" customHeight="1" x14ac:dyDescent="0.25">
      <c r="B5063" s="2" t="str">
        <f t="shared" si="158"/>
        <v>NSG_Income Eligible_Multi-Family_Partner Trade Ally Rebate_DHW Storage Tank Insulation_0_MF/CI/SMB</v>
      </c>
      <c r="C5063" s="2" t="str">
        <f t="shared" si="159"/>
        <v>NSG_Income Eligible_Multi-Family_Partner Trade Ally Rebate_DHW Storage Tank Insulation_0_MF/CI/SMB_2024</v>
      </c>
      <c r="D5063" s="19" t="s">
        <v>1787</v>
      </c>
      <c r="E5063" s="19" t="s">
        <v>325</v>
      </c>
      <c r="F5063" s="19" t="s">
        <v>1422</v>
      </c>
      <c r="G5063" s="19" t="s">
        <v>1799</v>
      </c>
      <c r="H5063" s="19" t="s">
        <v>832</v>
      </c>
      <c r="I5063" s="19">
        <v>0</v>
      </c>
      <c r="J5063" s="19" t="s">
        <v>810</v>
      </c>
      <c r="K5063" s="19" t="s">
        <v>662</v>
      </c>
      <c r="L5063" s="19">
        <v>2024</v>
      </c>
      <c r="M5063" s="20">
        <v>148</v>
      </c>
      <c r="N5063" s="19" t="s">
        <v>1798</v>
      </c>
      <c r="O5063" s="20">
        <v>0</v>
      </c>
      <c r="P5063" s="20">
        <v>0</v>
      </c>
      <c r="Q5063" s="20">
        <v>0</v>
      </c>
      <c r="R5063" s="21">
        <v>1</v>
      </c>
      <c r="S5063" s="20">
        <v>0</v>
      </c>
    </row>
    <row r="5064" spans="2:19" ht="15" customHeight="1" x14ac:dyDescent="0.25">
      <c r="B5064" s="2" t="str">
        <f t="shared" si="158"/>
        <v>NSG_Income Eligible_Multi-Family_Partner Trade Ally Rebate_DHW Storage Tank Insulation_0_MF/CI/SMB</v>
      </c>
      <c r="C5064" s="2" t="str">
        <f t="shared" si="159"/>
        <v>NSG_Income Eligible_Multi-Family_Partner Trade Ally Rebate_DHW Storage Tank Insulation_0_MF/CI/SMB_2025</v>
      </c>
      <c r="D5064" s="19" t="s">
        <v>1787</v>
      </c>
      <c r="E5064" s="19" t="s">
        <v>325</v>
      </c>
      <c r="F5064" s="19" t="s">
        <v>1422</v>
      </c>
      <c r="G5064" s="19" t="s">
        <v>1799</v>
      </c>
      <c r="H5064" s="19" t="s">
        <v>832</v>
      </c>
      <c r="I5064" s="19">
        <v>0</v>
      </c>
      <c r="J5064" s="19" t="s">
        <v>810</v>
      </c>
      <c r="K5064" s="19" t="s">
        <v>662</v>
      </c>
      <c r="L5064" s="19">
        <v>2025</v>
      </c>
      <c r="M5064" s="20">
        <v>148</v>
      </c>
      <c r="N5064" s="19" t="s">
        <v>1798</v>
      </c>
      <c r="O5064" s="20">
        <v>0</v>
      </c>
      <c r="P5064" s="20">
        <v>0</v>
      </c>
      <c r="Q5064" s="20">
        <v>0</v>
      </c>
      <c r="R5064" s="21">
        <v>1</v>
      </c>
      <c r="S5064" s="20">
        <v>0</v>
      </c>
    </row>
    <row r="5065" spans="2:19" ht="15" customHeight="1" x14ac:dyDescent="0.25">
      <c r="B5065" s="2" t="str">
        <f t="shared" si="158"/>
        <v>NSG_Income Eligible_Multi-Family_Partner Trade Ally Rebate_Steam Boiler Averaging Controls_0_MF</v>
      </c>
      <c r="C5065" s="2" t="str">
        <f t="shared" si="159"/>
        <v>NSG_Income Eligible_Multi-Family_Partner Trade Ally Rebate_Steam Boiler Averaging Controls_0_MF_2022</v>
      </c>
      <c r="D5065" s="19" t="s">
        <v>1787</v>
      </c>
      <c r="E5065" s="19" t="s">
        <v>325</v>
      </c>
      <c r="F5065" s="19" t="s">
        <v>1422</v>
      </c>
      <c r="G5065" s="19" t="s">
        <v>1799</v>
      </c>
      <c r="H5065" s="19" t="s">
        <v>934</v>
      </c>
      <c r="I5065" s="19">
        <v>0</v>
      </c>
      <c r="J5065" s="19" t="s">
        <v>937</v>
      </c>
      <c r="K5065" s="19" t="s">
        <v>553</v>
      </c>
      <c r="L5065" s="19">
        <v>2022</v>
      </c>
      <c r="M5065" s="20">
        <v>1</v>
      </c>
      <c r="N5065" s="19" t="s">
        <v>1798</v>
      </c>
      <c r="O5065" s="20">
        <v>0</v>
      </c>
      <c r="P5065" s="20">
        <v>0</v>
      </c>
      <c r="Q5065" s="20">
        <v>0</v>
      </c>
      <c r="R5065" s="21">
        <v>1</v>
      </c>
      <c r="S5065" s="20">
        <v>0</v>
      </c>
    </row>
    <row r="5066" spans="2:19" ht="15" customHeight="1" x14ac:dyDescent="0.25">
      <c r="B5066" s="2" t="str">
        <f t="shared" si="158"/>
        <v>NSG_Income Eligible_Multi-Family_Partner Trade Ally Rebate_Steam Boiler Averaging Controls_0_MF</v>
      </c>
      <c r="C5066" s="2" t="str">
        <f t="shared" si="159"/>
        <v>NSG_Income Eligible_Multi-Family_Partner Trade Ally Rebate_Steam Boiler Averaging Controls_0_MF_2023</v>
      </c>
      <c r="D5066" s="19" t="s">
        <v>1787</v>
      </c>
      <c r="E5066" s="19" t="s">
        <v>325</v>
      </c>
      <c r="F5066" s="19" t="s">
        <v>1422</v>
      </c>
      <c r="G5066" s="19" t="s">
        <v>1799</v>
      </c>
      <c r="H5066" s="19" t="s">
        <v>934</v>
      </c>
      <c r="I5066" s="19">
        <v>0</v>
      </c>
      <c r="J5066" s="19" t="s">
        <v>937</v>
      </c>
      <c r="K5066" s="19" t="s">
        <v>553</v>
      </c>
      <c r="L5066" s="19">
        <v>2023</v>
      </c>
      <c r="M5066" s="20">
        <v>1</v>
      </c>
      <c r="N5066" s="19" t="s">
        <v>1798</v>
      </c>
      <c r="O5066" s="20">
        <v>0</v>
      </c>
      <c r="P5066" s="20">
        <v>0</v>
      </c>
      <c r="Q5066" s="20">
        <v>0</v>
      </c>
      <c r="R5066" s="21">
        <v>1</v>
      </c>
      <c r="S5066" s="20">
        <v>0</v>
      </c>
    </row>
    <row r="5067" spans="2:19" ht="15" customHeight="1" x14ac:dyDescent="0.25">
      <c r="B5067" s="2" t="str">
        <f t="shared" si="158"/>
        <v>NSG_Income Eligible_Multi-Family_Partner Trade Ally Rebate_Steam Boiler Averaging Controls_0_MF</v>
      </c>
      <c r="C5067" s="2" t="str">
        <f t="shared" si="159"/>
        <v>NSG_Income Eligible_Multi-Family_Partner Trade Ally Rebate_Steam Boiler Averaging Controls_0_MF_2024</v>
      </c>
      <c r="D5067" s="19" t="s">
        <v>1787</v>
      </c>
      <c r="E5067" s="19" t="s">
        <v>325</v>
      </c>
      <c r="F5067" s="19" t="s">
        <v>1422</v>
      </c>
      <c r="G5067" s="19" t="s">
        <v>1799</v>
      </c>
      <c r="H5067" s="19" t="s">
        <v>934</v>
      </c>
      <c r="I5067" s="19">
        <v>0</v>
      </c>
      <c r="J5067" s="19" t="s">
        <v>937</v>
      </c>
      <c r="K5067" s="19" t="s">
        <v>553</v>
      </c>
      <c r="L5067" s="19">
        <v>2024</v>
      </c>
      <c r="M5067" s="20">
        <v>1</v>
      </c>
      <c r="N5067" s="19" t="s">
        <v>1798</v>
      </c>
      <c r="O5067" s="20">
        <v>0</v>
      </c>
      <c r="P5067" s="20">
        <v>0</v>
      </c>
      <c r="Q5067" s="20">
        <v>0</v>
      </c>
      <c r="R5067" s="21">
        <v>1</v>
      </c>
      <c r="S5067" s="20">
        <v>0</v>
      </c>
    </row>
    <row r="5068" spans="2:19" ht="15" customHeight="1" x14ac:dyDescent="0.25">
      <c r="B5068" s="2" t="str">
        <f t="shared" si="158"/>
        <v>NSG_Income Eligible_Multi-Family_Partner Trade Ally Rebate_Steam Boiler Averaging Controls_0_MF</v>
      </c>
      <c r="C5068" s="2" t="str">
        <f t="shared" si="159"/>
        <v>NSG_Income Eligible_Multi-Family_Partner Trade Ally Rebate_Steam Boiler Averaging Controls_0_MF_2025</v>
      </c>
      <c r="D5068" s="19" t="s">
        <v>1787</v>
      </c>
      <c r="E5068" s="19" t="s">
        <v>325</v>
      </c>
      <c r="F5068" s="19" t="s">
        <v>1422</v>
      </c>
      <c r="G5068" s="19" t="s">
        <v>1799</v>
      </c>
      <c r="H5068" s="19" t="s">
        <v>934</v>
      </c>
      <c r="I5068" s="19">
        <v>0</v>
      </c>
      <c r="J5068" s="19" t="s">
        <v>937</v>
      </c>
      <c r="K5068" s="19" t="s">
        <v>553</v>
      </c>
      <c r="L5068" s="19">
        <v>2025</v>
      </c>
      <c r="M5068" s="20">
        <v>1</v>
      </c>
      <c r="N5068" s="19" t="s">
        <v>1798</v>
      </c>
      <c r="O5068" s="20">
        <v>0</v>
      </c>
      <c r="P5068" s="20">
        <v>0</v>
      </c>
      <c r="Q5068" s="20">
        <v>0</v>
      </c>
      <c r="R5068" s="21">
        <v>1</v>
      </c>
      <c r="S5068" s="20">
        <v>0</v>
      </c>
    </row>
    <row r="5069" spans="2:19" ht="15" customHeight="1" x14ac:dyDescent="0.25">
      <c r="B5069" s="2" t="str">
        <f t="shared" si="158"/>
        <v>NSG_Income Eligible_Multi-Family_Partner Trade Ally Rebate_Boiler Reset Controls_0_MF</v>
      </c>
      <c r="C5069" s="2" t="str">
        <f t="shared" si="159"/>
        <v>NSG_Income Eligible_Multi-Family_Partner Trade Ally Rebate_Boiler Reset Controls_0_MF_2022</v>
      </c>
      <c r="D5069" s="19" t="s">
        <v>1787</v>
      </c>
      <c r="E5069" s="19" t="s">
        <v>325</v>
      </c>
      <c r="F5069" s="19" t="s">
        <v>1422</v>
      </c>
      <c r="G5069" s="19" t="s">
        <v>1799</v>
      </c>
      <c r="H5069" s="19" t="s">
        <v>978</v>
      </c>
      <c r="I5069" s="19">
        <v>0</v>
      </c>
      <c r="J5069" s="19" t="s">
        <v>25</v>
      </c>
      <c r="K5069" s="19" t="s">
        <v>553</v>
      </c>
      <c r="L5069" s="19">
        <v>2022</v>
      </c>
      <c r="M5069" s="20">
        <v>200</v>
      </c>
      <c r="N5069" s="19" t="s">
        <v>1798</v>
      </c>
      <c r="O5069" s="20">
        <v>0</v>
      </c>
      <c r="P5069" s="20">
        <v>0</v>
      </c>
      <c r="Q5069" s="20">
        <v>0</v>
      </c>
      <c r="R5069" s="21">
        <v>1</v>
      </c>
      <c r="S5069" s="20">
        <v>0</v>
      </c>
    </row>
    <row r="5070" spans="2:19" ht="15" customHeight="1" x14ac:dyDescent="0.25">
      <c r="B5070" s="2" t="str">
        <f t="shared" si="158"/>
        <v>NSG_Income Eligible_Multi-Family_Partner Trade Ally Rebate_Boiler Reset Controls_0_MF</v>
      </c>
      <c r="C5070" s="2" t="str">
        <f t="shared" si="159"/>
        <v>NSG_Income Eligible_Multi-Family_Partner Trade Ally Rebate_Boiler Reset Controls_0_MF_2023</v>
      </c>
      <c r="D5070" s="19" t="s">
        <v>1787</v>
      </c>
      <c r="E5070" s="19" t="s">
        <v>325</v>
      </c>
      <c r="F5070" s="19" t="s">
        <v>1422</v>
      </c>
      <c r="G5070" s="19" t="s">
        <v>1799</v>
      </c>
      <c r="H5070" s="19" t="s">
        <v>978</v>
      </c>
      <c r="I5070" s="19">
        <v>0</v>
      </c>
      <c r="J5070" s="19" t="s">
        <v>25</v>
      </c>
      <c r="K5070" s="19" t="s">
        <v>553</v>
      </c>
      <c r="L5070" s="19">
        <v>2023</v>
      </c>
      <c r="M5070" s="20">
        <v>200</v>
      </c>
      <c r="N5070" s="19" t="s">
        <v>1798</v>
      </c>
      <c r="O5070" s="20">
        <v>0</v>
      </c>
      <c r="P5070" s="20">
        <v>0</v>
      </c>
      <c r="Q5070" s="20">
        <v>0</v>
      </c>
      <c r="R5070" s="21">
        <v>1</v>
      </c>
      <c r="S5070" s="20">
        <v>0</v>
      </c>
    </row>
    <row r="5071" spans="2:19" ht="15" customHeight="1" x14ac:dyDescent="0.25">
      <c r="B5071" s="2" t="str">
        <f t="shared" si="158"/>
        <v>NSG_Income Eligible_Multi-Family_Partner Trade Ally Rebate_Boiler Reset Controls_0_MF</v>
      </c>
      <c r="C5071" s="2" t="str">
        <f t="shared" si="159"/>
        <v>NSG_Income Eligible_Multi-Family_Partner Trade Ally Rebate_Boiler Reset Controls_0_MF_2024</v>
      </c>
      <c r="D5071" s="19" t="s">
        <v>1787</v>
      </c>
      <c r="E5071" s="19" t="s">
        <v>325</v>
      </c>
      <c r="F5071" s="19" t="s">
        <v>1422</v>
      </c>
      <c r="G5071" s="19" t="s">
        <v>1799</v>
      </c>
      <c r="H5071" s="19" t="s">
        <v>978</v>
      </c>
      <c r="I5071" s="19">
        <v>0</v>
      </c>
      <c r="J5071" s="19" t="s">
        <v>25</v>
      </c>
      <c r="K5071" s="19" t="s">
        <v>553</v>
      </c>
      <c r="L5071" s="19">
        <v>2024</v>
      </c>
      <c r="M5071" s="20">
        <v>200</v>
      </c>
      <c r="N5071" s="19" t="s">
        <v>1798</v>
      </c>
      <c r="O5071" s="20">
        <v>0</v>
      </c>
      <c r="P5071" s="20">
        <v>0</v>
      </c>
      <c r="Q5071" s="20">
        <v>0</v>
      </c>
      <c r="R5071" s="21">
        <v>1</v>
      </c>
      <c r="S5071" s="20">
        <v>0</v>
      </c>
    </row>
    <row r="5072" spans="2:19" ht="15" customHeight="1" x14ac:dyDescent="0.25">
      <c r="B5072" s="2" t="str">
        <f t="shared" si="158"/>
        <v>NSG_Income Eligible_Multi-Family_Partner Trade Ally Rebate_Boiler Reset Controls_0_MF</v>
      </c>
      <c r="C5072" s="2" t="str">
        <f t="shared" si="159"/>
        <v>NSG_Income Eligible_Multi-Family_Partner Trade Ally Rebate_Boiler Reset Controls_0_MF_2025</v>
      </c>
      <c r="D5072" s="19" t="s">
        <v>1787</v>
      </c>
      <c r="E5072" s="19" t="s">
        <v>325</v>
      </c>
      <c r="F5072" s="19" t="s">
        <v>1422</v>
      </c>
      <c r="G5072" s="19" t="s">
        <v>1799</v>
      </c>
      <c r="H5072" s="19" t="s">
        <v>978</v>
      </c>
      <c r="I5072" s="19">
        <v>0</v>
      </c>
      <c r="J5072" s="19" t="s">
        <v>25</v>
      </c>
      <c r="K5072" s="19" t="s">
        <v>553</v>
      </c>
      <c r="L5072" s="19">
        <v>2025</v>
      </c>
      <c r="M5072" s="20">
        <v>200</v>
      </c>
      <c r="N5072" s="19" t="s">
        <v>1798</v>
      </c>
      <c r="O5072" s="20">
        <v>0</v>
      </c>
      <c r="P5072" s="20">
        <v>0</v>
      </c>
      <c r="Q5072" s="20">
        <v>0</v>
      </c>
      <c r="R5072" s="21">
        <v>1</v>
      </c>
      <c r="S5072" s="20">
        <v>0</v>
      </c>
    </row>
    <row r="5073" spans="2:19" ht="15" customHeight="1" x14ac:dyDescent="0.25">
      <c r="B5073" s="2" t="str">
        <f t="shared" si="158"/>
        <v>NSG_Income Eligible_Multi-Family_Partner Trade Ally Rebate_Boiler Tune Up_Space Heating_MF</v>
      </c>
      <c r="C5073" s="2" t="str">
        <f t="shared" si="159"/>
        <v>NSG_Income Eligible_Multi-Family_Partner Trade Ally Rebate_Boiler Tune Up_Space Heating_MF_2022</v>
      </c>
      <c r="D5073" s="19" t="s">
        <v>1787</v>
      </c>
      <c r="E5073" s="19" t="s">
        <v>325</v>
      </c>
      <c r="F5073" s="19" t="s">
        <v>1422</v>
      </c>
      <c r="G5073" s="19" t="s">
        <v>1799</v>
      </c>
      <c r="H5073" s="19" t="s">
        <v>906</v>
      </c>
      <c r="I5073" s="19" t="s">
        <v>907</v>
      </c>
      <c r="J5073" s="19" t="s">
        <v>909</v>
      </c>
      <c r="K5073" s="19" t="s">
        <v>553</v>
      </c>
      <c r="L5073" s="19">
        <v>2022</v>
      </c>
      <c r="M5073" s="20">
        <v>800</v>
      </c>
      <c r="N5073" s="19" t="s">
        <v>1798</v>
      </c>
      <c r="O5073" s="20">
        <v>0</v>
      </c>
      <c r="P5073" s="20">
        <v>0</v>
      </c>
      <c r="Q5073" s="20">
        <v>0</v>
      </c>
      <c r="R5073" s="21">
        <v>1</v>
      </c>
      <c r="S5073" s="20">
        <v>0</v>
      </c>
    </row>
    <row r="5074" spans="2:19" ht="15" customHeight="1" x14ac:dyDescent="0.25">
      <c r="B5074" s="2" t="str">
        <f t="shared" si="158"/>
        <v>NSG_Income Eligible_Multi-Family_Partner Trade Ally Rebate_Boiler Tune Up_Space Heating_MF</v>
      </c>
      <c r="C5074" s="2" t="str">
        <f t="shared" si="159"/>
        <v>NSG_Income Eligible_Multi-Family_Partner Trade Ally Rebate_Boiler Tune Up_Space Heating_MF_2023</v>
      </c>
      <c r="D5074" s="19" t="s">
        <v>1787</v>
      </c>
      <c r="E5074" s="19" t="s">
        <v>325</v>
      </c>
      <c r="F5074" s="19" t="s">
        <v>1422</v>
      </c>
      <c r="G5074" s="19" t="s">
        <v>1799</v>
      </c>
      <c r="H5074" s="19" t="s">
        <v>906</v>
      </c>
      <c r="I5074" s="19" t="s">
        <v>907</v>
      </c>
      <c r="J5074" s="19" t="s">
        <v>909</v>
      </c>
      <c r="K5074" s="19" t="s">
        <v>553</v>
      </c>
      <c r="L5074" s="19">
        <v>2023</v>
      </c>
      <c r="M5074" s="20">
        <v>800</v>
      </c>
      <c r="N5074" s="19" t="s">
        <v>1798</v>
      </c>
      <c r="O5074" s="20">
        <v>0</v>
      </c>
      <c r="P5074" s="20">
        <v>0</v>
      </c>
      <c r="Q5074" s="20">
        <v>0</v>
      </c>
      <c r="R5074" s="21">
        <v>1</v>
      </c>
      <c r="S5074" s="20">
        <v>0</v>
      </c>
    </row>
    <row r="5075" spans="2:19" ht="15" customHeight="1" x14ac:dyDescent="0.25">
      <c r="B5075" s="2" t="str">
        <f t="shared" si="158"/>
        <v>NSG_Income Eligible_Multi-Family_Partner Trade Ally Rebate_Boiler Tune Up_Space Heating_MF</v>
      </c>
      <c r="C5075" s="2" t="str">
        <f t="shared" si="159"/>
        <v>NSG_Income Eligible_Multi-Family_Partner Trade Ally Rebate_Boiler Tune Up_Space Heating_MF_2024</v>
      </c>
      <c r="D5075" s="19" t="s">
        <v>1787</v>
      </c>
      <c r="E5075" s="19" t="s">
        <v>325</v>
      </c>
      <c r="F5075" s="19" t="s">
        <v>1422</v>
      </c>
      <c r="G5075" s="19" t="s">
        <v>1799</v>
      </c>
      <c r="H5075" s="19" t="s">
        <v>906</v>
      </c>
      <c r="I5075" s="19" t="s">
        <v>907</v>
      </c>
      <c r="J5075" s="19" t="s">
        <v>909</v>
      </c>
      <c r="K5075" s="19" t="s">
        <v>553</v>
      </c>
      <c r="L5075" s="19">
        <v>2024</v>
      </c>
      <c r="M5075" s="20">
        <v>800</v>
      </c>
      <c r="N5075" s="19" t="s">
        <v>1798</v>
      </c>
      <c r="O5075" s="20">
        <v>0</v>
      </c>
      <c r="P5075" s="20">
        <v>0</v>
      </c>
      <c r="Q5075" s="20">
        <v>0</v>
      </c>
      <c r="R5075" s="21">
        <v>1</v>
      </c>
      <c r="S5075" s="20">
        <v>0</v>
      </c>
    </row>
    <row r="5076" spans="2:19" ht="15" customHeight="1" x14ac:dyDescent="0.25">
      <c r="B5076" s="2" t="str">
        <f t="shared" si="158"/>
        <v>NSG_Income Eligible_Multi-Family_Partner Trade Ally Rebate_Boiler Tune Up_Space Heating_MF</v>
      </c>
      <c r="C5076" s="2" t="str">
        <f t="shared" si="159"/>
        <v>NSG_Income Eligible_Multi-Family_Partner Trade Ally Rebate_Boiler Tune Up_Space Heating_MF_2025</v>
      </c>
      <c r="D5076" s="19" t="s">
        <v>1787</v>
      </c>
      <c r="E5076" s="19" t="s">
        <v>325</v>
      </c>
      <c r="F5076" s="19" t="s">
        <v>1422</v>
      </c>
      <c r="G5076" s="19" t="s">
        <v>1799</v>
      </c>
      <c r="H5076" s="19" t="s">
        <v>906</v>
      </c>
      <c r="I5076" s="19" t="s">
        <v>907</v>
      </c>
      <c r="J5076" s="19" t="s">
        <v>909</v>
      </c>
      <c r="K5076" s="19" t="s">
        <v>553</v>
      </c>
      <c r="L5076" s="19">
        <v>2025</v>
      </c>
      <c r="M5076" s="20">
        <v>800</v>
      </c>
      <c r="N5076" s="19" t="s">
        <v>1798</v>
      </c>
      <c r="O5076" s="20">
        <v>0</v>
      </c>
      <c r="P5076" s="20">
        <v>0</v>
      </c>
      <c r="Q5076" s="20">
        <v>0</v>
      </c>
      <c r="R5076" s="21">
        <v>1</v>
      </c>
      <c r="S5076" s="20">
        <v>0</v>
      </c>
    </row>
    <row r="5077" spans="2:19" ht="15" customHeight="1" x14ac:dyDescent="0.25">
      <c r="B5077" s="2" t="str">
        <f t="shared" si="158"/>
        <v>NSG_Income Eligible_Multi-Family_Partner Trade Ally Rebate_Linkageless Controls_0_MF</v>
      </c>
      <c r="C5077" s="2" t="str">
        <f t="shared" si="159"/>
        <v>NSG_Income Eligible_Multi-Family_Partner Trade Ally Rebate_Linkageless Controls_0_MF_2022</v>
      </c>
      <c r="D5077" s="19" t="s">
        <v>1787</v>
      </c>
      <c r="E5077" s="19" t="s">
        <v>325</v>
      </c>
      <c r="F5077" s="19" t="s">
        <v>1422</v>
      </c>
      <c r="G5077" s="19" t="s">
        <v>1799</v>
      </c>
      <c r="H5077" s="19" t="s">
        <v>1287</v>
      </c>
      <c r="I5077" s="19">
        <v>0</v>
      </c>
      <c r="J5077" s="19" t="s">
        <v>28</v>
      </c>
      <c r="K5077" s="19" t="s">
        <v>553</v>
      </c>
      <c r="L5077" s="19">
        <v>2022</v>
      </c>
      <c r="M5077" s="20">
        <v>5000</v>
      </c>
      <c r="N5077" s="19" t="s">
        <v>1798</v>
      </c>
      <c r="O5077" s="20">
        <v>0</v>
      </c>
      <c r="P5077" s="20">
        <v>0</v>
      </c>
      <c r="Q5077" s="20">
        <v>0</v>
      </c>
      <c r="R5077" s="21">
        <v>1</v>
      </c>
      <c r="S5077" s="20">
        <v>0</v>
      </c>
    </row>
    <row r="5078" spans="2:19" ht="15" customHeight="1" x14ac:dyDescent="0.25">
      <c r="B5078" s="2" t="str">
        <f t="shared" si="158"/>
        <v>NSG_Income Eligible_Multi-Family_Partner Trade Ally Rebate_Linkageless Controls_0_MF</v>
      </c>
      <c r="C5078" s="2" t="str">
        <f t="shared" si="159"/>
        <v>NSG_Income Eligible_Multi-Family_Partner Trade Ally Rebate_Linkageless Controls_0_MF_2023</v>
      </c>
      <c r="D5078" s="19" t="s">
        <v>1787</v>
      </c>
      <c r="E5078" s="19" t="s">
        <v>325</v>
      </c>
      <c r="F5078" s="19" t="s">
        <v>1422</v>
      </c>
      <c r="G5078" s="19" t="s">
        <v>1799</v>
      </c>
      <c r="H5078" s="19" t="s">
        <v>1287</v>
      </c>
      <c r="I5078" s="19">
        <v>0</v>
      </c>
      <c r="J5078" s="19" t="s">
        <v>28</v>
      </c>
      <c r="K5078" s="19" t="s">
        <v>553</v>
      </c>
      <c r="L5078" s="19">
        <v>2023</v>
      </c>
      <c r="M5078" s="20">
        <v>5000</v>
      </c>
      <c r="N5078" s="19" t="s">
        <v>1798</v>
      </c>
      <c r="O5078" s="20">
        <v>0</v>
      </c>
      <c r="P5078" s="20">
        <v>0</v>
      </c>
      <c r="Q5078" s="20">
        <v>0</v>
      </c>
      <c r="R5078" s="21">
        <v>1</v>
      </c>
      <c r="S5078" s="20">
        <v>0</v>
      </c>
    </row>
    <row r="5079" spans="2:19" ht="15" customHeight="1" x14ac:dyDescent="0.25">
      <c r="B5079" s="2" t="str">
        <f t="shared" si="158"/>
        <v>NSG_Income Eligible_Multi-Family_Partner Trade Ally Rebate_Linkageless Controls_0_MF</v>
      </c>
      <c r="C5079" s="2" t="str">
        <f t="shared" si="159"/>
        <v>NSG_Income Eligible_Multi-Family_Partner Trade Ally Rebate_Linkageless Controls_0_MF_2024</v>
      </c>
      <c r="D5079" s="19" t="s">
        <v>1787</v>
      </c>
      <c r="E5079" s="19" t="s">
        <v>325</v>
      </c>
      <c r="F5079" s="19" t="s">
        <v>1422</v>
      </c>
      <c r="G5079" s="19" t="s">
        <v>1799</v>
      </c>
      <c r="H5079" s="19" t="s">
        <v>1287</v>
      </c>
      <c r="I5079" s="19">
        <v>0</v>
      </c>
      <c r="J5079" s="19" t="s">
        <v>28</v>
      </c>
      <c r="K5079" s="19" t="s">
        <v>553</v>
      </c>
      <c r="L5079" s="19">
        <v>2024</v>
      </c>
      <c r="M5079" s="20">
        <v>5000</v>
      </c>
      <c r="N5079" s="19" t="s">
        <v>1798</v>
      </c>
      <c r="O5079" s="20">
        <v>0</v>
      </c>
      <c r="P5079" s="20">
        <v>0</v>
      </c>
      <c r="Q5079" s="20">
        <v>0</v>
      </c>
      <c r="R5079" s="21">
        <v>1</v>
      </c>
      <c r="S5079" s="20">
        <v>0</v>
      </c>
    </row>
    <row r="5080" spans="2:19" ht="15" customHeight="1" x14ac:dyDescent="0.25">
      <c r="B5080" s="2" t="str">
        <f t="shared" si="158"/>
        <v>NSG_Income Eligible_Multi-Family_Partner Trade Ally Rebate_Linkageless Controls_0_MF</v>
      </c>
      <c r="C5080" s="2" t="str">
        <f t="shared" si="159"/>
        <v>NSG_Income Eligible_Multi-Family_Partner Trade Ally Rebate_Linkageless Controls_0_MF_2025</v>
      </c>
      <c r="D5080" s="19" t="s">
        <v>1787</v>
      </c>
      <c r="E5080" s="19" t="s">
        <v>325</v>
      </c>
      <c r="F5080" s="19" t="s">
        <v>1422</v>
      </c>
      <c r="G5080" s="19" t="s">
        <v>1799</v>
      </c>
      <c r="H5080" s="19" t="s">
        <v>1287</v>
      </c>
      <c r="I5080" s="19">
        <v>0</v>
      </c>
      <c r="J5080" s="19" t="s">
        <v>28</v>
      </c>
      <c r="K5080" s="19" t="s">
        <v>553</v>
      </c>
      <c r="L5080" s="19">
        <v>2025</v>
      </c>
      <c r="M5080" s="20">
        <v>5000</v>
      </c>
      <c r="N5080" s="19" t="s">
        <v>1798</v>
      </c>
      <c r="O5080" s="20">
        <v>0</v>
      </c>
      <c r="P5080" s="20">
        <v>0</v>
      </c>
      <c r="Q5080" s="20">
        <v>0</v>
      </c>
      <c r="R5080" s="21">
        <v>1</v>
      </c>
      <c r="S5080" s="20">
        <v>0</v>
      </c>
    </row>
    <row r="5081" spans="2:19" ht="15" customHeight="1" x14ac:dyDescent="0.25">
      <c r="B5081" s="2" t="str">
        <f t="shared" si="158"/>
        <v>NSG_Income Eligible_Multi-Family_Partner Trade Ally Rebate_Advanced Thermostat_Furnace (Replace Manual)_MF</v>
      </c>
      <c r="C5081" s="2" t="str">
        <f t="shared" si="159"/>
        <v>NSG_Income Eligible_Multi-Family_Partner Trade Ally Rebate_Advanced Thermostat_Furnace (Replace Manual)_MF_2022</v>
      </c>
      <c r="D5081" s="19" t="s">
        <v>1787</v>
      </c>
      <c r="E5081" s="19" t="s">
        <v>325</v>
      </c>
      <c r="F5081" s="19" t="s">
        <v>1422</v>
      </c>
      <c r="G5081" s="19" t="s">
        <v>1799</v>
      </c>
      <c r="H5081" s="19" t="s">
        <v>7</v>
      </c>
      <c r="I5081" s="19" t="s">
        <v>1047</v>
      </c>
      <c r="J5081" s="19" t="s">
        <v>24</v>
      </c>
      <c r="K5081" s="19" t="s">
        <v>553</v>
      </c>
      <c r="L5081" s="19">
        <v>2022</v>
      </c>
      <c r="M5081" s="20">
        <v>1</v>
      </c>
      <c r="N5081" s="19" t="s">
        <v>1798</v>
      </c>
      <c r="O5081" s="20">
        <v>0</v>
      </c>
      <c r="P5081" s="20">
        <v>0</v>
      </c>
      <c r="Q5081" s="20">
        <v>0</v>
      </c>
      <c r="R5081" s="21">
        <v>1</v>
      </c>
      <c r="S5081" s="20">
        <v>0</v>
      </c>
    </row>
    <row r="5082" spans="2:19" ht="15" customHeight="1" x14ac:dyDescent="0.25">
      <c r="B5082" s="2" t="str">
        <f t="shared" si="158"/>
        <v>NSG_Income Eligible_Multi-Family_Partner Trade Ally Rebate_Advanced Thermostat_Furnace (Replace Manual)_MF</v>
      </c>
      <c r="C5082" s="2" t="str">
        <f t="shared" si="159"/>
        <v>NSG_Income Eligible_Multi-Family_Partner Trade Ally Rebate_Advanced Thermostat_Furnace (Replace Manual)_MF_2023</v>
      </c>
      <c r="D5082" s="19" t="s">
        <v>1787</v>
      </c>
      <c r="E5082" s="19" t="s">
        <v>325</v>
      </c>
      <c r="F5082" s="19" t="s">
        <v>1422</v>
      </c>
      <c r="G5082" s="19" t="s">
        <v>1799</v>
      </c>
      <c r="H5082" s="19" t="s">
        <v>7</v>
      </c>
      <c r="I5082" s="19" t="s">
        <v>1047</v>
      </c>
      <c r="J5082" s="19" t="s">
        <v>24</v>
      </c>
      <c r="K5082" s="19" t="s">
        <v>553</v>
      </c>
      <c r="L5082" s="19">
        <v>2023</v>
      </c>
      <c r="M5082" s="20">
        <v>1</v>
      </c>
      <c r="N5082" s="19" t="s">
        <v>1798</v>
      </c>
      <c r="O5082" s="20">
        <v>0</v>
      </c>
      <c r="P5082" s="20">
        <v>0</v>
      </c>
      <c r="Q5082" s="20">
        <v>0</v>
      </c>
      <c r="R5082" s="21">
        <v>1</v>
      </c>
      <c r="S5082" s="20">
        <v>0</v>
      </c>
    </row>
    <row r="5083" spans="2:19" ht="15" customHeight="1" x14ac:dyDescent="0.25">
      <c r="B5083" s="2" t="str">
        <f t="shared" si="158"/>
        <v>NSG_Income Eligible_Multi-Family_Partner Trade Ally Rebate_Advanced Thermostat_Furnace (Replace Manual)_MF</v>
      </c>
      <c r="C5083" s="2" t="str">
        <f t="shared" si="159"/>
        <v>NSG_Income Eligible_Multi-Family_Partner Trade Ally Rebate_Advanced Thermostat_Furnace (Replace Manual)_MF_2024</v>
      </c>
      <c r="D5083" s="19" t="s">
        <v>1787</v>
      </c>
      <c r="E5083" s="19" t="s">
        <v>325</v>
      </c>
      <c r="F5083" s="19" t="s">
        <v>1422</v>
      </c>
      <c r="G5083" s="19" t="s">
        <v>1799</v>
      </c>
      <c r="H5083" s="19" t="s">
        <v>7</v>
      </c>
      <c r="I5083" s="19" t="s">
        <v>1047</v>
      </c>
      <c r="J5083" s="19" t="s">
        <v>24</v>
      </c>
      <c r="K5083" s="19" t="s">
        <v>553</v>
      </c>
      <c r="L5083" s="19">
        <v>2024</v>
      </c>
      <c r="M5083" s="20">
        <v>1</v>
      </c>
      <c r="N5083" s="19" t="s">
        <v>1798</v>
      </c>
      <c r="O5083" s="20">
        <v>0</v>
      </c>
      <c r="P5083" s="20">
        <v>0</v>
      </c>
      <c r="Q5083" s="20">
        <v>0</v>
      </c>
      <c r="R5083" s="21">
        <v>1</v>
      </c>
      <c r="S5083" s="20">
        <v>0</v>
      </c>
    </row>
    <row r="5084" spans="2:19" ht="15" customHeight="1" x14ac:dyDescent="0.25">
      <c r="B5084" s="2" t="str">
        <f t="shared" si="158"/>
        <v>NSG_Income Eligible_Multi-Family_Partner Trade Ally Rebate_Advanced Thermostat_Furnace (Replace Manual)_MF</v>
      </c>
      <c r="C5084" s="2" t="str">
        <f t="shared" si="159"/>
        <v>NSG_Income Eligible_Multi-Family_Partner Trade Ally Rebate_Advanced Thermostat_Furnace (Replace Manual)_MF_2025</v>
      </c>
      <c r="D5084" s="19" t="s">
        <v>1787</v>
      </c>
      <c r="E5084" s="19" t="s">
        <v>325</v>
      </c>
      <c r="F5084" s="19" t="s">
        <v>1422</v>
      </c>
      <c r="G5084" s="19" t="s">
        <v>1799</v>
      </c>
      <c r="H5084" s="19" t="s">
        <v>7</v>
      </c>
      <c r="I5084" s="19" t="s">
        <v>1047</v>
      </c>
      <c r="J5084" s="19" t="s">
        <v>24</v>
      </c>
      <c r="K5084" s="19" t="s">
        <v>553</v>
      </c>
      <c r="L5084" s="19">
        <v>2025</v>
      </c>
      <c r="M5084" s="20">
        <v>1</v>
      </c>
      <c r="N5084" s="19" t="s">
        <v>1798</v>
      </c>
      <c r="O5084" s="20">
        <v>0</v>
      </c>
      <c r="P5084" s="20">
        <v>0</v>
      </c>
      <c r="Q5084" s="20">
        <v>0</v>
      </c>
      <c r="R5084" s="21">
        <v>1</v>
      </c>
      <c r="S5084" s="20">
        <v>0</v>
      </c>
    </row>
    <row r="5085" spans="2:19" ht="15" customHeight="1" x14ac:dyDescent="0.25">
      <c r="B5085" s="2" t="str">
        <f t="shared" si="158"/>
        <v>NSG_Income Eligible_Multi-Family_Partner Trade Ally Rebate_Advanced Thermostat_Boiler (Replace Manual)_MF</v>
      </c>
      <c r="C5085" s="2" t="str">
        <f t="shared" si="159"/>
        <v>NSG_Income Eligible_Multi-Family_Partner Trade Ally Rebate_Advanced Thermostat_Boiler (Replace Manual)_MF_2022</v>
      </c>
      <c r="D5085" s="19" t="s">
        <v>1787</v>
      </c>
      <c r="E5085" s="19" t="s">
        <v>325</v>
      </c>
      <c r="F5085" s="19" t="s">
        <v>1422</v>
      </c>
      <c r="G5085" s="19" t="s">
        <v>1799</v>
      </c>
      <c r="H5085" s="19" t="s">
        <v>7</v>
      </c>
      <c r="I5085" s="19" t="s">
        <v>1051</v>
      </c>
      <c r="J5085" s="19" t="s">
        <v>24</v>
      </c>
      <c r="K5085" s="19" t="s">
        <v>553</v>
      </c>
      <c r="L5085" s="19">
        <v>2022</v>
      </c>
      <c r="M5085" s="20">
        <v>1</v>
      </c>
      <c r="N5085" s="19" t="s">
        <v>1798</v>
      </c>
      <c r="O5085" s="20">
        <v>0</v>
      </c>
      <c r="P5085" s="20">
        <v>0</v>
      </c>
      <c r="Q5085" s="20">
        <v>0</v>
      </c>
      <c r="R5085" s="21">
        <v>1</v>
      </c>
      <c r="S5085" s="20">
        <v>0</v>
      </c>
    </row>
    <row r="5086" spans="2:19" ht="15" customHeight="1" x14ac:dyDescent="0.25">
      <c r="B5086" s="2" t="str">
        <f t="shared" si="158"/>
        <v>NSG_Income Eligible_Multi-Family_Partner Trade Ally Rebate_Advanced Thermostat_Boiler (Replace Manual)_MF</v>
      </c>
      <c r="C5086" s="2" t="str">
        <f t="shared" si="159"/>
        <v>NSG_Income Eligible_Multi-Family_Partner Trade Ally Rebate_Advanced Thermostat_Boiler (Replace Manual)_MF_2023</v>
      </c>
      <c r="D5086" s="19" t="s">
        <v>1787</v>
      </c>
      <c r="E5086" s="19" t="s">
        <v>325</v>
      </c>
      <c r="F5086" s="19" t="s">
        <v>1422</v>
      </c>
      <c r="G5086" s="19" t="s">
        <v>1799</v>
      </c>
      <c r="H5086" s="19" t="s">
        <v>7</v>
      </c>
      <c r="I5086" s="19" t="s">
        <v>1051</v>
      </c>
      <c r="J5086" s="19" t="s">
        <v>24</v>
      </c>
      <c r="K5086" s="19" t="s">
        <v>553</v>
      </c>
      <c r="L5086" s="19">
        <v>2023</v>
      </c>
      <c r="M5086" s="20">
        <v>1</v>
      </c>
      <c r="N5086" s="19" t="s">
        <v>1798</v>
      </c>
      <c r="O5086" s="20">
        <v>0</v>
      </c>
      <c r="P5086" s="20">
        <v>0</v>
      </c>
      <c r="Q5086" s="20">
        <v>0</v>
      </c>
      <c r="R5086" s="21">
        <v>1</v>
      </c>
      <c r="S5086" s="20">
        <v>0</v>
      </c>
    </row>
    <row r="5087" spans="2:19" ht="15" customHeight="1" x14ac:dyDescent="0.25">
      <c r="B5087" s="2" t="str">
        <f t="shared" si="158"/>
        <v>NSG_Income Eligible_Multi-Family_Partner Trade Ally Rebate_Advanced Thermostat_Boiler (Replace Manual)_MF</v>
      </c>
      <c r="C5087" s="2" t="str">
        <f t="shared" si="159"/>
        <v>NSG_Income Eligible_Multi-Family_Partner Trade Ally Rebate_Advanced Thermostat_Boiler (Replace Manual)_MF_2024</v>
      </c>
      <c r="D5087" s="19" t="s">
        <v>1787</v>
      </c>
      <c r="E5087" s="19" t="s">
        <v>325</v>
      </c>
      <c r="F5087" s="19" t="s">
        <v>1422</v>
      </c>
      <c r="G5087" s="19" t="s">
        <v>1799</v>
      </c>
      <c r="H5087" s="19" t="s">
        <v>7</v>
      </c>
      <c r="I5087" s="19" t="s">
        <v>1051</v>
      </c>
      <c r="J5087" s="19" t="s">
        <v>24</v>
      </c>
      <c r="K5087" s="19" t="s">
        <v>553</v>
      </c>
      <c r="L5087" s="19">
        <v>2024</v>
      </c>
      <c r="M5087" s="20">
        <v>1</v>
      </c>
      <c r="N5087" s="19" t="s">
        <v>1798</v>
      </c>
      <c r="O5087" s="20">
        <v>0</v>
      </c>
      <c r="P5087" s="20">
        <v>0</v>
      </c>
      <c r="Q5087" s="20">
        <v>0</v>
      </c>
      <c r="R5087" s="21">
        <v>1</v>
      </c>
      <c r="S5087" s="20">
        <v>0</v>
      </c>
    </row>
    <row r="5088" spans="2:19" ht="15" customHeight="1" x14ac:dyDescent="0.25">
      <c r="B5088" s="2" t="str">
        <f t="shared" si="158"/>
        <v>NSG_Income Eligible_Multi-Family_Partner Trade Ally Rebate_Advanced Thermostat_Boiler (Replace Manual)_MF</v>
      </c>
      <c r="C5088" s="2" t="str">
        <f t="shared" si="159"/>
        <v>NSG_Income Eligible_Multi-Family_Partner Trade Ally Rebate_Advanced Thermostat_Boiler (Replace Manual)_MF_2025</v>
      </c>
      <c r="D5088" s="19" t="s">
        <v>1787</v>
      </c>
      <c r="E5088" s="19" t="s">
        <v>325</v>
      </c>
      <c r="F5088" s="19" t="s">
        <v>1422</v>
      </c>
      <c r="G5088" s="19" t="s">
        <v>1799</v>
      </c>
      <c r="H5088" s="19" t="s">
        <v>7</v>
      </c>
      <c r="I5088" s="19" t="s">
        <v>1051</v>
      </c>
      <c r="J5088" s="19" t="s">
        <v>24</v>
      </c>
      <c r="K5088" s="19" t="s">
        <v>553</v>
      </c>
      <c r="L5088" s="19">
        <v>2025</v>
      </c>
      <c r="M5088" s="20">
        <v>1</v>
      </c>
      <c r="N5088" s="19" t="s">
        <v>1798</v>
      </c>
      <c r="O5088" s="20">
        <v>0</v>
      </c>
      <c r="P5088" s="20">
        <v>0</v>
      </c>
      <c r="Q5088" s="20">
        <v>0</v>
      </c>
      <c r="R5088" s="21">
        <v>1</v>
      </c>
      <c r="S5088" s="20">
        <v>0</v>
      </c>
    </row>
    <row r="5089" spans="2:19" ht="15" customHeight="1" x14ac:dyDescent="0.25">
      <c r="B5089" s="2" t="str">
        <f t="shared" si="158"/>
        <v>NSG_Income Eligible_Multi-Family_Partner Trade Ally Rebate_Advanced Thermostat_Furnace (Replace Programmable)_MF</v>
      </c>
      <c r="C5089" s="2" t="str">
        <f t="shared" si="159"/>
        <v>NSG_Income Eligible_Multi-Family_Partner Trade Ally Rebate_Advanced Thermostat_Furnace (Replace Programmable)_MF_2022</v>
      </c>
      <c r="D5089" s="19" t="s">
        <v>1787</v>
      </c>
      <c r="E5089" s="19" t="s">
        <v>325</v>
      </c>
      <c r="F5089" s="19" t="s">
        <v>1422</v>
      </c>
      <c r="G5089" s="19" t="s">
        <v>1799</v>
      </c>
      <c r="H5089" s="19" t="s">
        <v>7</v>
      </c>
      <c r="I5089" s="19" t="s">
        <v>1049</v>
      </c>
      <c r="J5089" s="19" t="s">
        <v>24</v>
      </c>
      <c r="K5089" s="19" t="s">
        <v>553</v>
      </c>
      <c r="L5089" s="19">
        <v>2022</v>
      </c>
      <c r="M5089" s="20">
        <v>1</v>
      </c>
      <c r="N5089" s="19" t="s">
        <v>1798</v>
      </c>
      <c r="O5089" s="20">
        <v>0</v>
      </c>
      <c r="P5089" s="20">
        <v>0</v>
      </c>
      <c r="Q5089" s="20">
        <v>0</v>
      </c>
      <c r="R5089" s="21">
        <v>1</v>
      </c>
      <c r="S5089" s="20">
        <v>0</v>
      </c>
    </row>
    <row r="5090" spans="2:19" ht="15" customHeight="1" x14ac:dyDescent="0.25">
      <c r="B5090" s="2" t="str">
        <f t="shared" si="158"/>
        <v>NSG_Income Eligible_Multi-Family_Partner Trade Ally Rebate_Advanced Thermostat_Furnace (Replace Programmable)_MF</v>
      </c>
      <c r="C5090" s="2" t="str">
        <f t="shared" si="159"/>
        <v>NSG_Income Eligible_Multi-Family_Partner Trade Ally Rebate_Advanced Thermostat_Furnace (Replace Programmable)_MF_2023</v>
      </c>
      <c r="D5090" s="19" t="s">
        <v>1787</v>
      </c>
      <c r="E5090" s="19" t="s">
        <v>325</v>
      </c>
      <c r="F5090" s="19" t="s">
        <v>1422</v>
      </c>
      <c r="G5090" s="19" t="s">
        <v>1799</v>
      </c>
      <c r="H5090" s="19" t="s">
        <v>7</v>
      </c>
      <c r="I5090" s="19" t="s">
        <v>1049</v>
      </c>
      <c r="J5090" s="19" t="s">
        <v>24</v>
      </c>
      <c r="K5090" s="19" t="s">
        <v>553</v>
      </c>
      <c r="L5090" s="19">
        <v>2023</v>
      </c>
      <c r="M5090" s="20">
        <v>1</v>
      </c>
      <c r="N5090" s="19" t="s">
        <v>1798</v>
      </c>
      <c r="O5090" s="20">
        <v>0</v>
      </c>
      <c r="P5090" s="20">
        <v>0</v>
      </c>
      <c r="Q5090" s="20">
        <v>0</v>
      </c>
      <c r="R5090" s="21">
        <v>1</v>
      </c>
      <c r="S5090" s="20">
        <v>0</v>
      </c>
    </row>
    <row r="5091" spans="2:19" ht="15" customHeight="1" x14ac:dyDescent="0.25">
      <c r="B5091" s="2" t="str">
        <f t="shared" si="158"/>
        <v>NSG_Income Eligible_Multi-Family_Partner Trade Ally Rebate_Advanced Thermostat_Furnace (Replace Programmable)_MF</v>
      </c>
      <c r="C5091" s="2" t="str">
        <f t="shared" si="159"/>
        <v>NSG_Income Eligible_Multi-Family_Partner Trade Ally Rebate_Advanced Thermostat_Furnace (Replace Programmable)_MF_2024</v>
      </c>
      <c r="D5091" s="19" t="s">
        <v>1787</v>
      </c>
      <c r="E5091" s="19" t="s">
        <v>325</v>
      </c>
      <c r="F5091" s="19" t="s">
        <v>1422</v>
      </c>
      <c r="G5091" s="19" t="s">
        <v>1799</v>
      </c>
      <c r="H5091" s="19" t="s">
        <v>7</v>
      </c>
      <c r="I5091" s="19" t="s">
        <v>1049</v>
      </c>
      <c r="J5091" s="19" t="s">
        <v>24</v>
      </c>
      <c r="K5091" s="19" t="s">
        <v>553</v>
      </c>
      <c r="L5091" s="19">
        <v>2024</v>
      </c>
      <c r="M5091" s="20">
        <v>1</v>
      </c>
      <c r="N5091" s="19" t="s">
        <v>1798</v>
      </c>
      <c r="O5091" s="20">
        <v>0</v>
      </c>
      <c r="P5091" s="20">
        <v>0</v>
      </c>
      <c r="Q5091" s="20">
        <v>0</v>
      </c>
      <c r="R5091" s="21">
        <v>1</v>
      </c>
      <c r="S5091" s="20">
        <v>0</v>
      </c>
    </row>
    <row r="5092" spans="2:19" ht="15" customHeight="1" x14ac:dyDescent="0.25">
      <c r="B5092" s="2" t="str">
        <f t="shared" si="158"/>
        <v>NSG_Income Eligible_Multi-Family_Partner Trade Ally Rebate_Advanced Thermostat_Furnace (Replace Programmable)_MF</v>
      </c>
      <c r="C5092" s="2" t="str">
        <f t="shared" si="159"/>
        <v>NSG_Income Eligible_Multi-Family_Partner Trade Ally Rebate_Advanced Thermostat_Furnace (Replace Programmable)_MF_2025</v>
      </c>
      <c r="D5092" s="19" t="s">
        <v>1787</v>
      </c>
      <c r="E5092" s="19" t="s">
        <v>325</v>
      </c>
      <c r="F5092" s="19" t="s">
        <v>1422</v>
      </c>
      <c r="G5092" s="19" t="s">
        <v>1799</v>
      </c>
      <c r="H5092" s="19" t="s">
        <v>7</v>
      </c>
      <c r="I5092" s="19" t="s">
        <v>1049</v>
      </c>
      <c r="J5092" s="19" t="s">
        <v>24</v>
      </c>
      <c r="K5092" s="19" t="s">
        <v>553</v>
      </c>
      <c r="L5092" s="19">
        <v>2025</v>
      </c>
      <c r="M5092" s="20">
        <v>1</v>
      </c>
      <c r="N5092" s="19" t="s">
        <v>1798</v>
      </c>
      <c r="O5092" s="20">
        <v>0</v>
      </c>
      <c r="P5092" s="20">
        <v>0</v>
      </c>
      <c r="Q5092" s="20">
        <v>0</v>
      </c>
      <c r="R5092" s="21">
        <v>1</v>
      </c>
      <c r="S5092" s="20">
        <v>0</v>
      </c>
    </row>
    <row r="5093" spans="2:19" ht="15" customHeight="1" x14ac:dyDescent="0.25">
      <c r="B5093" s="2" t="str">
        <f t="shared" si="158"/>
        <v>NSG_Income Eligible_Multi-Family_Partner Trade Ally Rebate_Advanced Thermostat_Boiler (Replace Programmable)_MF</v>
      </c>
      <c r="C5093" s="2" t="str">
        <f t="shared" si="159"/>
        <v>NSG_Income Eligible_Multi-Family_Partner Trade Ally Rebate_Advanced Thermostat_Boiler (Replace Programmable)_MF_2022</v>
      </c>
      <c r="D5093" s="19" t="s">
        <v>1787</v>
      </c>
      <c r="E5093" s="19" t="s">
        <v>325</v>
      </c>
      <c r="F5093" s="19" t="s">
        <v>1422</v>
      </c>
      <c r="G5093" s="19" t="s">
        <v>1799</v>
      </c>
      <c r="H5093" s="19" t="s">
        <v>7</v>
      </c>
      <c r="I5093" s="19" t="s">
        <v>1052</v>
      </c>
      <c r="J5093" s="19" t="s">
        <v>24</v>
      </c>
      <c r="K5093" s="19" t="s">
        <v>553</v>
      </c>
      <c r="L5093" s="19">
        <v>2022</v>
      </c>
      <c r="M5093" s="20">
        <v>1</v>
      </c>
      <c r="N5093" s="19" t="s">
        <v>1798</v>
      </c>
      <c r="O5093" s="20">
        <v>0</v>
      </c>
      <c r="P5093" s="20">
        <v>0</v>
      </c>
      <c r="Q5093" s="20">
        <v>0</v>
      </c>
      <c r="R5093" s="21">
        <v>1</v>
      </c>
      <c r="S5093" s="20">
        <v>0</v>
      </c>
    </row>
    <row r="5094" spans="2:19" ht="15" customHeight="1" x14ac:dyDescent="0.25">
      <c r="B5094" s="2" t="str">
        <f t="shared" si="158"/>
        <v>NSG_Income Eligible_Multi-Family_Partner Trade Ally Rebate_Advanced Thermostat_Boiler (Replace Programmable)_MF</v>
      </c>
      <c r="C5094" s="2" t="str">
        <f t="shared" si="159"/>
        <v>NSG_Income Eligible_Multi-Family_Partner Trade Ally Rebate_Advanced Thermostat_Boiler (Replace Programmable)_MF_2023</v>
      </c>
      <c r="D5094" s="19" t="s">
        <v>1787</v>
      </c>
      <c r="E5094" s="19" t="s">
        <v>325</v>
      </c>
      <c r="F5094" s="19" t="s">
        <v>1422</v>
      </c>
      <c r="G5094" s="19" t="s">
        <v>1799</v>
      </c>
      <c r="H5094" s="19" t="s">
        <v>7</v>
      </c>
      <c r="I5094" s="19" t="s">
        <v>1052</v>
      </c>
      <c r="J5094" s="19" t="s">
        <v>24</v>
      </c>
      <c r="K5094" s="19" t="s">
        <v>553</v>
      </c>
      <c r="L5094" s="19">
        <v>2023</v>
      </c>
      <c r="M5094" s="20">
        <v>1</v>
      </c>
      <c r="N5094" s="19" t="s">
        <v>1798</v>
      </c>
      <c r="O5094" s="20">
        <v>0</v>
      </c>
      <c r="P5094" s="20">
        <v>0</v>
      </c>
      <c r="Q5094" s="20">
        <v>0</v>
      </c>
      <c r="R5094" s="21">
        <v>1</v>
      </c>
      <c r="S5094" s="20">
        <v>0</v>
      </c>
    </row>
    <row r="5095" spans="2:19" ht="15" customHeight="1" x14ac:dyDescent="0.25">
      <c r="B5095" s="2" t="str">
        <f t="shared" si="158"/>
        <v>NSG_Income Eligible_Multi-Family_Partner Trade Ally Rebate_Advanced Thermostat_Boiler (Replace Programmable)_MF</v>
      </c>
      <c r="C5095" s="2" t="str">
        <f t="shared" si="159"/>
        <v>NSG_Income Eligible_Multi-Family_Partner Trade Ally Rebate_Advanced Thermostat_Boiler (Replace Programmable)_MF_2024</v>
      </c>
      <c r="D5095" s="19" t="s">
        <v>1787</v>
      </c>
      <c r="E5095" s="19" t="s">
        <v>325</v>
      </c>
      <c r="F5095" s="19" t="s">
        <v>1422</v>
      </c>
      <c r="G5095" s="19" t="s">
        <v>1799</v>
      </c>
      <c r="H5095" s="19" t="s">
        <v>7</v>
      </c>
      <c r="I5095" s="19" t="s">
        <v>1052</v>
      </c>
      <c r="J5095" s="19" t="s">
        <v>24</v>
      </c>
      <c r="K5095" s="19" t="s">
        <v>553</v>
      </c>
      <c r="L5095" s="19">
        <v>2024</v>
      </c>
      <c r="M5095" s="20">
        <v>1</v>
      </c>
      <c r="N5095" s="19" t="s">
        <v>1798</v>
      </c>
      <c r="O5095" s="20">
        <v>0</v>
      </c>
      <c r="P5095" s="20">
        <v>0</v>
      </c>
      <c r="Q5095" s="20">
        <v>0</v>
      </c>
      <c r="R5095" s="21">
        <v>1</v>
      </c>
      <c r="S5095" s="20">
        <v>0</v>
      </c>
    </row>
    <row r="5096" spans="2:19" ht="15" customHeight="1" x14ac:dyDescent="0.25">
      <c r="B5096" s="2" t="str">
        <f t="shared" si="158"/>
        <v>NSG_Income Eligible_Multi-Family_Partner Trade Ally Rebate_Advanced Thermostat_Boiler (Replace Programmable)_MF</v>
      </c>
      <c r="C5096" s="2" t="str">
        <f t="shared" si="159"/>
        <v>NSG_Income Eligible_Multi-Family_Partner Trade Ally Rebate_Advanced Thermostat_Boiler (Replace Programmable)_MF_2025</v>
      </c>
      <c r="D5096" s="19" t="s">
        <v>1787</v>
      </c>
      <c r="E5096" s="19" t="s">
        <v>325</v>
      </c>
      <c r="F5096" s="19" t="s">
        <v>1422</v>
      </c>
      <c r="G5096" s="19" t="s">
        <v>1799</v>
      </c>
      <c r="H5096" s="19" t="s">
        <v>7</v>
      </c>
      <c r="I5096" s="19" t="s">
        <v>1052</v>
      </c>
      <c r="J5096" s="19" t="s">
        <v>24</v>
      </c>
      <c r="K5096" s="19" t="s">
        <v>553</v>
      </c>
      <c r="L5096" s="19">
        <v>2025</v>
      </c>
      <c r="M5096" s="20">
        <v>1</v>
      </c>
      <c r="N5096" s="19" t="s">
        <v>1798</v>
      </c>
      <c r="O5096" s="20">
        <v>0</v>
      </c>
      <c r="P5096" s="20">
        <v>0</v>
      </c>
      <c r="Q5096" s="20">
        <v>0</v>
      </c>
      <c r="R5096" s="21">
        <v>1</v>
      </c>
      <c r="S5096" s="20">
        <v>0</v>
      </c>
    </row>
    <row r="5097" spans="2:19" ht="15" customHeight="1" x14ac:dyDescent="0.25">
      <c r="B5097" s="2" t="str">
        <f t="shared" si="158"/>
        <v>NSG_Income Eligible_Multi-Family_Partner Trade Ally Rebate_On Demand DHW Circulation System_0_MF</v>
      </c>
      <c r="C5097" s="2" t="str">
        <f t="shared" si="159"/>
        <v>NSG_Income Eligible_Multi-Family_Partner Trade Ally Rebate_On Demand DHW Circulation System_0_MF_2022</v>
      </c>
      <c r="D5097" s="19" t="s">
        <v>1787</v>
      </c>
      <c r="E5097" s="19" t="s">
        <v>325</v>
      </c>
      <c r="F5097" s="19" t="s">
        <v>1422</v>
      </c>
      <c r="G5097" s="19" t="s">
        <v>1799</v>
      </c>
      <c r="H5097" s="19" t="s">
        <v>1075</v>
      </c>
      <c r="I5097" s="19">
        <v>0</v>
      </c>
      <c r="J5097" s="19" t="s">
        <v>26</v>
      </c>
      <c r="K5097" s="19" t="s">
        <v>553</v>
      </c>
      <c r="L5097" s="19">
        <v>2022</v>
      </c>
      <c r="M5097" s="20">
        <v>1</v>
      </c>
      <c r="N5097" s="19" t="s">
        <v>1798</v>
      </c>
      <c r="O5097" s="20">
        <v>0</v>
      </c>
      <c r="P5097" s="20">
        <v>0</v>
      </c>
      <c r="Q5097" s="20">
        <v>0</v>
      </c>
      <c r="R5097" s="21">
        <v>1</v>
      </c>
      <c r="S5097" s="20">
        <v>0</v>
      </c>
    </row>
    <row r="5098" spans="2:19" ht="15" customHeight="1" x14ac:dyDescent="0.25">
      <c r="B5098" s="2" t="str">
        <f t="shared" si="158"/>
        <v>NSG_Income Eligible_Multi-Family_Partner Trade Ally Rebate_On Demand DHW Circulation System_0_MF</v>
      </c>
      <c r="C5098" s="2" t="str">
        <f t="shared" si="159"/>
        <v>NSG_Income Eligible_Multi-Family_Partner Trade Ally Rebate_On Demand DHW Circulation System_0_MF_2023</v>
      </c>
      <c r="D5098" s="19" t="s">
        <v>1787</v>
      </c>
      <c r="E5098" s="19" t="s">
        <v>325</v>
      </c>
      <c r="F5098" s="19" t="s">
        <v>1422</v>
      </c>
      <c r="G5098" s="19" t="s">
        <v>1799</v>
      </c>
      <c r="H5098" s="19" t="s">
        <v>1075</v>
      </c>
      <c r="I5098" s="19">
        <v>0</v>
      </c>
      <c r="J5098" s="19" t="s">
        <v>26</v>
      </c>
      <c r="K5098" s="19" t="s">
        <v>553</v>
      </c>
      <c r="L5098" s="19">
        <v>2023</v>
      </c>
      <c r="M5098" s="20">
        <v>1</v>
      </c>
      <c r="N5098" s="19" t="s">
        <v>1798</v>
      </c>
      <c r="O5098" s="20">
        <v>0</v>
      </c>
      <c r="P5098" s="20">
        <v>0</v>
      </c>
      <c r="Q5098" s="20">
        <v>0</v>
      </c>
      <c r="R5098" s="21">
        <v>1</v>
      </c>
      <c r="S5098" s="20">
        <v>0</v>
      </c>
    </row>
    <row r="5099" spans="2:19" ht="15" customHeight="1" x14ac:dyDescent="0.25">
      <c r="B5099" s="2" t="str">
        <f t="shared" si="158"/>
        <v>NSG_Income Eligible_Multi-Family_Partner Trade Ally Rebate_On Demand DHW Circulation System_0_MF</v>
      </c>
      <c r="C5099" s="2" t="str">
        <f t="shared" si="159"/>
        <v>NSG_Income Eligible_Multi-Family_Partner Trade Ally Rebate_On Demand DHW Circulation System_0_MF_2024</v>
      </c>
      <c r="D5099" s="19" t="s">
        <v>1787</v>
      </c>
      <c r="E5099" s="19" t="s">
        <v>325</v>
      </c>
      <c r="F5099" s="19" t="s">
        <v>1422</v>
      </c>
      <c r="G5099" s="19" t="s">
        <v>1799</v>
      </c>
      <c r="H5099" s="19" t="s">
        <v>1075</v>
      </c>
      <c r="I5099" s="19">
        <v>0</v>
      </c>
      <c r="J5099" s="19" t="s">
        <v>26</v>
      </c>
      <c r="K5099" s="19" t="s">
        <v>553</v>
      </c>
      <c r="L5099" s="19">
        <v>2024</v>
      </c>
      <c r="M5099" s="20">
        <v>1</v>
      </c>
      <c r="N5099" s="19" t="s">
        <v>1798</v>
      </c>
      <c r="O5099" s="20">
        <v>0</v>
      </c>
      <c r="P5099" s="20">
        <v>0</v>
      </c>
      <c r="Q5099" s="20">
        <v>0</v>
      </c>
      <c r="R5099" s="21">
        <v>1</v>
      </c>
      <c r="S5099" s="20">
        <v>0</v>
      </c>
    </row>
    <row r="5100" spans="2:19" ht="15" customHeight="1" x14ac:dyDescent="0.25">
      <c r="B5100" s="2" t="str">
        <f t="shared" si="158"/>
        <v>NSG_Income Eligible_Multi-Family_Partner Trade Ally Rebate_On Demand DHW Circulation System_0_MF</v>
      </c>
      <c r="C5100" s="2" t="str">
        <f t="shared" si="159"/>
        <v>NSG_Income Eligible_Multi-Family_Partner Trade Ally Rebate_On Demand DHW Circulation System_0_MF_2025</v>
      </c>
      <c r="D5100" s="19" t="s">
        <v>1787</v>
      </c>
      <c r="E5100" s="19" t="s">
        <v>325</v>
      </c>
      <c r="F5100" s="19" t="s">
        <v>1422</v>
      </c>
      <c r="G5100" s="19" t="s">
        <v>1799</v>
      </c>
      <c r="H5100" s="19" t="s">
        <v>1075</v>
      </c>
      <c r="I5100" s="19">
        <v>0</v>
      </c>
      <c r="J5100" s="19" t="s">
        <v>26</v>
      </c>
      <c r="K5100" s="19" t="s">
        <v>553</v>
      </c>
      <c r="L5100" s="19">
        <v>2025</v>
      </c>
      <c r="M5100" s="20">
        <v>1</v>
      </c>
      <c r="N5100" s="19" t="s">
        <v>1798</v>
      </c>
      <c r="O5100" s="20">
        <v>0</v>
      </c>
      <c r="P5100" s="20">
        <v>0</v>
      </c>
      <c r="Q5100" s="20">
        <v>0</v>
      </c>
      <c r="R5100" s="21">
        <v>1</v>
      </c>
      <c r="S5100" s="20">
        <v>0</v>
      </c>
    </row>
    <row r="5101" spans="2:19" ht="15" customHeight="1" x14ac:dyDescent="0.25">
      <c r="B5101" s="2" t="str">
        <f t="shared" si="158"/>
        <v>NSG_Income Eligible_Multi-Family_Partner Trade Ally Rebate_Shut Off Flue Damper_0_MF</v>
      </c>
      <c r="C5101" s="2" t="str">
        <f t="shared" si="159"/>
        <v>NSG_Income Eligible_Multi-Family_Partner Trade Ally Rebate_Shut Off Flue Damper_0_MF_2022</v>
      </c>
      <c r="D5101" s="19" t="s">
        <v>1787</v>
      </c>
      <c r="E5101" s="19" t="s">
        <v>325</v>
      </c>
      <c r="F5101" s="19" t="s">
        <v>1422</v>
      </c>
      <c r="G5101" s="19" t="s">
        <v>1799</v>
      </c>
      <c r="H5101" s="19" t="s">
        <v>1443</v>
      </c>
      <c r="I5101" s="19">
        <v>0</v>
      </c>
      <c r="J5101" s="19" t="s">
        <v>1469</v>
      </c>
      <c r="K5101" s="19" t="s">
        <v>553</v>
      </c>
      <c r="L5101" s="19">
        <v>2022</v>
      </c>
      <c r="M5101" s="20">
        <v>1</v>
      </c>
      <c r="N5101" s="19" t="s">
        <v>1798</v>
      </c>
      <c r="O5101" s="20">
        <v>0</v>
      </c>
      <c r="P5101" s="20">
        <v>0</v>
      </c>
      <c r="Q5101" s="20">
        <v>0</v>
      </c>
      <c r="R5101" s="21">
        <v>1</v>
      </c>
      <c r="S5101" s="20">
        <v>0</v>
      </c>
    </row>
    <row r="5102" spans="2:19" ht="15" customHeight="1" x14ac:dyDescent="0.25">
      <c r="B5102" s="2" t="str">
        <f t="shared" si="158"/>
        <v>NSG_Income Eligible_Multi-Family_Partner Trade Ally Rebate_Shut Off Flue Damper_0_MF</v>
      </c>
      <c r="C5102" s="2" t="str">
        <f t="shared" si="159"/>
        <v>NSG_Income Eligible_Multi-Family_Partner Trade Ally Rebate_Shut Off Flue Damper_0_MF_2023</v>
      </c>
      <c r="D5102" s="19" t="s">
        <v>1787</v>
      </c>
      <c r="E5102" s="19" t="s">
        <v>325</v>
      </c>
      <c r="F5102" s="19" t="s">
        <v>1422</v>
      </c>
      <c r="G5102" s="19" t="s">
        <v>1799</v>
      </c>
      <c r="H5102" s="19" t="s">
        <v>1443</v>
      </c>
      <c r="I5102" s="19">
        <v>0</v>
      </c>
      <c r="J5102" s="19" t="s">
        <v>1469</v>
      </c>
      <c r="K5102" s="19" t="s">
        <v>553</v>
      </c>
      <c r="L5102" s="19">
        <v>2023</v>
      </c>
      <c r="M5102" s="20">
        <v>1</v>
      </c>
      <c r="N5102" s="19" t="s">
        <v>1798</v>
      </c>
      <c r="O5102" s="20">
        <v>0</v>
      </c>
      <c r="P5102" s="20">
        <v>0</v>
      </c>
      <c r="Q5102" s="20">
        <v>0</v>
      </c>
      <c r="R5102" s="21">
        <v>1</v>
      </c>
      <c r="S5102" s="20">
        <v>0</v>
      </c>
    </row>
    <row r="5103" spans="2:19" ht="15" customHeight="1" x14ac:dyDescent="0.25">
      <c r="B5103" s="2" t="str">
        <f t="shared" si="158"/>
        <v>NSG_Income Eligible_Multi-Family_Partner Trade Ally Rebate_Shut Off Flue Damper_0_MF</v>
      </c>
      <c r="C5103" s="2" t="str">
        <f t="shared" si="159"/>
        <v>NSG_Income Eligible_Multi-Family_Partner Trade Ally Rebate_Shut Off Flue Damper_0_MF_2024</v>
      </c>
      <c r="D5103" s="19" t="s">
        <v>1787</v>
      </c>
      <c r="E5103" s="19" t="s">
        <v>325</v>
      </c>
      <c r="F5103" s="19" t="s">
        <v>1422</v>
      </c>
      <c r="G5103" s="19" t="s">
        <v>1799</v>
      </c>
      <c r="H5103" s="19" t="s">
        <v>1443</v>
      </c>
      <c r="I5103" s="19">
        <v>0</v>
      </c>
      <c r="J5103" s="19" t="s">
        <v>1469</v>
      </c>
      <c r="K5103" s="19" t="s">
        <v>553</v>
      </c>
      <c r="L5103" s="19">
        <v>2024</v>
      </c>
      <c r="M5103" s="20">
        <v>1</v>
      </c>
      <c r="N5103" s="19" t="s">
        <v>1798</v>
      </c>
      <c r="O5103" s="20">
        <v>0</v>
      </c>
      <c r="P5103" s="20">
        <v>0</v>
      </c>
      <c r="Q5103" s="20">
        <v>0</v>
      </c>
      <c r="R5103" s="21">
        <v>1</v>
      </c>
      <c r="S5103" s="20">
        <v>0</v>
      </c>
    </row>
    <row r="5104" spans="2:19" ht="15" customHeight="1" x14ac:dyDescent="0.25">
      <c r="B5104" s="2" t="str">
        <f t="shared" si="158"/>
        <v>NSG_Income Eligible_Multi-Family_Partner Trade Ally Rebate_Shut Off Flue Damper_0_MF</v>
      </c>
      <c r="C5104" s="2" t="str">
        <f t="shared" si="159"/>
        <v>NSG_Income Eligible_Multi-Family_Partner Trade Ally Rebate_Shut Off Flue Damper_0_MF_2025</v>
      </c>
      <c r="D5104" s="19" t="s">
        <v>1787</v>
      </c>
      <c r="E5104" s="19" t="s">
        <v>325</v>
      </c>
      <c r="F5104" s="19" t="s">
        <v>1422</v>
      </c>
      <c r="G5104" s="19" t="s">
        <v>1799</v>
      </c>
      <c r="H5104" s="19" t="s">
        <v>1443</v>
      </c>
      <c r="I5104" s="19">
        <v>0</v>
      </c>
      <c r="J5104" s="19" t="s">
        <v>1469</v>
      </c>
      <c r="K5104" s="19" t="s">
        <v>553</v>
      </c>
      <c r="L5104" s="19">
        <v>2025</v>
      </c>
      <c r="M5104" s="20">
        <v>1</v>
      </c>
      <c r="N5104" s="19" t="s">
        <v>1798</v>
      </c>
      <c r="O5104" s="20">
        <v>0</v>
      </c>
      <c r="P5104" s="20">
        <v>0</v>
      </c>
      <c r="Q5104" s="20">
        <v>0</v>
      </c>
      <c r="R5104" s="21">
        <v>1</v>
      </c>
      <c r="S5104" s="20">
        <v>0</v>
      </c>
    </row>
    <row r="5105" spans="2:19" ht="15" customHeight="1" x14ac:dyDescent="0.25">
      <c r="B5105" s="2" t="str">
        <f t="shared" si="158"/>
        <v>NSG_Income Eligible_Multi-Family_IE Kits_IE Kits_IE Kit_IE</v>
      </c>
      <c r="C5105" s="2" t="str">
        <f t="shared" si="159"/>
        <v>NSG_Income Eligible_Multi-Family_IE Kits_IE Kits_IE Kit_IE_2022</v>
      </c>
      <c r="D5105" s="19" t="s">
        <v>1787</v>
      </c>
      <c r="E5105" s="19" t="s">
        <v>325</v>
      </c>
      <c r="F5105" s="19" t="s">
        <v>1422</v>
      </c>
      <c r="G5105" s="19" t="s">
        <v>1440</v>
      </c>
      <c r="H5105" s="19" t="s">
        <v>1440</v>
      </c>
      <c r="I5105" s="19" t="s">
        <v>550</v>
      </c>
      <c r="J5105" s="19" t="s">
        <v>1469</v>
      </c>
      <c r="K5105" s="19" t="s">
        <v>551</v>
      </c>
      <c r="L5105" s="19">
        <v>2022</v>
      </c>
      <c r="M5105" s="20">
        <v>1</v>
      </c>
      <c r="N5105" s="19">
        <v>1</v>
      </c>
      <c r="O5105" s="20">
        <v>140</v>
      </c>
      <c r="P5105" s="20">
        <v>140</v>
      </c>
      <c r="Q5105" s="20">
        <v>0</v>
      </c>
      <c r="R5105" s="21">
        <v>1</v>
      </c>
      <c r="S5105" s="20">
        <v>0</v>
      </c>
    </row>
    <row r="5106" spans="2:19" ht="15" customHeight="1" x14ac:dyDescent="0.25">
      <c r="B5106" s="2" t="str">
        <f t="shared" si="158"/>
        <v>NSG_Income Eligible_Multi-Family_IE Kits_IE Kits_IE Kit_IE</v>
      </c>
      <c r="C5106" s="2" t="str">
        <f t="shared" si="159"/>
        <v>NSG_Income Eligible_Multi-Family_IE Kits_IE Kits_IE Kit_IE_2023</v>
      </c>
      <c r="D5106" s="19" t="s">
        <v>1787</v>
      </c>
      <c r="E5106" s="19" t="s">
        <v>325</v>
      </c>
      <c r="F5106" s="19" t="s">
        <v>1422</v>
      </c>
      <c r="G5106" s="19" t="s">
        <v>1440</v>
      </c>
      <c r="H5106" s="19" t="s">
        <v>1440</v>
      </c>
      <c r="I5106" s="19" t="s">
        <v>550</v>
      </c>
      <c r="J5106" s="19" t="s">
        <v>1469</v>
      </c>
      <c r="K5106" s="19" t="s">
        <v>551</v>
      </c>
      <c r="L5106" s="19">
        <v>2023</v>
      </c>
      <c r="M5106" s="20">
        <v>1</v>
      </c>
      <c r="N5106" s="19">
        <v>1</v>
      </c>
      <c r="O5106" s="20">
        <v>140</v>
      </c>
      <c r="P5106" s="20">
        <v>140</v>
      </c>
      <c r="Q5106" s="20">
        <v>0</v>
      </c>
      <c r="R5106" s="21">
        <v>1</v>
      </c>
      <c r="S5106" s="20">
        <v>0</v>
      </c>
    </row>
    <row r="5107" spans="2:19" ht="15" customHeight="1" x14ac:dyDescent="0.25">
      <c r="B5107" s="2" t="str">
        <f t="shared" si="158"/>
        <v>NSG_Income Eligible_Multi-Family_IE Kits_IE Kits_IE Kit_IE</v>
      </c>
      <c r="C5107" s="2" t="str">
        <f t="shared" si="159"/>
        <v>NSG_Income Eligible_Multi-Family_IE Kits_IE Kits_IE Kit_IE_2024</v>
      </c>
      <c r="D5107" s="19" t="s">
        <v>1787</v>
      </c>
      <c r="E5107" s="19" t="s">
        <v>325</v>
      </c>
      <c r="F5107" s="19" t="s">
        <v>1422</v>
      </c>
      <c r="G5107" s="19" t="s">
        <v>1440</v>
      </c>
      <c r="H5107" s="19" t="s">
        <v>1440</v>
      </c>
      <c r="I5107" s="19" t="s">
        <v>550</v>
      </c>
      <c r="J5107" s="19" t="s">
        <v>1469</v>
      </c>
      <c r="K5107" s="19" t="s">
        <v>551</v>
      </c>
      <c r="L5107" s="19">
        <v>2024</v>
      </c>
      <c r="M5107" s="20">
        <v>1</v>
      </c>
      <c r="N5107" s="19">
        <v>1</v>
      </c>
      <c r="O5107" s="20">
        <v>140</v>
      </c>
      <c r="P5107" s="20">
        <v>140</v>
      </c>
      <c r="Q5107" s="20">
        <v>0</v>
      </c>
      <c r="R5107" s="21">
        <v>1</v>
      </c>
      <c r="S5107" s="20">
        <v>0</v>
      </c>
    </row>
    <row r="5108" spans="2:19" ht="15" customHeight="1" x14ac:dyDescent="0.25">
      <c r="B5108" s="2" t="str">
        <f t="shared" si="158"/>
        <v>NSG_Income Eligible_Multi-Family_IE Kits_IE Kits_IE Kit_IE</v>
      </c>
      <c r="C5108" s="2" t="str">
        <f t="shared" si="159"/>
        <v>NSG_Income Eligible_Multi-Family_IE Kits_IE Kits_IE Kit_IE_2025</v>
      </c>
      <c r="D5108" s="19" t="s">
        <v>1787</v>
      </c>
      <c r="E5108" s="19" t="s">
        <v>325</v>
      </c>
      <c r="F5108" s="19" t="s">
        <v>1422</v>
      </c>
      <c r="G5108" s="19" t="s">
        <v>1440</v>
      </c>
      <c r="H5108" s="19" t="s">
        <v>1440</v>
      </c>
      <c r="I5108" s="19" t="s">
        <v>550</v>
      </c>
      <c r="J5108" s="19" t="s">
        <v>1469</v>
      </c>
      <c r="K5108" s="19" t="s">
        <v>551</v>
      </c>
      <c r="L5108" s="19">
        <v>2025</v>
      </c>
      <c r="M5108" s="20">
        <v>1</v>
      </c>
      <c r="N5108" s="19">
        <v>1</v>
      </c>
      <c r="O5108" s="20">
        <v>140</v>
      </c>
      <c r="P5108" s="20">
        <v>140</v>
      </c>
      <c r="Q5108" s="20">
        <v>0</v>
      </c>
      <c r="R5108" s="21">
        <v>1</v>
      </c>
      <c r="S5108" s="20">
        <v>0</v>
      </c>
    </row>
    <row r="5109" spans="2:19" ht="15" customHeight="1" x14ac:dyDescent="0.25">
      <c r="B5109" s="2" t="str">
        <f t="shared" si="158"/>
        <v>NSG_Income Eligible_Multi-Family_IE Kits_Low Flow Bathroom Aerator_IE Kit_IE</v>
      </c>
      <c r="C5109" s="2" t="str">
        <f t="shared" si="159"/>
        <v>NSG_Income Eligible_Multi-Family_IE Kits_Low Flow Bathroom Aerator_IE Kit_IE_2022</v>
      </c>
      <c r="D5109" s="19" t="s">
        <v>1787</v>
      </c>
      <c r="E5109" s="19" t="s">
        <v>325</v>
      </c>
      <c r="F5109" s="19" t="s">
        <v>1422</v>
      </c>
      <c r="G5109" s="19" t="s">
        <v>1440</v>
      </c>
      <c r="H5109" s="19" t="s">
        <v>555</v>
      </c>
      <c r="I5109" s="19" t="s">
        <v>550</v>
      </c>
      <c r="J5109" s="19" t="s">
        <v>534</v>
      </c>
      <c r="K5109" s="19" t="s">
        <v>551</v>
      </c>
      <c r="L5109" s="19">
        <v>2022</v>
      </c>
      <c r="M5109" s="20">
        <v>1</v>
      </c>
      <c r="N5109" s="19" t="s">
        <v>1795</v>
      </c>
      <c r="O5109" s="20">
        <v>140</v>
      </c>
      <c r="P5109" s="20">
        <v>140</v>
      </c>
      <c r="Q5109" s="20">
        <v>82.658499190320853</v>
      </c>
      <c r="R5109" s="21">
        <v>1</v>
      </c>
      <c r="S5109" s="20">
        <v>82.658499190320853</v>
      </c>
    </row>
    <row r="5110" spans="2:19" ht="15" customHeight="1" x14ac:dyDescent="0.25">
      <c r="B5110" s="2" t="str">
        <f t="shared" si="158"/>
        <v>NSG_Income Eligible_Multi-Family_IE Kits_Low Flow Bathroom Aerator_IE Kit_IE</v>
      </c>
      <c r="C5110" s="2" t="str">
        <f t="shared" si="159"/>
        <v>NSG_Income Eligible_Multi-Family_IE Kits_Low Flow Bathroom Aerator_IE Kit_IE_2023</v>
      </c>
      <c r="D5110" s="19" t="s">
        <v>1787</v>
      </c>
      <c r="E5110" s="19" t="s">
        <v>325</v>
      </c>
      <c r="F5110" s="19" t="s">
        <v>1422</v>
      </c>
      <c r="G5110" s="19" t="s">
        <v>1440</v>
      </c>
      <c r="H5110" s="19" t="s">
        <v>555</v>
      </c>
      <c r="I5110" s="19" t="s">
        <v>550</v>
      </c>
      <c r="J5110" s="19" t="s">
        <v>534</v>
      </c>
      <c r="K5110" s="19" t="s">
        <v>551</v>
      </c>
      <c r="L5110" s="19">
        <v>2023</v>
      </c>
      <c r="M5110" s="20">
        <v>1</v>
      </c>
      <c r="N5110" s="19" t="s">
        <v>1795</v>
      </c>
      <c r="O5110" s="20">
        <v>140</v>
      </c>
      <c r="P5110" s="20">
        <v>140</v>
      </c>
      <c r="Q5110" s="20">
        <v>82.658499190320853</v>
      </c>
      <c r="R5110" s="21">
        <v>1</v>
      </c>
      <c r="S5110" s="20">
        <v>82.658499190320853</v>
      </c>
    </row>
    <row r="5111" spans="2:19" ht="15" customHeight="1" x14ac:dyDescent="0.25">
      <c r="B5111" s="2" t="str">
        <f t="shared" si="158"/>
        <v>NSG_Income Eligible_Multi-Family_IE Kits_Low Flow Bathroom Aerator_IE Kit_IE</v>
      </c>
      <c r="C5111" s="2" t="str">
        <f t="shared" si="159"/>
        <v>NSG_Income Eligible_Multi-Family_IE Kits_Low Flow Bathroom Aerator_IE Kit_IE_2024</v>
      </c>
      <c r="D5111" s="19" t="s">
        <v>1787</v>
      </c>
      <c r="E5111" s="19" t="s">
        <v>325</v>
      </c>
      <c r="F5111" s="19" t="s">
        <v>1422</v>
      </c>
      <c r="G5111" s="19" t="s">
        <v>1440</v>
      </c>
      <c r="H5111" s="19" t="s">
        <v>555</v>
      </c>
      <c r="I5111" s="19" t="s">
        <v>550</v>
      </c>
      <c r="J5111" s="19" t="s">
        <v>534</v>
      </c>
      <c r="K5111" s="19" t="s">
        <v>551</v>
      </c>
      <c r="L5111" s="19">
        <v>2024</v>
      </c>
      <c r="M5111" s="20">
        <v>1</v>
      </c>
      <c r="N5111" s="19" t="s">
        <v>1795</v>
      </c>
      <c r="O5111" s="20">
        <v>140</v>
      </c>
      <c r="P5111" s="20">
        <v>140</v>
      </c>
      <c r="Q5111" s="20">
        <v>82.658499190320853</v>
      </c>
      <c r="R5111" s="21">
        <v>1</v>
      </c>
      <c r="S5111" s="20">
        <v>82.658499190320853</v>
      </c>
    </row>
    <row r="5112" spans="2:19" ht="15" customHeight="1" x14ac:dyDescent="0.25">
      <c r="B5112" s="2" t="str">
        <f t="shared" si="158"/>
        <v>NSG_Income Eligible_Multi-Family_IE Kits_Low Flow Bathroom Aerator_IE Kit_IE</v>
      </c>
      <c r="C5112" s="2" t="str">
        <f t="shared" si="159"/>
        <v>NSG_Income Eligible_Multi-Family_IE Kits_Low Flow Bathroom Aerator_IE Kit_IE_2025</v>
      </c>
      <c r="D5112" s="19" t="s">
        <v>1787</v>
      </c>
      <c r="E5112" s="19" t="s">
        <v>325</v>
      </c>
      <c r="F5112" s="19" t="s">
        <v>1422</v>
      </c>
      <c r="G5112" s="19" t="s">
        <v>1440</v>
      </c>
      <c r="H5112" s="19" t="s">
        <v>555</v>
      </c>
      <c r="I5112" s="19" t="s">
        <v>550</v>
      </c>
      <c r="J5112" s="19" t="s">
        <v>534</v>
      </c>
      <c r="K5112" s="19" t="s">
        <v>551</v>
      </c>
      <c r="L5112" s="19">
        <v>2025</v>
      </c>
      <c r="M5112" s="20">
        <v>1</v>
      </c>
      <c r="N5112" s="19" t="s">
        <v>1795</v>
      </c>
      <c r="O5112" s="20">
        <v>140</v>
      </c>
      <c r="P5112" s="20">
        <v>140</v>
      </c>
      <c r="Q5112" s="20">
        <v>82.658499190320853</v>
      </c>
      <c r="R5112" s="21">
        <v>1</v>
      </c>
      <c r="S5112" s="20">
        <v>82.658499190320853</v>
      </c>
    </row>
    <row r="5113" spans="2:19" ht="15" customHeight="1" x14ac:dyDescent="0.25">
      <c r="B5113" s="2" t="str">
        <f t="shared" si="158"/>
        <v>NSG_Income Eligible_Multi-Family_IE Kits_Low Flow Kitchen Aerator_IE Kit_IE</v>
      </c>
      <c r="C5113" s="2" t="str">
        <f t="shared" si="159"/>
        <v>NSG_Income Eligible_Multi-Family_IE Kits_Low Flow Kitchen Aerator_IE Kit_IE_2022</v>
      </c>
      <c r="D5113" s="19" t="s">
        <v>1787</v>
      </c>
      <c r="E5113" s="19" t="s">
        <v>325</v>
      </c>
      <c r="F5113" s="19" t="s">
        <v>1422</v>
      </c>
      <c r="G5113" s="19" t="s">
        <v>1440</v>
      </c>
      <c r="H5113" s="19" t="s">
        <v>533</v>
      </c>
      <c r="I5113" s="19" t="s">
        <v>550</v>
      </c>
      <c r="J5113" s="19" t="s">
        <v>534</v>
      </c>
      <c r="K5113" s="19" t="s">
        <v>551</v>
      </c>
      <c r="L5113" s="19">
        <v>2022</v>
      </c>
      <c r="M5113" s="20">
        <v>1</v>
      </c>
      <c r="N5113" s="19" t="s">
        <v>1795</v>
      </c>
      <c r="O5113" s="20">
        <v>140</v>
      </c>
      <c r="P5113" s="20">
        <v>140</v>
      </c>
      <c r="Q5113" s="20">
        <v>696.53634558673843</v>
      </c>
      <c r="R5113" s="21">
        <v>1</v>
      </c>
      <c r="S5113" s="20">
        <v>696.53634558673843</v>
      </c>
    </row>
    <row r="5114" spans="2:19" ht="15" customHeight="1" x14ac:dyDescent="0.25">
      <c r="B5114" s="2" t="str">
        <f t="shared" si="158"/>
        <v>NSG_Income Eligible_Multi-Family_IE Kits_Low Flow Kitchen Aerator_IE Kit_IE</v>
      </c>
      <c r="C5114" s="2" t="str">
        <f t="shared" si="159"/>
        <v>NSG_Income Eligible_Multi-Family_IE Kits_Low Flow Kitchen Aerator_IE Kit_IE_2023</v>
      </c>
      <c r="D5114" s="19" t="s">
        <v>1787</v>
      </c>
      <c r="E5114" s="19" t="s">
        <v>325</v>
      </c>
      <c r="F5114" s="19" t="s">
        <v>1422</v>
      </c>
      <c r="G5114" s="19" t="s">
        <v>1440</v>
      </c>
      <c r="H5114" s="19" t="s">
        <v>533</v>
      </c>
      <c r="I5114" s="19" t="s">
        <v>550</v>
      </c>
      <c r="J5114" s="19" t="s">
        <v>534</v>
      </c>
      <c r="K5114" s="19" t="s">
        <v>551</v>
      </c>
      <c r="L5114" s="19">
        <v>2023</v>
      </c>
      <c r="M5114" s="20">
        <v>1</v>
      </c>
      <c r="N5114" s="19" t="s">
        <v>1795</v>
      </c>
      <c r="O5114" s="20">
        <v>140</v>
      </c>
      <c r="P5114" s="20">
        <v>140</v>
      </c>
      <c r="Q5114" s="20">
        <v>696.53634558673843</v>
      </c>
      <c r="R5114" s="21">
        <v>1</v>
      </c>
      <c r="S5114" s="20">
        <v>696.53634558673843</v>
      </c>
    </row>
    <row r="5115" spans="2:19" ht="15" customHeight="1" x14ac:dyDescent="0.25">
      <c r="B5115" s="2" t="str">
        <f t="shared" si="158"/>
        <v>NSG_Income Eligible_Multi-Family_IE Kits_Low Flow Kitchen Aerator_IE Kit_IE</v>
      </c>
      <c r="C5115" s="2" t="str">
        <f t="shared" si="159"/>
        <v>NSG_Income Eligible_Multi-Family_IE Kits_Low Flow Kitchen Aerator_IE Kit_IE_2024</v>
      </c>
      <c r="D5115" s="19" t="s">
        <v>1787</v>
      </c>
      <c r="E5115" s="19" t="s">
        <v>325</v>
      </c>
      <c r="F5115" s="19" t="s">
        <v>1422</v>
      </c>
      <c r="G5115" s="19" t="s">
        <v>1440</v>
      </c>
      <c r="H5115" s="19" t="s">
        <v>533</v>
      </c>
      <c r="I5115" s="19" t="s">
        <v>550</v>
      </c>
      <c r="J5115" s="19" t="s">
        <v>534</v>
      </c>
      <c r="K5115" s="19" t="s">
        <v>551</v>
      </c>
      <c r="L5115" s="19">
        <v>2024</v>
      </c>
      <c r="M5115" s="20">
        <v>1</v>
      </c>
      <c r="N5115" s="19" t="s">
        <v>1795</v>
      </c>
      <c r="O5115" s="20">
        <v>140</v>
      </c>
      <c r="P5115" s="20">
        <v>140</v>
      </c>
      <c r="Q5115" s="20">
        <v>696.53634558673843</v>
      </c>
      <c r="R5115" s="21">
        <v>1</v>
      </c>
      <c r="S5115" s="20">
        <v>696.53634558673843</v>
      </c>
    </row>
    <row r="5116" spans="2:19" ht="15" customHeight="1" x14ac:dyDescent="0.25">
      <c r="B5116" s="2" t="str">
        <f t="shared" si="158"/>
        <v>NSG_Income Eligible_Multi-Family_IE Kits_Low Flow Kitchen Aerator_IE Kit_IE</v>
      </c>
      <c r="C5116" s="2" t="str">
        <f t="shared" si="159"/>
        <v>NSG_Income Eligible_Multi-Family_IE Kits_Low Flow Kitchen Aerator_IE Kit_IE_2025</v>
      </c>
      <c r="D5116" s="19" t="s">
        <v>1787</v>
      </c>
      <c r="E5116" s="19" t="s">
        <v>325</v>
      </c>
      <c r="F5116" s="19" t="s">
        <v>1422</v>
      </c>
      <c r="G5116" s="19" t="s">
        <v>1440</v>
      </c>
      <c r="H5116" s="19" t="s">
        <v>533</v>
      </c>
      <c r="I5116" s="19" t="s">
        <v>550</v>
      </c>
      <c r="J5116" s="19" t="s">
        <v>534</v>
      </c>
      <c r="K5116" s="19" t="s">
        <v>551</v>
      </c>
      <c r="L5116" s="19">
        <v>2025</v>
      </c>
      <c r="M5116" s="20">
        <v>1</v>
      </c>
      <c r="N5116" s="19" t="s">
        <v>1795</v>
      </c>
      <c r="O5116" s="20">
        <v>140</v>
      </c>
      <c r="P5116" s="20">
        <v>140</v>
      </c>
      <c r="Q5116" s="20">
        <v>696.53634558673843</v>
      </c>
      <c r="R5116" s="21">
        <v>1</v>
      </c>
      <c r="S5116" s="20">
        <v>696.53634558673843</v>
      </c>
    </row>
    <row r="5117" spans="2:19" ht="15" customHeight="1" x14ac:dyDescent="0.25">
      <c r="B5117" s="2" t="str">
        <f t="shared" si="158"/>
        <v>NSG_Income Eligible_Multi-Family_IE Kits_Low Flow Showerhead_IE Kit_IE</v>
      </c>
      <c r="C5117" s="2" t="str">
        <f t="shared" si="159"/>
        <v>NSG_Income Eligible_Multi-Family_IE Kits_Low Flow Showerhead_IE Kit_IE_2022</v>
      </c>
      <c r="D5117" s="19" t="s">
        <v>1787</v>
      </c>
      <c r="E5117" s="19" t="s">
        <v>325</v>
      </c>
      <c r="F5117" s="19" t="s">
        <v>1422</v>
      </c>
      <c r="G5117" s="19" t="s">
        <v>1440</v>
      </c>
      <c r="H5117" s="19" t="s">
        <v>15</v>
      </c>
      <c r="I5117" s="19" t="s">
        <v>550</v>
      </c>
      <c r="J5117" s="19" t="s">
        <v>23</v>
      </c>
      <c r="K5117" s="19" t="s">
        <v>551</v>
      </c>
      <c r="L5117" s="19">
        <v>2022</v>
      </c>
      <c r="M5117" s="20">
        <v>1</v>
      </c>
      <c r="N5117" s="19" t="s">
        <v>1795</v>
      </c>
      <c r="O5117" s="20">
        <v>140</v>
      </c>
      <c r="P5117" s="20">
        <v>140</v>
      </c>
      <c r="Q5117" s="20">
        <v>875.80732551804181</v>
      </c>
      <c r="R5117" s="21">
        <v>1</v>
      </c>
      <c r="S5117" s="20">
        <v>875.80732551804181</v>
      </c>
    </row>
    <row r="5118" spans="2:19" ht="15" customHeight="1" x14ac:dyDescent="0.25">
      <c r="B5118" s="2" t="str">
        <f t="shared" si="158"/>
        <v>NSG_Income Eligible_Multi-Family_IE Kits_Low Flow Showerhead_IE Kit_IE</v>
      </c>
      <c r="C5118" s="2" t="str">
        <f t="shared" si="159"/>
        <v>NSG_Income Eligible_Multi-Family_IE Kits_Low Flow Showerhead_IE Kit_IE_2023</v>
      </c>
      <c r="D5118" s="19" t="s">
        <v>1787</v>
      </c>
      <c r="E5118" s="19" t="s">
        <v>325</v>
      </c>
      <c r="F5118" s="19" t="s">
        <v>1422</v>
      </c>
      <c r="G5118" s="19" t="s">
        <v>1440</v>
      </c>
      <c r="H5118" s="19" t="s">
        <v>15</v>
      </c>
      <c r="I5118" s="19" t="s">
        <v>550</v>
      </c>
      <c r="J5118" s="19" t="s">
        <v>23</v>
      </c>
      <c r="K5118" s="19" t="s">
        <v>551</v>
      </c>
      <c r="L5118" s="19">
        <v>2023</v>
      </c>
      <c r="M5118" s="20">
        <v>1</v>
      </c>
      <c r="N5118" s="19" t="s">
        <v>1795</v>
      </c>
      <c r="O5118" s="20">
        <v>140</v>
      </c>
      <c r="P5118" s="20">
        <v>140</v>
      </c>
      <c r="Q5118" s="20">
        <v>875.80732551804181</v>
      </c>
      <c r="R5118" s="21">
        <v>1</v>
      </c>
      <c r="S5118" s="20">
        <v>875.80732551804181</v>
      </c>
    </row>
    <row r="5119" spans="2:19" ht="15" customHeight="1" x14ac:dyDescent="0.25">
      <c r="B5119" s="2" t="str">
        <f t="shared" si="158"/>
        <v>NSG_Income Eligible_Multi-Family_IE Kits_Low Flow Showerhead_IE Kit_IE</v>
      </c>
      <c r="C5119" s="2" t="str">
        <f t="shared" si="159"/>
        <v>NSG_Income Eligible_Multi-Family_IE Kits_Low Flow Showerhead_IE Kit_IE_2024</v>
      </c>
      <c r="D5119" s="19" t="s">
        <v>1787</v>
      </c>
      <c r="E5119" s="19" t="s">
        <v>325</v>
      </c>
      <c r="F5119" s="19" t="s">
        <v>1422</v>
      </c>
      <c r="G5119" s="19" t="s">
        <v>1440</v>
      </c>
      <c r="H5119" s="19" t="s">
        <v>15</v>
      </c>
      <c r="I5119" s="19" t="s">
        <v>550</v>
      </c>
      <c r="J5119" s="19" t="s">
        <v>23</v>
      </c>
      <c r="K5119" s="19" t="s">
        <v>551</v>
      </c>
      <c r="L5119" s="19">
        <v>2024</v>
      </c>
      <c r="M5119" s="20">
        <v>1</v>
      </c>
      <c r="N5119" s="19" t="s">
        <v>1795</v>
      </c>
      <c r="O5119" s="20">
        <v>140</v>
      </c>
      <c r="P5119" s="20">
        <v>140</v>
      </c>
      <c r="Q5119" s="20">
        <v>875.80732551804181</v>
      </c>
      <c r="R5119" s="21">
        <v>1</v>
      </c>
      <c r="S5119" s="20">
        <v>875.80732551804181</v>
      </c>
    </row>
    <row r="5120" spans="2:19" ht="15" customHeight="1" x14ac:dyDescent="0.25">
      <c r="B5120" s="2" t="str">
        <f t="shared" si="158"/>
        <v>NSG_Income Eligible_Multi-Family_IE Kits_Low Flow Showerhead_IE Kit_IE</v>
      </c>
      <c r="C5120" s="2" t="str">
        <f t="shared" si="159"/>
        <v>NSG_Income Eligible_Multi-Family_IE Kits_Low Flow Showerhead_IE Kit_IE_2025</v>
      </c>
      <c r="D5120" s="19" t="s">
        <v>1787</v>
      </c>
      <c r="E5120" s="19" t="s">
        <v>325</v>
      </c>
      <c r="F5120" s="19" t="s">
        <v>1422</v>
      </c>
      <c r="G5120" s="19" t="s">
        <v>1440</v>
      </c>
      <c r="H5120" s="19" t="s">
        <v>15</v>
      </c>
      <c r="I5120" s="19" t="s">
        <v>550</v>
      </c>
      <c r="J5120" s="19" t="s">
        <v>23</v>
      </c>
      <c r="K5120" s="19" t="s">
        <v>551</v>
      </c>
      <c r="L5120" s="19">
        <v>2025</v>
      </c>
      <c r="M5120" s="20">
        <v>1</v>
      </c>
      <c r="N5120" s="19" t="s">
        <v>1795</v>
      </c>
      <c r="O5120" s="20">
        <v>140</v>
      </c>
      <c r="P5120" s="20">
        <v>140</v>
      </c>
      <c r="Q5120" s="20">
        <v>875.80732551804181</v>
      </c>
      <c r="R5120" s="21">
        <v>1</v>
      </c>
      <c r="S5120" s="20">
        <v>875.80732551804181</v>
      </c>
    </row>
    <row r="5121" spans="2:19" ht="15" customHeight="1" x14ac:dyDescent="0.25">
      <c r="B5121" s="2" t="str">
        <f t="shared" si="158"/>
        <v>NSG_Income Eligible_Multi-Family_IE Kits_Shower Timer_IE Kit_IE</v>
      </c>
      <c r="C5121" s="2" t="str">
        <f t="shared" si="159"/>
        <v>NSG_Income Eligible_Multi-Family_IE Kits_Shower Timer_IE Kit_IE_2022</v>
      </c>
      <c r="D5121" s="19" t="s">
        <v>1787</v>
      </c>
      <c r="E5121" s="19" t="s">
        <v>325</v>
      </c>
      <c r="F5121" s="19" t="s">
        <v>1422</v>
      </c>
      <c r="G5121" s="19" t="s">
        <v>1440</v>
      </c>
      <c r="H5121" s="19" t="s">
        <v>1031</v>
      </c>
      <c r="I5121" s="19" t="s">
        <v>550</v>
      </c>
      <c r="J5121" s="19" t="s">
        <v>1033</v>
      </c>
      <c r="K5121" s="19" t="s">
        <v>551</v>
      </c>
      <c r="L5121" s="19">
        <v>2022</v>
      </c>
      <c r="M5121" s="20">
        <v>1</v>
      </c>
      <c r="N5121" s="19" t="s">
        <v>1795</v>
      </c>
      <c r="O5121" s="20">
        <v>140</v>
      </c>
      <c r="P5121" s="20">
        <v>140</v>
      </c>
      <c r="Q5121" s="20">
        <v>519.01449303352319</v>
      </c>
      <c r="R5121" s="21">
        <v>1</v>
      </c>
      <c r="S5121" s="20">
        <v>519.01449303352319</v>
      </c>
    </row>
    <row r="5122" spans="2:19" ht="15" customHeight="1" x14ac:dyDescent="0.25">
      <c r="B5122" s="2" t="str">
        <f t="shared" si="158"/>
        <v>NSG_Income Eligible_Multi-Family_IE Kits_Shower Timer_IE Kit_IE</v>
      </c>
      <c r="C5122" s="2" t="str">
        <f t="shared" si="159"/>
        <v>NSG_Income Eligible_Multi-Family_IE Kits_Shower Timer_IE Kit_IE_2023</v>
      </c>
      <c r="D5122" s="19" t="s">
        <v>1787</v>
      </c>
      <c r="E5122" s="19" t="s">
        <v>325</v>
      </c>
      <c r="F5122" s="19" t="s">
        <v>1422</v>
      </c>
      <c r="G5122" s="19" t="s">
        <v>1440</v>
      </c>
      <c r="H5122" s="19" t="s">
        <v>1031</v>
      </c>
      <c r="I5122" s="19" t="s">
        <v>550</v>
      </c>
      <c r="J5122" s="19" t="s">
        <v>1033</v>
      </c>
      <c r="K5122" s="19" t="s">
        <v>551</v>
      </c>
      <c r="L5122" s="19">
        <v>2023</v>
      </c>
      <c r="M5122" s="20">
        <v>1</v>
      </c>
      <c r="N5122" s="19" t="s">
        <v>1795</v>
      </c>
      <c r="O5122" s="20">
        <v>140</v>
      </c>
      <c r="P5122" s="20">
        <v>140</v>
      </c>
      <c r="Q5122" s="20">
        <v>519.01449303352319</v>
      </c>
      <c r="R5122" s="21">
        <v>1</v>
      </c>
      <c r="S5122" s="20">
        <v>519.01449303352319</v>
      </c>
    </row>
    <row r="5123" spans="2:19" ht="15" customHeight="1" x14ac:dyDescent="0.25">
      <c r="B5123" s="2" t="str">
        <f t="shared" si="158"/>
        <v>NSG_Income Eligible_Multi-Family_IE Kits_Shower Timer_IE Kit_IE</v>
      </c>
      <c r="C5123" s="2" t="str">
        <f t="shared" si="159"/>
        <v>NSG_Income Eligible_Multi-Family_IE Kits_Shower Timer_IE Kit_IE_2024</v>
      </c>
      <c r="D5123" s="19" t="s">
        <v>1787</v>
      </c>
      <c r="E5123" s="19" t="s">
        <v>325</v>
      </c>
      <c r="F5123" s="19" t="s">
        <v>1422</v>
      </c>
      <c r="G5123" s="19" t="s">
        <v>1440</v>
      </c>
      <c r="H5123" s="19" t="s">
        <v>1031</v>
      </c>
      <c r="I5123" s="19" t="s">
        <v>550</v>
      </c>
      <c r="J5123" s="19" t="s">
        <v>1033</v>
      </c>
      <c r="K5123" s="19" t="s">
        <v>551</v>
      </c>
      <c r="L5123" s="19">
        <v>2024</v>
      </c>
      <c r="M5123" s="20">
        <v>1</v>
      </c>
      <c r="N5123" s="19" t="s">
        <v>1795</v>
      </c>
      <c r="O5123" s="20">
        <v>140</v>
      </c>
      <c r="P5123" s="20">
        <v>140</v>
      </c>
      <c r="Q5123" s="20">
        <v>519.01449303352319</v>
      </c>
      <c r="R5123" s="21">
        <v>1</v>
      </c>
      <c r="S5123" s="20">
        <v>519.01449303352319</v>
      </c>
    </row>
    <row r="5124" spans="2:19" ht="15" customHeight="1" x14ac:dyDescent="0.25">
      <c r="B5124" s="2" t="str">
        <f t="shared" si="158"/>
        <v>NSG_Income Eligible_Multi-Family_IE Kits_Shower Timer_IE Kit_IE</v>
      </c>
      <c r="C5124" s="2" t="str">
        <f t="shared" si="159"/>
        <v>NSG_Income Eligible_Multi-Family_IE Kits_Shower Timer_IE Kit_IE_2025</v>
      </c>
      <c r="D5124" s="19" t="s">
        <v>1787</v>
      </c>
      <c r="E5124" s="19" t="s">
        <v>325</v>
      </c>
      <c r="F5124" s="19" t="s">
        <v>1422</v>
      </c>
      <c r="G5124" s="19" t="s">
        <v>1440</v>
      </c>
      <c r="H5124" s="19" t="s">
        <v>1031</v>
      </c>
      <c r="I5124" s="19" t="s">
        <v>550</v>
      </c>
      <c r="J5124" s="19" t="s">
        <v>1033</v>
      </c>
      <c r="K5124" s="19" t="s">
        <v>551</v>
      </c>
      <c r="L5124" s="19">
        <v>2025</v>
      </c>
      <c r="M5124" s="20">
        <v>1</v>
      </c>
      <c r="N5124" s="19" t="s">
        <v>1795</v>
      </c>
      <c r="O5124" s="20">
        <v>140</v>
      </c>
      <c r="P5124" s="20">
        <v>140</v>
      </c>
      <c r="Q5124" s="20">
        <v>519.01449303352319</v>
      </c>
      <c r="R5124" s="21">
        <v>1</v>
      </c>
      <c r="S5124" s="20">
        <v>519.01449303352319</v>
      </c>
    </row>
    <row r="5125" spans="2:19" ht="15" customHeight="1" x14ac:dyDescent="0.25">
      <c r="B5125" s="2" t="str">
        <f t="shared" si="158"/>
        <v>NSG_Income Eligible_Multi-Family_IE Kits_Pipe Insulation_IE Kit_IE</v>
      </c>
      <c r="C5125" s="2" t="str">
        <f t="shared" si="159"/>
        <v>NSG_Income Eligible_Multi-Family_IE Kits_Pipe Insulation_IE Kit_IE_2022</v>
      </c>
      <c r="D5125" s="19" t="s">
        <v>1787</v>
      </c>
      <c r="E5125" s="19" t="s">
        <v>325</v>
      </c>
      <c r="F5125" s="19" t="s">
        <v>1422</v>
      </c>
      <c r="G5125" s="19" t="s">
        <v>1440</v>
      </c>
      <c r="H5125" s="19" t="s">
        <v>404</v>
      </c>
      <c r="I5125" s="19" t="s">
        <v>550</v>
      </c>
      <c r="J5125" s="19" t="s">
        <v>1008</v>
      </c>
      <c r="K5125" s="19" t="s">
        <v>551</v>
      </c>
      <c r="L5125" s="19">
        <v>2022</v>
      </c>
      <c r="M5125" s="20">
        <v>1</v>
      </c>
      <c r="N5125" s="19" t="s">
        <v>1810</v>
      </c>
      <c r="O5125" s="20">
        <v>840</v>
      </c>
      <c r="P5125" s="20">
        <v>840</v>
      </c>
      <c r="Q5125" s="20">
        <v>415.2064181129349</v>
      </c>
      <c r="R5125" s="21">
        <v>1</v>
      </c>
      <c r="S5125" s="20">
        <v>415.2064181129349</v>
      </c>
    </row>
    <row r="5126" spans="2:19" ht="15" customHeight="1" x14ac:dyDescent="0.25">
      <c r="B5126" s="2" t="str">
        <f t="shared" ref="B5126:B5189" si="160">D5126&amp;"_"&amp;E5126&amp;"_"&amp;F5126&amp;"_"&amp;G5126&amp;"_"&amp;H5126&amp;"_"&amp;I5126&amp;"_"&amp;K5126</f>
        <v>NSG_Income Eligible_Multi-Family_IE Kits_Pipe Insulation_IE Kit_IE</v>
      </c>
      <c r="C5126" s="2" t="str">
        <f t="shared" ref="C5126:C5189" si="161">D5126&amp;"_"&amp;E5126&amp;"_"&amp;F5126&amp;"_"&amp;G5126&amp;"_"&amp;H5126&amp;"_"&amp;I5126&amp;"_"&amp;K5126&amp;"_"&amp;L5126</f>
        <v>NSG_Income Eligible_Multi-Family_IE Kits_Pipe Insulation_IE Kit_IE_2023</v>
      </c>
      <c r="D5126" s="19" t="s">
        <v>1787</v>
      </c>
      <c r="E5126" s="19" t="s">
        <v>325</v>
      </c>
      <c r="F5126" s="19" t="s">
        <v>1422</v>
      </c>
      <c r="G5126" s="19" t="s">
        <v>1440</v>
      </c>
      <c r="H5126" s="19" t="s">
        <v>404</v>
      </c>
      <c r="I5126" s="19" t="s">
        <v>550</v>
      </c>
      <c r="J5126" s="19" t="s">
        <v>1008</v>
      </c>
      <c r="K5126" s="19" t="s">
        <v>551</v>
      </c>
      <c r="L5126" s="19">
        <v>2023</v>
      </c>
      <c r="M5126" s="20">
        <v>1</v>
      </c>
      <c r="N5126" s="19" t="s">
        <v>1810</v>
      </c>
      <c r="O5126" s="20">
        <v>840</v>
      </c>
      <c r="P5126" s="20">
        <v>840</v>
      </c>
      <c r="Q5126" s="20">
        <v>415.2064181129349</v>
      </c>
      <c r="R5126" s="21">
        <v>1</v>
      </c>
      <c r="S5126" s="20">
        <v>415.2064181129349</v>
      </c>
    </row>
    <row r="5127" spans="2:19" ht="15" customHeight="1" x14ac:dyDescent="0.25">
      <c r="B5127" s="2" t="str">
        <f t="shared" si="160"/>
        <v>NSG_Income Eligible_Multi-Family_IE Kits_Pipe Insulation_IE Kit_IE</v>
      </c>
      <c r="C5127" s="2" t="str">
        <f t="shared" si="161"/>
        <v>NSG_Income Eligible_Multi-Family_IE Kits_Pipe Insulation_IE Kit_IE_2024</v>
      </c>
      <c r="D5127" s="19" t="s">
        <v>1787</v>
      </c>
      <c r="E5127" s="19" t="s">
        <v>325</v>
      </c>
      <c r="F5127" s="19" t="s">
        <v>1422</v>
      </c>
      <c r="G5127" s="19" t="s">
        <v>1440</v>
      </c>
      <c r="H5127" s="19" t="s">
        <v>404</v>
      </c>
      <c r="I5127" s="19" t="s">
        <v>550</v>
      </c>
      <c r="J5127" s="19" t="s">
        <v>1008</v>
      </c>
      <c r="K5127" s="19" t="s">
        <v>551</v>
      </c>
      <c r="L5127" s="19">
        <v>2024</v>
      </c>
      <c r="M5127" s="20">
        <v>1</v>
      </c>
      <c r="N5127" s="19" t="s">
        <v>1810</v>
      </c>
      <c r="O5127" s="20">
        <v>840</v>
      </c>
      <c r="P5127" s="20">
        <v>840</v>
      </c>
      <c r="Q5127" s="20">
        <v>415.2064181129349</v>
      </c>
      <c r="R5127" s="21">
        <v>1</v>
      </c>
      <c r="S5127" s="20">
        <v>415.2064181129349</v>
      </c>
    </row>
    <row r="5128" spans="2:19" ht="15" customHeight="1" x14ac:dyDescent="0.25">
      <c r="B5128" s="2" t="str">
        <f t="shared" si="160"/>
        <v>NSG_Income Eligible_Multi-Family_IE Kits_Pipe Insulation_IE Kit_IE</v>
      </c>
      <c r="C5128" s="2" t="str">
        <f t="shared" si="161"/>
        <v>NSG_Income Eligible_Multi-Family_IE Kits_Pipe Insulation_IE Kit_IE_2025</v>
      </c>
      <c r="D5128" s="19" t="s">
        <v>1787</v>
      </c>
      <c r="E5128" s="19" t="s">
        <v>325</v>
      </c>
      <c r="F5128" s="19" t="s">
        <v>1422</v>
      </c>
      <c r="G5128" s="19" t="s">
        <v>1440</v>
      </c>
      <c r="H5128" s="19" t="s">
        <v>404</v>
      </c>
      <c r="I5128" s="19" t="s">
        <v>550</v>
      </c>
      <c r="J5128" s="19" t="s">
        <v>1008</v>
      </c>
      <c r="K5128" s="19" t="s">
        <v>551</v>
      </c>
      <c r="L5128" s="19">
        <v>2025</v>
      </c>
      <c r="M5128" s="20">
        <v>1</v>
      </c>
      <c r="N5128" s="19" t="s">
        <v>1810</v>
      </c>
      <c r="O5128" s="20">
        <v>840</v>
      </c>
      <c r="P5128" s="20">
        <v>840</v>
      </c>
      <c r="Q5128" s="20">
        <v>415.2064181129349</v>
      </c>
      <c r="R5128" s="21">
        <v>1</v>
      </c>
      <c r="S5128" s="20">
        <v>415.2064181129349</v>
      </c>
    </row>
    <row r="5129" spans="2:19" ht="15" customHeight="1" x14ac:dyDescent="0.25">
      <c r="B5129" s="2" t="str">
        <f t="shared" si="160"/>
        <v>NSG_Income Eligible_Multi-Family_IE Kits_Weatherstripping_IE Kit_IE</v>
      </c>
      <c r="C5129" s="2" t="str">
        <f t="shared" si="161"/>
        <v>NSG_Income Eligible_Multi-Family_IE Kits_Weatherstripping_IE Kit_IE_2022</v>
      </c>
      <c r="D5129" s="19" t="s">
        <v>1787</v>
      </c>
      <c r="E5129" s="19" t="s">
        <v>325</v>
      </c>
      <c r="F5129" s="19" t="s">
        <v>1422</v>
      </c>
      <c r="G5129" s="19" t="s">
        <v>1440</v>
      </c>
      <c r="H5129" s="19" t="s">
        <v>576</v>
      </c>
      <c r="I5129" s="19" t="s">
        <v>550</v>
      </c>
      <c r="J5129" s="19" t="s">
        <v>573</v>
      </c>
      <c r="K5129" s="19" t="s">
        <v>551</v>
      </c>
      <c r="L5129" s="19">
        <v>2022</v>
      </c>
      <c r="M5129" s="20">
        <v>17</v>
      </c>
      <c r="N5129" s="19" t="s">
        <v>1810</v>
      </c>
      <c r="O5129" s="20">
        <v>140</v>
      </c>
      <c r="P5129" s="20">
        <v>2380</v>
      </c>
      <c r="Q5129" s="20">
        <v>731.70719999999994</v>
      </c>
      <c r="R5129" s="21">
        <v>1</v>
      </c>
      <c r="S5129" s="20">
        <v>731.70719999999994</v>
      </c>
    </row>
    <row r="5130" spans="2:19" ht="15" customHeight="1" x14ac:dyDescent="0.25">
      <c r="B5130" s="2" t="str">
        <f t="shared" si="160"/>
        <v>NSG_Income Eligible_Multi-Family_IE Kits_Weatherstripping_IE Kit_IE</v>
      </c>
      <c r="C5130" s="2" t="str">
        <f t="shared" si="161"/>
        <v>NSG_Income Eligible_Multi-Family_IE Kits_Weatherstripping_IE Kit_IE_2023</v>
      </c>
      <c r="D5130" s="19" t="s">
        <v>1787</v>
      </c>
      <c r="E5130" s="19" t="s">
        <v>325</v>
      </c>
      <c r="F5130" s="19" t="s">
        <v>1422</v>
      </c>
      <c r="G5130" s="19" t="s">
        <v>1440</v>
      </c>
      <c r="H5130" s="19" t="s">
        <v>576</v>
      </c>
      <c r="I5130" s="19" t="s">
        <v>550</v>
      </c>
      <c r="J5130" s="19" t="s">
        <v>573</v>
      </c>
      <c r="K5130" s="19" t="s">
        <v>551</v>
      </c>
      <c r="L5130" s="19">
        <v>2023</v>
      </c>
      <c r="M5130" s="20">
        <v>17</v>
      </c>
      <c r="N5130" s="19" t="s">
        <v>1810</v>
      </c>
      <c r="O5130" s="20">
        <v>140</v>
      </c>
      <c r="P5130" s="20">
        <v>2380</v>
      </c>
      <c r="Q5130" s="20">
        <v>731.70719999999994</v>
      </c>
      <c r="R5130" s="21">
        <v>1</v>
      </c>
      <c r="S5130" s="20">
        <v>731.70719999999994</v>
      </c>
    </row>
    <row r="5131" spans="2:19" ht="15" customHeight="1" x14ac:dyDescent="0.25">
      <c r="B5131" s="2" t="str">
        <f t="shared" si="160"/>
        <v>NSG_Income Eligible_Multi-Family_IE Kits_Weatherstripping_IE Kit_IE</v>
      </c>
      <c r="C5131" s="2" t="str">
        <f t="shared" si="161"/>
        <v>NSG_Income Eligible_Multi-Family_IE Kits_Weatherstripping_IE Kit_IE_2024</v>
      </c>
      <c r="D5131" s="19" t="s">
        <v>1787</v>
      </c>
      <c r="E5131" s="19" t="s">
        <v>325</v>
      </c>
      <c r="F5131" s="19" t="s">
        <v>1422</v>
      </c>
      <c r="G5131" s="19" t="s">
        <v>1440</v>
      </c>
      <c r="H5131" s="19" t="s">
        <v>576</v>
      </c>
      <c r="I5131" s="19" t="s">
        <v>550</v>
      </c>
      <c r="J5131" s="19" t="s">
        <v>573</v>
      </c>
      <c r="K5131" s="19" t="s">
        <v>551</v>
      </c>
      <c r="L5131" s="19">
        <v>2024</v>
      </c>
      <c r="M5131" s="20">
        <v>17</v>
      </c>
      <c r="N5131" s="19" t="s">
        <v>1810</v>
      </c>
      <c r="O5131" s="20">
        <v>140</v>
      </c>
      <c r="P5131" s="20">
        <v>2380</v>
      </c>
      <c r="Q5131" s="20">
        <v>731.70719999999994</v>
      </c>
      <c r="R5131" s="21">
        <v>1</v>
      </c>
      <c r="S5131" s="20">
        <v>731.70719999999994</v>
      </c>
    </row>
    <row r="5132" spans="2:19" ht="15" customHeight="1" x14ac:dyDescent="0.25">
      <c r="B5132" s="2" t="str">
        <f t="shared" si="160"/>
        <v>NSG_Income Eligible_Multi-Family_IE Kits_Weatherstripping_IE Kit_IE</v>
      </c>
      <c r="C5132" s="2" t="str">
        <f t="shared" si="161"/>
        <v>NSG_Income Eligible_Multi-Family_IE Kits_Weatherstripping_IE Kit_IE_2025</v>
      </c>
      <c r="D5132" s="19" t="s">
        <v>1787</v>
      </c>
      <c r="E5132" s="19" t="s">
        <v>325</v>
      </c>
      <c r="F5132" s="19" t="s">
        <v>1422</v>
      </c>
      <c r="G5132" s="19" t="s">
        <v>1440</v>
      </c>
      <c r="H5132" s="19" t="s">
        <v>576</v>
      </c>
      <c r="I5132" s="19" t="s">
        <v>550</v>
      </c>
      <c r="J5132" s="19" t="s">
        <v>573</v>
      </c>
      <c r="K5132" s="19" t="s">
        <v>551</v>
      </c>
      <c r="L5132" s="19">
        <v>2025</v>
      </c>
      <c r="M5132" s="20">
        <v>17</v>
      </c>
      <c r="N5132" s="19" t="s">
        <v>1810</v>
      </c>
      <c r="O5132" s="20">
        <v>140</v>
      </c>
      <c r="P5132" s="20">
        <v>2380</v>
      </c>
      <c r="Q5132" s="20">
        <v>731.70719999999994</v>
      </c>
      <c r="R5132" s="21">
        <v>1</v>
      </c>
      <c r="S5132" s="20">
        <v>731.70719999999994</v>
      </c>
    </row>
    <row r="5133" spans="2:19" ht="15" customHeight="1" x14ac:dyDescent="0.25">
      <c r="B5133" s="2" t="str">
        <f t="shared" si="160"/>
        <v>NSG_Income Eligible_Multi-Family_IE Kits_Outlet and Switch Gaskets_IE Kit_IE</v>
      </c>
      <c r="C5133" s="2" t="str">
        <f t="shared" si="161"/>
        <v>NSG_Income Eligible_Multi-Family_IE Kits_Outlet and Switch Gaskets_IE Kit_IE_2022</v>
      </c>
      <c r="D5133" s="19" t="s">
        <v>1787</v>
      </c>
      <c r="E5133" s="19" t="s">
        <v>325</v>
      </c>
      <c r="F5133" s="19" t="s">
        <v>1422</v>
      </c>
      <c r="G5133" s="19" t="s">
        <v>1440</v>
      </c>
      <c r="H5133" s="19" t="s">
        <v>563</v>
      </c>
      <c r="I5133" s="19" t="s">
        <v>550</v>
      </c>
      <c r="J5133" s="19" t="s">
        <v>573</v>
      </c>
      <c r="K5133" s="19" t="s">
        <v>551</v>
      </c>
      <c r="L5133" s="19">
        <v>2022</v>
      </c>
      <c r="M5133" s="20">
        <v>1</v>
      </c>
      <c r="N5133" s="19" t="s">
        <v>1798</v>
      </c>
      <c r="O5133" s="20">
        <v>2800</v>
      </c>
      <c r="P5133" s="20">
        <v>2800</v>
      </c>
      <c r="Q5133" s="20">
        <v>536.928</v>
      </c>
      <c r="R5133" s="21">
        <v>1</v>
      </c>
      <c r="S5133" s="20">
        <v>536.928</v>
      </c>
    </row>
    <row r="5134" spans="2:19" ht="15" customHeight="1" x14ac:dyDescent="0.25">
      <c r="B5134" s="2" t="str">
        <f t="shared" si="160"/>
        <v>NSG_Income Eligible_Multi-Family_IE Kits_Outlet and Switch Gaskets_IE Kit_IE</v>
      </c>
      <c r="C5134" s="2" t="str">
        <f t="shared" si="161"/>
        <v>NSG_Income Eligible_Multi-Family_IE Kits_Outlet and Switch Gaskets_IE Kit_IE_2023</v>
      </c>
      <c r="D5134" s="19" t="s">
        <v>1787</v>
      </c>
      <c r="E5134" s="19" t="s">
        <v>325</v>
      </c>
      <c r="F5134" s="19" t="s">
        <v>1422</v>
      </c>
      <c r="G5134" s="19" t="s">
        <v>1440</v>
      </c>
      <c r="H5134" s="19" t="s">
        <v>563</v>
      </c>
      <c r="I5134" s="19" t="s">
        <v>550</v>
      </c>
      <c r="J5134" s="19" t="s">
        <v>573</v>
      </c>
      <c r="K5134" s="19" t="s">
        <v>551</v>
      </c>
      <c r="L5134" s="19">
        <v>2023</v>
      </c>
      <c r="M5134" s="20">
        <v>1</v>
      </c>
      <c r="N5134" s="19" t="s">
        <v>1798</v>
      </c>
      <c r="O5134" s="20">
        <v>2800</v>
      </c>
      <c r="P5134" s="20">
        <v>2800</v>
      </c>
      <c r="Q5134" s="20">
        <v>536.928</v>
      </c>
      <c r="R5134" s="21">
        <v>1</v>
      </c>
      <c r="S5134" s="20">
        <v>536.928</v>
      </c>
    </row>
    <row r="5135" spans="2:19" ht="15" customHeight="1" x14ac:dyDescent="0.25">
      <c r="B5135" s="2" t="str">
        <f t="shared" si="160"/>
        <v>NSG_Income Eligible_Multi-Family_IE Kits_Outlet and Switch Gaskets_IE Kit_IE</v>
      </c>
      <c r="C5135" s="2" t="str">
        <f t="shared" si="161"/>
        <v>NSG_Income Eligible_Multi-Family_IE Kits_Outlet and Switch Gaskets_IE Kit_IE_2024</v>
      </c>
      <c r="D5135" s="19" t="s">
        <v>1787</v>
      </c>
      <c r="E5135" s="19" t="s">
        <v>325</v>
      </c>
      <c r="F5135" s="19" t="s">
        <v>1422</v>
      </c>
      <c r="G5135" s="19" t="s">
        <v>1440</v>
      </c>
      <c r="H5135" s="19" t="s">
        <v>563</v>
      </c>
      <c r="I5135" s="19" t="s">
        <v>550</v>
      </c>
      <c r="J5135" s="19" t="s">
        <v>573</v>
      </c>
      <c r="K5135" s="19" t="s">
        <v>551</v>
      </c>
      <c r="L5135" s="19">
        <v>2024</v>
      </c>
      <c r="M5135" s="20">
        <v>1</v>
      </c>
      <c r="N5135" s="19" t="s">
        <v>1798</v>
      </c>
      <c r="O5135" s="20">
        <v>2800</v>
      </c>
      <c r="P5135" s="20">
        <v>2800</v>
      </c>
      <c r="Q5135" s="20">
        <v>536.928</v>
      </c>
      <c r="R5135" s="21">
        <v>1</v>
      </c>
      <c r="S5135" s="20">
        <v>536.928</v>
      </c>
    </row>
    <row r="5136" spans="2:19" ht="15" customHeight="1" x14ac:dyDescent="0.25">
      <c r="B5136" s="2" t="str">
        <f t="shared" si="160"/>
        <v>NSG_Income Eligible_Multi-Family_IE Kits_Outlet and Switch Gaskets_IE Kit_IE</v>
      </c>
      <c r="C5136" s="2" t="str">
        <f t="shared" si="161"/>
        <v>NSG_Income Eligible_Multi-Family_IE Kits_Outlet and Switch Gaskets_IE Kit_IE_2025</v>
      </c>
      <c r="D5136" s="19" t="s">
        <v>1787</v>
      </c>
      <c r="E5136" s="19" t="s">
        <v>325</v>
      </c>
      <c r="F5136" s="19" t="s">
        <v>1422</v>
      </c>
      <c r="G5136" s="19" t="s">
        <v>1440</v>
      </c>
      <c r="H5136" s="19" t="s">
        <v>563</v>
      </c>
      <c r="I5136" s="19" t="s">
        <v>550</v>
      </c>
      <c r="J5136" s="19" t="s">
        <v>573</v>
      </c>
      <c r="K5136" s="19" t="s">
        <v>551</v>
      </c>
      <c r="L5136" s="19">
        <v>2025</v>
      </c>
      <c r="M5136" s="20">
        <v>1</v>
      </c>
      <c r="N5136" s="19" t="s">
        <v>1798</v>
      </c>
      <c r="O5136" s="20">
        <v>2800</v>
      </c>
      <c r="P5136" s="20">
        <v>2800</v>
      </c>
      <c r="Q5136" s="20">
        <v>536.928</v>
      </c>
      <c r="R5136" s="21">
        <v>1</v>
      </c>
      <c r="S5136" s="20">
        <v>536.928</v>
      </c>
    </row>
    <row r="5137" spans="2:19" ht="15" customHeight="1" x14ac:dyDescent="0.25">
      <c r="B5137" s="2" t="str">
        <f t="shared" si="160"/>
        <v>NSG_Income Eligible_Multi-Family_IE Kits_Window Kit_IE Kit_IE</v>
      </c>
      <c r="C5137" s="2" t="str">
        <f t="shared" si="161"/>
        <v>NSG_Income Eligible_Multi-Family_IE Kits_Window Kit_IE Kit_IE_2022</v>
      </c>
      <c r="D5137" s="19" t="s">
        <v>1787</v>
      </c>
      <c r="E5137" s="19" t="s">
        <v>325</v>
      </c>
      <c r="F5137" s="19" t="s">
        <v>1422</v>
      </c>
      <c r="G5137" s="19" t="s">
        <v>1440</v>
      </c>
      <c r="H5137" s="19" t="s">
        <v>574</v>
      </c>
      <c r="I5137" s="19" t="s">
        <v>550</v>
      </c>
      <c r="J5137" s="19" t="s">
        <v>573</v>
      </c>
      <c r="K5137" s="19" t="s">
        <v>551</v>
      </c>
      <c r="L5137" s="19">
        <v>2022</v>
      </c>
      <c r="M5137" s="20">
        <v>1</v>
      </c>
      <c r="N5137" s="19" t="s">
        <v>634</v>
      </c>
      <c r="O5137" s="20">
        <v>10500</v>
      </c>
      <c r="P5137" s="20">
        <v>10500</v>
      </c>
      <c r="Q5137" s="20">
        <v>876.20399999999995</v>
      </c>
      <c r="R5137" s="21">
        <v>1</v>
      </c>
      <c r="S5137" s="20">
        <v>876.20399999999995</v>
      </c>
    </row>
    <row r="5138" spans="2:19" ht="15" customHeight="1" x14ac:dyDescent="0.25">
      <c r="B5138" s="2" t="str">
        <f t="shared" si="160"/>
        <v>NSG_Income Eligible_Multi-Family_IE Kits_Window Kit_IE Kit_IE</v>
      </c>
      <c r="C5138" s="2" t="str">
        <f t="shared" si="161"/>
        <v>NSG_Income Eligible_Multi-Family_IE Kits_Window Kit_IE Kit_IE_2023</v>
      </c>
      <c r="D5138" s="19" t="s">
        <v>1787</v>
      </c>
      <c r="E5138" s="19" t="s">
        <v>325</v>
      </c>
      <c r="F5138" s="19" t="s">
        <v>1422</v>
      </c>
      <c r="G5138" s="19" t="s">
        <v>1440</v>
      </c>
      <c r="H5138" s="19" t="s">
        <v>574</v>
      </c>
      <c r="I5138" s="19" t="s">
        <v>550</v>
      </c>
      <c r="J5138" s="19" t="s">
        <v>573</v>
      </c>
      <c r="K5138" s="19" t="s">
        <v>551</v>
      </c>
      <c r="L5138" s="19">
        <v>2023</v>
      </c>
      <c r="M5138" s="20">
        <v>1</v>
      </c>
      <c r="N5138" s="19" t="s">
        <v>634</v>
      </c>
      <c r="O5138" s="20">
        <v>10500</v>
      </c>
      <c r="P5138" s="20">
        <v>10500</v>
      </c>
      <c r="Q5138" s="20">
        <v>876.20399999999995</v>
      </c>
      <c r="R5138" s="21">
        <v>1</v>
      </c>
      <c r="S5138" s="20">
        <v>876.20399999999995</v>
      </c>
    </row>
    <row r="5139" spans="2:19" ht="15" customHeight="1" x14ac:dyDescent="0.25">
      <c r="B5139" s="2" t="str">
        <f t="shared" si="160"/>
        <v>NSG_Income Eligible_Multi-Family_IE Kits_Window Kit_IE Kit_IE</v>
      </c>
      <c r="C5139" s="2" t="str">
        <f t="shared" si="161"/>
        <v>NSG_Income Eligible_Multi-Family_IE Kits_Window Kit_IE Kit_IE_2024</v>
      </c>
      <c r="D5139" s="19" t="s">
        <v>1787</v>
      </c>
      <c r="E5139" s="19" t="s">
        <v>325</v>
      </c>
      <c r="F5139" s="19" t="s">
        <v>1422</v>
      </c>
      <c r="G5139" s="19" t="s">
        <v>1440</v>
      </c>
      <c r="H5139" s="19" t="s">
        <v>574</v>
      </c>
      <c r="I5139" s="19" t="s">
        <v>550</v>
      </c>
      <c r="J5139" s="19" t="s">
        <v>573</v>
      </c>
      <c r="K5139" s="19" t="s">
        <v>551</v>
      </c>
      <c r="L5139" s="19">
        <v>2024</v>
      </c>
      <c r="M5139" s="20">
        <v>1</v>
      </c>
      <c r="N5139" s="19" t="s">
        <v>634</v>
      </c>
      <c r="O5139" s="20">
        <v>10500</v>
      </c>
      <c r="P5139" s="20">
        <v>10500</v>
      </c>
      <c r="Q5139" s="20">
        <v>876.20399999999995</v>
      </c>
      <c r="R5139" s="21">
        <v>1</v>
      </c>
      <c r="S5139" s="20">
        <v>876.20399999999995</v>
      </c>
    </row>
    <row r="5140" spans="2:19" ht="15" customHeight="1" x14ac:dyDescent="0.25">
      <c r="B5140" s="2" t="str">
        <f t="shared" si="160"/>
        <v>NSG_Income Eligible_Multi-Family_IE Kits_Window Kit_IE Kit_IE</v>
      </c>
      <c r="C5140" s="2" t="str">
        <f t="shared" si="161"/>
        <v>NSG_Income Eligible_Multi-Family_IE Kits_Window Kit_IE Kit_IE_2025</v>
      </c>
      <c r="D5140" s="19" t="s">
        <v>1787</v>
      </c>
      <c r="E5140" s="19" t="s">
        <v>325</v>
      </c>
      <c r="F5140" s="19" t="s">
        <v>1422</v>
      </c>
      <c r="G5140" s="19" t="s">
        <v>1440</v>
      </c>
      <c r="H5140" s="19" t="s">
        <v>574</v>
      </c>
      <c r="I5140" s="19" t="s">
        <v>550</v>
      </c>
      <c r="J5140" s="19" t="s">
        <v>573</v>
      </c>
      <c r="K5140" s="19" t="s">
        <v>551</v>
      </c>
      <c r="L5140" s="19">
        <v>2025</v>
      </c>
      <c r="M5140" s="20">
        <v>1</v>
      </c>
      <c r="N5140" s="19" t="s">
        <v>634</v>
      </c>
      <c r="O5140" s="20">
        <v>10500</v>
      </c>
      <c r="P5140" s="20">
        <v>10500</v>
      </c>
      <c r="Q5140" s="20">
        <v>876.20399999999995</v>
      </c>
      <c r="R5140" s="21">
        <v>1</v>
      </c>
      <c r="S5140" s="20">
        <v>876.20399999999995</v>
      </c>
    </row>
    <row r="5141" spans="2:19" ht="15" customHeight="1" x14ac:dyDescent="0.25">
      <c r="B5141" s="2" t="str">
        <f t="shared" si="160"/>
        <v>NSG_Income Eligible_Multi-Family_IE Kits_Water Heater Temperature Setback_IE Kit_IE</v>
      </c>
      <c r="C5141" s="2" t="str">
        <f t="shared" si="161"/>
        <v>NSG_Income Eligible_Multi-Family_IE Kits_Water Heater Temperature Setback_IE Kit_IE_2022</v>
      </c>
      <c r="D5141" s="19" t="s">
        <v>1787</v>
      </c>
      <c r="E5141" s="19" t="s">
        <v>325</v>
      </c>
      <c r="F5141" s="19" t="s">
        <v>1422</v>
      </c>
      <c r="G5141" s="19" t="s">
        <v>1440</v>
      </c>
      <c r="H5141" s="19" t="s">
        <v>223</v>
      </c>
      <c r="I5141" s="19" t="s">
        <v>550</v>
      </c>
      <c r="J5141" s="19" t="s">
        <v>1022</v>
      </c>
      <c r="K5141" s="19" t="s">
        <v>551</v>
      </c>
      <c r="L5141" s="19">
        <v>2022</v>
      </c>
      <c r="M5141" s="20">
        <v>1</v>
      </c>
      <c r="N5141" s="19" t="s">
        <v>1795</v>
      </c>
      <c r="O5141" s="20">
        <v>140</v>
      </c>
      <c r="P5141" s="20">
        <v>140</v>
      </c>
      <c r="Q5141" s="20">
        <v>48.952007515384622</v>
      </c>
      <c r="R5141" s="21">
        <v>1</v>
      </c>
      <c r="S5141" s="20">
        <v>48.952007515384622</v>
      </c>
    </row>
    <row r="5142" spans="2:19" ht="15" customHeight="1" x14ac:dyDescent="0.25">
      <c r="B5142" s="2" t="str">
        <f t="shared" si="160"/>
        <v>NSG_Income Eligible_Multi-Family_IE Kits_Water Heater Temperature Setback_IE Kit_IE</v>
      </c>
      <c r="C5142" s="2" t="str">
        <f t="shared" si="161"/>
        <v>NSG_Income Eligible_Multi-Family_IE Kits_Water Heater Temperature Setback_IE Kit_IE_2023</v>
      </c>
      <c r="D5142" s="19" t="s">
        <v>1787</v>
      </c>
      <c r="E5142" s="19" t="s">
        <v>325</v>
      </c>
      <c r="F5142" s="19" t="s">
        <v>1422</v>
      </c>
      <c r="G5142" s="19" t="s">
        <v>1440</v>
      </c>
      <c r="H5142" s="19" t="s">
        <v>223</v>
      </c>
      <c r="I5142" s="19" t="s">
        <v>550</v>
      </c>
      <c r="J5142" s="19" t="s">
        <v>1022</v>
      </c>
      <c r="K5142" s="19" t="s">
        <v>551</v>
      </c>
      <c r="L5142" s="19">
        <v>2023</v>
      </c>
      <c r="M5142" s="20">
        <v>1</v>
      </c>
      <c r="N5142" s="19" t="s">
        <v>1795</v>
      </c>
      <c r="O5142" s="20">
        <v>140</v>
      </c>
      <c r="P5142" s="20">
        <v>140</v>
      </c>
      <c r="Q5142" s="20">
        <v>48.952007515384622</v>
      </c>
      <c r="R5142" s="21">
        <v>1</v>
      </c>
      <c r="S5142" s="20">
        <v>48.952007515384622</v>
      </c>
    </row>
    <row r="5143" spans="2:19" ht="15" customHeight="1" x14ac:dyDescent="0.25">
      <c r="B5143" s="2" t="str">
        <f t="shared" si="160"/>
        <v>NSG_Income Eligible_Multi-Family_IE Kits_Water Heater Temperature Setback_IE Kit_IE</v>
      </c>
      <c r="C5143" s="2" t="str">
        <f t="shared" si="161"/>
        <v>NSG_Income Eligible_Multi-Family_IE Kits_Water Heater Temperature Setback_IE Kit_IE_2024</v>
      </c>
      <c r="D5143" s="19" t="s">
        <v>1787</v>
      </c>
      <c r="E5143" s="19" t="s">
        <v>325</v>
      </c>
      <c r="F5143" s="19" t="s">
        <v>1422</v>
      </c>
      <c r="G5143" s="19" t="s">
        <v>1440</v>
      </c>
      <c r="H5143" s="19" t="s">
        <v>223</v>
      </c>
      <c r="I5143" s="19" t="s">
        <v>550</v>
      </c>
      <c r="J5143" s="19" t="s">
        <v>1022</v>
      </c>
      <c r="K5143" s="19" t="s">
        <v>551</v>
      </c>
      <c r="L5143" s="19">
        <v>2024</v>
      </c>
      <c r="M5143" s="20">
        <v>1</v>
      </c>
      <c r="N5143" s="19" t="s">
        <v>1795</v>
      </c>
      <c r="O5143" s="20">
        <v>140</v>
      </c>
      <c r="P5143" s="20">
        <v>140</v>
      </c>
      <c r="Q5143" s="20">
        <v>48.952007515384622</v>
      </c>
      <c r="R5143" s="21">
        <v>1</v>
      </c>
      <c r="S5143" s="20">
        <v>48.952007515384622</v>
      </c>
    </row>
    <row r="5144" spans="2:19" ht="15" customHeight="1" x14ac:dyDescent="0.25">
      <c r="B5144" s="2" t="str">
        <f t="shared" si="160"/>
        <v>NSG_Income Eligible_Multi-Family_IE Kits_Water Heater Temperature Setback_IE Kit_IE</v>
      </c>
      <c r="C5144" s="2" t="str">
        <f t="shared" si="161"/>
        <v>NSG_Income Eligible_Multi-Family_IE Kits_Water Heater Temperature Setback_IE Kit_IE_2025</v>
      </c>
      <c r="D5144" s="19" t="s">
        <v>1787</v>
      </c>
      <c r="E5144" s="19" t="s">
        <v>325</v>
      </c>
      <c r="F5144" s="19" t="s">
        <v>1422</v>
      </c>
      <c r="G5144" s="19" t="s">
        <v>1440</v>
      </c>
      <c r="H5144" s="19" t="s">
        <v>223</v>
      </c>
      <c r="I5144" s="19" t="s">
        <v>550</v>
      </c>
      <c r="J5144" s="19" t="s">
        <v>1022</v>
      </c>
      <c r="K5144" s="19" t="s">
        <v>551</v>
      </c>
      <c r="L5144" s="19">
        <v>2025</v>
      </c>
      <c r="M5144" s="20">
        <v>1</v>
      </c>
      <c r="N5144" s="19" t="s">
        <v>1795</v>
      </c>
      <c r="O5144" s="20">
        <v>140</v>
      </c>
      <c r="P5144" s="20">
        <v>140</v>
      </c>
      <c r="Q5144" s="20">
        <v>48.952007515384622</v>
      </c>
      <c r="R5144" s="21">
        <v>1</v>
      </c>
      <c r="S5144" s="20">
        <v>48.952007515384622</v>
      </c>
    </row>
    <row r="5145" spans="2:19" ht="15" customHeight="1" x14ac:dyDescent="0.25">
      <c r="B5145" s="2" t="str">
        <f t="shared" si="160"/>
        <v>NSG_Income Eligible_Multi-Family_New Construction_Affordable Housing New Construction_0_IE</v>
      </c>
      <c r="C5145" s="2" t="str">
        <f t="shared" si="161"/>
        <v>NSG_Income Eligible_Multi-Family_New Construction_Affordable Housing New Construction_0_IE_2022</v>
      </c>
      <c r="D5145" s="19" t="s">
        <v>1787</v>
      </c>
      <c r="E5145" s="19" t="s">
        <v>325</v>
      </c>
      <c r="F5145" s="19" t="s">
        <v>1422</v>
      </c>
      <c r="G5145" s="19" t="s">
        <v>1092</v>
      </c>
      <c r="H5145" s="19" t="s">
        <v>1157</v>
      </c>
      <c r="I5145" s="19">
        <v>0</v>
      </c>
      <c r="J5145" s="19">
        <v>0</v>
      </c>
      <c r="K5145" s="19" t="s">
        <v>551</v>
      </c>
      <c r="L5145" s="19">
        <v>2022</v>
      </c>
      <c r="M5145" s="20">
        <v>6774</v>
      </c>
      <c r="N5145" s="19" t="s">
        <v>1798</v>
      </c>
      <c r="O5145" s="20">
        <v>0</v>
      </c>
      <c r="P5145" s="20">
        <v>0</v>
      </c>
      <c r="Q5145" s="20">
        <v>0</v>
      </c>
      <c r="R5145" s="21">
        <v>1</v>
      </c>
      <c r="S5145" s="20">
        <v>0</v>
      </c>
    </row>
    <row r="5146" spans="2:19" ht="15" customHeight="1" x14ac:dyDescent="0.25">
      <c r="B5146" s="2" t="str">
        <f t="shared" si="160"/>
        <v>NSG_Income Eligible_Multi-Family_New Construction_Affordable Housing New Construction_0_IE</v>
      </c>
      <c r="C5146" s="2" t="str">
        <f t="shared" si="161"/>
        <v>NSG_Income Eligible_Multi-Family_New Construction_Affordable Housing New Construction_0_IE_2023</v>
      </c>
      <c r="D5146" s="19" t="s">
        <v>1787</v>
      </c>
      <c r="E5146" s="19" t="s">
        <v>325</v>
      </c>
      <c r="F5146" s="19" t="s">
        <v>1422</v>
      </c>
      <c r="G5146" s="19" t="s">
        <v>1092</v>
      </c>
      <c r="H5146" s="19" t="s">
        <v>1157</v>
      </c>
      <c r="I5146" s="19">
        <v>0</v>
      </c>
      <c r="J5146" s="19">
        <v>0</v>
      </c>
      <c r="K5146" s="19" t="s">
        <v>551</v>
      </c>
      <c r="L5146" s="19">
        <v>2023</v>
      </c>
      <c r="M5146" s="20">
        <v>6774</v>
      </c>
      <c r="N5146" s="19" t="s">
        <v>1798</v>
      </c>
      <c r="O5146" s="20">
        <v>0</v>
      </c>
      <c r="P5146" s="20">
        <v>0</v>
      </c>
      <c r="Q5146" s="20">
        <v>0</v>
      </c>
      <c r="R5146" s="21">
        <v>1</v>
      </c>
      <c r="S5146" s="20">
        <v>0</v>
      </c>
    </row>
    <row r="5147" spans="2:19" ht="15" customHeight="1" x14ac:dyDescent="0.25">
      <c r="B5147" s="2" t="str">
        <f t="shared" si="160"/>
        <v>NSG_Income Eligible_Multi-Family_New Construction_Affordable Housing New Construction_0_IE</v>
      </c>
      <c r="C5147" s="2" t="str">
        <f t="shared" si="161"/>
        <v>NSG_Income Eligible_Multi-Family_New Construction_Affordable Housing New Construction_0_IE_2024</v>
      </c>
      <c r="D5147" s="19" t="s">
        <v>1787</v>
      </c>
      <c r="E5147" s="19" t="s">
        <v>325</v>
      </c>
      <c r="F5147" s="19" t="s">
        <v>1422</v>
      </c>
      <c r="G5147" s="19" t="s">
        <v>1092</v>
      </c>
      <c r="H5147" s="19" t="s">
        <v>1157</v>
      </c>
      <c r="I5147" s="19">
        <v>0</v>
      </c>
      <c r="J5147" s="19">
        <v>0</v>
      </c>
      <c r="K5147" s="19" t="s">
        <v>551</v>
      </c>
      <c r="L5147" s="19">
        <v>2024</v>
      </c>
      <c r="M5147" s="20">
        <v>6774</v>
      </c>
      <c r="N5147" s="19" t="s">
        <v>1798</v>
      </c>
      <c r="O5147" s="20">
        <v>0</v>
      </c>
      <c r="P5147" s="20">
        <v>0</v>
      </c>
      <c r="Q5147" s="20">
        <v>0</v>
      </c>
      <c r="R5147" s="21">
        <v>1</v>
      </c>
      <c r="S5147" s="20">
        <v>0</v>
      </c>
    </row>
    <row r="5148" spans="2:19" ht="15" customHeight="1" x14ac:dyDescent="0.25">
      <c r="B5148" s="2" t="str">
        <f t="shared" si="160"/>
        <v>NSG_Income Eligible_Multi-Family_New Construction_Affordable Housing New Construction_0_IE</v>
      </c>
      <c r="C5148" s="2" t="str">
        <f t="shared" si="161"/>
        <v>NSG_Income Eligible_Multi-Family_New Construction_Affordable Housing New Construction_0_IE_2025</v>
      </c>
      <c r="D5148" s="19" t="s">
        <v>1787</v>
      </c>
      <c r="E5148" s="19" t="s">
        <v>325</v>
      </c>
      <c r="F5148" s="19" t="s">
        <v>1422</v>
      </c>
      <c r="G5148" s="19" t="s">
        <v>1092</v>
      </c>
      <c r="H5148" s="19" t="s">
        <v>1157</v>
      </c>
      <c r="I5148" s="19">
        <v>0</v>
      </c>
      <c r="J5148" s="19">
        <v>0</v>
      </c>
      <c r="K5148" s="19" t="s">
        <v>551</v>
      </c>
      <c r="L5148" s="19">
        <v>2025</v>
      </c>
      <c r="M5148" s="20">
        <v>6774</v>
      </c>
      <c r="N5148" s="19" t="s">
        <v>1798</v>
      </c>
      <c r="O5148" s="20">
        <v>0</v>
      </c>
      <c r="P5148" s="20">
        <v>0</v>
      </c>
      <c r="Q5148" s="20">
        <v>0</v>
      </c>
      <c r="R5148" s="21">
        <v>1</v>
      </c>
      <c r="S5148" s="20">
        <v>0</v>
      </c>
    </row>
    <row r="5149" spans="2:19" ht="15" customHeight="1" x14ac:dyDescent="0.25">
      <c r="B5149" s="2" t="str">
        <f t="shared" si="160"/>
        <v>PGL_Business_Commercial Food Service Program_Upstream Rebate_ENERGY STAR Griddle_0_CI</v>
      </c>
      <c r="C5149" s="2" t="str">
        <f t="shared" si="161"/>
        <v>PGL_Business_Commercial Food Service Program_Upstream Rebate_ENERGY STAR Griddle_0_CI_2022</v>
      </c>
      <c r="D5149" s="19" t="s">
        <v>1794</v>
      </c>
      <c r="E5149" s="19" t="s">
        <v>3</v>
      </c>
      <c r="F5149" s="19" t="s">
        <v>1444</v>
      </c>
      <c r="G5149" s="19" t="s">
        <v>1445</v>
      </c>
      <c r="H5149" s="19" t="s">
        <v>231</v>
      </c>
      <c r="I5149" s="19">
        <v>0</v>
      </c>
      <c r="J5149" s="19" t="s">
        <v>42</v>
      </c>
      <c r="K5149" s="19" t="s">
        <v>1159</v>
      </c>
      <c r="L5149" s="19">
        <v>2022</v>
      </c>
      <c r="M5149" s="20">
        <v>1</v>
      </c>
      <c r="N5149" s="19" t="s">
        <v>1798</v>
      </c>
      <c r="O5149" s="20">
        <v>3</v>
      </c>
      <c r="P5149" s="20">
        <v>3</v>
      </c>
      <c r="Q5149" s="20">
        <v>420.80429671874981</v>
      </c>
      <c r="R5149" s="21">
        <v>0.91500000000000004</v>
      </c>
      <c r="S5149" s="20">
        <v>420.80429671874981</v>
      </c>
    </row>
    <row r="5150" spans="2:19" ht="15" customHeight="1" x14ac:dyDescent="0.25">
      <c r="B5150" s="2" t="str">
        <f t="shared" si="160"/>
        <v>PGL_Business_Commercial Food Service Program_Upstream Rebate_ENERGY STAR Griddle_0_CI</v>
      </c>
      <c r="C5150" s="2" t="str">
        <f t="shared" si="161"/>
        <v>PGL_Business_Commercial Food Service Program_Upstream Rebate_ENERGY STAR Griddle_0_CI_2023</v>
      </c>
      <c r="D5150" s="19" t="s">
        <v>1794</v>
      </c>
      <c r="E5150" s="19" t="s">
        <v>3</v>
      </c>
      <c r="F5150" s="19" t="s">
        <v>1444</v>
      </c>
      <c r="G5150" s="19" t="s">
        <v>1445</v>
      </c>
      <c r="H5150" s="19" t="s">
        <v>231</v>
      </c>
      <c r="I5150" s="19">
        <v>0</v>
      </c>
      <c r="J5150" s="19" t="s">
        <v>42</v>
      </c>
      <c r="K5150" s="19" t="s">
        <v>1159</v>
      </c>
      <c r="L5150" s="19">
        <v>2023</v>
      </c>
      <c r="M5150" s="20">
        <v>1</v>
      </c>
      <c r="N5150" s="19" t="s">
        <v>1798</v>
      </c>
      <c r="O5150" s="20">
        <v>4</v>
      </c>
      <c r="P5150" s="20">
        <v>4</v>
      </c>
      <c r="Q5150" s="20">
        <v>561.07239562499979</v>
      </c>
      <c r="R5150" s="21">
        <v>0.91500000000000004</v>
      </c>
      <c r="S5150" s="20">
        <v>561.07239562499979</v>
      </c>
    </row>
    <row r="5151" spans="2:19" ht="15" customHeight="1" x14ac:dyDescent="0.25">
      <c r="B5151" s="2" t="str">
        <f t="shared" si="160"/>
        <v>PGL_Business_Commercial Food Service Program_Upstream Rebate_ENERGY STAR Griddle_0_CI</v>
      </c>
      <c r="C5151" s="2" t="str">
        <f t="shared" si="161"/>
        <v>PGL_Business_Commercial Food Service Program_Upstream Rebate_ENERGY STAR Griddle_0_CI_2024</v>
      </c>
      <c r="D5151" s="19" t="s">
        <v>1794</v>
      </c>
      <c r="E5151" s="19" t="s">
        <v>3</v>
      </c>
      <c r="F5151" s="19" t="s">
        <v>1444</v>
      </c>
      <c r="G5151" s="19" t="s">
        <v>1445</v>
      </c>
      <c r="H5151" s="19" t="s">
        <v>231</v>
      </c>
      <c r="I5151" s="19">
        <v>0</v>
      </c>
      <c r="J5151" s="19" t="s">
        <v>42</v>
      </c>
      <c r="K5151" s="19" t="s">
        <v>1159</v>
      </c>
      <c r="L5151" s="19">
        <v>2024</v>
      </c>
      <c r="M5151" s="20">
        <v>1</v>
      </c>
      <c r="N5151" s="19" t="s">
        <v>1798</v>
      </c>
      <c r="O5151" s="20">
        <v>5</v>
      </c>
      <c r="P5151" s="20">
        <v>5</v>
      </c>
      <c r="Q5151" s="20">
        <v>701.34049453124976</v>
      </c>
      <c r="R5151" s="21">
        <v>0.91500000000000004</v>
      </c>
      <c r="S5151" s="20">
        <v>701.34049453124976</v>
      </c>
    </row>
    <row r="5152" spans="2:19" ht="15" customHeight="1" x14ac:dyDescent="0.25">
      <c r="B5152" s="2" t="str">
        <f t="shared" si="160"/>
        <v>PGL_Business_Commercial Food Service Program_Upstream Rebate_ENERGY STAR Griddle_0_CI</v>
      </c>
      <c r="C5152" s="2" t="str">
        <f t="shared" si="161"/>
        <v>PGL_Business_Commercial Food Service Program_Upstream Rebate_ENERGY STAR Griddle_0_CI_2025</v>
      </c>
      <c r="D5152" s="19" t="s">
        <v>1794</v>
      </c>
      <c r="E5152" s="19" t="s">
        <v>3</v>
      </c>
      <c r="F5152" s="19" t="s">
        <v>1444</v>
      </c>
      <c r="G5152" s="19" t="s">
        <v>1445</v>
      </c>
      <c r="H5152" s="19" t="s">
        <v>231</v>
      </c>
      <c r="I5152" s="19">
        <v>0</v>
      </c>
      <c r="J5152" s="19" t="s">
        <v>42</v>
      </c>
      <c r="K5152" s="19" t="s">
        <v>1159</v>
      </c>
      <c r="L5152" s="19">
        <v>2025</v>
      </c>
      <c r="M5152" s="20">
        <v>1</v>
      </c>
      <c r="N5152" s="19" t="s">
        <v>1798</v>
      </c>
      <c r="O5152" s="20">
        <v>6</v>
      </c>
      <c r="P5152" s="20">
        <v>6</v>
      </c>
      <c r="Q5152" s="20">
        <v>841.60859343749962</v>
      </c>
      <c r="R5152" s="21">
        <v>0.91500000000000004</v>
      </c>
      <c r="S5152" s="20">
        <v>841.60859343749962</v>
      </c>
    </row>
    <row r="5153" spans="2:19" ht="15" customHeight="1" x14ac:dyDescent="0.25">
      <c r="B5153" s="2" t="str">
        <f t="shared" si="160"/>
        <v>PGL_Business_Commercial Food Service Program_Upstream Rebate_Pre-Rinse Sprayer_0_CI</v>
      </c>
      <c r="C5153" s="2" t="str">
        <f t="shared" si="161"/>
        <v>PGL_Business_Commercial Food Service Program_Upstream Rebate_Pre-Rinse Sprayer_0_CI_2022</v>
      </c>
      <c r="D5153" s="19" t="s">
        <v>1794</v>
      </c>
      <c r="E5153" s="19" t="s">
        <v>3</v>
      </c>
      <c r="F5153" s="19" t="s">
        <v>1444</v>
      </c>
      <c r="G5153" s="19" t="s">
        <v>1445</v>
      </c>
      <c r="H5153" s="19" t="s">
        <v>1219</v>
      </c>
      <c r="I5153" s="19">
        <v>0</v>
      </c>
      <c r="J5153" s="19" t="s">
        <v>43</v>
      </c>
      <c r="K5153" s="19" t="s">
        <v>1159</v>
      </c>
      <c r="L5153" s="19">
        <v>2022</v>
      </c>
      <c r="M5153" s="20">
        <v>1</v>
      </c>
      <c r="N5153" s="19" t="s">
        <v>1798</v>
      </c>
      <c r="O5153" s="20">
        <v>0</v>
      </c>
      <c r="P5153" s="20">
        <v>0</v>
      </c>
      <c r="Q5153" s="20">
        <v>0</v>
      </c>
      <c r="R5153" s="21">
        <v>0.91500000000000004</v>
      </c>
      <c r="S5153" s="20">
        <v>0</v>
      </c>
    </row>
    <row r="5154" spans="2:19" ht="15" customHeight="1" x14ac:dyDescent="0.25">
      <c r="B5154" s="2" t="str">
        <f t="shared" si="160"/>
        <v>PGL_Business_Commercial Food Service Program_Upstream Rebate_Pre-Rinse Sprayer_0_CI</v>
      </c>
      <c r="C5154" s="2" t="str">
        <f t="shared" si="161"/>
        <v>PGL_Business_Commercial Food Service Program_Upstream Rebate_Pre-Rinse Sprayer_0_CI_2023</v>
      </c>
      <c r="D5154" s="19" t="s">
        <v>1794</v>
      </c>
      <c r="E5154" s="19" t="s">
        <v>3</v>
      </c>
      <c r="F5154" s="19" t="s">
        <v>1444</v>
      </c>
      <c r="G5154" s="19" t="s">
        <v>1445</v>
      </c>
      <c r="H5154" s="19" t="s">
        <v>1219</v>
      </c>
      <c r="I5154" s="19">
        <v>0</v>
      </c>
      <c r="J5154" s="19" t="s">
        <v>43</v>
      </c>
      <c r="K5154" s="19" t="s">
        <v>1159</v>
      </c>
      <c r="L5154" s="19">
        <v>2023</v>
      </c>
      <c r="M5154" s="20">
        <v>1</v>
      </c>
      <c r="N5154" s="19" t="s">
        <v>1798</v>
      </c>
      <c r="O5154" s="20">
        <v>0</v>
      </c>
      <c r="P5154" s="20">
        <v>0</v>
      </c>
      <c r="Q5154" s="20">
        <v>0</v>
      </c>
      <c r="R5154" s="21">
        <v>0.91500000000000004</v>
      </c>
      <c r="S5154" s="20">
        <v>0</v>
      </c>
    </row>
    <row r="5155" spans="2:19" ht="15" customHeight="1" x14ac:dyDescent="0.25">
      <c r="B5155" s="2" t="str">
        <f t="shared" si="160"/>
        <v>PGL_Business_Commercial Food Service Program_Upstream Rebate_Pre-Rinse Sprayer_0_CI</v>
      </c>
      <c r="C5155" s="2" t="str">
        <f t="shared" si="161"/>
        <v>PGL_Business_Commercial Food Service Program_Upstream Rebate_Pre-Rinse Sprayer_0_CI_2024</v>
      </c>
      <c r="D5155" s="19" t="s">
        <v>1794</v>
      </c>
      <c r="E5155" s="19" t="s">
        <v>3</v>
      </c>
      <c r="F5155" s="19" t="s">
        <v>1444</v>
      </c>
      <c r="G5155" s="19" t="s">
        <v>1445</v>
      </c>
      <c r="H5155" s="19" t="s">
        <v>1219</v>
      </c>
      <c r="I5155" s="19">
        <v>0</v>
      </c>
      <c r="J5155" s="19" t="s">
        <v>43</v>
      </c>
      <c r="K5155" s="19" t="s">
        <v>1159</v>
      </c>
      <c r="L5155" s="19">
        <v>2024</v>
      </c>
      <c r="M5155" s="20">
        <v>1</v>
      </c>
      <c r="N5155" s="19" t="s">
        <v>1798</v>
      </c>
      <c r="O5155" s="20">
        <v>0</v>
      </c>
      <c r="P5155" s="20">
        <v>0</v>
      </c>
      <c r="Q5155" s="20">
        <v>0</v>
      </c>
      <c r="R5155" s="21">
        <v>0.91500000000000004</v>
      </c>
      <c r="S5155" s="20">
        <v>0</v>
      </c>
    </row>
    <row r="5156" spans="2:19" ht="15" customHeight="1" x14ac:dyDescent="0.25">
      <c r="B5156" s="2" t="str">
        <f t="shared" si="160"/>
        <v>PGL_Business_Commercial Food Service Program_Upstream Rebate_Pre-Rinse Sprayer_0_CI</v>
      </c>
      <c r="C5156" s="2" t="str">
        <f t="shared" si="161"/>
        <v>PGL_Business_Commercial Food Service Program_Upstream Rebate_Pre-Rinse Sprayer_0_CI_2025</v>
      </c>
      <c r="D5156" s="19" t="s">
        <v>1794</v>
      </c>
      <c r="E5156" s="19" t="s">
        <v>3</v>
      </c>
      <c r="F5156" s="19" t="s">
        <v>1444</v>
      </c>
      <c r="G5156" s="19" t="s">
        <v>1445</v>
      </c>
      <c r="H5156" s="19" t="s">
        <v>1219</v>
      </c>
      <c r="I5156" s="19">
        <v>0</v>
      </c>
      <c r="J5156" s="19" t="s">
        <v>43</v>
      </c>
      <c r="K5156" s="19" t="s">
        <v>1159</v>
      </c>
      <c r="L5156" s="19">
        <v>2025</v>
      </c>
      <c r="M5156" s="20">
        <v>1</v>
      </c>
      <c r="N5156" s="19" t="s">
        <v>1798</v>
      </c>
      <c r="O5156" s="20">
        <v>0</v>
      </c>
      <c r="P5156" s="20">
        <v>0</v>
      </c>
      <c r="Q5156" s="20">
        <v>0</v>
      </c>
      <c r="R5156" s="21">
        <v>0.91500000000000004</v>
      </c>
      <c r="S5156" s="20">
        <v>0</v>
      </c>
    </row>
    <row r="5157" spans="2:19" ht="15" customHeight="1" x14ac:dyDescent="0.25">
      <c r="B5157" s="2" t="str">
        <f t="shared" si="160"/>
        <v>PGL_Business_Commercial Food Service Program_Upstream Rebate_Pasta Cooker_0_CI</v>
      </c>
      <c r="C5157" s="2" t="str">
        <f t="shared" si="161"/>
        <v>PGL_Business_Commercial Food Service Program_Upstream Rebate_Pasta Cooker_0_CI_2022</v>
      </c>
      <c r="D5157" s="19" t="s">
        <v>1794</v>
      </c>
      <c r="E5157" s="19" t="s">
        <v>3</v>
      </c>
      <c r="F5157" s="19" t="s">
        <v>1444</v>
      </c>
      <c r="G5157" s="19" t="s">
        <v>1445</v>
      </c>
      <c r="H5157" s="19" t="s">
        <v>22</v>
      </c>
      <c r="I5157" s="19">
        <v>0</v>
      </c>
      <c r="J5157" s="19" t="s">
        <v>49</v>
      </c>
      <c r="K5157" s="19" t="s">
        <v>1159</v>
      </c>
      <c r="L5157" s="19">
        <v>2022</v>
      </c>
      <c r="M5157" s="20">
        <v>1</v>
      </c>
      <c r="N5157" s="19" t="s">
        <v>1798</v>
      </c>
      <c r="O5157" s="20">
        <v>2</v>
      </c>
      <c r="P5157" s="20">
        <v>2</v>
      </c>
      <c r="Q5157" s="20">
        <v>2525.4</v>
      </c>
      <c r="R5157" s="21">
        <v>0.91500000000000004</v>
      </c>
      <c r="S5157" s="20">
        <v>2525.4</v>
      </c>
    </row>
    <row r="5158" spans="2:19" ht="15" customHeight="1" x14ac:dyDescent="0.25">
      <c r="B5158" s="2" t="str">
        <f t="shared" si="160"/>
        <v>PGL_Business_Commercial Food Service Program_Upstream Rebate_Pasta Cooker_0_CI</v>
      </c>
      <c r="C5158" s="2" t="str">
        <f t="shared" si="161"/>
        <v>PGL_Business_Commercial Food Service Program_Upstream Rebate_Pasta Cooker_0_CI_2023</v>
      </c>
      <c r="D5158" s="19" t="s">
        <v>1794</v>
      </c>
      <c r="E5158" s="19" t="s">
        <v>3</v>
      </c>
      <c r="F5158" s="19" t="s">
        <v>1444</v>
      </c>
      <c r="G5158" s="19" t="s">
        <v>1445</v>
      </c>
      <c r="H5158" s="19" t="s">
        <v>22</v>
      </c>
      <c r="I5158" s="19">
        <v>0</v>
      </c>
      <c r="J5158" s="19" t="s">
        <v>49</v>
      </c>
      <c r="K5158" s="19" t="s">
        <v>1159</v>
      </c>
      <c r="L5158" s="19">
        <v>2023</v>
      </c>
      <c r="M5158" s="20">
        <v>1</v>
      </c>
      <c r="N5158" s="19" t="s">
        <v>1798</v>
      </c>
      <c r="O5158" s="20">
        <v>3</v>
      </c>
      <c r="P5158" s="20">
        <v>3</v>
      </c>
      <c r="Q5158" s="20">
        <v>3788.1000000000004</v>
      </c>
      <c r="R5158" s="21">
        <v>0.91500000000000004</v>
      </c>
      <c r="S5158" s="20">
        <v>3788.1000000000004</v>
      </c>
    </row>
    <row r="5159" spans="2:19" ht="15" customHeight="1" x14ac:dyDescent="0.25">
      <c r="B5159" s="2" t="str">
        <f t="shared" si="160"/>
        <v>PGL_Business_Commercial Food Service Program_Upstream Rebate_Pasta Cooker_0_CI</v>
      </c>
      <c r="C5159" s="2" t="str">
        <f t="shared" si="161"/>
        <v>PGL_Business_Commercial Food Service Program_Upstream Rebate_Pasta Cooker_0_CI_2024</v>
      </c>
      <c r="D5159" s="19" t="s">
        <v>1794</v>
      </c>
      <c r="E5159" s="19" t="s">
        <v>3</v>
      </c>
      <c r="F5159" s="19" t="s">
        <v>1444</v>
      </c>
      <c r="G5159" s="19" t="s">
        <v>1445</v>
      </c>
      <c r="H5159" s="19" t="s">
        <v>22</v>
      </c>
      <c r="I5159" s="19">
        <v>0</v>
      </c>
      <c r="J5159" s="19" t="s">
        <v>49</v>
      </c>
      <c r="K5159" s="19" t="s">
        <v>1159</v>
      </c>
      <c r="L5159" s="19">
        <v>2024</v>
      </c>
      <c r="M5159" s="20">
        <v>1</v>
      </c>
      <c r="N5159" s="19" t="s">
        <v>1798</v>
      </c>
      <c r="O5159" s="20">
        <v>4</v>
      </c>
      <c r="P5159" s="20">
        <v>4</v>
      </c>
      <c r="Q5159" s="20">
        <v>5050.8</v>
      </c>
      <c r="R5159" s="21">
        <v>0.91500000000000004</v>
      </c>
      <c r="S5159" s="20">
        <v>5050.8</v>
      </c>
    </row>
    <row r="5160" spans="2:19" ht="15" customHeight="1" x14ac:dyDescent="0.25">
      <c r="B5160" s="2" t="str">
        <f t="shared" si="160"/>
        <v>PGL_Business_Commercial Food Service Program_Upstream Rebate_Pasta Cooker_0_CI</v>
      </c>
      <c r="C5160" s="2" t="str">
        <f t="shared" si="161"/>
        <v>PGL_Business_Commercial Food Service Program_Upstream Rebate_Pasta Cooker_0_CI_2025</v>
      </c>
      <c r="D5160" s="19" t="s">
        <v>1794</v>
      </c>
      <c r="E5160" s="19" t="s">
        <v>3</v>
      </c>
      <c r="F5160" s="19" t="s">
        <v>1444</v>
      </c>
      <c r="G5160" s="19" t="s">
        <v>1445</v>
      </c>
      <c r="H5160" s="19" t="s">
        <v>22</v>
      </c>
      <c r="I5160" s="19">
        <v>0</v>
      </c>
      <c r="J5160" s="19" t="s">
        <v>49</v>
      </c>
      <c r="K5160" s="19" t="s">
        <v>1159</v>
      </c>
      <c r="L5160" s="19">
        <v>2025</v>
      </c>
      <c r="M5160" s="20">
        <v>1</v>
      </c>
      <c r="N5160" s="19" t="s">
        <v>1798</v>
      </c>
      <c r="O5160" s="20">
        <v>5</v>
      </c>
      <c r="P5160" s="20">
        <v>5</v>
      </c>
      <c r="Q5160" s="20">
        <v>6313.5</v>
      </c>
      <c r="R5160" s="21">
        <v>0.91500000000000004</v>
      </c>
      <c r="S5160" s="20">
        <v>6313.5</v>
      </c>
    </row>
    <row r="5161" spans="2:19" ht="15" customHeight="1" x14ac:dyDescent="0.25">
      <c r="B5161" s="2" t="str">
        <f t="shared" si="160"/>
        <v>PGL_Business_Commercial Food Service Program_Upstream Rebate_Combination Oven_0_MF/CI/SMB</v>
      </c>
      <c r="C5161" s="2" t="str">
        <f t="shared" si="161"/>
        <v>PGL_Business_Commercial Food Service Program_Upstream Rebate_Combination Oven_0_MF/CI/SMB_2022</v>
      </c>
      <c r="D5161" s="19" t="s">
        <v>1794</v>
      </c>
      <c r="E5161" s="19" t="s">
        <v>3</v>
      </c>
      <c r="F5161" s="19" t="s">
        <v>1444</v>
      </c>
      <c r="G5161" s="19" t="s">
        <v>1445</v>
      </c>
      <c r="H5161" s="19" t="s">
        <v>242</v>
      </c>
      <c r="I5161" s="19">
        <v>0</v>
      </c>
      <c r="J5161" s="19" t="s">
        <v>138</v>
      </c>
      <c r="K5161" s="19" t="s">
        <v>662</v>
      </c>
      <c r="L5161" s="19">
        <v>2022</v>
      </c>
      <c r="M5161" s="20">
        <v>1</v>
      </c>
      <c r="N5161" s="19" t="s">
        <v>1798</v>
      </c>
      <c r="O5161" s="20">
        <v>3</v>
      </c>
      <c r="P5161" s="20">
        <v>3</v>
      </c>
      <c r="Q5161" s="20">
        <v>882.9217850156175</v>
      </c>
      <c r="R5161" s="21">
        <v>0.91500000000000004</v>
      </c>
      <c r="S5161" s="20">
        <v>882.9217850156175</v>
      </c>
    </row>
    <row r="5162" spans="2:19" ht="15" customHeight="1" x14ac:dyDescent="0.25">
      <c r="B5162" s="2" t="str">
        <f t="shared" si="160"/>
        <v>PGL_Business_Commercial Food Service Program_Upstream Rebate_Combination Oven_0_MF/CI/SMB</v>
      </c>
      <c r="C5162" s="2" t="str">
        <f t="shared" si="161"/>
        <v>PGL_Business_Commercial Food Service Program_Upstream Rebate_Combination Oven_0_MF/CI/SMB_2023</v>
      </c>
      <c r="D5162" s="19" t="s">
        <v>1794</v>
      </c>
      <c r="E5162" s="19" t="s">
        <v>3</v>
      </c>
      <c r="F5162" s="19" t="s">
        <v>1444</v>
      </c>
      <c r="G5162" s="19" t="s">
        <v>1445</v>
      </c>
      <c r="H5162" s="19" t="s">
        <v>242</v>
      </c>
      <c r="I5162" s="19">
        <v>0</v>
      </c>
      <c r="J5162" s="19" t="s">
        <v>138</v>
      </c>
      <c r="K5162" s="19" t="s">
        <v>662</v>
      </c>
      <c r="L5162" s="19">
        <v>2023</v>
      </c>
      <c r="M5162" s="20">
        <v>1</v>
      </c>
      <c r="N5162" s="19" t="s">
        <v>1798</v>
      </c>
      <c r="O5162" s="20">
        <v>4</v>
      </c>
      <c r="P5162" s="20">
        <v>4</v>
      </c>
      <c r="Q5162" s="20">
        <v>1177.2290466874899</v>
      </c>
      <c r="R5162" s="21">
        <v>0.91500000000000004</v>
      </c>
      <c r="S5162" s="20">
        <v>1177.2290466874899</v>
      </c>
    </row>
    <row r="5163" spans="2:19" ht="15" customHeight="1" x14ac:dyDescent="0.25">
      <c r="B5163" s="2" t="str">
        <f t="shared" si="160"/>
        <v>PGL_Business_Commercial Food Service Program_Upstream Rebate_Combination Oven_0_MF/CI/SMB</v>
      </c>
      <c r="C5163" s="2" t="str">
        <f t="shared" si="161"/>
        <v>PGL_Business_Commercial Food Service Program_Upstream Rebate_Combination Oven_0_MF/CI/SMB_2024</v>
      </c>
      <c r="D5163" s="19" t="s">
        <v>1794</v>
      </c>
      <c r="E5163" s="19" t="s">
        <v>3</v>
      </c>
      <c r="F5163" s="19" t="s">
        <v>1444</v>
      </c>
      <c r="G5163" s="19" t="s">
        <v>1445</v>
      </c>
      <c r="H5163" s="19" t="s">
        <v>242</v>
      </c>
      <c r="I5163" s="19">
        <v>0</v>
      </c>
      <c r="J5163" s="19" t="s">
        <v>138</v>
      </c>
      <c r="K5163" s="19" t="s">
        <v>662</v>
      </c>
      <c r="L5163" s="19">
        <v>2024</v>
      </c>
      <c r="M5163" s="20">
        <v>1</v>
      </c>
      <c r="N5163" s="19" t="s">
        <v>1798</v>
      </c>
      <c r="O5163" s="20">
        <v>5</v>
      </c>
      <c r="P5163" s="20">
        <v>5</v>
      </c>
      <c r="Q5163" s="20">
        <v>1471.5363083593625</v>
      </c>
      <c r="R5163" s="21">
        <v>0.91500000000000004</v>
      </c>
      <c r="S5163" s="20">
        <v>1471.5363083593625</v>
      </c>
    </row>
    <row r="5164" spans="2:19" ht="15" customHeight="1" x14ac:dyDescent="0.25">
      <c r="B5164" s="2" t="str">
        <f t="shared" si="160"/>
        <v>PGL_Business_Commercial Food Service Program_Upstream Rebate_Combination Oven_0_MF/CI/SMB</v>
      </c>
      <c r="C5164" s="2" t="str">
        <f t="shared" si="161"/>
        <v>PGL_Business_Commercial Food Service Program_Upstream Rebate_Combination Oven_0_MF/CI/SMB_2025</v>
      </c>
      <c r="D5164" s="19" t="s">
        <v>1794</v>
      </c>
      <c r="E5164" s="19" t="s">
        <v>3</v>
      </c>
      <c r="F5164" s="19" t="s">
        <v>1444</v>
      </c>
      <c r="G5164" s="19" t="s">
        <v>1445</v>
      </c>
      <c r="H5164" s="19" t="s">
        <v>242</v>
      </c>
      <c r="I5164" s="19">
        <v>0</v>
      </c>
      <c r="J5164" s="19" t="s">
        <v>138</v>
      </c>
      <c r="K5164" s="19" t="s">
        <v>662</v>
      </c>
      <c r="L5164" s="19">
        <v>2025</v>
      </c>
      <c r="M5164" s="20">
        <v>1</v>
      </c>
      <c r="N5164" s="19" t="s">
        <v>1798</v>
      </c>
      <c r="O5164" s="20">
        <v>6</v>
      </c>
      <c r="P5164" s="20">
        <v>6</v>
      </c>
      <c r="Q5164" s="20">
        <v>1765.843570031235</v>
      </c>
      <c r="R5164" s="21">
        <v>0.91500000000000004</v>
      </c>
      <c r="S5164" s="20">
        <v>1765.843570031235</v>
      </c>
    </row>
    <row r="5165" spans="2:19" ht="15" customHeight="1" x14ac:dyDescent="0.25">
      <c r="B5165" s="2" t="str">
        <f t="shared" si="160"/>
        <v>PGL_Business_Commercial Food Service Program_Upstream Rebate_DCV - Kitchen_0_MF/CI</v>
      </c>
      <c r="C5165" s="2" t="str">
        <f t="shared" si="161"/>
        <v>PGL_Business_Commercial Food Service Program_Upstream Rebate_DCV - Kitchen_0_MF/CI_2022</v>
      </c>
      <c r="D5165" s="19" t="s">
        <v>1794</v>
      </c>
      <c r="E5165" s="19" t="s">
        <v>3</v>
      </c>
      <c r="F5165" s="19" t="s">
        <v>1444</v>
      </c>
      <c r="G5165" s="19" t="s">
        <v>1445</v>
      </c>
      <c r="H5165" s="19" t="s">
        <v>1077</v>
      </c>
      <c r="I5165" s="19">
        <v>0</v>
      </c>
      <c r="J5165" s="19" t="s">
        <v>48</v>
      </c>
      <c r="K5165" s="19" t="s">
        <v>587</v>
      </c>
      <c r="L5165" s="19">
        <v>2022</v>
      </c>
      <c r="M5165" s="20">
        <v>7.75</v>
      </c>
      <c r="N5165" s="19" t="s">
        <v>333</v>
      </c>
      <c r="O5165" s="20">
        <v>4</v>
      </c>
      <c r="P5165" s="20">
        <v>31</v>
      </c>
      <c r="Q5165" s="20">
        <v>21954.510000000002</v>
      </c>
      <c r="R5165" s="21">
        <v>0.91500000000000004</v>
      </c>
      <c r="S5165" s="20">
        <v>21954.510000000002</v>
      </c>
    </row>
    <row r="5166" spans="2:19" ht="15" customHeight="1" x14ac:dyDescent="0.25">
      <c r="B5166" s="2" t="str">
        <f t="shared" si="160"/>
        <v>PGL_Business_Commercial Food Service Program_Upstream Rebate_DCV - Kitchen_0_MF/CI</v>
      </c>
      <c r="C5166" s="2" t="str">
        <f t="shared" si="161"/>
        <v>PGL_Business_Commercial Food Service Program_Upstream Rebate_DCV - Kitchen_0_MF/CI_2023</v>
      </c>
      <c r="D5166" s="19" t="s">
        <v>1794</v>
      </c>
      <c r="E5166" s="19" t="s">
        <v>3</v>
      </c>
      <c r="F5166" s="19" t="s">
        <v>1444</v>
      </c>
      <c r="G5166" s="19" t="s">
        <v>1445</v>
      </c>
      <c r="H5166" s="19" t="s">
        <v>1077</v>
      </c>
      <c r="I5166" s="19">
        <v>0</v>
      </c>
      <c r="J5166" s="19" t="s">
        <v>48</v>
      </c>
      <c r="K5166" s="19" t="s">
        <v>587</v>
      </c>
      <c r="L5166" s="19">
        <v>2023</v>
      </c>
      <c r="M5166" s="20">
        <v>7.75</v>
      </c>
      <c r="N5166" s="19" t="s">
        <v>333</v>
      </c>
      <c r="O5166" s="20">
        <v>5</v>
      </c>
      <c r="P5166" s="20">
        <v>38.75</v>
      </c>
      <c r="Q5166" s="20">
        <v>27443.137500000001</v>
      </c>
      <c r="R5166" s="21">
        <v>0.91500000000000004</v>
      </c>
      <c r="S5166" s="20">
        <v>27443.137500000001</v>
      </c>
    </row>
    <row r="5167" spans="2:19" ht="15" customHeight="1" x14ac:dyDescent="0.25">
      <c r="B5167" s="2" t="str">
        <f t="shared" si="160"/>
        <v>PGL_Business_Commercial Food Service Program_Upstream Rebate_DCV - Kitchen_0_MF/CI</v>
      </c>
      <c r="C5167" s="2" t="str">
        <f t="shared" si="161"/>
        <v>PGL_Business_Commercial Food Service Program_Upstream Rebate_DCV - Kitchen_0_MF/CI_2024</v>
      </c>
      <c r="D5167" s="19" t="s">
        <v>1794</v>
      </c>
      <c r="E5167" s="19" t="s">
        <v>3</v>
      </c>
      <c r="F5167" s="19" t="s">
        <v>1444</v>
      </c>
      <c r="G5167" s="19" t="s">
        <v>1445</v>
      </c>
      <c r="H5167" s="19" t="s">
        <v>1077</v>
      </c>
      <c r="I5167" s="19">
        <v>0</v>
      </c>
      <c r="J5167" s="19" t="s">
        <v>48</v>
      </c>
      <c r="K5167" s="19" t="s">
        <v>587</v>
      </c>
      <c r="L5167" s="19">
        <v>2024</v>
      </c>
      <c r="M5167" s="20">
        <v>7.75</v>
      </c>
      <c r="N5167" s="19" t="s">
        <v>333</v>
      </c>
      <c r="O5167" s="20">
        <v>6</v>
      </c>
      <c r="P5167" s="20">
        <v>46.5</v>
      </c>
      <c r="Q5167" s="20">
        <v>32931.764999999999</v>
      </c>
      <c r="R5167" s="21">
        <v>0.91500000000000004</v>
      </c>
      <c r="S5167" s="20">
        <v>32931.764999999999</v>
      </c>
    </row>
    <row r="5168" spans="2:19" ht="15" customHeight="1" x14ac:dyDescent="0.25">
      <c r="B5168" s="2" t="str">
        <f t="shared" si="160"/>
        <v>PGL_Business_Commercial Food Service Program_Upstream Rebate_DCV - Kitchen_0_MF/CI</v>
      </c>
      <c r="C5168" s="2" t="str">
        <f t="shared" si="161"/>
        <v>PGL_Business_Commercial Food Service Program_Upstream Rebate_DCV - Kitchen_0_MF/CI_2025</v>
      </c>
      <c r="D5168" s="19" t="s">
        <v>1794</v>
      </c>
      <c r="E5168" s="19" t="s">
        <v>3</v>
      </c>
      <c r="F5168" s="19" t="s">
        <v>1444</v>
      </c>
      <c r="G5168" s="19" t="s">
        <v>1445</v>
      </c>
      <c r="H5168" s="19" t="s">
        <v>1077</v>
      </c>
      <c r="I5168" s="19">
        <v>0</v>
      </c>
      <c r="J5168" s="19" t="s">
        <v>48</v>
      </c>
      <c r="K5168" s="19" t="s">
        <v>587</v>
      </c>
      <c r="L5168" s="19">
        <v>2025</v>
      </c>
      <c r="M5168" s="20">
        <v>7.75</v>
      </c>
      <c r="N5168" s="19" t="s">
        <v>333</v>
      </c>
      <c r="O5168" s="20">
        <v>6</v>
      </c>
      <c r="P5168" s="20">
        <v>46.5</v>
      </c>
      <c r="Q5168" s="20">
        <v>32931.764999999999</v>
      </c>
      <c r="R5168" s="21">
        <v>0.91500000000000004</v>
      </c>
      <c r="S5168" s="20">
        <v>32931.764999999999</v>
      </c>
    </row>
    <row r="5169" spans="2:19" ht="15" customHeight="1" x14ac:dyDescent="0.25">
      <c r="B5169" s="2" t="str">
        <f t="shared" si="160"/>
        <v>PGL_Business_Commercial Food Service Program_Upstream Rebate_Double Rack Oven_0_CI</v>
      </c>
      <c r="C5169" s="2" t="str">
        <f t="shared" si="161"/>
        <v>PGL_Business_Commercial Food Service Program_Upstream Rebate_Double Rack Oven_0_CI_2022</v>
      </c>
      <c r="D5169" s="19" t="s">
        <v>1794</v>
      </c>
      <c r="E5169" s="19" t="s">
        <v>3</v>
      </c>
      <c r="F5169" s="19" t="s">
        <v>1444</v>
      </c>
      <c r="G5169" s="19" t="s">
        <v>1445</v>
      </c>
      <c r="H5169" s="19" t="s">
        <v>1210</v>
      </c>
      <c r="I5169" s="19">
        <v>0</v>
      </c>
      <c r="J5169" s="19" t="s">
        <v>50</v>
      </c>
      <c r="K5169" s="19" t="s">
        <v>1159</v>
      </c>
      <c r="L5169" s="19">
        <v>2022</v>
      </c>
      <c r="M5169" s="20">
        <v>1</v>
      </c>
      <c r="N5169" s="19" t="s">
        <v>1798</v>
      </c>
      <c r="O5169" s="20">
        <v>7</v>
      </c>
      <c r="P5169" s="20">
        <v>7</v>
      </c>
      <c r="Q5169" s="20">
        <v>12364.852500000006</v>
      </c>
      <c r="R5169" s="21">
        <v>0.91500000000000004</v>
      </c>
      <c r="S5169" s="20">
        <v>12364.852500000006</v>
      </c>
    </row>
    <row r="5170" spans="2:19" ht="15" customHeight="1" x14ac:dyDescent="0.25">
      <c r="B5170" s="2" t="str">
        <f t="shared" si="160"/>
        <v>PGL_Business_Commercial Food Service Program_Upstream Rebate_Double Rack Oven_0_CI</v>
      </c>
      <c r="C5170" s="2" t="str">
        <f t="shared" si="161"/>
        <v>PGL_Business_Commercial Food Service Program_Upstream Rebate_Double Rack Oven_0_CI_2023</v>
      </c>
      <c r="D5170" s="19" t="s">
        <v>1794</v>
      </c>
      <c r="E5170" s="19" t="s">
        <v>3</v>
      </c>
      <c r="F5170" s="19" t="s">
        <v>1444</v>
      </c>
      <c r="G5170" s="19" t="s">
        <v>1445</v>
      </c>
      <c r="H5170" s="19" t="s">
        <v>1210</v>
      </c>
      <c r="I5170" s="19">
        <v>0</v>
      </c>
      <c r="J5170" s="19" t="s">
        <v>50</v>
      </c>
      <c r="K5170" s="19" t="s">
        <v>1159</v>
      </c>
      <c r="L5170" s="19">
        <v>2023</v>
      </c>
      <c r="M5170" s="20">
        <v>1</v>
      </c>
      <c r="N5170" s="19" t="s">
        <v>1798</v>
      </c>
      <c r="O5170" s="20">
        <v>9</v>
      </c>
      <c r="P5170" s="20">
        <v>9</v>
      </c>
      <c r="Q5170" s="20">
        <v>15897.667500000007</v>
      </c>
      <c r="R5170" s="21">
        <v>0.91500000000000004</v>
      </c>
      <c r="S5170" s="20">
        <v>15897.667500000007</v>
      </c>
    </row>
    <row r="5171" spans="2:19" ht="15" customHeight="1" x14ac:dyDescent="0.25">
      <c r="B5171" s="2" t="str">
        <f t="shared" si="160"/>
        <v>PGL_Business_Commercial Food Service Program_Upstream Rebate_Double Rack Oven_0_CI</v>
      </c>
      <c r="C5171" s="2" t="str">
        <f t="shared" si="161"/>
        <v>PGL_Business_Commercial Food Service Program_Upstream Rebate_Double Rack Oven_0_CI_2024</v>
      </c>
      <c r="D5171" s="19" t="s">
        <v>1794</v>
      </c>
      <c r="E5171" s="19" t="s">
        <v>3</v>
      </c>
      <c r="F5171" s="19" t="s">
        <v>1444</v>
      </c>
      <c r="G5171" s="19" t="s">
        <v>1445</v>
      </c>
      <c r="H5171" s="19" t="s">
        <v>1210</v>
      </c>
      <c r="I5171" s="19">
        <v>0</v>
      </c>
      <c r="J5171" s="19" t="s">
        <v>50</v>
      </c>
      <c r="K5171" s="19" t="s">
        <v>1159</v>
      </c>
      <c r="L5171" s="19">
        <v>2024</v>
      </c>
      <c r="M5171" s="20">
        <v>1</v>
      </c>
      <c r="N5171" s="19" t="s">
        <v>1798</v>
      </c>
      <c r="O5171" s="20">
        <v>12</v>
      </c>
      <c r="P5171" s="20">
        <v>12</v>
      </c>
      <c r="Q5171" s="20">
        <v>21196.890000000007</v>
      </c>
      <c r="R5171" s="21">
        <v>0.91500000000000004</v>
      </c>
      <c r="S5171" s="20">
        <v>21196.890000000007</v>
      </c>
    </row>
    <row r="5172" spans="2:19" ht="15" customHeight="1" x14ac:dyDescent="0.25">
      <c r="B5172" s="2" t="str">
        <f t="shared" si="160"/>
        <v>PGL_Business_Commercial Food Service Program_Upstream Rebate_Double Rack Oven_0_CI</v>
      </c>
      <c r="C5172" s="2" t="str">
        <f t="shared" si="161"/>
        <v>PGL_Business_Commercial Food Service Program_Upstream Rebate_Double Rack Oven_0_CI_2025</v>
      </c>
      <c r="D5172" s="19" t="s">
        <v>1794</v>
      </c>
      <c r="E5172" s="19" t="s">
        <v>3</v>
      </c>
      <c r="F5172" s="19" t="s">
        <v>1444</v>
      </c>
      <c r="G5172" s="19" t="s">
        <v>1445</v>
      </c>
      <c r="H5172" s="19" t="s">
        <v>1210</v>
      </c>
      <c r="I5172" s="19">
        <v>0</v>
      </c>
      <c r="J5172" s="19" t="s">
        <v>50</v>
      </c>
      <c r="K5172" s="19" t="s">
        <v>1159</v>
      </c>
      <c r="L5172" s="19">
        <v>2025</v>
      </c>
      <c r="M5172" s="20">
        <v>1</v>
      </c>
      <c r="N5172" s="19" t="s">
        <v>1798</v>
      </c>
      <c r="O5172" s="20">
        <v>15</v>
      </c>
      <c r="P5172" s="20">
        <v>15</v>
      </c>
      <c r="Q5172" s="20">
        <v>26496.11250000001</v>
      </c>
      <c r="R5172" s="21">
        <v>0.91500000000000004</v>
      </c>
      <c r="S5172" s="20">
        <v>26496.11250000001</v>
      </c>
    </row>
    <row r="5173" spans="2:19" ht="15" customHeight="1" x14ac:dyDescent="0.25">
      <c r="B5173" s="2" t="str">
        <f t="shared" si="160"/>
        <v>PGL_Business_Commercial Food Service Program_Upstream Rebate_Energy Star Convection Oven_0_MF/CI/SMB</v>
      </c>
      <c r="C5173" s="2" t="str">
        <f t="shared" si="161"/>
        <v>PGL_Business_Commercial Food Service Program_Upstream Rebate_Energy Star Convection Oven_0_MF/CI/SMB_2022</v>
      </c>
      <c r="D5173" s="19" t="s">
        <v>1794</v>
      </c>
      <c r="E5173" s="19" t="s">
        <v>3</v>
      </c>
      <c r="F5173" s="19" t="s">
        <v>1444</v>
      </c>
      <c r="G5173" s="19" t="s">
        <v>1445</v>
      </c>
      <c r="H5173" s="19" t="s">
        <v>1168</v>
      </c>
      <c r="I5173" s="19">
        <v>0</v>
      </c>
      <c r="J5173" s="19" t="s">
        <v>243</v>
      </c>
      <c r="K5173" s="19" t="s">
        <v>662</v>
      </c>
      <c r="L5173" s="19">
        <v>2022</v>
      </c>
      <c r="M5173" s="20">
        <v>1</v>
      </c>
      <c r="N5173" s="19" t="s">
        <v>1798</v>
      </c>
      <c r="O5173" s="20">
        <v>7</v>
      </c>
      <c r="P5173" s="20">
        <v>7</v>
      </c>
      <c r="Q5173" s="20">
        <v>2254.8678577173919</v>
      </c>
      <c r="R5173" s="21">
        <v>0.91500000000000004</v>
      </c>
      <c r="S5173" s="20">
        <v>2254.8678577173919</v>
      </c>
    </row>
    <row r="5174" spans="2:19" ht="15" customHeight="1" x14ac:dyDescent="0.25">
      <c r="B5174" s="2" t="str">
        <f t="shared" si="160"/>
        <v>PGL_Business_Commercial Food Service Program_Upstream Rebate_Energy Star Convection Oven_0_MF/CI/SMB</v>
      </c>
      <c r="C5174" s="2" t="str">
        <f t="shared" si="161"/>
        <v>PGL_Business_Commercial Food Service Program_Upstream Rebate_Energy Star Convection Oven_0_MF/CI/SMB_2023</v>
      </c>
      <c r="D5174" s="19" t="s">
        <v>1794</v>
      </c>
      <c r="E5174" s="19" t="s">
        <v>3</v>
      </c>
      <c r="F5174" s="19" t="s">
        <v>1444</v>
      </c>
      <c r="G5174" s="19" t="s">
        <v>1445</v>
      </c>
      <c r="H5174" s="19" t="s">
        <v>1168</v>
      </c>
      <c r="I5174" s="19">
        <v>0</v>
      </c>
      <c r="J5174" s="19" t="s">
        <v>243</v>
      </c>
      <c r="K5174" s="19" t="s">
        <v>662</v>
      </c>
      <c r="L5174" s="19">
        <v>2023</v>
      </c>
      <c r="M5174" s="20">
        <v>1</v>
      </c>
      <c r="N5174" s="19" t="s">
        <v>1798</v>
      </c>
      <c r="O5174" s="20">
        <v>9</v>
      </c>
      <c r="P5174" s="20">
        <v>9</v>
      </c>
      <c r="Q5174" s="20">
        <v>2899.1158170652184</v>
      </c>
      <c r="R5174" s="21">
        <v>0.91500000000000004</v>
      </c>
      <c r="S5174" s="20">
        <v>2899.1158170652184</v>
      </c>
    </row>
    <row r="5175" spans="2:19" ht="15" customHeight="1" x14ac:dyDescent="0.25">
      <c r="B5175" s="2" t="str">
        <f t="shared" si="160"/>
        <v>PGL_Business_Commercial Food Service Program_Upstream Rebate_Energy Star Convection Oven_0_MF/CI/SMB</v>
      </c>
      <c r="C5175" s="2" t="str">
        <f t="shared" si="161"/>
        <v>PGL_Business_Commercial Food Service Program_Upstream Rebate_Energy Star Convection Oven_0_MF/CI/SMB_2024</v>
      </c>
      <c r="D5175" s="19" t="s">
        <v>1794</v>
      </c>
      <c r="E5175" s="19" t="s">
        <v>3</v>
      </c>
      <c r="F5175" s="19" t="s">
        <v>1444</v>
      </c>
      <c r="G5175" s="19" t="s">
        <v>1445</v>
      </c>
      <c r="H5175" s="19" t="s">
        <v>1168</v>
      </c>
      <c r="I5175" s="19">
        <v>0</v>
      </c>
      <c r="J5175" s="19" t="s">
        <v>243</v>
      </c>
      <c r="K5175" s="19" t="s">
        <v>662</v>
      </c>
      <c r="L5175" s="19">
        <v>2024</v>
      </c>
      <c r="M5175" s="20">
        <v>1</v>
      </c>
      <c r="N5175" s="19" t="s">
        <v>1798</v>
      </c>
      <c r="O5175" s="20">
        <v>12</v>
      </c>
      <c r="P5175" s="20">
        <v>12</v>
      </c>
      <c r="Q5175" s="20">
        <v>3865.4877560869577</v>
      </c>
      <c r="R5175" s="21">
        <v>0.91500000000000004</v>
      </c>
      <c r="S5175" s="20">
        <v>3865.4877560869577</v>
      </c>
    </row>
    <row r="5176" spans="2:19" ht="15" customHeight="1" x14ac:dyDescent="0.25">
      <c r="B5176" s="2" t="str">
        <f t="shared" si="160"/>
        <v>PGL_Business_Commercial Food Service Program_Upstream Rebate_Energy Star Convection Oven_0_MF/CI/SMB</v>
      </c>
      <c r="C5176" s="2" t="str">
        <f t="shared" si="161"/>
        <v>PGL_Business_Commercial Food Service Program_Upstream Rebate_Energy Star Convection Oven_0_MF/CI/SMB_2025</v>
      </c>
      <c r="D5176" s="19" t="s">
        <v>1794</v>
      </c>
      <c r="E5176" s="19" t="s">
        <v>3</v>
      </c>
      <c r="F5176" s="19" t="s">
        <v>1444</v>
      </c>
      <c r="G5176" s="19" t="s">
        <v>1445</v>
      </c>
      <c r="H5176" s="19" t="s">
        <v>1168</v>
      </c>
      <c r="I5176" s="19">
        <v>0</v>
      </c>
      <c r="J5176" s="19" t="s">
        <v>243</v>
      </c>
      <c r="K5176" s="19" t="s">
        <v>662</v>
      </c>
      <c r="L5176" s="19">
        <v>2025</v>
      </c>
      <c r="M5176" s="20">
        <v>1</v>
      </c>
      <c r="N5176" s="19" t="s">
        <v>1798</v>
      </c>
      <c r="O5176" s="20">
        <v>15</v>
      </c>
      <c r="P5176" s="20">
        <v>15</v>
      </c>
      <c r="Q5176" s="20">
        <v>4831.8596951086975</v>
      </c>
      <c r="R5176" s="21">
        <v>0.91500000000000004</v>
      </c>
      <c r="S5176" s="20">
        <v>4831.8596951086975</v>
      </c>
    </row>
    <row r="5177" spans="2:19" ht="15" customHeight="1" x14ac:dyDescent="0.25">
      <c r="B5177" s="2" t="str">
        <f t="shared" si="160"/>
        <v>PGL_Business_Commercial Food Service Program_Upstream Rebate_Energy Star Conveyer Oven_0_CI</v>
      </c>
      <c r="C5177" s="2" t="str">
        <f t="shared" si="161"/>
        <v>PGL_Business_Commercial Food Service Program_Upstream Rebate_Energy Star Conveyer Oven_0_CI_2022</v>
      </c>
      <c r="D5177" s="19" t="s">
        <v>1794</v>
      </c>
      <c r="E5177" s="19" t="s">
        <v>3</v>
      </c>
      <c r="F5177" s="19" t="s">
        <v>1444</v>
      </c>
      <c r="G5177" s="19" t="s">
        <v>1445</v>
      </c>
      <c r="H5177" s="19" t="s">
        <v>1164</v>
      </c>
      <c r="I5177" s="19">
        <v>0</v>
      </c>
      <c r="J5177" s="19" t="s">
        <v>43</v>
      </c>
      <c r="K5177" s="19" t="s">
        <v>1159</v>
      </c>
      <c r="L5177" s="19">
        <v>2022</v>
      </c>
      <c r="M5177" s="20">
        <v>1</v>
      </c>
      <c r="N5177" s="19" t="s">
        <v>1798</v>
      </c>
      <c r="O5177" s="20">
        <v>1</v>
      </c>
      <c r="P5177" s="20">
        <v>1</v>
      </c>
      <c r="Q5177" s="20">
        <v>808.86</v>
      </c>
      <c r="R5177" s="21">
        <v>0.91500000000000004</v>
      </c>
      <c r="S5177" s="20">
        <v>808.86</v>
      </c>
    </row>
    <row r="5178" spans="2:19" ht="15" customHeight="1" x14ac:dyDescent="0.25">
      <c r="B5178" s="2" t="str">
        <f t="shared" si="160"/>
        <v>PGL_Business_Commercial Food Service Program_Upstream Rebate_Energy Star Conveyer Oven_0_CI</v>
      </c>
      <c r="C5178" s="2" t="str">
        <f t="shared" si="161"/>
        <v>PGL_Business_Commercial Food Service Program_Upstream Rebate_Energy Star Conveyer Oven_0_CI_2023</v>
      </c>
      <c r="D5178" s="19" t="s">
        <v>1794</v>
      </c>
      <c r="E5178" s="19" t="s">
        <v>3</v>
      </c>
      <c r="F5178" s="19" t="s">
        <v>1444</v>
      </c>
      <c r="G5178" s="19" t="s">
        <v>1445</v>
      </c>
      <c r="H5178" s="19" t="s">
        <v>1164</v>
      </c>
      <c r="I5178" s="19">
        <v>0</v>
      </c>
      <c r="J5178" s="19" t="s">
        <v>43</v>
      </c>
      <c r="K5178" s="19" t="s">
        <v>1159</v>
      </c>
      <c r="L5178" s="19">
        <v>2023</v>
      </c>
      <c r="M5178" s="20">
        <v>1</v>
      </c>
      <c r="N5178" s="19" t="s">
        <v>1798</v>
      </c>
      <c r="O5178" s="20">
        <v>2</v>
      </c>
      <c r="P5178" s="20">
        <v>2</v>
      </c>
      <c r="Q5178" s="20">
        <v>1617.72</v>
      </c>
      <c r="R5178" s="21">
        <v>0.91500000000000004</v>
      </c>
      <c r="S5178" s="20">
        <v>1617.72</v>
      </c>
    </row>
    <row r="5179" spans="2:19" ht="15" customHeight="1" x14ac:dyDescent="0.25">
      <c r="B5179" s="2" t="str">
        <f t="shared" si="160"/>
        <v>PGL_Business_Commercial Food Service Program_Upstream Rebate_Energy Star Conveyer Oven_0_CI</v>
      </c>
      <c r="C5179" s="2" t="str">
        <f t="shared" si="161"/>
        <v>PGL_Business_Commercial Food Service Program_Upstream Rebate_Energy Star Conveyer Oven_0_CI_2024</v>
      </c>
      <c r="D5179" s="19" t="s">
        <v>1794</v>
      </c>
      <c r="E5179" s="19" t="s">
        <v>3</v>
      </c>
      <c r="F5179" s="19" t="s">
        <v>1444</v>
      </c>
      <c r="G5179" s="19" t="s">
        <v>1445</v>
      </c>
      <c r="H5179" s="19" t="s">
        <v>1164</v>
      </c>
      <c r="I5179" s="19">
        <v>0</v>
      </c>
      <c r="J5179" s="19" t="s">
        <v>43</v>
      </c>
      <c r="K5179" s="19" t="s">
        <v>1159</v>
      </c>
      <c r="L5179" s="19">
        <v>2024</v>
      </c>
      <c r="M5179" s="20">
        <v>1</v>
      </c>
      <c r="N5179" s="19" t="s">
        <v>1798</v>
      </c>
      <c r="O5179" s="20">
        <v>3</v>
      </c>
      <c r="P5179" s="20">
        <v>3</v>
      </c>
      <c r="Q5179" s="20">
        <v>2426.58</v>
      </c>
      <c r="R5179" s="21">
        <v>0.91500000000000004</v>
      </c>
      <c r="S5179" s="20">
        <v>2426.58</v>
      </c>
    </row>
    <row r="5180" spans="2:19" ht="15" customHeight="1" x14ac:dyDescent="0.25">
      <c r="B5180" s="2" t="str">
        <f t="shared" si="160"/>
        <v>PGL_Business_Commercial Food Service Program_Upstream Rebate_Energy Star Conveyer Oven_0_CI</v>
      </c>
      <c r="C5180" s="2" t="str">
        <f t="shared" si="161"/>
        <v>PGL_Business_Commercial Food Service Program_Upstream Rebate_Energy Star Conveyer Oven_0_CI_2025</v>
      </c>
      <c r="D5180" s="19" t="s">
        <v>1794</v>
      </c>
      <c r="E5180" s="19" t="s">
        <v>3</v>
      </c>
      <c r="F5180" s="19" t="s">
        <v>1444</v>
      </c>
      <c r="G5180" s="19" t="s">
        <v>1445</v>
      </c>
      <c r="H5180" s="19" t="s">
        <v>1164</v>
      </c>
      <c r="I5180" s="19">
        <v>0</v>
      </c>
      <c r="J5180" s="19" t="s">
        <v>43</v>
      </c>
      <c r="K5180" s="19" t="s">
        <v>1159</v>
      </c>
      <c r="L5180" s="19">
        <v>2025</v>
      </c>
      <c r="M5180" s="20">
        <v>1</v>
      </c>
      <c r="N5180" s="19" t="s">
        <v>1798</v>
      </c>
      <c r="O5180" s="20">
        <v>4</v>
      </c>
      <c r="P5180" s="20">
        <v>4</v>
      </c>
      <c r="Q5180" s="20">
        <v>3235.44</v>
      </c>
      <c r="R5180" s="21">
        <v>0.91500000000000004</v>
      </c>
      <c r="S5180" s="20">
        <v>3235.44</v>
      </c>
    </row>
    <row r="5181" spans="2:19" ht="15" customHeight="1" x14ac:dyDescent="0.25">
      <c r="B5181" s="2" t="str">
        <f t="shared" si="160"/>
        <v>PGL_Business_Commercial Food Service Program_Upstream Rebate_Energy Star Fryer_0_CI</v>
      </c>
      <c r="C5181" s="2" t="str">
        <f t="shared" si="161"/>
        <v>PGL_Business_Commercial Food Service Program_Upstream Rebate_Energy Star Fryer_0_CI_2022</v>
      </c>
      <c r="D5181" s="19" t="s">
        <v>1794</v>
      </c>
      <c r="E5181" s="19" t="s">
        <v>3</v>
      </c>
      <c r="F5181" s="19" t="s">
        <v>1444</v>
      </c>
      <c r="G5181" s="19" t="s">
        <v>1445</v>
      </c>
      <c r="H5181" s="19" t="s">
        <v>1197</v>
      </c>
      <c r="I5181" s="19">
        <v>0</v>
      </c>
      <c r="J5181" s="19" t="s">
        <v>41</v>
      </c>
      <c r="K5181" s="19" t="s">
        <v>1159</v>
      </c>
      <c r="L5181" s="19">
        <v>2022</v>
      </c>
      <c r="M5181" s="20">
        <v>1</v>
      </c>
      <c r="N5181" s="19" t="s">
        <v>1798</v>
      </c>
      <c r="O5181" s="20">
        <v>28</v>
      </c>
      <c r="P5181" s="20">
        <v>28</v>
      </c>
      <c r="Q5181" s="20">
        <v>13012.351546153848</v>
      </c>
      <c r="R5181" s="21">
        <v>0.91500000000000004</v>
      </c>
      <c r="S5181" s="20">
        <v>13012.351546153848</v>
      </c>
    </row>
    <row r="5182" spans="2:19" ht="15" customHeight="1" x14ac:dyDescent="0.25">
      <c r="B5182" s="2" t="str">
        <f t="shared" si="160"/>
        <v>PGL_Business_Commercial Food Service Program_Upstream Rebate_Energy Star Fryer_0_CI</v>
      </c>
      <c r="C5182" s="2" t="str">
        <f t="shared" si="161"/>
        <v>PGL_Business_Commercial Food Service Program_Upstream Rebate_Energy Star Fryer_0_CI_2023</v>
      </c>
      <c r="D5182" s="19" t="s">
        <v>1794</v>
      </c>
      <c r="E5182" s="19" t="s">
        <v>3</v>
      </c>
      <c r="F5182" s="19" t="s">
        <v>1444</v>
      </c>
      <c r="G5182" s="19" t="s">
        <v>1445</v>
      </c>
      <c r="H5182" s="19" t="s">
        <v>1197</v>
      </c>
      <c r="I5182" s="19">
        <v>0</v>
      </c>
      <c r="J5182" s="19" t="s">
        <v>41</v>
      </c>
      <c r="K5182" s="19" t="s">
        <v>1159</v>
      </c>
      <c r="L5182" s="19">
        <v>2023</v>
      </c>
      <c r="M5182" s="20">
        <v>1</v>
      </c>
      <c r="N5182" s="19" t="s">
        <v>1798</v>
      </c>
      <c r="O5182" s="20">
        <v>36</v>
      </c>
      <c r="P5182" s="20">
        <v>36</v>
      </c>
      <c r="Q5182" s="20">
        <v>16730.166273626375</v>
      </c>
      <c r="R5182" s="21">
        <v>0.91500000000000004</v>
      </c>
      <c r="S5182" s="20">
        <v>16730.166273626375</v>
      </c>
    </row>
    <row r="5183" spans="2:19" ht="15" customHeight="1" x14ac:dyDescent="0.25">
      <c r="B5183" s="2" t="str">
        <f t="shared" si="160"/>
        <v>PGL_Business_Commercial Food Service Program_Upstream Rebate_Energy Star Fryer_0_CI</v>
      </c>
      <c r="C5183" s="2" t="str">
        <f t="shared" si="161"/>
        <v>PGL_Business_Commercial Food Service Program_Upstream Rebate_Energy Star Fryer_0_CI_2024</v>
      </c>
      <c r="D5183" s="19" t="s">
        <v>1794</v>
      </c>
      <c r="E5183" s="19" t="s">
        <v>3</v>
      </c>
      <c r="F5183" s="19" t="s">
        <v>1444</v>
      </c>
      <c r="G5183" s="19" t="s">
        <v>1445</v>
      </c>
      <c r="H5183" s="19" t="s">
        <v>1197</v>
      </c>
      <c r="I5183" s="19">
        <v>0</v>
      </c>
      <c r="J5183" s="19" t="s">
        <v>41</v>
      </c>
      <c r="K5183" s="19" t="s">
        <v>1159</v>
      </c>
      <c r="L5183" s="19">
        <v>2024</v>
      </c>
      <c r="M5183" s="20">
        <v>1</v>
      </c>
      <c r="N5183" s="19" t="s">
        <v>1798</v>
      </c>
      <c r="O5183" s="20">
        <v>48</v>
      </c>
      <c r="P5183" s="20">
        <v>48</v>
      </c>
      <c r="Q5183" s="20">
        <v>22306.888364835166</v>
      </c>
      <c r="R5183" s="21">
        <v>0.91500000000000004</v>
      </c>
      <c r="S5183" s="20">
        <v>22306.888364835166</v>
      </c>
    </row>
    <row r="5184" spans="2:19" ht="15" customHeight="1" x14ac:dyDescent="0.25">
      <c r="B5184" s="2" t="str">
        <f t="shared" si="160"/>
        <v>PGL_Business_Commercial Food Service Program_Upstream Rebate_Energy Star Fryer_0_CI</v>
      </c>
      <c r="C5184" s="2" t="str">
        <f t="shared" si="161"/>
        <v>PGL_Business_Commercial Food Service Program_Upstream Rebate_Energy Star Fryer_0_CI_2025</v>
      </c>
      <c r="D5184" s="19" t="s">
        <v>1794</v>
      </c>
      <c r="E5184" s="19" t="s">
        <v>3</v>
      </c>
      <c r="F5184" s="19" t="s">
        <v>1444</v>
      </c>
      <c r="G5184" s="19" t="s">
        <v>1445</v>
      </c>
      <c r="H5184" s="19" t="s">
        <v>1197</v>
      </c>
      <c r="I5184" s="19">
        <v>0</v>
      </c>
      <c r="J5184" s="19" t="s">
        <v>41</v>
      </c>
      <c r="K5184" s="19" t="s">
        <v>1159</v>
      </c>
      <c r="L5184" s="19">
        <v>2025</v>
      </c>
      <c r="M5184" s="20">
        <v>1</v>
      </c>
      <c r="N5184" s="19" t="s">
        <v>1798</v>
      </c>
      <c r="O5184" s="20">
        <v>62</v>
      </c>
      <c r="P5184" s="20">
        <v>62</v>
      </c>
      <c r="Q5184" s="20">
        <v>28813.06413791209</v>
      </c>
      <c r="R5184" s="21">
        <v>0.91500000000000004</v>
      </c>
      <c r="S5184" s="20">
        <v>28813.06413791209</v>
      </c>
    </row>
    <row r="5185" spans="2:19" ht="15" customHeight="1" x14ac:dyDescent="0.25">
      <c r="B5185" s="2" t="str">
        <f t="shared" si="160"/>
        <v>PGL_Business_Commercial Food Service Program_Upstream Rebate_Energy Star Steamer_3 Pans_CI</v>
      </c>
      <c r="C5185" s="2" t="str">
        <f t="shared" si="161"/>
        <v>PGL_Business_Commercial Food Service Program_Upstream Rebate_Energy Star Steamer_3 Pans_CI_2022</v>
      </c>
      <c r="D5185" s="19" t="s">
        <v>1794</v>
      </c>
      <c r="E5185" s="19" t="s">
        <v>3</v>
      </c>
      <c r="F5185" s="19" t="s">
        <v>1444</v>
      </c>
      <c r="G5185" s="19" t="s">
        <v>1445</v>
      </c>
      <c r="H5185" s="19" t="s">
        <v>1186</v>
      </c>
      <c r="I5185" s="19" t="s">
        <v>1187</v>
      </c>
      <c r="J5185" s="19" t="s">
        <v>39</v>
      </c>
      <c r="K5185" s="19" t="s">
        <v>1159</v>
      </c>
      <c r="L5185" s="19">
        <v>2022</v>
      </c>
      <c r="M5185" s="20">
        <v>1</v>
      </c>
      <c r="N5185" s="19" t="s">
        <v>1798</v>
      </c>
      <c r="O5185" s="20">
        <v>0</v>
      </c>
      <c r="P5185" s="20">
        <v>0</v>
      </c>
      <c r="Q5185" s="20">
        <v>0</v>
      </c>
      <c r="R5185" s="21">
        <v>0.91500000000000004</v>
      </c>
      <c r="S5185" s="20">
        <v>0</v>
      </c>
    </row>
    <row r="5186" spans="2:19" ht="15" customHeight="1" x14ac:dyDescent="0.25">
      <c r="B5186" s="2" t="str">
        <f t="shared" si="160"/>
        <v>PGL_Business_Commercial Food Service Program_Upstream Rebate_Energy Star Steamer_3 Pans_CI</v>
      </c>
      <c r="C5186" s="2" t="str">
        <f t="shared" si="161"/>
        <v>PGL_Business_Commercial Food Service Program_Upstream Rebate_Energy Star Steamer_3 Pans_CI_2023</v>
      </c>
      <c r="D5186" s="19" t="s">
        <v>1794</v>
      </c>
      <c r="E5186" s="19" t="s">
        <v>3</v>
      </c>
      <c r="F5186" s="19" t="s">
        <v>1444</v>
      </c>
      <c r="G5186" s="19" t="s">
        <v>1445</v>
      </c>
      <c r="H5186" s="19" t="s">
        <v>1186</v>
      </c>
      <c r="I5186" s="19" t="s">
        <v>1187</v>
      </c>
      <c r="J5186" s="19" t="s">
        <v>39</v>
      </c>
      <c r="K5186" s="19" t="s">
        <v>1159</v>
      </c>
      <c r="L5186" s="19">
        <v>2023</v>
      </c>
      <c r="M5186" s="20">
        <v>1</v>
      </c>
      <c r="N5186" s="19" t="s">
        <v>1798</v>
      </c>
      <c r="O5186" s="20">
        <v>0</v>
      </c>
      <c r="P5186" s="20">
        <v>0</v>
      </c>
      <c r="Q5186" s="20">
        <v>0</v>
      </c>
      <c r="R5186" s="21">
        <v>0.91500000000000004</v>
      </c>
      <c r="S5186" s="20">
        <v>0</v>
      </c>
    </row>
    <row r="5187" spans="2:19" ht="15" customHeight="1" x14ac:dyDescent="0.25">
      <c r="B5187" s="2" t="str">
        <f t="shared" si="160"/>
        <v>PGL_Business_Commercial Food Service Program_Upstream Rebate_Energy Star Steamer_3 Pans_CI</v>
      </c>
      <c r="C5187" s="2" t="str">
        <f t="shared" si="161"/>
        <v>PGL_Business_Commercial Food Service Program_Upstream Rebate_Energy Star Steamer_3 Pans_CI_2024</v>
      </c>
      <c r="D5187" s="19" t="s">
        <v>1794</v>
      </c>
      <c r="E5187" s="19" t="s">
        <v>3</v>
      </c>
      <c r="F5187" s="19" t="s">
        <v>1444</v>
      </c>
      <c r="G5187" s="19" t="s">
        <v>1445</v>
      </c>
      <c r="H5187" s="19" t="s">
        <v>1186</v>
      </c>
      <c r="I5187" s="19" t="s">
        <v>1187</v>
      </c>
      <c r="J5187" s="19" t="s">
        <v>39</v>
      </c>
      <c r="K5187" s="19" t="s">
        <v>1159</v>
      </c>
      <c r="L5187" s="19">
        <v>2024</v>
      </c>
      <c r="M5187" s="20">
        <v>1</v>
      </c>
      <c r="N5187" s="19" t="s">
        <v>1798</v>
      </c>
      <c r="O5187" s="20">
        <v>0</v>
      </c>
      <c r="P5187" s="20">
        <v>0</v>
      </c>
      <c r="Q5187" s="20">
        <v>0</v>
      </c>
      <c r="R5187" s="21">
        <v>0.91500000000000004</v>
      </c>
      <c r="S5187" s="20">
        <v>0</v>
      </c>
    </row>
    <row r="5188" spans="2:19" ht="15" customHeight="1" x14ac:dyDescent="0.25">
      <c r="B5188" s="2" t="str">
        <f t="shared" si="160"/>
        <v>PGL_Business_Commercial Food Service Program_Upstream Rebate_Energy Star Steamer_3 Pans_CI</v>
      </c>
      <c r="C5188" s="2" t="str">
        <f t="shared" si="161"/>
        <v>PGL_Business_Commercial Food Service Program_Upstream Rebate_Energy Star Steamer_3 Pans_CI_2025</v>
      </c>
      <c r="D5188" s="19" t="s">
        <v>1794</v>
      </c>
      <c r="E5188" s="19" t="s">
        <v>3</v>
      </c>
      <c r="F5188" s="19" t="s">
        <v>1444</v>
      </c>
      <c r="G5188" s="19" t="s">
        <v>1445</v>
      </c>
      <c r="H5188" s="19" t="s">
        <v>1186</v>
      </c>
      <c r="I5188" s="19" t="s">
        <v>1187</v>
      </c>
      <c r="J5188" s="19" t="s">
        <v>39</v>
      </c>
      <c r="K5188" s="19" t="s">
        <v>1159</v>
      </c>
      <c r="L5188" s="19">
        <v>2025</v>
      </c>
      <c r="M5188" s="20">
        <v>1</v>
      </c>
      <c r="N5188" s="19" t="s">
        <v>1798</v>
      </c>
      <c r="O5188" s="20">
        <v>0</v>
      </c>
      <c r="P5188" s="20">
        <v>0</v>
      </c>
      <c r="Q5188" s="20">
        <v>0</v>
      </c>
      <c r="R5188" s="21">
        <v>0.91500000000000004</v>
      </c>
      <c r="S5188" s="20">
        <v>0</v>
      </c>
    </row>
    <row r="5189" spans="2:19" ht="15" customHeight="1" x14ac:dyDescent="0.25">
      <c r="B5189" s="2" t="str">
        <f t="shared" si="160"/>
        <v>PGL_Business_Commercial Food Service Program_Upstream Rebate_Energy Star Steamer_4 Pans_CI</v>
      </c>
      <c r="C5189" s="2" t="str">
        <f t="shared" si="161"/>
        <v>PGL_Business_Commercial Food Service Program_Upstream Rebate_Energy Star Steamer_4 Pans_CI_2022</v>
      </c>
      <c r="D5189" s="19" t="s">
        <v>1794</v>
      </c>
      <c r="E5189" s="19" t="s">
        <v>3</v>
      </c>
      <c r="F5189" s="19" t="s">
        <v>1444</v>
      </c>
      <c r="G5189" s="19" t="s">
        <v>1445</v>
      </c>
      <c r="H5189" s="19" t="s">
        <v>1186</v>
      </c>
      <c r="I5189" s="19" t="s">
        <v>1189</v>
      </c>
      <c r="J5189" s="19" t="s">
        <v>39</v>
      </c>
      <c r="K5189" s="19" t="s">
        <v>1159</v>
      </c>
      <c r="L5189" s="19">
        <v>2022</v>
      </c>
      <c r="M5189" s="20">
        <v>1</v>
      </c>
      <c r="N5189" s="19" t="s">
        <v>1798</v>
      </c>
      <c r="O5189" s="20">
        <v>1</v>
      </c>
      <c r="P5189" s="20">
        <v>1</v>
      </c>
      <c r="Q5189" s="20">
        <v>921.64672359886447</v>
      </c>
      <c r="R5189" s="21">
        <v>0.91500000000000004</v>
      </c>
      <c r="S5189" s="20">
        <v>921.64672359886447</v>
      </c>
    </row>
    <row r="5190" spans="2:19" ht="15" customHeight="1" x14ac:dyDescent="0.25">
      <c r="B5190" s="2" t="str">
        <f t="shared" ref="B5190:B5253" si="162">D5190&amp;"_"&amp;E5190&amp;"_"&amp;F5190&amp;"_"&amp;G5190&amp;"_"&amp;H5190&amp;"_"&amp;I5190&amp;"_"&amp;K5190</f>
        <v>PGL_Business_Commercial Food Service Program_Upstream Rebate_Energy Star Steamer_4 Pans_CI</v>
      </c>
      <c r="C5190" s="2" t="str">
        <f t="shared" ref="C5190:C5253" si="163">D5190&amp;"_"&amp;E5190&amp;"_"&amp;F5190&amp;"_"&amp;G5190&amp;"_"&amp;H5190&amp;"_"&amp;I5190&amp;"_"&amp;K5190&amp;"_"&amp;L5190</f>
        <v>PGL_Business_Commercial Food Service Program_Upstream Rebate_Energy Star Steamer_4 Pans_CI_2023</v>
      </c>
      <c r="D5190" s="19" t="s">
        <v>1794</v>
      </c>
      <c r="E5190" s="19" t="s">
        <v>3</v>
      </c>
      <c r="F5190" s="19" t="s">
        <v>1444</v>
      </c>
      <c r="G5190" s="19" t="s">
        <v>1445</v>
      </c>
      <c r="H5190" s="19" t="s">
        <v>1186</v>
      </c>
      <c r="I5190" s="19" t="s">
        <v>1189</v>
      </c>
      <c r="J5190" s="19" t="s">
        <v>39</v>
      </c>
      <c r="K5190" s="19" t="s">
        <v>1159</v>
      </c>
      <c r="L5190" s="19">
        <v>2023</v>
      </c>
      <c r="M5190" s="20">
        <v>1</v>
      </c>
      <c r="N5190" s="19" t="s">
        <v>1798</v>
      </c>
      <c r="O5190" s="20">
        <v>1</v>
      </c>
      <c r="P5190" s="20">
        <v>1</v>
      </c>
      <c r="Q5190" s="20">
        <v>921.64672359886447</v>
      </c>
      <c r="R5190" s="21">
        <v>0.91500000000000004</v>
      </c>
      <c r="S5190" s="20">
        <v>921.64672359886447</v>
      </c>
    </row>
    <row r="5191" spans="2:19" ht="15" customHeight="1" x14ac:dyDescent="0.25">
      <c r="B5191" s="2" t="str">
        <f t="shared" si="162"/>
        <v>PGL_Business_Commercial Food Service Program_Upstream Rebate_Energy Star Steamer_4 Pans_CI</v>
      </c>
      <c r="C5191" s="2" t="str">
        <f t="shared" si="163"/>
        <v>PGL_Business_Commercial Food Service Program_Upstream Rebate_Energy Star Steamer_4 Pans_CI_2024</v>
      </c>
      <c r="D5191" s="19" t="s">
        <v>1794</v>
      </c>
      <c r="E5191" s="19" t="s">
        <v>3</v>
      </c>
      <c r="F5191" s="19" t="s">
        <v>1444</v>
      </c>
      <c r="G5191" s="19" t="s">
        <v>1445</v>
      </c>
      <c r="H5191" s="19" t="s">
        <v>1186</v>
      </c>
      <c r="I5191" s="19" t="s">
        <v>1189</v>
      </c>
      <c r="J5191" s="19" t="s">
        <v>39</v>
      </c>
      <c r="K5191" s="19" t="s">
        <v>1159</v>
      </c>
      <c r="L5191" s="19">
        <v>2024</v>
      </c>
      <c r="M5191" s="20">
        <v>1</v>
      </c>
      <c r="N5191" s="19" t="s">
        <v>1798</v>
      </c>
      <c r="O5191" s="20">
        <v>1</v>
      </c>
      <c r="P5191" s="20">
        <v>1</v>
      </c>
      <c r="Q5191" s="20">
        <v>921.64672359886447</v>
      </c>
      <c r="R5191" s="21">
        <v>0.91500000000000004</v>
      </c>
      <c r="S5191" s="20">
        <v>921.64672359886447</v>
      </c>
    </row>
    <row r="5192" spans="2:19" ht="15" customHeight="1" x14ac:dyDescent="0.25">
      <c r="B5192" s="2" t="str">
        <f t="shared" si="162"/>
        <v>PGL_Business_Commercial Food Service Program_Upstream Rebate_Energy Star Steamer_4 Pans_CI</v>
      </c>
      <c r="C5192" s="2" t="str">
        <f t="shared" si="163"/>
        <v>PGL_Business_Commercial Food Service Program_Upstream Rebate_Energy Star Steamer_4 Pans_CI_2025</v>
      </c>
      <c r="D5192" s="19" t="s">
        <v>1794</v>
      </c>
      <c r="E5192" s="19" t="s">
        <v>3</v>
      </c>
      <c r="F5192" s="19" t="s">
        <v>1444</v>
      </c>
      <c r="G5192" s="19" t="s">
        <v>1445</v>
      </c>
      <c r="H5192" s="19" t="s">
        <v>1186</v>
      </c>
      <c r="I5192" s="19" t="s">
        <v>1189</v>
      </c>
      <c r="J5192" s="19" t="s">
        <v>39</v>
      </c>
      <c r="K5192" s="19" t="s">
        <v>1159</v>
      </c>
      <c r="L5192" s="19">
        <v>2025</v>
      </c>
      <c r="M5192" s="20">
        <v>1</v>
      </c>
      <c r="N5192" s="19" t="s">
        <v>1798</v>
      </c>
      <c r="O5192" s="20">
        <v>1</v>
      </c>
      <c r="P5192" s="20">
        <v>1</v>
      </c>
      <c r="Q5192" s="20">
        <v>921.64672359886447</v>
      </c>
      <c r="R5192" s="21">
        <v>0.91500000000000004</v>
      </c>
      <c r="S5192" s="20">
        <v>921.64672359886447</v>
      </c>
    </row>
    <row r="5193" spans="2:19" ht="15" customHeight="1" x14ac:dyDescent="0.25">
      <c r="B5193" s="2" t="str">
        <f t="shared" si="162"/>
        <v>PGL_Business_Commercial Food Service Program_Upstream Rebate_Energy Star Steamer_5 Pans_CI</v>
      </c>
      <c r="C5193" s="2" t="str">
        <f t="shared" si="163"/>
        <v>PGL_Business_Commercial Food Service Program_Upstream Rebate_Energy Star Steamer_5 Pans_CI_2022</v>
      </c>
      <c r="D5193" s="19" t="s">
        <v>1794</v>
      </c>
      <c r="E5193" s="19" t="s">
        <v>3</v>
      </c>
      <c r="F5193" s="19" t="s">
        <v>1444</v>
      </c>
      <c r="G5193" s="19" t="s">
        <v>1445</v>
      </c>
      <c r="H5193" s="19" t="s">
        <v>1186</v>
      </c>
      <c r="I5193" s="19" t="s">
        <v>1193</v>
      </c>
      <c r="J5193" s="19" t="s">
        <v>39</v>
      </c>
      <c r="K5193" s="19" t="s">
        <v>1159</v>
      </c>
      <c r="L5193" s="19">
        <v>2022</v>
      </c>
      <c r="M5193" s="20">
        <v>1</v>
      </c>
      <c r="N5193" s="19" t="s">
        <v>1798</v>
      </c>
      <c r="O5193" s="20">
        <v>1</v>
      </c>
      <c r="P5193" s="20">
        <v>1</v>
      </c>
      <c r="Q5193" s="20">
        <v>1142.5339119207088</v>
      </c>
      <c r="R5193" s="21">
        <v>0.91500000000000004</v>
      </c>
      <c r="S5193" s="20">
        <v>1142.5339119207088</v>
      </c>
    </row>
    <row r="5194" spans="2:19" ht="15" customHeight="1" x14ac:dyDescent="0.25">
      <c r="B5194" s="2" t="str">
        <f t="shared" si="162"/>
        <v>PGL_Business_Commercial Food Service Program_Upstream Rebate_Energy Star Steamer_5 Pans_CI</v>
      </c>
      <c r="C5194" s="2" t="str">
        <f t="shared" si="163"/>
        <v>PGL_Business_Commercial Food Service Program_Upstream Rebate_Energy Star Steamer_5 Pans_CI_2023</v>
      </c>
      <c r="D5194" s="19" t="s">
        <v>1794</v>
      </c>
      <c r="E5194" s="19" t="s">
        <v>3</v>
      </c>
      <c r="F5194" s="19" t="s">
        <v>1444</v>
      </c>
      <c r="G5194" s="19" t="s">
        <v>1445</v>
      </c>
      <c r="H5194" s="19" t="s">
        <v>1186</v>
      </c>
      <c r="I5194" s="19" t="s">
        <v>1193</v>
      </c>
      <c r="J5194" s="19" t="s">
        <v>39</v>
      </c>
      <c r="K5194" s="19" t="s">
        <v>1159</v>
      </c>
      <c r="L5194" s="19">
        <v>2023</v>
      </c>
      <c r="M5194" s="20">
        <v>1</v>
      </c>
      <c r="N5194" s="19" t="s">
        <v>1798</v>
      </c>
      <c r="O5194" s="20">
        <v>1</v>
      </c>
      <c r="P5194" s="20">
        <v>1</v>
      </c>
      <c r="Q5194" s="20">
        <v>1142.5339119207088</v>
      </c>
      <c r="R5194" s="21">
        <v>0.91500000000000004</v>
      </c>
      <c r="S5194" s="20">
        <v>1142.5339119207088</v>
      </c>
    </row>
    <row r="5195" spans="2:19" ht="15" customHeight="1" x14ac:dyDescent="0.25">
      <c r="B5195" s="2" t="str">
        <f t="shared" si="162"/>
        <v>PGL_Business_Commercial Food Service Program_Upstream Rebate_Energy Star Steamer_5 Pans_CI</v>
      </c>
      <c r="C5195" s="2" t="str">
        <f t="shared" si="163"/>
        <v>PGL_Business_Commercial Food Service Program_Upstream Rebate_Energy Star Steamer_5 Pans_CI_2024</v>
      </c>
      <c r="D5195" s="19" t="s">
        <v>1794</v>
      </c>
      <c r="E5195" s="19" t="s">
        <v>3</v>
      </c>
      <c r="F5195" s="19" t="s">
        <v>1444</v>
      </c>
      <c r="G5195" s="19" t="s">
        <v>1445</v>
      </c>
      <c r="H5195" s="19" t="s">
        <v>1186</v>
      </c>
      <c r="I5195" s="19" t="s">
        <v>1193</v>
      </c>
      <c r="J5195" s="19" t="s">
        <v>39</v>
      </c>
      <c r="K5195" s="19" t="s">
        <v>1159</v>
      </c>
      <c r="L5195" s="19">
        <v>2024</v>
      </c>
      <c r="M5195" s="20">
        <v>1</v>
      </c>
      <c r="N5195" s="19" t="s">
        <v>1798</v>
      </c>
      <c r="O5195" s="20">
        <v>1</v>
      </c>
      <c r="P5195" s="20">
        <v>1</v>
      </c>
      <c r="Q5195" s="20">
        <v>1142.5339119207088</v>
      </c>
      <c r="R5195" s="21">
        <v>0.91500000000000004</v>
      </c>
      <c r="S5195" s="20">
        <v>1142.5339119207088</v>
      </c>
    </row>
    <row r="5196" spans="2:19" ht="15" customHeight="1" x14ac:dyDescent="0.25">
      <c r="B5196" s="2" t="str">
        <f t="shared" si="162"/>
        <v>PGL_Business_Commercial Food Service Program_Upstream Rebate_Energy Star Steamer_5 Pans_CI</v>
      </c>
      <c r="C5196" s="2" t="str">
        <f t="shared" si="163"/>
        <v>PGL_Business_Commercial Food Service Program_Upstream Rebate_Energy Star Steamer_5 Pans_CI_2025</v>
      </c>
      <c r="D5196" s="19" t="s">
        <v>1794</v>
      </c>
      <c r="E5196" s="19" t="s">
        <v>3</v>
      </c>
      <c r="F5196" s="19" t="s">
        <v>1444</v>
      </c>
      <c r="G5196" s="19" t="s">
        <v>1445</v>
      </c>
      <c r="H5196" s="19" t="s">
        <v>1186</v>
      </c>
      <c r="I5196" s="19" t="s">
        <v>1193</v>
      </c>
      <c r="J5196" s="19" t="s">
        <v>39</v>
      </c>
      <c r="K5196" s="19" t="s">
        <v>1159</v>
      </c>
      <c r="L5196" s="19">
        <v>2025</v>
      </c>
      <c r="M5196" s="20">
        <v>1</v>
      </c>
      <c r="N5196" s="19" t="s">
        <v>1798</v>
      </c>
      <c r="O5196" s="20">
        <v>1</v>
      </c>
      <c r="P5196" s="20">
        <v>1</v>
      </c>
      <c r="Q5196" s="20">
        <v>1142.5339119207088</v>
      </c>
      <c r="R5196" s="21">
        <v>0.91500000000000004</v>
      </c>
      <c r="S5196" s="20">
        <v>1142.5339119207088</v>
      </c>
    </row>
    <row r="5197" spans="2:19" ht="15" customHeight="1" x14ac:dyDescent="0.25">
      <c r="B5197" s="2" t="str">
        <f t="shared" si="162"/>
        <v>PGL_Business_Commercial Food Service Program_Upstream Rebate_Energy Star Steamer_6 Pans_CI</v>
      </c>
      <c r="C5197" s="2" t="str">
        <f t="shared" si="163"/>
        <v>PGL_Business_Commercial Food Service Program_Upstream Rebate_Energy Star Steamer_6 Pans_CI_2022</v>
      </c>
      <c r="D5197" s="19" t="s">
        <v>1794</v>
      </c>
      <c r="E5197" s="19" t="s">
        <v>3</v>
      </c>
      <c r="F5197" s="19" t="s">
        <v>1444</v>
      </c>
      <c r="G5197" s="19" t="s">
        <v>1445</v>
      </c>
      <c r="H5197" s="19" t="s">
        <v>1186</v>
      </c>
      <c r="I5197" s="19" t="s">
        <v>1195</v>
      </c>
      <c r="J5197" s="19" t="s">
        <v>39</v>
      </c>
      <c r="K5197" s="19" t="s">
        <v>1159</v>
      </c>
      <c r="L5197" s="19">
        <v>2022</v>
      </c>
      <c r="M5197" s="20">
        <v>1</v>
      </c>
      <c r="N5197" s="19" t="s">
        <v>1798</v>
      </c>
      <c r="O5197" s="20">
        <v>1</v>
      </c>
      <c r="P5197" s="20">
        <v>1</v>
      </c>
      <c r="Q5197" s="20">
        <v>1376.04968381809</v>
      </c>
      <c r="R5197" s="21">
        <v>0.91500000000000004</v>
      </c>
      <c r="S5197" s="20">
        <v>1376.04968381809</v>
      </c>
    </row>
    <row r="5198" spans="2:19" ht="15" customHeight="1" x14ac:dyDescent="0.25">
      <c r="B5198" s="2" t="str">
        <f t="shared" si="162"/>
        <v>PGL_Business_Commercial Food Service Program_Upstream Rebate_Energy Star Steamer_6 Pans_CI</v>
      </c>
      <c r="C5198" s="2" t="str">
        <f t="shared" si="163"/>
        <v>PGL_Business_Commercial Food Service Program_Upstream Rebate_Energy Star Steamer_6 Pans_CI_2023</v>
      </c>
      <c r="D5198" s="19" t="s">
        <v>1794</v>
      </c>
      <c r="E5198" s="19" t="s">
        <v>3</v>
      </c>
      <c r="F5198" s="19" t="s">
        <v>1444</v>
      </c>
      <c r="G5198" s="19" t="s">
        <v>1445</v>
      </c>
      <c r="H5198" s="19" t="s">
        <v>1186</v>
      </c>
      <c r="I5198" s="19" t="s">
        <v>1195</v>
      </c>
      <c r="J5198" s="19" t="s">
        <v>39</v>
      </c>
      <c r="K5198" s="19" t="s">
        <v>1159</v>
      </c>
      <c r="L5198" s="19">
        <v>2023</v>
      </c>
      <c r="M5198" s="20">
        <v>1</v>
      </c>
      <c r="N5198" s="19" t="s">
        <v>1798</v>
      </c>
      <c r="O5198" s="20">
        <v>2</v>
      </c>
      <c r="P5198" s="20">
        <v>2</v>
      </c>
      <c r="Q5198" s="20">
        <v>2752.09936763618</v>
      </c>
      <c r="R5198" s="21">
        <v>0.91500000000000004</v>
      </c>
      <c r="S5198" s="20">
        <v>2752.09936763618</v>
      </c>
    </row>
    <row r="5199" spans="2:19" ht="15" customHeight="1" x14ac:dyDescent="0.25">
      <c r="B5199" s="2" t="str">
        <f t="shared" si="162"/>
        <v>PGL_Business_Commercial Food Service Program_Upstream Rebate_Energy Star Steamer_6 Pans_CI</v>
      </c>
      <c r="C5199" s="2" t="str">
        <f t="shared" si="163"/>
        <v>PGL_Business_Commercial Food Service Program_Upstream Rebate_Energy Star Steamer_6 Pans_CI_2024</v>
      </c>
      <c r="D5199" s="19" t="s">
        <v>1794</v>
      </c>
      <c r="E5199" s="19" t="s">
        <v>3</v>
      </c>
      <c r="F5199" s="19" t="s">
        <v>1444</v>
      </c>
      <c r="G5199" s="19" t="s">
        <v>1445</v>
      </c>
      <c r="H5199" s="19" t="s">
        <v>1186</v>
      </c>
      <c r="I5199" s="19" t="s">
        <v>1195</v>
      </c>
      <c r="J5199" s="19" t="s">
        <v>39</v>
      </c>
      <c r="K5199" s="19" t="s">
        <v>1159</v>
      </c>
      <c r="L5199" s="19">
        <v>2024</v>
      </c>
      <c r="M5199" s="20">
        <v>1</v>
      </c>
      <c r="N5199" s="19" t="s">
        <v>1798</v>
      </c>
      <c r="O5199" s="20">
        <v>3</v>
      </c>
      <c r="P5199" s="20">
        <v>3</v>
      </c>
      <c r="Q5199" s="20">
        <v>4128.1490514542702</v>
      </c>
      <c r="R5199" s="21">
        <v>0.91500000000000004</v>
      </c>
      <c r="S5199" s="20">
        <v>4128.1490514542702</v>
      </c>
    </row>
    <row r="5200" spans="2:19" ht="15" customHeight="1" x14ac:dyDescent="0.25">
      <c r="B5200" s="2" t="str">
        <f t="shared" si="162"/>
        <v>PGL_Business_Commercial Food Service Program_Upstream Rebate_Energy Star Steamer_6 Pans_CI</v>
      </c>
      <c r="C5200" s="2" t="str">
        <f t="shared" si="163"/>
        <v>PGL_Business_Commercial Food Service Program_Upstream Rebate_Energy Star Steamer_6 Pans_CI_2025</v>
      </c>
      <c r="D5200" s="19" t="s">
        <v>1794</v>
      </c>
      <c r="E5200" s="19" t="s">
        <v>3</v>
      </c>
      <c r="F5200" s="19" t="s">
        <v>1444</v>
      </c>
      <c r="G5200" s="19" t="s">
        <v>1445</v>
      </c>
      <c r="H5200" s="19" t="s">
        <v>1186</v>
      </c>
      <c r="I5200" s="19" t="s">
        <v>1195</v>
      </c>
      <c r="J5200" s="19" t="s">
        <v>39</v>
      </c>
      <c r="K5200" s="19" t="s">
        <v>1159</v>
      </c>
      <c r="L5200" s="19">
        <v>2025</v>
      </c>
      <c r="M5200" s="20">
        <v>1</v>
      </c>
      <c r="N5200" s="19" t="s">
        <v>1798</v>
      </c>
      <c r="O5200" s="20">
        <v>4</v>
      </c>
      <c r="P5200" s="20">
        <v>4</v>
      </c>
      <c r="Q5200" s="20">
        <v>5504.19873527236</v>
      </c>
      <c r="R5200" s="21">
        <v>0.91500000000000004</v>
      </c>
      <c r="S5200" s="20">
        <v>5504.19873527236</v>
      </c>
    </row>
    <row r="5201" spans="2:19" ht="15" customHeight="1" x14ac:dyDescent="0.25">
      <c r="B5201" s="2" t="str">
        <f t="shared" si="162"/>
        <v>PGL_Business_Commercial Food Service Program_Upstream Rebate_ENERGY STAR Dishwasher_Single Tank Conveyor_CI</v>
      </c>
      <c r="C5201" s="2" t="str">
        <f t="shared" si="163"/>
        <v>PGL_Business_Commercial Food Service Program_Upstream Rebate_ENERGY STAR Dishwasher_Single Tank Conveyor_CI_2022</v>
      </c>
      <c r="D5201" s="19" t="s">
        <v>1794</v>
      </c>
      <c r="E5201" s="19" t="s">
        <v>3</v>
      </c>
      <c r="F5201" s="19" t="s">
        <v>1444</v>
      </c>
      <c r="G5201" s="19" t="s">
        <v>1445</v>
      </c>
      <c r="H5201" s="19" t="s">
        <v>9</v>
      </c>
      <c r="I5201" s="19" t="s">
        <v>1337</v>
      </c>
      <c r="J5201" s="19" t="s">
        <v>40</v>
      </c>
      <c r="K5201" s="19" t="s">
        <v>1159</v>
      </c>
      <c r="L5201" s="19">
        <v>2022</v>
      </c>
      <c r="M5201" s="20">
        <v>1</v>
      </c>
      <c r="N5201" s="19" t="s">
        <v>1798</v>
      </c>
      <c r="O5201" s="20">
        <v>2</v>
      </c>
      <c r="P5201" s="20">
        <v>2</v>
      </c>
      <c r="Q5201" s="20">
        <v>512.4</v>
      </c>
      <c r="R5201" s="21">
        <v>0.91500000000000004</v>
      </c>
      <c r="S5201" s="20">
        <v>512.4</v>
      </c>
    </row>
    <row r="5202" spans="2:19" ht="15" customHeight="1" x14ac:dyDescent="0.25">
      <c r="B5202" s="2" t="str">
        <f t="shared" si="162"/>
        <v>PGL_Business_Commercial Food Service Program_Upstream Rebate_ENERGY STAR Dishwasher_Single Tank Conveyor_CI</v>
      </c>
      <c r="C5202" s="2" t="str">
        <f t="shared" si="163"/>
        <v>PGL_Business_Commercial Food Service Program_Upstream Rebate_ENERGY STAR Dishwasher_Single Tank Conveyor_CI_2023</v>
      </c>
      <c r="D5202" s="19" t="s">
        <v>1794</v>
      </c>
      <c r="E5202" s="19" t="s">
        <v>3</v>
      </c>
      <c r="F5202" s="19" t="s">
        <v>1444</v>
      </c>
      <c r="G5202" s="19" t="s">
        <v>1445</v>
      </c>
      <c r="H5202" s="19" t="s">
        <v>9</v>
      </c>
      <c r="I5202" s="19" t="s">
        <v>1337</v>
      </c>
      <c r="J5202" s="19" t="s">
        <v>40</v>
      </c>
      <c r="K5202" s="19" t="s">
        <v>1159</v>
      </c>
      <c r="L5202" s="19">
        <v>2023</v>
      </c>
      <c r="M5202" s="20">
        <v>1</v>
      </c>
      <c r="N5202" s="19" t="s">
        <v>1798</v>
      </c>
      <c r="O5202" s="20">
        <v>3</v>
      </c>
      <c r="P5202" s="20">
        <v>3</v>
      </c>
      <c r="Q5202" s="20">
        <v>768.6</v>
      </c>
      <c r="R5202" s="21">
        <v>0.91500000000000004</v>
      </c>
      <c r="S5202" s="20">
        <v>768.6</v>
      </c>
    </row>
    <row r="5203" spans="2:19" ht="15" customHeight="1" x14ac:dyDescent="0.25">
      <c r="B5203" s="2" t="str">
        <f t="shared" si="162"/>
        <v>PGL_Business_Commercial Food Service Program_Upstream Rebate_ENERGY STAR Dishwasher_Single Tank Conveyor_CI</v>
      </c>
      <c r="C5203" s="2" t="str">
        <f t="shared" si="163"/>
        <v>PGL_Business_Commercial Food Service Program_Upstream Rebate_ENERGY STAR Dishwasher_Single Tank Conveyor_CI_2024</v>
      </c>
      <c r="D5203" s="19" t="s">
        <v>1794</v>
      </c>
      <c r="E5203" s="19" t="s">
        <v>3</v>
      </c>
      <c r="F5203" s="19" t="s">
        <v>1444</v>
      </c>
      <c r="G5203" s="19" t="s">
        <v>1445</v>
      </c>
      <c r="H5203" s="19" t="s">
        <v>9</v>
      </c>
      <c r="I5203" s="19" t="s">
        <v>1337</v>
      </c>
      <c r="J5203" s="19" t="s">
        <v>40</v>
      </c>
      <c r="K5203" s="19" t="s">
        <v>1159</v>
      </c>
      <c r="L5203" s="19">
        <v>2024</v>
      </c>
      <c r="M5203" s="20">
        <v>1</v>
      </c>
      <c r="N5203" s="19" t="s">
        <v>1798</v>
      </c>
      <c r="O5203" s="20">
        <v>4</v>
      </c>
      <c r="P5203" s="20">
        <v>4</v>
      </c>
      <c r="Q5203" s="20">
        <v>1024.8</v>
      </c>
      <c r="R5203" s="21">
        <v>0.91500000000000004</v>
      </c>
      <c r="S5203" s="20">
        <v>1024.8</v>
      </c>
    </row>
    <row r="5204" spans="2:19" ht="15" customHeight="1" x14ac:dyDescent="0.25">
      <c r="B5204" s="2" t="str">
        <f t="shared" si="162"/>
        <v>PGL_Business_Commercial Food Service Program_Upstream Rebate_ENERGY STAR Dishwasher_Single Tank Conveyor_CI</v>
      </c>
      <c r="C5204" s="2" t="str">
        <f t="shared" si="163"/>
        <v>PGL_Business_Commercial Food Service Program_Upstream Rebate_ENERGY STAR Dishwasher_Single Tank Conveyor_CI_2025</v>
      </c>
      <c r="D5204" s="19" t="s">
        <v>1794</v>
      </c>
      <c r="E5204" s="19" t="s">
        <v>3</v>
      </c>
      <c r="F5204" s="19" t="s">
        <v>1444</v>
      </c>
      <c r="G5204" s="19" t="s">
        <v>1445</v>
      </c>
      <c r="H5204" s="19" t="s">
        <v>9</v>
      </c>
      <c r="I5204" s="19" t="s">
        <v>1337</v>
      </c>
      <c r="J5204" s="19" t="s">
        <v>40</v>
      </c>
      <c r="K5204" s="19" t="s">
        <v>1159</v>
      </c>
      <c r="L5204" s="19">
        <v>2025</v>
      </c>
      <c r="M5204" s="20">
        <v>1</v>
      </c>
      <c r="N5204" s="19" t="s">
        <v>1798</v>
      </c>
      <c r="O5204" s="20">
        <v>5</v>
      </c>
      <c r="P5204" s="20">
        <v>5</v>
      </c>
      <c r="Q5204" s="20">
        <v>1281</v>
      </c>
      <c r="R5204" s="21">
        <v>0.91500000000000004</v>
      </c>
      <c r="S5204" s="20">
        <v>1281</v>
      </c>
    </row>
    <row r="5205" spans="2:19" ht="15" customHeight="1" x14ac:dyDescent="0.25">
      <c r="B5205" s="2" t="str">
        <f t="shared" si="162"/>
        <v>PGL_Business_Commercial Food Service Program_Upstream Rebate_ENERGY STAR Dishwasher_Multi Tank Conveyor_CI</v>
      </c>
      <c r="C5205" s="2" t="str">
        <f t="shared" si="163"/>
        <v>PGL_Business_Commercial Food Service Program_Upstream Rebate_ENERGY STAR Dishwasher_Multi Tank Conveyor_CI_2022</v>
      </c>
      <c r="D5205" s="19" t="s">
        <v>1794</v>
      </c>
      <c r="E5205" s="19" t="s">
        <v>3</v>
      </c>
      <c r="F5205" s="19" t="s">
        <v>1444</v>
      </c>
      <c r="G5205" s="19" t="s">
        <v>1445</v>
      </c>
      <c r="H5205" s="19" t="s">
        <v>9</v>
      </c>
      <c r="I5205" s="19" t="s">
        <v>1343</v>
      </c>
      <c r="J5205" s="19" t="s">
        <v>40</v>
      </c>
      <c r="K5205" s="19" t="s">
        <v>1159</v>
      </c>
      <c r="L5205" s="19">
        <v>2022</v>
      </c>
      <c r="M5205" s="20">
        <v>1</v>
      </c>
      <c r="N5205" s="19" t="s">
        <v>1798</v>
      </c>
      <c r="O5205" s="20">
        <v>2</v>
      </c>
      <c r="P5205" s="20">
        <v>2</v>
      </c>
      <c r="Q5205" s="20">
        <v>1947.1200000000001</v>
      </c>
      <c r="R5205" s="21">
        <v>0.91500000000000004</v>
      </c>
      <c r="S5205" s="20">
        <v>1947.1200000000001</v>
      </c>
    </row>
    <row r="5206" spans="2:19" ht="15" customHeight="1" x14ac:dyDescent="0.25">
      <c r="B5206" s="2" t="str">
        <f t="shared" si="162"/>
        <v>PGL_Business_Commercial Food Service Program_Upstream Rebate_ENERGY STAR Dishwasher_Multi Tank Conveyor_CI</v>
      </c>
      <c r="C5206" s="2" t="str">
        <f t="shared" si="163"/>
        <v>PGL_Business_Commercial Food Service Program_Upstream Rebate_ENERGY STAR Dishwasher_Multi Tank Conveyor_CI_2023</v>
      </c>
      <c r="D5206" s="19" t="s">
        <v>1794</v>
      </c>
      <c r="E5206" s="19" t="s">
        <v>3</v>
      </c>
      <c r="F5206" s="19" t="s">
        <v>1444</v>
      </c>
      <c r="G5206" s="19" t="s">
        <v>1445</v>
      </c>
      <c r="H5206" s="19" t="s">
        <v>9</v>
      </c>
      <c r="I5206" s="19" t="s">
        <v>1343</v>
      </c>
      <c r="J5206" s="19" t="s">
        <v>40</v>
      </c>
      <c r="K5206" s="19" t="s">
        <v>1159</v>
      </c>
      <c r="L5206" s="19">
        <v>2023</v>
      </c>
      <c r="M5206" s="20">
        <v>1</v>
      </c>
      <c r="N5206" s="19" t="s">
        <v>1798</v>
      </c>
      <c r="O5206" s="20">
        <v>3</v>
      </c>
      <c r="P5206" s="20">
        <v>3</v>
      </c>
      <c r="Q5206" s="20">
        <v>2920.6800000000003</v>
      </c>
      <c r="R5206" s="21">
        <v>0.91500000000000004</v>
      </c>
      <c r="S5206" s="20">
        <v>2920.6800000000003</v>
      </c>
    </row>
    <row r="5207" spans="2:19" ht="15" customHeight="1" x14ac:dyDescent="0.25">
      <c r="B5207" s="2" t="str">
        <f t="shared" si="162"/>
        <v>PGL_Business_Commercial Food Service Program_Upstream Rebate_ENERGY STAR Dishwasher_Multi Tank Conveyor_CI</v>
      </c>
      <c r="C5207" s="2" t="str">
        <f t="shared" si="163"/>
        <v>PGL_Business_Commercial Food Service Program_Upstream Rebate_ENERGY STAR Dishwasher_Multi Tank Conveyor_CI_2024</v>
      </c>
      <c r="D5207" s="19" t="s">
        <v>1794</v>
      </c>
      <c r="E5207" s="19" t="s">
        <v>3</v>
      </c>
      <c r="F5207" s="19" t="s">
        <v>1444</v>
      </c>
      <c r="G5207" s="19" t="s">
        <v>1445</v>
      </c>
      <c r="H5207" s="19" t="s">
        <v>9</v>
      </c>
      <c r="I5207" s="19" t="s">
        <v>1343</v>
      </c>
      <c r="J5207" s="19" t="s">
        <v>40</v>
      </c>
      <c r="K5207" s="19" t="s">
        <v>1159</v>
      </c>
      <c r="L5207" s="19">
        <v>2024</v>
      </c>
      <c r="M5207" s="20">
        <v>1</v>
      </c>
      <c r="N5207" s="19" t="s">
        <v>1798</v>
      </c>
      <c r="O5207" s="20">
        <v>4</v>
      </c>
      <c r="P5207" s="20">
        <v>4</v>
      </c>
      <c r="Q5207" s="20">
        <v>3894.2400000000002</v>
      </c>
      <c r="R5207" s="21">
        <v>0.91500000000000004</v>
      </c>
      <c r="S5207" s="20">
        <v>3894.2400000000002</v>
      </c>
    </row>
    <row r="5208" spans="2:19" ht="15" customHeight="1" x14ac:dyDescent="0.25">
      <c r="B5208" s="2" t="str">
        <f t="shared" si="162"/>
        <v>PGL_Business_Commercial Food Service Program_Upstream Rebate_ENERGY STAR Dishwasher_Multi Tank Conveyor_CI</v>
      </c>
      <c r="C5208" s="2" t="str">
        <f t="shared" si="163"/>
        <v>PGL_Business_Commercial Food Service Program_Upstream Rebate_ENERGY STAR Dishwasher_Multi Tank Conveyor_CI_2025</v>
      </c>
      <c r="D5208" s="19" t="s">
        <v>1794</v>
      </c>
      <c r="E5208" s="19" t="s">
        <v>3</v>
      </c>
      <c r="F5208" s="19" t="s">
        <v>1444</v>
      </c>
      <c r="G5208" s="19" t="s">
        <v>1445</v>
      </c>
      <c r="H5208" s="19" t="s">
        <v>9</v>
      </c>
      <c r="I5208" s="19" t="s">
        <v>1343</v>
      </c>
      <c r="J5208" s="19" t="s">
        <v>40</v>
      </c>
      <c r="K5208" s="19" t="s">
        <v>1159</v>
      </c>
      <c r="L5208" s="19">
        <v>2025</v>
      </c>
      <c r="M5208" s="20">
        <v>1</v>
      </c>
      <c r="N5208" s="19" t="s">
        <v>1798</v>
      </c>
      <c r="O5208" s="20">
        <v>5</v>
      </c>
      <c r="P5208" s="20">
        <v>5</v>
      </c>
      <c r="Q5208" s="20">
        <v>4867.8</v>
      </c>
      <c r="R5208" s="21">
        <v>0.91500000000000004</v>
      </c>
      <c r="S5208" s="20">
        <v>4867.8</v>
      </c>
    </row>
    <row r="5209" spans="2:19" ht="15" customHeight="1" x14ac:dyDescent="0.25">
      <c r="B5209" s="2" t="str">
        <f t="shared" si="162"/>
        <v>PGL_Business_Commercial Food Service Program_Upstream Rebate_ENERGY STAR Dishwasher_Stationary Single Tank_CI</v>
      </c>
      <c r="C5209" s="2" t="str">
        <f t="shared" si="163"/>
        <v>PGL_Business_Commercial Food Service Program_Upstream Rebate_ENERGY STAR Dishwasher_Stationary Single Tank_CI_2022</v>
      </c>
      <c r="D5209" s="19" t="s">
        <v>1794</v>
      </c>
      <c r="E5209" s="19" t="s">
        <v>3</v>
      </c>
      <c r="F5209" s="19" t="s">
        <v>1444</v>
      </c>
      <c r="G5209" s="19" t="s">
        <v>1445</v>
      </c>
      <c r="H5209" s="19" t="s">
        <v>9</v>
      </c>
      <c r="I5209" s="19" t="s">
        <v>1340</v>
      </c>
      <c r="J5209" s="19" t="s">
        <v>40</v>
      </c>
      <c r="K5209" s="19" t="s">
        <v>1159</v>
      </c>
      <c r="L5209" s="19">
        <v>2022</v>
      </c>
      <c r="M5209" s="20">
        <v>1</v>
      </c>
      <c r="N5209" s="19" t="s">
        <v>1798</v>
      </c>
      <c r="O5209" s="20">
        <v>2</v>
      </c>
      <c r="P5209" s="20">
        <v>2</v>
      </c>
      <c r="Q5209" s="20">
        <v>845.46</v>
      </c>
      <c r="R5209" s="21">
        <v>0.91500000000000004</v>
      </c>
      <c r="S5209" s="20">
        <v>845.46</v>
      </c>
    </row>
    <row r="5210" spans="2:19" ht="15" customHeight="1" x14ac:dyDescent="0.25">
      <c r="B5210" s="2" t="str">
        <f t="shared" si="162"/>
        <v>PGL_Business_Commercial Food Service Program_Upstream Rebate_ENERGY STAR Dishwasher_Stationary Single Tank_CI</v>
      </c>
      <c r="C5210" s="2" t="str">
        <f t="shared" si="163"/>
        <v>PGL_Business_Commercial Food Service Program_Upstream Rebate_ENERGY STAR Dishwasher_Stationary Single Tank_CI_2023</v>
      </c>
      <c r="D5210" s="19" t="s">
        <v>1794</v>
      </c>
      <c r="E5210" s="19" t="s">
        <v>3</v>
      </c>
      <c r="F5210" s="19" t="s">
        <v>1444</v>
      </c>
      <c r="G5210" s="19" t="s">
        <v>1445</v>
      </c>
      <c r="H5210" s="19" t="s">
        <v>9</v>
      </c>
      <c r="I5210" s="19" t="s">
        <v>1340</v>
      </c>
      <c r="J5210" s="19" t="s">
        <v>40</v>
      </c>
      <c r="K5210" s="19" t="s">
        <v>1159</v>
      </c>
      <c r="L5210" s="19">
        <v>2023</v>
      </c>
      <c r="M5210" s="20">
        <v>1</v>
      </c>
      <c r="N5210" s="19" t="s">
        <v>1798</v>
      </c>
      <c r="O5210" s="20">
        <v>3</v>
      </c>
      <c r="P5210" s="20">
        <v>3</v>
      </c>
      <c r="Q5210" s="20">
        <v>1268.19</v>
      </c>
      <c r="R5210" s="21">
        <v>0.91500000000000004</v>
      </c>
      <c r="S5210" s="20">
        <v>1268.19</v>
      </c>
    </row>
    <row r="5211" spans="2:19" ht="15" customHeight="1" x14ac:dyDescent="0.25">
      <c r="B5211" s="2" t="str">
        <f t="shared" si="162"/>
        <v>PGL_Business_Commercial Food Service Program_Upstream Rebate_ENERGY STAR Dishwasher_Stationary Single Tank_CI</v>
      </c>
      <c r="C5211" s="2" t="str">
        <f t="shared" si="163"/>
        <v>PGL_Business_Commercial Food Service Program_Upstream Rebate_ENERGY STAR Dishwasher_Stationary Single Tank_CI_2024</v>
      </c>
      <c r="D5211" s="19" t="s">
        <v>1794</v>
      </c>
      <c r="E5211" s="19" t="s">
        <v>3</v>
      </c>
      <c r="F5211" s="19" t="s">
        <v>1444</v>
      </c>
      <c r="G5211" s="19" t="s">
        <v>1445</v>
      </c>
      <c r="H5211" s="19" t="s">
        <v>9</v>
      </c>
      <c r="I5211" s="19" t="s">
        <v>1340</v>
      </c>
      <c r="J5211" s="19" t="s">
        <v>40</v>
      </c>
      <c r="K5211" s="19" t="s">
        <v>1159</v>
      </c>
      <c r="L5211" s="19">
        <v>2024</v>
      </c>
      <c r="M5211" s="20">
        <v>1</v>
      </c>
      <c r="N5211" s="19" t="s">
        <v>1798</v>
      </c>
      <c r="O5211" s="20">
        <v>4</v>
      </c>
      <c r="P5211" s="20">
        <v>4</v>
      </c>
      <c r="Q5211" s="20">
        <v>1690.92</v>
      </c>
      <c r="R5211" s="21">
        <v>0.91500000000000004</v>
      </c>
      <c r="S5211" s="20">
        <v>1690.92</v>
      </c>
    </row>
    <row r="5212" spans="2:19" ht="15" customHeight="1" x14ac:dyDescent="0.25">
      <c r="B5212" s="2" t="str">
        <f t="shared" si="162"/>
        <v>PGL_Business_Commercial Food Service Program_Upstream Rebate_ENERGY STAR Dishwasher_Stationary Single Tank_CI</v>
      </c>
      <c r="C5212" s="2" t="str">
        <f t="shared" si="163"/>
        <v>PGL_Business_Commercial Food Service Program_Upstream Rebate_ENERGY STAR Dishwasher_Stationary Single Tank_CI_2025</v>
      </c>
      <c r="D5212" s="19" t="s">
        <v>1794</v>
      </c>
      <c r="E5212" s="19" t="s">
        <v>3</v>
      </c>
      <c r="F5212" s="19" t="s">
        <v>1444</v>
      </c>
      <c r="G5212" s="19" t="s">
        <v>1445</v>
      </c>
      <c r="H5212" s="19" t="s">
        <v>9</v>
      </c>
      <c r="I5212" s="19" t="s">
        <v>1340</v>
      </c>
      <c r="J5212" s="19" t="s">
        <v>40</v>
      </c>
      <c r="K5212" s="19" t="s">
        <v>1159</v>
      </c>
      <c r="L5212" s="19">
        <v>2025</v>
      </c>
      <c r="M5212" s="20">
        <v>1</v>
      </c>
      <c r="N5212" s="19" t="s">
        <v>1798</v>
      </c>
      <c r="O5212" s="20">
        <v>5</v>
      </c>
      <c r="P5212" s="20">
        <v>5</v>
      </c>
      <c r="Q5212" s="20">
        <v>2113.65</v>
      </c>
      <c r="R5212" s="21">
        <v>0.91500000000000004</v>
      </c>
      <c r="S5212" s="20">
        <v>2113.65</v>
      </c>
    </row>
    <row r="5213" spans="2:19" ht="15" customHeight="1" x14ac:dyDescent="0.25">
      <c r="B5213" s="2" t="str">
        <f t="shared" si="162"/>
        <v>PGL_Business_Commercial Food Service Program_Upstream Rebate_ENERGY STAR Dishwasher_0_MF/CI/SMB</v>
      </c>
      <c r="C5213" s="2" t="str">
        <f t="shared" si="163"/>
        <v>PGL_Business_Commercial Food Service Program_Upstream Rebate_ENERGY STAR Dishwasher_0_MF/CI/SMB_2022</v>
      </c>
      <c r="D5213" s="19" t="s">
        <v>1794</v>
      </c>
      <c r="E5213" s="19" t="s">
        <v>3</v>
      </c>
      <c r="F5213" s="19" t="s">
        <v>1444</v>
      </c>
      <c r="G5213" s="19" t="s">
        <v>1445</v>
      </c>
      <c r="H5213" s="19" t="s">
        <v>9</v>
      </c>
      <c r="I5213" s="19">
        <v>0</v>
      </c>
      <c r="J5213" s="19" t="s">
        <v>40</v>
      </c>
      <c r="K5213" s="19" t="s">
        <v>662</v>
      </c>
      <c r="L5213" s="19">
        <v>2022</v>
      </c>
      <c r="M5213" s="20">
        <v>1</v>
      </c>
      <c r="N5213" s="19" t="s">
        <v>1798</v>
      </c>
      <c r="O5213" s="20">
        <v>2</v>
      </c>
      <c r="P5213" s="20">
        <v>2</v>
      </c>
      <c r="Q5213" s="20">
        <v>193.98000000000002</v>
      </c>
      <c r="R5213" s="21">
        <v>0.91500000000000004</v>
      </c>
      <c r="S5213" s="20">
        <v>193.98000000000002</v>
      </c>
    </row>
    <row r="5214" spans="2:19" ht="15" customHeight="1" x14ac:dyDescent="0.25">
      <c r="B5214" s="2" t="str">
        <f t="shared" si="162"/>
        <v>PGL_Business_Commercial Food Service Program_Upstream Rebate_ENERGY STAR Dishwasher_0_MF/CI/SMB</v>
      </c>
      <c r="C5214" s="2" t="str">
        <f t="shared" si="163"/>
        <v>PGL_Business_Commercial Food Service Program_Upstream Rebate_ENERGY STAR Dishwasher_0_MF/CI/SMB_2023</v>
      </c>
      <c r="D5214" s="19" t="s">
        <v>1794</v>
      </c>
      <c r="E5214" s="19" t="s">
        <v>3</v>
      </c>
      <c r="F5214" s="19" t="s">
        <v>1444</v>
      </c>
      <c r="G5214" s="19" t="s">
        <v>1445</v>
      </c>
      <c r="H5214" s="19" t="s">
        <v>9</v>
      </c>
      <c r="I5214" s="19">
        <v>0</v>
      </c>
      <c r="J5214" s="19" t="s">
        <v>40</v>
      </c>
      <c r="K5214" s="19" t="s">
        <v>662</v>
      </c>
      <c r="L5214" s="19">
        <v>2023</v>
      </c>
      <c r="M5214" s="20">
        <v>1</v>
      </c>
      <c r="N5214" s="19" t="s">
        <v>1798</v>
      </c>
      <c r="O5214" s="20">
        <v>3</v>
      </c>
      <c r="P5214" s="20">
        <v>3</v>
      </c>
      <c r="Q5214" s="20">
        <v>290.97000000000003</v>
      </c>
      <c r="R5214" s="21">
        <v>0.91500000000000004</v>
      </c>
      <c r="S5214" s="20">
        <v>290.97000000000003</v>
      </c>
    </row>
    <row r="5215" spans="2:19" ht="15" customHeight="1" x14ac:dyDescent="0.25">
      <c r="B5215" s="2" t="str">
        <f t="shared" si="162"/>
        <v>PGL_Business_Commercial Food Service Program_Upstream Rebate_ENERGY STAR Dishwasher_0_MF/CI/SMB</v>
      </c>
      <c r="C5215" s="2" t="str">
        <f t="shared" si="163"/>
        <v>PGL_Business_Commercial Food Service Program_Upstream Rebate_ENERGY STAR Dishwasher_0_MF/CI/SMB_2024</v>
      </c>
      <c r="D5215" s="19" t="s">
        <v>1794</v>
      </c>
      <c r="E5215" s="19" t="s">
        <v>3</v>
      </c>
      <c r="F5215" s="19" t="s">
        <v>1444</v>
      </c>
      <c r="G5215" s="19" t="s">
        <v>1445</v>
      </c>
      <c r="H5215" s="19" t="s">
        <v>9</v>
      </c>
      <c r="I5215" s="19">
        <v>0</v>
      </c>
      <c r="J5215" s="19" t="s">
        <v>40</v>
      </c>
      <c r="K5215" s="19" t="s">
        <v>662</v>
      </c>
      <c r="L5215" s="19">
        <v>2024</v>
      </c>
      <c r="M5215" s="20">
        <v>1</v>
      </c>
      <c r="N5215" s="19" t="s">
        <v>1798</v>
      </c>
      <c r="O5215" s="20">
        <v>4</v>
      </c>
      <c r="P5215" s="20">
        <v>4</v>
      </c>
      <c r="Q5215" s="20">
        <v>387.96000000000004</v>
      </c>
      <c r="R5215" s="21">
        <v>0.91500000000000004</v>
      </c>
      <c r="S5215" s="20">
        <v>387.96000000000004</v>
      </c>
    </row>
    <row r="5216" spans="2:19" ht="15" customHeight="1" x14ac:dyDescent="0.25">
      <c r="B5216" s="2" t="str">
        <f t="shared" si="162"/>
        <v>PGL_Business_Commercial Food Service Program_Upstream Rebate_ENERGY STAR Dishwasher_0_MF/CI/SMB</v>
      </c>
      <c r="C5216" s="2" t="str">
        <f t="shared" si="163"/>
        <v>PGL_Business_Commercial Food Service Program_Upstream Rebate_ENERGY STAR Dishwasher_0_MF/CI/SMB_2025</v>
      </c>
      <c r="D5216" s="19" t="s">
        <v>1794</v>
      </c>
      <c r="E5216" s="19" t="s">
        <v>3</v>
      </c>
      <c r="F5216" s="19" t="s">
        <v>1444</v>
      </c>
      <c r="G5216" s="19" t="s">
        <v>1445</v>
      </c>
      <c r="H5216" s="19" t="s">
        <v>9</v>
      </c>
      <c r="I5216" s="19">
        <v>0</v>
      </c>
      <c r="J5216" s="19" t="s">
        <v>40</v>
      </c>
      <c r="K5216" s="19" t="s">
        <v>662</v>
      </c>
      <c r="L5216" s="19">
        <v>2025</v>
      </c>
      <c r="M5216" s="20">
        <v>1</v>
      </c>
      <c r="N5216" s="19" t="s">
        <v>1798</v>
      </c>
      <c r="O5216" s="20">
        <v>5</v>
      </c>
      <c r="P5216" s="20">
        <v>5</v>
      </c>
      <c r="Q5216" s="20">
        <v>484.95000000000005</v>
      </c>
      <c r="R5216" s="21">
        <v>0.91500000000000004</v>
      </c>
      <c r="S5216" s="20">
        <v>484.95000000000005</v>
      </c>
    </row>
    <row r="5217" spans="2:19" ht="15" customHeight="1" x14ac:dyDescent="0.25">
      <c r="B5217" s="2" t="str">
        <f t="shared" si="162"/>
        <v>PGL_Business_Commercial Food Service Program_Upstream Rebate_Heat Recovery Grease Trap Filter_0_CI</v>
      </c>
      <c r="C5217" s="2" t="str">
        <f t="shared" si="163"/>
        <v>PGL_Business_Commercial Food Service Program_Upstream Rebate_Heat Recovery Grease Trap Filter_0_CI_2022</v>
      </c>
      <c r="D5217" s="19" t="s">
        <v>1794</v>
      </c>
      <c r="E5217" s="19" t="s">
        <v>3</v>
      </c>
      <c r="F5217" s="19" t="s">
        <v>1444</v>
      </c>
      <c r="G5217" s="19" t="s">
        <v>1445</v>
      </c>
      <c r="H5217" s="19" t="s">
        <v>17</v>
      </c>
      <c r="I5217" s="19">
        <v>0</v>
      </c>
      <c r="J5217" s="19" t="s">
        <v>38</v>
      </c>
      <c r="K5217" s="19" t="s">
        <v>1159</v>
      </c>
      <c r="L5217" s="19">
        <v>2022</v>
      </c>
      <c r="M5217" s="20">
        <v>1</v>
      </c>
      <c r="N5217" s="19" t="s">
        <v>1798</v>
      </c>
      <c r="O5217" s="20">
        <v>0</v>
      </c>
      <c r="P5217" s="20">
        <v>0</v>
      </c>
      <c r="Q5217" s="20">
        <v>0</v>
      </c>
      <c r="R5217" s="21">
        <v>0.91500000000000004</v>
      </c>
      <c r="S5217" s="20">
        <v>0</v>
      </c>
    </row>
    <row r="5218" spans="2:19" ht="15" customHeight="1" x14ac:dyDescent="0.25">
      <c r="B5218" s="2" t="str">
        <f t="shared" si="162"/>
        <v>PGL_Business_Commercial Food Service Program_Upstream Rebate_Heat Recovery Grease Trap Filter_0_CI</v>
      </c>
      <c r="C5218" s="2" t="str">
        <f t="shared" si="163"/>
        <v>PGL_Business_Commercial Food Service Program_Upstream Rebate_Heat Recovery Grease Trap Filter_0_CI_2023</v>
      </c>
      <c r="D5218" s="19" t="s">
        <v>1794</v>
      </c>
      <c r="E5218" s="19" t="s">
        <v>3</v>
      </c>
      <c r="F5218" s="19" t="s">
        <v>1444</v>
      </c>
      <c r="G5218" s="19" t="s">
        <v>1445</v>
      </c>
      <c r="H5218" s="19" t="s">
        <v>17</v>
      </c>
      <c r="I5218" s="19">
        <v>0</v>
      </c>
      <c r="J5218" s="19" t="s">
        <v>38</v>
      </c>
      <c r="K5218" s="19" t="s">
        <v>1159</v>
      </c>
      <c r="L5218" s="19">
        <v>2023</v>
      </c>
      <c r="M5218" s="20">
        <v>1</v>
      </c>
      <c r="N5218" s="19" t="s">
        <v>1798</v>
      </c>
      <c r="O5218" s="20">
        <v>0</v>
      </c>
      <c r="P5218" s="20">
        <v>0</v>
      </c>
      <c r="Q5218" s="20">
        <v>0</v>
      </c>
      <c r="R5218" s="21">
        <v>0.91500000000000004</v>
      </c>
      <c r="S5218" s="20">
        <v>0</v>
      </c>
    </row>
    <row r="5219" spans="2:19" ht="15" customHeight="1" x14ac:dyDescent="0.25">
      <c r="B5219" s="2" t="str">
        <f t="shared" si="162"/>
        <v>PGL_Business_Commercial Food Service Program_Upstream Rebate_Heat Recovery Grease Trap Filter_0_CI</v>
      </c>
      <c r="C5219" s="2" t="str">
        <f t="shared" si="163"/>
        <v>PGL_Business_Commercial Food Service Program_Upstream Rebate_Heat Recovery Grease Trap Filter_0_CI_2024</v>
      </c>
      <c r="D5219" s="19" t="s">
        <v>1794</v>
      </c>
      <c r="E5219" s="19" t="s">
        <v>3</v>
      </c>
      <c r="F5219" s="19" t="s">
        <v>1444</v>
      </c>
      <c r="G5219" s="19" t="s">
        <v>1445</v>
      </c>
      <c r="H5219" s="19" t="s">
        <v>17</v>
      </c>
      <c r="I5219" s="19">
        <v>0</v>
      </c>
      <c r="J5219" s="19" t="s">
        <v>38</v>
      </c>
      <c r="K5219" s="19" t="s">
        <v>1159</v>
      </c>
      <c r="L5219" s="19">
        <v>2024</v>
      </c>
      <c r="M5219" s="20">
        <v>1</v>
      </c>
      <c r="N5219" s="19" t="s">
        <v>1798</v>
      </c>
      <c r="O5219" s="20">
        <v>0</v>
      </c>
      <c r="P5219" s="20">
        <v>0</v>
      </c>
      <c r="Q5219" s="20">
        <v>0</v>
      </c>
      <c r="R5219" s="21">
        <v>0.91500000000000004</v>
      </c>
      <c r="S5219" s="20">
        <v>0</v>
      </c>
    </row>
    <row r="5220" spans="2:19" ht="15" customHeight="1" x14ac:dyDescent="0.25">
      <c r="B5220" s="2" t="str">
        <f t="shared" si="162"/>
        <v>PGL_Business_Commercial Food Service Program_Upstream Rebate_Heat Recovery Grease Trap Filter_0_CI</v>
      </c>
      <c r="C5220" s="2" t="str">
        <f t="shared" si="163"/>
        <v>PGL_Business_Commercial Food Service Program_Upstream Rebate_Heat Recovery Grease Trap Filter_0_CI_2025</v>
      </c>
      <c r="D5220" s="19" t="s">
        <v>1794</v>
      </c>
      <c r="E5220" s="19" t="s">
        <v>3</v>
      </c>
      <c r="F5220" s="19" t="s">
        <v>1444</v>
      </c>
      <c r="G5220" s="19" t="s">
        <v>1445</v>
      </c>
      <c r="H5220" s="19" t="s">
        <v>17</v>
      </c>
      <c r="I5220" s="19">
        <v>0</v>
      </c>
      <c r="J5220" s="19" t="s">
        <v>38</v>
      </c>
      <c r="K5220" s="19" t="s">
        <v>1159</v>
      </c>
      <c r="L5220" s="19">
        <v>2025</v>
      </c>
      <c r="M5220" s="20">
        <v>1</v>
      </c>
      <c r="N5220" s="19" t="s">
        <v>1798</v>
      </c>
      <c r="O5220" s="20">
        <v>0</v>
      </c>
      <c r="P5220" s="20">
        <v>0</v>
      </c>
      <c r="Q5220" s="20">
        <v>0</v>
      </c>
      <c r="R5220" s="21">
        <v>0.91500000000000004</v>
      </c>
      <c r="S5220" s="20">
        <v>0</v>
      </c>
    </row>
    <row r="5221" spans="2:19" ht="15" customHeight="1" x14ac:dyDescent="0.25">
      <c r="B5221" s="2" t="str">
        <f t="shared" si="162"/>
        <v>PGL_Business_Commercial Food Service Program_Upstream Rebate_Infrared Charbroiler_0_CI</v>
      </c>
      <c r="C5221" s="2" t="str">
        <f t="shared" si="163"/>
        <v>PGL_Business_Commercial Food Service Program_Upstream Rebate_Infrared Charbroiler_0_CI_2022</v>
      </c>
      <c r="D5221" s="19" t="s">
        <v>1794</v>
      </c>
      <c r="E5221" s="19" t="s">
        <v>3</v>
      </c>
      <c r="F5221" s="19" t="s">
        <v>1444</v>
      </c>
      <c r="G5221" s="19" t="s">
        <v>1445</v>
      </c>
      <c r="H5221" s="19" t="s">
        <v>18</v>
      </c>
      <c r="I5221" s="19">
        <v>0</v>
      </c>
      <c r="J5221" s="19" t="s">
        <v>44</v>
      </c>
      <c r="K5221" s="19" t="s">
        <v>1159</v>
      </c>
      <c r="L5221" s="19">
        <v>2022</v>
      </c>
      <c r="M5221" s="20">
        <v>1</v>
      </c>
      <c r="N5221" s="19" t="s">
        <v>1798</v>
      </c>
      <c r="O5221" s="20">
        <v>1</v>
      </c>
      <c r="P5221" s="20">
        <v>1</v>
      </c>
      <c r="Q5221" s="20">
        <v>646.61220000000003</v>
      </c>
      <c r="R5221" s="21">
        <v>0.91500000000000004</v>
      </c>
      <c r="S5221" s="20">
        <v>646.61220000000003</v>
      </c>
    </row>
    <row r="5222" spans="2:19" ht="15" customHeight="1" x14ac:dyDescent="0.25">
      <c r="B5222" s="2" t="str">
        <f t="shared" si="162"/>
        <v>PGL_Business_Commercial Food Service Program_Upstream Rebate_Infrared Charbroiler_0_CI</v>
      </c>
      <c r="C5222" s="2" t="str">
        <f t="shared" si="163"/>
        <v>PGL_Business_Commercial Food Service Program_Upstream Rebate_Infrared Charbroiler_0_CI_2023</v>
      </c>
      <c r="D5222" s="19" t="s">
        <v>1794</v>
      </c>
      <c r="E5222" s="19" t="s">
        <v>3</v>
      </c>
      <c r="F5222" s="19" t="s">
        <v>1444</v>
      </c>
      <c r="G5222" s="19" t="s">
        <v>1445</v>
      </c>
      <c r="H5222" s="19" t="s">
        <v>18</v>
      </c>
      <c r="I5222" s="19">
        <v>0</v>
      </c>
      <c r="J5222" s="19" t="s">
        <v>44</v>
      </c>
      <c r="K5222" s="19" t="s">
        <v>1159</v>
      </c>
      <c r="L5222" s="19">
        <v>2023</v>
      </c>
      <c r="M5222" s="20">
        <v>1</v>
      </c>
      <c r="N5222" s="19" t="s">
        <v>1798</v>
      </c>
      <c r="O5222" s="20">
        <v>2</v>
      </c>
      <c r="P5222" s="20">
        <v>2</v>
      </c>
      <c r="Q5222" s="20">
        <v>1293.2244000000001</v>
      </c>
      <c r="R5222" s="21">
        <v>0.91500000000000004</v>
      </c>
      <c r="S5222" s="20">
        <v>1293.2244000000001</v>
      </c>
    </row>
    <row r="5223" spans="2:19" ht="15" customHeight="1" x14ac:dyDescent="0.25">
      <c r="B5223" s="2" t="str">
        <f t="shared" si="162"/>
        <v>PGL_Business_Commercial Food Service Program_Upstream Rebate_Infrared Charbroiler_0_CI</v>
      </c>
      <c r="C5223" s="2" t="str">
        <f t="shared" si="163"/>
        <v>PGL_Business_Commercial Food Service Program_Upstream Rebate_Infrared Charbroiler_0_CI_2024</v>
      </c>
      <c r="D5223" s="19" t="s">
        <v>1794</v>
      </c>
      <c r="E5223" s="19" t="s">
        <v>3</v>
      </c>
      <c r="F5223" s="19" t="s">
        <v>1444</v>
      </c>
      <c r="G5223" s="19" t="s">
        <v>1445</v>
      </c>
      <c r="H5223" s="19" t="s">
        <v>18</v>
      </c>
      <c r="I5223" s="19">
        <v>0</v>
      </c>
      <c r="J5223" s="19" t="s">
        <v>44</v>
      </c>
      <c r="K5223" s="19" t="s">
        <v>1159</v>
      </c>
      <c r="L5223" s="19">
        <v>2024</v>
      </c>
      <c r="M5223" s="20">
        <v>1</v>
      </c>
      <c r="N5223" s="19" t="s">
        <v>1798</v>
      </c>
      <c r="O5223" s="20">
        <v>3</v>
      </c>
      <c r="P5223" s="20">
        <v>3</v>
      </c>
      <c r="Q5223" s="20">
        <v>1939.8366000000001</v>
      </c>
      <c r="R5223" s="21">
        <v>0.91500000000000004</v>
      </c>
      <c r="S5223" s="20">
        <v>1939.8366000000001</v>
      </c>
    </row>
    <row r="5224" spans="2:19" ht="15" customHeight="1" x14ac:dyDescent="0.25">
      <c r="B5224" s="2" t="str">
        <f t="shared" si="162"/>
        <v>PGL_Business_Commercial Food Service Program_Upstream Rebate_Infrared Charbroiler_0_CI</v>
      </c>
      <c r="C5224" s="2" t="str">
        <f t="shared" si="163"/>
        <v>PGL_Business_Commercial Food Service Program_Upstream Rebate_Infrared Charbroiler_0_CI_2025</v>
      </c>
      <c r="D5224" s="19" t="s">
        <v>1794</v>
      </c>
      <c r="E5224" s="19" t="s">
        <v>3</v>
      </c>
      <c r="F5224" s="19" t="s">
        <v>1444</v>
      </c>
      <c r="G5224" s="19" t="s">
        <v>1445</v>
      </c>
      <c r="H5224" s="19" t="s">
        <v>18</v>
      </c>
      <c r="I5224" s="19">
        <v>0</v>
      </c>
      <c r="J5224" s="19" t="s">
        <v>44</v>
      </c>
      <c r="K5224" s="19" t="s">
        <v>1159</v>
      </c>
      <c r="L5224" s="19">
        <v>2025</v>
      </c>
      <c r="M5224" s="20">
        <v>1</v>
      </c>
      <c r="N5224" s="19" t="s">
        <v>1798</v>
      </c>
      <c r="O5224" s="20">
        <v>4</v>
      </c>
      <c r="P5224" s="20">
        <v>4</v>
      </c>
      <c r="Q5224" s="20">
        <v>2586.4488000000001</v>
      </c>
      <c r="R5224" s="21">
        <v>0.91500000000000004</v>
      </c>
      <c r="S5224" s="20">
        <v>2586.4488000000001</v>
      </c>
    </row>
    <row r="5225" spans="2:19" ht="15" customHeight="1" x14ac:dyDescent="0.25">
      <c r="B5225" s="2" t="str">
        <f t="shared" si="162"/>
        <v>PGL_Business_Commercial Food Service Program_Upstream Rebate_Infrared Rotisserie Oven_0_CI</v>
      </c>
      <c r="C5225" s="2" t="str">
        <f t="shared" si="163"/>
        <v>PGL_Business_Commercial Food Service Program_Upstream Rebate_Infrared Rotisserie Oven_0_CI_2022</v>
      </c>
      <c r="D5225" s="19" t="s">
        <v>1794</v>
      </c>
      <c r="E5225" s="19" t="s">
        <v>3</v>
      </c>
      <c r="F5225" s="19" t="s">
        <v>1444</v>
      </c>
      <c r="G5225" s="19" t="s">
        <v>1445</v>
      </c>
      <c r="H5225" s="19" t="s">
        <v>19</v>
      </c>
      <c r="I5225" s="19">
        <v>0</v>
      </c>
      <c r="J5225" s="19" t="s">
        <v>45</v>
      </c>
      <c r="K5225" s="19" t="s">
        <v>1159</v>
      </c>
      <c r="L5225" s="19">
        <v>2022</v>
      </c>
      <c r="M5225" s="20">
        <v>1</v>
      </c>
      <c r="N5225" s="19" t="s">
        <v>1798</v>
      </c>
      <c r="O5225" s="20">
        <v>1</v>
      </c>
      <c r="P5225" s="20">
        <v>1</v>
      </c>
      <c r="Q5225" s="20">
        <v>548.12159999999994</v>
      </c>
      <c r="R5225" s="21">
        <v>0.91500000000000004</v>
      </c>
      <c r="S5225" s="20">
        <v>548.12159999999994</v>
      </c>
    </row>
    <row r="5226" spans="2:19" ht="15" customHeight="1" x14ac:dyDescent="0.25">
      <c r="B5226" s="2" t="str">
        <f t="shared" si="162"/>
        <v>PGL_Business_Commercial Food Service Program_Upstream Rebate_Infrared Rotisserie Oven_0_CI</v>
      </c>
      <c r="C5226" s="2" t="str">
        <f t="shared" si="163"/>
        <v>PGL_Business_Commercial Food Service Program_Upstream Rebate_Infrared Rotisserie Oven_0_CI_2023</v>
      </c>
      <c r="D5226" s="19" t="s">
        <v>1794</v>
      </c>
      <c r="E5226" s="19" t="s">
        <v>3</v>
      </c>
      <c r="F5226" s="19" t="s">
        <v>1444</v>
      </c>
      <c r="G5226" s="19" t="s">
        <v>1445</v>
      </c>
      <c r="H5226" s="19" t="s">
        <v>19</v>
      </c>
      <c r="I5226" s="19">
        <v>0</v>
      </c>
      <c r="J5226" s="19" t="s">
        <v>45</v>
      </c>
      <c r="K5226" s="19" t="s">
        <v>1159</v>
      </c>
      <c r="L5226" s="19">
        <v>2023</v>
      </c>
      <c r="M5226" s="20">
        <v>1</v>
      </c>
      <c r="N5226" s="19" t="s">
        <v>1798</v>
      </c>
      <c r="O5226" s="20">
        <v>2</v>
      </c>
      <c r="P5226" s="20">
        <v>2</v>
      </c>
      <c r="Q5226" s="20">
        <v>1096.2431999999999</v>
      </c>
      <c r="R5226" s="21">
        <v>0.91500000000000004</v>
      </c>
      <c r="S5226" s="20">
        <v>1096.2431999999999</v>
      </c>
    </row>
    <row r="5227" spans="2:19" ht="15" customHeight="1" x14ac:dyDescent="0.25">
      <c r="B5227" s="2" t="str">
        <f t="shared" si="162"/>
        <v>PGL_Business_Commercial Food Service Program_Upstream Rebate_Infrared Rotisserie Oven_0_CI</v>
      </c>
      <c r="C5227" s="2" t="str">
        <f t="shared" si="163"/>
        <v>PGL_Business_Commercial Food Service Program_Upstream Rebate_Infrared Rotisserie Oven_0_CI_2024</v>
      </c>
      <c r="D5227" s="19" t="s">
        <v>1794</v>
      </c>
      <c r="E5227" s="19" t="s">
        <v>3</v>
      </c>
      <c r="F5227" s="19" t="s">
        <v>1444</v>
      </c>
      <c r="G5227" s="19" t="s">
        <v>1445</v>
      </c>
      <c r="H5227" s="19" t="s">
        <v>19</v>
      </c>
      <c r="I5227" s="19">
        <v>0</v>
      </c>
      <c r="J5227" s="19" t="s">
        <v>45</v>
      </c>
      <c r="K5227" s="19" t="s">
        <v>1159</v>
      </c>
      <c r="L5227" s="19">
        <v>2024</v>
      </c>
      <c r="M5227" s="20">
        <v>1</v>
      </c>
      <c r="N5227" s="19" t="s">
        <v>1798</v>
      </c>
      <c r="O5227" s="20">
        <v>3</v>
      </c>
      <c r="P5227" s="20">
        <v>3</v>
      </c>
      <c r="Q5227" s="20">
        <v>1644.3648000000001</v>
      </c>
      <c r="R5227" s="21">
        <v>0.91500000000000004</v>
      </c>
      <c r="S5227" s="20">
        <v>1644.3648000000001</v>
      </c>
    </row>
    <row r="5228" spans="2:19" ht="15" customHeight="1" x14ac:dyDescent="0.25">
      <c r="B5228" s="2" t="str">
        <f t="shared" si="162"/>
        <v>PGL_Business_Commercial Food Service Program_Upstream Rebate_Infrared Rotisserie Oven_0_CI</v>
      </c>
      <c r="C5228" s="2" t="str">
        <f t="shared" si="163"/>
        <v>PGL_Business_Commercial Food Service Program_Upstream Rebate_Infrared Rotisserie Oven_0_CI_2025</v>
      </c>
      <c r="D5228" s="19" t="s">
        <v>1794</v>
      </c>
      <c r="E5228" s="19" t="s">
        <v>3</v>
      </c>
      <c r="F5228" s="19" t="s">
        <v>1444</v>
      </c>
      <c r="G5228" s="19" t="s">
        <v>1445</v>
      </c>
      <c r="H5228" s="19" t="s">
        <v>19</v>
      </c>
      <c r="I5228" s="19">
        <v>0</v>
      </c>
      <c r="J5228" s="19" t="s">
        <v>45</v>
      </c>
      <c r="K5228" s="19" t="s">
        <v>1159</v>
      </c>
      <c r="L5228" s="19">
        <v>2025</v>
      </c>
      <c r="M5228" s="20">
        <v>1</v>
      </c>
      <c r="N5228" s="19" t="s">
        <v>1798</v>
      </c>
      <c r="O5228" s="20">
        <v>4</v>
      </c>
      <c r="P5228" s="20">
        <v>4</v>
      </c>
      <c r="Q5228" s="20">
        <v>2192.4863999999998</v>
      </c>
      <c r="R5228" s="21">
        <v>0.91500000000000004</v>
      </c>
      <c r="S5228" s="20">
        <v>2192.4863999999998</v>
      </c>
    </row>
    <row r="5229" spans="2:19" ht="15" customHeight="1" x14ac:dyDescent="0.25">
      <c r="B5229" s="2" t="str">
        <f t="shared" si="162"/>
        <v>PGL_Business_Commercial Food Service Program_Upstream Rebate_Infrared Salamander Broiler_0_CI</v>
      </c>
      <c r="C5229" s="2" t="str">
        <f t="shared" si="163"/>
        <v>PGL_Business_Commercial Food Service Program_Upstream Rebate_Infrared Salamander Broiler_0_CI_2022</v>
      </c>
      <c r="D5229" s="19" t="s">
        <v>1794</v>
      </c>
      <c r="E5229" s="19" t="s">
        <v>3</v>
      </c>
      <c r="F5229" s="19" t="s">
        <v>1444</v>
      </c>
      <c r="G5229" s="19" t="s">
        <v>1445</v>
      </c>
      <c r="H5229" s="19" t="s">
        <v>20</v>
      </c>
      <c r="I5229" s="19">
        <v>0</v>
      </c>
      <c r="J5229" s="19" t="s">
        <v>46</v>
      </c>
      <c r="K5229" s="19" t="s">
        <v>1159</v>
      </c>
      <c r="L5229" s="19">
        <v>2022</v>
      </c>
      <c r="M5229" s="20">
        <v>1</v>
      </c>
      <c r="N5229" s="19" t="s">
        <v>1798</v>
      </c>
      <c r="O5229" s="20">
        <v>3</v>
      </c>
      <c r="P5229" s="20">
        <v>3</v>
      </c>
      <c r="Q5229" s="20">
        <v>659.4588</v>
      </c>
      <c r="R5229" s="21">
        <v>0.91500000000000004</v>
      </c>
      <c r="S5229" s="20">
        <v>659.4588</v>
      </c>
    </row>
    <row r="5230" spans="2:19" ht="15" customHeight="1" x14ac:dyDescent="0.25">
      <c r="B5230" s="2" t="str">
        <f t="shared" si="162"/>
        <v>PGL_Business_Commercial Food Service Program_Upstream Rebate_Infrared Salamander Broiler_0_CI</v>
      </c>
      <c r="C5230" s="2" t="str">
        <f t="shared" si="163"/>
        <v>PGL_Business_Commercial Food Service Program_Upstream Rebate_Infrared Salamander Broiler_0_CI_2023</v>
      </c>
      <c r="D5230" s="19" t="s">
        <v>1794</v>
      </c>
      <c r="E5230" s="19" t="s">
        <v>3</v>
      </c>
      <c r="F5230" s="19" t="s">
        <v>1444</v>
      </c>
      <c r="G5230" s="19" t="s">
        <v>1445</v>
      </c>
      <c r="H5230" s="19" t="s">
        <v>20</v>
      </c>
      <c r="I5230" s="19">
        <v>0</v>
      </c>
      <c r="J5230" s="19" t="s">
        <v>46</v>
      </c>
      <c r="K5230" s="19" t="s">
        <v>1159</v>
      </c>
      <c r="L5230" s="19">
        <v>2023</v>
      </c>
      <c r="M5230" s="20">
        <v>1</v>
      </c>
      <c r="N5230" s="19" t="s">
        <v>1798</v>
      </c>
      <c r="O5230" s="20">
        <v>4</v>
      </c>
      <c r="P5230" s="20">
        <v>4</v>
      </c>
      <c r="Q5230" s="20">
        <v>879.27840000000003</v>
      </c>
      <c r="R5230" s="21">
        <v>0.91500000000000004</v>
      </c>
      <c r="S5230" s="20">
        <v>879.27840000000003</v>
      </c>
    </row>
    <row r="5231" spans="2:19" ht="15" customHeight="1" x14ac:dyDescent="0.25">
      <c r="B5231" s="2" t="str">
        <f t="shared" si="162"/>
        <v>PGL_Business_Commercial Food Service Program_Upstream Rebate_Infrared Salamander Broiler_0_CI</v>
      </c>
      <c r="C5231" s="2" t="str">
        <f t="shared" si="163"/>
        <v>PGL_Business_Commercial Food Service Program_Upstream Rebate_Infrared Salamander Broiler_0_CI_2024</v>
      </c>
      <c r="D5231" s="19" t="s">
        <v>1794</v>
      </c>
      <c r="E5231" s="19" t="s">
        <v>3</v>
      </c>
      <c r="F5231" s="19" t="s">
        <v>1444</v>
      </c>
      <c r="G5231" s="19" t="s">
        <v>1445</v>
      </c>
      <c r="H5231" s="19" t="s">
        <v>20</v>
      </c>
      <c r="I5231" s="19">
        <v>0</v>
      </c>
      <c r="J5231" s="19" t="s">
        <v>46</v>
      </c>
      <c r="K5231" s="19" t="s">
        <v>1159</v>
      </c>
      <c r="L5231" s="19">
        <v>2024</v>
      </c>
      <c r="M5231" s="20">
        <v>1</v>
      </c>
      <c r="N5231" s="19" t="s">
        <v>1798</v>
      </c>
      <c r="O5231" s="20">
        <v>5</v>
      </c>
      <c r="P5231" s="20">
        <v>5</v>
      </c>
      <c r="Q5231" s="20">
        <v>1099.0980000000002</v>
      </c>
      <c r="R5231" s="21">
        <v>0.91500000000000004</v>
      </c>
      <c r="S5231" s="20">
        <v>1099.0980000000002</v>
      </c>
    </row>
    <row r="5232" spans="2:19" ht="15" customHeight="1" x14ac:dyDescent="0.25">
      <c r="B5232" s="2" t="str">
        <f t="shared" si="162"/>
        <v>PGL_Business_Commercial Food Service Program_Upstream Rebate_Infrared Salamander Broiler_0_CI</v>
      </c>
      <c r="C5232" s="2" t="str">
        <f t="shared" si="163"/>
        <v>PGL_Business_Commercial Food Service Program_Upstream Rebate_Infrared Salamander Broiler_0_CI_2025</v>
      </c>
      <c r="D5232" s="19" t="s">
        <v>1794</v>
      </c>
      <c r="E5232" s="19" t="s">
        <v>3</v>
      </c>
      <c r="F5232" s="19" t="s">
        <v>1444</v>
      </c>
      <c r="G5232" s="19" t="s">
        <v>1445</v>
      </c>
      <c r="H5232" s="19" t="s">
        <v>20</v>
      </c>
      <c r="I5232" s="19">
        <v>0</v>
      </c>
      <c r="J5232" s="19" t="s">
        <v>46</v>
      </c>
      <c r="K5232" s="19" t="s">
        <v>1159</v>
      </c>
      <c r="L5232" s="19">
        <v>2025</v>
      </c>
      <c r="M5232" s="20">
        <v>1</v>
      </c>
      <c r="N5232" s="19" t="s">
        <v>1798</v>
      </c>
      <c r="O5232" s="20">
        <v>6</v>
      </c>
      <c r="P5232" s="20">
        <v>6</v>
      </c>
      <c r="Q5232" s="20">
        <v>1318.9176</v>
      </c>
      <c r="R5232" s="21">
        <v>0.91500000000000004</v>
      </c>
      <c r="S5232" s="20">
        <v>1318.9176</v>
      </c>
    </row>
    <row r="5233" spans="2:19" ht="15" customHeight="1" x14ac:dyDescent="0.25">
      <c r="B5233" s="2" t="str">
        <f t="shared" si="162"/>
        <v>PGL_Business_Commercial Food Service Program_Upstream Rebate_Infrared Upright Broiler_0_CI</v>
      </c>
      <c r="C5233" s="2" t="str">
        <f t="shared" si="163"/>
        <v>PGL_Business_Commercial Food Service Program_Upstream Rebate_Infrared Upright Broiler_0_CI_2022</v>
      </c>
      <c r="D5233" s="19" t="s">
        <v>1794</v>
      </c>
      <c r="E5233" s="19" t="s">
        <v>3</v>
      </c>
      <c r="F5233" s="19" t="s">
        <v>1444</v>
      </c>
      <c r="G5233" s="19" t="s">
        <v>1445</v>
      </c>
      <c r="H5233" s="19" t="s">
        <v>21</v>
      </c>
      <c r="I5233" s="19">
        <v>0</v>
      </c>
      <c r="J5233" s="19" t="s">
        <v>47</v>
      </c>
      <c r="K5233" s="19" t="s">
        <v>1159</v>
      </c>
      <c r="L5233" s="19">
        <v>2022</v>
      </c>
      <c r="M5233" s="20">
        <v>1</v>
      </c>
      <c r="N5233" s="19" t="s">
        <v>1798</v>
      </c>
      <c r="O5233" s="20">
        <v>1</v>
      </c>
      <c r="P5233" s="20">
        <v>1</v>
      </c>
      <c r="Q5233" s="20">
        <v>863.29152000000011</v>
      </c>
      <c r="R5233" s="21">
        <v>0.91500000000000004</v>
      </c>
      <c r="S5233" s="20">
        <v>863.29152000000011</v>
      </c>
    </row>
    <row r="5234" spans="2:19" ht="15" customHeight="1" x14ac:dyDescent="0.25">
      <c r="B5234" s="2" t="str">
        <f t="shared" si="162"/>
        <v>PGL_Business_Commercial Food Service Program_Upstream Rebate_Infrared Upright Broiler_0_CI</v>
      </c>
      <c r="C5234" s="2" t="str">
        <f t="shared" si="163"/>
        <v>PGL_Business_Commercial Food Service Program_Upstream Rebate_Infrared Upright Broiler_0_CI_2023</v>
      </c>
      <c r="D5234" s="19" t="s">
        <v>1794</v>
      </c>
      <c r="E5234" s="19" t="s">
        <v>3</v>
      </c>
      <c r="F5234" s="19" t="s">
        <v>1444</v>
      </c>
      <c r="G5234" s="19" t="s">
        <v>1445</v>
      </c>
      <c r="H5234" s="19" t="s">
        <v>21</v>
      </c>
      <c r="I5234" s="19">
        <v>0</v>
      </c>
      <c r="J5234" s="19" t="s">
        <v>47</v>
      </c>
      <c r="K5234" s="19" t="s">
        <v>1159</v>
      </c>
      <c r="L5234" s="19">
        <v>2023</v>
      </c>
      <c r="M5234" s="20">
        <v>1</v>
      </c>
      <c r="N5234" s="19" t="s">
        <v>1798</v>
      </c>
      <c r="O5234" s="20">
        <v>1</v>
      </c>
      <c r="P5234" s="20">
        <v>1</v>
      </c>
      <c r="Q5234" s="20">
        <v>863.29152000000011</v>
      </c>
      <c r="R5234" s="21">
        <v>0.91500000000000004</v>
      </c>
      <c r="S5234" s="20">
        <v>863.29152000000011</v>
      </c>
    </row>
    <row r="5235" spans="2:19" ht="15" customHeight="1" x14ac:dyDescent="0.25">
      <c r="B5235" s="2" t="str">
        <f t="shared" si="162"/>
        <v>PGL_Business_Commercial Food Service Program_Upstream Rebate_Infrared Upright Broiler_0_CI</v>
      </c>
      <c r="C5235" s="2" t="str">
        <f t="shared" si="163"/>
        <v>PGL_Business_Commercial Food Service Program_Upstream Rebate_Infrared Upright Broiler_0_CI_2024</v>
      </c>
      <c r="D5235" s="19" t="s">
        <v>1794</v>
      </c>
      <c r="E5235" s="19" t="s">
        <v>3</v>
      </c>
      <c r="F5235" s="19" t="s">
        <v>1444</v>
      </c>
      <c r="G5235" s="19" t="s">
        <v>1445</v>
      </c>
      <c r="H5235" s="19" t="s">
        <v>21</v>
      </c>
      <c r="I5235" s="19">
        <v>0</v>
      </c>
      <c r="J5235" s="19" t="s">
        <v>47</v>
      </c>
      <c r="K5235" s="19" t="s">
        <v>1159</v>
      </c>
      <c r="L5235" s="19">
        <v>2024</v>
      </c>
      <c r="M5235" s="20">
        <v>1</v>
      </c>
      <c r="N5235" s="19" t="s">
        <v>1798</v>
      </c>
      <c r="O5235" s="20">
        <v>1</v>
      </c>
      <c r="P5235" s="20">
        <v>1</v>
      </c>
      <c r="Q5235" s="20">
        <v>863.29152000000011</v>
      </c>
      <c r="R5235" s="21">
        <v>0.91500000000000004</v>
      </c>
      <c r="S5235" s="20">
        <v>863.29152000000011</v>
      </c>
    </row>
    <row r="5236" spans="2:19" ht="15" customHeight="1" x14ac:dyDescent="0.25">
      <c r="B5236" s="2" t="str">
        <f t="shared" si="162"/>
        <v>PGL_Business_Commercial Food Service Program_Upstream Rebate_Infrared Upright Broiler_0_CI</v>
      </c>
      <c r="C5236" s="2" t="str">
        <f t="shared" si="163"/>
        <v>PGL_Business_Commercial Food Service Program_Upstream Rebate_Infrared Upright Broiler_0_CI_2025</v>
      </c>
      <c r="D5236" s="19" t="s">
        <v>1794</v>
      </c>
      <c r="E5236" s="19" t="s">
        <v>3</v>
      </c>
      <c r="F5236" s="19" t="s">
        <v>1444</v>
      </c>
      <c r="G5236" s="19" t="s">
        <v>1445</v>
      </c>
      <c r="H5236" s="19" t="s">
        <v>21</v>
      </c>
      <c r="I5236" s="19">
        <v>0</v>
      </c>
      <c r="J5236" s="19" t="s">
        <v>47</v>
      </c>
      <c r="K5236" s="19" t="s">
        <v>1159</v>
      </c>
      <c r="L5236" s="19">
        <v>2025</v>
      </c>
      <c r="M5236" s="20">
        <v>1</v>
      </c>
      <c r="N5236" s="19" t="s">
        <v>1798</v>
      </c>
      <c r="O5236" s="20">
        <v>1</v>
      </c>
      <c r="P5236" s="20">
        <v>1</v>
      </c>
      <c r="Q5236" s="20">
        <v>863.29152000000011</v>
      </c>
      <c r="R5236" s="21">
        <v>0.91500000000000004</v>
      </c>
      <c r="S5236" s="20">
        <v>863.29152000000011</v>
      </c>
    </row>
    <row r="5237" spans="2:19" ht="15" customHeight="1" x14ac:dyDescent="0.25">
      <c r="B5237" s="2" t="str">
        <f t="shared" si="162"/>
        <v>NSG_Business_Commercial Food Service Program_Upstream Rebate_ENERGY STAR Griddle_0_CI</v>
      </c>
      <c r="C5237" s="2" t="str">
        <f t="shared" si="163"/>
        <v>NSG_Business_Commercial Food Service Program_Upstream Rebate_ENERGY STAR Griddle_0_CI_2022</v>
      </c>
      <c r="D5237" s="19" t="s">
        <v>1787</v>
      </c>
      <c r="E5237" s="19" t="s">
        <v>3</v>
      </c>
      <c r="F5237" s="19" t="s">
        <v>1444</v>
      </c>
      <c r="G5237" s="19" t="s">
        <v>1445</v>
      </c>
      <c r="H5237" s="19" t="s">
        <v>231</v>
      </c>
      <c r="I5237" s="19">
        <v>0</v>
      </c>
      <c r="J5237" s="19" t="s">
        <v>42</v>
      </c>
      <c r="K5237" s="19" t="s">
        <v>1159</v>
      </c>
      <c r="L5237" s="19">
        <v>2022</v>
      </c>
      <c r="M5237" s="20">
        <v>1</v>
      </c>
      <c r="N5237" s="19" t="s">
        <v>1798</v>
      </c>
      <c r="O5237" s="20">
        <v>1</v>
      </c>
      <c r="P5237" s="20">
        <v>1</v>
      </c>
      <c r="Q5237" s="20">
        <v>140.26809890624995</v>
      </c>
      <c r="R5237" s="21">
        <v>0.91500000000000004</v>
      </c>
      <c r="S5237" s="20">
        <v>140.26809890624995</v>
      </c>
    </row>
    <row r="5238" spans="2:19" ht="15" customHeight="1" x14ac:dyDescent="0.25">
      <c r="B5238" s="2" t="str">
        <f t="shared" si="162"/>
        <v>NSG_Business_Commercial Food Service Program_Upstream Rebate_ENERGY STAR Griddle_0_CI</v>
      </c>
      <c r="C5238" s="2" t="str">
        <f t="shared" si="163"/>
        <v>NSG_Business_Commercial Food Service Program_Upstream Rebate_ENERGY STAR Griddle_0_CI_2023</v>
      </c>
      <c r="D5238" s="19" t="s">
        <v>1787</v>
      </c>
      <c r="E5238" s="19" t="s">
        <v>3</v>
      </c>
      <c r="F5238" s="19" t="s">
        <v>1444</v>
      </c>
      <c r="G5238" s="19" t="s">
        <v>1445</v>
      </c>
      <c r="H5238" s="19" t="s">
        <v>231</v>
      </c>
      <c r="I5238" s="19">
        <v>0</v>
      </c>
      <c r="J5238" s="19" t="s">
        <v>42</v>
      </c>
      <c r="K5238" s="19" t="s">
        <v>1159</v>
      </c>
      <c r="L5238" s="19">
        <v>2023</v>
      </c>
      <c r="M5238" s="20">
        <v>1</v>
      </c>
      <c r="N5238" s="19" t="s">
        <v>1798</v>
      </c>
      <c r="O5238" s="20">
        <v>2</v>
      </c>
      <c r="P5238" s="20">
        <v>2</v>
      </c>
      <c r="Q5238" s="20">
        <v>280.53619781249989</v>
      </c>
      <c r="R5238" s="21">
        <v>0.91500000000000004</v>
      </c>
      <c r="S5238" s="20">
        <v>280.53619781249989</v>
      </c>
    </row>
    <row r="5239" spans="2:19" ht="15" customHeight="1" x14ac:dyDescent="0.25">
      <c r="B5239" s="2" t="str">
        <f t="shared" si="162"/>
        <v>NSG_Business_Commercial Food Service Program_Upstream Rebate_ENERGY STAR Griddle_0_CI</v>
      </c>
      <c r="C5239" s="2" t="str">
        <f t="shared" si="163"/>
        <v>NSG_Business_Commercial Food Service Program_Upstream Rebate_ENERGY STAR Griddle_0_CI_2024</v>
      </c>
      <c r="D5239" s="19" t="s">
        <v>1787</v>
      </c>
      <c r="E5239" s="19" t="s">
        <v>3</v>
      </c>
      <c r="F5239" s="19" t="s">
        <v>1444</v>
      </c>
      <c r="G5239" s="19" t="s">
        <v>1445</v>
      </c>
      <c r="H5239" s="19" t="s">
        <v>231</v>
      </c>
      <c r="I5239" s="19">
        <v>0</v>
      </c>
      <c r="J5239" s="19" t="s">
        <v>42</v>
      </c>
      <c r="K5239" s="19" t="s">
        <v>1159</v>
      </c>
      <c r="L5239" s="19">
        <v>2024</v>
      </c>
      <c r="M5239" s="20">
        <v>1</v>
      </c>
      <c r="N5239" s="19" t="s">
        <v>1798</v>
      </c>
      <c r="O5239" s="20">
        <v>2</v>
      </c>
      <c r="P5239" s="20">
        <v>2</v>
      </c>
      <c r="Q5239" s="20">
        <v>280.53619781249989</v>
      </c>
      <c r="R5239" s="21">
        <v>0.91500000000000004</v>
      </c>
      <c r="S5239" s="20">
        <v>280.53619781249989</v>
      </c>
    </row>
    <row r="5240" spans="2:19" ht="15" customHeight="1" x14ac:dyDescent="0.25">
      <c r="B5240" s="2" t="str">
        <f t="shared" si="162"/>
        <v>NSG_Business_Commercial Food Service Program_Upstream Rebate_ENERGY STAR Griddle_0_CI</v>
      </c>
      <c r="C5240" s="2" t="str">
        <f t="shared" si="163"/>
        <v>NSG_Business_Commercial Food Service Program_Upstream Rebate_ENERGY STAR Griddle_0_CI_2025</v>
      </c>
      <c r="D5240" s="19" t="s">
        <v>1787</v>
      </c>
      <c r="E5240" s="19" t="s">
        <v>3</v>
      </c>
      <c r="F5240" s="19" t="s">
        <v>1444</v>
      </c>
      <c r="G5240" s="19" t="s">
        <v>1445</v>
      </c>
      <c r="H5240" s="19" t="s">
        <v>231</v>
      </c>
      <c r="I5240" s="19">
        <v>0</v>
      </c>
      <c r="J5240" s="19" t="s">
        <v>42</v>
      </c>
      <c r="K5240" s="19" t="s">
        <v>1159</v>
      </c>
      <c r="L5240" s="19">
        <v>2025</v>
      </c>
      <c r="M5240" s="20">
        <v>1</v>
      </c>
      <c r="N5240" s="19" t="s">
        <v>1798</v>
      </c>
      <c r="O5240" s="20">
        <v>3</v>
      </c>
      <c r="P5240" s="20">
        <v>3</v>
      </c>
      <c r="Q5240" s="20">
        <v>420.80429671874981</v>
      </c>
      <c r="R5240" s="21">
        <v>0.91500000000000004</v>
      </c>
      <c r="S5240" s="20">
        <v>420.80429671874981</v>
      </c>
    </row>
    <row r="5241" spans="2:19" ht="15" customHeight="1" x14ac:dyDescent="0.25">
      <c r="B5241" s="2" t="str">
        <f t="shared" si="162"/>
        <v>NSG_Business_Commercial Food Service Program_Upstream Rebate_Pre-Rinse Sprayer_0_CI</v>
      </c>
      <c r="C5241" s="2" t="str">
        <f t="shared" si="163"/>
        <v>NSG_Business_Commercial Food Service Program_Upstream Rebate_Pre-Rinse Sprayer_0_CI_2022</v>
      </c>
      <c r="D5241" s="19" t="s">
        <v>1787</v>
      </c>
      <c r="E5241" s="19" t="s">
        <v>3</v>
      </c>
      <c r="F5241" s="19" t="s">
        <v>1444</v>
      </c>
      <c r="G5241" s="19" t="s">
        <v>1445</v>
      </c>
      <c r="H5241" s="19" t="s">
        <v>1219</v>
      </c>
      <c r="I5241" s="19">
        <v>0</v>
      </c>
      <c r="J5241" s="19" t="s">
        <v>43</v>
      </c>
      <c r="K5241" s="19" t="s">
        <v>1159</v>
      </c>
      <c r="L5241" s="19">
        <v>2022</v>
      </c>
      <c r="M5241" s="20">
        <v>1</v>
      </c>
      <c r="N5241" s="19" t="s">
        <v>1798</v>
      </c>
      <c r="O5241" s="20">
        <v>0</v>
      </c>
      <c r="P5241" s="20">
        <v>0</v>
      </c>
      <c r="Q5241" s="20">
        <v>0</v>
      </c>
      <c r="R5241" s="21">
        <v>0.91500000000000004</v>
      </c>
      <c r="S5241" s="20">
        <v>0</v>
      </c>
    </row>
    <row r="5242" spans="2:19" ht="15" customHeight="1" x14ac:dyDescent="0.25">
      <c r="B5242" s="2" t="str">
        <f t="shared" si="162"/>
        <v>NSG_Business_Commercial Food Service Program_Upstream Rebate_Pre-Rinse Sprayer_0_CI</v>
      </c>
      <c r="C5242" s="2" t="str">
        <f t="shared" si="163"/>
        <v>NSG_Business_Commercial Food Service Program_Upstream Rebate_Pre-Rinse Sprayer_0_CI_2023</v>
      </c>
      <c r="D5242" s="19" t="s">
        <v>1787</v>
      </c>
      <c r="E5242" s="19" t="s">
        <v>3</v>
      </c>
      <c r="F5242" s="19" t="s">
        <v>1444</v>
      </c>
      <c r="G5242" s="19" t="s">
        <v>1445</v>
      </c>
      <c r="H5242" s="19" t="s">
        <v>1219</v>
      </c>
      <c r="I5242" s="19">
        <v>0</v>
      </c>
      <c r="J5242" s="19" t="s">
        <v>43</v>
      </c>
      <c r="K5242" s="19" t="s">
        <v>1159</v>
      </c>
      <c r="L5242" s="19">
        <v>2023</v>
      </c>
      <c r="M5242" s="20">
        <v>1</v>
      </c>
      <c r="N5242" s="19" t="s">
        <v>1798</v>
      </c>
      <c r="O5242" s="20">
        <v>0</v>
      </c>
      <c r="P5242" s="20">
        <v>0</v>
      </c>
      <c r="Q5242" s="20">
        <v>0</v>
      </c>
      <c r="R5242" s="21">
        <v>0.91500000000000004</v>
      </c>
      <c r="S5242" s="20">
        <v>0</v>
      </c>
    </row>
    <row r="5243" spans="2:19" ht="15" customHeight="1" x14ac:dyDescent="0.25">
      <c r="B5243" s="2" t="str">
        <f t="shared" si="162"/>
        <v>NSG_Business_Commercial Food Service Program_Upstream Rebate_Pre-Rinse Sprayer_0_CI</v>
      </c>
      <c r="C5243" s="2" t="str">
        <f t="shared" si="163"/>
        <v>NSG_Business_Commercial Food Service Program_Upstream Rebate_Pre-Rinse Sprayer_0_CI_2024</v>
      </c>
      <c r="D5243" s="19" t="s">
        <v>1787</v>
      </c>
      <c r="E5243" s="19" t="s">
        <v>3</v>
      </c>
      <c r="F5243" s="19" t="s">
        <v>1444</v>
      </c>
      <c r="G5243" s="19" t="s">
        <v>1445</v>
      </c>
      <c r="H5243" s="19" t="s">
        <v>1219</v>
      </c>
      <c r="I5243" s="19">
        <v>0</v>
      </c>
      <c r="J5243" s="19" t="s">
        <v>43</v>
      </c>
      <c r="K5243" s="19" t="s">
        <v>1159</v>
      </c>
      <c r="L5243" s="19">
        <v>2024</v>
      </c>
      <c r="M5243" s="20">
        <v>1</v>
      </c>
      <c r="N5243" s="19" t="s">
        <v>1798</v>
      </c>
      <c r="O5243" s="20">
        <v>0</v>
      </c>
      <c r="P5243" s="20">
        <v>0</v>
      </c>
      <c r="Q5243" s="20">
        <v>0</v>
      </c>
      <c r="R5243" s="21">
        <v>0.91500000000000004</v>
      </c>
      <c r="S5243" s="20">
        <v>0</v>
      </c>
    </row>
    <row r="5244" spans="2:19" ht="15" customHeight="1" x14ac:dyDescent="0.25">
      <c r="B5244" s="2" t="str">
        <f t="shared" si="162"/>
        <v>NSG_Business_Commercial Food Service Program_Upstream Rebate_Pre-Rinse Sprayer_0_CI</v>
      </c>
      <c r="C5244" s="2" t="str">
        <f t="shared" si="163"/>
        <v>NSG_Business_Commercial Food Service Program_Upstream Rebate_Pre-Rinse Sprayer_0_CI_2025</v>
      </c>
      <c r="D5244" s="19" t="s">
        <v>1787</v>
      </c>
      <c r="E5244" s="19" t="s">
        <v>3</v>
      </c>
      <c r="F5244" s="19" t="s">
        <v>1444</v>
      </c>
      <c r="G5244" s="19" t="s">
        <v>1445</v>
      </c>
      <c r="H5244" s="19" t="s">
        <v>1219</v>
      </c>
      <c r="I5244" s="19">
        <v>0</v>
      </c>
      <c r="J5244" s="19" t="s">
        <v>43</v>
      </c>
      <c r="K5244" s="19" t="s">
        <v>1159</v>
      </c>
      <c r="L5244" s="19">
        <v>2025</v>
      </c>
      <c r="M5244" s="20">
        <v>1</v>
      </c>
      <c r="N5244" s="19" t="s">
        <v>1798</v>
      </c>
      <c r="O5244" s="20">
        <v>0</v>
      </c>
      <c r="P5244" s="20">
        <v>0</v>
      </c>
      <c r="Q5244" s="20">
        <v>0</v>
      </c>
      <c r="R5244" s="21">
        <v>0.91500000000000004</v>
      </c>
      <c r="S5244" s="20">
        <v>0</v>
      </c>
    </row>
    <row r="5245" spans="2:19" ht="15" customHeight="1" x14ac:dyDescent="0.25">
      <c r="B5245" s="2" t="str">
        <f t="shared" si="162"/>
        <v>NSG_Business_Commercial Food Service Program_Upstream Rebate_Pasta Cooker_0_CI</v>
      </c>
      <c r="C5245" s="2" t="str">
        <f t="shared" si="163"/>
        <v>NSG_Business_Commercial Food Service Program_Upstream Rebate_Pasta Cooker_0_CI_2022</v>
      </c>
      <c r="D5245" s="19" t="s">
        <v>1787</v>
      </c>
      <c r="E5245" s="19" t="s">
        <v>3</v>
      </c>
      <c r="F5245" s="19" t="s">
        <v>1444</v>
      </c>
      <c r="G5245" s="19" t="s">
        <v>1445</v>
      </c>
      <c r="H5245" s="19" t="s">
        <v>22</v>
      </c>
      <c r="I5245" s="19">
        <v>0</v>
      </c>
      <c r="J5245" s="19" t="s">
        <v>49</v>
      </c>
      <c r="K5245" s="19" t="s">
        <v>1159</v>
      </c>
      <c r="L5245" s="19">
        <v>2022</v>
      </c>
      <c r="M5245" s="20">
        <v>1</v>
      </c>
      <c r="N5245" s="19" t="s">
        <v>1798</v>
      </c>
      <c r="O5245" s="20">
        <v>1</v>
      </c>
      <c r="P5245" s="20">
        <v>1</v>
      </c>
      <c r="Q5245" s="20">
        <v>1262.7</v>
      </c>
      <c r="R5245" s="21">
        <v>0.91500000000000004</v>
      </c>
      <c r="S5245" s="20">
        <v>1262.7</v>
      </c>
    </row>
    <row r="5246" spans="2:19" ht="15" customHeight="1" x14ac:dyDescent="0.25">
      <c r="B5246" s="2" t="str">
        <f t="shared" si="162"/>
        <v>NSG_Business_Commercial Food Service Program_Upstream Rebate_Pasta Cooker_0_CI</v>
      </c>
      <c r="C5246" s="2" t="str">
        <f t="shared" si="163"/>
        <v>NSG_Business_Commercial Food Service Program_Upstream Rebate_Pasta Cooker_0_CI_2023</v>
      </c>
      <c r="D5246" s="19" t="s">
        <v>1787</v>
      </c>
      <c r="E5246" s="19" t="s">
        <v>3</v>
      </c>
      <c r="F5246" s="19" t="s">
        <v>1444</v>
      </c>
      <c r="G5246" s="19" t="s">
        <v>1445</v>
      </c>
      <c r="H5246" s="19" t="s">
        <v>22</v>
      </c>
      <c r="I5246" s="19">
        <v>0</v>
      </c>
      <c r="J5246" s="19" t="s">
        <v>49</v>
      </c>
      <c r="K5246" s="19" t="s">
        <v>1159</v>
      </c>
      <c r="L5246" s="19">
        <v>2023</v>
      </c>
      <c r="M5246" s="20">
        <v>1</v>
      </c>
      <c r="N5246" s="19" t="s">
        <v>1798</v>
      </c>
      <c r="O5246" s="20">
        <v>1</v>
      </c>
      <c r="P5246" s="20">
        <v>1</v>
      </c>
      <c r="Q5246" s="20">
        <v>1262.7</v>
      </c>
      <c r="R5246" s="21">
        <v>0.91500000000000004</v>
      </c>
      <c r="S5246" s="20">
        <v>1262.7</v>
      </c>
    </row>
    <row r="5247" spans="2:19" ht="15" customHeight="1" x14ac:dyDescent="0.25">
      <c r="B5247" s="2" t="str">
        <f t="shared" si="162"/>
        <v>NSG_Business_Commercial Food Service Program_Upstream Rebate_Pasta Cooker_0_CI</v>
      </c>
      <c r="C5247" s="2" t="str">
        <f t="shared" si="163"/>
        <v>NSG_Business_Commercial Food Service Program_Upstream Rebate_Pasta Cooker_0_CI_2024</v>
      </c>
      <c r="D5247" s="19" t="s">
        <v>1787</v>
      </c>
      <c r="E5247" s="19" t="s">
        <v>3</v>
      </c>
      <c r="F5247" s="19" t="s">
        <v>1444</v>
      </c>
      <c r="G5247" s="19" t="s">
        <v>1445</v>
      </c>
      <c r="H5247" s="19" t="s">
        <v>22</v>
      </c>
      <c r="I5247" s="19">
        <v>0</v>
      </c>
      <c r="J5247" s="19" t="s">
        <v>49</v>
      </c>
      <c r="K5247" s="19" t="s">
        <v>1159</v>
      </c>
      <c r="L5247" s="19">
        <v>2024</v>
      </c>
      <c r="M5247" s="20">
        <v>1</v>
      </c>
      <c r="N5247" s="19" t="s">
        <v>1798</v>
      </c>
      <c r="O5247" s="20">
        <v>2</v>
      </c>
      <c r="P5247" s="20">
        <v>2</v>
      </c>
      <c r="Q5247" s="20">
        <v>2525.4</v>
      </c>
      <c r="R5247" s="21">
        <v>0.91500000000000004</v>
      </c>
      <c r="S5247" s="20">
        <v>2525.4</v>
      </c>
    </row>
    <row r="5248" spans="2:19" ht="15" customHeight="1" x14ac:dyDescent="0.25">
      <c r="B5248" s="2" t="str">
        <f t="shared" si="162"/>
        <v>NSG_Business_Commercial Food Service Program_Upstream Rebate_Pasta Cooker_0_CI</v>
      </c>
      <c r="C5248" s="2" t="str">
        <f t="shared" si="163"/>
        <v>NSG_Business_Commercial Food Service Program_Upstream Rebate_Pasta Cooker_0_CI_2025</v>
      </c>
      <c r="D5248" s="19" t="s">
        <v>1787</v>
      </c>
      <c r="E5248" s="19" t="s">
        <v>3</v>
      </c>
      <c r="F5248" s="19" t="s">
        <v>1444</v>
      </c>
      <c r="G5248" s="19" t="s">
        <v>1445</v>
      </c>
      <c r="H5248" s="19" t="s">
        <v>22</v>
      </c>
      <c r="I5248" s="19">
        <v>0</v>
      </c>
      <c r="J5248" s="19" t="s">
        <v>49</v>
      </c>
      <c r="K5248" s="19" t="s">
        <v>1159</v>
      </c>
      <c r="L5248" s="19">
        <v>2025</v>
      </c>
      <c r="M5248" s="20">
        <v>1</v>
      </c>
      <c r="N5248" s="19" t="s">
        <v>1798</v>
      </c>
      <c r="O5248" s="20">
        <v>2</v>
      </c>
      <c r="P5248" s="20">
        <v>2</v>
      </c>
      <c r="Q5248" s="20">
        <v>2525.4</v>
      </c>
      <c r="R5248" s="21">
        <v>0.91500000000000004</v>
      </c>
      <c r="S5248" s="20">
        <v>2525.4</v>
      </c>
    </row>
    <row r="5249" spans="2:19" ht="15" customHeight="1" x14ac:dyDescent="0.25">
      <c r="B5249" s="2" t="str">
        <f t="shared" si="162"/>
        <v>NSG_Business_Commercial Food Service Program_Upstream Rebate_Combination Oven_0_MF/CI/SMB</v>
      </c>
      <c r="C5249" s="2" t="str">
        <f t="shared" si="163"/>
        <v>NSG_Business_Commercial Food Service Program_Upstream Rebate_Combination Oven_0_MF/CI/SMB_2022</v>
      </c>
      <c r="D5249" s="19" t="s">
        <v>1787</v>
      </c>
      <c r="E5249" s="19" t="s">
        <v>3</v>
      </c>
      <c r="F5249" s="19" t="s">
        <v>1444</v>
      </c>
      <c r="G5249" s="19" t="s">
        <v>1445</v>
      </c>
      <c r="H5249" s="19" t="s">
        <v>242</v>
      </c>
      <c r="I5249" s="19">
        <v>0</v>
      </c>
      <c r="J5249" s="19" t="s">
        <v>138</v>
      </c>
      <c r="K5249" s="19" t="s">
        <v>662</v>
      </c>
      <c r="L5249" s="19">
        <v>2022</v>
      </c>
      <c r="M5249" s="20">
        <v>1</v>
      </c>
      <c r="N5249" s="19" t="s">
        <v>1798</v>
      </c>
      <c r="O5249" s="20">
        <v>1</v>
      </c>
      <c r="P5249" s="20">
        <v>1</v>
      </c>
      <c r="Q5249" s="20">
        <v>294.30726167187248</v>
      </c>
      <c r="R5249" s="21">
        <v>0.91500000000000004</v>
      </c>
      <c r="S5249" s="20">
        <v>294.30726167187248</v>
      </c>
    </row>
    <row r="5250" spans="2:19" ht="15" customHeight="1" x14ac:dyDescent="0.25">
      <c r="B5250" s="2" t="str">
        <f t="shared" si="162"/>
        <v>NSG_Business_Commercial Food Service Program_Upstream Rebate_Combination Oven_0_MF/CI/SMB</v>
      </c>
      <c r="C5250" s="2" t="str">
        <f t="shared" si="163"/>
        <v>NSG_Business_Commercial Food Service Program_Upstream Rebate_Combination Oven_0_MF/CI/SMB_2023</v>
      </c>
      <c r="D5250" s="19" t="s">
        <v>1787</v>
      </c>
      <c r="E5250" s="19" t="s">
        <v>3</v>
      </c>
      <c r="F5250" s="19" t="s">
        <v>1444</v>
      </c>
      <c r="G5250" s="19" t="s">
        <v>1445</v>
      </c>
      <c r="H5250" s="19" t="s">
        <v>242</v>
      </c>
      <c r="I5250" s="19">
        <v>0</v>
      </c>
      <c r="J5250" s="19" t="s">
        <v>138</v>
      </c>
      <c r="K5250" s="19" t="s">
        <v>662</v>
      </c>
      <c r="L5250" s="19">
        <v>2023</v>
      </c>
      <c r="M5250" s="20">
        <v>1</v>
      </c>
      <c r="N5250" s="19" t="s">
        <v>1798</v>
      </c>
      <c r="O5250" s="20">
        <v>2</v>
      </c>
      <c r="P5250" s="20">
        <v>2</v>
      </c>
      <c r="Q5250" s="20">
        <v>588.61452334374496</v>
      </c>
      <c r="R5250" s="21">
        <v>0.91500000000000004</v>
      </c>
      <c r="S5250" s="20">
        <v>588.61452334374496</v>
      </c>
    </row>
    <row r="5251" spans="2:19" ht="15" customHeight="1" x14ac:dyDescent="0.25">
      <c r="B5251" s="2" t="str">
        <f t="shared" si="162"/>
        <v>NSG_Business_Commercial Food Service Program_Upstream Rebate_Combination Oven_0_MF/CI/SMB</v>
      </c>
      <c r="C5251" s="2" t="str">
        <f t="shared" si="163"/>
        <v>NSG_Business_Commercial Food Service Program_Upstream Rebate_Combination Oven_0_MF/CI/SMB_2024</v>
      </c>
      <c r="D5251" s="19" t="s">
        <v>1787</v>
      </c>
      <c r="E5251" s="19" t="s">
        <v>3</v>
      </c>
      <c r="F5251" s="19" t="s">
        <v>1444</v>
      </c>
      <c r="G5251" s="19" t="s">
        <v>1445</v>
      </c>
      <c r="H5251" s="19" t="s">
        <v>242</v>
      </c>
      <c r="I5251" s="19">
        <v>0</v>
      </c>
      <c r="J5251" s="19" t="s">
        <v>138</v>
      </c>
      <c r="K5251" s="19" t="s">
        <v>662</v>
      </c>
      <c r="L5251" s="19">
        <v>2024</v>
      </c>
      <c r="M5251" s="20">
        <v>1</v>
      </c>
      <c r="N5251" s="19" t="s">
        <v>1798</v>
      </c>
      <c r="O5251" s="20">
        <v>2</v>
      </c>
      <c r="P5251" s="20">
        <v>2</v>
      </c>
      <c r="Q5251" s="20">
        <v>588.61452334374496</v>
      </c>
      <c r="R5251" s="21">
        <v>0.91500000000000004</v>
      </c>
      <c r="S5251" s="20">
        <v>588.61452334374496</v>
      </c>
    </row>
    <row r="5252" spans="2:19" ht="15" customHeight="1" x14ac:dyDescent="0.25">
      <c r="B5252" s="2" t="str">
        <f t="shared" si="162"/>
        <v>NSG_Business_Commercial Food Service Program_Upstream Rebate_Combination Oven_0_MF/CI/SMB</v>
      </c>
      <c r="C5252" s="2" t="str">
        <f t="shared" si="163"/>
        <v>NSG_Business_Commercial Food Service Program_Upstream Rebate_Combination Oven_0_MF/CI/SMB_2025</v>
      </c>
      <c r="D5252" s="19" t="s">
        <v>1787</v>
      </c>
      <c r="E5252" s="19" t="s">
        <v>3</v>
      </c>
      <c r="F5252" s="19" t="s">
        <v>1444</v>
      </c>
      <c r="G5252" s="19" t="s">
        <v>1445</v>
      </c>
      <c r="H5252" s="19" t="s">
        <v>242</v>
      </c>
      <c r="I5252" s="19">
        <v>0</v>
      </c>
      <c r="J5252" s="19" t="s">
        <v>138</v>
      </c>
      <c r="K5252" s="19" t="s">
        <v>662</v>
      </c>
      <c r="L5252" s="19">
        <v>2025</v>
      </c>
      <c r="M5252" s="20">
        <v>1</v>
      </c>
      <c r="N5252" s="19" t="s">
        <v>1798</v>
      </c>
      <c r="O5252" s="20">
        <v>3</v>
      </c>
      <c r="P5252" s="20">
        <v>3</v>
      </c>
      <c r="Q5252" s="20">
        <v>882.9217850156175</v>
      </c>
      <c r="R5252" s="21">
        <v>0.91500000000000004</v>
      </c>
      <c r="S5252" s="20">
        <v>882.9217850156175</v>
      </c>
    </row>
    <row r="5253" spans="2:19" ht="15" customHeight="1" x14ac:dyDescent="0.25">
      <c r="B5253" s="2" t="str">
        <f t="shared" si="162"/>
        <v>NSG_Business_Commercial Food Service Program_Upstream Rebate_DCV - Kitchen_0_MF/CI</v>
      </c>
      <c r="C5253" s="2" t="str">
        <f t="shared" si="163"/>
        <v>NSG_Business_Commercial Food Service Program_Upstream Rebate_DCV - Kitchen_0_MF/CI_2022</v>
      </c>
      <c r="D5253" s="19" t="s">
        <v>1787</v>
      </c>
      <c r="E5253" s="19" t="s">
        <v>3</v>
      </c>
      <c r="F5253" s="19" t="s">
        <v>1444</v>
      </c>
      <c r="G5253" s="19" t="s">
        <v>1445</v>
      </c>
      <c r="H5253" s="19" t="s">
        <v>1077</v>
      </c>
      <c r="I5253" s="19">
        <v>0</v>
      </c>
      <c r="J5253" s="19" t="s">
        <v>48</v>
      </c>
      <c r="K5253" s="19" t="s">
        <v>587</v>
      </c>
      <c r="L5253" s="19">
        <v>2022</v>
      </c>
      <c r="M5253" s="20">
        <v>7.75</v>
      </c>
      <c r="N5253" s="19" t="s">
        <v>333</v>
      </c>
      <c r="O5253" s="20">
        <v>2</v>
      </c>
      <c r="P5253" s="20">
        <v>15.5</v>
      </c>
      <c r="Q5253" s="20">
        <v>10977.255000000001</v>
      </c>
      <c r="R5253" s="21">
        <v>0.91500000000000004</v>
      </c>
      <c r="S5253" s="20">
        <v>10977.255000000001</v>
      </c>
    </row>
    <row r="5254" spans="2:19" ht="15" customHeight="1" x14ac:dyDescent="0.25">
      <c r="B5254" s="2" t="str">
        <f t="shared" ref="B5254:B5317" si="164">D5254&amp;"_"&amp;E5254&amp;"_"&amp;F5254&amp;"_"&amp;G5254&amp;"_"&amp;H5254&amp;"_"&amp;I5254&amp;"_"&amp;K5254</f>
        <v>NSG_Business_Commercial Food Service Program_Upstream Rebate_DCV - Kitchen_0_MF/CI</v>
      </c>
      <c r="C5254" s="2" t="str">
        <f t="shared" ref="C5254:C5317" si="165">D5254&amp;"_"&amp;E5254&amp;"_"&amp;F5254&amp;"_"&amp;G5254&amp;"_"&amp;H5254&amp;"_"&amp;I5254&amp;"_"&amp;K5254&amp;"_"&amp;L5254</f>
        <v>NSG_Business_Commercial Food Service Program_Upstream Rebate_DCV - Kitchen_0_MF/CI_2023</v>
      </c>
      <c r="D5254" s="19" t="s">
        <v>1787</v>
      </c>
      <c r="E5254" s="19" t="s">
        <v>3</v>
      </c>
      <c r="F5254" s="19" t="s">
        <v>1444</v>
      </c>
      <c r="G5254" s="19" t="s">
        <v>1445</v>
      </c>
      <c r="H5254" s="19" t="s">
        <v>1077</v>
      </c>
      <c r="I5254" s="19">
        <v>0</v>
      </c>
      <c r="J5254" s="19" t="s">
        <v>48</v>
      </c>
      <c r="K5254" s="19" t="s">
        <v>587</v>
      </c>
      <c r="L5254" s="19">
        <v>2023</v>
      </c>
      <c r="M5254" s="20">
        <v>7.75</v>
      </c>
      <c r="N5254" s="19" t="s">
        <v>333</v>
      </c>
      <c r="O5254" s="20">
        <v>2</v>
      </c>
      <c r="P5254" s="20">
        <v>15.5</v>
      </c>
      <c r="Q5254" s="20">
        <v>10977.255000000001</v>
      </c>
      <c r="R5254" s="21">
        <v>0.91500000000000004</v>
      </c>
      <c r="S5254" s="20">
        <v>10977.255000000001</v>
      </c>
    </row>
    <row r="5255" spans="2:19" ht="15" customHeight="1" x14ac:dyDescent="0.25">
      <c r="B5255" s="2" t="str">
        <f t="shared" si="164"/>
        <v>NSG_Business_Commercial Food Service Program_Upstream Rebate_DCV - Kitchen_0_MF/CI</v>
      </c>
      <c r="C5255" s="2" t="str">
        <f t="shared" si="165"/>
        <v>NSG_Business_Commercial Food Service Program_Upstream Rebate_DCV - Kitchen_0_MF/CI_2024</v>
      </c>
      <c r="D5255" s="19" t="s">
        <v>1787</v>
      </c>
      <c r="E5255" s="19" t="s">
        <v>3</v>
      </c>
      <c r="F5255" s="19" t="s">
        <v>1444</v>
      </c>
      <c r="G5255" s="19" t="s">
        <v>1445</v>
      </c>
      <c r="H5255" s="19" t="s">
        <v>1077</v>
      </c>
      <c r="I5255" s="19">
        <v>0</v>
      </c>
      <c r="J5255" s="19" t="s">
        <v>48</v>
      </c>
      <c r="K5255" s="19" t="s">
        <v>587</v>
      </c>
      <c r="L5255" s="19">
        <v>2024</v>
      </c>
      <c r="M5255" s="20">
        <v>7.75</v>
      </c>
      <c r="N5255" s="19" t="s">
        <v>333</v>
      </c>
      <c r="O5255" s="20">
        <v>2</v>
      </c>
      <c r="P5255" s="20">
        <v>15.5</v>
      </c>
      <c r="Q5255" s="20">
        <v>10977.255000000001</v>
      </c>
      <c r="R5255" s="21">
        <v>0.91500000000000004</v>
      </c>
      <c r="S5255" s="20">
        <v>10977.255000000001</v>
      </c>
    </row>
    <row r="5256" spans="2:19" ht="15" customHeight="1" x14ac:dyDescent="0.25">
      <c r="B5256" s="2" t="str">
        <f t="shared" si="164"/>
        <v>NSG_Business_Commercial Food Service Program_Upstream Rebate_DCV - Kitchen_0_MF/CI</v>
      </c>
      <c r="C5256" s="2" t="str">
        <f t="shared" si="165"/>
        <v>NSG_Business_Commercial Food Service Program_Upstream Rebate_DCV - Kitchen_0_MF/CI_2025</v>
      </c>
      <c r="D5256" s="19" t="s">
        <v>1787</v>
      </c>
      <c r="E5256" s="19" t="s">
        <v>3</v>
      </c>
      <c r="F5256" s="19" t="s">
        <v>1444</v>
      </c>
      <c r="G5256" s="19" t="s">
        <v>1445</v>
      </c>
      <c r="H5256" s="19" t="s">
        <v>1077</v>
      </c>
      <c r="I5256" s="19">
        <v>0</v>
      </c>
      <c r="J5256" s="19" t="s">
        <v>48</v>
      </c>
      <c r="K5256" s="19" t="s">
        <v>587</v>
      </c>
      <c r="L5256" s="19">
        <v>2025</v>
      </c>
      <c r="M5256" s="20">
        <v>7.75</v>
      </c>
      <c r="N5256" s="19" t="s">
        <v>333</v>
      </c>
      <c r="O5256" s="20">
        <v>3</v>
      </c>
      <c r="P5256" s="20">
        <v>23.25</v>
      </c>
      <c r="Q5256" s="20">
        <v>16465.8825</v>
      </c>
      <c r="R5256" s="21">
        <v>0.91500000000000004</v>
      </c>
      <c r="S5256" s="20">
        <v>16465.8825</v>
      </c>
    </row>
    <row r="5257" spans="2:19" ht="15" customHeight="1" x14ac:dyDescent="0.25">
      <c r="B5257" s="2" t="str">
        <f t="shared" si="164"/>
        <v>NSG_Business_Commercial Food Service Program_Upstream Rebate_Double Rack Oven_0_CI</v>
      </c>
      <c r="C5257" s="2" t="str">
        <f t="shared" si="165"/>
        <v>NSG_Business_Commercial Food Service Program_Upstream Rebate_Double Rack Oven_0_CI_2022</v>
      </c>
      <c r="D5257" s="19" t="s">
        <v>1787</v>
      </c>
      <c r="E5257" s="19" t="s">
        <v>3</v>
      </c>
      <c r="F5257" s="19" t="s">
        <v>1444</v>
      </c>
      <c r="G5257" s="19" t="s">
        <v>1445</v>
      </c>
      <c r="H5257" s="19" t="s">
        <v>1210</v>
      </c>
      <c r="I5257" s="19">
        <v>0</v>
      </c>
      <c r="J5257" s="19" t="s">
        <v>50</v>
      </c>
      <c r="K5257" s="19" t="s">
        <v>1159</v>
      </c>
      <c r="L5257" s="19">
        <v>2022</v>
      </c>
      <c r="M5257" s="20">
        <v>1</v>
      </c>
      <c r="N5257" s="19" t="s">
        <v>1798</v>
      </c>
      <c r="O5257" s="20">
        <v>3</v>
      </c>
      <c r="P5257" s="20">
        <v>3</v>
      </c>
      <c r="Q5257" s="20">
        <v>5299.2225000000017</v>
      </c>
      <c r="R5257" s="21">
        <v>0.91500000000000004</v>
      </c>
      <c r="S5257" s="20">
        <v>5299.2225000000017</v>
      </c>
    </row>
    <row r="5258" spans="2:19" ht="15" customHeight="1" x14ac:dyDescent="0.25">
      <c r="B5258" s="2" t="str">
        <f t="shared" si="164"/>
        <v>NSG_Business_Commercial Food Service Program_Upstream Rebate_Double Rack Oven_0_CI</v>
      </c>
      <c r="C5258" s="2" t="str">
        <f t="shared" si="165"/>
        <v>NSG_Business_Commercial Food Service Program_Upstream Rebate_Double Rack Oven_0_CI_2023</v>
      </c>
      <c r="D5258" s="19" t="s">
        <v>1787</v>
      </c>
      <c r="E5258" s="19" t="s">
        <v>3</v>
      </c>
      <c r="F5258" s="19" t="s">
        <v>1444</v>
      </c>
      <c r="G5258" s="19" t="s">
        <v>1445</v>
      </c>
      <c r="H5258" s="19" t="s">
        <v>1210</v>
      </c>
      <c r="I5258" s="19">
        <v>0</v>
      </c>
      <c r="J5258" s="19" t="s">
        <v>50</v>
      </c>
      <c r="K5258" s="19" t="s">
        <v>1159</v>
      </c>
      <c r="L5258" s="19">
        <v>2023</v>
      </c>
      <c r="M5258" s="20">
        <v>1</v>
      </c>
      <c r="N5258" s="19" t="s">
        <v>1798</v>
      </c>
      <c r="O5258" s="20">
        <v>4</v>
      </c>
      <c r="P5258" s="20">
        <v>4</v>
      </c>
      <c r="Q5258" s="20">
        <v>7065.6300000000028</v>
      </c>
      <c r="R5258" s="21">
        <v>0.91500000000000004</v>
      </c>
      <c r="S5258" s="20">
        <v>7065.6300000000028</v>
      </c>
    </row>
    <row r="5259" spans="2:19" ht="15" customHeight="1" x14ac:dyDescent="0.25">
      <c r="B5259" s="2" t="str">
        <f t="shared" si="164"/>
        <v>NSG_Business_Commercial Food Service Program_Upstream Rebate_Double Rack Oven_0_CI</v>
      </c>
      <c r="C5259" s="2" t="str">
        <f t="shared" si="165"/>
        <v>NSG_Business_Commercial Food Service Program_Upstream Rebate_Double Rack Oven_0_CI_2024</v>
      </c>
      <c r="D5259" s="19" t="s">
        <v>1787</v>
      </c>
      <c r="E5259" s="19" t="s">
        <v>3</v>
      </c>
      <c r="F5259" s="19" t="s">
        <v>1444</v>
      </c>
      <c r="G5259" s="19" t="s">
        <v>1445</v>
      </c>
      <c r="H5259" s="19" t="s">
        <v>1210</v>
      </c>
      <c r="I5259" s="19">
        <v>0</v>
      </c>
      <c r="J5259" s="19" t="s">
        <v>50</v>
      </c>
      <c r="K5259" s="19" t="s">
        <v>1159</v>
      </c>
      <c r="L5259" s="19">
        <v>2024</v>
      </c>
      <c r="M5259" s="20">
        <v>1</v>
      </c>
      <c r="N5259" s="19" t="s">
        <v>1798</v>
      </c>
      <c r="O5259" s="20">
        <v>5</v>
      </c>
      <c r="P5259" s="20">
        <v>5</v>
      </c>
      <c r="Q5259" s="20">
        <v>8832.037500000004</v>
      </c>
      <c r="R5259" s="21">
        <v>0.91500000000000004</v>
      </c>
      <c r="S5259" s="20">
        <v>8832.037500000004</v>
      </c>
    </row>
    <row r="5260" spans="2:19" ht="15" customHeight="1" x14ac:dyDescent="0.25">
      <c r="B5260" s="2" t="str">
        <f t="shared" si="164"/>
        <v>NSG_Business_Commercial Food Service Program_Upstream Rebate_Double Rack Oven_0_CI</v>
      </c>
      <c r="C5260" s="2" t="str">
        <f t="shared" si="165"/>
        <v>NSG_Business_Commercial Food Service Program_Upstream Rebate_Double Rack Oven_0_CI_2025</v>
      </c>
      <c r="D5260" s="19" t="s">
        <v>1787</v>
      </c>
      <c r="E5260" s="19" t="s">
        <v>3</v>
      </c>
      <c r="F5260" s="19" t="s">
        <v>1444</v>
      </c>
      <c r="G5260" s="19" t="s">
        <v>1445</v>
      </c>
      <c r="H5260" s="19" t="s">
        <v>1210</v>
      </c>
      <c r="I5260" s="19">
        <v>0</v>
      </c>
      <c r="J5260" s="19" t="s">
        <v>50</v>
      </c>
      <c r="K5260" s="19" t="s">
        <v>1159</v>
      </c>
      <c r="L5260" s="19">
        <v>2025</v>
      </c>
      <c r="M5260" s="20">
        <v>1</v>
      </c>
      <c r="N5260" s="19" t="s">
        <v>1798</v>
      </c>
      <c r="O5260" s="20">
        <v>7</v>
      </c>
      <c r="P5260" s="20">
        <v>7</v>
      </c>
      <c r="Q5260" s="20">
        <v>12364.852500000006</v>
      </c>
      <c r="R5260" s="21">
        <v>0.91500000000000004</v>
      </c>
      <c r="S5260" s="20">
        <v>12364.852500000006</v>
      </c>
    </row>
    <row r="5261" spans="2:19" ht="15" customHeight="1" x14ac:dyDescent="0.25">
      <c r="B5261" s="2" t="str">
        <f t="shared" si="164"/>
        <v>NSG_Business_Commercial Food Service Program_Upstream Rebate_Energy Star Convection Oven_0_MF/CI/SMB</v>
      </c>
      <c r="C5261" s="2" t="str">
        <f t="shared" si="165"/>
        <v>NSG_Business_Commercial Food Service Program_Upstream Rebate_Energy Star Convection Oven_0_MF/CI/SMB_2022</v>
      </c>
      <c r="D5261" s="19" t="s">
        <v>1787</v>
      </c>
      <c r="E5261" s="19" t="s">
        <v>3</v>
      </c>
      <c r="F5261" s="19" t="s">
        <v>1444</v>
      </c>
      <c r="G5261" s="19" t="s">
        <v>1445</v>
      </c>
      <c r="H5261" s="19" t="s">
        <v>1168</v>
      </c>
      <c r="I5261" s="19">
        <v>0</v>
      </c>
      <c r="J5261" s="19" t="s">
        <v>243</v>
      </c>
      <c r="K5261" s="19" t="s">
        <v>662</v>
      </c>
      <c r="L5261" s="19">
        <v>2022</v>
      </c>
      <c r="M5261" s="20">
        <v>1</v>
      </c>
      <c r="N5261" s="19" t="s">
        <v>1798</v>
      </c>
      <c r="O5261" s="20">
        <v>3</v>
      </c>
      <c r="P5261" s="20">
        <v>3</v>
      </c>
      <c r="Q5261" s="20">
        <v>966.37193902173942</v>
      </c>
      <c r="R5261" s="21">
        <v>0.91500000000000004</v>
      </c>
      <c r="S5261" s="20">
        <v>966.37193902173942</v>
      </c>
    </row>
    <row r="5262" spans="2:19" ht="15" customHeight="1" x14ac:dyDescent="0.25">
      <c r="B5262" s="2" t="str">
        <f t="shared" si="164"/>
        <v>NSG_Business_Commercial Food Service Program_Upstream Rebate_Energy Star Convection Oven_0_MF/CI/SMB</v>
      </c>
      <c r="C5262" s="2" t="str">
        <f t="shared" si="165"/>
        <v>NSG_Business_Commercial Food Service Program_Upstream Rebate_Energy Star Convection Oven_0_MF/CI/SMB_2023</v>
      </c>
      <c r="D5262" s="19" t="s">
        <v>1787</v>
      </c>
      <c r="E5262" s="19" t="s">
        <v>3</v>
      </c>
      <c r="F5262" s="19" t="s">
        <v>1444</v>
      </c>
      <c r="G5262" s="19" t="s">
        <v>1445</v>
      </c>
      <c r="H5262" s="19" t="s">
        <v>1168</v>
      </c>
      <c r="I5262" s="19">
        <v>0</v>
      </c>
      <c r="J5262" s="19" t="s">
        <v>243</v>
      </c>
      <c r="K5262" s="19" t="s">
        <v>662</v>
      </c>
      <c r="L5262" s="19">
        <v>2023</v>
      </c>
      <c r="M5262" s="20">
        <v>1</v>
      </c>
      <c r="N5262" s="19" t="s">
        <v>1798</v>
      </c>
      <c r="O5262" s="20">
        <v>4</v>
      </c>
      <c r="P5262" s="20">
        <v>4</v>
      </c>
      <c r="Q5262" s="20">
        <v>1288.4959186956526</v>
      </c>
      <c r="R5262" s="21">
        <v>0.91500000000000004</v>
      </c>
      <c r="S5262" s="20">
        <v>1288.4959186956526</v>
      </c>
    </row>
    <row r="5263" spans="2:19" ht="15" customHeight="1" x14ac:dyDescent="0.25">
      <c r="B5263" s="2" t="str">
        <f t="shared" si="164"/>
        <v>NSG_Business_Commercial Food Service Program_Upstream Rebate_Energy Star Convection Oven_0_MF/CI/SMB</v>
      </c>
      <c r="C5263" s="2" t="str">
        <f t="shared" si="165"/>
        <v>NSG_Business_Commercial Food Service Program_Upstream Rebate_Energy Star Convection Oven_0_MF/CI/SMB_2024</v>
      </c>
      <c r="D5263" s="19" t="s">
        <v>1787</v>
      </c>
      <c r="E5263" s="19" t="s">
        <v>3</v>
      </c>
      <c r="F5263" s="19" t="s">
        <v>1444</v>
      </c>
      <c r="G5263" s="19" t="s">
        <v>1445</v>
      </c>
      <c r="H5263" s="19" t="s">
        <v>1168</v>
      </c>
      <c r="I5263" s="19">
        <v>0</v>
      </c>
      <c r="J5263" s="19" t="s">
        <v>243</v>
      </c>
      <c r="K5263" s="19" t="s">
        <v>662</v>
      </c>
      <c r="L5263" s="19">
        <v>2024</v>
      </c>
      <c r="M5263" s="20">
        <v>1</v>
      </c>
      <c r="N5263" s="19" t="s">
        <v>1798</v>
      </c>
      <c r="O5263" s="20">
        <v>5</v>
      </c>
      <c r="P5263" s="20">
        <v>5</v>
      </c>
      <c r="Q5263" s="20">
        <v>1610.6198983695658</v>
      </c>
      <c r="R5263" s="21">
        <v>0.91500000000000004</v>
      </c>
      <c r="S5263" s="20">
        <v>1610.6198983695658</v>
      </c>
    </row>
    <row r="5264" spans="2:19" ht="15" customHeight="1" x14ac:dyDescent="0.25">
      <c r="B5264" s="2" t="str">
        <f t="shared" si="164"/>
        <v>NSG_Business_Commercial Food Service Program_Upstream Rebate_Energy Star Convection Oven_0_MF/CI/SMB</v>
      </c>
      <c r="C5264" s="2" t="str">
        <f t="shared" si="165"/>
        <v>NSG_Business_Commercial Food Service Program_Upstream Rebate_Energy Star Convection Oven_0_MF/CI/SMB_2025</v>
      </c>
      <c r="D5264" s="19" t="s">
        <v>1787</v>
      </c>
      <c r="E5264" s="19" t="s">
        <v>3</v>
      </c>
      <c r="F5264" s="19" t="s">
        <v>1444</v>
      </c>
      <c r="G5264" s="19" t="s">
        <v>1445</v>
      </c>
      <c r="H5264" s="19" t="s">
        <v>1168</v>
      </c>
      <c r="I5264" s="19">
        <v>0</v>
      </c>
      <c r="J5264" s="19" t="s">
        <v>243</v>
      </c>
      <c r="K5264" s="19" t="s">
        <v>662</v>
      </c>
      <c r="L5264" s="19">
        <v>2025</v>
      </c>
      <c r="M5264" s="20">
        <v>1</v>
      </c>
      <c r="N5264" s="19" t="s">
        <v>1798</v>
      </c>
      <c r="O5264" s="20">
        <v>7</v>
      </c>
      <c r="P5264" s="20">
        <v>7</v>
      </c>
      <c r="Q5264" s="20">
        <v>2254.8678577173919</v>
      </c>
      <c r="R5264" s="21">
        <v>0.91500000000000004</v>
      </c>
      <c r="S5264" s="20">
        <v>2254.8678577173919</v>
      </c>
    </row>
    <row r="5265" spans="2:19" ht="15" customHeight="1" x14ac:dyDescent="0.25">
      <c r="B5265" s="2" t="str">
        <f t="shared" si="164"/>
        <v>NSG_Business_Commercial Food Service Program_Upstream Rebate_Energy Star Conveyer Oven_0_CI</v>
      </c>
      <c r="C5265" s="2" t="str">
        <f t="shared" si="165"/>
        <v>NSG_Business_Commercial Food Service Program_Upstream Rebate_Energy Star Conveyer Oven_0_CI_2022</v>
      </c>
      <c r="D5265" s="19" t="s">
        <v>1787</v>
      </c>
      <c r="E5265" s="19" t="s">
        <v>3</v>
      </c>
      <c r="F5265" s="19" t="s">
        <v>1444</v>
      </c>
      <c r="G5265" s="19" t="s">
        <v>1445</v>
      </c>
      <c r="H5265" s="19" t="s">
        <v>1164</v>
      </c>
      <c r="I5265" s="19">
        <v>0</v>
      </c>
      <c r="J5265" s="19" t="s">
        <v>43</v>
      </c>
      <c r="K5265" s="19" t="s">
        <v>1159</v>
      </c>
      <c r="L5265" s="19">
        <v>2022</v>
      </c>
      <c r="M5265" s="20">
        <v>1</v>
      </c>
      <c r="N5265" s="19" t="s">
        <v>1798</v>
      </c>
      <c r="O5265" s="20">
        <v>1</v>
      </c>
      <c r="P5265" s="20">
        <v>1</v>
      </c>
      <c r="Q5265" s="20">
        <v>808.86</v>
      </c>
      <c r="R5265" s="21">
        <v>0.91500000000000004</v>
      </c>
      <c r="S5265" s="20">
        <v>808.86</v>
      </c>
    </row>
    <row r="5266" spans="2:19" ht="15" customHeight="1" x14ac:dyDescent="0.25">
      <c r="B5266" s="2" t="str">
        <f t="shared" si="164"/>
        <v>NSG_Business_Commercial Food Service Program_Upstream Rebate_Energy Star Conveyer Oven_0_CI</v>
      </c>
      <c r="C5266" s="2" t="str">
        <f t="shared" si="165"/>
        <v>NSG_Business_Commercial Food Service Program_Upstream Rebate_Energy Star Conveyer Oven_0_CI_2023</v>
      </c>
      <c r="D5266" s="19" t="s">
        <v>1787</v>
      </c>
      <c r="E5266" s="19" t="s">
        <v>3</v>
      </c>
      <c r="F5266" s="19" t="s">
        <v>1444</v>
      </c>
      <c r="G5266" s="19" t="s">
        <v>1445</v>
      </c>
      <c r="H5266" s="19" t="s">
        <v>1164</v>
      </c>
      <c r="I5266" s="19">
        <v>0</v>
      </c>
      <c r="J5266" s="19" t="s">
        <v>43</v>
      </c>
      <c r="K5266" s="19" t="s">
        <v>1159</v>
      </c>
      <c r="L5266" s="19">
        <v>2023</v>
      </c>
      <c r="M5266" s="20">
        <v>1</v>
      </c>
      <c r="N5266" s="19" t="s">
        <v>1798</v>
      </c>
      <c r="O5266" s="20">
        <v>1</v>
      </c>
      <c r="P5266" s="20">
        <v>1</v>
      </c>
      <c r="Q5266" s="20">
        <v>808.86</v>
      </c>
      <c r="R5266" s="21">
        <v>0.91500000000000004</v>
      </c>
      <c r="S5266" s="20">
        <v>808.86</v>
      </c>
    </row>
    <row r="5267" spans="2:19" ht="15" customHeight="1" x14ac:dyDescent="0.25">
      <c r="B5267" s="2" t="str">
        <f t="shared" si="164"/>
        <v>NSG_Business_Commercial Food Service Program_Upstream Rebate_Energy Star Conveyer Oven_0_CI</v>
      </c>
      <c r="C5267" s="2" t="str">
        <f t="shared" si="165"/>
        <v>NSG_Business_Commercial Food Service Program_Upstream Rebate_Energy Star Conveyer Oven_0_CI_2024</v>
      </c>
      <c r="D5267" s="19" t="s">
        <v>1787</v>
      </c>
      <c r="E5267" s="19" t="s">
        <v>3</v>
      </c>
      <c r="F5267" s="19" t="s">
        <v>1444</v>
      </c>
      <c r="G5267" s="19" t="s">
        <v>1445</v>
      </c>
      <c r="H5267" s="19" t="s">
        <v>1164</v>
      </c>
      <c r="I5267" s="19">
        <v>0</v>
      </c>
      <c r="J5267" s="19" t="s">
        <v>43</v>
      </c>
      <c r="K5267" s="19" t="s">
        <v>1159</v>
      </c>
      <c r="L5267" s="19">
        <v>2024</v>
      </c>
      <c r="M5267" s="20">
        <v>1</v>
      </c>
      <c r="N5267" s="19" t="s">
        <v>1798</v>
      </c>
      <c r="O5267" s="20">
        <v>1</v>
      </c>
      <c r="P5267" s="20">
        <v>1</v>
      </c>
      <c r="Q5267" s="20">
        <v>808.86</v>
      </c>
      <c r="R5267" s="21">
        <v>0.91500000000000004</v>
      </c>
      <c r="S5267" s="20">
        <v>808.86</v>
      </c>
    </row>
    <row r="5268" spans="2:19" ht="15" customHeight="1" x14ac:dyDescent="0.25">
      <c r="B5268" s="2" t="str">
        <f t="shared" si="164"/>
        <v>NSG_Business_Commercial Food Service Program_Upstream Rebate_Energy Star Conveyer Oven_0_CI</v>
      </c>
      <c r="C5268" s="2" t="str">
        <f t="shared" si="165"/>
        <v>NSG_Business_Commercial Food Service Program_Upstream Rebate_Energy Star Conveyer Oven_0_CI_2025</v>
      </c>
      <c r="D5268" s="19" t="s">
        <v>1787</v>
      </c>
      <c r="E5268" s="19" t="s">
        <v>3</v>
      </c>
      <c r="F5268" s="19" t="s">
        <v>1444</v>
      </c>
      <c r="G5268" s="19" t="s">
        <v>1445</v>
      </c>
      <c r="H5268" s="19" t="s">
        <v>1164</v>
      </c>
      <c r="I5268" s="19">
        <v>0</v>
      </c>
      <c r="J5268" s="19" t="s">
        <v>43</v>
      </c>
      <c r="K5268" s="19" t="s">
        <v>1159</v>
      </c>
      <c r="L5268" s="19">
        <v>2025</v>
      </c>
      <c r="M5268" s="20">
        <v>1</v>
      </c>
      <c r="N5268" s="19" t="s">
        <v>1798</v>
      </c>
      <c r="O5268" s="20">
        <v>2</v>
      </c>
      <c r="P5268" s="20">
        <v>2</v>
      </c>
      <c r="Q5268" s="20">
        <v>1617.72</v>
      </c>
      <c r="R5268" s="21">
        <v>0.91500000000000004</v>
      </c>
      <c r="S5268" s="20">
        <v>1617.72</v>
      </c>
    </row>
    <row r="5269" spans="2:19" ht="15" customHeight="1" x14ac:dyDescent="0.25">
      <c r="B5269" s="2" t="str">
        <f t="shared" si="164"/>
        <v>NSG_Business_Commercial Food Service Program_Upstream Rebate_Energy Star Fryer_0_CI</v>
      </c>
      <c r="C5269" s="2" t="str">
        <f t="shared" si="165"/>
        <v>NSG_Business_Commercial Food Service Program_Upstream Rebate_Energy Star Fryer_0_CI_2022</v>
      </c>
      <c r="D5269" s="19" t="s">
        <v>1787</v>
      </c>
      <c r="E5269" s="19" t="s">
        <v>3</v>
      </c>
      <c r="F5269" s="19" t="s">
        <v>1444</v>
      </c>
      <c r="G5269" s="19" t="s">
        <v>1445</v>
      </c>
      <c r="H5269" s="19" t="s">
        <v>1197</v>
      </c>
      <c r="I5269" s="19">
        <v>0</v>
      </c>
      <c r="J5269" s="19" t="s">
        <v>41</v>
      </c>
      <c r="K5269" s="19" t="s">
        <v>1159</v>
      </c>
      <c r="L5269" s="19">
        <v>2022</v>
      </c>
      <c r="M5269" s="20">
        <v>1</v>
      </c>
      <c r="N5269" s="19" t="s">
        <v>1798</v>
      </c>
      <c r="O5269" s="20">
        <v>12</v>
      </c>
      <c r="P5269" s="20">
        <v>12</v>
      </c>
      <c r="Q5269" s="20">
        <v>5576.7220912087914</v>
      </c>
      <c r="R5269" s="21">
        <v>0.91500000000000004</v>
      </c>
      <c r="S5269" s="20">
        <v>5576.7220912087914</v>
      </c>
    </row>
    <row r="5270" spans="2:19" ht="15" customHeight="1" x14ac:dyDescent="0.25">
      <c r="B5270" s="2" t="str">
        <f t="shared" si="164"/>
        <v>NSG_Business_Commercial Food Service Program_Upstream Rebate_Energy Star Fryer_0_CI</v>
      </c>
      <c r="C5270" s="2" t="str">
        <f t="shared" si="165"/>
        <v>NSG_Business_Commercial Food Service Program_Upstream Rebate_Energy Star Fryer_0_CI_2023</v>
      </c>
      <c r="D5270" s="19" t="s">
        <v>1787</v>
      </c>
      <c r="E5270" s="19" t="s">
        <v>3</v>
      </c>
      <c r="F5270" s="19" t="s">
        <v>1444</v>
      </c>
      <c r="G5270" s="19" t="s">
        <v>1445</v>
      </c>
      <c r="H5270" s="19" t="s">
        <v>1197</v>
      </c>
      <c r="I5270" s="19">
        <v>0</v>
      </c>
      <c r="J5270" s="19" t="s">
        <v>41</v>
      </c>
      <c r="K5270" s="19" t="s">
        <v>1159</v>
      </c>
      <c r="L5270" s="19">
        <v>2023</v>
      </c>
      <c r="M5270" s="20">
        <v>1</v>
      </c>
      <c r="N5270" s="19" t="s">
        <v>1798</v>
      </c>
      <c r="O5270" s="20">
        <v>16</v>
      </c>
      <c r="P5270" s="20">
        <v>16</v>
      </c>
      <c r="Q5270" s="20">
        <v>7435.6294549450558</v>
      </c>
      <c r="R5270" s="21">
        <v>0.91500000000000004</v>
      </c>
      <c r="S5270" s="20">
        <v>7435.6294549450558</v>
      </c>
    </row>
    <row r="5271" spans="2:19" ht="15" customHeight="1" x14ac:dyDescent="0.25">
      <c r="B5271" s="2" t="str">
        <f t="shared" si="164"/>
        <v>NSG_Business_Commercial Food Service Program_Upstream Rebate_Energy Star Fryer_0_CI</v>
      </c>
      <c r="C5271" s="2" t="str">
        <f t="shared" si="165"/>
        <v>NSG_Business_Commercial Food Service Program_Upstream Rebate_Energy Star Fryer_0_CI_2024</v>
      </c>
      <c r="D5271" s="19" t="s">
        <v>1787</v>
      </c>
      <c r="E5271" s="19" t="s">
        <v>3</v>
      </c>
      <c r="F5271" s="19" t="s">
        <v>1444</v>
      </c>
      <c r="G5271" s="19" t="s">
        <v>1445</v>
      </c>
      <c r="H5271" s="19" t="s">
        <v>1197</v>
      </c>
      <c r="I5271" s="19">
        <v>0</v>
      </c>
      <c r="J5271" s="19" t="s">
        <v>41</v>
      </c>
      <c r="K5271" s="19" t="s">
        <v>1159</v>
      </c>
      <c r="L5271" s="19">
        <v>2024</v>
      </c>
      <c r="M5271" s="20">
        <v>1</v>
      </c>
      <c r="N5271" s="19" t="s">
        <v>1798</v>
      </c>
      <c r="O5271" s="20">
        <v>20</v>
      </c>
      <c r="P5271" s="20">
        <v>20</v>
      </c>
      <c r="Q5271" s="20">
        <v>9294.5368186813193</v>
      </c>
      <c r="R5271" s="21">
        <v>0.91500000000000004</v>
      </c>
      <c r="S5271" s="20">
        <v>9294.5368186813193</v>
      </c>
    </row>
    <row r="5272" spans="2:19" ht="15" customHeight="1" x14ac:dyDescent="0.25">
      <c r="B5272" s="2" t="str">
        <f t="shared" si="164"/>
        <v>NSG_Business_Commercial Food Service Program_Upstream Rebate_Energy Star Fryer_0_CI</v>
      </c>
      <c r="C5272" s="2" t="str">
        <f t="shared" si="165"/>
        <v>NSG_Business_Commercial Food Service Program_Upstream Rebate_Energy Star Fryer_0_CI_2025</v>
      </c>
      <c r="D5272" s="19" t="s">
        <v>1787</v>
      </c>
      <c r="E5272" s="19" t="s">
        <v>3</v>
      </c>
      <c r="F5272" s="19" t="s">
        <v>1444</v>
      </c>
      <c r="G5272" s="19" t="s">
        <v>1445</v>
      </c>
      <c r="H5272" s="19" t="s">
        <v>1197</v>
      </c>
      <c r="I5272" s="19">
        <v>0</v>
      </c>
      <c r="J5272" s="19" t="s">
        <v>41</v>
      </c>
      <c r="K5272" s="19" t="s">
        <v>1159</v>
      </c>
      <c r="L5272" s="19">
        <v>2025</v>
      </c>
      <c r="M5272" s="20">
        <v>1</v>
      </c>
      <c r="N5272" s="19" t="s">
        <v>1798</v>
      </c>
      <c r="O5272" s="20">
        <v>26</v>
      </c>
      <c r="P5272" s="20">
        <v>26</v>
      </c>
      <c r="Q5272" s="20">
        <v>12082.897864285715</v>
      </c>
      <c r="R5272" s="21">
        <v>0.91500000000000004</v>
      </c>
      <c r="S5272" s="20">
        <v>12082.897864285715</v>
      </c>
    </row>
    <row r="5273" spans="2:19" ht="15" customHeight="1" x14ac:dyDescent="0.25">
      <c r="B5273" s="2" t="str">
        <f t="shared" si="164"/>
        <v>NSG_Business_Commercial Food Service Program_Upstream Rebate_Energy Star Steamer_3 Pans_CI</v>
      </c>
      <c r="C5273" s="2" t="str">
        <f t="shared" si="165"/>
        <v>NSG_Business_Commercial Food Service Program_Upstream Rebate_Energy Star Steamer_3 Pans_CI_2022</v>
      </c>
      <c r="D5273" s="19" t="s">
        <v>1787</v>
      </c>
      <c r="E5273" s="19" t="s">
        <v>3</v>
      </c>
      <c r="F5273" s="19" t="s">
        <v>1444</v>
      </c>
      <c r="G5273" s="19" t="s">
        <v>1445</v>
      </c>
      <c r="H5273" s="19" t="s">
        <v>1186</v>
      </c>
      <c r="I5273" s="19" t="s">
        <v>1187</v>
      </c>
      <c r="J5273" s="19" t="s">
        <v>39</v>
      </c>
      <c r="K5273" s="19" t="s">
        <v>1159</v>
      </c>
      <c r="L5273" s="19">
        <v>2022</v>
      </c>
      <c r="M5273" s="20">
        <v>1</v>
      </c>
      <c r="N5273" s="19" t="s">
        <v>1798</v>
      </c>
      <c r="O5273" s="20">
        <v>0</v>
      </c>
      <c r="P5273" s="20">
        <v>0</v>
      </c>
      <c r="Q5273" s="20">
        <v>0</v>
      </c>
      <c r="R5273" s="21">
        <v>0.91500000000000004</v>
      </c>
      <c r="S5273" s="20">
        <v>0</v>
      </c>
    </row>
    <row r="5274" spans="2:19" ht="15" customHeight="1" x14ac:dyDescent="0.25">
      <c r="B5274" s="2" t="str">
        <f t="shared" si="164"/>
        <v>NSG_Business_Commercial Food Service Program_Upstream Rebate_Energy Star Steamer_3 Pans_CI</v>
      </c>
      <c r="C5274" s="2" t="str">
        <f t="shared" si="165"/>
        <v>NSG_Business_Commercial Food Service Program_Upstream Rebate_Energy Star Steamer_3 Pans_CI_2023</v>
      </c>
      <c r="D5274" s="19" t="s">
        <v>1787</v>
      </c>
      <c r="E5274" s="19" t="s">
        <v>3</v>
      </c>
      <c r="F5274" s="19" t="s">
        <v>1444</v>
      </c>
      <c r="G5274" s="19" t="s">
        <v>1445</v>
      </c>
      <c r="H5274" s="19" t="s">
        <v>1186</v>
      </c>
      <c r="I5274" s="19" t="s">
        <v>1187</v>
      </c>
      <c r="J5274" s="19" t="s">
        <v>39</v>
      </c>
      <c r="K5274" s="19" t="s">
        <v>1159</v>
      </c>
      <c r="L5274" s="19">
        <v>2023</v>
      </c>
      <c r="M5274" s="20">
        <v>1</v>
      </c>
      <c r="N5274" s="19" t="s">
        <v>1798</v>
      </c>
      <c r="O5274" s="20">
        <v>0</v>
      </c>
      <c r="P5274" s="20">
        <v>0</v>
      </c>
      <c r="Q5274" s="20">
        <v>0</v>
      </c>
      <c r="R5274" s="21">
        <v>0.91500000000000004</v>
      </c>
      <c r="S5274" s="20">
        <v>0</v>
      </c>
    </row>
    <row r="5275" spans="2:19" ht="15" customHeight="1" x14ac:dyDescent="0.25">
      <c r="B5275" s="2" t="str">
        <f t="shared" si="164"/>
        <v>NSG_Business_Commercial Food Service Program_Upstream Rebate_Energy Star Steamer_3 Pans_CI</v>
      </c>
      <c r="C5275" s="2" t="str">
        <f t="shared" si="165"/>
        <v>NSG_Business_Commercial Food Service Program_Upstream Rebate_Energy Star Steamer_3 Pans_CI_2024</v>
      </c>
      <c r="D5275" s="19" t="s">
        <v>1787</v>
      </c>
      <c r="E5275" s="19" t="s">
        <v>3</v>
      </c>
      <c r="F5275" s="19" t="s">
        <v>1444</v>
      </c>
      <c r="G5275" s="19" t="s">
        <v>1445</v>
      </c>
      <c r="H5275" s="19" t="s">
        <v>1186</v>
      </c>
      <c r="I5275" s="19" t="s">
        <v>1187</v>
      </c>
      <c r="J5275" s="19" t="s">
        <v>39</v>
      </c>
      <c r="K5275" s="19" t="s">
        <v>1159</v>
      </c>
      <c r="L5275" s="19">
        <v>2024</v>
      </c>
      <c r="M5275" s="20">
        <v>1</v>
      </c>
      <c r="N5275" s="19" t="s">
        <v>1798</v>
      </c>
      <c r="O5275" s="20">
        <v>0</v>
      </c>
      <c r="P5275" s="20">
        <v>0</v>
      </c>
      <c r="Q5275" s="20">
        <v>0</v>
      </c>
      <c r="R5275" s="21">
        <v>0.91500000000000004</v>
      </c>
      <c r="S5275" s="20">
        <v>0</v>
      </c>
    </row>
    <row r="5276" spans="2:19" ht="15" customHeight="1" x14ac:dyDescent="0.25">
      <c r="B5276" s="2" t="str">
        <f t="shared" si="164"/>
        <v>NSG_Business_Commercial Food Service Program_Upstream Rebate_Energy Star Steamer_3 Pans_CI</v>
      </c>
      <c r="C5276" s="2" t="str">
        <f t="shared" si="165"/>
        <v>NSG_Business_Commercial Food Service Program_Upstream Rebate_Energy Star Steamer_3 Pans_CI_2025</v>
      </c>
      <c r="D5276" s="19" t="s">
        <v>1787</v>
      </c>
      <c r="E5276" s="19" t="s">
        <v>3</v>
      </c>
      <c r="F5276" s="19" t="s">
        <v>1444</v>
      </c>
      <c r="G5276" s="19" t="s">
        <v>1445</v>
      </c>
      <c r="H5276" s="19" t="s">
        <v>1186</v>
      </c>
      <c r="I5276" s="19" t="s">
        <v>1187</v>
      </c>
      <c r="J5276" s="19" t="s">
        <v>39</v>
      </c>
      <c r="K5276" s="19" t="s">
        <v>1159</v>
      </c>
      <c r="L5276" s="19">
        <v>2025</v>
      </c>
      <c r="M5276" s="20">
        <v>1</v>
      </c>
      <c r="N5276" s="19" t="s">
        <v>1798</v>
      </c>
      <c r="O5276" s="20">
        <v>0</v>
      </c>
      <c r="P5276" s="20">
        <v>0</v>
      </c>
      <c r="Q5276" s="20">
        <v>0</v>
      </c>
      <c r="R5276" s="21">
        <v>0.91500000000000004</v>
      </c>
      <c r="S5276" s="20">
        <v>0</v>
      </c>
    </row>
    <row r="5277" spans="2:19" ht="15" customHeight="1" x14ac:dyDescent="0.25">
      <c r="B5277" s="2" t="str">
        <f t="shared" si="164"/>
        <v>NSG_Business_Commercial Food Service Program_Upstream Rebate_Energy Star Steamer_4 Pans_CI</v>
      </c>
      <c r="C5277" s="2" t="str">
        <f t="shared" si="165"/>
        <v>NSG_Business_Commercial Food Service Program_Upstream Rebate_Energy Star Steamer_4 Pans_CI_2022</v>
      </c>
      <c r="D5277" s="19" t="s">
        <v>1787</v>
      </c>
      <c r="E5277" s="19" t="s">
        <v>3</v>
      </c>
      <c r="F5277" s="19" t="s">
        <v>1444</v>
      </c>
      <c r="G5277" s="19" t="s">
        <v>1445</v>
      </c>
      <c r="H5277" s="19" t="s">
        <v>1186</v>
      </c>
      <c r="I5277" s="19" t="s">
        <v>1189</v>
      </c>
      <c r="J5277" s="19" t="s">
        <v>39</v>
      </c>
      <c r="K5277" s="19" t="s">
        <v>1159</v>
      </c>
      <c r="L5277" s="19">
        <v>2022</v>
      </c>
      <c r="M5277" s="20">
        <v>1</v>
      </c>
      <c r="N5277" s="19" t="s">
        <v>1798</v>
      </c>
      <c r="O5277" s="20">
        <v>0</v>
      </c>
      <c r="P5277" s="20">
        <v>0</v>
      </c>
      <c r="Q5277" s="20">
        <v>0</v>
      </c>
      <c r="R5277" s="21">
        <v>0.91500000000000004</v>
      </c>
      <c r="S5277" s="20">
        <v>0</v>
      </c>
    </row>
    <row r="5278" spans="2:19" ht="15" customHeight="1" x14ac:dyDescent="0.25">
      <c r="B5278" s="2" t="str">
        <f t="shared" si="164"/>
        <v>NSG_Business_Commercial Food Service Program_Upstream Rebate_Energy Star Steamer_4 Pans_CI</v>
      </c>
      <c r="C5278" s="2" t="str">
        <f t="shared" si="165"/>
        <v>NSG_Business_Commercial Food Service Program_Upstream Rebate_Energy Star Steamer_4 Pans_CI_2023</v>
      </c>
      <c r="D5278" s="19" t="s">
        <v>1787</v>
      </c>
      <c r="E5278" s="19" t="s">
        <v>3</v>
      </c>
      <c r="F5278" s="19" t="s">
        <v>1444</v>
      </c>
      <c r="G5278" s="19" t="s">
        <v>1445</v>
      </c>
      <c r="H5278" s="19" t="s">
        <v>1186</v>
      </c>
      <c r="I5278" s="19" t="s">
        <v>1189</v>
      </c>
      <c r="J5278" s="19" t="s">
        <v>39</v>
      </c>
      <c r="K5278" s="19" t="s">
        <v>1159</v>
      </c>
      <c r="L5278" s="19">
        <v>2023</v>
      </c>
      <c r="M5278" s="20">
        <v>1</v>
      </c>
      <c r="N5278" s="19" t="s">
        <v>1798</v>
      </c>
      <c r="O5278" s="20">
        <v>0</v>
      </c>
      <c r="P5278" s="20">
        <v>0</v>
      </c>
      <c r="Q5278" s="20">
        <v>0</v>
      </c>
      <c r="R5278" s="21">
        <v>0.91500000000000004</v>
      </c>
      <c r="S5278" s="20">
        <v>0</v>
      </c>
    </row>
    <row r="5279" spans="2:19" ht="15" customHeight="1" x14ac:dyDescent="0.25">
      <c r="B5279" s="2" t="str">
        <f t="shared" si="164"/>
        <v>NSG_Business_Commercial Food Service Program_Upstream Rebate_Energy Star Steamer_4 Pans_CI</v>
      </c>
      <c r="C5279" s="2" t="str">
        <f t="shared" si="165"/>
        <v>NSG_Business_Commercial Food Service Program_Upstream Rebate_Energy Star Steamer_4 Pans_CI_2024</v>
      </c>
      <c r="D5279" s="19" t="s">
        <v>1787</v>
      </c>
      <c r="E5279" s="19" t="s">
        <v>3</v>
      </c>
      <c r="F5279" s="19" t="s">
        <v>1444</v>
      </c>
      <c r="G5279" s="19" t="s">
        <v>1445</v>
      </c>
      <c r="H5279" s="19" t="s">
        <v>1186</v>
      </c>
      <c r="I5279" s="19" t="s">
        <v>1189</v>
      </c>
      <c r="J5279" s="19" t="s">
        <v>39</v>
      </c>
      <c r="K5279" s="19" t="s">
        <v>1159</v>
      </c>
      <c r="L5279" s="19">
        <v>2024</v>
      </c>
      <c r="M5279" s="20">
        <v>1</v>
      </c>
      <c r="N5279" s="19" t="s">
        <v>1798</v>
      </c>
      <c r="O5279" s="20">
        <v>0</v>
      </c>
      <c r="P5279" s="20">
        <v>0</v>
      </c>
      <c r="Q5279" s="20">
        <v>0</v>
      </c>
      <c r="R5279" s="21">
        <v>0.91500000000000004</v>
      </c>
      <c r="S5279" s="20">
        <v>0</v>
      </c>
    </row>
    <row r="5280" spans="2:19" ht="15" customHeight="1" x14ac:dyDescent="0.25">
      <c r="B5280" s="2" t="str">
        <f t="shared" si="164"/>
        <v>NSG_Business_Commercial Food Service Program_Upstream Rebate_Energy Star Steamer_4 Pans_CI</v>
      </c>
      <c r="C5280" s="2" t="str">
        <f t="shared" si="165"/>
        <v>NSG_Business_Commercial Food Service Program_Upstream Rebate_Energy Star Steamer_4 Pans_CI_2025</v>
      </c>
      <c r="D5280" s="19" t="s">
        <v>1787</v>
      </c>
      <c r="E5280" s="19" t="s">
        <v>3</v>
      </c>
      <c r="F5280" s="19" t="s">
        <v>1444</v>
      </c>
      <c r="G5280" s="19" t="s">
        <v>1445</v>
      </c>
      <c r="H5280" s="19" t="s">
        <v>1186</v>
      </c>
      <c r="I5280" s="19" t="s">
        <v>1189</v>
      </c>
      <c r="J5280" s="19" t="s">
        <v>39</v>
      </c>
      <c r="K5280" s="19" t="s">
        <v>1159</v>
      </c>
      <c r="L5280" s="19">
        <v>2025</v>
      </c>
      <c r="M5280" s="20">
        <v>1</v>
      </c>
      <c r="N5280" s="19" t="s">
        <v>1798</v>
      </c>
      <c r="O5280" s="20">
        <v>0</v>
      </c>
      <c r="P5280" s="20">
        <v>0</v>
      </c>
      <c r="Q5280" s="20">
        <v>0</v>
      </c>
      <c r="R5280" s="21">
        <v>0.91500000000000004</v>
      </c>
      <c r="S5280" s="20">
        <v>0</v>
      </c>
    </row>
    <row r="5281" spans="2:19" ht="15" customHeight="1" x14ac:dyDescent="0.25">
      <c r="B5281" s="2" t="str">
        <f t="shared" si="164"/>
        <v>NSG_Business_Commercial Food Service Program_Upstream Rebate_Energy Star Steamer_5 Pans_CI</v>
      </c>
      <c r="C5281" s="2" t="str">
        <f t="shared" si="165"/>
        <v>NSG_Business_Commercial Food Service Program_Upstream Rebate_Energy Star Steamer_5 Pans_CI_2022</v>
      </c>
      <c r="D5281" s="19" t="s">
        <v>1787</v>
      </c>
      <c r="E5281" s="19" t="s">
        <v>3</v>
      </c>
      <c r="F5281" s="19" t="s">
        <v>1444</v>
      </c>
      <c r="G5281" s="19" t="s">
        <v>1445</v>
      </c>
      <c r="H5281" s="19" t="s">
        <v>1186</v>
      </c>
      <c r="I5281" s="19" t="s">
        <v>1193</v>
      </c>
      <c r="J5281" s="19" t="s">
        <v>39</v>
      </c>
      <c r="K5281" s="19" t="s">
        <v>1159</v>
      </c>
      <c r="L5281" s="19">
        <v>2022</v>
      </c>
      <c r="M5281" s="20">
        <v>1</v>
      </c>
      <c r="N5281" s="19" t="s">
        <v>1798</v>
      </c>
      <c r="O5281" s="20">
        <v>0</v>
      </c>
      <c r="P5281" s="20">
        <v>0</v>
      </c>
      <c r="Q5281" s="20">
        <v>0</v>
      </c>
      <c r="R5281" s="21">
        <v>0.91500000000000004</v>
      </c>
      <c r="S5281" s="20">
        <v>0</v>
      </c>
    </row>
    <row r="5282" spans="2:19" ht="15" customHeight="1" x14ac:dyDescent="0.25">
      <c r="B5282" s="2" t="str">
        <f t="shared" si="164"/>
        <v>NSG_Business_Commercial Food Service Program_Upstream Rebate_Energy Star Steamer_5 Pans_CI</v>
      </c>
      <c r="C5282" s="2" t="str">
        <f t="shared" si="165"/>
        <v>NSG_Business_Commercial Food Service Program_Upstream Rebate_Energy Star Steamer_5 Pans_CI_2023</v>
      </c>
      <c r="D5282" s="19" t="s">
        <v>1787</v>
      </c>
      <c r="E5282" s="19" t="s">
        <v>3</v>
      </c>
      <c r="F5282" s="19" t="s">
        <v>1444</v>
      </c>
      <c r="G5282" s="19" t="s">
        <v>1445</v>
      </c>
      <c r="H5282" s="19" t="s">
        <v>1186</v>
      </c>
      <c r="I5282" s="19" t="s">
        <v>1193</v>
      </c>
      <c r="J5282" s="19" t="s">
        <v>39</v>
      </c>
      <c r="K5282" s="19" t="s">
        <v>1159</v>
      </c>
      <c r="L5282" s="19">
        <v>2023</v>
      </c>
      <c r="M5282" s="20">
        <v>1</v>
      </c>
      <c r="N5282" s="19" t="s">
        <v>1798</v>
      </c>
      <c r="O5282" s="20">
        <v>0</v>
      </c>
      <c r="P5282" s="20">
        <v>0</v>
      </c>
      <c r="Q5282" s="20">
        <v>0</v>
      </c>
      <c r="R5282" s="21">
        <v>0.91500000000000004</v>
      </c>
      <c r="S5282" s="20">
        <v>0</v>
      </c>
    </row>
    <row r="5283" spans="2:19" ht="15" customHeight="1" x14ac:dyDescent="0.25">
      <c r="B5283" s="2" t="str">
        <f t="shared" si="164"/>
        <v>NSG_Business_Commercial Food Service Program_Upstream Rebate_Energy Star Steamer_5 Pans_CI</v>
      </c>
      <c r="C5283" s="2" t="str">
        <f t="shared" si="165"/>
        <v>NSG_Business_Commercial Food Service Program_Upstream Rebate_Energy Star Steamer_5 Pans_CI_2024</v>
      </c>
      <c r="D5283" s="19" t="s">
        <v>1787</v>
      </c>
      <c r="E5283" s="19" t="s">
        <v>3</v>
      </c>
      <c r="F5283" s="19" t="s">
        <v>1444</v>
      </c>
      <c r="G5283" s="19" t="s">
        <v>1445</v>
      </c>
      <c r="H5283" s="19" t="s">
        <v>1186</v>
      </c>
      <c r="I5283" s="19" t="s">
        <v>1193</v>
      </c>
      <c r="J5283" s="19" t="s">
        <v>39</v>
      </c>
      <c r="K5283" s="19" t="s">
        <v>1159</v>
      </c>
      <c r="L5283" s="19">
        <v>2024</v>
      </c>
      <c r="M5283" s="20">
        <v>1</v>
      </c>
      <c r="N5283" s="19" t="s">
        <v>1798</v>
      </c>
      <c r="O5283" s="20">
        <v>0</v>
      </c>
      <c r="P5283" s="20">
        <v>0</v>
      </c>
      <c r="Q5283" s="20">
        <v>0</v>
      </c>
      <c r="R5283" s="21">
        <v>0.91500000000000004</v>
      </c>
      <c r="S5283" s="20">
        <v>0</v>
      </c>
    </row>
    <row r="5284" spans="2:19" ht="15" customHeight="1" x14ac:dyDescent="0.25">
      <c r="B5284" s="2" t="str">
        <f t="shared" si="164"/>
        <v>NSG_Business_Commercial Food Service Program_Upstream Rebate_Energy Star Steamer_5 Pans_CI</v>
      </c>
      <c r="C5284" s="2" t="str">
        <f t="shared" si="165"/>
        <v>NSG_Business_Commercial Food Service Program_Upstream Rebate_Energy Star Steamer_5 Pans_CI_2025</v>
      </c>
      <c r="D5284" s="19" t="s">
        <v>1787</v>
      </c>
      <c r="E5284" s="19" t="s">
        <v>3</v>
      </c>
      <c r="F5284" s="19" t="s">
        <v>1444</v>
      </c>
      <c r="G5284" s="19" t="s">
        <v>1445</v>
      </c>
      <c r="H5284" s="19" t="s">
        <v>1186</v>
      </c>
      <c r="I5284" s="19" t="s">
        <v>1193</v>
      </c>
      <c r="J5284" s="19" t="s">
        <v>39</v>
      </c>
      <c r="K5284" s="19" t="s">
        <v>1159</v>
      </c>
      <c r="L5284" s="19">
        <v>2025</v>
      </c>
      <c r="M5284" s="20">
        <v>1</v>
      </c>
      <c r="N5284" s="19" t="s">
        <v>1798</v>
      </c>
      <c r="O5284" s="20">
        <v>0</v>
      </c>
      <c r="P5284" s="20">
        <v>0</v>
      </c>
      <c r="Q5284" s="20">
        <v>0</v>
      </c>
      <c r="R5284" s="21">
        <v>0.91500000000000004</v>
      </c>
      <c r="S5284" s="20">
        <v>0</v>
      </c>
    </row>
    <row r="5285" spans="2:19" ht="15" customHeight="1" x14ac:dyDescent="0.25">
      <c r="B5285" s="2" t="str">
        <f t="shared" si="164"/>
        <v>NSG_Business_Commercial Food Service Program_Upstream Rebate_Energy Star Steamer_6 Pans_CI</v>
      </c>
      <c r="C5285" s="2" t="str">
        <f t="shared" si="165"/>
        <v>NSG_Business_Commercial Food Service Program_Upstream Rebate_Energy Star Steamer_6 Pans_CI_2022</v>
      </c>
      <c r="D5285" s="19" t="s">
        <v>1787</v>
      </c>
      <c r="E5285" s="19" t="s">
        <v>3</v>
      </c>
      <c r="F5285" s="19" t="s">
        <v>1444</v>
      </c>
      <c r="G5285" s="19" t="s">
        <v>1445</v>
      </c>
      <c r="H5285" s="19" t="s">
        <v>1186</v>
      </c>
      <c r="I5285" s="19" t="s">
        <v>1195</v>
      </c>
      <c r="J5285" s="19" t="s">
        <v>39</v>
      </c>
      <c r="K5285" s="19" t="s">
        <v>1159</v>
      </c>
      <c r="L5285" s="19">
        <v>2022</v>
      </c>
      <c r="M5285" s="20">
        <v>1</v>
      </c>
      <c r="N5285" s="19" t="s">
        <v>1798</v>
      </c>
      <c r="O5285" s="20">
        <v>0</v>
      </c>
      <c r="P5285" s="20">
        <v>0</v>
      </c>
      <c r="Q5285" s="20">
        <v>0</v>
      </c>
      <c r="R5285" s="21">
        <v>0.91500000000000004</v>
      </c>
      <c r="S5285" s="20">
        <v>0</v>
      </c>
    </row>
    <row r="5286" spans="2:19" ht="15" customHeight="1" x14ac:dyDescent="0.25">
      <c r="B5286" s="2" t="str">
        <f t="shared" si="164"/>
        <v>NSG_Business_Commercial Food Service Program_Upstream Rebate_Energy Star Steamer_6 Pans_CI</v>
      </c>
      <c r="C5286" s="2" t="str">
        <f t="shared" si="165"/>
        <v>NSG_Business_Commercial Food Service Program_Upstream Rebate_Energy Star Steamer_6 Pans_CI_2023</v>
      </c>
      <c r="D5286" s="19" t="s">
        <v>1787</v>
      </c>
      <c r="E5286" s="19" t="s">
        <v>3</v>
      </c>
      <c r="F5286" s="19" t="s">
        <v>1444</v>
      </c>
      <c r="G5286" s="19" t="s">
        <v>1445</v>
      </c>
      <c r="H5286" s="19" t="s">
        <v>1186</v>
      </c>
      <c r="I5286" s="19" t="s">
        <v>1195</v>
      </c>
      <c r="J5286" s="19" t="s">
        <v>39</v>
      </c>
      <c r="K5286" s="19" t="s">
        <v>1159</v>
      </c>
      <c r="L5286" s="19">
        <v>2023</v>
      </c>
      <c r="M5286" s="20">
        <v>1</v>
      </c>
      <c r="N5286" s="19" t="s">
        <v>1798</v>
      </c>
      <c r="O5286" s="20">
        <v>0</v>
      </c>
      <c r="P5286" s="20">
        <v>0</v>
      </c>
      <c r="Q5286" s="20">
        <v>0</v>
      </c>
      <c r="R5286" s="21">
        <v>0.91500000000000004</v>
      </c>
      <c r="S5286" s="20">
        <v>0</v>
      </c>
    </row>
    <row r="5287" spans="2:19" ht="15" customHeight="1" x14ac:dyDescent="0.25">
      <c r="B5287" s="2" t="str">
        <f t="shared" si="164"/>
        <v>NSG_Business_Commercial Food Service Program_Upstream Rebate_Energy Star Steamer_6 Pans_CI</v>
      </c>
      <c r="C5287" s="2" t="str">
        <f t="shared" si="165"/>
        <v>NSG_Business_Commercial Food Service Program_Upstream Rebate_Energy Star Steamer_6 Pans_CI_2024</v>
      </c>
      <c r="D5287" s="19" t="s">
        <v>1787</v>
      </c>
      <c r="E5287" s="19" t="s">
        <v>3</v>
      </c>
      <c r="F5287" s="19" t="s">
        <v>1444</v>
      </c>
      <c r="G5287" s="19" t="s">
        <v>1445</v>
      </c>
      <c r="H5287" s="19" t="s">
        <v>1186</v>
      </c>
      <c r="I5287" s="19" t="s">
        <v>1195</v>
      </c>
      <c r="J5287" s="19" t="s">
        <v>39</v>
      </c>
      <c r="K5287" s="19" t="s">
        <v>1159</v>
      </c>
      <c r="L5287" s="19">
        <v>2024</v>
      </c>
      <c r="M5287" s="20">
        <v>1</v>
      </c>
      <c r="N5287" s="19" t="s">
        <v>1798</v>
      </c>
      <c r="O5287" s="20">
        <v>0</v>
      </c>
      <c r="P5287" s="20">
        <v>0</v>
      </c>
      <c r="Q5287" s="20">
        <v>0</v>
      </c>
      <c r="R5287" s="21">
        <v>0.91500000000000004</v>
      </c>
      <c r="S5287" s="20">
        <v>0</v>
      </c>
    </row>
    <row r="5288" spans="2:19" ht="15" customHeight="1" x14ac:dyDescent="0.25">
      <c r="B5288" s="2" t="str">
        <f t="shared" si="164"/>
        <v>NSG_Business_Commercial Food Service Program_Upstream Rebate_Energy Star Steamer_6 Pans_CI</v>
      </c>
      <c r="C5288" s="2" t="str">
        <f t="shared" si="165"/>
        <v>NSG_Business_Commercial Food Service Program_Upstream Rebate_Energy Star Steamer_6 Pans_CI_2025</v>
      </c>
      <c r="D5288" s="19" t="s">
        <v>1787</v>
      </c>
      <c r="E5288" s="19" t="s">
        <v>3</v>
      </c>
      <c r="F5288" s="19" t="s">
        <v>1444</v>
      </c>
      <c r="G5288" s="19" t="s">
        <v>1445</v>
      </c>
      <c r="H5288" s="19" t="s">
        <v>1186</v>
      </c>
      <c r="I5288" s="19" t="s">
        <v>1195</v>
      </c>
      <c r="J5288" s="19" t="s">
        <v>39</v>
      </c>
      <c r="K5288" s="19" t="s">
        <v>1159</v>
      </c>
      <c r="L5288" s="19">
        <v>2025</v>
      </c>
      <c r="M5288" s="20">
        <v>1</v>
      </c>
      <c r="N5288" s="19" t="s">
        <v>1798</v>
      </c>
      <c r="O5288" s="20">
        <v>0</v>
      </c>
      <c r="P5288" s="20">
        <v>0</v>
      </c>
      <c r="Q5288" s="20">
        <v>0</v>
      </c>
      <c r="R5288" s="21">
        <v>0.91500000000000004</v>
      </c>
      <c r="S5288" s="20">
        <v>0</v>
      </c>
    </row>
    <row r="5289" spans="2:19" ht="15" customHeight="1" x14ac:dyDescent="0.25">
      <c r="B5289" s="2" t="str">
        <f t="shared" si="164"/>
        <v>NSG_Business_Commercial Food Service Program_Upstream Rebate_ENERGY STAR Dishwasher_Single Tank Conveyor_CI</v>
      </c>
      <c r="C5289" s="2" t="str">
        <f t="shared" si="165"/>
        <v>NSG_Business_Commercial Food Service Program_Upstream Rebate_ENERGY STAR Dishwasher_Single Tank Conveyor_CI_2022</v>
      </c>
      <c r="D5289" s="19" t="s">
        <v>1787</v>
      </c>
      <c r="E5289" s="19" t="s">
        <v>3</v>
      </c>
      <c r="F5289" s="19" t="s">
        <v>1444</v>
      </c>
      <c r="G5289" s="19" t="s">
        <v>1445</v>
      </c>
      <c r="H5289" s="19" t="s">
        <v>9</v>
      </c>
      <c r="I5289" s="19" t="s">
        <v>1337</v>
      </c>
      <c r="J5289" s="19" t="s">
        <v>40</v>
      </c>
      <c r="K5289" s="19" t="s">
        <v>1159</v>
      </c>
      <c r="L5289" s="19">
        <v>2022</v>
      </c>
      <c r="M5289" s="20">
        <v>1</v>
      </c>
      <c r="N5289" s="19" t="s">
        <v>1798</v>
      </c>
      <c r="O5289" s="20">
        <v>1</v>
      </c>
      <c r="P5289" s="20">
        <v>1</v>
      </c>
      <c r="Q5289" s="20">
        <v>256.2</v>
      </c>
      <c r="R5289" s="21">
        <v>0.91500000000000004</v>
      </c>
      <c r="S5289" s="20">
        <v>256.2</v>
      </c>
    </row>
    <row r="5290" spans="2:19" ht="15" customHeight="1" x14ac:dyDescent="0.25">
      <c r="B5290" s="2" t="str">
        <f t="shared" si="164"/>
        <v>NSG_Business_Commercial Food Service Program_Upstream Rebate_ENERGY STAR Dishwasher_Single Tank Conveyor_CI</v>
      </c>
      <c r="C5290" s="2" t="str">
        <f t="shared" si="165"/>
        <v>NSG_Business_Commercial Food Service Program_Upstream Rebate_ENERGY STAR Dishwasher_Single Tank Conveyor_CI_2023</v>
      </c>
      <c r="D5290" s="19" t="s">
        <v>1787</v>
      </c>
      <c r="E5290" s="19" t="s">
        <v>3</v>
      </c>
      <c r="F5290" s="19" t="s">
        <v>1444</v>
      </c>
      <c r="G5290" s="19" t="s">
        <v>1445</v>
      </c>
      <c r="H5290" s="19" t="s">
        <v>9</v>
      </c>
      <c r="I5290" s="19" t="s">
        <v>1337</v>
      </c>
      <c r="J5290" s="19" t="s">
        <v>40</v>
      </c>
      <c r="K5290" s="19" t="s">
        <v>1159</v>
      </c>
      <c r="L5290" s="19">
        <v>2023</v>
      </c>
      <c r="M5290" s="20">
        <v>1</v>
      </c>
      <c r="N5290" s="19" t="s">
        <v>1798</v>
      </c>
      <c r="O5290" s="20">
        <v>1</v>
      </c>
      <c r="P5290" s="20">
        <v>1</v>
      </c>
      <c r="Q5290" s="20">
        <v>256.2</v>
      </c>
      <c r="R5290" s="21">
        <v>0.91500000000000004</v>
      </c>
      <c r="S5290" s="20">
        <v>256.2</v>
      </c>
    </row>
    <row r="5291" spans="2:19" ht="15" customHeight="1" x14ac:dyDescent="0.25">
      <c r="B5291" s="2" t="str">
        <f t="shared" si="164"/>
        <v>NSG_Business_Commercial Food Service Program_Upstream Rebate_ENERGY STAR Dishwasher_Single Tank Conveyor_CI</v>
      </c>
      <c r="C5291" s="2" t="str">
        <f t="shared" si="165"/>
        <v>NSG_Business_Commercial Food Service Program_Upstream Rebate_ENERGY STAR Dishwasher_Single Tank Conveyor_CI_2024</v>
      </c>
      <c r="D5291" s="19" t="s">
        <v>1787</v>
      </c>
      <c r="E5291" s="19" t="s">
        <v>3</v>
      </c>
      <c r="F5291" s="19" t="s">
        <v>1444</v>
      </c>
      <c r="G5291" s="19" t="s">
        <v>1445</v>
      </c>
      <c r="H5291" s="19" t="s">
        <v>9</v>
      </c>
      <c r="I5291" s="19" t="s">
        <v>1337</v>
      </c>
      <c r="J5291" s="19" t="s">
        <v>40</v>
      </c>
      <c r="K5291" s="19" t="s">
        <v>1159</v>
      </c>
      <c r="L5291" s="19">
        <v>2024</v>
      </c>
      <c r="M5291" s="20">
        <v>1</v>
      </c>
      <c r="N5291" s="19" t="s">
        <v>1798</v>
      </c>
      <c r="O5291" s="20">
        <v>2</v>
      </c>
      <c r="P5291" s="20">
        <v>2</v>
      </c>
      <c r="Q5291" s="20">
        <v>512.4</v>
      </c>
      <c r="R5291" s="21">
        <v>0.91500000000000004</v>
      </c>
      <c r="S5291" s="20">
        <v>512.4</v>
      </c>
    </row>
    <row r="5292" spans="2:19" ht="15" customHeight="1" x14ac:dyDescent="0.25">
      <c r="B5292" s="2" t="str">
        <f t="shared" si="164"/>
        <v>NSG_Business_Commercial Food Service Program_Upstream Rebate_ENERGY STAR Dishwasher_Single Tank Conveyor_CI</v>
      </c>
      <c r="C5292" s="2" t="str">
        <f t="shared" si="165"/>
        <v>NSG_Business_Commercial Food Service Program_Upstream Rebate_ENERGY STAR Dishwasher_Single Tank Conveyor_CI_2025</v>
      </c>
      <c r="D5292" s="19" t="s">
        <v>1787</v>
      </c>
      <c r="E5292" s="19" t="s">
        <v>3</v>
      </c>
      <c r="F5292" s="19" t="s">
        <v>1444</v>
      </c>
      <c r="G5292" s="19" t="s">
        <v>1445</v>
      </c>
      <c r="H5292" s="19" t="s">
        <v>9</v>
      </c>
      <c r="I5292" s="19" t="s">
        <v>1337</v>
      </c>
      <c r="J5292" s="19" t="s">
        <v>40</v>
      </c>
      <c r="K5292" s="19" t="s">
        <v>1159</v>
      </c>
      <c r="L5292" s="19">
        <v>2025</v>
      </c>
      <c r="M5292" s="20">
        <v>1</v>
      </c>
      <c r="N5292" s="19" t="s">
        <v>1798</v>
      </c>
      <c r="O5292" s="20">
        <v>2</v>
      </c>
      <c r="P5292" s="20">
        <v>2</v>
      </c>
      <c r="Q5292" s="20">
        <v>512.4</v>
      </c>
      <c r="R5292" s="21">
        <v>0.91500000000000004</v>
      </c>
      <c r="S5292" s="20">
        <v>512.4</v>
      </c>
    </row>
    <row r="5293" spans="2:19" ht="15" customHeight="1" x14ac:dyDescent="0.25">
      <c r="B5293" s="2" t="str">
        <f t="shared" si="164"/>
        <v>NSG_Business_Commercial Food Service Program_Upstream Rebate_ENERGY STAR Dishwasher_Multi Tank Conveyor_CI</v>
      </c>
      <c r="C5293" s="2" t="str">
        <f t="shared" si="165"/>
        <v>NSG_Business_Commercial Food Service Program_Upstream Rebate_ENERGY STAR Dishwasher_Multi Tank Conveyor_CI_2022</v>
      </c>
      <c r="D5293" s="19" t="s">
        <v>1787</v>
      </c>
      <c r="E5293" s="19" t="s">
        <v>3</v>
      </c>
      <c r="F5293" s="19" t="s">
        <v>1444</v>
      </c>
      <c r="G5293" s="19" t="s">
        <v>1445</v>
      </c>
      <c r="H5293" s="19" t="s">
        <v>9</v>
      </c>
      <c r="I5293" s="19" t="s">
        <v>1343</v>
      </c>
      <c r="J5293" s="19" t="s">
        <v>40</v>
      </c>
      <c r="K5293" s="19" t="s">
        <v>1159</v>
      </c>
      <c r="L5293" s="19">
        <v>2022</v>
      </c>
      <c r="M5293" s="20">
        <v>1</v>
      </c>
      <c r="N5293" s="19" t="s">
        <v>1798</v>
      </c>
      <c r="O5293" s="20">
        <v>1</v>
      </c>
      <c r="P5293" s="20">
        <v>1</v>
      </c>
      <c r="Q5293" s="20">
        <v>973.56000000000006</v>
      </c>
      <c r="R5293" s="21">
        <v>0.91500000000000004</v>
      </c>
      <c r="S5293" s="20">
        <v>973.56000000000006</v>
      </c>
    </row>
    <row r="5294" spans="2:19" ht="15" customHeight="1" x14ac:dyDescent="0.25">
      <c r="B5294" s="2" t="str">
        <f t="shared" si="164"/>
        <v>NSG_Business_Commercial Food Service Program_Upstream Rebate_ENERGY STAR Dishwasher_Multi Tank Conveyor_CI</v>
      </c>
      <c r="C5294" s="2" t="str">
        <f t="shared" si="165"/>
        <v>NSG_Business_Commercial Food Service Program_Upstream Rebate_ENERGY STAR Dishwasher_Multi Tank Conveyor_CI_2023</v>
      </c>
      <c r="D5294" s="19" t="s">
        <v>1787</v>
      </c>
      <c r="E5294" s="19" t="s">
        <v>3</v>
      </c>
      <c r="F5294" s="19" t="s">
        <v>1444</v>
      </c>
      <c r="G5294" s="19" t="s">
        <v>1445</v>
      </c>
      <c r="H5294" s="19" t="s">
        <v>9</v>
      </c>
      <c r="I5294" s="19" t="s">
        <v>1343</v>
      </c>
      <c r="J5294" s="19" t="s">
        <v>40</v>
      </c>
      <c r="K5294" s="19" t="s">
        <v>1159</v>
      </c>
      <c r="L5294" s="19">
        <v>2023</v>
      </c>
      <c r="M5294" s="20">
        <v>1</v>
      </c>
      <c r="N5294" s="19" t="s">
        <v>1798</v>
      </c>
      <c r="O5294" s="20">
        <v>1</v>
      </c>
      <c r="P5294" s="20">
        <v>1</v>
      </c>
      <c r="Q5294" s="20">
        <v>973.56000000000006</v>
      </c>
      <c r="R5294" s="21">
        <v>0.91500000000000004</v>
      </c>
      <c r="S5294" s="20">
        <v>973.56000000000006</v>
      </c>
    </row>
    <row r="5295" spans="2:19" ht="15" customHeight="1" x14ac:dyDescent="0.25">
      <c r="B5295" s="2" t="str">
        <f t="shared" si="164"/>
        <v>NSG_Business_Commercial Food Service Program_Upstream Rebate_ENERGY STAR Dishwasher_Multi Tank Conveyor_CI</v>
      </c>
      <c r="C5295" s="2" t="str">
        <f t="shared" si="165"/>
        <v>NSG_Business_Commercial Food Service Program_Upstream Rebate_ENERGY STAR Dishwasher_Multi Tank Conveyor_CI_2024</v>
      </c>
      <c r="D5295" s="19" t="s">
        <v>1787</v>
      </c>
      <c r="E5295" s="19" t="s">
        <v>3</v>
      </c>
      <c r="F5295" s="19" t="s">
        <v>1444</v>
      </c>
      <c r="G5295" s="19" t="s">
        <v>1445</v>
      </c>
      <c r="H5295" s="19" t="s">
        <v>9</v>
      </c>
      <c r="I5295" s="19" t="s">
        <v>1343</v>
      </c>
      <c r="J5295" s="19" t="s">
        <v>40</v>
      </c>
      <c r="K5295" s="19" t="s">
        <v>1159</v>
      </c>
      <c r="L5295" s="19">
        <v>2024</v>
      </c>
      <c r="M5295" s="20">
        <v>1</v>
      </c>
      <c r="N5295" s="19" t="s">
        <v>1798</v>
      </c>
      <c r="O5295" s="20">
        <v>2</v>
      </c>
      <c r="P5295" s="20">
        <v>2</v>
      </c>
      <c r="Q5295" s="20">
        <v>1947.1200000000001</v>
      </c>
      <c r="R5295" s="21">
        <v>0.91500000000000004</v>
      </c>
      <c r="S5295" s="20">
        <v>1947.1200000000001</v>
      </c>
    </row>
    <row r="5296" spans="2:19" ht="15" customHeight="1" x14ac:dyDescent="0.25">
      <c r="B5296" s="2" t="str">
        <f t="shared" si="164"/>
        <v>NSG_Business_Commercial Food Service Program_Upstream Rebate_ENERGY STAR Dishwasher_Multi Tank Conveyor_CI</v>
      </c>
      <c r="C5296" s="2" t="str">
        <f t="shared" si="165"/>
        <v>NSG_Business_Commercial Food Service Program_Upstream Rebate_ENERGY STAR Dishwasher_Multi Tank Conveyor_CI_2025</v>
      </c>
      <c r="D5296" s="19" t="s">
        <v>1787</v>
      </c>
      <c r="E5296" s="19" t="s">
        <v>3</v>
      </c>
      <c r="F5296" s="19" t="s">
        <v>1444</v>
      </c>
      <c r="G5296" s="19" t="s">
        <v>1445</v>
      </c>
      <c r="H5296" s="19" t="s">
        <v>9</v>
      </c>
      <c r="I5296" s="19" t="s">
        <v>1343</v>
      </c>
      <c r="J5296" s="19" t="s">
        <v>40</v>
      </c>
      <c r="K5296" s="19" t="s">
        <v>1159</v>
      </c>
      <c r="L5296" s="19">
        <v>2025</v>
      </c>
      <c r="M5296" s="20">
        <v>1</v>
      </c>
      <c r="N5296" s="19" t="s">
        <v>1798</v>
      </c>
      <c r="O5296" s="20">
        <v>2</v>
      </c>
      <c r="P5296" s="20">
        <v>2</v>
      </c>
      <c r="Q5296" s="20">
        <v>1947.1200000000001</v>
      </c>
      <c r="R5296" s="21">
        <v>0.91500000000000004</v>
      </c>
      <c r="S5296" s="20">
        <v>1947.1200000000001</v>
      </c>
    </row>
    <row r="5297" spans="2:19" ht="15" customHeight="1" x14ac:dyDescent="0.25">
      <c r="B5297" s="2" t="str">
        <f t="shared" si="164"/>
        <v>NSG_Business_Commercial Food Service Program_Upstream Rebate_ENERGY STAR Dishwasher_Stationary Single Tank_CI</v>
      </c>
      <c r="C5297" s="2" t="str">
        <f t="shared" si="165"/>
        <v>NSG_Business_Commercial Food Service Program_Upstream Rebate_ENERGY STAR Dishwasher_Stationary Single Tank_CI_2022</v>
      </c>
      <c r="D5297" s="19" t="s">
        <v>1787</v>
      </c>
      <c r="E5297" s="19" t="s">
        <v>3</v>
      </c>
      <c r="F5297" s="19" t="s">
        <v>1444</v>
      </c>
      <c r="G5297" s="19" t="s">
        <v>1445</v>
      </c>
      <c r="H5297" s="19" t="s">
        <v>9</v>
      </c>
      <c r="I5297" s="19" t="s">
        <v>1340</v>
      </c>
      <c r="J5297" s="19" t="s">
        <v>40</v>
      </c>
      <c r="K5297" s="19" t="s">
        <v>1159</v>
      </c>
      <c r="L5297" s="19">
        <v>2022</v>
      </c>
      <c r="M5297" s="20">
        <v>1</v>
      </c>
      <c r="N5297" s="19" t="s">
        <v>1798</v>
      </c>
      <c r="O5297" s="20">
        <v>1</v>
      </c>
      <c r="P5297" s="20">
        <v>1</v>
      </c>
      <c r="Q5297" s="20">
        <v>422.73</v>
      </c>
      <c r="R5297" s="21">
        <v>0.91500000000000004</v>
      </c>
      <c r="S5297" s="20">
        <v>422.73</v>
      </c>
    </row>
    <row r="5298" spans="2:19" ht="15" customHeight="1" x14ac:dyDescent="0.25">
      <c r="B5298" s="2" t="str">
        <f t="shared" si="164"/>
        <v>NSG_Business_Commercial Food Service Program_Upstream Rebate_ENERGY STAR Dishwasher_Stationary Single Tank_CI</v>
      </c>
      <c r="C5298" s="2" t="str">
        <f t="shared" si="165"/>
        <v>NSG_Business_Commercial Food Service Program_Upstream Rebate_ENERGY STAR Dishwasher_Stationary Single Tank_CI_2023</v>
      </c>
      <c r="D5298" s="19" t="s">
        <v>1787</v>
      </c>
      <c r="E5298" s="19" t="s">
        <v>3</v>
      </c>
      <c r="F5298" s="19" t="s">
        <v>1444</v>
      </c>
      <c r="G5298" s="19" t="s">
        <v>1445</v>
      </c>
      <c r="H5298" s="19" t="s">
        <v>9</v>
      </c>
      <c r="I5298" s="19" t="s">
        <v>1340</v>
      </c>
      <c r="J5298" s="19" t="s">
        <v>40</v>
      </c>
      <c r="K5298" s="19" t="s">
        <v>1159</v>
      </c>
      <c r="L5298" s="19">
        <v>2023</v>
      </c>
      <c r="M5298" s="20">
        <v>1</v>
      </c>
      <c r="N5298" s="19" t="s">
        <v>1798</v>
      </c>
      <c r="O5298" s="20">
        <v>1</v>
      </c>
      <c r="P5298" s="20">
        <v>1</v>
      </c>
      <c r="Q5298" s="20">
        <v>422.73</v>
      </c>
      <c r="R5298" s="21">
        <v>0.91500000000000004</v>
      </c>
      <c r="S5298" s="20">
        <v>422.73</v>
      </c>
    </row>
    <row r="5299" spans="2:19" ht="15" customHeight="1" x14ac:dyDescent="0.25">
      <c r="B5299" s="2" t="str">
        <f t="shared" si="164"/>
        <v>NSG_Business_Commercial Food Service Program_Upstream Rebate_ENERGY STAR Dishwasher_Stationary Single Tank_CI</v>
      </c>
      <c r="C5299" s="2" t="str">
        <f t="shared" si="165"/>
        <v>NSG_Business_Commercial Food Service Program_Upstream Rebate_ENERGY STAR Dishwasher_Stationary Single Tank_CI_2024</v>
      </c>
      <c r="D5299" s="19" t="s">
        <v>1787</v>
      </c>
      <c r="E5299" s="19" t="s">
        <v>3</v>
      </c>
      <c r="F5299" s="19" t="s">
        <v>1444</v>
      </c>
      <c r="G5299" s="19" t="s">
        <v>1445</v>
      </c>
      <c r="H5299" s="19" t="s">
        <v>9</v>
      </c>
      <c r="I5299" s="19" t="s">
        <v>1340</v>
      </c>
      <c r="J5299" s="19" t="s">
        <v>40</v>
      </c>
      <c r="K5299" s="19" t="s">
        <v>1159</v>
      </c>
      <c r="L5299" s="19">
        <v>2024</v>
      </c>
      <c r="M5299" s="20">
        <v>1</v>
      </c>
      <c r="N5299" s="19" t="s">
        <v>1798</v>
      </c>
      <c r="O5299" s="20">
        <v>2</v>
      </c>
      <c r="P5299" s="20">
        <v>2</v>
      </c>
      <c r="Q5299" s="20">
        <v>845.46</v>
      </c>
      <c r="R5299" s="21">
        <v>0.91500000000000004</v>
      </c>
      <c r="S5299" s="20">
        <v>845.46</v>
      </c>
    </row>
    <row r="5300" spans="2:19" ht="15" customHeight="1" x14ac:dyDescent="0.25">
      <c r="B5300" s="2" t="str">
        <f t="shared" si="164"/>
        <v>NSG_Business_Commercial Food Service Program_Upstream Rebate_ENERGY STAR Dishwasher_Stationary Single Tank_CI</v>
      </c>
      <c r="C5300" s="2" t="str">
        <f t="shared" si="165"/>
        <v>NSG_Business_Commercial Food Service Program_Upstream Rebate_ENERGY STAR Dishwasher_Stationary Single Tank_CI_2025</v>
      </c>
      <c r="D5300" s="19" t="s">
        <v>1787</v>
      </c>
      <c r="E5300" s="19" t="s">
        <v>3</v>
      </c>
      <c r="F5300" s="19" t="s">
        <v>1444</v>
      </c>
      <c r="G5300" s="19" t="s">
        <v>1445</v>
      </c>
      <c r="H5300" s="19" t="s">
        <v>9</v>
      </c>
      <c r="I5300" s="19" t="s">
        <v>1340</v>
      </c>
      <c r="J5300" s="19" t="s">
        <v>40</v>
      </c>
      <c r="K5300" s="19" t="s">
        <v>1159</v>
      </c>
      <c r="L5300" s="19">
        <v>2025</v>
      </c>
      <c r="M5300" s="20">
        <v>1</v>
      </c>
      <c r="N5300" s="19" t="s">
        <v>1798</v>
      </c>
      <c r="O5300" s="20">
        <v>2</v>
      </c>
      <c r="P5300" s="20">
        <v>2</v>
      </c>
      <c r="Q5300" s="20">
        <v>845.46</v>
      </c>
      <c r="R5300" s="21">
        <v>0.91500000000000004</v>
      </c>
      <c r="S5300" s="20">
        <v>845.46</v>
      </c>
    </row>
    <row r="5301" spans="2:19" ht="15" customHeight="1" x14ac:dyDescent="0.25">
      <c r="B5301" s="2" t="str">
        <f t="shared" si="164"/>
        <v>NSG_Business_Commercial Food Service Program_Upstream Rebate_ENERGY STAR Dishwasher_0_MF/CI/SMB</v>
      </c>
      <c r="C5301" s="2" t="str">
        <f t="shared" si="165"/>
        <v>NSG_Business_Commercial Food Service Program_Upstream Rebate_ENERGY STAR Dishwasher_0_MF/CI/SMB_2022</v>
      </c>
      <c r="D5301" s="19" t="s">
        <v>1787</v>
      </c>
      <c r="E5301" s="19" t="s">
        <v>3</v>
      </c>
      <c r="F5301" s="19" t="s">
        <v>1444</v>
      </c>
      <c r="G5301" s="19" t="s">
        <v>1445</v>
      </c>
      <c r="H5301" s="19" t="s">
        <v>9</v>
      </c>
      <c r="I5301" s="19">
        <v>0</v>
      </c>
      <c r="J5301" s="19" t="s">
        <v>40</v>
      </c>
      <c r="K5301" s="19" t="s">
        <v>662</v>
      </c>
      <c r="L5301" s="19">
        <v>2022</v>
      </c>
      <c r="M5301" s="20">
        <v>1</v>
      </c>
      <c r="N5301" s="19" t="s">
        <v>1798</v>
      </c>
      <c r="O5301" s="20">
        <v>1</v>
      </c>
      <c r="P5301" s="20">
        <v>1</v>
      </c>
      <c r="Q5301" s="20">
        <v>96.990000000000009</v>
      </c>
      <c r="R5301" s="21">
        <v>0.91500000000000004</v>
      </c>
      <c r="S5301" s="20">
        <v>96.990000000000009</v>
      </c>
    </row>
    <row r="5302" spans="2:19" ht="15" customHeight="1" x14ac:dyDescent="0.25">
      <c r="B5302" s="2" t="str">
        <f t="shared" si="164"/>
        <v>NSG_Business_Commercial Food Service Program_Upstream Rebate_ENERGY STAR Dishwasher_0_MF/CI/SMB</v>
      </c>
      <c r="C5302" s="2" t="str">
        <f t="shared" si="165"/>
        <v>NSG_Business_Commercial Food Service Program_Upstream Rebate_ENERGY STAR Dishwasher_0_MF/CI/SMB_2023</v>
      </c>
      <c r="D5302" s="19" t="s">
        <v>1787</v>
      </c>
      <c r="E5302" s="19" t="s">
        <v>3</v>
      </c>
      <c r="F5302" s="19" t="s">
        <v>1444</v>
      </c>
      <c r="G5302" s="19" t="s">
        <v>1445</v>
      </c>
      <c r="H5302" s="19" t="s">
        <v>9</v>
      </c>
      <c r="I5302" s="19">
        <v>0</v>
      </c>
      <c r="J5302" s="19" t="s">
        <v>40</v>
      </c>
      <c r="K5302" s="19" t="s">
        <v>662</v>
      </c>
      <c r="L5302" s="19">
        <v>2023</v>
      </c>
      <c r="M5302" s="20">
        <v>1</v>
      </c>
      <c r="N5302" s="19" t="s">
        <v>1798</v>
      </c>
      <c r="O5302" s="20">
        <v>1</v>
      </c>
      <c r="P5302" s="20">
        <v>1</v>
      </c>
      <c r="Q5302" s="20">
        <v>96.990000000000009</v>
      </c>
      <c r="R5302" s="21">
        <v>0.91500000000000004</v>
      </c>
      <c r="S5302" s="20">
        <v>96.990000000000009</v>
      </c>
    </row>
    <row r="5303" spans="2:19" ht="15" customHeight="1" x14ac:dyDescent="0.25">
      <c r="B5303" s="2" t="str">
        <f t="shared" si="164"/>
        <v>NSG_Business_Commercial Food Service Program_Upstream Rebate_ENERGY STAR Dishwasher_0_MF/CI/SMB</v>
      </c>
      <c r="C5303" s="2" t="str">
        <f t="shared" si="165"/>
        <v>NSG_Business_Commercial Food Service Program_Upstream Rebate_ENERGY STAR Dishwasher_0_MF/CI/SMB_2024</v>
      </c>
      <c r="D5303" s="19" t="s">
        <v>1787</v>
      </c>
      <c r="E5303" s="19" t="s">
        <v>3</v>
      </c>
      <c r="F5303" s="19" t="s">
        <v>1444</v>
      </c>
      <c r="G5303" s="19" t="s">
        <v>1445</v>
      </c>
      <c r="H5303" s="19" t="s">
        <v>9</v>
      </c>
      <c r="I5303" s="19">
        <v>0</v>
      </c>
      <c r="J5303" s="19" t="s">
        <v>40</v>
      </c>
      <c r="K5303" s="19" t="s">
        <v>662</v>
      </c>
      <c r="L5303" s="19">
        <v>2024</v>
      </c>
      <c r="M5303" s="20">
        <v>1</v>
      </c>
      <c r="N5303" s="19" t="s">
        <v>1798</v>
      </c>
      <c r="O5303" s="20">
        <v>2</v>
      </c>
      <c r="P5303" s="20">
        <v>2</v>
      </c>
      <c r="Q5303" s="20">
        <v>193.98000000000002</v>
      </c>
      <c r="R5303" s="21">
        <v>0.91500000000000004</v>
      </c>
      <c r="S5303" s="20">
        <v>193.98000000000002</v>
      </c>
    </row>
    <row r="5304" spans="2:19" ht="15" customHeight="1" x14ac:dyDescent="0.25">
      <c r="B5304" s="2" t="str">
        <f t="shared" si="164"/>
        <v>NSG_Business_Commercial Food Service Program_Upstream Rebate_ENERGY STAR Dishwasher_0_MF/CI/SMB</v>
      </c>
      <c r="C5304" s="2" t="str">
        <f t="shared" si="165"/>
        <v>NSG_Business_Commercial Food Service Program_Upstream Rebate_ENERGY STAR Dishwasher_0_MF/CI/SMB_2025</v>
      </c>
      <c r="D5304" s="19" t="s">
        <v>1787</v>
      </c>
      <c r="E5304" s="19" t="s">
        <v>3</v>
      </c>
      <c r="F5304" s="19" t="s">
        <v>1444</v>
      </c>
      <c r="G5304" s="19" t="s">
        <v>1445</v>
      </c>
      <c r="H5304" s="19" t="s">
        <v>9</v>
      </c>
      <c r="I5304" s="19">
        <v>0</v>
      </c>
      <c r="J5304" s="19" t="s">
        <v>40</v>
      </c>
      <c r="K5304" s="19" t="s">
        <v>662</v>
      </c>
      <c r="L5304" s="19">
        <v>2025</v>
      </c>
      <c r="M5304" s="20">
        <v>1</v>
      </c>
      <c r="N5304" s="19" t="s">
        <v>1798</v>
      </c>
      <c r="O5304" s="20">
        <v>2</v>
      </c>
      <c r="P5304" s="20">
        <v>2</v>
      </c>
      <c r="Q5304" s="20">
        <v>193.98000000000002</v>
      </c>
      <c r="R5304" s="21">
        <v>0.91500000000000004</v>
      </c>
      <c r="S5304" s="20">
        <v>193.98000000000002</v>
      </c>
    </row>
    <row r="5305" spans="2:19" ht="15" customHeight="1" x14ac:dyDescent="0.25">
      <c r="B5305" s="2" t="str">
        <f t="shared" si="164"/>
        <v>NSG_Business_Commercial Food Service Program_Upstream Rebate_Heat Recovery Grease Trap Filter_0_CI</v>
      </c>
      <c r="C5305" s="2" t="str">
        <f t="shared" si="165"/>
        <v>NSG_Business_Commercial Food Service Program_Upstream Rebate_Heat Recovery Grease Trap Filter_0_CI_2022</v>
      </c>
      <c r="D5305" s="19" t="s">
        <v>1787</v>
      </c>
      <c r="E5305" s="19" t="s">
        <v>3</v>
      </c>
      <c r="F5305" s="19" t="s">
        <v>1444</v>
      </c>
      <c r="G5305" s="19" t="s">
        <v>1445</v>
      </c>
      <c r="H5305" s="19" t="s">
        <v>17</v>
      </c>
      <c r="I5305" s="19">
        <v>0</v>
      </c>
      <c r="J5305" s="19" t="s">
        <v>38</v>
      </c>
      <c r="K5305" s="19" t="s">
        <v>1159</v>
      </c>
      <c r="L5305" s="19">
        <v>2022</v>
      </c>
      <c r="M5305" s="20">
        <v>1</v>
      </c>
      <c r="N5305" s="19" t="s">
        <v>1798</v>
      </c>
      <c r="O5305" s="20">
        <v>0</v>
      </c>
      <c r="P5305" s="20">
        <v>0</v>
      </c>
      <c r="Q5305" s="20">
        <v>0</v>
      </c>
      <c r="R5305" s="21">
        <v>0.91500000000000004</v>
      </c>
      <c r="S5305" s="20">
        <v>0</v>
      </c>
    </row>
    <row r="5306" spans="2:19" ht="15" customHeight="1" x14ac:dyDescent="0.25">
      <c r="B5306" s="2" t="str">
        <f t="shared" si="164"/>
        <v>NSG_Business_Commercial Food Service Program_Upstream Rebate_Heat Recovery Grease Trap Filter_0_CI</v>
      </c>
      <c r="C5306" s="2" t="str">
        <f t="shared" si="165"/>
        <v>NSG_Business_Commercial Food Service Program_Upstream Rebate_Heat Recovery Grease Trap Filter_0_CI_2023</v>
      </c>
      <c r="D5306" s="19" t="s">
        <v>1787</v>
      </c>
      <c r="E5306" s="19" t="s">
        <v>3</v>
      </c>
      <c r="F5306" s="19" t="s">
        <v>1444</v>
      </c>
      <c r="G5306" s="19" t="s">
        <v>1445</v>
      </c>
      <c r="H5306" s="19" t="s">
        <v>17</v>
      </c>
      <c r="I5306" s="19">
        <v>0</v>
      </c>
      <c r="J5306" s="19" t="s">
        <v>38</v>
      </c>
      <c r="K5306" s="19" t="s">
        <v>1159</v>
      </c>
      <c r="L5306" s="19">
        <v>2023</v>
      </c>
      <c r="M5306" s="20">
        <v>1</v>
      </c>
      <c r="N5306" s="19" t="s">
        <v>1798</v>
      </c>
      <c r="O5306" s="20">
        <v>0</v>
      </c>
      <c r="P5306" s="20">
        <v>0</v>
      </c>
      <c r="Q5306" s="20">
        <v>0</v>
      </c>
      <c r="R5306" s="21">
        <v>0.91500000000000004</v>
      </c>
      <c r="S5306" s="20">
        <v>0</v>
      </c>
    </row>
    <row r="5307" spans="2:19" ht="15" customHeight="1" x14ac:dyDescent="0.25">
      <c r="B5307" s="2" t="str">
        <f t="shared" si="164"/>
        <v>NSG_Business_Commercial Food Service Program_Upstream Rebate_Heat Recovery Grease Trap Filter_0_CI</v>
      </c>
      <c r="C5307" s="2" t="str">
        <f t="shared" si="165"/>
        <v>NSG_Business_Commercial Food Service Program_Upstream Rebate_Heat Recovery Grease Trap Filter_0_CI_2024</v>
      </c>
      <c r="D5307" s="19" t="s">
        <v>1787</v>
      </c>
      <c r="E5307" s="19" t="s">
        <v>3</v>
      </c>
      <c r="F5307" s="19" t="s">
        <v>1444</v>
      </c>
      <c r="G5307" s="19" t="s">
        <v>1445</v>
      </c>
      <c r="H5307" s="19" t="s">
        <v>17</v>
      </c>
      <c r="I5307" s="19">
        <v>0</v>
      </c>
      <c r="J5307" s="19" t="s">
        <v>38</v>
      </c>
      <c r="K5307" s="19" t="s">
        <v>1159</v>
      </c>
      <c r="L5307" s="19">
        <v>2024</v>
      </c>
      <c r="M5307" s="20">
        <v>1</v>
      </c>
      <c r="N5307" s="19" t="s">
        <v>1798</v>
      </c>
      <c r="O5307" s="20">
        <v>0</v>
      </c>
      <c r="P5307" s="20">
        <v>0</v>
      </c>
      <c r="Q5307" s="20">
        <v>0</v>
      </c>
      <c r="R5307" s="21">
        <v>0.91500000000000004</v>
      </c>
      <c r="S5307" s="20">
        <v>0</v>
      </c>
    </row>
    <row r="5308" spans="2:19" ht="15" customHeight="1" x14ac:dyDescent="0.25">
      <c r="B5308" s="2" t="str">
        <f t="shared" si="164"/>
        <v>NSG_Business_Commercial Food Service Program_Upstream Rebate_Heat Recovery Grease Trap Filter_0_CI</v>
      </c>
      <c r="C5308" s="2" t="str">
        <f t="shared" si="165"/>
        <v>NSG_Business_Commercial Food Service Program_Upstream Rebate_Heat Recovery Grease Trap Filter_0_CI_2025</v>
      </c>
      <c r="D5308" s="19" t="s">
        <v>1787</v>
      </c>
      <c r="E5308" s="19" t="s">
        <v>3</v>
      </c>
      <c r="F5308" s="19" t="s">
        <v>1444</v>
      </c>
      <c r="G5308" s="19" t="s">
        <v>1445</v>
      </c>
      <c r="H5308" s="19" t="s">
        <v>17</v>
      </c>
      <c r="I5308" s="19">
        <v>0</v>
      </c>
      <c r="J5308" s="19" t="s">
        <v>38</v>
      </c>
      <c r="K5308" s="19" t="s">
        <v>1159</v>
      </c>
      <c r="L5308" s="19">
        <v>2025</v>
      </c>
      <c r="M5308" s="20">
        <v>1</v>
      </c>
      <c r="N5308" s="19" t="s">
        <v>1798</v>
      </c>
      <c r="O5308" s="20">
        <v>0</v>
      </c>
      <c r="P5308" s="20">
        <v>0</v>
      </c>
      <c r="Q5308" s="20">
        <v>0</v>
      </c>
      <c r="R5308" s="21">
        <v>0.91500000000000004</v>
      </c>
      <c r="S5308" s="20">
        <v>0</v>
      </c>
    </row>
    <row r="5309" spans="2:19" ht="15" customHeight="1" x14ac:dyDescent="0.25">
      <c r="B5309" s="2" t="str">
        <f t="shared" si="164"/>
        <v>NSG_Business_Commercial Food Service Program_Upstream Rebate_Infrared Charbroiler_0_CI</v>
      </c>
      <c r="C5309" s="2" t="str">
        <f t="shared" si="165"/>
        <v>NSG_Business_Commercial Food Service Program_Upstream Rebate_Infrared Charbroiler_0_CI_2022</v>
      </c>
      <c r="D5309" s="19" t="s">
        <v>1787</v>
      </c>
      <c r="E5309" s="19" t="s">
        <v>3</v>
      </c>
      <c r="F5309" s="19" t="s">
        <v>1444</v>
      </c>
      <c r="G5309" s="19" t="s">
        <v>1445</v>
      </c>
      <c r="H5309" s="19" t="s">
        <v>18</v>
      </c>
      <c r="I5309" s="19">
        <v>0</v>
      </c>
      <c r="J5309" s="19" t="s">
        <v>44</v>
      </c>
      <c r="K5309" s="19" t="s">
        <v>1159</v>
      </c>
      <c r="L5309" s="19">
        <v>2022</v>
      </c>
      <c r="M5309" s="20">
        <v>1</v>
      </c>
      <c r="N5309" s="19" t="s">
        <v>1798</v>
      </c>
      <c r="O5309" s="20">
        <v>1</v>
      </c>
      <c r="P5309" s="20">
        <v>1</v>
      </c>
      <c r="Q5309" s="20">
        <v>646.61220000000003</v>
      </c>
      <c r="R5309" s="21">
        <v>0.91500000000000004</v>
      </c>
      <c r="S5309" s="20">
        <v>646.61220000000003</v>
      </c>
    </row>
    <row r="5310" spans="2:19" ht="15" customHeight="1" x14ac:dyDescent="0.25">
      <c r="B5310" s="2" t="str">
        <f t="shared" si="164"/>
        <v>NSG_Business_Commercial Food Service Program_Upstream Rebate_Infrared Charbroiler_0_CI</v>
      </c>
      <c r="C5310" s="2" t="str">
        <f t="shared" si="165"/>
        <v>NSG_Business_Commercial Food Service Program_Upstream Rebate_Infrared Charbroiler_0_CI_2023</v>
      </c>
      <c r="D5310" s="19" t="s">
        <v>1787</v>
      </c>
      <c r="E5310" s="19" t="s">
        <v>3</v>
      </c>
      <c r="F5310" s="19" t="s">
        <v>1444</v>
      </c>
      <c r="G5310" s="19" t="s">
        <v>1445</v>
      </c>
      <c r="H5310" s="19" t="s">
        <v>18</v>
      </c>
      <c r="I5310" s="19">
        <v>0</v>
      </c>
      <c r="J5310" s="19" t="s">
        <v>44</v>
      </c>
      <c r="K5310" s="19" t="s">
        <v>1159</v>
      </c>
      <c r="L5310" s="19">
        <v>2023</v>
      </c>
      <c r="M5310" s="20">
        <v>1</v>
      </c>
      <c r="N5310" s="19" t="s">
        <v>1798</v>
      </c>
      <c r="O5310" s="20">
        <v>1</v>
      </c>
      <c r="P5310" s="20">
        <v>1</v>
      </c>
      <c r="Q5310" s="20">
        <v>646.61220000000003</v>
      </c>
      <c r="R5310" s="21">
        <v>0.91500000000000004</v>
      </c>
      <c r="S5310" s="20">
        <v>646.61220000000003</v>
      </c>
    </row>
    <row r="5311" spans="2:19" ht="15" customHeight="1" x14ac:dyDescent="0.25">
      <c r="B5311" s="2" t="str">
        <f t="shared" si="164"/>
        <v>NSG_Business_Commercial Food Service Program_Upstream Rebate_Infrared Charbroiler_0_CI</v>
      </c>
      <c r="C5311" s="2" t="str">
        <f t="shared" si="165"/>
        <v>NSG_Business_Commercial Food Service Program_Upstream Rebate_Infrared Charbroiler_0_CI_2024</v>
      </c>
      <c r="D5311" s="19" t="s">
        <v>1787</v>
      </c>
      <c r="E5311" s="19" t="s">
        <v>3</v>
      </c>
      <c r="F5311" s="19" t="s">
        <v>1444</v>
      </c>
      <c r="G5311" s="19" t="s">
        <v>1445</v>
      </c>
      <c r="H5311" s="19" t="s">
        <v>18</v>
      </c>
      <c r="I5311" s="19">
        <v>0</v>
      </c>
      <c r="J5311" s="19" t="s">
        <v>44</v>
      </c>
      <c r="K5311" s="19" t="s">
        <v>1159</v>
      </c>
      <c r="L5311" s="19">
        <v>2024</v>
      </c>
      <c r="M5311" s="20">
        <v>1</v>
      </c>
      <c r="N5311" s="19" t="s">
        <v>1798</v>
      </c>
      <c r="O5311" s="20">
        <v>1</v>
      </c>
      <c r="P5311" s="20">
        <v>1</v>
      </c>
      <c r="Q5311" s="20">
        <v>646.61220000000003</v>
      </c>
      <c r="R5311" s="21">
        <v>0.91500000000000004</v>
      </c>
      <c r="S5311" s="20">
        <v>646.61220000000003</v>
      </c>
    </row>
    <row r="5312" spans="2:19" ht="15" customHeight="1" x14ac:dyDescent="0.25">
      <c r="B5312" s="2" t="str">
        <f t="shared" si="164"/>
        <v>NSG_Business_Commercial Food Service Program_Upstream Rebate_Infrared Charbroiler_0_CI</v>
      </c>
      <c r="C5312" s="2" t="str">
        <f t="shared" si="165"/>
        <v>NSG_Business_Commercial Food Service Program_Upstream Rebate_Infrared Charbroiler_0_CI_2025</v>
      </c>
      <c r="D5312" s="19" t="s">
        <v>1787</v>
      </c>
      <c r="E5312" s="19" t="s">
        <v>3</v>
      </c>
      <c r="F5312" s="19" t="s">
        <v>1444</v>
      </c>
      <c r="G5312" s="19" t="s">
        <v>1445</v>
      </c>
      <c r="H5312" s="19" t="s">
        <v>18</v>
      </c>
      <c r="I5312" s="19">
        <v>0</v>
      </c>
      <c r="J5312" s="19" t="s">
        <v>44</v>
      </c>
      <c r="K5312" s="19" t="s">
        <v>1159</v>
      </c>
      <c r="L5312" s="19">
        <v>2025</v>
      </c>
      <c r="M5312" s="20">
        <v>1</v>
      </c>
      <c r="N5312" s="19" t="s">
        <v>1798</v>
      </c>
      <c r="O5312" s="20">
        <v>2</v>
      </c>
      <c r="P5312" s="20">
        <v>2</v>
      </c>
      <c r="Q5312" s="20">
        <v>1293.2244000000001</v>
      </c>
      <c r="R5312" s="21">
        <v>0.91500000000000004</v>
      </c>
      <c r="S5312" s="20">
        <v>1293.2244000000001</v>
      </c>
    </row>
    <row r="5313" spans="2:19" ht="15" customHeight="1" x14ac:dyDescent="0.25">
      <c r="B5313" s="2" t="str">
        <f t="shared" si="164"/>
        <v>NSG_Business_Commercial Food Service Program_Upstream Rebate_Infrared Rotisserie Oven_0_CI</v>
      </c>
      <c r="C5313" s="2" t="str">
        <f t="shared" si="165"/>
        <v>NSG_Business_Commercial Food Service Program_Upstream Rebate_Infrared Rotisserie Oven_0_CI_2022</v>
      </c>
      <c r="D5313" s="19" t="s">
        <v>1787</v>
      </c>
      <c r="E5313" s="19" t="s">
        <v>3</v>
      </c>
      <c r="F5313" s="19" t="s">
        <v>1444</v>
      </c>
      <c r="G5313" s="19" t="s">
        <v>1445</v>
      </c>
      <c r="H5313" s="19" t="s">
        <v>19</v>
      </c>
      <c r="I5313" s="19">
        <v>0</v>
      </c>
      <c r="J5313" s="19" t="s">
        <v>45</v>
      </c>
      <c r="K5313" s="19" t="s">
        <v>1159</v>
      </c>
      <c r="L5313" s="19">
        <v>2022</v>
      </c>
      <c r="M5313" s="20">
        <v>1</v>
      </c>
      <c r="N5313" s="19" t="s">
        <v>1798</v>
      </c>
      <c r="O5313" s="20">
        <v>1</v>
      </c>
      <c r="P5313" s="20">
        <v>1</v>
      </c>
      <c r="Q5313" s="20">
        <v>548.12159999999994</v>
      </c>
      <c r="R5313" s="21">
        <v>0.91500000000000004</v>
      </c>
      <c r="S5313" s="20">
        <v>548.12159999999994</v>
      </c>
    </row>
    <row r="5314" spans="2:19" ht="15" customHeight="1" x14ac:dyDescent="0.25">
      <c r="B5314" s="2" t="str">
        <f t="shared" si="164"/>
        <v>NSG_Business_Commercial Food Service Program_Upstream Rebate_Infrared Rotisserie Oven_0_CI</v>
      </c>
      <c r="C5314" s="2" t="str">
        <f t="shared" si="165"/>
        <v>NSG_Business_Commercial Food Service Program_Upstream Rebate_Infrared Rotisserie Oven_0_CI_2023</v>
      </c>
      <c r="D5314" s="19" t="s">
        <v>1787</v>
      </c>
      <c r="E5314" s="19" t="s">
        <v>3</v>
      </c>
      <c r="F5314" s="19" t="s">
        <v>1444</v>
      </c>
      <c r="G5314" s="19" t="s">
        <v>1445</v>
      </c>
      <c r="H5314" s="19" t="s">
        <v>19</v>
      </c>
      <c r="I5314" s="19">
        <v>0</v>
      </c>
      <c r="J5314" s="19" t="s">
        <v>45</v>
      </c>
      <c r="K5314" s="19" t="s">
        <v>1159</v>
      </c>
      <c r="L5314" s="19">
        <v>2023</v>
      </c>
      <c r="M5314" s="20">
        <v>1</v>
      </c>
      <c r="N5314" s="19" t="s">
        <v>1798</v>
      </c>
      <c r="O5314" s="20">
        <v>1</v>
      </c>
      <c r="P5314" s="20">
        <v>1</v>
      </c>
      <c r="Q5314" s="20">
        <v>548.12159999999994</v>
      </c>
      <c r="R5314" s="21">
        <v>0.91500000000000004</v>
      </c>
      <c r="S5314" s="20">
        <v>548.12159999999994</v>
      </c>
    </row>
    <row r="5315" spans="2:19" ht="15" customHeight="1" x14ac:dyDescent="0.25">
      <c r="B5315" s="2" t="str">
        <f t="shared" si="164"/>
        <v>NSG_Business_Commercial Food Service Program_Upstream Rebate_Infrared Rotisserie Oven_0_CI</v>
      </c>
      <c r="C5315" s="2" t="str">
        <f t="shared" si="165"/>
        <v>NSG_Business_Commercial Food Service Program_Upstream Rebate_Infrared Rotisserie Oven_0_CI_2024</v>
      </c>
      <c r="D5315" s="19" t="s">
        <v>1787</v>
      </c>
      <c r="E5315" s="19" t="s">
        <v>3</v>
      </c>
      <c r="F5315" s="19" t="s">
        <v>1444</v>
      </c>
      <c r="G5315" s="19" t="s">
        <v>1445</v>
      </c>
      <c r="H5315" s="19" t="s">
        <v>19</v>
      </c>
      <c r="I5315" s="19">
        <v>0</v>
      </c>
      <c r="J5315" s="19" t="s">
        <v>45</v>
      </c>
      <c r="K5315" s="19" t="s">
        <v>1159</v>
      </c>
      <c r="L5315" s="19">
        <v>2024</v>
      </c>
      <c r="M5315" s="20">
        <v>1</v>
      </c>
      <c r="N5315" s="19" t="s">
        <v>1798</v>
      </c>
      <c r="O5315" s="20">
        <v>1</v>
      </c>
      <c r="P5315" s="20">
        <v>1</v>
      </c>
      <c r="Q5315" s="20">
        <v>548.12159999999994</v>
      </c>
      <c r="R5315" s="21">
        <v>0.91500000000000004</v>
      </c>
      <c r="S5315" s="20">
        <v>548.12159999999994</v>
      </c>
    </row>
    <row r="5316" spans="2:19" ht="15" customHeight="1" x14ac:dyDescent="0.25">
      <c r="B5316" s="2" t="str">
        <f t="shared" si="164"/>
        <v>NSG_Business_Commercial Food Service Program_Upstream Rebate_Infrared Rotisserie Oven_0_CI</v>
      </c>
      <c r="C5316" s="2" t="str">
        <f t="shared" si="165"/>
        <v>NSG_Business_Commercial Food Service Program_Upstream Rebate_Infrared Rotisserie Oven_0_CI_2025</v>
      </c>
      <c r="D5316" s="19" t="s">
        <v>1787</v>
      </c>
      <c r="E5316" s="19" t="s">
        <v>3</v>
      </c>
      <c r="F5316" s="19" t="s">
        <v>1444</v>
      </c>
      <c r="G5316" s="19" t="s">
        <v>1445</v>
      </c>
      <c r="H5316" s="19" t="s">
        <v>19</v>
      </c>
      <c r="I5316" s="19">
        <v>0</v>
      </c>
      <c r="J5316" s="19" t="s">
        <v>45</v>
      </c>
      <c r="K5316" s="19" t="s">
        <v>1159</v>
      </c>
      <c r="L5316" s="19">
        <v>2025</v>
      </c>
      <c r="M5316" s="20">
        <v>1</v>
      </c>
      <c r="N5316" s="19" t="s">
        <v>1798</v>
      </c>
      <c r="O5316" s="20">
        <v>2</v>
      </c>
      <c r="P5316" s="20">
        <v>2</v>
      </c>
      <c r="Q5316" s="20">
        <v>1096.2431999999999</v>
      </c>
      <c r="R5316" s="21">
        <v>0.91500000000000004</v>
      </c>
      <c r="S5316" s="20">
        <v>1096.2431999999999</v>
      </c>
    </row>
    <row r="5317" spans="2:19" ht="15" customHeight="1" x14ac:dyDescent="0.25">
      <c r="B5317" s="2" t="str">
        <f t="shared" si="164"/>
        <v>NSG_Business_Commercial Food Service Program_Upstream Rebate_Infrared Salamander Broiler_0_CI</v>
      </c>
      <c r="C5317" s="2" t="str">
        <f t="shared" si="165"/>
        <v>NSG_Business_Commercial Food Service Program_Upstream Rebate_Infrared Salamander Broiler_0_CI_2022</v>
      </c>
      <c r="D5317" s="19" t="s">
        <v>1787</v>
      </c>
      <c r="E5317" s="19" t="s">
        <v>3</v>
      </c>
      <c r="F5317" s="19" t="s">
        <v>1444</v>
      </c>
      <c r="G5317" s="19" t="s">
        <v>1445</v>
      </c>
      <c r="H5317" s="19" t="s">
        <v>20</v>
      </c>
      <c r="I5317" s="19">
        <v>0</v>
      </c>
      <c r="J5317" s="19" t="s">
        <v>46</v>
      </c>
      <c r="K5317" s="19" t="s">
        <v>1159</v>
      </c>
      <c r="L5317" s="19">
        <v>2022</v>
      </c>
      <c r="M5317" s="20">
        <v>1</v>
      </c>
      <c r="N5317" s="19" t="s">
        <v>1798</v>
      </c>
      <c r="O5317" s="20">
        <v>1</v>
      </c>
      <c r="P5317" s="20">
        <v>1</v>
      </c>
      <c r="Q5317" s="20">
        <v>219.81960000000001</v>
      </c>
      <c r="R5317" s="21">
        <v>0.91500000000000004</v>
      </c>
      <c r="S5317" s="20">
        <v>219.81960000000001</v>
      </c>
    </row>
    <row r="5318" spans="2:19" ht="15" customHeight="1" x14ac:dyDescent="0.25">
      <c r="B5318" s="2" t="str">
        <f t="shared" ref="B5318:B5381" si="166">D5318&amp;"_"&amp;E5318&amp;"_"&amp;F5318&amp;"_"&amp;G5318&amp;"_"&amp;H5318&amp;"_"&amp;I5318&amp;"_"&amp;K5318</f>
        <v>NSG_Business_Commercial Food Service Program_Upstream Rebate_Infrared Salamander Broiler_0_CI</v>
      </c>
      <c r="C5318" s="2" t="str">
        <f t="shared" ref="C5318:C5381" si="167">D5318&amp;"_"&amp;E5318&amp;"_"&amp;F5318&amp;"_"&amp;G5318&amp;"_"&amp;H5318&amp;"_"&amp;I5318&amp;"_"&amp;K5318&amp;"_"&amp;L5318</f>
        <v>NSG_Business_Commercial Food Service Program_Upstream Rebate_Infrared Salamander Broiler_0_CI_2023</v>
      </c>
      <c r="D5318" s="19" t="s">
        <v>1787</v>
      </c>
      <c r="E5318" s="19" t="s">
        <v>3</v>
      </c>
      <c r="F5318" s="19" t="s">
        <v>1444</v>
      </c>
      <c r="G5318" s="19" t="s">
        <v>1445</v>
      </c>
      <c r="H5318" s="19" t="s">
        <v>20</v>
      </c>
      <c r="I5318" s="19">
        <v>0</v>
      </c>
      <c r="J5318" s="19" t="s">
        <v>46</v>
      </c>
      <c r="K5318" s="19" t="s">
        <v>1159</v>
      </c>
      <c r="L5318" s="19">
        <v>2023</v>
      </c>
      <c r="M5318" s="20">
        <v>1</v>
      </c>
      <c r="N5318" s="19" t="s">
        <v>1798</v>
      </c>
      <c r="O5318" s="20">
        <v>2</v>
      </c>
      <c r="P5318" s="20">
        <v>2</v>
      </c>
      <c r="Q5318" s="20">
        <v>439.63920000000002</v>
      </c>
      <c r="R5318" s="21">
        <v>0.91500000000000004</v>
      </c>
      <c r="S5318" s="20">
        <v>439.63920000000002</v>
      </c>
    </row>
    <row r="5319" spans="2:19" ht="15" customHeight="1" x14ac:dyDescent="0.25">
      <c r="B5319" s="2" t="str">
        <f t="shared" si="166"/>
        <v>NSG_Business_Commercial Food Service Program_Upstream Rebate_Infrared Salamander Broiler_0_CI</v>
      </c>
      <c r="C5319" s="2" t="str">
        <f t="shared" si="167"/>
        <v>NSG_Business_Commercial Food Service Program_Upstream Rebate_Infrared Salamander Broiler_0_CI_2024</v>
      </c>
      <c r="D5319" s="19" t="s">
        <v>1787</v>
      </c>
      <c r="E5319" s="19" t="s">
        <v>3</v>
      </c>
      <c r="F5319" s="19" t="s">
        <v>1444</v>
      </c>
      <c r="G5319" s="19" t="s">
        <v>1445</v>
      </c>
      <c r="H5319" s="19" t="s">
        <v>20</v>
      </c>
      <c r="I5319" s="19">
        <v>0</v>
      </c>
      <c r="J5319" s="19" t="s">
        <v>46</v>
      </c>
      <c r="K5319" s="19" t="s">
        <v>1159</v>
      </c>
      <c r="L5319" s="19">
        <v>2024</v>
      </c>
      <c r="M5319" s="20">
        <v>1</v>
      </c>
      <c r="N5319" s="19" t="s">
        <v>1798</v>
      </c>
      <c r="O5319" s="20">
        <v>2</v>
      </c>
      <c r="P5319" s="20">
        <v>2</v>
      </c>
      <c r="Q5319" s="20">
        <v>439.63920000000002</v>
      </c>
      <c r="R5319" s="21">
        <v>0.91500000000000004</v>
      </c>
      <c r="S5319" s="20">
        <v>439.63920000000002</v>
      </c>
    </row>
    <row r="5320" spans="2:19" ht="15" customHeight="1" x14ac:dyDescent="0.25">
      <c r="B5320" s="2" t="str">
        <f t="shared" si="166"/>
        <v>NSG_Business_Commercial Food Service Program_Upstream Rebate_Infrared Salamander Broiler_0_CI</v>
      </c>
      <c r="C5320" s="2" t="str">
        <f t="shared" si="167"/>
        <v>NSG_Business_Commercial Food Service Program_Upstream Rebate_Infrared Salamander Broiler_0_CI_2025</v>
      </c>
      <c r="D5320" s="19" t="s">
        <v>1787</v>
      </c>
      <c r="E5320" s="19" t="s">
        <v>3</v>
      </c>
      <c r="F5320" s="19" t="s">
        <v>1444</v>
      </c>
      <c r="G5320" s="19" t="s">
        <v>1445</v>
      </c>
      <c r="H5320" s="19" t="s">
        <v>20</v>
      </c>
      <c r="I5320" s="19">
        <v>0</v>
      </c>
      <c r="J5320" s="19" t="s">
        <v>46</v>
      </c>
      <c r="K5320" s="19" t="s">
        <v>1159</v>
      </c>
      <c r="L5320" s="19">
        <v>2025</v>
      </c>
      <c r="M5320" s="20">
        <v>1</v>
      </c>
      <c r="N5320" s="19" t="s">
        <v>1798</v>
      </c>
      <c r="O5320" s="20">
        <v>3</v>
      </c>
      <c r="P5320" s="20">
        <v>3</v>
      </c>
      <c r="Q5320" s="20">
        <v>659.4588</v>
      </c>
      <c r="R5320" s="21">
        <v>0.91500000000000004</v>
      </c>
      <c r="S5320" s="20">
        <v>659.4588</v>
      </c>
    </row>
    <row r="5321" spans="2:19" ht="15" customHeight="1" x14ac:dyDescent="0.25">
      <c r="B5321" s="2" t="str">
        <f t="shared" si="166"/>
        <v>NSG_Business_Commercial Food Service Program_Upstream Rebate_Infrared Upright Broiler_0_CI</v>
      </c>
      <c r="C5321" s="2" t="str">
        <f t="shared" si="167"/>
        <v>NSG_Business_Commercial Food Service Program_Upstream Rebate_Infrared Upright Broiler_0_CI_2022</v>
      </c>
      <c r="D5321" s="19" t="s">
        <v>1787</v>
      </c>
      <c r="E5321" s="19" t="s">
        <v>3</v>
      </c>
      <c r="F5321" s="19" t="s">
        <v>1444</v>
      </c>
      <c r="G5321" s="19" t="s">
        <v>1445</v>
      </c>
      <c r="H5321" s="19" t="s">
        <v>21</v>
      </c>
      <c r="I5321" s="19">
        <v>0</v>
      </c>
      <c r="J5321" s="19" t="s">
        <v>47</v>
      </c>
      <c r="K5321" s="19" t="s">
        <v>1159</v>
      </c>
      <c r="L5321" s="19">
        <v>2022</v>
      </c>
      <c r="M5321" s="20">
        <v>1</v>
      </c>
      <c r="N5321" s="19" t="s">
        <v>1798</v>
      </c>
      <c r="O5321" s="20">
        <v>0</v>
      </c>
      <c r="P5321" s="20">
        <v>0</v>
      </c>
      <c r="Q5321" s="20">
        <v>0</v>
      </c>
      <c r="R5321" s="21">
        <v>0.91500000000000004</v>
      </c>
      <c r="S5321" s="20">
        <v>0</v>
      </c>
    </row>
    <row r="5322" spans="2:19" ht="15" customHeight="1" x14ac:dyDescent="0.25">
      <c r="B5322" s="2" t="str">
        <f t="shared" si="166"/>
        <v>NSG_Business_Commercial Food Service Program_Upstream Rebate_Infrared Upright Broiler_0_CI</v>
      </c>
      <c r="C5322" s="2" t="str">
        <f t="shared" si="167"/>
        <v>NSG_Business_Commercial Food Service Program_Upstream Rebate_Infrared Upright Broiler_0_CI_2023</v>
      </c>
      <c r="D5322" s="19" t="s">
        <v>1787</v>
      </c>
      <c r="E5322" s="19" t="s">
        <v>3</v>
      </c>
      <c r="F5322" s="19" t="s">
        <v>1444</v>
      </c>
      <c r="G5322" s="19" t="s">
        <v>1445</v>
      </c>
      <c r="H5322" s="19" t="s">
        <v>21</v>
      </c>
      <c r="I5322" s="19">
        <v>0</v>
      </c>
      <c r="J5322" s="19" t="s">
        <v>47</v>
      </c>
      <c r="K5322" s="19" t="s">
        <v>1159</v>
      </c>
      <c r="L5322" s="19">
        <v>2023</v>
      </c>
      <c r="M5322" s="20">
        <v>1</v>
      </c>
      <c r="N5322" s="19" t="s">
        <v>1798</v>
      </c>
      <c r="O5322" s="20">
        <v>0</v>
      </c>
      <c r="P5322" s="20">
        <v>0</v>
      </c>
      <c r="Q5322" s="20">
        <v>0</v>
      </c>
      <c r="R5322" s="21">
        <v>0.91500000000000004</v>
      </c>
      <c r="S5322" s="20">
        <v>0</v>
      </c>
    </row>
    <row r="5323" spans="2:19" ht="15" customHeight="1" x14ac:dyDescent="0.25">
      <c r="B5323" s="2" t="str">
        <f t="shared" si="166"/>
        <v>NSG_Business_Commercial Food Service Program_Upstream Rebate_Infrared Upright Broiler_0_CI</v>
      </c>
      <c r="C5323" s="2" t="str">
        <f t="shared" si="167"/>
        <v>NSG_Business_Commercial Food Service Program_Upstream Rebate_Infrared Upright Broiler_0_CI_2024</v>
      </c>
      <c r="D5323" s="19" t="s">
        <v>1787</v>
      </c>
      <c r="E5323" s="19" t="s">
        <v>3</v>
      </c>
      <c r="F5323" s="19" t="s">
        <v>1444</v>
      </c>
      <c r="G5323" s="19" t="s">
        <v>1445</v>
      </c>
      <c r="H5323" s="19" t="s">
        <v>21</v>
      </c>
      <c r="I5323" s="19">
        <v>0</v>
      </c>
      <c r="J5323" s="19" t="s">
        <v>47</v>
      </c>
      <c r="K5323" s="19" t="s">
        <v>1159</v>
      </c>
      <c r="L5323" s="19">
        <v>2024</v>
      </c>
      <c r="M5323" s="20">
        <v>1</v>
      </c>
      <c r="N5323" s="19" t="s">
        <v>1798</v>
      </c>
      <c r="O5323" s="20">
        <v>0</v>
      </c>
      <c r="P5323" s="20">
        <v>0</v>
      </c>
      <c r="Q5323" s="20">
        <v>0</v>
      </c>
      <c r="R5323" s="21">
        <v>0.91500000000000004</v>
      </c>
      <c r="S5323" s="20">
        <v>0</v>
      </c>
    </row>
    <row r="5324" spans="2:19" ht="15" customHeight="1" x14ac:dyDescent="0.25">
      <c r="B5324" s="2" t="str">
        <f t="shared" si="166"/>
        <v>NSG_Business_Commercial Food Service Program_Upstream Rebate_Infrared Upright Broiler_0_CI</v>
      </c>
      <c r="C5324" s="2" t="str">
        <f t="shared" si="167"/>
        <v>NSG_Business_Commercial Food Service Program_Upstream Rebate_Infrared Upright Broiler_0_CI_2025</v>
      </c>
      <c r="D5324" s="19" t="s">
        <v>1787</v>
      </c>
      <c r="E5324" s="19" t="s">
        <v>3</v>
      </c>
      <c r="F5324" s="19" t="s">
        <v>1444</v>
      </c>
      <c r="G5324" s="19" t="s">
        <v>1445</v>
      </c>
      <c r="H5324" s="19" t="s">
        <v>21</v>
      </c>
      <c r="I5324" s="19">
        <v>0</v>
      </c>
      <c r="J5324" s="19" t="s">
        <v>47</v>
      </c>
      <c r="K5324" s="19" t="s">
        <v>1159</v>
      </c>
      <c r="L5324" s="19">
        <v>2025</v>
      </c>
      <c r="M5324" s="20">
        <v>1</v>
      </c>
      <c r="N5324" s="19" t="s">
        <v>1798</v>
      </c>
      <c r="O5324" s="20">
        <v>0</v>
      </c>
      <c r="P5324" s="20">
        <v>0</v>
      </c>
      <c r="Q5324" s="20">
        <v>0</v>
      </c>
      <c r="R5324" s="21">
        <v>0.91500000000000004</v>
      </c>
      <c r="S5324" s="20">
        <v>0</v>
      </c>
    </row>
    <row r="5325" spans="2:19" ht="15" customHeight="1" x14ac:dyDescent="0.25">
      <c r="B5325" s="2" t="str">
        <f t="shared" si="166"/>
        <v>PGL_Research &amp; Development (Emerging Technologies)_Gas Heat Pump Pilot_Gas Heat Pump Pilot_Gas Heat Pump Replace Furnace - 140% AFUE_Heat Pump Pilot_SF</v>
      </c>
      <c r="C5325" s="2" t="str">
        <f t="shared" si="167"/>
        <v>PGL_Research &amp; Development (Emerging Technologies)_Gas Heat Pump Pilot_Gas Heat Pump Pilot_Gas Heat Pump Replace Furnace - 140% AFUE_Heat Pump Pilot_SF_2022</v>
      </c>
      <c r="D5325" s="19" t="s">
        <v>1794</v>
      </c>
      <c r="E5325" s="19" t="s">
        <v>1446</v>
      </c>
      <c r="F5325" s="19" t="s">
        <v>1447</v>
      </c>
      <c r="G5325" s="19" t="s">
        <v>1447</v>
      </c>
      <c r="H5325" s="19" t="s">
        <v>1001</v>
      </c>
      <c r="I5325" s="19" t="s">
        <v>877</v>
      </c>
      <c r="J5325" s="19">
        <v>0</v>
      </c>
      <c r="K5325" s="19" t="s">
        <v>409</v>
      </c>
      <c r="L5325" s="19">
        <v>2022</v>
      </c>
      <c r="M5325" s="20">
        <v>1</v>
      </c>
      <c r="N5325" s="19" t="s">
        <v>1798</v>
      </c>
      <c r="O5325" s="20">
        <v>0</v>
      </c>
      <c r="P5325" s="20">
        <v>0</v>
      </c>
      <c r="Q5325" s="20">
        <v>0</v>
      </c>
      <c r="R5325" s="21">
        <v>0.8</v>
      </c>
      <c r="S5325" s="20">
        <v>0</v>
      </c>
    </row>
    <row r="5326" spans="2:19" ht="15" customHeight="1" x14ac:dyDescent="0.25">
      <c r="B5326" s="2" t="str">
        <f t="shared" si="166"/>
        <v>PGL_Research &amp; Development (Emerging Technologies)_Gas Heat Pump Pilot_Gas Heat Pump Pilot_Gas Heat Pump Replace Furnace - 140% AFUE_Heat Pump Pilot_SF</v>
      </c>
      <c r="C5326" s="2" t="str">
        <f t="shared" si="167"/>
        <v>PGL_Research &amp; Development (Emerging Technologies)_Gas Heat Pump Pilot_Gas Heat Pump Pilot_Gas Heat Pump Replace Furnace - 140% AFUE_Heat Pump Pilot_SF_2023</v>
      </c>
      <c r="D5326" s="19" t="s">
        <v>1794</v>
      </c>
      <c r="E5326" s="19" t="s">
        <v>1446</v>
      </c>
      <c r="F5326" s="19" t="s">
        <v>1447</v>
      </c>
      <c r="G5326" s="19" t="s">
        <v>1447</v>
      </c>
      <c r="H5326" s="19" t="s">
        <v>1001</v>
      </c>
      <c r="I5326" s="19" t="s">
        <v>877</v>
      </c>
      <c r="J5326" s="19">
        <v>0</v>
      </c>
      <c r="K5326" s="19" t="s">
        <v>409</v>
      </c>
      <c r="L5326" s="19">
        <v>2023</v>
      </c>
      <c r="M5326" s="20">
        <v>1</v>
      </c>
      <c r="N5326" s="19" t="s">
        <v>1798</v>
      </c>
      <c r="O5326" s="20">
        <v>5</v>
      </c>
      <c r="P5326" s="20">
        <v>5</v>
      </c>
      <c r="Q5326" s="20">
        <v>2716.1162393162381</v>
      </c>
      <c r="R5326" s="21">
        <v>0.8</v>
      </c>
      <c r="S5326" s="20">
        <v>2716.1162393162381</v>
      </c>
    </row>
    <row r="5327" spans="2:19" ht="15" customHeight="1" x14ac:dyDescent="0.25">
      <c r="B5327" s="2" t="str">
        <f t="shared" si="166"/>
        <v>PGL_Research &amp; Development (Emerging Technologies)_Gas Heat Pump Pilot_Gas Heat Pump Pilot_Gas Heat Pump Replace Furnace - 140% AFUE_Heat Pump Pilot_SF</v>
      </c>
      <c r="C5327" s="2" t="str">
        <f t="shared" si="167"/>
        <v>PGL_Research &amp; Development (Emerging Technologies)_Gas Heat Pump Pilot_Gas Heat Pump Pilot_Gas Heat Pump Replace Furnace - 140% AFUE_Heat Pump Pilot_SF_2024</v>
      </c>
      <c r="D5327" s="19" t="s">
        <v>1794</v>
      </c>
      <c r="E5327" s="19" t="s">
        <v>1446</v>
      </c>
      <c r="F5327" s="19" t="s">
        <v>1447</v>
      </c>
      <c r="G5327" s="19" t="s">
        <v>1447</v>
      </c>
      <c r="H5327" s="19" t="s">
        <v>1001</v>
      </c>
      <c r="I5327" s="19" t="s">
        <v>877</v>
      </c>
      <c r="J5327" s="19">
        <v>0</v>
      </c>
      <c r="K5327" s="19" t="s">
        <v>409</v>
      </c>
      <c r="L5327" s="19">
        <v>2024</v>
      </c>
      <c r="M5327" s="20">
        <v>1</v>
      </c>
      <c r="N5327" s="19" t="s">
        <v>1798</v>
      </c>
      <c r="O5327" s="20">
        <v>10</v>
      </c>
      <c r="P5327" s="20">
        <v>10</v>
      </c>
      <c r="Q5327" s="20">
        <v>5432.2324786324762</v>
      </c>
      <c r="R5327" s="21">
        <v>0.8</v>
      </c>
      <c r="S5327" s="20">
        <v>5432.2324786324762</v>
      </c>
    </row>
    <row r="5328" spans="2:19" ht="15" customHeight="1" x14ac:dyDescent="0.25">
      <c r="B5328" s="2" t="str">
        <f t="shared" si="166"/>
        <v>PGL_Research &amp; Development (Emerging Technologies)_Gas Heat Pump Pilot_Gas Heat Pump Pilot_Gas Heat Pump Replace Furnace - 140% AFUE_Heat Pump Pilot_SF</v>
      </c>
      <c r="C5328" s="2" t="str">
        <f t="shared" si="167"/>
        <v>PGL_Research &amp; Development (Emerging Technologies)_Gas Heat Pump Pilot_Gas Heat Pump Pilot_Gas Heat Pump Replace Furnace - 140% AFUE_Heat Pump Pilot_SF_2025</v>
      </c>
      <c r="D5328" s="19" t="s">
        <v>1794</v>
      </c>
      <c r="E5328" s="19" t="s">
        <v>1446</v>
      </c>
      <c r="F5328" s="19" t="s">
        <v>1447</v>
      </c>
      <c r="G5328" s="19" t="s">
        <v>1447</v>
      </c>
      <c r="H5328" s="19" t="s">
        <v>1001</v>
      </c>
      <c r="I5328" s="19" t="s">
        <v>877</v>
      </c>
      <c r="J5328" s="19">
        <v>0</v>
      </c>
      <c r="K5328" s="19" t="s">
        <v>409</v>
      </c>
      <c r="L5328" s="19">
        <v>2025</v>
      </c>
      <c r="M5328" s="20">
        <v>1</v>
      </c>
      <c r="N5328" s="19" t="s">
        <v>1798</v>
      </c>
      <c r="O5328" s="20">
        <v>15</v>
      </c>
      <c r="P5328" s="20">
        <v>15</v>
      </c>
      <c r="Q5328" s="20">
        <v>8148.3487179487147</v>
      </c>
      <c r="R5328" s="21">
        <v>0.8</v>
      </c>
      <c r="S5328" s="20">
        <v>8148.3487179487147</v>
      </c>
    </row>
    <row r="5329" spans="2:19" ht="15" customHeight="1" x14ac:dyDescent="0.25">
      <c r="B5329" s="2" t="str">
        <f t="shared" si="166"/>
        <v>PGL_Research &amp; Development (Emerging Technologies)_Gas Heat Pump Pilot_Gas Heat Pump Pilot_GHPWH (≤55 gallons)- Replace Boiler_Heat Pump Pilot_SF</v>
      </c>
      <c r="C5329" s="2" t="str">
        <f t="shared" si="167"/>
        <v>PGL_Research &amp; Development (Emerging Technologies)_Gas Heat Pump Pilot_Gas Heat Pump Pilot_GHPWH (≤55 gallons)- Replace Boiler_Heat Pump Pilot_SF_2022</v>
      </c>
      <c r="D5329" s="19" t="s">
        <v>1794</v>
      </c>
      <c r="E5329" s="19" t="s">
        <v>1446</v>
      </c>
      <c r="F5329" s="19" t="s">
        <v>1447</v>
      </c>
      <c r="G5329" s="19" t="s">
        <v>1447</v>
      </c>
      <c r="H5329" s="19" t="s">
        <v>876</v>
      </c>
      <c r="I5329" s="19" t="s">
        <v>877</v>
      </c>
      <c r="J5329" s="19">
        <v>0</v>
      </c>
      <c r="K5329" s="19" t="s">
        <v>409</v>
      </c>
      <c r="L5329" s="19">
        <v>2022</v>
      </c>
      <c r="M5329" s="20">
        <v>1</v>
      </c>
      <c r="N5329" s="19" t="s">
        <v>1798</v>
      </c>
      <c r="O5329" s="20">
        <v>0</v>
      </c>
      <c r="P5329" s="20">
        <v>0</v>
      </c>
      <c r="Q5329" s="20">
        <v>0</v>
      </c>
      <c r="R5329" s="21">
        <v>0.8</v>
      </c>
      <c r="S5329" s="20">
        <v>0</v>
      </c>
    </row>
    <row r="5330" spans="2:19" ht="15" customHeight="1" x14ac:dyDescent="0.25">
      <c r="B5330" s="2" t="str">
        <f t="shared" si="166"/>
        <v>PGL_Research &amp; Development (Emerging Technologies)_Gas Heat Pump Pilot_Gas Heat Pump Pilot_GHPWH (≤55 gallons)- Replace Boiler_Heat Pump Pilot_SF</v>
      </c>
      <c r="C5330" s="2" t="str">
        <f t="shared" si="167"/>
        <v>PGL_Research &amp; Development (Emerging Technologies)_Gas Heat Pump Pilot_Gas Heat Pump Pilot_GHPWH (≤55 gallons)- Replace Boiler_Heat Pump Pilot_SF_2023</v>
      </c>
      <c r="D5330" s="19" t="s">
        <v>1794</v>
      </c>
      <c r="E5330" s="19" t="s">
        <v>1446</v>
      </c>
      <c r="F5330" s="19" t="s">
        <v>1447</v>
      </c>
      <c r="G5330" s="19" t="s">
        <v>1447</v>
      </c>
      <c r="H5330" s="19" t="s">
        <v>876</v>
      </c>
      <c r="I5330" s="19" t="s">
        <v>877</v>
      </c>
      <c r="J5330" s="19">
        <v>0</v>
      </c>
      <c r="K5330" s="19" t="s">
        <v>409</v>
      </c>
      <c r="L5330" s="19">
        <v>2023</v>
      </c>
      <c r="M5330" s="20">
        <v>1</v>
      </c>
      <c r="N5330" s="19" t="s">
        <v>1798</v>
      </c>
      <c r="O5330" s="20">
        <v>10</v>
      </c>
      <c r="P5330" s="20">
        <v>10</v>
      </c>
      <c r="Q5330" s="20">
        <v>733.41543807640983</v>
      </c>
      <c r="R5330" s="21">
        <v>0.8</v>
      </c>
      <c r="S5330" s="20">
        <v>733.41543807640983</v>
      </c>
    </row>
    <row r="5331" spans="2:19" ht="15" customHeight="1" x14ac:dyDescent="0.25">
      <c r="B5331" s="2" t="str">
        <f t="shared" si="166"/>
        <v>PGL_Research &amp; Development (Emerging Technologies)_Gas Heat Pump Pilot_Gas Heat Pump Pilot_GHPWH (≤55 gallons)- Replace Boiler_Heat Pump Pilot_SF</v>
      </c>
      <c r="C5331" s="2" t="str">
        <f t="shared" si="167"/>
        <v>PGL_Research &amp; Development (Emerging Technologies)_Gas Heat Pump Pilot_Gas Heat Pump Pilot_GHPWH (≤55 gallons)- Replace Boiler_Heat Pump Pilot_SF_2024</v>
      </c>
      <c r="D5331" s="19" t="s">
        <v>1794</v>
      </c>
      <c r="E5331" s="19" t="s">
        <v>1446</v>
      </c>
      <c r="F5331" s="19" t="s">
        <v>1447</v>
      </c>
      <c r="G5331" s="19" t="s">
        <v>1447</v>
      </c>
      <c r="H5331" s="19" t="s">
        <v>876</v>
      </c>
      <c r="I5331" s="19" t="s">
        <v>877</v>
      </c>
      <c r="J5331" s="19">
        <v>0</v>
      </c>
      <c r="K5331" s="19" t="s">
        <v>409</v>
      </c>
      <c r="L5331" s="19">
        <v>2024</v>
      </c>
      <c r="M5331" s="20">
        <v>1</v>
      </c>
      <c r="N5331" s="19" t="s">
        <v>1798</v>
      </c>
      <c r="O5331" s="20">
        <v>20</v>
      </c>
      <c r="P5331" s="20">
        <v>20</v>
      </c>
      <c r="Q5331" s="20">
        <v>1466.8308761528197</v>
      </c>
      <c r="R5331" s="21">
        <v>0.8</v>
      </c>
      <c r="S5331" s="20">
        <v>1466.8308761528197</v>
      </c>
    </row>
    <row r="5332" spans="2:19" ht="15" customHeight="1" x14ac:dyDescent="0.25">
      <c r="B5332" s="2" t="str">
        <f t="shared" si="166"/>
        <v>PGL_Research &amp; Development (Emerging Technologies)_Gas Heat Pump Pilot_Gas Heat Pump Pilot_GHPWH (≤55 gallons)- Replace Boiler_Heat Pump Pilot_SF</v>
      </c>
      <c r="C5332" s="2" t="str">
        <f t="shared" si="167"/>
        <v>PGL_Research &amp; Development (Emerging Technologies)_Gas Heat Pump Pilot_Gas Heat Pump Pilot_GHPWH (≤55 gallons)- Replace Boiler_Heat Pump Pilot_SF_2025</v>
      </c>
      <c r="D5332" s="19" t="s">
        <v>1794</v>
      </c>
      <c r="E5332" s="19" t="s">
        <v>1446</v>
      </c>
      <c r="F5332" s="19" t="s">
        <v>1447</v>
      </c>
      <c r="G5332" s="19" t="s">
        <v>1447</v>
      </c>
      <c r="H5332" s="19" t="s">
        <v>876</v>
      </c>
      <c r="I5332" s="19" t="s">
        <v>877</v>
      </c>
      <c r="J5332" s="19">
        <v>0</v>
      </c>
      <c r="K5332" s="19" t="s">
        <v>409</v>
      </c>
      <c r="L5332" s="19">
        <v>2025</v>
      </c>
      <c r="M5332" s="20">
        <v>1</v>
      </c>
      <c r="N5332" s="19" t="s">
        <v>1798</v>
      </c>
      <c r="O5332" s="20">
        <v>55</v>
      </c>
      <c r="P5332" s="20">
        <v>55</v>
      </c>
      <c r="Q5332" s="20">
        <v>4033.7849094202534</v>
      </c>
      <c r="R5332" s="21">
        <v>0.8</v>
      </c>
      <c r="S5332" s="20">
        <v>4033.7849094202534</v>
      </c>
    </row>
    <row r="5333" spans="2:19" ht="15" customHeight="1" x14ac:dyDescent="0.25">
      <c r="B5333" s="2" t="str">
        <f t="shared" si="166"/>
        <v>NSG_Research &amp; Development (Emerging Technologies)_Gas Heat Pump Pilot_Gas Heat Pump Pilot_Gas Heat Pump Replace Furnace - 140% AFUE_Heat Pump Pilot_SF</v>
      </c>
      <c r="C5333" s="2" t="str">
        <f t="shared" si="167"/>
        <v>NSG_Research &amp; Development (Emerging Technologies)_Gas Heat Pump Pilot_Gas Heat Pump Pilot_Gas Heat Pump Replace Furnace - 140% AFUE_Heat Pump Pilot_SF_2022</v>
      </c>
      <c r="D5333" s="19" t="s">
        <v>1787</v>
      </c>
      <c r="E5333" s="19" t="s">
        <v>1446</v>
      </c>
      <c r="F5333" s="19" t="s">
        <v>1447</v>
      </c>
      <c r="G5333" s="19" t="s">
        <v>1447</v>
      </c>
      <c r="H5333" s="19" t="s">
        <v>1001</v>
      </c>
      <c r="I5333" s="19" t="s">
        <v>877</v>
      </c>
      <c r="J5333" s="19">
        <v>0</v>
      </c>
      <c r="K5333" s="19" t="s">
        <v>409</v>
      </c>
      <c r="L5333" s="19">
        <v>2022</v>
      </c>
      <c r="M5333" s="20">
        <v>1</v>
      </c>
      <c r="N5333" s="19" t="s">
        <v>1798</v>
      </c>
      <c r="O5333" s="20">
        <v>0</v>
      </c>
      <c r="P5333" s="20">
        <v>0</v>
      </c>
      <c r="Q5333" s="20">
        <v>0</v>
      </c>
      <c r="R5333" s="21">
        <v>0.8</v>
      </c>
      <c r="S5333" s="20">
        <v>0</v>
      </c>
    </row>
    <row r="5334" spans="2:19" ht="15" customHeight="1" x14ac:dyDescent="0.25">
      <c r="B5334" s="2" t="str">
        <f t="shared" si="166"/>
        <v>NSG_Research &amp; Development (Emerging Technologies)_Gas Heat Pump Pilot_Gas Heat Pump Pilot_Gas Heat Pump Replace Furnace - 140% AFUE_Heat Pump Pilot_SF</v>
      </c>
      <c r="C5334" s="2" t="str">
        <f t="shared" si="167"/>
        <v>NSG_Research &amp; Development (Emerging Technologies)_Gas Heat Pump Pilot_Gas Heat Pump Pilot_Gas Heat Pump Replace Furnace - 140% AFUE_Heat Pump Pilot_SF_2023</v>
      </c>
      <c r="D5334" s="19" t="s">
        <v>1787</v>
      </c>
      <c r="E5334" s="19" t="s">
        <v>1446</v>
      </c>
      <c r="F5334" s="19" t="s">
        <v>1447</v>
      </c>
      <c r="G5334" s="19" t="s">
        <v>1447</v>
      </c>
      <c r="H5334" s="19" t="s">
        <v>1001</v>
      </c>
      <c r="I5334" s="19" t="s">
        <v>877</v>
      </c>
      <c r="J5334" s="19">
        <v>0</v>
      </c>
      <c r="K5334" s="19" t="s">
        <v>409</v>
      </c>
      <c r="L5334" s="19">
        <v>2023</v>
      </c>
      <c r="M5334" s="20">
        <v>1</v>
      </c>
      <c r="N5334" s="19" t="s">
        <v>1798</v>
      </c>
      <c r="O5334" s="20">
        <v>2</v>
      </c>
      <c r="P5334" s="20">
        <v>2</v>
      </c>
      <c r="Q5334" s="20">
        <v>1086.4464957264952</v>
      </c>
      <c r="R5334" s="21">
        <v>0.8</v>
      </c>
      <c r="S5334" s="20">
        <v>1086.4464957264952</v>
      </c>
    </row>
    <row r="5335" spans="2:19" ht="15" customHeight="1" x14ac:dyDescent="0.25">
      <c r="B5335" s="2" t="str">
        <f t="shared" si="166"/>
        <v>NSG_Research &amp; Development (Emerging Technologies)_Gas Heat Pump Pilot_Gas Heat Pump Pilot_Gas Heat Pump Replace Furnace - 140% AFUE_Heat Pump Pilot_SF</v>
      </c>
      <c r="C5335" s="2" t="str">
        <f t="shared" si="167"/>
        <v>NSG_Research &amp; Development (Emerging Technologies)_Gas Heat Pump Pilot_Gas Heat Pump Pilot_Gas Heat Pump Replace Furnace - 140% AFUE_Heat Pump Pilot_SF_2024</v>
      </c>
      <c r="D5335" s="19" t="s">
        <v>1787</v>
      </c>
      <c r="E5335" s="19" t="s">
        <v>1446</v>
      </c>
      <c r="F5335" s="19" t="s">
        <v>1447</v>
      </c>
      <c r="G5335" s="19" t="s">
        <v>1447</v>
      </c>
      <c r="H5335" s="19" t="s">
        <v>1001</v>
      </c>
      <c r="I5335" s="19" t="s">
        <v>877</v>
      </c>
      <c r="J5335" s="19">
        <v>0</v>
      </c>
      <c r="K5335" s="19" t="s">
        <v>409</v>
      </c>
      <c r="L5335" s="19">
        <v>2024</v>
      </c>
      <c r="M5335" s="20">
        <v>1</v>
      </c>
      <c r="N5335" s="19" t="s">
        <v>1798</v>
      </c>
      <c r="O5335" s="20">
        <v>4</v>
      </c>
      <c r="P5335" s="20">
        <v>4</v>
      </c>
      <c r="Q5335" s="20">
        <v>2172.8929914529904</v>
      </c>
      <c r="R5335" s="21">
        <v>0.8</v>
      </c>
      <c r="S5335" s="20">
        <v>2172.8929914529904</v>
      </c>
    </row>
    <row r="5336" spans="2:19" ht="15" customHeight="1" x14ac:dyDescent="0.25">
      <c r="B5336" s="2" t="str">
        <f t="shared" si="166"/>
        <v>NSG_Research &amp; Development (Emerging Technologies)_Gas Heat Pump Pilot_Gas Heat Pump Pilot_Gas Heat Pump Replace Furnace - 140% AFUE_Heat Pump Pilot_SF</v>
      </c>
      <c r="C5336" s="2" t="str">
        <f t="shared" si="167"/>
        <v>NSG_Research &amp; Development (Emerging Technologies)_Gas Heat Pump Pilot_Gas Heat Pump Pilot_Gas Heat Pump Replace Furnace - 140% AFUE_Heat Pump Pilot_SF_2025</v>
      </c>
      <c r="D5336" s="19" t="s">
        <v>1787</v>
      </c>
      <c r="E5336" s="19" t="s">
        <v>1446</v>
      </c>
      <c r="F5336" s="19" t="s">
        <v>1447</v>
      </c>
      <c r="G5336" s="19" t="s">
        <v>1447</v>
      </c>
      <c r="H5336" s="19" t="s">
        <v>1001</v>
      </c>
      <c r="I5336" s="19" t="s">
        <v>877</v>
      </c>
      <c r="J5336" s="19">
        <v>0</v>
      </c>
      <c r="K5336" s="19" t="s">
        <v>409</v>
      </c>
      <c r="L5336" s="19">
        <v>2025</v>
      </c>
      <c r="M5336" s="20">
        <v>1</v>
      </c>
      <c r="N5336" s="19" t="s">
        <v>1798</v>
      </c>
      <c r="O5336" s="20">
        <v>6</v>
      </c>
      <c r="P5336" s="20">
        <v>6</v>
      </c>
      <c r="Q5336" s="20">
        <v>3259.3394871794862</v>
      </c>
      <c r="R5336" s="21">
        <v>0.8</v>
      </c>
      <c r="S5336" s="20">
        <v>3259.3394871794862</v>
      </c>
    </row>
    <row r="5337" spans="2:19" ht="15" customHeight="1" x14ac:dyDescent="0.25">
      <c r="B5337" s="2" t="str">
        <f t="shared" si="166"/>
        <v>NSG_Research &amp; Development (Emerging Technologies)_Gas Heat Pump Pilot_Gas Heat Pump Pilot_GHPWH (≤55 gallons)- Replace Boiler_Heat Pump Pilot_SF</v>
      </c>
      <c r="C5337" s="2" t="str">
        <f t="shared" si="167"/>
        <v>NSG_Research &amp; Development (Emerging Technologies)_Gas Heat Pump Pilot_Gas Heat Pump Pilot_GHPWH (≤55 gallons)- Replace Boiler_Heat Pump Pilot_SF_2022</v>
      </c>
      <c r="D5337" s="19" t="s">
        <v>1787</v>
      </c>
      <c r="E5337" s="19" t="s">
        <v>1446</v>
      </c>
      <c r="F5337" s="19" t="s">
        <v>1447</v>
      </c>
      <c r="G5337" s="19" t="s">
        <v>1447</v>
      </c>
      <c r="H5337" s="19" t="s">
        <v>876</v>
      </c>
      <c r="I5337" s="19" t="s">
        <v>877</v>
      </c>
      <c r="J5337" s="19">
        <v>0</v>
      </c>
      <c r="K5337" s="19" t="s">
        <v>409</v>
      </c>
      <c r="L5337" s="19">
        <v>2022</v>
      </c>
      <c r="M5337" s="20">
        <v>1</v>
      </c>
      <c r="N5337" s="19" t="s">
        <v>1798</v>
      </c>
      <c r="O5337" s="20">
        <v>0</v>
      </c>
      <c r="P5337" s="20">
        <v>0</v>
      </c>
      <c r="Q5337" s="20">
        <v>0</v>
      </c>
      <c r="R5337" s="21">
        <v>0.8</v>
      </c>
      <c r="S5337" s="20">
        <v>0</v>
      </c>
    </row>
    <row r="5338" spans="2:19" ht="15" customHeight="1" x14ac:dyDescent="0.25">
      <c r="B5338" s="2" t="str">
        <f t="shared" si="166"/>
        <v>NSG_Research &amp; Development (Emerging Technologies)_Gas Heat Pump Pilot_Gas Heat Pump Pilot_GHPWH (≤55 gallons)- Replace Boiler_Heat Pump Pilot_SF</v>
      </c>
      <c r="C5338" s="2" t="str">
        <f t="shared" si="167"/>
        <v>NSG_Research &amp; Development (Emerging Technologies)_Gas Heat Pump Pilot_Gas Heat Pump Pilot_GHPWH (≤55 gallons)- Replace Boiler_Heat Pump Pilot_SF_2023</v>
      </c>
      <c r="D5338" s="19" t="s">
        <v>1787</v>
      </c>
      <c r="E5338" s="19" t="s">
        <v>1446</v>
      </c>
      <c r="F5338" s="19" t="s">
        <v>1447</v>
      </c>
      <c r="G5338" s="19" t="s">
        <v>1447</v>
      </c>
      <c r="H5338" s="19" t="s">
        <v>876</v>
      </c>
      <c r="I5338" s="19" t="s">
        <v>877</v>
      </c>
      <c r="J5338" s="19">
        <v>0</v>
      </c>
      <c r="K5338" s="19" t="s">
        <v>409</v>
      </c>
      <c r="L5338" s="19">
        <v>2023</v>
      </c>
      <c r="M5338" s="20">
        <v>1</v>
      </c>
      <c r="N5338" s="19" t="s">
        <v>1798</v>
      </c>
      <c r="O5338" s="20">
        <v>5</v>
      </c>
      <c r="P5338" s="20">
        <v>5</v>
      </c>
      <c r="Q5338" s="20">
        <v>366.70771903820491</v>
      </c>
      <c r="R5338" s="21">
        <v>0.8</v>
      </c>
      <c r="S5338" s="20">
        <v>366.70771903820491</v>
      </c>
    </row>
    <row r="5339" spans="2:19" ht="15" customHeight="1" x14ac:dyDescent="0.25">
      <c r="B5339" s="2" t="str">
        <f t="shared" si="166"/>
        <v>NSG_Research &amp; Development (Emerging Technologies)_Gas Heat Pump Pilot_Gas Heat Pump Pilot_GHPWH (≤55 gallons)- Replace Boiler_Heat Pump Pilot_SF</v>
      </c>
      <c r="C5339" s="2" t="str">
        <f t="shared" si="167"/>
        <v>NSG_Research &amp; Development (Emerging Technologies)_Gas Heat Pump Pilot_Gas Heat Pump Pilot_GHPWH (≤55 gallons)- Replace Boiler_Heat Pump Pilot_SF_2024</v>
      </c>
      <c r="D5339" s="19" t="s">
        <v>1787</v>
      </c>
      <c r="E5339" s="19" t="s">
        <v>1446</v>
      </c>
      <c r="F5339" s="19" t="s">
        <v>1447</v>
      </c>
      <c r="G5339" s="19" t="s">
        <v>1447</v>
      </c>
      <c r="H5339" s="19" t="s">
        <v>876</v>
      </c>
      <c r="I5339" s="19" t="s">
        <v>877</v>
      </c>
      <c r="J5339" s="19">
        <v>0</v>
      </c>
      <c r="K5339" s="19" t="s">
        <v>409</v>
      </c>
      <c r="L5339" s="19">
        <v>2024</v>
      </c>
      <c r="M5339" s="20">
        <v>1</v>
      </c>
      <c r="N5339" s="19" t="s">
        <v>1798</v>
      </c>
      <c r="O5339" s="20">
        <v>6</v>
      </c>
      <c r="P5339" s="20">
        <v>6</v>
      </c>
      <c r="Q5339" s="20">
        <v>440.04926284584582</v>
      </c>
      <c r="R5339" s="21">
        <v>0.8</v>
      </c>
      <c r="S5339" s="20">
        <v>440.04926284584582</v>
      </c>
    </row>
    <row r="5340" spans="2:19" ht="15" customHeight="1" x14ac:dyDescent="0.25">
      <c r="B5340" s="2" t="str">
        <f t="shared" si="166"/>
        <v>NSG_Research &amp; Development (Emerging Technologies)_Gas Heat Pump Pilot_Gas Heat Pump Pilot_GHPWH (≤55 gallons)- Replace Boiler_Heat Pump Pilot_SF</v>
      </c>
      <c r="C5340" s="2" t="str">
        <f t="shared" si="167"/>
        <v>NSG_Research &amp; Development (Emerging Technologies)_Gas Heat Pump Pilot_Gas Heat Pump Pilot_GHPWH (≤55 gallons)- Replace Boiler_Heat Pump Pilot_SF_2025</v>
      </c>
      <c r="D5340" s="19" t="s">
        <v>1787</v>
      </c>
      <c r="E5340" s="19" t="s">
        <v>1446</v>
      </c>
      <c r="F5340" s="19" t="s">
        <v>1447</v>
      </c>
      <c r="G5340" s="19" t="s">
        <v>1447</v>
      </c>
      <c r="H5340" s="19" t="s">
        <v>876</v>
      </c>
      <c r="I5340" s="19" t="s">
        <v>877</v>
      </c>
      <c r="J5340" s="19">
        <v>0</v>
      </c>
      <c r="K5340" s="19" t="s">
        <v>409</v>
      </c>
      <c r="L5340" s="19">
        <v>2025</v>
      </c>
      <c r="M5340" s="20">
        <v>1</v>
      </c>
      <c r="N5340" s="19" t="s">
        <v>1798</v>
      </c>
      <c r="O5340" s="20">
        <v>8</v>
      </c>
      <c r="P5340" s="20">
        <v>8</v>
      </c>
      <c r="Q5340" s="20">
        <v>586.73235046112779</v>
      </c>
      <c r="R5340" s="21">
        <v>0.8</v>
      </c>
      <c r="S5340" s="20">
        <v>586.73235046112779</v>
      </c>
    </row>
    <row r="5341" spans="2:19" ht="15" customHeight="1" x14ac:dyDescent="0.25">
      <c r="B5341" s="2" t="str">
        <f t="shared" si="166"/>
        <v>PGL_Income Eligible_Home Energy Jumpstart_Core_Unit Visit_0_SF</v>
      </c>
      <c r="C5341" s="2" t="str">
        <f t="shared" si="167"/>
        <v>PGL_Income Eligible_Home Energy Jumpstart_Core_Unit Visit_0_SF_2022</v>
      </c>
      <c r="D5341" s="19" t="s">
        <v>1794</v>
      </c>
      <c r="E5341" s="19" t="s">
        <v>325</v>
      </c>
      <c r="F5341" s="19" t="s">
        <v>1414</v>
      </c>
      <c r="G5341" s="19" t="s">
        <v>1415</v>
      </c>
      <c r="H5341" s="19" t="s">
        <v>1090</v>
      </c>
      <c r="I5341" s="19">
        <v>0</v>
      </c>
      <c r="J5341" s="19" t="s">
        <v>1469</v>
      </c>
      <c r="K5341" s="19" t="s">
        <v>409</v>
      </c>
      <c r="L5341" s="19">
        <v>2022</v>
      </c>
      <c r="M5341" s="20">
        <v>1</v>
      </c>
      <c r="N5341" s="19" t="s">
        <v>505</v>
      </c>
      <c r="O5341" s="20">
        <v>200</v>
      </c>
      <c r="P5341" s="20">
        <v>200</v>
      </c>
      <c r="Q5341" s="20">
        <v>0</v>
      </c>
      <c r="R5341" s="21">
        <v>1</v>
      </c>
      <c r="S5341" s="20">
        <v>0</v>
      </c>
    </row>
    <row r="5342" spans="2:19" ht="15" customHeight="1" x14ac:dyDescent="0.25">
      <c r="B5342" s="2" t="str">
        <f t="shared" si="166"/>
        <v>PGL_Income Eligible_Home Energy Jumpstart_Core_Unit Visit_0_SF</v>
      </c>
      <c r="C5342" s="2" t="str">
        <f t="shared" si="167"/>
        <v>PGL_Income Eligible_Home Energy Jumpstart_Core_Unit Visit_0_SF_2023</v>
      </c>
      <c r="D5342" s="19" t="s">
        <v>1794</v>
      </c>
      <c r="E5342" s="19" t="s">
        <v>325</v>
      </c>
      <c r="F5342" s="19" t="s">
        <v>1414</v>
      </c>
      <c r="G5342" s="19" t="s">
        <v>1415</v>
      </c>
      <c r="H5342" s="19" t="s">
        <v>1090</v>
      </c>
      <c r="I5342" s="19">
        <v>0</v>
      </c>
      <c r="J5342" s="19" t="s">
        <v>1469</v>
      </c>
      <c r="K5342" s="19" t="s">
        <v>409</v>
      </c>
      <c r="L5342" s="19">
        <v>2023</v>
      </c>
      <c r="M5342" s="20">
        <v>1</v>
      </c>
      <c r="N5342" s="19" t="s">
        <v>505</v>
      </c>
      <c r="O5342" s="20">
        <v>600.00000000000011</v>
      </c>
      <c r="P5342" s="20">
        <v>600.00000000000011</v>
      </c>
      <c r="Q5342" s="20">
        <v>0</v>
      </c>
      <c r="R5342" s="21">
        <v>1</v>
      </c>
      <c r="S5342" s="20">
        <v>0</v>
      </c>
    </row>
    <row r="5343" spans="2:19" ht="15" customHeight="1" x14ac:dyDescent="0.25">
      <c r="B5343" s="2" t="str">
        <f t="shared" si="166"/>
        <v>PGL_Income Eligible_Home Energy Jumpstart_Core_Unit Visit_0_SF</v>
      </c>
      <c r="C5343" s="2" t="str">
        <f t="shared" si="167"/>
        <v>PGL_Income Eligible_Home Energy Jumpstart_Core_Unit Visit_0_SF_2024</v>
      </c>
      <c r="D5343" s="19" t="s">
        <v>1794</v>
      </c>
      <c r="E5343" s="19" t="s">
        <v>325</v>
      </c>
      <c r="F5343" s="19" t="s">
        <v>1414</v>
      </c>
      <c r="G5343" s="19" t="s">
        <v>1415</v>
      </c>
      <c r="H5343" s="19" t="s">
        <v>1090</v>
      </c>
      <c r="I5343" s="19">
        <v>0</v>
      </c>
      <c r="J5343" s="19" t="s">
        <v>1469</v>
      </c>
      <c r="K5343" s="19" t="s">
        <v>409</v>
      </c>
      <c r="L5343" s="19">
        <v>2024</v>
      </c>
      <c r="M5343" s="20">
        <v>1</v>
      </c>
      <c r="N5343" s="19" t="s">
        <v>505</v>
      </c>
      <c r="O5343" s="20">
        <v>1000</v>
      </c>
      <c r="P5343" s="20">
        <v>1000</v>
      </c>
      <c r="Q5343" s="20">
        <v>0</v>
      </c>
      <c r="R5343" s="21">
        <v>1</v>
      </c>
      <c r="S5343" s="20">
        <v>0</v>
      </c>
    </row>
    <row r="5344" spans="2:19" ht="15" customHeight="1" x14ac:dyDescent="0.25">
      <c r="B5344" s="2" t="str">
        <f t="shared" si="166"/>
        <v>PGL_Income Eligible_Home Energy Jumpstart_Core_Unit Visit_0_SF</v>
      </c>
      <c r="C5344" s="2" t="str">
        <f t="shared" si="167"/>
        <v>PGL_Income Eligible_Home Energy Jumpstart_Core_Unit Visit_0_SF_2025</v>
      </c>
      <c r="D5344" s="19" t="s">
        <v>1794</v>
      </c>
      <c r="E5344" s="19" t="s">
        <v>325</v>
      </c>
      <c r="F5344" s="19" t="s">
        <v>1414</v>
      </c>
      <c r="G5344" s="19" t="s">
        <v>1415</v>
      </c>
      <c r="H5344" s="19" t="s">
        <v>1090</v>
      </c>
      <c r="I5344" s="19">
        <v>0</v>
      </c>
      <c r="J5344" s="19" t="s">
        <v>1469</v>
      </c>
      <c r="K5344" s="19" t="s">
        <v>409</v>
      </c>
      <c r="L5344" s="19">
        <v>2025</v>
      </c>
      <c r="M5344" s="20">
        <v>1</v>
      </c>
      <c r="N5344" s="19" t="s">
        <v>505</v>
      </c>
      <c r="O5344" s="20">
        <v>1400</v>
      </c>
      <c r="P5344" s="20">
        <v>1400</v>
      </c>
      <c r="Q5344" s="20">
        <v>0</v>
      </c>
      <c r="R5344" s="21">
        <v>1</v>
      </c>
      <c r="S5344" s="20">
        <v>0</v>
      </c>
    </row>
    <row r="5345" spans="2:19" ht="15" customHeight="1" x14ac:dyDescent="0.25">
      <c r="B5345" s="2" t="str">
        <f t="shared" si="166"/>
        <v>PGL_Income Eligible_Home Energy Jumpstart_Core_Low Flow Bathroom Aerator_0_SF</v>
      </c>
      <c r="C5345" s="2" t="str">
        <f t="shared" si="167"/>
        <v>PGL_Income Eligible_Home Energy Jumpstart_Core_Low Flow Bathroom Aerator_0_SF_2022</v>
      </c>
      <c r="D5345" s="19" t="s">
        <v>1794</v>
      </c>
      <c r="E5345" s="19" t="s">
        <v>325</v>
      </c>
      <c r="F5345" s="19" t="s">
        <v>1414</v>
      </c>
      <c r="G5345" s="19" t="s">
        <v>1415</v>
      </c>
      <c r="H5345" s="19" t="s">
        <v>555</v>
      </c>
      <c r="I5345" s="19">
        <v>0</v>
      </c>
      <c r="J5345" s="19" t="s">
        <v>534</v>
      </c>
      <c r="K5345" s="19" t="s">
        <v>409</v>
      </c>
      <c r="L5345" s="19">
        <v>2022</v>
      </c>
      <c r="M5345" s="20">
        <v>1</v>
      </c>
      <c r="N5345" s="19" t="s">
        <v>1795</v>
      </c>
      <c r="O5345" s="20">
        <v>83</v>
      </c>
      <c r="P5345" s="20">
        <v>83</v>
      </c>
      <c r="Q5345" s="20">
        <v>75.476948721888348</v>
      </c>
      <c r="R5345" s="21">
        <v>1</v>
      </c>
      <c r="S5345" s="20">
        <v>75.476948721888348</v>
      </c>
    </row>
    <row r="5346" spans="2:19" ht="15" customHeight="1" x14ac:dyDescent="0.25">
      <c r="B5346" s="2" t="str">
        <f t="shared" si="166"/>
        <v>PGL_Income Eligible_Home Energy Jumpstart_Core_Low Flow Bathroom Aerator_0_SF</v>
      </c>
      <c r="C5346" s="2" t="str">
        <f t="shared" si="167"/>
        <v>PGL_Income Eligible_Home Energy Jumpstart_Core_Low Flow Bathroom Aerator_0_SF_2023</v>
      </c>
      <c r="D5346" s="19" t="s">
        <v>1794</v>
      </c>
      <c r="E5346" s="19" t="s">
        <v>325</v>
      </c>
      <c r="F5346" s="19" t="s">
        <v>1414</v>
      </c>
      <c r="G5346" s="19" t="s">
        <v>1415</v>
      </c>
      <c r="H5346" s="19" t="s">
        <v>555</v>
      </c>
      <c r="I5346" s="19">
        <v>0</v>
      </c>
      <c r="J5346" s="19" t="s">
        <v>534</v>
      </c>
      <c r="K5346" s="19" t="s">
        <v>409</v>
      </c>
      <c r="L5346" s="19">
        <v>2023</v>
      </c>
      <c r="M5346" s="20">
        <v>1</v>
      </c>
      <c r="N5346" s="19" t="s">
        <v>1795</v>
      </c>
      <c r="O5346" s="20">
        <v>248</v>
      </c>
      <c r="P5346" s="20">
        <v>248</v>
      </c>
      <c r="Q5346" s="20">
        <v>225.52148533769048</v>
      </c>
      <c r="R5346" s="21">
        <v>1</v>
      </c>
      <c r="S5346" s="20">
        <v>225.52148533769048</v>
      </c>
    </row>
    <row r="5347" spans="2:19" ht="15" customHeight="1" x14ac:dyDescent="0.25">
      <c r="B5347" s="2" t="str">
        <f t="shared" si="166"/>
        <v>PGL_Income Eligible_Home Energy Jumpstart_Core_Low Flow Bathroom Aerator_0_SF</v>
      </c>
      <c r="C5347" s="2" t="str">
        <f t="shared" si="167"/>
        <v>PGL_Income Eligible_Home Energy Jumpstart_Core_Low Flow Bathroom Aerator_0_SF_2024</v>
      </c>
      <c r="D5347" s="19" t="s">
        <v>1794</v>
      </c>
      <c r="E5347" s="19" t="s">
        <v>325</v>
      </c>
      <c r="F5347" s="19" t="s">
        <v>1414</v>
      </c>
      <c r="G5347" s="19" t="s">
        <v>1415</v>
      </c>
      <c r="H5347" s="19" t="s">
        <v>555</v>
      </c>
      <c r="I5347" s="19">
        <v>0</v>
      </c>
      <c r="J5347" s="19" t="s">
        <v>534</v>
      </c>
      <c r="K5347" s="19" t="s">
        <v>409</v>
      </c>
      <c r="L5347" s="19">
        <v>2024</v>
      </c>
      <c r="M5347" s="20">
        <v>1</v>
      </c>
      <c r="N5347" s="19" t="s">
        <v>1795</v>
      </c>
      <c r="O5347" s="20">
        <v>413</v>
      </c>
      <c r="P5347" s="20">
        <v>413</v>
      </c>
      <c r="Q5347" s="20">
        <v>375.56602195349262</v>
      </c>
      <c r="R5347" s="21">
        <v>1</v>
      </c>
      <c r="S5347" s="20">
        <v>375.56602195349262</v>
      </c>
    </row>
    <row r="5348" spans="2:19" ht="15" customHeight="1" x14ac:dyDescent="0.25">
      <c r="B5348" s="2" t="str">
        <f t="shared" si="166"/>
        <v>PGL_Income Eligible_Home Energy Jumpstart_Core_Low Flow Bathroom Aerator_0_SF</v>
      </c>
      <c r="C5348" s="2" t="str">
        <f t="shared" si="167"/>
        <v>PGL_Income Eligible_Home Energy Jumpstart_Core_Low Flow Bathroom Aerator_0_SF_2025</v>
      </c>
      <c r="D5348" s="19" t="s">
        <v>1794</v>
      </c>
      <c r="E5348" s="19" t="s">
        <v>325</v>
      </c>
      <c r="F5348" s="19" t="s">
        <v>1414</v>
      </c>
      <c r="G5348" s="19" t="s">
        <v>1415</v>
      </c>
      <c r="H5348" s="19" t="s">
        <v>555</v>
      </c>
      <c r="I5348" s="19">
        <v>0</v>
      </c>
      <c r="J5348" s="19" t="s">
        <v>534</v>
      </c>
      <c r="K5348" s="19" t="s">
        <v>409</v>
      </c>
      <c r="L5348" s="19">
        <v>2025</v>
      </c>
      <c r="M5348" s="20">
        <v>1</v>
      </c>
      <c r="N5348" s="19" t="s">
        <v>1795</v>
      </c>
      <c r="O5348" s="20">
        <v>579</v>
      </c>
      <c r="P5348" s="20">
        <v>579</v>
      </c>
      <c r="Q5348" s="20">
        <v>526.51991939726929</v>
      </c>
      <c r="R5348" s="21">
        <v>1</v>
      </c>
      <c r="S5348" s="20">
        <v>526.51991939726929</v>
      </c>
    </row>
    <row r="5349" spans="2:19" ht="15" customHeight="1" x14ac:dyDescent="0.25">
      <c r="B5349" s="2" t="str">
        <f t="shared" si="166"/>
        <v>PGL_Income Eligible_Home Energy Jumpstart_Core_Low Flow Kitchen Aerator_0_SF</v>
      </c>
      <c r="C5349" s="2" t="str">
        <f t="shared" si="167"/>
        <v>PGL_Income Eligible_Home Energy Jumpstart_Core_Low Flow Kitchen Aerator_0_SF_2022</v>
      </c>
      <c r="D5349" s="19" t="s">
        <v>1794</v>
      </c>
      <c r="E5349" s="19" t="s">
        <v>325</v>
      </c>
      <c r="F5349" s="19" t="s">
        <v>1414</v>
      </c>
      <c r="G5349" s="19" t="s">
        <v>1415</v>
      </c>
      <c r="H5349" s="19" t="s">
        <v>533</v>
      </c>
      <c r="I5349" s="19">
        <v>0</v>
      </c>
      <c r="J5349" s="19" t="s">
        <v>534</v>
      </c>
      <c r="K5349" s="19" t="s">
        <v>409</v>
      </c>
      <c r="L5349" s="19">
        <v>2022</v>
      </c>
      <c r="M5349" s="20">
        <v>1</v>
      </c>
      <c r="N5349" s="19" t="s">
        <v>1795</v>
      </c>
      <c r="O5349" s="20">
        <v>56</v>
      </c>
      <c r="P5349" s="20">
        <v>56</v>
      </c>
      <c r="Q5349" s="20">
        <v>481.2432933144737</v>
      </c>
      <c r="R5349" s="21">
        <v>1</v>
      </c>
      <c r="S5349" s="20">
        <v>481.2432933144737</v>
      </c>
    </row>
    <row r="5350" spans="2:19" ht="15" customHeight="1" x14ac:dyDescent="0.25">
      <c r="B5350" s="2" t="str">
        <f t="shared" si="166"/>
        <v>PGL_Income Eligible_Home Energy Jumpstart_Core_Low Flow Kitchen Aerator_0_SF</v>
      </c>
      <c r="C5350" s="2" t="str">
        <f t="shared" si="167"/>
        <v>PGL_Income Eligible_Home Energy Jumpstart_Core_Low Flow Kitchen Aerator_0_SF_2023</v>
      </c>
      <c r="D5350" s="19" t="s">
        <v>1794</v>
      </c>
      <c r="E5350" s="19" t="s">
        <v>325</v>
      </c>
      <c r="F5350" s="19" t="s">
        <v>1414</v>
      </c>
      <c r="G5350" s="19" t="s">
        <v>1415</v>
      </c>
      <c r="H5350" s="19" t="s">
        <v>533</v>
      </c>
      <c r="I5350" s="19">
        <v>0</v>
      </c>
      <c r="J5350" s="19" t="s">
        <v>534</v>
      </c>
      <c r="K5350" s="19" t="s">
        <v>409</v>
      </c>
      <c r="L5350" s="19">
        <v>2023</v>
      </c>
      <c r="M5350" s="20">
        <v>1</v>
      </c>
      <c r="N5350" s="19" t="s">
        <v>1795</v>
      </c>
      <c r="O5350" s="20">
        <v>167</v>
      </c>
      <c r="P5350" s="20">
        <v>167</v>
      </c>
      <c r="Q5350" s="20">
        <v>1435.1362497056627</v>
      </c>
      <c r="R5350" s="21">
        <v>1</v>
      </c>
      <c r="S5350" s="20">
        <v>1435.1362497056627</v>
      </c>
    </row>
    <row r="5351" spans="2:19" ht="15" customHeight="1" x14ac:dyDescent="0.25">
      <c r="B5351" s="2" t="str">
        <f t="shared" si="166"/>
        <v>PGL_Income Eligible_Home Energy Jumpstart_Core_Low Flow Kitchen Aerator_0_SF</v>
      </c>
      <c r="C5351" s="2" t="str">
        <f t="shared" si="167"/>
        <v>PGL_Income Eligible_Home Energy Jumpstart_Core_Low Flow Kitchen Aerator_0_SF_2024</v>
      </c>
      <c r="D5351" s="19" t="s">
        <v>1794</v>
      </c>
      <c r="E5351" s="19" t="s">
        <v>325</v>
      </c>
      <c r="F5351" s="19" t="s">
        <v>1414</v>
      </c>
      <c r="G5351" s="19" t="s">
        <v>1415</v>
      </c>
      <c r="H5351" s="19" t="s">
        <v>533</v>
      </c>
      <c r="I5351" s="19">
        <v>0</v>
      </c>
      <c r="J5351" s="19" t="s">
        <v>534</v>
      </c>
      <c r="K5351" s="19" t="s">
        <v>409</v>
      </c>
      <c r="L5351" s="19">
        <v>2024</v>
      </c>
      <c r="M5351" s="20">
        <v>1</v>
      </c>
      <c r="N5351" s="19" t="s">
        <v>1795</v>
      </c>
      <c r="O5351" s="20">
        <v>278</v>
      </c>
      <c r="P5351" s="20">
        <v>278</v>
      </c>
      <c r="Q5351" s="20">
        <v>2389.0292060968518</v>
      </c>
      <c r="R5351" s="21">
        <v>1</v>
      </c>
      <c r="S5351" s="20">
        <v>2389.0292060968518</v>
      </c>
    </row>
    <row r="5352" spans="2:19" ht="15" customHeight="1" x14ac:dyDescent="0.25">
      <c r="B5352" s="2" t="str">
        <f t="shared" si="166"/>
        <v>PGL_Income Eligible_Home Energy Jumpstart_Core_Low Flow Kitchen Aerator_0_SF</v>
      </c>
      <c r="C5352" s="2" t="str">
        <f t="shared" si="167"/>
        <v>PGL_Income Eligible_Home Energy Jumpstart_Core_Low Flow Kitchen Aerator_0_SF_2025</v>
      </c>
      <c r="D5352" s="19" t="s">
        <v>1794</v>
      </c>
      <c r="E5352" s="19" t="s">
        <v>325</v>
      </c>
      <c r="F5352" s="19" t="s">
        <v>1414</v>
      </c>
      <c r="G5352" s="19" t="s">
        <v>1415</v>
      </c>
      <c r="H5352" s="19" t="s">
        <v>533</v>
      </c>
      <c r="I5352" s="19">
        <v>0</v>
      </c>
      <c r="J5352" s="19" t="s">
        <v>534</v>
      </c>
      <c r="K5352" s="19" t="s">
        <v>409</v>
      </c>
      <c r="L5352" s="19">
        <v>2025</v>
      </c>
      <c r="M5352" s="20">
        <v>1</v>
      </c>
      <c r="N5352" s="19" t="s">
        <v>1795</v>
      </c>
      <c r="O5352" s="20">
        <v>389</v>
      </c>
      <c r="P5352" s="20">
        <v>389</v>
      </c>
      <c r="Q5352" s="20">
        <v>3342.9221624880406</v>
      </c>
      <c r="R5352" s="21">
        <v>1</v>
      </c>
      <c r="S5352" s="20">
        <v>3342.9221624880406</v>
      </c>
    </row>
    <row r="5353" spans="2:19" ht="15" customHeight="1" x14ac:dyDescent="0.25">
      <c r="B5353" s="2" t="str">
        <f t="shared" si="166"/>
        <v>PGL_Income Eligible_Home Energy Jumpstart_Core_Low Flow Showerhead_0_SF</v>
      </c>
      <c r="C5353" s="2" t="str">
        <f t="shared" si="167"/>
        <v>PGL_Income Eligible_Home Energy Jumpstart_Core_Low Flow Showerhead_0_SF_2022</v>
      </c>
      <c r="D5353" s="19" t="s">
        <v>1794</v>
      </c>
      <c r="E5353" s="19" t="s">
        <v>325</v>
      </c>
      <c r="F5353" s="19" t="s">
        <v>1414</v>
      </c>
      <c r="G5353" s="19" t="s">
        <v>1415</v>
      </c>
      <c r="H5353" s="19" t="s">
        <v>15</v>
      </c>
      <c r="I5353" s="19">
        <v>0</v>
      </c>
      <c r="J5353" s="19" t="s">
        <v>23</v>
      </c>
      <c r="K5353" s="19" t="s">
        <v>409</v>
      </c>
      <c r="L5353" s="19">
        <v>2022</v>
      </c>
      <c r="M5353" s="20">
        <v>1</v>
      </c>
      <c r="N5353" s="19" t="s">
        <v>1795</v>
      </c>
      <c r="O5353" s="20">
        <v>178</v>
      </c>
      <c r="P5353" s="20">
        <v>178</v>
      </c>
      <c r="Q5353" s="20">
        <v>1564.4788982804339</v>
      </c>
      <c r="R5353" s="21">
        <v>1</v>
      </c>
      <c r="S5353" s="20">
        <v>1564.4788982804339</v>
      </c>
    </row>
    <row r="5354" spans="2:19" ht="15" customHeight="1" x14ac:dyDescent="0.25">
      <c r="B5354" s="2" t="str">
        <f t="shared" si="166"/>
        <v>PGL_Income Eligible_Home Energy Jumpstart_Core_Low Flow Showerhead_0_SF</v>
      </c>
      <c r="C5354" s="2" t="str">
        <f t="shared" si="167"/>
        <v>PGL_Income Eligible_Home Energy Jumpstart_Core_Low Flow Showerhead_0_SF_2023</v>
      </c>
      <c r="D5354" s="19" t="s">
        <v>1794</v>
      </c>
      <c r="E5354" s="19" t="s">
        <v>325</v>
      </c>
      <c r="F5354" s="19" t="s">
        <v>1414</v>
      </c>
      <c r="G5354" s="19" t="s">
        <v>1415</v>
      </c>
      <c r="H5354" s="19" t="s">
        <v>15</v>
      </c>
      <c r="I5354" s="19">
        <v>0</v>
      </c>
      <c r="J5354" s="19" t="s">
        <v>23</v>
      </c>
      <c r="K5354" s="19" t="s">
        <v>409</v>
      </c>
      <c r="L5354" s="19">
        <v>2023</v>
      </c>
      <c r="M5354" s="20">
        <v>1</v>
      </c>
      <c r="N5354" s="19" t="s">
        <v>1795</v>
      </c>
      <c r="O5354" s="20">
        <v>533</v>
      </c>
      <c r="P5354" s="20">
        <v>533</v>
      </c>
      <c r="Q5354" s="20">
        <v>4684.6474875475915</v>
      </c>
      <c r="R5354" s="21">
        <v>1</v>
      </c>
      <c r="S5354" s="20">
        <v>4684.6474875475915</v>
      </c>
    </row>
    <row r="5355" spans="2:19" ht="15" customHeight="1" x14ac:dyDescent="0.25">
      <c r="B5355" s="2" t="str">
        <f t="shared" si="166"/>
        <v>PGL_Income Eligible_Home Energy Jumpstart_Core_Low Flow Showerhead_0_SF</v>
      </c>
      <c r="C5355" s="2" t="str">
        <f t="shared" si="167"/>
        <v>PGL_Income Eligible_Home Energy Jumpstart_Core_Low Flow Showerhead_0_SF_2024</v>
      </c>
      <c r="D5355" s="19" t="s">
        <v>1794</v>
      </c>
      <c r="E5355" s="19" t="s">
        <v>325</v>
      </c>
      <c r="F5355" s="19" t="s">
        <v>1414</v>
      </c>
      <c r="G5355" s="19" t="s">
        <v>1415</v>
      </c>
      <c r="H5355" s="19" t="s">
        <v>15</v>
      </c>
      <c r="I5355" s="19">
        <v>0</v>
      </c>
      <c r="J5355" s="19" t="s">
        <v>23</v>
      </c>
      <c r="K5355" s="19" t="s">
        <v>409</v>
      </c>
      <c r="L5355" s="19">
        <v>2024</v>
      </c>
      <c r="M5355" s="20">
        <v>1</v>
      </c>
      <c r="N5355" s="19" t="s">
        <v>1795</v>
      </c>
      <c r="O5355" s="20">
        <v>888</v>
      </c>
      <c r="P5355" s="20">
        <v>888</v>
      </c>
      <c r="Q5355" s="20">
        <v>7804.8160768147491</v>
      </c>
      <c r="R5355" s="21">
        <v>1</v>
      </c>
      <c r="S5355" s="20">
        <v>7804.8160768147491</v>
      </c>
    </row>
    <row r="5356" spans="2:19" ht="15" customHeight="1" x14ac:dyDescent="0.25">
      <c r="B5356" s="2" t="str">
        <f t="shared" si="166"/>
        <v>PGL_Income Eligible_Home Energy Jumpstart_Core_Low Flow Showerhead_0_SF</v>
      </c>
      <c r="C5356" s="2" t="str">
        <f t="shared" si="167"/>
        <v>PGL_Income Eligible_Home Energy Jumpstart_Core_Low Flow Showerhead_0_SF_2025</v>
      </c>
      <c r="D5356" s="19" t="s">
        <v>1794</v>
      </c>
      <c r="E5356" s="19" t="s">
        <v>325</v>
      </c>
      <c r="F5356" s="19" t="s">
        <v>1414</v>
      </c>
      <c r="G5356" s="19" t="s">
        <v>1415</v>
      </c>
      <c r="H5356" s="19" t="s">
        <v>15</v>
      </c>
      <c r="I5356" s="19">
        <v>0</v>
      </c>
      <c r="J5356" s="19" t="s">
        <v>23</v>
      </c>
      <c r="K5356" s="19" t="s">
        <v>409</v>
      </c>
      <c r="L5356" s="19">
        <v>2025</v>
      </c>
      <c r="M5356" s="20">
        <v>1</v>
      </c>
      <c r="N5356" s="19" t="s">
        <v>1795</v>
      </c>
      <c r="O5356" s="20">
        <v>1244</v>
      </c>
      <c r="P5356" s="20">
        <v>1244</v>
      </c>
      <c r="Q5356" s="20">
        <v>10933.773873375618</v>
      </c>
      <c r="R5356" s="21">
        <v>1</v>
      </c>
      <c r="S5356" s="20">
        <v>10933.773873375618</v>
      </c>
    </row>
    <row r="5357" spans="2:19" ht="15" customHeight="1" x14ac:dyDescent="0.25">
      <c r="B5357" s="2" t="str">
        <f t="shared" si="166"/>
        <v>PGL_Income Eligible_Home Energy Jumpstart_Core_Pipe Insulation_DHW_SF</v>
      </c>
      <c r="C5357" s="2" t="str">
        <f t="shared" si="167"/>
        <v>PGL_Income Eligible_Home Energy Jumpstart_Core_Pipe Insulation_DHW_SF_2022</v>
      </c>
      <c r="D5357" s="19" t="s">
        <v>1794</v>
      </c>
      <c r="E5357" s="19" t="s">
        <v>325</v>
      </c>
      <c r="F5357" s="19" t="s">
        <v>1414</v>
      </c>
      <c r="G5357" s="19" t="s">
        <v>1415</v>
      </c>
      <c r="H5357" s="19" t="s">
        <v>404</v>
      </c>
      <c r="I5357" s="19" t="s">
        <v>1019</v>
      </c>
      <c r="J5357" s="19" t="s">
        <v>1008</v>
      </c>
      <c r="K5357" s="19" t="s">
        <v>409</v>
      </c>
      <c r="L5357" s="19">
        <v>2022</v>
      </c>
      <c r="M5357" s="20">
        <v>3</v>
      </c>
      <c r="N5357" s="19" t="s">
        <v>1796</v>
      </c>
      <c r="O5357" s="20">
        <v>173</v>
      </c>
      <c r="P5357" s="20">
        <v>519</v>
      </c>
      <c r="Q5357" s="20">
        <v>458.10401998429671</v>
      </c>
      <c r="R5357" s="21">
        <v>1</v>
      </c>
      <c r="S5357" s="20">
        <v>458.10401998429671</v>
      </c>
    </row>
    <row r="5358" spans="2:19" ht="15" customHeight="1" x14ac:dyDescent="0.25">
      <c r="B5358" s="2" t="str">
        <f t="shared" si="166"/>
        <v>PGL_Income Eligible_Home Energy Jumpstart_Core_Pipe Insulation_DHW_SF</v>
      </c>
      <c r="C5358" s="2" t="str">
        <f t="shared" si="167"/>
        <v>PGL_Income Eligible_Home Energy Jumpstart_Core_Pipe Insulation_DHW_SF_2023</v>
      </c>
      <c r="D5358" s="19" t="s">
        <v>1794</v>
      </c>
      <c r="E5358" s="19" t="s">
        <v>325</v>
      </c>
      <c r="F5358" s="19" t="s">
        <v>1414</v>
      </c>
      <c r="G5358" s="19" t="s">
        <v>1415</v>
      </c>
      <c r="H5358" s="19" t="s">
        <v>404</v>
      </c>
      <c r="I5358" s="19" t="s">
        <v>1019</v>
      </c>
      <c r="J5358" s="19" t="s">
        <v>1008</v>
      </c>
      <c r="K5358" s="19" t="s">
        <v>409</v>
      </c>
      <c r="L5358" s="19">
        <v>2023</v>
      </c>
      <c r="M5358" s="20">
        <v>3</v>
      </c>
      <c r="N5358" s="19" t="s">
        <v>1796</v>
      </c>
      <c r="O5358" s="20">
        <v>520</v>
      </c>
      <c r="P5358" s="20">
        <v>1560</v>
      </c>
      <c r="Q5358" s="20">
        <v>1376.9600600684064</v>
      </c>
      <c r="R5358" s="21">
        <v>1</v>
      </c>
      <c r="S5358" s="20">
        <v>1376.9600600684064</v>
      </c>
    </row>
    <row r="5359" spans="2:19" ht="15" customHeight="1" x14ac:dyDescent="0.25">
      <c r="B5359" s="2" t="str">
        <f t="shared" si="166"/>
        <v>PGL_Income Eligible_Home Energy Jumpstart_Core_Pipe Insulation_DHW_SF</v>
      </c>
      <c r="C5359" s="2" t="str">
        <f t="shared" si="167"/>
        <v>PGL_Income Eligible_Home Energy Jumpstart_Core_Pipe Insulation_DHW_SF_2024</v>
      </c>
      <c r="D5359" s="19" t="s">
        <v>1794</v>
      </c>
      <c r="E5359" s="19" t="s">
        <v>325</v>
      </c>
      <c r="F5359" s="19" t="s">
        <v>1414</v>
      </c>
      <c r="G5359" s="19" t="s">
        <v>1415</v>
      </c>
      <c r="H5359" s="19" t="s">
        <v>404</v>
      </c>
      <c r="I5359" s="19" t="s">
        <v>1019</v>
      </c>
      <c r="J5359" s="19" t="s">
        <v>1008</v>
      </c>
      <c r="K5359" s="19" t="s">
        <v>409</v>
      </c>
      <c r="L5359" s="19">
        <v>2024</v>
      </c>
      <c r="M5359" s="20">
        <v>3</v>
      </c>
      <c r="N5359" s="19" t="s">
        <v>1796</v>
      </c>
      <c r="O5359" s="20">
        <v>867</v>
      </c>
      <c r="P5359" s="20">
        <v>2601</v>
      </c>
      <c r="Q5359" s="20">
        <v>2295.8161001525159</v>
      </c>
      <c r="R5359" s="21">
        <v>1</v>
      </c>
      <c r="S5359" s="20">
        <v>2295.8161001525159</v>
      </c>
    </row>
    <row r="5360" spans="2:19" ht="15" customHeight="1" x14ac:dyDescent="0.25">
      <c r="B5360" s="2" t="str">
        <f t="shared" si="166"/>
        <v>PGL_Income Eligible_Home Energy Jumpstart_Core_Pipe Insulation_DHW_SF</v>
      </c>
      <c r="C5360" s="2" t="str">
        <f t="shared" si="167"/>
        <v>PGL_Income Eligible_Home Energy Jumpstart_Core_Pipe Insulation_DHW_SF_2025</v>
      </c>
      <c r="D5360" s="19" t="s">
        <v>1794</v>
      </c>
      <c r="E5360" s="19" t="s">
        <v>325</v>
      </c>
      <c r="F5360" s="19" t="s">
        <v>1414</v>
      </c>
      <c r="G5360" s="19" t="s">
        <v>1415</v>
      </c>
      <c r="H5360" s="19" t="s">
        <v>404</v>
      </c>
      <c r="I5360" s="19" t="s">
        <v>1019</v>
      </c>
      <c r="J5360" s="19" t="s">
        <v>1008</v>
      </c>
      <c r="K5360" s="19" t="s">
        <v>409</v>
      </c>
      <c r="L5360" s="19">
        <v>2025</v>
      </c>
      <c r="M5360" s="20">
        <v>3</v>
      </c>
      <c r="N5360" s="19" t="s">
        <v>1796</v>
      </c>
      <c r="O5360" s="20">
        <v>1213</v>
      </c>
      <c r="P5360" s="20">
        <v>3639</v>
      </c>
      <c r="Q5360" s="20">
        <v>3212.0241401211097</v>
      </c>
      <c r="R5360" s="21">
        <v>1</v>
      </c>
      <c r="S5360" s="20">
        <v>3212.0241401211097</v>
      </c>
    </row>
    <row r="5361" spans="2:19" ht="15" customHeight="1" x14ac:dyDescent="0.25">
      <c r="B5361" s="2" t="str">
        <f t="shared" si="166"/>
        <v>PGL_Income Eligible_Home Energy Jumpstart_Core_Pipe Insulation_Boiler_SF</v>
      </c>
      <c r="C5361" s="2" t="str">
        <f t="shared" si="167"/>
        <v>PGL_Income Eligible_Home Energy Jumpstart_Core_Pipe Insulation_Boiler_SF_2022</v>
      </c>
      <c r="D5361" s="19" t="s">
        <v>1794</v>
      </c>
      <c r="E5361" s="19" t="s">
        <v>325</v>
      </c>
      <c r="F5361" s="19" t="s">
        <v>1414</v>
      </c>
      <c r="G5361" s="19" t="s">
        <v>1415</v>
      </c>
      <c r="H5361" s="19" t="s">
        <v>404</v>
      </c>
      <c r="I5361" s="19" t="s">
        <v>944</v>
      </c>
      <c r="J5361" s="19" t="s">
        <v>1008</v>
      </c>
      <c r="K5361" s="19" t="s">
        <v>409</v>
      </c>
      <c r="L5361" s="19">
        <v>2022</v>
      </c>
      <c r="M5361" s="20">
        <v>3</v>
      </c>
      <c r="N5361" s="19" t="s">
        <v>1796</v>
      </c>
      <c r="O5361" s="20">
        <v>9</v>
      </c>
      <c r="P5361" s="20">
        <v>27</v>
      </c>
      <c r="Q5361" s="20">
        <v>0.1755940406780277</v>
      </c>
      <c r="R5361" s="21">
        <v>1</v>
      </c>
      <c r="S5361" s="20">
        <v>0.1755940406780277</v>
      </c>
    </row>
    <row r="5362" spans="2:19" ht="15" customHeight="1" x14ac:dyDescent="0.25">
      <c r="B5362" s="2" t="str">
        <f t="shared" si="166"/>
        <v>PGL_Income Eligible_Home Energy Jumpstart_Core_Pipe Insulation_Boiler_SF</v>
      </c>
      <c r="C5362" s="2" t="str">
        <f t="shared" si="167"/>
        <v>PGL_Income Eligible_Home Energy Jumpstart_Core_Pipe Insulation_Boiler_SF_2023</v>
      </c>
      <c r="D5362" s="19" t="s">
        <v>1794</v>
      </c>
      <c r="E5362" s="19" t="s">
        <v>325</v>
      </c>
      <c r="F5362" s="19" t="s">
        <v>1414</v>
      </c>
      <c r="G5362" s="19" t="s">
        <v>1415</v>
      </c>
      <c r="H5362" s="19" t="s">
        <v>404</v>
      </c>
      <c r="I5362" s="19" t="s">
        <v>944</v>
      </c>
      <c r="J5362" s="19" t="s">
        <v>1008</v>
      </c>
      <c r="K5362" s="19" t="s">
        <v>409</v>
      </c>
      <c r="L5362" s="19">
        <v>2023</v>
      </c>
      <c r="M5362" s="20">
        <v>3</v>
      </c>
      <c r="N5362" s="19" t="s">
        <v>1796</v>
      </c>
      <c r="O5362" s="20">
        <v>26</v>
      </c>
      <c r="P5362" s="20">
        <v>78</v>
      </c>
      <c r="Q5362" s="20">
        <v>0.50727167306985776</v>
      </c>
      <c r="R5362" s="21">
        <v>1</v>
      </c>
      <c r="S5362" s="20">
        <v>0.50727167306985776</v>
      </c>
    </row>
    <row r="5363" spans="2:19" ht="15" customHeight="1" x14ac:dyDescent="0.25">
      <c r="B5363" s="2" t="str">
        <f t="shared" si="166"/>
        <v>PGL_Income Eligible_Home Energy Jumpstart_Core_Pipe Insulation_Boiler_SF</v>
      </c>
      <c r="C5363" s="2" t="str">
        <f t="shared" si="167"/>
        <v>PGL_Income Eligible_Home Energy Jumpstart_Core_Pipe Insulation_Boiler_SF_2024</v>
      </c>
      <c r="D5363" s="19" t="s">
        <v>1794</v>
      </c>
      <c r="E5363" s="19" t="s">
        <v>325</v>
      </c>
      <c r="F5363" s="19" t="s">
        <v>1414</v>
      </c>
      <c r="G5363" s="19" t="s">
        <v>1415</v>
      </c>
      <c r="H5363" s="19" t="s">
        <v>404</v>
      </c>
      <c r="I5363" s="19" t="s">
        <v>944</v>
      </c>
      <c r="J5363" s="19" t="s">
        <v>1008</v>
      </c>
      <c r="K5363" s="19" t="s">
        <v>409</v>
      </c>
      <c r="L5363" s="19">
        <v>2024</v>
      </c>
      <c r="M5363" s="20">
        <v>3</v>
      </c>
      <c r="N5363" s="19" t="s">
        <v>1796</v>
      </c>
      <c r="O5363" s="20">
        <v>44</v>
      </c>
      <c r="P5363" s="20">
        <v>132</v>
      </c>
      <c r="Q5363" s="20">
        <v>0.85845975442591316</v>
      </c>
      <c r="R5363" s="21">
        <v>1</v>
      </c>
      <c r="S5363" s="20">
        <v>0.85845975442591316</v>
      </c>
    </row>
    <row r="5364" spans="2:19" ht="15" customHeight="1" x14ac:dyDescent="0.25">
      <c r="B5364" s="2" t="str">
        <f t="shared" si="166"/>
        <v>PGL_Income Eligible_Home Energy Jumpstart_Core_Pipe Insulation_Boiler_SF</v>
      </c>
      <c r="C5364" s="2" t="str">
        <f t="shared" si="167"/>
        <v>PGL_Income Eligible_Home Energy Jumpstart_Core_Pipe Insulation_Boiler_SF_2025</v>
      </c>
      <c r="D5364" s="19" t="s">
        <v>1794</v>
      </c>
      <c r="E5364" s="19" t="s">
        <v>325</v>
      </c>
      <c r="F5364" s="19" t="s">
        <v>1414</v>
      </c>
      <c r="G5364" s="19" t="s">
        <v>1415</v>
      </c>
      <c r="H5364" s="19" t="s">
        <v>404</v>
      </c>
      <c r="I5364" s="19" t="s">
        <v>944</v>
      </c>
      <c r="J5364" s="19" t="s">
        <v>1008</v>
      </c>
      <c r="K5364" s="19" t="s">
        <v>409</v>
      </c>
      <c r="L5364" s="19">
        <v>2025</v>
      </c>
      <c r="M5364" s="20">
        <v>3</v>
      </c>
      <c r="N5364" s="19" t="s">
        <v>1796</v>
      </c>
      <c r="O5364" s="20">
        <v>61</v>
      </c>
      <c r="P5364" s="20">
        <v>183</v>
      </c>
      <c r="Q5364" s="20">
        <v>1.1901373868177434</v>
      </c>
      <c r="R5364" s="21">
        <v>1</v>
      </c>
      <c r="S5364" s="20">
        <v>1.1901373868177434</v>
      </c>
    </row>
    <row r="5365" spans="2:19" ht="15" customHeight="1" x14ac:dyDescent="0.25">
      <c r="B5365" s="2" t="str">
        <f t="shared" si="166"/>
        <v>PGL_Income Eligible_Home Energy Jumpstart_Core_Programmable Thermostat_Furnace (DI)_SF</v>
      </c>
      <c r="C5365" s="2" t="str">
        <f t="shared" si="167"/>
        <v>PGL_Income Eligible_Home Energy Jumpstart_Core_Programmable Thermostat_Furnace (DI)_SF_2022</v>
      </c>
      <c r="D5365" s="19" t="s">
        <v>1794</v>
      </c>
      <c r="E5365" s="19" t="s">
        <v>325</v>
      </c>
      <c r="F5365" s="19" t="s">
        <v>1414</v>
      </c>
      <c r="G5365" s="19" t="s">
        <v>1415</v>
      </c>
      <c r="H5365" s="19" t="s">
        <v>224</v>
      </c>
      <c r="I5365" s="19" t="s">
        <v>1038</v>
      </c>
      <c r="J5365" s="19" t="s">
        <v>24</v>
      </c>
      <c r="K5365" s="19" t="s">
        <v>409</v>
      </c>
      <c r="L5365" s="19">
        <v>2022</v>
      </c>
      <c r="M5365" s="20">
        <v>1</v>
      </c>
      <c r="N5365" s="19" t="s">
        <v>1795</v>
      </c>
      <c r="O5365" s="20">
        <v>44</v>
      </c>
      <c r="P5365" s="20">
        <v>44</v>
      </c>
      <c r="Q5365" s="20">
        <v>2741.6400000000003</v>
      </c>
      <c r="R5365" s="21">
        <v>1</v>
      </c>
      <c r="S5365" s="20">
        <v>2741.6400000000003</v>
      </c>
    </row>
    <row r="5366" spans="2:19" ht="15" customHeight="1" x14ac:dyDescent="0.25">
      <c r="B5366" s="2" t="str">
        <f t="shared" si="166"/>
        <v>PGL_Income Eligible_Home Energy Jumpstart_Core_Programmable Thermostat_Furnace (DI)_SF</v>
      </c>
      <c r="C5366" s="2" t="str">
        <f t="shared" si="167"/>
        <v>PGL_Income Eligible_Home Energy Jumpstart_Core_Programmable Thermostat_Furnace (DI)_SF_2023</v>
      </c>
      <c r="D5366" s="19" t="s">
        <v>1794</v>
      </c>
      <c r="E5366" s="19" t="s">
        <v>325</v>
      </c>
      <c r="F5366" s="19" t="s">
        <v>1414</v>
      </c>
      <c r="G5366" s="19" t="s">
        <v>1415</v>
      </c>
      <c r="H5366" s="19" t="s">
        <v>224</v>
      </c>
      <c r="I5366" s="19" t="s">
        <v>1038</v>
      </c>
      <c r="J5366" s="19" t="s">
        <v>24</v>
      </c>
      <c r="K5366" s="19" t="s">
        <v>409</v>
      </c>
      <c r="L5366" s="19">
        <v>2023</v>
      </c>
      <c r="M5366" s="20">
        <v>1</v>
      </c>
      <c r="N5366" s="19" t="s">
        <v>1795</v>
      </c>
      <c r="O5366" s="20">
        <v>131</v>
      </c>
      <c r="P5366" s="20">
        <v>131</v>
      </c>
      <c r="Q5366" s="20">
        <v>8162.6100000000006</v>
      </c>
      <c r="R5366" s="21">
        <v>1</v>
      </c>
      <c r="S5366" s="20">
        <v>8162.6100000000006</v>
      </c>
    </row>
    <row r="5367" spans="2:19" ht="15" customHeight="1" x14ac:dyDescent="0.25">
      <c r="B5367" s="2" t="str">
        <f t="shared" si="166"/>
        <v>PGL_Income Eligible_Home Energy Jumpstart_Core_Programmable Thermostat_Furnace (DI)_SF</v>
      </c>
      <c r="C5367" s="2" t="str">
        <f t="shared" si="167"/>
        <v>PGL_Income Eligible_Home Energy Jumpstart_Core_Programmable Thermostat_Furnace (DI)_SF_2024</v>
      </c>
      <c r="D5367" s="19" t="s">
        <v>1794</v>
      </c>
      <c r="E5367" s="19" t="s">
        <v>325</v>
      </c>
      <c r="F5367" s="19" t="s">
        <v>1414</v>
      </c>
      <c r="G5367" s="19" t="s">
        <v>1415</v>
      </c>
      <c r="H5367" s="19" t="s">
        <v>224</v>
      </c>
      <c r="I5367" s="19" t="s">
        <v>1038</v>
      </c>
      <c r="J5367" s="19" t="s">
        <v>24</v>
      </c>
      <c r="K5367" s="19" t="s">
        <v>409</v>
      </c>
      <c r="L5367" s="19">
        <v>2024</v>
      </c>
      <c r="M5367" s="20">
        <v>1</v>
      </c>
      <c r="N5367" s="19" t="s">
        <v>1795</v>
      </c>
      <c r="O5367" s="20">
        <v>219</v>
      </c>
      <c r="P5367" s="20">
        <v>219</v>
      </c>
      <c r="Q5367" s="20">
        <v>13645.890000000001</v>
      </c>
      <c r="R5367" s="21">
        <v>1</v>
      </c>
      <c r="S5367" s="20">
        <v>13645.890000000001</v>
      </c>
    </row>
    <row r="5368" spans="2:19" ht="15" customHeight="1" x14ac:dyDescent="0.25">
      <c r="B5368" s="2" t="str">
        <f t="shared" si="166"/>
        <v>PGL_Income Eligible_Home Energy Jumpstart_Core_Programmable Thermostat_Furnace (DI)_SF</v>
      </c>
      <c r="C5368" s="2" t="str">
        <f t="shared" si="167"/>
        <v>PGL_Income Eligible_Home Energy Jumpstart_Core_Programmable Thermostat_Furnace (DI)_SF_2025</v>
      </c>
      <c r="D5368" s="19" t="s">
        <v>1794</v>
      </c>
      <c r="E5368" s="19" t="s">
        <v>325</v>
      </c>
      <c r="F5368" s="19" t="s">
        <v>1414</v>
      </c>
      <c r="G5368" s="19" t="s">
        <v>1415</v>
      </c>
      <c r="H5368" s="19" t="s">
        <v>224</v>
      </c>
      <c r="I5368" s="19" t="s">
        <v>1038</v>
      </c>
      <c r="J5368" s="19" t="s">
        <v>24</v>
      </c>
      <c r="K5368" s="19" t="s">
        <v>409</v>
      </c>
      <c r="L5368" s="19">
        <v>2025</v>
      </c>
      <c r="M5368" s="20">
        <v>1</v>
      </c>
      <c r="N5368" s="19" t="s">
        <v>1795</v>
      </c>
      <c r="O5368" s="20">
        <v>306</v>
      </c>
      <c r="P5368" s="20">
        <v>306</v>
      </c>
      <c r="Q5368" s="20">
        <v>19066.86</v>
      </c>
      <c r="R5368" s="21">
        <v>1</v>
      </c>
      <c r="S5368" s="20">
        <v>19066.86</v>
      </c>
    </row>
    <row r="5369" spans="2:19" ht="15" customHeight="1" x14ac:dyDescent="0.25">
      <c r="B5369" s="2" t="str">
        <f t="shared" si="166"/>
        <v>PGL_Income Eligible_Home Energy Jumpstart_Core_Programmable Thermostat_Boiler (DI)_SF</v>
      </c>
      <c r="C5369" s="2" t="str">
        <f t="shared" si="167"/>
        <v>PGL_Income Eligible_Home Energy Jumpstart_Core_Programmable Thermostat_Boiler (DI)_SF_2022</v>
      </c>
      <c r="D5369" s="19" t="s">
        <v>1794</v>
      </c>
      <c r="E5369" s="19" t="s">
        <v>325</v>
      </c>
      <c r="F5369" s="19" t="s">
        <v>1414</v>
      </c>
      <c r="G5369" s="19" t="s">
        <v>1415</v>
      </c>
      <c r="H5369" s="19" t="s">
        <v>224</v>
      </c>
      <c r="I5369" s="19" t="s">
        <v>1045</v>
      </c>
      <c r="J5369" s="19" t="s">
        <v>24</v>
      </c>
      <c r="K5369" s="19" t="s">
        <v>409</v>
      </c>
      <c r="L5369" s="19">
        <v>2022</v>
      </c>
      <c r="M5369" s="20">
        <v>1</v>
      </c>
      <c r="N5369" s="19" t="s">
        <v>1795</v>
      </c>
      <c r="O5369" s="20">
        <v>9</v>
      </c>
      <c r="P5369" s="20">
        <v>9</v>
      </c>
      <c r="Q5369" s="20">
        <v>829.74599999999998</v>
      </c>
      <c r="R5369" s="21">
        <v>1</v>
      </c>
      <c r="S5369" s="20">
        <v>829.74599999999998</v>
      </c>
    </row>
    <row r="5370" spans="2:19" ht="15" customHeight="1" x14ac:dyDescent="0.25">
      <c r="B5370" s="2" t="str">
        <f t="shared" si="166"/>
        <v>PGL_Income Eligible_Home Energy Jumpstart_Core_Programmable Thermostat_Boiler (DI)_SF</v>
      </c>
      <c r="C5370" s="2" t="str">
        <f t="shared" si="167"/>
        <v>PGL_Income Eligible_Home Energy Jumpstart_Core_Programmable Thermostat_Boiler (DI)_SF_2023</v>
      </c>
      <c r="D5370" s="19" t="s">
        <v>1794</v>
      </c>
      <c r="E5370" s="19" t="s">
        <v>325</v>
      </c>
      <c r="F5370" s="19" t="s">
        <v>1414</v>
      </c>
      <c r="G5370" s="19" t="s">
        <v>1415</v>
      </c>
      <c r="H5370" s="19" t="s">
        <v>224</v>
      </c>
      <c r="I5370" s="19" t="s">
        <v>1045</v>
      </c>
      <c r="J5370" s="19" t="s">
        <v>24</v>
      </c>
      <c r="K5370" s="19" t="s">
        <v>409</v>
      </c>
      <c r="L5370" s="19">
        <v>2023</v>
      </c>
      <c r="M5370" s="20">
        <v>1</v>
      </c>
      <c r="N5370" s="19" t="s">
        <v>1795</v>
      </c>
      <c r="O5370" s="20">
        <v>26</v>
      </c>
      <c r="P5370" s="20">
        <v>26</v>
      </c>
      <c r="Q5370" s="20">
        <v>2397.0439999999999</v>
      </c>
      <c r="R5370" s="21">
        <v>1</v>
      </c>
      <c r="S5370" s="20">
        <v>2397.0439999999999</v>
      </c>
    </row>
    <row r="5371" spans="2:19" ht="15" customHeight="1" x14ac:dyDescent="0.25">
      <c r="B5371" s="2" t="str">
        <f t="shared" si="166"/>
        <v>PGL_Income Eligible_Home Energy Jumpstart_Core_Programmable Thermostat_Boiler (DI)_SF</v>
      </c>
      <c r="C5371" s="2" t="str">
        <f t="shared" si="167"/>
        <v>PGL_Income Eligible_Home Energy Jumpstart_Core_Programmable Thermostat_Boiler (DI)_SF_2024</v>
      </c>
      <c r="D5371" s="19" t="s">
        <v>1794</v>
      </c>
      <c r="E5371" s="19" t="s">
        <v>325</v>
      </c>
      <c r="F5371" s="19" t="s">
        <v>1414</v>
      </c>
      <c r="G5371" s="19" t="s">
        <v>1415</v>
      </c>
      <c r="H5371" s="19" t="s">
        <v>224</v>
      </c>
      <c r="I5371" s="19" t="s">
        <v>1045</v>
      </c>
      <c r="J5371" s="19" t="s">
        <v>24</v>
      </c>
      <c r="K5371" s="19" t="s">
        <v>409</v>
      </c>
      <c r="L5371" s="19">
        <v>2024</v>
      </c>
      <c r="M5371" s="20">
        <v>1</v>
      </c>
      <c r="N5371" s="19" t="s">
        <v>1795</v>
      </c>
      <c r="O5371" s="20">
        <v>44</v>
      </c>
      <c r="P5371" s="20">
        <v>44</v>
      </c>
      <c r="Q5371" s="20">
        <v>4056.5360000000001</v>
      </c>
      <c r="R5371" s="21">
        <v>1</v>
      </c>
      <c r="S5371" s="20">
        <v>4056.5360000000001</v>
      </c>
    </row>
    <row r="5372" spans="2:19" ht="15" customHeight="1" x14ac:dyDescent="0.25">
      <c r="B5372" s="2" t="str">
        <f t="shared" si="166"/>
        <v>PGL_Income Eligible_Home Energy Jumpstart_Core_Programmable Thermostat_Boiler (DI)_SF</v>
      </c>
      <c r="C5372" s="2" t="str">
        <f t="shared" si="167"/>
        <v>PGL_Income Eligible_Home Energy Jumpstart_Core_Programmable Thermostat_Boiler (DI)_SF_2025</v>
      </c>
      <c r="D5372" s="19" t="s">
        <v>1794</v>
      </c>
      <c r="E5372" s="19" t="s">
        <v>325</v>
      </c>
      <c r="F5372" s="19" t="s">
        <v>1414</v>
      </c>
      <c r="G5372" s="19" t="s">
        <v>1415</v>
      </c>
      <c r="H5372" s="19" t="s">
        <v>224</v>
      </c>
      <c r="I5372" s="19" t="s">
        <v>1045</v>
      </c>
      <c r="J5372" s="19" t="s">
        <v>24</v>
      </c>
      <c r="K5372" s="19" t="s">
        <v>409</v>
      </c>
      <c r="L5372" s="19">
        <v>2025</v>
      </c>
      <c r="M5372" s="20">
        <v>1</v>
      </c>
      <c r="N5372" s="19" t="s">
        <v>1795</v>
      </c>
      <c r="O5372" s="20">
        <v>61</v>
      </c>
      <c r="P5372" s="20">
        <v>61</v>
      </c>
      <c r="Q5372" s="20">
        <v>5623.8339999999998</v>
      </c>
      <c r="R5372" s="21">
        <v>1</v>
      </c>
      <c r="S5372" s="20">
        <v>5623.8339999999998</v>
      </c>
    </row>
    <row r="5373" spans="2:19" ht="15" customHeight="1" x14ac:dyDescent="0.25">
      <c r="B5373" s="2" t="str">
        <f t="shared" si="166"/>
        <v>PGL_Income Eligible_Home Energy Jumpstart_Core_Advanced Thermostat_Furnace (Replace Manual)_SF</v>
      </c>
      <c r="C5373" s="2" t="str">
        <f t="shared" si="167"/>
        <v>PGL_Income Eligible_Home Energy Jumpstart_Core_Advanced Thermostat_Furnace (Replace Manual)_SF_2022</v>
      </c>
      <c r="D5373" s="19" t="s">
        <v>1794</v>
      </c>
      <c r="E5373" s="19" t="s">
        <v>325</v>
      </c>
      <c r="F5373" s="19" t="s">
        <v>1414</v>
      </c>
      <c r="G5373" s="19" t="s">
        <v>1415</v>
      </c>
      <c r="H5373" s="19" t="s">
        <v>7</v>
      </c>
      <c r="I5373" s="19" t="s">
        <v>1047</v>
      </c>
      <c r="J5373" s="19" t="s">
        <v>24</v>
      </c>
      <c r="K5373" s="19" t="s">
        <v>409</v>
      </c>
      <c r="L5373" s="19">
        <v>2022</v>
      </c>
      <c r="M5373" s="20">
        <v>1</v>
      </c>
      <c r="N5373" s="19" t="s">
        <v>1795</v>
      </c>
      <c r="O5373" s="20">
        <v>1</v>
      </c>
      <c r="P5373" s="20">
        <v>1</v>
      </c>
      <c r="Q5373" s="20">
        <v>104.52</v>
      </c>
      <c r="R5373" s="21">
        <v>1</v>
      </c>
      <c r="S5373" s="20">
        <v>104.52</v>
      </c>
    </row>
    <row r="5374" spans="2:19" ht="15" customHeight="1" x14ac:dyDescent="0.25">
      <c r="B5374" s="2" t="str">
        <f t="shared" si="166"/>
        <v>PGL_Income Eligible_Home Energy Jumpstart_Core_Advanced Thermostat_Furnace (Replace Manual)_SF</v>
      </c>
      <c r="C5374" s="2" t="str">
        <f t="shared" si="167"/>
        <v>PGL_Income Eligible_Home Energy Jumpstart_Core_Advanced Thermostat_Furnace (Replace Manual)_SF_2023</v>
      </c>
      <c r="D5374" s="19" t="s">
        <v>1794</v>
      </c>
      <c r="E5374" s="19" t="s">
        <v>325</v>
      </c>
      <c r="F5374" s="19" t="s">
        <v>1414</v>
      </c>
      <c r="G5374" s="19" t="s">
        <v>1415</v>
      </c>
      <c r="H5374" s="19" t="s">
        <v>7</v>
      </c>
      <c r="I5374" s="19" t="s">
        <v>1047</v>
      </c>
      <c r="J5374" s="19" t="s">
        <v>24</v>
      </c>
      <c r="K5374" s="19" t="s">
        <v>409</v>
      </c>
      <c r="L5374" s="19">
        <v>2023</v>
      </c>
      <c r="M5374" s="20">
        <v>1</v>
      </c>
      <c r="N5374" s="19" t="s">
        <v>1795</v>
      </c>
      <c r="O5374" s="20">
        <v>3</v>
      </c>
      <c r="P5374" s="20">
        <v>3</v>
      </c>
      <c r="Q5374" s="20">
        <v>313.56</v>
      </c>
      <c r="R5374" s="21">
        <v>1</v>
      </c>
      <c r="S5374" s="20">
        <v>313.56</v>
      </c>
    </row>
    <row r="5375" spans="2:19" ht="15" customHeight="1" x14ac:dyDescent="0.25">
      <c r="B5375" s="2" t="str">
        <f t="shared" si="166"/>
        <v>PGL_Income Eligible_Home Energy Jumpstart_Core_Advanced Thermostat_Furnace (Replace Manual)_SF</v>
      </c>
      <c r="C5375" s="2" t="str">
        <f t="shared" si="167"/>
        <v>PGL_Income Eligible_Home Energy Jumpstart_Core_Advanced Thermostat_Furnace (Replace Manual)_SF_2024</v>
      </c>
      <c r="D5375" s="19" t="s">
        <v>1794</v>
      </c>
      <c r="E5375" s="19" t="s">
        <v>325</v>
      </c>
      <c r="F5375" s="19" t="s">
        <v>1414</v>
      </c>
      <c r="G5375" s="19" t="s">
        <v>1415</v>
      </c>
      <c r="H5375" s="19" t="s">
        <v>7</v>
      </c>
      <c r="I5375" s="19" t="s">
        <v>1047</v>
      </c>
      <c r="J5375" s="19" t="s">
        <v>24</v>
      </c>
      <c r="K5375" s="19" t="s">
        <v>409</v>
      </c>
      <c r="L5375" s="19">
        <v>2024</v>
      </c>
      <c r="M5375" s="20">
        <v>1</v>
      </c>
      <c r="N5375" s="19" t="s">
        <v>1795</v>
      </c>
      <c r="O5375" s="20">
        <v>5</v>
      </c>
      <c r="P5375" s="20">
        <v>5</v>
      </c>
      <c r="Q5375" s="20">
        <v>522.6</v>
      </c>
      <c r="R5375" s="21">
        <v>1</v>
      </c>
      <c r="S5375" s="20">
        <v>522.6</v>
      </c>
    </row>
    <row r="5376" spans="2:19" ht="15" customHeight="1" x14ac:dyDescent="0.25">
      <c r="B5376" s="2" t="str">
        <f t="shared" si="166"/>
        <v>PGL_Income Eligible_Home Energy Jumpstart_Core_Advanced Thermostat_Furnace (Replace Manual)_SF</v>
      </c>
      <c r="C5376" s="2" t="str">
        <f t="shared" si="167"/>
        <v>PGL_Income Eligible_Home Energy Jumpstart_Core_Advanced Thermostat_Furnace (Replace Manual)_SF_2025</v>
      </c>
      <c r="D5376" s="19" t="s">
        <v>1794</v>
      </c>
      <c r="E5376" s="19" t="s">
        <v>325</v>
      </c>
      <c r="F5376" s="19" t="s">
        <v>1414</v>
      </c>
      <c r="G5376" s="19" t="s">
        <v>1415</v>
      </c>
      <c r="H5376" s="19" t="s">
        <v>7</v>
      </c>
      <c r="I5376" s="19" t="s">
        <v>1047</v>
      </c>
      <c r="J5376" s="19" t="s">
        <v>24</v>
      </c>
      <c r="K5376" s="19" t="s">
        <v>409</v>
      </c>
      <c r="L5376" s="19">
        <v>2025</v>
      </c>
      <c r="M5376" s="20">
        <v>1</v>
      </c>
      <c r="N5376" s="19" t="s">
        <v>1795</v>
      </c>
      <c r="O5376" s="20">
        <v>7</v>
      </c>
      <c r="P5376" s="20">
        <v>7</v>
      </c>
      <c r="Q5376" s="20">
        <v>731.64</v>
      </c>
      <c r="R5376" s="21">
        <v>1</v>
      </c>
      <c r="S5376" s="20">
        <v>731.64</v>
      </c>
    </row>
    <row r="5377" spans="2:19" ht="15" customHeight="1" x14ac:dyDescent="0.25">
      <c r="B5377" s="2" t="str">
        <f t="shared" si="166"/>
        <v>PGL_Income Eligible_Home Energy Jumpstart_Core_Advanced Thermostat_Boiler (Replace Manual)_SF</v>
      </c>
      <c r="C5377" s="2" t="str">
        <f t="shared" si="167"/>
        <v>PGL_Income Eligible_Home Energy Jumpstart_Core_Advanced Thermostat_Boiler (Replace Manual)_SF_2022</v>
      </c>
      <c r="D5377" s="19" t="s">
        <v>1794</v>
      </c>
      <c r="E5377" s="19" t="s">
        <v>325</v>
      </c>
      <c r="F5377" s="19" t="s">
        <v>1414</v>
      </c>
      <c r="G5377" s="19" t="s">
        <v>1415</v>
      </c>
      <c r="H5377" s="19" t="s">
        <v>7</v>
      </c>
      <c r="I5377" s="19" t="s">
        <v>1051</v>
      </c>
      <c r="J5377" s="19" t="s">
        <v>24</v>
      </c>
      <c r="K5377" s="19" t="s">
        <v>409</v>
      </c>
      <c r="L5377" s="19">
        <v>2022</v>
      </c>
      <c r="M5377" s="20">
        <v>1</v>
      </c>
      <c r="N5377" s="19" t="s">
        <v>1795</v>
      </c>
      <c r="O5377" s="20">
        <v>8</v>
      </c>
      <c r="P5377" s="20">
        <v>8</v>
      </c>
      <c r="Q5377" s="20">
        <v>1235.52</v>
      </c>
      <c r="R5377" s="21">
        <v>1</v>
      </c>
      <c r="S5377" s="20">
        <v>1235.52</v>
      </c>
    </row>
    <row r="5378" spans="2:19" ht="15" customHeight="1" x14ac:dyDescent="0.25">
      <c r="B5378" s="2" t="str">
        <f t="shared" si="166"/>
        <v>PGL_Income Eligible_Home Energy Jumpstart_Core_Advanced Thermostat_Boiler (Replace Manual)_SF</v>
      </c>
      <c r="C5378" s="2" t="str">
        <f t="shared" si="167"/>
        <v>PGL_Income Eligible_Home Energy Jumpstart_Core_Advanced Thermostat_Boiler (Replace Manual)_SF_2023</v>
      </c>
      <c r="D5378" s="19" t="s">
        <v>1794</v>
      </c>
      <c r="E5378" s="19" t="s">
        <v>325</v>
      </c>
      <c r="F5378" s="19" t="s">
        <v>1414</v>
      </c>
      <c r="G5378" s="19" t="s">
        <v>1415</v>
      </c>
      <c r="H5378" s="19" t="s">
        <v>7</v>
      </c>
      <c r="I5378" s="19" t="s">
        <v>1051</v>
      </c>
      <c r="J5378" s="19" t="s">
        <v>24</v>
      </c>
      <c r="K5378" s="19" t="s">
        <v>409</v>
      </c>
      <c r="L5378" s="19">
        <v>2023</v>
      </c>
      <c r="M5378" s="20">
        <v>1</v>
      </c>
      <c r="N5378" s="19" t="s">
        <v>1795</v>
      </c>
      <c r="O5378" s="20">
        <v>25</v>
      </c>
      <c r="P5378" s="20">
        <v>25</v>
      </c>
      <c r="Q5378" s="20">
        <v>3861</v>
      </c>
      <c r="R5378" s="21">
        <v>1</v>
      </c>
      <c r="S5378" s="20">
        <v>3861</v>
      </c>
    </row>
    <row r="5379" spans="2:19" ht="15" customHeight="1" x14ac:dyDescent="0.25">
      <c r="B5379" s="2" t="str">
        <f t="shared" si="166"/>
        <v>PGL_Income Eligible_Home Energy Jumpstart_Core_Advanced Thermostat_Boiler (Replace Manual)_SF</v>
      </c>
      <c r="C5379" s="2" t="str">
        <f t="shared" si="167"/>
        <v>PGL_Income Eligible_Home Energy Jumpstart_Core_Advanced Thermostat_Boiler (Replace Manual)_SF_2024</v>
      </c>
      <c r="D5379" s="19" t="s">
        <v>1794</v>
      </c>
      <c r="E5379" s="19" t="s">
        <v>325</v>
      </c>
      <c r="F5379" s="19" t="s">
        <v>1414</v>
      </c>
      <c r="G5379" s="19" t="s">
        <v>1415</v>
      </c>
      <c r="H5379" s="19" t="s">
        <v>7</v>
      </c>
      <c r="I5379" s="19" t="s">
        <v>1051</v>
      </c>
      <c r="J5379" s="19" t="s">
        <v>24</v>
      </c>
      <c r="K5379" s="19" t="s">
        <v>409</v>
      </c>
      <c r="L5379" s="19">
        <v>2024</v>
      </c>
      <c r="M5379" s="20">
        <v>1</v>
      </c>
      <c r="N5379" s="19" t="s">
        <v>1795</v>
      </c>
      <c r="O5379" s="20">
        <v>42</v>
      </c>
      <c r="P5379" s="20">
        <v>42</v>
      </c>
      <c r="Q5379" s="20">
        <v>6486.48</v>
      </c>
      <c r="R5379" s="21">
        <v>1</v>
      </c>
      <c r="S5379" s="20">
        <v>6486.48</v>
      </c>
    </row>
    <row r="5380" spans="2:19" ht="15" customHeight="1" x14ac:dyDescent="0.25">
      <c r="B5380" s="2" t="str">
        <f t="shared" si="166"/>
        <v>PGL_Income Eligible_Home Energy Jumpstart_Core_Advanced Thermostat_Boiler (Replace Manual)_SF</v>
      </c>
      <c r="C5380" s="2" t="str">
        <f t="shared" si="167"/>
        <v>PGL_Income Eligible_Home Energy Jumpstart_Core_Advanced Thermostat_Boiler (Replace Manual)_SF_2025</v>
      </c>
      <c r="D5380" s="19" t="s">
        <v>1794</v>
      </c>
      <c r="E5380" s="19" t="s">
        <v>325</v>
      </c>
      <c r="F5380" s="19" t="s">
        <v>1414</v>
      </c>
      <c r="G5380" s="19" t="s">
        <v>1415</v>
      </c>
      <c r="H5380" s="19" t="s">
        <v>7</v>
      </c>
      <c r="I5380" s="19" t="s">
        <v>1051</v>
      </c>
      <c r="J5380" s="19" t="s">
        <v>24</v>
      </c>
      <c r="K5380" s="19" t="s">
        <v>409</v>
      </c>
      <c r="L5380" s="19">
        <v>2025</v>
      </c>
      <c r="M5380" s="20">
        <v>1</v>
      </c>
      <c r="N5380" s="19" t="s">
        <v>1795</v>
      </c>
      <c r="O5380" s="20">
        <v>59</v>
      </c>
      <c r="P5380" s="20">
        <v>59</v>
      </c>
      <c r="Q5380" s="20">
        <v>9111.9599999999991</v>
      </c>
      <c r="R5380" s="21">
        <v>1</v>
      </c>
      <c r="S5380" s="20">
        <v>9111.9599999999991</v>
      </c>
    </row>
    <row r="5381" spans="2:19" ht="15" customHeight="1" x14ac:dyDescent="0.25">
      <c r="B5381" s="2" t="str">
        <f t="shared" si="166"/>
        <v>PGL_Income Eligible_Home Energy Jumpstart_Core_Advanced Thermostat_Furnace (Replace Programmable)_SF</v>
      </c>
      <c r="C5381" s="2" t="str">
        <f t="shared" si="167"/>
        <v>PGL_Income Eligible_Home Energy Jumpstart_Core_Advanced Thermostat_Furnace (Replace Programmable)_SF_2022</v>
      </c>
      <c r="D5381" s="19" t="s">
        <v>1794</v>
      </c>
      <c r="E5381" s="19" t="s">
        <v>325</v>
      </c>
      <c r="F5381" s="19" t="s">
        <v>1414</v>
      </c>
      <c r="G5381" s="19" t="s">
        <v>1415</v>
      </c>
      <c r="H5381" s="19" t="s">
        <v>7</v>
      </c>
      <c r="I5381" s="19" t="s">
        <v>1049</v>
      </c>
      <c r="J5381" s="19" t="s">
        <v>24</v>
      </c>
      <c r="K5381" s="19" t="s">
        <v>409</v>
      </c>
      <c r="L5381" s="19">
        <v>2022</v>
      </c>
      <c r="M5381" s="20">
        <v>1</v>
      </c>
      <c r="N5381" s="19" t="s">
        <v>1795</v>
      </c>
      <c r="O5381" s="20">
        <v>2</v>
      </c>
      <c r="P5381" s="20">
        <v>2</v>
      </c>
      <c r="Q5381" s="20">
        <v>146.72999999999999</v>
      </c>
      <c r="R5381" s="21">
        <v>1</v>
      </c>
      <c r="S5381" s="20">
        <v>146.72999999999999</v>
      </c>
    </row>
    <row r="5382" spans="2:19" ht="15" customHeight="1" x14ac:dyDescent="0.25">
      <c r="B5382" s="2" t="str">
        <f t="shared" ref="B5382:B5445" si="168">D5382&amp;"_"&amp;E5382&amp;"_"&amp;F5382&amp;"_"&amp;G5382&amp;"_"&amp;H5382&amp;"_"&amp;I5382&amp;"_"&amp;K5382</f>
        <v>PGL_Income Eligible_Home Energy Jumpstart_Core_Advanced Thermostat_Furnace (Replace Programmable)_SF</v>
      </c>
      <c r="C5382" s="2" t="str">
        <f t="shared" ref="C5382:C5445" si="169">D5382&amp;"_"&amp;E5382&amp;"_"&amp;F5382&amp;"_"&amp;G5382&amp;"_"&amp;H5382&amp;"_"&amp;I5382&amp;"_"&amp;K5382&amp;"_"&amp;L5382</f>
        <v>PGL_Income Eligible_Home Energy Jumpstart_Core_Advanced Thermostat_Furnace (Replace Programmable)_SF_2023</v>
      </c>
      <c r="D5382" s="19" t="s">
        <v>1794</v>
      </c>
      <c r="E5382" s="19" t="s">
        <v>325</v>
      </c>
      <c r="F5382" s="19" t="s">
        <v>1414</v>
      </c>
      <c r="G5382" s="19" t="s">
        <v>1415</v>
      </c>
      <c r="H5382" s="19" t="s">
        <v>7</v>
      </c>
      <c r="I5382" s="19" t="s">
        <v>1049</v>
      </c>
      <c r="J5382" s="19" t="s">
        <v>24</v>
      </c>
      <c r="K5382" s="19" t="s">
        <v>409</v>
      </c>
      <c r="L5382" s="19">
        <v>2023</v>
      </c>
      <c r="M5382" s="20">
        <v>1</v>
      </c>
      <c r="N5382" s="19" t="s">
        <v>1795</v>
      </c>
      <c r="O5382" s="20">
        <v>5</v>
      </c>
      <c r="P5382" s="20">
        <v>5</v>
      </c>
      <c r="Q5382" s="20">
        <v>366.82499999999999</v>
      </c>
      <c r="R5382" s="21">
        <v>1</v>
      </c>
      <c r="S5382" s="20">
        <v>366.82499999999999</v>
      </c>
    </row>
    <row r="5383" spans="2:19" ht="15" customHeight="1" x14ac:dyDescent="0.25">
      <c r="B5383" s="2" t="str">
        <f t="shared" si="168"/>
        <v>PGL_Income Eligible_Home Energy Jumpstart_Core_Advanced Thermostat_Furnace (Replace Programmable)_SF</v>
      </c>
      <c r="C5383" s="2" t="str">
        <f t="shared" si="169"/>
        <v>PGL_Income Eligible_Home Energy Jumpstart_Core_Advanced Thermostat_Furnace (Replace Programmable)_SF_2024</v>
      </c>
      <c r="D5383" s="19" t="s">
        <v>1794</v>
      </c>
      <c r="E5383" s="19" t="s">
        <v>325</v>
      </c>
      <c r="F5383" s="19" t="s">
        <v>1414</v>
      </c>
      <c r="G5383" s="19" t="s">
        <v>1415</v>
      </c>
      <c r="H5383" s="19" t="s">
        <v>7</v>
      </c>
      <c r="I5383" s="19" t="s">
        <v>1049</v>
      </c>
      <c r="J5383" s="19" t="s">
        <v>24</v>
      </c>
      <c r="K5383" s="19" t="s">
        <v>409</v>
      </c>
      <c r="L5383" s="19">
        <v>2024</v>
      </c>
      <c r="M5383" s="20">
        <v>1</v>
      </c>
      <c r="N5383" s="19" t="s">
        <v>1795</v>
      </c>
      <c r="O5383" s="20">
        <v>9</v>
      </c>
      <c r="P5383" s="20">
        <v>9</v>
      </c>
      <c r="Q5383" s="20">
        <v>660.28499999999997</v>
      </c>
      <c r="R5383" s="21">
        <v>1</v>
      </c>
      <c r="S5383" s="20">
        <v>660.28499999999997</v>
      </c>
    </row>
    <row r="5384" spans="2:19" ht="15" customHeight="1" x14ac:dyDescent="0.25">
      <c r="B5384" s="2" t="str">
        <f t="shared" si="168"/>
        <v>PGL_Income Eligible_Home Energy Jumpstart_Core_Advanced Thermostat_Furnace (Replace Programmable)_SF</v>
      </c>
      <c r="C5384" s="2" t="str">
        <f t="shared" si="169"/>
        <v>PGL_Income Eligible_Home Energy Jumpstart_Core_Advanced Thermostat_Furnace (Replace Programmable)_SF_2025</v>
      </c>
      <c r="D5384" s="19" t="s">
        <v>1794</v>
      </c>
      <c r="E5384" s="19" t="s">
        <v>325</v>
      </c>
      <c r="F5384" s="19" t="s">
        <v>1414</v>
      </c>
      <c r="G5384" s="19" t="s">
        <v>1415</v>
      </c>
      <c r="H5384" s="19" t="s">
        <v>7</v>
      </c>
      <c r="I5384" s="19" t="s">
        <v>1049</v>
      </c>
      <c r="J5384" s="19" t="s">
        <v>24</v>
      </c>
      <c r="K5384" s="19" t="s">
        <v>409</v>
      </c>
      <c r="L5384" s="19">
        <v>2025</v>
      </c>
      <c r="M5384" s="20">
        <v>1</v>
      </c>
      <c r="N5384" s="19" t="s">
        <v>1795</v>
      </c>
      <c r="O5384" s="20">
        <v>13</v>
      </c>
      <c r="P5384" s="20">
        <v>13</v>
      </c>
      <c r="Q5384" s="20">
        <v>953.74499999999989</v>
      </c>
      <c r="R5384" s="21">
        <v>1</v>
      </c>
      <c r="S5384" s="20">
        <v>953.74499999999989</v>
      </c>
    </row>
    <row r="5385" spans="2:19" ht="15" customHeight="1" x14ac:dyDescent="0.25">
      <c r="B5385" s="2" t="str">
        <f t="shared" si="168"/>
        <v>PGL_Income Eligible_Home Energy Jumpstart_Core_Advanced Thermostat_Boiler (Replace Programmable)_SF</v>
      </c>
      <c r="C5385" s="2" t="str">
        <f t="shared" si="169"/>
        <v>PGL_Income Eligible_Home Energy Jumpstart_Core_Advanced Thermostat_Boiler (Replace Programmable)_SF_2022</v>
      </c>
      <c r="D5385" s="19" t="s">
        <v>1794</v>
      </c>
      <c r="E5385" s="19" t="s">
        <v>325</v>
      </c>
      <c r="F5385" s="19" t="s">
        <v>1414</v>
      </c>
      <c r="G5385" s="19" t="s">
        <v>1415</v>
      </c>
      <c r="H5385" s="19" t="s">
        <v>7</v>
      </c>
      <c r="I5385" s="19" t="s">
        <v>1052</v>
      </c>
      <c r="J5385" s="19" t="s">
        <v>24</v>
      </c>
      <c r="K5385" s="19" t="s">
        <v>409</v>
      </c>
      <c r="L5385" s="19">
        <v>2022</v>
      </c>
      <c r="M5385" s="20">
        <v>1</v>
      </c>
      <c r="N5385" s="19" t="s">
        <v>1795</v>
      </c>
      <c r="O5385" s="20">
        <v>16</v>
      </c>
      <c r="P5385" s="20">
        <v>16</v>
      </c>
      <c r="Q5385" s="20">
        <v>1734.4799999999998</v>
      </c>
      <c r="R5385" s="21">
        <v>1</v>
      </c>
      <c r="S5385" s="20">
        <v>1734.4799999999998</v>
      </c>
    </row>
    <row r="5386" spans="2:19" ht="15" customHeight="1" x14ac:dyDescent="0.25">
      <c r="B5386" s="2" t="str">
        <f t="shared" si="168"/>
        <v>PGL_Income Eligible_Home Energy Jumpstart_Core_Advanced Thermostat_Boiler (Replace Programmable)_SF</v>
      </c>
      <c r="C5386" s="2" t="str">
        <f t="shared" si="169"/>
        <v>PGL_Income Eligible_Home Energy Jumpstart_Core_Advanced Thermostat_Boiler (Replace Programmable)_SF_2023</v>
      </c>
      <c r="D5386" s="19" t="s">
        <v>1794</v>
      </c>
      <c r="E5386" s="19" t="s">
        <v>325</v>
      </c>
      <c r="F5386" s="19" t="s">
        <v>1414</v>
      </c>
      <c r="G5386" s="19" t="s">
        <v>1415</v>
      </c>
      <c r="H5386" s="19" t="s">
        <v>7</v>
      </c>
      <c r="I5386" s="19" t="s">
        <v>1052</v>
      </c>
      <c r="J5386" s="19" t="s">
        <v>24</v>
      </c>
      <c r="K5386" s="19" t="s">
        <v>409</v>
      </c>
      <c r="L5386" s="19">
        <v>2023</v>
      </c>
      <c r="M5386" s="20">
        <v>1</v>
      </c>
      <c r="N5386" s="19" t="s">
        <v>1795</v>
      </c>
      <c r="O5386" s="20">
        <v>49</v>
      </c>
      <c r="P5386" s="20">
        <v>49</v>
      </c>
      <c r="Q5386" s="20">
        <v>5311.8449999999993</v>
      </c>
      <c r="R5386" s="21">
        <v>1</v>
      </c>
      <c r="S5386" s="20">
        <v>5311.8449999999993</v>
      </c>
    </row>
    <row r="5387" spans="2:19" ht="15" customHeight="1" x14ac:dyDescent="0.25">
      <c r="B5387" s="2" t="str">
        <f t="shared" si="168"/>
        <v>PGL_Income Eligible_Home Energy Jumpstart_Core_Advanced Thermostat_Boiler (Replace Programmable)_SF</v>
      </c>
      <c r="C5387" s="2" t="str">
        <f t="shared" si="169"/>
        <v>PGL_Income Eligible_Home Energy Jumpstart_Core_Advanced Thermostat_Boiler (Replace Programmable)_SF_2024</v>
      </c>
      <c r="D5387" s="19" t="s">
        <v>1794</v>
      </c>
      <c r="E5387" s="19" t="s">
        <v>325</v>
      </c>
      <c r="F5387" s="19" t="s">
        <v>1414</v>
      </c>
      <c r="G5387" s="19" t="s">
        <v>1415</v>
      </c>
      <c r="H5387" s="19" t="s">
        <v>7</v>
      </c>
      <c r="I5387" s="19" t="s">
        <v>1052</v>
      </c>
      <c r="J5387" s="19" t="s">
        <v>24</v>
      </c>
      <c r="K5387" s="19" t="s">
        <v>409</v>
      </c>
      <c r="L5387" s="19">
        <v>2024</v>
      </c>
      <c r="M5387" s="20">
        <v>1</v>
      </c>
      <c r="N5387" s="19" t="s">
        <v>1795</v>
      </c>
      <c r="O5387" s="20">
        <v>81</v>
      </c>
      <c r="P5387" s="20">
        <v>81</v>
      </c>
      <c r="Q5387" s="20">
        <v>8780.8049999999985</v>
      </c>
      <c r="R5387" s="21">
        <v>1</v>
      </c>
      <c r="S5387" s="20">
        <v>8780.8049999999985</v>
      </c>
    </row>
    <row r="5388" spans="2:19" ht="15" customHeight="1" x14ac:dyDescent="0.25">
      <c r="B5388" s="2" t="str">
        <f t="shared" si="168"/>
        <v>PGL_Income Eligible_Home Energy Jumpstart_Core_Advanced Thermostat_Boiler (Replace Programmable)_SF</v>
      </c>
      <c r="C5388" s="2" t="str">
        <f t="shared" si="169"/>
        <v>PGL_Income Eligible_Home Energy Jumpstart_Core_Advanced Thermostat_Boiler (Replace Programmable)_SF_2025</v>
      </c>
      <c r="D5388" s="19" t="s">
        <v>1794</v>
      </c>
      <c r="E5388" s="19" t="s">
        <v>325</v>
      </c>
      <c r="F5388" s="19" t="s">
        <v>1414</v>
      </c>
      <c r="G5388" s="19" t="s">
        <v>1415</v>
      </c>
      <c r="H5388" s="19" t="s">
        <v>7</v>
      </c>
      <c r="I5388" s="19" t="s">
        <v>1052</v>
      </c>
      <c r="J5388" s="19" t="s">
        <v>24</v>
      </c>
      <c r="K5388" s="19" t="s">
        <v>409</v>
      </c>
      <c r="L5388" s="19">
        <v>2025</v>
      </c>
      <c r="M5388" s="20">
        <v>1</v>
      </c>
      <c r="N5388" s="19" t="s">
        <v>1795</v>
      </c>
      <c r="O5388" s="20">
        <v>113</v>
      </c>
      <c r="P5388" s="20">
        <v>113</v>
      </c>
      <c r="Q5388" s="20">
        <v>12249.764999999999</v>
      </c>
      <c r="R5388" s="21">
        <v>1</v>
      </c>
      <c r="S5388" s="20">
        <v>12249.764999999999</v>
      </c>
    </row>
    <row r="5389" spans="2:19" ht="15" customHeight="1" x14ac:dyDescent="0.25">
      <c r="B5389" s="2" t="str">
        <f t="shared" si="168"/>
        <v>PGL_Income Eligible_Home Energy Jumpstart_Core_Thermostat - Reprogram_Furnace (DI)_SF</v>
      </c>
      <c r="C5389" s="2" t="str">
        <f t="shared" si="169"/>
        <v>PGL_Income Eligible_Home Energy Jumpstart_Core_Thermostat - Reprogram_Furnace (DI)_SF_2022</v>
      </c>
      <c r="D5389" s="19" t="s">
        <v>1794</v>
      </c>
      <c r="E5389" s="19" t="s">
        <v>325</v>
      </c>
      <c r="F5389" s="19" t="s">
        <v>1414</v>
      </c>
      <c r="G5389" s="19" t="s">
        <v>1415</v>
      </c>
      <c r="H5389" s="19" t="s">
        <v>1055</v>
      </c>
      <c r="I5389" s="19" t="s">
        <v>1038</v>
      </c>
      <c r="J5389" s="19" t="s">
        <v>24</v>
      </c>
      <c r="K5389" s="19" t="s">
        <v>409</v>
      </c>
      <c r="L5389" s="19">
        <v>2022</v>
      </c>
      <c r="M5389" s="20">
        <v>1</v>
      </c>
      <c r="N5389" s="19" t="s">
        <v>1795</v>
      </c>
      <c r="O5389" s="20">
        <v>37</v>
      </c>
      <c r="P5389" s="20">
        <v>37</v>
      </c>
      <c r="Q5389" s="20">
        <v>2305.4700000000003</v>
      </c>
      <c r="R5389" s="21">
        <v>1</v>
      </c>
      <c r="S5389" s="20">
        <v>2305.4700000000003</v>
      </c>
    </row>
    <row r="5390" spans="2:19" ht="15" customHeight="1" x14ac:dyDescent="0.25">
      <c r="B5390" s="2" t="str">
        <f t="shared" si="168"/>
        <v>PGL_Income Eligible_Home Energy Jumpstart_Core_Thermostat - Reprogram_Furnace (DI)_SF</v>
      </c>
      <c r="C5390" s="2" t="str">
        <f t="shared" si="169"/>
        <v>PGL_Income Eligible_Home Energy Jumpstart_Core_Thermostat - Reprogram_Furnace (DI)_SF_2023</v>
      </c>
      <c r="D5390" s="19" t="s">
        <v>1794</v>
      </c>
      <c r="E5390" s="19" t="s">
        <v>325</v>
      </c>
      <c r="F5390" s="19" t="s">
        <v>1414</v>
      </c>
      <c r="G5390" s="19" t="s">
        <v>1415</v>
      </c>
      <c r="H5390" s="19" t="s">
        <v>1055</v>
      </c>
      <c r="I5390" s="19" t="s">
        <v>1038</v>
      </c>
      <c r="J5390" s="19" t="s">
        <v>24</v>
      </c>
      <c r="K5390" s="19" t="s">
        <v>409</v>
      </c>
      <c r="L5390" s="19">
        <v>2023</v>
      </c>
      <c r="M5390" s="20">
        <v>1</v>
      </c>
      <c r="N5390" s="19" t="s">
        <v>1795</v>
      </c>
      <c r="O5390" s="20">
        <v>110</v>
      </c>
      <c r="P5390" s="20">
        <v>110</v>
      </c>
      <c r="Q5390" s="20">
        <v>6854.1</v>
      </c>
      <c r="R5390" s="21">
        <v>1</v>
      </c>
      <c r="S5390" s="20">
        <v>6854.1</v>
      </c>
    </row>
    <row r="5391" spans="2:19" ht="15" customHeight="1" x14ac:dyDescent="0.25">
      <c r="B5391" s="2" t="str">
        <f t="shared" si="168"/>
        <v>PGL_Income Eligible_Home Energy Jumpstart_Core_Thermostat - Reprogram_Furnace (DI)_SF</v>
      </c>
      <c r="C5391" s="2" t="str">
        <f t="shared" si="169"/>
        <v>PGL_Income Eligible_Home Energy Jumpstart_Core_Thermostat - Reprogram_Furnace (DI)_SF_2024</v>
      </c>
      <c r="D5391" s="19" t="s">
        <v>1794</v>
      </c>
      <c r="E5391" s="19" t="s">
        <v>325</v>
      </c>
      <c r="F5391" s="19" t="s">
        <v>1414</v>
      </c>
      <c r="G5391" s="19" t="s">
        <v>1415</v>
      </c>
      <c r="H5391" s="19" t="s">
        <v>1055</v>
      </c>
      <c r="I5391" s="19" t="s">
        <v>1038</v>
      </c>
      <c r="J5391" s="19" t="s">
        <v>24</v>
      </c>
      <c r="K5391" s="19" t="s">
        <v>409</v>
      </c>
      <c r="L5391" s="19">
        <v>2024</v>
      </c>
      <c r="M5391" s="20">
        <v>1</v>
      </c>
      <c r="N5391" s="19" t="s">
        <v>1795</v>
      </c>
      <c r="O5391" s="20">
        <v>184</v>
      </c>
      <c r="P5391" s="20">
        <v>184</v>
      </c>
      <c r="Q5391" s="20">
        <v>11465.04</v>
      </c>
      <c r="R5391" s="21">
        <v>1</v>
      </c>
      <c r="S5391" s="20">
        <v>11465.04</v>
      </c>
    </row>
    <row r="5392" spans="2:19" ht="15" customHeight="1" x14ac:dyDescent="0.25">
      <c r="B5392" s="2" t="str">
        <f t="shared" si="168"/>
        <v>PGL_Income Eligible_Home Energy Jumpstart_Core_Thermostat - Reprogram_Furnace (DI)_SF</v>
      </c>
      <c r="C5392" s="2" t="str">
        <f t="shared" si="169"/>
        <v>PGL_Income Eligible_Home Energy Jumpstart_Core_Thermostat - Reprogram_Furnace (DI)_SF_2025</v>
      </c>
      <c r="D5392" s="19" t="s">
        <v>1794</v>
      </c>
      <c r="E5392" s="19" t="s">
        <v>325</v>
      </c>
      <c r="F5392" s="19" t="s">
        <v>1414</v>
      </c>
      <c r="G5392" s="19" t="s">
        <v>1415</v>
      </c>
      <c r="H5392" s="19" t="s">
        <v>1055</v>
      </c>
      <c r="I5392" s="19" t="s">
        <v>1038</v>
      </c>
      <c r="J5392" s="19" t="s">
        <v>24</v>
      </c>
      <c r="K5392" s="19" t="s">
        <v>409</v>
      </c>
      <c r="L5392" s="19">
        <v>2025</v>
      </c>
      <c r="M5392" s="20">
        <v>1</v>
      </c>
      <c r="N5392" s="19" t="s">
        <v>1795</v>
      </c>
      <c r="O5392" s="20">
        <v>257</v>
      </c>
      <c r="P5392" s="20">
        <v>257</v>
      </c>
      <c r="Q5392" s="20">
        <v>16013.67</v>
      </c>
      <c r="R5392" s="21">
        <v>1</v>
      </c>
      <c r="S5392" s="20">
        <v>16013.67</v>
      </c>
    </row>
    <row r="5393" spans="2:19" ht="15" customHeight="1" x14ac:dyDescent="0.25">
      <c r="B5393" s="2" t="str">
        <f t="shared" si="168"/>
        <v>PGL_Income Eligible_Home Energy Jumpstart_Core_Thermostat - Reprogram_Boiler (DI)_SF</v>
      </c>
      <c r="C5393" s="2" t="str">
        <f t="shared" si="169"/>
        <v>PGL_Income Eligible_Home Energy Jumpstart_Core_Thermostat - Reprogram_Boiler (DI)_SF_2022</v>
      </c>
      <c r="D5393" s="19" t="s">
        <v>1794</v>
      </c>
      <c r="E5393" s="19" t="s">
        <v>325</v>
      </c>
      <c r="F5393" s="19" t="s">
        <v>1414</v>
      </c>
      <c r="G5393" s="19" t="s">
        <v>1415</v>
      </c>
      <c r="H5393" s="19" t="s">
        <v>1055</v>
      </c>
      <c r="I5393" s="19" t="s">
        <v>1045</v>
      </c>
      <c r="J5393" s="19" t="s">
        <v>24</v>
      </c>
      <c r="K5393" s="19" t="s">
        <v>409</v>
      </c>
      <c r="L5393" s="19">
        <v>2022</v>
      </c>
      <c r="M5393" s="20">
        <v>1</v>
      </c>
      <c r="N5393" s="19" t="s">
        <v>1795</v>
      </c>
      <c r="O5393" s="20">
        <v>24</v>
      </c>
      <c r="P5393" s="20">
        <v>24</v>
      </c>
      <c r="Q5393" s="20">
        <v>2212.6559999999999</v>
      </c>
      <c r="R5393" s="21">
        <v>1</v>
      </c>
      <c r="S5393" s="20">
        <v>2212.6559999999999</v>
      </c>
    </row>
    <row r="5394" spans="2:19" ht="15" customHeight="1" x14ac:dyDescent="0.25">
      <c r="B5394" s="2" t="str">
        <f t="shared" si="168"/>
        <v>PGL_Income Eligible_Home Energy Jumpstart_Core_Thermostat - Reprogram_Boiler (DI)_SF</v>
      </c>
      <c r="C5394" s="2" t="str">
        <f t="shared" si="169"/>
        <v>PGL_Income Eligible_Home Energy Jumpstart_Core_Thermostat - Reprogram_Boiler (DI)_SF_2023</v>
      </c>
      <c r="D5394" s="19" t="s">
        <v>1794</v>
      </c>
      <c r="E5394" s="19" t="s">
        <v>325</v>
      </c>
      <c r="F5394" s="19" t="s">
        <v>1414</v>
      </c>
      <c r="G5394" s="19" t="s">
        <v>1415</v>
      </c>
      <c r="H5394" s="19" t="s">
        <v>1055</v>
      </c>
      <c r="I5394" s="19" t="s">
        <v>1045</v>
      </c>
      <c r="J5394" s="19" t="s">
        <v>24</v>
      </c>
      <c r="K5394" s="19" t="s">
        <v>409</v>
      </c>
      <c r="L5394" s="19">
        <v>2023</v>
      </c>
      <c r="M5394" s="20">
        <v>1</v>
      </c>
      <c r="N5394" s="19" t="s">
        <v>1795</v>
      </c>
      <c r="O5394" s="20">
        <v>73</v>
      </c>
      <c r="P5394" s="20">
        <v>73</v>
      </c>
      <c r="Q5394" s="20">
        <v>6730.1620000000003</v>
      </c>
      <c r="R5394" s="21">
        <v>1</v>
      </c>
      <c r="S5394" s="20">
        <v>6730.1620000000003</v>
      </c>
    </row>
    <row r="5395" spans="2:19" ht="15" customHeight="1" x14ac:dyDescent="0.25">
      <c r="B5395" s="2" t="str">
        <f t="shared" si="168"/>
        <v>PGL_Income Eligible_Home Energy Jumpstart_Core_Thermostat - Reprogram_Boiler (DI)_SF</v>
      </c>
      <c r="C5395" s="2" t="str">
        <f t="shared" si="169"/>
        <v>PGL_Income Eligible_Home Energy Jumpstart_Core_Thermostat - Reprogram_Boiler (DI)_SF_2024</v>
      </c>
      <c r="D5395" s="19" t="s">
        <v>1794</v>
      </c>
      <c r="E5395" s="19" t="s">
        <v>325</v>
      </c>
      <c r="F5395" s="19" t="s">
        <v>1414</v>
      </c>
      <c r="G5395" s="19" t="s">
        <v>1415</v>
      </c>
      <c r="H5395" s="19" t="s">
        <v>1055</v>
      </c>
      <c r="I5395" s="19" t="s">
        <v>1045</v>
      </c>
      <c r="J5395" s="19" t="s">
        <v>24</v>
      </c>
      <c r="K5395" s="19" t="s">
        <v>409</v>
      </c>
      <c r="L5395" s="19">
        <v>2024</v>
      </c>
      <c r="M5395" s="20">
        <v>1</v>
      </c>
      <c r="N5395" s="19" t="s">
        <v>1795</v>
      </c>
      <c r="O5395" s="20">
        <v>122</v>
      </c>
      <c r="P5395" s="20">
        <v>122</v>
      </c>
      <c r="Q5395" s="20">
        <v>11247.668</v>
      </c>
      <c r="R5395" s="21">
        <v>1</v>
      </c>
      <c r="S5395" s="20">
        <v>11247.668</v>
      </c>
    </row>
    <row r="5396" spans="2:19" ht="15" customHeight="1" x14ac:dyDescent="0.25">
      <c r="B5396" s="2" t="str">
        <f t="shared" si="168"/>
        <v>PGL_Income Eligible_Home Energy Jumpstart_Core_Thermostat - Reprogram_Boiler (DI)_SF</v>
      </c>
      <c r="C5396" s="2" t="str">
        <f t="shared" si="169"/>
        <v>PGL_Income Eligible_Home Energy Jumpstart_Core_Thermostat - Reprogram_Boiler (DI)_SF_2025</v>
      </c>
      <c r="D5396" s="19" t="s">
        <v>1794</v>
      </c>
      <c r="E5396" s="19" t="s">
        <v>325</v>
      </c>
      <c r="F5396" s="19" t="s">
        <v>1414</v>
      </c>
      <c r="G5396" s="19" t="s">
        <v>1415</v>
      </c>
      <c r="H5396" s="19" t="s">
        <v>1055</v>
      </c>
      <c r="I5396" s="19" t="s">
        <v>1045</v>
      </c>
      <c r="J5396" s="19" t="s">
        <v>24</v>
      </c>
      <c r="K5396" s="19" t="s">
        <v>409</v>
      </c>
      <c r="L5396" s="19">
        <v>2025</v>
      </c>
      <c r="M5396" s="20">
        <v>1</v>
      </c>
      <c r="N5396" s="19" t="s">
        <v>1795</v>
      </c>
      <c r="O5396" s="20">
        <v>171</v>
      </c>
      <c r="P5396" s="20">
        <v>171</v>
      </c>
      <c r="Q5396" s="20">
        <v>15765.174000000001</v>
      </c>
      <c r="R5396" s="21">
        <v>1</v>
      </c>
      <c r="S5396" s="20">
        <v>15765.174000000001</v>
      </c>
    </row>
    <row r="5397" spans="2:19" ht="15" customHeight="1" x14ac:dyDescent="0.25">
      <c r="B5397" s="2" t="str">
        <f t="shared" si="168"/>
        <v>PGL_Income Eligible_Home Energy Jumpstart_Leave Behind Kit_Shower Timer_0_SF</v>
      </c>
      <c r="C5397" s="2" t="str">
        <f t="shared" si="169"/>
        <v>PGL_Income Eligible_Home Energy Jumpstart_Leave Behind Kit_Shower Timer_0_SF_2022</v>
      </c>
      <c r="D5397" s="19" t="s">
        <v>1794</v>
      </c>
      <c r="E5397" s="19" t="s">
        <v>325</v>
      </c>
      <c r="F5397" s="19" t="s">
        <v>1414</v>
      </c>
      <c r="G5397" s="19" t="s">
        <v>1416</v>
      </c>
      <c r="H5397" s="19" t="s">
        <v>1031</v>
      </c>
      <c r="I5397" s="19">
        <v>0</v>
      </c>
      <c r="J5397" s="19" t="s">
        <v>1033</v>
      </c>
      <c r="K5397" s="19" t="s">
        <v>409</v>
      </c>
      <c r="L5397" s="19">
        <v>2022</v>
      </c>
      <c r="M5397" s="20">
        <v>1</v>
      </c>
      <c r="N5397" s="19" t="s">
        <v>1795</v>
      </c>
      <c r="O5397" s="20">
        <v>200</v>
      </c>
      <c r="P5397" s="20">
        <v>200</v>
      </c>
      <c r="Q5397" s="20">
        <v>741.44927576217594</v>
      </c>
      <c r="R5397" s="21">
        <v>1</v>
      </c>
      <c r="S5397" s="20">
        <v>741.44927576217594</v>
      </c>
    </row>
    <row r="5398" spans="2:19" ht="15" customHeight="1" x14ac:dyDescent="0.25">
      <c r="B5398" s="2" t="str">
        <f t="shared" si="168"/>
        <v>PGL_Income Eligible_Home Energy Jumpstart_Leave Behind Kit_Shower Timer_0_SF</v>
      </c>
      <c r="C5398" s="2" t="str">
        <f t="shared" si="169"/>
        <v>PGL_Income Eligible_Home Energy Jumpstart_Leave Behind Kit_Shower Timer_0_SF_2023</v>
      </c>
      <c r="D5398" s="19" t="s">
        <v>1794</v>
      </c>
      <c r="E5398" s="19" t="s">
        <v>325</v>
      </c>
      <c r="F5398" s="19" t="s">
        <v>1414</v>
      </c>
      <c r="G5398" s="19" t="s">
        <v>1416</v>
      </c>
      <c r="H5398" s="19" t="s">
        <v>1031</v>
      </c>
      <c r="I5398" s="19">
        <v>0</v>
      </c>
      <c r="J5398" s="19" t="s">
        <v>1033</v>
      </c>
      <c r="K5398" s="19" t="s">
        <v>409</v>
      </c>
      <c r="L5398" s="19">
        <v>2023</v>
      </c>
      <c r="M5398" s="20">
        <v>1</v>
      </c>
      <c r="N5398" s="19" t="s">
        <v>1795</v>
      </c>
      <c r="O5398" s="20">
        <v>600</v>
      </c>
      <c r="P5398" s="20">
        <v>600</v>
      </c>
      <c r="Q5398" s="20">
        <v>2224.3478272865277</v>
      </c>
      <c r="R5398" s="21">
        <v>1</v>
      </c>
      <c r="S5398" s="20">
        <v>2224.3478272865277</v>
      </c>
    </row>
    <row r="5399" spans="2:19" ht="15" customHeight="1" x14ac:dyDescent="0.25">
      <c r="B5399" s="2" t="str">
        <f t="shared" si="168"/>
        <v>PGL_Income Eligible_Home Energy Jumpstart_Leave Behind Kit_Shower Timer_0_SF</v>
      </c>
      <c r="C5399" s="2" t="str">
        <f t="shared" si="169"/>
        <v>PGL_Income Eligible_Home Energy Jumpstart_Leave Behind Kit_Shower Timer_0_SF_2024</v>
      </c>
      <c r="D5399" s="19" t="s">
        <v>1794</v>
      </c>
      <c r="E5399" s="19" t="s">
        <v>325</v>
      </c>
      <c r="F5399" s="19" t="s">
        <v>1414</v>
      </c>
      <c r="G5399" s="19" t="s">
        <v>1416</v>
      </c>
      <c r="H5399" s="19" t="s">
        <v>1031</v>
      </c>
      <c r="I5399" s="19">
        <v>0</v>
      </c>
      <c r="J5399" s="19" t="s">
        <v>1033</v>
      </c>
      <c r="K5399" s="19" t="s">
        <v>409</v>
      </c>
      <c r="L5399" s="19">
        <v>2024</v>
      </c>
      <c r="M5399" s="20">
        <v>1</v>
      </c>
      <c r="N5399" s="19" t="s">
        <v>1795</v>
      </c>
      <c r="O5399" s="20">
        <v>1000</v>
      </c>
      <c r="P5399" s="20">
        <v>1000</v>
      </c>
      <c r="Q5399" s="20">
        <v>3707.2463788108794</v>
      </c>
      <c r="R5399" s="21">
        <v>1</v>
      </c>
      <c r="S5399" s="20">
        <v>3707.2463788108794</v>
      </c>
    </row>
    <row r="5400" spans="2:19" ht="15" customHeight="1" x14ac:dyDescent="0.25">
      <c r="B5400" s="2" t="str">
        <f t="shared" si="168"/>
        <v>PGL_Income Eligible_Home Energy Jumpstart_Leave Behind Kit_Shower Timer_0_SF</v>
      </c>
      <c r="C5400" s="2" t="str">
        <f t="shared" si="169"/>
        <v>PGL_Income Eligible_Home Energy Jumpstart_Leave Behind Kit_Shower Timer_0_SF_2025</v>
      </c>
      <c r="D5400" s="19" t="s">
        <v>1794</v>
      </c>
      <c r="E5400" s="19" t="s">
        <v>325</v>
      </c>
      <c r="F5400" s="19" t="s">
        <v>1414</v>
      </c>
      <c r="G5400" s="19" t="s">
        <v>1416</v>
      </c>
      <c r="H5400" s="19" t="s">
        <v>1031</v>
      </c>
      <c r="I5400" s="19">
        <v>0</v>
      </c>
      <c r="J5400" s="19" t="s">
        <v>1033</v>
      </c>
      <c r="K5400" s="19" t="s">
        <v>409</v>
      </c>
      <c r="L5400" s="19">
        <v>2025</v>
      </c>
      <c r="M5400" s="20">
        <v>1</v>
      </c>
      <c r="N5400" s="19" t="s">
        <v>1795</v>
      </c>
      <c r="O5400" s="20">
        <v>1400</v>
      </c>
      <c r="P5400" s="20">
        <v>1400</v>
      </c>
      <c r="Q5400" s="20">
        <v>5190.144930335231</v>
      </c>
      <c r="R5400" s="21">
        <v>1</v>
      </c>
      <c r="S5400" s="20">
        <v>5190.144930335231</v>
      </c>
    </row>
    <row r="5401" spans="2:19" ht="15" customHeight="1" x14ac:dyDescent="0.25">
      <c r="B5401" s="2" t="str">
        <f t="shared" si="168"/>
        <v>PGL_Income Eligible_Home Energy Jumpstart_Leave Behind Kit_Weatherstripping_0_SF</v>
      </c>
      <c r="C5401" s="2" t="str">
        <f t="shared" si="169"/>
        <v>PGL_Income Eligible_Home Energy Jumpstart_Leave Behind Kit_Weatherstripping_0_SF_2022</v>
      </c>
      <c r="D5401" s="19" t="s">
        <v>1794</v>
      </c>
      <c r="E5401" s="19" t="s">
        <v>325</v>
      </c>
      <c r="F5401" s="19" t="s">
        <v>1414</v>
      </c>
      <c r="G5401" s="19" t="s">
        <v>1416</v>
      </c>
      <c r="H5401" s="19" t="s">
        <v>576</v>
      </c>
      <c r="I5401" s="19">
        <v>0</v>
      </c>
      <c r="J5401" s="19" t="s">
        <v>573</v>
      </c>
      <c r="K5401" s="19" t="s">
        <v>409</v>
      </c>
      <c r="L5401" s="19">
        <v>2022</v>
      </c>
      <c r="M5401" s="20">
        <v>16</v>
      </c>
      <c r="N5401" s="19" t="s">
        <v>1797</v>
      </c>
      <c r="O5401" s="20">
        <v>200</v>
      </c>
      <c r="P5401" s="20">
        <v>3200</v>
      </c>
      <c r="Q5401" s="20">
        <v>1358.5919999999999</v>
      </c>
      <c r="R5401" s="21">
        <v>1</v>
      </c>
      <c r="S5401" s="20">
        <v>1358.5919999999999</v>
      </c>
    </row>
    <row r="5402" spans="2:19" ht="15" customHeight="1" x14ac:dyDescent="0.25">
      <c r="B5402" s="2" t="str">
        <f t="shared" si="168"/>
        <v>PGL_Income Eligible_Home Energy Jumpstart_Leave Behind Kit_Weatherstripping_0_SF</v>
      </c>
      <c r="C5402" s="2" t="str">
        <f t="shared" si="169"/>
        <v>PGL_Income Eligible_Home Energy Jumpstart_Leave Behind Kit_Weatherstripping_0_SF_2023</v>
      </c>
      <c r="D5402" s="19" t="s">
        <v>1794</v>
      </c>
      <c r="E5402" s="19" t="s">
        <v>325</v>
      </c>
      <c r="F5402" s="19" t="s">
        <v>1414</v>
      </c>
      <c r="G5402" s="19" t="s">
        <v>1416</v>
      </c>
      <c r="H5402" s="19" t="s">
        <v>576</v>
      </c>
      <c r="I5402" s="19">
        <v>0</v>
      </c>
      <c r="J5402" s="19" t="s">
        <v>573</v>
      </c>
      <c r="K5402" s="19" t="s">
        <v>409</v>
      </c>
      <c r="L5402" s="19">
        <v>2023</v>
      </c>
      <c r="M5402" s="20">
        <v>16</v>
      </c>
      <c r="N5402" s="19" t="s">
        <v>1797</v>
      </c>
      <c r="O5402" s="20">
        <v>600</v>
      </c>
      <c r="P5402" s="20">
        <v>9600</v>
      </c>
      <c r="Q5402" s="20">
        <v>4075.7759999999998</v>
      </c>
      <c r="R5402" s="21">
        <v>1</v>
      </c>
      <c r="S5402" s="20">
        <v>4075.7759999999998</v>
      </c>
    </row>
    <row r="5403" spans="2:19" ht="15" customHeight="1" x14ac:dyDescent="0.25">
      <c r="B5403" s="2" t="str">
        <f t="shared" si="168"/>
        <v>PGL_Income Eligible_Home Energy Jumpstart_Leave Behind Kit_Weatherstripping_0_SF</v>
      </c>
      <c r="C5403" s="2" t="str">
        <f t="shared" si="169"/>
        <v>PGL_Income Eligible_Home Energy Jumpstart_Leave Behind Kit_Weatherstripping_0_SF_2024</v>
      </c>
      <c r="D5403" s="19" t="s">
        <v>1794</v>
      </c>
      <c r="E5403" s="19" t="s">
        <v>325</v>
      </c>
      <c r="F5403" s="19" t="s">
        <v>1414</v>
      </c>
      <c r="G5403" s="19" t="s">
        <v>1416</v>
      </c>
      <c r="H5403" s="19" t="s">
        <v>576</v>
      </c>
      <c r="I5403" s="19">
        <v>0</v>
      </c>
      <c r="J5403" s="19" t="s">
        <v>573</v>
      </c>
      <c r="K5403" s="19" t="s">
        <v>409</v>
      </c>
      <c r="L5403" s="19">
        <v>2024</v>
      </c>
      <c r="M5403" s="20">
        <v>16</v>
      </c>
      <c r="N5403" s="19" t="s">
        <v>1797</v>
      </c>
      <c r="O5403" s="20">
        <v>1000</v>
      </c>
      <c r="P5403" s="20">
        <v>16000</v>
      </c>
      <c r="Q5403" s="20">
        <v>6792.96</v>
      </c>
      <c r="R5403" s="21">
        <v>1</v>
      </c>
      <c r="S5403" s="20">
        <v>6792.96</v>
      </c>
    </row>
    <row r="5404" spans="2:19" ht="15" customHeight="1" x14ac:dyDescent="0.25">
      <c r="B5404" s="2" t="str">
        <f t="shared" si="168"/>
        <v>PGL_Income Eligible_Home Energy Jumpstart_Leave Behind Kit_Weatherstripping_0_SF</v>
      </c>
      <c r="C5404" s="2" t="str">
        <f t="shared" si="169"/>
        <v>PGL_Income Eligible_Home Energy Jumpstart_Leave Behind Kit_Weatherstripping_0_SF_2025</v>
      </c>
      <c r="D5404" s="19" t="s">
        <v>1794</v>
      </c>
      <c r="E5404" s="19" t="s">
        <v>325</v>
      </c>
      <c r="F5404" s="19" t="s">
        <v>1414</v>
      </c>
      <c r="G5404" s="19" t="s">
        <v>1416</v>
      </c>
      <c r="H5404" s="19" t="s">
        <v>576</v>
      </c>
      <c r="I5404" s="19">
        <v>0</v>
      </c>
      <c r="J5404" s="19" t="s">
        <v>573</v>
      </c>
      <c r="K5404" s="19" t="s">
        <v>409</v>
      </c>
      <c r="L5404" s="19">
        <v>2025</v>
      </c>
      <c r="M5404" s="20">
        <v>16</v>
      </c>
      <c r="N5404" s="19" t="s">
        <v>1797</v>
      </c>
      <c r="O5404" s="20">
        <v>1400</v>
      </c>
      <c r="P5404" s="20">
        <v>22400</v>
      </c>
      <c r="Q5404" s="20">
        <v>9510.1440000000002</v>
      </c>
      <c r="R5404" s="21">
        <v>1</v>
      </c>
      <c r="S5404" s="20">
        <v>9510.1440000000002</v>
      </c>
    </row>
    <row r="5405" spans="2:19" ht="15" customHeight="1" x14ac:dyDescent="0.25">
      <c r="B5405" s="2" t="str">
        <f t="shared" si="168"/>
        <v>PGL_Income Eligible_Home Energy Jumpstart_Leave Behind Kit_Door Sweep_0_SF</v>
      </c>
      <c r="C5405" s="2" t="str">
        <f t="shared" si="169"/>
        <v>PGL_Income Eligible_Home Energy Jumpstart_Leave Behind Kit_Door Sweep_0_SF_2022</v>
      </c>
      <c r="D5405" s="19" t="s">
        <v>1794</v>
      </c>
      <c r="E5405" s="19" t="s">
        <v>325</v>
      </c>
      <c r="F5405" s="19" t="s">
        <v>1414</v>
      </c>
      <c r="G5405" s="19" t="s">
        <v>1416</v>
      </c>
      <c r="H5405" s="19" t="s">
        <v>6</v>
      </c>
      <c r="I5405" s="19">
        <v>0</v>
      </c>
      <c r="J5405" s="19" t="s">
        <v>573</v>
      </c>
      <c r="K5405" s="19" t="s">
        <v>409</v>
      </c>
      <c r="L5405" s="19">
        <v>2022</v>
      </c>
      <c r="M5405" s="20">
        <v>1</v>
      </c>
      <c r="N5405" s="19" t="s">
        <v>1798</v>
      </c>
      <c r="O5405" s="20">
        <v>200</v>
      </c>
      <c r="P5405" s="20">
        <v>200</v>
      </c>
      <c r="Q5405" s="20">
        <v>1270.8960000000002</v>
      </c>
      <c r="R5405" s="21">
        <v>1</v>
      </c>
      <c r="S5405" s="20">
        <v>1270.8960000000002</v>
      </c>
    </row>
    <row r="5406" spans="2:19" ht="15" customHeight="1" x14ac:dyDescent="0.25">
      <c r="B5406" s="2" t="str">
        <f t="shared" si="168"/>
        <v>PGL_Income Eligible_Home Energy Jumpstart_Leave Behind Kit_Door Sweep_0_SF</v>
      </c>
      <c r="C5406" s="2" t="str">
        <f t="shared" si="169"/>
        <v>PGL_Income Eligible_Home Energy Jumpstart_Leave Behind Kit_Door Sweep_0_SF_2023</v>
      </c>
      <c r="D5406" s="19" t="s">
        <v>1794</v>
      </c>
      <c r="E5406" s="19" t="s">
        <v>325</v>
      </c>
      <c r="F5406" s="19" t="s">
        <v>1414</v>
      </c>
      <c r="G5406" s="19" t="s">
        <v>1416</v>
      </c>
      <c r="H5406" s="19" t="s">
        <v>6</v>
      </c>
      <c r="I5406" s="19">
        <v>0</v>
      </c>
      <c r="J5406" s="19" t="s">
        <v>573</v>
      </c>
      <c r="K5406" s="19" t="s">
        <v>409</v>
      </c>
      <c r="L5406" s="19">
        <v>2023</v>
      </c>
      <c r="M5406" s="20">
        <v>1</v>
      </c>
      <c r="N5406" s="19" t="s">
        <v>1798</v>
      </c>
      <c r="O5406" s="20">
        <v>600</v>
      </c>
      <c r="P5406" s="20">
        <v>600</v>
      </c>
      <c r="Q5406" s="20">
        <v>3812.6880000000006</v>
      </c>
      <c r="R5406" s="21">
        <v>1</v>
      </c>
      <c r="S5406" s="20">
        <v>3812.6880000000006</v>
      </c>
    </row>
    <row r="5407" spans="2:19" ht="15" customHeight="1" x14ac:dyDescent="0.25">
      <c r="B5407" s="2" t="str">
        <f t="shared" si="168"/>
        <v>PGL_Income Eligible_Home Energy Jumpstart_Leave Behind Kit_Door Sweep_0_SF</v>
      </c>
      <c r="C5407" s="2" t="str">
        <f t="shared" si="169"/>
        <v>PGL_Income Eligible_Home Energy Jumpstart_Leave Behind Kit_Door Sweep_0_SF_2024</v>
      </c>
      <c r="D5407" s="19" t="s">
        <v>1794</v>
      </c>
      <c r="E5407" s="19" t="s">
        <v>325</v>
      </c>
      <c r="F5407" s="19" t="s">
        <v>1414</v>
      </c>
      <c r="G5407" s="19" t="s">
        <v>1416</v>
      </c>
      <c r="H5407" s="19" t="s">
        <v>6</v>
      </c>
      <c r="I5407" s="19">
        <v>0</v>
      </c>
      <c r="J5407" s="19" t="s">
        <v>573</v>
      </c>
      <c r="K5407" s="19" t="s">
        <v>409</v>
      </c>
      <c r="L5407" s="19">
        <v>2024</v>
      </c>
      <c r="M5407" s="20">
        <v>1</v>
      </c>
      <c r="N5407" s="19" t="s">
        <v>1798</v>
      </c>
      <c r="O5407" s="20">
        <v>1000</v>
      </c>
      <c r="P5407" s="20">
        <v>1000</v>
      </c>
      <c r="Q5407" s="20">
        <v>6354.4800000000005</v>
      </c>
      <c r="R5407" s="21">
        <v>1</v>
      </c>
      <c r="S5407" s="20">
        <v>6354.4800000000005</v>
      </c>
    </row>
    <row r="5408" spans="2:19" ht="15" customHeight="1" x14ac:dyDescent="0.25">
      <c r="B5408" s="2" t="str">
        <f t="shared" si="168"/>
        <v>PGL_Income Eligible_Home Energy Jumpstart_Leave Behind Kit_Door Sweep_0_SF</v>
      </c>
      <c r="C5408" s="2" t="str">
        <f t="shared" si="169"/>
        <v>PGL_Income Eligible_Home Energy Jumpstart_Leave Behind Kit_Door Sweep_0_SF_2025</v>
      </c>
      <c r="D5408" s="19" t="s">
        <v>1794</v>
      </c>
      <c r="E5408" s="19" t="s">
        <v>325</v>
      </c>
      <c r="F5408" s="19" t="s">
        <v>1414</v>
      </c>
      <c r="G5408" s="19" t="s">
        <v>1416</v>
      </c>
      <c r="H5408" s="19" t="s">
        <v>6</v>
      </c>
      <c r="I5408" s="19">
        <v>0</v>
      </c>
      <c r="J5408" s="19" t="s">
        <v>573</v>
      </c>
      <c r="K5408" s="19" t="s">
        <v>409</v>
      </c>
      <c r="L5408" s="19">
        <v>2025</v>
      </c>
      <c r="M5408" s="20">
        <v>1</v>
      </c>
      <c r="N5408" s="19" t="s">
        <v>1798</v>
      </c>
      <c r="O5408" s="20">
        <v>1400</v>
      </c>
      <c r="P5408" s="20">
        <v>1400</v>
      </c>
      <c r="Q5408" s="20">
        <v>8896.2720000000008</v>
      </c>
      <c r="R5408" s="21">
        <v>1</v>
      </c>
      <c r="S5408" s="20">
        <v>8896.2720000000008</v>
      </c>
    </row>
    <row r="5409" spans="2:19" ht="15" customHeight="1" x14ac:dyDescent="0.25">
      <c r="B5409" s="2" t="str">
        <f t="shared" si="168"/>
        <v>NSG_Income Eligible_Home Energy Jumpstart_Core_Unit Visit_0_SF</v>
      </c>
      <c r="C5409" s="2" t="str">
        <f t="shared" si="169"/>
        <v>NSG_Income Eligible_Home Energy Jumpstart_Core_Unit Visit_0_SF_2022</v>
      </c>
      <c r="D5409" s="19" t="s">
        <v>1787</v>
      </c>
      <c r="E5409" s="19" t="s">
        <v>325</v>
      </c>
      <c r="F5409" s="19" t="s">
        <v>1414</v>
      </c>
      <c r="G5409" s="19" t="s">
        <v>1415</v>
      </c>
      <c r="H5409" s="19" t="s">
        <v>1090</v>
      </c>
      <c r="I5409" s="19">
        <v>0</v>
      </c>
      <c r="J5409" s="19" t="s">
        <v>1469</v>
      </c>
      <c r="K5409" s="19" t="s">
        <v>409</v>
      </c>
      <c r="L5409" s="19">
        <v>2022</v>
      </c>
      <c r="M5409" s="20">
        <v>1</v>
      </c>
      <c r="N5409" s="19" t="s">
        <v>505</v>
      </c>
      <c r="O5409" s="20">
        <v>25.22</v>
      </c>
      <c r="P5409" s="20">
        <v>25.22</v>
      </c>
      <c r="Q5409" s="20">
        <v>0</v>
      </c>
      <c r="R5409" s="21">
        <v>1</v>
      </c>
      <c r="S5409" s="20">
        <v>0</v>
      </c>
    </row>
    <row r="5410" spans="2:19" ht="15" customHeight="1" x14ac:dyDescent="0.25">
      <c r="B5410" s="2" t="str">
        <f t="shared" si="168"/>
        <v>NSG_Income Eligible_Home Energy Jumpstart_Core_Unit Visit_0_SF</v>
      </c>
      <c r="C5410" s="2" t="str">
        <f t="shared" si="169"/>
        <v>NSG_Income Eligible_Home Energy Jumpstart_Core_Unit Visit_0_SF_2023</v>
      </c>
      <c r="D5410" s="19" t="s">
        <v>1787</v>
      </c>
      <c r="E5410" s="19" t="s">
        <v>325</v>
      </c>
      <c r="F5410" s="19" t="s">
        <v>1414</v>
      </c>
      <c r="G5410" s="19" t="s">
        <v>1415</v>
      </c>
      <c r="H5410" s="19" t="s">
        <v>1090</v>
      </c>
      <c r="I5410" s="19">
        <v>0</v>
      </c>
      <c r="J5410" s="19" t="s">
        <v>1469</v>
      </c>
      <c r="K5410" s="19" t="s">
        <v>409</v>
      </c>
      <c r="L5410" s="19">
        <v>2023</v>
      </c>
      <c r="M5410" s="20">
        <v>1</v>
      </c>
      <c r="N5410" s="19" t="s">
        <v>505</v>
      </c>
      <c r="O5410" s="20">
        <v>63.050000000000004</v>
      </c>
      <c r="P5410" s="20">
        <v>63.050000000000004</v>
      </c>
      <c r="Q5410" s="20">
        <v>0</v>
      </c>
      <c r="R5410" s="21">
        <v>1</v>
      </c>
      <c r="S5410" s="20">
        <v>0</v>
      </c>
    </row>
    <row r="5411" spans="2:19" ht="15" customHeight="1" x14ac:dyDescent="0.25">
      <c r="B5411" s="2" t="str">
        <f t="shared" si="168"/>
        <v>NSG_Income Eligible_Home Energy Jumpstart_Core_Unit Visit_0_SF</v>
      </c>
      <c r="C5411" s="2" t="str">
        <f t="shared" si="169"/>
        <v>NSG_Income Eligible_Home Energy Jumpstart_Core_Unit Visit_0_SF_2024</v>
      </c>
      <c r="D5411" s="19" t="s">
        <v>1787</v>
      </c>
      <c r="E5411" s="19" t="s">
        <v>325</v>
      </c>
      <c r="F5411" s="19" t="s">
        <v>1414</v>
      </c>
      <c r="G5411" s="19" t="s">
        <v>1415</v>
      </c>
      <c r="H5411" s="19" t="s">
        <v>1090</v>
      </c>
      <c r="I5411" s="19">
        <v>0</v>
      </c>
      <c r="J5411" s="19" t="s">
        <v>1469</v>
      </c>
      <c r="K5411" s="19" t="s">
        <v>409</v>
      </c>
      <c r="L5411" s="19">
        <v>2024</v>
      </c>
      <c r="M5411" s="20">
        <v>1</v>
      </c>
      <c r="N5411" s="19" t="s">
        <v>505</v>
      </c>
      <c r="O5411" s="20">
        <v>126.10000000000001</v>
      </c>
      <c r="P5411" s="20">
        <v>126.10000000000001</v>
      </c>
      <c r="Q5411" s="20">
        <v>0</v>
      </c>
      <c r="R5411" s="21">
        <v>1</v>
      </c>
      <c r="S5411" s="20">
        <v>0</v>
      </c>
    </row>
    <row r="5412" spans="2:19" ht="15" customHeight="1" x14ac:dyDescent="0.25">
      <c r="B5412" s="2" t="str">
        <f t="shared" si="168"/>
        <v>NSG_Income Eligible_Home Energy Jumpstart_Core_Unit Visit_0_SF</v>
      </c>
      <c r="C5412" s="2" t="str">
        <f t="shared" si="169"/>
        <v>NSG_Income Eligible_Home Energy Jumpstart_Core_Unit Visit_0_SF_2025</v>
      </c>
      <c r="D5412" s="19" t="s">
        <v>1787</v>
      </c>
      <c r="E5412" s="19" t="s">
        <v>325</v>
      </c>
      <c r="F5412" s="19" t="s">
        <v>1414</v>
      </c>
      <c r="G5412" s="19" t="s">
        <v>1415</v>
      </c>
      <c r="H5412" s="19" t="s">
        <v>1090</v>
      </c>
      <c r="I5412" s="19">
        <v>0</v>
      </c>
      <c r="J5412" s="19" t="s">
        <v>1469</v>
      </c>
      <c r="K5412" s="19" t="s">
        <v>409</v>
      </c>
      <c r="L5412" s="19">
        <v>2025</v>
      </c>
      <c r="M5412" s="20">
        <v>1</v>
      </c>
      <c r="N5412" s="19" t="s">
        <v>505</v>
      </c>
      <c r="O5412" s="20">
        <v>151.32</v>
      </c>
      <c r="P5412" s="20">
        <v>151.32</v>
      </c>
      <c r="Q5412" s="20">
        <v>0</v>
      </c>
      <c r="R5412" s="21">
        <v>1</v>
      </c>
      <c r="S5412" s="20">
        <v>0</v>
      </c>
    </row>
    <row r="5413" spans="2:19" ht="15" customHeight="1" x14ac:dyDescent="0.25">
      <c r="B5413" s="2" t="str">
        <f t="shared" si="168"/>
        <v>NSG_Income Eligible_Home Energy Jumpstart_Core_Low Flow Bathroom Aerator_0_SF</v>
      </c>
      <c r="C5413" s="2" t="str">
        <f t="shared" si="169"/>
        <v>NSG_Income Eligible_Home Energy Jumpstart_Core_Low Flow Bathroom Aerator_0_SF_2022</v>
      </c>
      <c r="D5413" s="19" t="s">
        <v>1787</v>
      </c>
      <c r="E5413" s="19" t="s">
        <v>325</v>
      </c>
      <c r="F5413" s="19" t="s">
        <v>1414</v>
      </c>
      <c r="G5413" s="19" t="s">
        <v>1415</v>
      </c>
      <c r="H5413" s="19" t="s">
        <v>555</v>
      </c>
      <c r="I5413" s="19">
        <v>0</v>
      </c>
      <c r="J5413" s="19" t="s">
        <v>534</v>
      </c>
      <c r="K5413" s="19" t="s">
        <v>409</v>
      </c>
      <c r="L5413" s="19">
        <v>2022</v>
      </c>
      <c r="M5413" s="20">
        <v>1</v>
      </c>
      <c r="N5413" s="19" t="s">
        <v>1795</v>
      </c>
      <c r="O5413" s="20">
        <v>20</v>
      </c>
      <c r="P5413" s="20">
        <v>20</v>
      </c>
      <c r="Q5413" s="20">
        <v>18.187216559491169</v>
      </c>
      <c r="R5413" s="21">
        <v>1</v>
      </c>
      <c r="S5413" s="20">
        <v>18.187216559491169</v>
      </c>
    </row>
    <row r="5414" spans="2:19" ht="15" customHeight="1" x14ac:dyDescent="0.25">
      <c r="B5414" s="2" t="str">
        <f t="shared" si="168"/>
        <v>NSG_Income Eligible_Home Energy Jumpstart_Core_Low Flow Bathroom Aerator_0_SF</v>
      </c>
      <c r="C5414" s="2" t="str">
        <f t="shared" si="169"/>
        <v>NSG_Income Eligible_Home Energy Jumpstart_Core_Low Flow Bathroom Aerator_0_SF_2023</v>
      </c>
      <c r="D5414" s="19" t="s">
        <v>1787</v>
      </c>
      <c r="E5414" s="19" t="s">
        <v>325</v>
      </c>
      <c r="F5414" s="19" t="s">
        <v>1414</v>
      </c>
      <c r="G5414" s="19" t="s">
        <v>1415</v>
      </c>
      <c r="H5414" s="19" t="s">
        <v>555</v>
      </c>
      <c r="I5414" s="19">
        <v>0</v>
      </c>
      <c r="J5414" s="19" t="s">
        <v>534</v>
      </c>
      <c r="K5414" s="19" t="s">
        <v>409</v>
      </c>
      <c r="L5414" s="19">
        <v>2023</v>
      </c>
      <c r="M5414" s="20">
        <v>1</v>
      </c>
      <c r="N5414" s="19" t="s">
        <v>1795</v>
      </c>
      <c r="O5414" s="20">
        <v>50</v>
      </c>
      <c r="P5414" s="20">
        <v>50</v>
      </c>
      <c r="Q5414" s="20">
        <v>45.468041398727919</v>
      </c>
      <c r="R5414" s="21">
        <v>1</v>
      </c>
      <c r="S5414" s="20">
        <v>45.468041398727919</v>
      </c>
    </row>
    <row r="5415" spans="2:19" ht="15" customHeight="1" x14ac:dyDescent="0.25">
      <c r="B5415" s="2" t="str">
        <f t="shared" si="168"/>
        <v>NSG_Income Eligible_Home Energy Jumpstart_Core_Low Flow Bathroom Aerator_0_SF</v>
      </c>
      <c r="C5415" s="2" t="str">
        <f t="shared" si="169"/>
        <v>NSG_Income Eligible_Home Energy Jumpstart_Core_Low Flow Bathroom Aerator_0_SF_2024</v>
      </c>
      <c r="D5415" s="19" t="s">
        <v>1787</v>
      </c>
      <c r="E5415" s="19" t="s">
        <v>325</v>
      </c>
      <c r="F5415" s="19" t="s">
        <v>1414</v>
      </c>
      <c r="G5415" s="19" t="s">
        <v>1415</v>
      </c>
      <c r="H5415" s="19" t="s">
        <v>555</v>
      </c>
      <c r="I5415" s="19">
        <v>0</v>
      </c>
      <c r="J5415" s="19" t="s">
        <v>534</v>
      </c>
      <c r="K5415" s="19" t="s">
        <v>409</v>
      </c>
      <c r="L5415" s="19">
        <v>2024</v>
      </c>
      <c r="M5415" s="20">
        <v>1</v>
      </c>
      <c r="N5415" s="19" t="s">
        <v>1795</v>
      </c>
      <c r="O5415" s="20">
        <v>100</v>
      </c>
      <c r="P5415" s="20">
        <v>100</v>
      </c>
      <c r="Q5415" s="20">
        <v>90.936082797455839</v>
      </c>
      <c r="R5415" s="21">
        <v>1</v>
      </c>
      <c r="S5415" s="20">
        <v>90.936082797455839</v>
      </c>
    </row>
    <row r="5416" spans="2:19" ht="15" customHeight="1" x14ac:dyDescent="0.25">
      <c r="B5416" s="2" t="str">
        <f t="shared" si="168"/>
        <v>NSG_Income Eligible_Home Energy Jumpstart_Core_Low Flow Bathroom Aerator_0_SF</v>
      </c>
      <c r="C5416" s="2" t="str">
        <f t="shared" si="169"/>
        <v>NSG_Income Eligible_Home Energy Jumpstart_Core_Low Flow Bathroom Aerator_0_SF_2025</v>
      </c>
      <c r="D5416" s="19" t="s">
        <v>1787</v>
      </c>
      <c r="E5416" s="19" t="s">
        <v>325</v>
      </c>
      <c r="F5416" s="19" t="s">
        <v>1414</v>
      </c>
      <c r="G5416" s="19" t="s">
        <v>1415</v>
      </c>
      <c r="H5416" s="19" t="s">
        <v>555</v>
      </c>
      <c r="I5416" s="19">
        <v>0</v>
      </c>
      <c r="J5416" s="19" t="s">
        <v>534</v>
      </c>
      <c r="K5416" s="19" t="s">
        <v>409</v>
      </c>
      <c r="L5416" s="19">
        <v>2025</v>
      </c>
      <c r="M5416" s="20">
        <v>1</v>
      </c>
      <c r="N5416" s="19" t="s">
        <v>1795</v>
      </c>
      <c r="O5416" s="20">
        <v>121</v>
      </c>
      <c r="P5416" s="20">
        <v>121</v>
      </c>
      <c r="Q5416" s="20">
        <v>110.03266018492157</v>
      </c>
      <c r="R5416" s="21">
        <v>1</v>
      </c>
      <c r="S5416" s="20">
        <v>110.03266018492157</v>
      </c>
    </row>
    <row r="5417" spans="2:19" ht="15" customHeight="1" x14ac:dyDescent="0.25">
      <c r="B5417" s="2" t="str">
        <f t="shared" si="168"/>
        <v>NSG_Income Eligible_Home Energy Jumpstart_Core_Low Flow Kitchen Aerator_0_SF</v>
      </c>
      <c r="C5417" s="2" t="str">
        <f t="shared" si="169"/>
        <v>NSG_Income Eligible_Home Energy Jumpstart_Core_Low Flow Kitchen Aerator_0_SF_2022</v>
      </c>
      <c r="D5417" s="19" t="s">
        <v>1787</v>
      </c>
      <c r="E5417" s="19" t="s">
        <v>325</v>
      </c>
      <c r="F5417" s="19" t="s">
        <v>1414</v>
      </c>
      <c r="G5417" s="19" t="s">
        <v>1415</v>
      </c>
      <c r="H5417" s="19" t="s">
        <v>533</v>
      </c>
      <c r="I5417" s="19">
        <v>0</v>
      </c>
      <c r="J5417" s="19" t="s">
        <v>534</v>
      </c>
      <c r="K5417" s="19" t="s">
        <v>409</v>
      </c>
      <c r="L5417" s="19">
        <v>2022</v>
      </c>
      <c r="M5417" s="20">
        <v>1</v>
      </c>
      <c r="N5417" s="19" t="s">
        <v>1795</v>
      </c>
      <c r="O5417" s="20">
        <v>3</v>
      </c>
      <c r="P5417" s="20">
        <v>3</v>
      </c>
      <c r="Q5417" s="20">
        <v>25.780890713275376</v>
      </c>
      <c r="R5417" s="21">
        <v>1</v>
      </c>
      <c r="S5417" s="20">
        <v>25.780890713275376</v>
      </c>
    </row>
    <row r="5418" spans="2:19" ht="15" customHeight="1" x14ac:dyDescent="0.25">
      <c r="B5418" s="2" t="str">
        <f t="shared" si="168"/>
        <v>NSG_Income Eligible_Home Energy Jumpstart_Core_Low Flow Kitchen Aerator_0_SF</v>
      </c>
      <c r="C5418" s="2" t="str">
        <f t="shared" si="169"/>
        <v>NSG_Income Eligible_Home Energy Jumpstart_Core_Low Flow Kitchen Aerator_0_SF_2023</v>
      </c>
      <c r="D5418" s="19" t="s">
        <v>1787</v>
      </c>
      <c r="E5418" s="19" t="s">
        <v>325</v>
      </c>
      <c r="F5418" s="19" t="s">
        <v>1414</v>
      </c>
      <c r="G5418" s="19" t="s">
        <v>1415</v>
      </c>
      <c r="H5418" s="19" t="s">
        <v>533</v>
      </c>
      <c r="I5418" s="19">
        <v>0</v>
      </c>
      <c r="J5418" s="19" t="s">
        <v>534</v>
      </c>
      <c r="K5418" s="19" t="s">
        <v>409</v>
      </c>
      <c r="L5418" s="19">
        <v>2023</v>
      </c>
      <c r="M5418" s="20">
        <v>1</v>
      </c>
      <c r="N5418" s="19" t="s">
        <v>1795</v>
      </c>
      <c r="O5418" s="20">
        <v>6</v>
      </c>
      <c r="P5418" s="20">
        <v>6</v>
      </c>
      <c r="Q5418" s="20">
        <v>51.561781426550752</v>
      </c>
      <c r="R5418" s="21">
        <v>1</v>
      </c>
      <c r="S5418" s="20">
        <v>51.561781426550752</v>
      </c>
    </row>
    <row r="5419" spans="2:19" ht="15" customHeight="1" x14ac:dyDescent="0.25">
      <c r="B5419" s="2" t="str">
        <f t="shared" si="168"/>
        <v>NSG_Income Eligible_Home Energy Jumpstart_Core_Low Flow Kitchen Aerator_0_SF</v>
      </c>
      <c r="C5419" s="2" t="str">
        <f t="shared" si="169"/>
        <v>NSG_Income Eligible_Home Energy Jumpstart_Core_Low Flow Kitchen Aerator_0_SF_2024</v>
      </c>
      <c r="D5419" s="19" t="s">
        <v>1787</v>
      </c>
      <c r="E5419" s="19" t="s">
        <v>325</v>
      </c>
      <c r="F5419" s="19" t="s">
        <v>1414</v>
      </c>
      <c r="G5419" s="19" t="s">
        <v>1415</v>
      </c>
      <c r="H5419" s="19" t="s">
        <v>533</v>
      </c>
      <c r="I5419" s="19">
        <v>0</v>
      </c>
      <c r="J5419" s="19" t="s">
        <v>534</v>
      </c>
      <c r="K5419" s="19" t="s">
        <v>409</v>
      </c>
      <c r="L5419" s="19">
        <v>2024</v>
      </c>
      <c r="M5419" s="20">
        <v>1</v>
      </c>
      <c r="N5419" s="19" t="s">
        <v>1795</v>
      </c>
      <c r="O5419" s="20">
        <v>13</v>
      </c>
      <c r="P5419" s="20">
        <v>13</v>
      </c>
      <c r="Q5419" s="20">
        <v>111.71719309085996</v>
      </c>
      <c r="R5419" s="21">
        <v>1</v>
      </c>
      <c r="S5419" s="20">
        <v>111.71719309085996</v>
      </c>
    </row>
    <row r="5420" spans="2:19" ht="15" customHeight="1" x14ac:dyDescent="0.25">
      <c r="B5420" s="2" t="str">
        <f t="shared" si="168"/>
        <v>NSG_Income Eligible_Home Energy Jumpstart_Core_Low Flow Kitchen Aerator_0_SF</v>
      </c>
      <c r="C5420" s="2" t="str">
        <f t="shared" si="169"/>
        <v>NSG_Income Eligible_Home Energy Jumpstart_Core_Low Flow Kitchen Aerator_0_SF_2025</v>
      </c>
      <c r="D5420" s="19" t="s">
        <v>1787</v>
      </c>
      <c r="E5420" s="19" t="s">
        <v>325</v>
      </c>
      <c r="F5420" s="19" t="s">
        <v>1414</v>
      </c>
      <c r="G5420" s="19" t="s">
        <v>1415</v>
      </c>
      <c r="H5420" s="19" t="s">
        <v>533</v>
      </c>
      <c r="I5420" s="19">
        <v>0</v>
      </c>
      <c r="J5420" s="19" t="s">
        <v>534</v>
      </c>
      <c r="K5420" s="19" t="s">
        <v>409</v>
      </c>
      <c r="L5420" s="19">
        <v>2025</v>
      </c>
      <c r="M5420" s="20">
        <v>1</v>
      </c>
      <c r="N5420" s="19" t="s">
        <v>1795</v>
      </c>
      <c r="O5420" s="20">
        <v>15</v>
      </c>
      <c r="P5420" s="20">
        <v>15</v>
      </c>
      <c r="Q5420" s="20">
        <v>128.9044535663769</v>
      </c>
      <c r="R5420" s="21">
        <v>1</v>
      </c>
      <c r="S5420" s="20">
        <v>128.9044535663769</v>
      </c>
    </row>
    <row r="5421" spans="2:19" ht="15" customHeight="1" x14ac:dyDescent="0.25">
      <c r="B5421" s="2" t="str">
        <f t="shared" si="168"/>
        <v>NSG_Income Eligible_Home Energy Jumpstart_Core_Low Flow Showerhead_0_SF</v>
      </c>
      <c r="C5421" s="2" t="str">
        <f t="shared" si="169"/>
        <v>NSG_Income Eligible_Home Energy Jumpstart_Core_Low Flow Showerhead_0_SF_2022</v>
      </c>
      <c r="D5421" s="19" t="s">
        <v>1787</v>
      </c>
      <c r="E5421" s="19" t="s">
        <v>325</v>
      </c>
      <c r="F5421" s="19" t="s">
        <v>1414</v>
      </c>
      <c r="G5421" s="19" t="s">
        <v>1415</v>
      </c>
      <c r="H5421" s="19" t="s">
        <v>15</v>
      </c>
      <c r="I5421" s="19">
        <v>0</v>
      </c>
      <c r="J5421" s="19" t="s">
        <v>23</v>
      </c>
      <c r="K5421" s="19" t="s">
        <v>409</v>
      </c>
      <c r="L5421" s="19">
        <v>2022</v>
      </c>
      <c r="M5421" s="20">
        <v>1</v>
      </c>
      <c r="N5421" s="19" t="s">
        <v>1795</v>
      </c>
      <c r="O5421" s="20">
        <v>29</v>
      </c>
      <c r="P5421" s="20">
        <v>29</v>
      </c>
      <c r="Q5421" s="20">
        <v>254.88701151759881</v>
      </c>
      <c r="R5421" s="21">
        <v>1</v>
      </c>
      <c r="S5421" s="20">
        <v>254.88701151759881</v>
      </c>
    </row>
    <row r="5422" spans="2:19" ht="15" customHeight="1" x14ac:dyDescent="0.25">
      <c r="B5422" s="2" t="str">
        <f t="shared" si="168"/>
        <v>NSG_Income Eligible_Home Energy Jumpstart_Core_Low Flow Showerhead_0_SF</v>
      </c>
      <c r="C5422" s="2" t="str">
        <f t="shared" si="169"/>
        <v>NSG_Income Eligible_Home Energy Jumpstart_Core_Low Flow Showerhead_0_SF_2023</v>
      </c>
      <c r="D5422" s="19" t="s">
        <v>1787</v>
      </c>
      <c r="E5422" s="19" t="s">
        <v>325</v>
      </c>
      <c r="F5422" s="19" t="s">
        <v>1414</v>
      </c>
      <c r="G5422" s="19" t="s">
        <v>1415</v>
      </c>
      <c r="H5422" s="19" t="s">
        <v>15</v>
      </c>
      <c r="I5422" s="19">
        <v>0</v>
      </c>
      <c r="J5422" s="19" t="s">
        <v>23</v>
      </c>
      <c r="K5422" s="19" t="s">
        <v>409</v>
      </c>
      <c r="L5422" s="19">
        <v>2023</v>
      </c>
      <c r="M5422" s="20">
        <v>1</v>
      </c>
      <c r="N5422" s="19" t="s">
        <v>1795</v>
      </c>
      <c r="O5422" s="20">
        <v>73</v>
      </c>
      <c r="P5422" s="20">
        <v>73</v>
      </c>
      <c r="Q5422" s="20">
        <v>641.61213244085218</v>
      </c>
      <c r="R5422" s="21">
        <v>1</v>
      </c>
      <c r="S5422" s="20">
        <v>641.61213244085218</v>
      </c>
    </row>
    <row r="5423" spans="2:19" ht="15" customHeight="1" x14ac:dyDescent="0.25">
      <c r="B5423" s="2" t="str">
        <f t="shared" si="168"/>
        <v>NSG_Income Eligible_Home Energy Jumpstart_Core_Low Flow Showerhead_0_SF</v>
      </c>
      <c r="C5423" s="2" t="str">
        <f t="shared" si="169"/>
        <v>NSG_Income Eligible_Home Energy Jumpstart_Core_Low Flow Showerhead_0_SF_2024</v>
      </c>
      <c r="D5423" s="19" t="s">
        <v>1787</v>
      </c>
      <c r="E5423" s="19" t="s">
        <v>325</v>
      </c>
      <c r="F5423" s="19" t="s">
        <v>1414</v>
      </c>
      <c r="G5423" s="19" t="s">
        <v>1415</v>
      </c>
      <c r="H5423" s="19" t="s">
        <v>15</v>
      </c>
      <c r="I5423" s="19">
        <v>0</v>
      </c>
      <c r="J5423" s="19" t="s">
        <v>23</v>
      </c>
      <c r="K5423" s="19" t="s">
        <v>409</v>
      </c>
      <c r="L5423" s="19">
        <v>2024</v>
      </c>
      <c r="M5423" s="20">
        <v>1</v>
      </c>
      <c r="N5423" s="19" t="s">
        <v>1795</v>
      </c>
      <c r="O5423" s="20">
        <v>146</v>
      </c>
      <c r="P5423" s="20">
        <v>146</v>
      </c>
      <c r="Q5423" s="20">
        <v>1283.2242648817044</v>
      </c>
      <c r="R5423" s="21">
        <v>1</v>
      </c>
      <c r="S5423" s="20">
        <v>1283.2242648817044</v>
      </c>
    </row>
    <row r="5424" spans="2:19" ht="15" customHeight="1" x14ac:dyDescent="0.25">
      <c r="B5424" s="2" t="str">
        <f t="shared" si="168"/>
        <v>NSG_Income Eligible_Home Energy Jumpstart_Core_Low Flow Showerhead_0_SF</v>
      </c>
      <c r="C5424" s="2" t="str">
        <f t="shared" si="169"/>
        <v>NSG_Income Eligible_Home Energy Jumpstart_Core_Low Flow Showerhead_0_SF_2025</v>
      </c>
      <c r="D5424" s="19" t="s">
        <v>1787</v>
      </c>
      <c r="E5424" s="19" t="s">
        <v>325</v>
      </c>
      <c r="F5424" s="19" t="s">
        <v>1414</v>
      </c>
      <c r="G5424" s="19" t="s">
        <v>1415</v>
      </c>
      <c r="H5424" s="19" t="s">
        <v>15</v>
      </c>
      <c r="I5424" s="19">
        <v>0</v>
      </c>
      <c r="J5424" s="19" t="s">
        <v>23</v>
      </c>
      <c r="K5424" s="19" t="s">
        <v>409</v>
      </c>
      <c r="L5424" s="19">
        <v>2025</v>
      </c>
      <c r="M5424" s="20">
        <v>1</v>
      </c>
      <c r="N5424" s="19" t="s">
        <v>1795</v>
      </c>
      <c r="O5424" s="20">
        <v>175</v>
      </c>
      <c r="P5424" s="20">
        <v>175</v>
      </c>
      <c r="Q5424" s="20">
        <v>1538.1112763993031</v>
      </c>
      <c r="R5424" s="21">
        <v>1</v>
      </c>
      <c r="S5424" s="20">
        <v>1538.1112763993031</v>
      </c>
    </row>
    <row r="5425" spans="2:19" ht="15" customHeight="1" x14ac:dyDescent="0.25">
      <c r="B5425" s="2" t="str">
        <f t="shared" si="168"/>
        <v>NSG_Income Eligible_Home Energy Jumpstart_Core_Pipe Insulation_DHW_SF</v>
      </c>
      <c r="C5425" s="2" t="str">
        <f t="shared" si="169"/>
        <v>NSG_Income Eligible_Home Energy Jumpstart_Core_Pipe Insulation_DHW_SF_2022</v>
      </c>
      <c r="D5425" s="19" t="s">
        <v>1787</v>
      </c>
      <c r="E5425" s="19" t="s">
        <v>325</v>
      </c>
      <c r="F5425" s="19" t="s">
        <v>1414</v>
      </c>
      <c r="G5425" s="19" t="s">
        <v>1415</v>
      </c>
      <c r="H5425" s="19" t="s">
        <v>404</v>
      </c>
      <c r="I5425" s="19" t="s">
        <v>1019</v>
      </c>
      <c r="J5425" s="19" t="s">
        <v>1008</v>
      </c>
      <c r="K5425" s="19" t="s">
        <v>409</v>
      </c>
      <c r="L5425" s="19">
        <v>2022</v>
      </c>
      <c r="M5425" s="20">
        <v>3</v>
      </c>
      <c r="N5425" s="19" t="s">
        <v>1796</v>
      </c>
      <c r="O5425" s="20">
        <v>44</v>
      </c>
      <c r="P5425" s="20">
        <v>132</v>
      </c>
      <c r="Q5425" s="20">
        <v>116.51200508271131</v>
      </c>
      <c r="R5425" s="21">
        <v>1</v>
      </c>
      <c r="S5425" s="20">
        <v>116.51200508271131</v>
      </c>
    </row>
    <row r="5426" spans="2:19" ht="15" customHeight="1" x14ac:dyDescent="0.25">
      <c r="B5426" s="2" t="str">
        <f t="shared" si="168"/>
        <v>NSG_Income Eligible_Home Energy Jumpstart_Core_Pipe Insulation_DHW_SF</v>
      </c>
      <c r="C5426" s="2" t="str">
        <f t="shared" si="169"/>
        <v>NSG_Income Eligible_Home Energy Jumpstart_Core_Pipe Insulation_DHW_SF_2023</v>
      </c>
      <c r="D5426" s="19" t="s">
        <v>1787</v>
      </c>
      <c r="E5426" s="19" t="s">
        <v>325</v>
      </c>
      <c r="F5426" s="19" t="s">
        <v>1414</v>
      </c>
      <c r="G5426" s="19" t="s">
        <v>1415</v>
      </c>
      <c r="H5426" s="19" t="s">
        <v>404</v>
      </c>
      <c r="I5426" s="19" t="s">
        <v>1019</v>
      </c>
      <c r="J5426" s="19" t="s">
        <v>1008</v>
      </c>
      <c r="K5426" s="19" t="s">
        <v>409</v>
      </c>
      <c r="L5426" s="19">
        <v>2023</v>
      </c>
      <c r="M5426" s="20">
        <v>3</v>
      </c>
      <c r="N5426" s="19" t="s">
        <v>1796</v>
      </c>
      <c r="O5426" s="20">
        <v>109</v>
      </c>
      <c r="P5426" s="20">
        <v>327</v>
      </c>
      <c r="Q5426" s="20">
        <v>288.63201259126208</v>
      </c>
      <c r="R5426" s="21">
        <v>1</v>
      </c>
      <c r="S5426" s="20">
        <v>288.63201259126208</v>
      </c>
    </row>
    <row r="5427" spans="2:19" ht="15" customHeight="1" x14ac:dyDescent="0.25">
      <c r="B5427" s="2" t="str">
        <f t="shared" si="168"/>
        <v>NSG_Income Eligible_Home Energy Jumpstart_Core_Pipe Insulation_DHW_SF</v>
      </c>
      <c r="C5427" s="2" t="str">
        <f t="shared" si="169"/>
        <v>NSG_Income Eligible_Home Energy Jumpstart_Core_Pipe Insulation_DHW_SF_2024</v>
      </c>
      <c r="D5427" s="19" t="s">
        <v>1787</v>
      </c>
      <c r="E5427" s="19" t="s">
        <v>325</v>
      </c>
      <c r="F5427" s="19" t="s">
        <v>1414</v>
      </c>
      <c r="G5427" s="19" t="s">
        <v>1415</v>
      </c>
      <c r="H5427" s="19" t="s">
        <v>404</v>
      </c>
      <c r="I5427" s="19" t="s">
        <v>1019</v>
      </c>
      <c r="J5427" s="19" t="s">
        <v>1008</v>
      </c>
      <c r="K5427" s="19" t="s">
        <v>409</v>
      </c>
      <c r="L5427" s="19">
        <v>2024</v>
      </c>
      <c r="M5427" s="20">
        <v>3</v>
      </c>
      <c r="N5427" s="19" t="s">
        <v>1796</v>
      </c>
      <c r="O5427" s="20">
        <v>219</v>
      </c>
      <c r="P5427" s="20">
        <v>657</v>
      </c>
      <c r="Q5427" s="20">
        <v>579.91202529804036</v>
      </c>
      <c r="R5427" s="21">
        <v>1</v>
      </c>
      <c r="S5427" s="20">
        <v>579.91202529804036</v>
      </c>
    </row>
    <row r="5428" spans="2:19" ht="15" customHeight="1" x14ac:dyDescent="0.25">
      <c r="B5428" s="2" t="str">
        <f t="shared" si="168"/>
        <v>NSG_Income Eligible_Home Energy Jumpstart_Core_Pipe Insulation_DHW_SF</v>
      </c>
      <c r="C5428" s="2" t="str">
        <f t="shared" si="169"/>
        <v>NSG_Income Eligible_Home Energy Jumpstart_Core_Pipe Insulation_DHW_SF_2025</v>
      </c>
      <c r="D5428" s="19" t="s">
        <v>1787</v>
      </c>
      <c r="E5428" s="19" t="s">
        <v>325</v>
      </c>
      <c r="F5428" s="19" t="s">
        <v>1414</v>
      </c>
      <c r="G5428" s="19" t="s">
        <v>1415</v>
      </c>
      <c r="H5428" s="19" t="s">
        <v>404</v>
      </c>
      <c r="I5428" s="19" t="s">
        <v>1019</v>
      </c>
      <c r="J5428" s="19" t="s">
        <v>1008</v>
      </c>
      <c r="K5428" s="19" t="s">
        <v>409</v>
      </c>
      <c r="L5428" s="19">
        <v>2025</v>
      </c>
      <c r="M5428" s="20">
        <v>3</v>
      </c>
      <c r="N5428" s="19" t="s">
        <v>1796</v>
      </c>
      <c r="O5428" s="20">
        <v>263</v>
      </c>
      <c r="P5428" s="20">
        <v>789</v>
      </c>
      <c r="Q5428" s="20">
        <v>696.42403038075167</v>
      </c>
      <c r="R5428" s="21">
        <v>1</v>
      </c>
      <c r="S5428" s="20">
        <v>696.42403038075167</v>
      </c>
    </row>
    <row r="5429" spans="2:19" ht="15" customHeight="1" x14ac:dyDescent="0.25">
      <c r="B5429" s="2" t="str">
        <f t="shared" si="168"/>
        <v>NSG_Income Eligible_Home Energy Jumpstart_Core_Pipe Insulation_Boiler_SF</v>
      </c>
      <c r="C5429" s="2" t="str">
        <f t="shared" si="169"/>
        <v>NSG_Income Eligible_Home Energy Jumpstart_Core_Pipe Insulation_Boiler_SF_2022</v>
      </c>
      <c r="D5429" s="19" t="s">
        <v>1787</v>
      </c>
      <c r="E5429" s="19" t="s">
        <v>325</v>
      </c>
      <c r="F5429" s="19" t="s">
        <v>1414</v>
      </c>
      <c r="G5429" s="19" t="s">
        <v>1415</v>
      </c>
      <c r="H5429" s="19" t="s">
        <v>404</v>
      </c>
      <c r="I5429" s="19" t="s">
        <v>944</v>
      </c>
      <c r="J5429" s="19" t="s">
        <v>1008</v>
      </c>
      <c r="K5429" s="19" t="s">
        <v>409</v>
      </c>
      <c r="L5429" s="19">
        <v>2022</v>
      </c>
      <c r="M5429" s="20">
        <v>3</v>
      </c>
      <c r="N5429" s="19" t="s">
        <v>1796</v>
      </c>
      <c r="O5429" s="20">
        <v>1</v>
      </c>
      <c r="P5429" s="20">
        <v>3</v>
      </c>
      <c r="Q5429" s="20">
        <v>1.95104489642253E-2</v>
      </c>
      <c r="R5429" s="21">
        <v>1</v>
      </c>
      <c r="S5429" s="20">
        <v>1.95104489642253E-2</v>
      </c>
    </row>
    <row r="5430" spans="2:19" ht="15" customHeight="1" x14ac:dyDescent="0.25">
      <c r="B5430" s="2" t="str">
        <f t="shared" si="168"/>
        <v>NSG_Income Eligible_Home Energy Jumpstart_Core_Pipe Insulation_Boiler_SF</v>
      </c>
      <c r="C5430" s="2" t="str">
        <f t="shared" si="169"/>
        <v>NSG_Income Eligible_Home Energy Jumpstart_Core_Pipe Insulation_Boiler_SF_2023</v>
      </c>
      <c r="D5430" s="19" t="s">
        <v>1787</v>
      </c>
      <c r="E5430" s="19" t="s">
        <v>325</v>
      </c>
      <c r="F5430" s="19" t="s">
        <v>1414</v>
      </c>
      <c r="G5430" s="19" t="s">
        <v>1415</v>
      </c>
      <c r="H5430" s="19" t="s">
        <v>404</v>
      </c>
      <c r="I5430" s="19" t="s">
        <v>944</v>
      </c>
      <c r="J5430" s="19" t="s">
        <v>1008</v>
      </c>
      <c r="K5430" s="19" t="s">
        <v>409</v>
      </c>
      <c r="L5430" s="19">
        <v>2023</v>
      </c>
      <c r="M5430" s="20">
        <v>3</v>
      </c>
      <c r="N5430" s="19" t="s">
        <v>1796</v>
      </c>
      <c r="O5430" s="20">
        <v>2</v>
      </c>
      <c r="P5430" s="20">
        <v>6</v>
      </c>
      <c r="Q5430" s="20">
        <v>3.90208979284506E-2</v>
      </c>
      <c r="R5430" s="21">
        <v>1</v>
      </c>
      <c r="S5430" s="20">
        <v>3.90208979284506E-2</v>
      </c>
    </row>
    <row r="5431" spans="2:19" ht="15" customHeight="1" x14ac:dyDescent="0.25">
      <c r="B5431" s="2" t="str">
        <f t="shared" si="168"/>
        <v>NSG_Income Eligible_Home Energy Jumpstart_Core_Pipe Insulation_Boiler_SF</v>
      </c>
      <c r="C5431" s="2" t="str">
        <f t="shared" si="169"/>
        <v>NSG_Income Eligible_Home Energy Jumpstart_Core_Pipe Insulation_Boiler_SF_2024</v>
      </c>
      <c r="D5431" s="19" t="s">
        <v>1787</v>
      </c>
      <c r="E5431" s="19" t="s">
        <v>325</v>
      </c>
      <c r="F5431" s="19" t="s">
        <v>1414</v>
      </c>
      <c r="G5431" s="19" t="s">
        <v>1415</v>
      </c>
      <c r="H5431" s="19" t="s">
        <v>404</v>
      </c>
      <c r="I5431" s="19" t="s">
        <v>944</v>
      </c>
      <c r="J5431" s="19" t="s">
        <v>1008</v>
      </c>
      <c r="K5431" s="19" t="s">
        <v>409</v>
      </c>
      <c r="L5431" s="19">
        <v>2024</v>
      </c>
      <c r="M5431" s="20">
        <v>3</v>
      </c>
      <c r="N5431" s="19" t="s">
        <v>1796</v>
      </c>
      <c r="O5431" s="20">
        <v>4</v>
      </c>
      <c r="P5431" s="20">
        <v>12</v>
      </c>
      <c r="Q5431" s="20">
        <v>7.80417958569012E-2</v>
      </c>
      <c r="R5431" s="21">
        <v>1</v>
      </c>
      <c r="S5431" s="20">
        <v>7.80417958569012E-2</v>
      </c>
    </row>
    <row r="5432" spans="2:19" ht="15" customHeight="1" x14ac:dyDescent="0.25">
      <c r="B5432" s="2" t="str">
        <f t="shared" si="168"/>
        <v>NSG_Income Eligible_Home Energy Jumpstart_Core_Pipe Insulation_Boiler_SF</v>
      </c>
      <c r="C5432" s="2" t="str">
        <f t="shared" si="169"/>
        <v>NSG_Income Eligible_Home Energy Jumpstart_Core_Pipe Insulation_Boiler_SF_2025</v>
      </c>
      <c r="D5432" s="19" t="s">
        <v>1787</v>
      </c>
      <c r="E5432" s="19" t="s">
        <v>325</v>
      </c>
      <c r="F5432" s="19" t="s">
        <v>1414</v>
      </c>
      <c r="G5432" s="19" t="s">
        <v>1415</v>
      </c>
      <c r="H5432" s="19" t="s">
        <v>404</v>
      </c>
      <c r="I5432" s="19" t="s">
        <v>944</v>
      </c>
      <c r="J5432" s="19" t="s">
        <v>1008</v>
      </c>
      <c r="K5432" s="19" t="s">
        <v>409</v>
      </c>
      <c r="L5432" s="19">
        <v>2025</v>
      </c>
      <c r="M5432" s="20">
        <v>3</v>
      </c>
      <c r="N5432" s="19" t="s">
        <v>1796</v>
      </c>
      <c r="O5432" s="20">
        <v>5</v>
      </c>
      <c r="P5432" s="20">
        <v>15</v>
      </c>
      <c r="Q5432" s="20">
        <v>9.7552244821126496E-2</v>
      </c>
      <c r="R5432" s="21">
        <v>1</v>
      </c>
      <c r="S5432" s="20">
        <v>9.7552244821126496E-2</v>
      </c>
    </row>
    <row r="5433" spans="2:19" ht="15" customHeight="1" x14ac:dyDescent="0.25">
      <c r="B5433" s="2" t="str">
        <f t="shared" si="168"/>
        <v>NSG_Income Eligible_Home Energy Jumpstart_Core_Programmable Thermostat_Furnace (DI)_SF</v>
      </c>
      <c r="C5433" s="2" t="str">
        <f t="shared" si="169"/>
        <v>NSG_Income Eligible_Home Energy Jumpstart_Core_Programmable Thermostat_Furnace (DI)_SF_2022</v>
      </c>
      <c r="D5433" s="19" t="s">
        <v>1787</v>
      </c>
      <c r="E5433" s="19" t="s">
        <v>325</v>
      </c>
      <c r="F5433" s="19" t="s">
        <v>1414</v>
      </c>
      <c r="G5433" s="19" t="s">
        <v>1415</v>
      </c>
      <c r="H5433" s="19" t="s">
        <v>224</v>
      </c>
      <c r="I5433" s="19" t="s">
        <v>1038</v>
      </c>
      <c r="J5433" s="19" t="s">
        <v>24</v>
      </c>
      <c r="K5433" s="19" t="s">
        <v>409</v>
      </c>
      <c r="L5433" s="19">
        <v>2022</v>
      </c>
      <c r="M5433" s="20">
        <v>1</v>
      </c>
      <c r="N5433" s="19" t="s">
        <v>1795</v>
      </c>
      <c r="O5433" s="20">
        <v>2</v>
      </c>
      <c r="P5433" s="20">
        <v>2</v>
      </c>
      <c r="Q5433" s="20">
        <v>124.62</v>
      </c>
      <c r="R5433" s="21">
        <v>1</v>
      </c>
      <c r="S5433" s="20">
        <v>124.62</v>
      </c>
    </row>
    <row r="5434" spans="2:19" ht="15" customHeight="1" x14ac:dyDescent="0.25">
      <c r="B5434" s="2" t="str">
        <f t="shared" si="168"/>
        <v>NSG_Income Eligible_Home Energy Jumpstart_Core_Programmable Thermostat_Furnace (DI)_SF</v>
      </c>
      <c r="C5434" s="2" t="str">
        <f t="shared" si="169"/>
        <v>NSG_Income Eligible_Home Energy Jumpstart_Core_Programmable Thermostat_Furnace (DI)_SF_2023</v>
      </c>
      <c r="D5434" s="19" t="s">
        <v>1787</v>
      </c>
      <c r="E5434" s="19" t="s">
        <v>325</v>
      </c>
      <c r="F5434" s="19" t="s">
        <v>1414</v>
      </c>
      <c r="G5434" s="19" t="s">
        <v>1415</v>
      </c>
      <c r="H5434" s="19" t="s">
        <v>224</v>
      </c>
      <c r="I5434" s="19" t="s">
        <v>1038</v>
      </c>
      <c r="J5434" s="19" t="s">
        <v>24</v>
      </c>
      <c r="K5434" s="19" t="s">
        <v>409</v>
      </c>
      <c r="L5434" s="19">
        <v>2023</v>
      </c>
      <c r="M5434" s="20">
        <v>1</v>
      </c>
      <c r="N5434" s="19" t="s">
        <v>1795</v>
      </c>
      <c r="O5434" s="20">
        <v>6</v>
      </c>
      <c r="P5434" s="20">
        <v>6</v>
      </c>
      <c r="Q5434" s="20">
        <v>373.86</v>
      </c>
      <c r="R5434" s="21">
        <v>1</v>
      </c>
      <c r="S5434" s="20">
        <v>373.86</v>
      </c>
    </row>
    <row r="5435" spans="2:19" ht="15" customHeight="1" x14ac:dyDescent="0.25">
      <c r="B5435" s="2" t="str">
        <f t="shared" si="168"/>
        <v>NSG_Income Eligible_Home Energy Jumpstart_Core_Programmable Thermostat_Furnace (DI)_SF</v>
      </c>
      <c r="C5435" s="2" t="str">
        <f t="shared" si="169"/>
        <v>NSG_Income Eligible_Home Energy Jumpstart_Core_Programmable Thermostat_Furnace (DI)_SF_2024</v>
      </c>
      <c r="D5435" s="19" t="s">
        <v>1787</v>
      </c>
      <c r="E5435" s="19" t="s">
        <v>325</v>
      </c>
      <c r="F5435" s="19" t="s">
        <v>1414</v>
      </c>
      <c r="G5435" s="19" t="s">
        <v>1415</v>
      </c>
      <c r="H5435" s="19" t="s">
        <v>224</v>
      </c>
      <c r="I5435" s="19" t="s">
        <v>1038</v>
      </c>
      <c r="J5435" s="19" t="s">
        <v>24</v>
      </c>
      <c r="K5435" s="19" t="s">
        <v>409</v>
      </c>
      <c r="L5435" s="19">
        <v>2024</v>
      </c>
      <c r="M5435" s="20">
        <v>1</v>
      </c>
      <c r="N5435" s="19" t="s">
        <v>1795</v>
      </c>
      <c r="O5435" s="20">
        <v>12</v>
      </c>
      <c r="P5435" s="20">
        <v>12</v>
      </c>
      <c r="Q5435" s="20">
        <v>747.72</v>
      </c>
      <c r="R5435" s="21">
        <v>1</v>
      </c>
      <c r="S5435" s="20">
        <v>747.72</v>
      </c>
    </row>
    <row r="5436" spans="2:19" ht="15" customHeight="1" x14ac:dyDescent="0.25">
      <c r="B5436" s="2" t="str">
        <f t="shared" si="168"/>
        <v>NSG_Income Eligible_Home Energy Jumpstart_Core_Programmable Thermostat_Furnace (DI)_SF</v>
      </c>
      <c r="C5436" s="2" t="str">
        <f t="shared" si="169"/>
        <v>NSG_Income Eligible_Home Energy Jumpstart_Core_Programmable Thermostat_Furnace (DI)_SF_2025</v>
      </c>
      <c r="D5436" s="19" t="s">
        <v>1787</v>
      </c>
      <c r="E5436" s="19" t="s">
        <v>325</v>
      </c>
      <c r="F5436" s="19" t="s">
        <v>1414</v>
      </c>
      <c r="G5436" s="19" t="s">
        <v>1415</v>
      </c>
      <c r="H5436" s="19" t="s">
        <v>224</v>
      </c>
      <c r="I5436" s="19" t="s">
        <v>1038</v>
      </c>
      <c r="J5436" s="19" t="s">
        <v>24</v>
      </c>
      <c r="K5436" s="19" t="s">
        <v>409</v>
      </c>
      <c r="L5436" s="19">
        <v>2025</v>
      </c>
      <c r="M5436" s="20">
        <v>1</v>
      </c>
      <c r="N5436" s="19" t="s">
        <v>1795</v>
      </c>
      <c r="O5436" s="20">
        <v>14</v>
      </c>
      <c r="P5436" s="20">
        <v>14</v>
      </c>
      <c r="Q5436" s="20">
        <v>872.34</v>
      </c>
      <c r="R5436" s="21">
        <v>1</v>
      </c>
      <c r="S5436" s="20">
        <v>872.34</v>
      </c>
    </row>
    <row r="5437" spans="2:19" ht="15" customHeight="1" x14ac:dyDescent="0.25">
      <c r="B5437" s="2" t="str">
        <f t="shared" si="168"/>
        <v>NSG_Income Eligible_Home Energy Jumpstart_Core_Programmable Thermostat_Boiler (DI)_SF</v>
      </c>
      <c r="C5437" s="2" t="str">
        <f t="shared" si="169"/>
        <v>NSG_Income Eligible_Home Energy Jumpstart_Core_Programmable Thermostat_Boiler (DI)_SF_2022</v>
      </c>
      <c r="D5437" s="19" t="s">
        <v>1787</v>
      </c>
      <c r="E5437" s="19" t="s">
        <v>325</v>
      </c>
      <c r="F5437" s="19" t="s">
        <v>1414</v>
      </c>
      <c r="G5437" s="19" t="s">
        <v>1415</v>
      </c>
      <c r="H5437" s="19" t="s">
        <v>224</v>
      </c>
      <c r="I5437" s="19" t="s">
        <v>1045</v>
      </c>
      <c r="J5437" s="19" t="s">
        <v>24</v>
      </c>
      <c r="K5437" s="19" t="s">
        <v>409</v>
      </c>
      <c r="L5437" s="19">
        <v>2022</v>
      </c>
      <c r="M5437" s="20">
        <v>1</v>
      </c>
      <c r="N5437" s="19" t="s">
        <v>1795</v>
      </c>
      <c r="O5437" s="20">
        <v>0</v>
      </c>
      <c r="P5437" s="20">
        <v>0</v>
      </c>
      <c r="Q5437" s="20">
        <v>0</v>
      </c>
      <c r="R5437" s="21">
        <v>1</v>
      </c>
      <c r="S5437" s="20">
        <v>0</v>
      </c>
    </row>
    <row r="5438" spans="2:19" ht="15" customHeight="1" x14ac:dyDescent="0.25">
      <c r="B5438" s="2" t="str">
        <f t="shared" si="168"/>
        <v>NSG_Income Eligible_Home Energy Jumpstart_Core_Programmable Thermostat_Boiler (DI)_SF</v>
      </c>
      <c r="C5438" s="2" t="str">
        <f t="shared" si="169"/>
        <v>NSG_Income Eligible_Home Energy Jumpstart_Core_Programmable Thermostat_Boiler (DI)_SF_2023</v>
      </c>
      <c r="D5438" s="19" t="s">
        <v>1787</v>
      </c>
      <c r="E5438" s="19" t="s">
        <v>325</v>
      </c>
      <c r="F5438" s="19" t="s">
        <v>1414</v>
      </c>
      <c r="G5438" s="19" t="s">
        <v>1415</v>
      </c>
      <c r="H5438" s="19" t="s">
        <v>224</v>
      </c>
      <c r="I5438" s="19" t="s">
        <v>1045</v>
      </c>
      <c r="J5438" s="19" t="s">
        <v>24</v>
      </c>
      <c r="K5438" s="19" t="s">
        <v>409</v>
      </c>
      <c r="L5438" s="19">
        <v>2023</v>
      </c>
      <c r="M5438" s="20">
        <v>1</v>
      </c>
      <c r="N5438" s="19" t="s">
        <v>1795</v>
      </c>
      <c r="O5438" s="20">
        <v>0</v>
      </c>
      <c r="P5438" s="20">
        <v>0</v>
      </c>
      <c r="Q5438" s="20">
        <v>0</v>
      </c>
      <c r="R5438" s="21">
        <v>1</v>
      </c>
      <c r="S5438" s="20">
        <v>0</v>
      </c>
    </row>
    <row r="5439" spans="2:19" ht="15" customHeight="1" x14ac:dyDescent="0.25">
      <c r="B5439" s="2" t="str">
        <f t="shared" si="168"/>
        <v>NSG_Income Eligible_Home Energy Jumpstart_Core_Programmable Thermostat_Boiler (DI)_SF</v>
      </c>
      <c r="C5439" s="2" t="str">
        <f t="shared" si="169"/>
        <v>NSG_Income Eligible_Home Energy Jumpstart_Core_Programmable Thermostat_Boiler (DI)_SF_2024</v>
      </c>
      <c r="D5439" s="19" t="s">
        <v>1787</v>
      </c>
      <c r="E5439" s="19" t="s">
        <v>325</v>
      </c>
      <c r="F5439" s="19" t="s">
        <v>1414</v>
      </c>
      <c r="G5439" s="19" t="s">
        <v>1415</v>
      </c>
      <c r="H5439" s="19" t="s">
        <v>224</v>
      </c>
      <c r="I5439" s="19" t="s">
        <v>1045</v>
      </c>
      <c r="J5439" s="19" t="s">
        <v>24</v>
      </c>
      <c r="K5439" s="19" t="s">
        <v>409</v>
      </c>
      <c r="L5439" s="19">
        <v>2024</v>
      </c>
      <c r="M5439" s="20">
        <v>1</v>
      </c>
      <c r="N5439" s="19" t="s">
        <v>1795</v>
      </c>
      <c r="O5439" s="20">
        <v>0</v>
      </c>
      <c r="P5439" s="20">
        <v>0</v>
      </c>
      <c r="Q5439" s="20">
        <v>0</v>
      </c>
      <c r="R5439" s="21">
        <v>1</v>
      </c>
      <c r="S5439" s="20">
        <v>0</v>
      </c>
    </row>
    <row r="5440" spans="2:19" ht="15" customHeight="1" x14ac:dyDescent="0.25">
      <c r="B5440" s="2" t="str">
        <f t="shared" si="168"/>
        <v>NSG_Income Eligible_Home Energy Jumpstart_Core_Programmable Thermostat_Boiler (DI)_SF</v>
      </c>
      <c r="C5440" s="2" t="str">
        <f t="shared" si="169"/>
        <v>NSG_Income Eligible_Home Energy Jumpstart_Core_Programmable Thermostat_Boiler (DI)_SF_2025</v>
      </c>
      <c r="D5440" s="19" t="s">
        <v>1787</v>
      </c>
      <c r="E5440" s="19" t="s">
        <v>325</v>
      </c>
      <c r="F5440" s="19" t="s">
        <v>1414</v>
      </c>
      <c r="G5440" s="19" t="s">
        <v>1415</v>
      </c>
      <c r="H5440" s="19" t="s">
        <v>224</v>
      </c>
      <c r="I5440" s="19" t="s">
        <v>1045</v>
      </c>
      <c r="J5440" s="19" t="s">
        <v>24</v>
      </c>
      <c r="K5440" s="19" t="s">
        <v>409</v>
      </c>
      <c r="L5440" s="19">
        <v>2025</v>
      </c>
      <c r="M5440" s="20">
        <v>1</v>
      </c>
      <c r="N5440" s="19" t="s">
        <v>1795</v>
      </c>
      <c r="O5440" s="20">
        <v>0</v>
      </c>
      <c r="P5440" s="20">
        <v>0</v>
      </c>
      <c r="Q5440" s="20">
        <v>0</v>
      </c>
      <c r="R5440" s="21">
        <v>1</v>
      </c>
      <c r="S5440" s="20">
        <v>0</v>
      </c>
    </row>
    <row r="5441" spans="2:19" ht="15" customHeight="1" x14ac:dyDescent="0.25">
      <c r="B5441" s="2" t="str">
        <f t="shared" si="168"/>
        <v>NSG_Income Eligible_Home Energy Jumpstart_Core_Advanced Thermostat_Furnace (Replace Manual)_SF</v>
      </c>
      <c r="C5441" s="2" t="str">
        <f t="shared" si="169"/>
        <v>NSG_Income Eligible_Home Energy Jumpstart_Core_Advanced Thermostat_Furnace (Replace Manual)_SF_2022</v>
      </c>
      <c r="D5441" s="19" t="s">
        <v>1787</v>
      </c>
      <c r="E5441" s="19" t="s">
        <v>325</v>
      </c>
      <c r="F5441" s="19" t="s">
        <v>1414</v>
      </c>
      <c r="G5441" s="19" t="s">
        <v>1415</v>
      </c>
      <c r="H5441" s="19" t="s">
        <v>7</v>
      </c>
      <c r="I5441" s="19" t="s">
        <v>1047</v>
      </c>
      <c r="J5441" s="19" t="s">
        <v>24</v>
      </c>
      <c r="K5441" s="19" t="s">
        <v>409</v>
      </c>
      <c r="L5441" s="19">
        <v>2022</v>
      </c>
      <c r="M5441" s="20">
        <v>1</v>
      </c>
      <c r="N5441" s="19" t="s">
        <v>1795</v>
      </c>
      <c r="O5441" s="20">
        <v>2</v>
      </c>
      <c r="P5441" s="20">
        <v>2</v>
      </c>
      <c r="Q5441" s="20">
        <v>209.04</v>
      </c>
      <c r="R5441" s="21">
        <v>1</v>
      </c>
      <c r="S5441" s="20">
        <v>209.04</v>
      </c>
    </row>
    <row r="5442" spans="2:19" ht="15" customHeight="1" x14ac:dyDescent="0.25">
      <c r="B5442" s="2" t="str">
        <f t="shared" si="168"/>
        <v>NSG_Income Eligible_Home Energy Jumpstart_Core_Advanced Thermostat_Furnace (Replace Manual)_SF</v>
      </c>
      <c r="C5442" s="2" t="str">
        <f t="shared" si="169"/>
        <v>NSG_Income Eligible_Home Energy Jumpstart_Core_Advanced Thermostat_Furnace (Replace Manual)_SF_2023</v>
      </c>
      <c r="D5442" s="19" t="s">
        <v>1787</v>
      </c>
      <c r="E5442" s="19" t="s">
        <v>325</v>
      </c>
      <c r="F5442" s="19" t="s">
        <v>1414</v>
      </c>
      <c r="G5442" s="19" t="s">
        <v>1415</v>
      </c>
      <c r="H5442" s="19" t="s">
        <v>7</v>
      </c>
      <c r="I5442" s="19" t="s">
        <v>1047</v>
      </c>
      <c r="J5442" s="19" t="s">
        <v>24</v>
      </c>
      <c r="K5442" s="19" t="s">
        <v>409</v>
      </c>
      <c r="L5442" s="19">
        <v>2023</v>
      </c>
      <c r="M5442" s="20">
        <v>1</v>
      </c>
      <c r="N5442" s="19" t="s">
        <v>1795</v>
      </c>
      <c r="O5442" s="20">
        <v>4</v>
      </c>
      <c r="P5442" s="20">
        <v>4</v>
      </c>
      <c r="Q5442" s="20">
        <v>418.08</v>
      </c>
      <c r="R5442" s="21">
        <v>1</v>
      </c>
      <c r="S5442" s="20">
        <v>418.08</v>
      </c>
    </row>
    <row r="5443" spans="2:19" ht="15" customHeight="1" x14ac:dyDescent="0.25">
      <c r="B5443" s="2" t="str">
        <f t="shared" si="168"/>
        <v>NSG_Income Eligible_Home Energy Jumpstart_Core_Advanced Thermostat_Furnace (Replace Manual)_SF</v>
      </c>
      <c r="C5443" s="2" t="str">
        <f t="shared" si="169"/>
        <v>NSG_Income Eligible_Home Energy Jumpstart_Core_Advanced Thermostat_Furnace (Replace Manual)_SF_2024</v>
      </c>
      <c r="D5443" s="19" t="s">
        <v>1787</v>
      </c>
      <c r="E5443" s="19" t="s">
        <v>325</v>
      </c>
      <c r="F5443" s="19" t="s">
        <v>1414</v>
      </c>
      <c r="G5443" s="19" t="s">
        <v>1415</v>
      </c>
      <c r="H5443" s="19" t="s">
        <v>7</v>
      </c>
      <c r="I5443" s="19" t="s">
        <v>1047</v>
      </c>
      <c r="J5443" s="19" t="s">
        <v>24</v>
      </c>
      <c r="K5443" s="19" t="s">
        <v>409</v>
      </c>
      <c r="L5443" s="19">
        <v>2024</v>
      </c>
      <c r="M5443" s="20">
        <v>1</v>
      </c>
      <c r="N5443" s="19" t="s">
        <v>1795</v>
      </c>
      <c r="O5443" s="20">
        <v>8</v>
      </c>
      <c r="P5443" s="20">
        <v>8</v>
      </c>
      <c r="Q5443" s="20">
        <v>836.16</v>
      </c>
      <c r="R5443" s="21">
        <v>1</v>
      </c>
      <c r="S5443" s="20">
        <v>836.16</v>
      </c>
    </row>
    <row r="5444" spans="2:19" ht="15" customHeight="1" x14ac:dyDescent="0.25">
      <c r="B5444" s="2" t="str">
        <f t="shared" si="168"/>
        <v>NSG_Income Eligible_Home Energy Jumpstart_Core_Advanced Thermostat_Furnace (Replace Manual)_SF</v>
      </c>
      <c r="C5444" s="2" t="str">
        <f t="shared" si="169"/>
        <v>NSG_Income Eligible_Home Energy Jumpstart_Core_Advanced Thermostat_Furnace (Replace Manual)_SF_2025</v>
      </c>
      <c r="D5444" s="19" t="s">
        <v>1787</v>
      </c>
      <c r="E5444" s="19" t="s">
        <v>325</v>
      </c>
      <c r="F5444" s="19" t="s">
        <v>1414</v>
      </c>
      <c r="G5444" s="19" t="s">
        <v>1415</v>
      </c>
      <c r="H5444" s="19" t="s">
        <v>7</v>
      </c>
      <c r="I5444" s="19" t="s">
        <v>1047</v>
      </c>
      <c r="J5444" s="19" t="s">
        <v>24</v>
      </c>
      <c r="K5444" s="19" t="s">
        <v>409</v>
      </c>
      <c r="L5444" s="19">
        <v>2025</v>
      </c>
      <c r="M5444" s="20">
        <v>1</v>
      </c>
      <c r="N5444" s="19" t="s">
        <v>1795</v>
      </c>
      <c r="O5444" s="20">
        <v>9</v>
      </c>
      <c r="P5444" s="20">
        <v>9</v>
      </c>
      <c r="Q5444" s="20">
        <v>940.68</v>
      </c>
      <c r="R5444" s="21">
        <v>1</v>
      </c>
      <c r="S5444" s="20">
        <v>940.68</v>
      </c>
    </row>
    <row r="5445" spans="2:19" ht="15" customHeight="1" x14ac:dyDescent="0.25">
      <c r="B5445" s="2" t="str">
        <f t="shared" si="168"/>
        <v>NSG_Income Eligible_Home Energy Jumpstart_Core_Advanced Thermostat_Boiler (Replace Manual)_SF</v>
      </c>
      <c r="C5445" s="2" t="str">
        <f t="shared" si="169"/>
        <v>NSG_Income Eligible_Home Energy Jumpstart_Core_Advanced Thermostat_Boiler (Replace Manual)_SF_2022</v>
      </c>
      <c r="D5445" s="19" t="s">
        <v>1787</v>
      </c>
      <c r="E5445" s="19" t="s">
        <v>325</v>
      </c>
      <c r="F5445" s="19" t="s">
        <v>1414</v>
      </c>
      <c r="G5445" s="19" t="s">
        <v>1415</v>
      </c>
      <c r="H5445" s="19" t="s">
        <v>7</v>
      </c>
      <c r="I5445" s="19" t="s">
        <v>1051</v>
      </c>
      <c r="J5445" s="19" t="s">
        <v>24</v>
      </c>
      <c r="K5445" s="19" t="s">
        <v>409</v>
      </c>
      <c r="L5445" s="19">
        <v>2022</v>
      </c>
      <c r="M5445" s="20">
        <v>1</v>
      </c>
      <c r="N5445" s="19" t="s">
        <v>1795</v>
      </c>
      <c r="O5445" s="20">
        <v>0</v>
      </c>
      <c r="P5445" s="20">
        <v>0</v>
      </c>
      <c r="Q5445" s="20">
        <v>0</v>
      </c>
      <c r="R5445" s="21">
        <v>1</v>
      </c>
      <c r="S5445" s="20">
        <v>0</v>
      </c>
    </row>
    <row r="5446" spans="2:19" ht="15" customHeight="1" x14ac:dyDescent="0.25">
      <c r="B5446" s="2" t="str">
        <f t="shared" ref="B5446:B5484" si="170">D5446&amp;"_"&amp;E5446&amp;"_"&amp;F5446&amp;"_"&amp;G5446&amp;"_"&amp;H5446&amp;"_"&amp;I5446&amp;"_"&amp;K5446</f>
        <v>NSG_Income Eligible_Home Energy Jumpstart_Core_Advanced Thermostat_Boiler (Replace Manual)_SF</v>
      </c>
      <c r="C5446" s="2" t="str">
        <f t="shared" ref="C5446:C5484" si="171">D5446&amp;"_"&amp;E5446&amp;"_"&amp;F5446&amp;"_"&amp;G5446&amp;"_"&amp;H5446&amp;"_"&amp;I5446&amp;"_"&amp;K5446&amp;"_"&amp;L5446</f>
        <v>NSG_Income Eligible_Home Energy Jumpstart_Core_Advanced Thermostat_Boiler (Replace Manual)_SF_2023</v>
      </c>
      <c r="D5446" s="19" t="s">
        <v>1787</v>
      </c>
      <c r="E5446" s="19" t="s">
        <v>325</v>
      </c>
      <c r="F5446" s="19" t="s">
        <v>1414</v>
      </c>
      <c r="G5446" s="19" t="s">
        <v>1415</v>
      </c>
      <c r="H5446" s="19" t="s">
        <v>7</v>
      </c>
      <c r="I5446" s="19" t="s">
        <v>1051</v>
      </c>
      <c r="J5446" s="19" t="s">
        <v>24</v>
      </c>
      <c r="K5446" s="19" t="s">
        <v>409</v>
      </c>
      <c r="L5446" s="19">
        <v>2023</v>
      </c>
      <c r="M5446" s="20">
        <v>1</v>
      </c>
      <c r="N5446" s="19" t="s">
        <v>1795</v>
      </c>
      <c r="O5446" s="20">
        <v>0</v>
      </c>
      <c r="P5446" s="20">
        <v>0</v>
      </c>
      <c r="Q5446" s="20">
        <v>0</v>
      </c>
      <c r="R5446" s="21">
        <v>1</v>
      </c>
      <c r="S5446" s="20">
        <v>0</v>
      </c>
    </row>
    <row r="5447" spans="2:19" ht="15" customHeight="1" x14ac:dyDescent="0.25">
      <c r="B5447" s="2" t="str">
        <f t="shared" si="170"/>
        <v>NSG_Income Eligible_Home Energy Jumpstart_Core_Advanced Thermostat_Boiler (Replace Manual)_SF</v>
      </c>
      <c r="C5447" s="2" t="str">
        <f t="shared" si="171"/>
        <v>NSG_Income Eligible_Home Energy Jumpstart_Core_Advanced Thermostat_Boiler (Replace Manual)_SF_2024</v>
      </c>
      <c r="D5447" s="19" t="s">
        <v>1787</v>
      </c>
      <c r="E5447" s="19" t="s">
        <v>325</v>
      </c>
      <c r="F5447" s="19" t="s">
        <v>1414</v>
      </c>
      <c r="G5447" s="19" t="s">
        <v>1415</v>
      </c>
      <c r="H5447" s="19" t="s">
        <v>7</v>
      </c>
      <c r="I5447" s="19" t="s">
        <v>1051</v>
      </c>
      <c r="J5447" s="19" t="s">
        <v>24</v>
      </c>
      <c r="K5447" s="19" t="s">
        <v>409</v>
      </c>
      <c r="L5447" s="19">
        <v>2024</v>
      </c>
      <c r="M5447" s="20">
        <v>1</v>
      </c>
      <c r="N5447" s="19" t="s">
        <v>1795</v>
      </c>
      <c r="O5447" s="20">
        <v>0</v>
      </c>
      <c r="P5447" s="20">
        <v>0</v>
      </c>
      <c r="Q5447" s="20">
        <v>0</v>
      </c>
      <c r="R5447" s="21">
        <v>1</v>
      </c>
      <c r="S5447" s="20">
        <v>0</v>
      </c>
    </row>
    <row r="5448" spans="2:19" ht="15" customHeight="1" x14ac:dyDescent="0.25">
      <c r="B5448" s="2" t="str">
        <f t="shared" si="170"/>
        <v>NSG_Income Eligible_Home Energy Jumpstart_Core_Advanced Thermostat_Boiler (Replace Manual)_SF</v>
      </c>
      <c r="C5448" s="2" t="str">
        <f t="shared" si="171"/>
        <v>NSG_Income Eligible_Home Energy Jumpstart_Core_Advanced Thermostat_Boiler (Replace Manual)_SF_2025</v>
      </c>
      <c r="D5448" s="19" t="s">
        <v>1787</v>
      </c>
      <c r="E5448" s="19" t="s">
        <v>325</v>
      </c>
      <c r="F5448" s="19" t="s">
        <v>1414</v>
      </c>
      <c r="G5448" s="19" t="s">
        <v>1415</v>
      </c>
      <c r="H5448" s="19" t="s">
        <v>7</v>
      </c>
      <c r="I5448" s="19" t="s">
        <v>1051</v>
      </c>
      <c r="J5448" s="19" t="s">
        <v>24</v>
      </c>
      <c r="K5448" s="19" t="s">
        <v>409</v>
      </c>
      <c r="L5448" s="19">
        <v>2025</v>
      </c>
      <c r="M5448" s="20">
        <v>1</v>
      </c>
      <c r="N5448" s="19" t="s">
        <v>1795</v>
      </c>
      <c r="O5448" s="20">
        <v>0</v>
      </c>
      <c r="P5448" s="20">
        <v>0</v>
      </c>
      <c r="Q5448" s="20">
        <v>0</v>
      </c>
      <c r="R5448" s="21">
        <v>1</v>
      </c>
      <c r="S5448" s="20">
        <v>0</v>
      </c>
    </row>
    <row r="5449" spans="2:19" ht="15" customHeight="1" x14ac:dyDescent="0.25">
      <c r="B5449" s="2" t="str">
        <f t="shared" si="170"/>
        <v>NSG_Income Eligible_Home Energy Jumpstart_Core_Advanced Thermostat_Furnace (Replace Programmable)_SF</v>
      </c>
      <c r="C5449" s="2" t="str">
        <f t="shared" si="171"/>
        <v>NSG_Income Eligible_Home Energy Jumpstart_Core_Advanced Thermostat_Furnace (Replace Programmable)_SF_2022</v>
      </c>
      <c r="D5449" s="19" t="s">
        <v>1787</v>
      </c>
      <c r="E5449" s="19" t="s">
        <v>325</v>
      </c>
      <c r="F5449" s="19" t="s">
        <v>1414</v>
      </c>
      <c r="G5449" s="19" t="s">
        <v>1415</v>
      </c>
      <c r="H5449" s="19" t="s">
        <v>7</v>
      </c>
      <c r="I5449" s="19" t="s">
        <v>1049</v>
      </c>
      <c r="J5449" s="19" t="s">
        <v>24</v>
      </c>
      <c r="K5449" s="19" t="s">
        <v>409</v>
      </c>
      <c r="L5449" s="19">
        <v>2022</v>
      </c>
      <c r="M5449" s="20">
        <v>1</v>
      </c>
      <c r="N5449" s="19" t="s">
        <v>1795</v>
      </c>
      <c r="O5449" s="20">
        <v>3</v>
      </c>
      <c r="P5449" s="20">
        <v>3</v>
      </c>
      <c r="Q5449" s="20">
        <v>220.09499999999997</v>
      </c>
      <c r="R5449" s="21">
        <v>1</v>
      </c>
      <c r="S5449" s="20">
        <v>220.09499999999997</v>
      </c>
    </row>
    <row r="5450" spans="2:19" ht="15" customHeight="1" x14ac:dyDescent="0.25">
      <c r="B5450" s="2" t="str">
        <f t="shared" si="170"/>
        <v>NSG_Income Eligible_Home Energy Jumpstart_Core_Advanced Thermostat_Furnace (Replace Programmable)_SF</v>
      </c>
      <c r="C5450" s="2" t="str">
        <f t="shared" si="171"/>
        <v>NSG_Income Eligible_Home Energy Jumpstart_Core_Advanced Thermostat_Furnace (Replace Programmable)_SF_2023</v>
      </c>
      <c r="D5450" s="19" t="s">
        <v>1787</v>
      </c>
      <c r="E5450" s="19" t="s">
        <v>325</v>
      </c>
      <c r="F5450" s="19" t="s">
        <v>1414</v>
      </c>
      <c r="G5450" s="19" t="s">
        <v>1415</v>
      </c>
      <c r="H5450" s="19" t="s">
        <v>7</v>
      </c>
      <c r="I5450" s="19" t="s">
        <v>1049</v>
      </c>
      <c r="J5450" s="19" t="s">
        <v>24</v>
      </c>
      <c r="K5450" s="19" t="s">
        <v>409</v>
      </c>
      <c r="L5450" s="19">
        <v>2023</v>
      </c>
      <c r="M5450" s="20">
        <v>1</v>
      </c>
      <c r="N5450" s="19" t="s">
        <v>1795</v>
      </c>
      <c r="O5450" s="20">
        <v>7</v>
      </c>
      <c r="P5450" s="20">
        <v>7</v>
      </c>
      <c r="Q5450" s="20">
        <v>513.55499999999995</v>
      </c>
      <c r="R5450" s="21">
        <v>1</v>
      </c>
      <c r="S5450" s="20">
        <v>513.55499999999995</v>
      </c>
    </row>
    <row r="5451" spans="2:19" ht="15" customHeight="1" x14ac:dyDescent="0.25">
      <c r="B5451" s="2" t="str">
        <f t="shared" si="170"/>
        <v>NSG_Income Eligible_Home Energy Jumpstart_Core_Advanced Thermostat_Furnace (Replace Programmable)_SF</v>
      </c>
      <c r="C5451" s="2" t="str">
        <f t="shared" si="171"/>
        <v>NSG_Income Eligible_Home Energy Jumpstart_Core_Advanced Thermostat_Furnace (Replace Programmable)_SF_2024</v>
      </c>
      <c r="D5451" s="19" t="s">
        <v>1787</v>
      </c>
      <c r="E5451" s="19" t="s">
        <v>325</v>
      </c>
      <c r="F5451" s="19" t="s">
        <v>1414</v>
      </c>
      <c r="G5451" s="19" t="s">
        <v>1415</v>
      </c>
      <c r="H5451" s="19" t="s">
        <v>7</v>
      </c>
      <c r="I5451" s="19" t="s">
        <v>1049</v>
      </c>
      <c r="J5451" s="19" t="s">
        <v>24</v>
      </c>
      <c r="K5451" s="19" t="s">
        <v>409</v>
      </c>
      <c r="L5451" s="19">
        <v>2024</v>
      </c>
      <c r="M5451" s="20">
        <v>1</v>
      </c>
      <c r="N5451" s="19" t="s">
        <v>1795</v>
      </c>
      <c r="O5451" s="20">
        <v>14</v>
      </c>
      <c r="P5451" s="20">
        <v>14</v>
      </c>
      <c r="Q5451" s="20">
        <v>1027.1099999999999</v>
      </c>
      <c r="R5451" s="21">
        <v>1</v>
      </c>
      <c r="S5451" s="20">
        <v>1027.1099999999999</v>
      </c>
    </row>
    <row r="5452" spans="2:19" ht="15" customHeight="1" x14ac:dyDescent="0.25">
      <c r="B5452" s="2" t="str">
        <f t="shared" si="170"/>
        <v>NSG_Income Eligible_Home Energy Jumpstart_Core_Advanced Thermostat_Furnace (Replace Programmable)_SF</v>
      </c>
      <c r="C5452" s="2" t="str">
        <f t="shared" si="171"/>
        <v>NSG_Income Eligible_Home Energy Jumpstart_Core_Advanced Thermostat_Furnace (Replace Programmable)_SF_2025</v>
      </c>
      <c r="D5452" s="19" t="s">
        <v>1787</v>
      </c>
      <c r="E5452" s="19" t="s">
        <v>325</v>
      </c>
      <c r="F5452" s="19" t="s">
        <v>1414</v>
      </c>
      <c r="G5452" s="19" t="s">
        <v>1415</v>
      </c>
      <c r="H5452" s="19" t="s">
        <v>7</v>
      </c>
      <c r="I5452" s="19" t="s">
        <v>1049</v>
      </c>
      <c r="J5452" s="19" t="s">
        <v>24</v>
      </c>
      <c r="K5452" s="19" t="s">
        <v>409</v>
      </c>
      <c r="L5452" s="19">
        <v>2025</v>
      </c>
      <c r="M5452" s="20">
        <v>1</v>
      </c>
      <c r="N5452" s="19" t="s">
        <v>1795</v>
      </c>
      <c r="O5452" s="20">
        <v>17</v>
      </c>
      <c r="P5452" s="20">
        <v>17</v>
      </c>
      <c r="Q5452" s="20">
        <v>1247.2049999999999</v>
      </c>
      <c r="R5452" s="21">
        <v>1</v>
      </c>
      <c r="S5452" s="20">
        <v>1247.2049999999999</v>
      </c>
    </row>
    <row r="5453" spans="2:19" ht="15" customHeight="1" x14ac:dyDescent="0.25">
      <c r="B5453" s="2" t="str">
        <f t="shared" si="170"/>
        <v>NSG_Income Eligible_Home Energy Jumpstart_Core_Advanced Thermostat_Boiler (Replace Programmable)_SF</v>
      </c>
      <c r="C5453" s="2" t="str">
        <f t="shared" si="171"/>
        <v>NSG_Income Eligible_Home Energy Jumpstart_Core_Advanced Thermostat_Boiler (Replace Programmable)_SF_2022</v>
      </c>
      <c r="D5453" s="19" t="s">
        <v>1787</v>
      </c>
      <c r="E5453" s="19" t="s">
        <v>325</v>
      </c>
      <c r="F5453" s="19" t="s">
        <v>1414</v>
      </c>
      <c r="G5453" s="19" t="s">
        <v>1415</v>
      </c>
      <c r="H5453" s="19" t="s">
        <v>7</v>
      </c>
      <c r="I5453" s="19" t="s">
        <v>1052</v>
      </c>
      <c r="J5453" s="19" t="s">
        <v>24</v>
      </c>
      <c r="K5453" s="19" t="s">
        <v>409</v>
      </c>
      <c r="L5453" s="19">
        <v>2022</v>
      </c>
      <c r="M5453" s="20">
        <v>1</v>
      </c>
      <c r="N5453" s="19" t="s">
        <v>1795</v>
      </c>
      <c r="O5453" s="20">
        <v>0</v>
      </c>
      <c r="P5453" s="20">
        <v>0</v>
      </c>
      <c r="Q5453" s="20">
        <v>0</v>
      </c>
      <c r="R5453" s="21">
        <v>1</v>
      </c>
      <c r="S5453" s="20">
        <v>0</v>
      </c>
    </row>
    <row r="5454" spans="2:19" ht="15" customHeight="1" x14ac:dyDescent="0.25">
      <c r="B5454" s="2" t="str">
        <f t="shared" si="170"/>
        <v>NSG_Income Eligible_Home Energy Jumpstart_Core_Advanced Thermostat_Boiler (Replace Programmable)_SF</v>
      </c>
      <c r="C5454" s="2" t="str">
        <f t="shared" si="171"/>
        <v>NSG_Income Eligible_Home Energy Jumpstart_Core_Advanced Thermostat_Boiler (Replace Programmable)_SF_2023</v>
      </c>
      <c r="D5454" s="19" t="s">
        <v>1787</v>
      </c>
      <c r="E5454" s="19" t="s">
        <v>325</v>
      </c>
      <c r="F5454" s="19" t="s">
        <v>1414</v>
      </c>
      <c r="G5454" s="19" t="s">
        <v>1415</v>
      </c>
      <c r="H5454" s="19" t="s">
        <v>7</v>
      </c>
      <c r="I5454" s="19" t="s">
        <v>1052</v>
      </c>
      <c r="J5454" s="19" t="s">
        <v>24</v>
      </c>
      <c r="K5454" s="19" t="s">
        <v>409</v>
      </c>
      <c r="L5454" s="19">
        <v>2023</v>
      </c>
      <c r="M5454" s="20">
        <v>1</v>
      </c>
      <c r="N5454" s="19" t="s">
        <v>1795</v>
      </c>
      <c r="O5454" s="20">
        <v>0</v>
      </c>
      <c r="P5454" s="20">
        <v>0</v>
      </c>
      <c r="Q5454" s="20">
        <v>0</v>
      </c>
      <c r="R5454" s="21">
        <v>1</v>
      </c>
      <c r="S5454" s="20">
        <v>0</v>
      </c>
    </row>
    <row r="5455" spans="2:19" ht="15" customHeight="1" x14ac:dyDescent="0.25">
      <c r="B5455" s="2" t="str">
        <f t="shared" si="170"/>
        <v>NSG_Income Eligible_Home Energy Jumpstart_Core_Advanced Thermostat_Boiler (Replace Programmable)_SF</v>
      </c>
      <c r="C5455" s="2" t="str">
        <f t="shared" si="171"/>
        <v>NSG_Income Eligible_Home Energy Jumpstart_Core_Advanced Thermostat_Boiler (Replace Programmable)_SF_2024</v>
      </c>
      <c r="D5455" s="19" t="s">
        <v>1787</v>
      </c>
      <c r="E5455" s="19" t="s">
        <v>325</v>
      </c>
      <c r="F5455" s="19" t="s">
        <v>1414</v>
      </c>
      <c r="G5455" s="19" t="s">
        <v>1415</v>
      </c>
      <c r="H5455" s="19" t="s">
        <v>7</v>
      </c>
      <c r="I5455" s="19" t="s">
        <v>1052</v>
      </c>
      <c r="J5455" s="19" t="s">
        <v>24</v>
      </c>
      <c r="K5455" s="19" t="s">
        <v>409</v>
      </c>
      <c r="L5455" s="19">
        <v>2024</v>
      </c>
      <c r="M5455" s="20">
        <v>1</v>
      </c>
      <c r="N5455" s="19" t="s">
        <v>1795</v>
      </c>
      <c r="O5455" s="20">
        <v>0</v>
      </c>
      <c r="P5455" s="20">
        <v>0</v>
      </c>
      <c r="Q5455" s="20">
        <v>0</v>
      </c>
      <c r="R5455" s="21">
        <v>1</v>
      </c>
      <c r="S5455" s="20">
        <v>0</v>
      </c>
    </row>
    <row r="5456" spans="2:19" ht="15" customHeight="1" x14ac:dyDescent="0.25">
      <c r="B5456" s="2" t="str">
        <f t="shared" si="170"/>
        <v>NSG_Income Eligible_Home Energy Jumpstart_Core_Advanced Thermostat_Boiler (Replace Programmable)_SF</v>
      </c>
      <c r="C5456" s="2" t="str">
        <f t="shared" si="171"/>
        <v>NSG_Income Eligible_Home Energy Jumpstart_Core_Advanced Thermostat_Boiler (Replace Programmable)_SF_2025</v>
      </c>
      <c r="D5456" s="19" t="s">
        <v>1787</v>
      </c>
      <c r="E5456" s="19" t="s">
        <v>325</v>
      </c>
      <c r="F5456" s="19" t="s">
        <v>1414</v>
      </c>
      <c r="G5456" s="19" t="s">
        <v>1415</v>
      </c>
      <c r="H5456" s="19" t="s">
        <v>7</v>
      </c>
      <c r="I5456" s="19" t="s">
        <v>1052</v>
      </c>
      <c r="J5456" s="19" t="s">
        <v>24</v>
      </c>
      <c r="K5456" s="19" t="s">
        <v>409</v>
      </c>
      <c r="L5456" s="19">
        <v>2025</v>
      </c>
      <c r="M5456" s="20">
        <v>1</v>
      </c>
      <c r="N5456" s="19" t="s">
        <v>1795</v>
      </c>
      <c r="O5456" s="20">
        <v>0</v>
      </c>
      <c r="P5456" s="20">
        <v>0</v>
      </c>
      <c r="Q5456" s="20">
        <v>0</v>
      </c>
      <c r="R5456" s="21">
        <v>1</v>
      </c>
      <c r="S5456" s="20">
        <v>0</v>
      </c>
    </row>
    <row r="5457" spans="2:19" ht="15" customHeight="1" x14ac:dyDescent="0.25">
      <c r="B5457" s="2" t="str">
        <f t="shared" si="170"/>
        <v>NSG_Income Eligible_Home Energy Jumpstart_Core_Thermostat - Reprogram_Furnace (DI)_SF</v>
      </c>
      <c r="C5457" s="2" t="str">
        <f t="shared" si="171"/>
        <v>NSG_Income Eligible_Home Energy Jumpstart_Core_Thermostat - Reprogram_Furnace (DI)_SF_2022</v>
      </c>
      <c r="D5457" s="19" t="s">
        <v>1787</v>
      </c>
      <c r="E5457" s="19" t="s">
        <v>325</v>
      </c>
      <c r="F5457" s="19" t="s">
        <v>1414</v>
      </c>
      <c r="G5457" s="19" t="s">
        <v>1415</v>
      </c>
      <c r="H5457" s="19" t="s">
        <v>1055</v>
      </c>
      <c r="I5457" s="19" t="s">
        <v>1038</v>
      </c>
      <c r="J5457" s="19" t="s">
        <v>24</v>
      </c>
      <c r="K5457" s="19" t="s">
        <v>409</v>
      </c>
      <c r="L5457" s="19">
        <v>2022</v>
      </c>
      <c r="M5457" s="20">
        <v>1</v>
      </c>
      <c r="N5457" s="19" t="s">
        <v>1795</v>
      </c>
      <c r="O5457" s="20">
        <v>4</v>
      </c>
      <c r="P5457" s="20">
        <v>4</v>
      </c>
      <c r="Q5457" s="20">
        <v>249.24</v>
      </c>
      <c r="R5457" s="21">
        <v>1</v>
      </c>
      <c r="S5457" s="20">
        <v>249.24</v>
      </c>
    </row>
    <row r="5458" spans="2:19" ht="15" customHeight="1" x14ac:dyDescent="0.25">
      <c r="B5458" s="2" t="str">
        <f t="shared" si="170"/>
        <v>NSG_Income Eligible_Home Energy Jumpstart_Core_Thermostat - Reprogram_Furnace (DI)_SF</v>
      </c>
      <c r="C5458" s="2" t="str">
        <f t="shared" si="171"/>
        <v>NSG_Income Eligible_Home Energy Jumpstart_Core_Thermostat - Reprogram_Furnace (DI)_SF_2023</v>
      </c>
      <c r="D5458" s="19" t="s">
        <v>1787</v>
      </c>
      <c r="E5458" s="19" t="s">
        <v>325</v>
      </c>
      <c r="F5458" s="19" t="s">
        <v>1414</v>
      </c>
      <c r="G5458" s="19" t="s">
        <v>1415</v>
      </c>
      <c r="H5458" s="19" t="s">
        <v>1055</v>
      </c>
      <c r="I5458" s="19" t="s">
        <v>1038</v>
      </c>
      <c r="J5458" s="19" t="s">
        <v>24</v>
      </c>
      <c r="K5458" s="19" t="s">
        <v>409</v>
      </c>
      <c r="L5458" s="19">
        <v>2023</v>
      </c>
      <c r="M5458" s="20">
        <v>1</v>
      </c>
      <c r="N5458" s="19" t="s">
        <v>1795</v>
      </c>
      <c r="O5458" s="20">
        <v>11</v>
      </c>
      <c r="P5458" s="20">
        <v>11</v>
      </c>
      <c r="Q5458" s="20">
        <v>685.41000000000008</v>
      </c>
      <c r="R5458" s="21">
        <v>1</v>
      </c>
      <c r="S5458" s="20">
        <v>685.41000000000008</v>
      </c>
    </row>
    <row r="5459" spans="2:19" ht="15" customHeight="1" x14ac:dyDescent="0.25">
      <c r="B5459" s="2" t="str">
        <f t="shared" si="170"/>
        <v>NSG_Income Eligible_Home Energy Jumpstart_Core_Thermostat - Reprogram_Furnace (DI)_SF</v>
      </c>
      <c r="C5459" s="2" t="str">
        <f t="shared" si="171"/>
        <v>NSG_Income Eligible_Home Energy Jumpstart_Core_Thermostat - Reprogram_Furnace (DI)_SF_2024</v>
      </c>
      <c r="D5459" s="19" t="s">
        <v>1787</v>
      </c>
      <c r="E5459" s="19" t="s">
        <v>325</v>
      </c>
      <c r="F5459" s="19" t="s">
        <v>1414</v>
      </c>
      <c r="G5459" s="19" t="s">
        <v>1415</v>
      </c>
      <c r="H5459" s="19" t="s">
        <v>1055</v>
      </c>
      <c r="I5459" s="19" t="s">
        <v>1038</v>
      </c>
      <c r="J5459" s="19" t="s">
        <v>24</v>
      </c>
      <c r="K5459" s="19" t="s">
        <v>409</v>
      </c>
      <c r="L5459" s="19">
        <v>2024</v>
      </c>
      <c r="M5459" s="20">
        <v>1</v>
      </c>
      <c r="N5459" s="19" t="s">
        <v>1795</v>
      </c>
      <c r="O5459" s="20">
        <v>22</v>
      </c>
      <c r="P5459" s="20">
        <v>22</v>
      </c>
      <c r="Q5459" s="20">
        <v>1370.8200000000002</v>
      </c>
      <c r="R5459" s="21">
        <v>1</v>
      </c>
      <c r="S5459" s="20">
        <v>1370.8200000000002</v>
      </c>
    </row>
    <row r="5460" spans="2:19" ht="15" customHeight="1" x14ac:dyDescent="0.25">
      <c r="B5460" s="2" t="str">
        <f t="shared" si="170"/>
        <v>NSG_Income Eligible_Home Energy Jumpstart_Core_Thermostat - Reprogram_Furnace (DI)_SF</v>
      </c>
      <c r="C5460" s="2" t="str">
        <f t="shared" si="171"/>
        <v>NSG_Income Eligible_Home Energy Jumpstart_Core_Thermostat - Reprogram_Furnace (DI)_SF_2025</v>
      </c>
      <c r="D5460" s="19" t="s">
        <v>1787</v>
      </c>
      <c r="E5460" s="19" t="s">
        <v>325</v>
      </c>
      <c r="F5460" s="19" t="s">
        <v>1414</v>
      </c>
      <c r="G5460" s="19" t="s">
        <v>1415</v>
      </c>
      <c r="H5460" s="19" t="s">
        <v>1055</v>
      </c>
      <c r="I5460" s="19" t="s">
        <v>1038</v>
      </c>
      <c r="J5460" s="19" t="s">
        <v>24</v>
      </c>
      <c r="K5460" s="19" t="s">
        <v>409</v>
      </c>
      <c r="L5460" s="19">
        <v>2025</v>
      </c>
      <c r="M5460" s="20">
        <v>1</v>
      </c>
      <c r="N5460" s="19" t="s">
        <v>1795</v>
      </c>
      <c r="O5460" s="20">
        <v>27</v>
      </c>
      <c r="P5460" s="20">
        <v>27</v>
      </c>
      <c r="Q5460" s="20">
        <v>1682.3700000000001</v>
      </c>
      <c r="R5460" s="21">
        <v>1</v>
      </c>
      <c r="S5460" s="20">
        <v>1682.3700000000001</v>
      </c>
    </row>
    <row r="5461" spans="2:19" ht="15" customHeight="1" x14ac:dyDescent="0.25">
      <c r="B5461" s="2" t="str">
        <f t="shared" si="170"/>
        <v>NSG_Income Eligible_Home Energy Jumpstart_Core_Thermostat - Reprogram_Boiler (DI)_SF</v>
      </c>
      <c r="C5461" s="2" t="str">
        <f t="shared" si="171"/>
        <v>NSG_Income Eligible_Home Energy Jumpstart_Core_Thermostat - Reprogram_Boiler (DI)_SF_2022</v>
      </c>
      <c r="D5461" s="19" t="s">
        <v>1787</v>
      </c>
      <c r="E5461" s="19" t="s">
        <v>325</v>
      </c>
      <c r="F5461" s="19" t="s">
        <v>1414</v>
      </c>
      <c r="G5461" s="19" t="s">
        <v>1415</v>
      </c>
      <c r="H5461" s="19" t="s">
        <v>1055</v>
      </c>
      <c r="I5461" s="19" t="s">
        <v>1045</v>
      </c>
      <c r="J5461" s="19" t="s">
        <v>24</v>
      </c>
      <c r="K5461" s="19" t="s">
        <v>409</v>
      </c>
      <c r="L5461" s="19">
        <v>2022</v>
      </c>
      <c r="M5461" s="20">
        <v>1</v>
      </c>
      <c r="N5461" s="19" t="s">
        <v>1795</v>
      </c>
      <c r="O5461" s="20">
        <v>3</v>
      </c>
      <c r="P5461" s="20">
        <v>3</v>
      </c>
      <c r="Q5461" s="20">
        <v>276.58199999999999</v>
      </c>
      <c r="R5461" s="21">
        <v>1</v>
      </c>
      <c r="S5461" s="20">
        <v>276.58199999999999</v>
      </c>
    </row>
    <row r="5462" spans="2:19" ht="15" customHeight="1" x14ac:dyDescent="0.25">
      <c r="B5462" s="2" t="str">
        <f t="shared" si="170"/>
        <v>NSG_Income Eligible_Home Energy Jumpstart_Core_Thermostat - Reprogram_Boiler (DI)_SF</v>
      </c>
      <c r="C5462" s="2" t="str">
        <f t="shared" si="171"/>
        <v>NSG_Income Eligible_Home Energy Jumpstart_Core_Thermostat - Reprogram_Boiler (DI)_SF_2023</v>
      </c>
      <c r="D5462" s="19" t="s">
        <v>1787</v>
      </c>
      <c r="E5462" s="19" t="s">
        <v>325</v>
      </c>
      <c r="F5462" s="19" t="s">
        <v>1414</v>
      </c>
      <c r="G5462" s="19" t="s">
        <v>1415</v>
      </c>
      <c r="H5462" s="19" t="s">
        <v>1055</v>
      </c>
      <c r="I5462" s="19" t="s">
        <v>1045</v>
      </c>
      <c r="J5462" s="19" t="s">
        <v>24</v>
      </c>
      <c r="K5462" s="19" t="s">
        <v>409</v>
      </c>
      <c r="L5462" s="19">
        <v>2023</v>
      </c>
      <c r="M5462" s="20">
        <v>1</v>
      </c>
      <c r="N5462" s="19" t="s">
        <v>1795</v>
      </c>
      <c r="O5462" s="20">
        <v>7</v>
      </c>
      <c r="P5462" s="20">
        <v>7</v>
      </c>
      <c r="Q5462" s="20">
        <v>645.35800000000006</v>
      </c>
      <c r="R5462" s="21">
        <v>1</v>
      </c>
      <c r="S5462" s="20">
        <v>645.35800000000006</v>
      </c>
    </row>
    <row r="5463" spans="2:19" ht="15" customHeight="1" x14ac:dyDescent="0.25">
      <c r="B5463" s="2" t="str">
        <f t="shared" si="170"/>
        <v>NSG_Income Eligible_Home Energy Jumpstart_Core_Thermostat - Reprogram_Boiler (DI)_SF</v>
      </c>
      <c r="C5463" s="2" t="str">
        <f t="shared" si="171"/>
        <v>NSG_Income Eligible_Home Energy Jumpstart_Core_Thermostat - Reprogram_Boiler (DI)_SF_2024</v>
      </c>
      <c r="D5463" s="19" t="s">
        <v>1787</v>
      </c>
      <c r="E5463" s="19" t="s">
        <v>325</v>
      </c>
      <c r="F5463" s="19" t="s">
        <v>1414</v>
      </c>
      <c r="G5463" s="19" t="s">
        <v>1415</v>
      </c>
      <c r="H5463" s="19" t="s">
        <v>1055</v>
      </c>
      <c r="I5463" s="19" t="s">
        <v>1045</v>
      </c>
      <c r="J5463" s="19" t="s">
        <v>24</v>
      </c>
      <c r="K5463" s="19" t="s">
        <v>409</v>
      </c>
      <c r="L5463" s="19">
        <v>2024</v>
      </c>
      <c r="M5463" s="20">
        <v>1</v>
      </c>
      <c r="N5463" s="19" t="s">
        <v>1795</v>
      </c>
      <c r="O5463" s="20">
        <v>15</v>
      </c>
      <c r="P5463" s="20">
        <v>15</v>
      </c>
      <c r="Q5463" s="20">
        <v>1382.91</v>
      </c>
      <c r="R5463" s="21">
        <v>1</v>
      </c>
      <c r="S5463" s="20">
        <v>1382.91</v>
      </c>
    </row>
    <row r="5464" spans="2:19" ht="15" customHeight="1" x14ac:dyDescent="0.25">
      <c r="B5464" s="2" t="str">
        <f t="shared" si="170"/>
        <v>NSG_Income Eligible_Home Energy Jumpstart_Core_Thermostat - Reprogram_Boiler (DI)_SF</v>
      </c>
      <c r="C5464" s="2" t="str">
        <f t="shared" si="171"/>
        <v>NSG_Income Eligible_Home Energy Jumpstart_Core_Thermostat - Reprogram_Boiler (DI)_SF_2025</v>
      </c>
      <c r="D5464" s="19" t="s">
        <v>1787</v>
      </c>
      <c r="E5464" s="19" t="s">
        <v>325</v>
      </c>
      <c r="F5464" s="19" t="s">
        <v>1414</v>
      </c>
      <c r="G5464" s="19" t="s">
        <v>1415</v>
      </c>
      <c r="H5464" s="19" t="s">
        <v>1055</v>
      </c>
      <c r="I5464" s="19" t="s">
        <v>1045</v>
      </c>
      <c r="J5464" s="19" t="s">
        <v>24</v>
      </c>
      <c r="K5464" s="19" t="s">
        <v>409</v>
      </c>
      <c r="L5464" s="19">
        <v>2025</v>
      </c>
      <c r="M5464" s="20">
        <v>1</v>
      </c>
      <c r="N5464" s="19" t="s">
        <v>1795</v>
      </c>
      <c r="O5464" s="20">
        <v>18</v>
      </c>
      <c r="P5464" s="20">
        <v>18</v>
      </c>
      <c r="Q5464" s="20">
        <v>1659.492</v>
      </c>
      <c r="R5464" s="21">
        <v>1</v>
      </c>
      <c r="S5464" s="20">
        <v>1659.492</v>
      </c>
    </row>
    <row r="5465" spans="2:19" ht="15" customHeight="1" x14ac:dyDescent="0.25">
      <c r="B5465" s="2" t="str">
        <f t="shared" si="170"/>
        <v>NSG_Income Eligible_Home Energy Jumpstart_Leave Behind Kit_Shower Timer_0_SF</v>
      </c>
      <c r="C5465" s="2" t="str">
        <f t="shared" si="171"/>
        <v>NSG_Income Eligible_Home Energy Jumpstart_Leave Behind Kit_Shower Timer_0_SF_2022</v>
      </c>
      <c r="D5465" s="19" t="s">
        <v>1787</v>
      </c>
      <c r="E5465" s="19" t="s">
        <v>325</v>
      </c>
      <c r="F5465" s="19" t="s">
        <v>1414</v>
      </c>
      <c r="G5465" s="19" t="s">
        <v>1416</v>
      </c>
      <c r="H5465" s="19" t="s">
        <v>1031</v>
      </c>
      <c r="I5465" s="19">
        <v>0</v>
      </c>
      <c r="J5465" s="19" t="s">
        <v>1033</v>
      </c>
      <c r="K5465" s="19" t="s">
        <v>409</v>
      </c>
      <c r="L5465" s="19">
        <v>2022</v>
      </c>
      <c r="M5465" s="20">
        <v>1</v>
      </c>
      <c r="N5465" s="19" t="s">
        <v>1795</v>
      </c>
      <c r="O5465" s="20">
        <v>25</v>
      </c>
      <c r="P5465" s="20">
        <v>25</v>
      </c>
      <c r="Q5465" s="20">
        <v>92.681159470271993</v>
      </c>
      <c r="R5465" s="21">
        <v>1</v>
      </c>
      <c r="S5465" s="20">
        <v>92.681159470271993</v>
      </c>
    </row>
    <row r="5466" spans="2:19" ht="15" customHeight="1" x14ac:dyDescent="0.25">
      <c r="B5466" s="2" t="str">
        <f t="shared" si="170"/>
        <v>NSG_Income Eligible_Home Energy Jumpstart_Leave Behind Kit_Shower Timer_0_SF</v>
      </c>
      <c r="C5466" s="2" t="str">
        <f t="shared" si="171"/>
        <v>NSG_Income Eligible_Home Energy Jumpstart_Leave Behind Kit_Shower Timer_0_SF_2023</v>
      </c>
      <c r="D5466" s="19" t="s">
        <v>1787</v>
      </c>
      <c r="E5466" s="19" t="s">
        <v>325</v>
      </c>
      <c r="F5466" s="19" t="s">
        <v>1414</v>
      </c>
      <c r="G5466" s="19" t="s">
        <v>1416</v>
      </c>
      <c r="H5466" s="19" t="s">
        <v>1031</v>
      </c>
      <c r="I5466" s="19">
        <v>0</v>
      </c>
      <c r="J5466" s="19" t="s">
        <v>1033</v>
      </c>
      <c r="K5466" s="19" t="s">
        <v>409</v>
      </c>
      <c r="L5466" s="19">
        <v>2023</v>
      </c>
      <c r="M5466" s="20">
        <v>1</v>
      </c>
      <c r="N5466" s="19" t="s">
        <v>1795</v>
      </c>
      <c r="O5466" s="20">
        <v>63</v>
      </c>
      <c r="P5466" s="20">
        <v>63</v>
      </c>
      <c r="Q5466" s="20">
        <v>233.55652186508541</v>
      </c>
      <c r="R5466" s="21">
        <v>1</v>
      </c>
      <c r="S5466" s="20">
        <v>233.55652186508541</v>
      </c>
    </row>
    <row r="5467" spans="2:19" ht="15" customHeight="1" x14ac:dyDescent="0.25">
      <c r="B5467" s="2" t="str">
        <f t="shared" si="170"/>
        <v>NSG_Income Eligible_Home Energy Jumpstart_Leave Behind Kit_Shower Timer_0_SF</v>
      </c>
      <c r="C5467" s="2" t="str">
        <f t="shared" si="171"/>
        <v>NSG_Income Eligible_Home Energy Jumpstart_Leave Behind Kit_Shower Timer_0_SF_2024</v>
      </c>
      <c r="D5467" s="19" t="s">
        <v>1787</v>
      </c>
      <c r="E5467" s="19" t="s">
        <v>325</v>
      </c>
      <c r="F5467" s="19" t="s">
        <v>1414</v>
      </c>
      <c r="G5467" s="19" t="s">
        <v>1416</v>
      </c>
      <c r="H5467" s="19" t="s">
        <v>1031</v>
      </c>
      <c r="I5467" s="19">
        <v>0</v>
      </c>
      <c r="J5467" s="19" t="s">
        <v>1033</v>
      </c>
      <c r="K5467" s="19" t="s">
        <v>409</v>
      </c>
      <c r="L5467" s="19">
        <v>2024</v>
      </c>
      <c r="M5467" s="20">
        <v>1</v>
      </c>
      <c r="N5467" s="19" t="s">
        <v>1795</v>
      </c>
      <c r="O5467" s="20">
        <v>126</v>
      </c>
      <c r="P5467" s="20">
        <v>126</v>
      </c>
      <c r="Q5467" s="20">
        <v>467.11304373017083</v>
      </c>
      <c r="R5467" s="21">
        <v>1</v>
      </c>
      <c r="S5467" s="20">
        <v>467.11304373017083</v>
      </c>
    </row>
    <row r="5468" spans="2:19" ht="15" customHeight="1" x14ac:dyDescent="0.25">
      <c r="B5468" s="2" t="str">
        <f t="shared" si="170"/>
        <v>NSG_Income Eligible_Home Energy Jumpstart_Leave Behind Kit_Shower Timer_0_SF</v>
      </c>
      <c r="C5468" s="2" t="str">
        <f t="shared" si="171"/>
        <v>NSG_Income Eligible_Home Energy Jumpstart_Leave Behind Kit_Shower Timer_0_SF_2025</v>
      </c>
      <c r="D5468" s="19" t="s">
        <v>1787</v>
      </c>
      <c r="E5468" s="19" t="s">
        <v>325</v>
      </c>
      <c r="F5468" s="19" t="s">
        <v>1414</v>
      </c>
      <c r="G5468" s="19" t="s">
        <v>1416</v>
      </c>
      <c r="H5468" s="19" t="s">
        <v>1031</v>
      </c>
      <c r="I5468" s="19">
        <v>0</v>
      </c>
      <c r="J5468" s="19" t="s">
        <v>1033</v>
      </c>
      <c r="K5468" s="19" t="s">
        <v>409</v>
      </c>
      <c r="L5468" s="19">
        <v>2025</v>
      </c>
      <c r="M5468" s="20">
        <v>1</v>
      </c>
      <c r="N5468" s="19" t="s">
        <v>1795</v>
      </c>
      <c r="O5468" s="20">
        <v>151</v>
      </c>
      <c r="P5468" s="20">
        <v>151</v>
      </c>
      <c r="Q5468" s="20">
        <v>559.79420320044278</v>
      </c>
      <c r="R5468" s="21">
        <v>1</v>
      </c>
      <c r="S5468" s="20">
        <v>559.79420320044278</v>
      </c>
    </row>
    <row r="5469" spans="2:19" ht="15" customHeight="1" x14ac:dyDescent="0.25">
      <c r="B5469" s="2" t="str">
        <f t="shared" si="170"/>
        <v>NSG_Income Eligible_Home Energy Jumpstart_Leave Behind Kit_Weatherstripping_0_SF</v>
      </c>
      <c r="C5469" s="2" t="str">
        <f t="shared" si="171"/>
        <v>NSG_Income Eligible_Home Energy Jumpstart_Leave Behind Kit_Weatherstripping_0_SF_2022</v>
      </c>
      <c r="D5469" s="19" t="s">
        <v>1787</v>
      </c>
      <c r="E5469" s="19" t="s">
        <v>325</v>
      </c>
      <c r="F5469" s="19" t="s">
        <v>1414</v>
      </c>
      <c r="G5469" s="19" t="s">
        <v>1416</v>
      </c>
      <c r="H5469" s="19" t="s">
        <v>576</v>
      </c>
      <c r="I5469" s="19">
        <v>0</v>
      </c>
      <c r="J5469" s="19" t="s">
        <v>573</v>
      </c>
      <c r="K5469" s="19" t="s">
        <v>409</v>
      </c>
      <c r="L5469" s="19">
        <v>2022</v>
      </c>
      <c r="M5469" s="20">
        <v>16</v>
      </c>
      <c r="N5469" s="19" t="s">
        <v>1797</v>
      </c>
      <c r="O5469" s="20">
        <v>25</v>
      </c>
      <c r="P5469" s="20">
        <v>400</v>
      </c>
      <c r="Q5469" s="20">
        <v>169.82399999999998</v>
      </c>
      <c r="R5469" s="21">
        <v>1</v>
      </c>
      <c r="S5469" s="20">
        <v>169.82399999999998</v>
      </c>
    </row>
    <row r="5470" spans="2:19" ht="15" customHeight="1" x14ac:dyDescent="0.25">
      <c r="B5470" s="2" t="str">
        <f t="shared" si="170"/>
        <v>NSG_Income Eligible_Home Energy Jumpstart_Leave Behind Kit_Weatherstripping_0_SF</v>
      </c>
      <c r="C5470" s="2" t="str">
        <f t="shared" si="171"/>
        <v>NSG_Income Eligible_Home Energy Jumpstart_Leave Behind Kit_Weatherstripping_0_SF_2023</v>
      </c>
      <c r="D5470" s="19" t="s">
        <v>1787</v>
      </c>
      <c r="E5470" s="19" t="s">
        <v>325</v>
      </c>
      <c r="F5470" s="19" t="s">
        <v>1414</v>
      </c>
      <c r="G5470" s="19" t="s">
        <v>1416</v>
      </c>
      <c r="H5470" s="19" t="s">
        <v>576</v>
      </c>
      <c r="I5470" s="19">
        <v>0</v>
      </c>
      <c r="J5470" s="19" t="s">
        <v>573</v>
      </c>
      <c r="K5470" s="19" t="s">
        <v>409</v>
      </c>
      <c r="L5470" s="19">
        <v>2023</v>
      </c>
      <c r="M5470" s="20">
        <v>16</v>
      </c>
      <c r="N5470" s="19" t="s">
        <v>1797</v>
      </c>
      <c r="O5470" s="20">
        <v>63</v>
      </c>
      <c r="P5470" s="20">
        <v>1008</v>
      </c>
      <c r="Q5470" s="20">
        <v>427.95648</v>
      </c>
      <c r="R5470" s="21">
        <v>1</v>
      </c>
      <c r="S5470" s="20">
        <v>427.95648</v>
      </c>
    </row>
    <row r="5471" spans="2:19" ht="15" customHeight="1" x14ac:dyDescent="0.25">
      <c r="B5471" s="2" t="str">
        <f t="shared" si="170"/>
        <v>NSG_Income Eligible_Home Energy Jumpstart_Leave Behind Kit_Weatherstripping_0_SF</v>
      </c>
      <c r="C5471" s="2" t="str">
        <f t="shared" si="171"/>
        <v>NSG_Income Eligible_Home Energy Jumpstart_Leave Behind Kit_Weatherstripping_0_SF_2024</v>
      </c>
      <c r="D5471" s="19" t="s">
        <v>1787</v>
      </c>
      <c r="E5471" s="19" t="s">
        <v>325</v>
      </c>
      <c r="F5471" s="19" t="s">
        <v>1414</v>
      </c>
      <c r="G5471" s="19" t="s">
        <v>1416</v>
      </c>
      <c r="H5471" s="19" t="s">
        <v>576</v>
      </c>
      <c r="I5471" s="19">
        <v>0</v>
      </c>
      <c r="J5471" s="19" t="s">
        <v>573</v>
      </c>
      <c r="K5471" s="19" t="s">
        <v>409</v>
      </c>
      <c r="L5471" s="19">
        <v>2024</v>
      </c>
      <c r="M5471" s="20">
        <v>16</v>
      </c>
      <c r="N5471" s="19" t="s">
        <v>1797</v>
      </c>
      <c r="O5471" s="20">
        <v>126</v>
      </c>
      <c r="P5471" s="20">
        <v>2016</v>
      </c>
      <c r="Q5471" s="20">
        <v>855.91296</v>
      </c>
      <c r="R5471" s="21">
        <v>1</v>
      </c>
      <c r="S5471" s="20">
        <v>855.91296</v>
      </c>
    </row>
    <row r="5472" spans="2:19" ht="15" customHeight="1" x14ac:dyDescent="0.25">
      <c r="B5472" s="2" t="str">
        <f t="shared" si="170"/>
        <v>NSG_Income Eligible_Home Energy Jumpstart_Leave Behind Kit_Weatherstripping_0_SF</v>
      </c>
      <c r="C5472" s="2" t="str">
        <f t="shared" si="171"/>
        <v>NSG_Income Eligible_Home Energy Jumpstart_Leave Behind Kit_Weatherstripping_0_SF_2025</v>
      </c>
      <c r="D5472" s="19" t="s">
        <v>1787</v>
      </c>
      <c r="E5472" s="19" t="s">
        <v>325</v>
      </c>
      <c r="F5472" s="19" t="s">
        <v>1414</v>
      </c>
      <c r="G5472" s="19" t="s">
        <v>1416</v>
      </c>
      <c r="H5472" s="19" t="s">
        <v>576</v>
      </c>
      <c r="I5472" s="19">
        <v>0</v>
      </c>
      <c r="J5472" s="19" t="s">
        <v>573</v>
      </c>
      <c r="K5472" s="19" t="s">
        <v>409</v>
      </c>
      <c r="L5472" s="19">
        <v>2025</v>
      </c>
      <c r="M5472" s="20">
        <v>16</v>
      </c>
      <c r="N5472" s="19" t="s">
        <v>1797</v>
      </c>
      <c r="O5472" s="20">
        <v>151</v>
      </c>
      <c r="P5472" s="20">
        <v>2416</v>
      </c>
      <c r="Q5472" s="20">
        <v>1025.73696</v>
      </c>
      <c r="R5472" s="21">
        <v>1</v>
      </c>
      <c r="S5472" s="20">
        <v>1025.73696</v>
      </c>
    </row>
    <row r="5473" spans="2:19" ht="15" customHeight="1" x14ac:dyDescent="0.25">
      <c r="B5473" s="2" t="str">
        <f t="shared" si="170"/>
        <v>NSG_Income Eligible_Home Energy Jumpstart_Leave Behind Kit_Door Sweep_0_SF</v>
      </c>
      <c r="C5473" s="2" t="str">
        <f t="shared" si="171"/>
        <v>NSG_Income Eligible_Home Energy Jumpstart_Leave Behind Kit_Door Sweep_0_SF_2022</v>
      </c>
      <c r="D5473" s="19" t="s">
        <v>1787</v>
      </c>
      <c r="E5473" s="19" t="s">
        <v>325</v>
      </c>
      <c r="F5473" s="19" t="s">
        <v>1414</v>
      </c>
      <c r="G5473" s="19" t="s">
        <v>1416</v>
      </c>
      <c r="H5473" s="19" t="s">
        <v>6</v>
      </c>
      <c r="I5473" s="19">
        <v>0</v>
      </c>
      <c r="J5473" s="19" t="s">
        <v>573</v>
      </c>
      <c r="K5473" s="19" t="s">
        <v>409</v>
      </c>
      <c r="L5473" s="19">
        <v>2022</v>
      </c>
      <c r="M5473" s="20">
        <v>1</v>
      </c>
      <c r="N5473" s="19" t="s">
        <v>1798</v>
      </c>
      <c r="O5473" s="20">
        <v>25</v>
      </c>
      <c r="P5473" s="20">
        <v>25</v>
      </c>
      <c r="Q5473" s="20">
        <v>158.86200000000002</v>
      </c>
      <c r="R5473" s="21">
        <v>1</v>
      </c>
      <c r="S5473" s="20">
        <v>158.86200000000002</v>
      </c>
    </row>
    <row r="5474" spans="2:19" ht="15" customHeight="1" x14ac:dyDescent="0.25">
      <c r="B5474" s="2" t="str">
        <f t="shared" si="170"/>
        <v>NSG_Income Eligible_Home Energy Jumpstart_Leave Behind Kit_Door Sweep_0_SF</v>
      </c>
      <c r="C5474" s="2" t="str">
        <f t="shared" si="171"/>
        <v>NSG_Income Eligible_Home Energy Jumpstart_Leave Behind Kit_Door Sweep_0_SF_2023</v>
      </c>
      <c r="D5474" s="19" t="s">
        <v>1787</v>
      </c>
      <c r="E5474" s="19" t="s">
        <v>325</v>
      </c>
      <c r="F5474" s="19" t="s">
        <v>1414</v>
      </c>
      <c r="G5474" s="19" t="s">
        <v>1416</v>
      </c>
      <c r="H5474" s="19" t="s">
        <v>6</v>
      </c>
      <c r="I5474" s="19">
        <v>0</v>
      </c>
      <c r="J5474" s="19" t="s">
        <v>573</v>
      </c>
      <c r="K5474" s="19" t="s">
        <v>409</v>
      </c>
      <c r="L5474" s="19">
        <v>2023</v>
      </c>
      <c r="M5474" s="20">
        <v>1</v>
      </c>
      <c r="N5474" s="19" t="s">
        <v>1798</v>
      </c>
      <c r="O5474" s="20">
        <v>63</v>
      </c>
      <c r="P5474" s="20">
        <v>63</v>
      </c>
      <c r="Q5474" s="20">
        <v>400.33224000000001</v>
      </c>
      <c r="R5474" s="21">
        <v>1</v>
      </c>
      <c r="S5474" s="20">
        <v>400.33224000000001</v>
      </c>
    </row>
    <row r="5475" spans="2:19" ht="15" customHeight="1" x14ac:dyDescent="0.25">
      <c r="B5475" s="2" t="str">
        <f t="shared" si="170"/>
        <v>NSG_Income Eligible_Home Energy Jumpstart_Leave Behind Kit_Door Sweep_0_SF</v>
      </c>
      <c r="C5475" s="2" t="str">
        <f t="shared" si="171"/>
        <v>NSG_Income Eligible_Home Energy Jumpstart_Leave Behind Kit_Door Sweep_0_SF_2024</v>
      </c>
      <c r="D5475" s="19" t="s">
        <v>1787</v>
      </c>
      <c r="E5475" s="19" t="s">
        <v>325</v>
      </c>
      <c r="F5475" s="19" t="s">
        <v>1414</v>
      </c>
      <c r="G5475" s="19" t="s">
        <v>1416</v>
      </c>
      <c r="H5475" s="19" t="s">
        <v>6</v>
      </c>
      <c r="I5475" s="19">
        <v>0</v>
      </c>
      <c r="J5475" s="19" t="s">
        <v>573</v>
      </c>
      <c r="K5475" s="19" t="s">
        <v>409</v>
      </c>
      <c r="L5475" s="19">
        <v>2024</v>
      </c>
      <c r="M5475" s="20">
        <v>1</v>
      </c>
      <c r="N5475" s="19" t="s">
        <v>1798</v>
      </c>
      <c r="O5475" s="20">
        <v>126</v>
      </c>
      <c r="P5475" s="20">
        <v>126</v>
      </c>
      <c r="Q5475" s="20">
        <v>800.66448000000003</v>
      </c>
      <c r="R5475" s="21">
        <v>1</v>
      </c>
      <c r="S5475" s="20">
        <v>800.66448000000003</v>
      </c>
    </row>
    <row r="5476" spans="2:19" ht="15" customHeight="1" x14ac:dyDescent="0.25">
      <c r="B5476" s="2" t="str">
        <f t="shared" si="170"/>
        <v>NSG_Income Eligible_Home Energy Jumpstart_Leave Behind Kit_Door Sweep_0_SF</v>
      </c>
      <c r="C5476" s="2" t="str">
        <f t="shared" si="171"/>
        <v>NSG_Income Eligible_Home Energy Jumpstart_Leave Behind Kit_Door Sweep_0_SF_2025</v>
      </c>
      <c r="D5476" s="19" t="s">
        <v>1787</v>
      </c>
      <c r="E5476" s="19" t="s">
        <v>325</v>
      </c>
      <c r="F5476" s="19" t="s">
        <v>1414</v>
      </c>
      <c r="G5476" s="19" t="s">
        <v>1416</v>
      </c>
      <c r="H5476" s="19" t="s">
        <v>6</v>
      </c>
      <c r="I5476" s="19">
        <v>0</v>
      </c>
      <c r="J5476" s="19" t="s">
        <v>573</v>
      </c>
      <c r="K5476" s="19" t="s">
        <v>409</v>
      </c>
      <c r="L5476" s="19">
        <v>2025</v>
      </c>
      <c r="M5476" s="20">
        <v>1</v>
      </c>
      <c r="N5476" s="19" t="s">
        <v>1798</v>
      </c>
      <c r="O5476" s="20">
        <v>151</v>
      </c>
      <c r="P5476" s="20">
        <v>151</v>
      </c>
      <c r="Q5476" s="20">
        <v>959.52648000000011</v>
      </c>
      <c r="R5476" s="21">
        <v>1</v>
      </c>
      <c r="S5476" s="20">
        <v>959.52648000000011</v>
      </c>
    </row>
    <row r="5477" spans="2:19" ht="15" customHeight="1" x14ac:dyDescent="0.25">
      <c r="B5477" s="2" t="str">
        <f t="shared" si="170"/>
        <v>PGL_Income Eligible_Outreach and Education_Elementary Energy Education_Energy Education Kits_0_SF</v>
      </c>
      <c r="C5477" s="2" t="str">
        <f t="shared" si="171"/>
        <v>PGL_Income Eligible_Outreach and Education_Elementary Energy Education_Energy Education Kits_0_SF_2022</v>
      </c>
      <c r="D5477" s="19" t="s">
        <v>1794</v>
      </c>
      <c r="E5477" s="19" t="s">
        <v>325</v>
      </c>
      <c r="F5477" s="19" t="s">
        <v>1419</v>
      </c>
      <c r="G5477" s="19" t="s">
        <v>1420</v>
      </c>
      <c r="H5477" s="19" t="s">
        <v>1421</v>
      </c>
      <c r="I5477" s="19">
        <v>0</v>
      </c>
      <c r="J5477" s="19" t="s">
        <v>1469</v>
      </c>
      <c r="K5477" s="19" t="s">
        <v>409</v>
      </c>
      <c r="L5477" s="19">
        <v>2022</v>
      </c>
      <c r="M5477" s="20">
        <v>1</v>
      </c>
      <c r="N5477" s="19" t="s">
        <v>505</v>
      </c>
      <c r="O5477" s="20">
        <v>19200</v>
      </c>
      <c r="P5477" s="20">
        <v>19200</v>
      </c>
      <c r="Q5477" s="20">
        <v>318097.47821034282</v>
      </c>
      <c r="R5477" s="21">
        <v>1</v>
      </c>
      <c r="S5477" s="20">
        <v>318097.47821034282</v>
      </c>
    </row>
    <row r="5478" spans="2:19" ht="15" customHeight="1" x14ac:dyDescent="0.25">
      <c r="B5478" s="2" t="str">
        <f t="shared" si="170"/>
        <v>PGL_Income Eligible_Outreach and Education_Elementary Energy Education_Energy Education Kits_0_SF</v>
      </c>
      <c r="C5478" s="2" t="str">
        <f t="shared" si="171"/>
        <v>PGL_Income Eligible_Outreach and Education_Elementary Energy Education_Energy Education Kits_0_SF_2023</v>
      </c>
      <c r="D5478" s="19" t="s">
        <v>1794</v>
      </c>
      <c r="E5478" s="19" t="s">
        <v>325</v>
      </c>
      <c r="F5478" s="19" t="s">
        <v>1419</v>
      </c>
      <c r="G5478" s="19" t="s">
        <v>1420</v>
      </c>
      <c r="H5478" s="19" t="s">
        <v>1421</v>
      </c>
      <c r="I5478" s="19">
        <v>0</v>
      </c>
      <c r="J5478" s="19" t="s">
        <v>1469</v>
      </c>
      <c r="K5478" s="19" t="s">
        <v>409</v>
      </c>
      <c r="L5478" s="19">
        <v>2023</v>
      </c>
      <c r="M5478" s="20">
        <v>1</v>
      </c>
      <c r="N5478" s="19" t="s">
        <v>505</v>
      </c>
      <c r="O5478" s="20">
        <v>19200</v>
      </c>
      <c r="P5478" s="20">
        <v>19200</v>
      </c>
      <c r="Q5478" s="20">
        <v>318097.47821034282</v>
      </c>
      <c r="R5478" s="21">
        <v>1</v>
      </c>
      <c r="S5478" s="20">
        <v>318097.47821034282</v>
      </c>
    </row>
    <row r="5479" spans="2:19" ht="15" customHeight="1" x14ac:dyDescent="0.25">
      <c r="B5479" s="2" t="str">
        <f t="shared" si="170"/>
        <v>PGL_Income Eligible_Outreach and Education_Elementary Energy Education_Energy Education Kits_0_SF</v>
      </c>
      <c r="C5479" s="2" t="str">
        <f t="shared" si="171"/>
        <v>PGL_Income Eligible_Outreach and Education_Elementary Energy Education_Energy Education Kits_0_SF_2024</v>
      </c>
      <c r="D5479" s="19" t="s">
        <v>1794</v>
      </c>
      <c r="E5479" s="19" t="s">
        <v>325</v>
      </c>
      <c r="F5479" s="19" t="s">
        <v>1419</v>
      </c>
      <c r="G5479" s="19" t="s">
        <v>1420</v>
      </c>
      <c r="H5479" s="19" t="s">
        <v>1421</v>
      </c>
      <c r="I5479" s="19">
        <v>0</v>
      </c>
      <c r="J5479" s="19" t="s">
        <v>1469</v>
      </c>
      <c r="K5479" s="19" t="s">
        <v>409</v>
      </c>
      <c r="L5479" s="19">
        <v>2024</v>
      </c>
      <c r="M5479" s="20">
        <v>1</v>
      </c>
      <c r="N5479" s="19" t="s">
        <v>505</v>
      </c>
      <c r="O5479" s="20">
        <v>19200</v>
      </c>
      <c r="P5479" s="20">
        <v>19200</v>
      </c>
      <c r="Q5479" s="20">
        <v>318097.47821034282</v>
      </c>
      <c r="R5479" s="21">
        <v>1</v>
      </c>
      <c r="S5479" s="20">
        <v>318097.47821034282</v>
      </c>
    </row>
    <row r="5480" spans="2:19" ht="15" customHeight="1" x14ac:dyDescent="0.25">
      <c r="B5480" s="2" t="str">
        <f t="shared" si="170"/>
        <v>PGL_Income Eligible_Outreach and Education_Elementary Energy Education_Energy Education Kits_0_SF</v>
      </c>
      <c r="C5480" s="2" t="str">
        <f t="shared" si="171"/>
        <v>PGL_Income Eligible_Outreach and Education_Elementary Energy Education_Energy Education Kits_0_SF_2025</v>
      </c>
      <c r="D5480" s="19" t="s">
        <v>1794</v>
      </c>
      <c r="E5480" s="19" t="s">
        <v>325</v>
      </c>
      <c r="F5480" s="19" t="s">
        <v>1419</v>
      </c>
      <c r="G5480" s="19" t="s">
        <v>1420</v>
      </c>
      <c r="H5480" s="19" t="s">
        <v>1421</v>
      </c>
      <c r="I5480" s="19">
        <v>0</v>
      </c>
      <c r="J5480" s="19" t="s">
        <v>1469</v>
      </c>
      <c r="K5480" s="19" t="s">
        <v>409</v>
      </c>
      <c r="L5480" s="19">
        <v>2025</v>
      </c>
      <c r="M5480" s="20">
        <v>1</v>
      </c>
      <c r="N5480" s="19" t="s">
        <v>505</v>
      </c>
      <c r="O5480" s="20">
        <v>19200</v>
      </c>
      <c r="P5480" s="20">
        <v>19200</v>
      </c>
      <c r="Q5480" s="20">
        <v>318097.47821034282</v>
      </c>
      <c r="R5480" s="21">
        <v>1</v>
      </c>
      <c r="S5480" s="20">
        <v>318097.47821034282</v>
      </c>
    </row>
    <row r="5481" spans="2:19" ht="15" customHeight="1" x14ac:dyDescent="0.25">
      <c r="B5481" s="2" t="str">
        <f t="shared" si="170"/>
        <v>NSG_Income Eligible_Outreach and Education_Elementary Energy Education_Energy Education Kits_0_SF</v>
      </c>
      <c r="C5481" s="2" t="str">
        <f t="shared" si="171"/>
        <v>NSG_Income Eligible_Outreach and Education_Elementary Energy Education_Energy Education Kits_0_SF_2022</v>
      </c>
      <c r="D5481" s="19" t="s">
        <v>1787</v>
      </c>
      <c r="E5481" s="19" t="s">
        <v>325</v>
      </c>
      <c r="F5481" s="19" t="s">
        <v>1419</v>
      </c>
      <c r="G5481" s="19" t="s">
        <v>1420</v>
      </c>
      <c r="H5481" s="19" t="s">
        <v>1421</v>
      </c>
      <c r="I5481" s="19">
        <v>0</v>
      </c>
      <c r="J5481" s="19" t="s">
        <v>1469</v>
      </c>
      <c r="K5481" s="19" t="s">
        <v>409</v>
      </c>
      <c r="L5481" s="19">
        <v>2022</v>
      </c>
      <c r="M5481" s="20">
        <v>1</v>
      </c>
      <c r="N5481" s="19" t="s">
        <v>505</v>
      </c>
      <c r="O5481" s="20">
        <v>760</v>
      </c>
      <c r="P5481" s="20">
        <v>760</v>
      </c>
      <c r="Q5481" s="20">
        <v>13725.64453125</v>
      </c>
      <c r="R5481" s="21">
        <v>1</v>
      </c>
      <c r="S5481" s="20">
        <v>13725.64453125</v>
      </c>
    </row>
    <row r="5482" spans="2:19" ht="15" customHeight="1" x14ac:dyDescent="0.25">
      <c r="B5482" s="2" t="str">
        <f t="shared" si="170"/>
        <v>NSG_Income Eligible_Outreach and Education_Elementary Energy Education_Energy Education Kits_0_SF</v>
      </c>
      <c r="C5482" s="2" t="str">
        <f t="shared" si="171"/>
        <v>NSG_Income Eligible_Outreach and Education_Elementary Energy Education_Energy Education Kits_0_SF_2023</v>
      </c>
      <c r="D5482" s="19" t="s">
        <v>1787</v>
      </c>
      <c r="E5482" s="19" t="s">
        <v>325</v>
      </c>
      <c r="F5482" s="19" t="s">
        <v>1419</v>
      </c>
      <c r="G5482" s="19" t="s">
        <v>1420</v>
      </c>
      <c r="H5482" s="19" t="s">
        <v>1421</v>
      </c>
      <c r="I5482" s="19">
        <v>0</v>
      </c>
      <c r="J5482" s="19" t="s">
        <v>1469</v>
      </c>
      <c r="K5482" s="19" t="s">
        <v>409</v>
      </c>
      <c r="L5482" s="19">
        <v>2023</v>
      </c>
      <c r="M5482" s="20">
        <v>1</v>
      </c>
      <c r="N5482" s="19" t="s">
        <v>505</v>
      </c>
      <c r="O5482" s="20">
        <v>760</v>
      </c>
      <c r="P5482" s="20">
        <v>760</v>
      </c>
      <c r="Q5482" s="20">
        <v>13725.64453125</v>
      </c>
      <c r="R5482" s="21">
        <v>1</v>
      </c>
      <c r="S5482" s="20">
        <v>13725.64453125</v>
      </c>
    </row>
    <row r="5483" spans="2:19" ht="15" customHeight="1" x14ac:dyDescent="0.25">
      <c r="B5483" s="2" t="str">
        <f t="shared" si="170"/>
        <v>NSG_Income Eligible_Outreach and Education_Elementary Energy Education_Energy Education Kits_0_SF</v>
      </c>
      <c r="C5483" s="2" t="str">
        <f t="shared" si="171"/>
        <v>NSG_Income Eligible_Outreach and Education_Elementary Energy Education_Energy Education Kits_0_SF_2024</v>
      </c>
      <c r="D5483" s="19" t="s">
        <v>1787</v>
      </c>
      <c r="E5483" s="19" t="s">
        <v>325</v>
      </c>
      <c r="F5483" s="19" t="s">
        <v>1419</v>
      </c>
      <c r="G5483" s="19" t="s">
        <v>1420</v>
      </c>
      <c r="H5483" s="19" t="s">
        <v>1421</v>
      </c>
      <c r="I5483" s="19">
        <v>0</v>
      </c>
      <c r="J5483" s="19" t="s">
        <v>1469</v>
      </c>
      <c r="K5483" s="19" t="s">
        <v>409</v>
      </c>
      <c r="L5483" s="19">
        <v>2024</v>
      </c>
      <c r="M5483" s="20">
        <v>1</v>
      </c>
      <c r="N5483" s="19" t="s">
        <v>505</v>
      </c>
      <c r="O5483" s="20">
        <v>760</v>
      </c>
      <c r="P5483" s="20">
        <v>760</v>
      </c>
      <c r="Q5483" s="20">
        <v>13725.64453125</v>
      </c>
      <c r="R5483" s="21">
        <v>1</v>
      </c>
      <c r="S5483" s="20">
        <v>13725.64453125</v>
      </c>
    </row>
    <row r="5484" spans="2:19" ht="15" customHeight="1" x14ac:dyDescent="0.25">
      <c r="B5484" s="2" t="str">
        <f t="shared" si="170"/>
        <v>NSG_Income Eligible_Outreach and Education_Elementary Energy Education_Energy Education Kits_0_SF</v>
      </c>
      <c r="C5484" s="2" t="str">
        <f t="shared" si="171"/>
        <v>NSG_Income Eligible_Outreach and Education_Elementary Energy Education_Energy Education Kits_0_SF_2025</v>
      </c>
      <c r="D5484" s="19" t="s">
        <v>1787</v>
      </c>
      <c r="E5484" s="19" t="s">
        <v>325</v>
      </c>
      <c r="F5484" s="19" t="s">
        <v>1419</v>
      </c>
      <c r="G5484" s="19" t="s">
        <v>1420</v>
      </c>
      <c r="H5484" s="19" t="s">
        <v>1421</v>
      </c>
      <c r="I5484" s="19">
        <v>0</v>
      </c>
      <c r="J5484" s="19" t="s">
        <v>1469</v>
      </c>
      <c r="K5484" s="19" t="s">
        <v>409</v>
      </c>
      <c r="L5484" s="19">
        <v>2025</v>
      </c>
      <c r="M5484" s="20">
        <v>1</v>
      </c>
      <c r="N5484" s="19" t="s">
        <v>505</v>
      </c>
      <c r="O5484" s="20">
        <v>760</v>
      </c>
      <c r="P5484" s="20">
        <v>760</v>
      </c>
      <c r="Q5484" s="20">
        <v>13725.64453125</v>
      </c>
      <c r="R5484" s="21">
        <v>1</v>
      </c>
      <c r="S5484" s="20">
        <v>13725.64453125</v>
      </c>
    </row>
  </sheetData>
  <autoFilter ref="D4:S5484" xr:uid="{A2FA6A46-1684-4C0F-B0CD-4365BFEB1AC7}"/>
  <pageMargins left="0.7" right="0.7" top="0.75" bottom="0.75" header="0.3" footer="0.3"/>
  <pageSetup scale="36"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87022-561A-48B6-8C1E-137AD0115085}">
  <sheetPr codeName="Sheet20">
    <pageSetUpPr autoPageBreaks="0" fitToPage="1"/>
  </sheetPr>
  <dimension ref="A1:DX27750"/>
  <sheetViews>
    <sheetView zoomScaleNormal="100" zoomScaleSheetLayoutView="80" workbookViewId="0">
      <pane ySplit="5" topLeftCell="A6" activePane="bottomLeft" state="frozen"/>
      <selection activeCell="M25" sqref="M25"/>
      <selection pane="bottomLeft"/>
    </sheetView>
  </sheetViews>
  <sheetFormatPr defaultColWidth="9.42578125" defaultRowHeight="15" x14ac:dyDescent="0.25"/>
  <cols>
    <col min="1" max="1" width="7.7109375" customWidth="1"/>
    <col min="2" max="2" width="20.7109375" customWidth="1"/>
    <col min="3" max="3" width="12.7109375" customWidth="1"/>
    <col min="4" max="4" width="10.7109375" customWidth="1"/>
    <col min="5" max="5" width="15.7109375" customWidth="1"/>
    <col min="6" max="6" width="10.7109375" customWidth="1"/>
    <col min="7" max="7" width="12.7109375" customWidth="1"/>
    <col min="8" max="8" width="22.7109375" customWidth="1"/>
    <col min="9" max="9" width="12.7109375" style="298" customWidth="1"/>
    <col min="10" max="10" width="15.7109375" style="298" customWidth="1"/>
    <col min="11" max="11" width="24.7109375" style="298" customWidth="1"/>
  </cols>
  <sheetData>
    <row r="1" spans="1:11" x14ac:dyDescent="0.25">
      <c r="A1" s="261" t="str">
        <f ca="1">IFERROR(VALUE(MID(CELL("filename",$A$1),FIND("]",CELL("filename",$A$1))+1,255)),MID(CELL("filename",$A$1),FIND("]",CELL("filename",$A$1))+1,255))</f>
        <v>Algorithms</v>
      </c>
    </row>
    <row r="2" spans="1:11" x14ac:dyDescent="0.25">
      <c r="A2" s="299" t="str">
        <f>HYPERLINK("#'Contents'!a1","Return to Contents")</f>
        <v>Return to Contents</v>
      </c>
    </row>
    <row r="3" spans="1:11" x14ac:dyDescent="0.25">
      <c r="G3" s="300"/>
    </row>
    <row r="5" spans="1:11" x14ac:dyDescent="0.25">
      <c r="A5" s="261" t="s">
        <v>528</v>
      </c>
      <c r="B5" s="261" t="s">
        <v>80</v>
      </c>
      <c r="C5" s="261" t="s">
        <v>246</v>
      </c>
      <c r="D5" s="261" t="s">
        <v>1</v>
      </c>
      <c r="E5" s="261" t="s">
        <v>529</v>
      </c>
      <c r="F5" s="261" t="s">
        <v>530</v>
      </c>
      <c r="G5" s="261" t="s">
        <v>531</v>
      </c>
      <c r="H5" s="261" t="s">
        <v>532</v>
      </c>
      <c r="I5" s="301" t="s">
        <v>247</v>
      </c>
      <c r="J5" s="301" t="s">
        <v>248</v>
      </c>
      <c r="K5" s="301" t="s">
        <v>220</v>
      </c>
    </row>
    <row r="6" spans="1:11" x14ac:dyDescent="0.25">
      <c r="A6" s="302" t="str">
        <f t="shared" ref="A6:A69" si="0">B6&amp;"_"&amp;C6&amp;"_"&amp;D6&amp;"_"&amp;E6</f>
        <v>Low Flow Kitchen Aerator_0_SF_Efficient GPM</v>
      </c>
      <c r="B6" s="303" t="s">
        <v>533</v>
      </c>
      <c r="C6" s="304">
        <v>0</v>
      </c>
      <c r="D6" s="303" t="s">
        <v>409</v>
      </c>
      <c r="E6" s="305" t="s">
        <v>301</v>
      </c>
      <c r="F6" s="305"/>
      <c r="G6" s="306">
        <v>0.94</v>
      </c>
      <c r="H6" s="305" t="s">
        <v>302</v>
      </c>
      <c r="I6" s="305" t="s">
        <v>152</v>
      </c>
      <c r="J6" s="305" t="s">
        <v>103</v>
      </c>
      <c r="K6" s="305" t="s">
        <v>2317</v>
      </c>
    </row>
    <row r="7" spans="1:11" x14ac:dyDescent="0.25">
      <c r="A7" s="302" t="str">
        <f t="shared" si="0"/>
        <v>Low Flow Kitchen Aerator_0_SF_Baseline GPM</v>
      </c>
      <c r="B7" s="303" t="s">
        <v>533</v>
      </c>
      <c r="C7" s="304">
        <v>0</v>
      </c>
      <c r="D7" s="303" t="s">
        <v>409</v>
      </c>
      <c r="E7" s="305" t="s">
        <v>303</v>
      </c>
      <c r="F7" s="305"/>
      <c r="G7" s="306">
        <v>1.63</v>
      </c>
      <c r="H7" s="305"/>
      <c r="I7" s="305" t="s">
        <v>152</v>
      </c>
      <c r="J7" s="305" t="s">
        <v>103</v>
      </c>
      <c r="K7" s="305" t="s">
        <v>2317</v>
      </c>
    </row>
    <row r="8" spans="1:11" x14ac:dyDescent="0.25">
      <c r="A8" s="302" t="str">
        <f t="shared" si="0"/>
        <v>Low Flow Kitchen Aerator_0_SF_Daily faucet use</v>
      </c>
      <c r="B8" s="303" t="s">
        <v>533</v>
      </c>
      <c r="C8" s="304">
        <v>0</v>
      </c>
      <c r="D8" s="303" t="s">
        <v>409</v>
      </c>
      <c r="E8" s="305" t="s">
        <v>535</v>
      </c>
      <c r="F8" s="305" t="s">
        <v>536</v>
      </c>
      <c r="G8" s="307">
        <v>4.5</v>
      </c>
      <c r="H8" s="305"/>
      <c r="I8" s="305" t="s">
        <v>152</v>
      </c>
      <c r="J8" s="305" t="s">
        <v>103</v>
      </c>
      <c r="K8" s="305" t="s">
        <v>2317</v>
      </c>
    </row>
    <row r="9" spans="1:11" x14ac:dyDescent="0.25">
      <c r="A9" s="302" t="str">
        <f t="shared" si="0"/>
        <v>Low Flow Kitchen Aerator_0_SF_People per Household</v>
      </c>
      <c r="B9" s="303" t="s">
        <v>533</v>
      </c>
      <c r="C9" s="304">
        <v>0</v>
      </c>
      <c r="D9" s="303" t="s">
        <v>409</v>
      </c>
      <c r="E9" s="305" t="s">
        <v>304</v>
      </c>
      <c r="F9" s="305" t="s">
        <v>537</v>
      </c>
      <c r="G9" s="307">
        <v>2.56</v>
      </c>
      <c r="H9" s="305" t="s">
        <v>375</v>
      </c>
      <c r="I9" s="305" t="s">
        <v>152</v>
      </c>
      <c r="J9" s="305" t="s">
        <v>103</v>
      </c>
      <c r="K9" s="305" t="s">
        <v>2317</v>
      </c>
    </row>
    <row r="10" spans="1:11" x14ac:dyDescent="0.25">
      <c r="A10" s="302" t="str">
        <f t="shared" si="0"/>
        <v>Low Flow Kitchen Aerator_0_SF_Days per Year</v>
      </c>
      <c r="B10" s="303" t="s">
        <v>533</v>
      </c>
      <c r="C10" s="304">
        <v>0</v>
      </c>
      <c r="D10" s="303" t="s">
        <v>409</v>
      </c>
      <c r="E10" s="305" t="s">
        <v>263</v>
      </c>
      <c r="F10" s="305" t="s">
        <v>538</v>
      </c>
      <c r="G10" s="306">
        <v>365.25</v>
      </c>
      <c r="H10" s="305"/>
      <c r="I10" s="305" t="s">
        <v>152</v>
      </c>
      <c r="J10" s="305" t="s">
        <v>103</v>
      </c>
      <c r="K10" s="305" t="s">
        <v>2317</v>
      </c>
    </row>
    <row r="11" spans="1:11" x14ac:dyDescent="0.25">
      <c r="A11" s="302" t="str">
        <f t="shared" si="0"/>
        <v>Low Flow Kitchen Aerator_0_SF_Drain Factor</v>
      </c>
      <c r="B11" s="303" t="s">
        <v>533</v>
      </c>
      <c r="C11" s="304">
        <v>0</v>
      </c>
      <c r="D11" s="303" t="s">
        <v>409</v>
      </c>
      <c r="E11" s="305" t="s">
        <v>305</v>
      </c>
      <c r="F11" s="305" t="s">
        <v>539</v>
      </c>
      <c r="G11" s="308">
        <v>0.75</v>
      </c>
      <c r="H11" s="305"/>
      <c r="I11" s="305" t="s">
        <v>152</v>
      </c>
      <c r="J11" s="305" t="s">
        <v>103</v>
      </c>
      <c r="K11" s="305" t="s">
        <v>2317</v>
      </c>
    </row>
    <row r="12" spans="1:11" x14ac:dyDescent="0.25">
      <c r="A12" s="302" t="str">
        <f t="shared" si="0"/>
        <v>Low Flow Kitchen Aerator_0_SF_Faucets per household</v>
      </c>
      <c r="B12" s="303" t="s">
        <v>533</v>
      </c>
      <c r="C12" s="304">
        <v>0</v>
      </c>
      <c r="D12" s="303" t="s">
        <v>409</v>
      </c>
      <c r="E12" s="305" t="s">
        <v>306</v>
      </c>
      <c r="F12" s="305" t="s">
        <v>540</v>
      </c>
      <c r="G12" s="307">
        <v>1</v>
      </c>
      <c r="H12" s="305"/>
      <c r="I12" s="305" t="s">
        <v>152</v>
      </c>
      <c r="J12" s="305" t="s">
        <v>103</v>
      </c>
      <c r="K12" s="305" t="s">
        <v>2317</v>
      </c>
    </row>
    <row r="13" spans="1:11" x14ac:dyDescent="0.25">
      <c r="A13" s="302" t="str">
        <f t="shared" si="0"/>
        <v>Low Flow Kitchen Aerator_0_SF_yWater</v>
      </c>
      <c r="B13" s="303" t="s">
        <v>533</v>
      </c>
      <c r="C13" s="304">
        <v>0</v>
      </c>
      <c r="D13" s="303" t="s">
        <v>409</v>
      </c>
      <c r="E13" s="305" t="s">
        <v>369</v>
      </c>
      <c r="F13" s="309" t="s">
        <v>346</v>
      </c>
      <c r="G13" s="306">
        <v>8.33</v>
      </c>
      <c r="H13" s="305"/>
      <c r="I13" s="305" t="s">
        <v>152</v>
      </c>
      <c r="J13" s="305" t="s">
        <v>103</v>
      </c>
      <c r="K13" s="305" t="s">
        <v>2317</v>
      </c>
    </row>
    <row r="14" spans="1:11" x14ac:dyDescent="0.25">
      <c r="A14" s="302" t="str">
        <f t="shared" si="0"/>
        <v>Low Flow Kitchen Aerator_0_SF_Water Temperature</v>
      </c>
      <c r="B14" s="303" t="s">
        <v>533</v>
      </c>
      <c r="C14" s="304">
        <v>0</v>
      </c>
      <c r="D14" s="303" t="s">
        <v>409</v>
      </c>
      <c r="E14" s="305" t="s">
        <v>541</v>
      </c>
      <c r="F14" s="305" t="s">
        <v>542</v>
      </c>
      <c r="G14" s="307">
        <v>93</v>
      </c>
      <c r="H14" s="305"/>
      <c r="I14" s="305" t="s">
        <v>152</v>
      </c>
      <c r="J14" s="305" t="s">
        <v>103</v>
      </c>
      <c r="K14" s="305" t="s">
        <v>2317</v>
      </c>
    </row>
    <row r="15" spans="1:11" x14ac:dyDescent="0.25">
      <c r="A15" s="302" t="str">
        <f t="shared" si="0"/>
        <v>Low Flow Kitchen Aerator_0_SF_Incoming Water Temperature</v>
      </c>
      <c r="B15" s="303" t="s">
        <v>533</v>
      </c>
      <c r="C15" s="304">
        <v>0</v>
      </c>
      <c r="D15" s="303" t="s">
        <v>409</v>
      </c>
      <c r="E15" s="305" t="s">
        <v>265</v>
      </c>
      <c r="F15" s="305" t="s">
        <v>542</v>
      </c>
      <c r="G15" s="310">
        <v>50.7</v>
      </c>
      <c r="H15" s="311" t="s">
        <v>1916</v>
      </c>
      <c r="I15" s="305" t="s">
        <v>152</v>
      </c>
      <c r="J15" s="305" t="s">
        <v>103</v>
      </c>
      <c r="K15" s="305" t="s">
        <v>2317</v>
      </c>
    </row>
    <row r="16" spans="1:11" x14ac:dyDescent="0.25">
      <c r="A16" s="302" t="str">
        <f t="shared" si="0"/>
        <v>Low Flow Kitchen Aerator_0_SF_RE_Gas</v>
      </c>
      <c r="B16" s="303" t="s">
        <v>533</v>
      </c>
      <c r="C16" s="304">
        <v>0</v>
      </c>
      <c r="D16" s="303" t="s">
        <v>409</v>
      </c>
      <c r="E16" s="305" t="s">
        <v>543</v>
      </c>
      <c r="F16" s="305" t="s">
        <v>539</v>
      </c>
      <c r="G16" s="308">
        <v>0.78</v>
      </c>
      <c r="H16" s="305"/>
      <c r="I16" s="305" t="s">
        <v>152</v>
      </c>
      <c r="J16" s="305" t="s">
        <v>103</v>
      </c>
      <c r="K16" s="305" t="s">
        <v>2317</v>
      </c>
    </row>
    <row r="17" spans="1:11" x14ac:dyDescent="0.25">
      <c r="A17" s="302" t="str">
        <f t="shared" si="0"/>
        <v>Low Flow Kitchen Aerator_0_SF_EPG_Gas</v>
      </c>
      <c r="B17" s="303" t="s">
        <v>533</v>
      </c>
      <c r="C17" s="304">
        <v>0</v>
      </c>
      <c r="D17" s="303" t="s">
        <v>409</v>
      </c>
      <c r="E17" s="305" t="s">
        <v>544</v>
      </c>
      <c r="F17" s="305" t="s">
        <v>545</v>
      </c>
      <c r="G17" s="312">
        <f>G13*1*(G14-G15)/(100000*G16)</f>
        <v>4.5174230769230769E-3</v>
      </c>
      <c r="H17" s="311" t="s">
        <v>1925</v>
      </c>
      <c r="I17" s="305" t="s">
        <v>152</v>
      </c>
      <c r="J17" s="305" t="s">
        <v>103</v>
      </c>
      <c r="K17" s="305" t="s">
        <v>2317</v>
      </c>
    </row>
    <row r="18" spans="1:11" x14ac:dyDescent="0.25">
      <c r="A18" s="302" t="str">
        <f t="shared" si="0"/>
        <v>Low Flow Kitchen Aerator_0_SF_ISR</v>
      </c>
      <c r="B18" s="303" t="s">
        <v>533</v>
      </c>
      <c r="C18" s="304">
        <v>0</v>
      </c>
      <c r="D18" s="303" t="s">
        <v>409</v>
      </c>
      <c r="E18" s="305" t="s">
        <v>267</v>
      </c>
      <c r="F18" s="305" t="s">
        <v>539</v>
      </c>
      <c r="G18" s="313">
        <v>0.93</v>
      </c>
      <c r="H18" s="305" t="s">
        <v>546</v>
      </c>
      <c r="I18" s="305" t="s">
        <v>152</v>
      </c>
      <c r="J18" s="305" t="s">
        <v>103</v>
      </c>
      <c r="K18" s="305" t="s">
        <v>2317</v>
      </c>
    </row>
    <row r="19" spans="1:11" x14ac:dyDescent="0.25">
      <c r="A19" s="302" t="str">
        <f t="shared" si="0"/>
        <v>Low Flow Kitchen Aerator_0_SF_Therm Saved per Unit</v>
      </c>
      <c r="B19" s="303" t="s">
        <v>533</v>
      </c>
      <c r="C19" s="304">
        <v>0</v>
      </c>
      <c r="D19" s="303" t="s">
        <v>409</v>
      </c>
      <c r="E19" s="314" t="s">
        <v>326</v>
      </c>
      <c r="F19" s="314"/>
      <c r="G19" s="315">
        <f>(G7-G6)*G8*G9*G10*G11/G12*G17*G18</f>
        <v>9.148012986691386</v>
      </c>
      <c r="H19" s="305"/>
      <c r="I19" s="305" t="s">
        <v>152</v>
      </c>
      <c r="J19" s="305" t="s">
        <v>103</v>
      </c>
      <c r="K19" s="305" t="s">
        <v>2317</v>
      </c>
    </row>
    <row r="20" spans="1:11" x14ac:dyDescent="0.25">
      <c r="A20" s="302" t="str">
        <f t="shared" si="0"/>
        <v>Low Flow Kitchen Aerator_0_SF_Gallons Saved per Unit</v>
      </c>
      <c r="B20" s="303" t="s">
        <v>533</v>
      </c>
      <c r="C20" s="304">
        <v>0</v>
      </c>
      <c r="D20" s="303" t="s">
        <v>409</v>
      </c>
      <c r="E20" s="314" t="s">
        <v>547</v>
      </c>
      <c r="F20" s="314"/>
      <c r="G20" s="315">
        <f>(G7-G6)*G8*G9*G10*G11/G12*G18</f>
        <v>2025.0511920000001</v>
      </c>
      <c r="H20" s="305"/>
      <c r="I20" s="305" t="s">
        <v>152</v>
      </c>
      <c r="J20" s="305" t="s">
        <v>103</v>
      </c>
      <c r="K20" s="305" t="s">
        <v>2317</v>
      </c>
    </row>
    <row r="21" spans="1:11" x14ac:dyDescent="0.25">
      <c r="A21" s="302" t="str">
        <f t="shared" si="0"/>
        <v>Low Flow Kitchen Aerator_0_SF_Lifetime (years)</v>
      </c>
      <c r="B21" s="303" t="s">
        <v>533</v>
      </c>
      <c r="C21" s="304">
        <v>0</v>
      </c>
      <c r="D21" s="303" t="s">
        <v>409</v>
      </c>
      <c r="E21" s="314" t="s">
        <v>259</v>
      </c>
      <c r="F21" s="314" t="s">
        <v>548</v>
      </c>
      <c r="G21" s="315">
        <v>10</v>
      </c>
      <c r="H21" s="305"/>
      <c r="I21" s="305" t="s">
        <v>152</v>
      </c>
      <c r="J21" s="305" t="s">
        <v>103</v>
      </c>
      <c r="K21" s="305" t="s">
        <v>2317</v>
      </c>
    </row>
    <row r="22" spans="1:11" x14ac:dyDescent="0.25">
      <c r="A22" s="302" t="str">
        <f t="shared" si="0"/>
        <v>Low Flow Kitchen Aerator_0_SF_Incremental Cost</v>
      </c>
      <c r="B22" s="303" t="s">
        <v>533</v>
      </c>
      <c r="C22" s="304">
        <v>0</v>
      </c>
      <c r="D22" s="303" t="s">
        <v>409</v>
      </c>
      <c r="E22" s="314" t="s">
        <v>260</v>
      </c>
      <c r="F22" s="314" t="s">
        <v>549</v>
      </c>
      <c r="G22" s="316">
        <v>8</v>
      </c>
      <c r="H22" s="305" t="s">
        <v>308</v>
      </c>
      <c r="I22" s="305" t="s">
        <v>152</v>
      </c>
      <c r="J22" s="305" t="s">
        <v>103</v>
      </c>
      <c r="K22" s="305" t="s">
        <v>2317</v>
      </c>
    </row>
    <row r="23" spans="1:11" s="321" customFormat="1" x14ac:dyDescent="0.25">
      <c r="A23" s="317" t="str">
        <f t="shared" si="0"/>
        <v>Low Flow Kitchen Aerator_0_SF_</v>
      </c>
      <c r="B23" s="317" t="str">
        <f>B22</f>
        <v>Low Flow Kitchen Aerator</v>
      </c>
      <c r="C23" s="317">
        <f>C22</f>
        <v>0</v>
      </c>
      <c r="D23" s="317" t="str">
        <f>D22</f>
        <v>SF</v>
      </c>
      <c r="E23" s="318"/>
      <c r="F23" s="318"/>
      <c r="G23" s="319"/>
      <c r="H23" s="318"/>
      <c r="I23" s="320"/>
      <c r="J23" s="318"/>
      <c r="K23" s="318"/>
    </row>
    <row r="24" spans="1:11" x14ac:dyDescent="0.25">
      <c r="A24" s="302" t="str">
        <f t="shared" si="0"/>
        <v>Low Flow Kitchen Aerator_IE Kit_IE_Efficient GPM</v>
      </c>
      <c r="B24" s="303" t="s">
        <v>533</v>
      </c>
      <c r="C24" s="304" t="s">
        <v>550</v>
      </c>
      <c r="D24" s="303" t="s">
        <v>551</v>
      </c>
      <c r="E24" s="305" t="s">
        <v>301</v>
      </c>
      <c r="F24" s="305"/>
      <c r="G24" s="306">
        <v>0.94</v>
      </c>
      <c r="H24" s="305" t="s">
        <v>302</v>
      </c>
      <c r="I24" s="305" t="s">
        <v>152</v>
      </c>
      <c r="J24" s="305" t="s">
        <v>103</v>
      </c>
      <c r="K24" s="305" t="s">
        <v>2317</v>
      </c>
    </row>
    <row r="25" spans="1:11" x14ac:dyDescent="0.25">
      <c r="A25" s="302" t="str">
        <f t="shared" si="0"/>
        <v>Low Flow Kitchen Aerator_IE Kit_IE_Baseline GPM</v>
      </c>
      <c r="B25" s="303" t="s">
        <v>533</v>
      </c>
      <c r="C25" s="304" t="s">
        <v>550</v>
      </c>
      <c r="D25" s="303" t="s">
        <v>551</v>
      </c>
      <c r="E25" s="305" t="s">
        <v>303</v>
      </c>
      <c r="F25" s="305"/>
      <c r="G25" s="306">
        <v>1.63</v>
      </c>
      <c r="H25" s="305"/>
      <c r="I25" s="305" t="s">
        <v>152</v>
      </c>
      <c r="J25" s="305" t="s">
        <v>103</v>
      </c>
      <c r="K25" s="305" t="s">
        <v>2317</v>
      </c>
    </row>
    <row r="26" spans="1:11" x14ac:dyDescent="0.25">
      <c r="A26" s="302" t="str">
        <f t="shared" si="0"/>
        <v>Low Flow Kitchen Aerator_IE Kit_IE_Daily faucet use</v>
      </c>
      <c r="B26" s="303" t="s">
        <v>533</v>
      </c>
      <c r="C26" s="304" t="s">
        <v>550</v>
      </c>
      <c r="D26" s="303" t="s">
        <v>551</v>
      </c>
      <c r="E26" s="305" t="s">
        <v>535</v>
      </c>
      <c r="F26" s="305" t="s">
        <v>536</v>
      </c>
      <c r="G26" s="307">
        <v>4.5</v>
      </c>
      <c r="H26" s="305"/>
      <c r="I26" s="305" t="s">
        <v>152</v>
      </c>
      <c r="J26" s="305" t="s">
        <v>103</v>
      </c>
      <c r="K26" s="305" t="s">
        <v>2317</v>
      </c>
    </row>
    <row r="27" spans="1:11" x14ac:dyDescent="0.25">
      <c r="A27" s="302" t="str">
        <f t="shared" si="0"/>
        <v>Low Flow Kitchen Aerator_IE Kit_IE_People per Household</v>
      </c>
      <c r="B27" s="303" t="s">
        <v>533</v>
      </c>
      <c r="C27" s="304" t="s">
        <v>550</v>
      </c>
      <c r="D27" s="303" t="s">
        <v>551</v>
      </c>
      <c r="E27" s="305" t="s">
        <v>304</v>
      </c>
      <c r="F27" s="305" t="s">
        <v>537</v>
      </c>
      <c r="G27" s="307">
        <v>2.56</v>
      </c>
      <c r="H27" s="305" t="s">
        <v>375</v>
      </c>
      <c r="I27" s="305" t="s">
        <v>152</v>
      </c>
      <c r="J27" s="305" t="s">
        <v>103</v>
      </c>
      <c r="K27" s="305" t="s">
        <v>2317</v>
      </c>
    </row>
    <row r="28" spans="1:11" x14ac:dyDescent="0.25">
      <c r="A28" s="302" t="str">
        <f t="shared" si="0"/>
        <v>Low Flow Kitchen Aerator_IE Kit_IE_Days per Year</v>
      </c>
      <c r="B28" s="303" t="s">
        <v>533</v>
      </c>
      <c r="C28" s="304" t="s">
        <v>550</v>
      </c>
      <c r="D28" s="303" t="s">
        <v>551</v>
      </c>
      <c r="E28" s="305" t="s">
        <v>263</v>
      </c>
      <c r="F28" s="305" t="s">
        <v>538</v>
      </c>
      <c r="G28" s="306">
        <v>365.25</v>
      </c>
      <c r="H28" s="305"/>
      <c r="I28" s="305" t="s">
        <v>152</v>
      </c>
      <c r="J28" s="305" t="s">
        <v>103</v>
      </c>
      <c r="K28" s="305" t="s">
        <v>2317</v>
      </c>
    </row>
    <row r="29" spans="1:11" x14ac:dyDescent="0.25">
      <c r="A29" s="302" t="str">
        <f t="shared" si="0"/>
        <v>Low Flow Kitchen Aerator_IE Kit_IE_Drain Factor</v>
      </c>
      <c r="B29" s="303" t="s">
        <v>533</v>
      </c>
      <c r="C29" s="304" t="s">
        <v>550</v>
      </c>
      <c r="D29" s="303" t="s">
        <v>551</v>
      </c>
      <c r="E29" s="305" t="s">
        <v>305</v>
      </c>
      <c r="F29" s="305" t="s">
        <v>539</v>
      </c>
      <c r="G29" s="308">
        <v>0.75</v>
      </c>
      <c r="H29" s="305"/>
      <c r="I29" s="305" t="s">
        <v>152</v>
      </c>
      <c r="J29" s="305" t="s">
        <v>103</v>
      </c>
      <c r="K29" s="305" t="s">
        <v>2317</v>
      </c>
    </row>
    <row r="30" spans="1:11" x14ac:dyDescent="0.25">
      <c r="A30" s="302" t="str">
        <f t="shared" si="0"/>
        <v>Low Flow Kitchen Aerator_IE Kit_IE_Faucets per household</v>
      </c>
      <c r="B30" s="303" t="s">
        <v>533</v>
      </c>
      <c r="C30" s="304" t="s">
        <v>550</v>
      </c>
      <c r="D30" s="303" t="s">
        <v>551</v>
      </c>
      <c r="E30" s="305" t="s">
        <v>306</v>
      </c>
      <c r="F30" s="305" t="s">
        <v>540</v>
      </c>
      <c r="G30" s="307">
        <v>1</v>
      </c>
      <c r="H30" s="305"/>
      <c r="I30" s="305" t="s">
        <v>152</v>
      </c>
      <c r="J30" s="305" t="s">
        <v>103</v>
      </c>
      <c r="K30" s="305" t="s">
        <v>2317</v>
      </c>
    </row>
    <row r="31" spans="1:11" x14ac:dyDescent="0.25">
      <c r="A31" s="302" t="str">
        <f t="shared" si="0"/>
        <v>Low Flow Kitchen Aerator_IE Kit_IE_yWater</v>
      </c>
      <c r="B31" s="303" t="s">
        <v>533</v>
      </c>
      <c r="C31" s="304" t="s">
        <v>550</v>
      </c>
      <c r="D31" s="303" t="s">
        <v>551</v>
      </c>
      <c r="E31" s="305" t="s">
        <v>369</v>
      </c>
      <c r="F31" s="309" t="s">
        <v>346</v>
      </c>
      <c r="G31" s="306">
        <v>8.33</v>
      </c>
      <c r="H31" s="305"/>
      <c r="I31" s="305" t="s">
        <v>152</v>
      </c>
      <c r="J31" s="305" t="s">
        <v>103</v>
      </c>
      <c r="K31" s="305" t="s">
        <v>2317</v>
      </c>
    </row>
    <row r="32" spans="1:11" x14ac:dyDescent="0.25">
      <c r="A32" s="302" t="str">
        <f t="shared" si="0"/>
        <v>Low Flow Kitchen Aerator_IE Kit_IE_Water Temperature</v>
      </c>
      <c r="B32" s="303" t="s">
        <v>533</v>
      </c>
      <c r="C32" s="304" t="s">
        <v>550</v>
      </c>
      <c r="D32" s="303" t="s">
        <v>551</v>
      </c>
      <c r="E32" s="305" t="s">
        <v>541</v>
      </c>
      <c r="F32" s="305" t="s">
        <v>542</v>
      </c>
      <c r="G32" s="307">
        <v>93</v>
      </c>
      <c r="H32" s="305"/>
      <c r="I32" s="305" t="s">
        <v>152</v>
      </c>
      <c r="J32" s="305" t="s">
        <v>103</v>
      </c>
      <c r="K32" s="305" t="s">
        <v>2317</v>
      </c>
    </row>
    <row r="33" spans="1:11" x14ac:dyDescent="0.25">
      <c r="A33" s="302" t="str">
        <f t="shared" si="0"/>
        <v>Low Flow Kitchen Aerator_IE Kit_IE_Incoming Water Temperature</v>
      </c>
      <c r="B33" s="303" t="s">
        <v>533</v>
      </c>
      <c r="C33" s="304" t="s">
        <v>550</v>
      </c>
      <c r="D33" s="303" t="s">
        <v>551</v>
      </c>
      <c r="E33" s="305" t="s">
        <v>265</v>
      </c>
      <c r="F33" s="305" t="s">
        <v>542</v>
      </c>
      <c r="G33" s="310">
        <v>50.7</v>
      </c>
      <c r="H33" s="311" t="s">
        <v>1916</v>
      </c>
      <c r="I33" s="305" t="s">
        <v>152</v>
      </c>
      <c r="J33" s="305" t="s">
        <v>103</v>
      </c>
      <c r="K33" s="305" t="s">
        <v>2317</v>
      </c>
    </row>
    <row r="34" spans="1:11" x14ac:dyDescent="0.25">
      <c r="A34" s="302" t="str">
        <f t="shared" si="0"/>
        <v>Low Flow Kitchen Aerator_IE Kit_IE_RE_Gas</v>
      </c>
      <c r="B34" s="303" t="s">
        <v>533</v>
      </c>
      <c r="C34" s="304" t="s">
        <v>550</v>
      </c>
      <c r="D34" s="303" t="s">
        <v>551</v>
      </c>
      <c r="E34" s="305" t="s">
        <v>543</v>
      </c>
      <c r="F34" s="305" t="s">
        <v>539</v>
      </c>
      <c r="G34" s="308">
        <v>0.78</v>
      </c>
      <c r="H34" s="305" t="s">
        <v>375</v>
      </c>
      <c r="I34" s="305" t="s">
        <v>152</v>
      </c>
      <c r="J34" s="305" t="s">
        <v>103</v>
      </c>
      <c r="K34" s="305" t="s">
        <v>2317</v>
      </c>
    </row>
    <row r="35" spans="1:11" x14ac:dyDescent="0.25">
      <c r="A35" s="302" t="str">
        <f t="shared" si="0"/>
        <v>Low Flow Kitchen Aerator_IE Kit_IE_EPG_Gas</v>
      </c>
      <c r="B35" s="303" t="s">
        <v>533</v>
      </c>
      <c r="C35" s="304" t="s">
        <v>550</v>
      </c>
      <c r="D35" s="303" t="s">
        <v>551</v>
      </c>
      <c r="E35" s="305" t="s">
        <v>544</v>
      </c>
      <c r="F35" s="305" t="s">
        <v>545</v>
      </c>
      <c r="G35" s="312">
        <f>G31*1*(G32-G33)/(100000*G34)</f>
        <v>4.5174230769230769E-3</v>
      </c>
      <c r="H35" s="311" t="s">
        <v>1925</v>
      </c>
      <c r="I35" s="305" t="s">
        <v>152</v>
      </c>
      <c r="J35" s="305" t="s">
        <v>103</v>
      </c>
      <c r="K35" s="305" t="s">
        <v>2317</v>
      </c>
    </row>
    <row r="36" spans="1:11" x14ac:dyDescent="0.25">
      <c r="A36" s="302" t="str">
        <f t="shared" si="0"/>
        <v>Low Flow Kitchen Aerator_IE Kit_IE_ISR</v>
      </c>
      <c r="B36" s="303" t="s">
        <v>533</v>
      </c>
      <c r="C36" s="304" t="s">
        <v>550</v>
      </c>
      <c r="D36" s="303" t="s">
        <v>551</v>
      </c>
      <c r="E36" s="305" t="s">
        <v>267</v>
      </c>
      <c r="F36" s="305" t="s">
        <v>539</v>
      </c>
      <c r="G36" s="322">
        <v>0.55000000000000004</v>
      </c>
      <c r="H36" s="311" t="s">
        <v>1943</v>
      </c>
      <c r="I36" s="305"/>
      <c r="J36" s="305"/>
      <c r="K36" s="305"/>
    </row>
    <row r="37" spans="1:11" x14ac:dyDescent="0.25">
      <c r="A37" s="302" t="str">
        <f t="shared" si="0"/>
        <v>Low Flow Kitchen Aerator_IE Kit_IE_Therm Saved per Unit</v>
      </c>
      <c r="B37" s="303" t="s">
        <v>533</v>
      </c>
      <c r="C37" s="304" t="s">
        <v>550</v>
      </c>
      <c r="D37" s="303" t="s">
        <v>551</v>
      </c>
      <c r="E37" s="314" t="s">
        <v>326</v>
      </c>
      <c r="F37" s="314"/>
      <c r="G37" s="315">
        <f>(G25-G24)*G26*G27*G28*G29/G30*G35*G36</f>
        <v>5.4101152071830771</v>
      </c>
      <c r="H37" s="305"/>
      <c r="I37" s="305" t="s">
        <v>152</v>
      </c>
      <c r="J37" s="305" t="s">
        <v>103</v>
      </c>
      <c r="K37" s="305" t="s">
        <v>2317</v>
      </c>
    </row>
    <row r="38" spans="1:11" x14ac:dyDescent="0.25">
      <c r="A38" s="302" t="str">
        <f t="shared" si="0"/>
        <v>Low Flow Kitchen Aerator_IE Kit_IE_Gallons Saved per Unit</v>
      </c>
      <c r="B38" s="303" t="s">
        <v>533</v>
      </c>
      <c r="C38" s="304" t="s">
        <v>550</v>
      </c>
      <c r="D38" s="303" t="s">
        <v>551</v>
      </c>
      <c r="E38" s="314" t="s">
        <v>547</v>
      </c>
      <c r="F38" s="314"/>
      <c r="G38" s="315">
        <f>(G25-G24)*G26*G27*G28*G29/G30*G36</f>
        <v>1197.6109200000001</v>
      </c>
      <c r="H38" s="305"/>
      <c r="I38" s="305" t="s">
        <v>152</v>
      </c>
      <c r="J38" s="305" t="s">
        <v>103</v>
      </c>
      <c r="K38" s="305" t="s">
        <v>2317</v>
      </c>
    </row>
    <row r="39" spans="1:11" x14ac:dyDescent="0.25">
      <c r="A39" s="302" t="str">
        <f t="shared" si="0"/>
        <v>Low Flow Kitchen Aerator_IE Kit_IE_Lifetime (years)</v>
      </c>
      <c r="B39" s="303" t="s">
        <v>533</v>
      </c>
      <c r="C39" s="304" t="s">
        <v>550</v>
      </c>
      <c r="D39" s="303" t="s">
        <v>551</v>
      </c>
      <c r="E39" s="314" t="s">
        <v>259</v>
      </c>
      <c r="F39" s="314" t="s">
        <v>548</v>
      </c>
      <c r="G39" s="315">
        <v>10</v>
      </c>
      <c r="H39" s="305"/>
      <c r="I39" s="305" t="s">
        <v>152</v>
      </c>
      <c r="J39" s="305" t="s">
        <v>103</v>
      </c>
      <c r="K39" s="305" t="s">
        <v>2317</v>
      </c>
    </row>
    <row r="40" spans="1:11" x14ac:dyDescent="0.25">
      <c r="A40" s="302" t="str">
        <f t="shared" si="0"/>
        <v>Low Flow Kitchen Aerator_IE Kit_IE_Incremental Cost</v>
      </c>
      <c r="B40" s="303" t="s">
        <v>533</v>
      </c>
      <c r="C40" s="304" t="s">
        <v>550</v>
      </c>
      <c r="D40" s="303" t="s">
        <v>551</v>
      </c>
      <c r="E40" s="314" t="s">
        <v>260</v>
      </c>
      <c r="F40" s="314" t="s">
        <v>549</v>
      </c>
      <c r="G40" s="316">
        <v>0</v>
      </c>
      <c r="H40" s="305" t="s">
        <v>552</v>
      </c>
      <c r="I40" s="305" t="s">
        <v>152</v>
      </c>
      <c r="J40" s="305" t="s">
        <v>103</v>
      </c>
      <c r="K40" s="305" t="s">
        <v>2317</v>
      </c>
    </row>
    <row r="41" spans="1:11" s="321" customFormat="1" x14ac:dyDescent="0.25">
      <c r="A41" s="317" t="str">
        <f t="shared" si="0"/>
        <v>Low Flow Kitchen Aerator_IE Kit_IE_</v>
      </c>
      <c r="B41" s="317" t="str">
        <f>B40</f>
        <v>Low Flow Kitchen Aerator</v>
      </c>
      <c r="C41" s="317" t="str">
        <f>C40</f>
        <v>IE Kit</v>
      </c>
      <c r="D41" s="317" t="str">
        <f>D40</f>
        <v>IE</v>
      </c>
      <c r="E41" s="318"/>
      <c r="F41" s="318"/>
      <c r="G41" s="319"/>
      <c r="H41" s="318"/>
      <c r="I41" s="320"/>
      <c r="J41" s="318"/>
      <c r="K41" s="318"/>
    </row>
    <row r="42" spans="1:11" x14ac:dyDescent="0.25">
      <c r="A42" s="302" t="str">
        <f t="shared" si="0"/>
        <v>Low Flow Kitchen Aerator_0_MF_Efficient GPM</v>
      </c>
      <c r="B42" s="303" t="s">
        <v>533</v>
      </c>
      <c r="C42" s="304">
        <v>0</v>
      </c>
      <c r="D42" s="303" t="s">
        <v>553</v>
      </c>
      <c r="E42" s="305" t="s">
        <v>301</v>
      </c>
      <c r="F42" s="305"/>
      <c r="G42" s="306">
        <v>0.94</v>
      </c>
      <c r="H42" s="305" t="s">
        <v>302</v>
      </c>
      <c r="I42" s="305" t="s">
        <v>152</v>
      </c>
      <c r="J42" s="305" t="s">
        <v>103</v>
      </c>
      <c r="K42" s="305" t="s">
        <v>2317</v>
      </c>
    </row>
    <row r="43" spans="1:11" x14ac:dyDescent="0.25">
      <c r="A43" s="302" t="str">
        <f t="shared" si="0"/>
        <v>Low Flow Kitchen Aerator_0_MF_Baseline GPM</v>
      </c>
      <c r="B43" s="303" t="s">
        <v>533</v>
      </c>
      <c r="C43" s="304">
        <v>0</v>
      </c>
      <c r="D43" s="303" t="s">
        <v>553</v>
      </c>
      <c r="E43" s="305" t="s">
        <v>303</v>
      </c>
      <c r="F43" s="305"/>
      <c r="G43" s="306">
        <v>1.63</v>
      </c>
      <c r="H43" s="305"/>
      <c r="I43" s="305" t="s">
        <v>152</v>
      </c>
      <c r="J43" s="305" t="s">
        <v>103</v>
      </c>
      <c r="K43" s="305" t="s">
        <v>2317</v>
      </c>
    </row>
    <row r="44" spans="1:11" x14ac:dyDescent="0.25">
      <c r="A44" s="302" t="str">
        <f t="shared" si="0"/>
        <v>Low Flow Kitchen Aerator_0_MF_Daily faucet use</v>
      </c>
      <c r="B44" s="303" t="s">
        <v>533</v>
      </c>
      <c r="C44" s="304">
        <v>0</v>
      </c>
      <c r="D44" s="303" t="s">
        <v>553</v>
      </c>
      <c r="E44" s="305" t="s">
        <v>535</v>
      </c>
      <c r="F44" s="305" t="s">
        <v>536</v>
      </c>
      <c r="G44" s="307">
        <v>4.5</v>
      </c>
      <c r="H44" s="305"/>
      <c r="I44" s="305" t="s">
        <v>152</v>
      </c>
      <c r="J44" s="305" t="s">
        <v>103</v>
      </c>
      <c r="K44" s="305" t="s">
        <v>2317</v>
      </c>
    </row>
    <row r="45" spans="1:11" x14ac:dyDescent="0.25">
      <c r="A45" s="302" t="str">
        <f t="shared" si="0"/>
        <v>Low Flow Kitchen Aerator_0_MF_People per Household</v>
      </c>
      <c r="B45" s="303" t="s">
        <v>533</v>
      </c>
      <c r="C45" s="304">
        <v>0</v>
      </c>
      <c r="D45" s="303" t="s">
        <v>553</v>
      </c>
      <c r="E45" s="305" t="s">
        <v>304</v>
      </c>
      <c r="F45" s="305" t="s">
        <v>537</v>
      </c>
      <c r="G45" s="307">
        <v>2.1</v>
      </c>
      <c r="H45" s="305" t="s">
        <v>553</v>
      </c>
      <c r="I45" s="305" t="s">
        <v>152</v>
      </c>
      <c r="J45" s="305" t="s">
        <v>103</v>
      </c>
      <c r="K45" s="305" t="s">
        <v>2317</v>
      </c>
    </row>
    <row r="46" spans="1:11" x14ac:dyDescent="0.25">
      <c r="A46" s="302" t="str">
        <f t="shared" si="0"/>
        <v>Low Flow Kitchen Aerator_0_MF_Days per Year</v>
      </c>
      <c r="B46" s="303" t="s">
        <v>533</v>
      </c>
      <c r="C46" s="304">
        <v>0</v>
      </c>
      <c r="D46" s="303" t="s">
        <v>553</v>
      </c>
      <c r="E46" s="305" t="s">
        <v>263</v>
      </c>
      <c r="F46" s="305" t="s">
        <v>538</v>
      </c>
      <c r="G46" s="306">
        <v>365.25</v>
      </c>
      <c r="H46" s="305"/>
      <c r="I46" s="305" t="s">
        <v>152</v>
      </c>
      <c r="J46" s="305" t="s">
        <v>103</v>
      </c>
      <c r="K46" s="305" t="s">
        <v>2317</v>
      </c>
    </row>
    <row r="47" spans="1:11" x14ac:dyDescent="0.25">
      <c r="A47" s="302" t="str">
        <f t="shared" si="0"/>
        <v>Low Flow Kitchen Aerator_0_MF_Drain Factor</v>
      </c>
      <c r="B47" s="303" t="s">
        <v>533</v>
      </c>
      <c r="C47" s="304">
        <v>0</v>
      </c>
      <c r="D47" s="303" t="s">
        <v>553</v>
      </c>
      <c r="E47" s="305" t="s">
        <v>305</v>
      </c>
      <c r="F47" s="305" t="s">
        <v>539</v>
      </c>
      <c r="G47" s="308">
        <v>0.75</v>
      </c>
      <c r="H47" s="305"/>
      <c r="I47" s="305" t="s">
        <v>152</v>
      </c>
      <c r="J47" s="305" t="s">
        <v>103</v>
      </c>
      <c r="K47" s="305" t="s">
        <v>2317</v>
      </c>
    </row>
    <row r="48" spans="1:11" x14ac:dyDescent="0.25">
      <c r="A48" s="302" t="str">
        <f t="shared" si="0"/>
        <v>Low Flow Kitchen Aerator_0_MF_Faucets per household</v>
      </c>
      <c r="B48" s="303" t="s">
        <v>533</v>
      </c>
      <c r="C48" s="304">
        <v>0</v>
      </c>
      <c r="D48" s="303" t="s">
        <v>553</v>
      </c>
      <c r="E48" s="305" t="s">
        <v>306</v>
      </c>
      <c r="F48" s="305" t="s">
        <v>540</v>
      </c>
      <c r="G48" s="307">
        <v>1</v>
      </c>
      <c r="H48" s="305"/>
      <c r="I48" s="305" t="s">
        <v>152</v>
      </c>
      <c r="J48" s="305" t="s">
        <v>103</v>
      </c>
      <c r="K48" s="305" t="s">
        <v>2317</v>
      </c>
    </row>
    <row r="49" spans="1:11" x14ac:dyDescent="0.25">
      <c r="A49" s="302" t="str">
        <f t="shared" si="0"/>
        <v>Low Flow Kitchen Aerator_0_MF_yWater</v>
      </c>
      <c r="B49" s="303" t="s">
        <v>533</v>
      </c>
      <c r="C49" s="304">
        <v>0</v>
      </c>
      <c r="D49" s="303" t="s">
        <v>553</v>
      </c>
      <c r="E49" s="305" t="s">
        <v>369</v>
      </c>
      <c r="F49" s="309" t="s">
        <v>346</v>
      </c>
      <c r="G49" s="306">
        <v>8.33</v>
      </c>
      <c r="H49" s="305"/>
      <c r="I49" s="305" t="s">
        <v>152</v>
      </c>
      <c r="J49" s="305" t="s">
        <v>103</v>
      </c>
      <c r="K49" s="305" t="s">
        <v>2317</v>
      </c>
    </row>
    <row r="50" spans="1:11" x14ac:dyDescent="0.25">
      <c r="A50" s="302" t="str">
        <f t="shared" si="0"/>
        <v>Low Flow Kitchen Aerator_0_MF_Water Temperature</v>
      </c>
      <c r="B50" s="303" t="s">
        <v>533</v>
      </c>
      <c r="C50" s="304">
        <v>0</v>
      </c>
      <c r="D50" s="303" t="s">
        <v>553</v>
      </c>
      <c r="E50" s="305" t="s">
        <v>541</v>
      </c>
      <c r="F50" s="305" t="s">
        <v>542</v>
      </c>
      <c r="G50" s="307">
        <v>93</v>
      </c>
      <c r="H50" s="305"/>
      <c r="I50" s="305" t="s">
        <v>152</v>
      </c>
      <c r="J50" s="305" t="s">
        <v>103</v>
      </c>
      <c r="K50" s="305" t="s">
        <v>2317</v>
      </c>
    </row>
    <row r="51" spans="1:11" x14ac:dyDescent="0.25">
      <c r="A51" s="302" t="str">
        <f t="shared" si="0"/>
        <v>Low Flow Kitchen Aerator_0_MF_Incoming Water Temperature</v>
      </c>
      <c r="B51" s="303" t="s">
        <v>533</v>
      </c>
      <c r="C51" s="304">
        <v>0</v>
      </c>
      <c r="D51" s="303" t="s">
        <v>553</v>
      </c>
      <c r="E51" s="305" t="s">
        <v>265</v>
      </c>
      <c r="F51" s="305" t="s">
        <v>542</v>
      </c>
      <c r="G51" s="310">
        <v>50.7</v>
      </c>
      <c r="H51" s="311" t="s">
        <v>1916</v>
      </c>
      <c r="I51" s="305" t="s">
        <v>152</v>
      </c>
      <c r="J51" s="305" t="s">
        <v>103</v>
      </c>
      <c r="K51" s="305" t="s">
        <v>2317</v>
      </c>
    </row>
    <row r="52" spans="1:11" x14ac:dyDescent="0.25">
      <c r="A52" s="302" t="str">
        <f t="shared" si="0"/>
        <v>Low Flow Kitchen Aerator_0_MF_RE_Gas</v>
      </c>
      <c r="B52" s="303" t="s">
        <v>533</v>
      </c>
      <c r="C52" s="304">
        <v>0</v>
      </c>
      <c r="D52" s="303" t="s">
        <v>553</v>
      </c>
      <c r="E52" s="305" t="s">
        <v>543</v>
      </c>
      <c r="F52" s="305" t="s">
        <v>539</v>
      </c>
      <c r="G52" s="308">
        <v>0.67</v>
      </c>
      <c r="H52" s="305"/>
      <c r="I52" s="305" t="s">
        <v>152</v>
      </c>
      <c r="J52" s="305" t="s">
        <v>103</v>
      </c>
      <c r="K52" s="305" t="s">
        <v>2317</v>
      </c>
    </row>
    <row r="53" spans="1:11" x14ac:dyDescent="0.25">
      <c r="A53" s="302" t="str">
        <f t="shared" si="0"/>
        <v>Low Flow Kitchen Aerator_0_MF_EPG_Gas</v>
      </c>
      <c r="B53" s="303" t="s">
        <v>533</v>
      </c>
      <c r="C53" s="304">
        <v>0</v>
      </c>
      <c r="D53" s="303" t="s">
        <v>553</v>
      </c>
      <c r="E53" s="305" t="s">
        <v>544</v>
      </c>
      <c r="F53" s="305" t="s">
        <v>545</v>
      </c>
      <c r="G53" s="312">
        <f>G49*1*(G50-G51)/(100000*G52)</f>
        <v>5.2590895522388057E-3</v>
      </c>
      <c r="H53" s="311" t="s">
        <v>1925</v>
      </c>
      <c r="I53" s="305" t="s">
        <v>152</v>
      </c>
      <c r="J53" s="305" t="s">
        <v>103</v>
      </c>
      <c r="K53" s="305" t="s">
        <v>2317</v>
      </c>
    </row>
    <row r="54" spans="1:11" x14ac:dyDescent="0.25">
      <c r="A54" s="302" t="str">
        <f t="shared" si="0"/>
        <v>Low Flow Kitchen Aerator_0_MF_ISR</v>
      </c>
      <c r="B54" s="303" t="s">
        <v>533</v>
      </c>
      <c r="C54" s="304">
        <v>0</v>
      </c>
      <c r="D54" s="303" t="s">
        <v>553</v>
      </c>
      <c r="E54" s="305" t="s">
        <v>267</v>
      </c>
      <c r="F54" s="305" t="s">
        <v>539</v>
      </c>
      <c r="G54" s="313">
        <v>0.93</v>
      </c>
      <c r="H54" s="305" t="s">
        <v>554</v>
      </c>
      <c r="I54" s="305" t="s">
        <v>152</v>
      </c>
      <c r="J54" s="305" t="s">
        <v>103</v>
      </c>
      <c r="K54" s="305" t="s">
        <v>2317</v>
      </c>
    </row>
    <row r="55" spans="1:11" x14ac:dyDescent="0.25">
      <c r="A55" s="302" t="str">
        <f t="shared" si="0"/>
        <v>Low Flow Kitchen Aerator_0_MF_Therm Saved per Unit</v>
      </c>
      <c r="B55" s="303" t="s">
        <v>533</v>
      </c>
      <c r="C55" s="304">
        <v>0</v>
      </c>
      <c r="D55" s="303" t="s">
        <v>553</v>
      </c>
      <c r="E55" s="314" t="s">
        <v>326</v>
      </c>
      <c r="F55" s="314"/>
      <c r="G55" s="315">
        <f>(G43-G42)*G44*G45*G46*G47/G48*G53*G54</f>
        <v>8.7362670663482316</v>
      </c>
      <c r="H55" s="305"/>
      <c r="I55" s="305" t="s">
        <v>152</v>
      </c>
      <c r="J55" s="305" t="s">
        <v>103</v>
      </c>
      <c r="K55" s="305" t="s">
        <v>2317</v>
      </c>
    </row>
    <row r="56" spans="1:11" x14ac:dyDescent="0.25">
      <c r="A56" s="302" t="str">
        <f t="shared" si="0"/>
        <v>Low Flow Kitchen Aerator_0_MF_Gallons Saved per Unit</v>
      </c>
      <c r="B56" s="303" t="s">
        <v>533</v>
      </c>
      <c r="C56" s="304">
        <v>0</v>
      </c>
      <c r="D56" s="303" t="s">
        <v>553</v>
      </c>
      <c r="E56" s="314" t="s">
        <v>547</v>
      </c>
      <c r="F56" s="314"/>
      <c r="G56" s="315">
        <f>(G43-G42)*G44*G45*G46*G47/G48*G54</f>
        <v>1661.1748059375</v>
      </c>
      <c r="H56" s="305"/>
      <c r="I56" s="305" t="s">
        <v>152</v>
      </c>
      <c r="J56" s="305" t="s">
        <v>103</v>
      </c>
      <c r="K56" s="305" t="s">
        <v>2317</v>
      </c>
    </row>
    <row r="57" spans="1:11" x14ac:dyDescent="0.25">
      <c r="A57" s="302" t="str">
        <f t="shared" si="0"/>
        <v>Low Flow Kitchen Aerator_0_MF_Lifetime (years)</v>
      </c>
      <c r="B57" s="303" t="s">
        <v>533</v>
      </c>
      <c r="C57" s="304">
        <v>0</v>
      </c>
      <c r="D57" s="303" t="s">
        <v>553</v>
      </c>
      <c r="E57" s="314" t="s">
        <v>259</v>
      </c>
      <c r="F57" s="314" t="s">
        <v>548</v>
      </c>
      <c r="G57" s="315">
        <v>10</v>
      </c>
      <c r="H57" s="305"/>
      <c r="I57" s="305" t="s">
        <v>152</v>
      </c>
      <c r="J57" s="305" t="s">
        <v>103</v>
      </c>
      <c r="K57" s="305" t="s">
        <v>2317</v>
      </c>
    </row>
    <row r="58" spans="1:11" x14ac:dyDescent="0.25">
      <c r="A58" s="302" t="str">
        <f t="shared" si="0"/>
        <v>Low Flow Kitchen Aerator_0_MF_Incremental Cost</v>
      </c>
      <c r="B58" s="303" t="s">
        <v>533</v>
      </c>
      <c r="C58" s="304">
        <v>0</v>
      </c>
      <c r="D58" s="303" t="s">
        <v>553</v>
      </c>
      <c r="E58" s="314" t="s">
        <v>260</v>
      </c>
      <c r="F58" s="314" t="s">
        <v>549</v>
      </c>
      <c r="G58" s="316">
        <v>8</v>
      </c>
      <c r="H58" s="305" t="s">
        <v>308</v>
      </c>
      <c r="I58" s="305" t="s">
        <v>152</v>
      </c>
      <c r="J58" s="305" t="s">
        <v>103</v>
      </c>
      <c r="K58" s="305" t="s">
        <v>2317</v>
      </c>
    </row>
    <row r="59" spans="1:11" s="321" customFormat="1" x14ac:dyDescent="0.25">
      <c r="A59" s="317" t="str">
        <f t="shared" si="0"/>
        <v>Low Flow Kitchen Aerator_0_MF_</v>
      </c>
      <c r="B59" s="317" t="str">
        <f>B58</f>
        <v>Low Flow Kitchen Aerator</v>
      </c>
      <c r="C59" s="317">
        <f>C58</f>
        <v>0</v>
      </c>
      <c r="D59" s="317" t="str">
        <f>D58</f>
        <v>MF</v>
      </c>
      <c r="E59" s="318"/>
      <c r="F59" s="318"/>
      <c r="G59" s="319"/>
      <c r="H59" s="318"/>
      <c r="I59" s="320"/>
      <c r="J59" s="318"/>
      <c r="K59" s="318"/>
    </row>
    <row r="60" spans="1:11" x14ac:dyDescent="0.25">
      <c r="A60" s="302" t="str">
        <f t="shared" si="0"/>
        <v>Low Flow Bathroom Aerator_0_SF_Efficient GPM</v>
      </c>
      <c r="B60" s="303" t="s">
        <v>555</v>
      </c>
      <c r="C60" s="304">
        <v>0</v>
      </c>
      <c r="D60" s="303" t="s">
        <v>409</v>
      </c>
      <c r="E60" s="305" t="s">
        <v>301</v>
      </c>
      <c r="F60" s="305"/>
      <c r="G60" s="306">
        <v>0.94</v>
      </c>
      <c r="H60" s="305" t="s">
        <v>302</v>
      </c>
      <c r="I60" s="305" t="s">
        <v>152</v>
      </c>
      <c r="J60" s="305" t="s">
        <v>103</v>
      </c>
      <c r="K60" s="305" t="s">
        <v>2317</v>
      </c>
    </row>
    <row r="61" spans="1:11" x14ac:dyDescent="0.25">
      <c r="A61" s="302" t="str">
        <f t="shared" si="0"/>
        <v>Low Flow Bathroom Aerator_0_SF_Baseline GPM</v>
      </c>
      <c r="B61" s="303" t="s">
        <v>555</v>
      </c>
      <c r="C61" s="304">
        <v>0</v>
      </c>
      <c r="D61" s="303" t="s">
        <v>409</v>
      </c>
      <c r="E61" s="305" t="s">
        <v>303</v>
      </c>
      <c r="F61" s="305"/>
      <c r="G61" s="306">
        <v>1.53</v>
      </c>
      <c r="H61" s="305" t="s">
        <v>556</v>
      </c>
      <c r="I61" s="305" t="s">
        <v>152</v>
      </c>
      <c r="J61" s="305" t="s">
        <v>103</v>
      </c>
      <c r="K61" s="305" t="s">
        <v>2317</v>
      </c>
    </row>
    <row r="62" spans="1:11" x14ac:dyDescent="0.25">
      <c r="A62" s="302" t="str">
        <f t="shared" si="0"/>
        <v>Low Flow Bathroom Aerator_0_SF_Daily faucet use</v>
      </c>
      <c r="B62" s="303" t="s">
        <v>555</v>
      </c>
      <c r="C62" s="304">
        <v>0</v>
      </c>
      <c r="D62" s="303" t="s">
        <v>409</v>
      </c>
      <c r="E62" s="305" t="s">
        <v>535</v>
      </c>
      <c r="F62" s="305" t="s">
        <v>536</v>
      </c>
      <c r="G62" s="307">
        <v>1.6</v>
      </c>
      <c r="H62" s="305" t="s">
        <v>556</v>
      </c>
      <c r="I62" s="305" t="s">
        <v>152</v>
      </c>
      <c r="J62" s="305" t="s">
        <v>103</v>
      </c>
      <c r="K62" s="305" t="s">
        <v>2317</v>
      </c>
    </row>
    <row r="63" spans="1:11" x14ac:dyDescent="0.25">
      <c r="A63" s="302" t="str">
        <f t="shared" si="0"/>
        <v>Low Flow Bathroom Aerator_0_SF_People per Household</v>
      </c>
      <c r="B63" s="303" t="s">
        <v>555</v>
      </c>
      <c r="C63" s="304">
        <v>0</v>
      </c>
      <c r="D63" s="303" t="s">
        <v>409</v>
      </c>
      <c r="E63" s="305" t="s">
        <v>304</v>
      </c>
      <c r="F63" s="305" t="s">
        <v>537</v>
      </c>
      <c r="G63" s="307">
        <v>2.56</v>
      </c>
      <c r="H63" s="305" t="s">
        <v>375</v>
      </c>
      <c r="I63" s="305" t="s">
        <v>152</v>
      </c>
      <c r="J63" s="305" t="s">
        <v>103</v>
      </c>
      <c r="K63" s="305" t="s">
        <v>2317</v>
      </c>
    </row>
    <row r="64" spans="1:11" x14ac:dyDescent="0.25">
      <c r="A64" s="302" t="str">
        <f t="shared" si="0"/>
        <v>Low Flow Bathroom Aerator_0_SF_Days per Year</v>
      </c>
      <c r="B64" s="303" t="s">
        <v>555</v>
      </c>
      <c r="C64" s="304">
        <v>0</v>
      </c>
      <c r="D64" s="303" t="s">
        <v>409</v>
      </c>
      <c r="E64" s="305" t="s">
        <v>263</v>
      </c>
      <c r="F64" s="305" t="s">
        <v>538</v>
      </c>
      <c r="G64" s="306">
        <v>365.25</v>
      </c>
      <c r="H64" s="305"/>
      <c r="I64" s="305" t="s">
        <v>152</v>
      </c>
      <c r="J64" s="305" t="s">
        <v>103</v>
      </c>
      <c r="K64" s="305" t="s">
        <v>2317</v>
      </c>
    </row>
    <row r="65" spans="1:11" x14ac:dyDescent="0.25">
      <c r="A65" s="302" t="str">
        <f t="shared" si="0"/>
        <v>Low Flow Bathroom Aerator_0_SF_Drain Factor</v>
      </c>
      <c r="B65" s="303" t="s">
        <v>555</v>
      </c>
      <c r="C65" s="304">
        <v>0</v>
      </c>
      <c r="D65" s="303" t="s">
        <v>409</v>
      </c>
      <c r="E65" s="305" t="s">
        <v>305</v>
      </c>
      <c r="F65" s="305" t="s">
        <v>539</v>
      </c>
      <c r="G65" s="308">
        <v>0.9</v>
      </c>
      <c r="H65" s="305" t="s">
        <v>556</v>
      </c>
      <c r="I65" s="305" t="s">
        <v>152</v>
      </c>
      <c r="J65" s="305" t="s">
        <v>103</v>
      </c>
      <c r="K65" s="305" t="s">
        <v>2317</v>
      </c>
    </row>
    <row r="66" spans="1:11" x14ac:dyDescent="0.25">
      <c r="A66" s="302" t="str">
        <f t="shared" si="0"/>
        <v>Low Flow Bathroom Aerator_0_SF_Faucets per household</v>
      </c>
      <c r="B66" s="303" t="s">
        <v>555</v>
      </c>
      <c r="C66" s="304">
        <v>0</v>
      </c>
      <c r="D66" s="303" t="s">
        <v>409</v>
      </c>
      <c r="E66" s="305" t="s">
        <v>306</v>
      </c>
      <c r="F66" s="305" t="s">
        <v>540</v>
      </c>
      <c r="G66" s="307">
        <v>2.83</v>
      </c>
      <c r="H66" s="305" t="s">
        <v>557</v>
      </c>
      <c r="I66" s="305" t="s">
        <v>152</v>
      </c>
      <c r="J66" s="305" t="s">
        <v>103</v>
      </c>
      <c r="K66" s="305" t="s">
        <v>2317</v>
      </c>
    </row>
    <row r="67" spans="1:11" x14ac:dyDescent="0.25">
      <c r="A67" s="302" t="str">
        <f t="shared" si="0"/>
        <v>Low Flow Bathroom Aerator_0_SF_yWater</v>
      </c>
      <c r="B67" s="303" t="s">
        <v>555</v>
      </c>
      <c r="C67" s="304">
        <v>0</v>
      </c>
      <c r="D67" s="303" t="s">
        <v>409</v>
      </c>
      <c r="E67" s="305" t="s">
        <v>369</v>
      </c>
      <c r="F67" s="309" t="s">
        <v>346</v>
      </c>
      <c r="G67" s="306">
        <v>8.33</v>
      </c>
      <c r="H67" s="305"/>
      <c r="I67" s="305" t="s">
        <v>152</v>
      </c>
      <c r="J67" s="305" t="s">
        <v>103</v>
      </c>
      <c r="K67" s="305" t="s">
        <v>2317</v>
      </c>
    </row>
    <row r="68" spans="1:11" x14ac:dyDescent="0.25">
      <c r="A68" s="302" t="str">
        <f t="shared" si="0"/>
        <v>Low Flow Bathroom Aerator_0_SF_Water Temperature</v>
      </c>
      <c r="B68" s="303" t="s">
        <v>555</v>
      </c>
      <c r="C68" s="304">
        <v>0</v>
      </c>
      <c r="D68" s="303" t="s">
        <v>409</v>
      </c>
      <c r="E68" s="305" t="s">
        <v>541</v>
      </c>
      <c r="F68" s="305" t="s">
        <v>542</v>
      </c>
      <c r="G68" s="306">
        <v>86</v>
      </c>
      <c r="H68" s="305" t="s">
        <v>1933</v>
      </c>
      <c r="I68" s="305" t="s">
        <v>152</v>
      </c>
      <c r="J68" s="305" t="s">
        <v>103</v>
      </c>
      <c r="K68" s="305" t="s">
        <v>2317</v>
      </c>
    </row>
    <row r="69" spans="1:11" x14ac:dyDescent="0.25">
      <c r="A69" s="302" t="str">
        <f t="shared" si="0"/>
        <v>Low Flow Bathroom Aerator_0_SF_Incoming Water Temperature</v>
      </c>
      <c r="B69" s="303" t="s">
        <v>555</v>
      </c>
      <c r="C69" s="304">
        <v>0</v>
      </c>
      <c r="D69" s="303" t="s">
        <v>409</v>
      </c>
      <c r="E69" s="305" t="s">
        <v>265</v>
      </c>
      <c r="F69" s="305" t="s">
        <v>542</v>
      </c>
      <c r="G69" s="310">
        <v>50.7</v>
      </c>
      <c r="H69" s="311" t="s">
        <v>1916</v>
      </c>
      <c r="I69" s="305" t="s">
        <v>152</v>
      </c>
      <c r="J69" s="305" t="s">
        <v>103</v>
      </c>
      <c r="K69" s="305" t="s">
        <v>2317</v>
      </c>
    </row>
    <row r="70" spans="1:11" x14ac:dyDescent="0.25">
      <c r="A70" s="302" t="str">
        <f t="shared" ref="A70:A133" si="1">B70&amp;"_"&amp;C70&amp;"_"&amp;D70&amp;"_"&amp;E70</f>
        <v>Low Flow Bathroom Aerator_0_SF_RE_Gas</v>
      </c>
      <c r="B70" s="303" t="s">
        <v>555</v>
      </c>
      <c r="C70" s="304">
        <v>0</v>
      </c>
      <c r="D70" s="303" t="s">
        <v>409</v>
      </c>
      <c r="E70" s="305" t="s">
        <v>543</v>
      </c>
      <c r="F70" s="305" t="s">
        <v>539</v>
      </c>
      <c r="G70" s="308">
        <v>0.78</v>
      </c>
      <c r="H70" s="305"/>
      <c r="I70" s="305" t="s">
        <v>152</v>
      </c>
      <c r="J70" s="305" t="s">
        <v>103</v>
      </c>
      <c r="K70" s="305" t="s">
        <v>2317</v>
      </c>
    </row>
    <row r="71" spans="1:11" x14ac:dyDescent="0.25">
      <c r="A71" s="302" t="str">
        <f t="shared" si="1"/>
        <v>Low Flow Bathroom Aerator_0_SF_EPG_Gas</v>
      </c>
      <c r="B71" s="303" t="s">
        <v>555</v>
      </c>
      <c r="C71" s="304">
        <v>0</v>
      </c>
      <c r="D71" s="303" t="s">
        <v>409</v>
      </c>
      <c r="E71" s="305" t="s">
        <v>544</v>
      </c>
      <c r="F71" s="305" t="s">
        <v>545</v>
      </c>
      <c r="G71" s="312">
        <f>G67*1*(G68-G69)/(100000*G70)</f>
        <v>3.7698589743589742E-3</v>
      </c>
      <c r="H71" s="311" t="s">
        <v>1925</v>
      </c>
      <c r="I71" s="305" t="s">
        <v>152</v>
      </c>
      <c r="J71" s="305" t="s">
        <v>103</v>
      </c>
      <c r="K71" s="305" t="s">
        <v>2317</v>
      </c>
    </row>
    <row r="72" spans="1:11" x14ac:dyDescent="0.25">
      <c r="A72" s="302" t="str">
        <f t="shared" si="1"/>
        <v>Low Flow Bathroom Aerator_0_SF_ISR</v>
      </c>
      <c r="B72" s="303" t="s">
        <v>555</v>
      </c>
      <c r="C72" s="304">
        <v>0</v>
      </c>
      <c r="D72" s="303" t="s">
        <v>409</v>
      </c>
      <c r="E72" s="305" t="s">
        <v>267</v>
      </c>
      <c r="F72" s="305" t="s">
        <v>539</v>
      </c>
      <c r="G72" s="313">
        <v>0.93</v>
      </c>
      <c r="H72" s="305" t="s">
        <v>546</v>
      </c>
      <c r="I72" s="305" t="s">
        <v>152</v>
      </c>
      <c r="J72" s="305" t="s">
        <v>103</v>
      </c>
      <c r="K72" s="305" t="s">
        <v>2317</v>
      </c>
    </row>
    <row r="73" spans="1:11" x14ac:dyDescent="0.25">
      <c r="A73" s="302" t="str">
        <f t="shared" si="1"/>
        <v>Low Flow Bathroom Aerator_0_SF_Therm Saved per Unit</v>
      </c>
      <c r="B73" s="303" t="s">
        <v>555</v>
      </c>
      <c r="C73" s="304">
        <v>0</v>
      </c>
      <c r="D73" s="303" t="s">
        <v>409</v>
      </c>
      <c r="E73" s="314" t="s">
        <v>326</v>
      </c>
      <c r="F73" s="314"/>
      <c r="G73" s="315">
        <f>(G61-G60)*G62*G63*G64*G65/G66*G71*G72</f>
        <v>0.98416136218288908</v>
      </c>
      <c r="H73" s="305"/>
      <c r="I73" s="305" t="s">
        <v>152</v>
      </c>
      <c r="J73" s="305" t="s">
        <v>103</v>
      </c>
      <c r="K73" s="305" t="s">
        <v>2317</v>
      </c>
    </row>
    <row r="74" spans="1:11" x14ac:dyDescent="0.25">
      <c r="A74" s="302" t="str">
        <f t="shared" si="1"/>
        <v>Low Flow Bathroom Aerator_0_SF_Gallons Saved per Unit</v>
      </c>
      <c r="B74" s="303" t="s">
        <v>555</v>
      </c>
      <c r="C74" s="304">
        <v>0</v>
      </c>
      <c r="D74" s="303" t="s">
        <v>409</v>
      </c>
      <c r="E74" s="314" t="s">
        <v>547</v>
      </c>
      <c r="F74" s="314"/>
      <c r="G74" s="315">
        <f>(G61-G60)*G62*G63*G64*G65/G66*G72</f>
        <v>261.06052477738524</v>
      </c>
      <c r="H74" s="305"/>
      <c r="I74" s="305" t="s">
        <v>152</v>
      </c>
      <c r="J74" s="305" t="s">
        <v>103</v>
      </c>
      <c r="K74" s="305" t="s">
        <v>2317</v>
      </c>
    </row>
    <row r="75" spans="1:11" x14ac:dyDescent="0.25">
      <c r="A75" s="302" t="str">
        <f t="shared" si="1"/>
        <v>Low Flow Bathroom Aerator_0_SF_Lifetime (years)</v>
      </c>
      <c r="B75" s="303" t="s">
        <v>555</v>
      </c>
      <c r="C75" s="304">
        <v>0</v>
      </c>
      <c r="D75" s="303" t="s">
        <v>409</v>
      </c>
      <c r="E75" s="314" t="s">
        <v>259</v>
      </c>
      <c r="F75" s="314" t="s">
        <v>548</v>
      </c>
      <c r="G75" s="315">
        <v>10</v>
      </c>
      <c r="H75" s="305"/>
      <c r="I75" s="305" t="s">
        <v>152</v>
      </c>
      <c r="J75" s="305" t="s">
        <v>103</v>
      </c>
      <c r="K75" s="305" t="s">
        <v>2317</v>
      </c>
    </row>
    <row r="76" spans="1:11" x14ac:dyDescent="0.25">
      <c r="A76" s="302" t="str">
        <f t="shared" si="1"/>
        <v>Low Flow Bathroom Aerator_0_SF_Incremental Cost</v>
      </c>
      <c r="B76" s="303" t="s">
        <v>555</v>
      </c>
      <c r="C76" s="304">
        <v>0</v>
      </c>
      <c r="D76" s="303" t="s">
        <v>409</v>
      </c>
      <c r="E76" s="314" t="s">
        <v>260</v>
      </c>
      <c r="F76" s="314" t="s">
        <v>549</v>
      </c>
      <c r="G76" s="316">
        <v>8</v>
      </c>
      <c r="H76" s="305" t="s">
        <v>308</v>
      </c>
      <c r="I76" s="305" t="s">
        <v>152</v>
      </c>
      <c r="J76" s="305" t="s">
        <v>103</v>
      </c>
      <c r="K76" s="305" t="s">
        <v>2317</v>
      </c>
    </row>
    <row r="77" spans="1:11" s="321" customFormat="1" x14ac:dyDescent="0.25">
      <c r="A77" s="317" t="str">
        <f t="shared" si="1"/>
        <v>Low Flow Bathroom Aerator_0_SF_</v>
      </c>
      <c r="B77" s="317" t="str">
        <f>B76</f>
        <v>Low Flow Bathroom Aerator</v>
      </c>
      <c r="C77" s="317">
        <f>C76</f>
        <v>0</v>
      </c>
      <c r="D77" s="317" t="str">
        <f>D76</f>
        <v>SF</v>
      </c>
      <c r="E77" s="318"/>
      <c r="F77" s="318"/>
      <c r="G77" s="319"/>
      <c r="H77" s="318"/>
      <c r="I77" s="320"/>
      <c r="J77" s="318"/>
      <c r="K77" s="318"/>
    </row>
    <row r="78" spans="1:11" x14ac:dyDescent="0.25">
      <c r="A78" s="302" t="str">
        <f t="shared" si="1"/>
        <v>Low Flow Bathroom Aerator_IE Kit_IE_Efficient GPM</v>
      </c>
      <c r="B78" s="303" t="s">
        <v>555</v>
      </c>
      <c r="C78" s="304" t="s">
        <v>550</v>
      </c>
      <c r="D78" s="303" t="s">
        <v>551</v>
      </c>
      <c r="E78" s="305" t="s">
        <v>301</v>
      </c>
      <c r="F78" s="305"/>
      <c r="G78" s="306">
        <v>0.94</v>
      </c>
      <c r="H78" s="305" t="s">
        <v>302</v>
      </c>
      <c r="I78" s="305" t="s">
        <v>152</v>
      </c>
      <c r="J78" s="305" t="s">
        <v>103</v>
      </c>
      <c r="K78" s="305" t="s">
        <v>2317</v>
      </c>
    </row>
    <row r="79" spans="1:11" x14ac:dyDescent="0.25">
      <c r="A79" s="302" t="str">
        <f t="shared" si="1"/>
        <v>Low Flow Bathroom Aerator_IE Kit_IE_Baseline GPM</v>
      </c>
      <c r="B79" s="303" t="s">
        <v>555</v>
      </c>
      <c r="C79" s="304" t="s">
        <v>550</v>
      </c>
      <c r="D79" s="303" t="s">
        <v>551</v>
      </c>
      <c r="E79" s="305" t="s">
        <v>303</v>
      </c>
      <c r="F79" s="305"/>
      <c r="G79" s="306">
        <v>1.53</v>
      </c>
      <c r="H79" s="305" t="s">
        <v>556</v>
      </c>
      <c r="I79" s="305" t="s">
        <v>152</v>
      </c>
      <c r="J79" s="305" t="s">
        <v>103</v>
      </c>
      <c r="K79" s="305" t="s">
        <v>2317</v>
      </c>
    </row>
    <row r="80" spans="1:11" x14ac:dyDescent="0.25">
      <c r="A80" s="302" t="str">
        <f t="shared" si="1"/>
        <v>Low Flow Bathroom Aerator_IE Kit_IE_Daily faucet use</v>
      </c>
      <c r="B80" s="303" t="s">
        <v>555</v>
      </c>
      <c r="C80" s="304" t="s">
        <v>550</v>
      </c>
      <c r="D80" s="303" t="s">
        <v>551</v>
      </c>
      <c r="E80" s="305" t="s">
        <v>535</v>
      </c>
      <c r="F80" s="305" t="s">
        <v>536</v>
      </c>
      <c r="G80" s="307">
        <v>1.6</v>
      </c>
      <c r="H80" s="305" t="s">
        <v>556</v>
      </c>
      <c r="I80" s="305" t="s">
        <v>152</v>
      </c>
      <c r="J80" s="305" t="s">
        <v>103</v>
      </c>
      <c r="K80" s="305" t="s">
        <v>2317</v>
      </c>
    </row>
    <row r="81" spans="1:11" x14ac:dyDescent="0.25">
      <c r="A81" s="302" t="str">
        <f t="shared" si="1"/>
        <v>Low Flow Bathroom Aerator_IE Kit_IE_People per Household</v>
      </c>
      <c r="B81" s="303" t="s">
        <v>555</v>
      </c>
      <c r="C81" s="304" t="s">
        <v>550</v>
      </c>
      <c r="D81" s="303" t="s">
        <v>551</v>
      </c>
      <c r="E81" s="305" t="s">
        <v>304</v>
      </c>
      <c r="F81" s="305" t="s">
        <v>537</v>
      </c>
      <c r="G81" s="307">
        <v>2.56</v>
      </c>
      <c r="H81" s="305" t="s">
        <v>375</v>
      </c>
      <c r="I81" s="305" t="s">
        <v>152</v>
      </c>
      <c r="J81" s="305" t="s">
        <v>103</v>
      </c>
      <c r="K81" s="305" t="s">
        <v>2317</v>
      </c>
    </row>
    <row r="82" spans="1:11" x14ac:dyDescent="0.25">
      <c r="A82" s="302" t="str">
        <f t="shared" si="1"/>
        <v>Low Flow Bathroom Aerator_IE Kit_IE_Days per Year</v>
      </c>
      <c r="B82" s="303" t="s">
        <v>555</v>
      </c>
      <c r="C82" s="304" t="s">
        <v>550</v>
      </c>
      <c r="D82" s="303" t="s">
        <v>551</v>
      </c>
      <c r="E82" s="305" t="s">
        <v>263</v>
      </c>
      <c r="F82" s="305" t="s">
        <v>538</v>
      </c>
      <c r="G82" s="306">
        <v>365.25</v>
      </c>
      <c r="H82" s="305"/>
      <c r="I82" s="305" t="s">
        <v>152</v>
      </c>
      <c r="J82" s="305" t="s">
        <v>103</v>
      </c>
      <c r="K82" s="305" t="s">
        <v>2317</v>
      </c>
    </row>
    <row r="83" spans="1:11" x14ac:dyDescent="0.25">
      <c r="A83" s="302" t="str">
        <f t="shared" si="1"/>
        <v>Low Flow Bathroom Aerator_IE Kit_IE_Drain Factor</v>
      </c>
      <c r="B83" s="303" t="s">
        <v>555</v>
      </c>
      <c r="C83" s="304" t="s">
        <v>550</v>
      </c>
      <c r="D83" s="303" t="s">
        <v>551</v>
      </c>
      <c r="E83" s="305" t="s">
        <v>305</v>
      </c>
      <c r="F83" s="305" t="s">
        <v>539</v>
      </c>
      <c r="G83" s="308">
        <v>0.9</v>
      </c>
      <c r="H83" s="305" t="s">
        <v>556</v>
      </c>
      <c r="I83" s="305" t="s">
        <v>152</v>
      </c>
      <c r="J83" s="305" t="s">
        <v>103</v>
      </c>
      <c r="K83" s="305" t="s">
        <v>2317</v>
      </c>
    </row>
    <row r="84" spans="1:11" x14ac:dyDescent="0.25">
      <c r="A84" s="302" t="str">
        <f t="shared" si="1"/>
        <v>Low Flow Bathroom Aerator_IE Kit_IE_Faucets per household</v>
      </c>
      <c r="B84" s="303" t="s">
        <v>555</v>
      </c>
      <c r="C84" s="304" t="s">
        <v>550</v>
      </c>
      <c r="D84" s="303" t="s">
        <v>551</v>
      </c>
      <c r="E84" s="305" t="s">
        <v>306</v>
      </c>
      <c r="F84" s="305" t="s">
        <v>540</v>
      </c>
      <c r="G84" s="307">
        <v>2.83</v>
      </c>
      <c r="H84" s="305" t="s">
        <v>557</v>
      </c>
      <c r="I84" s="305" t="s">
        <v>152</v>
      </c>
      <c r="J84" s="305" t="s">
        <v>103</v>
      </c>
      <c r="K84" s="305" t="s">
        <v>2317</v>
      </c>
    </row>
    <row r="85" spans="1:11" x14ac:dyDescent="0.25">
      <c r="A85" s="302" t="str">
        <f t="shared" si="1"/>
        <v>Low Flow Bathroom Aerator_IE Kit_IE_yWater</v>
      </c>
      <c r="B85" s="303" t="s">
        <v>555</v>
      </c>
      <c r="C85" s="304" t="s">
        <v>550</v>
      </c>
      <c r="D85" s="303" t="s">
        <v>551</v>
      </c>
      <c r="E85" s="305" t="s">
        <v>369</v>
      </c>
      <c r="F85" s="309" t="s">
        <v>346</v>
      </c>
      <c r="G85" s="306">
        <v>8.33</v>
      </c>
      <c r="H85" s="305"/>
      <c r="I85" s="305" t="s">
        <v>152</v>
      </c>
      <c r="J85" s="305" t="s">
        <v>103</v>
      </c>
      <c r="K85" s="305" t="s">
        <v>2317</v>
      </c>
    </row>
    <row r="86" spans="1:11" x14ac:dyDescent="0.25">
      <c r="A86" s="302" t="str">
        <f t="shared" si="1"/>
        <v>Low Flow Bathroom Aerator_IE Kit_IE_Water Temperature</v>
      </c>
      <c r="B86" s="303" t="s">
        <v>555</v>
      </c>
      <c r="C86" s="304" t="s">
        <v>550</v>
      </c>
      <c r="D86" s="303" t="s">
        <v>551</v>
      </c>
      <c r="E86" s="305" t="s">
        <v>541</v>
      </c>
      <c r="F86" s="305" t="s">
        <v>542</v>
      </c>
      <c r="G86" s="306">
        <v>86</v>
      </c>
      <c r="H86" s="305" t="s">
        <v>1933</v>
      </c>
      <c r="I86" s="305" t="s">
        <v>152</v>
      </c>
      <c r="J86" s="305" t="s">
        <v>103</v>
      </c>
      <c r="K86" s="305" t="s">
        <v>2317</v>
      </c>
    </row>
    <row r="87" spans="1:11" x14ac:dyDescent="0.25">
      <c r="A87" s="302" t="str">
        <f t="shared" si="1"/>
        <v>Low Flow Bathroom Aerator_IE Kit_IE_Incoming Water Temperature</v>
      </c>
      <c r="B87" s="303" t="s">
        <v>555</v>
      </c>
      <c r="C87" s="304" t="s">
        <v>550</v>
      </c>
      <c r="D87" s="303" t="s">
        <v>551</v>
      </c>
      <c r="E87" s="305" t="s">
        <v>265</v>
      </c>
      <c r="F87" s="305" t="s">
        <v>542</v>
      </c>
      <c r="G87" s="310">
        <v>50.7</v>
      </c>
      <c r="H87" s="311" t="s">
        <v>1916</v>
      </c>
      <c r="I87" s="305" t="s">
        <v>152</v>
      </c>
      <c r="J87" s="305" t="s">
        <v>103</v>
      </c>
      <c r="K87" s="305" t="s">
        <v>2317</v>
      </c>
    </row>
    <row r="88" spans="1:11" x14ac:dyDescent="0.25">
      <c r="A88" s="302" t="str">
        <f t="shared" si="1"/>
        <v>Low Flow Bathroom Aerator_IE Kit_IE_RE_Gas</v>
      </c>
      <c r="B88" s="303" t="s">
        <v>555</v>
      </c>
      <c r="C88" s="304" t="s">
        <v>550</v>
      </c>
      <c r="D88" s="303" t="s">
        <v>551</v>
      </c>
      <c r="E88" s="305" t="s">
        <v>543</v>
      </c>
      <c r="F88" s="305" t="s">
        <v>539</v>
      </c>
      <c r="G88" s="308">
        <v>0.78</v>
      </c>
      <c r="H88" s="305" t="s">
        <v>375</v>
      </c>
      <c r="I88" s="305" t="s">
        <v>152</v>
      </c>
      <c r="J88" s="305" t="s">
        <v>103</v>
      </c>
      <c r="K88" s="305" t="s">
        <v>2317</v>
      </c>
    </row>
    <row r="89" spans="1:11" x14ac:dyDescent="0.25">
      <c r="A89" s="302" t="str">
        <f t="shared" si="1"/>
        <v>Low Flow Bathroom Aerator_IE Kit_IE_EPG_Gas</v>
      </c>
      <c r="B89" s="303" t="s">
        <v>555</v>
      </c>
      <c r="C89" s="304" t="s">
        <v>550</v>
      </c>
      <c r="D89" s="303" t="s">
        <v>551</v>
      </c>
      <c r="E89" s="305" t="s">
        <v>544</v>
      </c>
      <c r="F89" s="305" t="s">
        <v>545</v>
      </c>
      <c r="G89" s="312">
        <f>G85*1*(G86-G87)/(100000*G88)</f>
        <v>3.7698589743589742E-3</v>
      </c>
      <c r="H89" s="311" t="s">
        <v>1925</v>
      </c>
      <c r="I89" s="305" t="s">
        <v>152</v>
      </c>
      <c r="J89" s="305" t="s">
        <v>103</v>
      </c>
      <c r="K89" s="305" t="s">
        <v>2317</v>
      </c>
    </row>
    <row r="90" spans="1:11" x14ac:dyDescent="0.25">
      <c r="A90" s="302" t="str">
        <f t="shared" si="1"/>
        <v>Low Flow Bathroom Aerator_IE Kit_IE_ISR</v>
      </c>
      <c r="B90" s="303" t="s">
        <v>555</v>
      </c>
      <c r="C90" s="304" t="s">
        <v>550</v>
      </c>
      <c r="D90" s="303" t="s">
        <v>551</v>
      </c>
      <c r="E90" s="305" t="s">
        <v>267</v>
      </c>
      <c r="F90" s="305" t="s">
        <v>539</v>
      </c>
      <c r="G90" s="322">
        <v>0.56999999999999995</v>
      </c>
      <c r="H90" s="311" t="s">
        <v>1943</v>
      </c>
      <c r="I90" s="305"/>
      <c r="J90" s="305"/>
      <c r="K90" s="305"/>
    </row>
    <row r="91" spans="1:11" x14ac:dyDescent="0.25">
      <c r="A91" s="302" t="str">
        <f t="shared" si="1"/>
        <v>Low Flow Bathroom Aerator_IE Kit_IE_Therm Saved per Unit</v>
      </c>
      <c r="B91" s="303" t="s">
        <v>555</v>
      </c>
      <c r="C91" s="304" t="s">
        <v>550</v>
      </c>
      <c r="D91" s="303" t="s">
        <v>551</v>
      </c>
      <c r="E91" s="314" t="s">
        <v>326</v>
      </c>
      <c r="F91" s="314"/>
      <c r="G91" s="315">
        <f>(G79-G78)*G80*G81*G82*G83/G84*G89*G90</f>
        <v>0.60319567359596415</v>
      </c>
      <c r="H91" s="305"/>
      <c r="I91" s="305" t="s">
        <v>152</v>
      </c>
      <c r="J91" s="305" t="s">
        <v>103</v>
      </c>
      <c r="K91" s="305" t="s">
        <v>2317</v>
      </c>
    </row>
    <row r="92" spans="1:11" x14ac:dyDescent="0.25">
      <c r="A92" s="302" t="str">
        <f t="shared" si="1"/>
        <v>Low Flow Bathroom Aerator_IE Kit_IE_Gallons Saved per Unit</v>
      </c>
      <c r="B92" s="303" t="s">
        <v>555</v>
      </c>
      <c r="C92" s="304" t="s">
        <v>550</v>
      </c>
      <c r="D92" s="303" t="s">
        <v>551</v>
      </c>
      <c r="E92" s="314" t="s">
        <v>547</v>
      </c>
      <c r="F92" s="314"/>
      <c r="G92" s="315">
        <f>(G79-G78)*G80*G81*G82*G83/G84*G90</f>
        <v>160.00483776678448</v>
      </c>
      <c r="H92" s="305"/>
      <c r="I92" s="305" t="s">
        <v>152</v>
      </c>
      <c r="J92" s="305" t="s">
        <v>103</v>
      </c>
      <c r="K92" s="305" t="s">
        <v>2317</v>
      </c>
    </row>
    <row r="93" spans="1:11" x14ac:dyDescent="0.25">
      <c r="A93" s="302" t="str">
        <f t="shared" si="1"/>
        <v>Low Flow Bathroom Aerator_IE Kit_IE_Lifetime (years)</v>
      </c>
      <c r="B93" s="303" t="s">
        <v>555</v>
      </c>
      <c r="C93" s="304" t="s">
        <v>550</v>
      </c>
      <c r="D93" s="303" t="s">
        <v>551</v>
      </c>
      <c r="E93" s="314" t="s">
        <v>259</v>
      </c>
      <c r="F93" s="314" t="s">
        <v>548</v>
      </c>
      <c r="G93" s="315">
        <v>10</v>
      </c>
      <c r="H93" s="305"/>
      <c r="I93" s="305" t="s">
        <v>152</v>
      </c>
      <c r="J93" s="305" t="s">
        <v>103</v>
      </c>
      <c r="K93" s="305" t="s">
        <v>2317</v>
      </c>
    </row>
    <row r="94" spans="1:11" x14ac:dyDescent="0.25">
      <c r="A94" s="302" t="str">
        <f t="shared" si="1"/>
        <v>Low Flow Bathroom Aerator_IE Kit_IE_Incremental Cost</v>
      </c>
      <c r="B94" s="303" t="s">
        <v>555</v>
      </c>
      <c r="C94" s="304" t="s">
        <v>550</v>
      </c>
      <c r="D94" s="303" t="s">
        <v>551</v>
      </c>
      <c r="E94" s="314" t="s">
        <v>260</v>
      </c>
      <c r="F94" s="314" t="s">
        <v>549</v>
      </c>
      <c r="G94" s="316">
        <v>0</v>
      </c>
      <c r="H94" s="305" t="s">
        <v>552</v>
      </c>
      <c r="I94" s="305" t="s">
        <v>152</v>
      </c>
      <c r="J94" s="305" t="s">
        <v>103</v>
      </c>
      <c r="K94" s="305" t="s">
        <v>2317</v>
      </c>
    </row>
    <row r="95" spans="1:11" s="321" customFormat="1" x14ac:dyDescent="0.25">
      <c r="A95" s="317" t="str">
        <f t="shared" si="1"/>
        <v>Low Flow Bathroom Aerator_IE Kit_IE_</v>
      </c>
      <c r="B95" s="317" t="str">
        <f>B94</f>
        <v>Low Flow Bathroom Aerator</v>
      </c>
      <c r="C95" s="317" t="str">
        <f>C94</f>
        <v>IE Kit</v>
      </c>
      <c r="D95" s="317" t="str">
        <f>D94</f>
        <v>IE</v>
      </c>
      <c r="E95" s="318"/>
      <c r="F95" s="318"/>
      <c r="G95" s="319"/>
      <c r="H95" s="318"/>
      <c r="I95" s="320"/>
      <c r="J95" s="318"/>
      <c r="K95" s="318"/>
    </row>
    <row r="96" spans="1:11" x14ac:dyDescent="0.25">
      <c r="A96" s="302" t="str">
        <f t="shared" si="1"/>
        <v>Low Flow Bathroom Aerator_0_MF_Efficient GPM</v>
      </c>
      <c r="B96" s="303" t="s">
        <v>555</v>
      </c>
      <c r="C96" s="304">
        <v>0</v>
      </c>
      <c r="D96" s="303" t="s">
        <v>553</v>
      </c>
      <c r="E96" s="305" t="s">
        <v>301</v>
      </c>
      <c r="F96" s="305"/>
      <c r="G96" s="306">
        <v>0.94</v>
      </c>
      <c r="H96" s="305" t="s">
        <v>302</v>
      </c>
      <c r="I96" s="305" t="s">
        <v>152</v>
      </c>
      <c r="J96" s="305" t="s">
        <v>103</v>
      </c>
      <c r="K96" s="305" t="s">
        <v>2317</v>
      </c>
    </row>
    <row r="97" spans="1:11" x14ac:dyDescent="0.25">
      <c r="A97" s="302" t="str">
        <f t="shared" si="1"/>
        <v>Low Flow Bathroom Aerator_0_MF_Baseline GPM</v>
      </c>
      <c r="B97" s="303" t="s">
        <v>555</v>
      </c>
      <c r="C97" s="304">
        <v>0</v>
      </c>
      <c r="D97" s="303" t="s">
        <v>553</v>
      </c>
      <c r="E97" s="305" t="s">
        <v>303</v>
      </c>
      <c r="F97" s="305"/>
      <c r="G97" s="306">
        <v>1.53</v>
      </c>
      <c r="H97" s="305" t="s">
        <v>556</v>
      </c>
      <c r="I97" s="305" t="s">
        <v>152</v>
      </c>
      <c r="J97" s="305" t="s">
        <v>103</v>
      </c>
      <c r="K97" s="305" t="s">
        <v>2317</v>
      </c>
    </row>
    <row r="98" spans="1:11" x14ac:dyDescent="0.25">
      <c r="A98" s="302" t="str">
        <f t="shared" si="1"/>
        <v>Low Flow Bathroom Aerator_0_MF_Daily faucet use</v>
      </c>
      <c r="B98" s="303" t="s">
        <v>555</v>
      </c>
      <c r="C98" s="304">
        <v>0</v>
      </c>
      <c r="D98" s="303" t="s">
        <v>553</v>
      </c>
      <c r="E98" s="305" t="s">
        <v>535</v>
      </c>
      <c r="F98" s="305" t="s">
        <v>536</v>
      </c>
      <c r="G98" s="307">
        <v>1.6</v>
      </c>
      <c r="H98" s="305" t="s">
        <v>556</v>
      </c>
      <c r="I98" s="305" t="s">
        <v>152</v>
      </c>
      <c r="J98" s="305" t="s">
        <v>103</v>
      </c>
      <c r="K98" s="305" t="s">
        <v>2317</v>
      </c>
    </row>
    <row r="99" spans="1:11" x14ac:dyDescent="0.25">
      <c r="A99" s="302" t="str">
        <f t="shared" si="1"/>
        <v>Low Flow Bathroom Aerator_0_MF_People per Household</v>
      </c>
      <c r="B99" s="303" t="s">
        <v>555</v>
      </c>
      <c r="C99" s="304">
        <v>0</v>
      </c>
      <c r="D99" s="303" t="s">
        <v>553</v>
      </c>
      <c r="E99" s="305" t="s">
        <v>304</v>
      </c>
      <c r="F99" s="305" t="s">
        <v>537</v>
      </c>
      <c r="G99" s="307">
        <v>2.1</v>
      </c>
      <c r="H99" s="305" t="s">
        <v>553</v>
      </c>
      <c r="I99" s="305" t="s">
        <v>152</v>
      </c>
      <c r="J99" s="305" t="s">
        <v>103</v>
      </c>
      <c r="K99" s="305" t="s">
        <v>2317</v>
      </c>
    </row>
    <row r="100" spans="1:11" x14ac:dyDescent="0.25">
      <c r="A100" s="302" t="str">
        <f t="shared" si="1"/>
        <v>Low Flow Bathroom Aerator_0_MF_Days per Year</v>
      </c>
      <c r="B100" s="303" t="s">
        <v>555</v>
      </c>
      <c r="C100" s="304">
        <v>0</v>
      </c>
      <c r="D100" s="303" t="s">
        <v>553</v>
      </c>
      <c r="E100" s="305" t="s">
        <v>263</v>
      </c>
      <c r="F100" s="305" t="s">
        <v>538</v>
      </c>
      <c r="G100" s="306">
        <v>365.25</v>
      </c>
      <c r="H100" s="305"/>
      <c r="I100" s="305" t="s">
        <v>152</v>
      </c>
      <c r="J100" s="305" t="s">
        <v>103</v>
      </c>
      <c r="K100" s="305" t="s">
        <v>2317</v>
      </c>
    </row>
    <row r="101" spans="1:11" x14ac:dyDescent="0.25">
      <c r="A101" s="302" t="str">
        <f t="shared" si="1"/>
        <v>Low Flow Bathroom Aerator_0_MF_Drain Factor</v>
      </c>
      <c r="B101" s="303" t="s">
        <v>555</v>
      </c>
      <c r="C101" s="304">
        <v>0</v>
      </c>
      <c r="D101" s="303" t="s">
        <v>553</v>
      </c>
      <c r="E101" s="305" t="s">
        <v>305</v>
      </c>
      <c r="F101" s="305" t="s">
        <v>539</v>
      </c>
      <c r="G101" s="308">
        <v>0.9</v>
      </c>
      <c r="H101" s="305" t="s">
        <v>556</v>
      </c>
      <c r="I101" s="305" t="s">
        <v>152</v>
      </c>
      <c r="J101" s="305" t="s">
        <v>103</v>
      </c>
      <c r="K101" s="305" t="s">
        <v>2317</v>
      </c>
    </row>
    <row r="102" spans="1:11" x14ac:dyDescent="0.25">
      <c r="A102" s="302" t="str">
        <f t="shared" si="1"/>
        <v>Low Flow Bathroom Aerator_0_MF_Faucets per household</v>
      </c>
      <c r="B102" s="303" t="s">
        <v>555</v>
      </c>
      <c r="C102" s="304">
        <v>0</v>
      </c>
      <c r="D102" s="303" t="s">
        <v>553</v>
      </c>
      <c r="E102" s="305" t="s">
        <v>306</v>
      </c>
      <c r="F102" s="305" t="s">
        <v>540</v>
      </c>
      <c r="G102" s="307">
        <v>1.5</v>
      </c>
      <c r="H102" s="305" t="s">
        <v>558</v>
      </c>
      <c r="I102" s="305" t="s">
        <v>152</v>
      </c>
      <c r="J102" s="305" t="s">
        <v>103</v>
      </c>
      <c r="K102" s="305" t="s">
        <v>2317</v>
      </c>
    </row>
    <row r="103" spans="1:11" x14ac:dyDescent="0.25">
      <c r="A103" s="302" t="str">
        <f t="shared" si="1"/>
        <v>Low Flow Bathroom Aerator_0_MF_yWater</v>
      </c>
      <c r="B103" s="303" t="s">
        <v>555</v>
      </c>
      <c r="C103" s="304">
        <v>0</v>
      </c>
      <c r="D103" s="303" t="s">
        <v>553</v>
      </c>
      <c r="E103" s="305" t="s">
        <v>369</v>
      </c>
      <c r="F103" s="309" t="s">
        <v>346</v>
      </c>
      <c r="G103" s="306">
        <v>8.33</v>
      </c>
      <c r="H103" s="305"/>
      <c r="I103" s="305" t="s">
        <v>152</v>
      </c>
      <c r="J103" s="305" t="s">
        <v>103</v>
      </c>
      <c r="K103" s="305" t="s">
        <v>2317</v>
      </c>
    </row>
    <row r="104" spans="1:11" x14ac:dyDescent="0.25">
      <c r="A104" s="302" t="str">
        <f t="shared" si="1"/>
        <v>Low Flow Bathroom Aerator_0_MF_Water Temperature</v>
      </c>
      <c r="B104" s="303" t="s">
        <v>555</v>
      </c>
      <c r="C104" s="304">
        <v>0</v>
      </c>
      <c r="D104" s="303" t="s">
        <v>553</v>
      </c>
      <c r="E104" s="305" t="s">
        <v>541</v>
      </c>
      <c r="F104" s="305" t="s">
        <v>542</v>
      </c>
      <c r="G104" s="306">
        <v>86</v>
      </c>
      <c r="H104" s="305" t="s">
        <v>1933</v>
      </c>
      <c r="I104" s="305" t="s">
        <v>152</v>
      </c>
      <c r="J104" s="305" t="s">
        <v>103</v>
      </c>
      <c r="K104" s="305" t="s">
        <v>2317</v>
      </c>
    </row>
    <row r="105" spans="1:11" x14ac:dyDescent="0.25">
      <c r="A105" s="302" t="str">
        <f t="shared" si="1"/>
        <v>Low Flow Bathroom Aerator_0_MF_Incoming Water Temperature</v>
      </c>
      <c r="B105" s="303" t="s">
        <v>555</v>
      </c>
      <c r="C105" s="304">
        <v>0</v>
      </c>
      <c r="D105" s="303" t="s">
        <v>553</v>
      </c>
      <c r="E105" s="305" t="s">
        <v>265</v>
      </c>
      <c r="F105" s="305" t="s">
        <v>542</v>
      </c>
      <c r="G105" s="310">
        <v>50.7</v>
      </c>
      <c r="H105" s="311" t="s">
        <v>1916</v>
      </c>
      <c r="I105" s="305" t="s">
        <v>152</v>
      </c>
      <c r="J105" s="305" t="s">
        <v>103</v>
      </c>
      <c r="K105" s="305" t="s">
        <v>2317</v>
      </c>
    </row>
    <row r="106" spans="1:11" x14ac:dyDescent="0.25">
      <c r="A106" s="302" t="str">
        <f t="shared" si="1"/>
        <v>Low Flow Bathroom Aerator_0_MF_RE_Gas</v>
      </c>
      <c r="B106" s="303" t="s">
        <v>555</v>
      </c>
      <c r="C106" s="304">
        <v>0</v>
      </c>
      <c r="D106" s="303" t="s">
        <v>553</v>
      </c>
      <c r="E106" s="305" t="s">
        <v>543</v>
      </c>
      <c r="F106" s="305" t="s">
        <v>539</v>
      </c>
      <c r="G106" s="308">
        <v>0.67</v>
      </c>
      <c r="H106" s="305"/>
      <c r="I106" s="305" t="s">
        <v>152</v>
      </c>
      <c r="J106" s="305" t="s">
        <v>103</v>
      </c>
      <c r="K106" s="305" t="s">
        <v>2317</v>
      </c>
    </row>
    <row r="107" spans="1:11" x14ac:dyDescent="0.25">
      <c r="A107" s="302" t="str">
        <f t="shared" si="1"/>
        <v>Low Flow Bathroom Aerator_0_MF_EPG_Gas</v>
      </c>
      <c r="B107" s="303" t="s">
        <v>555</v>
      </c>
      <c r="C107" s="304">
        <v>0</v>
      </c>
      <c r="D107" s="303" t="s">
        <v>553</v>
      </c>
      <c r="E107" s="305" t="s">
        <v>544</v>
      </c>
      <c r="F107" s="305" t="s">
        <v>545</v>
      </c>
      <c r="G107" s="312">
        <f>G103*1*(G104-G105)/(100000*G106)</f>
        <v>4.388791044776119E-3</v>
      </c>
      <c r="H107" s="311" t="s">
        <v>1925</v>
      </c>
      <c r="I107" s="305" t="s">
        <v>152</v>
      </c>
      <c r="J107" s="305" t="s">
        <v>103</v>
      </c>
      <c r="K107" s="305" t="s">
        <v>2317</v>
      </c>
    </row>
    <row r="108" spans="1:11" x14ac:dyDescent="0.25">
      <c r="A108" s="302" t="str">
        <f t="shared" si="1"/>
        <v>Low Flow Bathroom Aerator_0_MF_ISR</v>
      </c>
      <c r="B108" s="303" t="s">
        <v>555</v>
      </c>
      <c r="C108" s="304">
        <v>0</v>
      </c>
      <c r="D108" s="303" t="s">
        <v>553</v>
      </c>
      <c r="E108" s="305" t="s">
        <v>267</v>
      </c>
      <c r="F108" s="305" t="s">
        <v>539</v>
      </c>
      <c r="G108" s="313">
        <v>0.93</v>
      </c>
      <c r="H108" s="305" t="s">
        <v>554</v>
      </c>
      <c r="I108" s="305" t="s">
        <v>152</v>
      </c>
      <c r="J108" s="305" t="s">
        <v>103</v>
      </c>
      <c r="K108" s="305" t="s">
        <v>2317</v>
      </c>
    </row>
    <row r="109" spans="1:11" x14ac:dyDescent="0.25">
      <c r="A109" s="302" t="str">
        <f t="shared" si="1"/>
        <v>Low Flow Bathroom Aerator_0_MF_Therm Saved per Unit</v>
      </c>
      <c r="B109" s="303" t="s">
        <v>555</v>
      </c>
      <c r="C109" s="304">
        <v>0</v>
      </c>
      <c r="D109" s="303" t="s">
        <v>553</v>
      </c>
      <c r="E109" s="314" t="s">
        <v>326</v>
      </c>
      <c r="F109" s="314"/>
      <c r="G109" s="315">
        <f>(G97-G96)*G98*G99*G100*G101/G102*G107*G108</f>
        <v>1.773211816252048</v>
      </c>
      <c r="H109" s="305"/>
      <c r="I109" s="305" t="s">
        <v>152</v>
      </c>
      <c r="J109" s="305" t="s">
        <v>103</v>
      </c>
      <c r="K109" s="305" t="s">
        <v>2317</v>
      </c>
    </row>
    <row r="110" spans="1:11" x14ac:dyDescent="0.25">
      <c r="A110" s="302" t="str">
        <f t="shared" si="1"/>
        <v>Low Flow Bathroom Aerator_0_MF_Gallons Saved per Unit</v>
      </c>
      <c r="B110" s="303" t="s">
        <v>555</v>
      </c>
      <c r="C110" s="304">
        <v>0</v>
      </c>
      <c r="D110" s="303" t="s">
        <v>553</v>
      </c>
      <c r="E110" s="314" t="s">
        <v>547</v>
      </c>
      <c r="F110" s="314"/>
      <c r="G110" s="315">
        <f>(G97-G96)*G98*G99*G100*G101/G102*G108</f>
        <v>404.03195280000011</v>
      </c>
      <c r="H110" s="305"/>
      <c r="I110" s="305" t="s">
        <v>152</v>
      </c>
      <c r="J110" s="305" t="s">
        <v>103</v>
      </c>
      <c r="K110" s="305" t="s">
        <v>2317</v>
      </c>
    </row>
    <row r="111" spans="1:11" x14ac:dyDescent="0.25">
      <c r="A111" s="302" t="str">
        <f t="shared" si="1"/>
        <v>Low Flow Bathroom Aerator_0_MF_Lifetime (years)</v>
      </c>
      <c r="B111" s="303" t="s">
        <v>555</v>
      </c>
      <c r="C111" s="304">
        <v>0</v>
      </c>
      <c r="D111" s="303" t="s">
        <v>553</v>
      </c>
      <c r="E111" s="314" t="s">
        <v>259</v>
      </c>
      <c r="F111" s="314" t="s">
        <v>548</v>
      </c>
      <c r="G111" s="315">
        <v>10</v>
      </c>
      <c r="H111" s="305"/>
      <c r="I111" s="305" t="s">
        <v>152</v>
      </c>
      <c r="J111" s="305" t="s">
        <v>103</v>
      </c>
      <c r="K111" s="305" t="s">
        <v>2317</v>
      </c>
    </row>
    <row r="112" spans="1:11" x14ac:dyDescent="0.25">
      <c r="A112" s="302" t="str">
        <f t="shared" si="1"/>
        <v>Low Flow Bathroom Aerator_0_MF_Incremental Cost</v>
      </c>
      <c r="B112" s="303" t="s">
        <v>555</v>
      </c>
      <c r="C112" s="304">
        <v>0</v>
      </c>
      <c r="D112" s="303" t="s">
        <v>553</v>
      </c>
      <c r="E112" s="314" t="s">
        <v>260</v>
      </c>
      <c r="F112" s="314" t="s">
        <v>549</v>
      </c>
      <c r="G112" s="316">
        <v>8</v>
      </c>
      <c r="H112" s="305" t="s">
        <v>308</v>
      </c>
      <c r="I112" s="305" t="s">
        <v>152</v>
      </c>
      <c r="J112" s="305" t="s">
        <v>103</v>
      </c>
      <c r="K112" s="305" t="s">
        <v>2317</v>
      </c>
    </row>
    <row r="113" spans="1:11" s="324" customFormat="1" x14ac:dyDescent="0.25">
      <c r="A113" s="317" t="str">
        <f t="shared" si="1"/>
        <v>Low Flow Bathroom Aerator_0_MF_</v>
      </c>
      <c r="B113" s="317" t="str">
        <f>B112</f>
        <v>Low Flow Bathroom Aerator</v>
      </c>
      <c r="C113" s="317">
        <f>C112</f>
        <v>0</v>
      </c>
      <c r="D113" s="317" t="str">
        <f>D112</f>
        <v>MF</v>
      </c>
      <c r="E113" s="317"/>
      <c r="F113" s="317"/>
      <c r="G113" s="323"/>
      <c r="H113" s="317"/>
      <c r="I113" s="320"/>
      <c r="J113" s="317"/>
      <c r="K113" s="317"/>
    </row>
    <row r="114" spans="1:11" x14ac:dyDescent="0.25">
      <c r="A114" s="302" t="str">
        <f t="shared" si="1"/>
        <v>Low Flow Showerhead_0_SF_Efficient GPM</v>
      </c>
      <c r="B114" s="303" t="s">
        <v>15</v>
      </c>
      <c r="C114" s="304">
        <v>0</v>
      </c>
      <c r="D114" s="303" t="s">
        <v>409</v>
      </c>
      <c r="E114" s="305" t="s">
        <v>301</v>
      </c>
      <c r="F114" s="305"/>
      <c r="G114" s="306">
        <v>1.5</v>
      </c>
      <c r="H114" s="305" t="s">
        <v>559</v>
      </c>
      <c r="I114" s="305" t="s">
        <v>152</v>
      </c>
      <c r="J114" s="305" t="s">
        <v>102</v>
      </c>
      <c r="K114" s="305" t="s">
        <v>2363</v>
      </c>
    </row>
    <row r="115" spans="1:11" x14ac:dyDescent="0.25">
      <c r="A115" s="302" t="str">
        <f t="shared" si="1"/>
        <v>Low Flow Showerhead_0_SF_Baseline GPM</v>
      </c>
      <c r="B115" s="303" t="s">
        <v>15</v>
      </c>
      <c r="C115" s="304">
        <v>0</v>
      </c>
      <c r="D115" s="303" t="s">
        <v>409</v>
      </c>
      <c r="E115" s="305" t="s">
        <v>303</v>
      </c>
      <c r="F115" s="305"/>
      <c r="G115" s="306">
        <v>2.2400000000000002</v>
      </c>
      <c r="H115" s="305" t="s">
        <v>309</v>
      </c>
      <c r="I115" s="305" t="s">
        <v>152</v>
      </c>
      <c r="J115" s="305" t="s">
        <v>102</v>
      </c>
      <c r="K115" s="305" t="s">
        <v>2363</v>
      </c>
    </row>
    <row r="116" spans="1:11" x14ac:dyDescent="0.25">
      <c r="A116" s="302" t="str">
        <f t="shared" si="1"/>
        <v>Low Flow Showerhead_0_SF_Shower Minutes</v>
      </c>
      <c r="B116" s="303" t="s">
        <v>15</v>
      </c>
      <c r="C116" s="304">
        <v>0</v>
      </c>
      <c r="D116" s="303" t="s">
        <v>409</v>
      </c>
      <c r="E116" s="305" t="s">
        <v>310</v>
      </c>
      <c r="F116" s="305" t="s">
        <v>560</v>
      </c>
      <c r="G116" s="306">
        <v>7.8</v>
      </c>
      <c r="H116" s="305"/>
      <c r="I116" s="305" t="s">
        <v>152</v>
      </c>
      <c r="J116" s="305" t="s">
        <v>102</v>
      </c>
      <c r="K116" s="305" t="s">
        <v>2363</v>
      </c>
    </row>
    <row r="117" spans="1:11" x14ac:dyDescent="0.25">
      <c r="A117" s="302" t="str">
        <f t="shared" si="1"/>
        <v>Low Flow Showerhead_0_SF_People per Household</v>
      </c>
      <c r="B117" s="303" t="s">
        <v>15</v>
      </c>
      <c r="C117" s="304">
        <v>0</v>
      </c>
      <c r="D117" s="303" t="s">
        <v>409</v>
      </c>
      <c r="E117" s="305" t="s">
        <v>304</v>
      </c>
      <c r="F117" s="305" t="s">
        <v>537</v>
      </c>
      <c r="G117" s="307">
        <v>2.56</v>
      </c>
      <c r="H117" s="305" t="s">
        <v>375</v>
      </c>
      <c r="I117" s="305" t="s">
        <v>152</v>
      </c>
      <c r="J117" s="305" t="s">
        <v>102</v>
      </c>
      <c r="K117" s="305" t="s">
        <v>2363</v>
      </c>
    </row>
    <row r="118" spans="1:11" x14ac:dyDescent="0.25">
      <c r="A118" s="302" t="str">
        <f t="shared" si="1"/>
        <v>Low Flow Showerhead_0_SF_Shower/day/person</v>
      </c>
      <c r="B118" s="303" t="s">
        <v>15</v>
      </c>
      <c r="C118" s="304">
        <v>0</v>
      </c>
      <c r="D118" s="303" t="s">
        <v>409</v>
      </c>
      <c r="E118" s="305" t="s">
        <v>311</v>
      </c>
      <c r="F118" s="305" t="s">
        <v>311</v>
      </c>
      <c r="G118" s="306">
        <v>0.6</v>
      </c>
      <c r="H118" s="305"/>
      <c r="I118" s="305" t="s">
        <v>152</v>
      </c>
      <c r="J118" s="305" t="s">
        <v>102</v>
      </c>
      <c r="K118" s="305" t="s">
        <v>2363</v>
      </c>
    </row>
    <row r="119" spans="1:11" x14ac:dyDescent="0.25">
      <c r="A119" s="302" t="str">
        <f t="shared" si="1"/>
        <v>Low Flow Showerhead_0_SF_Days per Year</v>
      </c>
      <c r="B119" s="303" t="s">
        <v>15</v>
      </c>
      <c r="C119" s="304">
        <v>0</v>
      </c>
      <c r="D119" s="303" t="s">
        <v>409</v>
      </c>
      <c r="E119" s="305" t="s">
        <v>263</v>
      </c>
      <c r="F119" s="305" t="s">
        <v>538</v>
      </c>
      <c r="G119" s="306">
        <v>365.25</v>
      </c>
      <c r="H119" s="305"/>
      <c r="I119" s="305" t="s">
        <v>152</v>
      </c>
      <c r="J119" s="305" t="s">
        <v>102</v>
      </c>
      <c r="K119" s="305" t="s">
        <v>2363</v>
      </c>
    </row>
    <row r="120" spans="1:11" x14ac:dyDescent="0.25">
      <c r="A120" s="302" t="str">
        <f t="shared" si="1"/>
        <v>Low Flow Showerhead_0_SF_Showerheads per Household</v>
      </c>
      <c r="B120" s="303" t="s">
        <v>15</v>
      </c>
      <c r="C120" s="304">
        <v>0</v>
      </c>
      <c r="D120" s="303" t="s">
        <v>409</v>
      </c>
      <c r="E120" s="305" t="s">
        <v>561</v>
      </c>
      <c r="F120" s="305"/>
      <c r="G120" s="307">
        <v>1.79</v>
      </c>
      <c r="H120" s="305" t="s">
        <v>375</v>
      </c>
      <c r="I120" s="305" t="s">
        <v>152</v>
      </c>
      <c r="J120" s="305" t="s">
        <v>102</v>
      </c>
      <c r="K120" s="305" t="s">
        <v>2363</v>
      </c>
    </row>
    <row r="121" spans="1:11" x14ac:dyDescent="0.25">
      <c r="A121" s="302" t="str">
        <f t="shared" si="1"/>
        <v>Low Flow Showerhead_0_SF_yWater</v>
      </c>
      <c r="B121" s="303" t="s">
        <v>15</v>
      </c>
      <c r="C121" s="304">
        <v>0</v>
      </c>
      <c r="D121" s="303" t="s">
        <v>409</v>
      </c>
      <c r="E121" s="305" t="s">
        <v>369</v>
      </c>
      <c r="F121" s="309" t="s">
        <v>346</v>
      </c>
      <c r="G121" s="306">
        <v>8.33</v>
      </c>
      <c r="H121" s="305"/>
      <c r="I121" s="305" t="s">
        <v>152</v>
      </c>
      <c r="J121" s="305" t="s">
        <v>102</v>
      </c>
      <c r="K121" s="305" t="s">
        <v>2363</v>
      </c>
    </row>
    <row r="122" spans="1:11" x14ac:dyDescent="0.25">
      <c r="A122" s="302" t="str">
        <f t="shared" si="1"/>
        <v>Low Flow Showerhead_0_SF_Shower Temp</v>
      </c>
      <c r="B122" s="303" t="s">
        <v>15</v>
      </c>
      <c r="C122" s="304">
        <v>0</v>
      </c>
      <c r="D122" s="303" t="s">
        <v>409</v>
      </c>
      <c r="E122" s="305" t="s">
        <v>562</v>
      </c>
      <c r="F122" s="305" t="s">
        <v>542</v>
      </c>
      <c r="G122" s="306">
        <v>101</v>
      </c>
      <c r="H122" s="305"/>
      <c r="I122" s="305" t="s">
        <v>152</v>
      </c>
      <c r="J122" s="305" t="s">
        <v>102</v>
      </c>
      <c r="K122" s="305" t="s">
        <v>2363</v>
      </c>
    </row>
    <row r="123" spans="1:11" x14ac:dyDescent="0.25">
      <c r="A123" s="302" t="str">
        <f t="shared" si="1"/>
        <v>Low Flow Showerhead_0_SF_Incoming Water Temperature</v>
      </c>
      <c r="B123" s="303" t="s">
        <v>15</v>
      </c>
      <c r="C123" s="304">
        <v>0</v>
      </c>
      <c r="D123" s="303" t="s">
        <v>409</v>
      </c>
      <c r="E123" s="305" t="s">
        <v>265</v>
      </c>
      <c r="F123" s="305" t="s">
        <v>542</v>
      </c>
      <c r="G123" s="310">
        <v>50.7</v>
      </c>
      <c r="H123" s="311" t="s">
        <v>1916</v>
      </c>
      <c r="I123" s="305" t="s">
        <v>152</v>
      </c>
      <c r="J123" s="305" t="s">
        <v>102</v>
      </c>
      <c r="K123" s="305" t="s">
        <v>2363</v>
      </c>
    </row>
    <row r="124" spans="1:11" x14ac:dyDescent="0.25">
      <c r="A124" s="302" t="str">
        <f t="shared" si="1"/>
        <v>Low Flow Showerhead_0_SF_RE_Gas</v>
      </c>
      <c r="B124" s="303" t="s">
        <v>15</v>
      </c>
      <c r="C124" s="304">
        <v>0</v>
      </c>
      <c r="D124" s="303" t="s">
        <v>409</v>
      </c>
      <c r="E124" s="305" t="s">
        <v>543</v>
      </c>
      <c r="F124" s="305"/>
      <c r="G124" s="308">
        <v>0.78</v>
      </c>
      <c r="H124" s="305"/>
      <c r="I124" s="305" t="s">
        <v>152</v>
      </c>
      <c r="J124" s="305" t="s">
        <v>102</v>
      </c>
      <c r="K124" s="305" t="s">
        <v>2363</v>
      </c>
    </row>
    <row r="125" spans="1:11" x14ac:dyDescent="0.25">
      <c r="A125" s="302" t="str">
        <f t="shared" si="1"/>
        <v>Low Flow Showerhead_0_SF_EPG_Gas</v>
      </c>
      <c r="B125" s="303" t="s">
        <v>15</v>
      </c>
      <c r="C125" s="304">
        <v>0</v>
      </c>
      <c r="D125" s="303" t="s">
        <v>409</v>
      </c>
      <c r="E125" s="305" t="s">
        <v>544</v>
      </c>
      <c r="F125" s="305"/>
      <c r="G125" s="312">
        <f>G121*1*(G122-G123)/(100000*G124)</f>
        <v>5.3717820512820509E-3</v>
      </c>
      <c r="H125" s="311" t="s">
        <v>1925</v>
      </c>
      <c r="I125" s="305" t="s">
        <v>152</v>
      </c>
      <c r="J125" s="305" t="s">
        <v>102</v>
      </c>
      <c r="K125" s="305" t="s">
        <v>2363</v>
      </c>
    </row>
    <row r="126" spans="1:11" x14ac:dyDescent="0.25">
      <c r="A126" s="302" t="str">
        <f t="shared" si="1"/>
        <v>Low Flow Showerhead_0_SF_ISR</v>
      </c>
      <c r="B126" s="303" t="s">
        <v>15</v>
      </c>
      <c r="C126" s="304">
        <v>0</v>
      </c>
      <c r="D126" s="303" t="s">
        <v>409</v>
      </c>
      <c r="E126" s="305" t="s">
        <v>267</v>
      </c>
      <c r="F126" s="305" t="s">
        <v>539</v>
      </c>
      <c r="G126" s="313">
        <v>0.96</v>
      </c>
      <c r="H126" s="305" t="s">
        <v>375</v>
      </c>
      <c r="I126" s="305" t="s">
        <v>152</v>
      </c>
      <c r="J126" s="305" t="s">
        <v>102</v>
      </c>
      <c r="K126" s="305" t="s">
        <v>2363</v>
      </c>
    </row>
    <row r="127" spans="1:11" x14ac:dyDescent="0.25">
      <c r="A127" s="302" t="str">
        <f t="shared" si="1"/>
        <v>Low Flow Showerhead_0_SF_Therm Saved per Unit</v>
      </c>
      <c r="B127" s="303" t="s">
        <v>15</v>
      </c>
      <c r="C127" s="304">
        <v>0</v>
      </c>
      <c r="D127" s="303" t="s">
        <v>409</v>
      </c>
      <c r="E127" s="314" t="s">
        <v>326</v>
      </c>
      <c r="F127" s="314"/>
      <c r="G127" s="315">
        <f>(G115-G114)*G116*G117*G118*G119/G120*G125*G126</f>
        <v>9.3291988173715321</v>
      </c>
      <c r="H127" s="305"/>
      <c r="I127" s="305" t="s">
        <v>152</v>
      </c>
      <c r="J127" s="305" t="s">
        <v>102</v>
      </c>
      <c r="K127" s="305" t="s">
        <v>2363</v>
      </c>
    </row>
    <row r="128" spans="1:11" x14ac:dyDescent="0.25">
      <c r="A128" s="302" t="str">
        <f t="shared" si="1"/>
        <v>Low Flow Showerhead_0_SF_Gallons Saved per Unit</v>
      </c>
      <c r="B128" s="303" t="s">
        <v>15</v>
      </c>
      <c r="C128" s="304">
        <v>0</v>
      </c>
      <c r="D128" s="303" t="s">
        <v>409</v>
      </c>
      <c r="E128" s="314" t="s">
        <v>547</v>
      </c>
      <c r="F128" s="314"/>
      <c r="G128" s="315">
        <f>(G115-G114)*G116*G117*G118*G119*G126/G120</f>
        <v>1736.7046407150842</v>
      </c>
      <c r="H128" s="305"/>
      <c r="I128" s="305" t="s">
        <v>152</v>
      </c>
      <c r="J128" s="305" t="s">
        <v>102</v>
      </c>
      <c r="K128" s="305" t="s">
        <v>2363</v>
      </c>
    </row>
    <row r="129" spans="1:11" x14ac:dyDescent="0.25">
      <c r="A129" s="302" t="str">
        <f t="shared" si="1"/>
        <v>Low Flow Showerhead_0_SF_Lifetime (years)</v>
      </c>
      <c r="B129" s="303" t="s">
        <v>15</v>
      </c>
      <c r="C129" s="304">
        <v>0</v>
      </c>
      <c r="D129" s="303" t="s">
        <v>409</v>
      </c>
      <c r="E129" s="314" t="s">
        <v>259</v>
      </c>
      <c r="F129" s="314" t="s">
        <v>548</v>
      </c>
      <c r="G129" s="315">
        <v>10</v>
      </c>
      <c r="H129" s="305"/>
      <c r="I129" s="305" t="s">
        <v>152</v>
      </c>
      <c r="J129" s="305" t="s">
        <v>102</v>
      </c>
      <c r="K129" s="305" t="s">
        <v>2363</v>
      </c>
    </row>
    <row r="130" spans="1:11" x14ac:dyDescent="0.25">
      <c r="A130" s="302" t="str">
        <f t="shared" si="1"/>
        <v>Low Flow Showerhead_0_SF_Incremental Cost</v>
      </c>
      <c r="B130" s="303" t="s">
        <v>15</v>
      </c>
      <c r="C130" s="304">
        <v>0</v>
      </c>
      <c r="D130" s="303" t="s">
        <v>409</v>
      </c>
      <c r="E130" s="314" t="s">
        <v>260</v>
      </c>
      <c r="F130" s="314" t="s">
        <v>549</v>
      </c>
      <c r="G130" s="316">
        <v>12</v>
      </c>
      <c r="H130" s="305" t="s">
        <v>308</v>
      </c>
      <c r="I130" s="305" t="s">
        <v>152</v>
      </c>
      <c r="J130" s="305" t="s">
        <v>102</v>
      </c>
      <c r="K130" s="305" t="s">
        <v>2363</v>
      </c>
    </row>
    <row r="131" spans="1:11" s="324" customFormat="1" x14ac:dyDescent="0.25">
      <c r="A131" s="317" t="str">
        <f t="shared" si="1"/>
        <v>Low Flow Showerhead_0_SF_</v>
      </c>
      <c r="B131" s="317" t="str">
        <f>B130</f>
        <v>Low Flow Showerhead</v>
      </c>
      <c r="C131" s="317">
        <f>C130</f>
        <v>0</v>
      </c>
      <c r="D131" s="317" t="str">
        <f>D130</f>
        <v>SF</v>
      </c>
      <c r="E131" s="317"/>
      <c r="F131" s="317"/>
      <c r="G131" s="323"/>
      <c r="H131" s="320"/>
      <c r="I131" s="320"/>
      <c r="J131" s="317"/>
      <c r="K131" s="317"/>
    </row>
    <row r="132" spans="1:11" x14ac:dyDescent="0.25">
      <c r="A132" s="302" t="str">
        <f t="shared" si="1"/>
        <v>Low Flow Showerhead_IE Kit_IE_Efficient GPM</v>
      </c>
      <c r="B132" s="303" t="s">
        <v>15</v>
      </c>
      <c r="C132" s="304" t="s">
        <v>550</v>
      </c>
      <c r="D132" s="303" t="s">
        <v>551</v>
      </c>
      <c r="E132" s="305" t="s">
        <v>301</v>
      </c>
      <c r="F132" s="305"/>
      <c r="G132" s="306">
        <v>1.5</v>
      </c>
      <c r="H132" s="305" t="s">
        <v>559</v>
      </c>
      <c r="I132" s="305" t="s">
        <v>152</v>
      </c>
      <c r="J132" s="305" t="s">
        <v>102</v>
      </c>
      <c r="K132" s="305" t="s">
        <v>2363</v>
      </c>
    </row>
    <row r="133" spans="1:11" x14ac:dyDescent="0.25">
      <c r="A133" s="302" t="str">
        <f t="shared" si="1"/>
        <v>Low Flow Showerhead_IE Kit_IE_Baseline GPM</v>
      </c>
      <c r="B133" s="303" t="s">
        <v>15</v>
      </c>
      <c r="C133" s="304" t="s">
        <v>550</v>
      </c>
      <c r="D133" s="303" t="s">
        <v>551</v>
      </c>
      <c r="E133" s="305" t="s">
        <v>303</v>
      </c>
      <c r="F133" s="305"/>
      <c r="G133" s="306">
        <v>2.35</v>
      </c>
      <c r="H133" s="305" t="s">
        <v>1788</v>
      </c>
      <c r="I133" s="305" t="s">
        <v>152</v>
      </c>
      <c r="J133" s="305" t="s">
        <v>102</v>
      </c>
      <c r="K133" s="305" t="s">
        <v>2363</v>
      </c>
    </row>
    <row r="134" spans="1:11" x14ac:dyDescent="0.25">
      <c r="A134" s="302" t="str">
        <f t="shared" ref="A134:A197" si="2">B134&amp;"_"&amp;C134&amp;"_"&amp;D134&amp;"_"&amp;E134</f>
        <v>Low Flow Showerhead_IE Kit_IE_Shower Minutes</v>
      </c>
      <c r="B134" s="303" t="s">
        <v>15</v>
      </c>
      <c r="C134" s="304" t="s">
        <v>550</v>
      </c>
      <c r="D134" s="303" t="s">
        <v>551</v>
      </c>
      <c r="E134" s="305" t="s">
        <v>310</v>
      </c>
      <c r="F134" s="305" t="s">
        <v>560</v>
      </c>
      <c r="G134" s="306">
        <v>7.8</v>
      </c>
      <c r="H134" s="305"/>
      <c r="I134" s="305" t="s">
        <v>152</v>
      </c>
      <c r="J134" s="305" t="s">
        <v>102</v>
      </c>
      <c r="K134" s="305" t="s">
        <v>2363</v>
      </c>
    </row>
    <row r="135" spans="1:11" x14ac:dyDescent="0.25">
      <c r="A135" s="302" t="str">
        <f t="shared" si="2"/>
        <v>Low Flow Showerhead_IE Kit_IE_People per Household</v>
      </c>
      <c r="B135" s="303" t="s">
        <v>15</v>
      </c>
      <c r="C135" s="304" t="s">
        <v>550</v>
      </c>
      <c r="D135" s="303" t="s">
        <v>551</v>
      </c>
      <c r="E135" s="305" t="s">
        <v>304</v>
      </c>
      <c r="F135" s="305" t="s">
        <v>537</v>
      </c>
      <c r="G135" s="307">
        <f>AVERAGE(G117,G153)</f>
        <v>2.33</v>
      </c>
      <c r="H135" s="305" t="s">
        <v>1789</v>
      </c>
      <c r="I135" s="305" t="s">
        <v>152</v>
      </c>
      <c r="J135" s="305" t="s">
        <v>102</v>
      </c>
      <c r="K135" s="305" t="s">
        <v>2363</v>
      </c>
    </row>
    <row r="136" spans="1:11" x14ac:dyDescent="0.25">
      <c r="A136" s="302" t="str">
        <f t="shared" si="2"/>
        <v>Low Flow Showerhead_IE Kit_IE_Shower/day/person</v>
      </c>
      <c r="B136" s="303" t="s">
        <v>15</v>
      </c>
      <c r="C136" s="304" t="s">
        <v>550</v>
      </c>
      <c r="D136" s="303" t="s">
        <v>551</v>
      </c>
      <c r="E136" s="305" t="s">
        <v>311</v>
      </c>
      <c r="F136" s="305" t="s">
        <v>311</v>
      </c>
      <c r="G136" s="306">
        <v>0.6</v>
      </c>
      <c r="H136" s="305"/>
      <c r="I136" s="305" t="s">
        <v>152</v>
      </c>
      <c r="J136" s="305" t="s">
        <v>102</v>
      </c>
      <c r="K136" s="305" t="s">
        <v>2363</v>
      </c>
    </row>
    <row r="137" spans="1:11" x14ac:dyDescent="0.25">
      <c r="A137" s="302" t="str">
        <f t="shared" si="2"/>
        <v>Low Flow Showerhead_IE Kit_IE_Days per Year</v>
      </c>
      <c r="B137" s="303" t="s">
        <v>15</v>
      </c>
      <c r="C137" s="304" t="s">
        <v>550</v>
      </c>
      <c r="D137" s="303" t="s">
        <v>551</v>
      </c>
      <c r="E137" s="305" t="s">
        <v>263</v>
      </c>
      <c r="F137" s="305" t="s">
        <v>538</v>
      </c>
      <c r="G137" s="306">
        <v>365.25</v>
      </c>
      <c r="H137" s="305"/>
      <c r="I137" s="305" t="s">
        <v>152</v>
      </c>
      <c r="J137" s="305" t="s">
        <v>102</v>
      </c>
      <c r="K137" s="305" t="s">
        <v>2363</v>
      </c>
    </row>
    <row r="138" spans="1:11" x14ac:dyDescent="0.25">
      <c r="A138" s="302" t="str">
        <f t="shared" si="2"/>
        <v>Low Flow Showerhead_IE Kit_IE_Showerheads per Household</v>
      </c>
      <c r="B138" s="303" t="s">
        <v>15</v>
      </c>
      <c r="C138" s="304" t="s">
        <v>550</v>
      </c>
      <c r="D138" s="303" t="s">
        <v>551</v>
      </c>
      <c r="E138" s="305" t="s">
        <v>561</v>
      </c>
      <c r="F138" s="305"/>
      <c r="G138" s="307">
        <f>AVERAGE(G120,G156)</f>
        <v>1.5449999999999999</v>
      </c>
      <c r="H138" s="305" t="s">
        <v>1789</v>
      </c>
      <c r="I138" s="305" t="s">
        <v>152</v>
      </c>
      <c r="J138" s="305" t="s">
        <v>102</v>
      </c>
      <c r="K138" s="305" t="s">
        <v>2363</v>
      </c>
    </row>
    <row r="139" spans="1:11" x14ac:dyDescent="0.25">
      <c r="A139" s="302" t="str">
        <f t="shared" si="2"/>
        <v>Low Flow Showerhead_IE Kit_IE_yWater</v>
      </c>
      <c r="B139" s="303" t="s">
        <v>15</v>
      </c>
      <c r="C139" s="304" t="s">
        <v>550</v>
      </c>
      <c r="D139" s="303" t="s">
        <v>551</v>
      </c>
      <c r="E139" s="305" t="s">
        <v>369</v>
      </c>
      <c r="F139" s="309" t="s">
        <v>346</v>
      </c>
      <c r="G139" s="306">
        <v>8.33</v>
      </c>
      <c r="H139" s="305"/>
      <c r="I139" s="305" t="s">
        <v>152</v>
      </c>
      <c r="J139" s="305" t="s">
        <v>102</v>
      </c>
      <c r="K139" s="305" t="s">
        <v>2363</v>
      </c>
    </row>
    <row r="140" spans="1:11" x14ac:dyDescent="0.25">
      <c r="A140" s="302" t="str">
        <f t="shared" si="2"/>
        <v>Low Flow Showerhead_IE Kit_IE_Shower Temp</v>
      </c>
      <c r="B140" s="303" t="s">
        <v>15</v>
      </c>
      <c r="C140" s="304" t="s">
        <v>550</v>
      </c>
      <c r="D140" s="303" t="s">
        <v>551</v>
      </c>
      <c r="E140" s="305" t="s">
        <v>562</v>
      </c>
      <c r="F140" s="305" t="s">
        <v>542</v>
      </c>
      <c r="G140" s="306">
        <v>101</v>
      </c>
      <c r="H140" s="305"/>
      <c r="I140" s="305" t="s">
        <v>152</v>
      </c>
      <c r="J140" s="305" t="s">
        <v>102</v>
      </c>
      <c r="K140" s="305" t="s">
        <v>2363</v>
      </c>
    </row>
    <row r="141" spans="1:11" x14ac:dyDescent="0.25">
      <c r="A141" s="302" t="str">
        <f t="shared" si="2"/>
        <v>Low Flow Showerhead_IE Kit_IE_Incoming Water Temperature</v>
      </c>
      <c r="B141" s="303" t="s">
        <v>15</v>
      </c>
      <c r="C141" s="304" t="s">
        <v>550</v>
      </c>
      <c r="D141" s="303" t="s">
        <v>551</v>
      </c>
      <c r="E141" s="305" t="s">
        <v>265</v>
      </c>
      <c r="F141" s="305" t="s">
        <v>542</v>
      </c>
      <c r="G141" s="310">
        <v>50.7</v>
      </c>
      <c r="H141" s="311" t="s">
        <v>1916</v>
      </c>
      <c r="I141" s="305" t="s">
        <v>152</v>
      </c>
      <c r="J141" s="305" t="s">
        <v>102</v>
      </c>
      <c r="K141" s="305" t="s">
        <v>2363</v>
      </c>
    </row>
    <row r="142" spans="1:11" x14ac:dyDescent="0.25">
      <c r="A142" s="302" t="str">
        <f t="shared" si="2"/>
        <v>Low Flow Showerhead_IE Kit_IE_RE_Gas</v>
      </c>
      <c r="B142" s="303" t="s">
        <v>15</v>
      </c>
      <c r="C142" s="304" t="s">
        <v>550</v>
      </c>
      <c r="D142" s="303" t="s">
        <v>551</v>
      </c>
      <c r="E142" s="305" t="s">
        <v>543</v>
      </c>
      <c r="F142" s="305"/>
      <c r="G142" s="308">
        <f>AVERAGE(G124,G160)</f>
        <v>0.72500000000000009</v>
      </c>
      <c r="H142" s="305" t="s">
        <v>1789</v>
      </c>
      <c r="I142" s="305" t="s">
        <v>152</v>
      </c>
      <c r="J142" s="305" t="s">
        <v>102</v>
      </c>
      <c r="K142" s="305" t="s">
        <v>2363</v>
      </c>
    </row>
    <row r="143" spans="1:11" x14ac:dyDescent="0.25">
      <c r="A143" s="302" t="str">
        <f t="shared" si="2"/>
        <v>Low Flow Showerhead_IE Kit_IE_EPG_Gas</v>
      </c>
      <c r="B143" s="303" t="s">
        <v>15</v>
      </c>
      <c r="C143" s="304" t="s">
        <v>550</v>
      </c>
      <c r="D143" s="303" t="s">
        <v>551</v>
      </c>
      <c r="E143" s="305" t="s">
        <v>544</v>
      </c>
      <c r="F143" s="305"/>
      <c r="G143" s="312">
        <f>G139*1*(G140-G141)/(100000*G142)</f>
        <v>5.7792965517241366E-3</v>
      </c>
      <c r="H143" s="311" t="s">
        <v>1925</v>
      </c>
      <c r="I143" s="305" t="s">
        <v>152</v>
      </c>
      <c r="J143" s="305" t="s">
        <v>102</v>
      </c>
      <c r="K143" s="305" t="s">
        <v>2363</v>
      </c>
    </row>
    <row r="144" spans="1:11" x14ac:dyDescent="0.25">
      <c r="A144" s="302" t="str">
        <f t="shared" si="2"/>
        <v>Low Flow Showerhead_IE Kit_IE_ISR</v>
      </c>
      <c r="B144" s="303" t="s">
        <v>15</v>
      </c>
      <c r="C144" s="304" t="s">
        <v>550</v>
      </c>
      <c r="D144" s="303" t="s">
        <v>551</v>
      </c>
      <c r="E144" s="305" t="s">
        <v>267</v>
      </c>
      <c r="F144" s="305" t="s">
        <v>539</v>
      </c>
      <c r="G144" s="322">
        <v>0.56999999999999995</v>
      </c>
      <c r="H144" s="311" t="s">
        <v>1943</v>
      </c>
      <c r="I144" s="305"/>
      <c r="J144" s="305"/>
      <c r="K144" s="305"/>
    </row>
    <row r="145" spans="1:11" x14ac:dyDescent="0.25">
      <c r="A145" s="302" t="str">
        <f t="shared" si="2"/>
        <v>Low Flow Showerhead_IE Kit_IE_Therm Saved per Unit</v>
      </c>
      <c r="B145" s="303" t="s">
        <v>15</v>
      </c>
      <c r="C145" s="304" t="s">
        <v>550</v>
      </c>
      <c r="D145" s="303" t="s">
        <v>551</v>
      </c>
      <c r="E145" s="314" t="s">
        <v>326</v>
      </c>
      <c r="F145" s="314"/>
      <c r="G145" s="315">
        <f>(G133-G132)*G134*G135*G136*G137/G138*G143*G144</f>
        <v>7.2182559285293824</v>
      </c>
      <c r="H145" s="305"/>
      <c r="I145" s="305" t="s">
        <v>152</v>
      </c>
      <c r="J145" s="305" t="s">
        <v>102</v>
      </c>
      <c r="K145" s="305" t="s">
        <v>2363</v>
      </c>
    </row>
    <row r="146" spans="1:11" x14ac:dyDescent="0.25">
      <c r="A146" s="302" t="str">
        <f t="shared" si="2"/>
        <v>Low Flow Showerhead_IE Kit_IE_Gallons Saved per Unit</v>
      </c>
      <c r="B146" s="303" t="s">
        <v>15</v>
      </c>
      <c r="C146" s="304" t="s">
        <v>550</v>
      </c>
      <c r="D146" s="303" t="s">
        <v>551</v>
      </c>
      <c r="E146" s="314" t="s">
        <v>547</v>
      </c>
      <c r="F146" s="314"/>
      <c r="G146" s="315">
        <f>(G133-G132)*G134*G135*G136*G137*G144/G138</f>
        <v>1248.9852119417476</v>
      </c>
      <c r="H146" s="305"/>
      <c r="I146" s="305" t="s">
        <v>152</v>
      </c>
      <c r="J146" s="305" t="s">
        <v>102</v>
      </c>
      <c r="K146" s="305" t="s">
        <v>2363</v>
      </c>
    </row>
    <row r="147" spans="1:11" x14ac:dyDescent="0.25">
      <c r="A147" s="302" t="str">
        <f t="shared" si="2"/>
        <v>Low Flow Showerhead_IE Kit_IE_Lifetime (years)</v>
      </c>
      <c r="B147" s="303" t="s">
        <v>15</v>
      </c>
      <c r="C147" s="304" t="s">
        <v>550</v>
      </c>
      <c r="D147" s="303" t="s">
        <v>551</v>
      </c>
      <c r="E147" s="314" t="s">
        <v>259</v>
      </c>
      <c r="F147" s="314" t="s">
        <v>548</v>
      </c>
      <c r="G147" s="315">
        <v>10</v>
      </c>
      <c r="H147" s="305"/>
      <c r="I147" s="305" t="s">
        <v>152</v>
      </c>
      <c r="J147" s="305" t="s">
        <v>102</v>
      </c>
      <c r="K147" s="305" t="s">
        <v>2363</v>
      </c>
    </row>
    <row r="148" spans="1:11" x14ac:dyDescent="0.25">
      <c r="A148" s="302" t="str">
        <f t="shared" si="2"/>
        <v>Low Flow Showerhead_IE Kit_IE_Incremental Cost</v>
      </c>
      <c r="B148" s="303" t="s">
        <v>15</v>
      </c>
      <c r="C148" s="304" t="s">
        <v>550</v>
      </c>
      <c r="D148" s="303" t="s">
        <v>551</v>
      </c>
      <c r="E148" s="314" t="s">
        <v>260</v>
      </c>
      <c r="F148" s="314" t="s">
        <v>549</v>
      </c>
      <c r="G148" s="316">
        <v>0</v>
      </c>
      <c r="H148" s="305" t="s">
        <v>552</v>
      </c>
      <c r="I148" s="305" t="s">
        <v>152</v>
      </c>
      <c r="J148" s="305" t="s">
        <v>102</v>
      </c>
      <c r="K148" s="305"/>
    </row>
    <row r="149" spans="1:11" s="324" customFormat="1" x14ac:dyDescent="0.25">
      <c r="A149" s="317" t="str">
        <f t="shared" si="2"/>
        <v>Low Flow Showerhead_IE Kit_IE_</v>
      </c>
      <c r="B149" s="317" t="str">
        <f>B148</f>
        <v>Low Flow Showerhead</v>
      </c>
      <c r="C149" s="317" t="str">
        <f>C148</f>
        <v>IE Kit</v>
      </c>
      <c r="D149" s="317" t="str">
        <f>D148</f>
        <v>IE</v>
      </c>
      <c r="E149" s="317"/>
      <c r="F149" s="317"/>
      <c r="G149" s="323"/>
      <c r="H149" s="320"/>
      <c r="I149" s="320"/>
      <c r="J149" s="317"/>
      <c r="K149" s="317"/>
    </row>
    <row r="150" spans="1:11" x14ac:dyDescent="0.25">
      <c r="A150" s="302" t="str">
        <f t="shared" si="2"/>
        <v>Low Flow Showerhead_0_MF_Efficient GPM</v>
      </c>
      <c r="B150" s="303" t="s">
        <v>15</v>
      </c>
      <c r="C150" s="304">
        <v>0</v>
      </c>
      <c r="D150" s="303" t="s">
        <v>553</v>
      </c>
      <c r="E150" s="305" t="s">
        <v>301</v>
      </c>
      <c r="F150" s="305"/>
      <c r="G150" s="306">
        <v>1.5</v>
      </c>
      <c r="H150" s="305" t="s">
        <v>559</v>
      </c>
      <c r="I150" s="305" t="s">
        <v>152</v>
      </c>
      <c r="J150" s="305" t="s">
        <v>102</v>
      </c>
      <c r="K150" s="305" t="s">
        <v>2363</v>
      </c>
    </row>
    <row r="151" spans="1:11" x14ac:dyDescent="0.25">
      <c r="A151" s="302" t="str">
        <f t="shared" si="2"/>
        <v>Low Flow Showerhead_0_MF_Baseline GPM</v>
      </c>
      <c r="B151" s="303" t="s">
        <v>15</v>
      </c>
      <c r="C151" s="304">
        <v>0</v>
      </c>
      <c r="D151" s="303" t="s">
        <v>553</v>
      </c>
      <c r="E151" s="305" t="s">
        <v>303</v>
      </c>
      <c r="F151" s="305"/>
      <c r="G151" s="306">
        <v>2.2400000000000002</v>
      </c>
      <c r="H151" s="305" t="s">
        <v>309</v>
      </c>
      <c r="I151" s="305" t="s">
        <v>152</v>
      </c>
      <c r="J151" s="305" t="s">
        <v>102</v>
      </c>
      <c r="K151" s="305" t="s">
        <v>2363</v>
      </c>
    </row>
    <row r="152" spans="1:11" x14ac:dyDescent="0.25">
      <c r="A152" s="302" t="str">
        <f t="shared" si="2"/>
        <v>Low Flow Showerhead_0_MF_Shower Minutes</v>
      </c>
      <c r="B152" s="303" t="s">
        <v>15</v>
      </c>
      <c r="C152" s="304">
        <v>0</v>
      </c>
      <c r="D152" s="303" t="s">
        <v>553</v>
      </c>
      <c r="E152" s="305" t="s">
        <v>310</v>
      </c>
      <c r="F152" s="305" t="s">
        <v>560</v>
      </c>
      <c r="G152" s="306">
        <v>7.8</v>
      </c>
      <c r="H152" s="305"/>
      <c r="I152" s="305" t="s">
        <v>152</v>
      </c>
      <c r="J152" s="305" t="s">
        <v>102</v>
      </c>
      <c r="K152" s="305" t="s">
        <v>2363</v>
      </c>
    </row>
    <row r="153" spans="1:11" x14ac:dyDescent="0.25">
      <c r="A153" s="302" t="str">
        <f t="shared" si="2"/>
        <v>Low Flow Showerhead_0_MF_People per Household</v>
      </c>
      <c r="B153" s="303" t="s">
        <v>15</v>
      </c>
      <c r="C153" s="304">
        <v>0</v>
      </c>
      <c r="D153" s="303" t="s">
        <v>553</v>
      </c>
      <c r="E153" s="305" t="s">
        <v>304</v>
      </c>
      <c r="F153" s="305" t="s">
        <v>537</v>
      </c>
      <c r="G153" s="307">
        <v>2.1</v>
      </c>
      <c r="H153" s="305" t="s">
        <v>553</v>
      </c>
      <c r="I153" s="305" t="s">
        <v>152</v>
      </c>
      <c r="J153" s="305" t="s">
        <v>102</v>
      </c>
      <c r="K153" s="305" t="s">
        <v>2363</v>
      </c>
    </row>
    <row r="154" spans="1:11" x14ac:dyDescent="0.25">
      <c r="A154" s="302" t="str">
        <f t="shared" si="2"/>
        <v>Low Flow Showerhead_0_MF_Shower/day/person</v>
      </c>
      <c r="B154" s="303" t="s">
        <v>15</v>
      </c>
      <c r="C154" s="304">
        <v>0</v>
      </c>
      <c r="D154" s="303" t="s">
        <v>553</v>
      </c>
      <c r="E154" s="305" t="s">
        <v>311</v>
      </c>
      <c r="F154" s="305" t="s">
        <v>311</v>
      </c>
      <c r="G154" s="306">
        <v>0.6</v>
      </c>
      <c r="H154" s="305"/>
      <c r="I154" s="305" t="s">
        <v>152</v>
      </c>
      <c r="J154" s="305" t="s">
        <v>102</v>
      </c>
      <c r="K154" s="305" t="s">
        <v>2363</v>
      </c>
    </row>
    <row r="155" spans="1:11" x14ac:dyDescent="0.25">
      <c r="A155" s="302" t="str">
        <f t="shared" si="2"/>
        <v>Low Flow Showerhead_0_MF_Days per Year</v>
      </c>
      <c r="B155" s="303" t="s">
        <v>15</v>
      </c>
      <c r="C155" s="304">
        <v>0</v>
      </c>
      <c r="D155" s="303" t="s">
        <v>553</v>
      </c>
      <c r="E155" s="305" t="s">
        <v>263</v>
      </c>
      <c r="F155" s="305" t="s">
        <v>538</v>
      </c>
      <c r="G155" s="306">
        <v>365.25</v>
      </c>
      <c r="H155" s="305"/>
      <c r="I155" s="305" t="s">
        <v>152</v>
      </c>
      <c r="J155" s="305" t="s">
        <v>102</v>
      </c>
      <c r="K155" s="305" t="s">
        <v>2363</v>
      </c>
    </row>
    <row r="156" spans="1:11" x14ac:dyDescent="0.25">
      <c r="A156" s="302" t="str">
        <f t="shared" si="2"/>
        <v>Low Flow Showerhead_0_MF_Showerheads per Household</v>
      </c>
      <c r="B156" s="303" t="s">
        <v>15</v>
      </c>
      <c r="C156" s="304">
        <v>0</v>
      </c>
      <c r="D156" s="303" t="s">
        <v>553</v>
      </c>
      <c r="E156" s="305" t="s">
        <v>561</v>
      </c>
      <c r="F156" s="305"/>
      <c r="G156" s="307">
        <v>1.3</v>
      </c>
      <c r="H156" s="305" t="s">
        <v>553</v>
      </c>
      <c r="I156" s="305" t="s">
        <v>152</v>
      </c>
      <c r="J156" s="305" t="s">
        <v>102</v>
      </c>
      <c r="K156" s="305" t="s">
        <v>2363</v>
      </c>
    </row>
    <row r="157" spans="1:11" x14ac:dyDescent="0.25">
      <c r="A157" s="302" t="str">
        <f t="shared" si="2"/>
        <v>Low Flow Showerhead_0_MF_yWater</v>
      </c>
      <c r="B157" s="303" t="s">
        <v>15</v>
      </c>
      <c r="C157" s="304">
        <v>0</v>
      </c>
      <c r="D157" s="303" t="s">
        <v>553</v>
      </c>
      <c r="E157" s="305" t="s">
        <v>369</v>
      </c>
      <c r="F157" s="309" t="s">
        <v>346</v>
      </c>
      <c r="G157" s="306">
        <v>8.33</v>
      </c>
      <c r="H157" s="305"/>
      <c r="I157" s="305" t="s">
        <v>152</v>
      </c>
      <c r="J157" s="305" t="s">
        <v>102</v>
      </c>
      <c r="K157" s="305" t="s">
        <v>2363</v>
      </c>
    </row>
    <row r="158" spans="1:11" x14ac:dyDescent="0.25">
      <c r="A158" s="302" t="str">
        <f t="shared" si="2"/>
        <v>Low Flow Showerhead_0_MF_Shower Temp</v>
      </c>
      <c r="B158" s="303" t="s">
        <v>15</v>
      </c>
      <c r="C158" s="304">
        <v>0</v>
      </c>
      <c r="D158" s="303" t="s">
        <v>553</v>
      </c>
      <c r="E158" s="305" t="s">
        <v>562</v>
      </c>
      <c r="F158" s="305" t="s">
        <v>542</v>
      </c>
      <c r="G158" s="306">
        <v>101</v>
      </c>
      <c r="H158" s="305"/>
      <c r="I158" s="305" t="s">
        <v>152</v>
      </c>
      <c r="J158" s="305" t="s">
        <v>102</v>
      </c>
      <c r="K158" s="305" t="s">
        <v>2363</v>
      </c>
    </row>
    <row r="159" spans="1:11" x14ac:dyDescent="0.25">
      <c r="A159" s="302" t="str">
        <f t="shared" si="2"/>
        <v>Low Flow Showerhead_0_MF_Incoming Water Temperature</v>
      </c>
      <c r="B159" s="303" t="s">
        <v>15</v>
      </c>
      <c r="C159" s="304">
        <v>0</v>
      </c>
      <c r="D159" s="303" t="s">
        <v>553</v>
      </c>
      <c r="E159" s="305" t="s">
        <v>265</v>
      </c>
      <c r="F159" s="305" t="s">
        <v>542</v>
      </c>
      <c r="G159" s="310">
        <v>50.7</v>
      </c>
      <c r="H159" s="311" t="s">
        <v>1916</v>
      </c>
      <c r="I159" s="305" t="s">
        <v>152</v>
      </c>
      <c r="J159" s="305" t="s">
        <v>102</v>
      </c>
      <c r="K159" s="305" t="s">
        <v>2363</v>
      </c>
    </row>
    <row r="160" spans="1:11" x14ac:dyDescent="0.25">
      <c r="A160" s="302" t="str">
        <f t="shared" si="2"/>
        <v>Low Flow Showerhead_0_MF_RE_Gas</v>
      </c>
      <c r="B160" s="303" t="s">
        <v>15</v>
      </c>
      <c r="C160" s="304">
        <v>0</v>
      </c>
      <c r="D160" s="303" t="s">
        <v>553</v>
      </c>
      <c r="E160" s="305" t="s">
        <v>543</v>
      </c>
      <c r="F160" s="305"/>
      <c r="G160" s="308">
        <v>0.67</v>
      </c>
      <c r="H160" s="305"/>
      <c r="I160" s="305" t="s">
        <v>152</v>
      </c>
      <c r="J160" s="305" t="s">
        <v>102</v>
      </c>
      <c r="K160" s="305" t="s">
        <v>2363</v>
      </c>
    </row>
    <row r="161" spans="1:128" x14ac:dyDescent="0.25">
      <c r="A161" s="302" t="str">
        <f t="shared" si="2"/>
        <v>Low Flow Showerhead_0_MF_EPG_Gas</v>
      </c>
      <c r="B161" s="303" t="s">
        <v>15</v>
      </c>
      <c r="C161" s="304">
        <v>0</v>
      </c>
      <c r="D161" s="303" t="s">
        <v>553</v>
      </c>
      <c r="E161" s="305" t="s">
        <v>544</v>
      </c>
      <c r="F161" s="305"/>
      <c r="G161" s="312">
        <f>G157*1*(G158-G159)/(100000*G160)</f>
        <v>6.253716417910447E-3</v>
      </c>
      <c r="H161" s="311" t="s">
        <v>1925</v>
      </c>
      <c r="I161" s="305" t="s">
        <v>152</v>
      </c>
      <c r="J161" s="305" t="s">
        <v>102</v>
      </c>
      <c r="K161" s="305" t="s">
        <v>2363</v>
      </c>
    </row>
    <row r="162" spans="1:128" x14ac:dyDescent="0.25">
      <c r="A162" s="302" t="str">
        <f t="shared" si="2"/>
        <v>Low Flow Showerhead_0_MF_ISR</v>
      </c>
      <c r="B162" s="303" t="s">
        <v>15</v>
      </c>
      <c r="C162" s="304">
        <v>0</v>
      </c>
      <c r="D162" s="303" t="s">
        <v>553</v>
      </c>
      <c r="E162" s="305" t="s">
        <v>267</v>
      </c>
      <c r="F162" s="305" t="s">
        <v>539</v>
      </c>
      <c r="G162" s="313">
        <v>0.96</v>
      </c>
      <c r="H162" s="305" t="s">
        <v>553</v>
      </c>
      <c r="I162" s="305" t="s">
        <v>152</v>
      </c>
      <c r="J162" s="305" t="s">
        <v>102</v>
      </c>
      <c r="K162" s="305" t="s">
        <v>2363</v>
      </c>
    </row>
    <row r="163" spans="1:128" x14ac:dyDescent="0.25">
      <c r="A163" s="302" t="str">
        <f t="shared" si="2"/>
        <v>Low Flow Showerhead_0_MF_Therm Saved per Unit</v>
      </c>
      <c r="B163" s="303" t="s">
        <v>15</v>
      </c>
      <c r="C163" s="304">
        <v>0</v>
      </c>
      <c r="D163" s="303" t="s">
        <v>553</v>
      </c>
      <c r="E163" s="314" t="s">
        <v>326</v>
      </c>
      <c r="F163" s="314"/>
      <c r="G163" s="315">
        <f>(G151-G150)*G152*G153*G154*G155/G156*G161*G162</f>
        <v>12.26741780124752</v>
      </c>
      <c r="H163" s="305"/>
      <c r="I163" s="305" t="s">
        <v>152</v>
      </c>
      <c r="J163" s="305" t="s">
        <v>102</v>
      </c>
      <c r="K163" s="305" t="s">
        <v>2363</v>
      </c>
    </row>
    <row r="164" spans="1:128" x14ac:dyDescent="0.25">
      <c r="A164" s="302" t="str">
        <f t="shared" si="2"/>
        <v>Low Flow Showerhead_0_MF_Gallons Saved per Unit</v>
      </c>
      <c r="B164" s="303" t="s">
        <v>15</v>
      </c>
      <c r="C164" s="304">
        <v>0</v>
      </c>
      <c r="D164" s="303" t="s">
        <v>553</v>
      </c>
      <c r="E164" s="314" t="s">
        <v>547</v>
      </c>
      <c r="F164" s="314"/>
      <c r="G164" s="315">
        <f>(G151-G150)*G152*G153*G154*G155*G162/G156</f>
        <v>1961.6204160000002</v>
      </c>
      <c r="H164" s="305"/>
      <c r="I164" s="305" t="s">
        <v>152</v>
      </c>
      <c r="J164" s="305" t="s">
        <v>102</v>
      </c>
      <c r="K164" s="305" t="s">
        <v>2363</v>
      </c>
    </row>
    <row r="165" spans="1:128" x14ac:dyDescent="0.25">
      <c r="A165" s="302" t="str">
        <f t="shared" si="2"/>
        <v>Low Flow Showerhead_0_MF_Lifetime (years)</v>
      </c>
      <c r="B165" s="303" t="s">
        <v>15</v>
      </c>
      <c r="C165" s="304">
        <v>0</v>
      </c>
      <c r="D165" s="303" t="s">
        <v>553</v>
      </c>
      <c r="E165" s="314" t="s">
        <v>259</v>
      </c>
      <c r="F165" s="314" t="s">
        <v>548</v>
      </c>
      <c r="G165" s="315">
        <v>10</v>
      </c>
      <c r="H165" s="305"/>
      <c r="I165" s="305" t="s">
        <v>152</v>
      </c>
      <c r="J165" s="305" t="s">
        <v>102</v>
      </c>
      <c r="K165" s="305" t="s">
        <v>2363</v>
      </c>
    </row>
    <row r="166" spans="1:128" x14ac:dyDescent="0.25">
      <c r="A166" s="302" t="str">
        <f t="shared" si="2"/>
        <v>Low Flow Showerhead_0_MF_Incremental Cost</v>
      </c>
      <c r="B166" s="303" t="s">
        <v>15</v>
      </c>
      <c r="C166" s="304">
        <v>0</v>
      </c>
      <c r="D166" s="303" t="s">
        <v>553</v>
      </c>
      <c r="E166" s="314" t="s">
        <v>260</v>
      </c>
      <c r="F166" s="314" t="s">
        <v>549</v>
      </c>
      <c r="G166" s="316">
        <v>12</v>
      </c>
      <c r="H166" s="305" t="s">
        <v>308</v>
      </c>
      <c r="I166" s="305" t="s">
        <v>152</v>
      </c>
      <c r="J166" s="305" t="s">
        <v>102</v>
      </c>
      <c r="K166" s="305" t="s">
        <v>2363</v>
      </c>
    </row>
    <row r="167" spans="1:128" s="324" customFormat="1" x14ac:dyDescent="0.25">
      <c r="A167" s="317" t="str">
        <f t="shared" si="2"/>
        <v>Low Flow Showerhead_0_MF_</v>
      </c>
      <c r="B167" s="317" t="str">
        <f>B166</f>
        <v>Low Flow Showerhead</v>
      </c>
      <c r="C167" s="317">
        <f>C166</f>
        <v>0</v>
      </c>
      <c r="D167" s="317" t="str">
        <f>D166</f>
        <v>MF</v>
      </c>
      <c r="E167" s="317"/>
      <c r="F167" s="317"/>
      <c r="G167" s="323"/>
      <c r="H167" s="320"/>
      <c r="I167" s="320"/>
      <c r="J167" s="317"/>
      <c r="K167" s="317"/>
    </row>
    <row r="168" spans="1:128" s="324" customFormat="1" x14ac:dyDescent="0.25">
      <c r="A168" s="302" t="str">
        <f t="shared" si="2"/>
        <v>Outlet and Switch Gaskets_IE Kit_IE_Delta_therms</v>
      </c>
      <c r="B168" s="303" t="s">
        <v>563</v>
      </c>
      <c r="C168" s="304" t="s">
        <v>550</v>
      </c>
      <c r="D168" s="303" t="s">
        <v>551</v>
      </c>
      <c r="E168" s="305" t="s">
        <v>491</v>
      </c>
      <c r="F168" s="305" t="s">
        <v>564</v>
      </c>
      <c r="G168" s="306">
        <v>0.47</v>
      </c>
      <c r="H168" s="305"/>
      <c r="I168" s="305" t="s">
        <v>152</v>
      </c>
      <c r="J168" s="305" t="s">
        <v>106</v>
      </c>
      <c r="K168" s="305" t="s">
        <v>2058</v>
      </c>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row>
    <row r="169" spans="1:128" s="324" customFormat="1" x14ac:dyDescent="0.25">
      <c r="A169" s="302" t="str">
        <f t="shared" si="2"/>
        <v>Outlet and Switch Gaskets_IE Kit_IE_Delta_kWh</v>
      </c>
      <c r="B169" s="303" t="s">
        <v>563</v>
      </c>
      <c r="C169" s="304" t="s">
        <v>550</v>
      </c>
      <c r="D169" s="303" t="s">
        <v>551</v>
      </c>
      <c r="E169" s="305" t="s">
        <v>359</v>
      </c>
      <c r="F169" s="305" t="s">
        <v>565</v>
      </c>
      <c r="G169" s="306">
        <f>AVERAGE(10.2,5.1)</f>
        <v>7.6499999999999995</v>
      </c>
      <c r="H169" s="305" t="s">
        <v>566</v>
      </c>
      <c r="I169" s="305" t="s">
        <v>152</v>
      </c>
      <c r="J169" s="305" t="s">
        <v>106</v>
      </c>
      <c r="K169" s="305" t="s">
        <v>2058</v>
      </c>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row>
    <row r="170" spans="1:128" s="324" customFormat="1" x14ac:dyDescent="0.25">
      <c r="A170" s="302" t="str">
        <f t="shared" si="2"/>
        <v>Outlet and Switch Gaskets_IE Kit_IE_FLH Cooling</v>
      </c>
      <c r="B170" s="303" t="s">
        <v>563</v>
      </c>
      <c r="C170" s="304" t="s">
        <v>550</v>
      </c>
      <c r="D170" s="303" t="s">
        <v>551</v>
      </c>
      <c r="E170" s="305" t="s">
        <v>249</v>
      </c>
      <c r="F170" s="305" t="s">
        <v>283</v>
      </c>
      <c r="G170" s="325">
        <v>570</v>
      </c>
      <c r="H170" s="305" t="s">
        <v>567</v>
      </c>
      <c r="I170" s="305" t="s">
        <v>152</v>
      </c>
      <c r="J170" s="305" t="s">
        <v>106</v>
      </c>
      <c r="K170" s="305" t="s">
        <v>2058</v>
      </c>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row>
    <row r="171" spans="1:128" s="324" customFormat="1" x14ac:dyDescent="0.25">
      <c r="A171" s="302" t="str">
        <f t="shared" si="2"/>
        <v>Outlet and Switch Gaskets_IE Kit_IE_CF</v>
      </c>
      <c r="B171" s="303" t="s">
        <v>563</v>
      </c>
      <c r="C171" s="304" t="s">
        <v>550</v>
      </c>
      <c r="D171" s="303" t="s">
        <v>551</v>
      </c>
      <c r="E171" s="305" t="s">
        <v>253</v>
      </c>
      <c r="F171" s="305" t="s">
        <v>539</v>
      </c>
      <c r="G171" s="306">
        <f>AVERAGE(68%,72%)</f>
        <v>0.7</v>
      </c>
      <c r="H171" s="305" t="s">
        <v>568</v>
      </c>
      <c r="I171" s="305" t="s">
        <v>152</v>
      </c>
      <c r="J171" s="305" t="s">
        <v>106</v>
      </c>
      <c r="K171" s="305" t="s">
        <v>2058</v>
      </c>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row>
    <row r="172" spans="1:128" s="324" customFormat="1" x14ac:dyDescent="0.25">
      <c r="A172" s="302" t="str">
        <f t="shared" si="2"/>
        <v>Outlet and Switch Gaskets_IE Kit_IE_ADJRxAirsealing</v>
      </c>
      <c r="B172" s="303" t="s">
        <v>563</v>
      </c>
      <c r="C172" s="304" t="s">
        <v>550</v>
      </c>
      <c r="D172" s="303" t="s">
        <v>551</v>
      </c>
      <c r="E172" s="305" t="s">
        <v>518</v>
      </c>
      <c r="F172" s="305" t="s">
        <v>539</v>
      </c>
      <c r="G172" s="306">
        <v>0.8</v>
      </c>
      <c r="H172" s="305"/>
      <c r="I172" s="305" t="s">
        <v>152</v>
      </c>
      <c r="J172" s="305" t="s">
        <v>106</v>
      </c>
      <c r="K172" s="305" t="s">
        <v>2058</v>
      </c>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row>
    <row r="173" spans="1:128" s="324" customFormat="1" x14ac:dyDescent="0.25">
      <c r="A173" s="302" t="str">
        <f t="shared" si="2"/>
        <v>Outlet and Switch Gaskets_IE Kit_IE_ISR</v>
      </c>
      <c r="B173" s="303" t="s">
        <v>563</v>
      </c>
      <c r="C173" s="304" t="s">
        <v>550</v>
      </c>
      <c r="D173" s="303" t="s">
        <v>551</v>
      </c>
      <c r="E173" s="305" t="s">
        <v>267</v>
      </c>
      <c r="F173" s="305" t="s">
        <v>539</v>
      </c>
      <c r="G173" s="313">
        <v>0.4</v>
      </c>
      <c r="H173" s="305" t="s">
        <v>563</v>
      </c>
      <c r="I173" s="305" t="s">
        <v>152</v>
      </c>
      <c r="J173" s="305" t="s">
        <v>106</v>
      </c>
      <c r="K173" s="305" t="s">
        <v>2058</v>
      </c>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row>
    <row r="174" spans="1:128" x14ac:dyDescent="0.25">
      <c r="A174" s="302" t="str">
        <f t="shared" si="2"/>
        <v>Outlet and Switch Gaskets_IE Kit_IE_</v>
      </c>
      <c r="B174" s="303" t="s">
        <v>563</v>
      </c>
      <c r="C174" s="304" t="s">
        <v>550</v>
      </c>
      <c r="D174" s="303" t="s">
        <v>551</v>
      </c>
      <c r="E174" s="314"/>
      <c r="F174" s="326" t="s">
        <v>569</v>
      </c>
      <c r="G174" s="315">
        <f>G173*G169*G172</f>
        <v>2.4480000000000004</v>
      </c>
      <c r="H174" s="305" t="s">
        <v>570</v>
      </c>
      <c r="I174" s="305" t="s">
        <v>152</v>
      </c>
      <c r="J174" s="305" t="s">
        <v>106</v>
      </c>
      <c r="K174" s="305" t="s">
        <v>2058</v>
      </c>
    </row>
    <row r="175" spans="1:128" x14ac:dyDescent="0.25">
      <c r="A175" s="302" t="str">
        <f t="shared" si="2"/>
        <v>Outlet and Switch Gaskets_IE Kit_IE_</v>
      </c>
      <c r="B175" s="303" t="s">
        <v>563</v>
      </c>
      <c r="C175" s="304" t="s">
        <v>550</v>
      </c>
      <c r="D175" s="303" t="s">
        <v>551</v>
      </c>
      <c r="E175" s="314"/>
      <c r="F175" s="326" t="s">
        <v>571</v>
      </c>
      <c r="G175" s="315">
        <f>G169/G170*G171</f>
        <v>9.3947368421052613E-3</v>
      </c>
      <c r="H175" s="305" t="s">
        <v>570</v>
      </c>
      <c r="I175" s="305" t="s">
        <v>152</v>
      </c>
      <c r="J175" s="305" t="s">
        <v>106</v>
      </c>
      <c r="K175" s="305" t="s">
        <v>2058</v>
      </c>
    </row>
    <row r="176" spans="1:128" x14ac:dyDescent="0.25">
      <c r="A176" s="302" t="str">
        <f t="shared" si="2"/>
        <v>Outlet and Switch Gaskets_IE Kit_IE_Therm Saved per Unit</v>
      </c>
      <c r="B176" s="303" t="s">
        <v>563</v>
      </c>
      <c r="C176" s="304" t="s">
        <v>550</v>
      </c>
      <c r="D176" s="303" t="s">
        <v>551</v>
      </c>
      <c r="E176" s="314" t="s">
        <v>326</v>
      </c>
      <c r="F176" s="326" t="s">
        <v>572</v>
      </c>
      <c r="G176" s="315">
        <f>G168*G173*G172</f>
        <v>0.15040000000000001</v>
      </c>
      <c r="H176" s="305" t="s">
        <v>570</v>
      </c>
      <c r="I176" s="305" t="s">
        <v>152</v>
      </c>
      <c r="J176" s="305" t="s">
        <v>106</v>
      </c>
      <c r="K176" s="305" t="s">
        <v>2058</v>
      </c>
    </row>
    <row r="177" spans="1:64" x14ac:dyDescent="0.25">
      <c r="A177" s="302" t="str">
        <f t="shared" si="2"/>
        <v>Outlet and Switch Gaskets_IE Kit_IE_Lifetime (years)</v>
      </c>
      <c r="B177" s="303" t="s">
        <v>563</v>
      </c>
      <c r="C177" s="304" t="s">
        <v>550</v>
      </c>
      <c r="D177" s="303" t="s">
        <v>551</v>
      </c>
      <c r="E177" s="314" t="s">
        <v>259</v>
      </c>
      <c r="F177" s="326" t="s">
        <v>548</v>
      </c>
      <c r="G177" s="315">
        <v>20</v>
      </c>
      <c r="H177" s="305"/>
      <c r="I177" s="305" t="s">
        <v>152</v>
      </c>
      <c r="J177" s="305" t="s">
        <v>106</v>
      </c>
      <c r="K177" s="305" t="s">
        <v>2058</v>
      </c>
    </row>
    <row r="178" spans="1:64" x14ac:dyDescent="0.25">
      <c r="A178" s="302" t="str">
        <f t="shared" si="2"/>
        <v>Outlet and Switch Gaskets_IE Kit_IE_Incremental Cost</v>
      </c>
      <c r="B178" s="303" t="s">
        <v>563</v>
      </c>
      <c r="C178" s="304" t="s">
        <v>550</v>
      </c>
      <c r="D178" s="303" t="s">
        <v>551</v>
      </c>
      <c r="E178" s="314" t="s">
        <v>260</v>
      </c>
      <c r="F178" s="327" t="s">
        <v>549</v>
      </c>
      <c r="G178" s="328">
        <v>0</v>
      </c>
      <c r="H178" s="305" t="s">
        <v>552</v>
      </c>
      <c r="I178" s="305"/>
      <c r="J178" s="305" t="s">
        <v>106</v>
      </c>
      <c r="K178" s="305"/>
    </row>
    <row r="179" spans="1:64" s="324" customFormat="1" x14ac:dyDescent="0.25">
      <c r="A179" s="317" t="str">
        <f t="shared" si="2"/>
        <v>Outlet and Switch Gaskets_IE Kit_IE_</v>
      </c>
      <c r="B179" s="317" t="str">
        <f>B178</f>
        <v>Outlet and Switch Gaskets</v>
      </c>
      <c r="C179" s="317" t="str">
        <f>C178</f>
        <v>IE Kit</v>
      </c>
      <c r="D179" s="317" t="str">
        <f>D178</f>
        <v>IE</v>
      </c>
      <c r="E179" s="320"/>
      <c r="F179" s="320"/>
      <c r="G179" s="329"/>
      <c r="H179" s="320"/>
      <c r="I179" s="320"/>
      <c r="J179" s="320"/>
      <c r="K179" s="320"/>
    </row>
    <row r="180" spans="1:64" s="324" customFormat="1" x14ac:dyDescent="0.25">
      <c r="A180" s="302" t="str">
        <f t="shared" si="2"/>
        <v>Window Kit_IE Kit_IE_Delta_therms</v>
      </c>
      <c r="B180" s="303" t="s">
        <v>574</v>
      </c>
      <c r="C180" s="304" t="s">
        <v>550</v>
      </c>
      <c r="D180" s="303" t="s">
        <v>551</v>
      </c>
      <c r="E180" s="305" t="s">
        <v>491</v>
      </c>
      <c r="F180" s="305" t="s">
        <v>575</v>
      </c>
      <c r="G180" s="306">
        <v>0.183</v>
      </c>
      <c r="H180" s="305"/>
      <c r="I180" s="305" t="s">
        <v>152</v>
      </c>
      <c r="J180" s="305" t="s">
        <v>106</v>
      </c>
      <c r="K180" s="305" t="s">
        <v>2058</v>
      </c>
      <c r="L180" s="330"/>
      <c r="M180" s="330"/>
      <c r="N180" s="330"/>
      <c r="O180" s="330"/>
      <c r="P180" s="330"/>
      <c r="Q180" s="330"/>
      <c r="R180" s="330"/>
      <c r="S180" s="330"/>
      <c r="T180" s="330"/>
      <c r="U180" s="330"/>
      <c r="V180" s="330"/>
      <c r="W180" s="330"/>
      <c r="X180" s="330"/>
      <c r="Y180" s="330"/>
      <c r="Z180" s="330"/>
      <c r="AA180" s="330"/>
      <c r="AB180" s="330"/>
      <c r="AC180" s="330"/>
      <c r="AD180" s="330"/>
      <c r="AE180" s="330"/>
      <c r="AF180" s="330"/>
      <c r="AG180" s="330"/>
      <c r="AH180" s="330"/>
      <c r="AI180" s="330"/>
      <c r="AJ180" s="330"/>
      <c r="AK180" s="330"/>
      <c r="AL180" s="330"/>
      <c r="AM180" s="330"/>
      <c r="AN180" s="330"/>
    </row>
    <row r="181" spans="1:64" s="324" customFormat="1" x14ac:dyDescent="0.25">
      <c r="A181" s="302" t="str">
        <f t="shared" si="2"/>
        <v>Window Kit_IE Kit_IE_Delta_kWh</v>
      </c>
      <c r="B181" s="303" t="s">
        <v>574</v>
      </c>
      <c r="C181" s="304" t="s">
        <v>550</v>
      </c>
      <c r="D181" s="303" t="s">
        <v>551</v>
      </c>
      <c r="E181" s="305" t="s">
        <v>359</v>
      </c>
      <c r="F181" s="305" t="s">
        <v>438</v>
      </c>
      <c r="G181" s="306">
        <f>AVERAGE(13,6.5)</f>
        <v>9.75</v>
      </c>
      <c r="H181" s="305" t="s">
        <v>566</v>
      </c>
      <c r="I181" s="305" t="s">
        <v>152</v>
      </c>
      <c r="J181" s="305" t="s">
        <v>106</v>
      </c>
      <c r="K181" s="305" t="s">
        <v>2058</v>
      </c>
      <c r="L181" s="330"/>
      <c r="M181" s="330"/>
      <c r="N181" s="330"/>
      <c r="O181" s="330"/>
      <c r="P181" s="330"/>
      <c r="Q181" s="330"/>
      <c r="R181" s="330"/>
      <c r="S181" s="330"/>
      <c r="T181" s="330"/>
      <c r="U181" s="330"/>
      <c r="V181" s="330"/>
      <c r="W181" s="330"/>
      <c r="X181" s="330"/>
      <c r="Y181" s="330"/>
      <c r="Z181" s="330"/>
      <c r="AA181" s="330"/>
      <c r="AB181" s="330"/>
      <c r="AC181" s="330"/>
      <c r="AD181" s="330"/>
      <c r="AE181" s="330"/>
      <c r="AF181" s="330"/>
      <c r="AG181" s="330"/>
      <c r="AH181" s="330"/>
      <c r="AI181" s="330"/>
      <c r="AJ181" s="330"/>
      <c r="AK181" s="330"/>
      <c r="AL181" s="330"/>
      <c r="AM181" s="330"/>
      <c r="AN181" s="330"/>
    </row>
    <row r="182" spans="1:64" s="324" customFormat="1" x14ac:dyDescent="0.25">
      <c r="A182" s="302" t="str">
        <f t="shared" si="2"/>
        <v>Window Kit_IE Kit_IE_FLH Cooling</v>
      </c>
      <c r="B182" s="303" t="s">
        <v>574</v>
      </c>
      <c r="C182" s="304" t="s">
        <v>550</v>
      </c>
      <c r="D182" s="303" t="s">
        <v>551</v>
      </c>
      <c r="E182" s="305" t="s">
        <v>249</v>
      </c>
      <c r="F182" s="305" t="s">
        <v>283</v>
      </c>
      <c r="G182" s="325">
        <v>570</v>
      </c>
      <c r="H182" s="305" t="s">
        <v>567</v>
      </c>
      <c r="I182" s="305" t="s">
        <v>152</v>
      </c>
      <c r="J182" s="305" t="s">
        <v>106</v>
      </c>
      <c r="K182" s="305" t="s">
        <v>2058</v>
      </c>
      <c r="L182" s="330"/>
      <c r="M182" s="330"/>
      <c r="N182" s="330"/>
      <c r="O182" s="330"/>
      <c r="P182" s="330"/>
      <c r="Q182" s="330"/>
      <c r="R182" s="330"/>
      <c r="S182" s="330"/>
      <c r="T182" s="330"/>
      <c r="U182" s="330"/>
      <c r="V182" s="330"/>
      <c r="W182" s="330"/>
      <c r="X182" s="330"/>
      <c r="Y182" s="330"/>
      <c r="Z182" s="330"/>
      <c r="AA182" s="330"/>
      <c r="AB182" s="330"/>
      <c r="AC182" s="330"/>
      <c r="AD182" s="330"/>
      <c r="AE182" s="330"/>
      <c r="AF182" s="330"/>
      <c r="AG182" s="330"/>
      <c r="AH182" s="330"/>
      <c r="AI182" s="330"/>
      <c r="AJ182" s="330"/>
      <c r="AK182" s="330"/>
      <c r="AL182" s="330"/>
      <c r="AM182" s="330"/>
      <c r="AN182" s="330"/>
    </row>
    <row r="183" spans="1:64" s="324" customFormat="1" x14ac:dyDescent="0.25">
      <c r="A183" s="302" t="str">
        <f t="shared" si="2"/>
        <v>Window Kit_IE Kit_IE_CF</v>
      </c>
      <c r="B183" s="303" t="s">
        <v>574</v>
      </c>
      <c r="C183" s="304" t="s">
        <v>550</v>
      </c>
      <c r="D183" s="303" t="s">
        <v>551</v>
      </c>
      <c r="E183" s="305" t="s">
        <v>253</v>
      </c>
      <c r="F183" s="305" t="s">
        <v>539</v>
      </c>
      <c r="G183" s="306">
        <f>AVERAGE(68%,72%)</f>
        <v>0.7</v>
      </c>
      <c r="H183" s="305" t="s">
        <v>568</v>
      </c>
      <c r="I183" s="305" t="s">
        <v>152</v>
      </c>
      <c r="J183" s="305" t="s">
        <v>106</v>
      </c>
      <c r="K183" s="305" t="s">
        <v>2058</v>
      </c>
      <c r="L183" s="330"/>
      <c r="M183" s="330"/>
      <c r="N183" s="330"/>
      <c r="O183" s="330"/>
      <c r="P183" s="330"/>
      <c r="Q183" s="330"/>
      <c r="R183" s="330"/>
      <c r="S183" s="330"/>
      <c r="T183" s="330"/>
      <c r="U183" s="330"/>
      <c r="V183" s="330"/>
      <c r="W183" s="330"/>
      <c r="X183" s="330"/>
      <c r="Y183" s="330"/>
      <c r="Z183" s="330"/>
      <c r="AA183" s="330"/>
      <c r="AB183" s="330"/>
      <c r="AC183" s="330"/>
      <c r="AD183" s="330"/>
      <c r="AE183" s="330"/>
      <c r="AF183" s="330"/>
      <c r="AG183" s="330"/>
      <c r="AH183" s="330"/>
      <c r="AI183" s="330"/>
      <c r="AJ183" s="330"/>
      <c r="AK183" s="330"/>
      <c r="AL183" s="330"/>
      <c r="AM183" s="330"/>
      <c r="AN183" s="330"/>
    </row>
    <row r="184" spans="1:64" s="324" customFormat="1" x14ac:dyDescent="0.25">
      <c r="A184" s="302" t="str">
        <f t="shared" si="2"/>
        <v>Window Kit_IE Kit_IE_ADJRxAirsealing</v>
      </c>
      <c r="B184" s="303" t="s">
        <v>574</v>
      </c>
      <c r="C184" s="304" t="s">
        <v>550</v>
      </c>
      <c r="D184" s="303" t="s">
        <v>551</v>
      </c>
      <c r="E184" s="305" t="s">
        <v>518</v>
      </c>
      <c r="F184" s="305" t="s">
        <v>539</v>
      </c>
      <c r="G184" s="306">
        <v>0.8</v>
      </c>
      <c r="H184" s="305"/>
      <c r="I184" s="305" t="s">
        <v>152</v>
      </c>
      <c r="J184" s="305" t="s">
        <v>106</v>
      </c>
      <c r="K184" s="305" t="s">
        <v>2058</v>
      </c>
      <c r="L184" s="330"/>
      <c r="M184" s="330"/>
      <c r="N184" s="330"/>
      <c r="O184" s="330"/>
      <c r="P184" s="330"/>
      <c r="Q184" s="330"/>
      <c r="R184" s="330"/>
      <c r="S184" s="330"/>
      <c r="T184" s="330"/>
      <c r="U184" s="330"/>
      <c r="V184" s="330"/>
      <c r="W184" s="330"/>
      <c r="X184" s="330"/>
      <c r="Y184" s="330"/>
      <c r="Z184" s="330"/>
      <c r="AA184" s="330"/>
      <c r="AB184" s="330"/>
      <c r="AC184" s="330"/>
      <c r="AD184" s="330"/>
      <c r="AE184" s="330"/>
      <c r="AF184" s="330"/>
      <c r="AG184" s="330"/>
      <c r="AH184" s="330"/>
      <c r="AI184" s="330"/>
      <c r="AJ184" s="330"/>
      <c r="AK184" s="330"/>
      <c r="AL184" s="330"/>
      <c r="AM184" s="330"/>
      <c r="AN184" s="330"/>
    </row>
    <row r="185" spans="1:64" s="324" customFormat="1" x14ac:dyDescent="0.25">
      <c r="A185" s="302" t="str">
        <f t="shared" si="2"/>
        <v>Window Kit_IE Kit_IE_ISR</v>
      </c>
      <c r="B185" s="303" t="s">
        <v>574</v>
      </c>
      <c r="C185" s="304" t="s">
        <v>550</v>
      </c>
      <c r="D185" s="303" t="s">
        <v>551</v>
      </c>
      <c r="E185" s="305" t="s">
        <v>267</v>
      </c>
      <c r="F185" s="305" t="s">
        <v>539</v>
      </c>
      <c r="G185" s="313">
        <v>0.56999999999999995</v>
      </c>
      <c r="H185" s="305" t="s">
        <v>574</v>
      </c>
      <c r="I185" s="305" t="s">
        <v>152</v>
      </c>
      <c r="J185" s="305" t="s">
        <v>106</v>
      </c>
      <c r="K185" s="305" t="s">
        <v>2058</v>
      </c>
      <c r="L185" s="330"/>
      <c r="M185" s="330"/>
      <c r="N185" s="330"/>
      <c r="O185" s="330"/>
      <c r="P185" s="330"/>
      <c r="Q185" s="330"/>
      <c r="R185" s="330"/>
      <c r="S185" s="330"/>
      <c r="T185" s="330"/>
      <c r="U185" s="330"/>
      <c r="V185" s="330"/>
      <c r="W185" s="330"/>
      <c r="X185" s="330"/>
      <c r="Y185" s="330"/>
      <c r="Z185" s="330"/>
      <c r="AA185" s="330"/>
      <c r="AB185" s="330"/>
      <c r="AC185" s="330"/>
      <c r="AD185" s="330"/>
      <c r="AE185" s="330"/>
      <c r="AF185" s="330"/>
      <c r="AG185" s="330"/>
      <c r="AH185" s="330"/>
      <c r="AI185" s="330"/>
      <c r="AJ185" s="330"/>
      <c r="AK185" s="330"/>
      <c r="AL185" s="330"/>
      <c r="AM185" s="330"/>
      <c r="AN185" s="330"/>
    </row>
    <row r="186" spans="1:64" x14ac:dyDescent="0.25">
      <c r="A186" s="302" t="str">
        <f t="shared" si="2"/>
        <v>Window Kit_IE Kit_IE_</v>
      </c>
      <c r="B186" s="303" t="s">
        <v>574</v>
      </c>
      <c r="C186" s="304" t="s">
        <v>550</v>
      </c>
      <c r="D186" s="303" t="s">
        <v>551</v>
      </c>
      <c r="E186" s="314"/>
      <c r="F186" s="326" t="s">
        <v>569</v>
      </c>
      <c r="G186" s="315">
        <f>G181*G184*G185</f>
        <v>4.4459999999999997</v>
      </c>
      <c r="H186" s="305" t="s">
        <v>494</v>
      </c>
      <c r="I186" s="305" t="s">
        <v>152</v>
      </c>
      <c r="J186" s="305" t="s">
        <v>106</v>
      </c>
      <c r="K186" s="305" t="s">
        <v>2058</v>
      </c>
    </row>
    <row r="187" spans="1:64" x14ac:dyDescent="0.25">
      <c r="A187" s="302" t="str">
        <f t="shared" si="2"/>
        <v>Window Kit_IE Kit_IE_</v>
      </c>
      <c r="B187" s="303" t="s">
        <v>574</v>
      </c>
      <c r="C187" s="304" t="s">
        <v>550</v>
      </c>
      <c r="D187" s="303" t="s">
        <v>551</v>
      </c>
      <c r="E187" s="314"/>
      <c r="F187" s="326" t="s">
        <v>571</v>
      </c>
      <c r="G187" s="315">
        <f>G181/G182*G183</f>
        <v>1.1973684210526315E-2</v>
      </c>
      <c r="H187" s="305" t="s">
        <v>494</v>
      </c>
      <c r="I187" s="305" t="s">
        <v>152</v>
      </c>
      <c r="J187" s="305" t="s">
        <v>106</v>
      </c>
      <c r="K187" s="305" t="s">
        <v>2058</v>
      </c>
    </row>
    <row r="188" spans="1:64" x14ac:dyDescent="0.25">
      <c r="A188" s="302" t="str">
        <f t="shared" si="2"/>
        <v>Window Kit_IE Kit_IE_Therm Saved per Unit</v>
      </c>
      <c r="B188" s="303" t="s">
        <v>574</v>
      </c>
      <c r="C188" s="304" t="s">
        <v>550</v>
      </c>
      <c r="D188" s="303" t="s">
        <v>551</v>
      </c>
      <c r="E188" s="314" t="s">
        <v>326</v>
      </c>
      <c r="F188" s="326" t="s">
        <v>572</v>
      </c>
      <c r="G188" s="315">
        <f>G180*G185*G184</f>
        <v>8.3447999999999994E-2</v>
      </c>
      <c r="H188" s="305" t="s">
        <v>494</v>
      </c>
      <c r="I188" s="305" t="s">
        <v>152</v>
      </c>
      <c r="J188" s="305" t="s">
        <v>106</v>
      </c>
      <c r="K188" s="305" t="s">
        <v>2058</v>
      </c>
    </row>
    <row r="189" spans="1:64" x14ac:dyDescent="0.25">
      <c r="A189" s="302" t="str">
        <f t="shared" si="2"/>
        <v>Window Kit_IE Kit_IE_Lifetime (years)</v>
      </c>
      <c r="B189" s="303" t="s">
        <v>574</v>
      </c>
      <c r="C189" s="304" t="s">
        <v>550</v>
      </c>
      <c r="D189" s="303" t="s">
        <v>551</v>
      </c>
      <c r="E189" s="314" t="s">
        <v>259</v>
      </c>
      <c r="F189" s="326" t="s">
        <v>548</v>
      </c>
      <c r="G189" s="315">
        <v>10</v>
      </c>
      <c r="H189" s="305"/>
      <c r="I189" s="305" t="s">
        <v>152</v>
      </c>
      <c r="J189" s="305" t="s">
        <v>106</v>
      </c>
      <c r="K189" s="305" t="s">
        <v>2058</v>
      </c>
    </row>
    <row r="190" spans="1:64" x14ac:dyDescent="0.25">
      <c r="A190" s="302" t="str">
        <f t="shared" si="2"/>
        <v>Window Kit_IE Kit_IE_Incremental Cost</v>
      </c>
      <c r="B190" s="303" t="s">
        <v>574</v>
      </c>
      <c r="C190" s="304" t="s">
        <v>550</v>
      </c>
      <c r="D190" s="303" t="s">
        <v>551</v>
      </c>
      <c r="E190" s="314" t="s">
        <v>260</v>
      </c>
      <c r="F190" s="327" t="s">
        <v>549</v>
      </c>
      <c r="G190" s="328">
        <v>0</v>
      </c>
      <c r="H190" s="305" t="s">
        <v>552</v>
      </c>
      <c r="I190" s="305"/>
      <c r="J190" s="305" t="s">
        <v>106</v>
      </c>
      <c r="K190" s="305"/>
    </row>
    <row r="191" spans="1:64" s="324" customFormat="1" x14ac:dyDescent="0.25">
      <c r="A191" s="317" t="str">
        <f t="shared" si="2"/>
        <v>Window Kit_IE Kit_IE_</v>
      </c>
      <c r="B191" s="317" t="str">
        <f>B190</f>
        <v>Window Kit</v>
      </c>
      <c r="C191" s="317" t="str">
        <f>C190</f>
        <v>IE Kit</v>
      </c>
      <c r="D191" s="317" t="str">
        <f>D190</f>
        <v>IE</v>
      </c>
      <c r="E191" s="320"/>
      <c r="F191" s="320"/>
      <c r="G191" s="329"/>
      <c r="H191" s="320"/>
      <c r="I191" s="320"/>
      <c r="J191" s="320"/>
      <c r="K191" s="320"/>
    </row>
    <row r="192" spans="1:64" s="324" customFormat="1" x14ac:dyDescent="0.25">
      <c r="A192" s="302" t="str">
        <f t="shared" si="2"/>
        <v>Weatherstripping_IE Kit_IE_Delta_therms</v>
      </c>
      <c r="B192" s="303" t="s">
        <v>576</v>
      </c>
      <c r="C192" s="304" t="s">
        <v>550</v>
      </c>
      <c r="D192" s="303" t="s">
        <v>551</v>
      </c>
      <c r="E192" s="305" t="s">
        <v>491</v>
      </c>
      <c r="F192" s="305" t="s">
        <v>575</v>
      </c>
      <c r="G192" s="306">
        <v>0.61</v>
      </c>
      <c r="H192" s="305"/>
      <c r="I192" s="305" t="s">
        <v>152</v>
      </c>
      <c r="J192" s="305" t="s">
        <v>106</v>
      </c>
      <c r="K192" s="305" t="s">
        <v>2058</v>
      </c>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row>
    <row r="193" spans="1:64" s="324" customFormat="1" x14ac:dyDescent="0.25">
      <c r="A193" s="302" t="str">
        <f t="shared" si="2"/>
        <v>Weatherstripping_IE Kit_IE_Delta_kWh</v>
      </c>
      <c r="B193" s="303" t="s">
        <v>576</v>
      </c>
      <c r="C193" s="304" t="s">
        <v>550</v>
      </c>
      <c r="D193" s="303" t="s">
        <v>551</v>
      </c>
      <c r="E193" s="305" t="s">
        <v>359</v>
      </c>
      <c r="F193" s="305" t="s">
        <v>438</v>
      </c>
      <c r="G193" s="306">
        <f>AVERAGE(3.9,2)</f>
        <v>2.95</v>
      </c>
      <c r="H193" s="305" t="s">
        <v>566</v>
      </c>
      <c r="I193" s="305" t="s">
        <v>152</v>
      </c>
      <c r="J193" s="305" t="s">
        <v>106</v>
      </c>
      <c r="K193" s="305" t="s">
        <v>2058</v>
      </c>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row>
    <row r="194" spans="1:64" s="324" customFormat="1" x14ac:dyDescent="0.25">
      <c r="A194" s="302" t="str">
        <f t="shared" si="2"/>
        <v>Weatherstripping_IE Kit_IE_FLH Cooling</v>
      </c>
      <c r="B194" s="303" t="s">
        <v>576</v>
      </c>
      <c r="C194" s="304" t="s">
        <v>550</v>
      </c>
      <c r="D194" s="303" t="s">
        <v>551</v>
      </c>
      <c r="E194" s="305" t="s">
        <v>249</v>
      </c>
      <c r="F194" s="305" t="s">
        <v>283</v>
      </c>
      <c r="G194" s="325">
        <v>570</v>
      </c>
      <c r="H194" s="305" t="s">
        <v>567</v>
      </c>
      <c r="I194" s="305" t="s">
        <v>152</v>
      </c>
      <c r="J194" s="305" t="s">
        <v>106</v>
      </c>
      <c r="K194" s="305" t="s">
        <v>2058</v>
      </c>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row>
    <row r="195" spans="1:64" s="324" customFormat="1" x14ac:dyDescent="0.25">
      <c r="A195" s="302" t="str">
        <f t="shared" si="2"/>
        <v>Weatherstripping_IE Kit_IE_CF</v>
      </c>
      <c r="B195" s="303" t="s">
        <v>576</v>
      </c>
      <c r="C195" s="304" t="s">
        <v>550</v>
      </c>
      <c r="D195" s="303" t="s">
        <v>551</v>
      </c>
      <c r="E195" s="305" t="s">
        <v>253</v>
      </c>
      <c r="F195" s="305" t="s">
        <v>539</v>
      </c>
      <c r="G195" s="306">
        <f>AVERAGE(68%,72%)</f>
        <v>0.7</v>
      </c>
      <c r="H195" s="305" t="s">
        <v>568</v>
      </c>
      <c r="I195" s="305" t="s">
        <v>152</v>
      </c>
      <c r="J195" s="305" t="s">
        <v>106</v>
      </c>
      <c r="K195" s="305" t="s">
        <v>2058</v>
      </c>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s="324" customFormat="1" x14ac:dyDescent="0.25">
      <c r="A196" s="302" t="str">
        <f t="shared" si="2"/>
        <v>Weatherstripping_IE Kit_IE_ADJRxAirsealing</v>
      </c>
      <c r="B196" s="303" t="s">
        <v>576</v>
      </c>
      <c r="C196" s="304" t="s">
        <v>550</v>
      </c>
      <c r="D196" s="303" t="s">
        <v>551</v>
      </c>
      <c r="E196" s="305" t="s">
        <v>518</v>
      </c>
      <c r="F196" s="305" t="s">
        <v>539</v>
      </c>
      <c r="G196" s="306">
        <v>0.8</v>
      </c>
      <c r="H196" s="305"/>
      <c r="I196" s="305" t="s">
        <v>152</v>
      </c>
      <c r="J196" s="305" t="s">
        <v>106</v>
      </c>
      <c r="K196" s="305" t="s">
        <v>2058</v>
      </c>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s="324" customFormat="1" x14ac:dyDescent="0.25">
      <c r="A197" s="302" t="str">
        <f t="shared" si="2"/>
        <v>Weatherstripping_IE Kit_IE_ISR</v>
      </c>
      <c r="B197" s="303" t="s">
        <v>576</v>
      </c>
      <c r="C197" s="304" t="s">
        <v>550</v>
      </c>
      <c r="D197" s="303" t="s">
        <v>551</v>
      </c>
      <c r="E197" s="305" t="s">
        <v>267</v>
      </c>
      <c r="F197" s="305" t="s">
        <v>539</v>
      </c>
      <c r="G197" s="313">
        <v>0.63</v>
      </c>
      <c r="H197" s="305" t="s">
        <v>576</v>
      </c>
      <c r="I197" s="305" t="s">
        <v>152</v>
      </c>
      <c r="J197" s="305" t="s">
        <v>106</v>
      </c>
      <c r="K197" s="305" t="s">
        <v>2058</v>
      </c>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row>
    <row r="198" spans="1:64" x14ac:dyDescent="0.25">
      <c r="A198" s="302" t="str">
        <f t="shared" ref="A198:A261" si="3">B198&amp;"_"&amp;C198&amp;"_"&amp;D198&amp;"_"&amp;E198</f>
        <v>Weatherstripping_IE Kit_IE_Linear feet</v>
      </c>
      <c r="B198" s="303" t="s">
        <v>576</v>
      </c>
      <c r="C198" s="304" t="s">
        <v>550</v>
      </c>
      <c r="D198" s="303" t="s">
        <v>551</v>
      </c>
      <c r="E198" s="305" t="s">
        <v>577</v>
      </c>
      <c r="F198" s="305" t="s">
        <v>578</v>
      </c>
      <c r="G198" s="306"/>
      <c r="H198" s="305"/>
      <c r="I198" s="305" t="s">
        <v>152</v>
      </c>
      <c r="J198" s="305" t="s">
        <v>106</v>
      </c>
      <c r="K198" s="305" t="s">
        <v>2058</v>
      </c>
    </row>
    <row r="199" spans="1:64" x14ac:dyDescent="0.25">
      <c r="A199" s="302" t="str">
        <f t="shared" si="3"/>
        <v>Weatherstripping_IE Kit_IE_kWh Saved per Unit</v>
      </c>
      <c r="B199" s="303" t="s">
        <v>576</v>
      </c>
      <c r="C199" s="304" t="s">
        <v>550</v>
      </c>
      <c r="D199" s="303" t="s">
        <v>551</v>
      </c>
      <c r="E199" s="314" t="s">
        <v>255</v>
      </c>
      <c r="F199" s="326" t="s">
        <v>569</v>
      </c>
      <c r="G199" s="315">
        <f>G193*G196*G197</f>
        <v>1.4868000000000001</v>
      </c>
      <c r="H199" s="305" t="s">
        <v>579</v>
      </c>
      <c r="I199" s="305" t="s">
        <v>152</v>
      </c>
      <c r="J199" s="305" t="s">
        <v>106</v>
      </c>
      <c r="K199" s="305" t="s">
        <v>2058</v>
      </c>
    </row>
    <row r="200" spans="1:64" x14ac:dyDescent="0.25">
      <c r="A200" s="302" t="str">
        <f t="shared" si="3"/>
        <v>Weatherstripping_IE Kit_IE_kW Saved per Unit</v>
      </c>
      <c r="B200" s="303" t="s">
        <v>576</v>
      </c>
      <c r="C200" s="304" t="s">
        <v>550</v>
      </c>
      <c r="D200" s="303" t="s">
        <v>551</v>
      </c>
      <c r="E200" s="314" t="s">
        <v>580</v>
      </c>
      <c r="F200" s="326" t="s">
        <v>571</v>
      </c>
      <c r="G200" s="315">
        <f>G193/G194*G195</f>
        <v>3.6228070175438592E-3</v>
      </c>
      <c r="H200" s="305" t="s">
        <v>579</v>
      </c>
      <c r="I200" s="305" t="s">
        <v>152</v>
      </c>
      <c r="J200" s="305" t="s">
        <v>106</v>
      </c>
      <c r="K200" s="305" t="s">
        <v>2058</v>
      </c>
    </row>
    <row r="201" spans="1:64" x14ac:dyDescent="0.25">
      <c r="A201" s="302" t="str">
        <f t="shared" si="3"/>
        <v>Weatherstripping_IE Kit_IE_Therm Saved per Unit</v>
      </c>
      <c r="B201" s="303" t="s">
        <v>576</v>
      </c>
      <c r="C201" s="304" t="s">
        <v>550</v>
      </c>
      <c r="D201" s="303" t="s">
        <v>551</v>
      </c>
      <c r="E201" s="314" t="s">
        <v>326</v>
      </c>
      <c r="F201" s="326" t="s">
        <v>572</v>
      </c>
      <c r="G201" s="315">
        <f>G192*G197*G196</f>
        <v>0.30743999999999999</v>
      </c>
      <c r="H201" s="305" t="s">
        <v>579</v>
      </c>
      <c r="I201" s="305" t="s">
        <v>152</v>
      </c>
      <c r="J201" s="305" t="s">
        <v>106</v>
      </c>
      <c r="K201" s="305" t="s">
        <v>2058</v>
      </c>
    </row>
    <row r="202" spans="1:64" x14ac:dyDescent="0.25">
      <c r="A202" s="302" t="str">
        <f t="shared" si="3"/>
        <v>Weatherstripping_IE Kit_IE_Lifetime (years)</v>
      </c>
      <c r="B202" s="303" t="s">
        <v>576</v>
      </c>
      <c r="C202" s="304" t="s">
        <v>550</v>
      </c>
      <c r="D202" s="303" t="s">
        <v>551</v>
      </c>
      <c r="E202" s="314" t="s">
        <v>259</v>
      </c>
      <c r="F202" s="326" t="s">
        <v>548</v>
      </c>
      <c r="G202" s="315">
        <v>10</v>
      </c>
      <c r="H202" s="305"/>
      <c r="I202" s="305" t="s">
        <v>152</v>
      </c>
      <c r="J202" s="305" t="s">
        <v>106</v>
      </c>
      <c r="K202" s="305" t="s">
        <v>2058</v>
      </c>
    </row>
    <row r="203" spans="1:64" x14ac:dyDescent="0.25">
      <c r="A203" s="302" t="str">
        <f t="shared" si="3"/>
        <v>Weatherstripping_IE Kit_IE_Incremental Cost</v>
      </c>
      <c r="B203" s="303" t="s">
        <v>576</v>
      </c>
      <c r="C203" s="304" t="s">
        <v>550</v>
      </c>
      <c r="D203" s="303" t="s">
        <v>551</v>
      </c>
      <c r="E203" s="314" t="s">
        <v>260</v>
      </c>
      <c r="F203" s="327" t="s">
        <v>549</v>
      </c>
      <c r="G203" s="328">
        <v>0</v>
      </c>
      <c r="H203" s="305" t="s">
        <v>552</v>
      </c>
      <c r="I203" s="305"/>
      <c r="J203" s="305" t="s">
        <v>106</v>
      </c>
      <c r="K203" s="305"/>
    </row>
    <row r="204" spans="1:64" s="324" customFormat="1" x14ac:dyDescent="0.25">
      <c r="A204" s="317" t="str">
        <f t="shared" si="3"/>
        <v>Weatherstripping_IE Kit_IE_</v>
      </c>
      <c r="B204" s="317" t="str">
        <f>B203</f>
        <v>Weatherstripping</v>
      </c>
      <c r="C204" s="317" t="str">
        <f>C203</f>
        <v>IE Kit</v>
      </c>
      <c r="D204" s="317" t="str">
        <f>D203</f>
        <v>IE</v>
      </c>
      <c r="E204" s="320"/>
      <c r="F204" s="320"/>
      <c r="G204" s="329"/>
      <c r="H204" s="320"/>
      <c r="I204" s="320"/>
      <c r="J204" s="320"/>
      <c r="K204" s="320"/>
    </row>
    <row r="205" spans="1:64" s="324" customFormat="1" x14ac:dyDescent="0.25">
      <c r="A205" s="302" t="str">
        <f t="shared" si="3"/>
        <v>Weatherstripping_0_IE SF_Delta_therms</v>
      </c>
      <c r="B205" s="303" t="s">
        <v>576</v>
      </c>
      <c r="C205" s="304">
        <v>0</v>
      </c>
      <c r="D205" s="303" t="s">
        <v>581</v>
      </c>
      <c r="E205" s="305" t="s">
        <v>491</v>
      </c>
      <c r="F205" s="305" t="s">
        <v>575</v>
      </c>
      <c r="G205" s="306">
        <v>0.61</v>
      </c>
      <c r="H205" s="305"/>
      <c r="I205" s="305" t="s">
        <v>152</v>
      </c>
      <c r="J205" s="305" t="s">
        <v>106</v>
      </c>
      <c r="K205" s="305" t="s">
        <v>2058</v>
      </c>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row>
    <row r="206" spans="1:64" s="324" customFormat="1" x14ac:dyDescent="0.25">
      <c r="A206" s="302" t="str">
        <f t="shared" si="3"/>
        <v>Weatherstripping_0_IE SF_Delta_kWh</v>
      </c>
      <c r="B206" s="303" t="s">
        <v>576</v>
      </c>
      <c r="C206" s="304">
        <v>0</v>
      </c>
      <c r="D206" s="303" t="s">
        <v>581</v>
      </c>
      <c r="E206" s="305" t="s">
        <v>359</v>
      </c>
      <c r="F206" s="305" t="s">
        <v>438</v>
      </c>
      <c r="G206" s="306">
        <f>AVERAGE(3.9,2)</f>
        <v>2.95</v>
      </c>
      <c r="H206" s="305" t="s">
        <v>566</v>
      </c>
      <c r="I206" s="305" t="s">
        <v>152</v>
      </c>
      <c r="J206" s="305" t="s">
        <v>106</v>
      </c>
      <c r="K206" s="305" t="s">
        <v>2058</v>
      </c>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row>
    <row r="207" spans="1:64" s="324" customFormat="1" x14ac:dyDescent="0.25">
      <c r="A207" s="302" t="str">
        <f t="shared" si="3"/>
        <v>Weatherstripping_0_IE SF_FLH Cooling</v>
      </c>
      <c r="B207" s="303" t="s">
        <v>576</v>
      </c>
      <c r="C207" s="304">
        <v>0</v>
      </c>
      <c r="D207" s="303" t="s">
        <v>581</v>
      </c>
      <c r="E207" s="305" t="s">
        <v>249</v>
      </c>
      <c r="F207" s="305" t="s">
        <v>283</v>
      </c>
      <c r="G207" s="325">
        <v>570</v>
      </c>
      <c r="H207" s="305" t="s">
        <v>567</v>
      </c>
      <c r="I207" s="305" t="s">
        <v>152</v>
      </c>
      <c r="J207" s="305" t="s">
        <v>106</v>
      </c>
      <c r="K207" s="305" t="s">
        <v>2058</v>
      </c>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row>
    <row r="208" spans="1:64" s="324" customFormat="1" x14ac:dyDescent="0.25">
      <c r="A208" s="302" t="str">
        <f t="shared" si="3"/>
        <v>Weatherstripping_0_IE SF_CF</v>
      </c>
      <c r="B208" s="303" t="s">
        <v>576</v>
      </c>
      <c r="C208" s="304">
        <v>0</v>
      </c>
      <c r="D208" s="303" t="s">
        <v>581</v>
      </c>
      <c r="E208" s="305" t="s">
        <v>253</v>
      </c>
      <c r="F208" s="305" t="s">
        <v>539</v>
      </c>
      <c r="G208" s="306">
        <f>AVERAGE(68%,72%)</f>
        <v>0.7</v>
      </c>
      <c r="H208" s="305" t="s">
        <v>568</v>
      </c>
      <c r="I208" s="305" t="s">
        <v>152</v>
      </c>
      <c r="J208" s="305" t="s">
        <v>106</v>
      </c>
      <c r="K208" s="305" t="s">
        <v>2058</v>
      </c>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row>
    <row r="209" spans="1:64" s="324" customFormat="1" x14ac:dyDescent="0.25">
      <c r="A209" s="302" t="str">
        <f t="shared" si="3"/>
        <v>Weatherstripping_0_IE SF_ADJRxAirsealing</v>
      </c>
      <c r="B209" s="303" t="s">
        <v>576</v>
      </c>
      <c r="C209" s="304">
        <v>0</v>
      </c>
      <c r="D209" s="303" t="s">
        <v>581</v>
      </c>
      <c r="E209" s="305" t="s">
        <v>518</v>
      </c>
      <c r="F209" s="305" t="s">
        <v>539</v>
      </c>
      <c r="G209" s="306">
        <v>0.8</v>
      </c>
      <c r="H209" s="305"/>
      <c r="I209" s="305" t="s">
        <v>152</v>
      </c>
      <c r="J209" s="305" t="s">
        <v>106</v>
      </c>
      <c r="K209" s="305" t="s">
        <v>2058</v>
      </c>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row>
    <row r="210" spans="1:64" s="324" customFormat="1" x14ac:dyDescent="0.25">
      <c r="A210" s="302" t="str">
        <f t="shared" si="3"/>
        <v>Weatherstripping_0_IE SF_ISR</v>
      </c>
      <c r="B210" s="303" t="s">
        <v>576</v>
      </c>
      <c r="C210" s="304">
        <v>0</v>
      </c>
      <c r="D210" s="303" t="s">
        <v>581</v>
      </c>
      <c r="E210" s="305" t="s">
        <v>267</v>
      </c>
      <c r="F210" s="305" t="s">
        <v>539</v>
      </c>
      <c r="G210" s="308">
        <v>1</v>
      </c>
      <c r="H210" s="305" t="s">
        <v>582</v>
      </c>
      <c r="I210" s="305"/>
      <c r="J210" s="305"/>
      <c r="K210" s="305"/>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row>
    <row r="211" spans="1:64" x14ac:dyDescent="0.25">
      <c r="A211" s="302" t="str">
        <f t="shared" si="3"/>
        <v>Weatherstripping_0_IE SF_Linear feet</v>
      </c>
      <c r="B211" s="303" t="s">
        <v>576</v>
      </c>
      <c r="C211" s="304">
        <v>0</v>
      </c>
      <c r="D211" s="303" t="s">
        <v>581</v>
      </c>
      <c r="E211" s="305" t="s">
        <v>577</v>
      </c>
      <c r="F211" s="305" t="s">
        <v>578</v>
      </c>
      <c r="G211" s="306"/>
      <c r="H211" s="305"/>
      <c r="I211" s="305"/>
      <c r="J211" s="305"/>
      <c r="K211" s="305"/>
    </row>
    <row r="212" spans="1:64" x14ac:dyDescent="0.25">
      <c r="A212" s="302" t="str">
        <f t="shared" si="3"/>
        <v>Weatherstripping_0_IE SF_kWh Saved per Unit</v>
      </c>
      <c r="B212" s="303" t="s">
        <v>576</v>
      </c>
      <c r="C212" s="304">
        <v>0</v>
      </c>
      <c r="D212" s="303" t="s">
        <v>581</v>
      </c>
      <c r="E212" s="314" t="s">
        <v>255</v>
      </c>
      <c r="F212" s="326" t="s">
        <v>569</v>
      </c>
      <c r="G212" s="315">
        <f>G206*G209*G210</f>
        <v>2.3600000000000003</v>
      </c>
      <c r="H212" s="305" t="s">
        <v>579</v>
      </c>
      <c r="I212" s="305" t="s">
        <v>152</v>
      </c>
      <c r="J212" s="305" t="s">
        <v>106</v>
      </c>
      <c r="K212" s="305" t="s">
        <v>2058</v>
      </c>
    </row>
    <row r="213" spans="1:64" x14ac:dyDescent="0.25">
      <c r="A213" s="302" t="str">
        <f t="shared" si="3"/>
        <v>Weatherstripping_0_IE SF_kW Saved per Unit</v>
      </c>
      <c r="B213" s="303" t="s">
        <v>576</v>
      </c>
      <c r="C213" s="304">
        <v>0</v>
      </c>
      <c r="D213" s="303" t="s">
        <v>581</v>
      </c>
      <c r="E213" s="314" t="s">
        <v>580</v>
      </c>
      <c r="F213" s="326" t="s">
        <v>571</v>
      </c>
      <c r="G213" s="315">
        <f>G206/G207*G208</f>
        <v>3.6228070175438592E-3</v>
      </c>
      <c r="H213" s="305" t="s">
        <v>579</v>
      </c>
      <c r="I213" s="305" t="s">
        <v>152</v>
      </c>
      <c r="J213" s="305" t="s">
        <v>106</v>
      </c>
      <c r="K213" s="305" t="s">
        <v>2058</v>
      </c>
    </row>
    <row r="214" spans="1:64" x14ac:dyDescent="0.25">
      <c r="A214" s="302" t="str">
        <f t="shared" si="3"/>
        <v>Weatherstripping_0_IE SF_Therm Saved per Unit</v>
      </c>
      <c r="B214" s="303" t="s">
        <v>576</v>
      </c>
      <c r="C214" s="304">
        <v>0</v>
      </c>
      <c r="D214" s="303" t="s">
        <v>581</v>
      </c>
      <c r="E214" s="314" t="s">
        <v>326</v>
      </c>
      <c r="F214" s="326" t="s">
        <v>572</v>
      </c>
      <c r="G214" s="315">
        <f>G205*G210*G209</f>
        <v>0.48799999999999999</v>
      </c>
      <c r="H214" s="305" t="s">
        <v>579</v>
      </c>
      <c r="I214" s="305" t="s">
        <v>152</v>
      </c>
      <c r="J214" s="305" t="s">
        <v>106</v>
      </c>
      <c r="K214" s="305" t="s">
        <v>2058</v>
      </c>
    </row>
    <row r="215" spans="1:64" x14ac:dyDescent="0.25">
      <c r="A215" s="302" t="str">
        <f t="shared" si="3"/>
        <v>Weatherstripping_0_IE SF_Lifetime (years)</v>
      </c>
      <c r="B215" s="303" t="s">
        <v>576</v>
      </c>
      <c r="C215" s="304">
        <v>0</v>
      </c>
      <c r="D215" s="303" t="s">
        <v>581</v>
      </c>
      <c r="E215" s="314" t="s">
        <v>259</v>
      </c>
      <c r="F215" s="326" t="s">
        <v>548</v>
      </c>
      <c r="G215" s="315">
        <v>10</v>
      </c>
      <c r="H215" s="305"/>
      <c r="I215" s="305" t="s">
        <v>152</v>
      </c>
      <c r="J215" s="305" t="s">
        <v>106</v>
      </c>
      <c r="K215" s="305" t="s">
        <v>2058</v>
      </c>
    </row>
    <row r="216" spans="1:64" x14ac:dyDescent="0.25">
      <c r="A216" s="302" t="str">
        <f t="shared" si="3"/>
        <v>Weatherstripping_0_IE SF_Incremental Cost</v>
      </c>
      <c r="B216" s="303" t="s">
        <v>576</v>
      </c>
      <c r="C216" s="304">
        <v>0</v>
      </c>
      <c r="D216" s="303" t="s">
        <v>581</v>
      </c>
      <c r="E216" s="314" t="s">
        <v>260</v>
      </c>
      <c r="F216" s="327" t="s">
        <v>549</v>
      </c>
      <c r="G216" s="328">
        <v>0</v>
      </c>
      <c r="H216" s="305" t="s">
        <v>552</v>
      </c>
      <c r="I216" s="305"/>
      <c r="J216" s="305" t="s">
        <v>106</v>
      </c>
      <c r="K216" s="305"/>
    </row>
    <row r="217" spans="1:64" s="324" customFormat="1" x14ac:dyDescent="0.25">
      <c r="A217" s="317" t="str">
        <f t="shared" si="3"/>
        <v>Weatherstripping_0_IE SF_</v>
      </c>
      <c r="B217" s="317" t="str">
        <f>B216</f>
        <v>Weatherstripping</v>
      </c>
      <c r="C217" s="317">
        <f>C216</f>
        <v>0</v>
      </c>
      <c r="D217" s="317" t="str">
        <f>D216</f>
        <v>IE SF</v>
      </c>
      <c r="E217" s="320"/>
      <c r="F217" s="320"/>
      <c r="G217" s="329"/>
      <c r="H217" s="320"/>
      <c r="I217" s="320"/>
      <c r="J217" s="320"/>
      <c r="K217" s="320"/>
    </row>
    <row r="218" spans="1:64" s="324" customFormat="1" x14ac:dyDescent="0.25">
      <c r="A218" s="302" t="str">
        <f t="shared" si="3"/>
        <v>Weatherstripping_0_SF_Delta_therms</v>
      </c>
      <c r="B218" s="303" t="s">
        <v>576</v>
      </c>
      <c r="C218" s="304">
        <v>0</v>
      </c>
      <c r="D218" s="303" t="s">
        <v>409</v>
      </c>
      <c r="E218" s="305" t="s">
        <v>491</v>
      </c>
      <c r="F218" s="305" t="s">
        <v>575</v>
      </c>
      <c r="G218" s="306">
        <v>0.61</v>
      </c>
      <c r="H218" s="305"/>
      <c r="I218" s="305" t="s">
        <v>152</v>
      </c>
      <c r="J218" s="305" t="s">
        <v>106</v>
      </c>
      <c r="K218" s="305" t="s">
        <v>2058</v>
      </c>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row>
    <row r="219" spans="1:64" s="324" customFormat="1" x14ac:dyDescent="0.25">
      <c r="A219" s="302" t="str">
        <f t="shared" si="3"/>
        <v>Weatherstripping_0_SF_Delta_kWh</v>
      </c>
      <c r="B219" s="303" t="s">
        <v>576</v>
      </c>
      <c r="C219" s="304">
        <v>0</v>
      </c>
      <c r="D219" s="303" t="s">
        <v>409</v>
      </c>
      <c r="E219" s="305" t="s">
        <v>359</v>
      </c>
      <c r="F219" s="305" t="s">
        <v>438</v>
      </c>
      <c r="G219" s="306">
        <f>AVERAGE(3.9,2)</f>
        <v>2.95</v>
      </c>
      <c r="H219" s="305" t="s">
        <v>566</v>
      </c>
      <c r="I219" s="305" t="s">
        <v>152</v>
      </c>
      <c r="J219" s="305" t="s">
        <v>106</v>
      </c>
      <c r="K219" s="305" t="s">
        <v>2058</v>
      </c>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row>
    <row r="220" spans="1:64" s="324" customFormat="1" x14ac:dyDescent="0.25">
      <c r="A220" s="302" t="str">
        <f t="shared" si="3"/>
        <v>Weatherstripping_0_SF_FLH Cooling</v>
      </c>
      <c r="B220" s="303" t="s">
        <v>576</v>
      </c>
      <c r="C220" s="304">
        <v>0</v>
      </c>
      <c r="D220" s="303" t="s">
        <v>409</v>
      </c>
      <c r="E220" s="305" t="s">
        <v>249</v>
      </c>
      <c r="F220" s="305" t="s">
        <v>283</v>
      </c>
      <c r="G220" s="325">
        <v>570</v>
      </c>
      <c r="H220" s="305" t="s">
        <v>567</v>
      </c>
      <c r="I220" s="305" t="s">
        <v>152</v>
      </c>
      <c r="J220" s="305" t="s">
        <v>106</v>
      </c>
      <c r="K220" s="305" t="s">
        <v>2058</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row>
    <row r="221" spans="1:64" s="324" customFormat="1" x14ac:dyDescent="0.25">
      <c r="A221" s="302" t="str">
        <f t="shared" si="3"/>
        <v>Weatherstripping_0_SF_CF</v>
      </c>
      <c r="B221" s="303" t="s">
        <v>576</v>
      </c>
      <c r="C221" s="304">
        <v>0</v>
      </c>
      <c r="D221" s="303" t="s">
        <v>409</v>
      </c>
      <c r="E221" s="305" t="s">
        <v>253</v>
      </c>
      <c r="F221" s="305" t="s">
        <v>539</v>
      </c>
      <c r="G221" s="306">
        <f>AVERAGE(68%,72%)</f>
        <v>0.7</v>
      </c>
      <c r="H221" s="305" t="s">
        <v>568</v>
      </c>
      <c r="I221" s="305" t="s">
        <v>152</v>
      </c>
      <c r="J221" s="305" t="s">
        <v>106</v>
      </c>
      <c r="K221" s="305" t="s">
        <v>2058</v>
      </c>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row>
    <row r="222" spans="1:64" s="324" customFormat="1" x14ac:dyDescent="0.25">
      <c r="A222" s="302" t="str">
        <f t="shared" si="3"/>
        <v>Weatherstripping_0_SF_ADJRxAirsealing</v>
      </c>
      <c r="B222" s="303" t="s">
        <v>576</v>
      </c>
      <c r="C222" s="304">
        <v>0</v>
      </c>
      <c r="D222" s="303" t="s">
        <v>409</v>
      </c>
      <c r="E222" s="305" t="s">
        <v>518</v>
      </c>
      <c r="F222" s="305" t="s">
        <v>539</v>
      </c>
      <c r="G222" s="306">
        <v>0.8</v>
      </c>
      <c r="H222" s="305"/>
      <c r="I222" s="305" t="s">
        <v>152</v>
      </c>
      <c r="J222" s="305" t="s">
        <v>106</v>
      </c>
      <c r="K222" s="305" t="s">
        <v>2058</v>
      </c>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row>
    <row r="223" spans="1:64" s="324" customFormat="1" x14ac:dyDescent="0.25">
      <c r="A223" s="302" t="str">
        <f t="shared" si="3"/>
        <v>Weatherstripping_0_SF_ISR</v>
      </c>
      <c r="B223" s="303" t="s">
        <v>576</v>
      </c>
      <c r="C223" s="304">
        <v>0</v>
      </c>
      <c r="D223" s="303" t="s">
        <v>409</v>
      </c>
      <c r="E223" s="305" t="s">
        <v>267</v>
      </c>
      <c r="F223" s="305" t="s">
        <v>539</v>
      </c>
      <c r="G223" s="308">
        <v>0.87</v>
      </c>
      <c r="H223" s="305" t="s">
        <v>583</v>
      </c>
      <c r="I223" s="305" t="s">
        <v>584</v>
      </c>
      <c r="J223" s="305"/>
      <c r="K223" s="305"/>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row>
    <row r="224" spans="1:64" x14ac:dyDescent="0.25">
      <c r="A224" s="302" t="str">
        <f t="shared" si="3"/>
        <v>Weatherstripping_0_SF_Linear feet</v>
      </c>
      <c r="B224" s="303" t="s">
        <v>576</v>
      </c>
      <c r="C224" s="304">
        <v>0</v>
      </c>
      <c r="D224" s="303" t="s">
        <v>409</v>
      </c>
      <c r="E224" s="305" t="s">
        <v>577</v>
      </c>
      <c r="F224" s="305" t="s">
        <v>578</v>
      </c>
      <c r="G224" s="306"/>
      <c r="H224" s="305"/>
      <c r="I224" s="305"/>
      <c r="J224" s="305"/>
      <c r="K224" s="305"/>
    </row>
    <row r="225" spans="1:64" x14ac:dyDescent="0.25">
      <c r="A225" s="302" t="str">
        <f t="shared" si="3"/>
        <v>Weatherstripping_0_SF_kWh Saved per Unit</v>
      </c>
      <c r="B225" s="303" t="s">
        <v>576</v>
      </c>
      <c r="C225" s="304">
        <v>0</v>
      </c>
      <c r="D225" s="303" t="s">
        <v>409</v>
      </c>
      <c r="E225" s="314" t="s">
        <v>255</v>
      </c>
      <c r="F225" s="326" t="s">
        <v>569</v>
      </c>
      <c r="G225" s="315">
        <f>G219*G222*G223</f>
        <v>2.0532000000000004</v>
      </c>
      <c r="H225" s="305" t="s">
        <v>579</v>
      </c>
      <c r="I225" s="305" t="s">
        <v>152</v>
      </c>
      <c r="J225" s="305" t="s">
        <v>106</v>
      </c>
      <c r="K225" s="305" t="s">
        <v>2058</v>
      </c>
    </row>
    <row r="226" spans="1:64" x14ac:dyDescent="0.25">
      <c r="A226" s="302" t="str">
        <f t="shared" si="3"/>
        <v>Weatherstripping_0_SF_kW Saved per Unit</v>
      </c>
      <c r="B226" s="303" t="s">
        <v>576</v>
      </c>
      <c r="C226" s="304">
        <v>0</v>
      </c>
      <c r="D226" s="303" t="s">
        <v>409</v>
      </c>
      <c r="E226" s="314" t="s">
        <v>580</v>
      </c>
      <c r="F226" s="326" t="s">
        <v>571</v>
      </c>
      <c r="G226" s="315">
        <f>G219/G220*G221</f>
        <v>3.6228070175438592E-3</v>
      </c>
      <c r="H226" s="305" t="s">
        <v>579</v>
      </c>
      <c r="I226" s="305" t="s">
        <v>152</v>
      </c>
      <c r="J226" s="305" t="s">
        <v>106</v>
      </c>
      <c r="K226" s="305" t="s">
        <v>2058</v>
      </c>
    </row>
    <row r="227" spans="1:64" x14ac:dyDescent="0.25">
      <c r="A227" s="302" t="str">
        <f t="shared" si="3"/>
        <v>Weatherstripping_0_SF_Therm Saved per Unit</v>
      </c>
      <c r="B227" s="303" t="s">
        <v>576</v>
      </c>
      <c r="C227" s="304">
        <v>0</v>
      </c>
      <c r="D227" s="303" t="s">
        <v>409</v>
      </c>
      <c r="E227" s="314" t="s">
        <v>326</v>
      </c>
      <c r="F227" s="326" t="s">
        <v>572</v>
      </c>
      <c r="G227" s="315">
        <f>G218*G223*G222</f>
        <v>0.42455999999999999</v>
      </c>
      <c r="H227" s="305" t="s">
        <v>579</v>
      </c>
      <c r="I227" s="305" t="s">
        <v>152</v>
      </c>
      <c r="J227" s="305" t="s">
        <v>106</v>
      </c>
      <c r="K227" s="305" t="s">
        <v>2058</v>
      </c>
    </row>
    <row r="228" spans="1:64" x14ac:dyDescent="0.25">
      <c r="A228" s="302" t="str">
        <f t="shared" si="3"/>
        <v>Weatherstripping_0_SF_Lifetime (years)</v>
      </c>
      <c r="B228" s="303" t="s">
        <v>576</v>
      </c>
      <c r="C228" s="304">
        <v>0</v>
      </c>
      <c r="D228" s="303" t="s">
        <v>409</v>
      </c>
      <c r="E228" s="314" t="s">
        <v>259</v>
      </c>
      <c r="F228" s="326" t="s">
        <v>548</v>
      </c>
      <c r="G228" s="315">
        <v>20</v>
      </c>
      <c r="H228" s="305"/>
      <c r="I228" s="305" t="s">
        <v>152</v>
      </c>
      <c r="J228" s="305" t="s">
        <v>106</v>
      </c>
      <c r="K228" s="305" t="s">
        <v>2058</v>
      </c>
    </row>
    <row r="229" spans="1:64" x14ac:dyDescent="0.25">
      <c r="A229" s="302" t="str">
        <f t="shared" si="3"/>
        <v>Weatherstripping_0_SF_Incremental Cost</v>
      </c>
      <c r="B229" s="303" t="s">
        <v>576</v>
      </c>
      <c r="C229" s="304">
        <v>0</v>
      </c>
      <c r="D229" s="303" t="s">
        <v>409</v>
      </c>
      <c r="E229" s="314" t="s">
        <v>260</v>
      </c>
      <c r="F229" s="327" t="s">
        <v>549</v>
      </c>
      <c r="G229" s="328">
        <v>0</v>
      </c>
      <c r="H229" s="305" t="s">
        <v>552</v>
      </c>
      <c r="I229" s="305"/>
      <c r="J229" s="305" t="s">
        <v>106</v>
      </c>
      <c r="K229" s="305"/>
    </row>
    <row r="230" spans="1:64" s="324" customFormat="1" x14ac:dyDescent="0.25">
      <c r="A230" s="317" t="str">
        <f t="shared" si="3"/>
        <v>Weatherstripping_0_SF_</v>
      </c>
      <c r="B230" s="317" t="str">
        <f>B229</f>
        <v>Weatherstripping</v>
      </c>
      <c r="C230" s="317">
        <f>C229</f>
        <v>0</v>
      </c>
      <c r="D230" s="317" t="str">
        <f>D229</f>
        <v>SF</v>
      </c>
      <c r="E230" s="320"/>
      <c r="F230" s="320"/>
      <c r="G230" s="329"/>
      <c r="H230" s="320"/>
      <c r="I230" s="320"/>
      <c r="J230" s="320"/>
      <c r="K230" s="320"/>
    </row>
    <row r="231" spans="1:64" s="324" customFormat="1" x14ac:dyDescent="0.25">
      <c r="A231" s="302" t="str">
        <f t="shared" si="3"/>
        <v>Door Sweep_0_SF_Delta_therms</v>
      </c>
      <c r="B231" s="303" t="s">
        <v>6</v>
      </c>
      <c r="C231" s="304">
        <v>0</v>
      </c>
      <c r="D231" s="303" t="s">
        <v>409</v>
      </c>
      <c r="E231" s="305" t="s">
        <v>491</v>
      </c>
      <c r="F231" s="305" t="s">
        <v>575</v>
      </c>
      <c r="G231" s="306">
        <v>9.1300000000000008</v>
      </c>
      <c r="H231" s="305"/>
      <c r="I231" s="305" t="s">
        <v>152</v>
      </c>
      <c r="J231" s="305" t="s">
        <v>106</v>
      </c>
      <c r="K231" s="305" t="s">
        <v>2058</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row>
    <row r="232" spans="1:64" s="324" customFormat="1" x14ac:dyDescent="0.25">
      <c r="A232" s="302" t="str">
        <f t="shared" si="3"/>
        <v>Door Sweep_0_SF_Delta_kWh</v>
      </c>
      <c r="B232" s="303" t="s">
        <v>6</v>
      </c>
      <c r="C232" s="304">
        <v>0</v>
      </c>
      <c r="D232" s="303" t="s">
        <v>409</v>
      </c>
      <c r="E232" s="305" t="s">
        <v>359</v>
      </c>
      <c r="F232" s="305" t="s">
        <v>438</v>
      </c>
      <c r="G232" s="306">
        <f>AVERAGE(3.9,2)</f>
        <v>2.95</v>
      </c>
      <c r="H232" s="305" t="s">
        <v>566</v>
      </c>
      <c r="I232" s="305" t="s">
        <v>152</v>
      </c>
      <c r="J232" s="305" t="s">
        <v>106</v>
      </c>
      <c r="K232" s="305" t="s">
        <v>2058</v>
      </c>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row>
    <row r="233" spans="1:64" s="324" customFormat="1" x14ac:dyDescent="0.25">
      <c r="A233" s="302" t="str">
        <f t="shared" si="3"/>
        <v>Door Sweep_0_SF_FLH Cooling</v>
      </c>
      <c r="B233" s="303" t="s">
        <v>6</v>
      </c>
      <c r="C233" s="304">
        <v>0</v>
      </c>
      <c r="D233" s="303" t="s">
        <v>409</v>
      </c>
      <c r="E233" s="305" t="s">
        <v>249</v>
      </c>
      <c r="F233" s="305" t="s">
        <v>283</v>
      </c>
      <c r="G233" s="325">
        <v>570</v>
      </c>
      <c r="H233" s="305" t="s">
        <v>567</v>
      </c>
      <c r="I233" s="305" t="s">
        <v>152</v>
      </c>
      <c r="J233" s="305" t="s">
        <v>106</v>
      </c>
      <c r="K233" s="305" t="s">
        <v>2058</v>
      </c>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row>
    <row r="234" spans="1:64" s="324" customFormat="1" x14ac:dyDescent="0.25">
      <c r="A234" s="302" t="str">
        <f t="shared" si="3"/>
        <v>Door Sweep_0_SF_CF</v>
      </c>
      <c r="B234" s="303" t="s">
        <v>6</v>
      </c>
      <c r="C234" s="304">
        <v>0</v>
      </c>
      <c r="D234" s="303" t="s">
        <v>409</v>
      </c>
      <c r="E234" s="305" t="s">
        <v>253</v>
      </c>
      <c r="F234" s="305" t="s">
        <v>539</v>
      </c>
      <c r="G234" s="306">
        <f>AVERAGE(68%,72%)</f>
        <v>0.7</v>
      </c>
      <c r="H234" s="305" t="s">
        <v>568</v>
      </c>
      <c r="I234" s="305" t="s">
        <v>152</v>
      </c>
      <c r="J234" s="305" t="s">
        <v>106</v>
      </c>
      <c r="K234" s="305" t="s">
        <v>2058</v>
      </c>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row>
    <row r="235" spans="1:64" s="324" customFormat="1" x14ac:dyDescent="0.25">
      <c r="A235" s="302" t="str">
        <f t="shared" si="3"/>
        <v>Door Sweep_0_SF_ADJRxAirsealing</v>
      </c>
      <c r="B235" s="303" t="s">
        <v>6</v>
      </c>
      <c r="C235" s="304">
        <v>0</v>
      </c>
      <c r="D235" s="303" t="s">
        <v>409</v>
      </c>
      <c r="E235" s="305" t="s">
        <v>518</v>
      </c>
      <c r="F235" s="305" t="s">
        <v>539</v>
      </c>
      <c r="G235" s="306">
        <v>0.8</v>
      </c>
      <c r="H235" s="305"/>
      <c r="I235" s="305" t="s">
        <v>152</v>
      </c>
      <c r="J235" s="305" t="s">
        <v>106</v>
      </c>
      <c r="K235" s="305" t="s">
        <v>2058</v>
      </c>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row>
    <row r="236" spans="1:64" s="324" customFormat="1" x14ac:dyDescent="0.25">
      <c r="A236" s="302" t="str">
        <f t="shared" si="3"/>
        <v>Door Sweep_0_SF_ISR</v>
      </c>
      <c r="B236" s="303" t="s">
        <v>6</v>
      </c>
      <c r="C236" s="304">
        <v>0</v>
      </c>
      <c r="D236" s="303" t="s">
        <v>409</v>
      </c>
      <c r="E236" s="305" t="s">
        <v>267</v>
      </c>
      <c r="F236" s="305" t="s">
        <v>539</v>
      </c>
      <c r="G236" s="308">
        <v>0.87</v>
      </c>
      <c r="H236" s="305" t="s">
        <v>585</v>
      </c>
      <c r="I236" s="305" t="s">
        <v>584</v>
      </c>
      <c r="J236" s="305"/>
      <c r="K236" s="305"/>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row>
    <row r="237" spans="1:64" x14ac:dyDescent="0.25">
      <c r="A237" s="302" t="str">
        <f t="shared" si="3"/>
        <v>Door Sweep_0_SF_Linear feet</v>
      </c>
      <c r="B237" s="303" t="s">
        <v>6</v>
      </c>
      <c r="C237" s="304">
        <v>0</v>
      </c>
      <c r="D237" s="303" t="s">
        <v>409</v>
      </c>
      <c r="E237" s="305" t="s">
        <v>577</v>
      </c>
      <c r="F237" s="305" t="s">
        <v>578</v>
      </c>
      <c r="G237" s="306"/>
      <c r="H237" s="305"/>
      <c r="I237" s="305"/>
      <c r="J237" s="305"/>
      <c r="K237" s="305"/>
    </row>
    <row r="238" spans="1:64" x14ac:dyDescent="0.25">
      <c r="A238" s="302" t="str">
        <f t="shared" si="3"/>
        <v>Door Sweep_0_SF_kWh Saved per Unit</v>
      </c>
      <c r="B238" s="303" t="s">
        <v>6</v>
      </c>
      <c r="C238" s="304">
        <v>0</v>
      </c>
      <c r="D238" s="303" t="s">
        <v>409</v>
      </c>
      <c r="E238" s="314" t="s">
        <v>255</v>
      </c>
      <c r="F238" s="326" t="s">
        <v>569</v>
      </c>
      <c r="G238" s="315">
        <f>G232*G235*G236</f>
        <v>2.0532000000000004</v>
      </c>
      <c r="H238" s="305" t="s">
        <v>586</v>
      </c>
      <c r="I238" s="305" t="s">
        <v>152</v>
      </c>
      <c r="J238" s="305" t="s">
        <v>106</v>
      </c>
      <c r="K238" s="305" t="s">
        <v>2058</v>
      </c>
    </row>
    <row r="239" spans="1:64" x14ac:dyDescent="0.25">
      <c r="A239" s="302" t="str">
        <f t="shared" si="3"/>
        <v>Door Sweep_0_SF_kW Saved per Unit</v>
      </c>
      <c r="B239" s="303" t="s">
        <v>6</v>
      </c>
      <c r="C239" s="304">
        <v>0</v>
      </c>
      <c r="D239" s="303" t="s">
        <v>409</v>
      </c>
      <c r="E239" s="314" t="s">
        <v>580</v>
      </c>
      <c r="F239" s="326" t="s">
        <v>571</v>
      </c>
      <c r="G239" s="315">
        <f>G232/G233*G234</f>
        <v>3.6228070175438592E-3</v>
      </c>
      <c r="H239" s="305" t="s">
        <v>586</v>
      </c>
      <c r="I239" s="305" t="s">
        <v>152</v>
      </c>
      <c r="J239" s="305" t="s">
        <v>106</v>
      </c>
      <c r="K239" s="305" t="s">
        <v>2058</v>
      </c>
    </row>
    <row r="240" spans="1:64" x14ac:dyDescent="0.25">
      <c r="A240" s="302" t="str">
        <f t="shared" si="3"/>
        <v>Door Sweep_0_SF_Therm Saved per Unit</v>
      </c>
      <c r="B240" s="303" t="s">
        <v>6</v>
      </c>
      <c r="C240" s="304">
        <v>0</v>
      </c>
      <c r="D240" s="303" t="s">
        <v>409</v>
      </c>
      <c r="E240" s="314" t="s">
        <v>326</v>
      </c>
      <c r="F240" s="326" t="s">
        <v>572</v>
      </c>
      <c r="G240" s="315">
        <f>G231*G236*G235</f>
        <v>6.3544800000000006</v>
      </c>
      <c r="H240" s="305" t="s">
        <v>586</v>
      </c>
      <c r="I240" s="305" t="s">
        <v>152</v>
      </c>
      <c r="J240" s="305" t="s">
        <v>106</v>
      </c>
      <c r="K240" s="305" t="s">
        <v>2058</v>
      </c>
    </row>
    <row r="241" spans="1:11" x14ac:dyDescent="0.25">
      <c r="A241" s="302" t="str">
        <f t="shared" si="3"/>
        <v>Door Sweep_0_SF_Lifetime (years)</v>
      </c>
      <c r="B241" s="303" t="s">
        <v>6</v>
      </c>
      <c r="C241" s="304">
        <v>0</v>
      </c>
      <c r="D241" s="303" t="s">
        <v>409</v>
      </c>
      <c r="E241" s="314" t="s">
        <v>259</v>
      </c>
      <c r="F241" s="326" t="s">
        <v>548</v>
      </c>
      <c r="G241" s="315">
        <v>20</v>
      </c>
      <c r="H241" s="305"/>
      <c r="I241" s="305" t="s">
        <v>152</v>
      </c>
      <c r="J241" s="305" t="s">
        <v>106</v>
      </c>
      <c r="K241" s="305" t="s">
        <v>2058</v>
      </c>
    </row>
    <row r="242" spans="1:11" x14ac:dyDescent="0.25">
      <c r="A242" s="302" t="str">
        <f t="shared" si="3"/>
        <v>Door Sweep_0_SF_Incremental Cost</v>
      </c>
      <c r="B242" s="303" t="s">
        <v>6</v>
      </c>
      <c r="C242" s="304">
        <v>0</v>
      </c>
      <c r="D242" s="303" t="s">
        <v>409</v>
      </c>
      <c r="E242" s="314" t="s">
        <v>260</v>
      </c>
      <c r="F242" s="327" t="s">
        <v>549</v>
      </c>
      <c r="G242" s="328">
        <v>0</v>
      </c>
      <c r="H242" s="305" t="s">
        <v>552</v>
      </c>
      <c r="I242" s="305"/>
      <c r="J242" s="305" t="s">
        <v>106</v>
      </c>
      <c r="K242" s="305"/>
    </row>
    <row r="243" spans="1:11" s="324" customFormat="1" x14ac:dyDescent="0.25">
      <c r="A243" s="317" t="str">
        <f t="shared" si="3"/>
        <v>Door Sweep_0_SF_</v>
      </c>
      <c r="B243" s="317" t="str">
        <f>B242</f>
        <v>Door Sweep</v>
      </c>
      <c r="C243" s="317">
        <f>C242</f>
        <v>0</v>
      </c>
      <c r="D243" s="317" t="str">
        <f>D242</f>
        <v>SF</v>
      </c>
      <c r="E243" s="320"/>
      <c r="F243" s="320"/>
      <c r="G243" s="329"/>
      <c r="H243" s="320"/>
      <c r="I243" s="320"/>
      <c r="J243" s="320"/>
      <c r="K243" s="320"/>
    </row>
    <row r="244" spans="1:11" x14ac:dyDescent="0.25">
      <c r="A244" s="302" t="str">
        <f t="shared" si="3"/>
        <v>Ozone Laundry_0_MF/CI_Wusage</v>
      </c>
      <c r="B244" s="303" t="s">
        <v>16</v>
      </c>
      <c r="C244" s="304">
        <v>0</v>
      </c>
      <c r="D244" s="303" t="s">
        <v>587</v>
      </c>
      <c r="E244" s="305" t="s">
        <v>588</v>
      </c>
      <c r="F244" s="309" t="s">
        <v>589</v>
      </c>
      <c r="G244" s="306">
        <v>2.0299999999999998</v>
      </c>
      <c r="H244" s="305" t="s">
        <v>590</v>
      </c>
      <c r="I244" s="305" t="s">
        <v>152</v>
      </c>
      <c r="J244" s="305" t="s">
        <v>591</v>
      </c>
      <c r="K244" s="305" t="s">
        <v>2003</v>
      </c>
    </row>
    <row r="245" spans="1:11" x14ac:dyDescent="0.25">
      <c r="A245" s="302" t="str">
        <f t="shared" si="3"/>
        <v>Ozone Laundry_0_MF/CI_%water_savings</v>
      </c>
      <c r="B245" s="303" t="s">
        <v>16</v>
      </c>
      <c r="C245" s="304">
        <v>0</v>
      </c>
      <c r="D245" s="303" t="s">
        <v>587</v>
      </c>
      <c r="E245" s="305" t="s">
        <v>593</v>
      </c>
      <c r="F245" s="309" t="s">
        <v>539</v>
      </c>
      <c r="G245" s="306">
        <v>0.25</v>
      </c>
      <c r="H245" s="305" t="s">
        <v>590</v>
      </c>
      <c r="I245" s="305" t="s">
        <v>152</v>
      </c>
      <c r="J245" s="305" t="s">
        <v>591</v>
      </c>
      <c r="K245" s="305" t="s">
        <v>2003</v>
      </c>
    </row>
    <row r="246" spans="1:11" x14ac:dyDescent="0.25">
      <c r="A246" s="302" t="str">
        <f t="shared" si="3"/>
        <v>Ozone Laundry_0_MF/CI_WHE</v>
      </c>
      <c r="B246" s="303" t="s">
        <v>16</v>
      </c>
      <c r="C246" s="304">
        <v>0</v>
      </c>
      <c r="D246" s="303" t="s">
        <v>587</v>
      </c>
      <c r="E246" s="305" t="s">
        <v>594</v>
      </c>
      <c r="F246" s="309" t="s">
        <v>595</v>
      </c>
      <c r="G246" s="312">
        <v>8.8500000000000002E-3</v>
      </c>
      <c r="H246" s="305"/>
      <c r="I246" s="305" t="s">
        <v>152</v>
      </c>
      <c r="J246" s="305" t="s">
        <v>591</v>
      </c>
      <c r="K246" s="305" t="s">
        <v>2003</v>
      </c>
    </row>
    <row r="247" spans="1:11" x14ac:dyDescent="0.25">
      <c r="A247" s="302" t="str">
        <f t="shared" si="3"/>
        <v>Ozone Laundry_0_MF/CI_Wutiliz</v>
      </c>
      <c r="B247" s="303" t="s">
        <v>16</v>
      </c>
      <c r="C247" s="304">
        <v>0</v>
      </c>
      <c r="D247" s="303" t="s">
        <v>587</v>
      </c>
      <c r="E247" s="305" t="s">
        <v>596</v>
      </c>
      <c r="F247" s="309" t="s">
        <v>597</v>
      </c>
      <c r="G247" s="306">
        <v>916150</v>
      </c>
      <c r="H247" s="305" t="s">
        <v>590</v>
      </c>
      <c r="I247" s="305" t="s">
        <v>152</v>
      </c>
      <c r="J247" s="305" t="s">
        <v>591</v>
      </c>
      <c r="K247" s="305" t="s">
        <v>2003</v>
      </c>
    </row>
    <row r="248" spans="1:11" x14ac:dyDescent="0.25">
      <c r="A248" s="302" t="str">
        <f t="shared" si="3"/>
        <v>Ozone Laundry_0_MF/CI_Wusage_hot</v>
      </c>
      <c r="B248" s="303" t="s">
        <v>16</v>
      </c>
      <c r="C248" s="304">
        <v>0</v>
      </c>
      <c r="D248" s="303" t="s">
        <v>587</v>
      </c>
      <c r="E248" s="305" t="s">
        <v>598</v>
      </c>
      <c r="F248" s="309" t="s">
        <v>589</v>
      </c>
      <c r="G248" s="306">
        <v>1.19</v>
      </c>
      <c r="H248" s="305" t="s">
        <v>590</v>
      </c>
      <c r="I248" s="305" t="s">
        <v>152</v>
      </c>
      <c r="J248" s="305" t="s">
        <v>591</v>
      </c>
      <c r="K248" s="305" t="s">
        <v>2003</v>
      </c>
    </row>
    <row r="249" spans="1:11" x14ac:dyDescent="0.25">
      <c r="A249" s="302" t="str">
        <f t="shared" si="3"/>
        <v>Ozone Laundry_0_MF/CI_%hot_water_savings</v>
      </c>
      <c r="B249" s="303" t="s">
        <v>16</v>
      </c>
      <c r="C249" s="304">
        <v>0</v>
      </c>
      <c r="D249" s="303" t="s">
        <v>587</v>
      </c>
      <c r="E249" s="305" t="s">
        <v>599</v>
      </c>
      <c r="F249" s="309" t="s">
        <v>539</v>
      </c>
      <c r="G249" s="308">
        <v>0.81</v>
      </c>
      <c r="H249" s="305" t="s">
        <v>590</v>
      </c>
      <c r="I249" s="305" t="s">
        <v>152</v>
      </c>
      <c r="J249" s="305" t="s">
        <v>591</v>
      </c>
      <c r="K249" s="305" t="s">
        <v>2003</v>
      </c>
    </row>
    <row r="250" spans="1:11" x14ac:dyDescent="0.25">
      <c r="A250" s="302" t="str">
        <f t="shared" si="3"/>
        <v>Ozone Laundry_0_MF/CI_Capacity</v>
      </c>
      <c r="B250" s="303" t="s">
        <v>16</v>
      </c>
      <c r="C250" s="304">
        <v>0</v>
      </c>
      <c r="D250" s="303" t="s">
        <v>587</v>
      </c>
      <c r="E250" s="305" t="s">
        <v>270</v>
      </c>
      <c r="F250" s="305" t="s">
        <v>600</v>
      </c>
      <c r="G250" s="307">
        <v>254.38</v>
      </c>
      <c r="H250" s="305" t="s">
        <v>601</v>
      </c>
      <c r="I250" s="305" t="s">
        <v>152</v>
      </c>
      <c r="J250" s="305" t="s">
        <v>591</v>
      </c>
      <c r="K250" s="305" t="s">
        <v>2003</v>
      </c>
    </row>
    <row r="251" spans="1:11" x14ac:dyDescent="0.25">
      <c r="A251" s="302" t="str">
        <f t="shared" si="3"/>
        <v>Ozone Laundry_0_MF/CI_kWh Saved per Unit</v>
      </c>
      <c r="B251" s="303" t="s">
        <v>16</v>
      </c>
      <c r="C251" s="304">
        <v>0</v>
      </c>
      <c r="D251" s="303" t="s">
        <v>587</v>
      </c>
      <c r="E251" s="314" t="s">
        <v>255</v>
      </c>
      <c r="F251" s="326" t="s">
        <v>602</v>
      </c>
      <c r="G251" s="315">
        <f>746/254.38</f>
        <v>2.9326204890321566</v>
      </c>
      <c r="H251" s="305"/>
      <c r="I251" s="305" t="s">
        <v>152</v>
      </c>
      <c r="J251" s="305" t="s">
        <v>591</v>
      </c>
      <c r="K251" s="305" t="s">
        <v>2003</v>
      </c>
    </row>
    <row r="252" spans="1:11" x14ac:dyDescent="0.25">
      <c r="A252" s="302" t="str">
        <f t="shared" si="3"/>
        <v>Ozone Laundry_0_MF/CI_kW Saved per Unit</v>
      </c>
      <c r="B252" s="303" t="s">
        <v>16</v>
      </c>
      <c r="C252" s="304">
        <v>0</v>
      </c>
      <c r="D252" s="303" t="s">
        <v>587</v>
      </c>
      <c r="E252" s="314" t="s">
        <v>580</v>
      </c>
      <c r="F252" s="326" t="s">
        <v>571</v>
      </c>
      <c r="G252" s="315">
        <v>0</v>
      </c>
      <c r="H252" s="305"/>
      <c r="I252" s="305" t="s">
        <v>152</v>
      </c>
      <c r="J252" s="305" t="s">
        <v>591</v>
      </c>
      <c r="K252" s="305" t="s">
        <v>2003</v>
      </c>
    </row>
    <row r="253" spans="1:11" x14ac:dyDescent="0.25">
      <c r="A253" s="302" t="str">
        <f t="shared" si="3"/>
        <v>Ozone Laundry_0_MF/CI_Gallons Saved per Unit</v>
      </c>
      <c r="B253" s="303" t="s">
        <v>16</v>
      </c>
      <c r="C253" s="304">
        <v>0</v>
      </c>
      <c r="D253" s="303" t="s">
        <v>587</v>
      </c>
      <c r="E253" s="314" t="s">
        <v>547</v>
      </c>
      <c r="F253" s="326" t="s">
        <v>603</v>
      </c>
      <c r="G253" s="315">
        <f>G244*G245*G247/G250</f>
        <v>1827.7621078701154</v>
      </c>
      <c r="H253" s="305" t="s">
        <v>604</v>
      </c>
      <c r="I253" s="305" t="s">
        <v>152</v>
      </c>
      <c r="J253" s="305" t="s">
        <v>591</v>
      </c>
      <c r="K253" s="305" t="s">
        <v>2003</v>
      </c>
    </row>
    <row r="254" spans="1:11" x14ac:dyDescent="0.25">
      <c r="A254" s="302" t="str">
        <f t="shared" si="3"/>
        <v>Ozone Laundry_0_MF/CI_Therm Saved per Unit</v>
      </c>
      <c r="B254" s="303" t="s">
        <v>16</v>
      </c>
      <c r="C254" s="304">
        <v>0</v>
      </c>
      <c r="D254" s="303" t="s">
        <v>587</v>
      </c>
      <c r="E254" s="314" t="s">
        <v>326</v>
      </c>
      <c r="F254" s="326" t="s">
        <v>605</v>
      </c>
      <c r="G254" s="315">
        <f>G246*G247*G248*G249/G250</f>
        <v>30.722664192350027</v>
      </c>
      <c r="H254" s="305" t="s">
        <v>604</v>
      </c>
      <c r="I254" s="305" t="s">
        <v>152</v>
      </c>
      <c r="J254" s="305" t="s">
        <v>591</v>
      </c>
      <c r="K254" s="305" t="s">
        <v>2003</v>
      </c>
    </row>
    <row r="255" spans="1:11" x14ac:dyDescent="0.25">
      <c r="A255" s="302" t="str">
        <f t="shared" si="3"/>
        <v>Ozone Laundry_0_MF/CI_Lifetime (years)</v>
      </c>
      <c r="B255" s="303" t="s">
        <v>16</v>
      </c>
      <c r="C255" s="304">
        <v>0</v>
      </c>
      <c r="D255" s="303" t="s">
        <v>587</v>
      </c>
      <c r="E255" s="314" t="s">
        <v>259</v>
      </c>
      <c r="F255" s="326" t="s">
        <v>548</v>
      </c>
      <c r="G255" s="315">
        <v>10</v>
      </c>
      <c r="H255" s="305"/>
      <c r="I255" s="305" t="s">
        <v>152</v>
      </c>
      <c r="J255" s="305" t="s">
        <v>591</v>
      </c>
      <c r="K255" s="305" t="s">
        <v>2003</v>
      </c>
    </row>
    <row r="256" spans="1:11" x14ac:dyDescent="0.25">
      <c r="A256" s="302" t="str">
        <f t="shared" si="3"/>
        <v>Ozone Laundry_0_MF/CI_Incremental Cost</v>
      </c>
      <c r="B256" s="303" t="s">
        <v>16</v>
      </c>
      <c r="C256" s="304">
        <v>0</v>
      </c>
      <c r="D256" s="303" t="s">
        <v>587</v>
      </c>
      <c r="E256" s="314" t="s">
        <v>260</v>
      </c>
      <c r="F256" s="327" t="s">
        <v>606</v>
      </c>
      <c r="G256" s="328">
        <v>79.84</v>
      </c>
      <c r="H256" s="305" t="s">
        <v>590</v>
      </c>
      <c r="I256" s="305" t="s">
        <v>152</v>
      </c>
      <c r="J256" s="305" t="s">
        <v>591</v>
      </c>
      <c r="K256" s="305" t="s">
        <v>2003</v>
      </c>
    </row>
    <row r="257" spans="1:11" x14ac:dyDescent="0.25">
      <c r="A257" s="302" t="str">
        <f t="shared" si="3"/>
        <v>Ozone Laundry_0_MF/CI_O&amp;M Cost Adjustment</v>
      </c>
      <c r="B257" s="303" t="s">
        <v>16</v>
      </c>
      <c r="C257" s="304">
        <v>0</v>
      </c>
      <c r="D257" s="303" t="s">
        <v>587</v>
      </c>
      <c r="E257" s="314" t="s">
        <v>327</v>
      </c>
      <c r="F257" s="327" t="s">
        <v>549</v>
      </c>
      <c r="G257" s="331">
        <f>0.79</f>
        <v>0.79</v>
      </c>
      <c r="H257" s="305" t="s">
        <v>607</v>
      </c>
      <c r="I257" s="305" t="s">
        <v>152</v>
      </c>
      <c r="J257" s="305" t="s">
        <v>591</v>
      </c>
      <c r="K257" s="305" t="s">
        <v>2003</v>
      </c>
    </row>
    <row r="258" spans="1:11" s="324" customFormat="1" x14ac:dyDescent="0.25">
      <c r="A258" s="317" t="str">
        <f t="shared" si="3"/>
        <v>Ozone Laundry_0_MF/CI_</v>
      </c>
      <c r="B258" s="317" t="str">
        <f>B257</f>
        <v>Ozone Laundry</v>
      </c>
      <c r="C258" s="332">
        <f>C257</f>
        <v>0</v>
      </c>
      <c r="D258" s="317" t="s">
        <v>587</v>
      </c>
      <c r="E258" s="320"/>
      <c r="F258" s="320"/>
      <c r="G258" s="329"/>
      <c r="H258" s="320"/>
      <c r="I258" s="320"/>
      <c r="J258" s="320"/>
      <c r="K258" s="320"/>
    </row>
    <row r="259" spans="1:11" x14ac:dyDescent="0.25">
      <c r="A259" s="302" t="str">
        <f t="shared" si="3"/>
        <v>Foundation Insulation_0_SF_ΔTherms</v>
      </c>
      <c r="B259" s="303" t="s">
        <v>608</v>
      </c>
      <c r="C259" s="304">
        <v>0</v>
      </c>
      <c r="D259" s="303" t="s">
        <v>409</v>
      </c>
      <c r="E259" s="305" t="s">
        <v>524</v>
      </c>
      <c r="F259" s="309" t="s">
        <v>609</v>
      </c>
      <c r="G259" s="306">
        <f>G283</f>
        <v>0.70170749999999993</v>
      </c>
      <c r="H259" s="305"/>
      <c r="I259" s="305" t="s">
        <v>152</v>
      </c>
      <c r="J259" s="305" t="s">
        <v>109</v>
      </c>
      <c r="K259" s="305" t="s">
        <v>2060</v>
      </c>
    </row>
    <row r="260" spans="1:11" x14ac:dyDescent="0.25">
      <c r="A260" s="302" t="str">
        <f t="shared" si="3"/>
        <v>Foundation Insulation_0_SF_Fe</v>
      </c>
      <c r="B260" s="303" t="s">
        <v>608</v>
      </c>
      <c r="C260" s="304">
        <v>0</v>
      </c>
      <c r="D260" s="303" t="s">
        <v>409</v>
      </c>
      <c r="E260" s="305" t="s">
        <v>425</v>
      </c>
      <c r="F260" s="309" t="s">
        <v>539</v>
      </c>
      <c r="G260" s="333">
        <v>3.1399999999999997E-2</v>
      </c>
      <c r="H260" s="305"/>
      <c r="I260" s="305" t="s">
        <v>152</v>
      </c>
      <c r="J260" s="305" t="s">
        <v>109</v>
      </c>
      <c r="K260" s="305" t="s">
        <v>2060</v>
      </c>
    </row>
    <row r="261" spans="1:11" x14ac:dyDescent="0.25">
      <c r="A261" s="302" t="str">
        <f t="shared" si="3"/>
        <v>Foundation Insulation_0_SF_Conversion</v>
      </c>
      <c r="B261" s="303" t="s">
        <v>608</v>
      </c>
      <c r="C261" s="304">
        <v>0</v>
      </c>
      <c r="D261" s="303" t="s">
        <v>409</v>
      </c>
      <c r="E261" s="305" t="s">
        <v>284</v>
      </c>
      <c r="F261" s="309" t="s">
        <v>611</v>
      </c>
      <c r="G261" s="306">
        <v>29.3</v>
      </c>
      <c r="H261" s="305"/>
      <c r="I261" s="305" t="s">
        <v>152</v>
      </c>
      <c r="J261" s="305" t="s">
        <v>109</v>
      </c>
      <c r="K261" s="305" t="s">
        <v>2060</v>
      </c>
    </row>
    <row r="262" spans="1:11" x14ac:dyDescent="0.25">
      <c r="A262" s="302" t="str">
        <f t="shared" ref="A262:A325" si="4">B262&amp;"_"&amp;C262&amp;"_"&amp;D262&amp;"_"&amp;E262</f>
        <v>Foundation Insulation_0_SF_Delta_kWh_heatingGas</v>
      </c>
      <c r="B262" s="303" t="s">
        <v>608</v>
      </c>
      <c r="C262" s="304">
        <v>0</v>
      </c>
      <c r="D262" s="303" t="s">
        <v>409</v>
      </c>
      <c r="E262" s="305" t="s">
        <v>488</v>
      </c>
      <c r="F262" s="309" t="s">
        <v>565</v>
      </c>
      <c r="G262" s="306">
        <f xml:space="preserve"> G259 * G260 * G261</f>
        <v>0.64558493414999985</v>
      </c>
      <c r="H262" s="305"/>
      <c r="I262" s="305" t="s">
        <v>152</v>
      </c>
      <c r="J262" s="305" t="s">
        <v>109</v>
      </c>
      <c r="K262" s="305" t="s">
        <v>2060</v>
      </c>
    </row>
    <row r="263" spans="1:11" x14ac:dyDescent="0.25">
      <c r="A263" s="302" t="str">
        <f t="shared" si="4"/>
        <v>Foundation Insulation_0_SF_R_old_AG</v>
      </c>
      <c r="B263" s="303" t="s">
        <v>608</v>
      </c>
      <c r="C263" s="304">
        <v>0</v>
      </c>
      <c r="D263" s="303" t="s">
        <v>409</v>
      </c>
      <c r="E263" s="311" t="s">
        <v>496</v>
      </c>
      <c r="F263" s="334" t="s">
        <v>612</v>
      </c>
      <c r="G263" s="334">
        <v>1</v>
      </c>
      <c r="H263" s="311" t="s">
        <v>2588</v>
      </c>
      <c r="I263" s="305" t="s">
        <v>152</v>
      </c>
      <c r="J263" s="305" t="s">
        <v>109</v>
      </c>
      <c r="K263" s="305" t="s">
        <v>2060</v>
      </c>
    </row>
    <row r="264" spans="1:11" x14ac:dyDescent="0.25">
      <c r="A264" s="302" t="str">
        <f t="shared" si="4"/>
        <v>Foundation Insulation_0_SF_R_added</v>
      </c>
      <c r="B264" s="303" t="s">
        <v>608</v>
      </c>
      <c r="C264" s="304">
        <v>0</v>
      </c>
      <c r="D264" s="303" t="s">
        <v>409</v>
      </c>
      <c r="E264" s="305" t="s">
        <v>497</v>
      </c>
      <c r="F264" s="309" t="s">
        <v>612</v>
      </c>
      <c r="G264" s="306">
        <v>13</v>
      </c>
      <c r="H264" s="305" t="s">
        <v>498</v>
      </c>
      <c r="I264" s="305" t="s">
        <v>152</v>
      </c>
      <c r="J264" s="305" t="s">
        <v>109</v>
      </c>
      <c r="K264" s="305" t="s">
        <v>2060</v>
      </c>
    </row>
    <row r="265" spans="1:11" x14ac:dyDescent="0.25">
      <c r="A265" s="302" t="str">
        <f t="shared" si="4"/>
        <v>Foundation Insulation_0_SF_R_old_AG</v>
      </c>
      <c r="B265" s="303" t="s">
        <v>608</v>
      </c>
      <c r="C265" s="304">
        <v>0</v>
      </c>
      <c r="D265" s="303" t="s">
        <v>409</v>
      </c>
      <c r="E265" s="311" t="s">
        <v>496</v>
      </c>
      <c r="F265" s="334" t="s">
        <v>612</v>
      </c>
      <c r="G265" s="334">
        <f>G263</f>
        <v>1</v>
      </c>
      <c r="H265" s="311" t="str">
        <f>H263</f>
        <v>Assumed unknown value from TRM</v>
      </c>
      <c r="I265" s="305" t="s">
        <v>152</v>
      </c>
      <c r="J265" s="305" t="s">
        <v>109</v>
      </c>
      <c r="K265" s="305" t="s">
        <v>2060</v>
      </c>
    </row>
    <row r="266" spans="1:11" x14ac:dyDescent="0.25">
      <c r="A266" s="302" t="str">
        <f t="shared" si="4"/>
        <v>Foundation Insulation_0_SF_L_basement_wall_total</v>
      </c>
      <c r="B266" s="303" t="s">
        <v>608</v>
      </c>
      <c r="C266" s="304">
        <v>0</v>
      </c>
      <c r="D266" s="303" t="s">
        <v>409</v>
      </c>
      <c r="E266" s="305" t="s">
        <v>499</v>
      </c>
      <c r="F266" s="309" t="s">
        <v>616</v>
      </c>
      <c r="G266" s="306">
        <v>1</v>
      </c>
      <c r="H266" s="305" t="s">
        <v>615</v>
      </c>
      <c r="I266" s="305" t="s">
        <v>152</v>
      </c>
      <c r="J266" s="305" t="s">
        <v>109</v>
      </c>
      <c r="K266" s="305" t="s">
        <v>2060</v>
      </c>
    </row>
    <row r="267" spans="1:11" x14ac:dyDescent="0.25">
      <c r="A267" s="302" t="str">
        <f t="shared" si="4"/>
        <v>Foundation Insulation_0_SF_H_basement_wall_AG</v>
      </c>
      <c r="B267" s="303" t="s">
        <v>608</v>
      </c>
      <c r="C267" s="304">
        <v>0</v>
      </c>
      <c r="D267" s="303" t="s">
        <v>409</v>
      </c>
      <c r="E267" s="305" t="s">
        <v>500</v>
      </c>
      <c r="F267" s="309" t="s">
        <v>616</v>
      </c>
      <c r="G267" s="307">
        <v>1</v>
      </c>
      <c r="H267" s="305" t="s">
        <v>615</v>
      </c>
      <c r="I267" s="305" t="s">
        <v>152</v>
      </c>
      <c r="J267" s="305" t="s">
        <v>109</v>
      </c>
      <c r="K267" s="305" t="s">
        <v>2060</v>
      </c>
    </row>
    <row r="268" spans="1:11" x14ac:dyDescent="0.25">
      <c r="A268" s="302" t="str">
        <f t="shared" si="4"/>
        <v>Foundation Insulation_0_SF_Framing_factor</v>
      </c>
      <c r="B268" s="303" t="s">
        <v>608</v>
      </c>
      <c r="C268" s="304">
        <v>0</v>
      </c>
      <c r="D268" s="303" t="s">
        <v>409</v>
      </c>
      <c r="E268" s="305" t="s">
        <v>501</v>
      </c>
      <c r="F268" s="309" t="s">
        <v>539</v>
      </c>
      <c r="G268" s="306">
        <v>0.25</v>
      </c>
      <c r="H268" s="305" t="s">
        <v>502</v>
      </c>
      <c r="I268" s="305" t="s">
        <v>152</v>
      </c>
      <c r="J268" s="305" t="s">
        <v>109</v>
      </c>
      <c r="K268" s="305" t="s">
        <v>2060</v>
      </c>
    </row>
    <row r="269" spans="1:11" x14ac:dyDescent="0.25">
      <c r="A269" s="302" t="str">
        <f t="shared" si="4"/>
        <v>Foundation Insulation_0_SF_R_old_BG</v>
      </c>
      <c r="B269" s="303" t="s">
        <v>608</v>
      </c>
      <c r="C269" s="304">
        <v>0</v>
      </c>
      <c r="D269" s="303" t="s">
        <v>409</v>
      </c>
      <c r="E269" s="305" t="s">
        <v>503</v>
      </c>
      <c r="F269" s="309" t="s">
        <v>612</v>
      </c>
      <c r="G269" s="307">
        <v>7.42</v>
      </c>
      <c r="H269" s="305" t="s">
        <v>617</v>
      </c>
      <c r="I269" s="305" t="s">
        <v>152</v>
      </c>
      <c r="J269" s="305" t="s">
        <v>109</v>
      </c>
      <c r="K269" s="305" t="s">
        <v>2060</v>
      </c>
    </row>
    <row r="270" spans="1:11" x14ac:dyDescent="0.25">
      <c r="A270" s="302" t="str">
        <f t="shared" si="4"/>
        <v>Foundation Insulation_0_SF_R_added</v>
      </c>
      <c r="B270" s="303" t="s">
        <v>608</v>
      </c>
      <c r="C270" s="304">
        <v>0</v>
      </c>
      <c r="D270" s="303" t="s">
        <v>409</v>
      </c>
      <c r="E270" s="305" t="s">
        <v>497</v>
      </c>
      <c r="F270" s="309" t="s">
        <v>612</v>
      </c>
      <c r="G270" s="306">
        <v>13</v>
      </c>
      <c r="H270" s="305" t="s">
        <v>498</v>
      </c>
      <c r="I270" s="305" t="s">
        <v>152</v>
      </c>
      <c r="J270" s="305" t="s">
        <v>109</v>
      </c>
      <c r="K270" s="305" t="s">
        <v>2060</v>
      </c>
    </row>
    <row r="271" spans="1:11" x14ac:dyDescent="0.25">
      <c r="A271" s="302" t="str">
        <f t="shared" si="4"/>
        <v>Foundation Insulation_0_SF_R_old_BG</v>
      </c>
      <c r="B271" s="303" t="s">
        <v>608</v>
      </c>
      <c r="C271" s="304">
        <v>0</v>
      </c>
      <c r="D271" s="303" t="s">
        <v>409</v>
      </c>
      <c r="E271" s="305" t="s">
        <v>503</v>
      </c>
      <c r="F271" s="309" t="s">
        <v>612</v>
      </c>
      <c r="G271" s="307">
        <v>7.42</v>
      </c>
      <c r="H271" s="305" t="s">
        <v>617</v>
      </c>
      <c r="I271" s="305" t="s">
        <v>152</v>
      </c>
      <c r="J271" s="305" t="s">
        <v>109</v>
      </c>
      <c r="K271" s="305" t="s">
        <v>2060</v>
      </c>
    </row>
    <row r="272" spans="1:11" x14ac:dyDescent="0.25">
      <c r="A272" s="302" t="str">
        <f t="shared" si="4"/>
        <v>Foundation Insulation_0_SF_L_basement_wall_total</v>
      </c>
      <c r="B272" s="303" t="s">
        <v>608</v>
      </c>
      <c r="C272" s="304">
        <v>0</v>
      </c>
      <c r="D272" s="303" t="s">
        <v>409</v>
      </c>
      <c r="E272" s="305" t="s">
        <v>499</v>
      </c>
      <c r="F272" s="309" t="s">
        <v>616</v>
      </c>
      <c r="G272" s="306">
        <v>1</v>
      </c>
      <c r="H272" s="305" t="s">
        <v>615</v>
      </c>
      <c r="I272" s="305" t="s">
        <v>152</v>
      </c>
      <c r="J272" s="305" t="s">
        <v>109</v>
      </c>
      <c r="K272" s="305" t="s">
        <v>2060</v>
      </c>
    </row>
    <row r="273" spans="1:11" x14ac:dyDescent="0.25">
      <c r="A273" s="302" t="str">
        <f t="shared" si="4"/>
        <v>Foundation Insulation_0_SF_H_basement_wall_total</v>
      </c>
      <c r="B273" s="303" t="s">
        <v>608</v>
      </c>
      <c r="C273" s="304">
        <v>0</v>
      </c>
      <c r="D273" s="303" t="s">
        <v>409</v>
      </c>
      <c r="E273" s="305" t="s">
        <v>504</v>
      </c>
      <c r="F273" s="309" t="s">
        <v>616</v>
      </c>
      <c r="G273" s="307">
        <v>1</v>
      </c>
      <c r="H273" s="305" t="s">
        <v>615</v>
      </c>
      <c r="I273" s="305" t="s">
        <v>152</v>
      </c>
      <c r="J273" s="305" t="s">
        <v>109</v>
      </c>
      <c r="K273" s="305" t="s">
        <v>2060</v>
      </c>
    </row>
    <row r="274" spans="1:11" x14ac:dyDescent="0.25">
      <c r="A274" s="302" t="str">
        <f t="shared" si="4"/>
        <v>Foundation Insulation_0_SF_H_basement_wall_AG</v>
      </c>
      <c r="B274" s="303" t="s">
        <v>608</v>
      </c>
      <c r="C274" s="304">
        <v>0</v>
      </c>
      <c r="D274" s="303" t="s">
        <v>409</v>
      </c>
      <c r="E274" s="305" t="s">
        <v>500</v>
      </c>
      <c r="F274" s="309" t="s">
        <v>616</v>
      </c>
      <c r="G274" s="306">
        <v>1</v>
      </c>
      <c r="H274" s="305" t="s">
        <v>615</v>
      </c>
      <c r="I274" s="305" t="s">
        <v>152</v>
      </c>
      <c r="J274" s="305" t="s">
        <v>109</v>
      </c>
      <c r="K274" s="305" t="s">
        <v>2060</v>
      </c>
    </row>
    <row r="275" spans="1:11" x14ac:dyDescent="0.25">
      <c r="A275" s="302" t="str">
        <f t="shared" si="4"/>
        <v>Foundation Insulation_0_SF_Framing_factor</v>
      </c>
      <c r="B275" s="303" t="s">
        <v>608</v>
      </c>
      <c r="C275" s="304">
        <v>0</v>
      </c>
      <c r="D275" s="303" t="s">
        <v>409</v>
      </c>
      <c r="E275" s="305" t="s">
        <v>501</v>
      </c>
      <c r="F275" s="309" t="s">
        <v>539</v>
      </c>
      <c r="G275" s="307">
        <v>0.25</v>
      </c>
      <c r="H275" s="305" t="s">
        <v>502</v>
      </c>
      <c r="I275" s="305" t="s">
        <v>152</v>
      </c>
      <c r="J275" s="305" t="s">
        <v>109</v>
      </c>
      <c r="K275" s="305" t="s">
        <v>2060</v>
      </c>
    </row>
    <row r="276" spans="1:11" x14ac:dyDescent="0.25">
      <c r="A276" s="302" t="str">
        <f t="shared" si="4"/>
        <v>Foundation Insulation_0_SF_Conversion</v>
      </c>
      <c r="B276" s="303" t="s">
        <v>608</v>
      </c>
      <c r="C276" s="304">
        <v>0</v>
      </c>
      <c r="D276" s="303" t="s">
        <v>409</v>
      </c>
      <c r="E276" s="305" t="s">
        <v>284</v>
      </c>
      <c r="F276" s="309" t="s">
        <v>618</v>
      </c>
      <c r="G276" s="325">
        <v>24</v>
      </c>
      <c r="H276" s="305"/>
      <c r="I276" s="305" t="s">
        <v>152</v>
      </c>
      <c r="J276" s="305" t="s">
        <v>109</v>
      </c>
      <c r="K276" s="305" t="s">
        <v>2060</v>
      </c>
    </row>
    <row r="277" spans="1:11" x14ac:dyDescent="0.25">
      <c r="A277" s="302" t="str">
        <f t="shared" si="4"/>
        <v>Foundation Insulation_0_SF_HDD</v>
      </c>
      <c r="B277" s="303" t="s">
        <v>608</v>
      </c>
      <c r="C277" s="304">
        <v>0</v>
      </c>
      <c r="D277" s="303" t="s">
        <v>409</v>
      </c>
      <c r="E277" s="311" t="s">
        <v>487</v>
      </c>
      <c r="F277" s="334"/>
      <c r="G277" s="335">
        <v>4798</v>
      </c>
      <c r="H277" s="311" t="s">
        <v>619</v>
      </c>
      <c r="I277" s="305" t="s">
        <v>152</v>
      </c>
      <c r="J277" s="305" t="s">
        <v>109</v>
      </c>
      <c r="K277" s="305" t="s">
        <v>2060</v>
      </c>
    </row>
    <row r="278" spans="1:11" x14ac:dyDescent="0.25">
      <c r="A278" s="302" t="str">
        <f t="shared" si="4"/>
        <v>Foundation Insulation_0_SF_ηHeat - gas</v>
      </c>
      <c r="B278" s="303" t="s">
        <v>608</v>
      </c>
      <c r="C278" s="304">
        <v>0</v>
      </c>
      <c r="D278" s="303" t="s">
        <v>409</v>
      </c>
      <c r="E278" s="305" t="s">
        <v>620</v>
      </c>
      <c r="F278" s="309" t="s">
        <v>539</v>
      </c>
      <c r="G278" s="306">
        <v>0.72</v>
      </c>
      <c r="H278" s="305" t="s">
        <v>274</v>
      </c>
      <c r="I278" s="305" t="s">
        <v>152</v>
      </c>
      <c r="J278" s="305" t="s">
        <v>109</v>
      </c>
      <c r="K278" s="305" t="s">
        <v>2060</v>
      </c>
    </row>
    <row r="279" spans="1:11" x14ac:dyDescent="0.25">
      <c r="A279" s="302" t="str">
        <f t="shared" si="4"/>
        <v>Foundation Insulation_0_SF_ηHeat - gas- MLA</v>
      </c>
      <c r="B279" s="303" t="s">
        <v>608</v>
      </c>
      <c r="C279" s="304">
        <v>0</v>
      </c>
      <c r="D279" s="303" t="s">
        <v>409</v>
      </c>
      <c r="E279" s="305" t="s">
        <v>621</v>
      </c>
      <c r="F279" s="309" t="s">
        <v>539</v>
      </c>
      <c r="G279" s="334">
        <v>0.68</v>
      </c>
      <c r="H279" s="311" t="s">
        <v>1924</v>
      </c>
      <c r="I279" s="305" t="s">
        <v>152</v>
      </c>
      <c r="J279" s="305" t="s">
        <v>109</v>
      </c>
      <c r="K279" s="305" t="s">
        <v>2060</v>
      </c>
    </row>
    <row r="280" spans="1:11" x14ac:dyDescent="0.25">
      <c r="A280" s="302" t="str">
        <f t="shared" si="4"/>
        <v>Foundation Insulation_0_SF_Conversion</v>
      </c>
      <c r="B280" s="303" t="s">
        <v>608</v>
      </c>
      <c r="C280" s="304">
        <v>0</v>
      </c>
      <c r="D280" s="303" t="s">
        <v>409</v>
      </c>
      <c r="E280" s="305" t="s">
        <v>284</v>
      </c>
      <c r="F280" s="305" t="s">
        <v>622</v>
      </c>
      <c r="G280" s="325">
        <v>100000</v>
      </c>
      <c r="H280" s="305"/>
      <c r="I280" s="305" t="s">
        <v>152</v>
      </c>
      <c r="J280" s="305" t="s">
        <v>109</v>
      </c>
      <c r="K280" s="305" t="s">
        <v>2060</v>
      </c>
    </row>
    <row r="281" spans="1:11" x14ac:dyDescent="0.25">
      <c r="A281" s="302" t="str">
        <f t="shared" si="4"/>
        <v>Foundation Insulation_0_SF_ADJ_BasementHeat</v>
      </c>
      <c r="B281" s="303" t="s">
        <v>608</v>
      </c>
      <c r="C281" s="304">
        <v>0</v>
      </c>
      <c r="D281" s="303" t="s">
        <v>409</v>
      </c>
      <c r="E281" s="311" t="s">
        <v>623</v>
      </c>
      <c r="F281" s="334"/>
      <c r="G281" s="310">
        <v>0.63</v>
      </c>
      <c r="H281" s="311"/>
      <c r="I281" s="305" t="s">
        <v>152</v>
      </c>
      <c r="J281" s="305" t="s">
        <v>109</v>
      </c>
      <c r="K281" s="305" t="s">
        <v>2060</v>
      </c>
    </row>
    <row r="282" spans="1:11" x14ac:dyDescent="0.25">
      <c r="A282" s="302" t="str">
        <f t="shared" si="4"/>
        <v>Foundation Insulation_0_SF_% Gas Heating</v>
      </c>
      <c r="B282" s="303" t="s">
        <v>608</v>
      </c>
      <c r="C282" s="304">
        <v>0</v>
      </c>
      <c r="D282" s="303" t="s">
        <v>409</v>
      </c>
      <c r="E282" s="305" t="s">
        <v>269</v>
      </c>
      <c r="F282" s="309"/>
      <c r="G282" s="307">
        <v>1</v>
      </c>
      <c r="H282" s="305" t="s">
        <v>624</v>
      </c>
      <c r="I282" s="305" t="s">
        <v>152</v>
      </c>
      <c r="J282" s="305" t="s">
        <v>109</v>
      </c>
      <c r="K282" s="305" t="s">
        <v>2060</v>
      </c>
    </row>
    <row r="283" spans="1:11" x14ac:dyDescent="0.25">
      <c r="A283" s="302" t="str">
        <f t="shared" si="4"/>
        <v>Foundation Insulation_0_SF_Delta_therms</v>
      </c>
      <c r="B283" s="303" t="s">
        <v>608</v>
      </c>
      <c r="C283" s="304">
        <v>0</v>
      </c>
      <c r="D283" s="303" t="s">
        <v>409</v>
      </c>
      <c r="E283" s="305" t="s">
        <v>491</v>
      </c>
      <c r="F283" s="309"/>
      <c r="G283" s="306">
        <f xml:space="preserve"> ((((((1/G263 - 1/(G264+G265))*G266*G267*(1-G268) + (1/G269 - 1/(G270+G271)) * G272 * (G273 - G274) * (1-G275)) * G276 * G277)) / (G278 * G280))) * G281 * G282</f>
        <v>0.70170749999999993</v>
      </c>
      <c r="H283" s="305"/>
      <c r="I283" s="305" t="s">
        <v>152</v>
      </c>
      <c r="J283" s="305" t="s">
        <v>109</v>
      </c>
      <c r="K283" s="305" t="s">
        <v>2060</v>
      </c>
    </row>
    <row r="284" spans="1:11" x14ac:dyDescent="0.25">
      <c r="A284" s="302" t="str">
        <f t="shared" si="4"/>
        <v>Foundation Insulation_0_SF_kWh Saved per Unit</v>
      </c>
      <c r="B284" s="303" t="s">
        <v>608</v>
      </c>
      <c r="C284" s="304">
        <v>0</v>
      </c>
      <c r="D284" s="303" t="s">
        <v>409</v>
      </c>
      <c r="E284" s="314" t="s">
        <v>255</v>
      </c>
      <c r="F284" s="326"/>
      <c r="G284" s="326">
        <f>G262</f>
        <v>0.64558493414999985</v>
      </c>
      <c r="H284" s="305"/>
      <c r="I284" s="305" t="s">
        <v>152</v>
      </c>
      <c r="J284" s="305" t="s">
        <v>109</v>
      </c>
      <c r="K284" s="305" t="s">
        <v>2060</v>
      </c>
    </row>
    <row r="285" spans="1:11" x14ac:dyDescent="0.25">
      <c r="A285" s="302" t="str">
        <f t="shared" si="4"/>
        <v>Foundation Insulation_0_SF_Therm Saved per Unit</v>
      </c>
      <c r="B285" s="303" t="s">
        <v>608</v>
      </c>
      <c r="C285" s="304">
        <v>0</v>
      </c>
      <c r="D285" s="303" t="s">
        <v>409</v>
      </c>
      <c r="E285" s="314" t="s">
        <v>326</v>
      </c>
      <c r="F285" s="326" t="s">
        <v>625</v>
      </c>
      <c r="G285" s="336">
        <f>G283</f>
        <v>0.70170749999999993</v>
      </c>
      <c r="H285" s="305" t="s">
        <v>1935</v>
      </c>
      <c r="I285" s="305" t="s">
        <v>152</v>
      </c>
      <c r="J285" s="305" t="s">
        <v>109</v>
      </c>
      <c r="K285" s="305" t="s">
        <v>2060</v>
      </c>
    </row>
    <row r="286" spans="1:11" x14ac:dyDescent="0.25">
      <c r="A286" s="302" t="str">
        <f t="shared" si="4"/>
        <v>Foundation Insulation_0_SF_Therm Saved per Unit- MLA</v>
      </c>
      <c r="B286" s="303" t="s">
        <v>608</v>
      </c>
      <c r="C286" s="304">
        <v>0</v>
      </c>
      <c r="D286" s="303" t="s">
        <v>409</v>
      </c>
      <c r="E286" s="314" t="s">
        <v>626</v>
      </c>
      <c r="F286" s="326"/>
      <c r="G286" s="336">
        <f xml:space="preserve"> ((((((1/G263 - 1/(G264+G265))*G266*G267*(1-G268) + (1/G269 - 1/(G270+G271)) * G272 * (G273 - G274) * (1-G275)) * G276 * G277)) / (G279 * G280))) * G281 * G282</f>
        <v>0.74298441176470587</v>
      </c>
      <c r="H286" s="305" t="s">
        <v>627</v>
      </c>
      <c r="I286" s="305" t="s">
        <v>152</v>
      </c>
      <c r="J286" s="305" t="s">
        <v>109</v>
      </c>
      <c r="K286" s="305" t="s">
        <v>2060</v>
      </c>
    </row>
    <row r="287" spans="1:11" x14ac:dyDescent="0.25">
      <c r="A287" s="302" t="str">
        <f t="shared" si="4"/>
        <v>Foundation Insulation_0_SF_Lifetime (years)</v>
      </c>
      <c r="B287" s="303" t="s">
        <v>608</v>
      </c>
      <c r="C287" s="304">
        <v>0</v>
      </c>
      <c r="D287" s="303" t="s">
        <v>409</v>
      </c>
      <c r="E287" s="311" t="s">
        <v>259</v>
      </c>
      <c r="F287" s="334" t="s">
        <v>548</v>
      </c>
      <c r="G287" s="310">
        <v>30</v>
      </c>
      <c r="H287" s="311"/>
      <c r="I287" s="305" t="s">
        <v>152</v>
      </c>
      <c r="J287" s="305" t="s">
        <v>109</v>
      </c>
      <c r="K287" s="305" t="s">
        <v>2060</v>
      </c>
    </row>
    <row r="288" spans="1:11" x14ac:dyDescent="0.25">
      <c r="A288" s="302" t="str">
        <f t="shared" si="4"/>
        <v>Foundation Insulation_0_SF_Lifetime (years) - Remaining Years</v>
      </c>
      <c r="B288" s="303" t="s">
        <v>608</v>
      </c>
      <c r="C288" s="304">
        <v>0</v>
      </c>
      <c r="D288" s="303" t="s">
        <v>409</v>
      </c>
      <c r="E288" s="314" t="s">
        <v>628</v>
      </c>
      <c r="F288" s="326" t="s">
        <v>548</v>
      </c>
      <c r="G288" s="315">
        <v>10</v>
      </c>
      <c r="H288" s="305" t="s">
        <v>629</v>
      </c>
      <c r="I288" s="305" t="s">
        <v>152</v>
      </c>
      <c r="J288" s="305" t="s">
        <v>109</v>
      </c>
      <c r="K288" s="305" t="s">
        <v>2060</v>
      </c>
    </row>
    <row r="289" spans="1:11" x14ac:dyDescent="0.25">
      <c r="A289" s="302" t="str">
        <f t="shared" si="4"/>
        <v>Foundation Insulation_0_SF_Incremental Cost</v>
      </c>
      <c r="B289" s="303" t="s">
        <v>608</v>
      </c>
      <c r="C289" s="304">
        <v>0</v>
      </c>
      <c r="D289" s="303" t="s">
        <v>409</v>
      </c>
      <c r="E289" s="314" t="s">
        <v>260</v>
      </c>
      <c r="F289" s="327" t="s">
        <v>549</v>
      </c>
      <c r="G289" s="328">
        <v>0.69</v>
      </c>
      <c r="H289" s="305" t="s">
        <v>630</v>
      </c>
      <c r="I289" s="305" t="s">
        <v>614</v>
      </c>
      <c r="J289" s="305"/>
      <c r="K289" s="305"/>
    </row>
    <row r="290" spans="1:11" s="324" customFormat="1" x14ac:dyDescent="0.25">
      <c r="A290" s="317" t="str">
        <f t="shared" si="4"/>
        <v>Foundation Insulation_0_SF_</v>
      </c>
      <c r="B290" s="317" t="str">
        <f>B289</f>
        <v>Foundation Insulation</v>
      </c>
      <c r="C290" s="317">
        <f>C289</f>
        <v>0</v>
      </c>
      <c r="D290" s="317" t="str">
        <f>D289</f>
        <v>SF</v>
      </c>
      <c r="E290" s="320"/>
      <c r="F290" s="320"/>
      <c r="G290" s="329"/>
      <c r="H290" s="320"/>
      <c r="I290" s="320"/>
      <c r="J290" s="320"/>
      <c r="K290" s="320"/>
    </row>
    <row r="291" spans="1:11" x14ac:dyDescent="0.25">
      <c r="A291" s="302" t="str">
        <f t="shared" si="4"/>
        <v>Attic Insulation_0_SF_R_old</v>
      </c>
      <c r="B291" s="303" t="s">
        <v>631</v>
      </c>
      <c r="C291" s="304">
        <v>0</v>
      </c>
      <c r="D291" s="303" t="s">
        <v>409</v>
      </c>
      <c r="E291" s="305" t="s">
        <v>492</v>
      </c>
      <c r="F291" s="309" t="s">
        <v>612</v>
      </c>
      <c r="G291" s="307">
        <v>11</v>
      </c>
      <c r="H291" s="305"/>
      <c r="I291" s="305"/>
      <c r="J291" s="305"/>
      <c r="K291" s="305"/>
    </row>
    <row r="292" spans="1:11" x14ac:dyDescent="0.25">
      <c r="A292" s="302" t="str">
        <f t="shared" si="4"/>
        <v>Attic Insulation_0_SF_R_attic</v>
      </c>
      <c r="B292" s="303" t="s">
        <v>631</v>
      </c>
      <c r="C292" s="304">
        <v>0</v>
      </c>
      <c r="D292" s="303" t="s">
        <v>409</v>
      </c>
      <c r="E292" s="305" t="s">
        <v>493</v>
      </c>
      <c r="F292" s="309" t="s">
        <v>612</v>
      </c>
      <c r="G292" s="307">
        <v>49</v>
      </c>
      <c r="H292" s="305" t="s">
        <v>633</v>
      </c>
      <c r="I292" s="305" t="s">
        <v>633</v>
      </c>
      <c r="J292" s="305"/>
      <c r="K292" s="305"/>
    </row>
    <row r="293" spans="1:11" x14ac:dyDescent="0.25">
      <c r="A293" s="302" t="str">
        <f t="shared" si="4"/>
        <v>Attic Insulation_0_SF_Area</v>
      </c>
      <c r="B293" s="303" t="s">
        <v>631</v>
      </c>
      <c r="C293" s="304">
        <v>0</v>
      </c>
      <c r="D293" s="303" t="s">
        <v>409</v>
      </c>
      <c r="E293" s="305" t="s">
        <v>523</v>
      </c>
      <c r="F293" s="309" t="s">
        <v>634</v>
      </c>
      <c r="G293" s="307">
        <v>800</v>
      </c>
      <c r="H293" s="305" t="s">
        <v>635</v>
      </c>
      <c r="I293" s="305" t="s">
        <v>152</v>
      </c>
      <c r="J293" s="305" t="s">
        <v>113</v>
      </c>
      <c r="K293" s="305" t="s">
        <v>2064</v>
      </c>
    </row>
    <row r="294" spans="1:11" x14ac:dyDescent="0.25">
      <c r="A294" s="302" t="str">
        <f t="shared" si="4"/>
        <v>Attic Insulation_0_SF_Framing_factor</v>
      </c>
      <c r="B294" s="303" t="s">
        <v>631</v>
      </c>
      <c r="C294" s="304">
        <v>0</v>
      </c>
      <c r="D294" s="303" t="s">
        <v>409</v>
      </c>
      <c r="E294" s="305" t="s">
        <v>501</v>
      </c>
      <c r="F294" s="309"/>
      <c r="G294" s="307">
        <v>7.0000000000000007E-2</v>
      </c>
      <c r="H294" s="305"/>
      <c r="I294" s="305" t="s">
        <v>152</v>
      </c>
      <c r="J294" s="305" t="s">
        <v>113</v>
      </c>
      <c r="K294" s="305" t="s">
        <v>2064</v>
      </c>
    </row>
    <row r="295" spans="1:11" x14ac:dyDescent="0.25">
      <c r="A295" s="302" t="str">
        <f t="shared" si="4"/>
        <v>Attic Insulation_0_SF_Conversion</v>
      </c>
      <c r="B295" s="303" t="s">
        <v>631</v>
      </c>
      <c r="C295" s="304">
        <v>0</v>
      </c>
      <c r="D295" s="303" t="s">
        <v>409</v>
      </c>
      <c r="E295" s="305" t="s">
        <v>284</v>
      </c>
      <c r="F295" s="309" t="s">
        <v>618</v>
      </c>
      <c r="G295" s="325">
        <v>24</v>
      </c>
      <c r="H295" s="305"/>
      <c r="I295" s="305" t="s">
        <v>152</v>
      </c>
      <c r="J295" s="305" t="s">
        <v>113</v>
      </c>
      <c r="K295" s="305" t="s">
        <v>2064</v>
      </c>
    </row>
    <row r="296" spans="1:11" x14ac:dyDescent="0.25">
      <c r="A296" s="302" t="str">
        <f t="shared" si="4"/>
        <v>Attic Insulation_0_SF_HDD</v>
      </c>
      <c r="B296" s="303" t="s">
        <v>631</v>
      </c>
      <c r="C296" s="304">
        <v>0</v>
      </c>
      <c r="D296" s="303" t="s">
        <v>409</v>
      </c>
      <c r="E296" s="311" t="s">
        <v>487</v>
      </c>
      <c r="F296" s="334"/>
      <c r="G296" s="337">
        <v>4798</v>
      </c>
      <c r="H296" s="311" t="s">
        <v>636</v>
      </c>
      <c r="I296" s="305" t="s">
        <v>152</v>
      </c>
      <c r="J296" s="305" t="s">
        <v>113</v>
      </c>
      <c r="K296" s="305" t="s">
        <v>2064</v>
      </c>
    </row>
    <row r="297" spans="1:11" x14ac:dyDescent="0.25">
      <c r="A297" s="302" t="str">
        <f t="shared" si="4"/>
        <v>Attic Insulation_0_SF_ADJ-atticgasheat</v>
      </c>
      <c r="B297" s="303" t="s">
        <v>631</v>
      </c>
      <c r="C297" s="304">
        <v>0</v>
      </c>
      <c r="D297" s="303" t="s">
        <v>409</v>
      </c>
      <c r="E297" s="311" t="s">
        <v>637</v>
      </c>
      <c r="F297" s="334" t="s">
        <v>539</v>
      </c>
      <c r="G297" s="334">
        <v>0.76</v>
      </c>
      <c r="H297" s="311"/>
      <c r="I297" s="305" t="s">
        <v>152</v>
      </c>
      <c r="J297" s="305" t="s">
        <v>113</v>
      </c>
      <c r="K297" s="305" t="s">
        <v>2064</v>
      </c>
    </row>
    <row r="298" spans="1:11" x14ac:dyDescent="0.25">
      <c r="A298" s="302" t="str">
        <f t="shared" si="4"/>
        <v>Attic Insulation_0_SF_ADJ-atticheatfan</v>
      </c>
      <c r="B298" s="303" t="s">
        <v>631</v>
      </c>
      <c r="C298" s="304">
        <v>0</v>
      </c>
      <c r="D298" s="303" t="s">
        <v>409</v>
      </c>
      <c r="E298" s="305" t="s">
        <v>638</v>
      </c>
      <c r="F298" s="309" t="s">
        <v>539</v>
      </c>
      <c r="G298" s="307">
        <v>1.07</v>
      </c>
      <c r="H298" s="305"/>
      <c r="I298" s="305" t="s">
        <v>152</v>
      </c>
      <c r="J298" s="305" t="s">
        <v>113</v>
      </c>
      <c r="K298" s="305" t="s">
        <v>2064</v>
      </c>
    </row>
    <row r="299" spans="1:11" x14ac:dyDescent="0.25">
      <c r="A299" s="302" t="str">
        <f t="shared" si="4"/>
        <v>Attic Insulation_0_SF_ηHeat - gas</v>
      </c>
      <c r="B299" s="303" t="s">
        <v>631</v>
      </c>
      <c r="C299" s="304">
        <v>0</v>
      </c>
      <c r="D299" s="303" t="s">
        <v>409</v>
      </c>
      <c r="E299" s="305" t="s">
        <v>620</v>
      </c>
      <c r="F299" s="309"/>
      <c r="G299" s="307">
        <v>0.72</v>
      </c>
      <c r="H299" s="305" t="s">
        <v>639</v>
      </c>
      <c r="I299" s="305" t="s">
        <v>152</v>
      </c>
      <c r="J299" s="305" t="s">
        <v>113</v>
      </c>
      <c r="K299" s="305" t="s">
        <v>2064</v>
      </c>
    </row>
    <row r="300" spans="1:11" x14ac:dyDescent="0.25">
      <c r="A300" s="302" t="str">
        <f t="shared" si="4"/>
        <v>Attic Insulation_0_SF_ηHeat - gas- MLA</v>
      </c>
      <c r="B300" s="303" t="s">
        <v>631</v>
      </c>
      <c r="C300" s="304">
        <v>0</v>
      </c>
      <c r="D300" s="303" t="s">
        <v>409</v>
      </c>
      <c r="E300" s="305" t="s">
        <v>621</v>
      </c>
      <c r="F300" s="309" t="s">
        <v>539</v>
      </c>
      <c r="G300" s="334">
        <v>0.68</v>
      </c>
      <c r="H300" s="311" t="s">
        <v>1924</v>
      </c>
      <c r="I300" s="305" t="s">
        <v>152</v>
      </c>
      <c r="J300" s="305" t="s">
        <v>113</v>
      </c>
      <c r="K300" s="305" t="s">
        <v>2064</v>
      </c>
    </row>
    <row r="301" spans="1:11" x14ac:dyDescent="0.25">
      <c r="A301" s="302" t="str">
        <f t="shared" si="4"/>
        <v>Attic Insulation_0_SF_Fe</v>
      </c>
      <c r="B301" s="303" t="s">
        <v>631</v>
      </c>
      <c r="C301" s="304">
        <v>0</v>
      </c>
      <c r="D301" s="303" t="s">
        <v>409</v>
      </c>
      <c r="E301" s="305" t="s">
        <v>425</v>
      </c>
      <c r="F301" s="309"/>
      <c r="G301" s="307">
        <v>3.1399999999999997E-2</v>
      </c>
      <c r="H301" s="305"/>
      <c r="I301" s="305" t="s">
        <v>152</v>
      </c>
      <c r="J301" s="305" t="s">
        <v>113</v>
      </c>
      <c r="K301" s="305" t="s">
        <v>2064</v>
      </c>
    </row>
    <row r="302" spans="1:11" x14ac:dyDescent="0.25">
      <c r="A302" s="302" t="str">
        <f t="shared" si="4"/>
        <v>Attic Insulation_0_SF_Conversion</v>
      </c>
      <c r="B302" s="303" t="s">
        <v>631</v>
      </c>
      <c r="C302" s="304">
        <v>0</v>
      </c>
      <c r="D302" s="303" t="s">
        <v>409</v>
      </c>
      <c r="E302" s="305" t="s">
        <v>284</v>
      </c>
      <c r="F302" s="309" t="s">
        <v>611</v>
      </c>
      <c r="G302" s="307">
        <v>29.3</v>
      </c>
      <c r="H302" s="305"/>
      <c r="I302" s="305" t="s">
        <v>152</v>
      </c>
      <c r="J302" s="305" t="s">
        <v>113</v>
      </c>
      <c r="K302" s="305" t="s">
        <v>2064</v>
      </c>
    </row>
    <row r="303" spans="1:11" x14ac:dyDescent="0.25">
      <c r="A303" s="302" t="str">
        <f t="shared" si="4"/>
        <v>Attic Insulation_0_SF_% Gas Heating</v>
      </c>
      <c r="B303" s="303" t="s">
        <v>631</v>
      </c>
      <c r="C303" s="304">
        <v>0</v>
      </c>
      <c r="D303" s="303" t="s">
        <v>409</v>
      </c>
      <c r="E303" s="305" t="s">
        <v>269</v>
      </c>
      <c r="F303" s="309" t="s">
        <v>539</v>
      </c>
      <c r="G303" s="307">
        <v>1</v>
      </c>
      <c r="H303" s="305" t="s">
        <v>640</v>
      </c>
      <c r="I303" s="305" t="s">
        <v>152</v>
      </c>
      <c r="J303" s="305" t="s">
        <v>113</v>
      </c>
      <c r="K303" s="305" t="s">
        <v>2064</v>
      </c>
    </row>
    <row r="304" spans="1:11" x14ac:dyDescent="0.25">
      <c r="A304" s="302" t="str">
        <f t="shared" si="4"/>
        <v>Attic Insulation_0_SF_kWh Saved per Unit</v>
      </c>
      <c r="B304" s="303" t="s">
        <v>631</v>
      </c>
      <c r="C304" s="304">
        <v>0</v>
      </c>
      <c r="D304" s="303" t="s">
        <v>409</v>
      </c>
      <c r="E304" s="314" t="s">
        <v>255</v>
      </c>
      <c r="F304" s="326"/>
      <c r="G304" s="326">
        <f>G306*G301*G302*G298</f>
        <v>7.8453334530234065E-2</v>
      </c>
      <c r="H304" s="305"/>
      <c r="I304" s="305" t="s">
        <v>152</v>
      </c>
      <c r="J304" s="305" t="s">
        <v>113</v>
      </c>
      <c r="K304" s="305" t="s">
        <v>2064</v>
      </c>
    </row>
    <row r="305" spans="1:11" x14ac:dyDescent="0.25">
      <c r="A305" s="302" t="str">
        <f t="shared" si="4"/>
        <v>Attic Insulation_0_SF_kW Saved per Unit</v>
      </c>
      <c r="B305" s="303" t="s">
        <v>631</v>
      </c>
      <c r="C305" s="304">
        <v>0</v>
      </c>
      <c r="D305" s="303" t="s">
        <v>409</v>
      </c>
      <c r="E305" s="314" t="s">
        <v>580</v>
      </c>
      <c r="F305" s="326" t="s">
        <v>571</v>
      </c>
      <c r="G305" s="326">
        <v>0</v>
      </c>
      <c r="H305" s="305"/>
      <c r="I305" s="305" t="s">
        <v>152</v>
      </c>
      <c r="J305" s="305" t="s">
        <v>113</v>
      </c>
      <c r="K305" s="305" t="s">
        <v>2064</v>
      </c>
    </row>
    <row r="306" spans="1:11" x14ac:dyDescent="0.25">
      <c r="A306" s="302" t="str">
        <f t="shared" si="4"/>
        <v>Attic Insulation_0_SF_Therm Saved per Unit</v>
      </c>
      <c r="B306" s="303" t="s">
        <v>631</v>
      </c>
      <c r="C306" s="304">
        <v>0</v>
      </c>
      <c r="D306" s="303" t="s">
        <v>409</v>
      </c>
      <c r="E306" s="314" t="s">
        <v>326</v>
      </c>
      <c r="F306" s="326"/>
      <c r="G306" s="338">
        <f>((1/G291)-(1/G292))*(1-G294)*G295*G296*G297/(100000*G299)*G303</f>
        <v>7.9694869016697589E-2</v>
      </c>
      <c r="H306" s="305" t="s">
        <v>494</v>
      </c>
      <c r="I306" s="305" t="s">
        <v>152</v>
      </c>
      <c r="J306" s="305" t="s">
        <v>113</v>
      </c>
      <c r="K306" s="305" t="s">
        <v>2064</v>
      </c>
    </row>
    <row r="307" spans="1:11" x14ac:dyDescent="0.25">
      <c r="A307" s="302" t="str">
        <f t="shared" si="4"/>
        <v>Attic Insulation_0_SF_Therm Saved per Unit- MLA</v>
      </c>
      <c r="B307" s="303" t="s">
        <v>631</v>
      </c>
      <c r="C307" s="304">
        <v>0</v>
      </c>
      <c r="D307" s="303" t="s">
        <v>409</v>
      </c>
      <c r="E307" s="314" t="s">
        <v>626</v>
      </c>
      <c r="F307" s="326"/>
      <c r="G307" s="338">
        <f>(((1/G291)-(1/G292))*(1-G294)*G295*G296*G297/(100000*G300))*G303</f>
        <v>8.4382802488268044E-2</v>
      </c>
      <c r="H307" s="305" t="s">
        <v>641</v>
      </c>
      <c r="I307" s="305" t="s">
        <v>152</v>
      </c>
      <c r="J307" s="305" t="s">
        <v>113</v>
      </c>
      <c r="K307" s="305" t="s">
        <v>2064</v>
      </c>
    </row>
    <row r="308" spans="1:11" x14ac:dyDescent="0.25">
      <c r="A308" s="302" t="str">
        <f t="shared" si="4"/>
        <v>Attic Insulation_0_SF_Lifetime (years)</v>
      </c>
      <c r="B308" s="303" t="s">
        <v>631</v>
      </c>
      <c r="C308" s="304">
        <v>0</v>
      </c>
      <c r="D308" s="303" t="s">
        <v>409</v>
      </c>
      <c r="E308" s="311" t="s">
        <v>259</v>
      </c>
      <c r="F308" s="334" t="s">
        <v>548</v>
      </c>
      <c r="G308" s="310">
        <v>30</v>
      </c>
      <c r="H308" s="311"/>
      <c r="I308" s="305" t="s">
        <v>152</v>
      </c>
      <c r="J308" s="305" t="s">
        <v>113</v>
      </c>
      <c r="K308" s="305" t="s">
        <v>2064</v>
      </c>
    </row>
    <row r="309" spans="1:11" x14ac:dyDescent="0.25">
      <c r="A309" s="302" t="str">
        <f t="shared" si="4"/>
        <v>Attic Insulation_0_SF_Lifetime (years) - Remaining Years</v>
      </c>
      <c r="B309" s="303" t="s">
        <v>631</v>
      </c>
      <c r="C309" s="304">
        <v>0</v>
      </c>
      <c r="D309" s="303" t="s">
        <v>409</v>
      </c>
      <c r="E309" s="314" t="s">
        <v>628</v>
      </c>
      <c r="F309" s="326" t="s">
        <v>548</v>
      </c>
      <c r="G309" s="315">
        <v>10</v>
      </c>
      <c r="H309" s="305" t="s">
        <v>629</v>
      </c>
      <c r="I309" s="305" t="s">
        <v>152</v>
      </c>
      <c r="J309" s="305" t="s">
        <v>113</v>
      </c>
      <c r="K309" s="305" t="s">
        <v>2064</v>
      </c>
    </row>
    <row r="310" spans="1:11" x14ac:dyDescent="0.25">
      <c r="A310" s="302" t="str">
        <f t="shared" si="4"/>
        <v>Attic Insulation_0_SF_Incremental Cost</v>
      </c>
      <c r="B310" s="303" t="s">
        <v>631</v>
      </c>
      <c r="C310" s="304">
        <v>0</v>
      </c>
      <c r="D310" s="303" t="s">
        <v>409</v>
      </c>
      <c r="E310" s="314" t="s">
        <v>260</v>
      </c>
      <c r="F310" s="327" t="s">
        <v>549</v>
      </c>
      <c r="G310" s="331">
        <f>AVERAGE(0.7,3,1.32,0.48)</f>
        <v>1.375</v>
      </c>
      <c r="H310" s="305" t="s">
        <v>642</v>
      </c>
      <c r="I310" s="305" t="s">
        <v>643</v>
      </c>
      <c r="J310" s="305"/>
      <c r="K310" s="305"/>
    </row>
    <row r="311" spans="1:11" s="324" customFormat="1" x14ac:dyDescent="0.25">
      <c r="A311" s="317" t="str">
        <f t="shared" si="4"/>
        <v>Attic Insulation_0_SF_</v>
      </c>
      <c r="B311" s="317" t="str">
        <f>B310</f>
        <v>Attic Insulation</v>
      </c>
      <c r="C311" s="317">
        <f>C310</f>
        <v>0</v>
      </c>
      <c r="D311" s="317" t="str">
        <f>D310</f>
        <v>SF</v>
      </c>
      <c r="E311" s="320"/>
      <c r="F311" s="320"/>
      <c r="G311" s="329"/>
      <c r="H311" s="320"/>
      <c r="I311" s="320"/>
      <c r="J311" s="320"/>
      <c r="K311" s="320"/>
    </row>
    <row r="312" spans="1:11" x14ac:dyDescent="0.25">
      <c r="A312" s="302" t="str">
        <f t="shared" si="4"/>
        <v>Steam Traps_HVAC Repair/Rep - Audit_MF_GAL</v>
      </c>
      <c r="B312" s="303" t="s">
        <v>644</v>
      </c>
      <c r="C312" s="304" t="s">
        <v>645</v>
      </c>
      <c r="D312" s="303" t="s">
        <v>553</v>
      </c>
      <c r="E312" s="305" t="s">
        <v>513</v>
      </c>
      <c r="F312" s="309" t="s">
        <v>646</v>
      </c>
      <c r="G312" s="307">
        <v>0.83</v>
      </c>
      <c r="H312" s="305" t="s">
        <v>514</v>
      </c>
      <c r="I312" s="305" t="s">
        <v>152</v>
      </c>
      <c r="J312" s="305" t="s">
        <v>130</v>
      </c>
      <c r="K312" s="305" t="s">
        <v>2161</v>
      </c>
    </row>
    <row r="313" spans="1:11" x14ac:dyDescent="0.25">
      <c r="A313" s="302" t="str">
        <f t="shared" si="4"/>
        <v>Steam Traps_HVAC Repair/Rep - Audit_MF_Hours of Operation</v>
      </c>
      <c r="B313" s="303" t="s">
        <v>644</v>
      </c>
      <c r="C313" s="304" t="s">
        <v>645</v>
      </c>
      <c r="D313" s="303" t="s">
        <v>553</v>
      </c>
      <c r="E313" s="305" t="s">
        <v>460</v>
      </c>
      <c r="F313" s="309" t="s">
        <v>647</v>
      </c>
      <c r="G313" s="339">
        <f>AVERAGE(1540,1782)</f>
        <v>1661</v>
      </c>
      <c r="H313" s="305" t="s">
        <v>648</v>
      </c>
      <c r="I313" s="305" t="s">
        <v>152</v>
      </c>
      <c r="J313" s="305" t="s">
        <v>130</v>
      </c>
      <c r="K313" s="305" t="s">
        <v>2161</v>
      </c>
    </row>
    <row r="314" spans="1:11" x14ac:dyDescent="0.25">
      <c r="A314" s="302" t="str">
        <f t="shared" si="4"/>
        <v>Steam Traps_HVAC Repair/Rep - Audit_MF_L</v>
      </c>
      <c r="B314" s="303" t="s">
        <v>644</v>
      </c>
      <c r="C314" s="304" t="s">
        <v>645</v>
      </c>
      <c r="D314" s="303" t="s">
        <v>553</v>
      </c>
      <c r="E314" s="305" t="s">
        <v>437</v>
      </c>
      <c r="F314" s="309" t="s">
        <v>539</v>
      </c>
      <c r="G314" s="307">
        <v>1</v>
      </c>
      <c r="H314" s="305" t="s">
        <v>649</v>
      </c>
      <c r="I314" s="305" t="s">
        <v>152</v>
      </c>
      <c r="J314" s="305" t="s">
        <v>130</v>
      </c>
      <c r="K314" s="305" t="s">
        <v>2161</v>
      </c>
    </row>
    <row r="315" spans="1:11" x14ac:dyDescent="0.25">
      <c r="A315" s="302" t="str">
        <f t="shared" si="4"/>
        <v>Steam Traps_HVAC Repair/Rep - Audit_MF_Delta_Water_Gallons</v>
      </c>
      <c r="B315" s="303" t="s">
        <v>644</v>
      </c>
      <c r="C315" s="304" t="s">
        <v>645</v>
      </c>
      <c r="D315" s="303" t="s">
        <v>553</v>
      </c>
      <c r="E315" s="305" t="s">
        <v>456</v>
      </c>
      <c r="F315" s="309"/>
      <c r="G315" s="307">
        <f>G312*G313*G314</f>
        <v>1378.6299999999999</v>
      </c>
      <c r="H315" s="305"/>
      <c r="I315" s="305" t="s">
        <v>152</v>
      </c>
      <c r="J315" s="305" t="s">
        <v>130</v>
      </c>
      <c r="K315" s="305" t="s">
        <v>2161</v>
      </c>
    </row>
    <row r="316" spans="1:11" x14ac:dyDescent="0.25">
      <c r="A316" s="302" t="str">
        <f t="shared" si="4"/>
        <v>Steam Traps_HVAC Repair/Rep - Audit_MF_Conversion</v>
      </c>
      <c r="B316" s="303" t="s">
        <v>644</v>
      </c>
      <c r="C316" s="304" t="s">
        <v>645</v>
      </c>
      <c r="D316" s="303" t="s">
        <v>553</v>
      </c>
      <c r="E316" s="305" t="s">
        <v>284</v>
      </c>
      <c r="F316" s="309"/>
      <c r="G316" s="339">
        <v>1000000</v>
      </c>
      <c r="H316" s="305"/>
      <c r="I316" s="305" t="s">
        <v>152</v>
      </c>
      <c r="J316" s="305" t="s">
        <v>130</v>
      </c>
      <c r="K316" s="305" t="s">
        <v>2161</v>
      </c>
    </row>
    <row r="317" spans="1:11" x14ac:dyDescent="0.25">
      <c r="A317" s="302" t="str">
        <f t="shared" si="4"/>
        <v>Steam Traps_HVAC Repair/Rep - Audit_MF_E_water_supply</v>
      </c>
      <c r="B317" s="303" t="s">
        <v>644</v>
      </c>
      <c r="C317" s="304" t="s">
        <v>645</v>
      </c>
      <c r="D317" s="303" t="s">
        <v>553</v>
      </c>
      <c r="E317" s="305" t="s">
        <v>457</v>
      </c>
      <c r="F317" s="309" t="s">
        <v>650</v>
      </c>
      <c r="G317" s="307">
        <v>2571</v>
      </c>
      <c r="H317" s="305"/>
      <c r="I317" s="305" t="s">
        <v>152</v>
      </c>
      <c r="J317" s="305" t="s">
        <v>130</v>
      </c>
      <c r="K317" s="305" t="s">
        <v>2161</v>
      </c>
    </row>
    <row r="318" spans="1:11" x14ac:dyDescent="0.25">
      <c r="A318" s="302" t="str">
        <f t="shared" si="4"/>
        <v>Steam Traps_HVAC Repair/Rep - Audit_MF_Delta_kWh_water</v>
      </c>
      <c r="B318" s="303" t="s">
        <v>644</v>
      </c>
      <c r="C318" s="304" t="s">
        <v>645</v>
      </c>
      <c r="D318" s="303" t="s">
        <v>553</v>
      </c>
      <c r="E318" s="305" t="s">
        <v>334</v>
      </c>
      <c r="F318" s="309" t="s">
        <v>565</v>
      </c>
      <c r="G318" s="306">
        <f>(G315/G316)*G317</f>
        <v>3.5444577299999995</v>
      </c>
      <c r="H318" s="305"/>
      <c r="I318" s="305" t="s">
        <v>152</v>
      </c>
      <c r="J318" s="305" t="s">
        <v>130</v>
      </c>
      <c r="K318" s="305" t="s">
        <v>2161</v>
      </c>
    </row>
    <row r="319" spans="1:11" x14ac:dyDescent="0.25">
      <c r="A319" s="302" t="str">
        <f t="shared" si="4"/>
        <v>Steam Traps_HVAC Repair/Rep - Audit_MF_Sa</v>
      </c>
      <c r="B319" s="303" t="s">
        <v>644</v>
      </c>
      <c r="C319" s="304" t="s">
        <v>645</v>
      </c>
      <c r="D319" s="303" t="s">
        <v>553</v>
      </c>
      <c r="E319" s="305" t="s">
        <v>507</v>
      </c>
      <c r="F319" s="309"/>
      <c r="G319" s="307">
        <v>6.9</v>
      </c>
      <c r="H319" s="305" t="s">
        <v>2007</v>
      </c>
      <c r="I319" s="305" t="s">
        <v>152</v>
      </c>
      <c r="J319" s="305" t="s">
        <v>130</v>
      </c>
      <c r="K319" s="305" t="s">
        <v>2161</v>
      </c>
    </row>
    <row r="320" spans="1:11" x14ac:dyDescent="0.25">
      <c r="A320" s="302" t="str">
        <f t="shared" si="4"/>
        <v>Steam Traps_HVAC Repair/Rep - Audit_MF_Hv</v>
      </c>
      <c r="B320" s="303" t="s">
        <v>644</v>
      </c>
      <c r="C320" s="304" t="s">
        <v>645</v>
      </c>
      <c r="D320" s="303" t="s">
        <v>553</v>
      </c>
      <c r="E320" s="305" t="s">
        <v>508</v>
      </c>
      <c r="F320" s="309" t="s">
        <v>651</v>
      </c>
      <c r="G320" s="306">
        <v>951</v>
      </c>
      <c r="H320" s="305" t="s">
        <v>2007</v>
      </c>
      <c r="I320" s="305" t="s">
        <v>152</v>
      </c>
      <c r="J320" s="305" t="s">
        <v>130</v>
      </c>
      <c r="K320" s="305" t="s">
        <v>2161</v>
      </c>
    </row>
    <row r="321" spans="1:11" x14ac:dyDescent="0.25">
      <c r="A321" s="302" t="str">
        <f t="shared" si="4"/>
        <v>Steam Traps_HVAC Repair/Rep - Audit_MF_Hs</v>
      </c>
      <c r="B321" s="303" t="s">
        <v>644</v>
      </c>
      <c r="C321" s="304" t="s">
        <v>645</v>
      </c>
      <c r="D321" s="303" t="s">
        <v>553</v>
      </c>
      <c r="E321" s="340" t="s">
        <v>509</v>
      </c>
      <c r="F321" s="340"/>
      <c r="G321" s="341">
        <v>1.0009999999999999</v>
      </c>
      <c r="H321" s="340" t="s">
        <v>652</v>
      </c>
      <c r="I321" s="305" t="s">
        <v>152</v>
      </c>
      <c r="J321" s="305" t="s">
        <v>130</v>
      </c>
      <c r="K321" s="305" t="s">
        <v>2161</v>
      </c>
    </row>
    <row r="322" spans="1:11" x14ac:dyDescent="0.25">
      <c r="A322" s="302" t="str">
        <f t="shared" si="4"/>
        <v>Steam Traps_HVAC Repair/Rep - Audit_MF_507.89</v>
      </c>
      <c r="B322" s="303" t="s">
        <v>644</v>
      </c>
      <c r="C322" s="304" t="s">
        <v>645</v>
      </c>
      <c r="D322" s="303" t="s">
        <v>553</v>
      </c>
      <c r="E322" s="342">
        <v>507.89</v>
      </c>
      <c r="F322" s="340"/>
      <c r="G322" s="341">
        <v>507.89</v>
      </c>
      <c r="H322" s="340"/>
      <c r="I322" s="305" t="s">
        <v>152</v>
      </c>
      <c r="J322" s="305" t="s">
        <v>130</v>
      </c>
      <c r="K322" s="305" t="s">
        <v>2161</v>
      </c>
    </row>
    <row r="323" spans="1:11" x14ac:dyDescent="0.25">
      <c r="A323" s="302" t="str">
        <f t="shared" si="4"/>
        <v>Steam Traps_HVAC Repair/Rep - Audit_MF_P1</v>
      </c>
      <c r="B323" s="303" t="s">
        <v>644</v>
      </c>
      <c r="C323" s="304" t="s">
        <v>645</v>
      </c>
      <c r="D323" s="303" t="s">
        <v>553</v>
      </c>
      <c r="E323" s="340" t="s">
        <v>510</v>
      </c>
      <c r="F323" s="340"/>
      <c r="G323" s="341">
        <f>5+14.696</f>
        <v>19.695999999999998</v>
      </c>
      <c r="H323" s="340" t="s">
        <v>653</v>
      </c>
      <c r="I323" s="305" t="s">
        <v>152</v>
      </c>
      <c r="J323" s="305" t="s">
        <v>130</v>
      </c>
      <c r="K323" s="305" t="s">
        <v>2161</v>
      </c>
    </row>
    <row r="324" spans="1:11" x14ac:dyDescent="0.25">
      <c r="A324" s="302" t="str">
        <f t="shared" si="4"/>
        <v>Steam Traps_HVAC Repair/Rep - Audit_MF_0.0962</v>
      </c>
      <c r="B324" s="303" t="s">
        <v>644</v>
      </c>
      <c r="C324" s="304" t="s">
        <v>645</v>
      </c>
      <c r="D324" s="303" t="s">
        <v>553</v>
      </c>
      <c r="E324" s="340">
        <v>9.6199999999999994E-2</v>
      </c>
      <c r="F324" s="340"/>
      <c r="G324" s="343">
        <v>9.6199999999999994E-2</v>
      </c>
      <c r="H324" s="340"/>
      <c r="I324" s="305" t="s">
        <v>152</v>
      </c>
      <c r="J324" s="305" t="s">
        <v>130</v>
      </c>
      <c r="K324" s="305" t="s">
        <v>2161</v>
      </c>
    </row>
    <row r="325" spans="1:11" x14ac:dyDescent="0.25">
      <c r="A325" s="302" t="str">
        <f t="shared" si="4"/>
        <v>Steam Traps_HVAC Repair/Rep - Audit_MF_T1</v>
      </c>
      <c r="B325" s="303" t="s">
        <v>644</v>
      </c>
      <c r="C325" s="304" t="s">
        <v>645</v>
      </c>
      <c r="D325" s="303" t="s">
        <v>553</v>
      </c>
      <c r="E325" s="340" t="s">
        <v>511</v>
      </c>
      <c r="F325" s="340"/>
      <c r="G325" s="341">
        <f>G322*(G323^G324)</f>
        <v>676.5327561570117</v>
      </c>
      <c r="H325" s="340" t="s">
        <v>654</v>
      </c>
      <c r="I325" s="305" t="s">
        <v>152</v>
      </c>
      <c r="J325" s="305" t="s">
        <v>130</v>
      </c>
      <c r="K325" s="305" t="s">
        <v>2161</v>
      </c>
    </row>
    <row r="326" spans="1:11" x14ac:dyDescent="0.25">
      <c r="A326" s="302" t="str">
        <f t="shared" ref="A326:A389" si="5">B326&amp;"_"&amp;C326&amp;"_"&amp;D326&amp;"_"&amp;E326</f>
        <v>Steam Traps_HVAC Repair/Rep - Audit_MF_Tsource</v>
      </c>
      <c r="B326" s="303" t="s">
        <v>644</v>
      </c>
      <c r="C326" s="304" t="s">
        <v>645</v>
      </c>
      <c r="D326" s="303" t="s">
        <v>553</v>
      </c>
      <c r="E326" s="340" t="s">
        <v>512</v>
      </c>
      <c r="F326" s="340"/>
      <c r="G326" s="341">
        <v>513.66999999999996</v>
      </c>
      <c r="H326" s="340" t="s">
        <v>655</v>
      </c>
      <c r="I326" s="305" t="s">
        <v>152</v>
      </c>
      <c r="J326" s="305" t="s">
        <v>130</v>
      </c>
      <c r="K326" s="305" t="s">
        <v>2161</v>
      </c>
    </row>
    <row r="327" spans="1:11" x14ac:dyDescent="0.25">
      <c r="A327" s="302" t="str">
        <f t="shared" si="5"/>
        <v>Steam Traps_HVAC Repair/Rep - Audit_MF_Hours of Operation</v>
      </c>
      <c r="B327" s="303" t="s">
        <v>644</v>
      </c>
      <c r="C327" s="304" t="s">
        <v>645</v>
      </c>
      <c r="D327" s="303" t="s">
        <v>553</v>
      </c>
      <c r="E327" s="305" t="s">
        <v>460</v>
      </c>
      <c r="F327" s="309" t="s">
        <v>647</v>
      </c>
      <c r="G327" s="339">
        <f>AVERAGE(1540,1782)</f>
        <v>1661</v>
      </c>
      <c r="H327" s="305" t="s">
        <v>648</v>
      </c>
      <c r="I327" s="305" t="s">
        <v>152</v>
      </c>
      <c r="J327" s="305" t="s">
        <v>130</v>
      </c>
      <c r="K327" s="305" t="s">
        <v>2161</v>
      </c>
    </row>
    <row r="328" spans="1:11" x14ac:dyDescent="0.25">
      <c r="A328" s="302" t="str">
        <f t="shared" si="5"/>
        <v>Steam Traps_HVAC Repair/Rep - Audit_MF_L</v>
      </c>
      <c r="B328" s="303" t="s">
        <v>644</v>
      </c>
      <c r="C328" s="304" t="s">
        <v>645</v>
      </c>
      <c r="D328" s="303" t="s">
        <v>553</v>
      </c>
      <c r="E328" s="305" t="s">
        <v>437</v>
      </c>
      <c r="F328" s="309" t="s">
        <v>539</v>
      </c>
      <c r="G328" s="307">
        <v>1</v>
      </c>
      <c r="H328" s="305" t="s">
        <v>649</v>
      </c>
      <c r="I328" s="305" t="s">
        <v>152</v>
      </c>
      <c r="J328" s="305" t="s">
        <v>130</v>
      </c>
      <c r="K328" s="305" t="s">
        <v>2161</v>
      </c>
    </row>
    <row r="329" spans="1:11" x14ac:dyDescent="0.25">
      <c r="A329" s="302" t="str">
        <f t="shared" si="5"/>
        <v>Steam Traps_HVAC Repair/Rep - Audit_MF_Conversion</v>
      </c>
      <c r="B329" s="303" t="s">
        <v>644</v>
      </c>
      <c r="C329" s="304" t="s">
        <v>645</v>
      </c>
      <c r="D329" s="303" t="s">
        <v>553</v>
      </c>
      <c r="E329" s="305" t="s">
        <v>284</v>
      </c>
      <c r="F329" s="305" t="s">
        <v>622</v>
      </c>
      <c r="G329" s="325">
        <v>100000</v>
      </c>
      <c r="H329" s="305"/>
      <c r="I329" s="305" t="s">
        <v>152</v>
      </c>
      <c r="J329" s="305" t="s">
        <v>130</v>
      </c>
      <c r="K329" s="305" t="s">
        <v>2161</v>
      </c>
    </row>
    <row r="330" spans="1:11" x14ac:dyDescent="0.25">
      <c r="A330" s="302" t="str">
        <f t="shared" si="5"/>
        <v>Steam Traps_HVAC Repair/Rep - Audit_MF_n_B</v>
      </c>
      <c r="B330" s="303" t="s">
        <v>644</v>
      </c>
      <c r="C330" s="304" t="s">
        <v>645</v>
      </c>
      <c r="D330" s="303" t="s">
        <v>553</v>
      </c>
      <c r="E330" s="340" t="s">
        <v>657</v>
      </c>
      <c r="F330" s="341"/>
      <c r="G330" s="344">
        <v>0.64800000000000002</v>
      </c>
      <c r="H330" s="345" t="s">
        <v>1944</v>
      </c>
      <c r="I330" s="305" t="s">
        <v>152</v>
      </c>
      <c r="J330" s="305" t="s">
        <v>130</v>
      </c>
      <c r="K330" s="305" t="s">
        <v>2161</v>
      </c>
    </row>
    <row r="331" spans="1:11" x14ac:dyDescent="0.25">
      <c r="A331" s="302" t="str">
        <f t="shared" si="5"/>
        <v>Steam Traps_HVAC Repair/Rep - Audit_MF_Remaining Year kWh</v>
      </c>
      <c r="B331" s="303" t="s">
        <v>644</v>
      </c>
      <c r="C331" s="304" t="s">
        <v>645</v>
      </c>
      <c r="D331" s="303" t="s">
        <v>553</v>
      </c>
      <c r="E331" s="305" t="s">
        <v>254</v>
      </c>
      <c r="F331" s="309" t="s">
        <v>565</v>
      </c>
      <c r="G331" s="307">
        <v>0</v>
      </c>
      <c r="H331" s="305"/>
      <c r="I331" s="305" t="s">
        <v>152</v>
      </c>
      <c r="J331" s="305" t="s">
        <v>130</v>
      </c>
      <c r="K331" s="305" t="s">
        <v>2161</v>
      </c>
    </row>
    <row r="332" spans="1:11" x14ac:dyDescent="0.25">
      <c r="A332" s="302" t="str">
        <f t="shared" si="5"/>
        <v>Steam Traps_HVAC Repair/Rep - Audit_MF_kWh Saved per Unit</v>
      </c>
      <c r="B332" s="303" t="s">
        <v>644</v>
      </c>
      <c r="C332" s="304" t="s">
        <v>645</v>
      </c>
      <c r="D332" s="303" t="s">
        <v>553</v>
      </c>
      <c r="E332" s="305" t="s">
        <v>255</v>
      </c>
      <c r="F332" s="309" t="s">
        <v>565</v>
      </c>
      <c r="G332" s="306">
        <f>G318</f>
        <v>3.5444577299999995</v>
      </c>
      <c r="H332" s="305"/>
      <c r="I332" s="305" t="s">
        <v>152</v>
      </c>
      <c r="J332" s="305" t="s">
        <v>130</v>
      </c>
      <c r="K332" s="305" t="s">
        <v>2161</v>
      </c>
    </row>
    <row r="333" spans="1:11" x14ac:dyDescent="0.25">
      <c r="A333" s="302" t="str">
        <f t="shared" si="5"/>
        <v>Steam Traps_HVAC Repair/Rep - Audit_MF_Remaining Year kW</v>
      </c>
      <c r="B333" s="303" t="s">
        <v>644</v>
      </c>
      <c r="C333" s="304" t="s">
        <v>645</v>
      </c>
      <c r="D333" s="303" t="s">
        <v>553</v>
      </c>
      <c r="E333" s="305" t="s">
        <v>256</v>
      </c>
      <c r="F333" s="309" t="s">
        <v>658</v>
      </c>
      <c r="G333" s="307">
        <v>0</v>
      </c>
      <c r="H333" s="305"/>
      <c r="I333" s="305" t="s">
        <v>152</v>
      </c>
      <c r="J333" s="305" t="s">
        <v>130</v>
      </c>
      <c r="K333" s="305" t="s">
        <v>2161</v>
      </c>
    </row>
    <row r="334" spans="1:11" x14ac:dyDescent="0.25">
      <c r="A334" s="302" t="str">
        <f t="shared" si="5"/>
        <v>Steam Traps_HVAC Repair/Rep - Audit_MF_kW Saved per Unit</v>
      </c>
      <c r="B334" s="303" t="s">
        <v>644</v>
      </c>
      <c r="C334" s="304" t="s">
        <v>645</v>
      </c>
      <c r="D334" s="303" t="s">
        <v>553</v>
      </c>
      <c r="E334" s="314" t="s">
        <v>580</v>
      </c>
      <c r="F334" s="326" t="s">
        <v>571</v>
      </c>
      <c r="G334" s="306">
        <v>0</v>
      </c>
      <c r="H334" s="305"/>
      <c r="I334" s="305" t="s">
        <v>152</v>
      </c>
      <c r="J334" s="305" t="s">
        <v>130</v>
      </c>
      <c r="K334" s="305" t="s">
        <v>2161</v>
      </c>
    </row>
    <row r="335" spans="1:11" x14ac:dyDescent="0.25">
      <c r="A335" s="302" t="str">
        <f t="shared" si="5"/>
        <v>Steam Traps_HVAC Repair/Rep - Audit_MF_Remaining Year Therms</v>
      </c>
      <c r="B335" s="303" t="s">
        <v>644</v>
      </c>
      <c r="C335" s="304" t="s">
        <v>645</v>
      </c>
      <c r="D335" s="303" t="s">
        <v>553</v>
      </c>
      <c r="E335" s="305" t="s">
        <v>320</v>
      </c>
      <c r="F335" s="309" t="s">
        <v>564</v>
      </c>
      <c r="G335" s="307">
        <v>0</v>
      </c>
      <c r="H335" s="305"/>
      <c r="I335" s="305" t="s">
        <v>152</v>
      </c>
      <c r="J335" s="305" t="s">
        <v>130</v>
      </c>
      <c r="K335" s="305" t="s">
        <v>2161</v>
      </c>
    </row>
    <row r="336" spans="1:11" x14ac:dyDescent="0.25">
      <c r="A336" s="302" t="str">
        <f t="shared" si="5"/>
        <v>Steam Traps_HVAC Repair/Rep - Audit_MF_Therm Saved per Unit</v>
      </c>
      <c r="B336" s="303" t="s">
        <v>644</v>
      </c>
      <c r="C336" s="304" t="s">
        <v>645</v>
      </c>
      <c r="D336" s="303" t="s">
        <v>553</v>
      </c>
      <c r="E336" s="314" t="s">
        <v>326</v>
      </c>
      <c r="F336" s="326"/>
      <c r="G336" s="315">
        <f xml:space="preserve"> G319 * (G320 + G321 * (G325 - G326)) * G327 * G328 / (G329 * G330)</f>
        <v>197.03296629323975</v>
      </c>
      <c r="H336" s="305"/>
      <c r="I336" s="305" t="s">
        <v>152</v>
      </c>
      <c r="J336" s="305" t="s">
        <v>130</v>
      </c>
      <c r="K336" s="305" t="s">
        <v>2161</v>
      </c>
    </row>
    <row r="337" spans="1:11" x14ac:dyDescent="0.25">
      <c r="A337" s="302" t="str">
        <f t="shared" si="5"/>
        <v>Steam Traps_HVAC Repair/Rep - Audit_MF_Gallons Saved per Unit</v>
      </c>
      <c r="B337" s="303" t="s">
        <v>644</v>
      </c>
      <c r="C337" s="304" t="s">
        <v>645</v>
      </c>
      <c r="D337" s="303" t="s">
        <v>553</v>
      </c>
      <c r="E337" s="314" t="s">
        <v>547</v>
      </c>
      <c r="F337" s="326"/>
      <c r="G337" s="315">
        <f>G315</f>
        <v>1378.6299999999999</v>
      </c>
      <c r="H337" s="305"/>
      <c r="I337" s="305" t="s">
        <v>152</v>
      </c>
      <c r="J337" s="305" t="s">
        <v>130</v>
      </c>
      <c r="K337" s="305" t="s">
        <v>2161</v>
      </c>
    </row>
    <row r="338" spans="1:11" x14ac:dyDescent="0.25">
      <c r="A338" s="302" t="str">
        <f t="shared" si="5"/>
        <v>Steam Traps_HVAC Repair/Rep - Audit_MF_Remaining Life</v>
      </c>
      <c r="B338" s="303" t="s">
        <v>644</v>
      </c>
      <c r="C338" s="304" t="s">
        <v>645</v>
      </c>
      <c r="D338" s="303" t="s">
        <v>553</v>
      </c>
      <c r="E338" s="314" t="s">
        <v>258</v>
      </c>
      <c r="F338" s="326"/>
      <c r="G338" s="315">
        <v>0</v>
      </c>
      <c r="H338" s="305"/>
      <c r="I338" s="305" t="s">
        <v>152</v>
      </c>
      <c r="J338" s="305" t="s">
        <v>130</v>
      </c>
      <c r="K338" s="305" t="s">
        <v>2161</v>
      </c>
    </row>
    <row r="339" spans="1:11" x14ac:dyDescent="0.25">
      <c r="A339" s="302" t="str">
        <f t="shared" si="5"/>
        <v>Steam Traps_HVAC Repair/Rep - Audit_MF_Lifetime (years)</v>
      </c>
      <c r="B339" s="303" t="s">
        <v>644</v>
      </c>
      <c r="C339" s="304" t="s">
        <v>645</v>
      </c>
      <c r="D339" s="303" t="s">
        <v>553</v>
      </c>
      <c r="E339" s="314" t="s">
        <v>259</v>
      </c>
      <c r="F339" s="326" t="s">
        <v>548</v>
      </c>
      <c r="G339" s="326">
        <v>6</v>
      </c>
      <c r="H339" s="305" t="s">
        <v>659</v>
      </c>
      <c r="I339" s="305" t="s">
        <v>152</v>
      </c>
      <c r="J339" s="305" t="s">
        <v>130</v>
      </c>
      <c r="K339" s="305" t="s">
        <v>2161</v>
      </c>
    </row>
    <row r="340" spans="1:11" x14ac:dyDescent="0.25">
      <c r="A340" s="302" t="str">
        <f t="shared" si="5"/>
        <v>Steam Traps_HVAC Repair/Rep - Audit_MF_Incremental Cost</v>
      </c>
      <c r="B340" s="303" t="s">
        <v>644</v>
      </c>
      <c r="C340" s="304" t="s">
        <v>645</v>
      </c>
      <c r="D340" s="303" t="s">
        <v>553</v>
      </c>
      <c r="E340" s="314" t="s">
        <v>260</v>
      </c>
      <c r="F340" s="327" t="s">
        <v>549</v>
      </c>
      <c r="G340" s="328">
        <v>77</v>
      </c>
      <c r="H340" s="305" t="s">
        <v>514</v>
      </c>
      <c r="I340" s="305" t="s">
        <v>152</v>
      </c>
      <c r="J340" s="305" t="s">
        <v>130</v>
      </c>
      <c r="K340" s="305" t="s">
        <v>2161</v>
      </c>
    </row>
    <row r="341" spans="1:11" s="324" customFormat="1" x14ac:dyDescent="0.25">
      <c r="A341" s="317" t="str">
        <f t="shared" si="5"/>
        <v>Steam Traps_HVAC Repair/Rep - Audit_MF_</v>
      </c>
      <c r="B341" s="317" t="str">
        <f>B340</f>
        <v>Steam Traps</v>
      </c>
      <c r="C341" s="332" t="str">
        <f>C340</f>
        <v>HVAC Repair/Rep - Audit</v>
      </c>
      <c r="D341" s="317" t="str">
        <f>D340</f>
        <v>MF</v>
      </c>
      <c r="E341" s="320"/>
      <c r="F341" s="320"/>
      <c r="G341" s="329"/>
      <c r="H341" s="320"/>
      <c r="I341" s="320"/>
      <c r="J341" s="320"/>
      <c r="K341" s="320"/>
    </row>
    <row r="342" spans="1:11" x14ac:dyDescent="0.25">
      <c r="A342" s="302" t="str">
        <f t="shared" si="5"/>
        <v>Steam Traps_HVAC Repair/Rep - No Audit_MF_GAL</v>
      </c>
      <c r="B342" s="303" t="s">
        <v>644</v>
      </c>
      <c r="C342" s="304" t="s">
        <v>660</v>
      </c>
      <c r="D342" s="303" t="s">
        <v>553</v>
      </c>
      <c r="E342" s="305" t="s">
        <v>513</v>
      </c>
      <c r="F342" s="309" t="s">
        <v>646</v>
      </c>
      <c r="G342" s="307">
        <v>0.83</v>
      </c>
      <c r="H342" s="305" t="s">
        <v>514</v>
      </c>
      <c r="I342" s="305" t="s">
        <v>152</v>
      </c>
      <c r="J342" s="305" t="s">
        <v>130</v>
      </c>
      <c r="K342" s="305" t="s">
        <v>2161</v>
      </c>
    </row>
    <row r="343" spans="1:11" x14ac:dyDescent="0.25">
      <c r="A343" s="302" t="str">
        <f t="shared" si="5"/>
        <v>Steam Traps_HVAC Repair/Rep - No Audit_MF_Hours of Operation</v>
      </c>
      <c r="B343" s="303" t="s">
        <v>644</v>
      </c>
      <c r="C343" s="304" t="s">
        <v>660</v>
      </c>
      <c r="D343" s="303" t="s">
        <v>553</v>
      </c>
      <c r="E343" s="305" t="s">
        <v>460</v>
      </c>
      <c r="F343" s="309" t="s">
        <v>647</v>
      </c>
      <c r="G343" s="339">
        <f>AVERAGE(1540,1782)</f>
        <v>1661</v>
      </c>
      <c r="H343" s="305" t="s">
        <v>648</v>
      </c>
      <c r="I343" s="305" t="s">
        <v>152</v>
      </c>
      <c r="J343" s="305" t="s">
        <v>130</v>
      </c>
      <c r="K343" s="305" t="s">
        <v>2161</v>
      </c>
    </row>
    <row r="344" spans="1:11" x14ac:dyDescent="0.25">
      <c r="A344" s="302" t="str">
        <f t="shared" si="5"/>
        <v>Steam Traps_HVAC Repair/Rep - No Audit_MF_L</v>
      </c>
      <c r="B344" s="303" t="s">
        <v>644</v>
      </c>
      <c r="C344" s="304" t="s">
        <v>660</v>
      </c>
      <c r="D344" s="303" t="s">
        <v>553</v>
      </c>
      <c r="E344" s="305" t="s">
        <v>437</v>
      </c>
      <c r="F344" s="309" t="s">
        <v>539</v>
      </c>
      <c r="G344" s="306">
        <v>0.27</v>
      </c>
      <c r="H344" s="305" t="s">
        <v>2009</v>
      </c>
      <c r="I344" s="305" t="s">
        <v>152</v>
      </c>
      <c r="J344" s="305" t="s">
        <v>130</v>
      </c>
      <c r="K344" s="305" t="s">
        <v>2161</v>
      </c>
    </row>
    <row r="345" spans="1:11" x14ac:dyDescent="0.25">
      <c r="A345" s="302" t="str">
        <f t="shared" si="5"/>
        <v>Steam Traps_HVAC Repair/Rep - No Audit_MF_Delta_Water_Gallons</v>
      </c>
      <c r="B345" s="303" t="s">
        <v>644</v>
      </c>
      <c r="C345" s="304" t="s">
        <v>660</v>
      </c>
      <c r="D345" s="303" t="s">
        <v>553</v>
      </c>
      <c r="E345" s="305" t="s">
        <v>456</v>
      </c>
      <c r="F345" s="309"/>
      <c r="G345" s="307">
        <f>G342*G343*G344</f>
        <v>372.23009999999999</v>
      </c>
      <c r="H345" s="305"/>
      <c r="I345" s="305" t="s">
        <v>152</v>
      </c>
      <c r="J345" s="305" t="s">
        <v>130</v>
      </c>
      <c r="K345" s="305" t="s">
        <v>2161</v>
      </c>
    </row>
    <row r="346" spans="1:11" x14ac:dyDescent="0.25">
      <c r="A346" s="302" t="str">
        <f t="shared" si="5"/>
        <v>Steam Traps_HVAC Repair/Rep - No Audit_MF_Conversion</v>
      </c>
      <c r="B346" s="303" t="s">
        <v>644</v>
      </c>
      <c r="C346" s="304" t="s">
        <v>660</v>
      </c>
      <c r="D346" s="303" t="s">
        <v>553</v>
      </c>
      <c r="E346" s="305" t="s">
        <v>284</v>
      </c>
      <c r="F346" s="309"/>
      <c r="G346" s="339">
        <v>1000000</v>
      </c>
      <c r="H346" s="305"/>
      <c r="I346" s="305" t="s">
        <v>152</v>
      </c>
      <c r="J346" s="305" t="s">
        <v>130</v>
      </c>
      <c r="K346" s="305" t="s">
        <v>2161</v>
      </c>
    </row>
    <row r="347" spans="1:11" x14ac:dyDescent="0.25">
      <c r="A347" s="302" t="str">
        <f t="shared" si="5"/>
        <v>Steam Traps_HVAC Repair/Rep - No Audit_MF_E_water_supply</v>
      </c>
      <c r="B347" s="303" t="s">
        <v>644</v>
      </c>
      <c r="C347" s="304" t="s">
        <v>660</v>
      </c>
      <c r="D347" s="303" t="s">
        <v>553</v>
      </c>
      <c r="E347" s="305" t="s">
        <v>457</v>
      </c>
      <c r="F347" s="309" t="s">
        <v>650</v>
      </c>
      <c r="G347" s="307">
        <v>2571</v>
      </c>
      <c r="H347" s="305"/>
      <c r="I347" s="305" t="s">
        <v>152</v>
      </c>
      <c r="J347" s="305" t="s">
        <v>130</v>
      </c>
      <c r="K347" s="305" t="s">
        <v>2161</v>
      </c>
    </row>
    <row r="348" spans="1:11" x14ac:dyDescent="0.25">
      <c r="A348" s="302" t="str">
        <f t="shared" si="5"/>
        <v>Steam Traps_HVAC Repair/Rep - No Audit_MF_Delta_kWh_water</v>
      </c>
      <c r="B348" s="303" t="s">
        <v>644</v>
      </c>
      <c r="C348" s="304" t="s">
        <v>660</v>
      </c>
      <c r="D348" s="303" t="s">
        <v>553</v>
      </c>
      <c r="E348" s="305" t="s">
        <v>334</v>
      </c>
      <c r="F348" s="309" t="s">
        <v>565</v>
      </c>
      <c r="G348" s="306">
        <f>(G345/G346)*G347</f>
        <v>0.9570035871</v>
      </c>
      <c r="H348" s="305"/>
      <c r="I348" s="305" t="s">
        <v>152</v>
      </c>
      <c r="J348" s="305" t="s">
        <v>130</v>
      </c>
      <c r="K348" s="305" t="s">
        <v>2161</v>
      </c>
    </row>
    <row r="349" spans="1:11" x14ac:dyDescent="0.25">
      <c r="A349" s="302" t="str">
        <f t="shared" si="5"/>
        <v>Steam Traps_HVAC Repair/Rep - No Audit_MF_Sa</v>
      </c>
      <c r="B349" s="303" t="s">
        <v>644</v>
      </c>
      <c r="C349" s="304" t="s">
        <v>660</v>
      </c>
      <c r="D349" s="303" t="s">
        <v>553</v>
      </c>
      <c r="E349" s="305" t="s">
        <v>507</v>
      </c>
      <c r="F349" s="309"/>
      <c r="G349" s="307">
        <v>6.9</v>
      </c>
      <c r="H349" s="305" t="s">
        <v>2007</v>
      </c>
      <c r="I349" s="305" t="s">
        <v>152</v>
      </c>
      <c r="J349" s="305" t="s">
        <v>130</v>
      </c>
      <c r="K349" s="305" t="s">
        <v>2161</v>
      </c>
    </row>
    <row r="350" spans="1:11" x14ac:dyDescent="0.25">
      <c r="A350" s="302" t="str">
        <f t="shared" si="5"/>
        <v>Steam Traps_HVAC Repair/Rep - No Audit_MF_Hv</v>
      </c>
      <c r="B350" s="303" t="s">
        <v>644</v>
      </c>
      <c r="C350" s="304" t="s">
        <v>660</v>
      </c>
      <c r="D350" s="303" t="s">
        <v>553</v>
      </c>
      <c r="E350" s="305" t="s">
        <v>508</v>
      </c>
      <c r="F350" s="309" t="s">
        <v>651</v>
      </c>
      <c r="G350" s="306">
        <v>951</v>
      </c>
      <c r="H350" s="305" t="s">
        <v>2007</v>
      </c>
      <c r="I350" s="305" t="s">
        <v>152</v>
      </c>
      <c r="J350" s="305" t="s">
        <v>130</v>
      </c>
      <c r="K350" s="305" t="s">
        <v>2161</v>
      </c>
    </row>
    <row r="351" spans="1:11" x14ac:dyDescent="0.25">
      <c r="A351" s="302" t="str">
        <f t="shared" si="5"/>
        <v>Steam Traps_HVAC Repair/Rep - No Audit_MF_Hs</v>
      </c>
      <c r="B351" s="303" t="s">
        <v>644</v>
      </c>
      <c r="C351" s="304" t="s">
        <v>660</v>
      </c>
      <c r="D351" s="303" t="s">
        <v>553</v>
      </c>
      <c r="E351" s="340" t="s">
        <v>509</v>
      </c>
      <c r="F351" s="340"/>
      <c r="G351" s="341">
        <v>1.0009999999999999</v>
      </c>
      <c r="H351" s="340" t="s">
        <v>652</v>
      </c>
      <c r="I351" s="305" t="s">
        <v>152</v>
      </c>
      <c r="J351" s="305" t="s">
        <v>130</v>
      </c>
      <c r="K351" s="305" t="s">
        <v>2161</v>
      </c>
    </row>
    <row r="352" spans="1:11" x14ac:dyDescent="0.25">
      <c r="A352" s="302" t="str">
        <f t="shared" si="5"/>
        <v>Steam Traps_HVAC Repair/Rep - No Audit_MF_507.89</v>
      </c>
      <c r="B352" s="303" t="s">
        <v>644</v>
      </c>
      <c r="C352" s="304" t="s">
        <v>660</v>
      </c>
      <c r="D352" s="303" t="s">
        <v>553</v>
      </c>
      <c r="E352" s="342">
        <v>507.89</v>
      </c>
      <c r="F352" s="340"/>
      <c r="G352" s="341">
        <v>507.89</v>
      </c>
      <c r="H352" s="340"/>
      <c r="I352" s="305" t="s">
        <v>152</v>
      </c>
      <c r="J352" s="305" t="s">
        <v>130</v>
      </c>
      <c r="K352" s="305" t="s">
        <v>2161</v>
      </c>
    </row>
    <row r="353" spans="1:11" x14ac:dyDescent="0.25">
      <c r="A353" s="302" t="str">
        <f t="shared" si="5"/>
        <v>Steam Traps_HVAC Repair/Rep - No Audit_MF_P1</v>
      </c>
      <c r="B353" s="303" t="s">
        <v>644</v>
      </c>
      <c r="C353" s="304" t="s">
        <v>660</v>
      </c>
      <c r="D353" s="303" t="s">
        <v>553</v>
      </c>
      <c r="E353" s="340" t="s">
        <v>510</v>
      </c>
      <c r="F353" s="340"/>
      <c r="G353" s="341">
        <f>5+14.696</f>
        <v>19.695999999999998</v>
      </c>
      <c r="H353" s="340" t="s">
        <v>653</v>
      </c>
      <c r="I353" s="305" t="s">
        <v>152</v>
      </c>
      <c r="J353" s="305" t="s">
        <v>130</v>
      </c>
      <c r="K353" s="305" t="s">
        <v>2161</v>
      </c>
    </row>
    <row r="354" spans="1:11" x14ac:dyDescent="0.25">
      <c r="A354" s="302" t="str">
        <f t="shared" si="5"/>
        <v>Steam Traps_HVAC Repair/Rep - No Audit_MF_0.0962</v>
      </c>
      <c r="B354" s="303" t="s">
        <v>644</v>
      </c>
      <c r="C354" s="304" t="s">
        <v>660</v>
      </c>
      <c r="D354" s="303" t="s">
        <v>553</v>
      </c>
      <c r="E354" s="340">
        <v>9.6199999999999994E-2</v>
      </c>
      <c r="F354" s="340"/>
      <c r="G354" s="343">
        <v>9.6199999999999994E-2</v>
      </c>
      <c r="H354" s="340"/>
      <c r="I354" s="305" t="s">
        <v>152</v>
      </c>
      <c r="J354" s="305" t="s">
        <v>130</v>
      </c>
      <c r="K354" s="305" t="s">
        <v>2161</v>
      </c>
    </row>
    <row r="355" spans="1:11" x14ac:dyDescent="0.25">
      <c r="A355" s="302" t="str">
        <f t="shared" si="5"/>
        <v>Steam Traps_HVAC Repair/Rep - No Audit_MF_T1</v>
      </c>
      <c r="B355" s="303" t="s">
        <v>644</v>
      </c>
      <c r="C355" s="304" t="s">
        <v>660</v>
      </c>
      <c r="D355" s="303" t="s">
        <v>553</v>
      </c>
      <c r="E355" s="340" t="s">
        <v>511</v>
      </c>
      <c r="F355" s="340"/>
      <c r="G355" s="341">
        <f>G352*(G353^G354)</f>
        <v>676.5327561570117</v>
      </c>
      <c r="H355" s="340" t="s">
        <v>654</v>
      </c>
      <c r="I355" s="305" t="s">
        <v>152</v>
      </c>
      <c r="J355" s="305" t="s">
        <v>130</v>
      </c>
      <c r="K355" s="305" t="s">
        <v>2161</v>
      </c>
    </row>
    <row r="356" spans="1:11" x14ac:dyDescent="0.25">
      <c r="A356" s="302" t="str">
        <f t="shared" si="5"/>
        <v>Steam Traps_HVAC Repair/Rep - No Audit_MF_Tsource</v>
      </c>
      <c r="B356" s="303" t="s">
        <v>644</v>
      </c>
      <c r="C356" s="304" t="s">
        <v>660</v>
      </c>
      <c r="D356" s="303" t="s">
        <v>553</v>
      </c>
      <c r="E356" s="340" t="s">
        <v>512</v>
      </c>
      <c r="F356" s="340"/>
      <c r="G356" s="341">
        <v>513.66999999999996</v>
      </c>
      <c r="H356" s="340" t="s">
        <v>655</v>
      </c>
      <c r="I356" s="305" t="s">
        <v>152</v>
      </c>
      <c r="J356" s="305" t="s">
        <v>130</v>
      </c>
      <c r="K356" s="305" t="s">
        <v>2161</v>
      </c>
    </row>
    <row r="357" spans="1:11" x14ac:dyDescent="0.25">
      <c r="A357" s="302" t="str">
        <f t="shared" si="5"/>
        <v>Steam Traps_HVAC Repair/Rep - No Audit_MF_Hours of Operation</v>
      </c>
      <c r="B357" s="303" t="s">
        <v>644</v>
      </c>
      <c r="C357" s="304" t="s">
        <v>660</v>
      </c>
      <c r="D357" s="303" t="s">
        <v>553</v>
      </c>
      <c r="E357" s="305" t="s">
        <v>460</v>
      </c>
      <c r="F357" s="309" t="s">
        <v>647</v>
      </c>
      <c r="G357" s="339">
        <f>AVERAGE(1540,1782)</f>
        <v>1661</v>
      </c>
      <c r="H357" s="305" t="s">
        <v>648</v>
      </c>
      <c r="I357" s="305" t="s">
        <v>152</v>
      </c>
      <c r="J357" s="305" t="s">
        <v>130</v>
      </c>
      <c r="K357" s="305" t="s">
        <v>2161</v>
      </c>
    </row>
    <row r="358" spans="1:11" x14ac:dyDescent="0.25">
      <c r="A358" s="302" t="str">
        <f t="shared" si="5"/>
        <v>Steam Traps_HVAC Repair/Rep - No Audit_MF_L</v>
      </c>
      <c r="B358" s="303" t="s">
        <v>644</v>
      </c>
      <c r="C358" s="304" t="s">
        <v>660</v>
      </c>
      <c r="D358" s="303" t="s">
        <v>553</v>
      </c>
      <c r="E358" s="305" t="s">
        <v>437</v>
      </c>
      <c r="F358" s="309" t="s">
        <v>539</v>
      </c>
      <c r="G358" s="307">
        <v>0.27</v>
      </c>
      <c r="H358" s="305" t="s">
        <v>2009</v>
      </c>
      <c r="I358" s="305" t="s">
        <v>152</v>
      </c>
      <c r="J358" s="305" t="s">
        <v>130</v>
      </c>
      <c r="K358" s="305" t="s">
        <v>2161</v>
      </c>
    </row>
    <row r="359" spans="1:11" x14ac:dyDescent="0.25">
      <c r="A359" s="302" t="str">
        <f t="shared" si="5"/>
        <v>Steam Traps_HVAC Repair/Rep - No Audit_MF_Conversion</v>
      </c>
      <c r="B359" s="303" t="s">
        <v>644</v>
      </c>
      <c r="C359" s="304" t="s">
        <v>660</v>
      </c>
      <c r="D359" s="303" t="s">
        <v>553</v>
      </c>
      <c r="E359" s="305" t="s">
        <v>284</v>
      </c>
      <c r="F359" s="305" t="s">
        <v>622</v>
      </c>
      <c r="G359" s="325">
        <v>100000</v>
      </c>
      <c r="H359" s="305"/>
      <c r="I359" s="305" t="s">
        <v>152</v>
      </c>
      <c r="J359" s="305" t="s">
        <v>130</v>
      </c>
      <c r="K359" s="305" t="s">
        <v>2161</v>
      </c>
    </row>
    <row r="360" spans="1:11" x14ac:dyDescent="0.25">
      <c r="A360" s="302" t="str">
        <f t="shared" si="5"/>
        <v>Steam Traps_HVAC Repair/Rep - No Audit_MF_n_B</v>
      </c>
      <c r="B360" s="303" t="s">
        <v>644</v>
      </c>
      <c r="C360" s="304" t="s">
        <v>660</v>
      </c>
      <c r="D360" s="303" t="s">
        <v>553</v>
      </c>
      <c r="E360" s="340" t="s">
        <v>657</v>
      </c>
      <c r="F360" s="341"/>
      <c r="G360" s="344">
        <v>0.64800000000000002</v>
      </c>
      <c r="H360" s="345" t="s">
        <v>1944</v>
      </c>
      <c r="I360" s="305" t="s">
        <v>152</v>
      </c>
      <c r="J360" s="305" t="s">
        <v>130</v>
      </c>
      <c r="K360" s="305" t="s">
        <v>2161</v>
      </c>
    </row>
    <row r="361" spans="1:11" x14ac:dyDescent="0.25">
      <c r="A361" s="302" t="str">
        <f t="shared" si="5"/>
        <v>Steam Traps_HVAC Repair/Rep - No Audit_MF_Remaining Year kWh</v>
      </c>
      <c r="B361" s="303" t="s">
        <v>644</v>
      </c>
      <c r="C361" s="304" t="s">
        <v>660</v>
      </c>
      <c r="D361" s="303" t="s">
        <v>553</v>
      </c>
      <c r="E361" s="305" t="s">
        <v>254</v>
      </c>
      <c r="F361" s="309" t="s">
        <v>565</v>
      </c>
      <c r="G361" s="307">
        <v>0</v>
      </c>
      <c r="H361" s="305"/>
      <c r="I361" s="305" t="s">
        <v>152</v>
      </c>
      <c r="J361" s="305" t="s">
        <v>130</v>
      </c>
      <c r="K361" s="305" t="s">
        <v>2161</v>
      </c>
    </row>
    <row r="362" spans="1:11" x14ac:dyDescent="0.25">
      <c r="A362" s="302" t="str">
        <f t="shared" si="5"/>
        <v>Steam Traps_HVAC Repair/Rep - No Audit_MF_kWh Saved per Unit</v>
      </c>
      <c r="B362" s="303" t="s">
        <v>644</v>
      </c>
      <c r="C362" s="304" t="s">
        <v>660</v>
      </c>
      <c r="D362" s="303" t="s">
        <v>553</v>
      </c>
      <c r="E362" s="305" t="s">
        <v>255</v>
      </c>
      <c r="F362" s="309" t="s">
        <v>565</v>
      </c>
      <c r="G362" s="306">
        <f>G348</f>
        <v>0.9570035871</v>
      </c>
      <c r="H362" s="305"/>
      <c r="I362" s="305" t="s">
        <v>152</v>
      </c>
      <c r="J362" s="305" t="s">
        <v>130</v>
      </c>
      <c r="K362" s="305" t="s">
        <v>2161</v>
      </c>
    </row>
    <row r="363" spans="1:11" x14ac:dyDescent="0.25">
      <c r="A363" s="302" t="str">
        <f t="shared" si="5"/>
        <v>Steam Traps_HVAC Repair/Rep - No Audit_MF_Remaining Year kW</v>
      </c>
      <c r="B363" s="303" t="s">
        <v>644</v>
      </c>
      <c r="C363" s="304" t="s">
        <v>660</v>
      </c>
      <c r="D363" s="303" t="s">
        <v>553</v>
      </c>
      <c r="E363" s="305" t="s">
        <v>256</v>
      </c>
      <c r="F363" s="309" t="s">
        <v>658</v>
      </c>
      <c r="G363" s="307">
        <v>0</v>
      </c>
      <c r="H363" s="305"/>
      <c r="I363" s="305" t="s">
        <v>152</v>
      </c>
      <c r="J363" s="305" t="s">
        <v>130</v>
      </c>
      <c r="K363" s="305" t="s">
        <v>2161</v>
      </c>
    </row>
    <row r="364" spans="1:11" x14ac:dyDescent="0.25">
      <c r="A364" s="302" t="str">
        <f t="shared" si="5"/>
        <v>Steam Traps_HVAC Repair/Rep - No Audit_MF_kW Saved per Unit</v>
      </c>
      <c r="B364" s="303" t="s">
        <v>644</v>
      </c>
      <c r="C364" s="304" t="s">
        <v>660</v>
      </c>
      <c r="D364" s="303" t="s">
        <v>553</v>
      </c>
      <c r="E364" s="314" t="s">
        <v>580</v>
      </c>
      <c r="F364" s="326" t="s">
        <v>571</v>
      </c>
      <c r="G364" s="306">
        <v>0</v>
      </c>
      <c r="H364" s="305"/>
      <c r="I364" s="305" t="s">
        <v>152</v>
      </c>
      <c r="J364" s="305" t="s">
        <v>130</v>
      </c>
      <c r="K364" s="305" t="s">
        <v>2161</v>
      </c>
    </row>
    <row r="365" spans="1:11" x14ac:dyDescent="0.25">
      <c r="A365" s="302" t="str">
        <f t="shared" si="5"/>
        <v>Steam Traps_HVAC Repair/Rep - No Audit_MF_Remaining Year Therms</v>
      </c>
      <c r="B365" s="303" t="s">
        <v>644</v>
      </c>
      <c r="C365" s="304" t="s">
        <v>660</v>
      </c>
      <c r="D365" s="303" t="s">
        <v>553</v>
      </c>
      <c r="E365" s="305" t="s">
        <v>320</v>
      </c>
      <c r="F365" s="309" t="s">
        <v>564</v>
      </c>
      <c r="G365" s="307">
        <v>0</v>
      </c>
      <c r="H365" s="305"/>
      <c r="I365" s="305" t="s">
        <v>152</v>
      </c>
      <c r="J365" s="305" t="s">
        <v>130</v>
      </c>
      <c r="K365" s="305" t="s">
        <v>2161</v>
      </c>
    </row>
    <row r="366" spans="1:11" x14ac:dyDescent="0.25">
      <c r="A366" s="302" t="str">
        <f t="shared" si="5"/>
        <v>Steam Traps_HVAC Repair/Rep - No Audit_MF_Therm Saved per Unit</v>
      </c>
      <c r="B366" s="303" t="s">
        <v>644</v>
      </c>
      <c r="C366" s="304" t="s">
        <v>660</v>
      </c>
      <c r="D366" s="303" t="s">
        <v>553</v>
      </c>
      <c r="E366" s="314" t="s">
        <v>326</v>
      </c>
      <c r="F366" s="326"/>
      <c r="G366" s="315">
        <f xml:space="preserve"> G349 * (G350 + G351 * (G355 - G356)) * G357 * G358 / (G359 * G360)</f>
        <v>53.198900899174738</v>
      </c>
      <c r="H366" s="305"/>
      <c r="I366" s="305" t="s">
        <v>152</v>
      </c>
      <c r="J366" s="305" t="s">
        <v>130</v>
      </c>
      <c r="K366" s="305" t="s">
        <v>2161</v>
      </c>
    </row>
    <row r="367" spans="1:11" x14ac:dyDescent="0.25">
      <c r="A367" s="302" t="str">
        <f t="shared" si="5"/>
        <v>Steam Traps_HVAC Repair/Rep - No Audit_MF_Gallons Saved per Unit</v>
      </c>
      <c r="B367" s="303" t="s">
        <v>644</v>
      </c>
      <c r="C367" s="304" t="s">
        <v>660</v>
      </c>
      <c r="D367" s="303" t="s">
        <v>553</v>
      </c>
      <c r="E367" s="314" t="s">
        <v>547</v>
      </c>
      <c r="F367" s="326"/>
      <c r="G367" s="315">
        <f>G345</f>
        <v>372.23009999999999</v>
      </c>
      <c r="H367" s="305"/>
      <c r="I367" s="305" t="s">
        <v>152</v>
      </c>
      <c r="J367" s="305" t="s">
        <v>130</v>
      </c>
      <c r="K367" s="305" t="s">
        <v>2161</v>
      </c>
    </row>
    <row r="368" spans="1:11" x14ac:dyDescent="0.25">
      <c r="A368" s="302" t="str">
        <f t="shared" si="5"/>
        <v>Steam Traps_HVAC Repair/Rep - No Audit_MF_Remaining Life</v>
      </c>
      <c r="B368" s="303" t="s">
        <v>644</v>
      </c>
      <c r="C368" s="304" t="s">
        <v>660</v>
      </c>
      <c r="D368" s="303" t="s">
        <v>553</v>
      </c>
      <c r="E368" s="314" t="s">
        <v>258</v>
      </c>
      <c r="F368" s="326"/>
      <c r="G368" s="315">
        <v>0</v>
      </c>
      <c r="H368" s="305"/>
      <c r="I368" s="305" t="s">
        <v>152</v>
      </c>
      <c r="J368" s="305" t="s">
        <v>130</v>
      </c>
      <c r="K368" s="305" t="s">
        <v>2161</v>
      </c>
    </row>
    <row r="369" spans="1:11" x14ac:dyDescent="0.25">
      <c r="A369" s="302" t="str">
        <f t="shared" si="5"/>
        <v>Steam Traps_HVAC Repair/Rep - No Audit_MF_Lifetime (years)</v>
      </c>
      <c r="B369" s="303" t="s">
        <v>644</v>
      </c>
      <c r="C369" s="304" t="s">
        <v>660</v>
      </c>
      <c r="D369" s="303" t="s">
        <v>553</v>
      </c>
      <c r="E369" s="314" t="s">
        <v>259</v>
      </c>
      <c r="F369" s="326" t="s">
        <v>548</v>
      </c>
      <c r="G369" s="326">
        <v>6</v>
      </c>
      <c r="H369" s="305" t="s">
        <v>659</v>
      </c>
      <c r="I369" s="305" t="s">
        <v>152</v>
      </c>
      <c r="J369" s="305" t="s">
        <v>130</v>
      </c>
      <c r="K369" s="305" t="s">
        <v>2161</v>
      </c>
    </row>
    <row r="370" spans="1:11" x14ac:dyDescent="0.25">
      <c r="A370" s="302" t="str">
        <f t="shared" si="5"/>
        <v>Steam Traps_HVAC Repair/Rep - No Audit_MF_Incremental Cost</v>
      </c>
      <c r="B370" s="303" t="s">
        <v>644</v>
      </c>
      <c r="C370" s="304" t="s">
        <v>660</v>
      </c>
      <c r="D370" s="303" t="s">
        <v>553</v>
      </c>
      <c r="E370" s="314" t="s">
        <v>260</v>
      </c>
      <c r="F370" s="327" t="s">
        <v>549</v>
      </c>
      <c r="G370" s="328">
        <v>77</v>
      </c>
      <c r="H370" s="305" t="s">
        <v>514</v>
      </c>
      <c r="I370" s="305" t="s">
        <v>152</v>
      </c>
      <c r="J370" s="305" t="s">
        <v>130</v>
      </c>
      <c r="K370" s="305" t="s">
        <v>2161</v>
      </c>
    </row>
    <row r="371" spans="1:11" s="324" customFormat="1" x14ac:dyDescent="0.25">
      <c r="A371" s="317" t="str">
        <f t="shared" si="5"/>
        <v>Steam Traps_HVAC Repair/Rep - No Audit_MF_</v>
      </c>
      <c r="B371" s="317" t="str">
        <f>B370</f>
        <v>Steam Traps</v>
      </c>
      <c r="C371" s="332" t="str">
        <f>C370</f>
        <v>HVAC Repair/Rep - No Audit</v>
      </c>
      <c r="D371" s="317" t="str">
        <f>D370</f>
        <v>MF</v>
      </c>
      <c r="E371" s="320"/>
      <c r="F371" s="320"/>
      <c r="G371" s="329"/>
      <c r="H371" s="320"/>
      <c r="I371" s="320"/>
      <c r="J371" s="320"/>
      <c r="K371" s="320"/>
    </row>
    <row r="372" spans="1:11" x14ac:dyDescent="0.25">
      <c r="A372" s="302" t="str">
        <f t="shared" si="5"/>
        <v>Steam Traps_Dry Cleaner/Industrial_MF/CI/SMB_GAL</v>
      </c>
      <c r="B372" s="303" t="s">
        <v>644</v>
      </c>
      <c r="C372" s="304" t="s">
        <v>661</v>
      </c>
      <c r="D372" s="303" t="s">
        <v>662</v>
      </c>
      <c r="E372" s="305" t="s">
        <v>513</v>
      </c>
      <c r="F372" s="309" t="s">
        <v>646</v>
      </c>
      <c r="G372" s="307">
        <v>0.83</v>
      </c>
      <c r="H372" s="305" t="s">
        <v>514</v>
      </c>
      <c r="I372" s="305" t="s">
        <v>152</v>
      </c>
      <c r="J372" s="305" t="s">
        <v>130</v>
      </c>
      <c r="K372" s="305" t="s">
        <v>2161</v>
      </c>
    </row>
    <row r="373" spans="1:11" x14ac:dyDescent="0.25">
      <c r="A373" s="302" t="str">
        <f t="shared" si="5"/>
        <v>Steam Traps_Dry Cleaner/Industrial_MF/CI/SMB_Hours of Operation</v>
      </c>
      <c r="B373" s="303" t="s">
        <v>644</v>
      </c>
      <c r="C373" s="304" t="s">
        <v>661</v>
      </c>
      <c r="D373" s="303" t="s">
        <v>662</v>
      </c>
      <c r="E373" s="305" t="s">
        <v>460</v>
      </c>
      <c r="F373" s="309" t="s">
        <v>647</v>
      </c>
      <c r="G373" s="339">
        <f>AVERAGE(1540,1782)</f>
        <v>1661</v>
      </c>
      <c r="H373" s="305" t="s">
        <v>648</v>
      </c>
      <c r="I373" s="305" t="s">
        <v>152</v>
      </c>
      <c r="J373" s="305" t="s">
        <v>130</v>
      </c>
      <c r="K373" s="305" t="s">
        <v>2161</v>
      </c>
    </row>
    <row r="374" spans="1:11" x14ac:dyDescent="0.25">
      <c r="A374" s="302" t="str">
        <f t="shared" si="5"/>
        <v>Steam Traps_Dry Cleaner/Industrial_MF/CI/SMB_L</v>
      </c>
      <c r="B374" s="303" t="s">
        <v>644</v>
      </c>
      <c r="C374" s="304" t="s">
        <v>661</v>
      </c>
      <c r="D374" s="303" t="s">
        <v>662</v>
      </c>
      <c r="E374" s="305" t="s">
        <v>437</v>
      </c>
      <c r="F374" s="309" t="s">
        <v>539</v>
      </c>
      <c r="G374" s="306">
        <v>0.27</v>
      </c>
      <c r="H374" s="305" t="s">
        <v>2009</v>
      </c>
      <c r="I374" s="305" t="s">
        <v>152</v>
      </c>
      <c r="J374" s="305" t="s">
        <v>130</v>
      </c>
      <c r="K374" s="305" t="s">
        <v>2161</v>
      </c>
    </row>
    <row r="375" spans="1:11" x14ac:dyDescent="0.25">
      <c r="A375" s="302" t="str">
        <f t="shared" si="5"/>
        <v>Steam Traps_Dry Cleaner/Industrial_MF/CI/SMB_Delta_Water_Gallons</v>
      </c>
      <c r="B375" s="303" t="s">
        <v>644</v>
      </c>
      <c r="C375" s="304" t="s">
        <v>661</v>
      </c>
      <c r="D375" s="303" t="s">
        <v>662</v>
      </c>
      <c r="E375" s="305" t="s">
        <v>456</v>
      </c>
      <c r="F375" s="309"/>
      <c r="G375" s="307">
        <f>G372*G373*G374</f>
        <v>372.23009999999999</v>
      </c>
      <c r="H375" s="305"/>
      <c r="I375" s="305" t="s">
        <v>152</v>
      </c>
      <c r="J375" s="305" t="s">
        <v>130</v>
      </c>
      <c r="K375" s="305" t="s">
        <v>2161</v>
      </c>
    </row>
    <row r="376" spans="1:11" x14ac:dyDescent="0.25">
      <c r="A376" s="302" t="str">
        <f t="shared" si="5"/>
        <v>Steam Traps_Dry Cleaner/Industrial_MF/CI/SMB_Conversion</v>
      </c>
      <c r="B376" s="303" t="s">
        <v>644</v>
      </c>
      <c r="C376" s="304" t="s">
        <v>661</v>
      </c>
      <c r="D376" s="303" t="s">
        <v>662</v>
      </c>
      <c r="E376" s="305" t="s">
        <v>284</v>
      </c>
      <c r="F376" s="309"/>
      <c r="G376" s="339">
        <v>1000000</v>
      </c>
      <c r="H376" s="305"/>
      <c r="I376" s="305" t="s">
        <v>152</v>
      </c>
      <c r="J376" s="305" t="s">
        <v>130</v>
      </c>
      <c r="K376" s="305" t="s">
        <v>2161</v>
      </c>
    </row>
    <row r="377" spans="1:11" x14ac:dyDescent="0.25">
      <c r="A377" s="302" t="str">
        <f t="shared" si="5"/>
        <v>Steam Traps_Dry Cleaner/Industrial_MF/CI/SMB_E_water_supply</v>
      </c>
      <c r="B377" s="303" t="s">
        <v>644</v>
      </c>
      <c r="C377" s="304" t="s">
        <v>661</v>
      </c>
      <c r="D377" s="303" t="s">
        <v>662</v>
      </c>
      <c r="E377" s="305" t="s">
        <v>457</v>
      </c>
      <c r="F377" s="309" t="s">
        <v>650</v>
      </c>
      <c r="G377" s="307">
        <v>2571</v>
      </c>
      <c r="H377" s="305"/>
      <c r="I377" s="305" t="s">
        <v>152</v>
      </c>
      <c r="J377" s="305" t="s">
        <v>130</v>
      </c>
      <c r="K377" s="305" t="s">
        <v>2161</v>
      </c>
    </row>
    <row r="378" spans="1:11" x14ac:dyDescent="0.25">
      <c r="A378" s="302" t="str">
        <f t="shared" si="5"/>
        <v>Steam Traps_Dry Cleaner/Industrial_MF/CI/SMB_Delta_kWh_water</v>
      </c>
      <c r="B378" s="303" t="s">
        <v>644</v>
      </c>
      <c r="C378" s="304" t="s">
        <v>661</v>
      </c>
      <c r="D378" s="303" t="s">
        <v>662</v>
      </c>
      <c r="E378" s="305" t="s">
        <v>334</v>
      </c>
      <c r="F378" s="309" t="s">
        <v>565</v>
      </c>
      <c r="G378" s="306">
        <f>(G375/G376)*G377</f>
        <v>0.9570035871</v>
      </c>
      <c r="H378" s="305"/>
      <c r="I378" s="305" t="s">
        <v>152</v>
      </c>
      <c r="J378" s="305" t="s">
        <v>130</v>
      </c>
      <c r="K378" s="305" t="s">
        <v>2161</v>
      </c>
    </row>
    <row r="379" spans="1:11" x14ac:dyDescent="0.25">
      <c r="A379" s="302" t="str">
        <f t="shared" si="5"/>
        <v>Steam Traps_Dry Cleaner/Industrial_MF/CI/SMB_Sa</v>
      </c>
      <c r="B379" s="303" t="s">
        <v>644</v>
      </c>
      <c r="C379" s="304" t="s">
        <v>661</v>
      </c>
      <c r="D379" s="303" t="s">
        <v>662</v>
      </c>
      <c r="E379" s="305" t="s">
        <v>507</v>
      </c>
      <c r="F379" s="309"/>
      <c r="G379" s="307">
        <v>18.5</v>
      </c>
      <c r="H379" s="305" t="s">
        <v>663</v>
      </c>
      <c r="I379" s="305" t="s">
        <v>152</v>
      </c>
      <c r="J379" s="305" t="s">
        <v>130</v>
      </c>
      <c r="K379" s="305" t="s">
        <v>2161</v>
      </c>
    </row>
    <row r="380" spans="1:11" x14ac:dyDescent="0.25">
      <c r="A380" s="302" t="str">
        <f t="shared" si="5"/>
        <v>Steam Traps_Dry Cleaner/Industrial_MF/CI/SMB_Hv</v>
      </c>
      <c r="B380" s="303" t="s">
        <v>644</v>
      </c>
      <c r="C380" s="304" t="s">
        <v>661</v>
      </c>
      <c r="D380" s="303" t="s">
        <v>662</v>
      </c>
      <c r="E380" s="305" t="s">
        <v>508</v>
      </c>
      <c r="F380" s="309" t="s">
        <v>651</v>
      </c>
      <c r="G380" s="306">
        <v>890</v>
      </c>
      <c r="H380" s="305" t="s">
        <v>663</v>
      </c>
      <c r="I380" s="305" t="s">
        <v>152</v>
      </c>
      <c r="J380" s="305" t="s">
        <v>130</v>
      </c>
      <c r="K380" s="305" t="s">
        <v>2161</v>
      </c>
    </row>
    <row r="381" spans="1:11" x14ac:dyDescent="0.25">
      <c r="A381" s="302" t="str">
        <f t="shared" si="5"/>
        <v>Steam Traps_Dry Cleaner/Industrial_MF/CI/SMB_Hs</v>
      </c>
      <c r="B381" s="303" t="s">
        <v>644</v>
      </c>
      <c r="C381" s="304" t="s">
        <v>661</v>
      </c>
      <c r="D381" s="303" t="s">
        <v>662</v>
      </c>
      <c r="E381" s="340" t="s">
        <v>509</v>
      </c>
      <c r="F381" s="340"/>
      <c r="G381" s="341">
        <v>1.0009999999999999</v>
      </c>
      <c r="H381" s="340" t="s">
        <v>652</v>
      </c>
      <c r="I381" s="305" t="s">
        <v>152</v>
      </c>
      <c r="J381" s="305" t="s">
        <v>130</v>
      </c>
      <c r="K381" s="305" t="s">
        <v>2161</v>
      </c>
    </row>
    <row r="382" spans="1:11" x14ac:dyDescent="0.25">
      <c r="A382" s="302" t="str">
        <f t="shared" si="5"/>
        <v>Steam Traps_Dry Cleaner/Industrial_MF/CI/SMB_507.89</v>
      </c>
      <c r="B382" s="303" t="s">
        <v>644</v>
      </c>
      <c r="C382" s="304" t="s">
        <v>661</v>
      </c>
      <c r="D382" s="303" t="s">
        <v>662</v>
      </c>
      <c r="E382" s="342">
        <v>507.89</v>
      </c>
      <c r="F382" s="340"/>
      <c r="G382" s="341">
        <v>507.89</v>
      </c>
      <c r="H382" s="340"/>
      <c r="I382" s="305" t="s">
        <v>152</v>
      </c>
      <c r="J382" s="305" t="s">
        <v>130</v>
      </c>
      <c r="K382" s="305" t="s">
        <v>2161</v>
      </c>
    </row>
    <row r="383" spans="1:11" x14ac:dyDescent="0.25">
      <c r="A383" s="302" t="str">
        <f t="shared" si="5"/>
        <v>Steam Traps_Dry Cleaner/Industrial_MF/CI/SMB_P1</v>
      </c>
      <c r="B383" s="303" t="s">
        <v>644</v>
      </c>
      <c r="C383" s="304" t="s">
        <v>661</v>
      </c>
      <c r="D383" s="303" t="s">
        <v>662</v>
      </c>
      <c r="E383" s="340" t="s">
        <v>510</v>
      </c>
      <c r="F383" s="340"/>
      <c r="G383" s="341">
        <f>82.8+14.696</f>
        <v>97.495999999999995</v>
      </c>
      <c r="H383" s="340" t="s">
        <v>664</v>
      </c>
      <c r="I383" s="305" t="s">
        <v>152</v>
      </c>
      <c r="J383" s="305" t="s">
        <v>130</v>
      </c>
      <c r="K383" s="305" t="s">
        <v>2161</v>
      </c>
    </row>
    <row r="384" spans="1:11" x14ac:dyDescent="0.25">
      <c r="A384" s="302" t="str">
        <f t="shared" si="5"/>
        <v>Steam Traps_Dry Cleaner/Industrial_MF/CI/SMB_0.0962</v>
      </c>
      <c r="B384" s="303" t="s">
        <v>644</v>
      </c>
      <c r="C384" s="304" t="s">
        <v>661</v>
      </c>
      <c r="D384" s="303" t="s">
        <v>662</v>
      </c>
      <c r="E384" s="340">
        <v>9.6199999999999994E-2</v>
      </c>
      <c r="F384" s="340"/>
      <c r="G384" s="343">
        <v>9.6199999999999994E-2</v>
      </c>
      <c r="H384" s="340"/>
      <c r="I384" s="305" t="s">
        <v>152</v>
      </c>
      <c r="J384" s="305" t="s">
        <v>130</v>
      </c>
      <c r="K384" s="305" t="s">
        <v>2161</v>
      </c>
    </row>
    <row r="385" spans="1:11" x14ac:dyDescent="0.25">
      <c r="A385" s="302" t="str">
        <f t="shared" si="5"/>
        <v>Steam Traps_Dry Cleaner/Industrial_MF/CI/SMB_T1</v>
      </c>
      <c r="B385" s="303" t="s">
        <v>644</v>
      </c>
      <c r="C385" s="304" t="s">
        <v>661</v>
      </c>
      <c r="D385" s="303" t="s">
        <v>662</v>
      </c>
      <c r="E385" s="340" t="s">
        <v>511</v>
      </c>
      <c r="F385" s="340"/>
      <c r="G385" s="341">
        <f>G382*(G383^G384)</f>
        <v>789.06029758033731</v>
      </c>
      <c r="H385" s="340" t="s">
        <v>654</v>
      </c>
      <c r="I385" s="305" t="s">
        <v>152</v>
      </c>
      <c r="J385" s="305" t="s">
        <v>130</v>
      </c>
      <c r="K385" s="305" t="s">
        <v>2161</v>
      </c>
    </row>
    <row r="386" spans="1:11" x14ac:dyDescent="0.25">
      <c r="A386" s="302" t="str">
        <f t="shared" si="5"/>
        <v>Steam Traps_Dry Cleaner/Industrial_MF/CI/SMB_Tsource</v>
      </c>
      <c r="B386" s="303" t="s">
        <v>644</v>
      </c>
      <c r="C386" s="304" t="s">
        <v>661</v>
      </c>
      <c r="D386" s="303" t="s">
        <v>662</v>
      </c>
      <c r="E386" s="340" t="s">
        <v>512</v>
      </c>
      <c r="F386" s="340"/>
      <c r="G386" s="341">
        <v>513.66999999999996</v>
      </c>
      <c r="H386" s="340" t="s">
        <v>655</v>
      </c>
      <c r="I386" s="305" t="s">
        <v>152</v>
      </c>
      <c r="J386" s="305" t="s">
        <v>130</v>
      </c>
      <c r="K386" s="305" t="s">
        <v>2161</v>
      </c>
    </row>
    <row r="387" spans="1:11" x14ac:dyDescent="0.25">
      <c r="A387" s="302" t="str">
        <f t="shared" si="5"/>
        <v>Steam Traps_Dry Cleaner/Industrial_MF/CI/SMB_Hours of Operation</v>
      </c>
      <c r="B387" s="303" t="s">
        <v>644</v>
      </c>
      <c r="C387" s="304" t="s">
        <v>661</v>
      </c>
      <c r="D387" s="303" t="s">
        <v>662</v>
      </c>
      <c r="E387" s="305" t="s">
        <v>460</v>
      </c>
      <c r="F387" s="309" t="s">
        <v>647</v>
      </c>
      <c r="G387" s="339">
        <f>AVERAGE(1540,1782)</f>
        <v>1661</v>
      </c>
      <c r="H387" s="305" t="s">
        <v>648</v>
      </c>
      <c r="I387" s="305" t="s">
        <v>152</v>
      </c>
      <c r="J387" s="305" t="s">
        <v>130</v>
      </c>
      <c r="K387" s="305" t="s">
        <v>2161</v>
      </c>
    </row>
    <row r="388" spans="1:11" x14ac:dyDescent="0.25">
      <c r="A388" s="302" t="str">
        <f t="shared" si="5"/>
        <v>Steam Traps_Dry Cleaner/Industrial_MF/CI/SMB_L</v>
      </c>
      <c r="B388" s="303" t="s">
        <v>644</v>
      </c>
      <c r="C388" s="304" t="s">
        <v>661</v>
      </c>
      <c r="D388" s="303" t="s">
        <v>662</v>
      </c>
      <c r="E388" s="305" t="s">
        <v>437</v>
      </c>
      <c r="F388" s="309" t="s">
        <v>539</v>
      </c>
      <c r="G388" s="307">
        <v>0.27</v>
      </c>
      <c r="H388" s="305" t="s">
        <v>225</v>
      </c>
      <c r="I388" s="305" t="s">
        <v>152</v>
      </c>
      <c r="J388" s="305" t="s">
        <v>130</v>
      </c>
      <c r="K388" s="305" t="s">
        <v>2161</v>
      </c>
    </row>
    <row r="389" spans="1:11" x14ac:dyDescent="0.25">
      <c r="A389" s="302" t="str">
        <f t="shared" si="5"/>
        <v>Steam Traps_Dry Cleaner/Industrial_MF/CI/SMB_Conversion</v>
      </c>
      <c r="B389" s="303" t="s">
        <v>644</v>
      </c>
      <c r="C389" s="304" t="s">
        <v>661</v>
      </c>
      <c r="D389" s="303" t="s">
        <v>662</v>
      </c>
      <c r="E389" s="305" t="s">
        <v>284</v>
      </c>
      <c r="F389" s="305" t="s">
        <v>622</v>
      </c>
      <c r="G389" s="325">
        <v>100000</v>
      </c>
      <c r="H389" s="305"/>
      <c r="I389" s="305" t="s">
        <v>152</v>
      </c>
      <c r="J389" s="305" t="s">
        <v>130</v>
      </c>
      <c r="K389" s="305" t="s">
        <v>2161</v>
      </c>
    </row>
    <row r="390" spans="1:11" x14ac:dyDescent="0.25">
      <c r="A390" s="302" t="str">
        <f t="shared" ref="A390:A455" si="6">B390&amp;"_"&amp;C390&amp;"_"&amp;D390&amp;"_"&amp;E390</f>
        <v>Steam Traps_Dry Cleaner/Industrial_MF/CI/SMB_n_B</v>
      </c>
      <c r="B390" s="303" t="s">
        <v>644</v>
      </c>
      <c r="C390" s="304" t="s">
        <v>661</v>
      </c>
      <c r="D390" s="303" t="s">
        <v>662</v>
      </c>
      <c r="E390" s="340" t="s">
        <v>657</v>
      </c>
      <c r="F390" s="341"/>
      <c r="G390" s="346">
        <v>0.80700000000000005</v>
      </c>
      <c r="H390" s="340" t="s">
        <v>665</v>
      </c>
      <c r="I390" s="305" t="s">
        <v>152</v>
      </c>
      <c r="J390" s="305" t="s">
        <v>130</v>
      </c>
      <c r="K390" s="305" t="s">
        <v>2161</v>
      </c>
    </row>
    <row r="391" spans="1:11" x14ac:dyDescent="0.25">
      <c r="A391" s="302" t="str">
        <f t="shared" si="6"/>
        <v>Steam Traps_Dry Cleaner/Industrial_MF/CI/SMB_Remaining Year kWh</v>
      </c>
      <c r="B391" s="303" t="s">
        <v>644</v>
      </c>
      <c r="C391" s="304" t="s">
        <v>661</v>
      </c>
      <c r="D391" s="303" t="s">
        <v>662</v>
      </c>
      <c r="E391" s="305" t="s">
        <v>254</v>
      </c>
      <c r="F391" s="309" t="s">
        <v>565</v>
      </c>
      <c r="G391" s="307">
        <v>0</v>
      </c>
      <c r="H391" s="305"/>
      <c r="I391" s="305" t="s">
        <v>152</v>
      </c>
      <c r="J391" s="305" t="s">
        <v>130</v>
      </c>
      <c r="K391" s="305" t="s">
        <v>2161</v>
      </c>
    </row>
    <row r="392" spans="1:11" x14ac:dyDescent="0.25">
      <c r="A392" s="302" t="str">
        <f t="shared" si="6"/>
        <v>Steam Traps_Dry Cleaner/Industrial_MF/CI/SMB_kWh Saved per Unit</v>
      </c>
      <c r="B392" s="303" t="s">
        <v>644</v>
      </c>
      <c r="C392" s="304" t="s">
        <v>661</v>
      </c>
      <c r="D392" s="303" t="s">
        <v>662</v>
      </c>
      <c r="E392" s="305" t="s">
        <v>255</v>
      </c>
      <c r="F392" s="309" t="s">
        <v>565</v>
      </c>
      <c r="G392" s="306">
        <f>G378</f>
        <v>0.9570035871</v>
      </c>
      <c r="H392" s="305"/>
      <c r="I392" s="305" t="s">
        <v>152</v>
      </c>
      <c r="J392" s="305" t="s">
        <v>130</v>
      </c>
      <c r="K392" s="305" t="s">
        <v>2161</v>
      </c>
    </row>
    <row r="393" spans="1:11" x14ac:dyDescent="0.25">
      <c r="A393" s="302" t="str">
        <f t="shared" si="6"/>
        <v>Steam Traps_Dry Cleaner/Industrial_MF/CI/SMB_Remaining Year kW</v>
      </c>
      <c r="B393" s="303" t="s">
        <v>644</v>
      </c>
      <c r="C393" s="304" t="s">
        <v>661</v>
      </c>
      <c r="D393" s="303" t="s">
        <v>662</v>
      </c>
      <c r="E393" s="305" t="s">
        <v>256</v>
      </c>
      <c r="F393" s="309" t="s">
        <v>658</v>
      </c>
      <c r="G393" s="307">
        <v>0</v>
      </c>
      <c r="H393" s="305"/>
      <c r="I393" s="305" t="s">
        <v>152</v>
      </c>
      <c r="J393" s="305" t="s">
        <v>130</v>
      </c>
      <c r="K393" s="305" t="s">
        <v>2161</v>
      </c>
    </row>
    <row r="394" spans="1:11" x14ac:dyDescent="0.25">
      <c r="A394" s="302" t="str">
        <f t="shared" si="6"/>
        <v>Steam Traps_Dry Cleaner/Industrial_MF/CI/SMB_kW Saved per Unit</v>
      </c>
      <c r="B394" s="303" t="s">
        <v>644</v>
      </c>
      <c r="C394" s="304" t="s">
        <v>661</v>
      </c>
      <c r="D394" s="303" t="s">
        <v>662</v>
      </c>
      <c r="E394" s="314" t="s">
        <v>580</v>
      </c>
      <c r="F394" s="326" t="s">
        <v>571</v>
      </c>
      <c r="G394" s="306">
        <v>0</v>
      </c>
      <c r="H394" s="305"/>
      <c r="I394" s="305" t="s">
        <v>152</v>
      </c>
      <c r="J394" s="305" t="s">
        <v>130</v>
      </c>
      <c r="K394" s="305" t="s">
        <v>2161</v>
      </c>
    </row>
    <row r="395" spans="1:11" x14ac:dyDescent="0.25">
      <c r="A395" s="302" t="str">
        <f t="shared" si="6"/>
        <v>Steam Traps_Dry Cleaner/Industrial_MF/CI/SMB_Remaining Year Therms</v>
      </c>
      <c r="B395" s="303" t="s">
        <v>644</v>
      </c>
      <c r="C395" s="304" t="s">
        <v>661</v>
      </c>
      <c r="D395" s="303" t="s">
        <v>662</v>
      </c>
      <c r="E395" s="305" t="s">
        <v>320</v>
      </c>
      <c r="F395" s="309" t="s">
        <v>564</v>
      </c>
      <c r="G395" s="307">
        <v>0</v>
      </c>
      <c r="H395" s="305"/>
      <c r="I395" s="305" t="s">
        <v>152</v>
      </c>
      <c r="J395" s="305" t="s">
        <v>130</v>
      </c>
      <c r="K395" s="305" t="s">
        <v>2161</v>
      </c>
    </row>
    <row r="396" spans="1:11" x14ac:dyDescent="0.25">
      <c r="A396" s="302" t="str">
        <f t="shared" si="6"/>
        <v>Steam Traps_Dry Cleaner/Industrial_MF/CI/SMB_Therm Saved per Unit</v>
      </c>
      <c r="B396" s="303" t="s">
        <v>644</v>
      </c>
      <c r="C396" s="304" t="s">
        <v>661</v>
      </c>
      <c r="D396" s="303" t="s">
        <v>662</v>
      </c>
      <c r="E396" s="314" t="s">
        <v>326</v>
      </c>
      <c r="F396" s="326"/>
      <c r="G396" s="315">
        <f xml:space="preserve"> G379 * (G380 + G381 * (G385 - G386)) * G387 * G388 / (G389 * G390)</f>
        <v>119.84104937160201</v>
      </c>
      <c r="H396" s="305"/>
      <c r="I396" s="305" t="s">
        <v>152</v>
      </c>
      <c r="J396" s="305" t="s">
        <v>130</v>
      </c>
      <c r="K396" s="305" t="s">
        <v>2161</v>
      </c>
    </row>
    <row r="397" spans="1:11" x14ac:dyDescent="0.25">
      <c r="A397" s="302" t="str">
        <f t="shared" si="6"/>
        <v>Steam Traps_Dry Cleaner/Industrial_MF/CI/SMB_Gallons Saved per Unit</v>
      </c>
      <c r="B397" s="303" t="s">
        <v>644</v>
      </c>
      <c r="C397" s="304" t="s">
        <v>661</v>
      </c>
      <c r="D397" s="303" t="s">
        <v>662</v>
      </c>
      <c r="E397" s="314" t="s">
        <v>547</v>
      </c>
      <c r="F397" s="326"/>
      <c r="G397" s="315">
        <f>G375</f>
        <v>372.23009999999999</v>
      </c>
      <c r="H397" s="305"/>
      <c r="I397" s="305" t="s">
        <v>152</v>
      </c>
      <c r="J397" s="305" t="s">
        <v>130</v>
      </c>
      <c r="K397" s="305" t="s">
        <v>2161</v>
      </c>
    </row>
    <row r="398" spans="1:11" x14ac:dyDescent="0.25">
      <c r="A398" s="302" t="str">
        <f t="shared" si="6"/>
        <v>Steam Traps_Dry Cleaner/Industrial_MF/CI/SMB_Remaining Life</v>
      </c>
      <c r="B398" s="303" t="s">
        <v>644</v>
      </c>
      <c r="C398" s="304" t="s">
        <v>661</v>
      </c>
      <c r="D398" s="303" t="s">
        <v>662</v>
      </c>
      <c r="E398" s="314" t="s">
        <v>258</v>
      </c>
      <c r="F398" s="326"/>
      <c r="G398" s="315">
        <v>0</v>
      </c>
      <c r="H398" s="305"/>
      <c r="I398" s="305" t="s">
        <v>152</v>
      </c>
      <c r="J398" s="305" t="s">
        <v>130</v>
      </c>
      <c r="K398" s="305" t="s">
        <v>2161</v>
      </c>
    </row>
    <row r="399" spans="1:11" x14ac:dyDescent="0.25">
      <c r="A399" s="302" t="str">
        <f t="shared" si="6"/>
        <v>Steam Traps_Dry Cleaner/Industrial_MF/CI/SMB_Lifetime (years)</v>
      </c>
      <c r="B399" s="303" t="s">
        <v>644</v>
      </c>
      <c r="C399" s="304" t="s">
        <v>661</v>
      </c>
      <c r="D399" s="303" t="s">
        <v>662</v>
      </c>
      <c r="E399" s="314" t="s">
        <v>259</v>
      </c>
      <c r="F399" s="326" t="s">
        <v>548</v>
      </c>
      <c r="G399" s="326">
        <v>6</v>
      </c>
      <c r="H399" s="305" t="s">
        <v>659</v>
      </c>
      <c r="I399" s="305" t="s">
        <v>152</v>
      </c>
      <c r="J399" s="305" t="s">
        <v>130</v>
      </c>
      <c r="K399" s="305" t="s">
        <v>2161</v>
      </c>
    </row>
    <row r="400" spans="1:11" x14ac:dyDescent="0.25">
      <c r="A400" s="302" t="str">
        <f t="shared" si="6"/>
        <v>Steam Traps_Dry Cleaner/Industrial_MF/CI/SMB_Incremental Cost</v>
      </c>
      <c r="B400" s="303" t="s">
        <v>644</v>
      </c>
      <c r="C400" s="304" t="s">
        <v>661</v>
      </c>
      <c r="D400" s="303" t="s">
        <v>662</v>
      </c>
      <c r="E400" s="314" t="s">
        <v>260</v>
      </c>
      <c r="F400" s="327" t="s">
        <v>549</v>
      </c>
      <c r="G400" s="328">
        <v>77</v>
      </c>
      <c r="H400" s="305" t="s">
        <v>514</v>
      </c>
      <c r="I400" s="305" t="s">
        <v>152</v>
      </c>
      <c r="J400" s="305" t="s">
        <v>130</v>
      </c>
      <c r="K400" s="305" t="s">
        <v>2161</v>
      </c>
    </row>
    <row r="401" spans="1:11" s="324" customFormat="1" x14ac:dyDescent="0.25">
      <c r="A401" s="317" t="str">
        <f t="shared" si="6"/>
        <v>Steam Traps_Dry Cleaner/Industrial_MF/CI/SMB_</v>
      </c>
      <c r="B401" s="317" t="str">
        <f>B400</f>
        <v>Steam Traps</v>
      </c>
      <c r="C401" s="332" t="str">
        <f>C400</f>
        <v>Dry Cleaner/Industrial</v>
      </c>
      <c r="D401" s="317" t="s">
        <v>662</v>
      </c>
      <c r="E401" s="320"/>
      <c r="F401" s="320"/>
      <c r="G401" s="329"/>
      <c r="H401" s="320"/>
      <c r="I401" s="320"/>
      <c r="J401" s="320"/>
      <c r="K401" s="320"/>
    </row>
    <row r="402" spans="1:11" x14ac:dyDescent="0.25">
      <c r="A402" s="302" t="str">
        <f t="shared" si="6"/>
        <v>Direct Fired Heaters_0_MF/CI_Capacity</v>
      </c>
      <c r="B402" s="303" t="s">
        <v>666</v>
      </c>
      <c r="C402" s="304">
        <v>0</v>
      </c>
      <c r="D402" s="303" t="s">
        <v>587</v>
      </c>
      <c r="E402" s="305" t="s">
        <v>270</v>
      </c>
      <c r="F402" s="305" t="s">
        <v>667</v>
      </c>
      <c r="G402" s="307">
        <v>400</v>
      </c>
      <c r="H402" s="305"/>
      <c r="I402" s="305" t="s">
        <v>668</v>
      </c>
      <c r="J402" s="305"/>
      <c r="K402" s="305"/>
    </row>
    <row r="403" spans="1:11" x14ac:dyDescent="0.25">
      <c r="A403" s="302" t="str">
        <f t="shared" si="6"/>
        <v>Direct Fired Heaters_0_MF/CI_Therm Savings (Rooftop Unit)</v>
      </c>
      <c r="B403" s="303" t="s">
        <v>666</v>
      </c>
      <c r="C403" s="304">
        <v>0</v>
      </c>
      <c r="D403" s="303" t="s">
        <v>587</v>
      </c>
      <c r="E403" s="305" t="s">
        <v>669</v>
      </c>
      <c r="F403" s="305" t="s">
        <v>670</v>
      </c>
      <c r="G403" s="325">
        <v>1488</v>
      </c>
      <c r="H403" s="305" t="s">
        <v>671</v>
      </c>
      <c r="I403" s="305" t="s">
        <v>152</v>
      </c>
      <c r="J403" s="305" t="s">
        <v>672</v>
      </c>
      <c r="K403" s="305" t="s">
        <v>2000</v>
      </c>
    </row>
    <row r="404" spans="1:11" x14ac:dyDescent="0.25">
      <c r="A404" s="302" t="str">
        <f t="shared" si="6"/>
        <v>Direct Fired Heaters_0_MF/CI_kWh/HDD</v>
      </c>
      <c r="B404" s="303" t="s">
        <v>666</v>
      </c>
      <c r="C404" s="304">
        <v>0</v>
      </c>
      <c r="D404" s="303" t="s">
        <v>587</v>
      </c>
      <c r="E404" s="305" t="s">
        <v>674</v>
      </c>
      <c r="F404" s="305"/>
      <c r="G404" s="347">
        <v>-1.04</v>
      </c>
      <c r="H404" s="305"/>
      <c r="I404" s="305" t="s">
        <v>152</v>
      </c>
      <c r="J404" s="305" t="s">
        <v>672</v>
      </c>
      <c r="K404" s="305" t="s">
        <v>2000</v>
      </c>
    </row>
    <row r="405" spans="1:11" x14ac:dyDescent="0.25">
      <c r="A405" s="302" t="str">
        <f t="shared" si="6"/>
        <v>Direct Fired Heaters_0_MF/CI_HDD</v>
      </c>
      <c r="B405" s="303" t="s">
        <v>666</v>
      </c>
      <c r="C405" s="304">
        <v>0</v>
      </c>
      <c r="D405" s="303" t="s">
        <v>587</v>
      </c>
      <c r="E405" s="305" t="s">
        <v>487</v>
      </c>
      <c r="F405" s="305"/>
      <c r="G405" s="325">
        <v>4029</v>
      </c>
      <c r="H405" s="305" t="s">
        <v>675</v>
      </c>
      <c r="I405" s="305" t="s">
        <v>152</v>
      </c>
      <c r="J405" s="305" t="s">
        <v>672</v>
      </c>
      <c r="K405" s="305" t="s">
        <v>2000</v>
      </c>
    </row>
    <row r="406" spans="1:11" x14ac:dyDescent="0.25">
      <c r="A406" s="302" t="str">
        <f t="shared" si="6"/>
        <v>Direct Fired Heaters_0_MF/CI_kWh Saved per Unit</v>
      </c>
      <c r="B406" s="303" t="s">
        <v>666</v>
      </c>
      <c r="C406" s="304">
        <v>0</v>
      </c>
      <c r="D406" s="303" t="s">
        <v>587</v>
      </c>
      <c r="E406" s="314" t="s">
        <v>255</v>
      </c>
      <c r="F406" s="314" t="s">
        <v>676</v>
      </c>
      <c r="G406" s="315">
        <f>G404*G405/G402</f>
        <v>-10.4754</v>
      </c>
      <c r="H406" s="305"/>
      <c r="I406" s="305" t="s">
        <v>152</v>
      </c>
      <c r="J406" s="305" t="s">
        <v>672</v>
      </c>
      <c r="K406" s="305" t="s">
        <v>2000</v>
      </c>
    </row>
    <row r="407" spans="1:11" x14ac:dyDescent="0.25">
      <c r="A407" s="302" t="str">
        <f t="shared" si="6"/>
        <v>Direct Fired Heaters_0_MF/CI_kW Saved per Unit</v>
      </c>
      <c r="B407" s="303" t="s">
        <v>666</v>
      </c>
      <c r="C407" s="304">
        <v>0</v>
      </c>
      <c r="D407" s="303" t="s">
        <v>587</v>
      </c>
      <c r="E407" s="314" t="s">
        <v>580</v>
      </c>
      <c r="F407" s="314" t="s">
        <v>677</v>
      </c>
      <c r="G407" s="315">
        <v>0</v>
      </c>
      <c r="H407" s="305"/>
      <c r="I407" s="305" t="s">
        <v>152</v>
      </c>
      <c r="J407" s="305" t="s">
        <v>672</v>
      </c>
      <c r="K407" s="305" t="s">
        <v>2000</v>
      </c>
    </row>
    <row r="408" spans="1:11" x14ac:dyDescent="0.25">
      <c r="A408" s="302" t="str">
        <f t="shared" si="6"/>
        <v>Direct Fired Heaters_0_MF/CI_Therm Saved per Unit</v>
      </c>
      <c r="B408" s="303" t="s">
        <v>666</v>
      </c>
      <c r="C408" s="304">
        <v>0</v>
      </c>
      <c r="D408" s="303" t="s">
        <v>587</v>
      </c>
      <c r="E408" s="314" t="s">
        <v>326</v>
      </c>
      <c r="F408" s="314" t="s">
        <v>678</v>
      </c>
      <c r="G408" s="315">
        <f>G403/G402</f>
        <v>3.72</v>
      </c>
      <c r="H408" s="305"/>
      <c r="I408" s="305" t="s">
        <v>152</v>
      </c>
      <c r="J408" s="305" t="s">
        <v>672</v>
      </c>
      <c r="K408" s="305" t="s">
        <v>2000</v>
      </c>
    </row>
    <row r="409" spans="1:11" x14ac:dyDescent="0.25">
      <c r="A409" s="302" t="str">
        <f t="shared" si="6"/>
        <v>Direct Fired Heaters_0_MF/CI_Lifetime (years)</v>
      </c>
      <c r="B409" s="303" t="s">
        <v>666</v>
      </c>
      <c r="C409" s="304">
        <v>0</v>
      </c>
      <c r="D409" s="303" t="s">
        <v>587</v>
      </c>
      <c r="E409" s="314" t="s">
        <v>259</v>
      </c>
      <c r="F409" s="314" t="s">
        <v>548</v>
      </c>
      <c r="G409" s="315">
        <v>15</v>
      </c>
      <c r="H409" s="305"/>
      <c r="I409" s="305" t="s">
        <v>152</v>
      </c>
      <c r="J409" s="305" t="s">
        <v>672</v>
      </c>
      <c r="K409" s="305" t="s">
        <v>2000</v>
      </c>
    </row>
    <row r="410" spans="1:11" x14ac:dyDescent="0.25">
      <c r="A410" s="302" t="str">
        <f t="shared" si="6"/>
        <v>Direct Fired Heaters_0_MF/CI_Incremental Cost</v>
      </c>
      <c r="B410" s="303" t="s">
        <v>666</v>
      </c>
      <c r="C410" s="304">
        <v>0</v>
      </c>
      <c r="D410" s="303" t="s">
        <v>587</v>
      </c>
      <c r="E410" s="314" t="s">
        <v>260</v>
      </c>
      <c r="F410" s="314" t="s">
        <v>679</v>
      </c>
      <c r="G410" s="328">
        <f>7.43</f>
        <v>7.43</v>
      </c>
      <c r="H410" s="305"/>
      <c r="I410" s="305" t="s">
        <v>152</v>
      </c>
      <c r="J410" s="305" t="s">
        <v>672</v>
      </c>
      <c r="K410" s="305" t="s">
        <v>2000</v>
      </c>
    </row>
    <row r="411" spans="1:11" s="324" customFormat="1" x14ac:dyDescent="0.25">
      <c r="A411" s="317" t="str">
        <f t="shared" si="6"/>
        <v>Direct Fired Heaters_0_MF/CI_</v>
      </c>
      <c r="B411" s="317" t="str">
        <f>B410</f>
        <v>Direct Fired Heaters</v>
      </c>
      <c r="C411" s="317">
        <f>C410</f>
        <v>0</v>
      </c>
      <c r="D411" s="317" t="str">
        <f>D410</f>
        <v>MF/CI</v>
      </c>
      <c r="E411" s="320"/>
      <c r="F411" s="320"/>
      <c r="G411" s="329"/>
      <c r="H411" s="320"/>
      <c r="I411" s="320"/>
      <c r="J411" s="320"/>
      <c r="K411" s="320"/>
    </row>
    <row r="412" spans="1:11" x14ac:dyDescent="0.25">
      <c r="A412" s="302" t="str">
        <f t="shared" si="6"/>
        <v>Duct Sealing_0_MF_CFM50 Whole House Before</v>
      </c>
      <c r="B412" s="303" t="s">
        <v>680</v>
      </c>
      <c r="C412" s="304">
        <v>0</v>
      </c>
      <c r="D412" s="303" t="s">
        <v>553</v>
      </c>
      <c r="E412" s="305" t="s">
        <v>681</v>
      </c>
      <c r="F412" s="309"/>
      <c r="G412" s="307">
        <v>4800</v>
      </c>
      <c r="H412" s="305" t="s">
        <v>682</v>
      </c>
      <c r="I412" s="305" t="s">
        <v>614</v>
      </c>
      <c r="J412" s="305"/>
      <c r="K412" s="305"/>
    </row>
    <row r="413" spans="1:11" x14ac:dyDescent="0.25">
      <c r="A413" s="302" t="str">
        <f t="shared" si="6"/>
        <v>Duct Sealing_0_MF_CFM50 Envelope Only Before</v>
      </c>
      <c r="B413" s="303" t="s">
        <v>680</v>
      </c>
      <c r="C413" s="304">
        <v>0</v>
      </c>
      <c r="D413" s="303" t="s">
        <v>553</v>
      </c>
      <c r="E413" s="305" t="s">
        <v>683</v>
      </c>
      <c r="F413" s="309"/>
      <c r="G413" s="307">
        <v>4500</v>
      </c>
      <c r="H413" s="305" t="s">
        <v>682</v>
      </c>
      <c r="I413" s="305" t="s">
        <v>152</v>
      </c>
      <c r="J413" s="305" t="s">
        <v>111</v>
      </c>
      <c r="K413" s="305" t="s">
        <v>2047</v>
      </c>
    </row>
    <row r="414" spans="1:11" x14ac:dyDescent="0.25">
      <c r="A414" s="302" t="str">
        <f t="shared" si="6"/>
        <v>Duct Sealing_0_MF_CFM50 Whole House After</v>
      </c>
      <c r="B414" s="303" t="s">
        <v>680</v>
      </c>
      <c r="C414" s="304">
        <v>0</v>
      </c>
      <c r="D414" s="303" t="s">
        <v>553</v>
      </c>
      <c r="E414" s="305" t="s">
        <v>685</v>
      </c>
      <c r="F414" s="309"/>
      <c r="G414" s="307">
        <v>4600</v>
      </c>
      <c r="H414" s="305" t="s">
        <v>682</v>
      </c>
      <c r="I414" s="305" t="s">
        <v>152</v>
      </c>
      <c r="J414" s="305" t="s">
        <v>111</v>
      </c>
      <c r="K414" s="305" t="s">
        <v>2047</v>
      </c>
    </row>
    <row r="415" spans="1:11" x14ac:dyDescent="0.25">
      <c r="A415" s="302" t="str">
        <f t="shared" si="6"/>
        <v>Duct Sealing_0_MF_CFM50 Envelope Only After</v>
      </c>
      <c r="B415" s="303" t="s">
        <v>680</v>
      </c>
      <c r="C415" s="304">
        <v>0</v>
      </c>
      <c r="D415" s="303" t="s">
        <v>553</v>
      </c>
      <c r="E415" s="305" t="s">
        <v>686</v>
      </c>
      <c r="F415" s="309"/>
      <c r="G415" s="307">
        <v>4500</v>
      </c>
      <c r="H415" s="305" t="s">
        <v>682</v>
      </c>
      <c r="I415" s="305" t="s">
        <v>152</v>
      </c>
      <c r="J415" s="305" t="s">
        <v>111</v>
      </c>
      <c r="K415" s="305" t="s">
        <v>2047</v>
      </c>
    </row>
    <row r="416" spans="1:11" x14ac:dyDescent="0.25">
      <c r="A416" s="302" t="str">
        <f t="shared" si="6"/>
        <v>Duct Sealing_0_MF_SCF Before</v>
      </c>
      <c r="B416" s="303" t="s">
        <v>680</v>
      </c>
      <c r="C416" s="304">
        <v>0</v>
      </c>
      <c r="D416" s="303" t="s">
        <v>553</v>
      </c>
      <c r="E416" s="305" t="s">
        <v>687</v>
      </c>
      <c r="F416" s="309"/>
      <c r="G416" s="307">
        <v>1.29</v>
      </c>
      <c r="H416" s="305" t="s">
        <v>688</v>
      </c>
      <c r="I416" s="305" t="s">
        <v>152</v>
      </c>
      <c r="J416" s="305" t="s">
        <v>111</v>
      </c>
      <c r="K416" s="305" t="s">
        <v>2047</v>
      </c>
    </row>
    <row r="417" spans="1:11" x14ac:dyDescent="0.25">
      <c r="A417" s="302" t="str">
        <f t="shared" si="6"/>
        <v>Duct Sealing_0_MF_SCF After</v>
      </c>
      <c r="B417" s="303" t="s">
        <v>680</v>
      </c>
      <c r="C417" s="304">
        <v>0</v>
      </c>
      <c r="D417" s="303" t="s">
        <v>553</v>
      </c>
      <c r="E417" s="305" t="s">
        <v>689</v>
      </c>
      <c r="F417" s="309"/>
      <c r="G417" s="307">
        <v>1.39</v>
      </c>
      <c r="H417" s="305" t="s">
        <v>690</v>
      </c>
      <c r="I417" s="305" t="s">
        <v>152</v>
      </c>
      <c r="J417" s="305" t="s">
        <v>111</v>
      </c>
      <c r="K417" s="305" t="s">
        <v>2047</v>
      </c>
    </row>
    <row r="418" spans="1:11" x14ac:dyDescent="0.25">
      <c r="A418" s="302" t="str">
        <f t="shared" si="6"/>
        <v>Duct Sealing_0_MF_CFM50 to CFM25 Conversion</v>
      </c>
      <c r="B418" s="303" t="s">
        <v>680</v>
      </c>
      <c r="C418" s="304">
        <v>0</v>
      </c>
      <c r="D418" s="303" t="s">
        <v>553</v>
      </c>
      <c r="E418" s="305" t="s">
        <v>691</v>
      </c>
      <c r="F418" s="309"/>
      <c r="G418" s="307">
        <v>0.64</v>
      </c>
      <c r="H418" s="305"/>
      <c r="I418" s="305" t="s">
        <v>152</v>
      </c>
      <c r="J418" s="305" t="s">
        <v>111</v>
      </c>
      <c r="K418" s="305" t="s">
        <v>2047</v>
      </c>
    </row>
    <row r="419" spans="1:11" x14ac:dyDescent="0.25">
      <c r="A419" s="302" t="str">
        <f t="shared" si="6"/>
        <v>Duct Sealing_0_MF_Supply Loss Factor</v>
      </c>
      <c r="B419" s="303" t="s">
        <v>680</v>
      </c>
      <c r="C419" s="304">
        <v>0</v>
      </c>
      <c r="D419" s="303" t="s">
        <v>553</v>
      </c>
      <c r="E419" s="305" t="s">
        <v>692</v>
      </c>
      <c r="F419" s="309"/>
      <c r="G419" s="307">
        <v>0.5</v>
      </c>
      <c r="H419" s="305" t="s">
        <v>693</v>
      </c>
      <c r="I419" s="305" t="s">
        <v>152</v>
      </c>
      <c r="J419" s="305" t="s">
        <v>111</v>
      </c>
      <c r="K419" s="305" t="s">
        <v>2047</v>
      </c>
    </row>
    <row r="420" spans="1:11" x14ac:dyDescent="0.25">
      <c r="A420" s="302" t="str">
        <f t="shared" si="6"/>
        <v>Duct Sealing_0_MF_Return Loss Factor</v>
      </c>
      <c r="B420" s="303" t="s">
        <v>680</v>
      </c>
      <c r="C420" s="304">
        <v>0</v>
      </c>
      <c r="D420" s="303" t="s">
        <v>553</v>
      </c>
      <c r="E420" s="305" t="s">
        <v>694</v>
      </c>
      <c r="F420" s="309"/>
      <c r="G420" s="307">
        <v>0.25</v>
      </c>
      <c r="H420" s="305" t="s">
        <v>693</v>
      </c>
      <c r="I420" s="305" t="s">
        <v>152</v>
      </c>
      <c r="J420" s="305" t="s">
        <v>111</v>
      </c>
      <c r="K420" s="305" t="s">
        <v>2047</v>
      </c>
    </row>
    <row r="421" spans="1:11" x14ac:dyDescent="0.25">
      <c r="A421" s="302" t="str">
        <f t="shared" si="6"/>
        <v>Duct Sealing_0_MF_Delta CFM25 Duct Leakage Reduction</v>
      </c>
      <c r="B421" s="303" t="s">
        <v>680</v>
      </c>
      <c r="C421" s="304">
        <v>0</v>
      </c>
      <c r="D421" s="303" t="s">
        <v>553</v>
      </c>
      <c r="E421" s="305" t="s">
        <v>695</v>
      </c>
      <c r="F421" s="309"/>
      <c r="G421" s="307">
        <v>1</v>
      </c>
      <c r="H421" s="305" t="s">
        <v>696</v>
      </c>
      <c r="I421" s="305" t="s">
        <v>633</v>
      </c>
      <c r="J421" s="305" t="s">
        <v>697</v>
      </c>
      <c r="K421" s="305"/>
    </row>
    <row r="422" spans="1:11" x14ac:dyDescent="0.25">
      <c r="A422" s="302" t="str">
        <f t="shared" si="6"/>
        <v>Duct Sealing_0_MF_Cooling Capacity</v>
      </c>
      <c r="B422" s="303" t="s">
        <v>680</v>
      </c>
      <c r="C422" s="304">
        <v>0</v>
      </c>
      <c r="D422" s="303" t="s">
        <v>553</v>
      </c>
      <c r="E422" s="305" t="s">
        <v>251</v>
      </c>
      <c r="F422" s="309"/>
      <c r="G422" s="307">
        <v>76000</v>
      </c>
      <c r="H422" s="305" t="s">
        <v>613</v>
      </c>
      <c r="I422" s="305" t="s">
        <v>614</v>
      </c>
      <c r="J422" s="305"/>
      <c r="K422" s="305"/>
    </row>
    <row r="423" spans="1:11" x14ac:dyDescent="0.25">
      <c r="A423" s="302" t="str">
        <f t="shared" si="6"/>
        <v>Duct Sealing_0_MF_Heating Capacity</v>
      </c>
      <c r="B423" s="303" t="s">
        <v>680</v>
      </c>
      <c r="C423" s="304">
        <v>0</v>
      </c>
      <c r="D423" s="303" t="s">
        <v>553</v>
      </c>
      <c r="E423" s="305" t="s">
        <v>252</v>
      </c>
      <c r="F423" s="309"/>
      <c r="G423" s="307">
        <v>76000</v>
      </c>
      <c r="H423" s="305" t="s">
        <v>613</v>
      </c>
      <c r="I423" s="305" t="s">
        <v>614</v>
      </c>
      <c r="J423" s="305"/>
      <c r="K423" s="305"/>
    </row>
    <row r="424" spans="1:11" x14ac:dyDescent="0.25">
      <c r="A424" s="302" t="str">
        <f t="shared" si="6"/>
        <v>Duct Sealing_0_MF_FLH Cooling</v>
      </c>
      <c r="B424" s="303" t="s">
        <v>680</v>
      </c>
      <c r="C424" s="304">
        <v>0</v>
      </c>
      <c r="D424" s="303" t="s">
        <v>553</v>
      </c>
      <c r="E424" s="305" t="s">
        <v>249</v>
      </c>
      <c r="F424" s="305" t="s">
        <v>283</v>
      </c>
      <c r="G424" s="348">
        <v>506</v>
      </c>
      <c r="H424" s="305" t="s">
        <v>698</v>
      </c>
      <c r="I424" s="305" t="s">
        <v>152</v>
      </c>
      <c r="J424" s="305" t="s">
        <v>111</v>
      </c>
      <c r="K424" s="305" t="s">
        <v>2047</v>
      </c>
    </row>
    <row r="425" spans="1:11" x14ac:dyDescent="0.25">
      <c r="A425" s="302" t="str">
        <f t="shared" si="6"/>
        <v>Duct Sealing_0_MF_FLH Heating</v>
      </c>
      <c r="B425" s="303" t="s">
        <v>680</v>
      </c>
      <c r="C425" s="304">
        <v>0</v>
      </c>
      <c r="D425" s="303" t="s">
        <v>553</v>
      </c>
      <c r="E425" s="311" t="s">
        <v>250</v>
      </c>
      <c r="F425" s="311" t="s">
        <v>283</v>
      </c>
      <c r="G425" s="349">
        <v>1726</v>
      </c>
      <c r="H425" s="311" t="s">
        <v>699</v>
      </c>
      <c r="I425" s="305" t="s">
        <v>152</v>
      </c>
      <c r="J425" s="305" t="s">
        <v>111</v>
      </c>
      <c r="K425" s="305" t="s">
        <v>2047</v>
      </c>
    </row>
    <row r="426" spans="1:11" x14ac:dyDescent="0.25">
      <c r="A426" s="302" t="str">
        <f t="shared" si="6"/>
        <v>Duct Sealing_0_MF_CFM/Ton</v>
      </c>
      <c r="B426" s="303" t="s">
        <v>680</v>
      </c>
      <c r="C426" s="304">
        <v>0</v>
      </c>
      <c r="D426" s="303" t="s">
        <v>553</v>
      </c>
      <c r="E426" s="305" t="s">
        <v>700</v>
      </c>
      <c r="F426" s="309"/>
      <c r="G426" s="307">
        <v>400</v>
      </c>
      <c r="H426" s="305"/>
      <c r="I426" s="305" t="s">
        <v>152</v>
      </c>
      <c r="J426" s="305" t="s">
        <v>111</v>
      </c>
      <c r="K426" s="305" t="s">
        <v>2047</v>
      </c>
    </row>
    <row r="427" spans="1:11" x14ac:dyDescent="0.25">
      <c r="A427" s="302" t="str">
        <f t="shared" si="6"/>
        <v>Duct Sealing_0_MF_CFM/Btu/hr</v>
      </c>
      <c r="B427" s="303" t="s">
        <v>680</v>
      </c>
      <c r="C427" s="304">
        <v>0</v>
      </c>
      <c r="D427" s="303" t="s">
        <v>553</v>
      </c>
      <c r="E427" s="305" t="s">
        <v>701</v>
      </c>
      <c r="F427" s="309"/>
      <c r="G427" s="350">
        <v>1.23E-2</v>
      </c>
      <c r="H427" s="305"/>
      <c r="I427" s="305" t="s">
        <v>152</v>
      </c>
      <c r="J427" s="305" t="s">
        <v>111</v>
      </c>
      <c r="K427" s="305" t="s">
        <v>2047</v>
      </c>
    </row>
    <row r="428" spans="1:11" x14ac:dyDescent="0.25">
      <c r="A428" s="302" t="str">
        <f t="shared" si="6"/>
        <v>Duct Sealing_0_MF_Thermal Regain Factor</v>
      </c>
      <c r="B428" s="303" t="s">
        <v>680</v>
      </c>
      <c r="C428" s="304">
        <v>0</v>
      </c>
      <c r="D428" s="303" t="s">
        <v>553</v>
      </c>
      <c r="E428" s="305" t="s">
        <v>702</v>
      </c>
      <c r="F428" s="309"/>
      <c r="G428" s="307">
        <v>0.4</v>
      </c>
      <c r="H428" s="305" t="s">
        <v>703</v>
      </c>
      <c r="I428" s="305" t="s">
        <v>152</v>
      </c>
      <c r="J428" s="305" t="s">
        <v>111</v>
      </c>
      <c r="K428" s="305" t="s">
        <v>2047</v>
      </c>
    </row>
    <row r="429" spans="1:11" x14ac:dyDescent="0.25">
      <c r="A429" s="302" t="str">
        <f t="shared" si="6"/>
        <v>Duct Sealing_0_MF_% of Homes with Central Cooling</v>
      </c>
      <c r="B429" s="303" t="s">
        <v>680</v>
      </c>
      <c r="C429" s="304">
        <v>0</v>
      </c>
      <c r="D429" s="303" t="s">
        <v>553</v>
      </c>
      <c r="E429" s="305" t="s">
        <v>704</v>
      </c>
      <c r="F429" s="309"/>
      <c r="G429" s="307">
        <v>1</v>
      </c>
      <c r="H429" s="305" t="s">
        <v>705</v>
      </c>
      <c r="I429" s="305" t="s">
        <v>152</v>
      </c>
      <c r="J429" s="305" t="s">
        <v>111</v>
      </c>
      <c r="K429" s="305" t="s">
        <v>2047</v>
      </c>
    </row>
    <row r="430" spans="1:11" x14ac:dyDescent="0.25">
      <c r="A430" s="302" t="str">
        <f t="shared" si="6"/>
        <v>Duct Sealing_0_MF_% of Homes with Electric Central Heating</v>
      </c>
      <c r="B430" s="303" t="s">
        <v>680</v>
      </c>
      <c r="C430" s="304">
        <v>0</v>
      </c>
      <c r="D430" s="303" t="s">
        <v>553</v>
      </c>
      <c r="E430" s="305" t="s">
        <v>706</v>
      </c>
      <c r="F430" s="309"/>
      <c r="G430" s="307">
        <v>1</v>
      </c>
      <c r="H430" s="305" t="s">
        <v>705</v>
      </c>
      <c r="I430" s="305" t="s">
        <v>152</v>
      </c>
      <c r="J430" s="305" t="s">
        <v>111</v>
      </c>
      <c r="K430" s="305" t="s">
        <v>2047</v>
      </c>
    </row>
    <row r="431" spans="1:11" x14ac:dyDescent="0.25">
      <c r="A431" s="302" t="str">
        <f t="shared" si="6"/>
        <v>Duct Sealing_0_MF_% of Homes with Gas Central Heating</v>
      </c>
      <c r="B431" s="303" t="s">
        <v>680</v>
      </c>
      <c r="C431" s="304">
        <v>0</v>
      </c>
      <c r="D431" s="303" t="s">
        <v>553</v>
      </c>
      <c r="E431" s="305" t="s">
        <v>707</v>
      </c>
      <c r="F431" s="309"/>
      <c r="G431" s="307">
        <v>1</v>
      </c>
      <c r="H431" s="305" t="s">
        <v>705</v>
      </c>
      <c r="I431" s="305" t="s">
        <v>152</v>
      </c>
      <c r="J431" s="305" t="s">
        <v>111</v>
      </c>
      <c r="K431" s="305" t="s">
        <v>2047</v>
      </c>
    </row>
    <row r="432" spans="1:11" x14ac:dyDescent="0.25">
      <c r="A432" s="302" t="str">
        <f t="shared" si="6"/>
        <v>Duct Sealing_0_MF_SEER</v>
      </c>
      <c r="B432" s="303" t="s">
        <v>680</v>
      </c>
      <c r="C432" s="304">
        <v>0</v>
      </c>
      <c r="D432" s="303" t="s">
        <v>553</v>
      </c>
      <c r="E432" s="305" t="s">
        <v>271</v>
      </c>
      <c r="F432" s="309"/>
      <c r="G432" s="307">
        <v>13</v>
      </c>
      <c r="H432" s="305" t="s">
        <v>708</v>
      </c>
      <c r="I432" s="305" t="s">
        <v>152</v>
      </c>
      <c r="J432" s="305" t="s">
        <v>111</v>
      </c>
      <c r="K432" s="305" t="s">
        <v>2047</v>
      </c>
    </row>
    <row r="433" spans="1:11" x14ac:dyDescent="0.25">
      <c r="A433" s="302" t="str">
        <f t="shared" si="6"/>
        <v>Duct Sealing_0_MF_COP</v>
      </c>
      <c r="B433" s="303" t="s">
        <v>680</v>
      </c>
      <c r="C433" s="304">
        <v>0</v>
      </c>
      <c r="D433" s="303" t="s">
        <v>553</v>
      </c>
      <c r="E433" s="305" t="s">
        <v>709</v>
      </c>
      <c r="F433" s="309"/>
      <c r="G433" s="307">
        <v>2.5</v>
      </c>
      <c r="H433" s="305" t="s">
        <v>708</v>
      </c>
      <c r="I433" s="305" t="s">
        <v>152</v>
      </c>
      <c r="J433" s="305" t="s">
        <v>111</v>
      </c>
      <c r="K433" s="305" t="s">
        <v>2047</v>
      </c>
    </row>
    <row r="434" spans="1:11" x14ac:dyDescent="0.25">
      <c r="A434" s="302" t="str">
        <f t="shared" si="6"/>
        <v>Duct Sealing_0_MF_Heating Equipment Efficiency- MLA</v>
      </c>
      <c r="B434" s="303" t="s">
        <v>680</v>
      </c>
      <c r="C434" s="304">
        <v>0</v>
      </c>
      <c r="D434" s="303" t="s">
        <v>553</v>
      </c>
      <c r="E434" s="311" t="s">
        <v>710</v>
      </c>
      <c r="F434" s="334" t="s">
        <v>539</v>
      </c>
      <c r="G434" s="334">
        <v>0.8</v>
      </c>
      <c r="H434" s="311"/>
      <c r="I434" s="305" t="s">
        <v>152</v>
      </c>
      <c r="J434" s="305" t="s">
        <v>111</v>
      </c>
      <c r="K434" s="305" t="s">
        <v>2047</v>
      </c>
    </row>
    <row r="435" spans="1:11" x14ac:dyDescent="0.25">
      <c r="A435" s="302" t="str">
        <f t="shared" si="6"/>
        <v>Duct Sealing_0_MF_Heating Equipment Efficiency</v>
      </c>
      <c r="B435" s="303" t="s">
        <v>680</v>
      </c>
      <c r="C435" s="304">
        <v>0</v>
      </c>
      <c r="D435" s="303" t="s">
        <v>553</v>
      </c>
      <c r="E435" s="305" t="s">
        <v>712</v>
      </c>
      <c r="F435" s="309"/>
      <c r="G435" s="307">
        <v>0.83</v>
      </c>
      <c r="H435" s="305" t="s">
        <v>711</v>
      </c>
      <c r="I435" s="305" t="s">
        <v>152</v>
      </c>
      <c r="J435" s="305" t="s">
        <v>111</v>
      </c>
      <c r="K435" s="305" t="s">
        <v>2047</v>
      </c>
    </row>
    <row r="436" spans="1:11" x14ac:dyDescent="0.25">
      <c r="A436" s="302" t="str">
        <f t="shared" si="6"/>
        <v>Duct Sealing_0_MF_Pre Duct Sealing Heating Equipment Efficiency</v>
      </c>
      <c r="B436" s="303" t="s">
        <v>680</v>
      </c>
      <c r="C436" s="304">
        <v>0</v>
      </c>
      <c r="D436" s="303" t="s">
        <v>553</v>
      </c>
      <c r="E436" s="305" t="s">
        <v>713</v>
      </c>
      <c r="F436" s="309"/>
      <c r="G436" s="307">
        <v>0.7</v>
      </c>
      <c r="H436" s="305" t="s">
        <v>711</v>
      </c>
      <c r="I436" s="305" t="s">
        <v>152</v>
      </c>
      <c r="J436" s="305" t="s">
        <v>111</v>
      </c>
      <c r="K436" s="305" t="s">
        <v>2047</v>
      </c>
    </row>
    <row r="437" spans="1:11" x14ac:dyDescent="0.25">
      <c r="A437" s="302" t="str">
        <f t="shared" si="6"/>
        <v>Duct Sealing_0_MF_Cooling kWh Savings using Method 2:</v>
      </c>
      <c r="B437" s="303" t="s">
        <v>680</v>
      </c>
      <c r="C437" s="304">
        <v>0</v>
      </c>
      <c r="D437" s="303" t="s">
        <v>553</v>
      </c>
      <c r="E437" s="311" t="s">
        <v>722</v>
      </c>
      <c r="F437" s="309" t="s">
        <v>565</v>
      </c>
      <c r="G437" s="307">
        <f>((G421/(G422/12000*G426))*G424*G422*G428*G429)/1000/G432</f>
        <v>0.46707692307692317</v>
      </c>
      <c r="H437" s="305"/>
      <c r="I437" s="305" t="s">
        <v>152</v>
      </c>
      <c r="J437" s="305" t="s">
        <v>111</v>
      </c>
      <c r="K437" s="305" t="s">
        <v>2047</v>
      </c>
    </row>
    <row r="438" spans="1:11" x14ac:dyDescent="0.25">
      <c r="A438" s="302" t="str">
        <f t="shared" si="6"/>
        <v>Duct Sealing_0_MF_Heating kWh Savings using Method 2:</v>
      </c>
      <c r="B438" s="303" t="s">
        <v>680</v>
      </c>
      <c r="C438" s="304">
        <v>0</v>
      </c>
      <c r="D438" s="303" t="s">
        <v>553</v>
      </c>
      <c r="E438" s="311" t="s">
        <v>723</v>
      </c>
      <c r="F438" s="309" t="s">
        <v>565</v>
      </c>
      <c r="G438" s="307">
        <f>((G421/(G423/12000*G426))*G425*G423*G428*G430)/3412/G433</f>
        <v>2.4281359906213367</v>
      </c>
      <c r="H438" s="305"/>
      <c r="I438" s="305" t="s">
        <v>152</v>
      </c>
      <c r="J438" s="305" t="s">
        <v>111</v>
      </c>
      <c r="K438" s="305" t="s">
        <v>2047</v>
      </c>
    </row>
    <row r="439" spans="1:11" x14ac:dyDescent="0.25">
      <c r="A439" s="302" t="str">
        <f t="shared" si="6"/>
        <v>Duct Sealing_0_MF_Heating Therms Savings using Method 2:</v>
      </c>
      <c r="B439" s="303" t="s">
        <v>680</v>
      </c>
      <c r="C439" s="304">
        <v>0</v>
      </c>
      <c r="D439" s="303" t="s">
        <v>553</v>
      </c>
      <c r="E439" s="311" t="s">
        <v>2625</v>
      </c>
      <c r="F439" s="309" t="s">
        <v>564</v>
      </c>
      <c r="G439" s="307">
        <f>((G421/(G423*G427))*G425*G423*G428*G431*(G435/(G435*G440))/100000)</f>
        <v>0.66035389765662356</v>
      </c>
      <c r="H439" s="305"/>
      <c r="I439" s="305" t="s">
        <v>152</v>
      </c>
      <c r="J439" s="305" t="s">
        <v>111</v>
      </c>
      <c r="K439" s="305" t="s">
        <v>2047</v>
      </c>
    </row>
    <row r="440" spans="1:11" x14ac:dyDescent="0.25">
      <c r="A440" s="302" t="str">
        <f t="shared" si="6"/>
        <v>Duct Sealing_0_MF_Duct Efficiency Before</v>
      </c>
      <c r="B440" s="303" t="s">
        <v>680</v>
      </c>
      <c r="C440" s="304">
        <v>0</v>
      </c>
      <c r="D440" s="303" t="s">
        <v>553</v>
      </c>
      <c r="E440" s="305" t="s">
        <v>714</v>
      </c>
      <c r="F440" s="309"/>
      <c r="G440" s="307">
        <v>0.85</v>
      </c>
      <c r="H440" s="305" t="s">
        <v>715</v>
      </c>
      <c r="I440" s="305" t="s">
        <v>152</v>
      </c>
      <c r="J440" s="305" t="s">
        <v>111</v>
      </c>
      <c r="K440" s="305" t="s">
        <v>2047</v>
      </c>
    </row>
    <row r="441" spans="1:11" x14ac:dyDescent="0.25">
      <c r="A441" s="302" t="str">
        <f t="shared" si="6"/>
        <v>Duct Sealing_0_MF_Duct Efficiency After</v>
      </c>
      <c r="B441" s="303" t="s">
        <v>680</v>
      </c>
      <c r="C441" s="304">
        <v>0</v>
      </c>
      <c r="D441" s="303" t="s">
        <v>553</v>
      </c>
      <c r="E441" s="305" t="s">
        <v>716</v>
      </c>
      <c r="F441" s="309"/>
      <c r="G441" s="307">
        <v>0.92</v>
      </c>
      <c r="H441" s="305" t="s">
        <v>715</v>
      </c>
      <c r="I441" s="305" t="s">
        <v>152</v>
      </c>
      <c r="J441" s="305" t="s">
        <v>111</v>
      </c>
      <c r="K441" s="305" t="s">
        <v>2047</v>
      </c>
    </row>
    <row r="442" spans="1:11" x14ac:dyDescent="0.25">
      <c r="A442" s="302" t="str">
        <f t="shared" si="6"/>
        <v>Duct Sealing_0_MF_Cooling Savings using Method 3:</v>
      </c>
      <c r="B442" s="303" t="s">
        <v>680</v>
      </c>
      <c r="C442" s="304">
        <v>0</v>
      </c>
      <c r="D442" s="303" t="s">
        <v>553</v>
      </c>
      <c r="E442" s="311" t="s">
        <v>2626</v>
      </c>
      <c r="F442" s="309"/>
      <c r="G442" s="307">
        <f>(((G441-G440)/G441)*G424*G422*G428*G429)/1000/G432</f>
        <v>90.030769230769309</v>
      </c>
      <c r="H442" s="305"/>
      <c r="I442" s="305" t="s">
        <v>152</v>
      </c>
      <c r="J442" s="305" t="s">
        <v>111</v>
      </c>
      <c r="K442" s="305" t="s">
        <v>2047</v>
      </c>
    </row>
    <row r="443" spans="1:11" x14ac:dyDescent="0.25">
      <c r="A443" s="302" t="str">
        <f t="shared" si="6"/>
        <v>Duct Sealing_0_MF_Heating Savings using Method 3:</v>
      </c>
      <c r="B443" s="303" t="s">
        <v>680</v>
      </c>
      <c r="C443" s="304">
        <v>0</v>
      </c>
      <c r="D443" s="303" t="s">
        <v>553</v>
      </c>
      <c r="E443" s="311" t="s">
        <v>2627</v>
      </c>
      <c r="F443" s="309"/>
      <c r="G443" s="307">
        <f>((G441-G440)/G441)*G425*G423*G428*G430/3412/G433</f>
        <v>468.0320097864319</v>
      </c>
      <c r="H443" s="305"/>
      <c r="I443" s="305" t="s">
        <v>152</v>
      </c>
      <c r="J443" s="305" t="s">
        <v>111</v>
      </c>
      <c r="K443" s="305" t="s">
        <v>2047</v>
      </c>
    </row>
    <row r="444" spans="1:11" x14ac:dyDescent="0.25">
      <c r="A444" s="302" t="str">
        <f t="shared" si="6"/>
        <v>Duct Sealing_0_MF_Heating Therm Savings using Method 3:</v>
      </c>
      <c r="B444" s="303" t="s">
        <v>680</v>
      </c>
      <c r="C444" s="304">
        <v>0</v>
      </c>
      <c r="D444" s="303" t="s">
        <v>553</v>
      </c>
      <c r="E444" s="311" t="s">
        <v>2628</v>
      </c>
      <c r="F444" s="305" t="s">
        <v>717</v>
      </c>
      <c r="G444" s="307">
        <f>((G441-G440)/G441)*G425*G423*G428*G431*(G435/(G435*G440))/100000</f>
        <v>46.968388746803107</v>
      </c>
      <c r="H444" s="305"/>
      <c r="I444" s="305" t="s">
        <v>152</v>
      </c>
      <c r="J444" s="305" t="s">
        <v>111</v>
      </c>
      <c r="K444" s="305" t="s">
        <v>2047</v>
      </c>
    </row>
    <row r="445" spans="1:11" x14ac:dyDescent="0.25">
      <c r="A445" s="302" t="str">
        <f t="shared" si="6"/>
        <v>Duct Sealing_0_MF_CF</v>
      </c>
      <c r="B445" s="303" t="s">
        <v>680</v>
      </c>
      <c r="C445" s="304">
        <v>0</v>
      </c>
      <c r="D445" s="303" t="s">
        <v>553</v>
      </c>
      <c r="E445" s="305" t="s">
        <v>253</v>
      </c>
      <c r="F445" s="309"/>
      <c r="G445" s="307">
        <v>0.68</v>
      </c>
      <c r="H445" s="305" t="s">
        <v>718</v>
      </c>
      <c r="I445" s="305" t="s">
        <v>152</v>
      </c>
      <c r="J445" s="305" t="s">
        <v>111</v>
      </c>
      <c r="K445" s="305" t="s">
        <v>2047</v>
      </c>
    </row>
    <row r="446" spans="1:11" x14ac:dyDescent="0.25">
      <c r="A446" s="302" t="str">
        <f t="shared" ref="A446:A447" si="7">B446&amp;"_"&amp;C446&amp;"_"&amp;D446&amp;"_"&amp;E446</f>
        <v>Duct Sealing_0_MF_DE_after</v>
      </c>
      <c r="B446" s="303" t="s">
        <v>680</v>
      </c>
      <c r="C446" s="304">
        <v>0</v>
      </c>
      <c r="D446" s="303" t="s">
        <v>553</v>
      </c>
      <c r="E446" s="311" t="s">
        <v>2581</v>
      </c>
      <c r="F446" s="334"/>
      <c r="G446" s="334">
        <f>1-(G447/G414)</f>
        <v>0.97413043478260875</v>
      </c>
      <c r="H446" s="311"/>
      <c r="I446" s="305" t="s">
        <v>152</v>
      </c>
      <c r="J446" s="305" t="s">
        <v>111</v>
      </c>
      <c r="K446" s="305" t="s">
        <v>2047</v>
      </c>
    </row>
    <row r="447" spans="1:11" x14ac:dyDescent="0.25">
      <c r="A447" s="302" t="str">
        <f t="shared" si="7"/>
        <v>Duct Sealing_0_MF_CFM50_DL After</v>
      </c>
      <c r="B447" s="303" t="s">
        <v>680</v>
      </c>
      <c r="C447" s="304">
        <v>0</v>
      </c>
      <c r="D447" s="303" t="s">
        <v>553</v>
      </c>
      <c r="E447" s="311" t="s">
        <v>2582</v>
      </c>
      <c r="F447" s="334"/>
      <c r="G447" s="334">
        <v>119</v>
      </c>
      <c r="H447" s="311" t="s">
        <v>2583</v>
      </c>
      <c r="I447" s="305" t="s">
        <v>152</v>
      </c>
      <c r="J447" s="305" t="s">
        <v>111</v>
      </c>
      <c r="K447" s="305" t="s">
        <v>2047</v>
      </c>
    </row>
    <row r="448" spans="1:11" x14ac:dyDescent="0.25">
      <c r="A448" s="302" t="str">
        <f t="shared" si="6"/>
        <v>Duct Sealing_0_MF_kWh Saved per Unit</v>
      </c>
      <c r="B448" s="303" t="s">
        <v>680</v>
      </c>
      <c r="C448" s="304">
        <v>0</v>
      </c>
      <c r="D448" s="303" t="s">
        <v>553</v>
      </c>
      <c r="E448" s="314" t="s">
        <v>255</v>
      </c>
      <c r="F448" s="326"/>
      <c r="G448" s="326">
        <f>G437+G438</f>
        <v>2.8952129136982601</v>
      </c>
      <c r="H448" s="305"/>
      <c r="I448" s="305" t="s">
        <v>152</v>
      </c>
      <c r="J448" s="305" t="s">
        <v>111</v>
      </c>
      <c r="K448" s="305" t="s">
        <v>2047</v>
      </c>
    </row>
    <row r="449" spans="1:11" x14ac:dyDescent="0.25">
      <c r="A449" s="302" t="str">
        <f t="shared" si="6"/>
        <v>Duct Sealing_0_MF_kW Saved per Unit</v>
      </c>
      <c r="B449" s="303" t="s">
        <v>680</v>
      </c>
      <c r="C449" s="304">
        <v>0</v>
      </c>
      <c r="D449" s="303" t="s">
        <v>553</v>
      </c>
      <c r="E449" s="314" t="s">
        <v>580</v>
      </c>
      <c r="F449" s="326" t="s">
        <v>571</v>
      </c>
      <c r="G449" s="326">
        <f>G437/G424*G445</f>
        <v>6.2769230769230784E-4</v>
      </c>
      <c r="H449" s="305"/>
      <c r="I449" s="305" t="s">
        <v>152</v>
      </c>
      <c r="J449" s="305" t="s">
        <v>111</v>
      </c>
      <c r="K449" s="305" t="s">
        <v>2047</v>
      </c>
    </row>
    <row r="450" spans="1:11" x14ac:dyDescent="0.25">
      <c r="A450" s="302" t="str">
        <f t="shared" si="6"/>
        <v>Duct Sealing_0_MF_Therm Saved per Unit</v>
      </c>
      <c r="B450" s="303" t="s">
        <v>680</v>
      </c>
      <c r="C450" s="304">
        <v>0</v>
      </c>
      <c r="D450" s="303" t="s">
        <v>553</v>
      </c>
      <c r="E450" s="314" t="s">
        <v>326</v>
      </c>
      <c r="F450" s="326"/>
      <c r="G450" s="344">
        <f>G439</f>
        <v>0.66035389765662356</v>
      </c>
      <c r="H450" s="305" t="s">
        <v>2584</v>
      </c>
      <c r="I450" s="305" t="s">
        <v>152</v>
      </c>
      <c r="J450" s="305" t="s">
        <v>111</v>
      </c>
      <c r="K450" s="305" t="s">
        <v>2047</v>
      </c>
    </row>
    <row r="451" spans="1:11" x14ac:dyDescent="0.25">
      <c r="A451" s="302" t="str">
        <f t="shared" si="6"/>
        <v>Duct Sealing_0_MF_Therm Saved per Unit- MLA</v>
      </c>
      <c r="B451" s="303" t="s">
        <v>680</v>
      </c>
      <c r="C451" s="304">
        <v>0</v>
      </c>
      <c r="D451" s="303" t="s">
        <v>553</v>
      </c>
      <c r="E451" s="311" t="s">
        <v>626</v>
      </c>
      <c r="F451" s="334"/>
      <c r="G451" s="310">
        <f>(G421/(G423*G427))*G425*G423*G428*G431*(G435/(G434*G446))/100000</f>
        <v>0.59781480251758545</v>
      </c>
      <c r="H451" s="311" t="s">
        <v>2584</v>
      </c>
      <c r="I451" s="305" t="s">
        <v>152</v>
      </c>
      <c r="J451" s="305" t="s">
        <v>111</v>
      </c>
      <c r="K451" s="305" t="s">
        <v>2047</v>
      </c>
    </row>
    <row r="452" spans="1:11" x14ac:dyDescent="0.25">
      <c r="A452" s="302" t="str">
        <f t="shared" si="6"/>
        <v>Duct Sealing_0_MF_Lifetime (years)</v>
      </c>
      <c r="B452" s="303" t="s">
        <v>680</v>
      </c>
      <c r="C452" s="304">
        <v>0</v>
      </c>
      <c r="D452" s="303" t="s">
        <v>553</v>
      </c>
      <c r="E452" s="314" t="s">
        <v>259</v>
      </c>
      <c r="F452" s="326"/>
      <c r="G452" s="315">
        <v>20</v>
      </c>
      <c r="H452" s="305"/>
      <c r="I452" s="305" t="s">
        <v>152</v>
      </c>
      <c r="J452" s="305" t="s">
        <v>111</v>
      </c>
      <c r="K452" s="305" t="s">
        <v>2047</v>
      </c>
    </row>
    <row r="453" spans="1:11" x14ac:dyDescent="0.25">
      <c r="A453" s="302" t="str">
        <f t="shared" si="6"/>
        <v>Duct Sealing_0_MF_Lifetime (years) - Remaining Years</v>
      </c>
      <c r="B453" s="303" t="s">
        <v>680</v>
      </c>
      <c r="C453" s="304">
        <v>0</v>
      </c>
      <c r="D453" s="303" t="s">
        <v>553</v>
      </c>
      <c r="E453" s="314" t="s">
        <v>628</v>
      </c>
      <c r="F453" s="326" t="s">
        <v>548</v>
      </c>
      <c r="G453" s="315">
        <v>10</v>
      </c>
      <c r="H453" s="305" t="s">
        <v>719</v>
      </c>
      <c r="I453" s="305" t="s">
        <v>152</v>
      </c>
      <c r="J453" s="305" t="s">
        <v>111</v>
      </c>
      <c r="K453" s="305" t="s">
        <v>2047</v>
      </c>
    </row>
    <row r="454" spans="1:11" x14ac:dyDescent="0.25">
      <c r="A454" s="302" t="str">
        <f t="shared" si="6"/>
        <v>Duct Sealing_0_MF_Incremental Cost</v>
      </c>
      <c r="B454" s="303" t="s">
        <v>680</v>
      </c>
      <c r="C454" s="304">
        <v>0</v>
      </c>
      <c r="D454" s="303" t="s">
        <v>553</v>
      </c>
      <c r="E454" s="314" t="s">
        <v>260</v>
      </c>
      <c r="F454" s="327"/>
      <c r="G454" s="328">
        <v>2.13</v>
      </c>
      <c r="H454" s="305" t="s">
        <v>613</v>
      </c>
      <c r="I454" s="305" t="s">
        <v>614</v>
      </c>
      <c r="J454" s="305"/>
      <c r="K454" s="305"/>
    </row>
    <row r="455" spans="1:11" s="324" customFormat="1" x14ac:dyDescent="0.25">
      <c r="A455" s="317" t="str">
        <f t="shared" si="6"/>
        <v>Duct Sealing_0_MF_</v>
      </c>
      <c r="B455" s="317" t="str">
        <f>B454</f>
        <v>Duct Sealing</v>
      </c>
      <c r="C455" s="317">
        <f>C454</f>
        <v>0</v>
      </c>
      <c r="D455" s="317" t="str">
        <f>D454</f>
        <v>MF</v>
      </c>
      <c r="E455" s="320"/>
      <c r="F455" s="320"/>
      <c r="G455" s="329"/>
      <c r="H455" s="320"/>
      <c r="I455" s="320"/>
      <c r="J455" s="320"/>
      <c r="K455" s="320"/>
    </row>
    <row r="456" spans="1:11" x14ac:dyDescent="0.25">
      <c r="A456" s="302" t="str">
        <f t="shared" ref="A456:A527" si="8">B456&amp;"_"&amp;C456&amp;"_"&amp;D456&amp;"_"&amp;E456</f>
        <v>Duct Sealing_0_SF_CFM50 Whole House Before</v>
      </c>
      <c r="B456" s="303" t="s">
        <v>680</v>
      </c>
      <c r="C456" s="304">
        <v>0</v>
      </c>
      <c r="D456" s="303" t="s">
        <v>409</v>
      </c>
      <c r="E456" s="305" t="s">
        <v>681</v>
      </c>
      <c r="F456" s="305" t="s">
        <v>720</v>
      </c>
      <c r="G456" s="307">
        <v>1</v>
      </c>
      <c r="H456" s="305"/>
      <c r="I456" s="305" t="s">
        <v>152</v>
      </c>
      <c r="J456" s="305" t="s">
        <v>111</v>
      </c>
      <c r="K456" s="305" t="s">
        <v>2047</v>
      </c>
    </row>
    <row r="457" spans="1:11" x14ac:dyDescent="0.25">
      <c r="A457" s="302" t="str">
        <f t="shared" si="8"/>
        <v>Duct Sealing_0_SF_CFM50 Envelope Only Before</v>
      </c>
      <c r="B457" s="303" t="s">
        <v>680</v>
      </c>
      <c r="C457" s="304">
        <v>0</v>
      </c>
      <c r="D457" s="303" t="s">
        <v>409</v>
      </c>
      <c r="E457" s="305" t="s">
        <v>683</v>
      </c>
      <c r="F457" s="305" t="s">
        <v>720</v>
      </c>
      <c r="G457" s="351">
        <v>1</v>
      </c>
      <c r="H457" s="305"/>
      <c r="I457" s="305" t="s">
        <v>152</v>
      </c>
      <c r="J457" s="305" t="s">
        <v>111</v>
      </c>
      <c r="K457" s="305" t="s">
        <v>2047</v>
      </c>
    </row>
    <row r="458" spans="1:11" x14ac:dyDescent="0.25">
      <c r="A458" s="302" t="str">
        <f t="shared" si="8"/>
        <v>Duct Sealing_0_SF_CFM50 Whole House After</v>
      </c>
      <c r="B458" s="303" t="s">
        <v>680</v>
      </c>
      <c r="C458" s="304">
        <v>0</v>
      </c>
      <c r="D458" s="303" t="s">
        <v>409</v>
      </c>
      <c r="E458" s="305" t="s">
        <v>685</v>
      </c>
      <c r="F458" s="305" t="s">
        <v>720</v>
      </c>
      <c r="G458" s="351">
        <v>0</v>
      </c>
      <c r="H458" s="305"/>
      <c r="I458" s="305" t="s">
        <v>152</v>
      </c>
      <c r="J458" s="305" t="s">
        <v>111</v>
      </c>
      <c r="K458" s="305" t="s">
        <v>2047</v>
      </c>
    </row>
    <row r="459" spans="1:11" x14ac:dyDescent="0.25">
      <c r="A459" s="302" t="str">
        <f t="shared" si="8"/>
        <v>Duct Sealing_0_SF_CFM50 Envelope Only After</v>
      </c>
      <c r="B459" s="303" t="s">
        <v>680</v>
      </c>
      <c r="C459" s="304">
        <v>0</v>
      </c>
      <c r="D459" s="303" t="s">
        <v>409</v>
      </c>
      <c r="E459" s="305" t="s">
        <v>686</v>
      </c>
      <c r="F459" s="305" t="s">
        <v>720</v>
      </c>
      <c r="G459" s="307">
        <v>0</v>
      </c>
      <c r="H459" s="305"/>
      <c r="I459" s="305" t="s">
        <v>152</v>
      </c>
      <c r="J459" s="305" t="s">
        <v>111</v>
      </c>
      <c r="K459" s="305" t="s">
        <v>2047</v>
      </c>
    </row>
    <row r="460" spans="1:11" x14ac:dyDescent="0.25">
      <c r="A460" s="302" t="str">
        <f t="shared" si="8"/>
        <v>Duct Sealing_0_SF_SCF Before</v>
      </c>
      <c r="B460" s="303" t="s">
        <v>680</v>
      </c>
      <c r="C460" s="304">
        <v>0</v>
      </c>
      <c r="D460" s="303" t="s">
        <v>409</v>
      </c>
      <c r="E460" s="305" t="s">
        <v>687</v>
      </c>
      <c r="F460" s="305"/>
      <c r="G460" s="307">
        <v>1.29</v>
      </c>
      <c r="H460" s="305" t="s">
        <v>688</v>
      </c>
      <c r="I460" s="305" t="s">
        <v>152</v>
      </c>
      <c r="J460" s="305" t="s">
        <v>111</v>
      </c>
      <c r="K460" s="305" t="s">
        <v>2047</v>
      </c>
    </row>
    <row r="461" spans="1:11" x14ac:dyDescent="0.25">
      <c r="A461" s="302" t="str">
        <f t="shared" si="8"/>
        <v>Duct Sealing_0_SF_SCF After</v>
      </c>
      <c r="B461" s="303" t="s">
        <v>680</v>
      </c>
      <c r="C461" s="304">
        <v>0</v>
      </c>
      <c r="D461" s="303" t="s">
        <v>409</v>
      </c>
      <c r="E461" s="305" t="s">
        <v>689</v>
      </c>
      <c r="F461" s="305"/>
      <c r="G461" s="307">
        <v>1.39</v>
      </c>
      <c r="H461" s="305" t="s">
        <v>690</v>
      </c>
      <c r="I461" s="305" t="s">
        <v>152</v>
      </c>
      <c r="J461" s="305" t="s">
        <v>111</v>
      </c>
      <c r="K461" s="305" t="s">
        <v>2047</v>
      </c>
    </row>
    <row r="462" spans="1:11" x14ac:dyDescent="0.25">
      <c r="A462" s="302" t="str">
        <f t="shared" si="8"/>
        <v>Duct Sealing_0_SF_CFM50 to CFM25 Conversion</v>
      </c>
      <c r="B462" s="303" t="s">
        <v>680</v>
      </c>
      <c r="C462" s="304">
        <v>0</v>
      </c>
      <c r="D462" s="303" t="s">
        <v>409</v>
      </c>
      <c r="E462" s="305" t="s">
        <v>691</v>
      </c>
      <c r="F462" s="305"/>
      <c r="G462" s="307">
        <v>0.64</v>
      </c>
      <c r="H462" s="305"/>
      <c r="I462" s="305" t="s">
        <v>152</v>
      </c>
      <c r="J462" s="305" t="s">
        <v>111</v>
      </c>
      <c r="K462" s="305" t="s">
        <v>2047</v>
      </c>
    </row>
    <row r="463" spans="1:11" x14ac:dyDescent="0.25">
      <c r="A463" s="302" t="str">
        <f t="shared" si="8"/>
        <v>Duct Sealing_0_SF_Supply Loss Factor</v>
      </c>
      <c r="B463" s="303" t="s">
        <v>680</v>
      </c>
      <c r="C463" s="304">
        <v>0</v>
      </c>
      <c r="D463" s="303" t="s">
        <v>409</v>
      </c>
      <c r="E463" s="305" t="s">
        <v>692</v>
      </c>
      <c r="F463" s="305" t="s">
        <v>539</v>
      </c>
      <c r="G463" s="307">
        <v>0.5</v>
      </c>
      <c r="H463" s="305" t="s">
        <v>693</v>
      </c>
      <c r="I463" s="305" t="s">
        <v>152</v>
      </c>
      <c r="J463" s="305" t="s">
        <v>111</v>
      </c>
      <c r="K463" s="305" t="s">
        <v>2047</v>
      </c>
    </row>
    <row r="464" spans="1:11" x14ac:dyDescent="0.25">
      <c r="A464" s="302" t="str">
        <f t="shared" si="8"/>
        <v>Duct Sealing_0_SF_Return Loss Factor</v>
      </c>
      <c r="B464" s="303" t="s">
        <v>680</v>
      </c>
      <c r="C464" s="304">
        <v>0</v>
      </c>
      <c r="D464" s="303" t="s">
        <v>409</v>
      </c>
      <c r="E464" s="305" t="s">
        <v>694</v>
      </c>
      <c r="F464" s="305" t="s">
        <v>539</v>
      </c>
      <c r="G464" s="307">
        <v>0.25</v>
      </c>
      <c r="H464" s="305" t="s">
        <v>693</v>
      </c>
      <c r="I464" s="305" t="s">
        <v>152</v>
      </c>
      <c r="J464" s="305" t="s">
        <v>111</v>
      </c>
      <c r="K464" s="305" t="s">
        <v>2047</v>
      </c>
    </row>
    <row r="465" spans="1:11" x14ac:dyDescent="0.25">
      <c r="A465" s="302" t="str">
        <f t="shared" si="8"/>
        <v>Duct Sealing_0_SF_Delta CFM25 Duct Leakage Reduction</v>
      </c>
      <c r="B465" s="303" t="s">
        <v>680</v>
      </c>
      <c r="C465" s="304">
        <v>0</v>
      </c>
      <c r="D465" s="303" t="s">
        <v>409</v>
      </c>
      <c r="E465" s="305" t="s">
        <v>695</v>
      </c>
      <c r="F465" s="305"/>
      <c r="G465" s="307">
        <v>1</v>
      </c>
      <c r="H465" s="305" t="s">
        <v>696</v>
      </c>
      <c r="I465" s="305" t="s">
        <v>633</v>
      </c>
      <c r="J465" s="305" t="s">
        <v>697</v>
      </c>
      <c r="K465" s="305"/>
    </row>
    <row r="466" spans="1:11" x14ac:dyDescent="0.25">
      <c r="A466" s="302" t="str">
        <f t="shared" si="8"/>
        <v>Duct Sealing_0_SF_Cooling Capacity</v>
      </c>
      <c r="B466" s="303" t="s">
        <v>680</v>
      </c>
      <c r="C466" s="304">
        <v>0</v>
      </c>
      <c r="D466" s="303" t="s">
        <v>409</v>
      </c>
      <c r="E466" s="305" t="s">
        <v>251</v>
      </c>
      <c r="F466" s="305" t="s">
        <v>479</v>
      </c>
      <c r="G466" s="307">
        <v>76000</v>
      </c>
      <c r="H466" s="305" t="s">
        <v>613</v>
      </c>
      <c r="I466" s="305" t="s">
        <v>614</v>
      </c>
      <c r="J466" s="305"/>
      <c r="K466" s="305"/>
    </row>
    <row r="467" spans="1:11" x14ac:dyDescent="0.25">
      <c r="A467" s="302" t="str">
        <f t="shared" si="8"/>
        <v>Duct Sealing_0_SF_Heating Capacity</v>
      </c>
      <c r="B467" s="303" t="s">
        <v>680</v>
      </c>
      <c r="C467" s="304">
        <v>0</v>
      </c>
      <c r="D467" s="303" t="s">
        <v>409</v>
      </c>
      <c r="E467" s="305" t="s">
        <v>252</v>
      </c>
      <c r="F467" s="305" t="s">
        <v>479</v>
      </c>
      <c r="G467" s="307">
        <f>G466</f>
        <v>76000</v>
      </c>
      <c r="H467" s="305" t="s">
        <v>613</v>
      </c>
      <c r="I467" s="305" t="s">
        <v>614</v>
      </c>
      <c r="J467" s="305"/>
      <c r="K467" s="305"/>
    </row>
    <row r="468" spans="1:11" x14ac:dyDescent="0.25">
      <c r="A468" s="302" t="str">
        <f t="shared" si="8"/>
        <v>Duct Sealing_0_SF_FLH Cooling</v>
      </c>
      <c r="B468" s="303" t="s">
        <v>680</v>
      </c>
      <c r="C468" s="304">
        <v>0</v>
      </c>
      <c r="D468" s="303" t="s">
        <v>409</v>
      </c>
      <c r="E468" s="305" t="s">
        <v>249</v>
      </c>
      <c r="F468" s="305" t="s">
        <v>283</v>
      </c>
      <c r="G468" s="325">
        <v>570</v>
      </c>
      <c r="H468" s="305" t="s">
        <v>721</v>
      </c>
      <c r="I468" s="305" t="s">
        <v>152</v>
      </c>
      <c r="J468" s="305" t="s">
        <v>111</v>
      </c>
      <c r="K468" s="305" t="s">
        <v>2047</v>
      </c>
    </row>
    <row r="469" spans="1:11" x14ac:dyDescent="0.25">
      <c r="A469" s="302" t="str">
        <f t="shared" si="8"/>
        <v>Duct Sealing_0_SF_FLH Heating</v>
      </c>
      <c r="B469" s="303" t="s">
        <v>680</v>
      </c>
      <c r="C469" s="304">
        <v>0</v>
      </c>
      <c r="D469" s="303" t="s">
        <v>409</v>
      </c>
      <c r="E469" s="311" t="s">
        <v>250</v>
      </c>
      <c r="F469" s="311" t="s">
        <v>283</v>
      </c>
      <c r="G469" s="352">
        <v>1726</v>
      </c>
      <c r="H469" s="311" t="s">
        <v>699</v>
      </c>
      <c r="I469" s="305" t="s">
        <v>152</v>
      </c>
      <c r="J469" s="305" t="s">
        <v>111</v>
      </c>
      <c r="K469" s="305" t="s">
        <v>2047</v>
      </c>
    </row>
    <row r="470" spans="1:11" x14ac:dyDescent="0.25">
      <c r="A470" s="302" t="str">
        <f t="shared" si="8"/>
        <v>Duct Sealing_0_SF_CFM/Ton</v>
      </c>
      <c r="B470" s="303" t="s">
        <v>680</v>
      </c>
      <c r="C470" s="304">
        <v>0</v>
      </c>
      <c r="D470" s="303" t="s">
        <v>409</v>
      </c>
      <c r="E470" s="305" t="s">
        <v>700</v>
      </c>
      <c r="F470" s="305"/>
      <c r="G470" s="307">
        <v>400</v>
      </c>
      <c r="H470" s="305"/>
      <c r="I470" s="305" t="s">
        <v>152</v>
      </c>
      <c r="J470" s="305" t="s">
        <v>111</v>
      </c>
      <c r="K470" s="305" t="s">
        <v>2047</v>
      </c>
    </row>
    <row r="471" spans="1:11" x14ac:dyDescent="0.25">
      <c r="A471" s="302" t="str">
        <f t="shared" si="8"/>
        <v>Duct Sealing_0_SF_CFM/Btu/hr</v>
      </c>
      <c r="B471" s="303" t="s">
        <v>680</v>
      </c>
      <c r="C471" s="304">
        <v>0</v>
      </c>
      <c r="D471" s="303" t="s">
        <v>409</v>
      </c>
      <c r="E471" s="305" t="s">
        <v>701</v>
      </c>
      <c r="F471" s="305"/>
      <c r="G471" s="307">
        <v>1.23E-2</v>
      </c>
      <c r="H471" s="305"/>
      <c r="I471" s="305" t="s">
        <v>152</v>
      </c>
      <c r="J471" s="305" t="s">
        <v>111</v>
      </c>
      <c r="K471" s="305" t="s">
        <v>2047</v>
      </c>
    </row>
    <row r="472" spans="1:11" x14ac:dyDescent="0.25">
      <c r="A472" s="302" t="str">
        <f t="shared" si="8"/>
        <v>Duct Sealing_0_SF_Thermal Regain Factor</v>
      </c>
      <c r="B472" s="303" t="s">
        <v>680</v>
      </c>
      <c r="C472" s="304">
        <v>0</v>
      </c>
      <c r="D472" s="303" t="s">
        <v>409</v>
      </c>
      <c r="E472" s="305" t="s">
        <v>702</v>
      </c>
      <c r="F472" s="305"/>
      <c r="G472" s="307">
        <v>0.4</v>
      </c>
      <c r="H472" s="305" t="s">
        <v>703</v>
      </c>
      <c r="I472" s="305" t="s">
        <v>152</v>
      </c>
      <c r="J472" s="305" t="s">
        <v>111</v>
      </c>
      <c r="K472" s="305" t="s">
        <v>2047</v>
      </c>
    </row>
    <row r="473" spans="1:11" x14ac:dyDescent="0.25">
      <c r="A473" s="302" t="str">
        <f t="shared" si="8"/>
        <v>Duct Sealing_0_SF_% of Homes with Central Cooling</v>
      </c>
      <c r="B473" s="303" t="s">
        <v>680</v>
      </c>
      <c r="C473" s="304">
        <v>0</v>
      </c>
      <c r="D473" s="303" t="s">
        <v>409</v>
      </c>
      <c r="E473" s="305" t="s">
        <v>704</v>
      </c>
      <c r="F473" s="305" t="s">
        <v>539</v>
      </c>
      <c r="G473" s="307">
        <v>1</v>
      </c>
      <c r="H473" s="305" t="s">
        <v>705</v>
      </c>
      <c r="I473" s="305" t="s">
        <v>152</v>
      </c>
      <c r="J473" s="305" t="s">
        <v>111</v>
      </c>
      <c r="K473" s="305" t="s">
        <v>2047</v>
      </c>
    </row>
    <row r="474" spans="1:11" x14ac:dyDescent="0.25">
      <c r="A474" s="302" t="str">
        <f t="shared" si="8"/>
        <v>Duct Sealing_0_SF_% of Homes with Electric Central Heating</v>
      </c>
      <c r="B474" s="303" t="s">
        <v>680</v>
      </c>
      <c r="C474" s="304">
        <v>0</v>
      </c>
      <c r="D474" s="303" t="s">
        <v>409</v>
      </c>
      <c r="E474" s="305" t="s">
        <v>706</v>
      </c>
      <c r="F474" s="305" t="s">
        <v>539</v>
      </c>
      <c r="G474" s="307">
        <v>1</v>
      </c>
      <c r="H474" s="305" t="s">
        <v>705</v>
      </c>
      <c r="I474" s="305" t="s">
        <v>152</v>
      </c>
      <c r="J474" s="305" t="s">
        <v>111</v>
      </c>
      <c r="K474" s="305" t="s">
        <v>2047</v>
      </c>
    </row>
    <row r="475" spans="1:11" x14ac:dyDescent="0.25">
      <c r="A475" s="302" t="str">
        <f t="shared" si="8"/>
        <v>Duct Sealing_0_SF_% of Homes with Gas Central Heating</v>
      </c>
      <c r="B475" s="303" t="s">
        <v>680</v>
      </c>
      <c r="C475" s="304">
        <v>0</v>
      </c>
      <c r="D475" s="303" t="s">
        <v>409</v>
      </c>
      <c r="E475" s="305" t="s">
        <v>707</v>
      </c>
      <c r="F475" s="305" t="s">
        <v>539</v>
      </c>
      <c r="G475" s="307">
        <v>1</v>
      </c>
      <c r="H475" s="305" t="s">
        <v>705</v>
      </c>
      <c r="I475" s="305" t="s">
        <v>152</v>
      </c>
      <c r="J475" s="305" t="s">
        <v>111</v>
      </c>
      <c r="K475" s="305" t="s">
        <v>2047</v>
      </c>
    </row>
    <row r="476" spans="1:11" x14ac:dyDescent="0.25">
      <c r="A476" s="302" t="str">
        <f t="shared" si="8"/>
        <v>Duct Sealing_0_SF_SEER</v>
      </c>
      <c r="B476" s="303" t="s">
        <v>680</v>
      </c>
      <c r="C476" s="304">
        <v>0</v>
      </c>
      <c r="D476" s="303" t="s">
        <v>409</v>
      </c>
      <c r="E476" s="305" t="s">
        <v>271</v>
      </c>
      <c r="F476" s="305" t="s">
        <v>271</v>
      </c>
      <c r="G476" s="307">
        <v>13</v>
      </c>
      <c r="H476" s="305" t="s">
        <v>708</v>
      </c>
      <c r="I476" s="305" t="s">
        <v>152</v>
      </c>
      <c r="J476" s="305" t="s">
        <v>111</v>
      </c>
      <c r="K476" s="305" t="s">
        <v>2047</v>
      </c>
    </row>
    <row r="477" spans="1:11" x14ac:dyDescent="0.25">
      <c r="A477" s="302" t="str">
        <f t="shared" si="8"/>
        <v>Duct Sealing_0_SF_COP</v>
      </c>
      <c r="B477" s="303" t="s">
        <v>680</v>
      </c>
      <c r="C477" s="304">
        <v>0</v>
      </c>
      <c r="D477" s="303" t="s">
        <v>409</v>
      </c>
      <c r="E477" s="305" t="s">
        <v>709</v>
      </c>
      <c r="F477" s="305"/>
      <c r="G477" s="307">
        <v>2.5</v>
      </c>
      <c r="H477" s="305" t="s">
        <v>708</v>
      </c>
      <c r="I477" s="305" t="s">
        <v>152</v>
      </c>
      <c r="J477" s="305" t="s">
        <v>111</v>
      </c>
      <c r="K477" s="305" t="s">
        <v>2047</v>
      </c>
    </row>
    <row r="478" spans="1:11" x14ac:dyDescent="0.25">
      <c r="A478" s="302" t="str">
        <f t="shared" si="8"/>
        <v>Duct Sealing_0_SF_Heating Equipment Efficiency- MLA</v>
      </c>
      <c r="B478" s="303" t="s">
        <v>680</v>
      </c>
      <c r="C478" s="304">
        <v>0</v>
      </c>
      <c r="D478" s="303" t="s">
        <v>409</v>
      </c>
      <c r="E478" s="311" t="s">
        <v>710</v>
      </c>
      <c r="F478" s="334" t="s">
        <v>539</v>
      </c>
      <c r="G478" s="334">
        <v>0.8</v>
      </c>
      <c r="H478" s="311"/>
      <c r="I478" s="305" t="s">
        <v>152</v>
      </c>
      <c r="J478" s="305" t="s">
        <v>111</v>
      </c>
      <c r="K478" s="305" t="s">
        <v>2047</v>
      </c>
    </row>
    <row r="479" spans="1:11" x14ac:dyDescent="0.25">
      <c r="A479" s="302" t="str">
        <f t="shared" si="8"/>
        <v>Duct Sealing_0_SF_Heating Equipment Efficiency</v>
      </c>
      <c r="B479" s="303" t="s">
        <v>680</v>
      </c>
      <c r="C479" s="304">
        <v>0</v>
      </c>
      <c r="D479" s="303" t="s">
        <v>409</v>
      </c>
      <c r="E479" s="305" t="s">
        <v>712</v>
      </c>
      <c r="F479" s="305"/>
      <c r="G479" s="307">
        <v>0.83</v>
      </c>
      <c r="H479" s="305" t="s">
        <v>711</v>
      </c>
      <c r="I479" s="305" t="s">
        <v>152</v>
      </c>
      <c r="J479" s="305" t="s">
        <v>111</v>
      </c>
      <c r="K479" s="305" t="s">
        <v>2047</v>
      </c>
    </row>
    <row r="480" spans="1:11" x14ac:dyDescent="0.25">
      <c r="A480" s="302" t="str">
        <f t="shared" si="8"/>
        <v>Duct Sealing_0_SF_Pre Duct Sealing Heating Equipment Efficiency</v>
      </c>
      <c r="B480" s="303" t="s">
        <v>680</v>
      </c>
      <c r="C480" s="304">
        <v>0</v>
      </c>
      <c r="D480" s="303" t="s">
        <v>409</v>
      </c>
      <c r="E480" s="305" t="s">
        <v>713</v>
      </c>
      <c r="F480" s="305"/>
      <c r="G480" s="307">
        <v>0.7</v>
      </c>
      <c r="H480" s="305" t="s">
        <v>711</v>
      </c>
      <c r="I480" s="305" t="s">
        <v>152</v>
      </c>
      <c r="J480" s="305" t="s">
        <v>111</v>
      </c>
      <c r="K480" s="305" t="s">
        <v>2047</v>
      </c>
    </row>
    <row r="481" spans="1:11" x14ac:dyDescent="0.25">
      <c r="A481" s="302" t="str">
        <f t="shared" si="8"/>
        <v>Duct Sealing_0_SF_Cooling kWh Savings using Method 2:</v>
      </c>
      <c r="B481" s="303" t="s">
        <v>680</v>
      </c>
      <c r="C481" s="304">
        <v>0</v>
      </c>
      <c r="D481" s="303" t="s">
        <v>409</v>
      </c>
      <c r="E481" s="311" t="s">
        <v>722</v>
      </c>
      <c r="F481" s="305" t="s">
        <v>565</v>
      </c>
      <c r="G481" s="307">
        <f>((G465/(G466/12000*G470))*G468*G466*G472*G473)/1000/G476</f>
        <v>0.52615384615384631</v>
      </c>
      <c r="H481" s="305"/>
      <c r="I481" s="305" t="s">
        <v>152</v>
      </c>
      <c r="J481" s="305" t="s">
        <v>111</v>
      </c>
      <c r="K481" s="305" t="s">
        <v>2047</v>
      </c>
    </row>
    <row r="482" spans="1:11" x14ac:dyDescent="0.25">
      <c r="A482" s="302" t="str">
        <f t="shared" si="8"/>
        <v>Duct Sealing_0_SF_Heating kWh Savings using Method 2:</v>
      </c>
      <c r="B482" s="303" t="s">
        <v>680</v>
      </c>
      <c r="C482" s="304">
        <v>0</v>
      </c>
      <c r="D482" s="303" t="s">
        <v>409</v>
      </c>
      <c r="E482" s="311" t="s">
        <v>723</v>
      </c>
      <c r="F482" s="305" t="s">
        <v>565</v>
      </c>
      <c r="G482" s="307">
        <f>((G465/(G467/12000*G470))*G469*G467*G472*G474)/3412/G477</f>
        <v>2.4281359906213367</v>
      </c>
      <c r="H482" s="305"/>
      <c r="I482" s="305" t="s">
        <v>152</v>
      </c>
      <c r="J482" s="305" t="s">
        <v>111</v>
      </c>
      <c r="K482" s="305" t="s">
        <v>2047</v>
      </c>
    </row>
    <row r="483" spans="1:11" x14ac:dyDescent="0.25">
      <c r="A483" s="302" t="str">
        <f t="shared" si="8"/>
        <v>Duct Sealing_0_SF_Heating Therms Savings using Method 2:</v>
      </c>
      <c r="B483" s="303" t="s">
        <v>680</v>
      </c>
      <c r="C483" s="304">
        <v>0</v>
      </c>
      <c r="D483" s="303" t="s">
        <v>409</v>
      </c>
      <c r="E483" s="311" t="s">
        <v>2625</v>
      </c>
      <c r="F483" s="305" t="s">
        <v>564</v>
      </c>
      <c r="G483" s="307">
        <f>((G465/(G467*G471))*G469*G467*G472*G475*(G479/(G479*G484))/100000)</f>
        <v>0.66035389765662356</v>
      </c>
      <c r="H483" s="305"/>
      <c r="I483" s="305" t="s">
        <v>152</v>
      </c>
      <c r="J483" s="305" t="s">
        <v>111</v>
      </c>
      <c r="K483" s="305" t="s">
        <v>2047</v>
      </c>
    </row>
    <row r="484" spans="1:11" x14ac:dyDescent="0.25">
      <c r="A484" s="302" t="str">
        <f t="shared" si="8"/>
        <v>Duct Sealing_0_SF_Duct Efficiency Before</v>
      </c>
      <c r="B484" s="303" t="s">
        <v>680</v>
      </c>
      <c r="C484" s="304">
        <v>0</v>
      </c>
      <c r="D484" s="303" t="s">
        <v>409</v>
      </c>
      <c r="E484" s="305" t="s">
        <v>714</v>
      </c>
      <c r="F484" s="305"/>
      <c r="G484" s="307">
        <v>0.85</v>
      </c>
      <c r="H484" s="305" t="s">
        <v>715</v>
      </c>
      <c r="I484" s="305" t="s">
        <v>152</v>
      </c>
      <c r="J484" s="305" t="s">
        <v>111</v>
      </c>
      <c r="K484" s="305" t="s">
        <v>2047</v>
      </c>
    </row>
    <row r="485" spans="1:11" x14ac:dyDescent="0.25">
      <c r="A485" s="302" t="str">
        <f t="shared" si="8"/>
        <v>Duct Sealing_0_SF_Duct Efficiency After</v>
      </c>
      <c r="B485" s="303" t="s">
        <v>680</v>
      </c>
      <c r="C485" s="304">
        <v>0</v>
      </c>
      <c r="D485" s="303" t="s">
        <v>409</v>
      </c>
      <c r="E485" s="305" t="s">
        <v>716</v>
      </c>
      <c r="F485" s="305"/>
      <c r="G485" s="307">
        <v>0.92</v>
      </c>
      <c r="H485" s="305" t="s">
        <v>715</v>
      </c>
      <c r="I485" s="305" t="s">
        <v>152</v>
      </c>
      <c r="J485" s="305" t="s">
        <v>111</v>
      </c>
      <c r="K485" s="305" t="s">
        <v>2047</v>
      </c>
    </row>
    <row r="486" spans="1:11" x14ac:dyDescent="0.25">
      <c r="A486" s="302" t="str">
        <f t="shared" si="8"/>
        <v>Duct Sealing_0_SF_Cooling Savings using Method 3:</v>
      </c>
      <c r="B486" s="303" t="s">
        <v>680</v>
      </c>
      <c r="C486" s="304">
        <v>0</v>
      </c>
      <c r="D486" s="303" t="s">
        <v>409</v>
      </c>
      <c r="E486" s="311" t="s">
        <v>2626</v>
      </c>
      <c r="F486" s="305" t="s">
        <v>565</v>
      </c>
      <c r="G486" s="307">
        <f>(((G485-G484)/G485)*G468*G466*G472*G473)/1000/G476</f>
        <v>101.41806020066899</v>
      </c>
      <c r="H486" s="305"/>
      <c r="I486" s="305" t="s">
        <v>152</v>
      </c>
      <c r="J486" s="305" t="s">
        <v>111</v>
      </c>
      <c r="K486" s="305" t="s">
        <v>2047</v>
      </c>
    </row>
    <row r="487" spans="1:11" x14ac:dyDescent="0.25">
      <c r="A487" s="302" t="str">
        <f t="shared" si="8"/>
        <v>Duct Sealing_0_SF_Heating Savings using Method 3:</v>
      </c>
      <c r="B487" s="303" t="s">
        <v>680</v>
      </c>
      <c r="C487" s="304">
        <v>0</v>
      </c>
      <c r="D487" s="303" t="s">
        <v>409</v>
      </c>
      <c r="E487" s="311" t="s">
        <v>2627</v>
      </c>
      <c r="F487" s="305" t="s">
        <v>565</v>
      </c>
      <c r="G487" s="307">
        <f>((G485-G484)/G485)*G469*G467*G472*G474/3412/G477</f>
        <v>468.0320097864319</v>
      </c>
      <c r="H487" s="305"/>
      <c r="I487" s="305" t="s">
        <v>152</v>
      </c>
      <c r="J487" s="305" t="s">
        <v>111</v>
      </c>
      <c r="K487" s="305" t="s">
        <v>2047</v>
      </c>
    </row>
    <row r="488" spans="1:11" x14ac:dyDescent="0.25">
      <c r="A488" s="302" t="str">
        <f t="shared" si="8"/>
        <v>Duct Sealing_0_SF_Heating Therm Savings using Method 3:</v>
      </c>
      <c r="B488" s="303" t="s">
        <v>680</v>
      </c>
      <c r="C488" s="304">
        <v>0</v>
      </c>
      <c r="D488" s="303" t="s">
        <v>409</v>
      </c>
      <c r="E488" s="311" t="s">
        <v>2628</v>
      </c>
      <c r="F488" s="305" t="s">
        <v>717</v>
      </c>
      <c r="G488" s="307">
        <f>((G485-G484)/G485)*G469*G467*G472*G475*(G479/(G479*G484))/100000</f>
        <v>46.968388746803107</v>
      </c>
      <c r="H488" s="305"/>
      <c r="I488" s="305" t="s">
        <v>152</v>
      </c>
      <c r="J488" s="305" t="s">
        <v>111</v>
      </c>
      <c r="K488" s="305" t="s">
        <v>2047</v>
      </c>
    </row>
    <row r="489" spans="1:11" x14ac:dyDescent="0.25">
      <c r="A489" s="302" t="str">
        <f t="shared" ref="A489:A491" si="9">B489&amp;"_"&amp;C489&amp;"_"&amp;D489&amp;"_"&amp;E489</f>
        <v>Duct Sealing_0_SF_CF</v>
      </c>
      <c r="B489" s="303" t="s">
        <v>680</v>
      </c>
      <c r="C489" s="304">
        <v>0</v>
      </c>
      <c r="D489" s="303" t="s">
        <v>409</v>
      </c>
      <c r="E489" s="305" t="s">
        <v>253</v>
      </c>
      <c r="F489" s="305"/>
      <c r="G489" s="307">
        <v>0.68</v>
      </c>
      <c r="H489" s="305" t="s">
        <v>718</v>
      </c>
      <c r="I489" s="305" t="s">
        <v>152</v>
      </c>
      <c r="J489" s="305" t="s">
        <v>111</v>
      </c>
      <c r="K489" s="305" t="s">
        <v>2047</v>
      </c>
    </row>
    <row r="490" spans="1:11" x14ac:dyDescent="0.25">
      <c r="A490" s="302" t="str">
        <f t="shared" si="9"/>
        <v>Duct Sealing_0_SF_DE_after</v>
      </c>
      <c r="B490" s="303" t="s">
        <v>680</v>
      </c>
      <c r="C490" s="304">
        <v>0</v>
      </c>
      <c r="D490" s="303" t="s">
        <v>409</v>
      </c>
      <c r="E490" s="311" t="s">
        <v>2581</v>
      </c>
      <c r="F490" s="334"/>
      <c r="G490" s="334">
        <f>1-(G491/G492)</f>
        <v>0.97413043478260875</v>
      </c>
      <c r="H490" s="311"/>
      <c r="I490" s="305" t="s">
        <v>152</v>
      </c>
      <c r="J490" s="305" t="s">
        <v>111</v>
      </c>
      <c r="K490" s="305" t="s">
        <v>2047</v>
      </c>
    </row>
    <row r="491" spans="1:11" x14ac:dyDescent="0.25">
      <c r="A491" s="302" t="str">
        <f t="shared" si="9"/>
        <v>Duct Sealing_0_SF_CFM50_DL After</v>
      </c>
      <c r="B491" s="303" t="s">
        <v>680</v>
      </c>
      <c r="C491" s="304">
        <v>0</v>
      </c>
      <c r="D491" s="303" t="s">
        <v>409</v>
      </c>
      <c r="E491" s="311" t="s">
        <v>2582</v>
      </c>
      <c r="F491" s="334"/>
      <c r="G491" s="334">
        <v>119</v>
      </c>
      <c r="H491" s="311" t="s">
        <v>2583</v>
      </c>
      <c r="I491" s="305" t="s">
        <v>152</v>
      </c>
      <c r="J491" s="305" t="s">
        <v>111</v>
      </c>
      <c r="K491" s="305" t="s">
        <v>2047</v>
      </c>
    </row>
    <row r="492" spans="1:11" x14ac:dyDescent="0.25">
      <c r="A492" s="302" t="str">
        <f t="shared" si="8"/>
        <v>Duct Sealing_0_SF_CFM50_Whole House Aftter</v>
      </c>
      <c r="B492" s="303" t="s">
        <v>680</v>
      </c>
      <c r="C492" s="304">
        <v>0</v>
      </c>
      <c r="D492" s="303" t="s">
        <v>409</v>
      </c>
      <c r="E492" s="311" t="s">
        <v>2585</v>
      </c>
      <c r="F492" s="334"/>
      <c r="G492" s="334">
        <v>4600</v>
      </c>
      <c r="H492" s="311" t="s">
        <v>2583</v>
      </c>
      <c r="I492" s="305" t="s">
        <v>152</v>
      </c>
      <c r="J492" s="305" t="s">
        <v>111</v>
      </c>
      <c r="K492" s="305" t="s">
        <v>2047</v>
      </c>
    </row>
    <row r="493" spans="1:11" x14ac:dyDescent="0.25">
      <c r="A493" s="302" t="str">
        <f t="shared" si="8"/>
        <v>Duct Sealing_0_SF_kWh Saved per Unit</v>
      </c>
      <c r="B493" s="303" t="s">
        <v>680</v>
      </c>
      <c r="C493" s="304">
        <v>0</v>
      </c>
      <c r="D493" s="303" t="s">
        <v>409</v>
      </c>
      <c r="E493" s="314" t="s">
        <v>255</v>
      </c>
      <c r="F493" s="314"/>
      <c r="G493" s="326">
        <f>G481+G482</f>
        <v>2.9542898367751831</v>
      </c>
      <c r="H493" s="305"/>
      <c r="I493" s="305" t="s">
        <v>152</v>
      </c>
      <c r="J493" s="305" t="s">
        <v>111</v>
      </c>
      <c r="K493" s="305" t="s">
        <v>2047</v>
      </c>
    </row>
    <row r="494" spans="1:11" x14ac:dyDescent="0.25">
      <c r="A494" s="302" t="str">
        <f t="shared" si="8"/>
        <v>Duct Sealing_0_SF_kW Saved per Unit</v>
      </c>
      <c r="B494" s="303" t="s">
        <v>680</v>
      </c>
      <c r="C494" s="304">
        <v>0</v>
      </c>
      <c r="D494" s="303" t="s">
        <v>409</v>
      </c>
      <c r="E494" s="314" t="s">
        <v>580</v>
      </c>
      <c r="F494" s="326" t="s">
        <v>571</v>
      </c>
      <c r="G494" s="326">
        <f>G481/G468*G489</f>
        <v>6.2769230769230795E-4</v>
      </c>
      <c r="H494" s="305"/>
      <c r="I494" s="305" t="s">
        <v>152</v>
      </c>
      <c r="J494" s="305" t="s">
        <v>111</v>
      </c>
      <c r="K494" s="305" t="s">
        <v>2047</v>
      </c>
    </row>
    <row r="495" spans="1:11" x14ac:dyDescent="0.25">
      <c r="A495" s="302" t="str">
        <f t="shared" si="8"/>
        <v>Duct Sealing_0_SF_Therm Saved per Unit</v>
      </c>
      <c r="B495" s="303" t="s">
        <v>680</v>
      </c>
      <c r="C495" s="304">
        <v>0</v>
      </c>
      <c r="D495" s="303" t="s">
        <v>409</v>
      </c>
      <c r="E495" s="314" t="s">
        <v>326</v>
      </c>
      <c r="F495" s="314"/>
      <c r="G495" s="315">
        <f>G483</f>
        <v>0.66035389765662356</v>
      </c>
      <c r="H495" s="305" t="s">
        <v>2584</v>
      </c>
      <c r="I495" s="305" t="s">
        <v>152</v>
      </c>
      <c r="J495" s="305" t="s">
        <v>111</v>
      </c>
      <c r="K495" s="305" t="s">
        <v>2047</v>
      </c>
    </row>
    <row r="496" spans="1:11" x14ac:dyDescent="0.25">
      <c r="A496" s="302" t="str">
        <f t="shared" si="8"/>
        <v>Duct Sealing_0_SF_Therm Saved per Unit- MLA</v>
      </c>
      <c r="B496" s="303" t="s">
        <v>680</v>
      </c>
      <c r="C496" s="304">
        <v>0</v>
      </c>
      <c r="D496" s="303" t="s">
        <v>409</v>
      </c>
      <c r="E496" s="311" t="s">
        <v>626</v>
      </c>
      <c r="F496" s="334"/>
      <c r="G496" s="310">
        <f>(G465/(G467*G471))*G469*G467*G472*G475*(G479/(G478*G490))/100000</f>
        <v>0.59781480251758545</v>
      </c>
      <c r="H496" s="311" t="s">
        <v>2584</v>
      </c>
      <c r="I496" s="305" t="s">
        <v>152</v>
      </c>
      <c r="J496" s="305" t="s">
        <v>111</v>
      </c>
      <c r="K496" s="305" t="s">
        <v>2047</v>
      </c>
    </row>
    <row r="497" spans="1:11" x14ac:dyDescent="0.25">
      <c r="A497" s="302" t="str">
        <f t="shared" si="8"/>
        <v>Duct Sealing_0_SF_Lifetime (years)</v>
      </c>
      <c r="B497" s="303" t="s">
        <v>680</v>
      </c>
      <c r="C497" s="304">
        <v>0</v>
      </c>
      <c r="D497" s="303" t="s">
        <v>409</v>
      </c>
      <c r="E497" s="314" t="s">
        <v>259</v>
      </c>
      <c r="F497" s="326" t="s">
        <v>548</v>
      </c>
      <c r="G497" s="315">
        <v>20</v>
      </c>
      <c r="H497" s="305"/>
      <c r="I497" s="305" t="s">
        <v>152</v>
      </c>
      <c r="J497" s="305" t="s">
        <v>111</v>
      </c>
      <c r="K497" s="305" t="s">
        <v>2047</v>
      </c>
    </row>
    <row r="498" spans="1:11" x14ac:dyDescent="0.25">
      <c r="A498" s="302" t="str">
        <f t="shared" si="8"/>
        <v>Duct Sealing_0_SF_Lifetime (years) - Remaining Years</v>
      </c>
      <c r="B498" s="303" t="s">
        <v>680</v>
      </c>
      <c r="C498" s="304">
        <v>0</v>
      </c>
      <c r="D498" s="303" t="s">
        <v>409</v>
      </c>
      <c r="E498" s="314" t="s">
        <v>628</v>
      </c>
      <c r="F498" s="326" t="s">
        <v>548</v>
      </c>
      <c r="G498" s="315">
        <v>10</v>
      </c>
      <c r="H498" s="305" t="s">
        <v>719</v>
      </c>
      <c r="I498" s="305" t="s">
        <v>152</v>
      </c>
      <c r="J498" s="305" t="s">
        <v>111</v>
      </c>
      <c r="K498" s="305" t="s">
        <v>2047</v>
      </c>
    </row>
    <row r="499" spans="1:11" x14ac:dyDescent="0.25">
      <c r="A499" s="302" t="str">
        <f t="shared" si="8"/>
        <v>Duct Sealing_0_SF_Incremental Cost</v>
      </c>
      <c r="B499" s="303" t="s">
        <v>680</v>
      </c>
      <c r="C499" s="304">
        <v>0</v>
      </c>
      <c r="D499" s="303" t="s">
        <v>409</v>
      </c>
      <c r="E499" s="314" t="s">
        <v>260</v>
      </c>
      <c r="F499" s="327" t="s">
        <v>549</v>
      </c>
      <c r="G499" s="328">
        <v>2.13</v>
      </c>
      <c r="H499" s="305" t="s">
        <v>613</v>
      </c>
      <c r="I499" s="305" t="s">
        <v>614</v>
      </c>
      <c r="J499" s="305"/>
      <c r="K499" s="305"/>
    </row>
    <row r="500" spans="1:11" s="324" customFormat="1" x14ac:dyDescent="0.25">
      <c r="A500" s="317" t="str">
        <f t="shared" si="8"/>
        <v>Duct Sealing_0_SF_</v>
      </c>
      <c r="B500" s="317" t="str">
        <f>B499</f>
        <v>Duct Sealing</v>
      </c>
      <c r="C500" s="317">
        <f>C499</f>
        <v>0</v>
      </c>
      <c r="D500" s="317" t="str">
        <f>D499</f>
        <v>SF</v>
      </c>
      <c r="E500" s="320"/>
      <c r="F500" s="320"/>
      <c r="G500" s="329"/>
      <c r="H500" s="320"/>
      <c r="I500" s="320"/>
      <c r="J500" s="320"/>
      <c r="K500" s="320"/>
    </row>
    <row r="501" spans="1:11" x14ac:dyDescent="0.25">
      <c r="A501" s="302" t="str">
        <f t="shared" ref="A501:A505" si="10">B501&amp;"_"&amp;C501&amp;"_"&amp;D501&amp;"_"&amp;E501</f>
        <v>Condensing Unit Heater_0_MF/CI_Capacity</v>
      </c>
      <c r="B501" s="303" t="s">
        <v>13</v>
      </c>
      <c r="C501" s="304">
        <v>0</v>
      </c>
      <c r="D501" s="303" t="s">
        <v>587</v>
      </c>
      <c r="E501" s="311" t="s">
        <v>270</v>
      </c>
      <c r="F501" s="334"/>
      <c r="G501" s="310">
        <v>1</v>
      </c>
      <c r="H501" s="311" t="s">
        <v>1936</v>
      </c>
      <c r="I501" s="305" t="s">
        <v>152</v>
      </c>
      <c r="J501" s="305" t="s">
        <v>118</v>
      </c>
      <c r="K501" s="305" t="s">
        <v>1958</v>
      </c>
    </row>
    <row r="502" spans="1:11" x14ac:dyDescent="0.25">
      <c r="A502" s="302" t="str">
        <f t="shared" si="10"/>
        <v>Condensing Unit Heater_0_MF/CI_EFLH</v>
      </c>
      <c r="B502" s="303" t="s">
        <v>13</v>
      </c>
      <c r="C502" s="304">
        <v>0</v>
      </c>
      <c r="D502" s="303" t="s">
        <v>587</v>
      </c>
      <c r="E502" s="311" t="s">
        <v>321</v>
      </c>
      <c r="F502" s="334"/>
      <c r="G502" s="310">
        <v>1678</v>
      </c>
      <c r="H502" s="311" t="s">
        <v>1901</v>
      </c>
      <c r="I502" s="305" t="s">
        <v>152</v>
      </c>
      <c r="J502" s="305" t="s">
        <v>118</v>
      </c>
      <c r="K502" s="305" t="s">
        <v>1958</v>
      </c>
    </row>
    <row r="503" spans="1:11" x14ac:dyDescent="0.25">
      <c r="A503" s="302" t="str">
        <f t="shared" si="10"/>
        <v>Condensing Unit Heater_0_MF/CI_UF</v>
      </c>
      <c r="B503" s="303" t="s">
        <v>13</v>
      </c>
      <c r="C503" s="304">
        <v>0</v>
      </c>
      <c r="D503" s="303" t="s">
        <v>587</v>
      </c>
      <c r="E503" s="311" t="s">
        <v>928</v>
      </c>
      <c r="F503" s="334"/>
      <c r="G503" s="353">
        <v>0.72499999999999998</v>
      </c>
      <c r="H503" s="311"/>
      <c r="I503" s="305" t="s">
        <v>152</v>
      </c>
      <c r="J503" s="305" t="s">
        <v>118</v>
      </c>
      <c r="K503" s="305" t="s">
        <v>1958</v>
      </c>
    </row>
    <row r="504" spans="1:11" x14ac:dyDescent="0.25">
      <c r="A504" s="302" t="str">
        <f t="shared" si="10"/>
        <v>Condensing Unit Heater_0_MF/CI_Eff_base</v>
      </c>
      <c r="B504" s="303" t="s">
        <v>13</v>
      </c>
      <c r="C504" s="304">
        <v>0</v>
      </c>
      <c r="D504" s="303" t="s">
        <v>587</v>
      </c>
      <c r="E504" s="311" t="s">
        <v>372</v>
      </c>
      <c r="F504" s="334"/>
      <c r="G504" s="310">
        <v>0.8</v>
      </c>
      <c r="H504" s="311"/>
      <c r="I504" s="305" t="s">
        <v>152</v>
      </c>
      <c r="J504" s="305" t="s">
        <v>118</v>
      </c>
      <c r="K504" s="305" t="s">
        <v>1958</v>
      </c>
    </row>
    <row r="505" spans="1:11" x14ac:dyDescent="0.25">
      <c r="A505" s="302" t="str">
        <f t="shared" si="10"/>
        <v>Condensing Unit Heater_0_MF/CI_Eff_ee</v>
      </c>
      <c r="B505" s="303" t="s">
        <v>13</v>
      </c>
      <c r="C505" s="304">
        <v>0</v>
      </c>
      <c r="D505" s="303" t="s">
        <v>587</v>
      </c>
      <c r="E505" s="311" t="s">
        <v>373</v>
      </c>
      <c r="F505" s="334"/>
      <c r="G505" s="310">
        <v>0.9</v>
      </c>
      <c r="H505" s="311"/>
      <c r="I505" s="305" t="s">
        <v>152</v>
      </c>
      <c r="J505" s="305" t="s">
        <v>118</v>
      </c>
      <c r="K505" s="305" t="s">
        <v>1958</v>
      </c>
    </row>
    <row r="506" spans="1:11" x14ac:dyDescent="0.25">
      <c r="A506" s="302" t="str">
        <f t="shared" si="8"/>
        <v>Condensing Unit Heater_0_MF/CI_Therm Saved per Unit</v>
      </c>
      <c r="B506" s="303" t="s">
        <v>13</v>
      </c>
      <c r="C506" s="304">
        <v>0</v>
      </c>
      <c r="D506" s="303" t="s">
        <v>587</v>
      </c>
      <c r="E506" s="314" t="s">
        <v>326</v>
      </c>
      <c r="F506" s="326" t="s">
        <v>678</v>
      </c>
      <c r="G506" s="310">
        <f>((G501*G502*G503)/100)*((1/G504)-(1/G505))</f>
        <v>1.6896527777777772</v>
      </c>
      <c r="H506" s="311" t="s">
        <v>1902</v>
      </c>
      <c r="I506" s="305" t="s">
        <v>152</v>
      </c>
      <c r="J506" s="305" t="s">
        <v>118</v>
      </c>
      <c r="K506" s="305" t="s">
        <v>1958</v>
      </c>
    </row>
    <row r="507" spans="1:11" x14ac:dyDescent="0.25">
      <c r="A507" s="302" t="str">
        <f t="shared" si="8"/>
        <v>Condensing Unit Heater_0_MF/CI_Lifetime (years)</v>
      </c>
      <c r="B507" s="303" t="s">
        <v>13</v>
      </c>
      <c r="C507" s="304">
        <v>0</v>
      </c>
      <c r="D507" s="303" t="s">
        <v>587</v>
      </c>
      <c r="E507" s="314" t="s">
        <v>259</v>
      </c>
      <c r="F507" s="326" t="s">
        <v>548</v>
      </c>
      <c r="G507" s="315">
        <v>12</v>
      </c>
      <c r="H507" s="305"/>
      <c r="I507" s="305" t="s">
        <v>152</v>
      </c>
      <c r="J507" s="305" t="s">
        <v>118</v>
      </c>
      <c r="K507" s="305" t="s">
        <v>1958</v>
      </c>
    </row>
    <row r="508" spans="1:11" x14ac:dyDescent="0.25">
      <c r="A508" s="302" t="str">
        <f t="shared" si="8"/>
        <v>Condensing Unit Heater_0_MF/CI_Incremental Cost</v>
      </c>
      <c r="B508" s="303" t="s">
        <v>13</v>
      </c>
      <c r="C508" s="304">
        <v>0</v>
      </c>
      <c r="D508" s="303" t="s">
        <v>587</v>
      </c>
      <c r="E508" s="314" t="s">
        <v>260</v>
      </c>
      <c r="F508" s="327" t="s">
        <v>679</v>
      </c>
      <c r="G508" s="328">
        <f>676/150</f>
        <v>4.5066666666666668</v>
      </c>
      <c r="H508" s="305" t="s">
        <v>724</v>
      </c>
      <c r="I508" s="305" t="s">
        <v>152</v>
      </c>
      <c r="J508" s="305" t="s">
        <v>118</v>
      </c>
      <c r="K508" s="305" t="s">
        <v>1958</v>
      </c>
    </row>
    <row r="509" spans="1:11" s="324" customFormat="1" x14ac:dyDescent="0.25">
      <c r="A509" s="317" t="str">
        <f t="shared" si="8"/>
        <v>Condensing Unit Heater_0_MF/CI_</v>
      </c>
      <c r="B509" s="317" t="str">
        <f>B508</f>
        <v>Condensing Unit Heater</v>
      </c>
      <c r="C509" s="332">
        <f>C508</f>
        <v>0</v>
      </c>
      <c r="D509" s="317" t="s">
        <v>587</v>
      </c>
      <c r="E509" s="320"/>
      <c r="F509" s="320"/>
      <c r="G509" s="329"/>
      <c r="H509" s="320"/>
      <c r="I509" s="320"/>
      <c r="J509" s="320"/>
      <c r="K509" s="320"/>
    </row>
    <row r="510" spans="1:11" x14ac:dyDescent="0.25">
      <c r="A510" s="302" t="str">
        <f t="shared" si="8"/>
        <v>High Speed Washer_0_MF_Average number of daily washer cycles</v>
      </c>
      <c r="B510" s="303" t="s">
        <v>725</v>
      </c>
      <c r="C510" s="304">
        <v>0</v>
      </c>
      <c r="D510" s="303" t="s">
        <v>553</v>
      </c>
      <c r="E510" s="305" t="s">
        <v>726</v>
      </c>
      <c r="F510" s="305" t="s">
        <v>727</v>
      </c>
      <c r="G510" s="307">
        <v>3.4</v>
      </c>
      <c r="H510" s="305" t="s">
        <v>728</v>
      </c>
      <c r="I510" s="305" t="s">
        <v>152</v>
      </c>
      <c r="J510" s="305" t="s">
        <v>729</v>
      </c>
      <c r="K510" s="305" t="s">
        <v>2364</v>
      </c>
    </row>
    <row r="511" spans="1:11" x14ac:dyDescent="0.25">
      <c r="A511" s="302" t="str">
        <f t="shared" si="8"/>
        <v>High Speed Washer_0_MF_Days of Operation per Year</v>
      </c>
      <c r="B511" s="303" t="s">
        <v>725</v>
      </c>
      <c r="C511" s="304">
        <v>0</v>
      </c>
      <c r="D511" s="303" t="s">
        <v>553</v>
      </c>
      <c r="E511" s="305" t="s">
        <v>731</v>
      </c>
      <c r="F511" s="305" t="s">
        <v>538</v>
      </c>
      <c r="G511" s="354">
        <v>360</v>
      </c>
      <c r="H511" s="305" t="s">
        <v>732</v>
      </c>
      <c r="I511" s="305" t="s">
        <v>152</v>
      </c>
      <c r="J511" s="305" t="s">
        <v>729</v>
      </c>
      <c r="K511" s="305" t="s">
        <v>2364</v>
      </c>
    </row>
    <row r="512" spans="1:11" x14ac:dyDescent="0.25">
      <c r="A512" s="302" t="str">
        <f t="shared" si="8"/>
        <v>High Speed Washer_0_MF_Capacity</v>
      </c>
      <c r="B512" s="303" t="s">
        <v>725</v>
      </c>
      <c r="C512" s="304">
        <v>0</v>
      </c>
      <c r="D512" s="303" t="s">
        <v>553</v>
      </c>
      <c r="E512" s="305" t="s">
        <v>270</v>
      </c>
      <c r="F512" s="305" t="s">
        <v>733</v>
      </c>
      <c r="G512" s="355">
        <v>250</v>
      </c>
      <c r="H512" s="305" t="s">
        <v>734</v>
      </c>
      <c r="I512" s="305" t="s">
        <v>152</v>
      </c>
      <c r="J512" s="305" t="s">
        <v>729</v>
      </c>
      <c r="K512" s="305" t="s">
        <v>2364</v>
      </c>
    </row>
    <row r="513" spans="1:11" x14ac:dyDescent="0.25">
      <c r="A513" s="302" t="str">
        <f t="shared" si="8"/>
        <v>High Speed Washer_0_MF_Retained Moisture Content</v>
      </c>
      <c r="B513" s="303" t="s">
        <v>725</v>
      </c>
      <c r="C513" s="304">
        <v>0</v>
      </c>
      <c r="D513" s="303" t="s">
        <v>553</v>
      </c>
      <c r="E513" s="305" t="s">
        <v>735</v>
      </c>
      <c r="F513" s="305" t="s">
        <v>539</v>
      </c>
      <c r="G513" s="356">
        <v>0.15</v>
      </c>
      <c r="H513" s="305"/>
      <c r="I513" s="305" t="s">
        <v>152</v>
      </c>
      <c r="J513" s="305" t="s">
        <v>729</v>
      </c>
      <c r="K513" s="305" t="s">
        <v>2364</v>
      </c>
    </row>
    <row r="514" spans="1:11" x14ac:dyDescent="0.25">
      <c r="A514" s="302" t="str">
        <f t="shared" si="8"/>
        <v>High Speed Washer_0_MF_Heat required to evaporate water</v>
      </c>
      <c r="B514" s="303" t="s">
        <v>725</v>
      </c>
      <c r="C514" s="304">
        <v>0</v>
      </c>
      <c r="D514" s="303" t="s">
        <v>553</v>
      </c>
      <c r="E514" s="305" t="s">
        <v>736</v>
      </c>
      <c r="F514" s="305" t="s">
        <v>651</v>
      </c>
      <c r="G514" s="354">
        <v>1200</v>
      </c>
      <c r="H514" s="305"/>
      <c r="I514" s="305" t="s">
        <v>152</v>
      </c>
      <c r="J514" s="305" t="s">
        <v>729</v>
      </c>
      <c r="K514" s="305" t="s">
        <v>2364</v>
      </c>
    </row>
    <row r="515" spans="1:11" x14ac:dyDescent="0.25">
      <c r="A515" s="302" t="str">
        <f t="shared" si="8"/>
        <v>High Speed Washer_0_MF_Dryer Efficiency</v>
      </c>
      <c r="B515" s="303" t="s">
        <v>725</v>
      </c>
      <c r="C515" s="304">
        <v>0</v>
      </c>
      <c r="D515" s="303" t="s">
        <v>553</v>
      </c>
      <c r="E515" s="305" t="s">
        <v>737</v>
      </c>
      <c r="F515" s="305" t="s">
        <v>539</v>
      </c>
      <c r="G515" s="356">
        <v>0.6</v>
      </c>
      <c r="H515" s="305" t="s">
        <v>732</v>
      </c>
      <c r="I515" s="305" t="s">
        <v>152</v>
      </c>
      <c r="J515" s="305" t="s">
        <v>729</v>
      </c>
      <c r="K515" s="305" t="s">
        <v>2364</v>
      </c>
    </row>
    <row r="516" spans="1:11" x14ac:dyDescent="0.25">
      <c r="A516" s="302" t="str">
        <f t="shared" si="8"/>
        <v>High Speed Washer_0_MF_Conversion</v>
      </c>
      <c r="B516" s="303" t="s">
        <v>725</v>
      </c>
      <c r="C516" s="304">
        <v>0</v>
      </c>
      <c r="D516" s="303" t="s">
        <v>553</v>
      </c>
      <c r="E516" s="305" t="s">
        <v>284</v>
      </c>
      <c r="F516" s="305" t="s">
        <v>622</v>
      </c>
      <c r="G516" s="325">
        <v>100000</v>
      </c>
      <c r="H516" s="305"/>
      <c r="I516" s="305" t="s">
        <v>152</v>
      </c>
      <c r="J516" s="305" t="s">
        <v>729</v>
      </c>
      <c r="K516" s="305" t="s">
        <v>2364</v>
      </c>
    </row>
    <row r="517" spans="1:11" x14ac:dyDescent="0.25">
      <c r="A517" s="302" t="str">
        <f t="shared" si="8"/>
        <v>High Speed Washer_0_MF_Dryer Use</v>
      </c>
      <c r="B517" s="303" t="s">
        <v>725</v>
      </c>
      <c r="C517" s="304">
        <v>0</v>
      </c>
      <c r="D517" s="303" t="s">
        <v>553</v>
      </c>
      <c r="E517" s="305" t="s">
        <v>738</v>
      </c>
      <c r="F517" s="305" t="s">
        <v>539</v>
      </c>
      <c r="G517" s="356">
        <v>0.91</v>
      </c>
      <c r="H517" s="305"/>
      <c r="I517" s="305" t="s">
        <v>152</v>
      </c>
      <c r="J517" s="305" t="s">
        <v>729</v>
      </c>
      <c r="K517" s="305" t="s">
        <v>2364</v>
      </c>
    </row>
    <row r="518" spans="1:11" x14ac:dyDescent="0.25">
      <c r="A518" s="302" t="str">
        <f t="shared" si="8"/>
        <v>High Speed Washer_0_MF_Load Factor</v>
      </c>
      <c r="B518" s="303" t="s">
        <v>725</v>
      </c>
      <c r="C518" s="304">
        <v>0</v>
      </c>
      <c r="D518" s="303" t="s">
        <v>553</v>
      </c>
      <c r="E518" s="305" t="s">
        <v>421</v>
      </c>
      <c r="F518" s="305" t="s">
        <v>539</v>
      </c>
      <c r="G518" s="356">
        <v>0.66</v>
      </c>
      <c r="H518" s="305"/>
      <c r="I518" s="305" t="s">
        <v>152</v>
      </c>
      <c r="J518" s="305" t="s">
        <v>729</v>
      </c>
      <c r="K518" s="305" t="s">
        <v>2364</v>
      </c>
    </row>
    <row r="519" spans="1:11" x14ac:dyDescent="0.25">
      <c r="A519" s="302" t="str">
        <f t="shared" si="8"/>
        <v>High Speed Washer_0_MF_Therm Saved per Unit</v>
      </c>
      <c r="B519" s="303" t="s">
        <v>725</v>
      </c>
      <c r="C519" s="304">
        <v>0</v>
      </c>
      <c r="D519" s="303" t="s">
        <v>553</v>
      </c>
      <c r="E519" s="314" t="s">
        <v>326</v>
      </c>
      <c r="F519" s="314"/>
      <c r="G519" s="315">
        <f>(G510*G511*G512*G513*G514/G515/G516)*G517*G518/250</f>
        <v>2.2054032000000001</v>
      </c>
      <c r="H519" s="305" t="s">
        <v>739</v>
      </c>
      <c r="I519" s="305" t="s">
        <v>152</v>
      </c>
      <c r="J519" s="305" t="s">
        <v>729</v>
      </c>
      <c r="K519" s="305" t="s">
        <v>2364</v>
      </c>
    </row>
    <row r="520" spans="1:11" x14ac:dyDescent="0.25">
      <c r="A520" s="302" t="str">
        <f t="shared" si="8"/>
        <v>High Speed Washer_0_MF_Lifetime (years)</v>
      </c>
      <c r="B520" s="303" t="s">
        <v>725</v>
      </c>
      <c r="C520" s="304">
        <v>0</v>
      </c>
      <c r="D520" s="303" t="s">
        <v>553</v>
      </c>
      <c r="E520" s="314" t="s">
        <v>259</v>
      </c>
      <c r="F520" s="314" t="s">
        <v>548</v>
      </c>
      <c r="G520" s="315">
        <v>7</v>
      </c>
      <c r="H520" s="305" t="s">
        <v>740</v>
      </c>
      <c r="I520" s="305" t="s">
        <v>152</v>
      </c>
      <c r="J520" s="305" t="s">
        <v>729</v>
      </c>
      <c r="K520" s="305" t="s">
        <v>2364</v>
      </c>
    </row>
    <row r="521" spans="1:11" x14ac:dyDescent="0.25">
      <c r="A521" s="302" t="str">
        <f t="shared" si="8"/>
        <v>High Speed Washer_0_MF_Incremental Cost</v>
      </c>
      <c r="B521" s="303" t="s">
        <v>725</v>
      </c>
      <c r="C521" s="304">
        <v>0</v>
      </c>
      <c r="D521" s="303" t="s">
        <v>553</v>
      </c>
      <c r="E521" s="314" t="s">
        <v>260</v>
      </c>
      <c r="F521" s="314" t="s">
        <v>549</v>
      </c>
      <c r="G521" s="315">
        <f>9.7</f>
        <v>9.6999999999999993</v>
      </c>
      <c r="H521" s="305" t="s">
        <v>741</v>
      </c>
      <c r="I521" s="305" t="s">
        <v>152</v>
      </c>
      <c r="J521" s="305" t="s">
        <v>729</v>
      </c>
      <c r="K521" s="305" t="s">
        <v>2364</v>
      </c>
    </row>
    <row r="522" spans="1:11" s="324" customFormat="1" x14ac:dyDescent="0.25">
      <c r="A522" s="317" t="str">
        <f t="shared" si="8"/>
        <v>High Speed Washer_0_MF_</v>
      </c>
      <c r="B522" s="317" t="str">
        <f>B521</f>
        <v>High Speed Washer</v>
      </c>
      <c r="C522" s="332">
        <f>C521</f>
        <v>0</v>
      </c>
      <c r="D522" s="317" t="str">
        <f>D521</f>
        <v>MF</v>
      </c>
      <c r="E522" s="320"/>
      <c r="F522" s="320"/>
      <c r="G522" s="329"/>
      <c r="H522" s="320"/>
      <c r="I522" s="320"/>
      <c r="J522" s="320"/>
      <c r="K522" s="320"/>
    </row>
    <row r="523" spans="1:11" x14ac:dyDescent="0.25">
      <c r="A523" s="302" t="str">
        <f t="shared" si="8"/>
        <v>Infrared Heater_0_MF_Capacity</v>
      </c>
      <c r="B523" s="303" t="s">
        <v>742</v>
      </c>
      <c r="C523" s="304">
        <v>0</v>
      </c>
      <c r="D523" s="303" t="s">
        <v>553</v>
      </c>
      <c r="E523" s="305" t="s">
        <v>270</v>
      </c>
      <c r="F523" s="309" t="s">
        <v>743</v>
      </c>
      <c r="G523" s="339">
        <v>150000</v>
      </c>
      <c r="H523" s="305"/>
      <c r="I523" s="305" t="s">
        <v>152</v>
      </c>
      <c r="J523" s="305" t="s">
        <v>117</v>
      </c>
      <c r="K523" s="305" t="s">
        <v>1960</v>
      </c>
    </row>
    <row r="524" spans="1:11" x14ac:dyDescent="0.25">
      <c r="A524" s="302" t="str">
        <f t="shared" si="8"/>
        <v>Infrared Heater_0_MF_RSF (Radiation Sizing Factor)</v>
      </c>
      <c r="B524" s="303" t="s">
        <v>742</v>
      </c>
      <c r="C524" s="304">
        <v>0</v>
      </c>
      <c r="D524" s="303" t="s">
        <v>553</v>
      </c>
      <c r="E524" s="305" t="s">
        <v>744</v>
      </c>
      <c r="F524" s="309" t="s">
        <v>745</v>
      </c>
      <c r="G524" s="306">
        <v>0.85</v>
      </c>
      <c r="H524" s="305" t="s">
        <v>746</v>
      </c>
      <c r="I524" s="305" t="s">
        <v>152</v>
      </c>
      <c r="J524" s="305" t="s">
        <v>117</v>
      </c>
      <c r="K524" s="305" t="s">
        <v>1960</v>
      </c>
    </row>
    <row r="525" spans="1:11" x14ac:dyDescent="0.25">
      <c r="A525" s="302" t="str">
        <f t="shared" si="8"/>
        <v>Infrared Heater_0_MF_EFLH</v>
      </c>
      <c r="B525" s="303" t="s">
        <v>742</v>
      </c>
      <c r="C525" s="304">
        <v>0</v>
      </c>
      <c r="D525" s="303" t="s">
        <v>553</v>
      </c>
      <c r="E525" s="305" t="s">
        <v>321</v>
      </c>
      <c r="F525" s="305" t="s">
        <v>283</v>
      </c>
      <c r="G525" s="325">
        <v>1678</v>
      </c>
      <c r="H525" s="305" t="s">
        <v>747</v>
      </c>
      <c r="I525" s="305" t="s">
        <v>152</v>
      </c>
      <c r="J525" s="305" t="s">
        <v>117</v>
      </c>
      <c r="K525" s="305" t="s">
        <v>1960</v>
      </c>
    </row>
    <row r="526" spans="1:11" x14ac:dyDescent="0.25">
      <c r="A526" s="302" t="str">
        <f t="shared" si="8"/>
        <v>Infrared Heater_0_MF_Therms(base)</v>
      </c>
      <c r="B526" s="303" t="s">
        <v>742</v>
      </c>
      <c r="C526" s="304">
        <v>0</v>
      </c>
      <c r="D526" s="303" t="s">
        <v>553</v>
      </c>
      <c r="E526" s="305" t="s">
        <v>515</v>
      </c>
      <c r="F526" s="309" t="s">
        <v>564</v>
      </c>
      <c r="G526" s="306">
        <f>G523/G524*G525/100000</f>
        <v>2961.1764705882351</v>
      </c>
      <c r="H526" s="305"/>
      <c r="I526" s="305" t="s">
        <v>152</v>
      </c>
      <c r="J526" s="305" t="s">
        <v>117</v>
      </c>
      <c r="K526" s="305" t="s">
        <v>1960</v>
      </c>
    </row>
    <row r="527" spans="1:11" x14ac:dyDescent="0.25">
      <c r="A527" s="302" t="str">
        <f t="shared" si="8"/>
        <v>Infrared Heater_0_MF_Therms(IR)</v>
      </c>
      <c r="B527" s="303" t="s">
        <v>742</v>
      </c>
      <c r="C527" s="304">
        <v>0</v>
      </c>
      <c r="D527" s="303" t="s">
        <v>553</v>
      </c>
      <c r="E527" s="305" t="s">
        <v>516</v>
      </c>
      <c r="F527" s="309" t="s">
        <v>564</v>
      </c>
      <c r="G527" s="306">
        <f>G523*G525/100000</f>
        <v>2517</v>
      </c>
      <c r="H527" s="305"/>
      <c r="I527" s="305" t="s">
        <v>152</v>
      </c>
      <c r="J527" s="305" t="s">
        <v>117</v>
      </c>
      <c r="K527" s="305" t="s">
        <v>1960</v>
      </c>
    </row>
    <row r="528" spans="1:11" x14ac:dyDescent="0.25">
      <c r="A528" s="302" t="str">
        <f t="shared" ref="A528:A591" si="11">B528&amp;"_"&amp;C528&amp;"_"&amp;D528&amp;"_"&amp;E528</f>
        <v>Infrared Heater_0_MF_kWh Saved per Unit</v>
      </c>
      <c r="B528" s="303" t="s">
        <v>742</v>
      </c>
      <c r="C528" s="304">
        <v>0</v>
      </c>
      <c r="D528" s="303" t="s">
        <v>553</v>
      </c>
      <c r="E528" s="314" t="s">
        <v>255</v>
      </c>
      <c r="F528" s="326" t="s">
        <v>565</v>
      </c>
      <c r="G528" s="315">
        <v>0</v>
      </c>
      <c r="H528" s="305"/>
      <c r="I528" s="305" t="s">
        <v>152</v>
      </c>
      <c r="J528" s="305" t="s">
        <v>117</v>
      </c>
      <c r="K528" s="305" t="s">
        <v>1960</v>
      </c>
    </row>
    <row r="529" spans="1:11" x14ac:dyDescent="0.25">
      <c r="A529" s="302" t="str">
        <f t="shared" si="11"/>
        <v>Infrared Heater_0_MF_Therm Saved per Unit</v>
      </c>
      <c r="B529" s="303" t="s">
        <v>742</v>
      </c>
      <c r="C529" s="304">
        <v>0</v>
      </c>
      <c r="D529" s="303" t="s">
        <v>553</v>
      </c>
      <c r="E529" s="314" t="s">
        <v>326</v>
      </c>
      <c r="F529" s="326"/>
      <c r="G529" s="315">
        <f>(G526-G527)/150</f>
        <v>2.9611764705882342</v>
      </c>
      <c r="H529" s="305" t="s">
        <v>748</v>
      </c>
      <c r="I529" s="305" t="s">
        <v>152</v>
      </c>
      <c r="J529" s="305" t="s">
        <v>117</v>
      </c>
      <c r="K529" s="305" t="s">
        <v>1960</v>
      </c>
    </row>
    <row r="530" spans="1:11" x14ac:dyDescent="0.25">
      <c r="A530" s="302" t="str">
        <f t="shared" si="11"/>
        <v>Infrared Heater_0_MF_Lifetime (years)</v>
      </c>
      <c r="B530" s="303" t="s">
        <v>742</v>
      </c>
      <c r="C530" s="304">
        <v>0</v>
      </c>
      <c r="D530" s="303" t="s">
        <v>553</v>
      </c>
      <c r="E530" s="314" t="s">
        <v>259</v>
      </c>
      <c r="F530" s="326" t="s">
        <v>548</v>
      </c>
      <c r="G530" s="315">
        <v>15</v>
      </c>
      <c r="H530" s="305"/>
      <c r="I530" s="305" t="s">
        <v>152</v>
      </c>
      <c r="J530" s="305" t="s">
        <v>117</v>
      </c>
      <c r="K530" s="305" t="s">
        <v>1960</v>
      </c>
    </row>
    <row r="531" spans="1:11" x14ac:dyDescent="0.25">
      <c r="A531" s="302" t="str">
        <f t="shared" si="11"/>
        <v>Infrared Heater_0_MF_Incremental Cost</v>
      </c>
      <c r="B531" s="303" t="s">
        <v>742</v>
      </c>
      <c r="C531" s="304">
        <v>0</v>
      </c>
      <c r="D531" s="303" t="s">
        <v>553</v>
      </c>
      <c r="E531" s="314" t="s">
        <v>260</v>
      </c>
      <c r="F531" s="326" t="s">
        <v>749</v>
      </c>
      <c r="G531" s="315">
        <f>2.7</f>
        <v>2.7</v>
      </c>
      <c r="H531" s="357"/>
      <c r="I531" s="305" t="s">
        <v>152</v>
      </c>
      <c r="J531" s="305" t="s">
        <v>117</v>
      </c>
      <c r="K531" s="305" t="s">
        <v>1960</v>
      </c>
    </row>
    <row r="532" spans="1:11" s="324" customFormat="1" x14ac:dyDescent="0.25">
      <c r="A532" s="317" t="str">
        <f t="shared" si="11"/>
        <v>Infrared Heater_0_MF_</v>
      </c>
      <c r="B532" s="317" t="str">
        <f>B531</f>
        <v>Infrared Heater</v>
      </c>
      <c r="C532" s="332">
        <f>C531</f>
        <v>0</v>
      </c>
      <c r="D532" s="317" t="str">
        <f>D531</f>
        <v>MF</v>
      </c>
      <c r="E532" s="320"/>
      <c r="F532" s="320"/>
      <c r="G532" s="329"/>
      <c r="H532" s="320"/>
      <c r="I532" s="320"/>
      <c r="J532" s="320"/>
      <c r="K532" s="320"/>
    </row>
    <row r="533" spans="1:11" x14ac:dyDescent="0.25">
      <c r="A533" s="302" t="str">
        <f t="shared" si="11"/>
        <v>Floor Insulation Above Crawlspace_0_SF_ΔTherms</v>
      </c>
      <c r="B533" s="303" t="s">
        <v>244</v>
      </c>
      <c r="C533" s="304">
        <v>0</v>
      </c>
      <c r="D533" s="303" t="s">
        <v>409</v>
      </c>
      <c r="E533" s="305" t="s">
        <v>524</v>
      </c>
      <c r="F533" s="309" t="s">
        <v>564</v>
      </c>
      <c r="G533" s="307">
        <f>G548</f>
        <v>0.10176690251572328</v>
      </c>
      <c r="H533" s="305"/>
      <c r="I533" s="305" t="s">
        <v>152</v>
      </c>
      <c r="J533" s="305" t="s">
        <v>522</v>
      </c>
      <c r="K533" s="305" t="s">
        <v>2062</v>
      </c>
    </row>
    <row r="534" spans="1:11" x14ac:dyDescent="0.25">
      <c r="A534" s="302" t="str">
        <f t="shared" si="11"/>
        <v>Floor Insulation Above Crawlspace_0_SF_Fe</v>
      </c>
      <c r="B534" s="303" t="s">
        <v>244</v>
      </c>
      <c r="C534" s="304">
        <v>0</v>
      </c>
      <c r="D534" s="303" t="s">
        <v>409</v>
      </c>
      <c r="E534" s="305" t="s">
        <v>425</v>
      </c>
      <c r="F534" s="309" t="s">
        <v>539</v>
      </c>
      <c r="G534" s="350">
        <v>3.1399999999999997E-2</v>
      </c>
      <c r="H534" s="305"/>
      <c r="I534" s="305" t="s">
        <v>152</v>
      </c>
      <c r="J534" s="305" t="s">
        <v>522</v>
      </c>
      <c r="K534" s="305" t="s">
        <v>2062</v>
      </c>
    </row>
    <row r="535" spans="1:11" x14ac:dyDescent="0.25">
      <c r="A535" s="302" t="str">
        <f t="shared" si="11"/>
        <v>Floor Insulation Above Crawlspace_0_SF_Conversion</v>
      </c>
      <c r="B535" s="303" t="s">
        <v>244</v>
      </c>
      <c r="C535" s="304">
        <v>0</v>
      </c>
      <c r="D535" s="303" t="s">
        <v>409</v>
      </c>
      <c r="E535" s="305" t="s">
        <v>284</v>
      </c>
      <c r="F535" s="309" t="s">
        <v>611</v>
      </c>
      <c r="G535" s="307">
        <v>29.3</v>
      </c>
      <c r="H535" s="305"/>
      <c r="I535" s="305" t="s">
        <v>152</v>
      </c>
      <c r="J535" s="305" t="s">
        <v>522</v>
      </c>
      <c r="K535" s="305" t="s">
        <v>2062</v>
      </c>
    </row>
    <row r="536" spans="1:11" x14ac:dyDescent="0.25">
      <c r="A536" s="302" t="str">
        <f t="shared" si="11"/>
        <v>Floor Insulation Above Crawlspace_0_SF_Delta_kWh_heatingGas</v>
      </c>
      <c r="B536" s="303" t="s">
        <v>244</v>
      </c>
      <c r="C536" s="304">
        <v>0</v>
      </c>
      <c r="D536" s="303" t="s">
        <v>409</v>
      </c>
      <c r="E536" s="305" t="s">
        <v>488</v>
      </c>
      <c r="F536" s="309" t="s">
        <v>565</v>
      </c>
      <c r="G536" s="307">
        <f xml:space="preserve"> G533 * G534 * G535</f>
        <v>9.3627585652515721E-2</v>
      </c>
      <c r="H536" s="305"/>
      <c r="I536" s="305" t="s">
        <v>152</v>
      </c>
      <c r="J536" s="305" t="s">
        <v>522</v>
      </c>
      <c r="K536" s="305" t="s">
        <v>2062</v>
      </c>
    </row>
    <row r="537" spans="1:11" x14ac:dyDescent="0.25">
      <c r="A537" s="302" t="str">
        <f t="shared" si="11"/>
        <v>Floor Insulation Above Crawlspace_0_SF_R_old</v>
      </c>
      <c r="B537" s="303" t="s">
        <v>244</v>
      </c>
      <c r="C537" s="304">
        <v>0</v>
      </c>
      <c r="D537" s="303" t="s">
        <v>409</v>
      </c>
      <c r="E537" s="305" t="s">
        <v>492</v>
      </c>
      <c r="F537" s="309" t="s">
        <v>612</v>
      </c>
      <c r="G537" s="307">
        <v>3.96</v>
      </c>
      <c r="H537" s="305" t="s">
        <v>633</v>
      </c>
      <c r="I537" s="305" t="s">
        <v>633</v>
      </c>
      <c r="J537" s="305"/>
      <c r="K537" s="305"/>
    </row>
    <row r="538" spans="1:11" x14ac:dyDescent="0.25">
      <c r="A538" s="302" t="str">
        <f t="shared" si="11"/>
        <v>Floor Insulation Above Crawlspace_0_SF_R_added</v>
      </c>
      <c r="B538" s="303" t="s">
        <v>244</v>
      </c>
      <c r="C538" s="304">
        <v>0</v>
      </c>
      <c r="D538" s="303" t="s">
        <v>409</v>
      </c>
      <c r="E538" s="305" t="s">
        <v>497</v>
      </c>
      <c r="F538" s="309" t="s">
        <v>612</v>
      </c>
      <c r="G538" s="307">
        <v>13</v>
      </c>
      <c r="H538" s="305" t="s">
        <v>633</v>
      </c>
      <c r="I538" s="305" t="s">
        <v>633</v>
      </c>
      <c r="J538" s="305"/>
      <c r="K538" s="305"/>
    </row>
    <row r="539" spans="1:11" x14ac:dyDescent="0.25">
      <c r="A539" s="302" t="str">
        <f t="shared" si="11"/>
        <v>Floor Insulation Above Crawlspace_0_SF_Area</v>
      </c>
      <c r="B539" s="303" t="s">
        <v>244</v>
      </c>
      <c r="C539" s="304">
        <v>0</v>
      </c>
      <c r="D539" s="303" t="s">
        <v>409</v>
      </c>
      <c r="E539" s="305" t="s">
        <v>523</v>
      </c>
      <c r="F539" s="309" t="s">
        <v>751</v>
      </c>
      <c r="G539" s="307">
        <v>1</v>
      </c>
      <c r="H539" s="305" t="s">
        <v>633</v>
      </c>
      <c r="I539" s="305" t="s">
        <v>633</v>
      </c>
      <c r="J539" s="305"/>
      <c r="K539" s="305"/>
    </row>
    <row r="540" spans="1:11" x14ac:dyDescent="0.25">
      <c r="A540" s="302" t="str">
        <f t="shared" si="11"/>
        <v>Floor Insulation Above Crawlspace_0_SF_FramingFactor_Floor</v>
      </c>
      <c r="B540" s="303" t="s">
        <v>244</v>
      </c>
      <c r="C540" s="304">
        <v>0</v>
      </c>
      <c r="D540" s="303" t="s">
        <v>409</v>
      </c>
      <c r="E540" s="305" t="s">
        <v>752</v>
      </c>
      <c r="F540" s="309" t="s">
        <v>539</v>
      </c>
      <c r="G540" s="307">
        <v>0.12</v>
      </c>
      <c r="H540" s="305"/>
      <c r="I540" s="305" t="s">
        <v>152</v>
      </c>
      <c r="J540" s="305" t="s">
        <v>522</v>
      </c>
      <c r="K540" s="305" t="s">
        <v>2062</v>
      </c>
    </row>
    <row r="541" spans="1:11" x14ac:dyDescent="0.25">
      <c r="A541" s="302" t="str">
        <f t="shared" si="11"/>
        <v>Floor Insulation Above Crawlspace_0_SF_HDD</v>
      </c>
      <c r="B541" s="303" t="s">
        <v>244</v>
      </c>
      <c r="C541" s="304">
        <v>0</v>
      </c>
      <c r="D541" s="303" t="s">
        <v>409</v>
      </c>
      <c r="E541" s="311" t="s">
        <v>487</v>
      </c>
      <c r="F541" s="334"/>
      <c r="G541" s="337">
        <v>2845</v>
      </c>
      <c r="H541" s="311" t="s">
        <v>753</v>
      </c>
      <c r="I541" s="305" t="s">
        <v>152</v>
      </c>
      <c r="J541" s="305" t="s">
        <v>522</v>
      </c>
      <c r="K541" s="305" t="s">
        <v>2062</v>
      </c>
    </row>
    <row r="542" spans="1:11" x14ac:dyDescent="0.25">
      <c r="A542" s="302" t="str">
        <f t="shared" si="11"/>
        <v>Floor Insulation Above Crawlspace_0_SF_Conversion</v>
      </c>
      <c r="B542" s="303" t="s">
        <v>244</v>
      </c>
      <c r="C542" s="304">
        <v>0</v>
      </c>
      <c r="D542" s="303" t="s">
        <v>409</v>
      </c>
      <c r="E542" s="305" t="s">
        <v>284</v>
      </c>
      <c r="F542" s="309" t="s">
        <v>618</v>
      </c>
      <c r="G542" s="325">
        <v>24</v>
      </c>
      <c r="H542" s="305"/>
      <c r="I542" s="305" t="s">
        <v>152</v>
      </c>
      <c r="J542" s="305" t="s">
        <v>522</v>
      </c>
      <c r="K542" s="305" t="s">
        <v>2062</v>
      </c>
    </row>
    <row r="543" spans="1:11" x14ac:dyDescent="0.25">
      <c r="A543" s="302" t="str">
        <f t="shared" si="11"/>
        <v>Floor Insulation Above Crawlspace_0_SF_ADJ_FloorHeat</v>
      </c>
      <c r="B543" s="303" t="s">
        <v>244</v>
      </c>
      <c r="C543" s="304">
        <v>0</v>
      </c>
      <c r="D543" s="303" t="s">
        <v>409</v>
      </c>
      <c r="E543" s="311" t="s">
        <v>754</v>
      </c>
      <c r="F543" s="334"/>
      <c r="G543" s="334">
        <v>0.63</v>
      </c>
      <c r="H543" s="311"/>
      <c r="I543" s="305" t="s">
        <v>152</v>
      </c>
      <c r="J543" s="305" t="s">
        <v>522</v>
      </c>
      <c r="K543" s="305" t="s">
        <v>2062</v>
      </c>
    </row>
    <row r="544" spans="1:11" x14ac:dyDescent="0.25">
      <c r="A544" s="302" t="str">
        <f t="shared" si="11"/>
        <v>Floor Insulation Above Crawlspace_0_SF_% Gas Heating</v>
      </c>
      <c r="B544" s="303" t="s">
        <v>244</v>
      </c>
      <c r="C544" s="304">
        <v>0</v>
      </c>
      <c r="D544" s="303" t="s">
        <v>409</v>
      </c>
      <c r="E544" s="305" t="s">
        <v>269</v>
      </c>
      <c r="F544" s="309" t="s">
        <v>539</v>
      </c>
      <c r="G544" s="307">
        <v>1</v>
      </c>
      <c r="H544" s="305" t="s">
        <v>755</v>
      </c>
      <c r="I544" s="305" t="s">
        <v>152</v>
      </c>
      <c r="J544" s="305" t="s">
        <v>522</v>
      </c>
      <c r="K544" s="305" t="s">
        <v>2062</v>
      </c>
    </row>
    <row r="545" spans="1:11" x14ac:dyDescent="0.25">
      <c r="A545" s="302" t="str">
        <f t="shared" si="11"/>
        <v>Floor Insulation Above Crawlspace_0_SF_ηHeat_gas</v>
      </c>
      <c r="B545" s="303" t="s">
        <v>244</v>
      </c>
      <c r="C545" s="304">
        <v>0</v>
      </c>
      <c r="D545" s="303" t="s">
        <v>409</v>
      </c>
      <c r="E545" s="305" t="s">
        <v>756</v>
      </c>
      <c r="F545" s="309" t="s">
        <v>539</v>
      </c>
      <c r="G545" s="307">
        <v>0.72</v>
      </c>
      <c r="H545" s="305" t="s">
        <v>757</v>
      </c>
      <c r="I545" s="305" t="s">
        <v>152</v>
      </c>
      <c r="J545" s="305" t="s">
        <v>522</v>
      </c>
      <c r="K545" s="305" t="s">
        <v>2062</v>
      </c>
    </row>
    <row r="546" spans="1:11" x14ac:dyDescent="0.25">
      <c r="A546" s="302" t="str">
        <f t="shared" si="11"/>
        <v>Floor Insulation Above Crawlspace_0_SF_ηHeat - gas- MLA</v>
      </c>
      <c r="B546" s="303" t="s">
        <v>244</v>
      </c>
      <c r="C546" s="304">
        <v>0</v>
      </c>
      <c r="D546" s="303" t="s">
        <v>409</v>
      </c>
      <c r="E546" s="305" t="s">
        <v>621</v>
      </c>
      <c r="F546" s="309" t="s">
        <v>539</v>
      </c>
      <c r="G546" s="334">
        <v>0.68</v>
      </c>
      <c r="H546" s="311" t="s">
        <v>1924</v>
      </c>
      <c r="I546" s="305" t="s">
        <v>152</v>
      </c>
      <c r="J546" s="305" t="s">
        <v>522</v>
      </c>
      <c r="K546" s="305" t="s">
        <v>2062</v>
      </c>
    </row>
    <row r="547" spans="1:11" x14ac:dyDescent="0.25">
      <c r="A547" s="302" t="str">
        <f t="shared" si="11"/>
        <v>Floor Insulation Above Crawlspace_0_SF_Conversion</v>
      </c>
      <c r="B547" s="303" t="s">
        <v>244</v>
      </c>
      <c r="C547" s="304">
        <v>0</v>
      </c>
      <c r="D547" s="303" t="s">
        <v>409</v>
      </c>
      <c r="E547" s="305" t="s">
        <v>284</v>
      </c>
      <c r="F547" s="309" t="s">
        <v>622</v>
      </c>
      <c r="G547" s="325">
        <v>100000</v>
      </c>
      <c r="H547" s="305"/>
      <c r="I547" s="305" t="s">
        <v>152</v>
      </c>
      <c r="J547" s="305" t="s">
        <v>522</v>
      </c>
      <c r="K547" s="305" t="s">
        <v>2062</v>
      </c>
    </row>
    <row r="548" spans="1:11" x14ac:dyDescent="0.25">
      <c r="A548" s="302" t="str">
        <f t="shared" si="11"/>
        <v>Floor Insulation Above Crawlspace_0_SF_Delta_therms</v>
      </c>
      <c r="B548" s="303" t="s">
        <v>244</v>
      </c>
      <c r="C548" s="304">
        <v>0</v>
      </c>
      <c r="D548" s="303" t="s">
        <v>409</v>
      </c>
      <c r="E548" s="305" t="s">
        <v>491</v>
      </c>
      <c r="F548" s="309" t="s">
        <v>564</v>
      </c>
      <c r="G548" s="306">
        <f>((1/G537-1/(G538+G537))*G539*(1-G540)*G541*G542)/(G545*G547)*G543*G544</f>
        <v>0.10176690251572328</v>
      </c>
      <c r="H548" s="305"/>
      <c r="I548" s="305" t="s">
        <v>152</v>
      </c>
      <c r="J548" s="305" t="s">
        <v>522</v>
      </c>
      <c r="K548" s="305" t="s">
        <v>2062</v>
      </c>
    </row>
    <row r="549" spans="1:11" x14ac:dyDescent="0.25">
      <c r="A549" s="302" t="str">
        <f t="shared" si="11"/>
        <v>Floor Insulation Above Crawlspace_0_SF_kWh Saved per Unit</v>
      </c>
      <c r="B549" s="303" t="s">
        <v>244</v>
      </c>
      <c r="C549" s="304">
        <v>0</v>
      </c>
      <c r="D549" s="303" t="s">
        <v>409</v>
      </c>
      <c r="E549" s="314" t="s">
        <v>255</v>
      </c>
      <c r="F549" s="326"/>
      <c r="G549" s="315">
        <f>G536</f>
        <v>9.3627585652515721E-2</v>
      </c>
      <c r="H549" s="305"/>
      <c r="I549" s="305" t="s">
        <v>152</v>
      </c>
      <c r="J549" s="305" t="s">
        <v>522</v>
      </c>
      <c r="K549" s="305" t="s">
        <v>2062</v>
      </c>
    </row>
    <row r="550" spans="1:11" x14ac:dyDescent="0.25">
      <c r="A550" s="302" t="str">
        <f t="shared" si="11"/>
        <v>Floor Insulation Above Crawlspace_0_SF_Therm Saved per Unit</v>
      </c>
      <c r="B550" s="303" t="s">
        <v>244</v>
      </c>
      <c r="C550" s="304">
        <v>0</v>
      </c>
      <c r="D550" s="303" t="s">
        <v>409</v>
      </c>
      <c r="E550" s="314" t="s">
        <v>326</v>
      </c>
      <c r="F550" s="326" t="s">
        <v>758</v>
      </c>
      <c r="G550" s="326">
        <f>G548</f>
        <v>0.10176690251572328</v>
      </c>
      <c r="H550" s="305" t="s">
        <v>1934</v>
      </c>
      <c r="I550" s="305" t="s">
        <v>152</v>
      </c>
      <c r="J550" s="305" t="s">
        <v>522</v>
      </c>
      <c r="K550" s="305" t="s">
        <v>2062</v>
      </c>
    </row>
    <row r="551" spans="1:11" x14ac:dyDescent="0.25">
      <c r="A551" s="302" t="str">
        <f t="shared" si="11"/>
        <v>Floor Insulation Above Crawlspace_0_SF_Therm Saved per Unit- MLA</v>
      </c>
      <c r="B551" s="303" t="s">
        <v>244</v>
      </c>
      <c r="C551" s="304">
        <v>0</v>
      </c>
      <c r="D551" s="303" t="s">
        <v>409</v>
      </c>
      <c r="E551" s="314" t="s">
        <v>626</v>
      </c>
      <c r="F551" s="326" t="s">
        <v>758</v>
      </c>
      <c r="G551" s="315">
        <f>((1/G537-1/(G538+G537))*G539*(1-G540)*G541*G542)/(G546*G547)*G543*G544</f>
        <v>0.10775319089900112</v>
      </c>
      <c r="H551" s="305" t="s">
        <v>627</v>
      </c>
      <c r="I551" s="305" t="s">
        <v>152</v>
      </c>
      <c r="J551" s="305" t="s">
        <v>522</v>
      </c>
      <c r="K551" s="305" t="s">
        <v>2062</v>
      </c>
    </row>
    <row r="552" spans="1:11" x14ac:dyDescent="0.25">
      <c r="A552" s="302" t="str">
        <f t="shared" si="11"/>
        <v>Floor Insulation Above Crawlspace_0_SF_Lifetime (years)</v>
      </c>
      <c r="B552" s="303" t="s">
        <v>244</v>
      </c>
      <c r="C552" s="304">
        <v>0</v>
      </c>
      <c r="D552" s="303" t="s">
        <v>409</v>
      </c>
      <c r="E552" s="311" t="s">
        <v>259</v>
      </c>
      <c r="F552" s="334" t="s">
        <v>548</v>
      </c>
      <c r="G552" s="310">
        <v>30</v>
      </c>
      <c r="H552" s="311"/>
      <c r="I552" s="305" t="s">
        <v>152</v>
      </c>
      <c r="J552" s="305" t="s">
        <v>522</v>
      </c>
      <c r="K552" s="305" t="s">
        <v>2062</v>
      </c>
    </row>
    <row r="553" spans="1:11" x14ac:dyDescent="0.25">
      <c r="A553" s="302" t="str">
        <f t="shared" si="11"/>
        <v>Floor Insulation Above Crawlspace_0_SF_Lifetime (years) - Remaining Years</v>
      </c>
      <c r="B553" s="303" t="s">
        <v>244</v>
      </c>
      <c r="C553" s="304">
        <v>0</v>
      </c>
      <c r="D553" s="303" t="s">
        <v>409</v>
      </c>
      <c r="E553" s="314" t="s">
        <v>628</v>
      </c>
      <c r="F553" s="326" t="s">
        <v>548</v>
      </c>
      <c r="G553" s="315">
        <v>10</v>
      </c>
      <c r="H553" s="305" t="s">
        <v>629</v>
      </c>
      <c r="I553" s="305" t="s">
        <v>152</v>
      </c>
      <c r="J553" s="305" t="s">
        <v>522</v>
      </c>
      <c r="K553" s="305" t="s">
        <v>2062</v>
      </c>
    </row>
    <row r="554" spans="1:11" x14ac:dyDescent="0.25">
      <c r="A554" s="302" t="str">
        <f t="shared" si="11"/>
        <v>Floor Insulation Above Crawlspace_0_SF_Incremental Cost</v>
      </c>
      <c r="B554" s="303" t="s">
        <v>244</v>
      </c>
      <c r="C554" s="304">
        <v>0</v>
      </c>
      <c r="D554" s="303" t="s">
        <v>409</v>
      </c>
      <c r="E554" s="314" t="s">
        <v>260</v>
      </c>
      <c r="F554" s="327" t="s">
        <v>549</v>
      </c>
      <c r="G554" s="331">
        <v>0</v>
      </c>
      <c r="H554" s="305" t="s">
        <v>4</v>
      </c>
      <c r="I554" s="305" t="s">
        <v>152</v>
      </c>
      <c r="J554" s="305" t="s">
        <v>522</v>
      </c>
      <c r="K554" s="305" t="s">
        <v>2062</v>
      </c>
    </row>
    <row r="555" spans="1:11" s="324" customFormat="1" x14ac:dyDescent="0.25">
      <c r="A555" s="317" t="str">
        <f t="shared" si="11"/>
        <v>Floor Insulation Above Crawlspace_0_SF_</v>
      </c>
      <c r="B555" s="317" t="str">
        <f>B554</f>
        <v>Floor Insulation Above Crawlspace</v>
      </c>
      <c r="C555" s="332">
        <f>C554</f>
        <v>0</v>
      </c>
      <c r="D555" s="317" t="str">
        <f>D554</f>
        <v>SF</v>
      </c>
      <c r="E555" s="320"/>
      <c r="F555" s="320"/>
      <c r="G555" s="329"/>
      <c r="H555" s="320"/>
      <c r="I555" s="320"/>
      <c r="J555" s="320"/>
      <c r="K555" s="320"/>
    </row>
    <row r="556" spans="1:11" x14ac:dyDescent="0.25">
      <c r="A556" s="302" t="str">
        <f t="shared" si="11"/>
        <v>Rim Joist Insulation_0_SF_R_old</v>
      </c>
      <c r="B556" s="303" t="s">
        <v>759</v>
      </c>
      <c r="C556" s="304">
        <v>0</v>
      </c>
      <c r="D556" s="303" t="s">
        <v>409</v>
      </c>
      <c r="E556" s="305" t="s">
        <v>492</v>
      </c>
      <c r="F556" s="309" t="s">
        <v>612</v>
      </c>
      <c r="G556" s="307">
        <v>5</v>
      </c>
      <c r="H556" s="305" t="s">
        <v>760</v>
      </c>
      <c r="I556" s="305" t="s">
        <v>152</v>
      </c>
      <c r="J556" s="305" t="s">
        <v>108</v>
      </c>
      <c r="K556" s="305" t="s">
        <v>2065</v>
      </c>
    </row>
    <row r="557" spans="1:11" x14ac:dyDescent="0.25">
      <c r="A557" s="302" t="str">
        <f t="shared" si="11"/>
        <v>Rim Joist Insulation_0_SF_R_Rim</v>
      </c>
      <c r="B557" s="303" t="s">
        <v>759</v>
      </c>
      <c r="C557" s="304">
        <v>0</v>
      </c>
      <c r="D557" s="303" t="s">
        <v>409</v>
      </c>
      <c r="E557" s="305" t="s">
        <v>762</v>
      </c>
      <c r="F557" s="309" t="s">
        <v>612</v>
      </c>
      <c r="G557" s="307">
        <v>17</v>
      </c>
      <c r="H557" s="305" t="s">
        <v>763</v>
      </c>
      <c r="I557" s="305" t="s">
        <v>633</v>
      </c>
      <c r="J557" s="305" t="s">
        <v>764</v>
      </c>
      <c r="K557" s="305" t="s">
        <v>765</v>
      </c>
    </row>
    <row r="558" spans="1:11" x14ac:dyDescent="0.25">
      <c r="A558" s="302" t="str">
        <f t="shared" si="11"/>
        <v>Rim Joist Insulation_0_SF_A_Rim</v>
      </c>
      <c r="B558" s="303" t="s">
        <v>759</v>
      </c>
      <c r="C558" s="304">
        <v>0</v>
      </c>
      <c r="D558" s="303" t="s">
        <v>409</v>
      </c>
      <c r="E558" s="305" t="s">
        <v>766</v>
      </c>
      <c r="F558" s="309" t="s">
        <v>751</v>
      </c>
      <c r="G558" s="307">
        <v>1</v>
      </c>
      <c r="H558" s="305" t="s">
        <v>767</v>
      </c>
      <c r="I558" s="305" t="s">
        <v>633</v>
      </c>
      <c r="J558" s="305"/>
      <c r="K558" s="305"/>
    </row>
    <row r="559" spans="1:11" x14ac:dyDescent="0.25">
      <c r="A559" s="302" t="str">
        <f t="shared" si="11"/>
        <v>Rim Joist Insulation_0_SF_FramingFactor_Rim</v>
      </c>
      <c r="B559" s="303" t="s">
        <v>759</v>
      </c>
      <c r="C559" s="304">
        <v>0</v>
      </c>
      <c r="D559" s="303" t="s">
        <v>409</v>
      </c>
      <c r="E559" s="305" t="s">
        <v>768</v>
      </c>
      <c r="F559" s="309" t="s">
        <v>539</v>
      </c>
      <c r="G559" s="307">
        <v>0.05</v>
      </c>
      <c r="H559" s="305"/>
      <c r="I559" s="305" t="s">
        <v>152</v>
      </c>
      <c r="J559" s="305" t="s">
        <v>108</v>
      </c>
      <c r="K559" s="305" t="s">
        <v>2065</v>
      </c>
    </row>
    <row r="560" spans="1:11" x14ac:dyDescent="0.25">
      <c r="A560" s="302" t="str">
        <f t="shared" si="11"/>
        <v>Rim Joist Insulation_0_SF_CDD</v>
      </c>
      <c r="B560" s="303" t="s">
        <v>759</v>
      </c>
      <c r="C560" s="304">
        <v>0</v>
      </c>
      <c r="D560" s="303" t="s">
        <v>409</v>
      </c>
      <c r="E560" s="305" t="s">
        <v>483</v>
      </c>
      <c r="F560" s="309"/>
      <c r="G560" s="307">
        <v>281</v>
      </c>
      <c r="H560" s="305" t="s">
        <v>769</v>
      </c>
      <c r="I560" s="305" t="s">
        <v>152</v>
      </c>
      <c r="J560" s="305" t="s">
        <v>108</v>
      </c>
      <c r="K560" s="305" t="s">
        <v>2065</v>
      </c>
    </row>
    <row r="561" spans="1:11" x14ac:dyDescent="0.25">
      <c r="A561" s="302" t="str">
        <f t="shared" si="11"/>
        <v>Rim Joist Insulation_0_SF_Conversion</v>
      </c>
      <c r="B561" s="303" t="s">
        <v>759</v>
      </c>
      <c r="C561" s="304">
        <v>0</v>
      </c>
      <c r="D561" s="303" t="s">
        <v>409</v>
      </c>
      <c r="E561" s="305" t="s">
        <v>284</v>
      </c>
      <c r="F561" s="309" t="s">
        <v>618</v>
      </c>
      <c r="G561" s="325">
        <v>24</v>
      </c>
      <c r="H561" s="305"/>
      <c r="I561" s="305" t="s">
        <v>152</v>
      </c>
      <c r="J561" s="305" t="s">
        <v>108</v>
      </c>
      <c r="K561" s="305" t="s">
        <v>2065</v>
      </c>
    </row>
    <row r="562" spans="1:11" x14ac:dyDescent="0.25">
      <c r="A562" s="302" t="str">
        <f t="shared" si="11"/>
        <v>Rim Joist Insulation_0_SF_DUA</v>
      </c>
      <c r="B562" s="303" t="s">
        <v>759</v>
      </c>
      <c r="C562" s="304">
        <v>0</v>
      </c>
      <c r="D562" s="303" t="s">
        <v>409</v>
      </c>
      <c r="E562" s="305" t="s">
        <v>484</v>
      </c>
      <c r="F562" s="309"/>
      <c r="G562" s="307">
        <v>0.75</v>
      </c>
      <c r="H562" s="305"/>
      <c r="I562" s="305" t="s">
        <v>152</v>
      </c>
      <c r="J562" s="305" t="s">
        <v>108</v>
      </c>
      <c r="K562" s="305" t="s">
        <v>2065</v>
      </c>
    </row>
    <row r="563" spans="1:11" x14ac:dyDescent="0.25">
      <c r="A563" s="302" t="str">
        <f t="shared" si="11"/>
        <v>Rim Joist Insulation_0_SF_ADJ_BasementCool</v>
      </c>
      <c r="B563" s="303" t="s">
        <v>759</v>
      </c>
      <c r="C563" s="304">
        <v>0</v>
      </c>
      <c r="D563" s="303" t="s">
        <v>409</v>
      </c>
      <c r="E563" s="305" t="s">
        <v>770</v>
      </c>
      <c r="F563" s="309" t="s">
        <v>539</v>
      </c>
      <c r="G563" s="307">
        <v>0.8</v>
      </c>
      <c r="H563" s="305"/>
      <c r="I563" s="305" t="s">
        <v>152</v>
      </c>
      <c r="J563" s="305" t="s">
        <v>108</v>
      </c>
      <c r="K563" s="305" t="s">
        <v>2065</v>
      </c>
    </row>
    <row r="564" spans="1:11" x14ac:dyDescent="0.25">
      <c r="A564" s="302" t="str">
        <f t="shared" si="11"/>
        <v>Rim Joist Insulation_0_SF_%Cool</v>
      </c>
      <c r="B564" s="303" t="s">
        <v>759</v>
      </c>
      <c r="C564" s="304">
        <v>0</v>
      </c>
      <c r="D564" s="303" t="s">
        <v>409</v>
      </c>
      <c r="E564" s="305" t="s">
        <v>486</v>
      </c>
      <c r="F564" s="309" t="s">
        <v>539</v>
      </c>
      <c r="G564" s="307">
        <v>0.66</v>
      </c>
      <c r="H564" s="305" t="s">
        <v>771</v>
      </c>
      <c r="I564" s="305" t="s">
        <v>152</v>
      </c>
      <c r="J564" s="305" t="s">
        <v>108</v>
      </c>
      <c r="K564" s="305" t="s">
        <v>2065</v>
      </c>
    </row>
    <row r="565" spans="1:11" x14ac:dyDescent="0.25">
      <c r="A565" s="302" t="str">
        <f t="shared" si="11"/>
        <v>Rim Joist Insulation_0_SF_Conversion</v>
      </c>
      <c r="B565" s="303" t="s">
        <v>759</v>
      </c>
      <c r="C565" s="304">
        <v>0</v>
      </c>
      <c r="D565" s="303" t="s">
        <v>409</v>
      </c>
      <c r="E565" s="305" t="s">
        <v>284</v>
      </c>
      <c r="F565" s="309" t="s">
        <v>772</v>
      </c>
      <c r="G565" s="354">
        <v>1000</v>
      </c>
      <c r="H565" s="305"/>
      <c r="I565" s="305" t="s">
        <v>152</v>
      </c>
      <c r="J565" s="305" t="s">
        <v>108</v>
      </c>
      <c r="K565" s="305" t="s">
        <v>2065</v>
      </c>
    </row>
    <row r="566" spans="1:11" x14ac:dyDescent="0.25">
      <c r="A566" s="302" t="str">
        <f t="shared" si="11"/>
        <v>Rim Joist Insulation_0_SF_ηCool</v>
      </c>
      <c r="B566" s="303" t="s">
        <v>759</v>
      </c>
      <c r="C566" s="304">
        <v>0</v>
      </c>
      <c r="D566" s="303" t="s">
        <v>409</v>
      </c>
      <c r="E566" s="305" t="s">
        <v>485</v>
      </c>
      <c r="F566" s="309" t="s">
        <v>271</v>
      </c>
      <c r="G566" s="307">
        <v>10.5</v>
      </c>
      <c r="H566" s="305" t="s">
        <v>773</v>
      </c>
      <c r="I566" s="305" t="s">
        <v>152</v>
      </c>
      <c r="J566" s="305" t="s">
        <v>108</v>
      </c>
      <c r="K566" s="305" t="s">
        <v>2065</v>
      </c>
    </row>
    <row r="567" spans="1:11" x14ac:dyDescent="0.25">
      <c r="A567" s="302" t="str">
        <f t="shared" si="11"/>
        <v>Rim Joist Insulation_0_SF_Delta_kWh_cooling</v>
      </c>
      <c r="B567" s="303" t="s">
        <v>759</v>
      </c>
      <c r="C567" s="304">
        <v>0</v>
      </c>
      <c r="D567" s="303" t="s">
        <v>409</v>
      </c>
      <c r="E567" s="305" t="s">
        <v>403</v>
      </c>
      <c r="F567" s="309" t="s">
        <v>565</v>
      </c>
      <c r="G567" s="307">
        <f>((1/G556-1/G557)*G558*(1-G559)*G560*G561*G562*G563*G564)/(G565*G566)</f>
        <v>3.4112172100840332E-2</v>
      </c>
      <c r="H567" s="305"/>
      <c r="I567" s="305" t="s">
        <v>152</v>
      </c>
      <c r="J567" s="305" t="s">
        <v>108</v>
      </c>
      <c r="K567" s="305" t="s">
        <v>2065</v>
      </c>
    </row>
    <row r="568" spans="1:11" x14ac:dyDescent="0.25">
      <c r="A568" s="302" t="str">
        <f t="shared" si="11"/>
        <v>Rim Joist Insulation_0_SF_R_old</v>
      </c>
      <c r="B568" s="303" t="s">
        <v>759</v>
      </c>
      <c r="C568" s="304">
        <v>0</v>
      </c>
      <c r="D568" s="303" t="s">
        <v>409</v>
      </c>
      <c r="E568" s="305" t="s">
        <v>492</v>
      </c>
      <c r="F568" s="309" t="s">
        <v>612</v>
      </c>
      <c r="G568" s="307">
        <v>5</v>
      </c>
      <c r="H568" s="305" t="s">
        <v>774</v>
      </c>
      <c r="I568" s="305" t="s">
        <v>152</v>
      </c>
      <c r="J568" s="305" t="s">
        <v>108</v>
      </c>
      <c r="K568" s="305" t="s">
        <v>2065</v>
      </c>
    </row>
    <row r="569" spans="1:11" x14ac:dyDescent="0.25">
      <c r="A569" s="302" t="str">
        <f t="shared" si="11"/>
        <v>Rim Joist Insulation_0_SF_R_Rim</v>
      </c>
      <c r="B569" s="303" t="s">
        <v>759</v>
      </c>
      <c r="C569" s="304">
        <v>0</v>
      </c>
      <c r="D569" s="303" t="s">
        <v>409</v>
      </c>
      <c r="E569" s="305" t="s">
        <v>762</v>
      </c>
      <c r="F569" s="309" t="s">
        <v>612</v>
      </c>
      <c r="G569" s="307">
        <v>17</v>
      </c>
      <c r="H569" s="305" t="s">
        <v>763</v>
      </c>
      <c r="I569" s="305" t="s">
        <v>633</v>
      </c>
      <c r="J569" s="305" t="s">
        <v>764</v>
      </c>
      <c r="K569" s="305" t="s">
        <v>765</v>
      </c>
    </row>
    <row r="570" spans="1:11" x14ac:dyDescent="0.25">
      <c r="A570" s="302" t="str">
        <f t="shared" si="11"/>
        <v>Rim Joist Insulation_0_SF_A_Rim</v>
      </c>
      <c r="B570" s="303" t="s">
        <v>759</v>
      </c>
      <c r="C570" s="304">
        <v>0</v>
      </c>
      <c r="D570" s="303" t="s">
        <v>409</v>
      </c>
      <c r="E570" s="305" t="s">
        <v>766</v>
      </c>
      <c r="F570" s="309" t="s">
        <v>751</v>
      </c>
      <c r="G570" s="307">
        <v>1</v>
      </c>
      <c r="H570" s="305" t="s">
        <v>767</v>
      </c>
      <c r="I570" s="305" t="s">
        <v>152</v>
      </c>
      <c r="J570" s="305" t="s">
        <v>108</v>
      </c>
      <c r="K570" s="305" t="s">
        <v>2065</v>
      </c>
    </row>
    <row r="571" spans="1:11" x14ac:dyDescent="0.25">
      <c r="A571" s="302" t="str">
        <f t="shared" si="11"/>
        <v>Rim Joist Insulation_0_SF_FramingFactor_Rim</v>
      </c>
      <c r="B571" s="303" t="s">
        <v>759</v>
      </c>
      <c r="C571" s="304">
        <v>0</v>
      </c>
      <c r="D571" s="303" t="s">
        <v>409</v>
      </c>
      <c r="E571" s="305" t="s">
        <v>768</v>
      </c>
      <c r="F571" s="309" t="s">
        <v>539</v>
      </c>
      <c r="G571" s="307">
        <v>0.05</v>
      </c>
      <c r="H571" s="305"/>
      <c r="I571" s="305" t="s">
        <v>152</v>
      </c>
      <c r="J571" s="305" t="s">
        <v>108</v>
      </c>
      <c r="K571" s="305" t="s">
        <v>2065</v>
      </c>
    </row>
    <row r="572" spans="1:11" x14ac:dyDescent="0.25">
      <c r="A572" s="302" t="str">
        <f t="shared" si="11"/>
        <v>Rim Joist Insulation_0_SF_HDD</v>
      </c>
      <c r="B572" s="303" t="s">
        <v>759</v>
      </c>
      <c r="C572" s="304">
        <v>0</v>
      </c>
      <c r="D572" s="303" t="s">
        <v>409</v>
      </c>
      <c r="E572" s="311" t="s">
        <v>487</v>
      </c>
      <c r="F572" s="334"/>
      <c r="G572" s="337">
        <v>2845</v>
      </c>
      <c r="H572" s="311" t="s">
        <v>753</v>
      </c>
      <c r="I572" s="305" t="s">
        <v>152</v>
      </c>
      <c r="J572" s="305" t="s">
        <v>108</v>
      </c>
      <c r="K572" s="305" t="s">
        <v>2065</v>
      </c>
    </row>
    <row r="573" spans="1:11" x14ac:dyDescent="0.25">
      <c r="A573" s="302" t="str">
        <f t="shared" si="11"/>
        <v>Rim Joist Insulation_0_SF_Conversion</v>
      </c>
      <c r="B573" s="303" t="s">
        <v>759</v>
      </c>
      <c r="C573" s="304">
        <v>0</v>
      </c>
      <c r="D573" s="303" t="s">
        <v>409</v>
      </c>
      <c r="E573" s="305" t="s">
        <v>284</v>
      </c>
      <c r="F573" s="309" t="s">
        <v>618</v>
      </c>
      <c r="G573" s="325">
        <v>24</v>
      </c>
      <c r="H573" s="305"/>
      <c r="I573" s="305" t="s">
        <v>152</v>
      </c>
      <c r="J573" s="305" t="s">
        <v>108</v>
      </c>
      <c r="K573" s="305" t="s">
        <v>2065</v>
      </c>
    </row>
    <row r="574" spans="1:11" x14ac:dyDescent="0.25">
      <c r="A574" s="302" t="str">
        <f t="shared" si="11"/>
        <v>Rim Joist Insulation_0_SF_ADJ_BasementHeat</v>
      </c>
      <c r="B574" s="303" t="s">
        <v>759</v>
      </c>
      <c r="C574" s="304">
        <v>0</v>
      </c>
      <c r="D574" s="303" t="s">
        <v>409</v>
      </c>
      <c r="E574" s="311" t="s">
        <v>623</v>
      </c>
      <c r="F574" s="334" t="s">
        <v>539</v>
      </c>
      <c r="G574" s="334">
        <v>0.63</v>
      </c>
      <c r="H574" s="311"/>
      <c r="I574" s="305" t="s">
        <v>152</v>
      </c>
      <c r="J574" s="305" t="s">
        <v>108</v>
      </c>
      <c r="K574" s="305" t="s">
        <v>2065</v>
      </c>
    </row>
    <row r="575" spans="1:11" x14ac:dyDescent="0.25">
      <c r="A575" s="302" t="str">
        <f t="shared" si="11"/>
        <v>Rim Joist Insulation_0_SF_% Electric Heating</v>
      </c>
      <c r="B575" s="303" t="s">
        <v>759</v>
      </c>
      <c r="C575" s="304">
        <v>0</v>
      </c>
      <c r="D575" s="303" t="s">
        <v>409</v>
      </c>
      <c r="E575" s="305" t="s">
        <v>268</v>
      </c>
      <c r="F575" s="309" t="s">
        <v>539</v>
      </c>
      <c r="G575" s="307">
        <v>0</v>
      </c>
      <c r="H575" s="305" t="s">
        <v>755</v>
      </c>
      <c r="I575" s="305" t="s">
        <v>152</v>
      </c>
      <c r="J575" s="305" t="s">
        <v>108</v>
      </c>
      <c r="K575" s="305" t="s">
        <v>2065</v>
      </c>
    </row>
    <row r="576" spans="1:11" x14ac:dyDescent="0.25">
      <c r="A576" s="302" t="str">
        <f t="shared" si="11"/>
        <v>Rim Joist Insulation_0_SF_ηHeat_electric</v>
      </c>
      <c r="B576" s="303" t="s">
        <v>759</v>
      </c>
      <c r="C576" s="304">
        <v>0</v>
      </c>
      <c r="D576" s="303" t="s">
        <v>409</v>
      </c>
      <c r="E576" s="305" t="s">
        <v>775</v>
      </c>
      <c r="F576" s="309"/>
      <c r="G576" s="307">
        <v>1.28</v>
      </c>
      <c r="H576" s="305" t="s">
        <v>771</v>
      </c>
      <c r="I576" s="305" t="s">
        <v>152</v>
      </c>
      <c r="J576" s="305" t="s">
        <v>108</v>
      </c>
      <c r="K576" s="305" t="s">
        <v>2065</v>
      </c>
    </row>
    <row r="577" spans="1:11" x14ac:dyDescent="0.25">
      <c r="A577" s="302" t="str">
        <f t="shared" si="11"/>
        <v>Rim Joist Insulation_0_SF_Conversion</v>
      </c>
      <c r="B577" s="303" t="s">
        <v>759</v>
      </c>
      <c r="C577" s="304">
        <v>0</v>
      </c>
      <c r="D577" s="303" t="s">
        <v>409</v>
      </c>
      <c r="E577" s="305" t="s">
        <v>284</v>
      </c>
      <c r="F577" s="309" t="s">
        <v>776</v>
      </c>
      <c r="G577" s="325">
        <v>3412</v>
      </c>
      <c r="H577" s="305"/>
      <c r="I577" s="305" t="s">
        <v>152</v>
      </c>
      <c r="J577" s="305" t="s">
        <v>108</v>
      </c>
      <c r="K577" s="305" t="s">
        <v>2065</v>
      </c>
    </row>
    <row r="578" spans="1:11" x14ac:dyDescent="0.25">
      <c r="A578" s="302" t="str">
        <f t="shared" si="11"/>
        <v>Rim Joist Insulation_0_SF_Delta_heatingElectric</v>
      </c>
      <c r="B578" s="303" t="s">
        <v>759</v>
      </c>
      <c r="C578" s="304">
        <v>0</v>
      </c>
      <c r="D578" s="303" t="s">
        <v>409</v>
      </c>
      <c r="E578" s="305" t="s">
        <v>777</v>
      </c>
      <c r="F578" s="309"/>
      <c r="G578" s="307">
        <f>((1/G568-1/G569)*G570*(1-G571)*G572*G573*G574*G575)/(G576*G577)</f>
        <v>0</v>
      </c>
      <c r="H578" s="305"/>
      <c r="I578" s="305" t="s">
        <v>152</v>
      </c>
      <c r="J578" s="305" t="s">
        <v>108</v>
      </c>
      <c r="K578" s="305" t="s">
        <v>2065</v>
      </c>
    </row>
    <row r="579" spans="1:11" x14ac:dyDescent="0.25">
      <c r="A579" s="302" t="str">
        <f t="shared" si="11"/>
        <v>Rim Joist Insulation_0_SF_ΔTherms</v>
      </c>
      <c r="B579" s="303" t="s">
        <v>759</v>
      </c>
      <c r="C579" s="304">
        <v>0</v>
      </c>
      <c r="D579" s="303" t="s">
        <v>409</v>
      </c>
      <c r="E579" s="305" t="s">
        <v>524</v>
      </c>
      <c r="F579" s="309" t="s">
        <v>564</v>
      </c>
      <c r="G579" s="307">
        <f>G598</f>
        <v>0.13513425882352939</v>
      </c>
      <c r="H579" s="305"/>
      <c r="I579" s="305" t="s">
        <v>152</v>
      </c>
      <c r="J579" s="305" t="s">
        <v>108</v>
      </c>
      <c r="K579" s="305" t="s">
        <v>2065</v>
      </c>
    </row>
    <row r="580" spans="1:11" x14ac:dyDescent="0.25">
      <c r="A580" s="302" t="str">
        <f t="shared" si="11"/>
        <v>Rim Joist Insulation_0_SF_Fe</v>
      </c>
      <c r="B580" s="303" t="s">
        <v>759</v>
      </c>
      <c r="C580" s="304">
        <v>0</v>
      </c>
      <c r="D580" s="303" t="s">
        <v>409</v>
      </c>
      <c r="E580" s="305" t="s">
        <v>425</v>
      </c>
      <c r="F580" s="309" t="s">
        <v>539</v>
      </c>
      <c r="G580" s="350">
        <v>3.1399999999999997E-2</v>
      </c>
      <c r="H580" s="305"/>
      <c r="I580" s="305" t="s">
        <v>152</v>
      </c>
      <c r="J580" s="305" t="s">
        <v>108</v>
      </c>
      <c r="K580" s="305" t="s">
        <v>2065</v>
      </c>
    </row>
    <row r="581" spans="1:11" x14ac:dyDescent="0.25">
      <c r="A581" s="302" t="str">
        <f t="shared" si="11"/>
        <v>Rim Joist Insulation_0_SF_Conversion</v>
      </c>
      <c r="B581" s="303" t="s">
        <v>759</v>
      </c>
      <c r="C581" s="304">
        <v>0</v>
      </c>
      <c r="D581" s="303" t="s">
        <v>409</v>
      </c>
      <c r="E581" s="305" t="s">
        <v>284</v>
      </c>
      <c r="F581" s="309" t="s">
        <v>611</v>
      </c>
      <c r="G581" s="307">
        <v>29.3</v>
      </c>
      <c r="H581" s="305"/>
      <c r="I581" s="305" t="s">
        <v>152</v>
      </c>
      <c r="J581" s="305" t="s">
        <v>108</v>
      </c>
      <c r="K581" s="305" t="s">
        <v>2065</v>
      </c>
    </row>
    <row r="582" spans="1:11" x14ac:dyDescent="0.25">
      <c r="A582" s="302" t="str">
        <f t="shared" si="11"/>
        <v>Rim Joist Insulation_0_SF_Delta_kWh_heatingGas</v>
      </c>
      <c r="B582" s="303" t="s">
        <v>759</v>
      </c>
      <c r="C582" s="304">
        <v>0</v>
      </c>
      <c r="D582" s="303" t="s">
        <v>409</v>
      </c>
      <c r="E582" s="305" t="s">
        <v>488</v>
      </c>
      <c r="F582" s="309" t="s">
        <v>565</v>
      </c>
      <c r="G582" s="307">
        <f xml:space="preserve"> G579 * G580 * G581</f>
        <v>0.1243262208028235</v>
      </c>
      <c r="H582" s="305"/>
      <c r="I582" s="305" t="s">
        <v>152</v>
      </c>
      <c r="J582" s="305" t="s">
        <v>108</v>
      </c>
      <c r="K582" s="305" t="s">
        <v>2065</v>
      </c>
    </row>
    <row r="583" spans="1:11" x14ac:dyDescent="0.25">
      <c r="A583" s="302" t="str">
        <f t="shared" si="11"/>
        <v>Rim Joist Insulation_0_SF_Delta_kWh_cooling</v>
      </c>
      <c r="B583" s="303" t="s">
        <v>759</v>
      </c>
      <c r="C583" s="304">
        <v>0</v>
      </c>
      <c r="D583" s="303" t="s">
        <v>409</v>
      </c>
      <c r="E583" s="305" t="s">
        <v>403</v>
      </c>
      <c r="F583" s="309" t="s">
        <v>565</v>
      </c>
      <c r="G583" s="307">
        <f>G567</f>
        <v>3.4112172100840332E-2</v>
      </c>
      <c r="H583" s="305"/>
      <c r="I583" s="305" t="s">
        <v>152</v>
      </c>
      <c r="J583" s="305" t="s">
        <v>108</v>
      </c>
      <c r="K583" s="305" t="s">
        <v>2065</v>
      </c>
    </row>
    <row r="584" spans="1:11" x14ac:dyDescent="0.25">
      <c r="A584" s="302" t="str">
        <f t="shared" si="11"/>
        <v>Rim Joist Insulation_0_SF_FLH Cooling</v>
      </c>
      <c r="B584" s="303" t="s">
        <v>759</v>
      </c>
      <c r="C584" s="304">
        <v>0</v>
      </c>
      <c r="D584" s="303" t="s">
        <v>409</v>
      </c>
      <c r="E584" s="305" t="s">
        <v>249</v>
      </c>
      <c r="F584" s="305" t="s">
        <v>283</v>
      </c>
      <c r="G584" s="325">
        <v>570</v>
      </c>
      <c r="H584" s="305" t="s">
        <v>778</v>
      </c>
      <c r="I584" s="305" t="s">
        <v>152</v>
      </c>
      <c r="J584" s="305" t="s">
        <v>108</v>
      </c>
      <c r="K584" s="305" t="s">
        <v>2065</v>
      </c>
    </row>
    <row r="585" spans="1:11" x14ac:dyDescent="0.25">
      <c r="A585" s="302" t="str">
        <f t="shared" si="11"/>
        <v>Rim Joist Insulation_0_SF_CF</v>
      </c>
      <c r="B585" s="303" t="s">
        <v>759</v>
      </c>
      <c r="C585" s="304">
        <v>0</v>
      </c>
      <c r="D585" s="303" t="s">
        <v>409</v>
      </c>
      <c r="E585" s="305" t="s">
        <v>253</v>
      </c>
      <c r="F585" s="309" t="s">
        <v>539</v>
      </c>
      <c r="G585" s="307">
        <v>0.68</v>
      </c>
      <c r="H585" s="305" t="s">
        <v>718</v>
      </c>
      <c r="I585" s="305" t="s">
        <v>152</v>
      </c>
      <c r="J585" s="305" t="s">
        <v>108</v>
      </c>
      <c r="K585" s="305" t="s">
        <v>2065</v>
      </c>
    </row>
    <row r="586" spans="1:11" x14ac:dyDescent="0.25">
      <c r="A586" s="302" t="str">
        <f t="shared" si="11"/>
        <v>Rim Joist Insulation_0_SF_Delta_kW</v>
      </c>
      <c r="B586" s="303" t="s">
        <v>759</v>
      </c>
      <c r="C586" s="304">
        <v>0</v>
      </c>
      <c r="D586" s="303" t="s">
        <v>409</v>
      </c>
      <c r="E586" s="305" t="s">
        <v>489</v>
      </c>
      <c r="F586" s="309" t="s">
        <v>658</v>
      </c>
      <c r="G586" s="307">
        <f>G583/G584*G585</f>
        <v>4.0695222857142858E-5</v>
      </c>
      <c r="H586" s="305"/>
      <c r="I586" s="305" t="s">
        <v>152</v>
      </c>
      <c r="J586" s="305" t="s">
        <v>108</v>
      </c>
      <c r="K586" s="305" t="s">
        <v>2065</v>
      </c>
    </row>
    <row r="587" spans="1:11" x14ac:dyDescent="0.25">
      <c r="A587" s="302" t="str">
        <f t="shared" si="11"/>
        <v>Rim Joist Insulation_0_SF_R_old</v>
      </c>
      <c r="B587" s="303" t="s">
        <v>759</v>
      </c>
      <c r="C587" s="304">
        <v>0</v>
      </c>
      <c r="D587" s="303" t="s">
        <v>409</v>
      </c>
      <c r="E587" s="305" t="s">
        <v>492</v>
      </c>
      <c r="F587" s="309" t="s">
        <v>612</v>
      </c>
      <c r="G587" s="307">
        <v>5</v>
      </c>
      <c r="H587" s="305" t="s">
        <v>774</v>
      </c>
      <c r="I587" s="305" t="s">
        <v>152</v>
      </c>
      <c r="J587" s="305" t="s">
        <v>108</v>
      </c>
      <c r="K587" s="305" t="s">
        <v>2065</v>
      </c>
    </row>
    <row r="588" spans="1:11" x14ac:dyDescent="0.25">
      <c r="A588" s="302" t="str">
        <f t="shared" si="11"/>
        <v>Rim Joist Insulation_0_SF_R_Rim</v>
      </c>
      <c r="B588" s="303" t="s">
        <v>759</v>
      </c>
      <c r="C588" s="304">
        <v>0</v>
      </c>
      <c r="D588" s="303" t="s">
        <v>409</v>
      </c>
      <c r="E588" s="305" t="s">
        <v>762</v>
      </c>
      <c r="F588" s="309" t="s">
        <v>612</v>
      </c>
      <c r="G588" s="307">
        <v>17</v>
      </c>
      <c r="H588" s="305" t="s">
        <v>763</v>
      </c>
      <c r="I588" s="305" t="s">
        <v>633</v>
      </c>
      <c r="J588" s="305" t="s">
        <v>764</v>
      </c>
      <c r="K588" s="305" t="s">
        <v>765</v>
      </c>
    </row>
    <row r="589" spans="1:11" x14ac:dyDescent="0.25">
      <c r="A589" s="302" t="str">
        <f t="shared" si="11"/>
        <v>Rim Joist Insulation_0_SF_A_Rim</v>
      </c>
      <c r="B589" s="303" t="s">
        <v>759</v>
      </c>
      <c r="C589" s="304">
        <v>0</v>
      </c>
      <c r="D589" s="303" t="s">
        <v>409</v>
      </c>
      <c r="E589" s="305" t="s">
        <v>766</v>
      </c>
      <c r="F589" s="309" t="s">
        <v>751</v>
      </c>
      <c r="G589" s="307">
        <v>1</v>
      </c>
      <c r="H589" s="305" t="s">
        <v>767</v>
      </c>
      <c r="I589" s="305" t="s">
        <v>152</v>
      </c>
      <c r="J589" s="305" t="s">
        <v>108</v>
      </c>
      <c r="K589" s="305" t="s">
        <v>2065</v>
      </c>
    </row>
    <row r="590" spans="1:11" x14ac:dyDescent="0.25">
      <c r="A590" s="302" t="str">
        <f t="shared" si="11"/>
        <v>Rim Joist Insulation_0_SF_FramingFactor_Rim</v>
      </c>
      <c r="B590" s="303" t="s">
        <v>759</v>
      </c>
      <c r="C590" s="304">
        <v>0</v>
      </c>
      <c r="D590" s="303" t="s">
        <v>409</v>
      </c>
      <c r="E590" s="305" t="s">
        <v>768</v>
      </c>
      <c r="F590" s="309" t="s">
        <v>539</v>
      </c>
      <c r="G590" s="307">
        <v>0.05</v>
      </c>
      <c r="H590" s="305"/>
      <c r="I590" s="305" t="s">
        <v>152</v>
      </c>
      <c r="J590" s="305" t="s">
        <v>108</v>
      </c>
      <c r="K590" s="305" t="s">
        <v>2065</v>
      </c>
    </row>
    <row r="591" spans="1:11" x14ac:dyDescent="0.25">
      <c r="A591" s="302" t="str">
        <f t="shared" si="11"/>
        <v>Rim Joist Insulation_0_SF_HDD</v>
      </c>
      <c r="B591" s="303" t="s">
        <v>759</v>
      </c>
      <c r="C591" s="304">
        <v>0</v>
      </c>
      <c r="D591" s="303" t="s">
        <v>409</v>
      </c>
      <c r="E591" s="311" t="s">
        <v>487</v>
      </c>
      <c r="F591" s="334"/>
      <c r="G591" s="334">
        <v>4798</v>
      </c>
      <c r="H591" s="311" t="s">
        <v>779</v>
      </c>
      <c r="I591" s="305" t="s">
        <v>152</v>
      </c>
      <c r="J591" s="305" t="s">
        <v>108</v>
      </c>
      <c r="K591" s="305" t="s">
        <v>2065</v>
      </c>
    </row>
    <row r="592" spans="1:11" x14ac:dyDescent="0.25">
      <c r="A592" s="302" t="str">
        <f t="shared" ref="A592:A655" si="12">B592&amp;"_"&amp;C592&amp;"_"&amp;D592&amp;"_"&amp;E592</f>
        <v>Rim Joist Insulation_0_SF_Conversion</v>
      </c>
      <c r="B592" s="303" t="s">
        <v>759</v>
      </c>
      <c r="C592" s="304">
        <v>0</v>
      </c>
      <c r="D592" s="303" t="s">
        <v>409</v>
      </c>
      <c r="E592" s="305" t="s">
        <v>284</v>
      </c>
      <c r="F592" s="309" t="s">
        <v>618</v>
      </c>
      <c r="G592" s="325">
        <v>24</v>
      </c>
      <c r="H592" s="305"/>
      <c r="I592" s="305" t="s">
        <v>152</v>
      </c>
      <c r="J592" s="305" t="s">
        <v>108</v>
      </c>
      <c r="K592" s="305" t="s">
        <v>2065</v>
      </c>
    </row>
    <row r="593" spans="1:11" x14ac:dyDescent="0.25">
      <c r="A593" s="302" t="str">
        <f t="shared" si="12"/>
        <v>Rim Joist Insulation_0_SF_ADJ_BasementHeat</v>
      </c>
      <c r="B593" s="303" t="s">
        <v>759</v>
      </c>
      <c r="C593" s="304">
        <v>0</v>
      </c>
      <c r="D593" s="303" t="s">
        <v>409</v>
      </c>
      <c r="E593" s="311" t="s">
        <v>623</v>
      </c>
      <c r="F593" s="334" t="s">
        <v>539</v>
      </c>
      <c r="G593" s="334">
        <f>G574</f>
        <v>0.63</v>
      </c>
      <c r="H593" s="311"/>
      <c r="I593" s="305" t="s">
        <v>152</v>
      </c>
      <c r="J593" s="305" t="s">
        <v>108</v>
      </c>
      <c r="K593" s="305" t="s">
        <v>2065</v>
      </c>
    </row>
    <row r="594" spans="1:11" x14ac:dyDescent="0.25">
      <c r="A594" s="302" t="str">
        <f t="shared" si="12"/>
        <v>Rim Joist Insulation_0_SF_% Gas Heating</v>
      </c>
      <c r="B594" s="303" t="s">
        <v>759</v>
      </c>
      <c r="C594" s="304">
        <v>0</v>
      </c>
      <c r="D594" s="303" t="s">
        <v>409</v>
      </c>
      <c r="E594" s="305" t="s">
        <v>269</v>
      </c>
      <c r="F594" s="309" t="s">
        <v>539</v>
      </c>
      <c r="G594" s="307">
        <v>1</v>
      </c>
      <c r="H594" s="305" t="s">
        <v>755</v>
      </c>
      <c r="I594" s="305" t="s">
        <v>152</v>
      </c>
      <c r="J594" s="305" t="s">
        <v>108</v>
      </c>
      <c r="K594" s="305" t="s">
        <v>2065</v>
      </c>
    </row>
    <row r="595" spans="1:11" x14ac:dyDescent="0.25">
      <c r="A595" s="302" t="str">
        <f t="shared" si="12"/>
        <v>Rim Joist Insulation_0_SF_ηHeat_gas</v>
      </c>
      <c r="B595" s="303" t="s">
        <v>759</v>
      </c>
      <c r="C595" s="304">
        <v>0</v>
      </c>
      <c r="D595" s="303" t="s">
        <v>409</v>
      </c>
      <c r="E595" s="305" t="s">
        <v>756</v>
      </c>
      <c r="F595" s="309" t="s">
        <v>539</v>
      </c>
      <c r="G595" s="307">
        <v>0.72</v>
      </c>
      <c r="H595" s="305" t="s">
        <v>780</v>
      </c>
      <c r="I595" s="305" t="s">
        <v>152</v>
      </c>
      <c r="J595" s="305" t="s">
        <v>108</v>
      </c>
      <c r="K595" s="305" t="s">
        <v>2065</v>
      </c>
    </row>
    <row r="596" spans="1:11" x14ac:dyDescent="0.25">
      <c r="A596" s="302" t="str">
        <f t="shared" si="12"/>
        <v>Rim Joist Insulation_0_SF_ηHeat - gas- MLA</v>
      </c>
      <c r="B596" s="303" t="s">
        <v>759</v>
      </c>
      <c r="C596" s="304">
        <v>0</v>
      </c>
      <c r="D596" s="303" t="s">
        <v>409</v>
      </c>
      <c r="E596" s="305" t="s">
        <v>621</v>
      </c>
      <c r="F596" s="309" t="s">
        <v>539</v>
      </c>
      <c r="G596" s="334">
        <v>0.68</v>
      </c>
      <c r="H596" s="311" t="s">
        <v>1924</v>
      </c>
      <c r="I596" s="305" t="s">
        <v>152</v>
      </c>
      <c r="J596" s="305" t="s">
        <v>108</v>
      </c>
      <c r="K596" s="305" t="s">
        <v>2065</v>
      </c>
    </row>
    <row r="597" spans="1:11" x14ac:dyDescent="0.25">
      <c r="A597" s="302" t="str">
        <f t="shared" si="12"/>
        <v>Rim Joist Insulation_0_SF_Conversion</v>
      </c>
      <c r="B597" s="303" t="s">
        <v>759</v>
      </c>
      <c r="C597" s="304">
        <v>0</v>
      </c>
      <c r="D597" s="303" t="s">
        <v>409</v>
      </c>
      <c r="E597" s="305" t="s">
        <v>284</v>
      </c>
      <c r="F597" s="309" t="s">
        <v>622</v>
      </c>
      <c r="G597" s="325">
        <v>100000</v>
      </c>
      <c r="H597" s="305"/>
      <c r="I597" s="305" t="s">
        <v>152</v>
      </c>
      <c r="J597" s="305" t="s">
        <v>108</v>
      </c>
      <c r="K597" s="305" t="s">
        <v>2065</v>
      </c>
    </row>
    <row r="598" spans="1:11" x14ac:dyDescent="0.25">
      <c r="A598" s="302" t="str">
        <f t="shared" si="12"/>
        <v>Rim Joist Insulation_0_SF_Delta_therms</v>
      </c>
      <c r="B598" s="303" t="s">
        <v>759</v>
      </c>
      <c r="C598" s="304">
        <v>0</v>
      </c>
      <c r="D598" s="303" t="s">
        <v>409</v>
      </c>
      <c r="E598" s="305" t="s">
        <v>491</v>
      </c>
      <c r="F598" s="309" t="s">
        <v>564</v>
      </c>
      <c r="G598" s="306">
        <f>((1/G587-1/G588)*G589*(1-G590)*G591*G592*G593*G594)/(G595*G597)</f>
        <v>0.13513425882352939</v>
      </c>
      <c r="H598" s="305"/>
      <c r="I598" s="305" t="s">
        <v>152</v>
      </c>
      <c r="J598" s="305" t="s">
        <v>108</v>
      </c>
      <c r="K598" s="305" t="s">
        <v>2065</v>
      </c>
    </row>
    <row r="599" spans="1:11" x14ac:dyDescent="0.25">
      <c r="A599" s="302" t="str">
        <f t="shared" si="12"/>
        <v>Rim Joist Insulation_0_SF_kWh Saved per Unit</v>
      </c>
      <c r="B599" s="303" t="s">
        <v>759</v>
      </c>
      <c r="C599" s="304">
        <v>0</v>
      </c>
      <c r="D599" s="303" t="s">
        <v>409</v>
      </c>
      <c r="E599" s="314" t="s">
        <v>255</v>
      </c>
      <c r="F599" s="326"/>
      <c r="G599" s="315">
        <f>G567+G578+G582</f>
        <v>0.15843839290366385</v>
      </c>
      <c r="H599" s="305"/>
      <c r="I599" s="305" t="s">
        <v>152</v>
      </c>
      <c r="J599" s="305" t="s">
        <v>108</v>
      </c>
      <c r="K599" s="305" t="s">
        <v>2065</v>
      </c>
    </row>
    <row r="600" spans="1:11" x14ac:dyDescent="0.25">
      <c r="A600" s="302" t="str">
        <f t="shared" si="12"/>
        <v>Rim Joist Insulation_0_SF_kW Saved per Unit</v>
      </c>
      <c r="B600" s="303" t="s">
        <v>759</v>
      </c>
      <c r="C600" s="304">
        <v>0</v>
      </c>
      <c r="D600" s="303" t="s">
        <v>409</v>
      </c>
      <c r="E600" s="314" t="s">
        <v>580</v>
      </c>
      <c r="F600" s="326" t="s">
        <v>571</v>
      </c>
      <c r="G600" s="326">
        <f>G586</f>
        <v>4.0695222857142858E-5</v>
      </c>
      <c r="H600" s="305"/>
      <c r="I600" s="305" t="s">
        <v>152</v>
      </c>
      <c r="J600" s="305" t="s">
        <v>108</v>
      </c>
      <c r="K600" s="305" t="s">
        <v>2065</v>
      </c>
    </row>
    <row r="601" spans="1:11" x14ac:dyDescent="0.25">
      <c r="A601" s="302" t="str">
        <f t="shared" si="12"/>
        <v>Rim Joist Insulation_0_SF_Therm Saved per Unit</v>
      </c>
      <c r="B601" s="303" t="s">
        <v>759</v>
      </c>
      <c r="C601" s="304">
        <v>0</v>
      </c>
      <c r="D601" s="303" t="s">
        <v>409</v>
      </c>
      <c r="E601" s="314" t="s">
        <v>326</v>
      </c>
      <c r="F601" s="326"/>
      <c r="G601" s="326">
        <f>G598</f>
        <v>0.13513425882352939</v>
      </c>
      <c r="H601" s="305"/>
      <c r="I601" s="305" t="s">
        <v>152</v>
      </c>
      <c r="J601" s="305" t="s">
        <v>108</v>
      </c>
      <c r="K601" s="305" t="s">
        <v>2065</v>
      </c>
    </row>
    <row r="602" spans="1:11" x14ac:dyDescent="0.25">
      <c r="A602" s="302" t="str">
        <f t="shared" si="12"/>
        <v>Rim Joist Insulation_0_SF_Therm Saved per Unit- MLA</v>
      </c>
      <c r="B602" s="303" t="s">
        <v>759</v>
      </c>
      <c r="C602" s="304">
        <v>0</v>
      </c>
      <c r="D602" s="303" t="s">
        <v>409</v>
      </c>
      <c r="E602" s="314" t="s">
        <v>626</v>
      </c>
      <c r="F602" s="326"/>
      <c r="G602" s="315">
        <f>((1/G587-1/G588)*G589*(1-G590)*G591*G592*G593*G594)/(G596*G597)</f>
        <v>0.14308333287197228</v>
      </c>
      <c r="H602" s="305" t="s">
        <v>627</v>
      </c>
      <c r="I602" s="305" t="s">
        <v>152</v>
      </c>
      <c r="J602" s="305" t="s">
        <v>108</v>
      </c>
      <c r="K602" s="305" t="s">
        <v>2065</v>
      </c>
    </row>
    <row r="603" spans="1:11" x14ac:dyDescent="0.25">
      <c r="A603" s="302" t="str">
        <f t="shared" si="12"/>
        <v>Rim Joist Insulation_0_SF_Lifetime (years)</v>
      </c>
      <c r="B603" s="303" t="s">
        <v>759</v>
      </c>
      <c r="C603" s="304">
        <v>0</v>
      </c>
      <c r="D603" s="303" t="s">
        <v>409</v>
      </c>
      <c r="E603" s="311" t="s">
        <v>259</v>
      </c>
      <c r="F603" s="334" t="s">
        <v>548</v>
      </c>
      <c r="G603" s="310">
        <v>30</v>
      </c>
      <c r="H603" s="311"/>
      <c r="I603" s="305" t="s">
        <v>152</v>
      </c>
      <c r="J603" s="305" t="s">
        <v>108</v>
      </c>
      <c r="K603" s="305" t="s">
        <v>2065</v>
      </c>
    </row>
    <row r="604" spans="1:11" x14ac:dyDescent="0.25">
      <c r="A604" s="302" t="str">
        <f t="shared" si="12"/>
        <v>Rim Joist Insulation_0_SF_Lifetime (years) - Remaining Years</v>
      </c>
      <c r="B604" s="303" t="s">
        <v>759</v>
      </c>
      <c r="C604" s="304">
        <v>0</v>
      </c>
      <c r="D604" s="303" t="s">
        <v>409</v>
      </c>
      <c r="E604" s="314" t="s">
        <v>628</v>
      </c>
      <c r="F604" s="326" t="s">
        <v>548</v>
      </c>
      <c r="G604" s="315">
        <v>10</v>
      </c>
      <c r="H604" s="305" t="s">
        <v>629</v>
      </c>
      <c r="I604" s="305" t="s">
        <v>152</v>
      </c>
      <c r="J604" s="305" t="s">
        <v>108</v>
      </c>
      <c r="K604" s="305" t="s">
        <v>2065</v>
      </c>
    </row>
    <row r="605" spans="1:11" x14ac:dyDescent="0.25">
      <c r="A605" s="302" t="str">
        <f t="shared" si="12"/>
        <v>Rim Joist Insulation_0_SF_Incremental Cost</v>
      </c>
      <c r="B605" s="303" t="s">
        <v>759</v>
      </c>
      <c r="C605" s="304">
        <v>0</v>
      </c>
      <c r="D605" s="303" t="s">
        <v>409</v>
      </c>
      <c r="E605" s="314" t="s">
        <v>260</v>
      </c>
      <c r="F605" s="327" t="s">
        <v>549</v>
      </c>
      <c r="G605" s="331">
        <v>0</v>
      </c>
      <c r="H605" s="305" t="s">
        <v>4</v>
      </c>
      <c r="I605" s="305" t="s">
        <v>152</v>
      </c>
      <c r="J605" s="305" t="s">
        <v>108</v>
      </c>
      <c r="K605" s="305" t="s">
        <v>2065</v>
      </c>
    </row>
    <row r="606" spans="1:11" s="324" customFormat="1" x14ac:dyDescent="0.25">
      <c r="A606" s="317" t="str">
        <f t="shared" si="12"/>
        <v>Rim Joist Insulation_0_SF_</v>
      </c>
      <c r="B606" s="317" t="str">
        <f>B605</f>
        <v>Rim Joist Insulation</v>
      </c>
      <c r="C606" s="332">
        <f>C605</f>
        <v>0</v>
      </c>
      <c r="D606" s="317" t="str">
        <f>D605</f>
        <v>SF</v>
      </c>
      <c r="E606" s="320"/>
      <c r="F606" s="320"/>
      <c r="G606" s="329"/>
      <c r="H606" s="320"/>
      <c r="I606" s="320"/>
      <c r="J606" s="320"/>
      <c r="K606" s="320"/>
    </row>
    <row r="607" spans="1:11" x14ac:dyDescent="0.25">
      <c r="A607" s="302" t="str">
        <f t="shared" si="12"/>
        <v>Knee Wall Insulation_0_IE SF_R_old</v>
      </c>
      <c r="B607" s="303" t="s">
        <v>781</v>
      </c>
      <c r="C607" s="304">
        <v>0</v>
      </c>
      <c r="D607" s="303" t="s">
        <v>581</v>
      </c>
      <c r="E607" s="305" t="s">
        <v>492</v>
      </c>
      <c r="F607" s="305" t="s">
        <v>612</v>
      </c>
      <c r="G607" s="358">
        <v>5</v>
      </c>
      <c r="H607" s="305" t="s">
        <v>782</v>
      </c>
      <c r="I607" s="305" t="s">
        <v>152</v>
      </c>
      <c r="J607" s="305" t="s">
        <v>107</v>
      </c>
      <c r="K607" s="305" t="s">
        <v>2063</v>
      </c>
    </row>
    <row r="608" spans="1:11" x14ac:dyDescent="0.25">
      <c r="A608" s="302" t="str">
        <f t="shared" si="12"/>
        <v>Knee Wall Insulation_0_IE SF_R_wall</v>
      </c>
      <c r="B608" s="303" t="s">
        <v>781</v>
      </c>
      <c r="C608" s="304">
        <v>0</v>
      </c>
      <c r="D608" s="303" t="s">
        <v>581</v>
      </c>
      <c r="E608" s="305" t="s">
        <v>495</v>
      </c>
      <c r="F608" s="305" t="s">
        <v>612</v>
      </c>
      <c r="G608" s="358">
        <v>17</v>
      </c>
      <c r="H608" s="305" t="s">
        <v>763</v>
      </c>
      <c r="I608" s="305" t="s">
        <v>633</v>
      </c>
      <c r="J608" s="305" t="s">
        <v>784</v>
      </c>
      <c r="K608" s="305" t="s">
        <v>785</v>
      </c>
    </row>
    <row r="609" spans="1:11" x14ac:dyDescent="0.25">
      <c r="A609" s="302" t="str">
        <f t="shared" si="12"/>
        <v>Knee Wall Insulation_0_IE SF_Area</v>
      </c>
      <c r="B609" s="303" t="s">
        <v>781</v>
      </c>
      <c r="C609" s="304">
        <v>0</v>
      </c>
      <c r="D609" s="303" t="s">
        <v>581</v>
      </c>
      <c r="E609" s="305" t="s">
        <v>523</v>
      </c>
      <c r="F609" s="305" t="s">
        <v>751</v>
      </c>
      <c r="G609" s="358">
        <v>1</v>
      </c>
      <c r="H609" s="305" t="s">
        <v>786</v>
      </c>
      <c r="I609" s="305" t="s">
        <v>633</v>
      </c>
      <c r="J609" s="305"/>
      <c r="K609" s="305"/>
    </row>
    <row r="610" spans="1:11" x14ac:dyDescent="0.25">
      <c r="A610" s="302" t="str">
        <f t="shared" si="12"/>
        <v>Knee Wall Insulation_0_IE SF_Framing_factor</v>
      </c>
      <c r="B610" s="303" t="s">
        <v>781</v>
      </c>
      <c r="C610" s="304">
        <v>0</v>
      </c>
      <c r="D610" s="303" t="s">
        <v>581</v>
      </c>
      <c r="E610" s="305" t="s">
        <v>501</v>
      </c>
      <c r="F610" s="305" t="s">
        <v>539</v>
      </c>
      <c r="G610" s="358">
        <v>0.25</v>
      </c>
      <c r="H610" s="305"/>
      <c r="I610" s="305" t="s">
        <v>152</v>
      </c>
      <c r="J610" s="305" t="s">
        <v>107</v>
      </c>
      <c r="K610" s="305" t="s">
        <v>2063</v>
      </c>
    </row>
    <row r="611" spans="1:11" x14ac:dyDescent="0.25">
      <c r="A611" s="302" t="str">
        <f t="shared" si="12"/>
        <v>Knee Wall Insulation_0_IE SF_Conversion</v>
      </c>
      <c r="B611" s="303" t="s">
        <v>781</v>
      </c>
      <c r="C611" s="304">
        <v>0</v>
      </c>
      <c r="D611" s="303" t="s">
        <v>581</v>
      </c>
      <c r="E611" s="305" t="s">
        <v>284</v>
      </c>
      <c r="F611" s="305" t="s">
        <v>618</v>
      </c>
      <c r="G611" s="325">
        <v>24</v>
      </c>
      <c r="H611" s="305"/>
      <c r="I611" s="305" t="s">
        <v>152</v>
      </c>
      <c r="J611" s="305" t="s">
        <v>107</v>
      </c>
      <c r="K611" s="305" t="s">
        <v>2063</v>
      </c>
    </row>
    <row r="612" spans="1:11" x14ac:dyDescent="0.25">
      <c r="A612" s="302" t="str">
        <f t="shared" si="12"/>
        <v>Knee Wall Insulation_0_IE SF_CDD</v>
      </c>
      <c r="B612" s="303" t="s">
        <v>781</v>
      </c>
      <c r="C612" s="304">
        <v>0</v>
      </c>
      <c r="D612" s="303" t="s">
        <v>581</v>
      </c>
      <c r="E612" s="305" t="s">
        <v>483</v>
      </c>
      <c r="F612" s="305"/>
      <c r="G612" s="358">
        <v>842</v>
      </c>
      <c r="H612" s="305" t="s">
        <v>636</v>
      </c>
      <c r="I612" s="305" t="s">
        <v>152</v>
      </c>
      <c r="J612" s="305" t="s">
        <v>107</v>
      </c>
      <c r="K612" s="305" t="s">
        <v>2063</v>
      </c>
    </row>
    <row r="613" spans="1:11" x14ac:dyDescent="0.25">
      <c r="A613" s="302" t="str">
        <f t="shared" si="12"/>
        <v>Knee Wall Insulation_0_IE SF_DUA</v>
      </c>
      <c r="B613" s="303" t="s">
        <v>781</v>
      </c>
      <c r="C613" s="304">
        <v>0</v>
      </c>
      <c r="D613" s="303" t="s">
        <v>581</v>
      </c>
      <c r="E613" s="305" t="s">
        <v>484</v>
      </c>
      <c r="F613" s="305" t="s">
        <v>539</v>
      </c>
      <c r="G613" s="358">
        <v>0.75</v>
      </c>
      <c r="H613" s="305"/>
      <c r="I613" s="305" t="s">
        <v>152</v>
      </c>
      <c r="J613" s="305" t="s">
        <v>107</v>
      </c>
      <c r="K613" s="305" t="s">
        <v>2063</v>
      </c>
    </row>
    <row r="614" spans="1:11" x14ac:dyDescent="0.25">
      <c r="A614" s="302" t="str">
        <f t="shared" si="12"/>
        <v>Knee Wall Insulation_0_IE SF_ADJ-wallcool</v>
      </c>
      <c r="B614" s="303" t="s">
        <v>781</v>
      </c>
      <c r="C614" s="304">
        <v>0</v>
      </c>
      <c r="D614" s="303" t="s">
        <v>581</v>
      </c>
      <c r="E614" s="305" t="s">
        <v>787</v>
      </c>
      <c r="F614" s="305" t="s">
        <v>539</v>
      </c>
      <c r="G614" s="358">
        <v>0.8</v>
      </c>
      <c r="H614" s="305"/>
      <c r="I614" s="305" t="s">
        <v>152</v>
      </c>
      <c r="J614" s="305" t="s">
        <v>107</v>
      </c>
      <c r="K614" s="305" t="s">
        <v>2063</v>
      </c>
    </row>
    <row r="615" spans="1:11" x14ac:dyDescent="0.25">
      <c r="A615" s="302" t="str">
        <f t="shared" si="12"/>
        <v>Knee Wall Insulation_0_IE SF_ηCool</v>
      </c>
      <c r="B615" s="303" t="s">
        <v>781</v>
      </c>
      <c r="C615" s="304">
        <v>0</v>
      </c>
      <c r="D615" s="303" t="s">
        <v>581</v>
      </c>
      <c r="E615" s="305" t="s">
        <v>485</v>
      </c>
      <c r="F615" s="305" t="s">
        <v>788</v>
      </c>
      <c r="G615" s="358">
        <v>10.77</v>
      </c>
      <c r="H615" s="305" t="s">
        <v>789</v>
      </c>
      <c r="I615" s="305" t="s">
        <v>152</v>
      </c>
      <c r="J615" s="305" t="s">
        <v>107</v>
      </c>
      <c r="K615" s="305" t="s">
        <v>2063</v>
      </c>
    </row>
    <row r="616" spans="1:11" x14ac:dyDescent="0.25">
      <c r="A616" s="302" t="str">
        <f t="shared" si="12"/>
        <v>Knee Wall Insulation_0_IE SF_ADJ-wallheat</v>
      </c>
      <c r="B616" s="303" t="s">
        <v>781</v>
      </c>
      <c r="C616" s="304">
        <v>0</v>
      </c>
      <c r="D616" s="303" t="s">
        <v>581</v>
      </c>
      <c r="E616" s="311" t="s">
        <v>790</v>
      </c>
      <c r="F616" s="311" t="s">
        <v>539</v>
      </c>
      <c r="G616" s="359">
        <v>0.63</v>
      </c>
      <c r="H616" s="311"/>
      <c r="I616" s="305" t="s">
        <v>152</v>
      </c>
      <c r="J616" s="305" t="s">
        <v>107</v>
      </c>
      <c r="K616" s="305" t="s">
        <v>2063</v>
      </c>
    </row>
    <row r="617" spans="1:11" x14ac:dyDescent="0.25">
      <c r="A617" s="302" t="str">
        <f t="shared" si="12"/>
        <v>Knee Wall Insulation_0_IE SF_HDD</v>
      </c>
      <c r="B617" s="303" t="s">
        <v>781</v>
      </c>
      <c r="C617" s="304">
        <v>0</v>
      </c>
      <c r="D617" s="303" t="s">
        <v>581</v>
      </c>
      <c r="E617" s="311" t="s">
        <v>487</v>
      </c>
      <c r="F617" s="311"/>
      <c r="G617" s="360">
        <v>4798</v>
      </c>
      <c r="H617" s="311" t="s">
        <v>636</v>
      </c>
      <c r="I617" s="305" t="s">
        <v>152</v>
      </c>
      <c r="J617" s="305" t="s">
        <v>107</v>
      </c>
      <c r="K617" s="305" t="s">
        <v>2063</v>
      </c>
    </row>
    <row r="618" spans="1:11" x14ac:dyDescent="0.25">
      <c r="A618" s="302" t="str">
        <f t="shared" si="12"/>
        <v>Knee Wall Insulation_0_IE SF_ηHeat - electric</v>
      </c>
      <c r="B618" s="303" t="s">
        <v>781</v>
      </c>
      <c r="C618" s="304">
        <v>0</v>
      </c>
      <c r="D618" s="303" t="s">
        <v>581</v>
      </c>
      <c r="E618" s="305" t="s">
        <v>791</v>
      </c>
      <c r="F618" s="309"/>
      <c r="G618" s="358">
        <v>1</v>
      </c>
      <c r="H618" s="305" t="s">
        <v>792</v>
      </c>
      <c r="I618" s="305" t="s">
        <v>152</v>
      </c>
      <c r="J618" s="305" t="s">
        <v>107</v>
      </c>
      <c r="K618" s="305" t="s">
        <v>2063</v>
      </c>
    </row>
    <row r="619" spans="1:11" x14ac:dyDescent="0.25">
      <c r="A619" s="302" t="str">
        <f t="shared" si="12"/>
        <v>Knee Wall Insulation_0_IE SF_Conversion</v>
      </c>
      <c r="B619" s="303" t="s">
        <v>781</v>
      </c>
      <c r="C619" s="304">
        <v>0</v>
      </c>
      <c r="D619" s="303" t="s">
        <v>581</v>
      </c>
      <c r="E619" s="305" t="s">
        <v>284</v>
      </c>
      <c r="F619" s="305" t="s">
        <v>776</v>
      </c>
      <c r="G619" s="325">
        <v>3412</v>
      </c>
      <c r="H619" s="305"/>
      <c r="I619" s="305" t="s">
        <v>152</v>
      </c>
      <c r="J619" s="305" t="s">
        <v>107</v>
      </c>
      <c r="K619" s="305" t="s">
        <v>2063</v>
      </c>
    </row>
    <row r="620" spans="1:11" x14ac:dyDescent="0.25">
      <c r="A620" s="302" t="str">
        <f t="shared" si="12"/>
        <v>Knee Wall Insulation_0_IE SF_CF</v>
      </c>
      <c r="B620" s="303" t="s">
        <v>781</v>
      </c>
      <c r="C620" s="304">
        <v>0</v>
      </c>
      <c r="D620" s="303" t="s">
        <v>581</v>
      </c>
      <c r="E620" s="305" t="s">
        <v>253</v>
      </c>
      <c r="F620" s="305" t="s">
        <v>539</v>
      </c>
      <c r="G620" s="358">
        <v>0.68</v>
      </c>
      <c r="H620" s="305" t="s">
        <v>793</v>
      </c>
      <c r="I620" s="305" t="s">
        <v>152</v>
      </c>
      <c r="J620" s="305" t="s">
        <v>107</v>
      </c>
      <c r="K620" s="305" t="s">
        <v>2063</v>
      </c>
    </row>
    <row r="621" spans="1:11" x14ac:dyDescent="0.25">
      <c r="A621" s="302" t="str">
        <f t="shared" si="12"/>
        <v>Knee Wall Insulation_0_IE SF_FLH Cooling</v>
      </c>
      <c r="B621" s="303" t="s">
        <v>781</v>
      </c>
      <c r="C621" s="304">
        <v>0</v>
      </c>
      <c r="D621" s="303" t="s">
        <v>581</v>
      </c>
      <c r="E621" s="305" t="s">
        <v>249</v>
      </c>
      <c r="F621" s="305" t="s">
        <v>283</v>
      </c>
      <c r="G621" s="325">
        <v>570</v>
      </c>
      <c r="H621" s="305" t="s">
        <v>794</v>
      </c>
      <c r="I621" s="305" t="s">
        <v>152</v>
      </c>
      <c r="J621" s="305" t="s">
        <v>107</v>
      </c>
      <c r="K621" s="305" t="s">
        <v>2063</v>
      </c>
    </row>
    <row r="622" spans="1:11" x14ac:dyDescent="0.25">
      <c r="A622" s="302" t="str">
        <f t="shared" si="12"/>
        <v>Knee Wall Insulation_0_IE SF_ηHeat - gas</v>
      </c>
      <c r="B622" s="303" t="s">
        <v>781</v>
      </c>
      <c r="C622" s="304">
        <v>0</v>
      </c>
      <c r="D622" s="303" t="s">
        <v>581</v>
      </c>
      <c r="E622" s="305" t="s">
        <v>620</v>
      </c>
      <c r="F622" s="309" t="s">
        <v>539</v>
      </c>
      <c r="G622" s="358">
        <v>0.72</v>
      </c>
      <c r="H622" s="305" t="s">
        <v>639</v>
      </c>
      <c r="I622" s="305" t="s">
        <v>152</v>
      </c>
      <c r="J622" s="305" t="s">
        <v>107</v>
      </c>
      <c r="K622" s="305" t="s">
        <v>2063</v>
      </c>
    </row>
    <row r="623" spans="1:11" x14ac:dyDescent="0.25">
      <c r="A623" s="302" t="str">
        <f t="shared" si="12"/>
        <v>Knee Wall Insulation_0_IE SF_ηHeat - gas- MLA</v>
      </c>
      <c r="B623" s="303" t="s">
        <v>781</v>
      </c>
      <c r="C623" s="304">
        <v>0</v>
      </c>
      <c r="D623" s="303" t="s">
        <v>581</v>
      </c>
      <c r="E623" s="305" t="s">
        <v>621</v>
      </c>
      <c r="F623" s="309" t="s">
        <v>539</v>
      </c>
      <c r="G623" s="334">
        <v>0.68</v>
      </c>
      <c r="H623" s="311" t="s">
        <v>1924</v>
      </c>
      <c r="I623" s="305" t="s">
        <v>152</v>
      </c>
      <c r="J623" s="305" t="s">
        <v>107</v>
      </c>
      <c r="K623" s="305" t="s">
        <v>2063</v>
      </c>
    </row>
    <row r="624" spans="1:11" x14ac:dyDescent="0.25">
      <c r="A624" s="302" t="str">
        <f t="shared" si="12"/>
        <v>Knee Wall Insulation_0_IE SF_Fe</v>
      </c>
      <c r="B624" s="303" t="s">
        <v>781</v>
      </c>
      <c r="C624" s="304">
        <v>0</v>
      </c>
      <c r="D624" s="303" t="s">
        <v>581</v>
      </c>
      <c r="E624" s="305" t="s">
        <v>425</v>
      </c>
      <c r="F624" s="305" t="s">
        <v>539</v>
      </c>
      <c r="G624" s="333">
        <v>3.1399999999999997E-2</v>
      </c>
      <c r="H624" s="305"/>
      <c r="I624" s="305" t="s">
        <v>152</v>
      </c>
      <c r="J624" s="305" t="s">
        <v>107</v>
      </c>
      <c r="K624" s="305" t="s">
        <v>2063</v>
      </c>
    </row>
    <row r="625" spans="1:11" x14ac:dyDescent="0.25">
      <c r="A625" s="302" t="str">
        <f t="shared" si="12"/>
        <v>Knee Wall Insulation_0_IE SF_Conversion</v>
      </c>
      <c r="B625" s="303" t="s">
        <v>781</v>
      </c>
      <c r="C625" s="304">
        <v>0</v>
      </c>
      <c r="D625" s="303" t="s">
        <v>581</v>
      </c>
      <c r="E625" s="305" t="s">
        <v>284</v>
      </c>
      <c r="F625" s="305" t="s">
        <v>611</v>
      </c>
      <c r="G625" s="358">
        <v>29.3</v>
      </c>
      <c r="H625" s="305"/>
      <c r="I625" s="305" t="s">
        <v>152</v>
      </c>
      <c r="J625" s="305" t="s">
        <v>107</v>
      </c>
      <c r="K625" s="305" t="s">
        <v>2063</v>
      </c>
    </row>
    <row r="626" spans="1:11" x14ac:dyDescent="0.25">
      <c r="A626" s="302" t="str">
        <f t="shared" si="12"/>
        <v>Knee Wall Insulation_0_IE SF_Cooling Energy Savings</v>
      </c>
      <c r="B626" s="303" t="s">
        <v>781</v>
      </c>
      <c r="C626" s="304">
        <v>0</v>
      </c>
      <c r="D626" s="303" t="s">
        <v>581</v>
      </c>
      <c r="E626" s="314" t="s">
        <v>795</v>
      </c>
      <c r="F626" s="326" t="s">
        <v>796</v>
      </c>
      <c r="G626" s="326">
        <f>(((1/G607)-(1/G608))*(1-G610)*G611*G612*G613)*G614/(1000*G615)</f>
        <v>0.11920170407996067</v>
      </c>
      <c r="H626" s="305"/>
      <c r="I626" s="305" t="s">
        <v>152</v>
      </c>
      <c r="J626" s="305" t="s">
        <v>107</v>
      </c>
      <c r="K626" s="305" t="s">
        <v>2063</v>
      </c>
    </row>
    <row r="627" spans="1:11" x14ac:dyDescent="0.25">
      <c r="A627" s="302" t="str">
        <f t="shared" si="12"/>
        <v xml:space="preserve">Knee Wall Insulation_0_IE SF_Space Heating Energy Savings </v>
      </c>
      <c r="B627" s="303" t="s">
        <v>781</v>
      </c>
      <c r="C627" s="304">
        <v>0</v>
      </c>
      <c r="D627" s="303" t="s">
        <v>581</v>
      </c>
      <c r="E627" s="314" t="s">
        <v>797</v>
      </c>
      <c r="F627" s="326" t="s">
        <v>796</v>
      </c>
      <c r="G627" s="326">
        <f>(((1/G607)-(1/G608))*(1-G610)*G611*G617)*G616/(G619*G618)</f>
        <v>2.2512648782842564</v>
      </c>
      <c r="H627" s="305"/>
      <c r="I627" s="305" t="s">
        <v>152</v>
      </c>
      <c r="J627" s="305" t="s">
        <v>107</v>
      </c>
      <c r="K627" s="305" t="s">
        <v>2063</v>
      </c>
    </row>
    <row r="628" spans="1:11" x14ac:dyDescent="0.25">
      <c r="A628" s="302" t="str">
        <f t="shared" si="12"/>
        <v>Knee Wall Insulation_0_IE SF_Furnace Fan Energy Savings</v>
      </c>
      <c r="B628" s="303" t="s">
        <v>781</v>
      </c>
      <c r="C628" s="304">
        <v>0</v>
      </c>
      <c r="D628" s="303" t="s">
        <v>581</v>
      </c>
      <c r="E628" s="314" t="s">
        <v>798</v>
      </c>
      <c r="F628" s="326" t="s">
        <v>796</v>
      </c>
      <c r="G628" s="326">
        <f>G630*G624*G625</f>
        <v>9.8152279581176463E-2</v>
      </c>
      <c r="H628" s="305"/>
      <c r="I628" s="305" t="s">
        <v>152</v>
      </c>
      <c r="J628" s="305" t="s">
        <v>107</v>
      </c>
      <c r="K628" s="305" t="s">
        <v>2063</v>
      </c>
    </row>
    <row r="629" spans="1:11" x14ac:dyDescent="0.25">
      <c r="A629" s="302" t="str">
        <f t="shared" si="12"/>
        <v>Knee Wall Insulation_0_IE SF_Cooling Demand Savings</v>
      </c>
      <c r="B629" s="303" t="s">
        <v>781</v>
      </c>
      <c r="C629" s="304">
        <v>0</v>
      </c>
      <c r="D629" s="303" t="s">
        <v>581</v>
      </c>
      <c r="E629" s="314" t="s">
        <v>799</v>
      </c>
      <c r="F629" s="326" t="s">
        <v>800</v>
      </c>
      <c r="G629" s="326">
        <f>(G626/G621)*G620</f>
        <v>1.4220554170942678E-4</v>
      </c>
      <c r="H629" s="305"/>
      <c r="I629" s="305" t="s">
        <v>152</v>
      </c>
      <c r="J629" s="305" t="s">
        <v>107</v>
      </c>
      <c r="K629" s="305" t="s">
        <v>2063</v>
      </c>
    </row>
    <row r="630" spans="1:11" x14ac:dyDescent="0.25">
      <c r="A630" s="302" t="str">
        <f t="shared" si="12"/>
        <v>Knee Wall Insulation_0_IE SF_Space Heating Energy Savings</v>
      </c>
      <c r="B630" s="303" t="s">
        <v>781</v>
      </c>
      <c r="C630" s="304">
        <v>0</v>
      </c>
      <c r="D630" s="303" t="s">
        <v>581</v>
      </c>
      <c r="E630" s="314" t="s">
        <v>801</v>
      </c>
      <c r="F630" s="326" t="s">
        <v>802</v>
      </c>
      <c r="G630" s="361">
        <f>((1/G607)-(1/G608))*(1-G610)*G611*G617*G616/(100000*G622)</f>
        <v>0.10668494117647059</v>
      </c>
      <c r="H630" s="305"/>
      <c r="I630" s="305" t="s">
        <v>152</v>
      </c>
      <c r="J630" s="305" t="s">
        <v>107</v>
      </c>
      <c r="K630" s="305" t="s">
        <v>2063</v>
      </c>
    </row>
    <row r="631" spans="1:11" x14ac:dyDescent="0.25">
      <c r="A631" s="302" t="str">
        <f t="shared" si="12"/>
        <v>Knee Wall Insulation_0_IE SF_Cooling Energy Savings</v>
      </c>
      <c r="B631" s="303" t="s">
        <v>781</v>
      </c>
      <c r="C631" s="304">
        <v>0</v>
      </c>
      <c r="D631" s="303" t="s">
        <v>581</v>
      </c>
      <c r="E631" s="314" t="s">
        <v>795</v>
      </c>
      <c r="F631" s="326" t="s">
        <v>803</v>
      </c>
      <c r="G631" s="326">
        <v>0</v>
      </c>
      <c r="H631" s="305"/>
      <c r="I631" s="305" t="s">
        <v>152</v>
      </c>
      <c r="J631" s="305" t="s">
        <v>107</v>
      </c>
      <c r="K631" s="305" t="s">
        <v>2063</v>
      </c>
    </row>
    <row r="632" spans="1:11" x14ac:dyDescent="0.25">
      <c r="A632" s="302" t="str">
        <f t="shared" si="12"/>
        <v>Knee Wall Insulation_0_IE SF_Space Heating Energy Savings</v>
      </c>
      <c r="B632" s="303" t="s">
        <v>781</v>
      </c>
      <c r="C632" s="304">
        <v>0</v>
      </c>
      <c r="D632" s="303" t="s">
        <v>581</v>
      </c>
      <c r="E632" s="314" t="s">
        <v>801</v>
      </c>
      <c r="F632" s="326" t="s">
        <v>803</v>
      </c>
      <c r="G632" s="326">
        <v>0</v>
      </c>
      <c r="H632" s="305"/>
      <c r="I632" s="305" t="s">
        <v>152</v>
      </c>
      <c r="J632" s="305" t="s">
        <v>107</v>
      </c>
      <c r="K632" s="305" t="s">
        <v>2063</v>
      </c>
    </row>
    <row r="633" spans="1:11" x14ac:dyDescent="0.25">
      <c r="A633" s="302" t="str">
        <f t="shared" si="12"/>
        <v>Knee Wall Insulation_0_IE SF_Furnace Fan Energy Savings</v>
      </c>
      <c r="B633" s="303" t="s">
        <v>781</v>
      </c>
      <c r="C633" s="304">
        <v>0</v>
      </c>
      <c r="D633" s="303" t="s">
        <v>581</v>
      </c>
      <c r="E633" s="314" t="s">
        <v>798</v>
      </c>
      <c r="F633" s="326" t="s">
        <v>803</v>
      </c>
      <c r="G633" s="326">
        <f>G635*G624*G625</f>
        <v>9.8152279581176463E-2</v>
      </c>
      <c r="H633" s="305"/>
      <c r="I633" s="305" t="s">
        <v>152</v>
      </c>
      <c r="J633" s="305" t="s">
        <v>107</v>
      </c>
      <c r="K633" s="305" t="s">
        <v>2063</v>
      </c>
    </row>
    <row r="634" spans="1:11" x14ac:dyDescent="0.25">
      <c r="A634" s="302" t="str">
        <f t="shared" si="12"/>
        <v>Knee Wall Insulation_0_IE SF_Cooling Demand Savings</v>
      </c>
      <c r="B634" s="303" t="s">
        <v>781</v>
      </c>
      <c r="C634" s="304">
        <v>0</v>
      </c>
      <c r="D634" s="303" t="s">
        <v>581</v>
      </c>
      <c r="E634" s="314" t="s">
        <v>799</v>
      </c>
      <c r="F634" s="326" t="s">
        <v>804</v>
      </c>
      <c r="G634" s="315">
        <v>0</v>
      </c>
      <c r="H634" s="305"/>
      <c r="I634" s="305" t="s">
        <v>152</v>
      </c>
      <c r="J634" s="305" t="s">
        <v>107</v>
      </c>
      <c r="K634" s="305" t="s">
        <v>2063</v>
      </c>
    </row>
    <row r="635" spans="1:11" x14ac:dyDescent="0.25">
      <c r="A635" s="302" t="str">
        <f t="shared" si="12"/>
        <v>Knee Wall Insulation_0_IE SF_Space Heating Energy Savings</v>
      </c>
      <c r="B635" s="303" t="s">
        <v>781</v>
      </c>
      <c r="C635" s="304">
        <v>0</v>
      </c>
      <c r="D635" s="303" t="s">
        <v>581</v>
      </c>
      <c r="E635" s="314" t="s">
        <v>801</v>
      </c>
      <c r="F635" s="326" t="s">
        <v>805</v>
      </c>
      <c r="G635" s="315">
        <f>G630*G609</f>
        <v>0.10668494117647059</v>
      </c>
      <c r="H635" s="305" t="s">
        <v>767</v>
      </c>
      <c r="I635" s="305" t="s">
        <v>152</v>
      </c>
      <c r="J635" s="305" t="s">
        <v>107</v>
      </c>
      <c r="K635" s="305" t="s">
        <v>2063</v>
      </c>
    </row>
    <row r="636" spans="1:11" x14ac:dyDescent="0.25">
      <c r="A636" s="302" t="str">
        <f t="shared" si="12"/>
        <v>Knee Wall Insulation_0_IE SF_kWh Saved per Unit</v>
      </c>
      <c r="B636" s="303" t="s">
        <v>781</v>
      </c>
      <c r="C636" s="304">
        <v>0</v>
      </c>
      <c r="D636" s="303" t="s">
        <v>581</v>
      </c>
      <c r="E636" s="314" t="s">
        <v>255</v>
      </c>
      <c r="F636" s="314"/>
      <c r="G636" s="315">
        <f>G631+G632+G633</f>
        <v>9.8152279581176463E-2</v>
      </c>
      <c r="H636" s="305"/>
      <c r="I636" s="305" t="s">
        <v>152</v>
      </c>
      <c r="J636" s="305" t="s">
        <v>107</v>
      </c>
      <c r="K636" s="305" t="s">
        <v>2063</v>
      </c>
    </row>
    <row r="637" spans="1:11" x14ac:dyDescent="0.25">
      <c r="A637" s="302" t="str">
        <f t="shared" si="12"/>
        <v>Knee Wall Insulation_0_IE SF_kW Saved per Unit</v>
      </c>
      <c r="B637" s="303" t="s">
        <v>781</v>
      </c>
      <c r="C637" s="304">
        <v>0</v>
      </c>
      <c r="D637" s="303" t="s">
        <v>581</v>
      </c>
      <c r="E637" s="314" t="s">
        <v>580</v>
      </c>
      <c r="F637" s="326" t="s">
        <v>571</v>
      </c>
      <c r="G637" s="326">
        <f>G634</f>
        <v>0</v>
      </c>
      <c r="H637" s="305"/>
      <c r="I637" s="305" t="s">
        <v>152</v>
      </c>
      <c r="J637" s="305" t="s">
        <v>107</v>
      </c>
      <c r="K637" s="305" t="s">
        <v>2063</v>
      </c>
    </row>
    <row r="638" spans="1:11" x14ac:dyDescent="0.25">
      <c r="A638" s="302" t="str">
        <f t="shared" si="12"/>
        <v>Knee Wall Insulation_0_IE SF_Therm Saved per Unit</v>
      </c>
      <c r="B638" s="303" t="s">
        <v>781</v>
      </c>
      <c r="C638" s="304">
        <v>0</v>
      </c>
      <c r="D638" s="303" t="s">
        <v>581</v>
      </c>
      <c r="E638" s="314" t="s">
        <v>326</v>
      </c>
      <c r="F638" s="314"/>
      <c r="G638" s="361">
        <f>G635</f>
        <v>0.10668494117647059</v>
      </c>
      <c r="H638" s="305"/>
      <c r="I638" s="305" t="s">
        <v>152</v>
      </c>
      <c r="J638" s="305" t="s">
        <v>107</v>
      </c>
      <c r="K638" s="305" t="s">
        <v>2063</v>
      </c>
    </row>
    <row r="639" spans="1:11" x14ac:dyDescent="0.25">
      <c r="A639" s="302" t="str">
        <f t="shared" si="12"/>
        <v>Knee Wall Insulation_0_IE SF_Therm Saved per Unit- MLA</v>
      </c>
      <c r="B639" s="303" t="s">
        <v>781</v>
      </c>
      <c r="C639" s="304">
        <v>0</v>
      </c>
      <c r="D639" s="303" t="s">
        <v>581</v>
      </c>
      <c r="E639" s="314" t="s">
        <v>626</v>
      </c>
      <c r="F639" s="326"/>
      <c r="G639" s="336">
        <f>(((1/G607)-(1/G608))*(1-G610)*G611*G617*G616/(100000*G623))*G609</f>
        <v>0.11296052595155709</v>
      </c>
      <c r="H639" s="305" t="s">
        <v>627</v>
      </c>
      <c r="I639" s="305" t="s">
        <v>152</v>
      </c>
      <c r="J639" s="305" t="s">
        <v>107</v>
      </c>
      <c r="K639" s="305" t="s">
        <v>2063</v>
      </c>
    </row>
    <row r="640" spans="1:11" x14ac:dyDescent="0.25">
      <c r="A640" s="302" t="str">
        <f t="shared" si="12"/>
        <v>Knee Wall Insulation_0_IE SF_Lifetime (years)</v>
      </c>
      <c r="B640" s="303" t="s">
        <v>781</v>
      </c>
      <c r="C640" s="304">
        <v>0</v>
      </c>
      <c r="D640" s="303" t="s">
        <v>581</v>
      </c>
      <c r="E640" s="311" t="s">
        <v>259</v>
      </c>
      <c r="F640" s="311" t="s">
        <v>548</v>
      </c>
      <c r="G640" s="310">
        <v>30</v>
      </c>
      <c r="H640" s="311"/>
      <c r="I640" s="305" t="s">
        <v>152</v>
      </c>
      <c r="J640" s="305" t="s">
        <v>107</v>
      </c>
      <c r="K640" s="305" t="s">
        <v>2063</v>
      </c>
    </row>
    <row r="641" spans="1:11" x14ac:dyDescent="0.25">
      <c r="A641" s="302" t="str">
        <f t="shared" si="12"/>
        <v>Knee Wall Insulation_0_IE SF_Lifetime (years) - Remaining Years</v>
      </c>
      <c r="B641" s="303" t="s">
        <v>781</v>
      </c>
      <c r="C641" s="304">
        <v>0</v>
      </c>
      <c r="D641" s="303" t="s">
        <v>581</v>
      </c>
      <c r="E641" s="314" t="s">
        <v>628</v>
      </c>
      <c r="F641" s="314" t="s">
        <v>548</v>
      </c>
      <c r="G641" s="315">
        <v>10</v>
      </c>
      <c r="H641" s="305" t="s">
        <v>629</v>
      </c>
      <c r="I641" s="305" t="s">
        <v>152</v>
      </c>
      <c r="J641" s="305" t="s">
        <v>107</v>
      </c>
      <c r="K641" s="305" t="s">
        <v>2063</v>
      </c>
    </row>
    <row r="642" spans="1:11" x14ac:dyDescent="0.25">
      <c r="A642" s="302" t="str">
        <f t="shared" si="12"/>
        <v>Knee Wall Insulation_0_IE SF_Incremental Cost</v>
      </c>
      <c r="B642" s="303" t="s">
        <v>781</v>
      </c>
      <c r="C642" s="304">
        <v>0</v>
      </c>
      <c r="D642" s="303" t="s">
        <v>581</v>
      </c>
      <c r="E642" s="314" t="s">
        <v>260</v>
      </c>
      <c r="F642" s="314" t="s">
        <v>549</v>
      </c>
      <c r="G642" s="328">
        <v>1.32</v>
      </c>
      <c r="H642" s="305" t="s">
        <v>630</v>
      </c>
      <c r="I642" s="305" t="s">
        <v>614</v>
      </c>
      <c r="J642" s="305"/>
      <c r="K642" s="305"/>
    </row>
    <row r="643" spans="1:11" s="324" customFormat="1" x14ac:dyDescent="0.25">
      <c r="A643" s="317" t="str">
        <f t="shared" si="12"/>
        <v>Knee Wall Insulation_0_IE SF_</v>
      </c>
      <c r="B643" s="317" t="str">
        <f>B642</f>
        <v>Knee Wall Insulation</v>
      </c>
      <c r="C643" s="332">
        <f>C642</f>
        <v>0</v>
      </c>
      <c r="D643" s="317" t="str">
        <f>D642</f>
        <v>IE SF</v>
      </c>
      <c r="E643" s="320"/>
      <c r="F643" s="320"/>
      <c r="G643" s="329"/>
      <c r="H643" s="320"/>
      <c r="I643" s="320"/>
      <c r="J643" s="320"/>
      <c r="K643" s="320"/>
    </row>
    <row r="644" spans="1:11" x14ac:dyDescent="0.25">
      <c r="A644" s="302" t="str">
        <f t="shared" si="12"/>
        <v>Knee Wall Insulation_0_SF_R_old</v>
      </c>
      <c r="B644" s="303" t="s">
        <v>781</v>
      </c>
      <c r="C644" s="304">
        <v>0</v>
      </c>
      <c r="D644" s="303" t="s">
        <v>409</v>
      </c>
      <c r="E644" s="305" t="s">
        <v>492</v>
      </c>
      <c r="F644" s="305" t="s">
        <v>612</v>
      </c>
      <c r="G644" s="358">
        <v>5</v>
      </c>
      <c r="H644" s="305" t="s">
        <v>782</v>
      </c>
      <c r="I644" s="305" t="s">
        <v>152</v>
      </c>
      <c r="J644" s="305" t="s">
        <v>107</v>
      </c>
      <c r="K644" s="305" t="s">
        <v>2063</v>
      </c>
    </row>
    <row r="645" spans="1:11" x14ac:dyDescent="0.25">
      <c r="A645" s="302" t="str">
        <f t="shared" si="12"/>
        <v>Knee Wall Insulation_0_SF_R_wall</v>
      </c>
      <c r="B645" s="303" t="s">
        <v>781</v>
      </c>
      <c r="C645" s="304">
        <v>0</v>
      </c>
      <c r="D645" s="303" t="s">
        <v>409</v>
      </c>
      <c r="E645" s="305" t="s">
        <v>495</v>
      </c>
      <c r="F645" s="305" t="s">
        <v>612</v>
      </c>
      <c r="G645" s="358">
        <v>17</v>
      </c>
      <c r="H645" s="305" t="s">
        <v>763</v>
      </c>
      <c r="I645" s="305" t="s">
        <v>633</v>
      </c>
      <c r="J645" s="305" t="s">
        <v>784</v>
      </c>
      <c r="K645" s="305" t="s">
        <v>785</v>
      </c>
    </row>
    <row r="646" spans="1:11" x14ac:dyDescent="0.25">
      <c r="A646" s="302" t="str">
        <f t="shared" si="12"/>
        <v>Knee Wall Insulation_0_SF_Area</v>
      </c>
      <c r="B646" s="303" t="s">
        <v>781</v>
      </c>
      <c r="C646" s="304">
        <v>0</v>
      </c>
      <c r="D646" s="303" t="s">
        <v>409</v>
      </c>
      <c r="E646" s="305" t="s">
        <v>523</v>
      </c>
      <c r="F646" s="305" t="s">
        <v>751</v>
      </c>
      <c r="G646" s="358">
        <v>1</v>
      </c>
      <c r="H646" s="305" t="s">
        <v>786</v>
      </c>
      <c r="I646" s="305" t="s">
        <v>633</v>
      </c>
      <c r="J646" s="305"/>
      <c r="K646" s="305"/>
    </row>
    <row r="647" spans="1:11" x14ac:dyDescent="0.25">
      <c r="A647" s="302" t="str">
        <f t="shared" si="12"/>
        <v>Knee Wall Insulation_0_SF_Framing_factor</v>
      </c>
      <c r="B647" s="303" t="s">
        <v>781</v>
      </c>
      <c r="C647" s="304">
        <v>0</v>
      </c>
      <c r="D647" s="303" t="s">
        <v>409</v>
      </c>
      <c r="E647" s="305" t="s">
        <v>501</v>
      </c>
      <c r="F647" s="305" t="s">
        <v>539</v>
      </c>
      <c r="G647" s="358">
        <v>0.25</v>
      </c>
      <c r="H647" s="305"/>
      <c r="I647" s="305" t="s">
        <v>152</v>
      </c>
      <c r="J647" s="305" t="s">
        <v>107</v>
      </c>
      <c r="K647" s="305" t="s">
        <v>2063</v>
      </c>
    </row>
    <row r="648" spans="1:11" x14ac:dyDescent="0.25">
      <c r="A648" s="302" t="str">
        <f t="shared" si="12"/>
        <v>Knee Wall Insulation_0_SF_Conversion</v>
      </c>
      <c r="B648" s="303" t="s">
        <v>781</v>
      </c>
      <c r="C648" s="304">
        <v>0</v>
      </c>
      <c r="D648" s="303" t="s">
        <v>409</v>
      </c>
      <c r="E648" s="305" t="s">
        <v>284</v>
      </c>
      <c r="F648" s="305" t="s">
        <v>618</v>
      </c>
      <c r="G648" s="325">
        <v>24</v>
      </c>
      <c r="H648" s="305"/>
      <c r="I648" s="305" t="s">
        <v>152</v>
      </c>
      <c r="J648" s="305" t="s">
        <v>107</v>
      </c>
      <c r="K648" s="305" t="s">
        <v>2063</v>
      </c>
    </row>
    <row r="649" spans="1:11" x14ac:dyDescent="0.25">
      <c r="A649" s="302" t="str">
        <f t="shared" si="12"/>
        <v>Knee Wall Insulation_0_SF_CDD</v>
      </c>
      <c r="B649" s="303" t="s">
        <v>781</v>
      </c>
      <c r="C649" s="304">
        <v>0</v>
      </c>
      <c r="D649" s="303" t="s">
        <v>409</v>
      </c>
      <c r="E649" s="305" t="s">
        <v>483</v>
      </c>
      <c r="F649" s="305"/>
      <c r="G649" s="358">
        <v>842</v>
      </c>
      <c r="H649" s="305" t="s">
        <v>636</v>
      </c>
      <c r="I649" s="305" t="s">
        <v>152</v>
      </c>
      <c r="J649" s="305" t="s">
        <v>107</v>
      </c>
      <c r="K649" s="305" t="s">
        <v>2063</v>
      </c>
    </row>
    <row r="650" spans="1:11" x14ac:dyDescent="0.25">
      <c r="A650" s="302" t="str">
        <f t="shared" si="12"/>
        <v>Knee Wall Insulation_0_SF_DUA</v>
      </c>
      <c r="B650" s="303" t="s">
        <v>781</v>
      </c>
      <c r="C650" s="304">
        <v>0</v>
      </c>
      <c r="D650" s="303" t="s">
        <v>409</v>
      </c>
      <c r="E650" s="305" t="s">
        <v>484</v>
      </c>
      <c r="F650" s="305" t="s">
        <v>539</v>
      </c>
      <c r="G650" s="358">
        <v>0.75</v>
      </c>
      <c r="H650" s="305"/>
      <c r="I650" s="305" t="s">
        <v>152</v>
      </c>
      <c r="J650" s="305" t="s">
        <v>107</v>
      </c>
      <c r="K650" s="305" t="s">
        <v>2063</v>
      </c>
    </row>
    <row r="651" spans="1:11" x14ac:dyDescent="0.25">
      <c r="A651" s="302" t="str">
        <f t="shared" si="12"/>
        <v>Knee Wall Insulation_0_SF_ADJ-wallcool</v>
      </c>
      <c r="B651" s="303" t="s">
        <v>781</v>
      </c>
      <c r="C651" s="304">
        <v>0</v>
      </c>
      <c r="D651" s="303" t="s">
        <v>409</v>
      </c>
      <c r="E651" s="305" t="s">
        <v>787</v>
      </c>
      <c r="F651" s="305" t="s">
        <v>539</v>
      </c>
      <c r="G651" s="358">
        <v>0.8</v>
      </c>
      <c r="H651" s="305"/>
      <c r="I651" s="305" t="s">
        <v>152</v>
      </c>
      <c r="J651" s="305" t="s">
        <v>107</v>
      </c>
      <c r="K651" s="305" t="s">
        <v>2063</v>
      </c>
    </row>
    <row r="652" spans="1:11" x14ac:dyDescent="0.25">
      <c r="A652" s="302" t="str">
        <f t="shared" si="12"/>
        <v>Knee Wall Insulation_0_SF_ηCool</v>
      </c>
      <c r="B652" s="303" t="s">
        <v>781</v>
      </c>
      <c r="C652" s="304">
        <v>0</v>
      </c>
      <c r="D652" s="303" t="s">
        <v>409</v>
      </c>
      <c r="E652" s="305" t="s">
        <v>485</v>
      </c>
      <c r="F652" s="305" t="s">
        <v>788</v>
      </c>
      <c r="G652" s="358">
        <v>12.08</v>
      </c>
      <c r="H652" s="305" t="s">
        <v>789</v>
      </c>
      <c r="I652" s="305" t="s">
        <v>152</v>
      </c>
      <c r="J652" s="305" t="s">
        <v>107</v>
      </c>
      <c r="K652" s="305" t="s">
        <v>2063</v>
      </c>
    </row>
    <row r="653" spans="1:11" x14ac:dyDescent="0.25">
      <c r="A653" s="302" t="str">
        <f t="shared" si="12"/>
        <v>Knee Wall Insulation_0_SF_ADJ-wallheat</v>
      </c>
      <c r="B653" s="303" t="s">
        <v>781</v>
      </c>
      <c r="C653" s="304">
        <v>0</v>
      </c>
      <c r="D653" s="303" t="s">
        <v>409</v>
      </c>
      <c r="E653" s="311" t="s">
        <v>790</v>
      </c>
      <c r="F653" s="311" t="s">
        <v>539</v>
      </c>
      <c r="G653" s="359">
        <v>0.63</v>
      </c>
      <c r="H653" s="311"/>
      <c r="I653" s="305" t="s">
        <v>152</v>
      </c>
      <c r="J653" s="305" t="s">
        <v>107</v>
      </c>
      <c r="K653" s="305" t="s">
        <v>2063</v>
      </c>
    </row>
    <row r="654" spans="1:11" x14ac:dyDescent="0.25">
      <c r="A654" s="302" t="str">
        <f t="shared" si="12"/>
        <v>Knee Wall Insulation_0_SF_HDD</v>
      </c>
      <c r="B654" s="303" t="s">
        <v>781</v>
      </c>
      <c r="C654" s="304">
        <v>0</v>
      </c>
      <c r="D654" s="303" t="s">
        <v>409</v>
      </c>
      <c r="E654" s="311" t="s">
        <v>487</v>
      </c>
      <c r="F654" s="311"/>
      <c r="G654" s="360">
        <v>4798</v>
      </c>
      <c r="H654" s="311" t="s">
        <v>636</v>
      </c>
      <c r="I654" s="305" t="s">
        <v>152</v>
      </c>
      <c r="J654" s="305" t="s">
        <v>107</v>
      </c>
      <c r="K654" s="305" t="s">
        <v>2063</v>
      </c>
    </row>
    <row r="655" spans="1:11" x14ac:dyDescent="0.25">
      <c r="A655" s="302" t="str">
        <f t="shared" si="12"/>
        <v>Knee Wall Insulation_0_SF_ηHeat - electric</v>
      </c>
      <c r="B655" s="303" t="s">
        <v>781</v>
      </c>
      <c r="C655" s="304">
        <v>0</v>
      </c>
      <c r="D655" s="303" t="s">
        <v>409</v>
      </c>
      <c r="E655" s="305" t="s">
        <v>791</v>
      </c>
      <c r="F655" s="309"/>
      <c r="G655" s="358">
        <v>1</v>
      </c>
      <c r="H655" s="305" t="s">
        <v>792</v>
      </c>
      <c r="I655" s="305" t="s">
        <v>152</v>
      </c>
      <c r="J655" s="305" t="s">
        <v>107</v>
      </c>
      <c r="K655" s="305" t="s">
        <v>2063</v>
      </c>
    </row>
    <row r="656" spans="1:11" x14ac:dyDescent="0.25">
      <c r="A656" s="302" t="str">
        <f t="shared" ref="A656:A719" si="13">B656&amp;"_"&amp;C656&amp;"_"&amp;D656&amp;"_"&amp;E656</f>
        <v>Knee Wall Insulation_0_SF_Conversion</v>
      </c>
      <c r="B656" s="303" t="s">
        <v>781</v>
      </c>
      <c r="C656" s="304">
        <v>0</v>
      </c>
      <c r="D656" s="303" t="s">
        <v>409</v>
      </c>
      <c r="E656" s="305" t="s">
        <v>284</v>
      </c>
      <c r="F656" s="305" t="s">
        <v>776</v>
      </c>
      <c r="G656" s="325">
        <v>3412</v>
      </c>
      <c r="H656" s="305"/>
      <c r="I656" s="305" t="s">
        <v>152</v>
      </c>
      <c r="J656" s="305" t="s">
        <v>107</v>
      </c>
      <c r="K656" s="305" t="s">
        <v>2063</v>
      </c>
    </row>
    <row r="657" spans="1:11" x14ac:dyDescent="0.25">
      <c r="A657" s="302" t="str">
        <f t="shared" si="13"/>
        <v>Knee Wall Insulation_0_SF_CF</v>
      </c>
      <c r="B657" s="303" t="s">
        <v>781</v>
      </c>
      <c r="C657" s="304">
        <v>0</v>
      </c>
      <c r="D657" s="303" t="s">
        <v>409</v>
      </c>
      <c r="E657" s="305" t="s">
        <v>253</v>
      </c>
      <c r="F657" s="305" t="s">
        <v>539</v>
      </c>
      <c r="G657" s="358">
        <v>0.68</v>
      </c>
      <c r="H657" s="305" t="s">
        <v>793</v>
      </c>
      <c r="I657" s="305" t="s">
        <v>152</v>
      </c>
      <c r="J657" s="305" t="s">
        <v>107</v>
      </c>
      <c r="K657" s="305" t="s">
        <v>2063</v>
      </c>
    </row>
    <row r="658" spans="1:11" x14ac:dyDescent="0.25">
      <c r="A658" s="302" t="str">
        <f t="shared" si="13"/>
        <v>Knee Wall Insulation_0_SF_FLH Cooling</v>
      </c>
      <c r="B658" s="303" t="s">
        <v>781</v>
      </c>
      <c r="C658" s="304">
        <v>0</v>
      </c>
      <c r="D658" s="303" t="s">
        <v>409</v>
      </c>
      <c r="E658" s="305" t="s">
        <v>249</v>
      </c>
      <c r="F658" s="305" t="s">
        <v>283</v>
      </c>
      <c r="G658" s="325">
        <v>570</v>
      </c>
      <c r="H658" s="305" t="s">
        <v>794</v>
      </c>
      <c r="I658" s="305" t="s">
        <v>152</v>
      </c>
      <c r="J658" s="305" t="s">
        <v>107</v>
      </c>
      <c r="K658" s="305" t="s">
        <v>2063</v>
      </c>
    </row>
    <row r="659" spans="1:11" x14ac:dyDescent="0.25">
      <c r="A659" s="302" t="str">
        <f t="shared" si="13"/>
        <v>Knee Wall Insulation_0_SF_ηHeat - gas</v>
      </c>
      <c r="B659" s="303" t="s">
        <v>781</v>
      </c>
      <c r="C659" s="304">
        <v>0</v>
      </c>
      <c r="D659" s="303" t="s">
        <v>409</v>
      </c>
      <c r="E659" s="305" t="s">
        <v>620</v>
      </c>
      <c r="F659" s="309" t="s">
        <v>539</v>
      </c>
      <c r="G659" s="358">
        <v>0.72</v>
      </c>
      <c r="H659" s="305" t="s">
        <v>639</v>
      </c>
      <c r="I659" s="305" t="s">
        <v>152</v>
      </c>
      <c r="J659" s="305" t="s">
        <v>107</v>
      </c>
      <c r="K659" s="305" t="s">
        <v>2063</v>
      </c>
    </row>
    <row r="660" spans="1:11" x14ac:dyDescent="0.25">
      <c r="A660" s="302" t="str">
        <f t="shared" si="13"/>
        <v>Knee Wall Insulation_0_SF_ηHeat - gas- MLA</v>
      </c>
      <c r="B660" s="303" t="s">
        <v>781</v>
      </c>
      <c r="C660" s="304">
        <v>0</v>
      </c>
      <c r="D660" s="303" t="s">
        <v>409</v>
      </c>
      <c r="E660" s="305" t="s">
        <v>621</v>
      </c>
      <c r="F660" s="309" t="s">
        <v>539</v>
      </c>
      <c r="G660" s="334">
        <v>0.68</v>
      </c>
      <c r="H660" s="311" t="s">
        <v>1924</v>
      </c>
      <c r="I660" s="305" t="s">
        <v>152</v>
      </c>
      <c r="J660" s="305" t="s">
        <v>107</v>
      </c>
      <c r="K660" s="305" t="s">
        <v>2063</v>
      </c>
    </row>
    <row r="661" spans="1:11" x14ac:dyDescent="0.25">
      <c r="A661" s="302" t="str">
        <f t="shared" si="13"/>
        <v>Knee Wall Insulation_0_SF_Fe</v>
      </c>
      <c r="B661" s="303" t="s">
        <v>781</v>
      </c>
      <c r="C661" s="304">
        <v>0</v>
      </c>
      <c r="D661" s="303" t="s">
        <v>409</v>
      </c>
      <c r="E661" s="305" t="s">
        <v>425</v>
      </c>
      <c r="F661" s="305" t="s">
        <v>539</v>
      </c>
      <c r="G661" s="333">
        <v>3.1399999999999997E-2</v>
      </c>
      <c r="H661" s="305"/>
      <c r="I661" s="305" t="s">
        <v>152</v>
      </c>
      <c r="J661" s="305" t="s">
        <v>107</v>
      </c>
      <c r="K661" s="305" t="s">
        <v>2063</v>
      </c>
    </row>
    <row r="662" spans="1:11" x14ac:dyDescent="0.25">
      <c r="A662" s="302" t="str">
        <f t="shared" si="13"/>
        <v>Knee Wall Insulation_0_SF_Conversion</v>
      </c>
      <c r="B662" s="303" t="s">
        <v>781</v>
      </c>
      <c r="C662" s="304">
        <v>0</v>
      </c>
      <c r="D662" s="303" t="s">
        <v>409</v>
      </c>
      <c r="E662" s="305" t="s">
        <v>284</v>
      </c>
      <c r="F662" s="305" t="s">
        <v>611</v>
      </c>
      <c r="G662" s="358">
        <v>29.3</v>
      </c>
      <c r="H662" s="305"/>
      <c r="I662" s="305" t="s">
        <v>152</v>
      </c>
      <c r="J662" s="305" t="s">
        <v>107</v>
      </c>
      <c r="K662" s="305" t="s">
        <v>2063</v>
      </c>
    </row>
    <row r="663" spans="1:11" x14ac:dyDescent="0.25">
      <c r="A663" s="302" t="str">
        <f t="shared" si="13"/>
        <v>Knee Wall Insulation_0_SF_Cooling Energy Savings</v>
      </c>
      <c r="B663" s="303" t="s">
        <v>781</v>
      </c>
      <c r="C663" s="304">
        <v>0</v>
      </c>
      <c r="D663" s="303" t="s">
        <v>409</v>
      </c>
      <c r="E663" s="314" t="s">
        <v>795</v>
      </c>
      <c r="F663" s="326" t="s">
        <v>796</v>
      </c>
      <c r="G663" s="326">
        <f>(((1/G644)-(1/G645))*(1-G647)*G648*G649*G650)*G651/(1000*G652)</f>
        <v>0.1062750292169848</v>
      </c>
      <c r="H663" s="305"/>
      <c r="I663" s="305" t="s">
        <v>152</v>
      </c>
      <c r="J663" s="305" t="s">
        <v>107</v>
      </c>
      <c r="K663" s="305" t="s">
        <v>2063</v>
      </c>
    </row>
    <row r="664" spans="1:11" x14ac:dyDescent="0.25">
      <c r="A664" s="302" t="str">
        <f t="shared" si="13"/>
        <v xml:space="preserve">Knee Wall Insulation_0_SF_Space Heating Energy Savings </v>
      </c>
      <c r="B664" s="303" t="s">
        <v>781</v>
      </c>
      <c r="C664" s="304">
        <v>0</v>
      </c>
      <c r="D664" s="303" t="s">
        <v>409</v>
      </c>
      <c r="E664" s="314" t="s">
        <v>797</v>
      </c>
      <c r="F664" s="326" t="s">
        <v>796</v>
      </c>
      <c r="G664" s="326">
        <f>(((1/G644)-(1/G645))*(1-G647)*G648*G654)*G653/(G656*G655)</f>
        <v>2.2512648782842564</v>
      </c>
      <c r="H664" s="305"/>
      <c r="I664" s="305" t="s">
        <v>152</v>
      </c>
      <c r="J664" s="305" t="s">
        <v>107</v>
      </c>
      <c r="K664" s="305" t="s">
        <v>2063</v>
      </c>
    </row>
    <row r="665" spans="1:11" x14ac:dyDescent="0.25">
      <c r="A665" s="302" t="str">
        <f t="shared" si="13"/>
        <v>Knee Wall Insulation_0_SF_Furnace Fan Energy Savings</v>
      </c>
      <c r="B665" s="303" t="s">
        <v>781</v>
      </c>
      <c r="C665" s="304">
        <v>0</v>
      </c>
      <c r="D665" s="303" t="s">
        <v>409</v>
      </c>
      <c r="E665" s="314" t="s">
        <v>798</v>
      </c>
      <c r="F665" s="326" t="s">
        <v>796</v>
      </c>
      <c r="G665" s="326">
        <f>G667*G661*G662</f>
        <v>9.8152279581176463E-2</v>
      </c>
      <c r="H665" s="305"/>
      <c r="I665" s="305" t="s">
        <v>152</v>
      </c>
      <c r="J665" s="305" t="s">
        <v>107</v>
      </c>
      <c r="K665" s="305" t="s">
        <v>2063</v>
      </c>
    </row>
    <row r="666" spans="1:11" x14ac:dyDescent="0.25">
      <c r="A666" s="302" t="str">
        <f t="shared" si="13"/>
        <v>Knee Wall Insulation_0_SF_Cooling Demand Savings</v>
      </c>
      <c r="B666" s="303" t="s">
        <v>781</v>
      </c>
      <c r="C666" s="304">
        <v>0</v>
      </c>
      <c r="D666" s="303" t="s">
        <v>409</v>
      </c>
      <c r="E666" s="314" t="s">
        <v>799</v>
      </c>
      <c r="F666" s="326" t="s">
        <v>800</v>
      </c>
      <c r="G666" s="326">
        <f>(G663/G658)*G657</f>
        <v>1.2678424538166609E-4</v>
      </c>
      <c r="H666" s="305"/>
      <c r="I666" s="305" t="s">
        <v>152</v>
      </c>
      <c r="J666" s="305" t="s">
        <v>107</v>
      </c>
      <c r="K666" s="305" t="s">
        <v>2063</v>
      </c>
    </row>
    <row r="667" spans="1:11" x14ac:dyDescent="0.25">
      <c r="A667" s="302" t="str">
        <f t="shared" si="13"/>
        <v>Knee Wall Insulation_0_SF_Space Heating Energy Savings</v>
      </c>
      <c r="B667" s="303" t="s">
        <v>781</v>
      </c>
      <c r="C667" s="304">
        <v>0</v>
      </c>
      <c r="D667" s="303" t="s">
        <v>409</v>
      </c>
      <c r="E667" s="314" t="s">
        <v>801</v>
      </c>
      <c r="F667" s="326" t="s">
        <v>802</v>
      </c>
      <c r="G667" s="361">
        <f>((1/G644)-(1/G645))*(1-G647)*G648*G654*G653/(100000*G659)</f>
        <v>0.10668494117647059</v>
      </c>
      <c r="H667" s="305"/>
      <c r="I667" s="305" t="s">
        <v>152</v>
      </c>
      <c r="J667" s="305" t="s">
        <v>107</v>
      </c>
      <c r="K667" s="305" t="s">
        <v>2063</v>
      </c>
    </row>
    <row r="668" spans="1:11" x14ac:dyDescent="0.25">
      <c r="A668" s="302" t="str">
        <f t="shared" si="13"/>
        <v>Knee Wall Insulation_0_SF_Cooling Energy Savings</v>
      </c>
      <c r="B668" s="303" t="s">
        <v>781</v>
      </c>
      <c r="C668" s="304">
        <v>0</v>
      </c>
      <c r="D668" s="303" t="s">
        <v>409</v>
      </c>
      <c r="E668" s="314" t="s">
        <v>795</v>
      </c>
      <c r="F668" s="326" t="s">
        <v>803</v>
      </c>
      <c r="G668" s="326">
        <v>0</v>
      </c>
      <c r="H668" s="305"/>
      <c r="I668" s="305" t="s">
        <v>152</v>
      </c>
      <c r="J668" s="305" t="s">
        <v>107</v>
      </c>
      <c r="K668" s="305" t="s">
        <v>2063</v>
      </c>
    </row>
    <row r="669" spans="1:11" x14ac:dyDescent="0.25">
      <c r="A669" s="302" t="str">
        <f t="shared" si="13"/>
        <v>Knee Wall Insulation_0_SF_Space Heating Energy Savings</v>
      </c>
      <c r="B669" s="303" t="s">
        <v>781</v>
      </c>
      <c r="C669" s="304">
        <v>0</v>
      </c>
      <c r="D669" s="303" t="s">
        <v>409</v>
      </c>
      <c r="E669" s="314" t="s">
        <v>801</v>
      </c>
      <c r="F669" s="326" t="s">
        <v>803</v>
      </c>
      <c r="G669" s="326">
        <v>0</v>
      </c>
      <c r="H669" s="305"/>
      <c r="I669" s="305" t="s">
        <v>152</v>
      </c>
      <c r="J669" s="305" t="s">
        <v>107</v>
      </c>
      <c r="K669" s="305" t="s">
        <v>2063</v>
      </c>
    </row>
    <row r="670" spans="1:11" x14ac:dyDescent="0.25">
      <c r="A670" s="302" t="str">
        <f t="shared" si="13"/>
        <v>Knee Wall Insulation_0_SF_Furnace Fan Energy Savings</v>
      </c>
      <c r="B670" s="303" t="s">
        <v>781</v>
      </c>
      <c r="C670" s="304">
        <v>0</v>
      </c>
      <c r="D670" s="303" t="s">
        <v>409</v>
      </c>
      <c r="E670" s="314" t="s">
        <v>798</v>
      </c>
      <c r="F670" s="326" t="s">
        <v>803</v>
      </c>
      <c r="G670" s="326">
        <f>G672*G661*G662</f>
        <v>9.8152279581176463E-2</v>
      </c>
      <c r="H670" s="305"/>
      <c r="I670" s="305" t="s">
        <v>152</v>
      </c>
      <c r="J670" s="305" t="s">
        <v>107</v>
      </c>
      <c r="K670" s="305" t="s">
        <v>2063</v>
      </c>
    </row>
    <row r="671" spans="1:11" x14ac:dyDescent="0.25">
      <c r="A671" s="302" t="str">
        <f t="shared" si="13"/>
        <v>Knee Wall Insulation_0_SF_Cooling Demand Savings</v>
      </c>
      <c r="B671" s="303" t="s">
        <v>781</v>
      </c>
      <c r="C671" s="304">
        <v>0</v>
      </c>
      <c r="D671" s="303" t="s">
        <v>409</v>
      </c>
      <c r="E671" s="314" t="s">
        <v>799</v>
      </c>
      <c r="F671" s="326" t="s">
        <v>804</v>
      </c>
      <c r="G671" s="315">
        <v>0</v>
      </c>
      <c r="H671" s="305"/>
      <c r="I671" s="305" t="s">
        <v>152</v>
      </c>
      <c r="J671" s="305" t="s">
        <v>107</v>
      </c>
      <c r="K671" s="305" t="s">
        <v>2063</v>
      </c>
    </row>
    <row r="672" spans="1:11" x14ac:dyDescent="0.25">
      <c r="A672" s="302" t="str">
        <f t="shared" si="13"/>
        <v>Knee Wall Insulation_0_SF_Space Heating Energy Savings</v>
      </c>
      <c r="B672" s="303" t="s">
        <v>781</v>
      </c>
      <c r="C672" s="304">
        <v>0</v>
      </c>
      <c r="D672" s="303" t="s">
        <v>409</v>
      </c>
      <c r="E672" s="314" t="s">
        <v>801</v>
      </c>
      <c r="F672" s="326" t="s">
        <v>805</v>
      </c>
      <c r="G672" s="315">
        <f>G667*G646</f>
        <v>0.10668494117647059</v>
      </c>
      <c r="H672" s="305" t="s">
        <v>767</v>
      </c>
      <c r="I672" s="305" t="s">
        <v>152</v>
      </c>
      <c r="J672" s="305" t="s">
        <v>107</v>
      </c>
      <c r="K672" s="305" t="s">
        <v>2063</v>
      </c>
    </row>
    <row r="673" spans="1:11" x14ac:dyDescent="0.25">
      <c r="A673" s="302" t="str">
        <f t="shared" si="13"/>
        <v>Knee Wall Insulation_0_SF_kWh Saved per Unit</v>
      </c>
      <c r="B673" s="303" t="s">
        <v>781</v>
      </c>
      <c r="C673" s="304">
        <v>0</v>
      </c>
      <c r="D673" s="303" t="s">
        <v>409</v>
      </c>
      <c r="E673" s="314" t="s">
        <v>255</v>
      </c>
      <c r="F673" s="314"/>
      <c r="G673" s="315">
        <f>G668+G669+G670</f>
        <v>9.8152279581176463E-2</v>
      </c>
      <c r="H673" s="305"/>
      <c r="I673" s="305" t="s">
        <v>152</v>
      </c>
      <c r="J673" s="305" t="s">
        <v>107</v>
      </c>
      <c r="K673" s="305" t="s">
        <v>2063</v>
      </c>
    </row>
    <row r="674" spans="1:11" x14ac:dyDescent="0.25">
      <c r="A674" s="302" t="str">
        <f t="shared" si="13"/>
        <v>Knee Wall Insulation_0_SF_kW Saved per Unit</v>
      </c>
      <c r="B674" s="303" t="s">
        <v>781</v>
      </c>
      <c r="C674" s="304">
        <v>0</v>
      </c>
      <c r="D674" s="303" t="s">
        <v>409</v>
      </c>
      <c r="E674" s="314" t="s">
        <v>580</v>
      </c>
      <c r="F674" s="326" t="s">
        <v>571</v>
      </c>
      <c r="G674" s="326">
        <f>G671</f>
        <v>0</v>
      </c>
      <c r="H674" s="305"/>
      <c r="I674" s="305" t="s">
        <v>152</v>
      </c>
      <c r="J674" s="305" t="s">
        <v>107</v>
      </c>
      <c r="K674" s="305" t="s">
        <v>2063</v>
      </c>
    </row>
    <row r="675" spans="1:11" x14ac:dyDescent="0.25">
      <c r="A675" s="302" t="str">
        <f t="shared" si="13"/>
        <v>Knee Wall Insulation_0_SF_Therm Saved per Unit</v>
      </c>
      <c r="B675" s="303" t="s">
        <v>781</v>
      </c>
      <c r="C675" s="304">
        <v>0</v>
      </c>
      <c r="D675" s="303" t="s">
        <v>409</v>
      </c>
      <c r="E675" s="314" t="s">
        <v>326</v>
      </c>
      <c r="F675" s="314"/>
      <c r="G675" s="326">
        <f>G672</f>
        <v>0.10668494117647059</v>
      </c>
      <c r="H675" s="305"/>
      <c r="I675" s="305" t="s">
        <v>152</v>
      </c>
      <c r="J675" s="305" t="s">
        <v>107</v>
      </c>
      <c r="K675" s="305" t="s">
        <v>2063</v>
      </c>
    </row>
    <row r="676" spans="1:11" x14ac:dyDescent="0.25">
      <c r="A676" s="302" t="str">
        <f t="shared" si="13"/>
        <v>Knee Wall Insulation_0_SF_Therm Saved per Unit- MLA</v>
      </c>
      <c r="B676" s="303" t="s">
        <v>781</v>
      </c>
      <c r="C676" s="304">
        <v>0</v>
      </c>
      <c r="D676" s="303" t="s">
        <v>409</v>
      </c>
      <c r="E676" s="314" t="s">
        <v>626</v>
      </c>
      <c r="F676" s="326"/>
      <c r="G676" s="315">
        <f>(((1/G644)-(1/G645))*(1-G647)*G648*G654*G653/(100000*G660))*G646</f>
        <v>0.11296052595155709</v>
      </c>
      <c r="H676" s="305" t="s">
        <v>627</v>
      </c>
      <c r="I676" s="305" t="s">
        <v>152</v>
      </c>
      <c r="J676" s="305" t="s">
        <v>107</v>
      </c>
      <c r="K676" s="305" t="s">
        <v>2063</v>
      </c>
    </row>
    <row r="677" spans="1:11" x14ac:dyDescent="0.25">
      <c r="A677" s="302" t="str">
        <f t="shared" si="13"/>
        <v>Knee Wall Insulation_0_SF_Lifetime (years)</v>
      </c>
      <c r="B677" s="303" t="s">
        <v>781</v>
      </c>
      <c r="C677" s="304">
        <v>0</v>
      </c>
      <c r="D677" s="303" t="s">
        <v>409</v>
      </c>
      <c r="E677" s="311" t="s">
        <v>259</v>
      </c>
      <c r="F677" s="311" t="s">
        <v>548</v>
      </c>
      <c r="G677" s="310">
        <v>30</v>
      </c>
      <c r="H677" s="311"/>
      <c r="I677" s="305" t="s">
        <v>152</v>
      </c>
      <c r="J677" s="305" t="s">
        <v>107</v>
      </c>
      <c r="K677" s="305" t="s">
        <v>2063</v>
      </c>
    </row>
    <row r="678" spans="1:11" x14ac:dyDescent="0.25">
      <c r="A678" s="302" t="str">
        <f t="shared" si="13"/>
        <v>Knee Wall Insulation_0_SF_Lifetime (years) - Remaining Years</v>
      </c>
      <c r="B678" s="303" t="s">
        <v>781</v>
      </c>
      <c r="C678" s="304">
        <v>0</v>
      </c>
      <c r="D678" s="303" t="s">
        <v>409</v>
      </c>
      <c r="E678" s="314" t="s">
        <v>628</v>
      </c>
      <c r="F678" s="314" t="s">
        <v>548</v>
      </c>
      <c r="G678" s="315">
        <v>10</v>
      </c>
      <c r="H678" s="305" t="s">
        <v>629</v>
      </c>
      <c r="I678" s="305" t="s">
        <v>152</v>
      </c>
      <c r="J678" s="305" t="s">
        <v>107</v>
      </c>
      <c r="K678" s="305" t="s">
        <v>2063</v>
      </c>
    </row>
    <row r="679" spans="1:11" x14ac:dyDescent="0.25">
      <c r="A679" s="302" t="str">
        <f t="shared" si="13"/>
        <v>Knee Wall Insulation_0_SF_Incremental Cost</v>
      </c>
      <c r="B679" s="303" t="s">
        <v>781</v>
      </c>
      <c r="C679" s="304">
        <v>0</v>
      </c>
      <c r="D679" s="303" t="s">
        <v>409</v>
      </c>
      <c r="E679" s="314" t="s">
        <v>260</v>
      </c>
      <c r="F679" s="314" t="s">
        <v>549</v>
      </c>
      <c r="G679" s="328">
        <v>1.32</v>
      </c>
      <c r="H679" s="305" t="s">
        <v>630</v>
      </c>
      <c r="I679" s="305" t="s">
        <v>614</v>
      </c>
      <c r="J679" s="305"/>
      <c r="K679" s="305"/>
    </row>
    <row r="680" spans="1:11" s="324" customFormat="1" x14ac:dyDescent="0.25">
      <c r="A680" s="317" t="str">
        <f t="shared" si="13"/>
        <v>Knee Wall Insulation_0_SF_</v>
      </c>
      <c r="B680" s="317" t="str">
        <f>B679</f>
        <v>Knee Wall Insulation</v>
      </c>
      <c r="C680" s="332">
        <f>C679</f>
        <v>0</v>
      </c>
      <c r="D680" s="317" t="str">
        <f>D679</f>
        <v>SF</v>
      </c>
      <c r="E680" s="320"/>
      <c r="F680" s="320"/>
      <c r="G680" s="329"/>
      <c r="H680" s="320"/>
      <c r="I680" s="320"/>
      <c r="J680" s="320"/>
      <c r="K680" s="320"/>
    </row>
    <row r="681" spans="1:11" x14ac:dyDescent="0.25">
      <c r="A681" s="302" t="str">
        <f t="shared" si="13"/>
        <v>Wall Insulation_0_SF_R_old</v>
      </c>
      <c r="B681" s="303" t="s">
        <v>222</v>
      </c>
      <c r="C681" s="304">
        <v>0</v>
      </c>
      <c r="D681" s="303" t="s">
        <v>409</v>
      </c>
      <c r="E681" s="305" t="s">
        <v>492</v>
      </c>
      <c r="F681" s="305" t="s">
        <v>612</v>
      </c>
      <c r="G681" s="358">
        <v>5</v>
      </c>
      <c r="H681" s="305" t="s">
        <v>782</v>
      </c>
      <c r="I681" s="305" t="s">
        <v>152</v>
      </c>
      <c r="J681" s="305" t="s">
        <v>107</v>
      </c>
      <c r="K681" s="305" t="s">
        <v>2063</v>
      </c>
    </row>
    <row r="682" spans="1:11" x14ac:dyDescent="0.25">
      <c r="A682" s="302" t="str">
        <f t="shared" si="13"/>
        <v>Wall Insulation_0_SF_R_wall</v>
      </c>
      <c r="B682" s="303" t="s">
        <v>222</v>
      </c>
      <c r="C682" s="304">
        <v>0</v>
      </c>
      <c r="D682" s="303" t="s">
        <v>409</v>
      </c>
      <c r="E682" s="305" t="s">
        <v>495</v>
      </c>
      <c r="F682" s="305" t="s">
        <v>612</v>
      </c>
      <c r="G682" s="358">
        <v>17</v>
      </c>
      <c r="H682" s="305" t="s">
        <v>763</v>
      </c>
      <c r="I682" s="305" t="s">
        <v>633</v>
      </c>
      <c r="J682" s="305" t="s">
        <v>784</v>
      </c>
      <c r="K682" s="305" t="s">
        <v>785</v>
      </c>
    </row>
    <row r="683" spans="1:11" x14ac:dyDescent="0.25">
      <c r="A683" s="302" t="str">
        <f t="shared" si="13"/>
        <v>Wall Insulation_0_SF_Area</v>
      </c>
      <c r="B683" s="303" t="s">
        <v>222</v>
      </c>
      <c r="C683" s="304">
        <v>0</v>
      </c>
      <c r="D683" s="303" t="s">
        <v>409</v>
      </c>
      <c r="E683" s="305" t="s">
        <v>523</v>
      </c>
      <c r="F683" s="305" t="s">
        <v>751</v>
      </c>
      <c r="G683" s="358">
        <v>1</v>
      </c>
      <c r="H683" s="305" t="s">
        <v>786</v>
      </c>
      <c r="I683" s="305" t="s">
        <v>633</v>
      </c>
      <c r="J683" s="305"/>
      <c r="K683" s="305"/>
    </row>
    <row r="684" spans="1:11" x14ac:dyDescent="0.25">
      <c r="A684" s="302" t="str">
        <f t="shared" si="13"/>
        <v>Wall Insulation_0_SF_Framing_factor</v>
      </c>
      <c r="B684" s="303" t="s">
        <v>222</v>
      </c>
      <c r="C684" s="304">
        <v>0</v>
      </c>
      <c r="D684" s="303" t="s">
        <v>409</v>
      </c>
      <c r="E684" s="305" t="s">
        <v>501</v>
      </c>
      <c r="F684" s="305" t="s">
        <v>539</v>
      </c>
      <c r="G684" s="358">
        <v>0.25</v>
      </c>
      <c r="H684" s="305"/>
      <c r="I684" s="305" t="s">
        <v>152</v>
      </c>
      <c r="J684" s="305" t="s">
        <v>107</v>
      </c>
      <c r="K684" s="305" t="s">
        <v>2063</v>
      </c>
    </row>
    <row r="685" spans="1:11" x14ac:dyDescent="0.25">
      <c r="A685" s="302" t="str">
        <f t="shared" si="13"/>
        <v>Wall Insulation_0_SF_Conversion</v>
      </c>
      <c r="B685" s="303" t="s">
        <v>222</v>
      </c>
      <c r="C685" s="304">
        <v>0</v>
      </c>
      <c r="D685" s="303" t="s">
        <v>409</v>
      </c>
      <c r="E685" s="305" t="s">
        <v>284</v>
      </c>
      <c r="F685" s="305" t="s">
        <v>618</v>
      </c>
      <c r="G685" s="325">
        <v>24</v>
      </c>
      <c r="H685" s="305"/>
      <c r="I685" s="305" t="s">
        <v>152</v>
      </c>
      <c r="J685" s="305" t="s">
        <v>107</v>
      </c>
      <c r="K685" s="305" t="s">
        <v>2063</v>
      </c>
    </row>
    <row r="686" spans="1:11" x14ac:dyDescent="0.25">
      <c r="A686" s="302" t="str">
        <f t="shared" si="13"/>
        <v>Wall Insulation_0_SF_CDD</v>
      </c>
      <c r="B686" s="303" t="s">
        <v>222</v>
      </c>
      <c r="C686" s="304">
        <v>0</v>
      </c>
      <c r="D686" s="303" t="s">
        <v>409</v>
      </c>
      <c r="E686" s="305" t="s">
        <v>483</v>
      </c>
      <c r="F686" s="305"/>
      <c r="G686" s="358">
        <v>842</v>
      </c>
      <c r="H686" s="305" t="s">
        <v>636</v>
      </c>
      <c r="I686" s="305" t="s">
        <v>152</v>
      </c>
      <c r="J686" s="305" t="s">
        <v>107</v>
      </c>
      <c r="K686" s="305" t="s">
        <v>2063</v>
      </c>
    </row>
    <row r="687" spans="1:11" x14ac:dyDescent="0.25">
      <c r="A687" s="302" t="str">
        <f t="shared" si="13"/>
        <v>Wall Insulation_0_SF_DUA</v>
      </c>
      <c r="B687" s="303" t="s">
        <v>222</v>
      </c>
      <c r="C687" s="304">
        <v>0</v>
      </c>
      <c r="D687" s="303" t="s">
        <v>409</v>
      </c>
      <c r="E687" s="305" t="s">
        <v>484</v>
      </c>
      <c r="F687" s="305" t="s">
        <v>539</v>
      </c>
      <c r="G687" s="358">
        <v>0.75</v>
      </c>
      <c r="H687" s="305"/>
      <c r="I687" s="305" t="s">
        <v>152</v>
      </c>
      <c r="J687" s="305" t="s">
        <v>107</v>
      </c>
      <c r="K687" s="305" t="s">
        <v>2063</v>
      </c>
    </row>
    <row r="688" spans="1:11" x14ac:dyDescent="0.25">
      <c r="A688" s="302" t="str">
        <f t="shared" si="13"/>
        <v>Wall Insulation_0_SF_ADJ-wallcool</v>
      </c>
      <c r="B688" s="303" t="s">
        <v>222</v>
      </c>
      <c r="C688" s="304">
        <v>0</v>
      </c>
      <c r="D688" s="303" t="s">
        <v>409</v>
      </c>
      <c r="E688" s="305" t="s">
        <v>787</v>
      </c>
      <c r="F688" s="305" t="s">
        <v>539</v>
      </c>
      <c r="G688" s="358">
        <v>0.8</v>
      </c>
      <c r="H688" s="305"/>
      <c r="I688" s="305" t="s">
        <v>152</v>
      </c>
      <c r="J688" s="305" t="s">
        <v>107</v>
      </c>
      <c r="K688" s="305" t="s">
        <v>2063</v>
      </c>
    </row>
    <row r="689" spans="1:11" x14ac:dyDescent="0.25">
      <c r="A689" s="302" t="str">
        <f t="shared" si="13"/>
        <v>Wall Insulation_0_SF_ηCool</v>
      </c>
      <c r="B689" s="303" t="s">
        <v>222</v>
      </c>
      <c r="C689" s="304">
        <v>0</v>
      </c>
      <c r="D689" s="303" t="s">
        <v>409</v>
      </c>
      <c r="E689" s="305" t="s">
        <v>485</v>
      </c>
      <c r="F689" s="305" t="s">
        <v>788</v>
      </c>
      <c r="G689" s="358">
        <v>12.08</v>
      </c>
      <c r="H689" s="305" t="s">
        <v>789</v>
      </c>
      <c r="I689" s="305" t="s">
        <v>152</v>
      </c>
      <c r="J689" s="305" t="s">
        <v>107</v>
      </c>
      <c r="K689" s="305" t="s">
        <v>2063</v>
      </c>
    </row>
    <row r="690" spans="1:11" x14ac:dyDescent="0.25">
      <c r="A690" s="302" t="str">
        <f t="shared" si="13"/>
        <v>Wall Insulation_0_SF_ADJ-wallheat</v>
      </c>
      <c r="B690" s="303" t="s">
        <v>222</v>
      </c>
      <c r="C690" s="304">
        <v>0</v>
      </c>
      <c r="D690" s="303" t="s">
        <v>409</v>
      </c>
      <c r="E690" s="311" t="s">
        <v>790</v>
      </c>
      <c r="F690" s="311" t="s">
        <v>539</v>
      </c>
      <c r="G690" s="359">
        <v>0.63</v>
      </c>
      <c r="H690" s="311"/>
      <c r="I690" s="305" t="s">
        <v>152</v>
      </c>
      <c r="J690" s="305" t="s">
        <v>107</v>
      </c>
      <c r="K690" s="305" t="s">
        <v>2063</v>
      </c>
    </row>
    <row r="691" spans="1:11" x14ac:dyDescent="0.25">
      <c r="A691" s="302" t="str">
        <f t="shared" si="13"/>
        <v>Wall Insulation_0_SF_HDD</v>
      </c>
      <c r="B691" s="303" t="s">
        <v>222</v>
      </c>
      <c r="C691" s="304">
        <v>0</v>
      </c>
      <c r="D691" s="303" t="s">
        <v>409</v>
      </c>
      <c r="E691" s="311" t="s">
        <v>487</v>
      </c>
      <c r="F691" s="311"/>
      <c r="G691" s="360">
        <v>4798</v>
      </c>
      <c r="H691" s="311" t="s">
        <v>636</v>
      </c>
      <c r="I691" s="305" t="s">
        <v>152</v>
      </c>
      <c r="J691" s="305" t="s">
        <v>107</v>
      </c>
      <c r="K691" s="305" t="s">
        <v>2063</v>
      </c>
    </row>
    <row r="692" spans="1:11" x14ac:dyDescent="0.25">
      <c r="A692" s="302" t="str">
        <f t="shared" si="13"/>
        <v>Wall Insulation_0_SF_ηHeat - electric</v>
      </c>
      <c r="B692" s="303" t="s">
        <v>222</v>
      </c>
      <c r="C692" s="304">
        <v>0</v>
      </c>
      <c r="D692" s="303" t="s">
        <v>409</v>
      </c>
      <c r="E692" s="305" t="s">
        <v>791</v>
      </c>
      <c r="F692" s="309"/>
      <c r="G692" s="358">
        <v>1</v>
      </c>
      <c r="H692" s="305" t="s">
        <v>792</v>
      </c>
      <c r="I692" s="305" t="s">
        <v>152</v>
      </c>
      <c r="J692" s="305" t="s">
        <v>107</v>
      </c>
      <c r="K692" s="305" t="s">
        <v>2063</v>
      </c>
    </row>
    <row r="693" spans="1:11" x14ac:dyDescent="0.25">
      <c r="A693" s="302" t="str">
        <f t="shared" si="13"/>
        <v>Wall Insulation_0_SF_Conversion</v>
      </c>
      <c r="B693" s="303" t="s">
        <v>222</v>
      </c>
      <c r="C693" s="304">
        <v>0</v>
      </c>
      <c r="D693" s="303" t="s">
        <v>409</v>
      </c>
      <c r="E693" s="305" t="s">
        <v>284</v>
      </c>
      <c r="F693" s="305" t="s">
        <v>776</v>
      </c>
      <c r="G693" s="325">
        <v>3412</v>
      </c>
      <c r="H693" s="305"/>
      <c r="I693" s="305" t="s">
        <v>152</v>
      </c>
      <c r="J693" s="305" t="s">
        <v>107</v>
      </c>
      <c r="K693" s="305" t="s">
        <v>2063</v>
      </c>
    </row>
    <row r="694" spans="1:11" x14ac:dyDescent="0.25">
      <c r="A694" s="302" t="str">
        <f t="shared" si="13"/>
        <v>Wall Insulation_0_SF_CF</v>
      </c>
      <c r="B694" s="303" t="s">
        <v>222</v>
      </c>
      <c r="C694" s="304">
        <v>0</v>
      </c>
      <c r="D694" s="303" t="s">
        <v>409</v>
      </c>
      <c r="E694" s="305" t="s">
        <v>253</v>
      </c>
      <c r="F694" s="305" t="s">
        <v>539</v>
      </c>
      <c r="G694" s="358">
        <v>0.68</v>
      </c>
      <c r="H694" s="305" t="s">
        <v>793</v>
      </c>
      <c r="I694" s="305" t="s">
        <v>152</v>
      </c>
      <c r="J694" s="305" t="s">
        <v>107</v>
      </c>
      <c r="K694" s="305" t="s">
        <v>2063</v>
      </c>
    </row>
    <row r="695" spans="1:11" x14ac:dyDescent="0.25">
      <c r="A695" s="302" t="str">
        <f t="shared" si="13"/>
        <v>Wall Insulation_0_SF_FLH Cooling</v>
      </c>
      <c r="B695" s="303" t="s">
        <v>222</v>
      </c>
      <c r="C695" s="304">
        <v>0</v>
      </c>
      <c r="D695" s="303" t="s">
        <v>409</v>
      </c>
      <c r="E695" s="305" t="s">
        <v>249</v>
      </c>
      <c r="F695" s="305" t="s">
        <v>283</v>
      </c>
      <c r="G695" s="325">
        <v>570</v>
      </c>
      <c r="H695" s="305" t="s">
        <v>794</v>
      </c>
      <c r="I695" s="305" t="s">
        <v>152</v>
      </c>
      <c r="J695" s="305" t="s">
        <v>107</v>
      </c>
      <c r="K695" s="305" t="s">
        <v>2063</v>
      </c>
    </row>
    <row r="696" spans="1:11" x14ac:dyDescent="0.25">
      <c r="A696" s="302" t="str">
        <f t="shared" si="13"/>
        <v>Wall Insulation_0_SF_ηHeat - gas</v>
      </c>
      <c r="B696" s="303" t="s">
        <v>222</v>
      </c>
      <c r="C696" s="304">
        <v>0</v>
      </c>
      <c r="D696" s="303" t="s">
        <v>409</v>
      </c>
      <c r="E696" s="305" t="s">
        <v>620</v>
      </c>
      <c r="F696" s="309" t="s">
        <v>539</v>
      </c>
      <c r="G696" s="358">
        <v>0.72</v>
      </c>
      <c r="H696" s="305" t="s">
        <v>639</v>
      </c>
      <c r="I696" s="305" t="s">
        <v>152</v>
      </c>
      <c r="J696" s="305" t="s">
        <v>107</v>
      </c>
      <c r="K696" s="305" t="s">
        <v>2063</v>
      </c>
    </row>
    <row r="697" spans="1:11" x14ac:dyDescent="0.25">
      <c r="A697" s="302" t="str">
        <f t="shared" si="13"/>
        <v>Wall Insulation_0_SF_ηHeat - gas- MLA</v>
      </c>
      <c r="B697" s="303" t="s">
        <v>222</v>
      </c>
      <c r="C697" s="304">
        <v>0</v>
      </c>
      <c r="D697" s="303" t="s">
        <v>409</v>
      </c>
      <c r="E697" s="305" t="s">
        <v>621</v>
      </c>
      <c r="F697" s="309" t="s">
        <v>539</v>
      </c>
      <c r="G697" s="334">
        <v>0.68</v>
      </c>
      <c r="H697" s="311" t="s">
        <v>1924</v>
      </c>
      <c r="I697" s="305" t="s">
        <v>152</v>
      </c>
      <c r="J697" s="305" t="s">
        <v>107</v>
      </c>
      <c r="K697" s="305" t="s">
        <v>2063</v>
      </c>
    </row>
    <row r="698" spans="1:11" x14ac:dyDescent="0.25">
      <c r="A698" s="302" t="str">
        <f t="shared" si="13"/>
        <v>Wall Insulation_0_SF_Fe</v>
      </c>
      <c r="B698" s="303" t="s">
        <v>222</v>
      </c>
      <c r="C698" s="304">
        <v>0</v>
      </c>
      <c r="D698" s="303" t="s">
        <v>409</v>
      </c>
      <c r="E698" s="305" t="s">
        <v>425</v>
      </c>
      <c r="F698" s="305" t="s">
        <v>539</v>
      </c>
      <c r="G698" s="333">
        <v>3.1399999999999997E-2</v>
      </c>
      <c r="H698" s="305"/>
      <c r="I698" s="305" t="s">
        <v>152</v>
      </c>
      <c r="J698" s="305" t="s">
        <v>107</v>
      </c>
      <c r="K698" s="305" t="s">
        <v>2063</v>
      </c>
    </row>
    <row r="699" spans="1:11" x14ac:dyDescent="0.25">
      <c r="A699" s="302" t="str">
        <f t="shared" si="13"/>
        <v>Wall Insulation_0_SF_Conversion</v>
      </c>
      <c r="B699" s="303" t="s">
        <v>222</v>
      </c>
      <c r="C699" s="304">
        <v>0</v>
      </c>
      <c r="D699" s="303" t="s">
        <v>409</v>
      </c>
      <c r="E699" s="305" t="s">
        <v>284</v>
      </c>
      <c r="F699" s="305" t="s">
        <v>611</v>
      </c>
      <c r="G699" s="358">
        <v>29.3</v>
      </c>
      <c r="H699" s="305"/>
      <c r="I699" s="305" t="s">
        <v>152</v>
      </c>
      <c r="J699" s="305" t="s">
        <v>107</v>
      </c>
      <c r="K699" s="305" t="s">
        <v>2063</v>
      </c>
    </row>
    <row r="700" spans="1:11" x14ac:dyDescent="0.25">
      <c r="A700" s="302" t="str">
        <f t="shared" si="13"/>
        <v>Wall Insulation_0_SF_Cooling Energy Savings</v>
      </c>
      <c r="B700" s="303" t="s">
        <v>222</v>
      </c>
      <c r="C700" s="304">
        <v>0</v>
      </c>
      <c r="D700" s="303" t="s">
        <v>409</v>
      </c>
      <c r="E700" s="314" t="s">
        <v>795</v>
      </c>
      <c r="F700" s="326" t="s">
        <v>796</v>
      </c>
      <c r="G700" s="326">
        <f>(((1/G681)-(1/G682))*(1-G684)*G685*G686*G687)*G688/(1000*G689)</f>
        <v>0.1062750292169848</v>
      </c>
      <c r="H700" s="305"/>
      <c r="I700" s="305" t="s">
        <v>152</v>
      </c>
      <c r="J700" s="305" t="s">
        <v>107</v>
      </c>
      <c r="K700" s="305" t="s">
        <v>2063</v>
      </c>
    </row>
    <row r="701" spans="1:11" x14ac:dyDescent="0.25">
      <c r="A701" s="302" t="str">
        <f t="shared" si="13"/>
        <v xml:space="preserve">Wall Insulation_0_SF_Space Heating Energy Savings </v>
      </c>
      <c r="B701" s="303" t="s">
        <v>222</v>
      </c>
      <c r="C701" s="304">
        <v>0</v>
      </c>
      <c r="D701" s="303" t="s">
        <v>409</v>
      </c>
      <c r="E701" s="314" t="s">
        <v>797</v>
      </c>
      <c r="F701" s="326" t="s">
        <v>796</v>
      </c>
      <c r="G701" s="326">
        <f>(((1/G681)-(1/G682))*(1-G684)*G685*G691)*G690/(G693*G692)</f>
        <v>2.2512648782842564</v>
      </c>
      <c r="H701" s="305"/>
      <c r="I701" s="305" t="s">
        <v>152</v>
      </c>
      <c r="J701" s="305" t="s">
        <v>107</v>
      </c>
      <c r="K701" s="305" t="s">
        <v>2063</v>
      </c>
    </row>
    <row r="702" spans="1:11" x14ac:dyDescent="0.25">
      <c r="A702" s="302" t="str">
        <f t="shared" si="13"/>
        <v>Wall Insulation_0_SF_Furnace Fan Energy Savings</v>
      </c>
      <c r="B702" s="303" t="s">
        <v>222</v>
      </c>
      <c r="C702" s="304">
        <v>0</v>
      </c>
      <c r="D702" s="303" t="s">
        <v>409</v>
      </c>
      <c r="E702" s="314" t="s">
        <v>798</v>
      </c>
      <c r="F702" s="326" t="s">
        <v>796</v>
      </c>
      <c r="G702" s="326">
        <f>G704*G698*G699</f>
        <v>9.8152279581176463E-2</v>
      </c>
      <c r="H702" s="305"/>
      <c r="I702" s="305" t="s">
        <v>152</v>
      </c>
      <c r="J702" s="305" t="s">
        <v>107</v>
      </c>
      <c r="K702" s="305" t="s">
        <v>2063</v>
      </c>
    </row>
    <row r="703" spans="1:11" x14ac:dyDescent="0.25">
      <c r="A703" s="302" t="str">
        <f t="shared" si="13"/>
        <v>Wall Insulation_0_SF_Cooling Demand Savings</v>
      </c>
      <c r="B703" s="303" t="s">
        <v>222</v>
      </c>
      <c r="C703" s="304">
        <v>0</v>
      </c>
      <c r="D703" s="303" t="s">
        <v>409</v>
      </c>
      <c r="E703" s="314" t="s">
        <v>799</v>
      </c>
      <c r="F703" s="326" t="s">
        <v>800</v>
      </c>
      <c r="G703" s="326">
        <f>(G700/G695)*G694</f>
        <v>1.2678424538166609E-4</v>
      </c>
      <c r="H703" s="305"/>
      <c r="I703" s="305" t="s">
        <v>152</v>
      </c>
      <c r="J703" s="305" t="s">
        <v>107</v>
      </c>
      <c r="K703" s="305" t="s">
        <v>2063</v>
      </c>
    </row>
    <row r="704" spans="1:11" x14ac:dyDescent="0.25">
      <c r="A704" s="302" t="str">
        <f t="shared" si="13"/>
        <v>Wall Insulation_0_SF_Space Heating Energy Savings</v>
      </c>
      <c r="B704" s="303" t="s">
        <v>222</v>
      </c>
      <c r="C704" s="304">
        <v>0</v>
      </c>
      <c r="D704" s="303" t="s">
        <v>409</v>
      </c>
      <c r="E704" s="314" t="s">
        <v>801</v>
      </c>
      <c r="F704" s="326" t="s">
        <v>802</v>
      </c>
      <c r="G704" s="361">
        <f>((1/G681)-(1/G682))*(1-G684)*G685*G691*G690/(100000*G696)</f>
        <v>0.10668494117647059</v>
      </c>
      <c r="H704" s="305"/>
      <c r="I704" s="305" t="s">
        <v>152</v>
      </c>
      <c r="J704" s="305" t="s">
        <v>107</v>
      </c>
      <c r="K704" s="305" t="s">
        <v>2063</v>
      </c>
    </row>
    <row r="705" spans="1:11" x14ac:dyDescent="0.25">
      <c r="A705" s="302" t="str">
        <f t="shared" si="13"/>
        <v>Wall Insulation_0_SF_Cooling Energy Savings</v>
      </c>
      <c r="B705" s="303" t="s">
        <v>222</v>
      </c>
      <c r="C705" s="304">
        <v>0</v>
      </c>
      <c r="D705" s="303" t="s">
        <v>409</v>
      </c>
      <c r="E705" s="314" t="s">
        <v>795</v>
      </c>
      <c r="F705" s="326" t="s">
        <v>803</v>
      </c>
      <c r="G705" s="326">
        <v>0</v>
      </c>
      <c r="H705" s="305"/>
      <c r="I705" s="305" t="s">
        <v>152</v>
      </c>
      <c r="J705" s="305" t="s">
        <v>107</v>
      </c>
      <c r="K705" s="305" t="s">
        <v>2063</v>
      </c>
    </row>
    <row r="706" spans="1:11" x14ac:dyDescent="0.25">
      <c r="A706" s="302" t="str">
        <f t="shared" si="13"/>
        <v>Wall Insulation_0_SF_Space Heating Energy Savings</v>
      </c>
      <c r="B706" s="303" t="s">
        <v>222</v>
      </c>
      <c r="C706" s="304">
        <v>0</v>
      </c>
      <c r="D706" s="303" t="s">
        <v>409</v>
      </c>
      <c r="E706" s="314" t="s">
        <v>801</v>
      </c>
      <c r="F706" s="326" t="s">
        <v>803</v>
      </c>
      <c r="G706" s="326">
        <v>0</v>
      </c>
      <c r="H706" s="305"/>
      <c r="I706" s="305" t="s">
        <v>152</v>
      </c>
      <c r="J706" s="305" t="s">
        <v>107</v>
      </c>
      <c r="K706" s="305" t="s">
        <v>2063</v>
      </c>
    </row>
    <row r="707" spans="1:11" x14ac:dyDescent="0.25">
      <c r="A707" s="302" t="str">
        <f t="shared" si="13"/>
        <v>Wall Insulation_0_SF_Furnace Fan Energy Savings</v>
      </c>
      <c r="B707" s="303" t="s">
        <v>222</v>
      </c>
      <c r="C707" s="304">
        <v>0</v>
      </c>
      <c r="D707" s="303" t="s">
        <v>409</v>
      </c>
      <c r="E707" s="314" t="s">
        <v>798</v>
      </c>
      <c r="F707" s="326" t="s">
        <v>803</v>
      </c>
      <c r="G707" s="326">
        <f>G709*G698*G699</f>
        <v>9.8152279581176463E-2</v>
      </c>
      <c r="H707" s="305"/>
      <c r="I707" s="305" t="s">
        <v>152</v>
      </c>
      <c r="J707" s="305" t="s">
        <v>107</v>
      </c>
      <c r="K707" s="305" t="s">
        <v>2063</v>
      </c>
    </row>
    <row r="708" spans="1:11" x14ac:dyDescent="0.25">
      <c r="A708" s="302" t="str">
        <f t="shared" si="13"/>
        <v>Wall Insulation_0_SF_Cooling Demand Savings</v>
      </c>
      <c r="B708" s="303" t="s">
        <v>222</v>
      </c>
      <c r="C708" s="304">
        <v>0</v>
      </c>
      <c r="D708" s="303" t="s">
        <v>409</v>
      </c>
      <c r="E708" s="314" t="s">
        <v>799</v>
      </c>
      <c r="F708" s="326" t="s">
        <v>804</v>
      </c>
      <c r="G708" s="315">
        <v>0</v>
      </c>
      <c r="H708" s="305"/>
      <c r="I708" s="305" t="s">
        <v>152</v>
      </c>
      <c r="J708" s="305" t="s">
        <v>107</v>
      </c>
      <c r="K708" s="305" t="s">
        <v>2063</v>
      </c>
    </row>
    <row r="709" spans="1:11" x14ac:dyDescent="0.25">
      <c r="A709" s="302" t="str">
        <f t="shared" si="13"/>
        <v>Wall Insulation_0_SF_Space Heating Energy Savings</v>
      </c>
      <c r="B709" s="303" t="s">
        <v>222</v>
      </c>
      <c r="C709" s="304">
        <v>0</v>
      </c>
      <c r="D709" s="303" t="s">
        <v>409</v>
      </c>
      <c r="E709" s="314" t="s">
        <v>801</v>
      </c>
      <c r="F709" s="326" t="s">
        <v>805</v>
      </c>
      <c r="G709" s="315">
        <f>G704*G683</f>
        <v>0.10668494117647059</v>
      </c>
      <c r="H709" s="305" t="s">
        <v>767</v>
      </c>
      <c r="I709" s="305" t="s">
        <v>152</v>
      </c>
      <c r="J709" s="305" t="s">
        <v>107</v>
      </c>
      <c r="K709" s="305" t="s">
        <v>2063</v>
      </c>
    </row>
    <row r="710" spans="1:11" x14ac:dyDescent="0.25">
      <c r="A710" s="302" t="str">
        <f t="shared" si="13"/>
        <v>Wall Insulation_0_SF_kWh Saved per Unit</v>
      </c>
      <c r="B710" s="303" t="s">
        <v>222</v>
      </c>
      <c r="C710" s="304">
        <v>0</v>
      </c>
      <c r="D710" s="303" t="s">
        <v>409</v>
      </c>
      <c r="E710" s="314" t="s">
        <v>255</v>
      </c>
      <c r="F710" s="314"/>
      <c r="G710" s="315">
        <f>G705+G706+G707</f>
        <v>9.8152279581176463E-2</v>
      </c>
      <c r="H710" s="305"/>
      <c r="I710" s="305" t="s">
        <v>152</v>
      </c>
      <c r="J710" s="305" t="s">
        <v>107</v>
      </c>
      <c r="K710" s="305" t="s">
        <v>2063</v>
      </c>
    </row>
    <row r="711" spans="1:11" x14ac:dyDescent="0.25">
      <c r="A711" s="302" t="str">
        <f t="shared" si="13"/>
        <v>Wall Insulation_0_SF_kW Saved per Unit</v>
      </c>
      <c r="B711" s="303" t="s">
        <v>222</v>
      </c>
      <c r="C711" s="304">
        <v>0</v>
      </c>
      <c r="D711" s="303" t="s">
        <v>409</v>
      </c>
      <c r="E711" s="314" t="s">
        <v>580</v>
      </c>
      <c r="F711" s="326" t="s">
        <v>571</v>
      </c>
      <c r="G711" s="326">
        <f>G708</f>
        <v>0</v>
      </c>
      <c r="H711" s="305"/>
      <c r="I711" s="305" t="s">
        <v>152</v>
      </c>
      <c r="J711" s="305" t="s">
        <v>107</v>
      </c>
      <c r="K711" s="305" t="s">
        <v>2063</v>
      </c>
    </row>
    <row r="712" spans="1:11" x14ac:dyDescent="0.25">
      <c r="A712" s="302" t="str">
        <f t="shared" si="13"/>
        <v>Wall Insulation_0_SF_Therm Saved per Unit</v>
      </c>
      <c r="B712" s="303" t="s">
        <v>222</v>
      </c>
      <c r="C712" s="304">
        <v>0</v>
      </c>
      <c r="D712" s="303" t="s">
        <v>409</v>
      </c>
      <c r="E712" s="314" t="s">
        <v>326</v>
      </c>
      <c r="F712" s="314"/>
      <c r="G712" s="326">
        <f>G709</f>
        <v>0.10668494117647059</v>
      </c>
      <c r="H712" s="305"/>
      <c r="I712" s="305" t="s">
        <v>152</v>
      </c>
      <c r="J712" s="305" t="s">
        <v>107</v>
      </c>
      <c r="K712" s="305" t="s">
        <v>2063</v>
      </c>
    </row>
    <row r="713" spans="1:11" x14ac:dyDescent="0.25">
      <c r="A713" s="302" t="str">
        <f t="shared" si="13"/>
        <v>Wall Insulation_0_SF_Therm Saved per Unit- MLA</v>
      </c>
      <c r="B713" s="303" t="s">
        <v>222</v>
      </c>
      <c r="C713" s="304">
        <v>0</v>
      </c>
      <c r="D713" s="303" t="s">
        <v>409</v>
      </c>
      <c r="E713" s="314" t="s">
        <v>626</v>
      </c>
      <c r="F713" s="326"/>
      <c r="G713" s="315">
        <f>(((1/G681)-(1/G682))*(1-G684)*G685*G691*G690/(100000*G697))*G683</f>
        <v>0.11296052595155709</v>
      </c>
      <c r="H713" s="305" t="s">
        <v>627</v>
      </c>
      <c r="I713" s="305" t="s">
        <v>152</v>
      </c>
      <c r="J713" s="305" t="s">
        <v>107</v>
      </c>
      <c r="K713" s="305" t="s">
        <v>2063</v>
      </c>
    </row>
    <row r="714" spans="1:11" x14ac:dyDescent="0.25">
      <c r="A714" s="302" t="str">
        <f t="shared" si="13"/>
        <v>Wall Insulation_0_SF_Lifetime (years)</v>
      </c>
      <c r="B714" s="303" t="s">
        <v>222</v>
      </c>
      <c r="C714" s="304">
        <v>0</v>
      </c>
      <c r="D714" s="303" t="s">
        <v>409</v>
      </c>
      <c r="E714" s="311" t="s">
        <v>259</v>
      </c>
      <c r="F714" s="311" t="s">
        <v>548</v>
      </c>
      <c r="G714" s="310">
        <v>30</v>
      </c>
      <c r="H714" s="311"/>
      <c r="I714" s="305" t="s">
        <v>152</v>
      </c>
      <c r="J714" s="305" t="s">
        <v>107</v>
      </c>
      <c r="K714" s="305" t="s">
        <v>2063</v>
      </c>
    </row>
    <row r="715" spans="1:11" x14ac:dyDescent="0.25">
      <c r="A715" s="302" t="str">
        <f t="shared" si="13"/>
        <v>Wall Insulation_0_SF_Lifetime (years) - Remaining Years</v>
      </c>
      <c r="B715" s="303" t="s">
        <v>222</v>
      </c>
      <c r="C715" s="304">
        <v>0</v>
      </c>
      <c r="D715" s="303" t="s">
        <v>409</v>
      </c>
      <c r="E715" s="314" t="s">
        <v>628</v>
      </c>
      <c r="F715" s="314" t="s">
        <v>548</v>
      </c>
      <c r="G715" s="315">
        <v>10</v>
      </c>
      <c r="H715" s="305" t="s">
        <v>629</v>
      </c>
      <c r="I715" s="305" t="s">
        <v>152</v>
      </c>
      <c r="J715" s="305" t="s">
        <v>107</v>
      </c>
      <c r="K715" s="305" t="s">
        <v>2063</v>
      </c>
    </row>
    <row r="716" spans="1:11" x14ac:dyDescent="0.25">
      <c r="A716" s="302" t="str">
        <f t="shared" si="13"/>
        <v>Wall Insulation_0_SF_Incremental Cost</v>
      </c>
      <c r="B716" s="303" t="s">
        <v>222</v>
      </c>
      <c r="C716" s="304">
        <v>0</v>
      </c>
      <c r="D716" s="303" t="s">
        <v>409</v>
      </c>
      <c r="E716" s="314" t="s">
        <v>260</v>
      </c>
      <c r="F716" s="314" t="s">
        <v>549</v>
      </c>
      <c r="G716" s="328">
        <v>1.32</v>
      </c>
      <c r="H716" s="305" t="s">
        <v>630</v>
      </c>
      <c r="I716" s="305" t="s">
        <v>614</v>
      </c>
      <c r="J716" s="305"/>
      <c r="K716" s="305"/>
    </row>
    <row r="717" spans="1:11" s="324" customFormat="1" x14ac:dyDescent="0.25">
      <c r="A717" s="317" t="str">
        <f t="shared" si="13"/>
        <v>Wall Insulation_0_SF_</v>
      </c>
      <c r="B717" s="317" t="str">
        <f>B716</f>
        <v>Wall Insulation</v>
      </c>
      <c r="C717" s="332">
        <f>C716</f>
        <v>0</v>
      </c>
      <c r="D717" s="317" t="str">
        <f>D716</f>
        <v>SF</v>
      </c>
      <c r="E717" s="320"/>
      <c r="F717" s="320"/>
      <c r="G717" s="329"/>
      <c r="H717" s="320"/>
      <c r="I717" s="320"/>
      <c r="J717" s="320"/>
      <c r="K717" s="320"/>
    </row>
    <row r="718" spans="1:11" x14ac:dyDescent="0.25">
      <c r="A718" s="302" t="str">
        <f t="shared" si="13"/>
        <v>Condensate Tank Insulation_0_MF/CI/SMB_r</v>
      </c>
      <c r="B718" s="303" t="s">
        <v>806</v>
      </c>
      <c r="C718" s="304">
        <v>0</v>
      </c>
      <c r="D718" s="303" t="s">
        <v>662</v>
      </c>
      <c r="E718" s="305" t="s">
        <v>807</v>
      </c>
      <c r="F718" s="305" t="s">
        <v>616</v>
      </c>
      <c r="G718" s="358">
        <v>5</v>
      </c>
      <c r="H718" s="305" t="s">
        <v>808</v>
      </c>
      <c r="I718" s="305" t="s">
        <v>152</v>
      </c>
      <c r="J718" s="305" t="s">
        <v>809</v>
      </c>
      <c r="K718" s="305" t="s">
        <v>2365</v>
      </c>
    </row>
    <row r="719" spans="1:11" x14ac:dyDescent="0.25">
      <c r="A719" s="302" t="str">
        <f t="shared" si="13"/>
        <v>Condensate Tank Insulation_0_MF/CI/SMB_h</v>
      </c>
      <c r="B719" s="303" t="s">
        <v>806</v>
      </c>
      <c r="C719" s="304">
        <v>0</v>
      </c>
      <c r="D719" s="303" t="s">
        <v>662</v>
      </c>
      <c r="E719" s="305" t="s">
        <v>811</v>
      </c>
      <c r="F719" s="305" t="s">
        <v>616</v>
      </c>
      <c r="G719" s="362">
        <v>15</v>
      </c>
      <c r="H719" s="305" t="s">
        <v>808</v>
      </c>
      <c r="I719" s="305" t="s">
        <v>152</v>
      </c>
      <c r="J719" s="305" t="s">
        <v>809</v>
      </c>
      <c r="K719" s="305" t="s">
        <v>2365</v>
      </c>
    </row>
    <row r="720" spans="1:11" x14ac:dyDescent="0.25">
      <c r="A720" s="302" t="str">
        <f t="shared" ref="A720:A783" si="14">B720&amp;"_"&amp;C720&amp;"_"&amp;D720&amp;"_"&amp;E720</f>
        <v>Condensate Tank Insulation_0_MF/CI/SMB_ESFb</v>
      </c>
      <c r="B720" s="303" t="s">
        <v>806</v>
      </c>
      <c r="C720" s="304">
        <v>0</v>
      </c>
      <c r="D720" s="303" t="s">
        <v>662</v>
      </c>
      <c r="E720" s="305" t="s">
        <v>812</v>
      </c>
      <c r="F720" s="305" t="s">
        <v>813</v>
      </c>
      <c r="G720" s="358">
        <v>373.4</v>
      </c>
      <c r="H720" s="305" t="s">
        <v>814</v>
      </c>
      <c r="I720" s="305" t="s">
        <v>152</v>
      </c>
      <c r="J720" s="305" t="s">
        <v>809</v>
      </c>
      <c r="K720" s="305" t="s">
        <v>2365</v>
      </c>
    </row>
    <row r="721" spans="1:11" x14ac:dyDescent="0.25">
      <c r="A721" s="302" t="str">
        <f t="shared" si="14"/>
        <v>Condensate Tank Insulation_0_MF/CI/SMB_Ab</v>
      </c>
      <c r="B721" s="303" t="s">
        <v>806</v>
      </c>
      <c r="C721" s="304">
        <v>0</v>
      </c>
      <c r="D721" s="303" t="s">
        <v>662</v>
      </c>
      <c r="E721" s="305" t="s">
        <v>815</v>
      </c>
      <c r="F721" s="305" t="s">
        <v>816</v>
      </c>
      <c r="G721" s="363">
        <f>2*3.14159*G718*G719</f>
        <v>471.23849999999999</v>
      </c>
      <c r="H721" s="305" t="s">
        <v>808</v>
      </c>
      <c r="I721" s="305" t="s">
        <v>633</v>
      </c>
      <c r="J721" s="305" t="s">
        <v>817</v>
      </c>
      <c r="K721" s="305"/>
    </row>
    <row r="722" spans="1:11" x14ac:dyDescent="0.25">
      <c r="A722" s="302" t="str">
        <f t="shared" si="14"/>
        <v>Condensate Tank Insulation_0_MF/CI/SMB_ESFe</v>
      </c>
      <c r="B722" s="303" t="s">
        <v>806</v>
      </c>
      <c r="C722" s="304">
        <v>0</v>
      </c>
      <c r="D722" s="303" t="s">
        <v>662</v>
      </c>
      <c r="E722" s="305" t="s">
        <v>818</v>
      </c>
      <c r="F722" s="305" t="s">
        <v>813</v>
      </c>
      <c r="G722" s="358">
        <v>426.3</v>
      </c>
      <c r="H722" s="305" t="s">
        <v>819</v>
      </c>
      <c r="I722" s="305" t="s">
        <v>152</v>
      </c>
      <c r="J722" s="305" t="s">
        <v>809</v>
      </c>
      <c r="K722" s="305" t="s">
        <v>2365</v>
      </c>
    </row>
    <row r="723" spans="1:11" x14ac:dyDescent="0.25">
      <c r="A723" s="302" t="str">
        <f t="shared" si="14"/>
        <v>Condensate Tank Insulation_0_MF/CI/SMB_Ae</v>
      </c>
      <c r="B723" s="303" t="s">
        <v>806</v>
      </c>
      <c r="C723" s="304">
        <v>0</v>
      </c>
      <c r="D723" s="303" t="s">
        <v>662</v>
      </c>
      <c r="E723" s="305" t="s">
        <v>820</v>
      </c>
      <c r="F723" s="305" t="s">
        <v>816</v>
      </c>
      <c r="G723" s="363">
        <f>3.14159*(G718^2)</f>
        <v>78.539749999999998</v>
      </c>
      <c r="H723" s="305" t="s">
        <v>808</v>
      </c>
      <c r="I723" s="305" t="s">
        <v>152</v>
      </c>
      <c r="J723" s="305" t="s">
        <v>809</v>
      </c>
      <c r="K723" s="305" t="s">
        <v>2365</v>
      </c>
    </row>
    <row r="724" spans="1:11" x14ac:dyDescent="0.25">
      <c r="A724" s="302" t="str">
        <f t="shared" si="14"/>
        <v>Condensate Tank Insulation_0_MF/CI/SMB_Hours of Operation</v>
      </c>
      <c r="B724" s="303" t="s">
        <v>806</v>
      </c>
      <c r="C724" s="304">
        <v>0</v>
      </c>
      <c r="D724" s="303" t="s">
        <v>662</v>
      </c>
      <c r="E724" s="305" t="s">
        <v>460</v>
      </c>
      <c r="F724" s="309" t="s">
        <v>647</v>
      </c>
      <c r="G724" s="354">
        <v>4963</v>
      </c>
      <c r="H724" s="305" t="s">
        <v>821</v>
      </c>
      <c r="I724" s="305" t="s">
        <v>633</v>
      </c>
      <c r="J724" s="305" t="s">
        <v>817</v>
      </c>
      <c r="K724" s="305"/>
    </row>
    <row r="725" spans="1:11" x14ac:dyDescent="0.25">
      <c r="A725" s="302" t="str">
        <f t="shared" si="14"/>
        <v>Condensate Tank Insulation_0_MF/CI/SMB_LF</v>
      </c>
      <c r="B725" s="303" t="s">
        <v>806</v>
      </c>
      <c r="C725" s="304">
        <v>0</v>
      </c>
      <c r="D725" s="303" t="s">
        <v>662</v>
      </c>
      <c r="E725" s="305" t="s">
        <v>431</v>
      </c>
      <c r="F725" s="309"/>
      <c r="G725" s="307">
        <f>MAX(0.7,(G729/G724*G730))</f>
        <v>0.7</v>
      </c>
      <c r="H725" s="305" t="s">
        <v>822</v>
      </c>
      <c r="I725" s="305" t="s">
        <v>152</v>
      </c>
      <c r="J725" s="305" t="s">
        <v>809</v>
      </c>
      <c r="K725" s="305" t="s">
        <v>2365</v>
      </c>
    </row>
    <row r="726" spans="1:11" x14ac:dyDescent="0.25">
      <c r="A726" s="302" t="str">
        <f t="shared" si="14"/>
        <v>Condensate Tank Insulation_0_MF/CI/SMB_TRF</v>
      </c>
      <c r="B726" s="303" t="s">
        <v>806</v>
      </c>
      <c r="C726" s="304">
        <v>0</v>
      </c>
      <c r="D726" s="303" t="s">
        <v>662</v>
      </c>
      <c r="E726" s="305" t="s">
        <v>406</v>
      </c>
      <c r="F726" s="309"/>
      <c r="G726" s="307">
        <v>1</v>
      </c>
      <c r="H726" s="305" t="s">
        <v>823</v>
      </c>
      <c r="I726" s="305" t="s">
        <v>152</v>
      </c>
      <c r="J726" s="305" t="s">
        <v>809</v>
      </c>
      <c r="K726" s="305" t="s">
        <v>2365</v>
      </c>
    </row>
    <row r="727" spans="1:11" x14ac:dyDescent="0.25">
      <c r="A727" s="302" t="str">
        <f t="shared" si="14"/>
        <v>Condensate Tank Insulation_0_MF/CI/SMB_Conversion</v>
      </c>
      <c r="B727" s="303" t="s">
        <v>806</v>
      </c>
      <c r="C727" s="304">
        <v>0</v>
      </c>
      <c r="D727" s="303" t="s">
        <v>662</v>
      </c>
      <c r="E727" s="305" t="s">
        <v>284</v>
      </c>
      <c r="F727" s="309" t="s">
        <v>622</v>
      </c>
      <c r="G727" s="325">
        <v>100000</v>
      </c>
      <c r="H727" s="305"/>
      <c r="I727" s="305" t="s">
        <v>152</v>
      </c>
      <c r="J727" s="305" t="s">
        <v>809</v>
      </c>
      <c r="K727" s="305" t="s">
        <v>2365</v>
      </c>
    </row>
    <row r="728" spans="1:11" x14ac:dyDescent="0.25">
      <c r="A728" s="302" t="str">
        <f t="shared" si="14"/>
        <v>Condensate Tank Insulation_0_MF/CI/SMB_η</v>
      </c>
      <c r="B728" s="303" t="s">
        <v>806</v>
      </c>
      <c r="C728" s="304">
        <v>0</v>
      </c>
      <c r="D728" s="303" t="s">
        <v>662</v>
      </c>
      <c r="E728" s="305" t="s">
        <v>824</v>
      </c>
      <c r="F728" s="309" t="s">
        <v>539</v>
      </c>
      <c r="G728" s="307">
        <v>0.79</v>
      </c>
      <c r="H728" s="305" t="s">
        <v>317</v>
      </c>
      <c r="I728" s="305" t="s">
        <v>152</v>
      </c>
      <c r="J728" s="305" t="s">
        <v>809</v>
      </c>
      <c r="K728" s="305" t="s">
        <v>2365</v>
      </c>
    </row>
    <row r="729" spans="1:11" x14ac:dyDescent="0.25">
      <c r="A729" s="302" t="str">
        <f t="shared" si="14"/>
        <v>Condensate Tank Insulation_0_MF/CI/SMB_Annual Gas Consumption</v>
      </c>
      <c r="B729" s="303" t="s">
        <v>806</v>
      </c>
      <c r="C729" s="304">
        <v>0</v>
      </c>
      <c r="D729" s="303" t="s">
        <v>662</v>
      </c>
      <c r="E729" s="305" t="s">
        <v>825</v>
      </c>
      <c r="F729" s="309"/>
      <c r="G729" s="307"/>
      <c r="H729" s="305" t="s">
        <v>826</v>
      </c>
      <c r="I729" s="305" t="s">
        <v>152</v>
      </c>
      <c r="J729" s="305" t="s">
        <v>809</v>
      </c>
      <c r="K729" s="305" t="s">
        <v>2365</v>
      </c>
    </row>
    <row r="730" spans="1:11" x14ac:dyDescent="0.25">
      <c r="A730" s="302" t="str">
        <f t="shared" si="14"/>
        <v>Condensate Tank Insulation_0_MF/CI/SMB_Nameplate Heating Capacity</v>
      </c>
      <c r="B730" s="303" t="s">
        <v>806</v>
      </c>
      <c r="C730" s="304">
        <v>0</v>
      </c>
      <c r="D730" s="303" t="s">
        <v>662</v>
      </c>
      <c r="E730" s="305" t="s">
        <v>827</v>
      </c>
      <c r="F730" s="309"/>
      <c r="G730" s="307"/>
      <c r="H730" s="305" t="s">
        <v>826</v>
      </c>
      <c r="I730" s="305" t="s">
        <v>152</v>
      </c>
      <c r="J730" s="305" t="s">
        <v>809</v>
      </c>
      <c r="K730" s="305" t="s">
        <v>2365</v>
      </c>
    </row>
    <row r="731" spans="1:11" x14ac:dyDescent="0.25">
      <c r="A731" s="302" t="str">
        <f t="shared" si="14"/>
        <v>Condensate Tank Insulation_0_MF/CI/SMB_Total Area (Ab + Ae)</v>
      </c>
      <c r="B731" s="303" t="s">
        <v>806</v>
      </c>
      <c r="C731" s="304">
        <v>0</v>
      </c>
      <c r="D731" s="303" t="s">
        <v>662</v>
      </c>
      <c r="E731" s="305" t="s">
        <v>828</v>
      </c>
      <c r="F731" s="309" t="s">
        <v>816</v>
      </c>
      <c r="G731" s="307">
        <f>ROUND(G721+G723,0)</f>
        <v>550</v>
      </c>
      <c r="H731" s="305"/>
      <c r="I731" s="305" t="s">
        <v>152</v>
      </c>
      <c r="J731" s="305" t="s">
        <v>809</v>
      </c>
      <c r="K731" s="305" t="s">
        <v>2365</v>
      </c>
    </row>
    <row r="732" spans="1:11" x14ac:dyDescent="0.25">
      <c r="A732" s="302" t="str">
        <f t="shared" si="14"/>
        <v>Condensate Tank Insulation_0_MF/CI/SMB_Therm Saved per Unit</v>
      </c>
      <c r="B732" s="303" t="s">
        <v>806</v>
      </c>
      <c r="C732" s="304">
        <v>0</v>
      </c>
      <c r="D732" s="303" t="s">
        <v>662</v>
      </c>
      <c r="E732" s="314" t="s">
        <v>326</v>
      </c>
      <c r="F732" s="314" t="s">
        <v>625</v>
      </c>
      <c r="G732" s="364">
        <f>(G720*G721+G722*G723)*G724*G725*G726/(G727*G728)/G731</f>
        <v>16.746197539658972</v>
      </c>
      <c r="H732" s="305" t="s">
        <v>829</v>
      </c>
      <c r="I732" s="305" t="s">
        <v>152</v>
      </c>
      <c r="J732" s="305" t="s">
        <v>809</v>
      </c>
      <c r="K732" s="305" t="s">
        <v>2365</v>
      </c>
    </row>
    <row r="733" spans="1:11" x14ac:dyDescent="0.25">
      <c r="A733" s="302" t="str">
        <f t="shared" si="14"/>
        <v>Condensate Tank Insulation_0_MF/CI/SMB_Lifetime (years)</v>
      </c>
      <c r="B733" s="303" t="s">
        <v>806</v>
      </c>
      <c r="C733" s="304">
        <v>0</v>
      </c>
      <c r="D733" s="303" t="s">
        <v>662</v>
      </c>
      <c r="E733" s="314" t="s">
        <v>259</v>
      </c>
      <c r="F733" s="314" t="s">
        <v>548</v>
      </c>
      <c r="G733" s="315">
        <v>15</v>
      </c>
      <c r="H733" s="365"/>
      <c r="I733" s="305" t="s">
        <v>152</v>
      </c>
      <c r="J733" s="305" t="s">
        <v>809</v>
      </c>
      <c r="K733" s="305" t="s">
        <v>2365</v>
      </c>
    </row>
    <row r="734" spans="1:11" x14ac:dyDescent="0.25">
      <c r="A734" s="302" t="str">
        <f t="shared" si="14"/>
        <v>Condensate Tank Insulation_0_MF/CI/SMB_Incremental Cost</v>
      </c>
      <c r="B734" s="303" t="s">
        <v>806</v>
      </c>
      <c r="C734" s="304">
        <v>0</v>
      </c>
      <c r="D734" s="303" t="s">
        <v>662</v>
      </c>
      <c r="E734" s="314" t="s">
        <v>260</v>
      </c>
      <c r="F734" s="314" t="s">
        <v>830</v>
      </c>
      <c r="G734" s="328">
        <f>12</f>
        <v>12</v>
      </c>
      <c r="H734" s="305" t="s">
        <v>831</v>
      </c>
      <c r="I734" s="305" t="s">
        <v>152</v>
      </c>
      <c r="J734" s="305" t="s">
        <v>809</v>
      </c>
      <c r="K734" s="305" t="s">
        <v>2365</v>
      </c>
    </row>
    <row r="735" spans="1:11" s="324" customFormat="1" x14ac:dyDescent="0.25">
      <c r="A735" s="317" t="str">
        <f t="shared" si="14"/>
        <v>Condensate Tank Insulation_0_MF/CI/SMB_</v>
      </c>
      <c r="B735" s="317" t="str">
        <f>B734</f>
        <v>Condensate Tank Insulation</v>
      </c>
      <c r="C735" s="332">
        <f>C734</f>
        <v>0</v>
      </c>
      <c r="D735" s="317" t="str">
        <f>D734</f>
        <v>MF/CI/SMB</v>
      </c>
      <c r="E735" s="320"/>
      <c r="F735" s="320"/>
      <c r="G735" s="329"/>
      <c r="H735" s="320"/>
      <c r="I735" s="320"/>
      <c r="J735" s="320"/>
      <c r="K735" s="320"/>
    </row>
    <row r="736" spans="1:11" x14ac:dyDescent="0.25">
      <c r="A736" s="302" t="str">
        <f t="shared" si="14"/>
        <v>DHW Storage Tank Insulation_0_MF/CI/SMB_r</v>
      </c>
      <c r="B736" s="303" t="s">
        <v>832</v>
      </c>
      <c r="C736" s="304">
        <v>0</v>
      </c>
      <c r="D736" s="303" t="s">
        <v>662</v>
      </c>
      <c r="E736" s="305" t="s">
        <v>807</v>
      </c>
      <c r="F736" s="305" t="s">
        <v>833</v>
      </c>
      <c r="G736" s="358">
        <f>19/12</f>
        <v>1.5833333333333333</v>
      </c>
      <c r="H736" s="305" t="s">
        <v>834</v>
      </c>
      <c r="I736" s="305" t="s">
        <v>835</v>
      </c>
      <c r="J736" s="366" t="s">
        <v>836</v>
      </c>
      <c r="K736" s="305"/>
    </row>
    <row r="737" spans="1:11" x14ac:dyDescent="0.25">
      <c r="A737" s="302" t="str">
        <f t="shared" si="14"/>
        <v>DHW Storage Tank Insulation_0_MF/CI/SMB_h</v>
      </c>
      <c r="B737" s="303" t="s">
        <v>832</v>
      </c>
      <c r="C737" s="304">
        <v>0</v>
      </c>
      <c r="D737" s="303" t="s">
        <v>662</v>
      </c>
      <c r="E737" s="305" t="s">
        <v>811</v>
      </c>
      <c r="F737" s="305" t="s">
        <v>837</v>
      </c>
      <c r="G737" s="358">
        <f>58.5/12</f>
        <v>4.875</v>
      </c>
      <c r="H737" s="305" t="s">
        <v>834</v>
      </c>
      <c r="I737" s="305" t="s">
        <v>835</v>
      </c>
      <c r="J737" s="366" t="s">
        <v>836</v>
      </c>
      <c r="K737" s="305"/>
    </row>
    <row r="738" spans="1:11" x14ac:dyDescent="0.25">
      <c r="A738" s="302" t="str">
        <f t="shared" si="14"/>
        <v>DHW Storage Tank Insulation_0_MF/CI/SMB_ESFb</v>
      </c>
      <c r="B738" s="303" t="s">
        <v>832</v>
      </c>
      <c r="C738" s="304">
        <v>0</v>
      </c>
      <c r="D738" s="303" t="s">
        <v>662</v>
      </c>
      <c r="E738" s="305" t="s">
        <v>812</v>
      </c>
      <c r="F738" s="305" t="s">
        <v>813</v>
      </c>
      <c r="G738" s="358">
        <v>290.2</v>
      </c>
      <c r="H738" s="305" t="s">
        <v>838</v>
      </c>
      <c r="I738" s="305" t="s">
        <v>152</v>
      </c>
      <c r="J738" s="305" t="s">
        <v>809</v>
      </c>
      <c r="K738" s="305" t="s">
        <v>2365</v>
      </c>
    </row>
    <row r="739" spans="1:11" x14ac:dyDescent="0.25">
      <c r="A739" s="302" t="str">
        <f t="shared" si="14"/>
        <v>DHW Storage Tank Insulation_0_MF/CI/SMB_Ab</v>
      </c>
      <c r="B739" s="303" t="s">
        <v>832</v>
      </c>
      <c r="C739" s="304">
        <v>0</v>
      </c>
      <c r="D739" s="303" t="s">
        <v>662</v>
      </c>
      <c r="E739" s="305" t="s">
        <v>815</v>
      </c>
      <c r="F739" s="305" t="s">
        <v>816</v>
      </c>
      <c r="G739" s="363">
        <f>2*3.14159*G736*G737</f>
        <v>48.498295624999997</v>
      </c>
      <c r="H739" s="305" t="s">
        <v>834</v>
      </c>
      <c r="I739" s="305" t="s">
        <v>633</v>
      </c>
      <c r="J739" s="305" t="s">
        <v>839</v>
      </c>
      <c r="K739" s="305"/>
    </row>
    <row r="740" spans="1:11" x14ac:dyDescent="0.25">
      <c r="A740" s="302" t="str">
        <f t="shared" si="14"/>
        <v>DHW Storage Tank Insulation_0_MF/CI/SMB_ESFe</v>
      </c>
      <c r="B740" s="303" t="s">
        <v>832</v>
      </c>
      <c r="C740" s="304">
        <v>0</v>
      </c>
      <c r="D740" s="303" t="s">
        <v>662</v>
      </c>
      <c r="E740" s="305" t="s">
        <v>818</v>
      </c>
      <c r="F740" s="309" t="s">
        <v>813</v>
      </c>
      <c r="G740" s="358">
        <v>336.8</v>
      </c>
      <c r="H740" s="305" t="s">
        <v>840</v>
      </c>
      <c r="I740" s="305" t="s">
        <v>152</v>
      </c>
      <c r="J740" s="305" t="s">
        <v>809</v>
      </c>
      <c r="K740" s="305" t="s">
        <v>2365</v>
      </c>
    </row>
    <row r="741" spans="1:11" x14ac:dyDescent="0.25">
      <c r="A741" s="302" t="str">
        <f t="shared" si="14"/>
        <v>DHW Storage Tank Insulation_0_MF/CI/SMB_Ae</v>
      </c>
      <c r="B741" s="303" t="s">
        <v>832</v>
      </c>
      <c r="C741" s="304">
        <v>0</v>
      </c>
      <c r="D741" s="303" t="s">
        <v>662</v>
      </c>
      <c r="E741" s="305" t="s">
        <v>820</v>
      </c>
      <c r="F741" s="305" t="s">
        <v>816</v>
      </c>
      <c r="G741" s="363">
        <f>3.14159*(G736^2)</f>
        <v>7.8757915972222214</v>
      </c>
      <c r="H741" s="305" t="s">
        <v>834</v>
      </c>
      <c r="I741" s="305" t="s">
        <v>152</v>
      </c>
      <c r="J741" s="305" t="s">
        <v>809</v>
      </c>
      <c r="K741" s="305" t="s">
        <v>2365</v>
      </c>
    </row>
    <row r="742" spans="1:11" x14ac:dyDescent="0.25">
      <c r="A742" s="302" t="str">
        <f t="shared" si="14"/>
        <v>DHW Storage Tank Insulation_0_MF/CI/SMB_Hours of Operation</v>
      </c>
      <c r="B742" s="303" t="s">
        <v>832</v>
      </c>
      <c r="C742" s="304">
        <v>0</v>
      </c>
      <c r="D742" s="303" t="s">
        <v>662</v>
      </c>
      <c r="E742" s="305" t="s">
        <v>460</v>
      </c>
      <c r="F742" s="309" t="s">
        <v>647</v>
      </c>
      <c r="G742" s="354">
        <v>4380</v>
      </c>
      <c r="H742" s="305" t="s">
        <v>841</v>
      </c>
      <c r="I742" s="305" t="s">
        <v>152</v>
      </c>
      <c r="J742" s="305" t="s">
        <v>809</v>
      </c>
      <c r="K742" s="305" t="s">
        <v>2365</v>
      </c>
    </row>
    <row r="743" spans="1:11" x14ac:dyDescent="0.25">
      <c r="A743" s="302" t="str">
        <f t="shared" si="14"/>
        <v>DHW Storage Tank Insulation_0_MF/CI/SMB_LF</v>
      </c>
      <c r="B743" s="303" t="s">
        <v>832</v>
      </c>
      <c r="C743" s="304">
        <v>0</v>
      </c>
      <c r="D743" s="303" t="s">
        <v>662</v>
      </c>
      <c r="E743" s="305" t="s">
        <v>431</v>
      </c>
      <c r="F743" s="309"/>
      <c r="G743" s="307">
        <f>MAX(0.7,(G747/G742*G748))</f>
        <v>0.7</v>
      </c>
      <c r="H743" s="305" t="s">
        <v>842</v>
      </c>
      <c r="I743" s="305" t="s">
        <v>152</v>
      </c>
      <c r="J743" s="305" t="s">
        <v>809</v>
      </c>
      <c r="K743" s="305" t="s">
        <v>2365</v>
      </c>
    </row>
    <row r="744" spans="1:11" x14ac:dyDescent="0.25">
      <c r="A744" s="302" t="str">
        <f t="shared" si="14"/>
        <v>DHW Storage Tank Insulation_0_MF/CI/SMB_TRF</v>
      </c>
      <c r="B744" s="303" t="s">
        <v>832</v>
      </c>
      <c r="C744" s="304">
        <v>0</v>
      </c>
      <c r="D744" s="303" t="s">
        <v>662</v>
      </c>
      <c r="E744" s="305" t="s">
        <v>406</v>
      </c>
      <c r="F744" s="309"/>
      <c r="G744" s="334">
        <v>0.84</v>
      </c>
      <c r="H744" s="311" t="s">
        <v>1900</v>
      </c>
      <c r="I744" s="305" t="s">
        <v>152</v>
      </c>
      <c r="J744" s="305" t="s">
        <v>809</v>
      </c>
      <c r="K744" s="305" t="s">
        <v>2365</v>
      </c>
    </row>
    <row r="745" spans="1:11" x14ac:dyDescent="0.25">
      <c r="A745" s="302" t="str">
        <f t="shared" si="14"/>
        <v>DHW Storage Tank Insulation_0_MF/CI/SMB_Conversion</v>
      </c>
      <c r="B745" s="303" t="s">
        <v>832</v>
      </c>
      <c r="C745" s="304">
        <v>0</v>
      </c>
      <c r="D745" s="303" t="s">
        <v>662</v>
      </c>
      <c r="E745" s="305" t="s">
        <v>284</v>
      </c>
      <c r="F745" s="309" t="s">
        <v>622</v>
      </c>
      <c r="G745" s="325">
        <v>100000</v>
      </c>
      <c r="H745" s="305"/>
      <c r="I745" s="305" t="s">
        <v>152</v>
      </c>
      <c r="J745" s="305" t="s">
        <v>809</v>
      </c>
      <c r="K745" s="305" t="s">
        <v>2365</v>
      </c>
    </row>
    <row r="746" spans="1:11" x14ac:dyDescent="0.25">
      <c r="A746" s="302" t="str">
        <f t="shared" si="14"/>
        <v>DHW Storage Tank Insulation_0_MF/CI/SMB_η</v>
      </c>
      <c r="B746" s="303" t="s">
        <v>832</v>
      </c>
      <c r="C746" s="304">
        <v>0</v>
      </c>
      <c r="D746" s="303" t="s">
        <v>662</v>
      </c>
      <c r="E746" s="305" t="s">
        <v>824</v>
      </c>
      <c r="F746" s="309" t="s">
        <v>539</v>
      </c>
      <c r="G746" s="307">
        <v>0.79</v>
      </c>
      <c r="H746" s="305" t="s">
        <v>317</v>
      </c>
      <c r="I746" s="305" t="s">
        <v>152</v>
      </c>
      <c r="J746" s="305" t="s">
        <v>809</v>
      </c>
      <c r="K746" s="305" t="s">
        <v>2365</v>
      </c>
    </row>
    <row r="747" spans="1:11" x14ac:dyDescent="0.25">
      <c r="A747" s="302" t="str">
        <f t="shared" si="14"/>
        <v>DHW Storage Tank Insulation_0_MF/CI/SMB_Annual Gas Consumption</v>
      </c>
      <c r="B747" s="303" t="s">
        <v>832</v>
      </c>
      <c r="C747" s="304">
        <v>0</v>
      </c>
      <c r="D747" s="303" t="s">
        <v>662</v>
      </c>
      <c r="E747" s="305" t="s">
        <v>825</v>
      </c>
      <c r="F747" s="309"/>
      <c r="G747" s="307"/>
      <c r="H747" s="305" t="s">
        <v>826</v>
      </c>
      <c r="I747" s="305" t="s">
        <v>152</v>
      </c>
      <c r="J747" s="305" t="s">
        <v>809</v>
      </c>
      <c r="K747" s="305" t="s">
        <v>2365</v>
      </c>
    </row>
    <row r="748" spans="1:11" x14ac:dyDescent="0.25">
      <c r="A748" s="302" t="str">
        <f t="shared" si="14"/>
        <v>DHW Storage Tank Insulation_0_MF/CI/SMB_Nameplate Heating Capacity</v>
      </c>
      <c r="B748" s="303" t="s">
        <v>832</v>
      </c>
      <c r="C748" s="304">
        <v>0</v>
      </c>
      <c r="D748" s="303" t="s">
        <v>662</v>
      </c>
      <c r="E748" s="305" t="s">
        <v>827</v>
      </c>
      <c r="F748" s="309"/>
      <c r="G748" s="307"/>
      <c r="H748" s="305" t="s">
        <v>826</v>
      </c>
      <c r="I748" s="305" t="s">
        <v>152</v>
      </c>
      <c r="J748" s="305" t="s">
        <v>809</v>
      </c>
      <c r="K748" s="305" t="s">
        <v>2365</v>
      </c>
    </row>
    <row r="749" spans="1:11" x14ac:dyDescent="0.25">
      <c r="A749" s="302" t="str">
        <f t="shared" si="14"/>
        <v>DHW Storage Tank Insulation_0_MF/CI/SMB_Total Area (Ab + Ae)</v>
      </c>
      <c r="B749" s="303" t="s">
        <v>832</v>
      </c>
      <c r="C749" s="304">
        <v>0</v>
      </c>
      <c r="D749" s="303" t="s">
        <v>662</v>
      </c>
      <c r="E749" s="305" t="s">
        <v>828</v>
      </c>
      <c r="F749" s="309" t="s">
        <v>816</v>
      </c>
      <c r="G749" s="307">
        <f>ROUND(G739+G741,0)</f>
        <v>56</v>
      </c>
      <c r="H749" s="305"/>
      <c r="I749" s="305" t="s">
        <v>152</v>
      </c>
      <c r="J749" s="305" t="s">
        <v>809</v>
      </c>
      <c r="K749" s="305" t="s">
        <v>2365</v>
      </c>
    </row>
    <row r="750" spans="1:11" x14ac:dyDescent="0.25">
      <c r="A750" s="302" t="str">
        <f t="shared" si="14"/>
        <v>DHW Storage Tank Insulation_0_MF/CI/SMB_Therm Saved per Unit</v>
      </c>
      <c r="B750" s="303" t="s">
        <v>832</v>
      </c>
      <c r="C750" s="304">
        <v>0</v>
      </c>
      <c r="D750" s="303" t="s">
        <v>662</v>
      </c>
      <c r="E750" s="314" t="s">
        <v>326</v>
      </c>
      <c r="F750" s="314" t="s">
        <v>625</v>
      </c>
      <c r="G750" s="364">
        <f>(G738*G739+G740*G741)*G742*G743*G744/(G745*G746)/G749</f>
        <v>9.7375220796796338</v>
      </c>
      <c r="H750" s="305" t="s">
        <v>843</v>
      </c>
      <c r="I750" s="305" t="s">
        <v>152</v>
      </c>
      <c r="J750" s="305" t="s">
        <v>809</v>
      </c>
      <c r="K750" s="305" t="s">
        <v>2365</v>
      </c>
    </row>
    <row r="751" spans="1:11" x14ac:dyDescent="0.25">
      <c r="A751" s="302" t="str">
        <f t="shared" si="14"/>
        <v>DHW Storage Tank Insulation_0_MF/CI/SMB_Lifetime (years)</v>
      </c>
      <c r="B751" s="303" t="s">
        <v>832</v>
      </c>
      <c r="C751" s="304">
        <v>0</v>
      </c>
      <c r="D751" s="303" t="s">
        <v>662</v>
      </c>
      <c r="E751" s="314" t="s">
        <v>259</v>
      </c>
      <c r="F751" s="314" t="s">
        <v>548</v>
      </c>
      <c r="G751" s="315">
        <v>15</v>
      </c>
      <c r="H751" s="365"/>
      <c r="I751" s="305" t="s">
        <v>152</v>
      </c>
      <c r="J751" s="305" t="s">
        <v>809</v>
      </c>
      <c r="K751" s="305" t="s">
        <v>2365</v>
      </c>
    </row>
    <row r="752" spans="1:11" x14ac:dyDescent="0.25">
      <c r="A752" s="302" t="str">
        <f t="shared" si="14"/>
        <v>DHW Storage Tank Insulation_0_MF/CI/SMB_Incremental Cost</v>
      </c>
      <c r="B752" s="303" t="s">
        <v>832</v>
      </c>
      <c r="C752" s="304">
        <v>0</v>
      </c>
      <c r="D752" s="303" t="s">
        <v>662</v>
      </c>
      <c r="E752" s="314" t="s">
        <v>260</v>
      </c>
      <c r="F752" s="314" t="s">
        <v>830</v>
      </c>
      <c r="G752" s="328">
        <f>12</f>
        <v>12</v>
      </c>
      <c r="H752" s="305" t="s">
        <v>831</v>
      </c>
      <c r="I752" s="305" t="s">
        <v>152</v>
      </c>
      <c r="J752" s="305" t="s">
        <v>809</v>
      </c>
      <c r="K752" s="305" t="s">
        <v>2365</v>
      </c>
    </row>
    <row r="753" spans="1:11" s="324" customFormat="1" x14ac:dyDescent="0.25">
      <c r="A753" s="317" t="str">
        <f t="shared" si="14"/>
        <v>DHW Storage Tank Insulation_0_MF/CI/SMB_</v>
      </c>
      <c r="B753" s="317" t="str">
        <f>B752</f>
        <v>DHW Storage Tank Insulation</v>
      </c>
      <c r="C753" s="332">
        <f>C752</f>
        <v>0</v>
      </c>
      <c r="D753" s="317" t="str">
        <f>D752</f>
        <v>MF/CI/SMB</v>
      </c>
      <c r="E753" s="320"/>
      <c r="F753" s="320"/>
      <c r="G753" s="329"/>
      <c r="H753" s="320"/>
      <c r="I753" s="320"/>
      <c r="J753" s="320"/>
      <c r="K753" s="320"/>
    </row>
    <row r="754" spans="1:11" x14ac:dyDescent="0.25">
      <c r="A754" s="302" t="str">
        <f t="shared" si="14"/>
        <v>Condensate Tank Insulation_OLD_MF/CI/SMB_TRF</v>
      </c>
      <c r="B754" s="303" t="s">
        <v>806</v>
      </c>
      <c r="C754" s="304" t="s">
        <v>844</v>
      </c>
      <c r="D754" s="303" t="s">
        <v>662</v>
      </c>
      <c r="E754" s="305" t="s">
        <v>406</v>
      </c>
      <c r="F754" s="305"/>
      <c r="G754" s="358">
        <v>0.7</v>
      </c>
      <c r="H754" s="305" t="s">
        <v>845</v>
      </c>
      <c r="I754" s="305" t="s">
        <v>633</v>
      </c>
      <c r="J754" s="305" t="s">
        <v>817</v>
      </c>
      <c r="K754" s="305"/>
    </row>
    <row r="755" spans="1:11" x14ac:dyDescent="0.25">
      <c r="A755" s="302" t="str">
        <f t="shared" si="14"/>
        <v>Condensate Tank Insulation_OLD_MF/CI/SMB_Hours of Operation</v>
      </c>
      <c r="B755" s="303" t="s">
        <v>806</v>
      </c>
      <c r="C755" s="304" t="s">
        <v>844</v>
      </c>
      <c r="D755" s="303" t="s">
        <v>662</v>
      </c>
      <c r="E755" s="305" t="s">
        <v>460</v>
      </c>
      <c r="F755" s="309" t="s">
        <v>647</v>
      </c>
      <c r="G755" s="354">
        <v>4963</v>
      </c>
      <c r="H755" s="305" t="s">
        <v>821</v>
      </c>
      <c r="I755" s="305" t="s">
        <v>633</v>
      </c>
      <c r="J755" s="305" t="s">
        <v>817</v>
      </c>
      <c r="K755" s="305"/>
    </row>
    <row r="756" spans="1:11" x14ac:dyDescent="0.25">
      <c r="A756" s="302" t="str">
        <f t="shared" si="14"/>
        <v>Condensate Tank Insulation_OLD_MF/CI/SMB_Operating Temp</v>
      </c>
      <c r="B756" s="303" t="s">
        <v>806</v>
      </c>
      <c r="C756" s="304" t="s">
        <v>844</v>
      </c>
      <c r="D756" s="303" t="s">
        <v>662</v>
      </c>
      <c r="E756" s="305" t="s">
        <v>846</v>
      </c>
      <c r="F756" s="309" t="s">
        <v>542</v>
      </c>
      <c r="G756" s="358">
        <v>170</v>
      </c>
      <c r="H756" s="305"/>
      <c r="I756" s="305" t="s">
        <v>633</v>
      </c>
      <c r="J756" s="305" t="s">
        <v>817</v>
      </c>
      <c r="K756" s="305"/>
    </row>
    <row r="757" spans="1:11" x14ac:dyDescent="0.25">
      <c r="A757" s="302" t="str">
        <f t="shared" si="14"/>
        <v>Condensate Tank Insulation_OLD_MF/CI/SMB_Temp Ambient</v>
      </c>
      <c r="B757" s="303" t="s">
        <v>806</v>
      </c>
      <c r="C757" s="304" t="s">
        <v>844</v>
      </c>
      <c r="D757" s="303" t="s">
        <v>662</v>
      </c>
      <c r="E757" s="305" t="s">
        <v>847</v>
      </c>
      <c r="F757" s="305" t="s">
        <v>542</v>
      </c>
      <c r="G757" s="358">
        <v>75</v>
      </c>
      <c r="H757" s="305"/>
      <c r="I757" s="305" t="s">
        <v>633</v>
      </c>
      <c r="J757" s="305" t="s">
        <v>817</v>
      </c>
      <c r="K757" s="305"/>
    </row>
    <row r="758" spans="1:11" x14ac:dyDescent="0.25">
      <c r="A758" s="302" t="str">
        <f t="shared" si="14"/>
        <v>Condensate Tank Insulation_OLD_MF/CI/SMB_3E+ Bare heat loss (R-0)</v>
      </c>
      <c r="B758" s="303" t="s">
        <v>806</v>
      </c>
      <c r="C758" s="304" t="s">
        <v>844</v>
      </c>
      <c r="D758" s="303" t="s">
        <v>662</v>
      </c>
      <c r="E758" s="305" t="s">
        <v>848</v>
      </c>
      <c r="F758" s="305" t="s">
        <v>813</v>
      </c>
      <c r="G758" s="358">
        <v>183.9</v>
      </c>
      <c r="H758" s="305"/>
      <c r="I758" s="305" t="s">
        <v>633</v>
      </c>
      <c r="J758" s="305" t="s">
        <v>817</v>
      </c>
      <c r="K758" s="305"/>
    </row>
    <row r="759" spans="1:11" x14ac:dyDescent="0.25">
      <c r="A759" s="302" t="str">
        <f t="shared" si="14"/>
        <v>Condensate Tank Insulation_OLD_MF/CI/SMB_3E+ Insulated heat loss (R-6)</v>
      </c>
      <c r="B759" s="303" t="s">
        <v>806</v>
      </c>
      <c r="C759" s="304" t="s">
        <v>844</v>
      </c>
      <c r="D759" s="303" t="s">
        <v>662</v>
      </c>
      <c r="E759" s="305" t="s">
        <v>849</v>
      </c>
      <c r="F759" s="309" t="s">
        <v>813</v>
      </c>
      <c r="G759" s="307">
        <v>14.91</v>
      </c>
      <c r="H759" s="305" t="s">
        <v>850</v>
      </c>
      <c r="I759" s="305" t="s">
        <v>633</v>
      </c>
      <c r="J759" s="305" t="s">
        <v>817</v>
      </c>
      <c r="K759" s="305"/>
    </row>
    <row r="760" spans="1:11" x14ac:dyDescent="0.25">
      <c r="A760" s="302" t="str">
        <f t="shared" si="14"/>
        <v>Condensate Tank Insulation_OLD_MF/CI/SMB_Area Effective</v>
      </c>
      <c r="B760" s="303" t="s">
        <v>806</v>
      </c>
      <c r="C760" s="304" t="s">
        <v>844</v>
      </c>
      <c r="D760" s="303" t="s">
        <v>662</v>
      </c>
      <c r="E760" s="305" t="s">
        <v>851</v>
      </c>
      <c r="F760" s="309"/>
      <c r="G760" s="307">
        <v>0.85</v>
      </c>
      <c r="H760" s="305" t="s">
        <v>852</v>
      </c>
      <c r="I760" s="305" t="s">
        <v>633</v>
      </c>
      <c r="J760" s="305" t="s">
        <v>817</v>
      </c>
      <c r="K760" s="305"/>
    </row>
    <row r="761" spans="1:11" x14ac:dyDescent="0.25">
      <c r="A761" s="302" t="str">
        <f t="shared" si="14"/>
        <v>Condensate Tank Insulation_OLD_MF/CI/SMB_Efficiency</v>
      </c>
      <c r="B761" s="303" t="s">
        <v>806</v>
      </c>
      <c r="C761" s="304" t="s">
        <v>844</v>
      </c>
      <c r="D761" s="303" t="s">
        <v>662</v>
      </c>
      <c r="E761" s="305" t="s">
        <v>853</v>
      </c>
      <c r="F761" s="309"/>
      <c r="G761" s="367">
        <v>0.64800000000000002</v>
      </c>
      <c r="H761" s="305" t="s">
        <v>854</v>
      </c>
      <c r="I761" s="305" t="s">
        <v>633</v>
      </c>
      <c r="J761" s="305" t="s">
        <v>817</v>
      </c>
      <c r="K761" s="305"/>
    </row>
    <row r="762" spans="1:11" x14ac:dyDescent="0.25">
      <c r="A762" s="302" t="str">
        <f t="shared" si="14"/>
        <v>Condensate Tank Insulation_OLD_MF/CI/SMB_Insulation Thickness</v>
      </c>
      <c r="B762" s="303" t="s">
        <v>806</v>
      </c>
      <c r="C762" s="304" t="s">
        <v>844</v>
      </c>
      <c r="D762" s="303" t="s">
        <v>662</v>
      </c>
      <c r="E762" s="305" t="s">
        <v>855</v>
      </c>
      <c r="F762" s="309" t="s">
        <v>856</v>
      </c>
      <c r="G762" s="307">
        <v>1.5</v>
      </c>
      <c r="H762" s="305"/>
      <c r="I762" s="305" t="s">
        <v>633</v>
      </c>
      <c r="J762" s="305" t="s">
        <v>817</v>
      </c>
      <c r="K762" s="305"/>
    </row>
    <row r="763" spans="1:11" x14ac:dyDescent="0.25">
      <c r="A763" s="302" t="str">
        <f t="shared" si="14"/>
        <v>Condensate Tank Insulation_OLD_MF/CI/SMB_R-Value</v>
      </c>
      <c r="B763" s="303" t="s">
        <v>806</v>
      </c>
      <c r="C763" s="304" t="s">
        <v>844</v>
      </c>
      <c r="D763" s="303" t="s">
        <v>662</v>
      </c>
      <c r="E763" s="305" t="s">
        <v>857</v>
      </c>
      <c r="F763" s="309" t="s">
        <v>612</v>
      </c>
      <c r="G763" s="307">
        <f>G762*4</f>
        <v>6</v>
      </c>
      <c r="H763" s="305"/>
      <c r="I763" s="305" t="s">
        <v>633</v>
      </c>
      <c r="J763" s="305" t="s">
        <v>817</v>
      </c>
      <c r="K763" s="305"/>
    </row>
    <row r="764" spans="1:11" x14ac:dyDescent="0.25">
      <c r="A764" s="302" t="str">
        <f t="shared" si="14"/>
        <v>Condensate Tank Insulation_OLD_MF/CI/SMB_Conversion</v>
      </c>
      <c r="B764" s="303" t="s">
        <v>806</v>
      </c>
      <c r="C764" s="304" t="s">
        <v>844</v>
      </c>
      <c r="D764" s="303" t="s">
        <v>662</v>
      </c>
      <c r="E764" s="305" t="s">
        <v>284</v>
      </c>
      <c r="F764" s="309" t="s">
        <v>622</v>
      </c>
      <c r="G764" s="325">
        <v>100000</v>
      </c>
      <c r="H764" s="305"/>
      <c r="I764" s="305" t="s">
        <v>633</v>
      </c>
      <c r="J764" s="305" t="s">
        <v>817</v>
      </c>
      <c r="K764" s="305"/>
    </row>
    <row r="765" spans="1:11" x14ac:dyDescent="0.25">
      <c r="A765" s="302" t="str">
        <f t="shared" si="14"/>
        <v>Condensate Tank Insulation_OLD_MF/CI/SMB_Therm Saved per Unit</v>
      </c>
      <c r="B765" s="303" t="s">
        <v>806</v>
      </c>
      <c r="C765" s="304" t="s">
        <v>844</v>
      </c>
      <c r="D765" s="303" t="s">
        <v>662</v>
      </c>
      <c r="E765" s="314" t="s">
        <v>326</v>
      </c>
      <c r="F765" s="314" t="s">
        <v>625</v>
      </c>
      <c r="G765" s="364">
        <f>(G758-G759)*G754*G755/G761/G764*G760</f>
        <v>7.7010020856481471</v>
      </c>
      <c r="H765" s="305" t="s">
        <v>858</v>
      </c>
      <c r="I765" s="305" t="s">
        <v>633</v>
      </c>
      <c r="J765" s="305" t="s">
        <v>817</v>
      </c>
      <c r="K765" s="305"/>
    </row>
    <row r="766" spans="1:11" x14ac:dyDescent="0.25">
      <c r="A766" s="302" t="str">
        <f t="shared" si="14"/>
        <v>Condensate Tank Insulation_OLD_MF/CI/SMB_Lifetime (years)</v>
      </c>
      <c r="B766" s="303" t="s">
        <v>806</v>
      </c>
      <c r="C766" s="304" t="s">
        <v>844</v>
      </c>
      <c r="D766" s="303" t="s">
        <v>662</v>
      </c>
      <c r="E766" s="314" t="s">
        <v>259</v>
      </c>
      <c r="F766" s="314" t="s">
        <v>548</v>
      </c>
      <c r="G766" s="315">
        <v>15</v>
      </c>
      <c r="H766" s="305"/>
      <c r="I766" s="305" t="s">
        <v>633</v>
      </c>
      <c r="J766" s="305" t="s">
        <v>817</v>
      </c>
      <c r="K766" s="305"/>
    </row>
    <row r="767" spans="1:11" x14ac:dyDescent="0.25">
      <c r="A767" s="302" t="str">
        <f t="shared" si="14"/>
        <v>Condensate Tank Insulation_OLD_MF/CI/SMB_Incremental Cost</v>
      </c>
      <c r="B767" s="303" t="s">
        <v>806</v>
      </c>
      <c r="C767" s="304" t="s">
        <v>844</v>
      </c>
      <c r="D767" s="303" t="s">
        <v>662</v>
      </c>
      <c r="E767" s="314" t="s">
        <v>260</v>
      </c>
      <c r="F767" s="314" t="s">
        <v>549</v>
      </c>
      <c r="G767" s="328">
        <f>19.9</f>
        <v>19.899999999999999</v>
      </c>
      <c r="H767" s="305" t="s">
        <v>831</v>
      </c>
      <c r="I767" s="305" t="s">
        <v>633</v>
      </c>
      <c r="J767" s="305" t="s">
        <v>817</v>
      </c>
      <c r="K767" s="305"/>
    </row>
    <row r="768" spans="1:11" s="324" customFormat="1" x14ac:dyDescent="0.25">
      <c r="A768" s="317" t="str">
        <f t="shared" si="14"/>
        <v>Condensate Tank Insulation_OLD_MF/CI/SMB_</v>
      </c>
      <c r="B768" s="317" t="str">
        <f>B767</f>
        <v>Condensate Tank Insulation</v>
      </c>
      <c r="C768" s="332" t="str">
        <f>C767</f>
        <v>OLD</v>
      </c>
      <c r="D768" s="317" t="str">
        <f>D767</f>
        <v>MF/CI/SMB</v>
      </c>
      <c r="E768" s="320"/>
      <c r="F768" s="320"/>
      <c r="G768" s="329"/>
      <c r="H768" s="320"/>
      <c r="I768" s="320"/>
      <c r="J768" s="320"/>
      <c r="K768" s="320"/>
    </row>
    <row r="769" spans="1:11" x14ac:dyDescent="0.25">
      <c r="A769" s="302" t="str">
        <f t="shared" si="14"/>
        <v>DHW Storage Tank Insulation_OLD_MF/CI/SMB_TRF</v>
      </c>
      <c r="B769" s="303" t="s">
        <v>832</v>
      </c>
      <c r="C769" s="304" t="s">
        <v>844</v>
      </c>
      <c r="D769" s="303" t="s">
        <v>662</v>
      </c>
      <c r="E769" s="305" t="s">
        <v>406</v>
      </c>
      <c r="F769" s="305"/>
      <c r="G769" s="358">
        <v>0.84</v>
      </c>
      <c r="H769" s="305"/>
      <c r="I769" s="305" t="s">
        <v>633</v>
      </c>
      <c r="J769" s="305" t="s">
        <v>839</v>
      </c>
      <c r="K769" s="305"/>
    </row>
    <row r="770" spans="1:11" x14ac:dyDescent="0.25">
      <c r="A770" s="302" t="str">
        <f t="shared" si="14"/>
        <v>DHW Storage Tank Insulation_OLD_MF/CI/SMB_Hours of Operation</v>
      </c>
      <c r="B770" s="303" t="s">
        <v>832</v>
      </c>
      <c r="C770" s="304" t="s">
        <v>844</v>
      </c>
      <c r="D770" s="303" t="s">
        <v>662</v>
      </c>
      <c r="E770" s="305" t="s">
        <v>460</v>
      </c>
      <c r="F770" s="309" t="s">
        <v>647</v>
      </c>
      <c r="G770" s="354">
        <v>8766</v>
      </c>
      <c r="H770" s="305"/>
      <c r="I770" s="305" t="s">
        <v>633</v>
      </c>
      <c r="J770" s="305" t="s">
        <v>839</v>
      </c>
      <c r="K770" s="305"/>
    </row>
    <row r="771" spans="1:11" x14ac:dyDescent="0.25">
      <c r="A771" s="302" t="str">
        <f t="shared" si="14"/>
        <v>DHW Storage Tank Insulation_OLD_MF/CI/SMB_Temp DHW</v>
      </c>
      <c r="B771" s="303" t="s">
        <v>832</v>
      </c>
      <c r="C771" s="304" t="s">
        <v>844</v>
      </c>
      <c r="D771" s="303" t="s">
        <v>662</v>
      </c>
      <c r="E771" s="305" t="s">
        <v>859</v>
      </c>
      <c r="F771" s="309" t="s">
        <v>542</v>
      </c>
      <c r="G771" s="358">
        <v>125</v>
      </c>
      <c r="H771" s="305"/>
      <c r="I771" s="305" t="s">
        <v>633</v>
      </c>
      <c r="J771" s="305" t="s">
        <v>839</v>
      </c>
      <c r="K771" s="305"/>
    </row>
    <row r="772" spans="1:11" x14ac:dyDescent="0.25">
      <c r="A772" s="302" t="str">
        <f t="shared" si="14"/>
        <v>DHW Storage Tank Insulation_OLD_MF/CI/SMB_Temp Ambient</v>
      </c>
      <c r="B772" s="303" t="s">
        <v>832</v>
      </c>
      <c r="C772" s="304" t="s">
        <v>844</v>
      </c>
      <c r="D772" s="303" t="s">
        <v>662</v>
      </c>
      <c r="E772" s="305" t="s">
        <v>847</v>
      </c>
      <c r="F772" s="305" t="s">
        <v>542</v>
      </c>
      <c r="G772" s="358">
        <v>75</v>
      </c>
      <c r="H772" s="305"/>
      <c r="I772" s="305" t="s">
        <v>633</v>
      </c>
      <c r="J772" s="305" t="s">
        <v>839</v>
      </c>
      <c r="K772" s="305"/>
    </row>
    <row r="773" spans="1:11" x14ac:dyDescent="0.25">
      <c r="A773" s="302" t="str">
        <f t="shared" si="14"/>
        <v>DHW Storage Tank Insulation_OLD_MF/CI/SMB_Btu/hr/sq ft R-0</v>
      </c>
      <c r="B773" s="303" t="s">
        <v>832</v>
      </c>
      <c r="C773" s="304" t="s">
        <v>844</v>
      </c>
      <c r="D773" s="303" t="s">
        <v>662</v>
      </c>
      <c r="E773" s="305" t="s">
        <v>860</v>
      </c>
      <c r="F773" s="305" t="s">
        <v>813</v>
      </c>
      <c r="G773" s="358">
        <v>83.46</v>
      </c>
      <c r="H773" s="305"/>
      <c r="I773" s="305" t="s">
        <v>633</v>
      </c>
      <c r="J773" s="305" t="s">
        <v>839</v>
      </c>
      <c r="K773" s="305"/>
    </row>
    <row r="774" spans="1:11" x14ac:dyDescent="0.25">
      <c r="A774" s="302" t="str">
        <f t="shared" si="14"/>
        <v>DHW Storage Tank Insulation_OLD_MF/CI/SMB_Btu/hr/sq-ft R-3</v>
      </c>
      <c r="B774" s="303" t="s">
        <v>832</v>
      </c>
      <c r="C774" s="304" t="s">
        <v>844</v>
      </c>
      <c r="D774" s="303" t="s">
        <v>662</v>
      </c>
      <c r="E774" s="305" t="s">
        <v>861</v>
      </c>
      <c r="F774" s="309" t="s">
        <v>813</v>
      </c>
      <c r="G774" s="307">
        <v>13.52</v>
      </c>
      <c r="H774" s="305"/>
      <c r="I774" s="305" t="s">
        <v>633</v>
      </c>
      <c r="J774" s="305" t="s">
        <v>839</v>
      </c>
      <c r="K774" s="305"/>
    </row>
    <row r="775" spans="1:11" x14ac:dyDescent="0.25">
      <c r="A775" s="302" t="str">
        <f t="shared" si="14"/>
        <v>DHW Storage Tank Insulation_OLD_MF/CI/SMB_Area Effective</v>
      </c>
      <c r="B775" s="303" t="s">
        <v>832</v>
      </c>
      <c r="C775" s="304" t="s">
        <v>844</v>
      </c>
      <c r="D775" s="303" t="s">
        <v>662</v>
      </c>
      <c r="E775" s="305" t="s">
        <v>851</v>
      </c>
      <c r="F775" s="309"/>
      <c r="G775" s="307">
        <v>0.85</v>
      </c>
      <c r="H775" s="305" t="s">
        <v>852</v>
      </c>
      <c r="I775" s="305" t="s">
        <v>633</v>
      </c>
      <c r="J775" s="305" t="s">
        <v>839</v>
      </c>
      <c r="K775" s="305"/>
    </row>
    <row r="776" spans="1:11" x14ac:dyDescent="0.25">
      <c r="A776" s="302" t="str">
        <f t="shared" si="14"/>
        <v>DHW Storage Tank Insulation_OLD_MF/CI/SMB_Efficiency Heating</v>
      </c>
      <c r="B776" s="303" t="s">
        <v>832</v>
      </c>
      <c r="C776" s="304" t="s">
        <v>844</v>
      </c>
      <c r="D776" s="303" t="s">
        <v>662</v>
      </c>
      <c r="E776" s="305" t="s">
        <v>862</v>
      </c>
      <c r="F776" s="309"/>
      <c r="G776" s="367">
        <v>0.81699999999999995</v>
      </c>
      <c r="H776" s="305"/>
      <c r="I776" s="305" t="s">
        <v>633</v>
      </c>
      <c r="J776" s="305" t="s">
        <v>839</v>
      </c>
      <c r="K776" s="305"/>
    </row>
    <row r="777" spans="1:11" x14ac:dyDescent="0.25">
      <c r="A777" s="302" t="str">
        <f t="shared" si="14"/>
        <v>DHW Storage Tank Insulation_OLD_MF/CI/SMB_Insulation Thickness</v>
      </c>
      <c r="B777" s="303" t="s">
        <v>832</v>
      </c>
      <c r="C777" s="304" t="s">
        <v>844</v>
      </c>
      <c r="D777" s="303" t="s">
        <v>662</v>
      </c>
      <c r="E777" s="305" t="s">
        <v>855</v>
      </c>
      <c r="F777" s="309" t="s">
        <v>856</v>
      </c>
      <c r="G777" s="307">
        <v>1</v>
      </c>
      <c r="H777" s="305"/>
      <c r="I777" s="305" t="s">
        <v>633</v>
      </c>
      <c r="J777" s="305" t="s">
        <v>839</v>
      </c>
      <c r="K777" s="305"/>
    </row>
    <row r="778" spans="1:11" x14ac:dyDescent="0.25">
      <c r="A778" s="302" t="str">
        <f t="shared" si="14"/>
        <v>DHW Storage Tank Insulation_OLD_MF/CI/SMB_R-Value</v>
      </c>
      <c r="B778" s="303" t="s">
        <v>832</v>
      </c>
      <c r="C778" s="304" t="s">
        <v>844</v>
      </c>
      <c r="D778" s="303" t="s">
        <v>662</v>
      </c>
      <c r="E778" s="305" t="s">
        <v>857</v>
      </c>
      <c r="F778" s="309" t="s">
        <v>612</v>
      </c>
      <c r="G778" s="307">
        <v>4</v>
      </c>
      <c r="H778" s="305"/>
      <c r="I778" s="305" t="s">
        <v>633</v>
      </c>
      <c r="J778" s="305" t="s">
        <v>839</v>
      </c>
      <c r="K778" s="305"/>
    </row>
    <row r="779" spans="1:11" x14ac:dyDescent="0.25">
      <c r="A779" s="302" t="str">
        <f t="shared" si="14"/>
        <v>DHW Storage Tank Insulation_OLD_MF/CI/SMB_Conversion</v>
      </c>
      <c r="B779" s="303" t="s">
        <v>832</v>
      </c>
      <c r="C779" s="304" t="s">
        <v>844</v>
      </c>
      <c r="D779" s="303" t="s">
        <v>662</v>
      </c>
      <c r="E779" s="305" t="s">
        <v>284</v>
      </c>
      <c r="F779" s="309" t="s">
        <v>622</v>
      </c>
      <c r="G779" s="325">
        <v>100000</v>
      </c>
      <c r="H779" s="305"/>
      <c r="I779" s="305" t="s">
        <v>633</v>
      </c>
      <c r="J779" s="305" t="s">
        <v>839</v>
      </c>
      <c r="K779" s="305"/>
    </row>
    <row r="780" spans="1:11" x14ac:dyDescent="0.25">
      <c r="A780" s="302" t="str">
        <f t="shared" si="14"/>
        <v>DHW Storage Tank Insulation_OLD_MF/CI/SMB_Therm Saved per Unit</v>
      </c>
      <c r="B780" s="303" t="s">
        <v>832</v>
      </c>
      <c r="C780" s="304" t="s">
        <v>844</v>
      </c>
      <c r="D780" s="303" t="s">
        <v>662</v>
      </c>
      <c r="E780" s="314" t="s">
        <v>326</v>
      </c>
      <c r="F780" s="314" t="s">
        <v>625</v>
      </c>
      <c r="G780" s="364">
        <f>(G773-G774)*G769*G770/G776/G779*G775</f>
        <v>5.3580066653610769</v>
      </c>
      <c r="H780" s="305" t="s">
        <v>858</v>
      </c>
      <c r="I780" s="305" t="s">
        <v>633</v>
      </c>
      <c r="J780" s="305" t="s">
        <v>839</v>
      </c>
      <c r="K780" s="305"/>
    </row>
    <row r="781" spans="1:11" x14ac:dyDescent="0.25">
      <c r="A781" s="302" t="str">
        <f t="shared" si="14"/>
        <v>DHW Storage Tank Insulation_OLD_MF/CI/SMB_Lifetime (years)</v>
      </c>
      <c r="B781" s="303" t="s">
        <v>832</v>
      </c>
      <c r="C781" s="304" t="s">
        <v>844</v>
      </c>
      <c r="D781" s="303" t="s">
        <v>662</v>
      </c>
      <c r="E781" s="314" t="s">
        <v>259</v>
      </c>
      <c r="F781" s="314" t="s">
        <v>548</v>
      </c>
      <c r="G781" s="315">
        <v>15</v>
      </c>
      <c r="H781" s="365"/>
      <c r="I781" s="305" t="s">
        <v>152</v>
      </c>
      <c r="J781" s="305" t="s">
        <v>809</v>
      </c>
      <c r="K781" s="305"/>
    </row>
    <row r="782" spans="1:11" x14ac:dyDescent="0.25">
      <c r="A782" s="302" t="str">
        <f t="shared" si="14"/>
        <v>DHW Storage Tank Insulation_OLD_MF/CI/SMB_Incremental Cost</v>
      </c>
      <c r="B782" s="303" t="s">
        <v>832</v>
      </c>
      <c r="C782" s="304" t="s">
        <v>844</v>
      </c>
      <c r="D782" s="303" t="s">
        <v>662</v>
      </c>
      <c r="E782" s="314" t="s">
        <v>260</v>
      </c>
      <c r="F782" s="314" t="s">
        <v>863</v>
      </c>
      <c r="G782" s="328">
        <f>19.9</f>
        <v>19.899999999999999</v>
      </c>
      <c r="H782" s="305" t="s">
        <v>831</v>
      </c>
      <c r="I782" s="305" t="s">
        <v>633</v>
      </c>
      <c r="J782" s="305" t="s">
        <v>839</v>
      </c>
      <c r="K782" s="305"/>
    </row>
    <row r="783" spans="1:11" x14ac:dyDescent="0.25">
      <c r="A783" s="302" t="str">
        <f t="shared" si="14"/>
        <v>DHW Storage Tank Insulation_OLD_MF/CI/SMB_Total Incremental Cost</v>
      </c>
      <c r="B783" s="303" t="s">
        <v>832</v>
      </c>
      <c r="C783" s="304" t="s">
        <v>844</v>
      </c>
      <c r="D783" s="303" t="s">
        <v>662</v>
      </c>
      <c r="E783" s="314" t="s">
        <v>864</v>
      </c>
      <c r="F783" s="314" t="s">
        <v>830</v>
      </c>
      <c r="G783" s="328">
        <f>G782*G780</f>
        <v>106.62433264068542</v>
      </c>
      <c r="H783" s="305"/>
      <c r="I783" s="305" t="s">
        <v>633</v>
      </c>
      <c r="J783" s="305" t="s">
        <v>839</v>
      </c>
      <c r="K783" s="305"/>
    </row>
    <row r="784" spans="1:11" s="324" customFormat="1" x14ac:dyDescent="0.25">
      <c r="A784" s="317" t="str">
        <f t="shared" ref="A784:A848" si="15">B784&amp;"_"&amp;C784&amp;"_"&amp;D784&amp;"_"&amp;E784</f>
        <v>DHW Storage Tank Insulation_OLD_MF/CI/SMB_</v>
      </c>
      <c r="B784" s="317" t="str">
        <f>B783</f>
        <v>DHW Storage Tank Insulation</v>
      </c>
      <c r="C784" s="332" t="str">
        <f>C783</f>
        <v>OLD</v>
      </c>
      <c r="D784" s="317" t="str">
        <f>D783</f>
        <v>MF/CI/SMB</v>
      </c>
      <c r="E784" s="320"/>
      <c r="F784" s="320"/>
      <c r="G784" s="329"/>
      <c r="H784" s="320"/>
      <c r="I784" s="320"/>
      <c r="J784" s="320"/>
      <c r="K784" s="320"/>
    </row>
    <row r="785" spans="1:11" x14ac:dyDescent="0.25">
      <c r="A785" s="302" t="str">
        <f t="shared" si="15"/>
        <v>Tankless Water Heater_0_SF_Tout</v>
      </c>
      <c r="B785" s="303" t="s">
        <v>865</v>
      </c>
      <c r="C785" s="304">
        <v>0</v>
      </c>
      <c r="D785" s="303" t="s">
        <v>409</v>
      </c>
      <c r="E785" s="305" t="s">
        <v>370</v>
      </c>
      <c r="F785" s="305" t="s">
        <v>542</v>
      </c>
      <c r="G785" s="354">
        <v>125</v>
      </c>
      <c r="H785" s="305"/>
      <c r="I785" s="305" t="s">
        <v>152</v>
      </c>
      <c r="J785" s="305" t="s">
        <v>239</v>
      </c>
      <c r="K785" s="305" t="s">
        <v>2366</v>
      </c>
    </row>
    <row r="786" spans="1:11" x14ac:dyDescent="0.25">
      <c r="A786" s="302" t="str">
        <f t="shared" si="15"/>
        <v>Tankless Water Heater_0_SF_Tin</v>
      </c>
      <c r="B786" s="303" t="s">
        <v>865</v>
      </c>
      <c r="C786" s="304">
        <v>0</v>
      </c>
      <c r="D786" s="303" t="s">
        <v>409</v>
      </c>
      <c r="E786" s="305" t="s">
        <v>371</v>
      </c>
      <c r="F786" s="305" t="s">
        <v>542</v>
      </c>
      <c r="G786" s="310">
        <v>50.7</v>
      </c>
      <c r="H786" s="311" t="s">
        <v>1916</v>
      </c>
      <c r="I786" s="305" t="s">
        <v>152</v>
      </c>
      <c r="J786" s="305" t="s">
        <v>239</v>
      </c>
      <c r="K786" s="305" t="s">
        <v>2366</v>
      </c>
    </row>
    <row r="787" spans="1:11" x14ac:dyDescent="0.25">
      <c r="A787" s="302" t="str">
        <f t="shared" si="15"/>
        <v>Tankless Water Heater_0_SF_GPD</v>
      </c>
      <c r="B787" s="303" t="s">
        <v>865</v>
      </c>
      <c r="C787" s="304">
        <v>0</v>
      </c>
      <c r="D787" s="303" t="s">
        <v>409</v>
      </c>
      <c r="E787" s="305" t="s">
        <v>368</v>
      </c>
      <c r="F787" s="305" t="s">
        <v>867</v>
      </c>
      <c r="G787" s="355">
        <v>17.600000000000001</v>
      </c>
      <c r="H787" s="305"/>
      <c r="I787" s="305" t="s">
        <v>152</v>
      </c>
      <c r="J787" s="305" t="s">
        <v>239</v>
      </c>
      <c r="K787" s="305" t="s">
        <v>2366</v>
      </c>
    </row>
    <row r="788" spans="1:11" x14ac:dyDescent="0.25">
      <c r="A788" s="302" t="str">
        <f t="shared" si="15"/>
        <v>Tankless Water Heater_0_SF_Storage Capacity</v>
      </c>
      <c r="B788" s="303" t="s">
        <v>865</v>
      </c>
      <c r="C788" s="304">
        <v>0</v>
      </c>
      <c r="D788" s="303" t="s">
        <v>409</v>
      </c>
      <c r="E788" s="305" t="s">
        <v>868</v>
      </c>
      <c r="F788" s="305" t="s">
        <v>646</v>
      </c>
      <c r="G788" s="355">
        <v>40</v>
      </c>
      <c r="H788" s="305" t="s">
        <v>869</v>
      </c>
      <c r="I788" s="305" t="s">
        <v>152</v>
      </c>
      <c r="J788" s="305" t="s">
        <v>239</v>
      </c>
      <c r="K788" s="305" t="s">
        <v>2366</v>
      </c>
    </row>
    <row r="789" spans="1:11" x14ac:dyDescent="0.25">
      <c r="A789" s="302" t="str">
        <f t="shared" si="15"/>
        <v>Tankless Water Heater_0_SF_Household</v>
      </c>
      <c r="B789" s="303" t="s">
        <v>865</v>
      </c>
      <c r="C789" s="304">
        <v>0</v>
      </c>
      <c r="D789" s="303" t="s">
        <v>409</v>
      </c>
      <c r="E789" s="305" t="s">
        <v>505</v>
      </c>
      <c r="F789" s="305" t="s">
        <v>537</v>
      </c>
      <c r="G789" s="355">
        <v>2.56</v>
      </c>
      <c r="H789" s="305" t="s">
        <v>870</v>
      </c>
      <c r="I789" s="305" t="s">
        <v>152</v>
      </c>
      <c r="J789" s="305" t="s">
        <v>239</v>
      </c>
      <c r="K789" s="305" t="s">
        <v>2366</v>
      </c>
    </row>
    <row r="790" spans="1:11" x14ac:dyDescent="0.25">
      <c r="A790" s="302" t="str">
        <f t="shared" si="15"/>
        <v>Tankless Water Heater_0_SF_Conversion</v>
      </c>
      <c r="B790" s="303" t="s">
        <v>865</v>
      </c>
      <c r="C790" s="304">
        <v>0</v>
      </c>
      <c r="D790" s="303" t="s">
        <v>409</v>
      </c>
      <c r="E790" s="305" t="s">
        <v>284</v>
      </c>
      <c r="F790" s="305" t="s">
        <v>871</v>
      </c>
      <c r="G790" s="325">
        <v>365.25</v>
      </c>
      <c r="H790" s="305"/>
      <c r="I790" s="305" t="s">
        <v>152</v>
      </c>
      <c r="J790" s="305" t="s">
        <v>239</v>
      </c>
      <c r="K790" s="305" t="s">
        <v>2366</v>
      </c>
    </row>
    <row r="791" spans="1:11" x14ac:dyDescent="0.25">
      <c r="A791" s="302" t="str">
        <f t="shared" si="15"/>
        <v>Tankless Water Heater_0_SF_Conversion</v>
      </c>
      <c r="B791" s="303" t="s">
        <v>865</v>
      </c>
      <c r="C791" s="304">
        <v>0</v>
      </c>
      <c r="D791" s="303" t="s">
        <v>409</v>
      </c>
      <c r="E791" s="305" t="s">
        <v>284</v>
      </c>
      <c r="F791" s="305" t="s">
        <v>622</v>
      </c>
      <c r="G791" s="325">
        <v>100000</v>
      </c>
      <c r="H791" s="305"/>
      <c r="I791" s="305" t="s">
        <v>152</v>
      </c>
      <c r="J791" s="305" t="s">
        <v>239</v>
      </c>
      <c r="K791" s="305" t="s">
        <v>2366</v>
      </c>
    </row>
    <row r="792" spans="1:11" x14ac:dyDescent="0.25">
      <c r="A792" s="302" t="str">
        <f t="shared" si="15"/>
        <v>Tankless Water Heater_0_SF_yWater</v>
      </c>
      <c r="B792" s="303" t="s">
        <v>865</v>
      </c>
      <c r="C792" s="304">
        <v>0</v>
      </c>
      <c r="D792" s="303" t="s">
        <v>409</v>
      </c>
      <c r="E792" s="305" t="s">
        <v>369</v>
      </c>
      <c r="F792" s="309" t="s">
        <v>346</v>
      </c>
      <c r="G792" s="307">
        <v>8.33</v>
      </c>
      <c r="H792" s="305"/>
      <c r="I792" s="305" t="s">
        <v>152</v>
      </c>
      <c r="J792" s="305" t="s">
        <v>239</v>
      </c>
      <c r="K792" s="305" t="s">
        <v>2366</v>
      </c>
    </row>
    <row r="793" spans="1:11" x14ac:dyDescent="0.25">
      <c r="A793" s="302" t="str">
        <f t="shared" si="15"/>
        <v>Tankless Water Heater_0_SF_UEF gas base</v>
      </c>
      <c r="B793" s="303" t="s">
        <v>865</v>
      </c>
      <c r="C793" s="304">
        <v>0</v>
      </c>
      <c r="D793" s="303" t="s">
        <v>409</v>
      </c>
      <c r="E793" s="305" t="s">
        <v>872</v>
      </c>
      <c r="F793" s="305" t="s">
        <v>539</v>
      </c>
      <c r="G793" s="350">
        <f>0.6483-(0.0017*G788)</f>
        <v>0.58030000000000004</v>
      </c>
      <c r="H793" s="305" t="s">
        <v>873</v>
      </c>
      <c r="I793" s="305" t="s">
        <v>152</v>
      </c>
      <c r="J793" s="305" t="s">
        <v>239</v>
      </c>
      <c r="K793" s="305" t="s">
        <v>2366</v>
      </c>
    </row>
    <row r="794" spans="1:11" x14ac:dyDescent="0.25">
      <c r="A794" s="302" t="str">
        <f t="shared" si="15"/>
        <v>Tankless Water Heater_0_SF_UEF efficient</v>
      </c>
      <c r="B794" s="303" t="s">
        <v>865</v>
      </c>
      <c r="C794" s="304">
        <v>0</v>
      </c>
      <c r="D794" s="303" t="s">
        <v>409</v>
      </c>
      <c r="E794" s="311" t="s">
        <v>874</v>
      </c>
      <c r="F794" s="311" t="s">
        <v>539</v>
      </c>
      <c r="G794" s="334">
        <v>0.95</v>
      </c>
      <c r="H794" s="311" t="s">
        <v>2558</v>
      </c>
      <c r="I794" s="305" t="s">
        <v>152</v>
      </c>
      <c r="J794" s="305" t="s">
        <v>239</v>
      </c>
      <c r="K794" s="305" t="s">
        <v>2366</v>
      </c>
    </row>
    <row r="795" spans="1:11" x14ac:dyDescent="0.25">
      <c r="A795" s="302" t="str">
        <f t="shared" si="15"/>
        <v>Tankless Water Heater_0_SF_Therm Saved per Unit</v>
      </c>
      <c r="B795" s="303" t="s">
        <v>865</v>
      </c>
      <c r="C795" s="304">
        <v>0</v>
      </c>
      <c r="D795" s="303" t="s">
        <v>409</v>
      </c>
      <c r="E795" s="314" t="s">
        <v>326</v>
      </c>
      <c r="F795" s="314"/>
      <c r="G795" s="315">
        <f>(1/G793-1/G794)*(G787*G789*G790*G792*(G785-G786)*1)/G791</f>
        <v>68.304599248414632</v>
      </c>
      <c r="H795" s="305" t="s">
        <v>875</v>
      </c>
      <c r="I795" s="305" t="s">
        <v>152</v>
      </c>
      <c r="J795" s="305" t="s">
        <v>239</v>
      </c>
      <c r="K795" s="305" t="s">
        <v>2366</v>
      </c>
    </row>
    <row r="796" spans="1:11" x14ac:dyDescent="0.25">
      <c r="A796" s="302" t="str">
        <f t="shared" si="15"/>
        <v>Tankless Water Heater_0_SF_Lifetime (years)</v>
      </c>
      <c r="B796" s="303" t="s">
        <v>865</v>
      </c>
      <c r="C796" s="304">
        <v>0</v>
      </c>
      <c r="D796" s="303" t="s">
        <v>409</v>
      </c>
      <c r="E796" s="311" t="s">
        <v>259</v>
      </c>
      <c r="F796" s="311" t="s">
        <v>548</v>
      </c>
      <c r="G796" s="310">
        <v>18.3</v>
      </c>
      <c r="H796" s="311" t="s">
        <v>2619</v>
      </c>
      <c r="I796" s="305" t="s">
        <v>152</v>
      </c>
      <c r="J796" s="305" t="s">
        <v>239</v>
      </c>
      <c r="K796" s="305" t="s">
        <v>2366</v>
      </c>
    </row>
    <row r="797" spans="1:11" x14ac:dyDescent="0.25">
      <c r="A797" s="302" t="str">
        <f t="shared" si="15"/>
        <v>Tankless Water Heater_0_SF_Incremental Cost</v>
      </c>
      <c r="B797" s="303" t="s">
        <v>865</v>
      </c>
      <c r="C797" s="304">
        <v>0</v>
      </c>
      <c r="D797" s="303" t="s">
        <v>409</v>
      </c>
      <c r="E797" s="311" t="s">
        <v>260</v>
      </c>
      <c r="F797" s="311" t="s">
        <v>549</v>
      </c>
      <c r="G797" s="368">
        <v>229</v>
      </c>
      <c r="H797" s="311" t="str">
        <f>H796</f>
        <v>Assumed gas instantaneous water heater</v>
      </c>
      <c r="I797" s="305" t="s">
        <v>152</v>
      </c>
      <c r="J797" s="305" t="s">
        <v>239</v>
      </c>
      <c r="K797" s="305" t="s">
        <v>2366</v>
      </c>
    </row>
    <row r="798" spans="1:11" s="324" customFormat="1" x14ac:dyDescent="0.25">
      <c r="A798" s="317" t="str">
        <f t="shared" si="15"/>
        <v>Tankless Water Heater_0_SF_</v>
      </c>
      <c r="B798" s="317" t="str">
        <f>B797</f>
        <v>Tankless Water Heater</v>
      </c>
      <c r="C798" s="317">
        <f>C797</f>
        <v>0</v>
      </c>
      <c r="D798" s="317" t="str">
        <f>D797</f>
        <v>SF</v>
      </c>
      <c r="E798" s="320"/>
      <c r="F798" s="320"/>
      <c r="G798" s="329"/>
      <c r="H798" s="320"/>
      <c r="I798" s="320"/>
      <c r="J798" s="320"/>
      <c r="K798" s="320"/>
    </row>
    <row r="799" spans="1:11" x14ac:dyDescent="0.25">
      <c r="A799" s="302" t="str">
        <f t="shared" si="15"/>
        <v>GHPWH (≤55 gallons)- Replace Boiler_Heat Pump Pilot_SF_Tout</v>
      </c>
      <c r="B799" s="303" t="s">
        <v>876</v>
      </c>
      <c r="C799" s="304" t="s">
        <v>877</v>
      </c>
      <c r="D799" s="303" t="s">
        <v>409</v>
      </c>
      <c r="E799" s="305" t="s">
        <v>370</v>
      </c>
      <c r="F799" s="305" t="s">
        <v>542</v>
      </c>
      <c r="G799" s="354">
        <v>125</v>
      </c>
      <c r="H799" s="305"/>
      <c r="I799" s="305" t="s">
        <v>878</v>
      </c>
      <c r="J799" s="305"/>
      <c r="K799" s="305"/>
    </row>
    <row r="800" spans="1:11" x14ac:dyDescent="0.25">
      <c r="A800" s="302" t="str">
        <f t="shared" si="15"/>
        <v>GHPWH (≤55 gallons)- Replace Boiler_Heat Pump Pilot_SF_Tin</v>
      </c>
      <c r="B800" s="303" t="s">
        <v>876</v>
      </c>
      <c r="C800" s="304" t="s">
        <v>877</v>
      </c>
      <c r="D800" s="303" t="s">
        <v>409</v>
      </c>
      <c r="E800" s="305" t="s">
        <v>371</v>
      </c>
      <c r="F800" s="305" t="s">
        <v>542</v>
      </c>
      <c r="G800" s="310">
        <v>50.7</v>
      </c>
      <c r="H800" s="311" t="s">
        <v>1916</v>
      </c>
      <c r="I800" s="305" t="s">
        <v>878</v>
      </c>
      <c r="J800" s="305"/>
      <c r="K800" s="305"/>
    </row>
    <row r="801" spans="1:11" x14ac:dyDescent="0.25">
      <c r="A801" s="302" t="str">
        <f t="shared" si="15"/>
        <v>GHPWH (≤55 gallons)- Replace Boiler_Heat Pump Pilot_SF_GPD</v>
      </c>
      <c r="B801" s="303" t="s">
        <v>876</v>
      </c>
      <c r="C801" s="304" t="s">
        <v>877</v>
      </c>
      <c r="D801" s="303" t="s">
        <v>409</v>
      </c>
      <c r="E801" s="305" t="s">
        <v>368</v>
      </c>
      <c r="F801" s="305" t="s">
        <v>867</v>
      </c>
      <c r="G801" s="355">
        <v>17.600000000000001</v>
      </c>
      <c r="H801" s="305"/>
      <c r="I801" s="305" t="s">
        <v>878</v>
      </c>
      <c r="J801" s="305"/>
      <c r="K801" s="305"/>
    </row>
    <row r="802" spans="1:11" x14ac:dyDescent="0.25">
      <c r="A802" s="302" t="str">
        <f t="shared" si="15"/>
        <v>GHPWH (≤55 gallons)- Replace Boiler_Heat Pump Pilot_SF_Storage Capacity</v>
      </c>
      <c r="B802" s="303" t="s">
        <v>876</v>
      </c>
      <c r="C802" s="304" t="s">
        <v>877</v>
      </c>
      <c r="D802" s="303" t="s">
        <v>409</v>
      </c>
      <c r="E802" s="305" t="s">
        <v>868</v>
      </c>
      <c r="F802" s="305" t="s">
        <v>646</v>
      </c>
      <c r="G802" s="355">
        <v>50</v>
      </c>
      <c r="H802" s="305"/>
      <c r="I802" s="305" t="s">
        <v>878</v>
      </c>
      <c r="J802" s="305"/>
      <c r="K802" s="305"/>
    </row>
    <row r="803" spans="1:11" x14ac:dyDescent="0.25">
      <c r="A803" s="302" t="str">
        <f t="shared" si="15"/>
        <v>GHPWH (≤55 gallons)- Replace Boiler_Heat Pump Pilot_SF_Household</v>
      </c>
      <c r="B803" s="303" t="s">
        <v>876</v>
      </c>
      <c r="C803" s="304" t="s">
        <v>877</v>
      </c>
      <c r="D803" s="303" t="s">
        <v>409</v>
      </c>
      <c r="E803" s="305" t="s">
        <v>505</v>
      </c>
      <c r="F803" s="305" t="s">
        <v>537</v>
      </c>
      <c r="G803" s="355">
        <v>2.56</v>
      </c>
      <c r="H803" s="305" t="s">
        <v>870</v>
      </c>
      <c r="I803" s="305" t="s">
        <v>878</v>
      </c>
      <c r="J803" s="305"/>
      <c r="K803" s="305"/>
    </row>
    <row r="804" spans="1:11" x14ac:dyDescent="0.25">
      <c r="A804" s="302" t="str">
        <f t="shared" si="15"/>
        <v>GHPWH (≤55 gallons)- Replace Boiler_Heat Pump Pilot_SF_Conversion</v>
      </c>
      <c r="B804" s="303" t="s">
        <v>876</v>
      </c>
      <c r="C804" s="304" t="s">
        <v>877</v>
      </c>
      <c r="D804" s="303" t="s">
        <v>409</v>
      </c>
      <c r="E804" s="305" t="s">
        <v>284</v>
      </c>
      <c r="F804" s="305" t="s">
        <v>871</v>
      </c>
      <c r="G804" s="325">
        <v>365.25</v>
      </c>
      <c r="H804" s="305"/>
      <c r="I804" s="305" t="s">
        <v>878</v>
      </c>
      <c r="J804" s="305"/>
      <c r="K804" s="305"/>
    </row>
    <row r="805" spans="1:11" x14ac:dyDescent="0.25">
      <c r="A805" s="302" t="str">
        <f t="shared" si="15"/>
        <v>GHPWH (≤55 gallons)- Replace Boiler_Heat Pump Pilot_SF_Conversion</v>
      </c>
      <c r="B805" s="303" t="s">
        <v>876</v>
      </c>
      <c r="C805" s="304" t="s">
        <v>877</v>
      </c>
      <c r="D805" s="303" t="s">
        <v>409</v>
      </c>
      <c r="E805" s="305" t="s">
        <v>284</v>
      </c>
      <c r="F805" s="305" t="s">
        <v>622</v>
      </c>
      <c r="G805" s="325">
        <v>100000</v>
      </c>
      <c r="H805" s="305"/>
      <c r="I805" s="305" t="s">
        <v>878</v>
      </c>
      <c r="J805" s="305"/>
      <c r="K805" s="305"/>
    </row>
    <row r="806" spans="1:11" x14ac:dyDescent="0.25">
      <c r="A806" s="302" t="str">
        <f t="shared" si="15"/>
        <v>GHPWH (≤55 gallons)- Replace Boiler_Heat Pump Pilot_SF_yWater</v>
      </c>
      <c r="B806" s="303" t="s">
        <v>876</v>
      </c>
      <c r="C806" s="304" t="s">
        <v>877</v>
      </c>
      <c r="D806" s="303" t="s">
        <v>409</v>
      </c>
      <c r="E806" s="305" t="s">
        <v>369</v>
      </c>
      <c r="F806" s="309" t="s">
        <v>346</v>
      </c>
      <c r="G806" s="307">
        <v>8.33</v>
      </c>
      <c r="H806" s="305"/>
      <c r="I806" s="305" t="s">
        <v>878</v>
      </c>
      <c r="J806" s="305"/>
      <c r="K806" s="305"/>
    </row>
    <row r="807" spans="1:11" x14ac:dyDescent="0.25">
      <c r="A807" s="302" t="str">
        <f t="shared" si="15"/>
        <v>GHPWH (≤55 gallons)- Replace Boiler_Heat Pump Pilot_SF_UEF gas base</v>
      </c>
      <c r="B807" s="303" t="s">
        <v>876</v>
      </c>
      <c r="C807" s="304" t="s">
        <v>877</v>
      </c>
      <c r="D807" s="303" t="s">
        <v>409</v>
      </c>
      <c r="E807" s="305" t="s">
        <v>872</v>
      </c>
      <c r="F807" s="305" t="s">
        <v>539</v>
      </c>
      <c r="G807" s="350">
        <f>0.6483-(0.0017*G802)</f>
        <v>0.56330000000000002</v>
      </c>
      <c r="H807" s="305"/>
      <c r="I807" s="305" t="s">
        <v>878</v>
      </c>
      <c r="J807" s="305"/>
      <c r="K807" s="305"/>
    </row>
    <row r="808" spans="1:11" x14ac:dyDescent="0.25">
      <c r="A808" s="302" t="str">
        <f t="shared" si="15"/>
        <v>GHPWH (≤55 gallons)- Replace Boiler_Heat Pump Pilot_SF_UEF efficient</v>
      </c>
      <c r="B808" s="303" t="s">
        <v>876</v>
      </c>
      <c r="C808" s="304" t="s">
        <v>877</v>
      </c>
      <c r="D808" s="303" t="s">
        <v>409</v>
      </c>
      <c r="E808" s="305" t="s">
        <v>874</v>
      </c>
      <c r="F808" s="305" t="s">
        <v>539</v>
      </c>
      <c r="G808" s="307">
        <v>1.2</v>
      </c>
      <c r="H808" s="305"/>
      <c r="I808" s="305" t="s">
        <v>878</v>
      </c>
      <c r="J808" s="305"/>
      <c r="K808" s="305"/>
    </row>
    <row r="809" spans="1:11" x14ac:dyDescent="0.25">
      <c r="A809" s="302" t="str">
        <f t="shared" si="15"/>
        <v>GHPWH (≤55 gallons)- Replace Boiler_Heat Pump Pilot_SF_Therm Saved per Unit</v>
      </c>
      <c r="B809" s="303" t="s">
        <v>876</v>
      </c>
      <c r="C809" s="304" t="s">
        <v>877</v>
      </c>
      <c r="D809" s="303" t="s">
        <v>409</v>
      </c>
      <c r="E809" s="314" t="s">
        <v>326</v>
      </c>
      <c r="F809" s="314"/>
      <c r="G809" s="315">
        <f>(1/G807-1/G808)*(G801*G803*G804*G806*(G799-G800)*1)/G805</f>
        <v>95.937970156826111</v>
      </c>
      <c r="H809" s="305"/>
      <c r="I809" s="305" t="s">
        <v>878</v>
      </c>
      <c r="J809" s="305"/>
      <c r="K809" s="305"/>
    </row>
    <row r="810" spans="1:11" x14ac:dyDescent="0.25">
      <c r="A810" s="302" t="str">
        <f t="shared" si="15"/>
        <v>GHPWH (≤55 gallons)- Replace Boiler_Heat Pump Pilot_SF_Lifetime (years)</v>
      </c>
      <c r="B810" s="303" t="s">
        <v>876</v>
      </c>
      <c r="C810" s="304" t="s">
        <v>877</v>
      </c>
      <c r="D810" s="303" t="s">
        <v>409</v>
      </c>
      <c r="E810" s="314" t="s">
        <v>259</v>
      </c>
      <c r="F810" s="314" t="s">
        <v>548</v>
      </c>
      <c r="G810" s="315">
        <v>15</v>
      </c>
      <c r="H810" s="305"/>
      <c r="I810" s="305" t="s">
        <v>878</v>
      </c>
      <c r="J810" s="305"/>
      <c r="K810" s="305"/>
    </row>
    <row r="811" spans="1:11" x14ac:dyDescent="0.25">
      <c r="A811" s="302" t="str">
        <f t="shared" si="15"/>
        <v>GHPWH (≤55 gallons)- Replace Boiler_Heat Pump Pilot_SF_Incremental Cost</v>
      </c>
      <c r="B811" s="303" t="s">
        <v>876</v>
      </c>
      <c r="C811" s="304" t="s">
        <v>877</v>
      </c>
      <c r="D811" s="303" t="s">
        <v>409</v>
      </c>
      <c r="E811" s="314" t="s">
        <v>260</v>
      </c>
      <c r="F811" s="314" t="s">
        <v>549</v>
      </c>
      <c r="G811" s="328">
        <v>2195</v>
      </c>
      <c r="H811" s="305"/>
      <c r="I811" s="305" t="s">
        <v>878</v>
      </c>
      <c r="J811" s="305"/>
      <c r="K811" s="305"/>
    </row>
    <row r="812" spans="1:11" s="324" customFormat="1" x14ac:dyDescent="0.25">
      <c r="A812" s="317" t="str">
        <f t="shared" si="15"/>
        <v>GHPWH (≤55 gallons)- Replace Boiler_Heat Pump Pilot_SF_</v>
      </c>
      <c r="B812" s="317" t="str">
        <f>B811</f>
        <v>GHPWH (≤55 gallons)- Replace Boiler</v>
      </c>
      <c r="C812" s="332" t="str">
        <f>C811</f>
        <v>Heat Pump Pilot</v>
      </c>
      <c r="D812" s="317" t="str">
        <f>D811</f>
        <v>SF</v>
      </c>
      <c r="E812" s="320"/>
      <c r="F812" s="320"/>
      <c r="G812" s="329"/>
      <c r="H812" s="320"/>
      <c r="I812" s="320"/>
      <c r="J812" s="320"/>
      <c r="K812" s="320"/>
    </row>
    <row r="813" spans="1:11" x14ac:dyDescent="0.25">
      <c r="A813" s="302" t="str">
        <f t="shared" si="15"/>
        <v>Water Heater_Storage 0.67 EF_SF_Tout</v>
      </c>
      <c r="B813" s="303" t="s">
        <v>8</v>
      </c>
      <c r="C813" s="304" t="s">
        <v>879</v>
      </c>
      <c r="D813" s="303" t="s">
        <v>409</v>
      </c>
      <c r="E813" s="305" t="s">
        <v>370</v>
      </c>
      <c r="F813" s="305" t="s">
        <v>542</v>
      </c>
      <c r="G813" s="354">
        <v>125</v>
      </c>
      <c r="H813" s="305"/>
      <c r="I813" s="305" t="s">
        <v>152</v>
      </c>
      <c r="J813" s="305" t="s">
        <v>239</v>
      </c>
      <c r="K813" s="305" t="s">
        <v>2366</v>
      </c>
    </row>
    <row r="814" spans="1:11" x14ac:dyDescent="0.25">
      <c r="A814" s="302" t="str">
        <f t="shared" si="15"/>
        <v>Water Heater_Storage 0.67 EF_SF_Tin</v>
      </c>
      <c r="B814" s="303" t="s">
        <v>8</v>
      </c>
      <c r="C814" s="304" t="s">
        <v>879</v>
      </c>
      <c r="D814" s="303" t="s">
        <v>409</v>
      </c>
      <c r="E814" s="305" t="s">
        <v>371</v>
      </c>
      <c r="F814" s="305" t="s">
        <v>542</v>
      </c>
      <c r="G814" s="334">
        <v>50.7</v>
      </c>
      <c r="H814" s="311" t="s">
        <v>1916</v>
      </c>
      <c r="I814" s="305" t="s">
        <v>152</v>
      </c>
      <c r="J814" s="305" t="s">
        <v>239</v>
      </c>
      <c r="K814" s="305" t="s">
        <v>2366</v>
      </c>
    </row>
    <row r="815" spans="1:11" x14ac:dyDescent="0.25">
      <c r="A815" s="302" t="str">
        <f t="shared" si="15"/>
        <v>Water Heater_Storage 0.67 EF_SF_GPD</v>
      </c>
      <c r="B815" s="303" t="s">
        <v>8</v>
      </c>
      <c r="C815" s="304" t="s">
        <v>879</v>
      </c>
      <c r="D815" s="303" t="s">
        <v>409</v>
      </c>
      <c r="E815" s="305" t="s">
        <v>368</v>
      </c>
      <c r="F815" s="305" t="s">
        <v>867</v>
      </c>
      <c r="G815" s="355">
        <v>17.600000000000001</v>
      </c>
      <c r="H815" s="305"/>
      <c r="I815" s="305" t="s">
        <v>152</v>
      </c>
      <c r="J815" s="305" t="s">
        <v>239</v>
      </c>
      <c r="K815" s="305" t="s">
        <v>2366</v>
      </c>
    </row>
    <row r="816" spans="1:11" x14ac:dyDescent="0.25">
      <c r="A816" s="302" t="str">
        <f t="shared" si="15"/>
        <v>Water Heater_Storage 0.67 EF_SF_Storage Capacity</v>
      </c>
      <c r="B816" s="303" t="s">
        <v>8</v>
      </c>
      <c r="C816" s="304" t="s">
        <v>879</v>
      </c>
      <c r="D816" s="303" t="s">
        <v>409</v>
      </c>
      <c r="E816" s="305" t="s">
        <v>868</v>
      </c>
      <c r="F816" s="305" t="s">
        <v>646</v>
      </c>
      <c r="G816" s="355">
        <v>40</v>
      </c>
      <c r="H816" s="305" t="s">
        <v>869</v>
      </c>
      <c r="I816" s="305" t="s">
        <v>152</v>
      </c>
      <c r="J816" s="305" t="s">
        <v>239</v>
      </c>
      <c r="K816" s="305" t="s">
        <v>2366</v>
      </c>
    </row>
    <row r="817" spans="1:11" x14ac:dyDescent="0.25">
      <c r="A817" s="302" t="str">
        <f t="shared" si="15"/>
        <v>Water Heater_Storage 0.67 EF_SF_Household</v>
      </c>
      <c r="B817" s="303" t="s">
        <v>8</v>
      </c>
      <c r="C817" s="304" t="s">
        <v>879</v>
      </c>
      <c r="D817" s="303" t="s">
        <v>409</v>
      </c>
      <c r="E817" s="305" t="s">
        <v>505</v>
      </c>
      <c r="F817" s="305" t="s">
        <v>537</v>
      </c>
      <c r="G817" s="355">
        <v>2.56</v>
      </c>
      <c r="H817" s="305" t="s">
        <v>870</v>
      </c>
      <c r="I817" s="305" t="s">
        <v>152</v>
      </c>
      <c r="J817" s="305" t="s">
        <v>239</v>
      </c>
      <c r="K817" s="305" t="s">
        <v>2366</v>
      </c>
    </row>
    <row r="818" spans="1:11" x14ac:dyDescent="0.25">
      <c r="A818" s="302" t="str">
        <f t="shared" si="15"/>
        <v>Water Heater_Storage 0.67 EF_SF_Conversion</v>
      </c>
      <c r="B818" s="303" t="s">
        <v>8</v>
      </c>
      <c r="C818" s="304" t="s">
        <v>879</v>
      </c>
      <c r="D818" s="303" t="s">
        <v>409</v>
      </c>
      <c r="E818" s="305" t="s">
        <v>284</v>
      </c>
      <c r="F818" s="305" t="s">
        <v>871</v>
      </c>
      <c r="G818" s="325">
        <v>365.25</v>
      </c>
      <c r="H818" s="305"/>
      <c r="I818" s="305" t="s">
        <v>152</v>
      </c>
      <c r="J818" s="305" t="s">
        <v>239</v>
      </c>
      <c r="K818" s="305" t="s">
        <v>2366</v>
      </c>
    </row>
    <row r="819" spans="1:11" x14ac:dyDescent="0.25">
      <c r="A819" s="302" t="str">
        <f t="shared" si="15"/>
        <v>Water Heater_Storage 0.67 EF_SF_Conversion</v>
      </c>
      <c r="B819" s="303" t="s">
        <v>8</v>
      </c>
      <c r="C819" s="304" t="s">
        <v>879</v>
      </c>
      <c r="D819" s="303" t="s">
        <v>409</v>
      </c>
      <c r="E819" s="305" t="s">
        <v>284</v>
      </c>
      <c r="F819" s="305" t="s">
        <v>622</v>
      </c>
      <c r="G819" s="325">
        <v>100000</v>
      </c>
      <c r="H819" s="305"/>
      <c r="I819" s="305" t="s">
        <v>152</v>
      </c>
      <c r="J819" s="305" t="s">
        <v>239</v>
      </c>
      <c r="K819" s="305" t="s">
        <v>2366</v>
      </c>
    </row>
    <row r="820" spans="1:11" x14ac:dyDescent="0.25">
      <c r="A820" s="302" t="str">
        <f t="shared" si="15"/>
        <v>Water Heater_Storage 0.67 EF_SF_yWater</v>
      </c>
      <c r="B820" s="303" t="s">
        <v>8</v>
      </c>
      <c r="C820" s="304" t="s">
        <v>879</v>
      </c>
      <c r="D820" s="303" t="s">
        <v>409</v>
      </c>
      <c r="E820" s="305" t="s">
        <v>369</v>
      </c>
      <c r="F820" s="309" t="s">
        <v>346</v>
      </c>
      <c r="G820" s="307">
        <v>8.33</v>
      </c>
      <c r="H820" s="305"/>
      <c r="I820" s="305" t="s">
        <v>152</v>
      </c>
      <c r="J820" s="305" t="s">
        <v>239</v>
      </c>
      <c r="K820" s="305" t="s">
        <v>2366</v>
      </c>
    </row>
    <row r="821" spans="1:11" x14ac:dyDescent="0.25">
      <c r="A821" s="302" t="str">
        <f t="shared" si="15"/>
        <v>Water Heater_Storage 0.67 EF_SF_UEF gas base</v>
      </c>
      <c r="B821" s="303" t="s">
        <v>8</v>
      </c>
      <c r="C821" s="304" t="s">
        <v>879</v>
      </c>
      <c r="D821" s="303" t="s">
        <v>409</v>
      </c>
      <c r="E821" s="305" t="s">
        <v>872</v>
      </c>
      <c r="F821" s="305" t="s">
        <v>539</v>
      </c>
      <c r="G821" s="350">
        <f>0.6483-(0.0017*G816)</f>
        <v>0.58030000000000004</v>
      </c>
      <c r="H821" s="305" t="s">
        <v>873</v>
      </c>
      <c r="I821" s="305" t="s">
        <v>152</v>
      </c>
      <c r="J821" s="305" t="s">
        <v>239</v>
      </c>
      <c r="K821" s="305" t="s">
        <v>2366</v>
      </c>
    </row>
    <row r="822" spans="1:11" x14ac:dyDescent="0.25">
      <c r="A822" s="302" t="str">
        <f t="shared" si="15"/>
        <v>Water Heater_Storage 0.67 EF_SF_UEF efficient</v>
      </c>
      <c r="B822" s="303" t="s">
        <v>8</v>
      </c>
      <c r="C822" s="304" t="s">
        <v>879</v>
      </c>
      <c r="D822" s="303" t="s">
        <v>409</v>
      </c>
      <c r="E822" s="311" t="s">
        <v>874</v>
      </c>
      <c r="F822" s="311" t="s">
        <v>539</v>
      </c>
      <c r="G822" s="334">
        <v>0.81</v>
      </c>
      <c r="H822" s="311" t="s">
        <v>2559</v>
      </c>
      <c r="I822" s="305" t="s">
        <v>152</v>
      </c>
      <c r="J822" s="305" t="s">
        <v>239</v>
      </c>
      <c r="K822" s="305" t="s">
        <v>2366</v>
      </c>
    </row>
    <row r="823" spans="1:11" x14ac:dyDescent="0.25">
      <c r="A823" s="302" t="str">
        <f t="shared" si="15"/>
        <v>Water Heater_Storage 0.67 EF_SF_Therm Saved per Unit</v>
      </c>
      <c r="B823" s="303" t="s">
        <v>8</v>
      </c>
      <c r="C823" s="304" t="s">
        <v>879</v>
      </c>
      <c r="D823" s="303" t="s">
        <v>409</v>
      </c>
      <c r="E823" s="314" t="s">
        <v>326</v>
      </c>
      <c r="F823" s="314"/>
      <c r="G823" s="315">
        <f>(1/G821-1/G822)*(G815*G817*G818*G820*(G813-G814)*1)/G819</f>
        <v>49.773717512006058</v>
      </c>
      <c r="H823" s="305" t="s">
        <v>875</v>
      </c>
      <c r="I823" s="305" t="s">
        <v>152</v>
      </c>
      <c r="J823" s="305" t="s">
        <v>239</v>
      </c>
      <c r="K823" s="305" t="s">
        <v>2366</v>
      </c>
    </row>
    <row r="824" spans="1:11" x14ac:dyDescent="0.25">
      <c r="A824" s="302" t="str">
        <f t="shared" si="15"/>
        <v>Water Heater_Storage 0.67 EF_SF_Lifetime (years)</v>
      </c>
      <c r="B824" s="303" t="s">
        <v>8</v>
      </c>
      <c r="C824" s="304" t="s">
        <v>879</v>
      </c>
      <c r="D824" s="303" t="s">
        <v>409</v>
      </c>
      <c r="E824" s="311" t="s">
        <v>259</v>
      </c>
      <c r="F824" s="311" t="s">
        <v>548</v>
      </c>
      <c r="G824" s="310">
        <v>13.3</v>
      </c>
      <c r="H824" s="311" t="s">
        <v>2621</v>
      </c>
      <c r="I824" s="305" t="s">
        <v>152</v>
      </c>
      <c r="J824" s="305" t="s">
        <v>239</v>
      </c>
      <c r="K824" s="305" t="s">
        <v>2366</v>
      </c>
    </row>
    <row r="825" spans="1:11" x14ac:dyDescent="0.25">
      <c r="A825" s="302" t="str">
        <f t="shared" si="15"/>
        <v>Water Heater_Storage 0.67 EF_SF_Incremental Cost</v>
      </c>
      <c r="B825" s="303" t="s">
        <v>8</v>
      </c>
      <c r="C825" s="304" t="s">
        <v>879</v>
      </c>
      <c r="D825" s="303" t="s">
        <v>409</v>
      </c>
      <c r="E825" s="311" t="s">
        <v>260</v>
      </c>
      <c r="F825" s="311" t="s">
        <v>549</v>
      </c>
      <c r="G825" s="368">
        <v>873</v>
      </c>
      <c r="H825" s="311" t="s">
        <v>2620</v>
      </c>
      <c r="I825" s="305" t="s">
        <v>152</v>
      </c>
      <c r="J825" s="305" t="s">
        <v>239</v>
      </c>
      <c r="K825" s="305" t="s">
        <v>2366</v>
      </c>
    </row>
    <row r="826" spans="1:11" s="324" customFormat="1" x14ac:dyDescent="0.25">
      <c r="A826" s="317" t="str">
        <f t="shared" si="15"/>
        <v>Water Heater_Storage 0.67 EF_SF_</v>
      </c>
      <c r="B826" s="317" t="str">
        <f>B825</f>
        <v>Water Heater</v>
      </c>
      <c r="C826" s="317" t="str">
        <f>C825</f>
        <v>Storage 0.67 EF</v>
      </c>
      <c r="D826" s="317" t="str">
        <f>D825</f>
        <v>SF</v>
      </c>
      <c r="E826" s="320"/>
      <c r="F826" s="320"/>
      <c r="G826" s="329"/>
      <c r="H826" s="320"/>
      <c r="I826" s="320"/>
      <c r="J826" s="320"/>
      <c r="K826" s="320"/>
    </row>
    <row r="827" spans="1:11" x14ac:dyDescent="0.25">
      <c r="A827" s="302" t="str">
        <f t="shared" si="15"/>
        <v>Air Sealing_0_SF_CFM50_existing</v>
      </c>
      <c r="B827" s="303" t="s">
        <v>221</v>
      </c>
      <c r="C827" s="304">
        <v>0</v>
      </c>
      <c r="D827" s="303" t="s">
        <v>409</v>
      </c>
      <c r="E827" s="305" t="s">
        <v>481</v>
      </c>
      <c r="F827" s="309"/>
      <c r="G827" s="307">
        <v>1</v>
      </c>
      <c r="H827" s="305" t="s">
        <v>880</v>
      </c>
      <c r="I827" s="305" t="s">
        <v>152</v>
      </c>
      <c r="J827" s="305" t="s">
        <v>106</v>
      </c>
      <c r="K827" s="305" t="s">
        <v>2058</v>
      </c>
    </row>
    <row r="828" spans="1:11" x14ac:dyDescent="0.25">
      <c r="A828" s="302" t="str">
        <f t="shared" si="15"/>
        <v>Air Sealing_0_SF_CFM50_new</v>
      </c>
      <c r="B828" s="303" t="s">
        <v>221</v>
      </c>
      <c r="C828" s="304">
        <v>0</v>
      </c>
      <c r="D828" s="303" t="s">
        <v>409</v>
      </c>
      <c r="E828" s="305" t="s">
        <v>482</v>
      </c>
      <c r="F828" s="309"/>
      <c r="G828" s="307">
        <v>0</v>
      </c>
      <c r="H828" s="305" t="s">
        <v>880</v>
      </c>
      <c r="I828" s="305" t="s">
        <v>152</v>
      </c>
      <c r="J828" s="305" t="s">
        <v>106</v>
      </c>
      <c r="K828" s="305" t="s">
        <v>2058</v>
      </c>
    </row>
    <row r="829" spans="1:11" x14ac:dyDescent="0.25">
      <c r="A829" s="302" t="str">
        <f t="shared" si="15"/>
        <v>Air Sealing_0_SF_Conversion</v>
      </c>
      <c r="B829" s="303" t="s">
        <v>221</v>
      </c>
      <c r="C829" s="304">
        <v>0</v>
      </c>
      <c r="D829" s="303" t="s">
        <v>409</v>
      </c>
      <c r="E829" s="305" t="s">
        <v>284</v>
      </c>
      <c r="F829" s="309" t="s">
        <v>882</v>
      </c>
      <c r="G829" s="354">
        <v>60</v>
      </c>
      <c r="H829" s="305"/>
      <c r="I829" s="305" t="s">
        <v>152</v>
      </c>
      <c r="J829" s="305" t="s">
        <v>106</v>
      </c>
      <c r="K829" s="305" t="s">
        <v>2058</v>
      </c>
    </row>
    <row r="830" spans="1:11" x14ac:dyDescent="0.25">
      <c r="A830" s="302" t="str">
        <f t="shared" si="15"/>
        <v>Air Sealing_0_SF_Conversion</v>
      </c>
      <c r="B830" s="303" t="s">
        <v>221</v>
      </c>
      <c r="C830" s="304">
        <v>0</v>
      </c>
      <c r="D830" s="303" t="s">
        <v>409</v>
      </c>
      <c r="E830" s="305" t="s">
        <v>284</v>
      </c>
      <c r="F830" s="309" t="s">
        <v>618</v>
      </c>
      <c r="G830" s="325">
        <v>24</v>
      </c>
      <c r="H830" s="305"/>
      <c r="I830" s="305" t="s">
        <v>152</v>
      </c>
      <c r="J830" s="305" t="s">
        <v>106</v>
      </c>
      <c r="K830" s="305" t="s">
        <v>2058</v>
      </c>
    </row>
    <row r="831" spans="1:11" x14ac:dyDescent="0.25">
      <c r="A831" s="302" t="str">
        <f t="shared" si="15"/>
        <v>Air Sealing_0_SF_Specific Heat Capacity of Air</v>
      </c>
      <c r="B831" s="303" t="s">
        <v>221</v>
      </c>
      <c r="C831" s="304">
        <v>0</v>
      </c>
      <c r="D831" s="303" t="s">
        <v>409</v>
      </c>
      <c r="E831" s="305" t="s">
        <v>883</v>
      </c>
      <c r="F831" s="309" t="s">
        <v>884</v>
      </c>
      <c r="G831" s="307">
        <v>1.7999999999999999E-2</v>
      </c>
      <c r="H831" s="305"/>
      <c r="I831" s="305" t="s">
        <v>152</v>
      </c>
      <c r="J831" s="305" t="s">
        <v>106</v>
      </c>
      <c r="K831" s="305" t="s">
        <v>2058</v>
      </c>
    </row>
    <row r="832" spans="1:11" x14ac:dyDescent="0.25">
      <c r="A832" s="302" t="str">
        <f t="shared" si="15"/>
        <v>Air Sealing_0_SF_ADJ</v>
      </c>
      <c r="B832" s="303" t="s">
        <v>221</v>
      </c>
      <c r="C832" s="304">
        <v>0</v>
      </c>
      <c r="D832" s="303" t="s">
        <v>409</v>
      </c>
      <c r="E832" s="305" t="s">
        <v>885</v>
      </c>
      <c r="F832" s="309"/>
      <c r="G832" s="307">
        <v>1</v>
      </c>
      <c r="H832" s="305" t="s">
        <v>886</v>
      </c>
      <c r="I832" s="305" t="s">
        <v>152</v>
      </c>
      <c r="J832" s="305" t="s">
        <v>106</v>
      </c>
      <c r="K832" s="305" t="s">
        <v>2058</v>
      </c>
    </row>
    <row r="833" spans="1:11" x14ac:dyDescent="0.25">
      <c r="A833" s="302" t="str">
        <f t="shared" si="15"/>
        <v>Air Sealing_0_SF_Nheat</v>
      </c>
      <c r="B833" s="303" t="s">
        <v>221</v>
      </c>
      <c r="C833" s="304">
        <v>0</v>
      </c>
      <c r="D833" s="303" t="s">
        <v>409</v>
      </c>
      <c r="E833" s="305" t="s">
        <v>887</v>
      </c>
      <c r="F833" s="309"/>
      <c r="G833" s="307">
        <v>21.1</v>
      </c>
      <c r="H833" s="305" t="s">
        <v>888</v>
      </c>
      <c r="I833" s="305" t="s">
        <v>152</v>
      </c>
      <c r="J833" s="305" t="s">
        <v>106</v>
      </c>
      <c r="K833" s="305" t="s">
        <v>2058</v>
      </c>
    </row>
    <row r="834" spans="1:11" x14ac:dyDescent="0.25">
      <c r="A834" s="302" t="str">
        <f t="shared" si="15"/>
        <v>Air Sealing_0_SF_HDD</v>
      </c>
      <c r="B834" s="303" t="s">
        <v>221</v>
      </c>
      <c r="C834" s="304">
        <v>0</v>
      </c>
      <c r="D834" s="303" t="s">
        <v>409</v>
      </c>
      <c r="E834" s="311" t="s">
        <v>487</v>
      </c>
      <c r="F834" s="334"/>
      <c r="G834" s="337">
        <v>4798</v>
      </c>
      <c r="H834" s="311" t="s">
        <v>636</v>
      </c>
      <c r="I834" s="305" t="s">
        <v>152</v>
      </c>
      <c r="J834" s="305" t="s">
        <v>106</v>
      </c>
      <c r="K834" s="305" t="s">
        <v>2058</v>
      </c>
    </row>
    <row r="835" spans="1:11" x14ac:dyDescent="0.25">
      <c r="A835" s="302" t="str">
        <f t="shared" si="15"/>
        <v>Air Sealing_0_SF_ηHeat - gas</v>
      </c>
      <c r="B835" s="303" t="s">
        <v>221</v>
      </c>
      <c r="C835" s="304">
        <v>0</v>
      </c>
      <c r="D835" s="303" t="s">
        <v>409</v>
      </c>
      <c r="E835" s="305" t="s">
        <v>620</v>
      </c>
      <c r="F835" s="309" t="s">
        <v>539</v>
      </c>
      <c r="G835" s="307">
        <v>0.72</v>
      </c>
      <c r="H835" s="305" t="s">
        <v>639</v>
      </c>
      <c r="I835" s="305" t="s">
        <v>152</v>
      </c>
      <c r="J835" s="305" t="s">
        <v>106</v>
      </c>
      <c r="K835" s="305" t="s">
        <v>2058</v>
      </c>
    </row>
    <row r="836" spans="1:11" x14ac:dyDescent="0.25">
      <c r="A836" s="302" t="str">
        <f t="shared" si="15"/>
        <v>Air Sealing_0_SF_ηHeat - gas- MLA</v>
      </c>
      <c r="B836" s="303" t="s">
        <v>221</v>
      </c>
      <c r="C836" s="304">
        <v>0</v>
      </c>
      <c r="D836" s="303" t="s">
        <v>409</v>
      </c>
      <c r="E836" s="305" t="s">
        <v>621</v>
      </c>
      <c r="F836" s="309" t="s">
        <v>539</v>
      </c>
      <c r="G836" s="334">
        <v>0.68</v>
      </c>
      <c r="H836" s="311" t="s">
        <v>1924</v>
      </c>
      <c r="I836" s="305" t="s">
        <v>152</v>
      </c>
      <c r="J836" s="305" t="s">
        <v>106</v>
      </c>
      <c r="K836" s="305" t="s">
        <v>2058</v>
      </c>
    </row>
    <row r="837" spans="1:11" x14ac:dyDescent="0.25">
      <c r="A837" s="302" t="str">
        <f t="shared" si="15"/>
        <v>Air Sealing_0_SF_Fe</v>
      </c>
      <c r="B837" s="303" t="s">
        <v>221</v>
      </c>
      <c r="C837" s="304">
        <v>0</v>
      </c>
      <c r="D837" s="303" t="s">
        <v>409</v>
      </c>
      <c r="E837" s="305" t="s">
        <v>425</v>
      </c>
      <c r="F837" s="309" t="s">
        <v>539</v>
      </c>
      <c r="G837" s="307">
        <v>3.1399999999999997E-2</v>
      </c>
      <c r="H837" s="305"/>
      <c r="I837" s="305" t="s">
        <v>152</v>
      </c>
      <c r="J837" s="305" t="s">
        <v>106</v>
      </c>
      <c r="K837" s="305" t="s">
        <v>2058</v>
      </c>
    </row>
    <row r="838" spans="1:11" x14ac:dyDescent="0.25">
      <c r="A838" s="302" t="str">
        <f t="shared" si="15"/>
        <v>Air Sealing_0_SF_Conversion</v>
      </c>
      <c r="B838" s="303" t="s">
        <v>221</v>
      </c>
      <c r="C838" s="304">
        <v>0</v>
      </c>
      <c r="D838" s="303" t="s">
        <v>409</v>
      </c>
      <c r="E838" s="305" t="s">
        <v>284</v>
      </c>
      <c r="F838" s="305" t="s">
        <v>611</v>
      </c>
      <c r="G838" s="307">
        <v>29.3</v>
      </c>
      <c r="H838" s="305"/>
      <c r="I838" s="305" t="s">
        <v>152</v>
      </c>
      <c r="J838" s="305" t="s">
        <v>106</v>
      </c>
      <c r="K838" s="305" t="s">
        <v>2058</v>
      </c>
    </row>
    <row r="839" spans="1:11" x14ac:dyDescent="0.25">
      <c r="A839" s="302" t="str">
        <f t="shared" ref="A839" si="16">B839&amp;"_"&amp;C839&amp;"_"&amp;D839&amp;"_"&amp;E839</f>
        <v>Air Sealing_0_SF_%GasHeat</v>
      </c>
      <c r="B839" s="303" t="s">
        <v>221</v>
      </c>
      <c r="C839" s="304">
        <v>0</v>
      </c>
      <c r="D839" s="303" t="s">
        <v>409</v>
      </c>
      <c r="E839" s="311" t="s">
        <v>1919</v>
      </c>
      <c r="F839" s="334" t="s">
        <v>539</v>
      </c>
      <c r="G839" s="334">
        <v>1</v>
      </c>
      <c r="H839" s="311" t="s">
        <v>1904</v>
      </c>
      <c r="I839" s="305" t="s">
        <v>152</v>
      </c>
      <c r="J839" s="305" t="s">
        <v>106</v>
      </c>
      <c r="K839" s="305" t="s">
        <v>2058</v>
      </c>
    </row>
    <row r="840" spans="1:11" x14ac:dyDescent="0.25">
      <c r="A840" s="302" t="str">
        <f t="shared" si="15"/>
        <v>Air Sealing_0_SF_kWh Saved per Unit</v>
      </c>
      <c r="B840" s="303" t="s">
        <v>221</v>
      </c>
      <c r="C840" s="304">
        <v>0</v>
      </c>
      <c r="D840" s="303" t="s">
        <v>409</v>
      </c>
      <c r="E840" s="314" t="s">
        <v>255</v>
      </c>
      <c r="F840" s="345" t="s">
        <v>1824</v>
      </c>
      <c r="G840" s="326">
        <f>G842*G837*G838</f>
        <v>7.5314319696682452E-2</v>
      </c>
      <c r="H840" s="305" t="s">
        <v>880</v>
      </c>
      <c r="I840" s="305" t="s">
        <v>152</v>
      </c>
      <c r="J840" s="305" t="s">
        <v>106</v>
      </c>
      <c r="K840" s="305" t="s">
        <v>2058</v>
      </c>
    </row>
    <row r="841" spans="1:11" x14ac:dyDescent="0.25">
      <c r="A841" s="302" t="str">
        <f t="shared" si="15"/>
        <v>Air Sealing_0_SF_kW Saved per Unit</v>
      </c>
      <c r="B841" s="303" t="s">
        <v>221</v>
      </c>
      <c r="C841" s="304">
        <v>0</v>
      </c>
      <c r="D841" s="303" t="s">
        <v>409</v>
      </c>
      <c r="E841" s="314" t="s">
        <v>580</v>
      </c>
      <c r="F841" s="326" t="s">
        <v>571</v>
      </c>
      <c r="G841" s="326">
        <v>0</v>
      </c>
      <c r="H841" s="305"/>
      <c r="I841" s="305" t="s">
        <v>152</v>
      </c>
      <c r="J841" s="305" t="s">
        <v>106</v>
      </c>
      <c r="K841" s="305" t="s">
        <v>2058</v>
      </c>
    </row>
    <row r="842" spans="1:11" x14ac:dyDescent="0.25">
      <c r="A842" s="302" t="str">
        <f t="shared" si="15"/>
        <v>Air Sealing_0_SF_Therm Saved per Unit</v>
      </c>
      <c r="B842" s="303" t="s">
        <v>221</v>
      </c>
      <c r="C842" s="304">
        <v>0</v>
      </c>
      <c r="D842" s="303" t="s">
        <v>409</v>
      </c>
      <c r="E842" s="314" t="s">
        <v>326</v>
      </c>
      <c r="F842" s="326"/>
      <c r="G842" s="369">
        <f>(G829*G830*G834*G831)/(G835*100000*G833)*G839</f>
        <v>8.1861611374407575E-2</v>
      </c>
      <c r="H842" s="311" t="s">
        <v>1920</v>
      </c>
      <c r="I842" s="305" t="s">
        <v>152</v>
      </c>
      <c r="J842" s="305" t="s">
        <v>106</v>
      </c>
      <c r="K842" s="305" t="s">
        <v>2058</v>
      </c>
    </row>
    <row r="843" spans="1:11" x14ac:dyDescent="0.25">
      <c r="A843" s="302" t="str">
        <f t="shared" si="15"/>
        <v>Air Sealing_0_SF_Therm Saved per Unit- MLA</v>
      </c>
      <c r="B843" s="303" t="s">
        <v>221</v>
      </c>
      <c r="C843" s="304">
        <v>0</v>
      </c>
      <c r="D843" s="303" t="s">
        <v>409</v>
      </c>
      <c r="E843" s="314" t="s">
        <v>626</v>
      </c>
      <c r="F843" s="326"/>
      <c r="G843" s="369">
        <f>(G829*G830*G834*G831)/(G836*100000*G833)*(G827-G828)*G839</f>
        <v>8.6677000278784486E-2</v>
      </c>
      <c r="H843" s="311" t="s">
        <v>1921</v>
      </c>
      <c r="I843" s="305" t="s">
        <v>152</v>
      </c>
      <c r="J843" s="305" t="s">
        <v>106</v>
      </c>
      <c r="K843" s="305" t="s">
        <v>2058</v>
      </c>
    </row>
    <row r="844" spans="1:11" x14ac:dyDescent="0.25">
      <c r="A844" s="302" t="str">
        <f t="shared" si="15"/>
        <v>Air Sealing_0_SF_Lifetime (years)</v>
      </c>
      <c r="B844" s="303" t="s">
        <v>221</v>
      </c>
      <c r="C844" s="304">
        <v>0</v>
      </c>
      <c r="D844" s="303" t="s">
        <v>409</v>
      </c>
      <c r="E844" s="314" t="s">
        <v>259</v>
      </c>
      <c r="F844" s="314" t="s">
        <v>548</v>
      </c>
      <c r="G844" s="315">
        <v>20</v>
      </c>
      <c r="H844" s="305"/>
      <c r="I844" s="305" t="s">
        <v>152</v>
      </c>
      <c r="J844" s="305" t="s">
        <v>106</v>
      </c>
      <c r="K844" s="305" t="s">
        <v>2058</v>
      </c>
    </row>
    <row r="845" spans="1:11" x14ac:dyDescent="0.25">
      <c r="A845" s="302" t="str">
        <f t="shared" si="15"/>
        <v>Air Sealing_0_SF_Lifetime (years) - Remaining Years</v>
      </c>
      <c r="B845" s="303" t="s">
        <v>221</v>
      </c>
      <c r="C845" s="304">
        <v>0</v>
      </c>
      <c r="D845" s="303" t="s">
        <v>409</v>
      </c>
      <c r="E845" s="314" t="s">
        <v>628</v>
      </c>
      <c r="F845" s="314" t="s">
        <v>548</v>
      </c>
      <c r="G845" s="315">
        <v>10</v>
      </c>
      <c r="H845" s="305" t="s">
        <v>889</v>
      </c>
      <c r="I845" s="305" t="s">
        <v>152</v>
      </c>
      <c r="J845" s="305" t="s">
        <v>106</v>
      </c>
      <c r="K845" s="305" t="s">
        <v>2058</v>
      </c>
    </row>
    <row r="846" spans="1:11" x14ac:dyDescent="0.25">
      <c r="A846" s="302" t="str">
        <f t="shared" si="15"/>
        <v>Air Sealing_0_SF_Incremental Cost</v>
      </c>
      <c r="B846" s="303" t="s">
        <v>221</v>
      </c>
      <c r="C846" s="304">
        <v>0</v>
      </c>
      <c r="D846" s="303" t="s">
        <v>409</v>
      </c>
      <c r="E846" s="314" t="s">
        <v>260</v>
      </c>
      <c r="F846" s="314" t="s">
        <v>549</v>
      </c>
      <c r="G846" s="328">
        <v>0.45</v>
      </c>
      <c r="H846" s="305" t="s">
        <v>613</v>
      </c>
      <c r="I846" s="305" t="s">
        <v>614</v>
      </c>
      <c r="J846" s="305"/>
      <c r="K846" s="305"/>
    </row>
    <row r="847" spans="1:11" s="324" customFormat="1" x14ac:dyDescent="0.25">
      <c r="A847" s="317" t="str">
        <f t="shared" si="15"/>
        <v>Air Sealing_0_SF_</v>
      </c>
      <c r="B847" s="317" t="str">
        <f>B846</f>
        <v>Air Sealing</v>
      </c>
      <c r="C847" s="317">
        <f>C846</f>
        <v>0</v>
      </c>
      <c r="D847" s="317" t="str">
        <f>D846</f>
        <v>SF</v>
      </c>
      <c r="E847" s="320"/>
      <c r="F847" s="320"/>
      <c r="G847" s="329"/>
      <c r="H847" s="320"/>
      <c r="I847" s="320"/>
      <c r="J847" s="320"/>
      <c r="K847" s="320"/>
    </row>
    <row r="848" spans="1:11" x14ac:dyDescent="0.25">
      <c r="A848" s="302" t="str">
        <f t="shared" si="15"/>
        <v>Air Sealing w/ Attic Insulation_0_SF_CFM50_existing</v>
      </c>
      <c r="B848" s="303" t="s">
        <v>890</v>
      </c>
      <c r="C848" s="304">
        <v>0</v>
      </c>
      <c r="D848" s="303" t="s">
        <v>409</v>
      </c>
      <c r="E848" s="305" t="s">
        <v>481</v>
      </c>
      <c r="F848" s="309"/>
      <c r="G848" s="307">
        <v>1</v>
      </c>
      <c r="H848" s="305" t="s">
        <v>880</v>
      </c>
      <c r="I848" s="305" t="s">
        <v>152</v>
      </c>
      <c r="J848" s="305" t="s">
        <v>106</v>
      </c>
      <c r="K848" s="305" t="s">
        <v>2058</v>
      </c>
    </row>
    <row r="849" spans="1:11" x14ac:dyDescent="0.25">
      <c r="A849" s="302" t="str">
        <f t="shared" ref="A849:A916" si="17">B849&amp;"_"&amp;C849&amp;"_"&amp;D849&amp;"_"&amp;E849</f>
        <v>Air Sealing w/ Attic Insulation_0_SF_CFM50_new</v>
      </c>
      <c r="B849" s="303" t="s">
        <v>890</v>
      </c>
      <c r="C849" s="304">
        <v>0</v>
      </c>
      <c r="D849" s="303" t="s">
        <v>409</v>
      </c>
      <c r="E849" s="305" t="s">
        <v>482</v>
      </c>
      <c r="F849" s="309"/>
      <c r="G849" s="307">
        <v>0</v>
      </c>
      <c r="H849" s="305" t="s">
        <v>880</v>
      </c>
      <c r="I849" s="305" t="s">
        <v>152</v>
      </c>
      <c r="J849" s="305" t="s">
        <v>106</v>
      </c>
      <c r="K849" s="305" t="s">
        <v>2058</v>
      </c>
    </row>
    <row r="850" spans="1:11" x14ac:dyDescent="0.25">
      <c r="A850" s="302" t="str">
        <f t="shared" si="17"/>
        <v>Air Sealing w/ Attic Insulation_0_SF_Conversion</v>
      </c>
      <c r="B850" s="303" t="s">
        <v>890</v>
      </c>
      <c r="C850" s="304">
        <v>0</v>
      </c>
      <c r="D850" s="303" t="s">
        <v>409</v>
      </c>
      <c r="E850" s="305" t="s">
        <v>284</v>
      </c>
      <c r="F850" s="309" t="s">
        <v>882</v>
      </c>
      <c r="G850" s="354">
        <v>60</v>
      </c>
      <c r="H850" s="305"/>
      <c r="I850" s="305" t="s">
        <v>152</v>
      </c>
      <c r="J850" s="305" t="s">
        <v>106</v>
      </c>
      <c r="K850" s="305" t="s">
        <v>2058</v>
      </c>
    </row>
    <row r="851" spans="1:11" x14ac:dyDescent="0.25">
      <c r="A851" s="302" t="str">
        <f t="shared" si="17"/>
        <v>Air Sealing w/ Attic Insulation_0_SF_Conversion</v>
      </c>
      <c r="B851" s="303" t="s">
        <v>890</v>
      </c>
      <c r="C851" s="304">
        <v>0</v>
      </c>
      <c r="D851" s="303" t="s">
        <v>409</v>
      </c>
      <c r="E851" s="305" t="s">
        <v>284</v>
      </c>
      <c r="F851" s="309" t="s">
        <v>618</v>
      </c>
      <c r="G851" s="325">
        <v>24</v>
      </c>
      <c r="H851" s="305"/>
      <c r="I851" s="305" t="s">
        <v>152</v>
      </c>
      <c r="J851" s="305" t="s">
        <v>106</v>
      </c>
      <c r="K851" s="305" t="s">
        <v>2058</v>
      </c>
    </row>
    <row r="852" spans="1:11" x14ac:dyDescent="0.25">
      <c r="A852" s="302" t="str">
        <f t="shared" si="17"/>
        <v>Air Sealing w/ Attic Insulation_0_SF_Specific Heat Capacity of Air</v>
      </c>
      <c r="B852" s="303" t="s">
        <v>890</v>
      </c>
      <c r="C852" s="304">
        <v>0</v>
      </c>
      <c r="D852" s="303" t="s">
        <v>409</v>
      </c>
      <c r="E852" s="305" t="s">
        <v>883</v>
      </c>
      <c r="F852" s="309" t="s">
        <v>884</v>
      </c>
      <c r="G852" s="307">
        <v>1.7999999999999999E-2</v>
      </c>
      <c r="H852" s="305"/>
      <c r="I852" s="305" t="s">
        <v>152</v>
      </c>
      <c r="J852" s="305" t="s">
        <v>106</v>
      </c>
      <c r="K852" s="305" t="s">
        <v>2058</v>
      </c>
    </row>
    <row r="853" spans="1:11" x14ac:dyDescent="0.25">
      <c r="A853" s="302" t="str">
        <f t="shared" si="17"/>
        <v>Air Sealing w/ Attic Insulation_0_SF_ADJ</v>
      </c>
      <c r="B853" s="303" t="s">
        <v>890</v>
      </c>
      <c r="C853" s="304">
        <v>0</v>
      </c>
      <c r="D853" s="303" t="s">
        <v>409</v>
      </c>
      <c r="E853" s="311" t="s">
        <v>885</v>
      </c>
      <c r="F853" s="334" t="s">
        <v>891</v>
      </c>
      <c r="G853" s="334">
        <v>0.76</v>
      </c>
      <c r="H853" s="311" t="s">
        <v>892</v>
      </c>
      <c r="I853" s="305" t="s">
        <v>152</v>
      </c>
      <c r="J853" s="305" t="s">
        <v>106</v>
      </c>
      <c r="K853" s="305" t="s">
        <v>2058</v>
      </c>
    </row>
    <row r="854" spans="1:11" x14ac:dyDescent="0.25">
      <c r="A854" s="302" t="str">
        <f t="shared" si="17"/>
        <v>Air Sealing w/ Attic Insulation_0_SF_Nheat</v>
      </c>
      <c r="B854" s="303" t="s">
        <v>890</v>
      </c>
      <c r="C854" s="304">
        <v>0</v>
      </c>
      <c r="D854" s="303" t="s">
        <v>409</v>
      </c>
      <c r="E854" s="305" t="s">
        <v>887</v>
      </c>
      <c r="F854" s="309"/>
      <c r="G854" s="307">
        <v>21.1</v>
      </c>
      <c r="H854" s="305" t="s">
        <v>888</v>
      </c>
      <c r="I854" s="305" t="s">
        <v>152</v>
      </c>
      <c r="J854" s="305" t="s">
        <v>106</v>
      </c>
      <c r="K854" s="305" t="s">
        <v>2058</v>
      </c>
    </row>
    <row r="855" spans="1:11" x14ac:dyDescent="0.25">
      <c r="A855" s="302" t="str">
        <f t="shared" si="17"/>
        <v>Air Sealing w/ Attic Insulation_0_SF_HDD</v>
      </c>
      <c r="B855" s="303" t="s">
        <v>890</v>
      </c>
      <c r="C855" s="304">
        <v>0</v>
      </c>
      <c r="D855" s="303" t="s">
        <v>409</v>
      </c>
      <c r="E855" s="311" t="s">
        <v>487</v>
      </c>
      <c r="F855" s="334"/>
      <c r="G855" s="337">
        <v>4798</v>
      </c>
      <c r="H855" s="311" t="s">
        <v>636</v>
      </c>
      <c r="I855" s="305" t="s">
        <v>152</v>
      </c>
      <c r="J855" s="305" t="s">
        <v>106</v>
      </c>
      <c r="K855" s="305" t="s">
        <v>2058</v>
      </c>
    </row>
    <row r="856" spans="1:11" x14ac:dyDescent="0.25">
      <c r="A856" s="302" t="str">
        <f t="shared" si="17"/>
        <v>Air Sealing w/ Attic Insulation_0_SF_ηHeat - gas</v>
      </c>
      <c r="B856" s="303" t="s">
        <v>890</v>
      </c>
      <c r="C856" s="304">
        <v>0</v>
      </c>
      <c r="D856" s="303" t="s">
        <v>409</v>
      </c>
      <c r="E856" s="305" t="s">
        <v>620</v>
      </c>
      <c r="F856" s="309" t="s">
        <v>539</v>
      </c>
      <c r="G856" s="307">
        <v>0.72</v>
      </c>
      <c r="H856" s="305" t="s">
        <v>639</v>
      </c>
      <c r="I856" s="305" t="s">
        <v>152</v>
      </c>
      <c r="J856" s="305" t="s">
        <v>106</v>
      </c>
      <c r="K856" s="305" t="s">
        <v>2058</v>
      </c>
    </row>
    <row r="857" spans="1:11" x14ac:dyDescent="0.25">
      <c r="A857" s="302" t="str">
        <f t="shared" ref="A857" si="18">B857&amp;"_"&amp;C857&amp;"_"&amp;D857&amp;"_"&amp;E857</f>
        <v>Air Sealing w/ Attic Insulation_0_SF_ηHeat - gas- MLA</v>
      </c>
      <c r="B857" s="303" t="s">
        <v>890</v>
      </c>
      <c r="C857" s="304">
        <v>0</v>
      </c>
      <c r="D857" s="303" t="s">
        <v>409</v>
      </c>
      <c r="E857" s="305" t="s">
        <v>621</v>
      </c>
      <c r="F857" s="309" t="s">
        <v>539</v>
      </c>
      <c r="G857" s="334">
        <v>0.68</v>
      </c>
      <c r="H857" s="311" t="s">
        <v>1924</v>
      </c>
      <c r="I857" s="305" t="s">
        <v>152</v>
      </c>
      <c r="J857" s="305" t="s">
        <v>106</v>
      </c>
      <c r="K857" s="305" t="s">
        <v>2058</v>
      </c>
    </row>
    <row r="858" spans="1:11" x14ac:dyDescent="0.25">
      <c r="A858" s="302" t="str">
        <f t="shared" si="17"/>
        <v>Air Sealing w/ Attic Insulation_0_SF_Fe</v>
      </c>
      <c r="B858" s="303" t="s">
        <v>890</v>
      </c>
      <c r="C858" s="304">
        <v>0</v>
      </c>
      <c r="D858" s="303" t="s">
        <v>409</v>
      </c>
      <c r="E858" s="305" t="s">
        <v>425</v>
      </c>
      <c r="F858" s="309" t="s">
        <v>539</v>
      </c>
      <c r="G858" s="307">
        <v>3.1399999999999997E-2</v>
      </c>
      <c r="H858" s="305"/>
      <c r="I858" s="305" t="s">
        <v>152</v>
      </c>
      <c r="J858" s="305" t="s">
        <v>106</v>
      </c>
      <c r="K858" s="305" t="s">
        <v>2058</v>
      </c>
    </row>
    <row r="859" spans="1:11" x14ac:dyDescent="0.25">
      <c r="A859" s="302" t="str">
        <f t="shared" si="17"/>
        <v>Air Sealing w/ Attic Insulation_0_SF_Conversion</v>
      </c>
      <c r="B859" s="303" t="s">
        <v>890</v>
      </c>
      <c r="C859" s="304">
        <v>0</v>
      </c>
      <c r="D859" s="303" t="s">
        <v>409</v>
      </c>
      <c r="E859" s="305" t="s">
        <v>284</v>
      </c>
      <c r="F859" s="305" t="s">
        <v>611</v>
      </c>
      <c r="G859" s="307">
        <v>29.3</v>
      </c>
      <c r="H859" s="305"/>
      <c r="I859" s="305" t="s">
        <v>152</v>
      </c>
      <c r="J859" s="305" t="s">
        <v>106</v>
      </c>
      <c r="K859" s="305" t="s">
        <v>2058</v>
      </c>
    </row>
    <row r="860" spans="1:11" x14ac:dyDescent="0.25">
      <c r="A860" s="302" t="str">
        <f>B860&amp;"_"&amp;C860&amp;"_"&amp;D860&amp;"_"&amp;E860</f>
        <v>Air Sealing w/ Attic Insulation_0_SF_%GasHeat</v>
      </c>
      <c r="B860" s="303" t="s">
        <v>890</v>
      </c>
      <c r="C860" s="304">
        <v>0</v>
      </c>
      <c r="D860" s="303" t="s">
        <v>409</v>
      </c>
      <c r="E860" s="311" t="s">
        <v>1919</v>
      </c>
      <c r="F860" s="334" t="s">
        <v>539</v>
      </c>
      <c r="G860" s="334">
        <v>1</v>
      </c>
      <c r="H860" s="311" t="s">
        <v>1904</v>
      </c>
      <c r="I860" s="305" t="s">
        <v>152</v>
      </c>
      <c r="J860" s="305" t="s">
        <v>106</v>
      </c>
      <c r="K860" s="305" t="s">
        <v>2058</v>
      </c>
    </row>
    <row r="861" spans="1:11" x14ac:dyDescent="0.25">
      <c r="A861" s="302" t="str">
        <f t="shared" si="17"/>
        <v>Air Sealing w/ Attic Insulation_0_SF_kWh Saved per Unit</v>
      </c>
      <c r="B861" s="303" t="s">
        <v>890</v>
      </c>
      <c r="C861" s="304">
        <v>0</v>
      </c>
      <c r="D861" s="303" t="s">
        <v>409</v>
      </c>
      <c r="E861" s="314" t="s">
        <v>255</v>
      </c>
      <c r="F861" s="326"/>
      <c r="G861" s="326">
        <f>G863*G858*G859</f>
        <v>5.7238882969478669E-2</v>
      </c>
      <c r="H861" s="305" t="s">
        <v>880</v>
      </c>
      <c r="I861" s="305" t="s">
        <v>152</v>
      </c>
      <c r="J861" s="305" t="s">
        <v>106</v>
      </c>
      <c r="K861" s="305" t="s">
        <v>2058</v>
      </c>
    </row>
    <row r="862" spans="1:11" x14ac:dyDescent="0.25">
      <c r="A862" s="302" t="str">
        <f t="shared" si="17"/>
        <v>Air Sealing w/ Attic Insulation_0_SF_kW Saved per Unit</v>
      </c>
      <c r="B862" s="303" t="s">
        <v>890</v>
      </c>
      <c r="C862" s="304">
        <v>0</v>
      </c>
      <c r="D862" s="303" t="s">
        <v>409</v>
      </c>
      <c r="E862" s="314" t="s">
        <v>580</v>
      </c>
      <c r="F862" s="326" t="s">
        <v>571</v>
      </c>
      <c r="G862" s="326">
        <v>0</v>
      </c>
      <c r="H862" s="305"/>
      <c r="I862" s="305" t="s">
        <v>152</v>
      </c>
      <c r="J862" s="305" t="s">
        <v>106</v>
      </c>
      <c r="K862" s="305" t="s">
        <v>2058</v>
      </c>
    </row>
    <row r="863" spans="1:11" x14ac:dyDescent="0.25">
      <c r="A863" s="302" t="str">
        <f t="shared" si="17"/>
        <v>Air Sealing w/ Attic Insulation_0_SF_Therm Saved per Unit</v>
      </c>
      <c r="B863" s="303" t="s">
        <v>890</v>
      </c>
      <c r="C863" s="304">
        <v>0</v>
      </c>
      <c r="D863" s="303" t="s">
        <v>409</v>
      </c>
      <c r="E863" s="314" t="s">
        <v>326</v>
      </c>
      <c r="F863" s="326"/>
      <c r="G863" s="369">
        <f>(G850*G851*G855*G852)/(G856*100000*G854)*G853*G860</f>
        <v>6.2214824644549756E-2</v>
      </c>
      <c r="H863" s="311" t="s">
        <v>1920</v>
      </c>
      <c r="I863" s="305" t="s">
        <v>152</v>
      </c>
      <c r="J863" s="305" t="s">
        <v>106</v>
      </c>
      <c r="K863" s="305" t="s">
        <v>2058</v>
      </c>
    </row>
    <row r="864" spans="1:11" x14ac:dyDescent="0.25">
      <c r="A864" s="302" t="str">
        <f t="shared" si="17"/>
        <v>Air Sealing w/ Attic Insulation_0_SF_Therm Saved per Unit- MLA</v>
      </c>
      <c r="B864" s="303" t="s">
        <v>890</v>
      </c>
      <c r="C864" s="304">
        <v>0</v>
      </c>
      <c r="D864" s="303" t="s">
        <v>409</v>
      </c>
      <c r="E864" s="314" t="s">
        <v>626</v>
      </c>
      <c r="F864" s="326"/>
      <c r="G864" s="369">
        <f>(G850*G851*G855*G852)/(G857*100000*G854)*G853*(G848-G849)*G860</f>
        <v>6.5874520211876203E-2</v>
      </c>
      <c r="H864" s="311" t="s">
        <v>1921</v>
      </c>
      <c r="I864" s="305" t="s">
        <v>152</v>
      </c>
      <c r="J864" s="305" t="s">
        <v>106</v>
      </c>
      <c r="K864" s="305" t="s">
        <v>2058</v>
      </c>
    </row>
    <row r="865" spans="1:11" x14ac:dyDescent="0.25">
      <c r="A865" s="302" t="str">
        <f t="shared" si="17"/>
        <v>Air Sealing w/ Attic Insulation_0_SF_Lifetime (years)</v>
      </c>
      <c r="B865" s="303" t="s">
        <v>890</v>
      </c>
      <c r="C865" s="304">
        <v>0</v>
      </c>
      <c r="D865" s="303" t="s">
        <v>409</v>
      </c>
      <c r="E865" s="314" t="s">
        <v>259</v>
      </c>
      <c r="F865" s="314" t="s">
        <v>548</v>
      </c>
      <c r="G865" s="315">
        <v>20</v>
      </c>
      <c r="H865" s="305"/>
      <c r="I865" s="305" t="s">
        <v>152</v>
      </c>
      <c r="J865" s="305" t="s">
        <v>106</v>
      </c>
      <c r="K865" s="305" t="s">
        <v>2058</v>
      </c>
    </row>
    <row r="866" spans="1:11" x14ac:dyDescent="0.25">
      <c r="A866" s="302" t="str">
        <f t="shared" si="17"/>
        <v>Air Sealing w/ Attic Insulation_0_SF_Lifetime (years) - Remaining Years</v>
      </c>
      <c r="B866" s="303" t="s">
        <v>890</v>
      </c>
      <c r="C866" s="304">
        <v>0</v>
      </c>
      <c r="D866" s="303" t="s">
        <v>409</v>
      </c>
      <c r="E866" s="314" t="s">
        <v>628</v>
      </c>
      <c r="F866" s="314" t="s">
        <v>548</v>
      </c>
      <c r="G866" s="315">
        <v>10</v>
      </c>
      <c r="H866" s="305" t="s">
        <v>889</v>
      </c>
      <c r="I866" s="305" t="s">
        <v>152</v>
      </c>
      <c r="J866" s="305" t="s">
        <v>106</v>
      </c>
      <c r="K866" s="305" t="s">
        <v>2058</v>
      </c>
    </row>
    <row r="867" spans="1:11" x14ac:dyDescent="0.25">
      <c r="A867" s="302" t="str">
        <f t="shared" si="17"/>
        <v>Air Sealing w/ Attic Insulation_0_SF_Incremental Cost</v>
      </c>
      <c r="B867" s="303" t="s">
        <v>890</v>
      </c>
      <c r="C867" s="304">
        <v>0</v>
      </c>
      <c r="D867" s="303" t="s">
        <v>409</v>
      </c>
      <c r="E867" s="314" t="s">
        <v>260</v>
      </c>
      <c r="F867" s="314" t="s">
        <v>549</v>
      </c>
      <c r="G867" s="328">
        <v>0.45</v>
      </c>
      <c r="H867" s="305" t="s">
        <v>613</v>
      </c>
      <c r="I867" s="305" t="s">
        <v>614</v>
      </c>
      <c r="J867" s="305"/>
      <c r="K867" s="305"/>
    </row>
    <row r="868" spans="1:11" s="324" customFormat="1" x14ac:dyDescent="0.25">
      <c r="A868" s="317" t="str">
        <f t="shared" si="17"/>
        <v>Air Sealing w/ Attic Insulation_0_SF_</v>
      </c>
      <c r="B868" s="317" t="str">
        <f>B867</f>
        <v>Air Sealing w/ Attic Insulation</v>
      </c>
      <c r="C868" s="317">
        <f>C867</f>
        <v>0</v>
      </c>
      <c r="D868" s="317" t="str">
        <f>D867</f>
        <v>SF</v>
      </c>
      <c r="E868" s="320"/>
      <c r="F868" s="320"/>
      <c r="G868" s="329"/>
      <c r="H868" s="320"/>
      <c r="I868" s="320"/>
      <c r="J868" s="320"/>
      <c r="K868" s="320"/>
    </row>
    <row r="869" spans="1:11" s="330" customFormat="1" x14ac:dyDescent="0.25">
      <c r="A869" s="302" t="str">
        <f t="shared" si="17"/>
        <v>Air Sealing w/ Attic Insulation_0_IE SF_CFM50_existing</v>
      </c>
      <c r="B869" s="303" t="s">
        <v>890</v>
      </c>
      <c r="C869" s="304">
        <v>0</v>
      </c>
      <c r="D869" s="303" t="s">
        <v>581</v>
      </c>
      <c r="E869" s="305" t="s">
        <v>481</v>
      </c>
      <c r="F869" s="309"/>
      <c r="G869" s="307">
        <v>1</v>
      </c>
      <c r="H869" s="305" t="s">
        <v>880</v>
      </c>
      <c r="I869" s="305" t="s">
        <v>152</v>
      </c>
      <c r="J869" s="305" t="s">
        <v>106</v>
      </c>
      <c r="K869" s="305" t="s">
        <v>2058</v>
      </c>
    </row>
    <row r="870" spans="1:11" s="330" customFormat="1" x14ac:dyDescent="0.25">
      <c r="A870" s="302" t="str">
        <f t="shared" si="17"/>
        <v>Air Sealing w/ Attic Insulation_0_IE SF_CFM50_new</v>
      </c>
      <c r="B870" s="303" t="s">
        <v>890</v>
      </c>
      <c r="C870" s="304">
        <v>0</v>
      </c>
      <c r="D870" s="303" t="s">
        <v>581</v>
      </c>
      <c r="E870" s="305" t="s">
        <v>482</v>
      </c>
      <c r="F870" s="309"/>
      <c r="G870" s="307">
        <v>0</v>
      </c>
      <c r="H870" s="305" t="s">
        <v>880</v>
      </c>
      <c r="I870" s="305" t="s">
        <v>152</v>
      </c>
      <c r="J870" s="305" t="s">
        <v>106</v>
      </c>
      <c r="K870" s="305" t="s">
        <v>2058</v>
      </c>
    </row>
    <row r="871" spans="1:11" s="330" customFormat="1" x14ac:dyDescent="0.25">
      <c r="A871" s="302" t="str">
        <f t="shared" si="17"/>
        <v>Air Sealing w/ Attic Insulation_0_IE SF_Conversion</v>
      </c>
      <c r="B871" s="303" t="s">
        <v>890</v>
      </c>
      <c r="C871" s="304">
        <v>0</v>
      </c>
      <c r="D871" s="303" t="s">
        <v>581</v>
      </c>
      <c r="E871" s="305" t="s">
        <v>284</v>
      </c>
      <c r="F871" s="309" t="s">
        <v>882</v>
      </c>
      <c r="G871" s="354">
        <v>60</v>
      </c>
      <c r="H871" s="305"/>
      <c r="I871" s="305" t="s">
        <v>152</v>
      </c>
      <c r="J871" s="305" t="s">
        <v>106</v>
      </c>
      <c r="K871" s="305" t="s">
        <v>2058</v>
      </c>
    </row>
    <row r="872" spans="1:11" s="330" customFormat="1" x14ac:dyDescent="0.25">
      <c r="A872" s="302" t="str">
        <f t="shared" si="17"/>
        <v>Air Sealing w/ Attic Insulation_0_IE SF_Conversion</v>
      </c>
      <c r="B872" s="303" t="s">
        <v>890</v>
      </c>
      <c r="C872" s="304">
        <v>0</v>
      </c>
      <c r="D872" s="303" t="s">
        <v>581</v>
      </c>
      <c r="E872" s="305" t="s">
        <v>284</v>
      </c>
      <c r="F872" s="309" t="s">
        <v>618</v>
      </c>
      <c r="G872" s="325">
        <v>24</v>
      </c>
      <c r="H872" s="305"/>
      <c r="I872" s="305" t="s">
        <v>152</v>
      </c>
      <c r="J872" s="305" t="s">
        <v>106</v>
      </c>
      <c r="K872" s="305" t="s">
        <v>2058</v>
      </c>
    </row>
    <row r="873" spans="1:11" s="330" customFormat="1" x14ac:dyDescent="0.25">
      <c r="A873" s="302" t="str">
        <f t="shared" si="17"/>
        <v>Air Sealing w/ Attic Insulation_0_IE SF_Specific Heat Capacity of Air</v>
      </c>
      <c r="B873" s="303" t="s">
        <v>890</v>
      </c>
      <c r="C873" s="304">
        <v>0</v>
      </c>
      <c r="D873" s="303" t="s">
        <v>581</v>
      </c>
      <c r="E873" s="305" t="s">
        <v>883</v>
      </c>
      <c r="F873" s="309" t="s">
        <v>884</v>
      </c>
      <c r="G873" s="307">
        <v>1.7999999999999999E-2</v>
      </c>
      <c r="H873" s="305"/>
      <c r="I873" s="305" t="s">
        <v>152</v>
      </c>
      <c r="J873" s="305" t="s">
        <v>106</v>
      </c>
      <c r="K873" s="305" t="s">
        <v>2058</v>
      </c>
    </row>
    <row r="874" spans="1:11" s="330" customFormat="1" x14ac:dyDescent="0.25">
      <c r="A874" s="302" t="str">
        <f t="shared" si="17"/>
        <v>Air Sealing w/ Attic Insulation_0_IE SF_ADJ</v>
      </c>
      <c r="B874" s="303" t="s">
        <v>890</v>
      </c>
      <c r="C874" s="304">
        <v>0</v>
      </c>
      <c r="D874" s="303" t="s">
        <v>581</v>
      </c>
      <c r="E874" s="311" t="s">
        <v>885</v>
      </c>
      <c r="F874" s="334" t="s">
        <v>891</v>
      </c>
      <c r="G874" s="334">
        <v>0.76</v>
      </c>
      <c r="H874" s="311" t="s">
        <v>892</v>
      </c>
      <c r="I874" s="305" t="s">
        <v>152</v>
      </c>
      <c r="J874" s="305" t="s">
        <v>106</v>
      </c>
      <c r="K874" s="305" t="s">
        <v>2058</v>
      </c>
    </row>
    <row r="875" spans="1:11" s="330" customFormat="1" x14ac:dyDescent="0.25">
      <c r="A875" s="302" t="str">
        <f t="shared" si="17"/>
        <v>Air Sealing w/ Attic Insulation_0_IE SF_Nheat</v>
      </c>
      <c r="B875" s="303" t="s">
        <v>890</v>
      </c>
      <c r="C875" s="304">
        <v>0</v>
      </c>
      <c r="D875" s="303" t="s">
        <v>581</v>
      </c>
      <c r="E875" s="305" t="s">
        <v>887</v>
      </c>
      <c r="F875" s="309"/>
      <c r="G875" s="307">
        <v>21.1</v>
      </c>
      <c r="H875" s="305" t="s">
        <v>888</v>
      </c>
      <c r="I875" s="305" t="s">
        <v>152</v>
      </c>
      <c r="J875" s="305" t="s">
        <v>106</v>
      </c>
      <c r="K875" s="305" t="s">
        <v>2058</v>
      </c>
    </row>
    <row r="876" spans="1:11" s="330" customFormat="1" x14ac:dyDescent="0.25">
      <c r="A876" s="302" t="str">
        <f t="shared" si="17"/>
        <v>Air Sealing w/ Attic Insulation_0_IE SF_HDD</v>
      </c>
      <c r="B876" s="303" t="s">
        <v>890</v>
      </c>
      <c r="C876" s="304">
        <v>0</v>
      </c>
      <c r="D876" s="303" t="s">
        <v>581</v>
      </c>
      <c r="E876" s="311" t="s">
        <v>487</v>
      </c>
      <c r="F876" s="334"/>
      <c r="G876" s="337">
        <v>4798</v>
      </c>
      <c r="H876" s="311" t="s">
        <v>636</v>
      </c>
      <c r="I876" s="305" t="s">
        <v>152</v>
      </c>
      <c r="J876" s="305" t="s">
        <v>106</v>
      </c>
      <c r="K876" s="305" t="s">
        <v>2058</v>
      </c>
    </row>
    <row r="877" spans="1:11" s="330" customFormat="1" x14ac:dyDescent="0.25">
      <c r="A877" s="302" t="str">
        <f t="shared" si="17"/>
        <v>Air Sealing w/ Attic Insulation_0_IE SF_ηHeat - gas</v>
      </c>
      <c r="B877" s="303" t="s">
        <v>890</v>
      </c>
      <c r="C877" s="304">
        <v>0</v>
      </c>
      <c r="D877" s="303" t="s">
        <v>581</v>
      </c>
      <c r="E877" s="305" t="s">
        <v>620</v>
      </c>
      <c r="F877" s="309" t="s">
        <v>539</v>
      </c>
      <c r="G877" s="307">
        <v>0.72</v>
      </c>
      <c r="H877" s="305" t="s">
        <v>639</v>
      </c>
      <c r="I877" s="305" t="s">
        <v>152</v>
      </c>
      <c r="J877" s="305" t="s">
        <v>106</v>
      </c>
      <c r="K877" s="305" t="s">
        <v>2058</v>
      </c>
    </row>
    <row r="878" spans="1:11" x14ac:dyDescent="0.25">
      <c r="A878" s="302" t="str">
        <f t="shared" si="17"/>
        <v>Air Sealing w/ Attic Insulation_0_IE SF_ηHeat - gas- MLA</v>
      </c>
      <c r="B878" s="303" t="s">
        <v>890</v>
      </c>
      <c r="C878" s="304">
        <v>0</v>
      </c>
      <c r="D878" s="303" t="s">
        <v>581</v>
      </c>
      <c r="E878" s="305" t="s">
        <v>621</v>
      </c>
      <c r="F878" s="309" t="s">
        <v>539</v>
      </c>
      <c r="G878" s="334">
        <v>0.68</v>
      </c>
      <c r="H878" s="311" t="s">
        <v>1924</v>
      </c>
      <c r="I878" s="305" t="s">
        <v>152</v>
      </c>
      <c r="J878" s="305" t="s">
        <v>106</v>
      </c>
      <c r="K878" s="305" t="s">
        <v>2058</v>
      </c>
    </row>
    <row r="879" spans="1:11" s="330" customFormat="1" x14ac:dyDescent="0.25">
      <c r="A879" s="302" t="str">
        <f t="shared" si="17"/>
        <v>Air Sealing w/ Attic Insulation_0_IE SF_Fe</v>
      </c>
      <c r="B879" s="303" t="s">
        <v>890</v>
      </c>
      <c r="C879" s="304">
        <v>0</v>
      </c>
      <c r="D879" s="303" t="s">
        <v>581</v>
      </c>
      <c r="E879" s="305" t="s">
        <v>425</v>
      </c>
      <c r="F879" s="309" t="s">
        <v>539</v>
      </c>
      <c r="G879" s="307">
        <v>3.1399999999999997E-2</v>
      </c>
      <c r="H879" s="305"/>
      <c r="I879" s="305" t="s">
        <v>152</v>
      </c>
      <c r="J879" s="305" t="s">
        <v>106</v>
      </c>
      <c r="K879" s="305" t="s">
        <v>2058</v>
      </c>
    </row>
    <row r="880" spans="1:11" s="330" customFormat="1" x14ac:dyDescent="0.25">
      <c r="A880" s="302" t="str">
        <f t="shared" si="17"/>
        <v>Air Sealing w/ Attic Insulation_0_IE SF_IEnetCorrection (with attic insulation)</v>
      </c>
      <c r="B880" s="303" t="s">
        <v>890</v>
      </c>
      <c r="C880" s="304">
        <v>0</v>
      </c>
      <c r="D880" s="303" t="s">
        <v>581</v>
      </c>
      <c r="E880" s="305" t="s">
        <v>893</v>
      </c>
      <c r="F880" s="309" t="s">
        <v>539</v>
      </c>
      <c r="G880" s="307">
        <v>1.1000000000000001</v>
      </c>
      <c r="H880" s="305" t="s">
        <v>894</v>
      </c>
      <c r="I880" s="305" t="s">
        <v>152</v>
      </c>
      <c r="J880" s="305" t="s">
        <v>106</v>
      </c>
      <c r="K880" s="305" t="s">
        <v>2058</v>
      </c>
    </row>
    <row r="881" spans="1:11" s="330" customFormat="1" x14ac:dyDescent="0.25">
      <c r="A881" s="302" t="str">
        <f t="shared" si="17"/>
        <v>Air Sealing w/ Attic Insulation_0_IE SF_Conversion</v>
      </c>
      <c r="B881" s="303" t="s">
        <v>890</v>
      </c>
      <c r="C881" s="304">
        <v>0</v>
      </c>
      <c r="D881" s="303" t="s">
        <v>581</v>
      </c>
      <c r="E881" s="305" t="s">
        <v>284</v>
      </c>
      <c r="F881" s="305" t="s">
        <v>611</v>
      </c>
      <c r="G881" s="307">
        <v>29.3</v>
      </c>
      <c r="H881" s="305"/>
      <c r="I881" s="305" t="s">
        <v>152</v>
      </c>
      <c r="J881" s="305" t="s">
        <v>106</v>
      </c>
      <c r="K881" s="305" t="s">
        <v>2058</v>
      </c>
    </row>
    <row r="882" spans="1:11" s="330" customFormat="1" x14ac:dyDescent="0.25">
      <c r="A882" s="302" t="str">
        <f>B882&amp;"_"&amp;C882&amp;"_"&amp;D882&amp;"_"&amp;E882</f>
        <v>Air Sealing w/ Attic Insulation_0_IE SF_%GasHeat</v>
      </c>
      <c r="B882" s="303" t="s">
        <v>890</v>
      </c>
      <c r="C882" s="304">
        <v>0</v>
      </c>
      <c r="D882" s="303" t="s">
        <v>581</v>
      </c>
      <c r="E882" s="311" t="s">
        <v>1919</v>
      </c>
      <c r="F882" s="334" t="s">
        <v>539</v>
      </c>
      <c r="G882" s="334">
        <v>1</v>
      </c>
      <c r="H882" s="311" t="s">
        <v>1904</v>
      </c>
      <c r="I882" s="305" t="s">
        <v>152</v>
      </c>
      <c r="J882" s="305" t="s">
        <v>106</v>
      </c>
      <c r="K882" s="305" t="s">
        <v>2058</v>
      </c>
    </row>
    <row r="883" spans="1:11" s="330" customFormat="1" x14ac:dyDescent="0.25">
      <c r="A883" s="302" t="str">
        <f t="shared" si="17"/>
        <v>Air Sealing w/ Attic Insulation_0_IE SF_kWh Saved per Unit</v>
      </c>
      <c r="B883" s="303" t="s">
        <v>890</v>
      </c>
      <c r="C883" s="304">
        <v>0</v>
      </c>
      <c r="D883" s="303" t="s">
        <v>581</v>
      </c>
      <c r="E883" s="314" t="s">
        <v>255</v>
      </c>
      <c r="F883" s="326"/>
      <c r="G883" s="326">
        <f>G885*G879*G881</f>
        <v>6.2962771266426534E-2</v>
      </c>
      <c r="H883" s="305" t="s">
        <v>880</v>
      </c>
      <c r="I883" s="305" t="s">
        <v>152</v>
      </c>
      <c r="J883" s="305" t="s">
        <v>106</v>
      </c>
      <c r="K883" s="305" t="s">
        <v>2058</v>
      </c>
    </row>
    <row r="884" spans="1:11" s="330" customFormat="1" x14ac:dyDescent="0.25">
      <c r="A884" s="302" t="str">
        <f t="shared" si="17"/>
        <v>Air Sealing w/ Attic Insulation_0_IE SF_kW Saved per Unit</v>
      </c>
      <c r="B884" s="303" t="s">
        <v>890</v>
      </c>
      <c r="C884" s="304">
        <v>0</v>
      </c>
      <c r="D884" s="303" t="s">
        <v>581</v>
      </c>
      <c r="E884" s="314" t="s">
        <v>580</v>
      </c>
      <c r="F884" s="326" t="s">
        <v>571</v>
      </c>
      <c r="G884" s="326">
        <v>0</v>
      </c>
      <c r="H884" s="305"/>
      <c r="I884" s="305" t="s">
        <v>152</v>
      </c>
      <c r="J884" s="305" t="s">
        <v>106</v>
      </c>
      <c r="K884" s="305" t="s">
        <v>2058</v>
      </c>
    </row>
    <row r="885" spans="1:11" s="330" customFormat="1" x14ac:dyDescent="0.25">
      <c r="A885" s="302" t="str">
        <f t="shared" si="17"/>
        <v>Air Sealing w/ Attic Insulation_0_IE SF_Therm Saved per Unit</v>
      </c>
      <c r="B885" s="303" t="s">
        <v>890</v>
      </c>
      <c r="C885" s="304">
        <v>0</v>
      </c>
      <c r="D885" s="303" t="s">
        <v>581</v>
      </c>
      <c r="E885" s="314" t="s">
        <v>326</v>
      </c>
      <c r="F885" s="326"/>
      <c r="G885" s="369">
        <f>(G871*G872*G876*G873)/(G877*100000*G875)*G874*G880*G882</f>
        <v>6.8436307109004738E-2</v>
      </c>
      <c r="H885" s="311" t="s">
        <v>1920</v>
      </c>
      <c r="I885" s="305" t="s">
        <v>152</v>
      </c>
      <c r="J885" s="305" t="s">
        <v>106</v>
      </c>
      <c r="K885" s="305" t="s">
        <v>2058</v>
      </c>
    </row>
    <row r="886" spans="1:11" x14ac:dyDescent="0.25">
      <c r="A886" s="302" t="str">
        <f t="shared" si="17"/>
        <v>Air Sealing w/ Attic Insulation_0_IE SF_Therm Saved per Unit- MLA</v>
      </c>
      <c r="B886" s="303" t="s">
        <v>890</v>
      </c>
      <c r="C886" s="304">
        <v>0</v>
      </c>
      <c r="D886" s="303" t="s">
        <v>581</v>
      </c>
      <c r="E886" s="314" t="s">
        <v>626</v>
      </c>
      <c r="F886" s="326"/>
      <c r="G886" s="369">
        <f>(G871*G872*G876*G873)/(G878*100000*G875)*G874*G880*(G869-G870)*G882</f>
        <v>7.2461972233063832E-2</v>
      </c>
      <c r="H886" s="311" t="s">
        <v>1921</v>
      </c>
      <c r="I886" s="305" t="s">
        <v>152</v>
      </c>
      <c r="J886" s="305" t="s">
        <v>106</v>
      </c>
      <c r="K886" s="305" t="s">
        <v>2058</v>
      </c>
    </row>
    <row r="887" spans="1:11" s="330" customFormat="1" x14ac:dyDescent="0.25">
      <c r="A887" s="302" t="str">
        <f t="shared" si="17"/>
        <v>Air Sealing w/ Attic Insulation_0_IE SF_Lifetime (years)</v>
      </c>
      <c r="B887" s="303" t="s">
        <v>890</v>
      </c>
      <c r="C887" s="304">
        <v>0</v>
      </c>
      <c r="D887" s="303" t="s">
        <v>581</v>
      </c>
      <c r="E887" s="314" t="s">
        <v>259</v>
      </c>
      <c r="F887" s="314" t="s">
        <v>548</v>
      </c>
      <c r="G887" s="315">
        <v>20</v>
      </c>
      <c r="H887" s="305"/>
      <c r="I887" s="305" t="s">
        <v>152</v>
      </c>
      <c r="J887" s="305" t="s">
        <v>106</v>
      </c>
      <c r="K887" s="305" t="s">
        <v>2058</v>
      </c>
    </row>
    <row r="888" spans="1:11" x14ac:dyDescent="0.25">
      <c r="A888" s="302" t="str">
        <f t="shared" si="17"/>
        <v>Air Sealing w/ Attic Insulation_0_IE SF_Lifetime (years) - Remaining Years</v>
      </c>
      <c r="B888" s="303" t="s">
        <v>890</v>
      </c>
      <c r="C888" s="304">
        <v>0</v>
      </c>
      <c r="D888" s="303" t="s">
        <v>581</v>
      </c>
      <c r="E888" s="314" t="s">
        <v>628</v>
      </c>
      <c r="F888" s="314" t="s">
        <v>548</v>
      </c>
      <c r="G888" s="315">
        <v>10</v>
      </c>
      <c r="H888" s="305" t="s">
        <v>889</v>
      </c>
      <c r="I888" s="305" t="s">
        <v>152</v>
      </c>
      <c r="J888" s="305" t="s">
        <v>106</v>
      </c>
      <c r="K888" s="305" t="s">
        <v>2058</v>
      </c>
    </row>
    <row r="889" spans="1:11" s="330" customFormat="1" x14ac:dyDescent="0.25">
      <c r="A889" s="302" t="str">
        <f t="shared" si="17"/>
        <v>Air Sealing w/ Attic Insulation_0_IE SF_Incremental Cost</v>
      </c>
      <c r="B889" s="303" t="s">
        <v>890</v>
      </c>
      <c r="C889" s="304">
        <v>0</v>
      </c>
      <c r="D889" s="303" t="s">
        <v>581</v>
      </c>
      <c r="E889" s="314" t="s">
        <v>260</v>
      </c>
      <c r="F889" s="314" t="s">
        <v>549</v>
      </c>
      <c r="G889" s="328">
        <v>0.45</v>
      </c>
      <c r="H889" s="305" t="s">
        <v>613</v>
      </c>
      <c r="I889" s="305" t="s">
        <v>614</v>
      </c>
      <c r="J889" s="305"/>
      <c r="K889" s="305"/>
    </row>
    <row r="890" spans="1:11" s="324" customFormat="1" x14ac:dyDescent="0.25">
      <c r="A890" s="317" t="str">
        <f t="shared" si="17"/>
        <v>Air Sealing w/ Attic Insulation_0_IE SF_</v>
      </c>
      <c r="B890" s="317" t="str">
        <f>B889</f>
        <v>Air Sealing w/ Attic Insulation</v>
      </c>
      <c r="C890" s="317">
        <f>C889</f>
        <v>0</v>
      </c>
      <c r="D890" s="317" t="str">
        <f>D889</f>
        <v>IE SF</v>
      </c>
      <c r="E890" s="320"/>
      <c r="F890" s="320"/>
      <c r="G890" s="329"/>
      <c r="H890" s="320"/>
      <c r="I890" s="320"/>
      <c r="J890" s="320"/>
      <c r="K890" s="320"/>
    </row>
    <row r="891" spans="1:11" x14ac:dyDescent="0.25">
      <c r="A891" s="302" t="str">
        <f t="shared" si="17"/>
        <v>Air Sealing_0_MF_CFM50_existing</v>
      </c>
      <c r="B891" s="303" t="s">
        <v>221</v>
      </c>
      <c r="C891" s="304">
        <v>0</v>
      </c>
      <c r="D891" s="303" t="s">
        <v>553</v>
      </c>
      <c r="E891" s="305" t="s">
        <v>481</v>
      </c>
      <c r="F891" s="309"/>
      <c r="G891" s="307">
        <v>1</v>
      </c>
      <c r="H891" s="345" t="s">
        <v>1824</v>
      </c>
      <c r="I891" s="305" t="s">
        <v>152</v>
      </c>
      <c r="J891" s="305" t="s">
        <v>106</v>
      </c>
      <c r="K891" s="305" t="s">
        <v>2058</v>
      </c>
    </row>
    <row r="892" spans="1:11" x14ac:dyDescent="0.25">
      <c r="A892" s="302" t="str">
        <f t="shared" si="17"/>
        <v>Air Sealing_0_MF_CFM50_new</v>
      </c>
      <c r="B892" s="303" t="s">
        <v>221</v>
      </c>
      <c r="C892" s="304">
        <v>0</v>
      </c>
      <c r="D892" s="303" t="s">
        <v>553</v>
      </c>
      <c r="E892" s="305" t="s">
        <v>482</v>
      </c>
      <c r="F892" s="309"/>
      <c r="G892" s="307">
        <v>0</v>
      </c>
      <c r="H892" s="345" t="s">
        <v>1824</v>
      </c>
      <c r="I892" s="305" t="s">
        <v>152</v>
      </c>
      <c r="J892" s="305" t="s">
        <v>106</v>
      </c>
      <c r="K892" s="305" t="s">
        <v>2058</v>
      </c>
    </row>
    <row r="893" spans="1:11" x14ac:dyDescent="0.25">
      <c r="A893" s="302" t="str">
        <f t="shared" si="17"/>
        <v>Air Sealing_0_MF_Conversion</v>
      </c>
      <c r="B893" s="303" t="s">
        <v>221</v>
      </c>
      <c r="C893" s="304">
        <v>0</v>
      </c>
      <c r="D893" s="303" t="s">
        <v>553</v>
      </c>
      <c r="E893" s="305" t="s">
        <v>284</v>
      </c>
      <c r="F893" s="309" t="s">
        <v>882</v>
      </c>
      <c r="G893" s="354">
        <v>60</v>
      </c>
      <c r="H893" s="305"/>
      <c r="I893" s="305" t="s">
        <v>152</v>
      </c>
      <c r="J893" s="305" t="s">
        <v>106</v>
      </c>
      <c r="K893" s="305" t="s">
        <v>2058</v>
      </c>
    </row>
    <row r="894" spans="1:11" x14ac:dyDescent="0.25">
      <c r="A894" s="302" t="str">
        <f t="shared" si="17"/>
        <v>Air Sealing_0_MF_Conversion</v>
      </c>
      <c r="B894" s="303" t="s">
        <v>221</v>
      </c>
      <c r="C894" s="304">
        <v>0</v>
      </c>
      <c r="D894" s="303" t="s">
        <v>553</v>
      </c>
      <c r="E894" s="305" t="s">
        <v>284</v>
      </c>
      <c r="F894" s="309" t="s">
        <v>618</v>
      </c>
      <c r="G894" s="325">
        <v>24</v>
      </c>
      <c r="H894" s="305"/>
      <c r="I894" s="305" t="s">
        <v>152</v>
      </c>
      <c r="J894" s="305" t="s">
        <v>106</v>
      </c>
      <c r="K894" s="305" t="s">
        <v>2058</v>
      </c>
    </row>
    <row r="895" spans="1:11" x14ac:dyDescent="0.25">
      <c r="A895" s="302" t="str">
        <f t="shared" si="17"/>
        <v>Air Sealing_0_MF_Specific Heat Capacity of Air</v>
      </c>
      <c r="B895" s="303" t="s">
        <v>221</v>
      </c>
      <c r="C895" s="304">
        <v>0</v>
      </c>
      <c r="D895" s="303" t="s">
        <v>553</v>
      </c>
      <c r="E895" s="305" t="s">
        <v>883</v>
      </c>
      <c r="F895" s="309" t="s">
        <v>884</v>
      </c>
      <c r="G895" s="307">
        <v>1.7999999999999999E-2</v>
      </c>
      <c r="H895" s="305"/>
      <c r="I895" s="305" t="s">
        <v>152</v>
      </c>
      <c r="J895" s="305" t="s">
        <v>106</v>
      </c>
      <c r="K895" s="305" t="s">
        <v>2058</v>
      </c>
    </row>
    <row r="896" spans="1:11" x14ac:dyDescent="0.25">
      <c r="A896" s="302" t="str">
        <f t="shared" si="17"/>
        <v>Air Sealing_0_MF_ADJ</v>
      </c>
      <c r="B896" s="303" t="s">
        <v>221</v>
      </c>
      <c r="C896" s="304">
        <v>0</v>
      </c>
      <c r="D896" s="303" t="s">
        <v>553</v>
      </c>
      <c r="E896" s="305" t="s">
        <v>885</v>
      </c>
      <c r="F896" s="309"/>
      <c r="G896" s="307">
        <v>1</v>
      </c>
      <c r="H896" s="305" t="s">
        <v>886</v>
      </c>
      <c r="I896" s="305" t="s">
        <v>152</v>
      </c>
      <c r="J896" s="305" t="s">
        <v>106</v>
      </c>
      <c r="K896" s="305" t="s">
        <v>2058</v>
      </c>
    </row>
    <row r="897" spans="1:11" x14ac:dyDescent="0.25">
      <c r="A897" s="302" t="str">
        <f t="shared" si="17"/>
        <v>Air Sealing_0_MF_Nheat</v>
      </c>
      <c r="B897" s="303" t="s">
        <v>221</v>
      </c>
      <c r="C897" s="304">
        <v>0</v>
      </c>
      <c r="D897" s="303" t="s">
        <v>553</v>
      </c>
      <c r="E897" s="305" t="s">
        <v>887</v>
      </c>
      <c r="F897" s="309"/>
      <c r="G897" s="307">
        <v>21.1</v>
      </c>
      <c r="H897" s="305" t="s">
        <v>888</v>
      </c>
      <c r="I897" s="305" t="s">
        <v>152</v>
      </c>
      <c r="J897" s="305" t="s">
        <v>106</v>
      </c>
      <c r="K897" s="305" t="s">
        <v>2058</v>
      </c>
    </row>
    <row r="898" spans="1:11" x14ac:dyDescent="0.25">
      <c r="A898" s="302" t="str">
        <f t="shared" si="17"/>
        <v>Air Sealing_0_MF_HDD</v>
      </c>
      <c r="B898" s="303" t="s">
        <v>221</v>
      </c>
      <c r="C898" s="304">
        <v>0</v>
      </c>
      <c r="D898" s="303" t="s">
        <v>553</v>
      </c>
      <c r="E898" s="311" t="s">
        <v>487</v>
      </c>
      <c r="F898" s="334"/>
      <c r="G898" s="337">
        <v>4798</v>
      </c>
      <c r="H898" s="311" t="s">
        <v>636</v>
      </c>
      <c r="I898" s="305" t="s">
        <v>152</v>
      </c>
      <c r="J898" s="305" t="s">
        <v>106</v>
      </c>
      <c r="K898" s="305" t="s">
        <v>2058</v>
      </c>
    </row>
    <row r="899" spans="1:11" x14ac:dyDescent="0.25">
      <c r="A899" s="302" t="str">
        <f t="shared" si="17"/>
        <v>Air Sealing_0_MF_ηHeat - gas</v>
      </c>
      <c r="B899" s="303" t="s">
        <v>221</v>
      </c>
      <c r="C899" s="304">
        <v>0</v>
      </c>
      <c r="D899" s="303" t="s">
        <v>553</v>
      </c>
      <c r="E899" s="305" t="s">
        <v>620</v>
      </c>
      <c r="F899" s="309" t="s">
        <v>539</v>
      </c>
      <c r="G899" s="307">
        <v>0.72</v>
      </c>
      <c r="H899" s="305" t="s">
        <v>639</v>
      </c>
      <c r="I899" s="305" t="s">
        <v>152</v>
      </c>
      <c r="J899" s="305" t="s">
        <v>106</v>
      </c>
      <c r="K899" s="305" t="s">
        <v>2058</v>
      </c>
    </row>
    <row r="900" spans="1:11" x14ac:dyDescent="0.25">
      <c r="A900" s="302" t="str">
        <f t="shared" si="17"/>
        <v>Air Sealing_0_MF_ηHeat - gas- MLA</v>
      </c>
      <c r="B900" s="303" t="s">
        <v>221</v>
      </c>
      <c r="C900" s="304">
        <v>0</v>
      </c>
      <c r="D900" s="303" t="s">
        <v>553</v>
      </c>
      <c r="E900" s="305" t="s">
        <v>621</v>
      </c>
      <c r="F900" s="309" t="s">
        <v>539</v>
      </c>
      <c r="G900" s="334">
        <v>0.68</v>
      </c>
      <c r="H900" s="311" t="s">
        <v>1924</v>
      </c>
      <c r="I900" s="305" t="s">
        <v>152</v>
      </c>
      <c r="J900" s="305" t="s">
        <v>106</v>
      </c>
      <c r="K900" s="305" t="s">
        <v>2058</v>
      </c>
    </row>
    <row r="901" spans="1:11" x14ac:dyDescent="0.25">
      <c r="A901" s="302" t="str">
        <f t="shared" si="17"/>
        <v>Air Sealing_0_MF_Fe</v>
      </c>
      <c r="B901" s="303" t="s">
        <v>221</v>
      </c>
      <c r="C901" s="304">
        <v>0</v>
      </c>
      <c r="D901" s="303" t="s">
        <v>553</v>
      </c>
      <c r="E901" s="305" t="s">
        <v>425</v>
      </c>
      <c r="F901" s="309" t="s">
        <v>539</v>
      </c>
      <c r="G901" s="307">
        <v>3.1399999999999997E-2</v>
      </c>
      <c r="H901" s="305"/>
      <c r="I901" s="305" t="s">
        <v>152</v>
      </c>
      <c r="J901" s="305" t="s">
        <v>106</v>
      </c>
      <c r="K901" s="305" t="s">
        <v>2058</v>
      </c>
    </row>
    <row r="902" spans="1:11" x14ac:dyDescent="0.25">
      <c r="A902" s="302" t="str">
        <f t="shared" si="17"/>
        <v>Air Sealing_0_MF_Conversion</v>
      </c>
      <c r="B902" s="303" t="s">
        <v>221</v>
      </c>
      <c r="C902" s="304">
        <v>0</v>
      </c>
      <c r="D902" s="303" t="s">
        <v>553</v>
      </c>
      <c r="E902" s="305" t="s">
        <v>284</v>
      </c>
      <c r="F902" s="305" t="s">
        <v>611</v>
      </c>
      <c r="G902" s="307">
        <v>29.3</v>
      </c>
      <c r="H902" s="305"/>
      <c r="I902" s="305" t="s">
        <v>152</v>
      </c>
      <c r="J902" s="305" t="s">
        <v>106</v>
      </c>
      <c r="K902" s="305" t="s">
        <v>2058</v>
      </c>
    </row>
    <row r="903" spans="1:11" x14ac:dyDescent="0.25">
      <c r="A903" s="302" t="str">
        <f t="shared" si="17"/>
        <v>Air Sealing_0_MF_CFM 50 reduction</v>
      </c>
      <c r="B903" s="303" t="s">
        <v>221</v>
      </c>
      <c r="C903" s="304">
        <v>0</v>
      </c>
      <c r="D903" s="303" t="s">
        <v>553</v>
      </c>
      <c r="E903" s="305" t="s">
        <v>895</v>
      </c>
      <c r="F903" s="305"/>
      <c r="G903" s="307">
        <v>500</v>
      </c>
      <c r="H903" s="311" t="s">
        <v>2623</v>
      </c>
      <c r="I903" s="305" t="s">
        <v>2629</v>
      </c>
      <c r="J903" s="305"/>
      <c r="K903" s="305"/>
    </row>
    <row r="904" spans="1:11" x14ac:dyDescent="0.25">
      <c r="A904" s="302" t="str">
        <f t="shared" ref="A904" si="19">B904&amp;"_"&amp;C904&amp;"_"&amp;D904&amp;"_"&amp;E904</f>
        <v>Air Sealing_0_MF_%GasHeat</v>
      </c>
      <c r="B904" s="303" t="s">
        <v>221</v>
      </c>
      <c r="C904" s="304">
        <v>0</v>
      </c>
      <c r="D904" s="303" t="s">
        <v>553</v>
      </c>
      <c r="E904" s="311" t="s">
        <v>1919</v>
      </c>
      <c r="F904" s="334" t="s">
        <v>539</v>
      </c>
      <c r="G904" s="334">
        <v>1</v>
      </c>
      <c r="H904" s="311" t="s">
        <v>1904</v>
      </c>
      <c r="I904" s="305" t="s">
        <v>152</v>
      </c>
      <c r="J904" s="305" t="s">
        <v>106</v>
      </c>
      <c r="K904" s="305" t="s">
        <v>2058</v>
      </c>
    </row>
    <row r="905" spans="1:11" x14ac:dyDescent="0.25">
      <c r="A905" s="302" t="str">
        <f t="shared" si="17"/>
        <v>Air Sealing_0_MF_kWh Saved per Unit</v>
      </c>
      <c r="B905" s="303" t="s">
        <v>221</v>
      </c>
      <c r="C905" s="304">
        <v>0</v>
      </c>
      <c r="D905" s="303" t="s">
        <v>553</v>
      </c>
      <c r="E905" s="314" t="s">
        <v>255</v>
      </c>
      <c r="F905" s="326" t="s">
        <v>896</v>
      </c>
      <c r="G905" s="326">
        <f>G907*G901*G902</f>
        <v>37.657159848341223</v>
      </c>
      <c r="H905" s="305"/>
      <c r="I905" s="305" t="s">
        <v>152</v>
      </c>
      <c r="J905" s="305" t="s">
        <v>106</v>
      </c>
      <c r="K905" s="305" t="s">
        <v>2058</v>
      </c>
    </row>
    <row r="906" spans="1:11" x14ac:dyDescent="0.25">
      <c r="A906" s="302" t="str">
        <f t="shared" si="17"/>
        <v>Air Sealing_0_MF_kW Saved per Unit</v>
      </c>
      <c r="B906" s="303" t="s">
        <v>221</v>
      </c>
      <c r="C906" s="304">
        <v>0</v>
      </c>
      <c r="D906" s="303" t="s">
        <v>553</v>
      </c>
      <c r="E906" s="314" t="s">
        <v>580</v>
      </c>
      <c r="F906" s="326" t="s">
        <v>571</v>
      </c>
      <c r="G906" s="326">
        <v>0</v>
      </c>
      <c r="H906" s="305"/>
      <c r="I906" s="305" t="s">
        <v>152</v>
      </c>
      <c r="J906" s="305" t="s">
        <v>106</v>
      </c>
      <c r="K906" s="305" t="s">
        <v>2058</v>
      </c>
    </row>
    <row r="907" spans="1:11" x14ac:dyDescent="0.25">
      <c r="A907" s="302" t="str">
        <f t="shared" si="17"/>
        <v>Air Sealing_0_MF_Therm Saved per Unit</v>
      </c>
      <c r="B907" s="303" t="s">
        <v>221</v>
      </c>
      <c r="C907" s="304">
        <v>0</v>
      </c>
      <c r="D907" s="303" t="s">
        <v>553</v>
      </c>
      <c r="E907" s="314" t="s">
        <v>326</v>
      </c>
      <c r="F907" s="326" t="s">
        <v>896</v>
      </c>
      <c r="G907" s="370">
        <f>(G893*G894*G898*G895)/(G899*100000*G897)*G903*G904</f>
        <v>40.930805687203787</v>
      </c>
      <c r="H907" s="311" t="s">
        <v>1922</v>
      </c>
      <c r="I907" s="305" t="s">
        <v>152</v>
      </c>
      <c r="J907" s="305" t="s">
        <v>106</v>
      </c>
      <c r="K907" s="305" t="s">
        <v>2058</v>
      </c>
    </row>
    <row r="908" spans="1:11" x14ac:dyDescent="0.25">
      <c r="A908" s="302" t="str">
        <f t="shared" si="17"/>
        <v>Air Sealing_0_MF_Therm Saved per Unit- MLA</v>
      </c>
      <c r="B908" s="303" t="s">
        <v>221</v>
      </c>
      <c r="C908" s="304">
        <v>0</v>
      </c>
      <c r="D908" s="303" t="s">
        <v>553</v>
      </c>
      <c r="E908" s="314" t="s">
        <v>626</v>
      </c>
      <c r="F908" s="326" t="s">
        <v>896</v>
      </c>
      <c r="G908" s="370">
        <f>(G893*G894*G898*G895)/(G900*100000*G897)*(G891-G892)*G903*G904</f>
        <v>43.338500139392245</v>
      </c>
      <c r="H908" s="311" t="s">
        <v>1923</v>
      </c>
      <c r="I908" s="305" t="s">
        <v>152</v>
      </c>
      <c r="J908" s="305" t="s">
        <v>106</v>
      </c>
      <c r="K908" s="305" t="s">
        <v>2058</v>
      </c>
    </row>
    <row r="909" spans="1:11" x14ac:dyDescent="0.25">
      <c r="A909" s="302" t="str">
        <f t="shared" si="17"/>
        <v>Air Sealing_0_MF_Lifetime (years)</v>
      </c>
      <c r="B909" s="303" t="s">
        <v>221</v>
      </c>
      <c r="C909" s="304">
        <v>0</v>
      </c>
      <c r="D909" s="303" t="s">
        <v>553</v>
      </c>
      <c r="E909" s="314" t="s">
        <v>259</v>
      </c>
      <c r="F909" s="314" t="s">
        <v>548</v>
      </c>
      <c r="G909" s="315">
        <v>20</v>
      </c>
      <c r="H909" s="305"/>
      <c r="I909" s="305" t="s">
        <v>152</v>
      </c>
      <c r="J909" s="305" t="s">
        <v>106</v>
      </c>
      <c r="K909" s="305" t="s">
        <v>2058</v>
      </c>
    </row>
    <row r="910" spans="1:11" x14ac:dyDescent="0.25">
      <c r="A910" s="302" t="str">
        <f t="shared" si="17"/>
        <v>Air Sealing_0_MF_Lifetime (years) - Remaining Years</v>
      </c>
      <c r="B910" s="303" t="s">
        <v>221</v>
      </c>
      <c r="C910" s="304">
        <v>0</v>
      </c>
      <c r="D910" s="303" t="s">
        <v>553</v>
      </c>
      <c r="E910" s="314" t="s">
        <v>628</v>
      </c>
      <c r="F910" s="314" t="s">
        <v>548</v>
      </c>
      <c r="G910" s="315">
        <v>10</v>
      </c>
      <c r="H910" s="305" t="s">
        <v>889</v>
      </c>
      <c r="I910" s="305" t="s">
        <v>152</v>
      </c>
      <c r="J910" s="305" t="s">
        <v>106</v>
      </c>
      <c r="K910" s="305" t="s">
        <v>2058</v>
      </c>
    </row>
    <row r="911" spans="1:11" x14ac:dyDescent="0.25">
      <c r="A911" s="302" t="str">
        <f t="shared" si="17"/>
        <v>Air Sealing_0_MF_Incremental Cost</v>
      </c>
      <c r="B911" s="303" t="s">
        <v>221</v>
      </c>
      <c r="C911" s="304">
        <v>0</v>
      </c>
      <c r="D911" s="303" t="s">
        <v>553</v>
      </c>
      <c r="E911" s="314" t="s">
        <v>260</v>
      </c>
      <c r="F911" s="314" t="s">
        <v>549</v>
      </c>
      <c r="G911" s="328">
        <f>0.45*G903</f>
        <v>225</v>
      </c>
      <c r="H911" s="305" t="s">
        <v>613</v>
      </c>
      <c r="I911" s="305" t="s">
        <v>614</v>
      </c>
      <c r="J911" s="305"/>
      <c r="K911" s="305"/>
    </row>
    <row r="912" spans="1:11" s="324" customFormat="1" x14ac:dyDescent="0.25">
      <c r="A912" s="317" t="str">
        <f t="shared" si="17"/>
        <v>Air Sealing_0_MF_</v>
      </c>
      <c r="B912" s="317" t="str">
        <f>B911</f>
        <v>Air Sealing</v>
      </c>
      <c r="C912" s="317">
        <f>C911</f>
        <v>0</v>
      </c>
      <c r="D912" s="317" t="str">
        <f>D911</f>
        <v>MF</v>
      </c>
      <c r="E912" s="320"/>
      <c r="F912" s="320"/>
      <c r="G912" s="329"/>
      <c r="H912" s="320"/>
      <c r="I912" s="320"/>
      <c r="J912" s="320"/>
      <c r="K912" s="320"/>
    </row>
    <row r="913" spans="1:11" x14ac:dyDescent="0.25">
      <c r="A913" s="302" t="str">
        <f t="shared" si="17"/>
        <v>Boiler - DHW Two-in-One_0_SF_UEF baseline</v>
      </c>
      <c r="B913" s="303" t="s">
        <v>897</v>
      </c>
      <c r="C913" s="304">
        <v>0</v>
      </c>
      <c r="D913" s="303" t="s">
        <v>409</v>
      </c>
      <c r="E913" s="311" t="s">
        <v>898</v>
      </c>
      <c r="F913" s="311"/>
      <c r="G913" s="371">
        <v>0.56299999999999994</v>
      </c>
      <c r="H913" s="311" t="s">
        <v>899</v>
      </c>
      <c r="I913" s="305" t="s">
        <v>152</v>
      </c>
      <c r="J913" s="305" t="s">
        <v>239</v>
      </c>
      <c r="K913" s="305" t="s">
        <v>2366</v>
      </c>
    </row>
    <row r="914" spans="1:11" x14ac:dyDescent="0.25">
      <c r="A914" s="302" t="str">
        <f t="shared" si="17"/>
        <v>Boiler - DHW Two-in-One_0_SF_UEF efficient</v>
      </c>
      <c r="B914" s="303" t="s">
        <v>897</v>
      </c>
      <c r="C914" s="304">
        <v>0</v>
      </c>
      <c r="D914" s="303" t="s">
        <v>409</v>
      </c>
      <c r="E914" s="311" t="s">
        <v>874</v>
      </c>
      <c r="F914" s="311"/>
      <c r="G914" s="334">
        <v>0.86</v>
      </c>
      <c r="H914" s="311" t="s">
        <v>900</v>
      </c>
      <c r="I914" s="305" t="s">
        <v>152</v>
      </c>
      <c r="J914" s="305" t="s">
        <v>239</v>
      </c>
      <c r="K914" s="305" t="s">
        <v>2366</v>
      </c>
    </row>
    <row r="915" spans="1:11" x14ac:dyDescent="0.25">
      <c r="A915" s="302" t="str">
        <f t="shared" si="17"/>
        <v>Boiler - DHW Two-in-One_0_SF_GPD</v>
      </c>
      <c r="B915" s="303" t="s">
        <v>897</v>
      </c>
      <c r="C915" s="304">
        <v>0</v>
      </c>
      <c r="D915" s="303" t="s">
        <v>409</v>
      </c>
      <c r="E915" s="305" t="s">
        <v>368</v>
      </c>
      <c r="F915" s="305" t="s">
        <v>867</v>
      </c>
      <c r="G915" s="355">
        <v>17.600000000000001</v>
      </c>
      <c r="H915" s="305" t="s">
        <v>901</v>
      </c>
      <c r="I915" s="305" t="s">
        <v>152</v>
      </c>
      <c r="J915" s="305" t="s">
        <v>239</v>
      </c>
      <c r="K915" s="305" t="s">
        <v>2366</v>
      </c>
    </row>
    <row r="916" spans="1:11" x14ac:dyDescent="0.25">
      <c r="A916" s="302" t="str">
        <f t="shared" si="17"/>
        <v>Boiler - DHW Two-in-One_0_SF_Household Factor</v>
      </c>
      <c r="B916" s="303" t="s">
        <v>897</v>
      </c>
      <c r="C916" s="304">
        <v>0</v>
      </c>
      <c r="D916" s="303" t="s">
        <v>409</v>
      </c>
      <c r="E916" s="305" t="s">
        <v>276</v>
      </c>
      <c r="F916" s="305" t="s">
        <v>537</v>
      </c>
      <c r="G916" s="307">
        <v>2.56</v>
      </c>
      <c r="H916" s="305" t="s">
        <v>902</v>
      </c>
      <c r="I916" s="305" t="s">
        <v>152</v>
      </c>
      <c r="J916" s="305" t="s">
        <v>239</v>
      </c>
      <c r="K916" s="305" t="s">
        <v>2366</v>
      </c>
    </row>
    <row r="917" spans="1:11" x14ac:dyDescent="0.25">
      <c r="A917" s="302" t="str">
        <f t="shared" ref="A917:A980" si="20">B917&amp;"_"&amp;C917&amp;"_"&amp;D917&amp;"_"&amp;E917</f>
        <v>Boiler - DHW Two-in-One_0_SF_Days per Year</v>
      </c>
      <c r="B917" s="303" t="s">
        <v>897</v>
      </c>
      <c r="C917" s="304">
        <v>0</v>
      </c>
      <c r="D917" s="303" t="s">
        <v>409</v>
      </c>
      <c r="E917" s="305" t="s">
        <v>263</v>
      </c>
      <c r="F917" s="305" t="s">
        <v>538</v>
      </c>
      <c r="G917" s="307">
        <v>365.25</v>
      </c>
      <c r="H917" s="305"/>
      <c r="I917" s="305" t="s">
        <v>152</v>
      </c>
      <c r="J917" s="305" t="s">
        <v>239</v>
      </c>
      <c r="K917" s="305" t="s">
        <v>2366</v>
      </c>
    </row>
    <row r="918" spans="1:11" x14ac:dyDescent="0.25">
      <c r="A918" s="302" t="str">
        <f t="shared" si="20"/>
        <v>Boiler - DHW Two-in-One_0_SF_yWater</v>
      </c>
      <c r="B918" s="303" t="s">
        <v>897</v>
      </c>
      <c r="C918" s="304">
        <v>0</v>
      </c>
      <c r="D918" s="303" t="s">
        <v>409</v>
      </c>
      <c r="E918" s="305" t="s">
        <v>369</v>
      </c>
      <c r="F918" s="309" t="s">
        <v>346</v>
      </c>
      <c r="G918" s="307">
        <v>8.33</v>
      </c>
      <c r="H918" s="305"/>
      <c r="I918" s="305" t="s">
        <v>152</v>
      </c>
      <c r="J918" s="305" t="s">
        <v>239</v>
      </c>
      <c r="K918" s="305" t="s">
        <v>2366</v>
      </c>
    </row>
    <row r="919" spans="1:11" x14ac:dyDescent="0.25">
      <c r="A919" s="302" t="str">
        <f t="shared" si="20"/>
        <v>Boiler - DHW Two-in-One_0_SF_Tank Temperature</v>
      </c>
      <c r="B919" s="303" t="s">
        <v>897</v>
      </c>
      <c r="C919" s="304">
        <v>0</v>
      </c>
      <c r="D919" s="303" t="s">
        <v>409</v>
      </c>
      <c r="E919" s="305" t="s">
        <v>264</v>
      </c>
      <c r="F919" s="305" t="s">
        <v>542</v>
      </c>
      <c r="G919" s="307">
        <v>125</v>
      </c>
      <c r="H919" s="305"/>
      <c r="I919" s="305" t="s">
        <v>152</v>
      </c>
      <c r="J919" s="305" t="s">
        <v>239</v>
      </c>
      <c r="K919" s="305" t="s">
        <v>2366</v>
      </c>
    </row>
    <row r="920" spans="1:11" x14ac:dyDescent="0.25">
      <c r="A920" s="302" t="str">
        <f t="shared" si="20"/>
        <v>Boiler - DHW Two-in-One_0_SF_Municipal System Water Temperature</v>
      </c>
      <c r="B920" s="303" t="s">
        <v>897</v>
      </c>
      <c r="C920" s="304">
        <v>0</v>
      </c>
      <c r="D920" s="303" t="s">
        <v>409</v>
      </c>
      <c r="E920" s="305" t="s">
        <v>903</v>
      </c>
      <c r="F920" s="305" t="s">
        <v>542</v>
      </c>
      <c r="G920" s="310">
        <v>50.7</v>
      </c>
      <c r="H920" s="311" t="s">
        <v>1916</v>
      </c>
      <c r="I920" s="305" t="s">
        <v>152</v>
      </c>
      <c r="J920" s="305" t="s">
        <v>239</v>
      </c>
      <c r="K920" s="305" t="s">
        <v>2366</v>
      </c>
    </row>
    <row r="921" spans="1:11" x14ac:dyDescent="0.25">
      <c r="A921" s="302" t="str">
        <f t="shared" si="20"/>
        <v>Boiler - DHW Two-in-One_0_SF_Heat Capacity of Water</v>
      </c>
      <c r="B921" s="303" t="s">
        <v>897</v>
      </c>
      <c r="C921" s="304">
        <v>0</v>
      </c>
      <c r="D921" s="303" t="s">
        <v>409</v>
      </c>
      <c r="E921" s="305" t="s">
        <v>266</v>
      </c>
      <c r="F921" s="305" t="s">
        <v>904</v>
      </c>
      <c r="G921" s="307">
        <v>1</v>
      </c>
      <c r="H921" s="305"/>
      <c r="I921" s="305" t="s">
        <v>152</v>
      </c>
      <c r="J921" s="305" t="s">
        <v>239</v>
      </c>
      <c r="K921" s="305" t="s">
        <v>2366</v>
      </c>
    </row>
    <row r="922" spans="1:11" x14ac:dyDescent="0.25">
      <c r="A922" s="302" t="str">
        <f t="shared" si="20"/>
        <v>Boiler - DHW Two-in-One_0_SF_Therm Saved per Unit</v>
      </c>
      <c r="B922" s="303" t="s">
        <v>897</v>
      </c>
      <c r="C922" s="304">
        <v>0</v>
      </c>
      <c r="D922" s="303" t="s">
        <v>409</v>
      </c>
      <c r="E922" s="314" t="s">
        <v>326</v>
      </c>
      <c r="F922" s="314"/>
      <c r="G922" s="315">
        <f>(1/G913-1/G914)*(G915*G916*G917*G918*(G919-G920)*G921)/100000</f>
        <v>62.477878775328861</v>
      </c>
      <c r="H922" s="305" t="s">
        <v>905</v>
      </c>
      <c r="I922" s="305" t="s">
        <v>152</v>
      </c>
      <c r="J922" s="305" t="s">
        <v>239</v>
      </c>
      <c r="K922" s="305" t="s">
        <v>2366</v>
      </c>
    </row>
    <row r="923" spans="1:11" x14ac:dyDescent="0.25">
      <c r="A923" s="302" t="str">
        <f t="shared" si="20"/>
        <v>Boiler - DHW Two-in-One_0_SF_Lifetime (years)</v>
      </c>
      <c r="B923" s="303" t="s">
        <v>897</v>
      </c>
      <c r="C923" s="304">
        <v>0</v>
      </c>
      <c r="D923" s="303" t="s">
        <v>409</v>
      </c>
      <c r="E923" s="311" t="s">
        <v>259</v>
      </c>
      <c r="F923" s="311" t="s">
        <v>548</v>
      </c>
      <c r="G923" s="310">
        <v>13.3</v>
      </c>
      <c r="H923" s="311" t="s">
        <v>2621</v>
      </c>
      <c r="I923" s="305" t="s">
        <v>152</v>
      </c>
      <c r="J923" s="305" t="s">
        <v>239</v>
      </c>
      <c r="K923" s="305" t="s">
        <v>2366</v>
      </c>
    </row>
    <row r="924" spans="1:11" x14ac:dyDescent="0.25">
      <c r="A924" s="302" t="str">
        <f t="shared" si="20"/>
        <v>Boiler - DHW Two-in-One_0_SF_Incremental Cost</v>
      </c>
      <c r="B924" s="303" t="s">
        <v>897</v>
      </c>
      <c r="C924" s="304">
        <v>0</v>
      </c>
      <c r="D924" s="303" t="s">
        <v>409</v>
      </c>
      <c r="E924" s="311" t="s">
        <v>260</v>
      </c>
      <c r="F924" s="311" t="s">
        <v>549</v>
      </c>
      <c r="G924" s="368">
        <v>828</v>
      </c>
      <c r="H924" s="311" t="s">
        <v>2622</v>
      </c>
      <c r="I924" s="305" t="s">
        <v>152</v>
      </c>
      <c r="J924" s="305" t="s">
        <v>239</v>
      </c>
      <c r="K924" s="305" t="s">
        <v>2366</v>
      </c>
    </row>
    <row r="925" spans="1:11" s="324" customFormat="1" x14ac:dyDescent="0.25">
      <c r="A925" s="317" t="str">
        <f t="shared" si="20"/>
        <v>Boiler - DHW Two-in-One_0_SF_</v>
      </c>
      <c r="B925" s="317" t="str">
        <f>B924</f>
        <v>Boiler - DHW Two-in-One</v>
      </c>
      <c r="C925" s="317">
        <f>C924</f>
        <v>0</v>
      </c>
      <c r="D925" s="317" t="str">
        <f>D924</f>
        <v>SF</v>
      </c>
      <c r="E925" s="320"/>
      <c r="F925" s="320"/>
      <c r="G925" s="329"/>
      <c r="H925" s="320"/>
      <c r="I925" s="320"/>
      <c r="J925" s="320"/>
      <c r="K925" s="320"/>
    </row>
    <row r="926" spans="1:11" x14ac:dyDescent="0.25">
      <c r="A926" s="302" t="str">
        <f t="shared" si="20"/>
        <v>Boiler Tune Up_Space Heating_MF_Capacity</v>
      </c>
      <c r="B926" s="303" t="s">
        <v>906</v>
      </c>
      <c r="C926" s="304" t="s">
        <v>907</v>
      </c>
      <c r="D926" s="303" t="s">
        <v>553</v>
      </c>
      <c r="E926" s="305" t="s">
        <v>270</v>
      </c>
      <c r="F926" s="305" t="s">
        <v>479</v>
      </c>
      <c r="G926" s="307">
        <f>200*1000</f>
        <v>200000</v>
      </c>
      <c r="H926" s="305" t="s">
        <v>908</v>
      </c>
      <c r="I926" s="305" t="s">
        <v>152</v>
      </c>
      <c r="J926" s="305" t="s">
        <v>235</v>
      </c>
      <c r="K926" s="305" t="s">
        <v>31</v>
      </c>
    </row>
    <row r="927" spans="1:11" x14ac:dyDescent="0.25">
      <c r="A927" s="302" t="str">
        <f t="shared" si="20"/>
        <v>Boiler Tune Up_Space Heating_MF_EFLH</v>
      </c>
      <c r="B927" s="303" t="s">
        <v>906</v>
      </c>
      <c r="C927" s="304" t="s">
        <v>907</v>
      </c>
      <c r="D927" s="303" t="s">
        <v>553</v>
      </c>
      <c r="E927" s="305" t="s">
        <v>321</v>
      </c>
      <c r="F927" s="305" t="s">
        <v>283</v>
      </c>
      <c r="G927" s="325">
        <f>AVERAGE(1540,1782)</f>
        <v>1661</v>
      </c>
      <c r="H927" s="305" t="s">
        <v>656</v>
      </c>
      <c r="I927" s="305" t="s">
        <v>152</v>
      </c>
      <c r="J927" s="305" t="s">
        <v>910</v>
      </c>
      <c r="K927" s="305"/>
    </row>
    <row r="928" spans="1:11" x14ac:dyDescent="0.25">
      <c r="A928" s="302" t="str">
        <f t="shared" si="20"/>
        <v>Boiler Tune Up_Space Heating_MF_Efficiency of Boiler Before Tune Up</v>
      </c>
      <c r="B928" s="303" t="s">
        <v>906</v>
      </c>
      <c r="C928" s="304" t="s">
        <v>907</v>
      </c>
      <c r="D928" s="303" t="s">
        <v>553</v>
      </c>
      <c r="E928" s="305" t="s">
        <v>911</v>
      </c>
      <c r="F928" s="305" t="s">
        <v>539</v>
      </c>
      <c r="G928" s="333">
        <v>0.81499999999999995</v>
      </c>
      <c r="H928" s="305"/>
      <c r="I928" s="305" t="s">
        <v>152</v>
      </c>
      <c r="J928" s="305" t="s">
        <v>235</v>
      </c>
      <c r="K928" s="305" t="s">
        <v>31</v>
      </c>
    </row>
    <row r="929" spans="1:11" x14ac:dyDescent="0.25">
      <c r="A929" s="302" t="str">
        <f t="shared" si="20"/>
        <v>Boiler Tune Up_Space Heating_MF_Efficiency Improvements of the Boiler Tune Up Measure</v>
      </c>
      <c r="B929" s="303" t="s">
        <v>906</v>
      </c>
      <c r="C929" s="304" t="s">
        <v>907</v>
      </c>
      <c r="D929" s="303" t="s">
        <v>553</v>
      </c>
      <c r="E929" s="305" t="s">
        <v>912</v>
      </c>
      <c r="F929" s="305" t="s">
        <v>539</v>
      </c>
      <c r="G929" s="333">
        <v>2.3E-2</v>
      </c>
      <c r="H929" s="305"/>
      <c r="I929" s="305" t="s">
        <v>152</v>
      </c>
      <c r="J929" s="305" t="s">
        <v>235</v>
      </c>
      <c r="K929" s="305" t="s">
        <v>31</v>
      </c>
    </row>
    <row r="930" spans="1:11" x14ac:dyDescent="0.25">
      <c r="A930" s="302" t="str">
        <f t="shared" si="20"/>
        <v>Boiler Tune Up_Space Heating_MF_Conversion</v>
      </c>
      <c r="B930" s="303" t="s">
        <v>906</v>
      </c>
      <c r="C930" s="304" t="s">
        <v>907</v>
      </c>
      <c r="D930" s="303" t="s">
        <v>553</v>
      </c>
      <c r="E930" s="305" t="s">
        <v>284</v>
      </c>
      <c r="F930" s="305" t="s">
        <v>622</v>
      </c>
      <c r="G930" s="325">
        <v>100000</v>
      </c>
      <c r="H930" s="305"/>
      <c r="I930" s="305" t="s">
        <v>152</v>
      </c>
      <c r="J930" s="305" t="s">
        <v>235</v>
      </c>
      <c r="K930" s="305" t="s">
        <v>31</v>
      </c>
    </row>
    <row r="931" spans="1:11" x14ac:dyDescent="0.25">
      <c r="A931" s="302" t="str">
        <f t="shared" si="20"/>
        <v>Boiler Tune Up_Space Heating_MF_Therm Saved per Unit</v>
      </c>
      <c r="B931" s="303" t="s">
        <v>906</v>
      </c>
      <c r="C931" s="304" t="s">
        <v>907</v>
      </c>
      <c r="D931" s="303" t="s">
        <v>553</v>
      </c>
      <c r="E931" s="314" t="s">
        <v>326</v>
      </c>
      <c r="F931" s="314"/>
      <c r="G931" s="315">
        <f>(G926*G927*(((G928+G929)/G928)-1))/G930/200</f>
        <v>0.46874846625766969</v>
      </c>
      <c r="H931" s="305"/>
      <c r="I931" s="305" t="s">
        <v>152</v>
      </c>
      <c r="J931" s="305" t="s">
        <v>235</v>
      </c>
      <c r="K931" s="305" t="s">
        <v>31</v>
      </c>
    </row>
    <row r="932" spans="1:11" x14ac:dyDescent="0.25">
      <c r="A932" s="302" t="str">
        <f t="shared" si="20"/>
        <v>Boiler Tune Up_Space Heating_MF_Lifetime (years)</v>
      </c>
      <c r="B932" s="303" t="s">
        <v>906</v>
      </c>
      <c r="C932" s="304" t="s">
        <v>907</v>
      </c>
      <c r="D932" s="303" t="s">
        <v>553</v>
      </c>
      <c r="E932" s="314" t="s">
        <v>259</v>
      </c>
      <c r="F932" s="314" t="s">
        <v>548</v>
      </c>
      <c r="G932" s="315">
        <v>3</v>
      </c>
      <c r="H932" s="305"/>
      <c r="I932" s="305" t="s">
        <v>152</v>
      </c>
      <c r="J932" s="305" t="s">
        <v>235</v>
      </c>
      <c r="K932" s="305" t="s">
        <v>31</v>
      </c>
    </row>
    <row r="933" spans="1:11" x14ac:dyDescent="0.25">
      <c r="A933" s="302" t="str">
        <f t="shared" si="20"/>
        <v>Boiler Tune Up_Space Heating_MF_Incremental Cost</v>
      </c>
      <c r="B933" s="303" t="s">
        <v>906</v>
      </c>
      <c r="C933" s="304" t="s">
        <v>907</v>
      </c>
      <c r="D933" s="303" t="s">
        <v>553</v>
      </c>
      <c r="E933" s="314" t="s">
        <v>260</v>
      </c>
      <c r="F933" s="314" t="s">
        <v>549</v>
      </c>
      <c r="G933" s="315">
        <v>0.83</v>
      </c>
      <c r="H933" s="305" t="s">
        <v>913</v>
      </c>
      <c r="I933" s="305" t="s">
        <v>152</v>
      </c>
      <c r="J933" s="305" t="s">
        <v>235</v>
      </c>
      <c r="K933" s="305" t="s">
        <v>31</v>
      </c>
    </row>
    <row r="934" spans="1:11" s="324" customFormat="1" x14ac:dyDescent="0.25">
      <c r="A934" s="317" t="str">
        <f t="shared" si="20"/>
        <v>Boiler Tune Up_Space Heating_MF_</v>
      </c>
      <c r="B934" s="317" t="str">
        <f>B933</f>
        <v>Boiler Tune Up</v>
      </c>
      <c r="C934" s="317" t="str">
        <f>C933</f>
        <v>Space Heating</v>
      </c>
      <c r="D934" s="317" t="str">
        <f>D933</f>
        <v>MF</v>
      </c>
      <c r="E934" s="320"/>
      <c r="F934" s="320"/>
      <c r="G934" s="329"/>
      <c r="H934" s="320"/>
      <c r="I934" s="320"/>
      <c r="J934" s="320"/>
      <c r="K934" s="320"/>
    </row>
    <row r="935" spans="1:11" ht="14.25" customHeight="1" x14ac:dyDescent="0.25">
      <c r="A935" s="302" t="str">
        <f t="shared" si="20"/>
        <v>Furnace Tune Up_Space Heating_MF_Capacity</v>
      </c>
      <c r="B935" s="303" t="s">
        <v>914</v>
      </c>
      <c r="C935" s="304" t="s">
        <v>907</v>
      </c>
      <c r="D935" s="303" t="s">
        <v>553</v>
      </c>
      <c r="E935" s="305" t="s">
        <v>270</v>
      </c>
      <c r="F935" s="305" t="s">
        <v>479</v>
      </c>
      <c r="G935" s="307">
        <f>200*1000</f>
        <v>200000</v>
      </c>
      <c r="H935" s="305" t="s">
        <v>915</v>
      </c>
      <c r="I935" s="305" t="s">
        <v>152</v>
      </c>
      <c r="J935" s="345" t="s">
        <v>1823</v>
      </c>
      <c r="K935" s="305" t="s">
        <v>1980</v>
      </c>
    </row>
    <row r="936" spans="1:11" ht="14.25" customHeight="1" x14ac:dyDescent="0.25">
      <c r="A936" s="302" t="str">
        <f t="shared" si="20"/>
        <v>Furnace Tune Up_Space Heating_MF_EFLH</v>
      </c>
      <c r="B936" s="303" t="s">
        <v>914</v>
      </c>
      <c r="C936" s="304" t="s">
        <v>907</v>
      </c>
      <c r="D936" s="303" t="s">
        <v>553</v>
      </c>
      <c r="E936" s="305" t="s">
        <v>321</v>
      </c>
      <c r="F936" s="305" t="s">
        <v>283</v>
      </c>
      <c r="G936" s="325">
        <f>AVERAGE(1540,1782)</f>
        <v>1661</v>
      </c>
      <c r="H936" s="305" t="s">
        <v>656</v>
      </c>
      <c r="I936" s="305" t="s">
        <v>152</v>
      </c>
      <c r="J936" s="305" t="s">
        <v>910</v>
      </c>
      <c r="K936" s="305"/>
    </row>
    <row r="937" spans="1:11" x14ac:dyDescent="0.25">
      <c r="A937" s="302" t="str">
        <f t="shared" si="20"/>
        <v>Furnace Tune Up_Space Heating_MF_Efficiency Before Tune Up</v>
      </c>
      <c r="B937" s="303" t="s">
        <v>914</v>
      </c>
      <c r="C937" s="304" t="s">
        <v>907</v>
      </c>
      <c r="D937" s="303" t="s">
        <v>553</v>
      </c>
      <c r="E937" s="305" t="s">
        <v>917</v>
      </c>
      <c r="F937" s="305" t="s">
        <v>539</v>
      </c>
      <c r="G937" s="333">
        <v>0.82</v>
      </c>
      <c r="H937" s="305" t="s">
        <v>918</v>
      </c>
      <c r="I937" s="305" t="s">
        <v>152</v>
      </c>
      <c r="J937" s="345" t="s">
        <v>1823</v>
      </c>
      <c r="K937" s="305" t="s">
        <v>1980</v>
      </c>
    </row>
    <row r="938" spans="1:11" x14ac:dyDescent="0.25">
      <c r="A938" s="302" t="str">
        <f t="shared" si="20"/>
        <v>Furnace Tune Up_Space Heating_MF_Efficiency Improvements of the Tune Up Measure</v>
      </c>
      <c r="B938" s="303" t="s">
        <v>914</v>
      </c>
      <c r="C938" s="304" t="s">
        <v>907</v>
      </c>
      <c r="D938" s="303" t="s">
        <v>553</v>
      </c>
      <c r="E938" s="305" t="s">
        <v>919</v>
      </c>
      <c r="F938" s="305" t="s">
        <v>539</v>
      </c>
      <c r="G938" s="333">
        <v>1.7999999999999999E-2</v>
      </c>
      <c r="H938" s="305" t="s">
        <v>918</v>
      </c>
      <c r="I938" s="305" t="s">
        <v>152</v>
      </c>
      <c r="J938" s="345" t="s">
        <v>1823</v>
      </c>
      <c r="K938" s="305" t="s">
        <v>1980</v>
      </c>
    </row>
    <row r="939" spans="1:11" x14ac:dyDescent="0.25">
      <c r="A939" s="302" t="str">
        <f t="shared" si="20"/>
        <v>Furnace Tune Up_Space Heating_MF_Conversion</v>
      </c>
      <c r="B939" s="303" t="s">
        <v>914</v>
      </c>
      <c r="C939" s="304" t="s">
        <v>907</v>
      </c>
      <c r="D939" s="303" t="s">
        <v>553</v>
      </c>
      <c r="E939" s="305" t="s">
        <v>284</v>
      </c>
      <c r="F939" s="305" t="s">
        <v>622</v>
      </c>
      <c r="G939" s="325">
        <v>100000</v>
      </c>
      <c r="H939" s="305"/>
      <c r="I939" s="305" t="s">
        <v>152</v>
      </c>
      <c r="J939" s="345" t="s">
        <v>1823</v>
      </c>
      <c r="K939" s="305" t="s">
        <v>1980</v>
      </c>
    </row>
    <row r="940" spans="1:11" x14ac:dyDescent="0.25">
      <c r="A940" s="302" t="str">
        <f t="shared" si="20"/>
        <v>Furnace Tune Up_Space Heating_MF_Fe</v>
      </c>
      <c r="B940" s="303" t="s">
        <v>914</v>
      </c>
      <c r="C940" s="304" t="s">
        <v>907</v>
      </c>
      <c r="D940" s="303" t="s">
        <v>553</v>
      </c>
      <c r="E940" s="305" t="s">
        <v>425</v>
      </c>
      <c r="F940" s="305" t="s">
        <v>539</v>
      </c>
      <c r="G940" s="333">
        <v>3.1399999999999997E-2</v>
      </c>
      <c r="H940" s="305"/>
      <c r="I940" s="305" t="s">
        <v>152</v>
      </c>
      <c r="J940" s="345" t="s">
        <v>1823</v>
      </c>
      <c r="K940" s="305" t="s">
        <v>1980</v>
      </c>
    </row>
    <row r="941" spans="1:11" x14ac:dyDescent="0.25">
      <c r="A941" s="302" t="str">
        <f t="shared" si="20"/>
        <v>Furnace Tune Up_Space Heating_MF_Conversion</v>
      </c>
      <c r="B941" s="303" t="s">
        <v>914</v>
      </c>
      <c r="C941" s="304" t="s">
        <v>907</v>
      </c>
      <c r="D941" s="303" t="s">
        <v>553</v>
      </c>
      <c r="E941" s="305" t="s">
        <v>284</v>
      </c>
      <c r="F941" s="305" t="s">
        <v>611</v>
      </c>
      <c r="G941" s="307">
        <v>29.3</v>
      </c>
      <c r="H941" s="305"/>
      <c r="I941" s="305" t="s">
        <v>152</v>
      </c>
      <c r="J941" s="345" t="s">
        <v>1823</v>
      </c>
      <c r="K941" s="305" t="s">
        <v>1980</v>
      </c>
    </row>
    <row r="942" spans="1:11" x14ac:dyDescent="0.25">
      <c r="A942" s="302" t="str">
        <f t="shared" si="20"/>
        <v>Furnace Tune Up_Space Heating_MF_kWh Saved per Unit</v>
      </c>
      <c r="B942" s="303" t="s">
        <v>914</v>
      </c>
      <c r="C942" s="304" t="s">
        <v>907</v>
      </c>
      <c r="D942" s="303" t="s">
        <v>553</v>
      </c>
      <c r="E942" s="314" t="s">
        <v>255</v>
      </c>
      <c r="F942" s="314"/>
      <c r="G942" s="336">
        <f>G943*G941*G940</f>
        <v>0.33544826780487835</v>
      </c>
      <c r="H942" s="305"/>
      <c r="I942" s="305" t="s">
        <v>152</v>
      </c>
      <c r="J942" s="345" t="s">
        <v>1823</v>
      </c>
      <c r="K942" s="305" t="s">
        <v>1980</v>
      </c>
    </row>
    <row r="943" spans="1:11" x14ac:dyDescent="0.25">
      <c r="A943" s="302" t="str">
        <f t="shared" si="20"/>
        <v>Furnace Tune Up_Space Heating_MF_Therm Saved per Unit</v>
      </c>
      <c r="B943" s="303" t="s">
        <v>914</v>
      </c>
      <c r="C943" s="304" t="s">
        <v>907</v>
      </c>
      <c r="D943" s="303" t="s">
        <v>553</v>
      </c>
      <c r="E943" s="314" t="s">
        <v>326</v>
      </c>
      <c r="F943" s="314"/>
      <c r="G943" s="336">
        <f>(G935*G936*(((G937+G938)/G937)-1))/G939/200</f>
        <v>0.36460975609756135</v>
      </c>
      <c r="H943" s="305" t="s">
        <v>920</v>
      </c>
      <c r="I943" s="305" t="s">
        <v>152</v>
      </c>
      <c r="J943" s="345" t="s">
        <v>1823</v>
      </c>
      <c r="K943" s="305" t="s">
        <v>1980</v>
      </c>
    </row>
    <row r="944" spans="1:11" x14ac:dyDescent="0.25">
      <c r="A944" s="302" t="str">
        <f t="shared" si="20"/>
        <v>Furnace Tune Up_Space Heating_MF_Lifetime (years)</v>
      </c>
      <c r="B944" s="303" t="s">
        <v>914</v>
      </c>
      <c r="C944" s="304" t="s">
        <v>907</v>
      </c>
      <c r="D944" s="303" t="s">
        <v>553</v>
      </c>
      <c r="E944" s="314" t="s">
        <v>259</v>
      </c>
      <c r="F944" s="314" t="s">
        <v>548</v>
      </c>
      <c r="G944" s="315">
        <v>3</v>
      </c>
      <c r="H944" s="305"/>
      <c r="I944" s="305" t="s">
        <v>152</v>
      </c>
      <c r="J944" s="345" t="s">
        <v>1823</v>
      </c>
      <c r="K944" s="305" t="s">
        <v>1980</v>
      </c>
    </row>
    <row r="945" spans="1:11" x14ac:dyDescent="0.25">
      <c r="A945" s="302" t="str">
        <f t="shared" si="20"/>
        <v>Furnace Tune Up_Space Heating_MF_Incremental Cost</v>
      </c>
      <c r="B945" s="303" t="s">
        <v>914</v>
      </c>
      <c r="C945" s="304" t="s">
        <v>907</v>
      </c>
      <c r="D945" s="303" t="s">
        <v>553</v>
      </c>
      <c r="E945" s="314" t="s">
        <v>260</v>
      </c>
      <c r="F945" s="314" t="s">
        <v>549</v>
      </c>
      <c r="G945" s="315">
        <f>G933</f>
        <v>0.83</v>
      </c>
      <c r="H945" s="305" t="s">
        <v>635</v>
      </c>
      <c r="I945" s="305" t="s">
        <v>152</v>
      </c>
      <c r="J945" s="345" t="s">
        <v>1823</v>
      </c>
      <c r="K945" s="305" t="s">
        <v>1980</v>
      </c>
    </row>
    <row r="946" spans="1:11" s="324" customFormat="1" x14ac:dyDescent="0.25">
      <c r="A946" s="317" t="str">
        <f t="shared" si="20"/>
        <v>Furnace Tune Up_Space Heating_MF_</v>
      </c>
      <c r="B946" s="317" t="str">
        <f>B945</f>
        <v>Furnace Tune Up</v>
      </c>
      <c r="C946" s="317" t="str">
        <f>C945</f>
        <v>Space Heating</v>
      </c>
      <c r="D946" s="317" t="str">
        <f>D945</f>
        <v>MF</v>
      </c>
      <c r="E946" s="320"/>
      <c r="F946" s="320"/>
      <c r="G946" s="329"/>
      <c r="H946" s="320"/>
      <c r="I946" s="320"/>
      <c r="J946" s="320"/>
      <c r="K946" s="320"/>
    </row>
    <row r="947" spans="1:11" x14ac:dyDescent="0.25">
      <c r="A947" s="302" t="str">
        <f t="shared" si="20"/>
        <v>Furnace Tune Up_Space Heating_SF_Capacity</v>
      </c>
      <c r="B947" s="303" t="s">
        <v>914</v>
      </c>
      <c r="C947" s="304" t="s">
        <v>907</v>
      </c>
      <c r="D947" s="303" t="s">
        <v>409</v>
      </c>
      <c r="E947" s="305" t="s">
        <v>270</v>
      </c>
      <c r="F947" s="305" t="s">
        <v>479</v>
      </c>
      <c r="G947" s="307">
        <f>G1148</f>
        <v>76000</v>
      </c>
      <c r="H947" s="305" t="s">
        <v>921</v>
      </c>
      <c r="I947" s="305" t="s">
        <v>152</v>
      </c>
      <c r="J947" s="345" t="s">
        <v>1823</v>
      </c>
      <c r="K947" s="305" t="s">
        <v>1980</v>
      </c>
    </row>
    <row r="948" spans="1:11" x14ac:dyDescent="0.25">
      <c r="A948" s="302" t="str">
        <f t="shared" si="20"/>
        <v>Furnace Tune Up_Space Heating_SF_EFLH</v>
      </c>
      <c r="B948" s="303" t="s">
        <v>914</v>
      </c>
      <c r="C948" s="304" t="s">
        <v>907</v>
      </c>
      <c r="D948" s="303" t="s">
        <v>409</v>
      </c>
      <c r="E948" s="305" t="s">
        <v>321</v>
      </c>
      <c r="F948" s="305" t="s">
        <v>283</v>
      </c>
      <c r="G948" s="325">
        <v>976</v>
      </c>
      <c r="H948" s="305" t="s">
        <v>922</v>
      </c>
      <c r="I948" s="305" t="s">
        <v>152</v>
      </c>
      <c r="J948" s="345" t="s">
        <v>1823</v>
      </c>
      <c r="K948" s="305" t="s">
        <v>1980</v>
      </c>
    </row>
    <row r="949" spans="1:11" x14ac:dyDescent="0.25">
      <c r="A949" s="302" t="str">
        <f t="shared" si="20"/>
        <v>Furnace Tune Up_Space Heating_SF_Efficiency Before Tune Up</v>
      </c>
      <c r="B949" s="303" t="s">
        <v>914</v>
      </c>
      <c r="C949" s="304" t="s">
        <v>907</v>
      </c>
      <c r="D949" s="303" t="s">
        <v>409</v>
      </c>
      <c r="E949" s="305" t="s">
        <v>917</v>
      </c>
      <c r="F949" s="305" t="s">
        <v>539</v>
      </c>
      <c r="G949" s="333">
        <v>0.85</v>
      </c>
      <c r="H949" s="305"/>
      <c r="I949" s="305"/>
      <c r="J949" s="345" t="s">
        <v>1823</v>
      </c>
      <c r="K949" s="305" t="s">
        <v>1980</v>
      </c>
    </row>
    <row r="950" spans="1:11" x14ac:dyDescent="0.25">
      <c r="A950" s="302" t="str">
        <f t="shared" si="20"/>
        <v>Furnace Tune Up_Space Heating_SF_Efficiency Improvements of the Tune Up Measure</v>
      </c>
      <c r="B950" s="303" t="s">
        <v>914</v>
      </c>
      <c r="C950" s="304" t="s">
        <v>907</v>
      </c>
      <c r="D950" s="303" t="s">
        <v>409</v>
      </c>
      <c r="E950" s="305" t="s">
        <v>919</v>
      </c>
      <c r="F950" s="305" t="s">
        <v>539</v>
      </c>
      <c r="G950" s="333">
        <v>1.7999999999999999E-2</v>
      </c>
      <c r="H950" s="305" t="s">
        <v>923</v>
      </c>
      <c r="I950" s="305"/>
      <c r="J950" s="345" t="s">
        <v>1823</v>
      </c>
      <c r="K950" s="305" t="s">
        <v>1980</v>
      </c>
    </row>
    <row r="951" spans="1:11" x14ac:dyDescent="0.25">
      <c r="A951" s="302" t="str">
        <f t="shared" si="20"/>
        <v>Furnace Tune Up_Space Heating_SF_Conversion</v>
      </c>
      <c r="B951" s="303" t="s">
        <v>914</v>
      </c>
      <c r="C951" s="304" t="s">
        <v>907</v>
      </c>
      <c r="D951" s="303" t="s">
        <v>409</v>
      </c>
      <c r="E951" s="305" t="s">
        <v>284</v>
      </c>
      <c r="F951" s="305" t="s">
        <v>622</v>
      </c>
      <c r="G951" s="325">
        <v>100000</v>
      </c>
      <c r="H951" s="305"/>
      <c r="I951" s="305" t="s">
        <v>152</v>
      </c>
      <c r="J951" s="345" t="s">
        <v>1823</v>
      </c>
      <c r="K951" s="305" t="s">
        <v>1980</v>
      </c>
    </row>
    <row r="952" spans="1:11" x14ac:dyDescent="0.25">
      <c r="A952" s="302" t="str">
        <f t="shared" si="20"/>
        <v>Furnace Tune Up_Space Heating_SF_Fe</v>
      </c>
      <c r="B952" s="303" t="s">
        <v>914</v>
      </c>
      <c r="C952" s="304" t="s">
        <v>907</v>
      </c>
      <c r="D952" s="303" t="s">
        <v>409</v>
      </c>
      <c r="E952" s="305" t="s">
        <v>425</v>
      </c>
      <c r="F952" s="305" t="s">
        <v>539</v>
      </c>
      <c r="G952" s="333">
        <v>3.1399999999999997E-2</v>
      </c>
      <c r="H952" s="305"/>
      <c r="I952" s="305" t="s">
        <v>152</v>
      </c>
      <c r="J952" s="345" t="s">
        <v>1823</v>
      </c>
      <c r="K952" s="305" t="s">
        <v>1980</v>
      </c>
    </row>
    <row r="953" spans="1:11" x14ac:dyDescent="0.25">
      <c r="A953" s="302" t="str">
        <f t="shared" si="20"/>
        <v>Furnace Tune Up_Space Heating_SF_Conversion</v>
      </c>
      <c r="B953" s="303" t="s">
        <v>914</v>
      </c>
      <c r="C953" s="304" t="s">
        <v>907</v>
      </c>
      <c r="D953" s="303" t="s">
        <v>409</v>
      </c>
      <c r="E953" s="305" t="s">
        <v>284</v>
      </c>
      <c r="F953" s="305" t="s">
        <v>611</v>
      </c>
      <c r="G953" s="307">
        <v>29.3</v>
      </c>
      <c r="H953" s="305"/>
      <c r="I953" s="305" t="s">
        <v>152</v>
      </c>
      <c r="J953" s="345" t="s">
        <v>1823</v>
      </c>
      <c r="K953" s="305" t="s">
        <v>1980</v>
      </c>
    </row>
    <row r="954" spans="1:11" x14ac:dyDescent="0.25">
      <c r="A954" s="302" t="str">
        <f t="shared" si="20"/>
        <v>Furnace Tune Up_Space Heating_SF_kWh Saved per Unit</v>
      </c>
      <c r="B954" s="303" t="s">
        <v>914</v>
      </c>
      <c r="C954" s="304" t="s">
        <v>907</v>
      </c>
      <c r="D954" s="303" t="s">
        <v>409</v>
      </c>
      <c r="E954" s="314" t="s">
        <v>255</v>
      </c>
      <c r="F954" s="314"/>
      <c r="G954" s="336">
        <f>G955*G953*G952</f>
        <v>14.451544274823569</v>
      </c>
      <c r="H954" s="305"/>
      <c r="I954" s="305" t="s">
        <v>152</v>
      </c>
      <c r="J954" s="345" t="s">
        <v>1823</v>
      </c>
      <c r="K954" s="305" t="s">
        <v>1980</v>
      </c>
    </row>
    <row r="955" spans="1:11" x14ac:dyDescent="0.25">
      <c r="A955" s="302" t="str">
        <f t="shared" si="20"/>
        <v>Furnace Tune Up_Space Heating_SF_Therm Saved per Unit</v>
      </c>
      <c r="B955" s="303" t="s">
        <v>914</v>
      </c>
      <c r="C955" s="304" t="s">
        <v>907</v>
      </c>
      <c r="D955" s="303" t="s">
        <v>409</v>
      </c>
      <c r="E955" s="314" t="s">
        <v>326</v>
      </c>
      <c r="F955" s="314"/>
      <c r="G955" s="336">
        <f>(G947*G948*(((G949+G950)/G949)-1))/G951</f>
        <v>15.707858823529454</v>
      </c>
      <c r="H955" s="305" t="s">
        <v>920</v>
      </c>
      <c r="I955" s="305" t="s">
        <v>152</v>
      </c>
      <c r="J955" s="345" t="s">
        <v>1823</v>
      </c>
      <c r="K955" s="305" t="s">
        <v>1980</v>
      </c>
    </row>
    <row r="956" spans="1:11" x14ac:dyDescent="0.25">
      <c r="A956" s="302" t="str">
        <f t="shared" si="20"/>
        <v>Furnace Tune Up_Space Heating_SF_Lifetime (years)</v>
      </c>
      <c r="B956" s="303" t="s">
        <v>914</v>
      </c>
      <c r="C956" s="304" t="s">
        <v>907</v>
      </c>
      <c r="D956" s="303" t="s">
        <v>409</v>
      </c>
      <c r="E956" s="314" t="s">
        <v>259</v>
      </c>
      <c r="F956" s="314" t="s">
        <v>548</v>
      </c>
      <c r="G956" s="315">
        <v>3</v>
      </c>
      <c r="H956" s="305"/>
      <c r="I956" s="305" t="s">
        <v>152</v>
      </c>
      <c r="J956" s="345" t="s">
        <v>1823</v>
      </c>
      <c r="K956" s="305" t="s">
        <v>1980</v>
      </c>
    </row>
    <row r="957" spans="1:11" x14ac:dyDescent="0.25">
      <c r="A957" s="302" t="str">
        <f t="shared" si="20"/>
        <v>Furnace Tune Up_Space Heating_SF_Incremental Cost</v>
      </c>
      <c r="B957" s="303" t="s">
        <v>914</v>
      </c>
      <c r="C957" s="304" t="s">
        <v>907</v>
      </c>
      <c r="D957" s="303" t="s">
        <v>409</v>
      </c>
      <c r="E957" s="314" t="s">
        <v>260</v>
      </c>
      <c r="F957" s="314" t="s">
        <v>549</v>
      </c>
      <c r="G957" s="315">
        <f>G945*(G947/1000)</f>
        <v>63.08</v>
      </c>
      <c r="H957" s="305" t="s">
        <v>517</v>
      </c>
      <c r="I957" s="305"/>
      <c r="J957" s="305"/>
      <c r="K957" s="305"/>
    </row>
    <row r="958" spans="1:11" s="324" customFormat="1" x14ac:dyDescent="0.25">
      <c r="A958" s="317" t="str">
        <f t="shared" si="20"/>
        <v>Furnace Tune Up_Space Heating_SF_</v>
      </c>
      <c r="B958" s="317" t="str">
        <f>B957</f>
        <v>Furnace Tune Up</v>
      </c>
      <c r="C958" s="317" t="str">
        <f>C957</f>
        <v>Space Heating</v>
      </c>
      <c r="D958" s="317" t="str">
        <f>D957</f>
        <v>SF</v>
      </c>
      <c r="E958" s="320"/>
      <c r="F958" s="320"/>
      <c r="G958" s="329"/>
      <c r="H958" s="320"/>
      <c r="I958" s="320"/>
      <c r="J958" s="320"/>
      <c r="K958" s="320"/>
    </row>
    <row r="959" spans="1:11" x14ac:dyDescent="0.25">
      <c r="A959" s="302" t="str">
        <f t="shared" si="20"/>
        <v>Boiler Tune Up_Process_MF_Boiler Gas Input Size</v>
      </c>
      <c r="B959" s="303" t="s">
        <v>906</v>
      </c>
      <c r="C959" s="304" t="s">
        <v>924</v>
      </c>
      <c r="D959" s="303" t="s">
        <v>553</v>
      </c>
      <c r="E959" s="305" t="s">
        <v>925</v>
      </c>
      <c r="F959" s="305" t="s">
        <v>479</v>
      </c>
      <c r="G959" s="307">
        <v>200000</v>
      </c>
      <c r="H959" s="305" t="s">
        <v>918</v>
      </c>
      <c r="I959" s="305" t="s">
        <v>152</v>
      </c>
      <c r="J959" s="305" t="s">
        <v>926</v>
      </c>
      <c r="K959" s="305" t="s">
        <v>1947</v>
      </c>
    </row>
    <row r="960" spans="1:11" x14ac:dyDescent="0.25">
      <c r="A960" s="302" t="str">
        <f t="shared" si="20"/>
        <v>Boiler Tune Up_Process_MF_UF</v>
      </c>
      <c r="B960" s="303" t="s">
        <v>906</v>
      </c>
      <c r="C960" s="304" t="s">
        <v>924</v>
      </c>
      <c r="D960" s="303" t="s">
        <v>553</v>
      </c>
      <c r="E960" s="305" t="s">
        <v>928</v>
      </c>
      <c r="F960" s="372" t="s">
        <v>539</v>
      </c>
      <c r="G960" s="373">
        <v>0.41899999999999998</v>
      </c>
      <c r="H960" s="305" t="s">
        <v>929</v>
      </c>
      <c r="I960" s="305" t="s">
        <v>152</v>
      </c>
      <c r="J960" s="305" t="s">
        <v>926</v>
      </c>
      <c r="K960" s="305" t="s">
        <v>1947</v>
      </c>
    </row>
    <row r="961" spans="1:11" x14ac:dyDescent="0.25">
      <c r="A961" s="302" t="str">
        <f t="shared" si="20"/>
        <v>Boiler Tune Up_Process_MF_Boiler Combustion Efficiency Before</v>
      </c>
      <c r="B961" s="303" t="s">
        <v>906</v>
      </c>
      <c r="C961" s="304" t="s">
        <v>924</v>
      </c>
      <c r="D961" s="303" t="s">
        <v>553</v>
      </c>
      <c r="E961" s="305" t="s">
        <v>930</v>
      </c>
      <c r="F961" s="305" t="s">
        <v>539</v>
      </c>
      <c r="G961" s="374">
        <v>0.80300000000000005</v>
      </c>
      <c r="H961" s="305"/>
      <c r="I961" s="305" t="s">
        <v>152</v>
      </c>
      <c r="J961" s="305" t="s">
        <v>926</v>
      </c>
      <c r="K961" s="305" t="s">
        <v>1947</v>
      </c>
    </row>
    <row r="962" spans="1:11" x14ac:dyDescent="0.25">
      <c r="A962" s="302" t="str">
        <f t="shared" si="20"/>
        <v>Boiler Tune Up_Process_MF_Boiler Combustion Efficiency After</v>
      </c>
      <c r="B962" s="303" t="s">
        <v>906</v>
      </c>
      <c r="C962" s="304" t="s">
        <v>924</v>
      </c>
      <c r="D962" s="303" t="s">
        <v>553</v>
      </c>
      <c r="E962" s="305" t="s">
        <v>931</v>
      </c>
      <c r="F962" s="305" t="s">
        <v>539</v>
      </c>
      <c r="G962" s="363">
        <v>0.82599999999999996</v>
      </c>
      <c r="H962" s="305"/>
      <c r="I962" s="305" t="s">
        <v>152</v>
      </c>
      <c r="J962" s="305" t="s">
        <v>926</v>
      </c>
      <c r="K962" s="305" t="s">
        <v>1947</v>
      </c>
    </row>
    <row r="963" spans="1:11" x14ac:dyDescent="0.25">
      <c r="A963" s="302" t="str">
        <f t="shared" si="20"/>
        <v>Boiler Tune Up_Process_MF_Conversion</v>
      </c>
      <c r="B963" s="303" t="s">
        <v>906</v>
      </c>
      <c r="C963" s="304" t="s">
        <v>924</v>
      </c>
      <c r="D963" s="303" t="s">
        <v>553</v>
      </c>
      <c r="E963" s="305" t="s">
        <v>284</v>
      </c>
      <c r="F963" s="305" t="s">
        <v>622</v>
      </c>
      <c r="G963" s="325">
        <v>100000</v>
      </c>
      <c r="H963" s="305"/>
      <c r="I963" s="305" t="s">
        <v>152</v>
      </c>
      <c r="J963" s="305" t="s">
        <v>926</v>
      </c>
      <c r="K963" s="305" t="s">
        <v>1947</v>
      </c>
    </row>
    <row r="964" spans="1:11" x14ac:dyDescent="0.25">
      <c r="A964" s="302" t="str">
        <f t="shared" si="20"/>
        <v>Boiler Tune Up_Process_MF_Hours per Year</v>
      </c>
      <c r="B964" s="303" t="s">
        <v>906</v>
      </c>
      <c r="C964" s="304" t="s">
        <v>924</v>
      </c>
      <c r="D964" s="303" t="s">
        <v>553</v>
      </c>
      <c r="E964" s="305" t="s">
        <v>932</v>
      </c>
      <c r="F964" s="309" t="s">
        <v>647</v>
      </c>
      <c r="G964" s="354">
        <v>8766</v>
      </c>
      <c r="H964" s="305"/>
      <c r="I964" s="305" t="s">
        <v>152</v>
      </c>
      <c r="J964" s="305" t="s">
        <v>926</v>
      </c>
      <c r="K964" s="305" t="s">
        <v>1947</v>
      </c>
    </row>
    <row r="965" spans="1:11" x14ac:dyDescent="0.25">
      <c r="A965" s="302" t="str">
        <f t="shared" si="20"/>
        <v>Boiler Tune Up_Process_MF_Therm Saved per Unit</v>
      </c>
      <c r="B965" s="303" t="s">
        <v>906</v>
      </c>
      <c r="C965" s="304" t="s">
        <v>924</v>
      </c>
      <c r="D965" s="303" t="s">
        <v>553</v>
      </c>
      <c r="E965" s="314" t="s">
        <v>326</v>
      </c>
      <c r="F965" s="314"/>
      <c r="G965" s="315">
        <f>((G959*G964*G960)/G963)*(1-(G961/G962))/200</f>
        <v>1.0227353753026578</v>
      </c>
      <c r="H965" s="305" t="s">
        <v>933</v>
      </c>
      <c r="I965" s="305" t="s">
        <v>152</v>
      </c>
      <c r="J965" s="305" t="s">
        <v>926</v>
      </c>
      <c r="K965" s="305" t="s">
        <v>1947</v>
      </c>
    </row>
    <row r="966" spans="1:11" x14ac:dyDescent="0.25">
      <c r="A966" s="302" t="str">
        <f t="shared" si="20"/>
        <v>Boiler Tune Up_Process_MF_Lifetime (years)</v>
      </c>
      <c r="B966" s="303" t="s">
        <v>906</v>
      </c>
      <c r="C966" s="304" t="s">
        <v>924</v>
      </c>
      <c r="D966" s="303" t="s">
        <v>553</v>
      </c>
      <c r="E966" s="314" t="s">
        <v>259</v>
      </c>
      <c r="F966" s="314" t="s">
        <v>548</v>
      </c>
      <c r="G966" s="375">
        <v>2</v>
      </c>
      <c r="H966" s="376"/>
      <c r="I966" s="305" t="s">
        <v>152</v>
      </c>
      <c r="J966" s="305" t="s">
        <v>926</v>
      </c>
      <c r="K966" s="305" t="s">
        <v>1947</v>
      </c>
    </row>
    <row r="967" spans="1:11" x14ac:dyDescent="0.25">
      <c r="A967" s="302" t="str">
        <f t="shared" si="20"/>
        <v>Boiler Tune Up_Process_MF_Incremental Cost</v>
      </c>
      <c r="B967" s="303" t="s">
        <v>906</v>
      </c>
      <c r="C967" s="304" t="s">
        <v>924</v>
      </c>
      <c r="D967" s="303" t="s">
        <v>553</v>
      </c>
      <c r="E967" s="314" t="s">
        <v>260</v>
      </c>
      <c r="F967" s="314" t="s">
        <v>549</v>
      </c>
      <c r="G967" s="315">
        <v>0.83</v>
      </c>
      <c r="H967" s="305" t="s">
        <v>913</v>
      </c>
      <c r="I967" s="305" t="s">
        <v>152</v>
      </c>
      <c r="J967" s="305" t="s">
        <v>926</v>
      </c>
      <c r="K967" s="305" t="s">
        <v>1947</v>
      </c>
    </row>
    <row r="968" spans="1:11" s="324" customFormat="1" x14ac:dyDescent="0.25">
      <c r="A968" s="317" t="str">
        <f t="shared" si="20"/>
        <v>Boiler Tune Up_Process_MF_</v>
      </c>
      <c r="B968" s="317" t="str">
        <f>B967</f>
        <v>Boiler Tune Up</v>
      </c>
      <c r="C968" s="332" t="str">
        <f>C967</f>
        <v>Process</v>
      </c>
      <c r="D968" s="317" t="str">
        <f>D967</f>
        <v>MF</v>
      </c>
      <c r="E968" s="320"/>
      <c r="F968" s="320"/>
      <c r="G968" s="329"/>
      <c r="H968" s="320"/>
      <c r="I968" s="320"/>
      <c r="J968" s="320"/>
      <c r="K968" s="320"/>
    </row>
    <row r="969" spans="1:11" x14ac:dyDescent="0.25">
      <c r="A969" s="302" t="str">
        <f t="shared" si="20"/>
        <v>Steam Boiler Averaging Controls_0_MF_Capacity</v>
      </c>
      <c r="B969" s="303" t="s">
        <v>934</v>
      </c>
      <c r="C969" s="304">
        <v>0</v>
      </c>
      <c r="D969" s="303" t="s">
        <v>553</v>
      </c>
      <c r="E969" s="305" t="s">
        <v>270</v>
      </c>
      <c r="F969" s="305" t="s">
        <v>479</v>
      </c>
      <c r="G969" s="307">
        <v>100000</v>
      </c>
      <c r="H969" s="305" t="s">
        <v>614</v>
      </c>
      <c r="I969" s="305" t="s">
        <v>614</v>
      </c>
      <c r="J969" s="305"/>
      <c r="K969" s="305"/>
    </row>
    <row r="970" spans="1:11" x14ac:dyDescent="0.25">
      <c r="A970" s="302" t="str">
        <f t="shared" si="20"/>
        <v>Steam Boiler Averaging Controls_0_MF_EFLH</v>
      </c>
      <c r="B970" s="303" t="s">
        <v>934</v>
      </c>
      <c r="C970" s="304">
        <v>0</v>
      </c>
      <c r="D970" s="303" t="s">
        <v>553</v>
      </c>
      <c r="E970" s="305" t="s">
        <v>321</v>
      </c>
      <c r="F970" s="305" t="s">
        <v>283</v>
      </c>
      <c r="G970" s="325">
        <f>AVERAGE(1540,1782)</f>
        <v>1661</v>
      </c>
      <c r="H970" s="305" t="s">
        <v>656</v>
      </c>
      <c r="I970" s="305" t="s">
        <v>152</v>
      </c>
      <c r="J970" s="305" t="s">
        <v>910</v>
      </c>
      <c r="K970" s="305"/>
    </row>
    <row r="971" spans="1:11" x14ac:dyDescent="0.25">
      <c r="A971" s="302" t="str">
        <f t="shared" si="20"/>
        <v>Steam Boiler Averaging Controls_0_MF_Savings factor</v>
      </c>
      <c r="B971" s="303" t="s">
        <v>934</v>
      </c>
      <c r="C971" s="304">
        <v>0</v>
      </c>
      <c r="D971" s="303" t="s">
        <v>553</v>
      </c>
      <c r="E971" s="305" t="s">
        <v>935</v>
      </c>
      <c r="F971" s="305" t="s">
        <v>539</v>
      </c>
      <c r="G971" s="373">
        <v>0.05</v>
      </c>
      <c r="H971" s="305" t="s">
        <v>633</v>
      </c>
      <c r="I971" s="305" t="s">
        <v>152</v>
      </c>
      <c r="J971" s="305" t="s">
        <v>936</v>
      </c>
      <c r="K971" s="305" t="s">
        <v>2002</v>
      </c>
    </row>
    <row r="972" spans="1:11" x14ac:dyDescent="0.25">
      <c r="A972" s="302" t="str">
        <f t="shared" si="20"/>
        <v>Steam Boiler Averaging Controls_0_MF_Conversion</v>
      </c>
      <c r="B972" s="303" t="s">
        <v>934</v>
      </c>
      <c r="C972" s="304">
        <v>0</v>
      </c>
      <c r="D972" s="303" t="s">
        <v>553</v>
      </c>
      <c r="E972" s="305" t="s">
        <v>284</v>
      </c>
      <c r="F972" s="305" t="s">
        <v>622</v>
      </c>
      <c r="G972" s="325">
        <v>100000</v>
      </c>
      <c r="H972" s="305"/>
      <c r="I972" s="305" t="s">
        <v>152</v>
      </c>
      <c r="J972" s="305" t="s">
        <v>936</v>
      </c>
      <c r="K972" s="305" t="s">
        <v>2002</v>
      </c>
    </row>
    <row r="973" spans="1:11" x14ac:dyDescent="0.25">
      <c r="A973" s="302" t="str">
        <f t="shared" si="20"/>
        <v>Steam Boiler Averaging Controls_0_MF_Therm Saved per Unit</v>
      </c>
      <c r="B973" s="303" t="s">
        <v>934</v>
      </c>
      <c r="C973" s="304">
        <v>0</v>
      </c>
      <c r="D973" s="303" t="s">
        <v>553</v>
      </c>
      <c r="E973" s="314" t="s">
        <v>326</v>
      </c>
      <c r="F973" s="314"/>
      <c r="G973" s="315">
        <f>G969*G970*G971/G972</f>
        <v>83.05</v>
      </c>
      <c r="H973" s="305"/>
      <c r="I973" s="305" t="s">
        <v>152</v>
      </c>
      <c r="J973" s="305" t="s">
        <v>936</v>
      </c>
      <c r="K973" s="305" t="s">
        <v>2002</v>
      </c>
    </row>
    <row r="974" spans="1:11" x14ac:dyDescent="0.25">
      <c r="A974" s="302" t="str">
        <f t="shared" si="20"/>
        <v>Steam Boiler Averaging Controls_0_MF_Lifetime (years)</v>
      </c>
      <c r="B974" s="303" t="s">
        <v>934</v>
      </c>
      <c r="C974" s="304">
        <v>0</v>
      </c>
      <c r="D974" s="303" t="s">
        <v>553</v>
      </c>
      <c r="E974" s="314" t="s">
        <v>259</v>
      </c>
      <c r="F974" s="314" t="s">
        <v>548</v>
      </c>
      <c r="G974" s="315">
        <v>20</v>
      </c>
      <c r="H974" s="305"/>
      <c r="I974" s="305" t="s">
        <v>152</v>
      </c>
      <c r="J974" s="305" t="s">
        <v>936</v>
      </c>
      <c r="K974" s="305" t="s">
        <v>2002</v>
      </c>
    </row>
    <row r="975" spans="1:11" x14ac:dyDescent="0.25">
      <c r="A975" s="302" t="str">
        <f t="shared" si="20"/>
        <v>Steam Boiler Averaging Controls_0_MF_Incremental Cost</v>
      </c>
      <c r="B975" s="303" t="s">
        <v>934</v>
      </c>
      <c r="C975" s="304">
        <v>0</v>
      </c>
      <c r="D975" s="303" t="s">
        <v>553</v>
      </c>
      <c r="E975" s="314" t="s">
        <v>260</v>
      </c>
      <c r="F975" s="314" t="s">
        <v>549</v>
      </c>
      <c r="G975" s="328">
        <v>500</v>
      </c>
      <c r="H975" s="305" t="s">
        <v>614</v>
      </c>
      <c r="I975" s="305" t="s">
        <v>614</v>
      </c>
      <c r="J975" s="305"/>
      <c r="K975" s="305"/>
    </row>
    <row r="976" spans="1:11" s="324" customFormat="1" x14ac:dyDescent="0.25">
      <c r="A976" s="317" t="str">
        <f t="shared" si="20"/>
        <v>Steam Boiler Averaging Controls_0_MF_</v>
      </c>
      <c r="B976" s="317" t="str">
        <f>B975</f>
        <v>Steam Boiler Averaging Controls</v>
      </c>
      <c r="C976" s="317">
        <f>C975</f>
        <v>0</v>
      </c>
      <c r="D976" s="317" t="str">
        <f>D975</f>
        <v>MF</v>
      </c>
      <c r="E976" s="320"/>
      <c r="F976" s="320"/>
      <c r="G976" s="329"/>
      <c r="H976" s="320"/>
      <c r="I976" s="320"/>
      <c r="J976" s="320"/>
      <c r="K976" s="320"/>
    </row>
    <row r="977" spans="1:11" x14ac:dyDescent="0.25">
      <c r="A977" s="302" t="str">
        <f t="shared" si="20"/>
        <v>Steam Boiler_ &gt;=1500MBH, &gt;=82% TE_MF_EFLH</v>
      </c>
      <c r="B977" s="303" t="s">
        <v>938</v>
      </c>
      <c r="C977" s="304" t="s">
        <v>939</v>
      </c>
      <c r="D977" s="303" t="s">
        <v>553</v>
      </c>
      <c r="E977" s="305" t="s">
        <v>321</v>
      </c>
      <c r="F977" s="305" t="s">
        <v>283</v>
      </c>
      <c r="G977" s="325">
        <f>AVERAGE(1540,1782)</f>
        <v>1661</v>
      </c>
      <c r="H977" s="305" t="s">
        <v>940</v>
      </c>
      <c r="I977" s="305" t="s">
        <v>152</v>
      </c>
      <c r="J977" s="305" t="s">
        <v>910</v>
      </c>
      <c r="K977" s="305"/>
    </row>
    <row r="978" spans="1:11" x14ac:dyDescent="0.25">
      <c r="A978" s="302" t="str">
        <f t="shared" si="20"/>
        <v>Steam Boiler_ &gt;=1500MBH, &gt;=82% TE_MF_Capacity</v>
      </c>
      <c r="B978" s="303" t="s">
        <v>938</v>
      </c>
      <c r="C978" s="304" t="s">
        <v>939</v>
      </c>
      <c r="D978" s="303" t="s">
        <v>553</v>
      </c>
      <c r="E978" s="305" t="s">
        <v>270</v>
      </c>
      <c r="F978" s="305" t="s">
        <v>941</v>
      </c>
      <c r="G978" s="339">
        <v>1000</v>
      </c>
      <c r="H978" s="305"/>
      <c r="I978" s="305"/>
      <c r="J978" s="305"/>
      <c r="K978" s="305"/>
    </row>
    <row r="979" spans="1:11" x14ac:dyDescent="0.25">
      <c r="A979" s="302" t="str">
        <f t="shared" si="20"/>
        <v>Steam Boiler_ &gt;=1500MBH, &gt;=82% TE_MF_Eff_base</v>
      </c>
      <c r="B979" s="303" t="s">
        <v>938</v>
      </c>
      <c r="C979" s="304" t="s">
        <v>939</v>
      </c>
      <c r="D979" s="303" t="s">
        <v>553</v>
      </c>
      <c r="E979" s="311" t="s">
        <v>372</v>
      </c>
      <c r="F979" s="311" t="s">
        <v>539</v>
      </c>
      <c r="G979" s="322">
        <v>0.81</v>
      </c>
      <c r="H979" s="311" t="s">
        <v>2556</v>
      </c>
      <c r="I979" s="305" t="s">
        <v>152</v>
      </c>
      <c r="J979" s="305" t="s">
        <v>133</v>
      </c>
      <c r="K979" s="305" t="s">
        <v>2038</v>
      </c>
    </row>
    <row r="980" spans="1:11" x14ac:dyDescent="0.25">
      <c r="A980" s="302" t="str">
        <f t="shared" si="20"/>
        <v>Steam Boiler_ &gt;=1500MBH, &gt;=82% TE_MF_Eff_ee</v>
      </c>
      <c r="B980" s="303" t="s">
        <v>938</v>
      </c>
      <c r="C980" s="304" t="s">
        <v>939</v>
      </c>
      <c r="D980" s="303" t="s">
        <v>553</v>
      </c>
      <c r="E980" s="311" t="s">
        <v>373</v>
      </c>
      <c r="F980" s="311" t="s">
        <v>539</v>
      </c>
      <c r="G980" s="322">
        <v>0.83</v>
      </c>
      <c r="H980" s="311" t="str">
        <f>H979</f>
        <v>Steam Boiler &gt; 300,000 Btu/h and &lt; 2,500,000 Btu/h</v>
      </c>
      <c r="I980" s="305" t="s">
        <v>152</v>
      </c>
      <c r="J980" s="305" t="s">
        <v>133</v>
      </c>
      <c r="K980" s="305" t="s">
        <v>2038</v>
      </c>
    </row>
    <row r="981" spans="1:11" x14ac:dyDescent="0.25">
      <c r="A981" s="302" t="str">
        <f t="shared" ref="A981:A1044" si="21">B981&amp;"_"&amp;C981&amp;"_"&amp;D981&amp;"_"&amp;E981</f>
        <v>Steam Boiler_ &gt;=1500MBH, &gt;=82% TE_MF_Conversion</v>
      </c>
      <c r="B981" s="303" t="s">
        <v>938</v>
      </c>
      <c r="C981" s="304" t="s">
        <v>939</v>
      </c>
      <c r="D981" s="303" t="s">
        <v>553</v>
      </c>
      <c r="E981" s="305" t="s">
        <v>284</v>
      </c>
      <c r="F981" s="305" t="s">
        <v>622</v>
      </c>
      <c r="G981" s="325">
        <v>100000</v>
      </c>
      <c r="H981" s="305"/>
      <c r="I981" s="305" t="s">
        <v>152</v>
      </c>
      <c r="J981" s="305" t="s">
        <v>133</v>
      </c>
      <c r="K981" s="305" t="s">
        <v>2038</v>
      </c>
    </row>
    <row r="982" spans="1:11" x14ac:dyDescent="0.25">
      <c r="A982" s="302" t="str">
        <f t="shared" si="21"/>
        <v>Steam Boiler_ &gt;=1500MBH, &gt;=82% TE_MF_Therm Saved per Unit</v>
      </c>
      <c r="B982" s="303" t="s">
        <v>938</v>
      </c>
      <c r="C982" s="304" t="s">
        <v>939</v>
      </c>
      <c r="D982" s="303" t="s">
        <v>553</v>
      </c>
      <c r="E982" s="314" t="s">
        <v>326</v>
      </c>
      <c r="F982" s="314" t="s">
        <v>943</v>
      </c>
      <c r="G982" s="315">
        <f>G977*G978*((G980-G979)/G979)/G981</f>
        <v>0.41012345679012158</v>
      </c>
      <c r="H982" s="305"/>
      <c r="I982" s="305" t="s">
        <v>152</v>
      </c>
      <c r="J982" s="305" t="s">
        <v>133</v>
      </c>
      <c r="K982" s="305" t="s">
        <v>2038</v>
      </c>
    </row>
    <row r="983" spans="1:11" x14ac:dyDescent="0.25">
      <c r="A983" s="302" t="str">
        <f t="shared" si="21"/>
        <v>Steam Boiler_ &gt;=1500MBH, &gt;=82% TE_MF_Lifetime (years)</v>
      </c>
      <c r="B983" s="303" t="s">
        <v>938</v>
      </c>
      <c r="C983" s="304" t="s">
        <v>939</v>
      </c>
      <c r="D983" s="303" t="s">
        <v>553</v>
      </c>
      <c r="E983" s="314" t="s">
        <v>259</v>
      </c>
      <c r="F983" s="314" t="s">
        <v>548</v>
      </c>
      <c r="G983" s="315">
        <v>25</v>
      </c>
      <c r="H983" s="305"/>
      <c r="I983" s="305" t="s">
        <v>152</v>
      </c>
      <c r="J983" s="305" t="s">
        <v>133</v>
      </c>
      <c r="K983" s="305" t="s">
        <v>2038</v>
      </c>
    </row>
    <row r="984" spans="1:11" x14ac:dyDescent="0.25">
      <c r="A984" s="302" t="str">
        <f t="shared" si="21"/>
        <v>Steam Boiler_ &gt;=1500MBH, &gt;=82% TE_MF_Incremental Cost</v>
      </c>
      <c r="B984" s="303" t="s">
        <v>938</v>
      </c>
      <c r="C984" s="304" t="s">
        <v>939</v>
      </c>
      <c r="D984" s="303" t="s">
        <v>553</v>
      </c>
      <c r="E984" s="314" t="s">
        <v>260</v>
      </c>
      <c r="F984" s="314" t="s">
        <v>679</v>
      </c>
      <c r="G984" s="328">
        <v>4.9000000000000004</v>
      </c>
      <c r="H984" s="305" t="s">
        <v>633</v>
      </c>
      <c r="I984" s="305" t="s">
        <v>633</v>
      </c>
      <c r="J984" s="305"/>
      <c r="K984" s="305"/>
    </row>
    <row r="985" spans="1:11" s="324" customFormat="1" x14ac:dyDescent="0.25">
      <c r="A985" s="317" t="str">
        <f t="shared" si="21"/>
        <v>Steam Boiler_ &gt;=1500MBH, &gt;=82% TE_MF_</v>
      </c>
      <c r="B985" s="317" t="str">
        <f>B984</f>
        <v>Steam Boiler</v>
      </c>
      <c r="C985" s="317" t="str">
        <f>C984</f>
        <v xml:space="preserve"> &gt;=1500MBH, &gt;=82% TE</v>
      </c>
      <c r="D985" s="317" t="str">
        <f>D984</f>
        <v>MF</v>
      </c>
      <c r="E985" s="320"/>
      <c r="F985" s="320"/>
      <c r="G985" s="329"/>
      <c r="H985" s="320"/>
      <c r="I985" s="320"/>
      <c r="J985" s="320"/>
      <c r="K985" s="320"/>
    </row>
    <row r="986" spans="1:11" x14ac:dyDescent="0.25">
      <c r="A986" s="302" t="str">
        <f t="shared" si="21"/>
        <v>Boiler_≥88% AFUE, &lt;300MBh_MF_EFLH</v>
      </c>
      <c r="B986" s="303" t="s">
        <v>944</v>
      </c>
      <c r="C986" s="304" t="s">
        <v>945</v>
      </c>
      <c r="D986" s="303" t="s">
        <v>553</v>
      </c>
      <c r="E986" s="305" t="s">
        <v>321</v>
      </c>
      <c r="F986" s="305" t="s">
        <v>283</v>
      </c>
      <c r="G986" s="325">
        <f>AVERAGE(1540,1782)</f>
        <v>1661</v>
      </c>
      <c r="H986" s="305" t="s">
        <v>656</v>
      </c>
      <c r="I986" s="305" t="s">
        <v>152</v>
      </c>
      <c r="J986" s="305" t="s">
        <v>910</v>
      </c>
      <c r="K986" s="305"/>
    </row>
    <row r="987" spans="1:11" x14ac:dyDescent="0.25">
      <c r="A987" s="302" t="str">
        <f t="shared" si="21"/>
        <v>Boiler_≥88% AFUE, &lt;300MBh_MF_Capacity</v>
      </c>
      <c r="B987" s="303" t="s">
        <v>944</v>
      </c>
      <c r="C987" s="304" t="s">
        <v>945</v>
      </c>
      <c r="D987" s="303" t="s">
        <v>553</v>
      </c>
      <c r="E987" s="305" t="s">
        <v>270</v>
      </c>
      <c r="F987" s="305" t="s">
        <v>941</v>
      </c>
      <c r="G987" s="339">
        <v>1000</v>
      </c>
      <c r="H987" s="305"/>
      <c r="I987" s="305"/>
      <c r="J987" s="305"/>
      <c r="K987" s="305"/>
    </row>
    <row r="988" spans="1:11" x14ac:dyDescent="0.25">
      <c r="A988" s="302" t="str">
        <f t="shared" si="21"/>
        <v>Boiler_≥88% AFUE, &lt;300MBh_MF_Eff_base</v>
      </c>
      <c r="B988" s="303" t="s">
        <v>944</v>
      </c>
      <c r="C988" s="304" t="s">
        <v>945</v>
      </c>
      <c r="D988" s="303" t="s">
        <v>553</v>
      </c>
      <c r="E988" s="305" t="s">
        <v>372</v>
      </c>
      <c r="F988" s="305" t="s">
        <v>539</v>
      </c>
      <c r="G988" s="308">
        <v>0.84</v>
      </c>
      <c r="H988" s="311" t="s">
        <v>2613</v>
      </c>
      <c r="I988" s="305" t="s">
        <v>152</v>
      </c>
      <c r="J988" s="305" t="s">
        <v>133</v>
      </c>
      <c r="K988" s="305" t="s">
        <v>2038</v>
      </c>
    </row>
    <row r="989" spans="1:11" x14ac:dyDescent="0.25">
      <c r="A989" s="302" t="str">
        <f t="shared" si="21"/>
        <v>Boiler_≥88% AFUE, &lt;300MBh_MF_Eff_ee</v>
      </c>
      <c r="B989" s="303" t="s">
        <v>944</v>
      </c>
      <c r="C989" s="304" t="s">
        <v>945</v>
      </c>
      <c r="D989" s="303" t="s">
        <v>553</v>
      </c>
      <c r="E989" s="305" t="s">
        <v>373</v>
      </c>
      <c r="F989" s="305" t="s">
        <v>539</v>
      </c>
      <c r="G989" s="308">
        <v>0.88</v>
      </c>
      <c r="H989" s="311" t="str">
        <f>H988</f>
        <v>Hot Water Boiler &lt; 300,000 Btu/h</v>
      </c>
      <c r="I989" s="311" t="s">
        <v>152</v>
      </c>
      <c r="J989" s="305" t="s">
        <v>133</v>
      </c>
      <c r="K989" s="305" t="s">
        <v>2038</v>
      </c>
    </row>
    <row r="990" spans="1:11" x14ac:dyDescent="0.25">
      <c r="A990" s="302" t="str">
        <f t="shared" si="21"/>
        <v>Boiler_≥88% AFUE, &lt;300MBh_MF_Conversion</v>
      </c>
      <c r="B990" s="303" t="s">
        <v>944</v>
      </c>
      <c r="C990" s="304" t="s">
        <v>945</v>
      </c>
      <c r="D990" s="303" t="s">
        <v>553</v>
      </c>
      <c r="E990" s="305" t="s">
        <v>284</v>
      </c>
      <c r="F990" s="305" t="s">
        <v>622</v>
      </c>
      <c r="G990" s="325">
        <v>100000</v>
      </c>
      <c r="H990" s="305"/>
      <c r="I990" s="305" t="s">
        <v>152</v>
      </c>
      <c r="J990" s="305" t="s">
        <v>133</v>
      </c>
      <c r="K990" s="305" t="s">
        <v>2038</v>
      </c>
    </row>
    <row r="991" spans="1:11" x14ac:dyDescent="0.25">
      <c r="A991" s="302" t="str">
        <f t="shared" si="21"/>
        <v>Boiler_≥88% AFUE, &lt;300MBh_MF_Therm Saved per Unit</v>
      </c>
      <c r="B991" s="303" t="s">
        <v>944</v>
      </c>
      <c r="C991" s="304" t="s">
        <v>945</v>
      </c>
      <c r="D991" s="303" t="s">
        <v>553</v>
      </c>
      <c r="E991" s="314" t="s">
        <v>326</v>
      </c>
      <c r="F991" s="314" t="s">
        <v>943</v>
      </c>
      <c r="G991" s="315">
        <f>G986*G987*((G989-G988)/G988)/G990</f>
        <v>0.79095238095238163</v>
      </c>
      <c r="H991" s="305"/>
      <c r="I991" s="305" t="s">
        <v>152</v>
      </c>
      <c r="J991" s="305" t="s">
        <v>133</v>
      </c>
      <c r="K991" s="305" t="s">
        <v>2038</v>
      </c>
    </row>
    <row r="992" spans="1:11" x14ac:dyDescent="0.25">
      <c r="A992" s="302" t="str">
        <f t="shared" si="21"/>
        <v>Boiler_≥88% AFUE, &lt;300MBh_MF_Lifetime (years)</v>
      </c>
      <c r="B992" s="303" t="s">
        <v>944</v>
      </c>
      <c r="C992" s="304" t="s">
        <v>945</v>
      </c>
      <c r="D992" s="303" t="s">
        <v>553</v>
      </c>
      <c r="E992" s="314" t="s">
        <v>259</v>
      </c>
      <c r="F992" s="314" t="s">
        <v>548</v>
      </c>
      <c r="G992" s="315">
        <v>25</v>
      </c>
      <c r="H992" s="305"/>
      <c r="I992" s="305" t="s">
        <v>152</v>
      </c>
      <c r="J992" s="305" t="s">
        <v>133</v>
      </c>
      <c r="K992" s="305" t="s">
        <v>2038</v>
      </c>
    </row>
    <row r="993" spans="1:11" x14ac:dyDescent="0.25">
      <c r="A993" s="302" t="str">
        <f t="shared" si="21"/>
        <v>Boiler_≥88% AFUE, &lt;300MBh_MF_Incremental Cost</v>
      </c>
      <c r="B993" s="303" t="s">
        <v>944</v>
      </c>
      <c r="C993" s="304" t="s">
        <v>945</v>
      </c>
      <c r="D993" s="303" t="s">
        <v>553</v>
      </c>
      <c r="E993" s="314" t="s">
        <v>260</v>
      </c>
      <c r="F993" s="314" t="s">
        <v>679</v>
      </c>
      <c r="G993" s="328">
        <v>4.9000000000000004</v>
      </c>
      <c r="H993" s="305" t="s">
        <v>633</v>
      </c>
      <c r="I993" s="305" t="s">
        <v>633</v>
      </c>
      <c r="J993" s="305"/>
      <c r="K993" s="305"/>
    </row>
    <row r="994" spans="1:11" s="324" customFormat="1" x14ac:dyDescent="0.25">
      <c r="A994" s="317" t="str">
        <f t="shared" si="21"/>
        <v>Boiler_≥88% AFUE, &lt;300MBh_MF_</v>
      </c>
      <c r="B994" s="317" t="str">
        <f>B993</f>
        <v>Boiler</v>
      </c>
      <c r="C994" s="317" t="str">
        <f>C993</f>
        <v>≥88% AFUE, &lt;300MBh</v>
      </c>
      <c r="D994" s="317" t="str">
        <f>D993</f>
        <v>MF</v>
      </c>
      <c r="E994" s="320"/>
      <c r="F994" s="320"/>
      <c r="G994" s="329"/>
      <c r="H994" s="320"/>
      <c r="I994" s="320"/>
      <c r="J994" s="320"/>
      <c r="K994" s="320"/>
    </row>
    <row r="995" spans="1:11" x14ac:dyDescent="0.25">
      <c r="A995" s="302" t="str">
        <f t="shared" si="21"/>
        <v>Boiler_≥88% AFUE, ≥300MBh TE_MF_EFLH</v>
      </c>
      <c r="B995" s="303" t="s">
        <v>944</v>
      </c>
      <c r="C995" s="304" t="s">
        <v>946</v>
      </c>
      <c r="D995" s="303" t="s">
        <v>553</v>
      </c>
      <c r="E995" s="305" t="s">
        <v>321</v>
      </c>
      <c r="F995" s="305" t="s">
        <v>283</v>
      </c>
      <c r="G995" s="325">
        <f>AVERAGE(1540,1782)</f>
        <v>1661</v>
      </c>
      <c r="H995" s="305" t="s">
        <v>656</v>
      </c>
      <c r="I995" s="305" t="s">
        <v>152</v>
      </c>
      <c r="J995" s="305" t="s">
        <v>910</v>
      </c>
      <c r="K995" s="305"/>
    </row>
    <row r="996" spans="1:11" x14ac:dyDescent="0.25">
      <c r="A996" s="302" t="str">
        <f t="shared" si="21"/>
        <v>Boiler_≥88% AFUE, ≥300MBh TE_MF_Capacity</v>
      </c>
      <c r="B996" s="303" t="s">
        <v>944</v>
      </c>
      <c r="C996" s="304" t="s">
        <v>946</v>
      </c>
      <c r="D996" s="303" t="s">
        <v>553</v>
      </c>
      <c r="E996" s="305" t="s">
        <v>270</v>
      </c>
      <c r="F996" s="305" t="s">
        <v>941</v>
      </c>
      <c r="G996" s="339">
        <v>1000</v>
      </c>
      <c r="H996" s="305"/>
      <c r="I996" s="305"/>
      <c r="J996" s="305"/>
      <c r="K996" s="305"/>
    </row>
    <row r="997" spans="1:11" x14ac:dyDescent="0.25">
      <c r="A997" s="302" t="str">
        <f t="shared" si="21"/>
        <v>Boiler_≥88% AFUE, ≥300MBh TE_MF_Eff_base</v>
      </c>
      <c r="B997" s="303" t="s">
        <v>944</v>
      </c>
      <c r="C997" s="304" t="s">
        <v>946</v>
      </c>
      <c r="D997" s="303" t="s">
        <v>553</v>
      </c>
      <c r="E997" s="311" t="s">
        <v>372</v>
      </c>
      <c r="F997" s="311" t="s">
        <v>539</v>
      </c>
      <c r="G997" s="322">
        <v>0.84</v>
      </c>
      <c r="H997" s="311" t="s">
        <v>2557</v>
      </c>
      <c r="I997" s="305" t="s">
        <v>152</v>
      </c>
      <c r="J997" s="305" t="s">
        <v>133</v>
      </c>
      <c r="K997" s="305" t="s">
        <v>2038</v>
      </c>
    </row>
    <row r="998" spans="1:11" x14ac:dyDescent="0.25">
      <c r="A998" s="302" t="str">
        <f t="shared" si="21"/>
        <v>Boiler_≥88% AFUE, ≥300MBh TE_MF_Eff_ee</v>
      </c>
      <c r="B998" s="303" t="s">
        <v>944</v>
      </c>
      <c r="C998" s="304" t="s">
        <v>946</v>
      </c>
      <c r="D998" s="303" t="s">
        <v>553</v>
      </c>
      <c r="E998" s="305" t="s">
        <v>373</v>
      </c>
      <c r="F998" s="305" t="s">
        <v>539</v>
      </c>
      <c r="G998" s="308">
        <v>0.88</v>
      </c>
      <c r="H998" s="311" t="str">
        <f>H997</f>
        <v>Hot Water Boiler &gt; 300,000 Btu/h and &lt; 2,500,000 Btu/h</v>
      </c>
      <c r="I998" s="311" t="s">
        <v>152</v>
      </c>
      <c r="J998" s="305" t="s">
        <v>133</v>
      </c>
      <c r="K998" s="305" t="s">
        <v>2038</v>
      </c>
    </row>
    <row r="999" spans="1:11" x14ac:dyDescent="0.25">
      <c r="A999" s="302" t="str">
        <f t="shared" si="21"/>
        <v>Boiler_≥88% AFUE, ≥300MBh TE_MF_Conversion</v>
      </c>
      <c r="B999" s="303" t="s">
        <v>944</v>
      </c>
      <c r="C999" s="304" t="s">
        <v>946</v>
      </c>
      <c r="D999" s="303" t="s">
        <v>553</v>
      </c>
      <c r="E999" s="305" t="s">
        <v>284</v>
      </c>
      <c r="F999" s="305" t="s">
        <v>622</v>
      </c>
      <c r="G999" s="325">
        <v>100000</v>
      </c>
      <c r="H999" s="305"/>
      <c r="I999" s="305" t="s">
        <v>152</v>
      </c>
      <c r="J999" s="305" t="s">
        <v>133</v>
      </c>
      <c r="K999" s="305" t="s">
        <v>2038</v>
      </c>
    </row>
    <row r="1000" spans="1:11" x14ac:dyDescent="0.25">
      <c r="A1000" s="302" t="str">
        <f t="shared" si="21"/>
        <v>Boiler_≥88% AFUE, ≥300MBh TE_MF_Therm Saved per Unit</v>
      </c>
      <c r="B1000" s="303" t="s">
        <v>944</v>
      </c>
      <c r="C1000" s="304" t="s">
        <v>946</v>
      </c>
      <c r="D1000" s="303" t="s">
        <v>553</v>
      </c>
      <c r="E1000" s="314" t="s">
        <v>326</v>
      </c>
      <c r="F1000" s="314" t="s">
        <v>943</v>
      </c>
      <c r="G1000" s="315">
        <f>G995*G996*((G998-G997)/G997)/G999</f>
        <v>0.79095238095238163</v>
      </c>
      <c r="H1000" s="305"/>
      <c r="I1000" s="305" t="s">
        <v>152</v>
      </c>
      <c r="J1000" s="305" t="s">
        <v>133</v>
      </c>
      <c r="K1000" s="305" t="s">
        <v>2038</v>
      </c>
    </row>
    <row r="1001" spans="1:11" x14ac:dyDescent="0.25">
      <c r="A1001" s="302" t="str">
        <f t="shared" si="21"/>
        <v>Boiler_≥88% AFUE, ≥300MBh TE_MF_Lifetime (years)</v>
      </c>
      <c r="B1001" s="303" t="s">
        <v>944</v>
      </c>
      <c r="C1001" s="304" t="s">
        <v>946</v>
      </c>
      <c r="D1001" s="303" t="s">
        <v>553</v>
      </c>
      <c r="E1001" s="314" t="s">
        <v>259</v>
      </c>
      <c r="F1001" s="314" t="s">
        <v>548</v>
      </c>
      <c r="G1001" s="315">
        <v>25</v>
      </c>
      <c r="H1001" s="305"/>
      <c r="I1001" s="305" t="s">
        <v>152</v>
      </c>
      <c r="J1001" s="305" t="s">
        <v>133</v>
      </c>
      <c r="K1001" s="305" t="s">
        <v>2038</v>
      </c>
    </row>
    <row r="1002" spans="1:11" x14ac:dyDescent="0.25">
      <c r="A1002" s="302" t="str">
        <f t="shared" si="21"/>
        <v>Boiler_≥88% AFUE, ≥300MBh TE_MF_Incremental Cost</v>
      </c>
      <c r="B1002" s="303" t="s">
        <v>944</v>
      </c>
      <c r="C1002" s="304" t="s">
        <v>946</v>
      </c>
      <c r="D1002" s="303" t="s">
        <v>553</v>
      </c>
      <c r="E1002" s="314" t="s">
        <v>260</v>
      </c>
      <c r="F1002" s="314" t="s">
        <v>679</v>
      </c>
      <c r="G1002" s="328">
        <v>4.9000000000000004</v>
      </c>
      <c r="H1002" s="305" t="s">
        <v>633</v>
      </c>
      <c r="I1002" s="305" t="s">
        <v>633</v>
      </c>
      <c r="J1002" s="305"/>
      <c r="K1002" s="305"/>
    </row>
    <row r="1003" spans="1:11" s="324" customFormat="1" x14ac:dyDescent="0.25">
      <c r="A1003" s="317" t="str">
        <f t="shared" si="21"/>
        <v>Boiler_≥88% AFUE, ≥300MBh TE_MF_</v>
      </c>
      <c r="B1003" s="317" t="str">
        <f>B1002</f>
        <v>Boiler</v>
      </c>
      <c r="C1003" s="317" t="str">
        <f>C1002</f>
        <v>≥88% AFUE, ≥300MBh TE</v>
      </c>
      <c r="D1003" s="317" t="str">
        <f>D1002</f>
        <v>MF</v>
      </c>
      <c r="E1003" s="320"/>
      <c r="F1003" s="320"/>
      <c r="G1003" s="329"/>
      <c r="H1003" s="320"/>
      <c r="I1003" s="320"/>
      <c r="J1003" s="320"/>
      <c r="K1003" s="320"/>
    </row>
    <row r="1004" spans="1:11" x14ac:dyDescent="0.25">
      <c r="A1004" s="302" t="str">
        <f t="shared" si="21"/>
        <v>Pipe Insulation_Hyd. Boiler Sm ≤1.25"_MF_kWh Saved per Unit</v>
      </c>
      <c r="B1004" s="303" t="s">
        <v>404</v>
      </c>
      <c r="C1004" s="377" t="s">
        <v>947</v>
      </c>
      <c r="D1004" s="303" t="s">
        <v>553</v>
      </c>
      <c r="E1004" s="314" t="s">
        <v>255</v>
      </c>
      <c r="F1004" s="314"/>
      <c r="G1004" s="315"/>
      <c r="H1004" s="305"/>
      <c r="I1004" s="305" t="s">
        <v>152</v>
      </c>
      <c r="J1004" s="305" t="s">
        <v>405</v>
      </c>
      <c r="K1004" s="305" t="s">
        <v>1961</v>
      </c>
    </row>
    <row r="1005" spans="1:11" x14ac:dyDescent="0.25">
      <c r="A1005" s="302" t="str">
        <f t="shared" si="21"/>
        <v>Pipe Insulation_Hyd. Boiler Sm ≤1.25"_MF_kW Saved per Unit</v>
      </c>
      <c r="B1005" s="303" t="s">
        <v>404</v>
      </c>
      <c r="C1005" s="377" t="s">
        <v>947</v>
      </c>
      <c r="D1005" s="303" t="s">
        <v>553</v>
      </c>
      <c r="E1005" s="314" t="s">
        <v>580</v>
      </c>
      <c r="F1005" s="326" t="s">
        <v>571</v>
      </c>
      <c r="G1005" s="315"/>
      <c r="H1005" s="305"/>
      <c r="I1005" s="305" t="s">
        <v>152</v>
      </c>
      <c r="J1005" s="305" t="s">
        <v>405</v>
      </c>
      <c r="K1005" s="305" t="s">
        <v>1961</v>
      </c>
    </row>
    <row r="1006" spans="1:11" x14ac:dyDescent="0.25">
      <c r="A1006" s="302" t="str">
        <f t="shared" si="21"/>
        <v>Pipe Insulation_Hyd. Boiler Sm ≤1.25"_MF_Therm Saved per Unit</v>
      </c>
      <c r="B1006" s="303" t="s">
        <v>404</v>
      </c>
      <c r="C1006" s="377" t="s">
        <v>947</v>
      </c>
      <c r="D1006" s="303" t="s">
        <v>553</v>
      </c>
      <c r="E1006" s="314" t="s">
        <v>326</v>
      </c>
      <c r="F1006" s="314"/>
      <c r="G1006" s="315">
        <f>'3 - Pipe Insulation'!B36</f>
        <v>2.0682348076923076</v>
      </c>
      <c r="H1006" s="305"/>
      <c r="I1006" s="305" t="s">
        <v>633</v>
      </c>
      <c r="J1006" s="305" t="s">
        <v>948</v>
      </c>
      <c r="K1006" s="305"/>
    </row>
    <row r="1007" spans="1:11" x14ac:dyDescent="0.25">
      <c r="A1007" s="302" t="str">
        <f t="shared" si="21"/>
        <v>Pipe Insulation_Hyd. Boiler Sm ≤1.25"_MF_Lifetime (years)</v>
      </c>
      <c r="B1007" s="303" t="s">
        <v>404</v>
      </c>
      <c r="C1007" s="377" t="s">
        <v>947</v>
      </c>
      <c r="D1007" s="303" t="s">
        <v>553</v>
      </c>
      <c r="E1007" s="314" t="s">
        <v>259</v>
      </c>
      <c r="F1007" s="314" t="s">
        <v>548</v>
      </c>
      <c r="G1007" s="315">
        <v>15</v>
      </c>
      <c r="H1007" s="305"/>
      <c r="I1007" s="305" t="s">
        <v>152</v>
      </c>
      <c r="J1007" s="305" t="s">
        <v>405</v>
      </c>
      <c r="K1007" s="305" t="s">
        <v>1961</v>
      </c>
    </row>
    <row r="1008" spans="1:11" x14ac:dyDescent="0.25">
      <c r="A1008" s="302" t="str">
        <f t="shared" si="21"/>
        <v>Pipe Insulation_Hyd. Boiler Sm ≤1.25"_MF_Incremental Cost</v>
      </c>
      <c r="B1008" s="303" t="s">
        <v>404</v>
      </c>
      <c r="C1008" s="377" t="s">
        <v>947</v>
      </c>
      <c r="D1008" s="303" t="s">
        <v>553</v>
      </c>
      <c r="E1008" s="314" t="s">
        <v>260</v>
      </c>
      <c r="F1008" s="314" t="s">
        <v>949</v>
      </c>
      <c r="G1008" s="328">
        <f>11.45+4.9</f>
        <v>16.350000000000001</v>
      </c>
      <c r="H1008" s="305" t="s">
        <v>950</v>
      </c>
      <c r="I1008" s="305" t="s">
        <v>152</v>
      </c>
      <c r="J1008" s="305" t="s">
        <v>405</v>
      </c>
      <c r="K1008" s="305" t="s">
        <v>1961</v>
      </c>
    </row>
    <row r="1009" spans="1:11" s="324" customFormat="1" x14ac:dyDescent="0.25">
      <c r="A1009" s="317" t="str">
        <f t="shared" si="21"/>
        <v>Pipe Insulation_Hyd. Boiler Sm ≤1.25"_MF_</v>
      </c>
      <c r="B1009" s="317" t="str">
        <f>B1008</f>
        <v>Pipe Insulation</v>
      </c>
      <c r="C1009" s="317" t="str">
        <f>C1008</f>
        <v>Hyd. Boiler Sm ≤1.25"</v>
      </c>
      <c r="D1009" s="317" t="str">
        <f>D1008</f>
        <v>MF</v>
      </c>
      <c r="E1009" s="320"/>
      <c r="F1009" s="320"/>
      <c r="G1009" s="329"/>
      <c r="H1009" s="320"/>
      <c r="I1009" s="320"/>
      <c r="J1009" s="320"/>
      <c r="K1009" s="320"/>
    </row>
    <row r="1010" spans="1:11" x14ac:dyDescent="0.25">
      <c r="A1010" s="302" t="str">
        <f t="shared" si="21"/>
        <v>Pipe Insulation_Hyd. Boiler Med 1.25-2"_MF_kWh Saved per Unit</v>
      </c>
      <c r="B1010" s="303" t="s">
        <v>404</v>
      </c>
      <c r="C1010" s="378" t="s">
        <v>951</v>
      </c>
      <c r="D1010" s="303" t="s">
        <v>553</v>
      </c>
      <c r="E1010" s="314" t="s">
        <v>255</v>
      </c>
      <c r="F1010" s="314"/>
      <c r="G1010" s="315"/>
      <c r="H1010" s="305"/>
      <c r="I1010" s="305" t="s">
        <v>152</v>
      </c>
      <c r="J1010" s="305" t="s">
        <v>405</v>
      </c>
      <c r="K1010" s="305" t="s">
        <v>1961</v>
      </c>
    </row>
    <row r="1011" spans="1:11" x14ac:dyDescent="0.25">
      <c r="A1011" s="302" t="str">
        <f t="shared" si="21"/>
        <v>Pipe Insulation_Hyd. Boiler Med 1.25-2"_MF_kW Saved per Unit</v>
      </c>
      <c r="B1011" s="303" t="s">
        <v>404</v>
      </c>
      <c r="C1011" s="378" t="s">
        <v>951</v>
      </c>
      <c r="D1011" s="303" t="s">
        <v>553</v>
      </c>
      <c r="E1011" s="314" t="s">
        <v>580</v>
      </c>
      <c r="F1011" s="326" t="s">
        <v>571</v>
      </c>
      <c r="G1011" s="315"/>
      <c r="H1011" s="305"/>
      <c r="I1011" s="305" t="s">
        <v>152</v>
      </c>
      <c r="J1011" s="305" t="s">
        <v>405</v>
      </c>
      <c r="K1011" s="305" t="s">
        <v>1961</v>
      </c>
    </row>
    <row r="1012" spans="1:11" x14ac:dyDescent="0.25">
      <c r="A1012" s="302" t="str">
        <f t="shared" si="21"/>
        <v>Pipe Insulation_Hyd. Boiler Med 1.25-2"_MF_Therm Saved per Unit</v>
      </c>
      <c r="B1012" s="303" t="s">
        <v>404</v>
      </c>
      <c r="C1012" s="378" t="s">
        <v>951</v>
      </c>
      <c r="D1012" s="303" t="s">
        <v>553</v>
      </c>
      <c r="E1012" s="314" t="s">
        <v>326</v>
      </c>
      <c r="F1012" s="314"/>
      <c r="G1012" s="315">
        <f>'3 - Pipe Insulation'!B37</f>
        <v>3.6034773504273505</v>
      </c>
      <c r="H1012" s="305"/>
      <c r="I1012" s="305" t="s">
        <v>633</v>
      </c>
      <c r="J1012" s="305" t="s">
        <v>948</v>
      </c>
      <c r="K1012" s="305"/>
    </row>
    <row r="1013" spans="1:11" x14ac:dyDescent="0.25">
      <c r="A1013" s="302" t="str">
        <f t="shared" si="21"/>
        <v>Pipe Insulation_Hyd. Boiler Med 1.25-2"_MF_Lifetime (years)</v>
      </c>
      <c r="B1013" s="303" t="s">
        <v>404</v>
      </c>
      <c r="C1013" s="378" t="s">
        <v>951</v>
      </c>
      <c r="D1013" s="303" t="s">
        <v>553</v>
      </c>
      <c r="E1013" s="314" t="s">
        <v>259</v>
      </c>
      <c r="F1013" s="314" t="s">
        <v>548</v>
      </c>
      <c r="G1013" s="315">
        <v>15</v>
      </c>
      <c r="H1013" s="305"/>
      <c r="I1013" s="305" t="s">
        <v>152</v>
      </c>
      <c r="J1013" s="305" t="s">
        <v>405</v>
      </c>
      <c r="K1013" s="305" t="s">
        <v>1961</v>
      </c>
    </row>
    <row r="1014" spans="1:11" x14ac:dyDescent="0.25">
      <c r="A1014" s="302" t="str">
        <f t="shared" si="21"/>
        <v>Pipe Insulation_Hyd. Boiler Med 1.25-2"_MF_Incremental Cost</v>
      </c>
      <c r="B1014" s="303" t="s">
        <v>404</v>
      </c>
      <c r="C1014" s="378" t="s">
        <v>951</v>
      </c>
      <c r="D1014" s="303" t="s">
        <v>553</v>
      </c>
      <c r="E1014" s="314" t="s">
        <v>260</v>
      </c>
      <c r="F1014" s="314" t="s">
        <v>949</v>
      </c>
      <c r="G1014" s="328">
        <f>11.45+4.9</f>
        <v>16.350000000000001</v>
      </c>
      <c r="H1014" s="305" t="s">
        <v>950</v>
      </c>
      <c r="I1014" s="305" t="s">
        <v>152</v>
      </c>
      <c r="J1014" s="305" t="s">
        <v>405</v>
      </c>
      <c r="K1014" s="305" t="s">
        <v>1961</v>
      </c>
    </row>
    <row r="1015" spans="1:11" s="324" customFormat="1" x14ac:dyDescent="0.25">
      <c r="A1015" s="317" t="str">
        <f t="shared" si="21"/>
        <v>Pipe Insulation_Hyd. Boiler Med 1.25-2"_MF_</v>
      </c>
      <c r="B1015" s="317" t="str">
        <f>B1014</f>
        <v>Pipe Insulation</v>
      </c>
      <c r="C1015" s="317" t="str">
        <f>C1014</f>
        <v>Hyd. Boiler Med 1.25-2"</v>
      </c>
      <c r="D1015" s="317" t="str">
        <f>D1014</f>
        <v>MF</v>
      </c>
      <c r="E1015" s="320"/>
      <c r="F1015" s="320"/>
      <c r="G1015" s="329"/>
      <c r="H1015" s="320"/>
      <c r="I1015" s="320"/>
      <c r="J1015" s="320"/>
      <c r="K1015" s="320"/>
    </row>
    <row r="1016" spans="1:11" x14ac:dyDescent="0.25">
      <c r="A1016" s="302" t="str">
        <f t="shared" si="21"/>
        <v>Pipe Insulation_Hyd. Boiler Large ≥2"_MF_kWh Saved per Unit</v>
      </c>
      <c r="B1016" s="303" t="s">
        <v>404</v>
      </c>
      <c r="C1016" s="378" t="s">
        <v>952</v>
      </c>
      <c r="D1016" s="303" t="s">
        <v>553</v>
      </c>
      <c r="E1016" s="314" t="s">
        <v>255</v>
      </c>
      <c r="F1016" s="314"/>
      <c r="G1016" s="315"/>
      <c r="H1016" s="305"/>
      <c r="I1016" s="305" t="s">
        <v>152</v>
      </c>
      <c r="J1016" s="305" t="s">
        <v>405</v>
      </c>
      <c r="K1016" s="305" t="s">
        <v>1961</v>
      </c>
    </row>
    <row r="1017" spans="1:11" x14ac:dyDescent="0.25">
      <c r="A1017" s="302" t="str">
        <f t="shared" si="21"/>
        <v>Pipe Insulation_Hyd. Boiler Large ≥2"_MF_kW Saved per Unit</v>
      </c>
      <c r="B1017" s="303" t="s">
        <v>404</v>
      </c>
      <c r="C1017" s="378" t="s">
        <v>952</v>
      </c>
      <c r="D1017" s="303" t="s">
        <v>553</v>
      </c>
      <c r="E1017" s="314" t="s">
        <v>580</v>
      </c>
      <c r="F1017" s="326" t="s">
        <v>571</v>
      </c>
      <c r="G1017" s="315"/>
      <c r="H1017" s="305"/>
      <c r="I1017" s="305" t="s">
        <v>152</v>
      </c>
      <c r="J1017" s="305" t="s">
        <v>405</v>
      </c>
      <c r="K1017" s="305" t="s">
        <v>1961</v>
      </c>
    </row>
    <row r="1018" spans="1:11" x14ac:dyDescent="0.25">
      <c r="A1018" s="302" t="str">
        <f t="shared" si="21"/>
        <v>Pipe Insulation_Hyd. Boiler Large ≥2"_MF_Therm Saved per Unit</v>
      </c>
      <c r="B1018" s="303" t="s">
        <v>404</v>
      </c>
      <c r="C1018" s="378" t="s">
        <v>952</v>
      </c>
      <c r="D1018" s="303" t="s">
        <v>553</v>
      </c>
      <c r="E1018" s="314" t="s">
        <v>326</v>
      </c>
      <c r="F1018" s="314"/>
      <c r="G1018" s="315">
        <f>'3 - Pipe Insulation'!B38</f>
        <v>6.1867824786324785</v>
      </c>
      <c r="H1018" s="305"/>
      <c r="I1018" s="305" t="s">
        <v>633</v>
      </c>
      <c r="J1018" s="305" t="s">
        <v>948</v>
      </c>
      <c r="K1018" s="305"/>
    </row>
    <row r="1019" spans="1:11" x14ac:dyDescent="0.25">
      <c r="A1019" s="302" t="str">
        <f t="shared" si="21"/>
        <v>Pipe Insulation_Hyd. Boiler Large ≥2"_MF_Lifetime (years)</v>
      </c>
      <c r="B1019" s="303" t="s">
        <v>404</v>
      </c>
      <c r="C1019" s="378" t="s">
        <v>952</v>
      </c>
      <c r="D1019" s="303" t="s">
        <v>553</v>
      </c>
      <c r="E1019" s="314" t="s">
        <v>259</v>
      </c>
      <c r="F1019" s="314" t="s">
        <v>548</v>
      </c>
      <c r="G1019" s="315">
        <v>15</v>
      </c>
      <c r="H1019" s="305"/>
      <c r="I1019" s="305" t="s">
        <v>152</v>
      </c>
      <c r="J1019" s="305" t="s">
        <v>405</v>
      </c>
      <c r="K1019" s="305" t="s">
        <v>1961</v>
      </c>
    </row>
    <row r="1020" spans="1:11" x14ac:dyDescent="0.25">
      <c r="A1020" s="302" t="str">
        <f t="shared" si="21"/>
        <v>Pipe Insulation_Hyd. Boiler Large ≥2"_MF_Incremental Cost</v>
      </c>
      <c r="B1020" s="303" t="s">
        <v>404</v>
      </c>
      <c r="C1020" s="378" t="s">
        <v>952</v>
      </c>
      <c r="D1020" s="303" t="s">
        <v>553</v>
      </c>
      <c r="E1020" s="314" t="s">
        <v>260</v>
      </c>
      <c r="F1020" s="314" t="s">
        <v>949</v>
      </c>
      <c r="G1020" s="328">
        <f>11.45+4.9</f>
        <v>16.350000000000001</v>
      </c>
      <c r="H1020" s="305" t="s">
        <v>950</v>
      </c>
      <c r="I1020" s="305" t="s">
        <v>152</v>
      </c>
      <c r="J1020" s="305" t="s">
        <v>405</v>
      </c>
      <c r="K1020" s="305" t="s">
        <v>1961</v>
      </c>
    </row>
    <row r="1021" spans="1:11" s="324" customFormat="1" x14ac:dyDescent="0.25">
      <c r="A1021" s="317" t="str">
        <f t="shared" si="21"/>
        <v>Pipe Insulation_Hyd. Boiler Large ≥2"_MF_</v>
      </c>
      <c r="B1021" s="317" t="str">
        <f>B1020</f>
        <v>Pipe Insulation</v>
      </c>
      <c r="C1021" s="317" t="str">
        <f>C1020</f>
        <v>Hyd. Boiler Large ≥2"</v>
      </c>
      <c r="D1021" s="317" t="str">
        <f>D1020</f>
        <v>MF</v>
      </c>
      <c r="E1021" s="320"/>
      <c r="F1021" s="320"/>
      <c r="G1021" s="329"/>
      <c r="H1021" s="320"/>
      <c r="I1021" s="320"/>
      <c r="J1021" s="320"/>
      <c r="K1021" s="320"/>
    </row>
    <row r="1022" spans="1:11" x14ac:dyDescent="0.25">
      <c r="A1022" s="302" t="str">
        <f t="shared" si="21"/>
        <v>Pipe Insulation_HW Small 1" to 2"_MF/CI/SMB_kWh Saved per Unit</v>
      </c>
      <c r="B1022" s="303" t="s">
        <v>404</v>
      </c>
      <c r="C1022" s="304" t="s">
        <v>953</v>
      </c>
      <c r="D1022" s="303" t="s">
        <v>662</v>
      </c>
      <c r="E1022" s="314" t="s">
        <v>255</v>
      </c>
      <c r="F1022" s="314"/>
      <c r="G1022" s="315"/>
      <c r="H1022" s="305"/>
      <c r="I1022" s="305" t="s">
        <v>152</v>
      </c>
      <c r="J1022" s="305" t="s">
        <v>405</v>
      </c>
      <c r="K1022" s="305" t="s">
        <v>1961</v>
      </c>
    </row>
    <row r="1023" spans="1:11" x14ac:dyDescent="0.25">
      <c r="A1023" s="302" t="str">
        <f t="shared" si="21"/>
        <v>Pipe Insulation_HW Small 1" to 2"_MF/CI/SMB_kW Saved per Unit</v>
      </c>
      <c r="B1023" s="303" t="s">
        <v>404</v>
      </c>
      <c r="C1023" s="304" t="s">
        <v>953</v>
      </c>
      <c r="D1023" s="303" t="s">
        <v>662</v>
      </c>
      <c r="E1023" s="314" t="s">
        <v>580</v>
      </c>
      <c r="F1023" s="326" t="s">
        <v>571</v>
      </c>
      <c r="G1023" s="315"/>
      <c r="H1023" s="305"/>
      <c r="I1023" s="305" t="s">
        <v>152</v>
      </c>
      <c r="J1023" s="305" t="s">
        <v>405</v>
      </c>
      <c r="K1023" s="305" t="s">
        <v>1961</v>
      </c>
    </row>
    <row r="1024" spans="1:11" x14ac:dyDescent="0.25">
      <c r="A1024" s="302" t="str">
        <f t="shared" si="21"/>
        <v>Pipe Insulation_HW Small 1" to 2"_MF/CI/SMB_Therm Saved per Unit</v>
      </c>
      <c r="B1024" s="303" t="s">
        <v>404</v>
      </c>
      <c r="C1024" s="304" t="s">
        <v>953</v>
      </c>
      <c r="D1024" s="303" t="s">
        <v>662</v>
      </c>
      <c r="E1024" s="314" t="s">
        <v>326</v>
      </c>
      <c r="F1024" s="314"/>
      <c r="G1024" s="315">
        <f>'3 - Pipe Insulation'!$B$39</f>
        <v>2.6588140926267867</v>
      </c>
      <c r="H1024" s="305"/>
      <c r="I1024" s="305" t="s">
        <v>633</v>
      </c>
      <c r="J1024" s="305" t="s">
        <v>948</v>
      </c>
      <c r="K1024" s="305"/>
    </row>
    <row r="1025" spans="1:11" x14ac:dyDescent="0.25">
      <c r="A1025" s="302" t="str">
        <f t="shared" si="21"/>
        <v>Pipe Insulation_HW Small 1" to 2"_MF/CI/SMB_Lifetime (years)</v>
      </c>
      <c r="B1025" s="303" t="s">
        <v>404</v>
      </c>
      <c r="C1025" s="304" t="s">
        <v>953</v>
      </c>
      <c r="D1025" s="303" t="s">
        <v>662</v>
      </c>
      <c r="E1025" s="314" t="s">
        <v>259</v>
      </c>
      <c r="F1025" s="314" t="s">
        <v>548</v>
      </c>
      <c r="G1025" s="315">
        <v>15</v>
      </c>
      <c r="H1025" s="305"/>
      <c r="I1025" s="305" t="s">
        <v>152</v>
      </c>
      <c r="J1025" s="305" t="s">
        <v>405</v>
      </c>
      <c r="K1025" s="305" t="s">
        <v>1961</v>
      </c>
    </row>
    <row r="1026" spans="1:11" x14ac:dyDescent="0.25">
      <c r="A1026" s="302" t="str">
        <f t="shared" si="21"/>
        <v>Pipe Insulation_HW Small 1" to 2"_MF/CI/SMB_Incremental Cost</v>
      </c>
      <c r="B1026" s="303" t="s">
        <v>404</v>
      </c>
      <c r="C1026" s="304" t="s">
        <v>953</v>
      </c>
      <c r="D1026" s="303" t="s">
        <v>662</v>
      </c>
      <c r="E1026" s="314" t="s">
        <v>260</v>
      </c>
      <c r="F1026" s="314" t="s">
        <v>949</v>
      </c>
      <c r="G1026" s="328">
        <f>11.45+4.9</f>
        <v>16.350000000000001</v>
      </c>
      <c r="H1026" s="305" t="s">
        <v>950</v>
      </c>
      <c r="I1026" s="305" t="s">
        <v>152</v>
      </c>
      <c r="J1026" s="305" t="s">
        <v>405</v>
      </c>
      <c r="K1026" s="305" t="s">
        <v>1961</v>
      </c>
    </row>
    <row r="1027" spans="1:11" s="324" customFormat="1" x14ac:dyDescent="0.25">
      <c r="A1027" s="317" t="str">
        <f t="shared" si="21"/>
        <v>Pipe Insulation_HW Small 1" to 2"_MF/CI/SMB_</v>
      </c>
      <c r="B1027" s="317" t="str">
        <f>B1026</f>
        <v>Pipe Insulation</v>
      </c>
      <c r="C1027" s="317" t="str">
        <f>C1026</f>
        <v>HW Small 1" to 2"</v>
      </c>
      <c r="D1027" s="317" t="str">
        <f>D1026</f>
        <v>MF/CI/SMB</v>
      </c>
      <c r="E1027" s="320"/>
      <c r="F1027" s="320"/>
      <c r="G1027" s="329"/>
      <c r="H1027" s="320"/>
      <c r="I1027" s="320"/>
      <c r="J1027" s="320"/>
      <c r="K1027" s="320"/>
    </row>
    <row r="1028" spans="1:11" x14ac:dyDescent="0.25">
      <c r="A1028" s="302" t="str">
        <f t="shared" si="21"/>
        <v>Pipe Insulation_HW Medium 2.1" to 4"_MF/CI/SMB_kWh Saved per Unit</v>
      </c>
      <c r="B1028" s="303" t="s">
        <v>404</v>
      </c>
      <c r="C1028" s="304" t="s">
        <v>954</v>
      </c>
      <c r="D1028" s="303" t="s">
        <v>662</v>
      </c>
      <c r="E1028" s="314" t="s">
        <v>255</v>
      </c>
      <c r="F1028" s="314"/>
      <c r="G1028" s="315"/>
      <c r="H1028" s="305"/>
      <c r="I1028" s="305" t="s">
        <v>152</v>
      </c>
      <c r="J1028" s="305" t="s">
        <v>405</v>
      </c>
      <c r="K1028" s="305" t="s">
        <v>1961</v>
      </c>
    </row>
    <row r="1029" spans="1:11" x14ac:dyDescent="0.25">
      <c r="A1029" s="302" t="str">
        <f t="shared" si="21"/>
        <v>Pipe Insulation_HW Medium 2.1" to 4"_MF/CI/SMB_kW Saved per Unit</v>
      </c>
      <c r="B1029" s="303" t="s">
        <v>404</v>
      </c>
      <c r="C1029" s="304" t="s">
        <v>954</v>
      </c>
      <c r="D1029" s="303" t="s">
        <v>662</v>
      </c>
      <c r="E1029" s="314" t="s">
        <v>580</v>
      </c>
      <c r="F1029" s="326" t="s">
        <v>571</v>
      </c>
      <c r="G1029" s="315"/>
      <c r="H1029" s="305"/>
      <c r="I1029" s="305" t="s">
        <v>152</v>
      </c>
      <c r="J1029" s="305" t="s">
        <v>405</v>
      </c>
      <c r="K1029" s="305" t="s">
        <v>1961</v>
      </c>
    </row>
    <row r="1030" spans="1:11" x14ac:dyDescent="0.25">
      <c r="A1030" s="302" t="str">
        <f t="shared" si="21"/>
        <v>Pipe Insulation_HW Medium 2.1" to 4"_MF/CI/SMB_Therm Saved per Unit</v>
      </c>
      <c r="B1030" s="303" t="s">
        <v>404</v>
      </c>
      <c r="C1030" s="304" t="s">
        <v>954</v>
      </c>
      <c r="D1030" s="303" t="s">
        <v>662</v>
      </c>
      <c r="E1030" s="314" t="s">
        <v>326</v>
      </c>
      <c r="F1030" s="314"/>
      <c r="G1030" s="315">
        <f>'3 - Pipe Insulation'!B40</f>
        <v>5.2492031493764015</v>
      </c>
      <c r="H1030" s="305"/>
      <c r="I1030" s="305" t="s">
        <v>633</v>
      </c>
      <c r="J1030" s="305" t="s">
        <v>948</v>
      </c>
      <c r="K1030" s="305"/>
    </row>
    <row r="1031" spans="1:11" x14ac:dyDescent="0.25">
      <c r="A1031" s="302" t="str">
        <f t="shared" si="21"/>
        <v>Pipe Insulation_HW Medium 2.1" to 4"_MF/CI/SMB_Lifetime (years)</v>
      </c>
      <c r="B1031" s="303" t="s">
        <v>404</v>
      </c>
      <c r="C1031" s="304" t="s">
        <v>954</v>
      </c>
      <c r="D1031" s="303" t="s">
        <v>662</v>
      </c>
      <c r="E1031" s="314" t="s">
        <v>259</v>
      </c>
      <c r="F1031" s="314" t="s">
        <v>548</v>
      </c>
      <c r="G1031" s="315">
        <v>15</v>
      </c>
      <c r="H1031" s="305"/>
      <c r="I1031" s="305" t="s">
        <v>152</v>
      </c>
      <c r="J1031" s="305" t="s">
        <v>405</v>
      </c>
      <c r="K1031" s="305" t="s">
        <v>1961</v>
      </c>
    </row>
    <row r="1032" spans="1:11" x14ac:dyDescent="0.25">
      <c r="A1032" s="302" t="str">
        <f t="shared" si="21"/>
        <v>Pipe Insulation_HW Medium 2.1" to 4"_MF/CI/SMB_Incremental Cost</v>
      </c>
      <c r="B1032" s="303" t="s">
        <v>404</v>
      </c>
      <c r="C1032" s="304" t="s">
        <v>954</v>
      </c>
      <c r="D1032" s="303" t="s">
        <v>662</v>
      </c>
      <c r="E1032" s="314" t="s">
        <v>260</v>
      </c>
      <c r="F1032" s="314" t="s">
        <v>949</v>
      </c>
      <c r="G1032" s="328">
        <f>11.45+4.9</f>
        <v>16.350000000000001</v>
      </c>
      <c r="H1032" s="305" t="s">
        <v>950</v>
      </c>
      <c r="I1032" s="305" t="s">
        <v>152</v>
      </c>
      <c r="J1032" s="305" t="s">
        <v>405</v>
      </c>
      <c r="K1032" s="305" t="s">
        <v>1961</v>
      </c>
    </row>
    <row r="1033" spans="1:11" s="324" customFormat="1" x14ac:dyDescent="0.25">
      <c r="A1033" s="317" t="str">
        <f t="shared" si="21"/>
        <v>Pipe Insulation_HW Medium 2.1" to 4"_MF/CI/SMB_</v>
      </c>
      <c r="B1033" s="317" t="str">
        <f>B1032</f>
        <v>Pipe Insulation</v>
      </c>
      <c r="C1033" s="317" t="str">
        <f>C1032</f>
        <v>HW Medium 2.1" to 4"</v>
      </c>
      <c r="D1033" s="317" t="str">
        <f>D1032</f>
        <v>MF/CI/SMB</v>
      </c>
      <c r="E1033" s="320"/>
      <c r="F1033" s="320"/>
      <c r="G1033" s="329"/>
      <c r="H1033" s="320"/>
      <c r="I1033" s="320"/>
      <c r="J1033" s="320"/>
      <c r="K1033" s="320"/>
    </row>
    <row r="1034" spans="1:11" x14ac:dyDescent="0.25">
      <c r="A1034" s="302" t="str">
        <f t="shared" si="21"/>
        <v>Pipe Insulation_HW Large &gt;4"_MF/CI/SMB_kWh Saved per Unit</v>
      </c>
      <c r="B1034" s="303" t="s">
        <v>404</v>
      </c>
      <c r="C1034" s="304" t="s">
        <v>955</v>
      </c>
      <c r="D1034" s="303" t="s">
        <v>662</v>
      </c>
      <c r="E1034" s="314" t="s">
        <v>255</v>
      </c>
      <c r="F1034" s="314"/>
      <c r="G1034" s="315"/>
      <c r="H1034" s="305"/>
      <c r="I1034" s="305" t="s">
        <v>152</v>
      </c>
      <c r="J1034" s="305" t="s">
        <v>405</v>
      </c>
      <c r="K1034" s="305" t="s">
        <v>1961</v>
      </c>
    </row>
    <row r="1035" spans="1:11" x14ac:dyDescent="0.25">
      <c r="A1035" s="302" t="str">
        <f t="shared" si="21"/>
        <v>Pipe Insulation_HW Large &gt;4"_MF/CI/SMB_kW Saved per Unit</v>
      </c>
      <c r="B1035" s="303" t="s">
        <v>404</v>
      </c>
      <c r="C1035" s="304" t="s">
        <v>955</v>
      </c>
      <c r="D1035" s="303" t="s">
        <v>662</v>
      </c>
      <c r="E1035" s="314" t="s">
        <v>580</v>
      </c>
      <c r="F1035" s="326" t="s">
        <v>571</v>
      </c>
      <c r="G1035" s="315"/>
      <c r="H1035" s="305"/>
      <c r="I1035" s="305" t="s">
        <v>152</v>
      </c>
      <c r="J1035" s="305" t="s">
        <v>405</v>
      </c>
      <c r="K1035" s="305" t="s">
        <v>1961</v>
      </c>
    </row>
    <row r="1036" spans="1:11" x14ac:dyDescent="0.25">
      <c r="A1036" s="302" t="str">
        <f t="shared" si="21"/>
        <v>Pipe Insulation_HW Large &gt;4"_MF/CI/SMB_Therm Saved per Unit</v>
      </c>
      <c r="B1036" s="303" t="s">
        <v>404</v>
      </c>
      <c r="C1036" s="304" t="s">
        <v>955</v>
      </c>
      <c r="D1036" s="303" t="s">
        <v>662</v>
      </c>
      <c r="E1036" s="314" t="s">
        <v>326</v>
      </c>
      <c r="F1036" s="314"/>
      <c r="G1036" s="315">
        <f>'3 - Pipe Insulation'!B41</f>
        <v>9.0407613085908682</v>
      </c>
      <c r="H1036" s="305"/>
      <c r="I1036" s="305" t="s">
        <v>633</v>
      </c>
      <c r="J1036" s="305" t="s">
        <v>948</v>
      </c>
      <c r="K1036" s="305"/>
    </row>
    <row r="1037" spans="1:11" x14ac:dyDescent="0.25">
      <c r="A1037" s="302" t="str">
        <f t="shared" si="21"/>
        <v>Pipe Insulation_HW Large &gt;4"_MF/CI/SMB_Lifetime (years)</v>
      </c>
      <c r="B1037" s="303" t="s">
        <v>404</v>
      </c>
      <c r="C1037" s="304" t="s">
        <v>955</v>
      </c>
      <c r="D1037" s="303" t="s">
        <v>662</v>
      </c>
      <c r="E1037" s="314" t="s">
        <v>259</v>
      </c>
      <c r="F1037" s="314" t="s">
        <v>548</v>
      </c>
      <c r="G1037" s="315">
        <v>15</v>
      </c>
      <c r="H1037" s="305"/>
      <c r="I1037" s="305" t="s">
        <v>152</v>
      </c>
      <c r="J1037" s="305" t="s">
        <v>405</v>
      </c>
      <c r="K1037" s="305" t="s">
        <v>1961</v>
      </c>
    </row>
    <row r="1038" spans="1:11" x14ac:dyDescent="0.25">
      <c r="A1038" s="302" t="str">
        <f t="shared" si="21"/>
        <v>Pipe Insulation_HW Large &gt;4"_MF/CI/SMB_Incremental Cost</v>
      </c>
      <c r="B1038" s="303" t="s">
        <v>404</v>
      </c>
      <c r="C1038" s="304" t="s">
        <v>955</v>
      </c>
      <c r="D1038" s="303" t="s">
        <v>662</v>
      </c>
      <c r="E1038" s="314" t="s">
        <v>260</v>
      </c>
      <c r="F1038" s="314" t="s">
        <v>949</v>
      </c>
      <c r="G1038" s="328">
        <f>11.45+4.9</f>
        <v>16.350000000000001</v>
      </c>
      <c r="H1038" s="305" t="s">
        <v>950</v>
      </c>
      <c r="I1038" s="305" t="s">
        <v>152</v>
      </c>
      <c r="J1038" s="305" t="s">
        <v>405</v>
      </c>
      <c r="K1038" s="305" t="s">
        <v>1961</v>
      </c>
    </row>
    <row r="1039" spans="1:11" s="324" customFormat="1" x14ac:dyDescent="0.25">
      <c r="A1039" s="317" t="str">
        <f t="shared" si="21"/>
        <v>Pipe Insulation_HW Large &gt;4"_MF/CI/SMB_</v>
      </c>
      <c r="B1039" s="317" t="str">
        <f>B1038</f>
        <v>Pipe Insulation</v>
      </c>
      <c r="C1039" s="317" t="str">
        <f>C1038</f>
        <v>HW Large &gt;4"</v>
      </c>
      <c r="D1039" s="317" t="str">
        <f>D1038</f>
        <v>MF/CI/SMB</v>
      </c>
      <c r="E1039" s="320"/>
      <c r="F1039" s="320"/>
      <c r="G1039" s="329"/>
      <c r="H1039" s="320"/>
      <c r="I1039" s="320"/>
      <c r="J1039" s="320"/>
      <c r="K1039" s="320"/>
    </row>
    <row r="1040" spans="1:11" x14ac:dyDescent="0.25">
      <c r="A1040" s="302" t="str">
        <f t="shared" si="21"/>
        <v>Pipe Insulation_Steam - Small 1" to 2"_MF_kWh Saved per Unit</v>
      </c>
      <c r="B1040" s="303" t="s">
        <v>404</v>
      </c>
      <c r="C1040" s="378" t="s">
        <v>956</v>
      </c>
      <c r="D1040" s="303" t="s">
        <v>553</v>
      </c>
      <c r="E1040" s="314" t="s">
        <v>255</v>
      </c>
      <c r="F1040" s="314"/>
      <c r="G1040" s="315"/>
      <c r="H1040" s="305"/>
      <c r="I1040" s="305" t="s">
        <v>152</v>
      </c>
      <c r="J1040" s="305" t="s">
        <v>405</v>
      </c>
      <c r="K1040" s="305" t="s">
        <v>1961</v>
      </c>
    </row>
    <row r="1041" spans="1:11" x14ac:dyDescent="0.25">
      <c r="A1041" s="302" t="str">
        <f t="shared" si="21"/>
        <v>Pipe Insulation_Steam - Small 1" to 2"_MF_kW Saved per Unit</v>
      </c>
      <c r="B1041" s="303" t="s">
        <v>404</v>
      </c>
      <c r="C1041" s="378" t="s">
        <v>956</v>
      </c>
      <c r="D1041" s="303" t="s">
        <v>553</v>
      </c>
      <c r="E1041" s="314" t="s">
        <v>580</v>
      </c>
      <c r="F1041" s="326" t="s">
        <v>571</v>
      </c>
      <c r="G1041" s="315"/>
      <c r="H1041" s="305"/>
      <c r="I1041" s="305" t="s">
        <v>152</v>
      </c>
      <c r="J1041" s="305" t="s">
        <v>405</v>
      </c>
      <c r="K1041" s="305" t="s">
        <v>1961</v>
      </c>
    </row>
    <row r="1042" spans="1:11" x14ac:dyDescent="0.25">
      <c r="A1042" s="302" t="str">
        <f t="shared" si="21"/>
        <v>Pipe Insulation_Steam - Small 1" to 2"_MF_Therm Saved per Unit</v>
      </c>
      <c r="B1042" s="303" t="s">
        <v>404</v>
      </c>
      <c r="C1042" s="378" t="s">
        <v>956</v>
      </c>
      <c r="D1042" s="303" t="s">
        <v>553</v>
      </c>
      <c r="E1042" s="314" t="s">
        <v>326</v>
      </c>
      <c r="F1042" s="314"/>
      <c r="G1042" s="315">
        <f>'3 - Pipe Insulation'!B45</f>
        <v>3.967097058288509</v>
      </c>
      <c r="H1042" s="305"/>
      <c r="I1042" s="305" t="s">
        <v>633</v>
      </c>
      <c r="J1042" s="305" t="s">
        <v>948</v>
      </c>
      <c r="K1042" s="305"/>
    </row>
    <row r="1043" spans="1:11" x14ac:dyDescent="0.25">
      <c r="A1043" s="302" t="str">
        <f t="shared" si="21"/>
        <v>Pipe Insulation_Steam - Small 1" to 2"_MF_Lifetime (years)</v>
      </c>
      <c r="B1043" s="303" t="s">
        <v>404</v>
      </c>
      <c r="C1043" s="378" t="s">
        <v>956</v>
      </c>
      <c r="D1043" s="303" t="s">
        <v>553</v>
      </c>
      <c r="E1043" s="314" t="s">
        <v>259</v>
      </c>
      <c r="F1043" s="314" t="s">
        <v>548</v>
      </c>
      <c r="G1043" s="315">
        <v>15</v>
      </c>
      <c r="H1043" s="305"/>
      <c r="I1043" s="305" t="s">
        <v>152</v>
      </c>
      <c r="J1043" s="305" t="s">
        <v>405</v>
      </c>
      <c r="K1043" s="305" t="s">
        <v>1961</v>
      </c>
    </row>
    <row r="1044" spans="1:11" x14ac:dyDescent="0.25">
      <c r="A1044" s="302" t="str">
        <f t="shared" si="21"/>
        <v>Pipe Insulation_Steam - Small 1" to 2"_MF_Incremental Cost</v>
      </c>
      <c r="B1044" s="303" t="s">
        <v>404</v>
      </c>
      <c r="C1044" s="378" t="s">
        <v>956</v>
      </c>
      <c r="D1044" s="303" t="s">
        <v>553</v>
      </c>
      <c r="E1044" s="314" t="s">
        <v>260</v>
      </c>
      <c r="F1044" s="314" t="s">
        <v>949</v>
      </c>
      <c r="G1044" s="328">
        <f>11.45+4.9</f>
        <v>16.350000000000001</v>
      </c>
      <c r="H1044" s="305" t="s">
        <v>950</v>
      </c>
      <c r="I1044" s="305" t="s">
        <v>152</v>
      </c>
      <c r="J1044" s="305" t="s">
        <v>405</v>
      </c>
      <c r="K1044" s="305" t="s">
        <v>1961</v>
      </c>
    </row>
    <row r="1045" spans="1:11" s="324" customFormat="1" x14ac:dyDescent="0.25">
      <c r="A1045" s="317" t="str">
        <f t="shared" ref="A1045:A1108" si="22">B1045&amp;"_"&amp;C1045&amp;"_"&amp;D1045&amp;"_"&amp;E1045</f>
        <v>Pipe Insulation_Steam - Small 1" to 2"_MF_</v>
      </c>
      <c r="B1045" s="317" t="str">
        <f>B1044</f>
        <v>Pipe Insulation</v>
      </c>
      <c r="C1045" s="317" t="str">
        <f>C1044</f>
        <v>Steam - Small 1" to 2"</v>
      </c>
      <c r="D1045" s="317" t="str">
        <f>D1044</f>
        <v>MF</v>
      </c>
      <c r="E1045" s="320"/>
      <c r="F1045" s="320"/>
      <c r="G1045" s="329"/>
      <c r="H1045" s="320"/>
      <c r="I1045" s="320"/>
      <c r="J1045" s="320"/>
      <c r="K1045" s="320"/>
    </row>
    <row r="1046" spans="1:11" x14ac:dyDescent="0.25">
      <c r="A1046" s="302" t="str">
        <f t="shared" si="22"/>
        <v>Pipe Insulation_Steam - Med 2.1" to 5"_MF_kWh Saved per Unit</v>
      </c>
      <c r="B1046" s="303" t="s">
        <v>404</v>
      </c>
      <c r="C1046" s="379" t="s">
        <v>957</v>
      </c>
      <c r="D1046" s="303" t="s">
        <v>553</v>
      </c>
      <c r="E1046" s="314" t="s">
        <v>255</v>
      </c>
      <c r="F1046" s="314"/>
      <c r="G1046" s="315"/>
      <c r="H1046" s="305"/>
      <c r="I1046" s="305" t="s">
        <v>152</v>
      </c>
      <c r="J1046" s="305" t="s">
        <v>405</v>
      </c>
      <c r="K1046" s="305" t="s">
        <v>1961</v>
      </c>
    </row>
    <row r="1047" spans="1:11" x14ac:dyDescent="0.25">
      <c r="A1047" s="302" t="str">
        <f t="shared" si="22"/>
        <v>Pipe Insulation_Steam - Med 2.1" to 5"_MF_kW Saved per Unit</v>
      </c>
      <c r="B1047" s="303" t="s">
        <v>404</v>
      </c>
      <c r="C1047" s="379" t="s">
        <v>957</v>
      </c>
      <c r="D1047" s="303" t="s">
        <v>553</v>
      </c>
      <c r="E1047" s="314" t="s">
        <v>580</v>
      </c>
      <c r="F1047" s="326" t="s">
        <v>571</v>
      </c>
      <c r="G1047" s="315"/>
      <c r="H1047" s="305"/>
      <c r="I1047" s="305" t="s">
        <v>152</v>
      </c>
      <c r="J1047" s="305" t="s">
        <v>405</v>
      </c>
      <c r="K1047" s="305" t="s">
        <v>1961</v>
      </c>
    </row>
    <row r="1048" spans="1:11" x14ac:dyDescent="0.25">
      <c r="A1048" s="302" t="str">
        <f t="shared" si="22"/>
        <v>Pipe Insulation_Steam - Med 2.1" to 5"_MF_Therm Saved per Unit</v>
      </c>
      <c r="B1048" s="303" t="s">
        <v>404</v>
      </c>
      <c r="C1048" s="379" t="s">
        <v>957</v>
      </c>
      <c r="D1048" s="303" t="s">
        <v>553</v>
      </c>
      <c r="E1048" s="314" t="s">
        <v>326</v>
      </c>
      <c r="F1048" s="314"/>
      <c r="G1048" s="315">
        <f>'3 - Pipe Insulation'!B46</f>
        <v>15.954497207020932</v>
      </c>
      <c r="H1048" s="305"/>
      <c r="I1048" s="305" t="s">
        <v>633</v>
      </c>
      <c r="J1048" s="305" t="s">
        <v>948</v>
      </c>
      <c r="K1048" s="305"/>
    </row>
    <row r="1049" spans="1:11" x14ac:dyDescent="0.25">
      <c r="A1049" s="302" t="str">
        <f t="shared" si="22"/>
        <v>Pipe Insulation_Steam - Med 2.1" to 5"_MF_Lifetime (years)</v>
      </c>
      <c r="B1049" s="303" t="s">
        <v>404</v>
      </c>
      <c r="C1049" s="379" t="s">
        <v>957</v>
      </c>
      <c r="D1049" s="303" t="s">
        <v>553</v>
      </c>
      <c r="E1049" s="314" t="s">
        <v>259</v>
      </c>
      <c r="F1049" s="314" t="s">
        <v>548</v>
      </c>
      <c r="G1049" s="315">
        <v>15</v>
      </c>
      <c r="H1049" s="305"/>
      <c r="I1049" s="305" t="s">
        <v>152</v>
      </c>
      <c r="J1049" s="305" t="s">
        <v>405</v>
      </c>
      <c r="K1049" s="305" t="s">
        <v>1961</v>
      </c>
    </row>
    <row r="1050" spans="1:11" x14ac:dyDescent="0.25">
      <c r="A1050" s="302" t="str">
        <f t="shared" si="22"/>
        <v>Pipe Insulation_Steam - Med 2.1" to 5"_MF_Incremental Cost</v>
      </c>
      <c r="B1050" s="303" t="s">
        <v>404</v>
      </c>
      <c r="C1050" s="379" t="s">
        <v>957</v>
      </c>
      <c r="D1050" s="303" t="s">
        <v>553</v>
      </c>
      <c r="E1050" s="314" t="s">
        <v>260</v>
      </c>
      <c r="F1050" s="314" t="s">
        <v>949</v>
      </c>
      <c r="G1050" s="328">
        <f>11.45+4.9</f>
        <v>16.350000000000001</v>
      </c>
      <c r="H1050" s="305" t="s">
        <v>950</v>
      </c>
      <c r="I1050" s="305" t="s">
        <v>152</v>
      </c>
      <c r="J1050" s="305" t="s">
        <v>405</v>
      </c>
      <c r="K1050" s="305" t="s">
        <v>1961</v>
      </c>
    </row>
    <row r="1051" spans="1:11" s="324" customFormat="1" x14ac:dyDescent="0.25">
      <c r="A1051" s="317" t="str">
        <f t="shared" si="22"/>
        <v>Pipe Insulation_Steam - Med 2.1" to 5"_MF_</v>
      </c>
      <c r="B1051" s="317" t="str">
        <f>B1050</f>
        <v>Pipe Insulation</v>
      </c>
      <c r="C1051" s="317" t="str">
        <f>C1050</f>
        <v>Steam - Med 2.1" to 5"</v>
      </c>
      <c r="D1051" s="317" t="str">
        <f>D1050</f>
        <v>MF</v>
      </c>
      <c r="E1051" s="320"/>
      <c r="F1051" s="320"/>
      <c r="G1051" s="329"/>
      <c r="H1051" s="320"/>
      <c r="I1051" s="320"/>
      <c r="J1051" s="320"/>
      <c r="K1051" s="320"/>
    </row>
    <row r="1052" spans="1:11" x14ac:dyDescent="0.25">
      <c r="A1052" s="302" t="str">
        <f t="shared" si="22"/>
        <v>Pipe Insulation_Steam - Large 5.1" to 8"_MF_kWh Saved per Unit</v>
      </c>
      <c r="B1052" s="303" t="s">
        <v>404</v>
      </c>
      <c r="C1052" s="379" t="s">
        <v>958</v>
      </c>
      <c r="D1052" s="303" t="s">
        <v>553</v>
      </c>
      <c r="E1052" s="314" t="s">
        <v>255</v>
      </c>
      <c r="F1052" s="314"/>
      <c r="G1052" s="315"/>
      <c r="H1052" s="305"/>
      <c r="I1052" s="305" t="s">
        <v>152</v>
      </c>
      <c r="J1052" s="305" t="s">
        <v>405</v>
      </c>
      <c r="K1052" s="305" t="s">
        <v>1961</v>
      </c>
    </row>
    <row r="1053" spans="1:11" x14ac:dyDescent="0.25">
      <c r="A1053" s="302" t="str">
        <f t="shared" si="22"/>
        <v>Pipe Insulation_Steam - Large 5.1" to 8"_MF_kW Saved per Unit</v>
      </c>
      <c r="B1053" s="303" t="s">
        <v>404</v>
      </c>
      <c r="C1053" s="379" t="s">
        <v>958</v>
      </c>
      <c r="D1053" s="303" t="s">
        <v>553</v>
      </c>
      <c r="E1053" s="314" t="s">
        <v>580</v>
      </c>
      <c r="F1053" s="326" t="s">
        <v>571</v>
      </c>
      <c r="G1053" s="315"/>
      <c r="H1053" s="305"/>
      <c r="I1053" s="305" t="s">
        <v>152</v>
      </c>
      <c r="J1053" s="305" t="s">
        <v>405</v>
      </c>
      <c r="K1053" s="305" t="s">
        <v>1961</v>
      </c>
    </row>
    <row r="1054" spans="1:11" x14ac:dyDescent="0.25">
      <c r="A1054" s="302" t="str">
        <f t="shared" si="22"/>
        <v>Pipe Insulation_Steam - Large 5.1" to 8"_MF_Therm Saved per Unit</v>
      </c>
      <c r="B1054" s="303" t="s">
        <v>404</v>
      </c>
      <c r="C1054" s="379" t="s">
        <v>958</v>
      </c>
      <c r="D1054" s="303" t="s">
        <v>553</v>
      </c>
      <c r="E1054" s="314" t="s">
        <v>326</v>
      </c>
      <c r="F1054" s="314"/>
      <c r="G1054" s="315">
        <f>'3 - Pipe Insulation'!B51</f>
        <v>31.133964854103496</v>
      </c>
      <c r="H1054" s="305"/>
      <c r="I1054" s="305" t="s">
        <v>633</v>
      </c>
      <c r="J1054" s="305" t="s">
        <v>948</v>
      </c>
      <c r="K1054" s="305"/>
    </row>
    <row r="1055" spans="1:11" x14ac:dyDescent="0.25">
      <c r="A1055" s="302" t="str">
        <f t="shared" si="22"/>
        <v>Pipe Insulation_Steam - Large 5.1" to 8"_MF_Lifetime (years)</v>
      </c>
      <c r="B1055" s="303" t="s">
        <v>404</v>
      </c>
      <c r="C1055" s="379" t="s">
        <v>958</v>
      </c>
      <c r="D1055" s="303" t="s">
        <v>553</v>
      </c>
      <c r="E1055" s="314" t="s">
        <v>259</v>
      </c>
      <c r="F1055" s="314" t="s">
        <v>548</v>
      </c>
      <c r="G1055" s="315">
        <v>15</v>
      </c>
      <c r="H1055" s="305"/>
      <c r="I1055" s="305" t="s">
        <v>152</v>
      </c>
      <c r="J1055" s="305" t="s">
        <v>405</v>
      </c>
      <c r="K1055" s="305" t="s">
        <v>1961</v>
      </c>
    </row>
    <row r="1056" spans="1:11" x14ac:dyDescent="0.25">
      <c r="A1056" s="302" t="str">
        <f t="shared" si="22"/>
        <v>Pipe Insulation_Steam - Large 5.1" to 8"_MF_Incremental Cost</v>
      </c>
      <c r="B1056" s="303" t="s">
        <v>404</v>
      </c>
      <c r="C1056" s="379" t="s">
        <v>958</v>
      </c>
      <c r="D1056" s="303" t="s">
        <v>553</v>
      </c>
      <c r="E1056" s="314" t="s">
        <v>260</v>
      </c>
      <c r="F1056" s="314" t="s">
        <v>949</v>
      </c>
      <c r="G1056" s="328">
        <v>18.161000000000001</v>
      </c>
      <c r="H1056" s="305" t="s">
        <v>959</v>
      </c>
      <c r="I1056" s="305" t="s">
        <v>614</v>
      </c>
      <c r="J1056" s="305"/>
      <c r="K1056" s="305"/>
    </row>
    <row r="1057" spans="1:11" s="324" customFormat="1" x14ac:dyDescent="0.25">
      <c r="A1057" s="317" t="str">
        <f t="shared" si="22"/>
        <v>Pipe Insulation_Steam - Large 5.1" to 8"_MF_</v>
      </c>
      <c r="B1057" s="317" t="str">
        <f>B1056</f>
        <v>Pipe Insulation</v>
      </c>
      <c r="C1057" s="317" t="str">
        <f>C1056</f>
        <v>Steam - Large 5.1" to 8"</v>
      </c>
      <c r="D1057" s="317" t="str">
        <f>D1056</f>
        <v>MF</v>
      </c>
      <c r="E1057" s="320"/>
      <c r="F1057" s="320"/>
      <c r="G1057" s="329"/>
      <c r="H1057" s="320"/>
      <c r="I1057" s="320"/>
      <c r="J1057" s="320"/>
      <c r="K1057" s="320"/>
    </row>
    <row r="1058" spans="1:11" x14ac:dyDescent="0.25">
      <c r="A1058" s="302" t="str">
        <f t="shared" si="22"/>
        <v>Pipe Insulation_Steam - X-Large &gt;8"_MF_kWh Saved per Unit</v>
      </c>
      <c r="B1058" s="303" t="s">
        <v>404</v>
      </c>
      <c r="C1058" s="379" t="s">
        <v>960</v>
      </c>
      <c r="D1058" s="303" t="s">
        <v>553</v>
      </c>
      <c r="E1058" s="314" t="s">
        <v>255</v>
      </c>
      <c r="F1058" s="314"/>
      <c r="G1058" s="315"/>
      <c r="H1058" s="305"/>
      <c r="I1058" s="305" t="s">
        <v>152</v>
      </c>
      <c r="J1058" s="305" t="s">
        <v>405</v>
      </c>
      <c r="K1058" s="305" t="s">
        <v>1961</v>
      </c>
    </row>
    <row r="1059" spans="1:11" x14ac:dyDescent="0.25">
      <c r="A1059" s="302" t="str">
        <f t="shared" si="22"/>
        <v>Pipe Insulation_Steam - X-Large &gt;8"_MF_kW Saved per Unit</v>
      </c>
      <c r="B1059" s="303" t="s">
        <v>404</v>
      </c>
      <c r="C1059" s="379" t="s">
        <v>960</v>
      </c>
      <c r="D1059" s="303" t="s">
        <v>553</v>
      </c>
      <c r="E1059" s="314" t="s">
        <v>580</v>
      </c>
      <c r="F1059" s="326" t="s">
        <v>571</v>
      </c>
      <c r="G1059" s="315"/>
      <c r="H1059" s="305"/>
      <c r="I1059" s="305" t="s">
        <v>152</v>
      </c>
      <c r="J1059" s="305" t="s">
        <v>405</v>
      </c>
      <c r="K1059" s="305" t="s">
        <v>1961</v>
      </c>
    </row>
    <row r="1060" spans="1:11" x14ac:dyDescent="0.25">
      <c r="A1060" s="302" t="str">
        <f t="shared" si="22"/>
        <v>Pipe Insulation_Steam - X-Large &gt;8"_MF_Therm Saved per Unit</v>
      </c>
      <c r="B1060" s="303" t="s">
        <v>404</v>
      </c>
      <c r="C1060" s="379" t="s">
        <v>960</v>
      </c>
      <c r="D1060" s="303" t="s">
        <v>553</v>
      </c>
      <c r="E1060" s="314" t="s">
        <v>326</v>
      </c>
      <c r="F1060" s="314"/>
      <c r="G1060" s="315">
        <f>'3 - Pipe Insulation'!B54</f>
        <v>44.814401171573145</v>
      </c>
      <c r="H1060" s="305"/>
      <c r="I1060" s="305" t="s">
        <v>633</v>
      </c>
      <c r="J1060" s="305" t="s">
        <v>948</v>
      </c>
      <c r="K1060" s="305"/>
    </row>
    <row r="1061" spans="1:11" x14ac:dyDescent="0.25">
      <c r="A1061" s="302" t="str">
        <f t="shared" si="22"/>
        <v>Pipe Insulation_Steam - X-Large &gt;8"_MF_Lifetime (years)</v>
      </c>
      <c r="B1061" s="303" t="s">
        <v>404</v>
      </c>
      <c r="C1061" s="379" t="s">
        <v>960</v>
      </c>
      <c r="D1061" s="303" t="s">
        <v>553</v>
      </c>
      <c r="E1061" s="314" t="s">
        <v>259</v>
      </c>
      <c r="F1061" s="314" t="s">
        <v>548</v>
      </c>
      <c r="G1061" s="315">
        <v>15</v>
      </c>
      <c r="H1061" s="305"/>
      <c r="I1061" s="305" t="s">
        <v>152</v>
      </c>
      <c r="J1061" s="305" t="s">
        <v>405</v>
      </c>
      <c r="K1061" s="305" t="s">
        <v>1961</v>
      </c>
    </row>
    <row r="1062" spans="1:11" x14ac:dyDescent="0.25">
      <c r="A1062" s="302" t="str">
        <f t="shared" si="22"/>
        <v>Pipe Insulation_Steam - X-Large &gt;8"_MF_Incremental Cost</v>
      </c>
      <c r="B1062" s="303" t="s">
        <v>404</v>
      </c>
      <c r="C1062" s="379" t="s">
        <v>960</v>
      </c>
      <c r="D1062" s="303" t="s">
        <v>553</v>
      </c>
      <c r="E1062" s="314" t="s">
        <v>260</v>
      </c>
      <c r="F1062" s="314" t="s">
        <v>949</v>
      </c>
      <c r="G1062" s="328">
        <v>25.146000000000001</v>
      </c>
      <c r="H1062" s="305" t="s">
        <v>959</v>
      </c>
      <c r="I1062" s="305" t="s">
        <v>614</v>
      </c>
      <c r="J1062" s="305"/>
      <c r="K1062" s="305"/>
    </row>
    <row r="1063" spans="1:11" s="324" customFormat="1" x14ac:dyDescent="0.25">
      <c r="A1063" s="317" t="str">
        <f t="shared" si="22"/>
        <v>Pipe Insulation_Steam - X-Large &gt;8"_MF_</v>
      </c>
      <c r="B1063" s="317" t="str">
        <f>B1062</f>
        <v>Pipe Insulation</v>
      </c>
      <c r="C1063" s="317" t="str">
        <f>C1062</f>
        <v>Steam - X-Large &gt;8"</v>
      </c>
      <c r="D1063" s="317" t="str">
        <f>D1062</f>
        <v>MF</v>
      </c>
      <c r="E1063" s="320"/>
      <c r="F1063" s="320"/>
      <c r="G1063" s="329"/>
      <c r="H1063" s="320"/>
      <c r="I1063" s="320"/>
      <c r="J1063" s="320"/>
      <c r="K1063" s="320"/>
    </row>
    <row r="1064" spans="1:11" s="324" customFormat="1" x14ac:dyDescent="0.25">
      <c r="A1064" s="302" t="str">
        <f t="shared" si="22"/>
        <v>Pipe Insulation_Steam Small Fitting_MF_kWh Saved per Unit</v>
      </c>
      <c r="B1064" s="303" t="s">
        <v>404</v>
      </c>
      <c r="C1064" s="379" t="s">
        <v>961</v>
      </c>
      <c r="D1064" s="303" t="s">
        <v>553</v>
      </c>
      <c r="E1064" s="314" t="s">
        <v>255</v>
      </c>
      <c r="F1064" s="314"/>
      <c r="G1064" s="315"/>
      <c r="H1064" s="305"/>
      <c r="I1064" s="305" t="s">
        <v>152</v>
      </c>
      <c r="J1064" s="305" t="s">
        <v>405</v>
      </c>
      <c r="K1064" s="305" t="s">
        <v>1961</v>
      </c>
    </row>
    <row r="1065" spans="1:11" s="324" customFormat="1" x14ac:dyDescent="0.25">
      <c r="A1065" s="302" t="str">
        <f t="shared" si="22"/>
        <v>Pipe Insulation_Steam Small Fitting_MF_kW Saved per Unit</v>
      </c>
      <c r="B1065" s="303" t="s">
        <v>404</v>
      </c>
      <c r="C1065" s="379" t="s">
        <v>961</v>
      </c>
      <c r="D1065" s="303" t="s">
        <v>553</v>
      </c>
      <c r="E1065" s="314" t="s">
        <v>580</v>
      </c>
      <c r="F1065" s="326" t="s">
        <v>571</v>
      </c>
      <c r="G1065" s="315"/>
      <c r="H1065" s="305"/>
      <c r="I1065" s="305" t="s">
        <v>152</v>
      </c>
      <c r="J1065" s="305" t="s">
        <v>405</v>
      </c>
      <c r="K1065" s="305" t="s">
        <v>1961</v>
      </c>
    </row>
    <row r="1066" spans="1:11" s="324" customFormat="1" x14ac:dyDescent="0.25">
      <c r="A1066" s="302" t="str">
        <f t="shared" si="22"/>
        <v>Pipe Insulation_Steam Small Fitting_MF_Therm Saved per Unit</v>
      </c>
      <c r="B1066" s="303" t="s">
        <v>404</v>
      </c>
      <c r="C1066" s="379" t="s">
        <v>961</v>
      </c>
      <c r="D1066" s="303" t="s">
        <v>553</v>
      </c>
      <c r="E1066" s="314" t="s">
        <v>326</v>
      </c>
      <c r="F1066" s="314"/>
      <c r="G1066" s="315">
        <f>'3 - Pipe Insulation'!H47</f>
        <v>1.9537953012070903</v>
      </c>
      <c r="H1066" s="305"/>
      <c r="I1066" s="305" t="s">
        <v>633</v>
      </c>
      <c r="J1066" s="305" t="s">
        <v>948</v>
      </c>
      <c r="K1066" s="305"/>
    </row>
    <row r="1067" spans="1:11" s="324" customFormat="1" x14ac:dyDescent="0.25">
      <c r="A1067" s="302" t="str">
        <f t="shared" si="22"/>
        <v>Pipe Insulation_Steam Small Fitting_MF_Lifetime (years)</v>
      </c>
      <c r="B1067" s="303" t="s">
        <v>404</v>
      </c>
      <c r="C1067" s="379" t="s">
        <v>961</v>
      </c>
      <c r="D1067" s="303" t="s">
        <v>553</v>
      </c>
      <c r="E1067" s="314" t="s">
        <v>259</v>
      </c>
      <c r="F1067" s="314" t="s">
        <v>548</v>
      </c>
      <c r="G1067" s="315">
        <v>15</v>
      </c>
      <c r="H1067" s="305"/>
      <c r="I1067" s="305" t="s">
        <v>152</v>
      </c>
      <c r="J1067" s="305" t="s">
        <v>405</v>
      </c>
      <c r="K1067" s="305" t="s">
        <v>1961</v>
      </c>
    </row>
    <row r="1068" spans="1:11" s="324" customFormat="1" x14ac:dyDescent="0.25">
      <c r="A1068" s="302" t="str">
        <f t="shared" si="22"/>
        <v>Pipe Insulation_Steam Small Fitting_MF_Incremental Cost</v>
      </c>
      <c r="B1068" s="303" t="s">
        <v>404</v>
      </c>
      <c r="C1068" s="379" t="s">
        <v>961</v>
      </c>
      <c r="D1068" s="303" t="s">
        <v>553</v>
      </c>
      <c r="E1068" s="314" t="s">
        <v>260</v>
      </c>
      <c r="F1068" s="314" t="s">
        <v>949</v>
      </c>
      <c r="G1068" s="328">
        <f>G1074*80%</f>
        <v>14.193520000000001</v>
      </c>
      <c r="H1068" s="305"/>
      <c r="I1068" s="305"/>
      <c r="J1068" s="305"/>
      <c r="K1068" s="305"/>
    </row>
    <row r="1069" spans="1:11" s="324" customFormat="1" x14ac:dyDescent="0.25">
      <c r="A1069" s="317" t="str">
        <f t="shared" si="22"/>
        <v>___</v>
      </c>
      <c r="B1069" s="317"/>
      <c r="C1069" s="317"/>
      <c r="D1069" s="317"/>
      <c r="E1069" s="320"/>
      <c r="F1069" s="320"/>
      <c r="G1069" s="329"/>
      <c r="H1069" s="320"/>
      <c r="I1069" s="320"/>
      <c r="J1069" s="320"/>
      <c r="K1069" s="320"/>
    </row>
    <row r="1070" spans="1:11" x14ac:dyDescent="0.25">
      <c r="A1070" s="302" t="str">
        <f t="shared" si="22"/>
        <v>Pipe Insulation_Steam Med Fitting_MF_kWh Saved per Unit</v>
      </c>
      <c r="B1070" s="303" t="s">
        <v>404</v>
      </c>
      <c r="C1070" s="379" t="s">
        <v>962</v>
      </c>
      <c r="D1070" s="303" t="s">
        <v>553</v>
      </c>
      <c r="E1070" s="314" t="s">
        <v>255</v>
      </c>
      <c r="F1070" s="314"/>
      <c r="G1070" s="315"/>
      <c r="H1070" s="305"/>
      <c r="I1070" s="305" t="s">
        <v>152</v>
      </c>
      <c r="J1070" s="305" t="s">
        <v>405</v>
      </c>
      <c r="K1070" s="305" t="s">
        <v>1961</v>
      </c>
    </row>
    <row r="1071" spans="1:11" x14ac:dyDescent="0.25">
      <c r="A1071" s="302" t="str">
        <f t="shared" si="22"/>
        <v>Pipe Insulation_Steam Med Fitting_MF_kW Saved per Unit</v>
      </c>
      <c r="B1071" s="303" t="s">
        <v>404</v>
      </c>
      <c r="C1071" s="379" t="s">
        <v>962</v>
      </c>
      <c r="D1071" s="303" t="s">
        <v>553</v>
      </c>
      <c r="E1071" s="314" t="s">
        <v>580</v>
      </c>
      <c r="F1071" s="326" t="s">
        <v>571</v>
      </c>
      <c r="G1071" s="315"/>
      <c r="H1071" s="305"/>
      <c r="I1071" s="305" t="s">
        <v>152</v>
      </c>
      <c r="J1071" s="305" t="s">
        <v>405</v>
      </c>
      <c r="K1071" s="305" t="s">
        <v>1961</v>
      </c>
    </row>
    <row r="1072" spans="1:11" x14ac:dyDescent="0.25">
      <c r="A1072" s="302" t="str">
        <f t="shared" si="22"/>
        <v>Pipe Insulation_Steam Med Fitting_MF_Therm Saved per Unit</v>
      </c>
      <c r="B1072" s="303" t="s">
        <v>404</v>
      </c>
      <c r="C1072" s="379" t="s">
        <v>962</v>
      </c>
      <c r="D1072" s="303" t="s">
        <v>553</v>
      </c>
      <c r="E1072" s="314" t="s">
        <v>326</v>
      </c>
      <c r="F1072" s="314"/>
      <c r="G1072" s="315">
        <f>'3 - Pipe Insulation'!B49</f>
        <v>20.134575475260416</v>
      </c>
      <c r="H1072" s="305"/>
      <c r="I1072" s="305" t="s">
        <v>633</v>
      </c>
      <c r="J1072" s="305" t="s">
        <v>948</v>
      </c>
      <c r="K1072" s="305"/>
    </row>
    <row r="1073" spans="1:11" x14ac:dyDescent="0.25">
      <c r="A1073" s="302" t="str">
        <f t="shared" si="22"/>
        <v>Pipe Insulation_Steam Med Fitting_MF_Lifetime (years)</v>
      </c>
      <c r="B1073" s="303" t="s">
        <v>404</v>
      </c>
      <c r="C1073" s="379" t="s">
        <v>962</v>
      </c>
      <c r="D1073" s="303" t="s">
        <v>553</v>
      </c>
      <c r="E1073" s="314" t="s">
        <v>259</v>
      </c>
      <c r="F1073" s="314" t="s">
        <v>548</v>
      </c>
      <c r="G1073" s="315">
        <v>15</v>
      </c>
      <c r="H1073" s="305"/>
      <c r="I1073" s="305" t="s">
        <v>152</v>
      </c>
      <c r="J1073" s="305" t="s">
        <v>405</v>
      </c>
      <c r="K1073" s="305" t="s">
        <v>1961</v>
      </c>
    </row>
    <row r="1074" spans="1:11" x14ac:dyDescent="0.25">
      <c r="A1074" s="302" t="str">
        <f t="shared" si="22"/>
        <v>Pipe Insulation_Steam Med Fitting_MF_Incremental Cost</v>
      </c>
      <c r="B1074" s="303" t="s">
        <v>404</v>
      </c>
      <c r="C1074" s="379" t="s">
        <v>962</v>
      </c>
      <c r="D1074" s="303" t="s">
        <v>553</v>
      </c>
      <c r="E1074" s="314" t="s">
        <v>260</v>
      </c>
      <c r="F1074" s="314" t="s">
        <v>949</v>
      </c>
      <c r="G1074" s="328">
        <v>17.741900000000001</v>
      </c>
      <c r="H1074" s="305" t="s">
        <v>959</v>
      </c>
      <c r="I1074" s="305" t="s">
        <v>614</v>
      </c>
      <c r="J1074" s="305"/>
      <c r="K1074" s="305"/>
    </row>
    <row r="1075" spans="1:11" s="324" customFormat="1" x14ac:dyDescent="0.25">
      <c r="A1075" s="317" t="str">
        <f t="shared" si="22"/>
        <v>Pipe Insulation_Steam Med Fitting_MF_</v>
      </c>
      <c r="B1075" s="317" t="str">
        <f>B1074</f>
        <v>Pipe Insulation</v>
      </c>
      <c r="C1075" s="317" t="str">
        <f>C1074</f>
        <v>Steam Med Fitting</v>
      </c>
      <c r="D1075" s="317" t="str">
        <f>D1074</f>
        <v>MF</v>
      </c>
      <c r="E1075" s="320"/>
      <c r="F1075" s="320"/>
      <c r="G1075" s="329"/>
      <c r="H1075" s="320"/>
      <c r="I1075" s="320"/>
      <c r="J1075" s="320"/>
      <c r="K1075" s="320"/>
    </row>
    <row r="1076" spans="1:11" x14ac:dyDescent="0.25">
      <c r="A1076" s="302" t="str">
        <f t="shared" si="22"/>
        <v>Pipe Insulation_Steam Large Fitting_MF_kWh Saved per Unit</v>
      </c>
      <c r="B1076" s="303" t="s">
        <v>404</v>
      </c>
      <c r="C1076" s="379" t="s">
        <v>963</v>
      </c>
      <c r="D1076" s="303" t="s">
        <v>553</v>
      </c>
      <c r="E1076" s="314" t="s">
        <v>255</v>
      </c>
      <c r="F1076" s="314"/>
      <c r="G1076" s="315"/>
      <c r="H1076" s="305"/>
      <c r="I1076" s="305" t="s">
        <v>152</v>
      </c>
      <c r="J1076" s="305" t="s">
        <v>405</v>
      </c>
      <c r="K1076" s="305" t="s">
        <v>1961</v>
      </c>
    </row>
    <row r="1077" spans="1:11" x14ac:dyDescent="0.25">
      <c r="A1077" s="302" t="str">
        <f t="shared" si="22"/>
        <v>Pipe Insulation_Steam Large Fitting_MF_kW Saved per Unit</v>
      </c>
      <c r="B1077" s="303" t="s">
        <v>404</v>
      </c>
      <c r="C1077" s="379" t="s">
        <v>963</v>
      </c>
      <c r="D1077" s="303" t="s">
        <v>553</v>
      </c>
      <c r="E1077" s="314" t="s">
        <v>580</v>
      </c>
      <c r="F1077" s="326" t="s">
        <v>571</v>
      </c>
      <c r="G1077" s="315"/>
      <c r="H1077" s="305"/>
      <c r="I1077" s="305" t="s">
        <v>152</v>
      </c>
      <c r="J1077" s="305" t="s">
        <v>405</v>
      </c>
      <c r="K1077" s="305" t="s">
        <v>1961</v>
      </c>
    </row>
    <row r="1078" spans="1:11" x14ac:dyDescent="0.25">
      <c r="A1078" s="302" t="str">
        <f t="shared" si="22"/>
        <v>Pipe Insulation_Steam Large Fitting_MF_Therm Saved per Unit</v>
      </c>
      <c r="B1078" s="303" t="s">
        <v>404</v>
      </c>
      <c r="C1078" s="379" t="s">
        <v>963</v>
      </c>
      <c r="D1078" s="303" t="s">
        <v>553</v>
      </c>
      <c r="E1078" s="314" t="s">
        <v>326</v>
      </c>
      <c r="F1078" s="314"/>
      <c r="G1078" s="315">
        <f>'3 - Pipe Insulation'!B52</f>
        <v>66.284273233024678</v>
      </c>
      <c r="H1078" s="305"/>
      <c r="I1078" s="305" t="s">
        <v>633</v>
      </c>
      <c r="J1078" s="305" t="s">
        <v>948</v>
      </c>
      <c r="K1078" s="305"/>
    </row>
    <row r="1079" spans="1:11" x14ac:dyDescent="0.25">
      <c r="A1079" s="302" t="str">
        <f t="shared" si="22"/>
        <v>Pipe Insulation_Steam Large Fitting_MF_Lifetime (years)</v>
      </c>
      <c r="B1079" s="303" t="s">
        <v>404</v>
      </c>
      <c r="C1079" s="379" t="s">
        <v>963</v>
      </c>
      <c r="D1079" s="303" t="s">
        <v>553</v>
      </c>
      <c r="E1079" s="314" t="s">
        <v>259</v>
      </c>
      <c r="F1079" s="314" t="s">
        <v>548</v>
      </c>
      <c r="G1079" s="315">
        <v>15</v>
      </c>
      <c r="H1079" s="305"/>
      <c r="I1079" s="305" t="s">
        <v>152</v>
      </c>
      <c r="J1079" s="305" t="s">
        <v>405</v>
      </c>
      <c r="K1079" s="305" t="s">
        <v>1961</v>
      </c>
    </row>
    <row r="1080" spans="1:11" x14ac:dyDescent="0.25">
      <c r="A1080" s="302" t="str">
        <f t="shared" si="22"/>
        <v>Pipe Insulation_Steam Large Fitting_MF_Incremental Cost</v>
      </c>
      <c r="B1080" s="303" t="s">
        <v>404</v>
      </c>
      <c r="C1080" s="379" t="s">
        <v>963</v>
      </c>
      <c r="D1080" s="303" t="s">
        <v>553</v>
      </c>
      <c r="E1080" s="314" t="s">
        <v>260</v>
      </c>
      <c r="F1080" s="314" t="s">
        <v>949</v>
      </c>
      <c r="G1080" s="328">
        <v>22.352000000000004</v>
      </c>
      <c r="H1080" s="305" t="s">
        <v>959</v>
      </c>
      <c r="I1080" s="305" t="s">
        <v>614</v>
      </c>
      <c r="J1080" s="305"/>
      <c r="K1080" s="305"/>
    </row>
    <row r="1081" spans="1:11" s="324" customFormat="1" x14ac:dyDescent="0.25">
      <c r="A1081" s="317" t="str">
        <f t="shared" si="22"/>
        <v>Pipe Insulation_Steam Large Fitting_MF_</v>
      </c>
      <c r="B1081" s="317" t="str">
        <f>B1080</f>
        <v>Pipe Insulation</v>
      </c>
      <c r="C1081" s="317" t="str">
        <f>C1080</f>
        <v>Steam Large Fitting</v>
      </c>
      <c r="D1081" s="317" t="str">
        <f>D1080</f>
        <v>MF</v>
      </c>
      <c r="E1081" s="320"/>
      <c r="F1081" s="320"/>
      <c r="G1081" s="329"/>
      <c r="H1081" s="320"/>
      <c r="I1081" s="320"/>
      <c r="J1081" s="320"/>
      <c r="K1081" s="320"/>
    </row>
    <row r="1082" spans="1:11" x14ac:dyDescent="0.25">
      <c r="A1082" s="302" t="str">
        <f t="shared" si="22"/>
        <v>Pipe Insulation_Steam X-Large Fitting_MF_kWh Saved per Unit</v>
      </c>
      <c r="B1082" s="303" t="s">
        <v>404</v>
      </c>
      <c r="C1082" s="378" t="s">
        <v>964</v>
      </c>
      <c r="D1082" s="303" t="s">
        <v>553</v>
      </c>
      <c r="E1082" s="314" t="s">
        <v>255</v>
      </c>
      <c r="F1082" s="314"/>
      <c r="G1082" s="315"/>
      <c r="H1082" s="305"/>
      <c r="I1082" s="305" t="s">
        <v>152</v>
      </c>
      <c r="J1082" s="305" t="s">
        <v>405</v>
      </c>
      <c r="K1082" s="305" t="s">
        <v>1961</v>
      </c>
    </row>
    <row r="1083" spans="1:11" x14ac:dyDescent="0.25">
      <c r="A1083" s="302" t="str">
        <f t="shared" si="22"/>
        <v>Pipe Insulation_Steam X-Large Fitting_MF_kW Saved per Unit</v>
      </c>
      <c r="B1083" s="303" t="s">
        <v>404</v>
      </c>
      <c r="C1083" s="378" t="s">
        <v>964</v>
      </c>
      <c r="D1083" s="303" t="s">
        <v>553</v>
      </c>
      <c r="E1083" s="314" t="s">
        <v>580</v>
      </c>
      <c r="F1083" s="326" t="s">
        <v>571</v>
      </c>
      <c r="G1083" s="315"/>
      <c r="H1083" s="305"/>
      <c r="I1083" s="305" t="s">
        <v>152</v>
      </c>
      <c r="J1083" s="305" t="s">
        <v>405</v>
      </c>
      <c r="K1083" s="305" t="s">
        <v>1961</v>
      </c>
    </row>
    <row r="1084" spans="1:11" x14ac:dyDescent="0.25">
      <c r="A1084" s="302" t="str">
        <f t="shared" si="22"/>
        <v>Pipe Insulation_Steam X-Large Fitting_MF_Therm Saved per Unit</v>
      </c>
      <c r="B1084" s="303" t="s">
        <v>404</v>
      </c>
      <c r="C1084" s="378" t="s">
        <v>964</v>
      </c>
      <c r="D1084" s="303" t="s">
        <v>553</v>
      </c>
      <c r="E1084" s="314" t="s">
        <v>326</v>
      </c>
      <c r="F1084" s="314"/>
      <c r="G1084" s="315">
        <f>'3 - Pipe Insulation'!B55</f>
        <v>113.8883886472908</v>
      </c>
      <c r="H1084" s="305"/>
      <c r="I1084" s="305" t="s">
        <v>633</v>
      </c>
      <c r="J1084" s="305" t="s">
        <v>948</v>
      </c>
      <c r="K1084" s="305"/>
    </row>
    <row r="1085" spans="1:11" x14ac:dyDescent="0.25">
      <c r="A1085" s="302" t="str">
        <f t="shared" si="22"/>
        <v>Pipe Insulation_Steam X-Large Fitting_MF_Lifetime (years)</v>
      </c>
      <c r="B1085" s="303" t="s">
        <v>404</v>
      </c>
      <c r="C1085" s="378" t="s">
        <v>964</v>
      </c>
      <c r="D1085" s="303" t="s">
        <v>553</v>
      </c>
      <c r="E1085" s="314" t="s">
        <v>259</v>
      </c>
      <c r="F1085" s="314" t="s">
        <v>548</v>
      </c>
      <c r="G1085" s="315">
        <v>15</v>
      </c>
      <c r="H1085" s="305"/>
      <c r="I1085" s="305" t="s">
        <v>152</v>
      </c>
      <c r="J1085" s="305" t="s">
        <v>405</v>
      </c>
      <c r="K1085" s="305" t="s">
        <v>1961</v>
      </c>
    </row>
    <row r="1086" spans="1:11" x14ac:dyDescent="0.25">
      <c r="A1086" s="302" t="str">
        <f t="shared" si="22"/>
        <v>Pipe Insulation_Steam X-Large Fitting_MF_Incremental Cost</v>
      </c>
      <c r="B1086" s="303" t="s">
        <v>404</v>
      </c>
      <c r="C1086" s="378" t="s">
        <v>964</v>
      </c>
      <c r="D1086" s="303" t="s">
        <v>553</v>
      </c>
      <c r="E1086" s="314" t="s">
        <v>260</v>
      </c>
      <c r="F1086" s="314" t="s">
        <v>949</v>
      </c>
      <c r="G1086" s="328">
        <v>34.925000000000004</v>
      </c>
      <c r="H1086" s="305" t="s">
        <v>959</v>
      </c>
      <c r="I1086" s="305" t="s">
        <v>614</v>
      </c>
      <c r="J1086" s="305"/>
      <c r="K1086" s="305"/>
    </row>
    <row r="1087" spans="1:11" s="324" customFormat="1" x14ac:dyDescent="0.25">
      <c r="A1087" s="317" t="str">
        <f t="shared" si="22"/>
        <v>Pipe Insulation_Steam X-Large Fitting_MF_</v>
      </c>
      <c r="B1087" s="317" t="str">
        <f>B1086</f>
        <v>Pipe Insulation</v>
      </c>
      <c r="C1087" s="317" t="str">
        <f>C1086</f>
        <v>Steam X-Large Fitting</v>
      </c>
      <c r="D1087" s="317" t="str">
        <f>D1086</f>
        <v>MF</v>
      </c>
      <c r="E1087" s="320"/>
      <c r="F1087" s="320"/>
      <c r="G1087" s="329"/>
      <c r="H1087" s="320"/>
      <c r="I1087" s="320"/>
      <c r="J1087" s="320"/>
      <c r="K1087" s="320"/>
    </row>
    <row r="1088" spans="1:11" x14ac:dyDescent="0.25">
      <c r="A1088" s="302" t="str">
        <f t="shared" si="22"/>
        <v>Pipe Insulation_Steam Small Valve_MF_kWh Saved per Unit</v>
      </c>
      <c r="B1088" s="303" t="s">
        <v>404</v>
      </c>
      <c r="C1088" s="379" t="s">
        <v>965</v>
      </c>
      <c r="D1088" s="303" t="s">
        <v>553</v>
      </c>
      <c r="E1088" s="314" t="s">
        <v>255</v>
      </c>
      <c r="F1088" s="314"/>
      <c r="G1088" s="315"/>
      <c r="H1088" s="305"/>
      <c r="I1088" s="305" t="s">
        <v>152</v>
      </c>
      <c r="J1088" s="305" t="s">
        <v>405</v>
      </c>
      <c r="K1088" s="305" t="s">
        <v>1961</v>
      </c>
    </row>
    <row r="1089" spans="1:11" x14ac:dyDescent="0.25">
      <c r="A1089" s="302" t="str">
        <f t="shared" si="22"/>
        <v>Pipe Insulation_Steam Small Valve_MF_kW Saved per Unit</v>
      </c>
      <c r="B1089" s="303" t="s">
        <v>404</v>
      </c>
      <c r="C1089" s="379" t="s">
        <v>965</v>
      </c>
      <c r="D1089" s="303" t="s">
        <v>553</v>
      </c>
      <c r="E1089" s="314" t="s">
        <v>580</v>
      </c>
      <c r="F1089" s="326" t="s">
        <v>571</v>
      </c>
      <c r="G1089" s="315"/>
      <c r="H1089" s="305"/>
      <c r="I1089" s="305" t="s">
        <v>152</v>
      </c>
      <c r="J1089" s="305" t="s">
        <v>405</v>
      </c>
      <c r="K1089" s="305" t="s">
        <v>1961</v>
      </c>
    </row>
    <row r="1090" spans="1:11" x14ac:dyDescent="0.25">
      <c r="A1090" s="302" t="str">
        <f t="shared" si="22"/>
        <v>Pipe Insulation_Steam Small Valve_MF_Therm Saved per Unit</v>
      </c>
      <c r="B1090" s="303" t="s">
        <v>404</v>
      </c>
      <c r="C1090" s="379" t="s">
        <v>965</v>
      </c>
      <c r="D1090" s="303" t="s">
        <v>553</v>
      </c>
      <c r="E1090" s="314" t="s">
        <v>326</v>
      </c>
      <c r="F1090" s="314"/>
      <c r="G1090" s="315">
        <f>'3 - Pipe Insulation'!H48</f>
        <v>11.028529822042056</v>
      </c>
      <c r="H1090" s="305"/>
      <c r="I1090" s="305" t="s">
        <v>633</v>
      </c>
      <c r="J1090" s="305" t="s">
        <v>948</v>
      </c>
      <c r="K1090" s="305"/>
    </row>
    <row r="1091" spans="1:11" x14ac:dyDescent="0.25">
      <c r="A1091" s="302" t="str">
        <f t="shared" si="22"/>
        <v>Pipe Insulation_Steam Small Valve_MF_Lifetime (years)</v>
      </c>
      <c r="B1091" s="303" t="s">
        <v>404</v>
      </c>
      <c r="C1091" s="379" t="s">
        <v>965</v>
      </c>
      <c r="D1091" s="303" t="s">
        <v>553</v>
      </c>
      <c r="E1091" s="314" t="s">
        <v>259</v>
      </c>
      <c r="F1091" s="314" t="s">
        <v>548</v>
      </c>
      <c r="G1091" s="315">
        <v>15</v>
      </c>
      <c r="H1091" s="305"/>
      <c r="I1091" s="305" t="s">
        <v>152</v>
      </c>
      <c r="J1091" s="305" t="s">
        <v>405</v>
      </c>
      <c r="K1091" s="305" t="s">
        <v>1961</v>
      </c>
    </row>
    <row r="1092" spans="1:11" x14ac:dyDescent="0.25">
      <c r="A1092" s="302" t="str">
        <f t="shared" si="22"/>
        <v>Pipe Insulation_Steam Small Valve_MF_Incremental Cost</v>
      </c>
      <c r="B1092" s="303" t="s">
        <v>404</v>
      </c>
      <c r="C1092" s="379" t="s">
        <v>965</v>
      </c>
      <c r="D1092" s="303" t="s">
        <v>553</v>
      </c>
      <c r="E1092" s="314" t="s">
        <v>260</v>
      </c>
      <c r="F1092" s="314" t="s">
        <v>949</v>
      </c>
      <c r="G1092" s="328">
        <f>G1098*80%</f>
        <v>19.558000000000003</v>
      </c>
      <c r="H1092" s="305"/>
      <c r="I1092" s="305"/>
      <c r="J1092" s="305"/>
      <c r="K1092" s="305"/>
    </row>
    <row r="1093" spans="1:11" s="324" customFormat="1" x14ac:dyDescent="0.25">
      <c r="A1093" s="317" t="str">
        <f t="shared" si="22"/>
        <v>Pipe Insulation_Steam Small Valve_MF_</v>
      </c>
      <c r="B1093" s="317" t="str">
        <f>B1092</f>
        <v>Pipe Insulation</v>
      </c>
      <c r="C1093" s="317" t="str">
        <f>C1092</f>
        <v>Steam Small Valve</v>
      </c>
      <c r="D1093" s="317" t="str">
        <f>D1092</f>
        <v>MF</v>
      </c>
      <c r="E1093" s="320"/>
      <c r="F1093" s="320"/>
      <c r="G1093" s="329"/>
      <c r="H1093" s="320"/>
      <c r="I1093" s="320"/>
      <c r="J1093" s="320"/>
      <c r="K1093" s="320"/>
    </row>
    <row r="1094" spans="1:11" x14ac:dyDescent="0.25">
      <c r="A1094" s="302" t="str">
        <f t="shared" si="22"/>
        <v>Pipe Insulation_Steam Med Valve_MF_kWh Saved per Unit</v>
      </c>
      <c r="B1094" s="303" t="s">
        <v>404</v>
      </c>
      <c r="C1094" s="379" t="s">
        <v>966</v>
      </c>
      <c r="D1094" s="303" t="s">
        <v>553</v>
      </c>
      <c r="E1094" s="314" t="s">
        <v>255</v>
      </c>
      <c r="F1094" s="314"/>
      <c r="G1094" s="315"/>
      <c r="H1094" s="305"/>
      <c r="I1094" s="305" t="s">
        <v>152</v>
      </c>
      <c r="J1094" s="305" t="s">
        <v>405</v>
      </c>
      <c r="K1094" s="305" t="s">
        <v>1961</v>
      </c>
    </row>
    <row r="1095" spans="1:11" x14ac:dyDescent="0.25">
      <c r="A1095" s="302" t="str">
        <f t="shared" si="22"/>
        <v>Pipe Insulation_Steam Med Valve_MF_kW Saved per Unit</v>
      </c>
      <c r="B1095" s="303" t="s">
        <v>404</v>
      </c>
      <c r="C1095" s="379" t="s">
        <v>966</v>
      </c>
      <c r="D1095" s="303" t="s">
        <v>553</v>
      </c>
      <c r="E1095" s="314" t="s">
        <v>580</v>
      </c>
      <c r="F1095" s="326" t="s">
        <v>571</v>
      </c>
      <c r="G1095" s="315"/>
      <c r="H1095" s="305"/>
      <c r="I1095" s="305" t="s">
        <v>152</v>
      </c>
      <c r="J1095" s="305" t="s">
        <v>405</v>
      </c>
      <c r="K1095" s="305" t="s">
        <v>1961</v>
      </c>
    </row>
    <row r="1096" spans="1:11" x14ac:dyDescent="0.25">
      <c r="A1096" s="302" t="str">
        <f t="shared" si="22"/>
        <v>Pipe Insulation_Steam Med Valve_MF_Therm Saved per Unit</v>
      </c>
      <c r="B1096" s="303" t="s">
        <v>404</v>
      </c>
      <c r="C1096" s="379" t="s">
        <v>966</v>
      </c>
      <c r="D1096" s="303" t="s">
        <v>553</v>
      </c>
      <c r="E1096" s="314" t="s">
        <v>326</v>
      </c>
      <c r="F1096" s="314"/>
      <c r="G1096" s="315">
        <f>'3 - Pipe Insulation'!B50</f>
        <v>67.962640249087912</v>
      </c>
      <c r="H1096" s="305"/>
      <c r="I1096" s="305" t="s">
        <v>633</v>
      </c>
      <c r="J1096" s="305" t="s">
        <v>948</v>
      </c>
      <c r="K1096" s="305"/>
    </row>
    <row r="1097" spans="1:11" x14ac:dyDescent="0.25">
      <c r="A1097" s="302" t="str">
        <f t="shared" si="22"/>
        <v>Pipe Insulation_Steam Med Valve_MF_Lifetime (years)</v>
      </c>
      <c r="B1097" s="303" t="s">
        <v>404</v>
      </c>
      <c r="C1097" s="379" t="s">
        <v>966</v>
      </c>
      <c r="D1097" s="303" t="s">
        <v>553</v>
      </c>
      <c r="E1097" s="314" t="s">
        <v>259</v>
      </c>
      <c r="F1097" s="314" t="s">
        <v>548</v>
      </c>
      <c r="G1097" s="315">
        <v>15</v>
      </c>
      <c r="H1097" s="305"/>
      <c r="I1097" s="305" t="s">
        <v>152</v>
      </c>
      <c r="J1097" s="305" t="s">
        <v>405</v>
      </c>
      <c r="K1097" s="305" t="s">
        <v>1961</v>
      </c>
    </row>
    <row r="1098" spans="1:11" x14ac:dyDescent="0.25">
      <c r="A1098" s="302" t="str">
        <f t="shared" si="22"/>
        <v>Pipe Insulation_Steam Med Valve_MF_Incremental Cost</v>
      </c>
      <c r="B1098" s="303" t="s">
        <v>404</v>
      </c>
      <c r="C1098" s="379" t="s">
        <v>966</v>
      </c>
      <c r="D1098" s="303" t="s">
        <v>553</v>
      </c>
      <c r="E1098" s="314" t="s">
        <v>260</v>
      </c>
      <c r="F1098" s="314" t="s">
        <v>949</v>
      </c>
      <c r="G1098" s="328">
        <v>24.447500000000002</v>
      </c>
      <c r="H1098" s="305" t="s">
        <v>959</v>
      </c>
      <c r="I1098" s="305" t="s">
        <v>614</v>
      </c>
      <c r="J1098" s="305"/>
      <c r="K1098" s="305"/>
    </row>
    <row r="1099" spans="1:11" s="324" customFormat="1" x14ac:dyDescent="0.25">
      <c r="A1099" s="317" t="str">
        <f t="shared" si="22"/>
        <v>Pipe Insulation_Steam Med Valve_MF_</v>
      </c>
      <c r="B1099" s="317" t="str">
        <f>B1098</f>
        <v>Pipe Insulation</v>
      </c>
      <c r="C1099" s="317" t="str">
        <f>C1098</f>
        <v>Steam Med Valve</v>
      </c>
      <c r="D1099" s="317" t="str">
        <f>D1098</f>
        <v>MF</v>
      </c>
      <c r="E1099" s="320"/>
      <c r="F1099" s="320"/>
      <c r="G1099" s="329"/>
      <c r="H1099" s="320"/>
      <c r="I1099" s="320"/>
      <c r="J1099" s="320"/>
      <c r="K1099" s="320"/>
    </row>
    <row r="1100" spans="1:11" x14ac:dyDescent="0.25">
      <c r="A1100" s="302" t="str">
        <f t="shared" si="22"/>
        <v>Pipe Insulation_Steam Large Valve_MF_kWh Saved per Unit</v>
      </c>
      <c r="B1100" s="303" t="s">
        <v>404</v>
      </c>
      <c r="C1100" s="379" t="s">
        <v>967</v>
      </c>
      <c r="D1100" s="303" t="s">
        <v>553</v>
      </c>
      <c r="E1100" s="314" t="s">
        <v>255</v>
      </c>
      <c r="F1100" s="314"/>
      <c r="G1100" s="315"/>
      <c r="H1100" s="305"/>
      <c r="I1100" s="305" t="s">
        <v>152</v>
      </c>
      <c r="J1100" s="305" t="s">
        <v>405</v>
      </c>
      <c r="K1100" s="305" t="s">
        <v>1961</v>
      </c>
    </row>
    <row r="1101" spans="1:11" x14ac:dyDescent="0.25">
      <c r="A1101" s="302" t="str">
        <f t="shared" si="22"/>
        <v>Pipe Insulation_Steam Large Valve_MF_kW Saved per Unit</v>
      </c>
      <c r="B1101" s="303" t="s">
        <v>404</v>
      </c>
      <c r="C1101" s="379" t="s">
        <v>967</v>
      </c>
      <c r="D1101" s="303" t="s">
        <v>553</v>
      </c>
      <c r="E1101" s="314" t="s">
        <v>580</v>
      </c>
      <c r="F1101" s="326" t="s">
        <v>571</v>
      </c>
      <c r="G1101" s="315"/>
      <c r="H1101" s="305"/>
      <c r="I1101" s="305" t="s">
        <v>152</v>
      </c>
      <c r="J1101" s="305" t="s">
        <v>405</v>
      </c>
      <c r="K1101" s="305" t="s">
        <v>1961</v>
      </c>
    </row>
    <row r="1102" spans="1:11" x14ac:dyDescent="0.25">
      <c r="A1102" s="302" t="str">
        <f t="shared" si="22"/>
        <v>Pipe Insulation_Steam Large Valve_MF_Therm Saved per Unit</v>
      </c>
      <c r="B1102" s="303" t="s">
        <v>404</v>
      </c>
      <c r="C1102" s="379" t="s">
        <v>967</v>
      </c>
      <c r="D1102" s="303" t="s">
        <v>553</v>
      </c>
      <c r="E1102" s="314" t="s">
        <v>326</v>
      </c>
      <c r="F1102" s="314"/>
      <c r="G1102" s="315">
        <f>'3 - Pipe Insulation'!B53</f>
        <v>133.90978522057964</v>
      </c>
      <c r="H1102" s="305"/>
      <c r="I1102" s="305" t="s">
        <v>633</v>
      </c>
      <c r="J1102" s="305" t="s">
        <v>948</v>
      </c>
      <c r="K1102" s="305"/>
    </row>
    <row r="1103" spans="1:11" x14ac:dyDescent="0.25">
      <c r="A1103" s="302" t="str">
        <f t="shared" si="22"/>
        <v>Pipe Insulation_Steam Large Valve_MF_Lifetime (years)</v>
      </c>
      <c r="B1103" s="303" t="s">
        <v>404</v>
      </c>
      <c r="C1103" s="379" t="s">
        <v>967</v>
      </c>
      <c r="D1103" s="303" t="s">
        <v>553</v>
      </c>
      <c r="E1103" s="314" t="s">
        <v>259</v>
      </c>
      <c r="F1103" s="314" t="s">
        <v>548</v>
      </c>
      <c r="G1103" s="315">
        <v>15</v>
      </c>
      <c r="H1103" s="305"/>
      <c r="I1103" s="305" t="s">
        <v>152</v>
      </c>
      <c r="J1103" s="305" t="s">
        <v>405</v>
      </c>
      <c r="K1103" s="305" t="s">
        <v>1961</v>
      </c>
    </row>
    <row r="1104" spans="1:11" x14ac:dyDescent="0.25">
      <c r="A1104" s="302" t="str">
        <f t="shared" si="22"/>
        <v>Pipe Insulation_Steam Large Valve_MF_Incremental Cost</v>
      </c>
      <c r="B1104" s="303" t="s">
        <v>404</v>
      </c>
      <c r="C1104" s="379" t="s">
        <v>967</v>
      </c>
      <c r="D1104" s="303" t="s">
        <v>553</v>
      </c>
      <c r="E1104" s="314" t="s">
        <v>260</v>
      </c>
      <c r="F1104" s="314" t="s">
        <v>949</v>
      </c>
      <c r="G1104" s="328">
        <v>94.995999999999995</v>
      </c>
      <c r="H1104" s="305" t="s">
        <v>959</v>
      </c>
      <c r="I1104" s="305" t="s">
        <v>614</v>
      </c>
      <c r="J1104" s="305"/>
      <c r="K1104" s="305"/>
    </row>
    <row r="1105" spans="1:11" s="324" customFormat="1" x14ac:dyDescent="0.25">
      <c r="A1105" s="317" t="str">
        <f t="shared" si="22"/>
        <v>Pipe Insulation_Steam Large Valve_MF_</v>
      </c>
      <c r="B1105" s="317" t="str">
        <f>B1104</f>
        <v>Pipe Insulation</v>
      </c>
      <c r="C1105" s="317" t="str">
        <f>C1104</f>
        <v>Steam Large Valve</v>
      </c>
      <c r="D1105" s="317" t="str">
        <f>D1104</f>
        <v>MF</v>
      </c>
      <c r="E1105" s="320"/>
      <c r="F1105" s="320"/>
      <c r="G1105" s="329"/>
      <c r="H1105" s="320"/>
      <c r="I1105" s="320"/>
      <c r="J1105" s="320"/>
      <c r="K1105" s="320"/>
    </row>
    <row r="1106" spans="1:11" x14ac:dyDescent="0.25">
      <c r="A1106" s="302" t="str">
        <f t="shared" si="22"/>
        <v>Pipe Insulation_Steam X-Large Valve_MF_kWh Saved per Unit</v>
      </c>
      <c r="B1106" s="303" t="s">
        <v>404</v>
      </c>
      <c r="C1106" s="379" t="s">
        <v>968</v>
      </c>
      <c r="D1106" s="303" t="s">
        <v>553</v>
      </c>
      <c r="E1106" s="314" t="s">
        <v>255</v>
      </c>
      <c r="F1106" s="314"/>
      <c r="G1106" s="315"/>
      <c r="H1106" s="305"/>
      <c r="I1106" s="305" t="s">
        <v>152</v>
      </c>
      <c r="J1106" s="305" t="s">
        <v>405</v>
      </c>
      <c r="K1106" s="305" t="s">
        <v>1961</v>
      </c>
    </row>
    <row r="1107" spans="1:11" x14ac:dyDescent="0.25">
      <c r="A1107" s="302" t="str">
        <f t="shared" si="22"/>
        <v>Pipe Insulation_Steam X-Large Valve_MF_kW Saved per Unit</v>
      </c>
      <c r="B1107" s="303" t="s">
        <v>404</v>
      </c>
      <c r="C1107" s="379" t="s">
        <v>968</v>
      </c>
      <c r="D1107" s="303" t="s">
        <v>553</v>
      </c>
      <c r="E1107" s="314" t="s">
        <v>580</v>
      </c>
      <c r="F1107" s="326" t="s">
        <v>571</v>
      </c>
      <c r="G1107" s="315"/>
      <c r="H1107" s="305"/>
      <c r="I1107" s="305" t="s">
        <v>152</v>
      </c>
      <c r="J1107" s="305" t="s">
        <v>405</v>
      </c>
      <c r="K1107" s="305" t="s">
        <v>1961</v>
      </c>
    </row>
    <row r="1108" spans="1:11" x14ac:dyDescent="0.25">
      <c r="A1108" s="302" t="str">
        <f t="shared" si="22"/>
        <v>Pipe Insulation_Steam X-Large Valve_MF_Therm Saved per Unit</v>
      </c>
      <c r="B1108" s="303" t="s">
        <v>404</v>
      </c>
      <c r="C1108" s="379" t="s">
        <v>968</v>
      </c>
      <c r="D1108" s="303" t="s">
        <v>553</v>
      </c>
      <c r="E1108" s="314" t="s">
        <v>326</v>
      </c>
      <c r="F1108" s="314"/>
      <c r="G1108" s="315">
        <f>'3 - Pipe Insulation'!B50</f>
        <v>67.962640249087912</v>
      </c>
      <c r="H1108" s="305"/>
      <c r="I1108" s="305" t="s">
        <v>633</v>
      </c>
      <c r="J1108" s="305" t="s">
        <v>948</v>
      </c>
      <c r="K1108" s="305"/>
    </row>
    <row r="1109" spans="1:11" x14ac:dyDescent="0.25">
      <c r="A1109" s="302" t="str">
        <f t="shared" ref="A1109:A1172" si="23">B1109&amp;"_"&amp;C1109&amp;"_"&amp;D1109&amp;"_"&amp;E1109</f>
        <v>Pipe Insulation_Steam X-Large Valve_MF_Lifetime (years)</v>
      </c>
      <c r="B1109" s="303" t="s">
        <v>404</v>
      </c>
      <c r="C1109" s="379" t="s">
        <v>968</v>
      </c>
      <c r="D1109" s="303" t="s">
        <v>553</v>
      </c>
      <c r="E1109" s="314" t="s">
        <v>259</v>
      </c>
      <c r="F1109" s="314" t="s">
        <v>548</v>
      </c>
      <c r="G1109" s="315">
        <v>15</v>
      </c>
      <c r="H1109" s="305"/>
      <c r="I1109" s="305" t="s">
        <v>152</v>
      </c>
      <c r="J1109" s="305" t="s">
        <v>405</v>
      </c>
      <c r="K1109" s="305" t="s">
        <v>1961</v>
      </c>
    </row>
    <row r="1110" spans="1:11" x14ac:dyDescent="0.25">
      <c r="A1110" s="302" t="str">
        <f t="shared" si="23"/>
        <v>Pipe Insulation_Steam X-Large Valve_MF_Incremental Cost</v>
      </c>
      <c r="B1110" s="303" t="s">
        <v>404</v>
      </c>
      <c r="C1110" s="379" t="s">
        <v>968</v>
      </c>
      <c r="D1110" s="303" t="s">
        <v>553</v>
      </c>
      <c r="E1110" s="314" t="s">
        <v>260</v>
      </c>
      <c r="F1110" s="314" t="s">
        <v>949</v>
      </c>
      <c r="G1110" s="328">
        <v>164.846</v>
      </c>
      <c r="H1110" s="305" t="s">
        <v>959</v>
      </c>
      <c r="I1110" s="305" t="s">
        <v>614</v>
      </c>
      <c r="J1110" s="305"/>
      <c r="K1110" s="305"/>
    </row>
    <row r="1111" spans="1:11" s="324" customFormat="1" x14ac:dyDescent="0.25">
      <c r="A1111" s="317" t="str">
        <f t="shared" si="23"/>
        <v>Pipe Insulation_Steam X-Large Valve_MF_</v>
      </c>
      <c r="B1111" s="317" t="str">
        <f>B1110</f>
        <v>Pipe Insulation</v>
      </c>
      <c r="C1111" s="317" t="str">
        <f>C1110</f>
        <v>Steam X-Large Valve</v>
      </c>
      <c r="D1111" s="317" t="str">
        <f>D1110</f>
        <v>MF</v>
      </c>
      <c r="E1111" s="320"/>
      <c r="F1111" s="320"/>
      <c r="G1111" s="329"/>
      <c r="H1111" s="320"/>
      <c r="I1111" s="320"/>
      <c r="J1111" s="320"/>
      <c r="K1111" s="320"/>
    </row>
    <row r="1112" spans="1:11" x14ac:dyDescent="0.25">
      <c r="A1112" s="302" t="str">
        <f t="shared" si="23"/>
        <v>Pipe Insulation_Dry Cleaners_CI/SMB_kWh Saved per Unit</v>
      </c>
      <c r="B1112" s="303" t="s">
        <v>404</v>
      </c>
      <c r="C1112" s="379" t="s">
        <v>969</v>
      </c>
      <c r="D1112" s="303" t="s">
        <v>970</v>
      </c>
      <c r="E1112" s="314" t="s">
        <v>255</v>
      </c>
      <c r="F1112" s="314"/>
      <c r="G1112" s="315"/>
      <c r="H1112" s="305"/>
      <c r="I1112" s="305" t="s">
        <v>152</v>
      </c>
      <c r="J1112" s="305" t="s">
        <v>405</v>
      </c>
      <c r="K1112" s="305" t="s">
        <v>1961</v>
      </c>
    </row>
    <row r="1113" spans="1:11" x14ac:dyDescent="0.25">
      <c r="A1113" s="302" t="str">
        <f t="shared" si="23"/>
        <v>Pipe Insulation_Dry Cleaners_CI/SMB_kW Saved per Unit</v>
      </c>
      <c r="B1113" s="303" t="s">
        <v>404</v>
      </c>
      <c r="C1113" s="379" t="s">
        <v>969</v>
      </c>
      <c r="D1113" s="303" t="s">
        <v>970</v>
      </c>
      <c r="E1113" s="314" t="s">
        <v>580</v>
      </c>
      <c r="F1113" s="326" t="s">
        <v>571</v>
      </c>
      <c r="G1113" s="315"/>
      <c r="H1113" s="305"/>
      <c r="I1113" s="305" t="s">
        <v>152</v>
      </c>
      <c r="J1113" s="305" t="s">
        <v>405</v>
      </c>
      <c r="K1113" s="305" t="s">
        <v>1961</v>
      </c>
    </row>
    <row r="1114" spans="1:11" x14ac:dyDescent="0.25">
      <c r="A1114" s="302" t="str">
        <f t="shared" si="23"/>
        <v>Pipe Insulation_Dry Cleaners_CI/SMB_Therm Saved per Unit</v>
      </c>
      <c r="B1114" s="303" t="s">
        <v>404</v>
      </c>
      <c r="C1114" s="379" t="s">
        <v>969</v>
      </c>
      <c r="D1114" s="303" t="s">
        <v>970</v>
      </c>
      <c r="E1114" s="314" t="s">
        <v>326</v>
      </c>
      <c r="F1114" s="314"/>
      <c r="G1114" s="315">
        <f>'3 - Pipe Insulation'!L235</f>
        <v>2.6562680100025178</v>
      </c>
      <c r="H1114" s="305"/>
      <c r="I1114" s="305" t="s">
        <v>633</v>
      </c>
      <c r="J1114" s="305" t="s">
        <v>948</v>
      </c>
      <c r="K1114" s="305"/>
    </row>
    <row r="1115" spans="1:11" x14ac:dyDescent="0.25">
      <c r="A1115" s="302" t="str">
        <f t="shared" si="23"/>
        <v>Pipe Insulation_Dry Cleaners_CI/SMB_Lifetime (years)</v>
      </c>
      <c r="B1115" s="303" t="s">
        <v>404</v>
      </c>
      <c r="C1115" s="379" t="s">
        <v>969</v>
      </c>
      <c r="D1115" s="303" t="s">
        <v>970</v>
      </c>
      <c r="E1115" s="314" t="s">
        <v>259</v>
      </c>
      <c r="F1115" s="314" t="s">
        <v>548</v>
      </c>
      <c r="G1115" s="315">
        <v>15</v>
      </c>
      <c r="H1115" s="305"/>
      <c r="I1115" s="305" t="s">
        <v>152</v>
      </c>
      <c r="J1115" s="305" t="s">
        <v>405</v>
      </c>
      <c r="K1115" s="305" t="s">
        <v>1961</v>
      </c>
    </row>
    <row r="1116" spans="1:11" x14ac:dyDescent="0.25">
      <c r="A1116" s="302" t="str">
        <f t="shared" si="23"/>
        <v>Pipe Insulation_Dry Cleaners_CI/SMB_Incremental Cost</v>
      </c>
      <c r="B1116" s="303" t="s">
        <v>404</v>
      </c>
      <c r="C1116" s="379" t="s">
        <v>969</v>
      </c>
      <c r="D1116" s="303" t="s">
        <v>970</v>
      </c>
      <c r="E1116" s="314" t="s">
        <v>260</v>
      </c>
      <c r="F1116" s="314" t="s">
        <v>949</v>
      </c>
      <c r="G1116" s="328">
        <v>13.97</v>
      </c>
      <c r="H1116" s="305" t="s">
        <v>959</v>
      </c>
      <c r="I1116" s="305" t="s">
        <v>614</v>
      </c>
      <c r="J1116" s="305"/>
      <c r="K1116" s="305"/>
    </row>
    <row r="1117" spans="1:11" s="324" customFormat="1" x14ac:dyDescent="0.25">
      <c r="A1117" s="317" t="str">
        <f t="shared" si="23"/>
        <v>Pipe Insulation_Dry Cleaners_CI/SMB_</v>
      </c>
      <c r="B1117" s="317" t="str">
        <f>B1116</f>
        <v>Pipe Insulation</v>
      </c>
      <c r="C1117" s="380" t="str">
        <f>C1116</f>
        <v>Dry Cleaners</v>
      </c>
      <c r="D1117" s="317" t="str">
        <f>D1116</f>
        <v>CI/SMB</v>
      </c>
      <c r="E1117" s="320"/>
      <c r="F1117" s="320"/>
      <c r="G1117" s="329"/>
      <c r="H1117" s="320"/>
      <c r="I1117" s="320"/>
      <c r="J1117" s="320"/>
      <c r="K1117" s="320"/>
    </row>
    <row r="1118" spans="1:11" x14ac:dyDescent="0.25">
      <c r="A1118" s="302" t="str">
        <f t="shared" si="23"/>
        <v>Draft Controls_&gt; 2,000 MBH_MF_Ngi</v>
      </c>
      <c r="B1118" s="303" t="s">
        <v>971</v>
      </c>
      <c r="C1118" s="304" t="s">
        <v>972</v>
      </c>
      <c r="D1118" s="303" t="s">
        <v>553</v>
      </c>
      <c r="E1118" s="305" t="s">
        <v>420</v>
      </c>
      <c r="F1118" s="305" t="s">
        <v>479</v>
      </c>
      <c r="G1118" s="307">
        <v>1000</v>
      </c>
      <c r="H1118" s="305"/>
      <c r="I1118" s="305" t="s">
        <v>152</v>
      </c>
      <c r="J1118" s="305" t="s">
        <v>973</v>
      </c>
      <c r="K1118" s="305" t="s">
        <v>2367</v>
      </c>
    </row>
    <row r="1119" spans="1:11" x14ac:dyDescent="0.25">
      <c r="A1119" s="302" t="str">
        <f t="shared" si="23"/>
        <v>Draft Controls_&gt; 2,000 MBH_MF_SF</v>
      </c>
      <c r="B1119" s="303" t="s">
        <v>971</v>
      </c>
      <c r="C1119" s="304" t="s">
        <v>972</v>
      </c>
      <c r="D1119" s="303" t="s">
        <v>553</v>
      </c>
      <c r="E1119" s="305" t="s">
        <v>409</v>
      </c>
      <c r="F1119" s="305" t="s">
        <v>539</v>
      </c>
      <c r="G1119" s="308">
        <v>0.01</v>
      </c>
      <c r="H1119" s="305" t="s">
        <v>974</v>
      </c>
      <c r="I1119" s="305" t="s">
        <v>152</v>
      </c>
      <c r="J1119" s="305" t="s">
        <v>973</v>
      </c>
      <c r="K1119" s="305" t="s">
        <v>2367</v>
      </c>
    </row>
    <row r="1120" spans="1:11" x14ac:dyDescent="0.25">
      <c r="A1120" s="302" t="str">
        <f t="shared" si="23"/>
        <v>Draft Controls_&gt; 2,000 MBH_MF_EFLH</v>
      </c>
      <c r="B1120" s="303" t="s">
        <v>971</v>
      </c>
      <c r="C1120" s="304" t="s">
        <v>972</v>
      </c>
      <c r="D1120" s="303" t="s">
        <v>553</v>
      </c>
      <c r="E1120" s="305" t="s">
        <v>321</v>
      </c>
      <c r="F1120" s="305" t="s">
        <v>283</v>
      </c>
      <c r="G1120" s="325">
        <v>1481</v>
      </c>
      <c r="H1120" s="305" t="s">
        <v>975</v>
      </c>
      <c r="I1120" s="305" t="s">
        <v>152</v>
      </c>
      <c r="J1120" s="305" t="s">
        <v>973</v>
      </c>
      <c r="K1120" s="305" t="s">
        <v>2367</v>
      </c>
    </row>
    <row r="1121" spans="1:11" x14ac:dyDescent="0.25">
      <c r="A1121" s="302" t="str">
        <f t="shared" si="23"/>
        <v>Draft Controls_&gt; 2,000 MBH_MF_Conversion</v>
      </c>
      <c r="B1121" s="303" t="s">
        <v>971</v>
      </c>
      <c r="C1121" s="304" t="s">
        <v>972</v>
      </c>
      <c r="D1121" s="303" t="s">
        <v>553</v>
      </c>
      <c r="E1121" s="305" t="s">
        <v>284</v>
      </c>
      <c r="F1121" s="305" t="s">
        <v>622</v>
      </c>
      <c r="G1121" s="325">
        <v>100000</v>
      </c>
      <c r="H1121" s="305"/>
      <c r="I1121" s="305" t="s">
        <v>152</v>
      </c>
      <c r="J1121" s="305" t="s">
        <v>973</v>
      </c>
      <c r="K1121" s="305" t="s">
        <v>2367</v>
      </c>
    </row>
    <row r="1122" spans="1:11" x14ac:dyDescent="0.25">
      <c r="A1122" s="302" t="str">
        <f t="shared" si="23"/>
        <v>Draft Controls_&gt; 2,000 MBH_MF_Therm Saved per Unit</v>
      </c>
      <c r="B1122" s="303" t="s">
        <v>971</v>
      </c>
      <c r="C1122" s="304" t="s">
        <v>972</v>
      </c>
      <c r="D1122" s="303" t="s">
        <v>553</v>
      </c>
      <c r="E1122" s="314" t="s">
        <v>326</v>
      </c>
      <c r="F1122" s="314"/>
      <c r="G1122" s="315">
        <f>G1118*G1119*G1120/G1121</f>
        <v>0.14810000000000001</v>
      </c>
      <c r="H1122" s="305"/>
      <c r="I1122" s="305" t="s">
        <v>152</v>
      </c>
      <c r="J1122" s="305" t="s">
        <v>973</v>
      </c>
      <c r="K1122" s="305" t="s">
        <v>2367</v>
      </c>
    </row>
    <row r="1123" spans="1:11" x14ac:dyDescent="0.25">
      <c r="A1123" s="302" t="str">
        <f t="shared" si="23"/>
        <v>Draft Controls_&gt; 2,000 MBH_MF_Lifetime (years)</v>
      </c>
      <c r="B1123" s="303" t="s">
        <v>971</v>
      </c>
      <c r="C1123" s="304" t="s">
        <v>972</v>
      </c>
      <c r="D1123" s="303" t="s">
        <v>553</v>
      </c>
      <c r="E1123" s="314" t="s">
        <v>259</v>
      </c>
      <c r="F1123" s="314" t="s">
        <v>548</v>
      </c>
      <c r="G1123" s="315">
        <v>15</v>
      </c>
      <c r="H1123" s="305" t="s">
        <v>976</v>
      </c>
      <c r="I1123" s="305" t="s">
        <v>152</v>
      </c>
      <c r="J1123" s="305" t="s">
        <v>973</v>
      </c>
      <c r="K1123" s="305" t="s">
        <v>2367</v>
      </c>
    </row>
    <row r="1124" spans="1:11" x14ac:dyDescent="0.25">
      <c r="A1124" s="302" t="str">
        <f t="shared" si="23"/>
        <v>Draft Controls_&gt; 2,000 MBH_MF_Incremental Cost</v>
      </c>
      <c r="B1124" s="303" t="s">
        <v>971</v>
      </c>
      <c r="C1124" s="304" t="s">
        <v>972</v>
      </c>
      <c r="D1124" s="303" t="s">
        <v>553</v>
      </c>
      <c r="E1124" s="314" t="s">
        <v>260</v>
      </c>
      <c r="F1124" s="314" t="s">
        <v>549</v>
      </c>
      <c r="G1124" s="328">
        <v>1500</v>
      </c>
      <c r="H1124" s="305" t="s">
        <v>977</v>
      </c>
      <c r="I1124" s="305" t="s">
        <v>152</v>
      </c>
      <c r="J1124" s="305" t="s">
        <v>973</v>
      </c>
      <c r="K1124" s="305" t="s">
        <v>2367</v>
      </c>
    </row>
    <row r="1125" spans="1:11" s="324" customFormat="1" x14ac:dyDescent="0.25">
      <c r="A1125" s="317" t="str">
        <f t="shared" si="23"/>
        <v>Draft Controls_&gt; 2,000 MBH_MF_</v>
      </c>
      <c r="B1125" s="317" t="str">
        <f>B1124</f>
        <v>Draft Controls</v>
      </c>
      <c r="C1125" s="332" t="str">
        <f>C1124</f>
        <v>&gt; 2,000 MBH</v>
      </c>
      <c r="D1125" s="317" t="str">
        <f>D1124</f>
        <v>MF</v>
      </c>
      <c r="E1125" s="320"/>
      <c r="F1125" s="320"/>
      <c r="G1125" s="329"/>
      <c r="H1125" s="320"/>
      <c r="I1125" s="320"/>
      <c r="J1125" s="320"/>
      <c r="K1125" s="320"/>
    </row>
    <row r="1126" spans="1:11" x14ac:dyDescent="0.25">
      <c r="A1126" s="302" t="str">
        <f t="shared" si="23"/>
        <v>Draft Controls_&gt; 2,000 MBH_CI/SMB_Ngi</v>
      </c>
      <c r="B1126" s="303" t="s">
        <v>971</v>
      </c>
      <c r="C1126" s="304" t="s">
        <v>972</v>
      </c>
      <c r="D1126" s="303" t="s">
        <v>970</v>
      </c>
      <c r="E1126" s="305" t="s">
        <v>420</v>
      </c>
      <c r="F1126" s="305" t="s">
        <v>479</v>
      </c>
      <c r="G1126" s="307">
        <v>1000</v>
      </c>
      <c r="H1126" s="305"/>
      <c r="I1126" s="305" t="s">
        <v>152</v>
      </c>
      <c r="J1126" s="305" t="s">
        <v>973</v>
      </c>
      <c r="K1126" s="305" t="s">
        <v>2367</v>
      </c>
    </row>
    <row r="1127" spans="1:11" x14ac:dyDescent="0.25">
      <c r="A1127" s="302" t="str">
        <f t="shared" si="23"/>
        <v>Draft Controls_&gt; 2,000 MBH_CI/SMB_SF</v>
      </c>
      <c r="B1127" s="303" t="s">
        <v>971</v>
      </c>
      <c r="C1127" s="304" t="s">
        <v>972</v>
      </c>
      <c r="D1127" s="303" t="s">
        <v>970</v>
      </c>
      <c r="E1127" s="305" t="s">
        <v>409</v>
      </c>
      <c r="F1127" s="305" t="s">
        <v>539</v>
      </c>
      <c r="G1127" s="308">
        <v>0.01</v>
      </c>
      <c r="H1127" s="305" t="s">
        <v>974</v>
      </c>
      <c r="I1127" s="305" t="s">
        <v>152</v>
      </c>
      <c r="J1127" s="305" t="s">
        <v>973</v>
      </c>
      <c r="K1127" s="305" t="s">
        <v>2367</v>
      </c>
    </row>
    <row r="1128" spans="1:11" x14ac:dyDescent="0.25">
      <c r="A1128" s="302" t="str">
        <f t="shared" si="23"/>
        <v>Draft Controls_&gt; 2,000 MBH_CI/SMB_EFLH</v>
      </c>
      <c r="B1128" s="303" t="s">
        <v>971</v>
      </c>
      <c r="C1128" s="304" t="s">
        <v>972</v>
      </c>
      <c r="D1128" s="303" t="s">
        <v>970</v>
      </c>
      <c r="E1128" s="305" t="s">
        <v>321</v>
      </c>
      <c r="F1128" s="305" t="s">
        <v>283</v>
      </c>
      <c r="G1128" s="325">
        <f>AVERAGE(1540,1782)</f>
        <v>1661</v>
      </c>
      <c r="H1128" s="305" t="s">
        <v>656</v>
      </c>
      <c r="I1128" s="305" t="s">
        <v>152</v>
      </c>
      <c r="J1128" s="305" t="s">
        <v>973</v>
      </c>
      <c r="K1128" s="305" t="s">
        <v>2367</v>
      </c>
    </row>
    <row r="1129" spans="1:11" x14ac:dyDescent="0.25">
      <c r="A1129" s="302" t="str">
        <f t="shared" si="23"/>
        <v>Draft Controls_&gt; 2,000 MBH_CI/SMB_Conversion</v>
      </c>
      <c r="B1129" s="303" t="s">
        <v>971</v>
      </c>
      <c r="C1129" s="304" t="s">
        <v>972</v>
      </c>
      <c r="D1129" s="303" t="s">
        <v>970</v>
      </c>
      <c r="E1129" s="305" t="s">
        <v>284</v>
      </c>
      <c r="F1129" s="305" t="s">
        <v>622</v>
      </c>
      <c r="G1129" s="325">
        <v>100000</v>
      </c>
      <c r="H1129" s="305"/>
      <c r="I1129" s="305" t="s">
        <v>152</v>
      </c>
      <c r="J1129" s="305" t="s">
        <v>973</v>
      </c>
      <c r="K1129" s="305" t="s">
        <v>2367</v>
      </c>
    </row>
    <row r="1130" spans="1:11" x14ac:dyDescent="0.25">
      <c r="A1130" s="302" t="str">
        <f t="shared" si="23"/>
        <v>Draft Controls_&gt; 2,000 MBH_CI/SMB_Therm Saved per Unit</v>
      </c>
      <c r="B1130" s="303" t="s">
        <v>971</v>
      </c>
      <c r="C1130" s="304" t="s">
        <v>972</v>
      </c>
      <c r="D1130" s="303" t="s">
        <v>970</v>
      </c>
      <c r="E1130" s="314" t="s">
        <v>326</v>
      </c>
      <c r="F1130" s="314"/>
      <c r="G1130" s="315">
        <f>G1126*G1127*G1128/G1129</f>
        <v>0.1661</v>
      </c>
      <c r="H1130" s="305"/>
      <c r="I1130" s="305" t="s">
        <v>152</v>
      </c>
      <c r="J1130" s="305" t="s">
        <v>973</v>
      </c>
      <c r="K1130" s="305" t="s">
        <v>2367</v>
      </c>
    </row>
    <row r="1131" spans="1:11" x14ac:dyDescent="0.25">
      <c r="A1131" s="302" t="str">
        <f t="shared" si="23"/>
        <v>Draft Controls_&gt; 2,000 MBH_CI/SMB_Lifetime (years)</v>
      </c>
      <c r="B1131" s="303" t="s">
        <v>971</v>
      </c>
      <c r="C1131" s="304" t="s">
        <v>972</v>
      </c>
      <c r="D1131" s="303" t="s">
        <v>970</v>
      </c>
      <c r="E1131" s="314" t="s">
        <v>259</v>
      </c>
      <c r="F1131" s="314" t="s">
        <v>548</v>
      </c>
      <c r="G1131" s="315">
        <v>15</v>
      </c>
      <c r="H1131" s="305" t="s">
        <v>976</v>
      </c>
      <c r="I1131" s="305" t="s">
        <v>152</v>
      </c>
      <c r="J1131" s="305" t="s">
        <v>973</v>
      </c>
      <c r="K1131" s="305" t="s">
        <v>2367</v>
      </c>
    </row>
    <row r="1132" spans="1:11" x14ac:dyDescent="0.25">
      <c r="A1132" s="302" t="str">
        <f t="shared" si="23"/>
        <v>Draft Controls_&gt; 2,000 MBH_CI/SMB_Incremental Cost</v>
      </c>
      <c r="B1132" s="303" t="s">
        <v>971</v>
      </c>
      <c r="C1132" s="304" t="s">
        <v>972</v>
      </c>
      <c r="D1132" s="303" t="s">
        <v>970</v>
      </c>
      <c r="E1132" s="314" t="s">
        <v>260</v>
      </c>
      <c r="F1132" s="314" t="s">
        <v>549</v>
      </c>
      <c r="G1132" s="328">
        <v>1500</v>
      </c>
      <c r="H1132" s="305" t="s">
        <v>977</v>
      </c>
      <c r="I1132" s="305" t="s">
        <v>152</v>
      </c>
      <c r="J1132" s="305" t="s">
        <v>973</v>
      </c>
      <c r="K1132" s="305" t="s">
        <v>2367</v>
      </c>
    </row>
    <row r="1133" spans="1:11" s="324" customFormat="1" x14ac:dyDescent="0.25">
      <c r="A1133" s="317" t="str">
        <f t="shared" si="23"/>
        <v>Draft Controls_&gt; 2,000 MBH_CI/SMB_</v>
      </c>
      <c r="B1133" s="317" t="str">
        <f>B1132</f>
        <v>Draft Controls</v>
      </c>
      <c r="C1133" s="332" t="str">
        <f>C1132</f>
        <v>&gt; 2,000 MBH</v>
      </c>
      <c r="D1133" s="317" t="str">
        <f>D1132</f>
        <v>CI/SMB</v>
      </c>
      <c r="E1133" s="320"/>
      <c r="F1133" s="320"/>
      <c r="G1133" s="329"/>
      <c r="H1133" s="320"/>
      <c r="I1133" s="320"/>
      <c r="J1133" s="320"/>
      <c r="K1133" s="320"/>
    </row>
    <row r="1134" spans="1:11" x14ac:dyDescent="0.25">
      <c r="A1134" s="302" t="str">
        <f t="shared" si="23"/>
        <v>Boiler Reset Controls_0_MF_Boiler Input Capacity</v>
      </c>
      <c r="B1134" s="303" t="s">
        <v>978</v>
      </c>
      <c r="C1134" s="304">
        <v>0</v>
      </c>
      <c r="D1134" s="303" t="s">
        <v>553</v>
      </c>
      <c r="E1134" s="305" t="s">
        <v>979</v>
      </c>
      <c r="F1134" s="305" t="s">
        <v>980</v>
      </c>
      <c r="G1134" s="354">
        <v>1200</v>
      </c>
      <c r="H1134" s="305"/>
      <c r="I1134" s="305"/>
      <c r="J1134" s="305"/>
      <c r="K1134" s="305"/>
    </row>
    <row r="1135" spans="1:11" x14ac:dyDescent="0.25">
      <c r="A1135" s="302" t="str">
        <f t="shared" si="23"/>
        <v>Boiler Reset Controls_0_MF_EFLH</v>
      </c>
      <c r="B1135" s="303" t="s">
        <v>978</v>
      </c>
      <c r="C1135" s="304">
        <v>0</v>
      </c>
      <c r="D1135" s="303" t="s">
        <v>553</v>
      </c>
      <c r="E1135" s="305" t="s">
        <v>321</v>
      </c>
      <c r="F1135" s="305" t="s">
        <v>283</v>
      </c>
      <c r="G1135" s="325">
        <f>AVERAGE(1540,1782)</f>
        <v>1661</v>
      </c>
      <c r="H1135" s="305" t="s">
        <v>656</v>
      </c>
      <c r="I1135" s="305" t="s">
        <v>633</v>
      </c>
      <c r="J1135" s="305"/>
      <c r="K1135" s="305"/>
    </row>
    <row r="1136" spans="1:11" x14ac:dyDescent="0.25">
      <c r="A1136" s="302" t="str">
        <f t="shared" si="23"/>
        <v>Boiler Reset Controls_0_MF_Savings factor</v>
      </c>
      <c r="B1136" s="303" t="s">
        <v>978</v>
      </c>
      <c r="C1136" s="304">
        <v>0</v>
      </c>
      <c r="D1136" s="303" t="s">
        <v>553</v>
      </c>
      <c r="E1136" s="305" t="s">
        <v>935</v>
      </c>
      <c r="F1136" s="305" t="s">
        <v>539</v>
      </c>
      <c r="G1136" s="308">
        <v>0.08</v>
      </c>
      <c r="H1136" s="305"/>
      <c r="I1136" s="305" t="s">
        <v>152</v>
      </c>
      <c r="J1136" s="305" t="s">
        <v>116</v>
      </c>
      <c r="K1136" s="305" t="s">
        <v>2368</v>
      </c>
    </row>
    <row r="1137" spans="1:11" x14ac:dyDescent="0.25">
      <c r="A1137" s="302" t="str">
        <f t="shared" si="23"/>
        <v>Boiler Reset Controls_0_MF_Conversion</v>
      </c>
      <c r="B1137" s="303" t="s">
        <v>978</v>
      </c>
      <c r="C1137" s="304">
        <v>0</v>
      </c>
      <c r="D1137" s="303" t="s">
        <v>553</v>
      </c>
      <c r="E1137" s="305" t="s">
        <v>284</v>
      </c>
      <c r="F1137" s="309" t="s">
        <v>981</v>
      </c>
      <c r="G1137" s="325">
        <v>100</v>
      </c>
      <c r="H1137" s="305"/>
      <c r="I1137" s="305" t="s">
        <v>152</v>
      </c>
      <c r="J1137" s="305" t="s">
        <v>116</v>
      </c>
      <c r="K1137" s="305" t="s">
        <v>2368</v>
      </c>
    </row>
    <row r="1138" spans="1:11" x14ac:dyDescent="0.25">
      <c r="A1138" s="302" t="str">
        <f t="shared" si="23"/>
        <v>Boiler Reset Controls_0_MF_Therm Saved per Unit</v>
      </c>
      <c r="B1138" s="303" t="s">
        <v>978</v>
      </c>
      <c r="C1138" s="304">
        <v>0</v>
      </c>
      <c r="D1138" s="303" t="s">
        <v>553</v>
      </c>
      <c r="E1138" s="314" t="s">
        <v>326</v>
      </c>
      <c r="F1138" s="314"/>
      <c r="G1138" s="315">
        <f>1*G1135*G1136/G1137</f>
        <v>1.3288</v>
      </c>
      <c r="H1138" s="305"/>
      <c r="I1138" s="305" t="s">
        <v>152</v>
      </c>
      <c r="J1138" s="305" t="s">
        <v>116</v>
      </c>
      <c r="K1138" s="305" t="s">
        <v>2368</v>
      </c>
    </row>
    <row r="1139" spans="1:11" x14ac:dyDescent="0.25">
      <c r="A1139" s="302" t="str">
        <f t="shared" si="23"/>
        <v>Boiler Reset Controls_0_MF_Lifetime (years)</v>
      </c>
      <c r="B1139" s="303" t="s">
        <v>978</v>
      </c>
      <c r="C1139" s="304">
        <v>0</v>
      </c>
      <c r="D1139" s="303" t="s">
        <v>553</v>
      </c>
      <c r="E1139" s="314" t="s">
        <v>259</v>
      </c>
      <c r="F1139" s="314" t="s">
        <v>548</v>
      </c>
      <c r="G1139" s="315">
        <v>16</v>
      </c>
      <c r="H1139" s="305"/>
      <c r="I1139" s="305" t="s">
        <v>152</v>
      </c>
      <c r="J1139" s="305" t="s">
        <v>116</v>
      </c>
      <c r="K1139" s="305" t="s">
        <v>2368</v>
      </c>
    </row>
    <row r="1140" spans="1:11" x14ac:dyDescent="0.25">
      <c r="A1140" s="302" t="str">
        <f t="shared" si="23"/>
        <v>Boiler Reset Controls_0_MF_Incremental Cost</v>
      </c>
      <c r="B1140" s="303" t="s">
        <v>978</v>
      </c>
      <c r="C1140" s="304">
        <v>0</v>
      </c>
      <c r="D1140" s="303" t="s">
        <v>553</v>
      </c>
      <c r="E1140" s="314" t="s">
        <v>260</v>
      </c>
      <c r="F1140" s="314" t="s">
        <v>679</v>
      </c>
      <c r="G1140" s="328">
        <f>612/G1134</f>
        <v>0.51</v>
      </c>
      <c r="H1140" s="305"/>
      <c r="I1140" s="305" t="s">
        <v>152</v>
      </c>
      <c r="J1140" s="305" t="s">
        <v>116</v>
      </c>
      <c r="K1140" s="305" t="s">
        <v>2368</v>
      </c>
    </row>
    <row r="1141" spans="1:11" s="324" customFormat="1" x14ac:dyDescent="0.25">
      <c r="A1141" s="317" t="str">
        <f t="shared" si="23"/>
        <v>Boiler Reset Controls_0_MF_</v>
      </c>
      <c r="B1141" s="317" t="str">
        <f>B1140</f>
        <v>Boiler Reset Controls</v>
      </c>
      <c r="C1141" s="317">
        <f>C1140</f>
        <v>0</v>
      </c>
      <c r="D1141" s="317" t="str">
        <f>D1140</f>
        <v>MF</v>
      </c>
      <c r="E1141" s="320"/>
      <c r="F1141" s="320"/>
      <c r="G1141" s="329"/>
      <c r="H1141" s="320"/>
      <c r="I1141" s="320"/>
      <c r="J1141" s="320"/>
      <c r="K1141" s="320"/>
    </row>
    <row r="1142" spans="1:11" x14ac:dyDescent="0.25">
      <c r="A1142" s="302" t="str">
        <f t="shared" si="23"/>
        <v>Furnace_&gt;95% AFUE_MF_Heating Savings</v>
      </c>
      <c r="B1142" s="303" t="s">
        <v>490</v>
      </c>
      <c r="C1142" s="303" t="s">
        <v>982</v>
      </c>
      <c r="D1142" s="303" t="s">
        <v>553</v>
      </c>
      <c r="E1142" s="305" t="s">
        <v>415</v>
      </c>
      <c r="F1142" s="309" t="s">
        <v>565</v>
      </c>
      <c r="G1142" s="306">
        <v>418</v>
      </c>
      <c r="H1142" s="305"/>
      <c r="I1142" s="305" t="s">
        <v>152</v>
      </c>
      <c r="J1142" s="305" t="s">
        <v>115</v>
      </c>
      <c r="K1142" s="305" t="s">
        <v>2040</v>
      </c>
    </row>
    <row r="1143" spans="1:11" x14ac:dyDescent="0.25">
      <c r="A1143" s="302" t="str">
        <f t="shared" si="23"/>
        <v>Furnace_&gt;95% AFUE_MF_Cooling Savings</v>
      </c>
      <c r="B1143" s="303" t="s">
        <v>490</v>
      </c>
      <c r="C1143" s="303" t="s">
        <v>982</v>
      </c>
      <c r="D1143" s="303" t="s">
        <v>553</v>
      </c>
      <c r="E1143" s="305" t="s">
        <v>416</v>
      </c>
      <c r="F1143" s="309" t="s">
        <v>565</v>
      </c>
      <c r="G1143" s="306">
        <v>241</v>
      </c>
      <c r="H1143" s="305" t="s">
        <v>417</v>
      </c>
      <c r="I1143" s="305" t="s">
        <v>152</v>
      </c>
      <c r="J1143" s="305" t="s">
        <v>115</v>
      </c>
      <c r="K1143" s="305" t="s">
        <v>2040</v>
      </c>
    </row>
    <row r="1144" spans="1:11" x14ac:dyDescent="0.25">
      <c r="A1144" s="302" t="str">
        <f t="shared" si="23"/>
        <v>Furnace_&gt;95% AFUE_MF_Shoulder Season Savings</v>
      </c>
      <c r="B1144" s="303" t="s">
        <v>490</v>
      </c>
      <c r="C1144" s="303" t="s">
        <v>982</v>
      </c>
      <c r="D1144" s="303" t="s">
        <v>553</v>
      </c>
      <c r="E1144" s="305" t="s">
        <v>418</v>
      </c>
      <c r="F1144" s="309" t="s">
        <v>565</v>
      </c>
      <c r="G1144" s="307">
        <v>51</v>
      </c>
      <c r="H1144" s="305"/>
      <c r="I1144" s="305" t="s">
        <v>152</v>
      </c>
      <c r="J1144" s="305" t="s">
        <v>115</v>
      </c>
      <c r="K1144" s="305" t="s">
        <v>2040</v>
      </c>
    </row>
    <row r="1145" spans="1:11" x14ac:dyDescent="0.25">
      <c r="A1145" s="302" t="str">
        <f t="shared" si="23"/>
        <v>Furnace_&gt;95% AFUE_MF_Hours of Operation</v>
      </c>
      <c r="B1145" s="303" t="s">
        <v>490</v>
      </c>
      <c r="C1145" s="303" t="s">
        <v>982</v>
      </c>
      <c r="D1145" s="303" t="s">
        <v>553</v>
      </c>
      <c r="E1145" s="305" t="s">
        <v>460</v>
      </c>
      <c r="F1145" s="309" t="s">
        <v>647</v>
      </c>
      <c r="G1145" s="354">
        <v>2987</v>
      </c>
      <c r="H1145" s="305" t="s">
        <v>419</v>
      </c>
      <c r="I1145" s="305" t="s">
        <v>152</v>
      </c>
      <c r="J1145" s="305" t="s">
        <v>115</v>
      </c>
      <c r="K1145" s="305" t="s">
        <v>2040</v>
      </c>
    </row>
    <row r="1146" spans="1:11" x14ac:dyDescent="0.25">
      <c r="A1146" s="302" t="str">
        <f t="shared" si="23"/>
        <v>Furnace_&gt;95% AFUE_MF_CF</v>
      </c>
      <c r="B1146" s="303" t="s">
        <v>490</v>
      </c>
      <c r="C1146" s="303" t="s">
        <v>982</v>
      </c>
      <c r="D1146" s="303" t="s">
        <v>553</v>
      </c>
      <c r="E1146" s="305" t="s">
        <v>253</v>
      </c>
      <c r="F1146" s="309" t="s">
        <v>539</v>
      </c>
      <c r="G1146" s="367">
        <v>0.42399999999999999</v>
      </c>
      <c r="H1146" s="305" t="s">
        <v>419</v>
      </c>
      <c r="I1146" s="305" t="s">
        <v>152</v>
      </c>
      <c r="J1146" s="305" t="s">
        <v>115</v>
      </c>
      <c r="K1146" s="305" t="s">
        <v>2040</v>
      </c>
    </row>
    <row r="1147" spans="1:11" x14ac:dyDescent="0.25">
      <c r="A1147" s="302" t="str">
        <f t="shared" si="23"/>
        <v>Furnace_&gt;95% AFUE_MF_EFLH</v>
      </c>
      <c r="B1147" s="303" t="s">
        <v>490</v>
      </c>
      <c r="C1147" s="303" t="s">
        <v>982</v>
      </c>
      <c r="D1147" s="303" t="s">
        <v>553</v>
      </c>
      <c r="E1147" s="305" t="s">
        <v>321</v>
      </c>
      <c r="F1147" s="305" t="s">
        <v>283</v>
      </c>
      <c r="G1147" s="325">
        <f>AVERAGE(1540,1782)</f>
        <v>1661</v>
      </c>
      <c r="H1147" s="305" t="s">
        <v>656</v>
      </c>
      <c r="I1147" s="305" t="s">
        <v>633</v>
      </c>
      <c r="J1147" s="305"/>
      <c r="K1147" s="305"/>
    </row>
    <row r="1148" spans="1:11" x14ac:dyDescent="0.25">
      <c r="A1148" s="302" t="str">
        <f t="shared" si="23"/>
        <v>Furnace_&gt;95% AFUE_MF_Capacity</v>
      </c>
      <c r="B1148" s="303" t="s">
        <v>490</v>
      </c>
      <c r="C1148" s="303" t="s">
        <v>982</v>
      </c>
      <c r="D1148" s="303" t="s">
        <v>553</v>
      </c>
      <c r="E1148" s="305" t="s">
        <v>270</v>
      </c>
      <c r="F1148" s="309" t="s">
        <v>479</v>
      </c>
      <c r="G1148" s="307">
        <v>76000</v>
      </c>
      <c r="H1148" s="305" t="s">
        <v>984</v>
      </c>
      <c r="I1148" s="305" t="s">
        <v>633</v>
      </c>
      <c r="J1148" s="305"/>
      <c r="K1148" s="305"/>
    </row>
    <row r="1149" spans="1:11" x14ac:dyDescent="0.25">
      <c r="A1149" s="302" t="str">
        <f t="shared" si="23"/>
        <v>Furnace_&gt;95% AFUE_MF_AFUE_ee</v>
      </c>
      <c r="B1149" s="303" t="s">
        <v>490</v>
      </c>
      <c r="C1149" s="303" t="s">
        <v>982</v>
      </c>
      <c r="D1149" s="303" t="s">
        <v>553</v>
      </c>
      <c r="E1149" s="305" t="s">
        <v>985</v>
      </c>
      <c r="F1149" s="309" t="s">
        <v>539</v>
      </c>
      <c r="G1149" s="308">
        <v>0.95</v>
      </c>
      <c r="H1149" s="305" t="s">
        <v>274</v>
      </c>
      <c r="I1149" s="305" t="s">
        <v>152</v>
      </c>
      <c r="J1149" s="305" t="s">
        <v>115</v>
      </c>
      <c r="K1149" s="305" t="s">
        <v>2040</v>
      </c>
    </row>
    <row r="1150" spans="1:11" x14ac:dyDescent="0.25">
      <c r="A1150" s="302" t="str">
        <f t="shared" si="23"/>
        <v>Furnace_&gt;95% AFUE_MF_AFUE_base</v>
      </c>
      <c r="B1150" s="303" t="s">
        <v>490</v>
      </c>
      <c r="C1150" s="303" t="s">
        <v>982</v>
      </c>
      <c r="D1150" s="303" t="s">
        <v>553</v>
      </c>
      <c r="E1150" s="311" t="s">
        <v>986</v>
      </c>
      <c r="F1150" s="334" t="s">
        <v>539</v>
      </c>
      <c r="G1150" s="322">
        <v>0.81</v>
      </c>
      <c r="H1150" s="311" t="s">
        <v>987</v>
      </c>
      <c r="I1150" s="305" t="s">
        <v>152</v>
      </c>
      <c r="J1150" s="305" t="s">
        <v>115</v>
      </c>
      <c r="K1150" s="305" t="s">
        <v>2040</v>
      </c>
    </row>
    <row r="1151" spans="1:11" x14ac:dyDescent="0.25">
      <c r="A1151" s="302" t="str">
        <f t="shared" si="23"/>
        <v>Furnace_&gt;95% AFUE_MF_Conversion</v>
      </c>
      <c r="B1151" s="303" t="s">
        <v>490</v>
      </c>
      <c r="C1151" s="303" t="s">
        <v>982</v>
      </c>
      <c r="D1151" s="303" t="s">
        <v>553</v>
      </c>
      <c r="E1151" s="305" t="s">
        <v>284</v>
      </c>
      <c r="F1151" s="309" t="s">
        <v>622</v>
      </c>
      <c r="G1151" s="325">
        <v>100000</v>
      </c>
      <c r="H1151" s="305"/>
      <c r="I1151" s="305" t="s">
        <v>152</v>
      </c>
      <c r="J1151" s="305" t="s">
        <v>115</v>
      </c>
      <c r="K1151" s="305" t="s">
        <v>2040</v>
      </c>
    </row>
    <row r="1152" spans="1:11" x14ac:dyDescent="0.25">
      <c r="A1152" s="302" t="str">
        <f t="shared" si="23"/>
        <v>Furnace_&gt;95% AFUE_MF_kWh Saved per Unit</v>
      </c>
      <c r="B1152" s="303" t="s">
        <v>490</v>
      </c>
      <c r="C1152" s="303" t="s">
        <v>982</v>
      </c>
      <c r="D1152" s="303" t="s">
        <v>553</v>
      </c>
      <c r="E1152" s="314" t="s">
        <v>255</v>
      </c>
      <c r="F1152" s="326"/>
      <c r="G1152" s="315">
        <f>G1142+G1143+G1144</f>
        <v>710</v>
      </c>
      <c r="H1152" s="305"/>
      <c r="I1152" s="305" t="s">
        <v>152</v>
      </c>
      <c r="J1152" s="305" t="s">
        <v>115</v>
      </c>
      <c r="K1152" s="305" t="s">
        <v>2040</v>
      </c>
    </row>
    <row r="1153" spans="1:11" x14ac:dyDescent="0.25">
      <c r="A1153" s="302" t="str">
        <f t="shared" si="23"/>
        <v>Furnace_&gt;95% AFUE_MF_kW Saved per Unit</v>
      </c>
      <c r="B1153" s="303" t="s">
        <v>490</v>
      </c>
      <c r="C1153" s="303" t="s">
        <v>982</v>
      </c>
      <c r="D1153" s="303" t="s">
        <v>553</v>
      </c>
      <c r="E1153" s="314" t="s">
        <v>580</v>
      </c>
      <c r="F1153" s="326" t="s">
        <v>571</v>
      </c>
      <c r="G1153" s="315">
        <f>(G1143/G1145)*G1146</f>
        <v>3.4209574824238365E-2</v>
      </c>
      <c r="H1153" s="305"/>
      <c r="I1153" s="305" t="s">
        <v>152</v>
      </c>
      <c r="J1153" s="305" t="s">
        <v>115</v>
      </c>
      <c r="K1153" s="305" t="s">
        <v>2040</v>
      </c>
    </row>
    <row r="1154" spans="1:11" x14ac:dyDescent="0.25">
      <c r="A1154" s="302" t="str">
        <f t="shared" si="23"/>
        <v>Furnace_&gt;95% AFUE_MF_Therm Saved per Unit</v>
      </c>
      <c r="B1154" s="303" t="s">
        <v>490</v>
      </c>
      <c r="C1154" s="303" t="s">
        <v>982</v>
      </c>
      <c r="D1154" s="303" t="s">
        <v>553</v>
      </c>
      <c r="E1154" s="314" t="s">
        <v>326</v>
      </c>
      <c r="F1154" s="326"/>
      <c r="G1154" s="315">
        <f xml:space="preserve"> G1147*G1148*((G1149 - G1150)/G1150)/G1151</f>
        <v>218.18567901234553</v>
      </c>
      <c r="H1154" s="305"/>
      <c r="I1154" s="305" t="s">
        <v>152</v>
      </c>
      <c r="J1154" s="305" t="s">
        <v>115</v>
      </c>
      <c r="K1154" s="305" t="s">
        <v>2040</v>
      </c>
    </row>
    <row r="1155" spans="1:11" x14ac:dyDescent="0.25">
      <c r="A1155" s="302" t="str">
        <f t="shared" si="23"/>
        <v>Furnace_&gt;95% AFUE_MF_Lifetime (years)</v>
      </c>
      <c r="B1155" s="303" t="s">
        <v>490</v>
      </c>
      <c r="C1155" s="303" t="s">
        <v>982</v>
      </c>
      <c r="D1155" s="303" t="s">
        <v>553</v>
      </c>
      <c r="E1155" s="314" t="s">
        <v>259</v>
      </c>
      <c r="F1155" s="326"/>
      <c r="G1155" s="326">
        <v>16.5</v>
      </c>
      <c r="H1155" s="305"/>
      <c r="I1155" s="305" t="s">
        <v>152</v>
      </c>
      <c r="J1155" s="305" t="s">
        <v>115</v>
      </c>
      <c r="K1155" s="305" t="s">
        <v>2040</v>
      </c>
    </row>
    <row r="1156" spans="1:11" x14ac:dyDescent="0.25">
      <c r="A1156" s="302" t="str">
        <f t="shared" si="23"/>
        <v>Furnace_&gt;95% AFUE_MF_Incremental Cost</v>
      </c>
      <c r="B1156" s="303" t="s">
        <v>490</v>
      </c>
      <c r="C1156" s="303" t="s">
        <v>982</v>
      </c>
      <c r="D1156" s="303" t="s">
        <v>553</v>
      </c>
      <c r="E1156" s="314" t="s">
        <v>260</v>
      </c>
      <c r="F1156" s="314" t="s">
        <v>549</v>
      </c>
      <c r="G1156" s="328">
        <v>1511</v>
      </c>
      <c r="H1156" s="305" t="s">
        <v>987</v>
      </c>
      <c r="I1156" s="305" t="s">
        <v>152</v>
      </c>
      <c r="J1156" s="305" t="s">
        <v>115</v>
      </c>
      <c r="K1156" s="305" t="s">
        <v>2040</v>
      </c>
    </row>
    <row r="1157" spans="1:11" s="324" customFormat="1" x14ac:dyDescent="0.25">
      <c r="A1157" s="317" t="str">
        <f t="shared" si="23"/>
        <v>Furnace_&gt;95% AFUE_MF_</v>
      </c>
      <c r="B1157" s="317" t="str">
        <f>B1156</f>
        <v>Furnace</v>
      </c>
      <c r="C1157" s="317" t="str">
        <f>C1156</f>
        <v>&gt;95% AFUE</v>
      </c>
      <c r="D1157" s="317" t="str">
        <f>D1156</f>
        <v>MF</v>
      </c>
      <c r="E1157" s="320"/>
      <c r="F1157" s="320"/>
      <c r="G1157" s="329"/>
      <c r="H1157" s="320"/>
      <c r="I1157" s="320"/>
      <c r="J1157" s="320"/>
      <c r="K1157" s="320"/>
    </row>
    <row r="1158" spans="1:11" x14ac:dyDescent="0.25">
      <c r="A1158" s="302" t="str">
        <f t="shared" si="23"/>
        <v>Furnace (In Unit)_&gt;95% AFUE_MF_Heating Savings</v>
      </c>
      <c r="B1158" s="303" t="s">
        <v>988</v>
      </c>
      <c r="C1158" s="303" t="s">
        <v>982</v>
      </c>
      <c r="D1158" s="303" t="s">
        <v>553</v>
      </c>
      <c r="E1158" s="305" t="s">
        <v>415</v>
      </c>
      <c r="F1158" s="309" t="s">
        <v>565</v>
      </c>
      <c r="G1158" s="306"/>
      <c r="H1158" s="305" t="s">
        <v>989</v>
      </c>
      <c r="I1158" s="305" t="s">
        <v>152</v>
      </c>
      <c r="J1158" s="305" t="s">
        <v>262</v>
      </c>
      <c r="K1158" s="305" t="s">
        <v>2369</v>
      </c>
    </row>
    <row r="1159" spans="1:11" x14ac:dyDescent="0.25">
      <c r="A1159" s="302" t="str">
        <f t="shared" si="23"/>
        <v>Furnace (In Unit)_&gt;95% AFUE_MF_Cooling Savings</v>
      </c>
      <c r="B1159" s="303" t="s">
        <v>988</v>
      </c>
      <c r="C1159" s="303" t="s">
        <v>982</v>
      </c>
      <c r="D1159" s="303" t="s">
        <v>553</v>
      </c>
      <c r="E1159" s="305" t="s">
        <v>416</v>
      </c>
      <c r="F1159" s="309" t="s">
        <v>565</v>
      </c>
      <c r="G1159" s="306"/>
      <c r="H1159" s="305" t="s">
        <v>989</v>
      </c>
      <c r="I1159" s="305" t="s">
        <v>152</v>
      </c>
      <c r="J1159" s="305" t="s">
        <v>262</v>
      </c>
      <c r="K1159" s="305" t="s">
        <v>2369</v>
      </c>
    </row>
    <row r="1160" spans="1:11" x14ac:dyDescent="0.25">
      <c r="A1160" s="302" t="str">
        <f t="shared" si="23"/>
        <v>Furnace (In Unit)_&gt;95% AFUE_MF_Shoulder Season Savings</v>
      </c>
      <c r="B1160" s="303" t="s">
        <v>988</v>
      </c>
      <c r="C1160" s="303" t="s">
        <v>982</v>
      </c>
      <c r="D1160" s="303" t="s">
        <v>553</v>
      </c>
      <c r="E1160" s="305" t="s">
        <v>418</v>
      </c>
      <c r="F1160" s="309" t="s">
        <v>565</v>
      </c>
      <c r="G1160" s="306"/>
      <c r="H1160" s="305" t="s">
        <v>989</v>
      </c>
      <c r="I1160" s="305" t="s">
        <v>152</v>
      </c>
      <c r="J1160" s="305" t="s">
        <v>262</v>
      </c>
      <c r="K1160" s="305" t="s">
        <v>2369</v>
      </c>
    </row>
    <row r="1161" spans="1:11" x14ac:dyDescent="0.25">
      <c r="A1161" s="302" t="str">
        <f t="shared" si="23"/>
        <v>Furnace (In Unit)_&gt;95% AFUE_MF_EFLH</v>
      </c>
      <c r="B1161" s="303" t="s">
        <v>988</v>
      </c>
      <c r="C1161" s="303" t="s">
        <v>982</v>
      </c>
      <c r="D1161" s="303" t="s">
        <v>553</v>
      </c>
      <c r="E1161" s="305" t="s">
        <v>321</v>
      </c>
      <c r="F1161" s="305" t="s">
        <v>283</v>
      </c>
      <c r="G1161" s="325">
        <v>976</v>
      </c>
      <c r="H1161" s="305" t="s">
        <v>636</v>
      </c>
      <c r="I1161" s="305" t="s">
        <v>152</v>
      </c>
      <c r="J1161" s="305" t="s">
        <v>112</v>
      </c>
      <c r="K1161" s="305" t="s">
        <v>2294</v>
      </c>
    </row>
    <row r="1162" spans="1:11" x14ac:dyDescent="0.25">
      <c r="A1162" s="302" t="str">
        <f t="shared" si="23"/>
        <v>Furnace (In Unit)_&gt;95% AFUE_MF_Furnace Output Capacity</v>
      </c>
      <c r="B1162" s="303" t="s">
        <v>988</v>
      </c>
      <c r="C1162" s="303" t="s">
        <v>982</v>
      </c>
      <c r="D1162" s="303" t="s">
        <v>553</v>
      </c>
      <c r="E1162" s="305" t="s">
        <v>991</v>
      </c>
      <c r="F1162" s="309"/>
      <c r="G1162" s="306">
        <v>85451</v>
      </c>
      <c r="H1162" s="305" t="s">
        <v>875</v>
      </c>
      <c r="I1162" s="305" t="s">
        <v>633</v>
      </c>
      <c r="J1162" s="305"/>
      <c r="K1162" s="305"/>
    </row>
    <row r="1163" spans="1:11" ht="12.75" customHeight="1" x14ac:dyDescent="0.25">
      <c r="A1163" s="302" t="str">
        <f t="shared" si="23"/>
        <v>Furnace (In Unit)_&gt;95% AFUE_MF_Baseline AFUE Time of Sale</v>
      </c>
      <c r="B1163" s="303" t="s">
        <v>988</v>
      </c>
      <c r="C1163" s="303" t="s">
        <v>982</v>
      </c>
      <c r="D1163" s="303" t="s">
        <v>553</v>
      </c>
      <c r="E1163" s="305" t="s">
        <v>992</v>
      </c>
      <c r="F1163" s="309" t="s">
        <v>539</v>
      </c>
      <c r="G1163" s="308">
        <v>0.8</v>
      </c>
      <c r="H1163" s="305"/>
      <c r="I1163" s="305" t="s">
        <v>152</v>
      </c>
      <c r="J1163" s="305" t="s">
        <v>112</v>
      </c>
      <c r="K1163" s="305" t="s">
        <v>2294</v>
      </c>
    </row>
    <row r="1164" spans="1:11" x14ac:dyDescent="0.25">
      <c r="A1164" s="302" t="str">
        <f t="shared" si="23"/>
        <v>Furnace (In Unit)_&gt;95% AFUE_MF_Baseline- Derating Efficient Option</v>
      </c>
      <c r="B1164" s="303" t="s">
        <v>988</v>
      </c>
      <c r="C1164" s="303" t="s">
        <v>982</v>
      </c>
      <c r="D1164" s="303" t="s">
        <v>553</v>
      </c>
      <c r="E1164" s="305" t="s">
        <v>993</v>
      </c>
      <c r="F1164" s="309" t="s">
        <v>539</v>
      </c>
      <c r="G1164" s="333">
        <v>6.4000000000000001E-2</v>
      </c>
      <c r="H1164" s="305" t="s">
        <v>994</v>
      </c>
      <c r="I1164" s="305" t="s">
        <v>152</v>
      </c>
      <c r="J1164" s="305" t="s">
        <v>112</v>
      </c>
      <c r="K1164" s="305" t="s">
        <v>2294</v>
      </c>
    </row>
    <row r="1165" spans="1:11" x14ac:dyDescent="0.25">
      <c r="A1165" s="302" t="str">
        <f t="shared" si="23"/>
        <v>Furnace (In Unit)_&gt;95% AFUE_MF_Baseline Time of Sale Usage</v>
      </c>
      <c r="B1165" s="303" t="s">
        <v>988</v>
      </c>
      <c r="C1165" s="303" t="s">
        <v>982</v>
      </c>
      <c r="D1165" s="303" t="s">
        <v>553</v>
      </c>
      <c r="E1165" s="305" t="s">
        <v>995</v>
      </c>
      <c r="F1165" s="309"/>
      <c r="G1165" s="307">
        <f>G1161*G1162/(G1163*(1-G1164))/100000</f>
        <v>1113.7844017094017</v>
      </c>
      <c r="H1165" s="305"/>
      <c r="I1165" s="305" t="s">
        <v>152</v>
      </c>
      <c r="J1165" s="305" t="s">
        <v>112</v>
      </c>
      <c r="K1165" s="305" t="s">
        <v>2294</v>
      </c>
    </row>
    <row r="1166" spans="1:11" x14ac:dyDescent="0.25">
      <c r="A1166" s="302" t="str">
        <f t="shared" si="23"/>
        <v>Furnace (In Unit)_&gt;95% AFUE_MF_Efficient AFUE Time of Sale</v>
      </c>
      <c r="B1166" s="303" t="s">
        <v>988</v>
      </c>
      <c r="C1166" s="303" t="s">
        <v>982</v>
      </c>
      <c r="D1166" s="303" t="s">
        <v>553</v>
      </c>
      <c r="E1166" s="305" t="s">
        <v>996</v>
      </c>
      <c r="F1166" s="309" t="s">
        <v>539</v>
      </c>
      <c r="G1166" s="308">
        <v>0.96</v>
      </c>
      <c r="H1166" s="305"/>
      <c r="I1166" s="305" t="s">
        <v>152</v>
      </c>
      <c r="J1166" s="305" t="s">
        <v>112</v>
      </c>
      <c r="K1166" s="305" t="s">
        <v>2294</v>
      </c>
    </row>
    <row r="1167" spans="1:11" x14ac:dyDescent="0.25">
      <c r="A1167" s="302" t="str">
        <f t="shared" si="23"/>
        <v>Furnace (In Unit)_&gt;95% AFUE_MF_Efficient- Derating Efficient Option</v>
      </c>
      <c r="B1167" s="303" t="s">
        <v>988</v>
      </c>
      <c r="C1167" s="303" t="s">
        <v>982</v>
      </c>
      <c r="D1167" s="303" t="s">
        <v>553</v>
      </c>
      <c r="E1167" s="305" t="s">
        <v>997</v>
      </c>
      <c r="F1167" s="309" t="s">
        <v>539</v>
      </c>
      <c r="G1167" s="333">
        <v>6.4000000000000001E-2</v>
      </c>
      <c r="H1167" s="305" t="s">
        <v>994</v>
      </c>
      <c r="I1167" s="305" t="s">
        <v>152</v>
      </c>
      <c r="J1167" s="305" t="s">
        <v>112</v>
      </c>
      <c r="K1167" s="305" t="s">
        <v>2294</v>
      </c>
    </row>
    <row r="1168" spans="1:11" x14ac:dyDescent="0.25">
      <c r="A1168" s="302" t="str">
        <f t="shared" si="23"/>
        <v>Furnace (In Unit)_&gt;95% AFUE_MF_Efficient Time of Sale Usage</v>
      </c>
      <c r="B1168" s="303" t="s">
        <v>988</v>
      </c>
      <c r="C1168" s="303" t="s">
        <v>982</v>
      </c>
      <c r="D1168" s="303" t="s">
        <v>553</v>
      </c>
      <c r="E1168" s="305" t="s">
        <v>998</v>
      </c>
      <c r="F1168" s="309"/>
      <c r="G1168" s="306">
        <f>G1161*G1162/(G1166*(1-G1167))/100000</f>
        <v>928.15366809116813</v>
      </c>
      <c r="H1168" s="305"/>
      <c r="I1168" s="305" t="s">
        <v>152</v>
      </c>
      <c r="J1168" s="305" t="s">
        <v>112</v>
      </c>
      <c r="K1168" s="305" t="s">
        <v>2294</v>
      </c>
    </row>
    <row r="1169" spans="1:11" x14ac:dyDescent="0.25">
      <c r="A1169" s="302" t="str">
        <f t="shared" si="23"/>
        <v>Furnace (In Unit)_&gt;95% AFUE_MF_kWh Saved per Unit</v>
      </c>
      <c r="B1169" s="303" t="s">
        <v>988</v>
      </c>
      <c r="C1169" s="303" t="s">
        <v>982</v>
      </c>
      <c r="D1169" s="303" t="s">
        <v>553</v>
      </c>
      <c r="E1169" s="314" t="s">
        <v>255</v>
      </c>
      <c r="F1169" s="326"/>
      <c r="G1169" s="315">
        <f>SUM(G1158:G1160)</f>
        <v>0</v>
      </c>
      <c r="H1169" s="305"/>
      <c r="I1169" s="305" t="s">
        <v>152</v>
      </c>
      <c r="J1169" s="305" t="s">
        <v>112</v>
      </c>
      <c r="K1169" s="305" t="s">
        <v>2294</v>
      </c>
    </row>
    <row r="1170" spans="1:11" x14ac:dyDescent="0.25">
      <c r="A1170" s="302" t="str">
        <f t="shared" si="23"/>
        <v>Furnace (In Unit)_&gt;95% AFUE_MF_Therm Saved per Unit</v>
      </c>
      <c r="B1170" s="303" t="s">
        <v>988</v>
      </c>
      <c r="C1170" s="303" t="s">
        <v>982</v>
      </c>
      <c r="D1170" s="303" t="s">
        <v>553</v>
      </c>
      <c r="E1170" s="314" t="s">
        <v>326</v>
      </c>
      <c r="F1170" s="326"/>
      <c r="G1170" s="315">
        <f>G1165-G1168</f>
        <v>185.63073361823353</v>
      </c>
      <c r="H1170" s="305"/>
      <c r="I1170" s="305" t="s">
        <v>152</v>
      </c>
      <c r="J1170" s="305" t="s">
        <v>112</v>
      </c>
      <c r="K1170" s="305" t="s">
        <v>2294</v>
      </c>
    </row>
    <row r="1171" spans="1:11" x14ac:dyDescent="0.25">
      <c r="A1171" s="302" t="str">
        <f t="shared" si="23"/>
        <v>Furnace (In Unit)_&gt;95% AFUE_MF_Lifetime (years)</v>
      </c>
      <c r="B1171" s="303" t="s">
        <v>988</v>
      </c>
      <c r="C1171" s="303" t="s">
        <v>982</v>
      </c>
      <c r="D1171" s="303" t="s">
        <v>553</v>
      </c>
      <c r="E1171" s="314" t="s">
        <v>259</v>
      </c>
      <c r="F1171" s="326"/>
      <c r="G1171" s="315">
        <v>20</v>
      </c>
      <c r="H1171" s="305"/>
      <c r="I1171" s="305" t="s">
        <v>152</v>
      </c>
      <c r="J1171" s="305" t="s">
        <v>112</v>
      </c>
      <c r="K1171" s="305" t="s">
        <v>2294</v>
      </c>
    </row>
    <row r="1172" spans="1:11" x14ac:dyDescent="0.25">
      <c r="A1172" s="302" t="str">
        <f t="shared" si="23"/>
        <v>Furnace (In Unit)_&gt;95% AFUE_MF_Incremental Cost</v>
      </c>
      <c r="B1172" s="303" t="s">
        <v>988</v>
      </c>
      <c r="C1172" s="303" t="s">
        <v>982</v>
      </c>
      <c r="D1172" s="303" t="s">
        <v>553</v>
      </c>
      <c r="E1172" s="314" t="s">
        <v>260</v>
      </c>
      <c r="F1172" s="314" t="s">
        <v>549</v>
      </c>
      <c r="G1172" s="328">
        <v>1438</v>
      </c>
      <c r="H1172" s="305" t="s">
        <v>987</v>
      </c>
      <c r="I1172" s="305" t="s">
        <v>152</v>
      </c>
      <c r="J1172" s="305" t="s">
        <v>112</v>
      </c>
      <c r="K1172" s="305" t="s">
        <v>2294</v>
      </c>
    </row>
    <row r="1173" spans="1:11" s="324" customFormat="1" x14ac:dyDescent="0.25">
      <c r="A1173" s="317" t="str">
        <f t="shared" ref="A1173:A1238" si="24">B1173&amp;"_"&amp;C1173&amp;"_"&amp;D1173&amp;"_"&amp;E1173</f>
        <v>Furnace (In Unit)_&gt;95% AFUE_MF_</v>
      </c>
      <c r="B1173" s="317" t="str">
        <f>B1172</f>
        <v>Furnace (In Unit)</v>
      </c>
      <c r="C1173" s="317" t="str">
        <f>C1172</f>
        <v>&gt;95% AFUE</v>
      </c>
      <c r="D1173" s="317" t="str">
        <f>D1172</f>
        <v>MF</v>
      </c>
      <c r="E1173" s="320"/>
      <c r="F1173" s="320"/>
      <c r="G1173" s="329"/>
      <c r="H1173" s="320"/>
      <c r="I1173" s="320"/>
      <c r="J1173" s="320"/>
      <c r="K1173" s="320"/>
    </row>
    <row r="1174" spans="1:11" x14ac:dyDescent="0.25">
      <c r="A1174" s="302" t="str">
        <f t="shared" si="24"/>
        <v>Furnace_&gt;95% AFUE_SF_Heating Savings</v>
      </c>
      <c r="B1174" s="303" t="s">
        <v>490</v>
      </c>
      <c r="C1174" s="303" t="s">
        <v>982</v>
      </c>
      <c r="D1174" s="303" t="s">
        <v>409</v>
      </c>
      <c r="E1174" s="305" t="s">
        <v>415</v>
      </c>
      <c r="F1174" s="309" t="s">
        <v>565</v>
      </c>
      <c r="G1174" s="306"/>
      <c r="H1174" s="305" t="s">
        <v>989</v>
      </c>
      <c r="I1174" s="305" t="s">
        <v>152</v>
      </c>
      <c r="J1174" s="305" t="s">
        <v>262</v>
      </c>
      <c r="K1174" s="305" t="s">
        <v>2369</v>
      </c>
    </row>
    <row r="1175" spans="1:11" x14ac:dyDescent="0.25">
      <c r="A1175" s="302" t="str">
        <f t="shared" si="24"/>
        <v>Furnace_&gt;95% AFUE_SF_Cooling Savings</v>
      </c>
      <c r="B1175" s="303" t="s">
        <v>490</v>
      </c>
      <c r="C1175" s="303" t="s">
        <v>982</v>
      </c>
      <c r="D1175" s="303" t="s">
        <v>409</v>
      </c>
      <c r="E1175" s="305" t="s">
        <v>416</v>
      </c>
      <c r="F1175" s="309" t="s">
        <v>565</v>
      </c>
      <c r="G1175" s="306"/>
      <c r="H1175" s="305" t="s">
        <v>989</v>
      </c>
      <c r="I1175" s="305" t="s">
        <v>152</v>
      </c>
      <c r="J1175" s="305" t="s">
        <v>262</v>
      </c>
      <c r="K1175" s="305" t="s">
        <v>2369</v>
      </c>
    </row>
    <row r="1176" spans="1:11" x14ac:dyDescent="0.25">
      <c r="A1176" s="302" t="str">
        <f t="shared" si="24"/>
        <v>Furnace_&gt;95% AFUE_SF_Shoulder Season Savings</v>
      </c>
      <c r="B1176" s="303" t="s">
        <v>490</v>
      </c>
      <c r="C1176" s="303" t="s">
        <v>982</v>
      </c>
      <c r="D1176" s="303" t="s">
        <v>409</v>
      </c>
      <c r="E1176" s="305" t="s">
        <v>418</v>
      </c>
      <c r="F1176" s="309" t="s">
        <v>565</v>
      </c>
      <c r="G1176" s="306"/>
      <c r="H1176" s="305" t="s">
        <v>989</v>
      </c>
      <c r="I1176" s="305" t="s">
        <v>152</v>
      </c>
      <c r="J1176" s="305" t="s">
        <v>262</v>
      </c>
      <c r="K1176" s="305" t="s">
        <v>2369</v>
      </c>
    </row>
    <row r="1177" spans="1:11" x14ac:dyDescent="0.25">
      <c r="A1177" s="302" t="str">
        <f t="shared" si="24"/>
        <v>Furnace_&gt;95% AFUE_SF_EFLH</v>
      </c>
      <c r="B1177" s="303" t="s">
        <v>490</v>
      </c>
      <c r="C1177" s="303" t="s">
        <v>982</v>
      </c>
      <c r="D1177" s="303" t="s">
        <v>409</v>
      </c>
      <c r="E1177" s="305" t="s">
        <v>321</v>
      </c>
      <c r="F1177" s="305" t="s">
        <v>283</v>
      </c>
      <c r="G1177" s="325">
        <v>976</v>
      </c>
      <c r="H1177" s="305" t="s">
        <v>636</v>
      </c>
      <c r="I1177" s="305" t="s">
        <v>152</v>
      </c>
      <c r="J1177" s="305" t="s">
        <v>112</v>
      </c>
      <c r="K1177" s="305" t="s">
        <v>2294</v>
      </c>
    </row>
    <row r="1178" spans="1:11" x14ac:dyDescent="0.25">
      <c r="A1178" s="302" t="str">
        <f t="shared" si="24"/>
        <v>Furnace_&gt;95% AFUE_SF_Furnace Output Capacity</v>
      </c>
      <c r="B1178" s="303" t="s">
        <v>490</v>
      </c>
      <c r="C1178" s="303" t="s">
        <v>982</v>
      </c>
      <c r="D1178" s="303" t="s">
        <v>409</v>
      </c>
      <c r="E1178" s="305" t="s">
        <v>991</v>
      </c>
      <c r="F1178" s="309"/>
      <c r="G1178" s="306">
        <v>85451</v>
      </c>
      <c r="H1178" s="305" t="s">
        <v>875</v>
      </c>
      <c r="I1178" s="305" t="s">
        <v>633</v>
      </c>
      <c r="J1178" s="305"/>
      <c r="K1178" s="305"/>
    </row>
    <row r="1179" spans="1:11" x14ac:dyDescent="0.25">
      <c r="A1179" s="302" t="str">
        <f t="shared" si="24"/>
        <v>Furnace_&gt;95% AFUE_SF_Baseline AFUE Time of Sale</v>
      </c>
      <c r="B1179" s="303" t="s">
        <v>490</v>
      </c>
      <c r="C1179" s="303" t="s">
        <v>982</v>
      </c>
      <c r="D1179" s="303" t="s">
        <v>409</v>
      </c>
      <c r="E1179" s="305" t="s">
        <v>992</v>
      </c>
      <c r="F1179" s="309" t="s">
        <v>539</v>
      </c>
      <c r="G1179" s="308">
        <v>0.8</v>
      </c>
      <c r="H1179" s="305"/>
      <c r="I1179" s="305" t="s">
        <v>152</v>
      </c>
      <c r="J1179" s="305" t="s">
        <v>112</v>
      </c>
      <c r="K1179" s="305" t="s">
        <v>2294</v>
      </c>
    </row>
    <row r="1180" spans="1:11" x14ac:dyDescent="0.25">
      <c r="A1180" s="302" t="str">
        <f t="shared" si="24"/>
        <v>Furnace_&gt;95% AFUE_SF_Baseline- Derating Efficient Option</v>
      </c>
      <c r="B1180" s="303" t="s">
        <v>490</v>
      </c>
      <c r="C1180" s="303" t="s">
        <v>982</v>
      </c>
      <c r="D1180" s="303" t="s">
        <v>409</v>
      </c>
      <c r="E1180" s="305" t="s">
        <v>993</v>
      </c>
      <c r="F1180" s="309" t="s">
        <v>539</v>
      </c>
      <c r="G1180" s="333">
        <v>6.4000000000000001E-2</v>
      </c>
      <c r="H1180" s="305" t="s">
        <v>994</v>
      </c>
      <c r="I1180" s="305" t="s">
        <v>152</v>
      </c>
      <c r="J1180" s="305" t="s">
        <v>112</v>
      </c>
      <c r="K1180" s="305" t="s">
        <v>2294</v>
      </c>
    </row>
    <row r="1181" spans="1:11" x14ac:dyDescent="0.25">
      <c r="A1181" s="302" t="str">
        <f t="shared" si="24"/>
        <v>Furnace_&gt;95% AFUE_SF_Baseline Time of Sale Usage</v>
      </c>
      <c r="B1181" s="303" t="s">
        <v>490</v>
      </c>
      <c r="C1181" s="303" t="s">
        <v>982</v>
      </c>
      <c r="D1181" s="303" t="s">
        <v>409</v>
      </c>
      <c r="E1181" s="305" t="s">
        <v>995</v>
      </c>
      <c r="F1181" s="309"/>
      <c r="G1181" s="307">
        <f>G1177*G1178/(G1179*(1-G1180))/100000</f>
        <v>1113.7844017094017</v>
      </c>
      <c r="H1181" s="305"/>
      <c r="I1181" s="305" t="s">
        <v>152</v>
      </c>
      <c r="J1181" s="305" t="s">
        <v>112</v>
      </c>
      <c r="K1181" s="305" t="s">
        <v>2294</v>
      </c>
    </row>
    <row r="1182" spans="1:11" x14ac:dyDescent="0.25">
      <c r="A1182" s="302" t="str">
        <f t="shared" si="24"/>
        <v>Furnace_&gt;95% AFUE_SF_Efficient AFUE Time of Sale</v>
      </c>
      <c r="B1182" s="303" t="s">
        <v>490</v>
      </c>
      <c r="C1182" s="303" t="s">
        <v>982</v>
      </c>
      <c r="D1182" s="303" t="s">
        <v>409</v>
      </c>
      <c r="E1182" s="305" t="s">
        <v>996</v>
      </c>
      <c r="F1182" s="309" t="s">
        <v>539</v>
      </c>
      <c r="G1182" s="308">
        <v>0.96</v>
      </c>
      <c r="H1182" s="305"/>
      <c r="I1182" s="305" t="s">
        <v>152</v>
      </c>
      <c r="J1182" s="305" t="s">
        <v>112</v>
      </c>
      <c r="K1182" s="305" t="s">
        <v>2294</v>
      </c>
    </row>
    <row r="1183" spans="1:11" x14ac:dyDescent="0.25">
      <c r="A1183" s="302" t="str">
        <f t="shared" si="24"/>
        <v>Furnace_&gt;95% AFUE_SF_Efficient- Derating Efficient Option</v>
      </c>
      <c r="B1183" s="303" t="s">
        <v>490</v>
      </c>
      <c r="C1183" s="303" t="s">
        <v>982</v>
      </c>
      <c r="D1183" s="303" t="s">
        <v>409</v>
      </c>
      <c r="E1183" s="305" t="s">
        <v>997</v>
      </c>
      <c r="F1183" s="309" t="s">
        <v>539</v>
      </c>
      <c r="G1183" s="333">
        <v>6.4000000000000001E-2</v>
      </c>
      <c r="H1183" s="305" t="s">
        <v>994</v>
      </c>
      <c r="I1183" s="305" t="s">
        <v>152</v>
      </c>
      <c r="J1183" s="305" t="s">
        <v>112</v>
      </c>
      <c r="K1183" s="305" t="s">
        <v>2294</v>
      </c>
    </row>
    <row r="1184" spans="1:11" x14ac:dyDescent="0.25">
      <c r="A1184" s="302" t="str">
        <f t="shared" si="24"/>
        <v>Furnace_&gt;95% AFUE_SF_Efficient Time of Sale Usage</v>
      </c>
      <c r="B1184" s="303" t="s">
        <v>490</v>
      </c>
      <c r="C1184" s="303" t="s">
        <v>982</v>
      </c>
      <c r="D1184" s="303" t="s">
        <v>409</v>
      </c>
      <c r="E1184" s="305" t="s">
        <v>998</v>
      </c>
      <c r="F1184" s="309"/>
      <c r="G1184" s="306">
        <f>G1177*G1178/(G1182*(1-G1183))/100000</f>
        <v>928.15366809116813</v>
      </c>
      <c r="H1184" s="305"/>
      <c r="I1184" s="305" t="s">
        <v>152</v>
      </c>
      <c r="J1184" s="305" t="s">
        <v>112</v>
      </c>
      <c r="K1184" s="305" t="s">
        <v>2294</v>
      </c>
    </row>
    <row r="1185" spans="1:11" x14ac:dyDescent="0.25">
      <c r="A1185" s="302" t="str">
        <f t="shared" si="24"/>
        <v>Furnace_&gt;95% AFUE_SF_kWh Saved per Unit</v>
      </c>
      <c r="B1185" s="303" t="s">
        <v>490</v>
      </c>
      <c r="C1185" s="303" t="s">
        <v>982</v>
      </c>
      <c r="D1185" s="303" t="s">
        <v>409</v>
      </c>
      <c r="E1185" s="314" t="s">
        <v>255</v>
      </c>
      <c r="F1185" s="326"/>
      <c r="G1185" s="315">
        <f>SUM(G1174:G1176)</f>
        <v>0</v>
      </c>
      <c r="H1185" s="305"/>
      <c r="I1185" s="305" t="s">
        <v>152</v>
      </c>
      <c r="J1185" s="305" t="s">
        <v>112</v>
      </c>
      <c r="K1185" s="305" t="s">
        <v>2294</v>
      </c>
    </row>
    <row r="1186" spans="1:11" x14ac:dyDescent="0.25">
      <c r="A1186" s="302" t="str">
        <f t="shared" si="24"/>
        <v>Furnace_&gt;95% AFUE_SF_Therm Saved per Unit</v>
      </c>
      <c r="B1186" s="303" t="s">
        <v>490</v>
      </c>
      <c r="C1186" s="303" t="s">
        <v>982</v>
      </c>
      <c r="D1186" s="303" t="s">
        <v>409</v>
      </c>
      <c r="E1186" s="314" t="s">
        <v>326</v>
      </c>
      <c r="F1186" s="326"/>
      <c r="G1186" s="315">
        <f>G1181-G1184</f>
        <v>185.63073361823353</v>
      </c>
      <c r="H1186" s="305"/>
      <c r="I1186" s="305" t="s">
        <v>152</v>
      </c>
      <c r="J1186" s="305" t="s">
        <v>112</v>
      </c>
      <c r="K1186" s="305" t="s">
        <v>2294</v>
      </c>
    </row>
    <row r="1187" spans="1:11" x14ac:dyDescent="0.25">
      <c r="A1187" s="302" t="str">
        <f t="shared" si="24"/>
        <v>Furnace_&gt;95% AFUE_SF_Lifetime (years)</v>
      </c>
      <c r="B1187" s="303" t="s">
        <v>490</v>
      </c>
      <c r="C1187" s="303" t="s">
        <v>982</v>
      </c>
      <c r="D1187" s="303" t="s">
        <v>409</v>
      </c>
      <c r="E1187" s="314" t="s">
        <v>259</v>
      </c>
      <c r="F1187" s="326"/>
      <c r="G1187" s="315">
        <v>20</v>
      </c>
      <c r="H1187" s="305"/>
      <c r="I1187" s="305" t="s">
        <v>152</v>
      </c>
      <c r="J1187" s="305" t="s">
        <v>112</v>
      </c>
      <c r="K1187" s="305" t="s">
        <v>2294</v>
      </c>
    </row>
    <row r="1188" spans="1:11" x14ac:dyDescent="0.25">
      <c r="A1188" s="302" t="str">
        <f t="shared" si="24"/>
        <v>Furnace_&gt;95% AFUE_SF_Incremental Cost</v>
      </c>
      <c r="B1188" s="303" t="s">
        <v>490</v>
      </c>
      <c r="C1188" s="303" t="s">
        <v>982</v>
      </c>
      <c r="D1188" s="303" t="s">
        <v>409</v>
      </c>
      <c r="E1188" s="314" t="s">
        <v>260</v>
      </c>
      <c r="F1188" s="314" t="s">
        <v>549</v>
      </c>
      <c r="G1188" s="328">
        <v>1438</v>
      </c>
      <c r="H1188" s="305" t="s">
        <v>999</v>
      </c>
      <c r="I1188" s="305" t="s">
        <v>152</v>
      </c>
      <c r="J1188" s="305" t="s">
        <v>112</v>
      </c>
      <c r="K1188" s="305" t="s">
        <v>2294</v>
      </c>
    </row>
    <row r="1189" spans="1:11" s="324" customFormat="1" x14ac:dyDescent="0.25">
      <c r="A1189" s="317" t="str">
        <f t="shared" si="24"/>
        <v>Furnace_&gt;95% AFUE_SF_</v>
      </c>
      <c r="B1189" s="317" t="str">
        <f>B1188</f>
        <v>Furnace</v>
      </c>
      <c r="C1189" s="317" t="str">
        <f>C1188</f>
        <v>&gt;95% AFUE</v>
      </c>
      <c r="D1189" s="317" t="str">
        <f>D1188</f>
        <v>SF</v>
      </c>
      <c r="E1189" s="320"/>
      <c r="F1189" s="320"/>
      <c r="G1189" s="329"/>
      <c r="H1189" s="320"/>
      <c r="I1189" s="320"/>
      <c r="J1189" s="320"/>
      <c r="K1189" s="320"/>
    </row>
    <row r="1190" spans="1:11" x14ac:dyDescent="0.25">
      <c r="A1190" s="302" t="str">
        <f t="shared" si="24"/>
        <v>Furnace_&gt;97% AFUE_SF_Heating Savings</v>
      </c>
      <c r="B1190" s="303" t="s">
        <v>490</v>
      </c>
      <c r="C1190" s="303" t="s">
        <v>1000</v>
      </c>
      <c r="D1190" s="303" t="s">
        <v>409</v>
      </c>
      <c r="E1190" s="305" t="s">
        <v>415</v>
      </c>
      <c r="F1190" s="309" t="s">
        <v>565</v>
      </c>
      <c r="G1190" s="306"/>
      <c r="H1190" s="305" t="s">
        <v>989</v>
      </c>
      <c r="I1190" s="305" t="s">
        <v>152</v>
      </c>
      <c r="J1190" s="305" t="s">
        <v>262</v>
      </c>
      <c r="K1190" s="305" t="s">
        <v>2369</v>
      </c>
    </row>
    <row r="1191" spans="1:11" x14ac:dyDescent="0.25">
      <c r="A1191" s="302" t="str">
        <f t="shared" si="24"/>
        <v>Furnace_&gt;97% AFUE_SF_Cooling Savings</v>
      </c>
      <c r="B1191" s="303" t="s">
        <v>490</v>
      </c>
      <c r="C1191" s="303" t="s">
        <v>1000</v>
      </c>
      <c r="D1191" s="303" t="s">
        <v>409</v>
      </c>
      <c r="E1191" s="305" t="s">
        <v>416</v>
      </c>
      <c r="F1191" s="309" t="s">
        <v>565</v>
      </c>
      <c r="G1191" s="306"/>
      <c r="H1191" s="305" t="s">
        <v>989</v>
      </c>
      <c r="I1191" s="305" t="s">
        <v>152</v>
      </c>
      <c r="J1191" s="305" t="s">
        <v>262</v>
      </c>
      <c r="K1191" s="305" t="s">
        <v>2369</v>
      </c>
    </row>
    <row r="1192" spans="1:11" x14ac:dyDescent="0.25">
      <c r="A1192" s="302" t="str">
        <f t="shared" si="24"/>
        <v>Furnace_&gt;97% AFUE_SF_Shoulder Season Savings</v>
      </c>
      <c r="B1192" s="303" t="s">
        <v>490</v>
      </c>
      <c r="C1192" s="303" t="s">
        <v>1000</v>
      </c>
      <c r="D1192" s="303" t="s">
        <v>409</v>
      </c>
      <c r="E1192" s="305" t="s">
        <v>418</v>
      </c>
      <c r="F1192" s="309" t="s">
        <v>565</v>
      </c>
      <c r="G1192" s="306"/>
      <c r="H1192" s="305" t="s">
        <v>989</v>
      </c>
      <c r="I1192" s="305" t="s">
        <v>152</v>
      </c>
      <c r="J1192" s="305" t="s">
        <v>262</v>
      </c>
      <c r="K1192" s="305" t="s">
        <v>2369</v>
      </c>
    </row>
    <row r="1193" spans="1:11" x14ac:dyDescent="0.25">
      <c r="A1193" s="302" t="str">
        <f t="shared" si="24"/>
        <v>Furnace_&gt;97% AFUE_SF_EFLH</v>
      </c>
      <c r="B1193" s="303" t="s">
        <v>490</v>
      </c>
      <c r="C1193" s="303" t="s">
        <v>1000</v>
      </c>
      <c r="D1193" s="303" t="s">
        <v>409</v>
      </c>
      <c r="E1193" s="305" t="s">
        <v>321</v>
      </c>
      <c r="F1193" s="305" t="s">
        <v>283</v>
      </c>
      <c r="G1193" s="325">
        <v>976</v>
      </c>
      <c r="H1193" s="305" t="s">
        <v>636</v>
      </c>
      <c r="I1193" s="305" t="s">
        <v>152</v>
      </c>
      <c r="J1193" s="305" t="s">
        <v>112</v>
      </c>
      <c r="K1193" s="305" t="s">
        <v>2294</v>
      </c>
    </row>
    <row r="1194" spans="1:11" x14ac:dyDescent="0.25">
      <c r="A1194" s="302" t="str">
        <f t="shared" si="24"/>
        <v>Furnace_&gt;97% AFUE_SF_Furnace Output Capacity</v>
      </c>
      <c r="B1194" s="303" t="s">
        <v>490</v>
      </c>
      <c r="C1194" s="303" t="s">
        <v>1000</v>
      </c>
      <c r="D1194" s="303" t="s">
        <v>409</v>
      </c>
      <c r="E1194" s="305" t="s">
        <v>991</v>
      </c>
      <c r="F1194" s="309"/>
      <c r="G1194" s="306">
        <v>85451</v>
      </c>
      <c r="H1194" s="305" t="s">
        <v>875</v>
      </c>
      <c r="I1194" s="305" t="s">
        <v>633</v>
      </c>
      <c r="J1194" s="305"/>
      <c r="K1194" s="305"/>
    </row>
    <row r="1195" spans="1:11" x14ac:dyDescent="0.25">
      <c r="A1195" s="302" t="str">
        <f t="shared" si="24"/>
        <v>Furnace_&gt;97% AFUE_SF_Baseline AFUE Time of Sale</v>
      </c>
      <c r="B1195" s="303" t="s">
        <v>490</v>
      </c>
      <c r="C1195" s="303" t="s">
        <v>1000</v>
      </c>
      <c r="D1195" s="303" t="s">
        <v>409</v>
      </c>
      <c r="E1195" s="305" t="s">
        <v>992</v>
      </c>
      <c r="F1195" s="309" t="s">
        <v>539</v>
      </c>
      <c r="G1195" s="308">
        <v>0.8</v>
      </c>
      <c r="H1195" s="305"/>
      <c r="I1195" s="305" t="s">
        <v>152</v>
      </c>
      <c r="J1195" s="305" t="s">
        <v>112</v>
      </c>
      <c r="K1195" s="305" t="s">
        <v>2294</v>
      </c>
    </row>
    <row r="1196" spans="1:11" x14ac:dyDescent="0.25">
      <c r="A1196" s="302" t="str">
        <f t="shared" si="24"/>
        <v>Furnace_&gt;97% AFUE_SF_Baseline- Derating Efficient Option</v>
      </c>
      <c r="B1196" s="303" t="s">
        <v>490</v>
      </c>
      <c r="C1196" s="303" t="s">
        <v>1000</v>
      </c>
      <c r="D1196" s="303" t="s">
        <v>409</v>
      </c>
      <c r="E1196" s="305" t="s">
        <v>993</v>
      </c>
      <c r="F1196" s="309" t="s">
        <v>539</v>
      </c>
      <c r="G1196" s="333">
        <v>6.4000000000000001E-2</v>
      </c>
      <c r="H1196" s="305" t="s">
        <v>994</v>
      </c>
      <c r="I1196" s="305" t="s">
        <v>152</v>
      </c>
      <c r="J1196" s="305" t="s">
        <v>112</v>
      </c>
      <c r="K1196" s="305" t="s">
        <v>2294</v>
      </c>
    </row>
    <row r="1197" spans="1:11" x14ac:dyDescent="0.25">
      <c r="A1197" s="302" t="str">
        <f t="shared" si="24"/>
        <v>Furnace_&gt;97% AFUE_SF_Baseline Time of Sale Usage</v>
      </c>
      <c r="B1197" s="303" t="s">
        <v>490</v>
      </c>
      <c r="C1197" s="303" t="s">
        <v>1000</v>
      </c>
      <c r="D1197" s="303" t="s">
        <v>409</v>
      </c>
      <c r="E1197" s="305" t="s">
        <v>995</v>
      </c>
      <c r="F1197" s="309"/>
      <c r="G1197" s="307">
        <f>G1193*G1194/(G1195*(1-G1196))/100000</f>
        <v>1113.7844017094017</v>
      </c>
      <c r="H1197" s="305"/>
      <c r="I1197" s="305" t="s">
        <v>152</v>
      </c>
      <c r="J1197" s="305" t="s">
        <v>112</v>
      </c>
      <c r="K1197" s="305" t="s">
        <v>2294</v>
      </c>
    </row>
    <row r="1198" spans="1:11" x14ac:dyDescent="0.25">
      <c r="A1198" s="302" t="str">
        <f t="shared" si="24"/>
        <v>Furnace_&gt;97% AFUE_SF_Efficient AFUE Time of Sale</v>
      </c>
      <c r="B1198" s="303" t="s">
        <v>490</v>
      </c>
      <c r="C1198" s="303" t="s">
        <v>1000</v>
      </c>
      <c r="D1198" s="303" t="s">
        <v>409</v>
      </c>
      <c r="E1198" s="305" t="s">
        <v>996</v>
      </c>
      <c r="F1198" s="309" t="s">
        <v>539</v>
      </c>
      <c r="G1198" s="333">
        <v>0.97499999999999998</v>
      </c>
      <c r="H1198" s="305"/>
      <c r="I1198" s="305" t="s">
        <v>152</v>
      </c>
      <c r="J1198" s="305" t="s">
        <v>112</v>
      </c>
      <c r="K1198" s="305" t="s">
        <v>2294</v>
      </c>
    </row>
    <row r="1199" spans="1:11" x14ac:dyDescent="0.25">
      <c r="A1199" s="302" t="str">
        <f t="shared" si="24"/>
        <v>Furnace_&gt;97% AFUE_SF_Efficient- Derating Efficient Option</v>
      </c>
      <c r="B1199" s="303" t="s">
        <v>490</v>
      </c>
      <c r="C1199" s="303" t="s">
        <v>1000</v>
      </c>
      <c r="D1199" s="303" t="s">
        <v>409</v>
      </c>
      <c r="E1199" s="305" t="s">
        <v>997</v>
      </c>
      <c r="F1199" s="309" t="s">
        <v>539</v>
      </c>
      <c r="G1199" s="333">
        <v>6.4000000000000001E-2</v>
      </c>
      <c r="H1199" s="305" t="s">
        <v>994</v>
      </c>
      <c r="I1199" s="305" t="s">
        <v>152</v>
      </c>
      <c r="J1199" s="305" t="s">
        <v>112</v>
      </c>
      <c r="K1199" s="305" t="s">
        <v>2294</v>
      </c>
    </row>
    <row r="1200" spans="1:11" x14ac:dyDescent="0.25">
      <c r="A1200" s="302" t="str">
        <f t="shared" si="24"/>
        <v>Furnace_&gt;97% AFUE_SF_Efficient Time of Sale Usage</v>
      </c>
      <c r="B1200" s="303" t="s">
        <v>490</v>
      </c>
      <c r="C1200" s="303" t="s">
        <v>1000</v>
      </c>
      <c r="D1200" s="303" t="s">
        <v>409</v>
      </c>
      <c r="E1200" s="305" t="s">
        <v>998</v>
      </c>
      <c r="F1200" s="309"/>
      <c r="G1200" s="306">
        <f>G1193*G1194/(G1198*(1-G1199))/100000</f>
        <v>913.87438088976546</v>
      </c>
      <c r="H1200" s="305"/>
      <c r="I1200" s="305" t="s">
        <v>152</v>
      </c>
      <c r="J1200" s="305" t="s">
        <v>112</v>
      </c>
      <c r="K1200" s="305" t="s">
        <v>2294</v>
      </c>
    </row>
    <row r="1201" spans="1:11" x14ac:dyDescent="0.25">
      <c r="A1201" s="302" t="str">
        <f t="shared" si="24"/>
        <v>Furnace_&gt;97% AFUE_SF_kWh Saved per Unit</v>
      </c>
      <c r="B1201" s="303" t="s">
        <v>490</v>
      </c>
      <c r="C1201" s="303" t="s">
        <v>1000</v>
      </c>
      <c r="D1201" s="303" t="s">
        <v>409</v>
      </c>
      <c r="E1201" s="314" t="s">
        <v>255</v>
      </c>
      <c r="F1201" s="326"/>
      <c r="G1201" s="315">
        <f>SUM(G1190:G1192)</f>
        <v>0</v>
      </c>
      <c r="H1201" s="305"/>
      <c r="I1201" s="305" t="s">
        <v>152</v>
      </c>
      <c r="J1201" s="305" t="s">
        <v>112</v>
      </c>
      <c r="K1201" s="305" t="s">
        <v>2294</v>
      </c>
    </row>
    <row r="1202" spans="1:11" x14ac:dyDescent="0.25">
      <c r="A1202" s="302" t="str">
        <f t="shared" si="24"/>
        <v>Furnace_&gt;97% AFUE_SF_Therm Saved per Unit</v>
      </c>
      <c r="B1202" s="303" t="s">
        <v>490</v>
      </c>
      <c r="C1202" s="303" t="s">
        <v>1000</v>
      </c>
      <c r="D1202" s="303" t="s">
        <v>409</v>
      </c>
      <c r="E1202" s="314" t="s">
        <v>326</v>
      </c>
      <c r="F1202" s="326"/>
      <c r="G1202" s="315">
        <f>G1197-G1200</f>
        <v>199.9100208196362</v>
      </c>
      <c r="H1202" s="305"/>
      <c r="I1202" s="305" t="s">
        <v>152</v>
      </c>
      <c r="J1202" s="305" t="s">
        <v>112</v>
      </c>
      <c r="K1202" s="305" t="s">
        <v>2294</v>
      </c>
    </row>
    <row r="1203" spans="1:11" x14ac:dyDescent="0.25">
      <c r="A1203" s="302" t="str">
        <f t="shared" si="24"/>
        <v>Furnace_&gt;97% AFUE_SF_Lifetime (years)</v>
      </c>
      <c r="B1203" s="303" t="s">
        <v>490</v>
      </c>
      <c r="C1203" s="303" t="s">
        <v>1000</v>
      </c>
      <c r="D1203" s="303" t="s">
        <v>409</v>
      </c>
      <c r="E1203" s="314" t="s">
        <v>259</v>
      </c>
      <c r="F1203" s="326"/>
      <c r="G1203" s="315">
        <v>20</v>
      </c>
      <c r="H1203" s="305"/>
      <c r="I1203" s="305" t="s">
        <v>152</v>
      </c>
      <c r="J1203" s="305" t="s">
        <v>112</v>
      </c>
      <c r="K1203" s="305" t="s">
        <v>2294</v>
      </c>
    </row>
    <row r="1204" spans="1:11" x14ac:dyDescent="0.25">
      <c r="A1204" s="302" t="str">
        <f t="shared" si="24"/>
        <v>Furnace_&gt;97% AFUE_SF_Incremental Cost</v>
      </c>
      <c r="B1204" s="303" t="s">
        <v>490</v>
      </c>
      <c r="C1204" s="303" t="s">
        <v>1000</v>
      </c>
      <c r="D1204" s="303" t="s">
        <v>409</v>
      </c>
      <c r="E1204" s="314" t="s">
        <v>260</v>
      </c>
      <c r="F1204" s="314" t="s">
        <v>549</v>
      </c>
      <c r="G1204" s="328">
        <v>1862</v>
      </c>
      <c r="H1204" s="305" t="s">
        <v>987</v>
      </c>
      <c r="I1204" s="305" t="s">
        <v>152</v>
      </c>
      <c r="J1204" s="305" t="s">
        <v>112</v>
      </c>
      <c r="K1204" s="305" t="s">
        <v>2294</v>
      </c>
    </row>
    <row r="1205" spans="1:11" s="324" customFormat="1" x14ac:dyDescent="0.25">
      <c r="A1205" s="317" t="str">
        <f t="shared" si="24"/>
        <v>Furnace_&gt;97% AFUE_SF_</v>
      </c>
      <c r="B1205" s="317" t="str">
        <f>B1204</f>
        <v>Furnace</v>
      </c>
      <c r="C1205" s="317" t="str">
        <f>C1204</f>
        <v>&gt;97% AFUE</v>
      </c>
      <c r="D1205" s="317" t="str">
        <f>D1204</f>
        <v>SF</v>
      </c>
      <c r="E1205" s="320"/>
      <c r="F1205" s="320"/>
      <c r="G1205" s="329"/>
      <c r="H1205" s="320"/>
      <c r="I1205" s="320"/>
      <c r="J1205" s="320"/>
      <c r="K1205" s="320"/>
    </row>
    <row r="1206" spans="1:11" x14ac:dyDescent="0.25">
      <c r="A1206" s="302" t="str">
        <f t="shared" si="24"/>
        <v>Gas Heat Pump Replace Furnace - 140% AFUE_Heat Pump Pilot_SF_EFLH</v>
      </c>
      <c r="B1206" s="303" t="s">
        <v>1001</v>
      </c>
      <c r="C1206" s="303" t="s">
        <v>877</v>
      </c>
      <c r="D1206" s="303" t="s">
        <v>409</v>
      </c>
      <c r="E1206" s="305" t="s">
        <v>321</v>
      </c>
      <c r="F1206" s="305" t="s">
        <v>283</v>
      </c>
      <c r="G1206" s="325">
        <v>976</v>
      </c>
      <c r="H1206" s="305" t="s">
        <v>636</v>
      </c>
      <c r="I1206" s="305" t="s">
        <v>878</v>
      </c>
      <c r="J1206" s="305"/>
      <c r="K1206" s="305"/>
    </row>
    <row r="1207" spans="1:11" x14ac:dyDescent="0.25">
      <c r="A1207" s="302" t="str">
        <f t="shared" si="24"/>
        <v>Gas Heat Pump Replace Furnace - 140% AFUE_Heat Pump Pilot_SF_CAPInput</v>
      </c>
      <c r="B1207" s="303" t="s">
        <v>1001</v>
      </c>
      <c r="C1207" s="303" t="s">
        <v>877</v>
      </c>
      <c r="D1207" s="303" t="s">
        <v>409</v>
      </c>
      <c r="E1207" s="305" t="s">
        <v>1002</v>
      </c>
      <c r="F1207" s="309"/>
      <c r="G1207" s="306">
        <v>80000</v>
      </c>
      <c r="H1207" s="305"/>
      <c r="I1207" s="305" t="s">
        <v>878</v>
      </c>
      <c r="J1207" s="305"/>
      <c r="K1207" s="305"/>
    </row>
    <row r="1208" spans="1:11" x14ac:dyDescent="0.25">
      <c r="A1208" s="302" t="str">
        <f t="shared" si="24"/>
        <v>Gas Heat Pump Replace Furnace - 140% AFUE_Heat Pump Pilot_SF_Eff_ee</v>
      </c>
      <c r="B1208" s="303" t="s">
        <v>1001</v>
      </c>
      <c r="C1208" s="303" t="s">
        <v>877</v>
      </c>
      <c r="D1208" s="303" t="s">
        <v>409</v>
      </c>
      <c r="E1208" s="305" t="s">
        <v>373</v>
      </c>
      <c r="F1208" s="309"/>
      <c r="G1208" s="307">
        <v>1.4</v>
      </c>
      <c r="H1208" s="305"/>
      <c r="I1208" s="305" t="s">
        <v>878</v>
      </c>
      <c r="J1208" s="305"/>
      <c r="K1208" s="305"/>
    </row>
    <row r="1209" spans="1:11" x14ac:dyDescent="0.25">
      <c r="A1209" s="302" t="str">
        <f t="shared" si="24"/>
        <v>Gas Heat Pump Replace Furnace - 140% AFUE_Heat Pump Pilot_SF_1 - Derating_eff</v>
      </c>
      <c r="B1209" s="303" t="s">
        <v>1001</v>
      </c>
      <c r="C1209" s="303" t="s">
        <v>877</v>
      </c>
      <c r="D1209" s="303" t="s">
        <v>409</v>
      </c>
      <c r="E1209" s="305" t="s">
        <v>1003</v>
      </c>
      <c r="F1209" s="309"/>
      <c r="G1209" s="306">
        <v>1</v>
      </c>
      <c r="H1209" s="305" t="s">
        <v>1004</v>
      </c>
      <c r="I1209" s="305" t="s">
        <v>878</v>
      </c>
      <c r="J1209" s="305"/>
      <c r="K1209" s="305"/>
    </row>
    <row r="1210" spans="1:11" x14ac:dyDescent="0.25">
      <c r="A1210" s="302" t="str">
        <f t="shared" si="24"/>
        <v>Gas Heat Pump Replace Furnace - 140% AFUE_Heat Pump Pilot_SF_AFUE_base</v>
      </c>
      <c r="B1210" s="303" t="s">
        <v>1001</v>
      </c>
      <c r="C1210" s="303" t="s">
        <v>877</v>
      </c>
      <c r="D1210" s="303" t="s">
        <v>409</v>
      </c>
      <c r="E1210" s="305" t="s">
        <v>986</v>
      </c>
      <c r="F1210" s="309"/>
      <c r="G1210" s="306">
        <v>0.8</v>
      </c>
      <c r="H1210" s="305"/>
      <c r="I1210" s="305" t="s">
        <v>878</v>
      </c>
      <c r="J1210" s="305"/>
      <c r="K1210" s="305"/>
    </row>
    <row r="1211" spans="1:11" x14ac:dyDescent="0.25">
      <c r="A1211" s="302" t="str">
        <f t="shared" si="24"/>
        <v>Gas Heat Pump Replace Furnace - 140% AFUE_Heat Pump Pilot_SF_1 - Derating_base</v>
      </c>
      <c r="B1211" s="303" t="s">
        <v>1001</v>
      </c>
      <c r="C1211" s="303" t="s">
        <v>877</v>
      </c>
      <c r="D1211" s="303" t="s">
        <v>409</v>
      </c>
      <c r="E1211" s="305" t="s">
        <v>1005</v>
      </c>
      <c r="F1211" s="309"/>
      <c r="G1211" s="307">
        <v>0.93600000000000005</v>
      </c>
      <c r="H1211" s="305"/>
      <c r="I1211" s="305" t="s">
        <v>878</v>
      </c>
      <c r="J1211" s="305"/>
      <c r="K1211" s="305"/>
    </row>
    <row r="1212" spans="1:11" x14ac:dyDescent="0.25">
      <c r="A1212" s="302" t="str">
        <f t="shared" si="24"/>
        <v>Gas Heat Pump Replace Furnace - 140% AFUE_Heat Pump Pilot_SF_Therm Saved per Unit</v>
      </c>
      <c r="B1212" s="303" t="s">
        <v>1001</v>
      </c>
      <c r="C1212" s="303" t="s">
        <v>877</v>
      </c>
      <c r="D1212" s="303" t="s">
        <v>409</v>
      </c>
      <c r="E1212" s="314" t="s">
        <v>326</v>
      </c>
      <c r="F1212" s="326"/>
      <c r="G1212" s="315">
        <f>((G1206*G1207/G1209)*((G1208*G1209)/(G1210*G1211)-1))/100000</f>
        <v>679.02905982905952</v>
      </c>
      <c r="H1212" s="305"/>
      <c r="I1212" s="305" t="s">
        <v>878</v>
      </c>
      <c r="J1212" s="305"/>
      <c r="K1212" s="305"/>
    </row>
    <row r="1213" spans="1:11" x14ac:dyDescent="0.25">
      <c r="A1213" s="302" t="str">
        <f t="shared" si="24"/>
        <v>Gas Heat Pump Replace Furnace - 140% AFUE_Heat Pump Pilot_SF_Lifetime (years)</v>
      </c>
      <c r="B1213" s="303" t="s">
        <v>1001</v>
      </c>
      <c r="C1213" s="303" t="s">
        <v>877</v>
      </c>
      <c r="D1213" s="303" t="s">
        <v>409</v>
      </c>
      <c r="E1213" s="314" t="s">
        <v>259</v>
      </c>
      <c r="F1213" s="326"/>
      <c r="G1213" s="315">
        <v>16</v>
      </c>
      <c r="H1213" s="305" t="s">
        <v>1006</v>
      </c>
      <c r="I1213" s="305" t="s">
        <v>878</v>
      </c>
      <c r="J1213" s="305"/>
      <c r="K1213" s="305"/>
    </row>
    <row r="1214" spans="1:11" x14ac:dyDescent="0.25">
      <c r="A1214" s="302" t="str">
        <f t="shared" si="24"/>
        <v>Gas Heat Pump Replace Furnace - 140% AFUE_Heat Pump Pilot_SF_Incremental Cost</v>
      </c>
      <c r="B1214" s="303" t="s">
        <v>1001</v>
      </c>
      <c r="C1214" s="303" t="s">
        <v>877</v>
      </c>
      <c r="D1214" s="303" t="s">
        <v>409</v>
      </c>
      <c r="E1214" s="314" t="s">
        <v>260</v>
      </c>
      <c r="F1214" s="314" t="s">
        <v>549</v>
      </c>
      <c r="G1214" s="328">
        <v>6989</v>
      </c>
      <c r="H1214" s="305"/>
      <c r="I1214" s="305" t="s">
        <v>878</v>
      </c>
      <c r="J1214" s="305"/>
      <c r="K1214" s="305"/>
    </row>
    <row r="1215" spans="1:11" s="324" customFormat="1" x14ac:dyDescent="0.25">
      <c r="A1215" s="317" t="str">
        <f t="shared" si="24"/>
        <v>Gas Heat Pump Replace Furnace - 140% AFUE_Heat Pump Pilot_SF_</v>
      </c>
      <c r="B1215" s="317" t="str">
        <f>B1214</f>
        <v>Gas Heat Pump Replace Furnace - 140% AFUE</v>
      </c>
      <c r="C1215" s="317" t="str">
        <f>C1214</f>
        <v>Heat Pump Pilot</v>
      </c>
      <c r="D1215" s="317" t="str">
        <f>D1214</f>
        <v>SF</v>
      </c>
      <c r="E1215" s="320"/>
      <c r="F1215" s="320"/>
      <c r="G1215" s="329"/>
      <c r="H1215" s="320"/>
      <c r="I1215" s="320"/>
      <c r="J1215" s="320"/>
      <c r="K1215" s="320"/>
    </row>
    <row r="1216" spans="1:11" x14ac:dyDescent="0.25">
      <c r="A1216" s="302" t="str">
        <f t="shared" si="24"/>
        <v>Pipe Insulation_Boiler_SF_Diameter of Existing Pipe</v>
      </c>
      <c r="B1216" s="303" t="s">
        <v>404</v>
      </c>
      <c r="C1216" s="303" t="s">
        <v>944</v>
      </c>
      <c r="D1216" s="303" t="s">
        <v>409</v>
      </c>
      <c r="E1216" s="305" t="s">
        <v>285</v>
      </c>
      <c r="F1216" s="305" t="s">
        <v>856</v>
      </c>
      <c r="G1216" s="307">
        <v>0.75</v>
      </c>
      <c r="H1216" s="305" t="s">
        <v>286</v>
      </c>
      <c r="I1216" s="305" t="s">
        <v>668</v>
      </c>
      <c r="J1216" s="305"/>
      <c r="K1216" s="305"/>
    </row>
    <row r="1217" spans="1:11" x14ac:dyDescent="0.25">
      <c r="A1217" s="302" t="str">
        <f t="shared" si="24"/>
        <v>Pipe Insulation_Boiler_SF_Diameter of New Pipe</v>
      </c>
      <c r="B1217" s="303" t="s">
        <v>404</v>
      </c>
      <c r="C1217" s="303" t="s">
        <v>944</v>
      </c>
      <c r="D1217" s="303" t="s">
        <v>409</v>
      </c>
      <c r="E1217" s="305" t="s">
        <v>287</v>
      </c>
      <c r="F1217" s="305" t="s">
        <v>856</v>
      </c>
      <c r="G1217" s="307">
        <v>0.75</v>
      </c>
      <c r="H1217" s="305" t="s">
        <v>286</v>
      </c>
      <c r="I1217" s="305" t="s">
        <v>668</v>
      </c>
      <c r="J1217" s="305"/>
      <c r="K1217" s="305"/>
    </row>
    <row r="1218" spans="1:11" x14ac:dyDescent="0.25">
      <c r="A1218" s="302" t="str">
        <f t="shared" si="24"/>
        <v>Pipe Insulation_Boiler_SF_Depth of Insulation</v>
      </c>
      <c r="B1218" s="303" t="s">
        <v>404</v>
      </c>
      <c r="C1218" s="303" t="s">
        <v>944</v>
      </c>
      <c r="D1218" s="303" t="s">
        <v>409</v>
      </c>
      <c r="E1218" s="305" t="s">
        <v>288</v>
      </c>
      <c r="F1218" s="305" t="s">
        <v>856</v>
      </c>
      <c r="G1218" s="307">
        <v>0.75</v>
      </c>
      <c r="H1218" s="305" t="s">
        <v>289</v>
      </c>
      <c r="I1218" s="305" t="s">
        <v>668</v>
      </c>
      <c r="J1218" s="305"/>
      <c r="K1218" s="305"/>
    </row>
    <row r="1219" spans="1:11" x14ac:dyDescent="0.25">
      <c r="A1219" s="302" t="str">
        <f t="shared" si="24"/>
        <v>Pipe Insulation_Boiler_SF_Circumference of Existing Pipe</v>
      </c>
      <c r="B1219" s="303" t="s">
        <v>404</v>
      </c>
      <c r="C1219" s="303" t="s">
        <v>944</v>
      </c>
      <c r="D1219" s="303" t="s">
        <v>409</v>
      </c>
      <c r="E1219" s="305" t="s">
        <v>290</v>
      </c>
      <c r="F1219" s="305" t="s">
        <v>616</v>
      </c>
      <c r="G1219" s="381">
        <f>G1216*PI()/12</f>
        <v>0.19634954084936207</v>
      </c>
      <c r="H1219" s="305" t="s">
        <v>1927</v>
      </c>
      <c r="I1219" s="305" t="s">
        <v>152</v>
      </c>
      <c r="J1219" s="305" t="s">
        <v>1007</v>
      </c>
      <c r="K1219" s="305" t="s">
        <v>2045</v>
      </c>
    </row>
    <row r="1220" spans="1:11" x14ac:dyDescent="0.25">
      <c r="A1220" s="302" t="str">
        <f t="shared" si="24"/>
        <v>Pipe Insulation_Boiler_SF_Circumference of New Pipe</v>
      </c>
      <c r="B1220" s="303" t="s">
        <v>404</v>
      </c>
      <c r="C1220" s="303" t="s">
        <v>944</v>
      </c>
      <c r="D1220" s="303" t="s">
        <v>409</v>
      </c>
      <c r="E1220" s="305" t="s">
        <v>292</v>
      </c>
      <c r="F1220" s="305" t="s">
        <v>616</v>
      </c>
      <c r="G1220" s="381">
        <f>(G1216+2*G1218)*PI()/12</f>
        <v>0.58904862254808621</v>
      </c>
      <c r="H1220" s="305" t="s">
        <v>1928</v>
      </c>
      <c r="I1220" s="305" t="s">
        <v>668</v>
      </c>
      <c r="J1220" s="305"/>
      <c r="K1220" s="305"/>
    </row>
    <row r="1221" spans="1:11" ht="31.35" customHeight="1" x14ac:dyDescent="0.25">
      <c r="A1221" s="302" t="str">
        <f t="shared" si="24"/>
        <v>Pipe Insulation_Boiler_SF_Heat Loss Coefficient of Existing Pipe</v>
      </c>
      <c r="B1221" s="303" t="s">
        <v>404</v>
      </c>
      <c r="C1221" s="303" t="s">
        <v>944</v>
      </c>
      <c r="D1221" s="303" t="s">
        <v>409</v>
      </c>
      <c r="E1221" s="305" t="s">
        <v>294</v>
      </c>
      <c r="F1221" s="305" t="s">
        <v>1009</v>
      </c>
      <c r="G1221" s="334">
        <v>0.52100000000000002</v>
      </c>
      <c r="H1221" s="311" t="s">
        <v>1929</v>
      </c>
      <c r="I1221" s="305" t="s">
        <v>152</v>
      </c>
      <c r="J1221" s="305" t="s">
        <v>1007</v>
      </c>
      <c r="K1221" s="305" t="s">
        <v>2045</v>
      </c>
    </row>
    <row r="1222" spans="1:11" x14ac:dyDescent="0.25">
      <c r="A1222" s="302" t="str">
        <f t="shared" si="24"/>
        <v>Pipe Insulation_Boiler_SF_R value of Insulation</v>
      </c>
      <c r="B1222" s="303" t="s">
        <v>404</v>
      </c>
      <c r="C1222" s="303" t="s">
        <v>944</v>
      </c>
      <c r="D1222" s="303" t="s">
        <v>409</v>
      </c>
      <c r="E1222" s="305" t="s">
        <v>295</v>
      </c>
      <c r="F1222" s="305" t="s">
        <v>1009</v>
      </c>
      <c r="G1222" s="351">
        <v>5</v>
      </c>
      <c r="H1222" s="305" t="s">
        <v>296</v>
      </c>
      <c r="I1222" s="305" t="s">
        <v>668</v>
      </c>
      <c r="J1222" s="305"/>
      <c r="K1222" s="305"/>
    </row>
    <row r="1223" spans="1:11" x14ac:dyDescent="0.25">
      <c r="A1223" s="302" t="str">
        <f t="shared" si="24"/>
        <v>Pipe Insulation_Boiler_SF_Heat Loss Coefficient of New Pipe</v>
      </c>
      <c r="B1223" s="303" t="s">
        <v>404</v>
      </c>
      <c r="C1223" s="303" t="s">
        <v>944</v>
      </c>
      <c r="D1223" s="303" t="s">
        <v>409</v>
      </c>
      <c r="E1223" s="305" t="s">
        <v>297</v>
      </c>
      <c r="F1223" s="305" t="s">
        <v>1009</v>
      </c>
      <c r="G1223" s="306">
        <f>G1221+G1222</f>
        <v>5.5209999999999999</v>
      </c>
      <c r="H1223" s="305"/>
      <c r="I1223" s="305" t="s">
        <v>152</v>
      </c>
      <c r="J1223" s="305" t="s">
        <v>1007</v>
      </c>
      <c r="K1223" s="305" t="s">
        <v>2045</v>
      </c>
    </row>
    <row r="1224" spans="1:11" x14ac:dyDescent="0.25">
      <c r="A1224" s="302" t="str">
        <f t="shared" si="24"/>
        <v>Pipe Insulation_Boiler_SF_Length of Pipe</v>
      </c>
      <c r="B1224" s="303" t="s">
        <v>404</v>
      </c>
      <c r="C1224" s="303" t="s">
        <v>944</v>
      </c>
      <c r="D1224" s="303" t="s">
        <v>409</v>
      </c>
      <c r="E1224" s="305" t="s">
        <v>298</v>
      </c>
      <c r="F1224" s="305" t="s">
        <v>616</v>
      </c>
      <c r="G1224" s="307">
        <v>1</v>
      </c>
      <c r="H1224" s="305" t="s">
        <v>613</v>
      </c>
      <c r="I1224" s="305" t="s">
        <v>614</v>
      </c>
      <c r="J1224" s="305"/>
      <c r="K1224" s="305"/>
    </row>
    <row r="1225" spans="1:11" x14ac:dyDescent="0.25">
      <c r="A1225" s="302" t="str">
        <f t="shared" ref="A1225:A1226" si="25">B1225&amp;"_"&amp;C1225&amp;"_"&amp;D1225&amp;"_"&amp;E1225</f>
        <v>Pipe Insulation_Boiler_SF_Inside Circumference of Pipe</v>
      </c>
      <c r="B1225" s="303" t="s">
        <v>404</v>
      </c>
      <c r="C1225" s="303" t="s">
        <v>944</v>
      </c>
      <c r="D1225" s="303" t="s">
        <v>409</v>
      </c>
      <c r="E1225" s="311" t="s">
        <v>1908</v>
      </c>
      <c r="F1225" s="311" t="s">
        <v>616</v>
      </c>
      <c r="G1225" s="334">
        <v>0.20549999999999999</v>
      </c>
      <c r="H1225" s="311" t="s">
        <v>1930</v>
      </c>
      <c r="I1225" s="305" t="s">
        <v>152</v>
      </c>
      <c r="J1225" s="305" t="s">
        <v>1007</v>
      </c>
      <c r="K1225" s="305" t="s">
        <v>2045</v>
      </c>
    </row>
    <row r="1226" spans="1:11" x14ac:dyDescent="0.25">
      <c r="A1226" s="302" t="str">
        <f t="shared" si="25"/>
        <v>Pipe Insulation_Boiler_SF_Effective Length of Pipe</v>
      </c>
      <c r="B1226" s="303" t="s">
        <v>404</v>
      </c>
      <c r="C1226" s="303" t="s">
        <v>944</v>
      </c>
      <c r="D1226" s="303" t="s">
        <v>409</v>
      </c>
      <c r="E1226" s="311" t="s">
        <v>1909</v>
      </c>
      <c r="F1226" s="311" t="s">
        <v>616</v>
      </c>
      <c r="G1226" s="334">
        <f>1 + 0 * 0.72</f>
        <v>1</v>
      </c>
      <c r="H1226" s="311" t="s">
        <v>1931</v>
      </c>
      <c r="I1226" s="305" t="s">
        <v>152</v>
      </c>
      <c r="J1226" s="305" t="s">
        <v>1007</v>
      </c>
      <c r="K1226" s="305" t="s">
        <v>2045</v>
      </c>
    </row>
    <row r="1227" spans="1:11" x14ac:dyDescent="0.25">
      <c r="A1227" s="302" t="str">
        <f t="shared" si="24"/>
        <v>Pipe Insulation_Boiler_SF_Average Temperature Difference Between Air and Hot Water</v>
      </c>
      <c r="B1227" s="303" t="s">
        <v>404</v>
      </c>
      <c r="C1227" s="303" t="s">
        <v>944</v>
      </c>
      <c r="D1227" s="303" t="s">
        <v>409</v>
      </c>
      <c r="E1227" s="305" t="s">
        <v>299</v>
      </c>
      <c r="F1227" s="305" t="s">
        <v>444</v>
      </c>
      <c r="G1227" s="307">
        <v>126</v>
      </c>
      <c r="H1227" s="305" t="s">
        <v>1010</v>
      </c>
      <c r="I1227" s="305" t="s">
        <v>152</v>
      </c>
      <c r="J1227" s="305" t="s">
        <v>1007</v>
      </c>
      <c r="K1227" s="305" t="s">
        <v>2045</v>
      </c>
    </row>
    <row r="1228" spans="1:11" x14ac:dyDescent="0.25">
      <c r="A1228" s="302" t="str">
        <f t="shared" si="24"/>
        <v>Pipe Insulation_Boiler_SF_Full Load Hours</v>
      </c>
      <c r="B1228" s="303" t="s">
        <v>404</v>
      </c>
      <c r="C1228" s="303" t="s">
        <v>944</v>
      </c>
      <c r="D1228" s="303" t="s">
        <v>409</v>
      </c>
      <c r="E1228" s="311" t="s">
        <v>1011</v>
      </c>
      <c r="F1228" s="311" t="s">
        <v>1012</v>
      </c>
      <c r="G1228" s="335">
        <v>1726</v>
      </c>
      <c r="H1228" s="311" t="s">
        <v>675</v>
      </c>
      <c r="I1228" s="305" t="s">
        <v>152</v>
      </c>
      <c r="J1228" s="305" t="s">
        <v>1007</v>
      </c>
      <c r="K1228" s="305" t="s">
        <v>2045</v>
      </c>
    </row>
    <row r="1229" spans="1:11" x14ac:dyDescent="0.25">
      <c r="A1229" s="302" t="str">
        <f t="shared" si="24"/>
        <v>Pipe Insulation_Boiler_SF_Efficiency of Boiler Pre Mid Life Adjustment</v>
      </c>
      <c r="B1229" s="303" t="s">
        <v>404</v>
      </c>
      <c r="C1229" s="303" t="s">
        <v>944</v>
      </c>
      <c r="D1229" s="303" t="s">
        <v>409</v>
      </c>
      <c r="E1229" s="305" t="s">
        <v>1013</v>
      </c>
      <c r="F1229" s="305" t="s">
        <v>539</v>
      </c>
      <c r="G1229" s="355">
        <v>0.81899999999999995</v>
      </c>
      <c r="H1229" s="305"/>
      <c r="I1229" s="305" t="s">
        <v>152</v>
      </c>
      <c r="J1229" s="305" t="s">
        <v>1007</v>
      </c>
      <c r="K1229" s="305" t="s">
        <v>2045</v>
      </c>
    </row>
    <row r="1230" spans="1:11" x14ac:dyDescent="0.25">
      <c r="A1230" s="302" t="str">
        <f t="shared" si="24"/>
        <v>Pipe Insulation_Boiler_SF_Efficiency of Boiler at Mid Life Adjustment</v>
      </c>
      <c r="B1230" s="303" t="s">
        <v>404</v>
      </c>
      <c r="C1230" s="303" t="s">
        <v>944</v>
      </c>
      <c r="D1230" s="303" t="s">
        <v>409</v>
      </c>
      <c r="E1230" s="305" t="s">
        <v>1014</v>
      </c>
      <c r="F1230" s="305" t="s">
        <v>539</v>
      </c>
      <c r="G1230" s="382">
        <v>0.84</v>
      </c>
      <c r="H1230" s="311" t="s">
        <v>1910</v>
      </c>
      <c r="I1230" s="305" t="s">
        <v>152</v>
      </c>
      <c r="J1230" s="305" t="s">
        <v>1007</v>
      </c>
      <c r="K1230" s="305" t="s">
        <v>2045</v>
      </c>
    </row>
    <row r="1231" spans="1:11" x14ac:dyDescent="0.25">
      <c r="A1231" s="302" t="str">
        <f t="shared" si="24"/>
        <v>Pipe Insulation_Boiler_SF_Therm Saved per Unit</v>
      </c>
      <c r="B1231" s="303" t="s">
        <v>404</v>
      </c>
      <c r="C1231" s="303" t="s">
        <v>944</v>
      </c>
      <c r="D1231" s="303" t="s">
        <v>409</v>
      </c>
      <c r="E1231" s="314" t="s">
        <v>326</v>
      </c>
      <c r="F1231" s="314" t="s">
        <v>1015</v>
      </c>
      <c r="G1231" s="370">
        <f>(((1 / G1221 - 1 / G1223) * G1225 * G1226 * G1228 * G1227) / G1229) / 100000</f>
        <v>0.94853594852378065</v>
      </c>
      <c r="H1231" s="383" t="s">
        <v>1911</v>
      </c>
      <c r="I1231" s="305" t="s">
        <v>152</v>
      </c>
      <c r="J1231" s="305" t="s">
        <v>1007</v>
      </c>
      <c r="K1231" s="305" t="s">
        <v>2045</v>
      </c>
    </row>
    <row r="1232" spans="1:11" x14ac:dyDescent="0.25">
      <c r="A1232" s="302" t="str">
        <f t="shared" si="24"/>
        <v>Pipe Insulation_Boiler_SF_Therm Saved per Unit- MLA</v>
      </c>
      <c r="B1232" s="303" t="s">
        <v>404</v>
      </c>
      <c r="C1232" s="303" t="s">
        <v>944</v>
      </c>
      <c r="D1232" s="303" t="s">
        <v>409</v>
      </c>
      <c r="E1232" s="314" t="s">
        <v>626</v>
      </c>
      <c r="F1232" s="314" t="s">
        <v>1015</v>
      </c>
      <c r="G1232" s="370">
        <f>(((1 / G1221 - 1 / G1223) * G1225 * G1226 * G1228 * G1227) / G1230) / 100000</f>
        <v>0.92482254981068612</v>
      </c>
      <c r="H1232" s="383" t="s">
        <v>1911</v>
      </c>
      <c r="I1232" s="305" t="s">
        <v>152</v>
      </c>
      <c r="J1232" s="305" t="s">
        <v>1007</v>
      </c>
      <c r="K1232" s="305" t="s">
        <v>2045</v>
      </c>
    </row>
    <row r="1233" spans="1:11" x14ac:dyDescent="0.25">
      <c r="A1233" s="302" t="str">
        <f t="shared" si="24"/>
        <v>Pipe Insulation_Boiler_SF_Lifetime (years)</v>
      </c>
      <c r="B1233" s="303" t="s">
        <v>404</v>
      </c>
      <c r="C1233" s="303" t="s">
        <v>944</v>
      </c>
      <c r="D1233" s="303" t="s">
        <v>409</v>
      </c>
      <c r="E1233" s="314" t="s">
        <v>259</v>
      </c>
      <c r="F1233" s="314" t="s">
        <v>548</v>
      </c>
      <c r="G1233" s="315">
        <v>15</v>
      </c>
      <c r="H1233" s="305"/>
      <c r="I1233" s="305" t="s">
        <v>152</v>
      </c>
      <c r="J1233" s="305" t="s">
        <v>1007</v>
      </c>
      <c r="K1233" s="305" t="s">
        <v>2045</v>
      </c>
    </row>
    <row r="1234" spans="1:11" x14ac:dyDescent="0.25">
      <c r="A1234" s="302" t="str">
        <f t="shared" si="24"/>
        <v>Pipe Insulation_Boiler_SF_Lifetime (years) - Remaining Years</v>
      </c>
      <c r="B1234" s="303" t="s">
        <v>404</v>
      </c>
      <c r="C1234" s="303" t="s">
        <v>944</v>
      </c>
      <c r="D1234" s="303" t="s">
        <v>409</v>
      </c>
      <c r="E1234" s="314" t="s">
        <v>628</v>
      </c>
      <c r="F1234" s="314" t="s">
        <v>548</v>
      </c>
      <c r="G1234" s="315">
        <v>13</v>
      </c>
      <c r="H1234" s="305" t="s">
        <v>1016</v>
      </c>
      <c r="I1234" s="305" t="s">
        <v>152</v>
      </c>
      <c r="J1234" s="305" t="s">
        <v>1007</v>
      </c>
      <c r="K1234" s="305" t="s">
        <v>2045</v>
      </c>
    </row>
    <row r="1235" spans="1:11" x14ac:dyDescent="0.25">
      <c r="A1235" s="302" t="str">
        <f t="shared" si="24"/>
        <v>Pipe Insulation_Boiler_SF_Incremental Cost</v>
      </c>
      <c r="B1235" s="303" t="s">
        <v>404</v>
      </c>
      <c r="C1235" s="303" t="s">
        <v>944</v>
      </c>
      <c r="D1235" s="303" t="s">
        <v>409</v>
      </c>
      <c r="E1235" s="314" t="s">
        <v>260</v>
      </c>
      <c r="F1235" s="314" t="s">
        <v>549</v>
      </c>
      <c r="G1235" s="328">
        <f>3*G1224</f>
        <v>3</v>
      </c>
      <c r="H1235" s="305" t="s">
        <v>1017</v>
      </c>
      <c r="I1235" s="305" t="s">
        <v>152</v>
      </c>
      <c r="J1235" s="305" t="s">
        <v>1007</v>
      </c>
      <c r="K1235" s="305" t="s">
        <v>2045</v>
      </c>
    </row>
    <row r="1236" spans="1:11" s="324" customFormat="1" x14ac:dyDescent="0.25">
      <c r="A1236" s="317" t="str">
        <f t="shared" si="24"/>
        <v>Pipe Insulation_Boiler_SF_</v>
      </c>
      <c r="B1236" s="317" t="str">
        <f>B1235</f>
        <v>Pipe Insulation</v>
      </c>
      <c r="C1236" s="317" t="str">
        <f>C1235</f>
        <v>Boiler</v>
      </c>
      <c r="D1236" s="317" t="str">
        <f>D1235</f>
        <v>SF</v>
      </c>
      <c r="E1236" s="320"/>
      <c r="F1236" s="320"/>
      <c r="G1236" s="329"/>
      <c r="H1236" s="320"/>
      <c r="I1236" s="320"/>
      <c r="J1236" s="320"/>
      <c r="K1236" s="320"/>
    </row>
    <row r="1237" spans="1:11" x14ac:dyDescent="0.25">
      <c r="A1237" s="302" t="str">
        <f t="shared" si="24"/>
        <v>Pipe Insulation_Boiler_MF_Diameter of Existing Pipe</v>
      </c>
      <c r="B1237" s="303" t="s">
        <v>404</v>
      </c>
      <c r="C1237" s="303" t="s">
        <v>944</v>
      </c>
      <c r="D1237" s="303" t="s">
        <v>553</v>
      </c>
      <c r="E1237" s="305" t="s">
        <v>285</v>
      </c>
      <c r="F1237" s="305" t="s">
        <v>856</v>
      </c>
      <c r="G1237" s="307">
        <v>0.75</v>
      </c>
      <c r="H1237" s="305" t="s">
        <v>286</v>
      </c>
      <c r="I1237" s="305" t="s">
        <v>668</v>
      </c>
      <c r="J1237" s="305"/>
      <c r="K1237" s="305"/>
    </row>
    <row r="1238" spans="1:11" x14ac:dyDescent="0.25">
      <c r="A1238" s="302" t="str">
        <f t="shared" si="24"/>
        <v>Pipe Insulation_Boiler_MF_Diameter of New Pipe</v>
      </c>
      <c r="B1238" s="303" t="s">
        <v>404</v>
      </c>
      <c r="C1238" s="303" t="s">
        <v>944</v>
      </c>
      <c r="D1238" s="303" t="s">
        <v>553</v>
      </c>
      <c r="E1238" s="305" t="s">
        <v>287</v>
      </c>
      <c r="F1238" s="305" t="s">
        <v>856</v>
      </c>
      <c r="G1238" s="307">
        <v>0.75</v>
      </c>
      <c r="H1238" s="305" t="s">
        <v>286</v>
      </c>
      <c r="I1238" s="305" t="s">
        <v>668</v>
      </c>
      <c r="J1238" s="305"/>
      <c r="K1238" s="305"/>
    </row>
    <row r="1239" spans="1:11" x14ac:dyDescent="0.25">
      <c r="A1239" s="302" t="str">
        <f t="shared" ref="A1239:A1310" si="26">B1239&amp;"_"&amp;C1239&amp;"_"&amp;D1239&amp;"_"&amp;E1239</f>
        <v>Pipe Insulation_Boiler_MF_Depth of Insulation</v>
      </c>
      <c r="B1239" s="303" t="s">
        <v>404</v>
      </c>
      <c r="C1239" s="303" t="s">
        <v>944</v>
      </c>
      <c r="D1239" s="303" t="s">
        <v>553</v>
      </c>
      <c r="E1239" s="305" t="s">
        <v>288</v>
      </c>
      <c r="F1239" s="305" t="s">
        <v>856</v>
      </c>
      <c r="G1239" s="307">
        <v>0.75</v>
      </c>
      <c r="H1239" s="305" t="s">
        <v>289</v>
      </c>
      <c r="I1239" s="305" t="s">
        <v>668</v>
      </c>
      <c r="J1239" s="305"/>
      <c r="K1239" s="305"/>
    </row>
    <row r="1240" spans="1:11" x14ac:dyDescent="0.25">
      <c r="A1240" s="302" t="str">
        <f t="shared" si="26"/>
        <v>Pipe Insulation_Boiler_MF_Circumference of Existing Pipe</v>
      </c>
      <c r="B1240" s="303" t="s">
        <v>404</v>
      </c>
      <c r="C1240" s="303" t="s">
        <v>944</v>
      </c>
      <c r="D1240" s="303" t="s">
        <v>553</v>
      </c>
      <c r="E1240" s="305" t="s">
        <v>290</v>
      </c>
      <c r="F1240" s="305" t="s">
        <v>616</v>
      </c>
      <c r="G1240" s="381">
        <f>G1237*PI()/12</f>
        <v>0.19634954084936207</v>
      </c>
      <c r="H1240" s="305" t="s">
        <v>1927</v>
      </c>
      <c r="I1240" s="305" t="s">
        <v>152</v>
      </c>
      <c r="J1240" s="305" t="s">
        <v>1007</v>
      </c>
      <c r="K1240" s="305" t="s">
        <v>2045</v>
      </c>
    </row>
    <row r="1241" spans="1:11" x14ac:dyDescent="0.25">
      <c r="A1241" s="302" t="str">
        <f t="shared" si="26"/>
        <v>Pipe Insulation_Boiler_MF_Circumference of New Pipe</v>
      </c>
      <c r="B1241" s="303" t="s">
        <v>404</v>
      </c>
      <c r="C1241" s="303" t="s">
        <v>944</v>
      </c>
      <c r="D1241" s="303" t="s">
        <v>553</v>
      </c>
      <c r="E1241" s="305" t="s">
        <v>292</v>
      </c>
      <c r="F1241" s="305" t="s">
        <v>616</v>
      </c>
      <c r="G1241" s="381">
        <f>(G1237+2*G1239)*PI()/12</f>
        <v>0.58904862254808621</v>
      </c>
      <c r="H1241" s="305" t="s">
        <v>1928</v>
      </c>
      <c r="I1241" s="305" t="s">
        <v>668</v>
      </c>
      <c r="J1241" s="305"/>
      <c r="K1241" s="305"/>
    </row>
    <row r="1242" spans="1:11" ht="31.35" customHeight="1" x14ac:dyDescent="0.25">
      <c r="A1242" s="302" t="str">
        <f t="shared" si="26"/>
        <v>Pipe Insulation_Boiler_MF_Heat Loss Coefficient of Existing Pipe</v>
      </c>
      <c r="B1242" s="303" t="s">
        <v>404</v>
      </c>
      <c r="C1242" s="303" t="s">
        <v>944</v>
      </c>
      <c r="D1242" s="303" t="s">
        <v>553</v>
      </c>
      <c r="E1242" s="305" t="s">
        <v>294</v>
      </c>
      <c r="F1242" s="305" t="s">
        <v>1009</v>
      </c>
      <c r="G1242" s="334">
        <v>0.52100000000000002</v>
      </c>
      <c r="H1242" s="311" t="s">
        <v>1929</v>
      </c>
      <c r="I1242" s="305" t="s">
        <v>152</v>
      </c>
      <c r="J1242" s="305" t="s">
        <v>1007</v>
      </c>
      <c r="K1242" s="305" t="s">
        <v>2045</v>
      </c>
    </row>
    <row r="1243" spans="1:11" x14ac:dyDescent="0.25">
      <c r="A1243" s="302" t="str">
        <f t="shared" si="26"/>
        <v>Pipe Insulation_Boiler_MF_R value of Insulation</v>
      </c>
      <c r="B1243" s="303" t="s">
        <v>404</v>
      </c>
      <c r="C1243" s="303" t="s">
        <v>944</v>
      </c>
      <c r="D1243" s="303" t="s">
        <v>553</v>
      </c>
      <c r="E1243" s="305" t="s">
        <v>295</v>
      </c>
      <c r="F1243" s="305" t="s">
        <v>1009</v>
      </c>
      <c r="G1243" s="351">
        <v>5</v>
      </c>
      <c r="H1243" s="305" t="s">
        <v>296</v>
      </c>
      <c r="I1243" s="305" t="s">
        <v>668</v>
      </c>
      <c r="J1243" s="305"/>
      <c r="K1243" s="305"/>
    </row>
    <row r="1244" spans="1:11" x14ac:dyDescent="0.25">
      <c r="A1244" s="302" t="str">
        <f t="shared" si="26"/>
        <v>Pipe Insulation_Boiler_MF_Heat Loss Coefficient of New Pipe</v>
      </c>
      <c r="B1244" s="303" t="s">
        <v>404</v>
      </c>
      <c r="C1244" s="303" t="s">
        <v>944</v>
      </c>
      <c r="D1244" s="303" t="s">
        <v>553</v>
      </c>
      <c r="E1244" s="305" t="s">
        <v>297</v>
      </c>
      <c r="F1244" s="305" t="s">
        <v>1009</v>
      </c>
      <c r="G1244" s="306">
        <f>G1242+G1243</f>
        <v>5.5209999999999999</v>
      </c>
      <c r="H1244" s="305"/>
      <c r="I1244" s="305" t="s">
        <v>152</v>
      </c>
      <c r="J1244" s="305" t="s">
        <v>1007</v>
      </c>
      <c r="K1244" s="305" t="s">
        <v>2045</v>
      </c>
    </row>
    <row r="1245" spans="1:11" x14ac:dyDescent="0.25">
      <c r="A1245" s="302" t="str">
        <f t="shared" si="26"/>
        <v>Pipe Insulation_Boiler_MF_Length of Pipe</v>
      </c>
      <c r="B1245" s="303" t="s">
        <v>404</v>
      </c>
      <c r="C1245" s="303" t="s">
        <v>944</v>
      </c>
      <c r="D1245" s="303" t="s">
        <v>553</v>
      </c>
      <c r="E1245" s="305" t="s">
        <v>298</v>
      </c>
      <c r="F1245" s="305" t="s">
        <v>616</v>
      </c>
      <c r="G1245" s="307">
        <v>1</v>
      </c>
      <c r="H1245" s="305" t="s">
        <v>613</v>
      </c>
      <c r="I1245" s="305" t="s">
        <v>614</v>
      </c>
      <c r="J1245" s="305"/>
      <c r="K1245" s="305"/>
    </row>
    <row r="1246" spans="1:11" x14ac:dyDescent="0.25">
      <c r="A1246" s="302" t="str">
        <f t="shared" ref="A1246:A1247" si="27">B1246&amp;"_"&amp;C1246&amp;"_"&amp;D1246&amp;"_"&amp;E1246</f>
        <v>Pipe Insulation_Boiler_MF_Inside Circumference of Pipe</v>
      </c>
      <c r="B1246" s="303" t="s">
        <v>404</v>
      </c>
      <c r="C1246" s="303" t="s">
        <v>944</v>
      </c>
      <c r="D1246" s="303" t="s">
        <v>553</v>
      </c>
      <c r="E1246" s="311" t="s">
        <v>1908</v>
      </c>
      <c r="F1246" s="311" t="s">
        <v>616</v>
      </c>
      <c r="G1246" s="334">
        <v>0.20549999999999999</v>
      </c>
      <c r="H1246" s="311" t="s">
        <v>1930</v>
      </c>
      <c r="I1246" s="305" t="s">
        <v>152</v>
      </c>
      <c r="J1246" s="305" t="s">
        <v>1007</v>
      </c>
      <c r="K1246" s="305" t="s">
        <v>2045</v>
      </c>
    </row>
    <row r="1247" spans="1:11" x14ac:dyDescent="0.25">
      <c r="A1247" s="302" t="str">
        <f t="shared" si="27"/>
        <v>Pipe Insulation_Boiler_MF_Effective Length of Pipe</v>
      </c>
      <c r="B1247" s="303" t="s">
        <v>404</v>
      </c>
      <c r="C1247" s="303" t="s">
        <v>944</v>
      </c>
      <c r="D1247" s="303" t="s">
        <v>553</v>
      </c>
      <c r="E1247" s="311" t="s">
        <v>1909</v>
      </c>
      <c r="F1247" s="311" t="s">
        <v>616</v>
      </c>
      <c r="G1247" s="334">
        <f>1 + 0 * 0.72</f>
        <v>1</v>
      </c>
      <c r="H1247" s="311" t="s">
        <v>1931</v>
      </c>
      <c r="I1247" s="305" t="s">
        <v>152</v>
      </c>
      <c r="J1247" s="305" t="s">
        <v>1007</v>
      </c>
      <c r="K1247" s="305" t="s">
        <v>2045</v>
      </c>
    </row>
    <row r="1248" spans="1:11" x14ac:dyDescent="0.25">
      <c r="A1248" s="302" t="str">
        <f t="shared" si="26"/>
        <v>Pipe Insulation_Boiler_MF_Average Temperature Difference Between Air and Hot Water</v>
      </c>
      <c r="B1248" s="303" t="s">
        <v>404</v>
      </c>
      <c r="C1248" s="303" t="s">
        <v>944</v>
      </c>
      <c r="D1248" s="303" t="s">
        <v>553</v>
      </c>
      <c r="E1248" s="305" t="s">
        <v>299</v>
      </c>
      <c r="F1248" s="305" t="s">
        <v>444</v>
      </c>
      <c r="G1248" s="307">
        <v>126</v>
      </c>
      <c r="H1248" s="305" t="s">
        <v>1010</v>
      </c>
      <c r="I1248" s="305" t="s">
        <v>152</v>
      </c>
      <c r="J1248" s="305" t="s">
        <v>1007</v>
      </c>
      <c r="K1248" s="305" t="s">
        <v>2045</v>
      </c>
    </row>
    <row r="1249" spans="1:11" x14ac:dyDescent="0.25">
      <c r="A1249" s="302" t="str">
        <f t="shared" si="26"/>
        <v>Pipe Insulation_Boiler_MF_Full Load Hours</v>
      </c>
      <c r="B1249" s="303" t="s">
        <v>404</v>
      </c>
      <c r="C1249" s="303" t="s">
        <v>944</v>
      </c>
      <c r="D1249" s="303" t="s">
        <v>553</v>
      </c>
      <c r="E1249" s="311" t="s">
        <v>1011</v>
      </c>
      <c r="F1249" s="311" t="s">
        <v>1012</v>
      </c>
      <c r="G1249" s="335">
        <v>1726</v>
      </c>
      <c r="H1249" s="311" t="s">
        <v>675</v>
      </c>
      <c r="I1249" s="305" t="s">
        <v>152</v>
      </c>
      <c r="J1249" s="305" t="s">
        <v>1007</v>
      </c>
      <c r="K1249" s="305" t="s">
        <v>2045</v>
      </c>
    </row>
    <row r="1250" spans="1:11" x14ac:dyDescent="0.25">
      <c r="A1250" s="302" t="str">
        <f t="shared" si="26"/>
        <v>Pipe Insulation_Boiler_MF_Efficiency of Boiler Pre Mid Life Adjustment</v>
      </c>
      <c r="B1250" s="303" t="s">
        <v>404</v>
      </c>
      <c r="C1250" s="303" t="s">
        <v>944</v>
      </c>
      <c r="D1250" s="303" t="s">
        <v>553</v>
      </c>
      <c r="E1250" s="305" t="s">
        <v>1013</v>
      </c>
      <c r="F1250" s="305" t="s">
        <v>539</v>
      </c>
      <c r="G1250" s="373">
        <v>0.81899999999999995</v>
      </c>
      <c r="H1250" s="305"/>
      <c r="I1250" s="305" t="s">
        <v>152</v>
      </c>
      <c r="J1250" s="305" t="s">
        <v>1007</v>
      </c>
      <c r="K1250" s="305" t="s">
        <v>2045</v>
      </c>
    </row>
    <row r="1251" spans="1:11" x14ac:dyDescent="0.25">
      <c r="A1251" s="302" t="str">
        <f t="shared" si="26"/>
        <v>Pipe Insulation_Boiler_MF_Efficiency of Boiler at Mid Life Adjustment</v>
      </c>
      <c r="B1251" s="303" t="s">
        <v>404</v>
      </c>
      <c r="C1251" s="303" t="s">
        <v>944</v>
      </c>
      <c r="D1251" s="303" t="s">
        <v>553</v>
      </c>
      <c r="E1251" s="305" t="s">
        <v>1014</v>
      </c>
      <c r="F1251" s="305" t="s">
        <v>539</v>
      </c>
      <c r="G1251" s="382">
        <v>0.84</v>
      </c>
      <c r="H1251" s="311" t="s">
        <v>1910</v>
      </c>
      <c r="I1251" s="305" t="s">
        <v>152</v>
      </c>
      <c r="J1251" s="305" t="s">
        <v>1007</v>
      </c>
      <c r="K1251" s="305" t="s">
        <v>2045</v>
      </c>
    </row>
    <row r="1252" spans="1:11" x14ac:dyDescent="0.25">
      <c r="A1252" s="302" t="str">
        <f t="shared" si="26"/>
        <v>Pipe Insulation_Boiler_MF_Therm Saved per Unit</v>
      </c>
      <c r="B1252" s="303" t="s">
        <v>404</v>
      </c>
      <c r="C1252" s="303" t="s">
        <v>944</v>
      </c>
      <c r="D1252" s="303" t="s">
        <v>553</v>
      </c>
      <c r="E1252" s="314" t="s">
        <v>326</v>
      </c>
      <c r="F1252" s="314"/>
      <c r="G1252" s="370">
        <f>(((1 / G1242 - 1 / G1244) * G1246 * G1247 * G1249 * G1248) / G1250) / 100000</f>
        <v>0.94853594852378065</v>
      </c>
      <c r="H1252" s="383" t="s">
        <v>1911</v>
      </c>
      <c r="I1252" s="305" t="s">
        <v>152</v>
      </c>
      <c r="J1252" s="305" t="s">
        <v>1007</v>
      </c>
      <c r="K1252" s="305" t="s">
        <v>2045</v>
      </c>
    </row>
    <row r="1253" spans="1:11" x14ac:dyDescent="0.25">
      <c r="A1253" s="302" t="str">
        <f t="shared" si="26"/>
        <v>Pipe Insulation_Boiler_MF_Therm Saved per Unit- MLA</v>
      </c>
      <c r="B1253" s="303" t="s">
        <v>404</v>
      </c>
      <c r="C1253" s="303" t="s">
        <v>944</v>
      </c>
      <c r="D1253" s="303" t="s">
        <v>553</v>
      </c>
      <c r="E1253" s="314" t="s">
        <v>626</v>
      </c>
      <c r="F1253" s="314" t="s">
        <v>1015</v>
      </c>
      <c r="G1253" s="370">
        <f>(((1 / G1242 - 1 / G1244) * G1246 * G1247 * G1249 * G1248) / G1251) / 100000</f>
        <v>0.92482254981068612</v>
      </c>
      <c r="H1253" s="383" t="s">
        <v>1911</v>
      </c>
      <c r="I1253" s="305" t="s">
        <v>152</v>
      </c>
      <c r="J1253" s="305" t="s">
        <v>1007</v>
      </c>
      <c r="K1253" s="305" t="s">
        <v>2045</v>
      </c>
    </row>
    <row r="1254" spans="1:11" x14ac:dyDescent="0.25">
      <c r="A1254" s="302" t="str">
        <f t="shared" si="26"/>
        <v>Pipe Insulation_Boiler_MF_Lifetime (years)</v>
      </c>
      <c r="B1254" s="303" t="s">
        <v>404</v>
      </c>
      <c r="C1254" s="303" t="s">
        <v>944</v>
      </c>
      <c r="D1254" s="303" t="s">
        <v>553</v>
      </c>
      <c r="E1254" s="314" t="s">
        <v>259</v>
      </c>
      <c r="F1254" s="314"/>
      <c r="G1254" s="315">
        <v>15</v>
      </c>
      <c r="H1254" s="305" t="s">
        <v>1018</v>
      </c>
      <c r="I1254" s="305" t="s">
        <v>152</v>
      </c>
      <c r="J1254" s="305" t="s">
        <v>1007</v>
      </c>
      <c r="K1254" s="305" t="s">
        <v>2045</v>
      </c>
    </row>
    <row r="1255" spans="1:11" x14ac:dyDescent="0.25">
      <c r="A1255" s="302" t="str">
        <f t="shared" si="26"/>
        <v>Pipe Insulation_Boiler_MF_Lifetime (years) - Remaining Years</v>
      </c>
      <c r="B1255" s="303" t="s">
        <v>404</v>
      </c>
      <c r="C1255" s="303" t="s">
        <v>944</v>
      </c>
      <c r="D1255" s="303" t="s">
        <v>553</v>
      </c>
      <c r="E1255" s="314" t="s">
        <v>628</v>
      </c>
      <c r="F1255" s="314" t="s">
        <v>548</v>
      </c>
      <c r="G1255" s="315">
        <v>13</v>
      </c>
      <c r="H1255" s="305" t="s">
        <v>1016</v>
      </c>
      <c r="I1255" s="305" t="s">
        <v>152</v>
      </c>
      <c r="J1255" s="305" t="s">
        <v>1007</v>
      </c>
      <c r="K1255" s="305" t="s">
        <v>2045</v>
      </c>
    </row>
    <row r="1256" spans="1:11" x14ac:dyDescent="0.25">
      <c r="A1256" s="302" t="str">
        <f t="shared" si="26"/>
        <v>Pipe Insulation_Boiler_MF_Incremental Cost</v>
      </c>
      <c r="B1256" s="303" t="s">
        <v>404</v>
      </c>
      <c r="C1256" s="303" t="s">
        <v>944</v>
      </c>
      <c r="D1256" s="303" t="s">
        <v>553</v>
      </c>
      <c r="E1256" s="314" t="s">
        <v>260</v>
      </c>
      <c r="F1256" s="314" t="s">
        <v>549</v>
      </c>
      <c r="G1256" s="328">
        <f>3*G1245</f>
        <v>3</v>
      </c>
      <c r="H1256" s="305" t="s">
        <v>1017</v>
      </c>
      <c r="I1256" s="305" t="s">
        <v>152</v>
      </c>
      <c r="J1256" s="305" t="s">
        <v>1007</v>
      </c>
      <c r="K1256" s="305" t="s">
        <v>2045</v>
      </c>
    </row>
    <row r="1257" spans="1:11" s="324" customFormat="1" x14ac:dyDescent="0.25">
      <c r="A1257" s="317" t="str">
        <f t="shared" si="26"/>
        <v>Pipe Insulation_Boiler_MF_</v>
      </c>
      <c r="B1257" s="317" t="str">
        <f>B1256</f>
        <v>Pipe Insulation</v>
      </c>
      <c r="C1257" s="317" t="str">
        <f>C1256</f>
        <v>Boiler</v>
      </c>
      <c r="D1257" s="317" t="str">
        <f>D1256</f>
        <v>MF</v>
      </c>
      <c r="E1257" s="317"/>
      <c r="F1257" s="317"/>
      <c r="G1257" s="323"/>
      <c r="H1257" s="320"/>
      <c r="I1257" s="320"/>
      <c r="J1257" s="317"/>
      <c r="K1257" s="317"/>
    </row>
    <row r="1258" spans="1:11" x14ac:dyDescent="0.25">
      <c r="A1258" s="302" t="str">
        <f t="shared" si="26"/>
        <v>Pipe Insulation_DHW_SF_Diameter of Existing Pipe</v>
      </c>
      <c r="B1258" s="303" t="s">
        <v>404</v>
      </c>
      <c r="C1258" s="303" t="s">
        <v>1019</v>
      </c>
      <c r="D1258" s="303" t="s">
        <v>409</v>
      </c>
      <c r="E1258" s="305" t="s">
        <v>285</v>
      </c>
      <c r="F1258" s="305" t="s">
        <v>856</v>
      </c>
      <c r="G1258" s="306">
        <v>0.75</v>
      </c>
      <c r="H1258" s="305" t="s">
        <v>286</v>
      </c>
      <c r="I1258" s="305" t="s">
        <v>668</v>
      </c>
      <c r="J1258" s="305"/>
      <c r="K1258" s="305"/>
    </row>
    <row r="1259" spans="1:11" x14ac:dyDescent="0.25">
      <c r="A1259" s="302" t="str">
        <f t="shared" si="26"/>
        <v>Pipe Insulation_DHW_SF_Diameter of New Pipe</v>
      </c>
      <c r="B1259" s="303" t="s">
        <v>404</v>
      </c>
      <c r="C1259" s="303" t="s">
        <v>1019</v>
      </c>
      <c r="D1259" s="303" t="s">
        <v>409</v>
      </c>
      <c r="E1259" s="305" t="s">
        <v>287</v>
      </c>
      <c r="F1259" s="305" t="s">
        <v>856</v>
      </c>
      <c r="G1259" s="306">
        <v>0.75</v>
      </c>
      <c r="H1259" s="305" t="s">
        <v>286</v>
      </c>
      <c r="I1259" s="305" t="s">
        <v>668</v>
      </c>
      <c r="J1259" s="305"/>
      <c r="K1259" s="305"/>
    </row>
    <row r="1260" spans="1:11" x14ac:dyDescent="0.25">
      <c r="A1260" s="302" t="str">
        <f t="shared" si="26"/>
        <v>Pipe Insulation_DHW_SF_Depth of Insulation</v>
      </c>
      <c r="B1260" s="303" t="s">
        <v>404</v>
      </c>
      <c r="C1260" s="303" t="s">
        <v>1019</v>
      </c>
      <c r="D1260" s="303" t="s">
        <v>409</v>
      </c>
      <c r="E1260" s="305" t="s">
        <v>288</v>
      </c>
      <c r="F1260" s="305" t="s">
        <v>856</v>
      </c>
      <c r="G1260" s="306">
        <v>0.375</v>
      </c>
      <c r="H1260" s="305" t="s">
        <v>289</v>
      </c>
      <c r="I1260" s="305" t="s">
        <v>668</v>
      </c>
      <c r="J1260" s="305"/>
      <c r="K1260" s="305"/>
    </row>
    <row r="1261" spans="1:11" x14ac:dyDescent="0.25">
      <c r="A1261" s="302" t="str">
        <f t="shared" si="26"/>
        <v>Pipe Insulation_DHW_SF_Circumference of Existing Pipe</v>
      </c>
      <c r="B1261" s="303" t="s">
        <v>404</v>
      </c>
      <c r="C1261" s="303" t="s">
        <v>1019</v>
      </c>
      <c r="D1261" s="303" t="s">
        <v>409</v>
      </c>
      <c r="E1261" s="305" t="s">
        <v>290</v>
      </c>
      <c r="F1261" s="305" t="s">
        <v>616</v>
      </c>
      <c r="G1261" s="381">
        <f>G1258*PI()/12</f>
        <v>0.19634954084936207</v>
      </c>
      <c r="H1261" s="305" t="s">
        <v>291</v>
      </c>
      <c r="I1261" s="305" t="s">
        <v>152</v>
      </c>
      <c r="J1261" s="305" t="s">
        <v>104</v>
      </c>
      <c r="K1261" s="305" t="s">
        <v>2313</v>
      </c>
    </row>
    <row r="1262" spans="1:11" x14ac:dyDescent="0.25">
      <c r="A1262" s="302" t="str">
        <f t="shared" si="26"/>
        <v>Pipe Insulation_DHW_SF_Circumference of New Pipe</v>
      </c>
      <c r="B1262" s="303" t="s">
        <v>404</v>
      </c>
      <c r="C1262" s="303" t="s">
        <v>1019</v>
      </c>
      <c r="D1262" s="303" t="s">
        <v>409</v>
      </c>
      <c r="E1262" s="305" t="s">
        <v>292</v>
      </c>
      <c r="F1262" s="305" t="s">
        <v>616</v>
      </c>
      <c r="G1262" s="381">
        <f>(G1258+2*G1260)*PI()/12</f>
        <v>0.39269908169872414</v>
      </c>
      <c r="H1262" s="305" t="s">
        <v>293</v>
      </c>
      <c r="I1262" s="305" t="s">
        <v>668</v>
      </c>
      <c r="J1262" s="305"/>
      <c r="K1262" s="305"/>
    </row>
    <row r="1263" spans="1:11" x14ac:dyDescent="0.25">
      <c r="A1263" s="302" t="str">
        <f t="shared" si="26"/>
        <v>Pipe Insulation_DHW_SF_Heat Loss Coefficient of Existing Pipe</v>
      </c>
      <c r="B1263" s="303" t="s">
        <v>404</v>
      </c>
      <c r="C1263" s="303" t="s">
        <v>1019</v>
      </c>
      <c r="D1263" s="303" t="s">
        <v>409</v>
      </c>
      <c r="E1263" s="305" t="s">
        <v>294</v>
      </c>
      <c r="F1263" s="305" t="s">
        <v>1009</v>
      </c>
      <c r="G1263" s="310">
        <v>0.52100000000000002</v>
      </c>
      <c r="H1263" s="311" t="s">
        <v>1912</v>
      </c>
      <c r="I1263" s="305" t="s">
        <v>152</v>
      </c>
      <c r="J1263" s="305" t="s">
        <v>104</v>
      </c>
      <c r="K1263" s="305" t="s">
        <v>2313</v>
      </c>
    </row>
    <row r="1264" spans="1:11" x14ac:dyDescent="0.25">
      <c r="A1264" s="302" t="str">
        <f t="shared" si="26"/>
        <v>Pipe Insulation_DHW_SF_R value of Insulation</v>
      </c>
      <c r="B1264" s="303" t="s">
        <v>404</v>
      </c>
      <c r="C1264" s="303" t="s">
        <v>1019</v>
      </c>
      <c r="D1264" s="303" t="s">
        <v>409</v>
      </c>
      <c r="E1264" s="305" t="s">
        <v>295</v>
      </c>
      <c r="F1264" s="305" t="s">
        <v>1009</v>
      </c>
      <c r="G1264" s="306">
        <v>5</v>
      </c>
      <c r="H1264" s="305" t="s">
        <v>296</v>
      </c>
      <c r="I1264" s="305" t="s">
        <v>668</v>
      </c>
      <c r="J1264" s="305"/>
      <c r="K1264" s="305"/>
    </row>
    <row r="1265" spans="1:11" x14ac:dyDescent="0.25">
      <c r="A1265" s="302" t="str">
        <f t="shared" si="26"/>
        <v>Pipe Insulation_DHW_SF_Heat Loss Coefficient of New Pipe</v>
      </c>
      <c r="B1265" s="303" t="s">
        <v>404</v>
      </c>
      <c r="C1265" s="303" t="s">
        <v>1019</v>
      </c>
      <c r="D1265" s="303" t="s">
        <v>409</v>
      </c>
      <c r="E1265" s="305" t="s">
        <v>297</v>
      </c>
      <c r="F1265" s="305" t="s">
        <v>1009</v>
      </c>
      <c r="G1265" s="306">
        <f>G1263+G1264</f>
        <v>5.5209999999999999</v>
      </c>
      <c r="H1265" s="305"/>
      <c r="I1265" s="305" t="s">
        <v>152</v>
      </c>
      <c r="J1265" s="305" t="s">
        <v>104</v>
      </c>
      <c r="K1265" s="305" t="s">
        <v>2313</v>
      </c>
    </row>
    <row r="1266" spans="1:11" x14ac:dyDescent="0.25">
      <c r="A1266" s="302" t="str">
        <f t="shared" si="26"/>
        <v>Pipe Insulation_DHW_SF_Length of Pipe</v>
      </c>
      <c r="B1266" s="303" t="s">
        <v>404</v>
      </c>
      <c r="C1266" s="303" t="s">
        <v>1019</v>
      </c>
      <c r="D1266" s="303" t="s">
        <v>409</v>
      </c>
      <c r="E1266" s="305" t="s">
        <v>298</v>
      </c>
      <c r="F1266" s="305" t="s">
        <v>616</v>
      </c>
      <c r="G1266" s="307">
        <v>1</v>
      </c>
      <c r="H1266" s="305" t="s">
        <v>613</v>
      </c>
      <c r="I1266" s="305" t="s">
        <v>614</v>
      </c>
      <c r="J1266" s="305"/>
      <c r="K1266" s="305"/>
    </row>
    <row r="1267" spans="1:11" x14ac:dyDescent="0.25">
      <c r="A1267" s="302" t="str">
        <f t="shared" ref="A1267:A1268" si="28">B1267&amp;"_"&amp;C1267&amp;"_"&amp;D1267&amp;"_"&amp;E1267</f>
        <v>Pipe Insulation_DHW_SF_Inside Circumference of Pipe</v>
      </c>
      <c r="B1267" s="303" t="s">
        <v>404</v>
      </c>
      <c r="C1267" s="303" t="s">
        <v>1019</v>
      </c>
      <c r="D1267" s="303" t="s">
        <v>409</v>
      </c>
      <c r="E1267" s="311" t="s">
        <v>1908</v>
      </c>
      <c r="F1267" s="311" t="s">
        <v>616</v>
      </c>
      <c r="G1267" s="334">
        <v>0.20549999999999999</v>
      </c>
      <c r="H1267" s="311" t="s">
        <v>1913</v>
      </c>
      <c r="I1267" s="305" t="s">
        <v>152</v>
      </c>
      <c r="J1267" s="305" t="s">
        <v>104</v>
      </c>
      <c r="K1267" s="305" t="s">
        <v>2313</v>
      </c>
    </row>
    <row r="1268" spans="1:11" x14ac:dyDescent="0.25">
      <c r="A1268" s="302" t="str">
        <f t="shared" si="28"/>
        <v>Pipe Insulation_DHW_SF_Effective Length of Pipe</v>
      </c>
      <c r="B1268" s="303" t="s">
        <v>404</v>
      </c>
      <c r="C1268" s="303" t="s">
        <v>1019</v>
      </c>
      <c r="D1268" s="303" t="s">
        <v>409</v>
      </c>
      <c r="E1268" s="311" t="s">
        <v>1909</v>
      </c>
      <c r="F1268" s="311" t="s">
        <v>616</v>
      </c>
      <c r="G1268" s="334">
        <f>1 + 0 * 0.72</f>
        <v>1</v>
      </c>
      <c r="H1268" s="311" t="s">
        <v>1932</v>
      </c>
      <c r="I1268" s="305" t="s">
        <v>152</v>
      </c>
      <c r="J1268" s="305" t="s">
        <v>104</v>
      </c>
      <c r="K1268" s="305" t="s">
        <v>2313</v>
      </c>
    </row>
    <row r="1269" spans="1:11" x14ac:dyDescent="0.25">
      <c r="A1269" s="302" t="str">
        <f t="shared" si="26"/>
        <v>Pipe Insulation_DHW_SF_Average Temperature Difference Between Air and Hot Water</v>
      </c>
      <c r="B1269" s="303" t="s">
        <v>404</v>
      </c>
      <c r="C1269" s="303" t="s">
        <v>1019</v>
      </c>
      <c r="D1269" s="303" t="s">
        <v>409</v>
      </c>
      <c r="E1269" s="305" t="s">
        <v>299</v>
      </c>
      <c r="F1269" s="305" t="s">
        <v>444</v>
      </c>
      <c r="G1269" s="307">
        <v>60</v>
      </c>
      <c r="H1269" s="305"/>
      <c r="I1269" s="305" t="s">
        <v>152</v>
      </c>
      <c r="J1269" s="305" t="s">
        <v>104</v>
      </c>
      <c r="K1269" s="305" t="s">
        <v>2313</v>
      </c>
    </row>
    <row r="1270" spans="1:11" x14ac:dyDescent="0.25">
      <c r="A1270" s="302" t="str">
        <f t="shared" si="26"/>
        <v>Pipe Insulation_DHW_SF_Hours per Year</v>
      </c>
      <c r="B1270" s="303" t="s">
        <v>404</v>
      </c>
      <c r="C1270" s="303" t="s">
        <v>1019</v>
      </c>
      <c r="D1270" s="303" t="s">
        <v>409</v>
      </c>
      <c r="E1270" s="305" t="s">
        <v>932</v>
      </c>
      <c r="F1270" s="309" t="s">
        <v>647</v>
      </c>
      <c r="G1270" s="339">
        <v>8766</v>
      </c>
      <c r="H1270" s="305"/>
      <c r="I1270" s="305" t="s">
        <v>152</v>
      </c>
      <c r="J1270" s="305" t="s">
        <v>104</v>
      </c>
      <c r="K1270" s="305" t="s">
        <v>2313</v>
      </c>
    </row>
    <row r="1271" spans="1:11" x14ac:dyDescent="0.25">
      <c r="A1271" s="302" t="str">
        <f t="shared" si="26"/>
        <v>Pipe Insulation_DHW_SF_Recovery Efficiency of Gas Hot Water Heater</v>
      </c>
      <c r="B1271" s="303" t="s">
        <v>404</v>
      </c>
      <c r="C1271" s="303" t="s">
        <v>1019</v>
      </c>
      <c r="D1271" s="303" t="s">
        <v>409</v>
      </c>
      <c r="E1271" s="305" t="s">
        <v>300</v>
      </c>
      <c r="F1271" s="305" t="s">
        <v>539</v>
      </c>
      <c r="G1271" s="308">
        <v>0.78</v>
      </c>
      <c r="H1271" s="305"/>
      <c r="I1271" s="305" t="s">
        <v>152</v>
      </c>
      <c r="J1271" s="305" t="s">
        <v>104</v>
      </c>
      <c r="K1271" s="305" t="s">
        <v>2313</v>
      </c>
    </row>
    <row r="1272" spans="1:11" x14ac:dyDescent="0.25">
      <c r="A1272" s="302" t="str">
        <f t="shared" si="26"/>
        <v>Pipe Insulation_DHW_SF_ISR</v>
      </c>
      <c r="B1272" s="303" t="s">
        <v>404</v>
      </c>
      <c r="C1272" s="303" t="s">
        <v>1019</v>
      </c>
      <c r="D1272" s="303" t="s">
        <v>409</v>
      </c>
      <c r="E1272" s="305" t="s">
        <v>267</v>
      </c>
      <c r="F1272" s="305" t="s">
        <v>539</v>
      </c>
      <c r="G1272" s="308">
        <v>1</v>
      </c>
      <c r="H1272" s="305"/>
      <c r="I1272" s="305" t="s">
        <v>152</v>
      </c>
      <c r="J1272" s="305" t="s">
        <v>104</v>
      </c>
      <c r="K1272" s="305" t="s">
        <v>2313</v>
      </c>
    </row>
    <row r="1273" spans="1:11" x14ac:dyDescent="0.25">
      <c r="A1273" s="302" t="str">
        <f t="shared" si="26"/>
        <v>Pipe Insulation_DHW_SF_Therm Saved per Unit</v>
      </c>
      <c r="B1273" s="303" t="s">
        <v>404</v>
      </c>
      <c r="C1273" s="303" t="s">
        <v>1019</v>
      </c>
      <c r="D1273" s="303" t="s">
        <v>409</v>
      </c>
      <c r="E1273" s="314" t="s">
        <v>326</v>
      </c>
      <c r="F1273" s="314"/>
      <c r="G1273" s="310">
        <f>(((1 / G1263 - 1 / G1265) * G1267 * G1268 * G1269 * G1270 * G1272) / G1271) / 100000</f>
        <v>2.4087097696290445</v>
      </c>
      <c r="H1273" s="311" t="s">
        <v>1914</v>
      </c>
      <c r="I1273" s="305" t="s">
        <v>152</v>
      </c>
      <c r="J1273" s="305" t="s">
        <v>104</v>
      </c>
      <c r="K1273" s="305" t="s">
        <v>2313</v>
      </c>
    </row>
    <row r="1274" spans="1:11" x14ac:dyDescent="0.25">
      <c r="A1274" s="302" t="str">
        <f t="shared" si="26"/>
        <v>Pipe Insulation_DHW_SF_Lifetime (years)</v>
      </c>
      <c r="B1274" s="303" t="s">
        <v>404</v>
      </c>
      <c r="C1274" s="303" t="s">
        <v>1019</v>
      </c>
      <c r="D1274" s="303" t="s">
        <v>409</v>
      </c>
      <c r="E1274" s="314" t="s">
        <v>259</v>
      </c>
      <c r="F1274" s="314"/>
      <c r="G1274" s="315">
        <v>15</v>
      </c>
      <c r="H1274" s="305" t="s">
        <v>1018</v>
      </c>
      <c r="I1274" s="305" t="s">
        <v>152</v>
      </c>
      <c r="J1274" s="305" t="s">
        <v>104</v>
      </c>
      <c r="K1274" s="305" t="s">
        <v>2313</v>
      </c>
    </row>
    <row r="1275" spans="1:11" x14ac:dyDescent="0.25">
      <c r="A1275" s="302" t="str">
        <f t="shared" si="26"/>
        <v>Pipe Insulation_DHW_SF_Incremental Cost</v>
      </c>
      <c r="B1275" s="303" t="s">
        <v>404</v>
      </c>
      <c r="C1275" s="303" t="s">
        <v>1019</v>
      </c>
      <c r="D1275" s="303" t="s">
        <v>409</v>
      </c>
      <c r="E1275" s="314" t="s">
        <v>260</v>
      </c>
      <c r="F1275" s="314" t="s">
        <v>549</v>
      </c>
      <c r="G1275" s="328">
        <f>3*G1266</f>
        <v>3</v>
      </c>
      <c r="H1275" s="305" t="s">
        <v>1017</v>
      </c>
      <c r="I1275" s="305" t="s">
        <v>152</v>
      </c>
      <c r="J1275" s="305" t="s">
        <v>104</v>
      </c>
      <c r="K1275" s="305" t="s">
        <v>2313</v>
      </c>
    </row>
    <row r="1276" spans="1:11" s="324" customFormat="1" x14ac:dyDescent="0.25">
      <c r="A1276" s="317" t="str">
        <f t="shared" si="26"/>
        <v>Pipe Insulation_DHW_SF_</v>
      </c>
      <c r="B1276" s="317" t="str">
        <f>B1275</f>
        <v>Pipe Insulation</v>
      </c>
      <c r="C1276" s="317" t="str">
        <f>C1275</f>
        <v>DHW</v>
      </c>
      <c r="D1276" s="317" t="str">
        <f>D1275</f>
        <v>SF</v>
      </c>
      <c r="E1276" s="317"/>
      <c r="F1276" s="317"/>
      <c r="G1276" s="323"/>
      <c r="H1276" s="320"/>
      <c r="I1276" s="320"/>
      <c r="J1276" s="317"/>
      <c r="K1276" s="317"/>
    </row>
    <row r="1277" spans="1:11" x14ac:dyDescent="0.25">
      <c r="A1277" s="302" t="str">
        <f t="shared" si="26"/>
        <v>Pipe Insulation_IE Kit_IE_Diameter of Existing Pipe</v>
      </c>
      <c r="B1277" s="303" t="s">
        <v>404</v>
      </c>
      <c r="C1277" s="303" t="s">
        <v>550</v>
      </c>
      <c r="D1277" s="303" t="s">
        <v>551</v>
      </c>
      <c r="E1277" s="305" t="s">
        <v>285</v>
      </c>
      <c r="F1277" s="305" t="s">
        <v>856</v>
      </c>
      <c r="G1277" s="306">
        <v>0.75</v>
      </c>
      <c r="H1277" s="305" t="s">
        <v>286</v>
      </c>
      <c r="I1277" s="305" t="s">
        <v>668</v>
      </c>
      <c r="J1277" s="305"/>
      <c r="K1277" s="305"/>
    </row>
    <row r="1278" spans="1:11" x14ac:dyDescent="0.25">
      <c r="A1278" s="302" t="str">
        <f t="shared" si="26"/>
        <v>Pipe Insulation_IE Kit_IE_Diameter of New Pipe</v>
      </c>
      <c r="B1278" s="303" t="s">
        <v>404</v>
      </c>
      <c r="C1278" s="303" t="s">
        <v>550</v>
      </c>
      <c r="D1278" s="303" t="s">
        <v>551</v>
      </c>
      <c r="E1278" s="305" t="s">
        <v>287</v>
      </c>
      <c r="F1278" s="305" t="s">
        <v>856</v>
      </c>
      <c r="G1278" s="306">
        <v>0.75</v>
      </c>
      <c r="H1278" s="305" t="s">
        <v>286</v>
      </c>
      <c r="I1278" s="305" t="s">
        <v>668</v>
      </c>
      <c r="J1278" s="305"/>
      <c r="K1278" s="305"/>
    </row>
    <row r="1279" spans="1:11" x14ac:dyDescent="0.25">
      <c r="A1279" s="302" t="str">
        <f t="shared" si="26"/>
        <v>Pipe Insulation_IE Kit_IE_Depth of Insulation</v>
      </c>
      <c r="B1279" s="303" t="s">
        <v>404</v>
      </c>
      <c r="C1279" s="303" t="s">
        <v>550</v>
      </c>
      <c r="D1279" s="303" t="s">
        <v>551</v>
      </c>
      <c r="E1279" s="305" t="s">
        <v>288</v>
      </c>
      <c r="F1279" s="305" t="s">
        <v>856</v>
      </c>
      <c r="G1279" s="306">
        <v>0.375</v>
      </c>
      <c r="H1279" s="305" t="s">
        <v>289</v>
      </c>
      <c r="I1279" s="305" t="s">
        <v>668</v>
      </c>
      <c r="J1279" s="305"/>
      <c r="K1279" s="305"/>
    </row>
    <row r="1280" spans="1:11" x14ac:dyDescent="0.25">
      <c r="A1280" s="302" t="str">
        <f t="shared" si="26"/>
        <v>Pipe Insulation_IE Kit_IE_Circumference of Existing Pipe</v>
      </c>
      <c r="B1280" s="303" t="s">
        <v>404</v>
      </c>
      <c r="C1280" s="303" t="s">
        <v>550</v>
      </c>
      <c r="D1280" s="303" t="s">
        <v>551</v>
      </c>
      <c r="E1280" s="305" t="s">
        <v>290</v>
      </c>
      <c r="F1280" s="305" t="s">
        <v>616</v>
      </c>
      <c r="G1280" s="381">
        <f>G1277*PI()/12</f>
        <v>0.19634954084936207</v>
      </c>
      <c r="H1280" s="305" t="s">
        <v>291</v>
      </c>
      <c r="I1280" s="305" t="s">
        <v>152</v>
      </c>
      <c r="J1280" s="305" t="s">
        <v>104</v>
      </c>
      <c r="K1280" s="305" t="s">
        <v>2313</v>
      </c>
    </row>
    <row r="1281" spans="1:11" x14ac:dyDescent="0.25">
      <c r="A1281" s="302" t="str">
        <f t="shared" si="26"/>
        <v>Pipe Insulation_IE Kit_IE_Circumference of New Pipe</v>
      </c>
      <c r="B1281" s="303" t="s">
        <v>404</v>
      </c>
      <c r="C1281" s="303" t="s">
        <v>550</v>
      </c>
      <c r="D1281" s="303" t="s">
        <v>551</v>
      </c>
      <c r="E1281" s="305" t="s">
        <v>292</v>
      </c>
      <c r="F1281" s="305" t="s">
        <v>616</v>
      </c>
      <c r="G1281" s="381">
        <f>(G1277+2*G1279)*PI()/12</f>
        <v>0.39269908169872414</v>
      </c>
      <c r="H1281" s="305" t="s">
        <v>293</v>
      </c>
      <c r="I1281" s="305" t="s">
        <v>668</v>
      </c>
      <c r="J1281" s="305"/>
      <c r="K1281" s="305"/>
    </row>
    <row r="1282" spans="1:11" x14ac:dyDescent="0.25">
      <c r="A1282" s="302" t="str">
        <f t="shared" si="26"/>
        <v>Pipe Insulation_IE Kit_IE_Heat Loss Coefficient of Existing Pipe</v>
      </c>
      <c r="B1282" s="303" t="s">
        <v>404</v>
      </c>
      <c r="C1282" s="303" t="s">
        <v>550</v>
      </c>
      <c r="D1282" s="303" t="s">
        <v>551</v>
      </c>
      <c r="E1282" s="305" t="s">
        <v>294</v>
      </c>
      <c r="F1282" s="305" t="s">
        <v>1009</v>
      </c>
      <c r="G1282" s="310">
        <v>0.52100000000000002</v>
      </c>
      <c r="H1282" s="311" t="s">
        <v>1912</v>
      </c>
      <c r="I1282" s="305" t="s">
        <v>152</v>
      </c>
      <c r="J1282" s="305" t="s">
        <v>104</v>
      </c>
      <c r="K1282" s="305" t="s">
        <v>2313</v>
      </c>
    </row>
    <row r="1283" spans="1:11" x14ac:dyDescent="0.25">
      <c r="A1283" s="302" t="str">
        <f t="shared" si="26"/>
        <v>Pipe Insulation_IE Kit_IE_R value of Insulation</v>
      </c>
      <c r="B1283" s="303" t="s">
        <v>404</v>
      </c>
      <c r="C1283" s="303" t="s">
        <v>550</v>
      </c>
      <c r="D1283" s="303" t="s">
        <v>551</v>
      </c>
      <c r="E1283" s="305" t="s">
        <v>295</v>
      </c>
      <c r="F1283" s="305" t="s">
        <v>1009</v>
      </c>
      <c r="G1283" s="306">
        <v>5</v>
      </c>
      <c r="H1283" s="305" t="s">
        <v>296</v>
      </c>
      <c r="I1283" s="305" t="s">
        <v>668</v>
      </c>
      <c r="J1283" s="305"/>
      <c r="K1283" s="305"/>
    </row>
    <row r="1284" spans="1:11" x14ac:dyDescent="0.25">
      <c r="A1284" s="302" t="str">
        <f t="shared" si="26"/>
        <v>Pipe Insulation_IE Kit_IE_Heat Loss Coefficient of New Pipe</v>
      </c>
      <c r="B1284" s="303" t="s">
        <v>404</v>
      </c>
      <c r="C1284" s="303" t="s">
        <v>550</v>
      </c>
      <c r="D1284" s="303" t="s">
        <v>551</v>
      </c>
      <c r="E1284" s="305" t="s">
        <v>297</v>
      </c>
      <c r="F1284" s="305" t="s">
        <v>1009</v>
      </c>
      <c r="G1284" s="306">
        <f>G1282+G1283</f>
        <v>5.5209999999999999</v>
      </c>
      <c r="H1284" s="305"/>
      <c r="I1284" s="305" t="s">
        <v>152</v>
      </c>
      <c r="J1284" s="305" t="s">
        <v>104</v>
      </c>
      <c r="K1284" s="305" t="s">
        <v>2313</v>
      </c>
    </row>
    <row r="1285" spans="1:11" x14ac:dyDescent="0.25">
      <c r="A1285" s="302" t="str">
        <f t="shared" si="26"/>
        <v>Pipe Insulation_IE Kit_IE_Length of Pipe</v>
      </c>
      <c r="B1285" s="303" t="s">
        <v>404</v>
      </c>
      <c r="C1285" s="303" t="s">
        <v>550</v>
      </c>
      <c r="D1285" s="303" t="s">
        <v>551</v>
      </c>
      <c r="E1285" s="305" t="s">
        <v>298</v>
      </c>
      <c r="F1285" s="305" t="s">
        <v>616</v>
      </c>
      <c r="G1285" s="307">
        <v>1</v>
      </c>
      <c r="H1285" s="305" t="s">
        <v>1020</v>
      </c>
      <c r="I1285" s="305" t="s">
        <v>614</v>
      </c>
      <c r="J1285" s="305"/>
      <c r="K1285" s="305"/>
    </row>
    <row r="1286" spans="1:11" x14ac:dyDescent="0.25">
      <c r="A1286" s="302" t="str">
        <f t="shared" ref="A1286:A1287" si="29">B1286&amp;"_"&amp;C1286&amp;"_"&amp;D1286&amp;"_"&amp;E1286</f>
        <v>Pipe Insulation_IE Kit_IE_Inside Circumference of Pipe</v>
      </c>
      <c r="B1286" s="303" t="s">
        <v>404</v>
      </c>
      <c r="C1286" s="303" t="s">
        <v>550</v>
      </c>
      <c r="D1286" s="303" t="s">
        <v>551</v>
      </c>
      <c r="E1286" s="311" t="s">
        <v>1908</v>
      </c>
      <c r="F1286" s="311" t="s">
        <v>616</v>
      </c>
      <c r="G1286" s="334">
        <v>0.20549999999999999</v>
      </c>
      <c r="H1286" s="311" t="s">
        <v>1913</v>
      </c>
      <c r="I1286" s="305" t="s">
        <v>152</v>
      </c>
      <c r="J1286" s="305" t="s">
        <v>104</v>
      </c>
      <c r="K1286" s="305" t="s">
        <v>2313</v>
      </c>
    </row>
    <row r="1287" spans="1:11" x14ac:dyDescent="0.25">
      <c r="A1287" s="302" t="str">
        <f t="shared" si="29"/>
        <v>Pipe Insulation_IE Kit_IE_Effective Length of Pipe</v>
      </c>
      <c r="B1287" s="303" t="s">
        <v>404</v>
      </c>
      <c r="C1287" s="303" t="s">
        <v>550</v>
      </c>
      <c r="D1287" s="303" t="s">
        <v>551</v>
      </c>
      <c r="E1287" s="311" t="s">
        <v>1909</v>
      </c>
      <c r="F1287" s="311" t="s">
        <v>616</v>
      </c>
      <c r="G1287" s="334">
        <f>1 + 0 * 0.72</f>
        <v>1</v>
      </c>
      <c r="H1287" s="311" t="s">
        <v>1932</v>
      </c>
      <c r="I1287" s="305" t="s">
        <v>152</v>
      </c>
      <c r="J1287" s="305" t="s">
        <v>104</v>
      </c>
      <c r="K1287" s="305" t="s">
        <v>2313</v>
      </c>
    </row>
    <row r="1288" spans="1:11" x14ac:dyDescent="0.25">
      <c r="A1288" s="302" t="str">
        <f t="shared" si="26"/>
        <v>Pipe Insulation_IE Kit_IE_Average Temperature Difference Between Air and Hot Water</v>
      </c>
      <c r="B1288" s="303" t="s">
        <v>404</v>
      </c>
      <c r="C1288" s="303" t="s">
        <v>550</v>
      </c>
      <c r="D1288" s="303" t="s">
        <v>551</v>
      </c>
      <c r="E1288" s="305" t="s">
        <v>299</v>
      </c>
      <c r="F1288" s="305" t="s">
        <v>444</v>
      </c>
      <c r="G1288" s="307">
        <v>60</v>
      </c>
      <c r="H1288" s="305"/>
      <c r="I1288" s="305" t="s">
        <v>152</v>
      </c>
      <c r="J1288" s="305" t="s">
        <v>104</v>
      </c>
      <c r="K1288" s="305" t="s">
        <v>2313</v>
      </c>
    </row>
    <row r="1289" spans="1:11" x14ac:dyDescent="0.25">
      <c r="A1289" s="302" t="str">
        <f t="shared" si="26"/>
        <v>Pipe Insulation_IE Kit_IE_Hours per Year</v>
      </c>
      <c r="B1289" s="303" t="s">
        <v>404</v>
      </c>
      <c r="C1289" s="303" t="s">
        <v>550</v>
      </c>
      <c r="D1289" s="303" t="s">
        <v>551</v>
      </c>
      <c r="E1289" s="305" t="s">
        <v>932</v>
      </c>
      <c r="F1289" s="309" t="s">
        <v>647</v>
      </c>
      <c r="G1289" s="339">
        <v>8766</v>
      </c>
      <c r="H1289" s="305"/>
      <c r="I1289" s="305" t="s">
        <v>152</v>
      </c>
      <c r="J1289" s="305" t="s">
        <v>104</v>
      </c>
      <c r="K1289" s="305" t="s">
        <v>2313</v>
      </c>
    </row>
    <row r="1290" spans="1:11" x14ac:dyDescent="0.25">
      <c r="A1290" s="302" t="str">
        <f t="shared" si="26"/>
        <v>Pipe Insulation_IE Kit_IE_Recovery Efficiency of Gas Hot Water Heater</v>
      </c>
      <c r="B1290" s="303" t="s">
        <v>404</v>
      </c>
      <c r="C1290" s="303" t="s">
        <v>550</v>
      </c>
      <c r="D1290" s="303" t="s">
        <v>551</v>
      </c>
      <c r="E1290" s="305" t="s">
        <v>300</v>
      </c>
      <c r="F1290" s="305" t="s">
        <v>539</v>
      </c>
      <c r="G1290" s="308">
        <v>0.78</v>
      </c>
      <c r="H1290" s="305"/>
      <c r="I1290" s="305" t="s">
        <v>152</v>
      </c>
      <c r="J1290" s="305" t="s">
        <v>104</v>
      </c>
      <c r="K1290" s="305" t="s">
        <v>2313</v>
      </c>
    </row>
    <row r="1291" spans="1:11" x14ac:dyDescent="0.25">
      <c r="A1291" s="302" t="str">
        <f t="shared" si="26"/>
        <v>Pipe Insulation_IE Kit_IE_ISR</v>
      </c>
      <c r="B1291" s="303" t="s">
        <v>404</v>
      </c>
      <c r="C1291" s="303" t="s">
        <v>550</v>
      </c>
      <c r="D1291" s="303" t="s">
        <v>551</v>
      </c>
      <c r="E1291" s="305" t="s">
        <v>267</v>
      </c>
      <c r="F1291" s="305" t="s">
        <v>539</v>
      </c>
      <c r="G1291" s="313">
        <v>0.5</v>
      </c>
      <c r="H1291" s="305"/>
      <c r="I1291" s="305" t="s">
        <v>152</v>
      </c>
      <c r="J1291" s="305" t="s">
        <v>104</v>
      </c>
      <c r="K1291" s="305" t="s">
        <v>2313</v>
      </c>
    </row>
    <row r="1292" spans="1:11" x14ac:dyDescent="0.25">
      <c r="A1292" s="302" t="str">
        <f t="shared" si="26"/>
        <v>Pipe Insulation_IE Kit_IE_Therm Saved per Unit</v>
      </c>
      <c r="B1292" s="303" t="s">
        <v>404</v>
      </c>
      <c r="C1292" s="303" t="s">
        <v>550</v>
      </c>
      <c r="D1292" s="303" t="s">
        <v>551</v>
      </c>
      <c r="E1292" s="314" t="s">
        <v>326</v>
      </c>
      <c r="F1292" s="314"/>
      <c r="G1292" s="310">
        <f>(((1 / G1282 - 1 / G1284) * G1286 * G1287 * G1288 * G1289 * G1291) / G1290) / 100000</f>
        <v>1.2043548848145222</v>
      </c>
      <c r="H1292" s="311" t="s">
        <v>1915</v>
      </c>
      <c r="I1292" s="305" t="s">
        <v>152</v>
      </c>
      <c r="J1292" s="305" t="s">
        <v>104</v>
      </c>
      <c r="K1292" s="305" t="s">
        <v>2313</v>
      </c>
    </row>
    <row r="1293" spans="1:11" x14ac:dyDescent="0.25">
      <c r="A1293" s="302" t="str">
        <f t="shared" si="26"/>
        <v>Pipe Insulation_IE Kit_IE_Lifetime (years)</v>
      </c>
      <c r="B1293" s="303" t="s">
        <v>404</v>
      </c>
      <c r="C1293" s="303" t="s">
        <v>550</v>
      </c>
      <c r="D1293" s="303" t="s">
        <v>551</v>
      </c>
      <c r="E1293" s="314" t="s">
        <v>259</v>
      </c>
      <c r="F1293" s="314"/>
      <c r="G1293" s="315">
        <v>15</v>
      </c>
      <c r="H1293" s="305"/>
      <c r="I1293" s="305" t="s">
        <v>152</v>
      </c>
      <c r="J1293" s="305" t="s">
        <v>104</v>
      </c>
      <c r="K1293" s="305" t="s">
        <v>2313</v>
      </c>
    </row>
    <row r="1294" spans="1:11" x14ac:dyDescent="0.25">
      <c r="A1294" s="302" t="str">
        <f t="shared" si="26"/>
        <v>Pipe Insulation_IE Kit_IE_Incremental Cost</v>
      </c>
      <c r="B1294" s="303" t="s">
        <v>404</v>
      </c>
      <c r="C1294" s="303" t="s">
        <v>550</v>
      </c>
      <c r="D1294" s="303" t="s">
        <v>551</v>
      </c>
      <c r="E1294" s="314" t="s">
        <v>260</v>
      </c>
      <c r="F1294" s="314" t="s">
        <v>549</v>
      </c>
      <c r="G1294" s="328">
        <v>0</v>
      </c>
      <c r="H1294" s="305" t="s">
        <v>552</v>
      </c>
      <c r="I1294" s="305"/>
      <c r="J1294" s="305"/>
      <c r="K1294" s="305"/>
    </row>
    <row r="1295" spans="1:11" s="324" customFormat="1" x14ac:dyDescent="0.25">
      <c r="A1295" s="317" t="str">
        <f t="shared" si="26"/>
        <v>Pipe Insulation_IE Kit_IE_</v>
      </c>
      <c r="B1295" s="317" t="str">
        <f>B1294</f>
        <v>Pipe Insulation</v>
      </c>
      <c r="C1295" s="317" t="str">
        <f>C1294</f>
        <v>IE Kit</v>
      </c>
      <c r="D1295" s="317" t="str">
        <f>D1294</f>
        <v>IE</v>
      </c>
      <c r="E1295" s="317"/>
      <c r="F1295" s="317"/>
      <c r="G1295" s="323"/>
      <c r="H1295" s="320"/>
      <c r="I1295" s="320"/>
      <c r="J1295" s="317"/>
      <c r="K1295" s="317"/>
    </row>
    <row r="1296" spans="1:11" x14ac:dyDescent="0.25">
      <c r="A1296" s="302" t="str">
        <f t="shared" si="26"/>
        <v>Pipe Insulation_DHW_MF_Diameter of Existing Pipe</v>
      </c>
      <c r="B1296" s="303" t="s">
        <v>404</v>
      </c>
      <c r="C1296" s="303" t="s">
        <v>1019</v>
      </c>
      <c r="D1296" s="303" t="s">
        <v>553</v>
      </c>
      <c r="E1296" s="305" t="s">
        <v>285</v>
      </c>
      <c r="F1296" s="305" t="s">
        <v>856</v>
      </c>
      <c r="G1296" s="306">
        <v>0.75</v>
      </c>
      <c r="H1296" s="305" t="s">
        <v>286</v>
      </c>
      <c r="I1296" s="305" t="s">
        <v>668</v>
      </c>
      <c r="J1296" s="305"/>
      <c r="K1296" s="305"/>
    </row>
    <row r="1297" spans="1:11" x14ac:dyDescent="0.25">
      <c r="A1297" s="302" t="str">
        <f t="shared" si="26"/>
        <v>Pipe Insulation_DHW_MF_Diameter of New Pipe</v>
      </c>
      <c r="B1297" s="303" t="s">
        <v>404</v>
      </c>
      <c r="C1297" s="303" t="s">
        <v>1019</v>
      </c>
      <c r="D1297" s="303" t="s">
        <v>553</v>
      </c>
      <c r="E1297" s="305" t="s">
        <v>287</v>
      </c>
      <c r="F1297" s="305" t="s">
        <v>856</v>
      </c>
      <c r="G1297" s="306">
        <v>0.75</v>
      </c>
      <c r="H1297" s="305" t="s">
        <v>286</v>
      </c>
      <c r="I1297" s="305" t="s">
        <v>668</v>
      </c>
      <c r="J1297" s="305"/>
      <c r="K1297" s="305"/>
    </row>
    <row r="1298" spans="1:11" x14ac:dyDescent="0.25">
      <c r="A1298" s="302" t="str">
        <f t="shared" si="26"/>
        <v>Pipe Insulation_DHW_MF_Depth of Insulation</v>
      </c>
      <c r="B1298" s="303" t="s">
        <v>404</v>
      </c>
      <c r="C1298" s="303" t="s">
        <v>1019</v>
      </c>
      <c r="D1298" s="303" t="s">
        <v>553</v>
      </c>
      <c r="E1298" s="305" t="s">
        <v>288</v>
      </c>
      <c r="F1298" s="305" t="s">
        <v>856</v>
      </c>
      <c r="G1298" s="306">
        <v>0.375</v>
      </c>
      <c r="H1298" s="305" t="s">
        <v>289</v>
      </c>
      <c r="I1298" s="305" t="s">
        <v>668</v>
      </c>
      <c r="J1298" s="305"/>
      <c r="K1298" s="305"/>
    </row>
    <row r="1299" spans="1:11" x14ac:dyDescent="0.25">
      <c r="A1299" s="302" t="str">
        <f t="shared" si="26"/>
        <v>Pipe Insulation_DHW_MF_Circumference of Existing Pipe</v>
      </c>
      <c r="B1299" s="303" t="s">
        <v>404</v>
      </c>
      <c r="C1299" s="303" t="s">
        <v>1019</v>
      </c>
      <c r="D1299" s="303" t="s">
        <v>553</v>
      </c>
      <c r="E1299" s="305" t="s">
        <v>290</v>
      </c>
      <c r="F1299" s="305" t="s">
        <v>616</v>
      </c>
      <c r="G1299" s="381">
        <f>G1296*PI()/12</f>
        <v>0.19634954084936207</v>
      </c>
      <c r="H1299" s="305" t="s">
        <v>291</v>
      </c>
      <c r="I1299" s="305" t="s">
        <v>152</v>
      </c>
      <c r="J1299" s="305" t="s">
        <v>104</v>
      </c>
      <c r="K1299" s="305" t="s">
        <v>2313</v>
      </c>
    </row>
    <row r="1300" spans="1:11" x14ac:dyDescent="0.25">
      <c r="A1300" s="302" t="str">
        <f t="shared" si="26"/>
        <v>Pipe Insulation_DHW_MF_Circumference of New Pipe</v>
      </c>
      <c r="B1300" s="303" t="s">
        <v>404</v>
      </c>
      <c r="C1300" s="303" t="s">
        <v>1019</v>
      </c>
      <c r="D1300" s="303" t="s">
        <v>553</v>
      </c>
      <c r="E1300" s="305" t="s">
        <v>292</v>
      </c>
      <c r="F1300" s="305" t="s">
        <v>616</v>
      </c>
      <c r="G1300" s="381">
        <f>(G1296+2*G1298)*PI()/12</f>
        <v>0.39269908169872414</v>
      </c>
      <c r="H1300" s="305" t="s">
        <v>293</v>
      </c>
      <c r="I1300" s="305" t="s">
        <v>668</v>
      </c>
      <c r="J1300" s="305"/>
      <c r="K1300" s="305"/>
    </row>
    <row r="1301" spans="1:11" x14ac:dyDescent="0.25">
      <c r="A1301" s="302" t="str">
        <f t="shared" si="26"/>
        <v>Pipe Insulation_DHW_MF_Heat Loss Coefficient of Existing Pipe</v>
      </c>
      <c r="B1301" s="303" t="s">
        <v>404</v>
      </c>
      <c r="C1301" s="303" t="s">
        <v>1019</v>
      </c>
      <c r="D1301" s="303" t="s">
        <v>553</v>
      </c>
      <c r="E1301" s="305" t="s">
        <v>294</v>
      </c>
      <c r="F1301" s="305" t="s">
        <v>1009</v>
      </c>
      <c r="G1301" s="310">
        <v>0.52100000000000002</v>
      </c>
      <c r="H1301" s="311" t="s">
        <v>1912</v>
      </c>
      <c r="I1301" s="305" t="s">
        <v>152</v>
      </c>
      <c r="J1301" s="305" t="s">
        <v>104</v>
      </c>
      <c r="K1301" s="305" t="s">
        <v>2313</v>
      </c>
    </row>
    <row r="1302" spans="1:11" x14ac:dyDescent="0.25">
      <c r="A1302" s="302" t="str">
        <f t="shared" si="26"/>
        <v>Pipe Insulation_DHW_MF_R value of Insulation</v>
      </c>
      <c r="B1302" s="303" t="s">
        <v>404</v>
      </c>
      <c r="C1302" s="303" t="s">
        <v>1019</v>
      </c>
      <c r="D1302" s="303" t="s">
        <v>553</v>
      </c>
      <c r="E1302" s="305" t="s">
        <v>295</v>
      </c>
      <c r="F1302" s="305" t="s">
        <v>1009</v>
      </c>
      <c r="G1302" s="306">
        <v>5</v>
      </c>
      <c r="H1302" s="305" t="s">
        <v>296</v>
      </c>
      <c r="I1302" s="305" t="s">
        <v>668</v>
      </c>
      <c r="J1302" s="305"/>
      <c r="K1302" s="305"/>
    </row>
    <row r="1303" spans="1:11" x14ac:dyDescent="0.25">
      <c r="A1303" s="302" t="str">
        <f t="shared" si="26"/>
        <v>Pipe Insulation_DHW_MF_Heat Loss Coefficient of New Pipe</v>
      </c>
      <c r="B1303" s="303" t="s">
        <v>404</v>
      </c>
      <c r="C1303" s="303" t="s">
        <v>1019</v>
      </c>
      <c r="D1303" s="303" t="s">
        <v>553</v>
      </c>
      <c r="E1303" s="305" t="s">
        <v>297</v>
      </c>
      <c r="F1303" s="305" t="s">
        <v>1009</v>
      </c>
      <c r="G1303" s="306">
        <f>G1301+G1302</f>
        <v>5.5209999999999999</v>
      </c>
      <c r="H1303" s="305"/>
      <c r="I1303" s="305" t="s">
        <v>152</v>
      </c>
      <c r="J1303" s="305" t="s">
        <v>104</v>
      </c>
      <c r="K1303" s="305" t="s">
        <v>2313</v>
      </c>
    </row>
    <row r="1304" spans="1:11" x14ac:dyDescent="0.25">
      <c r="A1304" s="302" t="str">
        <f t="shared" si="26"/>
        <v>Pipe Insulation_DHW_MF_Length of Pipe</v>
      </c>
      <c r="B1304" s="303" t="s">
        <v>404</v>
      </c>
      <c r="C1304" s="303" t="s">
        <v>1019</v>
      </c>
      <c r="D1304" s="303" t="s">
        <v>553</v>
      </c>
      <c r="E1304" s="305" t="s">
        <v>298</v>
      </c>
      <c r="F1304" s="305" t="s">
        <v>616</v>
      </c>
      <c r="G1304" s="307">
        <v>1</v>
      </c>
      <c r="H1304" s="305" t="s">
        <v>613</v>
      </c>
      <c r="I1304" s="305" t="s">
        <v>614</v>
      </c>
      <c r="J1304" s="305"/>
      <c r="K1304" s="305"/>
    </row>
    <row r="1305" spans="1:11" x14ac:dyDescent="0.25">
      <c r="A1305" s="302" t="str">
        <f t="shared" ref="A1305:A1306" si="30">B1305&amp;"_"&amp;C1305&amp;"_"&amp;D1305&amp;"_"&amp;E1305</f>
        <v>Pipe Insulation_DHW_MF_Inside Circumference of Pipe</v>
      </c>
      <c r="B1305" s="303" t="s">
        <v>404</v>
      </c>
      <c r="C1305" s="303" t="s">
        <v>1019</v>
      </c>
      <c r="D1305" s="303" t="s">
        <v>553</v>
      </c>
      <c r="E1305" s="311" t="s">
        <v>1908</v>
      </c>
      <c r="F1305" s="311" t="s">
        <v>616</v>
      </c>
      <c r="G1305" s="334">
        <v>0.20549999999999999</v>
      </c>
      <c r="H1305" s="311" t="s">
        <v>1913</v>
      </c>
      <c r="I1305" s="305" t="s">
        <v>152</v>
      </c>
      <c r="J1305" s="305" t="s">
        <v>104</v>
      </c>
      <c r="K1305" s="305" t="s">
        <v>2313</v>
      </c>
    </row>
    <row r="1306" spans="1:11" x14ac:dyDescent="0.25">
      <c r="A1306" s="302" t="str">
        <f t="shared" si="30"/>
        <v>Pipe Insulation_DHW_MF_Effective Length of Pipe</v>
      </c>
      <c r="B1306" s="303" t="s">
        <v>404</v>
      </c>
      <c r="C1306" s="303" t="s">
        <v>1019</v>
      </c>
      <c r="D1306" s="303" t="s">
        <v>553</v>
      </c>
      <c r="E1306" s="311" t="s">
        <v>1909</v>
      </c>
      <c r="F1306" s="311" t="s">
        <v>616</v>
      </c>
      <c r="G1306" s="334">
        <f>1 + 0 * 0.72</f>
        <v>1</v>
      </c>
      <c r="H1306" s="311" t="s">
        <v>1932</v>
      </c>
      <c r="I1306" s="305" t="s">
        <v>152</v>
      </c>
      <c r="J1306" s="305" t="s">
        <v>104</v>
      </c>
      <c r="K1306" s="305" t="s">
        <v>2313</v>
      </c>
    </row>
    <row r="1307" spans="1:11" x14ac:dyDescent="0.25">
      <c r="A1307" s="302" t="str">
        <f t="shared" si="26"/>
        <v>Pipe Insulation_DHW_MF_Average Temperature Difference Between Air and Hot Water</v>
      </c>
      <c r="B1307" s="303" t="s">
        <v>404</v>
      </c>
      <c r="C1307" s="303" t="s">
        <v>1019</v>
      </c>
      <c r="D1307" s="303" t="s">
        <v>553</v>
      </c>
      <c r="E1307" s="305" t="s">
        <v>299</v>
      </c>
      <c r="F1307" s="305" t="s">
        <v>444</v>
      </c>
      <c r="G1307" s="307">
        <v>60</v>
      </c>
      <c r="H1307" s="305"/>
      <c r="I1307" s="305" t="s">
        <v>152</v>
      </c>
      <c r="J1307" s="305" t="s">
        <v>104</v>
      </c>
      <c r="K1307" s="305" t="s">
        <v>2313</v>
      </c>
    </row>
    <row r="1308" spans="1:11" x14ac:dyDescent="0.25">
      <c r="A1308" s="302" t="str">
        <f t="shared" si="26"/>
        <v>Pipe Insulation_DHW_MF_Hours per Year</v>
      </c>
      <c r="B1308" s="303" t="s">
        <v>404</v>
      </c>
      <c r="C1308" s="303" t="s">
        <v>1019</v>
      </c>
      <c r="D1308" s="303" t="s">
        <v>553</v>
      </c>
      <c r="E1308" s="305" t="s">
        <v>932</v>
      </c>
      <c r="F1308" s="309" t="s">
        <v>647</v>
      </c>
      <c r="G1308" s="339">
        <v>8766</v>
      </c>
      <c r="H1308" s="305"/>
      <c r="I1308" s="305" t="s">
        <v>152</v>
      </c>
      <c r="J1308" s="305" t="s">
        <v>104</v>
      </c>
      <c r="K1308" s="305" t="s">
        <v>2313</v>
      </c>
    </row>
    <row r="1309" spans="1:11" x14ac:dyDescent="0.25">
      <c r="A1309" s="302" t="str">
        <f t="shared" si="26"/>
        <v>Pipe Insulation_DHW_MF_Recovery Efficiency of Gas Hot Water Heater</v>
      </c>
      <c r="B1309" s="303" t="s">
        <v>404</v>
      </c>
      <c r="C1309" s="303" t="s">
        <v>1019</v>
      </c>
      <c r="D1309" s="303" t="s">
        <v>553</v>
      </c>
      <c r="E1309" s="305" t="s">
        <v>300</v>
      </c>
      <c r="F1309" s="305" t="s">
        <v>539</v>
      </c>
      <c r="G1309" s="308">
        <v>0.78</v>
      </c>
      <c r="H1309" s="305"/>
      <c r="I1309" s="305" t="s">
        <v>152</v>
      </c>
      <c r="J1309" s="305" t="s">
        <v>104</v>
      </c>
      <c r="K1309" s="305" t="s">
        <v>2313</v>
      </c>
    </row>
    <row r="1310" spans="1:11" x14ac:dyDescent="0.25">
      <c r="A1310" s="302" t="str">
        <f t="shared" si="26"/>
        <v>Pipe Insulation_DHW_MF_ISR</v>
      </c>
      <c r="B1310" s="303" t="s">
        <v>404</v>
      </c>
      <c r="C1310" s="303" t="s">
        <v>1019</v>
      </c>
      <c r="D1310" s="303" t="s">
        <v>553</v>
      </c>
      <c r="E1310" s="305" t="s">
        <v>267</v>
      </c>
      <c r="F1310" s="305" t="s">
        <v>539</v>
      </c>
      <c r="G1310" s="308">
        <v>1</v>
      </c>
      <c r="H1310" s="305"/>
      <c r="I1310" s="305" t="s">
        <v>152</v>
      </c>
      <c r="J1310" s="305" t="s">
        <v>104</v>
      </c>
      <c r="K1310" s="305" t="s">
        <v>2313</v>
      </c>
    </row>
    <row r="1311" spans="1:11" x14ac:dyDescent="0.25">
      <c r="A1311" s="302" t="str">
        <f t="shared" ref="A1311:A1374" si="31">B1311&amp;"_"&amp;C1311&amp;"_"&amp;D1311&amp;"_"&amp;E1311</f>
        <v>Pipe Insulation_DHW_MF_Therm Saved per Unit</v>
      </c>
      <c r="B1311" s="303" t="s">
        <v>404</v>
      </c>
      <c r="C1311" s="303" t="s">
        <v>1019</v>
      </c>
      <c r="D1311" s="303" t="s">
        <v>553</v>
      </c>
      <c r="E1311" s="314" t="s">
        <v>326</v>
      </c>
      <c r="F1311" s="314"/>
      <c r="G1311" s="310">
        <f>(((1 / G1301 - 1 / G1303) * G1305 * G1306 * G1307 * G1308 * G1310) / G1309) / 100000</f>
        <v>2.4087097696290445</v>
      </c>
      <c r="H1311" s="311" t="s">
        <v>1914</v>
      </c>
      <c r="I1311" s="305" t="s">
        <v>152</v>
      </c>
      <c r="J1311" s="305" t="s">
        <v>104</v>
      </c>
      <c r="K1311" s="305" t="s">
        <v>2313</v>
      </c>
    </row>
    <row r="1312" spans="1:11" x14ac:dyDescent="0.25">
      <c r="A1312" s="302" t="str">
        <f t="shared" si="31"/>
        <v>Pipe Insulation_DHW_MF_Lifetime (years)</v>
      </c>
      <c r="B1312" s="303" t="s">
        <v>404</v>
      </c>
      <c r="C1312" s="303" t="s">
        <v>1019</v>
      </c>
      <c r="D1312" s="303" t="s">
        <v>553</v>
      </c>
      <c r="E1312" s="314" t="s">
        <v>259</v>
      </c>
      <c r="F1312" s="314"/>
      <c r="G1312" s="315">
        <v>15</v>
      </c>
      <c r="H1312" s="305" t="s">
        <v>1018</v>
      </c>
      <c r="I1312" s="305" t="s">
        <v>152</v>
      </c>
      <c r="J1312" s="305" t="s">
        <v>104</v>
      </c>
      <c r="K1312" s="305" t="s">
        <v>2313</v>
      </c>
    </row>
    <row r="1313" spans="1:11" x14ac:dyDescent="0.25">
      <c r="A1313" s="302" t="str">
        <f t="shared" si="31"/>
        <v>Pipe Insulation_DHW_MF_Incremental Cost</v>
      </c>
      <c r="B1313" s="303" t="s">
        <v>404</v>
      </c>
      <c r="C1313" s="303" t="s">
        <v>1019</v>
      </c>
      <c r="D1313" s="303" t="s">
        <v>553</v>
      </c>
      <c r="E1313" s="314" t="s">
        <v>260</v>
      </c>
      <c r="F1313" s="314" t="s">
        <v>549</v>
      </c>
      <c r="G1313" s="328">
        <f>3*G1304</f>
        <v>3</v>
      </c>
      <c r="H1313" s="305" t="s">
        <v>1017</v>
      </c>
      <c r="I1313" s="305" t="s">
        <v>152</v>
      </c>
      <c r="J1313" s="305" t="s">
        <v>104</v>
      </c>
      <c r="K1313" s="305" t="s">
        <v>2313</v>
      </c>
    </row>
    <row r="1314" spans="1:11" s="324" customFormat="1" x14ac:dyDescent="0.25">
      <c r="A1314" s="317" t="str">
        <f t="shared" si="31"/>
        <v>Pipe Insulation_DHW_MF_</v>
      </c>
      <c r="B1314" s="317" t="str">
        <f>B1313</f>
        <v>Pipe Insulation</v>
      </c>
      <c r="C1314" s="317" t="str">
        <f>C1313</f>
        <v>DHW</v>
      </c>
      <c r="D1314" s="317" t="str">
        <f>D1313</f>
        <v>MF</v>
      </c>
      <c r="E1314" s="317"/>
      <c r="F1314" s="317"/>
      <c r="G1314" s="323"/>
      <c r="H1314" s="320"/>
      <c r="I1314" s="320"/>
      <c r="J1314" s="317"/>
      <c r="K1314" s="317"/>
    </row>
    <row r="1315" spans="1:11" x14ac:dyDescent="0.25">
      <c r="A1315" s="302" t="str">
        <f t="shared" si="31"/>
        <v>Water Heater Temperature Setback_0_SF_Heat Transfer Coefficient of Tank</v>
      </c>
      <c r="B1315" s="303" t="s">
        <v>223</v>
      </c>
      <c r="C1315" s="304">
        <v>0</v>
      </c>
      <c r="D1315" s="303" t="s">
        <v>409</v>
      </c>
      <c r="E1315" s="305" t="s">
        <v>312</v>
      </c>
      <c r="F1315" s="305" t="s">
        <v>1021</v>
      </c>
      <c r="G1315" s="367">
        <v>8.3000000000000004E-2</v>
      </c>
      <c r="H1315" s="305"/>
      <c r="I1315" s="305" t="s">
        <v>152</v>
      </c>
      <c r="J1315" s="305" t="s">
        <v>105</v>
      </c>
      <c r="K1315" s="305" t="s">
        <v>2370</v>
      </c>
    </row>
    <row r="1316" spans="1:11" x14ac:dyDescent="0.25">
      <c r="A1316" s="302" t="str">
        <f t="shared" si="31"/>
        <v>Water Heater Temperature Setback_0_SF_Surface Area of Tank</v>
      </c>
      <c r="B1316" s="303" t="s">
        <v>223</v>
      </c>
      <c r="C1316" s="304">
        <v>0</v>
      </c>
      <c r="D1316" s="303" t="s">
        <v>409</v>
      </c>
      <c r="E1316" s="305" t="s">
        <v>313</v>
      </c>
      <c r="F1316" s="305" t="s">
        <v>1023</v>
      </c>
      <c r="G1316" s="307">
        <v>24.99</v>
      </c>
      <c r="H1316" s="305" t="s">
        <v>1024</v>
      </c>
      <c r="I1316" s="305" t="s">
        <v>152</v>
      </c>
      <c r="J1316" s="305" t="s">
        <v>105</v>
      </c>
      <c r="K1316" s="305" t="s">
        <v>2370</v>
      </c>
    </row>
    <row r="1317" spans="1:11" x14ac:dyDescent="0.25">
      <c r="A1317" s="302" t="str">
        <f t="shared" si="31"/>
        <v>Water Heater Temperature Setback_0_SF_Setpoint Temperature Prior Adjustment</v>
      </c>
      <c r="B1317" s="303" t="s">
        <v>223</v>
      </c>
      <c r="C1317" s="304">
        <v>0</v>
      </c>
      <c r="D1317" s="303" t="s">
        <v>409</v>
      </c>
      <c r="E1317" s="311" t="s">
        <v>314</v>
      </c>
      <c r="F1317" s="311" t="s">
        <v>542</v>
      </c>
      <c r="G1317" s="334">
        <v>142.30000000000001</v>
      </c>
      <c r="H1317" s="311" t="s">
        <v>2542</v>
      </c>
      <c r="I1317" s="305" t="s">
        <v>152</v>
      </c>
      <c r="J1317" s="305" t="s">
        <v>105</v>
      </c>
      <c r="K1317" s="305" t="s">
        <v>2370</v>
      </c>
    </row>
    <row r="1318" spans="1:11" x14ac:dyDescent="0.25">
      <c r="A1318" s="302" t="str">
        <f t="shared" si="31"/>
        <v>Water Heater Temperature Setback_0_SF_Setpoint Temperature Post Adjustment</v>
      </c>
      <c r="B1318" s="303" t="s">
        <v>223</v>
      </c>
      <c r="C1318" s="304">
        <v>0</v>
      </c>
      <c r="D1318" s="303" t="s">
        <v>409</v>
      </c>
      <c r="E1318" s="311" t="s">
        <v>315</v>
      </c>
      <c r="F1318" s="311" t="s">
        <v>542</v>
      </c>
      <c r="G1318" s="334">
        <v>136.9</v>
      </c>
      <c r="H1318" s="311" t="s">
        <v>2542</v>
      </c>
      <c r="I1318" s="305" t="s">
        <v>152</v>
      </c>
      <c r="J1318" s="305" t="s">
        <v>105</v>
      </c>
      <c r="K1318" s="305" t="s">
        <v>2370</v>
      </c>
    </row>
    <row r="1319" spans="1:11" x14ac:dyDescent="0.25">
      <c r="A1319" s="302" t="str">
        <f t="shared" si="31"/>
        <v>Water Heater Temperature Setback_0_SF_Hours per Year</v>
      </c>
      <c r="B1319" s="303" t="s">
        <v>223</v>
      </c>
      <c r="C1319" s="304">
        <v>0</v>
      </c>
      <c r="D1319" s="303" t="s">
        <v>409</v>
      </c>
      <c r="E1319" s="305" t="s">
        <v>932</v>
      </c>
      <c r="F1319" s="309" t="s">
        <v>647</v>
      </c>
      <c r="G1319" s="339">
        <v>8766</v>
      </c>
      <c r="H1319" s="305"/>
      <c r="I1319" s="305" t="s">
        <v>152</v>
      </c>
      <c r="J1319" s="305" t="s">
        <v>105</v>
      </c>
      <c r="K1319" s="305" t="s">
        <v>2370</v>
      </c>
    </row>
    <row r="1320" spans="1:11" x14ac:dyDescent="0.25">
      <c r="A1320" s="302" t="str">
        <f t="shared" si="31"/>
        <v>Water Heater Temperature Setback_0_SF_ISR</v>
      </c>
      <c r="B1320" s="303" t="s">
        <v>223</v>
      </c>
      <c r="C1320" s="304">
        <v>0</v>
      </c>
      <c r="D1320" s="303" t="s">
        <v>409</v>
      </c>
      <c r="E1320" s="305" t="s">
        <v>267</v>
      </c>
      <c r="F1320" s="305" t="s">
        <v>539</v>
      </c>
      <c r="G1320" s="308">
        <v>1</v>
      </c>
      <c r="H1320" s="305"/>
      <c r="I1320" s="305" t="s">
        <v>152</v>
      </c>
      <c r="J1320" s="305" t="s">
        <v>105</v>
      </c>
      <c r="K1320" s="305" t="s">
        <v>2370</v>
      </c>
    </row>
    <row r="1321" spans="1:11" x14ac:dyDescent="0.25">
      <c r="A1321" s="302" t="str">
        <f t="shared" si="31"/>
        <v>Water Heater Temperature Setback_0_SF_RE_Gas</v>
      </c>
      <c r="B1321" s="303" t="s">
        <v>223</v>
      </c>
      <c r="C1321" s="304">
        <v>0</v>
      </c>
      <c r="D1321" s="303" t="s">
        <v>409</v>
      </c>
      <c r="E1321" s="305" t="s">
        <v>543</v>
      </c>
      <c r="F1321" s="305" t="s">
        <v>539</v>
      </c>
      <c r="G1321" s="308">
        <v>0.78</v>
      </c>
      <c r="H1321" s="305" t="s">
        <v>1025</v>
      </c>
      <c r="I1321" s="305" t="s">
        <v>152</v>
      </c>
      <c r="J1321" s="305" t="s">
        <v>105</v>
      </c>
      <c r="K1321" s="305" t="s">
        <v>2370</v>
      </c>
    </row>
    <row r="1322" spans="1:11" x14ac:dyDescent="0.25">
      <c r="A1322" s="302" t="str">
        <f t="shared" si="31"/>
        <v>Water Heater Temperature Setback_0_SF_Therm Saved per Unit</v>
      </c>
      <c r="B1322" s="303" t="s">
        <v>223</v>
      </c>
      <c r="C1322" s="304">
        <v>0</v>
      </c>
      <c r="D1322" s="303" t="s">
        <v>409</v>
      </c>
      <c r="E1322" s="314" t="s">
        <v>326</v>
      </c>
      <c r="F1322" s="314"/>
      <c r="G1322" s="315">
        <f>G1315*G1316*(G1317-G1318)*G1319*G1320/(100000*G1321)</f>
        <v>1.2587659075384627</v>
      </c>
      <c r="H1322" s="305"/>
      <c r="I1322" s="305" t="s">
        <v>152</v>
      </c>
      <c r="J1322" s="305" t="s">
        <v>105</v>
      </c>
      <c r="K1322" s="305" t="s">
        <v>2370</v>
      </c>
    </row>
    <row r="1323" spans="1:11" x14ac:dyDescent="0.25">
      <c r="A1323" s="302" t="str">
        <f t="shared" si="31"/>
        <v>Water Heater Temperature Setback_0_SF_Lifetime (years)</v>
      </c>
      <c r="B1323" s="303" t="s">
        <v>223</v>
      </c>
      <c r="C1323" s="304">
        <v>0</v>
      </c>
      <c r="D1323" s="303" t="s">
        <v>409</v>
      </c>
      <c r="E1323" s="314" t="s">
        <v>259</v>
      </c>
      <c r="F1323" s="314" t="s">
        <v>548</v>
      </c>
      <c r="G1323" s="315">
        <v>2</v>
      </c>
      <c r="H1323" s="305"/>
      <c r="I1323" s="305" t="s">
        <v>152</v>
      </c>
      <c r="J1323" s="305" t="s">
        <v>105</v>
      </c>
      <c r="K1323" s="305" t="s">
        <v>2370</v>
      </c>
    </row>
    <row r="1324" spans="1:11" x14ac:dyDescent="0.25">
      <c r="A1324" s="302" t="str">
        <f t="shared" si="31"/>
        <v>Water Heater Temperature Setback_0_SF_Incremental Cost</v>
      </c>
      <c r="B1324" s="303" t="s">
        <v>223</v>
      </c>
      <c r="C1324" s="304">
        <v>0</v>
      </c>
      <c r="D1324" s="303" t="s">
        <v>409</v>
      </c>
      <c r="E1324" s="314" t="s">
        <v>260</v>
      </c>
      <c r="F1324" s="314" t="s">
        <v>549</v>
      </c>
      <c r="G1324" s="316">
        <v>5</v>
      </c>
      <c r="H1324" s="305" t="s">
        <v>316</v>
      </c>
      <c r="I1324" s="305" t="s">
        <v>152</v>
      </c>
      <c r="J1324" s="305" t="s">
        <v>105</v>
      </c>
      <c r="K1324" s="305" t="s">
        <v>2370</v>
      </c>
    </row>
    <row r="1325" spans="1:11" s="324" customFormat="1" x14ac:dyDescent="0.25">
      <c r="A1325" s="317" t="str">
        <f t="shared" si="31"/>
        <v>Water Heater Temperature Setback_0_SF_</v>
      </c>
      <c r="B1325" s="317" t="str">
        <f>B1324</f>
        <v>Water Heater Temperature Setback</v>
      </c>
      <c r="C1325" s="317">
        <f>C1324</f>
        <v>0</v>
      </c>
      <c r="D1325" s="317" t="str">
        <f>D1324</f>
        <v>SF</v>
      </c>
      <c r="E1325" s="317"/>
      <c r="F1325" s="317"/>
      <c r="G1325" s="323"/>
      <c r="H1325" s="320"/>
      <c r="I1325" s="320"/>
      <c r="J1325" s="317"/>
      <c r="K1325" s="317"/>
    </row>
    <row r="1326" spans="1:11" x14ac:dyDescent="0.25">
      <c r="A1326" s="302" t="str">
        <f t="shared" si="31"/>
        <v>Water Heater Temperature Setback_IE Kit_IE_Heat Transfer Coefficient of Tank</v>
      </c>
      <c r="B1326" s="303" t="s">
        <v>223</v>
      </c>
      <c r="C1326" s="303" t="s">
        <v>550</v>
      </c>
      <c r="D1326" s="303" t="s">
        <v>551</v>
      </c>
      <c r="E1326" s="305" t="s">
        <v>312</v>
      </c>
      <c r="F1326" s="305" t="s">
        <v>1021</v>
      </c>
      <c r="G1326" s="367">
        <v>8.3000000000000004E-2</v>
      </c>
      <c r="H1326" s="305"/>
      <c r="I1326" s="305" t="s">
        <v>152</v>
      </c>
      <c r="J1326" s="305" t="s">
        <v>105</v>
      </c>
      <c r="K1326" s="305" t="s">
        <v>2370</v>
      </c>
    </row>
    <row r="1327" spans="1:11" x14ac:dyDescent="0.25">
      <c r="A1327" s="302" t="str">
        <f t="shared" si="31"/>
        <v>Water Heater Temperature Setback_IE Kit_IE_Surface Area of Tank</v>
      </c>
      <c r="B1327" s="303" t="s">
        <v>223</v>
      </c>
      <c r="C1327" s="303" t="s">
        <v>550</v>
      </c>
      <c r="D1327" s="303" t="s">
        <v>551</v>
      </c>
      <c r="E1327" s="305" t="s">
        <v>313</v>
      </c>
      <c r="F1327" s="305" t="s">
        <v>1023</v>
      </c>
      <c r="G1327" s="307">
        <v>24.99</v>
      </c>
      <c r="H1327" s="305" t="s">
        <v>1024</v>
      </c>
      <c r="I1327" s="305" t="s">
        <v>152</v>
      </c>
      <c r="J1327" s="305" t="s">
        <v>105</v>
      </c>
      <c r="K1327" s="305" t="s">
        <v>2370</v>
      </c>
    </row>
    <row r="1328" spans="1:11" x14ac:dyDescent="0.25">
      <c r="A1328" s="302" t="str">
        <f t="shared" si="31"/>
        <v>Water Heater Temperature Setback_IE Kit_IE_Setpoint Temperature Prior Adjustment</v>
      </c>
      <c r="B1328" s="303" t="s">
        <v>223</v>
      </c>
      <c r="C1328" s="303" t="s">
        <v>550</v>
      </c>
      <c r="D1328" s="303" t="s">
        <v>551</v>
      </c>
      <c r="E1328" s="311" t="s">
        <v>314</v>
      </c>
      <c r="F1328" s="311" t="s">
        <v>542</v>
      </c>
      <c r="G1328" s="334">
        <v>142.30000000000001</v>
      </c>
      <c r="H1328" s="311" t="s">
        <v>2543</v>
      </c>
      <c r="I1328" s="305" t="s">
        <v>152</v>
      </c>
      <c r="J1328" s="305" t="s">
        <v>105</v>
      </c>
      <c r="K1328" s="305" t="s">
        <v>2370</v>
      </c>
    </row>
    <row r="1329" spans="1:11" x14ac:dyDescent="0.25">
      <c r="A1329" s="302" t="str">
        <f t="shared" si="31"/>
        <v>Water Heater Temperature Setback_IE Kit_IE_Setpoint Temperature Post Adjustment</v>
      </c>
      <c r="B1329" s="303" t="s">
        <v>223</v>
      </c>
      <c r="C1329" s="303" t="s">
        <v>550</v>
      </c>
      <c r="D1329" s="303" t="s">
        <v>551</v>
      </c>
      <c r="E1329" s="311" t="s">
        <v>315</v>
      </c>
      <c r="F1329" s="311" t="s">
        <v>542</v>
      </c>
      <c r="G1329" s="334">
        <v>136.9</v>
      </c>
      <c r="H1329" s="311" t="s">
        <v>2543</v>
      </c>
      <c r="I1329" s="305" t="s">
        <v>152</v>
      </c>
      <c r="J1329" s="305" t="s">
        <v>105</v>
      </c>
      <c r="K1329" s="305" t="s">
        <v>2370</v>
      </c>
    </row>
    <row r="1330" spans="1:11" x14ac:dyDescent="0.25">
      <c r="A1330" s="302" t="str">
        <f t="shared" si="31"/>
        <v>Water Heater Temperature Setback_IE Kit_IE_Hours per Year</v>
      </c>
      <c r="B1330" s="303" t="s">
        <v>223</v>
      </c>
      <c r="C1330" s="303" t="s">
        <v>550</v>
      </c>
      <c r="D1330" s="303" t="s">
        <v>551</v>
      </c>
      <c r="E1330" s="305" t="s">
        <v>932</v>
      </c>
      <c r="F1330" s="309" t="s">
        <v>647</v>
      </c>
      <c r="G1330" s="339">
        <v>8766</v>
      </c>
      <c r="H1330" s="305"/>
      <c r="I1330" s="305" t="s">
        <v>152</v>
      </c>
      <c r="J1330" s="305" t="s">
        <v>105</v>
      </c>
      <c r="K1330" s="305" t="s">
        <v>2370</v>
      </c>
    </row>
    <row r="1331" spans="1:11" x14ac:dyDescent="0.25">
      <c r="A1331" s="302" t="str">
        <f t="shared" si="31"/>
        <v>Water Heater Temperature Setback_IE Kit_IE_ISR</v>
      </c>
      <c r="B1331" s="303" t="s">
        <v>223</v>
      </c>
      <c r="C1331" s="303" t="s">
        <v>550</v>
      </c>
      <c r="D1331" s="303" t="s">
        <v>551</v>
      </c>
      <c r="E1331" s="305" t="s">
        <v>267</v>
      </c>
      <c r="F1331" s="305" t="s">
        <v>539</v>
      </c>
      <c r="G1331" s="308">
        <v>0.1</v>
      </c>
      <c r="H1331" s="311" t="s">
        <v>2587</v>
      </c>
      <c r="I1331" s="305" t="s">
        <v>152</v>
      </c>
      <c r="J1331" s="305" t="s">
        <v>105</v>
      </c>
      <c r="K1331" s="305" t="s">
        <v>2370</v>
      </c>
    </row>
    <row r="1332" spans="1:11" x14ac:dyDescent="0.25">
      <c r="A1332" s="302" t="str">
        <f t="shared" si="31"/>
        <v>Water Heater Temperature Setback_IE Kit_IE_RE_Gas</v>
      </c>
      <c r="B1332" s="303" t="s">
        <v>223</v>
      </c>
      <c r="C1332" s="303" t="s">
        <v>550</v>
      </c>
      <c r="D1332" s="303" t="s">
        <v>551</v>
      </c>
      <c r="E1332" s="305" t="s">
        <v>543</v>
      </c>
      <c r="F1332" s="305" t="s">
        <v>539</v>
      </c>
      <c r="G1332" s="308">
        <f>AVERAGE(G1321,G1343)</f>
        <v>0.72500000000000009</v>
      </c>
      <c r="H1332" s="305" t="s">
        <v>1789</v>
      </c>
      <c r="I1332" s="305" t="s">
        <v>152</v>
      </c>
      <c r="J1332" s="305" t="s">
        <v>105</v>
      </c>
      <c r="K1332" s="305" t="s">
        <v>2370</v>
      </c>
    </row>
    <row r="1333" spans="1:11" x14ac:dyDescent="0.25">
      <c r="A1333" s="302" t="str">
        <f t="shared" si="31"/>
        <v>Water Heater Temperature Setback_IE Kit_IE_Therm Saved per Unit</v>
      </c>
      <c r="B1333" s="303" t="s">
        <v>223</v>
      </c>
      <c r="C1333" s="303" t="s">
        <v>550</v>
      </c>
      <c r="D1333" s="303" t="s">
        <v>551</v>
      </c>
      <c r="E1333" s="314" t="s">
        <v>326</v>
      </c>
      <c r="F1333" s="314"/>
      <c r="G1333" s="315">
        <f>G1326*G1327*(G1328-G1329)*G1330*G1331/(100000*G1332)</f>
        <v>0.13542584936275873</v>
      </c>
      <c r="H1333" s="305"/>
      <c r="I1333" s="305" t="s">
        <v>152</v>
      </c>
      <c r="J1333" s="305" t="s">
        <v>105</v>
      </c>
      <c r="K1333" s="305" t="s">
        <v>2370</v>
      </c>
    </row>
    <row r="1334" spans="1:11" x14ac:dyDescent="0.25">
      <c r="A1334" s="302" t="str">
        <f t="shared" si="31"/>
        <v>Water Heater Temperature Setback_IE Kit_IE_Lifetime (years)</v>
      </c>
      <c r="B1334" s="303" t="s">
        <v>223</v>
      </c>
      <c r="C1334" s="303" t="s">
        <v>550</v>
      </c>
      <c r="D1334" s="303" t="s">
        <v>551</v>
      </c>
      <c r="E1334" s="314" t="s">
        <v>259</v>
      </c>
      <c r="F1334" s="314" t="s">
        <v>548</v>
      </c>
      <c r="G1334" s="315">
        <v>2</v>
      </c>
      <c r="H1334" s="305"/>
      <c r="I1334" s="305" t="s">
        <v>152</v>
      </c>
      <c r="J1334" s="305" t="s">
        <v>105</v>
      </c>
      <c r="K1334" s="305" t="s">
        <v>2370</v>
      </c>
    </row>
    <row r="1335" spans="1:11" x14ac:dyDescent="0.25">
      <c r="A1335" s="302" t="str">
        <f t="shared" si="31"/>
        <v>Water Heater Temperature Setback_IE Kit_IE_Incremental Cost</v>
      </c>
      <c r="B1335" s="303" t="s">
        <v>223</v>
      </c>
      <c r="C1335" s="303" t="s">
        <v>550</v>
      </c>
      <c r="D1335" s="303" t="s">
        <v>551</v>
      </c>
      <c r="E1335" s="314" t="s">
        <v>260</v>
      </c>
      <c r="F1335" s="314" t="s">
        <v>549</v>
      </c>
      <c r="G1335" s="316">
        <v>0</v>
      </c>
      <c r="H1335" s="305" t="s">
        <v>552</v>
      </c>
      <c r="I1335" s="305"/>
      <c r="J1335" s="305"/>
      <c r="K1335" s="305"/>
    </row>
    <row r="1336" spans="1:11" s="324" customFormat="1" x14ac:dyDescent="0.25">
      <c r="A1336" s="317" t="str">
        <f t="shared" si="31"/>
        <v>Water Heater Temperature Setback_IE Kit_IE_</v>
      </c>
      <c r="B1336" s="317" t="str">
        <f>B1335</f>
        <v>Water Heater Temperature Setback</v>
      </c>
      <c r="C1336" s="317" t="str">
        <f>C1335</f>
        <v>IE Kit</v>
      </c>
      <c r="D1336" s="317" t="str">
        <f>D1335</f>
        <v>IE</v>
      </c>
      <c r="E1336" s="317"/>
      <c r="F1336" s="317"/>
      <c r="G1336" s="323"/>
      <c r="H1336" s="320"/>
      <c r="I1336" s="320"/>
      <c r="J1336" s="317"/>
      <c r="K1336" s="317"/>
    </row>
    <row r="1337" spans="1:11" x14ac:dyDescent="0.25">
      <c r="A1337" s="302" t="str">
        <f t="shared" si="31"/>
        <v>Water Heater Temperature Setback_0_MF_Heat Transfer Coefficient of Tank</v>
      </c>
      <c r="B1337" s="303" t="s">
        <v>223</v>
      </c>
      <c r="C1337" s="304">
        <v>0</v>
      </c>
      <c r="D1337" s="303" t="s">
        <v>553</v>
      </c>
      <c r="E1337" s="305" t="s">
        <v>312</v>
      </c>
      <c r="F1337" s="305" t="s">
        <v>1021</v>
      </c>
      <c r="G1337" s="367">
        <v>8.3000000000000004E-2</v>
      </c>
      <c r="H1337" s="305"/>
      <c r="I1337" s="305" t="s">
        <v>152</v>
      </c>
      <c r="J1337" s="305" t="s">
        <v>105</v>
      </c>
      <c r="K1337" s="305" t="s">
        <v>2370</v>
      </c>
    </row>
    <row r="1338" spans="1:11" x14ac:dyDescent="0.25">
      <c r="A1338" s="302" t="str">
        <f t="shared" si="31"/>
        <v>Water Heater Temperature Setback_0_MF_Surface Area of Tank</v>
      </c>
      <c r="B1338" s="303" t="s">
        <v>223</v>
      </c>
      <c r="C1338" s="304">
        <v>0</v>
      </c>
      <c r="D1338" s="303" t="s">
        <v>553</v>
      </c>
      <c r="E1338" s="305" t="s">
        <v>313</v>
      </c>
      <c r="F1338" s="305" t="s">
        <v>1023</v>
      </c>
      <c r="G1338" s="307">
        <v>24.99</v>
      </c>
      <c r="H1338" s="305" t="s">
        <v>1024</v>
      </c>
      <c r="I1338" s="305" t="s">
        <v>152</v>
      </c>
      <c r="J1338" s="305" t="s">
        <v>105</v>
      </c>
      <c r="K1338" s="305" t="s">
        <v>2370</v>
      </c>
    </row>
    <row r="1339" spans="1:11" x14ac:dyDescent="0.25">
      <c r="A1339" s="302" t="str">
        <f t="shared" si="31"/>
        <v>Water Heater Temperature Setback_0_MF_Setpoint Temperature Prior Adjustment</v>
      </c>
      <c r="B1339" s="303" t="s">
        <v>223</v>
      </c>
      <c r="C1339" s="304">
        <v>0</v>
      </c>
      <c r="D1339" s="303" t="s">
        <v>553</v>
      </c>
      <c r="E1339" s="311" t="s">
        <v>314</v>
      </c>
      <c r="F1339" s="311" t="s">
        <v>542</v>
      </c>
      <c r="G1339" s="334">
        <v>142.30000000000001</v>
      </c>
      <c r="H1339" s="311" t="s">
        <v>2542</v>
      </c>
      <c r="I1339" s="305" t="s">
        <v>152</v>
      </c>
      <c r="J1339" s="305" t="s">
        <v>105</v>
      </c>
      <c r="K1339" s="305" t="s">
        <v>2370</v>
      </c>
    </row>
    <row r="1340" spans="1:11" x14ac:dyDescent="0.25">
      <c r="A1340" s="302" t="str">
        <f t="shared" si="31"/>
        <v>Water Heater Temperature Setback_0_MF_Setpoint Temperature Post Adjustment</v>
      </c>
      <c r="B1340" s="303" t="s">
        <v>223</v>
      </c>
      <c r="C1340" s="304">
        <v>0</v>
      </c>
      <c r="D1340" s="303" t="s">
        <v>553</v>
      </c>
      <c r="E1340" s="311" t="s">
        <v>315</v>
      </c>
      <c r="F1340" s="311" t="s">
        <v>542</v>
      </c>
      <c r="G1340" s="334">
        <v>136.9</v>
      </c>
      <c r="H1340" s="311" t="s">
        <v>2542</v>
      </c>
      <c r="I1340" s="305" t="s">
        <v>152</v>
      </c>
      <c r="J1340" s="305" t="s">
        <v>105</v>
      </c>
      <c r="K1340" s="305" t="s">
        <v>2370</v>
      </c>
    </row>
    <row r="1341" spans="1:11" x14ac:dyDescent="0.25">
      <c r="A1341" s="302" t="str">
        <f t="shared" si="31"/>
        <v>Water Heater Temperature Setback_0_MF_Hours per Year</v>
      </c>
      <c r="B1341" s="303" t="s">
        <v>223</v>
      </c>
      <c r="C1341" s="304">
        <v>0</v>
      </c>
      <c r="D1341" s="303" t="s">
        <v>553</v>
      </c>
      <c r="E1341" s="305" t="s">
        <v>932</v>
      </c>
      <c r="F1341" s="309" t="s">
        <v>647</v>
      </c>
      <c r="G1341" s="339">
        <v>8766</v>
      </c>
      <c r="H1341" s="305"/>
      <c r="I1341" s="305" t="s">
        <v>152</v>
      </c>
      <c r="J1341" s="305" t="s">
        <v>105</v>
      </c>
      <c r="K1341" s="305" t="s">
        <v>2370</v>
      </c>
    </row>
    <row r="1342" spans="1:11" x14ac:dyDescent="0.25">
      <c r="A1342" s="302" t="str">
        <f t="shared" si="31"/>
        <v>Water Heater Temperature Setback_0_MF_ISR</v>
      </c>
      <c r="B1342" s="303" t="s">
        <v>223</v>
      </c>
      <c r="C1342" s="304">
        <v>0</v>
      </c>
      <c r="D1342" s="303" t="s">
        <v>553</v>
      </c>
      <c r="E1342" s="305" t="s">
        <v>267</v>
      </c>
      <c r="F1342" s="305" t="s">
        <v>539</v>
      </c>
      <c r="G1342" s="308">
        <v>1</v>
      </c>
      <c r="H1342" s="305"/>
      <c r="I1342" s="305" t="s">
        <v>152</v>
      </c>
      <c r="J1342" s="305" t="s">
        <v>105</v>
      </c>
      <c r="K1342" s="305" t="s">
        <v>2370</v>
      </c>
    </row>
    <row r="1343" spans="1:11" x14ac:dyDescent="0.25">
      <c r="A1343" s="302" t="str">
        <f t="shared" si="31"/>
        <v>Water Heater Temperature Setback_0_MF_RE_Gas</v>
      </c>
      <c r="B1343" s="303" t="s">
        <v>223</v>
      </c>
      <c r="C1343" s="304">
        <v>0</v>
      </c>
      <c r="D1343" s="303" t="s">
        <v>553</v>
      </c>
      <c r="E1343" s="305" t="s">
        <v>543</v>
      </c>
      <c r="F1343" s="305" t="s">
        <v>539</v>
      </c>
      <c r="G1343" s="308">
        <v>0.67</v>
      </c>
      <c r="H1343" s="305" t="s">
        <v>1026</v>
      </c>
      <c r="I1343" s="305" t="s">
        <v>152</v>
      </c>
      <c r="J1343" s="305" t="s">
        <v>105</v>
      </c>
      <c r="K1343" s="305" t="s">
        <v>2370</v>
      </c>
    </row>
    <row r="1344" spans="1:11" x14ac:dyDescent="0.25">
      <c r="A1344" s="302" t="str">
        <f t="shared" si="31"/>
        <v>Water Heater Temperature Setback_0_MF_Therm Saved per Unit</v>
      </c>
      <c r="B1344" s="303" t="s">
        <v>223</v>
      </c>
      <c r="C1344" s="304">
        <v>0</v>
      </c>
      <c r="D1344" s="303" t="s">
        <v>553</v>
      </c>
      <c r="E1344" s="314" t="s">
        <v>326</v>
      </c>
      <c r="F1344" s="314"/>
      <c r="G1344" s="315">
        <f>G1337*G1338*(G1339-G1340)*G1341*G1342/(100000*G1343)</f>
        <v>1.4654289669850762</v>
      </c>
      <c r="H1344" s="305"/>
      <c r="I1344" s="305" t="s">
        <v>152</v>
      </c>
      <c r="J1344" s="305" t="s">
        <v>105</v>
      </c>
      <c r="K1344" s="305" t="s">
        <v>2370</v>
      </c>
    </row>
    <row r="1345" spans="1:11" x14ac:dyDescent="0.25">
      <c r="A1345" s="302" t="str">
        <f t="shared" si="31"/>
        <v>Water Heater Temperature Setback_0_MF_Lifetime (years)</v>
      </c>
      <c r="B1345" s="303" t="s">
        <v>223</v>
      </c>
      <c r="C1345" s="304">
        <v>0</v>
      </c>
      <c r="D1345" s="303" t="s">
        <v>553</v>
      </c>
      <c r="E1345" s="314" t="s">
        <v>259</v>
      </c>
      <c r="F1345" s="314" t="s">
        <v>548</v>
      </c>
      <c r="G1345" s="315">
        <v>2</v>
      </c>
      <c r="H1345" s="305"/>
      <c r="I1345" s="305" t="s">
        <v>152</v>
      </c>
      <c r="J1345" s="305" t="s">
        <v>105</v>
      </c>
      <c r="K1345" s="305" t="s">
        <v>2370</v>
      </c>
    </row>
    <row r="1346" spans="1:11" x14ac:dyDescent="0.25">
      <c r="A1346" s="302" t="str">
        <f t="shared" si="31"/>
        <v>Water Heater Temperature Setback_0_MF_Incremental Cost</v>
      </c>
      <c r="B1346" s="303" t="s">
        <v>223</v>
      </c>
      <c r="C1346" s="304">
        <v>0</v>
      </c>
      <c r="D1346" s="303" t="s">
        <v>553</v>
      </c>
      <c r="E1346" s="314" t="s">
        <v>260</v>
      </c>
      <c r="F1346" s="314" t="s">
        <v>549</v>
      </c>
      <c r="G1346" s="316">
        <v>5</v>
      </c>
      <c r="H1346" s="305" t="s">
        <v>316</v>
      </c>
      <c r="I1346" s="305" t="s">
        <v>152</v>
      </c>
      <c r="J1346" s="305" t="s">
        <v>105</v>
      </c>
      <c r="K1346" s="305" t="s">
        <v>2370</v>
      </c>
    </row>
    <row r="1347" spans="1:11" s="324" customFormat="1" x14ac:dyDescent="0.25">
      <c r="A1347" s="317" t="str">
        <f t="shared" si="31"/>
        <v>Water Heater Temperature Setback_0_MF_</v>
      </c>
      <c r="B1347" s="317" t="str">
        <f>B1346</f>
        <v>Water Heater Temperature Setback</v>
      </c>
      <c r="C1347" s="317">
        <f>C1346</f>
        <v>0</v>
      </c>
      <c r="D1347" s="317" t="str">
        <f>D1346</f>
        <v>MF</v>
      </c>
      <c r="E1347" s="317"/>
      <c r="F1347" s="317"/>
      <c r="G1347" s="323"/>
      <c r="H1347" s="320"/>
      <c r="I1347" s="320"/>
      <c r="J1347" s="317"/>
      <c r="K1347" s="317"/>
    </row>
    <row r="1348" spans="1:11" x14ac:dyDescent="0.25">
      <c r="A1348" s="302" t="str">
        <f t="shared" si="31"/>
        <v>Thermostatic Restrictor Shower Valve_0_SF_Baseline GPM</v>
      </c>
      <c r="B1348" s="303" t="s">
        <v>10</v>
      </c>
      <c r="C1348" s="304">
        <v>0</v>
      </c>
      <c r="D1348" s="303" t="s">
        <v>409</v>
      </c>
      <c r="E1348" s="305" t="s">
        <v>303</v>
      </c>
      <c r="F1348" s="305"/>
      <c r="G1348" s="307">
        <v>2.2400000000000002</v>
      </c>
      <c r="H1348" s="305" t="s">
        <v>309</v>
      </c>
      <c r="I1348" s="305" t="s">
        <v>152</v>
      </c>
      <c r="J1348" s="305" t="s">
        <v>238</v>
      </c>
      <c r="K1348" s="305" t="s">
        <v>1981</v>
      </c>
    </row>
    <row r="1349" spans="1:11" x14ac:dyDescent="0.25">
      <c r="A1349" s="302" t="str">
        <f t="shared" si="31"/>
        <v>Thermostatic Restrictor Shower Valve_0_SF_Hot Water Waste Time Avoided</v>
      </c>
      <c r="B1349" s="303" t="s">
        <v>10</v>
      </c>
      <c r="C1349" s="304">
        <v>0</v>
      </c>
      <c r="D1349" s="303" t="s">
        <v>409</v>
      </c>
      <c r="E1349" s="305" t="s">
        <v>1027</v>
      </c>
      <c r="F1349" s="305" t="s">
        <v>560</v>
      </c>
      <c r="G1349" s="306">
        <v>0.89</v>
      </c>
      <c r="H1349" s="305"/>
      <c r="I1349" s="305" t="s">
        <v>152</v>
      </c>
      <c r="J1349" s="305" t="s">
        <v>238</v>
      </c>
      <c r="K1349" s="305" t="s">
        <v>1981</v>
      </c>
    </row>
    <row r="1350" spans="1:11" x14ac:dyDescent="0.25">
      <c r="A1350" s="302" t="str">
        <f t="shared" si="31"/>
        <v>Thermostatic Restrictor Shower Valve_0_SF_People per Household</v>
      </c>
      <c r="B1350" s="303" t="s">
        <v>10</v>
      </c>
      <c r="C1350" s="304">
        <v>0</v>
      </c>
      <c r="D1350" s="303" t="s">
        <v>409</v>
      </c>
      <c r="E1350" s="305" t="s">
        <v>304</v>
      </c>
      <c r="F1350" s="305" t="s">
        <v>537</v>
      </c>
      <c r="G1350" s="307">
        <v>2.56</v>
      </c>
      <c r="H1350" s="305" t="s">
        <v>375</v>
      </c>
      <c r="I1350" s="305" t="s">
        <v>152</v>
      </c>
      <c r="J1350" s="305" t="s">
        <v>238</v>
      </c>
      <c r="K1350" s="305" t="s">
        <v>1981</v>
      </c>
    </row>
    <row r="1351" spans="1:11" x14ac:dyDescent="0.25">
      <c r="A1351" s="302" t="str">
        <f t="shared" si="31"/>
        <v>Thermostatic Restrictor Shower Valve_0_SF_Shower/day/person</v>
      </c>
      <c r="B1351" s="303" t="s">
        <v>10</v>
      </c>
      <c r="C1351" s="304">
        <v>0</v>
      </c>
      <c r="D1351" s="303" t="s">
        <v>409</v>
      </c>
      <c r="E1351" s="305" t="s">
        <v>311</v>
      </c>
      <c r="F1351" s="305" t="s">
        <v>311</v>
      </c>
      <c r="G1351" s="306">
        <v>0.6</v>
      </c>
      <c r="H1351" s="305"/>
      <c r="I1351" s="305" t="s">
        <v>152</v>
      </c>
      <c r="J1351" s="305" t="s">
        <v>238</v>
      </c>
      <c r="K1351" s="305" t="s">
        <v>1981</v>
      </c>
    </row>
    <row r="1352" spans="1:11" x14ac:dyDescent="0.25">
      <c r="A1352" s="302" t="str">
        <f t="shared" si="31"/>
        <v>Thermostatic Restrictor Shower Valve_0_SF_Days per Year</v>
      </c>
      <c r="B1352" s="303" t="s">
        <v>10</v>
      </c>
      <c r="C1352" s="304">
        <v>0</v>
      </c>
      <c r="D1352" s="303" t="s">
        <v>409</v>
      </c>
      <c r="E1352" s="305" t="s">
        <v>263</v>
      </c>
      <c r="F1352" s="305" t="s">
        <v>538</v>
      </c>
      <c r="G1352" s="306">
        <v>365.25</v>
      </c>
      <c r="H1352" s="305"/>
      <c r="I1352" s="305" t="s">
        <v>152</v>
      </c>
      <c r="J1352" s="305" t="s">
        <v>238</v>
      </c>
      <c r="K1352" s="305" t="s">
        <v>1981</v>
      </c>
    </row>
    <row r="1353" spans="1:11" x14ac:dyDescent="0.25">
      <c r="A1353" s="302" t="str">
        <f t="shared" si="31"/>
        <v>Thermostatic Restrictor Shower Valve_0_SF_Showers per household</v>
      </c>
      <c r="B1353" s="303" t="s">
        <v>10</v>
      </c>
      <c r="C1353" s="304">
        <v>0</v>
      </c>
      <c r="D1353" s="303" t="s">
        <v>409</v>
      </c>
      <c r="E1353" s="305" t="s">
        <v>1028</v>
      </c>
      <c r="F1353" s="305" t="s">
        <v>1029</v>
      </c>
      <c r="G1353" s="307">
        <v>1.79</v>
      </c>
      <c r="H1353" s="305" t="s">
        <v>375</v>
      </c>
      <c r="I1353" s="305" t="s">
        <v>152</v>
      </c>
      <c r="J1353" s="305" t="s">
        <v>238</v>
      </c>
      <c r="K1353" s="305" t="s">
        <v>1981</v>
      </c>
    </row>
    <row r="1354" spans="1:11" x14ac:dyDescent="0.25">
      <c r="A1354" s="302" t="str">
        <f t="shared" si="31"/>
        <v>Thermostatic Restrictor Shower Valve_0_SF_Therms per Gallon of Water Used</v>
      </c>
      <c r="B1354" s="303" t="s">
        <v>10</v>
      </c>
      <c r="C1354" s="304">
        <v>0</v>
      </c>
      <c r="D1354" s="303" t="s">
        <v>409</v>
      </c>
      <c r="E1354" s="305" t="s">
        <v>307</v>
      </c>
      <c r="F1354" s="305" t="s">
        <v>545</v>
      </c>
      <c r="G1354" s="384">
        <v>5.4000000000000003E-3</v>
      </c>
      <c r="H1354" s="311" t="s">
        <v>1917</v>
      </c>
      <c r="I1354" s="305" t="s">
        <v>152</v>
      </c>
      <c r="J1354" s="305" t="s">
        <v>238</v>
      </c>
      <c r="K1354" s="305" t="s">
        <v>1981</v>
      </c>
    </row>
    <row r="1355" spans="1:11" x14ac:dyDescent="0.25">
      <c r="A1355" s="302" t="str">
        <f t="shared" si="31"/>
        <v>Thermostatic Restrictor Shower Valve_0_SF_ISR</v>
      </c>
      <c r="B1355" s="303" t="s">
        <v>10</v>
      </c>
      <c r="C1355" s="304">
        <v>0</v>
      </c>
      <c r="D1355" s="303" t="s">
        <v>409</v>
      </c>
      <c r="E1355" s="305" t="s">
        <v>267</v>
      </c>
      <c r="F1355" s="305" t="s">
        <v>539</v>
      </c>
      <c r="G1355" s="308">
        <v>0.98</v>
      </c>
      <c r="H1355" s="305" t="s">
        <v>506</v>
      </c>
      <c r="I1355" s="305" t="s">
        <v>152</v>
      </c>
      <c r="J1355" s="305" t="s">
        <v>238</v>
      </c>
      <c r="K1355" s="305" t="s">
        <v>1981</v>
      </c>
    </row>
    <row r="1356" spans="1:11" x14ac:dyDescent="0.25">
      <c r="A1356" s="302" t="str">
        <f t="shared" si="31"/>
        <v>Thermostatic Restrictor Shower Valve_0_SF_Therm Saved per Unit</v>
      </c>
      <c r="B1356" s="303" t="s">
        <v>10</v>
      </c>
      <c r="C1356" s="304">
        <v>0</v>
      </c>
      <c r="D1356" s="303" t="s">
        <v>409</v>
      </c>
      <c r="E1356" s="314" t="s">
        <v>326</v>
      </c>
      <c r="F1356" s="314"/>
      <c r="G1356" s="315">
        <f>G1348*G1349*G1350*G1351*G1352/G1353*G1354*G1355</f>
        <v>3.3066350873456991</v>
      </c>
      <c r="H1356" s="305"/>
      <c r="I1356" s="305" t="s">
        <v>152</v>
      </c>
      <c r="J1356" s="305" t="s">
        <v>238</v>
      </c>
      <c r="K1356" s="305" t="s">
        <v>1981</v>
      </c>
    </row>
    <row r="1357" spans="1:11" x14ac:dyDescent="0.25">
      <c r="A1357" s="302" t="str">
        <f t="shared" si="31"/>
        <v>Thermostatic Restrictor Shower Valve_0_SF_Gallons Saved per Unit</v>
      </c>
      <c r="B1357" s="303" t="s">
        <v>10</v>
      </c>
      <c r="C1357" s="304">
        <v>0</v>
      </c>
      <c r="D1357" s="303" t="s">
        <v>409</v>
      </c>
      <c r="E1357" s="314" t="s">
        <v>547</v>
      </c>
      <c r="F1357" s="314"/>
      <c r="G1357" s="315">
        <f>G1348*G1349*G1350*G1351*G1352/G1353*G1355</f>
        <v>612.33983098994418</v>
      </c>
      <c r="H1357" s="305"/>
      <c r="I1357" s="305" t="s">
        <v>152</v>
      </c>
      <c r="J1357" s="305" t="s">
        <v>238</v>
      </c>
      <c r="K1357" s="305" t="s">
        <v>1981</v>
      </c>
    </row>
    <row r="1358" spans="1:11" x14ac:dyDescent="0.25">
      <c r="A1358" s="302" t="str">
        <f t="shared" si="31"/>
        <v>Thermostatic Restrictor Shower Valve_0_SF_Lifetime (years)</v>
      </c>
      <c r="B1358" s="303" t="s">
        <v>10</v>
      </c>
      <c r="C1358" s="304">
        <v>0</v>
      </c>
      <c r="D1358" s="303" t="s">
        <v>409</v>
      </c>
      <c r="E1358" s="314" t="s">
        <v>259</v>
      </c>
      <c r="F1358" s="314"/>
      <c r="G1358" s="315">
        <v>10</v>
      </c>
      <c r="H1358" s="305"/>
      <c r="I1358" s="305" t="s">
        <v>152</v>
      </c>
      <c r="J1358" s="305" t="s">
        <v>238</v>
      </c>
      <c r="K1358" s="305" t="s">
        <v>1981</v>
      </c>
    </row>
    <row r="1359" spans="1:11" x14ac:dyDescent="0.25">
      <c r="A1359" s="302" t="str">
        <f t="shared" si="31"/>
        <v>Thermostatic Restrictor Shower Valve_0_SF_Incremental Cost</v>
      </c>
      <c r="B1359" s="303" t="s">
        <v>10</v>
      </c>
      <c r="C1359" s="304">
        <v>0</v>
      </c>
      <c r="D1359" s="303" t="s">
        <v>409</v>
      </c>
      <c r="E1359" s="314" t="s">
        <v>260</v>
      </c>
      <c r="F1359" s="314" t="s">
        <v>549</v>
      </c>
      <c r="G1359" s="316">
        <v>50</v>
      </c>
      <c r="H1359" s="305" t="s">
        <v>1030</v>
      </c>
      <c r="I1359" s="305" t="s">
        <v>152</v>
      </c>
      <c r="J1359" s="305" t="s">
        <v>238</v>
      </c>
      <c r="K1359" s="305" t="s">
        <v>1981</v>
      </c>
    </row>
    <row r="1360" spans="1:11" s="324" customFormat="1" x14ac:dyDescent="0.25">
      <c r="A1360" s="317" t="str">
        <f t="shared" si="31"/>
        <v>Thermostatic Restrictor Shower Valve_0_SF_</v>
      </c>
      <c r="B1360" s="317" t="str">
        <f>B1359</f>
        <v>Thermostatic Restrictor Shower Valve</v>
      </c>
      <c r="C1360" s="317">
        <f>C1359</f>
        <v>0</v>
      </c>
      <c r="D1360" s="317" t="str">
        <f>D1359</f>
        <v>SF</v>
      </c>
      <c r="E1360" s="317"/>
      <c r="F1360" s="317"/>
      <c r="G1360" s="323"/>
      <c r="H1360" s="320"/>
      <c r="I1360" s="320"/>
      <c r="J1360" s="317"/>
      <c r="K1360" s="317"/>
    </row>
    <row r="1361" spans="1:11" x14ac:dyDescent="0.25">
      <c r="A1361" s="302" t="str">
        <f t="shared" si="31"/>
        <v>Thermostatic Restrictor Shower Valve_0_MF_Baseline GPM</v>
      </c>
      <c r="B1361" s="303" t="s">
        <v>10</v>
      </c>
      <c r="C1361" s="304">
        <v>0</v>
      </c>
      <c r="D1361" s="303" t="s">
        <v>553</v>
      </c>
      <c r="E1361" s="305" t="s">
        <v>303</v>
      </c>
      <c r="F1361" s="305"/>
      <c r="G1361" s="307">
        <v>2.2400000000000002</v>
      </c>
      <c r="H1361" s="305" t="s">
        <v>309</v>
      </c>
      <c r="I1361" s="305" t="s">
        <v>152</v>
      </c>
      <c r="J1361" s="305" t="s">
        <v>238</v>
      </c>
      <c r="K1361" s="305" t="s">
        <v>1981</v>
      </c>
    </row>
    <row r="1362" spans="1:11" x14ac:dyDescent="0.25">
      <c r="A1362" s="302" t="str">
        <f t="shared" si="31"/>
        <v>Thermostatic Restrictor Shower Valve_0_MF_Hot Water Waste Time Avoided</v>
      </c>
      <c r="B1362" s="303" t="s">
        <v>10</v>
      </c>
      <c r="C1362" s="304">
        <v>0</v>
      </c>
      <c r="D1362" s="303" t="s">
        <v>553</v>
      </c>
      <c r="E1362" s="305" t="s">
        <v>1027</v>
      </c>
      <c r="F1362" s="305" t="s">
        <v>560</v>
      </c>
      <c r="G1362" s="306">
        <v>0.89</v>
      </c>
      <c r="H1362" s="305"/>
      <c r="I1362" s="305" t="s">
        <v>152</v>
      </c>
      <c r="J1362" s="305" t="s">
        <v>238</v>
      </c>
      <c r="K1362" s="305" t="s">
        <v>1981</v>
      </c>
    </row>
    <row r="1363" spans="1:11" x14ac:dyDescent="0.25">
      <c r="A1363" s="302" t="str">
        <f t="shared" si="31"/>
        <v>Thermostatic Restrictor Shower Valve_0_MF_People per Household</v>
      </c>
      <c r="B1363" s="303" t="s">
        <v>10</v>
      </c>
      <c r="C1363" s="304">
        <v>0</v>
      </c>
      <c r="D1363" s="303" t="s">
        <v>553</v>
      </c>
      <c r="E1363" s="305" t="s">
        <v>304</v>
      </c>
      <c r="F1363" s="305" t="s">
        <v>537</v>
      </c>
      <c r="G1363" s="307">
        <v>2.1</v>
      </c>
      <c r="H1363" s="305" t="s">
        <v>553</v>
      </c>
      <c r="I1363" s="305" t="s">
        <v>152</v>
      </c>
      <c r="J1363" s="305" t="s">
        <v>238</v>
      </c>
      <c r="K1363" s="305" t="s">
        <v>1981</v>
      </c>
    </row>
    <row r="1364" spans="1:11" x14ac:dyDescent="0.25">
      <c r="A1364" s="302" t="str">
        <f t="shared" si="31"/>
        <v>Thermostatic Restrictor Shower Valve_0_MF_Shower/day/person</v>
      </c>
      <c r="B1364" s="303" t="s">
        <v>10</v>
      </c>
      <c r="C1364" s="304">
        <v>0</v>
      </c>
      <c r="D1364" s="303" t="s">
        <v>553</v>
      </c>
      <c r="E1364" s="305" t="s">
        <v>311</v>
      </c>
      <c r="F1364" s="305" t="s">
        <v>311</v>
      </c>
      <c r="G1364" s="306">
        <v>0.6</v>
      </c>
      <c r="H1364" s="305"/>
      <c r="I1364" s="305" t="s">
        <v>152</v>
      </c>
      <c r="J1364" s="305" t="s">
        <v>238</v>
      </c>
      <c r="K1364" s="305" t="s">
        <v>1981</v>
      </c>
    </row>
    <row r="1365" spans="1:11" x14ac:dyDescent="0.25">
      <c r="A1365" s="302" t="str">
        <f t="shared" si="31"/>
        <v>Thermostatic Restrictor Shower Valve_0_MF_Days per Year</v>
      </c>
      <c r="B1365" s="303" t="s">
        <v>10</v>
      </c>
      <c r="C1365" s="304">
        <v>0</v>
      </c>
      <c r="D1365" s="303" t="s">
        <v>553</v>
      </c>
      <c r="E1365" s="305" t="s">
        <v>263</v>
      </c>
      <c r="F1365" s="305" t="s">
        <v>538</v>
      </c>
      <c r="G1365" s="306">
        <v>365.25</v>
      </c>
      <c r="H1365" s="305"/>
      <c r="I1365" s="305" t="s">
        <v>152</v>
      </c>
      <c r="J1365" s="305" t="s">
        <v>238</v>
      </c>
      <c r="K1365" s="305" t="s">
        <v>1981</v>
      </c>
    </row>
    <row r="1366" spans="1:11" x14ac:dyDescent="0.25">
      <c r="A1366" s="302" t="str">
        <f t="shared" si="31"/>
        <v>Thermostatic Restrictor Shower Valve_0_MF_Showers per household</v>
      </c>
      <c r="B1366" s="303" t="s">
        <v>10</v>
      </c>
      <c r="C1366" s="304">
        <v>0</v>
      </c>
      <c r="D1366" s="303" t="s">
        <v>553</v>
      </c>
      <c r="E1366" s="305" t="s">
        <v>1028</v>
      </c>
      <c r="F1366" s="305" t="s">
        <v>1029</v>
      </c>
      <c r="G1366" s="307">
        <v>1.3</v>
      </c>
      <c r="H1366" s="305" t="s">
        <v>553</v>
      </c>
      <c r="I1366" s="305" t="s">
        <v>152</v>
      </c>
      <c r="J1366" s="305" t="s">
        <v>238</v>
      </c>
      <c r="K1366" s="305" t="s">
        <v>1981</v>
      </c>
    </row>
    <row r="1367" spans="1:11" x14ac:dyDescent="0.25">
      <c r="A1367" s="302" t="str">
        <f t="shared" si="31"/>
        <v>Thermostatic Restrictor Shower Valve_0_MF_Therms per Gallon of Water Used</v>
      </c>
      <c r="B1367" s="303" t="s">
        <v>10</v>
      </c>
      <c r="C1367" s="304">
        <v>0</v>
      </c>
      <c r="D1367" s="303" t="s">
        <v>553</v>
      </c>
      <c r="E1367" s="305" t="s">
        <v>307</v>
      </c>
      <c r="F1367" s="305" t="s">
        <v>545</v>
      </c>
      <c r="G1367" s="384">
        <v>6.3E-3</v>
      </c>
      <c r="H1367" s="311" t="s">
        <v>1918</v>
      </c>
      <c r="I1367" s="305" t="s">
        <v>152</v>
      </c>
      <c r="J1367" s="305" t="s">
        <v>238</v>
      </c>
      <c r="K1367" s="305" t="s">
        <v>1981</v>
      </c>
    </row>
    <row r="1368" spans="1:11" x14ac:dyDescent="0.25">
      <c r="A1368" s="302" t="str">
        <f t="shared" si="31"/>
        <v>Thermostatic Restrictor Shower Valve_0_MF_ISR</v>
      </c>
      <c r="B1368" s="303" t="s">
        <v>10</v>
      </c>
      <c r="C1368" s="304">
        <v>0</v>
      </c>
      <c r="D1368" s="303" t="s">
        <v>553</v>
      </c>
      <c r="E1368" s="305" t="s">
        <v>267</v>
      </c>
      <c r="F1368" s="305" t="s">
        <v>539</v>
      </c>
      <c r="G1368" s="308">
        <v>0.95</v>
      </c>
      <c r="H1368" s="305" t="s">
        <v>553</v>
      </c>
      <c r="I1368" s="305" t="s">
        <v>152</v>
      </c>
      <c r="J1368" s="305" t="s">
        <v>238</v>
      </c>
      <c r="K1368" s="305" t="s">
        <v>1981</v>
      </c>
    </row>
    <row r="1369" spans="1:11" x14ac:dyDescent="0.25">
      <c r="A1369" s="302" t="str">
        <f t="shared" si="31"/>
        <v>Thermostatic Restrictor Shower Valve_0_MF_Therm Saved per Unit</v>
      </c>
      <c r="B1369" s="303" t="s">
        <v>10</v>
      </c>
      <c r="C1369" s="304">
        <v>0</v>
      </c>
      <c r="D1369" s="303" t="s">
        <v>553</v>
      </c>
      <c r="E1369" s="314" t="s">
        <v>326</v>
      </c>
      <c r="F1369" s="314"/>
      <c r="G1369" s="315">
        <f>G1361*G1362*G1363*G1364*G1365/G1366*G1367*G1368</f>
        <v>4.223958057415385</v>
      </c>
      <c r="H1369" s="305"/>
      <c r="I1369" s="305" t="s">
        <v>152</v>
      </c>
      <c r="J1369" s="305" t="s">
        <v>238</v>
      </c>
      <c r="K1369" s="305" t="s">
        <v>1981</v>
      </c>
    </row>
    <row r="1370" spans="1:11" x14ac:dyDescent="0.25">
      <c r="A1370" s="302" t="str">
        <f t="shared" si="31"/>
        <v>Thermostatic Restrictor Shower Valve_0_MF_Gallons Saved per Unit</v>
      </c>
      <c r="B1370" s="303" t="s">
        <v>10</v>
      </c>
      <c r="C1370" s="304">
        <v>0</v>
      </c>
      <c r="D1370" s="303" t="s">
        <v>553</v>
      </c>
      <c r="E1370" s="314" t="s">
        <v>547</v>
      </c>
      <c r="F1370" s="314"/>
      <c r="G1370" s="315">
        <f>G1361*G1362*G1363*G1364*G1365/G1366*G1368</f>
        <v>670.46953292307705</v>
      </c>
      <c r="H1370" s="305"/>
      <c r="I1370" s="305" t="s">
        <v>152</v>
      </c>
      <c r="J1370" s="305" t="s">
        <v>238</v>
      </c>
      <c r="K1370" s="305" t="s">
        <v>1981</v>
      </c>
    </row>
    <row r="1371" spans="1:11" x14ac:dyDescent="0.25">
      <c r="A1371" s="302" t="str">
        <f t="shared" si="31"/>
        <v>Thermostatic Restrictor Shower Valve_0_MF_Lifetime (years)</v>
      </c>
      <c r="B1371" s="303" t="s">
        <v>10</v>
      </c>
      <c r="C1371" s="304">
        <v>0</v>
      </c>
      <c r="D1371" s="303" t="s">
        <v>553</v>
      </c>
      <c r="E1371" s="314" t="s">
        <v>259</v>
      </c>
      <c r="F1371" s="314"/>
      <c r="G1371" s="315">
        <v>10</v>
      </c>
      <c r="H1371" s="305"/>
      <c r="I1371" s="305" t="s">
        <v>152</v>
      </c>
      <c r="J1371" s="305" t="s">
        <v>238</v>
      </c>
      <c r="K1371" s="305" t="s">
        <v>1981</v>
      </c>
    </row>
    <row r="1372" spans="1:11" x14ac:dyDescent="0.25">
      <c r="A1372" s="302" t="str">
        <f t="shared" si="31"/>
        <v>Thermostatic Restrictor Shower Valve_0_MF_Incremental Cost</v>
      </c>
      <c r="B1372" s="303" t="s">
        <v>10</v>
      </c>
      <c r="C1372" s="304">
        <v>0</v>
      </c>
      <c r="D1372" s="303" t="s">
        <v>553</v>
      </c>
      <c r="E1372" s="314" t="s">
        <v>260</v>
      </c>
      <c r="F1372" s="314" t="s">
        <v>549</v>
      </c>
      <c r="G1372" s="316">
        <v>50</v>
      </c>
      <c r="H1372" s="305" t="s">
        <v>1030</v>
      </c>
      <c r="I1372" s="305" t="s">
        <v>152</v>
      </c>
      <c r="J1372" s="305" t="s">
        <v>238</v>
      </c>
      <c r="K1372" s="305" t="s">
        <v>1981</v>
      </c>
    </row>
    <row r="1373" spans="1:11" s="324" customFormat="1" x14ac:dyDescent="0.25">
      <c r="A1373" s="317" t="str">
        <f t="shared" si="31"/>
        <v>Thermostatic Restrictor Shower Valve_0_MF_</v>
      </c>
      <c r="B1373" s="317" t="str">
        <f>B1372</f>
        <v>Thermostatic Restrictor Shower Valve</v>
      </c>
      <c r="C1373" s="317">
        <f>C1372</f>
        <v>0</v>
      </c>
      <c r="D1373" s="317" t="str">
        <f>D1372</f>
        <v>MF</v>
      </c>
      <c r="E1373" s="317"/>
      <c r="F1373" s="317"/>
      <c r="G1373" s="323"/>
      <c r="H1373" s="320"/>
      <c r="I1373" s="320"/>
      <c r="J1373" s="317"/>
      <c r="K1373" s="317"/>
    </row>
    <row r="1374" spans="1:11" x14ac:dyDescent="0.25">
      <c r="A1374" s="302" t="str">
        <f t="shared" si="31"/>
        <v>Shower Timer_0_SF_Baseline GPM</v>
      </c>
      <c r="B1374" s="303" t="s">
        <v>1031</v>
      </c>
      <c r="C1374" s="304">
        <v>0</v>
      </c>
      <c r="D1374" s="304" t="s">
        <v>409</v>
      </c>
      <c r="E1374" s="305" t="s">
        <v>303</v>
      </c>
      <c r="F1374" s="305"/>
      <c r="G1374" s="307">
        <v>1.93</v>
      </c>
      <c r="H1374" s="305"/>
      <c r="I1374" s="305" t="s">
        <v>152</v>
      </c>
      <c r="J1374" s="305" t="s">
        <v>1032</v>
      </c>
      <c r="K1374" s="305" t="s">
        <v>1982</v>
      </c>
    </row>
    <row r="1375" spans="1:11" x14ac:dyDescent="0.25">
      <c r="A1375" s="302" t="str">
        <f t="shared" ref="A1375:A1451" si="32">B1375&amp;"_"&amp;C1375&amp;"_"&amp;D1375&amp;"_"&amp;E1375</f>
        <v>Shower Timer_0_SF_Baseline Length of shower</v>
      </c>
      <c r="B1375" s="303" t="s">
        <v>1031</v>
      </c>
      <c r="C1375" s="304">
        <v>0</v>
      </c>
      <c r="D1375" s="304" t="s">
        <v>409</v>
      </c>
      <c r="E1375" s="305" t="s">
        <v>1034</v>
      </c>
      <c r="F1375" s="305" t="s">
        <v>560</v>
      </c>
      <c r="G1375" s="306">
        <v>7.8</v>
      </c>
      <c r="H1375" s="305"/>
      <c r="I1375" s="305" t="s">
        <v>152</v>
      </c>
      <c r="J1375" s="305" t="s">
        <v>1032</v>
      </c>
      <c r="K1375" s="305" t="s">
        <v>1982</v>
      </c>
    </row>
    <row r="1376" spans="1:11" x14ac:dyDescent="0.25">
      <c r="A1376" s="302" t="str">
        <f t="shared" si="32"/>
        <v>Shower Timer_0_SF_Length of Shower with Timer</v>
      </c>
      <c r="B1376" s="303" t="s">
        <v>1031</v>
      </c>
      <c r="C1376" s="304">
        <v>0</v>
      </c>
      <c r="D1376" s="304" t="s">
        <v>409</v>
      </c>
      <c r="E1376" s="305" t="s">
        <v>1035</v>
      </c>
      <c r="F1376" s="305" t="s">
        <v>560</v>
      </c>
      <c r="G1376" s="306">
        <v>5.79</v>
      </c>
      <c r="H1376" s="305"/>
      <c r="I1376" s="305" t="s">
        <v>152</v>
      </c>
      <c r="J1376" s="305" t="s">
        <v>1032</v>
      </c>
      <c r="K1376" s="305" t="s">
        <v>1982</v>
      </c>
    </row>
    <row r="1377" spans="1:11" x14ac:dyDescent="0.25">
      <c r="A1377" s="302" t="str">
        <f t="shared" si="32"/>
        <v>Shower Timer_0_SF_People per Household</v>
      </c>
      <c r="B1377" s="303" t="s">
        <v>1031</v>
      </c>
      <c r="C1377" s="304">
        <v>0</v>
      </c>
      <c r="D1377" s="304" t="s">
        <v>409</v>
      </c>
      <c r="E1377" s="305" t="s">
        <v>304</v>
      </c>
      <c r="F1377" s="305" t="s">
        <v>537</v>
      </c>
      <c r="G1377" s="307">
        <v>2.56</v>
      </c>
      <c r="H1377" s="305" t="s">
        <v>375</v>
      </c>
      <c r="I1377" s="305" t="s">
        <v>152</v>
      </c>
      <c r="J1377" s="305" t="s">
        <v>1032</v>
      </c>
      <c r="K1377" s="305" t="s">
        <v>1982</v>
      </c>
    </row>
    <row r="1378" spans="1:11" x14ac:dyDescent="0.25">
      <c r="A1378" s="302" t="str">
        <f t="shared" si="32"/>
        <v>Shower Timer_0_SF_Shower/day/person</v>
      </c>
      <c r="B1378" s="303" t="s">
        <v>1031</v>
      </c>
      <c r="C1378" s="304">
        <v>0</v>
      </c>
      <c r="D1378" s="304" t="s">
        <v>409</v>
      </c>
      <c r="E1378" s="305" t="s">
        <v>311</v>
      </c>
      <c r="F1378" s="305" t="s">
        <v>311</v>
      </c>
      <c r="G1378" s="306">
        <v>0.6</v>
      </c>
      <c r="H1378" s="305"/>
      <c r="I1378" s="305" t="s">
        <v>152</v>
      </c>
      <c r="J1378" s="305" t="s">
        <v>1032</v>
      </c>
      <c r="K1378" s="305" t="s">
        <v>1982</v>
      </c>
    </row>
    <row r="1379" spans="1:11" x14ac:dyDescent="0.25">
      <c r="A1379" s="302" t="str">
        <f t="shared" si="32"/>
        <v>Shower Timer_0_SF_Days per Year</v>
      </c>
      <c r="B1379" s="303" t="s">
        <v>1031</v>
      </c>
      <c r="C1379" s="304">
        <v>0</v>
      </c>
      <c r="D1379" s="304" t="s">
        <v>409</v>
      </c>
      <c r="E1379" s="305" t="s">
        <v>263</v>
      </c>
      <c r="F1379" s="305" t="s">
        <v>538</v>
      </c>
      <c r="G1379" s="306">
        <v>365.25</v>
      </c>
      <c r="H1379" s="305"/>
      <c r="I1379" s="305" t="s">
        <v>152</v>
      </c>
      <c r="J1379" s="305" t="s">
        <v>1032</v>
      </c>
      <c r="K1379" s="305" t="s">
        <v>1982</v>
      </c>
    </row>
    <row r="1380" spans="1:11" x14ac:dyDescent="0.25">
      <c r="A1380" s="302" t="str">
        <f t="shared" si="32"/>
        <v>Shower Timer_0_SF_Usage Factor</v>
      </c>
      <c r="B1380" s="303" t="s">
        <v>1031</v>
      </c>
      <c r="C1380" s="304">
        <v>0</v>
      </c>
      <c r="D1380" s="304" t="s">
        <v>409</v>
      </c>
      <c r="E1380" s="305" t="s">
        <v>1036</v>
      </c>
      <c r="F1380" s="305" t="s">
        <v>539</v>
      </c>
      <c r="G1380" s="308">
        <v>0.34</v>
      </c>
      <c r="H1380" s="305"/>
      <c r="I1380" s="305" t="s">
        <v>152</v>
      </c>
      <c r="J1380" s="305" t="s">
        <v>1032</v>
      </c>
      <c r="K1380" s="305" t="s">
        <v>1982</v>
      </c>
    </row>
    <row r="1381" spans="1:11" x14ac:dyDescent="0.25">
      <c r="A1381" s="302" t="str">
        <f t="shared" ref="A1381:A1384" si="33">B1381&amp;"_"&amp;C1381&amp;"_"&amp;D1381&amp;"_"&amp;E1381</f>
        <v>Shower Timer_0_SF_yWater</v>
      </c>
      <c r="B1381" s="303" t="s">
        <v>1031</v>
      </c>
      <c r="C1381" s="304">
        <v>0</v>
      </c>
      <c r="D1381" s="304" t="s">
        <v>409</v>
      </c>
      <c r="E1381" s="305" t="s">
        <v>369</v>
      </c>
      <c r="F1381" s="309" t="s">
        <v>346</v>
      </c>
      <c r="G1381" s="306">
        <v>8.33</v>
      </c>
      <c r="H1381" s="305"/>
      <c r="I1381" s="305" t="s">
        <v>152</v>
      </c>
      <c r="J1381" s="305" t="s">
        <v>1032</v>
      </c>
      <c r="K1381" s="305" t="s">
        <v>1982</v>
      </c>
    </row>
    <row r="1382" spans="1:11" x14ac:dyDescent="0.25">
      <c r="A1382" s="302" t="str">
        <f t="shared" si="33"/>
        <v>Shower Timer_0_SF_Water Temperature</v>
      </c>
      <c r="B1382" s="303" t="s">
        <v>1031</v>
      </c>
      <c r="C1382" s="304">
        <v>0</v>
      </c>
      <c r="D1382" s="304" t="s">
        <v>409</v>
      </c>
      <c r="E1382" s="305" t="s">
        <v>541</v>
      </c>
      <c r="F1382" s="305" t="s">
        <v>542</v>
      </c>
      <c r="G1382" s="306">
        <v>101</v>
      </c>
      <c r="H1382" s="305"/>
      <c r="I1382" s="305" t="s">
        <v>152</v>
      </c>
      <c r="J1382" s="305" t="s">
        <v>1032</v>
      </c>
      <c r="K1382" s="305" t="s">
        <v>1982</v>
      </c>
    </row>
    <row r="1383" spans="1:11" ht="12" customHeight="1" x14ac:dyDescent="0.25">
      <c r="A1383" s="302" t="str">
        <f t="shared" si="33"/>
        <v>Shower Timer_0_SF_Incoming Water Temperature</v>
      </c>
      <c r="B1383" s="303" t="s">
        <v>1031</v>
      </c>
      <c r="C1383" s="304">
        <v>0</v>
      </c>
      <c r="D1383" s="304" t="s">
        <v>409</v>
      </c>
      <c r="E1383" s="305" t="s">
        <v>265</v>
      </c>
      <c r="F1383" s="305" t="s">
        <v>542</v>
      </c>
      <c r="G1383" s="310">
        <v>50.7</v>
      </c>
      <c r="H1383" s="311" t="s">
        <v>1916</v>
      </c>
      <c r="I1383" s="305" t="s">
        <v>152</v>
      </c>
      <c r="J1383" s="305" t="s">
        <v>1032</v>
      </c>
      <c r="K1383" s="305" t="s">
        <v>1982</v>
      </c>
    </row>
    <row r="1384" spans="1:11" x14ac:dyDescent="0.25">
      <c r="A1384" s="302" t="str">
        <f t="shared" si="33"/>
        <v>Shower Timer_0_SF_RE_Gas</v>
      </c>
      <c r="B1384" s="303" t="s">
        <v>1031</v>
      </c>
      <c r="C1384" s="304">
        <v>0</v>
      </c>
      <c r="D1384" s="304" t="s">
        <v>409</v>
      </c>
      <c r="E1384" s="305" t="s">
        <v>543</v>
      </c>
      <c r="F1384" s="305" t="s">
        <v>539</v>
      </c>
      <c r="G1384" s="308">
        <v>0.78</v>
      </c>
      <c r="H1384" s="305" t="s">
        <v>870</v>
      </c>
      <c r="I1384" s="305" t="s">
        <v>152</v>
      </c>
      <c r="J1384" s="305" t="s">
        <v>1032</v>
      </c>
      <c r="K1384" s="305" t="s">
        <v>1982</v>
      </c>
    </row>
    <row r="1385" spans="1:11" x14ac:dyDescent="0.25">
      <c r="A1385" s="302" t="str">
        <f t="shared" si="32"/>
        <v>Shower Timer_0_SF_EPG_Gas</v>
      </c>
      <c r="B1385" s="303" t="s">
        <v>1031</v>
      </c>
      <c r="C1385" s="304">
        <v>0</v>
      </c>
      <c r="D1385" s="304" t="s">
        <v>409</v>
      </c>
      <c r="E1385" s="305" t="s">
        <v>544</v>
      </c>
      <c r="F1385" s="305" t="s">
        <v>545</v>
      </c>
      <c r="G1385" s="312">
        <f>G1381*1*(G1382-G1383)/(100000*G1384)</f>
        <v>5.3717820512820509E-3</v>
      </c>
      <c r="H1385" s="311" t="s">
        <v>1925</v>
      </c>
      <c r="I1385" s="305" t="s">
        <v>152</v>
      </c>
      <c r="J1385" s="305" t="s">
        <v>1032</v>
      </c>
      <c r="K1385" s="305" t="s">
        <v>1982</v>
      </c>
    </row>
    <row r="1386" spans="1:11" x14ac:dyDescent="0.25">
      <c r="A1386" s="302" t="str">
        <f t="shared" si="32"/>
        <v>Shower Timer_0_SF_Therm Saved per Unit</v>
      </c>
      <c r="B1386" s="303" t="s">
        <v>1031</v>
      </c>
      <c r="C1386" s="304">
        <v>0</v>
      </c>
      <c r="D1386" s="304" t="s">
        <v>409</v>
      </c>
      <c r="E1386" s="314" t="s">
        <v>326</v>
      </c>
      <c r="F1386" s="314"/>
      <c r="G1386" s="315">
        <f>G1374*(G1375-G1376)*G1377*G1378*G1379*G1380*G1385</f>
        <v>3.9749540034683961</v>
      </c>
      <c r="H1386" s="305"/>
      <c r="I1386" s="305" t="s">
        <v>152</v>
      </c>
      <c r="J1386" s="305" t="s">
        <v>1032</v>
      </c>
      <c r="K1386" s="305" t="s">
        <v>1982</v>
      </c>
    </row>
    <row r="1387" spans="1:11" x14ac:dyDescent="0.25">
      <c r="A1387" s="302" t="str">
        <f t="shared" si="32"/>
        <v>Shower Timer_0_SF_Gallons Saved per Unit</v>
      </c>
      <c r="B1387" s="303" t="s">
        <v>1031</v>
      </c>
      <c r="C1387" s="304">
        <v>0</v>
      </c>
      <c r="D1387" s="304" t="s">
        <v>409</v>
      </c>
      <c r="E1387" s="314" t="s">
        <v>547</v>
      </c>
      <c r="F1387" s="314"/>
      <c r="G1387" s="315">
        <f>G1374*(G1375-G1376)*G1377*G1378*G1379*G1380</f>
        <v>739.96933708799997</v>
      </c>
      <c r="H1387" s="305"/>
      <c r="I1387" s="305" t="s">
        <v>152</v>
      </c>
      <c r="J1387" s="305" t="s">
        <v>1032</v>
      </c>
      <c r="K1387" s="305" t="s">
        <v>1982</v>
      </c>
    </row>
    <row r="1388" spans="1:11" x14ac:dyDescent="0.25">
      <c r="A1388" s="302" t="str">
        <f t="shared" si="32"/>
        <v>Shower Timer_0_SF_Lifetime (years)</v>
      </c>
      <c r="B1388" s="303" t="s">
        <v>1031</v>
      </c>
      <c r="C1388" s="304">
        <v>0</v>
      </c>
      <c r="D1388" s="304" t="s">
        <v>409</v>
      </c>
      <c r="E1388" s="314" t="s">
        <v>259</v>
      </c>
      <c r="F1388" s="314" t="s">
        <v>548</v>
      </c>
      <c r="G1388" s="315">
        <v>2</v>
      </c>
      <c r="H1388" s="305"/>
      <c r="I1388" s="305" t="s">
        <v>152</v>
      </c>
      <c r="J1388" s="305" t="s">
        <v>1032</v>
      </c>
      <c r="K1388" s="305" t="s">
        <v>1982</v>
      </c>
    </row>
    <row r="1389" spans="1:11" x14ac:dyDescent="0.25">
      <c r="A1389" s="302" t="str">
        <f t="shared" si="32"/>
        <v>Shower Timer_0_SF_Incremental Cost</v>
      </c>
      <c r="B1389" s="303" t="s">
        <v>1031</v>
      </c>
      <c r="C1389" s="304">
        <v>0</v>
      </c>
      <c r="D1389" s="304" t="s">
        <v>409</v>
      </c>
      <c r="E1389" s="314" t="s">
        <v>260</v>
      </c>
      <c r="F1389" s="314" t="s">
        <v>549</v>
      </c>
      <c r="G1389" s="316">
        <v>0</v>
      </c>
      <c r="H1389" s="305" t="s">
        <v>552</v>
      </c>
      <c r="I1389" s="305" t="s">
        <v>152</v>
      </c>
      <c r="J1389" s="305" t="s">
        <v>1032</v>
      </c>
      <c r="K1389" s="305" t="s">
        <v>1982</v>
      </c>
    </row>
    <row r="1390" spans="1:11" s="324" customFormat="1" x14ac:dyDescent="0.25">
      <c r="A1390" s="317" t="str">
        <f t="shared" si="32"/>
        <v>Shower Timer_0_SF_</v>
      </c>
      <c r="B1390" s="317" t="str">
        <f>B1389</f>
        <v>Shower Timer</v>
      </c>
      <c r="C1390" s="317">
        <f>C1389</f>
        <v>0</v>
      </c>
      <c r="D1390" s="317" t="str">
        <f>D1389</f>
        <v>SF</v>
      </c>
      <c r="E1390" s="317"/>
      <c r="F1390" s="317"/>
      <c r="G1390" s="323"/>
      <c r="H1390" s="320"/>
      <c r="I1390" s="320"/>
      <c r="J1390" s="317"/>
      <c r="K1390" s="317"/>
    </row>
    <row r="1391" spans="1:11" x14ac:dyDescent="0.25">
      <c r="A1391" s="302" t="str">
        <f t="shared" si="32"/>
        <v>Shower Timer_IE Kit_IE_Baseline GPM</v>
      </c>
      <c r="B1391" s="303" t="s">
        <v>1031</v>
      </c>
      <c r="C1391" s="303" t="s">
        <v>550</v>
      </c>
      <c r="D1391" s="304" t="s">
        <v>551</v>
      </c>
      <c r="E1391" s="305" t="s">
        <v>303</v>
      </c>
      <c r="F1391" s="305"/>
      <c r="G1391" s="307">
        <v>1.93</v>
      </c>
      <c r="H1391" s="305"/>
      <c r="I1391" s="305" t="s">
        <v>152</v>
      </c>
      <c r="J1391" s="305" t="s">
        <v>1032</v>
      </c>
      <c r="K1391" s="305" t="s">
        <v>1982</v>
      </c>
    </row>
    <row r="1392" spans="1:11" x14ac:dyDescent="0.25">
      <c r="A1392" s="302" t="str">
        <f t="shared" si="32"/>
        <v>Shower Timer_IE Kit_IE_Baseline Length of shower</v>
      </c>
      <c r="B1392" s="303" t="s">
        <v>1031</v>
      </c>
      <c r="C1392" s="303" t="s">
        <v>550</v>
      </c>
      <c r="D1392" s="304" t="s">
        <v>551</v>
      </c>
      <c r="E1392" s="305" t="s">
        <v>1034</v>
      </c>
      <c r="F1392" s="305" t="s">
        <v>560</v>
      </c>
      <c r="G1392" s="306">
        <v>7.8</v>
      </c>
      <c r="H1392" s="305"/>
      <c r="I1392" s="305" t="s">
        <v>152</v>
      </c>
      <c r="J1392" s="305" t="s">
        <v>1032</v>
      </c>
      <c r="K1392" s="305" t="s">
        <v>1982</v>
      </c>
    </row>
    <row r="1393" spans="1:11" x14ac:dyDescent="0.25">
      <c r="A1393" s="302" t="str">
        <f t="shared" si="32"/>
        <v>Shower Timer_IE Kit_IE_Length of Shower with Timer</v>
      </c>
      <c r="B1393" s="303" t="s">
        <v>1031</v>
      </c>
      <c r="C1393" s="303" t="s">
        <v>550</v>
      </c>
      <c r="D1393" s="304" t="s">
        <v>551</v>
      </c>
      <c r="E1393" s="305" t="s">
        <v>1035</v>
      </c>
      <c r="F1393" s="305" t="s">
        <v>560</v>
      </c>
      <c r="G1393" s="306">
        <v>5.79</v>
      </c>
      <c r="H1393" s="305"/>
      <c r="I1393" s="305" t="s">
        <v>152</v>
      </c>
      <c r="J1393" s="305" t="s">
        <v>1032</v>
      </c>
      <c r="K1393" s="305" t="s">
        <v>1982</v>
      </c>
    </row>
    <row r="1394" spans="1:11" x14ac:dyDescent="0.25">
      <c r="A1394" s="302" t="str">
        <f t="shared" si="32"/>
        <v>Shower Timer_IE Kit_IE_People per Household</v>
      </c>
      <c r="B1394" s="303" t="s">
        <v>1031</v>
      </c>
      <c r="C1394" s="303" t="s">
        <v>550</v>
      </c>
      <c r="D1394" s="304" t="s">
        <v>551</v>
      </c>
      <c r="E1394" s="305" t="s">
        <v>304</v>
      </c>
      <c r="F1394" s="305" t="s">
        <v>537</v>
      </c>
      <c r="G1394" s="307">
        <v>2.56</v>
      </c>
      <c r="H1394" s="305" t="s">
        <v>375</v>
      </c>
      <c r="I1394" s="305" t="s">
        <v>152</v>
      </c>
      <c r="J1394" s="305" t="s">
        <v>1032</v>
      </c>
      <c r="K1394" s="305" t="s">
        <v>1982</v>
      </c>
    </row>
    <row r="1395" spans="1:11" x14ac:dyDescent="0.25">
      <c r="A1395" s="302" t="str">
        <f t="shared" si="32"/>
        <v>Shower Timer_IE Kit_IE_Shower/day/person</v>
      </c>
      <c r="B1395" s="303" t="s">
        <v>1031</v>
      </c>
      <c r="C1395" s="303" t="s">
        <v>550</v>
      </c>
      <c r="D1395" s="304" t="s">
        <v>551</v>
      </c>
      <c r="E1395" s="305" t="s">
        <v>311</v>
      </c>
      <c r="F1395" s="305" t="s">
        <v>311</v>
      </c>
      <c r="G1395" s="306">
        <v>0.6</v>
      </c>
      <c r="H1395" s="305"/>
      <c r="I1395" s="305" t="s">
        <v>152</v>
      </c>
      <c r="J1395" s="305" t="s">
        <v>1032</v>
      </c>
      <c r="K1395" s="305" t="s">
        <v>1982</v>
      </c>
    </row>
    <row r="1396" spans="1:11" x14ac:dyDescent="0.25">
      <c r="A1396" s="302" t="str">
        <f t="shared" si="32"/>
        <v>Shower Timer_IE Kit_IE_Days per Year</v>
      </c>
      <c r="B1396" s="303" t="s">
        <v>1031</v>
      </c>
      <c r="C1396" s="303" t="s">
        <v>550</v>
      </c>
      <c r="D1396" s="304" t="s">
        <v>551</v>
      </c>
      <c r="E1396" s="305" t="s">
        <v>263</v>
      </c>
      <c r="F1396" s="305" t="s">
        <v>538</v>
      </c>
      <c r="G1396" s="306">
        <v>365.25</v>
      </c>
      <c r="H1396" s="305"/>
      <c r="I1396" s="305" t="s">
        <v>152</v>
      </c>
      <c r="J1396" s="305" t="s">
        <v>1032</v>
      </c>
      <c r="K1396" s="305" t="s">
        <v>1982</v>
      </c>
    </row>
    <row r="1397" spans="1:11" x14ac:dyDescent="0.25">
      <c r="A1397" s="302" t="str">
        <f t="shared" si="32"/>
        <v>Shower Timer_IE Kit_IE_Usage Factor</v>
      </c>
      <c r="B1397" s="303" t="s">
        <v>1031</v>
      </c>
      <c r="C1397" s="303" t="s">
        <v>550</v>
      </c>
      <c r="D1397" s="304" t="s">
        <v>551</v>
      </c>
      <c r="E1397" s="305" t="s">
        <v>1036</v>
      </c>
      <c r="F1397" s="305" t="s">
        <v>539</v>
      </c>
      <c r="G1397" s="308">
        <v>0.34</v>
      </c>
      <c r="H1397" s="305"/>
      <c r="I1397" s="305" t="s">
        <v>152</v>
      </c>
      <c r="J1397" s="305" t="s">
        <v>1032</v>
      </c>
      <c r="K1397" s="305" t="s">
        <v>1982</v>
      </c>
    </row>
    <row r="1398" spans="1:11" x14ac:dyDescent="0.25">
      <c r="A1398" s="302" t="str">
        <f t="shared" si="32"/>
        <v>Shower Timer_IE Kit_IE_yWater</v>
      </c>
      <c r="B1398" s="303" t="s">
        <v>1031</v>
      </c>
      <c r="C1398" s="303" t="s">
        <v>550</v>
      </c>
      <c r="D1398" s="304" t="s">
        <v>551</v>
      </c>
      <c r="E1398" s="305" t="s">
        <v>369</v>
      </c>
      <c r="F1398" s="309" t="s">
        <v>346</v>
      </c>
      <c r="G1398" s="306">
        <v>8.33</v>
      </c>
      <c r="H1398" s="305"/>
      <c r="I1398" s="305" t="s">
        <v>152</v>
      </c>
      <c r="J1398" s="305" t="s">
        <v>1032</v>
      </c>
      <c r="K1398" s="305" t="s">
        <v>1982</v>
      </c>
    </row>
    <row r="1399" spans="1:11" x14ac:dyDescent="0.25">
      <c r="A1399" s="302" t="str">
        <f t="shared" si="32"/>
        <v>Shower Timer_IE Kit_IE_Water Temperature</v>
      </c>
      <c r="B1399" s="303" t="s">
        <v>1031</v>
      </c>
      <c r="C1399" s="303" t="s">
        <v>550</v>
      </c>
      <c r="D1399" s="304" t="s">
        <v>551</v>
      </c>
      <c r="E1399" s="305" t="s">
        <v>541</v>
      </c>
      <c r="F1399" s="305" t="s">
        <v>542</v>
      </c>
      <c r="G1399" s="306">
        <v>101</v>
      </c>
      <c r="H1399" s="305"/>
      <c r="I1399" s="305" t="s">
        <v>152</v>
      </c>
      <c r="J1399" s="305" t="s">
        <v>1032</v>
      </c>
      <c r="K1399" s="305" t="s">
        <v>1982</v>
      </c>
    </row>
    <row r="1400" spans="1:11" ht="12" customHeight="1" x14ac:dyDescent="0.25">
      <c r="A1400" s="302" t="str">
        <f t="shared" si="32"/>
        <v>Shower Timer_IE Kit_IE_Incoming Water Temperature</v>
      </c>
      <c r="B1400" s="303" t="s">
        <v>1031</v>
      </c>
      <c r="C1400" s="303" t="s">
        <v>550</v>
      </c>
      <c r="D1400" s="304" t="s">
        <v>551</v>
      </c>
      <c r="E1400" s="305" t="s">
        <v>265</v>
      </c>
      <c r="F1400" s="305" t="s">
        <v>542</v>
      </c>
      <c r="G1400" s="310">
        <v>50.7</v>
      </c>
      <c r="H1400" s="311" t="s">
        <v>1916</v>
      </c>
      <c r="I1400" s="305" t="s">
        <v>152</v>
      </c>
      <c r="J1400" s="305" t="s">
        <v>1032</v>
      </c>
      <c r="K1400" s="305" t="s">
        <v>1982</v>
      </c>
    </row>
    <row r="1401" spans="1:11" x14ac:dyDescent="0.25">
      <c r="A1401" s="302" t="str">
        <f t="shared" si="32"/>
        <v>Shower Timer_IE Kit_IE_RE_Gas</v>
      </c>
      <c r="B1401" s="303" t="s">
        <v>1031</v>
      </c>
      <c r="C1401" s="303" t="s">
        <v>550</v>
      </c>
      <c r="D1401" s="304" t="s">
        <v>551</v>
      </c>
      <c r="E1401" s="305" t="s">
        <v>543</v>
      </c>
      <c r="F1401" s="305" t="s">
        <v>539</v>
      </c>
      <c r="G1401" s="308">
        <v>0.78</v>
      </c>
      <c r="H1401" s="305" t="s">
        <v>870</v>
      </c>
      <c r="I1401" s="305" t="s">
        <v>152</v>
      </c>
      <c r="J1401" s="305" t="s">
        <v>1032</v>
      </c>
      <c r="K1401" s="305" t="s">
        <v>1982</v>
      </c>
    </row>
    <row r="1402" spans="1:11" x14ac:dyDescent="0.25">
      <c r="A1402" s="302" t="str">
        <f t="shared" si="32"/>
        <v>Shower Timer_IE Kit_IE_EPG_Gas</v>
      </c>
      <c r="B1402" s="303" t="s">
        <v>1031</v>
      </c>
      <c r="C1402" s="303" t="s">
        <v>550</v>
      </c>
      <c r="D1402" s="304" t="s">
        <v>551</v>
      </c>
      <c r="E1402" s="305" t="s">
        <v>544</v>
      </c>
      <c r="F1402" s="305" t="s">
        <v>545</v>
      </c>
      <c r="G1402" s="312">
        <f>G1398*1*(G1399-G1400)/(100000*G1401)</f>
        <v>5.3717820512820509E-3</v>
      </c>
      <c r="H1402" s="311" t="s">
        <v>1925</v>
      </c>
      <c r="I1402" s="305" t="s">
        <v>152</v>
      </c>
      <c r="J1402" s="305" t="s">
        <v>1032</v>
      </c>
      <c r="K1402" s="305" t="s">
        <v>1982</v>
      </c>
    </row>
    <row r="1403" spans="1:11" x14ac:dyDescent="0.25">
      <c r="A1403" s="302" t="str">
        <f t="shared" si="32"/>
        <v>Shower Timer_IE Kit_IE_ISR</v>
      </c>
      <c r="B1403" s="303" t="s">
        <v>1031</v>
      </c>
      <c r="C1403" s="303" t="s">
        <v>550</v>
      </c>
      <c r="D1403" s="304" t="s">
        <v>551</v>
      </c>
      <c r="E1403" s="305" t="s">
        <v>267</v>
      </c>
      <c r="F1403" s="305" t="s">
        <v>539</v>
      </c>
      <c r="G1403" s="308">
        <f>G173</f>
        <v>0.4</v>
      </c>
      <c r="H1403" s="305" t="s">
        <v>1037</v>
      </c>
      <c r="I1403" s="305"/>
      <c r="J1403" s="305"/>
      <c r="K1403" s="305"/>
    </row>
    <row r="1404" spans="1:11" x14ac:dyDescent="0.25">
      <c r="A1404" s="302" t="str">
        <f t="shared" si="32"/>
        <v>Shower Timer_IE Kit_IE_Therm Saved per Unit</v>
      </c>
      <c r="B1404" s="303" t="s">
        <v>1031</v>
      </c>
      <c r="C1404" s="303" t="s">
        <v>550</v>
      </c>
      <c r="D1404" s="304" t="s">
        <v>551</v>
      </c>
      <c r="E1404" s="314" t="s">
        <v>326</v>
      </c>
      <c r="F1404" s="314"/>
      <c r="G1404" s="315">
        <f>G1391*(G1392-G1393)*G1394*G1395*G1396*G1397*G1402</f>
        <v>3.9749540034683961</v>
      </c>
      <c r="H1404" s="305"/>
      <c r="I1404" s="305" t="s">
        <v>152</v>
      </c>
      <c r="J1404" s="305" t="s">
        <v>1032</v>
      </c>
      <c r="K1404" s="305" t="s">
        <v>1982</v>
      </c>
    </row>
    <row r="1405" spans="1:11" x14ac:dyDescent="0.25">
      <c r="A1405" s="302" t="str">
        <f t="shared" si="32"/>
        <v>Shower Timer_IE Kit_IE_Gallons Saved per Unit</v>
      </c>
      <c r="B1405" s="303" t="s">
        <v>1031</v>
      </c>
      <c r="C1405" s="303" t="s">
        <v>550</v>
      </c>
      <c r="D1405" s="304" t="s">
        <v>551</v>
      </c>
      <c r="E1405" s="314" t="s">
        <v>547</v>
      </c>
      <c r="F1405" s="314"/>
      <c r="G1405" s="315">
        <f>G1391*(G1392-G1393)*G1394*G1395*G1396*G1397*G1403</f>
        <v>295.9877348352</v>
      </c>
      <c r="H1405" s="305"/>
      <c r="I1405" s="305" t="s">
        <v>152</v>
      </c>
      <c r="J1405" s="305" t="s">
        <v>1032</v>
      </c>
      <c r="K1405" s="305" t="s">
        <v>1982</v>
      </c>
    </row>
    <row r="1406" spans="1:11" x14ac:dyDescent="0.25">
      <c r="A1406" s="302" t="str">
        <f t="shared" si="32"/>
        <v>Shower Timer_IE Kit_IE_Lifetime (years)</v>
      </c>
      <c r="B1406" s="303" t="s">
        <v>1031</v>
      </c>
      <c r="C1406" s="303" t="s">
        <v>550</v>
      </c>
      <c r="D1406" s="304" t="s">
        <v>551</v>
      </c>
      <c r="E1406" s="314" t="s">
        <v>259</v>
      </c>
      <c r="F1406" s="314" t="s">
        <v>548</v>
      </c>
      <c r="G1406" s="315">
        <v>2</v>
      </c>
      <c r="H1406" s="305"/>
      <c r="I1406" s="305" t="s">
        <v>152</v>
      </c>
      <c r="J1406" s="305" t="s">
        <v>1032</v>
      </c>
      <c r="K1406" s="305" t="s">
        <v>1982</v>
      </c>
    </row>
    <row r="1407" spans="1:11" x14ac:dyDescent="0.25">
      <c r="A1407" s="302" t="str">
        <f t="shared" si="32"/>
        <v>Shower Timer_IE Kit_IE_Incremental Cost</v>
      </c>
      <c r="B1407" s="303" t="s">
        <v>1031</v>
      </c>
      <c r="C1407" s="303" t="s">
        <v>550</v>
      </c>
      <c r="D1407" s="304" t="s">
        <v>551</v>
      </c>
      <c r="E1407" s="314" t="s">
        <v>260</v>
      </c>
      <c r="F1407" s="314" t="s">
        <v>549</v>
      </c>
      <c r="G1407" s="316">
        <v>0</v>
      </c>
      <c r="H1407" s="305"/>
      <c r="I1407" s="305" t="s">
        <v>152</v>
      </c>
      <c r="J1407" s="305" t="s">
        <v>1032</v>
      </c>
      <c r="K1407" s="305"/>
    </row>
    <row r="1408" spans="1:11" s="324" customFormat="1" x14ac:dyDescent="0.25">
      <c r="A1408" s="317" t="str">
        <f t="shared" si="32"/>
        <v>Shower Timer_IE Kit_IE_</v>
      </c>
      <c r="B1408" s="317" t="str">
        <f>B1407</f>
        <v>Shower Timer</v>
      </c>
      <c r="C1408" s="317" t="str">
        <f>C1407</f>
        <v>IE Kit</v>
      </c>
      <c r="D1408" s="317" t="str">
        <f>D1407</f>
        <v>IE</v>
      </c>
      <c r="E1408" s="317"/>
      <c r="F1408" s="317"/>
      <c r="G1408" s="323"/>
      <c r="H1408" s="320"/>
      <c r="I1408" s="320"/>
      <c r="J1408" s="317"/>
      <c r="K1408" s="317"/>
    </row>
    <row r="1409" spans="1:11" x14ac:dyDescent="0.25">
      <c r="A1409" s="302" t="str">
        <f t="shared" si="32"/>
        <v>Shower Timer_0_MF_Baseline GPM</v>
      </c>
      <c r="B1409" s="303" t="s">
        <v>1031</v>
      </c>
      <c r="C1409" s="304">
        <v>0</v>
      </c>
      <c r="D1409" s="304" t="s">
        <v>553</v>
      </c>
      <c r="E1409" s="305" t="s">
        <v>303</v>
      </c>
      <c r="F1409" s="305"/>
      <c r="G1409" s="307">
        <v>1.93</v>
      </c>
      <c r="H1409" s="305"/>
      <c r="I1409" s="305" t="s">
        <v>152</v>
      </c>
      <c r="J1409" s="305" t="s">
        <v>1032</v>
      </c>
      <c r="K1409" s="305" t="s">
        <v>1982</v>
      </c>
    </row>
    <row r="1410" spans="1:11" x14ac:dyDescent="0.25">
      <c r="A1410" s="302" t="str">
        <f t="shared" si="32"/>
        <v>Shower Timer_0_MF_Baseline Length of shower</v>
      </c>
      <c r="B1410" s="303" t="s">
        <v>1031</v>
      </c>
      <c r="C1410" s="304">
        <v>0</v>
      </c>
      <c r="D1410" s="304" t="s">
        <v>553</v>
      </c>
      <c r="E1410" s="305" t="s">
        <v>1034</v>
      </c>
      <c r="F1410" s="305" t="s">
        <v>560</v>
      </c>
      <c r="G1410" s="306">
        <v>7.8</v>
      </c>
      <c r="H1410" s="305"/>
      <c r="I1410" s="305" t="s">
        <v>152</v>
      </c>
      <c r="J1410" s="305" t="s">
        <v>1032</v>
      </c>
      <c r="K1410" s="305" t="s">
        <v>1982</v>
      </c>
    </row>
    <row r="1411" spans="1:11" x14ac:dyDescent="0.25">
      <c r="A1411" s="302" t="str">
        <f t="shared" si="32"/>
        <v>Shower Timer_0_MF_Length of Shower with Timer</v>
      </c>
      <c r="B1411" s="303" t="s">
        <v>1031</v>
      </c>
      <c r="C1411" s="304">
        <v>0</v>
      </c>
      <c r="D1411" s="304" t="s">
        <v>553</v>
      </c>
      <c r="E1411" s="305" t="s">
        <v>1035</v>
      </c>
      <c r="F1411" s="305" t="s">
        <v>560</v>
      </c>
      <c r="G1411" s="306">
        <v>5.79</v>
      </c>
      <c r="H1411" s="305"/>
      <c r="I1411" s="305" t="s">
        <v>152</v>
      </c>
      <c r="J1411" s="305" t="s">
        <v>1032</v>
      </c>
      <c r="K1411" s="305" t="s">
        <v>1982</v>
      </c>
    </row>
    <row r="1412" spans="1:11" x14ac:dyDescent="0.25">
      <c r="A1412" s="302" t="str">
        <f t="shared" si="32"/>
        <v>Shower Timer_0_MF_People per Household</v>
      </c>
      <c r="B1412" s="303" t="s">
        <v>1031</v>
      </c>
      <c r="C1412" s="304">
        <v>0</v>
      </c>
      <c r="D1412" s="304" t="s">
        <v>553</v>
      </c>
      <c r="E1412" s="305" t="s">
        <v>304</v>
      </c>
      <c r="F1412" s="305" t="s">
        <v>537</v>
      </c>
      <c r="G1412" s="307">
        <v>2.1</v>
      </c>
      <c r="H1412" s="305" t="s">
        <v>553</v>
      </c>
      <c r="I1412" s="305" t="s">
        <v>152</v>
      </c>
      <c r="J1412" s="305" t="s">
        <v>1032</v>
      </c>
      <c r="K1412" s="305" t="s">
        <v>1982</v>
      </c>
    </row>
    <row r="1413" spans="1:11" x14ac:dyDescent="0.25">
      <c r="A1413" s="302" t="str">
        <f t="shared" si="32"/>
        <v>Shower Timer_0_MF_Shower/day/person</v>
      </c>
      <c r="B1413" s="303" t="s">
        <v>1031</v>
      </c>
      <c r="C1413" s="304">
        <v>0</v>
      </c>
      <c r="D1413" s="304" t="s">
        <v>553</v>
      </c>
      <c r="E1413" s="305" t="s">
        <v>311</v>
      </c>
      <c r="F1413" s="305" t="s">
        <v>311</v>
      </c>
      <c r="G1413" s="306">
        <v>0.6</v>
      </c>
      <c r="H1413" s="305"/>
      <c r="I1413" s="305" t="s">
        <v>152</v>
      </c>
      <c r="J1413" s="305" t="s">
        <v>1032</v>
      </c>
      <c r="K1413" s="305" t="s">
        <v>1982</v>
      </c>
    </row>
    <row r="1414" spans="1:11" x14ac:dyDescent="0.25">
      <c r="A1414" s="302" t="str">
        <f t="shared" si="32"/>
        <v>Shower Timer_0_MF_Days per Year</v>
      </c>
      <c r="B1414" s="303" t="s">
        <v>1031</v>
      </c>
      <c r="C1414" s="304">
        <v>0</v>
      </c>
      <c r="D1414" s="304" t="s">
        <v>553</v>
      </c>
      <c r="E1414" s="305" t="s">
        <v>263</v>
      </c>
      <c r="F1414" s="305" t="s">
        <v>538</v>
      </c>
      <c r="G1414" s="306">
        <v>365.25</v>
      </c>
      <c r="H1414" s="305"/>
      <c r="I1414" s="305" t="s">
        <v>152</v>
      </c>
      <c r="J1414" s="305" t="s">
        <v>1032</v>
      </c>
      <c r="K1414" s="305" t="s">
        <v>1982</v>
      </c>
    </row>
    <row r="1415" spans="1:11" x14ac:dyDescent="0.25">
      <c r="A1415" s="302" t="str">
        <f t="shared" si="32"/>
        <v>Shower Timer_0_MF_Usage Factor</v>
      </c>
      <c r="B1415" s="303" t="s">
        <v>1031</v>
      </c>
      <c r="C1415" s="304">
        <v>0</v>
      </c>
      <c r="D1415" s="304" t="s">
        <v>553</v>
      </c>
      <c r="E1415" s="305" t="s">
        <v>1036</v>
      </c>
      <c r="F1415" s="305" t="s">
        <v>539</v>
      </c>
      <c r="G1415" s="308">
        <v>0.34</v>
      </c>
      <c r="H1415" s="305"/>
      <c r="I1415" s="305" t="s">
        <v>152</v>
      </c>
      <c r="J1415" s="305" t="s">
        <v>1032</v>
      </c>
      <c r="K1415" s="305" t="s">
        <v>1982</v>
      </c>
    </row>
    <row r="1416" spans="1:11" x14ac:dyDescent="0.25">
      <c r="A1416" s="302" t="str">
        <f t="shared" si="32"/>
        <v>Shower Timer_0_MF_yWater</v>
      </c>
      <c r="B1416" s="303" t="s">
        <v>1031</v>
      </c>
      <c r="C1416" s="304">
        <v>0</v>
      </c>
      <c r="D1416" s="304" t="s">
        <v>553</v>
      </c>
      <c r="E1416" s="305" t="s">
        <v>369</v>
      </c>
      <c r="F1416" s="309" t="s">
        <v>346</v>
      </c>
      <c r="G1416" s="306">
        <v>8.33</v>
      </c>
      <c r="H1416" s="305"/>
      <c r="I1416" s="305" t="s">
        <v>152</v>
      </c>
      <c r="J1416" s="305" t="s">
        <v>1032</v>
      </c>
      <c r="K1416" s="305" t="s">
        <v>1982</v>
      </c>
    </row>
    <row r="1417" spans="1:11" x14ac:dyDescent="0.25">
      <c r="A1417" s="302" t="str">
        <f t="shared" si="32"/>
        <v>Shower Timer_0_MF_Water Temperature</v>
      </c>
      <c r="B1417" s="303" t="s">
        <v>1031</v>
      </c>
      <c r="C1417" s="304">
        <v>0</v>
      </c>
      <c r="D1417" s="304" t="s">
        <v>553</v>
      </c>
      <c r="E1417" s="305" t="s">
        <v>541</v>
      </c>
      <c r="F1417" s="305" t="s">
        <v>542</v>
      </c>
      <c r="G1417" s="306">
        <v>101</v>
      </c>
      <c r="H1417" s="305"/>
      <c r="I1417" s="305" t="s">
        <v>152</v>
      </c>
      <c r="J1417" s="305" t="s">
        <v>1032</v>
      </c>
      <c r="K1417" s="305" t="s">
        <v>1982</v>
      </c>
    </row>
    <row r="1418" spans="1:11" ht="12" customHeight="1" x14ac:dyDescent="0.25">
      <c r="A1418" s="302" t="str">
        <f t="shared" si="32"/>
        <v>Shower Timer_0_MF_Incoming Water Temperature</v>
      </c>
      <c r="B1418" s="303" t="s">
        <v>1031</v>
      </c>
      <c r="C1418" s="304">
        <v>0</v>
      </c>
      <c r="D1418" s="304" t="s">
        <v>553</v>
      </c>
      <c r="E1418" s="305" t="s">
        <v>265</v>
      </c>
      <c r="F1418" s="305" t="s">
        <v>542</v>
      </c>
      <c r="G1418" s="310">
        <v>50.7</v>
      </c>
      <c r="H1418" s="311" t="s">
        <v>1916</v>
      </c>
      <c r="I1418" s="305" t="s">
        <v>152</v>
      </c>
      <c r="J1418" s="305" t="s">
        <v>1032</v>
      </c>
      <c r="K1418" s="305" t="s">
        <v>1982</v>
      </c>
    </row>
    <row r="1419" spans="1:11" x14ac:dyDescent="0.25">
      <c r="A1419" s="302" t="str">
        <f t="shared" si="32"/>
        <v>Shower Timer_0_MF_RE_Gas</v>
      </c>
      <c r="B1419" s="303" t="s">
        <v>1031</v>
      </c>
      <c r="C1419" s="304">
        <v>0</v>
      </c>
      <c r="D1419" s="304" t="s">
        <v>553</v>
      </c>
      <c r="E1419" s="305" t="s">
        <v>543</v>
      </c>
      <c r="F1419" s="305" t="s">
        <v>539</v>
      </c>
      <c r="G1419" s="308">
        <v>0.67</v>
      </c>
      <c r="H1419" s="305" t="s">
        <v>1044</v>
      </c>
      <c r="I1419" s="305" t="s">
        <v>152</v>
      </c>
      <c r="J1419" s="305" t="s">
        <v>1032</v>
      </c>
      <c r="K1419" s="305" t="s">
        <v>1982</v>
      </c>
    </row>
    <row r="1420" spans="1:11" x14ac:dyDescent="0.25">
      <c r="A1420" s="302" t="str">
        <f t="shared" si="32"/>
        <v>Shower Timer_0_MF_EPG_Gas</v>
      </c>
      <c r="B1420" s="303" t="s">
        <v>1031</v>
      </c>
      <c r="C1420" s="304">
        <v>0</v>
      </c>
      <c r="D1420" s="304" t="s">
        <v>553</v>
      </c>
      <c r="E1420" s="305" t="s">
        <v>544</v>
      </c>
      <c r="F1420" s="305" t="s">
        <v>545</v>
      </c>
      <c r="G1420" s="384">
        <f>G1416*1*(G1417-G1418)/(100000*G1419)</f>
        <v>6.253716417910447E-3</v>
      </c>
      <c r="H1420" s="311" t="s">
        <v>1925</v>
      </c>
      <c r="I1420" s="305" t="s">
        <v>152</v>
      </c>
      <c r="J1420" s="305" t="s">
        <v>1032</v>
      </c>
      <c r="K1420" s="305" t="s">
        <v>1982</v>
      </c>
    </row>
    <row r="1421" spans="1:11" x14ac:dyDescent="0.25">
      <c r="A1421" s="302" t="str">
        <f t="shared" si="32"/>
        <v>Shower Timer_0_MF_Therm Saved per Unit</v>
      </c>
      <c r="B1421" s="303" t="s">
        <v>1031</v>
      </c>
      <c r="C1421" s="304">
        <v>0</v>
      </c>
      <c r="D1421" s="304" t="s">
        <v>553</v>
      </c>
      <c r="E1421" s="314" t="s">
        <v>326</v>
      </c>
      <c r="F1421" s="314"/>
      <c r="G1421" s="315">
        <f>G1409*(G1410-G1411)*G1412*G1413*G1414*G1415*G1420</f>
        <v>3.7960439935175092</v>
      </c>
      <c r="H1421" s="305"/>
      <c r="I1421" s="305" t="s">
        <v>152</v>
      </c>
      <c r="J1421" s="305" t="s">
        <v>1032</v>
      </c>
      <c r="K1421" s="305" t="s">
        <v>1982</v>
      </c>
    </row>
    <row r="1422" spans="1:11" x14ac:dyDescent="0.25">
      <c r="A1422" s="302" t="str">
        <f t="shared" si="32"/>
        <v>Shower Timer_0_MF_Gallons Saved per Unit</v>
      </c>
      <c r="B1422" s="303" t="s">
        <v>1031</v>
      </c>
      <c r="C1422" s="304">
        <v>0</v>
      </c>
      <c r="D1422" s="304" t="s">
        <v>553</v>
      </c>
      <c r="E1422" s="314" t="s">
        <v>547</v>
      </c>
      <c r="F1422" s="314"/>
      <c r="G1422" s="315">
        <f>G1409*(G1410-G1411)*G1412*G1413*G1414*G1415</f>
        <v>607.00609682999993</v>
      </c>
      <c r="H1422" s="305"/>
      <c r="I1422" s="305" t="s">
        <v>152</v>
      </c>
      <c r="J1422" s="305" t="s">
        <v>1032</v>
      </c>
      <c r="K1422" s="305" t="s">
        <v>1982</v>
      </c>
    </row>
    <row r="1423" spans="1:11" x14ac:dyDescent="0.25">
      <c r="A1423" s="302" t="str">
        <f t="shared" si="32"/>
        <v>Shower Timer_0_MF_Lifetime (years)</v>
      </c>
      <c r="B1423" s="303" t="s">
        <v>1031</v>
      </c>
      <c r="C1423" s="304">
        <v>0</v>
      </c>
      <c r="D1423" s="304" t="s">
        <v>553</v>
      </c>
      <c r="E1423" s="314" t="s">
        <v>259</v>
      </c>
      <c r="F1423" s="314" t="s">
        <v>548</v>
      </c>
      <c r="G1423" s="315">
        <v>2</v>
      </c>
      <c r="H1423" s="305"/>
      <c r="I1423" s="305" t="s">
        <v>152</v>
      </c>
      <c r="J1423" s="305" t="s">
        <v>1032</v>
      </c>
      <c r="K1423" s="305" t="s">
        <v>1982</v>
      </c>
    </row>
    <row r="1424" spans="1:11" x14ac:dyDescent="0.25">
      <c r="A1424" s="302" t="str">
        <f t="shared" si="32"/>
        <v>Shower Timer_0_MF_Incremental Cost</v>
      </c>
      <c r="B1424" s="303" t="s">
        <v>1031</v>
      </c>
      <c r="C1424" s="304">
        <v>0</v>
      </c>
      <c r="D1424" s="304" t="s">
        <v>553</v>
      </c>
      <c r="E1424" s="314" t="s">
        <v>260</v>
      </c>
      <c r="F1424" s="314" t="s">
        <v>549</v>
      </c>
      <c r="G1424" s="316">
        <v>20</v>
      </c>
      <c r="H1424" s="305" t="s">
        <v>480</v>
      </c>
      <c r="I1424" s="305" t="s">
        <v>152</v>
      </c>
      <c r="J1424" s="305" t="s">
        <v>1032</v>
      </c>
      <c r="K1424" s="305" t="s">
        <v>1982</v>
      </c>
    </row>
    <row r="1425" spans="1:11" s="324" customFormat="1" x14ac:dyDescent="0.25">
      <c r="A1425" s="317" t="str">
        <f t="shared" si="32"/>
        <v>Shower Timer_0_MF_</v>
      </c>
      <c r="B1425" s="317" t="str">
        <f>B1424</f>
        <v>Shower Timer</v>
      </c>
      <c r="C1425" s="317">
        <f>C1424</f>
        <v>0</v>
      </c>
      <c r="D1425" s="317" t="str">
        <f>D1424</f>
        <v>MF</v>
      </c>
      <c r="E1425" s="317"/>
      <c r="F1425" s="317"/>
      <c r="G1425" s="323"/>
      <c r="H1425" s="320"/>
      <c r="I1425" s="320"/>
      <c r="J1425" s="317"/>
      <c r="K1425" s="317"/>
    </row>
    <row r="1426" spans="1:11" x14ac:dyDescent="0.25">
      <c r="A1426" s="302" t="str">
        <f t="shared" si="32"/>
        <v>Programmable Thermostat_Furnace (DI)_SF_CF</v>
      </c>
      <c r="B1426" s="303" t="s">
        <v>224</v>
      </c>
      <c r="C1426" s="303" t="s">
        <v>1038</v>
      </c>
      <c r="D1426" s="303" t="s">
        <v>409</v>
      </c>
      <c r="E1426" s="305" t="s">
        <v>253</v>
      </c>
      <c r="F1426" s="309"/>
      <c r="G1426" s="306">
        <v>0.68</v>
      </c>
      <c r="H1426" s="305" t="s">
        <v>323</v>
      </c>
      <c r="I1426" s="305" t="s">
        <v>152</v>
      </c>
      <c r="J1426" s="305" t="s">
        <v>100</v>
      </c>
      <c r="K1426" s="305" t="s">
        <v>2004</v>
      </c>
    </row>
    <row r="1427" spans="1:11" x14ac:dyDescent="0.25">
      <c r="A1427" s="302" t="str">
        <f t="shared" si="32"/>
        <v>Programmable Thermostat_Furnace (DI)_SF_% Electric Heating</v>
      </c>
      <c r="B1427" s="303" t="s">
        <v>224</v>
      </c>
      <c r="C1427" s="303" t="s">
        <v>1038</v>
      </c>
      <c r="D1427" s="303" t="s">
        <v>409</v>
      </c>
      <c r="E1427" s="305" t="s">
        <v>268</v>
      </c>
      <c r="F1427" s="309"/>
      <c r="G1427" s="306">
        <v>0</v>
      </c>
      <c r="H1427" s="305" t="s">
        <v>1039</v>
      </c>
      <c r="I1427" s="305" t="s">
        <v>152</v>
      </c>
      <c r="J1427" s="305" t="s">
        <v>100</v>
      </c>
      <c r="K1427" s="305" t="s">
        <v>2004</v>
      </c>
    </row>
    <row r="1428" spans="1:11" x14ac:dyDescent="0.25">
      <c r="A1428" s="302" t="str">
        <f t="shared" si="32"/>
        <v>Programmable Thermostat_Furnace (DI)_SF_% Gas Heating</v>
      </c>
      <c r="B1428" s="303" t="s">
        <v>224</v>
      </c>
      <c r="C1428" s="303" t="s">
        <v>1038</v>
      </c>
      <c r="D1428" s="303" t="s">
        <v>409</v>
      </c>
      <c r="E1428" s="305" t="s">
        <v>269</v>
      </c>
      <c r="F1428" s="309"/>
      <c r="G1428" s="306">
        <v>1</v>
      </c>
      <c r="H1428" s="305" t="s">
        <v>1039</v>
      </c>
      <c r="I1428" s="305" t="s">
        <v>152</v>
      </c>
      <c r="J1428" s="305" t="s">
        <v>100</v>
      </c>
      <c r="K1428" s="305" t="s">
        <v>2004</v>
      </c>
    </row>
    <row r="1429" spans="1:11" x14ac:dyDescent="0.25">
      <c r="A1429" s="302" t="str">
        <f t="shared" si="32"/>
        <v>Programmable Thermostat_Furnace (DI)_SF_Electric Heating Consumption</v>
      </c>
      <c r="B1429" s="303" t="s">
        <v>224</v>
      </c>
      <c r="C1429" s="303" t="s">
        <v>1038</v>
      </c>
      <c r="D1429" s="303" t="s">
        <v>409</v>
      </c>
      <c r="E1429" s="305" t="s">
        <v>273</v>
      </c>
      <c r="F1429" s="309"/>
      <c r="G1429" s="306">
        <v>12222</v>
      </c>
      <c r="H1429" s="305" t="s">
        <v>1040</v>
      </c>
      <c r="I1429" s="305" t="s">
        <v>152</v>
      </c>
      <c r="J1429" s="305" t="s">
        <v>100</v>
      </c>
      <c r="K1429" s="305" t="s">
        <v>2004</v>
      </c>
    </row>
    <row r="1430" spans="1:11" x14ac:dyDescent="0.25">
      <c r="A1430" s="302" t="str">
        <f t="shared" si="32"/>
        <v>Programmable Thermostat_Furnace (DI)_SF_Gas Heating Consumption</v>
      </c>
      <c r="B1430" s="303" t="s">
        <v>224</v>
      </c>
      <c r="C1430" s="303" t="s">
        <v>1038</v>
      </c>
      <c r="D1430" s="303" t="s">
        <v>409</v>
      </c>
      <c r="E1430" s="305" t="s">
        <v>275</v>
      </c>
      <c r="F1430" s="309"/>
      <c r="G1430" s="306">
        <v>1005</v>
      </c>
      <c r="H1430" s="305" t="s">
        <v>636</v>
      </c>
      <c r="I1430" s="305" t="s">
        <v>152</v>
      </c>
      <c r="J1430" s="305" t="s">
        <v>100</v>
      </c>
      <c r="K1430" s="305" t="s">
        <v>2004</v>
      </c>
    </row>
    <row r="1431" spans="1:11" x14ac:dyDescent="0.25">
      <c r="A1431" s="302" t="str">
        <f t="shared" si="32"/>
        <v>Programmable Thermostat_Furnace (DI)_SF_Household Factor</v>
      </c>
      <c r="B1431" s="303" t="s">
        <v>224</v>
      </c>
      <c r="C1431" s="303" t="s">
        <v>1038</v>
      </c>
      <c r="D1431" s="303" t="s">
        <v>409</v>
      </c>
      <c r="E1431" s="305" t="s">
        <v>276</v>
      </c>
      <c r="F1431" s="309"/>
      <c r="G1431" s="306">
        <v>1</v>
      </c>
      <c r="H1431" s="305" t="s">
        <v>870</v>
      </c>
      <c r="I1431" s="305" t="s">
        <v>152</v>
      </c>
      <c r="J1431" s="305" t="s">
        <v>100</v>
      </c>
      <c r="K1431" s="305" t="s">
        <v>2004</v>
      </c>
    </row>
    <row r="1432" spans="1:11" x14ac:dyDescent="0.25">
      <c r="A1432" s="302" t="str">
        <f t="shared" si="32"/>
        <v>Programmable Thermostat_Furnace (DI)_SF_ISR</v>
      </c>
      <c r="B1432" s="303" t="s">
        <v>224</v>
      </c>
      <c r="C1432" s="303" t="s">
        <v>1038</v>
      </c>
      <c r="D1432" s="303" t="s">
        <v>409</v>
      </c>
      <c r="E1432" s="305" t="s">
        <v>267</v>
      </c>
      <c r="F1432" s="309"/>
      <c r="G1432" s="306">
        <v>1</v>
      </c>
      <c r="H1432" s="305" t="s">
        <v>308</v>
      </c>
      <c r="I1432" s="305" t="s">
        <v>152</v>
      </c>
      <c r="J1432" s="305" t="s">
        <v>100</v>
      </c>
      <c r="K1432" s="305" t="s">
        <v>2004</v>
      </c>
    </row>
    <row r="1433" spans="1:11" x14ac:dyDescent="0.25">
      <c r="A1433" s="302" t="str">
        <f t="shared" si="32"/>
        <v>Programmable Thermostat_Furnace (DI)_SF_Furnace Fan Energy Consumption %</v>
      </c>
      <c r="B1433" s="303" t="s">
        <v>224</v>
      </c>
      <c r="C1433" s="303" t="s">
        <v>1038</v>
      </c>
      <c r="D1433" s="303" t="s">
        <v>409</v>
      </c>
      <c r="E1433" s="305" t="s">
        <v>277</v>
      </c>
      <c r="F1433" s="309"/>
      <c r="G1433" s="306">
        <v>3.1399999999999997E-2</v>
      </c>
      <c r="H1433" s="305" t="s">
        <v>278</v>
      </c>
      <c r="I1433" s="305" t="s">
        <v>152</v>
      </c>
      <c r="J1433" s="305" t="s">
        <v>100</v>
      </c>
      <c r="K1433" s="305" t="s">
        <v>2004</v>
      </c>
    </row>
    <row r="1434" spans="1:11" x14ac:dyDescent="0.25">
      <c r="A1434" s="302" t="str">
        <f t="shared" si="32"/>
        <v>Programmable Thermostat_Furnace (DI)_SF_Heating Energy Reduction</v>
      </c>
      <c r="B1434" s="303" t="s">
        <v>224</v>
      </c>
      <c r="C1434" s="303" t="s">
        <v>1038</v>
      </c>
      <c r="D1434" s="303" t="s">
        <v>409</v>
      </c>
      <c r="E1434" s="305" t="s">
        <v>279</v>
      </c>
      <c r="F1434" s="309"/>
      <c r="G1434" s="306">
        <v>6.2E-2</v>
      </c>
      <c r="H1434" s="305"/>
      <c r="I1434" s="305" t="s">
        <v>152</v>
      </c>
      <c r="J1434" s="305" t="s">
        <v>100</v>
      </c>
      <c r="K1434" s="305" t="s">
        <v>2004</v>
      </c>
    </row>
    <row r="1435" spans="1:11" x14ac:dyDescent="0.25">
      <c r="A1435" s="302" t="str">
        <f t="shared" ref="A1435" si="34">B1435&amp;"_"&amp;C1435&amp;"_"&amp;D1435&amp;"_"&amp;E1435</f>
        <v>Programmable Thermostat_Furnace (DI)_SF_%FossilHeat</v>
      </c>
      <c r="B1435" s="303" t="s">
        <v>224</v>
      </c>
      <c r="C1435" s="303" t="s">
        <v>1038</v>
      </c>
      <c r="D1435" s="303" t="s">
        <v>409</v>
      </c>
      <c r="E1435" s="311" t="s">
        <v>1938</v>
      </c>
      <c r="F1435" s="334" t="s">
        <v>539</v>
      </c>
      <c r="G1435" s="322">
        <v>1</v>
      </c>
      <c r="H1435" s="311" t="s">
        <v>1939</v>
      </c>
      <c r="I1435" s="305" t="s">
        <v>152</v>
      </c>
      <c r="J1435" s="305" t="s">
        <v>100</v>
      </c>
      <c r="K1435" s="305" t="s">
        <v>2004</v>
      </c>
    </row>
    <row r="1436" spans="1:11" x14ac:dyDescent="0.25">
      <c r="A1436" s="302" t="str">
        <f t="shared" si="32"/>
        <v>Programmable Thermostat_Furnace (DI)_SF_Electric Fan Savings</v>
      </c>
      <c r="B1436" s="303" t="s">
        <v>224</v>
      </c>
      <c r="C1436" s="303" t="s">
        <v>1038</v>
      </c>
      <c r="D1436" s="303" t="s">
        <v>409</v>
      </c>
      <c r="E1436" s="305" t="s">
        <v>280</v>
      </c>
      <c r="F1436" s="309"/>
      <c r="G1436" s="306">
        <f>G1438*G1433*29.3</f>
        <v>57.326446199999999</v>
      </c>
      <c r="H1436" s="305"/>
      <c r="I1436" s="305" t="s">
        <v>152</v>
      </c>
      <c r="J1436" s="305" t="s">
        <v>100</v>
      </c>
      <c r="K1436" s="305" t="s">
        <v>2004</v>
      </c>
    </row>
    <row r="1437" spans="1:11" x14ac:dyDescent="0.25">
      <c r="A1437" s="302" t="str">
        <f t="shared" si="32"/>
        <v>Programmable Thermostat_Furnace (DI)_SF_Electric Heating Savings</v>
      </c>
      <c r="B1437" s="303" t="s">
        <v>224</v>
      </c>
      <c r="C1437" s="303" t="s">
        <v>1038</v>
      </c>
      <c r="D1437" s="303" t="s">
        <v>409</v>
      </c>
      <c r="E1437" s="305" t="s">
        <v>281</v>
      </c>
      <c r="F1437" s="309"/>
      <c r="G1437" s="306">
        <f>G1427*G1429*G1434*G1431*G1432</f>
        <v>0</v>
      </c>
      <c r="H1437" s="305"/>
      <c r="I1437" s="305" t="s">
        <v>152</v>
      </c>
      <c r="J1437" s="305" t="s">
        <v>100</v>
      </c>
      <c r="K1437" s="305" t="s">
        <v>2004</v>
      </c>
    </row>
    <row r="1438" spans="1:11" x14ac:dyDescent="0.25">
      <c r="A1438" s="302" t="str">
        <f t="shared" si="32"/>
        <v>Programmable Thermostat_Furnace (DI)_SF_Gas Heating Savings</v>
      </c>
      <c r="B1438" s="303" t="s">
        <v>224</v>
      </c>
      <c r="C1438" s="303" t="s">
        <v>1038</v>
      </c>
      <c r="D1438" s="303" t="s">
        <v>409</v>
      </c>
      <c r="E1438" s="305" t="s">
        <v>324</v>
      </c>
      <c r="F1438" s="309"/>
      <c r="G1438" s="306">
        <f>G1440</f>
        <v>62.31</v>
      </c>
      <c r="H1438" s="305"/>
      <c r="I1438" s="305" t="s">
        <v>152</v>
      </c>
      <c r="J1438" s="305" t="s">
        <v>100</v>
      </c>
      <c r="K1438" s="305" t="s">
        <v>2004</v>
      </c>
    </row>
    <row r="1439" spans="1:11" x14ac:dyDescent="0.25">
      <c r="A1439" s="302" t="str">
        <f t="shared" si="32"/>
        <v>Programmable Thermostat_Furnace (DI)_SF_kWh Saved per Unit</v>
      </c>
      <c r="B1439" s="303" t="s">
        <v>224</v>
      </c>
      <c r="C1439" s="303" t="s">
        <v>1038</v>
      </c>
      <c r="D1439" s="303" t="s">
        <v>409</v>
      </c>
      <c r="E1439" s="314" t="s">
        <v>255</v>
      </c>
      <c r="F1439" s="326"/>
      <c r="G1439" s="315">
        <f>G1436+G1437</f>
        <v>57.326446199999999</v>
      </c>
      <c r="H1439" s="305"/>
      <c r="I1439" s="305" t="s">
        <v>152</v>
      </c>
      <c r="J1439" s="305" t="s">
        <v>100</v>
      </c>
      <c r="K1439" s="305" t="s">
        <v>2004</v>
      </c>
    </row>
    <row r="1440" spans="1:11" x14ac:dyDescent="0.25">
      <c r="A1440" s="302" t="str">
        <f t="shared" si="32"/>
        <v>Programmable Thermostat_Furnace (DI)_SF_Therm Saved per Unit</v>
      </c>
      <c r="B1440" s="303" t="s">
        <v>224</v>
      </c>
      <c r="C1440" s="303" t="s">
        <v>1038</v>
      </c>
      <c r="D1440" s="303" t="s">
        <v>409</v>
      </c>
      <c r="E1440" s="314" t="s">
        <v>326</v>
      </c>
      <c r="F1440" s="326"/>
      <c r="G1440" s="315">
        <f>G1428*G1430*G1434*G1431*G1432*G1435</f>
        <v>62.31</v>
      </c>
      <c r="H1440" s="305"/>
      <c r="I1440" s="305" t="s">
        <v>152</v>
      </c>
      <c r="J1440" s="305" t="s">
        <v>100</v>
      </c>
      <c r="K1440" s="305" t="s">
        <v>2004</v>
      </c>
    </row>
    <row r="1441" spans="1:11" x14ac:dyDescent="0.25">
      <c r="A1441" s="302" t="str">
        <f t="shared" si="32"/>
        <v>Programmable Thermostat_Furnace (DI)_SF_Therm Saved per Unit- MLA</v>
      </c>
      <c r="B1441" s="303" t="s">
        <v>224</v>
      </c>
      <c r="C1441" s="303" t="s">
        <v>1038</v>
      </c>
      <c r="D1441" s="303" t="s">
        <v>409</v>
      </c>
      <c r="E1441" s="314" t="s">
        <v>626</v>
      </c>
      <c r="F1441" s="326"/>
      <c r="G1441" s="315">
        <f>G1440*28%</f>
        <v>17.446800000000003</v>
      </c>
      <c r="H1441" s="305"/>
      <c r="I1441" s="305" t="s">
        <v>152</v>
      </c>
      <c r="J1441" s="305" t="s">
        <v>100</v>
      </c>
      <c r="K1441" s="305" t="s">
        <v>2004</v>
      </c>
    </row>
    <row r="1442" spans="1:11" x14ac:dyDescent="0.25">
      <c r="A1442" s="302" t="str">
        <f t="shared" si="32"/>
        <v>Programmable Thermostat_Furnace (DI)_SF_Lifetime (years)</v>
      </c>
      <c r="B1442" s="303" t="s">
        <v>224</v>
      </c>
      <c r="C1442" s="303" t="s">
        <v>1038</v>
      </c>
      <c r="D1442" s="303" t="s">
        <v>409</v>
      </c>
      <c r="E1442" s="314" t="s">
        <v>259</v>
      </c>
      <c r="F1442" s="326"/>
      <c r="G1442" s="315">
        <v>16</v>
      </c>
      <c r="H1442" s="305"/>
      <c r="I1442" s="305" t="s">
        <v>152</v>
      </c>
      <c r="J1442" s="305" t="s">
        <v>100</v>
      </c>
      <c r="K1442" s="305" t="s">
        <v>2004</v>
      </c>
    </row>
    <row r="1443" spans="1:11" x14ac:dyDescent="0.25">
      <c r="A1443" s="302" t="str">
        <f t="shared" si="32"/>
        <v>Programmable Thermostat_Furnace (DI)_SF_Lifetime (years) - Remaining Years</v>
      </c>
      <c r="B1443" s="303" t="s">
        <v>224</v>
      </c>
      <c r="C1443" s="303" t="s">
        <v>1038</v>
      </c>
      <c r="D1443" s="303" t="s">
        <v>409</v>
      </c>
      <c r="E1443" s="314" t="s">
        <v>628</v>
      </c>
      <c r="F1443" s="314" t="s">
        <v>548</v>
      </c>
      <c r="G1443" s="315">
        <v>5</v>
      </c>
      <c r="H1443" s="305"/>
      <c r="I1443" s="305" t="s">
        <v>152</v>
      </c>
      <c r="J1443" s="305" t="s">
        <v>100</v>
      </c>
      <c r="K1443" s="305" t="s">
        <v>2004</v>
      </c>
    </row>
    <row r="1444" spans="1:11" x14ac:dyDescent="0.25">
      <c r="A1444" s="302" t="str">
        <f t="shared" si="32"/>
        <v>Programmable Thermostat_Furnace (DI)_SF_Incremental Cost</v>
      </c>
      <c r="B1444" s="303" t="s">
        <v>224</v>
      </c>
      <c r="C1444" s="303" t="s">
        <v>1038</v>
      </c>
      <c r="D1444" s="303" t="s">
        <v>409</v>
      </c>
      <c r="E1444" s="314" t="s">
        <v>260</v>
      </c>
      <c r="F1444" s="327"/>
      <c r="G1444" s="328">
        <v>30</v>
      </c>
      <c r="H1444" s="305" t="s">
        <v>1041</v>
      </c>
      <c r="I1444" s="305" t="s">
        <v>152</v>
      </c>
      <c r="J1444" s="305" t="s">
        <v>100</v>
      </c>
      <c r="K1444" s="305" t="s">
        <v>2004</v>
      </c>
    </row>
    <row r="1445" spans="1:11" s="324" customFormat="1" x14ac:dyDescent="0.25">
      <c r="A1445" s="317" t="str">
        <f t="shared" si="32"/>
        <v>Programmable Thermostat_Furnace (DI)_SF_</v>
      </c>
      <c r="B1445" s="317" t="str">
        <f>B1444</f>
        <v>Programmable Thermostat</v>
      </c>
      <c r="C1445" s="317" t="str">
        <f>C1444</f>
        <v>Furnace (DI)</v>
      </c>
      <c r="D1445" s="317" t="str">
        <f>D1444</f>
        <v>SF</v>
      </c>
      <c r="E1445" s="317"/>
      <c r="F1445" s="317"/>
      <c r="G1445" s="323"/>
      <c r="H1445" s="320"/>
      <c r="I1445" s="320"/>
      <c r="J1445" s="317"/>
      <c r="K1445" s="317"/>
    </row>
    <row r="1446" spans="1:11" x14ac:dyDescent="0.25">
      <c r="A1446" s="302" t="str">
        <f t="shared" si="32"/>
        <v>Programmable Thermostat_Furnace (P)_SF_CF</v>
      </c>
      <c r="B1446" s="303" t="s">
        <v>224</v>
      </c>
      <c r="C1446" s="303" t="s">
        <v>1042</v>
      </c>
      <c r="D1446" s="303" t="s">
        <v>409</v>
      </c>
      <c r="E1446" s="305" t="s">
        <v>253</v>
      </c>
      <c r="F1446" s="309"/>
      <c r="G1446" s="306">
        <v>0.68</v>
      </c>
      <c r="H1446" s="305" t="s">
        <v>323</v>
      </c>
      <c r="I1446" s="305" t="s">
        <v>152</v>
      </c>
      <c r="J1446" s="305" t="s">
        <v>100</v>
      </c>
      <c r="K1446" s="305" t="s">
        <v>2004</v>
      </c>
    </row>
    <row r="1447" spans="1:11" x14ac:dyDescent="0.25">
      <c r="A1447" s="302" t="str">
        <f t="shared" si="32"/>
        <v>Programmable Thermostat_Furnace (P)_SF_% Electric Heating</v>
      </c>
      <c r="B1447" s="303" t="s">
        <v>224</v>
      </c>
      <c r="C1447" s="303" t="s">
        <v>1042</v>
      </c>
      <c r="D1447" s="303" t="s">
        <v>409</v>
      </c>
      <c r="E1447" s="305" t="s">
        <v>268</v>
      </c>
      <c r="F1447" s="309"/>
      <c r="G1447" s="306">
        <v>0</v>
      </c>
      <c r="H1447" s="305" t="s">
        <v>1039</v>
      </c>
      <c r="I1447" s="305" t="s">
        <v>152</v>
      </c>
      <c r="J1447" s="305" t="s">
        <v>100</v>
      </c>
      <c r="K1447" s="305" t="s">
        <v>2004</v>
      </c>
    </row>
    <row r="1448" spans="1:11" x14ac:dyDescent="0.25">
      <c r="A1448" s="302" t="str">
        <f t="shared" si="32"/>
        <v>Programmable Thermostat_Furnace (P)_SF_% Gas Heating</v>
      </c>
      <c r="B1448" s="303" t="s">
        <v>224</v>
      </c>
      <c r="C1448" s="303" t="s">
        <v>1042</v>
      </c>
      <c r="D1448" s="303" t="s">
        <v>409</v>
      </c>
      <c r="E1448" s="305" t="s">
        <v>269</v>
      </c>
      <c r="F1448" s="309"/>
      <c r="G1448" s="306">
        <v>1</v>
      </c>
      <c r="H1448" s="305" t="s">
        <v>1039</v>
      </c>
      <c r="I1448" s="305" t="s">
        <v>152</v>
      </c>
      <c r="J1448" s="305" t="s">
        <v>100</v>
      </c>
      <c r="K1448" s="305" t="s">
        <v>2004</v>
      </c>
    </row>
    <row r="1449" spans="1:11" x14ac:dyDescent="0.25">
      <c r="A1449" s="302" t="str">
        <f t="shared" si="32"/>
        <v>Programmable Thermostat_Furnace (P)_SF_Electric Heating Consumption</v>
      </c>
      <c r="B1449" s="303" t="s">
        <v>224</v>
      </c>
      <c r="C1449" s="303" t="s">
        <v>1042</v>
      </c>
      <c r="D1449" s="303" t="s">
        <v>409</v>
      </c>
      <c r="E1449" s="305" t="s">
        <v>273</v>
      </c>
      <c r="F1449" s="309"/>
      <c r="G1449" s="306">
        <v>0</v>
      </c>
      <c r="H1449" s="305" t="s">
        <v>633</v>
      </c>
      <c r="I1449" s="305" t="s">
        <v>152</v>
      </c>
      <c r="J1449" s="305" t="s">
        <v>100</v>
      </c>
      <c r="K1449" s="305" t="s">
        <v>2004</v>
      </c>
    </row>
    <row r="1450" spans="1:11" x14ac:dyDescent="0.25">
      <c r="A1450" s="302" t="str">
        <f t="shared" si="32"/>
        <v>Programmable Thermostat_Furnace (P)_SF_Gas Heating Consumption</v>
      </c>
      <c r="B1450" s="303" t="s">
        <v>224</v>
      </c>
      <c r="C1450" s="303" t="s">
        <v>1042</v>
      </c>
      <c r="D1450" s="303" t="s">
        <v>409</v>
      </c>
      <c r="E1450" s="305" t="s">
        <v>275</v>
      </c>
      <c r="F1450" s="309"/>
      <c r="G1450" s="306">
        <v>1005</v>
      </c>
      <c r="H1450" s="305" t="s">
        <v>636</v>
      </c>
      <c r="I1450" s="305" t="s">
        <v>152</v>
      </c>
      <c r="J1450" s="305" t="s">
        <v>100</v>
      </c>
      <c r="K1450" s="305" t="s">
        <v>2004</v>
      </c>
    </row>
    <row r="1451" spans="1:11" x14ac:dyDescent="0.25">
      <c r="A1451" s="302" t="str">
        <f t="shared" si="32"/>
        <v>Programmable Thermostat_Furnace (P)_SF_Household Factor</v>
      </c>
      <c r="B1451" s="303" t="s">
        <v>224</v>
      </c>
      <c r="C1451" s="303" t="s">
        <v>1042</v>
      </c>
      <c r="D1451" s="303" t="s">
        <v>409</v>
      </c>
      <c r="E1451" s="305" t="s">
        <v>276</v>
      </c>
      <c r="F1451" s="309"/>
      <c r="G1451" s="306">
        <v>1</v>
      </c>
      <c r="H1451" s="305" t="s">
        <v>870</v>
      </c>
      <c r="I1451" s="305" t="s">
        <v>152</v>
      </c>
      <c r="J1451" s="305" t="s">
        <v>100</v>
      </c>
      <c r="K1451" s="305" t="s">
        <v>2004</v>
      </c>
    </row>
    <row r="1452" spans="1:11" x14ac:dyDescent="0.25">
      <c r="A1452" s="302" t="str">
        <f t="shared" ref="A1452:A1519" si="35">B1452&amp;"_"&amp;C1452&amp;"_"&amp;D1452&amp;"_"&amp;E1452</f>
        <v>Programmable Thermostat_Furnace (P)_SF_ISR</v>
      </c>
      <c r="B1452" s="303" t="s">
        <v>224</v>
      </c>
      <c r="C1452" s="303" t="s">
        <v>1042</v>
      </c>
      <c r="D1452" s="303" t="s">
        <v>409</v>
      </c>
      <c r="E1452" s="305" t="s">
        <v>267</v>
      </c>
      <c r="F1452" s="309"/>
      <c r="G1452" s="306">
        <v>0.56000000000000005</v>
      </c>
      <c r="H1452" s="305" t="s">
        <v>1043</v>
      </c>
      <c r="I1452" s="305" t="s">
        <v>152</v>
      </c>
      <c r="J1452" s="305" t="s">
        <v>100</v>
      </c>
      <c r="K1452" s="305" t="s">
        <v>2004</v>
      </c>
    </row>
    <row r="1453" spans="1:11" x14ac:dyDescent="0.25">
      <c r="A1453" s="302" t="str">
        <f t="shared" si="35"/>
        <v>Programmable Thermostat_Furnace (P)_SF_Furnace Fan Energy Consumption %</v>
      </c>
      <c r="B1453" s="303" t="s">
        <v>224</v>
      </c>
      <c r="C1453" s="303" t="s">
        <v>1042</v>
      </c>
      <c r="D1453" s="303" t="s">
        <v>409</v>
      </c>
      <c r="E1453" s="305" t="s">
        <v>277</v>
      </c>
      <c r="F1453" s="309"/>
      <c r="G1453" s="306">
        <v>3.1399999999999997E-2</v>
      </c>
      <c r="H1453" s="305" t="s">
        <v>278</v>
      </c>
      <c r="I1453" s="305" t="s">
        <v>152</v>
      </c>
      <c r="J1453" s="305" t="s">
        <v>100</v>
      </c>
      <c r="K1453" s="305" t="s">
        <v>2004</v>
      </c>
    </row>
    <row r="1454" spans="1:11" x14ac:dyDescent="0.25">
      <c r="A1454" s="302" t="str">
        <f t="shared" si="35"/>
        <v>Programmable Thermostat_Furnace (P)_SF_Heating Energy Reduction</v>
      </c>
      <c r="B1454" s="303" t="s">
        <v>224</v>
      </c>
      <c r="C1454" s="303" t="s">
        <v>1042</v>
      </c>
      <c r="D1454" s="303" t="s">
        <v>409</v>
      </c>
      <c r="E1454" s="305" t="s">
        <v>279</v>
      </c>
      <c r="F1454" s="309"/>
      <c r="G1454" s="306">
        <v>6.2E-2</v>
      </c>
      <c r="H1454" s="305"/>
      <c r="I1454" s="305" t="s">
        <v>152</v>
      </c>
      <c r="J1454" s="305" t="s">
        <v>100</v>
      </c>
      <c r="K1454" s="305" t="s">
        <v>2004</v>
      </c>
    </row>
    <row r="1455" spans="1:11" x14ac:dyDescent="0.25">
      <c r="A1455" s="302" t="str">
        <f t="shared" si="35"/>
        <v>Programmable Thermostat_Furnace (P)_SF_%FossilHeat</v>
      </c>
      <c r="B1455" s="303" t="s">
        <v>224</v>
      </c>
      <c r="C1455" s="303" t="s">
        <v>1042</v>
      </c>
      <c r="D1455" s="303" t="s">
        <v>409</v>
      </c>
      <c r="E1455" s="311" t="s">
        <v>1938</v>
      </c>
      <c r="F1455" s="334" t="s">
        <v>539</v>
      </c>
      <c r="G1455" s="322">
        <v>1</v>
      </c>
      <c r="H1455" s="311" t="s">
        <v>1940</v>
      </c>
      <c r="I1455" s="305" t="s">
        <v>152</v>
      </c>
      <c r="J1455" s="305" t="s">
        <v>100</v>
      </c>
      <c r="K1455" s="305" t="s">
        <v>2004</v>
      </c>
    </row>
    <row r="1456" spans="1:11" x14ac:dyDescent="0.25">
      <c r="A1456" s="302" t="str">
        <f t="shared" si="35"/>
        <v>Programmable Thermostat_Furnace (P)_SF_Electric Fan Savings</v>
      </c>
      <c r="B1456" s="303" t="s">
        <v>224</v>
      </c>
      <c r="C1456" s="303" t="s">
        <v>1042</v>
      </c>
      <c r="D1456" s="303" t="s">
        <v>409</v>
      </c>
      <c r="E1456" s="305" t="s">
        <v>280</v>
      </c>
      <c r="F1456" s="309"/>
      <c r="G1456" s="306">
        <f>G1458*G1453*29.3</f>
        <v>32.102809872000002</v>
      </c>
      <c r="H1456" s="305"/>
      <c r="I1456" s="305" t="s">
        <v>152</v>
      </c>
      <c r="J1456" s="305" t="s">
        <v>100</v>
      </c>
      <c r="K1456" s="305" t="s">
        <v>2004</v>
      </c>
    </row>
    <row r="1457" spans="1:11" x14ac:dyDescent="0.25">
      <c r="A1457" s="302" t="str">
        <f t="shared" si="35"/>
        <v>Programmable Thermostat_Furnace (P)_SF_Electric Heating Savings</v>
      </c>
      <c r="B1457" s="303" t="s">
        <v>224</v>
      </c>
      <c r="C1457" s="303" t="s">
        <v>1042</v>
      </c>
      <c r="D1457" s="303" t="s">
        <v>409</v>
      </c>
      <c r="E1457" s="305" t="s">
        <v>281</v>
      </c>
      <c r="F1457" s="309"/>
      <c r="G1457" s="306">
        <f>G1447*G1449*G1454*G1451*G1452</f>
        <v>0</v>
      </c>
      <c r="H1457" s="305"/>
      <c r="I1457" s="305" t="s">
        <v>152</v>
      </c>
      <c r="J1457" s="305" t="s">
        <v>100</v>
      </c>
      <c r="K1457" s="305" t="s">
        <v>2004</v>
      </c>
    </row>
    <row r="1458" spans="1:11" x14ac:dyDescent="0.25">
      <c r="A1458" s="302" t="str">
        <f t="shared" si="35"/>
        <v>Programmable Thermostat_Furnace (P)_SF_Gas Heating Savings</v>
      </c>
      <c r="B1458" s="303" t="s">
        <v>224</v>
      </c>
      <c r="C1458" s="303" t="s">
        <v>1042</v>
      </c>
      <c r="D1458" s="303" t="s">
        <v>409</v>
      </c>
      <c r="E1458" s="305" t="s">
        <v>324</v>
      </c>
      <c r="F1458" s="309"/>
      <c r="G1458" s="306">
        <f>G1460</f>
        <v>34.893600000000006</v>
      </c>
      <c r="H1458" s="305"/>
      <c r="I1458" s="305" t="s">
        <v>152</v>
      </c>
      <c r="J1458" s="305" t="s">
        <v>100</v>
      </c>
      <c r="K1458" s="305" t="s">
        <v>2004</v>
      </c>
    </row>
    <row r="1459" spans="1:11" x14ac:dyDescent="0.25">
      <c r="A1459" s="302" t="str">
        <f t="shared" si="35"/>
        <v>Programmable Thermostat_Furnace (P)_SF_kWh Saved per Unit</v>
      </c>
      <c r="B1459" s="303" t="s">
        <v>224</v>
      </c>
      <c r="C1459" s="303" t="s">
        <v>1042</v>
      </c>
      <c r="D1459" s="303" t="s">
        <v>409</v>
      </c>
      <c r="E1459" s="314" t="s">
        <v>255</v>
      </c>
      <c r="F1459" s="326"/>
      <c r="G1459" s="315">
        <f>G1456+G1457</f>
        <v>32.102809872000002</v>
      </c>
      <c r="H1459" s="305"/>
      <c r="I1459" s="305" t="s">
        <v>152</v>
      </c>
      <c r="J1459" s="305" t="s">
        <v>100</v>
      </c>
      <c r="K1459" s="305" t="s">
        <v>2004</v>
      </c>
    </row>
    <row r="1460" spans="1:11" x14ac:dyDescent="0.25">
      <c r="A1460" s="302" t="str">
        <f t="shared" si="35"/>
        <v>Programmable Thermostat_Furnace (P)_SF_Therm Saved per Unit</v>
      </c>
      <c r="B1460" s="303" t="s">
        <v>224</v>
      </c>
      <c r="C1460" s="303" t="s">
        <v>1042</v>
      </c>
      <c r="D1460" s="303" t="s">
        <v>409</v>
      </c>
      <c r="E1460" s="314" t="s">
        <v>326</v>
      </c>
      <c r="F1460" s="326"/>
      <c r="G1460" s="315">
        <f>G1448*G1450*G1454*G1451*G1452*G1455</f>
        <v>34.893600000000006</v>
      </c>
      <c r="H1460" s="305"/>
      <c r="I1460" s="305" t="s">
        <v>152</v>
      </c>
      <c r="J1460" s="305" t="s">
        <v>100</v>
      </c>
      <c r="K1460" s="305" t="s">
        <v>2004</v>
      </c>
    </row>
    <row r="1461" spans="1:11" x14ac:dyDescent="0.25">
      <c r="A1461" s="302" t="str">
        <f t="shared" si="35"/>
        <v>Programmable Thermostat_Furnace (P)_SF_Therm Saved per Unit- MLA</v>
      </c>
      <c r="B1461" s="303" t="s">
        <v>224</v>
      </c>
      <c r="C1461" s="303" t="s">
        <v>1042</v>
      </c>
      <c r="D1461" s="303" t="s">
        <v>409</v>
      </c>
      <c r="E1461" s="314" t="s">
        <v>626</v>
      </c>
      <c r="F1461" s="326"/>
      <c r="G1461" s="315">
        <f>G1460*28%</f>
        <v>9.770208000000002</v>
      </c>
      <c r="H1461" s="305"/>
      <c r="I1461" s="305" t="s">
        <v>152</v>
      </c>
      <c r="J1461" s="305" t="s">
        <v>100</v>
      </c>
      <c r="K1461" s="305" t="s">
        <v>2004</v>
      </c>
    </row>
    <row r="1462" spans="1:11" x14ac:dyDescent="0.25">
      <c r="A1462" s="302" t="str">
        <f t="shared" si="35"/>
        <v>Programmable Thermostat_Furnace (P)_SF_Lifetime (years)</v>
      </c>
      <c r="B1462" s="303" t="s">
        <v>224</v>
      </c>
      <c r="C1462" s="303" t="s">
        <v>1042</v>
      </c>
      <c r="D1462" s="303" t="s">
        <v>409</v>
      </c>
      <c r="E1462" s="314" t="s">
        <v>259</v>
      </c>
      <c r="F1462" s="326"/>
      <c r="G1462" s="315">
        <v>16</v>
      </c>
      <c r="H1462" s="305"/>
      <c r="I1462" s="305" t="s">
        <v>152</v>
      </c>
      <c r="J1462" s="305" t="s">
        <v>100</v>
      </c>
      <c r="K1462" s="305" t="s">
        <v>2004</v>
      </c>
    </row>
    <row r="1463" spans="1:11" x14ac:dyDescent="0.25">
      <c r="A1463" s="302" t="str">
        <f t="shared" si="35"/>
        <v>Programmable Thermostat_Furnace (P)_SF_Lifetime (years) - Remaining Years</v>
      </c>
      <c r="B1463" s="303" t="s">
        <v>224</v>
      </c>
      <c r="C1463" s="303" t="s">
        <v>1042</v>
      </c>
      <c r="D1463" s="303" t="s">
        <v>409</v>
      </c>
      <c r="E1463" s="314" t="s">
        <v>628</v>
      </c>
      <c r="F1463" s="314" t="s">
        <v>548</v>
      </c>
      <c r="G1463" s="315">
        <v>5</v>
      </c>
      <c r="H1463" s="305"/>
      <c r="I1463" s="305" t="s">
        <v>152</v>
      </c>
      <c r="J1463" s="305" t="s">
        <v>100</v>
      </c>
      <c r="K1463" s="305" t="s">
        <v>2004</v>
      </c>
    </row>
    <row r="1464" spans="1:11" x14ac:dyDescent="0.25">
      <c r="A1464" s="302" t="str">
        <f t="shared" si="35"/>
        <v>Programmable Thermostat_Furnace (P)_SF_Incremental Cost</v>
      </c>
      <c r="B1464" s="303" t="s">
        <v>224</v>
      </c>
      <c r="C1464" s="303" t="s">
        <v>1042</v>
      </c>
      <c r="D1464" s="303" t="s">
        <v>409</v>
      </c>
      <c r="E1464" s="314" t="s">
        <v>260</v>
      </c>
      <c r="F1464" s="327"/>
      <c r="G1464" s="328">
        <v>30</v>
      </c>
      <c r="H1464" s="305" t="s">
        <v>1041</v>
      </c>
      <c r="I1464" s="305" t="s">
        <v>152</v>
      </c>
      <c r="J1464" s="305" t="s">
        <v>100</v>
      </c>
      <c r="K1464" s="305" t="s">
        <v>2004</v>
      </c>
    </row>
    <row r="1465" spans="1:11" s="324" customFormat="1" x14ac:dyDescent="0.25">
      <c r="A1465" s="317" t="str">
        <f t="shared" si="35"/>
        <v>Programmable Thermostat_Furnace (P)_SF_</v>
      </c>
      <c r="B1465" s="317" t="str">
        <f>B1464</f>
        <v>Programmable Thermostat</v>
      </c>
      <c r="C1465" s="317" t="str">
        <f>C1464</f>
        <v>Furnace (P)</v>
      </c>
      <c r="D1465" s="317" t="str">
        <f>D1464</f>
        <v>SF</v>
      </c>
      <c r="E1465" s="317"/>
      <c r="F1465" s="317"/>
      <c r="G1465" s="323"/>
      <c r="H1465" s="320"/>
      <c r="I1465" s="320"/>
      <c r="J1465" s="317"/>
      <c r="K1465" s="317"/>
    </row>
    <row r="1466" spans="1:11" x14ac:dyDescent="0.25">
      <c r="A1466" s="302" t="str">
        <f t="shared" si="35"/>
        <v>Programmable Thermostat_Furnace (DI)_MF_CF</v>
      </c>
      <c r="B1466" s="303" t="s">
        <v>224</v>
      </c>
      <c r="C1466" s="303" t="s">
        <v>1038</v>
      </c>
      <c r="D1466" s="303" t="s">
        <v>553</v>
      </c>
      <c r="E1466" s="305" t="s">
        <v>253</v>
      </c>
      <c r="F1466" s="309"/>
      <c r="G1466" s="306">
        <v>0.68</v>
      </c>
      <c r="H1466" s="305" t="s">
        <v>323</v>
      </c>
      <c r="I1466" s="305" t="s">
        <v>152</v>
      </c>
      <c r="J1466" s="305" t="s">
        <v>100</v>
      </c>
      <c r="K1466" s="305" t="s">
        <v>2004</v>
      </c>
    </row>
    <row r="1467" spans="1:11" x14ac:dyDescent="0.25">
      <c r="A1467" s="302" t="str">
        <f t="shared" si="35"/>
        <v>Programmable Thermostat_Furnace (DI)_MF_% Electric Heating</v>
      </c>
      <c r="B1467" s="303" t="s">
        <v>224</v>
      </c>
      <c r="C1467" s="303" t="s">
        <v>1038</v>
      </c>
      <c r="D1467" s="303" t="s">
        <v>553</v>
      </c>
      <c r="E1467" s="305" t="s">
        <v>268</v>
      </c>
      <c r="F1467" s="309"/>
      <c r="G1467" s="306">
        <v>0</v>
      </c>
      <c r="H1467" s="305" t="s">
        <v>1039</v>
      </c>
      <c r="I1467" s="305" t="s">
        <v>152</v>
      </c>
      <c r="J1467" s="305" t="s">
        <v>100</v>
      </c>
      <c r="K1467" s="305" t="s">
        <v>2004</v>
      </c>
    </row>
    <row r="1468" spans="1:11" x14ac:dyDescent="0.25">
      <c r="A1468" s="302" t="str">
        <f t="shared" si="35"/>
        <v>Programmable Thermostat_Furnace (DI)_MF_% Gas Heating</v>
      </c>
      <c r="B1468" s="303" t="s">
        <v>224</v>
      </c>
      <c r="C1468" s="303" t="s">
        <v>1038</v>
      </c>
      <c r="D1468" s="303" t="s">
        <v>553</v>
      </c>
      <c r="E1468" s="305" t="s">
        <v>269</v>
      </c>
      <c r="F1468" s="309"/>
      <c r="G1468" s="306">
        <v>1</v>
      </c>
      <c r="H1468" s="305" t="s">
        <v>1039</v>
      </c>
      <c r="I1468" s="305" t="s">
        <v>152</v>
      </c>
      <c r="J1468" s="305" t="s">
        <v>100</v>
      </c>
      <c r="K1468" s="305" t="s">
        <v>2004</v>
      </c>
    </row>
    <row r="1469" spans="1:11" x14ac:dyDescent="0.25">
      <c r="A1469" s="302" t="str">
        <f t="shared" si="35"/>
        <v>Programmable Thermostat_Furnace (DI)_MF_Electric Heating Consumption</v>
      </c>
      <c r="B1469" s="303" t="s">
        <v>224</v>
      </c>
      <c r="C1469" s="303" t="s">
        <v>1038</v>
      </c>
      <c r="D1469" s="303" t="s">
        <v>553</v>
      </c>
      <c r="E1469" s="305" t="s">
        <v>273</v>
      </c>
      <c r="F1469" s="309"/>
      <c r="G1469" s="306">
        <v>12222</v>
      </c>
      <c r="H1469" s="305" t="s">
        <v>1040</v>
      </c>
      <c r="I1469" s="305" t="s">
        <v>152</v>
      </c>
      <c r="J1469" s="305" t="s">
        <v>100</v>
      </c>
      <c r="K1469" s="305" t="s">
        <v>2004</v>
      </c>
    </row>
    <row r="1470" spans="1:11" x14ac:dyDescent="0.25">
      <c r="A1470" s="302" t="str">
        <f t="shared" si="35"/>
        <v>Programmable Thermostat_Furnace (DI)_MF_Gas Heating Consumption</v>
      </c>
      <c r="B1470" s="303" t="s">
        <v>224</v>
      </c>
      <c r="C1470" s="303" t="s">
        <v>1038</v>
      </c>
      <c r="D1470" s="303" t="s">
        <v>553</v>
      </c>
      <c r="E1470" s="305" t="s">
        <v>275</v>
      </c>
      <c r="F1470" s="309"/>
      <c r="G1470" s="306">
        <v>1005</v>
      </c>
      <c r="H1470" s="305" t="s">
        <v>636</v>
      </c>
      <c r="I1470" s="305" t="s">
        <v>152</v>
      </c>
      <c r="J1470" s="305" t="s">
        <v>100</v>
      </c>
      <c r="K1470" s="305" t="s">
        <v>2004</v>
      </c>
    </row>
    <row r="1471" spans="1:11" x14ac:dyDescent="0.25">
      <c r="A1471" s="302" t="str">
        <f t="shared" si="35"/>
        <v>Programmable Thermostat_Furnace (DI)_MF_Household Factor</v>
      </c>
      <c r="B1471" s="303" t="s">
        <v>224</v>
      </c>
      <c r="C1471" s="303" t="s">
        <v>1038</v>
      </c>
      <c r="D1471" s="303" t="s">
        <v>553</v>
      </c>
      <c r="E1471" s="305" t="s">
        <v>276</v>
      </c>
      <c r="F1471" s="309"/>
      <c r="G1471" s="306">
        <v>0.65</v>
      </c>
      <c r="H1471" s="305" t="s">
        <v>1044</v>
      </c>
      <c r="I1471" s="305" t="s">
        <v>152</v>
      </c>
      <c r="J1471" s="305" t="s">
        <v>100</v>
      </c>
      <c r="K1471" s="305" t="s">
        <v>2004</v>
      </c>
    </row>
    <row r="1472" spans="1:11" x14ac:dyDescent="0.25">
      <c r="A1472" s="302" t="str">
        <f t="shared" si="35"/>
        <v>Programmable Thermostat_Furnace (DI)_MF_ISR</v>
      </c>
      <c r="B1472" s="303" t="s">
        <v>224</v>
      </c>
      <c r="C1472" s="303" t="s">
        <v>1038</v>
      </c>
      <c r="D1472" s="303" t="s">
        <v>553</v>
      </c>
      <c r="E1472" s="305" t="s">
        <v>267</v>
      </c>
      <c r="F1472" s="309"/>
      <c r="G1472" s="306">
        <v>1</v>
      </c>
      <c r="H1472" s="305" t="s">
        <v>308</v>
      </c>
      <c r="I1472" s="305" t="s">
        <v>152</v>
      </c>
      <c r="J1472" s="305" t="s">
        <v>100</v>
      </c>
      <c r="K1472" s="305" t="s">
        <v>2004</v>
      </c>
    </row>
    <row r="1473" spans="1:11" x14ac:dyDescent="0.25">
      <c r="A1473" s="302" t="str">
        <f t="shared" si="35"/>
        <v>Programmable Thermostat_Furnace (DI)_MF_Furnace Fan Energy Consumption %</v>
      </c>
      <c r="B1473" s="303" t="s">
        <v>224</v>
      </c>
      <c r="C1473" s="303" t="s">
        <v>1038</v>
      </c>
      <c r="D1473" s="303" t="s">
        <v>553</v>
      </c>
      <c r="E1473" s="305" t="s">
        <v>277</v>
      </c>
      <c r="F1473" s="309"/>
      <c r="G1473" s="306">
        <v>3.1399999999999997E-2</v>
      </c>
      <c r="H1473" s="305" t="s">
        <v>278</v>
      </c>
      <c r="I1473" s="305" t="s">
        <v>152</v>
      </c>
      <c r="J1473" s="305" t="s">
        <v>100</v>
      </c>
      <c r="K1473" s="305" t="s">
        <v>2004</v>
      </c>
    </row>
    <row r="1474" spans="1:11" x14ac:dyDescent="0.25">
      <c r="A1474" s="302" t="str">
        <f t="shared" si="35"/>
        <v>Programmable Thermostat_Furnace (DI)_MF_Heating Energy Reduction</v>
      </c>
      <c r="B1474" s="303" t="s">
        <v>224</v>
      </c>
      <c r="C1474" s="303" t="s">
        <v>1038</v>
      </c>
      <c r="D1474" s="303" t="s">
        <v>553</v>
      </c>
      <c r="E1474" s="305" t="s">
        <v>279</v>
      </c>
      <c r="F1474" s="309"/>
      <c r="G1474" s="306">
        <v>6.2E-2</v>
      </c>
      <c r="H1474" s="305"/>
      <c r="I1474" s="305" t="s">
        <v>152</v>
      </c>
      <c r="J1474" s="305" t="s">
        <v>100</v>
      </c>
      <c r="K1474" s="305" t="s">
        <v>2004</v>
      </c>
    </row>
    <row r="1475" spans="1:11" x14ac:dyDescent="0.25">
      <c r="A1475" s="302" t="str">
        <f t="shared" ref="A1475" si="36">B1475&amp;"_"&amp;C1475&amp;"_"&amp;D1475&amp;"_"&amp;E1475</f>
        <v>Programmable Thermostat_Furnace (DI)_MF_%FossilHeat</v>
      </c>
      <c r="B1475" s="303" t="s">
        <v>224</v>
      </c>
      <c r="C1475" s="303" t="s">
        <v>1038</v>
      </c>
      <c r="D1475" s="303" t="s">
        <v>553</v>
      </c>
      <c r="E1475" s="311" t="s">
        <v>1938</v>
      </c>
      <c r="F1475" s="334" t="s">
        <v>539</v>
      </c>
      <c r="G1475" s="322">
        <v>1</v>
      </c>
      <c r="H1475" s="311" t="s">
        <v>1939</v>
      </c>
      <c r="I1475" s="305" t="s">
        <v>152</v>
      </c>
      <c r="J1475" s="305" t="s">
        <v>100</v>
      </c>
      <c r="K1475" s="305" t="s">
        <v>2004</v>
      </c>
    </row>
    <row r="1476" spans="1:11" x14ac:dyDescent="0.25">
      <c r="A1476" s="302" t="str">
        <f t="shared" si="35"/>
        <v>Programmable Thermostat_Furnace (DI)_MF_Electric Fan Savings</v>
      </c>
      <c r="B1476" s="303" t="s">
        <v>224</v>
      </c>
      <c r="C1476" s="303" t="s">
        <v>1038</v>
      </c>
      <c r="D1476" s="303" t="s">
        <v>553</v>
      </c>
      <c r="E1476" s="305" t="s">
        <v>280</v>
      </c>
      <c r="F1476" s="309"/>
      <c r="G1476" s="306">
        <f>G1478*G1473*29.3</f>
        <v>37.262190029999992</v>
      </c>
      <c r="H1476" s="305"/>
      <c r="I1476" s="305" t="s">
        <v>152</v>
      </c>
      <c r="J1476" s="305" t="s">
        <v>100</v>
      </c>
      <c r="K1476" s="305" t="s">
        <v>2004</v>
      </c>
    </row>
    <row r="1477" spans="1:11" x14ac:dyDescent="0.25">
      <c r="A1477" s="302" t="str">
        <f t="shared" si="35"/>
        <v>Programmable Thermostat_Furnace (DI)_MF_Electric Heating Savings</v>
      </c>
      <c r="B1477" s="303" t="s">
        <v>224</v>
      </c>
      <c r="C1477" s="303" t="s">
        <v>1038</v>
      </c>
      <c r="D1477" s="303" t="s">
        <v>553</v>
      </c>
      <c r="E1477" s="305" t="s">
        <v>281</v>
      </c>
      <c r="F1477" s="309"/>
      <c r="G1477" s="306">
        <f>G1467*G1469*G1474*G1471*G1472</f>
        <v>0</v>
      </c>
      <c r="H1477" s="305"/>
      <c r="I1477" s="305" t="s">
        <v>152</v>
      </c>
      <c r="J1477" s="305" t="s">
        <v>100</v>
      </c>
      <c r="K1477" s="305" t="s">
        <v>2004</v>
      </c>
    </row>
    <row r="1478" spans="1:11" x14ac:dyDescent="0.25">
      <c r="A1478" s="302" t="str">
        <f t="shared" si="35"/>
        <v>Programmable Thermostat_Furnace (DI)_MF_Gas Heating Savings</v>
      </c>
      <c r="B1478" s="303" t="s">
        <v>224</v>
      </c>
      <c r="C1478" s="303" t="s">
        <v>1038</v>
      </c>
      <c r="D1478" s="303" t="s">
        <v>553</v>
      </c>
      <c r="E1478" s="305" t="s">
        <v>324</v>
      </c>
      <c r="F1478" s="309"/>
      <c r="G1478" s="306">
        <f>G1480</f>
        <v>40.5015</v>
      </c>
      <c r="H1478" s="305"/>
      <c r="I1478" s="305" t="s">
        <v>152</v>
      </c>
      <c r="J1478" s="305" t="s">
        <v>100</v>
      </c>
      <c r="K1478" s="305" t="s">
        <v>2004</v>
      </c>
    </row>
    <row r="1479" spans="1:11" x14ac:dyDescent="0.25">
      <c r="A1479" s="302" t="str">
        <f t="shared" si="35"/>
        <v>Programmable Thermostat_Furnace (DI)_MF_kWh Saved per Unit</v>
      </c>
      <c r="B1479" s="303" t="s">
        <v>224</v>
      </c>
      <c r="C1479" s="303" t="s">
        <v>1038</v>
      </c>
      <c r="D1479" s="303" t="s">
        <v>553</v>
      </c>
      <c r="E1479" s="314" t="s">
        <v>255</v>
      </c>
      <c r="F1479" s="326"/>
      <c r="G1479" s="315">
        <f>G1476+G1477</f>
        <v>37.262190029999992</v>
      </c>
      <c r="H1479" s="305"/>
      <c r="I1479" s="305" t="s">
        <v>152</v>
      </c>
      <c r="J1479" s="305" t="s">
        <v>100</v>
      </c>
      <c r="K1479" s="305" t="s">
        <v>2004</v>
      </c>
    </row>
    <row r="1480" spans="1:11" x14ac:dyDescent="0.25">
      <c r="A1480" s="302" t="str">
        <f t="shared" si="35"/>
        <v>Programmable Thermostat_Furnace (DI)_MF_Therm Saved per Unit</v>
      </c>
      <c r="B1480" s="303" t="s">
        <v>224</v>
      </c>
      <c r="C1480" s="303" t="s">
        <v>1038</v>
      </c>
      <c r="D1480" s="303" t="s">
        <v>553</v>
      </c>
      <c r="E1480" s="314" t="s">
        <v>326</v>
      </c>
      <c r="F1480" s="326"/>
      <c r="G1480" s="315">
        <f>G1468*G1470*G1474*G1471*G1472*G1475</f>
        <v>40.5015</v>
      </c>
      <c r="H1480" s="305"/>
      <c r="I1480" s="305" t="s">
        <v>152</v>
      </c>
      <c r="J1480" s="305" t="s">
        <v>100</v>
      </c>
      <c r="K1480" s="305" t="s">
        <v>2004</v>
      </c>
    </row>
    <row r="1481" spans="1:11" x14ac:dyDescent="0.25">
      <c r="A1481" s="302" t="str">
        <f t="shared" si="35"/>
        <v>Programmable Thermostat_Furnace (DI)_MF_Therm Saved per Unit- MLA</v>
      </c>
      <c r="B1481" s="303" t="s">
        <v>224</v>
      </c>
      <c r="C1481" s="303" t="s">
        <v>1038</v>
      </c>
      <c r="D1481" s="303" t="s">
        <v>553</v>
      </c>
      <c r="E1481" s="314" t="s">
        <v>626</v>
      </c>
      <c r="F1481" s="326"/>
      <c r="G1481" s="315">
        <f>G1480*28%</f>
        <v>11.340420000000002</v>
      </c>
      <c r="H1481" s="305"/>
      <c r="I1481" s="305" t="s">
        <v>152</v>
      </c>
      <c r="J1481" s="305" t="s">
        <v>100</v>
      </c>
      <c r="K1481" s="305" t="s">
        <v>2004</v>
      </c>
    </row>
    <row r="1482" spans="1:11" x14ac:dyDescent="0.25">
      <c r="A1482" s="302" t="str">
        <f t="shared" si="35"/>
        <v>Programmable Thermostat_Furnace (DI)_MF_Lifetime (years)</v>
      </c>
      <c r="B1482" s="303" t="s">
        <v>224</v>
      </c>
      <c r="C1482" s="303" t="s">
        <v>1038</v>
      </c>
      <c r="D1482" s="303" t="s">
        <v>553</v>
      </c>
      <c r="E1482" s="314" t="s">
        <v>259</v>
      </c>
      <c r="F1482" s="326"/>
      <c r="G1482" s="315">
        <v>16</v>
      </c>
      <c r="H1482" s="305"/>
      <c r="I1482" s="305" t="s">
        <v>152</v>
      </c>
      <c r="J1482" s="305" t="s">
        <v>100</v>
      </c>
      <c r="K1482" s="305" t="s">
        <v>2004</v>
      </c>
    </row>
    <row r="1483" spans="1:11" x14ac:dyDescent="0.25">
      <c r="A1483" s="302" t="str">
        <f t="shared" si="35"/>
        <v>Programmable Thermostat_Furnace (DI)_MF_Lifetime (years) - Remaining Years</v>
      </c>
      <c r="B1483" s="303" t="s">
        <v>224</v>
      </c>
      <c r="C1483" s="303" t="s">
        <v>1038</v>
      </c>
      <c r="D1483" s="303" t="s">
        <v>553</v>
      </c>
      <c r="E1483" s="314" t="s">
        <v>628</v>
      </c>
      <c r="F1483" s="314" t="s">
        <v>548</v>
      </c>
      <c r="G1483" s="315">
        <v>5</v>
      </c>
      <c r="H1483" s="305"/>
      <c r="I1483" s="305" t="s">
        <v>152</v>
      </c>
      <c r="J1483" s="305" t="s">
        <v>100</v>
      </c>
      <c r="K1483" s="305" t="s">
        <v>2004</v>
      </c>
    </row>
    <row r="1484" spans="1:11" x14ac:dyDescent="0.25">
      <c r="A1484" s="302" t="str">
        <f t="shared" si="35"/>
        <v>Programmable Thermostat_Furnace (DI)_MF_Incremental Cost</v>
      </c>
      <c r="B1484" s="303" t="s">
        <v>224</v>
      </c>
      <c r="C1484" s="303" t="s">
        <v>1038</v>
      </c>
      <c r="D1484" s="303" t="s">
        <v>553</v>
      </c>
      <c r="E1484" s="314" t="s">
        <v>260</v>
      </c>
      <c r="F1484" s="327"/>
      <c r="G1484" s="328">
        <v>30</v>
      </c>
      <c r="H1484" s="305" t="s">
        <v>1041</v>
      </c>
      <c r="I1484" s="305" t="s">
        <v>152</v>
      </c>
      <c r="J1484" s="305" t="s">
        <v>100</v>
      </c>
      <c r="K1484" s="305" t="s">
        <v>2004</v>
      </c>
    </row>
    <row r="1485" spans="1:11" s="324" customFormat="1" x14ac:dyDescent="0.25">
      <c r="A1485" s="317" t="str">
        <f t="shared" si="35"/>
        <v>Programmable Thermostat_Furnace (DI)_MF_</v>
      </c>
      <c r="B1485" s="317" t="str">
        <f>B1484</f>
        <v>Programmable Thermostat</v>
      </c>
      <c r="C1485" s="317" t="str">
        <f>C1484</f>
        <v>Furnace (DI)</v>
      </c>
      <c r="D1485" s="317" t="str">
        <f>D1484</f>
        <v>MF</v>
      </c>
      <c r="E1485" s="317"/>
      <c r="F1485" s="317"/>
      <c r="G1485" s="323"/>
      <c r="H1485" s="320"/>
      <c r="I1485" s="320"/>
      <c r="J1485" s="317"/>
      <c r="K1485" s="317"/>
    </row>
    <row r="1486" spans="1:11" x14ac:dyDescent="0.25">
      <c r="A1486" s="302" t="str">
        <f t="shared" si="35"/>
        <v>Programmable Thermostat_Furnace (P)_MF_CF</v>
      </c>
      <c r="B1486" s="303" t="s">
        <v>224</v>
      </c>
      <c r="C1486" s="303" t="s">
        <v>1042</v>
      </c>
      <c r="D1486" s="303" t="s">
        <v>553</v>
      </c>
      <c r="E1486" s="305" t="s">
        <v>253</v>
      </c>
      <c r="F1486" s="309"/>
      <c r="G1486" s="306">
        <v>0.68</v>
      </c>
      <c r="H1486" s="305" t="s">
        <v>323</v>
      </c>
      <c r="I1486" s="305" t="s">
        <v>152</v>
      </c>
      <c r="J1486" s="305" t="s">
        <v>100</v>
      </c>
      <c r="K1486" s="305" t="s">
        <v>2004</v>
      </c>
    </row>
    <row r="1487" spans="1:11" x14ac:dyDescent="0.25">
      <c r="A1487" s="302" t="str">
        <f t="shared" si="35"/>
        <v>Programmable Thermostat_Furnace (P)_MF_% Electric Heating</v>
      </c>
      <c r="B1487" s="303" t="s">
        <v>224</v>
      </c>
      <c r="C1487" s="303" t="s">
        <v>1042</v>
      </c>
      <c r="D1487" s="303" t="s">
        <v>553</v>
      </c>
      <c r="E1487" s="305" t="s">
        <v>268</v>
      </c>
      <c r="F1487" s="309"/>
      <c r="G1487" s="306">
        <v>0</v>
      </c>
      <c r="H1487" s="305" t="s">
        <v>1039</v>
      </c>
      <c r="I1487" s="305" t="s">
        <v>152</v>
      </c>
      <c r="J1487" s="305" t="s">
        <v>100</v>
      </c>
      <c r="K1487" s="305" t="s">
        <v>2004</v>
      </c>
    </row>
    <row r="1488" spans="1:11" x14ac:dyDescent="0.25">
      <c r="A1488" s="302" t="str">
        <f t="shared" si="35"/>
        <v>Programmable Thermostat_Furnace (P)_MF_% Gas Heating</v>
      </c>
      <c r="B1488" s="303" t="s">
        <v>224</v>
      </c>
      <c r="C1488" s="303" t="s">
        <v>1042</v>
      </c>
      <c r="D1488" s="303" t="s">
        <v>553</v>
      </c>
      <c r="E1488" s="305" t="s">
        <v>269</v>
      </c>
      <c r="F1488" s="309"/>
      <c r="G1488" s="306">
        <v>1</v>
      </c>
      <c r="H1488" s="305" t="s">
        <v>1039</v>
      </c>
      <c r="I1488" s="305" t="s">
        <v>152</v>
      </c>
      <c r="J1488" s="305" t="s">
        <v>100</v>
      </c>
      <c r="K1488" s="305" t="s">
        <v>2004</v>
      </c>
    </row>
    <row r="1489" spans="1:11" x14ac:dyDescent="0.25">
      <c r="A1489" s="302" t="str">
        <f t="shared" si="35"/>
        <v>Programmable Thermostat_Furnace (P)_MF_Electric Heating Consumption</v>
      </c>
      <c r="B1489" s="303" t="s">
        <v>224</v>
      </c>
      <c r="C1489" s="303" t="s">
        <v>1042</v>
      </c>
      <c r="D1489" s="303" t="s">
        <v>553</v>
      </c>
      <c r="E1489" s="305" t="s">
        <v>273</v>
      </c>
      <c r="F1489" s="309"/>
      <c r="G1489" s="306">
        <v>12222</v>
      </c>
      <c r="H1489" s="305" t="s">
        <v>1040</v>
      </c>
      <c r="I1489" s="305" t="s">
        <v>152</v>
      </c>
      <c r="J1489" s="305" t="s">
        <v>100</v>
      </c>
      <c r="K1489" s="305" t="s">
        <v>2004</v>
      </c>
    </row>
    <row r="1490" spans="1:11" x14ac:dyDescent="0.25">
      <c r="A1490" s="302" t="str">
        <f t="shared" si="35"/>
        <v>Programmable Thermostat_Furnace (P)_MF_Gas Heating Consumption</v>
      </c>
      <c r="B1490" s="303" t="s">
        <v>224</v>
      </c>
      <c r="C1490" s="303" t="s">
        <v>1042</v>
      </c>
      <c r="D1490" s="303" t="s">
        <v>553</v>
      </c>
      <c r="E1490" s="305" t="s">
        <v>275</v>
      </c>
      <c r="F1490" s="309"/>
      <c r="G1490" s="306">
        <v>1005</v>
      </c>
      <c r="H1490" s="305" t="s">
        <v>636</v>
      </c>
      <c r="I1490" s="305" t="s">
        <v>152</v>
      </c>
      <c r="J1490" s="305" t="s">
        <v>100</v>
      </c>
      <c r="K1490" s="305" t="s">
        <v>2004</v>
      </c>
    </row>
    <row r="1491" spans="1:11" x14ac:dyDescent="0.25">
      <c r="A1491" s="302" t="str">
        <f t="shared" si="35"/>
        <v>Programmable Thermostat_Furnace (P)_MF_Household Factor</v>
      </c>
      <c r="B1491" s="303" t="s">
        <v>224</v>
      </c>
      <c r="C1491" s="303" t="s">
        <v>1042</v>
      </c>
      <c r="D1491" s="303" t="s">
        <v>553</v>
      </c>
      <c r="E1491" s="305" t="s">
        <v>276</v>
      </c>
      <c r="F1491" s="309"/>
      <c r="G1491" s="306">
        <v>0.65</v>
      </c>
      <c r="H1491" s="305" t="s">
        <v>1044</v>
      </c>
      <c r="I1491" s="305" t="s">
        <v>152</v>
      </c>
      <c r="J1491" s="305" t="s">
        <v>100</v>
      </c>
      <c r="K1491" s="305" t="s">
        <v>2004</v>
      </c>
    </row>
    <row r="1492" spans="1:11" x14ac:dyDescent="0.25">
      <c r="A1492" s="302" t="str">
        <f t="shared" si="35"/>
        <v>Programmable Thermostat_Furnace (P)_MF_ISR</v>
      </c>
      <c r="B1492" s="303" t="s">
        <v>224</v>
      </c>
      <c r="C1492" s="303" t="s">
        <v>1042</v>
      </c>
      <c r="D1492" s="303" t="s">
        <v>553</v>
      </c>
      <c r="E1492" s="305" t="s">
        <v>267</v>
      </c>
      <c r="F1492" s="309"/>
      <c r="G1492" s="306">
        <v>0.56000000000000005</v>
      </c>
      <c r="H1492" s="305" t="s">
        <v>1043</v>
      </c>
      <c r="I1492" s="305" t="s">
        <v>152</v>
      </c>
      <c r="J1492" s="305" t="s">
        <v>100</v>
      </c>
      <c r="K1492" s="305" t="s">
        <v>2004</v>
      </c>
    </row>
    <row r="1493" spans="1:11" x14ac:dyDescent="0.25">
      <c r="A1493" s="302" t="str">
        <f t="shared" si="35"/>
        <v>Programmable Thermostat_Furnace (P)_MF_Furnace Fan Energy Consumption %</v>
      </c>
      <c r="B1493" s="303" t="s">
        <v>224</v>
      </c>
      <c r="C1493" s="303" t="s">
        <v>1042</v>
      </c>
      <c r="D1493" s="303" t="s">
        <v>553</v>
      </c>
      <c r="E1493" s="305" t="s">
        <v>277</v>
      </c>
      <c r="F1493" s="309"/>
      <c r="G1493" s="306">
        <v>3.1399999999999997E-2</v>
      </c>
      <c r="H1493" s="305" t="s">
        <v>278</v>
      </c>
      <c r="I1493" s="305" t="s">
        <v>152</v>
      </c>
      <c r="J1493" s="305" t="s">
        <v>100</v>
      </c>
      <c r="K1493" s="305" t="s">
        <v>2004</v>
      </c>
    </row>
    <row r="1494" spans="1:11" x14ac:dyDescent="0.25">
      <c r="A1494" s="302" t="str">
        <f t="shared" si="35"/>
        <v>Programmable Thermostat_Furnace (P)_MF_Heating Energy Reduction</v>
      </c>
      <c r="B1494" s="303" t="s">
        <v>224</v>
      </c>
      <c r="C1494" s="303" t="s">
        <v>1042</v>
      </c>
      <c r="D1494" s="303" t="s">
        <v>553</v>
      </c>
      <c r="E1494" s="305" t="s">
        <v>279</v>
      </c>
      <c r="F1494" s="309"/>
      <c r="G1494" s="306">
        <v>6.2E-2</v>
      </c>
      <c r="H1494" s="305"/>
      <c r="I1494" s="305" t="s">
        <v>152</v>
      </c>
      <c r="J1494" s="305" t="s">
        <v>100</v>
      </c>
      <c r="K1494" s="305" t="s">
        <v>2004</v>
      </c>
    </row>
    <row r="1495" spans="1:11" x14ac:dyDescent="0.25">
      <c r="A1495" s="302" t="str">
        <f t="shared" si="35"/>
        <v>Programmable Thermostat_Furnace (P)_MF_%FossilHeat</v>
      </c>
      <c r="B1495" s="303" t="s">
        <v>224</v>
      </c>
      <c r="C1495" s="303" t="s">
        <v>1042</v>
      </c>
      <c r="D1495" s="303" t="s">
        <v>553</v>
      </c>
      <c r="E1495" s="311" t="s">
        <v>1938</v>
      </c>
      <c r="F1495" s="334" t="s">
        <v>539</v>
      </c>
      <c r="G1495" s="322">
        <v>1</v>
      </c>
      <c r="H1495" s="311" t="s">
        <v>1940</v>
      </c>
      <c r="I1495" s="305" t="s">
        <v>152</v>
      </c>
      <c r="J1495" s="305" t="s">
        <v>100</v>
      </c>
      <c r="K1495" s="305" t="s">
        <v>2004</v>
      </c>
    </row>
    <row r="1496" spans="1:11" x14ac:dyDescent="0.25">
      <c r="A1496" s="302" t="str">
        <f t="shared" si="35"/>
        <v>Programmable Thermostat_Furnace (P)_MF_Electric Fan Savings</v>
      </c>
      <c r="B1496" s="303" t="s">
        <v>224</v>
      </c>
      <c r="C1496" s="303" t="s">
        <v>1042</v>
      </c>
      <c r="D1496" s="303" t="s">
        <v>553</v>
      </c>
      <c r="E1496" s="305" t="s">
        <v>280</v>
      </c>
      <c r="F1496" s="309"/>
      <c r="G1496" s="306">
        <f>G1498*G1493*29.3</f>
        <v>20.866826416800002</v>
      </c>
      <c r="H1496" s="305"/>
      <c r="I1496" s="305" t="s">
        <v>152</v>
      </c>
      <c r="J1496" s="305" t="s">
        <v>100</v>
      </c>
      <c r="K1496" s="305" t="s">
        <v>2004</v>
      </c>
    </row>
    <row r="1497" spans="1:11" x14ac:dyDescent="0.25">
      <c r="A1497" s="302" t="str">
        <f t="shared" si="35"/>
        <v>Programmable Thermostat_Furnace (P)_MF_Electric Heating Savings</v>
      </c>
      <c r="B1497" s="303" t="s">
        <v>224</v>
      </c>
      <c r="C1497" s="303" t="s">
        <v>1042</v>
      </c>
      <c r="D1497" s="303" t="s">
        <v>553</v>
      </c>
      <c r="E1497" s="305" t="s">
        <v>281</v>
      </c>
      <c r="F1497" s="309"/>
      <c r="G1497" s="306">
        <f>G1487*G1489*G1494*G1491*G1492</f>
        <v>0</v>
      </c>
      <c r="H1497" s="305"/>
      <c r="I1497" s="305" t="s">
        <v>152</v>
      </c>
      <c r="J1497" s="305" t="s">
        <v>100</v>
      </c>
      <c r="K1497" s="305" t="s">
        <v>2004</v>
      </c>
    </row>
    <row r="1498" spans="1:11" x14ac:dyDescent="0.25">
      <c r="A1498" s="302" t="str">
        <f t="shared" si="35"/>
        <v>Programmable Thermostat_Furnace (P)_MF_Gas Heating Savings</v>
      </c>
      <c r="B1498" s="303" t="s">
        <v>224</v>
      </c>
      <c r="C1498" s="303" t="s">
        <v>1042</v>
      </c>
      <c r="D1498" s="303" t="s">
        <v>553</v>
      </c>
      <c r="E1498" s="305" t="s">
        <v>324</v>
      </c>
      <c r="F1498" s="309"/>
      <c r="G1498" s="306">
        <f>G1500</f>
        <v>22.680840000000003</v>
      </c>
      <c r="H1498" s="305"/>
      <c r="I1498" s="305" t="s">
        <v>152</v>
      </c>
      <c r="J1498" s="305" t="s">
        <v>100</v>
      </c>
      <c r="K1498" s="305" t="s">
        <v>2004</v>
      </c>
    </row>
    <row r="1499" spans="1:11" x14ac:dyDescent="0.25">
      <c r="A1499" s="302" t="str">
        <f t="shared" si="35"/>
        <v>Programmable Thermostat_Furnace (P)_MF_kWh Saved per Unit</v>
      </c>
      <c r="B1499" s="303" t="s">
        <v>224</v>
      </c>
      <c r="C1499" s="303" t="s">
        <v>1042</v>
      </c>
      <c r="D1499" s="303" t="s">
        <v>553</v>
      </c>
      <c r="E1499" s="314" t="s">
        <v>255</v>
      </c>
      <c r="F1499" s="326"/>
      <c r="G1499" s="315">
        <f>G1496+G1497</f>
        <v>20.866826416800002</v>
      </c>
      <c r="H1499" s="305"/>
      <c r="I1499" s="305" t="s">
        <v>152</v>
      </c>
      <c r="J1499" s="305" t="s">
        <v>100</v>
      </c>
      <c r="K1499" s="305" t="s">
        <v>2004</v>
      </c>
    </row>
    <row r="1500" spans="1:11" x14ac:dyDescent="0.25">
      <c r="A1500" s="302" t="str">
        <f t="shared" si="35"/>
        <v>Programmable Thermostat_Furnace (P)_MF_Therm Saved per Unit</v>
      </c>
      <c r="B1500" s="303" t="s">
        <v>224</v>
      </c>
      <c r="C1500" s="303" t="s">
        <v>1042</v>
      </c>
      <c r="D1500" s="303" t="s">
        <v>553</v>
      </c>
      <c r="E1500" s="314" t="s">
        <v>326</v>
      </c>
      <c r="F1500" s="326"/>
      <c r="G1500" s="315">
        <f>G1488*G1490*G1494*G1491*G1492*G1495</f>
        <v>22.680840000000003</v>
      </c>
      <c r="H1500" s="305"/>
      <c r="I1500" s="305" t="s">
        <v>152</v>
      </c>
      <c r="J1500" s="305" t="s">
        <v>100</v>
      </c>
      <c r="K1500" s="305" t="s">
        <v>2004</v>
      </c>
    </row>
    <row r="1501" spans="1:11" x14ac:dyDescent="0.25">
      <c r="A1501" s="302" t="str">
        <f t="shared" si="35"/>
        <v>Programmable Thermostat_Furnace (P)_MF_Therm Saved per Unit- MLA</v>
      </c>
      <c r="B1501" s="303" t="s">
        <v>224</v>
      </c>
      <c r="C1501" s="303" t="s">
        <v>1042</v>
      </c>
      <c r="D1501" s="303" t="s">
        <v>553</v>
      </c>
      <c r="E1501" s="314" t="s">
        <v>626</v>
      </c>
      <c r="F1501" s="326"/>
      <c r="G1501" s="315">
        <f>G1500*28%</f>
        <v>6.3506352000000019</v>
      </c>
      <c r="H1501" s="305"/>
      <c r="I1501" s="305" t="s">
        <v>152</v>
      </c>
      <c r="J1501" s="305" t="s">
        <v>100</v>
      </c>
      <c r="K1501" s="305" t="s">
        <v>2004</v>
      </c>
    </row>
    <row r="1502" spans="1:11" x14ac:dyDescent="0.25">
      <c r="A1502" s="302" t="str">
        <f t="shared" si="35"/>
        <v>Programmable Thermostat_Furnace (P)_MF_Lifetime (years)</v>
      </c>
      <c r="B1502" s="303" t="s">
        <v>224</v>
      </c>
      <c r="C1502" s="303" t="s">
        <v>1042</v>
      </c>
      <c r="D1502" s="303" t="s">
        <v>553</v>
      </c>
      <c r="E1502" s="314" t="s">
        <v>259</v>
      </c>
      <c r="F1502" s="326"/>
      <c r="G1502" s="315">
        <v>16</v>
      </c>
      <c r="H1502" s="305"/>
      <c r="I1502" s="305" t="s">
        <v>152</v>
      </c>
      <c r="J1502" s="305" t="s">
        <v>100</v>
      </c>
      <c r="K1502" s="305" t="s">
        <v>2004</v>
      </c>
    </row>
    <row r="1503" spans="1:11" x14ac:dyDescent="0.25">
      <c r="A1503" s="302" t="str">
        <f t="shared" si="35"/>
        <v>Programmable Thermostat_Furnace (P)_MF_Lifetime (years) - Remaining Years</v>
      </c>
      <c r="B1503" s="303" t="s">
        <v>224</v>
      </c>
      <c r="C1503" s="303" t="s">
        <v>1042</v>
      </c>
      <c r="D1503" s="303" t="s">
        <v>553</v>
      </c>
      <c r="E1503" s="314" t="s">
        <v>628</v>
      </c>
      <c r="F1503" s="314" t="s">
        <v>548</v>
      </c>
      <c r="G1503" s="315">
        <v>5</v>
      </c>
      <c r="H1503" s="305"/>
      <c r="I1503" s="305" t="s">
        <v>152</v>
      </c>
      <c r="J1503" s="305" t="s">
        <v>100</v>
      </c>
      <c r="K1503" s="305" t="s">
        <v>2004</v>
      </c>
    </row>
    <row r="1504" spans="1:11" x14ac:dyDescent="0.25">
      <c r="A1504" s="302" t="str">
        <f t="shared" si="35"/>
        <v>Programmable Thermostat_Furnace (P)_MF_Incremental Cost</v>
      </c>
      <c r="B1504" s="303" t="s">
        <v>224</v>
      </c>
      <c r="C1504" s="303" t="s">
        <v>1042</v>
      </c>
      <c r="D1504" s="303" t="s">
        <v>553</v>
      </c>
      <c r="E1504" s="314" t="s">
        <v>260</v>
      </c>
      <c r="F1504" s="327"/>
      <c r="G1504" s="328">
        <v>30</v>
      </c>
      <c r="H1504" s="305" t="s">
        <v>1041</v>
      </c>
      <c r="I1504" s="305" t="s">
        <v>152</v>
      </c>
      <c r="J1504" s="305" t="s">
        <v>100</v>
      </c>
      <c r="K1504" s="305" t="s">
        <v>2004</v>
      </c>
    </row>
    <row r="1505" spans="1:11" s="324" customFormat="1" x14ac:dyDescent="0.25">
      <c r="A1505" s="317" t="str">
        <f t="shared" si="35"/>
        <v>Programmable Thermostat_Furnace (P)_MF_</v>
      </c>
      <c r="B1505" s="317" t="str">
        <f>B1504</f>
        <v>Programmable Thermostat</v>
      </c>
      <c r="C1505" s="317" t="str">
        <f>C1504</f>
        <v>Furnace (P)</v>
      </c>
      <c r="D1505" s="317" t="str">
        <f>D1504</f>
        <v>MF</v>
      </c>
      <c r="E1505" s="317"/>
      <c r="F1505" s="317"/>
      <c r="G1505" s="323"/>
      <c r="H1505" s="320"/>
      <c r="I1505" s="320"/>
      <c r="J1505" s="317"/>
      <c r="K1505" s="317"/>
    </row>
    <row r="1506" spans="1:11" x14ac:dyDescent="0.25">
      <c r="A1506" s="302" t="str">
        <f t="shared" si="35"/>
        <v>Programmable Thermostat_Boiler (DI)_SF_CF</v>
      </c>
      <c r="B1506" s="303" t="s">
        <v>224</v>
      </c>
      <c r="C1506" s="303" t="s">
        <v>1045</v>
      </c>
      <c r="D1506" s="303" t="s">
        <v>409</v>
      </c>
      <c r="E1506" s="305" t="s">
        <v>253</v>
      </c>
      <c r="F1506" s="309"/>
      <c r="G1506" s="306">
        <v>0.68</v>
      </c>
      <c r="H1506" s="305" t="s">
        <v>323</v>
      </c>
      <c r="I1506" s="305" t="s">
        <v>152</v>
      </c>
      <c r="J1506" s="305" t="s">
        <v>100</v>
      </c>
      <c r="K1506" s="305" t="s">
        <v>2004</v>
      </c>
    </row>
    <row r="1507" spans="1:11" x14ac:dyDescent="0.25">
      <c r="A1507" s="302" t="str">
        <f t="shared" si="35"/>
        <v>Programmable Thermostat_Boiler (DI)_SF_% Electric Heating</v>
      </c>
      <c r="B1507" s="303" t="s">
        <v>224</v>
      </c>
      <c r="C1507" s="303" t="s">
        <v>1045</v>
      </c>
      <c r="D1507" s="303" t="s">
        <v>409</v>
      </c>
      <c r="E1507" s="305" t="s">
        <v>268</v>
      </c>
      <c r="F1507" s="309"/>
      <c r="G1507" s="306">
        <v>0</v>
      </c>
      <c r="H1507" s="305" t="s">
        <v>1039</v>
      </c>
      <c r="I1507" s="305" t="s">
        <v>152</v>
      </c>
      <c r="J1507" s="305" t="s">
        <v>100</v>
      </c>
      <c r="K1507" s="305" t="s">
        <v>2004</v>
      </c>
    </row>
    <row r="1508" spans="1:11" x14ac:dyDescent="0.25">
      <c r="A1508" s="302" t="str">
        <f t="shared" si="35"/>
        <v>Programmable Thermostat_Boiler (DI)_SF_% Gas Heating</v>
      </c>
      <c r="B1508" s="303" t="s">
        <v>224</v>
      </c>
      <c r="C1508" s="303" t="s">
        <v>1045</v>
      </c>
      <c r="D1508" s="303" t="s">
        <v>409</v>
      </c>
      <c r="E1508" s="305" t="s">
        <v>269</v>
      </c>
      <c r="F1508" s="309"/>
      <c r="G1508" s="306">
        <v>1</v>
      </c>
      <c r="H1508" s="305" t="s">
        <v>1039</v>
      </c>
      <c r="I1508" s="305" t="s">
        <v>152</v>
      </c>
      <c r="J1508" s="305" t="s">
        <v>100</v>
      </c>
      <c r="K1508" s="305" t="s">
        <v>2004</v>
      </c>
    </row>
    <row r="1509" spans="1:11" x14ac:dyDescent="0.25">
      <c r="A1509" s="302" t="str">
        <f t="shared" si="35"/>
        <v>Programmable Thermostat_Boiler (DI)_SF_Electric Heating Consumption</v>
      </c>
      <c r="B1509" s="303" t="s">
        <v>224</v>
      </c>
      <c r="C1509" s="303" t="s">
        <v>1045</v>
      </c>
      <c r="D1509" s="303" t="s">
        <v>409</v>
      </c>
      <c r="E1509" s="305" t="s">
        <v>273</v>
      </c>
      <c r="F1509" s="309"/>
      <c r="G1509" s="306">
        <v>0</v>
      </c>
      <c r="H1509" s="305" t="s">
        <v>633</v>
      </c>
      <c r="I1509" s="305" t="s">
        <v>152</v>
      </c>
      <c r="J1509" s="305" t="s">
        <v>100</v>
      </c>
      <c r="K1509" s="305" t="s">
        <v>2004</v>
      </c>
    </row>
    <row r="1510" spans="1:11" x14ac:dyDescent="0.25">
      <c r="A1510" s="302" t="str">
        <f t="shared" si="35"/>
        <v>Programmable Thermostat_Boiler (DI)_SF_Gas Heating Consumption</v>
      </c>
      <c r="B1510" s="303" t="s">
        <v>224</v>
      </c>
      <c r="C1510" s="303" t="s">
        <v>1045</v>
      </c>
      <c r="D1510" s="303" t="s">
        <v>409</v>
      </c>
      <c r="E1510" s="305" t="s">
        <v>275</v>
      </c>
      <c r="F1510" s="309"/>
      <c r="G1510" s="306">
        <v>1487</v>
      </c>
      <c r="H1510" s="305" t="s">
        <v>633</v>
      </c>
      <c r="I1510" s="305" t="s">
        <v>614</v>
      </c>
      <c r="J1510" s="305"/>
      <c r="K1510" s="305"/>
    </row>
    <row r="1511" spans="1:11" x14ac:dyDescent="0.25">
      <c r="A1511" s="302" t="str">
        <f t="shared" si="35"/>
        <v>Programmable Thermostat_Boiler (DI)_SF_Household Factor</v>
      </c>
      <c r="B1511" s="303" t="s">
        <v>224</v>
      </c>
      <c r="C1511" s="303" t="s">
        <v>1045</v>
      </c>
      <c r="D1511" s="303" t="s">
        <v>409</v>
      </c>
      <c r="E1511" s="305" t="s">
        <v>276</v>
      </c>
      <c r="F1511" s="309"/>
      <c r="G1511" s="306">
        <v>1</v>
      </c>
      <c r="H1511" s="305" t="s">
        <v>870</v>
      </c>
      <c r="I1511" s="305" t="s">
        <v>152</v>
      </c>
      <c r="J1511" s="305" t="s">
        <v>100</v>
      </c>
      <c r="K1511" s="305" t="s">
        <v>2004</v>
      </c>
    </row>
    <row r="1512" spans="1:11" x14ac:dyDescent="0.25">
      <c r="A1512" s="302" t="str">
        <f t="shared" si="35"/>
        <v>Programmable Thermostat_Boiler (DI)_SF_ISR</v>
      </c>
      <c r="B1512" s="303" t="s">
        <v>224</v>
      </c>
      <c r="C1512" s="303" t="s">
        <v>1045</v>
      </c>
      <c r="D1512" s="303" t="s">
        <v>409</v>
      </c>
      <c r="E1512" s="305" t="s">
        <v>267</v>
      </c>
      <c r="F1512" s="309"/>
      <c r="G1512" s="306">
        <v>1</v>
      </c>
      <c r="H1512" s="305" t="s">
        <v>308</v>
      </c>
      <c r="I1512" s="305" t="s">
        <v>152</v>
      </c>
      <c r="J1512" s="305" t="s">
        <v>100</v>
      </c>
      <c r="K1512" s="305" t="s">
        <v>2004</v>
      </c>
    </row>
    <row r="1513" spans="1:11" x14ac:dyDescent="0.25">
      <c r="A1513" s="302" t="str">
        <f t="shared" si="35"/>
        <v>Programmable Thermostat_Boiler (DI)_SF_Furnace Fan Energy Consumption %</v>
      </c>
      <c r="B1513" s="303" t="s">
        <v>224</v>
      </c>
      <c r="C1513" s="303" t="s">
        <v>1045</v>
      </c>
      <c r="D1513" s="303" t="s">
        <v>409</v>
      </c>
      <c r="E1513" s="305" t="s">
        <v>277</v>
      </c>
      <c r="F1513" s="309"/>
      <c r="G1513" s="306">
        <v>3.1399999999999997E-2</v>
      </c>
      <c r="H1513" s="305" t="s">
        <v>278</v>
      </c>
      <c r="I1513" s="305" t="s">
        <v>152</v>
      </c>
      <c r="J1513" s="305" t="s">
        <v>100</v>
      </c>
      <c r="K1513" s="305" t="s">
        <v>2004</v>
      </c>
    </row>
    <row r="1514" spans="1:11" x14ac:dyDescent="0.25">
      <c r="A1514" s="302" t="str">
        <f t="shared" si="35"/>
        <v>Programmable Thermostat_Boiler (DI)_SF_Heating Energy Reduction</v>
      </c>
      <c r="B1514" s="303" t="s">
        <v>224</v>
      </c>
      <c r="C1514" s="303" t="s">
        <v>1045</v>
      </c>
      <c r="D1514" s="303" t="s">
        <v>409</v>
      </c>
      <c r="E1514" s="305" t="s">
        <v>279</v>
      </c>
      <c r="F1514" s="309"/>
      <c r="G1514" s="306">
        <v>6.2E-2</v>
      </c>
      <c r="H1514" s="305"/>
      <c r="I1514" s="305" t="s">
        <v>152</v>
      </c>
      <c r="J1514" s="305" t="s">
        <v>100</v>
      </c>
      <c r="K1514" s="305" t="s">
        <v>2004</v>
      </c>
    </row>
    <row r="1515" spans="1:11" x14ac:dyDescent="0.25">
      <c r="A1515" s="302" t="str">
        <f t="shared" ref="A1515" si="37">B1515&amp;"_"&amp;C1515&amp;"_"&amp;D1515&amp;"_"&amp;E1515</f>
        <v>Programmable Thermostat_Boiler (DI)_SF_%FossilHeat</v>
      </c>
      <c r="B1515" s="303" t="s">
        <v>224</v>
      </c>
      <c r="C1515" s="303" t="s">
        <v>1045</v>
      </c>
      <c r="D1515" s="303" t="s">
        <v>409</v>
      </c>
      <c r="E1515" s="311" t="s">
        <v>1938</v>
      </c>
      <c r="F1515" s="334" t="s">
        <v>539</v>
      </c>
      <c r="G1515" s="322">
        <v>1</v>
      </c>
      <c r="H1515" s="311" t="s">
        <v>1939</v>
      </c>
      <c r="I1515" s="305" t="s">
        <v>152</v>
      </c>
      <c r="J1515" s="305" t="s">
        <v>100</v>
      </c>
      <c r="K1515" s="305" t="s">
        <v>2004</v>
      </c>
    </row>
    <row r="1516" spans="1:11" x14ac:dyDescent="0.25">
      <c r="A1516" s="302" t="str">
        <f t="shared" si="35"/>
        <v>Programmable Thermostat_Boiler (DI)_SF_Electric Fan Savings</v>
      </c>
      <c r="B1516" s="303" t="s">
        <v>224</v>
      </c>
      <c r="C1516" s="303" t="s">
        <v>1045</v>
      </c>
      <c r="D1516" s="303" t="s">
        <v>409</v>
      </c>
      <c r="E1516" s="305" t="s">
        <v>280</v>
      </c>
      <c r="F1516" s="309"/>
      <c r="G1516" s="306">
        <f>G1518*G1513*29.3</f>
        <v>84.820323879999989</v>
      </c>
      <c r="H1516" s="305"/>
      <c r="I1516" s="305" t="s">
        <v>152</v>
      </c>
      <c r="J1516" s="305" t="s">
        <v>100</v>
      </c>
      <c r="K1516" s="305" t="s">
        <v>2004</v>
      </c>
    </row>
    <row r="1517" spans="1:11" x14ac:dyDescent="0.25">
      <c r="A1517" s="302" t="str">
        <f t="shared" si="35"/>
        <v>Programmable Thermostat_Boiler (DI)_SF_Electric Heating Savings</v>
      </c>
      <c r="B1517" s="303" t="s">
        <v>224</v>
      </c>
      <c r="C1517" s="303" t="s">
        <v>1045</v>
      </c>
      <c r="D1517" s="303" t="s">
        <v>409</v>
      </c>
      <c r="E1517" s="305" t="s">
        <v>281</v>
      </c>
      <c r="F1517" s="309"/>
      <c r="G1517" s="306">
        <f>G1507*G1509*G1514*G1511*G1512</f>
        <v>0</v>
      </c>
      <c r="H1517" s="305"/>
      <c r="I1517" s="305" t="s">
        <v>152</v>
      </c>
      <c r="J1517" s="305" t="s">
        <v>100</v>
      </c>
      <c r="K1517" s="305" t="s">
        <v>2004</v>
      </c>
    </row>
    <row r="1518" spans="1:11" x14ac:dyDescent="0.25">
      <c r="A1518" s="302" t="str">
        <f t="shared" si="35"/>
        <v>Programmable Thermostat_Boiler (DI)_SF_Gas Heating Savings</v>
      </c>
      <c r="B1518" s="303" t="s">
        <v>224</v>
      </c>
      <c r="C1518" s="303" t="s">
        <v>1045</v>
      </c>
      <c r="D1518" s="303" t="s">
        <v>409</v>
      </c>
      <c r="E1518" s="305" t="s">
        <v>324</v>
      </c>
      <c r="F1518" s="309"/>
      <c r="G1518" s="306">
        <f>G1520</f>
        <v>92.194000000000003</v>
      </c>
      <c r="H1518" s="305"/>
      <c r="I1518" s="305" t="s">
        <v>152</v>
      </c>
      <c r="J1518" s="305" t="s">
        <v>100</v>
      </c>
      <c r="K1518" s="305" t="s">
        <v>2004</v>
      </c>
    </row>
    <row r="1519" spans="1:11" x14ac:dyDescent="0.25">
      <c r="A1519" s="302" t="str">
        <f t="shared" si="35"/>
        <v>Programmable Thermostat_Boiler (DI)_SF_kWh Saved per Unit</v>
      </c>
      <c r="B1519" s="303" t="s">
        <v>224</v>
      </c>
      <c r="C1519" s="303" t="s">
        <v>1045</v>
      </c>
      <c r="D1519" s="303" t="s">
        <v>409</v>
      </c>
      <c r="E1519" s="314" t="s">
        <v>255</v>
      </c>
      <c r="F1519" s="326"/>
      <c r="G1519" s="315">
        <f>G1517+G1516</f>
        <v>84.820323879999989</v>
      </c>
      <c r="H1519" s="305"/>
      <c r="I1519" s="305" t="s">
        <v>152</v>
      </c>
      <c r="J1519" s="305" t="s">
        <v>100</v>
      </c>
      <c r="K1519" s="305" t="s">
        <v>2004</v>
      </c>
    </row>
    <row r="1520" spans="1:11" x14ac:dyDescent="0.25">
      <c r="A1520" s="302" t="str">
        <f t="shared" ref="A1520:A1586" si="38">B1520&amp;"_"&amp;C1520&amp;"_"&amp;D1520&amp;"_"&amp;E1520</f>
        <v>Programmable Thermostat_Boiler (DI)_SF_Therm Saved per Unit</v>
      </c>
      <c r="B1520" s="303" t="s">
        <v>224</v>
      </c>
      <c r="C1520" s="303" t="s">
        <v>1045</v>
      </c>
      <c r="D1520" s="303" t="s">
        <v>409</v>
      </c>
      <c r="E1520" s="314" t="s">
        <v>326</v>
      </c>
      <c r="F1520" s="326"/>
      <c r="G1520" s="315">
        <f>G1508*G1510*G1514*G1511*G1512*G1515</f>
        <v>92.194000000000003</v>
      </c>
      <c r="H1520" s="305"/>
      <c r="I1520" s="305" t="s">
        <v>152</v>
      </c>
      <c r="J1520" s="305" t="s">
        <v>100</v>
      </c>
      <c r="K1520" s="305" t="s">
        <v>2004</v>
      </c>
    </row>
    <row r="1521" spans="1:11" x14ac:dyDescent="0.25">
      <c r="A1521" s="302" t="str">
        <f t="shared" si="38"/>
        <v>Programmable Thermostat_Boiler (DI)_SF_Therm Saved per Unit- MLA</v>
      </c>
      <c r="B1521" s="303" t="s">
        <v>224</v>
      </c>
      <c r="C1521" s="303" t="s">
        <v>1045</v>
      </c>
      <c r="D1521" s="303" t="s">
        <v>409</v>
      </c>
      <c r="E1521" s="314" t="s">
        <v>626</v>
      </c>
      <c r="F1521" s="326"/>
      <c r="G1521" s="315">
        <f>G1520*28%</f>
        <v>25.814320000000002</v>
      </c>
      <c r="H1521" s="305"/>
      <c r="I1521" s="305" t="s">
        <v>152</v>
      </c>
      <c r="J1521" s="305" t="s">
        <v>100</v>
      </c>
      <c r="K1521" s="305" t="s">
        <v>2004</v>
      </c>
    </row>
    <row r="1522" spans="1:11" x14ac:dyDescent="0.25">
      <c r="A1522" s="302" t="str">
        <f t="shared" si="38"/>
        <v>Programmable Thermostat_Boiler (DI)_SF_Lifetime (years)</v>
      </c>
      <c r="B1522" s="303" t="s">
        <v>224</v>
      </c>
      <c r="C1522" s="303" t="s">
        <v>1045</v>
      </c>
      <c r="D1522" s="303" t="s">
        <v>409</v>
      </c>
      <c r="E1522" s="314" t="s">
        <v>259</v>
      </c>
      <c r="F1522" s="326"/>
      <c r="G1522" s="315">
        <v>16</v>
      </c>
      <c r="H1522" s="305"/>
      <c r="I1522" s="305" t="s">
        <v>152</v>
      </c>
      <c r="J1522" s="305" t="s">
        <v>100</v>
      </c>
      <c r="K1522" s="305" t="s">
        <v>2004</v>
      </c>
    </row>
    <row r="1523" spans="1:11" x14ac:dyDescent="0.25">
      <c r="A1523" s="302" t="str">
        <f t="shared" si="38"/>
        <v>Programmable Thermostat_Boiler (DI)_SF_Lifetime (years) - Remaining Years</v>
      </c>
      <c r="B1523" s="303" t="s">
        <v>224</v>
      </c>
      <c r="C1523" s="303" t="s">
        <v>1045</v>
      </c>
      <c r="D1523" s="303" t="s">
        <v>409</v>
      </c>
      <c r="E1523" s="314" t="s">
        <v>628</v>
      </c>
      <c r="F1523" s="314" t="s">
        <v>548</v>
      </c>
      <c r="G1523" s="315">
        <v>5</v>
      </c>
      <c r="H1523" s="305"/>
      <c r="I1523" s="305" t="s">
        <v>152</v>
      </c>
      <c r="J1523" s="305" t="s">
        <v>100</v>
      </c>
      <c r="K1523" s="305" t="s">
        <v>2004</v>
      </c>
    </row>
    <row r="1524" spans="1:11" x14ac:dyDescent="0.25">
      <c r="A1524" s="302" t="str">
        <f t="shared" si="38"/>
        <v>Programmable Thermostat_Boiler (DI)_SF_Incremental Cost</v>
      </c>
      <c r="B1524" s="303" t="s">
        <v>224</v>
      </c>
      <c r="C1524" s="303" t="s">
        <v>1045</v>
      </c>
      <c r="D1524" s="303" t="s">
        <v>409</v>
      </c>
      <c r="E1524" s="314" t="s">
        <v>260</v>
      </c>
      <c r="F1524" s="327"/>
      <c r="G1524" s="328">
        <v>30</v>
      </c>
      <c r="H1524" s="305" t="s">
        <v>1041</v>
      </c>
      <c r="I1524" s="305" t="s">
        <v>152</v>
      </c>
      <c r="J1524" s="305" t="s">
        <v>100</v>
      </c>
      <c r="K1524" s="305" t="s">
        <v>2004</v>
      </c>
    </row>
    <row r="1525" spans="1:11" s="324" customFormat="1" x14ac:dyDescent="0.25">
      <c r="A1525" s="317" t="str">
        <f t="shared" si="38"/>
        <v>Programmable Thermostat_Boiler (DI)_SF_</v>
      </c>
      <c r="B1525" s="317" t="str">
        <f>B1524</f>
        <v>Programmable Thermostat</v>
      </c>
      <c r="C1525" s="317" t="str">
        <f>C1524</f>
        <v>Boiler (DI)</v>
      </c>
      <c r="D1525" s="317" t="str">
        <f>D1524</f>
        <v>SF</v>
      </c>
      <c r="E1525" s="317"/>
      <c r="F1525" s="317"/>
      <c r="G1525" s="323"/>
      <c r="H1525" s="320"/>
      <c r="I1525" s="320"/>
      <c r="J1525" s="317"/>
      <c r="K1525" s="317"/>
    </row>
    <row r="1526" spans="1:11" x14ac:dyDescent="0.25">
      <c r="A1526" s="302" t="str">
        <f t="shared" si="38"/>
        <v>Programmable Thermostat_Boiler (P)_SF_CF</v>
      </c>
      <c r="B1526" s="303" t="s">
        <v>224</v>
      </c>
      <c r="C1526" s="303" t="s">
        <v>1046</v>
      </c>
      <c r="D1526" s="303" t="s">
        <v>409</v>
      </c>
      <c r="E1526" s="305" t="s">
        <v>253</v>
      </c>
      <c r="F1526" s="309"/>
      <c r="G1526" s="306">
        <v>0.68</v>
      </c>
      <c r="H1526" s="305" t="s">
        <v>323</v>
      </c>
      <c r="I1526" s="305" t="s">
        <v>152</v>
      </c>
      <c r="J1526" s="305" t="s">
        <v>100</v>
      </c>
      <c r="K1526" s="305" t="s">
        <v>2004</v>
      </c>
    </row>
    <row r="1527" spans="1:11" x14ac:dyDescent="0.25">
      <c r="A1527" s="302" t="str">
        <f t="shared" si="38"/>
        <v>Programmable Thermostat_Boiler (P)_SF_% Electric Heating</v>
      </c>
      <c r="B1527" s="303" t="s">
        <v>224</v>
      </c>
      <c r="C1527" s="303" t="s">
        <v>1046</v>
      </c>
      <c r="D1527" s="303" t="s">
        <v>409</v>
      </c>
      <c r="E1527" s="305" t="s">
        <v>268</v>
      </c>
      <c r="F1527" s="309"/>
      <c r="G1527" s="306">
        <v>0</v>
      </c>
      <c r="H1527" s="305" t="s">
        <v>1039</v>
      </c>
      <c r="I1527" s="305" t="s">
        <v>152</v>
      </c>
      <c r="J1527" s="305" t="s">
        <v>100</v>
      </c>
      <c r="K1527" s="305" t="s">
        <v>2004</v>
      </c>
    </row>
    <row r="1528" spans="1:11" x14ac:dyDescent="0.25">
      <c r="A1528" s="302" t="str">
        <f t="shared" si="38"/>
        <v>Programmable Thermostat_Boiler (P)_SF_% Gas Heating</v>
      </c>
      <c r="B1528" s="303" t="s">
        <v>224</v>
      </c>
      <c r="C1528" s="303" t="s">
        <v>1046</v>
      </c>
      <c r="D1528" s="303" t="s">
        <v>409</v>
      </c>
      <c r="E1528" s="305" t="s">
        <v>269</v>
      </c>
      <c r="F1528" s="309"/>
      <c r="G1528" s="306">
        <v>1</v>
      </c>
      <c r="H1528" s="305" t="s">
        <v>1039</v>
      </c>
      <c r="I1528" s="305" t="s">
        <v>152</v>
      </c>
      <c r="J1528" s="305" t="s">
        <v>100</v>
      </c>
      <c r="K1528" s="305" t="s">
        <v>2004</v>
      </c>
    </row>
    <row r="1529" spans="1:11" x14ac:dyDescent="0.25">
      <c r="A1529" s="302" t="str">
        <f t="shared" si="38"/>
        <v>Programmable Thermostat_Boiler (P)_SF_Electric Heating Consumption</v>
      </c>
      <c r="B1529" s="303" t="s">
        <v>224</v>
      </c>
      <c r="C1529" s="303" t="s">
        <v>1046</v>
      </c>
      <c r="D1529" s="303" t="s">
        <v>409</v>
      </c>
      <c r="E1529" s="305" t="s">
        <v>273</v>
      </c>
      <c r="F1529" s="309"/>
      <c r="G1529" s="306">
        <v>0</v>
      </c>
      <c r="H1529" s="305" t="s">
        <v>633</v>
      </c>
      <c r="I1529" s="305" t="s">
        <v>152</v>
      </c>
      <c r="J1529" s="305" t="s">
        <v>100</v>
      </c>
      <c r="K1529" s="305" t="s">
        <v>2004</v>
      </c>
    </row>
    <row r="1530" spans="1:11" x14ac:dyDescent="0.25">
      <c r="A1530" s="302" t="str">
        <f t="shared" si="38"/>
        <v>Programmable Thermostat_Boiler (P)_SF_Gas Heating Consumption</v>
      </c>
      <c r="B1530" s="303" t="s">
        <v>224</v>
      </c>
      <c r="C1530" s="303" t="s">
        <v>1046</v>
      </c>
      <c r="D1530" s="303" t="s">
        <v>409</v>
      </c>
      <c r="E1530" s="305" t="s">
        <v>275</v>
      </c>
      <c r="F1530" s="309"/>
      <c r="G1530" s="306">
        <v>1487</v>
      </c>
      <c r="H1530" s="305" t="s">
        <v>633</v>
      </c>
      <c r="I1530" s="305" t="s">
        <v>614</v>
      </c>
      <c r="J1530" s="305"/>
      <c r="K1530" s="305"/>
    </row>
    <row r="1531" spans="1:11" x14ac:dyDescent="0.25">
      <c r="A1531" s="302" t="str">
        <f t="shared" si="38"/>
        <v>Programmable Thermostat_Boiler (P)_SF_Household Factor</v>
      </c>
      <c r="B1531" s="303" t="s">
        <v>224</v>
      </c>
      <c r="C1531" s="303" t="s">
        <v>1046</v>
      </c>
      <c r="D1531" s="303" t="s">
        <v>409</v>
      </c>
      <c r="E1531" s="305" t="s">
        <v>276</v>
      </c>
      <c r="F1531" s="309"/>
      <c r="G1531" s="306">
        <v>1</v>
      </c>
      <c r="H1531" s="305" t="s">
        <v>870</v>
      </c>
      <c r="I1531" s="305" t="s">
        <v>152</v>
      </c>
      <c r="J1531" s="305" t="s">
        <v>100</v>
      </c>
      <c r="K1531" s="305" t="s">
        <v>2004</v>
      </c>
    </row>
    <row r="1532" spans="1:11" x14ac:dyDescent="0.25">
      <c r="A1532" s="302" t="str">
        <f t="shared" si="38"/>
        <v>Programmable Thermostat_Boiler (P)_SF_ISR</v>
      </c>
      <c r="B1532" s="303" t="s">
        <v>224</v>
      </c>
      <c r="C1532" s="303" t="s">
        <v>1046</v>
      </c>
      <c r="D1532" s="303" t="s">
        <v>409</v>
      </c>
      <c r="E1532" s="305" t="s">
        <v>267</v>
      </c>
      <c r="F1532" s="309"/>
      <c r="G1532" s="306">
        <v>0.56000000000000005</v>
      </c>
      <c r="H1532" s="305" t="s">
        <v>1043</v>
      </c>
      <c r="I1532" s="305" t="s">
        <v>152</v>
      </c>
      <c r="J1532" s="305" t="s">
        <v>100</v>
      </c>
      <c r="K1532" s="305" t="s">
        <v>2004</v>
      </c>
    </row>
    <row r="1533" spans="1:11" x14ac:dyDescent="0.25">
      <c r="A1533" s="302" t="str">
        <f t="shared" si="38"/>
        <v>Programmable Thermostat_Boiler (P)_SF_Furnace Fan Energy Consumption %</v>
      </c>
      <c r="B1533" s="303" t="s">
        <v>224</v>
      </c>
      <c r="C1533" s="303" t="s">
        <v>1046</v>
      </c>
      <c r="D1533" s="303" t="s">
        <v>409</v>
      </c>
      <c r="E1533" s="305" t="s">
        <v>277</v>
      </c>
      <c r="F1533" s="309"/>
      <c r="G1533" s="306">
        <v>3.1399999999999997E-2</v>
      </c>
      <c r="H1533" s="305" t="s">
        <v>278</v>
      </c>
      <c r="I1533" s="305" t="s">
        <v>152</v>
      </c>
      <c r="J1533" s="305" t="s">
        <v>100</v>
      </c>
      <c r="K1533" s="305" t="s">
        <v>2004</v>
      </c>
    </row>
    <row r="1534" spans="1:11" x14ac:dyDescent="0.25">
      <c r="A1534" s="302" t="str">
        <f t="shared" si="38"/>
        <v>Programmable Thermostat_Boiler (P)_SF_Heating Energy Reduction</v>
      </c>
      <c r="B1534" s="303" t="s">
        <v>224</v>
      </c>
      <c r="C1534" s="303" t="s">
        <v>1046</v>
      </c>
      <c r="D1534" s="303" t="s">
        <v>409</v>
      </c>
      <c r="E1534" s="305" t="s">
        <v>279</v>
      </c>
      <c r="F1534" s="309"/>
      <c r="G1534" s="306">
        <v>6.2E-2</v>
      </c>
      <c r="H1534" s="305"/>
      <c r="I1534" s="305" t="s">
        <v>152</v>
      </c>
      <c r="J1534" s="305" t="s">
        <v>100</v>
      </c>
      <c r="K1534" s="305" t="s">
        <v>2004</v>
      </c>
    </row>
    <row r="1535" spans="1:11" x14ac:dyDescent="0.25">
      <c r="A1535" s="302" t="str">
        <f t="shared" si="38"/>
        <v>Programmable Thermostat_Boiler (P)_SF_%FossilHeat</v>
      </c>
      <c r="B1535" s="303" t="s">
        <v>224</v>
      </c>
      <c r="C1535" s="303" t="s">
        <v>1046</v>
      </c>
      <c r="D1535" s="303" t="s">
        <v>409</v>
      </c>
      <c r="E1535" s="311" t="s">
        <v>1938</v>
      </c>
      <c r="F1535" s="334" t="s">
        <v>539</v>
      </c>
      <c r="G1535" s="322">
        <v>1</v>
      </c>
      <c r="H1535" s="311" t="s">
        <v>1940</v>
      </c>
      <c r="I1535" s="305" t="s">
        <v>152</v>
      </c>
      <c r="J1535" s="305" t="s">
        <v>100</v>
      </c>
      <c r="K1535" s="305" t="s">
        <v>2004</v>
      </c>
    </row>
    <row r="1536" spans="1:11" x14ac:dyDescent="0.25">
      <c r="A1536" s="302" t="str">
        <f t="shared" si="38"/>
        <v>Programmable Thermostat_Boiler (P)_SF_Electric Fan Savings</v>
      </c>
      <c r="B1536" s="303" t="s">
        <v>224</v>
      </c>
      <c r="C1536" s="303" t="s">
        <v>1046</v>
      </c>
      <c r="D1536" s="303" t="s">
        <v>409</v>
      </c>
      <c r="E1536" s="305" t="s">
        <v>280</v>
      </c>
      <c r="F1536" s="309"/>
      <c r="G1536" s="306">
        <f>G1538*G1533*29.3</f>
        <v>47.499381372800002</v>
      </c>
      <c r="H1536" s="305"/>
      <c r="I1536" s="305" t="s">
        <v>152</v>
      </c>
      <c r="J1536" s="305" t="s">
        <v>100</v>
      </c>
      <c r="K1536" s="305" t="s">
        <v>2004</v>
      </c>
    </row>
    <row r="1537" spans="1:11" x14ac:dyDescent="0.25">
      <c r="A1537" s="302" t="str">
        <f t="shared" si="38"/>
        <v>Programmable Thermostat_Boiler (P)_SF_Electric Heating Savings</v>
      </c>
      <c r="B1537" s="303" t="s">
        <v>224</v>
      </c>
      <c r="C1537" s="303" t="s">
        <v>1046</v>
      </c>
      <c r="D1537" s="303" t="s">
        <v>409</v>
      </c>
      <c r="E1537" s="305" t="s">
        <v>281</v>
      </c>
      <c r="F1537" s="309"/>
      <c r="G1537" s="306">
        <f>G1527*G1529*G1534*G1531*G1532</f>
        <v>0</v>
      </c>
      <c r="H1537" s="305"/>
      <c r="I1537" s="305" t="s">
        <v>152</v>
      </c>
      <c r="J1537" s="305" t="s">
        <v>100</v>
      </c>
      <c r="K1537" s="305" t="s">
        <v>2004</v>
      </c>
    </row>
    <row r="1538" spans="1:11" x14ac:dyDescent="0.25">
      <c r="A1538" s="302" t="str">
        <f t="shared" si="38"/>
        <v>Programmable Thermostat_Boiler (P)_SF_Gas Heating Savings</v>
      </c>
      <c r="B1538" s="303" t="s">
        <v>224</v>
      </c>
      <c r="C1538" s="303" t="s">
        <v>1046</v>
      </c>
      <c r="D1538" s="303" t="s">
        <v>409</v>
      </c>
      <c r="E1538" s="305" t="s">
        <v>324</v>
      </c>
      <c r="F1538" s="309"/>
      <c r="G1538" s="306">
        <f>G1540</f>
        <v>51.628640000000004</v>
      </c>
      <c r="H1538" s="305"/>
      <c r="I1538" s="305" t="s">
        <v>152</v>
      </c>
      <c r="J1538" s="305" t="s">
        <v>100</v>
      </c>
      <c r="K1538" s="305" t="s">
        <v>2004</v>
      </c>
    </row>
    <row r="1539" spans="1:11" x14ac:dyDescent="0.25">
      <c r="A1539" s="302" t="str">
        <f t="shared" si="38"/>
        <v>Programmable Thermostat_Boiler (P)_SF_kWh Saved per Unit</v>
      </c>
      <c r="B1539" s="303" t="s">
        <v>224</v>
      </c>
      <c r="C1539" s="303" t="s">
        <v>1046</v>
      </c>
      <c r="D1539" s="303" t="s">
        <v>409</v>
      </c>
      <c r="E1539" s="314" t="s">
        <v>255</v>
      </c>
      <c r="F1539" s="326"/>
      <c r="G1539" s="315">
        <f>G1537+G1536</f>
        <v>47.499381372800002</v>
      </c>
      <c r="H1539" s="305"/>
      <c r="I1539" s="305" t="s">
        <v>152</v>
      </c>
      <c r="J1539" s="305" t="s">
        <v>100</v>
      </c>
      <c r="K1539" s="305" t="s">
        <v>2004</v>
      </c>
    </row>
    <row r="1540" spans="1:11" x14ac:dyDescent="0.25">
      <c r="A1540" s="302" t="str">
        <f t="shared" si="38"/>
        <v>Programmable Thermostat_Boiler (P)_SF_Therm Saved per Unit</v>
      </c>
      <c r="B1540" s="303" t="s">
        <v>224</v>
      </c>
      <c r="C1540" s="303" t="s">
        <v>1046</v>
      </c>
      <c r="D1540" s="303" t="s">
        <v>409</v>
      </c>
      <c r="E1540" s="314" t="s">
        <v>326</v>
      </c>
      <c r="F1540" s="326"/>
      <c r="G1540" s="315">
        <f>G1528*G1530*G1534*G1531*G1532*G1535</f>
        <v>51.628640000000004</v>
      </c>
      <c r="H1540" s="305"/>
      <c r="I1540" s="305" t="s">
        <v>152</v>
      </c>
      <c r="J1540" s="305" t="s">
        <v>100</v>
      </c>
      <c r="K1540" s="305" t="s">
        <v>2004</v>
      </c>
    </row>
    <row r="1541" spans="1:11" x14ac:dyDescent="0.25">
      <c r="A1541" s="302" t="str">
        <f t="shared" si="38"/>
        <v>Programmable Thermostat_Boiler (P)_SF_Therm Saved per Unit- MLA</v>
      </c>
      <c r="B1541" s="303" t="s">
        <v>224</v>
      </c>
      <c r="C1541" s="303" t="s">
        <v>1046</v>
      </c>
      <c r="D1541" s="303" t="s">
        <v>409</v>
      </c>
      <c r="E1541" s="314" t="s">
        <v>626</v>
      </c>
      <c r="F1541" s="326"/>
      <c r="G1541" s="315">
        <f>G1540*28%</f>
        <v>14.456019200000002</v>
      </c>
      <c r="H1541" s="305"/>
      <c r="I1541" s="305" t="s">
        <v>152</v>
      </c>
      <c r="J1541" s="305" t="s">
        <v>100</v>
      </c>
      <c r="K1541" s="305" t="s">
        <v>2004</v>
      </c>
    </row>
    <row r="1542" spans="1:11" x14ac:dyDescent="0.25">
      <c r="A1542" s="302" t="str">
        <f t="shared" si="38"/>
        <v>Programmable Thermostat_Boiler (P)_SF_Lifetime (years)</v>
      </c>
      <c r="B1542" s="303" t="s">
        <v>224</v>
      </c>
      <c r="C1542" s="303" t="s">
        <v>1046</v>
      </c>
      <c r="D1542" s="303" t="s">
        <v>409</v>
      </c>
      <c r="E1542" s="314" t="s">
        <v>259</v>
      </c>
      <c r="F1542" s="326"/>
      <c r="G1542" s="315">
        <v>16</v>
      </c>
      <c r="H1542" s="305"/>
      <c r="I1542" s="305" t="s">
        <v>152</v>
      </c>
      <c r="J1542" s="305" t="s">
        <v>100</v>
      </c>
      <c r="K1542" s="305" t="s">
        <v>2004</v>
      </c>
    </row>
    <row r="1543" spans="1:11" x14ac:dyDescent="0.25">
      <c r="A1543" s="302" t="str">
        <f t="shared" si="38"/>
        <v>Programmable Thermostat_Boiler (P)_SF_Lifetime (years) - Remaining Years</v>
      </c>
      <c r="B1543" s="303" t="s">
        <v>224</v>
      </c>
      <c r="C1543" s="303" t="s">
        <v>1046</v>
      </c>
      <c r="D1543" s="303" t="s">
        <v>409</v>
      </c>
      <c r="E1543" s="314" t="s">
        <v>628</v>
      </c>
      <c r="F1543" s="314" t="s">
        <v>548</v>
      </c>
      <c r="G1543" s="315">
        <v>5</v>
      </c>
      <c r="H1543" s="305"/>
      <c r="I1543" s="305" t="s">
        <v>152</v>
      </c>
      <c r="J1543" s="305" t="s">
        <v>100</v>
      </c>
      <c r="K1543" s="305" t="s">
        <v>2004</v>
      </c>
    </row>
    <row r="1544" spans="1:11" x14ac:dyDescent="0.25">
      <c r="A1544" s="302" t="str">
        <f t="shared" si="38"/>
        <v>Programmable Thermostat_Boiler (P)_SF_Incremental Cost</v>
      </c>
      <c r="B1544" s="303" t="s">
        <v>224</v>
      </c>
      <c r="C1544" s="303" t="s">
        <v>1046</v>
      </c>
      <c r="D1544" s="303" t="s">
        <v>409</v>
      </c>
      <c r="E1544" s="314" t="s">
        <v>260</v>
      </c>
      <c r="F1544" s="327"/>
      <c r="G1544" s="328">
        <v>30</v>
      </c>
      <c r="H1544" s="305" t="s">
        <v>1041</v>
      </c>
      <c r="I1544" s="305" t="s">
        <v>152</v>
      </c>
      <c r="J1544" s="305" t="s">
        <v>100</v>
      </c>
      <c r="K1544" s="305" t="s">
        <v>2004</v>
      </c>
    </row>
    <row r="1545" spans="1:11" s="324" customFormat="1" x14ac:dyDescent="0.25">
      <c r="A1545" s="317" t="str">
        <f t="shared" si="38"/>
        <v>Programmable Thermostat_Boiler (P)_SF_</v>
      </c>
      <c r="B1545" s="317" t="str">
        <f>B1544</f>
        <v>Programmable Thermostat</v>
      </c>
      <c r="C1545" s="317" t="str">
        <f>C1544</f>
        <v>Boiler (P)</v>
      </c>
      <c r="D1545" s="317" t="str">
        <f>D1544</f>
        <v>SF</v>
      </c>
      <c r="E1545" s="317"/>
      <c r="F1545" s="317"/>
      <c r="G1545" s="323"/>
      <c r="H1545" s="320"/>
      <c r="I1545" s="320"/>
      <c r="J1545" s="317"/>
      <c r="K1545" s="317"/>
    </row>
    <row r="1546" spans="1:11" x14ac:dyDescent="0.25">
      <c r="A1546" s="302" t="str">
        <f t="shared" si="38"/>
        <v>Programmable Thermostat_Boiler (DI)_MF_CF</v>
      </c>
      <c r="B1546" s="303" t="s">
        <v>224</v>
      </c>
      <c r="C1546" s="303" t="s">
        <v>1045</v>
      </c>
      <c r="D1546" s="303" t="s">
        <v>553</v>
      </c>
      <c r="E1546" s="305" t="s">
        <v>253</v>
      </c>
      <c r="F1546" s="309"/>
      <c r="G1546" s="306">
        <v>0.68</v>
      </c>
      <c r="H1546" s="305" t="s">
        <v>323</v>
      </c>
      <c r="I1546" s="305" t="s">
        <v>152</v>
      </c>
      <c r="J1546" s="305" t="s">
        <v>100</v>
      </c>
      <c r="K1546" s="305" t="s">
        <v>2004</v>
      </c>
    </row>
    <row r="1547" spans="1:11" x14ac:dyDescent="0.25">
      <c r="A1547" s="302" t="str">
        <f t="shared" si="38"/>
        <v>Programmable Thermostat_Boiler (DI)_MF_% Electric Heating</v>
      </c>
      <c r="B1547" s="303" t="s">
        <v>224</v>
      </c>
      <c r="C1547" s="303" t="s">
        <v>1045</v>
      </c>
      <c r="D1547" s="303" t="s">
        <v>553</v>
      </c>
      <c r="E1547" s="305" t="s">
        <v>268</v>
      </c>
      <c r="F1547" s="309"/>
      <c r="G1547" s="306">
        <v>0</v>
      </c>
      <c r="H1547" s="305" t="s">
        <v>1039</v>
      </c>
      <c r="I1547" s="305" t="s">
        <v>152</v>
      </c>
      <c r="J1547" s="305" t="s">
        <v>100</v>
      </c>
      <c r="K1547" s="305" t="s">
        <v>2004</v>
      </c>
    </row>
    <row r="1548" spans="1:11" x14ac:dyDescent="0.25">
      <c r="A1548" s="302" t="str">
        <f t="shared" si="38"/>
        <v>Programmable Thermostat_Boiler (DI)_MF_% Gas Heating</v>
      </c>
      <c r="B1548" s="303" t="s">
        <v>224</v>
      </c>
      <c r="C1548" s="303" t="s">
        <v>1045</v>
      </c>
      <c r="D1548" s="303" t="s">
        <v>553</v>
      </c>
      <c r="E1548" s="305" t="s">
        <v>269</v>
      </c>
      <c r="F1548" s="309"/>
      <c r="G1548" s="306">
        <v>1</v>
      </c>
      <c r="H1548" s="305" t="s">
        <v>1039</v>
      </c>
      <c r="I1548" s="305" t="s">
        <v>152</v>
      </c>
      <c r="J1548" s="305" t="s">
        <v>100</v>
      </c>
      <c r="K1548" s="305" t="s">
        <v>2004</v>
      </c>
    </row>
    <row r="1549" spans="1:11" x14ac:dyDescent="0.25">
      <c r="A1549" s="302" t="str">
        <f t="shared" si="38"/>
        <v>Programmable Thermostat_Boiler (DI)_MF_Electric Heating Consumption</v>
      </c>
      <c r="B1549" s="303" t="s">
        <v>224</v>
      </c>
      <c r="C1549" s="303" t="s">
        <v>1045</v>
      </c>
      <c r="D1549" s="303" t="s">
        <v>553</v>
      </c>
      <c r="E1549" s="305" t="s">
        <v>273</v>
      </c>
      <c r="F1549" s="309"/>
      <c r="G1549" s="306">
        <v>12222</v>
      </c>
      <c r="H1549" s="305" t="s">
        <v>1040</v>
      </c>
      <c r="I1549" s="305" t="s">
        <v>152</v>
      </c>
      <c r="J1549" s="305" t="s">
        <v>100</v>
      </c>
      <c r="K1549" s="305" t="s">
        <v>2004</v>
      </c>
    </row>
    <row r="1550" spans="1:11" x14ac:dyDescent="0.25">
      <c r="A1550" s="302" t="str">
        <f t="shared" si="38"/>
        <v>Programmable Thermostat_Boiler (DI)_MF_Gas Heating Consumption</v>
      </c>
      <c r="B1550" s="303" t="s">
        <v>224</v>
      </c>
      <c r="C1550" s="303" t="s">
        <v>1045</v>
      </c>
      <c r="D1550" s="303" t="s">
        <v>553</v>
      </c>
      <c r="E1550" s="305" t="s">
        <v>275</v>
      </c>
      <c r="F1550" s="309"/>
      <c r="G1550" s="306">
        <v>1485</v>
      </c>
      <c r="H1550" s="305" t="s">
        <v>633</v>
      </c>
      <c r="I1550" s="305" t="s">
        <v>614</v>
      </c>
      <c r="J1550" s="305"/>
      <c r="K1550" s="305"/>
    </row>
    <row r="1551" spans="1:11" x14ac:dyDescent="0.25">
      <c r="A1551" s="302" t="str">
        <f t="shared" si="38"/>
        <v>Programmable Thermostat_Boiler (DI)_MF_Household Factor</v>
      </c>
      <c r="B1551" s="303" t="s">
        <v>224</v>
      </c>
      <c r="C1551" s="303" t="s">
        <v>1045</v>
      </c>
      <c r="D1551" s="303" t="s">
        <v>553</v>
      </c>
      <c r="E1551" s="305" t="s">
        <v>276</v>
      </c>
      <c r="F1551" s="309"/>
      <c r="G1551" s="306">
        <v>0.65</v>
      </c>
      <c r="H1551" s="305" t="s">
        <v>1044</v>
      </c>
      <c r="I1551" s="305" t="s">
        <v>152</v>
      </c>
      <c r="J1551" s="305" t="s">
        <v>100</v>
      </c>
      <c r="K1551" s="305" t="s">
        <v>2004</v>
      </c>
    </row>
    <row r="1552" spans="1:11" x14ac:dyDescent="0.25">
      <c r="A1552" s="302" t="str">
        <f t="shared" si="38"/>
        <v>Programmable Thermostat_Boiler (DI)_MF_ISR</v>
      </c>
      <c r="B1552" s="303" t="s">
        <v>224</v>
      </c>
      <c r="C1552" s="303" t="s">
        <v>1045</v>
      </c>
      <c r="D1552" s="303" t="s">
        <v>553</v>
      </c>
      <c r="E1552" s="305" t="s">
        <v>267</v>
      </c>
      <c r="F1552" s="309"/>
      <c r="G1552" s="306">
        <v>1</v>
      </c>
      <c r="H1552" s="305" t="s">
        <v>308</v>
      </c>
      <c r="I1552" s="305" t="s">
        <v>152</v>
      </c>
      <c r="J1552" s="305" t="s">
        <v>100</v>
      </c>
      <c r="K1552" s="305" t="s">
        <v>2004</v>
      </c>
    </row>
    <row r="1553" spans="1:11" x14ac:dyDescent="0.25">
      <c r="A1553" s="302" t="str">
        <f t="shared" si="38"/>
        <v>Programmable Thermostat_Boiler (DI)_MF_Furnace Fan Energy Consumption %</v>
      </c>
      <c r="B1553" s="303" t="s">
        <v>224</v>
      </c>
      <c r="C1553" s="303" t="s">
        <v>1045</v>
      </c>
      <c r="D1553" s="303" t="s">
        <v>553</v>
      </c>
      <c r="E1553" s="305" t="s">
        <v>277</v>
      </c>
      <c r="F1553" s="309"/>
      <c r="G1553" s="306">
        <v>3.1399999999999997E-2</v>
      </c>
      <c r="H1553" s="305" t="s">
        <v>278</v>
      </c>
      <c r="I1553" s="305" t="s">
        <v>152</v>
      </c>
      <c r="J1553" s="305" t="s">
        <v>100</v>
      </c>
      <c r="K1553" s="305" t="s">
        <v>2004</v>
      </c>
    </row>
    <row r="1554" spans="1:11" x14ac:dyDescent="0.25">
      <c r="A1554" s="302" t="str">
        <f t="shared" si="38"/>
        <v>Programmable Thermostat_Boiler (DI)_MF_Heating Energy Reduction</v>
      </c>
      <c r="B1554" s="303" t="s">
        <v>224</v>
      </c>
      <c r="C1554" s="303" t="s">
        <v>1045</v>
      </c>
      <c r="D1554" s="303" t="s">
        <v>553</v>
      </c>
      <c r="E1554" s="305" t="s">
        <v>279</v>
      </c>
      <c r="F1554" s="309"/>
      <c r="G1554" s="306">
        <v>6.2E-2</v>
      </c>
      <c r="H1554" s="305"/>
      <c r="I1554" s="305" t="s">
        <v>152</v>
      </c>
      <c r="J1554" s="305" t="s">
        <v>100</v>
      </c>
      <c r="K1554" s="305" t="s">
        <v>2004</v>
      </c>
    </row>
    <row r="1555" spans="1:11" x14ac:dyDescent="0.25">
      <c r="A1555" s="302" t="str">
        <f t="shared" ref="A1555" si="39">B1555&amp;"_"&amp;C1555&amp;"_"&amp;D1555&amp;"_"&amp;E1555</f>
        <v>Programmable Thermostat_Boiler (DI)_MF_%FossilHeat</v>
      </c>
      <c r="B1555" s="303" t="s">
        <v>224</v>
      </c>
      <c r="C1555" s="303" t="s">
        <v>1045</v>
      </c>
      <c r="D1555" s="303" t="s">
        <v>553</v>
      </c>
      <c r="E1555" s="311" t="s">
        <v>1938</v>
      </c>
      <c r="F1555" s="334" t="s">
        <v>539</v>
      </c>
      <c r="G1555" s="322">
        <v>1</v>
      </c>
      <c r="H1555" s="311" t="s">
        <v>1939</v>
      </c>
      <c r="I1555" s="305" t="s">
        <v>152</v>
      </c>
      <c r="J1555" s="305" t="s">
        <v>100</v>
      </c>
      <c r="K1555" s="305" t="s">
        <v>2004</v>
      </c>
    </row>
    <row r="1556" spans="1:11" x14ac:dyDescent="0.25">
      <c r="A1556" s="302" t="str">
        <f t="shared" si="38"/>
        <v>Programmable Thermostat_Boiler (DI)_MF_Electric Fan Savings</v>
      </c>
      <c r="B1556" s="303" t="s">
        <v>224</v>
      </c>
      <c r="C1556" s="303" t="s">
        <v>1045</v>
      </c>
      <c r="D1556" s="303" t="s">
        <v>553</v>
      </c>
      <c r="E1556" s="305" t="s">
        <v>280</v>
      </c>
      <c r="F1556" s="309"/>
      <c r="G1556" s="306">
        <f>G1558*G1553*29.3</f>
        <v>55.059056909999988</v>
      </c>
      <c r="H1556" s="305"/>
      <c r="I1556" s="305" t="s">
        <v>152</v>
      </c>
      <c r="J1556" s="305" t="s">
        <v>100</v>
      </c>
      <c r="K1556" s="305" t="s">
        <v>2004</v>
      </c>
    </row>
    <row r="1557" spans="1:11" x14ac:dyDescent="0.25">
      <c r="A1557" s="302" t="str">
        <f t="shared" si="38"/>
        <v>Programmable Thermostat_Boiler (DI)_MF_Electric Heating Savings</v>
      </c>
      <c r="B1557" s="303" t="s">
        <v>224</v>
      </c>
      <c r="C1557" s="303" t="s">
        <v>1045</v>
      </c>
      <c r="D1557" s="303" t="s">
        <v>553</v>
      </c>
      <c r="E1557" s="305" t="s">
        <v>281</v>
      </c>
      <c r="F1557" s="309"/>
      <c r="G1557" s="306">
        <f>G1547*G1549*G1554*G1551*G1552</f>
        <v>0</v>
      </c>
      <c r="H1557" s="305"/>
      <c r="I1557" s="305" t="s">
        <v>152</v>
      </c>
      <c r="J1557" s="305" t="s">
        <v>100</v>
      </c>
      <c r="K1557" s="305" t="s">
        <v>2004</v>
      </c>
    </row>
    <row r="1558" spans="1:11" x14ac:dyDescent="0.25">
      <c r="A1558" s="302" t="str">
        <f t="shared" si="38"/>
        <v>Programmable Thermostat_Boiler (DI)_MF_Gas Heating Savings</v>
      </c>
      <c r="B1558" s="303" t="s">
        <v>224</v>
      </c>
      <c r="C1558" s="303" t="s">
        <v>1045</v>
      </c>
      <c r="D1558" s="303" t="s">
        <v>553</v>
      </c>
      <c r="E1558" s="305" t="s">
        <v>324</v>
      </c>
      <c r="F1558" s="309"/>
      <c r="G1558" s="306">
        <f>G1560</f>
        <v>59.845499999999994</v>
      </c>
      <c r="H1558" s="305"/>
      <c r="I1558" s="305" t="s">
        <v>152</v>
      </c>
      <c r="J1558" s="305" t="s">
        <v>100</v>
      </c>
      <c r="K1558" s="305" t="s">
        <v>2004</v>
      </c>
    </row>
    <row r="1559" spans="1:11" x14ac:dyDescent="0.25">
      <c r="A1559" s="302" t="str">
        <f t="shared" si="38"/>
        <v>Programmable Thermostat_Boiler (DI)_MF_kWh Saved per Unit</v>
      </c>
      <c r="B1559" s="303" t="s">
        <v>224</v>
      </c>
      <c r="C1559" s="303" t="s">
        <v>1045</v>
      </c>
      <c r="D1559" s="303" t="s">
        <v>553</v>
      </c>
      <c r="E1559" s="314" t="s">
        <v>255</v>
      </c>
      <c r="F1559" s="326"/>
      <c r="G1559" s="315">
        <f>G1557+G1556</f>
        <v>55.059056909999988</v>
      </c>
      <c r="H1559" s="305"/>
      <c r="I1559" s="305" t="s">
        <v>152</v>
      </c>
      <c r="J1559" s="305" t="s">
        <v>100</v>
      </c>
      <c r="K1559" s="305" t="s">
        <v>2004</v>
      </c>
    </row>
    <row r="1560" spans="1:11" x14ac:dyDescent="0.25">
      <c r="A1560" s="302" t="str">
        <f t="shared" si="38"/>
        <v>Programmable Thermostat_Boiler (DI)_MF_Therm Saved per Unit</v>
      </c>
      <c r="B1560" s="303" t="s">
        <v>224</v>
      </c>
      <c r="C1560" s="303" t="s">
        <v>1045</v>
      </c>
      <c r="D1560" s="303" t="s">
        <v>553</v>
      </c>
      <c r="E1560" s="314" t="s">
        <v>326</v>
      </c>
      <c r="F1560" s="326"/>
      <c r="G1560" s="315">
        <f>G1548*G1550*G1554*G1551*G1552*G1555</f>
        <v>59.845499999999994</v>
      </c>
      <c r="H1560" s="305"/>
      <c r="I1560" s="305" t="s">
        <v>152</v>
      </c>
      <c r="J1560" s="305" t="s">
        <v>100</v>
      </c>
      <c r="K1560" s="305" t="s">
        <v>2004</v>
      </c>
    </row>
    <row r="1561" spans="1:11" x14ac:dyDescent="0.25">
      <c r="A1561" s="302" t="str">
        <f t="shared" si="38"/>
        <v>Programmable Thermostat_Boiler (DI)_MF_Therm Saved per Unit- MLA</v>
      </c>
      <c r="B1561" s="303" t="s">
        <v>224</v>
      </c>
      <c r="C1561" s="303" t="s">
        <v>1045</v>
      </c>
      <c r="D1561" s="303" t="s">
        <v>553</v>
      </c>
      <c r="E1561" s="314" t="s">
        <v>626</v>
      </c>
      <c r="F1561" s="326"/>
      <c r="G1561" s="315">
        <f>G1560*28%</f>
        <v>16.756740000000001</v>
      </c>
      <c r="H1561" s="305"/>
      <c r="I1561" s="305" t="s">
        <v>152</v>
      </c>
      <c r="J1561" s="305" t="s">
        <v>100</v>
      </c>
      <c r="K1561" s="305" t="s">
        <v>2004</v>
      </c>
    </row>
    <row r="1562" spans="1:11" x14ac:dyDescent="0.25">
      <c r="A1562" s="302" t="str">
        <f t="shared" si="38"/>
        <v>Programmable Thermostat_Boiler (DI)_MF_Lifetime (years)</v>
      </c>
      <c r="B1562" s="303" t="s">
        <v>224</v>
      </c>
      <c r="C1562" s="303" t="s">
        <v>1045</v>
      </c>
      <c r="D1562" s="303" t="s">
        <v>553</v>
      </c>
      <c r="E1562" s="314" t="s">
        <v>259</v>
      </c>
      <c r="F1562" s="326"/>
      <c r="G1562" s="315">
        <v>16</v>
      </c>
      <c r="H1562" s="305"/>
      <c r="I1562" s="305" t="s">
        <v>152</v>
      </c>
      <c r="J1562" s="305" t="s">
        <v>100</v>
      </c>
      <c r="K1562" s="305" t="s">
        <v>2004</v>
      </c>
    </row>
    <row r="1563" spans="1:11" x14ac:dyDescent="0.25">
      <c r="A1563" s="302" t="str">
        <f t="shared" si="38"/>
        <v>Programmable Thermostat_Boiler (DI)_MF_Lifetime (years) - Remaining Years</v>
      </c>
      <c r="B1563" s="303" t="s">
        <v>224</v>
      </c>
      <c r="C1563" s="303" t="s">
        <v>1045</v>
      </c>
      <c r="D1563" s="303" t="s">
        <v>553</v>
      </c>
      <c r="E1563" s="314" t="s">
        <v>628</v>
      </c>
      <c r="F1563" s="314" t="s">
        <v>548</v>
      </c>
      <c r="G1563" s="315">
        <v>5</v>
      </c>
      <c r="H1563" s="305"/>
      <c r="I1563" s="305" t="s">
        <v>152</v>
      </c>
      <c r="J1563" s="305" t="s">
        <v>100</v>
      </c>
      <c r="K1563" s="305" t="s">
        <v>2004</v>
      </c>
    </row>
    <row r="1564" spans="1:11" x14ac:dyDescent="0.25">
      <c r="A1564" s="302" t="str">
        <f t="shared" si="38"/>
        <v>Programmable Thermostat_Boiler (DI)_MF_Incremental Cost</v>
      </c>
      <c r="B1564" s="303" t="s">
        <v>224</v>
      </c>
      <c r="C1564" s="303" t="s">
        <v>1045</v>
      </c>
      <c r="D1564" s="303" t="s">
        <v>553</v>
      </c>
      <c r="E1564" s="314" t="s">
        <v>260</v>
      </c>
      <c r="F1564" s="327"/>
      <c r="G1564" s="328">
        <v>30</v>
      </c>
      <c r="H1564" s="305" t="s">
        <v>1041</v>
      </c>
      <c r="I1564" s="305" t="s">
        <v>152</v>
      </c>
      <c r="J1564" s="305" t="s">
        <v>100</v>
      </c>
      <c r="K1564" s="305" t="s">
        <v>2004</v>
      </c>
    </row>
    <row r="1565" spans="1:11" s="324" customFormat="1" x14ac:dyDescent="0.25">
      <c r="A1565" s="317" t="str">
        <f t="shared" si="38"/>
        <v>Programmable Thermostat_Boiler (DI)_MF_</v>
      </c>
      <c r="B1565" s="317" t="str">
        <f>B1564</f>
        <v>Programmable Thermostat</v>
      </c>
      <c r="C1565" s="317" t="str">
        <f>C1564</f>
        <v>Boiler (DI)</v>
      </c>
      <c r="D1565" s="317" t="str">
        <f>D1564</f>
        <v>MF</v>
      </c>
      <c r="E1565" s="317"/>
      <c r="F1565" s="317"/>
      <c r="G1565" s="323"/>
      <c r="H1565" s="320"/>
      <c r="I1565" s="320"/>
      <c r="J1565" s="317"/>
      <c r="K1565" s="317"/>
    </row>
    <row r="1566" spans="1:11" x14ac:dyDescent="0.25">
      <c r="A1566" s="302" t="str">
        <f t="shared" si="38"/>
        <v>Programmable Thermostat_Boiler (P)_MF_CF</v>
      </c>
      <c r="B1566" s="303" t="s">
        <v>224</v>
      </c>
      <c r="C1566" s="303" t="s">
        <v>1046</v>
      </c>
      <c r="D1566" s="303" t="s">
        <v>553</v>
      </c>
      <c r="E1566" s="305" t="s">
        <v>253</v>
      </c>
      <c r="F1566" s="309"/>
      <c r="G1566" s="306">
        <v>0.68</v>
      </c>
      <c r="H1566" s="305" t="s">
        <v>323</v>
      </c>
      <c r="I1566" s="305" t="s">
        <v>152</v>
      </c>
      <c r="J1566" s="305" t="s">
        <v>100</v>
      </c>
      <c r="K1566" s="305" t="s">
        <v>2004</v>
      </c>
    </row>
    <row r="1567" spans="1:11" x14ac:dyDescent="0.25">
      <c r="A1567" s="302" t="str">
        <f t="shared" si="38"/>
        <v>Programmable Thermostat_Boiler (P)_MF_% Electric Heating</v>
      </c>
      <c r="B1567" s="303" t="s">
        <v>224</v>
      </c>
      <c r="C1567" s="303" t="s">
        <v>1046</v>
      </c>
      <c r="D1567" s="303" t="s">
        <v>553</v>
      </c>
      <c r="E1567" s="305" t="s">
        <v>268</v>
      </c>
      <c r="F1567" s="309"/>
      <c r="G1567" s="306">
        <v>0</v>
      </c>
      <c r="H1567" s="305" t="s">
        <v>1039</v>
      </c>
      <c r="I1567" s="305" t="s">
        <v>152</v>
      </c>
      <c r="J1567" s="305" t="s">
        <v>100</v>
      </c>
      <c r="K1567" s="305" t="s">
        <v>2004</v>
      </c>
    </row>
    <row r="1568" spans="1:11" x14ac:dyDescent="0.25">
      <c r="A1568" s="302" t="str">
        <f t="shared" si="38"/>
        <v>Programmable Thermostat_Boiler (P)_MF_% Gas Heating</v>
      </c>
      <c r="B1568" s="303" t="s">
        <v>224</v>
      </c>
      <c r="C1568" s="303" t="s">
        <v>1046</v>
      </c>
      <c r="D1568" s="303" t="s">
        <v>553</v>
      </c>
      <c r="E1568" s="305" t="s">
        <v>269</v>
      </c>
      <c r="F1568" s="309"/>
      <c r="G1568" s="306">
        <v>1</v>
      </c>
      <c r="H1568" s="305" t="s">
        <v>1039</v>
      </c>
      <c r="I1568" s="305" t="s">
        <v>152</v>
      </c>
      <c r="J1568" s="305" t="s">
        <v>100</v>
      </c>
      <c r="K1568" s="305" t="s">
        <v>2004</v>
      </c>
    </row>
    <row r="1569" spans="1:11" x14ac:dyDescent="0.25">
      <c r="A1569" s="302" t="str">
        <f t="shared" si="38"/>
        <v>Programmable Thermostat_Boiler (P)_MF_Electric Heating Consumption</v>
      </c>
      <c r="B1569" s="303" t="s">
        <v>224</v>
      </c>
      <c r="C1569" s="303" t="s">
        <v>1046</v>
      </c>
      <c r="D1569" s="303" t="s">
        <v>553</v>
      </c>
      <c r="E1569" s="305" t="s">
        <v>273</v>
      </c>
      <c r="F1569" s="309"/>
      <c r="G1569" s="306">
        <v>12222</v>
      </c>
      <c r="H1569" s="305" t="s">
        <v>1040</v>
      </c>
      <c r="I1569" s="305" t="s">
        <v>152</v>
      </c>
      <c r="J1569" s="305" t="s">
        <v>100</v>
      </c>
      <c r="K1569" s="305" t="s">
        <v>2004</v>
      </c>
    </row>
    <row r="1570" spans="1:11" x14ac:dyDescent="0.25">
      <c r="A1570" s="302" t="str">
        <f t="shared" si="38"/>
        <v>Programmable Thermostat_Boiler (P)_MF_Gas Heating Consumption</v>
      </c>
      <c r="B1570" s="303" t="s">
        <v>224</v>
      </c>
      <c r="C1570" s="303" t="s">
        <v>1046</v>
      </c>
      <c r="D1570" s="303" t="s">
        <v>553</v>
      </c>
      <c r="E1570" s="305" t="s">
        <v>275</v>
      </c>
      <c r="F1570" s="309"/>
      <c r="G1570" s="306">
        <v>1485</v>
      </c>
      <c r="H1570" s="305" t="s">
        <v>633</v>
      </c>
      <c r="I1570" s="305" t="s">
        <v>614</v>
      </c>
      <c r="J1570" s="305"/>
      <c r="K1570" s="305"/>
    </row>
    <row r="1571" spans="1:11" x14ac:dyDescent="0.25">
      <c r="A1571" s="302" t="str">
        <f t="shared" si="38"/>
        <v>Programmable Thermostat_Boiler (P)_MF_Household Factor</v>
      </c>
      <c r="B1571" s="303" t="s">
        <v>224</v>
      </c>
      <c r="C1571" s="303" t="s">
        <v>1046</v>
      </c>
      <c r="D1571" s="303" t="s">
        <v>553</v>
      </c>
      <c r="E1571" s="305" t="s">
        <v>276</v>
      </c>
      <c r="F1571" s="309"/>
      <c r="G1571" s="306">
        <v>0.65</v>
      </c>
      <c r="H1571" s="305" t="s">
        <v>1044</v>
      </c>
      <c r="I1571" s="305" t="s">
        <v>152</v>
      </c>
      <c r="J1571" s="305" t="s">
        <v>100</v>
      </c>
      <c r="K1571" s="305" t="s">
        <v>2004</v>
      </c>
    </row>
    <row r="1572" spans="1:11" x14ac:dyDescent="0.25">
      <c r="A1572" s="302" t="str">
        <f t="shared" si="38"/>
        <v>Programmable Thermostat_Boiler (P)_MF_ISR</v>
      </c>
      <c r="B1572" s="303" t="s">
        <v>224</v>
      </c>
      <c r="C1572" s="303" t="s">
        <v>1046</v>
      </c>
      <c r="D1572" s="303" t="s">
        <v>553</v>
      </c>
      <c r="E1572" s="305" t="s">
        <v>267</v>
      </c>
      <c r="F1572" s="309"/>
      <c r="G1572" s="306">
        <v>0.56000000000000005</v>
      </c>
      <c r="H1572" s="305" t="s">
        <v>1043</v>
      </c>
      <c r="I1572" s="305" t="s">
        <v>152</v>
      </c>
      <c r="J1572" s="305" t="s">
        <v>100</v>
      </c>
      <c r="K1572" s="305" t="s">
        <v>2004</v>
      </c>
    </row>
    <row r="1573" spans="1:11" x14ac:dyDescent="0.25">
      <c r="A1573" s="302" t="str">
        <f t="shared" si="38"/>
        <v>Programmable Thermostat_Boiler (P)_MF_Furnace Fan Energy Consumption %</v>
      </c>
      <c r="B1573" s="303" t="s">
        <v>224</v>
      </c>
      <c r="C1573" s="303" t="s">
        <v>1046</v>
      </c>
      <c r="D1573" s="303" t="s">
        <v>553</v>
      </c>
      <c r="E1573" s="305" t="s">
        <v>277</v>
      </c>
      <c r="F1573" s="309"/>
      <c r="G1573" s="306">
        <v>3.1399999999999997E-2</v>
      </c>
      <c r="H1573" s="305" t="s">
        <v>278</v>
      </c>
      <c r="I1573" s="305" t="s">
        <v>152</v>
      </c>
      <c r="J1573" s="305" t="s">
        <v>100</v>
      </c>
      <c r="K1573" s="305" t="s">
        <v>2004</v>
      </c>
    </row>
    <row r="1574" spans="1:11" x14ac:dyDescent="0.25">
      <c r="A1574" s="302" t="str">
        <f t="shared" si="38"/>
        <v>Programmable Thermostat_Boiler (P)_MF_Heating Energy Reduction</v>
      </c>
      <c r="B1574" s="303" t="s">
        <v>224</v>
      </c>
      <c r="C1574" s="303" t="s">
        <v>1046</v>
      </c>
      <c r="D1574" s="303" t="s">
        <v>553</v>
      </c>
      <c r="E1574" s="305" t="s">
        <v>279</v>
      </c>
      <c r="F1574" s="309"/>
      <c r="G1574" s="306">
        <v>6.2E-2</v>
      </c>
      <c r="H1574" s="305"/>
      <c r="I1574" s="305" t="s">
        <v>152</v>
      </c>
      <c r="J1574" s="305" t="s">
        <v>100</v>
      </c>
      <c r="K1574" s="305" t="s">
        <v>2004</v>
      </c>
    </row>
    <row r="1575" spans="1:11" x14ac:dyDescent="0.25">
      <c r="A1575" s="302" t="str">
        <f t="shared" si="38"/>
        <v>Programmable Thermostat_Boiler (P)_MF_%FossilHeat</v>
      </c>
      <c r="B1575" s="303" t="s">
        <v>224</v>
      </c>
      <c r="C1575" s="303" t="s">
        <v>1046</v>
      </c>
      <c r="D1575" s="303" t="s">
        <v>553</v>
      </c>
      <c r="E1575" s="311" t="s">
        <v>1938</v>
      </c>
      <c r="F1575" s="334" t="s">
        <v>539</v>
      </c>
      <c r="G1575" s="322">
        <v>1</v>
      </c>
      <c r="H1575" s="311" t="s">
        <v>1940</v>
      </c>
      <c r="I1575" s="305" t="s">
        <v>152</v>
      </c>
      <c r="J1575" s="305" t="s">
        <v>100</v>
      </c>
      <c r="K1575" s="305" t="s">
        <v>2004</v>
      </c>
    </row>
    <row r="1576" spans="1:11" x14ac:dyDescent="0.25">
      <c r="A1576" s="302" t="str">
        <f t="shared" si="38"/>
        <v>Programmable Thermostat_Boiler (P)_MF_Electric Fan Savings</v>
      </c>
      <c r="B1576" s="303" t="s">
        <v>224</v>
      </c>
      <c r="C1576" s="303" t="s">
        <v>1046</v>
      </c>
      <c r="D1576" s="303" t="s">
        <v>553</v>
      </c>
      <c r="E1576" s="305" t="s">
        <v>280</v>
      </c>
      <c r="F1576" s="309"/>
      <c r="G1576" s="306">
        <f>G1578*G1573*29.3</f>
        <v>30.833071869600001</v>
      </c>
      <c r="H1576" s="305"/>
      <c r="I1576" s="305" t="s">
        <v>152</v>
      </c>
      <c r="J1576" s="305" t="s">
        <v>100</v>
      </c>
      <c r="K1576" s="305" t="s">
        <v>2004</v>
      </c>
    </row>
    <row r="1577" spans="1:11" x14ac:dyDescent="0.25">
      <c r="A1577" s="302" t="str">
        <f t="shared" si="38"/>
        <v>Programmable Thermostat_Boiler (P)_MF_Electric Heating Savings</v>
      </c>
      <c r="B1577" s="303" t="s">
        <v>224</v>
      </c>
      <c r="C1577" s="303" t="s">
        <v>1046</v>
      </c>
      <c r="D1577" s="303" t="s">
        <v>553</v>
      </c>
      <c r="E1577" s="305" t="s">
        <v>281</v>
      </c>
      <c r="F1577" s="309"/>
      <c r="G1577" s="306">
        <f>G1567*G1569*G1574*G1571*G1572</f>
        <v>0</v>
      </c>
      <c r="H1577" s="305"/>
      <c r="I1577" s="305" t="s">
        <v>152</v>
      </c>
      <c r="J1577" s="305" t="s">
        <v>100</v>
      </c>
      <c r="K1577" s="305" t="s">
        <v>2004</v>
      </c>
    </row>
    <row r="1578" spans="1:11" x14ac:dyDescent="0.25">
      <c r="A1578" s="302" t="str">
        <f t="shared" si="38"/>
        <v>Programmable Thermostat_Boiler (P)_MF_Gas Heating Savings</v>
      </c>
      <c r="B1578" s="303" t="s">
        <v>224</v>
      </c>
      <c r="C1578" s="303" t="s">
        <v>1046</v>
      </c>
      <c r="D1578" s="303" t="s">
        <v>553</v>
      </c>
      <c r="E1578" s="305" t="s">
        <v>324</v>
      </c>
      <c r="F1578" s="309"/>
      <c r="G1578" s="306">
        <f>G1580</f>
        <v>33.513480000000001</v>
      </c>
      <c r="H1578" s="305"/>
      <c r="I1578" s="305" t="s">
        <v>152</v>
      </c>
      <c r="J1578" s="305" t="s">
        <v>100</v>
      </c>
      <c r="K1578" s="305" t="s">
        <v>2004</v>
      </c>
    </row>
    <row r="1579" spans="1:11" x14ac:dyDescent="0.25">
      <c r="A1579" s="302" t="str">
        <f t="shared" si="38"/>
        <v>Programmable Thermostat_Boiler (P)_MF_kWh Saved per Unit</v>
      </c>
      <c r="B1579" s="303" t="s">
        <v>224</v>
      </c>
      <c r="C1579" s="303" t="s">
        <v>1046</v>
      </c>
      <c r="D1579" s="303" t="s">
        <v>553</v>
      </c>
      <c r="E1579" s="314" t="s">
        <v>255</v>
      </c>
      <c r="F1579" s="326"/>
      <c r="G1579" s="315">
        <f>G1577+G1576</f>
        <v>30.833071869600001</v>
      </c>
      <c r="H1579" s="305"/>
      <c r="I1579" s="305" t="s">
        <v>152</v>
      </c>
      <c r="J1579" s="305" t="s">
        <v>100</v>
      </c>
      <c r="K1579" s="305" t="s">
        <v>2004</v>
      </c>
    </row>
    <row r="1580" spans="1:11" x14ac:dyDescent="0.25">
      <c r="A1580" s="302" t="str">
        <f t="shared" si="38"/>
        <v>Programmable Thermostat_Boiler (P)_MF_Therm Saved per Unit</v>
      </c>
      <c r="B1580" s="303" t="s">
        <v>224</v>
      </c>
      <c r="C1580" s="303" t="s">
        <v>1046</v>
      </c>
      <c r="D1580" s="303" t="s">
        <v>553</v>
      </c>
      <c r="E1580" s="314" t="s">
        <v>326</v>
      </c>
      <c r="F1580" s="326"/>
      <c r="G1580" s="315">
        <f>G1568*G1570*G1574*G1571*G1572*G1575</f>
        <v>33.513480000000001</v>
      </c>
      <c r="H1580" s="305"/>
      <c r="I1580" s="305" t="s">
        <v>152</v>
      </c>
      <c r="J1580" s="305" t="s">
        <v>100</v>
      </c>
      <c r="K1580" s="305" t="s">
        <v>2004</v>
      </c>
    </row>
    <row r="1581" spans="1:11" x14ac:dyDescent="0.25">
      <c r="A1581" s="302" t="str">
        <f t="shared" si="38"/>
        <v>Programmable Thermostat_Boiler (P)_MF_Therm Saved per Unit- MLA</v>
      </c>
      <c r="B1581" s="303" t="s">
        <v>224</v>
      </c>
      <c r="C1581" s="303" t="s">
        <v>1046</v>
      </c>
      <c r="D1581" s="303" t="s">
        <v>553</v>
      </c>
      <c r="E1581" s="314" t="s">
        <v>626</v>
      </c>
      <c r="F1581" s="326"/>
      <c r="G1581" s="315">
        <f>G1580*28%</f>
        <v>9.3837744000000018</v>
      </c>
      <c r="H1581" s="305"/>
      <c r="I1581" s="305" t="s">
        <v>152</v>
      </c>
      <c r="J1581" s="305" t="s">
        <v>100</v>
      </c>
      <c r="K1581" s="305" t="s">
        <v>2004</v>
      </c>
    </row>
    <row r="1582" spans="1:11" x14ac:dyDescent="0.25">
      <c r="A1582" s="302" t="str">
        <f t="shared" si="38"/>
        <v>Programmable Thermostat_Boiler (P)_MF_Lifetime (years)</v>
      </c>
      <c r="B1582" s="303" t="s">
        <v>224</v>
      </c>
      <c r="C1582" s="303" t="s">
        <v>1046</v>
      </c>
      <c r="D1582" s="303" t="s">
        <v>553</v>
      </c>
      <c r="E1582" s="314" t="s">
        <v>259</v>
      </c>
      <c r="F1582" s="326"/>
      <c r="G1582" s="315">
        <v>16</v>
      </c>
      <c r="H1582" s="305"/>
      <c r="I1582" s="305" t="s">
        <v>152</v>
      </c>
      <c r="J1582" s="305" t="s">
        <v>100</v>
      </c>
      <c r="K1582" s="305" t="s">
        <v>2004</v>
      </c>
    </row>
    <row r="1583" spans="1:11" x14ac:dyDescent="0.25">
      <c r="A1583" s="302" t="str">
        <f t="shared" si="38"/>
        <v>Programmable Thermostat_Boiler (P)_MF_Lifetime (years) - Remaining Years</v>
      </c>
      <c r="B1583" s="303" t="s">
        <v>224</v>
      </c>
      <c r="C1583" s="303" t="s">
        <v>1046</v>
      </c>
      <c r="D1583" s="303" t="s">
        <v>553</v>
      </c>
      <c r="E1583" s="314" t="s">
        <v>628</v>
      </c>
      <c r="F1583" s="314" t="s">
        <v>548</v>
      </c>
      <c r="G1583" s="315">
        <v>5</v>
      </c>
      <c r="H1583" s="305"/>
      <c r="I1583" s="305" t="s">
        <v>152</v>
      </c>
      <c r="J1583" s="305" t="s">
        <v>100</v>
      </c>
      <c r="K1583" s="305" t="s">
        <v>2004</v>
      </c>
    </row>
    <row r="1584" spans="1:11" x14ac:dyDescent="0.25">
      <c r="A1584" s="302" t="str">
        <f t="shared" si="38"/>
        <v>Programmable Thermostat_Boiler (P)_MF_Incremental Cost</v>
      </c>
      <c r="B1584" s="303" t="s">
        <v>224</v>
      </c>
      <c r="C1584" s="303" t="s">
        <v>1046</v>
      </c>
      <c r="D1584" s="303" t="s">
        <v>553</v>
      </c>
      <c r="E1584" s="314" t="s">
        <v>260</v>
      </c>
      <c r="F1584" s="327"/>
      <c r="G1584" s="328">
        <v>30</v>
      </c>
      <c r="H1584" s="305" t="s">
        <v>1041</v>
      </c>
      <c r="I1584" s="305" t="s">
        <v>152</v>
      </c>
      <c r="J1584" s="305" t="s">
        <v>100</v>
      </c>
      <c r="K1584" s="305" t="s">
        <v>2004</v>
      </c>
    </row>
    <row r="1585" spans="1:11" s="324" customFormat="1" x14ac:dyDescent="0.25">
      <c r="A1585" s="317" t="str">
        <f t="shared" si="38"/>
        <v>Programmable Thermostat_Boiler (P)_MF_</v>
      </c>
      <c r="B1585" s="317" t="str">
        <f>B1584</f>
        <v>Programmable Thermostat</v>
      </c>
      <c r="C1585" s="317" t="str">
        <f>C1584</f>
        <v>Boiler (P)</v>
      </c>
      <c r="D1585" s="317" t="str">
        <f>D1584</f>
        <v>MF</v>
      </c>
      <c r="E1585" s="317"/>
      <c r="F1585" s="317"/>
      <c r="G1585" s="323"/>
      <c r="H1585" s="320"/>
      <c r="I1585" s="320"/>
      <c r="J1585" s="317"/>
      <c r="K1585" s="317"/>
    </row>
    <row r="1586" spans="1:11" x14ac:dyDescent="0.25">
      <c r="A1586" s="302" t="str">
        <f t="shared" si="38"/>
        <v>Advanced Thermostat_Furnace (Replace Manual)_SF_Heating Energy Reduction</v>
      </c>
      <c r="B1586" s="303" t="s">
        <v>7</v>
      </c>
      <c r="C1586" s="303" t="s">
        <v>1047</v>
      </c>
      <c r="D1586" s="303" t="s">
        <v>409</v>
      </c>
      <c r="E1586" s="385" t="s">
        <v>279</v>
      </c>
      <c r="F1586" s="305" t="s">
        <v>539</v>
      </c>
      <c r="G1586" s="353">
        <v>0.10199999999999999</v>
      </c>
      <c r="H1586" s="311" t="s">
        <v>1048</v>
      </c>
      <c r="I1586" s="305" t="s">
        <v>152</v>
      </c>
      <c r="J1586" s="305" t="s">
        <v>101</v>
      </c>
      <c r="K1586" s="305" t="s">
        <v>2371</v>
      </c>
    </row>
    <row r="1587" spans="1:11" x14ac:dyDescent="0.25">
      <c r="A1587" s="302" t="str">
        <f t="shared" ref="A1587:A1657" si="40">B1587&amp;"_"&amp;C1587&amp;"_"&amp;D1587&amp;"_"&amp;E1587</f>
        <v>Advanced Thermostat_Furnace (Replace Manual)_SF_Household Factor</v>
      </c>
      <c r="B1587" s="303" t="s">
        <v>7</v>
      </c>
      <c r="C1587" s="303" t="s">
        <v>1047</v>
      </c>
      <c r="D1587" s="303" t="s">
        <v>409</v>
      </c>
      <c r="E1587" s="305" t="s">
        <v>276</v>
      </c>
      <c r="F1587" s="305" t="s">
        <v>539</v>
      </c>
      <c r="G1587" s="308">
        <v>1</v>
      </c>
      <c r="H1587" s="305" t="s">
        <v>375</v>
      </c>
      <c r="I1587" s="305" t="s">
        <v>152</v>
      </c>
      <c r="J1587" s="305" t="s">
        <v>101</v>
      </c>
      <c r="K1587" s="305" t="s">
        <v>2371</v>
      </c>
    </row>
    <row r="1588" spans="1:11" x14ac:dyDescent="0.25">
      <c r="A1588" s="302" t="str">
        <f t="shared" si="40"/>
        <v>Advanced Thermostat_Furnace (Replace Manual)_SF_Gas Heating Consumption</v>
      </c>
      <c r="B1588" s="303" t="s">
        <v>7</v>
      </c>
      <c r="C1588" s="303" t="s">
        <v>1047</v>
      </c>
      <c r="D1588" s="303" t="s">
        <v>409</v>
      </c>
      <c r="E1588" s="305" t="s">
        <v>275</v>
      </c>
      <c r="F1588" s="305" t="s">
        <v>1015</v>
      </c>
      <c r="G1588" s="339">
        <v>1005</v>
      </c>
      <c r="H1588" s="305" t="s">
        <v>675</v>
      </c>
      <c r="I1588" s="305" t="s">
        <v>152</v>
      </c>
      <c r="J1588" s="305" t="s">
        <v>101</v>
      </c>
      <c r="K1588" s="305" t="s">
        <v>2371</v>
      </c>
    </row>
    <row r="1589" spans="1:11" x14ac:dyDescent="0.25">
      <c r="A1589" s="302" t="str">
        <f t="shared" si="40"/>
        <v>Advanced Thermostat_Furnace (Replace Manual)_SF_ISR</v>
      </c>
      <c r="B1589" s="303" t="s">
        <v>7</v>
      </c>
      <c r="C1589" s="303" t="s">
        <v>1047</v>
      </c>
      <c r="D1589" s="303" t="s">
        <v>409</v>
      </c>
      <c r="E1589" s="305" t="s">
        <v>267</v>
      </c>
      <c r="F1589" s="305" t="s">
        <v>539</v>
      </c>
      <c r="G1589" s="308">
        <v>1</v>
      </c>
      <c r="H1589" s="305"/>
      <c r="I1589" s="305" t="s">
        <v>152</v>
      </c>
      <c r="J1589" s="305" t="s">
        <v>101</v>
      </c>
      <c r="K1589" s="305" t="s">
        <v>2371</v>
      </c>
    </row>
    <row r="1590" spans="1:11" x14ac:dyDescent="0.25">
      <c r="A1590" s="302" t="str">
        <f t="shared" si="40"/>
        <v>Advanced Thermostat_Furnace (Replace Manual)_SF_%FossilHeat</v>
      </c>
      <c r="B1590" s="303" t="s">
        <v>7</v>
      </c>
      <c r="C1590" s="303" t="s">
        <v>1047</v>
      </c>
      <c r="D1590" s="303" t="s">
        <v>409</v>
      </c>
      <c r="E1590" s="311" t="s">
        <v>1938</v>
      </c>
      <c r="F1590" s="334" t="s">
        <v>539</v>
      </c>
      <c r="G1590" s="322">
        <v>1</v>
      </c>
      <c r="H1590" s="311" t="s">
        <v>1939</v>
      </c>
      <c r="I1590" s="305" t="s">
        <v>152</v>
      </c>
      <c r="J1590" s="305" t="s">
        <v>101</v>
      </c>
      <c r="K1590" s="305" t="s">
        <v>2371</v>
      </c>
    </row>
    <row r="1591" spans="1:11" x14ac:dyDescent="0.25">
      <c r="A1591" s="302" t="str">
        <f t="shared" si="40"/>
        <v>Advanced Thermostat_Furnace (Replace Manual)_SF_Furnace Fan Energy Consumption %</v>
      </c>
      <c r="B1591" s="303" t="s">
        <v>7</v>
      </c>
      <c r="C1591" s="303" t="s">
        <v>1047</v>
      </c>
      <c r="D1591" s="303" t="s">
        <v>409</v>
      </c>
      <c r="E1591" s="385" t="s">
        <v>277</v>
      </c>
      <c r="F1591" s="305" t="s">
        <v>539</v>
      </c>
      <c r="G1591" s="333">
        <v>3.1399999999999997E-2</v>
      </c>
      <c r="H1591" s="305" t="s">
        <v>278</v>
      </c>
      <c r="I1591" s="305" t="s">
        <v>152</v>
      </c>
      <c r="J1591" s="305" t="s">
        <v>101</v>
      </c>
      <c r="K1591" s="305" t="s">
        <v>2371</v>
      </c>
    </row>
    <row r="1592" spans="1:11" x14ac:dyDescent="0.25">
      <c r="A1592" s="302" t="str">
        <f t="shared" si="40"/>
        <v>Advanced Thermostat_Furnace (Replace Manual)_SF_Therm Saved per Unit</v>
      </c>
      <c r="B1592" s="303" t="s">
        <v>7</v>
      </c>
      <c r="C1592" s="303" t="s">
        <v>1047</v>
      </c>
      <c r="D1592" s="303" t="s">
        <v>409</v>
      </c>
      <c r="E1592" s="314" t="s">
        <v>326</v>
      </c>
      <c r="F1592" s="314"/>
      <c r="G1592" s="315">
        <f>G1588*G1586*G1587*G1589*G1590</f>
        <v>102.50999999999999</v>
      </c>
      <c r="H1592" s="305"/>
      <c r="I1592" s="305" t="s">
        <v>152</v>
      </c>
      <c r="J1592" s="305" t="s">
        <v>101</v>
      </c>
      <c r="K1592" s="305" t="s">
        <v>2371</v>
      </c>
    </row>
    <row r="1593" spans="1:11" x14ac:dyDescent="0.25">
      <c r="A1593" s="302" t="str">
        <f t="shared" si="40"/>
        <v>Advanced Thermostat_Furnace (Replace Manual)_SF_kWh Saved per Unit</v>
      </c>
      <c r="B1593" s="303" t="s">
        <v>7</v>
      </c>
      <c r="C1593" s="303" t="s">
        <v>1047</v>
      </c>
      <c r="D1593" s="303" t="s">
        <v>409</v>
      </c>
      <c r="E1593" s="314" t="s">
        <v>255</v>
      </c>
      <c r="F1593" s="314"/>
      <c r="G1593" s="315">
        <f>G1592*G1591*29.3</f>
        <v>94.311250199999989</v>
      </c>
      <c r="H1593" s="305"/>
      <c r="I1593" s="305" t="s">
        <v>152</v>
      </c>
      <c r="J1593" s="305" t="s">
        <v>101</v>
      </c>
      <c r="K1593" s="305" t="s">
        <v>2371</v>
      </c>
    </row>
    <row r="1594" spans="1:11" x14ac:dyDescent="0.25">
      <c r="A1594" s="302" t="str">
        <f t="shared" si="40"/>
        <v>Advanced Thermostat_Furnace (Replace Manual)_SF_Lifetime (years)</v>
      </c>
      <c r="B1594" s="303" t="s">
        <v>7</v>
      </c>
      <c r="C1594" s="303" t="s">
        <v>1047</v>
      </c>
      <c r="D1594" s="303" t="s">
        <v>409</v>
      </c>
      <c r="E1594" s="314" t="s">
        <v>259</v>
      </c>
      <c r="F1594" s="314" t="s">
        <v>548</v>
      </c>
      <c r="G1594" s="315">
        <v>11</v>
      </c>
      <c r="H1594" s="305"/>
      <c r="I1594" s="305" t="s">
        <v>152</v>
      </c>
      <c r="J1594" s="305" t="s">
        <v>101</v>
      </c>
      <c r="K1594" s="305" t="s">
        <v>2371</v>
      </c>
    </row>
    <row r="1595" spans="1:11" x14ac:dyDescent="0.25">
      <c r="A1595" s="302" t="str">
        <f t="shared" si="40"/>
        <v>Advanced Thermostat_Furnace (Replace Manual)_SF_Incremental Cost</v>
      </c>
      <c r="B1595" s="303" t="s">
        <v>7</v>
      </c>
      <c r="C1595" s="303" t="s">
        <v>1047</v>
      </c>
      <c r="D1595" s="303" t="s">
        <v>409</v>
      </c>
      <c r="E1595" s="314" t="s">
        <v>260</v>
      </c>
      <c r="F1595" s="314" t="s">
        <v>549</v>
      </c>
      <c r="G1595" s="328">
        <v>125</v>
      </c>
      <c r="H1595" s="305" t="s">
        <v>282</v>
      </c>
      <c r="I1595" s="305" t="s">
        <v>152</v>
      </c>
      <c r="J1595" s="305" t="s">
        <v>101</v>
      </c>
      <c r="K1595" s="305" t="s">
        <v>2371</v>
      </c>
    </row>
    <row r="1596" spans="1:11" s="324" customFormat="1" x14ac:dyDescent="0.25">
      <c r="A1596" s="317" t="str">
        <f t="shared" si="40"/>
        <v>Advanced Thermostat_Furnace (Replace Manual)_SF_</v>
      </c>
      <c r="B1596" s="317" t="str">
        <f>B1595</f>
        <v>Advanced Thermostat</v>
      </c>
      <c r="C1596" s="317" t="str">
        <f>C1595</f>
        <v>Furnace (Replace Manual)</v>
      </c>
      <c r="D1596" s="317" t="str">
        <f>D1595</f>
        <v>SF</v>
      </c>
      <c r="E1596" s="317"/>
      <c r="F1596" s="317"/>
      <c r="G1596" s="323"/>
      <c r="H1596" s="320"/>
      <c r="I1596" s="320"/>
      <c r="J1596" s="317"/>
      <c r="K1596" s="317"/>
    </row>
    <row r="1597" spans="1:11" x14ac:dyDescent="0.25">
      <c r="A1597" s="302" t="str">
        <f t="shared" si="40"/>
        <v>Advanced Thermostat_Furnace (Replace Manual)_MF_Heating Energy Reduction</v>
      </c>
      <c r="B1597" s="303" t="s">
        <v>7</v>
      </c>
      <c r="C1597" s="303" t="s">
        <v>1047</v>
      </c>
      <c r="D1597" s="303" t="s">
        <v>553</v>
      </c>
      <c r="E1597" s="385" t="s">
        <v>279</v>
      </c>
      <c r="F1597" s="305" t="s">
        <v>539</v>
      </c>
      <c r="G1597" s="353">
        <v>0.10199999999999999</v>
      </c>
      <c r="H1597" s="311" t="s">
        <v>1048</v>
      </c>
      <c r="I1597" s="305" t="s">
        <v>152</v>
      </c>
      <c r="J1597" s="305" t="s">
        <v>101</v>
      </c>
      <c r="K1597" s="305" t="s">
        <v>2371</v>
      </c>
    </row>
    <row r="1598" spans="1:11" x14ac:dyDescent="0.25">
      <c r="A1598" s="302" t="str">
        <f t="shared" si="40"/>
        <v>Advanced Thermostat_Furnace (Replace Manual)_MF_Household Factor</v>
      </c>
      <c r="B1598" s="303" t="s">
        <v>7</v>
      </c>
      <c r="C1598" s="303" t="s">
        <v>1047</v>
      </c>
      <c r="D1598" s="303" t="s">
        <v>553</v>
      </c>
      <c r="E1598" s="305" t="s">
        <v>276</v>
      </c>
      <c r="F1598" s="305" t="s">
        <v>539</v>
      </c>
      <c r="G1598" s="308">
        <v>0.65</v>
      </c>
      <c r="H1598" s="305" t="s">
        <v>553</v>
      </c>
      <c r="I1598" s="305" t="s">
        <v>152</v>
      </c>
      <c r="J1598" s="305" t="s">
        <v>101</v>
      </c>
      <c r="K1598" s="305" t="s">
        <v>2371</v>
      </c>
    </row>
    <row r="1599" spans="1:11" x14ac:dyDescent="0.25">
      <c r="A1599" s="302" t="str">
        <f t="shared" si="40"/>
        <v>Advanced Thermostat_Furnace (Replace Manual)_MF_Gas Heating Consumption</v>
      </c>
      <c r="B1599" s="303" t="s">
        <v>7</v>
      </c>
      <c r="C1599" s="303" t="s">
        <v>1047</v>
      </c>
      <c r="D1599" s="303" t="s">
        <v>553</v>
      </c>
      <c r="E1599" s="305" t="s">
        <v>275</v>
      </c>
      <c r="F1599" s="305" t="s">
        <v>1015</v>
      </c>
      <c r="G1599" s="339">
        <v>1005</v>
      </c>
      <c r="H1599" s="305" t="s">
        <v>675</v>
      </c>
      <c r="I1599" s="305" t="s">
        <v>152</v>
      </c>
      <c r="J1599" s="305" t="s">
        <v>101</v>
      </c>
      <c r="K1599" s="305" t="s">
        <v>2371</v>
      </c>
    </row>
    <row r="1600" spans="1:11" x14ac:dyDescent="0.25">
      <c r="A1600" s="302" t="str">
        <f t="shared" si="40"/>
        <v>Advanced Thermostat_Furnace (Replace Manual)_MF_ISR</v>
      </c>
      <c r="B1600" s="303" t="s">
        <v>7</v>
      </c>
      <c r="C1600" s="303" t="s">
        <v>1047</v>
      </c>
      <c r="D1600" s="303" t="s">
        <v>553</v>
      </c>
      <c r="E1600" s="305" t="s">
        <v>267</v>
      </c>
      <c r="F1600" s="305" t="s">
        <v>539</v>
      </c>
      <c r="G1600" s="308">
        <v>1</v>
      </c>
      <c r="H1600" s="305"/>
      <c r="I1600" s="305" t="s">
        <v>152</v>
      </c>
      <c r="J1600" s="305" t="s">
        <v>101</v>
      </c>
      <c r="K1600" s="305" t="s">
        <v>2371</v>
      </c>
    </row>
    <row r="1601" spans="1:11" x14ac:dyDescent="0.25">
      <c r="A1601" s="302" t="str">
        <f t="shared" ref="A1601" si="41">B1601&amp;"_"&amp;C1601&amp;"_"&amp;D1601&amp;"_"&amp;E1601</f>
        <v>Advanced Thermostat_Furnace (Replace Manual)_MF_%FossilHeat</v>
      </c>
      <c r="B1601" s="303" t="s">
        <v>7</v>
      </c>
      <c r="C1601" s="303" t="s">
        <v>1047</v>
      </c>
      <c r="D1601" s="303" t="s">
        <v>553</v>
      </c>
      <c r="E1601" s="311" t="s">
        <v>1938</v>
      </c>
      <c r="F1601" s="334" t="s">
        <v>539</v>
      </c>
      <c r="G1601" s="322">
        <v>1</v>
      </c>
      <c r="H1601" s="311" t="s">
        <v>1939</v>
      </c>
      <c r="I1601" s="305" t="s">
        <v>152</v>
      </c>
      <c r="J1601" s="305" t="s">
        <v>101</v>
      </c>
      <c r="K1601" s="305" t="s">
        <v>2371</v>
      </c>
    </row>
    <row r="1602" spans="1:11" x14ac:dyDescent="0.25">
      <c r="A1602" s="302" t="str">
        <f t="shared" si="40"/>
        <v>Advanced Thermostat_Furnace (Replace Manual)_MF_Furnace Fan Energy Consumption %</v>
      </c>
      <c r="B1602" s="303" t="s">
        <v>7</v>
      </c>
      <c r="C1602" s="303" t="s">
        <v>1047</v>
      </c>
      <c r="D1602" s="303" t="s">
        <v>553</v>
      </c>
      <c r="E1602" s="385" t="s">
        <v>277</v>
      </c>
      <c r="F1602" s="305" t="s">
        <v>539</v>
      </c>
      <c r="G1602" s="333">
        <v>3.1399999999999997E-2</v>
      </c>
      <c r="H1602" s="305" t="s">
        <v>278</v>
      </c>
      <c r="I1602" s="305" t="s">
        <v>152</v>
      </c>
      <c r="J1602" s="305" t="s">
        <v>101</v>
      </c>
      <c r="K1602" s="305" t="s">
        <v>2371</v>
      </c>
    </row>
    <row r="1603" spans="1:11" x14ac:dyDescent="0.25">
      <c r="A1603" s="302" t="str">
        <f t="shared" si="40"/>
        <v>Advanced Thermostat_Furnace (Replace Manual)_MF_Therm Saved per Unit</v>
      </c>
      <c r="B1603" s="303" t="s">
        <v>7</v>
      </c>
      <c r="C1603" s="303" t="s">
        <v>1047</v>
      </c>
      <c r="D1603" s="303" t="s">
        <v>553</v>
      </c>
      <c r="E1603" s="314" t="s">
        <v>326</v>
      </c>
      <c r="F1603" s="314"/>
      <c r="G1603" s="315">
        <f>G1599*G1597*G1598*G1600*G1601</f>
        <v>66.631500000000003</v>
      </c>
      <c r="H1603" s="305"/>
      <c r="I1603" s="305" t="s">
        <v>152</v>
      </c>
      <c r="J1603" s="305" t="s">
        <v>101</v>
      </c>
      <c r="K1603" s="305" t="s">
        <v>2371</v>
      </c>
    </row>
    <row r="1604" spans="1:11" x14ac:dyDescent="0.25">
      <c r="A1604" s="302" t="str">
        <f t="shared" si="40"/>
        <v>Advanced Thermostat_Furnace (Replace Manual)_MF_kWh Saved per Unit</v>
      </c>
      <c r="B1604" s="303" t="s">
        <v>7</v>
      </c>
      <c r="C1604" s="303" t="s">
        <v>1047</v>
      </c>
      <c r="D1604" s="303" t="s">
        <v>553</v>
      </c>
      <c r="E1604" s="314" t="s">
        <v>255</v>
      </c>
      <c r="F1604" s="314"/>
      <c r="G1604" s="315">
        <f>G1603*G1602*29.3</f>
        <v>61.302312630000003</v>
      </c>
      <c r="H1604" s="305"/>
      <c r="I1604" s="305" t="s">
        <v>152</v>
      </c>
      <c r="J1604" s="305" t="s">
        <v>101</v>
      </c>
      <c r="K1604" s="305" t="s">
        <v>2371</v>
      </c>
    </row>
    <row r="1605" spans="1:11" x14ac:dyDescent="0.25">
      <c r="A1605" s="302" t="str">
        <f t="shared" si="40"/>
        <v>Advanced Thermostat_Furnace (Replace Manual)_MF_Lifetime (years)</v>
      </c>
      <c r="B1605" s="303" t="s">
        <v>7</v>
      </c>
      <c r="C1605" s="303" t="s">
        <v>1047</v>
      </c>
      <c r="D1605" s="303" t="s">
        <v>553</v>
      </c>
      <c r="E1605" s="314" t="s">
        <v>259</v>
      </c>
      <c r="F1605" s="314" t="s">
        <v>548</v>
      </c>
      <c r="G1605" s="315">
        <v>11</v>
      </c>
      <c r="H1605" s="305"/>
      <c r="I1605" s="305" t="s">
        <v>152</v>
      </c>
      <c r="J1605" s="305" t="s">
        <v>101</v>
      </c>
      <c r="K1605" s="305" t="s">
        <v>2371</v>
      </c>
    </row>
    <row r="1606" spans="1:11" x14ac:dyDescent="0.25">
      <c r="A1606" s="302" t="str">
        <f t="shared" si="40"/>
        <v>Advanced Thermostat_Furnace (Replace Manual)_MF_Incremental Cost</v>
      </c>
      <c r="B1606" s="303" t="s">
        <v>7</v>
      </c>
      <c r="C1606" s="303" t="s">
        <v>1047</v>
      </c>
      <c r="D1606" s="303" t="s">
        <v>553</v>
      </c>
      <c r="E1606" s="314" t="s">
        <v>260</v>
      </c>
      <c r="F1606" s="314" t="s">
        <v>549</v>
      </c>
      <c r="G1606" s="328">
        <v>125</v>
      </c>
      <c r="H1606" s="305" t="s">
        <v>282</v>
      </c>
      <c r="I1606" s="305" t="s">
        <v>152</v>
      </c>
      <c r="J1606" s="305" t="s">
        <v>101</v>
      </c>
      <c r="K1606" s="305" t="s">
        <v>2371</v>
      </c>
    </row>
    <row r="1607" spans="1:11" s="324" customFormat="1" x14ac:dyDescent="0.25">
      <c r="A1607" s="317" t="str">
        <f t="shared" si="40"/>
        <v>Advanced Thermostat_Furnace (Replace Manual)_MF_</v>
      </c>
      <c r="B1607" s="317" t="str">
        <f>B1606</f>
        <v>Advanced Thermostat</v>
      </c>
      <c r="C1607" s="317" t="str">
        <f>C1606</f>
        <v>Furnace (Replace Manual)</v>
      </c>
      <c r="D1607" s="317" t="str">
        <f>D1606</f>
        <v>MF</v>
      </c>
      <c r="E1607" s="317"/>
      <c r="F1607" s="317"/>
      <c r="G1607" s="323"/>
      <c r="H1607" s="320"/>
      <c r="I1607" s="320"/>
      <c r="J1607" s="317"/>
      <c r="K1607" s="317"/>
    </row>
    <row r="1608" spans="1:11" x14ac:dyDescent="0.25">
      <c r="A1608" s="302" t="str">
        <f t="shared" si="40"/>
        <v>Advanced Thermostat_Furnace (Replace Programmable)_SF_Heating Energy Reduction</v>
      </c>
      <c r="B1608" s="303" t="s">
        <v>7</v>
      </c>
      <c r="C1608" s="303" t="s">
        <v>1049</v>
      </c>
      <c r="D1608" s="303" t="s">
        <v>409</v>
      </c>
      <c r="E1608" s="385" t="s">
        <v>279</v>
      </c>
      <c r="F1608" s="305" t="s">
        <v>539</v>
      </c>
      <c r="G1608" s="353">
        <v>7.0999999999999994E-2</v>
      </c>
      <c r="H1608" s="311" t="s">
        <v>1822</v>
      </c>
      <c r="I1608" s="305" t="s">
        <v>152</v>
      </c>
      <c r="J1608" s="305" t="s">
        <v>101</v>
      </c>
      <c r="K1608" s="305" t="s">
        <v>2371</v>
      </c>
    </row>
    <row r="1609" spans="1:11" x14ac:dyDescent="0.25">
      <c r="A1609" s="302" t="str">
        <f t="shared" si="40"/>
        <v>Advanced Thermostat_Furnace (Replace Programmable)_SF_Household Factor</v>
      </c>
      <c r="B1609" s="303" t="s">
        <v>7</v>
      </c>
      <c r="C1609" s="303" t="s">
        <v>1049</v>
      </c>
      <c r="D1609" s="303" t="s">
        <v>409</v>
      </c>
      <c r="E1609" s="305" t="s">
        <v>276</v>
      </c>
      <c r="F1609" s="305" t="s">
        <v>539</v>
      </c>
      <c r="G1609" s="308">
        <v>1</v>
      </c>
      <c r="H1609" s="305" t="s">
        <v>375</v>
      </c>
      <c r="I1609" s="305" t="s">
        <v>152</v>
      </c>
      <c r="J1609" s="305" t="s">
        <v>101</v>
      </c>
      <c r="K1609" s="305" t="s">
        <v>2371</v>
      </c>
    </row>
    <row r="1610" spans="1:11" x14ac:dyDescent="0.25">
      <c r="A1610" s="302" t="str">
        <f t="shared" si="40"/>
        <v>Advanced Thermostat_Furnace (Replace Programmable)_SF_Gas Heating Consumption</v>
      </c>
      <c r="B1610" s="303" t="s">
        <v>7</v>
      </c>
      <c r="C1610" s="303" t="s">
        <v>1049</v>
      </c>
      <c r="D1610" s="303" t="s">
        <v>409</v>
      </c>
      <c r="E1610" s="305" t="s">
        <v>275</v>
      </c>
      <c r="F1610" s="305" t="s">
        <v>1015</v>
      </c>
      <c r="G1610" s="339">
        <v>1005</v>
      </c>
      <c r="H1610" s="305" t="s">
        <v>675</v>
      </c>
      <c r="I1610" s="305" t="s">
        <v>152</v>
      </c>
      <c r="J1610" s="305" t="s">
        <v>101</v>
      </c>
      <c r="K1610" s="305" t="s">
        <v>2371</v>
      </c>
    </row>
    <row r="1611" spans="1:11" x14ac:dyDescent="0.25">
      <c r="A1611" s="302" t="str">
        <f t="shared" si="40"/>
        <v>Advanced Thermostat_Furnace (Replace Programmable)_SF_ISR</v>
      </c>
      <c r="B1611" s="303" t="s">
        <v>7</v>
      </c>
      <c r="C1611" s="303" t="s">
        <v>1049</v>
      </c>
      <c r="D1611" s="303" t="s">
        <v>409</v>
      </c>
      <c r="E1611" s="305" t="s">
        <v>267</v>
      </c>
      <c r="F1611" s="305" t="s">
        <v>539</v>
      </c>
      <c r="G1611" s="308">
        <v>1</v>
      </c>
      <c r="H1611" s="305"/>
      <c r="I1611" s="305" t="s">
        <v>152</v>
      </c>
      <c r="J1611" s="305" t="s">
        <v>101</v>
      </c>
      <c r="K1611" s="305" t="s">
        <v>2371</v>
      </c>
    </row>
    <row r="1612" spans="1:11" x14ac:dyDescent="0.25">
      <c r="A1612" s="302" t="str">
        <f t="shared" si="40"/>
        <v>Advanced Thermostat_Furnace (Replace Programmable)_SF_%FossilHeat</v>
      </c>
      <c r="B1612" s="303" t="s">
        <v>7</v>
      </c>
      <c r="C1612" s="303" t="s">
        <v>1049</v>
      </c>
      <c r="D1612" s="303" t="s">
        <v>409</v>
      </c>
      <c r="E1612" s="311" t="s">
        <v>1938</v>
      </c>
      <c r="F1612" s="334" t="s">
        <v>539</v>
      </c>
      <c r="G1612" s="322">
        <v>1</v>
      </c>
      <c r="H1612" s="311" t="s">
        <v>1939</v>
      </c>
      <c r="I1612" s="305" t="s">
        <v>152</v>
      </c>
      <c r="J1612" s="305" t="s">
        <v>101</v>
      </c>
      <c r="K1612" s="305" t="s">
        <v>2371</v>
      </c>
    </row>
    <row r="1613" spans="1:11" x14ac:dyDescent="0.25">
      <c r="A1613" s="302" t="str">
        <f t="shared" si="40"/>
        <v>Advanced Thermostat_Furnace (Replace Programmable)_SF_Furnace Fan Energy Consumption %</v>
      </c>
      <c r="B1613" s="303" t="s">
        <v>7</v>
      </c>
      <c r="C1613" s="303" t="s">
        <v>1049</v>
      </c>
      <c r="D1613" s="303" t="s">
        <v>409</v>
      </c>
      <c r="E1613" s="385" t="s">
        <v>277</v>
      </c>
      <c r="F1613" s="305" t="s">
        <v>539</v>
      </c>
      <c r="G1613" s="333">
        <v>3.1399999999999997E-2</v>
      </c>
      <c r="H1613" s="305" t="s">
        <v>278</v>
      </c>
      <c r="I1613" s="305" t="s">
        <v>152</v>
      </c>
      <c r="J1613" s="305" t="s">
        <v>101</v>
      </c>
      <c r="K1613" s="305" t="s">
        <v>2371</v>
      </c>
    </row>
    <row r="1614" spans="1:11" x14ac:dyDescent="0.25">
      <c r="A1614" s="302" t="str">
        <f t="shared" si="40"/>
        <v>Advanced Thermostat_Furnace (Replace Programmable)_SF_Therm Saved per Unit</v>
      </c>
      <c r="B1614" s="303" t="s">
        <v>7</v>
      </c>
      <c r="C1614" s="303" t="s">
        <v>1049</v>
      </c>
      <c r="D1614" s="303" t="s">
        <v>409</v>
      </c>
      <c r="E1614" s="314" t="s">
        <v>326</v>
      </c>
      <c r="F1614" s="314"/>
      <c r="G1614" s="315">
        <f>G1610*G1608*G1609*G1611*G1612</f>
        <v>71.35499999999999</v>
      </c>
      <c r="H1614" s="305"/>
      <c r="I1614" s="305" t="s">
        <v>152</v>
      </c>
      <c r="J1614" s="305" t="s">
        <v>101</v>
      </c>
      <c r="K1614" s="305" t="s">
        <v>2371</v>
      </c>
    </row>
    <row r="1615" spans="1:11" x14ac:dyDescent="0.25">
      <c r="A1615" s="302" t="str">
        <f t="shared" si="40"/>
        <v>Advanced Thermostat_Furnace (Replace Programmable)_SF_kWh Saved per Unit</v>
      </c>
      <c r="B1615" s="303" t="s">
        <v>7</v>
      </c>
      <c r="C1615" s="303" t="s">
        <v>1049</v>
      </c>
      <c r="D1615" s="303" t="s">
        <v>409</v>
      </c>
      <c r="E1615" s="314" t="s">
        <v>255</v>
      </c>
      <c r="F1615" s="314"/>
      <c r="G1615" s="315">
        <f>G1614*G1613*29.3</f>
        <v>65.648027099999979</v>
      </c>
      <c r="H1615" s="305"/>
      <c r="I1615" s="305" t="s">
        <v>152</v>
      </c>
      <c r="J1615" s="305" t="s">
        <v>101</v>
      </c>
      <c r="K1615" s="305" t="s">
        <v>2371</v>
      </c>
    </row>
    <row r="1616" spans="1:11" x14ac:dyDescent="0.25">
      <c r="A1616" s="302" t="str">
        <f t="shared" si="40"/>
        <v>Advanced Thermostat_Furnace (Replace Programmable)_SF_Lifetime (years)</v>
      </c>
      <c r="B1616" s="303" t="s">
        <v>7</v>
      </c>
      <c r="C1616" s="303" t="s">
        <v>1049</v>
      </c>
      <c r="D1616" s="303" t="s">
        <v>409</v>
      </c>
      <c r="E1616" s="314" t="s">
        <v>259</v>
      </c>
      <c r="F1616" s="314" t="s">
        <v>548</v>
      </c>
      <c r="G1616" s="315">
        <v>11</v>
      </c>
      <c r="H1616" s="305"/>
      <c r="I1616" s="305" t="s">
        <v>152</v>
      </c>
      <c r="J1616" s="305" t="s">
        <v>101</v>
      </c>
      <c r="K1616" s="305" t="s">
        <v>2371</v>
      </c>
    </row>
    <row r="1617" spans="1:11" x14ac:dyDescent="0.25">
      <c r="A1617" s="302" t="str">
        <f t="shared" si="40"/>
        <v>Advanced Thermostat_Furnace (Replace Programmable)_SF_Incremental Cost</v>
      </c>
      <c r="B1617" s="303" t="s">
        <v>7</v>
      </c>
      <c r="C1617" s="303" t="s">
        <v>1049</v>
      </c>
      <c r="D1617" s="303" t="s">
        <v>409</v>
      </c>
      <c r="E1617" s="314" t="s">
        <v>260</v>
      </c>
      <c r="F1617" s="314" t="s">
        <v>549</v>
      </c>
      <c r="G1617" s="328">
        <v>125</v>
      </c>
      <c r="H1617" s="305" t="s">
        <v>282</v>
      </c>
      <c r="I1617" s="305" t="s">
        <v>152</v>
      </c>
      <c r="J1617" s="305" t="s">
        <v>101</v>
      </c>
      <c r="K1617" s="305" t="s">
        <v>2371</v>
      </c>
    </row>
    <row r="1618" spans="1:11" s="324" customFormat="1" x14ac:dyDescent="0.25">
      <c r="A1618" s="317" t="str">
        <f t="shared" si="40"/>
        <v>Advanced Thermostat_Furnace (Replace Programmable)_SF_</v>
      </c>
      <c r="B1618" s="317" t="str">
        <f>B1617</f>
        <v>Advanced Thermostat</v>
      </c>
      <c r="C1618" s="317" t="str">
        <f>C1617</f>
        <v>Furnace (Replace Programmable)</v>
      </c>
      <c r="D1618" s="317" t="str">
        <f>D1617</f>
        <v>SF</v>
      </c>
      <c r="E1618" s="317"/>
      <c r="F1618" s="317"/>
      <c r="G1618" s="323"/>
      <c r="H1618" s="320"/>
      <c r="I1618" s="320"/>
      <c r="J1618" s="317"/>
      <c r="K1618" s="317"/>
    </row>
    <row r="1619" spans="1:11" x14ac:dyDescent="0.25">
      <c r="A1619" s="302" t="str">
        <f t="shared" si="40"/>
        <v>Advanced Thermostat_Furnace (Replace Unknown)_SF_Heating Energy Reduction</v>
      </c>
      <c r="B1619" s="303" t="s">
        <v>7</v>
      </c>
      <c r="C1619" s="303" t="s">
        <v>1050</v>
      </c>
      <c r="D1619" s="303" t="s">
        <v>409</v>
      </c>
      <c r="E1619" s="385" t="s">
        <v>279</v>
      </c>
      <c r="F1619" s="305" t="s">
        <v>539</v>
      </c>
      <c r="G1619" s="353">
        <v>8.5000000000000006E-2</v>
      </c>
      <c r="H1619" s="311" t="s">
        <v>274</v>
      </c>
      <c r="I1619" s="305" t="s">
        <v>152</v>
      </c>
      <c r="J1619" s="305" t="s">
        <v>101</v>
      </c>
      <c r="K1619" s="305" t="s">
        <v>2371</v>
      </c>
    </row>
    <row r="1620" spans="1:11" x14ac:dyDescent="0.25">
      <c r="A1620" s="302" t="str">
        <f t="shared" si="40"/>
        <v>Advanced Thermostat_Furnace (Replace Unknown)_SF_Household Factor</v>
      </c>
      <c r="B1620" s="303" t="s">
        <v>7</v>
      </c>
      <c r="C1620" s="303" t="s">
        <v>1050</v>
      </c>
      <c r="D1620" s="303" t="s">
        <v>409</v>
      </c>
      <c r="E1620" s="305" t="s">
        <v>276</v>
      </c>
      <c r="F1620" s="305" t="s">
        <v>539</v>
      </c>
      <c r="G1620" s="308">
        <v>1</v>
      </c>
      <c r="H1620" s="305" t="s">
        <v>375</v>
      </c>
      <c r="I1620" s="305" t="s">
        <v>152</v>
      </c>
      <c r="J1620" s="305" t="s">
        <v>101</v>
      </c>
      <c r="K1620" s="305" t="s">
        <v>2371</v>
      </c>
    </row>
    <row r="1621" spans="1:11" x14ac:dyDescent="0.25">
      <c r="A1621" s="302" t="str">
        <f t="shared" si="40"/>
        <v>Advanced Thermostat_Furnace (Replace Unknown)_SF_Gas Heating Consumption</v>
      </c>
      <c r="B1621" s="303" t="s">
        <v>7</v>
      </c>
      <c r="C1621" s="303" t="s">
        <v>1050</v>
      </c>
      <c r="D1621" s="303" t="s">
        <v>409</v>
      </c>
      <c r="E1621" s="305" t="s">
        <v>275</v>
      </c>
      <c r="F1621" s="305" t="s">
        <v>1015</v>
      </c>
      <c r="G1621" s="339">
        <v>1005</v>
      </c>
      <c r="H1621" s="305" t="s">
        <v>675</v>
      </c>
      <c r="I1621" s="305" t="s">
        <v>152</v>
      </c>
      <c r="J1621" s="305" t="s">
        <v>101</v>
      </c>
      <c r="K1621" s="305" t="s">
        <v>2371</v>
      </c>
    </row>
    <row r="1622" spans="1:11" x14ac:dyDescent="0.25">
      <c r="A1622" s="302" t="str">
        <f t="shared" si="40"/>
        <v>Advanced Thermostat_Furnace (Replace Unknown)_SF_ISR</v>
      </c>
      <c r="B1622" s="303" t="s">
        <v>7</v>
      </c>
      <c r="C1622" s="303" t="s">
        <v>1050</v>
      </c>
      <c r="D1622" s="303" t="s">
        <v>409</v>
      </c>
      <c r="E1622" s="305" t="s">
        <v>267</v>
      </c>
      <c r="F1622" s="305" t="s">
        <v>539</v>
      </c>
      <c r="G1622" s="308">
        <v>1</v>
      </c>
      <c r="H1622" s="305"/>
      <c r="I1622" s="305" t="s">
        <v>152</v>
      </c>
      <c r="J1622" s="305" t="s">
        <v>101</v>
      </c>
      <c r="K1622" s="305" t="s">
        <v>2371</v>
      </c>
    </row>
    <row r="1623" spans="1:11" x14ac:dyDescent="0.25">
      <c r="A1623" s="302" t="str">
        <f t="shared" ref="A1623" si="42">B1623&amp;"_"&amp;C1623&amp;"_"&amp;D1623&amp;"_"&amp;E1623</f>
        <v>Advanced Thermostat_Furnace (Replace Unknown)_SF_%FossilHeat</v>
      </c>
      <c r="B1623" s="303" t="s">
        <v>7</v>
      </c>
      <c r="C1623" s="303" t="s">
        <v>1050</v>
      </c>
      <c r="D1623" s="303" t="s">
        <v>409</v>
      </c>
      <c r="E1623" s="311" t="s">
        <v>1938</v>
      </c>
      <c r="F1623" s="334" t="s">
        <v>539</v>
      </c>
      <c r="G1623" s="322">
        <v>1</v>
      </c>
      <c r="H1623" s="311" t="s">
        <v>1939</v>
      </c>
      <c r="I1623" s="305" t="s">
        <v>152</v>
      </c>
      <c r="J1623" s="305" t="s">
        <v>101</v>
      </c>
      <c r="K1623" s="305" t="s">
        <v>2371</v>
      </c>
    </row>
    <row r="1624" spans="1:11" x14ac:dyDescent="0.25">
      <c r="A1624" s="302" t="str">
        <f t="shared" si="40"/>
        <v>Advanced Thermostat_Furnace (Replace Unknown)_SF_Furnace Fan Energy Consumption %</v>
      </c>
      <c r="B1624" s="303" t="s">
        <v>7</v>
      </c>
      <c r="C1624" s="303" t="s">
        <v>1050</v>
      </c>
      <c r="D1624" s="303" t="s">
        <v>409</v>
      </c>
      <c r="E1624" s="385" t="s">
        <v>277</v>
      </c>
      <c r="F1624" s="305" t="s">
        <v>539</v>
      </c>
      <c r="G1624" s="333">
        <v>3.1399999999999997E-2</v>
      </c>
      <c r="H1624" s="305" t="s">
        <v>278</v>
      </c>
      <c r="I1624" s="305" t="s">
        <v>152</v>
      </c>
      <c r="J1624" s="305" t="s">
        <v>101</v>
      </c>
      <c r="K1624" s="305" t="s">
        <v>2371</v>
      </c>
    </row>
    <row r="1625" spans="1:11" x14ac:dyDescent="0.25">
      <c r="A1625" s="302" t="str">
        <f t="shared" si="40"/>
        <v>Advanced Thermostat_Furnace (Replace Unknown)_SF_Therm Saved per Unit</v>
      </c>
      <c r="B1625" s="303" t="s">
        <v>7</v>
      </c>
      <c r="C1625" s="303" t="s">
        <v>1050</v>
      </c>
      <c r="D1625" s="303" t="s">
        <v>409</v>
      </c>
      <c r="E1625" s="314" t="s">
        <v>326</v>
      </c>
      <c r="F1625" s="314"/>
      <c r="G1625" s="315">
        <f>G1621*G1619*G1620*G1622*G1623</f>
        <v>85.425000000000011</v>
      </c>
      <c r="H1625" s="305"/>
      <c r="I1625" s="305" t="s">
        <v>152</v>
      </c>
      <c r="J1625" s="305" t="s">
        <v>101</v>
      </c>
      <c r="K1625" s="305" t="s">
        <v>2371</v>
      </c>
    </row>
    <row r="1626" spans="1:11" x14ac:dyDescent="0.25">
      <c r="A1626" s="302" t="str">
        <f t="shared" si="40"/>
        <v>Advanced Thermostat_Furnace (Replace Unknown)_SF_kWh Saved per Unit</v>
      </c>
      <c r="B1626" s="303" t="s">
        <v>7</v>
      </c>
      <c r="C1626" s="303" t="s">
        <v>1050</v>
      </c>
      <c r="D1626" s="303" t="s">
        <v>409</v>
      </c>
      <c r="E1626" s="314" t="s">
        <v>255</v>
      </c>
      <c r="F1626" s="314"/>
      <c r="G1626" s="315">
        <f>G1625*G1624*29.3</f>
        <v>78.592708500000015</v>
      </c>
      <c r="H1626" s="305"/>
      <c r="I1626" s="305" t="s">
        <v>152</v>
      </c>
      <c r="J1626" s="305" t="s">
        <v>101</v>
      </c>
      <c r="K1626" s="305" t="s">
        <v>2371</v>
      </c>
    </row>
    <row r="1627" spans="1:11" x14ac:dyDescent="0.25">
      <c r="A1627" s="302" t="str">
        <f t="shared" si="40"/>
        <v>Advanced Thermostat_Furnace (Replace Unknown)_SF_Lifetime (years)</v>
      </c>
      <c r="B1627" s="303" t="s">
        <v>7</v>
      </c>
      <c r="C1627" s="303" t="s">
        <v>1050</v>
      </c>
      <c r="D1627" s="303" t="s">
        <v>409</v>
      </c>
      <c r="E1627" s="314" t="s">
        <v>259</v>
      </c>
      <c r="F1627" s="314" t="s">
        <v>548</v>
      </c>
      <c r="G1627" s="315">
        <v>11</v>
      </c>
      <c r="H1627" s="305"/>
      <c r="I1627" s="305" t="s">
        <v>152</v>
      </c>
      <c r="J1627" s="305" t="s">
        <v>101</v>
      </c>
      <c r="K1627" s="305" t="s">
        <v>2371</v>
      </c>
    </row>
    <row r="1628" spans="1:11" x14ac:dyDescent="0.25">
      <c r="A1628" s="302" t="str">
        <f t="shared" si="40"/>
        <v>Advanced Thermostat_Furnace (Replace Unknown)_SF_Incremental Cost</v>
      </c>
      <c r="B1628" s="303" t="s">
        <v>7</v>
      </c>
      <c r="C1628" s="303" t="s">
        <v>1050</v>
      </c>
      <c r="D1628" s="303" t="s">
        <v>409</v>
      </c>
      <c r="E1628" s="314" t="s">
        <v>260</v>
      </c>
      <c r="F1628" s="314" t="s">
        <v>549</v>
      </c>
      <c r="G1628" s="328">
        <v>125</v>
      </c>
      <c r="H1628" s="305" t="s">
        <v>282</v>
      </c>
      <c r="I1628" s="305" t="s">
        <v>152</v>
      </c>
      <c r="J1628" s="305" t="s">
        <v>101</v>
      </c>
      <c r="K1628" s="305" t="s">
        <v>2371</v>
      </c>
    </row>
    <row r="1629" spans="1:11" s="324" customFormat="1" x14ac:dyDescent="0.25">
      <c r="A1629" s="317" t="str">
        <f t="shared" si="40"/>
        <v>Advanced Thermostat_Furnace (Replace Unknown)_SF_</v>
      </c>
      <c r="B1629" s="317" t="str">
        <f>B1628</f>
        <v>Advanced Thermostat</v>
      </c>
      <c r="C1629" s="317" t="str">
        <f>C1628</f>
        <v>Furnace (Replace Unknown)</v>
      </c>
      <c r="D1629" s="317" t="str">
        <f>D1628</f>
        <v>SF</v>
      </c>
      <c r="E1629" s="317"/>
      <c r="F1629" s="317"/>
      <c r="G1629" s="323"/>
      <c r="H1629" s="320"/>
      <c r="I1629" s="320"/>
      <c r="J1629" s="317"/>
      <c r="K1629" s="317"/>
    </row>
    <row r="1630" spans="1:11" x14ac:dyDescent="0.25">
      <c r="A1630" s="302" t="str">
        <f t="shared" si="40"/>
        <v>Advanced Thermostat_Furnace (Replace Programmable)_MF_Heating Energy Reduction</v>
      </c>
      <c r="B1630" s="303" t="s">
        <v>7</v>
      </c>
      <c r="C1630" s="303" t="s">
        <v>1049</v>
      </c>
      <c r="D1630" s="303" t="s">
        <v>553</v>
      </c>
      <c r="E1630" s="385" t="s">
        <v>279</v>
      </c>
      <c r="F1630" s="305" t="s">
        <v>539</v>
      </c>
      <c r="G1630" s="353">
        <v>7.0999999999999994E-2</v>
      </c>
      <c r="H1630" s="311" t="s">
        <v>1822</v>
      </c>
      <c r="I1630" s="305" t="s">
        <v>152</v>
      </c>
      <c r="J1630" s="305" t="s">
        <v>101</v>
      </c>
      <c r="K1630" s="305" t="s">
        <v>2371</v>
      </c>
    </row>
    <row r="1631" spans="1:11" x14ac:dyDescent="0.25">
      <c r="A1631" s="302" t="str">
        <f t="shared" si="40"/>
        <v>Advanced Thermostat_Furnace (Replace Programmable)_MF_Household Factor</v>
      </c>
      <c r="B1631" s="303" t="s">
        <v>7</v>
      </c>
      <c r="C1631" s="303" t="s">
        <v>1049</v>
      </c>
      <c r="D1631" s="303" t="s">
        <v>553</v>
      </c>
      <c r="E1631" s="305" t="s">
        <v>276</v>
      </c>
      <c r="F1631" s="305" t="s">
        <v>539</v>
      </c>
      <c r="G1631" s="308">
        <v>0.65</v>
      </c>
      <c r="H1631" s="305" t="s">
        <v>553</v>
      </c>
      <c r="I1631" s="305" t="s">
        <v>152</v>
      </c>
      <c r="J1631" s="305" t="s">
        <v>101</v>
      </c>
      <c r="K1631" s="305" t="s">
        <v>2371</v>
      </c>
    </row>
    <row r="1632" spans="1:11" x14ac:dyDescent="0.25">
      <c r="A1632" s="302" t="str">
        <f t="shared" si="40"/>
        <v>Advanced Thermostat_Furnace (Replace Programmable)_MF_Gas Heating Consumption</v>
      </c>
      <c r="B1632" s="303" t="s">
        <v>7</v>
      </c>
      <c r="C1632" s="303" t="s">
        <v>1049</v>
      </c>
      <c r="D1632" s="303" t="s">
        <v>553</v>
      </c>
      <c r="E1632" s="305" t="s">
        <v>275</v>
      </c>
      <c r="F1632" s="305" t="s">
        <v>1015</v>
      </c>
      <c r="G1632" s="339">
        <v>1005</v>
      </c>
      <c r="H1632" s="305" t="s">
        <v>675</v>
      </c>
      <c r="I1632" s="305" t="s">
        <v>152</v>
      </c>
      <c r="J1632" s="305" t="s">
        <v>101</v>
      </c>
      <c r="K1632" s="305" t="s">
        <v>2371</v>
      </c>
    </row>
    <row r="1633" spans="1:11" x14ac:dyDescent="0.25">
      <c r="A1633" s="302" t="str">
        <f t="shared" si="40"/>
        <v>Advanced Thermostat_Furnace (Replace Programmable)_MF_ISR</v>
      </c>
      <c r="B1633" s="303" t="s">
        <v>7</v>
      </c>
      <c r="C1633" s="303" t="s">
        <v>1049</v>
      </c>
      <c r="D1633" s="303" t="s">
        <v>553</v>
      </c>
      <c r="E1633" s="305" t="s">
        <v>267</v>
      </c>
      <c r="F1633" s="305" t="s">
        <v>539</v>
      </c>
      <c r="G1633" s="308">
        <v>1</v>
      </c>
      <c r="H1633" s="305"/>
      <c r="I1633" s="305" t="s">
        <v>152</v>
      </c>
      <c r="J1633" s="305" t="s">
        <v>101</v>
      </c>
      <c r="K1633" s="305" t="s">
        <v>2371</v>
      </c>
    </row>
    <row r="1634" spans="1:11" x14ac:dyDescent="0.25">
      <c r="A1634" s="302" t="str">
        <f t="shared" si="40"/>
        <v>Advanced Thermostat_Furnace (Replace Programmable)_MF_%FossilHeat</v>
      </c>
      <c r="B1634" s="303" t="s">
        <v>7</v>
      </c>
      <c r="C1634" s="303" t="s">
        <v>1049</v>
      </c>
      <c r="D1634" s="303" t="s">
        <v>553</v>
      </c>
      <c r="E1634" s="311" t="s">
        <v>1938</v>
      </c>
      <c r="F1634" s="334" t="s">
        <v>539</v>
      </c>
      <c r="G1634" s="322">
        <v>1</v>
      </c>
      <c r="H1634" s="311" t="s">
        <v>1939</v>
      </c>
      <c r="I1634" s="305" t="s">
        <v>152</v>
      </c>
      <c r="J1634" s="305" t="s">
        <v>101</v>
      </c>
      <c r="K1634" s="305" t="s">
        <v>2371</v>
      </c>
    </row>
    <row r="1635" spans="1:11" x14ac:dyDescent="0.25">
      <c r="A1635" s="302" t="str">
        <f t="shared" si="40"/>
        <v>Advanced Thermostat_Furnace (Replace Programmable)_MF_Furnace Fan Energy Consumption %</v>
      </c>
      <c r="B1635" s="303" t="s">
        <v>7</v>
      </c>
      <c r="C1635" s="303" t="s">
        <v>1049</v>
      </c>
      <c r="D1635" s="303" t="s">
        <v>553</v>
      </c>
      <c r="E1635" s="385" t="s">
        <v>277</v>
      </c>
      <c r="F1635" s="305" t="s">
        <v>539</v>
      </c>
      <c r="G1635" s="333">
        <v>3.1399999999999997E-2</v>
      </c>
      <c r="H1635" s="305" t="s">
        <v>278</v>
      </c>
      <c r="I1635" s="305" t="s">
        <v>152</v>
      </c>
      <c r="J1635" s="305" t="s">
        <v>101</v>
      </c>
      <c r="K1635" s="305" t="s">
        <v>2371</v>
      </c>
    </row>
    <row r="1636" spans="1:11" x14ac:dyDescent="0.25">
      <c r="A1636" s="302" t="str">
        <f t="shared" si="40"/>
        <v>Advanced Thermostat_Furnace (Replace Programmable)_MF_Therm Saved per Unit</v>
      </c>
      <c r="B1636" s="303" t="s">
        <v>7</v>
      </c>
      <c r="C1636" s="303" t="s">
        <v>1049</v>
      </c>
      <c r="D1636" s="303" t="s">
        <v>553</v>
      </c>
      <c r="E1636" s="314" t="s">
        <v>326</v>
      </c>
      <c r="F1636" s="314"/>
      <c r="G1636" s="315">
        <f>G1632*G1630*G1631*G1633*G1634</f>
        <v>46.380749999999992</v>
      </c>
      <c r="H1636" s="305"/>
      <c r="I1636" s="305" t="s">
        <v>152</v>
      </c>
      <c r="J1636" s="305" t="s">
        <v>101</v>
      </c>
      <c r="K1636" s="305" t="s">
        <v>2371</v>
      </c>
    </row>
    <row r="1637" spans="1:11" x14ac:dyDescent="0.25">
      <c r="A1637" s="302" t="str">
        <f t="shared" si="40"/>
        <v>Advanced Thermostat_Furnace (Replace Programmable)_MF_kWh Saved per Unit</v>
      </c>
      <c r="B1637" s="303" t="s">
        <v>7</v>
      </c>
      <c r="C1637" s="303" t="s">
        <v>1049</v>
      </c>
      <c r="D1637" s="303" t="s">
        <v>553</v>
      </c>
      <c r="E1637" s="314" t="s">
        <v>255</v>
      </c>
      <c r="F1637" s="314"/>
      <c r="G1637" s="315">
        <f>G1636*G1635*29.3</f>
        <v>42.671217614999989</v>
      </c>
      <c r="H1637" s="305"/>
      <c r="I1637" s="305" t="s">
        <v>152</v>
      </c>
      <c r="J1637" s="305" t="s">
        <v>101</v>
      </c>
      <c r="K1637" s="305" t="s">
        <v>2371</v>
      </c>
    </row>
    <row r="1638" spans="1:11" x14ac:dyDescent="0.25">
      <c r="A1638" s="302" t="str">
        <f t="shared" si="40"/>
        <v>Advanced Thermostat_Furnace (Replace Programmable)_MF_Lifetime (years)</v>
      </c>
      <c r="B1638" s="303" t="s">
        <v>7</v>
      </c>
      <c r="C1638" s="303" t="s">
        <v>1049</v>
      </c>
      <c r="D1638" s="303" t="s">
        <v>553</v>
      </c>
      <c r="E1638" s="314" t="s">
        <v>259</v>
      </c>
      <c r="F1638" s="314" t="s">
        <v>548</v>
      </c>
      <c r="G1638" s="315">
        <v>11</v>
      </c>
      <c r="H1638" s="305"/>
      <c r="I1638" s="305" t="s">
        <v>152</v>
      </c>
      <c r="J1638" s="305" t="s">
        <v>101</v>
      </c>
      <c r="K1638" s="305" t="s">
        <v>2371</v>
      </c>
    </row>
    <row r="1639" spans="1:11" x14ac:dyDescent="0.25">
      <c r="A1639" s="302" t="str">
        <f t="shared" si="40"/>
        <v>Advanced Thermostat_Furnace (Replace Programmable)_MF_Incremental Cost</v>
      </c>
      <c r="B1639" s="303" t="s">
        <v>7</v>
      </c>
      <c r="C1639" s="303" t="s">
        <v>1049</v>
      </c>
      <c r="D1639" s="303" t="s">
        <v>553</v>
      </c>
      <c r="E1639" s="314" t="s">
        <v>260</v>
      </c>
      <c r="F1639" s="314" t="s">
        <v>549</v>
      </c>
      <c r="G1639" s="328">
        <v>125</v>
      </c>
      <c r="H1639" s="305" t="s">
        <v>282</v>
      </c>
      <c r="I1639" s="305" t="s">
        <v>152</v>
      </c>
      <c r="J1639" s="305" t="s">
        <v>101</v>
      </c>
      <c r="K1639" s="305" t="s">
        <v>2371</v>
      </c>
    </row>
    <row r="1640" spans="1:11" s="324" customFormat="1" x14ac:dyDescent="0.25">
      <c r="A1640" s="317" t="str">
        <f t="shared" si="40"/>
        <v>Advanced Thermostat_Furnace (Replace Programmable)_MF_</v>
      </c>
      <c r="B1640" s="317" t="str">
        <f>B1639</f>
        <v>Advanced Thermostat</v>
      </c>
      <c r="C1640" s="317" t="str">
        <f>C1639</f>
        <v>Furnace (Replace Programmable)</v>
      </c>
      <c r="D1640" s="317" t="str">
        <f>D1639</f>
        <v>MF</v>
      </c>
      <c r="E1640" s="317"/>
      <c r="F1640" s="317"/>
      <c r="G1640" s="323"/>
      <c r="H1640" s="320"/>
      <c r="I1640" s="320"/>
      <c r="J1640" s="317"/>
      <c r="K1640" s="317"/>
    </row>
    <row r="1641" spans="1:11" x14ac:dyDescent="0.25">
      <c r="A1641" s="302" t="str">
        <f t="shared" si="40"/>
        <v>Advanced Thermostat_Boiler (Replace Manual)_SF_Heating Energy Reduction</v>
      </c>
      <c r="B1641" s="303" t="s">
        <v>7</v>
      </c>
      <c r="C1641" s="303" t="s">
        <v>1051</v>
      </c>
      <c r="D1641" s="303" t="s">
        <v>409</v>
      </c>
      <c r="E1641" s="385" t="s">
        <v>279</v>
      </c>
      <c r="F1641" s="305" t="s">
        <v>539</v>
      </c>
      <c r="G1641" s="353">
        <v>0.10199999999999999</v>
      </c>
      <c r="H1641" s="311" t="s">
        <v>1048</v>
      </c>
      <c r="I1641" s="305" t="s">
        <v>152</v>
      </c>
      <c r="J1641" s="305" t="s">
        <v>101</v>
      </c>
      <c r="K1641" s="305" t="s">
        <v>2371</v>
      </c>
    </row>
    <row r="1642" spans="1:11" x14ac:dyDescent="0.25">
      <c r="A1642" s="302" t="str">
        <f t="shared" si="40"/>
        <v>Advanced Thermostat_Boiler (Replace Manual)_SF_Household Factor</v>
      </c>
      <c r="B1642" s="303" t="s">
        <v>7</v>
      </c>
      <c r="C1642" s="303" t="s">
        <v>1051</v>
      </c>
      <c r="D1642" s="303" t="s">
        <v>409</v>
      </c>
      <c r="E1642" s="305" t="s">
        <v>276</v>
      </c>
      <c r="F1642" s="305" t="s">
        <v>539</v>
      </c>
      <c r="G1642" s="308">
        <v>1</v>
      </c>
      <c r="H1642" s="305" t="s">
        <v>375</v>
      </c>
      <c r="I1642" s="305" t="s">
        <v>152</v>
      </c>
      <c r="J1642" s="305" t="s">
        <v>101</v>
      </c>
      <c r="K1642" s="305" t="s">
        <v>2371</v>
      </c>
    </row>
    <row r="1643" spans="1:11" x14ac:dyDescent="0.25">
      <c r="A1643" s="302" t="str">
        <f t="shared" si="40"/>
        <v>Advanced Thermostat_Boiler (Replace Manual)_SF_Gas Heating Consumption</v>
      </c>
      <c r="B1643" s="303" t="s">
        <v>7</v>
      </c>
      <c r="C1643" s="303" t="s">
        <v>1051</v>
      </c>
      <c r="D1643" s="303" t="s">
        <v>409</v>
      </c>
      <c r="E1643" s="305" t="s">
        <v>275</v>
      </c>
      <c r="F1643" s="305" t="s">
        <v>1015</v>
      </c>
      <c r="G1643" s="306">
        <v>1485</v>
      </c>
      <c r="H1643" s="305" t="s">
        <v>633</v>
      </c>
      <c r="I1643" s="305" t="s">
        <v>633</v>
      </c>
      <c r="J1643" s="305"/>
      <c r="K1643" s="305"/>
    </row>
    <row r="1644" spans="1:11" x14ac:dyDescent="0.25">
      <c r="A1644" s="302" t="str">
        <f t="shared" si="40"/>
        <v>Advanced Thermostat_Boiler (Replace Manual)_SF_ISR</v>
      </c>
      <c r="B1644" s="303" t="s">
        <v>7</v>
      </c>
      <c r="C1644" s="303" t="s">
        <v>1051</v>
      </c>
      <c r="D1644" s="303" t="s">
        <v>409</v>
      </c>
      <c r="E1644" s="305" t="s">
        <v>267</v>
      </c>
      <c r="F1644" s="305" t="s">
        <v>539</v>
      </c>
      <c r="G1644" s="308">
        <v>1</v>
      </c>
      <c r="H1644" s="305"/>
      <c r="I1644" s="305" t="s">
        <v>152</v>
      </c>
      <c r="J1644" s="305" t="s">
        <v>101</v>
      </c>
      <c r="K1644" s="305" t="s">
        <v>2371</v>
      </c>
    </row>
    <row r="1645" spans="1:11" x14ac:dyDescent="0.25">
      <c r="A1645" s="302" t="str">
        <f t="shared" ref="A1645" si="43">B1645&amp;"_"&amp;C1645&amp;"_"&amp;D1645&amp;"_"&amp;E1645</f>
        <v>Advanced Thermostat_Boiler (Replace Manual)_SF_%FossilHeat</v>
      </c>
      <c r="B1645" s="303" t="s">
        <v>7</v>
      </c>
      <c r="C1645" s="303" t="s">
        <v>1051</v>
      </c>
      <c r="D1645" s="303" t="s">
        <v>409</v>
      </c>
      <c r="E1645" s="311" t="s">
        <v>1938</v>
      </c>
      <c r="F1645" s="334" t="s">
        <v>539</v>
      </c>
      <c r="G1645" s="322">
        <v>1</v>
      </c>
      <c r="H1645" s="311" t="s">
        <v>1939</v>
      </c>
      <c r="I1645" s="305" t="s">
        <v>152</v>
      </c>
      <c r="J1645" s="305" t="s">
        <v>101</v>
      </c>
      <c r="K1645" s="305" t="s">
        <v>2371</v>
      </c>
    </row>
    <row r="1646" spans="1:11" x14ac:dyDescent="0.25">
      <c r="A1646" s="302" t="str">
        <f t="shared" si="40"/>
        <v>Advanced Thermostat_Boiler (Replace Manual)_SF_Furnace Fan Energy Consumption %</v>
      </c>
      <c r="B1646" s="303" t="s">
        <v>7</v>
      </c>
      <c r="C1646" s="303" t="s">
        <v>1051</v>
      </c>
      <c r="D1646" s="303" t="s">
        <v>409</v>
      </c>
      <c r="E1646" s="385" t="s">
        <v>277</v>
      </c>
      <c r="F1646" s="305" t="s">
        <v>539</v>
      </c>
      <c r="G1646" s="333">
        <v>3.1399999999999997E-2</v>
      </c>
      <c r="H1646" s="305" t="s">
        <v>278</v>
      </c>
      <c r="I1646" s="305" t="s">
        <v>152</v>
      </c>
      <c r="J1646" s="305" t="s">
        <v>101</v>
      </c>
      <c r="K1646" s="305" t="s">
        <v>2371</v>
      </c>
    </row>
    <row r="1647" spans="1:11" x14ac:dyDescent="0.25">
      <c r="A1647" s="302" t="str">
        <f t="shared" si="40"/>
        <v>Advanced Thermostat_Boiler (Replace Manual)_SF_Therm Saved per Unit</v>
      </c>
      <c r="B1647" s="303" t="s">
        <v>7</v>
      </c>
      <c r="C1647" s="303" t="s">
        <v>1051</v>
      </c>
      <c r="D1647" s="303" t="s">
        <v>409</v>
      </c>
      <c r="E1647" s="314" t="s">
        <v>326</v>
      </c>
      <c r="F1647" s="314"/>
      <c r="G1647" s="315">
        <f>G1643*G1641*G1642*G1644*G1645</f>
        <v>151.47</v>
      </c>
      <c r="H1647" s="305"/>
      <c r="I1647" s="305" t="s">
        <v>152</v>
      </c>
      <c r="J1647" s="305" t="s">
        <v>101</v>
      </c>
      <c r="K1647" s="305" t="s">
        <v>2371</v>
      </c>
    </row>
    <row r="1648" spans="1:11" x14ac:dyDescent="0.25">
      <c r="A1648" s="302" t="str">
        <f t="shared" si="40"/>
        <v>Advanced Thermostat_Boiler (Replace Manual)_SF_kWh Saved per Unit</v>
      </c>
      <c r="B1648" s="303" t="s">
        <v>7</v>
      </c>
      <c r="C1648" s="303" t="s">
        <v>1051</v>
      </c>
      <c r="D1648" s="303" t="s">
        <v>409</v>
      </c>
      <c r="E1648" s="314" t="s">
        <v>255</v>
      </c>
      <c r="F1648" s="314"/>
      <c r="G1648" s="315">
        <f>G1647*G1646*29.3</f>
        <v>139.35542939999999</v>
      </c>
      <c r="H1648" s="305"/>
      <c r="I1648" s="305" t="s">
        <v>152</v>
      </c>
      <c r="J1648" s="305" t="s">
        <v>101</v>
      </c>
      <c r="K1648" s="305" t="s">
        <v>2371</v>
      </c>
    </row>
    <row r="1649" spans="1:11" x14ac:dyDescent="0.25">
      <c r="A1649" s="302" t="str">
        <f t="shared" si="40"/>
        <v>Advanced Thermostat_Boiler (Replace Manual)_SF_Lifetime (years)</v>
      </c>
      <c r="B1649" s="303" t="s">
        <v>7</v>
      </c>
      <c r="C1649" s="303" t="s">
        <v>1051</v>
      </c>
      <c r="D1649" s="303" t="s">
        <v>409</v>
      </c>
      <c r="E1649" s="314" t="s">
        <v>259</v>
      </c>
      <c r="F1649" s="314" t="s">
        <v>548</v>
      </c>
      <c r="G1649" s="315">
        <v>11</v>
      </c>
      <c r="H1649" s="305"/>
      <c r="I1649" s="305" t="s">
        <v>152</v>
      </c>
      <c r="J1649" s="305" t="s">
        <v>101</v>
      </c>
      <c r="K1649" s="305" t="s">
        <v>2371</v>
      </c>
    </row>
    <row r="1650" spans="1:11" x14ac:dyDescent="0.25">
      <c r="A1650" s="302" t="str">
        <f t="shared" si="40"/>
        <v>Advanced Thermostat_Boiler (Replace Manual)_SF_Incremental Cost</v>
      </c>
      <c r="B1650" s="303" t="s">
        <v>7</v>
      </c>
      <c r="C1650" s="303" t="s">
        <v>1051</v>
      </c>
      <c r="D1650" s="303" t="s">
        <v>409</v>
      </c>
      <c r="E1650" s="314" t="s">
        <v>260</v>
      </c>
      <c r="F1650" s="314" t="s">
        <v>549</v>
      </c>
      <c r="G1650" s="328">
        <v>125</v>
      </c>
      <c r="H1650" s="305" t="s">
        <v>282</v>
      </c>
      <c r="I1650" s="305" t="s">
        <v>152</v>
      </c>
      <c r="J1650" s="305" t="s">
        <v>101</v>
      </c>
      <c r="K1650" s="305" t="s">
        <v>2371</v>
      </c>
    </row>
    <row r="1651" spans="1:11" s="324" customFormat="1" x14ac:dyDescent="0.25">
      <c r="A1651" s="317" t="str">
        <f t="shared" si="40"/>
        <v>Advanced Thermostat_Boiler (Replace Manual)_SF_</v>
      </c>
      <c r="B1651" s="317" t="str">
        <f>B1650</f>
        <v>Advanced Thermostat</v>
      </c>
      <c r="C1651" s="317" t="str">
        <f>C1650</f>
        <v>Boiler (Replace Manual)</v>
      </c>
      <c r="D1651" s="317" t="str">
        <f>D1650</f>
        <v>SF</v>
      </c>
      <c r="E1651" s="317"/>
      <c r="F1651" s="317"/>
      <c r="G1651" s="323"/>
      <c r="H1651" s="320"/>
      <c r="I1651" s="320"/>
      <c r="J1651" s="317"/>
      <c r="K1651" s="317"/>
    </row>
    <row r="1652" spans="1:11" x14ac:dyDescent="0.25">
      <c r="A1652" s="302" t="str">
        <f t="shared" si="40"/>
        <v>Advanced Thermostat_Boiler (Replace Manual)_MF_Heating Energy Reduction</v>
      </c>
      <c r="B1652" s="303" t="s">
        <v>7</v>
      </c>
      <c r="C1652" s="303" t="s">
        <v>1051</v>
      </c>
      <c r="D1652" s="303" t="s">
        <v>553</v>
      </c>
      <c r="E1652" s="385" t="s">
        <v>279</v>
      </c>
      <c r="F1652" s="305" t="s">
        <v>539</v>
      </c>
      <c r="G1652" s="353">
        <v>0.10199999999999999</v>
      </c>
      <c r="H1652" s="311" t="s">
        <v>1048</v>
      </c>
      <c r="I1652" s="305" t="s">
        <v>152</v>
      </c>
      <c r="J1652" s="305" t="s">
        <v>101</v>
      </c>
      <c r="K1652" s="305" t="s">
        <v>2371</v>
      </c>
    </row>
    <row r="1653" spans="1:11" x14ac:dyDescent="0.25">
      <c r="A1653" s="302" t="str">
        <f t="shared" si="40"/>
        <v>Advanced Thermostat_Boiler (Replace Manual)_MF_Household Factor</v>
      </c>
      <c r="B1653" s="303" t="s">
        <v>7</v>
      </c>
      <c r="C1653" s="303" t="s">
        <v>1051</v>
      </c>
      <c r="D1653" s="303" t="s">
        <v>553</v>
      </c>
      <c r="E1653" s="305" t="s">
        <v>276</v>
      </c>
      <c r="F1653" s="305" t="s">
        <v>539</v>
      </c>
      <c r="G1653" s="308">
        <v>0.65</v>
      </c>
      <c r="H1653" s="305" t="s">
        <v>553</v>
      </c>
      <c r="I1653" s="305" t="s">
        <v>152</v>
      </c>
      <c r="J1653" s="305" t="s">
        <v>101</v>
      </c>
      <c r="K1653" s="305" t="s">
        <v>2371</v>
      </c>
    </row>
    <row r="1654" spans="1:11" x14ac:dyDescent="0.25">
      <c r="A1654" s="302" t="str">
        <f t="shared" si="40"/>
        <v>Advanced Thermostat_Boiler (Replace Manual)_MF_Gas Heating Consumption</v>
      </c>
      <c r="B1654" s="303" t="s">
        <v>7</v>
      </c>
      <c r="C1654" s="303" t="s">
        <v>1051</v>
      </c>
      <c r="D1654" s="303" t="s">
        <v>553</v>
      </c>
      <c r="E1654" s="305" t="s">
        <v>275</v>
      </c>
      <c r="F1654" s="305" t="s">
        <v>1015</v>
      </c>
      <c r="G1654" s="339">
        <v>1485</v>
      </c>
      <c r="H1654" s="305" t="s">
        <v>633</v>
      </c>
      <c r="I1654" s="305" t="s">
        <v>152</v>
      </c>
      <c r="J1654" s="305" t="s">
        <v>101</v>
      </c>
      <c r="K1654" s="305" t="s">
        <v>2371</v>
      </c>
    </row>
    <row r="1655" spans="1:11" x14ac:dyDescent="0.25">
      <c r="A1655" s="302" t="str">
        <f t="shared" si="40"/>
        <v>Advanced Thermostat_Boiler (Replace Manual)_MF_ISR</v>
      </c>
      <c r="B1655" s="303" t="s">
        <v>7</v>
      </c>
      <c r="C1655" s="303" t="s">
        <v>1051</v>
      </c>
      <c r="D1655" s="303" t="s">
        <v>553</v>
      </c>
      <c r="E1655" s="305" t="s">
        <v>267</v>
      </c>
      <c r="F1655" s="305" t="s">
        <v>539</v>
      </c>
      <c r="G1655" s="308">
        <v>1</v>
      </c>
      <c r="H1655" s="305"/>
      <c r="I1655" s="305" t="s">
        <v>152</v>
      </c>
      <c r="J1655" s="305" t="s">
        <v>101</v>
      </c>
      <c r="K1655" s="305" t="s">
        <v>2371</v>
      </c>
    </row>
    <row r="1656" spans="1:11" x14ac:dyDescent="0.25">
      <c r="A1656" s="302" t="str">
        <f t="shared" si="40"/>
        <v>Advanced Thermostat_Boiler (Replace Manual)_MF_%FossilHeat</v>
      </c>
      <c r="B1656" s="303" t="s">
        <v>7</v>
      </c>
      <c r="C1656" s="303" t="s">
        <v>1051</v>
      </c>
      <c r="D1656" s="303" t="s">
        <v>553</v>
      </c>
      <c r="E1656" s="311" t="s">
        <v>1938</v>
      </c>
      <c r="F1656" s="334" t="s">
        <v>539</v>
      </c>
      <c r="G1656" s="322">
        <v>1</v>
      </c>
      <c r="H1656" s="311" t="s">
        <v>1939</v>
      </c>
      <c r="I1656" s="305" t="s">
        <v>152</v>
      </c>
      <c r="J1656" s="305" t="s">
        <v>101</v>
      </c>
      <c r="K1656" s="305" t="s">
        <v>2371</v>
      </c>
    </row>
    <row r="1657" spans="1:11" x14ac:dyDescent="0.25">
      <c r="A1657" s="302" t="str">
        <f t="shared" si="40"/>
        <v>Advanced Thermostat_Boiler (Replace Manual)_MF_Furnace Fan Energy Consumption %</v>
      </c>
      <c r="B1657" s="303" t="s">
        <v>7</v>
      </c>
      <c r="C1657" s="303" t="s">
        <v>1051</v>
      </c>
      <c r="D1657" s="303" t="s">
        <v>553</v>
      </c>
      <c r="E1657" s="385" t="s">
        <v>277</v>
      </c>
      <c r="F1657" s="305" t="s">
        <v>539</v>
      </c>
      <c r="G1657" s="333">
        <v>3.1399999999999997E-2</v>
      </c>
      <c r="H1657" s="305" t="s">
        <v>278</v>
      </c>
      <c r="I1657" s="305" t="s">
        <v>152</v>
      </c>
      <c r="J1657" s="305" t="s">
        <v>101</v>
      </c>
      <c r="K1657" s="305" t="s">
        <v>2371</v>
      </c>
    </row>
    <row r="1658" spans="1:11" x14ac:dyDescent="0.25">
      <c r="A1658" s="302" t="str">
        <f t="shared" ref="A1658:A1726" si="44">B1658&amp;"_"&amp;C1658&amp;"_"&amp;D1658&amp;"_"&amp;E1658</f>
        <v>Advanced Thermostat_Boiler (Replace Manual)_MF_Therm Saved per Unit</v>
      </c>
      <c r="B1658" s="303" t="s">
        <v>7</v>
      </c>
      <c r="C1658" s="303" t="s">
        <v>1051</v>
      </c>
      <c r="D1658" s="303" t="s">
        <v>553</v>
      </c>
      <c r="E1658" s="314" t="s">
        <v>326</v>
      </c>
      <c r="F1658" s="314"/>
      <c r="G1658" s="315">
        <f>G1654*G1652*G1653*G1655*G1656</f>
        <v>98.455500000000001</v>
      </c>
      <c r="H1658" s="305"/>
      <c r="I1658" s="305" t="s">
        <v>152</v>
      </c>
      <c r="J1658" s="305" t="s">
        <v>101</v>
      </c>
      <c r="K1658" s="305" t="s">
        <v>2371</v>
      </c>
    </row>
    <row r="1659" spans="1:11" x14ac:dyDescent="0.25">
      <c r="A1659" s="302" t="str">
        <f t="shared" si="44"/>
        <v>Advanced Thermostat_Boiler (Replace Manual)_MF_kWh Saved per Unit</v>
      </c>
      <c r="B1659" s="303" t="s">
        <v>7</v>
      </c>
      <c r="C1659" s="303" t="s">
        <v>1051</v>
      </c>
      <c r="D1659" s="303" t="s">
        <v>553</v>
      </c>
      <c r="E1659" s="314" t="s">
        <v>255</v>
      </c>
      <c r="F1659" s="314"/>
      <c r="G1659" s="315">
        <f>G1658*G1657*29.3</f>
        <v>90.581029110000003</v>
      </c>
      <c r="H1659" s="305"/>
      <c r="I1659" s="305" t="s">
        <v>152</v>
      </c>
      <c r="J1659" s="305" t="s">
        <v>101</v>
      </c>
      <c r="K1659" s="305" t="s">
        <v>2371</v>
      </c>
    </row>
    <row r="1660" spans="1:11" x14ac:dyDescent="0.25">
      <c r="A1660" s="302" t="str">
        <f t="shared" si="44"/>
        <v>Advanced Thermostat_Boiler (Replace Manual)_MF_Lifetime (years)</v>
      </c>
      <c r="B1660" s="303" t="s">
        <v>7</v>
      </c>
      <c r="C1660" s="303" t="s">
        <v>1051</v>
      </c>
      <c r="D1660" s="303" t="s">
        <v>553</v>
      </c>
      <c r="E1660" s="314" t="s">
        <v>259</v>
      </c>
      <c r="F1660" s="314" t="s">
        <v>548</v>
      </c>
      <c r="G1660" s="315">
        <v>11</v>
      </c>
      <c r="H1660" s="305"/>
      <c r="I1660" s="305" t="s">
        <v>152</v>
      </c>
      <c r="J1660" s="305" t="s">
        <v>101</v>
      </c>
      <c r="K1660" s="305" t="s">
        <v>2371</v>
      </c>
    </row>
    <row r="1661" spans="1:11" x14ac:dyDescent="0.25">
      <c r="A1661" s="302" t="str">
        <f t="shared" si="44"/>
        <v>Advanced Thermostat_Boiler (Replace Manual)_MF_Incremental Cost</v>
      </c>
      <c r="B1661" s="303" t="s">
        <v>7</v>
      </c>
      <c r="C1661" s="303" t="s">
        <v>1051</v>
      </c>
      <c r="D1661" s="303" t="s">
        <v>553</v>
      </c>
      <c r="E1661" s="314" t="s">
        <v>260</v>
      </c>
      <c r="F1661" s="314" t="s">
        <v>549</v>
      </c>
      <c r="G1661" s="328">
        <v>125</v>
      </c>
      <c r="H1661" s="305" t="s">
        <v>282</v>
      </c>
      <c r="I1661" s="305" t="s">
        <v>152</v>
      </c>
      <c r="J1661" s="305" t="s">
        <v>101</v>
      </c>
      <c r="K1661" s="305" t="s">
        <v>2371</v>
      </c>
    </row>
    <row r="1662" spans="1:11" s="324" customFormat="1" x14ac:dyDescent="0.25">
      <c r="A1662" s="317" t="str">
        <f t="shared" si="44"/>
        <v>Advanced Thermostat_Boiler (Replace Manual)_MF_</v>
      </c>
      <c r="B1662" s="317" t="str">
        <f>B1661</f>
        <v>Advanced Thermostat</v>
      </c>
      <c r="C1662" s="317" t="str">
        <f>C1661</f>
        <v>Boiler (Replace Manual)</v>
      </c>
      <c r="D1662" s="317" t="str">
        <f>D1661</f>
        <v>MF</v>
      </c>
      <c r="E1662" s="317"/>
      <c r="F1662" s="317"/>
      <c r="G1662" s="323"/>
      <c r="H1662" s="320"/>
      <c r="I1662" s="320"/>
      <c r="J1662" s="317"/>
      <c r="K1662" s="317"/>
    </row>
    <row r="1663" spans="1:11" x14ac:dyDescent="0.25">
      <c r="A1663" s="302" t="str">
        <f t="shared" si="44"/>
        <v>Advanced Thermostat_Boiler (Replace Programmable)_SF_Heating Energy Reduction</v>
      </c>
      <c r="B1663" s="303" t="s">
        <v>7</v>
      </c>
      <c r="C1663" s="303" t="s">
        <v>1052</v>
      </c>
      <c r="D1663" s="303" t="s">
        <v>409</v>
      </c>
      <c r="E1663" s="385" t="s">
        <v>279</v>
      </c>
      <c r="F1663" s="305" t="s">
        <v>539</v>
      </c>
      <c r="G1663" s="353">
        <v>7.0999999999999994E-2</v>
      </c>
      <c r="H1663" s="311" t="s">
        <v>1053</v>
      </c>
      <c r="I1663" s="305" t="s">
        <v>152</v>
      </c>
      <c r="J1663" s="305" t="s">
        <v>101</v>
      </c>
      <c r="K1663" s="305" t="s">
        <v>2371</v>
      </c>
    </row>
    <row r="1664" spans="1:11" x14ac:dyDescent="0.25">
      <c r="A1664" s="302" t="str">
        <f t="shared" si="44"/>
        <v>Advanced Thermostat_Boiler (Replace Programmable)_SF_Household Factor</v>
      </c>
      <c r="B1664" s="303" t="s">
        <v>7</v>
      </c>
      <c r="C1664" s="303" t="s">
        <v>1052</v>
      </c>
      <c r="D1664" s="303" t="s">
        <v>409</v>
      </c>
      <c r="E1664" s="305" t="s">
        <v>276</v>
      </c>
      <c r="F1664" s="305" t="s">
        <v>539</v>
      </c>
      <c r="G1664" s="308">
        <v>1</v>
      </c>
      <c r="H1664" s="305" t="s">
        <v>375</v>
      </c>
      <c r="I1664" s="305" t="s">
        <v>152</v>
      </c>
      <c r="J1664" s="305" t="s">
        <v>101</v>
      </c>
      <c r="K1664" s="305" t="s">
        <v>2371</v>
      </c>
    </row>
    <row r="1665" spans="1:11" x14ac:dyDescent="0.25">
      <c r="A1665" s="302" t="str">
        <f t="shared" si="44"/>
        <v>Advanced Thermostat_Boiler (Replace Programmable)_SF_Gas Heating Consumption</v>
      </c>
      <c r="B1665" s="303" t="s">
        <v>7</v>
      </c>
      <c r="C1665" s="303" t="s">
        <v>1052</v>
      </c>
      <c r="D1665" s="303" t="s">
        <v>409</v>
      </c>
      <c r="E1665" s="305" t="s">
        <v>275</v>
      </c>
      <c r="F1665" s="305" t="s">
        <v>1015</v>
      </c>
      <c r="G1665" s="306">
        <v>1485</v>
      </c>
      <c r="H1665" s="305" t="s">
        <v>633</v>
      </c>
      <c r="I1665" s="305" t="s">
        <v>633</v>
      </c>
      <c r="J1665" s="305"/>
      <c r="K1665" s="305"/>
    </row>
    <row r="1666" spans="1:11" x14ac:dyDescent="0.25">
      <c r="A1666" s="302" t="str">
        <f t="shared" si="44"/>
        <v>Advanced Thermostat_Boiler (Replace Programmable)_SF_ISR</v>
      </c>
      <c r="B1666" s="303" t="s">
        <v>7</v>
      </c>
      <c r="C1666" s="303" t="s">
        <v>1052</v>
      </c>
      <c r="D1666" s="303" t="s">
        <v>409</v>
      </c>
      <c r="E1666" s="305" t="s">
        <v>267</v>
      </c>
      <c r="F1666" s="305" t="s">
        <v>539</v>
      </c>
      <c r="G1666" s="308">
        <v>1</v>
      </c>
      <c r="H1666" s="305"/>
      <c r="I1666" s="305" t="s">
        <v>152</v>
      </c>
      <c r="J1666" s="305" t="s">
        <v>101</v>
      </c>
      <c r="K1666" s="305" t="s">
        <v>2371</v>
      </c>
    </row>
    <row r="1667" spans="1:11" x14ac:dyDescent="0.25">
      <c r="A1667" s="302" t="str">
        <f t="shared" si="44"/>
        <v>Advanced Thermostat_Boiler (Replace Programmable)_SF_%FossilHeat</v>
      </c>
      <c r="B1667" s="303" t="s">
        <v>7</v>
      </c>
      <c r="C1667" s="303" t="s">
        <v>1052</v>
      </c>
      <c r="D1667" s="303" t="s">
        <v>409</v>
      </c>
      <c r="E1667" s="311" t="s">
        <v>1938</v>
      </c>
      <c r="F1667" s="334" t="s">
        <v>539</v>
      </c>
      <c r="G1667" s="322">
        <v>1</v>
      </c>
      <c r="H1667" s="311" t="s">
        <v>1939</v>
      </c>
      <c r="I1667" s="305" t="s">
        <v>152</v>
      </c>
      <c r="J1667" s="305" t="s">
        <v>101</v>
      </c>
      <c r="K1667" s="305" t="s">
        <v>2371</v>
      </c>
    </row>
    <row r="1668" spans="1:11" x14ac:dyDescent="0.25">
      <c r="A1668" s="302" t="str">
        <f t="shared" si="44"/>
        <v>Advanced Thermostat_Boiler (Replace Programmable)_SF_Furnace Fan Energy Consumption %</v>
      </c>
      <c r="B1668" s="303" t="s">
        <v>7</v>
      </c>
      <c r="C1668" s="303" t="s">
        <v>1052</v>
      </c>
      <c r="D1668" s="303" t="s">
        <v>409</v>
      </c>
      <c r="E1668" s="385" t="s">
        <v>277</v>
      </c>
      <c r="F1668" s="305" t="s">
        <v>539</v>
      </c>
      <c r="G1668" s="333">
        <v>3.1399999999999997E-2</v>
      </c>
      <c r="H1668" s="305" t="s">
        <v>278</v>
      </c>
      <c r="I1668" s="305" t="s">
        <v>152</v>
      </c>
      <c r="J1668" s="305" t="s">
        <v>101</v>
      </c>
      <c r="K1668" s="305" t="s">
        <v>2371</v>
      </c>
    </row>
    <row r="1669" spans="1:11" x14ac:dyDescent="0.25">
      <c r="A1669" s="302" t="str">
        <f t="shared" si="44"/>
        <v>Advanced Thermostat_Boiler (Replace Programmable)_SF_Therm Saved per Unit</v>
      </c>
      <c r="B1669" s="303" t="s">
        <v>7</v>
      </c>
      <c r="C1669" s="303" t="s">
        <v>1052</v>
      </c>
      <c r="D1669" s="303" t="s">
        <v>409</v>
      </c>
      <c r="E1669" s="314" t="s">
        <v>326</v>
      </c>
      <c r="F1669" s="314"/>
      <c r="G1669" s="315">
        <f>G1665*G1663*G1664*G1666*G1667</f>
        <v>105.43499999999999</v>
      </c>
      <c r="H1669" s="305"/>
      <c r="I1669" s="305" t="s">
        <v>152</v>
      </c>
      <c r="J1669" s="305" t="s">
        <v>101</v>
      </c>
      <c r="K1669" s="305" t="s">
        <v>2371</v>
      </c>
    </row>
    <row r="1670" spans="1:11" x14ac:dyDescent="0.25">
      <c r="A1670" s="302" t="str">
        <f t="shared" si="44"/>
        <v>Advanced Thermostat_Boiler (Replace Programmable)_SF_kWh Saved per Unit</v>
      </c>
      <c r="B1670" s="303" t="s">
        <v>7</v>
      </c>
      <c r="C1670" s="303" t="s">
        <v>1052</v>
      </c>
      <c r="D1670" s="303" t="s">
        <v>409</v>
      </c>
      <c r="E1670" s="314" t="s">
        <v>255</v>
      </c>
      <c r="F1670" s="314"/>
      <c r="G1670" s="315">
        <f>G1669*G1668*29.3</f>
        <v>97.002308699999986</v>
      </c>
      <c r="H1670" s="305"/>
      <c r="I1670" s="305" t="s">
        <v>152</v>
      </c>
      <c r="J1670" s="305" t="s">
        <v>101</v>
      </c>
      <c r="K1670" s="305" t="s">
        <v>2371</v>
      </c>
    </row>
    <row r="1671" spans="1:11" x14ac:dyDescent="0.25">
      <c r="A1671" s="302" t="str">
        <f t="shared" si="44"/>
        <v>Advanced Thermostat_Boiler (Replace Programmable)_SF_Lifetime (years)</v>
      </c>
      <c r="B1671" s="303" t="s">
        <v>7</v>
      </c>
      <c r="C1671" s="303" t="s">
        <v>1052</v>
      </c>
      <c r="D1671" s="303" t="s">
        <v>409</v>
      </c>
      <c r="E1671" s="314" t="s">
        <v>259</v>
      </c>
      <c r="F1671" s="314" t="s">
        <v>548</v>
      </c>
      <c r="G1671" s="315">
        <v>11</v>
      </c>
      <c r="H1671" s="305"/>
      <c r="I1671" s="305" t="s">
        <v>152</v>
      </c>
      <c r="J1671" s="305" t="s">
        <v>101</v>
      </c>
      <c r="K1671" s="305" t="s">
        <v>2371</v>
      </c>
    </row>
    <row r="1672" spans="1:11" x14ac:dyDescent="0.25">
      <c r="A1672" s="302" t="str">
        <f t="shared" si="44"/>
        <v>Advanced Thermostat_Boiler (Replace Programmable)_SF_Incremental Cost</v>
      </c>
      <c r="B1672" s="303" t="s">
        <v>7</v>
      </c>
      <c r="C1672" s="303" t="s">
        <v>1052</v>
      </c>
      <c r="D1672" s="303" t="s">
        <v>409</v>
      </c>
      <c r="E1672" s="314" t="s">
        <v>260</v>
      </c>
      <c r="F1672" s="314" t="s">
        <v>549</v>
      </c>
      <c r="G1672" s="328">
        <v>125</v>
      </c>
      <c r="H1672" s="305" t="s">
        <v>282</v>
      </c>
      <c r="I1672" s="305" t="s">
        <v>152</v>
      </c>
      <c r="J1672" s="305" t="s">
        <v>101</v>
      </c>
      <c r="K1672" s="305" t="s">
        <v>2371</v>
      </c>
    </row>
    <row r="1673" spans="1:11" s="324" customFormat="1" x14ac:dyDescent="0.25">
      <c r="A1673" s="317" t="str">
        <f t="shared" si="44"/>
        <v>Advanced Thermostat_Boiler (Replace Programmable)_SF_</v>
      </c>
      <c r="B1673" s="317" t="str">
        <f>B1672</f>
        <v>Advanced Thermostat</v>
      </c>
      <c r="C1673" s="317" t="str">
        <f>C1672</f>
        <v>Boiler (Replace Programmable)</v>
      </c>
      <c r="D1673" s="317" t="str">
        <f>D1672</f>
        <v>SF</v>
      </c>
      <c r="E1673" s="317"/>
      <c r="F1673" s="317"/>
      <c r="G1673" s="323"/>
      <c r="H1673" s="320"/>
      <c r="I1673" s="320"/>
      <c r="J1673" s="317"/>
      <c r="K1673" s="317"/>
    </row>
    <row r="1674" spans="1:11" x14ac:dyDescent="0.25">
      <c r="A1674" s="302" t="str">
        <f t="shared" si="44"/>
        <v>Advanced Thermostat_Boiler (Replace Unknown)_SF_Heating Energy Reduction</v>
      </c>
      <c r="B1674" s="303" t="s">
        <v>7</v>
      </c>
      <c r="C1674" s="303" t="s">
        <v>1054</v>
      </c>
      <c r="D1674" s="303" t="s">
        <v>409</v>
      </c>
      <c r="E1674" s="385" t="s">
        <v>279</v>
      </c>
      <c r="F1674" s="305" t="s">
        <v>539</v>
      </c>
      <c r="G1674" s="353">
        <v>8.5000000000000006E-2</v>
      </c>
      <c r="H1674" s="311" t="s">
        <v>274</v>
      </c>
      <c r="I1674" s="305" t="s">
        <v>152</v>
      </c>
      <c r="J1674" s="305" t="s">
        <v>101</v>
      </c>
      <c r="K1674" s="305" t="s">
        <v>2371</v>
      </c>
    </row>
    <row r="1675" spans="1:11" x14ac:dyDescent="0.25">
      <c r="A1675" s="302" t="str">
        <f t="shared" si="44"/>
        <v>Advanced Thermostat_Boiler (Replace Unknown)_SF_Household Factor</v>
      </c>
      <c r="B1675" s="303" t="s">
        <v>7</v>
      </c>
      <c r="C1675" s="303" t="s">
        <v>1054</v>
      </c>
      <c r="D1675" s="303" t="s">
        <v>409</v>
      </c>
      <c r="E1675" s="305" t="s">
        <v>276</v>
      </c>
      <c r="F1675" s="305" t="s">
        <v>539</v>
      </c>
      <c r="G1675" s="308">
        <v>1</v>
      </c>
      <c r="H1675" s="305" t="s">
        <v>375</v>
      </c>
      <c r="I1675" s="305" t="s">
        <v>152</v>
      </c>
      <c r="J1675" s="305" t="s">
        <v>101</v>
      </c>
      <c r="K1675" s="305" t="s">
        <v>2371</v>
      </c>
    </row>
    <row r="1676" spans="1:11" x14ac:dyDescent="0.25">
      <c r="A1676" s="302" t="str">
        <f t="shared" si="44"/>
        <v>Advanced Thermostat_Boiler (Replace Unknown)_SF_Gas Heating Consumption</v>
      </c>
      <c r="B1676" s="303" t="s">
        <v>7</v>
      </c>
      <c r="C1676" s="303" t="s">
        <v>1054</v>
      </c>
      <c r="D1676" s="303" t="s">
        <v>409</v>
      </c>
      <c r="E1676" s="305" t="s">
        <v>275</v>
      </c>
      <c r="F1676" s="305" t="s">
        <v>1015</v>
      </c>
      <c r="G1676" s="306">
        <v>1485</v>
      </c>
      <c r="H1676" s="305" t="s">
        <v>633</v>
      </c>
      <c r="I1676" s="305" t="s">
        <v>633</v>
      </c>
      <c r="J1676" s="305"/>
      <c r="K1676" s="305"/>
    </row>
    <row r="1677" spans="1:11" x14ac:dyDescent="0.25">
      <c r="A1677" s="302" t="str">
        <f t="shared" si="44"/>
        <v>Advanced Thermostat_Boiler (Replace Unknown)_SF_ISR</v>
      </c>
      <c r="B1677" s="303" t="s">
        <v>7</v>
      </c>
      <c r="C1677" s="303" t="s">
        <v>1054</v>
      </c>
      <c r="D1677" s="303" t="s">
        <v>409</v>
      </c>
      <c r="E1677" s="305" t="s">
        <v>267</v>
      </c>
      <c r="F1677" s="305" t="s">
        <v>539</v>
      </c>
      <c r="G1677" s="308">
        <v>1</v>
      </c>
      <c r="H1677" s="305"/>
      <c r="I1677" s="305" t="s">
        <v>152</v>
      </c>
      <c r="J1677" s="305" t="s">
        <v>101</v>
      </c>
      <c r="K1677" s="305" t="s">
        <v>2371</v>
      </c>
    </row>
    <row r="1678" spans="1:11" x14ac:dyDescent="0.25">
      <c r="A1678" s="302" t="str">
        <f t="shared" ref="A1678" si="45">B1678&amp;"_"&amp;C1678&amp;"_"&amp;D1678&amp;"_"&amp;E1678</f>
        <v>Advanced Thermostat_Boiler (Replace Unknown)_SF_%FossilHeat</v>
      </c>
      <c r="B1678" s="303" t="s">
        <v>7</v>
      </c>
      <c r="C1678" s="303" t="s">
        <v>1054</v>
      </c>
      <c r="D1678" s="303" t="s">
        <v>409</v>
      </c>
      <c r="E1678" s="311" t="s">
        <v>1938</v>
      </c>
      <c r="F1678" s="334" t="s">
        <v>539</v>
      </c>
      <c r="G1678" s="322">
        <v>1</v>
      </c>
      <c r="H1678" s="311" t="s">
        <v>1939</v>
      </c>
      <c r="I1678" s="305" t="s">
        <v>152</v>
      </c>
      <c r="J1678" s="305" t="s">
        <v>101</v>
      </c>
      <c r="K1678" s="305" t="s">
        <v>2371</v>
      </c>
    </row>
    <row r="1679" spans="1:11" x14ac:dyDescent="0.25">
      <c r="A1679" s="302" t="str">
        <f t="shared" si="44"/>
        <v>Advanced Thermostat_Boiler (Replace Unknown)_SF_Furnace Fan Energy Consumption %</v>
      </c>
      <c r="B1679" s="303" t="s">
        <v>7</v>
      </c>
      <c r="C1679" s="303" t="s">
        <v>1054</v>
      </c>
      <c r="D1679" s="303" t="s">
        <v>409</v>
      </c>
      <c r="E1679" s="385" t="s">
        <v>277</v>
      </c>
      <c r="F1679" s="305" t="s">
        <v>539</v>
      </c>
      <c r="G1679" s="333">
        <v>3.1399999999999997E-2</v>
      </c>
      <c r="H1679" s="305" t="s">
        <v>278</v>
      </c>
      <c r="I1679" s="305" t="s">
        <v>152</v>
      </c>
      <c r="J1679" s="305" t="s">
        <v>101</v>
      </c>
      <c r="K1679" s="305" t="s">
        <v>2371</v>
      </c>
    </row>
    <row r="1680" spans="1:11" x14ac:dyDescent="0.25">
      <c r="A1680" s="302" t="str">
        <f t="shared" si="44"/>
        <v>Advanced Thermostat_Boiler (Replace Unknown)_SF_Therm Saved per Unit</v>
      </c>
      <c r="B1680" s="303" t="s">
        <v>7</v>
      </c>
      <c r="C1680" s="303" t="s">
        <v>1054</v>
      </c>
      <c r="D1680" s="303" t="s">
        <v>409</v>
      </c>
      <c r="E1680" s="314" t="s">
        <v>326</v>
      </c>
      <c r="F1680" s="314"/>
      <c r="G1680" s="315">
        <f>G1676*G1674*G1675*G1677*G1678</f>
        <v>126.22500000000001</v>
      </c>
      <c r="H1680" s="305"/>
      <c r="I1680" s="305" t="s">
        <v>152</v>
      </c>
      <c r="J1680" s="305" t="s">
        <v>101</v>
      </c>
      <c r="K1680" s="305" t="s">
        <v>2371</v>
      </c>
    </row>
    <row r="1681" spans="1:11" x14ac:dyDescent="0.25">
      <c r="A1681" s="302" t="str">
        <f t="shared" si="44"/>
        <v>Advanced Thermostat_Boiler (Replace Unknown)_SF_kWh Saved per Unit</v>
      </c>
      <c r="B1681" s="303" t="s">
        <v>7</v>
      </c>
      <c r="C1681" s="303" t="s">
        <v>1054</v>
      </c>
      <c r="D1681" s="303" t="s">
        <v>409</v>
      </c>
      <c r="E1681" s="314" t="s">
        <v>255</v>
      </c>
      <c r="F1681" s="314"/>
      <c r="G1681" s="315">
        <f>G1680*G1679*29.3</f>
        <v>116.1295245</v>
      </c>
      <c r="H1681" s="305"/>
      <c r="I1681" s="305" t="s">
        <v>152</v>
      </c>
      <c r="J1681" s="305" t="s">
        <v>101</v>
      </c>
      <c r="K1681" s="305" t="s">
        <v>2371</v>
      </c>
    </row>
    <row r="1682" spans="1:11" x14ac:dyDescent="0.25">
      <c r="A1682" s="302" t="str">
        <f t="shared" si="44"/>
        <v>Advanced Thermostat_Boiler (Replace Unknown)_SF_Lifetime (years)</v>
      </c>
      <c r="B1682" s="303" t="s">
        <v>7</v>
      </c>
      <c r="C1682" s="303" t="s">
        <v>1054</v>
      </c>
      <c r="D1682" s="303" t="s">
        <v>409</v>
      </c>
      <c r="E1682" s="314" t="s">
        <v>259</v>
      </c>
      <c r="F1682" s="314" t="s">
        <v>548</v>
      </c>
      <c r="G1682" s="315">
        <v>11</v>
      </c>
      <c r="H1682" s="305"/>
      <c r="I1682" s="305" t="s">
        <v>152</v>
      </c>
      <c r="J1682" s="305" t="s">
        <v>101</v>
      </c>
      <c r="K1682" s="305" t="s">
        <v>2371</v>
      </c>
    </row>
    <row r="1683" spans="1:11" x14ac:dyDescent="0.25">
      <c r="A1683" s="302" t="str">
        <f t="shared" si="44"/>
        <v>Advanced Thermostat_Boiler (Replace Unknown)_SF_Incremental Cost</v>
      </c>
      <c r="B1683" s="303" t="s">
        <v>7</v>
      </c>
      <c r="C1683" s="303" t="s">
        <v>1054</v>
      </c>
      <c r="D1683" s="303" t="s">
        <v>409</v>
      </c>
      <c r="E1683" s="314" t="s">
        <v>260</v>
      </c>
      <c r="F1683" s="314" t="s">
        <v>549</v>
      </c>
      <c r="G1683" s="328">
        <v>125</v>
      </c>
      <c r="H1683" s="305" t="s">
        <v>282</v>
      </c>
      <c r="I1683" s="305" t="s">
        <v>152</v>
      </c>
      <c r="J1683" s="305" t="s">
        <v>101</v>
      </c>
      <c r="K1683" s="305" t="s">
        <v>2371</v>
      </c>
    </row>
    <row r="1684" spans="1:11" s="324" customFormat="1" x14ac:dyDescent="0.25">
      <c r="A1684" s="317" t="str">
        <f t="shared" si="44"/>
        <v>Advanced Thermostat_Boiler (Replace Unknown)_SF_</v>
      </c>
      <c r="B1684" s="317" t="str">
        <f>B1683</f>
        <v>Advanced Thermostat</v>
      </c>
      <c r="C1684" s="317" t="str">
        <f>C1683</f>
        <v>Boiler (Replace Unknown)</v>
      </c>
      <c r="D1684" s="317" t="str">
        <f>D1683</f>
        <v>SF</v>
      </c>
      <c r="E1684" s="317"/>
      <c r="F1684" s="317"/>
      <c r="G1684" s="323"/>
      <c r="H1684" s="320"/>
      <c r="I1684" s="320"/>
      <c r="J1684" s="317"/>
      <c r="K1684" s="317"/>
    </row>
    <row r="1685" spans="1:11" x14ac:dyDescent="0.25">
      <c r="A1685" s="302" t="str">
        <f t="shared" si="44"/>
        <v>Advanced Thermostat_Boiler (Replace Programmable)_MF_Heating Energy Reduction</v>
      </c>
      <c r="B1685" s="303" t="s">
        <v>7</v>
      </c>
      <c r="C1685" s="303" t="s">
        <v>1052</v>
      </c>
      <c r="D1685" s="303" t="s">
        <v>553</v>
      </c>
      <c r="E1685" s="385" t="s">
        <v>279</v>
      </c>
      <c r="F1685" s="305" t="s">
        <v>539</v>
      </c>
      <c r="G1685" s="353">
        <v>7.0999999999999994E-2</v>
      </c>
      <c r="H1685" s="311" t="s">
        <v>1053</v>
      </c>
      <c r="I1685" s="305" t="s">
        <v>152</v>
      </c>
      <c r="J1685" s="305" t="s">
        <v>101</v>
      </c>
      <c r="K1685" s="305" t="s">
        <v>2371</v>
      </c>
    </row>
    <row r="1686" spans="1:11" x14ac:dyDescent="0.25">
      <c r="A1686" s="302" t="str">
        <f t="shared" si="44"/>
        <v>Advanced Thermostat_Boiler (Replace Programmable)_MF_Household Factor</v>
      </c>
      <c r="B1686" s="303" t="s">
        <v>7</v>
      </c>
      <c r="C1686" s="303" t="s">
        <v>1052</v>
      </c>
      <c r="D1686" s="303" t="s">
        <v>553</v>
      </c>
      <c r="E1686" s="305" t="s">
        <v>276</v>
      </c>
      <c r="F1686" s="305" t="s">
        <v>539</v>
      </c>
      <c r="G1686" s="308">
        <v>0.65</v>
      </c>
      <c r="H1686" s="305" t="s">
        <v>553</v>
      </c>
      <c r="I1686" s="305" t="s">
        <v>152</v>
      </c>
      <c r="J1686" s="305" t="s">
        <v>101</v>
      </c>
      <c r="K1686" s="305" t="s">
        <v>2371</v>
      </c>
    </row>
    <row r="1687" spans="1:11" x14ac:dyDescent="0.25">
      <c r="A1687" s="302" t="str">
        <f t="shared" si="44"/>
        <v>Advanced Thermostat_Boiler (Replace Programmable)_MF_Gas Heating Consumption</v>
      </c>
      <c r="B1687" s="303" t="s">
        <v>7</v>
      </c>
      <c r="C1687" s="303" t="s">
        <v>1052</v>
      </c>
      <c r="D1687" s="303" t="s">
        <v>553</v>
      </c>
      <c r="E1687" s="305" t="s">
        <v>275</v>
      </c>
      <c r="F1687" s="305" t="s">
        <v>1015</v>
      </c>
      <c r="G1687" s="339">
        <v>1485</v>
      </c>
      <c r="H1687" s="305" t="s">
        <v>633</v>
      </c>
      <c r="I1687" s="305" t="s">
        <v>152</v>
      </c>
      <c r="J1687" s="305" t="s">
        <v>101</v>
      </c>
      <c r="K1687" s="305" t="s">
        <v>2371</v>
      </c>
    </row>
    <row r="1688" spans="1:11" x14ac:dyDescent="0.25">
      <c r="A1688" s="302" t="str">
        <f t="shared" si="44"/>
        <v>Advanced Thermostat_Boiler (Replace Programmable)_MF_ISR</v>
      </c>
      <c r="B1688" s="303" t="s">
        <v>7</v>
      </c>
      <c r="C1688" s="303" t="s">
        <v>1052</v>
      </c>
      <c r="D1688" s="303" t="s">
        <v>553</v>
      </c>
      <c r="E1688" s="305" t="s">
        <v>267</v>
      </c>
      <c r="F1688" s="305" t="s">
        <v>539</v>
      </c>
      <c r="G1688" s="308">
        <v>1</v>
      </c>
      <c r="H1688" s="305"/>
      <c r="I1688" s="305" t="s">
        <v>152</v>
      </c>
      <c r="J1688" s="305" t="s">
        <v>101</v>
      </c>
      <c r="K1688" s="305" t="s">
        <v>2371</v>
      </c>
    </row>
    <row r="1689" spans="1:11" x14ac:dyDescent="0.25">
      <c r="A1689" s="302" t="str">
        <f t="shared" si="44"/>
        <v>Advanced Thermostat_Boiler (Replace Programmable)_MF_%FossilHeat</v>
      </c>
      <c r="B1689" s="303" t="s">
        <v>7</v>
      </c>
      <c r="C1689" s="303" t="s">
        <v>1052</v>
      </c>
      <c r="D1689" s="303" t="s">
        <v>553</v>
      </c>
      <c r="E1689" s="311" t="s">
        <v>1938</v>
      </c>
      <c r="F1689" s="334" t="s">
        <v>539</v>
      </c>
      <c r="G1689" s="322">
        <v>1</v>
      </c>
      <c r="H1689" s="311" t="s">
        <v>1939</v>
      </c>
      <c r="I1689" s="305" t="s">
        <v>152</v>
      </c>
      <c r="J1689" s="305" t="s">
        <v>101</v>
      </c>
      <c r="K1689" s="305" t="s">
        <v>2371</v>
      </c>
    </row>
    <row r="1690" spans="1:11" x14ac:dyDescent="0.25">
      <c r="A1690" s="302" t="str">
        <f t="shared" si="44"/>
        <v>Advanced Thermostat_Boiler (Replace Programmable)_MF_Furnace Fan Energy Consumption %</v>
      </c>
      <c r="B1690" s="303" t="s">
        <v>7</v>
      </c>
      <c r="C1690" s="303" t="s">
        <v>1052</v>
      </c>
      <c r="D1690" s="303" t="s">
        <v>553</v>
      </c>
      <c r="E1690" s="385" t="s">
        <v>277</v>
      </c>
      <c r="F1690" s="305" t="s">
        <v>539</v>
      </c>
      <c r="G1690" s="333">
        <v>3.1399999999999997E-2</v>
      </c>
      <c r="H1690" s="305" t="s">
        <v>278</v>
      </c>
      <c r="I1690" s="305" t="s">
        <v>152</v>
      </c>
      <c r="J1690" s="305" t="s">
        <v>101</v>
      </c>
      <c r="K1690" s="305" t="s">
        <v>2371</v>
      </c>
    </row>
    <row r="1691" spans="1:11" x14ac:dyDescent="0.25">
      <c r="A1691" s="302" t="str">
        <f t="shared" si="44"/>
        <v>Advanced Thermostat_Boiler (Replace Programmable)_MF_Therm Saved per Unit</v>
      </c>
      <c r="B1691" s="303" t="s">
        <v>7</v>
      </c>
      <c r="C1691" s="303" t="s">
        <v>1052</v>
      </c>
      <c r="D1691" s="303" t="s">
        <v>553</v>
      </c>
      <c r="E1691" s="314" t="s">
        <v>326</v>
      </c>
      <c r="F1691" s="314"/>
      <c r="G1691" s="315">
        <f>G1687*G1685*G1686*G1688*G1689</f>
        <v>68.532749999999993</v>
      </c>
      <c r="H1691" s="305"/>
      <c r="I1691" s="305" t="s">
        <v>152</v>
      </c>
      <c r="J1691" s="305" t="s">
        <v>101</v>
      </c>
      <c r="K1691" s="305" t="s">
        <v>2371</v>
      </c>
    </row>
    <row r="1692" spans="1:11" x14ac:dyDescent="0.25">
      <c r="A1692" s="302" t="str">
        <f t="shared" si="44"/>
        <v>Advanced Thermostat_Boiler (Replace Programmable)_MF_kWh Saved per Unit</v>
      </c>
      <c r="B1692" s="303" t="s">
        <v>7</v>
      </c>
      <c r="C1692" s="303" t="s">
        <v>1052</v>
      </c>
      <c r="D1692" s="303" t="s">
        <v>553</v>
      </c>
      <c r="E1692" s="314" t="s">
        <v>255</v>
      </c>
      <c r="F1692" s="314"/>
      <c r="G1692" s="315">
        <f>G1691*G1690*29.3</f>
        <v>63.051500654999984</v>
      </c>
      <c r="H1692" s="305"/>
      <c r="I1692" s="305" t="s">
        <v>152</v>
      </c>
      <c r="J1692" s="305" t="s">
        <v>101</v>
      </c>
      <c r="K1692" s="305" t="s">
        <v>2371</v>
      </c>
    </row>
    <row r="1693" spans="1:11" x14ac:dyDescent="0.25">
      <c r="A1693" s="302" t="str">
        <f t="shared" si="44"/>
        <v>Advanced Thermostat_Boiler (Replace Programmable)_MF_Lifetime (years)</v>
      </c>
      <c r="B1693" s="303" t="s">
        <v>7</v>
      </c>
      <c r="C1693" s="303" t="s">
        <v>1052</v>
      </c>
      <c r="D1693" s="303" t="s">
        <v>553</v>
      </c>
      <c r="E1693" s="314" t="s">
        <v>259</v>
      </c>
      <c r="F1693" s="314" t="s">
        <v>548</v>
      </c>
      <c r="G1693" s="315">
        <v>11</v>
      </c>
      <c r="H1693" s="305"/>
      <c r="I1693" s="305" t="s">
        <v>152</v>
      </c>
      <c r="J1693" s="305" t="s">
        <v>101</v>
      </c>
      <c r="K1693" s="305" t="s">
        <v>2371</v>
      </c>
    </row>
    <row r="1694" spans="1:11" x14ac:dyDescent="0.25">
      <c r="A1694" s="302" t="str">
        <f t="shared" si="44"/>
        <v>Advanced Thermostat_Boiler (Replace Programmable)_MF_Incremental Cost</v>
      </c>
      <c r="B1694" s="303" t="s">
        <v>7</v>
      </c>
      <c r="C1694" s="303" t="s">
        <v>1052</v>
      </c>
      <c r="D1694" s="303" t="s">
        <v>553</v>
      </c>
      <c r="E1694" s="314" t="s">
        <v>260</v>
      </c>
      <c r="F1694" s="314" t="s">
        <v>549</v>
      </c>
      <c r="G1694" s="328">
        <v>125</v>
      </c>
      <c r="H1694" s="305" t="s">
        <v>282</v>
      </c>
      <c r="I1694" s="305" t="s">
        <v>152</v>
      </c>
      <c r="J1694" s="305" t="s">
        <v>101</v>
      </c>
      <c r="K1694" s="305" t="s">
        <v>2371</v>
      </c>
    </row>
    <row r="1695" spans="1:11" s="324" customFormat="1" x14ac:dyDescent="0.25">
      <c r="A1695" s="317" t="str">
        <f t="shared" si="44"/>
        <v>Advanced Thermostat_Boiler (Replace Programmable)_MF_</v>
      </c>
      <c r="B1695" s="317" t="str">
        <f>B1694</f>
        <v>Advanced Thermostat</v>
      </c>
      <c r="C1695" s="317" t="str">
        <f>C1694</f>
        <v>Boiler (Replace Programmable)</v>
      </c>
      <c r="D1695" s="317" t="str">
        <f>D1694</f>
        <v>MF</v>
      </c>
      <c r="E1695" s="317"/>
      <c r="F1695" s="317"/>
      <c r="G1695" s="323"/>
      <c r="H1695" s="320"/>
      <c r="I1695" s="320"/>
      <c r="J1695" s="317"/>
      <c r="K1695" s="317"/>
    </row>
    <row r="1696" spans="1:11" x14ac:dyDescent="0.25">
      <c r="A1696" s="302" t="str">
        <f t="shared" si="44"/>
        <v>Advanced Thermostat_Furnace (Replace Unknown)_MF_Heating Energy Reduction</v>
      </c>
      <c r="B1696" s="303" t="s">
        <v>7</v>
      </c>
      <c r="C1696" s="303" t="s">
        <v>1050</v>
      </c>
      <c r="D1696" s="303" t="s">
        <v>553</v>
      </c>
      <c r="E1696" s="385" t="s">
        <v>279</v>
      </c>
      <c r="F1696" s="305" t="s">
        <v>539</v>
      </c>
      <c r="G1696" s="353">
        <v>8.5000000000000006E-2</v>
      </c>
      <c r="H1696" s="311" t="s">
        <v>274</v>
      </c>
      <c r="I1696" s="305" t="s">
        <v>152</v>
      </c>
      <c r="J1696" s="305" t="s">
        <v>101</v>
      </c>
      <c r="K1696" s="305" t="s">
        <v>2371</v>
      </c>
    </row>
    <row r="1697" spans="1:11" x14ac:dyDescent="0.25">
      <c r="A1697" s="302" t="str">
        <f t="shared" si="44"/>
        <v>Advanced Thermostat_Furnace (Replace Unknown)_MF_Household Factor</v>
      </c>
      <c r="B1697" s="303" t="s">
        <v>7</v>
      </c>
      <c r="C1697" s="303" t="s">
        <v>1050</v>
      </c>
      <c r="D1697" s="303" t="s">
        <v>553</v>
      </c>
      <c r="E1697" s="305" t="s">
        <v>276</v>
      </c>
      <c r="F1697" s="305" t="s">
        <v>539</v>
      </c>
      <c r="G1697" s="308">
        <v>0.65</v>
      </c>
      <c r="H1697" s="305" t="s">
        <v>553</v>
      </c>
      <c r="I1697" s="305" t="s">
        <v>152</v>
      </c>
      <c r="J1697" s="305" t="s">
        <v>101</v>
      </c>
      <c r="K1697" s="305" t="s">
        <v>2371</v>
      </c>
    </row>
    <row r="1698" spans="1:11" x14ac:dyDescent="0.25">
      <c r="A1698" s="302" t="str">
        <f t="shared" si="44"/>
        <v>Advanced Thermostat_Furnace (Replace Unknown)_MF_Gas Heating Consumption</v>
      </c>
      <c r="B1698" s="303" t="s">
        <v>7</v>
      </c>
      <c r="C1698" s="303" t="s">
        <v>1050</v>
      </c>
      <c r="D1698" s="303" t="s">
        <v>553</v>
      </c>
      <c r="E1698" s="305" t="s">
        <v>275</v>
      </c>
      <c r="F1698" s="305" t="s">
        <v>1015</v>
      </c>
      <c r="G1698" s="339">
        <v>1005</v>
      </c>
      <c r="H1698" s="305" t="s">
        <v>675</v>
      </c>
      <c r="I1698" s="305" t="s">
        <v>152</v>
      </c>
      <c r="J1698" s="305" t="s">
        <v>101</v>
      </c>
      <c r="K1698" s="305" t="s">
        <v>2371</v>
      </c>
    </row>
    <row r="1699" spans="1:11" x14ac:dyDescent="0.25">
      <c r="A1699" s="302" t="str">
        <f t="shared" si="44"/>
        <v>Advanced Thermostat_Furnace (Replace Unknown)_MF_ISR</v>
      </c>
      <c r="B1699" s="303" t="s">
        <v>7</v>
      </c>
      <c r="C1699" s="303" t="s">
        <v>1050</v>
      </c>
      <c r="D1699" s="303" t="s">
        <v>553</v>
      </c>
      <c r="E1699" s="305" t="s">
        <v>267</v>
      </c>
      <c r="F1699" s="305" t="s">
        <v>539</v>
      </c>
      <c r="G1699" s="308">
        <v>1</v>
      </c>
      <c r="H1699" s="305"/>
      <c r="I1699" s="305" t="s">
        <v>152</v>
      </c>
      <c r="J1699" s="305" t="s">
        <v>101</v>
      </c>
      <c r="K1699" s="305" t="s">
        <v>2371</v>
      </c>
    </row>
    <row r="1700" spans="1:11" x14ac:dyDescent="0.25">
      <c r="A1700" s="302" t="str">
        <f t="shared" ref="A1700" si="46">B1700&amp;"_"&amp;C1700&amp;"_"&amp;D1700&amp;"_"&amp;E1700</f>
        <v>Advanced Thermostat_Furnace (Replace Unknown)_MF_%FossilHeat</v>
      </c>
      <c r="B1700" s="303" t="s">
        <v>7</v>
      </c>
      <c r="C1700" s="303" t="s">
        <v>1050</v>
      </c>
      <c r="D1700" s="303" t="s">
        <v>553</v>
      </c>
      <c r="E1700" s="311" t="s">
        <v>1938</v>
      </c>
      <c r="F1700" s="334" t="s">
        <v>539</v>
      </c>
      <c r="G1700" s="322">
        <v>1</v>
      </c>
      <c r="H1700" s="311" t="s">
        <v>1939</v>
      </c>
      <c r="I1700" s="305" t="s">
        <v>152</v>
      </c>
      <c r="J1700" s="305" t="s">
        <v>101</v>
      </c>
      <c r="K1700" s="305" t="s">
        <v>2371</v>
      </c>
    </row>
    <row r="1701" spans="1:11" x14ac:dyDescent="0.25">
      <c r="A1701" s="302" t="str">
        <f t="shared" si="44"/>
        <v>Advanced Thermostat_Furnace (Replace Unknown)_MF_Furnace Fan Energy Consumption %</v>
      </c>
      <c r="B1701" s="303" t="s">
        <v>7</v>
      </c>
      <c r="C1701" s="303" t="s">
        <v>1050</v>
      </c>
      <c r="D1701" s="303" t="s">
        <v>553</v>
      </c>
      <c r="E1701" s="385" t="s">
        <v>277</v>
      </c>
      <c r="F1701" s="305" t="s">
        <v>539</v>
      </c>
      <c r="G1701" s="333">
        <v>3.1399999999999997E-2</v>
      </c>
      <c r="H1701" s="305" t="s">
        <v>278</v>
      </c>
      <c r="I1701" s="305" t="s">
        <v>152</v>
      </c>
      <c r="J1701" s="305" t="s">
        <v>101</v>
      </c>
      <c r="K1701" s="305" t="s">
        <v>2371</v>
      </c>
    </row>
    <row r="1702" spans="1:11" x14ac:dyDescent="0.25">
      <c r="A1702" s="302" t="str">
        <f t="shared" si="44"/>
        <v>Advanced Thermostat_Furnace (Replace Unknown)_MF_Therm Saved per Unit</v>
      </c>
      <c r="B1702" s="303" t="s">
        <v>7</v>
      </c>
      <c r="C1702" s="303" t="s">
        <v>1050</v>
      </c>
      <c r="D1702" s="303" t="s">
        <v>553</v>
      </c>
      <c r="E1702" s="314" t="s">
        <v>326</v>
      </c>
      <c r="F1702" s="314"/>
      <c r="G1702" s="315">
        <f>G1698*G1696*G1697*G1699*G1700</f>
        <v>55.526250000000012</v>
      </c>
      <c r="H1702" s="305"/>
      <c r="I1702" s="305" t="s">
        <v>152</v>
      </c>
      <c r="J1702" s="305" t="s">
        <v>101</v>
      </c>
      <c r="K1702" s="305" t="s">
        <v>2371</v>
      </c>
    </row>
    <row r="1703" spans="1:11" x14ac:dyDescent="0.25">
      <c r="A1703" s="302" t="str">
        <f t="shared" si="44"/>
        <v>Advanced Thermostat_Furnace (Replace Unknown)_MF_kWh Saved per Unit</v>
      </c>
      <c r="B1703" s="303" t="s">
        <v>7</v>
      </c>
      <c r="C1703" s="303" t="s">
        <v>1050</v>
      </c>
      <c r="D1703" s="303" t="s">
        <v>553</v>
      </c>
      <c r="E1703" s="314" t="s">
        <v>255</v>
      </c>
      <c r="F1703" s="314"/>
      <c r="G1703" s="315">
        <f>G1702*G1701*29.3</f>
        <v>51.085260525000002</v>
      </c>
      <c r="H1703" s="305"/>
      <c r="I1703" s="305" t="s">
        <v>152</v>
      </c>
      <c r="J1703" s="305" t="s">
        <v>101</v>
      </c>
      <c r="K1703" s="305" t="s">
        <v>2371</v>
      </c>
    </row>
    <row r="1704" spans="1:11" x14ac:dyDescent="0.25">
      <c r="A1704" s="302" t="str">
        <f t="shared" si="44"/>
        <v>Advanced Thermostat_Furnace (Replace Unknown)_MF_Lifetime (years)</v>
      </c>
      <c r="B1704" s="303" t="s">
        <v>7</v>
      </c>
      <c r="C1704" s="303" t="s">
        <v>1050</v>
      </c>
      <c r="D1704" s="303" t="s">
        <v>553</v>
      </c>
      <c r="E1704" s="314" t="s">
        <v>259</v>
      </c>
      <c r="F1704" s="314" t="s">
        <v>548</v>
      </c>
      <c r="G1704" s="315">
        <v>11</v>
      </c>
      <c r="H1704" s="305"/>
      <c r="I1704" s="305" t="s">
        <v>152</v>
      </c>
      <c r="J1704" s="305" t="s">
        <v>101</v>
      </c>
      <c r="K1704" s="305" t="s">
        <v>2371</v>
      </c>
    </row>
    <row r="1705" spans="1:11" x14ac:dyDescent="0.25">
      <c r="A1705" s="302" t="str">
        <f t="shared" si="44"/>
        <v>Advanced Thermostat_Furnace (Replace Unknown)_MF_Incremental Cost</v>
      </c>
      <c r="B1705" s="303" t="s">
        <v>7</v>
      </c>
      <c r="C1705" s="303" t="s">
        <v>1050</v>
      </c>
      <c r="D1705" s="303" t="s">
        <v>553</v>
      </c>
      <c r="E1705" s="314" t="s">
        <v>260</v>
      </c>
      <c r="F1705" s="314" t="s">
        <v>549</v>
      </c>
      <c r="G1705" s="328">
        <v>125</v>
      </c>
      <c r="H1705" s="305" t="s">
        <v>282</v>
      </c>
      <c r="I1705" s="305" t="s">
        <v>152</v>
      </c>
      <c r="J1705" s="305" t="s">
        <v>101</v>
      </c>
      <c r="K1705" s="305" t="s">
        <v>2371</v>
      </c>
    </row>
    <row r="1706" spans="1:11" s="324" customFormat="1" x14ac:dyDescent="0.25">
      <c r="A1706" s="317" t="str">
        <f t="shared" si="44"/>
        <v>Advanced Thermostat_Furnace (Replace Unknown)_MF_</v>
      </c>
      <c r="B1706" s="317" t="str">
        <f>B1705</f>
        <v>Advanced Thermostat</v>
      </c>
      <c r="C1706" s="317" t="str">
        <f>C1705</f>
        <v>Furnace (Replace Unknown)</v>
      </c>
      <c r="D1706" s="317" t="str">
        <f>D1705</f>
        <v>MF</v>
      </c>
      <c r="E1706" s="317"/>
      <c r="F1706" s="317"/>
      <c r="G1706" s="323"/>
      <c r="H1706" s="320"/>
      <c r="I1706" s="320"/>
      <c r="J1706" s="317"/>
      <c r="K1706" s="317"/>
    </row>
    <row r="1707" spans="1:11" x14ac:dyDescent="0.25">
      <c r="A1707" s="302" t="str">
        <f t="shared" si="44"/>
        <v>Advanced Thermostat_Boiler (Replace Unknown)_MF_Heating Energy Reduction</v>
      </c>
      <c r="B1707" s="303" t="s">
        <v>7</v>
      </c>
      <c r="C1707" s="303" t="s">
        <v>1054</v>
      </c>
      <c r="D1707" s="303" t="s">
        <v>553</v>
      </c>
      <c r="E1707" s="385" t="s">
        <v>279</v>
      </c>
      <c r="F1707" s="305" t="s">
        <v>539</v>
      </c>
      <c r="G1707" s="353">
        <v>8.5000000000000006E-2</v>
      </c>
      <c r="H1707" s="311" t="s">
        <v>274</v>
      </c>
      <c r="I1707" s="305" t="s">
        <v>152</v>
      </c>
      <c r="J1707" s="305" t="s">
        <v>101</v>
      </c>
      <c r="K1707" s="305" t="s">
        <v>2371</v>
      </c>
    </row>
    <row r="1708" spans="1:11" x14ac:dyDescent="0.25">
      <c r="A1708" s="302" t="str">
        <f t="shared" si="44"/>
        <v>Advanced Thermostat_Boiler (Replace Unknown)_MF_Household Factor</v>
      </c>
      <c r="B1708" s="303" t="s">
        <v>7</v>
      </c>
      <c r="C1708" s="303" t="s">
        <v>1054</v>
      </c>
      <c r="D1708" s="303" t="s">
        <v>553</v>
      </c>
      <c r="E1708" s="305" t="s">
        <v>276</v>
      </c>
      <c r="F1708" s="305" t="s">
        <v>539</v>
      </c>
      <c r="G1708" s="308">
        <v>0.65</v>
      </c>
      <c r="H1708" s="305" t="s">
        <v>553</v>
      </c>
      <c r="I1708" s="305" t="s">
        <v>152</v>
      </c>
      <c r="J1708" s="305" t="s">
        <v>101</v>
      </c>
      <c r="K1708" s="305" t="s">
        <v>2371</v>
      </c>
    </row>
    <row r="1709" spans="1:11" x14ac:dyDescent="0.25">
      <c r="A1709" s="302" t="str">
        <f t="shared" si="44"/>
        <v>Advanced Thermostat_Boiler (Replace Unknown)_MF_Gas Heating Consumption</v>
      </c>
      <c r="B1709" s="303" t="s">
        <v>7</v>
      </c>
      <c r="C1709" s="303" t="s">
        <v>1054</v>
      </c>
      <c r="D1709" s="303" t="s">
        <v>553</v>
      </c>
      <c r="E1709" s="305" t="s">
        <v>275</v>
      </c>
      <c r="F1709" s="305" t="s">
        <v>1015</v>
      </c>
      <c r="G1709" s="339">
        <v>1485</v>
      </c>
      <c r="H1709" s="305" t="s">
        <v>633</v>
      </c>
      <c r="I1709" s="305" t="s">
        <v>152</v>
      </c>
      <c r="J1709" s="305" t="s">
        <v>101</v>
      </c>
      <c r="K1709" s="305" t="s">
        <v>2371</v>
      </c>
    </row>
    <row r="1710" spans="1:11" x14ac:dyDescent="0.25">
      <c r="A1710" s="302" t="str">
        <f t="shared" si="44"/>
        <v>Advanced Thermostat_Boiler (Replace Unknown)_MF_ISR</v>
      </c>
      <c r="B1710" s="303" t="s">
        <v>7</v>
      </c>
      <c r="C1710" s="303" t="s">
        <v>1054</v>
      </c>
      <c r="D1710" s="303" t="s">
        <v>553</v>
      </c>
      <c r="E1710" s="305" t="s">
        <v>267</v>
      </c>
      <c r="F1710" s="305" t="s">
        <v>539</v>
      </c>
      <c r="G1710" s="308">
        <v>1</v>
      </c>
      <c r="H1710" s="305"/>
      <c r="I1710" s="305" t="s">
        <v>152</v>
      </c>
      <c r="J1710" s="305" t="s">
        <v>101</v>
      </c>
      <c r="K1710" s="305" t="s">
        <v>2371</v>
      </c>
    </row>
    <row r="1711" spans="1:11" x14ac:dyDescent="0.25">
      <c r="A1711" s="302" t="str">
        <f t="shared" si="44"/>
        <v>Advanced Thermostat_Boiler (Replace Unknown)_MF_%FossilHeat</v>
      </c>
      <c r="B1711" s="303" t="s">
        <v>7</v>
      </c>
      <c r="C1711" s="303" t="s">
        <v>1054</v>
      </c>
      <c r="D1711" s="303" t="s">
        <v>553</v>
      </c>
      <c r="E1711" s="311" t="s">
        <v>1938</v>
      </c>
      <c r="F1711" s="334" t="s">
        <v>539</v>
      </c>
      <c r="G1711" s="322">
        <v>1</v>
      </c>
      <c r="H1711" s="311" t="s">
        <v>1939</v>
      </c>
      <c r="I1711" s="305" t="s">
        <v>152</v>
      </c>
      <c r="J1711" s="305" t="s">
        <v>101</v>
      </c>
      <c r="K1711" s="305" t="s">
        <v>2371</v>
      </c>
    </row>
    <row r="1712" spans="1:11" x14ac:dyDescent="0.25">
      <c r="A1712" s="302" t="str">
        <f t="shared" si="44"/>
        <v>Advanced Thermostat_Boiler (Replace Unknown)_MF_Furnace Fan Energy Consumption %</v>
      </c>
      <c r="B1712" s="303" t="s">
        <v>7</v>
      </c>
      <c r="C1712" s="303" t="s">
        <v>1054</v>
      </c>
      <c r="D1712" s="303" t="s">
        <v>553</v>
      </c>
      <c r="E1712" s="385" t="s">
        <v>277</v>
      </c>
      <c r="F1712" s="305" t="s">
        <v>539</v>
      </c>
      <c r="G1712" s="333">
        <v>3.1399999999999997E-2</v>
      </c>
      <c r="H1712" s="305" t="s">
        <v>278</v>
      </c>
      <c r="I1712" s="305" t="s">
        <v>152</v>
      </c>
      <c r="J1712" s="305" t="s">
        <v>101</v>
      </c>
      <c r="K1712" s="305" t="s">
        <v>2371</v>
      </c>
    </row>
    <row r="1713" spans="1:11" x14ac:dyDescent="0.25">
      <c r="A1713" s="302" t="str">
        <f t="shared" si="44"/>
        <v>Advanced Thermostat_Boiler (Replace Unknown)_MF_Therm Saved per Unit</v>
      </c>
      <c r="B1713" s="303" t="s">
        <v>7</v>
      </c>
      <c r="C1713" s="303" t="s">
        <v>1054</v>
      </c>
      <c r="D1713" s="303" t="s">
        <v>553</v>
      </c>
      <c r="E1713" s="314" t="s">
        <v>326</v>
      </c>
      <c r="F1713" s="314"/>
      <c r="G1713" s="315">
        <f>G1709*G1707*G1708*G1710*G1711</f>
        <v>82.046250000000015</v>
      </c>
      <c r="H1713" s="305"/>
      <c r="I1713" s="305" t="s">
        <v>152</v>
      </c>
      <c r="J1713" s="305" t="s">
        <v>101</v>
      </c>
      <c r="K1713" s="305" t="s">
        <v>2371</v>
      </c>
    </row>
    <row r="1714" spans="1:11" x14ac:dyDescent="0.25">
      <c r="A1714" s="302" t="str">
        <f t="shared" si="44"/>
        <v>Advanced Thermostat_Boiler (Replace Unknown)_MF_kWh Saved per Unit</v>
      </c>
      <c r="B1714" s="303" t="s">
        <v>7</v>
      </c>
      <c r="C1714" s="303" t="s">
        <v>1054</v>
      </c>
      <c r="D1714" s="303" t="s">
        <v>553</v>
      </c>
      <c r="E1714" s="314" t="s">
        <v>255</v>
      </c>
      <c r="F1714" s="314"/>
      <c r="G1714" s="315">
        <f>G1713*G1712*29.3</f>
        <v>75.484190925000021</v>
      </c>
      <c r="H1714" s="305"/>
      <c r="I1714" s="305" t="s">
        <v>152</v>
      </c>
      <c r="J1714" s="305" t="s">
        <v>101</v>
      </c>
      <c r="K1714" s="305" t="s">
        <v>2371</v>
      </c>
    </row>
    <row r="1715" spans="1:11" x14ac:dyDescent="0.25">
      <c r="A1715" s="302" t="str">
        <f t="shared" si="44"/>
        <v>Advanced Thermostat_Boiler (Replace Unknown)_MF_Lifetime (years)</v>
      </c>
      <c r="B1715" s="303" t="s">
        <v>7</v>
      </c>
      <c r="C1715" s="303" t="s">
        <v>1054</v>
      </c>
      <c r="D1715" s="303" t="s">
        <v>553</v>
      </c>
      <c r="E1715" s="314" t="s">
        <v>259</v>
      </c>
      <c r="F1715" s="314" t="s">
        <v>548</v>
      </c>
      <c r="G1715" s="315">
        <v>11</v>
      </c>
      <c r="H1715" s="305"/>
      <c r="I1715" s="305" t="s">
        <v>152</v>
      </c>
      <c r="J1715" s="305" t="s">
        <v>101</v>
      </c>
      <c r="K1715" s="305" t="s">
        <v>2371</v>
      </c>
    </row>
    <row r="1716" spans="1:11" x14ac:dyDescent="0.25">
      <c r="A1716" s="302" t="str">
        <f t="shared" si="44"/>
        <v>Advanced Thermostat_Boiler (Replace Unknown)_MF_Incremental Cost</v>
      </c>
      <c r="B1716" s="303" t="s">
        <v>7</v>
      </c>
      <c r="C1716" s="303" t="s">
        <v>1054</v>
      </c>
      <c r="D1716" s="303" t="s">
        <v>553</v>
      </c>
      <c r="E1716" s="314" t="s">
        <v>260</v>
      </c>
      <c r="F1716" s="314" t="s">
        <v>549</v>
      </c>
      <c r="G1716" s="328">
        <v>125</v>
      </c>
      <c r="H1716" s="305" t="s">
        <v>282</v>
      </c>
      <c r="I1716" s="305" t="s">
        <v>152</v>
      </c>
      <c r="J1716" s="305" t="s">
        <v>101</v>
      </c>
      <c r="K1716" s="305" t="s">
        <v>2371</v>
      </c>
    </row>
    <row r="1717" spans="1:11" s="324" customFormat="1" x14ac:dyDescent="0.25">
      <c r="A1717" s="317" t="str">
        <f t="shared" si="44"/>
        <v>Advanced Thermostat_Boiler (Replace Unknown)_MF_</v>
      </c>
      <c r="B1717" s="317" t="str">
        <f>B1716</f>
        <v>Advanced Thermostat</v>
      </c>
      <c r="C1717" s="317" t="str">
        <f>C1716</f>
        <v>Boiler (Replace Unknown)</v>
      </c>
      <c r="D1717" s="317" t="str">
        <f>D1716</f>
        <v>MF</v>
      </c>
      <c r="E1717" s="317"/>
      <c r="F1717" s="317"/>
      <c r="G1717" s="323"/>
      <c r="H1717" s="320"/>
      <c r="I1717" s="320"/>
      <c r="J1717" s="317"/>
      <c r="K1717" s="317"/>
    </row>
    <row r="1718" spans="1:11" x14ac:dyDescent="0.25">
      <c r="A1718" s="302" t="str">
        <f t="shared" si="44"/>
        <v>Thermostat - Reprogram_Furnace (DI)_SF_CF</v>
      </c>
      <c r="B1718" s="303" t="s">
        <v>1055</v>
      </c>
      <c r="C1718" s="304" t="s">
        <v>1038</v>
      </c>
      <c r="D1718" s="303" t="s">
        <v>409</v>
      </c>
      <c r="E1718" s="385" t="s">
        <v>253</v>
      </c>
      <c r="F1718" s="309"/>
      <c r="G1718" s="306">
        <v>0.68</v>
      </c>
      <c r="H1718" s="305" t="s">
        <v>323</v>
      </c>
      <c r="I1718" s="305" t="s">
        <v>152</v>
      </c>
      <c r="J1718" s="305" t="s">
        <v>100</v>
      </c>
      <c r="K1718" s="305" t="s">
        <v>2004</v>
      </c>
    </row>
    <row r="1719" spans="1:11" x14ac:dyDescent="0.25">
      <c r="A1719" s="302" t="str">
        <f t="shared" si="44"/>
        <v>Thermostat - Reprogram_Furnace (DI)_SF_% Electric Heating</v>
      </c>
      <c r="B1719" s="303" t="s">
        <v>1055</v>
      </c>
      <c r="C1719" s="304" t="s">
        <v>1038</v>
      </c>
      <c r="D1719" s="303" t="s">
        <v>409</v>
      </c>
      <c r="E1719" s="305" t="s">
        <v>268</v>
      </c>
      <c r="F1719" s="309"/>
      <c r="G1719" s="306">
        <v>0</v>
      </c>
      <c r="H1719" s="305" t="s">
        <v>1056</v>
      </c>
      <c r="I1719" s="305" t="s">
        <v>152</v>
      </c>
      <c r="J1719" s="305" t="s">
        <v>100</v>
      </c>
      <c r="K1719" s="305" t="s">
        <v>2004</v>
      </c>
    </row>
    <row r="1720" spans="1:11" x14ac:dyDescent="0.25">
      <c r="A1720" s="302" t="str">
        <f t="shared" si="44"/>
        <v>Thermostat - Reprogram_Furnace (DI)_SF_% Gas Heating</v>
      </c>
      <c r="B1720" s="303" t="s">
        <v>1055</v>
      </c>
      <c r="C1720" s="304" t="s">
        <v>1038</v>
      </c>
      <c r="D1720" s="303" t="s">
        <v>409</v>
      </c>
      <c r="E1720" s="305" t="s">
        <v>269</v>
      </c>
      <c r="F1720" s="309"/>
      <c r="G1720" s="306">
        <v>1</v>
      </c>
      <c r="H1720" s="305" t="s">
        <v>1056</v>
      </c>
      <c r="I1720" s="305" t="s">
        <v>152</v>
      </c>
      <c r="J1720" s="305" t="s">
        <v>100</v>
      </c>
      <c r="K1720" s="305" t="s">
        <v>2004</v>
      </c>
    </row>
    <row r="1721" spans="1:11" x14ac:dyDescent="0.25">
      <c r="A1721" s="302" t="str">
        <f t="shared" si="44"/>
        <v>Thermostat - Reprogram_Furnace (DI)_SF_Electric Heating Consumption</v>
      </c>
      <c r="B1721" s="303" t="s">
        <v>1055</v>
      </c>
      <c r="C1721" s="304" t="s">
        <v>1038</v>
      </c>
      <c r="D1721" s="303" t="s">
        <v>409</v>
      </c>
      <c r="E1721" s="305" t="s">
        <v>273</v>
      </c>
      <c r="F1721" s="309"/>
      <c r="G1721" s="306">
        <v>0</v>
      </c>
      <c r="H1721" s="305" t="s">
        <v>633</v>
      </c>
      <c r="I1721" s="305" t="s">
        <v>152</v>
      </c>
      <c r="J1721" s="305" t="s">
        <v>100</v>
      </c>
      <c r="K1721" s="305" t="s">
        <v>2004</v>
      </c>
    </row>
    <row r="1722" spans="1:11" x14ac:dyDescent="0.25">
      <c r="A1722" s="302" t="str">
        <f t="shared" si="44"/>
        <v>Thermostat - Reprogram_Furnace (DI)_SF_Gas Heating Consumption</v>
      </c>
      <c r="B1722" s="303" t="s">
        <v>1055</v>
      </c>
      <c r="C1722" s="304" t="s">
        <v>1038</v>
      </c>
      <c r="D1722" s="303" t="s">
        <v>409</v>
      </c>
      <c r="E1722" s="385" t="s">
        <v>275</v>
      </c>
      <c r="F1722" s="309"/>
      <c r="G1722" s="306">
        <v>1005</v>
      </c>
      <c r="H1722" s="305" t="s">
        <v>636</v>
      </c>
      <c r="I1722" s="305" t="s">
        <v>152</v>
      </c>
      <c r="J1722" s="305" t="s">
        <v>100</v>
      </c>
      <c r="K1722" s="305" t="s">
        <v>2004</v>
      </c>
    </row>
    <row r="1723" spans="1:11" x14ac:dyDescent="0.25">
      <c r="A1723" s="302" t="str">
        <f t="shared" si="44"/>
        <v>Thermostat - Reprogram_Furnace (DI)_SF_Household Factor</v>
      </c>
      <c r="B1723" s="303" t="s">
        <v>1055</v>
      </c>
      <c r="C1723" s="304" t="s">
        <v>1038</v>
      </c>
      <c r="D1723" s="303" t="s">
        <v>409</v>
      </c>
      <c r="E1723" s="385" t="s">
        <v>276</v>
      </c>
      <c r="F1723" s="309"/>
      <c r="G1723" s="306">
        <v>1</v>
      </c>
      <c r="H1723" s="305" t="s">
        <v>870</v>
      </c>
      <c r="I1723" s="305" t="s">
        <v>152</v>
      </c>
      <c r="J1723" s="305" t="s">
        <v>100</v>
      </c>
      <c r="K1723" s="305" t="s">
        <v>2004</v>
      </c>
    </row>
    <row r="1724" spans="1:11" x14ac:dyDescent="0.25">
      <c r="A1724" s="302" t="str">
        <f t="shared" si="44"/>
        <v>Thermostat - Reprogram_Furnace (DI)_SF_ISR</v>
      </c>
      <c r="B1724" s="303" t="s">
        <v>1055</v>
      </c>
      <c r="C1724" s="304" t="s">
        <v>1038</v>
      </c>
      <c r="D1724" s="303" t="s">
        <v>409</v>
      </c>
      <c r="E1724" s="385" t="s">
        <v>267</v>
      </c>
      <c r="F1724" s="309"/>
      <c r="G1724" s="306">
        <v>1</v>
      </c>
      <c r="H1724" s="305" t="s">
        <v>308</v>
      </c>
      <c r="I1724" s="305" t="s">
        <v>152</v>
      </c>
      <c r="J1724" s="305" t="s">
        <v>100</v>
      </c>
      <c r="K1724" s="305" t="s">
        <v>2004</v>
      </c>
    </row>
    <row r="1725" spans="1:11" x14ac:dyDescent="0.25">
      <c r="A1725" s="302" t="str">
        <f t="shared" si="44"/>
        <v>Thermostat - Reprogram_Furnace (DI)_SF_Furnace Fan Energy Consumption %</v>
      </c>
      <c r="B1725" s="303" t="s">
        <v>1055</v>
      </c>
      <c r="C1725" s="304" t="s">
        <v>1038</v>
      </c>
      <c r="D1725" s="303" t="s">
        <v>409</v>
      </c>
      <c r="E1725" s="385" t="s">
        <v>277</v>
      </c>
      <c r="F1725" s="309"/>
      <c r="G1725" s="306">
        <v>3.1399999999999997E-2</v>
      </c>
      <c r="H1725" s="305" t="s">
        <v>278</v>
      </c>
      <c r="I1725" s="305" t="s">
        <v>152</v>
      </c>
      <c r="J1725" s="305" t="s">
        <v>100</v>
      </c>
      <c r="K1725" s="305" t="s">
        <v>2004</v>
      </c>
    </row>
    <row r="1726" spans="1:11" x14ac:dyDescent="0.25">
      <c r="A1726" s="302" t="str">
        <f t="shared" si="44"/>
        <v>Thermostat - Reprogram_Furnace (DI)_SF_Heating Energy Reduction</v>
      </c>
      <c r="B1726" s="303" t="s">
        <v>1055</v>
      </c>
      <c r="C1726" s="304" t="s">
        <v>1038</v>
      </c>
      <c r="D1726" s="303" t="s">
        <v>409</v>
      </c>
      <c r="E1726" s="385" t="s">
        <v>279</v>
      </c>
      <c r="F1726" s="309"/>
      <c r="G1726" s="306">
        <v>6.2E-2</v>
      </c>
      <c r="H1726" s="305"/>
      <c r="I1726" s="305" t="s">
        <v>152</v>
      </c>
      <c r="J1726" s="305" t="s">
        <v>100</v>
      </c>
      <c r="K1726" s="305" t="s">
        <v>2004</v>
      </c>
    </row>
    <row r="1727" spans="1:11" x14ac:dyDescent="0.25">
      <c r="A1727" s="302" t="str">
        <f t="shared" ref="A1727" si="47">B1727&amp;"_"&amp;C1727&amp;"_"&amp;D1727&amp;"_"&amp;E1727</f>
        <v>Thermostat - Reprogram_Furnace (DI)_SF_%FossilHeat</v>
      </c>
      <c r="B1727" s="303" t="s">
        <v>1055</v>
      </c>
      <c r="C1727" s="304" t="s">
        <v>1038</v>
      </c>
      <c r="D1727" s="303" t="s">
        <v>409</v>
      </c>
      <c r="E1727" s="311" t="s">
        <v>1938</v>
      </c>
      <c r="F1727" s="334" t="s">
        <v>539</v>
      </c>
      <c r="G1727" s="322">
        <v>1</v>
      </c>
      <c r="H1727" s="311" t="s">
        <v>1939</v>
      </c>
      <c r="I1727" s="305" t="s">
        <v>152</v>
      </c>
      <c r="J1727" s="305" t="s">
        <v>100</v>
      </c>
      <c r="K1727" s="305" t="s">
        <v>2004</v>
      </c>
    </row>
    <row r="1728" spans="1:11" x14ac:dyDescent="0.25">
      <c r="A1728" s="302" t="str">
        <f t="shared" ref="A1728:A1794" si="48">B1728&amp;"_"&amp;C1728&amp;"_"&amp;D1728&amp;"_"&amp;E1728</f>
        <v>Thermostat - Reprogram_Furnace (DI)_SF_Electric Fan Savings</v>
      </c>
      <c r="B1728" s="303" t="s">
        <v>1055</v>
      </c>
      <c r="C1728" s="304" t="s">
        <v>1038</v>
      </c>
      <c r="D1728" s="303" t="s">
        <v>409</v>
      </c>
      <c r="E1728" s="385" t="s">
        <v>280</v>
      </c>
      <c r="F1728" s="309"/>
      <c r="G1728" s="306">
        <f>G1730*G1725*29.3</f>
        <v>57.326446199999999</v>
      </c>
      <c r="H1728" s="305"/>
      <c r="I1728" s="305" t="s">
        <v>152</v>
      </c>
      <c r="J1728" s="305" t="s">
        <v>100</v>
      </c>
      <c r="K1728" s="305" t="s">
        <v>2004</v>
      </c>
    </row>
    <row r="1729" spans="1:11" x14ac:dyDescent="0.25">
      <c r="A1729" s="302" t="str">
        <f t="shared" si="48"/>
        <v>Thermostat - Reprogram_Furnace (DI)_SF_Electric Heating Savings</v>
      </c>
      <c r="B1729" s="303" t="s">
        <v>1055</v>
      </c>
      <c r="C1729" s="304" t="s">
        <v>1038</v>
      </c>
      <c r="D1729" s="303" t="s">
        <v>409</v>
      </c>
      <c r="E1729" s="385" t="s">
        <v>281</v>
      </c>
      <c r="F1729" s="309"/>
      <c r="G1729" s="306">
        <f>G1719*G1721*G1726*G1723*G1724</f>
        <v>0</v>
      </c>
      <c r="H1729" s="305"/>
      <c r="I1729" s="305" t="s">
        <v>152</v>
      </c>
      <c r="J1729" s="305" t="s">
        <v>100</v>
      </c>
      <c r="K1729" s="305" t="s">
        <v>2004</v>
      </c>
    </row>
    <row r="1730" spans="1:11" x14ac:dyDescent="0.25">
      <c r="A1730" s="302" t="str">
        <f t="shared" si="48"/>
        <v>Thermostat - Reprogram_Furnace (DI)_SF_Gas Heating Savings</v>
      </c>
      <c r="B1730" s="303" t="s">
        <v>1055</v>
      </c>
      <c r="C1730" s="304" t="s">
        <v>1038</v>
      </c>
      <c r="D1730" s="303" t="s">
        <v>409</v>
      </c>
      <c r="E1730" s="385" t="s">
        <v>324</v>
      </c>
      <c r="F1730" s="309"/>
      <c r="G1730" s="306">
        <f>G1720*G1722*G1726*G1723*G1724*G1727</f>
        <v>62.31</v>
      </c>
      <c r="H1730" s="305"/>
      <c r="I1730" s="305" t="s">
        <v>152</v>
      </c>
      <c r="J1730" s="305" t="s">
        <v>100</v>
      </c>
      <c r="K1730" s="305" t="s">
        <v>2004</v>
      </c>
    </row>
    <row r="1731" spans="1:11" x14ac:dyDescent="0.25">
      <c r="A1731" s="302" t="str">
        <f t="shared" si="48"/>
        <v>Thermostat - Reprogram_Furnace (DI)_SF_kWh Saved per Unit</v>
      </c>
      <c r="B1731" s="303" t="s">
        <v>1055</v>
      </c>
      <c r="C1731" s="304" t="s">
        <v>1038</v>
      </c>
      <c r="D1731" s="303" t="s">
        <v>409</v>
      </c>
      <c r="E1731" s="314" t="s">
        <v>255</v>
      </c>
      <c r="F1731" s="326"/>
      <c r="G1731" s="315">
        <f>G1728+G1729</f>
        <v>57.326446199999999</v>
      </c>
      <c r="H1731" s="305"/>
      <c r="I1731" s="305" t="s">
        <v>152</v>
      </c>
      <c r="J1731" s="305" t="s">
        <v>100</v>
      </c>
      <c r="K1731" s="305" t="s">
        <v>2004</v>
      </c>
    </row>
    <row r="1732" spans="1:11" x14ac:dyDescent="0.25">
      <c r="A1732" s="302" t="str">
        <f t="shared" si="48"/>
        <v>Thermostat - Reprogram_Furnace (DI)_SF_kW Saved per Unit</v>
      </c>
      <c r="B1732" s="303" t="s">
        <v>1055</v>
      </c>
      <c r="C1732" s="304" t="s">
        <v>1038</v>
      </c>
      <c r="D1732" s="303" t="s">
        <v>409</v>
      </c>
      <c r="E1732" s="314" t="s">
        <v>580</v>
      </c>
      <c r="F1732" s="326" t="s">
        <v>571</v>
      </c>
      <c r="G1732" s="315">
        <v>0</v>
      </c>
      <c r="H1732" s="305"/>
      <c r="I1732" s="305" t="s">
        <v>152</v>
      </c>
      <c r="J1732" s="305" t="s">
        <v>100</v>
      </c>
      <c r="K1732" s="305" t="s">
        <v>2004</v>
      </c>
    </row>
    <row r="1733" spans="1:11" x14ac:dyDescent="0.25">
      <c r="A1733" s="302" t="str">
        <f t="shared" si="48"/>
        <v>Thermostat - Reprogram_Furnace (DI)_SF_Therm Saved per Unit</v>
      </c>
      <c r="B1733" s="303" t="s">
        <v>1055</v>
      </c>
      <c r="C1733" s="304" t="s">
        <v>1038</v>
      </c>
      <c r="D1733" s="303" t="s">
        <v>409</v>
      </c>
      <c r="E1733" s="314" t="s">
        <v>326</v>
      </c>
      <c r="F1733" s="326"/>
      <c r="G1733" s="315">
        <f>G1730</f>
        <v>62.31</v>
      </c>
      <c r="H1733" s="305"/>
      <c r="I1733" s="305" t="s">
        <v>152</v>
      </c>
      <c r="J1733" s="305" t="s">
        <v>100</v>
      </c>
      <c r="K1733" s="305" t="s">
        <v>2004</v>
      </c>
    </row>
    <row r="1734" spans="1:11" x14ac:dyDescent="0.25">
      <c r="A1734" s="302" t="str">
        <f t="shared" si="48"/>
        <v>Thermostat - Reprogram_Furnace (DI)_SF_Lifetime (years)</v>
      </c>
      <c r="B1734" s="303" t="s">
        <v>1055</v>
      </c>
      <c r="C1734" s="304" t="s">
        <v>1038</v>
      </c>
      <c r="D1734" s="303" t="s">
        <v>409</v>
      </c>
      <c r="E1734" s="314" t="s">
        <v>259</v>
      </c>
      <c r="F1734" s="314" t="s">
        <v>548</v>
      </c>
      <c r="G1734" s="315">
        <v>2</v>
      </c>
      <c r="H1734" s="305"/>
      <c r="I1734" s="305" t="s">
        <v>152</v>
      </c>
      <c r="J1734" s="305" t="s">
        <v>100</v>
      </c>
      <c r="K1734" s="305" t="s">
        <v>2004</v>
      </c>
    </row>
    <row r="1735" spans="1:11" x14ac:dyDescent="0.25">
      <c r="A1735" s="302" t="str">
        <f t="shared" si="48"/>
        <v>Thermostat - Reprogram_Furnace (DI)_SF_Incremental Cost</v>
      </c>
      <c r="B1735" s="303" t="s">
        <v>1055</v>
      </c>
      <c r="C1735" s="304" t="s">
        <v>1038</v>
      </c>
      <c r="D1735" s="303" t="s">
        <v>409</v>
      </c>
      <c r="E1735" s="314" t="s">
        <v>260</v>
      </c>
      <c r="F1735" s="314" t="s">
        <v>549</v>
      </c>
      <c r="G1735" s="328">
        <v>10</v>
      </c>
      <c r="H1735" s="305"/>
      <c r="I1735" s="305" t="s">
        <v>152</v>
      </c>
      <c r="J1735" s="305" t="s">
        <v>100</v>
      </c>
      <c r="K1735" s="305" t="s">
        <v>2004</v>
      </c>
    </row>
    <row r="1736" spans="1:11" s="324" customFormat="1" x14ac:dyDescent="0.25">
      <c r="A1736" s="317" t="str">
        <f t="shared" si="48"/>
        <v>Thermostat - Reprogram_Furnace (DI)_SF_</v>
      </c>
      <c r="B1736" s="317" t="str">
        <f>B1735</f>
        <v>Thermostat - Reprogram</v>
      </c>
      <c r="C1736" s="317" t="str">
        <f>C1735</f>
        <v>Furnace (DI)</v>
      </c>
      <c r="D1736" s="317" t="str">
        <f>D1735</f>
        <v>SF</v>
      </c>
      <c r="E1736" s="317"/>
      <c r="F1736" s="317"/>
      <c r="G1736" s="323"/>
      <c r="H1736" s="320"/>
      <c r="I1736" s="320"/>
      <c r="J1736" s="317"/>
      <c r="K1736" s="317"/>
    </row>
    <row r="1737" spans="1:11" x14ac:dyDescent="0.25">
      <c r="A1737" s="302" t="str">
        <f t="shared" si="48"/>
        <v>Thermostat - Reprogram_Furnace (P)_SF_CF</v>
      </c>
      <c r="B1737" s="303" t="s">
        <v>1055</v>
      </c>
      <c r="C1737" s="304" t="s">
        <v>1042</v>
      </c>
      <c r="D1737" s="303" t="s">
        <v>409</v>
      </c>
      <c r="E1737" s="385" t="s">
        <v>253</v>
      </c>
      <c r="F1737" s="309"/>
      <c r="G1737" s="306">
        <v>0.68</v>
      </c>
      <c r="H1737" s="305" t="s">
        <v>323</v>
      </c>
      <c r="I1737" s="305" t="s">
        <v>152</v>
      </c>
      <c r="J1737" s="305" t="s">
        <v>100</v>
      </c>
      <c r="K1737" s="305" t="s">
        <v>2004</v>
      </c>
    </row>
    <row r="1738" spans="1:11" x14ac:dyDescent="0.25">
      <c r="A1738" s="302" t="str">
        <f t="shared" si="48"/>
        <v>Thermostat - Reprogram_Furnace (P)_SF_% Electric Heating</v>
      </c>
      <c r="B1738" s="303" t="s">
        <v>1055</v>
      </c>
      <c r="C1738" s="304" t="s">
        <v>1042</v>
      </c>
      <c r="D1738" s="303" t="s">
        <v>409</v>
      </c>
      <c r="E1738" s="305" t="s">
        <v>268</v>
      </c>
      <c r="F1738" s="309"/>
      <c r="G1738" s="306">
        <v>0</v>
      </c>
      <c r="H1738" s="305" t="s">
        <v>1056</v>
      </c>
      <c r="I1738" s="305" t="s">
        <v>152</v>
      </c>
      <c r="J1738" s="305" t="s">
        <v>100</v>
      </c>
      <c r="K1738" s="305" t="s">
        <v>2004</v>
      </c>
    </row>
    <row r="1739" spans="1:11" x14ac:dyDescent="0.25">
      <c r="A1739" s="302" t="str">
        <f t="shared" si="48"/>
        <v>Thermostat - Reprogram_Furnace (P)_SF_% Gas Heating</v>
      </c>
      <c r="B1739" s="303" t="s">
        <v>1055</v>
      </c>
      <c r="C1739" s="304" t="s">
        <v>1042</v>
      </c>
      <c r="D1739" s="303" t="s">
        <v>409</v>
      </c>
      <c r="E1739" s="305" t="s">
        <v>269</v>
      </c>
      <c r="F1739" s="309"/>
      <c r="G1739" s="306">
        <v>1</v>
      </c>
      <c r="H1739" s="305" t="s">
        <v>1056</v>
      </c>
      <c r="I1739" s="305" t="s">
        <v>152</v>
      </c>
      <c r="J1739" s="305" t="s">
        <v>100</v>
      </c>
      <c r="K1739" s="305" t="s">
        <v>2004</v>
      </c>
    </row>
    <row r="1740" spans="1:11" x14ac:dyDescent="0.25">
      <c r="A1740" s="302" t="str">
        <f t="shared" si="48"/>
        <v>Thermostat - Reprogram_Furnace (P)_SF_Electric Heating Consumption</v>
      </c>
      <c r="B1740" s="303" t="s">
        <v>1055</v>
      </c>
      <c r="C1740" s="304" t="s">
        <v>1042</v>
      </c>
      <c r="D1740" s="303" t="s">
        <v>409</v>
      </c>
      <c r="E1740" s="305" t="s">
        <v>273</v>
      </c>
      <c r="F1740" s="309"/>
      <c r="G1740" s="306">
        <v>0</v>
      </c>
      <c r="H1740" s="305" t="s">
        <v>633</v>
      </c>
      <c r="I1740" s="305" t="s">
        <v>152</v>
      </c>
      <c r="J1740" s="305" t="s">
        <v>100</v>
      </c>
      <c r="K1740" s="305" t="s">
        <v>2004</v>
      </c>
    </row>
    <row r="1741" spans="1:11" x14ac:dyDescent="0.25">
      <c r="A1741" s="302" t="str">
        <f t="shared" si="48"/>
        <v>Thermostat - Reprogram_Furnace (P)_SF_Gas Heating Consumption</v>
      </c>
      <c r="B1741" s="303" t="s">
        <v>1055</v>
      </c>
      <c r="C1741" s="304" t="s">
        <v>1042</v>
      </c>
      <c r="D1741" s="303" t="s">
        <v>409</v>
      </c>
      <c r="E1741" s="385" t="s">
        <v>275</v>
      </c>
      <c r="F1741" s="309"/>
      <c r="G1741" s="306">
        <v>1005</v>
      </c>
      <c r="H1741" s="305" t="s">
        <v>636</v>
      </c>
      <c r="I1741" s="305" t="s">
        <v>152</v>
      </c>
      <c r="J1741" s="305" t="s">
        <v>100</v>
      </c>
      <c r="K1741" s="305" t="s">
        <v>2004</v>
      </c>
    </row>
    <row r="1742" spans="1:11" x14ac:dyDescent="0.25">
      <c r="A1742" s="302" t="str">
        <f t="shared" si="48"/>
        <v>Thermostat - Reprogram_Furnace (P)_SF_Household Factor</v>
      </c>
      <c r="B1742" s="303" t="s">
        <v>1055</v>
      </c>
      <c r="C1742" s="304" t="s">
        <v>1042</v>
      </c>
      <c r="D1742" s="303" t="s">
        <v>409</v>
      </c>
      <c r="E1742" s="385" t="s">
        <v>276</v>
      </c>
      <c r="F1742" s="309"/>
      <c r="G1742" s="306">
        <v>1</v>
      </c>
      <c r="H1742" s="305" t="s">
        <v>870</v>
      </c>
      <c r="I1742" s="305" t="s">
        <v>152</v>
      </c>
      <c r="J1742" s="305" t="s">
        <v>100</v>
      </c>
      <c r="K1742" s="305" t="s">
        <v>2004</v>
      </c>
    </row>
    <row r="1743" spans="1:11" x14ac:dyDescent="0.25">
      <c r="A1743" s="302" t="str">
        <f t="shared" si="48"/>
        <v>Thermostat - Reprogram_Furnace (P)_SF_ISR</v>
      </c>
      <c r="B1743" s="303" t="s">
        <v>1055</v>
      </c>
      <c r="C1743" s="304" t="s">
        <v>1042</v>
      </c>
      <c r="D1743" s="303" t="s">
        <v>409</v>
      </c>
      <c r="E1743" s="385" t="s">
        <v>267</v>
      </c>
      <c r="F1743" s="309"/>
      <c r="G1743" s="306">
        <v>0.56000000000000005</v>
      </c>
      <c r="H1743" s="305" t="s">
        <v>1043</v>
      </c>
      <c r="I1743" s="305" t="s">
        <v>152</v>
      </c>
      <c r="J1743" s="305" t="s">
        <v>100</v>
      </c>
      <c r="K1743" s="305" t="s">
        <v>2004</v>
      </c>
    </row>
    <row r="1744" spans="1:11" x14ac:dyDescent="0.25">
      <c r="A1744" s="302" t="str">
        <f t="shared" si="48"/>
        <v>Thermostat - Reprogram_Furnace (P)_SF_Furnace Fan Energy Consumption %</v>
      </c>
      <c r="B1744" s="303" t="s">
        <v>1055</v>
      </c>
      <c r="C1744" s="304" t="s">
        <v>1042</v>
      </c>
      <c r="D1744" s="303" t="s">
        <v>409</v>
      </c>
      <c r="E1744" s="385" t="s">
        <v>277</v>
      </c>
      <c r="F1744" s="309"/>
      <c r="G1744" s="306">
        <v>3.1399999999999997E-2</v>
      </c>
      <c r="H1744" s="305" t="s">
        <v>278</v>
      </c>
      <c r="I1744" s="305" t="s">
        <v>152</v>
      </c>
      <c r="J1744" s="305" t="s">
        <v>100</v>
      </c>
      <c r="K1744" s="305" t="s">
        <v>2004</v>
      </c>
    </row>
    <row r="1745" spans="1:11" x14ac:dyDescent="0.25">
      <c r="A1745" s="302" t="str">
        <f t="shared" si="48"/>
        <v>Thermostat - Reprogram_Furnace (P)_SF_Heating Energy Reduction</v>
      </c>
      <c r="B1745" s="303" t="s">
        <v>1055</v>
      </c>
      <c r="C1745" s="304" t="s">
        <v>1042</v>
      </c>
      <c r="D1745" s="303" t="s">
        <v>409</v>
      </c>
      <c r="E1745" s="385" t="s">
        <v>279</v>
      </c>
      <c r="F1745" s="309"/>
      <c r="G1745" s="306">
        <v>6.2E-2</v>
      </c>
      <c r="H1745" s="305"/>
      <c r="I1745" s="305" t="s">
        <v>152</v>
      </c>
      <c r="J1745" s="305" t="s">
        <v>100</v>
      </c>
      <c r="K1745" s="305" t="s">
        <v>2004</v>
      </c>
    </row>
    <row r="1746" spans="1:11" x14ac:dyDescent="0.25">
      <c r="A1746" s="302" t="str">
        <f t="shared" si="48"/>
        <v>Thermostat - Reprogram_Furnace (P)_SF_%FossilHeat</v>
      </c>
      <c r="B1746" s="303" t="s">
        <v>1055</v>
      </c>
      <c r="C1746" s="304" t="s">
        <v>1042</v>
      </c>
      <c r="D1746" s="303" t="s">
        <v>409</v>
      </c>
      <c r="E1746" s="311" t="s">
        <v>1938</v>
      </c>
      <c r="F1746" s="334" t="s">
        <v>539</v>
      </c>
      <c r="G1746" s="322">
        <v>1</v>
      </c>
      <c r="H1746" s="311" t="s">
        <v>1939</v>
      </c>
      <c r="I1746" s="305" t="s">
        <v>152</v>
      </c>
      <c r="J1746" s="305" t="s">
        <v>100</v>
      </c>
      <c r="K1746" s="305" t="s">
        <v>2004</v>
      </c>
    </row>
    <row r="1747" spans="1:11" x14ac:dyDescent="0.25">
      <c r="A1747" s="302" t="str">
        <f t="shared" si="48"/>
        <v>Thermostat - Reprogram_Furnace (P)_SF_Electric Fan Savings</v>
      </c>
      <c r="B1747" s="303" t="s">
        <v>1055</v>
      </c>
      <c r="C1747" s="304" t="s">
        <v>1042</v>
      </c>
      <c r="D1747" s="303" t="s">
        <v>409</v>
      </c>
      <c r="E1747" s="385" t="s">
        <v>280</v>
      </c>
      <c r="F1747" s="309"/>
      <c r="G1747" s="306">
        <f>G1749*G1744*29.3</f>
        <v>32.102809872000002</v>
      </c>
      <c r="H1747" s="305"/>
      <c r="I1747" s="305" t="s">
        <v>152</v>
      </c>
      <c r="J1747" s="305" t="s">
        <v>100</v>
      </c>
      <c r="K1747" s="305" t="s">
        <v>2004</v>
      </c>
    </row>
    <row r="1748" spans="1:11" x14ac:dyDescent="0.25">
      <c r="A1748" s="302" t="str">
        <f t="shared" si="48"/>
        <v>Thermostat - Reprogram_Furnace (P)_SF_Electric Heating Savings</v>
      </c>
      <c r="B1748" s="303" t="s">
        <v>1055</v>
      </c>
      <c r="C1748" s="304" t="s">
        <v>1042</v>
      </c>
      <c r="D1748" s="303" t="s">
        <v>409</v>
      </c>
      <c r="E1748" s="385" t="s">
        <v>281</v>
      </c>
      <c r="F1748" s="309"/>
      <c r="G1748" s="306">
        <f>G1738*G1740*G1745*G1742*G1743</f>
        <v>0</v>
      </c>
      <c r="H1748" s="305"/>
      <c r="I1748" s="305" t="s">
        <v>152</v>
      </c>
      <c r="J1748" s="305" t="s">
        <v>100</v>
      </c>
      <c r="K1748" s="305" t="s">
        <v>2004</v>
      </c>
    </row>
    <row r="1749" spans="1:11" x14ac:dyDescent="0.25">
      <c r="A1749" s="302" t="str">
        <f t="shared" si="48"/>
        <v>Thermostat - Reprogram_Furnace (P)_SF_Gas Heating Savings</v>
      </c>
      <c r="B1749" s="303" t="s">
        <v>1055</v>
      </c>
      <c r="C1749" s="304" t="s">
        <v>1042</v>
      </c>
      <c r="D1749" s="303" t="s">
        <v>409</v>
      </c>
      <c r="E1749" s="385" t="s">
        <v>324</v>
      </c>
      <c r="F1749" s="309"/>
      <c r="G1749" s="306">
        <f>G1739*G1741*G1745*G1742*G1743*G1746</f>
        <v>34.893600000000006</v>
      </c>
      <c r="H1749" s="305"/>
      <c r="I1749" s="305" t="s">
        <v>152</v>
      </c>
      <c r="J1749" s="305" t="s">
        <v>100</v>
      </c>
      <c r="K1749" s="305" t="s">
        <v>2004</v>
      </c>
    </row>
    <row r="1750" spans="1:11" x14ac:dyDescent="0.25">
      <c r="A1750" s="302" t="str">
        <f t="shared" si="48"/>
        <v>Thermostat - Reprogram_Furnace (P)_SF_kWh Saved per Unit</v>
      </c>
      <c r="B1750" s="303" t="s">
        <v>1055</v>
      </c>
      <c r="C1750" s="304" t="s">
        <v>1042</v>
      </c>
      <c r="D1750" s="303" t="s">
        <v>409</v>
      </c>
      <c r="E1750" s="314" t="s">
        <v>255</v>
      </c>
      <c r="F1750" s="326"/>
      <c r="G1750" s="315">
        <f>G1747+G1748</f>
        <v>32.102809872000002</v>
      </c>
      <c r="H1750" s="305"/>
      <c r="I1750" s="305" t="s">
        <v>152</v>
      </c>
      <c r="J1750" s="305" t="s">
        <v>100</v>
      </c>
      <c r="K1750" s="305" t="s">
        <v>2004</v>
      </c>
    </row>
    <row r="1751" spans="1:11" x14ac:dyDescent="0.25">
      <c r="A1751" s="302" t="str">
        <f t="shared" si="48"/>
        <v>Thermostat - Reprogram_Furnace (P)_SF_kW Saved per Unit</v>
      </c>
      <c r="B1751" s="303" t="s">
        <v>1055</v>
      </c>
      <c r="C1751" s="304" t="s">
        <v>1042</v>
      </c>
      <c r="D1751" s="303" t="s">
        <v>409</v>
      </c>
      <c r="E1751" s="314" t="s">
        <v>580</v>
      </c>
      <c r="F1751" s="326" t="s">
        <v>571</v>
      </c>
      <c r="G1751" s="315">
        <v>0</v>
      </c>
      <c r="H1751" s="305"/>
      <c r="I1751" s="305" t="s">
        <v>152</v>
      </c>
      <c r="J1751" s="305" t="s">
        <v>100</v>
      </c>
      <c r="K1751" s="305" t="s">
        <v>2004</v>
      </c>
    </row>
    <row r="1752" spans="1:11" x14ac:dyDescent="0.25">
      <c r="A1752" s="302" t="str">
        <f t="shared" si="48"/>
        <v>Thermostat - Reprogram_Furnace (P)_SF_Therm Saved per Unit</v>
      </c>
      <c r="B1752" s="303" t="s">
        <v>1055</v>
      </c>
      <c r="C1752" s="304" t="s">
        <v>1042</v>
      </c>
      <c r="D1752" s="303" t="s">
        <v>409</v>
      </c>
      <c r="E1752" s="314" t="s">
        <v>326</v>
      </c>
      <c r="F1752" s="326"/>
      <c r="G1752" s="315">
        <f>G1749</f>
        <v>34.893600000000006</v>
      </c>
      <c r="H1752" s="305"/>
      <c r="I1752" s="305" t="s">
        <v>152</v>
      </c>
      <c r="J1752" s="305" t="s">
        <v>100</v>
      </c>
      <c r="K1752" s="305" t="s">
        <v>2004</v>
      </c>
    </row>
    <row r="1753" spans="1:11" x14ac:dyDescent="0.25">
      <c r="A1753" s="302" t="str">
        <f t="shared" si="48"/>
        <v>Thermostat - Reprogram_Furnace (P)_SF_Lifetime (years)</v>
      </c>
      <c r="B1753" s="303" t="s">
        <v>1055</v>
      </c>
      <c r="C1753" s="304" t="s">
        <v>1042</v>
      </c>
      <c r="D1753" s="303" t="s">
        <v>409</v>
      </c>
      <c r="E1753" s="314" t="s">
        <v>259</v>
      </c>
      <c r="F1753" s="314" t="s">
        <v>548</v>
      </c>
      <c r="G1753" s="315">
        <v>2</v>
      </c>
      <c r="H1753" s="305"/>
      <c r="I1753" s="305" t="s">
        <v>152</v>
      </c>
      <c r="J1753" s="305" t="s">
        <v>100</v>
      </c>
      <c r="K1753" s="305" t="s">
        <v>2004</v>
      </c>
    </row>
    <row r="1754" spans="1:11" x14ac:dyDescent="0.25">
      <c r="A1754" s="302" t="str">
        <f t="shared" si="48"/>
        <v>Thermostat - Reprogram_Furnace (P)_SF_Incremental Cost</v>
      </c>
      <c r="B1754" s="303" t="s">
        <v>1055</v>
      </c>
      <c r="C1754" s="304" t="s">
        <v>1042</v>
      </c>
      <c r="D1754" s="303" t="s">
        <v>409</v>
      </c>
      <c r="E1754" s="314" t="s">
        <v>260</v>
      </c>
      <c r="F1754" s="314" t="s">
        <v>549</v>
      </c>
      <c r="G1754" s="328">
        <v>10</v>
      </c>
      <c r="H1754" s="305"/>
      <c r="I1754" s="305" t="s">
        <v>152</v>
      </c>
      <c r="J1754" s="305" t="s">
        <v>100</v>
      </c>
      <c r="K1754" s="305" t="s">
        <v>2004</v>
      </c>
    </row>
    <row r="1755" spans="1:11" s="324" customFormat="1" x14ac:dyDescent="0.25">
      <c r="A1755" s="317" t="str">
        <f t="shared" si="48"/>
        <v>Thermostat - Reprogram_Furnace (P)_SF_</v>
      </c>
      <c r="B1755" s="317" t="str">
        <f>B1754</f>
        <v>Thermostat - Reprogram</v>
      </c>
      <c r="C1755" s="317" t="str">
        <f>C1754</f>
        <v>Furnace (P)</v>
      </c>
      <c r="D1755" s="317" t="str">
        <f>D1754</f>
        <v>SF</v>
      </c>
      <c r="E1755" s="317"/>
      <c r="F1755" s="317"/>
      <c r="G1755" s="323"/>
      <c r="H1755" s="320"/>
      <c r="I1755" s="320"/>
      <c r="J1755" s="317"/>
      <c r="K1755" s="317"/>
    </row>
    <row r="1756" spans="1:11" x14ac:dyDescent="0.25">
      <c r="A1756" s="302" t="str">
        <f t="shared" si="48"/>
        <v>Thermostat - Reprogram_Boiler (DI)_SF_CF</v>
      </c>
      <c r="B1756" s="303" t="s">
        <v>1055</v>
      </c>
      <c r="C1756" s="304" t="s">
        <v>1045</v>
      </c>
      <c r="D1756" s="303" t="s">
        <v>409</v>
      </c>
      <c r="E1756" s="385" t="s">
        <v>253</v>
      </c>
      <c r="F1756" s="309"/>
      <c r="G1756" s="306">
        <v>0.68</v>
      </c>
      <c r="H1756" s="305" t="s">
        <v>323</v>
      </c>
      <c r="I1756" s="305" t="s">
        <v>152</v>
      </c>
      <c r="J1756" s="305" t="s">
        <v>100</v>
      </c>
      <c r="K1756" s="305" t="s">
        <v>2004</v>
      </c>
    </row>
    <row r="1757" spans="1:11" x14ac:dyDescent="0.25">
      <c r="A1757" s="302" t="str">
        <f t="shared" si="48"/>
        <v>Thermostat - Reprogram_Boiler (DI)_SF_% Electric Heating</v>
      </c>
      <c r="B1757" s="303" t="s">
        <v>1055</v>
      </c>
      <c r="C1757" s="304" t="s">
        <v>1045</v>
      </c>
      <c r="D1757" s="303" t="s">
        <v>409</v>
      </c>
      <c r="E1757" s="305" t="s">
        <v>268</v>
      </c>
      <c r="F1757" s="309"/>
      <c r="G1757" s="306">
        <v>0</v>
      </c>
      <c r="H1757" s="305" t="s">
        <v>1056</v>
      </c>
      <c r="I1757" s="305" t="s">
        <v>152</v>
      </c>
      <c r="J1757" s="305" t="s">
        <v>100</v>
      </c>
      <c r="K1757" s="305" t="s">
        <v>2004</v>
      </c>
    </row>
    <row r="1758" spans="1:11" x14ac:dyDescent="0.25">
      <c r="A1758" s="302" t="str">
        <f t="shared" si="48"/>
        <v>Thermostat - Reprogram_Boiler (DI)_SF_% Gas Heating</v>
      </c>
      <c r="B1758" s="303" t="s">
        <v>1055</v>
      </c>
      <c r="C1758" s="304" t="s">
        <v>1045</v>
      </c>
      <c r="D1758" s="303" t="s">
        <v>409</v>
      </c>
      <c r="E1758" s="305" t="s">
        <v>269</v>
      </c>
      <c r="F1758" s="309"/>
      <c r="G1758" s="306">
        <v>1</v>
      </c>
      <c r="H1758" s="305" t="s">
        <v>1056</v>
      </c>
      <c r="I1758" s="305" t="s">
        <v>152</v>
      </c>
      <c r="J1758" s="305" t="s">
        <v>100</v>
      </c>
      <c r="K1758" s="305" t="s">
        <v>2004</v>
      </c>
    </row>
    <row r="1759" spans="1:11" x14ac:dyDescent="0.25">
      <c r="A1759" s="302" t="str">
        <f t="shared" si="48"/>
        <v>Thermostat - Reprogram_Boiler (DI)_SF_Electric Heating Consumption</v>
      </c>
      <c r="B1759" s="303" t="s">
        <v>1055</v>
      </c>
      <c r="C1759" s="304" t="s">
        <v>1045</v>
      </c>
      <c r="D1759" s="303" t="s">
        <v>409</v>
      </c>
      <c r="E1759" s="305" t="s">
        <v>273</v>
      </c>
      <c r="F1759" s="309"/>
      <c r="G1759" s="306">
        <v>0</v>
      </c>
      <c r="H1759" s="305" t="s">
        <v>633</v>
      </c>
      <c r="I1759" s="305" t="s">
        <v>152</v>
      </c>
      <c r="J1759" s="305" t="s">
        <v>100</v>
      </c>
      <c r="K1759" s="305" t="s">
        <v>2004</v>
      </c>
    </row>
    <row r="1760" spans="1:11" x14ac:dyDescent="0.25">
      <c r="A1760" s="302" t="str">
        <f t="shared" si="48"/>
        <v>Thermostat - Reprogram_Boiler (DI)_SF_Gas Heating Consumption</v>
      </c>
      <c r="B1760" s="303" t="s">
        <v>1055</v>
      </c>
      <c r="C1760" s="304" t="s">
        <v>1045</v>
      </c>
      <c r="D1760" s="303" t="s">
        <v>409</v>
      </c>
      <c r="E1760" s="385" t="s">
        <v>275</v>
      </c>
      <c r="F1760" s="309"/>
      <c r="G1760" s="306">
        <v>1487</v>
      </c>
      <c r="H1760" s="305" t="s">
        <v>633</v>
      </c>
      <c r="I1760" s="305" t="s">
        <v>152</v>
      </c>
      <c r="J1760" s="305" t="s">
        <v>100</v>
      </c>
      <c r="K1760" s="305" t="s">
        <v>2004</v>
      </c>
    </row>
    <row r="1761" spans="1:11" x14ac:dyDescent="0.25">
      <c r="A1761" s="302" t="str">
        <f t="shared" si="48"/>
        <v>Thermostat - Reprogram_Boiler (DI)_SF_Household Factor</v>
      </c>
      <c r="B1761" s="303" t="s">
        <v>1055</v>
      </c>
      <c r="C1761" s="304" t="s">
        <v>1045</v>
      </c>
      <c r="D1761" s="303" t="s">
        <v>409</v>
      </c>
      <c r="E1761" s="385" t="s">
        <v>276</v>
      </c>
      <c r="F1761" s="309"/>
      <c r="G1761" s="306">
        <v>1</v>
      </c>
      <c r="H1761" s="305" t="s">
        <v>870</v>
      </c>
      <c r="I1761" s="305" t="s">
        <v>152</v>
      </c>
      <c r="J1761" s="305" t="s">
        <v>100</v>
      </c>
      <c r="K1761" s="305" t="s">
        <v>2004</v>
      </c>
    </row>
    <row r="1762" spans="1:11" x14ac:dyDescent="0.25">
      <c r="A1762" s="302" t="str">
        <f t="shared" si="48"/>
        <v>Thermostat - Reprogram_Boiler (DI)_SF_ISR</v>
      </c>
      <c r="B1762" s="303" t="s">
        <v>1055</v>
      </c>
      <c r="C1762" s="304" t="s">
        <v>1045</v>
      </c>
      <c r="D1762" s="303" t="s">
        <v>409</v>
      </c>
      <c r="E1762" s="385" t="s">
        <v>267</v>
      </c>
      <c r="F1762" s="309"/>
      <c r="G1762" s="306">
        <v>1</v>
      </c>
      <c r="H1762" s="305" t="s">
        <v>308</v>
      </c>
      <c r="I1762" s="305" t="s">
        <v>152</v>
      </c>
      <c r="J1762" s="305" t="s">
        <v>100</v>
      </c>
      <c r="K1762" s="305" t="s">
        <v>2004</v>
      </c>
    </row>
    <row r="1763" spans="1:11" x14ac:dyDescent="0.25">
      <c r="A1763" s="302" t="str">
        <f t="shared" si="48"/>
        <v>Thermostat - Reprogram_Boiler (DI)_SF_Furnace Fan Energy Consumption %</v>
      </c>
      <c r="B1763" s="303" t="s">
        <v>1055</v>
      </c>
      <c r="C1763" s="304" t="s">
        <v>1045</v>
      </c>
      <c r="D1763" s="303" t="s">
        <v>409</v>
      </c>
      <c r="E1763" s="385" t="s">
        <v>277</v>
      </c>
      <c r="F1763" s="309"/>
      <c r="G1763" s="306">
        <v>3.1399999999999997E-2</v>
      </c>
      <c r="H1763" s="305" t="s">
        <v>278</v>
      </c>
      <c r="I1763" s="305" t="s">
        <v>152</v>
      </c>
      <c r="J1763" s="305" t="s">
        <v>100</v>
      </c>
      <c r="K1763" s="305" t="s">
        <v>2004</v>
      </c>
    </row>
    <row r="1764" spans="1:11" x14ac:dyDescent="0.25">
      <c r="A1764" s="302" t="str">
        <f t="shared" si="48"/>
        <v>Thermostat - Reprogram_Boiler (DI)_SF_Heating Energy Reduction</v>
      </c>
      <c r="B1764" s="303" t="s">
        <v>1055</v>
      </c>
      <c r="C1764" s="304" t="s">
        <v>1045</v>
      </c>
      <c r="D1764" s="303" t="s">
        <v>409</v>
      </c>
      <c r="E1764" s="385" t="s">
        <v>279</v>
      </c>
      <c r="F1764" s="309"/>
      <c r="G1764" s="306">
        <v>6.2E-2</v>
      </c>
      <c r="H1764" s="305"/>
      <c r="I1764" s="305" t="s">
        <v>152</v>
      </c>
      <c r="J1764" s="305" t="s">
        <v>100</v>
      </c>
      <c r="K1764" s="305" t="s">
        <v>2004</v>
      </c>
    </row>
    <row r="1765" spans="1:11" x14ac:dyDescent="0.25">
      <c r="A1765" s="302" t="str">
        <f t="shared" ref="A1765" si="49">B1765&amp;"_"&amp;C1765&amp;"_"&amp;D1765&amp;"_"&amp;E1765</f>
        <v>Thermostat - Reprogram_Boiler (DI)_SF_%FossilHeat</v>
      </c>
      <c r="B1765" s="303" t="s">
        <v>1055</v>
      </c>
      <c r="C1765" s="304" t="s">
        <v>1045</v>
      </c>
      <c r="D1765" s="303" t="s">
        <v>409</v>
      </c>
      <c r="E1765" s="311" t="s">
        <v>1938</v>
      </c>
      <c r="F1765" s="334" t="s">
        <v>539</v>
      </c>
      <c r="G1765" s="322">
        <v>1</v>
      </c>
      <c r="H1765" s="311" t="s">
        <v>1939</v>
      </c>
      <c r="I1765" s="305" t="s">
        <v>152</v>
      </c>
      <c r="J1765" s="305" t="s">
        <v>100</v>
      </c>
      <c r="K1765" s="305" t="s">
        <v>2004</v>
      </c>
    </row>
    <row r="1766" spans="1:11" x14ac:dyDescent="0.25">
      <c r="A1766" s="302" t="str">
        <f t="shared" si="48"/>
        <v>Thermostat - Reprogram_Boiler (DI)_SF_Electric Fan Savings</v>
      </c>
      <c r="B1766" s="303" t="s">
        <v>1055</v>
      </c>
      <c r="C1766" s="304" t="s">
        <v>1045</v>
      </c>
      <c r="D1766" s="303" t="s">
        <v>409</v>
      </c>
      <c r="E1766" s="385" t="s">
        <v>280</v>
      </c>
      <c r="F1766" s="309"/>
      <c r="G1766" s="306">
        <f>G1768*G1763*29.3</f>
        <v>84.820323879999989</v>
      </c>
      <c r="H1766" s="305"/>
      <c r="I1766" s="305" t="s">
        <v>152</v>
      </c>
      <c r="J1766" s="305" t="s">
        <v>100</v>
      </c>
      <c r="K1766" s="305" t="s">
        <v>2004</v>
      </c>
    </row>
    <row r="1767" spans="1:11" x14ac:dyDescent="0.25">
      <c r="A1767" s="302" t="str">
        <f t="shared" si="48"/>
        <v>Thermostat - Reprogram_Boiler (DI)_SF_Electric Heating Savings</v>
      </c>
      <c r="B1767" s="303" t="s">
        <v>1055</v>
      </c>
      <c r="C1767" s="304" t="s">
        <v>1045</v>
      </c>
      <c r="D1767" s="303" t="s">
        <v>409</v>
      </c>
      <c r="E1767" s="385" t="s">
        <v>281</v>
      </c>
      <c r="F1767" s="309"/>
      <c r="G1767" s="306">
        <f>G1757*G1759*G1764*G1761*G1762</f>
        <v>0</v>
      </c>
      <c r="H1767" s="305"/>
      <c r="I1767" s="305" t="s">
        <v>152</v>
      </c>
      <c r="J1767" s="305" t="s">
        <v>100</v>
      </c>
      <c r="K1767" s="305" t="s">
        <v>2004</v>
      </c>
    </row>
    <row r="1768" spans="1:11" x14ac:dyDescent="0.25">
      <c r="A1768" s="302" t="str">
        <f t="shared" si="48"/>
        <v>Thermostat - Reprogram_Boiler (DI)_SF_Gas Heating Savings</v>
      </c>
      <c r="B1768" s="303" t="s">
        <v>1055</v>
      </c>
      <c r="C1768" s="304" t="s">
        <v>1045</v>
      </c>
      <c r="D1768" s="303" t="s">
        <v>409</v>
      </c>
      <c r="E1768" s="385" t="s">
        <v>324</v>
      </c>
      <c r="F1768" s="309"/>
      <c r="G1768" s="306">
        <f>G1758*G1760*G1764*G1761*G1762*G1765</f>
        <v>92.194000000000003</v>
      </c>
      <c r="H1768" s="305"/>
      <c r="I1768" s="305" t="s">
        <v>152</v>
      </c>
      <c r="J1768" s="305" t="s">
        <v>100</v>
      </c>
      <c r="K1768" s="305" t="s">
        <v>2004</v>
      </c>
    </row>
    <row r="1769" spans="1:11" x14ac:dyDescent="0.25">
      <c r="A1769" s="302" t="str">
        <f t="shared" si="48"/>
        <v>Thermostat - Reprogram_Boiler (DI)_SF_kWh Saved per Unit</v>
      </c>
      <c r="B1769" s="303" t="s">
        <v>1055</v>
      </c>
      <c r="C1769" s="304" t="s">
        <v>1045</v>
      </c>
      <c r="D1769" s="303" t="s">
        <v>409</v>
      </c>
      <c r="E1769" s="314" t="s">
        <v>255</v>
      </c>
      <c r="F1769" s="326"/>
      <c r="G1769" s="315">
        <f>G1766+G1767</f>
        <v>84.820323879999989</v>
      </c>
      <c r="H1769" s="305"/>
      <c r="I1769" s="305" t="s">
        <v>152</v>
      </c>
      <c r="J1769" s="305" t="s">
        <v>100</v>
      </c>
      <c r="K1769" s="305" t="s">
        <v>2004</v>
      </c>
    </row>
    <row r="1770" spans="1:11" x14ac:dyDescent="0.25">
      <c r="A1770" s="302" t="str">
        <f t="shared" si="48"/>
        <v>Thermostat - Reprogram_Boiler (DI)_SF_kW Saved per Unit</v>
      </c>
      <c r="B1770" s="303" t="s">
        <v>1055</v>
      </c>
      <c r="C1770" s="304" t="s">
        <v>1045</v>
      </c>
      <c r="D1770" s="303" t="s">
        <v>409</v>
      </c>
      <c r="E1770" s="314" t="s">
        <v>580</v>
      </c>
      <c r="F1770" s="326" t="s">
        <v>571</v>
      </c>
      <c r="G1770" s="315">
        <v>0</v>
      </c>
      <c r="H1770" s="305"/>
      <c r="I1770" s="305" t="s">
        <v>152</v>
      </c>
      <c r="J1770" s="305" t="s">
        <v>100</v>
      </c>
      <c r="K1770" s="305" t="s">
        <v>2004</v>
      </c>
    </row>
    <row r="1771" spans="1:11" x14ac:dyDescent="0.25">
      <c r="A1771" s="302" t="str">
        <f t="shared" si="48"/>
        <v>Thermostat - Reprogram_Boiler (DI)_SF_Therm Saved per Unit</v>
      </c>
      <c r="B1771" s="303" t="s">
        <v>1055</v>
      </c>
      <c r="C1771" s="304" t="s">
        <v>1045</v>
      </c>
      <c r="D1771" s="303" t="s">
        <v>409</v>
      </c>
      <c r="E1771" s="314" t="s">
        <v>326</v>
      </c>
      <c r="F1771" s="326"/>
      <c r="G1771" s="315">
        <f>G1768</f>
        <v>92.194000000000003</v>
      </c>
      <c r="H1771" s="305"/>
      <c r="I1771" s="305" t="s">
        <v>152</v>
      </c>
      <c r="J1771" s="305" t="s">
        <v>100</v>
      </c>
      <c r="K1771" s="305" t="s">
        <v>2004</v>
      </c>
    </row>
    <row r="1772" spans="1:11" x14ac:dyDescent="0.25">
      <c r="A1772" s="302" t="str">
        <f t="shared" si="48"/>
        <v>Thermostat - Reprogram_Boiler (DI)_SF_Lifetime (years)</v>
      </c>
      <c r="B1772" s="303" t="s">
        <v>1055</v>
      </c>
      <c r="C1772" s="304" t="s">
        <v>1045</v>
      </c>
      <c r="D1772" s="303" t="s">
        <v>409</v>
      </c>
      <c r="E1772" s="314" t="s">
        <v>259</v>
      </c>
      <c r="F1772" s="314" t="s">
        <v>548</v>
      </c>
      <c r="G1772" s="315">
        <v>2</v>
      </c>
      <c r="H1772" s="305"/>
      <c r="I1772" s="305" t="s">
        <v>152</v>
      </c>
      <c r="J1772" s="305" t="s">
        <v>100</v>
      </c>
      <c r="K1772" s="305" t="s">
        <v>2004</v>
      </c>
    </row>
    <row r="1773" spans="1:11" x14ac:dyDescent="0.25">
      <c r="A1773" s="302" t="str">
        <f t="shared" si="48"/>
        <v>Thermostat - Reprogram_Boiler (DI)_SF_Incremental Cost</v>
      </c>
      <c r="B1773" s="303" t="s">
        <v>1055</v>
      </c>
      <c r="C1773" s="304" t="s">
        <v>1045</v>
      </c>
      <c r="D1773" s="303" t="s">
        <v>409</v>
      </c>
      <c r="E1773" s="314" t="s">
        <v>260</v>
      </c>
      <c r="F1773" s="314" t="s">
        <v>549</v>
      </c>
      <c r="G1773" s="328">
        <v>10</v>
      </c>
      <c r="H1773" s="305"/>
      <c r="I1773" s="305" t="s">
        <v>152</v>
      </c>
      <c r="J1773" s="305" t="s">
        <v>100</v>
      </c>
      <c r="K1773" s="305" t="s">
        <v>2004</v>
      </c>
    </row>
    <row r="1774" spans="1:11" s="324" customFormat="1" x14ac:dyDescent="0.25">
      <c r="A1774" s="317" t="str">
        <f t="shared" si="48"/>
        <v>Thermostat - Reprogram_Boiler (DI)_SF_</v>
      </c>
      <c r="B1774" s="317" t="str">
        <f>B1773</f>
        <v>Thermostat - Reprogram</v>
      </c>
      <c r="C1774" s="317" t="str">
        <f>C1773</f>
        <v>Boiler (DI)</v>
      </c>
      <c r="D1774" s="317" t="str">
        <f>D1773</f>
        <v>SF</v>
      </c>
      <c r="E1774" s="317"/>
      <c r="F1774" s="317"/>
      <c r="G1774" s="323"/>
      <c r="H1774" s="320"/>
      <c r="I1774" s="320"/>
      <c r="J1774" s="317"/>
      <c r="K1774" s="317"/>
    </row>
    <row r="1775" spans="1:11" x14ac:dyDescent="0.25">
      <c r="A1775" s="302" t="str">
        <f t="shared" si="48"/>
        <v>Thermostat - Reprogram_Boiler (P)_SF_CF</v>
      </c>
      <c r="B1775" s="303" t="s">
        <v>1055</v>
      </c>
      <c r="C1775" s="304" t="s">
        <v>1046</v>
      </c>
      <c r="D1775" s="303" t="s">
        <v>409</v>
      </c>
      <c r="E1775" s="385" t="s">
        <v>253</v>
      </c>
      <c r="F1775" s="309"/>
      <c r="G1775" s="306">
        <v>0.68</v>
      </c>
      <c r="H1775" s="305" t="s">
        <v>323</v>
      </c>
      <c r="I1775" s="305" t="s">
        <v>152</v>
      </c>
      <c r="J1775" s="305" t="s">
        <v>100</v>
      </c>
      <c r="K1775" s="305" t="s">
        <v>2004</v>
      </c>
    </row>
    <row r="1776" spans="1:11" x14ac:dyDescent="0.25">
      <c r="A1776" s="302" t="str">
        <f t="shared" si="48"/>
        <v>Thermostat - Reprogram_Boiler (P)_SF_% Electric Heating</v>
      </c>
      <c r="B1776" s="303" t="s">
        <v>1055</v>
      </c>
      <c r="C1776" s="304" t="s">
        <v>1046</v>
      </c>
      <c r="D1776" s="303" t="s">
        <v>409</v>
      </c>
      <c r="E1776" s="305" t="s">
        <v>268</v>
      </c>
      <c r="F1776" s="309"/>
      <c r="G1776" s="306">
        <v>0</v>
      </c>
      <c r="H1776" s="305" t="s">
        <v>1056</v>
      </c>
      <c r="I1776" s="305" t="s">
        <v>152</v>
      </c>
      <c r="J1776" s="305" t="s">
        <v>100</v>
      </c>
      <c r="K1776" s="305" t="s">
        <v>2004</v>
      </c>
    </row>
    <row r="1777" spans="1:11" x14ac:dyDescent="0.25">
      <c r="A1777" s="302" t="str">
        <f t="shared" si="48"/>
        <v>Thermostat - Reprogram_Boiler (P)_SF_% Gas Heating</v>
      </c>
      <c r="B1777" s="303" t="s">
        <v>1055</v>
      </c>
      <c r="C1777" s="304" t="s">
        <v>1046</v>
      </c>
      <c r="D1777" s="303" t="s">
        <v>409</v>
      </c>
      <c r="E1777" s="305" t="s">
        <v>269</v>
      </c>
      <c r="F1777" s="309"/>
      <c r="G1777" s="306">
        <v>1</v>
      </c>
      <c r="H1777" s="305" t="s">
        <v>1056</v>
      </c>
      <c r="I1777" s="305" t="s">
        <v>152</v>
      </c>
      <c r="J1777" s="305" t="s">
        <v>100</v>
      </c>
      <c r="K1777" s="305" t="s">
        <v>2004</v>
      </c>
    </row>
    <row r="1778" spans="1:11" x14ac:dyDescent="0.25">
      <c r="A1778" s="302" t="str">
        <f t="shared" si="48"/>
        <v>Thermostat - Reprogram_Boiler (P)_SF_Electric Heating Consumption</v>
      </c>
      <c r="B1778" s="303" t="s">
        <v>1055</v>
      </c>
      <c r="C1778" s="304" t="s">
        <v>1046</v>
      </c>
      <c r="D1778" s="303" t="s">
        <v>409</v>
      </c>
      <c r="E1778" s="305" t="s">
        <v>273</v>
      </c>
      <c r="F1778" s="309"/>
      <c r="G1778" s="306">
        <v>0</v>
      </c>
      <c r="H1778" s="305" t="s">
        <v>633</v>
      </c>
      <c r="I1778" s="305" t="s">
        <v>152</v>
      </c>
      <c r="J1778" s="305" t="s">
        <v>100</v>
      </c>
      <c r="K1778" s="305" t="s">
        <v>2004</v>
      </c>
    </row>
    <row r="1779" spans="1:11" x14ac:dyDescent="0.25">
      <c r="A1779" s="302" t="str">
        <f t="shared" si="48"/>
        <v>Thermostat - Reprogram_Boiler (P)_SF_Gas Heating Consumption</v>
      </c>
      <c r="B1779" s="303" t="s">
        <v>1055</v>
      </c>
      <c r="C1779" s="304" t="s">
        <v>1046</v>
      </c>
      <c r="D1779" s="303" t="s">
        <v>409</v>
      </c>
      <c r="E1779" s="385" t="s">
        <v>275</v>
      </c>
      <c r="F1779" s="309"/>
      <c r="G1779" s="306">
        <v>1487</v>
      </c>
      <c r="H1779" s="305" t="s">
        <v>633</v>
      </c>
      <c r="I1779" s="305" t="s">
        <v>152</v>
      </c>
      <c r="J1779" s="305" t="s">
        <v>100</v>
      </c>
      <c r="K1779" s="305" t="s">
        <v>2004</v>
      </c>
    </row>
    <row r="1780" spans="1:11" x14ac:dyDescent="0.25">
      <c r="A1780" s="302" t="str">
        <f t="shared" si="48"/>
        <v>Thermostat - Reprogram_Boiler (P)_SF_Household Factor</v>
      </c>
      <c r="B1780" s="303" t="s">
        <v>1055</v>
      </c>
      <c r="C1780" s="304" t="s">
        <v>1046</v>
      </c>
      <c r="D1780" s="303" t="s">
        <v>409</v>
      </c>
      <c r="E1780" s="385" t="s">
        <v>276</v>
      </c>
      <c r="F1780" s="309"/>
      <c r="G1780" s="306">
        <v>1</v>
      </c>
      <c r="H1780" s="305" t="s">
        <v>870</v>
      </c>
      <c r="I1780" s="305" t="s">
        <v>152</v>
      </c>
      <c r="J1780" s="305" t="s">
        <v>100</v>
      </c>
      <c r="K1780" s="305" t="s">
        <v>2004</v>
      </c>
    </row>
    <row r="1781" spans="1:11" x14ac:dyDescent="0.25">
      <c r="A1781" s="302" t="str">
        <f t="shared" si="48"/>
        <v>Thermostat - Reprogram_Boiler (P)_SF_ISR</v>
      </c>
      <c r="B1781" s="303" t="s">
        <v>1055</v>
      </c>
      <c r="C1781" s="304" t="s">
        <v>1046</v>
      </c>
      <c r="D1781" s="303" t="s">
        <v>409</v>
      </c>
      <c r="E1781" s="385" t="s">
        <v>267</v>
      </c>
      <c r="F1781" s="309"/>
      <c r="G1781" s="306">
        <v>0.56000000000000005</v>
      </c>
      <c r="H1781" s="305" t="s">
        <v>1043</v>
      </c>
      <c r="I1781" s="305" t="s">
        <v>152</v>
      </c>
      <c r="J1781" s="305" t="s">
        <v>100</v>
      </c>
      <c r="K1781" s="305" t="s">
        <v>2004</v>
      </c>
    </row>
    <row r="1782" spans="1:11" x14ac:dyDescent="0.25">
      <c r="A1782" s="302" t="str">
        <f t="shared" si="48"/>
        <v>Thermostat - Reprogram_Boiler (P)_SF_Furnace Fan Energy Consumption %</v>
      </c>
      <c r="B1782" s="303" t="s">
        <v>1055</v>
      </c>
      <c r="C1782" s="304" t="s">
        <v>1046</v>
      </c>
      <c r="D1782" s="303" t="s">
        <v>409</v>
      </c>
      <c r="E1782" s="385" t="s">
        <v>277</v>
      </c>
      <c r="F1782" s="309"/>
      <c r="G1782" s="306">
        <v>3.1399999999999997E-2</v>
      </c>
      <c r="H1782" s="305" t="s">
        <v>278</v>
      </c>
      <c r="I1782" s="305" t="s">
        <v>152</v>
      </c>
      <c r="J1782" s="305" t="s">
        <v>100</v>
      </c>
      <c r="K1782" s="305" t="s">
        <v>2004</v>
      </c>
    </row>
    <row r="1783" spans="1:11" x14ac:dyDescent="0.25">
      <c r="A1783" s="302" t="str">
        <f t="shared" si="48"/>
        <v>Thermostat - Reprogram_Boiler (P)_SF_Heating Energy Reduction</v>
      </c>
      <c r="B1783" s="303" t="s">
        <v>1055</v>
      </c>
      <c r="C1783" s="304" t="s">
        <v>1046</v>
      </c>
      <c r="D1783" s="303" t="s">
        <v>409</v>
      </c>
      <c r="E1783" s="385" t="s">
        <v>279</v>
      </c>
      <c r="F1783" s="309"/>
      <c r="G1783" s="306">
        <v>6.2E-2</v>
      </c>
      <c r="H1783" s="305"/>
      <c r="I1783" s="305" t="s">
        <v>152</v>
      </c>
      <c r="J1783" s="305" t="s">
        <v>100</v>
      </c>
      <c r="K1783" s="305" t="s">
        <v>2004</v>
      </c>
    </row>
    <row r="1784" spans="1:11" x14ac:dyDescent="0.25">
      <c r="A1784" s="302" t="str">
        <f t="shared" si="48"/>
        <v>Thermostat - Reprogram_Boiler (P)_SF_%FossilHeat</v>
      </c>
      <c r="B1784" s="303" t="s">
        <v>1055</v>
      </c>
      <c r="C1784" s="304" t="s">
        <v>1046</v>
      </c>
      <c r="D1784" s="303" t="s">
        <v>409</v>
      </c>
      <c r="E1784" s="311" t="s">
        <v>1938</v>
      </c>
      <c r="F1784" s="334" t="s">
        <v>539</v>
      </c>
      <c r="G1784" s="322">
        <v>1</v>
      </c>
      <c r="H1784" s="311" t="s">
        <v>1939</v>
      </c>
      <c r="I1784" s="305" t="s">
        <v>152</v>
      </c>
      <c r="J1784" s="305" t="s">
        <v>100</v>
      </c>
      <c r="K1784" s="305" t="s">
        <v>2004</v>
      </c>
    </row>
    <row r="1785" spans="1:11" x14ac:dyDescent="0.25">
      <c r="A1785" s="302" t="str">
        <f t="shared" si="48"/>
        <v>Thermostat - Reprogram_Boiler (P)_SF_Electric Fan Savings</v>
      </c>
      <c r="B1785" s="303" t="s">
        <v>1055</v>
      </c>
      <c r="C1785" s="304" t="s">
        <v>1046</v>
      </c>
      <c r="D1785" s="303" t="s">
        <v>409</v>
      </c>
      <c r="E1785" s="385" t="s">
        <v>280</v>
      </c>
      <c r="F1785" s="309"/>
      <c r="G1785" s="306">
        <f>G1787*G1782*29.3</f>
        <v>47.499381372800002</v>
      </c>
      <c r="H1785" s="305"/>
      <c r="I1785" s="305" t="s">
        <v>152</v>
      </c>
      <c r="J1785" s="305" t="s">
        <v>100</v>
      </c>
      <c r="K1785" s="305" t="s">
        <v>2004</v>
      </c>
    </row>
    <row r="1786" spans="1:11" x14ac:dyDescent="0.25">
      <c r="A1786" s="302" t="str">
        <f t="shared" si="48"/>
        <v>Thermostat - Reprogram_Boiler (P)_SF_Electric Heating Savings</v>
      </c>
      <c r="B1786" s="303" t="s">
        <v>1055</v>
      </c>
      <c r="C1786" s="304" t="s">
        <v>1046</v>
      </c>
      <c r="D1786" s="303" t="s">
        <v>409</v>
      </c>
      <c r="E1786" s="385" t="s">
        <v>281</v>
      </c>
      <c r="F1786" s="309"/>
      <c r="G1786" s="306">
        <f>G1776*G1778*G1783*G1780*G1781</f>
        <v>0</v>
      </c>
      <c r="H1786" s="305"/>
      <c r="I1786" s="305" t="s">
        <v>152</v>
      </c>
      <c r="J1786" s="305" t="s">
        <v>100</v>
      </c>
      <c r="K1786" s="305" t="s">
        <v>2004</v>
      </c>
    </row>
    <row r="1787" spans="1:11" x14ac:dyDescent="0.25">
      <c r="A1787" s="302" t="str">
        <f t="shared" si="48"/>
        <v>Thermostat - Reprogram_Boiler (P)_SF_Gas Heating Savings</v>
      </c>
      <c r="B1787" s="303" t="s">
        <v>1055</v>
      </c>
      <c r="C1787" s="304" t="s">
        <v>1046</v>
      </c>
      <c r="D1787" s="303" t="s">
        <v>409</v>
      </c>
      <c r="E1787" s="385" t="s">
        <v>324</v>
      </c>
      <c r="F1787" s="309"/>
      <c r="G1787" s="306">
        <f>G1777*G1779*G1783*G1780*G1781*G1784</f>
        <v>51.628640000000004</v>
      </c>
      <c r="H1787" s="305"/>
      <c r="I1787" s="305" t="s">
        <v>152</v>
      </c>
      <c r="J1787" s="305" t="s">
        <v>100</v>
      </c>
      <c r="K1787" s="305" t="s">
        <v>2004</v>
      </c>
    </row>
    <row r="1788" spans="1:11" x14ac:dyDescent="0.25">
      <c r="A1788" s="302" t="str">
        <f t="shared" si="48"/>
        <v>Thermostat - Reprogram_Boiler (P)_SF_kWh Saved per Unit</v>
      </c>
      <c r="B1788" s="303" t="s">
        <v>1055</v>
      </c>
      <c r="C1788" s="304" t="s">
        <v>1046</v>
      </c>
      <c r="D1788" s="303" t="s">
        <v>409</v>
      </c>
      <c r="E1788" s="314" t="s">
        <v>255</v>
      </c>
      <c r="F1788" s="326"/>
      <c r="G1788" s="315">
        <f>G1785+G1786</f>
        <v>47.499381372800002</v>
      </c>
      <c r="H1788" s="305"/>
      <c r="I1788" s="305" t="s">
        <v>152</v>
      </c>
      <c r="J1788" s="305" t="s">
        <v>100</v>
      </c>
      <c r="K1788" s="305" t="s">
        <v>2004</v>
      </c>
    </row>
    <row r="1789" spans="1:11" x14ac:dyDescent="0.25">
      <c r="A1789" s="302" t="str">
        <f t="shared" si="48"/>
        <v>Thermostat - Reprogram_Boiler (P)_SF_kW Saved per Unit</v>
      </c>
      <c r="B1789" s="303" t="s">
        <v>1055</v>
      </c>
      <c r="C1789" s="304" t="s">
        <v>1046</v>
      </c>
      <c r="D1789" s="303" t="s">
        <v>409</v>
      </c>
      <c r="E1789" s="314" t="s">
        <v>580</v>
      </c>
      <c r="F1789" s="326" t="s">
        <v>571</v>
      </c>
      <c r="G1789" s="315">
        <v>0</v>
      </c>
      <c r="H1789" s="305"/>
      <c r="I1789" s="305" t="s">
        <v>152</v>
      </c>
      <c r="J1789" s="305" t="s">
        <v>100</v>
      </c>
      <c r="K1789" s="305" t="s">
        <v>2004</v>
      </c>
    </row>
    <row r="1790" spans="1:11" x14ac:dyDescent="0.25">
      <c r="A1790" s="302" t="str">
        <f t="shared" si="48"/>
        <v>Thermostat - Reprogram_Boiler (P)_SF_Therm Saved per Unit</v>
      </c>
      <c r="B1790" s="303" t="s">
        <v>1055</v>
      </c>
      <c r="C1790" s="304" t="s">
        <v>1046</v>
      </c>
      <c r="D1790" s="303" t="s">
        <v>409</v>
      </c>
      <c r="E1790" s="314" t="s">
        <v>326</v>
      </c>
      <c r="F1790" s="326"/>
      <c r="G1790" s="315">
        <f>G1787</f>
        <v>51.628640000000004</v>
      </c>
      <c r="H1790" s="305"/>
      <c r="I1790" s="305" t="s">
        <v>152</v>
      </c>
      <c r="J1790" s="305" t="s">
        <v>100</v>
      </c>
      <c r="K1790" s="305" t="s">
        <v>2004</v>
      </c>
    </row>
    <row r="1791" spans="1:11" x14ac:dyDescent="0.25">
      <c r="A1791" s="302" t="str">
        <f t="shared" si="48"/>
        <v>Thermostat - Reprogram_Boiler (P)_SF_Lifetime (years)</v>
      </c>
      <c r="B1791" s="303" t="s">
        <v>1055</v>
      </c>
      <c r="C1791" s="304" t="s">
        <v>1046</v>
      </c>
      <c r="D1791" s="303" t="s">
        <v>409</v>
      </c>
      <c r="E1791" s="314" t="s">
        <v>259</v>
      </c>
      <c r="F1791" s="314" t="s">
        <v>548</v>
      </c>
      <c r="G1791" s="315">
        <v>2</v>
      </c>
      <c r="H1791" s="305"/>
      <c r="I1791" s="305" t="s">
        <v>152</v>
      </c>
      <c r="J1791" s="305" t="s">
        <v>100</v>
      </c>
      <c r="K1791" s="305" t="s">
        <v>2004</v>
      </c>
    </row>
    <row r="1792" spans="1:11" x14ac:dyDescent="0.25">
      <c r="A1792" s="302" t="str">
        <f t="shared" si="48"/>
        <v>Thermostat - Reprogram_Boiler (P)_SF_Incremental Cost</v>
      </c>
      <c r="B1792" s="303" t="s">
        <v>1055</v>
      </c>
      <c r="C1792" s="304" t="s">
        <v>1046</v>
      </c>
      <c r="D1792" s="303" t="s">
        <v>409</v>
      </c>
      <c r="E1792" s="314" t="s">
        <v>260</v>
      </c>
      <c r="F1792" s="314" t="s">
        <v>549</v>
      </c>
      <c r="G1792" s="328">
        <v>10</v>
      </c>
      <c r="H1792" s="305"/>
      <c r="I1792" s="305" t="s">
        <v>152</v>
      </c>
      <c r="J1792" s="305" t="s">
        <v>100</v>
      </c>
      <c r="K1792" s="305" t="s">
        <v>2004</v>
      </c>
    </row>
    <row r="1793" spans="1:11" s="324" customFormat="1" x14ac:dyDescent="0.25">
      <c r="A1793" s="317" t="str">
        <f t="shared" si="48"/>
        <v>Thermostat - Reprogram_Boiler (P)_SF_</v>
      </c>
      <c r="B1793" s="317" t="str">
        <f>B1792</f>
        <v>Thermostat - Reprogram</v>
      </c>
      <c r="C1793" s="317" t="str">
        <f>C1792</f>
        <v>Boiler (P)</v>
      </c>
      <c r="D1793" s="317" t="str">
        <f>D1792</f>
        <v>SF</v>
      </c>
      <c r="E1793" s="317"/>
      <c r="F1793" s="317"/>
      <c r="G1793" s="323"/>
      <c r="H1793" s="320"/>
      <c r="I1793" s="320"/>
      <c r="J1793" s="317"/>
      <c r="K1793" s="317"/>
    </row>
    <row r="1794" spans="1:11" x14ac:dyDescent="0.25">
      <c r="A1794" s="302" t="str">
        <f t="shared" si="48"/>
        <v>Thermostat - Reprogram_Boiler (DI)_MF_CF</v>
      </c>
      <c r="B1794" s="303" t="s">
        <v>1055</v>
      </c>
      <c r="C1794" s="304" t="s">
        <v>1045</v>
      </c>
      <c r="D1794" s="303" t="s">
        <v>553</v>
      </c>
      <c r="E1794" s="385" t="s">
        <v>253</v>
      </c>
      <c r="F1794" s="309"/>
      <c r="G1794" s="306">
        <v>0.68</v>
      </c>
      <c r="H1794" s="305" t="s">
        <v>323</v>
      </c>
      <c r="I1794" s="305" t="s">
        <v>152</v>
      </c>
      <c r="J1794" s="305" t="s">
        <v>100</v>
      </c>
      <c r="K1794" s="305" t="s">
        <v>2004</v>
      </c>
    </row>
    <row r="1795" spans="1:11" x14ac:dyDescent="0.25">
      <c r="A1795" s="302" t="str">
        <f t="shared" ref="A1795:A1862" si="50">B1795&amp;"_"&amp;C1795&amp;"_"&amp;D1795&amp;"_"&amp;E1795</f>
        <v>Thermostat - Reprogram_Boiler (DI)_MF_% Electric Heating</v>
      </c>
      <c r="B1795" s="303" t="s">
        <v>1055</v>
      </c>
      <c r="C1795" s="304" t="s">
        <v>1045</v>
      </c>
      <c r="D1795" s="303" t="s">
        <v>553</v>
      </c>
      <c r="E1795" s="305" t="s">
        <v>268</v>
      </c>
      <c r="F1795" s="309" t="s">
        <v>539</v>
      </c>
      <c r="G1795" s="306">
        <v>0</v>
      </c>
      <c r="H1795" s="305" t="s">
        <v>1056</v>
      </c>
      <c r="I1795" s="305" t="s">
        <v>152</v>
      </c>
      <c r="J1795" s="305" t="s">
        <v>100</v>
      </c>
      <c r="K1795" s="305" t="s">
        <v>2004</v>
      </c>
    </row>
    <row r="1796" spans="1:11" x14ac:dyDescent="0.25">
      <c r="A1796" s="302" t="str">
        <f t="shared" si="50"/>
        <v>Thermostat - Reprogram_Boiler (DI)_MF_% Gas Heating</v>
      </c>
      <c r="B1796" s="303" t="s">
        <v>1055</v>
      </c>
      <c r="C1796" s="304" t="s">
        <v>1045</v>
      </c>
      <c r="D1796" s="303" t="s">
        <v>553</v>
      </c>
      <c r="E1796" s="305" t="s">
        <v>269</v>
      </c>
      <c r="F1796" s="309" t="s">
        <v>539</v>
      </c>
      <c r="G1796" s="306">
        <v>1</v>
      </c>
      <c r="H1796" s="305" t="s">
        <v>1056</v>
      </c>
      <c r="I1796" s="305" t="s">
        <v>152</v>
      </c>
      <c r="J1796" s="305" t="s">
        <v>100</v>
      </c>
      <c r="K1796" s="305" t="s">
        <v>2004</v>
      </c>
    </row>
    <row r="1797" spans="1:11" x14ac:dyDescent="0.25">
      <c r="A1797" s="302" t="str">
        <f t="shared" si="50"/>
        <v>Thermostat - Reprogram_Boiler (DI)_MF_Electric Heating Consumption</v>
      </c>
      <c r="B1797" s="303" t="s">
        <v>1055</v>
      </c>
      <c r="C1797" s="304" t="s">
        <v>1045</v>
      </c>
      <c r="D1797" s="303" t="s">
        <v>553</v>
      </c>
      <c r="E1797" s="305" t="s">
        <v>273</v>
      </c>
      <c r="F1797" s="309"/>
      <c r="G1797" s="306">
        <v>12222</v>
      </c>
      <c r="H1797" s="305" t="s">
        <v>1040</v>
      </c>
      <c r="I1797" s="305" t="s">
        <v>152</v>
      </c>
      <c r="J1797" s="305" t="s">
        <v>100</v>
      </c>
      <c r="K1797" s="305" t="s">
        <v>2004</v>
      </c>
    </row>
    <row r="1798" spans="1:11" x14ac:dyDescent="0.25">
      <c r="A1798" s="302" t="str">
        <f t="shared" si="50"/>
        <v>Thermostat - Reprogram_Boiler (DI)_MF_Gas Heating Consumption</v>
      </c>
      <c r="B1798" s="303" t="s">
        <v>1055</v>
      </c>
      <c r="C1798" s="304" t="s">
        <v>1045</v>
      </c>
      <c r="D1798" s="303" t="s">
        <v>553</v>
      </c>
      <c r="E1798" s="385" t="s">
        <v>275</v>
      </c>
      <c r="F1798" s="309"/>
      <c r="G1798" s="339">
        <v>1487</v>
      </c>
      <c r="H1798" s="305" t="s">
        <v>633</v>
      </c>
      <c r="I1798" s="305" t="s">
        <v>152</v>
      </c>
      <c r="J1798" s="305" t="s">
        <v>100</v>
      </c>
      <c r="K1798" s="305" t="s">
        <v>2004</v>
      </c>
    </row>
    <row r="1799" spans="1:11" x14ac:dyDescent="0.25">
      <c r="A1799" s="302" t="str">
        <f t="shared" si="50"/>
        <v>Thermostat - Reprogram_Boiler (DI)_MF_Household Factor</v>
      </c>
      <c r="B1799" s="303" t="s">
        <v>1055</v>
      </c>
      <c r="C1799" s="304" t="s">
        <v>1045</v>
      </c>
      <c r="D1799" s="303" t="s">
        <v>553</v>
      </c>
      <c r="E1799" s="385" t="s">
        <v>276</v>
      </c>
      <c r="F1799" s="309" t="s">
        <v>539</v>
      </c>
      <c r="G1799" s="306">
        <v>0.65</v>
      </c>
      <c r="H1799" s="305" t="s">
        <v>1044</v>
      </c>
      <c r="I1799" s="305" t="s">
        <v>152</v>
      </c>
      <c r="J1799" s="305" t="s">
        <v>100</v>
      </c>
      <c r="K1799" s="305" t="s">
        <v>2004</v>
      </c>
    </row>
    <row r="1800" spans="1:11" x14ac:dyDescent="0.25">
      <c r="A1800" s="302" t="str">
        <f t="shared" si="50"/>
        <v>Thermostat - Reprogram_Boiler (DI)_MF_ISR</v>
      </c>
      <c r="B1800" s="303" t="s">
        <v>1055</v>
      </c>
      <c r="C1800" s="304" t="s">
        <v>1045</v>
      </c>
      <c r="D1800" s="303" t="s">
        <v>553</v>
      </c>
      <c r="E1800" s="385" t="s">
        <v>267</v>
      </c>
      <c r="F1800" s="309" t="s">
        <v>539</v>
      </c>
      <c r="G1800" s="306">
        <v>1</v>
      </c>
      <c r="H1800" s="305" t="s">
        <v>308</v>
      </c>
      <c r="I1800" s="305" t="s">
        <v>152</v>
      </c>
      <c r="J1800" s="305" t="s">
        <v>100</v>
      </c>
      <c r="K1800" s="305" t="s">
        <v>2004</v>
      </c>
    </row>
    <row r="1801" spans="1:11" x14ac:dyDescent="0.25">
      <c r="A1801" s="302" t="str">
        <f t="shared" si="50"/>
        <v>Thermostat - Reprogram_Boiler (DI)_MF_Furnace Fan Energy Consumption %</v>
      </c>
      <c r="B1801" s="303" t="s">
        <v>1055</v>
      </c>
      <c r="C1801" s="304" t="s">
        <v>1045</v>
      </c>
      <c r="D1801" s="303" t="s">
        <v>553</v>
      </c>
      <c r="E1801" s="385" t="s">
        <v>277</v>
      </c>
      <c r="F1801" s="309" t="s">
        <v>539</v>
      </c>
      <c r="G1801" s="306">
        <v>3.1399999999999997E-2</v>
      </c>
      <c r="H1801" s="305" t="s">
        <v>278</v>
      </c>
      <c r="I1801" s="305" t="s">
        <v>152</v>
      </c>
      <c r="J1801" s="305" t="s">
        <v>100</v>
      </c>
      <c r="K1801" s="305" t="s">
        <v>2004</v>
      </c>
    </row>
    <row r="1802" spans="1:11" x14ac:dyDescent="0.25">
      <c r="A1802" s="302" t="str">
        <f t="shared" si="50"/>
        <v>Thermostat - Reprogram_Boiler (DI)_MF_Heating Energy Reduction</v>
      </c>
      <c r="B1802" s="303" t="s">
        <v>1055</v>
      </c>
      <c r="C1802" s="304" t="s">
        <v>1045</v>
      </c>
      <c r="D1802" s="303" t="s">
        <v>553</v>
      </c>
      <c r="E1802" s="385" t="s">
        <v>279</v>
      </c>
      <c r="F1802" s="309" t="s">
        <v>539</v>
      </c>
      <c r="G1802" s="306">
        <v>6.2E-2</v>
      </c>
      <c r="H1802" s="305"/>
      <c r="I1802" s="305" t="s">
        <v>152</v>
      </c>
      <c r="J1802" s="305" t="s">
        <v>100</v>
      </c>
      <c r="K1802" s="305" t="s">
        <v>2004</v>
      </c>
    </row>
    <row r="1803" spans="1:11" x14ac:dyDescent="0.25">
      <c r="A1803" s="302" t="str">
        <f t="shared" si="50"/>
        <v>Thermostat - Reprogram_Boiler (DI)_SF_%FossilHeat</v>
      </c>
      <c r="B1803" s="303" t="s">
        <v>1055</v>
      </c>
      <c r="C1803" s="304" t="s">
        <v>1045</v>
      </c>
      <c r="D1803" s="303" t="s">
        <v>409</v>
      </c>
      <c r="E1803" s="311" t="s">
        <v>1938</v>
      </c>
      <c r="F1803" s="334" t="s">
        <v>539</v>
      </c>
      <c r="G1803" s="322">
        <v>1</v>
      </c>
      <c r="H1803" s="311" t="s">
        <v>1939</v>
      </c>
      <c r="I1803" s="305" t="s">
        <v>152</v>
      </c>
      <c r="J1803" s="305" t="s">
        <v>100</v>
      </c>
      <c r="K1803" s="305" t="s">
        <v>2004</v>
      </c>
    </row>
    <row r="1804" spans="1:11" x14ac:dyDescent="0.25">
      <c r="A1804" s="302" t="str">
        <f t="shared" si="50"/>
        <v>Thermostat - Reprogram_Boiler (DI)_MF_Electric Fan Savings</v>
      </c>
      <c r="B1804" s="303" t="s">
        <v>1055</v>
      </c>
      <c r="C1804" s="304" t="s">
        <v>1045</v>
      </c>
      <c r="D1804" s="303" t="s">
        <v>553</v>
      </c>
      <c r="E1804" s="385" t="s">
        <v>280</v>
      </c>
      <c r="F1804" s="309"/>
      <c r="G1804" s="306">
        <f>G1806*G1801*29.3</f>
        <v>55.133210521999999</v>
      </c>
      <c r="H1804" s="305"/>
      <c r="I1804" s="305" t="s">
        <v>152</v>
      </c>
      <c r="J1804" s="305" t="s">
        <v>100</v>
      </c>
      <c r="K1804" s="305" t="s">
        <v>2004</v>
      </c>
    </row>
    <row r="1805" spans="1:11" x14ac:dyDescent="0.25">
      <c r="A1805" s="302" t="str">
        <f t="shared" si="50"/>
        <v>Thermostat - Reprogram_Boiler (DI)_MF_Electric Heating Savings</v>
      </c>
      <c r="B1805" s="303" t="s">
        <v>1055</v>
      </c>
      <c r="C1805" s="304" t="s">
        <v>1045</v>
      </c>
      <c r="D1805" s="303" t="s">
        <v>553</v>
      </c>
      <c r="E1805" s="385" t="s">
        <v>281</v>
      </c>
      <c r="F1805" s="309"/>
      <c r="G1805" s="306">
        <f>G1795*G1797*G1802*G1799*G1800</f>
        <v>0</v>
      </c>
      <c r="H1805" s="305"/>
      <c r="I1805" s="305" t="s">
        <v>152</v>
      </c>
      <c r="J1805" s="305" t="s">
        <v>100</v>
      </c>
      <c r="K1805" s="305" t="s">
        <v>2004</v>
      </c>
    </row>
    <row r="1806" spans="1:11" x14ac:dyDescent="0.25">
      <c r="A1806" s="302" t="str">
        <f t="shared" si="50"/>
        <v>Thermostat - Reprogram_Boiler (DI)_MF_Gas Heating Savings</v>
      </c>
      <c r="B1806" s="303" t="s">
        <v>1055</v>
      </c>
      <c r="C1806" s="304" t="s">
        <v>1045</v>
      </c>
      <c r="D1806" s="303" t="s">
        <v>553</v>
      </c>
      <c r="E1806" s="385" t="s">
        <v>324</v>
      </c>
      <c r="F1806" s="309"/>
      <c r="G1806" s="306">
        <f>G1796*G1798*G1802*G1799*G1800*G1803</f>
        <v>59.926100000000005</v>
      </c>
      <c r="H1806" s="305"/>
      <c r="I1806" s="305" t="s">
        <v>152</v>
      </c>
      <c r="J1806" s="305" t="s">
        <v>100</v>
      </c>
      <c r="K1806" s="305" t="s">
        <v>2004</v>
      </c>
    </row>
    <row r="1807" spans="1:11" x14ac:dyDescent="0.25">
      <c r="A1807" s="302" t="str">
        <f t="shared" si="50"/>
        <v>Thermostat - Reprogram_Boiler (DI)_MF_kWh Saved per Unit</v>
      </c>
      <c r="B1807" s="303" t="s">
        <v>1055</v>
      </c>
      <c r="C1807" s="304" t="s">
        <v>1045</v>
      </c>
      <c r="D1807" s="303" t="s">
        <v>553</v>
      </c>
      <c r="E1807" s="314" t="s">
        <v>255</v>
      </c>
      <c r="F1807" s="326"/>
      <c r="G1807" s="315">
        <f>G1804+G1805</f>
        <v>55.133210521999999</v>
      </c>
      <c r="H1807" s="305"/>
      <c r="I1807" s="305" t="s">
        <v>152</v>
      </c>
      <c r="J1807" s="305" t="s">
        <v>100</v>
      </c>
      <c r="K1807" s="305" t="s">
        <v>2004</v>
      </c>
    </row>
    <row r="1808" spans="1:11" x14ac:dyDescent="0.25">
      <c r="A1808" s="302" t="str">
        <f t="shared" si="50"/>
        <v>Thermostat - Reprogram_Boiler (DI)_MF_kW Saved per Unit</v>
      </c>
      <c r="B1808" s="303" t="s">
        <v>1055</v>
      </c>
      <c r="C1808" s="304" t="s">
        <v>1045</v>
      </c>
      <c r="D1808" s="303" t="s">
        <v>553</v>
      </c>
      <c r="E1808" s="314" t="s">
        <v>580</v>
      </c>
      <c r="F1808" s="326" t="s">
        <v>571</v>
      </c>
      <c r="G1808" s="315">
        <v>0</v>
      </c>
      <c r="H1808" s="305"/>
      <c r="I1808" s="305" t="s">
        <v>152</v>
      </c>
      <c r="J1808" s="305" t="s">
        <v>100</v>
      </c>
      <c r="K1808" s="305" t="s">
        <v>2004</v>
      </c>
    </row>
    <row r="1809" spans="1:11" x14ac:dyDescent="0.25">
      <c r="A1809" s="302" t="str">
        <f t="shared" si="50"/>
        <v>Thermostat - Reprogram_Boiler (DI)_MF_Therm Saved per Unit</v>
      </c>
      <c r="B1809" s="303" t="s">
        <v>1055</v>
      </c>
      <c r="C1809" s="304" t="s">
        <v>1045</v>
      </c>
      <c r="D1809" s="303" t="s">
        <v>553</v>
      </c>
      <c r="E1809" s="314" t="s">
        <v>326</v>
      </c>
      <c r="F1809" s="326"/>
      <c r="G1809" s="315">
        <f>G1806</f>
        <v>59.926100000000005</v>
      </c>
      <c r="H1809" s="305"/>
      <c r="I1809" s="305" t="s">
        <v>152</v>
      </c>
      <c r="J1809" s="305" t="s">
        <v>100</v>
      </c>
      <c r="K1809" s="305" t="s">
        <v>2004</v>
      </c>
    </row>
    <row r="1810" spans="1:11" x14ac:dyDescent="0.25">
      <c r="A1810" s="302" t="str">
        <f t="shared" si="50"/>
        <v>Thermostat - Reprogram_Boiler (DI)_MF_Lifetime (years)</v>
      </c>
      <c r="B1810" s="303" t="s">
        <v>1055</v>
      </c>
      <c r="C1810" s="304" t="s">
        <v>1045</v>
      </c>
      <c r="D1810" s="303" t="s">
        <v>553</v>
      </c>
      <c r="E1810" s="314" t="s">
        <v>259</v>
      </c>
      <c r="F1810" s="314" t="s">
        <v>548</v>
      </c>
      <c r="G1810" s="315">
        <v>2</v>
      </c>
      <c r="H1810" s="305"/>
      <c r="I1810" s="305" t="s">
        <v>152</v>
      </c>
      <c r="J1810" s="305" t="s">
        <v>100</v>
      </c>
      <c r="K1810" s="305" t="s">
        <v>2004</v>
      </c>
    </row>
    <row r="1811" spans="1:11" x14ac:dyDescent="0.25">
      <c r="A1811" s="302" t="str">
        <f t="shared" si="50"/>
        <v>Thermostat - Reprogram_Boiler (DI)_MF_Incremental Cost</v>
      </c>
      <c r="B1811" s="303" t="s">
        <v>1055</v>
      </c>
      <c r="C1811" s="304" t="s">
        <v>1045</v>
      </c>
      <c r="D1811" s="303" t="s">
        <v>553</v>
      </c>
      <c r="E1811" s="314" t="s">
        <v>260</v>
      </c>
      <c r="F1811" s="314" t="s">
        <v>549</v>
      </c>
      <c r="G1811" s="328">
        <v>10</v>
      </c>
      <c r="H1811" s="305"/>
      <c r="I1811" s="305" t="s">
        <v>152</v>
      </c>
      <c r="J1811" s="305" t="s">
        <v>100</v>
      </c>
      <c r="K1811" s="305" t="s">
        <v>2004</v>
      </c>
    </row>
    <row r="1812" spans="1:11" s="324" customFormat="1" x14ac:dyDescent="0.25">
      <c r="A1812" s="317" t="str">
        <f t="shared" si="50"/>
        <v>Thermostat - Reprogram_Boiler (DI)_MF_</v>
      </c>
      <c r="B1812" s="317" t="str">
        <f>B1811</f>
        <v>Thermostat - Reprogram</v>
      </c>
      <c r="C1812" s="317" t="str">
        <f>C1811</f>
        <v>Boiler (DI)</v>
      </c>
      <c r="D1812" s="317" t="str">
        <f>D1811</f>
        <v>MF</v>
      </c>
      <c r="E1812" s="317"/>
      <c r="F1812" s="317"/>
      <c r="G1812" s="323"/>
      <c r="H1812" s="320"/>
      <c r="I1812" s="320"/>
      <c r="J1812" s="317"/>
      <c r="K1812" s="317"/>
    </row>
    <row r="1813" spans="1:11" x14ac:dyDescent="0.25">
      <c r="A1813" s="302" t="str">
        <f t="shared" si="50"/>
        <v>Thermostat - Reprogram_Furnace (DI)_MF_CF</v>
      </c>
      <c r="B1813" s="303" t="s">
        <v>1055</v>
      </c>
      <c r="C1813" s="304" t="s">
        <v>1038</v>
      </c>
      <c r="D1813" s="303" t="s">
        <v>553</v>
      </c>
      <c r="E1813" s="385" t="s">
        <v>253</v>
      </c>
      <c r="F1813" s="309"/>
      <c r="G1813" s="306">
        <v>0.68</v>
      </c>
      <c r="H1813" s="305" t="s">
        <v>323</v>
      </c>
      <c r="I1813" s="305" t="s">
        <v>152</v>
      </c>
      <c r="J1813" s="305" t="s">
        <v>100</v>
      </c>
      <c r="K1813" s="305" t="s">
        <v>2004</v>
      </c>
    </row>
    <row r="1814" spans="1:11" x14ac:dyDescent="0.25">
      <c r="A1814" s="302" t="str">
        <f t="shared" si="50"/>
        <v>Thermostat - Reprogram_Furnace (DI)_MF_% Electric Heating</v>
      </c>
      <c r="B1814" s="303" t="s">
        <v>1055</v>
      </c>
      <c r="C1814" s="304" t="s">
        <v>1038</v>
      </c>
      <c r="D1814" s="303" t="s">
        <v>553</v>
      </c>
      <c r="E1814" s="305" t="s">
        <v>268</v>
      </c>
      <c r="F1814" s="309" t="s">
        <v>539</v>
      </c>
      <c r="G1814" s="306">
        <v>0</v>
      </c>
      <c r="H1814" s="305" t="s">
        <v>1056</v>
      </c>
      <c r="I1814" s="305" t="s">
        <v>152</v>
      </c>
      <c r="J1814" s="305" t="s">
        <v>100</v>
      </c>
      <c r="K1814" s="305" t="s">
        <v>2004</v>
      </c>
    </row>
    <row r="1815" spans="1:11" x14ac:dyDescent="0.25">
      <c r="A1815" s="302" t="str">
        <f t="shared" si="50"/>
        <v>Thermostat - Reprogram_Furnace (DI)_MF_% Gas Heating</v>
      </c>
      <c r="B1815" s="303" t="s">
        <v>1055</v>
      </c>
      <c r="C1815" s="304" t="s">
        <v>1038</v>
      </c>
      <c r="D1815" s="303" t="s">
        <v>553</v>
      </c>
      <c r="E1815" s="305" t="s">
        <v>269</v>
      </c>
      <c r="F1815" s="309" t="s">
        <v>539</v>
      </c>
      <c r="G1815" s="306">
        <v>1</v>
      </c>
      <c r="H1815" s="305" t="s">
        <v>1056</v>
      </c>
      <c r="I1815" s="305" t="s">
        <v>152</v>
      </c>
      <c r="J1815" s="305" t="s">
        <v>100</v>
      </c>
      <c r="K1815" s="305" t="s">
        <v>2004</v>
      </c>
    </row>
    <row r="1816" spans="1:11" x14ac:dyDescent="0.25">
      <c r="A1816" s="302" t="str">
        <f t="shared" si="50"/>
        <v>Thermostat - Reprogram_Furnace (DI)_MF_Electric Heating Consumption</v>
      </c>
      <c r="B1816" s="303" t="s">
        <v>1055</v>
      </c>
      <c r="C1816" s="304" t="s">
        <v>1038</v>
      </c>
      <c r="D1816" s="303" t="s">
        <v>553</v>
      </c>
      <c r="E1816" s="305" t="s">
        <v>273</v>
      </c>
      <c r="F1816" s="309"/>
      <c r="G1816" s="306">
        <v>12222</v>
      </c>
      <c r="H1816" s="305" t="s">
        <v>1040</v>
      </c>
      <c r="I1816" s="305" t="s">
        <v>152</v>
      </c>
      <c r="J1816" s="305" t="s">
        <v>100</v>
      </c>
      <c r="K1816" s="305" t="s">
        <v>2004</v>
      </c>
    </row>
    <row r="1817" spans="1:11" x14ac:dyDescent="0.25">
      <c r="A1817" s="302" t="str">
        <f t="shared" si="50"/>
        <v>Thermostat - Reprogram_Furnace (DI)_MF_Gas Heating Consumption</v>
      </c>
      <c r="B1817" s="303" t="s">
        <v>1055</v>
      </c>
      <c r="C1817" s="304" t="s">
        <v>1038</v>
      </c>
      <c r="D1817" s="303" t="s">
        <v>553</v>
      </c>
      <c r="E1817" s="385" t="s">
        <v>275</v>
      </c>
      <c r="F1817" s="309"/>
      <c r="G1817" s="306">
        <v>1005</v>
      </c>
      <c r="H1817" s="305" t="s">
        <v>636</v>
      </c>
      <c r="I1817" s="305" t="s">
        <v>152</v>
      </c>
      <c r="J1817" s="305" t="s">
        <v>100</v>
      </c>
      <c r="K1817" s="305" t="s">
        <v>2004</v>
      </c>
    </row>
    <row r="1818" spans="1:11" x14ac:dyDescent="0.25">
      <c r="A1818" s="302" t="str">
        <f t="shared" si="50"/>
        <v>Thermostat - Reprogram_Furnace (DI)_MF_Household Factor</v>
      </c>
      <c r="B1818" s="303" t="s">
        <v>1055</v>
      </c>
      <c r="C1818" s="304" t="s">
        <v>1038</v>
      </c>
      <c r="D1818" s="303" t="s">
        <v>553</v>
      </c>
      <c r="E1818" s="385" t="s">
        <v>276</v>
      </c>
      <c r="F1818" s="309" t="s">
        <v>539</v>
      </c>
      <c r="G1818" s="306">
        <v>0.65</v>
      </c>
      <c r="H1818" s="305" t="s">
        <v>1044</v>
      </c>
      <c r="I1818" s="305" t="s">
        <v>152</v>
      </c>
      <c r="J1818" s="305" t="s">
        <v>100</v>
      </c>
      <c r="K1818" s="305" t="s">
        <v>2004</v>
      </c>
    </row>
    <row r="1819" spans="1:11" x14ac:dyDescent="0.25">
      <c r="A1819" s="302" t="str">
        <f t="shared" si="50"/>
        <v>Thermostat - Reprogram_Furnace (DI)_MF_ISR</v>
      </c>
      <c r="B1819" s="303" t="s">
        <v>1055</v>
      </c>
      <c r="C1819" s="304" t="s">
        <v>1038</v>
      </c>
      <c r="D1819" s="303" t="s">
        <v>553</v>
      </c>
      <c r="E1819" s="385" t="s">
        <v>267</v>
      </c>
      <c r="F1819" s="309" t="s">
        <v>539</v>
      </c>
      <c r="G1819" s="306">
        <v>1</v>
      </c>
      <c r="H1819" s="305" t="s">
        <v>308</v>
      </c>
      <c r="I1819" s="305" t="s">
        <v>152</v>
      </c>
      <c r="J1819" s="305" t="s">
        <v>100</v>
      </c>
      <c r="K1819" s="305" t="s">
        <v>2004</v>
      </c>
    </row>
    <row r="1820" spans="1:11" x14ac:dyDescent="0.25">
      <c r="A1820" s="302" t="str">
        <f t="shared" si="50"/>
        <v>Thermostat - Reprogram_Furnace (DI)_MF_Furnace Fan Energy Consumption %</v>
      </c>
      <c r="B1820" s="303" t="s">
        <v>1055</v>
      </c>
      <c r="C1820" s="304" t="s">
        <v>1038</v>
      </c>
      <c r="D1820" s="303" t="s">
        <v>553</v>
      </c>
      <c r="E1820" s="385" t="s">
        <v>277</v>
      </c>
      <c r="F1820" s="309" t="s">
        <v>539</v>
      </c>
      <c r="G1820" s="306">
        <v>3.1399999999999997E-2</v>
      </c>
      <c r="H1820" s="305" t="s">
        <v>278</v>
      </c>
      <c r="I1820" s="305" t="s">
        <v>152</v>
      </c>
      <c r="J1820" s="305" t="s">
        <v>100</v>
      </c>
      <c r="K1820" s="305" t="s">
        <v>2004</v>
      </c>
    </row>
    <row r="1821" spans="1:11" x14ac:dyDescent="0.25">
      <c r="A1821" s="302" t="str">
        <f t="shared" si="50"/>
        <v>Thermostat - Reprogram_Furnace (DI)_MF_Heating Energy Reduction</v>
      </c>
      <c r="B1821" s="303" t="s">
        <v>1055</v>
      </c>
      <c r="C1821" s="304" t="s">
        <v>1038</v>
      </c>
      <c r="D1821" s="303" t="s">
        <v>553</v>
      </c>
      <c r="E1821" s="385" t="s">
        <v>279</v>
      </c>
      <c r="F1821" s="309" t="s">
        <v>539</v>
      </c>
      <c r="G1821" s="306">
        <v>6.2E-2</v>
      </c>
      <c r="H1821" s="305"/>
      <c r="I1821" s="305" t="s">
        <v>152</v>
      </c>
      <c r="J1821" s="305" t="s">
        <v>100</v>
      </c>
      <c r="K1821" s="305" t="s">
        <v>2004</v>
      </c>
    </row>
    <row r="1822" spans="1:11" x14ac:dyDescent="0.25">
      <c r="A1822" s="302" t="str">
        <f t="shared" ref="A1822" si="51">B1822&amp;"_"&amp;C1822&amp;"_"&amp;D1822&amp;"_"&amp;E1822</f>
        <v>Thermostat - Reprogram_Furnace (DI)_MF_%FossilHeat</v>
      </c>
      <c r="B1822" s="303" t="s">
        <v>1055</v>
      </c>
      <c r="C1822" s="304" t="s">
        <v>1038</v>
      </c>
      <c r="D1822" s="303" t="s">
        <v>553</v>
      </c>
      <c r="E1822" s="311" t="s">
        <v>1938</v>
      </c>
      <c r="F1822" s="334" t="s">
        <v>539</v>
      </c>
      <c r="G1822" s="322">
        <v>1</v>
      </c>
      <c r="H1822" s="311" t="s">
        <v>1939</v>
      </c>
      <c r="I1822" s="305" t="s">
        <v>152</v>
      </c>
      <c r="J1822" s="305" t="s">
        <v>100</v>
      </c>
      <c r="K1822" s="305" t="s">
        <v>2004</v>
      </c>
    </row>
    <row r="1823" spans="1:11" x14ac:dyDescent="0.25">
      <c r="A1823" s="302" t="str">
        <f t="shared" si="50"/>
        <v>Thermostat - Reprogram_Furnace (DI)_MF_Electric Fan Savings</v>
      </c>
      <c r="B1823" s="303" t="s">
        <v>1055</v>
      </c>
      <c r="C1823" s="304" t="s">
        <v>1038</v>
      </c>
      <c r="D1823" s="303" t="s">
        <v>553</v>
      </c>
      <c r="E1823" s="385" t="s">
        <v>280</v>
      </c>
      <c r="F1823" s="309"/>
      <c r="G1823" s="306">
        <f>G1825*G1820*29.3</f>
        <v>37.262190029999992</v>
      </c>
      <c r="H1823" s="305"/>
      <c r="I1823" s="305" t="s">
        <v>152</v>
      </c>
      <c r="J1823" s="305" t="s">
        <v>100</v>
      </c>
      <c r="K1823" s="305" t="s">
        <v>2004</v>
      </c>
    </row>
    <row r="1824" spans="1:11" x14ac:dyDescent="0.25">
      <c r="A1824" s="302" t="str">
        <f t="shared" si="50"/>
        <v>Thermostat - Reprogram_Furnace (DI)_MF_Electric Heating Savings</v>
      </c>
      <c r="B1824" s="303" t="s">
        <v>1055</v>
      </c>
      <c r="C1824" s="304" t="s">
        <v>1038</v>
      </c>
      <c r="D1824" s="303" t="s">
        <v>553</v>
      </c>
      <c r="E1824" s="385" t="s">
        <v>281</v>
      </c>
      <c r="F1824" s="309"/>
      <c r="G1824" s="306">
        <f>G1814*G1816*G1821*G1818*G1819</f>
        <v>0</v>
      </c>
      <c r="H1824" s="305"/>
      <c r="I1824" s="305" t="s">
        <v>152</v>
      </c>
      <c r="J1824" s="305" t="s">
        <v>100</v>
      </c>
      <c r="K1824" s="305" t="s">
        <v>2004</v>
      </c>
    </row>
    <row r="1825" spans="1:11" x14ac:dyDescent="0.25">
      <c r="A1825" s="302" t="str">
        <f t="shared" si="50"/>
        <v>Thermostat - Reprogram_Furnace (DI)_MF_Gas Heating Savings</v>
      </c>
      <c r="B1825" s="303" t="s">
        <v>1055</v>
      </c>
      <c r="C1825" s="304" t="s">
        <v>1038</v>
      </c>
      <c r="D1825" s="303" t="s">
        <v>553</v>
      </c>
      <c r="E1825" s="385" t="s">
        <v>324</v>
      </c>
      <c r="F1825" s="309"/>
      <c r="G1825" s="306">
        <f>G1815*G1817*G1821*G1818*G1819*G1822</f>
        <v>40.5015</v>
      </c>
      <c r="H1825" s="305"/>
      <c r="I1825" s="305" t="s">
        <v>152</v>
      </c>
      <c r="J1825" s="305" t="s">
        <v>100</v>
      </c>
      <c r="K1825" s="305" t="s">
        <v>2004</v>
      </c>
    </row>
    <row r="1826" spans="1:11" x14ac:dyDescent="0.25">
      <c r="A1826" s="302" t="str">
        <f t="shared" si="50"/>
        <v>Thermostat - Reprogram_Furnace (DI)_MF_kWh Saved per Unit</v>
      </c>
      <c r="B1826" s="303" t="s">
        <v>1055</v>
      </c>
      <c r="C1826" s="304" t="s">
        <v>1038</v>
      </c>
      <c r="D1826" s="303" t="s">
        <v>553</v>
      </c>
      <c r="E1826" s="314" t="s">
        <v>255</v>
      </c>
      <c r="F1826" s="326"/>
      <c r="G1826" s="315">
        <f>G1823+G1824</f>
        <v>37.262190029999992</v>
      </c>
      <c r="H1826" s="305"/>
      <c r="I1826" s="305" t="s">
        <v>152</v>
      </c>
      <c r="J1826" s="305" t="s">
        <v>100</v>
      </c>
      <c r="K1826" s="305" t="s">
        <v>2004</v>
      </c>
    </row>
    <row r="1827" spans="1:11" x14ac:dyDescent="0.25">
      <c r="A1827" s="302" t="str">
        <f t="shared" si="50"/>
        <v>Thermostat - Reprogram_Furnace (DI)_MF_kW Saved per Unit</v>
      </c>
      <c r="B1827" s="303" t="s">
        <v>1055</v>
      </c>
      <c r="C1827" s="304" t="s">
        <v>1038</v>
      </c>
      <c r="D1827" s="303" t="s">
        <v>553</v>
      </c>
      <c r="E1827" s="314" t="s">
        <v>580</v>
      </c>
      <c r="F1827" s="326" t="s">
        <v>571</v>
      </c>
      <c r="G1827" s="315">
        <v>0</v>
      </c>
      <c r="H1827" s="305"/>
      <c r="I1827" s="305" t="s">
        <v>152</v>
      </c>
      <c r="J1827" s="305" t="s">
        <v>100</v>
      </c>
      <c r="K1827" s="305" t="s">
        <v>2004</v>
      </c>
    </row>
    <row r="1828" spans="1:11" x14ac:dyDescent="0.25">
      <c r="A1828" s="302" t="str">
        <f t="shared" si="50"/>
        <v>Thermostat - Reprogram_Furnace (DI)_MF_Therm Saved per Unit</v>
      </c>
      <c r="B1828" s="303" t="s">
        <v>1055</v>
      </c>
      <c r="C1828" s="304" t="s">
        <v>1038</v>
      </c>
      <c r="D1828" s="303" t="s">
        <v>553</v>
      </c>
      <c r="E1828" s="314" t="s">
        <v>326</v>
      </c>
      <c r="F1828" s="326"/>
      <c r="G1828" s="315">
        <f>G1825</f>
        <v>40.5015</v>
      </c>
      <c r="H1828" s="305"/>
      <c r="I1828" s="305" t="s">
        <v>152</v>
      </c>
      <c r="J1828" s="305" t="s">
        <v>100</v>
      </c>
      <c r="K1828" s="305" t="s">
        <v>2004</v>
      </c>
    </row>
    <row r="1829" spans="1:11" x14ac:dyDescent="0.25">
      <c r="A1829" s="302" t="str">
        <f t="shared" si="50"/>
        <v>Thermostat - Reprogram_Furnace (DI)_MF_Lifetime (years)</v>
      </c>
      <c r="B1829" s="303" t="s">
        <v>1055</v>
      </c>
      <c r="C1829" s="304" t="s">
        <v>1038</v>
      </c>
      <c r="D1829" s="303" t="s">
        <v>553</v>
      </c>
      <c r="E1829" s="314" t="s">
        <v>259</v>
      </c>
      <c r="F1829" s="314" t="s">
        <v>548</v>
      </c>
      <c r="G1829" s="315">
        <v>2</v>
      </c>
      <c r="H1829" s="305"/>
      <c r="I1829" s="305" t="s">
        <v>152</v>
      </c>
      <c r="J1829" s="305" t="s">
        <v>100</v>
      </c>
      <c r="K1829" s="305" t="s">
        <v>2004</v>
      </c>
    </row>
    <row r="1830" spans="1:11" x14ac:dyDescent="0.25">
      <c r="A1830" s="302" t="str">
        <f t="shared" si="50"/>
        <v>Thermostat - Reprogram_Furnace (DI)_MF_Incremental Cost</v>
      </c>
      <c r="B1830" s="303" t="s">
        <v>1055</v>
      </c>
      <c r="C1830" s="304" t="s">
        <v>1038</v>
      </c>
      <c r="D1830" s="303" t="s">
        <v>553</v>
      </c>
      <c r="E1830" s="314" t="s">
        <v>260</v>
      </c>
      <c r="F1830" s="314" t="s">
        <v>549</v>
      </c>
      <c r="G1830" s="328">
        <v>10</v>
      </c>
      <c r="H1830" s="305"/>
      <c r="I1830" s="305" t="s">
        <v>152</v>
      </c>
      <c r="J1830" s="305" t="s">
        <v>100</v>
      </c>
      <c r="K1830" s="305" t="s">
        <v>2004</v>
      </c>
    </row>
    <row r="1831" spans="1:11" s="324" customFormat="1" x14ac:dyDescent="0.25">
      <c r="A1831" s="317" t="str">
        <f t="shared" si="50"/>
        <v>Thermostat - Reprogram_Furnace (DI)_MF_</v>
      </c>
      <c r="B1831" s="317" t="str">
        <f>B1830</f>
        <v>Thermostat - Reprogram</v>
      </c>
      <c r="C1831" s="317" t="str">
        <f>C1830</f>
        <v>Furnace (DI)</v>
      </c>
      <c r="D1831" s="317" t="str">
        <f>D1830</f>
        <v>MF</v>
      </c>
      <c r="E1831" s="317"/>
      <c r="F1831" s="317"/>
      <c r="G1831" s="323"/>
      <c r="H1831" s="320"/>
      <c r="I1831" s="320"/>
      <c r="J1831" s="317"/>
      <c r="K1831" s="317"/>
    </row>
    <row r="1832" spans="1:11" x14ac:dyDescent="0.25">
      <c r="A1832" s="302" t="str">
        <f t="shared" si="50"/>
        <v>Thermostat - Reprogram_Boiler (P)_MF_CF</v>
      </c>
      <c r="B1832" s="303" t="s">
        <v>1055</v>
      </c>
      <c r="C1832" s="304" t="s">
        <v>1046</v>
      </c>
      <c r="D1832" s="303" t="s">
        <v>553</v>
      </c>
      <c r="E1832" s="385" t="s">
        <v>253</v>
      </c>
      <c r="F1832" s="309"/>
      <c r="G1832" s="306">
        <v>0.68</v>
      </c>
      <c r="H1832" s="305" t="s">
        <v>323</v>
      </c>
      <c r="I1832" s="305" t="s">
        <v>152</v>
      </c>
      <c r="J1832" s="305" t="s">
        <v>100</v>
      </c>
      <c r="K1832" s="305" t="s">
        <v>2004</v>
      </c>
    </row>
    <row r="1833" spans="1:11" x14ac:dyDescent="0.25">
      <c r="A1833" s="302" t="str">
        <f t="shared" si="50"/>
        <v>Thermostat - Reprogram_Boiler (P)_MF_% Electric Heating</v>
      </c>
      <c r="B1833" s="303" t="s">
        <v>1055</v>
      </c>
      <c r="C1833" s="304" t="s">
        <v>1046</v>
      </c>
      <c r="D1833" s="303" t="s">
        <v>553</v>
      </c>
      <c r="E1833" s="305" t="s">
        <v>268</v>
      </c>
      <c r="F1833" s="309" t="s">
        <v>539</v>
      </c>
      <c r="G1833" s="306">
        <v>0</v>
      </c>
      <c r="H1833" s="305" t="s">
        <v>1056</v>
      </c>
      <c r="I1833" s="305" t="s">
        <v>152</v>
      </c>
      <c r="J1833" s="305" t="s">
        <v>100</v>
      </c>
      <c r="K1833" s="305" t="s">
        <v>2004</v>
      </c>
    </row>
    <row r="1834" spans="1:11" x14ac:dyDescent="0.25">
      <c r="A1834" s="302" t="str">
        <f t="shared" si="50"/>
        <v>Thermostat - Reprogram_Boiler (P)_MF_% Gas Heating</v>
      </c>
      <c r="B1834" s="303" t="s">
        <v>1055</v>
      </c>
      <c r="C1834" s="304" t="s">
        <v>1046</v>
      </c>
      <c r="D1834" s="303" t="s">
        <v>553</v>
      </c>
      <c r="E1834" s="305" t="s">
        <v>269</v>
      </c>
      <c r="F1834" s="309" t="s">
        <v>539</v>
      </c>
      <c r="G1834" s="306">
        <v>1</v>
      </c>
      <c r="H1834" s="305" t="s">
        <v>1056</v>
      </c>
      <c r="I1834" s="305" t="s">
        <v>152</v>
      </c>
      <c r="J1834" s="305" t="s">
        <v>100</v>
      </c>
      <c r="K1834" s="305" t="s">
        <v>2004</v>
      </c>
    </row>
    <row r="1835" spans="1:11" x14ac:dyDescent="0.25">
      <c r="A1835" s="302" t="str">
        <f t="shared" si="50"/>
        <v>Thermostat - Reprogram_Boiler (P)_MF_Electric Heating Consumption</v>
      </c>
      <c r="B1835" s="303" t="s">
        <v>1055</v>
      </c>
      <c r="C1835" s="304" t="s">
        <v>1046</v>
      </c>
      <c r="D1835" s="303" t="s">
        <v>553</v>
      </c>
      <c r="E1835" s="305" t="s">
        <v>273</v>
      </c>
      <c r="F1835" s="309"/>
      <c r="G1835" s="306">
        <v>12222</v>
      </c>
      <c r="H1835" s="305" t="s">
        <v>1040</v>
      </c>
      <c r="I1835" s="305" t="s">
        <v>152</v>
      </c>
      <c r="J1835" s="305" t="s">
        <v>100</v>
      </c>
      <c r="K1835" s="305" t="s">
        <v>2004</v>
      </c>
    </row>
    <row r="1836" spans="1:11" x14ac:dyDescent="0.25">
      <c r="A1836" s="302" t="str">
        <f t="shared" si="50"/>
        <v>Thermostat - Reprogram_Boiler (P)_MF_Gas Heating Consumption</v>
      </c>
      <c r="B1836" s="303" t="s">
        <v>1055</v>
      </c>
      <c r="C1836" s="304" t="s">
        <v>1046</v>
      </c>
      <c r="D1836" s="303" t="s">
        <v>553</v>
      </c>
      <c r="E1836" s="385" t="s">
        <v>275</v>
      </c>
      <c r="F1836" s="309"/>
      <c r="G1836" s="339">
        <v>1487</v>
      </c>
      <c r="H1836" s="305" t="s">
        <v>633</v>
      </c>
      <c r="I1836" s="305" t="s">
        <v>152</v>
      </c>
      <c r="J1836" s="305" t="s">
        <v>100</v>
      </c>
      <c r="K1836" s="305" t="s">
        <v>2004</v>
      </c>
    </row>
    <row r="1837" spans="1:11" x14ac:dyDescent="0.25">
      <c r="A1837" s="302" t="str">
        <f t="shared" si="50"/>
        <v>Thermostat - Reprogram_Boiler (P)_MF_Household Factor</v>
      </c>
      <c r="B1837" s="303" t="s">
        <v>1055</v>
      </c>
      <c r="C1837" s="304" t="s">
        <v>1046</v>
      </c>
      <c r="D1837" s="303" t="s">
        <v>553</v>
      </c>
      <c r="E1837" s="385" t="s">
        <v>276</v>
      </c>
      <c r="F1837" s="309" t="s">
        <v>539</v>
      </c>
      <c r="G1837" s="306">
        <v>0.65</v>
      </c>
      <c r="H1837" s="305" t="s">
        <v>1044</v>
      </c>
      <c r="I1837" s="305" t="s">
        <v>152</v>
      </c>
      <c r="J1837" s="305" t="s">
        <v>100</v>
      </c>
      <c r="K1837" s="305" t="s">
        <v>2004</v>
      </c>
    </row>
    <row r="1838" spans="1:11" x14ac:dyDescent="0.25">
      <c r="A1838" s="302" t="str">
        <f t="shared" si="50"/>
        <v>Thermostat - Reprogram_Boiler (P)_MF_ISR</v>
      </c>
      <c r="B1838" s="303" t="s">
        <v>1055</v>
      </c>
      <c r="C1838" s="304" t="s">
        <v>1046</v>
      </c>
      <c r="D1838" s="303" t="s">
        <v>553</v>
      </c>
      <c r="E1838" s="385" t="s">
        <v>267</v>
      </c>
      <c r="F1838" s="309" t="s">
        <v>539</v>
      </c>
      <c r="G1838" s="306">
        <v>0.56000000000000005</v>
      </c>
      <c r="H1838" s="305" t="s">
        <v>1043</v>
      </c>
      <c r="I1838" s="305" t="s">
        <v>152</v>
      </c>
      <c r="J1838" s="305" t="s">
        <v>100</v>
      </c>
      <c r="K1838" s="305" t="s">
        <v>2004</v>
      </c>
    </row>
    <row r="1839" spans="1:11" x14ac:dyDescent="0.25">
      <c r="A1839" s="302" t="str">
        <f t="shared" si="50"/>
        <v>Thermostat - Reprogram_Boiler (P)_MF_Furnace Fan Energy Consumption %</v>
      </c>
      <c r="B1839" s="303" t="s">
        <v>1055</v>
      </c>
      <c r="C1839" s="304" t="s">
        <v>1046</v>
      </c>
      <c r="D1839" s="303" t="s">
        <v>553</v>
      </c>
      <c r="E1839" s="385" t="s">
        <v>277</v>
      </c>
      <c r="F1839" s="309" t="s">
        <v>539</v>
      </c>
      <c r="G1839" s="306">
        <v>3.1399999999999997E-2</v>
      </c>
      <c r="H1839" s="305" t="s">
        <v>278</v>
      </c>
      <c r="I1839" s="305" t="s">
        <v>152</v>
      </c>
      <c r="J1839" s="305" t="s">
        <v>100</v>
      </c>
      <c r="K1839" s="305" t="s">
        <v>2004</v>
      </c>
    </row>
    <row r="1840" spans="1:11" x14ac:dyDescent="0.25">
      <c r="A1840" s="302" t="str">
        <f t="shared" si="50"/>
        <v>Thermostat - Reprogram_Boiler (P)_MF_Heating Energy Reduction</v>
      </c>
      <c r="B1840" s="303" t="s">
        <v>1055</v>
      </c>
      <c r="C1840" s="304" t="s">
        <v>1046</v>
      </c>
      <c r="D1840" s="303" t="s">
        <v>553</v>
      </c>
      <c r="E1840" s="385" t="s">
        <v>279</v>
      </c>
      <c r="F1840" s="309" t="s">
        <v>539</v>
      </c>
      <c r="G1840" s="306">
        <v>6.2E-2</v>
      </c>
      <c r="H1840" s="305"/>
      <c r="I1840" s="305" t="s">
        <v>152</v>
      </c>
      <c r="J1840" s="305" t="s">
        <v>100</v>
      </c>
      <c r="K1840" s="305" t="s">
        <v>2004</v>
      </c>
    </row>
    <row r="1841" spans="1:11" x14ac:dyDescent="0.25">
      <c r="A1841" s="302" t="str">
        <f t="shared" si="50"/>
        <v>Thermostat - Reprogram_Boiler (P)_MF_%FossilHeat</v>
      </c>
      <c r="B1841" s="303" t="s">
        <v>1055</v>
      </c>
      <c r="C1841" s="304" t="s">
        <v>1046</v>
      </c>
      <c r="D1841" s="303" t="s">
        <v>553</v>
      </c>
      <c r="E1841" s="311" t="s">
        <v>1938</v>
      </c>
      <c r="F1841" s="334" t="s">
        <v>539</v>
      </c>
      <c r="G1841" s="322">
        <v>1</v>
      </c>
      <c r="H1841" s="311" t="s">
        <v>1939</v>
      </c>
      <c r="I1841" s="305" t="s">
        <v>152</v>
      </c>
      <c r="J1841" s="305" t="s">
        <v>100</v>
      </c>
      <c r="K1841" s="305" t="s">
        <v>2004</v>
      </c>
    </row>
    <row r="1842" spans="1:11" x14ac:dyDescent="0.25">
      <c r="A1842" s="302" t="str">
        <f t="shared" si="50"/>
        <v>Thermostat - Reprogram_Boiler (P)_MF_Electric Fan Savings</v>
      </c>
      <c r="B1842" s="303" t="s">
        <v>1055</v>
      </c>
      <c r="C1842" s="304" t="s">
        <v>1046</v>
      </c>
      <c r="D1842" s="303" t="s">
        <v>553</v>
      </c>
      <c r="E1842" s="385" t="s">
        <v>280</v>
      </c>
      <c r="F1842" s="309"/>
      <c r="G1842" s="306">
        <f>G1844*G1839*29.3</f>
        <v>30.874597892320004</v>
      </c>
      <c r="H1842" s="305"/>
      <c r="I1842" s="305" t="s">
        <v>152</v>
      </c>
      <c r="J1842" s="305" t="s">
        <v>100</v>
      </c>
      <c r="K1842" s="305" t="s">
        <v>2004</v>
      </c>
    </row>
    <row r="1843" spans="1:11" x14ac:dyDescent="0.25">
      <c r="A1843" s="302" t="str">
        <f t="shared" si="50"/>
        <v>Thermostat - Reprogram_Boiler (P)_MF_Electric Heating Savings</v>
      </c>
      <c r="B1843" s="303" t="s">
        <v>1055</v>
      </c>
      <c r="C1843" s="304" t="s">
        <v>1046</v>
      </c>
      <c r="D1843" s="303" t="s">
        <v>553</v>
      </c>
      <c r="E1843" s="385" t="s">
        <v>281</v>
      </c>
      <c r="F1843" s="309"/>
      <c r="G1843" s="306">
        <f>G1833*G1835*G1840*G1837*G1838</f>
        <v>0</v>
      </c>
      <c r="H1843" s="305"/>
      <c r="I1843" s="305" t="s">
        <v>152</v>
      </c>
      <c r="J1843" s="305" t="s">
        <v>100</v>
      </c>
      <c r="K1843" s="305" t="s">
        <v>2004</v>
      </c>
    </row>
    <row r="1844" spans="1:11" x14ac:dyDescent="0.25">
      <c r="A1844" s="302" t="str">
        <f t="shared" si="50"/>
        <v>Thermostat - Reprogram_Boiler (P)_MF_Gas Heating Savings</v>
      </c>
      <c r="B1844" s="303" t="s">
        <v>1055</v>
      </c>
      <c r="C1844" s="304" t="s">
        <v>1046</v>
      </c>
      <c r="D1844" s="303" t="s">
        <v>553</v>
      </c>
      <c r="E1844" s="385" t="s">
        <v>324</v>
      </c>
      <c r="F1844" s="309"/>
      <c r="G1844" s="306">
        <f>G1834*G1836*G1840*G1837*G1838*G1841</f>
        <v>33.558616000000008</v>
      </c>
      <c r="H1844" s="305"/>
      <c r="I1844" s="305" t="s">
        <v>152</v>
      </c>
      <c r="J1844" s="305" t="s">
        <v>100</v>
      </c>
      <c r="K1844" s="305" t="s">
        <v>2004</v>
      </c>
    </row>
    <row r="1845" spans="1:11" x14ac:dyDescent="0.25">
      <c r="A1845" s="302" t="str">
        <f t="shared" si="50"/>
        <v>Thermostat - Reprogram_Boiler (P)_MF_kWh Saved per Unit</v>
      </c>
      <c r="B1845" s="303" t="s">
        <v>1055</v>
      </c>
      <c r="C1845" s="304" t="s">
        <v>1046</v>
      </c>
      <c r="D1845" s="303" t="s">
        <v>553</v>
      </c>
      <c r="E1845" s="314" t="s">
        <v>255</v>
      </c>
      <c r="F1845" s="326"/>
      <c r="G1845" s="315">
        <f>G1842+G1843</f>
        <v>30.874597892320004</v>
      </c>
      <c r="H1845" s="305"/>
      <c r="I1845" s="305" t="s">
        <v>152</v>
      </c>
      <c r="J1845" s="305" t="s">
        <v>100</v>
      </c>
      <c r="K1845" s="305" t="s">
        <v>2004</v>
      </c>
    </row>
    <row r="1846" spans="1:11" x14ac:dyDescent="0.25">
      <c r="A1846" s="302" t="str">
        <f t="shared" si="50"/>
        <v>Thermostat - Reprogram_Boiler (P)_MF_kW Saved per Unit</v>
      </c>
      <c r="B1846" s="303" t="s">
        <v>1055</v>
      </c>
      <c r="C1846" s="304" t="s">
        <v>1046</v>
      </c>
      <c r="D1846" s="303" t="s">
        <v>553</v>
      </c>
      <c r="E1846" s="314" t="s">
        <v>580</v>
      </c>
      <c r="F1846" s="326" t="s">
        <v>571</v>
      </c>
      <c r="G1846" s="315">
        <v>0</v>
      </c>
      <c r="H1846" s="305"/>
      <c r="I1846" s="305" t="s">
        <v>152</v>
      </c>
      <c r="J1846" s="305" t="s">
        <v>100</v>
      </c>
      <c r="K1846" s="305" t="s">
        <v>2004</v>
      </c>
    </row>
    <row r="1847" spans="1:11" x14ac:dyDescent="0.25">
      <c r="A1847" s="302" t="str">
        <f t="shared" si="50"/>
        <v>Thermostat - Reprogram_Boiler (P)_MF_Therm Saved per Unit</v>
      </c>
      <c r="B1847" s="303" t="s">
        <v>1055</v>
      </c>
      <c r="C1847" s="304" t="s">
        <v>1046</v>
      </c>
      <c r="D1847" s="303" t="s">
        <v>553</v>
      </c>
      <c r="E1847" s="314" t="s">
        <v>326</v>
      </c>
      <c r="F1847" s="326"/>
      <c r="G1847" s="315">
        <f>G1844</f>
        <v>33.558616000000008</v>
      </c>
      <c r="H1847" s="305"/>
      <c r="I1847" s="305" t="s">
        <v>152</v>
      </c>
      <c r="J1847" s="305" t="s">
        <v>100</v>
      </c>
      <c r="K1847" s="305" t="s">
        <v>2004</v>
      </c>
    </row>
    <row r="1848" spans="1:11" x14ac:dyDescent="0.25">
      <c r="A1848" s="302" t="str">
        <f t="shared" si="50"/>
        <v>Thermostat - Reprogram_Boiler (P)_MF_Lifetime (years)</v>
      </c>
      <c r="B1848" s="303" t="s">
        <v>1055</v>
      </c>
      <c r="C1848" s="304" t="s">
        <v>1046</v>
      </c>
      <c r="D1848" s="303" t="s">
        <v>553</v>
      </c>
      <c r="E1848" s="314" t="s">
        <v>259</v>
      </c>
      <c r="F1848" s="314" t="s">
        <v>548</v>
      </c>
      <c r="G1848" s="315">
        <v>2</v>
      </c>
      <c r="H1848" s="305"/>
      <c r="I1848" s="305" t="s">
        <v>152</v>
      </c>
      <c r="J1848" s="305" t="s">
        <v>100</v>
      </c>
      <c r="K1848" s="305" t="s">
        <v>2004</v>
      </c>
    </row>
    <row r="1849" spans="1:11" x14ac:dyDescent="0.25">
      <c r="A1849" s="302" t="str">
        <f t="shared" si="50"/>
        <v>Thermostat - Reprogram_Boiler (P)_MF_Incremental Cost</v>
      </c>
      <c r="B1849" s="303" t="s">
        <v>1055</v>
      </c>
      <c r="C1849" s="304" t="s">
        <v>1046</v>
      </c>
      <c r="D1849" s="303" t="s">
        <v>553</v>
      </c>
      <c r="E1849" s="314" t="s">
        <v>260</v>
      </c>
      <c r="F1849" s="314" t="s">
        <v>549</v>
      </c>
      <c r="G1849" s="328">
        <v>10</v>
      </c>
      <c r="H1849" s="305"/>
      <c r="I1849" s="305" t="s">
        <v>152</v>
      </c>
      <c r="J1849" s="305" t="s">
        <v>100</v>
      </c>
      <c r="K1849" s="305" t="s">
        <v>2004</v>
      </c>
    </row>
    <row r="1850" spans="1:11" s="324" customFormat="1" x14ac:dyDescent="0.25">
      <c r="A1850" s="317" t="str">
        <f t="shared" si="50"/>
        <v>Thermostat - Reprogram_Boiler (P)_MF_</v>
      </c>
      <c r="B1850" s="317" t="str">
        <f>B1849</f>
        <v>Thermostat - Reprogram</v>
      </c>
      <c r="C1850" s="317" t="str">
        <f>C1849</f>
        <v>Boiler (P)</v>
      </c>
      <c r="D1850" s="317" t="str">
        <f>D1849</f>
        <v>MF</v>
      </c>
      <c r="E1850" s="317"/>
      <c r="F1850" s="317"/>
      <c r="G1850" s="323"/>
      <c r="H1850" s="320"/>
      <c r="I1850" s="320"/>
      <c r="J1850" s="317"/>
      <c r="K1850" s="317"/>
    </row>
    <row r="1851" spans="1:11" x14ac:dyDescent="0.25">
      <c r="A1851" s="302" t="str">
        <f t="shared" si="50"/>
        <v>Thermostat - Reprogram_Furnace (P)_MF_CF</v>
      </c>
      <c r="B1851" s="303" t="s">
        <v>1055</v>
      </c>
      <c r="C1851" s="304" t="s">
        <v>1042</v>
      </c>
      <c r="D1851" s="303" t="s">
        <v>553</v>
      </c>
      <c r="E1851" s="385" t="s">
        <v>253</v>
      </c>
      <c r="F1851" s="309"/>
      <c r="G1851" s="306">
        <v>0.68</v>
      </c>
      <c r="H1851" s="305" t="s">
        <v>323</v>
      </c>
      <c r="I1851" s="305" t="s">
        <v>152</v>
      </c>
      <c r="J1851" s="305" t="s">
        <v>100</v>
      </c>
      <c r="K1851" s="305" t="s">
        <v>2004</v>
      </c>
    </row>
    <row r="1852" spans="1:11" x14ac:dyDescent="0.25">
      <c r="A1852" s="302" t="str">
        <f t="shared" si="50"/>
        <v>Thermostat - Reprogram_Furnace (P)_MF_% Electric Heating</v>
      </c>
      <c r="B1852" s="303" t="s">
        <v>1055</v>
      </c>
      <c r="C1852" s="304" t="s">
        <v>1042</v>
      </c>
      <c r="D1852" s="303" t="s">
        <v>553</v>
      </c>
      <c r="E1852" s="305" t="s">
        <v>268</v>
      </c>
      <c r="F1852" s="309" t="s">
        <v>539</v>
      </c>
      <c r="G1852" s="306">
        <v>0</v>
      </c>
      <c r="H1852" s="305" t="s">
        <v>1056</v>
      </c>
      <c r="I1852" s="305" t="s">
        <v>152</v>
      </c>
      <c r="J1852" s="305" t="s">
        <v>100</v>
      </c>
      <c r="K1852" s="305" t="s">
        <v>2004</v>
      </c>
    </row>
    <row r="1853" spans="1:11" x14ac:dyDescent="0.25">
      <c r="A1853" s="302" t="str">
        <f t="shared" si="50"/>
        <v>Thermostat - Reprogram_Furnace (P)_MF_% Gas Heating</v>
      </c>
      <c r="B1853" s="303" t="s">
        <v>1055</v>
      </c>
      <c r="C1853" s="304" t="s">
        <v>1042</v>
      </c>
      <c r="D1853" s="303" t="s">
        <v>553</v>
      </c>
      <c r="E1853" s="305" t="s">
        <v>269</v>
      </c>
      <c r="F1853" s="309" t="s">
        <v>539</v>
      </c>
      <c r="G1853" s="306">
        <v>1</v>
      </c>
      <c r="H1853" s="305" t="s">
        <v>1056</v>
      </c>
      <c r="I1853" s="305" t="s">
        <v>152</v>
      </c>
      <c r="J1853" s="305" t="s">
        <v>100</v>
      </c>
      <c r="K1853" s="305" t="s">
        <v>2004</v>
      </c>
    </row>
    <row r="1854" spans="1:11" x14ac:dyDescent="0.25">
      <c r="A1854" s="302" t="str">
        <f t="shared" si="50"/>
        <v>Thermostat - Reprogram_Furnace (P)_MF_Electric Heating Consumption</v>
      </c>
      <c r="B1854" s="303" t="s">
        <v>1055</v>
      </c>
      <c r="C1854" s="304" t="s">
        <v>1042</v>
      </c>
      <c r="D1854" s="303" t="s">
        <v>553</v>
      </c>
      <c r="E1854" s="305" t="s">
        <v>273</v>
      </c>
      <c r="F1854" s="309"/>
      <c r="G1854" s="306">
        <v>12222</v>
      </c>
      <c r="H1854" s="305" t="s">
        <v>1040</v>
      </c>
      <c r="I1854" s="305" t="s">
        <v>152</v>
      </c>
      <c r="J1854" s="305" t="s">
        <v>100</v>
      </c>
      <c r="K1854" s="305" t="s">
        <v>2004</v>
      </c>
    </row>
    <row r="1855" spans="1:11" x14ac:dyDescent="0.25">
      <c r="A1855" s="302" t="str">
        <f t="shared" si="50"/>
        <v>Thermostat - Reprogram_Furnace (P)_MF_Gas Heating Consumption</v>
      </c>
      <c r="B1855" s="303" t="s">
        <v>1055</v>
      </c>
      <c r="C1855" s="304" t="s">
        <v>1042</v>
      </c>
      <c r="D1855" s="303" t="s">
        <v>553</v>
      </c>
      <c r="E1855" s="385" t="s">
        <v>275</v>
      </c>
      <c r="F1855" s="309"/>
      <c r="G1855" s="306">
        <v>1005</v>
      </c>
      <c r="H1855" s="305" t="s">
        <v>636</v>
      </c>
      <c r="I1855" s="305" t="s">
        <v>152</v>
      </c>
      <c r="J1855" s="305" t="s">
        <v>100</v>
      </c>
      <c r="K1855" s="305" t="s">
        <v>2004</v>
      </c>
    </row>
    <row r="1856" spans="1:11" x14ac:dyDescent="0.25">
      <c r="A1856" s="302" t="str">
        <f t="shared" si="50"/>
        <v>Thermostat - Reprogram_Furnace (P)_MF_Household Factor</v>
      </c>
      <c r="B1856" s="303" t="s">
        <v>1055</v>
      </c>
      <c r="C1856" s="304" t="s">
        <v>1042</v>
      </c>
      <c r="D1856" s="303" t="s">
        <v>553</v>
      </c>
      <c r="E1856" s="385" t="s">
        <v>276</v>
      </c>
      <c r="F1856" s="309" t="s">
        <v>539</v>
      </c>
      <c r="G1856" s="306">
        <v>0.65</v>
      </c>
      <c r="H1856" s="305" t="s">
        <v>1044</v>
      </c>
      <c r="I1856" s="305" t="s">
        <v>152</v>
      </c>
      <c r="J1856" s="305" t="s">
        <v>100</v>
      </c>
      <c r="K1856" s="305" t="s">
        <v>2004</v>
      </c>
    </row>
    <row r="1857" spans="1:11" x14ac:dyDescent="0.25">
      <c r="A1857" s="302" t="str">
        <f t="shared" si="50"/>
        <v>Thermostat - Reprogram_Furnace (P)_MF_ISR</v>
      </c>
      <c r="B1857" s="303" t="s">
        <v>1055</v>
      </c>
      <c r="C1857" s="304" t="s">
        <v>1042</v>
      </c>
      <c r="D1857" s="303" t="s">
        <v>553</v>
      </c>
      <c r="E1857" s="385" t="s">
        <v>267</v>
      </c>
      <c r="F1857" s="309" t="s">
        <v>539</v>
      </c>
      <c r="G1857" s="306">
        <v>0.56000000000000005</v>
      </c>
      <c r="H1857" s="305" t="s">
        <v>1043</v>
      </c>
      <c r="I1857" s="305" t="s">
        <v>152</v>
      </c>
      <c r="J1857" s="305" t="s">
        <v>100</v>
      </c>
      <c r="K1857" s="305" t="s">
        <v>2004</v>
      </c>
    </row>
    <row r="1858" spans="1:11" x14ac:dyDescent="0.25">
      <c r="A1858" s="302" t="str">
        <f t="shared" si="50"/>
        <v>Thermostat - Reprogram_Furnace (P)_MF_Furnace Fan Energy Consumption %</v>
      </c>
      <c r="B1858" s="303" t="s">
        <v>1055</v>
      </c>
      <c r="C1858" s="304" t="s">
        <v>1042</v>
      </c>
      <c r="D1858" s="303" t="s">
        <v>553</v>
      </c>
      <c r="E1858" s="385" t="s">
        <v>277</v>
      </c>
      <c r="F1858" s="309" t="s">
        <v>539</v>
      </c>
      <c r="G1858" s="306">
        <v>3.1399999999999997E-2</v>
      </c>
      <c r="H1858" s="305" t="s">
        <v>278</v>
      </c>
      <c r="I1858" s="305" t="s">
        <v>152</v>
      </c>
      <c r="J1858" s="305" t="s">
        <v>100</v>
      </c>
      <c r="K1858" s="305" t="s">
        <v>2004</v>
      </c>
    </row>
    <row r="1859" spans="1:11" x14ac:dyDescent="0.25">
      <c r="A1859" s="302" t="str">
        <f t="shared" si="50"/>
        <v>Thermostat - Reprogram_Furnace (P)_MF_Heating Energy Reduction</v>
      </c>
      <c r="B1859" s="303" t="s">
        <v>1055</v>
      </c>
      <c r="C1859" s="304" t="s">
        <v>1042</v>
      </c>
      <c r="D1859" s="303" t="s">
        <v>553</v>
      </c>
      <c r="E1859" s="385" t="s">
        <v>279</v>
      </c>
      <c r="F1859" s="309" t="s">
        <v>539</v>
      </c>
      <c r="G1859" s="306">
        <v>6.2E-2</v>
      </c>
      <c r="H1859" s="305"/>
      <c r="I1859" s="305" t="s">
        <v>152</v>
      </c>
      <c r="J1859" s="305" t="s">
        <v>100</v>
      </c>
      <c r="K1859" s="305" t="s">
        <v>2004</v>
      </c>
    </row>
    <row r="1860" spans="1:11" x14ac:dyDescent="0.25">
      <c r="A1860" s="302" t="str">
        <f t="shared" ref="A1860" si="52">B1860&amp;"_"&amp;C1860&amp;"_"&amp;D1860&amp;"_"&amp;E1860</f>
        <v>Thermostat - Reprogram_Furnace (P)_MF_%FossilHeat</v>
      </c>
      <c r="B1860" s="303" t="s">
        <v>1055</v>
      </c>
      <c r="C1860" s="304" t="s">
        <v>1042</v>
      </c>
      <c r="D1860" s="303" t="s">
        <v>553</v>
      </c>
      <c r="E1860" s="311" t="s">
        <v>1938</v>
      </c>
      <c r="F1860" s="334" t="s">
        <v>539</v>
      </c>
      <c r="G1860" s="322">
        <v>1</v>
      </c>
      <c r="H1860" s="311" t="s">
        <v>1939</v>
      </c>
      <c r="I1860" s="305" t="s">
        <v>152</v>
      </c>
      <c r="J1860" s="305" t="s">
        <v>100</v>
      </c>
      <c r="K1860" s="305" t="s">
        <v>2004</v>
      </c>
    </row>
    <row r="1861" spans="1:11" x14ac:dyDescent="0.25">
      <c r="A1861" s="302" t="str">
        <f t="shared" si="50"/>
        <v>Thermostat - Reprogram_Furnace (P)_MF_Electric Fan Savings</v>
      </c>
      <c r="B1861" s="303" t="s">
        <v>1055</v>
      </c>
      <c r="C1861" s="304" t="s">
        <v>1042</v>
      </c>
      <c r="D1861" s="303" t="s">
        <v>553</v>
      </c>
      <c r="E1861" s="385" t="s">
        <v>280</v>
      </c>
      <c r="F1861" s="309"/>
      <c r="G1861" s="306">
        <f>G1863*G1858*29.3</f>
        <v>20.866826416800002</v>
      </c>
      <c r="H1861" s="305"/>
      <c r="I1861" s="305" t="s">
        <v>152</v>
      </c>
      <c r="J1861" s="305" t="s">
        <v>100</v>
      </c>
      <c r="K1861" s="305" t="s">
        <v>2004</v>
      </c>
    </row>
    <row r="1862" spans="1:11" x14ac:dyDescent="0.25">
      <c r="A1862" s="302" t="str">
        <f t="shared" si="50"/>
        <v>Thermostat - Reprogram_Furnace (P)_MF_Electric Heating Savings</v>
      </c>
      <c r="B1862" s="303" t="s">
        <v>1055</v>
      </c>
      <c r="C1862" s="304" t="s">
        <v>1042</v>
      </c>
      <c r="D1862" s="303" t="s">
        <v>553</v>
      </c>
      <c r="E1862" s="385" t="s">
        <v>281</v>
      </c>
      <c r="F1862" s="309"/>
      <c r="G1862" s="306">
        <f>G1852*G1854*G1859*G1856*G1857</f>
        <v>0</v>
      </c>
      <c r="H1862" s="305"/>
      <c r="I1862" s="305" t="s">
        <v>152</v>
      </c>
      <c r="J1862" s="305" t="s">
        <v>100</v>
      </c>
      <c r="K1862" s="305" t="s">
        <v>2004</v>
      </c>
    </row>
    <row r="1863" spans="1:11" x14ac:dyDescent="0.25">
      <c r="A1863" s="302" t="str">
        <f t="shared" ref="A1863:A1926" si="53">B1863&amp;"_"&amp;C1863&amp;"_"&amp;D1863&amp;"_"&amp;E1863</f>
        <v>Thermostat - Reprogram_Furnace (P)_MF_Gas Heating Savings</v>
      </c>
      <c r="B1863" s="303" t="s">
        <v>1055</v>
      </c>
      <c r="C1863" s="304" t="s">
        <v>1042</v>
      </c>
      <c r="D1863" s="303" t="s">
        <v>553</v>
      </c>
      <c r="E1863" s="385" t="s">
        <v>324</v>
      </c>
      <c r="F1863" s="309"/>
      <c r="G1863" s="306">
        <f>G1853*G1855*G1859*G1856*G1857*G1860</f>
        <v>22.680840000000003</v>
      </c>
      <c r="H1863" s="305"/>
      <c r="I1863" s="305" t="s">
        <v>152</v>
      </c>
      <c r="J1863" s="305" t="s">
        <v>100</v>
      </c>
      <c r="K1863" s="305" t="s">
        <v>2004</v>
      </c>
    </row>
    <row r="1864" spans="1:11" x14ac:dyDescent="0.25">
      <c r="A1864" s="302" t="str">
        <f t="shared" si="53"/>
        <v>Thermostat - Reprogram_Furnace (P)_MF_kWh Saved per Unit</v>
      </c>
      <c r="B1864" s="303" t="s">
        <v>1055</v>
      </c>
      <c r="C1864" s="304" t="s">
        <v>1042</v>
      </c>
      <c r="D1864" s="303" t="s">
        <v>553</v>
      </c>
      <c r="E1864" s="314" t="s">
        <v>255</v>
      </c>
      <c r="F1864" s="326"/>
      <c r="G1864" s="315">
        <f>G1861+G1862</f>
        <v>20.866826416800002</v>
      </c>
      <c r="H1864" s="305"/>
      <c r="I1864" s="305" t="s">
        <v>152</v>
      </c>
      <c r="J1864" s="305" t="s">
        <v>100</v>
      </c>
      <c r="K1864" s="305" t="s">
        <v>2004</v>
      </c>
    </row>
    <row r="1865" spans="1:11" x14ac:dyDescent="0.25">
      <c r="A1865" s="302" t="str">
        <f t="shared" si="53"/>
        <v>Thermostat - Reprogram_Furnace (P)_MF_kW Saved per Unit</v>
      </c>
      <c r="B1865" s="303" t="s">
        <v>1055</v>
      </c>
      <c r="C1865" s="304" t="s">
        <v>1042</v>
      </c>
      <c r="D1865" s="303" t="s">
        <v>553</v>
      </c>
      <c r="E1865" s="314" t="s">
        <v>580</v>
      </c>
      <c r="F1865" s="326" t="s">
        <v>571</v>
      </c>
      <c r="G1865" s="315">
        <v>0</v>
      </c>
      <c r="H1865" s="305"/>
      <c r="I1865" s="305" t="s">
        <v>152</v>
      </c>
      <c r="J1865" s="305" t="s">
        <v>100</v>
      </c>
      <c r="K1865" s="305" t="s">
        <v>2004</v>
      </c>
    </row>
    <row r="1866" spans="1:11" x14ac:dyDescent="0.25">
      <c r="A1866" s="302" t="str">
        <f t="shared" si="53"/>
        <v>Thermostat - Reprogram_Furnace (P)_MF_Therm Saved per Unit</v>
      </c>
      <c r="B1866" s="303" t="s">
        <v>1055</v>
      </c>
      <c r="C1866" s="304" t="s">
        <v>1042</v>
      </c>
      <c r="D1866" s="303" t="s">
        <v>553</v>
      </c>
      <c r="E1866" s="314" t="s">
        <v>326</v>
      </c>
      <c r="F1866" s="326"/>
      <c r="G1866" s="315">
        <f>G1863</f>
        <v>22.680840000000003</v>
      </c>
      <c r="H1866" s="305"/>
      <c r="I1866" s="305" t="s">
        <v>152</v>
      </c>
      <c r="J1866" s="305" t="s">
        <v>100</v>
      </c>
      <c r="K1866" s="305" t="s">
        <v>2004</v>
      </c>
    </row>
    <row r="1867" spans="1:11" x14ac:dyDescent="0.25">
      <c r="A1867" s="302" t="str">
        <f t="shared" si="53"/>
        <v>Thermostat - Reprogram_Furnace (P)_MF_Lifetime (years)</v>
      </c>
      <c r="B1867" s="303" t="s">
        <v>1055</v>
      </c>
      <c r="C1867" s="304" t="s">
        <v>1042</v>
      </c>
      <c r="D1867" s="303" t="s">
        <v>553</v>
      </c>
      <c r="E1867" s="314" t="s">
        <v>259</v>
      </c>
      <c r="F1867" s="314" t="s">
        <v>548</v>
      </c>
      <c r="G1867" s="315">
        <v>2</v>
      </c>
      <c r="H1867" s="305"/>
      <c r="I1867" s="305" t="s">
        <v>152</v>
      </c>
      <c r="J1867" s="305" t="s">
        <v>100</v>
      </c>
      <c r="K1867" s="305" t="s">
        <v>2004</v>
      </c>
    </row>
    <row r="1868" spans="1:11" x14ac:dyDescent="0.25">
      <c r="A1868" s="302" t="str">
        <f t="shared" si="53"/>
        <v>Thermostat - Reprogram_Furnace (P)_MF_Incremental Cost</v>
      </c>
      <c r="B1868" s="303" t="s">
        <v>1055</v>
      </c>
      <c r="C1868" s="304" t="s">
        <v>1042</v>
      </c>
      <c r="D1868" s="303" t="s">
        <v>553</v>
      </c>
      <c r="E1868" s="314" t="s">
        <v>260</v>
      </c>
      <c r="F1868" s="314" t="s">
        <v>549</v>
      </c>
      <c r="G1868" s="328">
        <v>10</v>
      </c>
      <c r="H1868" s="305"/>
      <c r="I1868" s="305" t="s">
        <v>152</v>
      </c>
      <c r="J1868" s="305" t="s">
        <v>100</v>
      </c>
      <c r="K1868" s="305" t="s">
        <v>2004</v>
      </c>
    </row>
    <row r="1869" spans="1:11" s="324" customFormat="1" x14ac:dyDescent="0.25">
      <c r="A1869" s="317" t="str">
        <f t="shared" si="53"/>
        <v>Thermostat - Reprogram_Furnace (P)_MF_</v>
      </c>
      <c r="B1869" s="317" t="str">
        <f>B1868</f>
        <v>Thermostat - Reprogram</v>
      </c>
      <c r="C1869" s="317" t="str">
        <f>C1868</f>
        <v>Furnace (P)</v>
      </c>
      <c r="D1869" s="317" t="str">
        <f>D1868</f>
        <v>MF</v>
      </c>
      <c r="E1869" s="317"/>
      <c r="F1869" s="317"/>
      <c r="G1869" s="323"/>
      <c r="H1869" s="320"/>
      <c r="I1869" s="320"/>
      <c r="J1869" s="317"/>
      <c r="K1869" s="317"/>
    </row>
    <row r="1870" spans="1:11" x14ac:dyDescent="0.25">
      <c r="A1870" s="302" t="str">
        <f t="shared" si="53"/>
        <v>Boiler_≥88% AFUE, &lt;300MBh_SF_EFLH</v>
      </c>
      <c r="B1870" s="303" t="s">
        <v>944</v>
      </c>
      <c r="C1870" s="303" t="s">
        <v>945</v>
      </c>
      <c r="D1870" s="303" t="s">
        <v>409</v>
      </c>
      <c r="E1870" s="305" t="s">
        <v>321</v>
      </c>
      <c r="F1870" s="305" t="s">
        <v>283</v>
      </c>
      <c r="G1870" s="325">
        <v>976</v>
      </c>
      <c r="H1870" s="305" t="s">
        <v>636</v>
      </c>
      <c r="I1870" s="305" t="s">
        <v>152</v>
      </c>
      <c r="J1870" s="305" t="s">
        <v>110</v>
      </c>
      <c r="K1870" s="305" t="s">
        <v>2372</v>
      </c>
    </row>
    <row r="1871" spans="1:11" x14ac:dyDescent="0.25">
      <c r="A1871" s="302" t="str">
        <f t="shared" si="53"/>
        <v>Boiler_≥88% AFUE, &lt;300MBh_SF_Boiler Output Capacity</v>
      </c>
      <c r="B1871" s="303" t="s">
        <v>944</v>
      </c>
      <c r="C1871" s="303" t="s">
        <v>945</v>
      </c>
      <c r="D1871" s="303" t="s">
        <v>409</v>
      </c>
      <c r="E1871" s="385" t="s">
        <v>322</v>
      </c>
      <c r="F1871" s="305" t="s">
        <v>1058</v>
      </c>
      <c r="G1871" s="354">
        <v>119666.66666666667</v>
      </c>
      <c r="H1871" s="305" t="s">
        <v>1059</v>
      </c>
      <c r="I1871" s="305" t="s">
        <v>633</v>
      </c>
      <c r="J1871" s="305"/>
      <c r="K1871" s="305"/>
    </row>
    <row r="1872" spans="1:11" x14ac:dyDescent="0.25">
      <c r="A1872" s="302" t="str">
        <f t="shared" si="53"/>
        <v>Boiler_≥88% AFUE, &lt;300MBh_SF_AFUE_base</v>
      </c>
      <c r="B1872" s="303" t="s">
        <v>944</v>
      </c>
      <c r="C1872" s="303" t="s">
        <v>945</v>
      </c>
      <c r="D1872" s="303" t="s">
        <v>409</v>
      </c>
      <c r="E1872" s="305" t="s">
        <v>986</v>
      </c>
      <c r="F1872" s="305" t="s">
        <v>539</v>
      </c>
      <c r="G1872" s="308">
        <v>0.84</v>
      </c>
      <c r="H1872" s="305"/>
      <c r="I1872" s="305" t="s">
        <v>152</v>
      </c>
      <c r="J1872" s="305" t="s">
        <v>110</v>
      </c>
      <c r="K1872" s="305" t="s">
        <v>2372</v>
      </c>
    </row>
    <row r="1873" spans="1:11" x14ac:dyDescent="0.25">
      <c r="A1873" s="302" t="str">
        <f t="shared" si="53"/>
        <v>Boiler_≥88% AFUE, &lt;300MBh_SF_AFUE_ee</v>
      </c>
      <c r="B1873" s="303" t="s">
        <v>944</v>
      </c>
      <c r="C1873" s="303" t="s">
        <v>945</v>
      </c>
      <c r="D1873" s="303" t="s">
        <v>409</v>
      </c>
      <c r="E1873" s="305" t="s">
        <v>985</v>
      </c>
      <c r="F1873" s="305" t="s">
        <v>539</v>
      </c>
      <c r="G1873" s="373">
        <v>0.94599999999999995</v>
      </c>
      <c r="H1873" s="305" t="s">
        <v>633</v>
      </c>
      <c r="I1873" s="305" t="s">
        <v>633</v>
      </c>
      <c r="J1873" s="305"/>
      <c r="K1873" s="305"/>
    </row>
    <row r="1874" spans="1:11" x14ac:dyDescent="0.25">
      <c r="A1874" s="302" t="str">
        <f t="shared" si="53"/>
        <v>Boiler_≥88% AFUE, &lt;300MBh_SF_Therm Saved per Unit</v>
      </c>
      <c r="B1874" s="303" t="s">
        <v>944</v>
      </c>
      <c r="C1874" s="303" t="s">
        <v>945</v>
      </c>
      <c r="D1874" s="303" t="s">
        <v>409</v>
      </c>
      <c r="E1874" s="314" t="s">
        <v>326</v>
      </c>
      <c r="F1874" s="314" t="s">
        <v>564</v>
      </c>
      <c r="G1874" s="315">
        <f>G1870*G1871*(G1873/G1872-1)/100000</f>
        <v>147.38374603174603</v>
      </c>
      <c r="H1874" s="305" t="s">
        <v>987</v>
      </c>
      <c r="I1874" s="305" t="s">
        <v>152</v>
      </c>
      <c r="J1874" s="305" t="s">
        <v>110</v>
      </c>
      <c r="K1874" s="305" t="s">
        <v>2372</v>
      </c>
    </row>
    <row r="1875" spans="1:11" x14ac:dyDescent="0.25">
      <c r="A1875" s="302" t="str">
        <f t="shared" si="53"/>
        <v>Boiler_≥88% AFUE, &lt;300MBh_SF_Lifetime (years)</v>
      </c>
      <c r="B1875" s="303" t="s">
        <v>944</v>
      </c>
      <c r="C1875" s="303" t="s">
        <v>945</v>
      </c>
      <c r="D1875" s="303" t="s">
        <v>409</v>
      </c>
      <c r="E1875" s="314" t="s">
        <v>259</v>
      </c>
      <c r="F1875" s="314" t="s">
        <v>548</v>
      </c>
      <c r="G1875" s="315">
        <v>25</v>
      </c>
      <c r="H1875" s="305"/>
      <c r="I1875" s="305" t="s">
        <v>152</v>
      </c>
      <c r="J1875" s="305" t="s">
        <v>110</v>
      </c>
      <c r="K1875" s="305" t="s">
        <v>2372</v>
      </c>
    </row>
    <row r="1876" spans="1:11" x14ac:dyDescent="0.25">
      <c r="A1876" s="302" t="str">
        <f t="shared" si="53"/>
        <v>Boiler_≥88% AFUE, &lt;300MBh_SF_Incremental Cost</v>
      </c>
      <c r="B1876" s="303" t="s">
        <v>944</v>
      </c>
      <c r="C1876" s="303" t="s">
        <v>945</v>
      </c>
      <c r="D1876" s="303" t="s">
        <v>409</v>
      </c>
      <c r="E1876" s="314" t="s">
        <v>260</v>
      </c>
      <c r="F1876" s="314" t="s">
        <v>549</v>
      </c>
      <c r="G1876" s="328">
        <f>(1466+5519)*(88/90)</f>
        <v>6829.7777777777774</v>
      </c>
      <c r="H1876" s="305" t="s">
        <v>1060</v>
      </c>
      <c r="I1876" s="305" t="s">
        <v>152</v>
      </c>
      <c r="J1876" s="305" t="s">
        <v>110</v>
      </c>
      <c r="K1876" s="305" t="s">
        <v>2372</v>
      </c>
    </row>
    <row r="1877" spans="1:11" s="324" customFormat="1" x14ac:dyDescent="0.25">
      <c r="A1877" s="317" t="str">
        <f t="shared" si="53"/>
        <v>Boiler_≥88% AFUE, &lt;300MBh_SF_</v>
      </c>
      <c r="B1877" s="317" t="str">
        <f>B1876</f>
        <v>Boiler</v>
      </c>
      <c r="C1877" s="317" t="str">
        <f>C1876</f>
        <v>≥88% AFUE, &lt;300MBh</v>
      </c>
      <c r="D1877" s="317" t="str">
        <f>D1876</f>
        <v>SF</v>
      </c>
      <c r="E1877" s="317"/>
      <c r="F1877" s="317"/>
      <c r="G1877" s="323"/>
      <c r="H1877" s="320"/>
      <c r="I1877" s="320"/>
      <c r="J1877" s="317"/>
      <c r="K1877" s="317"/>
    </row>
    <row r="1878" spans="1:11" x14ac:dyDescent="0.25">
      <c r="A1878" s="302" t="str">
        <f t="shared" si="53"/>
        <v>Steam Boiler_≥82% AFUE, &lt;300MBh_SF_EFLH</v>
      </c>
      <c r="B1878" s="303" t="s">
        <v>938</v>
      </c>
      <c r="C1878" s="303" t="s">
        <v>1061</v>
      </c>
      <c r="D1878" s="303" t="s">
        <v>409</v>
      </c>
      <c r="E1878" s="305" t="s">
        <v>321</v>
      </c>
      <c r="F1878" s="305" t="s">
        <v>283</v>
      </c>
      <c r="G1878" s="325">
        <v>976</v>
      </c>
      <c r="H1878" s="305" t="s">
        <v>636</v>
      </c>
      <c r="I1878" s="305" t="s">
        <v>152</v>
      </c>
      <c r="J1878" s="305" t="s">
        <v>110</v>
      </c>
      <c r="K1878" s="305" t="s">
        <v>2372</v>
      </c>
    </row>
    <row r="1879" spans="1:11" x14ac:dyDescent="0.25">
      <c r="A1879" s="302" t="str">
        <f t="shared" si="53"/>
        <v>Steam Boiler_≥82% AFUE, &lt;300MBh_SF_Boiler Output Capacity</v>
      </c>
      <c r="B1879" s="303" t="s">
        <v>938</v>
      </c>
      <c r="C1879" s="303" t="s">
        <v>1061</v>
      </c>
      <c r="D1879" s="303" t="s">
        <v>409</v>
      </c>
      <c r="E1879" s="385" t="s">
        <v>322</v>
      </c>
      <c r="F1879" s="305" t="s">
        <v>1058</v>
      </c>
      <c r="G1879" s="354">
        <v>119666.66666666667</v>
      </c>
      <c r="H1879" s="305" t="s">
        <v>1059</v>
      </c>
      <c r="I1879" s="305" t="s">
        <v>633</v>
      </c>
      <c r="J1879" s="305"/>
      <c r="K1879" s="305"/>
    </row>
    <row r="1880" spans="1:11" x14ac:dyDescent="0.25">
      <c r="A1880" s="302" t="str">
        <f t="shared" si="53"/>
        <v>Steam Boiler_≥82% AFUE, &lt;300MBh_SF_AFUE_base</v>
      </c>
      <c r="B1880" s="303" t="s">
        <v>938</v>
      </c>
      <c r="C1880" s="303" t="s">
        <v>1061</v>
      </c>
      <c r="D1880" s="303" t="s">
        <v>409</v>
      </c>
      <c r="E1880" s="305" t="s">
        <v>986</v>
      </c>
      <c r="F1880" s="305" t="s">
        <v>539</v>
      </c>
      <c r="G1880" s="308">
        <v>0.82</v>
      </c>
      <c r="H1880" s="305" t="s">
        <v>1062</v>
      </c>
      <c r="I1880" s="305" t="s">
        <v>1063</v>
      </c>
      <c r="J1880" s="305"/>
      <c r="K1880" s="305"/>
    </row>
    <row r="1881" spans="1:11" x14ac:dyDescent="0.25">
      <c r="A1881" s="302" t="str">
        <f t="shared" si="53"/>
        <v>Steam Boiler_≥82% AFUE, &lt;300MBh_SF_AFUE_ee</v>
      </c>
      <c r="B1881" s="303" t="s">
        <v>938</v>
      </c>
      <c r="C1881" s="303" t="s">
        <v>1061</v>
      </c>
      <c r="D1881" s="303" t="s">
        <v>409</v>
      </c>
      <c r="E1881" s="305" t="s">
        <v>985</v>
      </c>
      <c r="F1881" s="305" t="s">
        <v>539</v>
      </c>
      <c r="G1881" s="373">
        <v>0.82499999999999996</v>
      </c>
      <c r="H1881" s="305" t="s">
        <v>633</v>
      </c>
      <c r="I1881" s="305" t="s">
        <v>633</v>
      </c>
      <c r="J1881" s="305"/>
      <c r="K1881" s="305"/>
    </row>
    <row r="1882" spans="1:11" x14ac:dyDescent="0.25">
      <c r="A1882" s="302" t="str">
        <f t="shared" si="53"/>
        <v>Steam Boiler_≥82% AFUE, &lt;300MBh_SF_Therm Saved per Unit</v>
      </c>
      <c r="B1882" s="303" t="s">
        <v>938</v>
      </c>
      <c r="C1882" s="303" t="s">
        <v>1061</v>
      </c>
      <c r="D1882" s="303" t="s">
        <v>409</v>
      </c>
      <c r="E1882" s="314" t="s">
        <v>326</v>
      </c>
      <c r="F1882" s="314" t="s">
        <v>564</v>
      </c>
      <c r="G1882" s="315">
        <f>G1878*G1879*(G1881/G1880-1)/100000</f>
        <v>7.1216260162601692</v>
      </c>
      <c r="H1882" s="305" t="s">
        <v>987</v>
      </c>
      <c r="I1882" s="305" t="s">
        <v>152</v>
      </c>
      <c r="J1882" s="305" t="s">
        <v>110</v>
      </c>
      <c r="K1882" s="305" t="s">
        <v>2372</v>
      </c>
    </row>
    <row r="1883" spans="1:11" x14ac:dyDescent="0.25">
      <c r="A1883" s="302" t="str">
        <f t="shared" si="53"/>
        <v>Steam Boiler_≥82% AFUE, &lt;300MBh_SF_Lifetime (years)</v>
      </c>
      <c r="B1883" s="303" t="s">
        <v>938</v>
      </c>
      <c r="C1883" s="303" t="s">
        <v>1061</v>
      </c>
      <c r="D1883" s="303" t="s">
        <v>409</v>
      </c>
      <c r="E1883" s="314" t="s">
        <v>259</v>
      </c>
      <c r="F1883" s="314" t="s">
        <v>548</v>
      </c>
      <c r="G1883" s="315">
        <v>25</v>
      </c>
      <c r="H1883" s="305"/>
      <c r="I1883" s="305" t="s">
        <v>152</v>
      </c>
      <c r="J1883" s="305" t="s">
        <v>110</v>
      </c>
      <c r="K1883" s="305" t="s">
        <v>2372</v>
      </c>
    </row>
    <row r="1884" spans="1:11" x14ac:dyDescent="0.25">
      <c r="A1884" s="302" t="str">
        <f t="shared" si="53"/>
        <v>Steam Boiler_≥82% AFUE, &lt;300MBh_SF_Incremental Cost</v>
      </c>
      <c r="B1884" s="303" t="s">
        <v>938</v>
      </c>
      <c r="C1884" s="303" t="s">
        <v>1061</v>
      </c>
      <c r="D1884" s="303" t="s">
        <v>409</v>
      </c>
      <c r="E1884" s="314" t="s">
        <v>260</v>
      </c>
      <c r="F1884" s="314" t="s">
        <v>549</v>
      </c>
      <c r="G1884" s="328">
        <f>(0+4053)</f>
        <v>4053</v>
      </c>
      <c r="H1884" s="305" t="s">
        <v>1064</v>
      </c>
      <c r="I1884" s="305" t="s">
        <v>152</v>
      </c>
      <c r="J1884" s="305" t="s">
        <v>110</v>
      </c>
      <c r="K1884" s="305" t="s">
        <v>2372</v>
      </c>
    </row>
    <row r="1885" spans="1:11" s="324" customFormat="1" x14ac:dyDescent="0.25">
      <c r="A1885" s="317" t="str">
        <f t="shared" si="53"/>
        <v>Steam Boiler_≥82% AFUE, &lt;300MBh_SF_</v>
      </c>
      <c r="B1885" s="317" t="str">
        <f>B1884</f>
        <v>Steam Boiler</v>
      </c>
      <c r="C1885" s="317" t="str">
        <f>C1884</f>
        <v>≥82% AFUE, &lt;300MBh</v>
      </c>
      <c r="D1885" s="317" t="str">
        <f>D1884</f>
        <v>SF</v>
      </c>
      <c r="E1885" s="317"/>
      <c r="F1885" s="317"/>
      <c r="G1885" s="323"/>
      <c r="H1885" s="320"/>
      <c r="I1885" s="320"/>
      <c r="J1885" s="317"/>
      <c r="K1885" s="317"/>
    </row>
    <row r="1886" spans="1:11" x14ac:dyDescent="0.25">
      <c r="A1886" s="302" t="str">
        <f t="shared" si="53"/>
        <v>Water Heater_Central/Indirect MF ≥88% TE_MF_MFHH</v>
      </c>
      <c r="B1886" s="303" t="s">
        <v>8</v>
      </c>
      <c r="C1886" s="304" t="s">
        <v>1066</v>
      </c>
      <c r="D1886" s="303" t="s">
        <v>553</v>
      </c>
      <c r="E1886" s="305" t="s">
        <v>367</v>
      </c>
      <c r="F1886" s="309" t="s">
        <v>1065</v>
      </c>
      <c r="G1886" s="307">
        <v>2.1</v>
      </c>
      <c r="H1886" s="305" t="s">
        <v>274</v>
      </c>
      <c r="I1886" s="305" t="s">
        <v>152</v>
      </c>
      <c r="J1886" s="305" t="s">
        <v>127</v>
      </c>
      <c r="K1886" s="305" t="s">
        <v>2373</v>
      </c>
    </row>
    <row r="1887" spans="1:11" x14ac:dyDescent="0.25">
      <c r="A1887" s="302" t="str">
        <f t="shared" si="53"/>
        <v>Water Heater_Central/Indirect MF ≥88% TE_MF_#Units</v>
      </c>
      <c r="B1887" s="303" t="s">
        <v>8</v>
      </c>
      <c r="C1887" s="304" t="s">
        <v>1066</v>
      </c>
      <c r="D1887" s="303" t="s">
        <v>553</v>
      </c>
      <c r="E1887" s="305" t="s">
        <v>341</v>
      </c>
      <c r="F1887" s="309" t="s">
        <v>1067</v>
      </c>
      <c r="G1887" s="307">
        <v>50</v>
      </c>
      <c r="H1887" s="305" t="s">
        <v>366</v>
      </c>
      <c r="I1887" s="305" t="s">
        <v>152</v>
      </c>
      <c r="J1887" s="305" t="s">
        <v>127</v>
      </c>
      <c r="K1887" s="305" t="s">
        <v>2373</v>
      </c>
    </row>
    <row r="1888" spans="1:11" x14ac:dyDescent="0.25">
      <c r="A1888" s="302" t="str">
        <f t="shared" si="53"/>
        <v>Water Heater_Central/Indirect MF ≥88% TE_MF_GPD</v>
      </c>
      <c r="B1888" s="303" t="s">
        <v>8</v>
      </c>
      <c r="C1888" s="304" t="s">
        <v>1066</v>
      </c>
      <c r="D1888" s="303" t="s">
        <v>553</v>
      </c>
      <c r="E1888" s="305" t="s">
        <v>368</v>
      </c>
      <c r="F1888" s="309" t="s">
        <v>1068</v>
      </c>
      <c r="G1888" s="307">
        <v>17.600000000000001</v>
      </c>
      <c r="H1888" s="305" t="s">
        <v>274</v>
      </c>
      <c r="I1888" s="305" t="s">
        <v>152</v>
      </c>
      <c r="J1888" s="305" t="s">
        <v>127</v>
      </c>
      <c r="K1888" s="305" t="s">
        <v>2373</v>
      </c>
    </row>
    <row r="1889" spans="1:11" x14ac:dyDescent="0.25">
      <c r="A1889" s="302" t="str">
        <f t="shared" si="53"/>
        <v>Water Heater_Central/Indirect MF ≥88% TE_MF_Days per Year</v>
      </c>
      <c r="B1889" s="303" t="s">
        <v>8</v>
      </c>
      <c r="C1889" s="304" t="s">
        <v>1066</v>
      </c>
      <c r="D1889" s="303" t="s">
        <v>553</v>
      </c>
      <c r="E1889" s="305" t="s">
        <v>263</v>
      </c>
      <c r="F1889" s="309" t="s">
        <v>871</v>
      </c>
      <c r="G1889" s="307">
        <v>365.25</v>
      </c>
      <c r="H1889" s="305"/>
      <c r="I1889" s="305" t="s">
        <v>152</v>
      </c>
      <c r="J1889" s="305" t="s">
        <v>127</v>
      </c>
      <c r="K1889" s="305" t="s">
        <v>2373</v>
      </c>
    </row>
    <row r="1890" spans="1:11" x14ac:dyDescent="0.25">
      <c r="A1890" s="302" t="str">
        <f t="shared" si="53"/>
        <v>Water Heater_Central/Indirect MF ≥88% TE_MF_yWater</v>
      </c>
      <c r="B1890" s="303" t="s">
        <v>8</v>
      </c>
      <c r="C1890" s="304" t="s">
        <v>1066</v>
      </c>
      <c r="D1890" s="303" t="s">
        <v>553</v>
      </c>
      <c r="E1890" s="305" t="s">
        <v>369</v>
      </c>
      <c r="F1890" s="309" t="s">
        <v>346</v>
      </c>
      <c r="G1890" s="307">
        <v>8.33</v>
      </c>
      <c r="H1890" s="305"/>
      <c r="I1890" s="305" t="s">
        <v>152</v>
      </c>
      <c r="J1890" s="305" t="s">
        <v>127</v>
      </c>
      <c r="K1890" s="305" t="s">
        <v>2373</v>
      </c>
    </row>
    <row r="1891" spans="1:11" x14ac:dyDescent="0.25">
      <c r="A1891" s="302" t="str">
        <f t="shared" si="53"/>
        <v>Water Heater_Central/Indirect MF ≥88% TE_MF_Tout</v>
      </c>
      <c r="B1891" s="303" t="s">
        <v>8</v>
      </c>
      <c r="C1891" s="304" t="s">
        <v>1066</v>
      </c>
      <c r="D1891" s="303" t="s">
        <v>553</v>
      </c>
      <c r="E1891" s="305" t="s">
        <v>370</v>
      </c>
      <c r="F1891" s="309" t="s">
        <v>542</v>
      </c>
      <c r="G1891" s="307">
        <v>125</v>
      </c>
      <c r="H1891" s="305"/>
      <c r="I1891" s="305" t="s">
        <v>152</v>
      </c>
      <c r="J1891" s="305" t="s">
        <v>127</v>
      </c>
      <c r="K1891" s="305" t="s">
        <v>2373</v>
      </c>
    </row>
    <row r="1892" spans="1:11" x14ac:dyDescent="0.25">
      <c r="A1892" s="302" t="str">
        <f t="shared" si="53"/>
        <v>Water Heater_Central/Indirect MF ≥88% TE_MF_Tin</v>
      </c>
      <c r="B1892" s="303" t="s">
        <v>8</v>
      </c>
      <c r="C1892" s="304" t="s">
        <v>1066</v>
      </c>
      <c r="D1892" s="303" t="s">
        <v>553</v>
      </c>
      <c r="E1892" s="305" t="s">
        <v>371</v>
      </c>
      <c r="F1892" s="309" t="s">
        <v>542</v>
      </c>
      <c r="G1892" s="334">
        <v>50.7</v>
      </c>
      <c r="H1892" s="311" t="s">
        <v>1916</v>
      </c>
      <c r="I1892" s="305" t="s">
        <v>152</v>
      </c>
      <c r="J1892" s="305" t="s">
        <v>127</v>
      </c>
      <c r="K1892" s="305" t="s">
        <v>2373</v>
      </c>
    </row>
    <row r="1893" spans="1:11" x14ac:dyDescent="0.25">
      <c r="A1893" s="302" t="str">
        <f t="shared" si="53"/>
        <v>Water Heater_Central/Indirect MF ≥88% TE_MF_Eff_base</v>
      </c>
      <c r="B1893" s="303" t="s">
        <v>8</v>
      </c>
      <c r="C1893" s="304" t="s">
        <v>1066</v>
      </c>
      <c r="D1893" s="303" t="s">
        <v>553</v>
      </c>
      <c r="E1893" s="305" t="s">
        <v>372</v>
      </c>
      <c r="F1893" s="309" t="s">
        <v>539</v>
      </c>
      <c r="G1893" s="308">
        <v>0.8</v>
      </c>
      <c r="H1893" s="305"/>
      <c r="I1893" s="305" t="s">
        <v>152</v>
      </c>
      <c r="J1893" s="305" t="s">
        <v>127</v>
      </c>
      <c r="K1893" s="305" t="s">
        <v>2373</v>
      </c>
    </row>
    <row r="1894" spans="1:11" x14ac:dyDescent="0.25">
      <c r="A1894" s="302" t="str">
        <f t="shared" si="53"/>
        <v>Water Heater_Central/Indirect MF ≥88% TE_MF_Eff_ee</v>
      </c>
      <c r="B1894" s="303" t="s">
        <v>8</v>
      </c>
      <c r="C1894" s="304" t="s">
        <v>1066</v>
      </c>
      <c r="D1894" s="303" t="s">
        <v>553</v>
      </c>
      <c r="E1894" s="305" t="s">
        <v>373</v>
      </c>
      <c r="F1894" s="309" t="s">
        <v>539</v>
      </c>
      <c r="G1894" s="308">
        <v>0.88</v>
      </c>
      <c r="H1894" s="305" t="s">
        <v>274</v>
      </c>
      <c r="I1894" s="305" t="s">
        <v>152</v>
      </c>
      <c r="J1894" s="305" t="s">
        <v>127</v>
      </c>
      <c r="K1894" s="305" t="s">
        <v>2373</v>
      </c>
    </row>
    <row r="1895" spans="1:11" x14ac:dyDescent="0.25">
      <c r="A1895" s="302" t="str">
        <f t="shared" si="53"/>
        <v>Water Heater_Central/Indirect MF ≥88% TE_MF_Conversion</v>
      </c>
      <c r="B1895" s="303" t="s">
        <v>8</v>
      </c>
      <c r="C1895" s="304" t="s">
        <v>1066</v>
      </c>
      <c r="D1895" s="303" t="s">
        <v>553</v>
      </c>
      <c r="E1895" s="305" t="s">
        <v>284</v>
      </c>
      <c r="F1895" s="309" t="s">
        <v>622</v>
      </c>
      <c r="G1895" s="325">
        <v>100000</v>
      </c>
      <c r="H1895" s="305"/>
      <c r="I1895" s="305" t="s">
        <v>152</v>
      </c>
      <c r="J1895" s="305" t="s">
        <v>127</v>
      </c>
      <c r="K1895" s="305" t="s">
        <v>2373</v>
      </c>
    </row>
    <row r="1896" spans="1:11" x14ac:dyDescent="0.25">
      <c r="A1896" s="302" t="str">
        <f t="shared" si="53"/>
        <v>Water Heater_Central/Indirect MF ≥88% TE_MF_Input Capacity</v>
      </c>
      <c r="B1896" s="303" t="s">
        <v>8</v>
      </c>
      <c r="C1896" s="304" t="s">
        <v>1066</v>
      </c>
      <c r="D1896" s="303" t="s">
        <v>553</v>
      </c>
      <c r="E1896" s="305" t="s">
        <v>1069</v>
      </c>
      <c r="F1896" s="309" t="s">
        <v>1070</v>
      </c>
      <c r="G1896" s="307">
        <v>150000</v>
      </c>
      <c r="H1896" s="305" t="s">
        <v>366</v>
      </c>
      <c r="I1896" s="305" t="s">
        <v>152</v>
      </c>
      <c r="J1896" s="305" t="s">
        <v>127</v>
      </c>
      <c r="K1896" s="305" t="s">
        <v>2373</v>
      </c>
    </row>
    <row r="1897" spans="1:11" x14ac:dyDescent="0.25">
      <c r="A1897" s="302" t="str">
        <f t="shared" si="53"/>
        <v>Water Heater_Central/Indirect MF ≥88% TE_MF_Tank Volume</v>
      </c>
      <c r="B1897" s="303" t="s">
        <v>8</v>
      </c>
      <c r="C1897" s="304" t="s">
        <v>1066</v>
      </c>
      <c r="D1897" s="303" t="s">
        <v>553</v>
      </c>
      <c r="E1897" s="305" t="s">
        <v>1071</v>
      </c>
      <c r="F1897" s="309" t="s">
        <v>1072</v>
      </c>
      <c r="G1897" s="354">
        <v>1000</v>
      </c>
      <c r="H1897" s="305" t="s">
        <v>366</v>
      </c>
      <c r="I1897" s="305" t="s">
        <v>152</v>
      </c>
      <c r="J1897" s="305" t="s">
        <v>127</v>
      </c>
      <c r="K1897" s="305" t="s">
        <v>2373</v>
      </c>
    </row>
    <row r="1898" spans="1:11" x14ac:dyDescent="0.25">
      <c r="A1898" s="302" t="str">
        <f t="shared" si="53"/>
        <v>Water Heater_Central/Indirect MF ≥88% TE_MF_SL</v>
      </c>
      <c r="B1898" s="303" t="s">
        <v>8</v>
      </c>
      <c r="C1898" s="304" t="s">
        <v>1066</v>
      </c>
      <c r="D1898" s="303" t="s">
        <v>553</v>
      </c>
      <c r="E1898" s="305" t="s">
        <v>374</v>
      </c>
      <c r="F1898" s="309"/>
      <c r="G1898" s="307"/>
      <c r="H1898" s="305" t="s">
        <v>1073</v>
      </c>
      <c r="I1898" s="305"/>
      <c r="J1898" s="305"/>
      <c r="K1898" s="305"/>
    </row>
    <row r="1899" spans="1:11" x14ac:dyDescent="0.25">
      <c r="A1899" s="302" t="str">
        <f t="shared" si="53"/>
        <v>Water Heater_Central/Indirect MF ≥88% TE_MF_Hours of Operation</v>
      </c>
      <c r="B1899" s="303" t="s">
        <v>8</v>
      </c>
      <c r="C1899" s="304" t="s">
        <v>1066</v>
      </c>
      <c r="D1899" s="303" t="s">
        <v>553</v>
      </c>
      <c r="E1899" s="305" t="s">
        <v>460</v>
      </c>
      <c r="F1899" s="309" t="s">
        <v>647</v>
      </c>
      <c r="G1899" s="354">
        <v>8766</v>
      </c>
      <c r="H1899" s="305"/>
      <c r="I1899" s="305" t="s">
        <v>152</v>
      </c>
      <c r="J1899" s="305" t="s">
        <v>127</v>
      </c>
      <c r="K1899" s="305" t="s">
        <v>2373</v>
      </c>
    </row>
    <row r="1900" spans="1:11" x14ac:dyDescent="0.25">
      <c r="A1900" s="302" t="str">
        <f t="shared" si="53"/>
        <v>Water Heater_Central/Indirect MF ≥88% TE_MF_Therm Saved per Unit</v>
      </c>
      <c r="B1900" s="303" t="s">
        <v>8</v>
      </c>
      <c r="C1900" s="304" t="s">
        <v>1066</v>
      </c>
      <c r="D1900" s="303" t="s">
        <v>553</v>
      </c>
      <c r="E1900" s="314" t="s">
        <v>326</v>
      </c>
      <c r="F1900" s="326" t="s">
        <v>670</v>
      </c>
      <c r="G1900" s="315">
        <f xml:space="preserve"> ((G1886 * G1887 * G1888 * G1889 * G1890 * (G1891 - G1892) * (1/G1893 - 1/G1894)) / G1895) + (((G1898 * G1899 * (1/G1893 - 1/G1894)) / G1895))</f>
        <v>474.72634597499967</v>
      </c>
      <c r="H1900" s="305"/>
      <c r="I1900" s="305" t="s">
        <v>152</v>
      </c>
      <c r="J1900" s="305" t="s">
        <v>127</v>
      </c>
      <c r="K1900" s="305" t="s">
        <v>2373</v>
      </c>
    </row>
    <row r="1901" spans="1:11" x14ac:dyDescent="0.25">
      <c r="A1901" s="302" t="str">
        <f t="shared" si="53"/>
        <v>Water Heater_Central/Indirect MF ≥88% TE_MF_Lifetime (years)</v>
      </c>
      <c r="B1901" s="303" t="s">
        <v>8</v>
      </c>
      <c r="C1901" s="304" t="s">
        <v>1066</v>
      </c>
      <c r="D1901" s="303" t="s">
        <v>553</v>
      </c>
      <c r="E1901" s="314" t="s">
        <v>259</v>
      </c>
      <c r="F1901" s="326" t="s">
        <v>548</v>
      </c>
      <c r="G1901" s="315">
        <v>15</v>
      </c>
      <c r="H1901" s="305"/>
      <c r="I1901" s="305" t="s">
        <v>152</v>
      </c>
      <c r="J1901" s="305" t="s">
        <v>127</v>
      </c>
      <c r="K1901" s="305" t="s">
        <v>2373</v>
      </c>
    </row>
    <row r="1902" spans="1:11" x14ac:dyDescent="0.25">
      <c r="A1902" s="302" t="str">
        <f t="shared" si="53"/>
        <v>Water Heater_Central/Indirect MF ≥88% TE_MF_Incremental Cost</v>
      </c>
      <c r="B1902" s="303" t="s">
        <v>8</v>
      </c>
      <c r="C1902" s="304" t="s">
        <v>1066</v>
      </c>
      <c r="D1902" s="303" t="s">
        <v>553</v>
      </c>
      <c r="E1902" s="314" t="s">
        <v>260</v>
      </c>
      <c r="F1902" s="327" t="s">
        <v>549</v>
      </c>
      <c r="G1902" s="331">
        <f>38*(G1896/1000)</f>
        <v>5700</v>
      </c>
      <c r="H1902" s="305" t="s">
        <v>1074</v>
      </c>
      <c r="I1902" s="305" t="s">
        <v>152</v>
      </c>
      <c r="J1902" s="305" t="s">
        <v>127</v>
      </c>
      <c r="K1902" s="305" t="s">
        <v>2373</v>
      </c>
    </row>
    <row r="1903" spans="1:11" s="324" customFormat="1" x14ac:dyDescent="0.25">
      <c r="A1903" s="317" t="str">
        <f t="shared" si="53"/>
        <v>Water Heater_Central/Indirect MF ≥88% TE_MF_</v>
      </c>
      <c r="B1903" s="317" t="s">
        <v>8</v>
      </c>
      <c r="C1903" s="332" t="s">
        <v>1066</v>
      </c>
      <c r="D1903" s="317" t="str">
        <f>D1902</f>
        <v>MF</v>
      </c>
      <c r="E1903" s="317"/>
      <c r="F1903" s="317"/>
      <c r="G1903" s="323"/>
      <c r="H1903" s="320"/>
      <c r="I1903" s="320"/>
      <c r="J1903" s="317"/>
      <c r="K1903" s="317"/>
    </row>
    <row r="1904" spans="1:11" x14ac:dyDescent="0.25">
      <c r="A1904" s="302" t="str">
        <f t="shared" si="53"/>
        <v>On Demand DHW Circulation System_0_MF_Btuh_in</v>
      </c>
      <c r="B1904" s="303" t="s">
        <v>1075</v>
      </c>
      <c r="C1904" s="304">
        <v>0</v>
      </c>
      <c r="D1904" s="303" t="s">
        <v>553</v>
      </c>
      <c r="E1904" s="305" t="s">
        <v>335</v>
      </c>
      <c r="F1904" s="309"/>
      <c r="G1904" s="307">
        <v>12493</v>
      </c>
      <c r="H1904" s="305" t="s">
        <v>336</v>
      </c>
      <c r="I1904" s="305" t="s">
        <v>152</v>
      </c>
      <c r="J1904" s="305" t="s">
        <v>233</v>
      </c>
      <c r="K1904" s="305" t="s">
        <v>2374</v>
      </c>
    </row>
    <row r="1905" spans="1:11" x14ac:dyDescent="0.25">
      <c r="A1905" s="302" t="str">
        <f t="shared" si="53"/>
        <v>On Demand DHW Circulation System_0_MF_tnormal_occ</v>
      </c>
      <c r="B1905" s="303" t="s">
        <v>1075</v>
      </c>
      <c r="C1905" s="304">
        <v>0</v>
      </c>
      <c r="D1905" s="303" t="s">
        <v>553</v>
      </c>
      <c r="E1905" s="305" t="s">
        <v>337</v>
      </c>
      <c r="F1905" s="309"/>
      <c r="G1905" s="307">
        <v>2089</v>
      </c>
      <c r="H1905" s="305" t="s">
        <v>336</v>
      </c>
      <c r="I1905" s="305" t="s">
        <v>152</v>
      </c>
      <c r="J1905" s="305" t="s">
        <v>233</v>
      </c>
      <c r="K1905" s="305" t="s">
        <v>2374</v>
      </c>
    </row>
    <row r="1906" spans="1:11" x14ac:dyDescent="0.25">
      <c r="A1906" s="302" t="str">
        <f t="shared" si="53"/>
        <v>On Demand DHW Circulation System_0_MF_Rnormal_occ</v>
      </c>
      <c r="B1906" s="303" t="s">
        <v>1075</v>
      </c>
      <c r="C1906" s="304">
        <v>0</v>
      </c>
      <c r="D1906" s="303" t="s">
        <v>553</v>
      </c>
      <c r="E1906" s="311" t="s">
        <v>338</v>
      </c>
      <c r="F1906" s="334"/>
      <c r="G1906" s="386">
        <v>0.2402</v>
      </c>
      <c r="H1906" s="311" t="s">
        <v>336</v>
      </c>
      <c r="I1906" s="305" t="s">
        <v>152</v>
      </c>
      <c r="J1906" s="305" t="s">
        <v>233</v>
      </c>
      <c r="K1906" s="305" t="s">
        <v>2374</v>
      </c>
    </row>
    <row r="1907" spans="1:11" x14ac:dyDescent="0.25">
      <c r="A1907" s="302" t="str">
        <f t="shared" si="53"/>
        <v>On Demand DHW Circulation System_0_MF_tlow_occ</v>
      </c>
      <c r="B1907" s="303" t="s">
        <v>1075</v>
      </c>
      <c r="C1907" s="304">
        <v>0</v>
      </c>
      <c r="D1907" s="303" t="s">
        <v>553</v>
      </c>
      <c r="E1907" s="305" t="s">
        <v>339</v>
      </c>
      <c r="F1907" s="309"/>
      <c r="G1907" s="306">
        <v>0</v>
      </c>
      <c r="H1907" s="305" t="s">
        <v>336</v>
      </c>
      <c r="I1907" s="305" t="s">
        <v>152</v>
      </c>
      <c r="J1907" s="305" t="s">
        <v>233</v>
      </c>
      <c r="K1907" s="305" t="s">
        <v>2374</v>
      </c>
    </row>
    <row r="1908" spans="1:11" x14ac:dyDescent="0.25">
      <c r="A1908" s="302" t="str">
        <f t="shared" si="53"/>
        <v>On Demand DHW Circulation System_0_MF_Rlow_occ</v>
      </c>
      <c r="B1908" s="303" t="s">
        <v>1075</v>
      </c>
      <c r="C1908" s="304">
        <v>0</v>
      </c>
      <c r="D1908" s="303" t="s">
        <v>553</v>
      </c>
      <c r="E1908" s="311" t="s">
        <v>340</v>
      </c>
      <c r="F1908" s="334"/>
      <c r="G1908" s="310">
        <v>0</v>
      </c>
      <c r="H1908" s="311" t="s">
        <v>336</v>
      </c>
      <c r="I1908" s="305" t="s">
        <v>152</v>
      </c>
      <c r="J1908" s="305" t="s">
        <v>233</v>
      </c>
      <c r="K1908" s="305" t="s">
        <v>2374</v>
      </c>
    </row>
    <row r="1909" spans="1:11" x14ac:dyDescent="0.25">
      <c r="A1909" s="302" t="str">
        <f t="shared" si="53"/>
        <v>On Demand DHW Circulation System_0_MF_Conversion</v>
      </c>
      <c r="B1909" s="303" t="s">
        <v>1075</v>
      </c>
      <c r="C1909" s="304">
        <v>0</v>
      </c>
      <c r="D1909" s="303" t="s">
        <v>553</v>
      </c>
      <c r="E1909" s="305" t="s">
        <v>284</v>
      </c>
      <c r="F1909" s="309" t="s">
        <v>622</v>
      </c>
      <c r="G1909" s="325">
        <v>100000</v>
      </c>
      <c r="H1909" s="305"/>
      <c r="I1909" s="305" t="s">
        <v>152</v>
      </c>
      <c r="J1909" s="305" t="s">
        <v>233</v>
      </c>
      <c r="K1909" s="305" t="s">
        <v>2374</v>
      </c>
    </row>
    <row r="1910" spans="1:11" x14ac:dyDescent="0.25">
      <c r="A1910" s="302" t="str">
        <f t="shared" si="53"/>
        <v>On Demand DHW Circulation System_0_MF_#Units</v>
      </c>
      <c r="B1910" s="303" t="s">
        <v>1075</v>
      </c>
      <c r="C1910" s="304">
        <v>0</v>
      </c>
      <c r="D1910" s="303" t="s">
        <v>553</v>
      </c>
      <c r="E1910" s="305" t="s">
        <v>341</v>
      </c>
      <c r="F1910" s="309"/>
      <c r="G1910" s="306">
        <v>1</v>
      </c>
      <c r="H1910" s="305"/>
      <c r="I1910" s="305" t="s">
        <v>614</v>
      </c>
      <c r="J1910" s="305"/>
      <c r="K1910" s="305"/>
    </row>
    <row r="1911" spans="1:11" x14ac:dyDescent="0.25">
      <c r="A1911" s="302" t="str">
        <f t="shared" si="53"/>
        <v>On Demand DHW Circulation System_0_MF_kWh Saved per Unit</v>
      </c>
      <c r="B1911" s="303" t="s">
        <v>1075</v>
      </c>
      <c r="C1911" s="304">
        <v>0</v>
      </c>
      <c r="D1911" s="303" t="s">
        <v>553</v>
      </c>
      <c r="E1911" s="314" t="s">
        <v>255</v>
      </c>
      <c r="F1911" s="326"/>
      <c r="G1911" s="326">
        <v>656</v>
      </c>
      <c r="H1911" s="305" t="s">
        <v>342</v>
      </c>
      <c r="I1911" s="305" t="s">
        <v>152</v>
      </c>
      <c r="J1911" s="305" t="s">
        <v>233</v>
      </c>
      <c r="K1911" s="305" t="s">
        <v>2374</v>
      </c>
    </row>
    <row r="1912" spans="1:11" x14ac:dyDescent="0.25">
      <c r="A1912" s="302" t="str">
        <f t="shared" si="53"/>
        <v>On Demand DHW Circulation System_0_MF_kW Saved per Unit</v>
      </c>
      <c r="B1912" s="303" t="s">
        <v>1075</v>
      </c>
      <c r="C1912" s="304">
        <v>0</v>
      </c>
      <c r="D1912" s="303" t="s">
        <v>553</v>
      </c>
      <c r="E1912" s="314" t="s">
        <v>580</v>
      </c>
      <c r="F1912" s="326" t="s">
        <v>571</v>
      </c>
      <c r="G1912" s="315">
        <v>0</v>
      </c>
      <c r="H1912" s="305"/>
      <c r="I1912" s="305" t="s">
        <v>152</v>
      </c>
      <c r="J1912" s="305" t="s">
        <v>233</v>
      </c>
      <c r="K1912" s="305" t="s">
        <v>2374</v>
      </c>
    </row>
    <row r="1913" spans="1:11" x14ac:dyDescent="0.25">
      <c r="A1913" s="302" t="str">
        <f t="shared" si="53"/>
        <v>On Demand DHW Circulation System_0_MF_Therm Saved per Unit</v>
      </c>
      <c r="B1913" s="303" t="s">
        <v>1075</v>
      </c>
      <c r="C1913" s="304">
        <v>0</v>
      </c>
      <c r="D1913" s="303" t="s">
        <v>553</v>
      </c>
      <c r="E1913" s="314" t="s">
        <v>326</v>
      </c>
      <c r="F1913" s="326"/>
      <c r="G1913" s="326">
        <f xml:space="preserve"> (G1904 * (G1905 *G1906 + G1907 * G1908) / G1909)*G1910</f>
        <v>62.687100553999997</v>
      </c>
      <c r="H1913" s="305"/>
      <c r="I1913" s="305" t="s">
        <v>152</v>
      </c>
      <c r="J1913" s="305" t="s">
        <v>233</v>
      </c>
      <c r="K1913" s="305" t="s">
        <v>2374</v>
      </c>
    </row>
    <row r="1914" spans="1:11" x14ac:dyDescent="0.25">
      <c r="A1914" s="302" t="str">
        <f t="shared" si="53"/>
        <v>On Demand DHW Circulation System_0_MF_Gallons Saved per Unit</v>
      </c>
      <c r="B1914" s="303" t="s">
        <v>1075</v>
      </c>
      <c r="C1914" s="304">
        <v>0</v>
      </c>
      <c r="D1914" s="303" t="s">
        <v>553</v>
      </c>
      <c r="E1914" s="314" t="s">
        <v>547</v>
      </c>
      <c r="F1914" s="326"/>
      <c r="G1914" s="315">
        <v>0</v>
      </c>
      <c r="H1914" s="305"/>
      <c r="I1914" s="305" t="s">
        <v>152</v>
      </c>
      <c r="J1914" s="305" t="s">
        <v>233</v>
      </c>
      <c r="K1914" s="305" t="s">
        <v>2374</v>
      </c>
    </row>
    <row r="1915" spans="1:11" x14ac:dyDescent="0.25">
      <c r="A1915" s="302" t="str">
        <f t="shared" si="53"/>
        <v>On Demand DHW Circulation System_0_MF_Lifetime (years)</v>
      </c>
      <c r="B1915" s="303" t="s">
        <v>1075</v>
      </c>
      <c r="C1915" s="304">
        <v>0</v>
      </c>
      <c r="D1915" s="303" t="s">
        <v>553</v>
      </c>
      <c r="E1915" s="314" t="s">
        <v>259</v>
      </c>
      <c r="F1915" s="326"/>
      <c r="G1915" s="326">
        <v>15</v>
      </c>
      <c r="H1915" s="305"/>
      <c r="I1915" s="305" t="s">
        <v>152</v>
      </c>
      <c r="J1915" s="305" t="s">
        <v>233</v>
      </c>
      <c r="K1915" s="305" t="s">
        <v>2374</v>
      </c>
    </row>
    <row r="1916" spans="1:11" x14ac:dyDescent="0.25">
      <c r="A1916" s="302" t="str">
        <f t="shared" si="53"/>
        <v>On Demand DHW Circulation System_0_MF_Incremental Cost</v>
      </c>
      <c r="B1916" s="303" t="s">
        <v>1075</v>
      </c>
      <c r="C1916" s="304">
        <v>0</v>
      </c>
      <c r="D1916" s="303" t="s">
        <v>553</v>
      </c>
      <c r="E1916" s="314" t="s">
        <v>260</v>
      </c>
      <c r="F1916" s="327" t="s">
        <v>549</v>
      </c>
      <c r="G1916" s="331">
        <v>2008</v>
      </c>
      <c r="H1916" s="305" t="s">
        <v>1076</v>
      </c>
      <c r="I1916" s="305" t="s">
        <v>152</v>
      </c>
      <c r="J1916" s="305" t="s">
        <v>233</v>
      </c>
      <c r="K1916" s="305" t="s">
        <v>2374</v>
      </c>
    </row>
    <row r="1917" spans="1:11" s="324" customFormat="1" x14ac:dyDescent="0.25">
      <c r="A1917" s="317" t="str">
        <f t="shared" si="53"/>
        <v>On Demand DHW Circulation System_0_MF_</v>
      </c>
      <c r="B1917" s="317" t="str">
        <f>B1916</f>
        <v>On Demand DHW Circulation System</v>
      </c>
      <c r="C1917" s="332">
        <f>C1916</f>
        <v>0</v>
      </c>
      <c r="D1917" s="317" t="str">
        <f>D1916</f>
        <v>MF</v>
      </c>
      <c r="E1917" s="317"/>
      <c r="F1917" s="317"/>
      <c r="G1917" s="323"/>
      <c r="H1917" s="320"/>
      <c r="I1917" s="320"/>
      <c r="J1917" s="317"/>
      <c r="K1917" s="317"/>
    </row>
    <row r="1918" spans="1:11" x14ac:dyDescent="0.25">
      <c r="A1918" s="302" t="str">
        <f t="shared" si="53"/>
        <v>DCV - Kitchen_0_MF/CI_CFM</v>
      </c>
      <c r="B1918" s="303" t="s">
        <v>1077</v>
      </c>
      <c r="C1918" s="304">
        <v>0</v>
      </c>
      <c r="D1918" s="303" t="s">
        <v>587</v>
      </c>
      <c r="E1918" s="305" t="s">
        <v>331</v>
      </c>
      <c r="F1918" s="309" t="s">
        <v>1078</v>
      </c>
      <c r="G1918" s="307">
        <v>430</v>
      </c>
      <c r="H1918" s="305"/>
      <c r="I1918" s="305" t="s">
        <v>152</v>
      </c>
      <c r="J1918" s="305" t="s">
        <v>125</v>
      </c>
      <c r="K1918" s="305" t="s">
        <v>2134</v>
      </c>
    </row>
    <row r="1919" spans="1:11" x14ac:dyDescent="0.25">
      <c r="A1919" s="302" t="str">
        <f t="shared" si="53"/>
        <v>DCV - Kitchen_0_MF/CI_HP</v>
      </c>
      <c r="B1919" s="303" t="s">
        <v>1077</v>
      </c>
      <c r="C1919" s="304">
        <v>0</v>
      </c>
      <c r="D1919" s="303" t="s">
        <v>587</v>
      </c>
      <c r="E1919" s="385" t="s">
        <v>333</v>
      </c>
      <c r="F1919" s="309"/>
      <c r="G1919" s="307">
        <v>1</v>
      </c>
      <c r="H1919" s="311" t="s">
        <v>2617</v>
      </c>
      <c r="I1919" s="305" t="s">
        <v>152</v>
      </c>
      <c r="J1919" s="305" t="s">
        <v>125</v>
      </c>
      <c r="K1919" s="305" t="s">
        <v>2134</v>
      </c>
    </row>
    <row r="1920" spans="1:11" x14ac:dyDescent="0.25">
      <c r="A1920" s="302" t="str">
        <f t="shared" si="53"/>
        <v>DCV - Kitchen_0_MF/CI_Annual Heating Load</v>
      </c>
      <c r="B1920" s="303" t="s">
        <v>1077</v>
      </c>
      <c r="C1920" s="304">
        <v>0</v>
      </c>
      <c r="D1920" s="303" t="s">
        <v>587</v>
      </c>
      <c r="E1920" s="385" t="s">
        <v>1079</v>
      </c>
      <c r="F1920" s="309" t="s">
        <v>1080</v>
      </c>
      <c r="G1920" s="307">
        <v>144000</v>
      </c>
      <c r="H1920" s="305" t="s">
        <v>636</v>
      </c>
      <c r="I1920" s="305" t="s">
        <v>152</v>
      </c>
      <c r="J1920" s="305" t="s">
        <v>125</v>
      </c>
      <c r="K1920" s="305" t="s">
        <v>2134</v>
      </c>
    </row>
    <row r="1921" spans="1:11" x14ac:dyDescent="0.25">
      <c r="A1921" s="302" t="str">
        <f t="shared" si="53"/>
        <v>DCV - Kitchen_0_MF/CI_Eff_base</v>
      </c>
      <c r="B1921" s="303" t="s">
        <v>1077</v>
      </c>
      <c r="C1921" s="304">
        <v>0</v>
      </c>
      <c r="D1921" s="303" t="s">
        <v>587</v>
      </c>
      <c r="E1921" s="305" t="s">
        <v>372</v>
      </c>
      <c r="F1921" s="309" t="s">
        <v>539</v>
      </c>
      <c r="G1921" s="308">
        <v>0.8</v>
      </c>
      <c r="H1921" s="305" t="s">
        <v>639</v>
      </c>
      <c r="I1921" s="305" t="s">
        <v>152</v>
      </c>
      <c r="J1921" s="305" t="s">
        <v>125</v>
      </c>
      <c r="K1921" s="305" t="s">
        <v>2134</v>
      </c>
    </row>
    <row r="1922" spans="1:11" x14ac:dyDescent="0.25">
      <c r="A1922" s="302" t="str">
        <f t="shared" si="53"/>
        <v>DCV - Kitchen_0_MF/CI_Conversion</v>
      </c>
      <c r="B1922" s="303" t="s">
        <v>1077</v>
      </c>
      <c r="C1922" s="304">
        <v>0</v>
      </c>
      <c r="D1922" s="303" t="s">
        <v>587</v>
      </c>
      <c r="E1922" s="305" t="s">
        <v>284</v>
      </c>
      <c r="F1922" s="309" t="s">
        <v>622</v>
      </c>
      <c r="G1922" s="325">
        <v>100000</v>
      </c>
      <c r="H1922" s="305"/>
      <c r="I1922" s="305" t="s">
        <v>152</v>
      </c>
      <c r="J1922" s="305" t="s">
        <v>125</v>
      </c>
      <c r="K1922" s="305" t="s">
        <v>2134</v>
      </c>
    </row>
    <row r="1923" spans="1:11" x14ac:dyDescent="0.25">
      <c r="A1923" s="302" t="str">
        <f t="shared" si="53"/>
        <v>DCV - Kitchen_0_MF/CI_kWh Saved per Unit</v>
      </c>
      <c r="B1923" s="303" t="s">
        <v>1077</v>
      </c>
      <c r="C1923" s="304">
        <v>0</v>
      </c>
      <c r="D1923" s="303" t="s">
        <v>587</v>
      </c>
      <c r="E1923" s="314" t="s">
        <v>255</v>
      </c>
      <c r="F1923" s="326" t="s">
        <v>1081</v>
      </c>
      <c r="G1923" s="326">
        <v>4966</v>
      </c>
      <c r="H1923" s="305"/>
      <c r="I1923" s="305" t="s">
        <v>152</v>
      </c>
      <c r="J1923" s="305" t="s">
        <v>125</v>
      </c>
      <c r="K1923" s="305" t="s">
        <v>2134</v>
      </c>
    </row>
    <row r="1924" spans="1:11" x14ac:dyDescent="0.25">
      <c r="A1924" s="302" t="str">
        <f t="shared" si="53"/>
        <v>DCV - Kitchen_0_MF/CI_kW Saved per Unit</v>
      </c>
      <c r="B1924" s="303" t="s">
        <v>1077</v>
      </c>
      <c r="C1924" s="304">
        <v>0</v>
      </c>
      <c r="D1924" s="303" t="s">
        <v>587</v>
      </c>
      <c r="E1924" s="314" t="s">
        <v>580</v>
      </c>
      <c r="F1924" s="326" t="s">
        <v>1082</v>
      </c>
      <c r="G1924" s="315">
        <v>0.68</v>
      </c>
      <c r="H1924" s="305"/>
      <c r="I1924" s="305" t="s">
        <v>152</v>
      </c>
      <c r="J1924" s="305" t="s">
        <v>125</v>
      </c>
      <c r="K1924" s="305" t="s">
        <v>2134</v>
      </c>
    </row>
    <row r="1925" spans="1:11" x14ac:dyDescent="0.25">
      <c r="A1925" s="302" t="str">
        <f t="shared" si="53"/>
        <v>DCV - Kitchen_0_MF/CI_Therm Saved per Unit</v>
      </c>
      <c r="B1925" s="303" t="s">
        <v>1077</v>
      </c>
      <c r="C1925" s="304">
        <v>0</v>
      </c>
      <c r="D1925" s="303" t="s">
        <v>587</v>
      </c>
      <c r="E1925" s="314" t="s">
        <v>326</v>
      </c>
      <c r="F1925" s="326" t="s">
        <v>1083</v>
      </c>
      <c r="G1925" s="326">
        <f>G1918*G1919*G1920/(G1921*G1922)</f>
        <v>774</v>
      </c>
      <c r="H1925" s="305"/>
      <c r="I1925" s="305" t="s">
        <v>152</v>
      </c>
      <c r="J1925" s="305" t="s">
        <v>125</v>
      </c>
      <c r="K1925" s="305" t="s">
        <v>2134</v>
      </c>
    </row>
    <row r="1926" spans="1:11" x14ac:dyDescent="0.25">
      <c r="A1926" s="302" t="str">
        <f t="shared" si="53"/>
        <v>DCV - Kitchen_0_MF/CI_Lifetime (years)</v>
      </c>
      <c r="B1926" s="303" t="s">
        <v>1077</v>
      </c>
      <c r="C1926" s="304">
        <v>0</v>
      </c>
      <c r="D1926" s="303" t="s">
        <v>587</v>
      </c>
      <c r="E1926" s="314" t="s">
        <v>259</v>
      </c>
      <c r="F1926" s="326" t="s">
        <v>548</v>
      </c>
      <c r="G1926" s="326">
        <v>20</v>
      </c>
      <c r="H1926" s="305"/>
      <c r="I1926" s="305" t="s">
        <v>152</v>
      </c>
      <c r="J1926" s="305" t="s">
        <v>125</v>
      </c>
      <c r="K1926" s="305" t="s">
        <v>2134</v>
      </c>
    </row>
    <row r="1927" spans="1:11" x14ac:dyDescent="0.25">
      <c r="A1927" s="302" t="str">
        <f t="shared" ref="A1927:A1990" si="54">B1927&amp;"_"&amp;C1927&amp;"_"&amp;D1927&amp;"_"&amp;E1927</f>
        <v>DCV - Kitchen_0_MF/CI_Incremental Cost</v>
      </c>
      <c r="B1927" s="303" t="s">
        <v>1077</v>
      </c>
      <c r="C1927" s="304">
        <v>0</v>
      </c>
      <c r="D1927" s="303" t="s">
        <v>587</v>
      </c>
      <c r="E1927" s="314" t="s">
        <v>260</v>
      </c>
      <c r="F1927" s="327" t="s">
        <v>1084</v>
      </c>
      <c r="G1927" s="331">
        <f>1992*G1919</f>
        <v>1992</v>
      </c>
      <c r="H1927" s="305" t="s">
        <v>478</v>
      </c>
      <c r="I1927" s="305" t="s">
        <v>152</v>
      </c>
      <c r="J1927" s="305" t="s">
        <v>125</v>
      </c>
      <c r="K1927" s="305" t="s">
        <v>2134</v>
      </c>
    </row>
    <row r="1928" spans="1:11" s="324" customFormat="1" x14ac:dyDescent="0.25">
      <c r="A1928" s="317" t="str">
        <f t="shared" si="54"/>
        <v>DCV - Kitchen_0_MF/CI_</v>
      </c>
      <c r="B1928" s="317" t="str">
        <f>B1927</f>
        <v>DCV - Kitchen</v>
      </c>
      <c r="C1928" s="332">
        <f>C1927</f>
        <v>0</v>
      </c>
      <c r="D1928" s="317" t="s">
        <v>587</v>
      </c>
      <c r="E1928" s="317"/>
      <c r="F1928" s="317"/>
      <c r="G1928" s="323"/>
      <c r="H1928" s="320"/>
      <c r="I1928" s="320"/>
      <c r="J1928" s="317"/>
      <c r="K1928" s="317"/>
    </row>
    <row r="1929" spans="1:11" x14ac:dyDescent="0.25">
      <c r="A1929" s="302" t="str">
        <f t="shared" si="54"/>
        <v>Demand Controlled Ventilation_0_MF/CI/SMB_ConditionSpace</v>
      </c>
      <c r="B1929" s="303" t="s">
        <v>14</v>
      </c>
      <c r="C1929" s="304">
        <v>0</v>
      </c>
      <c r="D1929" s="303" t="s">
        <v>662</v>
      </c>
      <c r="E1929" s="305" t="s">
        <v>410</v>
      </c>
      <c r="F1929" s="309" t="s">
        <v>751</v>
      </c>
      <c r="G1929" s="307">
        <v>1</v>
      </c>
      <c r="H1929" s="305" t="s">
        <v>875</v>
      </c>
      <c r="I1929" s="305" t="s">
        <v>633</v>
      </c>
      <c r="J1929" s="305"/>
      <c r="K1929" s="305"/>
    </row>
    <row r="1930" spans="1:11" x14ac:dyDescent="0.25">
      <c r="A1930" s="302" t="str">
        <f t="shared" si="54"/>
        <v>Demand Controlled Ventilation_0_MF/CI/SMB_Conversion</v>
      </c>
      <c r="B1930" s="303" t="s">
        <v>14</v>
      </c>
      <c r="C1930" s="304">
        <v>0</v>
      </c>
      <c r="D1930" s="303" t="s">
        <v>662</v>
      </c>
      <c r="E1930" s="385" t="s">
        <v>284</v>
      </c>
      <c r="F1930" s="309" t="s">
        <v>1085</v>
      </c>
      <c r="G1930" s="354">
        <v>1000</v>
      </c>
      <c r="H1930" s="305"/>
      <c r="I1930" s="305" t="s">
        <v>152</v>
      </c>
      <c r="J1930" s="305" t="s">
        <v>128</v>
      </c>
      <c r="K1930" s="305" t="s">
        <v>2166</v>
      </c>
    </row>
    <row r="1931" spans="1:11" x14ac:dyDescent="0.25">
      <c r="A1931" s="302" t="str">
        <f t="shared" si="54"/>
        <v>Demand Controlled Ventilation_0_MF/CI/SMB_SFcooling</v>
      </c>
      <c r="B1931" s="303" t="s">
        <v>14</v>
      </c>
      <c r="C1931" s="304">
        <v>0</v>
      </c>
      <c r="D1931" s="303" t="s">
        <v>662</v>
      </c>
      <c r="E1931" s="305" t="s">
        <v>411</v>
      </c>
      <c r="F1931" s="309"/>
      <c r="G1931" s="306">
        <v>385</v>
      </c>
      <c r="H1931" s="305" t="s">
        <v>1086</v>
      </c>
      <c r="I1931" s="305" t="s">
        <v>152</v>
      </c>
      <c r="J1931" s="305" t="s">
        <v>128</v>
      </c>
      <c r="K1931" s="305" t="s">
        <v>2166</v>
      </c>
    </row>
    <row r="1932" spans="1:11" x14ac:dyDescent="0.25">
      <c r="A1932" s="302" t="str">
        <f t="shared" si="54"/>
        <v>Demand Controlled Ventilation_0_MF/CI/SMB_SFheatgas</v>
      </c>
      <c r="B1932" s="303" t="s">
        <v>14</v>
      </c>
      <c r="C1932" s="304">
        <v>0</v>
      </c>
      <c r="D1932" s="303" t="s">
        <v>662</v>
      </c>
      <c r="E1932" s="305" t="s">
        <v>412</v>
      </c>
      <c r="F1932" s="309"/>
      <c r="G1932" s="306">
        <v>68</v>
      </c>
      <c r="H1932" s="305" t="s">
        <v>1087</v>
      </c>
      <c r="I1932" s="305" t="s">
        <v>152</v>
      </c>
      <c r="J1932" s="305" t="s">
        <v>128</v>
      </c>
      <c r="K1932" s="305" t="s">
        <v>2166</v>
      </c>
    </row>
    <row r="1933" spans="1:11" x14ac:dyDescent="0.25">
      <c r="A1933" s="302" t="str">
        <f t="shared" si="54"/>
        <v>Demand Controlled Ventilation_0_MF/CI/SMB_kWh Saved per Unit</v>
      </c>
      <c r="B1933" s="303" t="s">
        <v>14</v>
      </c>
      <c r="C1933" s="304">
        <v>0</v>
      </c>
      <c r="D1933" s="303" t="s">
        <v>662</v>
      </c>
      <c r="E1933" s="314" t="s">
        <v>255</v>
      </c>
      <c r="F1933" s="326"/>
      <c r="G1933" s="364">
        <f xml:space="preserve"> G1929 / G1930 * G1931</f>
        <v>0.38500000000000001</v>
      </c>
      <c r="H1933" s="305" t="s">
        <v>1088</v>
      </c>
      <c r="I1933" s="305" t="s">
        <v>152</v>
      </c>
      <c r="J1933" s="305" t="s">
        <v>128</v>
      </c>
      <c r="K1933" s="305" t="s">
        <v>2166</v>
      </c>
    </row>
    <row r="1934" spans="1:11" x14ac:dyDescent="0.25">
      <c r="A1934" s="302" t="str">
        <f t="shared" si="54"/>
        <v>Demand Controlled Ventilation_0_MF/CI/SMB_Therm Saved per Unit</v>
      </c>
      <c r="B1934" s="303" t="s">
        <v>14</v>
      </c>
      <c r="C1934" s="304">
        <v>0</v>
      </c>
      <c r="D1934" s="303" t="s">
        <v>662</v>
      </c>
      <c r="E1934" s="314" t="s">
        <v>326</v>
      </c>
      <c r="F1934" s="326"/>
      <c r="G1934" s="364">
        <f xml:space="preserve"> G1929 / G1930 * G1932</f>
        <v>6.8000000000000005E-2</v>
      </c>
      <c r="H1934" s="305" t="s">
        <v>1088</v>
      </c>
      <c r="I1934" s="305" t="s">
        <v>152</v>
      </c>
      <c r="J1934" s="305" t="s">
        <v>128</v>
      </c>
      <c r="K1934" s="305" t="s">
        <v>2166</v>
      </c>
    </row>
    <row r="1935" spans="1:11" x14ac:dyDescent="0.25">
      <c r="A1935" s="302" t="str">
        <f t="shared" si="54"/>
        <v>Demand Controlled Ventilation_0_MF/CI/SMB_Lifetime (years)</v>
      </c>
      <c r="B1935" s="303" t="s">
        <v>14</v>
      </c>
      <c r="C1935" s="304">
        <v>0</v>
      </c>
      <c r="D1935" s="303" t="s">
        <v>662</v>
      </c>
      <c r="E1935" s="314" t="s">
        <v>259</v>
      </c>
      <c r="F1935" s="326" t="s">
        <v>548</v>
      </c>
      <c r="G1935" s="326">
        <v>10</v>
      </c>
      <c r="H1935" s="305"/>
      <c r="I1935" s="305" t="s">
        <v>152</v>
      </c>
      <c r="J1935" s="305" t="s">
        <v>128</v>
      </c>
      <c r="K1935" s="305" t="s">
        <v>2166</v>
      </c>
    </row>
    <row r="1936" spans="1:11" x14ac:dyDescent="0.25">
      <c r="A1936" s="302" t="str">
        <f t="shared" si="54"/>
        <v>Demand Controlled Ventilation_0_MF/CI/SMB_Incremental Cost</v>
      </c>
      <c r="B1936" s="303" t="s">
        <v>14</v>
      </c>
      <c r="C1936" s="304">
        <v>0</v>
      </c>
      <c r="D1936" s="303" t="s">
        <v>662</v>
      </c>
      <c r="E1936" s="314" t="s">
        <v>260</v>
      </c>
      <c r="F1936" s="327" t="s">
        <v>549</v>
      </c>
      <c r="G1936" s="331">
        <v>0.7</v>
      </c>
      <c r="H1936" s="305" t="s">
        <v>1089</v>
      </c>
      <c r="I1936" s="305" t="s">
        <v>152</v>
      </c>
      <c r="J1936" s="305" t="s">
        <v>128</v>
      </c>
      <c r="K1936" s="305" t="s">
        <v>2166</v>
      </c>
    </row>
    <row r="1937" spans="1:11" s="324" customFormat="1" x14ac:dyDescent="0.25">
      <c r="A1937" s="317" t="str">
        <f t="shared" si="54"/>
        <v>Demand Controlled Ventilation_0_MF/CI/SMB_</v>
      </c>
      <c r="B1937" s="317" t="str">
        <f>B1936</f>
        <v>Demand Controlled Ventilation</v>
      </c>
      <c r="C1937" s="332">
        <f>C1936</f>
        <v>0</v>
      </c>
      <c r="D1937" s="317" t="str">
        <f>D1936</f>
        <v>MF/CI/SMB</v>
      </c>
      <c r="E1937" s="317"/>
      <c r="F1937" s="317"/>
      <c r="G1937" s="323"/>
      <c r="H1937" s="320"/>
      <c r="I1937" s="320"/>
      <c r="J1937" s="317"/>
      <c r="K1937" s="317"/>
    </row>
    <row r="1938" spans="1:11" x14ac:dyDescent="0.25">
      <c r="A1938" s="302" t="str">
        <f t="shared" si="54"/>
        <v>Unit Visit_0_SF_Lifetime (years)</v>
      </c>
      <c r="B1938" s="303" t="s">
        <v>1090</v>
      </c>
      <c r="C1938" s="304">
        <v>0</v>
      </c>
      <c r="D1938" s="303" t="s">
        <v>409</v>
      </c>
      <c r="E1938" s="314" t="s">
        <v>259</v>
      </c>
      <c r="F1938" s="314" t="s">
        <v>548</v>
      </c>
      <c r="G1938" s="315">
        <v>1</v>
      </c>
      <c r="H1938" s="305"/>
      <c r="I1938" s="305"/>
      <c r="J1938" s="305"/>
      <c r="K1938" s="305"/>
    </row>
    <row r="1939" spans="1:11" x14ac:dyDescent="0.25">
      <c r="A1939" s="302" t="str">
        <f t="shared" si="54"/>
        <v>Unit Visit_0_SF_Incremental Cost</v>
      </c>
      <c r="B1939" s="303" t="s">
        <v>1090</v>
      </c>
      <c r="C1939" s="304">
        <v>0</v>
      </c>
      <c r="D1939" s="303" t="s">
        <v>409</v>
      </c>
      <c r="E1939" s="314" t="s">
        <v>260</v>
      </c>
      <c r="F1939" s="314" t="s">
        <v>549</v>
      </c>
      <c r="G1939" s="328">
        <v>0</v>
      </c>
      <c r="H1939" s="305"/>
      <c r="I1939" s="305"/>
      <c r="J1939" s="305"/>
      <c r="K1939" s="305"/>
    </row>
    <row r="1940" spans="1:11" s="324" customFormat="1" x14ac:dyDescent="0.25">
      <c r="A1940" s="317" t="str">
        <f t="shared" si="54"/>
        <v>Unit Visit_0_SF_</v>
      </c>
      <c r="B1940" s="317" t="str">
        <f>B1939</f>
        <v>Unit Visit</v>
      </c>
      <c r="C1940" s="317">
        <f>C1939</f>
        <v>0</v>
      </c>
      <c r="D1940" s="317" t="str">
        <f>D1939</f>
        <v>SF</v>
      </c>
      <c r="E1940" s="317"/>
      <c r="F1940" s="317"/>
      <c r="G1940" s="323"/>
      <c r="H1940" s="320"/>
      <c r="I1940" s="320"/>
      <c r="J1940" s="317"/>
      <c r="K1940" s="317"/>
    </row>
    <row r="1941" spans="1:11" x14ac:dyDescent="0.25">
      <c r="A1941" s="302" t="str">
        <f t="shared" si="54"/>
        <v>Unit Visit_0_MF_Therm Saved per Unit</v>
      </c>
      <c r="B1941" s="303" t="s">
        <v>1090</v>
      </c>
      <c r="C1941" s="304">
        <v>0</v>
      </c>
      <c r="D1941" s="303" t="s">
        <v>553</v>
      </c>
      <c r="E1941" s="314" t="s">
        <v>326</v>
      </c>
      <c r="F1941" s="314"/>
      <c r="G1941" s="315">
        <v>0</v>
      </c>
      <c r="H1941" s="305"/>
      <c r="I1941" s="305"/>
      <c r="J1941" s="305"/>
      <c r="K1941" s="305"/>
    </row>
    <row r="1942" spans="1:11" x14ac:dyDescent="0.25">
      <c r="A1942" s="302" t="str">
        <f t="shared" si="54"/>
        <v>Unit Visit_0_MF_Lifetime (years)</v>
      </c>
      <c r="B1942" s="303" t="s">
        <v>1090</v>
      </c>
      <c r="C1942" s="304">
        <v>0</v>
      </c>
      <c r="D1942" s="303" t="s">
        <v>553</v>
      </c>
      <c r="E1942" s="314" t="s">
        <v>259</v>
      </c>
      <c r="F1942" s="314" t="s">
        <v>548</v>
      </c>
      <c r="G1942" s="315">
        <v>1</v>
      </c>
      <c r="H1942" s="305"/>
      <c r="I1942" s="305"/>
      <c r="J1942" s="305"/>
      <c r="K1942" s="305"/>
    </row>
    <row r="1943" spans="1:11" x14ac:dyDescent="0.25">
      <c r="A1943" s="302" t="str">
        <f t="shared" si="54"/>
        <v>Unit Visit_0_MF_Incremental Cost</v>
      </c>
      <c r="B1943" s="303" t="s">
        <v>1090</v>
      </c>
      <c r="C1943" s="304">
        <v>0</v>
      </c>
      <c r="D1943" s="303" t="s">
        <v>553</v>
      </c>
      <c r="E1943" s="314" t="s">
        <v>260</v>
      </c>
      <c r="F1943" s="314" t="s">
        <v>549</v>
      </c>
      <c r="G1943" s="328">
        <v>0</v>
      </c>
      <c r="H1943" s="305"/>
      <c r="I1943" s="305"/>
      <c r="J1943" s="305"/>
      <c r="K1943" s="305"/>
    </row>
    <row r="1944" spans="1:11" s="324" customFormat="1" x14ac:dyDescent="0.25">
      <c r="A1944" s="317" t="str">
        <f t="shared" si="54"/>
        <v>Unit Visit_0_MF_</v>
      </c>
      <c r="B1944" s="317" t="str">
        <f>B1943</f>
        <v>Unit Visit</v>
      </c>
      <c r="C1944" s="317">
        <f>C1943</f>
        <v>0</v>
      </c>
      <c r="D1944" s="317" t="str">
        <f>D1943</f>
        <v>MF</v>
      </c>
      <c r="E1944" s="317"/>
      <c r="F1944" s="317"/>
      <c r="G1944" s="323"/>
      <c r="H1944" s="320"/>
      <c r="I1944" s="320"/>
      <c r="J1944" s="317"/>
      <c r="K1944" s="317"/>
    </row>
    <row r="1945" spans="1:11" x14ac:dyDescent="0.25">
      <c r="A1945" s="302" t="str">
        <f t="shared" si="54"/>
        <v>Custom_0_MF_Therm Saved per Unit</v>
      </c>
      <c r="B1945" s="303" t="s">
        <v>5</v>
      </c>
      <c r="C1945" s="304">
        <v>0</v>
      </c>
      <c r="D1945" s="303" t="s">
        <v>553</v>
      </c>
      <c r="E1945" s="314" t="s">
        <v>326</v>
      </c>
      <c r="F1945" s="314"/>
      <c r="G1945" s="315">
        <v>1</v>
      </c>
      <c r="H1945" s="305" t="s">
        <v>1091</v>
      </c>
      <c r="I1945" s="305"/>
      <c r="J1945" s="305"/>
      <c r="K1945" s="305"/>
    </row>
    <row r="1946" spans="1:11" x14ac:dyDescent="0.25">
      <c r="A1946" s="302" t="str">
        <f t="shared" si="54"/>
        <v>Custom_0_MF_Lifetime (years)</v>
      </c>
      <c r="B1946" s="303" t="s">
        <v>5</v>
      </c>
      <c r="C1946" s="304">
        <v>0</v>
      </c>
      <c r="D1946" s="303" t="s">
        <v>553</v>
      </c>
      <c r="E1946" s="314" t="s">
        <v>259</v>
      </c>
      <c r="F1946" s="314" t="s">
        <v>548</v>
      </c>
      <c r="G1946" s="315">
        <v>15</v>
      </c>
      <c r="H1946" s="305" t="s">
        <v>1091</v>
      </c>
      <c r="I1946" s="305"/>
      <c r="J1946" s="305"/>
      <c r="K1946" s="305"/>
    </row>
    <row r="1947" spans="1:11" x14ac:dyDescent="0.25">
      <c r="A1947" s="302" t="str">
        <f t="shared" si="54"/>
        <v>Custom_0_MF_Incremental Cost</v>
      </c>
      <c r="B1947" s="303" t="s">
        <v>5</v>
      </c>
      <c r="C1947" s="304">
        <v>0</v>
      </c>
      <c r="D1947" s="303" t="s">
        <v>553</v>
      </c>
      <c r="E1947" s="314" t="s">
        <v>260</v>
      </c>
      <c r="F1947" s="314" t="s">
        <v>549</v>
      </c>
      <c r="G1947" s="328">
        <v>2.75</v>
      </c>
      <c r="H1947" s="305" t="s">
        <v>1091</v>
      </c>
      <c r="I1947" s="305"/>
      <c r="J1947" s="305"/>
      <c r="K1947" s="305"/>
    </row>
    <row r="1948" spans="1:11" s="324" customFormat="1" x14ac:dyDescent="0.25">
      <c r="A1948" s="317" t="str">
        <f t="shared" si="54"/>
        <v>Custom_0_MF_</v>
      </c>
      <c r="B1948" s="317" t="str">
        <f>B1947</f>
        <v>Custom</v>
      </c>
      <c r="C1948" s="317">
        <f>C1947</f>
        <v>0</v>
      </c>
      <c r="D1948" s="317" t="str">
        <f>D1947</f>
        <v>MF</v>
      </c>
      <c r="E1948" s="317"/>
      <c r="F1948" s="317"/>
      <c r="G1948" s="323"/>
      <c r="H1948" s="320"/>
      <c r="I1948" s="320"/>
      <c r="J1948" s="317"/>
      <c r="K1948" s="317"/>
    </row>
    <row r="1949" spans="1:11" x14ac:dyDescent="0.25">
      <c r="A1949" s="302" t="str">
        <f t="shared" si="54"/>
        <v>New Construction_20-25% over IL 2015 Code_SF_kWh Saved per Unit</v>
      </c>
      <c r="B1949" s="387" t="s">
        <v>1092</v>
      </c>
      <c r="C1949" s="379" t="s">
        <v>1093</v>
      </c>
      <c r="D1949" s="387" t="s">
        <v>409</v>
      </c>
      <c r="E1949" s="314" t="s">
        <v>255</v>
      </c>
      <c r="F1949" s="314"/>
      <c r="G1949" s="315">
        <f>0.95*620</f>
        <v>589</v>
      </c>
      <c r="H1949" s="305" t="s">
        <v>1091</v>
      </c>
      <c r="I1949" s="305"/>
      <c r="J1949" s="305"/>
      <c r="K1949" s="305"/>
    </row>
    <row r="1950" spans="1:11" x14ac:dyDescent="0.25">
      <c r="A1950" s="302" t="str">
        <f t="shared" si="54"/>
        <v>New Construction_20-25% over IL 2015 Code_SF_kW Saved per Unit</v>
      </c>
      <c r="B1950" s="387" t="s">
        <v>1092</v>
      </c>
      <c r="C1950" s="379" t="s">
        <v>1093</v>
      </c>
      <c r="D1950" s="387" t="s">
        <v>409</v>
      </c>
      <c r="E1950" s="314" t="s">
        <v>580</v>
      </c>
      <c r="F1950" s="326" t="s">
        <v>571</v>
      </c>
      <c r="G1950" s="338">
        <f>G1949/8760</f>
        <v>6.7237442922374435E-2</v>
      </c>
      <c r="H1950" s="305" t="s">
        <v>1091</v>
      </c>
      <c r="I1950" s="305"/>
      <c r="J1950" s="305"/>
      <c r="K1950" s="305"/>
    </row>
    <row r="1951" spans="1:11" x14ac:dyDescent="0.25">
      <c r="A1951" s="302" t="str">
        <f t="shared" si="54"/>
        <v>New Construction_20-25% over IL 2015 Code_SF_Therm Saved per Unit</v>
      </c>
      <c r="B1951" s="387" t="s">
        <v>1092</v>
      </c>
      <c r="C1951" s="379" t="s">
        <v>1093</v>
      </c>
      <c r="D1951" s="387" t="s">
        <v>409</v>
      </c>
      <c r="E1951" s="314" t="s">
        <v>326</v>
      </c>
      <c r="F1951" s="314"/>
      <c r="G1951" s="315">
        <f>0.95*270</f>
        <v>256.5</v>
      </c>
      <c r="H1951" s="305" t="s">
        <v>1091</v>
      </c>
      <c r="I1951" s="305"/>
      <c r="J1951" s="305"/>
      <c r="K1951" s="305"/>
    </row>
    <row r="1952" spans="1:11" x14ac:dyDescent="0.25">
      <c r="A1952" s="302" t="str">
        <f t="shared" si="54"/>
        <v>New Construction_20-25% over IL 2015 Code_SF_Lifetime (years)</v>
      </c>
      <c r="B1952" s="387" t="s">
        <v>1092</v>
      </c>
      <c r="C1952" s="379" t="s">
        <v>1093</v>
      </c>
      <c r="D1952" s="387" t="s">
        <v>409</v>
      </c>
      <c r="E1952" s="314" t="s">
        <v>259</v>
      </c>
      <c r="F1952" s="314" t="s">
        <v>548</v>
      </c>
      <c r="G1952" s="315">
        <v>15</v>
      </c>
      <c r="H1952" s="305" t="s">
        <v>1091</v>
      </c>
      <c r="I1952" s="305"/>
      <c r="J1952" s="305"/>
      <c r="K1952" s="305"/>
    </row>
    <row r="1953" spans="1:11" x14ac:dyDescent="0.25">
      <c r="A1953" s="302" t="str">
        <f t="shared" si="54"/>
        <v>New Construction_20-25% over IL 2015 Code_SF_Incremental Cost</v>
      </c>
      <c r="B1953" s="387" t="s">
        <v>1092</v>
      </c>
      <c r="C1953" s="379" t="s">
        <v>1093</v>
      </c>
      <c r="D1953" s="387" t="s">
        <v>409</v>
      </c>
      <c r="E1953" s="314" t="s">
        <v>260</v>
      </c>
      <c r="F1953" s="314" t="s">
        <v>549</v>
      </c>
      <c r="G1953" s="328">
        <v>1800</v>
      </c>
      <c r="H1953" s="305" t="s">
        <v>1091</v>
      </c>
      <c r="I1953" s="305"/>
      <c r="J1953" s="305"/>
      <c r="K1953" s="305"/>
    </row>
    <row r="1954" spans="1:11" s="324" customFormat="1" x14ac:dyDescent="0.25">
      <c r="A1954" s="317" t="str">
        <f t="shared" si="54"/>
        <v>New Construction_20-25% over IL 2015 Code_SF_</v>
      </c>
      <c r="B1954" s="317" t="str">
        <f>B1953</f>
        <v>New Construction</v>
      </c>
      <c r="C1954" s="317" t="str">
        <f>C1953</f>
        <v>20-25% over IL 2015 Code</v>
      </c>
      <c r="D1954" s="317" t="str">
        <f>D1953</f>
        <v>SF</v>
      </c>
      <c r="E1954" s="317"/>
      <c r="F1954" s="317"/>
      <c r="G1954" s="323"/>
      <c r="H1954" s="320"/>
      <c r="I1954" s="320"/>
      <c r="J1954" s="317"/>
      <c r="K1954" s="317"/>
    </row>
    <row r="1955" spans="1:11" x14ac:dyDescent="0.25">
      <c r="A1955" s="302" t="str">
        <f t="shared" si="54"/>
        <v>New Construction_25-30% over IL 2015 Code_SF_kWh Saved per Unit</v>
      </c>
      <c r="B1955" s="387" t="s">
        <v>1092</v>
      </c>
      <c r="C1955" s="379" t="s">
        <v>1094</v>
      </c>
      <c r="D1955" s="387" t="s">
        <v>409</v>
      </c>
      <c r="E1955" s="314" t="s">
        <v>255</v>
      </c>
      <c r="F1955" s="314"/>
      <c r="G1955" s="315">
        <f>0.95*730</f>
        <v>693.5</v>
      </c>
      <c r="H1955" s="305" t="s">
        <v>1091</v>
      </c>
      <c r="I1955" s="305"/>
      <c r="J1955" s="305"/>
      <c r="K1955" s="305"/>
    </row>
    <row r="1956" spans="1:11" x14ac:dyDescent="0.25">
      <c r="A1956" s="302" t="str">
        <f t="shared" si="54"/>
        <v>New Construction_25-30% over IL 2015 Code_SF_kW Saved per Unit</v>
      </c>
      <c r="B1956" s="387" t="s">
        <v>1092</v>
      </c>
      <c r="C1956" s="379" t="s">
        <v>1094</v>
      </c>
      <c r="D1956" s="387" t="s">
        <v>409</v>
      </c>
      <c r="E1956" s="314" t="s">
        <v>580</v>
      </c>
      <c r="F1956" s="326" t="s">
        <v>571</v>
      </c>
      <c r="G1956" s="338">
        <f>G1955/8760</f>
        <v>7.9166666666666663E-2</v>
      </c>
      <c r="H1956" s="305" t="s">
        <v>1091</v>
      </c>
      <c r="I1956" s="305"/>
      <c r="J1956" s="305"/>
      <c r="K1956" s="305"/>
    </row>
    <row r="1957" spans="1:11" x14ac:dyDescent="0.25">
      <c r="A1957" s="302" t="str">
        <f t="shared" si="54"/>
        <v>New Construction_25-30% over IL 2015 Code_SF_Therm Saved per Unit</v>
      </c>
      <c r="B1957" s="387" t="s">
        <v>1092</v>
      </c>
      <c r="C1957" s="379" t="s">
        <v>1094</v>
      </c>
      <c r="D1957" s="387" t="s">
        <v>409</v>
      </c>
      <c r="E1957" s="314" t="s">
        <v>326</v>
      </c>
      <c r="F1957" s="314"/>
      <c r="G1957" s="315">
        <f>0.95*380</f>
        <v>361</v>
      </c>
      <c r="H1957" s="305" t="s">
        <v>1091</v>
      </c>
      <c r="I1957" s="305"/>
      <c r="J1957" s="305"/>
      <c r="K1957" s="305"/>
    </row>
    <row r="1958" spans="1:11" x14ac:dyDescent="0.25">
      <c r="A1958" s="302" t="str">
        <f t="shared" si="54"/>
        <v>New Construction_25-30% over IL 2015 Code_SF_Lifetime (years)</v>
      </c>
      <c r="B1958" s="387" t="s">
        <v>1092</v>
      </c>
      <c r="C1958" s="379" t="s">
        <v>1094</v>
      </c>
      <c r="D1958" s="387" t="s">
        <v>409</v>
      </c>
      <c r="E1958" s="314" t="s">
        <v>259</v>
      </c>
      <c r="F1958" s="314" t="s">
        <v>548</v>
      </c>
      <c r="G1958" s="315">
        <v>15</v>
      </c>
      <c r="H1958" s="305" t="s">
        <v>1091</v>
      </c>
      <c r="I1958" s="305"/>
      <c r="J1958" s="305"/>
      <c r="K1958" s="305"/>
    </row>
    <row r="1959" spans="1:11" x14ac:dyDescent="0.25">
      <c r="A1959" s="302" t="str">
        <f t="shared" si="54"/>
        <v>New Construction_25-30% over IL 2015 Code_SF_Incremental Cost</v>
      </c>
      <c r="B1959" s="387" t="s">
        <v>1092</v>
      </c>
      <c r="C1959" s="379" t="s">
        <v>1094</v>
      </c>
      <c r="D1959" s="387" t="s">
        <v>409</v>
      </c>
      <c r="E1959" s="314" t="s">
        <v>260</v>
      </c>
      <c r="F1959" s="314" t="s">
        <v>549</v>
      </c>
      <c r="G1959" s="328">
        <v>2500</v>
      </c>
      <c r="H1959" s="305" t="s">
        <v>1091</v>
      </c>
      <c r="I1959" s="305"/>
      <c r="J1959" s="305"/>
      <c r="K1959" s="305"/>
    </row>
    <row r="1960" spans="1:11" s="324" customFormat="1" x14ac:dyDescent="0.25">
      <c r="A1960" s="317" t="str">
        <f t="shared" si="54"/>
        <v>New Construction_25-30% over IL 2015 Code_SF_</v>
      </c>
      <c r="B1960" s="317" t="str">
        <f>B1959</f>
        <v>New Construction</v>
      </c>
      <c r="C1960" s="317" t="str">
        <f>C1959</f>
        <v>25-30% over IL 2015 Code</v>
      </c>
      <c r="D1960" s="317" t="str">
        <f>D1959</f>
        <v>SF</v>
      </c>
      <c r="E1960" s="317"/>
      <c r="F1960" s="317"/>
      <c r="G1960" s="323"/>
      <c r="H1960" s="320"/>
      <c r="I1960" s="320"/>
      <c r="J1960" s="317"/>
      <c r="K1960" s="317"/>
    </row>
    <row r="1961" spans="1:11" x14ac:dyDescent="0.25">
      <c r="A1961" s="302" t="str">
        <f t="shared" si="54"/>
        <v>New Construction_30-40% over IL 2015 Code_SF_kWh Saved per Unit</v>
      </c>
      <c r="B1961" s="387" t="s">
        <v>1092</v>
      </c>
      <c r="C1961" s="379" t="s">
        <v>1095</v>
      </c>
      <c r="D1961" s="387" t="s">
        <v>409</v>
      </c>
      <c r="E1961" s="314" t="s">
        <v>255</v>
      </c>
      <c r="F1961" s="314"/>
      <c r="G1961" s="315">
        <f>0.95*1000</f>
        <v>950</v>
      </c>
      <c r="H1961" s="305" t="s">
        <v>1091</v>
      </c>
      <c r="I1961" s="305"/>
      <c r="J1961" s="305"/>
      <c r="K1961" s="305"/>
    </row>
    <row r="1962" spans="1:11" x14ac:dyDescent="0.25">
      <c r="A1962" s="302" t="str">
        <f t="shared" si="54"/>
        <v>New Construction_30-40% over IL 2015 Code_SF_kW Saved per Unit</v>
      </c>
      <c r="B1962" s="387" t="s">
        <v>1092</v>
      </c>
      <c r="C1962" s="379" t="s">
        <v>1095</v>
      </c>
      <c r="D1962" s="387" t="s">
        <v>409</v>
      </c>
      <c r="E1962" s="314" t="s">
        <v>580</v>
      </c>
      <c r="F1962" s="326" t="s">
        <v>571</v>
      </c>
      <c r="G1962" s="338">
        <f>G1961/8760</f>
        <v>0.10844748858447488</v>
      </c>
      <c r="H1962" s="305" t="s">
        <v>1091</v>
      </c>
      <c r="I1962" s="305"/>
      <c r="J1962" s="305"/>
      <c r="K1962" s="305"/>
    </row>
    <row r="1963" spans="1:11" x14ac:dyDescent="0.25">
      <c r="A1963" s="302" t="str">
        <f t="shared" si="54"/>
        <v>New Construction_30-40% over IL 2015 Code_SF_Therm Saved per Unit</v>
      </c>
      <c r="B1963" s="387" t="s">
        <v>1092</v>
      </c>
      <c r="C1963" s="379" t="s">
        <v>1095</v>
      </c>
      <c r="D1963" s="387" t="s">
        <v>409</v>
      </c>
      <c r="E1963" s="314" t="s">
        <v>326</v>
      </c>
      <c r="F1963" s="314"/>
      <c r="G1963" s="315">
        <f>0.95*500</f>
        <v>475</v>
      </c>
      <c r="H1963" s="305" t="s">
        <v>1091</v>
      </c>
      <c r="I1963" s="305"/>
      <c r="J1963" s="305"/>
      <c r="K1963" s="305"/>
    </row>
    <row r="1964" spans="1:11" x14ac:dyDescent="0.25">
      <c r="A1964" s="302" t="str">
        <f t="shared" si="54"/>
        <v>New Construction_30-40% over IL 2015 Code_SF_Lifetime (years)</v>
      </c>
      <c r="B1964" s="387" t="s">
        <v>1092</v>
      </c>
      <c r="C1964" s="379" t="s">
        <v>1095</v>
      </c>
      <c r="D1964" s="387" t="s">
        <v>409</v>
      </c>
      <c r="E1964" s="314" t="s">
        <v>259</v>
      </c>
      <c r="F1964" s="314" t="s">
        <v>548</v>
      </c>
      <c r="G1964" s="315">
        <v>15</v>
      </c>
      <c r="H1964" s="305" t="s">
        <v>1091</v>
      </c>
      <c r="I1964" s="305"/>
      <c r="J1964" s="305"/>
      <c r="K1964" s="305"/>
    </row>
    <row r="1965" spans="1:11" x14ac:dyDescent="0.25">
      <c r="A1965" s="302" t="str">
        <f t="shared" si="54"/>
        <v>New Construction_30-40% over IL 2015 Code_SF_Incremental Cost</v>
      </c>
      <c r="B1965" s="387" t="s">
        <v>1092</v>
      </c>
      <c r="C1965" s="379" t="s">
        <v>1095</v>
      </c>
      <c r="D1965" s="387" t="s">
        <v>409</v>
      </c>
      <c r="E1965" s="314" t="s">
        <v>260</v>
      </c>
      <c r="F1965" s="314" t="s">
        <v>549</v>
      </c>
      <c r="G1965" s="328">
        <v>3500</v>
      </c>
      <c r="H1965" s="305" t="s">
        <v>1091</v>
      </c>
      <c r="I1965" s="305"/>
      <c r="J1965" s="305"/>
      <c r="K1965" s="305"/>
    </row>
    <row r="1966" spans="1:11" s="324" customFormat="1" x14ac:dyDescent="0.25">
      <c r="A1966" s="317" t="str">
        <f t="shared" si="54"/>
        <v>New Construction_30-40% over IL 2015 Code_SF_</v>
      </c>
      <c r="B1966" s="317" t="str">
        <f>B1965</f>
        <v>New Construction</v>
      </c>
      <c r="C1966" s="317" t="str">
        <f>C1965</f>
        <v>30-40% over IL 2015 Code</v>
      </c>
      <c r="D1966" s="317" t="str">
        <f>D1965</f>
        <v>SF</v>
      </c>
      <c r="E1966" s="317"/>
      <c r="F1966" s="317"/>
      <c r="G1966" s="323"/>
      <c r="H1966" s="320"/>
      <c r="I1966" s="320"/>
      <c r="J1966" s="317"/>
      <c r="K1966" s="317"/>
    </row>
    <row r="1967" spans="1:11" x14ac:dyDescent="0.25">
      <c r="A1967" s="302" t="str">
        <f t="shared" si="54"/>
        <v>New Construction_≥40% over IL 2015 Code_SF_kWh Saved per Unit</v>
      </c>
      <c r="B1967" s="387" t="s">
        <v>1092</v>
      </c>
      <c r="C1967" s="379" t="s">
        <v>1096</v>
      </c>
      <c r="D1967" s="387" t="s">
        <v>409</v>
      </c>
      <c r="E1967" s="314" t="s">
        <v>255</v>
      </c>
      <c r="F1967" s="314"/>
      <c r="G1967" s="315">
        <f>0.95*1000</f>
        <v>950</v>
      </c>
      <c r="H1967" s="305" t="s">
        <v>1091</v>
      </c>
      <c r="I1967" s="305"/>
      <c r="J1967" s="305"/>
      <c r="K1967" s="305"/>
    </row>
    <row r="1968" spans="1:11" x14ac:dyDescent="0.25">
      <c r="A1968" s="302" t="str">
        <f t="shared" si="54"/>
        <v>New Construction_≥40% over IL 2015 Code_SF_kW Saved per Unit</v>
      </c>
      <c r="B1968" s="387" t="s">
        <v>1092</v>
      </c>
      <c r="C1968" s="379" t="s">
        <v>1096</v>
      </c>
      <c r="D1968" s="387" t="s">
        <v>409</v>
      </c>
      <c r="E1968" s="314" t="s">
        <v>580</v>
      </c>
      <c r="F1968" s="326" t="s">
        <v>571</v>
      </c>
      <c r="G1968" s="338">
        <f>G1967/8760</f>
        <v>0.10844748858447488</v>
      </c>
      <c r="H1968" s="305" t="s">
        <v>1091</v>
      </c>
      <c r="I1968" s="305"/>
      <c r="J1968" s="305"/>
      <c r="K1968" s="305"/>
    </row>
    <row r="1969" spans="1:12" x14ac:dyDescent="0.25">
      <c r="A1969" s="302" t="str">
        <f t="shared" si="54"/>
        <v>New Construction_≥40% over IL 2015 Code_SF_Therm Saved per Unit</v>
      </c>
      <c r="B1969" s="387" t="s">
        <v>1092</v>
      </c>
      <c r="C1969" s="379" t="s">
        <v>1096</v>
      </c>
      <c r="D1969" s="387" t="s">
        <v>409</v>
      </c>
      <c r="E1969" s="314" t="s">
        <v>326</v>
      </c>
      <c r="F1969" s="314"/>
      <c r="G1969" s="315">
        <f>0.95*840</f>
        <v>798</v>
      </c>
      <c r="H1969" s="305" t="s">
        <v>1091</v>
      </c>
      <c r="I1969" s="305"/>
      <c r="J1969" s="305"/>
      <c r="K1969" s="305"/>
    </row>
    <row r="1970" spans="1:12" x14ac:dyDescent="0.25">
      <c r="A1970" s="302" t="str">
        <f t="shared" si="54"/>
        <v>New Construction_≥40% over IL 2015 Code_SF_Lifetime (years)</v>
      </c>
      <c r="B1970" s="387" t="s">
        <v>1092</v>
      </c>
      <c r="C1970" s="379" t="s">
        <v>1096</v>
      </c>
      <c r="D1970" s="387" t="s">
        <v>409</v>
      </c>
      <c r="E1970" s="314" t="s">
        <v>259</v>
      </c>
      <c r="F1970" s="314" t="s">
        <v>548</v>
      </c>
      <c r="G1970" s="315">
        <v>15</v>
      </c>
      <c r="H1970" s="305" t="s">
        <v>1091</v>
      </c>
      <c r="I1970" s="305"/>
      <c r="J1970" s="305"/>
      <c r="K1970" s="305"/>
    </row>
    <row r="1971" spans="1:12" x14ac:dyDescent="0.25">
      <c r="A1971" s="302" t="str">
        <f t="shared" si="54"/>
        <v>New Construction_≥40% over IL 2015 Code_SF_Incremental Cost</v>
      </c>
      <c r="B1971" s="387" t="s">
        <v>1092</v>
      </c>
      <c r="C1971" s="379" t="s">
        <v>1096</v>
      </c>
      <c r="D1971" s="387" t="s">
        <v>409</v>
      </c>
      <c r="E1971" s="314" t="s">
        <v>260</v>
      </c>
      <c r="F1971" s="314" t="s">
        <v>549</v>
      </c>
      <c r="G1971" s="328">
        <v>5000</v>
      </c>
      <c r="H1971" s="305" t="s">
        <v>1091</v>
      </c>
      <c r="I1971" s="305"/>
      <c r="J1971" s="305"/>
      <c r="K1971" s="305"/>
    </row>
    <row r="1972" spans="1:12" s="324" customFormat="1" x14ac:dyDescent="0.25">
      <c r="A1972" s="317" t="str">
        <f t="shared" si="54"/>
        <v>New Construction_≥40% over IL 2015 Code_SF_</v>
      </c>
      <c r="B1972" s="317" t="str">
        <f>B1971</f>
        <v>New Construction</v>
      </c>
      <c r="C1972" s="317" t="str">
        <f>C1971</f>
        <v>≥40% over IL 2015 Code</v>
      </c>
      <c r="D1972" s="317" t="str">
        <f>D1971</f>
        <v>SF</v>
      </c>
      <c r="E1972" s="317"/>
      <c r="F1972" s="317"/>
      <c r="G1972" s="323"/>
      <c r="H1972" s="320"/>
      <c r="I1972" s="320"/>
      <c r="J1972" s="317"/>
      <c r="K1972" s="317"/>
    </row>
    <row r="1973" spans="1:12" x14ac:dyDescent="0.25">
      <c r="A1973" s="302" t="str">
        <f t="shared" si="54"/>
        <v>Steam Traps_Test_MF_Therm Saved per Unit</v>
      </c>
      <c r="B1973" s="303" t="s">
        <v>644</v>
      </c>
      <c r="C1973" s="304" t="s">
        <v>1097</v>
      </c>
      <c r="D1973" s="303" t="s">
        <v>553</v>
      </c>
      <c r="E1973" s="314" t="s">
        <v>326</v>
      </c>
      <c r="F1973" s="314"/>
      <c r="G1973" s="315">
        <v>0</v>
      </c>
      <c r="H1973" s="305" t="s">
        <v>1091</v>
      </c>
      <c r="I1973" s="305"/>
      <c r="J1973" s="305"/>
      <c r="K1973" s="305"/>
    </row>
    <row r="1974" spans="1:12" x14ac:dyDescent="0.25">
      <c r="A1974" s="302" t="str">
        <f t="shared" si="54"/>
        <v>Steam Traps_Test_MF_Lifetime (years)</v>
      </c>
      <c r="B1974" s="303" t="s">
        <v>644</v>
      </c>
      <c r="C1974" s="304" t="s">
        <v>1097</v>
      </c>
      <c r="D1974" s="303" t="s">
        <v>553</v>
      </c>
      <c r="E1974" s="314" t="s">
        <v>259</v>
      </c>
      <c r="F1974" s="314" t="s">
        <v>548</v>
      </c>
      <c r="G1974" s="315">
        <v>3</v>
      </c>
      <c r="H1974" s="305" t="s">
        <v>1091</v>
      </c>
      <c r="I1974" s="305"/>
      <c r="J1974" s="305"/>
      <c r="K1974" s="305"/>
    </row>
    <row r="1975" spans="1:12" x14ac:dyDescent="0.25">
      <c r="A1975" s="302" t="str">
        <f t="shared" si="54"/>
        <v>Steam Traps_Test_MF_Incremental Cost</v>
      </c>
      <c r="B1975" s="303" t="s">
        <v>644</v>
      </c>
      <c r="C1975" s="304" t="s">
        <v>1097</v>
      </c>
      <c r="D1975" s="303" t="s">
        <v>553</v>
      </c>
      <c r="E1975" s="314" t="s">
        <v>260</v>
      </c>
      <c r="F1975" s="314" t="s">
        <v>549</v>
      </c>
      <c r="G1975" s="328">
        <v>20</v>
      </c>
      <c r="H1975" s="305">
        <v>0</v>
      </c>
      <c r="I1975" s="305" t="s">
        <v>633</v>
      </c>
      <c r="J1975" s="305"/>
      <c r="K1975" s="305"/>
    </row>
    <row r="1976" spans="1:12" s="324" customFormat="1" x14ac:dyDescent="0.25">
      <c r="A1976" s="317" t="str">
        <f t="shared" si="54"/>
        <v>Steam Traps_Test_MF_</v>
      </c>
      <c r="B1976" s="317" t="str">
        <f>B1975</f>
        <v>Steam Traps</v>
      </c>
      <c r="C1976" s="317" t="str">
        <f>C1975</f>
        <v>Test</v>
      </c>
      <c r="D1976" s="317" t="str">
        <f>D1975</f>
        <v>MF</v>
      </c>
      <c r="E1976" s="317"/>
      <c r="F1976" s="317"/>
      <c r="G1976" s="323"/>
      <c r="H1976" s="320"/>
      <c r="I1976" s="320"/>
      <c r="J1976" s="317"/>
      <c r="K1976" s="317"/>
    </row>
    <row r="1977" spans="1:12" x14ac:dyDescent="0.25">
      <c r="A1977" s="302" t="str">
        <f t="shared" si="54"/>
        <v>Gas Optimization_0_MF_Therm Saved per Unit</v>
      </c>
      <c r="B1977" s="387" t="s">
        <v>1098</v>
      </c>
      <c r="C1977" s="379">
        <v>0</v>
      </c>
      <c r="D1977" s="387" t="s">
        <v>553</v>
      </c>
      <c r="E1977" s="314" t="s">
        <v>326</v>
      </c>
      <c r="F1977" s="314"/>
      <c r="G1977" s="315">
        <v>1</v>
      </c>
      <c r="H1977" s="305" t="s">
        <v>1091</v>
      </c>
      <c r="I1977" s="305"/>
      <c r="J1977" s="305"/>
      <c r="K1977" s="305"/>
    </row>
    <row r="1978" spans="1:12" x14ac:dyDescent="0.25">
      <c r="A1978" s="302" t="str">
        <f t="shared" si="54"/>
        <v>Gas Optimization_0_MF_Lifetime (years)</v>
      </c>
      <c r="B1978" s="387" t="s">
        <v>1098</v>
      </c>
      <c r="C1978" s="379">
        <v>0</v>
      </c>
      <c r="D1978" s="387" t="s">
        <v>553</v>
      </c>
      <c r="E1978" s="314" t="s">
        <v>259</v>
      </c>
      <c r="F1978" s="314" t="s">
        <v>548</v>
      </c>
      <c r="G1978" s="315">
        <v>5</v>
      </c>
      <c r="H1978" s="305" t="s">
        <v>1091</v>
      </c>
      <c r="I1978" s="305"/>
      <c r="J1978" s="305"/>
      <c r="K1978" s="305"/>
    </row>
    <row r="1979" spans="1:12" x14ac:dyDescent="0.25">
      <c r="A1979" s="302" t="str">
        <f t="shared" si="54"/>
        <v>Gas Optimization_0_MF_Incremental Cost</v>
      </c>
      <c r="B1979" s="387" t="s">
        <v>1098</v>
      </c>
      <c r="C1979" s="379">
        <v>0</v>
      </c>
      <c r="D1979" s="387" t="s">
        <v>553</v>
      </c>
      <c r="E1979" s="314" t="s">
        <v>260</v>
      </c>
      <c r="F1979" s="314" t="s">
        <v>549</v>
      </c>
      <c r="G1979" s="328">
        <v>1.5</v>
      </c>
      <c r="H1979" s="305" t="s">
        <v>1091</v>
      </c>
      <c r="I1979" s="305"/>
      <c r="J1979" s="305"/>
      <c r="K1979" s="305"/>
    </row>
    <row r="1980" spans="1:12" s="324" customFormat="1" x14ac:dyDescent="0.25">
      <c r="A1980" s="317" t="str">
        <f t="shared" si="54"/>
        <v>Gas Optimization_0_MF_</v>
      </c>
      <c r="B1980" s="317" t="str">
        <f>B1979</f>
        <v>Gas Optimization</v>
      </c>
      <c r="C1980" s="317">
        <f>C1979</f>
        <v>0</v>
      </c>
      <c r="D1980" s="317" t="str">
        <f>D1979</f>
        <v>MF</v>
      </c>
      <c r="E1980" s="317"/>
      <c r="F1980" s="317"/>
      <c r="G1980" s="323"/>
      <c r="H1980" s="320"/>
      <c r="I1980" s="320"/>
      <c r="J1980" s="317"/>
      <c r="K1980" s="317"/>
    </row>
    <row r="1981" spans="1:12" s="324" customFormat="1" x14ac:dyDescent="0.25">
      <c r="A1981" s="302" t="str">
        <f t="shared" si="54"/>
        <v>Home Energy Report_2022, Year 1, PGL_SF_Remaining Year Therms</v>
      </c>
      <c r="B1981" s="387" t="s">
        <v>1099</v>
      </c>
      <c r="C1981" s="379" t="s">
        <v>1100</v>
      </c>
      <c r="D1981" s="387" t="s">
        <v>409</v>
      </c>
      <c r="E1981" s="314" t="s">
        <v>320</v>
      </c>
      <c r="F1981" s="326"/>
      <c r="G1981" s="364">
        <v>0</v>
      </c>
      <c r="H1981" s="305" t="s">
        <v>1101</v>
      </c>
      <c r="I1981" s="305"/>
      <c r="J1981" s="305"/>
      <c r="K1981" s="305"/>
      <c r="L1981"/>
    </row>
    <row r="1982" spans="1:12" s="324" customFormat="1" x14ac:dyDescent="0.25">
      <c r="A1982" s="302" t="str">
        <f t="shared" si="54"/>
        <v>Home Energy Report_2022, Year 1, PGL_SF_Therm Saved per Unit</v>
      </c>
      <c r="B1982" s="387" t="s">
        <v>1099</v>
      </c>
      <c r="C1982" s="379" t="s">
        <v>1100</v>
      </c>
      <c r="D1982" s="387" t="s">
        <v>409</v>
      </c>
      <c r="E1982" s="314" t="s">
        <v>326</v>
      </c>
      <c r="F1982" s="326"/>
      <c r="G1982" s="388">
        <f>SUM('[7]Behavior_modified approach'!L51:L52)</f>
        <v>311742.64551254915</v>
      </c>
      <c r="H1982" s="305" t="s">
        <v>1101</v>
      </c>
      <c r="I1982" s="305"/>
      <c r="J1982" s="305"/>
      <c r="K1982" s="305"/>
      <c r="L1982"/>
    </row>
    <row r="1983" spans="1:12" s="324" customFormat="1" x14ac:dyDescent="0.25">
      <c r="A1983" s="302" t="str">
        <f t="shared" si="54"/>
        <v>Home Energy Report_2022, Year 1, PGL_SF_Remaining Life</v>
      </c>
      <c r="B1983" s="387" t="s">
        <v>1099</v>
      </c>
      <c r="C1983" s="379" t="s">
        <v>1100</v>
      </c>
      <c r="D1983" s="387" t="s">
        <v>409</v>
      </c>
      <c r="E1983" s="314" t="s">
        <v>258</v>
      </c>
      <c r="F1983" s="326"/>
      <c r="G1983" s="364">
        <v>0</v>
      </c>
      <c r="H1983" s="305" t="s">
        <v>1101</v>
      </c>
      <c r="I1983" s="305"/>
      <c r="J1983" s="305"/>
      <c r="K1983" s="305"/>
      <c r="L1983"/>
    </row>
    <row r="1984" spans="1:12" s="324" customFormat="1" x14ac:dyDescent="0.25">
      <c r="A1984" s="302" t="str">
        <f t="shared" si="54"/>
        <v>Home Energy Report_2022, Year 1, PGL_SF_Lifetime (years)</v>
      </c>
      <c r="B1984" s="387" t="s">
        <v>1099</v>
      </c>
      <c r="C1984" s="379" t="s">
        <v>1100</v>
      </c>
      <c r="D1984" s="387" t="s">
        <v>409</v>
      </c>
      <c r="E1984" s="314" t="s">
        <v>259</v>
      </c>
      <c r="F1984" s="326"/>
      <c r="G1984" s="364">
        <v>1</v>
      </c>
      <c r="H1984" s="305" t="s">
        <v>1101</v>
      </c>
      <c r="I1984" s="305"/>
      <c r="J1984" s="305"/>
      <c r="K1984" s="305"/>
      <c r="L1984"/>
    </row>
    <row r="1985" spans="1:12" s="324" customFormat="1" x14ac:dyDescent="0.25">
      <c r="A1985" s="302" t="str">
        <f t="shared" si="54"/>
        <v>Home Energy Report_2022, Year 1, PGL_SF_Incremental Cost</v>
      </c>
      <c r="B1985" s="387" t="s">
        <v>1099</v>
      </c>
      <c r="C1985" s="379" t="s">
        <v>1100</v>
      </c>
      <c r="D1985" s="387" t="s">
        <v>409</v>
      </c>
      <c r="E1985" s="314" t="s">
        <v>260</v>
      </c>
      <c r="F1985" s="326"/>
      <c r="G1985" s="364">
        <v>0</v>
      </c>
      <c r="H1985" s="305" t="s">
        <v>1101</v>
      </c>
      <c r="I1985" s="305"/>
      <c r="J1985" s="305"/>
      <c r="K1985" s="305"/>
      <c r="L1985"/>
    </row>
    <row r="1986" spans="1:12" s="324" customFormat="1" x14ac:dyDescent="0.25">
      <c r="A1986" s="317" t="str">
        <f t="shared" si="54"/>
        <v>Home Energy Report_2022, Year 1, PGL_SF_</v>
      </c>
      <c r="B1986" s="380" t="str">
        <f>B1985</f>
        <v>Home Energy Report</v>
      </c>
      <c r="C1986" s="380" t="str">
        <f>C1985</f>
        <v>2022, Year 1, PGL</v>
      </c>
      <c r="D1986" s="317" t="str">
        <f>D1985</f>
        <v>SF</v>
      </c>
      <c r="E1986" s="317"/>
      <c r="F1986" s="317"/>
      <c r="G1986" s="323"/>
      <c r="H1986" s="320"/>
      <c r="I1986" s="320"/>
      <c r="J1986" s="317"/>
      <c r="K1986" s="317"/>
    </row>
    <row r="1987" spans="1:12" s="324" customFormat="1" x14ac:dyDescent="0.25">
      <c r="A1987" s="302" t="str">
        <f t="shared" si="54"/>
        <v>Home Energy Report_2022, Year 2, PGL_SF_Remaining Year Therms</v>
      </c>
      <c r="B1987" s="387" t="s">
        <v>1099</v>
      </c>
      <c r="C1987" s="379" t="s">
        <v>1102</v>
      </c>
      <c r="D1987" s="387" t="s">
        <v>409</v>
      </c>
      <c r="E1987" s="314" t="s">
        <v>320</v>
      </c>
      <c r="F1987" s="326"/>
      <c r="G1987" s="364">
        <v>0</v>
      </c>
      <c r="H1987" s="305" t="s">
        <v>1101</v>
      </c>
      <c r="I1987" s="305"/>
      <c r="J1987" s="305"/>
      <c r="K1987" s="305"/>
      <c r="L1987"/>
    </row>
    <row r="1988" spans="1:12" s="324" customFormat="1" x14ac:dyDescent="0.25">
      <c r="A1988" s="302" t="str">
        <f t="shared" si="54"/>
        <v>Home Energy Report_2022, Year 2, PGL_SF_Therm Saved per Unit</v>
      </c>
      <c r="B1988" s="387" t="s">
        <v>1099</v>
      </c>
      <c r="C1988" s="379" t="s">
        <v>1102</v>
      </c>
      <c r="D1988" s="387" t="s">
        <v>409</v>
      </c>
      <c r="E1988" s="314" t="s">
        <v>326</v>
      </c>
      <c r="F1988" s="326"/>
      <c r="G1988" s="388">
        <f>SUM('[7]Behavior_modified approach'!M51:M52)</f>
        <v>213220.37559566813</v>
      </c>
      <c r="H1988" s="305" t="s">
        <v>1101</v>
      </c>
      <c r="I1988" s="305"/>
      <c r="J1988" s="305"/>
      <c r="K1988" s="305"/>
      <c r="L1988"/>
    </row>
    <row r="1989" spans="1:12" s="324" customFormat="1" x14ac:dyDescent="0.25">
      <c r="A1989" s="302" t="str">
        <f t="shared" si="54"/>
        <v>Home Energy Report_2022, Year 2, PGL_SF_Remaining Life</v>
      </c>
      <c r="B1989" s="387" t="s">
        <v>1099</v>
      </c>
      <c r="C1989" s="379" t="s">
        <v>1102</v>
      </c>
      <c r="D1989" s="387" t="s">
        <v>409</v>
      </c>
      <c r="E1989" s="314" t="s">
        <v>258</v>
      </c>
      <c r="F1989" s="326"/>
      <c r="G1989" s="364">
        <v>1</v>
      </c>
      <c r="H1989" s="305" t="s">
        <v>1101</v>
      </c>
      <c r="I1989" s="305"/>
      <c r="J1989" s="305"/>
      <c r="K1989" s="305"/>
      <c r="L1989"/>
    </row>
    <row r="1990" spans="1:12" s="324" customFormat="1" x14ac:dyDescent="0.25">
      <c r="A1990" s="302" t="str">
        <f t="shared" si="54"/>
        <v>Home Energy Report_2022, Year 2, PGL_SF_Lifetime (years)</v>
      </c>
      <c r="B1990" s="387" t="s">
        <v>1099</v>
      </c>
      <c r="C1990" s="379" t="s">
        <v>1102</v>
      </c>
      <c r="D1990" s="387" t="s">
        <v>409</v>
      </c>
      <c r="E1990" s="314" t="s">
        <v>259</v>
      </c>
      <c r="F1990" s="326"/>
      <c r="G1990" s="364">
        <v>2</v>
      </c>
      <c r="H1990" s="305" t="s">
        <v>1101</v>
      </c>
      <c r="I1990" s="305"/>
      <c r="J1990" s="305"/>
      <c r="K1990" s="305"/>
      <c r="L1990"/>
    </row>
    <row r="1991" spans="1:12" s="324" customFormat="1" x14ac:dyDescent="0.25">
      <c r="A1991" s="302" t="str">
        <f t="shared" ref="A1991:A2054" si="55">B1991&amp;"_"&amp;C1991&amp;"_"&amp;D1991&amp;"_"&amp;E1991</f>
        <v>Home Energy Report_2022, Year 2, PGL_SF_Incremental Cost</v>
      </c>
      <c r="B1991" s="387" t="s">
        <v>1099</v>
      </c>
      <c r="C1991" s="379" t="s">
        <v>1102</v>
      </c>
      <c r="D1991" s="387" t="s">
        <v>409</v>
      </c>
      <c r="E1991" s="314" t="s">
        <v>260</v>
      </c>
      <c r="F1991" s="326"/>
      <c r="G1991" s="364">
        <v>0</v>
      </c>
      <c r="H1991" s="305" t="s">
        <v>1101</v>
      </c>
      <c r="I1991" s="305"/>
      <c r="J1991" s="305"/>
      <c r="K1991" s="305"/>
      <c r="L1991"/>
    </row>
    <row r="1992" spans="1:12" s="324" customFormat="1" x14ac:dyDescent="0.25">
      <c r="A1992" s="317" t="str">
        <f t="shared" si="55"/>
        <v>Home Energy Report_2022, Year 2, PGL__</v>
      </c>
      <c r="B1992" s="380" t="str">
        <f>B1991</f>
        <v>Home Energy Report</v>
      </c>
      <c r="C1992" s="380" t="str">
        <f>C1991</f>
        <v>2022, Year 2, PGL</v>
      </c>
      <c r="D1992" s="317"/>
      <c r="E1992" s="317"/>
      <c r="F1992" s="317"/>
      <c r="G1992" s="323"/>
      <c r="H1992" s="320"/>
      <c r="I1992" s="320"/>
      <c r="J1992" s="317"/>
      <c r="K1992" s="317"/>
    </row>
    <row r="1993" spans="1:12" s="324" customFormat="1" x14ac:dyDescent="0.25">
      <c r="A1993" s="302" t="str">
        <f t="shared" si="55"/>
        <v>Home Energy Report_2022, Year 3, PGL_SF_Remaining Year Therms</v>
      </c>
      <c r="B1993" s="387" t="s">
        <v>1099</v>
      </c>
      <c r="C1993" s="379" t="s">
        <v>1103</v>
      </c>
      <c r="D1993" s="387" t="s">
        <v>409</v>
      </c>
      <c r="E1993" s="314" t="s">
        <v>320</v>
      </c>
      <c r="F1993" s="326"/>
      <c r="G1993" s="364">
        <v>0</v>
      </c>
      <c r="H1993" s="305" t="s">
        <v>1101</v>
      </c>
      <c r="I1993" s="305"/>
      <c r="J1993" s="305"/>
      <c r="K1993" s="305"/>
      <c r="L1993"/>
    </row>
    <row r="1994" spans="1:12" s="324" customFormat="1" x14ac:dyDescent="0.25">
      <c r="A1994" s="302" t="str">
        <f t="shared" si="55"/>
        <v>Home Energy Report_2022, Year 3, PGL_SF_Therm Saved per Unit</v>
      </c>
      <c r="B1994" s="387" t="s">
        <v>1099</v>
      </c>
      <c r="C1994" s="379" t="s">
        <v>1103</v>
      </c>
      <c r="D1994" s="387" t="s">
        <v>409</v>
      </c>
      <c r="E1994" s="314" t="s">
        <v>326</v>
      </c>
      <c r="F1994" s="326"/>
      <c r="G1994" s="388">
        <f>SUM('[7]Behavior_modified approach'!N51:N52)</f>
        <v>145834.80708714167</v>
      </c>
      <c r="H1994" s="305" t="s">
        <v>1101</v>
      </c>
      <c r="I1994" s="305"/>
      <c r="J1994" s="305"/>
      <c r="K1994" s="305"/>
      <c r="L1994"/>
    </row>
    <row r="1995" spans="1:12" s="324" customFormat="1" x14ac:dyDescent="0.25">
      <c r="A1995" s="302" t="str">
        <f t="shared" si="55"/>
        <v>Home Energy Report_2022, Year 3, PGL_SF_Remaining Life</v>
      </c>
      <c r="B1995" s="387" t="s">
        <v>1099</v>
      </c>
      <c r="C1995" s="379" t="s">
        <v>1103</v>
      </c>
      <c r="D1995" s="387" t="s">
        <v>409</v>
      </c>
      <c r="E1995" s="314" t="s">
        <v>258</v>
      </c>
      <c r="F1995" s="326"/>
      <c r="G1995" s="364">
        <v>2</v>
      </c>
      <c r="H1995" s="305" t="s">
        <v>1101</v>
      </c>
      <c r="I1995" s="305"/>
      <c r="J1995" s="305"/>
      <c r="K1995" s="305"/>
      <c r="L1995"/>
    </row>
    <row r="1996" spans="1:12" s="324" customFormat="1" x14ac:dyDescent="0.25">
      <c r="A1996" s="302" t="str">
        <f t="shared" si="55"/>
        <v>Home Energy Report_2022, Year 3, PGL_SF_Lifetime (years)</v>
      </c>
      <c r="B1996" s="387" t="s">
        <v>1099</v>
      </c>
      <c r="C1996" s="379" t="s">
        <v>1103</v>
      </c>
      <c r="D1996" s="387" t="s">
        <v>409</v>
      </c>
      <c r="E1996" s="314" t="s">
        <v>259</v>
      </c>
      <c r="F1996" s="326"/>
      <c r="G1996" s="364">
        <v>3</v>
      </c>
      <c r="H1996" s="305" t="s">
        <v>1101</v>
      </c>
      <c r="I1996" s="305"/>
      <c r="J1996" s="305"/>
      <c r="K1996" s="305"/>
      <c r="L1996"/>
    </row>
    <row r="1997" spans="1:12" s="324" customFormat="1" x14ac:dyDescent="0.25">
      <c r="A1997" s="302" t="str">
        <f t="shared" si="55"/>
        <v>Home Energy Report_2022, Year 3, PGL_SF_Incremental Cost</v>
      </c>
      <c r="B1997" s="387" t="s">
        <v>1099</v>
      </c>
      <c r="C1997" s="379" t="s">
        <v>1103</v>
      </c>
      <c r="D1997" s="387" t="s">
        <v>409</v>
      </c>
      <c r="E1997" s="314" t="s">
        <v>260</v>
      </c>
      <c r="F1997" s="326"/>
      <c r="G1997" s="364">
        <v>0</v>
      </c>
      <c r="H1997" s="305" t="s">
        <v>1101</v>
      </c>
      <c r="I1997" s="305"/>
      <c r="J1997" s="305"/>
      <c r="K1997" s="305"/>
      <c r="L1997"/>
    </row>
    <row r="1998" spans="1:12" s="324" customFormat="1" x14ac:dyDescent="0.25">
      <c r="A1998" s="317" t="str">
        <f t="shared" si="55"/>
        <v>Home Energy Report_2022, Year 3, PGL__</v>
      </c>
      <c r="B1998" s="380" t="str">
        <f>B1997</f>
        <v>Home Energy Report</v>
      </c>
      <c r="C1998" s="380" t="str">
        <f>C1997</f>
        <v>2022, Year 3, PGL</v>
      </c>
      <c r="D1998" s="317"/>
      <c r="E1998" s="317"/>
      <c r="F1998" s="317"/>
      <c r="G1998" s="323"/>
      <c r="H1998" s="320"/>
      <c r="I1998" s="320"/>
      <c r="J1998" s="317"/>
      <c r="K1998" s="317"/>
    </row>
    <row r="1999" spans="1:12" s="324" customFormat="1" x14ac:dyDescent="0.25">
      <c r="A1999" s="302" t="str">
        <f t="shared" si="55"/>
        <v>Home Energy Report_2022, Year 4, PGL_SF_Remaining Year Therms</v>
      </c>
      <c r="B1999" s="387" t="s">
        <v>1099</v>
      </c>
      <c r="C1999" s="379" t="s">
        <v>1104</v>
      </c>
      <c r="D1999" s="387" t="s">
        <v>409</v>
      </c>
      <c r="E1999" s="314" t="s">
        <v>320</v>
      </c>
      <c r="F1999" s="326"/>
      <c r="G1999" s="364">
        <v>0</v>
      </c>
      <c r="H1999" s="305" t="s">
        <v>1101</v>
      </c>
      <c r="I1999" s="305"/>
      <c r="J1999" s="305"/>
      <c r="K1999" s="305"/>
      <c r="L1999"/>
    </row>
    <row r="2000" spans="1:12" s="324" customFormat="1" x14ac:dyDescent="0.25">
      <c r="A2000" s="302" t="str">
        <f t="shared" si="55"/>
        <v>Home Energy Report_2022, Year 4, PGL_SF_Therm Saved per Unit</v>
      </c>
      <c r="B2000" s="387" t="s">
        <v>1099</v>
      </c>
      <c r="C2000" s="379" t="s">
        <v>1104</v>
      </c>
      <c r="D2000" s="387" t="s">
        <v>409</v>
      </c>
      <c r="E2000" s="314" t="s">
        <v>326</v>
      </c>
      <c r="F2000" s="326"/>
      <c r="G2000" s="388">
        <f>SUM('[7]Behavior_modified approach'!O51:O52)</f>
        <v>98873.173986732218</v>
      </c>
      <c r="H2000" s="305" t="s">
        <v>1101</v>
      </c>
      <c r="I2000" s="305"/>
      <c r="J2000" s="305"/>
      <c r="K2000" s="305"/>
      <c r="L2000"/>
    </row>
    <row r="2001" spans="1:12" s="324" customFormat="1" x14ac:dyDescent="0.25">
      <c r="A2001" s="302" t="str">
        <f t="shared" si="55"/>
        <v>Home Energy Report_2022, Year 4, PGL_SF_Remaining Life</v>
      </c>
      <c r="B2001" s="387" t="s">
        <v>1099</v>
      </c>
      <c r="C2001" s="379" t="s">
        <v>1104</v>
      </c>
      <c r="D2001" s="387" t="s">
        <v>409</v>
      </c>
      <c r="E2001" s="314" t="s">
        <v>258</v>
      </c>
      <c r="F2001" s="326"/>
      <c r="G2001" s="364">
        <v>3</v>
      </c>
      <c r="H2001" s="305" t="s">
        <v>1101</v>
      </c>
      <c r="I2001" s="305"/>
      <c r="J2001" s="305"/>
      <c r="K2001" s="305"/>
      <c r="L2001"/>
    </row>
    <row r="2002" spans="1:12" s="324" customFormat="1" x14ac:dyDescent="0.25">
      <c r="A2002" s="302" t="str">
        <f t="shared" si="55"/>
        <v>Home Energy Report_2022, Year 4, PGL_SF_Lifetime (years)</v>
      </c>
      <c r="B2002" s="387" t="s">
        <v>1099</v>
      </c>
      <c r="C2002" s="379" t="s">
        <v>1104</v>
      </c>
      <c r="D2002" s="387" t="s">
        <v>409</v>
      </c>
      <c r="E2002" s="314" t="s">
        <v>259</v>
      </c>
      <c r="F2002" s="326"/>
      <c r="G2002" s="364">
        <v>4</v>
      </c>
      <c r="H2002" s="305" t="s">
        <v>1101</v>
      </c>
      <c r="I2002" s="305"/>
      <c r="J2002" s="305"/>
      <c r="K2002" s="305"/>
      <c r="L2002"/>
    </row>
    <row r="2003" spans="1:12" s="324" customFormat="1" x14ac:dyDescent="0.25">
      <c r="A2003" s="302" t="str">
        <f t="shared" si="55"/>
        <v>Home Energy Report_2022, Year 4, PGL_SF_Incremental Cost</v>
      </c>
      <c r="B2003" s="387" t="s">
        <v>1099</v>
      </c>
      <c r="C2003" s="379" t="s">
        <v>1104</v>
      </c>
      <c r="D2003" s="387" t="s">
        <v>409</v>
      </c>
      <c r="E2003" s="314" t="s">
        <v>260</v>
      </c>
      <c r="F2003" s="326"/>
      <c r="G2003" s="364">
        <v>0</v>
      </c>
      <c r="H2003" s="305" t="s">
        <v>1101</v>
      </c>
      <c r="I2003" s="305"/>
      <c r="J2003" s="305"/>
      <c r="K2003" s="305"/>
      <c r="L2003"/>
    </row>
    <row r="2004" spans="1:12" s="324" customFormat="1" x14ac:dyDescent="0.25">
      <c r="A2004" s="317" t="str">
        <f t="shared" si="55"/>
        <v>Home Energy Report_2022, Year 4, PGL__</v>
      </c>
      <c r="B2004" s="380" t="str">
        <f>B2003</f>
        <v>Home Energy Report</v>
      </c>
      <c r="C2004" s="380" t="str">
        <f>C2003</f>
        <v>2022, Year 4, PGL</v>
      </c>
      <c r="D2004" s="317"/>
      <c r="E2004" s="317"/>
      <c r="F2004" s="317"/>
      <c r="G2004" s="323"/>
      <c r="H2004" s="320"/>
      <c r="I2004" s="320"/>
      <c r="J2004" s="317"/>
      <c r="K2004" s="317"/>
    </row>
    <row r="2005" spans="1:12" s="324" customFormat="1" x14ac:dyDescent="0.25">
      <c r="A2005" s="302" t="str">
        <f t="shared" si="55"/>
        <v>Home Energy Report_2022, Year 5, PGL_SF_Remaining Year Therms</v>
      </c>
      <c r="B2005" s="387" t="s">
        <v>1099</v>
      </c>
      <c r="C2005" s="379" t="s">
        <v>1105</v>
      </c>
      <c r="D2005" s="387" t="s">
        <v>409</v>
      </c>
      <c r="E2005" s="314" t="s">
        <v>320</v>
      </c>
      <c r="F2005" s="326"/>
      <c r="G2005" s="364">
        <v>0</v>
      </c>
      <c r="H2005" s="305" t="s">
        <v>1101</v>
      </c>
      <c r="I2005" s="305"/>
      <c r="J2005" s="305"/>
      <c r="K2005" s="305"/>
      <c r="L2005"/>
    </row>
    <row r="2006" spans="1:12" s="324" customFormat="1" x14ac:dyDescent="0.25">
      <c r="A2006" s="302" t="str">
        <f t="shared" si="55"/>
        <v>Home Energy Report_2022, Year 5, PGL_SF_Therm Saved per Unit</v>
      </c>
      <c r="B2006" s="387" t="s">
        <v>1099</v>
      </c>
      <c r="C2006" s="379" t="s">
        <v>1105</v>
      </c>
      <c r="D2006" s="387" t="s">
        <v>409</v>
      </c>
      <c r="E2006" s="314" t="s">
        <v>326</v>
      </c>
      <c r="F2006" s="326"/>
      <c r="G2006" s="388">
        <f>SUM('[7]Behavior_modified approach'!P51:P52)</f>
        <v>68193.855975053477</v>
      </c>
      <c r="H2006" s="305" t="s">
        <v>1101</v>
      </c>
      <c r="I2006" s="305"/>
      <c r="J2006" s="305"/>
      <c r="K2006" s="305"/>
      <c r="L2006"/>
    </row>
    <row r="2007" spans="1:12" s="324" customFormat="1" x14ac:dyDescent="0.25">
      <c r="A2007" s="302" t="str">
        <f t="shared" si="55"/>
        <v>Home Energy Report_2022, Year 5, PGL_SF_Remaining Life</v>
      </c>
      <c r="B2007" s="387" t="s">
        <v>1099</v>
      </c>
      <c r="C2007" s="379" t="s">
        <v>1105</v>
      </c>
      <c r="D2007" s="387" t="s">
        <v>409</v>
      </c>
      <c r="E2007" s="314" t="s">
        <v>258</v>
      </c>
      <c r="F2007" s="326"/>
      <c r="G2007" s="364">
        <v>4</v>
      </c>
      <c r="H2007" s="305" t="s">
        <v>1101</v>
      </c>
      <c r="I2007" s="305"/>
      <c r="J2007" s="305"/>
      <c r="K2007" s="305"/>
      <c r="L2007"/>
    </row>
    <row r="2008" spans="1:12" s="324" customFormat="1" x14ac:dyDescent="0.25">
      <c r="A2008" s="302" t="str">
        <f t="shared" si="55"/>
        <v>Home Energy Report_2022, Year 5, PGL_SF_Lifetime (years)</v>
      </c>
      <c r="B2008" s="387" t="s">
        <v>1099</v>
      </c>
      <c r="C2008" s="379" t="s">
        <v>1105</v>
      </c>
      <c r="D2008" s="387" t="s">
        <v>409</v>
      </c>
      <c r="E2008" s="314" t="s">
        <v>259</v>
      </c>
      <c r="F2008" s="326"/>
      <c r="G2008" s="364">
        <v>5</v>
      </c>
      <c r="H2008" s="305" t="s">
        <v>1101</v>
      </c>
      <c r="I2008" s="305"/>
      <c r="J2008" s="305"/>
      <c r="K2008" s="305"/>
      <c r="L2008"/>
    </row>
    <row r="2009" spans="1:12" s="324" customFormat="1" x14ac:dyDescent="0.25">
      <c r="A2009" s="302" t="str">
        <f t="shared" si="55"/>
        <v>Home Energy Report_2022, Year 5, PGL_SF_Incremental Cost</v>
      </c>
      <c r="B2009" s="387" t="s">
        <v>1099</v>
      </c>
      <c r="C2009" s="379" t="s">
        <v>1105</v>
      </c>
      <c r="D2009" s="387" t="s">
        <v>409</v>
      </c>
      <c r="E2009" s="314" t="s">
        <v>260</v>
      </c>
      <c r="F2009" s="326"/>
      <c r="G2009" s="364">
        <v>0</v>
      </c>
      <c r="H2009" s="305" t="s">
        <v>1101</v>
      </c>
      <c r="I2009" s="305"/>
      <c r="J2009" s="305"/>
      <c r="K2009" s="305"/>
      <c r="L2009"/>
    </row>
    <row r="2010" spans="1:12" s="324" customFormat="1" x14ac:dyDescent="0.25">
      <c r="A2010" s="317" t="str">
        <f t="shared" si="55"/>
        <v>Home Energy Report_2022, Year 5, PGL__</v>
      </c>
      <c r="B2010" s="380" t="str">
        <f>B2009</f>
        <v>Home Energy Report</v>
      </c>
      <c r="C2010" s="380" t="str">
        <f>C2009</f>
        <v>2022, Year 5, PGL</v>
      </c>
      <c r="D2010" s="317"/>
      <c r="E2010" s="317"/>
      <c r="F2010" s="317"/>
      <c r="G2010" s="323"/>
      <c r="H2010" s="320"/>
      <c r="I2010" s="320"/>
      <c r="J2010" s="317"/>
      <c r="K2010" s="317"/>
    </row>
    <row r="2011" spans="1:12" s="324" customFormat="1" x14ac:dyDescent="0.25">
      <c r="A2011" s="302" t="str">
        <f t="shared" si="55"/>
        <v>Home Energy Report_2022, Year 6, PGL_SF_Remaining Year Therms</v>
      </c>
      <c r="B2011" s="387" t="s">
        <v>1099</v>
      </c>
      <c r="C2011" s="379" t="s">
        <v>1106</v>
      </c>
      <c r="D2011" s="387" t="s">
        <v>409</v>
      </c>
      <c r="E2011" s="314" t="s">
        <v>320</v>
      </c>
      <c r="F2011" s="326"/>
      <c r="G2011" s="364">
        <v>0</v>
      </c>
      <c r="H2011" s="305" t="s">
        <v>1101</v>
      </c>
      <c r="I2011" s="305"/>
      <c r="J2011" s="305"/>
      <c r="K2011" s="305"/>
      <c r="L2011"/>
    </row>
    <row r="2012" spans="1:12" s="324" customFormat="1" x14ac:dyDescent="0.25">
      <c r="A2012" s="302" t="str">
        <f t="shared" si="55"/>
        <v>Home Energy Report_2022, Year 6, PGL_SF_Therm Saved per Unit</v>
      </c>
      <c r="B2012" s="387" t="s">
        <v>1099</v>
      </c>
      <c r="C2012" s="379" t="s">
        <v>1106</v>
      </c>
      <c r="D2012" s="387" t="s">
        <v>409</v>
      </c>
      <c r="E2012" s="314" t="s">
        <v>326</v>
      </c>
      <c r="F2012" s="326"/>
      <c r="G2012" s="388">
        <f>SUM('[7]Behavior_modified approach'!Q51:Q52)</f>
        <v>47696.624763420026</v>
      </c>
      <c r="H2012" s="305" t="s">
        <v>1101</v>
      </c>
      <c r="I2012" s="305"/>
      <c r="J2012" s="305"/>
      <c r="K2012" s="305"/>
      <c r="L2012"/>
    </row>
    <row r="2013" spans="1:12" s="324" customFormat="1" x14ac:dyDescent="0.25">
      <c r="A2013" s="302" t="str">
        <f t="shared" si="55"/>
        <v>Home Energy Report_2022, Year 6, PGL_SF_Remaining Life</v>
      </c>
      <c r="B2013" s="387" t="s">
        <v>1099</v>
      </c>
      <c r="C2013" s="379" t="s">
        <v>1106</v>
      </c>
      <c r="D2013" s="387" t="s">
        <v>409</v>
      </c>
      <c r="E2013" s="314" t="s">
        <v>258</v>
      </c>
      <c r="F2013" s="326"/>
      <c r="G2013" s="364">
        <v>5</v>
      </c>
      <c r="H2013" s="305" t="s">
        <v>1101</v>
      </c>
      <c r="I2013" s="305"/>
      <c r="J2013" s="305"/>
      <c r="K2013" s="305"/>
      <c r="L2013"/>
    </row>
    <row r="2014" spans="1:12" s="324" customFormat="1" x14ac:dyDescent="0.25">
      <c r="A2014" s="302" t="str">
        <f t="shared" si="55"/>
        <v>Home Energy Report_2022, Year 6, PGL_SF_Lifetime (years)</v>
      </c>
      <c r="B2014" s="387" t="s">
        <v>1099</v>
      </c>
      <c r="C2014" s="379" t="s">
        <v>1106</v>
      </c>
      <c r="D2014" s="387" t="s">
        <v>409</v>
      </c>
      <c r="E2014" s="314" t="s">
        <v>259</v>
      </c>
      <c r="F2014" s="326"/>
      <c r="G2014" s="364">
        <v>6</v>
      </c>
      <c r="H2014" s="305" t="s">
        <v>1101</v>
      </c>
      <c r="I2014" s="305"/>
      <c r="J2014" s="305"/>
      <c r="K2014" s="305"/>
      <c r="L2014"/>
    </row>
    <row r="2015" spans="1:12" s="324" customFormat="1" x14ac:dyDescent="0.25">
      <c r="A2015" s="302" t="str">
        <f t="shared" si="55"/>
        <v>Home Energy Report_2022, Year 6, PGL_SF_Incremental Cost</v>
      </c>
      <c r="B2015" s="387" t="s">
        <v>1099</v>
      </c>
      <c r="C2015" s="379" t="s">
        <v>1106</v>
      </c>
      <c r="D2015" s="387" t="s">
        <v>409</v>
      </c>
      <c r="E2015" s="314" t="s">
        <v>260</v>
      </c>
      <c r="F2015" s="326"/>
      <c r="G2015" s="364">
        <v>0</v>
      </c>
      <c r="H2015" s="305" t="s">
        <v>1101</v>
      </c>
      <c r="I2015" s="305"/>
      <c r="J2015" s="305"/>
      <c r="K2015" s="305"/>
      <c r="L2015"/>
    </row>
    <row r="2016" spans="1:12" s="324" customFormat="1" x14ac:dyDescent="0.25">
      <c r="A2016" s="317" t="str">
        <f t="shared" si="55"/>
        <v>Home Energy Report_2022, Year 6, PGL__</v>
      </c>
      <c r="B2016" s="380" t="str">
        <f>B2015</f>
        <v>Home Energy Report</v>
      </c>
      <c r="C2016" s="380" t="str">
        <f>C2015</f>
        <v>2022, Year 6, PGL</v>
      </c>
      <c r="D2016" s="317"/>
      <c r="E2016" s="317"/>
      <c r="F2016" s="317"/>
      <c r="G2016" s="323"/>
      <c r="H2016" s="320"/>
      <c r="I2016" s="320"/>
      <c r="J2016" s="317"/>
      <c r="K2016" s="317"/>
    </row>
    <row r="2017" spans="1:12" s="324" customFormat="1" x14ac:dyDescent="0.25">
      <c r="A2017" s="302" t="str">
        <f t="shared" si="55"/>
        <v>Home Energy Report_2022, Year 7, PGL_SF_Remaining Year Therms</v>
      </c>
      <c r="B2017" s="387" t="s">
        <v>1099</v>
      </c>
      <c r="C2017" s="379" t="s">
        <v>1107</v>
      </c>
      <c r="D2017" s="387" t="s">
        <v>409</v>
      </c>
      <c r="E2017" s="314" t="s">
        <v>320</v>
      </c>
      <c r="F2017" s="326"/>
      <c r="G2017" s="364">
        <v>0</v>
      </c>
      <c r="H2017" s="305" t="s">
        <v>1101</v>
      </c>
      <c r="I2017" s="305"/>
      <c r="J2017" s="305"/>
      <c r="K2017" s="305"/>
      <c r="L2017"/>
    </row>
    <row r="2018" spans="1:12" s="324" customFormat="1" x14ac:dyDescent="0.25">
      <c r="A2018" s="302" t="str">
        <f t="shared" si="55"/>
        <v>Home Energy Report_2022, Year 7, PGL_SF_Therm Saved per Unit</v>
      </c>
      <c r="B2018" s="387" t="s">
        <v>1099</v>
      </c>
      <c r="C2018" s="379" t="s">
        <v>1107</v>
      </c>
      <c r="D2018" s="387" t="s">
        <v>409</v>
      </c>
      <c r="E2018" s="314" t="s">
        <v>326</v>
      </c>
      <c r="F2018" s="326"/>
      <c r="G2018" s="388">
        <f>SUM('[7]Behavior_modified approach'!R51:R52)</f>
        <v>33294.114540740251</v>
      </c>
      <c r="H2018" s="305" t="s">
        <v>1101</v>
      </c>
      <c r="I2018" s="305"/>
      <c r="J2018" s="305"/>
      <c r="K2018" s="305"/>
      <c r="L2018"/>
    </row>
    <row r="2019" spans="1:12" s="324" customFormat="1" x14ac:dyDescent="0.25">
      <c r="A2019" s="302" t="str">
        <f t="shared" si="55"/>
        <v>Home Energy Report_2022, Year 7, PGL_SF_Remaining Life</v>
      </c>
      <c r="B2019" s="387" t="s">
        <v>1099</v>
      </c>
      <c r="C2019" s="379" t="s">
        <v>1107</v>
      </c>
      <c r="D2019" s="387" t="s">
        <v>409</v>
      </c>
      <c r="E2019" s="314" t="s">
        <v>258</v>
      </c>
      <c r="F2019" s="326"/>
      <c r="G2019" s="364">
        <v>6</v>
      </c>
      <c r="H2019" s="305" t="s">
        <v>1101</v>
      </c>
      <c r="I2019" s="305"/>
      <c r="J2019" s="305"/>
      <c r="K2019" s="305"/>
      <c r="L2019"/>
    </row>
    <row r="2020" spans="1:12" s="324" customFormat="1" x14ac:dyDescent="0.25">
      <c r="A2020" s="302" t="str">
        <f t="shared" si="55"/>
        <v>Home Energy Report_2022, Year 7, PGL_SF_Lifetime (years)</v>
      </c>
      <c r="B2020" s="387" t="s">
        <v>1099</v>
      </c>
      <c r="C2020" s="379" t="s">
        <v>1107</v>
      </c>
      <c r="D2020" s="387" t="s">
        <v>409</v>
      </c>
      <c r="E2020" s="314" t="s">
        <v>259</v>
      </c>
      <c r="F2020" s="326"/>
      <c r="G2020" s="364">
        <v>7</v>
      </c>
      <c r="H2020" s="305" t="s">
        <v>1101</v>
      </c>
      <c r="I2020" s="305"/>
      <c r="J2020" s="305"/>
      <c r="K2020" s="305"/>
      <c r="L2020"/>
    </row>
    <row r="2021" spans="1:12" s="324" customFormat="1" x14ac:dyDescent="0.25">
      <c r="A2021" s="302" t="str">
        <f t="shared" si="55"/>
        <v>Home Energy Report_2022, Year 7, PGL_SF_Incremental Cost</v>
      </c>
      <c r="B2021" s="387" t="s">
        <v>1099</v>
      </c>
      <c r="C2021" s="379" t="s">
        <v>1107</v>
      </c>
      <c r="D2021" s="387" t="s">
        <v>409</v>
      </c>
      <c r="E2021" s="314" t="s">
        <v>260</v>
      </c>
      <c r="F2021" s="326"/>
      <c r="G2021" s="364">
        <v>0</v>
      </c>
      <c r="H2021" s="305" t="s">
        <v>1101</v>
      </c>
      <c r="I2021" s="305"/>
      <c r="J2021" s="305"/>
      <c r="K2021" s="305"/>
      <c r="L2021"/>
    </row>
    <row r="2022" spans="1:12" s="324" customFormat="1" x14ac:dyDescent="0.25">
      <c r="A2022" s="317" t="str">
        <f t="shared" si="55"/>
        <v>Home Energy Report_2022, Year 7, PGL__</v>
      </c>
      <c r="B2022" s="380" t="str">
        <f>B2021</f>
        <v>Home Energy Report</v>
      </c>
      <c r="C2022" s="380" t="str">
        <f>C2021</f>
        <v>2022, Year 7, PGL</v>
      </c>
      <c r="D2022" s="317"/>
      <c r="E2022" s="317"/>
      <c r="F2022" s="317"/>
      <c r="G2022" s="323"/>
      <c r="H2022" s="320"/>
      <c r="I2022" s="320"/>
      <c r="J2022" s="317"/>
      <c r="K2022" s="317"/>
    </row>
    <row r="2023" spans="1:12" s="324" customFormat="1" x14ac:dyDescent="0.25">
      <c r="A2023" s="302" t="str">
        <f t="shared" si="55"/>
        <v>Home Energy Report_2023, Year 1, PGL_SF_Remaining Year Therms</v>
      </c>
      <c r="B2023" s="387" t="s">
        <v>1099</v>
      </c>
      <c r="C2023" s="379" t="s">
        <v>1108</v>
      </c>
      <c r="D2023" s="387" t="s">
        <v>409</v>
      </c>
      <c r="E2023" s="314" t="s">
        <v>320</v>
      </c>
      <c r="F2023" s="326"/>
      <c r="G2023" s="364">
        <v>0</v>
      </c>
      <c r="H2023" s="305" t="s">
        <v>1101</v>
      </c>
      <c r="I2023" s="305"/>
      <c r="J2023" s="305"/>
      <c r="K2023" s="305"/>
      <c r="L2023"/>
    </row>
    <row r="2024" spans="1:12" s="324" customFormat="1" x14ac:dyDescent="0.25">
      <c r="A2024" s="302" t="str">
        <f t="shared" si="55"/>
        <v>Home Energy Report_2023, Year 1, PGL_SF_Therm Saved per Unit</v>
      </c>
      <c r="B2024" s="387" t="s">
        <v>1099</v>
      </c>
      <c r="C2024" s="379" t="s">
        <v>1108</v>
      </c>
      <c r="D2024" s="387" t="s">
        <v>409</v>
      </c>
      <c r="E2024" s="314" t="s">
        <v>326</v>
      </c>
      <c r="F2024" s="326"/>
      <c r="G2024" s="388">
        <f>SUM('[7]Behavior_modified approach'!M53:M54)</f>
        <v>396197.98706769745</v>
      </c>
      <c r="H2024" s="305" t="s">
        <v>1101</v>
      </c>
      <c r="I2024" s="305"/>
      <c r="J2024" s="305"/>
      <c r="K2024" s="305"/>
      <c r="L2024"/>
    </row>
    <row r="2025" spans="1:12" s="324" customFormat="1" x14ac:dyDescent="0.25">
      <c r="A2025" s="302" t="str">
        <f t="shared" si="55"/>
        <v>Home Energy Report_2023, Year 1, PGL_SF_Remaining Life</v>
      </c>
      <c r="B2025" s="387" t="s">
        <v>1099</v>
      </c>
      <c r="C2025" s="379" t="s">
        <v>1108</v>
      </c>
      <c r="D2025" s="387" t="s">
        <v>409</v>
      </c>
      <c r="E2025" s="314" t="s">
        <v>258</v>
      </c>
      <c r="F2025" s="326"/>
      <c r="G2025" s="364">
        <v>0</v>
      </c>
      <c r="H2025" s="305" t="s">
        <v>1101</v>
      </c>
      <c r="I2025" s="305"/>
      <c r="J2025" s="305"/>
      <c r="K2025" s="305"/>
      <c r="L2025"/>
    </row>
    <row r="2026" spans="1:12" s="324" customFormat="1" x14ac:dyDescent="0.25">
      <c r="A2026" s="302" t="str">
        <f t="shared" si="55"/>
        <v>Home Energy Report_2023, Year 1, PGL_SF_Lifetime (years)</v>
      </c>
      <c r="B2026" s="387" t="s">
        <v>1099</v>
      </c>
      <c r="C2026" s="379" t="s">
        <v>1108</v>
      </c>
      <c r="D2026" s="387" t="s">
        <v>409</v>
      </c>
      <c r="E2026" s="314" t="s">
        <v>259</v>
      </c>
      <c r="F2026" s="326"/>
      <c r="G2026" s="364">
        <v>1</v>
      </c>
      <c r="H2026" s="305" t="s">
        <v>1101</v>
      </c>
      <c r="I2026" s="305"/>
      <c r="J2026" s="305"/>
      <c r="K2026" s="305"/>
      <c r="L2026"/>
    </row>
    <row r="2027" spans="1:12" s="324" customFormat="1" x14ac:dyDescent="0.25">
      <c r="A2027" s="302" t="str">
        <f t="shared" si="55"/>
        <v>Home Energy Report_2023, Year 1, PGL_SF_Incremental Cost</v>
      </c>
      <c r="B2027" s="387" t="s">
        <v>1099</v>
      </c>
      <c r="C2027" s="379" t="s">
        <v>1108</v>
      </c>
      <c r="D2027" s="387" t="s">
        <v>409</v>
      </c>
      <c r="E2027" s="314" t="s">
        <v>260</v>
      </c>
      <c r="F2027" s="326"/>
      <c r="G2027" s="364">
        <v>0</v>
      </c>
      <c r="H2027" s="305" t="s">
        <v>1101</v>
      </c>
      <c r="I2027" s="305"/>
      <c r="J2027" s="305"/>
      <c r="K2027" s="305"/>
      <c r="L2027"/>
    </row>
    <row r="2028" spans="1:12" s="324" customFormat="1" x14ac:dyDescent="0.25">
      <c r="A2028" s="317" t="str">
        <f t="shared" si="55"/>
        <v>Home Energy Report_2023, Year 1, PGL_SF_</v>
      </c>
      <c r="B2028" s="380" t="str">
        <f>B2027</f>
        <v>Home Energy Report</v>
      </c>
      <c r="C2028" s="380" t="str">
        <f>C2027</f>
        <v>2023, Year 1, PGL</v>
      </c>
      <c r="D2028" s="317" t="str">
        <f>D2027</f>
        <v>SF</v>
      </c>
      <c r="E2028" s="317"/>
      <c r="F2028" s="317"/>
      <c r="G2028" s="323"/>
      <c r="H2028" s="320"/>
      <c r="I2028" s="320"/>
      <c r="J2028" s="317"/>
      <c r="K2028" s="317"/>
    </row>
    <row r="2029" spans="1:12" s="324" customFormat="1" x14ac:dyDescent="0.25">
      <c r="A2029" s="302" t="str">
        <f t="shared" si="55"/>
        <v>Home Energy Report_2023, Year 2, PGL_SF_Remaining Year Therms</v>
      </c>
      <c r="B2029" s="387" t="s">
        <v>1099</v>
      </c>
      <c r="C2029" s="379" t="s">
        <v>1109</v>
      </c>
      <c r="D2029" s="387" t="s">
        <v>409</v>
      </c>
      <c r="E2029" s="314" t="s">
        <v>320</v>
      </c>
      <c r="F2029" s="326"/>
      <c r="G2029" s="364">
        <v>0</v>
      </c>
      <c r="H2029" s="305" t="s">
        <v>1101</v>
      </c>
      <c r="I2029" s="305"/>
      <c r="J2029" s="305"/>
      <c r="K2029" s="305"/>
      <c r="L2029"/>
    </row>
    <row r="2030" spans="1:12" s="324" customFormat="1" x14ac:dyDescent="0.25">
      <c r="A2030" s="302" t="str">
        <f t="shared" si="55"/>
        <v>Home Energy Report_2023, Year 2, PGL_SF_Therm Saved per Unit</v>
      </c>
      <c r="B2030" s="387" t="s">
        <v>1099</v>
      </c>
      <c r="C2030" s="379" t="str">
        <f>C2029</f>
        <v>2023, Year 2, PGL</v>
      </c>
      <c r="D2030" s="387" t="s">
        <v>409</v>
      </c>
      <c r="E2030" s="314" t="s">
        <v>326</v>
      </c>
      <c r="F2030" s="326"/>
      <c r="G2030" s="389">
        <f>SUM('[7]Behavior_modified approach'!N53:N54)</f>
        <v>270984.68826402992</v>
      </c>
      <c r="H2030" s="305" t="s">
        <v>1101</v>
      </c>
      <c r="I2030" s="305"/>
      <c r="J2030" s="305"/>
      <c r="K2030" s="305"/>
      <c r="L2030"/>
    </row>
    <row r="2031" spans="1:12" s="324" customFormat="1" x14ac:dyDescent="0.25">
      <c r="A2031" s="302" t="str">
        <f t="shared" si="55"/>
        <v>Home Energy Report_2023, Year 2, PGL_SF_Remaining Life</v>
      </c>
      <c r="B2031" s="387" t="s">
        <v>1099</v>
      </c>
      <c r="C2031" s="379" t="str">
        <f>C2029</f>
        <v>2023, Year 2, PGL</v>
      </c>
      <c r="D2031" s="387" t="s">
        <v>409</v>
      </c>
      <c r="E2031" s="314" t="s">
        <v>258</v>
      </c>
      <c r="F2031" s="326"/>
      <c r="G2031" s="364">
        <v>1</v>
      </c>
      <c r="H2031" s="305" t="s">
        <v>1101</v>
      </c>
      <c r="I2031" s="305"/>
      <c r="J2031" s="305"/>
      <c r="K2031" s="305"/>
      <c r="L2031"/>
    </row>
    <row r="2032" spans="1:12" s="324" customFormat="1" x14ac:dyDescent="0.25">
      <c r="A2032" s="302" t="str">
        <f t="shared" si="55"/>
        <v>Home Energy Report_2023, Year 2, PGL_SF_Lifetime (years)</v>
      </c>
      <c r="B2032" s="387" t="s">
        <v>1099</v>
      </c>
      <c r="C2032" s="379" t="str">
        <f>C2030</f>
        <v>2023, Year 2, PGL</v>
      </c>
      <c r="D2032" s="387" t="s">
        <v>409</v>
      </c>
      <c r="E2032" s="314" t="s">
        <v>259</v>
      </c>
      <c r="F2032" s="326"/>
      <c r="G2032" s="364">
        <v>2</v>
      </c>
      <c r="H2032" s="305" t="s">
        <v>1101</v>
      </c>
      <c r="I2032" s="305"/>
      <c r="J2032" s="305"/>
      <c r="K2032" s="305"/>
      <c r="L2032"/>
    </row>
    <row r="2033" spans="1:12" s="324" customFormat="1" x14ac:dyDescent="0.25">
      <c r="A2033" s="302" t="str">
        <f t="shared" si="55"/>
        <v>Home Energy Report_2023, Year 2, PGL_SF_Incremental Cost</v>
      </c>
      <c r="B2033" s="387" t="s">
        <v>1099</v>
      </c>
      <c r="C2033" s="379" t="str">
        <f>C2031</f>
        <v>2023, Year 2, PGL</v>
      </c>
      <c r="D2033" s="387" t="s">
        <v>409</v>
      </c>
      <c r="E2033" s="314" t="s">
        <v>260</v>
      </c>
      <c r="F2033" s="326"/>
      <c r="G2033" s="364">
        <v>0</v>
      </c>
      <c r="H2033" s="305" t="s">
        <v>1101</v>
      </c>
      <c r="I2033" s="305"/>
      <c r="J2033" s="305"/>
      <c r="K2033" s="305"/>
      <c r="L2033"/>
    </row>
    <row r="2034" spans="1:12" s="324" customFormat="1" x14ac:dyDescent="0.25">
      <c r="A2034" s="317" t="str">
        <f t="shared" si="55"/>
        <v>Home Energy Report_2023, Year 2, PGL__</v>
      </c>
      <c r="B2034" s="380" t="str">
        <f>B2033</f>
        <v>Home Energy Report</v>
      </c>
      <c r="C2034" s="380" t="str">
        <f>C2033</f>
        <v>2023, Year 2, PGL</v>
      </c>
      <c r="D2034" s="317"/>
      <c r="E2034" s="317"/>
      <c r="F2034" s="317"/>
      <c r="G2034" s="323"/>
      <c r="H2034" s="320"/>
      <c r="I2034" s="320"/>
      <c r="J2034" s="317"/>
      <c r="K2034" s="317"/>
    </row>
    <row r="2035" spans="1:12" s="324" customFormat="1" x14ac:dyDescent="0.25">
      <c r="A2035" s="302" t="str">
        <f t="shared" si="55"/>
        <v>Home Energy Report_2023, Year 3, PGL_SF_Remaining Year Therms</v>
      </c>
      <c r="B2035" s="387" t="s">
        <v>1099</v>
      </c>
      <c r="C2035" s="379" t="s">
        <v>1110</v>
      </c>
      <c r="D2035" s="387" t="s">
        <v>409</v>
      </c>
      <c r="E2035" s="314" t="s">
        <v>320</v>
      </c>
      <c r="F2035" s="326"/>
      <c r="G2035" s="364">
        <v>0</v>
      </c>
      <c r="H2035" s="305" t="s">
        <v>1101</v>
      </c>
      <c r="I2035" s="305"/>
      <c r="J2035" s="305"/>
      <c r="K2035" s="305"/>
      <c r="L2035"/>
    </row>
    <row r="2036" spans="1:12" s="324" customFormat="1" x14ac:dyDescent="0.25">
      <c r="A2036" s="302" t="str">
        <f t="shared" si="55"/>
        <v>Home Energy Report_2023, Year 3, PGL_SF_Therm Saved per Unit</v>
      </c>
      <c r="B2036" s="387" t="s">
        <v>1099</v>
      </c>
      <c r="C2036" s="379" t="str">
        <f>C2035</f>
        <v>2023, Year 3, PGL</v>
      </c>
      <c r="D2036" s="387" t="s">
        <v>409</v>
      </c>
      <c r="E2036" s="314" t="s">
        <v>326</v>
      </c>
      <c r="F2036" s="326"/>
      <c r="G2036" s="388">
        <f>SUM('[7]Behavior_modified approach'!O53:O54)</f>
        <v>185343.44865564955</v>
      </c>
      <c r="H2036" s="305" t="s">
        <v>1101</v>
      </c>
      <c r="I2036" s="305"/>
      <c r="J2036" s="305"/>
      <c r="K2036" s="305"/>
      <c r="L2036"/>
    </row>
    <row r="2037" spans="1:12" s="324" customFormat="1" x14ac:dyDescent="0.25">
      <c r="A2037" s="302" t="str">
        <f t="shared" si="55"/>
        <v>Home Energy Report_2023, Year 3, PGL_SF_Remaining Life</v>
      </c>
      <c r="B2037" s="387" t="s">
        <v>1099</v>
      </c>
      <c r="C2037" s="379" t="str">
        <f>C2035</f>
        <v>2023, Year 3, PGL</v>
      </c>
      <c r="D2037" s="387" t="s">
        <v>409</v>
      </c>
      <c r="E2037" s="314" t="s">
        <v>258</v>
      </c>
      <c r="F2037" s="326"/>
      <c r="G2037" s="364">
        <v>2</v>
      </c>
      <c r="H2037" s="305" t="s">
        <v>1101</v>
      </c>
      <c r="I2037" s="305"/>
      <c r="J2037" s="305"/>
      <c r="K2037" s="305"/>
      <c r="L2037"/>
    </row>
    <row r="2038" spans="1:12" s="324" customFormat="1" x14ac:dyDescent="0.25">
      <c r="A2038" s="302" t="str">
        <f t="shared" si="55"/>
        <v>Home Energy Report_2023, Year 3, PGL_SF_Lifetime (years)</v>
      </c>
      <c r="B2038" s="387" t="s">
        <v>1099</v>
      </c>
      <c r="C2038" s="379" t="str">
        <f>C2036</f>
        <v>2023, Year 3, PGL</v>
      </c>
      <c r="D2038" s="387" t="s">
        <v>409</v>
      </c>
      <c r="E2038" s="314" t="s">
        <v>259</v>
      </c>
      <c r="F2038" s="326"/>
      <c r="G2038" s="364">
        <v>3</v>
      </c>
      <c r="H2038" s="305" t="s">
        <v>1101</v>
      </c>
      <c r="I2038" s="305"/>
      <c r="J2038" s="305"/>
      <c r="K2038" s="305"/>
      <c r="L2038"/>
    </row>
    <row r="2039" spans="1:12" s="324" customFormat="1" x14ac:dyDescent="0.25">
      <c r="A2039" s="302" t="str">
        <f t="shared" si="55"/>
        <v>Home Energy Report_2023, Year 3, PGL_SF_Incremental Cost</v>
      </c>
      <c r="B2039" s="387" t="s">
        <v>1099</v>
      </c>
      <c r="C2039" s="379" t="str">
        <f>C2037</f>
        <v>2023, Year 3, PGL</v>
      </c>
      <c r="D2039" s="387" t="s">
        <v>409</v>
      </c>
      <c r="E2039" s="314" t="s">
        <v>260</v>
      </c>
      <c r="F2039" s="326"/>
      <c r="G2039" s="364">
        <v>0</v>
      </c>
      <c r="H2039" s="305" t="s">
        <v>1101</v>
      </c>
      <c r="I2039" s="305"/>
      <c r="J2039" s="305"/>
      <c r="K2039" s="305"/>
      <c r="L2039"/>
    </row>
    <row r="2040" spans="1:12" s="324" customFormat="1" x14ac:dyDescent="0.25">
      <c r="A2040" s="317" t="str">
        <f t="shared" si="55"/>
        <v>Home Energy Report_2023, Year 3, PGL__</v>
      </c>
      <c r="B2040" s="380" t="str">
        <f>B2039</f>
        <v>Home Energy Report</v>
      </c>
      <c r="C2040" s="380" t="str">
        <f>C2039</f>
        <v>2023, Year 3, PGL</v>
      </c>
      <c r="D2040" s="317"/>
      <c r="E2040" s="317"/>
      <c r="F2040" s="317"/>
      <c r="G2040" s="323"/>
      <c r="H2040" s="320"/>
      <c r="I2040" s="320"/>
      <c r="J2040" s="317"/>
      <c r="K2040" s="317"/>
    </row>
    <row r="2041" spans="1:12" s="324" customFormat="1" x14ac:dyDescent="0.25">
      <c r="A2041" s="302" t="str">
        <f t="shared" si="55"/>
        <v>Home Energy Report_2023, Year 4, PGL_SF_Remaining Year Therms</v>
      </c>
      <c r="B2041" s="387" t="s">
        <v>1099</v>
      </c>
      <c r="C2041" s="379" t="s">
        <v>1111</v>
      </c>
      <c r="D2041" s="387" t="s">
        <v>409</v>
      </c>
      <c r="E2041" s="314" t="s">
        <v>320</v>
      </c>
      <c r="F2041" s="326"/>
      <c r="G2041" s="364">
        <v>0</v>
      </c>
      <c r="H2041" s="305" t="s">
        <v>1101</v>
      </c>
      <c r="I2041" s="305"/>
      <c r="J2041" s="305"/>
      <c r="K2041" s="305"/>
      <c r="L2041"/>
    </row>
    <row r="2042" spans="1:12" s="324" customFormat="1" x14ac:dyDescent="0.25">
      <c r="A2042" s="302" t="str">
        <f t="shared" si="55"/>
        <v>Home Energy Report_2023, Year 4, PGL_SF_Therm Saved per Unit</v>
      </c>
      <c r="B2042" s="387" t="s">
        <v>1099</v>
      </c>
      <c r="C2042" s="379" t="str">
        <f>C2041</f>
        <v>2023, Year 4, PGL</v>
      </c>
      <c r="D2042" s="387" t="s">
        <v>409</v>
      </c>
      <c r="E2042" s="314" t="s">
        <v>326</v>
      </c>
      <c r="F2042" s="326"/>
      <c r="G2042" s="388">
        <f>SUM('[7]Behavior_modified approach'!P53:P54)</f>
        <v>125659.26757993273</v>
      </c>
      <c r="H2042" s="305" t="s">
        <v>1101</v>
      </c>
      <c r="I2042" s="305"/>
      <c r="J2042" s="305"/>
      <c r="K2042" s="305"/>
      <c r="L2042"/>
    </row>
    <row r="2043" spans="1:12" s="324" customFormat="1" x14ac:dyDescent="0.25">
      <c r="A2043" s="302" t="str">
        <f t="shared" si="55"/>
        <v>Home Energy Report_2023, Year 4, PGL_SF_Remaining Life</v>
      </c>
      <c r="B2043" s="387" t="s">
        <v>1099</v>
      </c>
      <c r="C2043" s="379" t="str">
        <f>C2042</f>
        <v>2023, Year 4, PGL</v>
      </c>
      <c r="D2043" s="387" t="s">
        <v>409</v>
      </c>
      <c r="E2043" s="314" t="s">
        <v>258</v>
      </c>
      <c r="F2043" s="326"/>
      <c r="G2043" s="364">
        <v>3</v>
      </c>
      <c r="H2043" s="305" t="s">
        <v>1101</v>
      </c>
      <c r="I2043" s="305"/>
      <c r="J2043" s="305"/>
      <c r="K2043" s="305"/>
      <c r="L2043"/>
    </row>
    <row r="2044" spans="1:12" s="324" customFormat="1" x14ac:dyDescent="0.25">
      <c r="A2044" s="302" t="str">
        <f t="shared" si="55"/>
        <v>Home Energy Report_2023, Year 4, PGL_SF_Lifetime (years)</v>
      </c>
      <c r="B2044" s="387" t="s">
        <v>1099</v>
      </c>
      <c r="C2044" s="379" t="str">
        <f>C2043</f>
        <v>2023, Year 4, PGL</v>
      </c>
      <c r="D2044" s="387" t="s">
        <v>409</v>
      </c>
      <c r="E2044" s="314" t="s">
        <v>259</v>
      </c>
      <c r="F2044" s="326"/>
      <c r="G2044" s="364">
        <v>4</v>
      </c>
      <c r="H2044" s="305" t="s">
        <v>1101</v>
      </c>
      <c r="I2044" s="305"/>
      <c r="J2044" s="305"/>
      <c r="K2044" s="305"/>
      <c r="L2044"/>
    </row>
    <row r="2045" spans="1:12" s="324" customFormat="1" x14ac:dyDescent="0.25">
      <c r="A2045" s="302" t="str">
        <f t="shared" si="55"/>
        <v>Home Energy Report_2023, Year 4, PGL_SF_Incremental Cost</v>
      </c>
      <c r="B2045" s="387" t="s">
        <v>1099</v>
      </c>
      <c r="C2045" s="379" t="str">
        <f>C2044</f>
        <v>2023, Year 4, PGL</v>
      </c>
      <c r="D2045" s="387" t="s">
        <v>409</v>
      </c>
      <c r="E2045" s="314" t="s">
        <v>260</v>
      </c>
      <c r="F2045" s="326"/>
      <c r="G2045" s="364">
        <v>0</v>
      </c>
      <c r="H2045" s="305" t="s">
        <v>1101</v>
      </c>
      <c r="I2045" s="305"/>
      <c r="J2045" s="305"/>
      <c r="K2045" s="305"/>
      <c r="L2045"/>
    </row>
    <row r="2046" spans="1:12" s="324" customFormat="1" x14ac:dyDescent="0.25">
      <c r="A2046" s="317" t="str">
        <f t="shared" si="55"/>
        <v>Home Energy Report_2023, Year 4, PGL__</v>
      </c>
      <c r="B2046" s="380" t="str">
        <f>B2045</f>
        <v>Home Energy Report</v>
      </c>
      <c r="C2046" s="380" t="str">
        <f>C2045</f>
        <v>2023, Year 4, PGL</v>
      </c>
      <c r="D2046" s="317"/>
      <c r="E2046" s="317"/>
      <c r="F2046" s="317"/>
      <c r="G2046" s="323"/>
      <c r="H2046" s="320"/>
      <c r="I2046" s="320"/>
      <c r="J2046" s="317"/>
      <c r="K2046" s="317"/>
    </row>
    <row r="2047" spans="1:12" s="324" customFormat="1" x14ac:dyDescent="0.25">
      <c r="A2047" s="302" t="str">
        <f t="shared" si="55"/>
        <v>Home Energy Report_2023, Year 5, PGL_SF_Remaining Year Therms</v>
      </c>
      <c r="B2047" s="387" t="s">
        <v>1099</v>
      </c>
      <c r="C2047" s="379" t="s">
        <v>1112</v>
      </c>
      <c r="D2047" s="387" t="s">
        <v>409</v>
      </c>
      <c r="E2047" s="314" t="s">
        <v>320</v>
      </c>
      <c r="F2047" s="326"/>
      <c r="G2047" s="364">
        <v>0</v>
      </c>
      <c r="H2047" s="305" t="s">
        <v>1101</v>
      </c>
      <c r="I2047" s="305"/>
      <c r="J2047" s="305"/>
      <c r="K2047" s="305"/>
      <c r="L2047"/>
    </row>
    <row r="2048" spans="1:12" s="324" customFormat="1" x14ac:dyDescent="0.25">
      <c r="A2048" s="302" t="str">
        <f t="shared" si="55"/>
        <v>Home Energy Report_2023, Year 5, PGL_SF_Therm Saved per Unit</v>
      </c>
      <c r="B2048" s="387" t="s">
        <v>1099</v>
      </c>
      <c r="C2048" s="379" t="str">
        <f>C2047</f>
        <v>2023, Year 5, PGL</v>
      </c>
      <c r="D2048" s="387" t="s">
        <v>409</v>
      </c>
      <c r="E2048" s="314" t="s">
        <v>326</v>
      </c>
      <c r="F2048" s="326"/>
      <c r="G2048" s="388">
        <f>SUM('[7]Behavior_modified approach'!Q53:Q54)</f>
        <v>86668.503192044154</v>
      </c>
      <c r="H2048" s="305" t="s">
        <v>1101</v>
      </c>
      <c r="I2048" s="305"/>
      <c r="J2048" s="305"/>
      <c r="K2048" s="305"/>
      <c r="L2048"/>
    </row>
    <row r="2049" spans="1:12" s="324" customFormat="1" x14ac:dyDescent="0.25">
      <c r="A2049" s="302" t="str">
        <f t="shared" si="55"/>
        <v>Home Energy Report_2023, Year 5, PGL_SF_Remaining Life</v>
      </c>
      <c r="B2049" s="387" t="s">
        <v>1099</v>
      </c>
      <c r="C2049" s="379" t="str">
        <f>C2048</f>
        <v>2023, Year 5, PGL</v>
      </c>
      <c r="D2049" s="387" t="s">
        <v>409</v>
      </c>
      <c r="E2049" s="314" t="s">
        <v>258</v>
      </c>
      <c r="F2049" s="326"/>
      <c r="G2049" s="364">
        <v>4</v>
      </c>
      <c r="H2049" s="305" t="s">
        <v>1101</v>
      </c>
      <c r="I2049" s="305"/>
      <c r="J2049" s="305"/>
      <c r="K2049" s="305"/>
      <c r="L2049"/>
    </row>
    <row r="2050" spans="1:12" s="324" customFormat="1" x14ac:dyDescent="0.25">
      <c r="A2050" s="302" t="str">
        <f t="shared" si="55"/>
        <v>Home Energy Report_2023, Year 5, PGL_SF_Lifetime (years)</v>
      </c>
      <c r="B2050" s="387" t="s">
        <v>1099</v>
      </c>
      <c r="C2050" s="379" t="str">
        <f>C2049</f>
        <v>2023, Year 5, PGL</v>
      </c>
      <c r="D2050" s="387" t="s">
        <v>409</v>
      </c>
      <c r="E2050" s="314" t="s">
        <v>259</v>
      </c>
      <c r="F2050" s="326"/>
      <c r="G2050" s="364">
        <v>5</v>
      </c>
      <c r="H2050" s="305" t="s">
        <v>1101</v>
      </c>
      <c r="I2050" s="305"/>
      <c r="J2050" s="305"/>
      <c r="K2050" s="305"/>
      <c r="L2050"/>
    </row>
    <row r="2051" spans="1:12" s="324" customFormat="1" x14ac:dyDescent="0.25">
      <c r="A2051" s="302" t="str">
        <f t="shared" si="55"/>
        <v>Home Energy Report_2023, Year 5, PGL_SF_Incremental Cost</v>
      </c>
      <c r="B2051" s="387" t="s">
        <v>1099</v>
      </c>
      <c r="C2051" s="379" t="str">
        <f>C2050</f>
        <v>2023, Year 5, PGL</v>
      </c>
      <c r="D2051" s="387" t="s">
        <v>409</v>
      </c>
      <c r="E2051" s="314" t="s">
        <v>260</v>
      </c>
      <c r="F2051" s="326"/>
      <c r="G2051" s="364">
        <v>0</v>
      </c>
      <c r="H2051" s="305" t="s">
        <v>1101</v>
      </c>
      <c r="I2051" s="305"/>
      <c r="J2051" s="305"/>
      <c r="K2051" s="305"/>
      <c r="L2051"/>
    </row>
    <row r="2052" spans="1:12" s="324" customFormat="1" x14ac:dyDescent="0.25">
      <c r="A2052" s="317" t="str">
        <f t="shared" si="55"/>
        <v>Home Energy Report_2023, Year 5, PGL__</v>
      </c>
      <c r="B2052" s="380" t="str">
        <f>B2051</f>
        <v>Home Energy Report</v>
      </c>
      <c r="C2052" s="380" t="str">
        <f>C2051</f>
        <v>2023, Year 5, PGL</v>
      </c>
      <c r="D2052" s="317"/>
      <c r="E2052" s="317"/>
      <c r="F2052" s="317"/>
      <c r="G2052" s="323"/>
      <c r="H2052" s="320"/>
      <c r="I2052" s="320"/>
      <c r="J2052" s="317"/>
      <c r="K2052" s="317"/>
    </row>
    <row r="2053" spans="1:12" s="324" customFormat="1" x14ac:dyDescent="0.25">
      <c r="A2053" s="302" t="str">
        <f t="shared" si="55"/>
        <v>Home Energy Report_2023, Year 6, PGL_SF_Remaining Year Therms</v>
      </c>
      <c r="B2053" s="387" t="s">
        <v>1099</v>
      </c>
      <c r="C2053" s="379" t="s">
        <v>1113</v>
      </c>
      <c r="D2053" s="387" t="s">
        <v>409</v>
      </c>
      <c r="E2053" s="314" t="s">
        <v>320</v>
      </c>
      <c r="F2053" s="326"/>
      <c r="G2053" s="364">
        <v>0</v>
      </c>
      <c r="H2053" s="305" t="s">
        <v>1101</v>
      </c>
      <c r="I2053" s="305"/>
      <c r="J2053" s="305"/>
      <c r="K2053" s="305"/>
      <c r="L2053"/>
    </row>
    <row r="2054" spans="1:12" s="324" customFormat="1" x14ac:dyDescent="0.25">
      <c r="A2054" s="302" t="str">
        <f t="shared" si="55"/>
        <v>Home Energy Report_2023, Year 6, PGL_SF_Therm Saved per Unit</v>
      </c>
      <c r="B2054" s="387" t="s">
        <v>1099</v>
      </c>
      <c r="C2054" s="379" t="s">
        <v>1113</v>
      </c>
      <c r="D2054" s="387" t="s">
        <v>409</v>
      </c>
      <c r="E2054" s="314" t="s">
        <v>326</v>
      </c>
      <c r="F2054" s="326"/>
      <c r="G2054" s="388">
        <f>SUM('[7]Behavior_modified approach'!R53:R54)</f>
        <v>60618.292021357716</v>
      </c>
      <c r="H2054" s="305" t="s">
        <v>1101</v>
      </c>
      <c r="I2054" s="305"/>
      <c r="J2054" s="305"/>
      <c r="K2054" s="305"/>
      <c r="L2054"/>
    </row>
    <row r="2055" spans="1:12" s="324" customFormat="1" x14ac:dyDescent="0.25">
      <c r="A2055" s="302" t="str">
        <f t="shared" ref="A2055:A2118" si="56">B2055&amp;"_"&amp;C2055&amp;"_"&amp;D2055&amp;"_"&amp;E2055</f>
        <v>Home Energy Report_2023, Year 6, PGL_SF_Remaining Life</v>
      </c>
      <c r="B2055" s="387" t="s">
        <v>1099</v>
      </c>
      <c r="C2055" s="379" t="s">
        <v>1113</v>
      </c>
      <c r="D2055" s="387" t="s">
        <v>409</v>
      </c>
      <c r="E2055" s="314" t="s">
        <v>258</v>
      </c>
      <c r="F2055" s="326"/>
      <c r="G2055" s="364">
        <v>5</v>
      </c>
      <c r="H2055" s="305" t="s">
        <v>1101</v>
      </c>
      <c r="I2055" s="305"/>
      <c r="J2055" s="305"/>
      <c r="K2055" s="305"/>
      <c r="L2055"/>
    </row>
    <row r="2056" spans="1:12" s="324" customFormat="1" x14ac:dyDescent="0.25">
      <c r="A2056" s="302" t="str">
        <f t="shared" si="56"/>
        <v>Home Energy Report_2023, Year 6, PGL_SF_Lifetime (years)</v>
      </c>
      <c r="B2056" s="387" t="s">
        <v>1099</v>
      </c>
      <c r="C2056" s="379" t="s">
        <v>1113</v>
      </c>
      <c r="D2056" s="387" t="s">
        <v>409</v>
      </c>
      <c r="E2056" s="314" t="s">
        <v>259</v>
      </c>
      <c r="F2056" s="326"/>
      <c r="G2056" s="364">
        <v>6</v>
      </c>
      <c r="H2056" s="305" t="s">
        <v>1101</v>
      </c>
      <c r="I2056" s="305"/>
      <c r="J2056" s="305"/>
      <c r="K2056" s="305"/>
      <c r="L2056"/>
    </row>
    <row r="2057" spans="1:12" s="324" customFormat="1" x14ac:dyDescent="0.25">
      <c r="A2057" s="302" t="str">
        <f t="shared" si="56"/>
        <v>Home Energy Report_2023, Year 6, PGL_SF_Incremental Cost</v>
      </c>
      <c r="B2057" s="387" t="s">
        <v>1099</v>
      </c>
      <c r="C2057" s="379" t="s">
        <v>1113</v>
      </c>
      <c r="D2057" s="387" t="s">
        <v>409</v>
      </c>
      <c r="E2057" s="314" t="s">
        <v>260</v>
      </c>
      <c r="F2057" s="326"/>
      <c r="G2057" s="364">
        <v>0</v>
      </c>
      <c r="H2057" s="305" t="s">
        <v>1101</v>
      </c>
      <c r="I2057" s="305"/>
      <c r="J2057" s="305"/>
      <c r="K2057" s="305"/>
      <c r="L2057"/>
    </row>
    <row r="2058" spans="1:12" s="324" customFormat="1" x14ac:dyDescent="0.25">
      <c r="A2058" s="317" t="str">
        <f t="shared" si="56"/>
        <v>Home Energy Report_2023, Year 6, PGL__</v>
      </c>
      <c r="B2058" s="380" t="str">
        <f>B2057</f>
        <v>Home Energy Report</v>
      </c>
      <c r="C2058" s="380" t="str">
        <f>C2057</f>
        <v>2023, Year 6, PGL</v>
      </c>
      <c r="D2058" s="317"/>
      <c r="E2058" s="317"/>
      <c r="F2058" s="317"/>
      <c r="G2058" s="323"/>
      <c r="H2058" s="320"/>
      <c r="I2058" s="320"/>
      <c r="J2058" s="317"/>
      <c r="K2058" s="317"/>
    </row>
    <row r="2059" spans="1:12" s="324" customFormat="1" x14ac:dyDescent="0.25">
      <c r="A2059" s="302" t="str">
        <f t="shared" si="56"/>
        <v>Home Energy Report_2023, Year 7, PGL_SF_Remaining Year Therms</v>
      </c>
      <c r="B2059" s="387" t="s">
        <v>1099</v>
      </c>
      <c r="C2059" s="379" t="s">
        <v>1114</v>
      </c>
      <c r="D2059" s="387" t="s">
        <v>409</v>
      </c>
      <c r="E2059" s="314" t="s">
        <v>320</v>
      </c>
      <c r="F2059" s="326"/>
      <c r="G2059" s="364">
        <v>0</v>
      </c>
      <c r="H2059" s="305" t="s">
        <v>1101</v>
      </c>
      <c r="I2059" s="305"/>
      <c r="J2059" s="305"/>
      <c r="K2059" s="305"/>
      <c r="L2059"/>
    </row>
    <row r="2060" spans="1:12" s="324" customFormat="1" x14ac:dyDescent="0.25">
      <c r="A2060" s="302" t="str">
        <f t="shared" si="56"/>
        <v>Home Energy Report_2023, Year 7, PGL_SF_Therm Saved per Unit</v>
      </c>
      <c r="B2060" s="387" t="s">
        <v>1099</v>
      </c>
      <c r="C2060" s="379" t="s">
        <v>1114</v>
      </c>
      <c r="D2060" s="387" t="s">
        <v>409</v>
      </c>
      <c r="E2060" s="314" t="s">
        <v>326</v>
      </c>
      <c r="F2060" s="326"/>
      <c r="G2060" s="388">
        <f>SUM('[7]Behavior_modified approach'!S53:S54)</f>
        <v>42313.945018830083</v>
      </c>
      <c r="H2060" s="305" t="s">
        <v>1101</v>
      </c>
      <c r="I2060" s="305"/>
      <c r="J2060" s="305"/>
      <c r="K2060" s="305"/>
      <c r="L2060"/>
    </row>
    <row r="2061" spans="1:12" s="324" customFormat="1" x14ac:dyDescent="0.25">
      <c r="A2061" s="302" t="str">
        <f t="shared" si="56"/>
        <v>Home Energy Report_2023, Year 7, PGL_SF_Remaining Life</v>
      </c>
      <c r="B2061" s="387" t="s">
        <v>1099</v>
      </c>
      <c r="C2061" s="379" t="s">
        <v>1114</v>
      </c>
      <c r="D2061" s="387" t="s">
        <v>409</v>
      </c>
      <c r="E2061" s="314" t="s">
        <v>258</v>
      </c>
      <c r="F2061" s="326"/>
      <c r="G2061" s="364">
        <v>6</v>
      </c>
      <c r="H2061" s="305" t="s">
        <v>1101</v>
      </c>
      <c r="I2061" s="305"/>
      <c r="J2061" s="305"/>
      <c r="K2061" s="305"/>
      <c r="L2061"/>
    </row>
    <row r="2062" spans="1:12" s="324" customFormat="1" x14ac:dyDescent="0.25">
      <c r="A2062" s="302" t="str">
        <f t="shared" si="56"/>
        <v>Home Energy Report_2023, Year 7, PGL_SF_Lifetime (years)</v>
      </c>
      <c r="B2062" s="387" t="s">
        <v>1099</v>
      </c>
      <c r="C2062" s="379" t="s">
        <v>1114</v>
      </c>
      <c r="D2062" s="387" t="s">
        <v>409</v>
      </c>
      <c r="E2062" s="314" t="s">
        <v>259</v>
      </c>
      <c r="F2062" s="326"/>
      <c r="G2062" s="364">
        <v>7</v>
      </c>
      <c r="H2062" s="305" t="s">
        <v>1101</v>
      </c>
      <c r="I2062" s="305"/>
      <c r="J2062" s="305"/>
      <c r="K2062" s="305"/>
      <c r="L2062"/>
    </row>
    <row r="2063" spans="1:12" s="324" customFormat="1" x14ac:dyDescent="0.25">
      <c r="A2063" s="302" t="str">
        <f t="shared" si="56"/>
        <v>Home Energy Report_2023, Year 7, PGL_SF_Incremental Cost</v>
      </c>
      <c r="B2063" s="387" t="s">
        <v>1099</v>
      </c>
      <c r="C2063" s="379" t="s">
        <v>1114</v>
      </c>
      <c r="D2063" s="387" t="s">
        <v>409</v>
      </c>
      <c r="E2063" s="314" t="s">
        <v>260</v>
      </c>
      <c r="F2063" s="326"/>
      <c r="G2063" s="364">
        <v>0</v>
      </c>
      <c r="H2063" s="305" t="s">
        <v>1101</v>
      </c>
      <c r="I2063" s="305"/>
      <c r="J2063" s="305"/>
      <c r="K2063" s="305"/>
      <c r="L2063"/>
    </row>
    <row r="2064" spans="1:12" s="324" customFormat="1" x14ac:dyDescent="0.25">
      <c r="A2064" s="317" t="str">
        <f t="shared" si="56"/>
        <v>Home Energy Report_2023, Year 7, PGL__</v>
      </c>
      <c r="B2064" s="380" t="str">
        <f>B2063</f>
        <v>Home Energy Report</v>
      </c>
      <c r="C2064" s="380" t="str">
        <f>C2063</f>
        <v>2023, Year 7, PGL</v>
      </c>
      <c r="D2064" s="317"/>
      <c r="E2064" s="317"/>
      <c r="F2064" s="317"/>
      <c r="G2064" s="323"/>
      <c r="H2064" s="320"/>
      <c r="I2064" s="320"/>
      <c r="J2064" s="317"/>
      <c r="K2064" s="317"/>
    </row>
    <row r="2065" spans="1:12" s="324" customFormat="1" x14ac:dyDescent="0.25">
      <c r="A2065" s="302" t="str">
        <f t="shared" si="56"/>
        <v>Home Energy Report_2024, Year 1, PGL_SF_Remaining Year Therms</v>
      </c>
      <c r="B2065" s="387" t="s">
        <v>1099</v>
      </c>
      <c r="C2065" s="379" t="s">
        <v>1115</v>
      </c>
      <c r="D2065" s="387" t="s">
        <v>409</v>
      </c>
      <c r="E2065" s="314" t="s">
        <v>320</v>
      </c>
      <c r="F2065" s="326"/>
      <c r="G2065" s="364">
        <v>0</v>
      </c>
      <c r="H2065" s="305" t="s">
        <v>1101</v>
      </c>
      <c r="I2065" s="305"/>
      <c r="J2065" s="305"/>
      <c r="K2065" s="305"/>
      <c r="L2065"/>
    </row>
    <row r="2066" spans="1:12" s="324" customFormat="1" x14ac:dyDescent="0.25">
      <c r="A2066" s="302" t="str">
        <f t="shared" si="56"/>
        <v>Home Energy Report_2024, Year 1, PGL_SF_Therm Saved per Unit</v>
      </c>
      <c r="B2066" s="387" t="s">
        <v>1099</v>
      </c>
      <c r="C2066" s="379" t="str">
        <f>C2065</f>
        <v>2024, Year 1, PGL</v>
      </c>
      <c r="D2066" s="387" t="s">
        <v>409</v>
      </c>
      <c r="E2066" s="314" t="s">
        <v>326</v>
      </c>
      <c r="F2066" s="326"/>
      <c r="G2066" s="388">
        <f>SUM('[7]Behavior_modified approach'!N55:N56)</f>
        <v>400377.20560946915</v>
      </c>
      <c r="H2066" s="305" t="s">
        <v>1101</v>
      </c>
      <c r="I2066" s="305"/>
      <c r="J2066" s="305"/>
      <c r="K2066" s="305"/>
      <c r="L2066"/>
    </row>
    <row r="2067" spans="1:12" s="324" customFormat="1" x14ac:dyDescent="0.25">
      <c r="A2067" s="302" t="str">
        <f t="shared" si="56"/>
        <v>Home Energy Report_2024, Year 1, PGL_SF_Remaining Life</v>
      </c>
      <c r="B2067" s="387" t="s">
        <v>1099</v>
      </c>
      <c r="C2067" s="379" t="str">
        <f>C2066</f>
        <v>2024, Year 1, PGL</v>
      </c>
      <c r="D2067" s="387" t="s">
        <v>409</v>
      </c>
      <c r="E2067" s="314" t="s">
        <v>258</v>
      </c>
      <c r="F2067" s="326"/>
      <c r="G2067" s="364">
        <v>0</v>
      </c>
      <c r="H2067" s="305" t="s">
        <v>1101</v>
      </c>
      <c r="I2067" s="305"/>
      <c r="J2067" s="305"/>
      <c r="K2067" s="305"/>
      <c r="L2067"/>
    </row>
    <row r="2068" spans="1:12" s="324" customFormat="1" x14ac:dyDescent="0.25">
      <c r="A2068" s="302" t="str">
        <f t="shared" si="56"/>
        <v>Home Energy Report_2024, Year 1, PGL_SF_Lifetime (years)</v>
      </c>
      <c r="B2068" s="387" t="s">
        <v>1099</v>
      </c>
      <c r="C2068" s="379" t="str">
        <f>C2067</f>
        <v>2024, Year 1, PGL</v>
      </c>
      <c r="D2068" s="387" t="s">
        <v>409</v>
      </c>
      <c r="E2068" s="314" t="s">
        <v>259</v>
      </c>
      <c r="F2068" s="326"/>
      <c r="G2068" s="364">
        <v>1</v>
      </c>
      <c r="H2068" s="305" t="s">
        <v>1101</v>
      </c>
      <c r="I2068" s="305"/>
      <c r="J2068" s="305"/>
      <c r="K2068" s="305"/>
      <c r="L2068"/>
    </row>
    <row r="2069" spans="1:12" s="324" customFormat="1" x14ac:dyDescent="0.25">
      <c r="A2069" s="302" t="str">
        <f t="shared" si="56"/>
        <v>Home Energy Report_2024, Year 1, PGL_SF_Incremental Cost</v>
      </c>
      <c r="B2069" s="387" t="s">
        <v>1099</v>
      </c>
      <c r="C2069" s="379" t="str">
        <f>C2068</f>
        <v>2024, Year 1, PGL</v>
      </c>
      <c r="D2069" s="387" t="s">
        <v>409</v>
      </c>
      <c r="E2069" s="314" t="s">
        <v>260</v>
      </c>
      <c r="F2069" s="326"/>
      <c r="G2069" s="364">
        <v>0</v>
      </c>
      <c r="H2069" s="305" t="s">
        <v>1101</v>
      </c>
      <c r="I2069" s="305"/>
      <c r="J2069" s="305"/>
      <c r="K2069" s="305"/>
      <c r="L2069"/>
    </row>
    <row r="2070" spans="1:12" s="324" customFormat="1" x14ac:dyDescent="0.25">
      <c r="A2070" s="317" t="str">
        <f t="shared" si="56"/>
        <v>Home Energy Report_2024, Year 1, PGL_SF_</v>
      </c>
      <c r="B2070" s="380" t="str">
        <f>B2069</f>
        <v>Home Energy Report</v>
      </c>
      <c r="C2070" s="380" t="str">
        <f>C2069</f>
        <v>2024, Year 1, PGL</v>
      </c>
      <c r="D2070" s="317" t="str">
        <f>D2069</f>
        <v>SF</v>
      </c>
      <c r="E2070" s="317"/>
      <c r="F2070" s="317"/>
      <c r="G2070" s="323"/>
      <c r="H2070" s="320"/>
      <c r="I2070" s="320"/>
      <c r="J2070" s="317"/>
      <c r="K2070" s="317"/>
    </row>
    <row r="2071" spans="1:12" s="324" customFormat="1" x14ac:dyDescent="0.25">
      <c r="A2071" s="302" t="str">
        <f t="shared" si="56"/>
        <v>Home Energy Report_2024, Year 2, PGL_SF_Remaining Year Therms</v>
      </c>
      <c r="B2071" s="387" t="s">
        <v>1099</v>
      </c>
      <c r="C2071" s="379" t="s">
        <v>1116</v>
      </c>
      <c r="D2071" s="387" t="s">
        <v>409</v>
      </c>
      <c r="E2071" s="314" t="s">
        <v>320</v>
      </c>
      <c r="F2071" s="326"/>
      <c r="G2071" s="364">
        <v>0</v>
      </c>
      <c r="H2071" s="305" t="s">
        <v>1101</v>
      </c>
      <c r="I2071" s="305"/>
      <c r="J2071" s="305"/>
      <c r="K2071" s="305"/>
      <c r="L2071"/>
    </row>
    <row r="2072" spans="1:12" s="324" customFormat="1" x14ac:dyDescent="0.25">
      <c r="A2072" s="302" t="str">
        <f t="shared" si="56"/>
        <v>Home Energy Report_2024, Year 2, PGL_SF_Therm Saved per Unit</v>
      </c>
      <c r="B2072" s="387" t="s">
        <v>1099</v>
      </c>
      <c r="C2072" s="379" t="str">
        <f>C2071</f>
        <v>2024, Year 2, PGL</v>
      </c>
      <c r="D2072" s="387" t="s">
        <v>409</v>
      </c>
      <c r="E2072" s="314" t="s">
        <v>326</v>
      </c>
      <c r="F2072" s="326"/>
      <c r="G2072" s="389">
        <f>SUM('[7]Behavior_modified approach'!O55:O56)</f>
        <v>273843.11831843539</v>
      </c>
      <c r="H2072" s="305" t="s">
        <v>1101</v>
      </c>
      <c r="I2072" s="305"/>
      <c r="J2072" s="305"/>
      <c r="K2072" s="305"/>
      <c r="L2072"/>
    </row>
    <row r="2073" spans="1:12" s="324" customFormat="1" x14ac:dyDescent="0.25">
      <c r="A2073" s="302" t="str">
        <f t="shared" si="56"/>
        <v>Home Energy Report_2024, Year 2, PGL_SF_Remaining Life</v>
      </c>
      <c r="B2073" s="387" t="s">
        <v>1099</v>
      </c>
      <c r="C2073" s="379" t="str">
        <f>C2071</f>
        <v>2024, Year 2, PGL</v>
      </c>
      <c r="D2073" s="387" t="s">
        <v>409</v>
      </c>
      <c r="E2073" s="314" t="s">
        <v>258</v>
      </c>
      <c r="F2073" s="326"/>
      <c r="G2073" s="364">
        <v>1</v>
      </c>
      <c r="H2073" s="305" t="s">
        <v>1101</v>
      </c>
      <c r="I2073" s="305"/>
      <c r="J2073" s="305"/>
      <c r="K2073" s="305"/>
      <c r="L2073"/>
    </row>
    <row r="2074" spans="1:12" s="324" customFormat="1" x14ac:dyDescent="0.25">
      <c r="A2074" s="302" t="str">
        <f t="shared" si="56"/>
        <v>Home Energy Report_2024, Year 2, PGL_SF_Lifetime (years)</v>
      </c>
      <c r="B2074" s="387" t="s">
        <v>1099</v>
      </c>
      <c r="C2074" s="379" t="str">
        <f>C2072</f>
        <v>2024, Year 2, PGL</v>
      </c>
      <c r="D2074" s="387" t="s">
        <v>409</v>
      </c>
      <c r="E2074" s="314" t="s">
        <v>259</v>
      </c>
      <c r="F2074" s="326"/>
      <c r="G2074" s="364">
        <v>2</v>
      </c>
      <c r="H2074" s="305" t="s">
        <v>1101</v>
      </c>
      <c r="I2074" s="305"/>
      <c r="J2074" s="305"/>
      <c r="K2074" s="305"/>
      <c r="L2074"/>
    </row>
    <row r="2075" spans="1:12" s="324" customFormat="1" x14ac:dyDescent="0.25">
      <c r="A2075" s="302" t="str">
        <f t="shared" si="56"/>
        <v>Home Energy Report_2024, Year 2, PGL_SF_Incremental Cost</v>
      </c>
      <c r="B2075" s="387" t="s">
        <v>1099</v>
      </c>
      <c r="C2075" s="379" t="str">
        <f>C2073</f>
        <v>2024, Year 2, PGL</v>
      </c>
      <c r="D2075" s="387" t="s">
        <v>409</v>
      </c>
      <c r="E2075" s="314" t="s">
        <v>260</v>
      </c>
      <c r="F2075" s="326"/>
      <c r="G2075" s="364">
        <v>0</v>
      </c>
      <c r="H2075" s="305" t="s">
        <v>1101</v>
      </c>
      <c r="I2075" s="305"/>
      <c r="J2075" s="305"/>
      <c r="K2075" s="305"/>
      <c r="L2075"/>
    </row>
    <row r="2076" spans="1:12" s="324" customFormat="1" x14ac:dyDescent="0.25">
      <c r="A2076" s="317" t="str">
        <f t="shared" si="56"/>
        <v>Home Energy Report_2024, Year 2, PGL__</v>
      </c>
      <c r="B2076" s="380" t="str">
        <f>B2075</f>
        <v>Home Energy Report</v>
      </c>
      <c r="C2076" s="380" t="str">
        <f>C2075</f>
        <v>2024, Year 2, PGL</v>
      </c>
      <c r="D2076" s="317"/>
      <c r="E2076" s="317"/>
      <c r="F2076" s="317"/>
      <c r="G2076" s="323"/>
      <c r="H2076" s="320"/>
      <c r="I2076" s="320"/>
      <c r="J2076" s="317"/>
      <c r="K2076" s="317"/>
    </row>
    <row r="2077" spans="1:12" s="324" customFormat="1" x14ac:dyDescent="0.25">
      <c r="A2077" s="302" t="str">
        <f t="shared" si="56"/>
        <v>Home Energy Report_2024, Year 3, PGL_SF_Remaining Year Therms</v>
      </c>
      <c r="B2077" s="387" t="s">
        <v>1099</v>
      </c>
      <c r="C2077" s="379" t="s">
        <v>1117</v>
      </c>
      <c r="D2077" s="387" t="s">
        <v>409</v>
      </c>
      <c r="E2077" s="314" t="s">
        <v>320</v>
      </c>
      <c r="F2077" s="326"/>
      <c r="G2077" s="364">
        <v>0</v>
      </c>
      <c r="H2077" s="305" t="s">
        <v>1101</v>
      </c>
      <c r="I2077" s="305"/>
      <c r="J2077" s="305"/>
      <c r="K2077" s="305"/>
      <c r="L2077"/>
    </row>
    <row r="2078" spans="1:12" s="324" customFormat="1" x14ac:dyDescent="0.25">
      <c r="A2078" s="302" t="str">
        <f t="shared" si="56"/>
        <v>Home Energy Report_2024, Year 3, PGL_SF_Therm Saved per Unit</v>
      </c>
      <c r="B2078" s="387" t="s">
        <v>1099</v>
      </c>
      <c r="C2078" s="379" t="str">
        <f>C2077</f>
        <v>2024, Year 3, PGL</v>
      </c>
      <c r="D2078" s="387" t="s">
        <v>409</v>
      </c>
      <c r="E2078" s="314" t="s">
        <v>326</v>
      </c>
      <c r="F2078" s="326"/>
      <c r="G2078" s="388">
        <f>SUM('[7]Behavior_modified approach'!O53:O54)</f>
        <v>185343.44865564955</v>
      </c>
      <c r="H2078" s="305" t="s">
        <v>1101</v>
      </c>
      <c r="I2078" s="305"/>
      <c r="J2078" s="305"/>
      <c r="K2078" s="305"/>
      <c r="L2078"/>
    </row>
    <row r="2079" spans="1:12" s="324" customFormat="1" x14ac:dyDescent="0.25">
      <c r="A2079" s="302" t="str">
        <f t="shared" si="56"/>
        <v>Home Energy Report_2024, Year 3, PGL_SF_Remaining Life</v>
      </c>
      <c r="B2079" s="387" t="s">
        <v>1099</v>
      </c>
      <c r="C2079" s="379" t="str">
        <f>C2077</f>
        <v>2024, Year 3, PGL</v>
      </c>
      <c r="D2079" s="387" t="s">
        <v>409</v>
      </c>
      <c r="E2079" s="314" t="s">
        <v>258</v>
      </c>
      <c r="F2079" s="326"/>
      <c r="G2079" s="364">
        <v>2</v>
      </c>
      <c r="H2079" s="305" t="s">
        <v>1101</v>
      </c>
      <c r="I2079" s="305"/>
      <c r="J2079" s="305"/>
      <c r="K2079" s="305"/>
      <c r="L2079"/>
    </row>
    <row r="2080" spans="1:12" s="324" customFormat="1" x14ac:dyDescent="0.25">
      <c r="A2080" s="302" t="str">
        <f t="shared" si="56"/>
        <v>Home Energy Report_2024, Year 3, PGL_SF_Lifetime (years)</v>
      </c>
      <c r="B2080" s="387" t="s">
        <v>1099</v>
      </c>
      <c r="C2080" s="379" t="str">
        <f>C2078</f>
        <v>2024, Year 3, PGL</v>
      </c>
      <c r="D2080" s="387" t="s">
        <v>409</v>
      </c>
      <c r="E2080" s="314" t="s">
        <v>259</v>
      </c>
      <c r="F2080" s="326"/>
      <c r="G2080" s="364">
        <v>3</v>
      </c>
      <c r="H2080" s="305" t="s">
        <v>1101</v>
      </c>
      <c r="I2080" s="305"/>
      <c r="J2080" s="305"/>
      <c r="K2080" s="305"/>
      <c r="L2080"/>
    </row>
    <row r="2081" spans="1:12" s="324" customFormat="1" x14ac:dyDescent="0.25">
      <c r="A2081" s="302" t="str">
        <f t="shared" si="56"/>
        <v>Home Energy Report_2024, Year 3, PGL_SF_Incremental Cost</v>
      </c>
      <c r="B2081" s="387" t="s">
        <v>1099</v>
      </c>
      <c r="C2081" s="379" t="str">
        <f>C2079</f>
        <v>2024, Year 3, PGL</v>
      </c>
      <c r="D2081" s="387" t="s">
        <v>409</v>
      </c>
      <c r="E2081" s="314" t="s">
        <v>260</v>
      </c>
      <c r="F2081" s="326"/>
      <c r="G2081" s="364">
        <v>0</v>
      </c>
      <c r="H2081" s="305" t="s">
        <v>1101</v>
      </c>
      <c r="I2081" s="305"/>
      <c r="J2081" s="305"/>
      <c r="K2081" s="305"/>
      <c r="L2081"/>
    </row>
    <row r="2082" spans="1:12" s="324" customFormat="1" x14ac:dyDescent="0.25">
      <c r="A2082" s="317" t="str">
        <f t="shared" si="56"/>
        <v>Home Energy Report_2024, Year 3, PGL__</v>
      </c>
      <c r="B2082" s="380" t="str">
        <f>B2081</f>
        <v>Home Energy Report</v>
      </c>
      <c r="C2082" s="380" t="str">
        <f>C2081</f>
        <v>2024, Year 3, PGL</v>
      </c>
      <c r="D2082" s="317"/>
      <c r="E2082" s="317"/>
      <c r="F2082" s="317"/>
      <c r="G2082" s="323"/>
      <c r="H2082" s="320"/>
      <c r="I2082" s="320"/>
      <c r="J2082" s="317"/>
      <c r="K2082" s="317"/>
    </row>
    <row r="2083" spans="1:12" s="324" customFormat="1" x14ac:dyDescent="0.25">
      <c r="A2083" s="302" t="str">
        <f t="shared" si="56"/>
        <v>Home Energy Report_2024, Year 4, PGL_SF_Remaining Year Therms</v>
      </c>
      <c r="B2083" s="387" t="s">
        <v>1099</v>
      </c>
      <c r="C2083" s="379" t="s">
        <v>1118</v>
      </c>
      <c r="D2083" s="387" t="s">
        <v>409</v>
      </c>
      <c r="E2083" s="314" t="s">
        <v>320</v>
      </c>
      <c r="F2083" s="326"/>
      <c r="G2083" s="364">
        <v>0</v>
      </c>
      <c r="H2083" s="305" t="s">
        <v>1101</v>
      </c>
      <c r="I2083" s="305"/>
      <c r="J2083" s="305"/>
      <c r="K2083" s="305"/>
      <c r="L2083"/>
    </row>
    <row r="2084" spans="1:12" s="324" customFormat="1" x14ac:dyDescent="0.25">
      <c r="A2084" s="302" t="str">
        <f t="shared" si="56"/>
        <v>Home Energy Report_2024, Year 4, PGL_SF_Therm Saved per Unit</v>
      </c>
      <c r="B2084" s="387" t="s">
        <v>1099</v>
      </c>
      <c r="C2084" s="379" t="str">
        <f>C2083</f>
        <v>2024, Year 4, PGL</v>
      </c>
      <c r="D2084" s="387" t="s">
        <v>409</v>
      </c>
      <c r="E2084" s="314" t="s">
        <v>326</v>
      </c>
      <c r="F2084" s="326"/>
      <c r="G2084" s="388">
        <f>SUM('[7]Behavior_modified approach'!Q55:Q56)</f>
        <v>126984.76028347283</v>
      </c>
      <c r="H2084" s="305" t="s">
        <v>1101</v>
      </c>
      <c r="I2084" s="305"/>
      <c r="J2084" s="305"/>
      <c r="K2084" s="305"/>
      <c r="L2084"/>
    </row>
    <row r="2085" spans="1:12" s="324" customFormat="1" x14ac:dyDescent="0.25">
      <c r="A2085" s="302" t="str">
        <f t="shared" si="56"/>
        <v>Home Energy Report_2024, Year 4, PGL_SF_Remaining Life</v>
      </c>
      <c r="B2085" s="387" t="s">
        <v>1099</v>
      </c>
      <c r="C2085" s="379" t="str">
        <f>C2084</f>
        <v>2024, Year 4, PGL</v>
      </c>
      <c r="D2085" s="387" t="s">
        <v>409</v>
      </c>
      <c r="E2085" s="314" t="s">
        <v>258</v>
      </c>
      <c r="F2085" s="326"/>
      <c r="G2085" s="364">
        <v>3</v>
      </c>
      <c r="H2085" s="305" t="s">
        <v>1101</v>
      </c>
      <c r="I2085" s="305"/>
      <c r="J2085" s="305"/>
      <c r="K2085" s="305"/>
      <c r="L2085"/>
    </row>
    <row r="2086" spans="1:12" s="324" customFormat="1" x14ac:dyDescent="0.25">
      <c r="A2086" s="302" t="str">
        <f t="shared" si="56"/>
        <v>Home Energy Report_2024, Year 4, PGL_SF_Lifetime (years)</v>
      </c>
      <c r="B2086" s="387" t="s">
        <v>1099</v>
      </c>
      <c r="C2086" s="379" t="str">
        <f>C2085</f>
        <v>2024, Year 4, PGL</v>
      </c>
      <c r="D2086" s="387" t="s">
        <v>409</v>
      </c>
      <c r="E2086" s="314" t="s">
        <v>259</v>
      </c>
      <c r="F2086" s="326"/>
      <c r="G2086" s="364">
        <v>4</v>
      </c>
      <c r="H2086" s="305" t="s">
        <v>1101</v>
      </c>
      <c r="I2086" s="305"/>
      <c r="J2086" s="305"/>
      <c r="K2086" s="305"/>
      <c r="L2086"/>
    </row>
    <row r="2087" spans="1:12" s="324" customFormat="1" x14ac:dyDescent="0.25">
      <c r="A2087" s="302" t="str">
        <f t="shared" si="56"/>
        <v>Home Energy Report_2024, Year 4, PGL_SF_Incremental Cost</v>
      </c>
      <c r="B2087" s="387" t="s">
        <v>1099</v>
      </c>
      <c r="C2087" s="379" t="str">
        <f>C2086</f>
        <v>2024, Year 4, PGL</v>
      </c>
      <c r="D2087" s="387" t="s">
        <v>409</v>
      </c>
      <c r="E2087" s="314" t="s">
        <v>260</v>
      </c>
      <c r="F2087" s="326"/>
      <c r="G2087" s="364">
        <v>0</v>
      </c>
      <c r="H2087" s="305" t="s">
        <v>1101</v>
      </c>
      <c r="I2087" s="305"/>
      <c r="J2087" s="305"/>
      <c r="K2087" s="305"/>
      <c r="L2087"/>
    </row>
    <row r="2088" spans="1:12" s="324" customFormat="1" x14ac:dyDescent="0.25">
      <c r="A2088" s="317" t="str">
        <f t="shared" si="56"/>
        <v>Home Energy Report_2024, Year 4, PGL__</v>
      </c>
      <c r="B2088" s="380" t="str">
        <f>B2087</f>
        <v>Home Energy Report</v>
      </c>
      <c r="C2088" s="380" t="str">
        <f>C2087</f>
        <v>2024, Year 4, PGL</v>
      </c>
      <c r="D2088" s="317"/>
      <c r="E2088" s="317"/>
      <c r="F2088" s="317"/>
      <c r="G2088" s="323"/>
      <c r="H2088" s="320"/>
      <c r="I2088" s="320"/>
      <c r="J2088" s="317"/>
      <c r="K2088" s="317"/>
    </row>
    <row r="2089" spans="1:12" s="324" customFormat="1" x14ac:dyDescent="0.25">
      <c r="A2089" s="302" t="str">
        <f t="shared" si="56"/>
        <v>Home Energy Report_2024, Year 5, PGL_SF_Remaining Year Therms</v>
      </c>
      <c r="B2089" s="387" t="s">
        <v>1099</v>
      </c>
      <c r="C2089" s="379" t="s">
        <v>1119</v>
      </c>
      <c r="D2089" s="387" t="s">
        <v>409</v>
      </c>
      <c r="E2089" s="314" t="s">
        <v>320</v>
      </c>
      <c r="F2089" s="326"/>
      <c r="G2089" s="364">
        <v>0</v>
      </c>
      <c r="H2089" s="305" t="s">
        <v>1101</v>
      </c>
      <c r="I2089" s="305"/>
      <c r="J2089" s="305"/>
      <c r="K2089" s="305"/>
      <c r="L2089"/>
    </row>
    <row r="2090" spans="1:12" s="324" customFormat="1" x14ac:dyDescent="0.25">
      <c r="A2090" s="302" t="str">
        <f t="shared" si="56"/>
        <v>Home Energy Report_2024, Year 5, PGL_SF_Therm Saved per Unit</v>
      </c>
      <c r="B2090" s="387" t="s">
        <v>1099</v>
      </c>
      <c r="C2090" s="379" t="str">
        <f>C2089</f>
        <v>2024, Year 5, PGL</v>
      </c>
      <c r="D2090" s="387" t="s">
        <v>409</v>
      </c>
      <c r="E2090" s="314" t="s">
        <v>326</v>
      </c>
      <c r="F2090" s="326"/>
      <c r="G2090" s="388">
        <f>SUM('[7]Behavior_modified approach'!R55:R56)</f>
        <v>87582.709289375751</v>
      </c>
      <c r="H2090" s="305" t="s">
        <v>1101</v>
      </c>
      <c r="I2090" s="305"/>
      <c r="J2090" s="305"/>
      <c r="K2090" s="305"/>
      <c r="L2090"/>
    </row>
    <row r="2091" spans="1:12" s="324" customFormat="1" x14ac:dyDescent="0.25">
      <c r="A2091" s="302" t="str">
        <f t="shared" si="56"/>
        <v>Home Energy Report_2024, Year 5, PGL_SF_Remaining Life</v>
      </c>
      <c r="B2091" s="387" t="s">
        <v>1099</v>
      </c>
      <c r="C2091" s="379" t="str">
        <f>C2090</f>
        <v>2024, Year 5, PGL</v>
      </c>
      <c r="D2091" s="387" t="s">
        <v>409</v>
      </c>
      <c r="E2091" s="314" t="s">
        <v>258</v>
      </c>
      <c r="F2091" s="326"/>
      <c r="G2091" s="364">
        <v>4</v>
      </c>
      <c r="H2091" s="305" t="s">
        <v>1101</v>
      </c>
      <c r="I2091" s="305"/>
      <c r="J2091" s="305"/>
      <c r="K2091" s="305"/>
      <c r="L2091"/>
    </row>
    <row r="2092" spans="1:12" s="324" customFormat="1" x14ac:dyDescent="0.25">
      <c r="A2092" s="302" t="str">
        <f t="shared" si="56"/>
        <v>Home Energy Report_2024, Year 5, PGL_SF_Lifetime (years)</v>
      </c>
      <c r="B2092" s="387" t="s">
        <v>1099</v>
      </c>
      <c r="C2092" s="379" t="str">
        <f>C2091</f>
        <v>2024, Year 5, PGL</v>
      </c>
      <c r="D2092" s="387" t="s">
        <v>409</v>
      </c>
      <c r="E2092" s="314" t="s">
        <v>259</v>
      </c>
      <c r="F2092" s="326"/>
      <c r="G2092" s="364">
        <v>5</v>
      </c>
      <c r="H2092" s="305" t="s">
        <v>1101</v>
      </c>
      <c r="I2092" s="305"/>
      <c r="J2092" s="305"/>
      <c r="K2092" s="305"/>
      <c r="L2092"/>
    </row>
    <row r="2093" spans="1:12" s="324" customFormat="1" x14ac:dyDescent="0.25">
      <c r="A2093" s="302" t="str">
        <f t="shared" si="56"/>
        <v>Home Energy Report_2024, Year 5, PGL_SF_Incremental Cost</v>
      </c>
      <c r="B2093" s="387" t="s">
        <v>1099</v>
      </c>
      <c r="C2093" s="379" t="str">
        <f>C2092</f>
        <v>2024, Year 5, PGL</v>
      </c>
      <c r="D2093" s="387" t="s">
        <v>409</v>
      </c>
      <c r="E2093" s="314" t="s">
        <v>260</v>
      </c>
      <c r="F2093" s="326"/>
      <c r="G2093" s="364">
        <v>0</v>
      </c>
      <c r="H2093" s="305" t="s">
        <v>1101</v>
      </c>
      <c r="I2093" s="305"/>
      <c r="J2093" s="305"/>
      <c r="K2093" s="305"/>
      <c r="L2093"/>
    </row>
    <row r="2094" spans="1:12" s="324" customFormat="1" x14ac:dyDescent="0.25">
      <c r="A2094" s="317" t="str">
        <f t="shared" si="56"/>
        <v>Home Energy Report_2024, Year 5, PGL__</v>
      </c>
      <c r="B2094" s="380" t="str">
        <f>B2093</f>
        <v>Home Energy Report</v>
      </c>
      <c r="C2094" s="380" t="str">
        <f>C2093</f>
        <v>2024, Year 5, PGL</v>
      </c>
      <c r="D2094" s="317"/>
      <c r="E2094" s="317"/>
      <c r="F2094" s="317"/>
      <c r="G2094" s="323"/>
      <c r="H2094" s="320"/>
      <c r="I2094" s="320"/>
      <c r="J2094" s="317"/>
      <c r="K2094" s="317"/>
    </row>
    <row r="2095" spans="1:12" s="324" customFormat="1" x14ac:dyDescent="0.25">
      <c r="A2095" s="302" t="str">
        <f t="shared" si="56"/>
        <v>Home Energy Report_2024, Year 6, PGL_SF_Remaining Year Therms</v>
      </c>
      <c r="B2095" s="387" t="s">
        <v>1099</v>
      </c>
      <c r="C2095" s="379" t="s">
        <v>1120</v>
      </c>
      <c r="D2095" s="387" t="s">
        <v>409</v>
      </c>
      <c r="E2095" s="314" t="s">
        <v>320</v>
      </c>
      <c r="F2095" s="326"/>
      <c r="G2095" s="364">
        <v>0</v>
      </c>
      <c r="H2095" s="305" t="s">
        <v>1101</v>
      </c>
      <c r="I2095" s="305"/>
      <c r="J2095" s="305"/>
      <c r="K2095" s="305"/>
      <c r="L2095"/>
    </row>
    <row r="2096" spans="1:12" s="324" customFormat="1" x14ac:dyDescent="0.25">
      <c r="A2096" s="302" t="str">
        <f t="shared" si="56"/>
        <v>Home Energy Report_2024, Year 6, PGL_SF_Therm Saved per Unit</v>
      </c>
      <c r="B2096" s="387" t="s">
        <v>1099</v>
      </c>
      <c r="C2096" s="379" t="s">
        <v>1120</v>
      </c>
      <c r="D2096" s="387" t="s">
        <v>409</v>
      </c>
      <c r="E2096" s="314" t="s">
        <v>326</v>
      </c>
      <c r="F2096" s="326"/>
      <c r="G2096" s="388">
        <f>SUM('[7]Behavior_modified approach'!S55:S56)</f>
        <v>61257.712458248789</v>
      </c>
      <c r="H2096" s="305" t="s">
        <v>1101</v>
      </c>
      <c r="I2096" s="305"/>
      <c r="J2096" s="305"/>
      <c r="K2096" s="305"/>
      <c r="L2096"/>
    </row>
    <row r="2097" spans="1:12" s="324" customFormat="1" x14ac:dyDescent="0.25">
      <c r="A2097" s="302" t="str">
        <f t="shared" si="56"/>
        <v>Home Energy Report_2024, Year 6, PGL_SF_Remaining Life</v>
      </c>
      <c r="B2097" s="387" t="s">
        <v>1099</v>
      </c>
      <c r="C2097" s="379" t="s">
        <v>1120</v>
      </c>
      <c r="D2097" s="387" t="s">
        <v>409</v>
      </c>
      <c r="E2097" s="314" t="s">
        <v>258</v>
      </c>
      <c r="F2097" s="326"/>
      <c r="G2097" s="364">
        <v>5</v>
      </c>
      <c r="H2097" s="305" t="s">
        <v>1101</v>
      </c>
      <c r="I2097" s="305"/>
      <c r="J2097" s="305"/>
      <c r="K2097" s="305"/>
      <c r="L2097"/>
    </row>
    <row r="2098" spans="1:12" s="324" customFormat="1" x14ac:dyDescent="0.25">
      <c r="A2098" s="302" t="str">
        <f t="shared" si="56"/>
        <v>Home Energy Report_2024, Year 6, PGL_SF_Lifetime (years)</v>
      </c>
      <c r="B2098" s="387" t="s">
        <v>1099</v>
      </c>
      <c r="C2098" s="379" t="s">
        <v>1120</v>
      </c>
      <c r="D2098" s="387" t="s">
        <v>409</v>
      </c>
      <c r="E2098" s="314" t="s">
        <v>259</v>
      </c>
      <c r="F2098" s="326"/>
      <c r="G2098" s="364">
        <v>6</v>
      </c>
      <c r="H2098" s="305" t="s">
        <v>1101</v>
      </c>
      <c r="I2098" s="305"/>
      <c r="J2098" s="305"/>
      <c r="K2098" s="305"/>
      <c r="L2098"/>
    </row>
    <row r="2099" spans="1:12" s="324" customFormat="1" x14ac:dyDescent="0.25">
      <c r="A2099" s="302" t="str">
        <f t="shared" si="56"/>
        <v>Home Energy Report_2024, Year 6, PGL_SF_Incremental Cost</v>
      </c>
      <c r="B2099" s="387" t="s">
        <v>1099</v>
      </c>
      <c r="C2099" s="379" t="s">
        <v>1120</v>
      </c>
      <c r="D2099" s="387" t="s">
        <v>409</v>
      </c>
      <c r="E2099" s="314" t="s">
        <v>260</v>
      </c>
      <c r="F2099" s="326"/>
      <c r="G2099" s="364">
        <v>0</v>
      </c>
      <c r="H2099" s="305" t="s">
        <v>1101</v>
      </c>
      <c r="I2099" s="305"/>
      <c r="J2099" s="305"/>
      <c r="K2099" s="305"/>
      <c r="L2099"/>
    </row>
    <row r="2100" spans="1:12" s="324" customFormat="1" x14ac:dyDescent="0.25">
      <c r="A2100" s="317" t="str">
        <f t="shared" si="56"/>
        <v>Home Energy Report_2024, Year 6, PGL__</v>
      </c>
      <c r="B2100" s="380" t="str">
        <f>B2099</f>
        <v>Home Energy Report</v>
      </c>
      <c r="C2100" s="380" t="str">
        <f>C2099</f>
        <v>2024, Year 6, PGL</v>
      </c>
      <c r="D2100" s="317"/>
      <c r="E2100" s="317"/>
      <c r="F2100" s="317"/>
      <c r="G2100" s="323"/>
      <c r="H2100" s="320"/>
      <c r="I2100" s="320"/>
      <c r="J2100" s="317"/>
      <c r="K2100" s="317"/>
    </row>
    <row r="2101" spans="1:12" s="324" customFormat="1" x14ac:dyDescent="0.25">
      <c r="A2101" s="302" t="str">
        <f t="shared" si="56"/>
        <v>Home Energy Report_2024, Year 7, PGL_SF_Remaining Year Therms</v>
      </c>
      <c r="B2101" s="387" t="s">
        <v>1099</v>
      </c>
      <c r="C2101" s="379" t="s">
        <v>1121</v>
      </c>
      <c r="D2101" s="387" t="s">
        <v>409</v>
      </c>
      <c r="E2101" s="314" t="s">
        <v>320</v>
      </c>
      <c r="F2101" s="326"/>
      <c r="G2101" s="364">
        <v>0</v>
      </c>
      <c r="H2101" s="305" t="s">
        <v>1101</v>
      </c>
      <c r="I2101" s="305"/>
      <c r="J2101" s="305"/>
      <c r="K2101" s="305"/>
      <c r="L2101"/>
    </row>
    <row r="2102" spans="1:12" s="324" customFormat="1" x14ac:dyDescent="0.25">
      <c r="A2102" s="302" t="str">
        <f t="shared" si="56"/>
        <v>Home Energy Report_2024, Year 7, PGL_SF_Therm Saved per Unit</v>
      </c>
      <c r="B2102" s="387" t="s">
        <v>1099</v>
      </c>
      <c r="C2102" s="379" t="s">
        <v>1121</v>
      </c>
      <c r="D2102" s="387" t="s">
        <v>409</v>
      </c>
      <c r="E2102" s="314" t="s">
        <v>326</v>
      </c>
      <c r="F2102" s="326"/>
      <c r="G2102" s="388">
        <f>SUM('[7]Behavior_modified approach'!T55:T56)</f>
        <v>42760.28555909131</v>
      </c>
      <c r="H2102" s="305" t="s">
        <v>1101</v>
      </c>
      <c r="I2102" s="305"/>
      <c r="J2102" s="305"/>
      <c r="K2102" s="305"/>
      <c r="L2102"/>
    </row>
    <row r="2103" spans="1:12" s="324" customFormat="1" x14ac:dyDescent="0.25">
      <c r="A2103" s="302" t="str">
        <f t="shared" si="56"/>
        <v>Home Energy Report_2024, Year 7, PGL_SF_Remaining Life</v>
      </c>
      <c r="B2103" s="387" t="s">
        <v>1099</v>
      </c>
      <c r="C2103" s="379" t="s">
        <v>1121</v>
      </c>
      <c r="D2103" s="387" t="s">
        <v>409</v>
      </c>
      <c r="E2103" s="314" t="s">
        <v>258</v>
      </c>
      <c r="F2103" s="326"/>
      <c r="G2103" s="364">
        <v>6</v>
      </c>
      <c r="H2103" s="305" t="s">
        <v>1101</v>
      </c>
      <c r="I2103" s="305"/>
      <c r="J2103" s="305"/>
      <c r="K2103" s="305"/>
      <c r="L2103"/>
    </row>
    <row r="2104" spans="1:12" s="324" customFormat="1" x14ac:dyDescent="0.25">
      <c r="A2104" s="302" t="str">
        <f t="shared" si="56"/>
        <v>Home Energy Report_2024, Year 7, PGL_SF_Lifetime (years)</v>
      </c>
      <c r="B2104" s="387" t="s">
        <v>1099</v>
      </c>
      <c r="C2104" s="379" t="s">
        <v>1121</v>
      </c>
      <c r="D2104" s="387" t="s">
        <v>409</v>
      </c>
      <c r="E2104" s="314" t="s">
        <v>259</v>
      </c>
      <c r="F2104" s="326"/>
      <c r="G2104" s="364">
        <v>7</v>
      </c>
      <c r="H2104" s="305" t="s">
        <v>1101</v>
      </c>
      <c r="I2104" s="305"/>
      <c r="J2104" s="305"/>
      <c r="K2104" s="305"/>
      <c r="L2104"/>
    </row>
    <row r="2105" spans="1:12" s="324" customFormat="1" x14ac:dyDescent="0.25">
      <c r="A2105" s="302" t="str">
        <f t="shared" si="56"/>
        <v>Home Energy Report_2024, Year 7, PGL_SF_Incremental Cost</v>
      </c>
      <c r="B2105" s="387" t="s">
        <v>1099</v>
      </c>
      <c r="C2105" s="379" t="s">
        <v>1121</v>
      </c>
      <c r="D2105" s="387" t="s">
        <v>409</v>
      </c>
      <c r="E2105" s="314" t="s">
        <v>260</v>
      </c>
      <c r="F2105" s="326"/>
      <c r="G2105" s="364">
        <v>0</v>
      </c>
      <c r="H2105" s="305" t="s">
        <v>1101</v>
      </c>
      <c r="I2105" s="305"/>
      <c r="J2105" s="305"/>
      <c r="K2105" s="305"/>
      <c r="L2105"/>
    </row>
    <row r="2106" spans="1:12" s="324" customFormat="1" x14ac:dyDescent="0.25">
      <c r="A2106" s="317" t="str">
        <f t="shared" si="56"/>
        <v>Home Energy Report_2024, Year 7, PGL__</v>
      </c>
      <c r="B2106" s="380" t="str">
        <f>B2105</f>
        <v>Home Energy Report</v>
      </c>
      <c r="C2106" s="380" t="str">
        <f>C2105</f>
        <v>2024, Year 7, PGL</v>
      </c>
      <c r="D2106" s="317"/>
      <c r="E2106" s="317"/>
      <c r="F2106" s="317"/>
      <c r="G2106" s="323"/>
      <c r="H2106" s="320"/>
      <c r="I2106" s="320"/>
      <c r="J2106" s="317"/>
      <c r="K2106" s="317"/>
    </row>
    <row r="2107" spans="1:12" s="324" customFormat="1" x14ac:dyDescent="0.25">
      <c r="A2107" s="302" t="str">
        <f t="shared" si="56"/>
        <v>Home Energy Report_2025, Year 1, PGL_SF_Remaining Year Therms</v>
      </c>
      <c r="B2107" s="387" t="s">
        <v>1099</v>
      </c>
      <c r="C2107" s="379" t="s">
        <v>1122</v>
      </c>
      <c r="D2107" s="387" t="s">
        <v>409</v>
      </c>
      <c r="E2107" s="314" t="s">
        <v>320</v>
      </c>
      <c r="F2107" s="326"/>
      <c r="G2107" s="364">
        <v>0</v>
      </c>
      <c r="H2107" s="305" t="s">
        <v>1101</v>
      </c>
      <c r="I2107" s="305"/>
      <c r="J2107" s="305"/>
      <c r="K2107" s="305"/>
      <c r="L2107"/>
    </row>
    <row r="2108" spans="1:12" s="324" customFormat="1" x14ac:dyDescent="0.25">
      <c r="A2108" s="302" t="str">
        <f t="shared" si="56"/>
        <v>Home Energy Report_2025, Year 1, PGL_SF_Therm Saved per Unit</v>
      </c>
      <c r="B2108" s="387" t="s">
        <v>1099</v>
      </c>
      <c r="C2108" s="379" t="str">
        <f>C2107</f>
        <v>2025, Year 1, PGL</v>
      </c>
      <c r="D2108" s="387" t="s">
        <v>409</v>
      </c>
      <c r="E2108" s="314" t="s">
        <v>326</v>
      </c>
      <c r="F2108" s="326"/>
      <c r="G2108" s="388">
        <f>SUM('[7]Behavior_modified approach'!O57:O58)</f>
        <v>357969.04477069469</v>
      </c>
      <c r="H2108" s="305" t="s">
        <v>1101</v>
      </c>
      <c r="I2108" s="305"/>
      <c r="J2108" s="305"/>
      <c r="K2108" s="305"/>
      <c r="L2108"/>
    </row>
    <row r="2109" spans="1:12" s="324" customFormat="1" x14ac:dyDescent="0.25">
      <c r="A2109" s="302" t="str">
        <f t="shared" si="56"/>
        <v>Home Energy Report_2025, Year 1, PGL_SF_Remaining Life</v>
      </c>
      <c r="B2109" s="387" t="s">
        <v>1099</v>
      </c>
      <c r="C2109" s="379" t="str">
        <f>C2108</f>
        <v>2025, Year 1, PGL</v>
      </c>
      <c r="D2109" s="387" t="s">
        <v>409</v>
      </c>
      <c r="E2109" s="314" t="s">
        <v>258</v>
      </c>
      <c r="F2109" s="326"/>
      <c r="G2109" s="364">
        <v>0</v>
      </c>
      <c r="H2109" s="305" t="s">
        <v>1101</v>
      </c>
      <c r="I2109" s="305"/>
      <c r="J2109" s="305"/>
      <c r="K2109" s="305"/>
      <c r="L2109"/>
    </row>
    <row r="2110" spans="1:12" s="324" customFormat="1" x14ac:dyDescent="0.25">
      <c r="A2110" s="302" t="str">
        <f t="shared" si="56"/>
        <v>Home Energy Report_2025, Year 1, PGL_SF_Lifetime (years)</v>
      </c>
      <c r="B2110" s="387" t="s">
        <v>1099</v>
      </c>
      <c r="C2110" s="379" t="str">
        <f>C2109</f>
        <v>2025, Year 1, PGL</v>
      </c>
      <c r="D2110" s="387" t="s">
        <v>409</v>
      </c>
      <c r="E2110" s="314" t="s">
        <v>259</v>
      </c>
      <c r="F2110" s="326"/>
      <c r="G2110" s="364">
        <v>1</v>
      </c>
      <c r="H2110" s="305" t="s">
        <v>1101</v>
      </c>
      <c r="I2110" s="305"/>
      <c r="J2110" s="305"/>
      <c r="K2110" s="305"/>
      <c r="L2110"/>
    </row>
    <row r="2111" spans="1:12" s="324" customFormat="1" x14ac:dyDescent="0.25">
      <c r="A2111" s="302" t="str">
        <f t="shared" si="56"/>
        <v>Home Energy Report_2025, Year 1, PGL_SF_Incremental Cost</v>
      </c>
      <c r="B2111" s="387" t="s">
        <v>1099</v>
      </c>
      <c r="C2111" s="379" t="str">
        <f>C2110</f>
        <v>2025, Year 1, PGL</v>
      </c>
      <c r="D2111" s="387" t="s">
        <v>409</v>
      </c>
      <c r="E2111" s="314" t="s">
        <v>260</v>
      </c>
      <c r="F2111" s="326"/>
      <c r="G2111" s="364">
        <v>0</v>
      </c>
      <c r="H2111" s="305" t="s">
        <v>1101</v>
      </c>
      <c r="I2111" s="305"/>
      <c r="J2111" s="305"/>
      <c r="K2111" s="305"/>
      <c r="L2111"/>
    </row>
    <row r="2112" spans="1:12" s="324" customFormat="1" x14ac:dyDescent="0.25">
      <c r="A2112" s="317" t="str">
        <f t="shared" si="56"/>
        <v>Home Energy Report_2025, Year 1, PGL_SF_</v>
      </c>
      <c r="B2112" s="380" t="str">
        <f>B2111</f>
        <v>Home Energy Report</v>
      </c>
      <c r="C2112" s="380" t="str">
        <f>C2111</f>
        <v>2025, Year 1, PGL</v>
      </c>
      <c r="D2112" s="317" t="str">
        <f>D2111</f>
        <v>SF</v>
      </c>
      <c r="E2112" s="317"/>
      <c r="F2112" s="317"/>
      <c r="G2112" s="323"/>
      <c r="H2112" s="320"/>
      <c r="I2112" s="320"/>
      <c r="J2112" s="317"/>
      <c r="K2112" s="317"/>
    </row>
    <row r="2113" spans="1:12" s="324" customFormat="1" x14ac:dyDescent="0.25">
      <c r="A2113" s="302" t="str">
        <f t="shared" si="56"/>
        <v>Home Energy Report_2025, Year 2, PGL_SF_Remaining Year Therms</v>
      </c>
      <c r="B2113" s="387" t="s">
        <v>1099</v>
      </c>
      <c r="C2113" s="379" t="s">
        <v>1123</v>
      </c>
      <c r="D2113" s="387" t="s">
        <v>409</v>
      </c>
      <c r="E2113" s="314" t="s">
        <v>320</v>
      </c>
      <c r="F2113" s="326"/>
      <c r="G2113" s="364">
        <v>0</v>
      </c>
      <c r="H2113" s="305" t="s">
        <v>1101</v>
      </c>
      <c r="I2113" s="305"/>
      <c r="J2113" s="305"/>
      <c r="K2113" s="305"/>
      <c r="L2113"/>
    </row>
    <row r="2114" spans="1:12" s="324" customFormat="1" x14ac:dyDescent="0.25">
      <c r="A2114" s="302" t="str">
        <f t="shared" si="56"/>
        <v>Home Energy Report_2025, Year 2, PGL_SF_Therm Saved per Unit</v>
      </c>
      <c r="B2114" s="387" t="s">
        <v>1099</v>
      </c>
      <c r="C2114" s="379" t="str">
        <f>C2113</f>
        <v>2025, Year 2, PGL</v>
      </c>
      <c r="D2114" s="387" t="s">
        <v>409</v>
      </c>
      <c r="E2114" s="314" t="s">
        <v>326</v>
      </c>
      <c r="F2114" s="326"/>
      <c r="G2114" s="389">
        <f>SUM('[7]Behavior_modified approach'!P57:P58)</f>
        <v>244837.51349494967</v>
      </c>
      <c r="H2114" s="305" t="s">
        <v>1101</v>
      </c>
      <c r="I2114" s="305"/>
      <c r="J2114" s="305"/>
      <c r="K2114" s="305"/>
      <c r="L2114"/>
    </row>
    <row r="2115" spans="1:12" s="324" customFormat="1" x14ac:dyDescent="0.25">
      <c r="A2115" s="302" t="str">
        <f t="shared" si="56"/>
        <v>Home Energy Report_2025, Year 2, PGL_SF_Remaining Life</v>
      </c>
      <c r="B2115" s="387" t="s">
        <v>1099</v>
      </c>
      <c r="C2115" s="379" t="str">
        <f>C2113</f>
        <v>2025, Year 2, PGL</v>
      </c>
      <c r="D2115" s="387" t="s">
        <v>409</v>
      </c>
      <c r="E2115" s="314" t="s">
        <v>258</v>
      </c>
      <c r="F2115" s="326"/>
      <c r="G2115" s="364">
        <v>1</v>
      </c>
      <c r="H2115" s="305" t="s">
        <v>1101</v>
      </c>
      <c r="I2115" s="305"/>
      <c r="J2115" s="305"/>
      <c r="K2115" s="305"/>
      <c r="L2115"/>
    </row>
    <row r="2116" spans="1:12" s="324" customFormat="1" x14ac:dyDescent="0.25">
      <c r="A2116" s="302" t="str">
        <f t="shared" si="56"/>
        <v>Home Energy Report_2025, Year 2, PGL_SF_Lifetime (years)</v>
      </c>
      <c r="B2116" s="387" t="s">
        <v>1099</v>
      </c>
      <c r="C2116" s="379" t="str">
        <f>C2114</f>
        <v>2025, Year 2, PGL</v>
      </c>
      <c r="D2116" s="387" t="s">
        <v>409</v>
      </c>
      <c r="E2116" s="314" t="s">
        <v>259</v>
      </c>
      <c r="F2116" s="326"/>
      <c r="G2116" s="364">
        <v>2</v>
      </c>
      <c r="H2116" s="305" t="s">
        <v>1101</v>
      </c>
      <c r="I2116" s="305"/>
      <c r="J2116" s="305"/>
      <c r="K2116" s="305"/>
      <c r="L2116"/>
    </row>
    <row r="2117" spans="1:12" s="324" customFormat="1" x14ac:dyDescent="0.25">
      <c r="A2117" s="302" t="str">
        <f t="shared" si="56"/>
        <v>Home Energy Report_2025, Year 2, PGL_SF_Incremental Cost</v>
      </c>
      <c r="B2117" s="387" t="s">
        <v>1099</v>
      </c>
      <c r="C2117" s="379" t="str">
        <f>C2115</f>
        <v>2025, Year 2, PGL</v>
      </c>
      <c r="D2117" s="387" t="s">
        <v>409</v>
      </c>
      <c r="E2117" s="314" t="s">
        <v>260</v>
      </c>
      <c r="F2117" s="326"/>
      <c r="G2117" s="364">
        <v>0</v>
      </c>
      <c r="H2117" s="305" t="s">
        <v>1101</v>
      </c>
      <c r="I2117" s="305"/>
      <c r="J2117" s="305"/>
      <c r="K2117" s="305"/>
      <c r="L2117"/>
    </row>
    <row r="2118" spans="1:12" s="324" customFormat="1" x14ac:dyDescent="0.25">
      <c r="A2118" s="317" t="str">
        <f t="shared" si="56"/>
        <v>Home Energy Report_2025, Year 2, PGL__</v>
      </c>
      <c r="B2118" s="380" t="str">
        <f>B2117</f>
        <v>Home Energy Report</v>
      </c>
      <c r="C2118" s="380" t="str">
        <f>C2117</f>
        <v>2025, Year 2, PGL</v>
      </c>
      <c r="D2118" s="317"/>
      <c r="E2118" s="317"/>
      <c r="F2118" s="317"/>
      <c r="G2118" s="323"/>
      <c r="H2118" s="320"/>
      <c r="I2118" s="320"/>
      <c r="J2118" s="317"/>
      <c r="K2118" s="317"/>
    </row>
    <row r="2119" spans="1:12" s="324" customFormat="1" x14ac:dyDescent="0.25">
      <c r="A2119" s="302" t="str">
        <f t="shared" ref="A2119:A2182" si="57">B2119&amp;"_"&amp;C2119&amp;"_"&amp;D2119&amp;"_"&amp;E2119</f>
        <v>Home Energy Report_2025, Year 3, PGL_SF_Remaining Year Therms</v>
      </c>
      <c r="B2119" s="387" t="s">
        <v>1099</v>
      </c>
      <c r="C2119" s="379" t="s">
        <v>1124</v>
      </c>
      <c r="D2119" s="387" t="s">
        <v>409</v>
      </c>
      <c r="E2119" s="314" t="s">
        <v>320</v>
      </c>
      <c r="F2119" s="326"/>
      <c r="G2119" s="364">
        <v>0</v>
      </c>
      <c r="H2119" s="305" t="s">
        <v>1101</v>
      </c>
      <c r="I2119" s="305"/>
      <c r="J2119" s="305"/>
      <c r="K2119" s="305"/>
      <c r="L2119"/>
    </row>
    <row r="2120" spans="1:12" s="324" customFormat="1" x14ac:dyDescent="0.25">
      <c r="A2120" s="302" t="str">
        <f t="shared" si="57"/>
        <v>Home Energy Report_2025, Year 3, PGL_SF_Therm Saved per Unit</v>
      </c>
      <c r="B2120" s="387" t="s">
        <v>1099</v>
      </c>
      <c r="C2120" s="379" t="str">
        <f>C2119</f>
        <v>2025, Year 3, PGL</v>
      </c>
      <c r="D2120" s="387" t="s">
        <v>409</v>
      </c>
      <c r="E2120" s="314" t="s">
        <v>326</v>
      </c>
      <c r="F2120" s="326"/>
      <c r="G2120" s="388">
        <f>SUM('[7]Behavior_modified approach'!Q57:Q58)</f>
        <v>167459.7535459779</v>
      </c>
      <c r="H2120" s="305" t="s">
        <v>1101</v>
      </c>
      <c r="I2120" s="305"/>
      <c r="J2120" s="305"/>
      <c r="K2120" s="305"/>
      <c r="L2120"/>
    </row>
    <row r="2121" spans="1:12" s="324" customFormat="1" x14ac:dyDescent="0.25">
      <c r="A2121" s="302" t="str">
        <f t="shared" si="57"/>
        <v>Home Energy Report_2025, Year 3, PGL_SF_Remaining Life</v>
      </c>
      <c r="B2121" s="387" t="s">
        <v>1099</v>
      </c>
      <c r="C2121" s="379" t="str">
        <f>C2119</f>
        <v>2025, Year 3, PGL</v>
      </c>
      <c r="D2121" s="387" t="s">
        <v>409</v>
      </c>
      <c r="E2121" s="314" t="s">
        <v>258</v>
      </c>
      <c r="F2121" s="326"/>
      <c r="G2121" s="364">
        <v>2</v>
      </c>
      <c r="H2121" s="305" t="s">
        <v>1101</v>
      </c>
      <c r="I2121" s="305"/>
      <c r="J2121" s="305"/>
      <c r="K2121" s="305"/>
      <c r="L2121"/>
    </row>
    <row r="2122" spans="1:12" s="324" customFormat="1" x14ac:dyDescent="0.25">
      <c r="A2122" s="302" t="str">
        <f t="shared" si="57"/>
        <v>Home Energy Report_2025, Year 3, PGL_SF_Lifetime (years)</v>
      </c>
      <c r="B2122" s="387" t="s">
        <v>1099</v>
      </c>
      <c r="C2122" s="379" t="str">
        <f>C2120</f>
        <v>2025, Year 3, PGL</v>
      </c>
      <c r="D2122" s="387" t="s">
        <v>409</v>
      </c>
      <c r="E2122" s="314" t="s">
        <v>259</v>
      </c>
      <c r="F2122" s="326"/>
      <c r="G2122" s="364">
        <v>3</v>
      </c>
      <c r="H2122" s="305" t="s">
        <v>1101</v>
      </c>
      <c r="I2122" s="305"/>
      <c r="J2122" s="305"/>
      <c r="K2122" s="305"/>
      <c r="L2122"/>
    </row>
    <row r="2123" spans="1:12" s="324" customFormat="1" x14ac:dyDescent="0.25">
      <c r="A2123" s="302" t="str">
        <f t="shared" si="57"/>
        <v>Home Energy Report_2025, Year 3, PGL_SF_Incremental Cost</v>
      </c>
      <c r="B2123" s="387" t="s">
        <v>1099</v>
      </c>
      <c r="C2123" s="379" t="str">
        <f>C2121</f>
        <v>2025, Year 3, PGL</v>
      </c>
      <c r="D2123" s="387" t="s">
        <v>409</v>
      </c>
      <c r="E2123" s="314" t="s">
        <v>260</v>
      </c>
      <c r="F2123" s="326"/>
      <c r="G2123" s="364">
        <v>0</v>
      </c>
      <c r="H2123" s="305" t="s">
        <v>1101</v>
      </c>
      <c r="I2123" s="305"/>
      <c r="J2123" s="305"/>
      <c r="K2123" s="305"/>
      <c r="L2123"/>
    </row>
    <row r="2124" spans="1:12" s="324" customFormat="1" x14ac:dyDescent="0.25">
      <c r="A2124" s="317" t="str">
        <f t="shared" si="57"/>
        <v>Home Energy Report_2025, Year 3, PGL__</v>
      </c>
      <c r="B2124" s="380" t="str">
        <f>B2123</f>
        <v>Home Energy Report</v>
      </c>
      <c r="C2124" s="380" t="str">
        <f>C2123</f>
        <v>2025, Year 3, PGL</v>
      </c>
      <c r="D2124" s="317"/>
      <c r="E2124" s="317"/>
      <c r="F2124" s="317"/>
      <c r="G2124" s="323"/>
      <c r="H2124" s="320"/>
      <c r="I2124" s="320"/>
      <c r="J2124" s="317"/>
      <c r="K2124" s="317"/>
    </row>
    <row r="2125" spans="1:12" s="324" customFormat="1" x14ac:dyDescent="0.25">
      <c r="A2125" s="302" t="str">
        <f t="shared" si="57"/>
        <v>Home Energy Report_2025, Year 4, PGL_SF_Remaining Year Therms</v>
      </c>
      <c r="B2125" s="387" t="s">
        <v>1099</v>
      </c>
      <c r="C2125" s="379" t="s">
        <v>1125</v>
      </c>
      <c r="D2125" s="387" t="s">
        <v>409</v>
      </c>
      <c r="E2125" s="314" t="s">
        <v>320</v>
      </c>
      <c r="F2125" s="326"/>
      <c r="G2125" s="364">
        <v>0</v>
      </c>
      <c r="H2125" s="305" t="s">
        <v>1101</v>
      </c>
      <c r="I2125" s="305"/>
      <c r="J2125" s="305"/>
      <c r="K2125" s="305"/>
      <c r="L2125"/>
    </row>
    <row r="2126" spans="1:12" s="324" customFormat="1" x14ac:dyDescent="0.25">
      <c r="A2126" s="302" t="str">
        <f t="shared" si="57"/>
        <v>Home Energy Report_2025, Year 4, PGL_SF_Therm Saved per Unit</v>
      </c>
      <c r="B2126" s="387" t="s">
        <v>1099</v>
      </c>
      <c r="C2126" s="379" t="str">
        <f>C2125</f>
        <v>2025, Year 4, PGL</v>
      </c>
      <c r="D2126" s="387" t="s">
        <v>409</v>
      </c>
      <c r="E2126" s="314" t="s">
        <v>326</v>
      </c>
      <c r="F2126" s="326"/>
      <c r="G2126" s="388">
        <f>SUM('[7]Behavior_modified approach'!R57:R58)</f>
        <v>113534.46875157305</v>
      </c>
      <c r="H2126" s="305" t="s">
        <v>1101</v>
      </c>
      <c r="I2126" s="305"/>
      <c r="J2126" s="305"/>
      <c r="K2126" s="305"/>
      <c r="L2126"/>
    </row>
    <row r="2127" spans="1:12" s="324" customFormat="1" x14ac:dyDescent="0.25">
      <c r="A2127" s="302" t="str">
        <f t="shared" si="57"/>
        <v>Home Energy Report_2025, Year 4, PGL_SF_Remaining Life</v>
      </c>
      <c r="B2127" s="387" t="s">
        <v>1099</v>
      </c>
      <c r="C2127" s="379" t="str">
        <f>C2126</f>
        <v>2025, Year 4, PGL</v>
      </c>
      <c r="D2127" s="387" t="s">
        <v>409</v>
      </c>
      <c r="E2127" s="314" t="s">
        <v>258</v>
      </c>
      <c r="F2127" s="326"/>
      <c r="G2127" s="364">
        <v>3</v>
      </c>
      <c r="H2127" s="305" t="s">
        <v>1101</v>
      </c>
      <c r="I2127" s="305"/>
      <c r="J2127" s="305"/>
      <c r="K2127" s="305"/>
      <c r="L2127"/>
    </row>
    <row r="2128" spans="1:12" s="324" customFormat="1" x14ac:dyDescent="0.25">
      <c r="A2128" s="302" t="str">
        <f t="shared" si="57"/>
        <v>Home Energy Report_2025, Year 4, PGL_SF_Lifetime (years)</v>
      </c>
      <c r="B2128" s="387" t="s">
        <v>1099</v>
      </c>
      <c r="C2128" s="379" t="str">
        <f>C2127</f>
        <v>2025, Year 4, PGL</v>
      </c>
      <c r="D2128" s="387" t="s">
        <v>409</v>
      </c>
      <c r="E2128" s="314" t="s">
        <v>259</v>
      </c>
      <c r="F2128" s="326"/>
      <c r="G2128" s="364">
        <v>4</v>
      </c>
      <c r="H2128" s="305" t="s">
        <v>1101</v>
      </c>
      <c r="I2128" s="305"/>
      <c r="J2128" s="305"/>
      <c r="K2128" s="305"/>
      <c r="L2128"/>
    </row>
    <row r="2129" spans="1:12" s="324" customFormat="1" x14ac:dyDescent="0.25">
      <c r="A2129" s="302" t="str">
        <f t="shared" si="57"/>
        <v>Home Energy Report_2025, Year 4, PGL_SF_Incremental Cost</v>
      </c>
      <c r="B2129" s="387" t="s">
        <v>1099</v>
      </c>
      <c r="C2129" s="379" t="str">
        <f>C2128</f>
        <v>2025, Year 4, PGL</v>
      </c>
      <c r="D2129" s="387" t="s">
        <v>409</v>
      </c>
      <c r="E2129" s="314" t="s">
        <v>260</v>
      </c>
      <c r="F2129" s="326"/>
      <c r="G2129" s="364">
        <v>0</v>
      </c>
      <c r="H2129" s="305" t="s">
        <v>1101</v>
      </c>
      <c r="I2129" s="305"/>
      <c r="J2129" s="305"/>
      <c r="K2129" s="305"/>
      <c r="L2129"/>
    </row>
    <row r="2130" spans="1:12" s="324" customFormat="1" x14ac:dyDescent="0.25">
      <c r="A2130" s="317" t="str">
        <f t="shared" si="57"/>
        <v>Home Energy Report_2025, Year 4, PGL__</v>
      </c>
      <c r="B2130" s="380" t="str">
        <f>B2129</f>
        <v>Home Energy Report</v>
      </c>
      <c r="C2130" s="380" t="str">
        <f>C2129</f>
        <v>2025, Year 4, PGL</v>
      </c>
      <c r="D2130" s="317"/>
      <c r="E2130" s="317"/>
      <c r="F2130" s="317"/>
      <c r="G2130" s="323"/>
      <c r="H2130" s="320"/>
      <c r="I2130" s="320"/>
      <c r="J2130" s="317"/>
      <c r="K2130" s="317"/>
    </row>
    <row r="2131" spans="1:12" s="324" customFormat="1" x14ac:dyDescent="0.25">
      <c r="A2131" s="302" t="str">
        <f t="shared" si="57"/>
        <v>Home Energy Report_2025, Year 5, PGL_SF_Remaining Year Therms</v>
      </c>
      <c r="B2131" s="387" t="s">
        <v>1099</v>
      </c>
      <c r="C2131" s="379" t="s">
        <v>1126</v>
      </c>
      <c r="D2131" s="387" t="s">
        <v>409</v>
      </c>
      <c r="E2131" s="314" t="s">
        <v>320</v>
      </c>
      <c r="F2131" s="326"/>
      <c r="G2131" s="364">
        <v>0</v>
      </c>
      <c r="H2131" s="305" t="s">
        <v>1101</v>
      </c>
      <c r="I2131" s="305"/>
      <c r="J2131" s="305"/>
      <c r="K2131" s="305"/>
      <c r="L2131"/>
    </row>
    <row r="2132" spans="1:12" s="324" customFormat="1" x14ac:dyDescent="0.25">
      <c r="A2132" s="302" t="str">
        <f t="shared" si="57"/>
        <v>Home Energy Report_2025, Year 5, PGL_SF_Therm Saved per Unit</v>
      </c>
      <c r="B2132" s="387" t="s">
        <v>1099</v>
      </c>
      <c r="C2132" s="379" t="str">
        <f>C2131</f>
        <v>2025, Year 5, PGL</v>
      </c>
      <c r="D2132" s="387" t="s">
        <v>409</v>
      </c>
      <c r="E2132" s="314" t="s">
        <v>326</v>
      </c>
      <c r="F2132" s="326"/>
      <c r="G2132" s="388">
        <f>SUM('[7]Behavior_modified approach'!S57:S58)</f>
        <v>78305.903391833344</v>
      </c>
      <c r="H2132" s="305" t="s">
        <v>1101</v>
      </c>
      <c r="I2132" s="305"/>
      <c r="J2132" s="305"/>
      <c r="K2132" s="305"/>
      <c r="L2132"/>
    </row>
    <row r="2133" spans="1:12" s="324" customFormat="1" x14ac:dyDescent="0.25">
      <c r="A2133" s="302" t="str">
        <f t="shared" si="57"/>
        <v>Home Energy Report_2025, Year 5, PGL_SF_Remaining Life</v>
      </c>
      <c r="B2133" s="387" t="s">
        <v>1099</v>
      </c>
      <c r="C2133" s="379" t="str">
        <f>C2132</f>
        <v>2025, Year 5, PGL</v>
      </c>
      <c r="D2133" s="387" t="s">
        <v>409</v>
      </c>
      <c r="E2133" s="314" t="s">
        <v>258</v>
      </c>
      <c r="F2133" s="326"/>
      <c r="G2133" s="364">
        <v>4</v>
      </c>
      <c r="H2133" s="305" t="s">
        <v>1101</v>
      </c>
      <c r="I2133" s="305"/>
      <c r="J2133" s="305"/>
      <c r="K2133" s="305"/>
      <c r="L2133"/>
    </row>
    <row r="2134" spans="1:12" s="324" customFormat="1" x14ac:dyDescent="0.25">
      <c r="A2134" s="302" t="str">
        <f t="shared" si="57"/>
        <v>Home Energy Report_2025, Year 5, PGL_SF_Lifetime (years)</v>
      </c>
      <c r="B2134" s="387" t="s">
        <v>1099</v>
      </c>
      <c r="C2134" s="379" t="str">
        <f>C2133</f>
        <v>2025, Year 5, PGL</v>
      </c>
      <c r="D2134" s="387" t="s">
        <v>409</v>
      </c>
      <c r="E2134" s="314" t="s">
        <v>259</v>
      </c>
      <c r="F2134" s="326"/>
      <c r="G2134" s="364">
        <v>5</v>
      </c>
      <c r="H2134" s="305" t="s">
        <v>1101</v>
      </c>
      <c r="I2134" s="305"/>
      <c r="J2134" s="305"/>
      <c r="K2134" s="305"/>
      <c r="L2134"/>
    </row>
    <row r="2135" spans="1:12" s="324" customFormat="1" x14ac:dyDescent="0.25">
      <c r="A2135" s="302" t="str">
        <f t="shared" si="57"/>
        <v>Home Energy Report_2025, Year 5, PGL_SF_Incremental Cost</v>
      </c>
      <c r="B2135" s="387" t="s">
        <v>1099</v>
      </c>
      <c r="C2135" s="379" t="str">
        <f>C2134</f>
        <v>2025, Year 5, PGL</v>
      </c>
      <c r="D2135" s="387" t="s">
        <v>409</v>
      </c>
      <c r="E2135" s="314" t="s">
        <v>260</v>
      </c>
      <c r="F2135" s="326"/>
      <c r="G2135" s="364">
        <v>0</v>
      </c>
      <c r="H2135" s="305" t="s">
        <v>1101</v>
      </c>
      <c r="I2135" s="305"/>
      <c r="J2135" s="305"/>
      <c r="K2135" s="305"/>
      <c r="L2135"/>
    </row>
    <row r="2136" spans="1:12" s="324" customFormat="1" x14ac:dyDescent="0.25">
      <c r="A2136" s="317" t="str">
        <f t="shared" si="57"/>
        <v>Home Energy Report_2025, Year 5, PGL__</v>
      </c>
      <c r="B2136" s="380" t="str">
        <f>B2135</f>
        <v>Home Energy Report</v>
      </c>
      <c r="C2136" s="380" t="str">
        <f>C2135</f>
        <v>2025, Year 5, PGL</v>
      </c>
      <c r="D2136" s="317"/>
      <c r="E2136" s="317"/>
      <c r="F2136" s="317"/>
      <c r="G2136" s="323"/>
      <c r="H2136" s="320"/>
      <c r="I2136" s="320"/>
      <c r="J2136" s="317"/>
      <c r="K2136" s="317"/>
    </row>
    <row r="2137" spans="1:12" s="324" customFormat="1" x14ac:dyDescent="0.25">
      <c r="A2137" s="302" t="str">
        <f t="shared" si="57"/>
        <v>Home Energy Report_2025, Year 6, PGL_SF_Remaining Year Therms</v>
      </c>
      <c r="B2137" s="387" t="s">
        <v>1099</v>
      </c>
      <c r="C2137" s="379" t="s">
        <v>1127</v>
      </c>
      <c r="D2137" s="387" t="s">
        <v>409</v>
      </c>
      <c r="E2137" s="314" t="s">
        <v>320</v>
      </c>
      <c r="F2137" s="326"/>
      <c r="G2137" s="364">
        <v>0</v>
      </c>
      <c r="H2137" s="305" t="s">
        <v>1101</v>
      </c>
      <c r="I2137" s="305"/>
      <c r="J2137" s="305"/>
      <c r="K2137" s="305"/>
      <c r="L2137"/>
    </row>
    <row r="2138" spans="1:12" s="324" customFormat="1" x14ac:dyDescent="0.25">
      <c r="A2138" s="302" t="str">
        <f t="shared" si="57"/>
        <v>Home Energy Report_2025, Year 6, PGL_SF_Therm Saved per Unit</v>
      </c>
      <c r="B2138" s="387" t="s">
        <v>1099</v>
      </c>
      <c r="C2138" s="379" t="s">
        <v>1127</v>
      </c>
      <c r="D2138" s="387" t="s">
        <v>409</v>
      </c>
      <c r="E2138" s="314" t="s">
        <v>326</v>
      </c>
      <c r="F2138" s="326"/>
      <c r="G2138" s="388">
        <f>SUM('[7]Behavior_modified approach'!T57:T58)</f>
        <v>54769.263849916293</v>
      </c>
      <c r="H2138" s="305" t="s">
        <v>1101</v>
      </c>
      <c r="I2138" s="305"/>
      <c r="J2138" s="305"/>
      <c r="K2138" s="305"/>
      <c r="L2138"/>
    </row>
    <row r="2139" spans="1:12" s="324" customFormat="1" x14ac:dyDescent="0.25">
      <c r="A2139" s="302" t="str">
        <f t="shared" si="57"/>
        <v>Home Energy Report_2025, Year 6, PGL_SF_Remaining Life</v>
      </c>
      <c r="B2139" s="387" t="s">
        <v>1099</v>
      </c>
      <c r="C2139" s="379" t="s">
        <v>1127</v>
      </c>
      <c r="D2139" s="387" t="s">
        <v>409</v>
      </c>
      <c r="E2139" s="314" t="s">
        <v>258</v>
      </c>
      <c r="F2139" s="326"/>
      <c r="G2139" s="364">
        <v>5</v>
      </c>
      <c r="H2139" s="305" t="s">
        <v>1101</v>
      </c>
      <c r="I2139" s="305"/>
      <c r="J2139" s="305"/>
      <c r="K2139" s="305"/>
      <c r="L2139"/>
    </row>
    <row r="2140" spans="1:12" s="324" customFormat="1" x14ac:dyDescent="0.25">
      <c r="A2140" s="302" t="str">
        <f t="shared" si="57"/>
        <v>Home Energy Report_2025, Year 6, PGL_SF_Lifetime (years)</v>
      </c>
      <c r="B2140" s="387" t="s">
        <v>1099</v>
      </c>
      <c r="C2140" s="379" t="s">
        <v>1127</v>
      </c>
      <c r="D2140" s="387" t="s">
        <v>409</v>
      </c>
      <c r="E2140" s="314" t="s">
        <v>259</v>
      </c>
      <c r="F2140" s="326"/>
      <c r="G2140" s="364">
        <v>6</v>
      </c>
      <c r="H2140" s="305" t="s">
        <v>1101</v>
      </c>
      <c r="I2140" s="305"/>
      <c r="J2140" s="305"/>
      <c r="K2140" s="305"/>
      <c r="L2140"/>
    </row>
    <row r="2141" spans="1:12" s="324" customFormat="1" x14ac:dyDescent="0.25">
      <c r="A2141" s="302" t="str">
        <f t="shared" si="57"/>
        <v>Home Energy Report_2025, Year 6, PGL_SF_Incremental Cost</v>
      </c>
      <c r="B2141" s="387" t="s">
        <v>1099</v>
      </c>
      <c r="C2141" s="379" t="s">
        <v>1127</v>
      </c>
      <c r="D2141" s="387" t="s">
        <v>409</v>
      </c>
      <c r="E2141" s="314" t="s">
        <v>260</v>
      </c>
      <c r="F2141" s="326"/>
      <c r="G2141" s="364">
        <v>0</v>
      </c>
      <c r="H2141" s="305" t="s">
        <v>1101</v>
      </c>
      <c r="I2141" s="305"/>
      <c r="J2141" s="305"/>
      <c r="K2141" s="305"/>
      <c r="L2141"/>
    </row>
    <row r="2142" spans="1:12" s="324" customFormat="1" x14ac:dyDescent="0.25">
      <c r="A2142" s="317" t="str">
        <f t="shared" si="57"/>
        <v>Home Energy Report_2025, Year 6, PGL__</v>
      </c>
      <c r="B2142" s="380" t="str">
        <f>B2141</f>
        <v>Home Energy Report</v>
      </c>
      <c r="C2142" s="380" t="str">
        <f>C2141</f>
        <v>2025, Year 6, PGL</v>
      </c>
      <c r="D2142" s="317"/>
      <c r="E2142" s="317"/>
      <c r="F2142" s="317"/>
      <c r="G2142" s="323"/>
      <c r="H2142" s="320"/>
      <c r="I2142" s="320"/>
      <c r="J2142" s="317"/>
      <c r="K2142" s="317"/>
    </row>
    <row r="2143" spans="1:12" s="324" customFormat="1" x14ac:dyDescent="0.25">
      <c r="A2143" s="302" t="str">
        <f t="shared" si="57"/>
        <v>Home Energy Report_2025, Year 7, PGL_SF_Remaining Year Therms</v>
      </c>
      <c r="B2143" s="387" t="s">
        <v>1099</v>
      </c>
      <c r="C2143" s="379" t="s">
        <v>1128</v>
      </c>
      <c r="D2143" s="387" t="s">
        <v>409</v>
      </c>
      <c r="E2143" s="314" t="s">
        <v>320</v>
      </c>
      <c r="F2143" s="326"/>
      <c r="G2143" s="364">
        <v>0</v>
      </c>
      <c r="H2143" s="305" t="s">
        <v>1101</v>
      </c>
      <c r="I2143" s="305"/>
      <c r="J2143" s="305"/>
      <c r="K2143" s="305"/>
      <c r="L2143"/>
    </row>
    <row r="2144" spans="1:12" s="324" customFormat="1" x14ac:dyDescent="0.25">
      <c r="A2144" s="302" t="str">
        <f t="shared" si="57"/>
        <v>Home Energy Report_2025, Year 7, PGL_SF_Therm Saved per Unit</v>
      </c>
      <c r="B2144" s="387" t="s">
        <v>1099</v>
      </c>
      <c r="C2144" s="379" t="s">
        <v>1128</v>
      </c>
      <c r="D2144" s="387" t="s">
        <v>409</v>
      </c>
      <c r="E2144" s="314" t="s">
        <v>326</v>
      </c>
      <c r="F2144" s="326"/>
      <c r="G2144" s="388">
        <f>SUM('[7]Behavior_modified approach'!U57:U58)</f>
        <v>38231.093981510196</v>
      </c>
      <c r="H2144" s="305" t="s">
        <v>1101</v>
      </c>
      <c r="I2144" s="305"/>
      <c r="J2144" s="305"/>
      <c r="K2144" s="305"/>
      <c r="L2144"/>
    </row>
    <row r="2145" spans="1:12" s="324" customFormat="1" x14ac:dyDescent="0.25">
      <c r="A2145" s="302" t="str">
        <f t="shared" si="57"/>
        <v>Home Energy Report_2025, Year 7, PGL_SF_Remaining Life</v>
      </c>
      <c r="B2145" s="387" t="s">
        <v>1099</v>
      </c>
      <c r="C2145" s="379" t="s">
        <v>1128</v>
      </c>
      <c r="D2145" s="387" t="s">
        <v>409</v>
      </c>
      <c r="E2145" s="314" t="s">
        <v>258</v>
      </c>
      <c r="F2145" s="326"/>
      <c r="G2145" s="364">
        <v>6</v>
      </c>
      <c r="H2145" s="305" t="s">
        <v>1101</v>
      </c>
      <c r="I2145" s="305"/>
      <c r="J2145" s="305"/>
      <c r="K2145" s="305"/>
      <c r="L2145"/>
    </row>
    <row r="2146" spans="1:12" s="324" customFormat="1" x14ac:dyDescent="0.25">
      <c r="A2146" s="302" t="str">
        <f t="shared" si="57"/>
        <v>Home Energy Report_2025, Year 7, PGL_SF_Lifetime (years)</v>
      </c>
      <c r="B2146" s="387" t="s">
        <v>1099</v>
      </c>
      <c r="C2146" s="379" t="s">
        <v>1128</v>
      </c>
      <c r="D2146" s="387" t="s">
        <v>409</v>
      </c>
      <c r="E2146" s="314" t="s">
        <v>259</v>
      </c>
      <c r="F2146" s="326"/>
      <c r="G2146" s="364">
        <v>7</v>
      </c>
      <c r="H2146" s="305" t="s">
        <v>1101</v>
      </c>
      <c r="I2146" s="305"/>
      <c r="J2146" s="305"/>
      <c r="K2146" s="305"/>
      <c r="L2146"/>
    </row>
    <row r="2147" spans="1:12" s="324" customFormat="1" x14ac:dyDescent="0.25">
      <c r="A2147" s="302" t="str">
        <f t="shared" si="57"/>
        <v>Home Energy Report_2025, Year 7, PGL_SF_Incremental Cost</v>
      </c>
      <c r="B2147" s="387" t="s">
        <v>1099</v>
      </c>
      <c r="C2147" s="379" t="s">
        <v>1128</v>
      </c>
      <c r="D2147" s="387" t="s">
        <v>409</v>
      </c>
      <c r="E2147" s="314" t="s">
        <v>260</v>
      </c>
      <c r="F2147" s="326"/>
      <c r="G2147" s="364">
        <v>0</v>
      </c>
      <c r="H2147" s="305" t="s">
        <v>1101</v>
      </c>
      <c r="I2147" s="305"/>
      <c r="J2147" s="305"/>
      <c r="K2147" s="305"/>
      <c r="L2147"/>
    </row>
    <row r="2148" spans="1:12" s="324" customFormat="1" x14ac:dyDescent="0.25">
      <c r="A2148" s="317" t="str">
        <f t="shared" si="57"/>
        <v>Home Energy Report_2025, Year 7, PGL__</v>
      </c>
      <c r="B2148" s="380" t="str">
        <f>B2147</f>
        <v>Home Energy Report</v>
      </c>
      <c r="C2148" s="380" t="str">
        <f>C2147</f>
        <v>2025, Year 7, PGL</v>
      </c>
      <c r="D2148" s="317"/>
      <c r="E2148" s="317"/>
      <c r="F2148" s="317"/>
      <c r="G2148" s="323"/>
      <c r="H2148" s="320"/>
      <c r="I2148" s="320"/>
      <c r="J2148" s="317"/>
      <c r="K2148" s="317"/>
    </row>
    <row r="2149" spans="1:12" s="324" customFormat="1" x14ac:dyDescent="0.25">
      <c r="A2149" s="302" t="str">
        <f t="shared" si="57"/>
        <v>Home Energy Report_2022, Year 1, NSG_SF_Remaining Year Therms</v>
      </c>
      <c r="B2149" s="387" t="s">
        <v>1099</v>
      </c>
      <c r="C2149" s="379" t="s">
        <v>1129</v>
      </c>
      <c r="D2149" s="387" t="s">
        <v>409</v>
      </c>
      <c r="E2149" s="314" t="s">
        <v>320</v>
      </c>
      <c r="F2149" s="326"/>
      <c r="G2149" s="364">
        <v>0</v>
      </c>
      <c r="H2149" s="305" t="s">
        <v>1101</v>
      </c>
      <c r="I2149" s="305"/>
      <c r="J2149" s="305"/>
      <c r="K2149" s="305"/>
      <c r="L2149"/>
    </row>
    <row r="2150" spans="1:12" s="324" customFormat="1" x14ac:dyDescent="0.25">
      <c r="A2150" s="302" t="str">
        <f t="shared" si="57"/>
        <v>Home Energy Report_2022, Year 1, NSG_SF_Therm Saved per Unit</v>
      </c>
      <c r="B2150" s="387" t="s">
        <v>1099</v>
      </c>
      <c r="C2150" s="379" t="str">
        <f>C2149</f>
        <v>2022, Year 1, NSG</v>
      </c>
      <c r="D2150" s="387" t="s">
        <v>409</v>
      </c>
      <c r="E2150" s="314" t="s">
        <v>326</v>
      </c>
      <c r="F2150" s="326"/>
      <c r="G2150" s="388">
        <f>SUM('[7]Behavior_modified approach'!L78:L79)</f>
        <v>289507.93092259043</v>
      </c>
      <c r="H2150" s="305" t="s">
        <v>1101</v>
      </c>
      <c r="I2150" s="305"/>
      <c r="J2150" s="305"/>
      <c r="K2150" s="305"/>
      <c r="L2150"/>
    </row>
    <row r="2151" spans="1:12" s="324" customFormat="1" x14ac:dyDescent="0.25">
      <c r="A2151" s="302" t="str">
        <f t="shared" si="57"/>
        <v>Home Energy Report_2022, Year 1, NSG_SF_Remaining Life</v>
      </c>
      <c r="B2151" s="387" t="s">
        <v>1099</v>
      </c>
      <c r="C2151" s="379" t="str">
        <f>C2150</f>
        <v>2022, Year 1, NSG</v>
      </c>
      <c r="D2151" s="387" t="s">
        <v>409</v>
      </c>
      <c r="E2151" s="314" t="s">
        <v>258</v>
      </c>
      <c r="F2151" s="326"/>
      <c r="G2151" s="364">
        <v>0</v>
      </c>
      <c r="H2151" s="305" t="s">
        <v>1101</v>
      </c>
      <c r="I2151" s="305"/>
      <c r="J2151" s="305"/>
      <c r="K2151" s="305"/>
      <c r="L2151"/>
    </row>
    <row r="2152" spans="1:12" s="324" customFormat="1" x14ac:dyDescent="0.25">
      <c r="A2152" s="302" t="str">
        <f t="shared" si="57"/>
        <v>Home Energy Report_2022, Year 1, NSG_SF_Lifetime (years)</v>
      </c>
      <c r="B2152" s="387" t="s">
        <v>1099</v>
      </c>
      <c r="C2152" s="379" t="str">
        <f>C2151</f>
        <v>2022, Year 1, NSG</v>
      </c>
      <c r="D2152" s="387" t="s">
        <v>409</v>
      </c>
      <c r="E2152" s="314" t="s">
        <v>259</v>
      </c>
      <c r="F2152" s="326"/>
      <c r="G2152" s="364">
        <v>1</v>
      </c>
      <c r="H2152" s="305" t="s">
        <v>1101</v>
      </c>
      <c r="I2152" s="305"/>
      <c r="J2152" s="305"/>
      <c r="K2152" s="305"/>
      <c r="L2152"/>
    </row>
    <row r="2153" spans="1:12" s="324" customFormat="1" x14ac:dyDescent="0.25">
      <c r="A2153" s="302" t="str">
        <f t="shared" si="57"/>
        <v>Home Energy Report_2022, Year 1, NSG_SF_Incremental Cost</v>
      </c>
      <c r="B2153" s="387" t="s">
        <v>1099</v>
      </c>
      <c r="C2153" s="379" t="str">
        <f>C2152</f>
        <v>2022, Year 1, NSG</v>
      </c>
      <c r="D2153" s="387" t="s">
        <v>409</v>
      </c>
      <c r="E2153" s="314" t="s">
        <v>260</v>
      </c>
      <c r="F2153" s="326"/>
      <c r="G2153" s="364">
        <v>0</v>
      </c>
      <c r="H2153" s="305" t="s">
        <v>1101</v>
      </c>
      <c r="I2153" s="305"/>
      <c r="J2153" s="305"/>
      <c r="K2153" s="305"/>
      <c r="L2153"/>
    </row>
    <row r="2154" spans="1:12" s="324" customFormat="1" x14ac:dyDescent="0.25">
      <c r="A2154" s="317" t="str">
        <f t="shared" si="57"/>
        <v>Home Energy Report_2022, Year 1, NSG_SF_</v>
      </c>
      <c r="B2154" s="380" t="str">
        <f>B2153</f>
        <v>Home Energy Report</v>
      </c>
      <c r="C2154" s="380" t="str">
        <f>C2153</f>
        <v>2022, Year 1, NSG</v>
      </c>
      <c r="D2154" s="317" t="str">
        <f>D2153</f>
        <v>SF</v>
      </c>
      <c r="E2154" s="317"/>
      <c r="F2154" s="317"/>
      <c r="G2154" s="323"/>
      <c r="H2154" s="320"/>
      <c r="I2154" s="320"/>
      <c r="J2154" s="317"/>
      <c r="K2154" s="317"/>
    </row>
    <row r="2155" spans="1:12" s="324" customFormat="1" x14ac:dyDescent="0.25">
      <c r="A2155" s="302" t="str">
        <f t="shared" si="57"/>
        <v>Home Energy Report_2022, Year 2, NSG_SF_Remaining Year Therms</v>
      </c>
      <c r="B2155" s="387" t="s">
        <v>1099</v>
      </c>
      <c r="C2155" s="379" t="s">
        <v>1130</v>
      </c>
      <c r="D2155" s="387" t="s">
        <v>409</v>
      </c>
      <c r="E2155" s="314" t="s">
        <v>320</v>
      </c>
      <c r="F2155" s="326"/>
      <c r="G2155" s="364">
        <v>0</v>
      </c>
      <c r="H2155" s="305" t="s">
        <v>1101</v>
      </c>
      <c r="I2155" s="305"/>
      <c r="J2155" s="305"/>
      <c r="K2155" s="305"/>
      <c r="L2155"/>
    </row>
    <row r="2156" spans="1:12" s="324" customFormat="1" x14ac:dyDescent="0.25">
      <c r="A2156" s="302" t="str">
        <f t="shared" si="57"/>
        <v>Home Energy Report_2022, Year 2, NSG_SF_Therm Saved per Unit</v>
      </c>
      <c r="B2156" s="387" t="s">
        <v>1099</v>
      </c>
      <c r="C2156" s="379" t="str">
        <f>C2155</f>
        <v>2022, Year 2, NSG</v>
      </c>
      <c r="D2156" s="387" t="s">
        <v>409</v>
      </c>
      <c r="E2156" s="314" t="s">
        <v>326</v>
      </c>
      <c r="F2156" s="326"/>
      <c r="G2156" s="389">
        <f>SUM('[7]Behavior_modified approach'!M78:M79)</f>
        <v>198012.65774128609</v>
      </c>
      <c r="H2156" s="305" t="s">
        <v>1101</v>
      </c>
      <c r="I2156" s="305"/>
      <c r="J2156" s="305"/>
      <c r="K2156" s="305"/>
      <c r="L2156"/>
    </row>
    <row r="2157" spans="1:12" s="324" customFormat="1" x14ac:dyDescent="0.25">
      <c r="A2157" s="302" t="str">
        <f t="shared" si="57"/>
        <v>Home Energy Report_2022, Year 2, NSG_SF_Remaining Life</v>
      </c>
      <c r="B2157" s="387" t="s">
        <v>1099</v>
      </c>
      <c r="C2157" s="379" t="str">
        <f>C2156</f>
        <v>2022, Year 2, NSG</v>
      </c>
      <c r="D2157" s="387" t="s">
        <v>409</v>
      </c>
      <c r="E2157" s="314" t="s">
        <v>258</v>
      </c>
      <c r="F2157" s="326"/>
      <c r="G2157" s="364">
        <v>1</v>
      </c>
      <c r="H2157" s="305" t="s">
        <v>1101</v>
      </c>
      <c r="I2157" s="305"/>
      <c r="J2157" s="305"/>
      <c r="K2157" s="305"/>
      <c r="L2157"/>
    </row>
    <row r="2158" spans="1:12" s="324" customFormat="1" x14ac:dyDescent="0.25">
      <c r="A2158" s="302" t="str">
        <f t="shared" si="57"/>
        <v>Home Energy Report_2022, Year 2, NSG_SF_Lifetime (years)</v>
      </c>
      <c r="B2158" s="387" t="s">
        <v>1099</v>
      </c>
      <c r="C2158" s="379" t="str">
        <f>C2157</f>
        <v>2022, Year 2, NSG</v>
      </c>
      <c r="D2158" s="387" t="s">
        <v>409</v>
      </c>
      <c r="E2158" s="314" t="s">
        <v>259</v>
      </c>
      <c r="F2158" s="326"/>
      <c r="G2158" s="364">
        <v>2</v>
      </c>
      <c r="H2158" s="305" t="s">
        <v>1101</v>
      </c>
      <c r="I2158" s="305"/>
      <c r="J2158" s="305"/>
      <c r="K2158" s="305"/>
      <c r="L2158"/>
    </row>
    <row r="2159" spans="1:12" s="324" customFormat="1" x14ac:dyDescent="0.25">
      <c r="A2159" s="302" t="str">
        <f t="shared" si="57"/>
        <v>Home Energy Report_2022, Year 2, NSG_SF_Incremental Cost</v>
      </c>
      <c r="B2159" s="387" t="s">
        <v>1099</v>
      </c>
      <c r="C2159" s="379" t="str">
        <f>C2158</f>
        <v>2022, Year 2, NSG</v>
      </c>
      <c r="D2159" s="387" t="s">
        <v>409</v>
      </c>
      <c r="E2159" s="314" t="s">
        <v>260</v>
      </c>
      <c r="F2159" s="326"/>
      <c r="G2159" s="364">
        <v>0</v>
      </c>
      <c r="H2159" s="305" t="s">
        <v>1101</v>
      </c>
      <c r="I2159" s="305"/>
      <c r="J2159" s="305"/>
      <c r="K2159" s="305"/>
      <c r="L2159"/>
    </row>
    <row r="2160" spans="1:12" s="324" customFormat="1" x14ac:dyDescent="0.25">
      <c r="A2160" s="317" t="str">
        <f t="shared" si="57"/>
        <v>Home Energy Report_2022, Year 2, NSG__</v>
      </c>
      <c r="B2160" s="380" t="str">
        <f>B2159</f>
        <v>Home Energy Report</v>
      </c>
      <c r="C2160" s="380" t="str">
        <f>C2159</f>
        <v>2022, Year 2, NSG</v>
      </c>
      <c r="D2160" s="317"/>
      <c r="E2160" s="317"/>
      <c r="F2160" s="317"/>
      <c r="G2160" s="323"/>
      <c r="H2160" s="320"/>
      <c r="I2160" s="320"/>
      <c r="J2160" s="317"/>
      <c r="K2160" s="317"/>
    </row>
    <row r="2161" spans="1:12" s="324" customFormat="1" x14ac:dyDescent="0.25">
      <c r="A2161" s="302" t="str">
        <f t="shared" si="57"/>
        <v>Home Energy Report_2022, Year 3, NSG_SF_Remaining Year Therms</v>
      </c>
      <c r="B2161" s="387" t="s">
        <v>1099</v>
      </c>
      <c r="C2161" s="379" t="s">
        <v>1131</v>
      </c>
      <c r="D2161" s="387" t="s">
        <v>409</v>
      </c>
      <c r="E2161" s="314" t="s">
        <v>320</v>
      </c>
      <c r="F2161" s="326"/>
      <c r="G2161" s="364">
        <v>0</v>
      </c>
      <c r="H2161" s="305" t="s">
        <v>1101</v>
      </c>
      <c r="I2161" s="305"/>
      <c r="J2161" s="305"/>
      <c r="K2161" s="305"/>
      <c r="L2161"/>
    </row>
    <row r="2162" spans="1:12" s="324" customFormat="1" x14ac:dyDescent="0.25">
      <c r="A2162" s="302" t="str">
        <f t="shared" si="57"/>
        <v>Home Energy Report_2022, Year 3, NSG_SF_Therm Saved per Unit</v>
      </c>
      <c r="B2162" s="387" t="s">
        <v>1099</v>
      </c>
      <c r="C2162" s="379" t="s">
        <v>1131</v>
      </c>
      <c r="D2162" s="387" t="s">
        <v>409</v>
      </c>
      <c r="E2162" s="314" t="s">
        <v>326</v>
      </c>
      <c r="F2162" s="326"/>
      <c r="G2162" s="388">
        <f>SUM('[7]Behavior_modified approach'!N78:N79)</f>
        <v>135433.29366079284</v>
      </c>
      <c r="H2162" s="305" t="s">
        <v>1101</v>
      </c>
      <c r="I2162" s="305"/>
      <c r="J2162" s="305"/>
      <c r="K2162" s="305"/>
      <c r="L2162"/>
    </row>
    <row r="2163" spans="1:12" s="324" customFormat="1" x14ac:dyDescent="0.25">
      <c r="A2163" s="302" t="str">
        <f t="shared" si="57"/>
        <v>Home Energy Report_2022, Year 3, NSG_SF_Remaining Life</v>
      </c>
      <c r="B2163" s="387" t="s">
        <v>1099</v>
      </c>
      <c r="C2163" s="379" t="s">
        <v>1131</v>
      </c>
      <c r="D2163" s="387" t="s">
        <v>409</v>
      </c>
      <c r="E2163" s="314" t="s">
        <v>258</v>
      </c>
      <c r="F2163" s="326"/>
      <c r="G2163" s="364">
        <v>2</v>
      </c>
      <c r="H2163" s="305" t="s">
        <v>1101</v>
      </c>
      <c r="I2163" s="305"/>
      <c r="J2163" s="305"/>
      <c r="K2163" s="305"/>
      <c r="L2163"/>
    </row>
    <row r="2164" spans="1:12" s="324" customFormat="1" x14ac:dyDescent="0.25">
      <c r="A2164" s="302" t="str">
        <f t="shared" si="57"/>
        <v>Home Energy Report_2022, Year 3, NSG_SF_Lifetime (years)</v>
      </c>
      <c r="B2164" s="387" t="s">
        <v>1099</v>
      </c>
      <c r="C2164" s="379" t="s">
        <v>1131</v>
      </c>
      <c r="D2164" s="387" t="s">
        <v>409</v>
      </c>
      <c r="E2164" s="314" t="s">
        <v>259</v>
      </c>
      <c r="F2164" s="326"/>
      <c r="G2164" s="364">
        <v>3</v>
      </c>
      <c r="H2164" s="305" t="s">
        <v>1101</v>
      </c>
      <c r="I2164" s="305"/>
      <c r="J2164" s="305"/>
      <c r="K2164" s="305"/>
      <c r="L2164"/>
    </row>
    <row r="2165" spans="1:12" s="324" customFormat="1" x14ac:dyDescent="0.25">
      <c r="A2165" s="302" t="str">
        <f t="shared" si="57"/>
        <v>Home Energy Report_2022, Year 3, NSG_SF_Incremental Cost</v>
      </c>
      <c r="B2165" s="387" t="s">
        <v>1099</v>
      </c>
      <c r="C2165" s="379" t="s">
        <v>1131</v>
      </c>
      <c r="D2165" s="387" t="s">
        <v>409</v>
      </c>
      <c r="E2165" s="314" t="s">
        <v>260</v>
      </c>
      <c r="F2165" s="326"/>
      <c r="G2165" s="364">
        <v>0</v>
      </c>
      <c r="H2165" s="305" t="s">
        <v>1101</v>
      </c>
      <c r="I2165" s="305"/>
      <c r="J2165" s="305"/>
      <c r="K2165" s="305"/>
      <c r="L2165"/>
    </row>
    <row r="2166" spans="1:12" s="324" customFormat="1" x14ac:dyDescent="0.25">
      <c r="A2166" s="317" t="str">
        <f t="shared" si="57"/>
        <v>Home Energy Report_2022, Year 3, NSG__</v>
      </c>
      <c r="B2166" s="380" t="str">
        <f>B2165</f>
        <v>Home Energy Report</v>
      </c>
      <c r="C2166" s="380" t="str">
        <f>C2165</f>
        <v>2022, Year 3, NSG</v>
      </c>
      <c r="D2166" s="317"/>
      <c r="E2166" s="317"/>
      <c r="F2166" s="317"/>
      <c r="G2166" s="323"/>
      <c r="H2166" s="320"/>
      <c r="I2166" s="320"/>
      <c r="J2166" s="317"/>
      <c r="K2166" s="317"/>
    </row>
    <row r="2167" spans="1:12" s="324" customFormat="1" x14ac:dyDescent="0.25">
      <c r="A2167" s="302" t="str">
        <f t="shared" si="57"/>
        <v>Home Energy Report_2022, Year 4, NSG_SF_Remaining Year Therms</v>
      </c>
      <c r="B2167" s="387" t="s">
        <v>1099</v>
      </c>
      <c r="C2167" s="379" t="s">
        <v>1132</v>
      </c>
      <c r="D2167" s="387" t="s">
        <v>409</v>
      </c>
      <c r="E2167" s="314" t="s">
        <v>320</v>
      </c>
      <c r="F2167" s="326"/>
      <c r="G2167" s="364">
        <v>0</v>
      </c>
      <c r="H2167" s="305" t="s">
        <v>1101</v>
      </c>
      <c r="I2167" s="305"/>
      <c r="J2167" s="305"/>
      <c r="K2167" s="305"/>
      <c r="L2167"/>
    </row>
    <row r="2168" spans="1:12" s="324" customFormat="1" x14ac:dyDescent="0.25">
      <c r="A2168" s="302" t="str">
        <f t="shared" si="57"/>
        <v>Home Energy Report_2022, Year 4, NSG_SF_Therm Saved per Unit</v>
      </c>
      <c r="B2168" s="387" t="s">
        <v>1099</v>
      </c>
      <c r="C2168" s="379" t="s">
        <v>1132</v>
      </c>
      <c r="D2168" s="387" t="s">
        <v>409</v>
      </c>
      <c r="E2168" s="314" t="s">
        <v>326</v>
      </c>
      <c r="F2168" s="326"/>
      <c r="G2168" s="388">
        <f>SUM('[7]Behavior_modified approach'!O78:O79)</f>
        <v>91821.14938937944</v>
      </c>
      <c r="H2168" s="305" t="s">
        <v>1101</v>
      </c>
      <c r="I2168" s="305"/>
      <c r="J2168" s="305"/>
      <c r="K2168" s="305"/>
      <c r="L2168"/>
    </row>
    <row r="2169" spans="1:12" s="324" customFormat="1" x14ac:dyDescent="0.25">
      <c r="A2169" s="302" t="str">
        <f t="shared" si="57"/>
        <v>Home Energy Report_2022, Year 4, NSG_SF_Remaining Life</v>
      </c>
      <c r="B2169" s="387" t="s">
        <v>1099</v>
      </c>
      <c r="C2169" s="379" t="s">
        <v>1132</v>
      </c>
      <c r="D2169" s="387" t="s">
        <v>409</v>
      </c>
      <c r="E2169" s="314" t="s">
        <v>258</v>
      </c>
      <c r="F2169" s="326"/>
      <c r="G2169" s="364">
        <v>3</v>
      </c>
      <c r="H2169" s="305" t="s">
        <v>1101</v>
      </c>
      <c r="I2169" s="305"/>
      <c r="J2169" s="305"/>
      <c r="K2169" s="305"/>
      <c r="L2169"/>
    </row>
    <row r="2170" spans="1:12" s="324" customFormat="1" x14ac:dyDescent="0.25">
      <c r="A2170" s="302" t="str">
        <f t="shared" si="57"/>
        <v>Home Energy Report_2022, Year 4, NSG_SF_Lifetime (years)</v>
      </c>
      <c r="B2170" s="387" t="s">
        <v>1099</v>
      </c>
      <c r="C2170" s="379" t="s">
        <v>1132</v>
      </c>
      <c r="D2170" s="387" t="s">
        <v>409</v>
      </c>
      <c r="E2170" s="314" t="s">
        <v>259</v>
      </c>
      <c r="F2170" s="326"/>
      <c r="G2170" s="364">
        <v>4</v>
      </c>
      <c r="H2170" s="305" t="s">
        <v>1101</v>
      </c>
      <c r="I2170" s="305"/>
      <c r="J2170" s="305"/>
      <c r="K2170" s="305"/>
      <c r="L2170"/>
    </row>
    <row r="2171" spans="1:12" s="324" customFormat="1" x14ac:dyDescent="0.25">
      <c r="A2171" s="302" t="str">
        <f t="shared" si="57"/>
        <v>Home Energy Report_2022, Year 4, NSG_SF_Incremental Cost</v>
      </c>
      <c r="B2171" s="387" t="s">
        <v>1099</v>
      </c>
      <c r="C2171" s="379" t="s">
        <v>1132</v>
      </c>
      <c r="D2171" s="387" t="s">
        <v>409</v>
      </c>
      <c r="E2171" s="314" t="s">
        <v>260</v>
      </c>
      <c r="F2171" s="326"/>
      <c r="G2171" s="364">
        <v>0</v>
      </c>
      <c r="H2171" s="305" t="s">
        <v>1101</v>
      </c>
      <c r="I2171" s="305"/>
      <c r="J2171" s="305"/>
      <c r="K2171" s="305"/>
      <c r="L2171"/>
    </row>
    <row r="2172" spans="1:12" s="324" customFormat="1" x14ac:dyDescent="0.25">
      <c r="A2172" s="317" t="str">
        <f t="shared" si="57"/>
        <v>Home Energy Report_2022, Year 4, NSG__</v>
      </c>
      <c r="B2172" s="380" t="str">
        <f>B2171</f>
        <v>Home Energy Report</v>
      </c>
      <c r="C2172" s="380" t="str">
        <f>C2171</f>
        <v>2022, Year 4, NSG</v>
      </c>
      <c r="D2172" s="317"/>
      <c r="E2172" s="317"/>
      <c r="F2172" s="317"/>
      <c r="G2172" s="323"/>
      <c r="H2172" s="320"/>
      <c r="I2172" s="320"/>
      <c r="J2172" s="317"/>
      <c r="K2172" s="317"/>
    </row>
    <row r="2173" spans="1:12" s="324" customFormat="1" x14ac:dyDescent="0.25">
      <c r="A2173" s="302" t="str">
        <f t="shared" si="57"/>
        <v>Home Energy Report_2022, Year 5, NSG_SF_Remaining Year Therms</v>
      </c>
      <c r="B2173" s="387" t="s">
        <v>1099</v>
      </c>
      <c r="C2173" s="379" t="s">
        <v>1133</v>
      </c>
      <c r="D2173" s="387" t="s">
        <v>409</v>
      </c>
      <c r="E2173" s="314" t="s">
        <v>320</v>
      </c>
      <c r="F2173" s="326"/>
      <c r="G2173" s="364">
        <v>0</v>
      </c>
      <c r="H2173" s="305" t="s">
        <v>1101</v>
      </c>
      <c r="I2173" s="305"/>
      <c r="J2173" s="305"/>
      <c r="K2173" s="305"/>
      <c r="L2173"/>
    </row>
    <row r="2174" spans="1:12" s="324" customFormat="1" x14ac:dyDescent="0.25">
      <c r="A2174" s="302" t="str">
        <f t="shared" si="57"/>
        <v>Home Energy Report_2022, Year 5, NSG_SF_Therm Saved per Unit</v>
      </c>
      <c r="B2174" s="387" t="s">
        <v>1099</v>
      </c>
      <c r="C2174" s="379" t="s">
        <v>1133</v>
      </c>
      <c r="D2174" s="387" t="s">
        <v>409</v>
      </c>
      <c r="E2174" s="314" t="s">
        <v>326</v>
      </c>
      <c r="F2174" s="326"/>
      <c r="G2174" s="388">
        <f>SUM('[7]Behavior_modified approach'!P78:P79)</f>
        <v>63330.001298061485</v>
      </c>
      <c r="H2174" s="305" t="s">
        <v>1101</v>
      </c>
      <c r="I2174" s="305"/>
      <c r="J2174" s="305"/>
      <c r="K2174" s="305"/>
      <c r="L2174"/>
    </row>
    <row r="2175" spans="1:12" s="324" customFormat="1" x14ac:dyDescent="0.25">
      <c r="A2175" s="302" t="str">
        <f t="shared" si="57"/>
        <v>Home Energy Report_2022, Year 5, NSG_SF_Remaining Life</v>
      </c>
      <c r="B2175" s="387" t="s">
        <v>1099</v>
      </c>
      <c r="C2175" s="379" t="s">
        <v>1133</v>
      </c>
      <c r="D2175" s="387" t="s">
        <v>409</v>
      </c>
      <c r="E2175" s="314" t="s">
        <v>258</v>
      </c>
      <c r="F2175" s="326"/>
      <c r="G2175" s="364">
        <v>4</v>
      </c>
      <c r="H2175" s="305" t="s">
        <v>1101</v>
      </c>
      <c r="I2175" s="305"/>
      <c r="J2175" s="305"/>
      <c r="K2175" s="305"/>
      <c r="L2175"/>
    </row>
    <row r="2176" spans="1:12" s="324" customFormat="1" x14ac:dyDescent="0.25">
      <c r="A2176" s="302" t="str">
        <f t="shared" si="57"/>
        <v>Home Energy Report_2022, Year 5, NSG_SF_Lifetime (years)</v>
      </c>
      <c r="B2176" s="387" t="s">
        <v>1099</v>
      </c>
      <c r="C2176" s="379" t="s">
        <v>1133</v>
      </c>
      <c r="D2176" s="387" t="s">
        <v>409</v>
      </c>
      <c r="E2176" s="314" t="s">
        <v>259</v>
      </c>
      <c r="F2176" s="326"/>
      <c r="G2176" s="364">
        <v>5</v>
      </c>
      <c r="H2176" s="305" t="s">
        <v>1101</v>
      </c>
      <c r="I2176" s="305"/>
      <c r="J2176" s="305"/>
      <c r="K2176" s="305"/>
      <c r="L2176"/>
    </row>
    <row r="2177" spans="1:12" s="324" customFormat="1" x14ac:dyDescent="0.25">
      <c r="A2177" s="302" t="str">
        <f t="shared" si="57"/>
        <v>Home Energy Report_2022, Year 5, NSG_SF_Incremental Cost</v>
      </c>
      <c r="B2177" s="387" t="s">
        <v>1099</v>
      </c>
      <c r="C2177" s="379" t="s">
        <v>1133</v>
      </c>
      <c r="D2177" s="387" t="s">
        <v>409</v>
      </c>
      <c r="E2177" s="314" t="s">
        <v>260</v>
      </c>
      <c r="F2177" s="326"/>
      <c r="G2177" s="364">
        <v>0</v>
      </c>
      <c r="H2177" s="305" t="s">
        <v>1101</v>
      </c>
      <c r="I2177" s="305"/>
      <c r="J2177" s="305"/>
      <c r="K2177" s="305"/>
      <c r="L2177"/>
    </row>
    <row r="2178" spans="1:12" s="324" customFormat="1" x14ac:dyDescent="0.25">
      <c r="A2178" s="317" t="str">
        <f t="shared" si="57"/>
        <v>Home Energy Report_2022, Year 5, NSG__</v>
      </c>
      <c r="B2178" s="380" t="str">
        <f>B2177</f>
        <v>Home Energy Report</v>
      </c>
      <c r="C2178" s="380" t="str">
        <f>C2177</f>
        <v>2022, Year 5, NSG</v>
      </c>
      <c r="D2178" s="317"/>
      <c r="E2178" s="317"/>
      <c r="F2178" s="317"/>
      <c r="G2178" s="323"/>
      <c r="H2178" s="320"/>
      <c r="I2178" s="320"/>
      <c r="J2178" s="317"/>
      <c r="K2178" s="317"/>
    </row>
    <row r="2179" spans="1:12" s="324" customFormat="1" x14ac:dyDescent="0.25">
      <c r="A2179" s="302" t="str">
        <f t="shared" si="57"/>
        <v>Home Energy Report_2022, Year 6, NSG_SF_Remaining Year Therms</v>
      </c>
      <c r="B2179" s="387" t="s">
        <v>1099</v>
      </c>
      <c r="C2179" s="379" t="s">
        <v>1134</v>
      </c>
      <c r="D2179" s="387" t="s">
        <v>409</v>
      </c>
      <c r="E2179" s="314" t="s">
        <v>320</v>
      </c>
      <c r="F2179" s="326"/>
      <c r="G2179" s="364">
        <v>0</v>
      </c>
      <c r="H2179" s="305" t="s">
        <v>1101</v>
      </c>
      <c r="I2179" s="305"/>
      <c r="J2179" s="305"/>
      <c r="K2179" s="305"/>
      <c r="L2179"/>
    </row>
    <row r="2180" spans="1:12" s="324" customFormat="1" x14ac:dyDescent="0.25">
      <c r="A2180" s="302" t="str">
        <f t="shared" si="57"/>
        <v>Home Energy Report_2022, Year 6, NSG_SF_Therm Saved per Unit</v>
      </c>
      <c r="B2180" s="387" t="s">
        <v>1099</v>
      </c>
      <c r="C2180" s="379" t="s">
        <v>1134</v>
      </c>
      <c r="D2180" s="387" t="s">
        <v>409</v>
      </c>
      <c r="E2180" s="314" t="s">
        <v>326</v>
      </c>
      <c r="F2180" s="326"/>
      <c r="G2180" s="388">
        <f>SUM('[7]Behavior_modified approach'!Q78:Q79)</f>
        <v>44294.713431156342</v>
      </c>
      <c r="H2180" s="305" t="s">
        <v>1101</v>
      </c>
      <c r="I2180" s="305"/>
      <c r="J2180" s="305"/>
      <c r="K2180" s="305"/>
      <c r="L2180"/>
    </row>
    <row r="2181" spans="1:12" s="324" customFormat="1" x14ac:dyDescent="0.25">
      <c r="A2181" s="302" t="str">
        <f t="shared" si="57"/>
        <v>Home Energy Report_2022, Year 6, NSG_SF_Remaining Life</v>
      </c>
      <c r="B2181" s="387" t="s">
        <v>1099</v>
      </c>
      <c r="C2181" s="379" t="s">
        <v>1134</v>
      </c>
      <c r="D2181" s="387" t="s">
        <v>409</v>
      </c>
      <c r="E2181" s="314" t="s">
        <v>258</v>
      </c>
      <c r="F2181" s="326"/>
      <c r="G2181" s="364">
        <v>5</v>
      </c>
      <c r="H2181" s="305" t="s">
        <v>1101</v>
      </c>
      <c r="I2181" s="305"/>
      <c r="J2181" s="305"/>
      <c r="K2181" s="305"/>
      <c r="L2181"/>
    </row>
    <row r="2182" spans="1:12" s="324" customFormat="1" x14ac:dyDescent="0.25">
      <c r="A2182" s="302" t="str">
        <f t="shared" si="57"/>
        <v>Home Energy Report_2022, Year 6, NSG_SF_Lifetime (years)</v>
      </c>
      <c r="B2182" s="387" t="s">
        <v>1099</v>
      </c>
      <c r="C2182" s="379" t="s">
        <v>1134</v>
      </c>
      <c r="D2182" s="387" t="s">
        <v>409</v>
      </c>
      <c r="E2182" s="314" t="s">
        <v>259</v>
      </c>
      <c r="F2182" s="326"/>
      <c r="G2182" s="364">
        <v>6</v>
      </c>
      <c r="H2182" s="305" t="s">
        <v>1101</v>
      </c>
      <c r="I2182" s="305"/>
      <c r="J2182" s="305"/>
      <c r="K2182" s="305"/>
      <c r="L2182"/>
    </row>
    <row r="2183" spans="1:12" s="324" customFormat="1" x14ac:dyDescent="0.25">
      <c r="A2183" s="302" t="str">
        <f t="shared" ref="A2183:A2246" si="58">B2183&amp;"_"&amp;C2183&amp;"_"&amp;D2183&amp;"_"&amp;E2183</f>
        <v>Home Energy Report_2022, Year 6, NSG_SF_Incremental Cost</v>
      </c>
      <c r="B2183" s="387" t="s">
        <v>1099</v>
      </c>
      <c r="C2183" s="379" t="s">
        <v>1134</v>
      </c>
      <c r="D2183" s="387" t="s">
        <v>409</v>
      </c>
      <c r="E2183" s="314" t="s">
        <v>260</v>
      </c>
      <c r="F2183" s="326"/>
      <c r="G2183" s="364">
        <v>0</v>
      </c>
      <c r="H2183" s="305" t="s">
        <v>1101</v>
      </c>
      <c r="I2183" s="305"/>
      <c r="J2183" s="305"/>
      <c r="K2183" s="305"/>
      <c r="L2183"/>
    </row>
    <row r="2184" spans="1:12" s="324" customFormat="1" x14ac:dyDescent="0.25">
      <c r="A2184" s="317" t="str">
        <f t="shared" si="58"/>
        <v>Home Energy Report_2022, Year 6, NSG__</v>
      </c>
      <c r="B2184" s="380" t="str">
        <f>B2183</f>
        <v>Home Energy Report</v>
      </c>
      <c r="C2184" s="380" t="str">
        <f>C2183</f>
        <v>2022, Year 6, NSG</v>
      </c>
      <c r="D2184" s="317"/>
      <c r="E2184" s="317"/>
      <c r="F2184" s="317"/>
      <c r="G2184" s="323"/>
      <c r="H2184" s="320"/>
      <c r="I2184" s="320"/>
      <c r="J2184" s="317"/>
      <c r="K2184" s="317"/>
    </row>
    <row r="2185" spans="1:12" s="324" customFormat="1" x14ac:dyDescent="0.25">
      <c r="A2185" s="302" t="str">
        <f t="shared" si="58"/>
        <v>Home Energy Report_2022, Year 7, NSG_SF_Remaining Year Therms</v>
      </c>
      <c r="B2185" s="387" t="s">
        <v>1099</v>
      </c>
      <c r="C2185" s="379" t="s">
        <v>1135</v>
      </c>
      <c r="D2185" s="387" t="s">
        <v>409</v>
      </c>
      <c r="E2185" s="314" t="s">
        <v>320</v>
      </c>
      <c r="F2185" s="326"/>
      <c r="G2185" s="364">
        <v>0</v>
      </c>
      <c r="H2185" s="305" t="s">
        <v>1101</v>
      </c>
      <c r="I2185" s="305"/>
      <c r="J2185" s="305"/>
      <c r="K2185" s="305"/>
      <c r="L2185"/>
    </row>
    <row r="2186" spans="1:12" s="324" customFormat="1" x14ac:dyDescent="0.25">
      <c r="A2186" s="302" t="str">
        <f t="shared" si="58"/>
        <v>Home Energy Report_2022, Year 7, NSG_SF_Therm Saved per Unit</v>
      </c>
      <c r="B2186" s="387" t="s">
        <v>1099</v>
      </c>
      <c r="C2186" s="379" t="s">
        <v>1135</v>
      </c>
      <c r="D2186" s="387" t="s">
        <v>409</v>
      </c>
      <c r="E2186" s="314" t="s">
        <v>326</v>
      </c>
      <c r="F2186" s="326"/>
      <c r="G2186" s="388">
        <f>SUM('[7]Behavior_modified approach'!R78:R79)</f>
        <v>30919.447022532655</v>
      </c>
      <c r="H2186" s="305" t="s">
        <v>1101</v>
      </c>
      <c r="I2186" s="305"/>
      <c r="J2186" s="305"/>
      <c r="K2186" s="305"/>
      <c r="L2186"/>
    </row>
    <row r="2187" spans="1:12" s="324" customFormat="1" x14ac:dyDescent="0.25">
      <c r="A2187" s="302" t="str">
        <f t="shared" si="58"/>
        <v>Home Energy Report_2022, Year 7, NSG_SF_Remaining Life</v>
      </c>
      <c r="B2187" s="387" t="s">
        <v>1099</v>
      </c>
      <c r="C2187" s="379" t="s">
        <v>1135</v>
      </c>
      <c r="D2187" s="387" t="s">
        <v>409</v>
      </c>
      <c r="E2187" s="314" t="s">
        <v>258</v>
      </c>
      <c r="F2187" s="326"/>
      <c r="G2187" s="364">
        <v>6</v>
      </c>
      <c r="H2187" s="305" t="s">
        <v>1101</v>
      </c>
      <c r="I2187" s="305"/>
      <c r="J2187" s="305"/>
      <c r="K2187" s="305"/>
      <c r="L2187"/>
    </row>
    <row r="2188" spans="1:12" s="324" customFormat="1" x14ac:dyDescent="0.25">
      <c r="A2188" s="302" t="str">
        <f t="shared" si="58"/>
        <v>Home Energy Report_2022, Year 7, NSG_SF_Lifetime (years)</v>
      </c>
      <c r="B2188" s="387" t="s">
        <v>1099</v>
      </c>
      <c r="C2188" s="379" t="s">
        <v>1135</v>
      </c>
      <c r="D2188" s="387" t="s">
        <v>409</v>
      </c>
      <c r="E2188" s="314" t="s">
        <v>259</v>
      </c>
      <c r="F2188" s="326"/>
      <c r="G2188" s="364">
        <v>7</v>
      </c>
      <c r="H2188" s="305" t="s">
        <v>1101</v>
      </c>
      <c r="I2188" s="305"/>
      <c r="J2188" s="305"/>
      <c r="K2188" s="305"/>
      <c r="L2188"/>
    </row>
    <row r="2189" spans="1:12" s="324" customFormat="1" x14ac:dyDescent="0.25">
      <c r="A2189" s="302" t="str">
        <f t="shared" si="58"/>
        <v>Home Energy Report_2022, Year 7, NSG_SF_Incremental Cost</v>
      </c>
      <c r="B2189" s="387" t="s">
        <v>1099</v>
      </c>
      <c r="C2189" s="379" t="s">
        <v>1135</v>
      </c>
      <c r="D2189" s="387" t="s">
        <v>409</v>
      </c>
      <c r="E2189" s="314" t="s">
        <v>260</v>
      </c>
      <c r="F2189" s="326"/>
      <c r="G2189" s="364">
        <v>0</v>
      </c>
      <c r="H2189" s="305" t="s">
        <v>1101</v>
      </c>
      <c r="I2189" s="305"/>
      <c r="J2189" s="305"/>
      <c r="K2189" s="305"/>
      <c r="L2189"/>
    </row>
    <row r="2190" spans="1:12" s="324" customFormat="1" x14ac:dyDescent="0.25">
      <c r="A2190" s="317" t="str">
        <f t="shared" si="58"/>
        <v>Home Energy Report_2022, Year 7, NSG__</v>
      </c>
      <c r="B2190" s="380" t="str">
        <f>B2189</f>
        <v>Home Energy Report</v>
      </c>
      <c r="C2190" s="380" t="str">
        <f>C2189</f>
        <v>2022, Year 7, NSG</v>
      </c>
      <c r="D2190" s="317"/>
      <c r="E2190" s="317"/>
      <c r="F2190" s="317"/>
      <c r="G2190" s="323"/>
      <c r="H2190" s="320"/>
      <c r="I2190" s="320"/>
      <c r="J2190" s="317"/>
      <c r="K2190" s="317"/>
    </row>
    <row r="2191" spans="1:12" s="324" customFormat="1" x14ac:dyDescent="0.25">
      <c r="A2191" s="302" t="str">
        <f t="shared" si="58"/>
        <v>Home Energy Report_2023, Year 1, NSG_SF_Remaining Year Therms</v>
      </c>
      <c r="B2191" s="387" t="s">
        <v>1099</v>
      </c>
      <c r="C2191" s="379" t="s">
        <v>1136</v>
      </c>
      <c r="D2191" s="387" t="s">
        <v>409</v>
      </c>
      <c r="E2191" s="314" t="s">
        <v>320</v>
      </c>
      <c r="F2191" s="326"/>
      <c r="G2191" s="364">
        <v>0</v>
      </c>
      <c r="H2191" s="305" t="s">
        <v>1101</v>
      </c>
      <c r="I2191" s="305"/>
      <c r="J2191" s="305"/>
      <c r="K2191" s="305"/>
      <c r="L2191"/>
    </row>
    <row r="2192" spans="1:12" s="324" customFormat="1" x14ac:dyDescent="0.25">
      <c r="A2192" s="302" t="str">
        <f t="shared" si="58"/>
        <v>Home Energy Report_2023, Year 1, NSG_SF_Therm Saved per Unit</v>
      </c>
      <c r="B2192" s="387" t="s">
        <v>1099</v>
      </c>
      <c r="C2192" s="379" t="s">
        <v>1136</v>
      </c>
      <c r="D2192" s="387" t="s">
        <v>409</v>
      </c>
      <c r="E2192" s="314" t="s">
        <v>326</v>
      </c>
      <c r="F2192" s="326"/>
      <c r="G2192" s="388">
        <f>SUM('[7]Behavior_modified approach'!M80:M81)</f>
        <v>371629.01883869461</v>
      </c>
      <c r="H2192" s="305" t="s">
        <v>1101</v>
      </c>
      <c r="I2192" s="305"/>
      <c r="J2192" s="305"/>
      <c r="K2192" s="305"/>
      <c r="L2192"/>
    </row>
    <row r="2193" spans="1:12" s="324" customFormat="1" x14ac:dyDescent="0.25">
      <c r="A2193" s="302" t="str">
        <f t="shared" si="58"/>
        <v>Home Energy Report_2023, Year 1, NSG_SF_Remaining Life</v>
      </c>
      <c r="B2193" s="387" t="s">
        <v>1099</v>
      </c>
      <c r="C2193" s="379" t="s">
        <v>1136</v>
      </c>
      <c r="D2193" s="387" t="s">
        <v>409</v>
      </c>
      <c r="E2193" s="314" t="s">
        <v>258</v>
      </c>
      <c r="F2193" s="326"/>
      <c r="G2193" s="364">
        <v>0</v>
      </c>
      <c r="H2193" s="305" t="s">
        <v>1101</v>
      </c>
      <c r="I2193" s="305"/>
      <c r="J2193" s="305"/>
      <c r="K2193" s="305"/>
      <c r="L2193"/>
    </row>
    <row r="2194" spans="1:12" s="324" customFormat="1" x14ac:dyDescent="0.25">
      <c r="A2194" s="302" t="str">
        <f t="shared" si="58"/>
        <v>Home Energy Report_2023, Year 1, NSG_SF_Lifetime (years)</v>
      </c>
      <c r="B2194" s="387" t="s">
        <v>1099</v>
      </c>
      <c r="C2194" s="379" t="s">
        <v>1136</v>
      </c>
      <c r="D2194" s="387" t="s">
        <v>409</v>
      </c>
      <c r="E2194" s="314" t="s">
        <v>259</v>
      </c>
      <c r="F2194" s="326"/>
      <c r="G2194" s="364">
        <v>1</v>
      </c>
      <c r="H2194" s="305" t="s">
        <v>1101</v>
      </c>
      <c r="I2194" s="305"/>
      <c r="J2194" s="305"/>
      <c r="K2194" s="305"/>
      <c r="L2194"/>
    </row>
    <row r="2195" spans="1:12" s="324" customFormat="1" x14ac:dyDescent="0.25">
      <c r="A2195" s="302" t="str">
        <f t="shared" si="58"/>
        <v>Home Energy Report_2023, Year 1, NSG_SF_Incremental Cost</v>
      </c>
      <c r="B2195" s="387" t="s">
        <v>1099</v>
      </c>
      <c r="C2195" s="379" t="s">
        <v>1136</v>
      </c>
      <c r="D2195" s="387" t="s">
        <v>409</v>
      </c>
      <c r="E2195" s="314" t="s">
        <v>260</v>
      </c>
      <c r="F2195" s="326"/>
      <c r="G2195" s="364">
        <v>0</v>
      </c>
      <c r="H2195" s="305" t="s">
        <v>1101</v>
      </c>
      <c r="I2195" s="305"/>
      <c r="J2195" s="305"/>
      <c r="K2195" s="305"/>
      <c r="L2195"/>
    </row>
    <row r="2196" spans="1:12" s="324" customFormat="1" x14ac:dyDescent="0.25">
      <c r="A2196" s="317" t="str">
        <f t="shared" si="58"/>
        <v>Home Energy Report_2023, Year 1, NSG_SF_</v>
      </c>
      <c r="B2196" s="380" t="str">
        <f>B2195</f>
        <v>Home Energy Report</v>
      </c>
      <c r="C2196" s="380" t="str">
        <f>C2195</f>
        <v>2023, Year 1, NSG</v>
      </c>
      <c r="D2196" s="317" t="str">
        <f>D2195</f>
        <v>SF</v>
      </c>
      <c r="E2196" s="317"/>
      <c r="F2196" s="317"/>
      <c r="G2196" s="323"/>
      <c r="H2196" s="320"/>
      <c r="I2196" s="320"/>
      <c r="J2196" s="317"/>
      <c r="K2196" s="317"/>
    </row>
    <row r="2197" spans="1:12" s="324" customFormat="1" x14ac:dyDescent="0.25">
      <c r="A2197" s="302" t="str">
        <f t="shared" si="58"/>
        <v>Home Energy Report_2023, Year 2, NSG_SF_Remaining Year Therms</v>
      </c>
      <c r="B2197" s="387" t="s">
        <v>1099</v>
      </c>
      <c r="C2197" s="379" t="s">
        <v>1137</v>
      </c>
      <c r="D2197" s="387" t="s">
        <v>409</v>
      </c>
      <c r="E2197" s="314" t="s">
        <v>320</v>
      </c>
      <c r="F2197" s="326"/>
      <c r="G2197" s="364">
        <v>0</v>
      </c>
      <c r="H2197" s="305" t="s">
        <v>1101</v>
      </c>
      <c r="I2197" s="305"/>
      <c r="J2197" s="305"/>
      <c r="K2197" s="305"/>
      <c r="L2197"/>
    </row>
    <row r="2198" spans="1:12" s="324" customFormat="1" x14ac:dyDescent="0.25">
      <c r="A2198" s="302" t="str">
        <f t="shared" si="58"/>
        <v>Home Energy Report_2023, Year 2, NSG_SF_Therm Saved per Unit</v>
      </c>
      <c r="B2198" s="387" t="s">
        <v>1099</v>
      </c>
      <c r="C2198" s="379" t="str">
        <f>C2197</f>
        <v>2023, Year 2, NSG</v>
      </c>
      <c r="D2198" s="387" t="s">
        <v>409</v>
      </c>
      <c r="E2198" s="314" t="s">
        <v>326</v>
      </c>
      <c r="F2198" s="326"/>
      <c r="G2198" s="389">
        <f>SUM('[7]Behavior_modified approach'!N80:N81)</f>
        <v>254180.42773312624</v>
      </c>
      <c r="H2198" s="305" t="s">
        <v>1101</v>
      </c>
      <c r="I2198" s="305"/>
      <c r="J2198" s="305"/>
      <c r="K2198" s="305"/>
      <c r="L2198"/>
    </row>
    <row r="2199" spans="1:12" s="324" customFormat="1" x14ac:dyDescent="0.25">
      <c r="A2199" s="302" t="str">
        <f t="shared" si="58"/>
        <v>Home Energy Report_2023, Year 2, NSG_SF_Remaining Life</v>
      </c>
      <c r="B2199" s="387" t="s">
        <v>1099</v>
      </c>
      <c r="C2199" s="379" t="str">
        <f>C2197</f>
        <v>2023, Year 2, NSG</v>
      </c>
      <c r="D2199" s="387" t="s">
        <v>409</v>
      </c>
      <c r="E2199" s="314" t="s">
        <v>258</v>
      </c>
      <c r="F2199" s="326"/>
      <c r="G2199" s="364">
        <v>1</v>
      </c>
      <c r="H2199" s="305" t="s">
        <v>1101</v>
      </c>
      <c r="I2199" s="305"/>
      <c r="J2199" s="305"/>
      <c r="K2199" s="305"/>
      <c r="L2199"/>
    </row>
    <row r="2200" spans="1:12" s="324" customFormat="1" x14ac:dyDescent="0.25">
      <c r="A2200" s="302" t="str">
        <f t="shared" si="58"/>
        <v>Home Energy Report_2023, Year 2, NSG_SF_Lifetime (years)</v>
      </c>
      <c r="B2200" s="387" t="s">
        <v>1099</v>
      </c>
      <c r="C2200" s="379" t="str">
        <f>C2198</f>
        <v>2023, Year 2, NSG</v>
      </c>
      <c r="D2200" s="387" t="s">
        <v>409</v>
      </c>
      <c r="E2200" s="314" t="s">
        <v>259</v>
      </c>
      <c r="F2200" s="326"/>
      <c r="G2200" s="364">
        <v>2</v>
      </c>
      <c r="H2200" s="305" t="s">
        <v>1101</v>
      </c>
      <c r="I2200" s="305"/>
      <c r="J2200" s="305"/>
      <c r="K2200" s="305"/>
      <c r="L2200"/>
    </row>
    <row r="2201" spans="1:12" s="324" customFormat="1" x14ac:dyDescent="0.25">
      <c r="A2201" s="302" t="str">
        <f t="shared" si="58"/>
        <v>Home Energy Report_2023, Year 2, NSG_SF_Incremental Cost</v>
      </c>
      <c r="B2201" s="387" t="s">
        <v>1099</v>
      </c>
      <c r="C2201" s="379" t="str">
        <f>C2199</f>
        <v>2023, Year 2, NSG</v>
      </c>
      <c r="D2201" s="387" t="s">
        <v>409</v>
      </c>
      <c r="E2201" s="314" t="s">
        <v>260</v>
      </c>
      <c r="F2201" s="326"/>
      <c r="G2201" s="364">
        <v>0</v>
      </c>
      <c r="H2201" s="305" t="s">
        <v>1101</v>
      </c>
      <c r="I2201" s="305"/>
      <c r="J2201" s="305"/>
      <c r="K2201" s="305"/>
      <c r="L2201"/>
    </row>
    <row r="2202" spans="1:12" s="324" customFormat="1" x14ac:dyDescent="0.25">
      <c r="A2202" s="317" t="str">
        <f t="shared" si="58"/>
        <v>Home Energy Report_2023, Year 2, NSG__</v>
      </c>
      <c r="B2202" s="380" t="str">
        <f>B2201</f>
        <v>Home Energy Report</v>
      </c>
      <c r="C2202" s="380" t="str">
        <f>C2201</f>
        <v>2023, Year 2, NSG</v>
      </c>
      <c r="D2202" s="317"/>
      <c r="E2202" s="317"/>
      <c r="F2202" s="317"/>
      <c r="G2202" s="323"/>
      <c r="H2202" s="320"/>
      <c r="I2202" s="320"/>
      <c r="J2202" s="317"/>
      <c r="K2202" s="317"/>
    </row>
    <row r="2203" spans="1:12" s="324" customFormat="1" x14ac:dyDescent="0.25">
      <c r="A2203" s="302" t="str">
        <f t="shared" si="58"/>
        <v>Home Energy Report_2023, Year 3, NSG_SF_Remaining Year Therms</v>
      </c>
      <c r="B2203" s="387" t="s">
        <v>1099</v>
      </c>
      <c r="C2203" s="379" t="s">
        <v>1138</v>
      </c>
      <c r="D2203" s="387" t="s">
        <v>409</v>
      </c>
      <c r="E2203" s="314" t="s">
        <v>320</v>
      </c>
      <c r="F2203" s="326"/>
      <c r="G2203" s="364">
        <v>0</v>
      </c>
      <c r="H2203" s="305" t="s">
        <v>1101</v>
      </c>
      <c r="I2203" s="305"/>
      <c r="J2203" s="305"/>
      <c r="K2203" s="305"/>
      <c r="L2203"/>
    </row>
    <row r="2204" spans="1:12" s="324" customFormat="1" x14ac:dyDescent="0.25">
      <c r="A2204" s="302" t="str">
        <f t="shared" si="58"/>
        <v>Home Energy Report_2023, Year 3, NSG_SF_Therm Saved per Unit</v>
      </c>
      <c r="B2204" s="387" t="s">
        <v>1099</v>
      </c>
      <c r="C2204" s="379" t="str">
        <f>C2203</f>
        <v>2023, Year 3, NSG</v>
      </c>
      <c r="D2204" s="387" t="s">
        <v>409</v>
      </c>
      <c r="E2204" s="314" t="s">
        <v>326</v>
      </c>
      <c r="F2204" s="326"/>
      <c r="G2204" s="388">
        <f>SUM('[7]Behavior_modified approach'!O80:O81)</f>
        <v>173849.95941513911</v>
      </c>
      <c r="H2204" s="305" t="s">
        <v>1101</v>
      </c>
      <c r="I2204" s="305"/>
      <c r="J2204" s="305"/>
      <c r="K2204" s="305"/>
      <c r="L2204"/>
    </row>
    <row r="2205" spans="1:12" s="324" customFormat="1" x14ac:dyDescent="0.25">
      <c r="A2205" s="302" t="str">
        <f t="shared" si="58"/>
        <v>Home Energy Report_2023, Year 3, NSG_SF_Remaining Life</v>
      </c>
      <c r="B2205" s="387" t="s">
        <v>1099</v>
      </c>
      <c r="C2205" s="379" t="str">
        <f>C2203</f>
        <v>2023, Year 3, NSG</v>
      </c>
      <c r="D2205" s="387" t="s">
        <v>409</v>
      </c>
      <c r="E2205" s="314" t="s">
        <v>258</v>
      </c>
      <c r="F2205" s="326"/>
      <c r="G2205" s="364">
        <v>2</v>
      </c>
      <c r="H2205" s="305" t="s">
        <v>1101</v>
      </c>
      <c r="I2205" s="305"/>
      <c r="J2205" s="305"/>
      <c r="K2205" s="305"/>
      <c r="L2205"/>
    </row>
    <row r="2206" spans="1:12" s="324" customFormat="1" x14ac:dyDescent="0.25">
      <c r="A2206" s="302" t="str">
        <f t="shared" si="58"/>
        <v>Home Energy Report_2023, Year 3, NSG_SF_Lifetime (years)</v>
      </c>
      <c r="B2206" s="387" t="s">
        <v>1099</v>
      </c>
      <c r="C2206" s="379" t="str">
        <f>C2204</f>
        <v>2023, Year 3, NSG</v>
      </c>
      <c r="D2206" s="387" t="s">
        <v>409</v>
      </c>
      <c r="E2206" s="314" t="s">
        <v>259</v>
      </c>
      <c r="F2206" s="326"/>
      <c r="G2206" s="364">
        <v>3</v>
      </c>
      <c r="H2206" s="305" t="s">
        <v>1101</v>
      </c>
      <c r="I2206" s="305"/>
      <c r="J2206" s="305"/>
      <c r="K2206" s="305"/>
      <c r="L2206"/>
    </row>
    <row r="2207" spans="1:12" s="324" customFormat="1" x14ac:dyDescent="0.25">
      <c r="A2207" s="302" t="str">
        <f t="shared" si="58"/>
        <v>Home Energy Report_2023, Year 3, NSG_SF_Incremental Cost</v>
      </c>
      <c r="B2207" s="387" t="s">
        <v>1099</v>
      </c>
      <c r="C2207" s="379" t="str">
        <f>C2205</f>
        <v>2023, Year 3, NSG</v>
      </c>
      <c r="D2207" s="387" t="s">
        <v>409</v>
      </c>
      <c r="E2207" s="314" t="s">
        <v>260</v>
      </c>
      <c r="F2207" s="326"/>
      <c r="G2207" s="364">
        <v>0</v>
      </c>
      <c r="H2207" s="305" t="s">
        <v>1101</v>
      </c>
      <c r="I2207" s="305"/>
      <c r="J2207" s="305"/>
      <c r="K2207" s="305"/>
      <c r="L2207"/>
    </row>
    <row r="2208" spans="1:12" s="324" customFormat="1" x14ac:dyDescent="0.25">
      <c r="A2208" s="317" t="str">
        <f t="shared" si="58"/>
        <v>Home Energy Report_2023, Year 3, NSG__</v>
      </c>
      <c r="B2208" s="380" t="str">
        <f>B2207</f>
        <v>Home Energy Report</v>
      </c>
      <c r="C2208" s="380" t="str">
        <f>C2207</f>
        <v>2023, Year 3, NSG</v>
      </c>
      <c r="D2208" s="317"/>
      <c r="E2208" s="317"/>
      <c r="F2208" s="317"/>
      <c r="G2208" s="323"/>
      <c r="H2208" s="320"/>
      <c r="I2208" s="320"/>
      <c r="J2208" s="317"/>
      <c r="K2208" s="317"/>
    </row>
    <row r="2209" spans="1:12" s="324" customFormat="1" x14ac:dyDescent="0.25">
      <c r="A2209" s="302" t="str">
        <f t="shared" si="58"/>
        <v>Home Energy Report_2023, Year 4, NSG_SF_Remaining Year Therms</v>
      </c>
      <c r="B2209" s="387" t="s">
        <v>1099</v>
      </c>
      <c r="C2209" s="379" t="s">
        <v>1139</v>
      </c>
      <c r="D2209" s="387" t="s">
        <v>409</v>
      </c>
      <c r="E2209" s="314" t="s">
        <v>320</v>
      </c>
      <c r="F2209" s="326"/>
      <c r="G2209" s="364">
        <v>0</v>
      </c>
      <c r="H2209" s="305" t="s">
        <v>1101</v>
      </c>
      <c r="I2209" s="305"/>
      <c r="J2209" s="305"/>
      <c r="K2209" s="305"/>
      <c r="L2209"/>
    </row>
    <row r="2210" spans="1:12" s="324" customFormat="1" x14ac:dyDescent="0.25">
      <c r="A2210" s="302" t="str">
        <f t="shared" si="58"/>
        <v>Home Energy Report_2023, Year 4, NSG_SF_Therm Saved per Unit</v>
      </c>
      <c r="B2210" s="387" t="s">
        <v>1099</v>
      </c>
      <c r="C2210" s="379" t="str">
        <f>C2209</f>
        <v>2023, Year 4, NSG</v>
      </c>
      <c r="D2210" s="387" t="s">
        <v>409</v>
      </c>
      <c r="E2210" s="314" t="s">
        <v>326</v>
      </c>
      <c r="F2210" s="326"/>
      <c r="G2210" s="388">
        <f>SUM('[7]Behavior_modified approach'!P80:P81)</f>
        <v>117866.90453513106</v>
      </c>
      <c r="H2210" s="305" t="s">
        <v>1101</v>
      </c>
      <c r="I2210" s="305"/>
      <c r="J2210" s="305"/>
      <c r="K2210" s="305"/>
      <c r="L2210"/>
    </row>
    <row r="2211" spans="1:12" s="324" customFormat="1" x14ac:dyDescent="0.25">
      <c r="A2211" s="302" t="str">
        <f t="shared" si="58"/>
        <v>Home Energy Report_2023, Year 4, NSG_SF_Remaining Life</v>
      </c>
      <c r="B2211" s="387" t="s">
        <v>1099</v>
      </c>
      <c r="C2211" s="379" t="str">
        <f>C2210</f>
        <v>2023, Year 4, NSG</v>
      </c>
      <c r="D2211" s="387" t="s">
        <v>409</v>
      </c>
      <c r="E2211" s="314" t="s">
        <v>258</v>
      </c>
      <c r="F2211" s="326"/>
      <c r="G2211" s="364">
        <v>3</v>
      </c>
      <c r="H2211" s="305" t="s">
        <v>1101</v>
      </c>
      <c r="I2211" s="305"/>
      <c r="J2211" s="305"/>
      <c r="K2211" s="305"/>
      <c r="L2211"/>
    </row>
    <row r="2212" spans="1:12" s="324" customFormat="1" x14ac:dyDescent="0.25">
      <c r="A2212" s="302" t="str">
        <f t="shared" si="58"/>
        <v>Home Energy Report_2023, Year 4, NSG_SF_Lifetime (years)</v>
      </c>
      <c r="B2212" s="387" t="s">
        <v>1099</v>
      </c>
      <c r="C2212" s="379" t="str">
        <f>C2211</f>
        <v>2023, Year 4, NSG</v>
      </c>
      <c r="D2212" s="387" t="s">
        <v>409</v>
      </c>
      <c r="E2212" s="314" t="s">
        <v>259</v>
      </c>
      <c r="F2212" s="326"/>
      <c r="G2212" s="364">
        <v>4</v>
      </c>
      <c r="H2212" s="305" t="s">
        <v>1101</v>
      </c>
      <c r="I2212" s="305"/>
      <c r="J2212" s="305"/>
      <c r="K2212" s="305"/>
      <c r="L2212"/>
    </row>
    <row r="2213" spans="1:12" s="324" customFormat="1" x14ac:dyDescent="0.25">
      <c r="A2213" s="302" t="str">
        <f t="shared" si="58"/>
        <v>Home Energy Report_2023, Year 4, NSG_SF_Incremental Cost</v>
      </c>
      <c r="B2213" s="387" t="s">
        <v>1099</v>
      </c>
      <c r="C2213" s="379" t="str">
        <f>C2212</f>
        <v>2023, Year 4, NSG</v>
      </c>
      <c r="D2213" s="387" t="s">
        <v>409</v>
      </c>
      <c r="E2213" s="314" t="s">
        <v>260</v>
      </c>
      <c r="F2213" s="326"/>
      <c r="G2213" s="364">
        <v>0</v>
      </c>
      <c r="H2213" s="305" t="s">
        <v>1101</v>
      </c>
      <c r="I2213" s="305"/>
      <c r="J2213" s="305"/>
      <c r="K2213" s="305"/>
      <c r="L2213"/>
    </row>
    <row r="2214" spans="1:12" s="324" customFormat="1" x14ac:dyDescent="0.25">
      <c r="A2214" s="317" t="str">
        <f t="shared" si="58"/>
        <v>Home Energy Report_2023, Year 4, NSG__</v>
      </c>
      <c r="B2214" s="380" t="str">
        <f>B2213</f>
        <v>Home Energy Report</v>
      </c>
      <c r="C2214" s="380" t="str">
        <f>C2213</f>
        <v>2023, Year 4, NSG</v>
      </c>
      <c r="D2214" s="317"/>
      <c r="E2214" s="317"/>
      <c r="F2214" s="317"/>
      <c r="G2214" s="323"/>
      <c r="H2214" s="320"/>
      <c r="I2214" s="320"/>
      <c r="J2214" s="317"/>
      <c r="K2214" s="317"/>
    </row>
    <row r="2215" spans="1:12" s="324" customFormat="1" x14ac:dyDescent="0.25">
      <c r="A2215" s="302" t="str">
        <f t="shared" si="58"/>
        <v>Home Energy Report_2023, Year 5, NSG_SF_Remaining Year Therms</v>
      </c>
      <c r="B2215" s="387" t="s">
        <v>1099</v>
      </c>
      <c r="C2215" s="379" t="s">
        <v>1140</v>
      </c>
      <c r="D2215" s="387" t="s">
        <v>409</v>
      </c>
      <c r="E2215" s="314" t="s">
        <v>320</v>
      </c>
      <c r="F2215" s="326"/>
      <c r="G2215" s="364">
        <v>0</v>
      </c>
      <c r="H2215" s="305" t="s">
        <v>1101</v>
      </c>
      <c r="I2215" s="305"/>
      <c r="J2215" s="305"/>
      <c r="K2215" s="305"/>
      <c r="L2215"/>
    </row>
    <row r="2216" spans="1:12" s="324" customFormat="1" x14ac:dyDescent="0.25">
      <c r="A2216" s="302" t="str">
        <f t="shared" si="58"/>
        <v>Home Energy Report_2023, Year 5, NSG_SF_Therm Saved per Unit</v>
      </c>
      <c r="B2216" s="387" t="s">
        <v>1099</v>
      </c>
      <c r="C2216" s="379" t="str">
        <f>C2215</f>
        <v>2023, Year 5, NSG</v>
      </c>
      <c r="D2216" s="387" t="s">
        <v>409</v>
      </c>
      <c r="E2216" s="314" t="s">
        <v>326</v>
      </c>
      <c r="F2216" s="326"/>
      <c r="G2216" s="388">
        <f>SUM('[7]Behavior_modified approach'!Q80:Q81)</f>
        <v>81294.029391356409</v>
      </c>
      <c r="H2216" s="305" t="s">
        <v>1101</v>
      </c>
      <c r="I2216" s="305"/>
      <c r="J2216" s="305"/>
      <c r="K2216" s="305"/>
      <c r="L2216"/>
    </row>
    <row r="2217" spans="1:12" s="324" customFormat="1" x14ac:dyDescent="0.25">
      <c r="A2217" s="302" t="str">
        <f t="shared" si="58"/>
        <v>Home Energy Report_2023, Year 5, NSG_SF_Remaining Life</v>
      </c>
      <c r="B2217" s="387" t="s">
        <v>1099</v>
      </c>
      <c r="C2217" s="379" t="str">
        <f>C2216</f>
        <v>2023, Year 5, NSG</v>
      </c>
      <c r="D2217" s="387" t="s">
        <v>409</v>
      </c>
      <c r="E2217" s="314" t="s">
        <v>258</v>
      </c>
      <c r="F2217" s="326"/>
      <c r="G2217" s="364">
        <v>4</v>
      </c>
      <c r="H2217" s="305" t="s">
        <v>1101</v>
      </c>
      <c r="I2217" s="305"/>
      <c r="J2217" s="305"/>
      <c r="K2217" s="305"/>
      <c r="L2217"/>
    </row>
    <row r="2218" spans="1:12" s="324" customFormat="1" x14ac:dyDescent="0.25">
      <c r="A2218" s="302" t="str">
        <f t="shared" si="58"/>
        <v>Home Energy Report_2023, Year 5, NSG_SF_Lifetime (years)</v>
      </c>
      <c r="B2218" s="387" t="s">
        <v>1099</v>
      </c>
      <c r="C2218" s="379" t="str">
        <f>C2217</f>
        <v>2023, Year 5, NSG</v>
      </c>
      <c r="D2218" s="387" t="s">
        <v>409</v>
      </c>
      <c r="E2218" s="314" t="s">
        <v>259</v>
      </c>
      <c r="F2218" s="326"/>
      <c r="G2218" s="364">
        <v>5</v>
      </c>
      <c r="H2218" s="305" t="s">
        <v>1101</v>
      </c>
      <c r="I2218" s="305"/>
      <c r="J2218" s="305"/>
      <c r="K2218" s="305"/>
      <c r="L2218"/>
    </row>
    <row r="2219" spans="1:12" s="324" customFormat="1" x14ac:dyDescent="0.25">
      <c r="A2219" s="302" t="str">
        <f t="shared" si="58"/>
        <v>Home Energy Report_2023, Year 5, NSG_SF_Incremental Cost</v>
      </c>
      <c r="B2219" s="387" t="s">
        <v>1099</v>
      </c>
      <c r="C2219" s="379" t="str">
        <f>C2218</f>
        <v>2023, Year 5, NSG</v>
      </c>
      <c r="D2219" s="387" t="s">
        <v>409</v>
      </c>
      <c r="E2219" s="314" t="s">
        <v>260</v>
      </c>
      <c r="F2219" s="326"/>
      <c r="G2219" s="364">
        <v>0</v>
      </c>
      <c r="H2219" s="305" t="s">
        <v>1101</v>
      </c>
      <c r="I2219" s="305"/>
      <c r="J2219" s="305"/>
      <c r="K2219" s="305"/>
      <c r="L2219"/>
    </row>
    <row r="2220" spans="1:12" s="324" customFormat="1" x14ac:dyDescent="0.25">
      <c r="A2220" s="317" t="str">
        <f t="shared" si="58"/>
        <v>Home Energy Report_2023, Year 5, NSG__</v>
      </c>
      <c r="B2220" s="380" t="str">
        <f>B2219</f>
        <v>Home Energy Report</v>
      </c>
      <c r="C2220" s="380" t="str">
        <f>C2219</f>
        <v>2023, Year 5, NSG</v>
      </c>
      <c r="D2220" s="317"/>
      <c r="E2220" s="317"/>
      <c r="F2220" s="317"/>
      <c r="G2220" s="323"/>
      <c r="H2220" s="320"/>
      <c r="I2220" s="320"/>
      <c r="J2220" s="317"/>
      <c r="K2220" s="317"/>
    </row>
    <row r="2221" spans="1:12" s="324" customFormat="1" x14ac:dyDescent="0.25">
      <c r="A2221" s="302" t="str">
        <f t="shared" si="58"/>
        <v>Home Energy Report_2023, Year 6, NSG_SF_Remaining Year Therms</v>
      </c>
      <c r="B2221" s="387" t="s">
        <v>1099</v>
      </c>
      <c r="C2221" s="379" t="s">
        <v>1141</v>
      </c>
      <c r="D2221" s="387" t="s">
        <v>409</v>
      </c>
      <c r="E2221" s="314" t="s">
        <v>320</v>
      </c>
      <c r="F2221" s="326"/>
      <c r="G2221" s="364">
        <v>0</v>
      </c>
      <c r="H2221" s="305" t="s">
        <v>1101</v>
      </c>
      <c r="I2221" s="305"/>
      <c r="J2221" s="305"/>
      <c r="K2221" s="305"/>
      <c r="L2221"/>
    </row>
    <row r="2222" spans="1:12" s="324" customFormat="1" x14ac:dyDescent="0.25">
      <c r="A2222" s="302" t="str">
        <f t="shared" si="58"/>
        <v>Home Energy Report_2023, Year 6, NSG_SF_Therm Saved per Unit</v>
      </c>
      <c r="B2222" s="387" t="s">
        <v>1099</v>
      </c>
      <c r="C2222" s="379" t="s">
        <v>1141</v>
      </c>
      <c r="D2222" s="387" t="s">
        <v>409</v>
      </c>
      <c r="E2222" s="314" t="s">
        <v>326</v>
      </c>
      <c r="F2222" s="326"/>
      <c r="G2222" s="388">
        <f>SUM('[7]Behavior_modified approach'!R80:R81)</f>
        <v>56859.239882320282</v>
      </c>
      <c r="H2222" s="305" t="s">
        <v>1101</v>
      </c>
      <c r="I2222" s="305"/>
      <c r="J2222" s="305"/>
      <c r="K2222" s="305"/>
      <c r="L2222"/>
    </row>
    <row r="2223" spans="1:12" s="324" customFormat="1" x14ac:dyDescent="0.25">
      <c r="A2223" s="302" t="str">
        <f t="shared" si="58"/>
        <v>Home Energy Report_2023, Year 6, NSG_SF_Remaining Life</v>
      </c>
      <c r="B2223" s="387" t="s">
        <v>1099</v>
      </c>
      <c r="C2223" s="379" t="s">
        <v>1141</v>
      </c>
      <c r="D2223" s="387" t="s">
        <v>409</v>
      </c>
      <c r="E2223" s="314" t="s">
        <v>258</v>
      </c>
      <c r="F2223" s="326"/>
      <c r="G2223" s="364">
        <v>5</v>
      </c>
      <c r="H2223" s="305" t="s">
        <v>1101</v>
      </c>
      <c r="I2223" s="305"/>
      <c r="J2223" s="305"/>
      <c r="K2223" s="305"/>
      <c r="L2223"/>
    </row>
    <row r="2224" spans="1:12" s="324" customFormat="1" x14ac:dyDescent="0.25">
      <c r="A2224" s="302" t="str">
        <f t="shared" si="58"/>
        <v>Home Energy Report_2023, Year 6, NSG_SF_Lifetime (years)</v>
      </c>
      <c r="B2224" s="387" t="s">
        <v>1099</v>
      </c>
      <c r="C2224" s="379" t="s">
        <v>1141</v>
      </c>
      <c r="D2224" s="387" t="s">
        <v>409</v>
      </c>
      <c r="E2224" s="314" t="s">
        <v>259</v>
      </c>
      <c r="F2224" s="326"/>
      <c r="G2224" s="364">
        <v>6</v>
      </c>
      <c r="H2224" s="305" t="s">
        <v>1101</v>
      </c>
      <c r="I2224" s="305"/>
      <c r="J2224" s="305"/>
      <c r="K2224" s="305"/>
      <c r="L2224"/>
    </row>
    <row r="2225" spans="1:12" s="324" customFormat="1" x14ac:dyDescent="0.25">
      <c r="A2225" s="302" t="str">
        <f t="shared" si="58"/>
        <v>Home Energy Report_2023, Year 6, NSG_SF_Incremental Cost</v>
      </c>
      <c r="B2225" s="387" t="s">
        <v>1099</v>
      </c>
      <c r="C2225" s="379" t="s">
        <v>1141</v>
      </c>
      <c r="D2225" s="387" t="s">
        <v>409</v>
      </c>
      <c r="E2225" s="314" t="s">
        <v>260</v>
      </c>
      <c r="F2225" s="326"/>
      <c r="G2225" s="364">
        <v>0</v>
      </c>
      <c r="H2225" s="305" t="s">
        <v>1101</v>
      </c>
      <c r="I2225" s="305"/>
      <c r="J2225" s="305"/>
      <c r="K2225" s="305"/>
      <c r="L2225"/>
    </row>
    <row r="2226" spans="1:12" s="324" customFormat="1" x14ac:dyDescent="0.25">
      <c r="A2226" s="317" t="str">
        <f t="shared" si="58"/>
        <v>Home Energy Report_2023, Year 6, NSG__</v>
      </c>
      <c r="B2226" s="380" t="str">
        <f>B2225</f>
        <v>Home Energy Report</v>
      </c>
      <c r="C2226" s="380" t="str">
        <f>C2225</f>
        <v>2023, Year 6, NSG</v>
      </c>
      <c r="D2226" s="317"/>
      <c r="E2226" s="317"/>
      <c r="F2226" s="317"/>
      <c r="G2226" s="323"/>
      <c r="H2226" s="320"/>
      <c r="I2226" s="320"/>
      <c r="J2226" s="317"/>
      <c r="K2226" s="317"/>
    </row>
    <row r="2227" spans="1:12" s="324" customFormat="1" x14ac:dyDescent="0.25">
      <c r="A2227" s="302" t="str">
        <f t="shared" si="58"/>
        <v>Home Energy Report_2023, Year 7, NSG_SF_Remaining Year Therms</v>
      </c>
      <c r="B2227" s="387" t="s">
        <v>1099</v>
      </c>
      <c r="C2227" s="379" t="s">
        <v>1142</v>
      </c>
      <c r="D2227" s="387" t="s">
        <v>409</v>
      </c>
      <c r="E2227" s="314" t="s">
        <v>320</v>
      </c>
      <c r="F2227" s="326"/>
      <c r="G2227" s="364">
        <v>0</v>
      </c>
      <c r="H2227" s="305" t="s">
        <v>1101</v>
      </c>
      <c r="I2227" s="305"/>
      <c r="J2227" s="305"/>
      <c r="K2227" s="305"/>
      <c r="L2227"/>
    </row>
    <row r="2228" spans="1:12" s="324" customFormat="1" x14ac:dyDescent="0.25">
      <c r="A2228" s="302" t="str">
        <f t="shared" si="58"/>
        <v>Home Energy Report_2023, Year 7, NSG_SF_Therm Saved per Unit</v>
      </c>
      <c r="B2228" s="387" t="s">
        <v>1099</v>
      </c>
      <c r="C2228" s="379" t="s">
        <v>1142</v>
      </c>
      <c r="D2228" s="387" t="s">
        <v>409</v>
      </c>
      <c r="E2228" s="314" t="s">
        <v>326</v>
      </c>
      <c r="F2228" s="326"/>
      <c r="G2228" s="388">
        <f>SUM('[7]Behavior_modified approach'!S80:S81)</f>
        <v>39689.979211972583</v>
      </c>
      <c r="H2228" s="305" t="s">
        <v>1101</v>
      </c>
      <c r="I2228" s="305"/>
      <c r="J2228" s="305"/>
      <c r="K2228" s="305"/>
      <c r="L2228"/>
    </row>
    <row r="2229" spans="1:12" s="324" customFormat="1" x14ac:dyDescent="0.25">
      <c r="A2229" s="302" t="str">
        <f t="shared" si="58"/>
        <v>Home Energy Report_2023, Year 7, NSG_SF_Remaining Life</v>
      </c>
      <c r="B2229" s="387" t="s">
        <v>1099</v>
      </c>
      <c r="C2229" s="379" t="s">
        <v>1142</v>
      </c>
      <c r="D2229" s="387" t="s">
        <v>409</v>
      </c>
      <c r="E2229" s="314" t="s">
        <v>258</v>
      </c>
      <c r="F2229" s="326"/>
      <c r="G2229" s="364">
        <v>6</v>
      </c>
      <c r="H2229" s="305" t="s">
        <v>1101</v>
      </c>
      <c r="I2229" s="305"/>
      <c r="J2229" s="305"/>
      <c r="K2229" s="305"/>
      <c r="L2229"/>
    </row>
    <row r="2230" spans="1:12" s="324" customFormat="1" x14ac:dyDescent="0.25">
      <c r="A2230" s="302" t="str">
        <f t="shared" si="58"/>
        <v>Home Energy Report_2023, Year 7, NSG_SF_Lifetime (years)</v>
      </c>
      <c r="B2230" s="387" t="s">
        <v>1099</v>
      </c>
      <c r="C2230" s="379" t="s">
        <v>1142</v>
      </c>
      <c r="D2230" s="387" t="s">
        <v>409</v>
      </c>
      <c r="E2230" s="314" t="s">
        <v>259</v>
      </c>
      <c r="F2230" s="326"/>
      <c r="G2230" s="364">
        <v>7</v>
      </c>
      <c r="H2230" s="305" t="s">
        <v>1101</v>
      </c>
      <c r="I2230" s="305"/>
      <c r="J2230" s="305"/>
      <c r="K2230" s="305"/>
      <c r="L2230"/>
    </row>
    <row r="2231" spans="1:12" s="324" customFormat="1" x14ac:dyDescent="0.25">
      <c r="A2231" s="302" t="str">
        <f t="shared" si="58"/>
        <v>Home Energy Report_2023, Year 7, NSG_SF_Incremental Cost</v>
      </c>
      <c r="B2231" s="387" t="s">
        <v>1099</v>
      </c>
      <c r="C2231" s="379" t="s">
        <v>1142</v>
      </c>
      <c r="D2231" s="387" t="s">
        <v>409</v>
      </c>
      <c r="E2231" s="314" t="s">
        <v>260</v>
      </c>
      <c r="F2231" s="326"/>
      <c r="G2231" s="364">
        <v>0</v>
      </c>
      <c r="H2231" s="305" t="s">
        <v>1101</v>
      </c>
      <c r="I2231" s="305"/>
      <c r="J2231" s="305"/>
      <c r="K2231" s="305"/>
      <c r="L2231"/>
    </row>
    <row r="2232" spans="1:12" s="324" customFormat="1" x14ac:dyDescent="0.25">
      <c r="A2232" s="317" t="str">
        <f t="shared" si="58"/>
        <v>Home Energy Report_2023, Year 7, NSG__</v>
      </c>
      <c r="B2232" s="380" t="str">
        <f>B2231</f>
        <v>Home Energy Report</v>
      </c>
      <c r="C2232" s="380" t="str">
        <f>C2231</f>
        <v>2023, Year 7, NSG</v>
      </c>
      <c r="D2232" s="317"/>
      <c r="E2232" s="317"/>
      <c r="F2232" s="317"/>
      <c r="G2232" s="323"/>
      <c r="H2232" s="320"/>
      <c r="I2232" s="320"/>
      <c r="J2232" s="317"/>
      <c r="K2232" s="317"/>
    </row>
    <row r="2233" spans="1:12" s="324" customFormat="1" x14ac:dyDescent="0.25">
      <c r="A2233" s="302" t="str">
        <f t="shared" si="58"/>
        <v>Home Energy Report_2024, Year 1, NSG_SF_Remaining Year Therms</v>
      </c>
      <c r="B2233" s="387" t="s">
        <v>1099</v>
      </c>
      <c r="C2233" s="379" t="s">
        <v>1143</v>
      </c>
      <c r="D2233" s="387" t="s">
        <v>409</v>
      </c>
      <c r="E2233" s="314" t="s">
        <v>320</v>
      </c>
      <c r="F2233" s="326"/>
      <c r="G2233" s="364">
        <v>0</v>
      </c>
      <c r="H2233" s="305" t="s">
        <v>1101</v>
      </c>
      <c r="I2233" s="305"/>
      <c r="J2233" s="305"/>
      <c r="K2233" s="305"/>
      <c r="L2233"/>
    </row>
    <row r="2234" spans="1:12" s="324" customFormat="1" x14ac:dyDescent="0.25">
      <c r="A2234" s="302" t="str">
        <f t="shared" si="58"/>
        <v>Home Energy Report_2024, Year 1, NSG_SF_Therm Saved per Unit</v>
      </c>
      <c r="B2234" s="387" t="s">
        <v>1099</v>
      </c>
      <c r="C2234" s="379" t="str">
        <f>C2233</f>
        <v>2024, Year 1, NSG</v>
      </c>
      <c r="D2234" s="387" t="s">
        <v>409</v>
      </c>
      <c r="E2234" s="314" t="s">
        <v>326</v>
      </c>
      <c r="F2234" s="326"/>
      <c r="G2234" s="388">
        <f>SUM('[7]Behavior_modified approach'!N82:N83)</f>
        <v>369508.50017190294</v>
      </c>
      <c r="H2234" s="305" t="s">
        <v>1101</v>
      </c>
      <c r="I2234" s="305"/>
      <c r="J2234" s="305"/>
      <c r="K2234" s="305"/>
      <c r="L2234"/>
    </row>
    <row r="2235" spans="1:12" s="324" customFormat="1" x14ac:dyDescent="0.25">
      <c r="A2235" s="302" t="str">
        <f t="shared" si="58"/>
        <v>Home Energy Report_2024, Year 1, NSG_SF_Remaining Life</v>
      </c>
      <c r="B2235" s="387" t="s">
        <v>1099</v>
      </c>
      <c r="C2235" s="379" t="str">
        <f>C2234</f>
        <v>2024, Year 1, NSG</v>
      </c>
      <c r="D2235" s="387" t="s">
        <v>409</v>
      </c>
      <c r="E2235" s="314" t="s">
        <v>258</v>
      </c>
      <c r="F2235" s="326"/>
      <c r="G2235" s="364">
        <v>0</v>
      </c>
      <c r="H2235" s="305" t="s">
        <v>1101</v>
      </c>
      <c r="I2235" s="305"/>
      <c r="J2235" s="305"/>
      <c r="K2235" s="305"/>
      <c r="L2235"/>
    </row>
    <row r="2236" spans="1:12" s="324" customFormat="1" x14ac:dyDescent="0.25">
      <c r="A2236" s="302" t="str">
        <f t="shared" si="58"/>
        <v>Home Energy Report_2024, Year 1, NSG_SF_Lifetime (years)</v>
      </c>
      <c r="B2236" s="387" t="s">
        <v>1099</v>
      </c>
      <c r="C2236" s="379" t="str">
        <f>C2235</f>
        <v>2024, Year 1, NSG</v>
      </c>
      <c r="D2236" s="387" t="s">
        <v>409</v>
      </c>
      <c r="E2236" s="314" t="s">
        <v>259</v>
      </c>
      <c r="F2236" s="326"/>
      <c r="G2236" s="364">
        <v>1</v>
      </c>
      <c r="H2236" s="305" t="s">
        <v>1101</v>
      </c>
      <c r="I2236" s="305"/>
      <c r="J2236" s="305"/>
      <c r="K2236" s="305"/>
      <c r="L2236"/>
    </row>
    <row r="2237" spans="1:12" s="324" customFormat="1" x14ac:dyDescent="0.25">
      <c r="A2237" s="302" t="str">
        <f t="shared" si="58"/>
        <v>Home Energy Report_2024, Year 1, NSG_SF_Incremental Cost</v>
      </c>
      <c r="B2237" s="387" t="s">
        <v>1099</v>
      </c>
      <c r="C2237" s="379" t="str">
        <f>C2236</f>
        <v>2024, Year 1, NSG</v>
      </c>
      <c r="D2237" s="387" t="s">
        <v>409</v>
      </c>
      <c r="E2237" s="314" t="s">
        <v>260</v>
      </c>
      <c r="F2237" s="326"/>
      <c r="G2237" s="364">
        <v>0</v>
      </c>
      <c r="H2237" s="305" t="s">
        <v>1101</v>
      </c>
      <c r="I2237" s="305"/>
      <c r="J2237" s="305"/>
      <c r="K2237" s="305"/>
      <c r="L2237"/>
    </row>
    <row r="2238" spans="1:12" s="324" customFormat="1" x14ac:dyDescent="0.25">
      <c r="A2238" s="317" t="str">
        <f t="shared" si="58"/>
        <v>Home Energy Report_2024, Year 1, NSG_SF_</v>
      </c>
      <c r="B2238" s="380" t="str">
        <f>B2237</f>
        <v>Home Energy Report</v>
      </c>
      <c r="C2238" s="380" t="str">
        <f>C2237</f>
        <v>2024, Year 1, NSG</v>
      </c>
      <c r="D2238" s="317" t="str">
        <f>D2237</f>
        <v>SF</v>
      </c>
      <c r="E2238" s="317"/>
      <c r="F2238" s="317"/>
      <c r="G2238" s="323"/>
      <c r="H2238" s="320"/>
      <c r="I2238" s="320"/>
      <c r="J2238" s="317"/>
      <c r="K2238" s="317"/>
    </row>
    <row r="2239" spans="1:12" s="324" customFormat="1" x14ac:dyDescent="0.25">
      <c r="A2239" s="302" t="str">
        <f t="shared" si="58"/>
        <v>Home Energy Report_2024, Year 2, NSG_SF_Remaining Year Therms</v>
      </c>
      <c r="B2239" s="387" t="s">
        <v>1099</v>
      </c>
      <c r="C2239" s="379" t="s">
        <v>1144</v>
      </c>
      <c r="D2239" s="387" t="s">
        <v>409</v>
      </c>
      <c r="E2239" s="314" t="s">
        <v>320</v>
      </c>
      <c r="F2239" s="326"/>
      <c r="G2239" s="364">
        <v>0</v>
      </c>
      <c r="H2239" s="305" t="s">
        <v>1101</v>
      </c>
      <c r="I2239" s="305"/>
      <c r="J2239" s="305"/>
      <c r="K2239" s="305"/>
      <c r="L2239"/>
    </row>
    <row r="2240" spans="1:12" s="324" customFormat="1" x14ac:dyDescent="0.25">
      <c r="A2240" s="302" t="str">
        <f t="shared" si="58"/>
        <v>Home Energy Report_2024, Year 2, NSG_SF_Therm Saved per Unit</v>
      </c>
      <c r="B2240" s="387" t="s">
        <v>1099</v>
      </c>
      <c r="C2240" s="379" t="str">
        <f>C2239</f>
        <v>2024, Year 2, NSG</v>
      </c>
      <c r="D2240" s="387" t="s">
        <v>409</v>
      </c>
      <c r="E2240" s="314" t="s">
        <v>326</v>
      </c>
      <c r="F2240" s="326"/>
      <c r="G2240" s="389">
        <f>SUM('[7]Behavior_modified approach'!O82:O83)</f>
        <v>252730.07182866675</v>
      </c>
      <c r="H2240" s="305" t="s">
        <v>1101</v>
      </c>
      <c r="I2240" s="305"/>
      <c r="J2240" s="305"/>
      <c r="K2240" s="305"/>
      <c r="L2240"/>
    </row>
    <row r="2241" spans="1:12" s="324" customFormat="1" x14ac:dyDescent="0.25">
      <c r="A2241" s="302" t="str">
        <f t="shared" si="58"/>
        <v>Home Energy Report_2024, Year 2, NSG_SF_Remaining Life</v>
      </c>
      <c r="B2241" s="387" t="s">
        <v>1099</v>
      </c>
      <c r="C2241" s="379" t="str">
        <f>C2239</f>
        <v>2024, Year 2, NSG</v>
      </c>
      <c r="D2241" s="387" t="s">
        <v>409</v>
      </c>
      <c r="E2241" s="314" t="s">
        <v>258</v>
      </c>
      <c r="F2241" s="326"/>
      <c r="G2241" s="364">
        <v>1</v>
      </c>
      <c r="H2241" s="305" t="s">
        <v>1101</v>
      </c>
      <c r="I2241" s="305"/>
      <c r="J2241" s="305"/>
      <c r="K2241" s="305"/>
      <c r="L2241"/>
    </row>
    <row r="2242" spans="1:12" s="324" customFormat="1" x14ac:dyDescent="0.25">
      <c r="A2242" s="302" t="str">
        <f t="shared" si="58"/>
        <v>Home Energy Report_2024, Year 2, NSG_SF_Lifetime (years)</v>
      </c>
      <c r="B2242" s="387" t="s">
        <v>1099</v>
      </c>
      <c r="C2242" s="379" t="str">
        <f>C2240</f>
        <v>2024, Year 2, NSG</v>
      </c>
      <c r="D2242" s="387" t="s">
        <v>409</v>
      </c>
      <c r="E2242" s="314" t="s">
        <v>259</v>
      </c>
      <c r="F2242" s="326"/>
      <c r="G2242" s="364">
        <v>2</v>
      </c>
      <c r="H2242" s="305" t="s">
        <v>1101</v>
      </c>
      <c r="I2242" s="305"/>
      <c r="J2242" s="305"/>
      <c r="K2242" s="305"/>
      <c r="L2242"/>
    </row>
    <row r="2243" spans="1:12" s="324" customFormat="1" x14ac:dyDescent="0.25">
      <c r="A2243" s="302" t="str">
        <f t="shared" si="58"/>
        <v>Home Energy Report_2024, Year 2, NSG_SF_Incremental Cost</v>
      </c>
      <c r="B2243" s="387" t="s">
        <v>1099</v>
      </c>
      <c r="C2243" s="379" t="str">
        <f>C2241</f>
        <v>2024, Year 2, NSG</v>
      </c>
      <c r="D2243" s="387" t="s">
        <v>409</v>
      </c>
      <c r="E2243" s="314" t="s">
        <v>260</v>
      </c>
      <c r="F2243" s="326"/>
      <c r="G2243" s="364">
        <v>0</v>
      </c>
      <c r="H2243" s="305" t="s">
        <v>1101</v>
      </c>
      <c r="I2243" s="305"/>
      <c r="J2243" s="305"/>
      <c r="K2243" s="305"/>
      <c r="L2243"/>
    </row>
    <row r="2244" spans="1:12" s="324" customFormat="1" x14ac:dyDescent="0.25">
      <c r="A2244" s="317" t="str">
        <f t="shared" si="58"/>
        <v>Home Energy Report_2024, Year 2, NSG__</v>
      </c>
      <c r="B2244" s="380" t="str">
        <f>B2243</f>
        <v>Home Energy Report</v>
      </c>
      <c r="C2244" s="380" t="str">
        <f>C2243</f>
        <v>2024, Year 2, NSG</v>
      </c>
      <c r="D2244" s="317"/>
      <c r="E2244" s="317"/>
      <c r="F2244" s="317"/>
      <c r="G2244" s="323"/>
      <c r="H2244" s="320"/>
      <c r="I2244" s="320"/>
      <c r="J2244" s="317"/>
      <c r="K2244" s="317"/>
    </row>
    <row r="2245" spans="1:12" s="324" customFormat="1" x14ac:dyDescent="0.25">
      <c r="A2245" s="302" t="str">
        <f t="shared" si="58"/>
        <v>Home Energy Report_2024, Year 3, NSG_SF_Remaining Year Therms</v>
      </c>
      <c r="B2245" s="387" t="s">
        <v>1099</v>
      </c>
      <c r="C2245" s="379" t="s">
        <v>1145</v>
      </c>
      <c r="D2245" s="387" t="s">
        <v>409</v>
      </c>
      <c r="E2245" s="314" t="s">
        <v>320</v>
      </c>
      <c r="F2245" s="326"/>
      <c r="G2245" s="364">
        <v>0</v>
      </c>
      <c r="H2245" s="305" t="s">
        <v>1101</v>
      </c>
      <c r="I2245" s="305"/>
      <c r="J2245" s="305"/>
      <c r="K2245" s="305"/>
      <c r="L2245"/>
    </row>
    <row r="2246" spans="1:12" s="324" customFormat="1" x14ac:dyDescent="0.25">
      <c r="A2246" s="302" t="str">
        <f t="shared" si="58"/>
        <v>Home Energy Report_2024, Year 3, NSG_SF_Therm Saved per Unit</v>
      </c>
      <c r="B2246" s="387" t="s">
        <v>1099</v>
      </c>
      <c r="C2246" s="379" t="str">
        <f>C2245</f>
        <v>2024, Year 3, NSG</v>
      </c>
      <c r="D2246" s="387" t="s">
        <v>409</v>
      </c>
      <c r="E2246" s="314" t="s">
        <v>326</v>
      </c>
      <c r="F2246" s="326"/>
      <c r="G2246" s="388">
        <f>SUM('[7]Behavior_modified approach'!P82:P83)</f>
        <v>172857.96991627602</v>
      </c>
      <c r="H2246" s="305" t="s">
        <v>1101</v>
      </c>
      <c r="I2246" s="305"/>
      <c r="J2246" s="305"/>
      <c r="K2246" s="305"/>
      <c r="L2246"/>
    </row>
    <row r="2247" spans="1:12" s="324" customFormat="1" x14ac:dyDescent="0.25">
      <c r="A2247" s="302" t="str">
        <f t="shared" ref="A2247:A2310" si="59">B2247&amp;"_"&amp;C2247&amp;"_"&amp;D2247&amp;"_"&amp;E2247</f>
        <v>Home Energy Report_2024, Year 3, NSG_SF_Remaining Life</v>
      </c>
      <c r="B2247" s="387" t="s">
        <v>1099</v>
      </c>
      <c r="C2247" s="379" t="str">
        <f>C2245</f>
        <v>2024, Year 3, NSG</v>
      </c>
      <c r="D2247" s="387" t="s">
        <v>409</v>
      </c>
      <c r="E2247" s="314" t="s">
        <v>258</v>
      </c>
      <c r="F2247" s="326"/>
      <c r="G2247" s="364">
        <v>2</v>
      </c>
      <c r="H2247" s="305" t="s">
        <v>1101</v>
      </c>
      <c r="I2247" s="305"/>
      <c r="J2247" s="305"/>
      <c r="K2247" s="305"/>
      <c r="L2247"/>
    </row>
    <row r="2248" spans="1:12" s="324" customFormat="1" x14ac:dyDescent="0.25">
      <c r="A2248" s="302" t="str">
        <f t="shared" si="59"/>
        <v>Home Energy Report_2024, Year 3, NSG_SF_Lifetime (years)</v>
      </c>
      <c r="B2248" s="387" t="s">
        <v>1099</v>
      </c>
      <c r="C2248" s="379" t="str">
        <f>C2246</f>
        <v>2024, Year 3, NSG</v>
      </c>
      <c r="D2248" s="387" t="s">
        <v>409</v>
      </c>
      <c r="E2248" s="314" t="s">
        <v>259</v>
      </c>
      <c r="F2248" s="326"/>
      <c r="G2248" s="364">
        <v>3</v>
      </c>
      <c r="H2248" s="305" t="s">
        <v>1101</v>
      </c>
      <c r="I2248" s="305"/>
      <c r="J2248" s="305"/>
      <c r="K2248" s="305"/>
      <c r="L2248"/>
    </row>
    <row r="2249" spans="1:12" s="324" customFormat="1" x14ac:dyDescent="0.25">
      <c r="A2249" s="302" t="str">
        <f t="shared" si="59"/>
        <v>Home Energy Report_2024, Year 3, NSG_SF_Incremental Cost</v>
      </c>
      <c r="B2249" s="387" t="s">
        <v>1099</v>
      </c>
      <c r="C2249" s="379" t="str">
        <f>C2247</f>
        <v>2024, Year 3, NSG</v>
      </c>
      <c r="D2249" s="387" t="s">
        <v>409</v>
      </c>
      <c r="E2249" s="314" t="s">
        <v>260</v>
      </c>
      <c r="F2249" s="326"/>
      <c r="G2249" s="364">
        <v>0</v>
      </c>
      <c r="H2249" s="305" t="s">
        <v>1101</v>
      </c>
      <c r="I2249" s="305"/>
      <c r="J2249" s="305"/>
      <c r="K2249" s="305"/>
      <c r="L2249"/>
    </row>
    <row r="2250" spans="1:12" s="324" customFormat="1" x14ac:dyDescent="0.25">
      <c r="A2250" s="317" t="str">
        <f t="shared" si="59"/>
        <v>Home Energy Report_2024, Year 3, NSG__</v>
      </c>
      <c r="B2250" s="380" t="str">
        <f>B2249</f>
        <v>Home Energy Report</v>
      </c>
      <c r="C2250" s="380" t="str">
        <f>C2249</f>
        <v>2024, Year 3, NSG</v>
      </c>
      <c r="D2250" s="317"/>
      <c r="E2250" s="317"/>
      <c r="F2250" s="317"/>
      <c r="G2250" s="323"/>
      <c r="H2250" s="320"/>
      <c r="I2250" s="320"/>
      <c r="J2250" s="317"/>
      <c r="K2250" s="317"/>
    </row>
    <row r="2251" spans="1:12" s="324" customFormat="1" x14ac:dyDescent="0.25">
      <c r="A2251" s="302" t="str">
        <f t="shared" si="59"/>
        <v>Home Energy Report_2024, Year 4, NSG_SF_Remaining Year Therms</v>
      </c>
      <c r="B2251" s="387" t="s">
        <v>1099</v>
      </c>
      <c r="C2251" s="379" t="s">
        <v>1146</v>
      </c>
      <c r="D2251" s="387" t="s">
        <v>409</v>
      </c>
      <c r="E2251" s="314" t="s">
        <v>320</v>
      </c>
      <c r="F2251" s="326"/>
      <c r="G2251" s="364">
        <v>0</v>
      </c>
      <c r="H2251" s="305" t="s">
        <v>1101</v>
      </c>
      <c r="I2251" s="305"/>
      <c r="J2251" s="305"/>
      <c r="K2251" s="305"/>
      <c r="L2251"/>
    </row>
    <row r="2252" spans="1:12" s="324" customFormat="1" x14ac:dyDescent="0.25">
      <c r="A2252" s="302" t="str">
        <f t="shared" si="59"/>
        <v>Home Energy Report_2024, Year 4, NSG_SF_Therm Saved per Unit</v>
      </c>
      <c r="B2252" s="387" t="s">
        <v>1099</v>
      </c>
      <c r="C2252" s="379" t="str">
        <f>C2251</f>
        <v>2024, Year 4, NSG</v>
      </c>
      <c r="D2252" s="387" t="s">
        <v>409</v>
      </c>
      <c r="E2252" s="314" t="s">
        <v>326</v>
      </c>
      <c r="F2252" s="326"/>
      <c r="G2252" s="388">
        <f>SUM('[7]Behavior_modified approach'!Q82:Q83)</f>
        <v>117194.35487244667</v>
      </c>
      <c r="H2252" s="305" t="s">
        <v>1101</v>
      </c>
      <c r="I2252" s="305"/>
      <c r="J2252" s="305"/>
      <c r="K2252" s="305"/>
      <c r="L2252"/>
    </row>
    <row r="2253" spans="1:12" s="324" customFormat="1" x14ac:dyDescent="0.25">
      <c r="A2253" s="302" t="str">
        <f t="shared" si="59"/>
        <v>Home Energy Report_2024, Year 4, NSG_SF_Remaining Life</v>
      </c>
      <c r="B2253" s="387" t="s">
        <v>1099</v>
      </c>
      <c r="C2253" s="379" t="str">
        <f>C2252</f>
        <v>2024, Year 4, NSG</v>
      </c>
      <c r="D2253" s="387" t="s">
        <v>409</v>
      </c>
      <c r="E2253" s="314" t="s">
        <v>258</v>
      </c>
      <c r="F2253" s="326"/>
      <c r="G2253" s="364">
        <v>3</v>
      </c>
      <c r="H2253" s="305" t="s">
        <v>1101</v>
      </c>
      <c r="I2253" s="305"/>
      <c r="J2253" s="305"/>
      <c r="K2253" s="305"/>
      <c r="L2253"/>
    </row>
    <row r="2254" spans="1:12" s="324" customFormat="1" x14ac:dyDescent="0.25">
      <c r="A2254" s="302" t="str">
        <f t="shared" si="59"/>
        <v>Home Energy Report_2024, Year 4, NSG_SF_Lifetime (years)</v>
      </c>
      <c r="B2254" s="387" t="s">
        <v>1099</v>
      </c>
      <c r="C2254" s="379" t="str">
        <f>C2253</f>
        <v>2024, Year 4, NSG</v>
      </c>
      <c r="D2254" s="387" t="s">
        <v>409</v>
      </c>
      <c r="E2254" s="314" t="s">
        <v>259</v>
      </c>
      <c r="F2254" s="326"/>
      <c r="G2254" s="364">
        <v>4</v>
      </c>
      <c r="H2254" s="305" t="s">
        <v>1101</v>
      </c>
      <c r="I2254" s="305"/>
      <c r="J2254" s="305"/>
      <c r="K2254" s="305"/>
      <c r="L2254"/>
    </row>
    <row r="2255" spans="1:12" s="324" customFormat="1" x14ac:dyDescent="0.25">
      <c r="A2255" s="302" t="str">
        <f t="shared" si="59"/>
        <v>Home Energy Report_2024, Year 4, NSG_SF_Incremental Cost</v>
      </c>
      <c r="B2255" s="387" t="s">
        <v>1099</v>
      </c>
      <c r="C2255" s="379" t="str">
        <f>C2254</f>
        <v>2024, Year 4, NSG</v>
      </c>
      <c r="D2255" s="387" t="s">
        <v>409</v>
      </c>
      <c r="E2255" s="314" t="s">
        <v>260</v>
      </c>
      <c r="F2255" s="326"/>
      <c r="G2255" s="364">
        <v>0</v>
      </c>
      <c r="H2255" s="305" t="s">
        <v>1101</v>
      </c>
      <c r="I2255" s="305"/>
      <c r="J2255" s="305"/>
      <c r="K2255" s="305"/>
      <c r="L2255"/>
    </row>
    <row r="2256" spans="1:12" s="324" customFormat="1" x14ac:dyDescent="0.25">
      <c r="A2256" s="317" t="str">
        <f t="shared" si="59"/>
        <v>Home Energy Report_2024, Year 4, NSG__</v>
      </c>
      <c r="B2256" s="380" t="str">
        <f>B2255</f>
        <v>Home Energy Report</v>
      </c>
      <c r="C2256" s="380" t="str">
        <f>C2255</f>
        <v>2024, Year 4, NSG</v>
      </c>
      <c r="D2256" s="317"/>
      <c r="E2256" s="317"/>
      <c r="F2256" s="317"/>
      <c r="G2256" s="323"/>
      <c r="H2256" s="320"/>
      <c r="I2256" s="320"/>
      <c r="J2256" s="317"/>
      <c r="K2256" s="317"/>
    </row>
    <row r="2257" spans="1:12" s="324" customFormat="1" x14ac:dyDescent="0.25">
      <c r="A2257" s="302" t="str">
        <f t="shared" si="59"/>
        <v>Home Energy Report_2024, Year 5, NSG_SF_Remaining Year Therms</v>
      </c>
      <c r="B2257" s="387" t="s">
        <v>1099</v>
      </c>
      <c r="C2257" s="379" t="s">
        <v>1147</v>
      </c>
      <c r="D2257" s="387" t="s">
        <v>409</v>
      </c>
      <c r="E2257" s="314" t="s">
        <v>320</v>
      </c>
      <c r="F2257" s="326"/>
      <c r="G2257" s="364">
        <v>0</v>
      </c>
      <c r="H2257" s="305" t="s">
        <v>1101</v>
      </c>
      <c r="I2257" s="305"/>
      <c r="J2257" s="305"/>
      <c r="K2257" s="305"/>
      <c r="L2257"/>
    </row>
    <row r="2258" spans="1:12" s="324" customFormat="1" x14ac:dyDescent="0.25">
      <c r="A2258" s="302" t="str">
        <f t="shared" si="59"/>
        <v>Home Energy Report_2024, Year 5, NSG_SF_Therm Saved per Unit</v>
      </c>
      <c r="B2258" s="387" t="s">
        <v>1099</v>
      </c>
      <c r="C2258" s="379" t="str">
        <f>C2257</f>
        <v>2024, Year 5, NSG</v>
      </c>
      <c r="D2258" s="387" t="s">
        <v>409</v>
      </c>
      <c r="E2258" s="314" t="s">
        <v>326</v>
      </c>
      <c r="F2258" s="326"/>
      <c r="G2258" s="388">
        <f>SUM('[7]Behavior_modified approach'!R82:R83)</f>
        <v>80830.164897238661</v>
      </c>
      <c r="H2258" s="305" t="s">
        <v>1101</v>
      </c>
      <c r="I2258" s="305"/>
      <c r="J2258" s="305"/>
      <c r="K2258" s="305"/>
      <c r="L2258"/>
    </row>
    <row r="2259" spans="1:12" s="324" customFormat="1" x14ac:dyDescent="0.25">
      <c r="A2259" s="302" t="str">
        <f t="shared" si="59"/>
        <v>Home Energy Report_2024, Year 5, NSG_SF_Remaining Life</v>
      </c>
      <c r="B2259" s="387" t="s">
        <v>1099</v>
      </c>
      <c r="C2259" s="379" t="str">
        <f>C2258</f>
        <v>2024, Year 5, NSG</v>
      </c>
      <c r="D2259" s="387" t="s">
        <v>409</v>
      </c>
      <c r="E2259" s="314" t="s">
        <v>258</v>
      </c>
      <c r="F2259" s="326"/>
      <c r="G2259" s="364">
        <v>4</v>
      </c>
      <c r="H2259" s="305" t="s">
        <v>1101</v>
      </c>
      <c r="I2259" s="305"/>
      <c r="J2259" s="305"/>
      <c r="K2259" s="305"/>
      <c r="L2259"/>
    </row>
    <row r="2260" spans="1:12" s="324" customFormat="1" x14ac:dyDescent="0.25">
      <c r="A2260" s="302" t="str">
        <f t="shared" si="59"/>
        <v>Home Energy Report_2024, Year 5, NSG_SF_Lifetime (years)</v>
      </c>
      <c r="B2260" s="387" t="s">
        <v>1099</v>
      </c>
      <c r="C2260" s="379" t="str">
        <f>C2259</f>
        <v>2024, Year 5, NSG</v>
      </c>
      <c r="D2260" s="387" t="s">
        <v>409</v>
      </c>
      <c r="E2260" s="314" t="s">
        <v>259</v>
      </c>
      <c r="F2260" s="326"/>
      <c r="G2260" s="364">
        <v>5</v>
      </c>
      <c r="H2260" s="305" t="s">
        <v>1101</v>
      </c>
      <c r="I2260" s="305"/>
      <c r="J2260" s="305"/>
      <c r="K2260" s="305"/>
      <c r="L2260"/>
    </row>
    <row r="2261" spans="1:12" s="324" customFormat="1" x14ac:dyDescent="0.25">
      <c r="A2261" s="302" t="str">
        <f t="shared" si="59"/>
        <v>Home Energy Report_2024, Year 5, NSG_SF_Incremental Cost</v>
      </c>
      <c r="B2261" s="387" t="s">
        <v>1099</v>
      </c>
      <c r="C2261" s="379" t="str">
        <f>C2260</f>
        <v>2024, Year 5, NSG</v>
      </c>
      <c r="D2261" s="387" t="s">
        <v>409</v>
      </c>
      <c r="E2261" s="314" t="s">
        <v>260</v>
      </c>
      <c r="F2261" s="326"/>
      <c r="G2261" s="364">
        <v>0</v>
      </c>
      <c r="H2261" s="305" t="s">
        <v>1101</v>
      </c>
      <c r="I2261" s="305"/>
      <c r="J2261" s="305"/>
      <c r="K2261" s="305"/>
      <c r="L2261"/>
    </row>
    <row r="2262" spans="1:12" s="324" customFormat="1" x14ac:dyDescent="0.25">
      <c r="A2262" s="317" t="str">
        <f t="shared" si="59"/>
        <v>Home Energy Report_2024, Year 5, NSG__</v>
      </c>
      <c r="B2262" s="380" t="str">
        <f>B2261</f>
        <v>Home Energy Report</v>
      </c>
      <c r="C2262" s="380" t="str">
        <f>C2261</f>
        <v>2024, Year 5, NSG</v>
      </c>
      <c r="D2262" s="317"/>
      <c r="E2262" s="317"/>
      <c r="F2262" s="317"/>
      <c r="G2262" s="323"/>
      <c r="H2262" s="320"/>
      <c r="I2262" s="320"/>
      <c r="J2262" s="317"/>
      <c r="K2262" s="317"/>
    </row>
    <row r="2263" spans="1:12" s="324" customFormat="1" x14ac:dyDescent="0.25">
      <c r="A2263" s="302" t="str">
        <f t="shared" si="59"/>
        <v>Home Energy Report_2024, Year 6, NSG_SF_Remaining Year Therms</v>
      </c>
      <c r="B2263" s="387" t="s">
        <v>1099</v>
      </c>
      <c r="C2263" s="379" t="s">
        <v>1148</v>
      </c>
      <c r="D2263" s="387" t="s">
        <v>409</v>
      </c>
      <c r="E2263" s="314" t="s">
        <v>320</v>
      </c>
      <c r="F2263" s="326"/>
      <c r="G2263" s="364">
        <v>0</v>
      </c>
      <c r="H2263" s="305" t="s">
        <v>1101</v>
      </c>
      <c r="I2263" s="305"/>
      <c r="J2263" s="305"/>
      <c r="K2263" s="305"/>
      <c r="L2263"/>
    </row>
    <row r="2264" spans="1:12" s="324" customFormat="1" x14ac:dyDescent="0.25">
      <c r="A2264" s="302" t="str">
        <f t="shared" si="59"/>
        <v>Home Energy Report_2024, Year 6, NSG_SF_Therm Saved per Unit</v>
      </c>
      <c r="B2264" s="387" t="s">
        <v>1099</v>
      </c>
      <c r="C2264" s="379" t="s">
        <v>1148</v>
      </c>
      <c r="D2264" s="387" t="s">
        <v>409</v>
      </c>
      <c r="E2264" s="314" t="s">
        <v>326</v>
      </c>
      <c r="F2264" s="326"/>
      <c r="G2264" s="388">
        <f>SUM('[7]Behavior_modified approach'!S82:S83)</f>
        <v>56534.800526301158</v>
      </c>
      <c r="H2264" s="305" t="s">
        <v>1101</v>
      </c>
      <c r="I2264" s="305"/>
      <c r="J2264" s="305"/>
      <c r="K2264" s="305"/>
      <c r="L2264"/>
    </row>
    <row r="2265" spans="1:12" s="324" customFormat="1" x14ac:dyDescent="0.25">
      <c r="A2265" s="302" t="str">
        <f t="shared" si="59"/>
        <v>Home Energy Report_2024, Year 6, NSG_SF_Remaining Life</v>
      </c>
      <c r="B2265" s="387" t="s">
        <v>1099</v>
      </c>
      <c r="C2265" s="379" t="s">
        <v>1148</v>
      </c>
      <c r="D2265" s="387" t="s">
        <v>409</v>
      </c>
      <c r="E2265" s="314" t="s">
        <v>258</v>
      </c>
      <c r="F2265" s="326"/>
      <c r="G2265" s="364">
        <v>5</v>
      </c>
      <c r="H2265" s="305" t="s">
        <v>1101</v>
      </c>
      <c r="I2265" s="305"/>
      <c r="J2265" s="305"/>
      <c r="K2265" s="305"/>
      <c r="L2265"/>
    </row>
    <row r="2266" spans="1:12" s="324" customFormat="1" x14ac:dyDescent="0.25">
      <c r="A2266" s="302" t="str">
        <f t="shared" si="59"/>
        <v>Home Energy Report_2024, Year 6, NSG_SF_Lifetime (years)</v>
      </c>
      <c r="B2266" s="387" t="s">
        <v>1099</v>
      </c>
      <c r="C2266" s="379" t="s">
        <v>1148</v>
      </c>
      <c r="D2266" s="387" t="s">
        <v>409</v>
      </c>
      <c r="E2266" s="314" t="s">
        <v>259</v>
      </c>
      <c r="F2266" s="326"/>
      <c r="G2266" s="364">
        <v>6</v>
      </c>
      <c r="H2266" s="305" t="s">
        <v>1101</v>
      </c>
      <c r="I2266" s="305"/>
      <c r="J2266" s="305"/>
      <c r="K2266" s="305"/>
      <c r="L2266"/>
    </row>
    <row r="2267" spans="1:12" s="324" customFormat="1" x14ac:dyDescent="0.25">
      <c r="A2267" s="302" t="str">
        <f t="shared" si="59"/>
        <v>Home Energy Report_2024, Year 6, NSG_SF_Incremental Cost</v>
      </c>
      <c r="B2267" s="387" t="s">
        <v>1099</v>
      </c>
      <c r="C2267" s="379" t="s">
        <v>1148</v>
      </c>
      <c r="D2267" s="387" t="s">
        <v>409</v>
      </c>
      <c r="E2267" s="314" t="s">
        <v>260</v>
      </c>
      <c r="F2267" s="326"/>
      <c r="G2267" s="364">
        <v>0</v>
      </c>
      <c r="H2267" s="305" t="s">
        <v>1101</v>
      </c>
      <c r="I2267" s="305"/>
      <c r="J2267" s="305"/>
      <c r="K2267" s="305"/>
      <c r="L2267"/>
    </row>
    <row r="2268" spans="1:12" s="324" customFormat="1" x14ac:dyDescent="0.25">
      <c r="A2268" s="317" t="str">
        <f t="shared" si="59"/>
        <v>Home Energy Report_2024, Year 6, NSG__</v>
      </c>
      <c r="B2268" s="380" t="str">
        <f>B2267</f>
        <v>Home Energy Report</v>
      </c>
      <c r="C2268" s="380" t="str">
        <f>C2267</f>
        <v>2024, Year 6, NSG</v>
      </c>
      <c r="D2268" s="317"/>
      <c r="E2268" s="317"/>
      <c r="F2268" s="317"/>
      <c r="G2268" s="323"/>
      <c r="H2268" s="320"/>
      <c r="I2268" s="320"/>
      <c r="J2268" s="317"/>
      <c r="K2268" s="317"/>
    </row>
    <row r="2269" spans="1:12" s="324" customFormat="1" x14ac:dyDescent="0.25">
      <c r="A2269" s="302" t="str">
        <f t="shared" si="59"/>
        <v>Home Energy Report_2024, Year 7, NSG_SF_Remaining Year Therms</v>
      </c>
      <c r="B2269" s="387" t="s">
        <v>1099</v>
      </c>
      <c r="C2269" s="379" t="s">
        <v>1149</v>
      </c>
      <c r="D2269" s="387" t="s">
        <v>409</v>
      </c>
      <c r="E2269" s="314" t="s">
        <v>320</v>
      </c>
      <c r="F2269" s="326"/>
      <c r="G2269" s="364">
        <v>0</v>
      </c>
      <c r="H2269" s="305" t="s">
        <v>1101</v>
      </c>
      <c r="I2269" s="305"/>
      <c r="J2269" s="305"/>
      <c r="K2269" s="305"/>
      <c r="L2269"/>
    </row>
    <row r="2270" spans="1:12" s="324" customFormat="1" x14ac:dyDescent="0.25">
      <c r="A2270" s="302" t="str">
        <f t="shared" si="59"/>
        <v>Home Energy Report_2024, Year 7, NSG_SF_Therm Saved per Unit</v>
      </c>
      <c r="B2270" s="387" t="s">
        <v>1099</v>
      </c>
      <c r="C2270" s="379" t="s">
        <v>1149</v>
      </c>
      <c r="D2270" s="387" t="s">
        <v>409</v>
      </c>
      <c r="E2270" s="314" t="s">
        <v>326</v>
      </c>
      <c r="F2270" s="326"/>
      <c r="G2270" s="388">
        <f>SUM('[7]Behavior_modified approach'!T82:T83)</f>
        <v>39463.507818359227</v>
      </c>
      <c r="H2270" s="305" t="s">
        <v>1101</v>
      </c>
      <c r="I2270" s="305"/>
      <c r="J2270" s="305"/>
      <c r="K2270" s="305"/>
      <c r="L2270"/>
    </row>
    <row r="2271" spans="1:12" s="324" customFormat="1" x14ac:dyDescent="0.25">
      <c r="A2271" s="302" t="str">
        <f t="shared" si="59"/>
        <v>Home Energy Report_2024, Year 7, NSG_SF_Remaining Life</v>
      </c>
      <c r="B2271" s="387" t="s">
        <v>1099</v>
      </c>
      <c r="C2271" s="379" t="s">
        <v>1149</v>
      </c>
      <c r="D2271" s="387" t="s">
        <v>409</v>
      </c>
      <c r="E2271" s="314" t="s">
        <v>258</v>
      </c>
      <c r="F2271" s="326"/>
      <c r="G2271" s="364">
        <v>6</v>
      </c>
      <c r="H2271" s="305" t="s">
        <v>1101</v>
      </c>
      <c r="I2271" s="305"/>
      <c r="J2271" s="305"/>
      <c r="K2271" s="305"/>
      <c r="L2271"/>
    </row>
    <row r="2272" spans="1:12" s="324" customFormat="1" x14ac:dyDescent="0.25">
      <c r="A2272" s="302" t="str">
        <f t="shared" si="59"/>
        <v>Home Energy Report_2024, Year 7, NSG_SF_Lifetime (years)</v>
      </c>
      <c r="B2272" s="387" t="s">
        <v>1099</v>
      </c>
      <c r="C2272" s="379" t="s">
        <v>1149</v>
      </c>
      <c r="D2272" s="387" t="s">
        <v>409</v>
      </c>
      <c r="E2272" s="314" t="s">
        <v>259</v>
      </c>
      <c r="F2272" s="326"/>
      <c r="G2272" s="364">
        <v>7</v>
      </c>
      <c r="H2272" s="305" t="s">
        <v>1101</v>
      </c>
      <c r="I2272" s="305"/>
      <c r="J2272" s="305"/>
      <c r="K2272" s="305"/>
      <c r="L2272"/>
    </row>
    <row r="2273" spans="1:12" s="324" customFormat="1" x14ac:dyDescent="0.25">
      <c r="A2273" s="302" t="str">
        <f t="shared" si="59"/>
        <v>Home Energy Report_2024, Year 7, NSG_SF_Incremental Cost</v>
      </c>
      <c r="B2273" s="387" t="s">
        <v>1099</v>
      </c>
      <c r="C2273" s="379" t="s">
        <v>1149</v>
      </c>
      <c r="D2273" s="387" t="s">
        <v>409</v>
      </c>
      <c r="E2273" s="314" t="s">
        <v>260</v>
      </c>
      <c r="F2273" s="326"/>
      <c r="G2273" s="364">
        <v>0</v>
      </c>
      <c r="H2273" s="305" t="s">
        <v>1101</v>
      </c>
      <c r="I2273" s="305"/>
      <c r="J2273" s="305"/>
      <c r="K2273" s="305"/>
      <c r="L2273"/>
    </row>
    <row r="2274" spans="1:12" s="324" customFormat="1" x14ac:dyDescent="0.25">
      <c r="A2274" s="317" t="str">
        <f t="shared" si="59"/>
        <v>Home Energy Report_2024, Year 7, NSG__</v>
      </c>
      <c r="B2274" s="380" t="str">
        <f>B2273</f>
        <v>Home Energy Report</v>
      </c>
      <c r="C2274" s="380" t="str">
        <f>C2273</f>
        <v>2024, Year 7, NSG</v>
      </c>
      <c r="D2274" s="317"/>
      <c r="E2274" s="317"/>
      <c r="F2274" s="317"/>
      <c r="G2274" s="323"/>
      <c r="H2274" s="320"/>
      <c r="I2274" s="320"/>
      <c r="J2274" s="317"/>
      <c r="K2274" s="317"/>
    </row>
    <row r="2275" spans="1:12" s="324" customFormat="1" x14ac:dyDescent="0.25">
      <c r="A2275" s="302" t="str">
        <f t="shared" si="59"/>
        <v>Home Energy Report_2025, Year 1, NSG_SF_Remaining Year Therms</v>
      </c>
      <c r="B2275" s="387" t="s">
        <v>1099</v>
      </c>
      <c r="C2275" s="379" t="s">
        <v>1150</v>
      </c>
      <c r="D2275" s="387" t="s">
        <v>409</v>
      </c>
      <c r="E2275" s="314" t="s">
        <v>320</v>
      </c>
      <c r="F2275" s="326"/>
      <c r="G2275" s="364">
        <v>0</v>
      </c>
      <c r="H2275" s="305" t="s">
        <v>1101</v>
      </c>
      <c r="I2275" s="305"/>
      <c r="J2275" s="305"/>
      <c r="K2275" s="305"/>
      <c r="L2275"/>
    </row>
    <row r="2276" spans="1:12" s="324" customFormat="1" x14ac:dyDescent="0.25">
      <c r="A2276" s="302" t="str">
        <f t="shared" si="59"/>
        <v>Home Energy Report_2025, Year 1, NSG_SF_Therm Saved per Unit</v>
      </c>
      <c r="B2276" s="387" t="s">
        <v>1099</v>
      </c>
      <c r="C2276" s="379" t="str">
        <f>C2275</f>
        <v>2025, Year 1, NSG</v>
      </c>
      <c r="D2276" s="387" t="s">
        <v>409</v>
      </c>
      <c r="E2276" s="314" t="s">
        <v>326</v>
      </c>
      <c r="F2276" s="326"/>
      <c r="G2276" s="388">
        <f>SUM('[7]Behavior_modified approach'!O84:O85)</f>
        <v>332538.65034950379</v>
      </c>
      <c r="H2276" s="305" t="s">
        <v>1101</v>
      </c>
      <c r="I2276" s="305"/>
      <c r="J2276" s="305"/>
      <c r="K2276" s="305"/>
      <c r="L2276"/>
    </row>
    <row r="2277" spans="1:12" s="324" customFormat="1" x14ac:dyDescent="0.25">
      <c r="A2277" s="302" t="str">
        <f t="shared" si="59"/>
        <v>Home Energy Report_2025, Year 1, NSG_SF_Remaining Life</v>
      </c>
      <c r="B2277" s="387" t="s">
        <v>1099</v>
      </c>
      <c r="C2277" s="379" t="str">
        <f>C2276</f>
        <v>2025, Year 1, NSG</v>
      </c>
      <c r="D2277" s="387" t="s">
        <v>409</v>
      </c>
      <c r="E2277" s="314" t="s">
        <v>258</v>
      </c>
      <c r="F2277" s="326"/>
      <c r="G2277" s="364">
        <v>0</v>
      </c>
      <c r="H2277" s="305" t="s">
        <v>1101</v>
      </c>
      <c r="I2277" s="305"/>
      <c r="J2277" s="305"/>
      <c r="K2277" s="305"/>
      <c r="L2277"/>
    </row>
    <row r="2278" spans="1:12" s="324" customFormat="1" x14ac:dyDescent="0.25">
      <c r="A2278" s="302" t="str">
        <f t="shared" si="59"/>
        <v>Home Energy Report_2025, Year 1, NSG_SF_Lifetime (years)</v>
      </c>
      <c r="B2278" s="387" t="s">
        <v>1099</v>
      </c>
      <c r="C2278" s="379" t="str">
        <f>C2277</f>
        <v>2025, Year 1, NSG</v>
      </c>
      <c r="D2278" s="387" t="s">
        <v>409</v>
      </c>
      <c r="E2278" s="314" t="s">
        <v>259</v>
      </c>
      <c r="F2278" s="326"/>
      <c r="G2278" s="364">
        <v>1</v>
      </c>
      <c r="H2278" s="305" t="s">
        <v>1101</v>
      </c>
      <c r="I2278" s="305"/>
      <c r="J2278" s="305"/>
      <c r="K2278" s="305"/>
      <c r="L2278"/>
    </row>
    <row r="2279" spans="1:12" s="324" customFormat="1" x14ac:dyDescent="0.25">
      <c r="A2279" s="302" t="str">
        <f t="shared" si="59"/>
        <v>Home Energy Report_2025, Year 1, NSG_SF_Incremental Cost</v>
      </c>
      <c r="B2279" s="387" t="s">
        <v>1099</v>
      </c>
      <c r="C2279" s="379" t="str">
        <f>C2278</f>
        <v>2025, Year 1, NSG</v>
      </c>
      <c r="D2279" s="387" t="s">
        <v>409</v>
      </c>
      <c r="E2279" s="314" t="s">
        <v>260</v>
      </c>
      <c r="F2279" s="326"/>
      <c r="G2279" s="364">
        <v>0</v>
      </c>
      <c r="H2279" s="305" t="s">
        <v>1101</v>
      </c>
      <c r="I2279" s="305"/>
      <c r="J2279" s="305"/>
      <c r="K2279" s="305"/>
      <c r="L2279"/>
    </row>
    <row r="2280" spans="1:12" s="324" customFormat="1" x14ac:dyDescent="0.25">
      <c r="A2280" s="317" t="str">
        <f t="shared" si="59"/>
        <v>Home Energy Report_2025, Year 1, NSG_SF_</v>
      </c>
      <c r="B2280" s="380" t="str">
        <f>B2279</f>
        <v>Home Energy Report</v>
      </c>
      <c r="C2280" s="380" t="str">
        <f>C2279</f>
        <v>2025, Year 1, NSG</v>
      </c>
      <c r="D2280" s="317" t="str">
        <f>D2279</f>
        <v>SF</v>
      </c>
      <c r="E2280" s="317"/>
      <c r="F2280" s="317"/>
      <c r="G2280" s="323"/>
      <c r="H2280" s="320"/>
      <c r="I2280" s="320"/>
      <c r="J2280" s="317"/>
      <c r="K2280" s="317"/>
    </row>
    <row r="2281" spans="1:12" s="324" customFormat="1" x14ac:dyDescent="0.25">
      <c r="A2281" s="302" t="str">
        <f t="shared" si="59"/>
        <v>Home Energy Report_2025, Year 2, NSG_SF_Remaining Year Therms</v>
      </c>
      <c r="B2281" s="387" t="s">
        <v>1099</v>
      </c>
      <c r="C2281" s="379" t="s">
        <v>1151</v>
      </c>
      <c r="D2281" s="387" t="s">
        <v>409</v>
      </c>
      <c r="E2281" s="314" t="s">
        <v>320</v>
      </c>
      <c r="F2281" s="326"/>
      <c r="G2281" s="364">
        <v>0</v>
      </c>
      <c r="H2281" s="305" t="s">
        <v>1101</v>
      </c>
      <c r="I2281" s="305"/>
      <c r="J2281" s="305"/>
      <c r="K2281" s="305"/>
      <c r="L2281"/>
    </row>
    <row r="2282" spans="1:12" s="324" customFormat="1" x14ac:dyDescent="0.25">
      <c r="A2282" s="302" t="str">
        <f t="shared" si="59"/>
        <v>Home Energy Report_2025, Year 2, NSG_SF_Therm Saved per Unit</v>
      </c>
      <c r="B2282" s="387" t="s">
        <v>1099</v>
      </c>
      <c r="C2282" s="379" t="str">
        <f>C2281</f>
        <v>2025, Year 2, NSG</v>
      </c>
      <c r="D2282" s="387" t="s">
        <v>409</v>
      </c>
      <c r="E2282" s="314" t="s">
        <v>326</v>
      </c>
      <c r="F2282" s="326"/>
      <c r="G2282" s="389">
        <f>SUM('[7]Behavior_modified approach'!P84:P85)</f>
        <v>227444.06948565377</v>
      </c>
      <c r="H2282" s="305" t="s">
        <v>1101</v>
      </c>
      <c r="I2282" s="305"/>
      <c r="J2282" s="305"/>
      <c r="K2282" s="305"/>
      <c r="L2282"/>
    </row>
    <row r="2283" spans="1:12" s="324" customFormat="1" x14ac:dyDescent="0.25">
      <c r="A2283" s="302" t="str">
        <f t="shared" si="59"/>
        <v>Home Energy Report_2025, Year 2, NSG_SF_Remaining Life</v>
      </c>
      <c r="B2283" s="387" t="s">
        <v>1099</v>
      </c>
      <c r="C2283" s="379" t="str">
        <f>C2281</f>
        <v>2025, Year 2, NSG</v>
      </c>
      <c r="D2283" s="387" t="s">
        <v>409</v>
      </c>
      <c r="E2283" s="314" t="s">
        <v>258</v>
      </c>
      <c r="F2283" s="326"/>
      <c r="G2283" s="364">
        <v>1</v>
      </c>
      <c r="H2283" s="305" t="s">
        <v>1101</v>
      </c>
      <c r="I2283" s="305"/>
      <c r="J2283" s="305"/>
      <c r="K2283" s="305"/>
      <c r="L2283"/>
    </row>
    <row r="2284" spans="1:12" s="324" customFormat="1" x14ac:dyDescent="0.25">
      <c r="A2284" s="302" t="str">
        <f t="shared" si="59"/>
        <v>Home Energy Report_2025, Year 2, NSG_SF_Lifetime (years)</v>
      </c>
      <c r="B2284" s="387" t="s">
        <v>1099</v>
      </c>
      <c r="C2284" s="379" t="str">
        <f>C2282</f>
        <v>2025, Year 2, NSG</v>
      </c>
      <c r="D2284" s="387" t="s">
        <v>409</v>
      </c>
      <c r="E2284" s="314" t="s">
        <v>259</v>
      </c>
      <c r="F2284" s="326"/>
      <c r="G2284" s="364">
        <v>2</v>
      </c>
      <c r="H2284" s="305" t="s">
        <v>1101</v>
      </c>
      <c r="I2284" s="305"/>
      <c r="J2284" s="305"/>
      <c r="K2284" s="305"/>
      <c r="L2284"/>
    </row>
    <row r="2285" spans="1:12" s="324" customFormat="1" x14ac:dyDescent="0.25">
      <c r="A2285" s="302" t="str">
        <f t="shared" si="59"/>
        <v>Home Energy Report_2025, Year 2, NSG_SF_Incremental Cost</v>
      </c>
      <c r="B2285" s="387" t="s">
        <v>1099</v>
      </c>
      <c r="C2285" s="379" t="str">
        <f>C2283</f>
        <v>2025, Year 2, NSG</v>
      </c>
      <c r="D2285" s="387" t="s">
        <v>409</v>
      </c>
      <c r="E2285" s="314" t="s">
        <v>260</v>
      </c>
      <c r="F2285" s="326"/>
      <c r="G2285" s="364">
        <v>0</v>
      </c>
      <c r="H2285" s="305" t="s">
        <v>1101</v>
      </c>
      <c r="I2285" s="305"/>
      <c r="J2285" s="305"/>
      <c r="K2285" s="305"/>
      <c r="L2285"/>
    </row>
    <row r="2286" spans="1:12" s="324" customFormat="1" x14ac:dyDescent="0.25">
      <c r="A2286" s="317" t="str">
        <f t="shared" si="59"/>
        <v>Home Energy Report_2025, Year 2, NSG__</v>
      </c>
      <c r="B2286" s="380" t="str">
        <f>B2285</f>
        <v>Home Energy Report</v>
      </c>
      <c r="C2286" s="380" t="str">
        <f>C2285</f>
        <v>2025, Year 2, NSG</v>
      </c>
      <c r="D2286" s="317"/>
      <c r="E2286" s="317"/>
      <c r="F2286" s="317"/>
      <c r="G2286" s="323"/>
      <c r="H2286" s="320"/>
      <c r="I2286" s="320"/>
      <c r="J2286" s="317"/>
      <c r="K2286" s="317"/>
    </row>
    <row r="2287" spans="1:12" s="324" customFormat="1" x14ac:dyDescent="0.25">
      <c r="A2287" s="302" t="str">
        <f t="shared" si="59"/>
        <v>Home Energy Report_2025, Year 3, NSG_SF_Remaining Year Therms</v>
      </c>
      <c r="B2287" s="387" t="s">
        <v>1099</v>
      </c>
      <c r="C2287" s="379" t="s">
        <v>1152</v>
      </c>
      <c r="D2287" s="387" t="s">
        <v>409</v>
      </c>
      <c r="E2287" s="314" t="s">
        <v>320</v>
      </c>
      <c r="F2287" s="326"/>
      <c r="G2287" s="364">
        <v>0</v>
      </c>
      <c r="H2287" s="305" t="s">
        <v>1101</v>
      </c>
      <c r="I2287" s="305"/>
      <c r="J2287" s="305"/>
      <c r="K2287" s="305"/>
      <c r="L2287"/>
    </row>
    <row r="2288" spans="1:12" s="324" customFormat="1" x14ac:dyDescent="0.25">
      <c r="A2288" s="302" t="str">
        <f t="shared" si="59"/>
        <v>Home Energy Report_2025, Year 3, NSG_SF_Therm Saved per Unit</v>
      </c>
      <c r="B2288" s="387" t="s">
        <v>1099</v>
      </c>
      <c r="C2288" s="379" t="str">
        <f>C2287</f>
        <v>2025, Year 3, NSG</v>
      </c>
      <c r="D2288" s="387" t="s">
        <v>409</v>
      </c>
      <c r="E2288" s="314" t="s">
        <v>326</v>
      </c>
      <c r="F2288" s="326"/>
      <c r="G2288" s="388">
        <f>SUM('[7]Behavior_modified approach'!Q84:Q85)</f>
        <v>155563.28471840775</v>
      </c>
      <c r="H2288" s="305" t="s">
        <v>1101</v>
      </c>
      <c r="I2288" s="305"/>
      <c r="J2288" s="305"/>
      <c r="K2288" s="305"/>
      <c r="L2288"/>
    </row>
    <row r="2289" spans="1:12" s="324" customFormat="1" x14ac:dyDescent="0.25">
      <c r="A2289" s="302" t="str">
        <f t="shared" si="59"/>
        <v>Home Energy Report_2025, Year 3, NSG_SF_Remaining Life</v>
      </c>
      <c r="B2289" s="387" t="s">
        <v>1099</v>
      </c>
      <c r="C2289" s="379" t="str">
        <f>C2287</f>
        <v>2025, Year 3, NSG</v>
      </c>
      <c r="D2289" s="387" t="s">
        <v>409</v>
      </c>
      <c r="E2289" s="314" t="s">
        <v>258</v>
      </c>
      <c r="F2289" s="326"/>
      <c r="G2289" s="364">
        <v>2</v>
      </c>
      <c r="H2289" s="305" t="s">
        <v>1101</v>
      </c>
      <c r="I2289" s="305"/>
      <c r="J2289" s="305"/>
      <c r="K2289" s="305"/>
      <c r="L2289"/>
    </row>
    <row r="2290" spans="1:12" s="324" customFormat="1" x14ac:dyDescent="0.25">
      <c r="A2290" s="302" t="str">
        <f t="shared" si="59"/>
        <v>Home Energy Report_2025, Year 3, NSG_SF_Lifetime (years)</v>
      </c>
      <c r="B2290" s="387" t="s">
        <v>1099</v>
      </c>
      <c r="C2290" s="379" t="str">
        <f>C2288</f>
        <v>2025, Year 3, NSG</v>
      </c>
      <c r="D2290" s="387" t="s">
        <v>409</v>
      </c>
      <c r="E2290" s="314" t="s">
        <v>259</v>
      </c>
      <c r="F2290" s="326"/>
      <c r="G2290" s="364">
        <v>3</v>
      </c>
      <c r="H2290" s="305" t="s">
        <v>1101</v>
      </c>
      <c r="I2290" s="305"/>
      <c r="J2290" s="305"/>
      <c r="K2290" s="305"/>
      <c r="L2290"/>
    </row>
    <row r="2291" spans="1:12" s="324" customFormat="1" x14ac:dyDescent="0.25">
      <c r="A2291" s="302" t="str">
        <f t="shared" si="59"/>
        <v>Home Energy Report_2025, Year 3, NSG_SF_Incremental Cost</v>
      </c>
      <c r="B2291" s="387" t="s">
        <v>1099</v>
      </c>
      <c r="C2291" s="379" t="str">
        <f>C2289</f>
        <v>2025, Year 3, NSG</v>
      </c>
      <c r="D2291" s="387" t="s">
        <v>409</v>
      </c>
      <c r="E2291" s="314" t="s">
        <v>260</v>
      </c>
      <c r="F2291" s="326"/>
      <c r="G2291" s="364">
        <v>0</v>
      </c>
      <c r="H2291" s="305" t="s">
        <v>1101</v>
      </c>
      <c r="I2291" s="305"/>
      <c r="J2291" s="305"/>
      <c r="K2291" s="305"/>
      <c r="L2291"/>
    </row>
    <row r="2292" spans="1:12" s="324" customFormat="1" x14ac:dyDescent="0.25">
      <c r="A2292" s="317" t="str">
        <f t="shared" si="59"/>
        <v>Home Energy Report_2025, Year 3, NSG__</v>
      </c>
      <c r="B2292" s="380" t="str">
        <f>B2291</f>
        <v>Home Energy Report</v>
      </c>
      <c r="C2292" s="380" t="str">
        <f>C2291</f>
        <v>2025, Year 3, NSG</v>
      </c>
      <c r="D2292" s="317"/>
      <c r="E2292" s="317"/>
      <c r="F2292" s="317"/>
      <c r="G2292" s="323"/>
      <c r="H2292" s="320"/>
      <c r="I2292" s="320"/>
      <c r="J2292" s="317"/>
      <c r="K2292" s="317"/>
    </row>
    <row r="2293" spans="1:12" s="324" customFormat="1" x14ac:dyDescent="0.25">
      <c r="A2293" s="302" t="str">
        <f t="shared" si="59"/>
        <v>Home Energy Report_2025, Year 4, NSG_SF_Remaining Year Therms</v>
      </c>
      <c r="B2293" s="387" t="s">
        <v>1099</v>
      </c>
      <c r="C2293" s="379" t="s">
        <v>1153</v>
      </c>
      <c r="D2293" s="387" t="s">
        <v>409</v>
      </c>
      <c r="E2293" s="314" t="s">
        <v>320</v>
      </c>
      <c r="F2293" s="326"/>
      <c r="G2293" s="364">
        <v>0</v>
      </c>
      <c r="H2293" s="305" t="s">
        <v>1101</v>
      </c>
      <c r="I2293" s="305"/>
      <c r="J2293" s="305"/>
      <c r="K2293" s="305"/>
      <c r="L2293"/>
    </row>
    <row r="2294" spans="1:12" s="324" customFormat="1" x14ac:dyDescent="0.25">
      <c r="A2294" s="302" t="str">
        <f t="shared" si="59"/>
        <v>Home Energy Report_2025, Year 4, NSG_SF_Therm Saved per Unit</v>
      </c>
      <c r="B2294" s="387" t="s">
        <v>1099</v>
      </c>
      <c r="C2294" s="379" t="str">
        <f>C2293</f>
        <v>2025, Year 4, NSG</v>
      </c>
      <c r="D2294" s="387" t="s">
        <v>409</v>
      </c>
      <c r="E2294" s="314" t="s">
        <v>326</v>
      </c>
      <c r="F2294" s="326"/>
      <c r="G2294" s="388">
        <f>SUM('[7]Behavior_modified approach'!R84:R85)</f>
        <v>105468.89335355964</v>
      </c>
      <c r="H2294" s="305" t="s">
        <v>1101</v>
      </c>
      <c r="I2294" s="305"/>
      <c r="J2294" s="305"/>
      <c r="K2294" s="305"/>
      <c r="L2294"/>
    </row>
    <row r="2295" spans="1:12" s="324" customFormat="1" x14ac:dyDescent="0.25">
      <c r="A2295" s="302" t="str">
        <f t="shared" si="59"/>
        <v>Home Energy Report_2025, Year 4, NSG_SF_Remaining Life</v>
      </c>
      <c r="B2295" s="387" t="s">
        <v>1099</v>
      </c>
      <c r="C2295" s="379" t="str">
        <f>C2294</f>
        <v>2025, Year 4, NSG</v>
      </c>
      <c r="D2295" s="387" t="s">
        <v>409</v>
      </c>
      <c r="E2295" s="314" t="s">
        <v>258</v>
      </c>
      <c r="F2295" s="326"/>
      <c r="G2295" s="364">
        <v>3</v>
      </c>
      <c r="H2295" s="305" t="s">
        <v>1101</v>
      </c>
      <c r="I2295" s="305"/>
      <c r="J2295" s="305"/>
      <c r="K2295" s="305"/>
      <c r="L2295"/>
    </row>
    <row r="2296" spans="1:12" s="324" customFormat="1" x14ac:dyDescent="0.25">
      <c r="A2296" s="302" t="str">
        <f t="shared" si="59"/>
        <v>Home Energy Report_2025, Year 4, NSG_SF_Lifetime (years)</v>
      </c>
      <c r="B2296" s="387" t="s">
        <v>1099</v>
      </c>
      <c r="C2296" s="379" t="str">
        <f>C2295</f>
        <v>2025, Year 4, NSG</v>
      </c>
      <c r="D2296" s="387" t="s">
        <v>409</v>
      </c>
      <c r="E2296" s="314" t="s">
        <v>259</v>
      </c>
      <c r="F2296" s="326"/>
      <c r="G2296" s="364">
        <v>4</v>
      </c>
      <c r="H2296" s="305" t="s">
        <v>1101</v>
      </c>
      <c r="I2296" s="305"/>
      <c r="J2296" s="305"/>
      <c r="K2296" s="305"/>
      <c r="L2296"/>
    </row>
    <row r="2297" spans="1:12" s="324" customFormat="1" x14ac:dyDescent="0.25">
      <c r="A2297" s="302" t="str">
        <f t="shared" si="59"/>
        <v>Home Energy Report_2025, Year 4, NSG_SF_Incremental Cost</v>
      </c>
      <c r="B2297" s="387" t="s">
        <v>1099</v>
      </c>
      <c r="C2297" s="379" t="str">
        <f>C2296</f>
        <v>2025, Year 4, NSG</v>
      </c>
      <c r="D2297" s="387" t="s">
        <v>409</v>
      </c>
      <c r="E2297" s="314" t="s">
        <v>260</v>
      </c>
      <c r="F2297" s="326"/>
      <c r="G2297" s="364">
        <v>0</v>
      </c>
      <c r="H2297" s="305" t="s">
        <v>1101</v>
      </c>
      <c r="I2297" s="305"/>
      <c r="J2297" s="305"/>
      <c r="K2297" s="305"/>
      <c r="L2297"/>
    </row>
    <row r="2298" spans="1:12" s="324" customFormat="1" x14ac:dyDescent="0.25">
      <c r="A2298" s="317" t="str">
        <f t="shared" si="59"/>
        <v>Home Energy Report_2025, Year 4, NSG__</v>
      </c>
      <c r="B2298" s="380" t="str">
        <f>B2297</f>
        <v>Home Energy Report</v>
      </c>
      <c r="C2298" s="380" t="str">
        <f>C2297</f>
        <v>2025, Year 4, NSG</v>
      </c>
      <c r="D2298" s="317"/>
      <c r="E2298" s="317"/>
      <c r="F2298" s="317"/>
      <c r="G2298" s="323"/>
      <c r="H2298" s="320"/>
      <c r="I2298" s="320"/>
      <c r="J2298" s="317"/>
      <c r="K2298" s="317"/>
    </row>
    <row r="2299" spans="1:12" s="324" customFormat="1" x14ac:dyDescent="0.25">
      <c r="A2299" s="302" t="str">
        <f t="shared" si="59"/>
        <v>Home Energy Report_2025, Year 5, NSG_SF_Remaining Year Therms</v>
      </c>
      <c r="B2299" s="387" t="s">
        <v>1099</v>
      </c>
      <c r="C2299" s="379" t="s">
        <v>1154</v>
      </c>
      <c r="D2299" s="387" t="s">
        <v>409</v>
      </c>
      <c r="E2299" s="314" t="s">
        <v>320</v>
      </c>
      <c r="F2299" s="326"/>
      <c r="G2299" s="364">
        <v>0</v>
      </c>
      <c r="H2299" s="305" t="s">
        <v>1101</v>
      </c>
      <c r="I2299" s="305"/>
      <c r="J2299" s="305"/>
      <c r="K2299" s="305"/>
      <c r="L2299"/>
    </row>
    <row r="2300" spans="1:12" s="324" customFormat="1" x14ac:dyDescent="0.25">
      <c r="A2300" s="302" t="str">
        <f t="shared" si="59"/>
        <v>Home Energy Report_2025, Year 5, NSG_SF_Therm Saved per Unit</v>
      </c>
      <c r="B2300" s="387" t="s">
        <v>1099</v>
      </c>
      <c r="C2300" s="379" t="str">
        <f>C2299</f>
        <v>2025, Year 5, NSG</v>
      </c>
      <c r="D2300" s="387" t="s">
        <v>409</v>
      </c>
      <c r="E2300" s="314" t="s">
        <v>326</v>
      </c>
      <c r="F2300" s="326"/>
      <c r="G2300" s="388">
        <f>SUM('[7]Behavior_modified approach'!S84:S85)</f>
        <v>72742.992190845005</v>
      </c>
      <c r="H2300" s="305" t="s">
        <v>1101</v>
      </c>
      <c r="I2300" s="305"/>
      <c r="J2300" s="305"/>
      <c r="K2300" s="305"/>
      <c r="L2300"/>
    </row>
    <row r="2301" spans="1:12" s="324" customFormat="1" x14ac:dyDescent="0.25">
      <c r="A2301" s="302" t="str">
        <f t="shared" si="59"/>
        <v>Home Energy Report_2025, Year 5, NSG_SF_Remaining Life</v>
      </c>
      <c r="B2301" s="387" t="s">
        <v>1099</v>
      </c>
      <c r="C2301" s="379" t="str">
        <f>C2300</f>
        <v>2025, Year 5, NSG</v>
      </c>
      <c r="D2301" s="387" t="s">
        <v>409</v>
      </c>
      <c r="E2301" s="314" t="s">
        <v>258</v>
      </c>
      <c r="F2301" s="326"/>
      <c r="G2301" s="364">
        <v>4</v>
      </c>
      <c r="H2301" s="305" t="s">
        <v>1101</v>
      </c>
      <c r="I2301" s="305"/>
      <c r="J2301" s="305"/>
      <c r="K2301" s="305"/>
      <c r="L2301"/>
    </row>
    <row r="2302" spans="1:12" s="324" customFormat="1" x14ac:dyDescent="0.25">
      <c r="A2302" s="302" t="str">
        <f t="shared" si="59"/>
        <v>Home Energy Report_2025, Year 5, NSG_SF_Lifetime (years)</v>
      </c>
      <c r="B2302" s="387" t="s">
        <v>1099</v>
      </c>
      <c r="C2302" s="379" t="str">
        <f>C2301</f>
        <v>2025, Year 5, NSG</v>
      </c>
      <c r="D2302" s="387" t="s">
        <v>409</v>
      </c>
      <c r="E2302" s="314" t="s">
        <v>259</v>
      </c>
      <c r="F2302" s="326"/>
      <c r="G2302" s="364">
        <v>5</v>
      </c>
      <c r="H2302" s="305" t="s">
        <v>1101</v>
      </c>
      <c r="I2302" s="305"/>
      <c r="J2302" s="305"/>
      <c r="K2302" s="305"/>
      <c r="L2302"/>
    </row>
    <row r="2303" spans="1:12" s="324" customFormat="1" x14ac:dyDescent="0.25">
      <c r="A2303" s="302" t="str">
        <f t="shared" si="59"/>
        <v>Home Energy Report_2025, Year 5, NSG_SF_Incremental Cost</v>
      </c>
      <c r="B2303" s="387" t="s">
        <v>1099</v>
      </c>
      <c r="C2303" s="379" t="str">
        <f>C2302</f>
        <v>2025, Year 5, NSG</v>
      </c>
      <c r="D2303" s="387" t="s">
        <v>409</v>
      </c>
      <c r="E2303" s="314" t="s">
        <v>260</v>
      </c>
      <c r="F2303" s="326"/>
      <c r="G2303" s="364">
        <v>0</v>
      </c>
      <c r="H2303" s="305" t="s">
        <v>1101</v>
      </c>
      <c r="I2303" s="305"/>
      <c r="J2303" s="305"/>
      <c r="K2303" s="305"/>
      <c r="L2303"/>
    </row>
    <row r="2304" spans="1:12" s="324" customFormat="1" x14ac:dyDescent="0.25">
      <c r="A2304" s="317" t="str">
        <f t="shared" si="59"/>
        <v>Home Energy Report_2025, Year 5, NSG__</v>
      </c>
      <c r="B2304" s="380" t="str">
        <f>B2303</f>
        <v>Home Energy Report</v>
      </c>
      <c r="C2304" s="380" t="str">
        <f>C2303</f>
        <v>2025, Year 5, NSG</v>
      </c>
      <c r="D2304" s="317"/>
      <c r="E2304" s="317"/>
      <c r="F2304" s="317"/>
      <c r="G2304" s="323"/>
      <c r="H2304" s="320"/>
      <c r="I2304" s="320"/>
      <c r="J2304" s="317"/>
      <c r="K2304" s="317"/>
    </row>
    <row r="2305" spans="1:12" s="324" customFormat="1" x14ac:dyDescent="0.25">
      <c r="A2305" s="302" t="str">
        <f t="shared" si="59"/>
        <v>Home Energy Report_2025, Year 6, NSG_SF_Remaining Year Therms</v>
      </c>
      <c r="B2305" s="387" t="s">
        <v>1099</v>
      </c>
      <c r="C2305" s="379" t="s">
        <v>1155</v>
      </c>
      <c r="D2305" s="387" t="s">
        <v>409</v>
      </c>
      <c r="E2305" s="314" t="s">
        <v>320</v>
      </c>
      <c r="F2305" s="326"/>
      <c r="G2305" s="364">
        <v>0</v>
      </c>
      <c r="H2305" s="305" t="s">
        <v>1101</v>
      </c>
      <c r="I2305" s="305"/>
      <c r="J2305" s="305"/>
      <c r="K2305" s="305"/>
      <c r="L2305"/>
    </row>
    <row r="2306" spans="1:12" s="324" customFormat="1" x14ac:dyDescent="0.25">
      <c r="A2306" s="302" t="str">
        <f t="shared" si="59"/>
        <v>Home Energy Report_2025, Year 6, NSG_SF_Therm Saved per Unit</v>
      </c>
      <c r="B2306" s="387" t="s">
        <v>1099</v>
      </c>
      <c r="C2306" s="379" t="s">
        <v>1155</v>
      </c>
      <c r="D2306" s="387" t="s">
        <v>409</v>
      </c>
      <c r="E2306" s="314" t="s">
        <v>326</v>
      </c>
      <c r="F2306" s="326"/>
      <c r="G2306" s="388">
        <f>SUM('[7]Behavior_modified approach'!T84:T85)</f>
        <v>50878.413503474083</v>
      </c>
      <c r="H2306" s="305" t="s">
        <v>1101</v>
      </c>
      <c r="I2306" s="305"/>
      <c r="J2306" s="305"/>
      <c r="K2306" s="305"/>
      <c r="L2306"/>
    </row>
    <row r="2307" spans="1:12" s="324" customFormat="1" x14ac:dyDescent="0.25">
      <c r="A2307" s="302" t="str">
        <f t="shared" si="59"/>
        <v>Home Energy Report_2025, Year 6, NSG_SF_Remaining Life</v>
      </c>
      <c r="B2307" s="387" t="s">
        <v>1099</v>
      </c>
      <c r="C2307" s="379" t="s">
        <v>1155</v>
      </c>
      <c r="D2307" s="387" t="s">
        <v>409</v>
      </c>
      <c r="E2307" s="314" t="s">
        <v>258</v>
      </c>
      <c r="F2307" s="326"/>
      <c r="G2307" s="364">
        <v>5</v>
      </c>
      <c r="H2307" s="305" t="s">
        <v>1101</v>
      </c>
      <c r="I2307" s="305"/>
      <c r="J2307" s="305"/>
      <c r="K2307" s="305"/>
      <c r="L2307"/>
    </row>
    <row r="2308" spans="1:12" s="324" customFormat="1" x14ac:dyDescent="0.25">
      <c r="A2308" s="302" t="str">
        <f t="shared" si="59"/>
        <v>Home Energy Report_2025, Year 6, NSG_SF_Lifetime (years)</v>
      </c>
      <c r="B2308" s="387" t="s">
        <v>1099</v>
      </c>
      <c r="C2308" s="379" t="s">
        <v>1155</v>
      </c>
      <c r="D2308" s="387" t="s">
        <v>409</v>
      </c>
      <c r="E2308" s="314" t="s">
        <v>259</v>
      </c>
      <c r="F2308" s="326"/>
      <c r="G2308" s="364">
        <v>6</v>
      </c>
      <c r="H2308" s="305" t="s">
        <v>1101</v>
      </c>
      <c r="I2308" s="305"/>
      <c r="J2308" s="305"/>
      <c r="K2308" s="305"/>
      <c r="L2308"/>
    </row>
    <row r="2309" spans="1:12" s="324" customFormat="1" x14ac:dyDescent="0.25">
      <c r="A2309" s="302" t="str">
        <f t="shared" si="59"/>
        <v>Home Energy Report_2025, Year 6, NSG_SF_Incremental Cost</v>
      </c>
      <c r="B2309" s="387" t="s">
        <v>1099</v>
      </c>
      <c r="C2309" s="379" t="s">
        <v>1155</v>
      </c>
      <c r="D2309" s="387" t="s">
        <v>409</v>
      </c>
      <c r="E2309" s="314" t="s">
        <v>260</v>
      </c>
      <c r="F2309" s="326"/>
      <c r="G2309" s="364">
        <v>0</v>
      </c>
      <c r="H2309" s="305" t="s">
        <v>1101</v>
      </c>
      <c r="I2309" s="305"/>
      <c r="J2309" s="305"/>
      <c r="K2309" s="305"/>
      <c r="L2309"/>
    </row>
    <row r="2310" spans="1:12" s="324" customFormat="1" x14ac:dyDescent="0.25">
      <c r="A2310" s="317" t="str">
        <f t="shared" si="59"/>
        <v>Home Energy Report_2025, Year 6, NSG__</v>
      </c>
      <c r="B2310" s="380" t="str">
        <f>B2309</f>
        <v>Home Energy Report</v>
      </c>
      <c r="C2310" s="380" t="str">
        <f>C2309</f>
        <v>2025, Year 6, NSG</v>
      </c>
      <c r="D2310" s="317"/>
      <c r="E2310" s="317"/>
      <c r="F2310" s="317"/>
      <c r="G2310" s="323"/>
      <c r="H2310" s="320"/>
      <c r="I2310" s="320"/>
      <c r="J2310" s="317"/>
      <c r="K2310" s="317"/>
    </row>
    <row r="2311" spans="1:12" s="324" customFormat="1" x14ac:dyDescent="0.25">
      <c r="A2311" s="302" t="str">
        <f t="shared" ref="A2311:A2374" si="60">B2311&amp;"_"&amp;C2311&amp;"_"&amp;D2311&amp;"_"&amp;E2311</f>
        <v>Home Energy Report_2025, Year 7, NSG_SF_Remaining Year Therms</v>
      </c>
      <c r="B2311" s="387" t="s">
        <v>1099</v>
      </c>
      <c r="C2311" s="379" t="s">
        <v>1156</v>
      </c>
      <c r="D2311" s="387" t="s">
        <v>409</v>
      </c>
      <c r="E2311" s="314" t="s">
        <v>320</v>
      </c>
      <c r="F2311" s="326"/>
      <c r="G2311" s="364">
        <v>0</v>
      </c>
      <c r="H2311" s="305" t="s">
        <v>1101</v>
      </c>
      <c r="I2311" s="305"/>
      <c r="J2311" s="305"/>
      <c r="K2311" s="305"/>
      <c r="L2311"/>
    </row>
    <row r="2312" spans="1:12" s="324" customFormat="1" x14ac:dyDescent="0.25">
      <c r="A2312" s="302" t="str">
        <f t="shared" si="60"/>
        <v>Home Energy Report_2025, Year 7, NSG_SF_Therm Saved per Unit</v>
      </c>
      <c r="B2312" s="387" t="s">
        <v>1099</v>
      </c>
      <c r="C2312" s="379" t="s">
        <v>1156</v>
      </c>
      <c r="D2312" s="387" t="s">
        <v>409</v>
      </c>
      <c r="E2312" s="314" t="s">
        <v>326</v>
      </c>
      <c r="F2312" s="326"/>
      <c r="G2312" s="388">
        <f>SUM('[7]Behavior_modified approach'!U84:U85)</f>
        <v>35515.127857327003</v>
      </c>
      <c r="H2312" s="305" t="s">
        <v>1101</v>
      </c>
      <c r="I2312" s="305"/>
      <c r="J2312" s="305"/>
      <c r="K2312" s="305"/>
      <c r="L2312"/>
    </row>
    <row r="2313" spans="1:12" s="324" customFormat="1" x14ac:dyDescent="0.25">
      <c r="A2313" s="302" t="str">
        <f t="shared" si="60"/>
        <v>Home Energy Report_2025, Year 7, NSG_SF_Remaining Life</v>
      </c>
      <c r="B2313" s="387" t="s">
        <v>1099</v>
      </c>
      <c r="C2313" s="379" t="s">
        <v>1156</v>
      </c>
      <c r="D2313" s="387" t="s">
        <v>409</v>
      </c>
      <c r="E2313" s="314" t="s">
        <v>258</v>
      </c>
      <c r="F2313" s="326"/>
      <c r="G2313" s="364">
        <v>6</v>
      </c>
      <c r="H2313" s="305" t="s">
        <v>1101</v>
      </c>
      <c r="I2313" s="305"/>
      <c r="J2313" s="305"/>
      <c r="K2313" s="305"/>
      <c r="L2313"/>
    </row>
    <row r="2314" spans="1:12" s="324" customFormat="1" x14ac:dyDescent="0.25">
      <c r="A2314" s="302" t="str">
        <f t="shared" si="60"/>
        <v>Home Energy Report_2025, Year 7, NSG_SF_Lifetime (years)</v>
      </c>
      <c r="B2314" s="387" t="s">
        <v>1099</v>
      </c>
      <c r="C2314" s="379" t="s">
        <v>1156</v>
      </c>
      <c r="D2314" s="387" t="s">
        <v>409</v>
      </c>
      <c r="E2314" s="314" t="s">
        <v>259</v>
      </c>
      <c r="F2314" s="326"/>
      <c r="G2314" s="364">
        <v>7</v>
      </c>
      <c r="H2314" s="305" t="s">
        <v>1101</v>
      </c>
      <c r="I2314" s="305"/>
      <c r="J2314" s="305"/>
      <c r="K2314" s="305"/>
      <c r="L2314"/>
    </row>
    <row r="2315" spans="1:12" s="324" customFormat="1" x14ac:dyDescent="0.25">
      <c r="A2315" s="302" t="str">
        <f t="shared" si="60"/>
        <v>Home Energy Report_2025, Year 7, NSG_SF_Incremental Cost</v>
      </c>
      <c r="B2315" s="387" t="s">
        <v>1099</v>
      </c>
      <c r="C2315" s="379" t="s">
        <v>1156</v>
      </c>
      <c r="D2315" s="387" t="s">
        <v>409</v>
      </c>
      <c r="E2315" s="314" t="s">
        <v>260</v>
      </c>
      <c r="F2315" s="326"/>
      <c r="G2315" s="364">
        <v>0</v>
      </c>
      <c r="H2315" s="305" t="s">
        <v>1101</v>
      </c>
      <c r="I2315" s="305"/>
      <c r="J2315" s="305"/>
      <c r="K2315" s="305"/>
      <c r="L2315"/>
    </row>
    <row r="2316" spans="1:12" s="324" customFormat="1" x14ac:dyDescent="0.25">
      <c r="A2316" s="317" t="str">
        <f t="shared" si="60"/>
        <v>Home Energy Report_2025, Year 7, NSG__</v>
      </c>
      <c r="B2316" s="380" t="str">
        <f>B2315</f>
        <v>Home Energy Report</v>
      </c>
      <c r="C2316" s="380" t="str">
        <f>C2315</f>
        <v>2025, Year 7, NSG</v>
      </c>
      <c r="D2316" s="317"/>
      <c r="E2316" s="317"/>
      <c r="F2316" s="317"/>
      <c r="G2316" s="323"/>
      <c r="H2316" s="320"/>
      <c r="I2316" s="320"/>
      <c r="J2316" s="317"/>
      <c r="K2316" s="317"/>
    </row>
    <row r="2317" spans="1:12" s="324" customFormat="1" x14ac:dyDescent="0.25">
      <c r="A2317" s="302" t="str">
        <f t="shared" si="60"/>
        <v>Affordable Housing New Construction_0_IE_Remaining Year Therms</v>
      </c>
      <c r="B2317" s="387" t="s">
        <v>1157</v>
      </c>
      <c r="C2317" s="379">
        <v>0</v>
      </c>
      <c r="D2317" s="387" t="s">
        <v>551</v>
      </c>
      <c r="E2317" s="314" t="s">
        <v>320</v>
      </c>
      <c r="F2317" s="326"/>
      <c r="G2317" s="364">
        <v>0</v>
      </c>
      <c r="H2317" s="305" t="s">
        <v>1101</v>
      </c>
      <c r="I2317" s="305"/>
      <c r="J2317" s="305"/>
      <c r="K2317" s="305"/>
      <c r="L2317"/>
    </row>
    <row r="2318" spans="1:12" s="324" customFormat="1" x14ac:dyDescent="0.25">
      <c r="A2318" s="302" t="str">
        <f t="shared" si="60"/>
        <v>Affordable Housing New Construction_0_IE_Therm Saved per Unit</v>
      </c>
      <c r="B2318" s="387" t="s">
        <v>1157</v>
      </c>
      <c r="C2318" s="379">
        <v>0</v>
      </c>
      <c r="D2318" s="387" t="s">
        <v>551</v>
      </c>
      <c r="E2318" s="314" t="s">
        <v>326</v>
      </c>
      <c r="F2318" s="326"/>
      <c r="G2318" s="388">
        <v>1</v>
      </c>
      <c r="H2318" s="305" t="s">
        <v>1101</v>
      </c>
      <c r="I2318" s="305"/>
      <c r="J2318" s="305"/>
      <c r="K2318" s="305"/>
      <c r="L2318"/>
    </row>
    <row r="2319" spans="1:12" s="324" customFormat="1" x14ac:dyDescent="0.25">
      <c r="A2319" s="302" t="str">
        <f t="shared" si="60"/>
        <v>Affordable Housing New Construction_0_IE_Remaining Life</v>
      </c>
      <c r="B2319" s="387" t="s">
        <v>1157</v>
      </c>
      <c r="C2319" s="379">
        <v>0</v>
      </c>
      <c r="D2319" s="387" t="s">
        <v>551</v>
      </c>
      <c r="E2319" s="314" t="s">
        <v>258</v>
      </c>
      <c r="F2319" s="326"/>
      <c r="G2319" s="364">
        <v>0</v>
      </c>
      <c r="H2319" s="305" t="s">
        <v>1101</v>
      </c>
      <c r="I2319" s="305"/>
      <c r="J2319" s="305"/>
      <c r="K2319" s="305"/>
      <c r="L2319"/>
    </row>
    <row r="2320" spans="1:12" s="324" customFormat="1" x14ac:dyDescent="0.25">
      <c r="A2320" s="302" t="str">
        <f t="shared" si="60"/>
        <v>Affordable Housing New Construction_0_IE_Lifetime (years)</v>
      </c>
      <c r="B2320" s="387" t="s">
        <v>1157</v>
      </c>
      <c r="C2320" s="379">
        <v>0</v>
      </c>
      <c r="D2320" s="387" t="s">
        <v>551</v>
      </c>
      <c r="E2320" s="314" t="s">
        <v>259</v>
      </c>
      <c r="F2320" s="326"/>
      <c r="G2320" s="364">
        <f>'[7]2019 Evaluations'!B7</f>
        <v>19.2</v>
      </c>
      <c r="H2320" s="305" t="s">
        <v>1101</v>
      </c>
      <c r="I2320" s="305"/>
      <c r="J2320" s="305"/>
      <c r="K2320" s="305"/>
      <c r="L2320"/>
    </row>
    <row r="2321" spans="1:12" s="324" customFormat="1" x14ac:dyDescent="0.25">
      <c r="A2321" s="302" t="str">
        <f t="shared" si="60"/>
        <v>Affordable Housing New Construction_0_IE_Incremental Cost</v>
      </c>
      <c r="B2321" s="387" t="s">
        <v>1157</v>
      </c>
      <c r="C2321" s="379">
        <v>0</v>
      </c>
      <c r="D2321" s="387" t="s">
        <v>551</v>
      </c>
      <c r="E2321" s="314" t="s">
        <v>260</v>
      </c>
      <c r="F2321" s="326"/>
      <c r="G2321" s="371">
        <f>1.52*2</f>
        <v>3.04</v>
      </c>
      <c r="H2321" s="311" t="s">
        <v>1158</v>
      </c>
      <c r="I2321" s="305"/>
      <c r="J2321" s="305"/>
      <c r="K2321" s="305"/>
      <c r="L2321"/>
    </row>
    <row r="2322" spans="1:12" s="324" customFormat="1" x14ac:dyDescent="0.25">
      <c r="A2322" s="317" t="str">
        <f t="shared" si="60"/>
        <v>Affordable Housing New Construction_0__</v>
      </c>
      <c r="B2322" s="380" t="str">
        <f>B2321</f>
        <v>Affordable Housing New Construction</v>
      </c>
      <c r="C2322" s="380">
        <f>C2321</f>
        <v>0</v>
      </c>
      <c r="D2322" s="317"/>
      <c r="E2322" s="317"/>
      <c r="F2322" s="317"/>
      <c r="G2322" s="323"/>
      <c r="H2322" s="320"/>
      <c r="I2322" s="320"/>
      <c r="J2322" s="317"/>
      <c r="K2322" s="317"/>
    </row>
    <row r="2323" spans="1:12" x14ac:dyDescent="0.25">
      <c r="A2323" s="302" t="str">
        <f t="shared" si="60"/>
        <v>Pipe Insulation_Steam - Small 1" to 2"_CI_kWh Saved per Unit</v>
      </c>
      <c r="B2323" s="303" t="s">
        <v>404</v>
      </c>
      <c r="C2323" s="378" t="s">
        <v>956</v>
      </c>
      <c r="D2323" s="303" t="s">
        <v>1159</v>
      </c>
      <c r="E2323" s="314" t="s">
        <v>255</v>
      </c>
      <c r="F2323" s="314"/>
      <c r="G2323" s="315"/>
      <c r="H2323" s="305"/>
      <c r="I2323" s="305" t="s">
        <v>152</v>
      </c>
      <c r="J2323" s="305" t="s">
        <v>405</v>
      </c>
      <c r="K2323" s="305" t="s">
        <v>1961</v>
      </c>
    </row>
    <row r="2324" spans="1:12" x14ac:dyDescent="0.25">
      <c r="A2324" s="302" t="str">
        <f t="shared" si="60"/>
        <v>Pipe Insulation_Steam - Small 1" to 2"_CI_kW Saved per Unit</v>
      </c>
      <c r="B2324" s="303" t="s">
        <v>404</v>
      </c>
      <c r="C2324" s="378" t="s">
        <v>956</v>
      </c>
      <c r="D2324" s="303" t="s">
        <v>1159</v>
      </c>
      <c r="E2324" s="314" t="s">
        <v>580</v>
      </c>
      <c r="F2324" s="326" t="s">
        <v>571</v>
      </c>
      <c r="G2324" s="315"/>
      <c r="H2324" s="305"/>
      <c r="I2324" s="305" t="s">
        <v>152</v>
      </c>
      <c r="J2324" s="305" t="s">
        <v>405</v>
      </c>
      <c r="K2324" s="305" t="s">
        <v>1961</v>
      </c>
    </row>
    <row r="2325" spans="1:12" x14ac:dyDescent="0.25">
      <c r="A2325" s="302" t="str">
        <f t="shared" si="60"/>
        <v>Pipe Insulation_Steam - Small 1" to 2"_CI_Therm Saved per Unit</v>
      </c>
      <c r="B2325" s="303" t="s">
        <v>404</v>
      </c>
      <c r="C2325" s="378" t="s">
        <v>956</v>
      </c>
      <c r="D2325" s="303" t="s">
        <v>1159</v>
      </c>
      <c r="E2325" s="314" t="s">
        <v>326</v>
      </c>
      <c r="F2325" s="314"/>
      <c r="G2325" s="315">
        <f>'3 - Pipe Insulation'!B175</f>
        <v>3.1854757047967208</v>
      </c>
      <c r="H2325" s="305"/>
      <c r="I2325" s="305" t="s">
        <v>633</v>
      </c>
      <c r="J2325" s="305" t="s">
        <v>1160</v>
      </c>
      <c r="K2325" s="305"/>
    </row>
    <row r="2326" spans="1:12" x14ac:dyDescent="0.25">
      <c r="A2326" s="302" t="str">
        <f t="shared" si="60"/>
        <v>Pipe Insulation_Steam - Small 1" to 2"_CI_Lifetime (years)</v>
      </c>
      <c r="B2326" s="303" t="s">
        <v>404</v>
      </c>
      <c r="C2326" s="378" t="s">
        <v>956</v>
      </c>
      <c r="D2326" s="303" t="s">
        <v>1159</v>
      </c>
      <c r="E2326" s="314" t="s">
        <v>259</v>
      </c>
      <c r="F2326" s="314" t="s">
        <v>548</v>
      </c>
      <c r="G2326" s="315">
        <v>15</v>
      </c>
      <c r="H2326" s="305"/>
      <c r="I2326" s="305" t="s">
        <v>152</v>
      </c>
      <c r="J2326" s="305" t="s">
        <v>405</v>
      </c>
      <c r="K2326" s="305" t="s">
        <v>1961</v>
      </c>
    </row>
    <row r="2327" spans="1:12" x14ac:dyDescent="0.25">
      <c r="A2327" s="302" t="str">
        <f t="shared" si="60"/>
        <v>Pipe Insulation_Steam - Small 1" to 2"_CI_Incremental Cost</v>
      </c>
      <c r="B2327" s="303" t="s">
        <v>404</v>
      </c>
      <c r="C2327" s="378" t="s">
        <v>956</v>
      </c>
      <c r="D2327" s="303" t="s">
        <v>1159</v>
      </c>
      <c r="E2327" s="314" t="s">
        <v>260</v>
      </c>
      <c r="F2327" s="314" t="s">
        <v>949</v>
      </c>
      <c r="G2327" s="328">
        <v>13.97</v>
      </c>
      <c r="H2327" s="305" t="s">
        <v>1161</v>
      </c>
      <c r="I2327" s="305" t="s">
        <v>152</v>
      </c>
      <c r="J2327" s="305" t="s">
        <v>405</v>
      </c>
      <c r="K2327" s="305" t="s">
        <v>1961</v>
      </c>
    </row>
    <row r="2328" spans="1:12" s="324" customFormat="1" x14ac:dyDescent="0.25">
      <c r="A2328" s="317" t="str">
        <f t="shared" si="60"/>
        <v>Pipe Insulation_Steam - Small 1" to 2"_CI_</v>
      </c>
      <c r="B2328" s="317" t="str">
        <f>B2327</f>
        <v>Pipe Insulation</v>
      </c>
      <c r="C2328" s="317" t="str">
        <f>C2327</f>
        <v>Steam - Small 1" to 2"</v>
      </c>
      <c r="D2328" s="317" t="str">
        <f>D2327</f>
        <v>CI</v>
      </c>
      <c r="E2328" s="320"/>
      <c r="F2328" s="320"/>
      <c r="G2328" s="329"/>
      <c r="H2328" s="320"/>
      <c r="I2328" s="320"/>
      <c r="J2328" s="320"/>
      <c r="K2328" s="320"/>
    </row>
    <row r="2329" spans="1:12" x14ac:dyDescent="0.25">
      <c r="A2329" s="302" t="str">
        <f t="shared" si="60"/>
        <v>Pipe Insulation_Steam - Med 2.1" to 5"_CI_kWh Saved per Unit</v>
      </c>
      <c r="B2329" s="303" t="s">
        <v>404</v>
      </c>
      <c r="C2329" s="379" t="s">
        <v>957</v>
      </c>
      <c r="D2329" s="303" t="s">
        <v>1159</v>
      </c>
      <c r="E2329" s="314" t="s">
        <v>255</v>
      </c>
      <c r="F2329" s="314"/>
      <c r="G2329" s="315"/>
      <c r="H2329" s="305"/>
      <c r="I2329" s="305" t="s">
        <v>152</v>
      </c>
      <c r="J2329" s="305" t="s">
        <v>405</v>
      </c>
      <c r="K2329" s="305" t="s">
        <v>1961</v>
      </c>
    </row>
    <row r="2330" spans="1:12" x14ac:dyDescent="0.25">
      <c r="A2330" s="302" t="str">
        <f t="shared" si="60"/>
        <v>Pipe Insulation_Steam - Med 2.1" to 5"_CI_kW Saved per Unit</v>
      </c>
      <c r="B2330" s="303" t="s">
        <v>404</v>
      </c>
      <c r="C2330" s="379" t="s">
        <v>957</v>
      </c>
      <c r="D2330" s="303" t="s">
        <v>1159</v>
      </c>
      <c r="E2330" s="314" t="s">
        <v>580</v>
      </c>
      <c r="F2330" s="326" t="s">
        <v>571</v>
      </c>
      <c r="G2330" s="315"/>
      <c r="H2330" s="305"/>
      <c r="I2330" s="305" t="s">
        <v>152</v>
      </c>
      <c r="J2330" s="305" t="s">
        <v>405</v>
      </c>
      <c r="K2330" s="305" t="s">
        <v>1961</v>
      </c>
    </row>
    <row r="2331" spans="1:12" x14ac:dyDescent="0.25">
      <c r="A2331" s="302" t="str">
        <f t="shared" si="60"/>
        <v>Pipe Insulation_Steam - Med 2.1" to 5"_CI_Therm Saved per Unit</v>
      </c>
      <c r="B2331" s="303" t="s">
        <v>404</v>
      </c>
      <c r="C2331" s="379" t="s">
        <v>957</v>
      </c>
      <c r="D2331" s="303" t="s">
        <v>1159</v>
      </c>
      <c r="E2331" s="314" t="s">
        <v>326</v>
      </c>
      <c r="F2331" s="314"/>
      <c r="G2331" s="315">
        <f>'3 - Pipe Insulation'!B176</f>
        <v>12.811046084448035</v>
      </c>
      <c r="H2331" s="305"/>
      <c r="I2331" s="305" t="s">
        <v>633</v>
      </c>
      <c r="J2331" s="305" t="s">
        <v>1160</v>
      </c>
      <c r="K2331" s="305"/>
    </row>
    <row r="2332" spans="1:12" x14ac:dyDescent="0.25">
      <c r="A2332" s="302" t="str">
        <f t="shared" si="60"/>
        <v>Pipe Insulation_Steam - Med 2.1" to 5"_CI_Lifetime (years)</v>
      </c>
      <c r="B2332" s="303" t="s">
        <v>404</v>
      </c>
      <c r="C2332" s="379" t="s">
        <v>957</v>
      </c>
      <c r="D2332" s="303" t="s">
        <v>1159</v>
      </c>
      <c r="E2332" s="314" t="s">
        <v>259</v>
      </c>
      <c r="F2332" s="314" t="s">
        <v>548</v>
      </c>
      <c r="G2332" s="315">
        <v>15</v>
      </c>
      <c r="H2332" s="305"/>
      <c r="I2332" s="305" t="s">
        <v>152</v>
      </c>
      <c r="J2332" s="305" t="s">
        <v>405</v>
      </c>
      <c r="K2332" s="305" t="s">
        <v>1961</v>
      </c>
    </row>
    <row r="2333" spans="1:12" x14ac:dyDescent="0.25">
      <c r="A2333" s="302" t="str">
        <f t="shared" si="60"/>
        <v>Pipe Insulation_Steam - Med 2.1" to 5"_CI_Incremental Cost</v>
      </c>
      <c r="B2333" s="303" t="s">
        <v>404</v>
      </c>
      <c r="C2333" s="379" t="s">
        <v>957</v>
      </c>
      <c r="D2333" s="303" t="s">
        <v>1159</v>
      </c>
      <c r="E2333" s="314" t="s">
        <v>260</v>
      </c>
      <c r="F2333" s="314" t="s">
        <v>949</v>
      </c>
      <c r="G2333" s="328">
        <v>13.97</v>
      </c>
      <c r="H2333" s="305" t="s">
        <v>1161</v>
      </c>
      <c r="I2333" s="305" t="s">
        <v>152</v>
      </c>
      <c r="J2333" s="305" t="s">
        <v>405</v>
      </c>
      <c r="K2333" s="305" t="s">
        <v>1961</v>
      </c>
    </row>
    <row r="2334" spans="1:12" s="324" customFormat="1" x14ac:dyDescent="0.25">
      <c r="A2334" s="317" t="str">
        <f t="shared" si="60"/>
        <v>Pipe Insulation_Steam - Med 2.1" to 5"_CI_</v>
      </c>
      <c r="B2334" s="317" t="str">
        <f>B2333</f>
        <v>Pipe Insulation</v>
      </c>
      <c r="C2334" s="317" t="str">
        <f>C2333</f>
        <v>Steam - Med 2.1" to 5"</v>
      </c>
      <c r="D2334" s="317" t="str">
        <f>D2333</f>
        <v>CI</v>
      </c>
      <c r="E2334" s="320"/>
      <c r="F2334" s="320"/>
      <c r="G2334" s="329"/>
      <c r="H2334" s="320"/>
      <c r="I2334" s="320"/>
      <c r="J2334" s="320"/>
      <c r="K2334" s="320"/>
    </row>
    <row r="2335" spans="1:12" x14ac:dyDescent="0.25">
      <c r="A2335" s="302" t="str">
        <f t="shared" si="60"/>
        <v>Pipe Insulation_Steam - Large 5.1" to 8"_CI_kWh Saved per Unit</v>
      </c>
      <c r="B2335" s="303" t="s">
        <v>404</v>
      </c>
      <c r="C2335" s="379" t="s">
        <v>958</v>
      </c>
      <c r="D2335" s="303" t="s">
        <v>1159</v>
      </c>
      <c r="E2335" s="314" t="s">
        <v>255</v>
      </c>
      <c r="F2335" s="314"/>
      <c r="G2335" s="315"/>
      <c r="H2335" s="305"/>
      <c r="I2335" s="305" t="s">
        <v>152</v>
      </c>
      <c r="J2335" s="305" t="s">
        <v>405</v>
      </c>
      <c r="K2335" s="305" t="s">
        <v>1961</v>
      </c>
    </row>
    <row r="2336" spans="1:12" x14ac:dyDescent="0.25">
      <c r="A2336" s="302" t="str">
        <f t="shared" si="60"/>
        <v>Pipe Insulation_Steam - Large 5.1" to 8"_CI_kW Saved per Unit</v>
      </c>
      <c r="B2336" s="303" t="s">
        <v>404</v>
      </c>
      <c r="C2336" s="379" t="s">
        <v>958</v>
      </c>
      <c r="D2336" s="303" t="s">
        <v>1159</v>
      </c>
      <c r="E2336" s="314" t="s">
        <v>580</v>
      </c>
      <c r="F2336" s="326" t="s">
        <v>571</v>
      </c>
      <c r="G2336" s="315"/>
      <c r="H2336" s="305"/>
      <c r="I2336" s="305" t="s">
        <v>152</v>
      </c>
      <c r="J2336" s="305" t="s">
        <v>405</v>
      </c>
      <c r="K2336" s="305" t="s">
        <v>1961</v>
      </c>
    </row>
    <row r="2337" spans="1:11" x14ac:dyDescent="0.25">
      <c r="A2337" s="302" t="str">
        <f t="shared" si="60"/>
        <v>Pipe Insulation_Steam - Large 5.1" to 8"_CI_Therm Saved per Unit</v>
      </c>
      <c r="B2337" s="303" t="s">
        <v>404</v>
      </c>
      <c r="C2337" s="379" t="s">
        <v>958</v>
      </c>
      <c r="D2337" s="303" t="s">
        <v>1159</v>
      </c>
      <c r="E2337" s="314" t="s">
        <v>326</v>
      </c>
      <c r="F2337" s="314"/>
      <c r="G2337" s="315">
        <f>'3 - Pipe Insulation'!B183</f>
        <v>24.999763600321025</v>
      </c>
      <c r="H2337" s="305"/>
      <c r="I2337" s="305" t="s">
        <v>633</v>
      </c>
      <c r="J2337" s="305" t="s">
        <v>1160</v>
      </c>
      <c r="K2337" s="305"/>
    </row>
    <row r="2338" spans="1:11" x14ac:dyDescent="0.25">
      <c r="A2338" s="302" t="str">
        <f t="shared" si="60"/>
        <v>Pipe Insulation_Steam - Large 5.1" to 8"_CI_Lifetime (years)</v>
      </c>
      <c r="B2338" s="303" t="s">
        <v>404</v>
      </c>
      <c r="C2338" s="379" t="s">
        <v>958</v>
      </c>
      <c r="D2338" s="303" t="s">
        <v>1159</v>
      </c>
      <c r="E2338" s="314" t="s">
        <v>259</v>
      </c>
      <c r="F2338" s="314" t="s">
        <v>548</v>
      </c>
      <c r="G2338" s="315">
        <v>15</v>
      </c>
      <c r="H2338" s="305"/>
      <c r="I2338" s="305" t="s">
        <v>152</v>
      </c>
      <c r="J2338" s="305" t="s">
        <v>405</v>
      </c>
      <c r="K2338" s="305" t="s">
        <v>1961</v>
      </c>
    </row>
    <row r="2339" spans="1:11" x14ac:dyDescent="0.25">
      <c r="A2339" s="302" t="str">
        <f t="shared" si="60"/>
        <v>Pipe Insulation_Steam - Large 5.1" to 8"_CI_Incremental Cost</v>
      </c>
      <c r="B2339" s="303" t="s">
        <v>404</v>
      </c>
      <c r="C2339" s="379" t="s">
        <v>958</v>
      </c>
      <c r="D2339" s="303" t="s">
        <v>1159</v>
      </c>
      <c r="E2339" s="314" t="s">
        <v>260</v>
      </c>
      <c r="F2339" s="314" t="s">
        <v>949</v>
      </c>
      <c r="G2339" s="328">
        <v>18.161000000000001</v>
      </c>
      <c r="H2339" s="305" t="s">
        <v>959</v>
      </c>
      <c r="I2339" s="305" t="s">
        <v>614</v>
      </c>
      <c r="J2339" s="305"/>
      <c r="K2339" s="305"/>
    </row>
    <row r="2340" spans="1:11" s="324" customFormat="1" x14ac:dyDescent="0.25">
      <c r="A2340" s="317" t="str">
        <f t="shared" si="60"/>
        <v>Pipe Insulation_Steam - Large 5.1" to 8"_CI_</v>
      </c>
      <c r="B2340" s="317" t="str">
        <f>B2339</f>
        <v>Pipe Insulation</v>
      </c>
      <c r="C2340" s="317" t="str">
        <f>C2339</f>
        <v>Steam - Large 5.1" to 8"</v>
      </c>
      <c r="D2340" s="317" t="str">
        <f>D2339</f>
        <v>CI</v>
      </c>
      <c r="E2340" s="320"/>
      <c r="F2340" s="320"/>
      <c r="G2340" s="329"/>
      <c r="H2340" s="320"/>
      <c r="I2340" s="320"/>
      <c r="J2340" s="320"/>
      <c r="K2340" s="320"/>
    </row>
    <row r="2341" spans="1:11" x14ac:dyDescent="0.25">
      <c r="A2341" s="302" t="str">
        <f t="shared" si="60"/>
        <v>Pipe Insulation_Steam - X-Large &gt;8"_CI_kWh Saved per Unit</v>
      </c>
      <c r="B2341" s="303" t="s">
        <v>404</v>
      </c>
      <c r="C2341" s="379" t="s">
        <v>960</v>
      </c>
      <c r="D2341" s="303" t="s">
        <v>1159</v>
      </c>
      <c r="E2341" s="314" t="s">
        <v>255</v>
      </c>
      <c r="F2341" s="314"/>
      <c r="G2341" s="315"/>
      <c r="H2341" s="305"/>
      <c r="I2341" s="305" t="s">
        <v>152</v>
      </c>
      <c r="J2341" s="305" t="s">
        <v>405</v>
      </c>
      <c r="K2341" s="305" t="s">
        <v>1961</v>
      </c>
    </row>
    <row r="2342" spans="1:11" x14ac:dyDescent="0.25">
      <c r="A2342" s="302" t="str">
        <f t="shared" si="60"/>
        <v>Pipe Insulation_Steam - X-Large &gt;8"_CI_kW Saved per Unit</v>
      </c>
      <c r="B2342" s="303" t="s">
        <v>404</v>
      </c>
      <c r="C2342" s="379" t="s">
        <v>960</v>
      </c>
      <c r="D2342" s="303" t="s">
        <v>1159</v>
      </c>
      <c r="E2342" s="314" t="s">
        <v>580</v>
      </c>
      <c r="F2342" s="326" t="s">
        <v>571</v>
      </c>
      <c r="G2342" s="315"/>
      <c r="H2342" s="305"/>
      <c r="I2342" s="305" t="s">
        <v>152</v>
      </c>
      <c r="J2342" s="305" t="s">
        <v>405</v>
      </c>
      <c r="K2342" s="305" t="s">
        <v>1961</v>
      </c>
    </row>
    <row r="2343" spans="1:11" x14ac:dyDescent="0.25">
      <c r="A2343" s="302" t="str">
        <f t="shared" si="60"/>
        <v>Pipe Insulation_Steam - X-Large &gt;8"_CI_Therm Saved per Unit</v>
      </c>
      <c r="B2343" s="303" t="s">
        <v>404</v>
      </c>
      <c r="C2343" s="379" t="s">
        <v>960</v>
      </c>
      <c r="D2343" s="303" t="s">
        <v>1159</v>
      </c>
      <c r="E2343" s="314" t="s">
        <v>326</v>
      </c>
      <c r="F2343" s="314"/>
      <c r="G2343" s="315">
        <f>'3 - Pipe Insulation'!B186</f>
        <v>35.984797966765058</v>
      </c>
      <c r="H2343" s="305"/>
      <c r="I2343" s="305" t="s">
        <v>633</v>
      </c>
      <c r="J2343" s="305" t="s">
        <v>1160</v>
      </c>
      <c r="K2343" s="305"/>
    </row>
    <row r="2344" spans="1:11" x14ac:dyDescent="0.25">
      <c r="A2344" s="302" t="str">
        <f t="shared" si="60"/>
        <v>Pipe Insulation_Steam - X-Large &gt;8"_CI_Lifetime (years)</v>
      </c>
      <c r="B2344" s="303" t="s">
        <v>404</v>
      </c>
      <c r="C2344" s="379" t="s">
        <v>960</v>
      </c>
      <c r="D2344" s="303" t="s">
        <v>1159</v>
      </c>
      <c r="E2344" s="314" t="s">
        <v>259</v>
      </c>
      <c r="F2344" s="314" t="s">
        <v>548</v>
      </c>
      <c r="G2344" s="315">
        <v>15</v>
      </c>
      <c r="H2344" s="305"/>
      <c r="I2344" s="305" t="s">
        <v>152</v>
      </c>
      <c r="J2344" s="305" t="s">
        <v>405</v>
      </c>
      <c r="K2344" s="305" t="s">
        <v>1961</v>
      </c>
    </row>
    <row r="2345" spans="1:11" x14ac:dyDescent="0.25">
      <c r="A2345" s="302" t="str">
        <f t="shared" si="60"/>
        <v>Pipe Insulation_Steam - X-Large &gt;8"_CI_Incremental Cost</v>
      </c>
      <c r="B2345" s="303" t="s">
        <v>404</v>
      </c>
      <c r="C2345" s="379" t="s">
        <v>960</v>
      </c>
      <c r="D2345" s="303" t="s">
        <v>1159</v>
      </c>
      <c r="E2345" s="314" t="s">
        <v>260</v>
      </c>
      <c r="F2345" s="314" t="s">
        <v>949</v>
      </c>
      <c r="G2345" s="328">
        <v>25.146000000000001</v>
      </c>
      <c r="H2345" s="305" t="s">
        <v>959</v>
      </c>
      <c r="I2345" s="305" t="s">
        <v>614</v>
      </c>
      <c r="J2345" s="305"/>
      <c r="K2345" s="305"/>
    </row>
    <row r="2346" spans="1:11" s="324" customFormat="1" x14ac:dyDescent="0.25">
      <c r="A2346" s="317" t="str">
        <f t="shared" si="60"/>
        <v>Pipe Insulation_Steam - X-Large &gt;8"_CI_</v>
      </c>
      <c r="B2346" s="317" t="str">
        <f>B2345</f>
        <v>Pipe Insulation</v>
      </c>
      <c r="C2346" s="317" t="str">
        <f>C2345</f>
        <v>Steam - X-Large &gt;8"</v>
      </c>
      <c r="D2346" s="317" t="str">
        <f>D2345</f>
        <v>CI</v>
      </c>
      <c r="E2346" s="320"/>
      <c r="F2346" s="320"/>
      <c r="G2346" s="329"/>
      <c r="H2346" s="320"/>
      <c r="I2346" s="320"/>
      <c r="J2346" s="320"/>
      <c r="K2346" s="320"/>
    </row>
    <row r="2347" spans="1:11" x14ac:dyDescent="0.25">
      <c r="A2347" s="302" t="str">
        <f t="shared" si="60"/>
        <v>Pipe Insulation_Steam Med Fitting_CI_kWh Saved per Unit</v>
      </c>
      <c r="B2347" s="303" t="s">
        <v>404</v>
      </c>
      <c r="C2347" s="379" t="s">
        <v>962</v>
      </c>
      <c r="D2347" s="303" t="s">
        <v>1159</v>
      </c>
      <c r="E2347" s="314" t="s">
        <v>255</v>
      </c>
      <c r="F2347" s="314"/>
      <c r="G2347" s="315"/>
      <c r="H2347" s="305"/>
      <c r="I2347" s="305" t="s">
        <v>152</v>
      </c>
      <c r="J2347" s="305" t="s">
        <v>405</v>
      </c>
      <c r="K2347" s="305" t="s">
        <v>1961</v>
      </c>
    </row>
    <row r="2348" spans="1:11" x14ac:dyDescent="0.25">
      <c r="A2348" s="302" t="str">
        <f t="shared" si="60"/>
        <v>Pipe Insulation_Steam Med Fitting_CI_kW Saved per Unit</v>
      </c>
      <c r="B2348" s="303" t="s">
        <v>404</v>
      </c>
      <c r="C2348" s="379" t="s">
        <v>962</v>
      </c>
      <c r="D2348" s="303" t="s">
        <v>1159</v>
      </c>
      <c r="E2348" s="314" t="s">
        <v>580</v>
      </c>
      <c r="F2348" s="326" t="s">
        <v>571</v>
      </c>
      <c r="G2348" s="315"/>
      <c r="H2348" s="305"/>
      <c r="I2348" s="305" t="s">
        <v>152</v>
      </c>
      <c r="J2348" s="305" t="s">
        <v>405</v>
      </c>
      <c r="K2348" s="305" t="s">
        <v>1961</v>
      </c>
    </row>
    <row r="2349" spans="1:11" x14ac:dyDescent="0.25">
      <c r="A2349" s="302" t="str">
        <f t="shared" si="60"/>
        <v>Pipe Insulation_Steam Med Fitting_CI_Therm Saved per Unit</v>
      </c>
      <c r="B2349" s="303" t="s">
        <v>404</v>
      </c>
      <c r="C2349" s="379" t="s">
        <v>962</v>
      </c>
      <c r="D2349" s="303" t="s">
        <v>1159</v>
      </c>
      <c r="E2349" s="314" t="s">
        <v>326</v>
      </c>
      <c r="F2349" s="314"/>
      <c r="G2349" s="315">
        <f>'3 - Pipe Insulation'!B181</f>
        <v>16.16754015857342</v>
      </c>
      <c r="H2349" s="305"/>
      <c r="I2349" s="305" t="s">
        <v>633</v>
      </c>
      <c r="J2349" s="305" t="s">
        <v>1160</v>
      </c>
      <c r="K2349" s="305"/>
    </row>
    <row r="2350" spans="1:11" x14ac:dyDescent="0.25">
      <c r="A2350" s="302" t="str">
        <f t="shared" si="60"/>
        <v>Pipe Insulation_Steam Med Fitting_CI_Lifetime (years)</v>
      </c>
      <c r="B2350" s="303" t="s">
        <v>404</v>
      </c>
      <c r="C2350" s="379" t="s">
        <v>962</v>
      </c>
      <c r="D2350" s="303" t="s">
        <v>1159</v>
      </c>
      <c r="E2350" s="314" t="s">
        <v>259</v>
      </c>
      <c r="F2350" s="314" t="s">
        <v>548</v>
      </c>
      <c r="G2350" s="315">
        <v>15</v>
      </c>
      <c r="H2350" s="305"/>
      <c r="I2350" s="305" t="s">
        <v>152</v>
      </c>
      <c r="J2350" s="305" t="s">
        <v>405</v>
      </c>
      <c r="K2350" s="305" t="s">
        <v>1961</v>
      </c>
    </row>
    <row r="2351" spans="1:11" x14ac:dyDescent="0.25">
      <c r="A2351" s="302" t="str">
        <f t="shared" si="60"/>
        <v>Pipe Insulation_Steam Med Fitting_CI_Incremental Cost</v>
      </c>
      <c r="B2351" s="303" t="s">
        <v>404</v>
      </c>
      <c r="C2351" s="379" t="s">
        <v>962</v>
      </c>
      <c r="D2351" s="303" t="s">
        <v>1159</v>
      </c>
      <c r="E2351" s="314" t="s">
        <v>260</v>
      </c>
      <c r="F2351" s="314" t="s">
        <v>949</v>
      </c>
      <c r="G2351" s="328">
        <v>17.741900000000001</v>
      </c>
      <c r="H2351" s="305" t="s">
        <v>959</v>
      </c>
      <c r="I2351" s="305" t="s">
        <v>614</v>
      </c>
      <c r="J2351" s="305"/>
      <c r="K2351" s="305"/>
    </row>
    <row r="2352" spans="1:11" s="324" customFormat="1" x14ac:dyDescent="0.25">
      <c r="A2352" s="317" t="str">
        <f t="shared" si="60"/>
        <v>Pipe Insulation_Steam Med Fitting_CI_</v>
      </c>
      <c r="B2352" s="317" t="str">
        <f>B2351</f>
        <v>Pipe Insulation</v>
      </c>
      <c r="C2352" s="317" t="str">
        <f>C2351</f>
        <v>Steam Med Fitting</v>
      </c>
      <c r="D2352" s="317" t="str">
        <f>D2351</f>
        <v>CI</v>
      </c>
      <c r="E2352" s="320"/>
      <c r="F2352" s="320"/>
      <c r="G2352" s="329"/>
      <c r="H2352" s="320"/>
      <c r="I2352" s="320"/>
      <c r="J2352" s="320"/>
      <c r="K2352" s="320"/>
    </row>
    <row r="2353" spans="1:11" x14ac:dyDescent="0.25">
      <c r="A2353" s="302" t="str">
        <f t="shared" si="60"/>
        <v>Pipe Insulation_Steam Large Fitting_CI_kWh Saved per Unit</v>
      </c>
      <c r="B2353" s="303" t="s">
        <v>404</v>
      </c>
      <c r="C2353" s="379" t="s">
        <v>963</v>
      </c>
      <c r="D2353" s="303" t="s">
        <v>1159</v>
      </c>
      <c r="E2353" s="314" t="s">
        <v>255</v>
      </c>
      <c r="F2353" s="314"/>
      <c r="G2353" s="315"/>
      <c r="H2353" s="305"/>
      <c r="I2353" s="305" t="s">
        <v>152</v>
      </c>
      <c r="J2353" s="305" t="s">
        <v>405</v>
      </c>
      <c r="K2353" s="305" t="s">
        <v>1961</v>
      </c>
    </row>
    <row r="2354" spans="1:11" x14ac:dyDescent="0.25">
      <c r="A2354" s="302" t="str">
        <f t="shared" si="60"/>
        <v>Pipe Insulation_Steam Large Fitting_CI_kW Saved per Unit</v>
      </c>
      <c r="B2354" s="303" t="s">
        <v>404</v>
      </c>
      <c r="C2354" s="379" t="s">
        <v>963</v>
      </c>
      <c r="D2354" s="303" t="s">
        <v>1159</v>
      </c>
      <c r="E2354" s="314" t="s">
        <v>580</v>
      </c>
      <c r="F2354" s="326" t="s">
        <v>571</v>
      </c>
      <c r="G2354" s="315"/>
      <c r="H2354" s="305"/>
      <c r="I2354" s="305" t="s">
        <v>152</v>
      </c>
      <c r="J2354" s="305" t="s">
        <v>405</v>
      </c>
      <c r="K2354" s="305" t="s">
        <v>1961</v>
      </c>
    </row>
    <row r="2355" spans="1:11" x14ac:dyDescent="0.25">
      <c r="A2355" s="302" t="str">
        <f t="shared" si="60"/>
        <v>Pipe Insulation_Steam Large Fitting_CI_Therm Saved per Unit</v>
      </c>
      <c r="B2355" s="303" t="s">
        <v>404</v>
      </c>
      <c r="C2355" s="379" t="s">
        <v>963</v>
      </c>
      <c r="D2355" s="303" t="s">
        <v>1159</v>
      </c>
      <c r="E2355" s="314" t="s">
        <v>326</v>
      </c>
      <c r="F2355" s="314"/>
      <c r="G2355" s="315">
        <f>'3 - Pipe Insulation'!B184</f>
        <v>44.895855334511324</v>
      </c>
      <c r="H2355" s="305"/>
      <c r="I2355" s="305" t="s">
        <v>633</v>
      </c>
      <c r="J2355" s="305" t="s">
        <v>1160</v>
      </c>
      <c r="K2355" s="305"/>
    </row>
    <row r="2356" spans="1:11" x14ac:dyDescent="0.25">
      <c r="A2356" s="302" t="str">
        <f t="shared" si="60"/>
        <v>Pipe Insulation_Steam Large Fitting_CI_Lifetime (years)</v>
      </c>
      <c r="B2356" s="303" t="s">
        <v>404</v>
      </c>
      <c r="C2356" s="379" t="s">
        <v>963</v>
      </c>
      <c r="D2356" s="303" t="s">
        <v>1159</v>
      </c>
      <c r="E2356" s="314" t="s">
        <v>259</v>
      </c>
      <c r="F2356" s="314" t="s">
        <v>548</v>
      </c>
      <c r="G2356" s="315">
        <v>15</v>
      </c>
      <c r="H2356" s="305"/>
      <c r="I2356" s="305" t="s">
        <v>152</v>
      </c>
      <c r="J2356" s="305" t="s">
        <v>405</v>
      </c>
      <c r="K2356" s="305" t="s">
        <v>1961</v>
      </c>
    </row>
    <row r="2357" spans="1:11" x14ac:dyDescent="0.25">
      <c r="A2357" s="302" t="str">
        <f t="shared" si="60"/>
        <v>Pipe Insulation_Steam Large Fitting_CI_Incremental Cost</v>
      </c>
      <c r="B2357" s="303" t="s">
        <v>404</v>
      </c>
      <c r="C2357" s="379" t="s">
        <v>963</v>
      </c>
      <c r="D2357" s="303" t="s">
        <v>1159</v>
      </c>
      <c r="E2357" s="314" t="s">
        <v>260</v>
      </c>
      <c r="F2357" s="314" t="s">
        <v>949</v>
      </c>
      <c r="G2357" s="328">
        <v>22.352000000000004</v>
      </c>
      <c r="H2357" s="305" t="s">
        <v>959</v>
      </c>
      <c r="I2357" s="305" t="s">
        <v>614</v>
      </c>
      <c r="J2357" s="305"/>
      <c r="K2357" s="305"/>
    </row>
    <row r="2358" spans="1:11" s="324" customFormat="1" x14ac:dyDescent="0.25">
      <c r="A2358" s="317" t="str">
        <f t="shared" si="60"/>
        <v>Pipe Insulation_Steam Large Fitting_CI_</v>
      </c>
      <c r="B2358" s="317" t="str">
        <f>B2357</f>
        <v>Pipe Insulation</v>
      </c>
      <c r="C2358" s="317" t="str">
        <f>C2357</f>
        <v>Steam Large Fitting</v>
      </c>
      <c r="D2358" s="317" t="str">
        <f>D2357</f>
        <v>CI</v>
      </c>
      <c r="E2358" s="320"/>
      <c r="F2358" s="320"/>
      <c r="G2358" s="329"/>
      <c r="H2358" s="320"/>
      <c r="I2358" s="320"/>
      <c r="J2358" s="320"/>
      <c r="K2358" s="320"/>
    </row>
    <row r="2359" spans="1:11" x14ac:dyDescent="0.25">
      <c r="A2359" s="302" t="str">
        <f t="shared" si="60"/>
        <v>Pipe Insulation_Steam X-Large Fitting_CI_kWh Saved per Unit</v>
      </c>
      <c r="B2359" s="303" t="s">
        <v>404</v>
      </c>
      <c r="C2359" s="378" t="s">
        <v>964</v>
      </c>
      <c r="D2359" s="303" t="s">
        <v>1159</v>
      </c>
      <c r="E2359" s="314" t="s">
        <v>255</v>
      </c>
      <c r="F2359" s="314"/>
      <c r="G2359" s="315"/>
      <c r="H2359" s="305"/>
      <c r="I2359" s="305" t="s">
        <v>152</v>
      </c>
      <c r="J2359" s="305" t="s">
        <v>405</v>
      </c>
      <c r="K2359" s="305" t="s">
        <v>1961</v>
      </c>
    </row>
    <row r="2360" spans="1:11" x14ac:dyDescent="0.25">
      <c r="A2360" s="302" t="str">
        <f t="shared" si="60"/>
        <v>Pipe Insulation_Steam X-Large Fitting_CI_kW Saved per Unit</v>
      </c>
      <c r="B2360" s="303" t="s">
        <v>404</v>
      </c>
      <c r="C2360" s="378" t="s">
        <v>964</v>
      </c>
      <c r="D2360" s="303" t="s">
        <v>1159</v>
      </c>
      <c r="E2360" s="314" t="s">
        <v>580</v>
      </c>
      <c r="F2360" s="326" t="s">
        <v>571</v>
      </c>
      <c r="G2360" s="315"/>
      <c r="H2360" s="305"/>
      <c r="I2360" s="305" t="s">
        <v>152</v>
      </c>
      <c r="J2360" s="305" t="s">
        <v>405</v>
      </c>
      <c r="K2360" s="305" t="s">
        <v>1961</v>
      </c>
    </row>
    <row r="2361" spans="1:11" x14ac:dyDescent="0.25">
      <c r="A2361" s="302" t="str">
        <f t="shared" si="60"/>
        <v>Pipe Insulation_Steam X-Large Fitting_CI_Therm Saved per Unit</v>
      </c>
      <c r="B2361" s="303" t="s">
        <v>404</v>
      </c>
      <c r="C2361" s="378" t="s">
        <v>964</v>
      </c>
      <c r="D2361" s="303" t="s">
        <v>1159</v>
      </c>
      <c r="E2361" s="314" t="s">
        <v>326</v>
      </c>
      <c r="F2361" s="314"/>
      <c r="G2361" s="315">
        <f>'3 - Pipe Insulation'!B187</f>
        <v>80.577400496643122</v>
      </c>
      <c r="H2361" s="305"/>
      <c r="I2361" s="305" t="s">
        <v>633</v>
      </c>
      <c r="J2361" s="305" t="s">
        <v>1160</v>
      </c>
      <c r="K2361" s="305"/>
    </row>
    <row r="2362" spans="1:11" x14ac:dyDescent="0.25">
      <c r="A2362" s="302" t="str">
        <f t="shared" si="60"/>
        <v>Pipe Insulation_Steam X-Large Fitting_CI_Lifetime (years)</v>
      </c>
      <c r="B2362" s="303" t="s">
        <v>404</v>
      </c>
      <c r="C2362" s="378" t="s">
        <v>964</v>
      </c>
      <c r="D2362" s="303" t="s">
        <v>1159</v>
      </c>
      <c r="E2362" s="314" t="s">
        <v>259</v>
      </c>
      <c r="F2362" s="314" t="s">
        <v>548</v>
      </c>
      <c r="G2362" s="315">
        <v>15</v>
      </c>
      <c r="H2362" s="305"/>
      <c r="I2362" s="305" t="s">
        <v>152</v>
      </c>
      <c r="J2362" s="305" t="s">
        <v>405</v>
      </c>
      <c r="K2362" s="305" t="s">
        <v>1961</v>
      </c>
    </row>
    <row r="2363" spans="1:11" x14ac:dyDescent="0.25">
      <c r="A2363" s="302" t="str">
        <f t="shared" si="60"/>
        <v>Pipe Insulation_Steam X-Large Fitting_CI_Incremental Cost</v>
      </c>
      <c r="B2363" s="303" t="s">
        <v>404</v>
      </c>
      <c r="C2363" s="378" t="s">
        <v>964</v>
      </c>
      <c r="D2363" s="303" t="s">
        <v>1159</v>
      </c>
      <c r="E2363" s="314" t="s">
        <v>260</v>
      </c>
      <c r="F2363" s="314" t="s">
        <v>949</v>
      </c>
      <c r="G2363" s="328">
        <v>34.925000000000004</v>
      </c>
      <c r="H2363" s="305" t="s">
        <v>959</v>
      </c>
      <c r="I2363" s="305" t="s">
        <v>614</v>
      </c>
      <c r="J2363" s="305"/>
      <c r="K2363" s="305"/>
    </row>
    <row r="2364" spans="1:11" s="324" customFormat="1" x14ac:dyDescent="0.25">
      <c r="A2364" s="317" t="str">
        <f t="shared" si="60"/>
        <v>Pipe Insulation_Steam X-Large Fitting_CI_</v>
      </c>
      <c r="B2364" s="317" t="str">
        <f>B2363</f>
        <v>Pipe Insulation</v>
      </c>
      <c r="C2364" s="317" t="str">
        <f>C2363</f>
        <v>Steam X-Large Fitting</v>
      </c>
      <c r="D2364" s="317" t="str">
        <f>D2363</f>
        <v>CI</v>
      </c>
      <c r="E2364" s="320"/>
      <c r="F2364" s="320"/>
      <c r="G2364" s="329"/>
      <c r="H2364" s="320"/>
      <c r="I2364" s="320"/>
      <c r="J2364" s="320"/>
      <c r="K2364" s="320"/>
    </row>
    <row r="2365" spans="1:11" x14ac:dyDescent="0.25">
      <c r="A2365" s="302" t="str">
        <f t="shared" si="60"/>
        <v>Pipe Insulation_Steam Med Valve_CI_kWh Saved per Unit</v>
      </c>
      <c r="B2365" s="303" t="s">
        <v>404</v>
      </c>
      <c r="C2365" s="379" t="s">
        <v>966</v>
      </c>
      <c r="D2365" s="303" t="s">
        <v>1159</v>
      </c>
      <c r="E2365" s="314" t="s">
        <v>255</v>
      </c>
      <c r="F2365" s="314"/>
      <c r="G2365" s="315"/>
      <c r="H2365" s="305"/>
      <c r="I2365" s="305" t="s">
        <v>152</v>
      </c>
      <c r="J2365" s="305" t="s">
        <v>405</v>
      </c>
      <c r="K2365" s="305" t="s">
        <v>1961</v>
      </c>
    </row>
    <row r="2366" spans="1:11" x14ac:dyDescent="0.25">
      <c r="A2366" s="302" t="str">
        <f t="shared" si="60"/>
        <v>Pipe Insulation_Steam Med Valve_CI_kW Saved per Unit</v>
      </c>
      <c r="B2366" s="303" t="s">
        <v>404</v>
      </c>
      <c r="C2366" s="379" t="s">
        <v>966</v>
      </c>
      <c r="D2366" s="303" t="s">
        <v>1159</v>
      </c>
      <c r="E2366" s="314" t="s">
        <v>580</v>
      </c>
      <c r="F2366" s="326" t="s">
        <v>571</v>
      </c>
      <c r="G2366" s="315"/>
      <c r="H2366" s="305"/>
      <c r="I2366" s="305" t="s">
        <v>152</v>
      </c>
      <c r="J2366" s="305" t="s">
        <v>405</v>
      </c>
      <c r="K2366" s="305" t="s">
        <v>1961</v>
      </c>
    </row>
    <row r="2367" spans="1:11" x14ac:dyDescent="0.25">
      <c r="A2367" s="302" t="str">
        <f t="shared" si="60"/>
        <v>Pipe Insulation_Steam Med Valve_CI_Therm Saved per Unit</v>
      </c>
      <c r="B2367" s="303" t="s">
        <v>404</v>
      </c>
      <c r="C2367" s="379" t="s">
        <v>966</v>
      </c>
      <c r="D2367" s="303" t="s">
        <v>1159</v>
      </c>
      <c r="E2367" s="314" t="s">
        <v>326</v>
      </c>
      <c r="F2367" s="314"/>
      <c r="G2367" s="315">
        <f>'3 - Pipe Insulation'!B182</f>
        <v>49.002251273013741</v>
      </c>
      <c r="H2367" s="305"/>
      <c r="I2367" s="305" t="s">
        <v>633</v>
      </c>
      <c r="J2367" s="305" t="s">
        <v>1160</v>
      </c>
      <c r="K2367" s="305"/>
    </row>
    <row r="2368" spans="1:11" x14ac:dyDescent="0.25">
      <c r="A2368" s="302" t="str">
        <f t="shared" si="60"/>
        <v>Pipe Insulation_Steam Med Valve_CI_Lifetime (years)</v>
      </c>
      <c r="B2368" s="303" t="s">
        <v>404</v>
      </c>
      <c r="C2368" s="379" t="s">
        <v>966</v>
      </c>
      <c r="D2368" s="303" t="s">
        <v>1159</v>
      </c>
      <c r="E2368" s="314" t="s">
        <v>259</v>
      </c>
      <c r="F2368" s="314" t="s">
        <v>548</v>
      </c>
      <c r="G2368" s="315">
        <v>15</v>
      </c>
      <c r="H2368" s="305"/>
      <c r="I2368" s="305" t="s">
        <v>152</v>
      </c>
      <c r="J2368" s="305" t="s">
        <v>405</v>
      </c>
      <c r="K2368" s="305" t="s">
        <v>1961</v>
      </c>
    </row>
    <row r="2369" spans="1:11" x14ac:dyDescent="0.25">
      <c r="A2369" s="302" t="str">
        <f t="shared" si="60"/>
        <v>Pipe Insulation_Steam Med Valve_CI_Incremental Cost</v>
      </c>
      <c r="B2369" s="303" t="s">
        <v>404</v>
      </c>
      <c r="C2369" s="379" t="s">
        <v>966</v>
      </c>
      <c r="D2369" s="303" t="s">
        <v>1159</v>
      </c>
      <c r="E2369" s="314" t="s">
        <v>260</v>
      </c>
      <c r="F2369" s="314" t="s">
        <v>949</v>
      </c>
      <c r="G2369" s="328">
        <v>24.447500000000002</v>
      </c>
      <c r="H2369" s="305" t="s">
        <v>959</v>
      </c>
      <c r="I2369" s="305" t="s">
        <v>614</v>
      </c>
      <c r="J2369" s="305"/>
      <c r="K2369" s="305"/>
    </row>
    <row r="2370" spans="1:11" s="324" customFormat="1" x14ac:dyDescent="0.25">
      <c r="A2370" s="317" t="str">
        <f t="shared" si="60"/>
        <v>Pipe Insulation_Steam Med Valve_CI_</v>
      </c>
      <c r="B2370" s="317" t="str">
        <f>B2369</f>
        <v>Pipe Insulation</v>
      </c>
      <c r="C2370" s="317" t="str">
        <f>C2369</f>
        <v>Steam Med Valve</v>
      </c>
      <c r="D2370" s="317" t="str">
        <f>D2369</f>
        <v>CI</v>
      </c>
      <c r="E2370" s="320"/>
      <c r="F2370" s="320"/>
      <c r="G2370" s="329"/>
      <c r="H2370" s="320"/>
      <c r="I2370" s="320"/>
      <c r="J2370" s="320"/>
      <c r="K2370" s="320"/>
    </row>
    <row r="2371" spans="1:11" x14ac:dyDescent="0.25">
      <c r="A2371" s="302" t="str">
        <f t="shared" si="60"/>
        <v>Pipe Insulation_Steam Large Valve_CI_kWh Saved per Unit</v>
      </c>
      <c r="B2371" s="303" t="s">
        <v>404</v>
      </c>
      <c r="C2371" s="379" t="s">
        <v>967</v>
      </c>
      <c r="D2371" s="303" t="s">
        <v>1159</v>
      </c>
      <c r="E2371" s="314" t="s">
        <v>255</v>
      </c>
      <c r="F2371" s="314"/>
      <c r="G2371" s="315"/>
      <c r="H2371" s="305"/>
      <c r="I2371" s="305" t="s">
        <v>152</v>
      </c>
      <c r="J2371" s="305" t="s">
        <v>405</v>
      </c>
      <c r="K2371" s="305" t="s">
        <v>1961</v>
      </c>
    </row>
    <row r="2372" spans="1:11" x14ac:dyDescent="0.25">
      <c r="A2372" s="302" t="str">
        <f t="shared" si="60"/>
        <v>Pipe Insulation_Steam Large Valve_CI_kW Saved per Unit</v>
      </c>
      <c r="B2372" s="303" t="s">
        <v>404</v>
      </c>
      <c r="C2372" s="379" t="s">
        <v>967</v>
      </c>
      <c r="D2372" s="303" t="s">
        <v>1159</v>
      </c>
      <c r="E2372" s="314" t="s">
        <v>580</v>
      </c>
      <c r="F2372" s="326" t="s">
        <v>571</v>
      </c>
      <c r="G2372" s="315"/>
      <c r="H2372" s="305"/>
      <c r="I2372" s="305" t="s">
        <v>152</v>
      </c>
      <c r="J2372" s="305" t="s">
        <v>405</v>
      </c>
      <c r="K2372" s="305" t="s">
        <v>1961</v>
      </c>
    </row>
    <row r="2373" spans="1:11" x14ac:dyDescent="0.25">
      <c r="A2373" s="302" t="str">
        <f t="shared" si="60"/>
        <v>Pipe Insulation_Steam Large Valve_CI_Therm Saved per Unit</v>
      </c>
      <c r="B2373" s="303" t="s">
        <v>404</v>
      </c>
      <c r="C2373" s="379" t="s">
        <v>967</v>
      </c>
      <c r="D2373" s="303" t="s">
        <v>1159</v>
      </c>
      <c r="E2373" s="314" t="s">
        <v>326</v>
      </c>
      <c r="F2373" s="314"/>
      <c r="G2373" s="315">
        <f>'3 - Pipe Insulation'!B185</f>
        <v>107.52607289087437</v>
      </c>
      <c r="H2373" s="305"/>
      <c r="I2373" s="305" t="s">
        <v>633</v>
      </c>
      <c r="J2373" s="305" t="s">
        <v>1160</v>
      </c>
      <c r="K2373" s="305"/>
    </row>
    <row r="2374" spans="1:11" x14ac:dyDescent="0.25">
      <c r="A2374" s="302" t="str">
        <f t="shared" si="60"/>
        <v>Pipe Insulation_Steam Large Valve_CI_Lifetime (years)</v>
      </c>
      <c r="B2374" s="303" t="s">
        <v>404</v>
      </c>
      <c r="C2374" s="379" t="s">
        <v>967</v>
      </c>
      <c r="D2374" s="303" t="s">
        <v>1159</v>
      </c>
      <c r="E2374" s="314" t="s">
        <v>259</v>
      </c>
      <c r="F2374" s="314" t="s">
        <v>548</v>
      </c>
      <c r="G2374" s="315">
        <v>15</v>
      </c>
      <c r="H2374" s="305"/>
      <c r="I2374" s="305" t="s">
        <v>152</v>
      </c>
      <c r="J2374" s="305" t="s">
        <v>405</v>
      </c>
      <c r="K2374" s="305" t="s">
        <v>1961</v>
      </c>
    </row>
    <row r="2375" spans="1:11" x14ac:dyDescent="0.25">
      <c r="A2375" s="302" t="str">
        <f t="shared" ref="A2375:A2461" si="61">B2375&amp;"_"&amp;C2375&amp;"_"&amp;D2375&amp;"_"&amp;E2375</f>
        <v>Pipe Insulation_Steam Large Valve_CI_Incremental Cost</v>
      </c>
      <c r="B2375" s="303" t="s">
        <v>404</v>
      </c>
      <c r="C2375" s="379" t="s">
        <v>967</v>
      </c>
      <c r="D2375" s="303" t="s">
        <v>1159</v>
      </c>
      <c r="E2375" s="314" t="s">
        <v>260</v>
      </c>
      <c r="F2375" s="314" t="s">
        <v>949</v>
      </c>
      <c r="G2375" s="328">
        <v>94.995999999999995</v>
      </c>
      <c r="H2375" s="305" t="s">
        <v>959</v>
      </c>
      <c r="I2375" s="305" t="s">
        <v>614</v>
      </c>
      <c r="J2375" s="305"/>
      <c r="K2375" s="305"/>
    </row>
    <row r="2376" spans="1:11" s="324" customFormat="1" x14ac:dyDescent="0.25">
      <c r="A2376" s="317" t="str">
        <f t="shared" si="61"/>
        <v>Pipe Insulation_Steam Large Valve_CI_</v>
      </c>
      <c r="B2376" s="317" t="str">
        <f>B2375</f>
        <v>Pipe Insulation</v>
      </c>
      <c r="C2376" s="317" t="str">
        <f>C2375</f>
        <v>Steam Large Valve</v>
      </c>
      <c r="D2376" s="317" t="str">
        <f>D2375</f>
        <v>CI</v>
      </c>
      <c r="E2376" s="320"/>
      <c r="F2376" s="320"/>
      <c r="G2376" s="329"/>
      <c r="H2376" s="320"/>
      <c r="I2376" s="320"/>
      <c r="J2376" s="320"/>
      <c r="K2376" s="320"/>
    </row>
    <row r="2377" spans="1:11" x14ac:dyDescent="0.25">
      <c r="A2377" s="302" t="str">
        <f t="shared" si="61"/>
        <v>Pipe Insulation_Steam X-Large Valve_CI_kWh Saved per Unit</v>
      </c>
      <c r="B2377" s="303" t="s">
        <v>404</v>
      </c>
      <c r="C2377" s="379" t="s">
        <v>968</v>
      </c>
      <c r="D2377" s="303" t="s">
        <v>1159</v>
      </c>
      <c r="E2377" s="314" t="s">
        <v>255</v>
      </c>
      <c r="F2377" s="314"/>
      <c r="G2377" s="315"/>
      <c r="H2377" s="305"/>
      <c r="I2377" s="305" t="s">
        <v>152</v>
      </c>
      <c r="J2377" s="305" t="s">
        <v>405</v>
      </c>
      <c r="K2377" s="305" t="s">
        <v>1961</v>
      </c>
    </row>
    <row r="2378" spans="1:11" x14ac:dyDescent="0.25">
      <c r="A2378" s="302" t="str">
        <f t="shared" si="61"/>
        <v>Pipe Insulation_Steam X-Large Valve_CI_kW Saved per Unit</v>
      </c>
      <c r="B2378" s="303" t="s">
        <v>404</v>
      </c>
      <c r="C2378" s="379" t="s">
        <v>968</v>
      </c>
      <c r="D2378" s="303" t="s">
        <v>1159</v>
      </c>
      <c r="E2378" s="314" t="s">
        <v>580</v>
      </c>
      <c r="F2378" s="326" t="s">
        <v>571</v>
      </c>
      <c r="G2378" s="315"/>
      <c r="H2378" s="305"/>
      <c r="I2378" s="305" t="s">
        <v>152</v>
      </c>
      <c r="J2378" s="305" t="s">
        <v>405</v>
      </c>
      <c r="K2378" s="305" t="s">
        <v>1961</v>
      </c>
    </row>
    <row r="2379" spans="1:11" x14ac:dyDescent="0.25">
      <c r="A2379" s="302" t="str">
        <f t="shared" si="61"/>
        <v>Pipe Insulation_Steam X-Large Valve_CI_Therm Saved per Unit</v>
      </c>
      <c r="B2379" s="303" t="s">
        <v>404</v>
      </c>
      <c r="C2379" s="379" t="s">
        <v>968</v>
      </c>
      <c r="D2379" s="303" t="s">
        <v>1159</v>
      </c>
      <c r="E2379" s="314" t="s">
        <v>326</v>
      </c>
      <c r="F2379" s="314"/>
      <c r="G2379" s="315">
        <f>'3 - Pipe Insulation'!B188</f>
        <v>175.06254164158375</v>
      </c>
      <c r="H2379" s="305"/>
      <c r="I2379" s="305" t="s">
        <v>633</v>
      </c>
      <c r="J2379" s="305" t="s">
        <v>1160</v>
      </c>
      <c r="K2379" s="305"/>
    </row>
    <row r="2380" spans="1:11" x14ac:dyDescent="0.25">
      <c r="A2380" s="302" t="str">
        <f t="shared" si="61"/>
        <v>Pipe Insulation_Steam X-Large Valve_CI_Lifetime (years)</v>
      </c>
      <c r="B2380" s="303" t="s">
        <v>404</v>
      </c>
      <c r="C2380" s="379" t="s">
        <v>968</v>
      </c>
      <c r="D2380" s="303" t="s">
        <v>1159</v>
      </c>
      <c r="E2380" s="314" t="s">
        <v>259</v>
      </c>
      <c r="F2380" s="314" t="s">
        <v>548</v>
      </c>
      <c r="G2380" s="315">
        <v>15</v>
      </c>
      <c r="H2380" s="305"/>
      <c r="I2380" s="305" t="s">
        <v>152</v>
      </c>
      <c r="J2380" s="305" t="s">
        <v>405</v>
      </c>
      <c r="K2380" s="305" t="s">
        <v>1961</v>
      </c>
    </row>
    <row r="2381" spans="1:11" x14ac:dyDescent="0.25">
      <c r="A2381" s="302" t="str">
        <f t="shared" si="61"/>
        <v>Pipe Insulation_Steam X-Large Valve_CI_Incremental Cost</v>
      </c>
      <c r="B2381" s="303" t="s">
        <v>404</v>
      </c>
      <c r="C2381" s="379" t="s">
        <v>968</v>
      </c>
      <c r="D2381" s="303" t="s">
        <v>1159</v>
      </c>
      <c r="E2381" s="314" t="s">
        <v>260</v>
      </c>
      <c r="F2381" s="314" t="s">
        <v>949</v>
      </c>
      <c r="G2381" s="328">
        <v>164.846</v>
      </c>
      <c r="H2381" s="305" t="s">
        <v>959</v>
      </c>
      <c r="I2381" s="305" t="s">
        <v>614</v>
      </c>
      <c r="J2381" s="305"/>
      <c r="K2381" s="305"/>
    </row>
    <row r="2382" spans="1:11" s="324" customFormat="1" x14ac:dyDescent="0.25">
      <c r="A2382" s="317" t="str">
        <f t="shared" si="61"/>
        <v>Pipe Insulation_Steam X-Large Valve_CI_</v>
      </c>
      <c r="B2382" s="317" t="str">
        <f>B2381</f>
        <v>Pipe Insulation</v>
      </c>
      <c r="C2382" s="317" t="str">
        <f>C2381</f>
        <v>Steam X-Large Valve</v>
      </c>
      <c r="D2382" s="317" t="str">
        <f>D2381</f>
        <v>CI</v>
      </c>
      <c r="E2382" s="320"/>
      <c r="F2382" s="320"/>
      <c r="G2382" s="329"/>
      <c r="H2382" s="320"/>
      <c r="I2382" s="320"/>
      <c r="J2382" s="320"/>
      <c r="K2382" s="320"/>
    </row>
    <row r="2383" spans="1:11" x14ac:dyDescent="0.25">
      <c r="A2383" s="302" t="str">
        <f t="shared" si="61"/>
        <v>High Speed Washer_Hotel/Motel/Hospital_CI_Average number of daily washer cycles</v>
      </c>
      <c r="B2383" s="303" t="s">
        <v>725</v>
      </c>
      <c r="C2383" s="304" t="s">
        <v>1162</v>
      </c>
      <c r="D2383" s="303" t="s">
        <v>1159</v>
      </c>
      <c r="E2383" s="305" t="s">
        <v>726</v>
      </c>
      <c r="F2383" s="305" t="s">
        <v>727</v>
      </c>
      <c r="G2383" s="307">
        <v>10.4</v>
      </c>
      <c r="H2383" s="305" t="s">
        <v>1162</v>
      </c>
      <c r="I2383" s="305" t="s">
        <v>152</v>
      </c>
      <c r="J2383" s="305" t="s">
        <v>729</v>
      </c>
      <c r="K2383" s="305" t="s">
        <v>2364</v>
      </c>
    </row>
    <row r="2384" spans="1:11" x14ac:dyDescent="0.25">
      <c r="A2384" s="302" t="str">
        <f t="shared" si="61"/>
        <v>High Speed Washer_Hotel/Motel/Hospital_CI_Days of Operation per Year</v>
      </c>
      <c r="B2384" s="303" t="s">
        <v>725</v>
      </c>
      <c r="C2384" s="304" t="s">
        <v>1162</v>
      </c>
      <c r="D2384" s="303" t="s">
        <v>1159</v>
      </c>
      <c r="E2384" s="305" t="s">
        <v>731</v>
      </c>
      <c r="F2384" s="305" t="s">
        <v>538</v>
      </c>
      <c r="G2384" s="354">
        <v>360</v>
      </c>
      <c r="H2384" s="305" t="s">
        <v>732</v>
      </c>
      <c r="I2384" s="305" t="s">
        <v>152</v>
      </c>
      <c r="J2384" s="305" t="s">
        <v>729</v>
      </c>
      <c r="K2384" s="305" t="s">
        <v>2364</v>
      </c>
    </row>
    <row r="2385" spans="1:11" x14ac:dyDescent="0.25">
      <c r="A2385" s="302" t="str">
        <f t="shared" si="61"/>
        <v>High Speed Washer_Hotel/Motel/Hospital_CI_Capacity</v>
      </c>
      <c r="B2385" s="303" t="s">
        <v>725</v>
      </c>
      <c r="C2385" s="304" t="s">
        <v>1162</v>
      </c>
      <c r="D2385" s="303" t="s">
        <v>1159</v>
      </c>
      <c r="E2385" s="305" t="s">
        <v>270</v>
      </c>
      <c r="F2385" s="305" t="s">
        <v>733</v>
      </c>
      <c r="G2385" s="355">
        <v>1</v>
      </c>
      <c r="H2385" s="305" t="s">
        <v>734</v>
      </c>
      <c r="I2385" s="305" t="s">
        <v>152</v>
      </c>
      <c r="J2385" s="305" t="s">
        <v>729</v>
      </c>
      <c r="K2385" s="305" t="s">
        <v>2364</v>
      </c>
    </row>
    <row r="2386" spans="1:11" x14ac:dyDescent="0.25">
      <c r="A2386" s="302" t="str">
        <f t="shared" si="61"/>
        <v>High Speed Washer_Hotel/Motel/Hospital_CI_Retained Moisture Content</v>
      </c>
      <c r="B2386" s="303" t="s">
        <v>725</v>
      </c>
      <c r="C2386" s="304" t="s">
        <v>1162</v>
      </c>
      <c r="D2386" s="303" t="s">
        <v>1159</v>
      </c>
      <c r="E2386" s="305" t="s">
        <v>735</v>
      </c>
      <c r="F2386" s="305" t="s">
        <v>539</v>
      </c>
      <c r="G2386" s="356">
        <v>0.15</v>
      </c>
      <c r="H2386" s="305"/>
      <c r="I2386" s="305" t="s">
        <v>152</v>
      </c>
      <c r="J2386" s="305" t="s">
        <v>729</v>
      </c>
      <c r="K2386" s="305" t="s">
        <v>2364</v>
      </c>
    </row>
    <row r="2387" spans="1:11" x14ac:dyDescent="0.25">
      <c r="A2387" s="302" t="str">
        <f t="shared" si="61"/>
        <v>High Speed Washer_Hotel/Motel/Hospital_CI_Heat required to evaporate water</v>
      </c>
      <c r="B2387" s="303" t="s">
        <v>725</v>
      </c>
      <c r="C2387" s="304" t="s">
        <v>1162</v>
      </c>
      <c r="D2387" s="303" t="s">
        <v>1159</v>
      </c>
      <c r="E2387" s="305" t="s">
        <v>736</v>
      </c>
      <c r="F2387" s="305" t="s">
        <v>651</v>
      </c>
      <c r="G2387" s="354">
        <v>1200</v>
      </c>
      <c r="H2387" s="305"/>
      <c r="I2387" s="305" t="s">
        <v>152</v>
      </c>
      <c r="J2387" s="305" t="s">
        <v>729</v>
      </c>
      <c r="K2387" s="305" t="s">
        <v>2364</v>
      </c>
    </row>
    <row r="2388" spans="1:11" x14ac:dyDescent="0.25">
      <c r="A2388" s="302" t="str">
        <f t="shared" si="61"/>
        <v>High Speed Washer_Hotel/Motel/Hospital_CI_Dryer Efficiency</v>
      </c>
      <c r="B2388" s="303" t="s">
        <v>725</v>
      </c>
      <c r="C2388" s="304" t="s">
        <v>1162</v>
      </c>
      <c r="D2388" s="303" t="s">
        <v>1159</v>
      </c>
      <c r="E2388" s="305" t="s">
        <v>737</v>
      </c>
      <c r="F2388" s="305" t="s">
        <v>539</v>
      </c>
      <c r="G2388" s="356">
        <v>0.6</v>
      </c>
      <c r="H2388" s="305" t="s">
        <v>732</v>
      </c>
      <c r="I2388" s="305" t="s">
        <v>152</v>
      </c>
      <c r="J2388" s="305" t="s">
        <v>729</v>
      </c>
      <c r="K2388" s="305" t="s">
        <v>2364</v>
      </c>
    </row>
    <row r="2389" spans="1:11" x14ac:dyDescent="0.25">
      <c r="A2389" s="302" t="str">
        <f t="shared" si="61"/>
        <v>High Speed Washer_Hotel/Motel/Hospital_CI_Conversion</v>
      </c>
      <c r="B2389" s="303" t="s">
        <v>725</v>
      </c>
      <c r="C2389" s="304" t="s">
        <v>1162</v>
      </c>
      <c r="D2389" s="303" t="s">
        <v>1159</v>
      </c>
      <c r="E2389" s="305" t="s">
        <v>284</v>
      </c>
      <c r="F2389" s="305" t="s">
        <v>622</v>
      </c>
      <c r="G2389" s="325">
        <v>100000</v>
      </c>
      <c r="H2389" s="305"/>
      <c r="I2389" s="305" t="s">
        <v>152</v>
      </c>
      <c r="J2389" s="305" t="s">
        <v>729</v>
      </c>
      <c r="K2389" s="305" t="s">
        <v>2364</v>
      </c>
    </row>
    <row r="2390" spans="1:11" x14ac:dyDescent="0.25">
      <c r="A2390" s="302" t="str">
        <f t="shared" si="61"/>
        <v>High Speed Washer_Hotel/Motel/Hospital_CI_Dryer Use</v>
      </c>
      <c r="B2390" s="303" t="s">
        <v>725</v>
      </c>
      <c r="C2390" s="304" t="s">
        <v>1162</v>
      </c>
      <c r="D2390" s="303" t="s">
        <v>1159</v>
      </c>
      <c r="E2390" s="305" t="s">
        <v>738</v>
      </c>
      <c r="F2390" s="305" t="s">
        <v>539</v>
      </c>
      <c r="G2390" s="356">
        <v>0.91</v>
      </c>
      <c r="H2390" s="305"/>
      <c r="I2390" s="305" t="s">
        <v>152</v>
      </c>
      <c r="J2390" s="305" t="s">
        <v>729</v>
      </c>
      <c r="K2390" s="305" t="s">
        <v>2364</v>
      </c>
    </row>
    <row r="2391" spans="1:11" x14ac:dyDescent="0.25">
      <c r="A2391" s="302" t="str">
        <f t="shared" si="61"/>
        <v>High Speed Washer_Hotel/Motel/Hospital_CI_Load Factor</v>
      </c>
      <c r="B2391" s="303" t="s">
        <v>725</v>
      </c>
      <c r="C2391" s="304" t="s">
        <v>1162</v>
      </c>
      <c r="D2391" s="303" t="s">
        <v>1159</v>
      </c>
      <c r="E2391" s="305" t="s">
        <v>421</v>
      </c>
      <c r="F2391" s="305" t="s">
        <v>539</v>
      </c>
      <c r="G2391" s="356">
        <v>0.66</v>
      </c>
      <c r="H2391" s="305"/>
      <c r="I2391" s="305" t="s">
        <v>152</v>
      </c>
      <c r="J2391" s="305" t="s">
        <v>729</v>
      </c>
      <c r="K2391" s="305" t="s">
        <v>2364</v>
      </c>
    </row>
    <row r="2392" spans="1:11" x14ac:dyDescent="0.25">
      <c r="A2392" s="302" t="str">
        <f t="shared" si="61"/>
        <v>High Speed Washer_Hotel/Motel/Hospital_CI_Therm Saved per Unit</v>
      </c>
      <c r="B2392" s="303" t="s">
        <v>725</v>
      </c>
      <c r="C2392" s="304" t="s">
        <v>1162</v>
      </c>
      <c r="D2392" s="303" t="s">
        <v>1159</v>
      </c>
      <c r="E2392" s="314" t="s">
        <v>326</v>
      </c>
      <c r="F2392" s="314" t="s">
        <v>1163</v>
      </c>
      <c r="G2392" s="315">
        <f>(G2383*G2384*G2385*G2386*G2387/G2388/G2389)*G2390*G2391</f>
        <v>6.7459391999999996</v>
      </c>
      <c r="H2392" s="305"/>
      <c r="I2392" s="305" t="s">
        <v>152</v>
      </c>
      <c r="J2392" s="305" t="s">
        <v>729</v>
      </c>
      <c r="K2392" s="305" t="s">
        <v>2364</v>
      </c>
    </row>
    <row r="2393" spans="1:11" x14ac:dyDescent="0.25">
      <c r="A2393" s="302" t="str">
        <f t="shared" si="61"/>
        <v>High Speed Washer_Hotel/Motel/Hospital_CI_Lifetime (years)</v>
      </c>
      <c r="B2393" s="303" t="s">
        <v>725</v>
      </c>
      <c r="C2393" s="304" t="s">
        <v>1162</v>
      </c>
      <c r="D2393" s="303" t="s">
        <v>1159</v>
      </c>
      <c r="E2393" s="314" t="s">
        <v>259</v>
      </c>
      <c r="F2393" s="314" t="s">
        <v>548</v>
      </c>
      <c r="G2393" s="315">
        <v>7</v>
      </c>
      <c r="H2393" s="305" t="s">
        <v>740</v>
      </c>
      <c r="I2393" s="305" t="s">
        <v>152</v>
      </c>
      <c r="J2393" s="305" t="s">
        <v>729</v>
      </c>
      <c r="K2393" s="305" t="s">
        <v>2364</v>
      </c>
    </row>
    <row r="2394" spans="1:11" x14ac:dyDescent="0.25">
      <c r="A2394" s="302" t="str">
        <f t="shared" si="61"/>
        <v>High Speed Washer_Hotel/Motel/Hospital_CI_Incremental Cost</v>
      </c>
      <c r="B2394" s="303" t="s">
        <v>725</v>
      </c>
      <c r="C2394" s="304" t="s">
        <v>1162</v>
      </c>
      <c r="D2394" s="303" t="s">
        <v>1159</v>
      </c>
      <c r="E2394" s="314" t="s">
        <v>260</v>
      </c>
      <c r="F2394" s="314" t="s">
        <v>549</v>
      </c>
      <c r="G2394" s="315">
        <f>9.7*G2385</f>
        <v>9.6999999999999993</v>
      </c>
      <c r="H2394" s="305" t="s">
        <v>741</v>
      </c>
      <c r="I2394" s="305" t="s">
        <v>152</v>
      </c>
      <c r="J2394" s="305" t="s">
        <v>729</v>
      </c>
      <c r="K2394" s="305" t="s">
        <v>2364</v>
      </c>
    </row>
    <row r="2395" spans="1:11" s="324" customFormat="1" x14ac:dyDescent="0.25">
      <c r="A2395" s="317" t="str">
        <f t="shared" si="61"/>
        <v>High Speed Washer_Hotel/Motel/Hospital_CI_</v>
      </c>
      <c r="B2395" s="317" t="str">
        <f>B2394</f>
        <v>High Speed Washer</v>
      </c>
      <c r="C2395" s="332" t="str">
        <f>C2394</f>
        <v>Hotel/Motel/Hospital</v>
      </c>
      <c r="D2395" s="317" t="str">
        <f>D2394</f>
        <v>CI</v>
      </c>
      <c r="E2395" s="320"/>
      <c r="F2395" s="320"/>
      <c r="G2395" s="329"/>
      <c r="H2395" s="320"/>
      <c r="I2395" s="320"/>
      <c r="J2395" s="320"/>
      <c r="K2395" s="320"/>
    </row>
    <row r="2396" spans="1:11" s="324" customFormat="1" x14ac:dyDescent="0.25">
      <c r="A2396" s="302" t="str">
        <f t="shared" ref="A2396" si="62">B2396&amp;"_"&amp;C2396&amp;"_"&amp;D2396&amp;"_"&amp;E2396</f>
        <v>Energy Star Conveyer Oven_0_CI_ΔDailyPreheatEnergy</v>
      </c>
      <c r="B2396" s="303" t="s">
        <v>1164</v>
      </c>
      <c r="C2396" s="304">
        <v>0</v>
      </c>
      <c r="D2396" s="303" t="s">
        <v>1159</v>
      </c>
      <c r="E2396" s="311" t="s">
        <v>2401</v>
      </c>
      <c r="F2396" s="311"/>
      <c r="G2396" s="310">
        <f>(G2397 * G2398) - (G2399 * G2400)</f>
        <v>17000</v>
      </c>
      <c r="H2396" s="311" t="s">
        <v>2381</v>
      </c>
      <c r="I2396" s="305" t="s">
        <v>152</v>
      </c>
      <c r="J2396" s="305" t="s">
        <v>521</v>
      </c>
      <c r="K2396" s="305" t="s">
        <v>2021</v>
      </c>
    </row>
    <row r="2397" spans="1:11" s="324" customFormat="1" x14ac:dyDescent="0.25">
      <c r="A2397" s="302" t="str">
        <f t="shared" ref="A2397:A2419" si="63">B2397&amp;"_"&amp;C2397&amp;"_"&amp;D2397&amp;"_"&amp;E2397</f>
        <v>Energy Star Conveyer Oven_0_CI_PreheatEnergy_Base</v>
      </c>
      <c r="B2397" s="303" t="s">
        <v>1164</v>
      </c>
      <c r="C2397" s="304">
        <v>0</v>
      </c>
      <c r="D2397" s="303" t="s">
        <v>1159</v>
      </c>
      <c r="E2397" s="311" t="s">
        <v>2402</v>
      </c>
      <c r="F2397" s="334" t="s">
        <v>941</v>
      </c>
      <c r="G2397" s="310">
        <v>35000</v>
      </c>
      <c r="H2397" s="311" t="s">
        <v>2384</v>
      </c>
      <c r="I2397" s="305" t="s">
        <v>152</v>
      </c>
      <c r="J2397" s="305" t="s">
        <v>521</v>
      </c>
      <c r="K2397" s="305" t="s">
        <v>2021</v>
      </c>
    </row>
    <row r="2398" spans="1:11" s="324" customFormat="1" x14ac:dyDescent="0.25">
      <c r="A2398" s="302" t="str">
        <f t="shared" si="63"/>
        <v>Energy Star Conveyer Oven_0_CI_Preheats</v>
      </c>
      <c r="B2398" s="303" t="s">
        <v>1164</v>
      </c>
      <c r="C2398" s="304">
        <v>0</v>
      </c>
      <c r="D2398" s="303" t="s">
        <v>1159</v>
      </c>
      <c r="E2398" s="311" t="s">
        <v>2403</v>
      </c>
      <c r="F2398" s="334" t="s">
        <v>2383</v>
      </c>
      <c r="G2398" s="310">
        <v>1</v>
      </c>
      <c r="H2398" s="311" t="s">
        <v>2384</v>
      </c>
      <c r="I2398" s="305" t="s">
        <v>152</v>
      </c>
      <c r="J2398" s="305" t="s">
        <v>521</v>
      </c>
      <c r="K2398" s="305" t="s">
        <v>2021</v>
      </c>
    </row>
    <row r="2399" spans="1:11" s="324" customFormat="1" x14ac:dyDescent="0.25">
      <c r="A2399" s="302" t="str">
        <f t="shared" si="63"/>
        <v>Energy Star Conveyer Oven_0_CI_PreheatEnergy_EE</v>
      </c>
      <c r="B2399" s="303" t="s">
        <v>1164</v>
      </c>
      <c r="C2399" s="304">
        <v>0</v>
      </c>
      <c r="D2399" s="303" t="s">
        <v>1159</v>
      </c>
      <c r="E2399" s="311" t="s">
        <v>2404</v>
      </c>
      <c r="F2399" s="334" t="s">
        <v>941</v>
      </c>
      <c r="G2399" s="310">
        <v>18000</v>
      </c>
      <c r="H2399" s="311" t="s">
        <v>2384</v>
      </c>
      <c r="I2399" s="305" t="s">
        <v>152</v>
      </c>
      <c r="J2399" s="305" t="s">
        <v>521</v>
      </c>
      <c r="K2399" s="305" t="s">
        <v>2021</v>
      </c>
    </row>
    <row r="2400" spans="1:11" s="324" customFormat="1" x14ac:dyDescent="0.25">
      <c r="A2400" s="302" t="str">
        <f t="shared" si="63"/>
        <v>Energy Star Conveyer Oven_0_CI_Preheats</v>
      </c>
      <c r="B2400" s="303" t="s">
        <v>1164</v>
      </c>
      <c r="C2400" s="304">
        <v>0</v>
      </c>
      <c r="D2400" s="303" t="s">
        <v>1159</v>
      </c>
      <c r="E2400" s="311" t="s">
        <v>2403</v>
      </c>
      <c r="F2400" s="334" t="str">
        <f>F2398</f>
        <v>preheats/day</v>
      </c>
      <c r="G2400" s="310">
        <f>G2398</f>
        <v>1</v>
      </c>
      <c r="H2400" s="311" t="str">
        <f>H2398</f>
        <v>unknown</v>
      </c>
      <c r="I2400" s="305" t="s">
        <v>152</v>
      </c>
      <c r="J2400" s="305" t="s">
        <v>521</v>
      </c>
      <c r="K2400" s="305" t="s">
        <v>2021</v>
      </c>
    </row>
    <row r="2401" spans="1:11" s="324" customFormat="1" x14ac:dyDescent="0.25">
      <c r="A2401" s="302" t="str">
        <f t="shared" si="63"/>
        <v>Energy Star Conveyer Oven_0_CI_ΔDailyIdleEnergy</v>
      </c>
      <c r="B2401" s="303" t="s">
        <v>1164</v>
      </c>
      <c r="C2401" s="304">
        <v>0</v>
      </c>
      <c r="D2401" s="303" t="s">
        <v>1159</v>
      </c>
      <c r="E2401" s="311" t="s">
        <v>2405</v>
      </c>
      <c r="F2401" s="334"/>
      <c r="G2401" s="310">
        <f>(G2402*(G2403-G2404/G2405-(G2406*G2407/G2408))-(G2409*(G2410-G2411/G2412-(G2413*G2414/G2415))))</f>
        <v>100856.06060606067</v>
      </c>
      <c r="H2401" s="311" t="s">
        <v>2381</v>
      </c>
      <c r="I2401" s="305" t="s">
        <v>152</v>
      </c>
      <c r="J2401" s="305" t="s">
        <v>521</v>
      </c>
      <c r="K2401" s="305" t="s">
        <v>2021</v>
      </c>
    </row>
    <row r="2402" spans="1:11" s="324" customFormat="1" x14ac:dyDescent="0.25">
      <c r="A2402" s="302" t="str">
        <f t="shared" si="63"/>
        <v>Energy Star Conveyer Oven_0_CI_IdleRateGas_Base</v>
      </c>
      <c r="B2402" s="303" t="s">
        <v>1164</v>
      </c>
      <c r="C2402" s="304">
        <v>0</v>
      </c>
      <c r="D2402" s="303" t="s">
        <v>1159</v>
      </c>
      <c r="E2402" s="311" t="s">
        <v>2406</v>
      </c>
      <c r="F2402" s="334" t="s">
        <v>479</v>
      </c>
      <c r="G2402" s="310">
        <v>70000</v>
      </c>
      <c r="H2402" s="311" t="s">
        <v>2384</v>
      </c>
      <c r="I2402" s="305" t="s">
        <v>152</v>
      </c>
      <c r="J2402" s="305" t="s">
        <v>521</v>
      </c>
      <c r="K2402" s="305" t="s">
        <v>2021</v>
      </c>
    </row>
    <row r="2403" spans="1:11" s="324" customFormat="1" x14ac:dyDescent="0.25">
      <c r="A2403" s="302" t="str">
        <f t="shared" si="63"/>
        <v>Energy Star Conveyer Oven_0_CI_Hours</v>
      </c>
      <c r="B2403" s="303" t="s">
        <v>1164</v>
      </c>
      <c r="C2403" s="304">
        <v>0</v>
      </c>
      <c r="D2403" s="303" t="s">
        <v>1159</v>
      </c>
      <c r="E2403" s="311" t="s">
        <v>283</v>
      </c>
      <c r="F2403" s="334" t="s">
        <v>1012</v>
      </c>
      <c r="G2403" s="310">
        <v>12</v>
      </c>
      <c r="H2403" s="311" t="s">
        <v>2384</v>
      </c>
      <c r="I2403" s="305" t="s">
        <v>152</v>
      </c>
      <c r="J2403" s="305" t="s">
        <v>521</v>
      </c>
      <c r="K2403" s="305" t="s">
        <v>2021</v>
      </c>
    </row>
    <row r="2404" spans="1:11" s="324" customFormat="1" x14ac:dyDescent="0.25">
      <c r="A2404" s="302" t="str">
        <f t="shared" si="63"/>
        <v>Energy Star Conveyer Oven_0_CI_FoodCooked</v>
      </c>
      <c r="B2404" s="303" t="s">
        <v>1164</v>
      </c>
      <c r="C2404" s="304">
        <v>0</v>
      </c>
      <c r="D2404" s="303" t="s">
        <v>1159</v>
      </c>
      <c r="E2404" s="311" t="s">
        <v>2407</v>
      </c>
      <c r="F2404" s="334" t="s">
        <v>2408</v>
      </c>
      <c r="G2404" s="310">
        <v>250</v>
      </c>
      <c r="H2404" s="311" t="s">
        <v>2384</v>
      </c>
      <c r="I2404" s="305" t="s">
        <v>152</v>
      </c>
      <c r="J2404" s="305" t="s">
        <v>521</v>
      </c>
      <c r="K2404" s="305" t="s">
        <v>2021</v>
      </c>
    </row>
    <row r="2405" spans="1:11" s="324" customFormat="1" x14ac:dyDescent="0.25">
      <c r="A2405" s="302" t="str">
        <f t="shared" si="63"/>
        <v>Energy Star Conveyer Oven_0_CI_ProductionGas_Base</v>
      </c>
      <c r="B2405" s="303" t="s">
        <v>1164</v>
      </c>
      <c r="C2405" s="304">
        <v>0</v>
      </c>
      <c r="D2405" s="303" t="s">
        <v>1159</v>
      </c>
      <c r="E2405" s="311" t="s">
        <v>2409</v>
      </c>
      <c r="F2405" s="334" t="s">
        <v>2410</v>
      </c>
      <c r="G2405" s="310">
        <v>150</v>
      </c>
      <c r="H2405" s="311"/>
      <c r="I2405" s="305" t="s">
        <v>152</v>
      </c>
      <c r="J2405" s="305" t="s">
        <v>521</v>
      </c>
      <c r="K2405" s="305" t="s">
        <v>2021</v>
      </c>
    </row>
    <row r="2406" spans="1:11" s="324" customFormat="1" x14ac:dyDescent="0.25">
      <c r="A2406" s="302" t="str">
        <f t="shared" si="63"/>
        <v>Energy Star Conveyer Oven_0_CI_Preheats</v>
      </c>
      <c r="B2406" s="303" t="s">
        <v>1164</v>
      </c>
      <c r="C2406" s="304">
        <v>0</v>
      </c>
      <c r="D2406" s="303" t="s">
        <v>1159</v>
      </c>
      <c r="E2406" s="311" t="s">
        <v>2403</v>
      </c>
      <c r="F2406" s="334" t="str">
        <f>F2400</f>
        <v>preheats/day</v>
      </c>
      <c r="G2406" s="310">
        <f>G2400</f>
        <v>1</v>
      </c>
      <c r="H2406" s="311" t="str">
        <f>H2400</f>
        <v>unknown</v>
      </c>
      <c r="I2406" s="305" t="s">
        <v>152</v>
      </c>
      <c r="J2406" s="305" t="s">
        <v>521</v>
      </c>
      <c r="K2406" s="305" t="s">
        <v>2021</v>
      </c>
    </row>
    <row r="2407" spans="1:11" s="324" customFormat="1" x14ac:dyDescent="0.25">
      <c r="A2407" s="302" t="str">
        <f t="shared" si="63"/>
        <v>Energy Star Conveyer Oven_0_CI_PreheatTime</v>
      </c>
      <c r="B2407" s="303" t="s">
        <v>1164</v>
      </c>
      <c r="C2407" s="304">
        <v>0</v>
      </c>
      <c r="D2407" s="303" t="s">
        <v>1159</v>
      </c>
      <c r="E2407" s="311" t="s">
        <v>2411</v>
      </c>
      <c r="F2407" s="334" t="s">
        <v>2386</v>
      </c>
      <c r="G2407" s="310">
        <v>15</v>
      </c>
      <c r="H2407" s="311" t="s">
        <v>2384</v>
      </c>
      <c r="I2407" s="305" t="s">
        <v>152</v>
      </c>
      <c r="J2407" s="305" t="s">
        <v>521</v>
      </c>
      <c r="K2407" s="305" t="s">
        <v>2021</v>
      </c>
    </row>
    <row r="2408" spans="1:11" s="324" customFormat="1" x14ac:dyDescent="0.25">
      <c r="A2408" s="302" t="str">
        <f t="shared" si="63"/>
        <v>Energy Star Conveyer Oven_0_CI_60</v>
      </c>
      <c r="B2408" s="303" t="s">
        <v>1164</v>
      </c>
      <c r="C2408" s="304">
        <v>0</v>
      </c>
      <c r="D2408" s="303" t="s">
        <v>1159</v>
      </c>
      <c r="E2408" s="390">
        <v>60</v>
      </c>
      <c r="F2408" s="334" t="s">
        <v>882</v>
      </c>
      <c r="G2408" s="310">
        <v>60</v>
      </c>
      <c r="H2408" s="311"/>
      <c r="I2408" s="305" t="s">
        <v>152</v>
      </c>
      <c r="J2408" s="305" t="s">
        <v>521</v>
      </c>
      <c r="K2408" s="305" t="s">
        <v>2021</v>
      </c>
    </row>
    <row r="2409" spans="1:11" s="324" customFormat="1" x14ac:dyDescent="0.25">
      <c r="A2409" s="302" t="str">
        <f t="shared" si="63"/>
        <v>Energy Star Conveyer Oven_0_CI_IdleRateGas_EE</v>
      </c>
      <c r="B2409" s="303" t="s">
        <v>1164</v>
      </c>
      <c r="C2409" s="304">
        <v>0</v>
      </c>
      <c r="D2409" s="303" t="s">
        <v>1159</v>
      </c>
      <c r="E2409" s="311" t="s">
        <v>2412</v>
      </c>
      <c r="F2409" s="334" t="s">
        <v>479</v>
      </c>
      <c r="G2409" s="310">
        <v>57000</v>
      </c>
      <c r="H2409" s="311" t="s">
        <v>2384</v>
      </c>
      <c r="I2409" s="305" t="s">
        <v>152</v>
      </c>
      <c r="J2409" s="305" t="s">
        <v>521</v>
      </c>
      <c r="K2409" s="305" t="s">
        <v>2021</v>
      </c>
    </row>
    <row r="2410" spans="1:11" s="324" customFormat="1" x14ac:dyDescent="0.25">
      <c r="A2410" s="302" t="str">
        <f t="shared" si="63"/>
        <v>Energy Star Conveyer Oven_0_CI_Hours</v>
      </c>
      <c r="B2410" s="303" t="s">
        <v>1164</v>
      </c>
      <c r="C2410" s="304">
        <v>0</v>
      </c>
      <c r="D2410" s="303" t="s">
        <v>1159</v>
      </c>
      <c r="E2410" s="311" t="s">
        <v>283</v>
      </c>
      <c r="F2410" s="334" t="str">
        <f t="shared" ref="F2410:H2411" si="64">F2403</f>
        <v>hours</v>
      </c>
      <c r="G2410" s="310">
        <f t="shared" si="64"/>
        <v>12</v>
      </c>
      <c r="H2410" s="311" t="str">
        <f t="shared" si="64"/>
        <v>unknown</v>
      </c>
      <c r="I2410" s="305" t="s">
        <v>152</v>
      </c>
      <c r="J2410" s="305" t="s">
        <v>521</v>
      </c>
      <c r="K2410" s="305" t="s">
        <v>2021</v>
      </c>
    </row>
    <row r="2411" spans="1:11" s="324" customFormat="1" x14ac:dyDescent="0.25">
      <c r="A2411" s="302" t="str">
        <f t="shared" si="63"/>
        <v>Energy Star Conveyer Oven_0_CI_FoodCooked</v>
      </c>
      <c r="B2411" s="303" t="s">
        <v>1164</v>
      </c>
      <c r="C2411" s="304">
        <v>0</v>
      </c>
      <c r="D2411" s="303" t="s">
        <v>1159</v>
      </c>
      <c r="E2411" s="311" t="s">
        <v>2407</v>
      </c>
      <c r="F2411" s="334" t="str">
        <f t="shared" si="64"/>
        <v>pizzas</v>
      </c>
      <c r="G2411" s="310">
        <f t="shared" si="64"/>
        <v>250</v>
      </c>
      <c r="H2411" s="311" t="str">
        <f t="shared" si="64"/>
        <v>unknown</v>
      </c>
      <c r="I2411" s="305" t="s">
        <v>152</v>
      </c>
      <c r="J2411" s="305" t="s">
        <v>521</v>
      </c>
      <c r="K2411" s="305" t="s">
        <v>2021</v>
      </c>
    </row>
    <row r="2412" spans="1:11" s="324" customFormat="1" x14ac:dyDescent="0.25">
      <c r="A2412" s="302" t="str">
        <f t="shared" si="63"/>
        <v>Energy Star Conveyer Oven_0_CI_ProductionGas_EE</v>
      </c>
      <c r="B2412" s="303" t="s">
        <v>1164</v>
      </c>
      <c r="C2412" s="304">
        <v>0</v>
      </c>
      <c r="D2412" s="303" t="s">
        <v>1159</v>
      </c>
      <c r="E2412" s="311" t="s">
        <v>2413</v>
      </c>
      <c r="F2412" s="334" t="s">
        <v>2410</v>
      </c>
      <c r="G2412" s="310">
        <v>220</v>
      </c>
      <c r="H2412" s="311" t="s">
        <v>2384</v>
      </c>
      <c r="I2412" s="305" t="s">
        <v>152</v>
      </c>
      <c r="J2412" s="305" t="s">
        <v>521</v>
      </c>
      <c r="K2412" s="305" t="s">
        <v>2021</v>
      </c>
    </row>
    <row r="2413" spans="1:11" s="324" customFormat="1" x14ac:dyDescent="0.25">
      <c r="A2413" s="302" t="str">
        <f t="shared" si="63"/>
        <v>Energy Star Conveyer Oven_0_CI_Preheats</v>
      </c>
      <c r="B2413" s="303" t="s">
        <v>1164</v>
      </c>
      <c r="C2413" s="304">
        <v>0</v>
      </c>
      <c r="D2413" s="303" t="s">
        <v>1159</v>
      </c>
      <c r="E2413" s="311" t="s">
        <v>2403</v>
      </c>
      <c r="F2413" s="334" t="str">
        <f t="shared" ref="F2413:G2415" si="65">F2406</f>
        <v>preheats/day</v>
      </c>
      <c r="G2413" s="310">
        <f>G2406</f>
        <v>1</v>
      </c>
      <c r="H2413" s="311" t="str">
        <f>H2406</f>
        <v>unknown</v>
      </c>
      <c r="I2413" s="305" t="s">
        <v>152</v>
      </c>
      <c r="J2413" s="305" t="s">
        <v>521</v>
      </c>
      <c r="K2413" s="305" t="s">
        <v>2021</v>
      </c>
    </row>
    <row r="2414" spans="1:11" s="324" customFormat="1" x14ac:dyDescent="0.25">
      <c r="A2414" s="302" t="str">
        <f t="shared" si="63"/>
        <v>Energy Star Conveyer Oven_0_CI_PreheatTime</v>
      </c>
      <c r="B2414" s="303" t="s">
        <v>1164</v>
      </c>
      <c r="C2414" s="304">
        <v>0</v>
      </c>
      <c r="D2414" s="303" t="s">
        <v>1159</v>
      </c>
      <c r="E2414" s="311" t="s">
        <v>2411</v>
      </c>
      <c r="F2414" s="334" t="str">
        <f t="shared" si="65"/>
        <v>minutes</v>
      </c>
      <c r="G2414" s="310">
        <f t="shared" si="65"/>
        <v>15</v>
      </c>
      <c r="H2414" s="311" t="str">
        <f>H2407</f>
        <v>unknown</v>
      </c>
      <c r="I2414" s="305" t="s">
        <v>152</v>
      </c>
      <c r="J2414" s="305" t="s">
        <v>521</v>
      </c>
      <c r="K2414" s="305" t="s">
        <v>2021</v>
      </c>
    </row>
    <row r="2415" spans="1:11" s="324" customFormat="1" x14ac:dyDescent="0.25">
      <c r="A2415" s="302" t="str">
        <f t="shared" si="63"/>
        <v>Energy Star Conveyer Oven_0_CI_60</v>
      </c>
      <c r="B2415" s="303" t="s">
        <v>1164</v>
      </c>
      <c r="C2415" s="304">
        <v>0</v>
      </c>
      <c r="D2415" s="303" t="s">
        <v>1159</v>
      </c>
      <c r="E2415" s="390">
        <v>60</v>
      </c>
      <c r="F2415" s="334" t="str">
        <f t="shared" si="65"/>
        <v>min/hr</v>
      </c>
      <c r="G2415" s="310">
        <f t="shared" si="65"/>
        <v>60</v>
      </c>
      <c r="H2415" s="311"/>
      <c r="I2415" s="305" t="s">
        <v>152</v>
      </c>
      <c r="J2415" s="305" t="s">
        <v>521</v>
      </c>
      <c r="K2415" s="305" t="s">
        <v>2021</v>
      </c>
    </row>
    <row r="2416" spans="1:11" s="324" customFormat="1" x14ac:dyDescent="0.25">
      <c r="A2416" s="302" t="str">
        <f t="shared" si="63"/>
        <v>Energy Star Conveyer Oven_0_CI_ΔDailyCookingEnergy</v>
      </c>
      <c r="B2416" s="303" t="s">
        <v>1164</v>
      </c>
      <c r="C2416" s="304">
        <v>0</v>
      </c>
      <c r="D2416" s="303" t="s">
        <v>1159</v>
      </c>
      <c r="E2416" s="311" t="s">
        <v>2414</v>
      </c>
      <c r="F2416" s="334"/>
      <c r="G2416" s="310">
        <f>(G2417*(G2418/G2419))-(G2420*(G2421/G2422))</f>
        <v>124404.76190476189</v>
      </c>
      <c r="H2416" s="311" t="s">
        <v>2381</v>
      </c>
      <c r="I2416" s="305" t="s">
        <v>152</v>
      </c>
      <c r="J2416" s="305" t="s">
        <v>521</v>
      </c>
      <c r="K2416" s="305" t="s">
        <v>2021</v>
      </c>
    </row>
    <row r="2417" spans="1:11" s="324" customFormat="1" x14ac:dyDescent="0.25">
      <c r="A2417" s="302" t="str">
        <f t="shared" si="63"/>
        <v>Energy Star Conveyer Oven_0_CI_FoodCooked</v>
      </c>
      <c r="B2417" s="303" t="s">
        <v>1164</v>
      </c>
      <c r="C2417" s="304">
        <v>0</v>
      </c>
      <c r="D2417" s="303" t="s">
        <v>1159</v>
      </c>
      <c r="E2417" s="311" t="s">
        <v>2407</v>
      </c>
      <c r="F2417" s="334" t="str">
        <f>F2411</f>
        <v>pizzas</v>
      </c>
      <c r="G2417" s="310">
        <f>G2411</f>
        <v>250</v>
      </c>
      <c r="H2417" s="311" t="str">
        <f>H2411</f>
        <v>unknown</v>
      </c>
      <c r="I2417" s="305" t="s">
        <v>152</v>
      </c>
      <c r="J2417" s="305" t="s">
        <v>521</v>
      </c>
      <c r="K2417" s="305" t="s">
        <v>2021</v>
      </c>
    </row>
    <row r="2418" spans="1:11" s="324" customFormat="1" x14ac:dyDescent="0.25">
      <c r="A2418" s="302" t="str">
        <f t="shared" si="63"/>
        <v>Energy Star Conveyer Oven_0_CI_EFOOD_Gas</v>
      </c>
      <c r="B2418" s="303" t="s">
        <v>1164</v>
      </c>
      <c r="C2418" s="304">
        <v>0</v>
      </c>
      <c r="D2418" s="303" t="s">
        <v>1159</v>
      </c>
      <c r="E2418" s="311" t="s">
        <v>2415</v>
      </c>
      <c r="F2418" s="334" t="s">
        <v>2416</v>
      </c>
      <c r="G2418" s="310">
        <v>190</v>
      </c>
      <c r="H2418" s="311"/>
      <c r="I2418" s="305" t="s">
        <v>152</v>
      </c>
      <c r="J2418" s="305" t="s">
        <v>521</v>
      </c>
      <c r="K2418" s="305" t="s">
        <v>2021</v>
      </c>
    </row>
    <row r="2419" spans="1:11" s="324" customFormat="1" x14ac:dyDescent="0.25">
      <c r="A2419" s="302" t="str">
        <f t="shared" si="63"/>
        <v>Energy Star Conveyer Oven_0_CI_EFF_Base</v>
      </c>
      <c r="B2419" s="303" t="s">
        <v>1164</v>
      </c>
      <c r="C2419" s="304">
        <v>0</v>
      </c>
      <c r="D2419" s="303" t="s">
        <v>1159</v>
      </c>
      <c r="E2419" s="311" t="s">
        <v>2417</v>
      </c>
      <c r="F2419" s="334" t="s">
        <v>539</v>
      </c>
      <c r="G2419" s="310">
        <v>0.2</v>
      </c>
      <c r="H2419" s="311" t="s">
        <v>2384</v>
      </c>
      <c r="I2419" s="305" t="s">
        <v>152</v>
      </c>
      <c r="J2419" s="305" t="s">
        <v>521</v>
      </c>
      <c r="K2419" s="305" t="s">
        <v>2021</v>
      </c>
    </row>
    <row r="2420" spans="1:11" s="324" customFormat="1" x14ac:dyDescent="0.25">
      <c r="A2420" s="302" t="str">
        <f t="shared" ref="A2420:A2424" si="66">B2420&amp;"_"&amp;C2420&amp;"_"&amp;D2420&amp;"_"&amp;E2420</f>
        <v>Energy Star Conveyer Oven_0_CI_FoodCooked</v>
      </c>
      <c r="B2420" s="303" t="s">
        <v>1164</v>
      </c>
      <c r="C2420" s="304">
        <v>0</v>
      </c>
      <c r="D2420" s="303" t="s">
        <v>1159</v>
      </c>
      <c r="E2420" s="311" t="s">
        <v>2407</v>
      </c>
      <c r="F2420" s="334" t="str">
        <f>F2417</f>
        <v>pizzas</v>
      </c>
      <c r="G2420" s="310">
        <f>G2417</f>
        <v>250</v>
      </c>
      <c r="H2420" s="311" t="str">
        <f>H2417</f>
        <v>unknown</v>
      </c>
      <c r="I2420" s="305" t="s">
        <v>152</v>
      </c>
      <c r="J2420" s="305" t="s">
        <v>521</v>
      </c>
      <c r="K2420" s="305" t="s">
        <v>2021</v>
      </c>
    </row>
    <row r="2421" spans="1:11" s="324" customFormat="1" x14ac:dyDescent="0.25">
      <c r="A2421" s="302" t="str">
        <f t="shared" si="66"/>
        <v>Energy Star Conveyer Oven_0_CI_EFOOD_Gas</v>
      </c>
      <c r="B2421" s="303" t="s">
        <v>1164</v>
      </c>
      <c r="C2421" s="304">
        <v>0</v>
      </c>
      <c r="D2421" s="303" t="s">
        <v>1159</v>
      </c>
      <c r="E2421" s="311" t="s">
        <v>2415</v>
      </c>
      <c r="F2421" s="334" t="str">
        <f>F2418</f>
        <v>Btu/pizza</v>
      </c>
      <c r="G2421" s="310">
        <f>G2418</f>
        <v>190</v>
      </c>
      <c r="H2421" s="311"/>
      <c r="I2421" s="305" t="s">
        <v>152</v>
      </c>
      <c r="J2421" s="305" t="s">
        <v>521</v>
      </c>
      <c r="K2421" s="305" t="s">
        <v>2021</v>
      </c>
    </row>
    <row r="2422" spans="1:11" s="324" customFormat="1" x14ac:dyDescent="0.25">
      <c r="A2422" s="302" t="str">
        <f t="shared" si="66"/>
        <v>Energy Star Conveyer Oven_0_CI_EFF_EE</v>
      </c>
      <c r="B2422" s="303" t="s">
        <v>1164</v>
      </c>
      <c r="C2422" s="304">
        <v>0</v>
      </c>
      <c r="D2422" s="303" t="s">
        <v>1159</v>
      </c>
      <c r="E2422" s="311" t="s">
        <v>2418</v>
      </c>
      <c r="F2422" s="334" t="s">
        <v>539</v>
      </c>
      <c r="G2422" s="310">
        <v>0.42</v>
      </c>
      <c r="H2422" s="311" t="s">
        <v>2384</v>
      </c>
      <c r="I2422" s="305" t="s">
        <v>152</v>
      </c>
      <c r="J2422" s="305" t="s">
        <v>521</v>
      </c>
      <c r="K2422" s="305" t="s">
        <v>2021</v>
      </c>
    </row>
    <row r="2423" spans="1:11" s="324" customFormat="1" x14ac:dyDescent="0.25">
      <c r="A2423" s="302" t="str">
        <f t="shared" si="66"/>
        <v>Energy Star Conveyer Oven_0_CI_Days</v>
      </c>
      <c r="B2423" s="303" t="s">
        <v>1164</v>
      </c>
      <c r="C2423" s="304">
        <v>0</v>
      </c>
      <c r="D2423" s="303" t="s">
        <v>1159</v>
      </c>
      <c r="E2423" s="311" t="s">
        <v>2419</v>
      </c>
      <c r="F2423" s="334" t="s">
        <v>1192</v>
      </c>
      <c r="G2423" s="310">
        <v>365.25</v>
      </c>
      <c r="H2423" s="311" t="s">
        <v>2384</v>
      </c>
      <c r="I2423" s="305" t="s">
        <v>152</v>
      </c>
      <c r="J2423" s="305" t="s">
        <v>521</v>
      </c>
      <c r="K2423" s="305" t="s">
        <v>2021</v>
      </c>
    </row>
    <row r="2424" spans="1:11" s="324" customFormat="1" x14ac:dyDescent="0.25">
      <c r="A2424" s="302" t="str">
        <f t="shared" si="66"/>
        <v>Energy Star Conveyer Oven_0_CI_100000</v>
      </c>
      <c r="B2424" s="303" t="s">
        <v>1164</v>
      </c>
      <c r="C2424" s="304">
        <v>0</v>
      </c>
      <c r="D2424" s="303" t="s">
        <v>1159</v>
      </c>
      <c r="E2424" s="391">
        <v>100000</v>
      </c>
      <c r="F2424" s="334"/>
      <c r="G2424" s="310">
        <v>100000</v>
      </c>
      <c r="H2424" s="311"/>
      <c r="I2424" s="305" t="s">
        <v>152</v>
      </c>
      <c r="J2424" s="305" t="s">
        <v>521</v>
      </c>
      <c r="K2424" s="305" t="s">
        <v>2021</v>
      </c>
    </row>
    <row r="2425" spans="1:11" x14ac:dyDescent="0.25">
      <c r="A2425" s="302" t="str">
        <f t="shared" si="61"/>
        <v>Energy Star Conveyer Oven_0_CI_kWh Saved per Unit</v>
      </c>
      <c r="B2425" s="303" t="s">
        <v>1164</v>
      </c>
      <c r="C2425" s="304">
        <v>0</v>
      </c>
      <c r="D2425" s="303" t="s">
        <v>1159</v>
      </c>
      <c r="E2425" s="314" t="s">
        <v>255</v>
      </c>
      <c r="F2425" s="314"/>
      <c r="G2425" s="315"/>
      <c r="H2425" s="305"/>
      <c r="I2425" s="305" t="s">
        <v>152</v>
      </c>
      <c r="J2425" s="305" t="s">
        <v>521</v>
      </c>
      <c r="K2425" s="305" t="s">
        <v>2021</v>
      </c>
    </row>
    <row r="2426" spans="1:11" x14ac:dyDescent="0.25">
      <c r="A2426" s="302" t="str">
        <f t="shared" si="61"/>
        <v>Energy Star Conveyer Oven_0_CI_kW Saved per Unit</v>
      </c>
      <c r="B2426" s="303" t="s">
        <v>1164</v>
      </c>
      <c r="C2426" s="304">
        <v>0</v>
      </c>
      <c r="D2426" s="303" t="s">
        <v>1159</v>
      </c>
      <c r="E2426" s="314" t="s">
        <v>580</v>
      </c>
      <c r="F2426" s="326" t="s">
        <v>571</v>
      </c>
      <c r="G2426" s="315"/>
      <c r="H2426" s="305"/>
      <c r="I2426" s="305" t="s">
        <v>152</v>
      </c>
      <c r="J2426" s="305" t="s">
        <v>521</v>
      </c>
      <c r="K2426" s="305" t="s">
        <v>2021</v>
      </c>
    </row>
    <row r="2427" spans="1:11" x14ac:dyDescent="0.25">
      <c r="A2427" s="302" t="str">
        <f t="shared" si="61"/>
        <v>Energy Star Conveyer Oven_0_CI_Therm Saved per Unit</v>
      </c>
      <c r="B2427" s="303" t="s">
        <v>1164</v>
      </c>
      <c r="C2427" s="304">
        <v>0</v>
      </c>
      <c r="D2427" s="303" t="s">
        <v>1159</v>
      </c>
      <c r="E2427" s="311" t="s">
        <v>326</v>
      </c>
      <c r="F2427" s="311"/>
      <c r="G2427" s="310">
        <f>((G2396 + G2401 + G2416) * G2423) / G2424</f>
        <v>884.85765422077941</v>
      </c>
      <c r="H2427" s="305" t="s">
        <v>2420</v>
      </c>
      <c r="I2427" s="305" t="s">
        <v>152</v>
      </c>
      <c r="J2427" s="305" t="s">
        <v>521</v>
      </c>
      <c r="K2427" s="305" t="s">
        <v>2021</v>
      </c>
    </row>
    <row r="2428" spans="1:11" x14ac:dyDescent="0.25">
      <c r="A2428" s="302" t="str">
        <f t="shared" si="61"/>
        <v>Energy Star Conveyer Oven_0_CI_Lifetime (years)</v>
      </c>
      <c r="B2428" s="303" t="s">
        <v>1164</v>
      </c>
      <c r="C2428" s="304">
        <v>0</v>
      </c>
      <c r="D2428" s="303" t="s">
        <v>1159</v>
      </c>
      <c r="E2428" s="311" t="s">
        <v>259</v>
      </c>
      <c r="F2428" s="311" t="s">
        <v>548</v>
      </c>
      <c r="G2428" s="310">
        <v>12</v>
      </c>
      <c r="H2428" s="305"/>
      <c r="I2428" s="305" t="s">
        <v>152</v>
      </c>
      <c r="J2428" s="305" t="s">
        <v>521</v>
      </c>
      <c r="K2428" s="305" t="s">
        <v>2021</v>
      </c>
    </row>
    <row r="2429" spans="1:11" x14ac:dyDescent="0.25">
      <c r="A2429" s="302" t="str">
        <f t="shared" si="61"/>
        <v>Energy Star Conveyer Oven_0_CI_Incremental Cost</v>
      </c>
      <c r="B2429" s="303" t="s">
        <v>1164</v>
      </c>
      <c r="C2429" s="304">
        <v>0</v>
      </c>
      <c r="D2429" s="303" t="s">
        <v>1159</v>
      </c>
      <c r="E2429" s="311" t="s">
        <v>260</v>
      </c>
      <c r="F2429" s="311" t="s">
        <v>949</v>
      </c>
      <c r="G2429" s="368">
        <v>2230</v>
      </c>
      <c r="H2429" s="311"/>
      <c r="I2429" s="305" t="s">
        <v>152</v>
      </c>
      <c r="J2429" s="305" t="s">
        <v>521</v>
      </c>
      <c r="K2429" s="305" t="s">
        <v>2021</v>
      </c>
    </row>
    <row r="2430" spans="1:11" s="324" customFormat="1" x14ac:dyDescent="0.25">
      <c r="A2430" s="317" t="str">
        <f t="shared" si="61"/>
        <v>Energy Star Conveyer Oven_0_CI_</v>
      </c>
      <c r="B2430" s="317" t="str">
        <f>B2429</f>
        <v>Energy Star Conveyer Oven</v>
      </c>
      <c r="C2430" s="317">
        <f>C2429</f>
        <v>0</v>
      </c>
      <c r="D2430" s="317" t="str">
        <f>D2429</f>
        <v>CI</v>
      </c>
      <c r="E2430" s="317"/>
      <c r="F2430" s="317"/>
      <c r="G2430" s="323"/>
      <c r="H2430" s="320"/>
      <c r="I2430" s="320"/>
      <c r="J2430" s="317"/>
      <c r="K2430" s="317"/>
    </row>
    <row r="2431" spans="1:11" x14ac:dyDescent="0.25">
      <c r="A2431" s="302" t="str">
        <f t="shared" si="61"/>
        <v>Pasta Cooker_0_CI_Therm Saved per Unit</v>
      </c>
      <c r="B2431" s="303" t="s">
        <v>22</v>
      </c>
      <c r="C2431" s="304">
        <v>0</v>
      </c>
      <c r="D2431" s="303" t="s">
        <v>1159</v>
      </c>
      <c r="E2431" s="314" t="s">
        <v>326</v>
      </c>
      <c r="F2431" s="314"/>
      <c r="G2431" s="315">
        <v>1380</v>
      </c>
      <c r="H2431" s="305"/>
      <c r="I2431" s="305" t="s">
        <v>152</v>
      </c>
      <c r="J2431" s="305" t="s">
        <v>123</v>
      </c>
      <c r="K2431" s="305" t="s">
        <v>2375</v>
      </c>
    </row>
    <row r="2432" spans="1:11" x14ac:dyDescent="0.25">
      <c r="A2432" s="302" t="str">
        <f t="shared" si="61"/>
        <v>Pasta Cooker_0_CI_Lifetime (years)</v>
      </c>
      <c r="B2432" s="303" t="s">
        <v>22</v>
      </c>
      <c r="C2432" s="304">
        <v>0</v>
      </c>
      <c r="D2432" s="303" t="s">
        <v>1159</v>
      </c>
      <c r="E2432" s="314" t="s">
        <v>259</v>
      </c>
      <c r="F2432" s="314"/>
      <c r="G2432" s="315">
        <v>12</v>
      </c>
      <c r="H2432" s="305"/>
      <c r="I2432" s="305" t="s">
        <v>152</v>
      </c>
      <c r="J2432" s="305" t="s">
        <v>123</v>
      </c>
      <c r="K2432" s="305" t="s">
        <v>2375</v>
      </c>
    </row>
    <row r="2433" spans="1:11" x14ac:dyDescent="0.25">
      <c r="A2433" s="302" t="str">
        <f t="shared" si="61"/>
        <v>Pasta Cooker_0_CI_Incremental Cost</v>
      </c>
      <c r="B2433" s="303" t="s">
        <v>22</v>
      </c>
      <c r="C2433" s="304">
        <v>0</v>
      </c>
      <c r="D2433" s="303" t="s">
        <v>1159</v>
      </c>
      <c r="E2433" s="314" t="s">
        <v>260</v>
      </c>
      <c r="F2433" s="314"/>
      <c r="G2433" s="328">
        <v>2400</v>
      </c>
      <c r="H2433" s="305" t="s">
        <v>478</v>
      </c>
      <c r="I2433" s="305" t="s">
        <v>152</v>
      </c>
      <c r="J2433" s="305" t="s">
        <v>123</v>
      </c>
      <c r="K2433" s="305" t="s">
        <v>2375</v>
      </c>
    </row>
    <row r="2434" spans="1:11" s="324" customFormat="1" x14ac:dyDescent="0.25">
      <c r="A2434" s="317" t="str">
        <f t="shared" si="61"/>
        <v>Pasta Cooker_0_CI_</v>
      </c>
      <c r="B2434" s="317" t="str">
        <f>B2433</f>
        <v>Pasta Cooker</v>
      </c>
      <c r="C2434" s="317">
        <f>C2433</f>
        <v>0</v>
      </c>
      <c r="D2434" s="317" t="str">
        <f>D2433</f>
        <v>CI</v>
      </c>
      <c r="E2434" s="317"/>
      <c r="F2434" s="317"/>
      <c r="G2434" s="323"/>
      <c r="H2434" s="320"/>
      <c r="I2434" s="320"/>
      <c r="J2434" s="317"/>
      <c r="K2434" s="317"/>
    </row>
    <row r="2435" spans="1:11" x14ac:dyDescent="0.25">
      <c r="A2435" s="302" t="str">
        <f t="shared" si="61"/>
        <v>ENERGY STAR Griddle_0_CI_Hours of Operation per Day</v>
      </c>
      <c r="B2435" s="303" t="s">
        <v>231</v>
      </c>
      <c r="C2435" s="304">
        <v>0</v>
      </c>
      <c r="D2435" s="303" t="s">
        <v>1159</v>
      </c>
      <c r="E2435" s="305" t="s">
        <v>1165</v>
      </c>
      <c r="F2435" s="305">
        <v>12</v>
      </c>
      <c r="G2435" s="306">
        <v>12</v>
      </c>
      <c r="H2435" s="305"/>
      <c r="I2435" s="305" t="s">
        <v>152</v>
      </c>
      <c r="J2435" s="305" t="s">
        <v>136</v>
      </c>
      <c r="K2435" s="305" t="s">
        <v>2129</v>
      </c>
    </row>
    <row r="2436" spans="1:11" x14ac:dyDescent="0.25">
      <c r="A2436" s="302" t="str">
        <f t="shared" si="61"/>
        <v>ENERGY STAR Griddle_0_CI_Days per Year</v>
      </c>
      <c r="B2436" s="303" t="s">
        <v>231</v>
      </c>
      <c r="C2436" s="304">
        <v>0</v>
      </c>
      <c r="D2436" s="303" t="s">
        <v>1159</v>
      </c>
      <c r="E2436" s="305" t="s">
        <v>263</v>
      </c>
      <c r="F2436" s="309">
        <v>365.25</v>
      </c>
      <c r="G2436" s="306">
        <v>365.25</v>
      </c>
      <c r="H2436" s="305"/>
      <c r="I2436" s="305" t="s">
        <v>152</v>
      </c>
      <c r="J2436" s="305" t="s">
        <v>136</v>
      </c>
      <c r="K2436" s="305" t="s">
        <v>2129</v>
      </c>
    </row>
    <row r="2437" spans="1:11" x14ac:dyDescent="0.25">
      <c r="A2437" s="302" t="str">
        <f t="shared" si="61"/>
        <v>ENERGY STAR Griddle_0_CI_Width</v>
      </c>
      <c r="B2437" s="303" t="s">
        <v>231</v>
      </c>
      <c r="C2437" s="304">
        <v>0</v>
      </c>
      <c r="D2437" s="303" t="s">
        <v>1159</v>
      </c>
      <c r="E2437" s="305" t="s">
        <v>468</v>
      </c>
      <c r="F2437" s="309">
        <v>3</v>
      </c>
      <c r="G2437" s="306">
        <v>3</v>
      </c>
      <c r="H2437" s="305"/>
      <c r="I2437" s="305" t="s">
        <v>152</v>
      </c>
      <c r="J2437" s="305" t="s">
        <v>136</v>
      </c>
      <c r="K2437" s="305" t="s">
        <v>2129</v>
      </c>
    </row>
    <row r="2438" spans="1:11" x14ac:dyDescent="0.25">
      <c r="A2438" s="302" t="str">
        <f t="shared" si="61"/>
        <v>ENERGY STAR Griddle_0_CI_Depth</v>
      </c>
      <c r="B2438" s="303" t="s">
        <v>231</v>
      </c>
      <c r="C2438" s="304">
        <v>0</v>
      </c>
      <c r="D2438" s="303" t="s">
        <v>1159</v>
      </c>
      <c r="E2438" s="305" t="s">
        <v>469</v>
      </c>
      <c r="F2438" s="309">
        <v>2</v>
      </c>
      <c r="G2438" s="306">
        <v>2</v>
      </c>
      <c r="H2438" s="305"/>
      <c r="I2438" s="305" t="s">
        <v>152</v>
      </c>
      <c r="J2438" s="305" t="s">
        <v>136</v>
      </c>
      <c r="K2438" s="305" t="s">
        <v>2129</v>
      </c>
    </row>
    <row r="2439" spans="1:11" x14ac:dyDescent="0.25">
      <c r="A2439" s="302" t="str">
        <f t="shared" si="61"/>
        <v>ENERGY STAR Griddle_0_CI_Idle Energy Rate</v>
      </c>
      <c r="B2439" s="303" t="s">
        <v>231</v>
      </c>
      <c r="C2439" s="304">
        <v>0</v>
      </c>
      <c r="D2439" s="303" t="s">
        <v>1159</v>
      </c>
      <c r="E2439" s="305" t="s">
        <v>462</v>
      </c>
      <c r="F2439" s="309">
        <v>3500</v>
      </c>
      <c r="G2439" s="306">
        <v>2650</v>
      </c>
      <c r="H2439" s="305"/>
      <c r="I2439" s="305" t="s">
        <v>152</v>
      </c>
      <c r="J2439" s="305" t="s">
        <v>136</v>
      </c>
      <c r="K2439" s="305" t="s">
        <v>2129</v>
      </c>
    </row>
    <row r="2440" spans="1:11" x14ac:dyDescent="0.25">
      <c r="A2440" s="302" t="str">
        <f t="shared" si="61"/>
        <v>ENERGY STAR Griddle_0_CI_Pounds per Day</v>
      </c>
      <c r="B2440" s="303" t="s">
        <v>231</v>
      </c>
      <c r="C2440" s="304">
        <v>0</v>
      </c>
      <c r="D2440" s="303" t="s">
        <v>1159</v>
      </c>
      <c r="E2440" s="305" t="s">
        <v>463</v>
      </c>
      <c r="F2440" s="309">
        <v>100</v>
      </c>
      <c r="G2440" s="306">
        <v>100</v>
      </c>
      <c r="H2440" s="305"/>
      <c r="I2440" s="305" t="s">
        <v>152</v>
      </c>
      <c r="J2440" s="305" t="s">
        <v>136</v>
      </c>
      <c r="K2440" s="305" t="s">
        <v>2129</v>
      </c>
    </row>
    <row r="2441" spans="1:11" x14ac:dyDescent="0.25">
      <c r="A2441" s="302" t="str">
        <f t="shared" si="61"/>
        <v>ENERGY STAR Griddle_0_CI_Production Capacity (PC)</v>
      </c>
      <c r="B2441" s="303" t="s">
        <v>231</v>
      </c>
      <c r="C2441" s="304">
        <v>0</v>
      </c>
      <c r="D2441" s="303" t="s">
        <v>1159</v>
      </c>
      <c r="E2441" s="305" t="s">
        <v>1166</v>
      </c>
      <c r="F2441" s="309">
        <f>25/6</f>
        <v>4.166666666666667</v>
      </c>
      <c r="G2441" s="306">
        <f>45/6</f>
        <v>7.5</v>
      </c>
      <c r="H2441" s="305"/>
      <c r="I2441" s="305" t="s">
        <v>152</v>
      </c>
      <c r="J2441" s="305" t="s">
        <v>136</v>
      </c>
      <c r="K2441" s="305" t="s">
        <v>2129</v>
      </c>
    </row>
    <row r="2442" spans="1:11" x14ac:dyDescent="0.25">
      <c r="A2442" s="302" t="str">
        <f t="shared" si="61"/>
        <v>ENERGY STAR Griddle_0_CI_EFOOD</v>
      </c>
      <c r="B2442" s="303" t="s">
        <v>231</v>
      </c>
      <c r="C2442" s="304">
        <v>0</v>
      </c>
      <c r="D2442" s="303" t="s">
        <v>1159</v>
      </c>
      <c r="E2442" s="305" t="s">
        <v>443</v>
      </c>
      <c r="F2442" s="309">
        <v>475</v>
      </c>
      <c r="G2442" s="306">
        <v>475</v>
      </c>
      <c r="H2442" s="305"/>
      <c r="I2442" s="305" t="s">
        <v>152</v>
      </c>
      <c r="J2442" s="305" t="s">
        <v>136</v>
      </c>
      <c r="K2442" s="305" t="s">
        <v>2129</v>
      </c>
    </row>
    <row r="2443" spans="1:11" x14ac:dyDescent="0.25">
      <c r="A2443" s="302" t="str">
        <f t="shared" si="61"/>
        <v>ENERGY STAR Griddle_0_CI_Eff</v>
      </c>
      <c r="B2443" s="303" t="s">
        <v>231</v>
      </c>
      <c r="C2443" s="304">
        <v>0</v>
      </c>
      <c r="D2443" s="303" t="s">
        <v>1159</v>
      </c>
      <c r="E2443" s="305" t="s">
        <v>1167</v>
      </c>
      <c r="F2443" s="309">
        <v>0.32</v>
      </c>
      <c r="G2443" s="306">
        <v>0.38</v>
      </c>
      <c r="H2443" s="305"/>
      <c r="I2443" s="305" t="s">
        <v>152</v>
      </c>
      <c r="J2443" s="305" t="s">
        <v>136</v>
      </c>
      <c r="K2443" s="305" t="s">
        <v>2129</v>
      </c>
    </row>
    <row r="2444" spans="1:11" x14ac:dyDescent="0.25">
      <c r="A2444" s="302" t="str">
        <f t="shared" si="61"/>
        <v>ENERGY STAR Griddle_0_CI_Preheats / day</v>
      </c>
      <c r="B2444" s="303" t="s">
        <v>231</v>
      </c>
      <c r="C2444" s="304">
        <v>0</v>
      </c>
      <c r="D2444" s="303" t="s">
        <v>1159</v>
      </c>
      <c r="E2444" s="305" t="s">
        <v>470</v>
      </c>
      <c r="F2444" s="309">
        <v>1</v>
      </c>
      <c r="G2444" s="306">
        <v>1</v>
      </c>
      <c r="H2444" s="305"/>
      <c r="I2444" s="305" t="s">
        <v>152</v>
      </c>
      <c r="J2444" s="305" t="s">
        <v>136</v>
      </c>
      <c r="K2444" s="305" t="s">
        <v>2129</v>
      </c>
    </row>
    <row r="2445" spans="1:11" x14ac:dyDescent="0.25">
      <c r="A2445" s="302" t="str">
        <f t="shared" si="61"/>
        <v>ENERGY STAR Griddle_0_CI_Preheat Time</v>
      </c>
      <c r="B2445" s="303" t="s">
        <v>231</v>
      </c>
      <c r="C2445" s="304">
        <v>0</v>
      </c>
      <c r="D2445" s="303" t="s">
        <v>1159</v>
      </c>
      <c r="E2445" s="305" t="s">
        <v>471</v>
      </c>
      <c r="F2445" s="309">
        <v>15</v>
      </c>
      <c r="G2445" s="306">
        <v>15</v>
      </c>
      <c r="H2445" s="305"/>
      <c r="I2445" s="305" t="s">
        <v>152</v>
      </c>
      <c r="J2445" s="305" t="s">
        <v>136</v>
      </c>
      <c r="K2445" s="305" t="s">
        <v>2129</v>
      </c>
    </row>
    <row r="2446" spans="1:11" x14ac:dyDescent="0.25">
      <c r="A2446" s="302" t="str">
        <f t="shared" si="61"/>
        <v>ENERGY STAR Griddle_0_CI_Preheat Energy Rate</v>
      </c>
      <c r="B2446" s="303" t="s">
        <v>231</v>
      </c>
      <c r="C2446" s="304">
        <v>0</v>
      </c>
      <c r="D2446" s="303" t="s">
        <v>1159</v>
      </c>
      <c r="E2446" s="305" t="s">
        <v>472</v>
      </c>
      <c r="F2446" s="309">
        <v>14000</v>
      </c>
      <c r="G2446" s="306">
        <v>10000</v>
      </c>
      <c r="H2446" s="305"/>
      <c r="I2446" s="305" t="s">
        <v>152</v>
      </c>
      <c r="J2446" s="305" t="s">
        <v>136</v>
      </c>
      <c r="K2446" s="305" t="s">
        <v>2129</v>
      </c>
    </row>
    <row r="2447" spans="1:11" x14ac:dyDescent="0.25">
      <c r="A2447" s="302" t="str">
        <f t="shared" si="61"/>
        <v>ENERGY STAR Griddle_0_CI_Idle Energy Usage</v>
      </c>
      <c r="B2447" s="303" t="s">
        <v>231</v>
      </c>
      <c r="C2447" s="304">
        <v>0</v>
      </c>
      <c r="D2447" s="303" t="s">
        <v>1159</v>
      </c>
      <c r="E2447" s="305" t="s">
        <v>465</v>
      </c>
      <c r="F2447" s="309">
        <f>(F2439*F2437*F2438*(F2435-F2440/(F2441*F2437*F2438))-(F2444*F2445/60))</f>
        <v>167999.75</v>
      </c>
      <c r="G2447" s="306">
        <f>(G2439*G2437*G2438*(G2435-G2440/(G2441*G2437*G2438))-(G2444*G2445/60))</f>
        <v>155466.41666666669</v>
      </c>
      <c r="H2447" s="309"/>
      <c r="I2447" s="305" t="s">
        <v>152</v>
      </c>
      <c r="J2447" s="305" t="s">
        <v>136</v>
      </c>
      <c r="K2447" s="305" t="s">
        <v>2129</v>
      </c>
    </row>
    <row r="2448" spans="1:11" x14ac:dyDescent="0.25">
      <c r="A2448" s="302" t="str">
        <f t="shared" si="61"/>
        <v>ENERGY STAR Griddle_0_CI_Cooking Energy Usage</v>
      </c>
      <c r="B2448" s="303" t="s">
        <v>231</v>
      </c>
      <c r="C2448" s="304">
        <v>0</v>
      </c>
      <c r="D2448" s="303" t="s">
        <v>1159</v>
      </c>
      <c r="E2448" s="305" t="s">
        <v>466</v>
      </c>
      <c r="F2448" s="392">
        <f>F2440*F2442/F2443</f>
        <v>148437.5</v>
      </c>
      <c r="G2448" s="339">
        <f>G2440*G2442/G2443</f>
        <v>125000</v>
      </c>
      <c r="H2448" s="309"/>
      <c r="I2448" s="305" t="s">
        <v>152</v>
      </c>
      <c r="J2448" s="305" t="s">
        <v>136</v>
      </c>
      <c r="K2448" s="305" t="s">
        <v>2129</v>
      </c>
    </row>
    <row r="2449" spans="1:11" x14ac:dyDescent="0.25">
      <c r="A2449" s="302" t="str">
        <f t="shared" si="61"/>
        <v>ENERGY STAR Griddle_0_CI_Preheat Energy Usage</v>
      </c>
      <c r="B2449" s="303" t="s">
        <v>231</v>
      </c>
      <c r="C2449" s="304">
        <v>0</v>
      </c>
      <c r="D2449" s="303" t="s">
        <v>1159</v>
      </c>
      <c r="E2449" s="305" t="s">
        <v>473</v>
      </c>
      <c r="F2449" s="309">
        <f>F2444*F2445/60*F2446*F2437*F2438</f>
        <v>21000</v>
      </c>
      <c r="G2449" s="306">
        <f>G2444*G2445/60*G2446*G2437*G2438</f>
        <v>15000</v>
      </c>
      <c r="H2449" s="309"/>
      <c r="I2449" s="305" t="s">
        <v>152</v>
      </c>
      <c r="J2449" s="305" t="s">
        <v>136</v>
      </c>
      <c r="K2449" s="305" t="s">
        <v>2129</v>
      </c>
    </row>
    <row r="2450" spans="1:11" x14ac:dyDescent="0.25">
      <c r="A2450" s="302" t="str">
        <f t="shared" si="61"/>
        <v>ENERGY STAR Griddle_0_CI_Therm Saved per Unit</v>
      </c>
      <c r="B2450" s="303" t="s">
        <v>231</v>
      </c>
      <c r="C2450" s="304">
        <v>0</v>
      </c>
      <c r="D2450" s="303" t="s">
        <v>1159</v>
      </c>
      <c r="E2450" s="314" t="s">
        <v>326</v>
      </c>
      <c r="F2450" s="326"/>
      <c r="G2450" s="315">
        <f>((F2447+F2448+F2449)-(G2447+G2448+G2449))*G2436/100000</f>
        <v>153.29846874999993</v>
      </c>
      <c r="H2450" s="305"/>
      <c r="I2450" s="305" t="s">
        <v>152</v>
      </c>
      <c r="J2450" s="305" t="s">
        <v>136</v>
      </c>
      <c r="K2450" s="305" t="s">
        <v>2129</v>
      </c>
    </row>
    <row r="2451" spans="1:11" x14ac:dyDescent="0.25">
      <c r="A2451" s="302" t="str">
        <f t="shared" si="61"/>
        <v>ENERGY STAR Griddle_0_CI_Lifetime (years)</v>
      </c>
      <c r="B2451" s="303" t="s">
        <v>231</v>
      </c>
      <c r="C2451" s="304">
        <v>0</v>
      </c>
      <c r="D2451" s="303" t="s">
        <v>1159</v>
      </c>
      <c r="E2451" s="314" t="s">
        <v>259</v>
      </c>
      <c r="F2451" s="314"/>
      <c r="G2451" s="315">
        <v>12</v>
      </c>
      <c r="H2451" s="305"/>
      <c r="I2451" s="305" t="s">
        <v>152</v>
      </c>
      <c r="J2451" s="305" t="s">
        <v>136</v>
      </c>
      <c r="K2451" s="305" t="s">
        <v>2129</v>
      </c>
    </row>
    <row r="2452" spans="1:11" x14ac:dyDescent="0.25">
      <c r="A2452" s="302" t="str">
        <f t="shared" si="61"/>
        <v>ENERGY STAR Griddle_0_CI_Incremental Cost</v>
      </c>
      <c r="B2452" s="303" t="s">
        <v>231</v>
      </c>
      <c r="C2452" s="304">
        <v>0</v>
      </c>
      <c r="D2452" s="303" t="s">
        <v>1159</v>
      </c>
      <c r="E2452" s="314" t="s">
        <v>260</v>
      </c>
      <c r="F2452" s="314"/>
      <c r="G2452" s="328">
        <v>60</v>
      </c>
      <c r="H2452" s="305"/>
      <c r="I2452" s="305" t="s">
        <v>152</v>
      </c>
      <c r="J2452" s="305" t="s">
        <v>136</v>
      </c>
      <c r="K2452" s="305" t="s">
        <v>2129</v>
      </c>
    </row>
    <row r="2453" spans="1:11" s="324" customFormat="1" x14ac:dyDescent="0.25">
      <c r="A2453" s="317" t="str">
        <f t="shared" si="61"/>
        <v>ENERGY STAR Griddle_0_CI_</v>
      </c>
      <c r="B2453" s="317" t="str">
        <f>B2452</f>
        <v>ENERGY STAR Griddle</v>
      </c>
      <c r="C2453" s="317">
        <f>C2452</f>
        <v>0</v>
      </c>
      <c r="D2453" s="317" t="str">
        <f>D2452</f>
        <v>CI</v>
      </c>
      <c r="E2453" s="317"/>
      <c r="F2453" s="317"/>
      <c r="G2453" s="323"/>
      <c r="H2453" s="320"/>
      <c r="I2453" s="320"/>
      <c r="J2453" s="317"/>
      <c r="K2453" s="317"/>
    </row>
    <row r="2454" spans="1:11" x14ac:dyDescent="0.25">
      <c r="A2454" s="302" t="str">
        <f t="shared" si="61"/>
        <v>Energy Star Convection Oven_0_MF/CI/SMB_Average Daily Operation</v>
      </c>
      <c r="B2454" s="303" t="s">
        <v>1168</v>
      </c>
      <c r="C2454" s="304">
        <v>0</v>
      </c>
      <c r="D2454" s="303" t="s">
        <v>662</v>
      </c>
      <c r="E2454" s="305" t="s">
        <v>1169</v>
      </c>
      <c r="F2454" s="309" t="s">
        <v>618</v>
      </c>
      <c r="G2454" s="306">
        <v>12</v>
      </c>
      <c r="H2454" s="305" t="s">
        <v>376</v>
      </c>
      <c r="I2454" s="305" t="s">
        <v>152</v>
      </c>
      <c r="J2454" s="305" t="s">
        <v>520</v>
      </c>
      <c r="K2454" s="305" t="s">
        <v>2122</v>
      </c>
    </row>
    <row r="2455" spans="1:11" x14ac:dyDescent="0.25">
      <c r="A2455" s="302" t="str">
        <f t="shared" si="61"/>
        <v>Energy Star Convection Oven_0_MF/CI/SMB_Days per Year</v>
      </c>
      <c r="B2455" s="303" t="s">
        <v>1168</v>
      </c>
      <c r="C2455" s="304">
        <v>0</v>
      </c>
      <c r="D2455" s="303" t="s">
        <v>662</v>
      </c>
      <c r="E2455" s="305" t="s">
        <v>263</v>
      </c>
      <c r="F2455" s="309" t="s">
        <v>871</v>
      </c>
      <c r="G2455" s="306">
        <v>365.25</v>
      </c>
      <c r="H2455" s="305" t="s">
        <v>376</v>
      </c>
      <c r="I2455" s="305" t="s">
        <v>152</v>
      </c>
      <c r="J2455" s="305" t="s">
        <v>520</v>
      </c>
      <c r="K2455" s="305" t="s">
        <v>2122</v>
      </c>
    </row>
    <row r="2456" spans="1:11" x14ac:dyDescent="0.25">
      <c r="A2456" s="302" t="str">
        <f t="shared" si="61"/>
        <v>Energy Star Convection Oven_0_MF/CI/SMB_LB</v>
      </c>
      <c r="B2456" s="303" t="s">
        <v>1168</v>
      </c>
      <c r="C2456" s="304">
        <v>0</v>
      </c>
      <c r="D2456" s="303" t="s">
        <v>662</v>
      </c>
      <c r="E2456" s="305" t="s">
        <v>459</v>
      </c>
      <c r="F2456" s="309" t="s">
        <v>1170</v>
      </c>
      <c r="G2456" s="306">
        <v>100</v>
      </c>
      <c r="H2456" s="305" t="s">
        <v>376</v>
      </c>
      <c r="I2456" s="305" t="s">
        <v>152</v>
      </c>
      <c r="J2456" s="305" t="s">
        <v>520</v>
      </c>
      <c r="K2456" s="305" t="s">
        <v>2122</v>
      </c>
    </row>
    <row r="2457" spans="1:11" x14ac:dyDescent="0.25">
      <c r="A2457" s="302" t="str">
        <f t="shared" si="61"/>
        <v>Energy Star Convection Oven_0_MF/CI/SMB_Eff_ENERGY STAR</v>
      </c>
      <c r="B2457" s="303" t="s">
        <v>1168</v>
      </c>
      <c r="C2457" s="304">
        <v>0</v>
      </c>
      <c r="D2457" s="303" t="s">
        <v>662</v>
      </c>
      <c r="E2457" s="305" t="s">
        <v>1171</v>
      </c>
      <c r="F2457" s="309" t="s">
        <v>539</v>
      </c>
      <c r="G2457" s="375">
        <v>0.52</v>
      </c>
      <c r="H2457" s="305" t="s">
        <v>376</v>
      </c>
      <c r="I2457" s="305" t="s">
        <v>152</v>
      </c>
      <c r="J2457" s="305" t="s">
        <v>520</v>
      </c>
      <c r="K2457" s="305" t="s">
        <v>2122</v>
      </c>
    </row>
    <row r="2458" spans="1:11" x14ac:dyDescent="0.25">
      <c r="A2458" s="302" t="str">
        <f t="shared" si="61"/>
        <v>Energy Star Convection Oven_0_MF/CI/SMB_Eff_Base</v>
      </c>
      <c r="B2458" s="303" t="s">
        <v>1168</v>
      </c>
      <c r="C2458" s="304">
        <v>0</v>
      </c>
      <c r="D2458" s="303" t="s">
        <v>662</v>
      </c>
      <c r="E2458" s="305" t="s">
        <v>1172</v>
      </c>
      <c r="F2458" s="309" t="s">
        <v>539</v>
      </c>
      <c r="G2458" s="375">
        <v>0.47</v>
      </c>
      <c r="H2458" s="311" t="s">
        <v>2624</v>
      </c>
      <c r="I2458" s="305" t="s">
        <v>152</v>
      </c>
      <c r="J2458" s="305" t="s">
        <v>520</v>
      </c>
      <c r="K2458" s="305" t="s">
        <v>2122</v>
      </c>
    </row>
    <row r="2459" spans="1:11" x14ac:dyDescent="0.25">
      <c r="A2459" s="302" t="str">
        <f t="shared" si="61"/>
        <v>Energy Star Convection Oven_0_MF/CI/SMB_ENERGY STAR Production Capacity</v>
      </c>
      <c r="B2459" s="303" t="s">
        <v>1168</v>
      </c>
      <c r="C2459" s="304">
        <v>0</v>
      </c>
      <c r="D2459" s="303" t="s">
        <v>662</v>
      </c>
      <c r="E2459" s="305" t="s">
        <v>1173</v>
      </c>
      <c r="F2459" s="309" t="s">
        <v>1170</v>
      </c>
      <c r="G2459" s="375">
        <v>90</v>
      </c>
      <c r="H2459" s="305" t="s">
        <v>376</v>
      </c>
      <c r="I2459" s="305" t="s">
        <v>152</v>
      </c>
      <c r="J2459" s="305" t="s">
        <v>520</v>
      </c>
      <c r="K2459" s="305" t="s">
        <v>2122</v>
      </c>
    </row>
    <row r="2460" spans="1:11" x14ac:dyDescent="0.25">
      <c r="A2460" s="302" t="str">
        <f t="shared" si="61"/>
        <v>Energy Star Convection Oven_0_MF/CI/SMB_Base Production Capacity</v>
      </c>
      <c r="B2460" s="303" t="s">
        <v>1168</v>
      </c>
      <c r="C2460" s="304">
        <v>0</v>
      </c>
      <c r="D2460" s="303" t="s">
        <v>662</v>
      </c>
      <c r="E2460" s="305" t="s">
        <v>1174</v>
      </c>
      <c r="F2460" s="309" t="s">
        <v>1170</v>
      </c>
      <c r="G2460" s="375">
        <v>93</v>
      </c>
      <c r="H2460" s="305" t="s">
        <v>376</v>
      </c>
      <c r="I2460" s="305" t="s">
        <v>152</v>
      </c>
      <c r="J2460" s="305" t="s">
        <v>520</v>
      </c>
      <c r="K2460" s="305" t="s">
        <v>2122</v>
      </c>
    </row>
    <row r="2461" spans="1:11" x14ac:dyDescent="0.25">
      <c r="A2461" s="302" t="str">
        <f t="shared" si="61"/>
        <v>Energy Star Convection Oven_0_MF/CI/SMB_IdleENERGYSTAR</v>
      </c>
      <c r="B2461" s="303" t="s">
        <v>1168</v>
      </c>
      <c r="C2461" s="304">
        <v>0</v>
      </c>
      <c r="D2461" s="303" t="s">
        <v>662</v>
      </c>
      <c r="E2461" s="305" t="s">
        <v>1175</v>
      </c>
      <c r="F2461" s="309" t="s">
        <v>743</v>
      </c>
      <c r="G2461" s="375">
        <v>8027</v>
      </c>
      <c r="H2461" s="305" t="s">
        <v>376</v>
      </c>
      <c r="I2461" s="305" t="s">
        <v>152</v>
      </c>
      <c r="J2461" s="305" t="s">
        <v>520</v>
      </c>
      <c r="K2461" s="305" t="s">
        <v>2122</v>
      </c>
    </row>
    <row r="2462" spans="1:11" x14ac:dyDescent="0.25">
      <c r="A2462" s="302" t="str">
        <f t="shared" ref="A2462:A2535" si="67">B2462&amp;"_"&amp;C2462&amp;"_"&amp;D2462&amp;"_"&amp;E2462</f>
        <v>Energy Star Convection Oven_0_MF/CI/SMB_IdleBase</v>
      </c>
      <c r="B2462" s="303" t="s">
        <v>1168</v>
      </c>
      <c r="C2462" s="304">
        <v>0</v>
      </c>
      <c r="D2462" s="303" t="s">
        <v>662</v>
      </c>
      <c r="E2462" s="305" t="s">
        <v>1176</v>
      </c>
      <c r="F2462" s="309" t="s">
        <v>743</v>
      </c>
      <c r="G2462" s="375">
        <v>12239</v>
      </c>
      <c r="H2462" s="311" t="s">
        <v>2624</v>
      </c>
      <c r="I2462" s="305" t="s">
        <v>152</v>
      </c>
      <c r="J2462" s="305" t="s">
        <v>520</v>
      </c>
      <c r="K2462" s="305" t="s">
        <v>2122</v>
      </c>
    </row>
    <row r="2463" spans="1:11" x14ac:dyDescent="0.25">
      <c r="A2463" s="302" t="str">
        <f t="shared" si="67"/>
        <v>Energy Star Convection Oven_0_MF/CI/SMB_IdleENERGYSTARTime</v>
      </c>
      <c r="B2463" s="303" t="s">
        <v>1168</v>
      </c>
      <c r="C2463" s="304">
        <v>0</v>
      </c>
      <c r="D2463" s="303" t="s">
        <v>662</v>
      </c>
      <c r="E2463" s="305" t="s">
        <v>1177</v>
      </c>
      <c r="F2463" s="309" t="s">
        <v>1178</v>
      </c>
      <c r="G2463" s="375">
        <v>10.7</v>
      </c>
      <c r="H2463" s="305"/>
      <c r="I2463" s="305" t="s">
        <v>152</v>
      </c>
      <c r="J2463" s="305" t="s">
        <v>520</v>
      </c>
      <c r="K2463" s="305" t="s">
        <v>2122</v>
      </c>
    </row>
    <row r="2464" spans="1:11" x14ac:dyDescent="0.25">
      <c r="A2464" s="302" t="str">
        <f t="shared" si="67"/>
        <v>Energy Star Convection Oven_0_MF/CI/SMB_IdleBaseTime</v>
      </c>
      <c r="B2464" s="303" t="s">
        <v>1168</v>
      </c>
      <c r="C2464" s="304">
        <v>0</v>
      </c>
      <c r="D2464" s="303" t="s">
        <v>662</v>
      </c>
      <c r="E2464" s="305" t="s">
        <v>1179</v>
      </c>
      <c r="F2464" s="309" t="s">
        <v>1178</v>
      </c>
      <c r="G2464" s="375">
        <v>10.7</v>
      </c>
      <c r="H2464" s="311" t="s">
        <v>2624</v>
      </c>
      <c r="I2464" s="305" t="s">
        <v>152</v>
      </c>
      <c r="J2464" s="305" t="s">
        <v>520</v>
      </c>
      <c r="K2464" s="305" t="s">
        <v>2122</v>
      </c>
    </row>
    <row r="2465" spans="1:11" x14ac:dyDescent="0.25">
      <c r="A2465" s="302" t="str">
        <f t="shared" si="67"/>
        <v>Energy Star Convection Oven_0_MF/CI/SMB_EFOOD</v>
      </c>
      <c r="B2465" s="303" t="s">
        <v>1168</v>
      </c>
      <c r="C2465" s="304">
        <v>0</v>
      </c>
      <c r="D2465" s="303" t="s">
        <v>662</v>
      </c>
      <c r="E2465" s="305" t="s">
        <v>443</v>
      </c>
      <c r="F2465" s="309" t="s">
        <v>1180</v>
      </c>
      <c r="G2465" s="306">
        <v>250</v>
      </c>
      <c r="H2465" s="305"/>
      <c r="I2465" s="305" t="s">
        <v>152</v>
      </c>
      <c r="J2465" s="305" t="s">
        <v>520</v>
      </c>
      <c r="K2465" s="305" t="s">
        <v>2122</v>
      </c>
    </row>
    <row r="2466" spans="1:11" x14ac:dyDescent="0.25">
      <c r="A2466" s="302" t="str">
        <f t="shared" si="67"/>
        <v>Energy Star Convection Oven_0_MF/CI/SMB_Delta_DailyIdleEnergy</v>
      </c>
      <c r="B2466" s="303" t="s">
        <v>1168</v>
      </c>
      <c r="C2466" s="304">
        <v>0</v>
      </c>
      <c r="D2466" s="303" t="s">
        <v>662</v>
      </c>
      <c r="E2466" s="305" t="s">
        <v>1181</v>
      </c>
      <c r="F2466" s="309"/>
      <c r="G2466" s="306">
        <f>(G2462*G2464)-(G2461*G2463)</f>
        <v>45068.399999999994</v>
      </c>
      <c r="H2466" s="305"/>
      <c r="I2466" s="305" t="s">
        <v>152</v>
      </c>
      <c r="J2466" s="305" t="s">
        <v>520</v>
      </c>
      <c r="K2466" s="305" t="s">
        <v>2122</v>
      </c>
    </row>
    <row r="2467" spans="1:11" x14ac:dyDescent="0.25">
      <c r="A2467" s="302" t="str">
        <f t="shared" si="67"/>
        <v>Energy Star Convection Oven_0_MF/CI/SMB_Delta_DailyCookingEnergy</v>
      </c>
      <c r="B2467" s="303" t="s">
        <v>1168</v>
      </c>
      <c r="C2467" s="304">
        <v>0</v>
      </c>
      <c r="D2467" s="303" t="s">
        <v>662</v>
      </c>
      <c r="E2467" s="305" t="s">
        <v>1182</v>
      </c>
      <c r="F2467" s="309"/>
      <c r="G2467" s="306">
        <f>(G2456*G2465/G2458)-(G2456*G2465/G2457)</f>
        <v>5114.5662847790518</v>
      </c>
      <c r="H2467" s="305"/>
      <c r="I2467" s="305" t="s">
        <v>152</v>
      </c>
      <c r="J2467" s="305" t="s">
        <v>520</v>
      </c>
      <c r="K2467" s="305" t="s">
        <v>2122</v>
      </c>
    </row>
    <row r="2468" spans="1:11" x14ac:dyDescent="0.25">
      <c r="A2468" s="302" t="str">
        <f t="shared" ref="A2468:A2476" si="68">B2468&amp;"_"&amp;C2468&amp;"_"&amp;D2468&amp;"_"&amp;E2468</f>
        <v>Energy Star Convection Oven_0_MF/CI/SMB_Delta_DailyPreheat Energy</v>
      </c>
      <c r="B2468" s="303" t="s">
        <v>1168</v>
      </c>
      <c r="C2468" s="304">
        <v>0</v>
      </c>
      <c r="D2468" s="303" t="s">
        <v>662</v>
      </c>
      <c r="E2468" s="390" t="s">
        <v>2380</v>
      </c>
      <c r="F2468" s="334"/>
      <c r="G2468" s="310">
        <f>(G2469*(G2470/G2471)*G2472)-(G2473 * (G2474/G2475) * G2476)</f>
        <v>7133.3333333333339</v>
      </c>
      <c r="H2468" s="311" t="s">
        <v>2381</v>
      </c>
      <c r="I2468" s="305" t="s">
        <v>152</v>
      </c>
      <c r="J2468" s="305" t="s">
        <v>520</v>
      </c>
      <c r="K2468" s="305" t="s">
        <v>2122</v>
      </c>
    </row>
    <row r="2469" spans="1:11" x14ac:dyDescent="0.25">
      <c r="A2469" s="302" t="str">
        <f t="shared" si="68"/>
        <v>Energy Star Convection Oven_0_MF/CI/SMB_PreheatNumber</v>
      </c>
      <c r="B2469" s="303" t="s">
        <v>1168</v>
      </c>
      <c r="C2469" s="304">
        <v>0</v>
      </c>
      <c r="D2469" s="303" t="s">
        <v>662</v>
      </c>
      <c r="E2469" s="390" t="s">
        <v>2382</v>
      </c>
      <c r="F2469" s="334" t="s">
        <v>2383</v>
      </c>
      <c r="G2469" s="310">
        <v>1</v>
      </c>
      <c r="H2469" s="311" t="s">
        <v>2384</v>
      </c>
      <c r="I2469" s="305" t="s">
        <v>152</v>
      </c>
      <c r="J2469" s="305" t="s">
        <v>520</v>
      </c>
      <c r="K2469" s="305" t="s">
        <v>2122</v>
      </c>
    </row>
    <row r="2470" spans="1:11" x14ac:dyDescent="0.25">
      <c r="A2470" s="302" t="str">
        <f t="shared" si="68"/>
        <v>Energy Star Convection Oven_0_MF/CI/SMB_PreheatTimeBase</v>
      </c>
      <c r="B2470" s="303" t="s">
        <v>1168</v>
      </c>
      <c r="C2470" s="304">
        <v>0</v>
      </c>
      <c r="D2470" s="303" t="s">
        <v>662</v>
      </c>
      <c r="E2470" s="390" t="s">
        <v>2385</v>
      </c>
      <c r="F2470" s="334" t="s">
        <v>2386</v>
      </c>
      <c r="G2470" s="310">
        <v>12</v>
      </c>
      <c r="H2470" s="311" t="s">
        <v>2387</v>
      </c>
      <c r="I2470" s="305" t="s">
        <v>152</v>
      </c>
      <c r="J2470" s="305" t="s">
        <v>520</v>
      </c>
      <c r="K2470" s="305" t="s">
        <v>2122</v>
      </c>
    </row>
    <row r="2471" spans="1:11" x14ac:dyDescent="0.25">
      <c r="A2471" s="302" t="str">
        <f t="shared" si="68"/>
        <v>Energy Star Convection Oven_0_MF/CI/SMB_60</v>
      </c>
      <c r="B2471" s="303" t="s">
        <v>1168</v>
      </c>
      <c r="C2471" s="304">
        <v>0</v>
      </c>
      <c r="D2471" s="303" t="s">
        <v>662</v>
      </c>
      <c r="E2471" s="390">
        <v>60</v>
      </c>
      <c r="F2471" s="334" t="s">
        <v>882</v>
      </c>
      <c r="G2471" s="310">
        <v>60</v>
      </c>
      <c r="H2471" s="311"/>
      <c r="I2471" s="305" t="s">
        <v>152</v>
      </c>
      <c r="J2471" s="305" t="s">
        <v>520</v>
      </c>
      <c r="K2471" s="305" t="s">
        <v>2122</v>
      </c>
    </row>
    <row r="2472" spans="1:11" x14ac:dyDescent="0.25">
      <c r="A2472" s="302" t="str">
        <f t="shared" si="68"/>
        <v>Energy Star Convection Oven_0_MF/CI/SMB_PreheatRateBase</v>
      </c>
      <c r="B2472" s="303" t="s">
        <v>1168</v>
      </c>
      <c r="C2472" s="304">
        <v>0</v>
      </c>
      <c r="D2472" s="303" t="s">
        <v>662</v>
      </c>
      <c r="E2472" s="390" t="s">
        <v>2388</v>
      </c>
      <c r="F2472" s="334" t="s">
        <v>2389</v>
      </c>
      <c r="G2472" s="310">
        <v>76000</v>
      </c>
      <c r="H2472" s="311" t="s">
        <v>2387</v>
      </c>
      <c r="I2472" s="305" t="s">
        <v>152</v>
      </c>
      <c r="J2472" s="305" t="s">
        <v>520</v>
      </c>
      <c r="K2472" s="305" t="s">
        <v>2122</v>
      </c>
    </row>
    <row r="2473" spans="1:11" x14ac:dyDescent="0.25">
      <c r="A2473" s="302" t="str">
        <f t="shared" si="68"/>
        <v>Energy Star Convection Oven_0_MF/CI/SMB_PreheatNumber</v>
      </c>
      <c r="B2473" s="303" t="s">
        <v>1168</v>
      </c>
      <c r="C2473" s="304">
        <v>0</v>
      </c>
      <c r="D2473" s="303" t="s">
        <v>662</v>
      </c>
      <c r="E2473" s="390" t="s">
        <v>2382</v>
      </c>
      <c r="F2473" s="334" t="str">
        <f>F2469</f>
        <v>preheats/day</v>
      </c>
      <c r="G2473" s="310">
        <v>1</v>
      </c>
      <c r="H2473" s="311" t="str">
        <f>H2469</f>
        <v>unknown</v>
      </c>
      <c r="I2473" s="305" t="s">
        <v>152</v>
      </c>
      <c r="J2473" s="305" t="s">
        <v>520</v>
      </c>
      <c r="K2473" s="305" t="s">
        <v>2122</v>
      </c>
    </row>
    <row r="2474" spans="1:11" x14ac:dyDescent="0.25">
      <c r="A2474" s="302" t="str">
        <f t="shared" si="68"/>
        <v>Energy Star Convection Oven_0_MF/CI/SMB_PreheatTimeENERGYSTAR</v>
      </c>
      <c r="B2474" s="303" t="s">
        <v>1168</v>
      </c>
      <c r="C2474" s="304">
        <v>0</v>
      </c>
      <c r="D2474" s="303" t="s">
        <v>662</v>
      </c>
      <c r="E2474" s="390" t="s">
        <v>2390</v>
      </c>
      <c r="F2474" s="334" t="s">
        <v>2386</v>
      </c>
      <c r="G2474" s="310">
        <v>11</v>
      </c>
      <c r="H2474" s="311" t="s">
        <v>2387</v>
      </c>
      <c r="I2474" s="305" t="s">
        <v>152</v>
      </c>
      <c r="J2474" s="305" t="s">
        <v>520</v>
      </c>
      <c r="K2474" s="305" t="s">
        <v>2122</v>
      </c>
    </row>
    <row r="2475" spans="1:11" x14ac:dyDescent="0.25">
      <c r="A2475" s="302" t="str">
        <f t="shared" si="68"/>
        <v>Energy Star Convection Oven_0_MF/CI/SMB_60</v>
      </c>
      <c r="B2475" s="303" t="s">
        <v>1168</v>
      </c>
      <c r="C2475" s="304">
        <v>0</v>
      </c>
      <c r="D2475" s="303" t="s">
        <v>662</v>
      </c>
      <c r="E2475" s="390">
        <v>60</v>
      </c>
      <c r="F2475" s="334" t="str">
        <f>F2471</f>
        <v>min/hr</v>
      </c>
      <c r="G2475" s="310">
        <v>60</v>
      </c>
      <c r="H2475" s="311"/>
      <c r="I2475" s="305" t="s">
        <v>152</v>
      </c>
      <c r="J2475" s="305" t="s">
        <v>520</v>
      </c>
      <c r="K2475" s="305" t="s">
        <v>2122</v>
      </c>
    </row>
    <row r="2476" spans="1:11" x14ac:dyDescent="0.25">
      <c r="A2476" s="302" t="str">
        <f t="shared" si="68"/>
        <v>Energy Star Convection Oven_0_MF/CI/SMB_PreheatRateENERGYSTAR</v>
      </c>
      <c r="B2476" s="303" t="s">
        <v>1168</v>
      </c>
      <c r="C2476" s="304">
        <v>0</v>
      </c>
      <c r="D2476" s="303" t="s">
        <v>662</v>
      </c>
      <c r="E2476" s="390" t="s">
        <v>2391</v>
      </c>
      <c r="F2476" s="334" t="s">
        <v>2389</v>
      </c>
      <c r="G2476" s="310">
        <v>44000</v>
      </c>
      <c r="H2476" s="311" t="s">
        <v>2387</v>
      </c>
      <c r="I2476" s="305" t="s">
        <v>152</v>
      </c>
      <c r="J2476" s="305" t="s">
        <v>520</v>
      </c>
      <c r="K2476" s="305" t="s">
        <v>2122</v>
      </c>
    </row>
    <row r="2477" spans="1:11" x14ac:dyDescent="0.25">
      <c r="A2477" s="302" t="str">
        <f t="shared" si="67"/>
        <v>Energy Star Convection Oven_0_MF/CI/SMB_Therm Saved per Unit</v>
      </c>
      <c r="B2477" s="303" t="s">
        <v>1168</v>
      </c>
      <c r="C2477" s="304">
        <v>0</v>
      </c>
      <c r="D2477" s="303" t="s">
        <v>662</v>
      </c>
      <c r="E2477" s="311" t="s">
        <v>326</v>
      </c>
      <c r="F2477" s="311"/>
      <c r="G2477" s="310">
        <f>(G2466+G2467+G2468)*G2455/100000</f>
        <v>209.34778435515548</v>
      </c>
      <c r="H2477" s="311"/>
      <c r="I2477" s="305" t="s">
        <v>152</v>
      </c>
      <c r="J2477" s="305" t="s">
        <v>520</v>
      </c>
      <c r="K2477" s="305" t="s">
        <v>2122</v>
      </c>
    </row>
    <row r="2478" spans="1:11" x14ac:dyDescent="0.25">
      <c r="A2478" s="302" t="str">
        <f t="shared" si="67"/>
        <v>Energy Star Convection Oven_0_MF/CI/SMB_Lifetime (years)</v>
      </c>
      <c r="B2478" s="303" t="s">
        <v>1168</v>
      </c>
      <c r="C2478" s="304">
        <v>0</v>
      </c>
      <c r="D2478" s="303" t="s">
        <v>662</v>
      </c>
      <c r="E2478" s="314" t="s">
        <v>259</v>
      </c>
      <c r="F2478" s="314" t="s">
        <v>548</v>
      </c>
      <c r="G2478" s="315">
        <v>12</v>
      </c>
      <c r="H2478" s="305"/>
      <c r="I2478" s="305" t="s">
        <v>152</v>
      </c>
      <c r="J2478" s="305" t="s">
        <v>520</v>
      </c>
      <c r="K2478" s="305" t="s">
        <v>2122</v>
      </c>
    </row>
    <row r="2479" spans="1:11" x14ac:dyDescent="0.25">
      <c r="A2479" s="302" t="str">
        <f t="shared" si="67"/>
        <v>Energy Star Convection Oven_0_MF/CI/SMB_Incremental Cost</v>
      </c>
      <c r="B2479" s="303" t="s">
        <v>1168</v>
      </c>
      <c r="C2479" s="304">
        <v>0</v>
      </c>
      <c r="D2479" s="303" t="s">
        <v>662</v>
      </c>
      <c r="E2479" s="314" t="s">
        <v>260</v>
      </c>
      <c r="F2479" s="314" t="s">
        <v>949</v>
      </c>
      <c r="G2479" s="328">
        <v>50</v>
      </c>
      <c r="H2479" s="305"/>
      <c r="I2479" s="305" t="s">
        <v>152</v>
      </c>
      <c r="J2479" s="305" t="s">
        <v>520</v>
      </c>
      <c r="K2479" s="305" t="s">
        <v>2122</v>
      </c>
    </row>
    <row r="2480" spans="1:11" s="324" customFormat="1" x14ac:dyDescent="0.25">
      <c r="A2480" s="317" t="str">
        <f t="shared" si="67"/>
        <v>Energy Star Convection Oven_0_MF/CI/SMB_</v>
      </c>
      <c r="B2480" s="317" t="str">
        <f>B2479</f>
        <v>Energy Star Convection Oven</v>
      </c>
      <c r="C2480" s="317">
        <f>C2479</f>
        <v>0</v>
      </c>
      <c r="D2480" s="317" t="str">
        <f>D2479</f>
        <v>MF/CI/SMB</v>
      </c>
      <c r="E2480" s="317"/>
      <c r="F2480" s="317"/>
      <c r="G2480" s="323"/>
      <c r="H2480" s="320"/>
      <c r="I2480" s="320"/>
      <c r="J2480" s="317"/>
      <c r="K2480" s="317"/>
    </row>
    <row r="2481" spans="1:11" x14ac:dyDescent="0.25">
      <c r="A2481" s="302" t="str">
        <f t="shared" si="67"/>
        <v>Programmable Thermostat_0_CI_kBtu/hrheat</v>
      </c>
      <c r="B2481" s="303" t="s">
        <v>224</v>
      </c>
      <c r="C2481" s="304">
        <v>0</v>
      </c>
      <c r="D2481" s="303" t="s">
        <v>1159</v>
      </c>
      <c r="E2481" s="305" t="s">
        <v>414</v>
      </c>
      <c r="F2481" s="309"/>
      <c r="G2481" s="306">
        <v>0</v>
      </c>
      <c r="H2481" s="305" t="s">
        <v>422</v>
      </c>
      <c r="I2481" s="305" t="s">
        <v>152</v>
      </c>
      <c r="J2481" s="305" t="s">
        <v>236</v>
      </c>
      <c r="K2481" s="305" t="s">
        <v>2179</v>
      </c>
    </row>
    <row r="2482" spans="1:11" x14ac:dyDescent="0.25">
      <c r="A2482" s="302" t="str">
        <f t="shared" si="67"/>
        <v>Programmable Thermostat_0_CI_HSPF</v>
      </c>
      <c r="B2482" s="303" t="s">
        <v>224</v>
      </c>
      <c r="C2482" s="304">
        <v>0</v>
      </c>
      <c r="D2482" s="303" t="s">
        <v>1159</v>
      </c>
      <c r="E2482" s="305" t="s">
        <v>423</v>
      </c>
      <c r="F2482" s="309"/>
      <c r="G2482" s="306">
        <v>8.1999999999999993</v>
      </c>
      <c r="H2482" s="305"/>
      <c r="I2482" s="305" t="s">
        <v>152</v>
      </c>
      <c r="J2482" s="305" t="s">
        <v>236</v>
      </c>
      <c r="K2482" s="305" t="s">
        <v>2179</v>
      </c>
    </row>
    <row r="2483" spans="1:11" x14ac:dyDescent="0.25">
      <c r="A2483" s="302" t="str">
        <f t="shared" si="67"/>
        <v>Programmable Thermostat_0_CI_EFLH Heat</v>
      </c>
      <c r="B2483" s="303" t="s">
        <v>224</v>
      </c>
      <c r="C2483" s="304">
        <v>0</v>
      </c>
      <c r="D2483" s="303" t="s">
        <v>1159</v>
      </c>
      <c r="E2483" s="305" t="s">
        <v>1184</v>
      </c>
      <c r="F2483" s="305" t="s">
        <v>283</v>
      </c>
      <c r="G2483" s="325">
        <v>1678</v>
      </c>
      <c r="H2483" s="305" t="s">
        <v>747</v>
      </c>
      <c r="I2483" s="305" t="s">
        <v>152</v>
      </c>
      <c r="J2483" s="305" t="s">
        <v>236</v>
      </c>
      <c r="K2483" s="305" t="s">
        <v>2179</v>
      </c>
    </row>
    <row r="2484" spans="1:11" x14ac:dyDescent="0.25">
      <c r="A2484" s="302" t="str">
        <f t="shared" si="67"/>
        <v>Programmable Thermostat_0_CI_Heating_Reduction</v>
      </c>
      <c r="B2484" s="303" t="s">
        <v>224</v>
      </c>
      <c r="C2484" s="304">
        <v>0</v>
      </c>
      <c r="D2484" s="303" t="s">
        <v>1159</v>
      </c>
      <c r="E2484" s="305" t="s">
        <v>424</v>
      </c>
      <c r="F2484" s="309" t="s">
        <v>539</v>
      </c>
      <c r="G2484" s="393">
        <v>8.7999999999999995E-2</v>
      </c>
      <c r="H2484" s="305"/>
      <c r="I2484" s="305" t="s">
        <v>152</v>
      </c>
      <c r="J2484" s="305" t="s">
        <v>236</v>
      </c>
      <c r="K2484" s="305" t="s">
        <v>2179</v>
      </c>
    </row>
    <row r="2485" spans="1:11" x14ac:dyDescent="0.25">
      <c r="A2485" s="302" t="str">
        <f t="shared" si="67"/>
        <v>Programmable Thermostat_0_CI_Delta_Therms</v>
      </c>
      <c r="B2485" s="303" t="s">
        <v>224</v>
      </c>
      <c r="C2485" s="304">
        <v>0</v>
      </c>
      <c r="D2485" s="303" t="s">
        <v>1159</v>
      </c>
      <c r="E2485" s="305" t="s">
        <v>386</v>
      </c>
      <c r="F2485" s="309" t="s">
        <v>564</v>
      </c>
      <c r="G2485" s="306">
        <f>G2507</f>
        <v>200.26929999999999</v>
      </c>
      <c r="H2485" s="305"/>
      <c r="I2485" s="305" t="s">
        <v>152</v>
      </c>
      <c r="J2485" s="305" t="s">
        <v>236</v>
      </c>
      <c r="K2485" s="305" t="s">
        <v>2179</v>
      </c>
    </row>
    <row r="2486" spans="1:11" x14ac:dyDescent="0.25">
      <c r="A2486" s="302" t="str">
        <f t="shared" si="67"/>
        <v>Programmable Thermostat_0_CI_Fe</v>
      </c>
      <c r="B2486" s="303" t="s">
        <v>224</v>
      </c>
      <c r="C2486" s="304">
        <v>0</v>
      </c>
      <c r="D2486" s="303" t="s">
        <v>1159</v>
      </c>
      <c r="E2486" s="305" t="s">
        <v>425</v>
      </c>
      <c r="F2486" s="309" t="s">
        <v>539</v>
      </c>
      <c r="G2486" s="306">
        <v>3.1399999999999997E-2</v>
      </c>
      <c r="H2486" s="305"/>
      <c r="I2486" s="305" t="s">
        <v>152</v>
      </c>
      <c r="J2486" s="305" t="s">
        <v>236</v>
      </c>
      <c r="K2486" s="305" t="s">
        <v>2179</v>
      </c>
    </row>
    <row r="2487" spans="1:11" x14ac:dyDescent="0.25">
      <c r="A2487" s="302" t="str">
        <f t="shared" si="67"/>
        <v>Programmable Thermostat_0_CI_Conversion</v>
      </c>
      <c r="B2487" s="303" t="s">
        <v>224</v>
      </c>
      <c r="C2487" s="304">
        <v>0</v>
      </c>
      <c r="D2487" s="303" t="s">
        <v>1159</v>
      </c>
      <c r="E2487" s="305" t="s">
        <v>284</v>
      </c>
      <c r="F2487" s="309" t="s">
        <v>611</v>
      </c>
      <c r="G2487" s="306">
        <v>29.3</v>
      </c>
      <c r="H2487" s="305"/>
      <c r="I2487" s="305" t="s">
        <v>152</v>
      </c>
      <c r="J2487" s="305" t="s">
        <v>236</v>
      </c>
      <c r="K2487" s="305" t="s">
        <v>2179</v>
      </c>
    </row>
    <row r="2488" spans="1:11" x14ac:dyDescent="0.25">
      <c r="A2488" s="302" t="str">
        <f t="shared" si="67"/>
        <v>Programmable Thermostat_0_CI_Delta_kWh_heating</v>
      </c>
      <c r="B2488" s="303" t="s">
        <v>224</v>
      </c>
      <c r="C2488" s="304">
        <v>0</v>
      </c>
      <c r="D2488" s="303" t="s">
        <v>1159</v>
      </c>
      <c r="E2488" s="305" t="s">
        <v>426</v>
      </c>
      <c r="F2488" s="309"/>
      <c r="G2488" s="306">
        <f xml:space="preserve"> (G2481 * 1/G2482 * G2483 * G2484) + (G2485 * G2486 * G2487)</f>
        <v>184.25176138599997</v>
      </c>
      <c r="H2488" s="305"/>
      <c r="I2488" s="305" t="s">
        <v>152</v>
      </c>
      <c r="J2488" s="305" t="s">
        <v>236</v>
      </c>
      <c r="K2488" s="305" t="s">
        <v>2179</v>
      </c>
    </row>
    <row r="2489" spans="1:11" x14ac:dyDescent="0.25">
      <c r="A2489" s="302" t="str">
        <f t="shared" si="67"/>
        <v>Programmable Thermostat_0_CI_kBtu/hrcool</v>
      </c>
      <c r="B2489" s="303" t="s">
        <v>224</v>
      </c>
      <c r="C2489" s="304">
        <v>0</v>
      </c>
      <c r="D2489" s="303" t="s">
        <v>1159</v>
      </c>
      <c r="E2489" s="305" t="s">
        <v>413</v>
      </c>
      <c r="F2489" s="309"/>
      <c r="G2489" s="306">
        <v>100</v>
      </c>
      <c r="H2489" s="305"/>
      <c r="I2489" s="305" t="s">
        <v>152</v>
      </c>
      <c r="J2489" s="305" t="s">
        <v>236</v>
      </c>
      <c r="K2489" s="305" t="s">
        <v>2179</v>
      </c>
    </row>
    <row r="2490" spans="1:11" x14ac:dyDescent="0.25">
      <c r="A2490" s="302" t="str">
        <f t="shared" si="67"/>
        <v>Programmable Thermostat_0_CI_SEER</v>
      </c>
      <c r="B2490" s="303" t="s">
        <v>224</v>
      </c>
      <c r="C2490" s="304">
        <v>0</v>
      </c>
      <c r="D2490" s="303" t="s">
        <v>1159</v>
      </c>
      <c r="E2490" s="305" t="s">
        <v>271</v>
      </c>
      <c r="F2490" s="309"/>
      <c r="G2490" s="306">
        <v>14</v>
      </c>
      <c r="H2490" s="305"/>
      <c r="I2490" s="305" t="s">
        <v>152</v>
      </c>
      <c r="J2490" s="305" t="s">
        <v>236</v>
      </c>
      <c r="K2490" s="305" t="s">
        <v>2179</v>
      </c>
    </row>
    <row r="2491" spans="1:11" x14ac:dyDescent="0.25">
      <c r="A2491" s="302" t="str">
        <f t="shared" si="67"/>
        <v>Programmable Thermostat_0_CI_EFLH Cooling</v>
      </c>
      <c r="B2491" s="303" t="s">
        <v>224</v>
      </c>
      <c r="C2491" s="304">
        <v>0</v>
      </c>
      <c r="D2491" s="303" t="s">
        <v>1159</v>
      </c>
      <c r="E2491" s="305" t="s">
        <v>261</v>
      </c>
      <c r="F2491" s="309"/>
      <c r="G2491" s="339">
        <v>1019</v>
      </c>
      <c r="H2491" s="305" t="s">
        <v>747</v>
      </c>
      <c r="I2491" s="305" t="s">
        <v>152</v>
      </c>
      <c r="J2491" s="305" t="s">
        <v>236</v>
      </c>
      <c r="K2491" s="305" t="s">
        <v>2179</v>
      </c>
    </row>
    <row r="2492" spans="1:11" x14ac:dyDescent="0.25">
      <c r="A2492" s="302" t="str">
        <f t="shared" si="67"/>
        <v>Programmable Thermostat_0_CI_Cooling_Reduction</v>
      </c>
      <c r="B2492" s="303" t="s">
        <v>224</v>
      </c>
      <c r="C2492" s="304">
        <v>0</v>
      </c>
      <c r="D2492" s="303" t="s">
        <v>1159</v>
      </c>
      <c r="E2492" s="305" t="s">
        <v>427</v>
      </c>
      <c r="F2492" s="309"/>
      <c r="G2492" s="307">
        <v>0.17699999999999999</v>
      </c>
      <c r="H2492" s="305"/>
      <c r="I2492" s="305" t="s">
        <v>152</v>
      </c>
      <c r="J2492" s="305" t="s">
        <v>236</v>
      </c>
      <c r="K2492" s="305" t="s">
        <v>2179</v>
      </c>
    </row>
    <row r="2493" spans="1:11" x14ac:dyDescent="0.25">
      <c r="A2493" s="302" t="str">
        <f t="shared" si="67"/>
        <v>Programmable Thermostat_0_CI_Delta_kWh_cooling</v>
      </c>
      <c r="B2493" s="303" t="s">
        <v>224</v>
      </c>
      <c r="C2493" s="304">
        <v>0</v>
      </c>
      <c r="D2493" s="303" t="s">
        <v>1159</v>
      </c>
      <c r="E2493" s="305" t="s">
        <v>403</v>
      </c>
      <c r="F2493" s="309"/>
      <c r="G2493" s="306">
        <f xml:space="preserve"> G2489 * 1/G2490 * G2491 * G2492</f>
        <v>1288.3071428571429</v>
      </c>
      <c r="H2493" s="305"/>
      <c r="I2493" s="305" t="s">
        <v>152</v>
      </c>
      <c r="J2493" s="305" t="s">
        <v>236</v>
      </c>
      <c r="K2493" s="305" t="s">
        <v>2179</v>
      </c>
    </row>
    <row r="2494" spans="1:11" x14ac:dyDescent="0.25">
      <c r="A2494" s="302" t="str">
        <f t="shared" si="67"/>
        <v>Programmable Thermostat_0_CI_kBtu/hrcool</v>
      </c>
      <c r="B2494" s="303" t="s">
        <v>224</v>
      </c>
      <c r="C2494" s="304">
        <v>0</v>
      </c>
      <c r="D2494" s="303" t="s">
        <v>1159</v>
      </c>
      <c r="E2494" s="305" t="s">
        <v>413</v>
      </c>
      <c r="F2494" s="309"/>
      <c r="G2494" s="306">
        <v>150</v>
      </c>
      <c r="H2494" s="305"/>
      <c r="I2494" s="305" t="s">
        <v>152</v>
      </c>
      <c r="J2494" s="305" t="s">
        <v>236</v>
      </c>
      <c r="K2494" s="305" t="s">
        <v>2179</v>
      </c>
    </row>
    <row r="2495" spans="1:11" x14ac:dyDescent="0.25">
      <c r="A2495" s="302" t="str">
        <f t="shared" si="67"/>
        <v>Programmable Thermostat_0_CI_EER</v>
      </c>
      <c r="B2495" s="303" t="s">
        <v>224</v>
      </c>
      <c r="C2495" s="304">
        <v>0</v>
      </c>
      <c r="D2495" s="303" t="s">
        <v>1159</v>
      </c>
      <c r="E2495" s="305" t="s">
        <v>272</v>
      </c>
      <c r="F2495" s="309"/>
      <c r="G2495" s="306">
        <v>11.119800000000001</v>
      </c>
      <c r="H2495" s="305"/>
      <c r="I2495" s="305" t="s">
        <v>152</v>
      </c>
      <c r="J2495" s="305" t="s">
        <v>236</v>
      </c>
      <c r="K2495" s="305" t="s">
        <v>2179</v>
      </c>
    </row>
    <row r="2496" spans="1:11" x14ac:dyDescent="0.25">
      <c r="A2496" s="302" t="str">
        <f t="shared" si="67"/>
        <v>Programmable Thermostat_0_CI_Cooling_Reduction</v>
      </c>
      <c r="B2496" s="303" t="s">
        <v>224</v>
      </c>
      <c r="C2496" s="304">
        <v>0</v>
      </c>
      <c r="D2496" s="303" t="s">
        <v>1159</v>
      </c>
      <c r="E2496" s="305" t="s">
        <v>427</v>
      </c>
      <c r="F2496" s="309"/>
      <c r="G2496" s="306">
        <v>0.08</v>
      </c>
      <c r="H2496" s="305"/>
      <c r="I2496" s="305" t="s">
        <v>152</v>
      </c>
      <c r="J2496" s="305" t="s">
        <v>236</v>
      </c>
      <c r="K2496" s="305" t="s">
        <v>2179</v>
      </c>
    </row>
    <row r="2497" spans="1:11" x14ac:dyDescent="0.25">
      <c r="A2497" s="302" t="str">
        <f t="shared" si="67"/>
        <v>Programmable Thermostat_0_CI_CF</v>
      </c>
      <c r="B2497" s="303" t="s">
        <v>224</v>
      </c>
      <c r="C2497" s="304">
        <v>0</v>
      </c>
      <c r="D2497" s="303" t="s">
        <v>1159</v>
      </c>
      <c r="E2497" s="305" t="s">
        <v>253</v>
      </c>
      <c r="F2497" s="309"/>
      <c r="G2497" s="306">
        <v>0.45700000000000002</v>
      </c>
      <c r="H2497" s="305"/>
      <c r="I2497" s="305" t="s">
        <v>152</v>
      </c>
      <c r="J2497" s="305" t="s">
        <v>236</v>
      </c>
      <c r="K2497" s="305" t="s">
        <v>2179</v>
      </c>
    </row>
    <row r="2498" spans="1:11" x14ac:dyDescent="0.25">
      <c r="A2498" s="302" t="str">
        <f t="shared" si="67"/>
        <v>Programmable Thermostat_0_CI_EFLH Heat</v>
      </c>
      <c r="B2498" s="303" t="s">
        <v>224</v>
      </c>
      <c r="C2498" s="304">
        <v>0</v>
      </c>
      <c r="D2498" s="303" t="s">
        <v>1159</v>
      </c>
      <c r="E2498" s="305" t="s">
        <v>1184</v>
      </c>
      <c r="F2498" s="305" t="s">
        <v>283</v>
      </c>
      <c r="G2498" s="325">
        <v>1678</v>
      </c>
      <c r="H2498" s="305" t="s">
        <v>747</v>
      </c>
      <c r="I2498" s="305" t="s">
        <v>152</v>
      </c>
      <c r="J2498" s="305" t="s">
        <v>236</v>
      </c>
      <c r="K2498" s="305" t="s">
        <v>2179</v>
      </c>
    </row>
    <row r="2499" spans="1:11" x14ac:dyDescent="0.25">
      <c r="A2499" s="302" t="str">
        <f t="shared" si="67"/>
        <v>Programmable Thermostat_0_CI_Capacity</v>
      </c>
      <c r="B2499" s="303" t="s">
        <v>224</v>
      </c>
      <c r="C2499" s="304">
        <v>0</v>
      </c>
      <c r="D2499" s="303" t="s">
        <v>1159</v>
      </c>
      <c r="E2499" s="305" t="s">
        <v>270</v>
      </c>
      <c r="F2499" s="309"/>
      <c r="G2499" s="306">
        <v>108500</v>
      </c>
      <c r="H2499" s="305" t="s">
        <v>1185</v>
      </c>
      <c r="I2499" s="305" t="s">
        <v>633</v>
      </c>
      <c r="J2499" s="305"/>
      <c r="K2499" s="305"/>
    </row>
    <row r="2500" spans="1:11" x14ac:dyDescent="0.25">
      <c r="A2500" s="302" t="str">
        <f t="shared" si="67"/>
        <v>Programmable Thermostat_0_CI_AFUE</v>
      </c>
      <c r="B2500" s="303" t="s">
        <v>224</v>
      </c>
      <c r="C2500" s="304">
        <v>0</v>
      </c>
      <c r="D2500" s="303" t="s">
        <v>1159</v>
      </c>
      <c r="E2500" s="305" t="s">
        <v>428</v>
      </c>
      <c r="F2500" s="309" t="s">
        <v>539</v>
      </c>
      <c r="G2500" s="306">
        <v>0.8</v>
      </c>
      <c r="H2500" s="305"/>
      <c r="I2500" s="305" t="s">
        <v>152</v>
      </c>
      <c r="J2500" s="305" t="s">
        <v>236</v>
      </c>
      <c r="K2500" s="305" t="s">
        <v>2179</v>
      </c>
    </row>
    <row r="2501" spans="1:11" x14ac:dyDescent="0.25">
      <c r="A2501" s="302" t="str">
        <f t="shared" si="67"/>
        <v>Programmable Thermostat_0_CI_Heating_Reduction</v>
      </c>
      <c r="B2501" s="303" t="s">
        <v>224</v>
      </c>
      <c r="C2501" s="304">
        <v>0</v>
      </c>
      <c r="D2501" s="303" t="s">
        <v>1159</v>
      </c>
      <c r="E2501" s="305" t="s">
        <v>424</v>
      </c>
      <c r="F2501" s="309" t="s">
        <v>539</v>
      </c>
      <c r="G2501" s="393">
        <v>8.7999999999999995E-2</v>
      </c>
      <c r="H2501" s="305"/>
      <c r="I2501" s="305" t="s">
        <v>152</v>
      </c>
      <c r="J2501" s="305" t="s">
        <v>236</v>
      </c>
      <c r="K2501" s="305" t="s">
        <v>2179</v>
      </c>
    </row>
    <row r="2502" spans="1:11" x14ac:dyDescent="0.25">
      <c r="A2502" s="302" t="str">
        <f t="shared" si="67"/>
        <v>Programmable Thermostat_0_CI_Conversion</v>
      </c>
      <c r="B2502" s="303" t="s">
        <v>224</v>
      </c>
      <c r="C2502" s="304">
        <v>0</v>
      </c>
      <c r="D2502" s="303" t="s">
        <v>1159</v>
      </c>
      <c r="E2502" s="305" t="s">
        <v>284</v>
      </c>
      <c r="F2502" s="309" t="s">
        <v>622</v>
      </c>
      <c r="G2502" s="325">
        <v>100000</v>
      </c>
      <c r="H2502" s="305"/>
      <c r="I2502" s="305" t="s">
        <v>152</v>
      </c>
      <c r="J2502" s="305" t="s">
        <v>236</v>
      </c>
      <c r="K2502" s="305" t="s">
        <v>2179</v>
      </c>
    </row>
    <row r="2503" spans="1:11" x14ac:dyDescent="0.25">
      <c r="A2503" s="302" t="str">
        <f t="shared" ref="A2503:A2504" si="69">B2503&amp;"_"&amp;C2503&amp;"_"&amp;D2503&amp;"_"&amp;E2503</f>
        <v>Programmable Thermostat_0_CI_%ElectricHeat</v>
      </c>
      <c r="B2503" s="303" t="s">
        <v>224</v>
      </c>
      <c r="C2503" s="304">
        <v>0</v>
      </c>
      <c r="D2503" s="303" t="s">
        <v>1159</v>
      </c>
      <c r="E2503" s="311" t="s">
        <v>1903</v>
      </c>
      <c r="F2503" s="334"/>
      <c r="G2503" s="352">
        <v>0</v>
      </c>
      <c r="H2503" s="311" t="s">
        <v>1904</v>
      </c>
      <c r="I2503" s="305" t="s">
        <v>152</v>
      </c>
      <c r="J2503" s="305" t="s">
        <v>236</v>
      </c>
      <c r="K2503" s="305" t="s">
        <v>2179</v>
      </c>
    </row>
    <row r="2504" spans="1:11" x14ac:dyDescent="0.25">
      <c r="A2504" s="302" t="str">
        <f t="shared" si="69"/>
        <v>Programmable Thermostat_0_CI_BAF</v>
      </c>
      <c r="B2504" s="303" t="s">
        <v>224</v>
      </c>
      <c r="C2504" s="304">
        <v>0</v>
      </c>
      <c r="D2504" s="303" t="s">
        <v>1159</v>
      </c>
      <c r="E2504" s="311" t="s">
        <v>1905</v>
      </c>
      <c r="F2504" s="334"/>
      <c r="G2504" s="394">
        <v>1</v>
      </c>
      <c r="H2504" s="311" t="s">
        <v>1926</v>
      </c>
      <c r="I2504" s="305" t="s">
        <v>152</v>
      </c>
      <c r="J2504" s="305" t="s">
        <v>236</v>
      </c>
      <c r="K2504" s="305" t="s">
        <v>2179</v>
      </c>
    </row>
    <row r="2505" spans="1:11" x14ac:dyDescent="0.25">
      <c r="A2505" s="302" t="str">
        <f t="shared" si="67"/>
        <v>Programmable Thermostat_0_CI_kWh Saved per Unit</v>
      </c>
      <c r="B2505" s="303" t="s">
        <v>224</v>
      </c>
      <c r="C2505" s="304">
        <v>0</v>
      </c>
      <c r="D2505" s="303" t="s">
        <v>1159</v>
      </c>
      <c r="E2505" s="314" t="s">
        <v>255</v>
      </c>
      <c r="F2505" s="326"/>
      <c r="G2505" s="315">
        <f>G2488 + G2493</f>
        <v>1472.5589042431429</v>
      </c>
      <c r="H2505" s="305"/>
      <c r="I2505" s="305" t="s">
        <v>152</v>
      </c>
      <c r="J2505" s="305" t="s">
        <v>236</v>
      </c>
      <c r="K2505" s="305" t="s">
        <v>2179</v>
      </c>
    </row>
    <row r="2506" spans="1:11" x14ac:dyDescent="0.25">
      <c r="A2506" s="302" t="str">
        <f t="shared" si="67"/>
        <v>Programmable Thermostat_0_CI_kW Saved per Unit</v>
      </c>
      <c r="B2506" s="303" t="s">
        <v>224</v>
      </c>
      <c r="C2506" s="304">
        <v>0</v>
      </c>
      <c r="D2506" s="303" t="s">
        <v>1159</v>
      </c>
      <c r="E2506" s="314" t="s">
        <v>580</v>
      </c>
      <c r="F2506" s="326" t="s">
        <v>571</v>
      </c>
      <c r="G2506" s="315">
        <f xml:space="preserve"> G2494 * 1/G2495 * G2496 * G2497</f>
        <v>0.49317433766794355</v>
      </c>
      <c r="H2506" s="305"/>
      <c r="I2506" s="305" t="s">
        <v>152</v>
      </c>
      <c r="J2506" s="305" t="s">
        <v>236</v>
      </c>
      <c r="K2506" s="305" t="s">
        <v>2179</v>
      </c>
    </row>
    <row r="2507" spans="1:11" x14ac:dyDescent="0.25">
      <c r="A2507" s="302" t="str">
        <f t="shared" si="67"/>
        <v>Programmable Thermostat_0_CI_Therm Saved per Unit</v>
      </c>
      <c r="B2507" s="303" t="s">
        <v>224</v>
      </c>
      <c r="C2507" s="304">
        <v>0</v>
      </c>
      <c r="D2507" s="303" t="s">
        <v>1159</v>
      </c>
      <c r="E2507" s="314" t="s">
        <v>326</v>
      </c>
      <c r="F2507" s="326"/>
      <c r="G2507" s="310">
        <f xml:space="preserve"> ((1 - G2503) * G2498 * G2499 * 1/G2500 * G2501 * G2504) / G2502</f>
        <v>200.26929999999999</v>
      </c>
      <c r="H2507" s="311" t="s">
        <v>1907</v>
      </c>
      <c r="I2507" s="305" t="s">
        <v>152</v>
      </c>
      <c r="J2507" s="305" t="s">
        <v>236</v>
      </c>
      <c r="K2507" s="305" t="s">
        <v>2179</v>
      </c>
    </row>
    <row r="2508" spans="1:11" x14ac:dyDescent="0.25">
      <c r="A2508" s="302" t="str">
        <f t="shared" si="67"/>
        <v>Programmable Thermostat_0_CI_Lifetime (years)</v>
      </c>
      <c r="B2508" s="303" t="s">
        <v>224</v>
      </c>
      <c r="C2508" s="304">
        <v>0</v>
      </c>
      <c r="D2508" s="303" t="s">
        <v>1159</v>
      </c>
      <c r="E2508" s="314" t="s">
        <v>259</v>
      </c>
      <c r="F2508" s="326"/>
      <c r="G2508" s="315">
        <v>11</v>
      </c>
      <c r="H2508" s="305"/>
      <c r="I2508" s="305" t="s">
        <v>152</v>
      </c>
      <c r="J2508" s="305" t="s">
        <v>236</v>
      </c>
      <c r="K2508" s="305" t="s">
        <v>2179</v>
      </c>
    </row>
    <row r="2509" spans="1:11" x14ac:dyDescent="0.25">
      <c r="A2509" s="302" t="str">
        <f t="shared" si="67"/>
        <v>Programmable Thermostat_0_CI_Incremental Cost</v>
      </c>
      <c r="B2509" s="303" t="s">
        <v>224</v>
      </c>
      <c r="C2509" s="304">
        <v>0</v>
      </c>
      <c r="D2509" s="303" t="s">
        <v>1159</v>
      </c>
      <c r="E2509" s="314" t="s">
        <v>260</v>
      </c>
      <c r="F2509" s="326"/>
      <c r="G2509" s="315">
        <v>175</v>
      </c>
      <c r="H2509" s="305"/>
      <c r="I2509" s="305" t="s">
        <v>152</v>
      </c>
      <c r="J2509" s="305" t="s">
        <v>236</v>
      </c>
      <c r="K2509" s="305" t="s">
        <v>2179</v>
      </c>
    </row>
    <row r="2510" spans="1:11" s="324" customFormat="1" x14ac:dyDescent="0.25">
      <c r="A2510" s="317" t="str">
        <f t="shared" si="67"/>
        <v>Programmable Thermostat_0_CI_</v>
      </c>
      <c r="B2510" s="317" t="str">
        <f>B2509</f>
        <v>Programmable Thermostat</v>
      </c>
      <c r="C2510" s="332">
        <f>C2509</f>
        <v>0</v>
      </c>
      <c r="D2510" s="317" t="str">
        <f>D2509</f>
        <v>CI</v>
      </c>
      <c r="E2510" s="317"/>
      <c r="F2510" s="317"/>
      <c r="G2510" s="323"/>
      <c r="H2510" s="320"/>
      <c r="I2510" s="320"/>
      <c r="J2510" s="317"/>
      <c r="K2510" s="317"/>
    </row>
    <row r="2511" spans="1:11" x14ac:dyDescent="0.25">
      <c r="A2511" s="302" t="str">
        <f t="shared" si="67"/>
        <v>Energy Star Steamer_3 Pans_CI_CSM%Baseline</v>
      </c>
      <c r="B2511" s="303" t="s">
        <v>1186</v>
      </c>
      <c r="C2511" s="304" t="s">
        <v>1187</v>
      </c>
      <c r="D2511" s="303" t="s">
        <v>1159</v>
      </c>
      <c r="E2511" s="305" t="s">
        <v>439</v>
      </c>
      <c r="F2511" s="309"/>
      <c r="G2511" s="306">
        <v>0.9</v>
      </c>
      <c r="H2511" s="305"/>
      <c r="I2511" s="305" t="s">
        <v>152</v>
      </c>
      <c r="J2511" s="305" t="s">
        <v>135</v>
      </c>
      <c r="K2511" s="305" t="s">
        <v>2119</v>
      </c>
    </row>
    <row r="2512" spans="1:11" x14ac:dyDescent="0.25">
      <c r="A2512" s="302" t="str">
        <f t="shared" si="67"/>
        <v>Energy Star Steamer_3 Pans_CI_IDLEBASE</v>
      </c>
      <c r="B2512" s="303" t="s">
        <v>1186</v>
      </c>
      <c r="C2512" s="304" t="s">
        <v>1187</v>
      </c>
      <c r="D2512" s="303" t="s">
        <v>1159</v>
      </c>
      <c r="E2512" s="305" t="s">
        <v>440</v>
      </c>
      <c r="F2512" s="309"/>
      <c r="G2512" s="306">
        <v>11000</v>
      </c>
      <c r="H2512" s="305" t="s">
        <v>441</v>
      </c>
      <c r="I2512" s="305" t="s">
        <v>152</v>
      </c>
      <c r="J2512" s="305" t="s">
        <v>135</v>
      </c>
      <c r="K2512" s="305" t="s">
        <v>2119</v>
      </c>
    </row>
    <row r="2513" spans="1:11" x14ac:dyDescent="0.25">
      <c r="A2513" s="302" t="str">
        <f t="shared" si="67"/>
        <v>Energy Star Steamer_3 Pans_CI_CSM%Baseline</v>
      </c>
      <c r="B2513" s="303" t="s">
        <v>1186</v>
      </c>
      <c r="C2513" s="304" t="s">
        <v>1187</v>
      </c>
      <c r="D2513" s="303" t="s">
        <v>1159</v>
      </c>
      <c r="E2513" s="305" t="s">
        <v>439</v>
      </c>
      <c r="F2513" s="309"/>
      <c r="G2513" s="306">
        <f>G2511</f>
        <v>0.9</v>
      </c>
      <c r="H2513" s="305"/>
      <c r="I2513" s="305" t="s">
        <v>152</v>
      </c>
      <c r="J2513" s="305" t="s">
        <v>135</v>
      </c>
      <c r="K2513" s="305" t="s">
        <v>2119</v>
      </c>
    </row>
    <row r="2514" spans="1:11" x14ac:dyDescent="0.25">
      <c r="A2514" s="302" t="str">
        <f t="shared" si="67"/>
        <v>Energy Star Steamer_3 Pans_CI_PCBASE</v>
      </c>
      <c r="B2514" s="303" t="s">
        <v>1186</v>
      </c>
      <c r="C2514" s="304" t="s">
        <v>1187</v>
      </c>
      <c r="D2514" s="303" t="s">
        <v>1159</v>
      </c>
      <c r="E2514" s="305" t="s">
        <v>442</v>
      </c>
      <c r="F2514" s="309"/>
      <c r="G2514" s="306">
        <v>65</v>
      </c>
      <c r="H2514" s="305" t="s">
        <v>441</v>
      </c>
      <c r="I2514" s="305" t="s">
        <v>152</v>
      </c>
      <c r="J2514" s="305" t="s">
        <v>135</v>
      </c>
      <c r="K2514" s="305" t="s">
        <v>2119</v>
      </c>
    </row>
    <row r="2515" spans="1:11" x14ac:dyDescent="0.25">
      <c r="A2515" s="302" t="str">
        <f t="shared" si="67"/>
        <v>Energy Star Steamer_3 Pans_CI_EFOOD</v>
      </c>
      <c r="B2515" s="303" t="s">
        <v>1186</v>
      </c>
      <c r="C2515" s="304" t="s">
        <v>1187</v>
      </c>
      <c r="D2515" s="303" t="s">
        <v>1159</v>
      </c>
      <c r="E2515" s="305" t="s">
        <v>443</v>
      </c>
      <c r="F2515" s="309" t="s">
        <v>651</v>
      </c>
      <c r="G2515" s="306">
        <v>105</v>
      </c>
      <c r="H2515" s="305" t="s">
        <v>1188</v>
      </c>
      <c r="I2515" s="305" t="s">
        <v>152</v>
      </c>
      <c r="J2515" s="305" t="s">
        <v>135</v>
      </c>
      <c r="K2515" s="305" t="s">
        <v>2119</v>
      </c>
    </row>
    <row r="2516" spans="1:11" x14ac:dyDescent="0.25">
      <c r="A2516" s="302" t="str">
        <f t="shared" si="67"/>
        <v>Energy Star Steamer_3 Pans_CI_Eff_Base</v>
      </c>
      <c r="B2516" s="303" t="s">
        <v>1186</v>
      </c>
      <c r="C2516" s="304" t="s">
        <v>1187</v>
      </c>
      <c r="D2516" s="303" t="s">
        <v>1159</v>
      </c>
      <c r="E2516" s="305" t="s">
        <v>1172</v>
      </c>
      <c r="F2516" s="309" t="s">
        <v>539</v>
      </c>
      <c r="G2516" s="306">
        <v>0.15</v>
      </c>
      <c r="H2516" s="305" t="s">
        <v>1188</v>
      </c>
      <c r="I2516" s="305" t="s">
        <v>152</v>
      </c>
      <c r="J2516" s="305" t="s">
        <v>135</v>
      </c>
      <c r="K2516" s="305" t="s">
        <v>2119</v>
      </c>
    </row>
    <row r="2517" spans="1:11" x14ac:dyDescent="0.25">
      <c r="A2517" s="302" t="str">
        <f t="shared" si="67"/>
        <v>Energy Star Steamer_3 Pans_CI_HOURS_day</v>
      </c>
      <c r="B2517" s="303" t="s">
        <v>1186</v>
      </c>
      <c r="C2517" s="304" t="s">
        <v>1187</v>
      </c>
      <c r="D2517" s="303" t="s">
        <v>1159</v>
      </c>
      <c r="E2517" s="311" t="s">
        <v>2615</v>
      </c>
      <c r="F2517" s="305" t="s">
        <v>618</v>
      </c>
      <c r="G2517" s="306">
        <v>6</v>
      </c>
      <c r="H2517" s="305" t="s">
        <v>274</v>
      </c>
      <c r="I2517" s="305" t="s">
        <v>152</v>
      </c>
      <c r="J2517" s="305" t="s">
        <v>135</v>
      </c>
      <c r="K2517" s="305" t="s">
        <v>2119</v>
      </c>
    </row>
    <row r="2518" spans="1:11" x14ac:dyDescent="0.25">
      <c r="A2518" s="302" t="str">
        <f t="shared" si="67"/>
        <v>Energy Star Steamer_3 Pans_CI_F</v>
      </c>
      <c r="B2518" s="303" t="s">
        <v>1186</v>
      </c>
      <c r="C2518" s="304" t="s">
        <v>1187</v>
      </c>
      <c r="D2518" s="303" t="s">
        <v>1159</v>
      </c>
      <c r="E2518" s="305" t="s">
        <v>444</v>
      </c>
      <c r="F2518" s="309" t="s">
        <v>1191</v>
      </c>
      <c r="G2518" s="306">
        <v>100</v>
      </c>
      <c r="H2518" s="305" t="s">
        <v>274</v>
      </c>
      <c r="I2518" s="305" t="s">
        <v>152</v>
      </c>
      <c r="J2518" s="305" t="s">
        <v>135</v>
      </c>
      <c r="K2518" s="305" t="s">
        <v>2119</v>
      </c>
    </row>
    <row r="2519" spans="1:11" x14ac:dyDescent="0.25">
      <c r="A2519" s="302" t="str">
        <f t="shared" si="67"/>
        <v>Energy Star Steamer_3 Pans_CI_PCBase</v>
      </c>
      <c r="B2519" s="303" t="s">
        <v>1186</v>
      </c>
      <c r="C2519" s="304" t="s">
        <v>1187</v>
      </c>
      <c r="D2519" s="303" t="s">
        <v>1159</v>
      </c>
      <c r="E2519" s="305" t="s">
        <v>445</v>
      </c>
      <c r="F2519" s="309"/>
      <c r="G2519" s="306">
        <f>G2514</f>
        <v>65</v>
      </c>
      <c r="H2519" s="305" t="s">
        <v>441</v>
      </c>
      <c r="I2519" s="305" t="s">
        <v>152</v>
      </c>
      <c r="J2519" s="305" t="s">
        <v>135</v>
      </c>
      <c r="K2519" s="305" t="s">
        <v>2119</v>
      </c>
    </row>
    <row r="2520" spans="1:11" x14ac:dyDescent="0.25">
      <c r="A2520" s="302" t="str">
        <f t="shared" si="67"/>
        <v>Energy Star Steamer_3 Pans_CI_PREnumber</v>
      </c>
      <c r="B2520" s="303" t="s">
        <v>1186</v>
      </c>
      <c r="C2520" s="304" t="s">
        <v>1187</v>
      </c>
      <c r="D2520" s="303" t="s">
        <v>1159</v>
      </c>
      <c r="E2520" s="305" t="s">
        <v>446</v>
      </c>
      <c r="F2520" s="309" t="s">
        <v>2383</v>
      </c>
      <c r="G2520" s="306">
        <v>1</v>
      </c>
      <c r="H2520" s="305" t="s">
        <v>274</v>
      </c>
      <c r="I2520" s="305" t="s">
        <v>152</v>
      </c>
      <c r="J2520" s="305" t="s">
        <v>135</v>
      </c>
      <c r="K2520" s="305" t="s">
        <v>2119</v>
      </c>
    </row>
    <row r="2521" spans="1:11" x14ac:dyDescent="0.25">
      <c r="A2521" s="302" t="str">
        <f t="shared" si="67"/>
        <v>Energy Star Steamer_3 Pans_CI_PreTimeBase</v>
      </c>
      <c r="B2521" s="303" t="s">
        <v>1186</v>
      </c>
      <c r="C2521" s="304" t="s">
        <v>1187</v>
      </c>
      <c r="D2521" s="303" t="s">
        <v>1159</v>
      </c>
      <c r="E2521" s="311" t="s">
        <v>2576</v>
      </c>
      <c r="F2521" s="334" t="s">
        <v>2577</v>
      </c>
      <c r="G2521" s="310">
        <f>10.9/60</f>
        <v>0.18166666666666667</v>
      </c>
      <c r="H2521" s="311" t="s">
        <v>1188</v>
      </c>
      <c r="I2521" s="305" t="s">
        <v>152</v>
      </c>
      <c r="J2521" s="305" t="s">
        <v>135</v>
      </c>
      <c r="K2521" s="305" t="s">
        <v>2119</v>
      </c>
    </row>
    <row r="2522" spans="1:11" x14ac:dyDescent="0.25">
      <c r="A2522" s="302" t="str">
        <f t="shared" si="67"/>
        <v>Energy Star Steamer_3 Pans_CI_CSM%ENERGYSTAR</v>
      </c>
      <c r="B2522" s="303" t="s">
        <v>1186</v>
      </c>
      <c r="C2522" s="304" t="s">
        <v>1187</v>
      </c>
      <c r="D2522" s="303" t="s">
        <v>1159</v>
      </c>
      <c r="E2522" s="305" t="s">
        <v>447</v>
      </c>
      <c r="F2522" s="309"/>
      <c r="G2522" s="306">
        <v>0</v>
      </c>
      <c r="H2522" s="305"/>
      <c r="I2522" s="305" t="s">
        <v>152</v>
      </c>
      <c r="J2522" s="305" t="s">
        <v>135</v>
      </c>
      <c r="K2522" s="305" t="s">
        <v>2119</v>
      </c>
    </row>
    <row r="2523" spans="1:11" x14ac:dyDescent="0.25">
      <c r="A2523" s="302" t="str">
        <f t="shared" si="67"/>
        <v>Energy Star Steamer_3 Pans_CI_IDLEENERGYSTAR</v>
      </c>
      <c r="B2523" s="303" t="s">
        <v>1186</v>
      </c>
      <c r="C2523" s="304" t="s">
        <v>1187</v>
      </c>
      <c r="D2523" s="303" t="s">
        <v>1159</v>
      </c>
      <c r="E2523" s="305" t="s">
        <v>448</v>
      </c>
      <c r="F2523" s="309" t="s">
        <v>479</v>
      </c>
      <c r="G2523" s="306">
        <v>6250</v>
      </c>
      <c r="H2523" s="305" t="s">
        <v>441</v>
      </c>
      <c r="I2523" s="305" t="s">
        <v>152</v>
      </c>
      <c r="J2523" s="305" t="s">
        <v>135</v>
      </c>
      <c r="K2523" s="305" t="s">
        <v>2119</v>
      </c>
    </row>
    <row r="2524" spans="1:11" x14ac:dyDescent="0.25">
      <c r="A2524" s="302" t="str">
        <f t="shared" si="67"/>
        <v>Energy Star Steamer_3 Pans_CI_CSM%ENERGYSTAR</v>
      </c>
      <c r="B2524" s="303" t="s">
        <v>1186</v>
      </c>
      <c r="C2524" s="304" t="s">
        <v>1187</v>
      </c>
      <c r="D2524" s="303" t="s">
        <v>1159</v>
      </c>
      <c r="E2524" s="305" t="s">
        <v>447</v>
      </c>
      <c r="F2524" s="309"/>
      <c r="G2524" s="306">
        <f>G2522</f>
        <v>0</v>
      </c>
      <c r="H2524" s="305"/>
      <c r="I2524" s="305" t="s">
        <v>152</v>
      </c>
      <c r="J2524" s="305" t="s">
        <v>135</v>
      </c>
      <c r="K2524" s="305" t="s">
        <v>2119</v>
      </c>
    </row>
    <row r="2525" spans="1:11" x14ac:dyDescent="0.25">
      <c r="A2525" s="302" t="str">
        <f t="shared" si="67"/>
        <v>Energy Star Steamer_3 Pans_CI_PCENERGYSTAR</v>
      </c>
      <c r="B2525" s="303" t="s">
        <v>1186</v>
      </c>
      <c r="C2525" s="304" t="s">
        <v>1187</v>
      </c>
      <c r="D2525" s="303" t="s">
        <v>1159</v>
      </c>
      <c r="E2525" s="311" t="s">
        <v>2616</v>
      </c>
      <c r="F2525" s="309" t="s">
        <v>1170</v>
      </c>
      <c r="G2525" s="306">
        <v>55</v>
      </c>
      <c r="H2525" s="305" t="s">
        <v>441</v>
      </c>
      <c r="I2525" s="305" t="s">
        <v>152</v>
      </c>
      <c r="J2525" s="305" t="s">
        <v>135</v>
      </c>
      <c r="K2525" s="305" t="s">
        <v>2119</v>
      </c>
    </row>
    <row r="2526" spans="1:11" x14ac:dyDescent="0.25">
      <c r="A2526" s="302" t="str">
        <f t="shared" si="67"/>
        <v>Energy Star Steamer_3 Pans_CI_EFOOD</v>
      </c>
      <c r="B2526" s="303" t="s">
        <v>1186</v>
      </c>
      <c r="C2526" s="304" t="s">
        <v>1187</v>
      </c>
      <c r="D2526" s="303" t="s">
        <v>1159</v>
      </c>
      <c r="E2526" s="305" t="s">
        <v>443</v>
      </c>
      <c r="F2526" s="309" t="s">
        <v>651</v>
      </c>
      <c r="G2526" s="306">
        <f>G2515</f>
        <v>105</v>
      </c>
      <c r="H2526" s="305" t="s">
        <v>1188</v>
      </c>
      <c r="I2526" s="305" t="s">
        <v>152</v>
      </c>
      <c r="J2526" s="305" t="s">
        <v>135</v>
      </c>
      <c r="K2526" s="305" t="s">
        <v>2119</v>
      </c>
    </row>
    <row r="2527" spans="1:11" x14ac:dyDescent="0.25">
      <c r="A2527" s="302" t="str">
        <f t="shared" si="67"/>
        <v>Energy Star Steamer_3 Pans_CI_Eff_ENERGY STAR</v>
      </c>
      <c r="B2527" s="303" t="s">
        <v>1186</v>
      </c>
      <c r="C2527" s="304" t="s">
        <v>1187</v>
      </c>
      <c r="D2527" s="303" t="s">
        <v>1159</v>
      </c>
      <c r="E2527" s="305" t="s">
        <v>1171</v>
      </c>
      <c r="F2527" s="309" t="s">
        <v>539</v>
      </c>
      <c r="G2527" s="306">
        <v>0.38</v>
      </c>
      <c r="H2527" s="305" t="s">
        <v>1188</v>
      </c>
      <c r="I2527" s="305" t="s">
        <v>152</v>
      </c>
      <c r="J2527" s="305" t="s">
        <v>135</v>
      </c>
      <c r="K2527" s="305" t="s">
        <v>2119</v>
      </c>
    </row>
    <row r="2528" spans="1:11" x14ac:dyDescent="0.25">
      <c r="A2528" s="302" t="str">
        <f t="shared" si="67"/>
        <v>Energy Star Steamer_3 Pans_CI_HOURS_day</v>
      </c>
      <c r="B2528" s="303" t="s">
        <v>1186</v>
      </c>
      <c r="C2528" s="304" t="s">
        <v>1187</v>
      </c>
      <c r="D2528" s="303" t="s">
        <v>1159</v>
      </c>
      <c r="E2528" s="311" t="s">
        <v>2615</v>
      </c>
      <c r="F2528" s="305" t="s">
        <v>618</v>
      </c>
      <c r="G2528" s="306">
        <f>G2517</f>
        <v>6</v>
      </c>
      <c r="H2528" s="305" t="s">
        <v>274</v>
      </c>
      <c r="I2528" s="305" t="s">
        <v>152</v>
      </c>
      <c r="J2528" s="305" t="s">
        <v>135</v>
      </c>
      <c r="K2528" s="305" t="s">
        <v>2119</v>
      </c>
    </row>
    <row r="2529" spans="1:11" x14ac:dyDescent="0.25">
      <c r="A2529" s="302" t="str">
        <f t="shared" si="67"/>
        <v>Energy Star Steamer_3 Pans_CI_F</v>
      </c>
      <c r="B2529" s="303" t="s">
        <v>1186</v>
      </c>
      <c r="C2529" s="304" t="s">
        <v>1187</v>
      </c>
      <c r="D2529" s="303" t="s">
        <v>1159</v>
      </c>
      <c r="E2529" s="305" t="s">
        <v>444</v>
      </c>
      <c r="F2529" s="309" t="s">
        <v>1191</v>
      </c>
      <c r="G2529" s="306">
        <f>G2518</f>
        <v>100</v>
      </c>
      <c r="H2529" s="305" t="s">
        <v>274</v>
      </c>
      <c r="I2529" s="305" t="s">
        <v>152</v>
      </c>
      <c r="J2529" s="305" t="s">
        <v>135</v>
      </c>
      <c r="K2529" s="305" t="s">
        <v>2119</v>
      </c>
    </row>
    <row r="2530" spans="1:11" x14ac:dyDescent="0.25">
      <c r="A2530" s="302" t="str">
        <f t="shared" si="67"/>
        <v>Energy Star Steamer_3 Pans_CI_PCENERGYSTAR</v>
      </c>
      <c r="B2530" s="303" t="s">
        <v>1186</v>
      </c>
      <c r="C2530" s="304" t="s">
        <v>1187</v>
      </c>
      <c r="D2530" s="303" t="s">
        <v>1159</v>
      </c>
      <c r="E2530" s="311" t="s">
        <v>2616</v>
      </c>
      <c r="F2530" s="309" t="s">
        <v>1170</v>
      </c>
      <c r="G2530" s="306">
        <f>G2525</f>
        <v>55</v>
      </c>
      <c r="H2530" s="305" t="s">
        <v>441</v>
      </c>
      <c r="I2530" s="305" t="s">
        <v>152</v>
      </c>
      <c r="J2530" s="305" t="s">
        <v>135</v>
      </c>
      <c r="K2530" s="305" t="s">
        <v>2119</v>
      </c>
    </row>
    <row r="2531" spans="1:11" x14ac:dyDescent="0.25">
      <c r="A2531" s="302" t="str">
        <f t="shared" si="67"/>
        <v>Energy Star Steamer_3 Pans_CI_PREnumber</v>
      </c>
      <c r="B2531" s="303" t="s">
        <v>1186</v>
      </c>
      <c r="C2531" s="304" t="s">
        <v>1187</v>
      </c>
      <c r="D2531" s="303" t="s">
        <v>1159</v>
      </c>
      <c r="E2531" s="305" t="s">
        <v>446</v>
      </c>
      <c r="F2531" s="309" t="s">
        <v>2383</v>
      </c>
      <c r="G2531" s="306">
        <f>G2520</f>
        <v>1</v>
      </c>
      <c r="H2531" s="305" t="s">
        <v>274</v>
      </c>
      <c r="I2531" s="305" t="s">
        <v>152</v>
      </c>
      <c r="J2531" s="305" t="s">
        <v>135</v>
      </c>
      <c r="K2531" s="305" t="s">
        <v>2119</v>
      </c>
    </row>
    <row r="2532" spans="1:11" x14ac:dyDescent="0.25">
      <c r="A2532" s="302" t="str">
        <f t="shared" si="67"/>
        <v>Energy Star Steamer_3 Pans_CI_PreTimeEE</v>
      </c>
      <c r="B2532" s="303" t="s">
        <v>1186</v>
      </c>
      <c r="C2532" s="304" t="s">
        <v>1187</v>
      </c>
      <c r="D2532" s="303" t="s">
        <v>1159</v>
      </c>
      <c r="E2532" s="311" t="s">
        <v>2578</v>
      </c>
      <c r="F2532" s="334" t="s">
        <v>2577</v>
      </c>
      <c r="G2532" s="310">
        <f>13.4/60</f>
        <v>0.22333333333333333</v>
      </c>
      <c r="H2532" s="311" t="s">
        <v>1188</v>
      </c>
      <c r="I2532" s="305" t="s">
        <v>152</v>
      </c>
      <c r="J2532" s="305" t="s">
        <v>135</v>
      </c>
      <c r="K2532" s="305" t="s">
        <v>2119</v>
      </c>
    </row>
    <row r="2533" spans="1:11" x14ac:dyDescent="0.25">
      <c r="A2533" s="302" t="str">
        <f t="shared" si="67"/>
        <v>Energy Star Steamer_3 Pans_CI_Delta_Idle_Energy</v>
      </c>
      <c r="B2533" s="303" t="s">
        <v>1186</v>
      </c>
      <c r="C2533" s="304" t="s">
        <v>1187</v>
      </c>
      <c r="D2533" s="303" t="s">
        <v>1159</v>
      </c>
      <c r="E2533" s="311" t="s">
        <v>449</v>
      </c>
      <c r="F2533" s="334"/>
      <c r="G2533" s="310">
        <f xml:space="preserve"> ((((1- G2511)* G2512 + G2513 * G2514 * G2515 / G2516) * (G2517 - (G2518 / G2519) - ( G2520 *G2521))) - (((1- G2522) * G2523 + G2524 * G2525 * G2526 / G2527) * (G2528 - (G2529/ G2530 ) - (G2531 * G2532 ))))</f>
        <v>155228.07867132867</v>
      </c>
      <c r="H2533" s="311"/>
      <c r="I2533" s="305" t="s">
        <v>152</v>
      </c>
      <c r="J2533" s="305" t="s">
        <v>135</v>
      </c>
      <c r="K2533" s="305" t="s">
        <v>2119</v>
      </c>
    </row>
    <row r="2534" spans="1:11" x14ac:dyDescent="0.25">
      <c r="A2534" s="302" t="str">
        <f t="shared" si="67"/>
        <v>Energy Star Steamer_3 Pans_CI_PREnumber</v>
      </c>
      <c r="B2534" s="303" t="s">
        <v>1186</v>
      </c>
      <c r="C2534" s="304" t="s">
        <v>1187</v>
      </c>
      <c r="D2534" s="303" t="s">
        <v>1159</v>
      </c>
      <c r="E2534" s="305" t="s">
        <v>446</v>
      </c>
      <c r="F2534" s="309" t="s">
        <v>2383</v>
      </c>
      <c r="G2534" s="306">
        <f>G2531</f>
        <v>1</v>
      </c>
      <c r="H2534" s="305" t="s">
        <v>274</v>
      </c>
      <c r="I2534" s="305" t="s">
        <v>152</v>
      </c>
      <c r="J2534" s="305" t="s">
        <v>135</v>
      </c>
      <c r="K2534" s="305" t="s">
        <v>2119</v>
      </c>
    </row>
    <row r="2535" spans="1:11" x14ac:dyDescent="0.25">
      <c r="A2535" s="302" t="str">
        <f t="shared" si="67"/>
        <v>Energy Star Steamer_3 Pans_CI_PREheat_Base</v>
      </c>
      <c r="B2535" s="303" t="s">
        <v>1186</v>
      </c>
      <c r="C2535" s="304" t="s">
        <v>1187</v>
      </c>
      <c r="D2535" s="303" t="s">
        <v>1159</v>
      </c>
      <c r="E2535" s="311" t="s">
        <v>2579</v>
      </c>
      <c r="F2535" s="334" t="s">
        <v>941</v>
      </c>
      <c r="G2535" s="310">
        <v>18832.7</v>
      </c>
      <c r="H2535" s="311" t="s">
        <v>1188</v>
      </c>
      <c r="I2535" s="305" t="s">
        <v>152</v>
      </c>
      <c r="J2535" s="305" t="s">
        <v>135</v>
      </c>
      <c r="K2535" s="305" t="s">
        <v>2119</v>
      </c>
    </row>
    <row r="2536" spans="1:11" x14ac:dyDescent="0.25">
      <c r="A2536" s="302" t="str">
        <f t="shared" ref="A2536:A2600" si="70">B2536&amp;"_"&amp;C2536&amp;"_"&amp;D2536&amp;"_"&amp;E2536</f>
        <v>Energy Star Steamer_3 Pans_CI_PREheat_EE</v>
      </c>
      <c r="B2536" s="303" t="s">
        <v>1186</v>
      </c>
      <c r="C2536" s="304" t="s">
        <v>1187</v>
      </c>
      <c r="D2536" s="303" t="s">
        <v>1159</v>
      </c>
      <c r="E2536" s="311" t="s">
        <v>2580</v>
      </c>
      <c r="F2536" s="334" t="s">
        <v>941</v>
      </c>
      <c r="G2536" s="310">
        <v>10293.9</v>
      </c>
      <c r="H2536" s="311" t="s">
        <v>1188</v>
      </c>
      <c r="I2536" s="305" t="s">
        <v>152</v>
      </c>
      <c r="J2536" s="305" t="s">
        <v>135</v>
      </c>
      <c r="K2536" s="305" t="s">
        <v>2119</v>
      </c>
    </row>
    <row r="2537" spans="1:11" x14ac:dyDescent="0.25">
      <c r="A2537" s="302" t="str">
        <f t="shared" si="70"/>
        <v>Energy Star Steamer_3 Pans_CI_Delta_Preheat_Energy</v>
      </c>
      <c r="B2537" s="303" t="s">
        <v>1186</v>
      </c>
      <c r="C2537" s="304" t="s">
        <v>1187</v>
      </c>
      <c r="D2537" s="303" t="s">
        <v>1159</v>
      </c>
      <c r="E2537" s="311" t="s">
        <v>450</v>
      </c>
      <c r="F2537" s="334"/>
      <c r="G2537" s="310">
        <f xml:space="preserve"> G2534 * (G2535-G2536)</f>
        <v>8538.8000000000011</v>
      </c>
      <c r="H2537" s="311"/>
      <c r="I2537" s="305" t="s">
        <v>152</v>
      </c>
      <c r="J2537" s="305" t="s">
        <v>135</v>
      </c>
      <c r="K2537" s="305" t="s">
        <v>2119</v>
      </c>
    </row>
    <row r="2538" spans="1:11" x14ac:dyDescent="0.25">
      <c r="A2538" s="302" t="str">
        <f t="shared" si="70"/>
        <v>Energy Star Steamer_3 Pans_CI_Eff_Base</v>
      </c>
      <c r="B2538" s="303" t="s">
        <v>1186</v>
      </c>
      <c r="C2538" s="304" t="s">
        <v>1187</v>
      </c>
      <c r="D2538" s="303" t="s">
        <v>1159</v>
      </c>
      <c r="E2538" s="305" t="s">
        <v>1172</v>
      </c>
      <c r="F2538" s="309" t="s">
        <v>539</v>
      </c>
      <c r="G2538" s="306">
        <f>G2516</f>
        <v>0.15</v>
      </c>
      <c r="H2538" s="305" t="s">
        <v>1188</v>
      </c>
      <c r="I2538" s="305" t="s">
        <v>152</v>
      </c>
      <c r="J2538" s="305" t="s">
        <v>135</v>
      </c>
      <c r="K2538" s="305" t="s">
        <v>2119</v>
      </c>
    </row>
    <row r="2539" spans="1:11" x14ac:dyDescent="0.25">
      <c r="A2539" s="302" t="str">
        <f t="shared" si="70"/>
        <v>Energy Star Steamer_3 Pans_CI_Eff_ENERGY STAR</v>
      </c>
      <c r="B2539" s="303" t="s">
        <v>1186</v>
      </c>
      <c r="C2539" s="304" t="s">
        <v>1187</v>
      </c>
      <c r="D2539" s="303" t="s">
        <v>1159</v>
      </c>
      <c r="E2539" s="305" t="s">
        <v>1171</v>
      </c>
      <c r="F2539" s="309" t="s">
        <v>539</v>
      </c>
      <c r="G2539" s="306">
        <f>G2527</f>
        <v>0.38</v>
      </c>
      <c r="H2539" s="305" t="s">
        <v>1188</v>
      </c>
      <c r="I2539" s="305" t="s">
        <v>152</v>
      </c>
      <c r="J2539" s="305" t="s">
        <v>135</v>
      </c>
      <c r="K2539" s="305" t="s">
        <v>2119</v>
      </c>
    </row>
    <row r="2540" spans="1:11" x14ac:dyDescent="0.25">
      <c r="A2540" s="302" t="str">
        <f t="shared" si="70"/>
        <v>Energy Star Steamer_3 Pans_CI_F</v>
      </c>
      <c r="B2540" s="303" t="s">
        <v>1186</v>
      </c>
      <c r="C2540" s="304" t="s">
        <v>1187</v>
      </c>
      <c r="D2540" s="303" t="s">
        <v>1159</v>
      </c>
      <c r="E2540" s="305" t="s">
        <v>444</v>
      </c>
      <c r="F2540" s="309" t="s">
        <v>1191</v>
      </c>
      <c r="G2540" s="306">
        <f>G2529</f>
        <v>100</v>
      </c>
      <c r="H2540" s="305" t="s">
        <v>274</v>
      </c>
      <c r="I2540" s="305" t="s">
        <v>152</v>
      </c>
      <c r="J2540" s="305" t="s">
        <v>135</v>
      </c>
      <c r="K2540" s="305" t="s">
        <v>2119</v>
      </c>
    </row>
    <row r="2541" spans="1:11" x14ac:dyDescent="0.25">
      <c r="A2541" s="302" t="str">
        <f t="shared" si="70"/>
        <v>Energy Star Steamer_3 Pans_CI_EFOOD</v>
      </c>
      <c r="B2541" s="303" t="s">
        <v>1186</v>
      </c>
      <c r="C2541" s="304" t="s">
        <v>1187</v>
      </c>
      <c r="D2541" s="303" t="s">
        <v>1159</v>
      </c>
      <c r="E2541" s="305" t="s">
        <v>443</v>
      </c>
      <c r="F2541" s="309" t="s">
        <v>651</v>
      </c>
      <c r="G2541" s="306">
        <f>G2526</f>
        <v>105</v>
      </c>
      <c r="H2541" s="305" t="s">
        <v>1188</v>
      </c>
      <c r="I2541" s="305" t="s">
        <v>152</v>
      </c>
      <c r="J2541" s="305" t="s">
        <v>135</v>
      </c>
      <c r="K2541" s="305" t="s">
        <v>2119</v>
      </c>
    </row>
    <row r="2542" spans="1:11" x14ac:dyDescent="0.25">
      <c r="A2542" s="302" t="str">
        <f t="shared" si="70"/>
        <v>Energy Star Steamer_3 Pans_CI_Delta_Cooking_Energy</v>
      </c>
      <c r="B2542" s="303" t="s">
        <v>1186</v>
      </c>
      <c r="C2542" s="304" t="s">
        <v>1187</v>
      </c>
      <c r="D2542" s="303" t="s">
        <v>1159</v>
      </c>
      <c r="E2542" s="305" t="s">
        <v>451</v>
      </c>
      <c r="F2542" s="309"/>
      <c r="G2542" s="306">
        <f xml:space="preserve"> ((1 / G2538) - (1 / G2539)) * G2540 * G2541</f>
        <v>42368.42105263158</v>
      </c>
      <c r="H2542" s="305"/>
      <c r="I2542" s="305" t="s">
        <v>152</v>
      </c>
      <c r="J2542" s="305" t="s">
        <v>135</v>
      </c>
      <c r="K2542" s="305" t="s">
        <v>2119</v>
      </c>
    </row>
    <row r="2543" spans="1:11" x14ac:dyDescent="0.25">
      <c r="A2543" s="302" t="str">
        <f t="shared" si="70"/>
        <v>Energy Star Steamer_3 Pans_CI_Days</v>
      </c>
      <c r="B2543" s="303" t="s">
        <v>1186</v>
      </c>
      <c r="C2543" s="304" t="s">
        <v>1187</v>
      </c>
      <c r="D2543" s="303" t="s">
        <v>1159</v>
      </c>
      <c r="E2543" s="311" t="s">
        <v>2419</v>
      </c>
      <c r="F2543" s="309"/>
      <c r="G2543" s="306">
        <v>365.25</v>
      </c>
      <c r="H2543" s="305"/>
      <c r="I2543" s="305" t="s">
        <v>152</v>
      </c>
      <c r="J2543" s="305" t="s">
        <v>135</v>
      </c>
      <c r="K2543" s="305" t="s">
        <v>2119</v>
      </c>
    </row>
    <row r="2544" spans="1:11" x14ac:dyDescent="0.25">
      <c r="A2544" s="302" t="str">
        <f t="shared" si="70"/>
        <v>Energy Star Steamer_3 Pans_CI_Delta_Savings</v>
      </c>
      <c r="B2544" s="303" t="s">
        <v>1186</v>
      </c>
      <c r="C2544" s="304" t="s">
        <v>1187</v>
      </c>
      <c r="D2544" s="303" t="s">
        <v>1159</v>
      </c>
      <c r="E2544" s="305" t="s">
        <v>452</v>
      </c>
      <c r="F2544" s="309"/>
      <c r="G2544" s="306">
        <f xml:space="preserve"> (G2533 + G2537 + G2542) * G2543</f>
        <v>75290918.224176466</v>
      </c>
      <c r="H2544" s="305"/>
      <c r="I2544" s="305" t="s">
        <v>152</v>
      </c>
      <c r="J2544" s="305" t="s">
        <v>135</v>
      </c>
      <c r="K2544" s="305" t="s">
        <v>2119</v>
      </c>
    </row>
    <row r="2545" spans="1:11" x14ac:dyDescent="0.25">
      <c r="A2545" s="302" t="str">
        <f t="shared" si="70"/>
        <v>Energy Star Steamer_3 Pans_CI_WBASE</v>
      </c>
      <c r="B2545" s="303" t="s">
        <v>1186</v>
      </c>
      <c r="C2545" s="304" t="s">
        <v>1187</v>
      </c>
      <c r="D2545" s="303" t="s">
        <v>1159</v>
      </c>
      <c r="E2545" s="305" t="s">
        <v>453</v>
      </c>
      <c r="F2545" s="309"/>
      <c r="G2545" s="306">
        <v>40</v>
      </c>
      <c r="H2545" s="305"/>
      <c r="I2545" s="305" t="s">
        <v>152</v>
      </c>
      <c r="J2545" s="305" t="s">
        <v>135</v>
      </c>
      <c r="K2545" s="305" t="s">
        <v>2119</v>
      </c>
    </row>
    <row r="2546" spans="1:11" x14ac:dyDescent="0.25">
      <c r="A2546" s="302" t="str">
        <f t="shared" si="70"/>
        <v>Energy Star Steamer_3 Pans_CI_WENERGYSTAR</v>
      </c>
      <c r="B2546" s="303" t="s">
        <v>1186</v>
      </c>
      <c r="C2546" s="304" t="s">
        <v>1187</v>
      </c>
      <c r="D2546" s="303" t="s">
        <v>1159</v>
      </c>
      <c r="E2546" s="305" t="s">
        <v>454</v>
      </c>
      <c r="F2546" s="309"/>
      <c r="G2546" s="306">
        <v>10</v>
      </c>
      <c r="H2546" s="305" t="s">
        <v>455</v>
      </c>
      <c r="I2546" s="305" t="s">
        <v>152</v>
      </c>
      <c r="J2546" s="305" t="s">
        <v>135</v>
      </c>
      <c r="K2546" s="305" t="s">
        <v>2119</v>
      </c>
    </row>
    <row r="2547" spans="1:11" x14ac:dyDescent="0.25">
      <c r="A2547" s="302" t="str">
        <f t="shared" si="70"/>
        <v>Energy Star Steamer_3 Pans_CI_HOURS_day</v>
      </c>
      <c r="B2547" s="303" t="s">
        <v>1186</v>
      </c>
      <c r="C2547" s="304" t="s">
        <v>1187</v>
      </c>
      <c r="D2547" s="303" t="s">
        <v>1159</v>
      </c>
      <c r="E2547" s="311" t="s">
        <v>2615</v>
      </c>
      <c r="F2547" s="305" t="s">
        <v>618</v>
      </c>
      <c r="G2547" s="306">
        <f>G2528</f>
        <v>6</v>
      </c>
      <c r="H2547" s="305" t="str">
        <f>H2528</f>
        <v>Unknown</v>
      </c>
      <c r="I2547" s="305" t="s">
        <v>152</v>
      </c>
      <c r="J2547" s="305" t="s">
        <v>135</v>
      </c>
      <c r="K2547" s="305" t="s">
        <v>2119</v>
      </c>
    </row>
    <row r="2548" spans="1:11" x14ac:dyDescent="0.25">
      <c r="A2548" s="302" t="str">
        <f t="shared" si="70"/>
        <v>Energy Star Steamer_3 Pans_CI_Days</v>
      </c>
      <c r="B2548" s="303" t="s">
        <v>1186</v>
      </c>
      <c r="C2548" s="304" t="s">
        <v>1187</v>
      </c>
      <c r="D2548" s="303" t="s">
        <v>1159</v>
      </c>
      <c r="E2548" s="311" t="s">
        <v>2419</v>
      </c>
      <c r="F2548" s="309"/>
      <c r="G2548" s="306">
        <f>G2543</f>
        <v>365.25</v>
      </c>
      <c r="H2548" s="305"/>
      <c r="I2548" s="305" t="s">
        <v>152</v>
      </c>
      <c r="J2548" s="305" t="s">
        <v>135</v>
      </c>
      <c r="K2548" s="305" t="s">
        <v>2119</v>
      </c>
    </row>
    <row r="2549" spans="1:11" x14ac:dyDescent="0.25">
      <c r="A2549" s="302" t="str">
        <f t="shared" si="70"/>
        <v>Energy Star Steamer_3 Pans_CI_Delta_Water_Gallons</v>
      </c>
      <c r="B2549" s="303" t="s">
        <v>1186</v>
      </c>
      <c r="C2549" s="304" t="s">
        <v>1187</v>
      </c>
      <c r="D2549" s="303" t="s">
        <v>1159</v>
      </c>
      <c r="E2549" s="305" t="s">
        <v>456</v>
      </c>
      <c r="F2549" s="309"/>
      <c r="G2549" s="306">
        <f xml:space="preserve"> (G2545 - G2546)* G2547 * G2548</f>
        <v>65745</v>
      </c>
      <c r="H2549" s="305"/>
      <c r="I2549" s="305" t="s">
        <v>152</v>
      </c>
      <c r="J2549" s="305" t="s">
        <v>135</v>
      </c>
      <c r="K2549" s="305" t="s">
        <v>2119</v>
      </c>
    </row>
    <row r="2550" spans="1:11" x14ac:dyDescent="0.25">
      <c r="A2550" s="302" t="str">
        <f t="shared" si="70"/>
        <v>Energy Star Steamer_3 Pans_CI_Conversion</v>
      </c>
      <c r="B2550" s="303" t="s">
        <v>1186</v>
      </c>
      <c r="C2550" s="304" t="s">
        <v>1187</v>
      </c>
      <c r="D2550" s="303" t="s">
        <v>1159</v>
      </c>
      <c r="E2550" s="305" t="s">
        <v>284</v>
      </c>
      <c r="F2550" s="309"/>
      <c r="G2550" s="306">
        <v>1000000</v>
      </c>
      <c r="H2550" s="305"/>
      <c r="I2550" s="305" t="s">
        <v>152</v>
      </c>
      <c r="J2550" s="305" t="s">
        <v>135</v>
      </c>
      <c r="K2550" s="305" t="s">
        <v>2119</v>
      </c>
    </row>
    <row r="2551" spans="1:11" x14ac:dyDescent="0.25">
      <c r="A2551" s="302" t="str">
        <f t="shared" si="70"/>
        <v>Energy Star Steamer_3 Pans_CI_E_water_supply</v>
      </c>
      <c r="B2551" s="303" t="s">
        <v>1186</v>
      </c>
      <c r="C2551" s="304" t="s">
        <v>1187</v>
      </c>
      <c r="D2551" s="303" t="s">
        <v>1159</v>
      </c>
      <c r="E2551" s="305" t="s">
        <v>457</v>
      </c>
      <c r="F2551" s="309"/>
      <c r="G2551" s="306">
        <v>2571</v>
      </c>
      <c r="H2551" s="305"/>
      <c r="I2551" s="305" t="s">
        <v>152</v>
      </c>
      <c r="J2551" s="305" t="s">
        <v>135</v>
      </c>
      <c r="K2551" s="305" t="s">
        <v>2119</v>
      </c>
    </row>
    <row r="2552" spans="1:11" x14ac:dyDescent="0.25">
      <c r="A2552" s="302" t="str">
        <f t="shared" si="70"/>
        <v>Energy Star Steamer_3 Pans_CI_Delta_kWh_water</v>
      </c>
      <c r="B2552" s="303" t="s">
        <v>1186</v>
      </c>
      <c r="C2552" s="304" t="s">
        <v>1187</v>
      </c>
      <c r="D2552" s="303" t="s">
        <v>1159</v>
      </c>
      <c r="E2552" s="305" t="s">
        <v>334</v>
      </c>
      <c r="F2552" s="309"/>
      <c r="G2552" s="306">
        <f xml:space="preserve"> G2549 / G2550 * G2551</f>
        <v>169.030395</v>
      </c>
      <c r="H2552" s="305"/>
      <c r="I2552" s="305" t="s">
        <v>152</v>
      </c>
      <c r="J2552" s="305" t="s">
        <v>135</v>
      </c>
      <c r="K2552" s="305" t="s">
        <v>2119</v>
      </c>
    </row>
    <row r="2553" spans="1:11" x14ac:dyDescent="0.25">
      <c r="A2553" s="302" t="str">
        <f t="shared" ref="A2553" si="71">B2553&amp;"_"&amp;C2553&amp;"_"&amp;D2553&amp;"_"&amp;E2553</f>
        <v>Energy Star Steamer_3 Pans_CI_CF</v>
      </c>
      <c r="B2553" s="303" t="s">
        <v>1186</v>
      </c>
      <c r="C2553" s="304" t="s">
        <v>1187</v>
      </c>
      <c r="D2553" s="303" t="s">
        <v>1159</v>
      </c>
      <c r="E2553" s="305" t="s">
        <v>253</v>
      </c>
      <c r="F2553" s="309"/>
      <c r="G2553" s="306">
        <v>0.36</v>
      </c>
      <c r="H2553" s="305" t="s">
        <v>458</v>
      </c>
      <c r="I2553" s="305" t="s">
        <v>152</v>
      </c>
      <c r="J2553" s="305" t="s">
        <v>135</v>
      </c>
      <c r="K2553" s="305" t="s">
        <v>2119</v>
      </c>
    </row>
    <row r="2554" spans="1:11" x14ac:dyDescent="0.25">
      <c r="A2554" s="302" t="str">
        <f t="shared" si="70"/>
        <v>Energy Star Steamer_3 Pans_CI_kWh Saved per Unit</v>
      </c>
      <c r="B2554" s="303" t="s">
        <v>1186</v>
      </c>
      <c r="C2554" s="304" t="s">
        <v>1187</v>
      </c>
      <c r="D2554" s="303" t="s">
        <v>1159</v>
      </c>
      <c r="E2554" s="314" t="s">
        <v>255</v>
      </c>
      <c r="F2554" s="326"/>
      <c r="G2554" s="315">
        <f>G2552</f>
        <v>169.030395</v>
      </c>
      <c r="H2554" s="305"/>
      <c r="I2554" s="305" t="s">
        <v>152</v>
      </c>
      <c r="J2554" s="305" t="s">
        <v>135</v>
      </c>
      <c r="K2554" s="305" t="s">
        <v>2119</v>
      </c>
    </row>
    <row r="2555" spans="1:11" x14ac:dyDescent="0.25">
      <c r="A2555" s="302" t="str">
        <f t="shared" si="70"/>
        <v>Energy Star Steamer_3 Pans_CI_Coincident Peak kW Saved per Unit</v>
      </c>
      <c r="B2555" s="303" t="s">
        <v>1186</v>
      </c>
      <c r="C2555" s="304" t="s">
        <v>1187</v>
      </c>
      <c r="D2555" s="303" t="s">
        <v>1159</v>
      </c>
      <c r="E2555" s="314" t="s">
        <v>257</v>
      </c>
      <c r="F2555" s="327"/>
      <c r="G2555" s="315">
        <f xml:space="preserve"> (G2544/(G2547 * G2548)) * G2553</f>
        <v>12368.117983437613</v>
      </c>
      <c r="H2555" s="305"/>
      <c r="I2555" s="305" t="s">
        <v>152</v>
      </c>
      <c r="J2555" s="305" t="s">
        <v>135</v>
      </c>
      <c r="K2555" s="305" t="s">
        <v>2119</v>
      </c>
    </row>
    <row r="2556" spans="1:11" x14ac:dyDescent="0.25">
      <c r="A2556" s="302" t="str">
        <f t="shared" si="70"/>
        <v>Energy Star Steamer_3 Pans_CI_Therm Saved per Unit</v>
      </c>
      <c r="B2556" s="303" t="s">
        <v>1186</v>
      </c>
      <c r="C2556" s="304" t="s">
        <v>1187</v>
      </c>
      <c r="D2556" s="303" t="s">
        <v>1159</v>
      </c>
      <c r="E2556" s="311" t="s">
        <v>326</v>
      </c>
      <c r="F2556" s="334"/>
      <c r="G2556" s="310">
        <f>G2544/100000</f>
        <v>752.90918224176471</v>
      </c>
      <c r="H2556" s="311"/>
      <c r="I2556" s="305" t="s">
        <v>152</v>
      </c>
      <c r="J2556" s="305" t="s">
        <v>135</v>
      </c>
      <c r="K2556" s="305" t="s">
        <v>2119</v>
      </c>
    </row>
    <row r="2557" spans="1:11" x14ac:dyDescent="0.25">
      <c r="A2557" s="302" t="str">
        <f t="shared" si="70"/>
        <v>Energy Star Steamer_3 Pans_CI_Gallons Saved per Unit</v>
      </c>
      <c r="B2557" s="303" t="s">
        <v>1186</v>
      </c>
      <c r="C2557" s="304" t="s">
        <v>1187</v>
      </c>
      <c r="D2557" s="303" t="s">
        <v>1159</v>
      </c>
      <c r="E2557" s="314" t="s">
        <v>547</v>
      </c>
      <c r="F2557" s="326"/>
      <c r="G2557" s="315">
        <f>G2548</f>
        <v>365.25</v>
      </c>
      <c r="H2557" s="305"/>
      <c r="I2557" s="305" t="s">
        <v>152</v>
      </c>
      <c r="J2557" s="305" t="s">
        <v>135</v>
      </c>
      <c r="K2557" s="305" t="s">
        <v>2119</v>
      </c>
    </row>
    <row r="2558" spans="1:11" x14ac:dyDescent="0.25">
      <c r="A2558" s="302" t="str">
        <f t="shared" si="70"/>
        <v>Energy Star Steamer_3 Pans_CI_Lifetime (years)</v>
      </c>
      <c r="B2558" s="303" t="s">
        <v>1186</v>
      </c>
      <c r="C2558" s="304" t="s">
        <v>1187</v>
      </c>
      <c r="D2558" s="303" t="s">
        <v>1159</v>
      </c>
      <c r="E2558" s="314" t="s">
        <v>259</v>
      </c>
      <c r="F2558" s="326"/>
      <c r="G2558" s="315">
        <v>12</v>
      </c>
      <c r="H2558" s="305"/>
      <c r="I2558" s="305" t="s">
        <v>152</v>
      </c>
      <c r="J2558" s="305" t="s">
        <v>135</v>
      </c>
      <c r="K2558" s="305" t="s">
        <v>2119</v>
      </c>
    </row>
    <row r="2559" spans="1:11" x14ac:dyDescent="0.25">
      <c r="A2559" s="302" t="str">
        <f t="shared" si="70"/>
        <v>Energy Star Steamer_3 Pans_CI_Incremental Cost</v>
      </c>
      <c r="B2559" s="303" t="s">
        <v>1186</v>
      </c>
      <c r="C2559" s="304" t="s">
        <v>1187</v>
      </c>
      <c r="D2559" s="303" t="s">
        <v>1159</v>
      </c>
      <c r="E2559" s="314" t="s">
        <v>260</v>
      </c>
      <c r="F2559" s="326"/>
      <c r="G2559" s="315">
        <v>998</v>
      </c>
      <c r="H2559" s="305" t="s">
        <v>232</v>
      </c>
      <c r="I2559" s="305" t="s">
        <v>152</v>
      </c>
      <c r="J2559" s="305" t="s">
        <v>135</v>
      </c>
      <c r="K2559" s="305" t="s">
        <v>2119</v>
      </c>
    </row>
    <row r="2560" spans="1:11" s="324" customFormat="1" x14ac:dyDescent="0.25">
      <c r="A2560" s="317" t="str">
        <f t="shared" si="70"/>
        <v>Energy Star Steamer_3 Pans_CI_</v>
      </c>
      <c r="B2560" s="317" t="str">
        <f>B2559</f>
        <v>Energy Star Steamer</v>
      </c>
      <c r="C2560" s="332" t="str">
        <f>C2559</f>
        <v>3 Pans</v>
      </c>
      <c r="D2560" s="317" t="str">
        <f>D2559</f>
        <v>CI</v>
      </c>
      <c r="E2560" s="320"/>
      <c r="F2560" s="320"/>
      <c r="G2560" s="329"/>
      <c r="H2560" s="320"/>
      <c r="I2560" s="320"/>
      <c r="J2560" s="320"/>
      <c r="K2560" s="320"/>
    </row>
    <row r="2561" spans="1:11" x14ac:dyDescent="0.25">
      <c r="A2561" s="302" t="str">
        <f t="shared" si="70"/>
        <v>Energy Star Steamer_4 Pans_CI_CSM%Baseline</v>
      </c>
      <c r="B2561" s="303" t="s">
        <v>1186</v>
      </c>
      <c r="C2561" s="304" t="s">
        <v>1189</v>
      </c>
      <c r="D2561" s="303" t="s">
        <v>1159</v>
      </c>
      <c r="E2561" s="305" t="s">
        <v>439</v>
      </c>
      <c r="F2561" s="309"/>
      <c r="G2561" s="306">
        <v>0.9</v>
      </c>
      <c r="H2561" s="305"/>
      <c r="I2561" s="305" t="s">
        <v>152</v>
      </c>
      <c r="J2561" s="305" t="s">
        <v>135</v>
      </c>
      <c r="K2561" s="305" t="s">
        <v>2119</v>
      </c>
    </row>
    <row r="2562" spans="1:11" x14ac:dyDescent="0.25">
      <c r="A2562" s="302" t="str">
        <f t="shared" si="70"/>
        <v>Energy Star Steamer_4 Pans_CI_IDLEBASE</v>
      </c>
      <c r="B2562" s="303" t="s">
        <v>1186</v>
      </c>
      <c r="C2562" s="304" t="s">
        <v>1189</v>
      </c>
      <c r="D2562" s="303" t="s">
        <v>1159</v>
      </c>
      <c r="E2562" s="305" t="s">
        <v>440</v>
      </c>
      <c r="F2562" s="309"/>
      <c r="G2562" s="306">
        <v>14667</v>
      </c>
      <c r="H2562" s="305" t="s">
        <v>1190</v>
      </c>
      <c r="I2562" s="305" t="s">
        <v>152</v>
      </c>
      <c r="J2562" s="305" t="s">
        <v>135</v>
      </c>
      <c r="K2562" s="305" t="s">
        <v>2119</v>
      </c>
    </row>
    <row r="2563" spans="1:11" x14ac:dyDescent="0.25">
      <c r="A2563" s="302" t="str">
        <f t="shared" si="70"/>
        <v>Energy Star Steamer_4 Pans_CI_CSM%Baseline</v>
      </c>
      <c r="B2563" s="303" t="s">
        <v>1186</v>
      </c>
      <c r="C2563" s="304" t="s">
        <v>1189</v>
      </c>
      <c r="D2563" s="303" t="s">
        <v>1159</v>
      </c>
      <c r="E2563" s="305" t="s">
        <v>439</v>
      </c>
      <c r="F2563" s="309"/>
      <c r="G2563" s="306">
        <f>G2561</f>
        <v>0.9</v>
      </c>
      <c r="H2563" s="305"/>
      <c r="I2563" s="305" t="s">
        <v>152</v>
      </c>
      <c r="J2563" s="305" t="s">
        <v>135</v>
      </c>
      <c r="K2563" s="305" t="s">
        <v>2119</v>
      </c>
    </row>
    <row r="2564" spans="1:11" x14ac:dyDescent="0.25">
      <c r="A2564" s="302" t="str">
        <f t="shared" si="70"/>
        <v>Energy Star Steamer_4 Pans_CI_PCBASE</v>
      </c>
      <c r="B2564" s="303" t="s">
        <v>1186</v>
      </c>
      <c r="C2564" s="304" t="s">
        <v>1189</v>
      </c>
      <c r="D2564" s="303" t="s">
        <v>1159</v>
      </c>
      <c r="E2564" s="305" t="s">
        <v>442</v>
      </c>
      <c r="F2564" s="309"/>
      <c r="G2564" s="306">
        <v>87</v>
      </c>
      <c r="H2564" s="305" t="s">
        <v>1190</v>
      </c>
      <c r="I2564" s="305" t="s">
        <v>152</v>
      </c>
      <c r="J2564" s="305" t="s">
        <v>135</v>
      </c>
      <c r="K2564" s="305" t="s">
        <v>2119</v>
      </c>
    </row>
    <row r="2565" spans="1:11" x14ac:dyDescent="0.25">
      <c r="A2565" s="302" t="str">
        <f t="shared" si="70"/>
        <v>Energy Star Steamer_4 Pans_CI_EFOOD</v>
      </c>
      <c r="B2565" s="303" t="s">
        <v>1186</v>
      </c>
      <c r="C2565" s="304" t="s">
        <v>1189</v>
      </c>
      <c r="D2565" s="303" t="s">
        <v>1159</v>
      </c>
      <c r="E2565" s="305" t="s">
        <v>443</v>
      </c>
      <c r="F2565" s="309" t="s">
        <v>651</v>
      </c>
      <c r="G2565" s="306">
        <v>105</v>
      </c>
      <c r="H2565" s="305" t="s">
        <v>1188</v>
      </c>
      <c r="I2565" s="305" t="s">
        <v>152</v>
      </c>
      <c r="J2565" s="305" t="s">
        <v>135</v>
      </c>
      <c r="K2565" s="305" t="s">
        <v>2119</v>
      </c>
    </row>
    <row r="2566" spans="1:11" x14ac:dyDescent="0.25">
      <c r="A2566" s="302" t="str">
        <f t="shared" si="70"/>
        <v>Energy Star Steamer_4 Pans_CI_Eff_Base</v>
      </c>
      <c r="B2566" s="303" t="s">
        <v>1186</v>
      </c>
      <c r="C2566" s="304" t="s">
        <v>1189</v>
      </c>
      <c r="D2566" s="303" t="s">
        <v>1159</v>
      </c>
      <c r="E2566" s="305" t="s">
        <v>1172</v>
      </c>
      <c r="F2566" s="309" t="s">
        <v>539</v>
      </c>
      <c r="G2566" s="306">
        <v>0.15</v>
      </c>
      <c r="H2566" s="305" t="s">
        <v>1188</v>
      </c>
      <c r="I2566" s="305" t="s">
        <v>152</v>
      </c>
      <c r="J2566" s="305" t="s">
        <v>135</v>
      </c>
      <c r="K2566" s="305" t="s">
        <v>2119</v>
      </c>
    </row>
    <row r="2567" spans="1:11" x14ac:dyDescent="0.25">
      <c r="A2567" s="302" t="str">
        <f t="shared" si="70"/>
        <v>Energy Star Steamer_4 Pans_CI_HOURS_day</v>
      </c>
      <c r="B2567" s="303" t="s">
        <v>1186</v>
      </c>
      <c r="C2567" s="304" t="s">
        <v>1189</v>
      </c>
      <c r="D2567" s="303" t="s">
        <v>1159</v>
      </c>
      <c r="E2567" s="311" t="s">
        <v>2615</v>
      </c>
      <c r="F2567" s="305" t="s">
        <v>618</v>
      </c>
      <c r="G2567" s="306">
        <v>6</v>
      </c>
      <c r="H2567" s="305" t="s">
        <v>274</v>
      </c>
      <c r="I2567" s="305" t="s">
        <v>152</v>
      </c>
      <c r="J2567" s="305" t="s">
        <v>135</v>
      </c>
      <c r="K2567" s="305" t="s">
        <v>2119</v>
      </c>
    </row>
    <row r="2568" spans="1:11" x14ac:dyDescent="0.25">
      <c r="A2568" s="302" t="str">
        <f t="shared" si="70"/>
        <v>Energy Star Steamer_4 Pans_CI_F</v>
      </c>
      <c r="B2568" s="303" t="s">
        <v>1186</v>
      </c>
      <c r="C2568" s="304" t="s">
        <v>1189</v>
      </c>
      <c r="D2568" s="303" t="s">
        <v>1159</v>
      </c>
      <c r="E2568" s="305" t="s">
        <v>444</v>
      </c>
      <c r="F2568" s="309" t="s">
        <v>1191</v>
      </c>
      <c r="G2568" s="306">
        <v>100</v>
      </c>
      <c r="H2568" s="305" t="s">
        <v>274</v>
      </c>
      <c r="I2568" s="305" t="s">
        <v>152</v>
      </c>
      <c r="J2568" s="305" t="s">
        <v>135</v>
      </c>
      <c r="K2568" s="305" t="s">
        <v>2119</v>
      </c>
    </row>
    <row r="2569" spans="1:11" x14ac:dyDescent="0.25">
      <c r="A2569" s="302" t="str">
        <f t="shared" si="70"/>
        <v>Energy Star Steamer_4 Pans_CI_PCBase</v>
      </c>
      <c r="B2569" s="303" t="s">
        <v>1186</v>
      </c>
      <c r="C2569" s="304" t="s">
        <v>1189</v>
      </c>
      <c r="D2569" s="303" t="s">
        <v>1159</v>
      </c>
      <c r="E2569" s="305" t="s">
        <v>445</v>
      </c>
      <c r="F2569" s="309"/>
      <c r="G2569" s="306">
        <f>G2564</f>
        <v>87</v>
      </c>
      <c r="H2569" s="305" t="s">
        <v>1190</v>
      </c>
      <c r="I2569" s="305" t="s">
        <v>152</v>
      </c>
      <c r="J2569" s="305" t="s">
        <v>135</v>
      </c>
      <c r="K2569" s="305" t="s">
        <v>2119</v>
      </c>
    </row>
    <row r="2570" spans="1:11" x14ac:dyDescent="0.25">
      <c r="A2570" s="302" t="str">
        <f t="shared" si="70"/>
        <v>Energy Star Steamer_4 Pans_CI_PREnumber</v>
      </c>
      <c r="B2570" s="303" t="s">
        <v>1186</v>
      </c>
      <c r="C2570" s="304" t="s">
        <v>1189</v>
      </c>
      <c r="D2570" s="303" t="s">
        <v>1159</v>
      </c>
      <c r="E2570" s="305" t="s">
        <v>446</v>
      </c>
      <c r="F2570" s="309" t="s">
        <v>2383</v>
      </c>
      <c r="G2570" s="306">
        <v>1</v>
      </c>
      <c r="H2570" s="305" t="s">
        <v>274</v>
      </c>
      <c r="I2570" s="305" t="s">
        <v>152</v>
      </c>
      <c r="J2570" s="305" t="s">
        <v>135</v>
      </c>
      <c r="K2570" s="305" t="s">
        <v>2119</v>
      </c>
    </row>
    <row r="2571" spans="1:11" x14ac:dyDescent="0.25">
      <c r="A2571" s="302" t="str">
        <f t="shared" si="70"/>
        <v>Energy Star Steamer_4 Pans_CI_PreTimeBase</v>
      </c>
      <c r="B2571" s="303" t="s">
        <v>1186</v>
      </c>
      <c r="C2571" s="304" t="s">
        <v>1189</v>
      </c>
      <c r="D2571" s="303" t="s">
        <v>1159</v>
      </c>
      <c r="E2571" s="311" t="s">
        <v>2576</v>
      </c>
      <c r="F2571" s="334" t="s">
        <v>2577</v>
      </c>
      <c r="G2571" s="310">
        <f>10.9/60</f>
        <v>0.18166666666666667</v>
      </c>
      <c r="H2571" s="311" t="s">
        <v>1188</v>
      </c>
      <c r="I2571" s="305" t="s">
        <v>152</v>
      </c>
      <c r="J2571" s="305" t="s">
        <v>135</v>
      </c>
      <c r="K2571" s="305" t="s">
        <v>2119</v>
      </c>
    </row>
    <row r="2572" spans="1:11" x14ac:dyDescent="0.25">
      <c r="A2572" s="302" t="str">
        <f t="shared" si="70"/>
        <v>Energy Star Steamer_4 Pans_CI_CSM%ENERGYSTAR</v>
      </c>
      <c r="B2572" s="303" t="s">
        <v>1186</v>
      </c>
      <c r="C2572" s="304" t="s">
        <v>1189</v>
      </c>
      <c r="D2572" s="303" t="s">
        <v>1159</v>
      </c>
      <c r="E2572" s="305" t="s">
        <v>447</v>
      </c>
      <c r="F2572" s="309"/>
      <c r="G2572" s="306">
        <v>0</v>
      </c>
      <c r="H2572" s="305"/>
      <c r="I2572" s="305" t="s">
        <v>152</v>
      </c>
      <c r="J2572" s="305" t="s">
        <v>135</v>
      </c>
      <c r="K2572" s="305" t="s">
        <v>2119</v>
      </c>
    </row>
    <row r="2573" spans="1:11" x14ac:dyDescent="0.25">
      <c r="A2573" s="302" t="str">
        <f t="shared" si="70"/>
        <v>Energy Star Steamer_4 Pans_CI_IDLEENERGYSTAR</v>
      </c>
      <c r="B2573" s="303" t="s">
        <v>1186</v>
      </c>
      <c r="C2573" s="304" t="s">
        <v>1189</v>
      </c>
      <c r="D2573" s="303" t="s">
        <v>1159</v>
      </c>
      <c r="E2573" s="305" t="s">
        <v>448</v>
      </c>
      <c r="F2573" s="309" t="s">
        <v>479</v>
      </c>
      <c r="G2573" s="306">
        <v>8333</v>
      </c>
      <c r="H2573" s="305" t="s">
        <v>1190</v>
      </c>
      <c r="I2573" s="305" t="s">
        <v>152</v>
      </c>
      <c r="J2573" s="305" t="s">
        <v>135</v>
      </c>
      <c r="K2573" s="305" t="s">
        <v>2119</v>
      </c>
    </row>
    <row r="2574" spans="1:11" x14ac:dyDescent="0.25">
      <c r="A2574" s="302" t="str">
        <f t="shared" si="70"/>
        <v>Energy Star Steamer_4 Pans_CI_CSM%ENERGYSTAR</v>
      </c>
      <c r="B2574" s="303" t="s">
        <v>1186</v>
      </c>
      <c r="C2574" s="304" t="s">
        <v>1189</v>
      </c>
      <c r="D2574" s="303" t="s">
        <v>1159</v>
      </c>
      <c r="E2574" s="305" t="s">
        <v>447</v>
      </c>
      <c r="F2574" s="309"/>
      <c r="G2574" s="306">
        <f>G2572</f>
        <v>0</v>
      </c>
      <c r="H2574" s="305"/>
      <c r="I2574" s="305" t="s">
        <v>152</v>
      </c>
      <c r="J2574" s="305" t="s">
        <v>135</v>
      </c>
      <c r="K2574" s="305" t="s">
        <v>2119</v>
      </c>
    </row>
    <row r="2575" spans="1:11" x14ac:dyDescent="0.25">
      <c r="A2575" s="302" t="str">
        <f t="shared" si="70"/>
        <v>Energy Star Steamer_4 Pans_CI_PCENERGYSTAR</v>
      </c>
      <c r="B2575" s="303" t="s">
        <v>1186</v>
      </c>
      <c r="C2575" s="304" t="s">
        <v>1189</v>
      </c>
      <c r="D2575" s="303" t="s">
        <v>1159</v>
      </c>
      <c r="E2575" s="311" t="s">
        <v>2616</v>
      </c>
      <c r="F2575" s="309" t="s">
        <v>1170</v>
      </c>
      <c r="G2575" s="306">
        <v>73</v>
      </c>
      <c r="H2575" s="305" t="s">
        <v>1190</v>
      </c>
      <c r="I2575" s="305" t="s">
        <v>152</v>
      </c>
      <c r="J2575" s="305" t="s">
        <v>135</v>
      </c>
      <c r="K2575" s="305" t="s">
        <v>2119</v>
      </c>
    </row>
    <row r="2576" spans="1:11" x14ac:dyDescent="0.25">
      <c r="A2576" s="302" t="str">
        <f t="shared" si="70"/>
        <v>Energy Star Steamer_4 Pans_CI_EFOOD</v>
      </c>
      <c r="B2576" s="303" t="s">
        <v>1186</v>
      </c>
      <c r="C2576" s="304" t="s">
        <v>1189</v>
      </c>
      <c r="D2576" s="303" t="s">
        <v>1159</v>
      </c>
      <c r="E2576" s="305" t="s">
        <v>443</v>
      </c>
      <c r="F2576" s="309" t="s">
        <v>651</v>
      </c>
      <c r="G2576" s="306">
        <f>G2565</f>
        <v>105</v>
      </c>
      <c r="H2576" s="305" t="s">
        <v>1188</v>
      </c>
      <c r="I2576" s="305" t="s">
        <v>152</v>
      </c>
      <c r="J2576" s="305" t="s">
        <v>135</v>
      </c>
      <c r="K2576" s="305" t="s">
        <v>2119</v>
      </c>
    </row>
    <row r="2577" spans="1:11" x14ac:dyDescent="0.25">
      <c r="A2577" s="302" t="str">
        <f t="shared" si="70"/>
        <v>Energy Star Steamer_4 Pans_CI_Eff_ENERGY STAR</v>
      </c>
      <c r="B2577" s="303" t="s">
        <v>1186</v>
      </c>
      <c r="C2577" s="304" t="s">
        <v>1189</v>
      </c>
      <c r="D2577" s="303" t="s">
        <v>1159</v>
      </c>
      <c r="E2577" s="305" t="s">
        <v>1171</v>
      </c>
      <c r="F2577" s="309" t="s">
        <v>539</v>
      </c>
      <c r="G2577" s="306">
        <v>0.38</v>
      </c>
      <c r="H2577" s="305" t="s">
        <v>1188</v>
      </c>
      <c r="I2577" s="305" t="s">
        <v>152</v>
      </c>
      <c r="J2577" s="305" t="s">
        <v>135</v>
      </c>
      <c r="K2577" s="305" t="s">
        <v>2119</v>
      </c>
    </row>
    <row r="2578" spans="1:11" x14ac:dyDescent="0.25">
      <c r="A2578" s="302" t="str">
        <f t="shared" si="70"/>
        <v>Energy Star Steamer_4 Pans_CI_HOURS_day</v>
      </c>
      <c r="B2578" s="303" t="s">
        <v>1186</v>
      </c>
      <c r="C2578" s="304" t="s">
        <v>1189</v>
      </c>
      <c r="D2578" s="303" t="s">
        <v>1159</v>
      </c>
      <c r="E2578" s="311" t="s">
        <v>2615</v>
      </c>
      <c r="F2578" s="305" t="s">
        <v>618</v>
      </c>
      <c r="G2578" s="306">
        <f>G2567</f>
        <v>6</v>
      </c>
      <c r="H2578" s="305" t="s">
        <v>274</v>
      </c>
      <c r="I2578" s="305" t="s">
        <v>152</v>
      </c>
      <c r="J2578" s="305" t="s">
        <v>135</v>
      </c>
      <c r="K2578" s="305" t="s">
        <v>2119</v>
      </c>
    </row>
    <row r="2579" spans="1:11" x14ac:dyDescent="0.25">
      <c r="A2579" s="302" t="str">
        <f t="shared" si="70"/>
        <v>Energy Star Steamer_4 Pans_CI_F</v>
      </c>
      <c r="B2579" s="303" t="s">
        <v>1186</v>
      </c>
      <c r="C2579" s="304" t="s">
        <v>1189</v>
      </c>
      <c r="D2579" s="303" t="s">
        <v>1159</v>
      </c>
      <c r="E2579" s="305" t="s">
        <v>444</v>
      </c>
      <c r="F2579" s="309" t="s">
        <v>1191</v>
      </c>
      <c r="G2579" s="306">
        <f>G2568</f>
        <v>100</v>
      </c>
      <c r="H2579" s="305" t="s">
        <v>274</v>
      </c>
      <c r="I2579" s="305" t="s">
        <v>152</v>
      </c>
      <c r="J2579" s="305" t="s">
        <v>135</v>
      </c>
      <c r="K2579" s="305" t="s">
        <v>2119</v>
      </c>
    </row>
    <row r="2580" spans="1:11" x14ac:dyDescent="0.25">
      <c r="A2580" s="302" t="str">
        <f t="shared" si="70"/>
        <v>Energy Star Steamer_4 Pans_CI_PCENERGYSTAR</v>
      </c>
      <c r="B2580" s="303" t="s">
        <v>1186</v>
      </c>
      <c r="C2580" s="304" t="s">
        <v>1189</v>
      </c>
      <c r="D2580" s="303" t="s">
        <v>1159</v>
      </c>
      <c r="E2580" s="311" t="s">
        <v>2616</v>
      </c>
      <c r="F2580" s="309" t="s">
        <v>1170</v>
      </c>
      <c r="G2580" s="306">
        <f>G2575</f>
        <v>73</v>
      </c>
      <c r="H2580" s="305" t="s">
        <v>1190</v>
      </c>
      <c r="I2580" s="305" t="s">
        <v>152</v>
      </c>
      <c r="J2580" s="305" t="s">
        <v>135</v>
      </c>
      <c r="K2580" s="305" t="s">
        <v>2119</v>
      </c>
    </row>
    <row r="2581" spans="1:11" x14ac:dyDescent="0.25">
      <c r="A2581" s="302" t="str">
        <f t="shared" si="70"/>
        <v>Energy Star Steamer_4 Pans_CI_PREnumber</v>
      </c>
      <c r="B2581" s="303" t="s">
        <v>1186</v>
      </c>
      <c r="C2581" s="304" t="s">
        <v>1189</v>
      </c>
      <c r="D2581" s="303" t="s">
        <v>1159</v>
      </c>
      <c r="E2581" s="305" t="s">
        <v>446</v>
      </c>
      <c r="F2581" s="309" t="s">
        <v>2383</v>
      </c>
      <c r="G2581" s="306">
        <f>G2570</f>
        <v>1</v>
      </c>
      <c r="H2581" s="305" t="s">
        <v>274</v>
      </c>
      <c r="I2581" s="305" t="s">
        <v>152</v>
      </c>
      <c r="J2581" s="305" t="s">
        <v>135</v>
      </c>
      <c r="K2581" s="305" t="s">
        <v>2119</v>
      </c>
    </row>
    <row r="2582" spans="1:11" x14ac:dyDescent="0.25">
      <c r="A2582" s="302" t="str">
        <f t="shared" si="70"/>
        <v>Energy Star Steamer_4 Pans_CI_PreTimeEE</v>
      </c>
      <c r="B2582" s="303" t="s">
        <v>1186</v>
      </c>
      <c r="C2582" s="304" t="s">
        <v>1189</v>
      </c>
      <c r="D2582" s="303" t="s">
        <v>1159</v>
      </c>
      <c r="E2582" s="311" t="s">
        <v>2578</v>
      </c>
      <c r="F2582" s="334" t="s">
        <v>2577</v>
      </c>
      <c r="G2582" s="310">
        <f>13.4/60</f>
        <v>0.22333333333333333</v>
      </c>
      <c r="H2582" s="311" t="s">
        <v>1188</v>
      </c>
      <c r="I2582" s="305" t="s">
        <v>152</v>
      </c>
      <c r="J2582" s="305" t="s">
        <v>135</v>
      </c>
      <c r="K2582" s="305" t="s">
        <v>2119</v>
      </c>
    </row>
    <row r="2583" spans="1:11" x14ac:dyDescent="0.25">
      <c r="A2583" s="302" t="str">
        <f t="shared" si="70"/>
        <v>Energy Star Steamer_4 Pans_CI_Delta_Idle_Energy</v>
      </c>
      <c r="B2583" s="303" t="s">
        <v>1186</v>
      </c>
      <c r="C2583" s="304" t="s">
        <v>1189</v>
      </c>
      <c r="D2583" s="303" t="s">
        <v>1159</v>
      </c>
      <c r="E2583" s="311" t="s">
        <v>449</v>
      </c>
      <c r="F2583" s="334"/>
      <c r="G2583" s="310">
        <f xml:space="preserve"> ((((1- G2561)* G2562 + G2563 * G2564 * G2565 / G2566) * (G2567 - (G2568 / G2569) - ( G2570 *G2571))) - (((1- G2572) * G2573 + G2574 * G2575 * G2576 / G2577) * (G2578 - (G2579/ G2580 ) - (G2581 * G2582 ))))</f>
        <v>226028.8425908518</v>
      </c>
      <c r="H2583" s="311"/>
      <c r="I2583" s="305" t="s">
        <v>152</v>
      </c>
      <c r="J2583" s="305" t="s">
        <v>135</v>
      </c>
      <c r="K2583" s="305" t="s">
        <v>2119</v>
      </c>
    </row>
    <row r="2584" spans="1:11" x14ac:dyDescent="0.25">
      <c r="A2584" s="302" t="str">
        <f t="shared" si="70"/>
        <v>Energy Star Steamer_4 Pans_CI_PREnumber</v>
      </c>
      <c r="B2584" s="303" t="s">
        <v>1186</v>
      </c>
      <c r="C2584" s="304" t="s">
        <v>1189</v>
      </c>
      <c r="D2584" s="303" t="s">
        <v>1159</v>
      </c>
      <c r="E2584" s="305" t="s">
        <v>446</v>
      </c>
      <c r="F2584" s="309" t="s">
        <v>2383</v>
      </c>
      <c r="G2584" s="306">
        <f>G2581</f>
        <v>1</v>
      </c>
      <c r="H2584" s="305" t="s">
        <v>274</v>
      </c>
      <c r="I2584" s="305" t="s">
        <v>152</v>
      </c>
      <c r="J2584" s="305" t="s">
        <v>135</v>
      </c>
      <c r="K2584" s="305" t="s">
        <v>2119</v>
      </c>
    </row>
    <row r="2585" spans="1:11" x14ac:dyDescent="0.25">
      <c r="A2585" s="302" t="str">
        <f t="shared" si="70"/>
        <v>Energy Star Steamer_4 Pans_CI_PREheat_Base</v>
      </c>
      <c r="B2585" s="303" t="s">
        <v>1186</v>
      </c>
      <c r="C2585" s="304" t="s">
        <v>1189</v>
      </c>
      <c r="D2585" s="303" t="s">
        <v>1159</v>
      </c>
      <c r="E2585" s="311" t="s">
        <v>2579</v>
      </c>
      <c r="F2585" s="334" t="s">
        <v>941</v>
      </c>
      <c r="G2585" s="310">
        <v>18832.7</v>
      </c>
      <c r="H2585" s="311" t="s">
        <v>1188</v>
      </c>
      <c r="I2585" s="305" t="s">
        <v>152</v>
      </c>
      <c r="J2585" s="305" t="s">
        <v>135</v>
      </c>
      <c r="K2585" s="305" t="s">
        <v>2119</v>
      </c>
    </row>
    <row r="2586" spans="1:11" x14ac:dyDescent="0.25">
      <c r="A2586" s="302" t="str">
        <f t="shared" si="70"/>
        <v>Energy Star Steamer_4 Pans_CI_PREheat_EE</v>
      </c>
      <c r="B2586" s="303" t="s">
        <v>1186</v>
      </c>
      <c r="C2586" s="304" t="s">
        <v>1189</v>
      </c>
      <c r="D2586" s="303" t="s">
        <v>1159</v>
      </c>
      <c r="E2586" s="311" t="s">
        <v>2580</v>
      </c>
      <c r="F2586" s="334" t="s">
        <v>941</v>
      </c>
      <c r="G2586" s="310">
        <v>10293.9</v>
      </c>
      <c r="H2586" s="311" t="s">
        <v>1188</v>
      </c>
      <c r="I2586" s="305" t="s">
        <v>152</v>
      </c>
      <c r="J2586" s="305" t="s">
        <v>135</v>
      </c>
      <c r="K2586" s="305" t="s">
        <v>2119</v>
      </c>
    </row>
    <row r="2587" spans="1:11" x14ac:dyDescent="0.25">
      <c r="A2587" s="302" t="str">
        <f t="shared" si="70"/>
        <v>Energy Star Steamer_4 Pans_CI_Delta_Preheat_Energy</v>
      </c>
      <c r="B2587" s="303" t="s">
        <v>1186</v>
      </c>
      <c r="C2587" s="304" t="s">
        <v>1189</v>
      </c>
      <c r="D2587" s="303" t="s">
        <v>1159</v>
      </c>
      <c r="E2587" s="311" t="s">
        <v>450</v>
      </c>
      <c r="F2587" s="334"/>
      <c r="G2587" s="310">
        <f xml:space="preserve"> G2584 * (G2585-G2586)</f>
        <v>8538.8000000000011</v>
      </c>
      <c r="H2587" s="311"/>
      <c r="I2587" s="305" t="s">
        <v>152</v>
      </c>
      <c r="J2587" s="305" t="s">
        <v>135</v>
      </c>
      <c r="K2587" s="305" t="s">
        <v>2119</v>
      </c>
    </row>
    <row r="2588" spans="1:11" x14ac:dyDescent="0.25">
      <c r="A2588" s="302" t="str">
        <f t="shared" si="70"/>
        <v>Energy Star Steamer_4 Pans_CI_Eff_Base</v>
      </c>
      <c r="B2588" s="303" t="s">
        <v>1186</v>
      </c>
      <c r="C2588" s="304" t="s">
        <v>1189</v>
      </c>
      <c r="D2588" s="303" t="s">
        <v>1159</v>
      </c>
      <c r="E2588" s="305" t="s">
        <v>1172</v>
      </c>
      <c r="F2588" s="309" t="s">
        <v>539</v>
      </c>
      <c r="G2588" s="306">
        <f>G2566</f>
        <v>0.15</v>
      </c>
      <c r="H2588" s="305" t="s">
        <v>1188</v>
      </c>
      <c r="I2588" s="305" t="s">
        <v>152</v>
      </c>
      <c r="J2588" s="305" t="s">
        <v>135</v>
      </c>
      <c r="K2588" s="305" t="s">
        <v>2119</v>
      </c>
    </row>
    <row r="2589" spans="1:11" x14ac:dyDescent="0.25">
      <c r="A2589" s="302" t="str">
        <f t="shared" si="70"/>
        <v>Energy Star Steamer_4 Pans_CI_Eff_ENERGY STAR</v>
      </c>
      <c r="B2589" s="303" t="s">
        <v>1186</v>
      </c>
      <c r="C2589" s="304" t="s">
        <v>1189</v>
      </c>
      <c r="D2589" s="303" t="s">
        <v>1159</v>
      </c>
      <c r="E2589" s="305" t="s">
        <v>1171</v>
      </c>
      <c r="F2589" s="309" t="s">
        <v>539</v>
      </c>
      <c r="G2589" s="306">
        <f>G2577</f>
        <v>0.38</v>
      </c>
      <c r="H2589" s="305" t="s">
        <v>1188</v>
      </c>
      <c r="I2589" s="305" t="s">
        <v>152</v>
      </c>
      <c r="J2589" s="305" t="s">
        <v>135</v>
      </c>
      <c r="K2589" s="305" t="s">
        <v>2119</v>
      </c>
    </row>
    <row r="2590" spans="1:11" x14ac:dyDescent="0.25">
      <c r="A2590" s="302" t="str">
        <f t="shared" si="70"/>
        <v>Energy Star Steamer_4 Pans_CI_F</v>
      </c>
      <c r="B2590" s="303" t="s">
        <v>1186</v>
      </c>
      <c r="C2590" s="304" t="s">
        <v>1189</v>
      </c>
      <c r="D2590" s="303" t="s">
        <v>1159</v>
      </c>
      <c r="E2590" s="305" t="s">
        <v>444</v>
      </c>
      <c r="F2590" s="309" t="s">
        <v>1191</v>
      </c>
      <c r="G2590" s="306">
        <f>G2579</f>
        <v>100</v>
      </c>
      <c r="H2590" s="305" t="s">
        <v>274</v>
      </c>
      <c r="I2590" s="305" t="s">
        <v>152</v>
      </c>
      <c r="J2590" s="305" t="s">
        <v>135</v>
      </c>
      <c r="K2590" s="305" t="s">
        <v>2119</v>
      </c>
    </row>
    <row r="2591" spans="1:11" x14ac:dyDescent="0.25">
      <c r="A2591" s="302" t="str">
        <f t="shared" si="70"/>
        <v>Energy Star Steamer_4 Pans_CI_EFOOD</v>
      </c>
      <c r="B2591" s="303" t="s">
        <v>1186</v>
      </c>
      <c r="C2591" s="304" t="s">
        <v>1189</v>
      </c>
      <c r="D2591" s="303" t="s">
        <v>1159</v>
      </c>
      <c r="E2591" s="305" t="s">
        <v>443</v>
      </c>
      <c r="F2591" s="309" t="s">
        <v>651</v>
      </c>
      <c r="G2591" s="306">
        <f>G2576</f>
        <v>105</v>
      </c>
      <c r="H2591" s="305" t="s">
        <v>1188</v>
      </c>
      <c r="I2591" s="305" t="s">
        <v>152</v>
      </c>
      <c r="J2591" s="305" t="s">
        <v>135</v>
      </c>
      <c r="K2591" s="305" t="s">
        <v>2119</v>
      </c>
    </row>
    <row r="2592" spans="1:11" x14ac:dyDescent="0.25">
      <c r="A2592" s="302" t="str">
        <f t="shared" si="70"/>
        <v>Energy Star Steamer_4 Pans_CI_Delta_Cooking_Energy</v>
      </c>
      <c r="B2592" s="303" t="s">
        <v>1186</v>
      </c>
      <c r="C2592" s="304" t="s">
        <v>1189</v>
      </c>
      <c r="D2592" s="303" t="s">
        <v>1159</v>
      </c>
      <c r="E2592" s="305" t="s">
        <v>451</v>
      </c>
      <c r="F2592" s="309"/>
      <c r="G2592" s="306">
        <f xml:space="preserve"> ((1 / G2588) - (1 / G2589)) * G2590 * G2591</f>
        <v>42368.42105263158</v>
      </c>
      <c r="H2592" s="305"/>
      <c r="I2592" s="305" t="s">
        <v>152</v>
      </c>
      <c r="J2592" s="305" t="s">
        <v>135</v>
      </c>
      <c r="K2592" s="305" t="s">
        <v>2119</v>
      </c>
    </row>
    <row r="2593" spans="1:11" x14ac:dyDescent="0.25">
      <c r="A2593" s="302" t="str">
        <f t="shared" si="70"/>
        <v>Energy Star Steamer_4 Pans_CI_Days</v>
      </c>
      <c r="B2593" s="303" t="s">
        <v>1186</v>
      </c>
      <c r="C2593" s="304" t="s">
        <v>1189</v>
      </c>
      <c r="D2593" s="303" t="s">
        <v>1159</v>
      </c>
      <c r="E2593" s="311" t="s">
        <v>2419</v>
      </c>
      <c r="F2593" s="309"/>
      <c r="G2593" s="306">
        <v>365.25</v>
      </c>
      <c r="H2593" s="305"/>
      <c r="I2593" s="305" t="s">
        <v>152</v>
      </c>
      <c r="J2593" s="305" t="s">
        <v>135</v>
      </c>
      <c r="K2593" s="305" t="s">
        <v>2119</v>
      </c>
    </row>
    <row r="2594" spans="1:11" x14ac:dyDescent="0.25">
      <c r="A2594" s="302" t="str">
        <f t="shared" si="70"/>
        <v>Energy Star Steamer_4 Pans_CI_Delta_Savings</v>
      </c>
      <c r="B2594" s="303" t="s">
        <v>1186</v>
      </c>
      <c r="C2594" s="304" t="s">
        <v>1189</v>
      </c>
      <c r="D2594" s="303" t="s">
        <v>1159</v>
      </c>
      <c r="E2594" s="305" t="s">
        <v>452</v>
      </c>
      <c r="F2594" s="309"/>
      <c r="G2594" s="306">
        <f xml:space="preserve"> (G2583 + G2587 + G2592) * G2593</f>
        <v>101150897.2457823</v>
      </c>
      <c r="H2594" s="305"/>
      <c r="I2594" s="305" t="s">
        <v>152</v>
      </c>
      <c r="J2594" s="305" t="s">
        <v>135</v>
      </c>
      <c r="K2594" s="305" t="s">
        <v>2119</v>
      </c>
    </row>
    <row r="2595" spans="1:11" x14ac:dyDescent="0.25">
      <c r="A2595" s="302" t="str">
        <f t="shared" si="70"/>
        <v>Energy Star Steamer_4 Pans_CI_WBASE</v>
      </c>
      <c r="B2595" s="303" t="s">
        <v>1186</v>
      </c>
      <c r="C2595" s="304" t="s">
        <v>1189</v>
      </c>
      <c r="D2595" s="303" t="s">
        <v>1159</v>
      </c>
      <c r="E2595" s="305" t="s">
        <v>453</v>
      </c>
      <c r="F2595" s="309"/>
      <c r="G2595" s="306">
        <v>40</v>
      </c>
      <c r="H2595" s="305"/>
      <c r="I2595" s="305" t="s">
        <v>152</v>
      </c>
      <c r="J2595" s="305" t="s">
        <v>135</v>
      </c>
      <c r="K2595" s="305" t="s">
        <v>2119</v>
      </c>
    </row>
    <row r="2596" spans="1:11" x14ac:dyDescent="0.25">
      <c r="A2596" s="302" t="str">
        <f t="shared" si="70"/>
        <v>Energy Star Steamer_4 Pans_CI_WENERGYSTAR</v>
      </c>
      <c r="B2596" s="303" t="s">
        <v>1186</v>
      </c>
      <c r="C2596" s="304" t="s">
        <v>1189</v>
      </c>
      <c r="D2596" s="303" t="s">
        <v>1159</v>
      </c>
      <c r="E2596" s="305" t="s">
        <v>454</v>
      </c>
      <c r="F2596" s="309"/>
      <c r="G2596" s="306">
        <v>10</v>
      </c>
      <c r="H2596" s="305" t="s">
        <v>455</v>
      </c>
      <c r="I2596" s="305" t="s">
        <v>152</v>
      </c>
      <c r="J2596" s="305" t="s">
        <v>135</v>
      </c>
      <c r="K2596" s="305" t="s">
        <v>2119</v>
      </c>
    </row>
    <row r="2597" spans="1:11" x14ac:dyDescent="0.25">
      <c r="A2597" s="302" t="str">
        <f t="shared" si="70"/>
        <v>Energy Star Steamer_4 Pans_CI_HOURS_day</v>
      </c>
      <c r="B2597" s="303" t="s">
        <v>1186</v>
      </c>
      <c r="C2597" s="304" t="s">
        <v>1189</v>
      </c>
      <c r="D2597" s="303" t="s">
        <v>1159</v>
      </c>
      <c r="E2597" s="311" t="s">
        <v>2615</v>
      </c>
      <c r="F2597" s="305" t="s">
        <v>618</v>
      </c>
      <c r="G2597" s="306">
        <v>6</v>
      </c>
      <c r="H2597" s="305" t="s">
        <v>274</v>
      </c>
      <c r="I2597" s="305" t="s">
        <v>152</v>
      </c>
      <c r="J2597" s="305" t="s">
        <v>135</v>
      </c>
      <c r="K2597" s="305" t="s">
        <v>2119</v>
      </c>
    </row>
    <row r="2598" spans="1:11" x14ac:dyDescent="0.25">
      <c r="A2598" s="302" t="str">
        <f t="shared" si="70"/>
        <v>Energy Star Steamer_4 Pans_CI_Days</v>
      </c>
      <c r="B2598" s="303" t="s">
        <v>1186</v>
      </c>
      <c r="C2598" s="304" t="s">
        <v>1189</v>
      </c>
      <c r="D2598" s="303" t="s">
        <v>1159</v>
      </c>
      <c r="E2598" s="311" t="s">
        <v>2419</v>
      </c>
      <c r="F2598" s="309"/>
      <c r="G2598" s="306">
        <v>365.25</v>
      </c>
      <c r="H2598" s="305"/>
      <c r="I2598" s="305" t="s">
        <v>152</v>
      </c>
      <c r="J2598" s="305" t="s">
        <v>135</v>
      </c>
      <c r="K2598" s="305" t="s">
        <v>2119</v>
      </c>
    </row>
    <row r="2599" spans="1:11" x14ac:dyDescent="0.25">
      <c r="A2599" s="302" t="str">
        <f t="shared" si="70"/>
        <v>Energy Star Steamer_4 Pans_CI_Delta_Water_Gallons</v>
      </c>
      <c r="B2599" s="303" t="s">
        <v>1186</v>
      </c>
      <c r="C2599" s="304" t="s">
        <v>1189</v>
      </c>
      <c r="D2599" s="303" t="s">
        <v>1159</v>
      </c>
      <c r="E2599" s="305" t="s">
        <v>456</v>
      </c>
      <c r="F2599" s="309"/>
      <c r="G2599" s="306">
        <f xml:space="preserve"> (G2595 - G2596)* G2597 * G2598</f>
        <v>65745</v>
      </c>
      <c r="H2599" s="305"/>
      <c r="I2599" s="305" t="s">
        <v>152</v>
      </c>
      <c r="J2599" s="305" t="s">
        <v>135</v>
      </c>
      <c r="K2599" s="305" t="s">
        <v>2119</v>
      </c>
    </row>
    <row r="2600" spans="1:11" x14ac:dyDescent="0.25">
      <c r="A2600" s="302" t="str">
        <f t="shared" si="70"/>
        <v>Energy Star Steamer_4 Pans_CI_Conversion</v>
      </c>
      <c r="B2600" s="303" t="s">
        <v>1186</v>
      </c>
      <c r="C2600" s="304" t="s">
        <v>1189</v>
      </c>
      <c r="D2600" s="303" t="s">
        <v>1159</v>
      </c>
      <c r="E2600" s="305" t="s">
        <v>284</v>
      </c>
      <c r="F2600" s="309"/>
      <c r="G2600" s="306">
        <v>1000000</v>
      </c>
      <c r="H2600" s="305"/>
      <c r="I2600" s="305" t="s">
        <v>152</v>
      </c>
      <c r="J2600" s="305" t="s">
        <v>135</v>
      </c>
      <c r="K2600" s="305" t="s">
        <v>2119</v>
      </c>
    </row>
    <row r="2601" spans="1:11" x14ac:dyDescent="0.25">
      <c r="A2601" s="302" t="str">
        <f t="shared" ref="A2601:A2666" si="72">B2601&amp;"_"&amp;C2601&amp;"_"&amp;D2601&amp;"_"&amp;E2601</f>
        <v>Energy Star Steamer_4 Pans_CI_E_water_supply</v>
      </c>
      <c r="B2601" s="303" t="s">
        <v>1186</v>
      </c>
      <c r="C2601" s="304" t="s">
        <v>1189</v>
      </c>
      <c r="D2601" s="303" t="s">
        <v>1159</v>
      </c>
      <c r="E2601" s="305" t="s">
        <v>457</v>
      </c>
      <c r="F2601" s="309"/>
      <c r="G2601" s="306">
        <v>2571</v>
      </c>
      <c r="H2601" s="305"/>
      <c r="I2601" s="305" t="s">
        <v>152</v>
      </c>
      <c r="J2601" s="305" t="s">
        <v>135</v>
      </c>
      <c r="K2601" s="305" t="s">
        <v>2119</v>
      </c>
    </row>
    <row r="2602" spans="1:11" x14ac:dyDescent="0.25">
      <c r="A2602" s="302" t="str">
        <f t="shared" si="72"/>
        <v>Energy Star Steamer_4 Pans_CI_Delta_kWh_water</v>
      </c>
      <c r="B2602" s="303" t="s">
        <v>1186</v>
      </c>
      <c r="C2602" s="304" t="s">
        <v>1189</v>
      </c>
      <c r="D2602" s="303" t="s">
        <v>1159</v>
      </c>
      <c r="E2602" s="305" t="s">
        <v>334</v>
      </c>
      <c r="F2602" s="309"/>
      <c r="G2602" s="306">
        <f xml:space="preserve"> G2599 / G2600 * G2601</f>
        <v>169.030395</v>
      </c>
      <c r="H2602" s="305"/>
      <c r="I2602" s="305" t="s">
        <v>152</v>
      </c>
      <c r="J2602" s="305" t="s">
        <v>135</v>
      </c>
      <c r="K2602" s="305" t="s">
        <v>2119</v>
      </c>
    </row>
    <row r="2603" spans="1:11" x14ac:dyDescent="0.25">
      <c r="A2603" s="302" t="str">
        <f t="shared" ref="A2603" si="73">B2603&amp;"_"&amp;C2603&amp;"_"&amp;D2603&amp;"_"&amp;E2603</f>
        <v>Energy Star Steamer_4 Pans_CI_CF</v>
      </c>
      <c r="B2603" s="303" t="s">
        <v>1186</v>
      </c>
      <c r="C2603" s="304" t="s">
        <v>1189</v>
      </c>
      <c r="D2603" s="303" t="s">
        <v>1159</v>
      </c>
      <c r="E2603" s="305" t="s">
        <v>253</v>
      </c>
      <c r="F2603" s="309"/>
      <c r="G2603" s="306">
        <v>0.36</v>
      </c>
      <c r="H2603" s="305" t="s">
        <v>458</v>
      </c>
      <c r="I2603" s="305" t="s">
        <v>152</v>
      </c>
      <c r="J2603" s="305" t="s">
        <v>135</v>
      </c>
      <c r="K2603" s="305" t="s">
        <v>2119</v>
      </c>
    </row>
    <row r="2604" spans="1:11" x14ac:dyDescent="0.25">
      <c r="A2604" s="302" t="str">
        <f t="shared" si="72"/>
        <v>Energy Star Steamer_4 Pans_CI_kWh Saved per Unit</v>
      </c>
      <c r="B2604" s="303" t="s">
        <v>1186</v>
      </c>
      <c r="C2604" s="304" t="s">
        <v>1189</v>
      </c>
      <c r="D2604" s="303" t="s">
        <v>1159</v>
      </c>
      <c r="E2604" s="314" t="s">
        <v>255</v>
      </c>
      <c r="F2604" s="326"/>
      <c r="G2604" s="315">
        <f>G2602</f>
        <v>169.030395</v>
      </c>
      <c r="H2604" s="305"/>
      <c r="I2604" s="305" t="s">
        <v>152</v>
      </c>
      <c r="J2604" s="305" t="s">
        <v>135</v>
      </c>
      <c r="K2604" s="305" t="s">
        <v>2119</v>
      </c>
    </row>
    <row r="2605" spans="1:11" x14ac:dyDescent="0.25">
      <c r="A2605" s="302" t="str">
        <f t="shared" si="72"/>
        <v>Energy Star Steamer_4 Pans_CI_Coincident Peak kW Saved per Unit</v>
      </c>
      <c r="B2605" s="303" t="s">
        <v>1186</v>
      </c>
      <c r="C2605" s="304" t="s">
        <v>1189</v>
      </c>
      <c r="D2605" s="303" t="s">
        <v>1159</v>
      </c>
      <c r="E2605" s="314" t="s">
        <v>257</v>
      </c>
      <c r="F2605" s="327"/>
      <c r="G2605" s="315">
        <f xml:space="preserve"> (G2594/(G2597 * G2598)) * G2603</f>
        <v>16616.163818609002</v>
      </c>
      <c r="H2605" s="305"/>
      <c r="I2605" s="305" t="s">
        <v>152</v>
      </c>
      <c r="J2605" s="305" t="s">
        <v>135</v>
      </c>
      <c r="K2605" s="305" t="s">
        <v>2119</v>
      </c>
    </row>
    <row r="2606" spans="1:11" x14ac:dyDescent="0.25">
      <c r="A2606" s="302" t="str">
        <f t="shared" si="72"/>
        <v>Energy Star Steamer_4 Pans_CI_Therm Saved per Unit</v>
      </c>
      <c r="B2606" s="303" t="s">
        <v>1186</v>
      </c>
      <c r="C2606" s="304" t="s">
        <v>1189</v>
      </c>
      <c r="D2606" s="303" t="s">
        <v>1159</v>
      </c>
      <c r="E2606" s="311" t="s">
        <v>326</v>
      </c>
      <c r="F2606" s="334"/>
      <c r="G2606" s="310">
        <f>G2594/100000</f>
        <v>1011.508972457823</v>
      </c>
      <c r="H2606" s="311"/>
      <c r="I2606" s="305" t="s">
        <v>152</v>
      </c>
      <c r="J2606" s="305" t="s">
        <v>135</v>
      </c>
      <c r="K2606" s="305" t="s">
        <v>2119</v>
      </c>
    </row>
    <row r="2607" spans="1:11" x14ac:dyDescent="0.25">
      <c r="A2607" s="302" t="str">
        <f t="shared" si="72"/>
        <v>Energy Star Steamer_4 Pans_CI_Gallons Saved per Unit</v>
      </c>
      <c r="B2607" s="303" t="s">
        <v>1186</v>
      </c>
      <c r="C2607" s="304" t="s">
        <v>1189</v>
      </c>
      <c r="D2607" s="303" t="s">
        <v>1159</v>
      </c>
      <c r="E2607" s="314" t="s">
        <v>547</v>
      </c>
      <c r="F2607" s="326"/>
      <c r="G2607" s="315">
        <f>G2598</f>
        <v>365.25</v>
      </c>
      <c r="H2607" s="305"/>
      <c r="I2607" s="305" t="s">
        <v>152</v>
      </c>
      <c r="J2607" s="305" t="s">
        <v>135</v>
      </c>
      <c r="K2607" s="305" t="s">
        <v>2119</v>
      </c>
    </row>
    <row r="2608" spans="1:11" x14ac:dyDescent="0.25">
      <c r="A2608" s="302" t="str">
        <f t="shared" si="72"/>
        <v>Energy Star Steamer_4 Pans_CI_Lifetime (years)</v>
      </c>
      <c r="B2608" s="303" t="s">
        <v>1186</v>
      </c>
      <c r="C2608" s="304" t="s">
        <v>1189</v>
      </c>
      <c r="D2608" s="303" t="s">
        <v>1159</v>
      </c>
      <c r="E2608" s="314" t="s">
        <v>259</v>
      </c>
      <c r="F2608" s="326"/>
      <c r="G2608" s="315">
        <v>12</v>
      </c>
      <c r="H2608" s="305"/>
      <c r="I2608" s="305" t="s">
        <v>152</v>
      </c>
      <c r="J2608" s="305" t="s">
        <v>135</v>
      </c>
      <c r="K2608" s="305" t="s">
        <v>2119</v>
      </c>
    </row>
    <row r="2609" spans="1:11" x14ac:dyDescent="0.25">
      <c r="A2609" s="302" t="str">
        <f t="shared" si="72"/>
        <v>Energy Star Steamer_4 Pans_CI_Incremental Cost</v>
      </c>
      <c r="B2609" s="303" t="s">
        <v>1186</v>
      </c>
      <c r="C2609" s="304" t="s">
        <v>1189</v>
      </c>
      <c r="D2609" s="303" t="s">
        <v>1159</v>
      </c>
      <c r="E2609" s="314" t="s">
        <v>260</v>
      </c>
      <c r="F2609" s="326"/>
      <c r="G2609" s="315">
        <v>998</v>
      </c>
      <c r="H2609" s="305" t="s">
        <v>232</v>
      </c>
      <c r="I2609" s="305" t="s">
        <v>152</v>
      </c>
      <c r="J2609" s="305" t="s">
        <v>135</v>
      </c>
      <c r="K2609" s="305" t="s">
        <v>2119</v>
      </c>
    </row>
    <row r="2610" spans="1:11" s="324" customFormat="1" x14ac:dyDescent="0.25">
      <c r="A2610" s="317" t="str">
        <f t="shared" si="72"/>
        <v>Energy Star Steamer_4 Pans_CI_</v>
      </c>
      <c r="B2610" s="317" t="str">
        <f>B2609</f>
        <v>Energy Star Steamer</v>
      </c>
      <c r="C2610" s="332" t="str">
        <f>C2609</f>
        <v>4 Pans</v>
      </c>
      <c r="D2610" s="317" t="str">
        <f>D2609</f>
        <v>CI</v>
      </c>
      <c r="E2610" s="320"/>
      <c r="F2610" s="320"/>
      <c r="G2610" s="329"/>
      <c r="H2610" s="320"/>
      <c r="I2610" s="320"/>
      <c r="J2610" s="320"/>
      <c r="K2610" s="320"/>
    </row>
    <row r="2611" spans="1:11" x14ac:dyDescent="0.25">
      <c r="A2611" s="302" t="str">
        <f t="shared" si="72"/>
        <v>Energy Star Steamer_5 Pans_CI_CSM%Baseline</v>
      </c>
      <c r="B2611" s="303" t="s">
        <v>1186</v>
      </c>
      <c r="C2611" s="304" t="s">
        <v>1193</v>
      </c>
      <c r="D2611" s="303" t="s">
        <v>1159</v>
      </c>
      <c r="E2611" s="305" t="s">
        <v>439</v>
      </c>
      <c r="F2611" s="309"/>
      <c r="G2611" s="306">
        <v>0.9</v>
      </c>
      <c r="H2611" s="305"/>
      <c r="I2611" s="305" t="s">
        <v>152</v>
      </c>
      <c r="J2611" s="305" t="s">
        <v>135</v>
      </c>
      <c r="K2611" s="305" t="s">
        <v>2119</v>
      </c>
    </row>
    <row r="2612" spans="1:11" x14ac:dyDescent="0.25">
      <c r="A2612" s="302" t="str">
        <f t="shared" si="72"/>
        <v>Energy Star Steamer_5 Pans_CI_IDLEBASE</v>
      </c>
      <c r="B2612" s="303" t="s">
        <v>1186</v>
      </c>
      <c r="C2612" s="304" t="s">
        <v>1193</v>
      </c>
      <c r="D2612" s="303" t="s">
        <v>1159</v>
      </c>
      <c r="E2612" s="305" t="s">
        <v>440</v>
      </c>
      <c r="F2612" s="309"/>
      <c r="G2612" s="306">
        <v>18333</v>
      </c>
      <c r="H2612" s="305" t="s">
        <v>1194</v>
      </c>
      <c r="I2612" s="305" t="s">
        <v>152</v>
      </c>
      <c r="J2612" s="305" t="s">
        <v>135</v>
      </c>
      <c r="K2612" s="305" t="s">
        <v>2119</v>
      </c>
    </row>
    <row r="2613" spans="1:11" x14ac:dyDescent="0.25">
      <c r="A2613" s="302" t="str">
        <f t="shared" si="72"/>
        <v>Energy Star Steamer_5 Pans_CI_CSM%Baseline</v>
      </c>
      <c r="B2613" s="303" t="s">
        <v>1186</v>
      </c>
      <c r="C2613" s="304" t="s">
        <v>1193</v>
      </c>
      <c r="D2613" s="303" t="s">
        <v>1159</v>
      </c>
      <c r="E2613" s="305" t="s">
        <v>439</v>
      </c>
      <c r="F2613" s="309"/>
      <c r="G2613" s="306">
        <f>G2611</f>
        <v>0.9</v>
      </c>
      <c r="H2613" s="305"/>
      <c r="I2613" s="305" t="s">
        <v>152</v>
      </c>
      <c r="J2613" s="305" t="s">
        <v>135</v>
      </c>
      <c r="K2613" s="305" t="s">
        <v>2119</v>
      </c>
    </row>
    <row r="2614" spans="1:11" x14ac:dyDescent="0.25">
      <c r="A2614" s="302" t="str">
        <f t="shared" si="72"/>
        <v>Energy Star Steamer_5 Pans_CI_PCBASE</v>
      </c>
      <c r="B2614" s="303" t="s">
        <v>1186</v>
      </c>
      <c r="C2614" s="304" t="s">
        <v>1193</v>
      </c>
      <c r="D2614" s="303" t="s">
        <v>1159</v>
      </c>
      <c r="E2614" s="305" t="s">
        <v>442</v>
      </c>
      <c r="F2614" s="309"/>
      <c r="G2614" s="306">
        <v>108</v>
      </c>
      <c r="H2614" s="305" t="s">
        <v>1194</v>
      </c>
      <c r="I2614" s="305" t="s">
        <v>152</v>
      </c>
      <c r="J2614" s="305" t="s">
        <v>135</v>
      </c>
      <c r="K2614" s="305" t="s">
        <v>2119</v>
      </c>
    </row>
    <row r="2615" spans="1:11" x14ac:dyDescent="0.25">
      <c r="A2615" s="302" t="str">
        <f t="shared" si="72"/>
        <v>Energy Star Steamer_5 Pans_CI_EFOOD</v>
      </c>
      <c r="B2615" s="303" t="s">
        <v>1186</v>
      </c>
      <c r="C2615" s="304" t="s">
        <v>1193</v>
      </c>
      <c r="D2615" s="303" t="s">
        <v>1159</v>
      </c>
      <c r="E2615" s="305" t="s">
        <v>443</v>
      </c>
      <c r="F2615" s="309" t="s">
        <v>651</v>
      </c>
      <c r="G2615" s="306">
        <v>105</v>
      </c>
      <c r="H2615" s="305" t="s">
        <v>1188</v>
      </c>
      <c r="I2615" s="305" t="s">
        <v>152</v>
      </c>
      <c r="J2615" s="305" t="s">
        <v>135</v>
      </c>
      <c r="K2615" s="305" t="s">
        <v>2119</v>
      </c>
    </row>
    <row r="2616" spans="1:11" x14ac:dyDescent="0.25">
      <c r="A2616" s="302" t="str">
        <f t="shared" si="72"/>
        <v>Energy Star Steamer_5 Pans_CI_Eff_Base</v>
      </c>
      <c r="B2616" s="303" t="s">
        <v>1186</v>
      </c>
      <c r="C2616" s="304" t="s">
        <v>1193</v>
      </c>
      <c r="D2616" s="303" t="s">
        <v>1159</v>
      </c>
      <c r="E2616" s="305" t="s">
        <v>1172</v>
      </c>
      <c r="F2616" s="309" t="s">
        <v>539</v>
      </c>
      <c r="G2616" s="306">
        <v>0.15</v>
      </c>
      <c r="H2616" s="305" t="s">
        <v>1188</v>
      </c>
      <c r="I2616" s="305" t="s">
        <v>152</v>
      </c>
      <c r="J2616" s="305" t="s">
        <v>135</v>
      </c>
      <c r="K2616" s="305" t="s">
        <v>2119</v>
      </c>
    </row>
    <row r="2617" spans="1:11" x14ac:dyDescent="0.25">
      <c r="A2617" s="302" t="str">
        <f t="shared" si="72"/>
        <v>Energy Star Steamer_5 Pans_CI_HOURS_day</v>
      </c>
      <c r="B2617" s="303" t="s">
        <v>1186</v>
      </c>
      <c r="C2617" s="304" t="s">
        <v>1193</v>
      </c>
      <c r="D2617" s="303" t="s">
        <v>1159</v>
      </c>
      <c r="E2617" s="311" t="s">
        <v>2615</v>
      </c>
      <c r="F2617" s="305" t="s">
        <v>618</v>
      </c>
      <c r="G2617" s="306">
        <v>6</v>
      </c>
      <c r="H2617" s="305" t="s">
        <v>274</v>
      </c>
      <c r="I2617" s="305" t="s">
        <v>152</v>
      </c>
      <c r="J2617" s="305" t="s">
        <v>135</v>
      </c>
      <c r="K2617" s="305" t="s">
        <v>2119</v>
      </c>
    </row>
    <row r="2618" spans="1:11" x14ac:dyDescent="0.25">
      <c r="A2618" s="302" t="str">
        <f t="shared" si="72"/>
        <v>Energy Star Steamer_5 Pans_CI_F</v>
      </c>
      <c r="B2618" s="303" t="s">
        <v>1186</v>
      </c>
      <c r="C2618" s="304" t="s">
        <v>1193</v>
      </c>
      <c r="D2618" s="303" t="s">
        <v>1159</v>
      </c>
      <c r="E2618" s="305" t="s">
        <v>444</v>
      </c>
      <c r="F2618" s="309" t="s">
        <v>1191</v>
      </c>
      <c r="G2618" s="306">
        <v>100</v>
      </c>
      <c r="H2618" s="305" t="s">
        <v>274</v>
      </c>
      <c r="I2618" s="305" t="s">
        <v>152</v>
      </c>
      <c r="J2618" s="305" t="s">
        <v>135</v>
      </c>
      <c r="K2618" s="305" t="s">
        <v>2119</v>
      </c>
    </row>
    <row r="2619" spans="1:11" x14ac:dyDescent="0.25">
      <c r="A2619" s="302" t="str">
        <f t="shared" si="72"/>
        <v>Energy Star Steamer_5 Pans_CI_PCBase</v>
      </c>
      <c r="B2619" s="303" t="s">
        <v>1186</v>
      </c>
      <c r="C2619" s="304" t="s">
        <v>1193</v>
      </c>
      <c r="D2619" s="303" t="s">
        <v>1159</v>
      </c>
      <c r="E2619" s="305" t="s">
        <v>445</v>
      </c>
      <c r="F2619" s="309"/>
      <c r="G2619" s="306">
        <f>G2614</f>
        <v>108</v>
      </c>
      <c r="H2619" s="305" t="s">
        <v>1194</v>
      </c>
      <c r="I2619" s="305" t="s">
        <v>152</v>
      </c>
      <c r="J2619" s="305" t="s">
        <v>135</v>
      </c>
      <c r="K2619" s="305" t="s">
        <v>2119</v>
      </c>
    </row>
    <row r="2620" spans="1:11" x14ac:dyDescent="0.25">
      <c r="A2620" s="302" t="str">
        <f t="shared" si="72"/>
        <v>Energy Star Steamer_5 Pans_CI_PREnumber</v>
      </c>
      <c r="B2620" s="303" t="s">
        <v>1186</v>
      </c>
      <c r="C2620" s="304" t="s">
        <v>1193</v>
      </c>
      <c r="D2620" s="303" t="s">
        <v>1159</v>
      </c>
      <c r="E2620" s="305" t="s">
        <v>446</v>
      </c>
      <c r="F2620" s="309" t="s">
        <v>2383</v>
      </c>
      <c r="G2620" s="306">
        <v>1</v>
      </c>
      <c r="H2620" s="305" t="s">
        <v>274</v>
      </c>
      <c r="I2620" s="305" t="s">
        <v>152</v>
      </c>
      <c r="J2620" s="305" t="s">
        <v>135</v>
      </c>
      <c r="K2620" s="305" t="s">
        <v>2119</v>
      </c>
    </row>
    <row r="2621" spans="1:11" x14ac:dyDescent="0.25">
      <c r="A2621" s="302" t="str">
        <f t="shared" si="72"/>
        <v>Energy Star Steamer_5 Pans_CI_PreTimeBase</v>
      </c>
      <c r="B2621" s="303" t="s">
        <v>1186</v>
      </c>
      <c r="C2621" s="304" t="s">
        <v>1193</v>
      </c>
      <c r="D2621" s="303" t="s">
        <v>1159</v>
      </c>
      <c r="E2621" s="311" t="s">
        <v>2576</v>
      </c>
      <c r="F2621" s="334" t="s">
        <v>2577</v>
      </c>
      <c r="G2621" s="310">
        <f>10.9/60</f>
        <v>0.18166666666666667</v>
      </c>
      <c r="H2621" s="311" t="s">
        <v>1188</v>
      </c>
      <c r="I2621" s="305" t="s">
        <v>152</v>
      </c>
      <c r="J2621" s="305" t="s">
        <v>135</v>
      </c>
      <c r="K2621" s="305" t="s">
        <v>2119</v>
      </c>
    </row>
    <row r="2622" spans="1:11" x14ac:dyDescent="0.25">
      <c r="A2622" s="302" t="str">
        <f t="shared" si="72"/>
        <v>Energy Star Steamer_5 Pans_CI_CSM%ENERGYSTAR</v>
      </c>
      <c r="B2622" s="303" t="s">
        <v>1186</v>
      </c>
      <c r="C2622" s="304" t="s">
        <v>1193</v>
      </c>
      <c r="D2622" s="303" t="s">
        <v>1159</v>
      </c>
      <c r="E2622" s="305" t="s">
        <v>447</v>
      </c>
      <c r="F2622" s="309"/>
      <c r="G2622" s="306">
        <v>0</v>
      </c>
      <c r="H2622" s="305"/>
      <c r="I2622" s="305" t="s">
        <v>152</v>
      </c>
      <c r="J2622" s="305" t="s">
        <v>135</v>
      </c>
      <c r="K2622" s="305" t="s">
        <v>2119</v>
      </c>
    </row>
    <row r="2623" spans="1:11" x14ac:dyDescent="0.25">
      <c r="A2623" s="302" t="str">
        <f t="shared" si="72"/>
        <v>Energy Star Steamer_5 Pans_CI_IDLEENERGYSTAR</v>
      </c>
      <c r="B2623" s="303" t="s">
        <v>1186</v>
      </c>
      <c r="C2623" s="304" t="s">
        <v>1193</v>
      </c>
      <c r="D2623" s="303" t="s">
        <v>1159</v>
      </c>
      <c r="E2623" s="305" t="s">
        <v>448</v>
      </c>
      <c r="F2623" s="309" t="s">
        <v>479</v>
      </c>
      <c r="G2623" s="306">
        <v>10417</v>
      </c>
      <c r="H2623" s="305" t="s">
        <v>1194</v>
      </c>
      <c r="I2623" s="305" t="s">
        <v>152</v>
      </c>
      <c r="J2623" s="305" t="s">
        <v>135</v>
      </c>
      <c r="K2623" s="305" t="s">
        <v>2119</v>
      </c>
    </row>
    <row r="2624" spans="1:11" x14ac:dyDescent="0.25">
      <c r="A2624" s="302" t="str">
        <f t="shared" si="72"/>
        <v>Energy Star Steamer_5 Pans_CI_CSM%ENERGYSTAR</v>
      </c>
      <c r="B2624" s="303" t="s">
        <v>1186</v>
      </c>
      <c r="C2624" s="304" t="s">
        <v>1193</v>
      </c>
      <c r="D2624" s="303" t="s">
        <v>1159</v>
      </c>
      <c r="E2624" s="305" t="s">
        <v>447</v>
      </c>
      <c r="F2624" s="309"/>
      <c r="G2624" s="306">
        <f>G2622</f>
        <v>0</v>
      </c>
      <c r="H2624" s="305"/>
      <c r="I2624" s="305" t="s">
        <v>152</v>
      </c>
      <c r="J2624" s="305" t="s">
        <v>135</v>
      </c>
      <c r="K2624" s="305" t="s">
        <v>2119</v>
      </c>
    </row>
    <row r="2625" spans="1:11" x14ac:dyDescent="0.25">
      <c r="A2625" s="302" t="str">
        <f t="shared" si="72"/>
        <v>Energy Star Steamer_5 Pans_CI_PCENERGYSTAR</v>
      </c>
      <c r="B2625" s="303" t="s">
        <v>1186</v>
      </c>
      <c r="C2625" s="304" t="s">
        <v>1193</v>
      </c>
      <c r="D2625" s="303" t="s">
        <v>1159</v>
      </c>
      <c r="E2625" s="311" t="s">
        <v>2616</v>
      </c>
      <c r="F2625" s="309" t="s">
        <v>1170</v>
      </c>
      <c r="G2625" s="306">
        <v>92</v>
      </c>
      <c r="H2625" s="305" t="s">
        <v>1194</v>
      </c>
      <c r="I2625" s="305" t="s">
        <v>152</v>
      </c>
      <c r="J2625" s="305" t="s">
        <v>135</v>
      </c>
      <c r="K2625" s="305" t="s">
        <v>2119</v>
      </c>
    </row>
    <row r="2626" spans="1:11" x14ac:dyDescent="0.25">
      <c r="A2626" s="302" t="str">
        <f t="shared" si="72"/>
        <v>Energy Star Steamer_5 Pans_CI_EFOOD</v>
      </c>
      <c r="B2626" s="303" t="s">
        <v>1186</v>
      </c>
      <c r="C2626" s="304" t="s">
        <v>1193</v>
      </c>
      <c r="D2626" s="303" t="s">
        <v>1159</v>
      </c>
      <c r="E2626" s="305" t="s">
        <v>443</v>
      </c>
      <c r="F2626" s="309" t="s">
        <v>651</v>
      </c>
      <c r="G2626" s="306">
        <f>G2615</f>
        <v>105</v>
      </c>
      <c r="H2626" s="305" t="s">
        <v>1188</v>
      </c>
      <c r="I2626" s="305" t="s">
        <v>152</v>
      </c>
      <c r="J2626" s="305" t="s">
        <v>135</v>
      </c>
      <c r="K2626" s="305" t="s">
        <v>2119</v>
      </c>
    </row>
    <row r="2627" spans="1:11" x14ac:dyDescent="0.25">
      <c r="A2627" s="302" t="str">
        <f t="shared" si="72"/>
        <v>Energy Star Steamer_5 Pans_CI_Eff_ENERGY STAR</v>
      </c>
      <c r="B2627" s="303" t="s">
        <v>1186</v>
      </c>
      <c r="C2627" s="304" t="s">
        <v>1193</v>
      </c>
      <c r="D2627" s="303" t="s">
        <v>1159</v>
      </c>
      <c r="E2627" s="305" t="s">
        <v>1171</v>
      </c>
      <c r="F2627" s="309" t="s">
        <v>539</v>
      </c>
      <c r="G2627" s="306">
        <v>0.38</v>
      </c>
      <c r="H2627" s="305" t="s">
        <v>1188</v>
      </c>
      <c r="I2627" s="305" t="s">
        <v>152</v>
      </c>
      <c r="J2627" s="305" t="s">
        <v>135</v>
      </c>
      <c r="K2627" s="305" t="s">
        <v>2119</v>
      </c>
    </row>
    <row r="2628" spans="1:11" x14ac:dyDescent="0.25">
      <c r="A2628" s="302" t="str">
        <f t="shared" si="72"/>
        <v>Energy Star Steamer_5 Pans_CI_HOURS_day</v>
      </c>
      <c r="B2628" s="303" t="s">
        <v>1186</v>
      </c>
      <c r="C2628" s="304" t="s">
        <v>1193</v>
      </c>
      <c r="D2628" s="303" t="s">
        <v>1159</v>
      </c>
      <c r="E2628" s="311" t="s">
        <v>2615</v>
      </c>
      <c r="F2628" s="305" t="s">
        <v>618</v>
      </c>
      <c r="G2628" s="306">
        <f>G2617</f>
        <v>6</v>
      </c>
      <c r="H2628" s="305" t="s">
        <v>274</v>
      </c>
      <c r="I2628" s="305" t="s">
        <v>152</v>
      </c>
      <c r="J2628" s="305" t="s">
        <v>135</v>
      </c>
      <c r="K2628" s="305" t="s">
        <v>2119</v>
      </c>
    </row>
    <row r="2629" spans="1:11" x14ac:dyDescent="0.25">
      <c r="A2629" s="302" t="str">
        <f t="shared" si="72"/>
        <v>Energy Star Steamer_5 Pans_CI_F</v>
      </c>
      <c r="B2629" s="303" t="s">
        <v>1186</v>
      </c>
      <c r="C2629" s="304" t="s">
        <v>1193</v>
      </c>
      <c r="D2629" s="303" t="s">
        <v>1159</v>
      </c>
      <c r="E2629" s="305" t="s">
        <v>444</v>
      </c>
      <c r="F2629" s="309" t="s">
        <v>1191</v>
      </c>
      <c r="G2629" s="306">
        <f>G2618</f>
        <v>100</v>
      </c>
      <c r="H2629" s="305" t="s">
        <v>274</v>
      </c>
      <c r="I2629" s="305" t="s">
        <v>152</v>
      </c>
      <c r="J2629" s="305" t="s">
        <v>135</v>
      </c>
      <c r="K2629" s="305" t="s">
        <v>2119</v>
      </c>
    </row>
    <row r="2630" spans="1:11" x14ac:dyDescent="0.25">
      <c r="A2630" s="302" t="str">
        <f t="shared" si="72"/>
        <v>Energy Star Steamer_5 Pans_CI_PCENERGYSTAR</v>
      </c>
      <c r="B2630" s="303" t="s">
        <v>1186</v>
      </c>
      <c r="C2630" s="304" t="s">
        <v>1193</v>
      </c>
      <c r="D2630" s="303" t="s">
        <v>1159</v>
      </c>
      <c r="E2630" s="311" t="s">
        <v>2616</v>
      </c>
      <c r="F2630" s="309" t="s">
        <v>1170</v>
      </c>
      <c r="G2630" s="306">
        <f>G2625</f>
        <v>92</v>
      </c>
      <c r="H2630" s="305" t="s">
        <v>1194</v>
      </c>
      <c r="I2630" s="305" t="s">
        <v>152</v>
      </c>
      <c r="J2630" s="305" t="s">
        <v>135</v>
      </c>
      <c r="K2630" s="305" t="s">
        <v>2119</v>
      </c>
    </row>
    <row r="2631" spans="1:11" x14ac:dyDescent="0.25">
      <c r="A2631" s="302" t="str">
        <f t="shared" si="72"/>
        <v>Energy Star Steamer_5 Pans_CI_PREnumber</v>
      </c>
      <c r="B2631" s="303" t="s">
        <v>1186</v>
      </c>
      <c r="C2631" s="304" t="s">
        <v>1193</v>
      </c>
      <c r="D2631" s="303" t="s">
        <v>1159</v>
      </c>
      <c r="E2631" s="305" t="s">
        <v>446</v>
      </c>
      <c r="F2631" s="309" t="s">
        <v>2383</v>
      </c>
      <c r="G2631" s="306">
        <f>G2620</f>
        <v>1</v>
      </c>
      <c r="H2631" s="305" t="s">
        <v>274</v>
      </c>
      <c r="I2631" s="305" t="s">
        <v>152</v>
      </c>
      <c r="J2631" s="305" t="s">
        <v>135</v>
      </c>
      <c r="K2631" s="305" t="s">
        <v>2119</v>
      </c>
    </row>
    <row r="2632" spans="1:11" x14ac:dyDescent="0.25">
      <c r="A2632" s="302" t="str">
        <f t="shared" si="72"/>
        <v>Energy Star Steamer_5 Pans_CI_PreTimeEE</v>
      </c>
      <c r="B2632" s="303" t="s">
        <v>1186</v>
      </c>
      <c r="C2632" s="304" t="s">
        <v>1193</v>
      </c>
      <c r="D2632" s="303" t="s">
        <v>1159</v>
      </c>
      <c r="E2632" s="311" t="s">
        <v>2578</v>
      </c>
      <c r="F2632" s="334" t="s">
        <v>2577</v>
      </c>
      <c r="G2632" s="310">
        <f>13.4/60</f>
        <v>0.22333333333333333</v>
      </c>
      <c r="H2632" s="311" t="s">
        <v>1188</v>
      </c>
      <c r="I2632" s="305" t="s">
        <v>152</v>
      </c>
      <c r="J2632" s="305" t="s">
        <v>135</v>
      </c>
      <c r="K2632" s="305" t="s">
        <v>2119</v>
      </c>
    </row>
    <row r="2633" spans="1:11" x14ac:dyDescent="0.25">
      <c r="A2633" s="302" t="str">
        <f t="shared" si="72"/>
        <v>Energy Star Steamer_5 Pans_CI_Delta_Idle_Energy</v>
      </c>
      <c r="B2633" s="303" t="s">
        <v>1186</v>
      </c>
      <c r="C2633" s="304" t="s">
        <v>1193</v>
      </c>
      <c r="D2633" s="303" t="s">
        <v>1159</v>
      </c>
      <c r="E2633" s="311" t="s">
        <v>449</v>
      </c>
      <c r="F2633" s="334"/>
      <c r="G2633" s="310">
        <f xml:space="preserve"> ((((1- G2611)* G2612 + G2613 * G2614 * G2615 / G2616) * (G2617 - (G2618 / G2619) - ( G2620 *G2621))) - (((1- G2622) * G2623 + G2624 * G2625 * G2626 / G2627) * (G2628 - (G2629/ G2630 ) - (G2631 * G2632 ))))</f>
        <v>292995.93992028991</v>
      </c>
      <c r="H2633" s="311"/>
      <c r="I2633" s="305" t="s">
        <v>152</v>
      </c>
      <c r="J2633" s="305" t="s">
        <v>135</v>
      </c>
      <c r="K2633" s="305" t="s">
        <v>2119</v>
      </c>
    </row>
    <row r="2634" spans="1:11" x14ac:dyDescent="0.25">
      <c r="A2634" s="302" t="str">
        <f t="shared" si="72"/>
        <v>Energy Star Steamer_5 Pans_CI_PREnumber</v>
      </c>
      <c r="B2634" s="303" t="s">
        <v>1186</v>
      </c>
      <c r="C2634" s="304" t="s">
        <v>1193</v>
      </c>
      <c r="D2634" s="303" t="s">
        <v>1159</v>
      </c>
      <c r="E2634" s="305" t="s">
        <v>446</v>
      </c>
      <c r="F2634" s="309" t="s">
        <v>2383</v>
      </c>
      <c r="G2634" s="306">
        <f>G2631</f>
        <v>1</v>
      </c>
      <c r="H2634" s="305" t="s">
        <v>274</v>
      </c>
      <c r="I2634" s="305" t="s">
        <v>152</v>
      </c>
      <c r="J2634" s="305" t="s">
        <v>135</v>
      </c>
      <c r="K2634" s="305" t="s">
        <v>2119</v>
      </c>
    </row>
    <row r="2635" spans="1:11" x14ac:dyDescent="0.25">
      <c r="A2635" s="302" t="str">
        <f t="shared" si="72"/>
        <v>Energy Star Steamer_5 Pans_CI_PREheat_Base</v>
      </c>
      <c r="B2635" s="303" t="s">
        <v>1186</v>
      </c>
      <c r="C2635" s="304" t="s">
        <v>1193</v>
      </c>
      <c r="D2635" s="303" t="s">
        <v>1159</v>
      </c>
      <c r="E2635" s="311" t="s">
        <v>2579</v>
      </c>
      <c r="F2635" s="334" t="s">
        <v>941</v>
      </c>
      <c r="G2635" s="310">
        <v>18832.7</v>
      </c>
      <c r="H2635" s="311" t="s">
        <v>1188</v>
      </c>
      <c r="I2635" s="305" t="s">
        <v>152</v>
      </c>
      <c r="J2635" s="305" t="s">
        <v>135</v>
      </c>
      <c r="K2635" s="305" t="s">
        <v>2119</v>
      </c>
    </row>
    <row r="2636" spans="1:11" x14ac:dyDescent="0.25">
      <c r="A2636" s="302" t="str">
        <f t="shared" si="72"/>
        <v>Energy Star Steamer_5 Pans_CI_PREheat_EE</v>
      </c>
      <c r="B2636" s="303" t="s">
        <v>1186</v>
      </c>
      <c r="C2636" s="304" t="s">
        <v>1193</v>
      </c>
      <c r="D2636" s="303" t="s">
        <v>1159</v>
      </c>
      <c r="E2636" s="311" t="s">
        <v>2580</v>
      </c>
      <c r="F2636" s="334" t="s">
        <v>941</v>
      </c>
      <c r="G2636" s="310">
        <v>10293.9</v>
      </c>
      <c r="H2636" s="311" t="s">
        <v>1188</v>
      </c>
      <c r="I2636" s="305" t="s">
        <v>152</v>
      </c>
      <c r="J2636" s="305" t="s">
        <v>135</v>
      </c>
      <c r="K2636" s="305" t="s">
        <v>2119</v>
      </c>
    </row>
    <row r="2637" spans="1:11" x14ac:dyDescent="0.25">
      <c r="A2637" s="302" t="str">
        <f t="shared" si="72"/>
        <v>Energy Star Steamer_5 Pans_CI_Delta_Preheat_Energy</v>
      </c>
      <c r="B2637" s="303" t="s">
        <v>1186</v>
      </c>
      <c r="C2637" s="304" t="s">
        <v>1193</v>
      </c>
      <c r="D2637" s="303" t="s">
        <v>1159</v>
      </c>
      <c r="E2637" s="311" t="s">
        <v>450</v>
      </c>
      <c r="F2637" s="334"/>
      <c r="G2637" s="310">
        <f xml:space="preserve"> G2634 * (G2635-G2636)</f>
        <v>8538.8000000000011</v>
      </c>
      <c r="H2637" s="311"/>
      <c r="I2637" s="305" t="s">
        <v>152</v>
      </c>
      <c r="J2637" s="305" t="s">
        <v>135</v>
      </c>
      <c r="K2637" s="305" t="s">
        <v>2119</v>
      </c>
    </row>
    <row r="2638" spans="1:11" x14ac:dyDescent="0.25">
      <c r="A2638" s="302" t="str">
        <f t="shared" si="72"/>
        <v>Energy Star Steamer_5 Pans_CI_Eff_Base</v>
      </c>
      <c r="B2638" s="303" t="s">
        <v>1186</v>
      </c>
      <c r="C2638" s="304" t="s">
        <v>1193</v>
      </c>
      <c r="D2638" s="303" t="s">
        <v>1159</v>
      </c>
      <c r="E2638" s="305" t="s">
        <v>1172</v>
      </c>
      <c r="F2638" s="309" t="s">
        <v>539</v>
      </c>
      <c r="G2638" s="306">
        <f>G2616</f>
        <v>0.15</v>
      </c>
      <c r="H2638" s="305" t="s">
        <v>1188</v>
      </c>
      <c r="I2638" s="305" t="s">
        <v>152</v>
      </c>
      <c r="J2638" s="305" t="s">
        <v>135</v>
      </c>
      <c r="K2638" s="305" t="s">
        <v>2119</v>
      </c>
    </row>
    <row r="2639" spans="1:11" x14ac:dyDescent="0.25">
      <c r="A2639" s="302" t="str">
        <f t="shared" si="72"/>
        <v>Energy Star Steamer_5 Pans_CI_Eff_ENERGY STAR</v>
      </c>
      <c r="B2639" s="303" t="s">
        <v>1186</v>
      </c>
      <c r="C2639" s="304" t="s">
        <v>1193</v>
      </c>
      <c r="D2639" s="303" t="s">
        <v>1159</v>
      </c>
      <c r="E2639" s="305" t="s">
        <v>1171</v>
      </c>
      <c r="F2639" s="309" t="s">
        <v>539</v>
      </c>
      <c r="G2639" s="306">
        <f>G2627</f>
        <v>0.38</v>
      </c>
      <c r="H2639" s="305" t="s">
        <v>1188</v>
      </c>
      <c r="I2639" s="305" t="s">
        <v>152</v>
      </c>
      <c r="J2639" s="305" t="s">
        <v>135</v>
      </c>
      <c r="K2639" s="305" t="s">
        <v>2119</v>
      </c>
    </row>
    <row r="2640" spans="1:11" x14ac:dyDescent="0.25">
      <c r="A2640" s="302" t="str">
        <f t="shared" si="72"/>
        <v>Energy Star Steamer_5 Pans_CI_F</v>
      </c>
      <c r="B2640" s="303" t="s">
        <v>1186</v>
      </c>
      <c r="C2640" s="304" t="s">
        <v>1193</v>
      </c>
      <c r="D2640" s="303" t="s">
        <v>1159</v>
      </c>
      <c r="E2640" s="305" t="s">
        <v>444</v>
      </c>
      <c r="F2640" s="309" t="s">
        <v>1191</v>
      </c>
      <c r="G2640" s="306">
        <f>G2629</f>
        <v>100</v>
      </c>
      <c r="H2640" s="305" t="s">
        <v>274</v>
      </c>
      <c r="I2640" s="305" t="s">
        <v>152</v>
      </c>
      <c r="J2640" s="305" t="s">
        <v>135</v>
      </c>
      <c r="K2640" s="305" t="s">
        <v>2119</v>
      </c>
    </row>
    <row r="2641" spans="1:11" x14ac:dyDescent="0.25">
      <c r="A2641" s="302" t="str">
        <f t="shared" si="72"/>
        <v>Energy Star Steamer_5 Pans_CI_EFOOD</v>
      </c>
      <c r="B2641" s="303" t="s">
        <v>1186</v>
      </c>
      <c r="C2641" s="304" t="s">
        <v>1193</v>
      </c>
      <c r="D2641" s="303" t="s">
        <v>1159</v>
      </c>
      <c r="E2641" s="305" t="s">
        <v>443</v>
      </c>
      <c r="F2641" s="309" t="s">
        <v>651</v>
      </c>
      <c r="G2641" s="306">
        <f>G2626</f>
        <v>105</v>
      </c>
      <c r="H2641" s="305" t="s">
        <v>1188</v>
      </c>
      <c r="I2641" s="305" t="s">
        <v>152</v>
      </c>
      <c r="J2641" s="305" t="s">
        <v>135</v>
      </c>
      <c r="K2641" s="305" t="s">
        <v>2119</v>
      </c>
    </row>
    <row r="2642" spans="1:11" x14ac:dyDescent="0.25">
      <c r="A2642" s="302" t="str">
        <f t="shared" si="72"/>
        <v>Energy Star Steamer_5 Pans_CI_Delta_Cooking_Energy</v>
      </c>
      <c r="B2642" s="303" t="s">
        <v>1186</v>
      </c>
      <c r="C2642" s="304" t="s">
        <v>1193</v>
      </c>
      <c r="D2642" s="303" t="s">
        <v>1159</v>
      </c>
      <c r="E2642" s="305" t="s">
        <v>451</v>
      </c>
      <c r="F2642" s="309"/>
      <c r="G2642" s="306">
        <f xml:space="preserve"> ((1 / G2638) - (1 / G2639)) * G2640 * G2641</f>
        <v>42368.42105263158</v>
      </c>
      <c r="H2642" s="305"/>
      <c r="I2642" s="305" t="s">
        <v>152</v>
      </c>
      <c r="J2642" s="305" t="s">
        <v>135</v>
      </c>
      <c r="K2642" s="305" t="s">
        <v>2119</v>
      </c>
    </row>
    <row r="2643" spans="1:11" x14ac:dyDescent="0.25">
      <c r="A2643" s="302" t="str">
        <f t="shared" si="72"/>
        <v>Energy Star Steamer_5 Pans_CI_Days</v>
      </c>
      <c r="B2643" s="303" t="s">
        <v>1186</v>
      </c>
      <c r="C2643" s="304" t="s">
        <v>1193</v>
      </c>
      <c r="D2643" s="303" t="s">
        <v>1159</v>
      </c>
      <c r="E2643" s="311" t="s">
        <v>2419</v>
      </c>
      <c r="F2643" s="309"/>
      <c r="G2643" s="306">
        <v>365.25</v>
      </c>
      <c r="H2643" s="305"/>
      <c r="I2643" s="305" t="s">
        <v>152</v>
      </c>
      <c r="J2643" s="305" t="s">
        <v>135</v>
      </c>
      <c r="K2643" s="305" t="s">
        <v>2119</v>
      </c>
    </row>
    <row r="2644" spans="1:11" x14ac:dyDescent="0.25">
      <c r="A2644" s="302" t="str">
        <f t="shared" si="72"/>
        <v>Energy Star Steamer_5 Pans_CI_Delta_Savings</v>
      </c>
      <c r="B2644" s="303" t="s">
        <v>1186</v>
      </c>
      <c r="C2644" s="304" t="s">
        <v>1193</v>
      </c>
      <c r="D2644" s="303" t="s">
        <v>1159</v>
      </c>
      <c r="E2644" s="305" t="s">
        <v>452</v>
      </c>
      <c r="F2644" s="309"/>
      <c r="G2644" s="306">
        <f xml:space="preserve"> (G2633 + G2637 + G2642) * G2643</f>
        <v>125610629.54535957</v>
      </c>
      <c r="H2644" s="305"/>
      <c r="I2644" s="305" t="s">
        <v>152</v>
      </c>
      <c r="J2644" s="305" t="s">
        <v>135</v>
      </c>
      <c r="K2644" s="305" t="s">
        <v>2119</v>
      </c>
    </row>
    <row r="2645" spans="1:11" x14ac:dyDescent="0.25">
      <c r="A2645" s="302" t="str">
        <f t="shared" si="72"/>
        <v>Energy Star Steamer_5 Pans_CI_WBASE</v>
      </c>
      <c r="B2645" s="303" t="s">
        <v>1186</v>
      </c>
      <c r="C2645" s="304" t="s">
        <v>1193</v>
      </c>
      <c r="D2645" s="303" t="s">
        <v>1159</v>
      </c>
      <c r="E2645" s="305" t="s">
        <v>453</v>
      </c>
      <c r="F2645" s="309"/>
      <c r="G2645" s="306">
        <v>40</v>
      </c>
      <c r="H2645" s="305"/>
      <c r="I2645" s="305" t="s">
        <v>152</v>
      </c>
      <c r="J2645" s="305" t="s">
        <v>135</v>
      </c>
      <c r="K2645" s="305" t="s">
        <v>2119</v>
      </c>
    </row>
    <row r="2646" spans="1:11" x14ac:dyDescent="0.25">
      <c r="A2646" s="302" t="str">
        <f t="shared" si="72"/>
        <v>Energy Star Steamer_5 Pans_CI_WENERGYSTAR</v>
      </c>
      <c r="B2646" s="303" t="s">
        <v>1186</v>
      </c>
      <c r="C2646" s="304" t="s">
        <v>1193</v>
      </c>
      <c r="D2646" s="303" t="s">
        <v>1159</v>
      </c>
      <c r="E2646" s="305" t="s">
        <v>454</v>
      </c>
      <c r="F2646" s="309"/>
      <c r="G2646" s="306">
        <v>10</v>
      </c>
      <c r="H2646" s="305" t="s">
        <v>455</v>
      </c>
      <c r="I2646" s="305" t="s">
        <v>152</v>
      </c>
      <c r="J2646" s="305" t="s">
        <v>135</v>
      </c>
      <c r="K2646" s="305" t="s">
        <v>2119</v>
      </c>
    </row>
    <row r="2647" spans="1:11" x14ac:dyDescent="0.25">
      <c r="A2647" s="302" t="str">
        <f t="shared" si="72"/>
        <v>Energy Star Steamer_5 Pans_CI_HOURS_day</v>
      </c>
      <c r="B2647" s="303" t="s">
        <v>1186</v>
      </c>
      <c r="C2647" s="304" t="s">
        <v>1193</v>
      </c>
      <c r="D2647" s="303" t="s">
        <v>1159</v>
      </c>
      <c r="E2647" s="311" t="s">
        <v>2615</v>
      </c>
      <c r="F2647" s="305" t="s">
        <v>618</v>
      </c>
      <c r="G2647" s="306">
        <v>6</v>
      </c>
      <c r="H2647" s="305" t="s">
        <v>274</v>
      </c>
      <c r="I2647" s="305" t="s">
        <v>152</v>
      </c>
      <c r="J2647" s="305" t="s">
        <v>135</v>
      </c>
      <c r="K2647" s="305" t="s">
        <v>2119</v>
      </c>
    </row>
    <row r="2648" spans="1:11" x14ac:dyDescent="0.25">
      <c r="A2648" s="302" t="str">
        <f t="shared" si="72"/>
        <v>Energy Star Steamer_5 Pans_CI_Days</v>
      </c>
      <c r="B2648" s="303" t="s">
        <v>1186</v>
      </c>
      <c r="C2648" s="304" t="s">
        <v>1193</v>
      </c>
      <c r="D2648" s="303" t="s">
        <v>1159</v>
      </c>
      <c r="E2648" s="311" t="s">
        <v>2419</v>
      </c>
      <c r="F2648" s="309"/>
      <c r="G2648" s="306">
        <v>365.25</v>
      </c>
      <c r="H2648" s="305"/>
      <c r="I2648" s="305" t="s">
        <v>152</v>
      </c>
      <c r="J2648" s="305" t="s">
        <v>135</v>
      </c>
      <c r="K2648" s="305" t="s">
        <v>2119</v>
      </c>
    </row>
    <row r="2649" spans="1:11" x14ac:dyDescent="0.25">
      <c r="A2649" s="302" t="str">
        <f t="shared" si="72"/>
        <v>Energy Star Steamer_5 Pans_CI_Delta_Water_Gallons</v>
      </c>
      <c r="B2649" s="303" t="s">
        <v>1186</v>
      </c>
      <c r="C2649" s="304" t="s">
        <v>1193</v>
      </c>
      <c r="D2649" s="303" t="s">
        <v>1159</v>
      </c>
      <c r="E2649" s="305" t="s">
        <v>456</v>
      </c>
      <c r="F2649" s="309"/>
      <c r="G2649" s="306">
        <f xml:space="preserve"> (G2645 - G2646)* G2647 * G2648</f>
        <v>65745</v>
      </c>
      <c r="H2649" s="305"/>
      <c r="I2649" s="305" t="s">
        <v>152</v>
      </c>
      <c r="J2649" s="305" t="s">
        <v>135</v>
      </c>
      <c r="K2649" s="305" t="s">
        <v>2119</v>
      </c>
    </row>
    <row r="2650" spans="1:11" x14ac:dyDescent="0.25">
      <c r="A2650" s="302" t="str">
        <f t="shared" si="72"/>
        <v>Energy Star Steamer_5 Pans_CI_Conversion</v>
      </c>
      <c r="B2650" s="303" t="s">
        <v>1186</v>
      </c>
      <c r="C2650" s="304" t="s">
        <v>1193</v>
      </c>
      <c r="D2650" s="303" t="s">
        <v>1159</v>
      </c>
      <c r="E2650" s="305" t="s">
        <v>284</v>
      </c>
      <c r="F2650" s="309"/>
      <c r="G2650" s="306">
        <v>1000000</v>
      </c>
      <c r="H2650" s="305"/>
      <c r="I2650" s="305" t="s">
        <v>152</v>
      </c>
      <c r="J2650" s="305" t="s">
        <v>135</v>
      </c>
      <c r="K2650" s="305" t="s">
        <v>2119</v>
      </c>
    </row>
    <row r="2651" spans="1:11" x14ac:dyDescent="0.25">
      <c r="A2651" s="302" t="str">
        <f t="shared" si="72"/>
        <v>Energy Star Steamer_5 Pans_CI_E_water_supply</v>
      </c>
      <c r="B2651" s="303" t="s">
        <v>1186</v>
      </c>
      <c r="C2651" s="304" t="s">
        <v>1193</v>
      </c>
      <c r="D2651" s="303" t="s">
        <v>1159</v>
      </c>
      <c r="E2651" s="305" t="s">
        <v>457</v>
      </c>
      <c r="F2651" s="309"/>
      <c r="G2651" s="306">
        <v>2571</v>
      </c>
      <c r="H2651" s="305"/>
      <c r="I2651" s="305" t="s">
        <v>152</v>
      </c>
      <c r="J2651" s="305" t="s">
        <v>135</v>
      </c>
      <c r="K2651" s="305" t="s">
        <v>2119</v>
      </c>
    </row>
    <row r="2652" spans="1:11" x14ac:dyDescent="0.25">
      <c r="A2652" s="302" t="str">
        <f t="shared" si="72"/>
        <v>Energy Star Steamer_5 Pans_CI_Delta_kWh_water</v>
      </c>
      <c r="B2652" s="303" t="s">
        <v>1186</v>
      </c>
      <c r="C2652" s="304" t="s">
        <v>1193</v>
      </c>
      <c r="D2652" s="303" t="s">
        <v>1159</v>
      </c>
      <c r="E2652" s="305" t="s">
        <v>334</v>
      </c>
      <c r="F2652" s="309"/>
      <c r="G2652" s="306">
        <f xml:space="preserve"> G2649 / G2650 * G2651</f>
        <v>169.030395</v>
      </c>
      <c r="H2652" s="305"/>
      <c r="I2652" s="305" t="s">
        <v>152</v>
      </c>
      <c r="J2652" s="305" t="s">
        <v>135</v>
      </c>
      <c r="K2652" s="305" t="s">
        <v>2119</v>
      </c>
    </row>
    <row r="2653" spans="1:11" x14ac:dyDescent="0.25">
      <c r="A2653" s="302" t="str">
        <f t="shared" ref="A2653" si="74">B2653&amp;"_"&amp;C2653&amp;"_"&amp;D2653&amp;"_"&amp;E2653</f>
        <v>Energy Star Steamer_5 Pans_CI_CF</v>
      </c>
      <c r="B2653" s="303" t="s">
        <v>1186</v>
      </c>
      <c r="C2653" s="304" t="s">
        <v>1193</v>
      </c>
      <c r="D2653" s="303" t="s">
        <v>1159</v>
      </c>
      <c r="E2653" s="305" t="s">
        <v>253</v>
      </c>
      <c r="F2653" s="309"/>
      <c r="G2653" s="306">
        <v>0.36</v>
      </c>
      <c r="H2653" s="305" t="s">
        <v>458</v>
      </c>
      <c r="I2653" s="305" t="s">
        <v>152</v>
      </c>
      <c r="J2653" s="305" t="s">
        <v>135</v>
      </c>
      <c r="K2653" s="305" t="s">
        <v>2119</v>
      </c>
    </row>
    <row r="2654" spans="1:11" x14ac:dyDescent="0.25">
      <c r="A2654" s="302" t="str">
        <f t="shared" si="72"/>
        <v>Energy Star Steamer_5 Pans_CI_kWh Saved per Unit</v>
      </c>
      <c r="B2654" s="303" t="s">
        <v>1186</v>
      </c>
      <c r="C2654" s="304" t="s">
        <v>1193</v>
      </c>
      <c r="D2654" s="303" t="s">
        <v>1159</v>
      </c>
      <c r="E2654" s="314" t="s">
        <v>255</v>
      </c>
      <c r="F2654" s="326"/>
      <c r="G2654" s="315">
        <f>G2652</f>
        <v>169.030395</v>
      </c>
      <c r="H2654" s="305"/>
      <c r="I2654" s="305" t="s">
        <v>152</v>
      </c>
      <c r="J2654" s="305" t="s">
        <v>135</v>
      </c>
      <c r="K2654" s="305" t="s">
        <v>2119</v>
      </c>
    </row>
    <row r="2655" spans="1:11" x14ac:dyDescent="0.25">
      <c r="A2655" s="302" t="str">
        <f t="shared" si="72"/>
        <v>Energy Star Steamer_5 Pans_CI_Coincident Peak kW Saved per Unit</v>
      </c>
      <c r="B2655" s="303" t="s">
        <v>1186</v>
      </c>
      <c r="C2655" s="304" t="s">
        <v>1193</v>
      </c>
      <c r="D2655" s="303" t="s">
        <v>1159</v>
      </c>
      <c r="E2655" s="314" t="s">
        <v>257</v>
      </c>
      <c r="F2655" s="327"/>
      <c r="G2655" s="315">
        <f xml:space="preserve"> (G2644/(G2647 * G2648)) * G2653</f>
        <v>20634.18965837529</v>
      </c>
      <c r="H2655" s="305"/>
      <c r="I2655" s="305" t="s">
        <v>152</v>
      </c>
      <c r="J2655" s="305" t="s">
        <v>135</v>
      </c>
      <c r="K2655" s="305" t="s">
        <v>2119</v>
      </c>
    </row>
    <row r="2656" spans="1:11" x14ac:dyDescent="0.25">
      <c r="A2656" s="302" t="str">
        <f t="shared" si="72"/>
        <v>Energy Star Steamer_5 Pans_CI_Therm Saved per Unit</v>
      </c>
      <c r="B2656" s="303" t="s">
        <v>1186</v>
      </c>
      <c r="C2656" s="304" t="s">
        <v>1193</v>
      </c>
      <c r="D2656" s="303" t="s">
        <v>1159</v>
      </c>
      <c r="E2656" s="311" t="s">
        <v>326</v>
      </c>
      <c r="F2656" s="334"/>
      <c r="G2656" s="310">
        <f>G2644/100000</f>
        <v>1256.1062954535957</v>
      </c>
      <c r="H2656" s="311"/>
      <c r="I2656" s="305" t="s">
        <v>152</v>
      </c>
      <c r="J2656" s="305" t="s">
        <v>135</v>
      </c>
      <c r="K2656" s="305" t="s">
        <v>2119</v>
      </c>
    </row>
    <row r="2657" spans="1:11" x14ac:dyDescent="0.25">
      <c r="A2657" s="302" t="str">
        <f t="shared" si="72"/>
        <v>Energy Star Steamer_5 Pans_CI_Gallons Saved per Unit</v>
      </c>
      <c r="B2657" s="303" t="s">
        <v>1186</v>
      </c>
      <c r="C2657" s="304" t="s">
        <v>1193</v>
      </c>
      <c r="D2657" s="303" t="s">
        <v>1159</v>
      </c>
      <c r="E2657" s="314" t="s">
        <v>547</v>
      </c>
      <c r="F2657" s="326"/>
      <c r="G2657" s="315">
        <f>G2648</f>
        <v>365.25</v>
      </c>
      <c r="H2657" s="305"/>
      <c r="I2657" s="305" t="s">
        <v>152</v>
      </c>
      <c r="J2657" s="305" t="s">
        <v>135</v>
      </c>
      <c r="K2657" s="305" t="s">
        <v>2119</v>
      </c>
    </row>
    <row r="2658" spans="1:11" x14ac:dyDescent="0.25">
      <c r="A2658" s="302" t="str">
        <f t="shared" si="72"/>
        <v>Energy Star Steamer_5 Pans_CI_Lifetime (years)</v>
      </c>
      <c r="B2658" s="303" t="s">
        <v>1186</v>
      </c>
      <c r="C2658" s="304" t="s">
        <v>1193</v>
      </c>
      <c r="D2658" s="303" t="s">
        <v>1159</v>
      </c>
      <c r="E2658" s="314" t="s">
        <v>259</v>
      </c>
      <c r="F2658" s="326"/>
      <c r="G2658" s="315">
        <v>12</v>
      </c>
      <c r="H2658" s="305"/>
      <c r="I2658" s="305" t="s">
        <v>152</v>
      </c>
      <c r="J2658" s="305" t="s">
        <v>135</v>
      </c>
      <c r="K2658" s="305" t="s">
        <v>2119</v>
      </c>
    </row>
    <row r="2659" spans="1:11" x14ac:dyDescent="0.25">
      <c r="A2659" s="302" t="str">
        <f t="shared" si="72"/>
        <v>Energy Star Steamer_5 Pans_CI_Incremental Cost</v>
      </c>
      <c r="B2659" s="303" t="s">
        <v>1186</v>
      </c>
      <c r="C2659" s="304" t="s">
        <v>1193</v>
      </c>
      <c r="D2659" s="303" t="s">
        <v>1159</v>
      </c>
      <c r="E2659" s="314" t="s">
        <v>260</v>
      </c>
      <c r="F2659" s="326"/>
      <c r="G2659" s="315">
        <v>998</v>
      </c>
      <c r="H2659" s="305" t="s">
        <v>232</v>
      </c>
      <c r="I2659" s="305" t="s">
        <v>152</v>
      </c>
      <c r="J2659" s="305" t="s">
        <v>135</v>
      </c>
      <c r="K2659" s="305" t="s">
        <v>2119</v>
      </c>
    </row>
    <row r="2660" spans="1:11" s="324" customFormat="1" x14ac:dyDescent="0.25">
      <c r="A2660" s="317" t="str">
        <f t="shared" si="72"/>
        <v>Energy Star Steamer_5 Pans_CI_</v>
      </c>
      <c r="B2660" s="317" t="str">
        <f>B2659</f>
        <v>Energy Star Steamer</v>
      </c>
      <c r="C2660" s="332" t="str">
        <f>C2659</f>
        <v>5 Pans</v>
      </c>
      <c r="D2660" s="317" t="str">
        <f>D2659</f>
        <v>CI</v>
      </c>
      <c r="E2660" s="320"/>
      <c r="F2660" s="320"/>
      <c r="G2660" s="329"/>
      <c r="H2660" s="320"/>
      <c r="I2660" s="320"/>
      <c r="J2660" s="320"/>
      <c r="K2660" s="320"/>
    </row>
    <row r="2661" spans="1:11" x14ac:dyDescent="0.25">
      <c r="A2661" s="302" t="str">
        <f t="shared" si="72"/>
        <v>Energy Star Steamer_6 Pans_CI_CSM%Baseline</v>
      </c>
      <c r="B2661" s="303" t="s">
        <v>1186</v>
      </c>
      <c r="C2661" s="304" t="s">
        <v>1195</v>
      </c>
      <c r="D2661" s="303" t="s">
        <v>1159</v>
      </c>
      <c r="E2661" s="305" t="s">
        <v>439</v>
      </c>
      <c r="F2661" s="309"/>
      <c r="G2661" s="306">
        <v>0.9</v>
      </c>
      <c r="H2661" s="305"/>
      <c r="I2661" s="305" t="s">
        <v>152</v>
      </c>
      <c r="J2661" s="305" t="s">
        <v>135</v>
      </c>
      <c r="K2661" s="305" t="s">
        <v>2119</v>
      </c>
    </row>
    <row r="2662" spans="1:11" x14ac:dyDescent="0.25">
      <c r="A2662" s="302" t="str">
        <f t="shared" si="72"/>
        <v>Energy Star Steamer_6 Pans_CI_IDLEBASE</v>
      </c>
      <c r="B2662" s="303" t="s">
        <v>1186</v>
      </c>
      <c r="C2662" s="304" t="s">
        <v>1195</v>
      </c>
      <c r="D2662" s="303" t="s">
        <v>1159</v>
      </c>
      <c r="E2662" s="305" t="s">
        <v>440</v>
      </c>
      <c r="F2662" s="309"/>
      <c r="G2662" s="306">
        <v>22000</v>
      </c>
      <c r="H2662" s="305" t="s">
        <v>1196</v>
      </c>
      <c r="I2662" s="305" t="s">
        <v>152</v>
      </c>
      <c r="J2662" s="305" t="s">
        <v>135</v>
      </c>
      <c r="K2662" s="305" t="s">
        <v>2119</v>
      </c>
    </row>
    <row r="2663" spans="1:11" x14ac:dyDescent="0.25">
      <c r="A2663" s="302" t="str">
        <f t="shared" si="72"/>
        <v>Energy Star Steamer_6 Pans_CI_CSM%Baseline</v>
      </c>
      <c r="B2663" s="303" t="s">
        <v>1186</v>
      </c>
      <c r="C2663" s="304" t="s">
        <v>1195</v>
      </c>
      <c r="D2663" s="303" t="s">
        <v>1159</v>
      </c>
      <c r="E2663" s="305" t="s">
        <v>439</v>
      </c>
      <c r="F2663" s="309"/>
      <c r="G2663" s="306">
        <f>G2661</f>
        <v>0.9</v>
      </c>
      <c r="H2663" s="305"/>
      <c r="I2663" s="305" t="s">
        <v>152</v>
      </c>
      <c r="J2663" s="305" t="s">
        <v>135</v>
      </c>
      <c r="K2663" s="305" t="s">
        <v>2119</v>
      </c>
    </row>
    <row r="2664" spans="1:11" x14ac:dyDescent="0.25">
      <c r="A2664" s="302" t="str">
        <f t="shared" si="72"/>
        <v>Energy Star Steamer_6 Pans_CI_PCBASE</v>
      </c>
      <c r="B2664" s="303" t="s">
        <v>1186</v>
      </c>
      <c r="C2664" s="304" t="s">
        <v>1195</v>
      </c>
      <c r="D2664" s="303" t="s">
        <v>1159</v>
      </c>
      <c r="E2664" s="305" t="s">
        <v>442</v>
      </c>
      <c r="F2664" s="309"/>
      <c r="G2664" s="306">
        <v>130</v>
      </c>
      <c r="H2664" s="305" t="s">
        <v>1196</v>
      </c>
      <c r="I2664" s="305" t="s">
        <v>152</v>
      </c>
      <c r="J2664" s="305" t="s">
        <v>135</v>
      </c>
      <c r="K2664" s="305" t="s">
        <v>2119</v>
      </c>
    </row>
    <row r="2665" spans="1:11" x14ac:dyDescent="0.25">
      <c r="A2665" s="302" t="str">
        <f t="shared" si="72"/>
        <v>Energy Star Steamer_6 Pans_CI_EFOOD</v>
      </c>
      <c r="B2665" s="303" t="s">
        <v>1186</v>
      </c>
      <c r="C2665" s="304" t="s">
        <v>1195</v>
      </c>
      <c r="D2665" s="303" t="s">
        <v>1159</v>
      </c>
      <c r="E2665" s="305" t="s">
        <v>443</v>
      </c>
      <c r="F2665" s="309" t="s">
        <v>651</v>
      </c>
      <c r="G2665" s="306">
        <v>105</v>
      </c>
      <c r="H2665" s="305" t="s">
        <v>1188</v>
      </c>
      <c r="I2665" s="305" t="s">
        <v>152</v>
      </c>
      <c r="J2665" s="305" t="s">
        <v>135</v>
      </c>
      <c r="K2665" s="305" t="s">
        <v>2119</v>
      </c>
    </row>
    <row r="2666" spans="1:11" x14ac:dyDescent="0.25">
      <c r="A2666" s="302" t="str">
        <f t="shared" si="72"/>
        <v>Energy Star Steamer_6 Pans_CI_Eff_Base</v>
      </c>
      <c r="B2666" s="303" t="s">
        <v>1186</v>
      </c>
      <c r="C2666" s="304" t="s">
        <v>1195</v>
      </c>
      <c r="D2666" s="303" t="s">
        <v>1159</v>
      </c>
      <c r="E2666" s="305" t="s">
        <v>1172</v>
      </c>
      <c r="F2666" s="309" t="s">
        <v>539</v>
      </c>
      <c r="G2666" s="306">
        <v>0.15</v>
      </c>
      <c r="H2666" s="305" t="s">
        <v>1188</v>
      </c>
      <c r="I2666" s="305" t="s">
        <v>152</v>
      </c>
      <c r="J2666" s="305" t="s">
        <v>135</v>
      </c>
      <c r="K2666" s="305" t="s">
        <v>2119</v>
      </c>
    </row>
    <row r="2667" spans="1:11" x14ac:dyDescent="0.25">
      <c r="A2667" s="302" t="str">
        <f t="shared" ref="A2667:A2731" si="75">B2667&amp;"_"&amp;C2667&amp;"_"&amp;D2667&amp;"_"&amp;E2667</f>
        <v>Energy Star Steamer_6 Pans_CI_HOURS_day</v>
      </c>
      <c r="B2667" s="303" t="s">
        <v>1186</v>
      </c>
      <c r="C2667" s="304" t="s">
        <v>1195</v>
      </c>
      <c r="D2667" s="303" t="s">
        <v>1159</v>
      </c>
      <c r="E2667" s="311" t="s">
        <v>2615</v>
      </c>
      <c r="F2667" s="305" t="s">
        <v>618</v>
      </c>
      <c r="G2667" s="306">
        <v>6</v>
      </c>
      <c r="H2667" s="305" t="s">
        <v>274</v>
      </c>
      <c r="I2667" s="305" t="s">
        <v>152</v>
      </c>
      <c r="J2667" s="305" t="s">
        <v>135</v>
      </c>
      <c r="K2667" s="305" t="s">
        <v>2119</v>
      </c>
    </row>
    <row r="2668" spans="1:11" x14ac:dyDescent="0.25">
      <c r="A2668" s="302" t="str">
        <f t="shared" si="75"/>
        <v>Energy Star Steamer_6 Pans_CI_F</v>
      </c>
      <c r="B2668" s="303" t="s">
        <v>1186</v>
      </c>
      <c r="C2668" s="304" t="s">
        <v>1195</v>
      </c>
      <c r="D2668" s="303" t="s">
        <v>1159</v>
      </c>
      <c r="E2668" s="305" t="s">
        <v>444</v>
      </c>
      <c r="F2668" s="309" t="s">
        <v>1191</v>
      </c>
      <c r="G2668" s="306">
        <v>100</v>
      </c>
      <c r="H2668" s="305" t="s">
        <v>274</v>
      </c>
      <c r="I2668" s="305" t="s">
        <v>152</v>
      </c>
      <c r="J2668" s="305" t="s">
        <v>135</v>
      </c>
      <c r="K2668" s="305" t="s">
        <v>2119</v>
      </c>
    </row>
    <row r="2669" spans="1:11" x14ac:dyDescent="0.25">
      <c r="A2669" s="302" t="str">
        <f t="shared" si="75"/>
        <v>Energy Star Steamer_6 Pans_CI_PCBase</v>
      </c>
      <c r="B2669" s="303" t="s">
        <v>1186</v>
      </c>
      <c r="C2669" s="304" t="s">
        <v>1195</v>
      </c>
      <c r="D2669" s="303" t="s">
        <v>1159</v>
      </c>
      <c r="E2669" s="305" t="s">
        <v>445</v>
      </c>
      <c r="F2669" s="309"/>
      <c r="G2669" s="306">
        <f>G2664</f>
        <v>130</v>
      </c>
      <c r="H2669" s="305" t="s">
        <v>1196</v>
      </c>
      <c r="I2669" s="305" t="s">
        <v>152</v>
      </c>
      <c r="J2669" s="305" t="s">
        <v>135</v>
      </c>
      <c r="K2669" s="305" t="s">
        <v>2119</v>
      </c>
    </row>
    <row r="2670" spans="1:11" x14ac:dyDescent="0.25">
      <c r="A2670" s="302" t="str">
        <f t="shared" si="75"/>
        <v>Energy Star Steamer_6 Pans_CI_PREnumber</v>
      </c>
      <c r="B2670" s="303" t="s">
        <v>1186</v>
      </c>
      <c r="C2670" s="304" t="s">
        <v>1195</v>
      </c>
      <c r="D2670" s="303" t="s">
        <v>1159</v>
      </c>
      <c r="E2670" s="305" t="s">
        <v>446</v>
      </c>
      <c r="F2670" s="309" t="s">
        <v>2383</v>
      </c>
      <c r="G2670" s="306">
        <v>1</v>
      </c>
      <c r="H2670" s="305" t="s">
        <v>274</v>
      </c>
      <c r="I2670" s="305" t="s">
        <v>152</v>
      </c>
      <c r="J2670" s="305" t="s">
        <v>135</v>
      </c>
      <c r="K2670" s="305" t="s">
        <v>2119</v>
      </c>
    </row>
    <row r="2671" spans="1:11" x14ac:dyDescent="0.25">
      <c r="A2671" s="302" t="str">
        <f t="shared" si="75"/>
        <v>Energy Star Steamer_6 Pans_CI_PreTimeBase</v>
      </c>
      <c r="B2671" s="303" t="s">
        <v>1186</v>
      </c>
      <c r="C2671" s="304" t="s">
        <v>1195</v>
      </c>
      <c r="D2671" s="303" t="s">
        <v>1159</v>
      </c>
      <c r="E2671" s="311" t="s">
        <v>2576</v>
      </c>
      <c r="F2671" s="334" t="s">
        <v>2577</v>
      </c>
      <c r="G2671" s="310">
        <f>10.9/60</f>
        <v>0.18166666666666667</v>
      </c>
      <c r="H2671" s="311" t="s">
        <v>1188</v>
      </c>
      <c r="I2671" s="305" t="s">
        <v>152</v>
      </c>
      <c r="J2671" s="305" t="s">
        <v>135</v>
      </c>
      <c r="K2671" s="305" t="s">
        <v>2119</v>
      </c>
    </row>
    <row r="2672" spans="1:11" x14ac:dyDescent="0.25">
      <c r="A2672" s="302" t="str">
        <f t="shared" si="75"/>
        <v>Energy Star Steamer_6 Pans_CI_CSM%ENERGYSTAR</v>
      </c>
      <c r="B2672" s="303" t="s">
        <v>1186</v>
      </c>
      <c r="C2672" s="304" t="s">
        <v>1195</v>
      </c>
      <c r="D2672" s="303" t="s">
        <v>1159</v>
      </c>
      <c r="E2672" s="305" t="s">
        <v>447</v>
      </c>
      <c r="F2672" s="309"/>
      <c r="G2672" s="306">
        <v>0</v>
      </c>
      <c r="H2672" s="305"/>
      <c r="I2672" s="305" t="s">
        <v>152</v>
      </c>
      <c r="J2672" s="305" t="s">
        <v>135</v>
      </c>
      <c r="K2672" s="305" t="s">
        <v>2119</v>
      </c>
    </row>
    <row r="2673" spans="1:11" x14ac:dyDescent="0.25">
      <c r="A2673" s="302" t="str">
        <f t="shared" si="75"/>
        <v>Energy Star Steamer_6 Pans_CI_IDLEENERGYSTAR</v>
      </c>
      <c r="B2673" s="303" t="s">
        <v>1186</v>
      </c>
      <c r="C2673" s="304" t="s">
        <v>1195</v>
      </c>
      <c r="D2673" s="303" t="s">
        <v>1159</v>
      </c>
      <c r="E2673" s="305" t="s">
        <v>448</v>
      </c>
      <c r="F2673" s="309" t="s">
        <v>479</v>
      </c>
      <c r="G2673" s="306">
        <v>12500</v>
      </c>
      <c r="H2673" s="305" t="s">
        <v>1196</v>
      </c>
      <c r="I2673" s="305" t="s">
        <v>152</v>
      </c>
      <c r="J2673" s="305" t="s">
        <v>135</v>
      </c>
      <c r="K2673" s="305" t="s">
        <v>2119</v>
      </c>
    </row>
    <row r="2674" spans="1:11" x14ac:dyDescent="0.25">
      <c r="A2674" s="302" t="str">
        <f t="shared" si="75"/>
        <v>Energy Star Steamer_6 Pans_CI_CSM%ENERGYSTAR</v>
      </c>
      <c r="B2674" s="303" t="s">
        <v>1186</v>
      </c>
      <c r="C2674" s="304" t="s">
        <v>1195</v>
      </c>
      <c r="D2674" s="303" t="s">
        <v>1159</v>
      </c>
      <c r="E2674" s="305" t="s">
        <v>447</v>
      </c>
      <c r="F2674" s="309"/>
      <c r="G2674" s="306">
        <f>G2672</f>
        <v>0</v>
      </c>
      <c r="H2674" s="305"/>
      <c r="I2674" s="305" t="s">
        <v>152</v>
      </c>
      <c r="J2674" s="305" t="s">
        <v>135</v>
      </c>
      <c r="K2674" s="305" t="s">
        <v>2119</v>
      </c>
    </row>
    <row r="2675" spans="1:11" x14ac:dyDescent="0.25">
      <c r="A2675" s="302" t="str">
        <f t="shared" si="75"/>
        <v>Energy Star Steamer_6 Pans_CI_PCENERGYSTAR</v>
      </c>
      <c r="B2675" s="303" t="s">
        <v>1186</v>
      </c>
      <c r="C2675" s="304" t="s">
        <v>1195</v>
      </c>
      <c r="D2675" s="303" t="s">
        <v>1159</v>
      </c>
      <c r="E2675" s="311" t="s">
        <v>2616</v>
      </c>
      <c r="F2675" s="309" t="s">
        <v>1170</v>
      </c>
      <c r="G2675" s="306">
        <v>110</v>
      </c>
      <c r="H2675" s="305" t="s">
        <v>1196</v>
      </c>
      <c r="I2675" s="305" t="s">
        <v>152</v>
      </c>
      <c r="J2675" s="305" t="s">
        <v>135</v>
      </c>
      <c r="K2675" s="305" t="s">
        <v>2119</v>
      </c>
    </row>
    <row r="2676" spans="1:11" x14ac:dyDescent="0.25">
      <c r="A2676" s="302" t="str">
        <f t="shared" si="75"/>
        <v>Energy Star Steamer_6 Pans_CI_EFOOD</v>
      </c>
      <c r="B2676" s="303" t="s">
        <v>1186</v>
      </c>
      <c r="C2676" s="304" t="s">
        <v>1195</v>
      </c>
      <c r="D2676" s="303" t="s">
        <v>1159</v>
      </c>
      <c r="E2676" s="305" t="s">
        <v>443</v>
      </c>
      <c r="F2676" s="309" t="s">
        <v>651</v>
      </c>
      <c r="G2676" s="306">
        <f>G2665</f>
        <v>105</v>
      </c>
      <c r="H2676" s="305" t="s">
        <v>1188</v>
      </c>
      <c r="I2676" s="305" t="s">
        <v>152</v>
      </c>
      <c r="J2676" s="305" t="s">
        <v>135</v>
      </c>
      <c r="K2676" s="305" t="s">
        <v>2119</v>
      </c>
    </row>
    <row r="2677" spans="1:11" x14ac:dyDescent="0.25">
      <c r="A2677" s="302" t="str">
        <f t="shared" si="75"/>
        <v>Energy Star Steamer_6 Pans_CI_Eff_ENERGY STAR</v>
      </c>
      <c r="B2677" s="303" t="s">
        <v>1186</v>
      </c>
      <c r="C2677" s="304" t="s">
        <v>1195</v>
      </c>
      <c r="D2677" s="303" t="s">
        <v>1159</v>
      </c>
      <c r="E2677" s="305" t="s">
        <v>1171</v>
      </c>
      <c r="F2677" s="309" t="s">
        <v>539</v>
      </c>
      <c r="G2677" s="306">
        <v>0.38</v>
      </c>
      <c r="H2677" s="305" t="s">
        <v>1188</v>
      </c>
      <c r="I2677" s="305" t="s">
        <v>152</v>
      </c>
      <c r="J2677" s="305" t="s">
        <v>135</v>
      </c>
      <c r="K2677" s="305" t="s">
        <v>2119</v>
      </c>
    </row>
    <row r="2678" spans="1:11" x14ac:dyDescent="0.25">
      <c r="A2678" s="302" t="str">
        <f t="shared" si="75"/>
        <v>Energy Star Steamer_6 Pans_CI_HOURS_day</v>
      </c>
      <c r="B2678" s="303" t="s">
        <v>1186</v>
      </c>
      <c r="C2678" s="304" t="s">
        <v>1195</v>
      </c>
      <c r="D2678" s="303" t="s">
        <v>1159</v>
      </c>
      <c r="E2678" s="311" t="s">
        <v>2615</v>
      </c>
      <c r="F2678" s="305" t="s">
        <v>618</v>
      </c>
      <c r="G2678" s="306">
        <f>G2667</f>
        <v>6</v>
      </c>
      <c r="H2678" s="305" t="s">
        <v>274</v>
      </c>
      <c r="I2678" s="305" t="s">
        <v>152</v>
      </c>
      <c r="J2678" s="305" t="s">
        <v>135</v>
      </c>
      <c r="K2678" s="305" t="s">
        <v>2119</v>
      </c>
    </row>
    <row r="2679" spans="1:11" x14ac:dyDescent="0.25">
      <c r="A2679" s="302" t="str">
        <f t="shared" si="75"/>
        <v>Energy Star Steamer_6 Pans_CI_F</v>
      </c>
      <c r="B2679" s="303" t="s">
        <v>1186</v>
      </c>
      <c r="C2679" s="304" t="s">
        <v>1195</v>
      </c>
      <c r="D2679" s="303" t="s">
        <v>1159</v>
      </c>
      <c r="E2679" s="305" t="s">
        <v>444</v>
      </c>
      <c r="F2679" s="309" t="s">
        <v>1191</v>
      </c>
      <c r="G2679" s="306">
        <f>G2668</f>
        <v>100</v>
      </c>
      <c r="H2679" s="305" t="s">
        <v>274</v>
      </c>
      <c r="I2679" s="305" t="s">
        <v>152</v>
      </c>
      <c r="J2679" s="305" t="s">
        <v>135</v>
      </c>
      <c r="K2679" s="305" t="s">
        <v>2119</v>
      </c>
    </row>
    <row r="2680" spans="1:11" x14ac:dyDescent="0.25">
      <c r="A2680" s="302" t="str">
        <f t="shared" si="75"/>
        <v>Energy Star Steamer_6 Pans_CI_PCENERGYSTAR</v>
      </c>
      <c r="B2680" s="303" t="s">
        <v>1186</v>
      </c>
      <c r="C2680" s="304" t="s">
        <v>1195</v>
      </c>
      <c r="D2680" s="303" t="s">
        <v>1159</v>
      </c>
      <c r="E2680" s="311" t="s">
        <v>2616</v>
      </c>
      <c r="F2680" s="309" t="s">
        <v>1170</v>
      </c>
      <c r="G2680" s="306">
        <f>G2675</f>
        <v>110</v>
      </c>
      <c r="H2680" s="305" t="s">
        <v>1196</v>
      </c>
      <c r="I2680" s="305" t="s">
        <v>152</v>
      </c>
      <c r="J2680" s="305" t="s">
        <v>135</v>
      </c>
      <c r="K2680" s="305" t="s">
        <v>2119</v>
      </c>
    </row>
    <row r="2681" spans="1:11" x14ac:dyDescent="0.25">
      <c r="A2681" s="302" t="str">
        <f t="shared" si="75"/>
        <v>Energy Star Steamer_6 Pans_CI_PREnumber</v>
      </c>
      <c r="B2681" s="303" t="s">
        <v>1186</v>
      </c>
      <c r="C2681" s="304" t="s">
        <v>1195</v>
      </c>
      <c r="D2681" s="303" t="s">
        <v>1159</v>
      </c>
      <c r="E2681" s="305" t="s">
        <v>446</v>
      </c>
      <c r="F2681" s="309" t="s">
        <v>2383</v>
      </c>
      <c r="G2681" s="306">
        <f>G2670</f>
        <v>1</v>
      </c>
      <c r="H2681" s="305" t="s">
        <v>274</v>
      </c>
      <c r="I2681" s="305" t="s">
        <v>152</v>
      </c>
      <c r="J2681" s="305" t="s">
        <v>135</v>
      </c>
      <c r="K2681" s="305" t="s">
        <v>2119</v>
      </c>
    </row>
    <row r="2682" spans="1:11" x14ac:dyDescent="0.25">
      <c r="A2682" s="302" t="str">
        <f t="shared" si="75"/>
        <v>Energy Star Steamer_6 Pans_CI_PreTimeEE</v>
      </c>
      <c r="B2682" s="303" t="s">
        <v>1186</v>
      </c>
      <c r="C2682" s="304" t="s">
        <v>1195</v>
      </c>
      <c r="D2682" s="303" t="s">
        <v>1159</v>
      </c>
      <c r="E2682" s="311" t="s">
        <v>2578</v>
      </c>
      <c r="F2682" s="334" t="s">
        <v>2577</v>
      </c>
      <c r="G2682" s="310">
        <f>13.4/60</f>
        <v>0.22333333333333333</v>
      </c>
      <c r="H2682" s="311" t="s">
        <v>1188</v>
      </c>
      <c r="I2682" s="305" t="s">
        <v>152</v>
      </c>
      <c r="J2682" s="305" t="s">
        <v>135</v>
      </c>
      <c r="K2682" s="305" t="s">
        <v>2119</v>
      </c>
    </row>
    <row r="2683" spans="1:11" x14ac:dyDescent="0.25">
      <c r="A2683" s="302" t="str">
        <f t="shared" si="75"/>
        <v>Energy Star Steamer_6 Pans_CI_Delta_Idle_Energy</v>
      </c>
      <c r="B2683" s="303" t="s">
        <v>1186</v>
      </c>
      <c r="C2683" s="304" t="s">
        <v>1195</v>
      </c>
      <c r="D2683" s="303" t="s">
        <v>1159</v>
      </c>
      <c r="E2683" s="311" t="s">
        <v>449</v>
      </c>
      <c r="F2683" s="334"/>
      <c r="G2683" s="310">
        <f xml:space="preserve"> ((((1- G2661)* G2662 + G2663 * G2664 * G2665 / G2666) * (G2667 - (G2668 / G2669) - ( G2670 *G2671))) - (((1- G2672) * G2673 + G2674 * G2675 * G2676 / G2677) * (G2678 - (G2679/ G2680 ) - (G2681 * G2682 ))))</f>
        <v>363784.82867132867</v>
      </c>
      <c r="H2683" s="311"/>
      <c r="I2683" s="305" t="s">
        <v>152</v>
      </c>
      <c r="J2683" s="305" t="s">
        <v>135</v>
      </c>
      <c r="K2683" s="305" t="s">
        <v>2119</v>
      </c>
    </row>
    <row r="2684" spans="1:11" x14ac:dyDescent="0.25">
      <c r="A2684" s="302" t="str">
        <f t="shared" si="75"/>
        <v>Energy Star Steamer_6 Pans_CI_PREnumber</v>
      </c>
      <c r="B2684" s="303" t="s">
        <v>1186</v>
      </c>
      <c r="C2684" s="304" t="s">
        <v>1195</v>
      </c>
      <c r="D2684" s="303" t="s">
        <v>1159</v>
      </c>
      <c r="E2684" s="305" t="s">
        <v>446</v>
      </c>
      <c r="F2684" s="309" t="s">
        <v>2383</v>
      </c>
      <c r="G2684" s="306">
        <f>G2681</f>
        <v>1</v>
      </c>
      <c r="H2684" s="305" t="s">
        <v>274</v>
      </c>
      <c r="I2684" s="305" t="s">
        <v>152</v>
      </c>
      <c r="J2684" s="305" t="s">
        <v>135</v>
      </c>
      <c r="K2684" s="305" t="s">
        <v>2119</v>
      </c>
    </row>
    <row r="2685" spans="1:11" x14ac:dyDescent="0.25">
      <c r="A2685" s="302" t="str">
        <f t="shared" si="75"/>
        <v>Energy Star Steamer_6 Pans_CI_PREheat_Base</v>
      </c>
      <c r="B2685" s="303" t="s">
        <v>1186</v>
      </c>
      <c r="C2685" s="304" t="s">
        <v>1195</v>
      </c>
      <c r="D2685" s="303" t="s">
        <v>1159</v>
      </c>
      <c r="E2685" s="311" t="s">
        <v>2579</v>
      </c>
      <c r="F2685" s="334" t="s">
        <v>941</v>
      </c>
      <c r="G2685" s="310">
        <v>18832.7</v>
      </c>
      <c r="H2685" s="311" t="s">
        <v>1188</v>
      </c>
      <c r="I2685" s="305" t="s">
        <v>152</v>
      </c>
      <c r="J2685" s="305" t="s">
        <v>135</v>
      </c>
      <c r="K2685" s="305" t="s">
        <v>2119</v>
      </c>
    </row>
    <row r="2686" spans="1:11" x14ac:dyDescent="0.25">
      <c r="A2686" s="302" t="str">
        <f t="shared" si="75"/>
        <v>Energy Star Steamer_6 Pans_CI_PREheat_EE</v>
      </c>
      <c r="B2686" s="303" t="s">
        <v>1186</v>
      </c>
      <c r="C2686" s="304" t="s">
        <v>1195</v>
      </c>
      <c r="D2686" s="303" t="s">
        <v>1159</v>
      </c>
      <c r="E2686" s="311" t="s">
        <v>2580</v>
      </c>
      <c r="F2686" s="334" t="s">
        <v>941</v>
      </c>
      <c r="G2686" s="310">
        <v>10293.9</v>
      </c>
      <c r="H2686" s="311" t="s">
        <v>1188</v>
      </c>
      <c r="I2686" s="305" t="s">
        <v>152</v>
      </c>
      <c r="J2686" s="305" t="s">
        <v>135</v>
      </c>
      <c r="K2686" s="305" t="s">
        <v>2119</v>
      </c>
    </row>
    <row r="2687" spans="1:11" x14ac:dyDescent="0.25">
      <c r="A2687" s="302" t="str">
        <f t="shared" si="75"/>
        <v>Energy Star Steamer_6 Pans_CI_Delta_Preheat_Energy</v>
      </c>
      <c r="B2687" s="303" t="s">
        <v>1186</v>
      </c>
      <c r="C2687" s="304" t="s">
        <v>1195</v>
      </c>
      <c r="D2687" s="303" t="s">
        <v>1159</v>
      </c>
      <c r="E2687" s="311" t="s">
        <v>450</v>
      </c>
      <c r="F2687" s="334"/>
      <c r="G2687" s="310">
        <f xml:space="preserve"> G2684 * (G2685-G2686)</f>
        <v>8538.8000000000011</v>
      </c>
      <c r="H2687" s="311"/>
      <c r="I2687" s="305" t="s">
        <v>152</v>
      </c>
      <c r="J2687" s="305" t="s">
        <v>135</v>
      </c>
      <c r="K2687" s="305" t="s">
        <v>2119</v>
      </c>
    </row>
    <row r="2688" spans="1:11" x14ac:dyDescent="0.25">
      <c r="A2688" s="302" t="str">
        <f t="shared" si="75"/>
        <v>Energy Star Steamer_6 Pans_CI_Eff_Base</v>
      </c>
      <c r="B2688" s="303" t="s">
        <v>1186</v>
      </c>
      <c r="C2688" s="304" t="s">
        <v>1195</v>
      </c>
      <c r="D2688" s="303" t="s">
        <v>1159</v>
      </c>
      <c r="E2688" s="305" t="s">
        <v>1172</v>
      </c>
      <c r="F2688" s="309" t="s">
        <v>539</v>
      </c>
      <c r="G2688" s="306">
        <f>G2666</f>
        <v>0.15</v>
      </c>
      <c r="H2688" s="305" t="s">
        <v>1188</v>
      </c>
      <c r="I2688" s="305" t="s">
        <v>152</v>
      </c>
      <c r="J2688" s="305" t="s">
        <v>135</v>
      </c>
      <c r="K2688" s="305" t="s">
        <v>2119</v>
      </c>
    </row>
    <row r="2689" spans="1:11" x14ac:dyDescent="0.25">
      <c r="A2689" s="302" t="str">
        <f t="shared" si="75"/>
        <v>Energy Star Steamer_6 Pans_CI_Eff_ENERGY STAR</v>
      </c>
      <c r="B2689" s="303" t="s">
        <v>1186</v>
      </c>
      <c r="C2689" s="304" t="s">
        <v>1195</v>
      </c>
      <c r="D2689" s="303" t="s">
        <v>1159</v>
      </c>
      <c r="E2689" s="305" t="s">
        <v>1171</v>
      </c>
      <c r="F2689" s="309" t="s">
        <v>539</v>
      </c>
      <c r="G2689" s="306">
        <f>G2677</f>
        <v>0.38</v>
      </c>
      <c r="H2689" s="305" t="s">
        <v>1188</v>
      </c>
      <c r="I2689" s="305" t="s">
        <v>152</v>
      </c>
      <c r="J2689" s="305" t="s">
        <v>135</v>
      </c>
      <c r="K2689" s="305" t="s">
        <v>2119</v>
      </c>
    </row>
    <row r="2690" spans="1:11" x14ac:dyDescent="0.25">
      <c r="A2690" s="302" t="str">
        <f t="shared" si="75"/>
        <v>Energy Star Steamer_6 Pans_CI_F</v>
      </c>
      <c r="B2690" s="303" t="s">
        <v>1186</v>
      </c>
      <c r="C2690" s="304" t="s">
        <v>1195</v>
      </c>
      <c r="D2690" s="303" t="s">
        <v>1159</v>
      </c>
      <c r="E2690" s="305" t="s">
        <v>444</v>
      </c>
      <c r="F2690" s="309" t="s">
        <v>1191</v>
      </c>
      <c r="G2690" s="306">
        <f>G2679</f>
        <v>100</v>
      </c>
      <c r="H2690" s="305" t="s">
        <v>274</v>
      </c>
      <c r="I2690" s="305" t="s">
        <v>152</v>
      </c>
      <c r="J2690" s="305" t="s">
        <v>135</v>
      </c>
      <c r="K2690" s="305" t="s">
        <v>2119</v>
      </c>
    </row>
    <row r="2691" spans="1:11" x14ac:dyDescent="0.25">
      <c r="A2691" s="302" t="str">
        <f t="shared" si="75"/>
        <v>Energy Star Steamer_6 Pans_CI_EFOOD</v>
      </c>
      <c r="B2691" s="303" t="s">
        <v>1186</v>
      </c>
      <c r="C2691" s="304" t="s">
        <v>1195</v>
      </c>
      <c r="D2691" s="303" t="s">
        <v>1159</v>
      </c>
      <c r="E2691" s="305" t="s">
        <v>443</v>
      </c>
      <c r="F2691" s="309" t="s">
        <v>651</v>
      </c>
      <c r="G2691" s="306">
        <f>G2676</f>
        <v>105</v>
      </c>
      <c r="H2691" s="305" t="s">
        <v>1188</v>
      </c>
      <c r="I2691" s="305" t="s">
        <v>152</v>
      </c>
      <c r="J2691" s="305" t="s">
        <v>135</v>
      </c>
      <c r="K2691" s="305" t="s">
        <v>2119</v>
      </c>
    </row>
    <row r="2692" spans="1:11" x14ac:dyDescent="0.25">
      <c r="A2692" s="302" t="str">
        <f t="shared" si="75"/>
        <v>Energy Star Steamer_6 Pans_CI_Delta_Cooking_Energy</v>
      </c>
      <c r="B2692" s="303" t="s">
        <v>1186</v>
      </c>
      <c r="C2692" s="304" t="s">
        <v>1195</v>
      </c>
      <c r="D2692" s="303" t="s">
        <v>1159</v>
      </c>
      <c r="E2692" s="305" t="s">
        <v>451</v>
      </c>
      <c r="F2692" s="309"/>
      <c r="G2692" s="306">
        <f xml:space="preserve"> ((1 / G2688) - (1 / G2689)) * G2690 * G2691</f>
        <v>42368.42105263158</v>
      </c>
      <c r="H2692" s="305"/>
      <c r="I2692" s="305" t="s">
        <v>152</v>
      </c>
      <c r="J2692" s="305" t="s">
        <v>135</v>
      </c>
      <c r="K2692" s="305" t="s">
        <v>2119</v>
      </c>
    </row>
    <row r="2693" spans="1:11" x14ac:dyDescent="0.25">
      <c r="A2693" s="302" t="str">
        <f t="shared" si="75"/>
        <v>Energy Star Steamer_6 Pans_CI_Days</v>
      </c>
      <c r="B2693" s="303" t="s">
        <v>1186</v>
      </c>
      <c r="C2693" s="304" t="s">
        <v>1195</v>
      </c>
      <c r="D2693" s="303" t="s">
        <v>1159</v>
      </c>
      <c r="E2693" s="311" t="s">
        <v>2419</v>
      </c>
      <c r="F2693" s="309"/>
      <c r="G2693" s="306">
        <v>365.25</v>
      </c>
      <c r="H2693" s="305"/>
      <c r="I2693" s="305" t="s">
        <v>152</v>
      </c>
      <c r="J2693" s="305" t="s">
        <v>135</v>
      </c>
      <c r="K2693" s="305" t="s">
        <v>2119</v>
      </c>
    </row>
    <row r="2694" spans="1:11" x14ac:dyDescent="0.25">
      <c r="A2694" s="302" t="str">
        <f t="shared" si="75"/>
        <v>Energy Star Steamer_6 Pans_CI_Delta_Savings</v>
      </c>
      <c r="B2694" s="303" t="s">
        <v>1186</v>
      </c>
      <c r="C2694" s="304" t="s">
        <v>1195</v>
      </c>
      <c r="D2694" s="303" t="s">
        <v>1159</v>
      </c>
      <c r="E2694" s="305" t="s">
        <v>452</v>
      </c>
      <c r="F2694" s="309"/>
      <c r="G2694" s="306">
        <f xml:space="preserve"> (G2683 + G2687 + G2692) * G2693</f>
        <v>151466271.16167647</v>
      </c>
      <c r="H2694" s="305"/>
      <c r="I2694" s="305" t="s">
        <v>152</v>
      </c>
      <c r="J2694" s="305" t="s">
        <v>135</v>
      </c>
      <c r="K2694" s="305" t="s">
        <v>2119</v>
      </c>
    </row>
    <row r="2695" spans="1:11" x14ac:dyDescent="0.25">
      <c r="A2695" s="302" t="str">
        <f t="shared" si="75"/>
        <v>Energy Star Steamer_6 Pans_CI_WBASE</v>
      </c>
      <c r="B2695" s="303" t="s">
        <v>1186</v>
      </c>
      <c r="C2695" s="304" t="s">
        <v>1195</v>
      </c>
      <c r="D2695" s="303" t="s">
        <v>1159</v>
      </c>
      <c r="E2695" s="305" t="s">
        <v>453</v>
      </c>
      <c r="F2695" s="309"/>
      <c r="G2695" s="306">
        <v>40</v>
      </c>
      <c r="H2695" s="305"/>
      <c r="I2695" s="305" t="s">
        <v>152</v>
      </c>
      <c r="J2695" s="305" t="s">
        <v>135</v>
      </c>
      <c r="K2695" s="305" t="s">
        <v>2119</v>
      </c>
    </row>
    <row r="2696" spans="1:11" x14ac:dyDescent="0.25">
      <c r="A2696" s="302" t="str">
        <f t="shared" si="75"/>
        <v>Energy Star Steamer_6 Pans_CI_WENERGYSTAR</v>
      </c>
      <c r="B2696" s="303" t="s">
        <v>1186</v>
      </c>
      <c r="C2696" s="304" t="s">
        <v>1195</v>
      </c>
      <c r="D2696" s="303" t="s">
        <v>1159</v>
      </c>
      <c r="E2696" s="305" t="s">
        <v>454</v>
      </c>
      <c r="F2696" s="309"/>
      <c r="G2696" s="306">
        <v>10</v>
      </c>
      <c r="H2696" s="305" t="s">
        <v>455</v>
      </c>
      <c r="I2696" s="305" t="s">
        <v>152</v>
      </c>
      <c r="J2696" s="305" t="s">
        <v>135</v>
      </c>
      <c r="K2696" s="305" t="s">
        <v>2119</v>
      </c>
    </row>
    <row r="2697" spans="1:11" x14ac:dyDescent="0.25">
      <c r="A2697" s="302" t="str">
        <f t="shared" si="75"/>
        <v>Energy Star Steamer_6 Pans_CI_HOURS_day</v>
      </c>
      <c r="B2697" s="303" t="s">
        <v>1186</v>
      </c>
      <c r="C2697" s="304" t="s">
        <v>1195</v>
      </c>
      <c r="D2697" s="303" t="s">
        <v>1159</v>
      </c>
      <c r="E2697" s="311" t="s">
        <v>2615</v>
      </c>
      <c r="F2697" s="305" t="s">
        <v>618</v>
      </c>
      <c r="G2697" s="306">
        <v>6</v>
      </c>
      <c r="H2697" s="305" t="s">
        <v>274</v>
      </c>
      <c r="I2697" s="305" t="s">
        <v>152</v>
      </c>
      <c r="J2697" s="305" t="s">
        <v>135</v>
      </c>
      <c r="K2697" s="305" t="s">
        <v>2119</v>
      </c>
    </row>
    <row r="2698" spans="1:11" x14ac:dyDescent="0.25">
      <c r="A2698" s="302" t="str">
        <f t="shared" si="75"/>
        <v>Energy Star Steamer_6 Pans_CI_Days</v>
      </c>
      <c r="B2698" s="303" t="s">
        <v>1186</v>
      </c>
      <c r="C2698" s="304" t="s">
        <v>1195</v>
      </c>
      <c r="D2698" s="303" t="s">
        <v>1159</v>
      </c>
      <c r="E2698" s="311" t="s">
        <v>2419</v>
      </c>
      <c r="F2698" s="309"/>
      <c r="G2698" s="306">
        <v>365.25</v>
      </c>
      <c r="H2698" s="305"/>
      <c r="I2698" s="305" t="s">
        <v>152</v>
      </c>
      <c r="J2698" s="305" t="s">
        <v>135</v>
      </c>
      <c r="K2698" s="305" t="s">
        <v>2119</v>
      </c>
    </row>
    <row r="2699" spans="1:11" x14ac:dyDescent="0.25">
      <c r="A2699" s="302" t="str">
        <f t="shared" si="75"/>
        <v>Energy Star Steamer_6 Pans_CI_Delta_Water_Gallons</v>
      </c>
      <c r="B2699" s="303" t="s">
        <v>1186</v>
      </c>
      <c r="C2699" s="304" t="s">
        <v>1195</v>
      </c>
      <c r="D2699" s="303" t="s">
        <v>1159</v>
      </c>
      <c r="E2699" s="305" t="s">
        <v>456</v>
      </c>
      <c r="F2699" s="309"/>
      <c r="G2699" s="306">
        <f xml:space="preserve"> (G2695 - G2696)* G2697 * G2698</f>
        <v>65745</v>
      </c>
      <c r="H2699" s="305"/>
      <c r="I2699" s="305" t="s">
        <v>152</v>
      </c>
      <c r="J2699" s="305" t="s">
        <v>135</v>
      </c>
      <c r="K2699" s="305" t="s">
        <v>2119</v>
      </c>
    </row>
    <row r="2700" spans="1:11" x14ac:dyDescent="0.25">
      <c r="A2700" s="302" t="str">
        <f t="shared" si="75"/>
        <v>Energy Star Steamer_6 Pans_CI_Conversion</v>
      </c>
      <c r="B2700" s="303" t="s">
        <v>1186</v>
      </c>
      <c r="C2700" s="304" t="s">
        <v>1195</v>
      </c>
      <c r="D2700" s="303" t="s">
        <v>1159</v>
      </c>
      <c r="E2700" s="305" t="s">
        <v>284</v>
      </c>
      <c r="F2700" s="309"/>
      <c r="G2700" s="306">
        <v>1000000</v>
      </c>
      <c r="H2700" s="305"/>
      <c r="I2700" s="305" t="s">
        <v>152</v>
      </c>
      <c r="J2700" s="305" t="s">
        <v>135</v>
      </c>
      <c r="K2700" s="305" t="s">
        <v>2119</v>
      </c>
    </row>
    <row r="2701" spans="1:11" x14ac:dyDescent="0.25">
      <c r="A2701" s="302" t="str">
        <f t="shared" si="75"/>
        <v>Energy Star Steamer_6 Pans_CI_E_water_supply</v>
      </c>
      <c r="B2701" s="303" t="s">
        <v>1186</v>
      </c>
      <c r="C2701" s="304" t="s">
        <v>1195</v>
      </c>
      <c r="D2701" s="303" t="s">
        <v>1159</v>
      </c>
      <c r="E2701" s="305" t="s">
        <v>457</v>
      </c>
      <c r="F2701" s="309"/>
      <c r="G2701" s="306">
        <v>2571</v>
      </c>
      <c r="H2701" s="305"/>
      <c r="I2701" s="305" t="s">
        <v>152</v>
      </c>
      <c r="J2701" s="305" t="s">
        <v>135</v>
      </c>
      <c r="K2701" s="305" t="s">
        <v>2119</v>
      </c>
    </row>
    <row r="2702" spans="1:11" x14ac:dyDescent="0.25">
      <c r="A2702" s="302" t="str">
        <f t="shared" si="75"/>
        <v>Energy Star Steamer_6 Pans_CI_Delta_kWh_water</v>
      </c>
      <c r="B2702" s="303" t="s">
        <v>1186</v>
      </c>
      <c r="C2702" s="304" t="s">
        <v>1195</v>
      </c>
      <c r="D2702" s="303" t="s">
        <v>1159</v>
      </c>
      <c r="E2702" s="305" t="s">
        <v>334</v>
      </c>
      <c r="F2702" s="309"/>
      <c r="G2702" s="306">
        <f xml:space="preserve"> G2699 / G2700 * G2701</f>
        <v>169.030395</v>
      </c>
      <c r="H2702" s="305"/>
      <c r="I2702" s="305" t="s">
        <v>152</v>
      </c>
      <c r="J2702" s="305" t="s">
        <v>135</v>
      </c>
      <c r="K2702" s="305" t="s">
        <v>2119</v>
      </c>
    </row>
    <row r="2703" spans="1:11" x14ac:dyDescent="0.25">
      <c r="A2703" s="302" t="str">
        <f t="shared" ref="A2703" si="76">B2703&amp;"_"&amp;C2703&amp;"_"&amp;D2703&amp;"_"&amp;E2703</f>
        <v>Energy Star Steamer_6 Pans_CI_CF</v>
      </c>
      <c r="B2703" s="303" t="s">
        <v>1186</v>
      </c>
      <c r="C2703" s="304" t="s">
        <v>1195</v>
      </c>
      <c r="D2703" s="303" t="s">
        <v>1159</v>
      </c>
      <c r="E2703" s="305" t="s">
        <v>253</v>
      </c>
      <c r="F2703" s="309"/>
      <c r="G2703" s="306">
        <v>0.36</v>
      </c>
      <c r="H2703" s="305" t="s">
        <v>458</v>
      </c>
      <c r="I2703" s="305" t="s">
        <v>152</v>
      </c>
      <c r="J2703" s="305" t="s">
        <v>135</v>
      </c>
      <c r="K2703" s="305" t="s">
        <v>2119</v>
      </c>
    </row>
    <row r="2704" spans="1:11" x14ac:dyDescent="0.25">
      <c r="A2704" s="302" t="str">
        <f t="shared" si="75"/>
        <v>Energy Star Steamer_6 Pans_CI_kWh Saved per Unit</v>
      </c>
      <c r="B2704" s="303" t="s">
        <v>1186</v>
      </c>
      <c r="C2704" s="304" t="s">
        <v>1195</v>
      </c>
      <c r="D2704" s="303" t="s">
        <v>1159</v>
      </c>
      <c r="E2704" s="314" t="s">
        <v>255</v>
      </c>
      <c r="F2704" s="326"/>
      <c r="G2704" s="315">
        <f>G2702</f>
        <v>169.030395</v>
      </c>
      <c r="H2704" s="305"/>
      <c r="I2704" s="305" t="s">
        <v>152</v>
      </c>
      <c r="J2704" s="305" t="s">
        <v>135</v>
      </c>
      <c r="K2704" s="305" t="s">
        <v>2119</v>
      </c>
    </row>
    <row r="2705" spans="1:11" x14ac:dyDescent="0.25">
      <c r="A2705" s="302" t="str">
        <f t="shared" si="75"/>
        <v>Energy Star Steamer_6 Pans_CI_Coincident Peak kW Saved per Unit</v>
      </c>
      <c r="B2705" s="303" t="s">
        <v>1186</v>
      </c>
      <c r="C2705" s="304" t="s">
        <v>1195</v>
      </c>
      <c r="D2705" s="303" t="s">
        <v>1159</v>
      </c>
      <c r="E2705" s="314" t="s">
        <v>257</v>
      </c>
      <c r="F2705" s="327"/>
      <c r="G2705" s="315">
        <f xml:space="preserve"> (G2694/(G2697 * G2698)) * G2703</f>
        <v>24881.522983437611</v>
      </c>
      <c r="H2705" s="305"/>
      <c r="I2705" s="305" t="s">
        <v>152</v>
      </c>
      <c r="J2705" s="305" t="s">
        <v>135</v>
      </c>
      <c r="K2705" s="305" t="s">
        <v>2119</v>
      </c>
    </row>
    <row r="2706" spans="1:11" x14ac:dyDescent="0.25">
      <c r="A2706" s="302" t="str">
        <f t="shared" si="75"/>
        <v>Energy Star Steamer_6 Pans_CI_Therm Saved per Unit</v>
      </c>
      <c r="B2706" s="303" t="s">
        <v>1186</v>
      </c>
      <c r="C2706" s="304" t="s">
        <v>1195</v>
      </c>
      <c r="D2706" s="303" t="s">
        <v>1159</v>
      </c>
      <c r="E2706" s="311" t="s">
        <v>326</v>
      </c>
      <c r="F2706" s="334"/>
      <c r="G2706" s="310">
        <f>G2694/100000</f>
        <v>1514.6627116167647</v>
      </c>
      <c r="H2706" s="311"/>
      <c r="I2706" s="305" t="s">
        <v>152</v>
      </c>
      <c r="J2706" s="305" t="s">
        <v>135</v>
      </c>
      <c r="K2706" s="305" t="s">
        <v>2119</v>
      </c>
    </row>
    <row r="2707" spans="1:11" x14ac:dyDescent="0.25">
      <c r="A2707" s="302" t="str">
        <f t="shared" si="75"/>
        <v>Energy Star Steamer_6 Pans_CI_Gallons Saved per Unit</v>
      </c>
      <c r="B2707" s="303" t="s">
        <v>1186</v>
      </c>
      <c r="C2707" s="304" t="s">
        <v>1195</v>
      </c>
      <c r="D2707" s="303" t="s">
        <v>1159</v>
      </c>
      <c r="E2707" s="314" t="s">
        <v>547</v>
      </c>
      <c r="F2707" s="326"/>
      <c r="G2707" s="315">
        <f>G2698</f>
        <v>365.25</v>
      </c>
      <c r="H2707" s="305"/>
      <c r="I2707" s="305" t="s">
        <v>152</v>
      </c>
      <c r="J2707" s="305" t="s">
        <v>135</v>
      </c>
      <c r="K2707" s="305" t="s">
        <v>2119</v>
      </c>
    </row>
    <row r="2708" spans="1:11" x14ac:dyDescent="0.25">
      <c r="A2708" s="302" t="str">
        <f t="shared" si="75"/>
        <v>Energy Star Steamer_6 Pans_CI_Lifetime (years)</v>
      </c>
      <c r="B2708" s="303" t="s">
        <v>1186</v>
      </c>
      <c r="C2708" s="304" t="s">
        <v>1195</v>
      </c>
      <c r="D2708" s="303" t="s">
        <v>1159</v>
      </c>
      <c r="E2708" s="314" t="s">
        <v>259</v>
      </c>
      <c r="F2708" s="326"/>
      <c r="G2708" s="315">
        <v>12</v>
      </c>
      <c r="H2708" s="305"/>
      <c r="I2708" s="305" t="s">
        <v>152</v>
      </c>
      <c r="J2708" s="305" t="s">
        <v>135</v>
      </c>
      <c r="K2708" s="305" t="s">
        <v>2119</v>
      </c>
    </row>
    <row r="2709" spans="1:11" x14ac:dyDescent="0.25">
      <c r="A2709" s="302" t="str">
        <f t="shared" si="75"/>
        <v>Energy Star Steamer_6 Pans_CI_Incremental Cost</v>
      </c>
      <c r="B2709" s="303" t="s">
        <v>1186</v>
      </c>
      <c r="C2709" s="304" t="s">
        <v>1195</v>
      </c>
      <c r="D2709" s="303" t="s">
        <v>1159</v>
      </c>
      <c r="E2709" s="314" t="s">
        <v>260</v>
      </c>
      <c r="F2709" s="326"/>
      <c r="G2709" s="315">
        <v>998</v>
      </c>
      <c r="H2709" s="305" t="s">
        <v>232</v>
      </c>
      <c r="I2709" s="305" t="s">
        <v>152</v>
      </c>
      <c r="J2709" s="305" t="s">
        <v>135</v>
      </c>
      <c r="K2709" s="305" t="s">
        <v>2119</v>
      </c>
    </row>
    <row r="2710" spans="1:11" s="324" customFormat="1" x14ac:dyDescent="0.25">
      <c r="A2710" s="317" t="str">
        <f t="shared" si="75"/>
        <v>Energy Star Steamer_6 Pans_CI_</v>
      </c>
      <c r="B2710" s="317" t="str">
        <f>B2709</f>
        <v>Energy Star Steamer</v>
      </c>
      <c r="C2710" s="332" t="str">
        <f>C2709</f>
        <v>6 Pans</v>
      </c>
      <c r="D2710" s="317" t="str">
        <f>D2709</f>
        <v>CI</v>
      </c>
      <c r="E2710" s="320"/>
      <c r="F2710" s="320"/>
      <c r="G2710" s="329"/>
      <c r="H2710" s="320"/>
      <c r="I2710" s="320"/>
      <c r="J2710" s="320"/>
      <c r="K2710" s="320"/>
    </row>
    <row r="2711" spans="1:11" x14ac:dyDescent="0.25">
      <c r="A2711" s="302" t="str">
        <f t="shared" si="75"/>
        <v>Heat Recovery Grease Trap Filter_0_CI_Meal/Day</v>
      </c>
      <c r="B2711" s="303" t="s">
        <v>17</v>
      </c>
      <c r="C2711" s="304">
        <v>0</v>
      </c>
      <c r="D2711" s="303" t="s">
        <v>1159</v>
      </c>
      <c r="E2711" s="305" t="s">
        <v>343</v>
      </c>
      <c r="F2711" s="309"/>
      <c r="G2711" s="306">
        <v>780</v>
      </c>
      <c r="H2711" s="305" t="s">
        <v>344</v>
      </c>
      <c r="I2711" s="305" t="s">
        <v>152</v>
      </c>
      <c r="J2711" s="305" t="s">
        <v>237</v>
      </c>
      <c r="K2711" s="305" t="s">
        <v>2376</v>
      </c>
    </row>
    <row r="2712" spans="1:11" x14ac:dyDescent="0.25">
      <c r="A2712" s="302" t="str">
        <f t="shared" si="75"/>
        <v>Heat Recovery Grease Trap Filter_0_CI_HW/Meal</v>
      </c>
      <c r="B2712" s="303" t="s">
        <v>17</v>
      </c>
      <c r="C2712" s="304">
        <v>0</v>
      </c>
      <c r="D2712" s="303" t="s">
        <v>1159</v>
      </c>
      <c r="E2712" s="305" t="s">
        <v>345</v>
      </c>
      <c r="F2712" s="309"/>
      <c r="G2712" s="306">
        <v>3</v>
      </c>
      <c r="H2712" s="305"/>
      <c r="I2712" s="305" t="s">
        <v>152</v>
      </c>
      <c r="J2712" s="305" t="s">
        <v>237</v>
      </c>
      <c r="K2712" s="305" t="s">
        <v>2376</v>
      </c>
    </row>
    <row r="2713" spans="1:11" x14ac:dyDescent="0.25">
      <c r="A2713" s="302" t="str">
        <f t="shared" si="75"/>
        <v>Heat Recovery Grease Trap Filter_0_CI_Days of Operation per Year</v>
      </c>
      <c r="B2713" s="303" t="s">
        <v>17</v>
      </c>
      <c r="C2713" s="304">
        <v>0</v>
      </c>
      <c r="D2713" s="303" t="s">
        <v>1159</v>
      </c>
      <c r="E2713" s="305" t="s">
        <v>731</v>
      </c>
      <c r="F2713" s="309"/>
      <c r="G2713" s="306">
        <v>312</v>
      </c>
      <c r="H2713" s="305" t="s">
        <v>344</v>
      </c>
      <c r="I2713" s="305" t="s">
        <v>152</v>
      </c>
      <c r="J2713" s="305" t="s">
        <v>237</v>
      </c>
      <c r="K2713" s="305" t="s">
        <v>2376</v>
      </c>
    </row>
    <row r="2714" spans="1:11" x14ac:dyDescent="0.25">
      <c r="A2714" s="302" t="str">
        <f t="shared" si="75"/>
        <v>Heat Recovery Grease Trap Filter_0_CI_lbs/gal</v>
      </c>
      <c r="B2714" s="303" t="s">
        <v>17</v>
      </c>
      <c r="C2714" s="304">
        <v>0</v>
      </c>
      <c r="D2714" s="303" t="s">
        <v>1159</v>
      </c>
      <c r="E2714" s="305" t="s">
        <v>346</v>
      </c>
      <c r="F2714" s="309"/>
      <c r="G2714" s="306">
        <v>8.3000000000000007</v>
      </c>
      <c r="H2714" s="305"/>
      <c r="I2714" s="305" t="s">
        <v>152</v>
      </c>
      <c r="J2714" s="305" t="s">
        <v>237</v>
      </c>
      <c r="K2714" s="305" t="s">
        <v>2376</v>
      </c>
    </row>
    <row r="2715" spans="1:11" x14ac:dyDescent="0.25">
      <c r="A2715" s="302" t="str">
        <f t="shared" si="75"/>
        <v>Heat Recovery Grease Trap Filter_0_CI_BTU/lbF</v>
      </c>
      <c r="B2715" s="303" t="s">
        <v>17</v>
      </c>
      <c r="C2715" s="304">
        <v>0</v>
      </c>
      <c r="D2715" s="303" t="s">
        <v>1159</v>
      </c>
      <c r="E2715" s="305" t="s">
        <v>347</v>
      </c>
      <c r="F2715" s="309"/>
      <c r="G2715" s="306">
        <v>1</v>
      </c>
      <c r="H2715" s="305"/>
      <c r="I2715" s="305" t="s">
        <v>152</v>
      </c>
      <c r="J2715" s="305" t="s">
        <v>237</v>
      </c>
      <c r="K2715" s="305" t="s">
        <v>2376</v>
      </c>
    </row>
    <row r="2716" spans="1:11" x14ac:dyDescent="0.25">
      <c r="A2716" s="302" t="str">
        <f t="shared" si="75"/>
        <v>Heat Recovery Grease Trap Filter_0_CI_ΔT/filter</v>
      </c>
      <c r="B2716" s="303" t="s">
        <v>17</v>
      </c>
      <c r="C2716" s="304">
        <v>0</v>
      </c>
      <c r="D2716" s="303" t="s">
        <v>1159</v>
      </c>
      <c r="E2716" s="305" t="s">
        <v>348</v>
      </c>
      <c r="F2716" s="309"/>
      <c r="G2716" s="306">
        <v>5.8</v>
      </c>
      <c r="H2716" s="305"/>
      <c r="I2716" s="305" t="s">
        <v>152</v>
      </c>
      <c r="J2716" s="305" t="s">
        <v>237</v>
      </c>
      <c r="K2716" s="305" t="s">
        <v>2376</v>
      </c>
    </row>
    <row r="2717" spans="1:11" x14ac:dyDescent="0.25">
      <c r="A2717" s="302" t="str">
        <f t="shared" si="75"/>
        <v>Heat Recovery Grease Trap Filter_0_CI_Qty_Filter</v>
      </c>
      <c r="B2717" s="303" t="s">
        <v>17</v>
      </c>
      <c r="C2717" s="304">
        <v>0</v>
      </c>
      <c r="D2717" s="303" t="s">
        <v>1159</v>
      </c>
      <c r="E2717" s="305" t="s">
        <v>349</v>
      </c>
      <c r="F2717" s="309"/>
      <c r="G2717" s="306">
        <v>4</v>
      </c>
      <c r="H2717" s="305" t="s">
        <v>344</v>
      </c>
      <c r="I2717" s="305" t="s">
        <v>152</v>
      </c>
      <c r="J2717" s="305" t="s">
        <v>237</v>
      </c>
      <c r="K2717" s="305" t="s">
        <v>2376</v>
      </c>
    </row>
    <row r="2718" spans="1:11" x14ac:dyDescent="0.25">
      <c r="A2718" s="302" t="str">
        <f t="shared" si="75"/>
        <v>Heat Recovery Grease Trap Filter_0_CI_ηHeaterGas</v>
      </c>
      <c r="B2718" s="303" t="s">
        <v>17</v>
      </c>
      <c r="C2718" s="304">
        <v>0</v>
      </c>
      <c r="D2718" s="303" t="s">
        <v>1159</v>
      </c>
      <c r="E2718" s="305" t="s">
        <v>350</v>
      </c>
      <c r="F2718" s="309"/>
      <c r="G2718" s="306">
        <v>0.8</v>
      </c>
      <c r="H2718" s="305" t="s">
        <v>351</v>
      </c>
      <c r="I2718" s="305" t="s">
        <v>152</v>
      </c>
      <c r="J2718" s="305" t="s">
        <v>237</v>
      </c>
      <c r="K2718" s="305" t="s">
        <v>2376</v>
      </c>
    </row>
    <row r="2719" spans="1:11" x14ac:dyDescent="0.25">
      <c r="A2719" s="302" t="str">
        <f t="shared" si="75"/>
        <v>Heat Recovery Grease Trap Filter_0_CI_Conversion</v>
      </c>
      <c r="B2719" s="303" t="s">
        <v>17</v>
      </c>
      <c r="C2719" s="304">
        <v>0</v>
      </c>
      <c r="D2719" s="303" t="s">
        <v>1159</v>
      </c>
      <c r="E2719" s="305" t="s">
        <v>284</v>
      </c>
      <c r="F2719" s="309" t="s">
        <v>622</v>
      </c>
      <c r="G2719" s="325">
        <v>100000</v>
      </c>
      <c r="H2719" s="305"/>
      <c r="I2719" s="305" t="s">
        <v>152</v>
      </c>
      <c r="J2719" s="305" t="s">
        <v>237</v>
      </c>
      <c r="K2719" s="305" t="s">
        <v>2376</v>
      </c>
    </row>
    <row r="2720" spans="1:11" x14ac:dyDescent="0.25">
      <c r="A2720" s="302" t="str">
        <f t="shared" si="75"/>
        <v>Heat Recovery Grease Trap Filter_0_CI_kWh Saved per Unit</v>
      </c>
      <c r="B2720" s="303" t="s">
        <v>17</v>
      </c>
      <c r="C2720" s="304">
        <v>0</v>
      </c>
      <c r="D2720" s="303" t="s">
        <v>1159</v>
      </c>
      <c r="E2720" s="314" t="s">
        <v>255</v>
      </c>
      <c r="F2720" s="326"/>
      <c r="G2720" s="315">
        <v>0</v>
      </c>
      <c r="H2720" s="305"/>
      <c r="I2720" s="305" t="s">
        <v>152</v>
      </c>
      <c r="J2720" s="305" t="s">
        <v>237</v>
      </c>
      <c r="K2720" s="305" t="s">
        <v>2376</v>
      </c>
    </row>
    <row r="2721" spans="1:11" x14ac:dyDescent="0.25">
      <c r="A2721" s="302" t="str">
        <f t="shared" si="75"/>
        <v>Heat Recovery Grease Trap Filter_0_CI_Therm Saved per Unit</v>
      </c>
      <c r="B2721" s="303" t="s">
        <v>17</v>
      </c>
      <c r="C2721" s="304">
        <v>0</v>
      </c>
      <c r="D2721" s="303" t="s">
        <v>1159</v>
      </c>
      <c r="E2721" s="314" t="s">
        <v>326</v>
      </c>
      <c r="F2721" s="326"/>
      <c r="G2721" s="315">
        <f>((G2711*G2712*G2713)*G2714*G2715*(G2716*G2717)/(G2718*G2719))</f>
        <v>1757.3025600000001</v>
      </c>
      <c r="H2721" s="305"/>
      <c r="I2721" s="305" t="s">
        <v>152</v>
      </c>
      <c r="J2721" s="305" t="s">
        <v>237</v>
      </c>
      <c r="K2721" s="305" t="s">
        <v>2376</v>
      </c>
    </row>
    <row r="2722" spans="1:11" x14ac:dyDescent="0.25">
      <c r="A2722" s="302" t="str">
        <f t="shared" si="75"/>
        <v>Heat Recovery Grease Trap Filter_0_CI_Gallons Saved per Unit</v>
      </c>
      <c r="B2722" s="303" t="s">
        <v>17</v>
      </c>
      <c r="C2722" s="304">
        <v>0</v>
      </c>
      <c r="D2722" s="303" t="s">
        <v>1159</v>
      </c>
      <c r="E2722" s="314" t="s">
        <v>547</v>
      </c>
      <c r="F2722" s="326"/>
      <c r="G2722" s="315">
        <v>0</v>
      </c>
      <c r="H2722" s="305"/>
      <c r="I2722" s="305" t="s">
        <v>152</v>
      </c>
      <c r="J2722" s="305" t="s">
        <v>237</v>
      </c>
      <c r="K2722" s="305" t="s">
        <v>2376</v>
      </c>
    </row>
    <row r="2723" spans="1:11" x14ac:dyDescent="0.25">
      <c r="A2723" s="302" t="str">
        <f t="shared" si="75"/>
        <v>Heat Recovery Grease Trap Filter_0_CI_Remaining Life</v>
      </c>
      <c r="B2723" s="303" t="s">
        <v>17</v>
      </c>
      <c r="C2723" s="304">
        <v>0</v>
      </c>
      <c r="D2723" s="303" t="s">
        <v>1159</v>
      </c>
      <c r="E2723" s="314" t="s">
        <v>258</v>
      </c>
      <c r="F2723" s="327"/>
      <c r="G2723" s="328">
        <v>0</v>
      </c>
      <c r="H2723" s="305"/>
      <c r="I2723" s="305" t="s">
        <v>152</v>
      </c>
      <c r="J2723" s="305" t="s">
        <v>237</v>
      </c>
      <c r="K2723" s="305" t="s">
        <v>2376</v>
      </c>
    </row>
    <row r="2724" spans="1:11" x14ac:dyDescent="0.25">
      <c r="A2724" s="302" t="str">
        <f t="shared" si="75"/>
        <v>Heat Recovery Grease Trap Filter_0_CI_Lifetime (years)</v>
      </c>
      <c r="B2724" s="303" t="s">
        <v>17</v>
      </c>
      <c r="C2724" s="304">
        <v>0</v>
      </c>
      <c r="D2724" s="303" t="s">
        <v>1159</v>
      </c>
      <c r="E2724" s="314" t="s">
        <v>259</v>
      </c>
      <c r="F2724" s="326"/>
      <c r="G2724" s="315">
        <v>15</v>
      </c>
      <c r="H2724" s="305"/>
      <c r="I2724" s="305" t="s">
        <v>152</v>
      </c>
      <c r="J2724" s="305" t="s">
        <v>237</v>
      </c>
      <c r="K2724" s="305" t="s">
        <v>2376</v>
      </c>
    </row>
    <row r="2725" spans="1:11" x14ac:dyDescent="0.25">
      <c r="A2725" s="302" t="str">
        <f t="shared" si="75"/>
        <v>Heat Recovery Grease Trap Filter_0_CI_Incremental Cost</v>
      </c>
      <c r="B2725" s="303" t="s">
        <v>17</v>
      </c>
      <c r="C2725" s="304">
        <v>0</v>
      </c>
      <c r="D2725" s="303" t="s">
        <v>1159</v>
      </c>
      <c r="E2725" s="314" t="s">
        <v>260</v>
      </c>
      <c r="F2725" s="326"/>
      <c r="G2725" s="315">
        <v>3200</v>
      </c>
      <c r="H2725" s="305"/>
      <c r="I2725" s="305" t="s">
        <v>633</v>
      </c>
      <c r="J2725" s="305"/>
      <c r="K2725" s="305"/>
    </row>
    <row r="2726" spans="1:11" s="324" customFormat="1" x14ac:dyDescent="0.25">
      <c r="A2726" s="317" t="str">
        <f t="shared" si="75"/>
        <v>Heat Recovery Grease Trap Filter_0_CI_</v>
      </c>
      <c r="B2726" s="317" t="str">
        <f>B2725</f>
        <v>Heat Recovery Grease Trap Filter</v>
      </c>
      <c r="C2726" s="332">
        <f>C2725</f>
        <v>0</v>
      </c>
      <c r="D2726" s="317" t="str">
        <f>D2725</f>
        <v>CI</v>
      </c>
      <c r="E2726" s="320"/>
      <c r="F2726" s="320"/>
      <c r="G2726" s="329"/>
      <c r="H2726" s="320"/>
      <c r="I2726" s="320"/>
      <c r="J2726" s="320"/>
      <c r="K2726" s="320"/>
    </row>
    <row r="2727" spans="1:11" x14ac:dyDescent="0.25">
      <c r="A2727" s="302" t="str">
        <f t="shared" si="75"/>
        <v>Energy Star Fryer_0_CI_Hours of Operation per Day</v>
      </c>
      <c r="B2727" s="303" t="s">
        <v>1197</v>
      </c>
      <c r="C2727" s="304">
        <v>0</v>
      </c>
      <c r="D2727" s="303" t="s">
        <v>1159</v>
      </c>
      <c r="E2727" s="305" t="s">
        <v>1165</v>
      </c>
      <c r="F2727" s="305" t="s">
        <v>618</v>
      </c>
      <c r="G2727" s="306">
        <v>16</v>
      </c>
      <c r="H2727" s="305" t="s">
        <v>461</v>
      </c>
      <c r="I2727" s="305" t="s">
        <v>152</v>
      </c>
      <c r="J2727" s="305" t="s">
        <v>137</v>
      </c>
      <c r="K2727" s="305" t="s">
        <v>2127</v>
      </c>
    </row>
    <row r="2728" spans="1:11" x14ac:dyDescent="0.25">
      <c r="A2728" s="302" t="str">
        <f t="shared" si="75"/>
        <v>Energy Star Fryer_0_CI_Days per Year</v>
      </c>
      <c r="B2728" s="303" t="s">
        <v>1197</v>
      </c>
      <c r="C2728" s="304">
        <v>0</v>
      </c>
      <c r="D2728" s="303" t="s">
        <v>1159</v>
      </c>
      <c r="E2728" s="305" t="s">
        <v>263</v>
      </c>
      <c r="F2728" s="309"/>
      <c r="G2728" s="306">
        <v>365.25</v>
      </c>
      <c r="H2728" s="305"/>
      <c r="I2728" s="305" t="s">
        <v>152</v>
      </c>
      <c r="J2728" s="305" t="s">
        <v>137</v>
      </c>
      <c r="K2728" s="305" t="s">
        <v>2127</v>
      </c>
    </row>
    <row r="2729" spans="1:11" x14ac:dyDescent="0.25">
      <c r="A2729" s="302" t="str">
        <f t="shared" si="75"/>
        <v>Energy Star Fryer_0_CI_Baseline Idle Energy Rate</v>
      </c>
      <c r="B2729" s="303" t="s">
        <v>1197</v>
      </c>
      <c r="C2729" s="304">
        <v>0</v>
      </c>
      <c r="D2729" s="303" t="s">
        <v>1159</v>
      </c>
      <c r="E2729" s="305" t="s">
        <v>1198</v>
      </c>
      <c r="F2729" s="309"/>
      <c r="G2729" s="306">
        <v>14000</v>
      </c>
      <c r="H2729" s="305" t="s">
        <v>461</v>
      </c>
      <c r="I2729" s="305" t="s">
        <v>152</v>
      </c>
      <c r="J2729" s="305" t="s">
        <v>137</v>
      </c>
      <c r="K2729" s="305" t="s">
        <v>2127</v>
      </c>
    </row>
    <row r="2730" spans="1:11" x14ac:dyDescent="0.25">
      <c r="A2730" s="302" t="str">
        <f t="shared" si="75"/>
        <v>Energy Star Fryer_0_CI_Efficient Idle Energy Rate</v>
      </c>
      <c r="B2730" s="303" t="s">
        <v>1197</v>
      </c>
      <c r="C2730" s="304">
        <v>0</v>
      </c>
      <c r="D2730" s="303" t="s">
        <v>1159</v>
      </c>
      <c r="E2730" s="305" t="s">
        <v>1199</v>
      </c>
      <c r="F2730" s="309"/>
      <c r="G2730" s="306">
        <v>9000</v>
      </c>
      <c r="H2730" s="305" t="s">
        <v>461</v>
      </c>
      <c r="I2730" s="305" t="s">
        <v>152</v>
      </c>
      <c r="J2730" s="305" t="s">
        <v>137</v>
      </c>
      <c r="K2730" s="305" t="s">
        <v>2127</v>
      </c>
    </row>
    <row r="2731" spans="1:11" x14ac:dyDescent="0.25">
      <c r="A2731" s="302" t="str">
        <f t="shared" si="75"/>
        <v>Energy Star Fryer_0_CI_Pounds per Day</v>
      </c>
      <c r="B2731" s="303" t="s">
        <v>1197</v>
      </c>
      <c r="C2731" s="304">
        <v>0</v>
      </c>
      <c r="D2731" s="303" t="s">
        <v>1159</v>
      </c>
      <c r="E2731" s="305" t="s">
        <v>463</v>
      </c>
      <c r="F2731" s="309"/>
      <c r="G2731" s="306">
        <v>150</v>
      </c>
      <c r="H2731" s="305"/>
      <c r="I2731" s="305" t="s">
        <v>152</v>
      </c>
      <c r="J2731" s="305" t="s">
        <v>137</v>
      </c>
      <c r="K2731" s="305" t="s">
        <v>2127</v>
      </c>
    </row>
    <row r="2732" spans="1:11" x14ac:dyDescent="0.25">
      <c r="A2732" s="302" t="str">
        <f t="shared" ref="A2732:A2824" si="77">B2732&amp;"_"&amp;C2732&amp;"_"&amp;D2732&amp;"_"&amp;E2732</f>
        <v>Energy Star Fryer_0_CI_Baseline Production Capacity</v>
      </c>
      <c r="B2732" s="303" t="s">
        <v>1197</v>
      </c>
      <c r="C2732" s="304">
        <v>0</v>
      </c>
      <c r="D2732" s="303" t="s">
        <v>1159</v>
      </c>
      <c r="E2732" s="305" t="s">
        <v>1200</v>
      </c>
      <c r="F2732" s="309"/>
      <c r="G2732" s="306">
        <v>60</v>
      </c>
      <c r="H2732" s="305" t="s">
        <v>461</v>
      </c>
      <c r="I2732" s="305" t="s">
        <v>152</v>
      </c>
      <c r="J2732" s="305" t="s">
        <v>137</v>
      </c>
      <c r="K2732" s="305" t="s">
        <v>2127</v>
      </c>
    </row>
    <row r="2733" spans="1:11" x14ac:dyDescent="0.25">
      <c r="A2733" s="302" t="str">
        <f t="shared" si="77"/>
        <v>Energy Star Fryer_0_CI_Efficient Production Capacity</v>
      </c>
      <c r="B2733" s="303" t="s">
        <v>1197</v>
      </c>
      <c r="C2733" s="304">
        <v>0</v>
      </c>
      <c r="D2733" s="303" t="s">
        <v>1159</v>
      </c>
      <c r="E2733" s="305" t="s">
        <v>1201</v>
      </c>
      <c r="F2733" s="309"/>
      <c r="G2733" s="306">
        <v>65</v>
      </c>
      <c r="H2733" s="305" t="s">
        <v>461</v>
      </c>
      <c r="I2733" s="305" t="s">
        <v>152</v>
      </c>
      <c r="J2733" s="305" t="s">
        <v>137</v>
      </c>
      <c r="K2733" s="305" t="s">
        <v>2127</v>
      </c>
    </row>
    <row r="2734" spans="1:11" x14ac:dyDescent="0.25">
      <c r="A2734" s="302" t="str">
        <f t="shared" si="77"/>
        <v>Energy Star Fryer_0_CI_Energy of Food</v>
      </c>
      <c r="B2734" s="303" t="s">
        <v>1197</v>
      </c>
      <c r="C2734" s="304">
        <v>0</v>
      </c>
      <c r="D2734" s="303" t="s">
        <v>1159</v>
      </c>
      <c r="E2734" s="305" t="s">
        <v>464</v>
      </c>
      <c r="F2734" s="309"/>
      <c r="G2734" s="306">
        <v>570</v>
      </c>
      <c r="H2734" s="305"/>
      <c r="I2734" s="305" t="s">
        <v>152</v>
      </c>
      <c r="J2734" s="305" t="s">
        <v>137</v>
      </c>
      <c r="K2734" s="305" t="s">
        <v>2127</v>
      </c>
    </row>
    <row r="2735" spans="1:11" x14ac:dyDescent="0.25">
      <c r="A2735" s="302" t="str">
        <f t="shared" si="77"/>
        <v>Energy Star Fryer_0_CI_Baseline Cooking Efficiency</v>
      </c>
      <c r="B2735" s="303" t="s">
        <v>1197</v>
      </c>
      <c r="C2735" s="304">
        <v>0</v>
      </c>
      <c r="D2735" s="303" t="s">
        <v>1159</v>
      </c>
      <c r="E2735" s="305" t="s">
        <v>1202</v>
      </c>
      <c r="F2735" s="309"/>
      <c r="G2735" s="306">
        <v>0.35</v>
      </c>
      <c r="H2735" s="305" t="s">
        <v>461</v>
      </c>
      <c r="I2735" s="305" t="s">
        <v>152</v>
      </c>
      <c r="J2735" s="305" t="s">
        <v>137</v>
      </c>
      <c r="K2735" s="305" t="s">
        <v>2127</v>
      </c>
    </row>
    <row r="2736" spans="1:11" x14ac:dyDescent="0.25">
      <c r="A2736" s="302" t="str">
        <f t="shared" si="77"/>
        <v>Energy Star Fryer_0_CI_Efficient Cooking Efficiency</v>
      </c>
      <c r="B2736" s="303" t="s">
        <v>1197</v>
      </c>
      <c r="C2736" s="304">
        <v>0</v>
      </c>
      <c r="D2736" s="303" t="s">
        <v>1159</v>
      </c>
      <c r="E2736" s="305" t="s">
        <v>1203</v>
      </c>
      <c r="F2736" s="309"/>
      <c r="G2736" s="306">
        <v>0.5</v>
      </c>
      <c r="H2736" s="305" t="s">
        <v>461</v>
      </c>
      <c r="I2736" s="305" t="s">
        <v>152</v>
      </c>
      <c r="J2736" s="305" t="s">
        <v>137</v>
      </c>
      <c r="K2736" s="305" t="s">
        <v>2127</v>
      </c>
    </row>
    <row r="2737" spans="1:11" x14ac:dyDescent="0.25">
      <c r="A2737" s="302" t="str">
        <f t="shared" ref="A2737:A2741" si="78">B2737&amp;"_"&amp;C2737&amp;"_"&amp;D2737&amp;"_"&amp;E2737</f>
        <v>Energy Star Fryer_0_CI_Preheat Time</v>
      </c>
      <c r="B2737" s="303" t="s">
        <v>1197</v>
      </c>
      <c r="C2737" s="304">
        <v>0</v>
      </c>
      <c r="D2737" s="303" t="s">
        <v>1159</v>
      </c>
      <c r="E2737" s="311" t="s">
        <v>471</v>
      </c>
      <c r="F2737" s="334"/>
      <c r="G2737" s="310">
        <v>15</v>
      </c>
      <c r="H2737" s="311" t="s">
        <v>1891</v>
      </c>
      <c r="I2737" s="305" t="s">
        <v>152</v>
      </c>
      <c r="J2737" s="305" t="s">
        <v>137</v>
      </c>
      <c r="K2737" s="305" t="s">
        <v>2127</v>
      </c>
    </row>
    <row r="2738" spans="1:11" x14ac:dyDescent="0.25">
      <c r="A2738" s="302" t="str">
        <f t="shared" si="78"/>
        <v>Energy Star Fryer_0_CI_Baseline Idle Energy Usage</v>
      </c>
      <c r="B2738" s="303" t="s">
        <v>1197</v>
      </c>
      <c r="C2738" s="304">
        <v>0</v>
      </c>
      <c r="D2738" s="303" t="s">
        <v>1159</v>
      </c>
      <c r="E2738" s="305" t="s">
        <v>1204</v>
      </c>
      <c r="F2738" s="309"/>
      <c r="G2738" s="310">
        <f>G2729*((G2727-(G2737/60))-G2731/G2732)*G2728/100000</f>
        <v>677.53875000000005</v>
      </c>
      <c r="H2738" s="311" t="s">
        <v>1892</v>
      </c>
      <c r="I2738" s="305" t="s">
        <v>152</v>
      </c>
      <c r="J2738" s="305" t="s">
        <v>137</v>
      </c>
      <c r="K2738" s="305" t="s">
        <v>2127</v>
      </c>
    </row>
    <row r="2739" spans="1:11" x14ac:dyDescent="0.25">
      <c r="A2739" s="302" t="str">
        <f t="shared" si="78"/>
        <v>Energy Star Fryer_0_CI_Efficient Idle Energy Usage</v>
      </c>
      <c r="B2739" s="303" t="s">
        <v>1197</v>
      </c>
      <c r="C2739" s="304">
        <v>0</v>
      </c>
      <c r="D2739" s="303" t="s">
        <v>1159</v>
      </c>
      <c r="E2739" s="305" t="s">
        <v>1205</v>
      </c>
      <c r="F2739" s="309"/>
      <c r="G2739" s="310">
        <f>G2730*((G2727-(G2737/60))-G2731/G2733)*G2728/100000</f>
        <v>441.88225961538461</v>
      </c>
      <c r="H2739" s="311" t="s">
        <v>1892</v>
      </c>
      <c r="I2739" s="305" t="s">
        <v>152</v>
      </c>
      <c r="J2739" s="305" t="s">
        <v>137</v>
      </c>
      <c r="K2739" s="305" t="s">
        <v>2127</v>
      </c>
    </row>
    <row r="2740" spans="1:11" x14ac:dyDescent="0.25">
      <c r="A2740" s="302" t="str">
        <f t="shared" si="78"/>
        <v>Energy Star Fryer_0_CI_Baseline Daily Preheat Energy</v>
      </c>
      <c r="B2740" s="303" t="s">
        <v>1197</v>
      </c>
      <c r="C2740" s="304">
        <v>0</v>
      </c>
      <c r="D2740" s="303" t="s">
        <v>1159</v>
      </c>
      <c r="E2740" s="311" t="s">
        <v>1893</v>
      </c>
      <c r="F2740" s="334"/>
      <c r="G2740" s="310">
        <f>18500 * G2728/100000</f>
        <v>67.571250000000006</v>
      </c>
      <c r="H2740" s="311" t="s">
        <v>1891</v>
      </c>
      <c r="I2740" s="305" t="s">
        <v>152</v>
      </c>
      <c r="J2740" s="305" t="s">
        <v>137</v>
      </c>
      <c r="K2740" s="305" t="s">
        <v>2127</v>
      </c>
    </row>
    <row r="2741" spans="1:11" x14ac:dyDescent="0.25">
      <c r="A2741" s="302" t="str">
        <f t="shared" si="78"/>
        <v>Energy Star Fryer_0_CI_Efficient Daily Preheat Energy</v>
      </c>
      <c r="B2741" s="303" t="s">
        <v>1197</v>
      </c>
      <c r="C2741" s="304">
        <v>0</v>
      </c>
      <c r="D2741" s="303" t="s">
        <v>1159</v>
      </c>
      <c r="E2741" s="311" t="s">
        <v>1894</v>
      </c>
      <c r="F2741" s="334"/>
      <c r="G2741" s="310">
        <f>16000 * G2728/100000</f>
        <v>58.44</v>
      </c>
      <c r="H2741" s="311" t="s">
        <v>1891</v>
      </c>
      <c r="I2741" s="305" t="s">
        <v>152</v>
      </c>
      <c r="J2741" s="305" t="s">
        <v>137</v>
      </c>
      <c r="K2741" s="305" t="s">
        <v>2127</v>
      </c>
    </row>
    <row r="2742" spans="1:11" x14ac:dyDescent="0.25">
      <c r="A2742" s="302" t="str">
        <f t="shared" si="77"/>
        <v>Energy Star Fryer_0_CI_Baseline Cooking Energy Usage</v>
      </c>
      <c r="B2742" s="303" t="s">
        <v>1197</v>
      </c>
      <c r="C2742" s="304">
        <v>0</v>
      </c>
      <c r="D2742" s="303" t="s">
        <v>1159</v>
      </c>
      <c r="E2742" s="305" t="s">
        <v>1206</v>
      </c>
      <c r="F2742" s="309"/>
      <c r="G2742" s="306">
        <f>G2731*G2734/G2735*G2728/100000</f>
        <v>892.25357142857149</v>
      </c>
      <c r="H2742" s="305"/>
      <c r="I2742" s="305" t="s">
        <v>152</v>
      </c>
      <c r="J2742" s="305" t="s">
        <v>137</v>
      </c>
      <c r="K2742" s="305" t="s">
        <v>2127</v>
      </c>
    </row>
    <row r="2743" spans="1:11" x14ac:dyDescent="0.25">
      <c r="A2743" s="302" t="str">
        <f t="shared" si="77"/>
        <v>Energy Star Fryer_0_CI_Efficient Cooking Energy Usage</v>
      </c>
      <c r="B2743" s="303" t="s">
        <v>1197</v>
      </c>
      <c r="C2743" s="304">
        <v>0</v>
      </c>
      <c r="D2743" s="303" t="s">
        <v>1159</v>
      </c>
      <c r="E2743" s="305" t="s">
        <v>1207</v>
      </c>
      <c r="F2743" s="309"/>
      <c r="G2743" s="306">
        <f>G2731*G2734/G2736*G2728/100000</f>
        <v>624.57749999999999</v>
      </c>
      <c r="H2743" s="305"/>
      <c r="I2743" s="305" t="s">
        <v>152</v>
      </c>
      <c r="J2743" s="305" t="s">
        <v>137</v>
      </c>
      <c r="K2743" s="305" t="s">
        <v>2127</v>
      </c>
    </row>
    <row r="2744" spans="1:11" x14ac:dyDescent="0.25">
      <c r="A2744" s="302" t="str">
        <f t="shared" si="77"/>
        <v>Energy Star Fryer_0_CI_Baseline Electricity Usage</v>
      </c>
      <c r="B2744" s="303" t="s">
        <v>1197</v>
      </c>
      <c r="C2744" s="304">
        <v>0</v>
      </c>
      <c r="D2744" s="303" t="s">
        <v>1159</v>
      </c>
      <c r="E2744" s="305" t="s">
        <v>1208</v>
      </c>
      <c r="F2744" s="309"/>
      <c r="G2744" s="310">
        <f>G2738+G2740+G2742</f>
        <v>1637.3635714285715</v>
      </c>
      <c r="H2744" s="311" t="s">
        <v>1892</v>
      </c>
      <c r="I2744" s="305" t="s">
        <v>152</v>
      </c>
      <c r="J2744" s="305" t="s">
        <v>137</v>
      </c>
      <c r="K2744" s="305" t="s">
        <v>2127</v>
      </c>
    </row>
    <row r="2745" spans="1:11" x14ac:dyDescent="0.25">
      <c r="A2745" s="302" t="str">
        <f t="shared" si="77"/>
        <v>Energy Star Fryer_0_CI_Efficient Electricity Usage</v>
      </c>
      <c r="B2745" s="303" t="s">
        <v>1197</v>
      </c>
      <c r="C2745" s="304">
        <v>0</v>
      </c>
      <c r="D2745" s="303" t="s">
        <v>1159</v>
      </c>
      <c r="E2745" s="305" t="s">
        <v>1209</v>
      </c>
      <c r="F2745" s="309"/>
      <c r="G2745" s="310">
        <f>G2739+G2741+G2743</f>
        <v>1124.8997596153845</v>
      </c>
      <c r="H2745" s="311" t="s">
        <v>1892</v>
      </c>
      <c r="I2745" s="305" t="s">
        <v>152</v>
      </c>
      <c r="J2745" s="305" t="s">
        <v>137</v>
      </c>
      <c r="K2745" s="305" t="s">
        <v>2127</v>
      </c>
    </row>
    <row r="2746" spans="1:11" x14ac:dyDescent="0.25">
      <c r="A2746" s="302" t="str">
        <f t="shared" si="77"/>
        <v>Energy Star Fryer_0_CI_Coincidence Factor</v>
      </c>
      <c r="B2746" s="303" t="s">
        <v>1197</v>
      </c>
      <c r="C2746" s="304">
        <v>0</v>
      </c>
      <c r="D2746" s="303" t="s">
        <v>1159</v>
      </c>
      <c r="E2746" s="305" t="s">
        <v>467</v>
      </c>
      <c r="F2746" s="309"/>
      <c r="G2746" s="306">
        <v>0</v>
      </c>
      <c r="H2746" s="305"/>
      <c r="I2746" s="305" t="s">
        <v>152</v>
      </c>
      <c r="J2746" s="305" t="s">
        <v>137</v>
      </c>
      <c r="K2746" s="305" t="s">
        <v>2127</v>
      </c>
    </row>
    <row r="2747" spans="1:11" x14ac:dyDescent="0.25">
      <c r="A2747" s="302" t="str">
        <f t="shared" si="77"/>
        <v>Energy Star Fryer_0_CI_Therm Saved per Unit</v>
      </c>
      <c r="B2747" s="303" t="s">
        <v>1197</v>
      </c>
      <c r="C2747" s="304">
        <v>0</v>
      </c>
      <c r="D2747" s="303" t="s">
        <v>1159</v>
      </c>
      <c r="E2747" s="314" t="s">
        <v>326</v>
      </c>
      <c r="F2747" s="326"/>
      <c r="G2747" s="315">
        <f>G2744-G2745</f>
        <v>512.46381181318702</v>
      </c>
      <c r="H2747" s="305"/>
      <c r="I2747" s="305" t="s">
        <v>152</v>
      </c>
      <c r="J2747" s="305" t="s">
        <v>137</v>
      </c>
      <c r="K2747" s="305" t="s">
        <v>2127</v>
      </c>
    </row>
    <row r="2748" spans="1:11" x14ac:dyDescent="0.25">
      <c r="A2748" s="302" t="str">
        <f t="shared" si="77"/>
        <v>Energy Star Fryer_0_CI_Coincident Peak kW Saved per Unit</v>
      </c>
      <c r="B2748" s="303" t="s">
        <v>1197</v>
      </c>
      <c r="C2748" s="304">
        <v>0</v>
      </c>
      <c r="D2748" s="303" t="s">
        <v>1159</v>
      </c>
      <c r="E2748" s="314" t="s">
        <v>257</v>
      </c>
      <c r="F2748" s="326"/>
      <c r="G2748" s="315">
        <v>0</v>
      </c>
      <c r="H2748" s="305"/>
      <c r="I2748" s="305" t="s">
        <v>152</v>
      </c>
      <c r="J2748" s="305" t="s">
        <v>137</v>
      </c>
      <c r="K2748" s="305" t="s">
        <v>2127</v>
      </c>
    </row>
    <row r="2749" spans="1:11" x14ac:dyDescent="0.25">
      <c r="A2749" s="302" t="str">
        <f t="shared" si="77"/>
        <v>Energy Star Fryer_0_CI_Lifetime (years)</v>
      </c>
      <c r="B2749" s="303" t="s">
        <v>1197</v>
      </c>
      <c r="C2749" s="304">
        <v>0</v>
      </c>
      <c r="D2749" s="303" t="s">
        <v>1159</v>
      </c>
      <c r="E2749" s="314" t="s">
        <v>259</v>
      </c>
      <c r="F2749" s="326">
        <v>12</v>
      </c>
      <c r="G2749" s="315">
        <v>12</v>
      </c>
      <c r="H2749" s="305"/>
      <c r="I2749" s="305" t="s">
        <v>152</v>
      </c>
      <c r="J2749" s="305" t="s">
        <v>137</v>
      </c>
      <c r="K2749" s="305" t="s">
        <v>2127</v>
      </c>
    </row>
    <row r="2750" spans="1:11" x14ac:dyDescent="0.25">
      <c r="A2750" s="302" t="str">
        <f t="shared" si="77"/>
        <v>Energy Star Fryer_0_CI_Incremental Cost</v>
      </c>
      <c r="B2750" s="303" t="s">
        <v>1197</v>
      </c>
      <c r="C2750" s="304">
        <v>0</v>
      </c>
      <c r="D2750" s="303" t="s">
        <v>1159</v>
      </c>
      <c r="E2750" s="314" t="s">
        <v>260</v>
      </c>
      <c r="F2750" s="327">
        <v>0</v>
      </c>
      <c r="G2750" s="327">
        <v>1200</v>
      </c>
      <c r="H2750" s="305"/>
      <c r="I2750" s="305" t="s">
        <v>152</v>
      </c>
      <c r="J2750" s="305" t="s">
        <v>137</v>
      </c>
      <c r="K2750" s="305" t="s">
        <v>2127</v>
      </c>
    </row>
    <row r="2751" spans="1:11" s="324" customFormat="1" x14ac:dyDescent="0.25">
      <c r="A2751" s="317" t="str">
        <f t="shared" si="77"/>
        <v>Energy Star Fryer_0_CI_</v>
      </c>
      <c r="B2751" s="317" t="str">
        <f>B2750</f>
        <v>Energy Star Fryer</v>
      </c>
      <c r="C2751" s="332">
        <f>C2750</f>
        <v>0</v>
      </c>
      <c r="D2751" s="317" t="str">
        <f>D2750</f>
        <v>CI</v>
      </c>
      <c r="E2751" s="320"/>
      <c r="F2751" s="320"/>
      <c r="G2751" s="329"/>
      <c r="H2751" s="320"/>
      <c r="I2751" s="320"/>
      <c r="J2751" s="320"/>
      <c r="K2751" s="320"/>
    </row>
    <row r="2752" spans="1:11" x14ac:dyDescent="0.25">
      <c r="A2752" s="302" t="str">
        <f t="shared" si="77"/>
        <v>Double Rack Oven_0_CI_Delta_DailyPreheatEnergy</v>
      </c>
      <c r="B2752" s="303" t="s">
        <v>1210</v>
      </c>
      <c r="C2752" s="304">
        <v>0</v>
      </c>
      <c r="D2752" s="303" t="s">
        <v>1159</v>
      </c>
      <c r="E2752" s="311" t="s">
        <v>2528</v>
      </c>
      <c r="F2752" s="334"/>
      <c r="G2752" s="335">
        <f>G2753*(G2754-G2755)</f>
        <v>24251</v>
      </c>
      <c r="H2752" s="311" t="s">
        <v>2381</v>
      </c>
      <c r="I2752" s="305" t="s">
        <v>152</v>
      </c>
      <c r="J2752" s="305" t="s">
        <v>124</v>
      </c>
      <c r="K2752" s="305" t="s">
        <v>2032</v>
      </c>
    </row>
    <row r="2753" spans="1:11" x14ac:dyDescent="0.25">
      <c r="A2753" s="302" t="str">
        <f t="shared" si="77"/>
        <v>Double Rack Oven_0_CI_DailyPreheats</v>
      </c>
      <c r="B2753" s="303" t="s">
        <v>1210</v>
      </c>
      <c r="C2753" s="304">
        <v>0</v>
      </c>
      <c r="D2753" s="303" t="s">
        <v>1159</v>
      </c>
      <c r="E2753" s="311" t="s">
        <v>2529</v>
      </c>
      <c r="F2753" s="334" t="s">
        <v>2383</v>
      </c>
      <c r="G2753" s="335">
        <v>1</v>
      </c>
      <c r="H2753" s="311" t="s">
        <v>639</v>
      </c>
      <c r="I2753" s="305" t="s">
        <v>152</v>
      </c>
      <c r="J2753" s="305" t="s">
        <v>124</v>
      </c>
      <c r="K2753" s="305" t="s">
        <v>2032</v>
      </c>
    </row>
    <row r="2754" spans="1:11" x14ac:dyDescent="0.25">
      <c r="A2754" s="302" t="str">
        <f t="shared" si="77"/>
        <v>Double Rack Oven_0_CI_PreheatEnergyBase</v>
      </c>
      <c r="B2754" s="303" t="s">
        <v>1210</v>
      </c>
      <c r="C2754" s="304">
        <v>0</v>
      </c>
      <c r="D2754" s="303" t="s">
        <v>1159</v>
      </c>
      <c r="E2754" s="311" t="s">
        <v>2530</v>
      </c>
      <c r="F2754" s="334" t="s">
        <v>941</v>
      </c>
      <c r="G2754" s="335">
        <v>90009</v>
      </c>
      <c r="H2754" s="311" t="s">
        <v>639</v>
      </c>
      <c r="I2754" s="305" t="s">
        <v>152</v>
      </c>
      <c r="J2754" s="305" t="s">
        <v>124</v>
      </c>
      <c r="K2754" s="305" t="s">
        <v>2032</v>
      </c>
    </row>
    <row r="2755" spans="1:11" x14ac:dyDescent="0.25">
      <c r="A2755" s="302" t="str">
        <f t="shared" si="77"/>
        <v>Double Rack Oven_0_CI_PreheatEnergyEE</v>
      </c>
      <c r="B2755" s="303" t="s">
        <v>1210</v>
      </c>
      <c r="C2755" s="304">
        <v>0</v>
      </c>
      <c r="D2755" s="303" t="s">
        <v>1159</v>
      </c>
      <c r="E2755" s="311" t="s">
        <v>2531</v>
      </c>
      <c r="F2755" s="334" t="s">
        <v>941</v>
      </c>
      <c r="G2755" s="335">
        <v>65758</v>
      </c>
      <c r="H2755" s="311" t="s">
        <v>639</v>
      </c>
      <c r="I2755" s="305" t="s">
        <v>152</v>
      </c>
      <c r="J2755" s="305" t="s">
        <v>124</v>
      </c>
      <c r="K2755" s="305" t="s">
        <v>2032</v>
      </c>
    </row>
    <row r="2756" spans="1:11" x14ac:dyDescent="0.25">
      <c r="A2756" s="302" t="str">
        <f t="shared" si="77"/>
        <v>Double Rack Oven_0_CI_Delta_DailyIdleEnergy</v>
      </c>
      <c r="B2756" s="303" t="s">
        <v>1210</v>
      </c>
      <c r="C2756" s="304">
        <v>0</v>
      </c>
      <c r="D2756" s="303" t="s">
        <v>1159</v>
      </c>
      <c r="E2756" s="311" t="s">
        <v>1181</v>
      </c>
      <c r="F2756" s="334"/>
      <c r="G2756" s="335">
        <f>(G2757*(G2758-(G2759/G2760)-((G2761*G2762)/G2763)))-(G2764*(G2765-(G2766/G2767)-((G2768*G2769)/G2770)))</f>
        <v>86577.628083491465</v>
      </c>
      <c r="H2756" s="311" t="s">
        <v>2381</v>
      </c>
      <c r="I2756" s="305" t="s">
        <v>152</v>
      </c>
      <c r="J2756" s="305" t="s">
        <v>124</v>
      </c>
      <c r="K2756" s="305" t="s">
        <v>2032</v>
      </c>
    </row>
    <row r="2757" spans="1:11" x14ac:dyDescent="0.25">
      <c r="A2757" s="302" t="str">
        <f t="shared" ref="A2757:A2779" si="79">B2757&amp;"_"&amp;C2757&amp;"_"&amp;D2757&amp;"_"&amp;E2757</f>
        <v>Double Rack Oven_0_CI_IdleRateBase</v>
      </c>
      <c r="B2757" s="303" t="s">
        <v>1210</v>
      </c>
      <c r="C2757" s="304">
        <v>0</v>
      </c>
      <c r="D2757" s="303" t="s">
        <v>1159</v>
      </c>
      <c r="E2757" s="311" t="s">
        <v>2532</v>
      </c>
      <c r="F2757" s="334" t="s">
        <v>479</v>
      </c>
      <c r="G2757" s="335">
        <v>36909</v>
      </c>
      <c r="H2757" s="311" t="s">
        <v>639</v>
      </c>
      <c r="I2757" s="305" t="s">
        <v>152</v>
      </c>
      <c r="J2757" s="305" t="s">
        <v>124</v>
      </c>
      <c r="K2757" s="305" t="s">
        <v>2032</v>
      </c>
    </row>
    <row r="2758" spans="1:11" x14ac:dyDescent="0.25">
      <c r="A2758" s="302" t="str">
        <f t="shared" si="79"/>
        <v>Double Rack Oven_0_CI_Hours</v>
      </c>
      <c r="B2758" s="303" t="s">
        <v>1210</v>
      </c>
      <c r="C2758" s="304">
        <v>0</v>
      </c>
      <c r="D2758" s="303" t="s">
        <v>1159</v>
      </c>
      <c r="E2758" s="311" t="s">
        <v>283</v>
      </c>
      <c r="F2758" s="334" t="s">
        <v>1012</v>
      </c>
      <c r="G2758" s="335">
        <v>12</v>
      </c>
      <c r="H2758" s="311" t="s">
        <v>639</v>
      </c>
      <c r="I2758" s="305" t="s">
        <v>152</v>
      </c>
      <c r="J2758" s="305" t="s">
        <v>124</v>
      </c>
      <c r="K2758" s="305" t="s">
        <v>2032</v>
      </c>
    </row>
    <row r="2759" spans="1:11" x14ac:dyDescent="0.25">
      <c r="A2759" s="302" t="str">
        <f t="shared" si="79"/>
        <v>Double Rack Oven_0_CI_LB</v>
      </c>
      <c r="B2759" s="303" t="s">
        <v>1210</v>
      </c>
      <c r="C2759" s="304">
        <v>0</v>
      </c>
      <c r="D2759" s="303" t="s">
        <v>1159</v>
      </c>
      <c r="E2759" s="311" t="s">
        <v>459</v>
      </c>
      <c r="F2759" s="334" t="s">
        <v>2533</v>
      </c>
      <c r="G2759" s="335">
        <v>1200</v>
      </c>
      <c r="H2759" s="311" t="s">
        <v>639</v>
      </c>
      <c r="I2759" s="305" t="s">
        <v>152</v>
      </c>
      <c r="J2759" s="305" t="s">
        <v>124</v>
      </c>
      <c r="K2759" s="305" t="s">
        <v>2032</v>
      </c>
    </row>
    <row r="2760" spans="1:11" x14ac:dyDescent="0.25">
      <c r="A2760" s="302" t="str">
        <f t="shared" si="79"/>
        <v>Double Rack Oven_0_CI_PCBase</v>
      </c>
      <c r="B2760" s="303" t="s">
        <v>1210</v>
      </c>
      <c r="C2760" s="304">
        <v>0</v>
      </c>
      <c r="D2760" s="303" t="s">
        <v>1159</v>
      </c>
      <c r="E2760" s="311" t="s">
        <v>445</v>
      </c>
      <c r="F2760" s="334" t="s">
        <v>1170</v>
      </c>
      <c r="G2760" s="335">
        <v>272</v>
      </c>
      <c r="H2760" s="311" t="s">
        <v>639</v>
      </c>
      <c r="I2760" s="305" t="s">
        <v>152</v>
      </c>
      <c r="J2760" s="305" t="s">
        <v>124</v>
      </c>
      <c r="K2760" s="305" t="s">
        <v>2032</v>
      </c>
    </row>
    <row r="2761" spans="1:11" x14ac:dyDescent="0.25">
      <c r="A2761" s="302" t="str">
        <f t="shared" si="79"/>
        <v>Double Rack Oven_0_CI_DailyPreheats</v>
      </c>
      <c r="B2761" s="303" t="s">
        <v>1210</v>
      </c>
      <c r="C2761" s="304">
        <v>0</v>
      </c>
      <c r="D2761" s="303" t="s">
        <v>1159</v>
      </c>
      <c r="E2761" s="311" t="s">
        <v>2529</v>
      </c>
      <c r="F2761" s="334" t="str">
        <f>F2753</f>
        <v>preheats/day</v>
      </c>
      <c r="G2761" s="335">
        <f>G2753</f>
        <v>1</v>
      </c>
      <c r="H2761" s="311" t="str">
        <f>H2753</f>
        <v>Assumed unknown</v>
      </c>
      <c r="I2761" s="305" t="s">
        <v>152</v>
      </c>
      <c r="J2761" s="305" t="s">
        <v>124</v>
      </c>
      <c r="K2761" s="305" t="s">
        <v>2032</v>
      </c>
    </row>
    <row r="2762" spans="1:11" x14ac:dyDescent="0.25">
      <c r="A2762" s="302" t="str">
        <f t="shared" si="79"/>
        <v>Double Rack Oven_0_CI_PreheatTime</v>
      </c>
      <c r="B2762" s="303" t="s">
        <v>1210</v>
      </c>
      <c r="C2762" s="304">
        <v>0</v>
      </c>
      <c r="D2762" s="303" t="s">
        <v>1159</v>
      </c>
      <c r="E2762" s="311" t="s">
        <v>2411</v>
      </c>
      <c r="F2762" s="334" t="s">
        <v>2386</v>
      </c>
      <c r="G2762" s="335">
        <v>20</v>
      </c>
      <c r="H2762" s="311" t="s">
        <v>639</v>
      </c>
      <c r="I2762" s="305" t="s">
        <v>152</v>
      </c>
      <c r="J2762" s="305" t="s">
        <v>124</v>
      </c>
      <c r="K2762" s="305" t="s">
        <v>2032</v>
      </c>
    </row>
    <row r="2763" spans="1:11" x14ac:dyDescent="0.25">
      <c r="A2763" s="302" t="str">
        <f t="shared" si="79"/>
        <v>Double Rack Oven_0_CI_60</v>
      </c>
      <c r="B2763" s="303" t="s">
        <v>1210</v>
      </c>
      <c r="C2763" s="304">
        <v>0</v>
      </c>
      <c r="D2763" s="303" t="s">
        <v>1159</v>
      </c>
      <c r="E2763" s="390">
        <v>60</v>
      </c>
      <c r="F2763" s="334" t="s">
        <v>882</v>
      </c>
      <c r="G2763" s="335">
        <v>60</v>
      </c>
      <c r="H2763" s="311"/>
      <c r="I2763" s="305" t="s">
        <v>152</v>
      </c>
      <c r="J2763" s="305" t="s">
        <v>124</v>
      </c>
      <c r="K2763" s="305" t="s">
        <v>2032</v>
      </c>
    </row>
    <row r="2764" spans="1:11" x14ac:dyDescent="0.25">
      <c r="A2764" s="302" t="str">
        <f t="shared" si="79"/>
        <v>Double Rack Oven_0_CI_IdleRateEE</v>
      </c>
      <c r="B2764" s="303" t="s">
        <v>1210</v>
      </c>
      <c r="C2764" s="304">
        <v>0</v>
      </c>
      <c r="D2764" s="303" t="s">
        <v>1159</v>
      </c>
      <c r="E2764" s="311" t="s">
        <v>2534</v>
      </c>
      <c r="F2764" s="334" t="s">
        <v>479</v>
      </c>
      <c r="G2764" s="335">
        <v>24600</v>
      </c>
      <c r="H2764" s="311" t="s">
        <v>639</v>
      </c>
      <c r="I2764" s="305" t="s">
        <v>152</v>
      </c>
      <c r="J2764" s="305" t="s">
        <v>124</v>
      </c>
      <c r="K2764" s="305" t="s">
        <v>2032</v>
      </c>
    </row>
    <row r="2765" spans="1:11" x14ac:dyDescent="0.25">
      <c r="A2765" s="302" t="str">
        <f t="shared" si="79"/>
        <v>Double Rack Oven_0_CI_Hours</v>
      </c>
      <c r="B2765" s="303" t="s">
        <v>1210</v>
      </c>
      <c r="C2765" s="304">
        <v>0</v>
      </c>
      <c r="D2765" s="303" t="s">
        <v>1159</v>
      </c>
      <c r="E2765" s="311" t="s">
        <v>283</v>
      </c>
      <c r="F2765" s="334" t="str">
        <f t="shared" ref="F2765:H2766" si="80">F2758</f>
        <v>hours</v>
      </c>
      <c r="G2765" s="335">
        <f t="shared" si="80"/>
        <v>12</v>
      </c>
      <c r="H2765" s="311" t="str">
        <f t="shared" si="80"/>
        <v>Assumed unknown</v>
      </c>
      <c r="I2765" s="305" t="s">
        <v>152</v>
      </c>
      <c r="J2765" s="305" t="s">
        <v>124</v>
      </c>
      <c r="K2765" s="305" t="s">
        <v>2032</v>
      </c>
    </row>
    <row r="2766" spans="1:11" x14ac:dyDescent="0.25">
      <c r="A2766" s="302" t="str">
        <f t="shared" si="79"/>
        <v>Double Rack Oven_0_CI_LB</v>
      </c>
      <c r="B2766" s="303" t="s">
        <v>1210</v>
      </c>
      <c r="C2766" s="304">
        <v>0</v>
      </c>
      <c r="D2766" s="303" t="s">
        <v>1159</v>
      </c>
      <c r="E2766" s="311" t="s">
        <v>459</v>
      </c>
      <c r="F2766" s="334" t="str">
        <f t="shared" si="80"/>
        <v>lb/day</v>
      </c>
      <c r="G2766" s="335">
        <f t="shared" si="80"/>
        <v>1200</v>
      </c>
      <c r="H2766" s="311" t="str">
        <f t="shared" si="80"/>
        <v>Assumed unknown</v>
      </c>
      <c r="I2766" s="305" t="s">
        <v>152</v>
      </c>
      <c r="J2766" s="305" t="s">
        <v>124</v>
      </c>
      <c r="K2766" s="305" t="s">
        <v>2032</v>
      </c>
    </row>
    <row r="2767" spans="1:11" x14ac:dyDescent="0.25">
      <c r="A2767" s="302" t="str">
        <f t="shared" si="79"/>
        <v>Double Rack Oven_0_CI_PCEE</v>
      </c>
      <c r="B2767" s="303" t="s">
        <v>1210</v>
      </c>
      <c r="C2767" s="304">
        <v>0</v>
      </c>
      <c r="D2767" s="303" t="s">
        <v>1159</v>
      </c>
      <c r="E2767" s="311" t="s">
        <v>2535</v>
      </c>
      <c r="F2767" s="334" t="s">
        <v>1170</v>
      </c>
      <c r="G2767" s="335">
        <v>279</v>
      </c>
      <c r="H2767" s="311" t="s">
        <v>639</v>
      </c>
      <c r="I2767" s="305" t="s">
        <v>152</v>
      </c>
      <c r="J2767" s="305" t="s">
        <v>124</v>
      </c>
      <c r="K2767" s="305" t="s">
        <v>2032</v>
      </c>
    </row>
    <row r="2768" spans="1:11" x14ac:dyDescent="0.25">
      <c r="A2768" s="302" t="str">
        <f t="shared" si="79"/>
        <v>Double Rack Oven_0_CI_DailyPreheats</v>
      </c>
      <c r="B2768" s="303" t="s">
        <v>1210</v>
      </c>
      <c r="C2768" s="304">
        <v>0</v>
      </c>
      <c r="D2768" s="303" t="s">
        <v>1159</v>
      </c>
      <c r="E2768" s="311" t="s">
        <v>2529</v>
      </c>
      <c r="F2768" s="334" t="str">
        <f>F2761</f>
        <v>preheats/day</v>
      </c>
      <c r="G2768" s="335">
        <f>G2761</f>
        <v>1</v>
      </c>
      <c r="H2768" s="311" t="str">
        <f>H2761</f>
        <v>Assumed unknown</v>
      </c>
      <c r="I2768" s="305" t="s">
        <v>152</v>
      </c>
      <c r="J2768" s="305" t="s">
        <v>124</v>
      </c>
      <c r="K2768" s="305" t="s">
        <v>2032</v>
      </c>
    </row>
    <row r="2769" spans="1:11" x14ac:dyDescent="0.25">
      <c r="A2769" s="302" t="str">
        <f t="shared" si="79"/>
        <v>Double Rack Oven_0_CI_PreheatTime</v>
      </c>
      <c r="B2769" s="303" t="s">
        <v>1210</v>
      </c>
      <c r="C2769" s="304">
        <v>0</v>
      </c>
      <c r="D2769" s="303" t="s">
        <v>1159</v>
      </c>
      <c r="E2769" s="311" t="s">
        <v>2411</v>
      </c>
      <c r="F2769" s="334" t="s">
        <v>1248</v>
      </c>
      <c r="G2769" s="335">
        <f>G2762</f>
        <v>20</v>
      </c>
      <c r="H2769" s="311" t="str">
        <f>H2762</f>
        <v>Assumed unknown</v>
      </c>
      <c r="I2769" s="305" t="s">
        <v>152</v>
      </c>
      <c r="J2769" s="305" t="s">
        <v>124</v>
      </c>
      <c r="K2769" s="305" t="s">
        <v>2032</v>
      </c>
    </row>
    <row r="2770" spans="1:11" x14ac:dyDescent="0.25">
      <c r="A2770" s="302" t="str">
        <f t="shared" si="79"/>
        <v>Double Rack Oven_0_CI_60</v>
      </c>
      <c r="B2770" s="303" t="s">
        <v>1210</v>
      </c>
      <c r="C2770" s="304">
        <v>0</v>
      </c>
      <c r="D2770" s="303" t="s">
        <v>1159</v>
      </c>
      <c r="E2770" s="390">
        <v>60</v>
      </c>
      <c r="F2770" s="334" t="str">
        <f>F2763</f>
        <v>min/hr</v>
      </c>
      <c r="G2770" s="335">
        <f>G2763</f>
        <v>60</v>
      </c>
      <c r="H2770" s="311"/>
      <c r="I2770" s="305" t="s">
        <v>152</v>
      </c>
      <c r="J2770" s="305" t="s">
        <v>124</v>
      </c>
      <c r="K2770" s="305" t="s">
        <v>2032</v>
      </c>
    </row>
    <row r="2771" spans="1:11" x14ac:dyDescent="0.25">
      <c r="A2771" s="302" t="str">
        <f t="shared" si="79"/>
        <v>Double Rack Oven_0_CI_Delta_DailyCookingEnergy</v>
      </c>
      <c r="B2771" s="303" t="s">
        <v>1210</v>
      </c>
      <c r="C2771" s="304">
        <v>0</v>
      </c>
      <c r="D2771" s="303" t="s">
        <v>1159</v>
      </c>
      <c r="E2771" s="311" t="s">
        <v>1182</v>
      </c>
      <c r="F2771" s="334"/>
      <c r="G2771" s="335">
        <f>((G2772*G2773)/G2774)-((G2775*G2776)/G2777)</f>
        <v>49369.747899159673</v>
      </c>
      <c r="H2771" s="311" t="s">
        <v>2381</v>
      </c>
      <c r="I2771" s="305" t="s">
        <v>152</v>
      </c>
      <c r="J2771" s="305" t="s">
        <v>124</v>
      </c>
      <c r="K2771" s="305" t="s">
        <v>2032</v>
      </c>
    </row>
    <row r="2772" spans="1:11" x14ac:dyDescent="0.25">
      <c r="A2772" s="302" t="str">
        <f t="shared" si="79"/>
        <v>Double Rack Oven_0_CI_LB</v>
      </c>
      <c r="B2772" s="303" t="s">
        <v>1210</v>
      </c>
      <c r="C2772" s="304">
        <v>0</v>
      </c>
      <c r="D2772" s="303" t="s">
        <v>1159</v>
      </c>
      <c r="E2772" s="311" t="s">
        <v>459</v>
      </c>
      <c r="F2772" s="334" t="str">
        <f>F2766</f>
        <v>lb/day</v>
      </c>
      <c r="G2772" s="310">
        <f>G2766</f>
        <v>1200</v>
      </c>
      <c r="H2772" s="311" t="str">
        <f>H2766</f>
        <v>Assumed unknown</v>
      </c>
      <c r="I2772" s="305" t="s">
        <v>152</v>
      </c>
      <c r="J2772" s="305" t="s">
        <v>124</v>
      </c>
      <c r="K2772" s="305" t="s">
        <v>2032</v>
      </c>
    </row>
    <row r="2773" spans="1:11" x14ac:dyDescent="0.25">
      <c r="A2773" s="302" t="str">
        <f t="shared" si="79"/>
        <v>Double Rack Oven_0_CI_EFOOD</v>
      </c>
      <c r="B2773" s="303" t="s">
        <v>1210</v>
      </c>
      <c r="C2773" s="304">
        <v>0</v>
      </c>
      <c r="D2773" s="303" t="s">
        <v>1159</v>
      </c>
      <c r="E2773" s="311" t="s">
        <v>443</v>
      </c>
      <c r="F2773" s="334" t="s">
        <v>651</v>
      </c>
      <c r="G2773" s="335">
        <v>235</v>
      </c>
      <c r="H2773" s="311"/>
      <c r="I2773" s="305" t="s">
        <v>152</v>
      </c>
      <c r="J2773" s="305" t="s">
        <v>124</v>
      </c>
      <c r="K2773" s="305" t="s">
        <v>2032</v>
      </c>
    </row>
    <row r="2774" spans="1:11" x14ac:dyDescent="0.25">
      <c r="A2774" s="302" t="str">
        <f t="shared" si="79"/>
        <v>Double Rack Oven_0_CI_EffBase</v>
      </c>
      <c r="B2774" s="303" t="s">
        <v>1210</v>
      </c>
      <c r="C2774" s="304">
        <v>0</v>
      </c>
      <c r="D2774" s="303" t="s">
        <v>1159</v>
      </c>
      <c r="E2774" s="311" t="s">
        <v>2536</v>
      </c>
      <c r="F2774" s="334" t="s">
        <v>539</v>
      </c>
      <c r="G2774" s="310">
        <v>0.51</v>
      </c>
      <c r="H2774" s="311" t="s">
        <v>639</v>
      </c>
      <c r="I2774" s="305" t="s">
        <v>152</v>
      </c>
      <c r="J2774" s="305" t="s">
        <v>124</v>
      </c>
      <c r="K2774" s="305" t="s">
        <v>2032</v>
      </c>
    </row>
    <row r="2775" spans="1:11" x14ac:dyDescent="0.25">
      <c r="A2775" s="302" t="str">
        <f t="shared" si="79"/>
        <v>Double Rack Oven_0_CI_LB</v>
      </c>
      <c r="B2775" s="303" t="s">
        <v>1210</v>
      </c>
      <c r="C2775" s="304">
        <v>0</v>
      </c>
      <c r="D2775" s="303" t="s">
        <v>1159</v>
      </c>
      <c r="E2775" s="311" t="s">
        <v>459</v>
      </c>
      <c r="F2775" s="334" t="str">
        <f>F2772</f>
        <v>lb/day</v>
      </c>
      <c r="G2775" s="310">
        <f>G2772</f>
        <v>1200</v>
      </c>
      <c r="H2775" s="311" t="str">
        <f>H2772</f>
        <v>Assumed unknown</v>
      </c>
      <c r="I2775" s="305" t="s">
        <v>152</v>
      </c>
      <c r="J2775" s="305" t="s">
        <v>124</v>
      </c>
      <c r="K2775" s="305" t="s">
        <v>2032</v>
      </c>
    </row>
    <row r="2776" spans="1:11" x14ac:dyDescent="0.25">
      <c r="A2776" s="302" t="str">
        <f t="shared" si="79"/>
        <v>Double Rack Oven_0_CI_EFOOD</v>
      </c>
      <c r="B2776" s="303" t="s">
        <v>1210</v>
      </c>
      <c r="C2776" s="304">
        <v>0</v>
      </c>
      <c r="D2776" s="303" t="s">
        <v>1159</v>
      </c>
      <c r="E2776" s="311" t="s">
        <v>443</v>
      </c>
      <c r="F2776" s="334" t="str">
        <f>F2773</f>
        <v>Btu/lb</v>
      </c>
      <c r="G2776" s="335">
        <f>G2773</f>
        <v>235</v>
      </c>
      <c r="H2776" s="311"/>
      <c r="I2776" s="305" t="s">
        <v>152</v>
      </c>
      <c r="J2776" s="305" t="s">
        <v>124</v>
      </c>
      <c r="K2776" s="305" t="s">
        <v>2032</v>
      </c>
    </row>
    <row r="2777" spans="1:11" x14ac:dyDescent="0.25">
      <c r="A2777" s="302" t="str">
        <f t="shared" si="79"/>
        <v>Double Rack Oven_0_CI_EffEE</v>
      </c>
      <c r="B2777" s="303" t="s">
        <v>1210</v>
      </c>
      <c r="C2777" s="304">
        <v>0</v>
      </c>
      <c r="D2777" s="303" t="s">
        <v>1159</v>
      </c>
      <c r="E2777" s="311" t="s">
        <v>2537</v>
      </c>
      <c r="F2777" s="334" t="s">
        <v>539</v>
      </c>
      <c r="G2777" s="310">
        <v>0.56000000000000005</v>
      </c>
      <c r="H2777" s="311" t="s">
        <v>639</v>
      </c>
      <c r="I2777" s="305" t="s">
        <v>152</v>
      </c>
      <c r="J2777" s="305" t="s">
        <v>124</v>
      </c>
      <c r="K2777" s="305" t="s">
        <v>2032</v>
      </c>
    </row>
    <row r="2778" spans="1:11" x14ac:dyDescent="0.25">
      <c r="A2778" s="302" t="str">
        <f t="shared" si="79"/>
        <v>Double Rack Oven_0_CI_Days</v>
      </c>
      <c r="B2778" s="303" t="s">
        <v>1210</v>
      </c>
      <c r="C2778" s="304">
        <v>0</v>
      </c>
      <c r="D2778" s="303" t="s">
        <v>1159</v>
      </c>
      <c r="E2778" s="311" t="s">
        <v>2419</v>
      </c>
      <c r="F2778" s="334" t="s">
        <v>1192</v>
      </c>
      <c r="G2778" s="310">
        <f>6*52</f>
        <v>312</v>
      </c>
      <c r="H2778" s="311" t="s">
        <v>2538</v>
      </c>
      <c r="I2778" s="305" t="s">
        <v>152</v>
      </c>
      <c r="J2778" s="305" t="s">
        <v>124</v>
      </c>
      <c r="K2778" s="305" t="s">
        <v>2032</v>
      </c>
    </row>
    <row r="2779" spans="1:11" x14ac:dyDescent="0.25">
      <c r="A2779" s="302" t="str">
        <f t="shared" si="79"/>
        <v>Double Rack Oven_0_CI_100000</v>
      </c>
      <c r="B2779" s="303" t="s">
        <v>1210</v>
      </c>
      <c r="C2779" s="304">
        <v>0</v>
      </c>
      <c r="D2779" s="303" t="s">
        <v>1159</v>
      </c>
      <c r="E2779" s="395">
        <v>100000</v>
      </c>
      <c r="F2779" s="334" t="s">
        <v>2539</v>
      </c>
      <c r="G2779" s="310">
        <v>100000</v>
      </c>
      <c r="H2779" s="311"/>
      <c r="I2779" s="305" t="s">
        <v>152</v>
      </c>
      <c r="J2779" s="305" t="s">
        <v>124</v>
      </c>
      <c r="K2779" s="305" t="s">
        <v>2032</v>
      </c>
    </row>
    <row r="2780" spans="1:11" x14ac:dyDescent="0.25">
      <c r="A2780" s="302" t="str">
        <f t="shared" si="77"/>
        <v>Double Rack Oven_0_CI_Therm Saved per Unit</v>
      </c>
      <c r="B2780" s="303" t="s">
        <v>1210</v>
      </c>
      <c r="C2780" s="304">
        <v>0</v>
      </c>
      <c r="D2780" s="303" t="s">
        <v>1159</v>
      </c>
      <c r="E2780" s="311" t="s">
        <v>326</v>
      </c>
      <c r="F2780" s="334" t="s">
        <v>1211</v>
      </c>
      <c r="G2780" s="310">
        <f>(G2752+G2756+G2771)*G2778/G2779</f>
        <v>499.81893306587153</v>
      </c>
      <c r="H2780" s="311" t="s">
        <v>2575</v>
      </c>
      <c r="I2780" s="305" t="s">
        <v>152</v>
      </c>
      <c r="J2780" s="305" t="s">
        <v>124</v>
      </c>
      <c r="K2780" s="305" t="s">
        <v>2032</v>
      </c>
    </row>
    <row r="2781" spans="1:11" x14ac:dyDescent="0.25">
      <c r="A2781" s="302" t="str">
        <f t="shared" si="77"/>
        <v>Double Rack Oven_0_CI_Lifetime (years)</v>
      </c>
      <c r="B2781" s="303" t="s">
        <v>1210</v>
      </c>
      <c r="C2781" s="304">
        <v>0</v>
      </c>
      <c r="D2781" s="303" t="s">
        <v>1159</v>
      </c>
      <c r="E2781" s="314" t="s">
        <v>259</v>
      </c>
      <c r="F2781" s="326" t="s">
        <v>548</v>
      </c>
      <c r="G2781" s="315">
        <v>12</v>
      </c>
      <c r="H2781" s="305"/>
      <c r="I2781" s="305" t="s">
        <v>152</v>
      </c>
      <c r="J2781" s="305" t="s">
        <v>124</v>
      </c>
      <c r="K2781" s="305" t="s">
        <v>2032</v>
      </c>
    </row>
    <row r="2782" spans="1:11" x14ac:dyDescent="0.25">
      <c r="A2782" s="302" t="str">
        <f t="shared" si="77"/>
        <v>Double Rack Oven_0_CI_Incremental Cost</v>
      </c>
      <c r="B2782" s="303" t="s">
        <v>1210</v>
      </c>
      <c r="C2782" s="304">
        <v>0</v>
      </c>
      <c r="D2782" s="303" t="s">
        <v>1159</v>
      </c>
      <c r="E2782" s="314" t="s">
        <v>260</v>
      </c>
      <c r="F2782" s="327" t="s">
        <v>549</v>
      </c>
      <c r="G2782" s="328">
        <v>3000</v>
      </c>
      <c r="H2782" s="305"/>
      <c r="I2782" s="305" t="s">
        <v>152</v>
      </c>
      <c r="J2782" s="305" t="s">
        <v>124</v>
      </c>
      <c r="K2782" s="305" t="s">
        <v>2032</v>
      </c>
    </row>
    <row r="2783" spans="1:11" s="324" customFormat="1" x14ac:dyDescent="0.25">
      <c r="A2783" s="317" t="str">
        <f t="shared" si="77"/>
        <v>Double Rack Oven_0_CI_</v>
      </c>
      <c r="B2783" s="317" t="str">
        <f>B2782</f>
        <v>Double Rack Oven</v>
      </c>
      <c r="C2783" s="332">
        <f>C2782</f>
        <v>0</v>
      </c>
      <c r="D2783" s="317" t="str">
        <f>D2782</f>
        <v>CI</v>
      </c>
      <c r="E2783" s="320"/>
      <c r="F2783" s="320"/>
      <c r="G2783" s="329"/>
      <c r="H2783" s="320"/>
      <c r="I2783" s="320"/>
      <c r="J2783" s="320"/>
      <c r="K2783" s="320"/>
    </row>
    <row r="2784" spans="1:11" x14ac:dyDescent="0.25">
      <c r="A2784" s="302" t="str">
        <f t="shared" si="77"/>
        <v>Infrared Upright Broiler_0_CI_Input Rate_Base</v>
      </c>
      <c r="B2784" s="303" t="s">
        <v>21</v>
      </c>
      <c r="C2784" s="304">
        <v>0</v>
      </c>
      <c r="D2784" s="303" t="s">
        <v>1159</v>
      </c>
      <c r="E2784" s="305" t="s">
        <v>1212</v>
      </c>
      <c r="F2784" s="309" t="s">
        <v>479</v>
      </c>
      <c r="G2784" s="306">
        <v>144000</v>
      </c>
      <c r="H2784" s="305"/>
      <c r="I2784" s="305" t="s">
        <v>152</v>
      </c>
      <c r="J2784" s="305" t="s">
        <v>119</v>
      </c>
      <c r="K2784" s="305" t="s">
        <v>2030</v>
      </c>
    </row>
    <row r="2785" spans="1:11" x14ac:dyDescent="0.25">
      <c r="A2785" s="302" t="str">
        <f t="shared" si="77"/>
        <v>Infrared Upright Broiler_0_CI_Input Rate_EE</v>
      </c>
      <c r="B2785" s="303" t="s">
        <v>21</v>
      </c>
      <c r="C2785" s="304">
        <v>0</v>
      </c>
      <c r="D2785" s="303" t="s">
        <v>1159</v>
      </c>
      <c r="E2785" s="305" t="s">
        <v>1213</v>
      </c>
      <c r="F2785" s="309" t="s">
        <v>479</v>
      </c>
      <c r="G2785" s="306">
        <v>90000</v>
      </c>
      <c r="H2785" s="305"/>
      <c r="I2785" s="305" t="s">
        <v>152</v>
      </c>
      <c r="J2785" s="305" t="s">
        <v>119</v>
      </c>
      <c r="K2785" s="305" t="s">
        <v>2030</v>
      </c>
    </row>
    <row r="2786" spans="1:11" x14ac:dyDescent="0.25">
      <c r="A2786" s="302" t="str">
        <f t="shared" si="77"/>
        <v>Infrared Upright Broiler_0_CI_Duty</v>
      </c>
      <c r="B2786" s="303" t="s">
        <v>21</v>
      </c>
      <c r="C2786" s="304">
        <v>0</v>
      </c>
      <c r="D2786" s="303" t="s">
        <v>1159</v>
      </c>
      <c r="E2786" s="305" t="s">
        <v>475</v>
      </c>
      <c r="F2786" s="309"/>
      <c r="G2786" s="306">
        <v>0.7</v>
      </c>
      <c r="H2786" s="305"/>
      <c r="I2786" s="305" t="s">
        <v>152</v>
      </c>
      <c r="J2786" s="305" t="s">
        <v>119</v>
      </c>
      <c r="K2786" s="305" t="s">
        <v>2030</v>
      </c>
    </row>
    <row r="2787" spans="1:11" x14ac:dyDescent="0.25">
      <c r="A2787" s="302" t="str">
        <f t="shared" ref="A2787:A2788" si="81">B2787&amp;"_"&amp;C2787&amp;"_"&amp;D2787&amp;"_"&amp;E2787</f>
        <v>Infrared Upright Broiler_0_CI_Days</v>
      </c>
      <c r="B2787" s="303" t="s">
        <v>21</v>
      </c>
      <c r="C2787" s="304">
        <v>0</v>
      </c>
      <c r="D2787" s="303" t="s">
        <v>1159</v>
      </c>
      <c r="E2787" s="311" t="s">
        <v>2419</v>
      </c>
      <c r="F2787" s="334" t="s">
        <v>1192</v>
      </c>
      <c r="G2787" s="335">
        <v>312</v>
      </c>
      <c r="H2787" s="311" t="s">
        <v>639</v>
      </c>
      <c r="I2787" s="305" t="s">
        <v>152</v>
      </c>
      <c r="J2787" s="305" t="s">
        <v>119</v>
      </c>
      <c r="K2787" s="305" t="s">
        <v>2030</v>
      </c>
    </row>
    <row r="2788" spans="1:11" x14ac:dyDescent="0.25">
      <c r="A2788" s="302" t="str">
        <f t="shared" si="81"/>
        <v>Infrared Upright Broiler_0_CI_HoursDay</v>
      </c>
      <c r="B2788" s="303" t="s">
        <v>21</v>
      </c>
      <c r="C2788" s="304">
        <v>0</v>
      </c>
      <c r="D2788" s="303" t="s">
        <v>1159</v>
      </c>
      <c r="E2788" s="311" t="s">
        <v>2422</v>
      </c>
      <c r="F2788" s="334" t="s">
        <v>618</v>
      </c>
      <c r="G2788" s="335">
        <v>8</v>
      </c>
      <c r="H2788" s="311" t="s">
        <v>639</v>
      </c>
      <c r="I2788" s="305" t="s">
        <v>152</v>
      </c>
      <c r="J2788" s="305" t="s">
        <v>119</v>
      </c>
      <c r="K2788" s="305" t="s">
        <v>2030</v>
      </c>
    </row>
    <row r="2789" spans="1:11" x14ac:dyDescent="0.25">
      <c r="A2789" s="302" t="str">
        <f t="shared" si="77"/>
        <v>Infrared Upright Broiler_0_CI_Therm Saved per Unit</v>
      </c>
      <c r="B2789" s="303" t="s">
        <v>21</v>
      </c>
      <c r="C2789" s="304">
        <v>0</v>
      </c>
      <c r="D2789" s="303" t="s">
        <v>1159</v>
      </c>
      <c r="E2789" s="311" t="s">
        <v>326</v>
      </c>
      <c r="F2789" s="334" t="s">
        <v>1211</v>
      </c>
      <c r="G2789" s="335">
        <f>((G2784-G2785)*G2786*G2787*G2788)/100000</f>
        <v>943.48800000000006</v>
      </c>
      <c r="H2789" s="311"/>
      <c r="I2789" s="305" t="s">
        <v>152</v>
      </c>
      <c r="J2789" s="305" t="s">
        <v>119</v>
      </c>
      <c r="K2789" s="305" t="s">
        <v>2030</v>
      </c>
    </row>
    <row r="2790" spans="1:11" x14ac:dyDescent="0.25">
      <c r="A2790" s="302" t="str">
        <f t="shared" si="77"/>
        <v>Infrared Upright Broiler_0_CI_Lifetime (years)</v>
      </c>
      <c r="B2790" s="303" t="s">
        <v>21</v>
      </c>
      <c r="C2790" s="304">
        <v>0</v>
      </c>
      <c r="D2790" s="303" t="s">
        <v>1159</v>
      </c>
      <c r="E2790" s="314" t="s">
        <v>259</v>
      </c>
      <c r="F2790" s="326" t="s">
        <v>548</v>
      </c>
      <c r="G2790" s="315">
        <v>12</v>
      </c>
      <c r="H2790" s="305"/>
      <c r="I2790" s="305" t="s">
        <v>152</v>
      </c>
      <c r="J2790" s="305" t="s">
        <v>119</v>
      </c>
      <c r="K2790" s="305" t="s">
        <v>2030</v>
      </c>
    </row>
    <row r="2791" spans="1:11" x14ac:dyDescent="0.25">
      <c r="A2791" s="302" t="str">
        <f t="shared" si="77"/>
        <v>Infrared Upright Broiler_0_CI_Incremental Cost</v>
      </c>
      <c r="B2791" s="303" t="s">
        <v>21</v>
      </c>
      <c r="C2791" s="304">
        <v>0</v>
      </c>
      <c r="D2791" s="303" t="s">
        <v>1159</v>
      </c>
      <c r="E2791" s="314" t="s">
        <v>260</v>
      </c>
      <c r="F2791" s="327" t="s">
        <v>549</v>
      </c>
      <c r="G2791" s="328">
        <v>4400</v>
      </c>
      <c r="H2791" s="305"/>
      <c r="I2791" s="305" t="s">
        <v>152</v>
      </c>
      <c r="J2791" s="305" t="s">
        <v>119</v>
      </c>
      <c r="K2791" s="305" t="s">
        <v>2030</v>
      </c>
    </row>
    <row r="2792" spans="1:11" s="324" customFormat="1" x14ac:dyDescent="0.25">
      <c r="A2792" s="317" t="str">
        <f t="shared" si="77"/>
        <v>Infrared Upright Broiler_0_CI_</v>
      </c>
      <c r="B2792" s="317" t="str">
        <f>B2791</f>
        <v>Infrared Upright Broiler</v>
      </c>
      <c r="C2792" s="332">
        <f>C2791</f>
        <v>0</v>
      </c>
      <c r="D2792" s="317" t="str">
        <f>D2791</f>
        <v>CI</v>
      </c>
      <c r="E2792" s="320"/>
      <c r="F2792" s="320"/>
      <c r="G2792" s="329"/>
      <c r="H2792" s="320"/>
      <c r="I2792" s="320"/>
      <c r="J2792" s="320"/>
      <c r="K2792" s="320"/>
    </row>
    <row r="2793" spans="1:11" x14ac:dyDescent="0.25">
      <c r="A2793" s="302" t="str">
        <f t="shared" si="77"/>
        <v>Infrared Salamander Broiler_0_CI_Input Rate_Base</v>
      </c>
      <c r="B2793" s="303" t="s">
        <v>20</v>
      </c>
      <c r="C2793" s="304">
        <v>0</v>
      </c>
      <c r="D2793" s="303" t="s">
        <v>1159</v>
      </c>
      <c r="E2793" s="305" t="s">
        <v>1212</v>
      </c>
      <c r="F2793" s="309" t="s">
        <v>479</v>
      </c>
      <c r="G2793" s="306">
        <v>38500</v>
      </c>
      <c r="H2793" s="305"/>
      <c r="I2793" s="305" t="s">
        <v>152</v>
      </c>
      <c r="J2793" s="305" t="s">
        <v>120</v>
      </c>
      <c r="K2793" s="305" t="s">
        <v>2028</v>
      </c>
    </row>
    <row r="2794" spans="1:11" x14ac:dyDescent="0.25">
      <c r="A2794" s="302" t="str">
        <f t="shared" si="77"/>
        <v>Infrared Salamander Broiler_0_CI_Input Rate_EE</v>
      </c>
      <c r="B2794" s="303" t="s">
        <v>20</v>
      </c>
      <c r="C2794" s="304">
        <v>0</v>
      </c>
      <c r="D2794" s="303" t="s">
        <v>1159</v>
      </c>
      <c r="E2794" s="305" t="s">
        <v>1213</v>
      </c>
      <c r="F2794" s="309" t="s">
        <v>479</v>
      </c>
      <c r="G2794" s="306">
        <v>24750</v>
      </c>
      <c r="H2794" s="305"/>
      <c r="I2794" s="305" t="s">
        <v>152</v>
      </c>
      <c r="J2794" s="305" t="s">
        <v>120</v>
      </c>
      <c r="K2794" s="305" t="s">
        <v>2028</v>
      </c>
    </row>
    <row r="2795" spans="1:11" x14ac:dyDescent="0.25">
      <c r="A2795" s="302" t="str">
        <f t="shared" si="77"/>
        <v>Infrared Salamander Broiler_0_CI_Duty</v>
      </c>
      <c r="B2795" s="303" t="s">
        <v>20</v>
      </c>
      <c r="C2795" s="304">
        <v>0</v>
      </c>
      <c r="D2795" s="303" t="s">
        <v>1159</v>
      </c>
      <c r="E2795" s="305" t="s">
        <v>475</v>
      </c>
      <c r="F2795" s="309"/>
      <c r="G2795" s="306">
        <v>0.7</v>
      </c>
      <c r="H2795" s="305"/>
      <c r="I2795" s="305" t="s">
        <v>152</v>
      </c>
      <c r="J2795" s="305" t="s">
        <v>120</v>
      </c>
      <c r="K2795" s="305" t="s">
        <v>2028</v>
      </c>
    </row>
    <row r="2796" spans="1:11" x14ac:dyDescent="0.25">
      <c r="A2796" s="302" t="str">
        <f t="shared" ref="A2796:A2797" si="82">B2796&amp;"_"&amp;C2796&amp;"_"&amp;D2796&amp;"_"&amp;E2796</f>
        <v>Infrared Salamander Broiler_0_CI_Days</v>
      </c>
      <c r="B2796" s="303" t="s">
        <v>20</v>
      </c>
      <c r="C2796" s="304">
        <v>0</v>
      </c>
      <c r="D2796" s="303" t="s">
        <v>1159</v>
      </c>
      <c r="E2796" s="311" t="s">
        <v>2419</v>
      </c>
      <c r="F2796" s="334" t="s">
        <v>1192</v>
      </c>
      <c r="G2796" s="335">
        <v>312</v>
      </c>
      <c r="H2796" s="311" t="s">
        <v>639</v>
      </c>
      <c r="I2796" s="305" t="s">
        <v>152</v>
      </c>
      <c r="J2796" s="305" t="s">
        <v>120</v>
      </c>
      <c r="K2796" s="305" t="s">
        <v>2028</v>
      </c>
    </row>
    <row r="2797" spans="1:11" x14ac:dyDescent="0.25">
      <c r="A2797" s="302" t="str">
        <f t="shared" si="82"/>
        <v>Infrared Salamander Broiler_0_CI_HoursDay</v>
      </c>
      <c r="B2797" s="303" t="s">
        <v>20</v>
      </c>
      <c r="C2797" s="304">
        <v>0</v>
      </c>
      <c r="D2797" s="303" t="s">
        <v>1159</v>
      </c>
      <c r="E2797" s="311" t="s">
        <v>2422</v>
      </c>
      <c r="F2797" s="334" t="s">
        <v>618</v>
      </c>
      <c r="G2797" s="335">
        <v>8</v>
      </c>
      <c r="H2797" s="311" t="s">
        <v>639</v>
      </c>
      <c r="I2797" s="305" t="s">
        <v>152</v>
      </c>
      <c r="J2797" s="305" t="s">
        <v>120</v>
      </c>
      <c r="K2797" s="305" t="s">
        <v>2028</v>
      </c>
    </row>
    <row r="2798" spans="1:11" x14ac:dyDescent="0.25">
      <c r="A2798" s="302" t="str">
        <f t="shared" si="77"/>
        <v>Infrared Salamander Broiler_0_CI_Therm Saved per Unit</v>
      </c>
      <c r="B2798" s="303" t="s">
        <v>20</v>
      </c>
      <c r="C2798" s="304">
        <v>0</v>
      </c>
      <c r="D2798" s="303" t="s">
        <v>1159</v>
      </c>
      <c r="E2798" s="311" t="s">
        <v>326</v>
      </c>
      <c r="F2798" s="334" t="s">
        <v>1211</v>
      </c>
      <c r="G2798" s="335">
        <f>((G2793-G2794)*G2795*G2796*G2797)/100000</f>
        <v>240.24</v>
      </c>
      <c r="H2798" s="311"/>
      <c r="I2798" s="305" t="s">
        <v>152</v>
      </c>
      <c r="J2798" s="305" t="s">
        <v>120</v>
      </c>
      <c r="K2798" s="305" t="s">
        <v>2028</v>
      </c>
    </row>
    <row r="2799" spans="1:11" x14ac:dyDescent="0.25">
      <c r="A2799" s="302" t="str">
        <f t="shared" si="77"/>
        <v>Infrared Salamander Broiler_0_CI_Lifetime (years)</v>
      </c>
      <c r="B2799" s="303" t="s">
        <v>20</v>
      </c>
      <c r="C2799" s="304">
        <v>0</v>
      </c>
      <c r="D2799" s="303" t="s">
        <v>1159</v>
      </c>
      <c r="E2799" s="314" t="s">
        <v>259</v>
      </c>
      <c r="F2799" s="326" t="s">
        <v>548</v>
      </c>
      <c r="G2799" s="396">
        <v>12</v>
      </c>
      <c r="H2799" s="305"/>
      <c r="I2799" s="305" t="s">
        <v>152</v>
      </c>
      <c r="J2799" s="305" t="s">
        <v>120</v>
      </c>
      <c r="K2799" s="305" t="s">
        <v>2028</v>
      </c>
    </row>
    <row r="2800" spans="1:11" x14ac:dyDescent="0.25">
      <c r="A2800" s="302" t="str">
        <f t="shared" si="77"/>
        <v>Infrared Salamander Broiler_0_CI_Incremental Cost</v>
      </c>
      <c r="B2800" s="303" t="s">
        <v>20</v>
      </c>
      <c r="C2800" s="304">
        <v>0</v>
      </c>
      <c r="D2800" s="303" t="s">
        <v>1159</v>
      </c>
      <c r="E2800" s="314" t="s">
        <v>260</v>
      </c>
      <c r="F2800" s="327" t="s">
        <v>549</v>
      </c>
      <c r="G2800" s="397">
        <v>1000</v>
      </c>
      <c r="H2800" s="305"/>
      <c r="I2800" s="305" t="s">
        <v>152</v>
      </c>
      <c r="J2800" s="305" t="s">
        <v>120</v>
      </c>
      <c r="K2800" s="305" t="s">
        <v>2028</v>
      </c>
    </row>
    <row r="2801" spans="1:11" s="324" customFormat="1" x14ac:dyDescent="0.25">
      <c r="A2801" s="317" t="str">
        <f t="shared" si="77"/>
        <v>Infrared Salamander Broiler_0_CI_</v>
      </c>
      <c r="B2801" s="317" t="str">
        <f>B2800</f>
        <v>Infrared Salamander Broiler</v>
      </c>
      <c r="C2801" s="332">
        <f>C2800</f>
        <v>0</v>
      </c>
      <c r="D2801" s="317" t="str">
        <f>D2800</f>
        <v>CI</v>
      </c>
      <c r="E2801" s="320"/>
      <c r="F2801" s="320"/>
      <c r="G2801" s="329"/>
      <c r="H2801" s="320"/>
      <c r="I2801" s="320"/>
      <c r="J2801" s="320"/>
      <c r="K2801" s="320"/>
    </row>
    <row r="2802" spans="1:11" x14ac:dyDescent="0.25">
      <c r="A2802" s="302" t="str">
        <f t="shared" si="77"/>
        <v>Infrared Rotisserie Oven_0_CI_Input Rate_Base</v>
      </c>
      <c r="B2802" s="303" t="s">
        <v>19</v>
      </c>
      <c r="C2802" s="304">
        <v>0</v>
      </c>
      <c r="D2802" s="303" t="s">
        <v>1159</v>
      </c>
      <c r="E2802" s="305" t="s">
        <v>1212</v>
      </c>
      <c r="F2802" s="309" t="s">
        <v>479</v>
      </c>
      <c r="G2802" s="306">
        <v>90000</v>
      </c>
      <c r="H2802" s="305"/>
      <c r="I2802" s="305" t="s">
        <v>152</v>
      </c>
      <c r="J2802" s="305" t="s">
        <v>122</v>
      </c>
      <c r="K2802" s="305" t="s">
        <v>2025</v>
      </c>
    </row>
    <row r="2803" spans="1:11" x14ac:dyDescent="0.25">
      <c r="A2803" s="302" t="str">
        <f t="shared" si="77"/>
        <v>Infrared Rotisserie Oven_0_CI_Input Rate_EE</v>
      </c>
      <c r="B2803" s="303" t="s">
        <v>19</v>
      </c>
      <c r="C2803" s="304">
        <v>0</v>
      </c>
      <c r="D2803" s="303" t="s">
        <v>1159</v>
      </c>
      <c r="E2803" s="305" t="s">
        <v>1213</v>
      </c>
      <c r="F2803" s="309" t="s">
        <v>479</v>
      </c>
      <c r="G2803" s="306">
        <v>50000</v>
      </c>
      <c r="H2803" s="305"/>
      <c r="I2803" s="305" t="s">
        <v>152</v>
      </c>
      <c r="J2803" s="305" t="s">
        <v>122</v>
      </c>
      <c r="K2803" s="305" t="s">
        <v>2025</v>
      </c>
    </row>
    <row r="2804" spans="1:11" x14ac:dyDescent="0.25">
      <c r="A2804" s="302" t="str">
        <f t="shared" si="77"/>
        <v>Infrared Rotisserie Oven_0_CI_Duty</v>
      </c>
      <c r="B2804" s="303" t="s">
        <v>19</v>
      </c>
      <c r="C2804" s="304">
        <v>0</v>
      </c>
      <c r="D2804" s="303" t="s">
        <v>1159</v>
      </c>
      <c r="E2804" s="305" t="s">
        <v>475</v>
      </c>
      <c r="F2804" s="309"/>
      <c r="G2804" s="306">
        <v>0.6</v>
      </c>
      <c r="H2804" s="305"/>
      <c r="I2804" s="305" t="s">
        <v>152</v>
      </c>
      <c r="J2804" s="305" t="s">
        <v>122</v>
      </c>
      <c r="K2804" s="305" t="s">
        <v>2025</v>
      </c>
    </row>
    <row r="2805" spans="1:11" x14ac:dyDescent="0.25">
      <c r="A2805" s="302" t="str">
        <f t="shared" ref="A2805:A2806" si="83">B2805&amp;"_"&amp;C2805&amp;"_"&amp;D2805&amp;"_"&amp;E2805</f>
        <v>Infrared Rotisserie Oven_0_CI_Days</v>
      </c>
      <c r="B2805" s="303" t="s">
        <v>19</v>
      </c>
      <c r="C2805" s="304">
        <v>0</v>
      </c>
      <c r="D2805" s="303" t="s">
        <v>1159</v>
      </c>
      <c r="E2805" s="311" t="s">
        <v>2419</v>
      </c>
      <c r="F2805" s="334" t="s">
        <v>1192</v>
      </c>
      <c r="G2805" s="335">
        <v>312</v>
      </c>
      <c r="H2805" s="311" t="s">
        <v>639</v>
      </c>
      <c r="I2805" s="305" t="s">
        <v>152</v>
      </c>
      <c r="J2805" s="305" t="s">
        <v>122</v>
      </c>
      <c r="K2805" s="305" t="s">
        <v>2025</v>
      </c>
    </row>
    <row r="2806" spans="1:11" x14ac:dyDescent="0.25">
      <c r="A2806" s="302" t="str">
        <f t="shared" si="83"/>
        <v>Infrared Rotisserie Oven_0_CI_HoursDay</v>
      </c>
      <c r="B2806" s="303" t="s">
        <v>19</v>
      </c>
      <c r="C2806" s="304">
        <v>0</v>
      </c>
      <c r="D2806" s="303" t="s">
        <v>1159</v>
      </c>
      <c r="E2806" s="311" t="s">
        <v>2422</v>
      </c>
      <c r="F2806" s="334" t="s">
        <v>618</v>
      </c>
      <c r="G2806" s="335">
        <v>8</v>
      </c>
      <c r="H2806" s="311" t="s">
        <v>639</v>
      </c>
      <c r="I2806" s="305" t="s">
        <v>152</v>
      </c>
      <c r="J2806" s="305" t="s">
        <v>122</v>
      </c>
      <c r="K2806" s="305" t="s">
        <v>2025</v>
      </c>
    </row>
    <row r="2807" spans="1:11" x14ac:dyDescent="0.25">
      <c r="A2807" s="302" t="str">
        <f t="shared" si="77"/>
        <v>Infrared Rotisserie Oven_0_CI_Therm Saved per Unit</v>
      </c>
      <c r="B2807" s="303" t="s">
        <v>19</v>
      </c>
      <c r="C2807" s="304">
        <v>0</v>
      </c>
      <c r="D2807" s="303" t="s">
        <v>1159</v>
      </c>
      <c r="E2807" s="311" t="s">
        <v>326</v>
      </c>
      <c r="F2807" s="334" t="s">
        <v>1211</v>
      </c>
      <c r="G2807" s="335">
        <f>((G2802-G2803)*G2804*G2805*G2806)/100000</f>
        <v>599.04</v>
      </c>
      <c r="H2807" s="311"/>
      <c r="I2807" s="305" t="s">
        <v>152</v>
      </c>
      <c r="J2807" s="305" t="s">
        <v>122</v>
      </c>
      <c r="K2807" s="305" t="s">
        <v>2025</v>
      </c>
    </row>
    <row r="2808" spans="1:11" x14ac:dyDescent="0.25">
      <c r="A2808" s="302" t="str">
        <f t="shared" si="77"/>
        <v>Infrared Rotisserie Oven_0_CI_Lifetime (years)</v>
      </c>
      <c r="B2808" s="303" t="s">
        <v>19</v>
      </c>
      <c r="C2808" s="304">
        <v>0</v>
      </c>
      <c r="D2808" s="303" t="s">
        <v>1159</v>
      </c>
      <c r="E2808" s="314" t="s">
        <v>259</v>
      </c>
      <c r="F2808" s="326" t="s">
        <v>548</v>
      </c>
      <c r="G2808" s="396">
        <v>12</v>
      </c>
      <c r="H2808" s="305"/>
      <c r="I2808" s="305" t="s">
        <v>152</v>
      </c>
      <c r="J2808" s="305" t="s">
        <v>122</v>
      </c>
      <c r="K2808" s="305" t="s">
        <v>2025</v>
      </c>
    </row>
    <row r="2809" spans="1:11" x14ac:dyDescent="0.25">
      <c r="A2809" s="302" t="str">
        <f t="shared" si="77"/>
        <v>Infrared Rotisserie Oven_0_CI_Incremental Cost</v>
      </c>
      <c r="B2809" s="303" t="s">
        <v>19</v>
      </c>
      <c r="C2809" s="304">
        <v>0</v>
      </c>
      <c r="D2809" s="303" t="s">
        <v>1159</v>
      </c>
      <c r="E2809" s="314" t="s">
        <v>260</v>
      </c>
      <c r="F2809" s="327" t="s">
        <v>549</v>
      </c>
      <c r="G2809" s="397">
        <v>2665</v>
      </c>
      <c r="H2809" s="305"/>
      <c r="I2809" s="305" t="s">
        <v>152</v>
      </c>
      <c r="J2809" s="305" t="s">
        <v>122</v>
      </c>
      <c r="K2809" s="305" t="s">
        <v>2025</v>
      </c>
    </row>
    <row r="2810" spans="1:11" s="324" customFormat="1" x14ac:dyDescent="0.25">
      <c r="A2810" s="317" t="str">
        <f t="shared" si="77"/>
        <v>Infrared Rotisserie Oven_0_CI_</v>
      </c>
      <c r="B2810" s="317" t="str">
        <f>B2809</f>
        <v>Infrared Rotisserie Oven</v>
      </c>
      <c r="C2810" s="332">
        <f>C2809</f>
        <v>0</v>
      </c>
      <c r="D2810" s="317" t="str">
        <f>D2809</f>
        <v>CI</v>
      </c>
      <c r="E2810" s="320"/>
      <c r="F2810" s="320"/>
      <c r="G2810" s="329"/>
      <c r="H2810" s="320"/>
      <c r="I2810" s="320"/>
      <c r="J2810" s="320"/>
      <c r="K2810" s="320"/>
    </row>
    <row r="2811" spans="1:11" x14ac:dyDescent="0.25">
      <c r="A2811" s="302" t="str">
        <f t="shared" si="77"/>
        <v>Infrared Charbroiler_0_CI_Preheat Energy Rate_Base</v>
      </c>
      <c r="B2811" s="303" t="s">
        <v>18</v>
      </c>
      <c r="C2811" s="304">
        <v>0</v>
      </c>
      <c r="D2811" s="303" t="s">
        <v>1159</v>
      </c>
      <c r="E2811" s="305" t="s">
        <v>1214</v>
      </c>
      <c r="F2811" s="309" t="s">
        <v>479</v>
      </c>
      <c r="G2811" s="306">
        <v>64000</v>
      </c>
      <c r="H2811" s="305"/>
      <c r="I2811" s="305" t="s">
        <v>152</v>
      </c>
      <c r="J2811" s="305" t="s">
        <v>121</v>
      </c>
      <c r="K2811" s="305" t="s">
        <v>2377</v>
      </c>
    </row>
    <row r="2812" spans="1:11" x14ac:dyDescent="0.25">
      <c r="A2812" s="302" t="str">
        <f t="shared" si="77"/>
        <v>Infrared Charbroiler_0_CI_Preheat Energy Rate_EE</v>
      </c>
      <c r="B2812" s="303" t="s">
        <v>18</v>
      </c>
      <c r="C2812" s="304">
        <v>0</v>
      </c>
      <c r="D2812" s="303" t="s">
        <v>1159</v>
      </c>
      <c r="E2812" s="305" t="s">
        <v>1215</v>
      </c>
      <c r="F2812" s="309" t="s">
        <v>479</v>
      </c>
      <c r="G2812" s="306">
        <v>54000</v>
      </c>
      <c r="H2812" s="305"/>
      <c r="I2812" s="305" t="s">
        <v>152</v>
      </c>
      <c r="J2812" s="305" t="s">
        <v>121</v>
      </c>
      <c r="K2812" s="305" t="s">
        <v>2377</v>
      </c>
    </row>
    <row r="2813" spans="1:11" x14ac:dyDescent="0.25">
      <c r="A2813" s="302" t="str">
        <f t="shared" si="77"/>
        <v>Infrared Charbroiler_0_CI_# of Preheates</v>
      </c>
      <c r="B2813" s="303" t="s">
        <v>18</v>
      </c>
      <c r="C2813" s="304">
        <v>0</v>
      </c>
      <c r="D2813" s="303" t="s">
        <v>1159</v>
      </c>
      <c r="E2813" s="305" t="s">
        <v>474</v>
      </c>
      <c r="F2813" s="309" t="s">
        <v>1216</v>
      </c>
      <c r="G2813" s="306">
        <v>1</v>
      </c>
      <c r="H2813" s="305"/>
      <c r="I2813" s="305" t="s">
        <v>152</v>
      </c>
      <c r="J2813" s="305" t="s">
        <v>121</v>
      </c>
      <c r="K2813" s="305" t="s">
        <v>2377</v>
      </c>
    </row>
    <row r="2814" spans="1:11" x14ac:dyDescent="0.25">
      <c r="A2814" s="302" t="str">
        <f t="shared" si="77"/>
        <v>Infrared Charbroiler_0_CI_Preheat Time</v>
      </c>
      <c r="B2814" s="303" t="s">
        <v>18</v>
      </c>
      <c r="C2814" s="304">
        <v>0</v>
      </c>
      <c r="D2814" s="303" t="s">
        <v>1159</v>
      </c>
      <c r="E2814" s="305" t="s">
        <v>471</v>
      </c>
      <c r="F2814" s="309" t="s">
        <v>1217</v>
      </c>
      <c r="G2814" s="306">
        <v>15</v>
      </c>
      <c r="H2814" s="305"/>
      <c r="I2814" s="305" t="s">
        <v>152</v>
      </c>
      <c r="J2814" s="305" t="s">
        <v>121</v>
      </c>
      <c r="K2814" s="305" t="s">
        <v>2377</v>
      </c>
    </row>
    <row r="2815" spans="1:11" x14ac:dyDescent="0.25">
      <c r="A2815" s="302" t="str">
        <f t="shared" si="77"/>
        <v>Infrared Charbroiler_0_CI_Input Rate_Base</v>
      </c>
      <c r="B2815" s="303" t="s">
        <v>18</v>
      </c>
      <c r="C2815" s="304">
        <v>0</v>
      </c>
      <c r="D2815" s="303" t="s">
        <v>1159</v>
      </c>
      <c r="E2815" s="305" t="s">
        <v>1212</v>
      </c>
      <c r="F2815" s="309" t="s">
        <v>479</v>
      </c>
      <c r="G2815" s="306">
        <v>140000</v>
      </c>
      <c r="H2815" s="305"/>
      <c r="I2815" s="305" t="s">
        <v>152</v>
      </c>
      <c r="J2815" s="305" t="s">
        <v>121</v>
      </c>
      <c r="K2815" s="305" t="s">
        <v>2377</v>
      </c>
    </row>
    <row r="2816" spans="1:11" x14ac:dyDescent="0.25">
      <c r="A2816" s="302" t="str">
        <f t="shared" si="77"/>
        <v>Infrared Charbroiler_0_CI_Input Rate_EE</v>
      </c>
      <c r="B2816" s="303" t="s">
        <v>18</v>
      </c>
      <c r="C2816" s="304">
        <v>0</v>
      </c>
      <c r="D2816" s="303" t="s">
        <v>1159</v>
      </c>
      <c r="E2816" s="305" t="s">
        <v>1213</v>
      </c>
      <c r="F2816" s="309" t="s">
        <v>479</v>
      </c>
      <c r="G2816" s="306">
        <v>105000</v>
      </c>
      <c r="H2816" s="305"/>
      <c r="I2816" s="305" t="s">
        <v>152</v>
      </c>
      <c r="J2816" s="305" t="s">
        <v>121</v>
      </c>
      <c r="K2816" s="305" t="s">
        <v>2377</v>
      </c>
    </row>
    <row r="2817" spans="1:11" x14ac:dyDescent="0.25">
      <c r="A2817" s="302" t="str">
        <f t="shared" si="77"/>
        <v>Infrared Charbroiler_0_CI_Duty</v>
      </c>
      <c r="B2817" s="303" t="s">
        <v>18</v>
      </c>
      <c r="C2817" s="304">
        <v>0</v>
      </c>
      <c r="D2817" s="303" t="s">
        <v>1159</v>
      </c>
      <c r="E2817" s="305" t="s">
        <v>475</v>
      </c>
      <c r="F2817" s="309"/>
      <c r="G2817" s="306">
        <v>0.8</v>
      </c>
      <c r="H2817" s="305"/>
      <c r="I2817" s="305" t="s">
        <v>152</v>
      </c>
      <c r="J2817" s="305" t="s">
        <v>121</v>
      </c>
      <c r="K2817" s="305" t="s">
        <v>2377</v>
      </c>
    </row>
    <row r="2818" spans="1:11" x14ac:dyDescent="0.25">
      <c r="A2818" s="302" t="str">
        <f t="shared" si="77"/>
        <v>Infrared Charbroiler_0_CI_Hours of Operation per Day</v>
      </c>
      <c r="B2818" s="303" t="s">
        <v>18</v>
      </c>
      <c r="C2818" s="304">
        <v>0</v>
      </c>
      <c r="D2818" s="303" t="s">
        <v>1159</v>
      </c>
      <c r="E2818" s="305" t="s">
        <v>1165</v>
      </c>
      <c r="F2818" s="305" t="s">
        <v>618</v>
      </c>
      <c r="G2818" s="398">
        <v>8</v>
      </c>
      <c r="H2818" s="305"/>
      <c r="I2818" s="305" t="s">
        <v>152</v>
      </c>
      <c r="J2818" s="305" t="s">
        <v>121</v>
      </c>
      <c r="K2818" s="305" t="s">
        <v>2377</v>
      </c>
    </row>
    <row r="2819" spans="1:11" x14ac:dyDescent="0.25">
      <c r="A2819" s="302" t="str">
        <f t="shared" si="77"/>
        <v>Infrared Charbroiler_0_CI_Days of Operation per Year</v>
      </c>
      <c r="B2819" s="303" t="s">
        <v>18</v>
      </c>
      <c r="C2819" s="304">
        <v>0</v>
      </c>
      <c r="D2819" s="303" t="s">
        <v>1159</v>
      </c>
      <c r="E2819" s="305" t="s">
        <v>731</v>
      </c>
      <c r="F2819" s="309" t="s">
        <v>871</v>
      </c>
      <c r="G2819" s="306">
        <v>312</v>
      </c>
      <c r="H2819" s="305"/>
      <c r="I2819" s="305" t="s">
        <v>152</v>
      </c>
      <c r="J2819" s="305" t="s">
        <v>121</v>
      </c>
      <c r="K2819" s="305" t="s">
        <v>2377</v>
      </c>
    </row>
    <row r="2820" spans="1:11" x14ac:dyDescent="0.25">
      <c r="A2820" s="302" t="str">
        <f t="shared" si="77"/>
        <v>Infrared Charbroiler_0_CI_Preheat Energy</v>
      </c>
      <c r="B2820" s="303" t="s">
        <v>18</v>
      </c>
      <c r="C2820" s="304">
        <v>0</v>
      </c>
      <c r="D2820" s="303" t="s">
        <v>1159</v>
      </c>
      <c r="E2820" s="305" t="s">
        <v>476</v>
      </c>
      <c r="F2820" s="309"/>
      <c r="G2820" s="306">
        <f>(G2811-G2812)*G2813*G2814/60</f>
        <v>2500</v>
      </c>
      <c r="H2820" s="305"/>
      <c r="I2820" s="305" t="s">
        <v>152</v>
      </c>
      <c r="J2820" s="305" t="s">
        <v>121</v>
      </c>
      <c r="K2820" s="305" t="s">
        <v>2377</v>
      </c>
    </row>
    <row r="2821" spans="1:11" x14ac:dyDescent="0.25">
      <c r="A2821" s="302" t="str">
        <f t="shared" si="77"/>
        <v>Infrared Charbroiler_0_CI_Cooking Energy</v>
      </c>
      <c r="B2821" s="303" t="s">
        <v>18</v>
      </c>
      <c r="C2821" s="304">
        <v>0</v>
      </c>
      <c r="D2821" s="303" t="s">
        <v>1159</v>
      </c>
      <c r="E2821" s="305" t="s">
        <v>477</v>
      </c>
      <c r="F2821" s="309"/>
      <c r="G2821" s="306">
        <f>(G2815-G2816)*G2817*G2818</f>
        <v>224000</v>
      </c>
      <c r="H2821" s="305"/>
      <c r="I2821" s="305" t="s">
        <v>152</v>
      </c>
      <c r="J2821" s="305" t="s">
        <v>121</v>
      </c>
      <c r="K2821" s="305" t="s">
        <v>2377</v>
      </c>
    </row>
    <row r="2822" spans="1:11" x14ac:dyDescent="0.25">
      <c r="A2822" s="302" t="str">
        <f t="shared" si="77"/>
        <v>Infrared Charbroiler_0_CI_Therm Saved per Unit</v>
      </c>
      <c r="B2822" s="303" t="s">
        <v>18</v>
      </c>
      <c r="C2822" s="304">
        <v>0</v>
      </c>
      <c r="D2822" s="303" t="s">
        <v>1159</v>
      </c>
      <c r="E2822" s="314" t="s">
        <v>326</v>
      </c>
      <c r="F2822" s="326" t="s">
        <v>1211</v>
      </c>
      <c r="G2822" s="396">
        <f>(G2820+G2821)*G2819/100000</f>
        <v>706.68</v>
      </c>
      <c r="H2822" s="305"/>
      <c r="I2822" s="305" t="s">
        <v>152</v>
      </c>
      <c r="J2822" s="305" t="s">
        <v>121</v>
      </c>
      <c r="K2822" s="305" t="s">
        <v>2377</v>
      </c>
    </row>
    <row r="2823" spans="1:11" x14ac:dyDescent="0.25">
      <c r="A2823" s="302" t="str">
        <f t="shared" si="77"/>
        <v>Infrared Charbroiler_0_CI_Lifetime (years)</v>
      </c>
      <c r="B2823" s="303" t="s">
        <v>18</v>
      </c>
      <c r="C2823" s="304">
        <v>0</v>
      </c>
      <c r="D2823" s="303" t="s">
        <v>1159</v>
      </c>
      <c r="E2823" s="314" t="s">
        <v>259</v>
      </c>
      <c r="F2823" s="326" t="s">
        <v>548</v>
      </c>
      <c r="G2823" s="396">
        <v>12</v>
      </c>
      <c r="H2823" s="305"/>
      <c r="I2823" s="305" t="s">
        <v>152</v>
      </c>
      <c r="J2823" s="305" t="s">
        <v>121</v>
      </c>
      <c r="K2823" s="305" t="s">
        <v>2377</v>
      </c>
    </row>
    <row r="2824" spans="1:11" x14ac:dyDescent="0.25">
      <c r="A2824" s="302" t="str">
        <f t="shared" si="77"/>
        <v>Infrared Charbroiler_0_CI_Incremental Cost</v>
      </c>
      <c r="B2824" s="303" t="s">
        <v>18</v>
      </c>
      <c r="C2824" s="304">
        <v>0</v>
      </c>
      <c r="D2824" s="303" t="s">
        <v>1159</v>
      </c>
      <c r="E2824" s="314" t="s">
        <v>260</v>
      </c>
      <c r="F2824" s="327" t="s">
        <v>549</v>
      </c>
      <c r="G2824" s="397">
        <v>2173</v>
      </c>
      <c r="H2824" s="305"/>
      <c r="I2824" s="305" t="s">
        <v>152</v>
      </c>
      <c r="J2824" s="305" t="s">
        <v>121</v>
      </c>
      <c r="K2824" s="305" t="s">
        <v>2377</v>
      </c>
    </row>
    <row r="2825" spans="1:11" s="324" customFormat="1" x14ac:dyDescent="0.25">
      <c r="A2825" s="317" t="str">
        <f t="shared" ref="A2825:A2891" si="84">B2825&amp;"_"&amp;C2825&amp;"_"&amp;D2825&amp;"_"&amp;E2825</f>
        <v>Infrared Charbroiler_0_CI_</v>
      </c>
      <c r="B2825" s="317" t="str">
        <f>B2824</f>
        <v>Infrared Charbroiler</v>
      </c>
      <c r="C2825" s="332">
        <f>C2824</f>
        <v>0</v>
      </c>
      <c r="D2825" s="317" t="str">
        <f>D2824</f>
        <v>CI</v>
      </c>
      <c r="E2825" s="320"/>
      <c r="F2825" s="320"/>
      <c r="G2825" s="329"/>
      <c r="H2825" s="320"/>
      <c r="I2825" s="320"/>
      <c r="J2825" s="320"/>
      <c r="K2825" s="320"/>
    </row>
    <row r="2826" spans="1:11" x14ac:dyDescent="0.25">
      <c r="A2826" s="302" t="str">
        <f t="shared" si="84"/>
        <v>Infrared Heater_0_MF/CI_Capacity</v>
      </c>
      <c r="B2826" s="303" t="s">
        <v>742</v>
      </c>
      <c r="C2826" s="304">
        <v>0</v>
      </c>
      <c r="D2826" s="303" t="s">
        <v>587</v>
      </c>
      <c r="E2826" s="305" t="s">
        <v>270</v>
      </c>
      <c r="F2826" s="309" t="s">
        <v>743</v>
      </c>
      <c r="G2826" s="339">
        <v>1000</v>
      </c>
      <c r="H2826" s="305"/>
      <c r="I2826" s="305" t="s">
        <v>152</v>
      </c>
      <c r="J2826" s="305" t="s">
        <v>117</v>
      </c>
      <c r="K2826" s="305" t="s">
        <v>1960</v>
      </c>
    </row>
    <row r="2827" spans="1:11" x14ac:dyDescent="0.25">
      <c r="A2827" s="302" t="str">
        <f t="shared" si="84"/>
        <v>Infrared Heater_0_MF/CI_RSF (Radiation Sizing Factor)</v>
      </c>
      <c r="B2827" s="303" t="s">
        <v>742</v>
      </c>
      <c r="C2827" s="304">
        <v>0</v>
      </c>
      <c r="D2827" s="303" t="s">
        <v>587</v>
      </c>
      <c r="E2827" s="305" t="s">
        <v>744</v>
      </c>
      <c r="F2827" s="309" t="s">
        <v>745</v>
      </c>
      <c r="G2827" s="306">
        <v>0.85</v>
      </c>
      <c r="H2827" s="305" t="s">
        <v>746</v>
      </c>
      <c r="I2827" s="305" t="s">
        <v>152</v>
      </c>
      <c r="J2827" s="305" t="s">
        <v>117</v>
      </c>
      <c r="K2827" s="305" t="s">
        <v>1960</v>
      </c>
    </row>
    <row r="2828" spans="1:11" x14ac:dyDescent="0.25">
      <c r="A2828" s="302" t="str">
        <f t="shared" si="84"/>
        <v>Infrared Heater_0_MF/CI_EFLH</v>
      </c>
      <c r="B2828" s="303" t="s">
        <v>742</v>
      </c>
      <c r="C2828" s="304">
        <v>0</v>
      </c>
      <c r="D2828" s="303" t="s">
        <v>587</v>
      </c>
      <c r="E2828" s="305" t="s">
        <v>321</v>
      </c>
      <c r="F2828" s="305" t="s">
        <v>283</v>
      </c>
      <c r="G2828" s="325">
        <v>1678</v>
      </c>
      <c r="H2828" s="305" t="s">
        <v>747</v>
      </c>
      <c r="I2828" s="305" t="s">
        <v>152</v>
      </c>
      <c r="J2828" s="305" t="s">
        <v>117</v>
      </c>
      <c r="K2828" s="305" t="s">
        <v>1960</v>
      </c>
    </row>
    <row r="2829" spans="1:11" x14ac:dyDescent="0.25">
      <c r="A2829" s="302" t="str">
        <f t="shared" si="84"/>
        <v>Infrared Heater_0_MF/CI_kWh Saved per Unit</v>
      </c>
      <c r="B2829" s="303" t="s">
        <v>742</v>
      </c>
      <c r="C2829" s="304">
        <v>0</v>
      </c>
      <c r="D2829" s="303" t="s">
        <v>587</v>
      </c>
      <c r="E2829" s="314" t="s">
        <v>255</v>
      </c>
      <c r="F2829" s="326"/>
      <c r="G2829" s="315">
        <v>0</v>
      </c>
      <c r="H2829" s="305"/>
      <c r="I2829" s="305" t="s">
        <v>152</v>
      </c>
      <c r="J2829" s="305" t="s">
        <v>117</v>
      </c>
      <c r="K2829" s="305" t="s">
        <v>1960</v>
      </c>
    </row>
    <row r="2830" spans="1:11" x14ac:dyDescent="0.25">
      <c r="A2830" s="302" t="str">
        <f t="shared" si="84"/>
        <v>Infrared Heater_0_MF/CI_Therm Saved per Unit</v>
      </c>
      <c r="B2830" s="303" t="s">
        <v>742</v>
      </c>
      <c r="C2830" s="304">
        <v>0</v>
      </c>
      <c r="D2830" s="303" t="s">
        <v>587</v>
      </c>
      <c r="E2830" s="314" t="s">
        <v>326</v>
      </c>
      <c r="F2830" s="326" t="s">
        <v>1218</v>
      </c>
      <c r="G2830" s="315">
        <f>G2826/G2827*G2828/100000-G2826*G2828/100000</f>
        <v>2.9611764705882351</v>
      </c>
      <c r="H2830" s="305"/>
      <c r="I2830" s="305" t="s">
        <v>152</v>
      </c>
      <c r="J2830" s="305" t="s">
        <v>117</v>
      </c>
      <c r="K2830" s="305" t="s">
        <v>1960</v>
      </c>
    </row>
    <row r="2831" spans="1:11" x14ac:dyDescent="0.25">
      <c r="A2831" s="302" t="str">
        <f t="shared" si="84"/>
        <v>Infrared Heater_0_MF/CI_Lifetime (years)</v>
      </c>
      <c r="B2831" s="303" t="s">
        <v>742</v>
      </c>
      <c r="C2831" s="304">
        <v>0</v>
      </c>
      <c r="D2831" s="303" t="s">
        <v>587</v>
      </c>
      <c r="E2831" s="314" t="s">
        <v>259</v>
      </c>
      <c r="F2831" s="326"/>
      <c r="G2831" s="315">
        <v>15</v>
      </c>
      <c r="H2831" s="305"/>
      <c r="I2831" s="305" t="s">
        <v>152</v>
      </c>
      <c r="J2831" s="305" t="s">
        <v>117</v>
      </c>
      <c r="K2831" s="305" t="s">
        <v>1960</v>
      </c>
    </row>
    <row r="2832" spans="1:11" x14ac:dyDescent="0.25">
      <c r="A2832" s="302" t="str">
        <f t="shared" si="84"/>
        <v>Infrared Heater_0_MF/CI_Incremental Cost</v>
      </c>
      <c r="B2832" s="303" t="s">
        <v>742</v>
      </c>
      <c r="C2832" s="304">
        <v>0</v>
      </c>
      <c r="D2832" s="303" t="s">
        <v>587</v>
      </c>
      <c r="E2832" s="314" t="s">
        <v>260</v>
      </c>
      <c r="F2832" s="326" t="s">
        <v>679</v>
      </c>
      <c r="G2832" s="315">
        <f>2.7</f>
        <v>2.7</v>
      </c>
      <c r="H2832" s="305"/>
      <c r="I2832" s="305" t="s">
        <v>152</v>
      </c>
      <c r="J2832" s="305" t="s">
        <v>117</v>
      </c>
      <c r="K2832" s="305" t="s">
        <v>1960</v>
      </c>
    </row>
    <row r="2833" spans="1:11" s="324" customFormat="1" x14ac:dyDescent="0.25">
      <c r="A2833" s="317" t="str">
        <f t="shared" si="84"/>
        <v>Infrared Heater_0_MF/CI_</v>
      </c>
      <c r="B2833" s="317" t="str">
        <f>B2832</f>
        <v>Infrared Heater</v>
      </c>
      <c r="C2833" s="332">
        <f>C2832</f>
        <v>0</v>
      </c>
      <c r="D2833" s="317" t="s">
        <v>587</v>
      </c>
      <c r="E2833" s="320"/>
      <c r="F2833" s="320"/>
      <c r="G2833" s="329"/>
      <c r="H2833" s="320"/>
      <c r="I2833" s="320"/>
      <c r="J2833" s="320"/>
      <c r="K2833" s="320"/>
    </row>
    <row r="2834" spans="1:11" s="324" customFormat="1" x14ac:dyDescent="0.25">
      <c r="A2834" s="302" t="str">
        <f t="shared" si="84"/>
        <v>Pre-Rinse Sprayer_0_SMB_FLObase</v>
      </c>
      <c r="B2834" s="303" t="s">
        <v>1219</v>
      </c>
      <c r="C2834" s="304">
        <v>0</v>
      </c>
      <c r="D2834" s="303" t="s">
        <v>1220</v>
      </c>
      <c r="E2834" s="305" t="s">
        <v>1221</v>
      </c>
      <c r="F2834" s="305" t="s">
        <v>1222</v>
      </c>
      <c r="G2834" s="307">
        <v>1.6</v>
      </c>
      <c r="H2834" s="305" t="s">
        <v>1223</v>
      </c>
      <c r="I2834" s="305" t="s">
        <v>633</v>
      </c>
      <c r="J2834" s="305"/>
      <c r="K2834" s="305"/>
    </row>
    <row r="2835" spans="1:11" s="324" customFormat="1" x14ac:dyDescent="0.25">
      <c r="A2835" s="302" t="str">
        <f t="shared" si="84"/>
        <v>Pre-Rinse Sprayer_0_SMB_FLOeff</v>
      </c>
      <c r="B2835" s="303" t="s">
        <v>1219</v>
      </c>
      <c r="C2835" s="304">
        <v>0</v>
      </c>
      <c r="D2835" s="303" t="s">
        <v>1220</v>
      </c>
      <c r="E2835" s="305" t="s">
        <v>1224</v>
      </c>
      <c r="F2835" s="305" t="s">
        <v>1222</v>
      </c>
      <c r="G2835" s="307">
        <v>1.06</v>
      </c>
      <c r="H2835" s="305" t="s">
        <v>1223</v>
      </c>
      <c r="I2835" s="305" t="s">
        <v>1225</v>
      </c>
      <c r="J2835" s="305"/>
      <c r="K2835" s="305"/>
    </row>
    <row r="2836" spans="1:11" s="324" customFormat="1" x14ac:dyDescent="0.25">
      <c r="A2836" s="302" t="str">
        <f t="shared" si="84"/>
        <v>Pre-Rinse Sprayer_0_SMB_Conversion</v>
      </c>
      <c r="B2836" s="303" t="s">
        <v>1219</v>
      </c>
      <c r="C2836" s="304">
        <v>0</v>
      </c>
      <c r="D2836" s="303" t="s">
        <v>1220</v>
      </c>
      <c r="E2836" s="305" t="s">
        <v>284</v>
      </c>
      <c r="F2836" s="305" t="s">
        <v>882</v>
      </c>
      <c r="G2836" s="354">
        <v>60</v>
      </c>
      <c r="H2836" s="305"/>
      <c r="I2836" s="305" t="s">
        <v>152</v>
      </c>
      <c r="J2836" s="305" t="s">
        <v>1226</v>
      </c>
      <c r="K2836" s="305" t="s">
        <v>2378</v>
      </c>
    </row>
    <row r="2837" spans="1:11" s="324" customFormat="1" x14ac:dyDescent="0.25">
      <c r="A2837" s="302" t="str">
        <f t="shared" si="84"/>
        <v>Pre-Rinse Sprayer_0_SMB_Hours of Operation per Day</v>
      </c>
      <c r="B2837" s="303" t="s">
        <v>1219</v>
      </c>
      <c r="C2837" s="304">
        <v>0</v>
      </c>
      <c r="D2837" s="303" t="s">
        <v>1220</v>
      </c>
      <c r="E2837" s="305" t="s">
        <v>1165</v>
      </c>
      <c r="F2837" s="305" t="s">
        <v>618</v>
      </c>
      <c r="G2837" s="399">
        <v>1.5</v>
      </c>
      <c r="H2837" s="305" t="s">
        <v>1227</v>
      </c>
      <c r="I2837" s="305" t="s">
        <v>152</v>
      </c>
      <c r="J2837" s="305" t="s">
        <v>1226</v>
      </c>
      <c r="K2837" s="305" t="s">
        <v>2378</v>
      </c>
    </row>
    <row r="2838" spans="1:11" s="324" customFormat="1" x14ac:dyDescent="0.25">
      <c r="A2838" s="302" t="str">
        <f t="shared" si="84"/>
        <v>Pre-Rinse Sprayer_0_SMB_Days of Operation per Year</v>
      </c>
      <c r="B2838" s="303" t="s">
        <v>1219</v>
      </c>
      <c r="C2838" s="304">
        <v>0</v>
      </c>
      <c r="D2838" s="303" t="s">
        <v>1220</v>
      </c>
      <c r="E2838" s="305" t="s">
        <v>731</v>
      </c>
      <c r="F2838" s="305" t="s">
        <v>871</v>
      </c>
      <c r="G2838" s="325">
        <v>312</v>
      </c>
      <c r="H2838" s="305" t="s">
        <v>1228</v>
      </c>
      <c r="I2838" s="305" t="s">
        <v>152</v>
      </c>
      <c r="J2838" s="305" t="s">
        <v>1226</v>
      </c>
      <c r="K2838" s="305" t="s">
        <v>2378</v>
      </c>
    </row>
    <row r="2839" spans="1:11" s="324" customFormat="1" x14ac:dyDescent="0.25">
      <c r="A2839" s="302" t="str">
        <f t="shared" ref="A2839" si="85">B2839&amp;"_"&amp;C2839&amp;"_"&amp;D2839&amp;"_"&amp;E2839</f>
        <v>Pre-Rinse Sprayer_0_SMB_ISR</v>
      </c>
      <c r="B2839" s="303" t="s">
        <v>1219</v>
      </c>
      <c r="C2839" s="304">
        <v>0</v>
      </c>
      <c r="D2839" s="303" t="s">
        <v>1220</v>
      </c>
      <c r="E2839" s="311" t="s">
        <v>267</v>
      </c>
      <c r="F2839" s="334"/>
      <c r="G2839" s="400">
        <v>1</v>
      </c>
      <c r="H2839" s="311" t="s">
        <v>1937</v>
      </c>
      <c r="I2839" s="305" t="s">
        <v>152</v>
      </c>
      <c r="J2839" s="305" t="s">
        <v>1226</v>
      </c>
      <c r="K2839" s="305" t="s">
        <v>2378</v>
      </c>
    </row>
    <row r="2840" spans="1:11" s="324" customFormat="1" x14ac:dyDescent="0.25">
      <c r="A2840" s="302" t="str">
        <f t="shared" si="84"/>
        <v>Pre-Rinse Sprayer_0_SMB_Delta_Water_Gallons</v>
      </c>
      <c r="B2840" s="303" t="s">
        <v>1219</v>
      </c>
      <c r="C2840" s="304">
        <v>0</v>
      </c>
      <c r="D2840" s="303" t="s">
        <v>1220</v>
      </c>
      <c r="E2840" s="305" t="s">
        <v>456</v>
      </c>
      <c r="F2840" s="305"/>
      <c r="G2840" s="307">
        <f>(G2834-G2835)*G2836*G2837*G2838*G2839</f>
        <v>15163.200000000003</v>
      </c>
      <c r="H2840" s="305"/>
      <c r="I2840" s="305" t="s">
        <v>152</v>
      </c>
      <c r="J2840" s="305" t="s">
        <v>1226</v>
      </c>
      <c r="K2840" s="305" t="s">
        <v>2378</v>
      </c>
    </row>
    <row r="2841" spans="1:11" s="324" customFormat="1" x14ac:dyDescent="0.25">
      <c r="A2841" s="302" t="str">
        <f t="shared" si="84"/>
        <v>Pre-Rinse Sprayer_0_SMB_yWater</v>
      </c>
      <c r="B2841" s="303" t="s">
        <v>1219</v>
      </c>
      <c r="C2841" s="304">
        <v>0</v>
      </c>
      <c r="D2841" s="303" t="s">
        <v>1220</v>
      </c>
      <c r="E2841" s="305" t="s">
        <v>369</v>
      </c>
      <c r="F2841" s="309" t="s">
        <v>346</v>
      </c>
      <c r="G2841" s="307">
        <v>8.33</v>
      </c>
      <c r="H2841" s="305"/>
      <c r="I2841" s="305" t="s">
        <v>152</v>
      </c>
      <c r="J2841" s="305" t="s">
        <v>1226</v>
      </c>
      <c r="K2841" s="305" t="s">
        <v>2378</v>
      </c>
    </row>
    <row r="2842" spans="1:11" s="324" customFormat="1" x14ac:dyDescent="0.25">
      <c r="A2842" s="302" t="str">
        <f t="shared" si="84"/>
        <v>Pre-Rinse Sprayer_0_SMB_Specific Heat of Water</v>
      </c>
      <c r="B2842" s="303" t="s">
        <v>1219</v>
      </c>
      <c r="C2842" s="304">
        <v>0</v>
      </c>
      <c r="D2842" s="303" t="s">
        <v>1220</v>
      </c>
      <c r="E2842" s="305" t="s">
        <v>1229</v>
      </c>
      <c r="F2842" s="309"/>
      <c r="G2842" s="306">
        <v>1</v>
      </c>
      <c r="H2842" s="305"/>
      <c r="I2842" s="305" t="s">
        <v>152</v>
      </c>
      <c r="J2842" s="305" t="s">
        <v>1226</v>
      </c>
      <c r="K2842" s="305" t="s">
        <v>2378</v>
      </c>
    </row>
    <row r="2843" spans="1:11" s="324" customFormat="1" x14ac:dyDescent="0.25">
      <c r="A2843" s="302" t="str">
        <f t="shared" si="84"/>
        <v>Pre-Rinse Sprayer_0_SMB_Temperature Out</v>
      </c>
      <c r="B2843" s="303" t="s">
        <v>1219</v>
      </c>
      <c r="C2843" s="304">
        <v>0</v>
      </c>
      <c r="D2843" s="303" t="s">
        <v>1220</v>
      </c>
      <c r="E2843" s="305" t="s">
        <v>1230</v>
      </c>
      <c r="F2843" s="309"/>
      <c r="G2843" s="306">
        <f>70+G2844</f>
        <v>120.7</v>
      </c>
      <c r="H2843" s="305" t="s">
        <v>1231</v>
      </c>
      <c r="I2843" s="305" t="s">
        <v>152</v>
      </c>
      <c r="J2843" s="305" t="s">
        <v>1226</v>
      </c>
      <c r="K2843" s="305" t="s">
        <v>2378</v>
      </c>
    </row>
    <row r="2844" spans="1:11" s="324" customFormat="1" x14ac:dyDescent="0.25">
      <c r="A2844" s="302" t="str">
        <f t="shared" si="84"/>
        <v>Pre-Rinse Sprayer_0_SMB_Temperature In</v>
      </c>
      <c r="B2844" s="303" t="s">
        <v>1219</v>
      </c>
      <c r="C2844" s="304">
        <v>0</v>
      </c>
      <c r="D2844" s="303" t="s">
        <v>1220</v>
      </c>
      <c r="E2844" s="305" t="s">
        <v>1232</v>
      </c>
      <c r="F2844" s="309"/>
      <c r="G2844" s="310">
        <v>50.7</v>
      </c>
      <c r="H2844" s="311" t="s">
        <v>1895</v>
      </c>
      <c r="I2844" s="305" t="s">
        <v>152</v>
      </c>
      <c r="J2844" s="305" t="s">
        <v>1226</v>
      </c>
      <c r="K2844" s="305" t="s">
        <v>2378</v>
      </c>
    </row>
    <row r="2845" spans="1:11" s="324" customFormat="1" x14ac:dyDescent="0.25">
      <c r="A2845" s="302" t="str">
        <f t="shared" si="84"/>
        <v>Pre-Rinse Sprayer_0_SMB_Gas Water Heater Efficiency</v>
      </c>
      <c r="B2845" s="303" t="s">
        <v>1219</v>
      </c>
      <c r="C2845" s="304">
        <v>0</v>
      </c>
      <c r="D2845" s="303" t="s">
        <v>1220</v>
      </c>
      <c r="E2845" s="305" t="s">
        <v>1233</v>
      </c>
      <c r="F2845" s="309"/>
      <c r="G2845" s="306">
        <v>0.75</v>
      </c>
      <c r="H2845" s="305" t="s">
        <v>1234</v>
      </c>
      <c r="I2845" s="305" t="s">
        <v>152</v>
      </c>
      <c r="J2845" s="305" t="s">
        <v>1226</v>
      </c>
      <c r="K2845" s="305" t="s">
        <v>2378</v>
      </c>
    </row>
    <row r="2846" spans="1:11" s="324" customFormat="1" x14ac:dyDescent="0.25">
      <c r="A2846" s="302" t="str">
        <f t="shared" si="84"/>
        <v>Pre-Rinse Sprayer_0_SMB_IL Total Water Energy Factor</v>
      </c>
      <c r="B2846" s="303" t="s">
        <v>1219</v>
      </c>
      <c r="C2846" s="304">
        <v>0</v>
      </c>
      <c r="D2846" s="303" t="s">
        <v>1220</v>
      </c>
      <c r="E2846" s="305" t="s">
        <v>1235</v>
      </c>
      <c r="F2846" s="309"/>
      <c r="G2846" s="306">
        <v>2937</v>
      </c>
      <c r="H2846" s="305" t="s">
        <v>1236</v>
      </c>
      <c r="I2846" s="305" t="s">
        <v>152</v>
      </c>
      <c r="J2846" s="305" t="s">
        <v>1226</v>
      </c>
      <c r="K2846" s="305" t="s">
        <v>2378</v>
      </c>
    </row>
    <row r="2847" spans="1:11" s="324" customFormat="1" x14ac:dyDescent="0.25">
      <c r="A2847" s="302" t="str">
        <f t="shared" si="84"/>
        <v>Pre-Rinse Sprayer_0_SMB_Secondary kWh Water Savings</v>
      </c>
      <c r="B2847" s="303" t="s">
        <v>1219</v>
      </c>
      <c r="C2847" s="304">
        <v>0</v>
      </c>
      <c r="D2847" s="303" t="s">
        <v>1220</v>
      </c>
      <c r="E2847" s="305" t="s">
        <v>1237</v>
      </c>
      <c r="F2847" s="309"/>
      <c r="G2847" s="306">
        <f>G2840/1000000*G2846</f>
        <v>44.534318400000011</v>
      </c>
      <c r="H2847" s="305"/>
      <c r="I2847" s="305" t="s">
        <v>152</v>
      </c>
      <c r="J2847" s="305" t="s">
        <v>1226</v>
      </c>
      <c r="K2847" s="305" t="s">
        <v>2378</v>
      </c>
    </row>
    <row r="2848" spans="1:11" s="324" customFormat="1" x14ac:dyDescent="0.25">
      <c r="A2848" s="302" t="str">
        <f t="shared" si="84"/>
        <v>Pre-Rinse Sprayer_0_SMB_kWh Saved per Unit</v>
      </c>
      <c r="B2848" s="303" t="s">
        <v>1219</v>
      </c>
      <c r="C2848" s="304">
        <v>0</v>
      </c>
      <c r="D2848" s="303" t="s">
        <v>1220</v>
      </c>
      <c r="E2848" s="314" t="s">
        <v>255</v>
      </c>
      <c r="F2848" s="326"/>
      <c r="G2848" s="315">
        <f>G2847</f>
        <v>44.534318400000011</v>
      </c>
      <c r="H2848" s="305"/>
      <c r="I2848" s="305" t="s">
        <v>152</v>
      </c>
      <c r="J2848" s="305" t="s">
        <v>1226</v>
      </c>
      <c r="K2848" s="305" t="s">
        <v>2378</v>
      </c>
    </row>
    <row r="2849" spans="1:11" s="324" customFormat="1" x14ac:dyDescent="0.25">
      <c r="A2849" s="302" t="str">
        <f t="shared" si="84"/>
        <v>Pre-Rinse Sprayer_0_SMB_Coincident Peak kW Saved per Unit</v>
      </c>
      <c r="B2849" s="303" t="s">
        <v>1219</v>
      </c>
      <c r="C2849" s="304">
        <v>0</v>
      </c>
      <c r="D2849" s="303" t="s">
        <v>1220</v>
      </c>
      <c r="E2849" s="314" t="s">
        <v>257</v>
      </c>
      <c r="F2849" s="326"/>
      <c r="G2849" s="315">
        <v>0</v>
      </c>
      <c r="H2849" s="305"/>
      <c r="I2849" s="305" t="s">
        <v>152</v>
      </c>
      <c r="J2849" s="305" t="s">
        <v>1226</v>
      </c>
      <c r="K2849" s="305" t="s">
        <v>2378</v>
      </c>
    </row>
    <row r="2850" spans="1:11" s="324" customFormat="1" x14ac:dyDescent="0.25">
      <c r="A2850" s="302" t="str">
        <f t="shared" si="84"/>
        <v>Pre-Rinse Sprayer_0_SMB_Therm Saved per Unit</v>
      </c>
      <c r="B2850" s="303" t="s">
        <v>1219</v>
      </c>
      <c r="C2850" s="304">
        <v>0</v>
      </c>
      <c r="D2850" s="303" t="s">
        <v>1220</v>
      </c>
      <c r="E2850" s="314" t="s">
        <v>326</v>
      </c>
      <c r="F2850" s="326"/>
      <c r="G2850" s="315">
        <f>G2840*G2841*G2842*(G2843-G2844)*(1/G2845)/100000</f>
        <v>117.88882560000002</v>
      </c>
      <c r="H2850" s="305"/>
      <c r="I2850" s="305" t="s">
        <v>152</v>
      </c>
      <c r="J2850" s="305" t="s">
        <v>1226</v>
      </c>
      <c r="K2850" s="305" t="s">
        <v>2378</v>
      </c>
    </row>
    <row r="2851" spans="1:11" s="324" customFormat="1" x14ac:dyDescent="0.25">
      <c r="A2851" s="302" t="str">
        <f t="shared" si="84"/>
        <v>Pre-Rinse Sprayer_0_SMB_Gallons Saved per Unit</v>
      </c>
      <c r="B2851" s="303" t="s">
        <v>1219</v>
      </c>
      <c r="C2851" s="304">
        <v>0</v>
      </c>
      <c r="D2851" s="303" t="s">
        <v>1220</v>
      </c>
      <c r="E2851" s="314" t="s">
        <v>547</v>
      </c>
      <c r="F2851" s="326"/>
      <c r="G2851" s="315">
        <f>(G2834-G2835)*G2836*G2837*G2838</f>
        <v>15163.200000000003</v>
      </c>
      <c r="H2851" s="305"/>
      <c r="I2851" s="305" t="s">
        <v>152</v>
      </c>
      <c r="J2851" s="305" t="s">
        <v>1226</v>
      </c>
      <c r="K2851" s="305" t="s">
        <v>2378</v>
      </c>
    </row>
    <row r="2852" spans="1:11" s="324" customFormat="1" x14ac:dyDescent="0.25">
      <c r="A2852" s="302" t="str">
        <f t="shared" si="84"/>
        <v>Pre-Rinse Sprayer_0_SMB_Lifetime (years)</v>
      </c>
      <c r="B2852" s="303" t="s">
        <v>1219</v>
      </c>
      <c r="C2852" s="304">
        <v>0</v>
      </c>
      <c r="D2852" s="303" t="s">
        <v>1220</v>
      </c>
      <c r="E2852" s="314" t="s">
        <v>259</v>
      </c>
      <c r="F2852" s="326"/>
      <c r="G2852" s="315">
        <v>5</v>
      </c>
      <c r="H2852" s="305"/>
      <c r="I2852" s="305" t="s">
        <v>152</v>
      </c>
      <c r="J2852" s="305" t="s">
        <v>1226</v>
      </c>
      <c r="K2852" s="305" t="s">
        <v>2378</v>
      </c>
    </row>
    <row r="2853" spans="1:11" s="324" customFormat="1" x14ac:dyDescent="0.25">
      <c r="A2853" s="302" t="str">
        <f t="shared" si="84"/>
        <v>Pre-Rinse Sprayer_0_SMB_Incremental Cost</v>
      </c>
      <c r="B2853" s="303" t="s">
        <v>1219</v>
      </c>
      <c r="C2853" s="304">
        <v>0</v>
      </c>
      <c r="D2853" s="303" t="s">
        <v>1220</v>
      </c>
      <c r="E2853" s="314" t="s">
        <v>260</v>
      </c>
      <c r="F2853" s="327"/>
      <c r="G2853" s="328">
        <v>93</v>
      </c>
      <c r="H2853" s="305" t="s">
        <v>1238</v>
      </c>
      <c r="I2853" s="305" t="s">
        <v>152</v>
      </c>
      <c r="J2853" s="305" t="s">
        <v>1226</v>
      </c>
      <c r="K2853" s="305" t="s">
        <v>2378</v>
      </c>
    </row>
    <row r="2854" spans="1:11" s="324" customFormat="1" x14ac:dyDescent="0.25">
      <c r="A2854" s="317" t="str">
        <f t="shared" si="84"/>
        <v>Pre-Rinse Sprayer_0_SMB_</v>
      </c>
      <c r="B2854" s="317" t="str">
        <f>B2853</f>
        <v>Pre-Rinse Sprayer</v>
      </c>
      <c r="C2854" s="332">
        <f>C2853</f>
        <v>0</v>
      </c>
      <c r="D2854" s="317" t="str">
        <f>D2853</f>
        <v>SMB</v>
      </c>
      <c r="E2854" s="320"/>
      <c r="F2854" s="320"/>
      <c r="G2854" s="329"/>
      <c r="H2854" s="320"/>
      <c r="I2854" s="320"/>
      <c r="J2854" s="320"/>
      <c r="K2854" s="320"/>
    </row>
    <row r="2855" spans="1:11" s="324" customFormat="1" x14ac:dyDescent="0.25">
      <c r="A2855" s="302" t="str">
        <f t="shared" si="84"/>
        <v>Pre-Rinse Sprayer_0_MF_FLObase</v>
      </c>
      <c r="B2855" s="303" t="s">
        <v>1219</v>
      </c>
      <c r="C2855" s="304">
        <v>0</v>
      </c>
      <c r="D2855" s="303" t="s">
        <v>553</v>
      </c>
      <c r="E2855" s="305" t="s">
        <v>1221</v>
      </c>
      <c r="F2855" s="305" t="s">
        <v>1222</v>
      </c>
      <c r="G2855" s="307">
        <v>2.14</v>
      </c>
      <c r="H2855" s="305" t="s">
        <v>1239</v>
      </c>
      <c r="I2855" s="305" t="s">
        <v>633</v>
      </c>
      <c r="J2855" s="305"/>
      <c r="K2855" s="305"/>
    </row>
    <row r="2856" spans="1:11" s="324" customFormat="1" x14ac:dyDescent="0.25">
      <c r="A2856" s="302" t="str">
        <f t="shared" si="84"/>
        <v>Pre-Rinse Sprayer_0_MF_FLOeff</v>
      </c>
      <c r="B2856" s="303" t="s">
        <v>1219</v>
      </c>
      <c r="C2856" s="304">
        <v>0</v>
      </c>
      <c r="D2856" s="303" t="s">
        <v>553</v>
      </c>
      <c r="E2856" s="305" t="s">
        <v>1224</v>
      </c>
      <c r="F2856" s="305" t="s">
        <v>1222</v>
      </c>
      <c r="G2856" s="307">
        <v>0.98</v>
      </c>
      <c r="H2856" s="305" t="s">
        <v>329</v>
      </c>
      <c r="I2856" s="305" t="s">
        <v>1225</v>
      </c>
      <c r="J2856" s="305"/>
      <c r="K2856" s="305"/>
    </row>
    <row r="2857" spans="1:11" s="324" customFormat="1" x14ac:dyDescent="0.25">
      <c r="A2857" s="302" t="str">
        <f t="shared" si="84"/>
        <v>Pre-Rinse Sprayer_0_MF_Conversion</v>
      </c>
      <c r="B2857" s="303" t="s">
        <v>1219</v>
      </c>
      <c r="C2857" s="304">
        <v>0</v>
      </c>
      <c r="D2857" s="303" t="s">
        <v>553</v>
      </c>
      <c r="E2857" s="305" t="s">
        <v>284</v>
      </c>
      <c r="F2857" s="305" t="s">
        <v>882</v>
      </c>
      <c r="G2857" s="354">
        <v>60</v>
      </c>
      <c r="H2857" s="305"/>
      <c r="I2857" s="305" t="s">
        <v>152</v>
      </c>
      <c r="J2857" s="305" t="s">
        <v>1226</v>
      </c>
      <c r="K2857" s="305" t="s">
        <v>2378</v>
      </c>
    </row>
    <row r="2858" spans="1:11" s="324" customFormat="1" x14ac:dyDescent="0.25">
      <c r="A2858" s="302" t="str">
        <f t="shared" si="84"/>
        <v>Pre-Rinse Sprayer_0_MF_Hours of Operation per Day</v>
      </c>
      <c r="B2858" s="303" t="s">
        <v>1219</v>
      </c>
      <c r="C2858" s="304">
        <v>0</v>
      </c>
      <c r="D2858" s="303" t="s">
        <v>553</v>
      </c>
      <c r="E2858" s="305" t="s">
        <v>1165</v>
      </c>
      <c r="F2858" s="305" t="s">
        <v>618</v>
      </c>
      <c r="G2858" s="347">
        <f>AVERAGE(1,1.5,3)</f>
        <v>1.8333333333333333</v>
      </c>
      <c r="H2858" s="305" t="s">
        <v>1240</v>
      </c>
      <c r="I2858" s="305" t="s">
        <v>152</v>
      </c>
      <c r="J2858" s="305" t="s">
        <v>1226</v>
      </c>
      <c r="K2858" s="305" t="s">
        <v>2378</v>
      </c>
    </row>
    <row r="2859" spans="1:11" s="324" customFormat="1" x14ac:dyDescent="0.25">
      <c r="A2859" s="302" t="str">
        <f t="shared" si="84"/>
        <v>Pre-Rinse Sprayer_0_MF_Days of Operation per Year</v>
      </c>
      <c r="B2859" s="303" t="s">
        <v>1219</v>
      </c>
      <c r="C2859" s="304">
        <v>0</v>
      </c>
      <c r="D2859" s="303" t="s">
        <v>553</v>
      </c>
      <c r="E2859" s="305" t="s">
        <v>731</v>
      </c>
      <c r="F2859" s="305" t="s">
        <v>871</v>
      </c>
      <c r="G2859" s="325">
        <v>312</v>
      </c>
      <c r="H2859" s="305" t="s">
        <v>1228</v>
      </c>
      <c r="I2859" s="305" t="s">
        <v>152</v>
      </c>
      <c r="J2859" s="305" t="s">
        <v>1226</v>
      </c>
      <c r="K2859" s="305" t="s">
        <v>2378</v>
      </c>
    </row>
    <row r="2860" spans="1:11" s="324" customFormat="1" x14ac:dyDescent="0.25">
      <c r="A2860" s="302" t="str">
        <f t="shared" si="84"/>
        <v>Pre-Rinse Sprayer_0_MF_ISR</v>
      </c>
      <c r="B2860" s="303" t="s">
        <v>1219</v>
      </c>
      <c r="C2860" s="304">
        <v>0</v>
      </c>
      <c r="D2860" s="303" t="s">
        <v>553</v>
      </c>
      <c r="E2860" s="311" t="s">
        <v>267</v>
      </c>
      <c r="F2860" s="334"/>
      <c r="G2860" s="400">
        <v>1</v>
      </c>
      <c r="H2860" s="311" t="s">
        <v>1937</v>
      </c>
      <c r="I2860" s="305" t="s">
        <v>152</v>
      </c>
      <c r="J2860" s="305" t="s">
        <v>1226</v>
      </c>
      <c r="K2860" s="305" t="s">
        <v>2378</v>
      </c>
    </row>
    <row r="2861" spans="1:11" s="324" customFormat="1" x14ac:dyDescent="0.25">
      <c r="A2861" s="302" t="str">
        <f t="shared" si="84"/>
        <v>Pre-Rinse Sprayer_0_MF_Delta_Water_Gallons</v>
      </c>
      <c r="B2861" s="303" t="s">
        <v>1219</v>
      </c>
      <c r="C2861" s="304">
        <v>0</v>
      </c>
      <c r="D2861" s="303" t="s">
        <v>553</v>
      </c>
      <c r="E2861" s="305" t="s">
        <v>456</v>
      </c>
      <c r="F2861" s="305"/>
      <c r="G2861" s="307">
        <f>(G2855-G2856)*G2857*G2858*G2859*G2860</f>
        <v>39811.200000000004</v>
      </c>
      <c r="H2861" s="305"/>
      <c r="I2861" s="305" t="s">
        <v>152</v>
      </c>
      <c r="J2861" s="305" t="s">
        <v>1226</v>
      </c>
      <c r="K2861" s="305" t="s">
        <v>2378</v>
      </c>
    </row>
    <row r="2862" spans="1:11" s="324" customFormat="1" x14ac:dyDescent="0.25">
      <c r="A2862" s="302" t="str">
        <f t="shared" si="84"/>
        <v>Pre-Rinse Sprayer_0_MF_yWater</v>
      </c>
      <c r="B2862" s="303" t="s">
        <v>1219</v>
      </c>
      <c r="C2862" s="304">
        <v>0</v>
      </c>
      <c r="D2862" s="303" t="s">
        <v>553</v>
      </c>
      <c r="E2862" s="305" t="s">
        <v>369</v>
      </c>
      <c r="F2862" s="309" t="s">
        <v>346</v>
      </c>
      <c r="G2862" s="307">
        <v>8.33</v>
      </c>
      <c r="H2862" s="305"/>
      <c r="I2862" s="305" t="s">
        <v>152</v>
      </c>
      <c r="J2862" s="305" t="s">
        <v>1226</v>
      </c>
      <c r="K2862" s="305" t="s">
        <v>2378</v>
      </c>
    </row>
    <row r="2863" spans="1:11" s="324" customFormat="1" x14ac:dyDescent="0.25">
      <c r="A2863" s="302" t="str">
        <f t="shared" si="84"/>
        <v>Pre-Rinse Sprayer_0_MF_Specific Heat of Water</v>
      </c>
      <c r="B2863" s="303" t="s">
        <v>1219</v>
      </c>
      <c r="C2863" s="304">
        <v>0</v>
      </c>
      <c r="D2863" s="303" t="s">
        <v>553</v>
      </c>
      <c r="E2863" s="305" t="s">
        <v>1229</v>
      </c>
      <c r="F2863" s="309"/>
      <c r="G2863" s="306">
        <v>1</v>
      </c>
      <c r="H2863" s="305"/>
      <c r="I2863" s="305" t="s">
        <v>152</v>
      </c>
      <c r="J2863" s="305" t="s">
        <v>1226</v>
      </c>
      <c r="K2863" s="305" t="s">
        <v>2378</v>
      </c>
    </row>
    <row r="2864" spans="1:11" s="324" customFormat="1" x14ac:dyDescent="0.25">
      <c r="A2864" s="302" t="str">
        <f t="shared" si="84"/>
        <v>Pre-Rinse Sprayer_0_MF_Temperature Out</v>
      </c>
      <c r="B2864" s="303" t="s">
        <v>1219</v>
      </c>
      <c r="C2864" s="304">
        <v>0</v>
      </c>
      <c r="D2864" s="303" t="s">
        <v>553</v>
      </c>
      <c r="E2864" s="305" t="s">
        <v>1230</v>
      </c>
      <c r="F2864" s="309"/>
      <c r="G2864" s="306">
        <f>70+G2865</f>
        <v>120.7</v>
      </c>
      <c r="H2864" s="305" t="s">
        <v>1231</v>
      </c>
      <c r="I2864" s="305" t="s">
        <v>152</v>
      </c>
      <c r="J2864" s="305" t="s">
        <v>1226</v>
      </c>
      <c r="K2864" s="305" t="s">
        <v>2378</v>
      </c>
    </row>
    <row r="2865" spans="1:11" s="324" customFormat="1" x14ac:dyDescent="0.25">
      <c r="A2865" s="302" t="str">
        <f t="shared" si="84"/>
        <v>Pre-Rinse Sprayer_0_MF_Temperature In</v>
      </c>
      <c r="B2865" s="303" t="s">
        <v>1219</v>
      </c>
      <c r="C2865" s="304">
        <v>0</v>
      </c>
      <c r="D2865" s="303" t="s">
        <v>553</v>
      </c>
      <c r="E2865" s="305" t="s">
        <v>1232</v>
      </c>
      <c r="F2865" s="309"/>
      <c r="G2865" s="310">
        <v>50.7</v>
      </c>
      <c r="H2865" s="311" t="s">
        <v>1895</v>
      </c>
      <c r="I2865" s="305" t="s">
        <v>152</v>
      </c>
      <c r="J2865" s="305" t="s">
        <v>1226</v>
      </c>
      <c r="K2865" s="305" t="s">
        <v>2378</v>
      </c>
    </row>
    <row r="2866" spans="1:11" s="324" customFormat="1" x14ac:dyDescent="0.25">
      <c r="A2866" s="302" t="str">
        <f t="shared" si="84"/>
        <v>Pre-Rinse Sprayer_0_MF_Gas Water Heater Efficiency</v>
      </c>
      <c r="B2866" s="303" t="s">
        <v>1219</v>
      </c>
      <c r="C2866" s="304">
        <v>0</v>
      </c>
      <c r="D2866" s="303" t="s">
        <v>553</v>
      </c>
      <c r="E2866" s="305" t="s">
        <v>1233</v>
      </c>
      <c r="F2866" s="309"/>
      <c r="G2866" s="306">
        <v>0.8</v>
      </c>
      <c r="H2866" s="305" t="s">
        <v>376</v>
      </c>
      <c r="I2866" s="305" t="s">
        <v>152</v>
      </c>
      <c r="J2866" s="305" t="s">
        <v>1226</v>
      </c>
      <c r="K2866" s="305" t="s">
        <v>2378</v>
      </c>
    </row>
    <row r="2867" spans="1:11" s="324" customFormat="1" x14ac:dyDescent="0.25">
      <c r="A2867" s="302" t="str">
        <f t="shared" si="84"/>
        <v>Pre-Rinse Sprayer_0_MF_IL Total Water Energy Factor</v>
      </c>
      <c r="B2867" s="303" t="s">
        <v>1219</v>
      </c>
      <c r="C2867" s="304">
        <v>0</v>
      </c>
      <c r="D2867" s="303" t="s">
        <v>553</v>
      </c>
      <c r="E2867" s="305" t="s">
        <v>1235</v>
      </c>
      <c r="F2867" s="309"/>
      <c r="G2867" s="306">
        <v>2937</v>
      </c>
      <c r="H2867" s="305" t="s">
        <v>1236</v>
      </c>
      <c r="I2867" s="305" t="s">
        <v>152</v>
      </c>
      <c r="J2867" s="305" t="s">
        <v>1226</v>
      </c>
      <c r="K2867" s="305" t="s">
        <v>2378</v>
      </c>
    </row>
    <row r="2868" spans="1:11" s="324" customFormat="1" x14ac:dyDescent="0.25">
      <c r="A2868" s="302" t="str">
        <f t="shared" si="84"/>
        <v>Pre-Rinse Sprayer_0_MF_Secondary kWh Water Savings</v>
      </c>
      <c r="B2868" s="303" t="s">
        <v>1219</v>
      </c>
      <c r="C2868" s="304">
        <v>0</v>
      </c>
      <c r="D2868" s="303" t="s">
        <v>553</v>
      </c>
      <c r="E2868" s="305" t="s">
        <v>1237</v>
      </c>
      <c r="F2868" s="309"/>
      <c r="G2868" s="306">
        <f>G2861/1000000*G2867</f>
        <v>116.92549440000002</v>
      </c>
      <c r="H2868" s="305"/>
      <c r="I2868" s="305" t="s">
        <v>152</v>
      </c>
      <c r="J2868" s="305" t="s">
        <v>1226</v>
      </c>
      <c r="K2868" s="305" t="s">
        <v>2378</v>
      </c>
    </row>
    <row r="2869" spans="1:11" s="324" customFormat="1" x14ac:dyDescent="0.25">
      <c r="A2869" s="302" t="str">
        <f t="shared" si="84"/>
        <v>Pre-Rinse Sprayer_0_MF_kWh Saved per Unit</v>
      </c>
      <c r="B2869" s="303" t="s">
        <v>1219</v>
      </c>
      <c r="C2869" s="304">
        <v>0</v>
      </c>
      <c r="D2869" s="303" t="s">
        <v>553</v>
      </c>
      <c r="E2869" s="314" t="s">
        <v>255</v>
      </c>
      <c r="F2869" s="326"/>
      <c r="G2869" s="315">
        <f>G2868</f>
        <v>116.92549440000002</v>
      </c>
      <c r="H2869" s="305"/>
      <c r="I2869" s="305" t="s">
        <v>152</v>
      </c>
      <c r="J2869" s="305" t="s">
        <v>1226</v>
      </c>
      <c r="K2869" s="305" t="s">
        <v>2378</v>
      </c>
    </row>
    <row r="2870" spans="1:11" s="324" customFormat="1" x14ac:dyDescent="0.25">
      <c r="A2870" s="302" t="str">
        <f t="shared" si="84"/>
        <v>Pre-Rinse Sprayer_0_MF_Coincident Peak kW Saved per Unit</v>
      </c>
      <c r="B2870" s="303" t="s">
        <v>1219</v>
      </c>
      <c r="C2870" s="304">
        <v>0</v>
      </c>
      <c r="D2870" s="303" t="s">
        <v>553</v>
      </c>
      <c r="E2870" s="314" t="s">
        <v>257</v>
      </c>
      <c r="F2870" s="326"/>
      <c r="G2870" s="315">
        <v>0</v>
      </c>
      <c r="H2870" s="305"/>
      <c r="I2870" s="305" t="s">
        <v>152</v>
      </c>
      <c r="J2870" s="305" t="s">
        <v>1226</v>
      </c>
      <c r="K2870" s="305" t="s">
        <v>2378</v>
      </c>
    </row>
    <row r="2871" spans="1:11" s="324" customFormat="1" x14ac:dyDescent="0.25">
      <c r="A2871" s="302" t="str">
        <f t="shared" si="84"/>
        <v>Pre-Rinse Sprayer_0_MF_Therm Saved per Unit</v>
      </c>
      <c r="B2871" s="303" t="s">
        <v>1219</v>
      </c>
      <c r="C2871" s="304">
        <v>0</v>
      </c>
      <c r="D2871" s="303" t="s">
        <v>553</v>
      </c>
      <c r="E2871" s="314" t="s">
        <v>326</v>
      </c>
      <c r="F2871" s="326"/>
      <c r="G2871" s="315">
        <f>G2861*G2862*G2863*(G2864-G2865)*(1/G2866)/100000</f>
        <v>290.17388400000004</v>
      </c>
      <c r="H2871" s="305"/>
      <c r="I2871" s="305" t="s">
        <v>152</v>
      </c>
      <c r="J2871" s="305" t="s">
        <v>1226</v>
      </c>
      <c r="K2871" s="305" t="s">
        <v>2378</v>
      </c>
    </row>
    <row r="2872" spans="1:11" s="324" customFormat="1" x14ac:dyDescent="0.25">
      <c r="A2872" s="302" t="str">
        <f t="shared" si="84"/>
        <v>Pre-Rinse Sprayer_0_MF_Gallons Saved per Unit</v>
      </c>
      <c r="B2872" s="303" t="s">
        <v>1219</v>
      </c>
      <c r="C2872" s="304">
        <v>0</v>
      </c>
      <c r="D2872" s="303" t="s">
        <v>553</v>
      </c>
      <c r="E2872" s="314" t="s">
        <v>547</v>
      </c>
      <c r="F2872" s="326"/>
      <c r="G2872" s="315">
        <f>(G2855-G2856)*G2857*G2858*G2859</f>
        <v>39811.200000000004</v>
      </c>
      <c r="H2872" s="305"/>
      <c r="I2872" s="305" t="s">
        <v>152</v>
      </c>
      <c r="J2872" s="305" t="s">
        <v>1226</v>
      </c>
      <c r="K2872" s="305" t="s">
        <v>2378</v>
      </c>
    </row>
    <row r="2873" spans="1:11" s="324" customFormat="1" x14ac:dyDescent="0.25">
      <c r="A2873" s="302" t="str">
        <f t="shared" si="84"/>
        <v>Pre-Rinse Sprayer_0_MF_Lifetime (years)</v>
      </c>
      <c r="B2873" s="303" t="s">
        <v>1219</v>
      </c>
      <c r="C2873" s="304">
        <v>0</v>
      </c>
      <c r="D2873" s="303" t="s">
        <v>553</v>
      </c>
      <c r="E2873" s="314" t="s">
        <v>259</v>
      </c>
      <c r="F2873" s="326"/>
      <c r="G2873" s="315">
        <v>5</v>
      </c>
      <c r="H2873" s="305"/>
      <c r="I2873" s="305" t="s">
        <v>152</v>
      </c>
      <c r="J2873" s="305" t="s">
        <v>1226</v>
      </c>
      <c r="K2873" s="305" t="s">
        <v>2378</v>
      </c>
    </row>
    <row r="2874" spans="1:11" s="324" customFormat="1" x14ac:dyDescent="0.25">
      <c r="A2874" s="302" t="str">
        <f t="shared" si="84"/>
        <v>Pre-Rinse Sprayer_0_MF_Incremental Cost</v>
      </c>
      <c r="B2874" s="303" t="s">
        <v>1219</v>
      </c>
      <c r="C2874" s="304">
        <v>0</v>
      </c>
      <c r="D2874" s="303" t="s">
        <v>553</v>
      </c>
      <c r="E2874" s="314" t="s">
        <v>260</v>
      </c>
      <c r="F2874" s="327"/>
      <c r="G2874" s="328">
        <v>93</v>
      </c>
      <c r="H2874" s="305" t="s">
        <v>1238</v>
      </c>
      <c r="I2874" s="305" t="s">
        <v>152</v>
      </c>
      <c r="J2874" s="305" t="s">
        <v>1226</v>
      </c>
      <c r="K2874" s="305" t="s">
        <v>2378</v>
      </c>
    </row>
    <row r="2875" spans="1:11" s="324" customFormat="1" x14ac:dyDescent="0.25">
      <c r="A2875" s="317" t="str">
        <f t="shared" si="84"/>
        <v>Pre-Rinse Sprayer_0_MF_</v>
      </c>
      <c r="B2875" s="317" t="str">
        <f>B2874</f>
        <v>Pre-Rinse Sprayer</v>
      </c>
      <c r="C2875" s="332">
        <f>C2874</f>
        <v>0</v>
      </c>
      <c r="D2875" s="317" t="str">
        <f>D2874</f>
        <v>MF</v>
      </c>
      <c r="E2875" s="320"/>
      <c r="F2875" s="320"/>
      <c r="G2875" s="329"/>
      <c r="H2875" s="320"/>
      <c r="I2875" s="320"/>
      <c r="J2875" s="320"/>
      <c r="K2875" s="320"/>
    </row>
    <row r="2876" spans="1:11" x14ac:dyDescent="0.25">
      <c r="A2876" s="302" t="str">
        <f t="shared" si="84"/>
        <v>Pre-Rinse Sprayer_0_CI_FLObase</v>
      </c>
      <c r="B2876" s="303" t="s">
        <v>1219</v>
      </c>
      <c r="C2876" s="304">
        <v>0</v>
      </c>
      <c r="D2876" s="303" t="s">
        <v>1159</v>
      </c>
      <c r="E2876" s="305" t="s">
        <v>1221</v>
      </c>
      <c r="F2876" s="305" t="s">
        <v>1222</v>
      </c>
      <c r="G2876" s="307">
        <v>1.6</v>
      </c>
      <c r="H2876" s="305" t="s">
        <v>1223</v>
      </c>
      <c r="I2876" s="305" t="s">
        <v>633</v>
      </c>
      <c r="J2876" s="305"/>
      <c r="K2876" s="305"/>
    </row>
    <row r="2877" spans="1:11" x14ac:dyDescent="0.25">
      <c r="A2877" s="302" t="str">
        <f t="shared" si="84"/>
        <v>Pre-Rinse Sprayer_0_CI_FLOeff</v>
      </c>
      <c r="B2877" s="303" t="s">
        <v>1219</v>
      </c>
      <c r="C2877" s="304">
        <v>0</v>
      </c>
      <c r="D2877" s="303" t="s">
        <v>1159</v>
      </c>
      <c r="E2877" s="305" t="s">
        <v>1224</v>
      </c>
      <c r="F2877" s="305" t="s">
        <v>1222</v>
      </c>
      <c r="G2877" s="307">
        <v>1.06</v>
      </c>
      <c r="H2877" s="305" t="s">
        <v>1223</v>
      </c>
      <c r="I2877" s="305" t="s">
        <v>1225</v>
      </c>
      <c r="J2877" s="305"/>
      <c r="K2877" s="305"/>
    </row>
    <row r="2878" spans="1:11" x14ac:dyDescent="0.25">
      <c r="A2878" s="302" t="str">
        <f t="shared" si="84"/>
        <v>Pre-Rinse Sprayer_0_CI_Conversion</v>
      </c>
      <c r="B2878" s="303" t="s">
        <v>1219</v>
      </c>
      <c r="C2878" s="304">
        <v>0</v>
      </c>
      <c r="D2878" s="303" t="s">
        <v>1159</v>
      </c>
      <c r="E2878" s="305" t="s">
        <v>284</v>
      </c>
      <c r="F2878" s="305" t="s">
        <v>882</v>
      </c>
      <c r="G2878" s="354">
        <v>60</v>
      </c>
      <c r="H2878" s="305"/>
      <c r="I2878" s="305" t="s">
        <v>152</v>
      </c>
      <c r="J2878" s="305" t="s">
        <v>1226</v>
      </c>
      <c r="K2878" s="305" t="s">
        <v>2378</v>
      </c>
    </row>
    <row r="2879" spans="1:11" x14ac:dyDescent="0.25">
      <c r="A2879" s="302" t="str">
        <f t="shared" si="84"/>
        <v>Pre-Rinse Sprayer_0_CI_Hours of Operation per Day</v>
      </c>
      <c r="B2879" s="303" t="s">
        <v>1219</v>
      </c>
      <c r="C2879" s="304">
        <v>0</v>
      </c>
      <c r="D2879" s="303" t="s">
        <v>1159</v>
      </c>
      <c r="E2879" s="305" t="s">
        <v>1165</v>
      </c>
      <c r="F2879" s="305" t="s">
        <v>618</v>
      </c>
      <c r="G2879" s="399">
        <v>3</v>
      </c>
      <c r="H2879" s="305" t="s">
        <v>1241</v>
      </c>
      <c r="I2879" s="305" t="s">
        <v>152</v>
      </c>
      <c r="J2879" s="305" t="s">
        <v>1226</v>
      </c>
      <c r="K2879" s="305" t="s">
        <v>2378</v>
      </c>
    </row>
    <row r="2880" spans="1:11" x14ac:dyDescent="0.25">
      <c r="A2880" s="302" t="str">
        <f t="shared" si="84"/>
        <v>Pre-Rinse Sprayer_0_CI_Days of Operation per Year</v>
      </c>
      <c r="B2880" s="303" t="s">
        <v>1219</v>
      </c>
      <c r="C2880" s="304">
        <v>0</v>
      </c>
      <c r="D2880" s="303" t="s">
        <v>1159</v>
      </c>
      <c r="E2880" s="305" t="s">
        <v>731</v>
      </c>
      <c r="F2880" s="305" t="s">
        <v>871</v>
      </c>
      <c r="G2880" s="325">
        <v>312</v>
      </c>
      <c r="H2880" s="305" t="s">
        <v>1228</v>
      </c>
      <c r="I2880" s="305" t="s">
        <v>152</v>
      </c>
      <c r="J2880" s="305" t="s">
        <v>1226</v>
      </c>
      <c r="K2880" s="305" t="s">
        <v>2378</v>
      </c>
    </row>
    <row r="2881" spans="1:11" s="324" customFormat="1" x14ac:dyDescent="0.25">
      <c r="A2881" s="302" t="str">
        <f t="shared" ref="A2881" si="86">B2881&amp;"_"&amp;C2881&amp;"_"&amp;D2881&amp;"_"&amp;E2881</f>
        <v>Pre-Rinse Sprayer_0_CI_ISR</v>
      </c>
      <c r="B2881" s="303" t="s">
        <v>1219</v>
      </c>
      <c r="C2881" s="304">
        <v>0</v>
      </c>
      <c r="D2881" s="303" t="s">
        <v>1159</v>
      </c>
      <c r="E2881" s="311" t="s">
        <v>267</v>
      </c>
      <c r="F2881" s="334"/>
      <c r="G2881" s="400">
        <v>1</v>
      </c>
      <c r="H2881" s="311" t="s">
        <v>1937</v>
      </c>
      <c r="I2881" s="305" t="s">
        <v>152</v>
      </c>
      <c r="J2881" s="305" t="s">
        <v>1226</v>
      </c>
      <c r="K2881" s="305" t="s">
        <v>2378</v>
      </c>
    </row>
    <row r="2882" spans="1:11" x14ac:dyDescent="0.25">
      <c r="A2882" s="302" t="str">
        <f t="shared" si="84"/>
        <v>Pre-Rinse Sprayer_0_CI_Delta_Water_Gallons</v>
      </c>
      <c r="B2882" s="303" t="s">
        <v>1219</v>
      </c>
      <c r="C2882" s="304">
        <v>0</v>
      </c>
      <c r="D2882" s="303" t="s">
        <v>1159</v>
      </c>
      <c r="E2882" s="305" t="s">
        <v>456</v>
      </c>
      <c r="F2882" s="305"/>
      <c r="G2882" s="307">
        <f>(G2876-G2877)*G2878*G2879*G2880*G2881</f>
        <v>30326.400000000005</v>
      </c>
      <c r="H2882" s="305"/>
      <c r="I2882" s="305" t="s">
        <v>152</v>
      </c>
      <c r="J2882" s="305" t="s">
        <v>1226</v>
      </c>
      <c r="K2882" s="305" t="s">
        <v>2378</v>
      </c>
    </row>
    <row r="2883" spans="1:11" x14ac:dyDescent="0.25">
      <c r="A2883" s="302" t="str">
        <f t="shared" si="84"/>
        <v>Pre-Rinse Sprayer_0_CI_yWater</v>
      </c>
      <c r="B2883" s="303" t="s">
        <v>1219</v>
      </c>
      <c r="C2883" s="304">
        <v>0</v>
      </c>
      <c r="D2883" s="303" t="s">
        <v>1159</v>
      </c>
      <c r="E2883" s="305" t="s">
        <v>369</v>
      </c>
      <c r="F2883" s="309" t="s">
        <v>346</v>
      </c>
      <c r="G2883" s="307">
        <v>8.33</v>
      </c>
      <c r="H2883" s="305"/>
      <c r="I2883" s="305" t="s">
        <v>152</v>
      </c>
      <c r="J2883" s="305" t="s">
        <v>1226</v>
      </c>
      <c r="K2883" s="305" t="s">
        <v>2378</v>
      </c>
    </row>
    <row r="2884" spans="1:11" x14ac:dyDescent="0.25">
      <c r="A2884" s="302" t="str">
        <f t="shared" si="84"/>
        <v>Pre-Rinse Sprayer_0_CI_Specific Heat of Water</v>
      </c>
      <c r="B2884" s="303" t="s">
        <v>1219</v>
      </c>
      <c r="C2884" s="304">
        <v>0</v>
      </c>
      <c r="D2884" s="303" t="s">
        <v>1159</v>
      </c>
      <c r="E2884" s="305" t="s">
        <v>1229</v>
      </c>
      <c r="F2884" s="309"/>
      <c r="G2884" s="306">
        <v>1</v>
      </c>
      <c r="H2884" s="305"/>
      <c r="I2884" s="305" t="s">
        <v>152</v>
      </c>
      <c r="J2884" s="305" t="s">
        <v>1226</v>
      </c>
      <c r="K2884" s="305" t="s">
        <v>2378</v>
      </c>
    </row>
    <row r="2885" spans="1:11" x14ac:dyDescent="0.25">
      <c r="A2885" s="302" t="str">
        <f t="shared" si="84"/>
        <v>Pre-Rinse Sprayer_0_CI_Temperature Out</v>
      </c>
      <c r="B2885" s="303" t="s">
        <v>1219</v>
      </c>
      <c r="C2885" s="304">
        <v>0</v>
      </c>
      <c r="D2885" s="303" t="s">
        <v>1159</v>
      </c>
      <c r="E2885" s="305" t="s">
        <v>1230</v>
      </c>
      <c r="F2885" s="309"/>
      <c r="G2885" s="306">
        <f>70+54.1</f>
        <v>124.1</v>
      </c>
      <c r="H2885" s="305" t="s">
        <v>1231</v>
      </c>
      <c r="I2885" s="305" t="s">
        <v>152</v>
      </c>
      <c r="J2885" s="305" t="s">
        <v>1226</v>
      </c>
      <c r="K2885" s="305" t="s">
        <v>2378</v>
      </c>
    </row>
    <row r="2886" spans="1:11" x14ac:dyDescent="0.25">
      <c r="A2886" s="302" t="str">
        <f t="shared" si="84"/>
        <v>Pre-Rinse Sprayer_0_CI_Temperature In</v>
      </c>
      <c r="B2886" s="303" t="s">
        <v>1219</v>
      </c>
      <c r="C2886" s="304">
        <v>0</v>
      </c>
      <c r="D2886" s="303" t="s">
        <v>1159</v>
      </c>
      <c r="E2886" s="305" t="s">
        <v>1232</v>
      </c>
      <c r="F2886" s="309"/>
      <c r="G2886" s="310">
        <v>50.7</v>
      </c>
      <c r="H2886" s="311" t="s">
        <v>1895</v>
      </c>
      <c r="I2886" s="305" t="s">
        <v>152</v>
      </c>
      <c r="J2886" s="305" t="s">
        <v>1226</v>
      </c>
      <c r="K2886" s="305" t="s">
        <v>2378</v>
      </c>
    </row>
    <row r="2887" spans="1:11" x14ac:dyDescent="0.25">
      <c r="A2887" s="302" t="str">
        <f t="shared" si="84"/>
        <v>Pre-Rinse Sprayer_0_CI_Electric Water Heater Efficiency</v>
      </c>
      <c r="B2887" s="303" t="s">
        <v>1219</v>
      </c>
      <c r="C2887" s="304">
        <v>0</v>
      </c>
      <c r="D2887" s="303" t="s">
        <v>1159</v>
      </c>
      <c r="E2887" s="305" t="s">
        <v>1242</v>
      </c>
      <c r="F2887" s="309"/>
      <c r="G2887" s="306">
        <v>0.98</v>
      </c>
      <c r="H2887" s="305"/>
      <c r="I2887" s="305" t="s">
        <v>152</v>
      </c>
      <c r="J2887" s="305" t="s">
        <v>1226</v>
      </c>
      <c r="K2887" s="305" t="s">
        <v>2378</v>
      </c>
    </row>
    <row r="2888" spans="1:11" x14ac:dyDescent="0.25">
      <c r="A2888" s="302" t="str">
        <f t="shared" si="84"/>
        <v>Pre-Rinse Sprayer_0_CI_Gas Water Heater Efficiency</v>
      </c>
      <c r="B2888" s="303" t="s">
        <v>1219</v>
      </c>
      <c r="C2888" s="304">
        <v>0</v>
      </c>
      <c r="D2888" s="303" t="s">
        <v>1159</v>
      </c>
      <c r="E2888" s="305" t="s">
        <v>1233</v>
      </c>
      <c r="F2888" s="309"/>
      <c r="G2888" s="306">
        <v>0.75</v>
      </c>
      <c r="H2888" s="305" t="s">
        <v>1234</v>
      </c>
      <c r="I2888" s="305" t="s">
        <v>152</v>
      </c>
      <c r="J2888" s="305" t="s">
        <v>1226</v>
      </c>
      <c r="K2888" s="305" t="s">
        <v>2378</v>
      </c>
    </row>
    <row r="2889" spans="1:11" x14ac:dyDescent="0.25">
      <c r="A2889" s="302" t="str">
        <f t="shared" si="84"/>
        <v>Pre-Rinse Sprayer_0_CI_Electric or Gas Water Heater</v>
      </c>
      <c r="B2889" s="303" t="s">
        <v>1219</v>
      </c>
      <c r="C2889" s="304">
        <v>0</v>
      </c>
      <c r="D2889" s="303" t="s">
        <v>1159</v>
      </c>
      <c r="E2889" s="305" t="s">
        <v>1243</v>
      </c>
      <c r="F2889" s="309"/>
      <c r="G2889" s="306">
        <v>0</v>
      </c>
      <c r="H2889" s="305" t="s">
        <v>1244</v>
      </c>
      <c r="I2889" s="305" t="s">
        <v>152</v>
      </c>
      <c r="J2889" s="305" t="s">
        <v>1226</v>
      </c>
      <c r="K2889" s="305" t="s">
        <v>2378</v>
      </c>
    </row>
    <row r="2890" spans="1:11" x14ac:dyDescent="0.25">
      <c r="A2890" s="302" t="str">
        <f t="shared" si="84"/>
        <v>Pre-Rinse Sprayer_0_CI_IL Total Water Energy Factor</v>
      </c>
      <c r="B2890" s="303" t="s">
        <v>1219</v>
      </c>
      <c r="C2890" s="304">
        <v>0</v>
      </c>
      <c r="D2890" s="303" t="s">
        <v>1159</v>
      </c>
      <c r="E2890" s="305" t="s">
        <v>1235</v>
      </c>
      <c r="F2890" s="309"/>
      <c r="G2890" s="306">
        <v>2937</v>
      </c>
      <c r="H2890" s="305" t="s">
        <v>1236</v>
      </c>
      <c r="I2890" s="305" t="s">
        <v>152</v>
      </c>
      <c r="J2890" s="305" t="s">
        <v>1226</v>
      </c>
      <c r="K2890" s="305" t="s">
        <v>2378</v>
      </c>
    </row>
    <row r="2891" spans="1:11" x14ac:dyDescent="0.25">
      <c r="A2891" s="302" t="str">
        <f t="shared" si="84"/>
        <v>Pre-Rinse Sprayer_0_CI_Delta_kWh</v>
      </c>
      <c r="B2891" s="303" t="s">
        <v>1219</v>
      </c>
      <c r="C2891" s="304">
        <v>0</v>
      </c>
      <c r="D2891" s="303" t="s">
        <v>1159</v>
      </c>
      <c r="E2891" s="305" t="s">
        <v>359</v>
      </c>
      <c r="F2891" s="309"/>
      <c r="G2891" s="306">
        <f>G2882*G2883*G2884*(G2885-G2886)*(1/G2887)/3412*G2889</f>
        <v>0</v>
      </c>
      <c r="H2891" s="305"/>
      <c r="I2891" s="305" t="s">
        <v>152</v>
      </c>
      <c r="J2891" s="305" t="s">
        <v>1226</v>
      </c>
      <c r="K2891" s="305" t="s">
        <v>2378</v>
      </c>
    </row>
    <row r="2892" spans="1:11" x14ac:dyDescent="0.25">
      <c r="A2892" s="302" t="str">
        <f t="shared" ref="A2892:A2955" si="87">B2892&amp;"_"&amp;C2892&amp;"_"&amp;D2892&amp;"_"&amp;E2892</f>
        <v>Pre-Rinse Sprayer_0_CI_Secondary kWh Water Savings</v>
      </c>
      <c r="B2892" s="303" t="s">
        <v>1219</v>
      </c>
      <c r="C2892" s="304">
        <v>0</v>
      </c>
      <c r="D2892" s="303" t="s">
        <v>1159</v>
      </c>
      <c r="E2892" s="305" t="s">
        <v>1237</v>
      </c>
      <c r="F2892" s="309"/>
      <c r="G2892" s="306">
        <f>G2882/1000000*G2890</f>
        <v>89.068636800000021</v>
      </c>
      <c r="H2892" s="305"/>
      <c r="I2892" s="305" t="s">
        <v>152</v>
      </c>
      <c r="J2892" s="305" t="s">
        <v>1226</v>
      </c>
      <c r="K2892" s="305" t="s">
        <v>2378</v>
      </c>
    </row>
    <row r="2893" spans="1:11" x14ac:dyDescent="0.25">
      <c r="A2893" s="302" t="str">
        <f t="shared" si="87"/>
        <v>Pre-Rinse Sprayer_0_CI_kWh Saved per Unit</v>
      </c>
      <c r="B2893" s="303" t="s">
        <v>1219</v>
      </c>
      <c r="C2893" s="304">
        <v>0</v>
      </c>
      <c r="D2893" s="303" t="s">
        <v>1159</v>
      </c>
      <c r="E2893" s="314" t="s">
        <v>255</v>
      </c>
      <c r="F2893" s="326"/>
      <c r="G2893" s="315">
        <f>G2891+G2892</f>
        <v>89.068636800000021</v>
      </c>
      <c r="H2893" s="305"/>
      <c r="I2893" s="305" t="s">
        <v>152</v>
      </c>
      <c r="J2893" s="305" t="s">
        <v>1226</v>
      </c>
      <c r="K2893" s="305" t="s">
        <v>2378</v>
      </c>
    </row>
    <row r="2894" spans="1:11" x14ac:dyDescent="0.25">
      <c r="A2894" s="302" t="str">
        <f t="shared" si="87"/>
        <v>Pre-Rinse Sprayer_0_CI_Coincident Peak kW Saved per Unit</v>
      </c>
      <c r="B2894" s="303" t="s">
        <v>1219</v>
      </c>
      <c r="C2894" s="304">
        <v>0</v>
      </c>
      <c r="D2894" s="303" t="s">
        <v>1159</v>
      </c>
      <c r="E2894" s="314" t="s">
        <v>257</v>
      </c>
      <c r="F2894" s="326"/>
      <c r="G2894" s="315">
        <v>0</v>
      </c>
      <c r="H2894" s="305"/>
      <c r="I2894" s="305" t="s">
        <v>152</v>
      </c>
      <c r="J2894" s="305" t="s">
        <v>1226</v>
      </c>
      <c r="K2894" s="305" t="s">
        <v>2378</v>
      </c>
    </row>
    <row r="2895" spans="1:11" x14ac:dyDescent="0.25">
      <c r="A2895" s="302" t="str">
        <f t="shared" si="87"/>
        <v>Pre-Rinse Sprayer_0_CI_Therm Saved per Unit</v>
      </c>
      <c r="B2895" s="303" t="s">
        <v>1219</v>
      </c>
      <c r="C2895" s="304">
        <v>0</v>
      </c>
      <c r="D2895" s="303" t="s">
        <v>1159</v>
      </c>
      <c r="E2895" s="314" t="s">
        <v>326</v>
      </c>
      <c r="F2895" s="326"/>
      <c r="G2895" s="315">
        <f>G2882*G2883*G2884*(G2885-G2886)*(1/G2888)/100000*(1-G2889)</f>
        <v>247.22970854399998</v>
      </c>
      <c r="H2895" s="305"/>
      <c r="I2895" s="305" t="s">
        <v>152</v>
      </c>
      <c r="J2895" s="305" t="s">
        <v>1226</v>
      </c>
      <c r="K2895" s="305" t="s">
        <v>2378</v>
      </c>
    </row>
    <row r="2896" spans="1:11" x14ac:dyDescent="0.25">
      <c r="A2896" s="302" t="str">
        <f t="shared" si="87"/>
        <v>Pre-Rinse Sprayer_0_CI_Lifetime (years)</v>
      </c>
      <c r="B2896" s="303" t="s">
        <v>1219</v>
      </c>
      <c r="C2896" s="304">
        <v>0</v>
      </c>
      <c r="D2896" s="303" t="s">
        <v>1159</v>
      </c>
      <c r="E2896" s="314" t="s">
        <v>259</v>
      </c>
      <c r="F2896" s="326"/>
      <c r="G2896" s="315">
        <v>5</v>
      </c>
      <c r="H2896" s="305"/>
      <c r="I2896" s="305" t="s">
        <v>152</v>
      </c>
      <c r="J2896" s="305" t="s">
        <v>1226</v>
      </c>
      <c r="K2896" s="305" t="s">
        <v>2378</v>
      </c>
    </row>
    <row r="2897" spans="1:11" x14ac:dyDescent="0.25">
      <c r="A2897" s="302" t="str">
        <f t="shared" si="87"/>
        <v>Pre-Rinse Sprayer_0_CI_Incremental Cost</v>
      </c>
      <c r="B2897" s="303" t="s">
        <v>1219</v>
      </c>
      <c r="C2897" s="304">
        <v>0</v>
      </c>
      <c r="D2897" s="303" t="s">
        <v>1159</v>
      </c>
      <c r="E2897" s="314" t="s">
        <v>260</v>
      </c>
      <c r="F2897" s="327"/>
      <c r="G2897" s="328">
        <v>93</v>
      </c>
      <c r="H2897" s="305" t="s">
        <v>1238</v>
      </c>
      <c r="I2897" s="305" t="s">
        <v>152</v>
      </c>
      <c r="J2897" s="305" t="s">
        <v>1226</v>
      </c>
      <c r="K2897" s="305" t="s">
        <v>2378</v>
      </c>
    </row>
    <row r="2898" spans="1:11" s="324" customFormat="1" x14ac:dyDescent="0.25">
      <c r="A2898" s="317" t="str">
        <f t="shared" si="87"/>
        <v>Pre-Rinse Sprayer_0_CI_</v>
      </c>
      <c r="B2898" s="317" t="str">
        <f>B2897</f>
        <v>Pre-Rinse Sprayer</v>
      </c>
      <c r="C2898" s="332">
        <f>C2897</f>
        <v>0</v>
      </c>
      <c r="D2898" s="317" t="str">
        <f>D2897</f>
        <v>CI</v>
      </c>
      <c r="E2898" s="320"/>
      <c r="F2898" s="320"/>
      <c r="G2898" s="329"/>
      <c r="H2898" s="320"/>
      <c r="I2898" s="320"/>
      <c r="J2898" s="320"/>
      <c r="K2898" s="320"/>
    </row>
    <row r="2899" spans="1:11" x14ac:dyDescent="0.25">
      <c r="A2899" s="302" t="str">
        <f t="shared" si="87"/>
        <v>Laminar_0_CI_%ElectricDHW</v>
      </c>
      <c r="B2899" s="303" t="s">
        <v>1245</v>
      </c>
      <c r="C2899" s="304">
        <v>0</v>
      </c>
      <c r="D2899" s="303" t="s">
        <v>1159</v>
      </c>
      <c r="E2899" s="305" t="s">
        <v>352</v>
      </c>
      <c r="F2899" s="309"/>
      <c r="G2899" s="306">
        <v>0</v>
      </c>
      <c r="H2899" s="305" t="s">
        <v>1246</v>
      </c>
      <c r="I2899" s="305" t="s">
        <v>152</v>
      </c>
      <c r="J2899" s="305" t="s">
        <v>131</v>
      </c>
      <c r="K2899" s="305" t="s">
        <v>2144</v>
      </c>
    </row>
    <row r="2900" spans="1:11" x14ac:dyDescent="0.25">
      <c r="A2900" s="302" t="str">
        <f t="shared" si="87"/>
        <v>Laminar_0_CI_%FossilDHW</v>
      </c>
      <c r="B2900" s="303" t="s">
        <v>1245</v>
      </c>
      <c r="C2900" s="304">
        <v>0</v>
      </c>
      <c r="D2900" s="303" t="s">
        <v>1159</v>
      </c>
      <c r="E2900" s="305" t="s">
        <v>353</v>
      </c>
      <c r="F2900" s="309"/>
      <c r="G2900" s="306">
        <v>1</v>
      </c>
      <c r="H2900" s="305" t="s">
        <v>1246</v>
      </c>
      <c r="I2900" s="305" t="s">
        <v>152</v>
      </c>
      <c r="J2900" s="305" t="s">
        <v>131</v>
      </c>
      <c r="K2900" s="305" t="s">
        <v>2144</v>
      </c>
    </row>
    <row r="2901" spans="1:11" x14ac:dyDescent="0.25">
      <c r="A2901" s="302" t="str">
        <f t="shared" si="87"/>
        <v>Laminar_0_CI_GPM_base</v>
      </c>
      <c r="B2901" s="303" t="s">
        <v>1245</v>
      </c>
      <c r="C2901" s="304">
        <v>0</v>
      </c>
      <c r="D2901" s="303" t="s">
        <v>1159</v>
      </c>
      <c r="E2901" s="305" t="s">
        <v>354</v>
      </c>
      <c r="F2901" s="309"/>
      <c r="G2901" s="306">
        <f>3.74*0.83</f>
        <v>3.1042000000000001</v>
      </c>
      <c r="H2901" s="305" t="s">
        <v>361</v>
      </c>
      <c r="I2901" s="305" t="s">
        <v>152</v>
      </c>
      <c r="J2901" s="305" t="s">
        <v>131</v>
      </c>
      <c r="K2901" s="305" t="s">
        <v>2144</v>
      </c>
    </row>
    <row r="2902" spans="1:11" x14ac:dyDescent="0.25">
      <c r="A2902" s="302" t="str">
        <f t="shared" si="87"/>
        <v>Laminar_0_CI_GPM_low</v>
      </c>
      <c r="B2902" s="303" t="s">
        <v>1245</v>
      </c>
      <c r="C2902" s="304">
        <v>0</v>
      </c>
      <c r="D2902" s="303" t="s">
        <v>1159</v>
      </c>
      <c r="E2902" s="305" t="s">
        <v>355</v>
      </c>
      <c r="F2902" s="309"/>
      <c r="G2902" s="306">
        <v>2.09</v>
      </c>
      <c r="H2902" s="305" t="s">
        <v>362</v>
      </c>
      <c r="I2902" s="305" t="s">
        <v>152</v>
      </c>
      <c r="J2902" s="305" t="s">
        <v>131</v>
      </c>
      <c r="K2902" s="305" t="s">
        <v>2144</v>
      </c>
    </row>
    <row r="2903" spans="1:11" x14ac:dyDescent="0.25">
      <c r="A2903" s="302" t="str">
        <f t="shared" si="87"/>
        <v>Laminar_0_CI_GPM_base</v>
      </c>
      <c r="B2903" s="303" t="s">
        <v>1245</v>
      </c>
      <c r="C2903" s="304">
        <v>0</v>
      </c>
      <c r="D2903" s="303" t="s">
        <v>1159</v>
      </c>
      <c r="E2903" s="305" t="s">
        <v>354</v>
      </c>
      <c r="F2903" s="309"/>
      <c r="G2903" s="306">
        <v>3.1</v>
      </c>
      <c r="H2903" s="305" t="s">
        <v>361</v>
      </c>
      <c r="I2903" s="305" t="s">
        <v>152</v>
      </c>
      <c r="J2903" s="305" t="s">
        <v>131</v>
      </c>
      <c r="K2903" s="305" t="s">
        <v>2144</v>
      </c>
    </row>
    <row r="2904" spans="1:11" x14ac:dyDescent="0.25">
      <c r="A2904" s="302" t="str">
        <f t="shared" si="87"/>
        <v>Laminar_0_CI_Usage</v>
      </c>
      <c r="B2904" s="303" t="s">
        <v>1245</v>
      </c>
      <c r="C2904" s="304">
        <v>0</v>
      </c>
      <c r="D2904" s="303" t="s">
        <v>1159</v>
      </c>
      <c r="E2904" s="305" t="s">
        <v>319</v>
      </c>
      <c r="F2904" s="309"/>
      <c r="G2904" s="306">
        <f>90*25%*2*365</f>
        <v>16425</v>
      </c>
      <c r="H2904" s="305" t="s">
        <v>361</v>
      </c>
      <c r="I2904" s="305" t="s">
        <v>152</v>
      </c>
      <c r="J2904" s="305" t="s">
        <v>131</v>
      </c>
      <c r="K2904" s="305" t="s">
        <v>2144</v>
      </c>
    </row>
    <row r="2905" spans="1:11" x14ac:dyDescent="0.25">
      <c r="A2905" s="302" t="str">
        <f t="shared" si="87"/>
        <v>Laminar_0_CI_EPG_electric</v>
      </c>
      <c r="B2905" s="303" t="s">
        <v>1245</v>
      </c>
      <c r="C2905" s="304">
        <v>0</v>
      </c>
      <c r="D2905" s="303" t="s">
        <v>1159</v>
      </c>
      <c r="E2905" s="305" t="s">
        <v>357</v>
      </c>
      <c r="F2905" s="305"/>
      <c r="G2905" s="307">
        <v>0.13900000000000001</v>
      </c>
      <c r="H2905" s="305" t="s">
        <v>361</v>
      </c>
      <c r="I2905" s="305" t="s">
        <v>152</v>
      </c>
      <c r="J2905" s="305" t="s">
        <v>131</v>
      </c>
      <c r="K2905" s="305" t="s">
        <v>2144</v>
      </c>
    </row>
    <row r="2906" spans="1:11" x14ac:dyDescent="0.25">
      <c r="A2906" s="302" t="str">
        <f t="shared" si="87"/>
        <v>Laminar_0_CI_EPG_gas</v>
      </c>
      <c r="B2906" s="303" t="s">
        <v>1245</v>
      </c>
      <c r="C2906" s="304">
        <v>0</v>
      </c>
      <c r="D2906" s="303" t="s">
        <v>1159</v>
      </c>
      <c r="E2906" s="305" t="s">
        <v>358</v>
      </c>
      <c r="F2906" s="305"/>
      <c r="G2906" s="386">
        <v>7.4000000000000003E-3</v>
      </c>
      <c r="H2906" s="311" t="s">
        <v>1899</v>
      </c>
      <c r="I2906" s="305" t="s">
        <v>152</v>
      </c>
      <c r="J2906" s="305" t="s">
        <v>131</v>
      </c>
      <c r="K2906" s="305" t="s">
        <v>2144</v>
      </c>
    </row>
    <row r="2907" spans="1:11" x14ac:dyDescent="0.25">
      <c r="A2907" s="302" t="str">
        <f t="shared" si="87"/>
        <v>Laminar_0_CI_ISR</v>
      </c>
      <c r="B2907" s="303" t="s">
        <v>1245</v>
      </c>
      <c r="C2907" s="304">
        <v>0</v>
      </c>
      <c r="D2907" s="303" t="s">
        <v>1159</v>
      </c>
      <c r="E2907" s="305" t="s">
        <v>267</v>
      </c>
      <c r="F2907" s="305"/>
      <c r="G2907" s="307">
        <v>0.95</v>
      </c>
      <c r="H2907" s="305" t="s">
        <v>4</v>
      </c>
      <c r="I2907" s="305" t="s">
        <v>152</v>
      </c>
      <c r="J2907" s="305" t="s">
        <v>131</v>
      </c>
      <c r="K2907" s="305" t="s">
        <v>2144</v>
      </c>
    </row>
    <row r="2908" spans="1:11" x14ac:dyDescent="0.25">
      <c r="A2908" s="302" t="str">
        <f t="shared" si="87"/>
        <v>Laminar_0_CI_Delta_kWh</v>
      </c>
      <c r="B2908" s="303" t="s">
        <v>1245</v>
      </c>
      <c r="C2908" s="304">
        <v>0</v>
      </c>
      <c r="D2908" s="303" t="s">
        <v>1159</v>
      </c>
      <c r="E2908" s="305" t="s">
        <v>359</v>
      </c>
      <c r="F2908" s="305"/>
      <c r="G2908" s="307">
        <f xml:space="preserve"> G2899 * ((G2901 - G2902)/G2903) * G2904 * G2905 * G2907</f>
        <v>0</v>
      </c>
      <c r="H2908" s="305"/>
      <c r="I2908" s="305" t="s">
        <v>152</v>
      </c>
      <c r="J2908" s="305" t="s">
        <v>131</v>
      </c>
      <c r="K2908" s="305" t="s">
        <v>2144</v>
      </c>
    </row>
    <row r="2909" spans="1:11" x14ac:dyDescent="0.25">
      <c r="A2909" s="302" t="str">
        <f t="shared" si="87"/>
        <v>Laminar_0_CI_Hours of Operation</v>
      </c>
      <c r="B2909" s="303" t="s">
        <v>1245</v>
      </c>
      <c r="C2909" s="304">
        <v>0</v>
      </c>
      <c r="D2909" s="303" t="s">
        <v>1159</v>
      </c>
      <c r="E2909" s="305" t="s">
        <v>460</v>
      </c>
      <c r="F2909" s="305"/>
      <c r="G2909" s="307">
        <v>160</v>
      </c>
      <c r="H2909" s="305" t="s">
        <v>361</v>
      </c>
      <c r="I2909" s="305" t="s">
        <v>152</v>
      </c>
      <c r="J2909" s="305" t="s">
        <v>131</v>
      </c>
      <c r="K2909" s="305" t="s">
        <v>2144</v>
      </c>
    </row>
    <row r="2910" spans="1:11" x14ac:dyDescent="0.25">
      <c r="A2910" s="302" t="str">
        <f t="shared" si="87"/>
        <v>Laminar_0_CI_CF</v>
      </c>
      <c r="B2910" s="303" t="s">
        <v>1245</v>
      </c>
      <c r="C2910" s="304">
        <v>0</v>
      </c>
      <c r="D2910" s="303" t="s">
        <v>1159</v>
      </c>
      <c r="E2910" s="305" t="s">
        <v>253</v>
      </c>
      <c r="F2910" s="305"/>
      <c r="G2910" s="307">
        <v>1.44E-2</v>
      </c>
      <c r="H2910" s="305" t="s">
        <v>361</v>
      </c>
      <c r="I2910" s="305" t="s">
        <v>152</v>
      </c>
      <c r="J2910" s="305" t="s">
        <v>131</v>
      </c>
      <c r="K2910" s="305" t="s">
        <v>2144</v>
      </c>
    </row>
    <row r="2911" spans="1:11" x14ac:dyDescent="0.25">
      <c r="A2911" s="302" t="str">
        <f t="shared" si="87"/>
        <v>Laminar_0_CI_Delta_Water_Gallons</v>
      </c>
      <c r="B2911" s="303" t="s">
        <v>1245</v>
      </c>
      <c r="C2911" s="304">
        <v>0</v>
      </c>
      <c r="D2911" s="303" t="s">
        <v>1159</v>
      </c>
      <c r="E2911" s="305" t="s">
        <v>456</v>
      </c>
      <c r="F2911" s="305"/>
      <c r="G2911" s="307">
        <f xml:space="preserve"> ((G2901 - G2902)/G2903) * G2904 * G2907</f>
        <v>5104.9429838709684</v>
      </c>
      <c r="H2911" s="305"/>
      <c r="I2911" s="305" t="s">
        <v>152</v>
      </c>
      <c r="J2911" s="305" t="s">
        <v>131</v>
      </c>
      <c r="K2911" s="305" t="s">
        <v>2144</v>
      </c>
    </row>
    <row r="2912" spans="1:11" x14ac:dyDescent="0.25">
      <c r="A2912" s="302" t="str">
        <f t="shared" si="87"/>
        <v>Laminar_0_CI_Conversion</v>
      </c>
      <c r="B2912" s="303" t="s">
        <v>1245</v>
      </c>
      <c r="C2912" s="304">
        <v>0</v>
      </c>
      <c r="D2912" s="303" t="s">
        <v>1159</v>
      </c>
      <c r="E2912" s="305" t="s">
        <v>284</v>
      </c>
      <c r="F2912" s="305"/>
      <c r="G2912" s="354">
        <v>1000000</v>
      </c>
      <c r="H2912" s="305"/>
      <c r="I2912" s="305" t="s">
        <v>152</v>
      </c>
      <c r="J2912" s="305" t="s">
        <v>131</v>
      </c>
      <c r="K2912" s="305" t="s">
        <v>2144</v>
      </c>
    </row>
    <row r="2913" spans="1:11" x14ac:dyDescent="0.25">
      <c r="A2913" s="302" t="str">
        <f t="shared" si="87"/>
        <v>Laminar_0_CI_E_water_total</v>
      </c>
      <c r="B2913" s="303" t="s">
        <v>1245</v>
      </c>
      <c r="C2913" s="304">
        <v>0</v>
      </c>
      <c r="D2913" s="303" t="s">
        <v>1159</v>
      </c>
      <c r="E2913" s="305" t="s">
        <v>318</v>
      </c>
      <c r="F2913" s="309"/>
      <c r="G2913" s="306">
        <v>5010</v>
      </c>
      <c r="H2913" s="305" t="s">
        <v>360</v>
      </c>
      <c r="I2913" s="305" t="s">
        <v>152</v>
      </c>
      <c r="J2913" s="305" t="s">
        <v>131</v>
      </c>
      <c r="K2913" s="305" t="s">
        <v>2144</v>
      </c>
    </row>
    <row r="2914" spans="1:11" x14ac:dyDescent="0.25">
      <c r="A2914" s="302" t="str">
        <f t="shared" si="87"/>
        <v>Laminar_0_CI_Delta_kWh_water</v>
      </c>
      <c r="B2914" s="303" t="s">
        <v>1245</v>
      </c>
      <c r="C2914" s="304">
        <v>0</v>
      </c>
      <c r="D2914" s="303" t="s">
        <v>1159</v>
      </c>
      <c r="E2914" s="305" t="s">
        <v>334</v>
      </c>
      <c r="F2914" s="309"/>
      <c r="G2914" s="306">
        <f>(G2911/G2912)*G2913</f>
        <v>25.575764349193552</v>
      </c>
      <c r="H2914" s="305"/>
      <c r="I2914" s="305" t="s">
        <v>152</v>
      </c>
      <c r="J2914" s="305" t="s">
        <v>131</v>
      </c>
      <c r="K2914" s="305" t="s">
        <v>2144</v>
      </c>
    </row>
    <row r="2915" spans="1:11" x14ac:dyDescent="0.25">
      <c r="A2915" s="302" t="str">
        <f t="shared" si="87"/>
        <v>Laminar_0_CI_kWh Saved per Unit</v>
      </c>
      <c r="B2915" s="303" t="s">
        <v>1245</v>
      </c>
      <c r="C2915" s="304">
        <v>0</v>
      </c>
      <c r="D2915" s="303" t="s">
        <v>1159</v>
      </c>
      <c r="E2915" s="314" t="s">
        <v>255</v>
      </c>
      <c r="F2915" s="326"/>
      <c r="G2915" s="315">
        <f>G2908+G2914</f>
        <v>25.575764349193552</v>
      </c>
      <c r="H2915" s="305"/>
      <c r="I2915" s="305" t="s">
        <v>152</v>
      </c>
      <c r="J2915" s="305" t="s">
        <v>131</v>
      </c>
      <c r="K2915" s="305" t="s">
        <v>2144</v>
      </c>
    </row>
    <row r="2916" spans="1:11" x14ac:dyDescent="0.25">
      <c r="A2916" s="302" t="str">
        <f t="shared" si="87"/>
        <v>Laminar_0_CI_Coincident Peak kW Saved per Unit</v>
      </c>
      <c r="B2916" s="303" t="s">
        <v>1245</v>
      </c>
      <c r="C2916" s="304">
        <v>0</v>
      </c>
      <c r="D2916" s="303" t="s">
        <v>1159</v>
      </c>
      <c r="E2916" s="314" t="s">
        <v>257</v>
      </c>
      <c r="F2916" s="326"/>
      <c r="G2916" s="315">
        <f>(G2908/G2909)*G2910</f>
        <v>0</v>
      </c>
      <c r="H2916" s="305"/>
      <c r="I2916" s="305" t="s">
        <v>152</v>
      </c>
      <c r="J2916" s="305" t="s">
        <v>131</v>
      </c>
      <c r="K2916" s="305" t="s">
        <v>2144</v>
      </c>
    </row>
    <row r="2917" spans="1:11" x14ac:dyDescent="0.25">
      <c r="A2917" s="302" t="str">
        <f t="shared" si="87"/>
        <v>Laminar_0_CI_Therm Saved per Unit</v>
      </c>
      <c r="B2917" s="303" t="s">
        <v>1245</v>
      </c>
      <c r="C2917" s="304">
        <v>0</v>
      </c>
      <c r="D2917" s="303" t="s">
        <v>1159</v>
      </c>
      <c r="E2917" s="314" t="s">
        <v>326</v>
      </c>
      <c r="F2917" s="326"/>
      <c r="G2917" s="315">
        <f xml:space="preserve"> G2900 * ((G2901 - G2902)/G2903) * G2904 * G2906 * G2907</f>
        <v>37.776578080645166</v>
      </c>
      <c r="H2917" s="305"/>
      <c r="I2917" s="305" t="s">
        <v>152</v>
      </c>
      <c r="J2917" s="305" t="s">
        <v>131</v>
      </c>
      <c r="K2917" s="305" t="s">
        <v>2144</v>
      </c>
    </row>
    <row r="2918" spans="1:11" x14ac:dyDescent="0.25">
      <c r="A2918" s="302" t="str">
        <f t="shared" si="87"/>
        <v>Laminar_0_CI_Gallons Saved per Unit</v>
      </c>
      <c r="B2918" s="303" t="s">
        <v>1245</v>
      </c>
      <c r="C2918" s="304">
        <v>0</v>
      </c>
      <c r="D2918" s="303" t="s">
        <v>1159</v>
      </c>
      <c r="E2918" s="314" t="s">
        <v>547</v>
      </c>
      <c r="F2918" s="326"/>
      <c r="G2918" s="315">
        <f>G2911</f>
        <v>5104.9429838709684</v>
      </c>
      <c r="H2918" s="305"/>
      <c r="I2918" s="305" t="s">
        <v>152</v>
      </c>
      <c r="J2918" s="305" t="s">
        <v>131</v>
      </c>
      <c r="K2918" s="305" t="s">
        <v>2144</v>
      </c>
    </row>
    <row r="2919" spans="1:11" x14ac:dyDescent="0.25">
      <c r="A2919" s="302" t="str">
        <f t="shared" si="87"/>
        <v>Laminar_0_CI_Lifetime (years)</v>
      </c>
      <c r="B2919" s="303" t="s">
        <v>1245</v>
      </c>
      <c r="C2919" s="304">
        <v>0</v>
      </c>
      <c r="D2919" s="303" t="s">
        <v>1159</v>
      </c>
      <c r="E2919" s="314" t="s">
        <v>259</v>
      </c>
      <c r="F2919" s="326"/>
      <c r="G2919" s="315">
        <v>10</v>
      </c>
      <c r="H2919" s="305"/>
      <c r="I2919" s="305" t="s">
        <v>152</v>
      </c>
      <c r="J2919" s="305" t="s">
        <v>131</v>
      </c>
      <c r="K2919" s="305" t="s">
        <v>2144</v>
      </c>
    </row>
    <row r="2920" spans="1:11" x14ac:dyDescent="0.25">
      <c r="A2920" s="302" t="str">
        <f t="shared" si="87"/>
        <v>Laminar_0_CI_Incremental Cost</v>
      </c>
      <c r="B2920" s="303" t="s">
        <v>1245</v>
      </c>
      <c r="C2920" s="304">
        <v>0</v>
      </c>
      <c r="D2920" s="303" t="s">
        <v>1159</v>
      </c>
      <c r="E2920" s="314" t="s">
        <v>260</v>
      </c>
      <c r="F2920" s="326"/>
      <c r="G2920" s="315">
        <v>14.27</v>
      </c>
      <c r="H2920" s="305"/>
      <c r="I2920" s="305" t="s">
        <v>152</v>
      </c>
      <c r="J2920" s="305" t="s">
        <v>131</v>
      </c>
      <c r="K2920" s="305" t="s">
        <v>2144</v>
      </c>
    </row>
    <row r="2921" spans="1:11" s="324" customFormat="1" x14ac:dyDescent="0.25">
      <c r="A2921" s="317" t="str">
        <f t="shared" si="87"/>
        <v>Laminar_0_CI_</v>
      </c>
      <c r="B2921" s="317" t="str">
        <f>B2920</f>
        <v>Laminar</v>
      </c>
      <c r="C2921" s="332">
        <f>C2920</f>
        <v>0</v>
      </c>
      <c r="D2921" s="317" t="str">
        <f>D2920</f>
        <v>CI</v>
      </c>
      <c r="E2921" s="320"/>
      <c r="F2921" s="320"/>
      <c r="G2921" s="329"/>
      <c r="H2921" s="320"/>
      <c r="I2921" s="320"/>
      <c r="J2921" s="320"/>
      <c r="K2921" s="320"/>
    </row>
    <row r="2922" spans="1:11" x14ac:dyDescent="0.25">
      <c r="A2922" s="302" t="str">
        <f t="shared" si="87"/>
        <v>Low Flow Showerhead_0_CI_%ElectricDHW</v>
      </c>
      <c r="B2922" s="303" t="s">
        <v>15</v>
      </c>
      <c r="C2922" s="304">
        <v>0</v>
      </c>
      <c r="D2922" s="303" t="s">
        <v>1159</v>
      </c>
      <c r="E2922" s="305" t="s">
        <v>352</v>
      </c>
      <c r="F2922" s="309" t="s">
        <v>539</v>
      </c>
      <c r="G2922" s="306">
        <v>0</v>
      </c>
      <c r="H2922" s="305" t="s">
        <v>1246</v>
      </c>
      <c r="I2922" s="305" t="s">
        <v>152</v>
      </c>
      <c r="J2922" s="305" t="s">
        <v>129</v>
      </c>
      <c r="K2922" s="305" t="s">
        <v>1956</v>
      </c>
    </row>
    <row r="2923" spans="1:11" x14ac:dyDescent="0.25">
      <c r="A2923" s="302" t="str">
        <f t="shared" si="87"/>
        <v>Low Flow Showerhead_0_CI_%FossilDHW</v>
      </c>
      <c r="B2923" s="303" t="s">
        <v>15</v>
      </c>
      <c r="C2923" s="304">
        <v>0</v>
      </c>
      <c r="D2923" s="303" t="s">
        <v>1159</v>
      </c>
      <c r="E2923" s="305" t="s">
        <v>353</v>
      </c>
      <c r="F2923" s="309" t="s">
        <v>539</v>
      </c>
      <c r="G2923" s="306">
        <v>1</v>
      </c>
      <c r="H2923" s="305" t="s">
        <v>1246</v>
      </c>
      <c r="I2923" s="305" t="s">
        <v>152</v>
      </c>
      <c r="J2923" s="305" t="s">
        <v>129</v>
      </c>
      <c r="K2923" s="305" t="s">
        <v>1956</v>
      </c>
    </row>
    <row r="2924" spans="1:11" x14ac:dyDescent="0.25">
      <c r="A2924" s="302" t="str">
        <f t="shared" si="87"/>
        <v>Low Flow Showerhead_0_CI_GPM_base</v>
      </c>
      <c r="B2924" s="303" t="s">
        <v>15</v>
      </c>
      <c r="C2924" s="304">
        <v>0</v>
      </c>
      <c r="D2924" s="303" t="s">
        <v>1159</v>
      </c>
      <c r="E2924" s="305" t="s">
        <v>354</v>
      </c>
      <c r="F2924" s="309" t="s">
        <v>1247</v>
      </c>
      <c r="G2924" s="306">
        <v>2.67</v>
      </c>
      <c r="H2924" s="305" t="s">
        <v>4</v>
      </c>
      <c r="I2924" s="305" t="s">
        <v>152</v>
      </c>
      <c r="J2924" s="305" t="s">
        <v>129</v>
      </c>
      <c r="K2924" s="305" t="s">
        <v>1956</v>
      </c>
    </row>
    <row r="2925" spans="1:11" x14ac:dyDescent="0.25">
      <c r="A2925" s="302" t="str">
        <f t="shared" si="87"/>
        <v>Low Flow Showerhead_0_CI_L_base</v>
      </c>
      <c r="B2925" s="303" t="s">
        <v>15</v>
      </c>
      <c r="C2925" s="304">
        <v>0</v>
      </c>
      <c r="D2925" s="303" t="s">
        <v>1159</v>
      </c>
      <c r="E2925" s="305" t="s">
        <v>363</v>
      </c>
      <c r="F2925" s="309" t="s">
        <v>1248</v>
      </c>
      <c r="G2925" s="306">
        <v>8.1999999999999993</v>
      </c>
      <c r="H2925" s="305"/>
      <c r="I2925" s="305" t="s">
        <v>152</v>
      </c>
      <c r="J2925" s="305" t="s">
        <v>129</v>
      </c>
      <c r="K2925" s="305" t="s">
        <v>1956</v>
      </c>
    </row>
    <row r="2926" spans="1:11" x14ac:dyDescent="0.25">
      <c r="A2926" s="302" t="str">
        <f t="shared" si="87"/>
        <v>Low Flow Showerhead_0_CI_GPM_low</v>
      </c>
      <c r="B2926" s="303" t="s">
        <v>15</v>
      </c>
      <c r="C2926" s="304">
        <v>0</v>
      </c>
      <c r="D2926" s="303" t="s">
        <v>1159</v>
      </c>
      <c r="E2926" s="305" t="s">
        <v>355</v>
      </c>
      <c r="F2926" s="309" t="s">
        <v>1247</v>
      </c>
      <c r="G2926" s="306">
        <v>1.5</v>
      </c>
      <c r="H2926" s="305"/>
      <c r="I2926" s="305" t="s">
        <v>152</v>
      </c>
      <c r="J2926" s="305" t="s">
        <v>129</v>
      </c>
      <c r="K2926" s="305" t="s">
        <v>1956</v>
      </c>
    </row>
    <row r="2927" spans="1:11" x14ac:dyDescent="0.25">
      <c r="A2927" s="302" t="str">
        <f t="shared" si="87"/>
        <v>Low Flow Showerhead_0_CI_L_low</v>
      </c>
      <c r="B2927" s="303" t="s">
        <v>15</v>
      </c>
      <c r="C2927" s="304">
        <v>0</v>
      </c>
      <c r="D2927" s="303" t="s">
        <v>1159</v>
      </c>
      <c r="E2927" s="305" t="s">
        <v>364</v>
      </c>
      <c r="F2927" s="309" t="s">
        <v>1248</v>
      </c>
      <c r="G2927" s="306">
        <v>8.1999999999999993</v>
      </c>
      <c r="H2927" s="305"/>
      <c r="I2927" s="305" t="s">
        <v>152</v>
      </c>
      <c r="J2927" s="305" t="s">
        <v>129</v>
      </c>
      <c r="K2927" s="305" t="s">
        <v>1956</v>
      </c>
    </row>
    <row r="2928" spans="1:11" x14ac:dyDescent="0.25">
      <c r="A2928" s="302" t="str">
        <f t="shared" si="87"/>
        <v>Low Flow Showerhead_0_CI_NSPD</v>
      </c>
      <c r="B2928" s="303" t="s">
        <v>15</v>
      </c>
      <c r="C2928" s="304">
        <v>0</v>
      </c>
      <c r="D2928" s="303" t="s">
        <v>1159</v>
      </c>
      <c r="E2928" s="305" t="s">
        <v>365</v>
      </c>
      <c r="F2928" s="309"/>
      <c r="G2928" s="306">
        <v>1</v>
      </c>
      <c r="H2928" s="305" t="s">
        <v>1249</v>
      </c>
      <c r="I2928" s="305" t="s">
        <v>152</v>
      </c>
      <c r="J2928" s="305" t="s">
        <v>129</v>
      </c>
      <c r="K2928" s="305" t="s">
        <v>1956</v>
      </c>
    </row>
    <row r="2929" spans="1:11" x14ac:dyDescent="0.25">
      <c r="A2929" s="302" t="str">
        <f t="shared" si="87"/>
        <v>Low Flow Showerhead_0_CI_Conversion</v>
      </c>
      <c r="B2929" s="303" t="s">
        <v>15</v>
      </c>
      <c r="C2929" s="304">
        <v>0</v>
      </c>
      <c r="D2929" s="303" t="s">
        <v>1159</v>
      </c>
      <c r="E2929" s="305" t="s">
        <v>284</v>
      </c>
      <c r="F2929" s="309" t="s">
        <v>871</v>
      </c>
      <c r="G2929" s="325">
        <v>365.25</v>
      </c>
      <c r="H2929" s="305"/>
      <c r="I2929" s="305" t="s">
        <v>152</v>
      </c>
      <c r="J2929" s="305" t="s">
        <v>129</v>
      </c>
      <c r="K2929" s="305" t="s">
        <v>1956</v>
      </c>
    </row>
    <row r="2930" spans="1:11" x14ac:dyDescent="0.25">
      <c r="A2930" s="302" t="str">
        <f t="shared" si="87"/>
        <v>Low Flow Showerhead_0_CI_EPG_electric</v>
      </c>
      <c r="B2930" s="303" t="s">
        <v>15</v>
      </c>
      <c r="C2930" s="304">
        <v>0</v>
      </c>
      <c r="D2930" s="303" t="s">
        <v>1159</v>
      </c>
      <c r="E2930" s="305" t="s">
        <v>357</v>
      </c>
      <c r="F2930" s="305" t="s">
        <v>1250</v>
      </c>
      <c r="G2930" s="307">
        <v>0.11700000000000001</v>
      </c>
      <c r="H2930" s="305"/>
      <c r="I2930" s="305" t="s">
        <v>152</v>
      </c>
      <c r="J2930" s="305" t="s">
        <v>129</v>
      </c>
      <c r="K2930" s="305" t="s">
        <v>1956</v>
      </c>
    </row>
    <row r="2931" spans="1:11" x14ac:dyDescent="0.25">
      <c r="A2931" s="302" t="str">
        <f t="shared" si="87"/>
        <v>Low Flow Showerhead_0_CI_EPG_gas</v>
      </c>
      <c r="B2931" s="303" t="s">
        <v>15</v>
      </c>
      <c r="C2931" s="304">
        <v>0</v>
      </c>
      <c r="D2931" s="303" t="s">
        <v>1159</v>
      </c>
      <c r="E2931" s="305" t="s">
        <v>358</v>
      </c>
      <c r="F2931" s="305" t="s">
        <v>595</v>
      </c>
      <c r="G2931" s="386">
        <f>(8.33*1*(101-50.7))/(0.67*100000)</f>
        <v>6.253716417910447E-3</v>
      </c>
      <c r="H2931" s="311" t="s">
        <v>1896</v>
      </c>
      <c r="I2931" s="305" t="s">
        <v>152</v>
      </c>
      <c r="J2931" s="305" t="s">
        <v>129</v>
      </c>
      <c r="K2931" s="305" t="s">
        <v>1956</v>
      </c>
    </row>
    <row r="2932" spans="1:11" x14ac:dyDescent="0.25">
      <c r="A2932" s="302" t="str">
        <f t="shared" si="87"/>
        <v>Low Flow Showerhead_0_CI_ISR</v>
      </c>
      <c r="B2932" s="303" t="s">
        <v>15</v>
      </c>
      <c r="C2932" s="304">
        <v>0</v>
      </c>
      <c r="D2932" s="303" t="s">
        <v>1159</v>
      </c>
      <c r="E2932" s="305" t="s">
        <v>267</v>
      </c>
      <c r="F2932" s="305" t="s">
        <v>539</v>
      </c>
      <c r="G2932" s="307">
        <v>0.98</v>
      </c>
      <c r="H2932" s="305" t="s">
        <v>4</v>
      </c>
      <c r="I2932" s="305" t="s">
        <v>152</v>
      </c>
      <c r="J2932" s="305" t="s">
        <v>129</v>
      </c>
      <c r="K2932" s="305" t="s">
        <v>1956</v>
      </c>
    </row>
    <row r="2933" spans="1:11" x14ac:dyDescent="0.25">
      <c r="A2933" s="302" t="str">
        <f t="shared" si="87"/>
        <v>Low Flow Showerhead_0_CI_Delta_kWh</v>
      </c>
      <c r="B2933" s="303" t="s">
        <v>15</v>
      </c>
      <c r="C2933" s="304">
        <v>0</v>
      </c>
      <c r="D2933" s="303" t="s">
        <v>1159</v>
      </c>
      <c r="E2933" s="305" t="s">
        <v>359</v>
      </c>
      <c r="F2933" s="305"/>
      <c r="G2933" s="307">
        <f xml:space="preserve"> G2922 * ((G2924 * G2925 - G2926 * G2927) * G2928 * G2929) * G2930 * G2932</f>
        <v>0</v>
      </c>
      <c r="H2933" s="305"/>
      <c r="I2933" s="305" t="s">
        <v>152</v>
      </c>
      <c r="J2933" s="305" t="s">
        <v>129</v>
      </c>
      <c r="K2933" s="305" t="s">
        <v>1956</v>
      </c>
    </row>
    <row r="2934" spans="1:11" x14ac:dyDescent="0.25">
      <c r="A2934" s="302" t="str">
        <f t="shared" si="87"/>
        <v>Low Flow Showerhead_0_CI_Hours of Operation</v>
      </c>
      <c r="B2934" s="303" t="s">
        <v>15</v>
      </c>
      <c r="C2934" s="304">
        <v>0</v>
      </c>
      <c r="D2934" s="303" t="s">
        <v>1159</v>
      </c>
      <c r="E2934" s="305" t="s">
        <v>460</v>
      </c>
      <c r="F2934" s="305" t="s">
        <v>1178</v>
      </c>
      <c r="G2934" s="307">
        <f xml:space="preserve"> ((G2924 * G2925) * G2928 * G2929) * 0.773 / 27.51</f>
        <v>224.70060507088331</v>
      </c>
      <c r="H2934" s="305"/>
      <c r="I2934" s="305" t="s">
        <v>152</v>
      </c>
      <c r="J2934" s="305" t="s">
        <v>129</v>
      </c>
      <c r="K2934" s="305" t="s">
        <v>1956</v>
      </c>
    </row>
    <row r="2935" spans="1:11" x14ac:dyDescent="0.25">
      <c r="A2935" s="302" t="str">
        <f t="shared" si="87"/>
        <v>Low Flow Showerhead_0_CI_CF</v>
      </c>
      <c r="B2935" s="303" t="s">
        <v>15</v>
      </c>
      <c r="C2935" s="304">
        <v>0</v>
      </c>
      <c r="D2935" s="303" t="s">
        <v>1159</v>
      </c>
      <c r="E2935" s="305" t="s">
        <v>253</v>
      </c>
      <c r="F2935" s="305"/>
      <c r="G2935" s="307">
        <v>2.7799999999999998E-2</v>
      </c>
      <c r="H2935" s="305"/>
      <c r="I2935" s="305" t="s">
        <v>152</v>
      </c>
      <c r="J2935" s="305" t="s">
        <v>129</v>
      </c>
      <c r="K2935" s="305" t="s">
        <v>1956</v>
      </c>
    </row>
    <row r="2936" spans="1:11" x14ac:dyDescent="0.25">
      <c r="A2936" s="302" t="str">
        <f t="shared" si="87"/>
        <v>Low Flow Showerhead_0_CI_Delta_Water_Gallons</v>
      </c>
      <c r="B2936" s="303" t="s">
        <v>15</v>
      </c>
      <c r="C2936" s="304">
        <v>0</v>
      </c>
      <c r="D2936" s="303" t="s">
        <v>1159</v>
      </c>
      <c r="E2936" s="305" t="s">
        <v>456</v>
      </c>
      <c r="F2936" s="305" t="s">
        <v>646</v>
      </c>
      <c r="G2936" s="307">
        <f>((G2924 * G2925) - (G2926 * G2927)) * G2928 * G2929 * G2932</f>
        <v>3434.1243299999996</v>
      </c>
      <c r="H2936" s="305"/>
      <c r="I2936" s="305" t="s">
        <v>152</v>
      </c>
      <c r="J2936" s="305" t="s">
        <v>129</v>
      </c>
      <c r="K2936" s="305" t="s">
        <v>1956</v>
      </c>
    </row>
    <row r="2937" spans="1:11" x14ac:dyDescent="0.25">
      <c r="A2937" s="302" t="str">
        <f t="shared" si="87"/>
        <v>Low Flow Showerhead_0_CI_Conversion</v>
      </c>
      <c r="B2937" s="303" t="s">
        <v>15</v>
      </c>
      <c r="C2937" s="304">
        <v>0</v>
      </c>
      <c r="D2937" s="303" t="s">
        <v>1159</v>
      </c>
      <c r="E2937" s="305" t="s">
        <v>284</v>
      </c>
      <c r="F2937" s="305"/>
      <c r="G2937" s="354">
        <v>1000000</v>
      </c>
      <c r="H2937" s="305"/>
      <c r="I2937" s="305" t="s">
        <v>152</v>
      </c>
      <c r="J2937" s="305" t="s">
        <v>129</v>
      </c>
      <c r="K2937" s="305" t="s">
        <v>1956</v>
      </c>
    </row>
    <row r="2938" spans="1:11" x14ac:dyDescent="0.25">
      <c r="A2938" s="302" t="str">
        <f t="shared" si="87"/>
        <v>Low Flow Showerhead_0_CI_E_water_total</v>
      </c>
      <c r="B2938" s="303" t="s">
        <v>15</v>
      </c>
      <c r="C2938" s="304">
        <v>0</v>
      </c>
      <c r="D2938" s="303" t="s">
        <v>1159</v>
      </c>
      <c r="E2938" s="305" t="s">
        <v>318</v>
      </c>
      <c r="F2938" s="309"/>
      <c r="G2938" s="306">
        <v>2937</v>
      </c>
      <c r="H2938" s="305" t="s">
        <v>1251</v>
      </c>
      <c r="I2938" s="305" t="s">
        <v>152</v>
      </c>
      <c r="J2938" s="305" t="s">
        <v>129</v>
      </c>
      <c r="K2938" s="305" t="s">
        <v>1956</v>
      </c>
    </row>
    <row r="2939" spans="1:11" x14ac:dyDescent="0.25">
      <c r="A2939" s="302" t="str">
        <f t="shared" si="87"/>
        <v>Low Flow Showerhead_0_CI_Delta_kWh_water</v>
      </c>
      <c r="B2939" s="303" t="s">
        <v>15</v>
      </c>
      <c r="C2939" s="304">
        <v>0</v>
      </c>
      <c r="D2939" s="303" t="s">
        <v>1159</v>
      </c>
      <c r="E2939" s="305" t="s">
        <v>334</v>
      </c>
      <c r="F2939" s="309"/>
      <c r="G2939" s="306">
        <f xml:space="preserve"> (G2936 / G2937) * G2938</f>
        <v>10.086023157209999</v>
      </c>
      <c r="H2939" s="305"/>
      <c r="I2939" s="305" t="s">
        <v>152</v>
      </c>
      <c r="J2939" s="305" t="s">
        <v>129</v>
      </c>
      <c r="K2939" s="305" t="s">
        <v>1956</v>
      </c>
    </row>
    <row r="2940" spans="1:11" x14ac:dyDescent="0.25">
      <c r="A2940" s="302" t="str">
        <f t="shared" si="87"/>
        <v>Low Flow Showerhead_0_CI_kWh Saved per Unit</v>
      </c>
      <c r="B2940" s="303" t="s">
        <v>15</v>
      </c>
      <c r="C2940" s="304">
        <v>0</v>
      </c>
      <c r="D2940" s="303" t="s">
        <v>1159</v>
      </c>
      <c r="E2940" s="314" t="s">
        <v>255</v>
      </c>
      <c r="F2940" s="326"/>
      <c r="G2940" s="315">
        <f>G2933+G2939</f>
        <v>10.086023157209999</v>
      </c>
      <c r="H2940" s="305"/>
      <c r="I2940" s="305" t="s">
        <v>152</v>
      </c>
      <c r="J2940" s="305" t="s">
        <v>129</v>
      </c>
      <c r="K2940" s="305" t="s">
        <v>1956</v>
      </c>
    </row>
    <row r="2941" spans="1:11" x14ac:dyDescent="0.25">
      <c r="A2941" s="302" t="str">
        <f t="shared" si="87"/>
        <v>Low Flow Showerhead_0_CI_Coincident Peak kW Saved per Unit</v>
      </c>
      <c r="B2941" s="303" t="s">
        <v>15</v>
      </c>
      <c r="C2941" s="304">
        <v>0</v>
      </c>
      <c r="D2941" s="303" t="s">
        <v>1159</v>
      </c>
      <c r="E2941" s="314" t="s">
        <v>257</v>
      </c>
      <c r="F2941" s="326"/>
      <c r="G2941" s="315">
        <f xml:space="preserve"> (G2933/G2934) * G2935</f>
        <v>0</v>
      </c>
      <c r="H2941" s="305"/>
      <c r="I2941" s="305" t="s">
        <v>152</v>
      </c>
      <c r="J2941" s="305" t="s">
        <v>129</v>
      </c>
      <c r="K2941" s="305" t="s">
        <v>1956</v>
      </c>
    </row>
    <row r="2942" spans="1:11" x14ac:dyDescent="0.25">
      <c r="A2942" s="302" t="str">
        <f t="shared" si="87"/>
        <v>Low Flow Showerhead_0_CI_Therm Saved per Unit</v>
      </c>
      <c r="B2942" s="303" t="s">
        <v>15</v>
      </c>
      <c r="C2942" s="304">
        <v>0</v>
      </c>
      <c r="D2942" s="303" t="s">
        <v>1159</v>
      </c>
      <c r="E2942" s="314" t="s">
        <v>326</v>
      </c>
      <c r="F2942" s="326"/>
      <c r="G2942" s="315">
        <f xml:space="preserve"> G2923 * ((G2924 * G2925 - G2926 * G2927) * G2928 * G2929) * G2931 * G2932</f>
        <v>21.476039703666711</v>
      </c>
      <c r="H2942" s="305"/>
      <c r="I2942" s="305" t="s">
        <v>152</v>
      </c>
      <c r="J2942" s="305" t="s">
        <v>129</v>
      </c>
      <c r="K2942" s="305" t="s">
        <v>1956</v>
      </c>
    </row>
    <row r="2943" spans="1:11" x14ac:dyDescent="0.25">
      <c r="A2943" s="302" t="str">
        <f t="shared" si="87"/>
        <v>Low Flow Showerhead_0_CI_Gallons Saved per Unit</v>
      </c>
      <c r="B2943" s="303" t="s">
        <v>15</v>
      </c>
      <c r="C2943" s="304">
        <v>0</v>
      </c>
      <c r="D2943" s="303" t="s">
        <v>1159</v>
      </c>
      <c r="E2943" s="314" t="s">
        <v>547</v>
      </c>
      <c r="F2943" s="326"/>
      <c r="G2943" s="315">
        <f>G2936</f>
        <v>3434.1243299999996</v>
      </c>
      <c r="H2943" s="305"/>
      <c r="I2943" s="305" t="s">
        <v>152</v>
      </c>
      <c r="J2943" s="305" t="s">
        <v>129</v>
      </c>
      <c r="K2943" s="305" t="s">
        <v>1956</v>
      </c>
    </row>
    <row r="2944" spans="1:11" x14ac:dyDescent="0.25">
      <c r="A2944" s="302" t="str">
        <f t="shared" si="87"/>
        <v>Low Flow Showerhead_0_CI_Lifetime (years)</v>
      </c>
      <c r="B2944" s="303" t="s">
        <v>15</v>
      </c>
      <c r="C2944" s="304">
        <v>0</v>
      </c>
      <c r="D2944" s="303" t="s">
        <v>1159</v>
      </c>
      <c r="E2944" s="314" t="s">
        <v>259</v>
      </c>
      <c r="F2944" s="326"/>
      <c r="G2944" s="315">
        <v>10</v>
      </c>
      <c r="H2944" s="305"/>
      <c r="I2944" s="305" t="s">
        <v>152</v>
      </c>
      <c r="J2944" s="305" t="s">
        <v>129</v>
      </c>
      <c r="K2944" s="305" t="s">
        <v>1956</v>
      </c>
    </row>
    <row r="2945" spans="1:11" x14ac:dyDescent="0.25">
      <c r="A2945" s="302" t="str">
        <f t="shared" si="87"/>
        <v>Low Flow Showerhead_0_CI_Incremental Cost</v>
      </c>
      <c r="B2945" s="303" t="s">
        <v>15</v>
      </c>
      <c r="C2945" s="304">
        <v>0</v>
      </c>
      <c r="D2945" s="303" t="s">
        <v>1159</v>
      </c>
      <c r="E2945" s="314" t="s">
        <v>260</v>
      </c>
      <c r="F2945" s="326"/>
      <c r="G2945" s="315">
        <v>12</v>
      </c>
      <c r="H2945" s="305"/>
      <c r="I2945" s="305" t="s">
        <v>614</v>
      </c>
      <c r="J2945" s="305"/>
      <c r="K2945" s="305"/>
    </row>
    <row r="2946" spans="1:11" s="324" customFormat="1" x14ac:dyDescent="0.25">
      <c r="A2946" s="317" t="str">
        <f t="shared" si="87"/>
        <v>Low Flow Showerhead_0_CI_</v>
      </c>
      <c r="B2946" s="317" t="str">
        <f>B2945</f>
        <v>Low Flow Showerhead</v>
      </c>
      <c r="C2946" s="332">
        <f>C2945</f>
        <v>0</v>
      </c>
      <c r="D2946" s="317" t="str">
        <f>D2945</f>
        <v>CI</v>
      </c>
      <c r="E2946" s="320"/>
      <c r="F2946" s="320"/>
      <c r="G2946" s="329"/>
      <c r="H2946" s="320"/>
      <c r="I2946" s="320"/>
      <c r="J2946" s="320"/>
      <c r="K2946" s="320"/>
    </row>
    <row r="2947" spans="1:11" x14ac:dyDescent="0.25">
      <c r="A2947" s="302" t="str">
        <f t="shared" si="87"/>
        <v>Low Flow Bathroom Aerator_0_CI_%ElectricDHW</v>
      </c>
      <c r="B2947" s="303" t="s">
        <v>555</v>
      </c>
      <c r="C2947" s="304">
        <v>0</v>
      </c>
      <c r="D2947" s="303" t="s">
        <v>1159</v>
      </c>
      <c r="E2947" s="305" t="s">
        <v>352</v>
      </c>
      <c r="F2947" s="309" t="s">
        <v>539</v>
      </c>
      <c r="G2947" s="306">
        <v>0</v>
      </c>
      <c r="H2947" s="305"/>
      <c r="I2947" s="305" t="s">
        <v>152</v>
      </c>
      <c r="J2947" s="305" t="s">
        <v>131</v>
      </c>
      <c r="K2947" s="305" t="s">
        <v>2144</v>
      </c>
    </row>
    <row r="2948" spans="1:11" x14ac:dyDescent="0.25">
      <c r="A2948" s="302" t="str">
        <f t="shared" si="87"/>
        <v>Low Flow Bathroom Aerator_0_CI_%FossilDHW</v>
      </c>
      <c r="B2948" s="303" t="s">
        <v>555</v>
      </c>
      <c r="C2948" s="304">
        <v>0</v>
      </c>
      <c r="D2948" s="303" t="s">
        <v>1159</v>
      </c>
      <c r="E2948" s="305" t="s">
        <v>353</v>
      </c>
      <c r="F2948" s="309" t="s">
        <v>539</v>
      </c>
      <c r="G2948" s="306">
        <v>1</v>
      </c>
      <c r="H2948" s="305"/>
      <c r="I2948" s="305" t="s">
        <v>152</v>
      </c>
      <c r="J2948" s="305" t="s">
        <v>131</v>
      </c>
      <c r="K2948" s="305" t="s">
        <v>2144</v>
      </c>
    </row>
    <row r="2949" spans="1:11" x14ac:dyDescent="0.25">
      <c r="A2949" s="302" t="str">
        <f t="shared" si="87"/>
        <v>Low Flow Bathroom Aerator_0_CI_GPM_base</v>
      </c>
      <c r="B2949" s="303" t="s">
        <v>555</v>
      </c>
      <c r="C2949" s="304">
        <v>0</v>
      </c>
      <c r="D2949" s="303" t="s">
        <v>1159</v>
      </c>
      <c r="E2949" s="305" t="s">
        <v>354</v>
      </c>
      <c r="F2949" s="309"/>
      <c r="G2949" s="306">
        <v>1.39</v>
      </c>
      <c r="H2949" s="305"/>
      <c r="I2949" s="305" t="s">
        <v>152</v>
      </c>
      <c r="J2949" s="305" t="s">
        <v>131</v>
      </c>
      <c r="K2949" s="305" t="s">
        <v>2144</v>
      </c>
    </row>
    <row r="2950" spans="1:11" x14ac:dyDescent="0.25">
      <c r="A2950" s="302" t="str">
        <f t="shared" si="87"/>
        <v>Low Flow Bathroom Aerator_0_CI_GPM_low</v>
      </c>
      <c r="B2950" s="303" t="s">
        <v>555</v>
      </c>
      <c r="C2950" s="304">
        <v>0</v>
      </c>
      <c r="D2950" s="303" t="s">
        <v>1159</v>
      </c>
      <c r="E2950" s="305" t="s">
        <v>355</v>
      </c>
      <c r="F2950" s="309"/>
      <c r="G2950" s="306">
        <v>0.94</v>
      </c>
      <c r="H2950" s="305"/>
      <c r="I2950" s="305" t="s">
        <v>152</v>
      </c>
      <c r="J2950" s="305" t="s">
        <v>131</v>
      </c>
      <c r="K2950" s="305" t="s">
        <v>2144</v>
      </c>
    </row>
    <row r="2951" spans="1:11" x14ac:dyDescent="0.25">
      <c r="A2951" s="302" t="str">
        <f t="shared" si="87"/>
        <v>Low Flow Bathroom Aerator_0_CI_GPM_base</v>
      </c>
      <c r="B2951" s="303" t="s">
        <v>555</v>
      </c>
      <c r="C2951" s="304">
        <v>0</v>
      </c>
      <c r="D2951" s="303" t="s">
        <v>1159</v>
      </c>
      <c r="E2951" s="305" t="s">
        <v>354</v>
      </c>
      <c r="F2951" s="309"/>
      <c r="G2951" s="306">
        <v>1.39</v>
      </c>
      <c r="H2951" s="305"/>
      <c r="I2951" s="305" t="s">
        <v>152</v>
      </c>
      <c r="J2951" s="305" t="s">
        <v>131</v>
      </c>
      <c r="K2951" s="305" t="s">
        <v>2144</v>
      </c>
    </row>
    <row r="2952" spans="1:11" x14ac:dyDescent="0.25">
      <c r="A2952" s="302" t="str">
        <f t="shared" si="87"/>
        <v>Low Flow Bathroom Aerator_0_CI_Usage</v>
      </c>
      <c r="B2952" s="303" t="s">
        <v>555</v>
      </c>
      <c r="C2952" s="304">
        <v>0</v>
      </c>
      <c r="D2952" s="303" t="s">
        <v>1159</v>
      </c>
      <c r="E2952" s="305" t="s">
        <v>319</v>
      </c>
      <c r="F2952" s="309"/>
      <c r="G2952" s="306">
        <v>5000</v>
      </c>
      <c r="H2952" s="305" t="s">
        <v>356</v>
      </c>
      <c r="I2952" s="305" t="s">
        <v>152</v>
      </c>
      <c r="J2952" s="305" t="s">
        <v>131</v>
      </c>
      <c r="K2952" s="305" t="s">
        <v>2144</v>
      </c>
    </row>
    <row r="2953" spans="1:11" x14ac:dyDescent="0.25">
      <c r="A2953" s="302" t="str">
        <f t="shared" si="87"/>
        <v>Low Flow Bathroom Aerator_0_CI_EPG_electric</v>
      </c>
      <c r="B2953" s="303" t="s">
        <v>555</v>
      </c>
      <c r="C2953" s="304">
        <v>0</v>
      </c>
      <c r="D2953" s="303" t="s">
        <v>1159</v>
      </c>
      <c r="E2953" s="305" t="s">
        <v>357</v>
      </c>
      <c r="F2953" s="305" t="s">
        <v>1250</v>
      </c>
      <c r="G2953" s="350">
        <v>7.9500000000000001E-2</v>
      </c>
      <c r="H2953" s="305" t="s">
        <v>556</v>
      </c>
      <c r="I2953" s="305" t="s">
        <v>152</v>
      </c>
      <c r="J2953" s="305" t="s">
        <v>131</v>
      </c>
      <c r="K2953" s="305" t="s">
        <v>2144</v>
      </c>
    </row>
    <row r="2954" spans="1:11" x14ac:dyDescent="0.25">
      <c r="A2954" s="302" t="str">
        <f t="shared" si="87"/>
        <v>Low Flow Bathroom Aerator_0_CI_EPG_gas</v>
      </c>
      <c r="B2954" s="303" t="s">
        <v>555</v>
      </c>
      <c r="C2954" s="304">
        <v>0</v>
      </c>
      <c r="D2954" s="303" t="s">
        <v>1159</v>
      </c>
      <c r="E2954" s="305" t="s">
        <v>358</v>
      </c>
      <c r="F2954" s="305" t="s">
        <v>595</v>
      </c>
      <c r="G2954" s="386">
        <v>4.4000000000000003E-3</v>
      </c>
      <c r="H2954" s="311" t="s">
        <v>1897</v>
      </c>
      <c r="I2954" s="305" t="s">
        <v>152</v>
      </c>
      <c r="J2954" s="305" t="s">
        <v>131</v>
      </c>
      <c r="K2954" s="305" t="s">
        <v>2144</v>
      </c>
    </row>
    <row r="2955" spans="1:11" x14ac:dyDescent="0.25">
      <c r="A2955" s="302" t="str">
        <f t="shared" si="87"/>
        <v>Low Flow Bathroom Aerator_0_CI_ISR</v>
      </c>
      <c r="B2955" s="303" t="s">
        <v>555</v>
      </c>
      <c r="C2955" s="304">
        <v>0</v>
      </c>
      <c r="D2955" s="303" t="s">
        <v>1159</v>
      </c>
      <c r="E2955" s="305" t="s">
        <v>267</v>
      </c>
      <c r="F2955" s="305"/>
      <c r="G2955" s="307">
        <v>0.95</v>
      </c>
      <c r="H2955" s="305" t="s">
        <v>4</v>
      </c>
      <c r="I2955" s="305" t="s">
        <v>152</v>
      </c>
      <c r="J2955" s="305" t="s">
        <v>131</v>
      </c>
      <c r="K2955" s="305" t="s">
        <v>2144</v>
      </c>
    </row>
    <row r="2956" spans="1:11" x14ac:dyDescent="0.25">
      <c r="A2956" s="302" t="str">
        <f t="shared" ref="A2956:A3019" si="88">B2956&amp;"_"&amp;C2956&amp;"_"&amp;D2956&amp;"_"&amp;E2956</f>
        <v>Low Flow Bathroom Aerator_0_CI_Delta_kWh</v>
      </c>
      <c r="B2956" s="303" t="s">
        <v>555</v>
      </c>
      <c r="C2956" s="304">
        <v>0</v>
      </c>
      <c r="D2956" s="303" t="s">
        <v>1159</v>
      </c>
      <c r="E2956" s="305" t="s">
        <v>359</v>
      </c>
      <c r="F2956" s="305"/>
      <c r="G2956" s="307">
        <f xml:space="preserve"> G2947 * ((G2949 - G2950)/G2951) * G2952 * G2953 * G2955</f>
        <v>0</v>
      </c>
      <c r="H2956" s="305"/>
      <c r="I2956" s="305" t="s">
        <v>152</v>
      </c>
      <c r="J2956" s="305" t="s">
        <v>131</v>
      </c>
      <c r="K2956" s="305" t="s">
        <v>2144</v>
      </c>
    </row>
    <row r="2957" spans="1:11" x14ac:dyDescent="0.25">
      <c r="A2957" s="302" t="str">
        <f t="shared" si="88"/>
        <v>Low Flow Bathroom Aerator_0_CI_Hours of Operation</v>
      </c>
      <c r="B2957" s="303" t="s">
        <v>555</v>
      </c>
      <c r="C2957" s="304">
        <v>0</v>
      </c>
      <c r="D2957" s="303" t="s">
        <v>1159</v>
      </c>
      <c r="E2957" s="305" t="s">
        <v>460</v>
      </c>
      <c r="F2957" s="305"/>
      <c r="G2957" s="334">
        <v>41</v>
      </c>
      <c r="H2957" s="311" t="s">
        <v>356</v>
      </c>
      <c r="I2957" s="305" t="s">
        <v>152</v>
      </c>
      <c r="J2957" s="305" t="s">
        <v>131</v>
      </c>
      <c r="K2957" s="305" t="s">
        <v>2144</v>
      </c>
    </row>
    <row r="2958" spans="1:11" x14ac:dyDescent="0.25">
      <c r="A2958" s="302" t="str">
        <f t="shared" si="88"/>
        <v>Low Flow Bathroom Aerator_0_CI_CF</v>
      </c>
      <c r="B2958" s="303" t="s">
        <v>555</v>
      </c>
      <c r="C2958" s="304">
        <v>0</v>
      </c>
      <c r="D2958" s="303" t="s">
        <v>1159</v>
      </c>
      <c r="E2958" s="305" t="s">
        <v>253</v>
      </c>
      <c r="F2958" s="305"/>
      <c r="G2958" s="307">
        <v>1.2800000000000001E-2</v>
      </c>
      <c r="H2958" s="305" t="s">
        <v>356</v>
      </c>
      <c r="I2958" s="305" t="s">
        <v>152</v>
      </c>
      <c r="J2958" s="305" t="s">
        <v>131</v>
      </c>
      <c r="K2958" s="305" t="s">
        <v>2144</v>
      </c>
    </row>
    <row r="2959" spans="1:11" x14ac:dyDescent="0.25">
      <c r="A2959" s="302" t="str">
        <f t="shared" si="88"/>
        <v>Low Flow Bathroom Aerator_0_CI_Delta_Water_Gallons</v>
      </c>
      <c r="B2959" s="303" t="s">
        <v>555</v>
      </c>
      <c r="C2959" s="304">
        <v>0</v>
      </c>
      <c r="D2959" s="303" t="s">
        <v>1159</v>
      </c>
      <c r="E2959" s="305" t="s">
        <v>456</v>
      </c>
      <c r="F2959" s="305"/>
      <c r="G2959" s="307">
        <f xml:space="preserve"> ((G2949 - G2950)/G2951) * G2952 * G2955</f>
        <v>1537.7697841726617</v>
      </c>
      <c r="H2959" s="305"/>
      <c r="I2959" s="305" t="s">
        <v>152</v>
      </c>
      <c r="J2959" s="305" t="s">
        <v>131</v>
      </c>
      <c r="K2959" s="305" t="s">
        <v>2144</v>
      </c>
    </row>
    <row r="2960" spans="1:11" x14ac:dyDescent="0.25">
      <c r="A2960" s="302" t="str">
        <f t="shared" si="88"/>
        <v>Low Flow Bathroom Aerator_0_CI_Conversion</v>
      </c>
      <c r="B2960" s="303" t="s">
        <v>555</v>
      </c>
      <c r="C2960" s="304">
        <v>0</v>
      </c>
      <c r="D2960" s="303" t="s">
        <v>1159</v>
      </c>
      <c r="E2960" s="305" t="s">
        <v>284</v>
      </c>
      <c r="F2960" s="305"/>
      <c r="G2960" s="354">
        <v>1000000</v>
      </c>
      <c r="H2960" s="305"/>
      <c r="I2960" s="305" t="s">
        <v>152</v>
      </c>
      <c r="J2960" s="305" t="s">
        <v>131</v>
      </c>
      <c r="K2960" s="305" t="s">
        <v>2144</v>
      </c>
    </row>
    <row r="2961" spans="1:11" x14ac:dyDescent="0.25">
      <c r="A2961" s="302" t="str">
        <f t="shared" si="88"/>
        <v>Low Flow Bathroom Aerator_0_CI_E_water_total</v>
      </c>
      <c r="B2961" s="303" t="s">
        <v>555</v>
      </c>
      <c r="C2961" s="304">
        <v>0</v>
      </c>
      <c r="D2961" s="303" t="s">
        <v>1159</v>
      </c>
      <c r="E2961" s="305" t="s">
        <v>318</v>
      </c>
      <c r="F2961" s="309"/>
      <c r="G2961" s="306">
        <v>5010</v>
      </c>
      <c r="H2961" s="305" t="s">
        <v>360</v>
      </c>
      <c r="I2961" s="305" t="s">
        <v>152</v>
      </c>
      <c r="J2961" s="305" t="s">
        <v>131</v>
      </c>
      <c r="K2961" s="305" t="s">
        <v>2144</v>
      </c>
    </row>
    <row r="2962" spans="1:11" x14ac:dyDescent="0.25">
      <c r="A2962" s="302" t="str">
        <f t="shared" si="88"/>
        <v>Low Flow Bathroom Aerator_0_CI_Delta_kWh_water</v>
      </c>
      <c r="B2962" s="303" t="s">
        <v>555</v>
      </c>
      <c r="C2962" s="304">
        <v>0</v>
      </c>
      <c r="D2962" s="303" t="s">
        <v>1159</v>
      </c>
      <c r="E2962" s="305" t="s">
        <v>334</v>
      </c>
      <c r="F2962" s="309"/>
      <c r="G2962" s="306">
        <f>(G2959/G2960)*G2961</f>
        <v>7.704226618705035</v>
      </c>
      <c r="H2962" s="305"/>
      <c r="I2962" s="305" t="s">
        <v>152</v>
      </c>
      <c r="J2962" s="305" t="s">
        <v>131</v>
      </c>
      <c r="K2962" s="305" t="s">
        <v>2144</v>
      </c>
    </row>
    <row r="2963" spans="1:11" x14ac:dyDescent="0.25">
      <c r="A2963" s="302" t="str">
        <f t="shared" si="88"/>
        <v>Low Flow Bathroom Aerator_0_CI_kWh Saved per Unit</v>
      </c>
      <c r="B2963" s="303" t="s">
        <v>555</v>
      </c>
      <c r="C2963" s="304">
        <v>0</v>
      </c>
      <c r="D2963" s="303" t="s">
        <v>1159</v>
      </c>
      <c r="E2963" s="314" t="s">
        <v>255</v>
      </c>
      <c r="F2963" s="326"/>
      <c r="G2963" s="315">
        <f>G2956+G2962</f>
        <v>7.704226618705035</v>
      </c>
      <c r="H2963" s="305"/>
      <c r="I2963" s="305" t="s">
        <v>152</v>
      </c>
      <c r="J2963" s="305" t="s">
        <v>131</v>
      </c>
      <c r="K2963" s="305" t="s">
        <v>2144</v>
      </c>
    </row>
    <row r="2964" spans="1:11" x14ac:dyDescent="0.25">
      <c r="A2964" s="302" t="str">
        <f t="shared" si="88"/>
        <v>Low Flow Bathroom Aerator_0_CI_Coincident Peak kW Saved per Unit</v>
      </c>
      <c r="B2964" s="303" t="s">
        <v>555</v>
      </c>
      <c r="C2964" s="304">
        <v>0</v>
      </c>
      <c r="D2964" s="303" t="s">
        <v>1159</v>
      </c>
      <c r="E2964" s="314" t="s">
        <v>257</v>
      </c>
      <c r="F2964" s="326"/>
      <c r="G2964" s="315">
        <f>(G2956/G2957)*G2958</f>
        <v>0</v>
      </c>
      <c r="H2964" s="305"/>
      <c r="I2964" s="305" t="s">
        <v>152</v>
      </c>
      <c r="J2964" s="305" t="s">
        <v>131</v>
      </c>
      <c r="K2964" s="305" t="s">
        <v>2144</v>
      </c>
    </row>
    <row r="2965" spans="1:11" x14ac:dyDescent="0.25">
      <c r="A2965" s="302" t="str">
        <f t="shared" si="88"/>
        <v>Low Flow Bathroom Aerator_0_CI_Therm Saved per Unit</v>
      </c>
      <c r="B2965" s="303" t="s">
        <v>555</v>
      </c>
      <c r="C2965" s="304">
        <v>0</v>
      </c>
      <c r="D2965" s="303" t="s">
        <v>1159</v>
      </c>
      <c r="E2965" s="314" t="s">
        <v>326</v>
      </c>
      <c r="F2965" s="326"/>
      <c r="G2965" s="315">
        <f xml:space="preserve"> G2948 * ((G2949 - G2950)/G2951) * G2952 * G2954 * G2955</f>
        <v>6.7661870503597124</v>
      </c>
      <c r="H2965" s="305"/>
      <c r="I2965" s="305" t="s">
        <v>152</v>
      </c>
      <c r="J2965" s="305" t="s">
        <v>131</v>
      </c>
      <c r="K2965" s="305" t="s">
        <v>2144</v>
      </c>
    </row>
    <row r="2966" spans="1:11" x14ac:dyDescent="0.25">
      <c r="A2966" s="302" t="str">
        <f t="shared" si="88"/>
        <v>Low Flow Bathroom Aerator_0_CI_Gallons Saved per Unit</v>
      </c>
      <c r="B2966" s="303" t="s">
        <v>555</v>
      </c>
      <c r="C2966" s="304">
        <v>0</v>
      </c>
      <c r="D2966" s="303" t="s">
        <v>1159</v>
      </c>
      <c r="E2966" s="314" t="s">
        <v>547</v>
      </c>
      <c r="F2966" s="326"/>
      <c r="G2966" s="315">
        <f>G2959</f>
        <v>1537.7697841726617</v>
      </c>
      <c r="H2966" s="305"/>
      <c r="I2966" s="305" t="s">
        <v>152</v>
      </c>
      <c r="J2966" s="305" t="s">
        <v>131</v>
      </c>
      <c r="K2966" s="305" t="s">
        <v>2144</v>
      </c>
    </row>
    <row r="2967" spans="1:11" x14ac:dyDescent="0.25">
      <c r="A2967" s="302" t="str">
        <f t="shared" si="88"/>
        <v>Low Flow Bathroom Aerator_0_CI_Lifetime (years)</v>
      </c>
      <c r="B2967" s="303" t="s">
        <v>555</v>
      </c>
      <c r="C2967" s="304">
        <v>0</v>
      </c>
      <c r="D2967" s="303" t="s">
        <v>1159</v>
      </c>
      <c r="E2967" s="314" t="s">
        <v>259</v>
      </c>
      <c r="F2967" s="326"/>
      <c r="G2967" s="315">
        <v>10</v>
      </c>
      <c r="H2967" s="305"/>
      <c r="I2967" s="305" t="s">
        <v>152</v>
      </c>
      <c r="J2967" s="305" t="s">
        <v>131</v>
      </c>
      <c r="K2967" s="305" t="s">
        <v>2144</v>
      </c>
    </row>
    <row r="2968" spans="1:11" x14ac:dyDescent="0.25">
      <c r="A2968" s="302" t="str">
        <f t="shared" si="88"/>
        <v>Low Flow Bathroom Aerator_0_CI_Incremental Cost</v>
      </c>
      <c r="B2968" s="303" t="s">
        <v>555</v>
      </c>
      <c r="C2968" s="304">
        <v>0</v>
      </c>
      <c r="D2968" s="303" t="s">
        <v>1159</v>
      </c>
      <c r="E2968" s="314" t="s">
        <v>260</v>
      </c>
      <c r="F2968" s="326"/>
      <c r="G2968" s="315">
        <v>8</v>
      </c>
      <c r="H2968" s="305"/>
      <c r="I2968" s="305" t="s">
        <v>152</v>
      </c>
      <c r="J2968" s="305" t="s">
        <v>131</v>
      </c>
      <c r="K2968" s="305" t="s">
        <v>2144</v>
      </c>
    </row>
    <row r="2969" spans="1:11" s="324" customFormat="1" x14ac:dyDescent="0.25">
      <c r="A2969" s="317" t="str">
        <f t="shared" si="88"/>
        <v>Low Flow Bathroom Aerator_0_CI_</v>
      </c>
      <c r="B2969" s="317" t="str">
        <f>B2968</f>
        <v>Low Flow Bathroom Aerator</v>
      </c>
      <c r="C2969" s="332">
        <f>C2968</f>
        <v>0</v>
      </c>
      <c r="D2969" s="317" t="str">
        <f>D2968</f>
        <v>CI</v>
      </c>
      <c r="E2969" s="320"/>
      <c r="F2969" s="320"/>
      <c r="G2969" s="329"/>
      <c r="H2969" s="320"/>
      <c r="I2969" s="320"/>
      <c r="J2969" s="320"/>
      <c r="K2969" s="320"/>
    </row>
    <row r="2970" spans="1:11" x14ac:dyDescent="0.25">
      <c r="A2970" s="302" t="str">
        <f t="shared" si="88"/>
        <v>Low Flow Kitchen Aerator_0_CI_%ElectricDHW</v>
      </c>
      <c r="B2970" s="303" t="s">
        <v>533</v>
      </c>
      <c r="C2970" s="304">
        <v>0</v>
      </c>
      <c r="D2970" s="303" t="s">
        <v>1159</v>
      </c>
      <c r="E2970" s="305" t="s">
        <v>352</v>
      </c>
      <c r="F2970" s="309"/>
      <c r="G2970" s="306">
        <v>0</v>
      </c>
      <c r="H2970" s="305" t="s">
        <v>351</v>
      </c>
      <c r="I2970" s="305" t="s">
        <v>152</v>
      </c>
      <c r="J2970" s="305" t="s">
        <v>131</v>
      </c>
      <c r="K2970" s="305" t="s">
        <v>2144</v>
      </c>
    </row>
    <row r="2971" spans="1:11" x14ac:dyDescent="0.25">
      <c r="A2971" s="302" t="str">
        <f t="shared" si="88"/>
        <v>Low Flow Kitchen Aerator_0_CI_%FossilDHW</v>
      </c>
      <c r="B2971" s="303" t="s">
        <v>533</v>
      </c>
      <c r="C2971" s="304">
        <v>0</v>
      </c>
      <c r="D2971" s="303" t="s">
        <v>1159</v>
      </c>
      <c r="E2971" s="305" t="s">
        <v>353</v>
      </c>
      <c r="F2971" s="309"/>
      <c r="G2971" s="306">
        <v>1</v>
      </c>
      <c r="H2971" s="305" t="s">
        <v>351</v>
      </c>
      <c r="I2971" s="305" t="s">
        <v>152</v>
      </c>
      <c r="J2971" s="305" t="s">
        <v>131</v>
      </c>
      <c r="K2971" s="305" t="s">
        <v>2144</v>
      </c>
    </row>
    <row r="2972" spans="1:11" x14ac:dyDescent="0.25">
      <c r="A2972" s="302" t="str">
        <f t="shared" si="88"/>
        <v>Low Flow Kitchen Aerator_0_CI_GPM_base</v>
      </c>
      <c r="B2972" s="303" t="s">
        <v>533</v>
      </c>
      <c r="C2972" s="304">
        <v>0</v>
      </c>
      <c r="D2972" s="303" t="s">
        <v>1159</v>
      </c>
      <c r="E2972" s="305" t="s">
        <v>354</v>
      </c>
      <c r="F2972" s="309"/>
      <c r="G2972" s="306">
        <v>1.39</v>
      </c>
      <c r="H2972" s="305"/>
      <c r="I2972" s="305" t="s">
        <v>152</v>
      </c>
      <c r="J2972" s="305" t="s">
        <v>131</v>
      </c>
      <c r="K2972" s="305" t="s">
        <v>2144</v>
      </c>
    </row>
    <row r="2973" spans="1:11" x14ac:dyDescent="0.25">
      <c r="A2973" s="302" t="str">
        <f t="shared" si="88"/>
        <v>Low Flow Kitchen Aerator_0_CI_GPM_low</v>
      </c>
      <c r="B2973" s="303" t="s">
        <v>533</v>
      </c>
      <c r="C2973" s="304">
        <v>0</v>
      </c>
      <c r="D2973" s="303" t="s">
        <v>1159</v>
      </c>
      <c r="E2973" s="305" t="s">
        <v>355</v>
      </c>
      <c r="F2973" s="309"/>
      <c r="G2973" s="306">
        <v>0.94</v>
      </c>
      <c r="H2973" s="305"/>
      <c r="I2973" s="305" t="s">
        <v>152</v>
      </c>
      <c r="J2973" s="305" t="s">
        <v>131</v>
      </c>
      <c r="K2973" s="305" t="s">
        <v>2144</v>
      </c>
    </row>
    <row r="2974" spans="1:11" x14ac:dyDescent="0.25">
      <c r="A2974" s="302" t="str">
        <f t="shared" si="88"/>
        <v>Low Flow Kitchen Aerator_0_CI_GPM_base</v>
      </c>
      <c r="B2974" s="303" t="s">
        <v>533</v>
      </c>
      <c r="C2974" s="304">
        <v>0</v>
      </c>
      <c r="D2974" s="303" t="s">
        <v>1159</v>
      </c>
      <c r="E2974" s="305" t="s">
        <v>354</v>
      </c>
      <c r="F2974" s="309"/>
      <c r="G2974" s="306">
        <v>1.39</v>
      </c>
      <c r="H2974" s="305"/>
      <c r="I2974" s="305" t="s">
        <v>152</v>
      </c>
      <c r="J2974" s="305" t="s">
        <v>131</v>
      </c>
      <c r="K2974" s="305" t="s">
        <v>2144</v>
      </c>
    </row>
    <row r="2975" spans="1:11" x14ac:dyDescent="0.25">
      <c r="A2975" s="302" t="str">
        <f t="shared" si="88"/>
        <v>Low Flow Kitchen Aerator_0_CI_Usage</v>
      </c>
      <c r="B2975" s="303" t="s">
        <v>533</v>
      </c>
      <c r="C2975" s="304">
        <v>0</v>
      </c>
      <c r="D2975" s="303" t="s">
        <v>1159</v>
      </c>
      <c r="E2975" s="305" t="s">
        <v>319</v>
      </c>
      <c r="F2975" s="309"/>
      <c r="G2975" s="306">
        <v>5000</v>
      </c>
      <c r="H2975" s="305" t="s">
        <v>356</v>
      </c>
      <c r="I2975" s="305" t="s">
        <v>152</v>
      </c>
      <c r="J2975" s="305" t="s">
        <v>131</v>
      </c>
      <c r="K2975" s="305" t="s">
        <v>2144</v>
      </c>
    </row>
    <row r="2976" spans="1:11" x14ac:dyDescent="0.25">
      <c r="A2976" s="302" t="str">
        <f t="shared" si="88"/>
        <v>Low Flow Kitchen Aerator_0_CI_EPG_electric</v>
      </c>
      <c r="B2976" s="303" t="s">
        <v>533</v>
      </c>
      <c r="C2976" s="304">
        <v>0</v>
      </c>
      <c r="D2976" s="303" t="s">
        <v>1159</v>
      </c>
      <c r="E2976" s="305" t="s">
        <v>357</v>
      </c>
      <c r="F2976" s="305" t="s">
        <v>1250</v>
      </c>
      <c r="G2976" s="350">
        <v>9.69E-2</v>
      </c>
      <c r="H2976" s="305" t="s">
        <v>1252</v>
      </c>
      <c r="I2976" s="305" t="s">
        <v>152</v>
      </c>
      <c r="J2976" s="305" t="s">
        <v>131</v>
      </c>
      <c r="K2976" s="305" t="s">
        <v>2144</v>
      </c>
    </row>
    <row r="2977" spans="1:11" x14ac:dyDescent="0.25">
      <c r="A2977" s="302" t="str">
        <f t="shared" si="88"/>
        <v>Low Flow Kitchen Aerator_0_CI_EPG_gas</v>
      </c>
      <c r="B2977" s="303" t="s">
        <v>533</v>
      </c>
      <c r="C2977" s="304">
        <v>0</v>
      </c>
      <c r="D2977" s="303" t="s">
        <v>1159</v>
      </c>
      <c r="E2977" s="305" t="s">
        <v>358</v>
      </c>
      <c r="F2977" s="305" t="s">
        <v>595</v>
      </c>
      <c r="G2977" s="386">
        <v>5.3E-3</v>
      </c>
      <c r="H2977" s="311" t="s">
        <v>1898</v>
      </c>
      <c r="I2977" s="305" t="s">
        <v>152</v>
      </c>
      <c r="J2977" s="305" t="s">
        <v>131</v>
      </c>
      <c r="K2977" s="305" t="s">
        <v>2144</v>
      </c>
    </row>
    <row r="2978" spans="1:11" x14ac:dyDescent="0.25">
      <c r="A2978" s="302" t="str">
        <f t="shared" si="88"/>
        <v>Low Flow Kitchen Aerator_0_CI_ISR</v>
      </c>
      <c r="B2978" s="303" t="s">
        <v>533</v>
      </c>
      <c r="C2978" s="304">
        <v>0</v>
      </c>
      <c r="D2978" s="303" t="s">
        <v>1159</v>
      </c>
      <c r="E2978" s="305" t="s">
        <v>267</v>
      </c>
      <c r="F2978" s="305"/>
      <c r="G2978" s="307">
        <v>0.95</v>
      </c>
      <c r="H2978" s="305" t="s">
        <v>4</v>
      </c>
      <c r="I2978" s="305" t="s">
        <v>152</v>
      </c>
      <c r="J2978" s="305" t="s">
        <v>131</v>
      </c>
      <c r="K2978" s="305" t="s">
        <v>2144</v>
      </c>
    </row>
    <row r="2979" spans="1:11" x14ac:dyDescent="0.25">
      <c r="A2979" s="302" t="str">
        <f t="shared" si="88"/>
        <v>Low Flow Kitchen Aerator_0_CI_Delta_kWh</v>
      </c>
      <c r="B2979" s="303" t="s">
        <v>533</v>
      </c>
      <c r="C2979" s="304">
        <v>0</v>
      </c>
      <c r="D2979" s="303" t="s">
        <v>1159</v>
      </c>
      <c r="E2979" s="305" t="s">
        <v>359</v>
      </c>
      <c r="F2979" s="305"/>
      <c r="G2979" s="307">
        <f xml:space="preserve"> G2970 * ((G2972 - G2973)/G2974) * G2975 * G2976 * G2978</f>
        <v>0</v>
      </c>
      <c r="H2979" s="305"/>
      <c r="I2979" s="305" t="s">
        <v>152</v>
      </c>
      <c r="J2979" s="305" t="s">
        <v>131</v>
      </c>
      <c r="K2979" s="305" t="s">
        <v>2144</v>
      </c>
    </row>
    <row r="2980" spans="1:11" x14ac:dyDescent="0.25">
      <c r="A2980" s="302" t="str">
        <f t="shared" si="88"/>
        <v>Low Flow Kitchen Aerator_0_CI_Hours of Operation</v>
      </c>
      <c r="B2980" s="303" t="s">
        <v>533</v>
      </c>
      <c r="C2980" s="304">
        <v>0</v>
      </c>
      <c r="D2980" s="303" t="s">
        <v>1159</v>
      </c>
      <c r="E2980" s="305" t="s">
        <v>460</v>
      </c>
      <c r="F2980" s="305"/>
      <c r="G2980" s="334">
        <v>41</v>
      </c>
      <c r="H2980" s="311" t="s">
        <v>356</v>
      </c>
      <c r="I2980" s="305" t="s">
        <v>152</v>
      </c>
      <c r="J2980" s="305" t="s">
        <v>131</v>
      </c>
      <c r="K2980" s="305" t="s">
        <v>2144</v>
      </c>
    </row>
    <row r="2981" spans="1:11" x14ac:dyDescent="0.25">
      <c r="A2981" s="302" t="str">
        <f t="shared" si="88"/>
        <v>Low Flow Kitchen Aerator_0_CI_CF</v>
      </c>
      <c r="B2981" s="303" t="s">
        <v>533</v>
      </c>
      <c r="C2981" s="304">
        <v>0</v>
      </c>
      <c r="D2981" s="303" t="s">
        <v>1159</v>
      </c>
      <c r="E2981" s="305" t="s">
        <v>253</v>
      </c>
      <c r="F2981" s="305"/>
      <c r="G2981" s="307">
        <v>1.2800000000000001E-2</v>
      </c>
      <c r="H2981" s="305" t="s">
        <v>356</v>
      </c>
      <c r="I2981" s="305" t="s">
        <v>152</v>
      </c>
      <c r="J2981" s="305" t="s">
        <v>131</v>
      </c>
      <c r="K2981" s="305" t="s">
        <v>2144</v>
      </c>
    </row>
    <row r="2982" spans="1:11" x14ac:dyDescent="0.25">
      <c r="A2982" s="302" t="str">
        <f t="shared" si="88"/>
        <v>Low Flow Kitchen Aerator_0_CI_Delta_Water_Gallons</v>
      </c>
      <c r="B2982" s="303" t="s">
        <v>533</v>
      </c>
      <c r="C2982" s="304">
        <v>0</v>
      </c>
      <c r="D2982" s="303" t="s">
        <v>1159</v>
      </c>
      <c r="E2982" s="305" t="s">
        <v>456</v>
      </c>
      <c r="F2982" s="305"/>
      <c r="G2982" s="307">
        <f xml:space="preserve"> ((G2972 - G2973)/G2974) * G2975 * G2978</f>
        <v>1537.7697841726617</v>
      </c>
      <c r="H2982" s="305"/>
      <c r="I2982" s="305" t="s">
        <v>152</v>
      </c>
      <c r="J2982" s="305" t="s">
        <v>131</v>
      </c>
      <c r="K2982" s="305" t="s">
        <v>2144</v>
      </c>
    </row>
    <row r="2983" spans="1:11" x14ac:dyDescent="0.25">
      <c r="A2983" s="302" t="str">
        <f t="shared" si="88"/>
        <v>Low Flow Kitchen Aerator_0_CI_Conversion</v>
      </c>
      <c r="B2983" s="303" t="s">
        <v>533</v>
      </c>
      <c r="C2983" s="304">
        <v>0</v>
      </c>
      <c r="D2983" s="303" t="s">
        <v>1159</v>
      </c>
      <c r="E2983" s="305" t="s">
        <v>284</v>
      </c>
      <c r="F2983" s="305"/>
      <c r="G2983" s="354">
        <v>1000000</v>
      </c>
      <c r="H2983" s="305"/>
      <c r="I2983" s="305" t="s">
        <v>152</v>
      </c>
      <c r="J2983" s="305" t="s">
        <v>131</v>
      </c>
      <c r="K2983" s="305" t="s">
        <v>2144</v>
      </c>
    </row>
    <row r="2984" spans="1:11" x14ac:dyDescent="0.25">
      <c r="A2984" s="302" t="str">
        <f t="shared" si="88"/>
        <v>Low Flow Kitchen Aerator_0_CI_E_water_total</v>
      </c>
      <c r="B2984" s="303" t="s">
        <v>533</v>
      </c>
      <c r="C2984" s="304">
        <v>0</v>
      </c>
      <c r="D2984" s="303" t="s">
        <v>1159</v>
      </c>
      <c r="E2984" s="305" t="s">
        <v>318</v>
      </c>
      <c r="F2984" s="309"/>
      <c r="G2984" s="306">
        <v>5010</v>
      </c>
      <c r="H2984" s="305" t="s">
        <v>360</v>
      </c>
      <c r="I2984" s="305" t="s">
        <v>152</v>
      </c>
      <c r="J2984" s="305" t="s">
        <v>131</v>
      </c>
      <c r="K2984" s="305" t="s">
        <v>2144</v>
      </c>
    </row>
    <row r="2985" spans="1:11" x14ac:dyDescent="0.25">
      <c r="A2985" s="302" t="str">
        <f t="shared" si="88"/>
        <v>Low Flow Kitchen Aerator_0_CI_Delta_kWh_water</v>
      </c>
      <c r="B2985" s="303" t="s">
        <v>533</v>
      </c>
      <c r="C2985" s="304">
        <v>0</v>
      </c>
      <c r="D2985" s="303" t="s">
        <v>1159</v>
      </c>
      <c r="E2985" s="305" t="s">
        <v>334</v>
      </c>
      <c r="F2985" s="309"/>
      <c r="G2985" s="306">
        <f>(G2982/G2983)*G2984</f>
        <v>7.704226618705035</v>
      </c>
      <c r="H2985" s="305"/>
      <c r="I2985" s="305" t="s">
        <v>152</v>
      </c>
      <c r="J2985" s="305" t="s">
        <v>131</v>
      </c>
      <c r="K2985" s="305" t="s">
        <v>2144</v>
      </c>
    </row>
    <row r="2986" spans="1:11" x14ac:dyDescent="0.25">
      <c r="A2986" s="302" t="str">
        <f t="shared" si="88"/>
        <v>Low Flow Kitchen Aerator_0_CI_kWh Saved per Unit</v>
      </c>
      <c r="B2986" s="303" t="s">
        <v>533</v>
      </c>
      <c r="C2986" s="304">
        <v>0</v>
      </c>
      <c r="D2986" s="303" t="s">
        <v>1159</v>
      </c>
      <c r="E2986" s="314" t="s">
        <v>255</v>
      </c>
      <c r="F2986" s="326"/>
      <c r="G2986" s="315">
        <f>G2979+G2985</f>
        <v>7.704226618705035</v>
      </c>
      <c r="H2986" s="305"/>
      <c r="I2986" s="305" t="s">
        <v>152</v>
      </c>
      <c r="J2986" s="305" t="s">
        <v>131</v>
      </c>
      <c r="K2986" s="305" t="s">
        <v>2144</v>
      </c>
    </row>
    <row r="2987" spans="1:11" x14ac:dyDescent="0.25">
      <c r="A2987" s="302" t="str">
        <f t="shared" si="88"/>
        <v>Low Flow Kitchen Aerator_0_CI_Coincident Peak kW Saved per Unit</v>
      </c>
      <c r="B2987" s="303" t="s">
        <v>533</v>
      </c>
      <c r="C2987" s="304">
        <v>0</v>
      </c>
      <c r="D2987" s="303" t="s">
        <v>1159</v>
      </c>
      <c r="E2987" s="314" t="s">
        <v>257</v>
      </c>
      <c r="F2987" s="326"/>
      <c r="G2987" s="315">
        <f>(G2979/G2980)*G2981</f>
        <v>0</v>
      </c>
      <c r="H2987" s="305"/>
      <c r="I2987" s="305" t="s">
        <v>152</v>
      </c>
      <c r="J2987" s="305" t="s">
        <v>131</v>
      </c>
      <c r="K2987" s="305" t="s">
        <v>2144</v>
      </c>
    </row>
    <row r="2988" spans="1:11" x14ac:dyDescent="0.25">
      <c r="A2988" s="302" t="str">
        <f t="shared" si="88"/>
        <v>Low Flow Kitchen Aerator_0_CI_Therm Saved per Unit</v>
      </c>
      <c r="B2988" s="303" t="s">
        <v>533</v>
      </c>
      <c r="C2988" s="304">
        <v>0</v>
      </c>
      <c r="D2988" s="303" t="s">
        <v>1159</v>
      </c>
      <c r="E2988" s="314" t="s">
        <v>326</v>
      </c>
      <c r="F2988" s="326"/>
      <c r="G2988" s="315">
        <f xml:space="preserve"> G2971 * ((G2972 - G2973)/G2974) * G2975 * G2977 * G2978</f>
        <v>8.1501798561151073</v>
      </c>
      <c r="H2988" s="305"/>
      <c r="I2988" s="305" t="s">
        <v>152</v>
      </c>
      <c r="J2988" s="305" t="s">
        <v>131</v>
      </c>
      <c r="K2988" s="305" t="s">
        <v>2144</v>
      </c>
    </row>
    <row r="2989" spans="1:11" x14ac:dyDescent="0.25">
      <c r="A2989" s="302" t="str">
        <f t="shared" si="88"/>
        <v>Low Flow Kitchen Aerator_0_CI_Gallons Saved per Unit</v>
      </c>
      <c r="B2989" s="303" t="s">
        <v>533</v>
      </c>
      <c r="C2989" s="304">
        <v>0</v>
      </c>
      <c r="D2989" s="303" t="s">
        <v>1159</v>
      </c>
      <c r="E2989" s="314" t="s">
        <v>547</v>
      </c>
      <c r="F2989" s="326"/>
      <c r="G2989" s="315">
        <f>G2982</f>
        <v>1537.7697841726617</v>
      </c>
      <c r="H2989" s="305"/>
      <c r="I2989" s="305" t="s">
        <v>152</v>
      </c>
      <c r="J2989" s="305" t="s">
        <v>131</v>
      </c>
      <c r="K2989" s="305" t="s">
        <v>2144</v>
      </c>
    </row>
    <row r="2990" spans="1:11" x14ac:dyDescent="0.25">
      <c r="A2990" s="302" t="str">
        <f t="shared" si="88"/>
        <v>Low Flow Kitchen Aerator_0_CI_Lifetime (years)</v>
      </c>
      <c r="B2990" s="303" t="s">
        <v>533</v>
      </c>
      <c r="C2990" s="304">
        <v>0</v>
      </c>
      <c r="D2990" s="303" t="s">
        <v>1159</v>
      </c>
      <c r="E2990" s="314" t="s">
        <v>259</v>
      </c>
      <c r="F2990" s="326"/>
      <c r="G2990" s="315">
        <v>10</v>
      </c>
      <c r="H2990" s="305"/>
      <c r="I2990" s="305" t="s">
        <v>152</v>
      </c>
      <c r="J2990" s="305" t="s">
        <v>131</v>
      </c>
      <c r="K2990" s="305" t="s">
        <v>2144</v>
      </c>
    </row>
    <row r="2991" spans="1:11" x14ac:dyDescent="0.25">
      <c r="A2991" s="302" t="str">
        <f t="shared" si="88"/>
        <v>Low Flow Kitchen Aerator_0_CI_Incremental Cost</v>
      </c>
      <c r="B2991" s="303" t="s">
        <v>533</v>
      </c>
      <c r="C2991" s="304">
        <v>0</v>
      </c>
      <c r="D2991" s="303" t="s">
        <v>1159</v>
      </c>
      <c r="E2991" s="314" t="s">
        <v>260</v>
      </c>
      <c r="F2991" s="326"/>
      <c r="G2991" s="315">
        <v>8</v>
      </c>
      <c r="H2991" s="305"/>
      <c r="I2991" s="305" t="s">
        <v>152</v>
      </c>
      <c r="J2991" s="305" t="s">
        <v>131</v>
      </c>
      <c r="K2991" s="305" t="s">
        <v>2144</v>
      </c>
    </row>
    <row r="2992" spans="1:11" s="324" customFormat="1" x14ac:dyDescent="0.25">
      <c r="A2992" s="317" t="str">
        <f t="shared" si="88"/>
        <v>Low Flow Kitchen Aerator_0_CI_</v>
      </c>
      <c r="B2992" s="317" t="str">
        <f>B2991</f>
        <v>Low Flow Kitchen Aerator</v>
      </c>
      <c r="C2992" s="332">
        <f>C2991</f>
        <v>0</v>
      </c>
      <c r="D2992" s="317" t="str">
        <f>D2991</f>
        <v>CI</v>
      </c>
      <c r="E2992" s="320"/>
      <c r="F2992" s="320"/>
      <c r="G2992" s="329"/>
      <c r="H2992" s="320"/>
      <c r="I2992" s="320"/>
      <c r="J2992" s="320"/>
      <c r="K2992" s="320"/>
    </row>
    <row r="2993" spans="1:11" s="324" customFormat="1" x14ac:dyDescent="0.25">
      <c r="A2993" s="302" t="str">
        <f t="shared" si="88"/>
        <v>Modulating Commercial Gas Clothes Dryer_Hotels &amp; Hospitals_CI_N_cycles</v>
      </c>
      <c r="B2993" s="303" t="s">
        <v>12</v>
      </c>
      <c r="C2993" s="304" t="s">
        <v>1253</v>
      </c>
      <c r="D2993" s="303" t="s">
        <v>1159</v>
      </c>
      <c r="E2993" s="305" t="s">
        <v>432</v>
      </c>
      <c r="F2993" s="309" t="s">
        <v>727</v>
      </c>
      <c r="G2993" s="307">
        <f>G2997</f>
        <v>3607</v>
      </c>
      <c r="H2993" s="305" t="s">
        <v>436</v>
      </c>
      <c r="I2993" s="305" t="s">
        <v>152</v>
      </c>
      <c r="J2993" s="305" t="s">
        <v>132</v>
      </c>
      <c r="K2993" s="305" t="s">
        <v>1948</v>
      </c>
    </row>
    <row r="2994" spans="1:11" s="324" customFormat="1" x14ac:dyDescent="0.25">
      <c r="A2994" s="302" t="str">
        <f t="shared" si="88"/>
        <v>Modulating Commercial Gas Clothes Dryer_Hotels &amp; Hospitals_CI_SF</v>
      </c>
      <c r="B2994" s="303" t="s">
        <v>12</v>
      </c>
      <c r="C2994" s="304" t="s">
        <v>1253</v>
      </c>
      <c r="D2994" s="303" t="s">
        <v>1159</v>
      </c>
      <c r="E2994" s="305" t="s">
        <v>409</v>
      </c>
      <c r="F2994" s="309" t="s">
        <v>1254</v>
      </c>
      <c r="G2994" s="307">
        <v>0.18</v>
      </c>
      <c r="H2994" s="305"/>
      <c r="I2994" s="305" t="s">
        <v>152</v>
      </c>
      <c r="J2994" s="305" t="s">
        <v>132</v>
      </c>
      <c r="K2994" s="305" t="s">
        <v>1948</v>
      </c>
    </row>
    <row r="2995" spans="1:11" s="324" customFormat="1" x14ac:dyDescent="0.25">
      <c r="A2995" s="302" t="str">
        <f t="shared" si="88"/>
        <v>Modulating Commercial Gas Clothes Dryer_Hotels &amp; Hospitals_CI_N_cycles (reference)</v>
      </c>
      <c r="B2995" s="303" t="s">
        <v>12</v>
      </c>
      <c r="C2995" s="304" t="s">
        <v>1253</v>
      </c>
      <c r="D2995" s="303" t="s">
        <v>1159</v>
      </c>
      <c r="E2995" s="305" t="s">
        <v>433</v>
      </c>
      <c r="F2995" s="309" t="s">
        <v>727</v>
      </c>
      <c r="G2995" s="307">
        <v>1483</v>
      </c>
      <c r="H2995" s="305" t="s">
        <v>434</v>
      </c>
      <c r="I2995" s="305" t="s">
        <v>152</v>
      </c>
      <c r="J2995" s="305" t="s">
        <v>132</v>
      </c>
      <c r="K2995" s="305" t="s">
        <v>1948</v>
      </c>
    </row>
    <row r="2996" spans="1:11" s="324" customFormat="1" x14ac:dyDescent="0.25">
      <c r="A2996" s="302" t="str">
        <f t="shared" si="88"/>
        <v>Modulating Commercial Gas Clothes Dryer_Hotels &amp; Hospitals_CI_N_cycles (reference)</v>
      </c>
      <c r="B2996" s="303" t="s">
        <v>12</v>
      </c>
      <c r="C2996" s="304" t="s">
        <v>1253</v>
      </c>
      <c r="D2996" s="303" t="s">
        <v>1159</v>
      </c>
      <c r="E2996" s="305" t="s">
        <v>433</v>
      </c>
      <c r="F2996" s="309" t="s">
        <v>727</v>
      </c>
      <c r="G2996" s="307">
        <v>1074</v>
      </c>
      <c r="H2996" s="305" t="s">
        <v>435</v>
      </c>
      <c r="I2996" s="305" t="s">
        <v>152</v>
      </c>
      <c r="J2996" s="305" t="s">
        <v>132</v>
      </c>
      <c r="K2996" s="305" t="s">
        <v>1948</v>
      </c>
    </row>
    <row r="2997" spans="1:11" s="324" customFormat="1" x14ac:dyDescent="0.25">
      <c r="A2997" s="302" t="str">
        <f t="shared" si="88"/>
        <v>Modulating Commercial Gas Clothes Dryer_Hotels &amp; Hospitals_CI_N_cycles (reference)</v>
      </c>
      <c r="B2997" s="303" t="s">
        <v>12</v>
      </c>
      <c r="C2997" s="304" t="s">
        <v>1253</v>
      </c>
      <c r="D2997" s="303" t="s">
        <v>1159</v>
      </c>
      <c r="E2997" s="305" t="s">
        <v>433</v>
      </c>
      <c r="F2997" s="309" t="s">
        <v>727</v>
      </c>
      <c r="G2997" s="307">
        <v>3607</v>
      </c>
      <c r="H2997" s="305" t="s">
        <v>436</v>
      </c>
      <c r="I2997" s="305" t="s">
        <v>152</v>
      </c>
      <c r="J2997" s="305" t="s">
        <v>132</v>
      </c>
      <c r="K2997" s="305" t="s">
        <v>1948</v>
      </c>
    </row>
    <row r="2998" spans="1:11" s="324" customFormat="1" x14ac:dyDescent="0.25">
      <c r="A2998" s="302" t="str">
        <f t="shared" si="88"/>
        <v>Modulating Commercial Gas Clothes Dryer_Hotels &amp; Hospitals_CI_kWh Saved per Unit</v>
      </c>
      <c r="B2998" s="303" t="s">
        <v>12</v>
      </c>
      <c r="C2998" s="304" t="s">
        <v>1253</v>
      </c>
      <c r="D2998" s="303" t="s">
        <v>1159</v>
      </c>
      <c r="E2998" s="314" t="s">
        <v>255</v>
      </c>
      <c r="F2998" s="326"/>
      <c r="G2998" s="326">
        <v>0</v>
      </c>
      <c r="H2998" s="305"/>
      <c r="I2998" s="305" t="s">
        <v>152</v>
      </c>
      <c r="J2998" s="305" t="s">
        <v>132</v>
      </c>
      <c r="K2998" s="305" t="s">
        <v>1948</v>
      </c>
    </row>
    <row r="2999" spans="1:11" s="324" customFormat="1" x14ac:dyDescent="0.25">
      <c r="A2999" s="302" t="str">
        <f t="shared" si="88"/>
        <v>Modulating Commercial Gas Clothes Dryer_Hotels &amp; Hospitals_CI_Coincident Peak kW Saved per Unit</v>
      </c>
      <c r="B2999" s="303" t="s">
        <v>12</v>
      </c>
      <c r="C2999" s="304" t="s">
        <v>1253</v>
      </c>
      <c r="D2999" s="303" t="s">
        <v>1159</v>
      </c>
      <c r="E2999" s="314" t="s">
        <v>257</v>
      </c>
      <c r="F2999" s="326"/>
      <c r="G2999" s="326">
        <v>0</v>
      </c>
      <c r="H2999" s="305"/>
      <c r="I2999" s="305" t="s">
        <v>152</v>
      </c>
      <c r="J2999" s="305" t="s">
        <v>132</v>
      </c>
      <c r="K2999" s="305" t="s">
        <v>1948</v>
      </c>
    </row>
    <row r="3000" spans="1:11" s="324" customFormat="1" x14ac:dyDescent="0.25">
      <c r="A3000" s="302" t="str">
        <f t="shared" si="88"/>
        <v>Modulating Commercial Gas Clothes Dryer_Hotels &amp; Hospitals_CI_Therm Saved per Unit</v>
      </c>
      <c r="B3000" s="303" t="s">
        <v>12</v>
      </c>
      <c r="C3000" s="304" t="s">
        <v>1253</v>
      </c>
      <c r="D3000" s="303" t="s">
        <v>1159</v>
      </c>
      <c r="E3000" s="314" t="s">
        <v>326</v>
      </c>
      <c r="F3000" s="326"/>
      <c r="G3000" s="326">
        <f>G2993*G2994</f>
        <v>649.26</v>
      </c>
      <c r="H3000" s="305"/>
      <c r="I3000" s="305" t="s">
        <v>152</v>
      </c>
      <c r="J3000" s="305" t="s">
        <v>132</v>
      </c>
      <c r="K3000" s="305" t="s">
        <v>1948</v>
      </c>
    </row>
    <row r="3001" spans="1:11" s="324" customFormat="1" x14ac:dyDescent="0.25">
      <c r="A3001" s="302" t="str">
        <f t="shared" si="88"/>
        <v>Modulating Commercial Gas Clothes Dryer_Hotels &amp; Hospitals_CI_Gallons Saved per Unit</v>
      </c>
      <c r="B3001" s="303" t="s">
        <v>12</v>
      </c>
      <c r="C3001" s="304" t="s">
        <v>1253</v>
      </c>
      <c r="D3001" s="303" t="s">
        <v>1159</v>
      </c>
      <c r="E3001" s="314" t="s">
        <v>547</v>
      </c>
      <c r="F3001" s="326"/>
      <c r="G3001" s="326">
        <v>0</v>
      </c>
      <c r="H3001" s="305"/>
      <c r="I3001" s="305" t="s">
        <v>152</v>
      </c>
      <c r="J3001" s="305" t="s">
        <v>132</v>
      </c>
      <c r="K3001" s="305" t="s">
        <v>1948</v>
      </c>
    </row>
    <row r="3002" spans="1:11" s="324" customFormat="1" x14ac:dyDescent="0.25">
      <c r="A3002" s="302" t="str">
        <f t="shared" si="88"/>
        <v>Modulating Commercial Gas Clothes Dryer_Hotels &amp; Hospitals_CI_Lifetime (years)</v>
      </c>
      <c r="B3002" s="303" t="s">
        <v>12</v>
      </c>
      <c r="C3002" s="304" t="s">
        <v>1253</v>
      </c>
      <c r="D3002" s="303" t="s">
        <v>1159</v>
      </c>
      <c r="E3002" s="314" t="s">
        <v>259</v>
      </c>
      <c r="F3002" s="326"/>
      <c r="G3002" s="401">
        <v>10</v>
      </c>
      <c r="H3002" s="305"/>
      <c r="I3002" s="305" t="s">
        <v>152</v>
      </c>
      <c r="J3002" s="305" t="s">
        <v>132</v>
      </c>
      <c r="K3002" s="305" t="s">
        <v>1948</v>
      </c>
    </row>
    <row r="3003" spans="1:11" s="324" customFormat="1" x14ac:dyDescent="0.25">
      <c r="A3003" s="302" t="str">
        <f t="shared" si="88"/>
        <v>Modulating Commercial Gas Clothes Dryer_Hotels &amp; Hospitals_CI_Incremental Cost</v>
      </c>
      <c r="B3003" s="303" t="s">
        <v>12</v>
      </c>
      <c r="C3003" s="304" t="s">
        <v>1253</v>
      </c>
      <c r="D3003" s="303" t="s">
        <v>1159</v>
      </c>
      <c r="E3003" s="314" t="s">
        <v>260</v>
      </c>
      <c r="F3003" s="326"/>
      <c r="G3003" s="326">
        <v>700</v>
      </c>
      <c r="H3003" s="305"/>
      <c r="I3003" s="305" t="s">
        <v>152</v>
      </c>
      <c r="J3003" s="305" t="s">
        <v>132</v>
      </c>
      <c r="K3003" s="305" t="s">
        <v>1948</v>
      </c>
    </row>
    <row r="3004" spans="1:11" s="324" customFormat="1" x14ac:dyDescent="0.25">
      <c r="A3004" s="317" t="str">
        <f t="shared" si="88"/>
        <v>Modulating Commercial Gas Clothes Dryer_Hotels &amp; Hospitals_CI_</v>
      </c>
      <c r="B3004" s="317" t="str">
        <f>B3003</f>
        <v>Modulating Commercial Gas Clothes Dryer</v>
      </c>
      <c r="C3004" s="332" t="s">
        <v>1253</v>
      </c>
      <c r="D3004" s="317" t="s">
        <v>1159</v>
      </c>
      <c r="E3004" s="320"/>
      <c r="F3004" s="320"/>
      <c r="G3004" s="329"/>
      <c r="H3004" s="320"/>
      <c r="I3004" s="320"/>
      <c r="J3004" s="320"/>
      <c r="K3004" s="320"/>
    </row>
    <row r="3005" spans="1:11" x14ac:dyDescent="0.25">
      <c r="A3005" s="302" t="str">
        <f t="shared" si="88"/>
        <v>Modulating Commercial Gas Clothes Dryer_Laundromat &amp; MF Dorms_MF/SMB_N_cycles</v>
      </c>
      <c r="B3005" s="303" t="s">
        <v>12</v>
      </c>
      <c r="C3005" s="402" t="s">
        <v>1255</v>
      </c>
      <c r="D3005" s="303" t="s">
        <v>1256</v>
      </c>
      <c r="E3005" s="305" t="s">
        <v>432</v>
      </c>
      <c r="F3005" s="309" t="s">
        <v>727</v>
      </c>
      <c r="G3005" s="307">
        <f>AVERAGE(G3007:G3008)</f>
        <v>1278.5</v>
      </c>
      <c r="H3005" s="305" t="s">
        <v>1257</v>
      </c>
      <c r="I3005" s="305" t="s">
        <v>152</v>
      </c>
      <c r="J3005" s="305" t="s">
        <v>132</v>
      </c>
      <c r="K3005" s="305" t="s">
        <v>1948</v>
      </c>
    </row>
    <row r="3006" spans="1:11" x14ac:dyDescent="0.25">
      <c r="A3006" s="302" t="str">
        <f t="shared" si="88"/>
        <v>Modulating Commercial Gas Clothes Dryer_Laundromat &amp; MF Dorms_MF/SMB_SF</v>
      </c>
      <c r="B3006" s="303" t="s">
        <v>12</v>
      </c>
      <c r="C3006" s="402" t="s">
        <v>1255</v>
      </c>
      <c r="D3006" s="303" t="s">
        <v>1256</v>
      </c>
      <c r="E3006" s="305" t="s">
        <v>409</v>
      </c>
      <c r="F3006" s="309" t="s">
        <v>1254</v>
      </c>
      <c r="G3006" s="307">
        <v>0.18</v>
      </c>
      <c r="H3006" s="305"/>
      <c r="I3006" s="305" t="s">
        <v>152</v>
      </c>
      <c r="J3006" s="305" t="s">
        <v>132</v>
      </c>
      <c r="K3006" s="305" t="s">
        <v>1948</v>
      </c>
    </row>
    <row r="3007" spans="1:11" x14ac:dyDescent="0.25">
      <c r="A3007" s="302" t="str">
        <f t="shared" si="88"/>
        <v>Modulating Commercial Gas Clothes Dryer_Laundromat &amp; MF Dorms_MF/SMB_N_cycles (reference)</v>
      </c>
      <c r="B3007" s="303" t="s">
        <v>12</v>
      </c>
      <c r="C3007" s="402" t="s">
        <v>1255</v>
      </c>
      <c r="D3007" s="303" t="s">
        <v>1256</v>
      </c>
      <c r="E3007" s="305" t="s">
        <v>433</v>
      </c>
      <c r="F3007" s="309" t="s">
        <v>727</v>
      </c>
      <c r="G3007" s="307">
        <v>1483</v>
      </c>
      <c r="H3007" s="305" t="s">
        <v>434</v>
      </c>
      <c r="I3007" s="305" t="s">
        <v>152</v>
      </c>
      <c r="J3007" s="305" t="s">
        <v>132</v>
      </c>
      <c r="K3007" s="305" t="s">
        <v>1948</v>
      </c>
    </row>
    <row r="3008" spans="1:11" x14ac:dyDescent="0.25">
      <c r="A3008" s="302" t="str">
        <f t="shared" si="88"/>
        <v>Modulating Commercial Gas Clothes Dryer_Laundromat &amp; MF Dorms_MF/SMB_N_cycles (reference)</v>
      </c>
      <c r="B3008" s="303" t="s">
        <v>12</v>
      </c>
      <c r="C3008" s="402" t="s">
        <v>1255</v>
      </c>
      <c r="D3008" s="303" t="s">
        <v>1256</v>
      </c>
      <c r="E3008" s="305" t="s">
        <v>433</v>
      </c>
      <c r="F3008" s="309" t="s">
        <v>727</v>
      </c>
      <c r="G3008" s="307">
        <v>1074</v>
      </c>
      <c r="H3008" s="305" t="s">
        <v>435</v>
      </c>
      <c r="I3008" s="305" t="s">
        <v>152</v>
      </c>
      <c r="J3008" s="305" t="s">
        <v>132</v>
      </c>
      <c r="K3008" s="305" t="s">
        <v>1948</v>
      </c>
    </row>
    <row r="3009" spans="1:11" x14ac:dyDescent="0.25">
      <c r="A3009" s="302" t="str">
        <f t="shared" si="88"/>
        <v>Modulating Commercial Gas Clothes Dryer_Laundromat &amp; MF Dorms_MF/SMB_N_cycles (reference)</v>
      </c>
      <c r="B3009" s="303" t="s">
        <v>12</v>
      </c>
      <c r="C3009" s="402" t="s">
        <v>1255</v>
      </c>
      <c r="D3009" s="303" t="s">
        <v>1256</v>
      </c>
      <c r="E3009" s="305" t="s">
        <v>433</v>
      </c>
      <c r="F3009" s="309" t="s">
        <v>727</v>
      </c>
      <c r="G3009" s="307">
        <v>3607</v>
      </c>
      <c r="H3009" s="305" t="s">
        <v>436</v>
      </c>
      <c r="I3009" s="305" t="s">
        <v>152</v>
      </c>
      <c r="J3009" s="305" t="s">
        <v>132</v>
      </c>
      <c r="K3009" s="305" t="s">
        <v>1948</v>
      </c>
    </row>
    <row r="3010" spans="1:11" x14ac:dyDescent="0.25">
      <c r="A3010" s="302" t="str">
        <f t="shared" si="88"/>
        <v>Modulating Commercial Gas Clothes Dryer_Laundromat &amp; MF Dorms_MF/SMB_kWh Saved per Unit</v>
      </c>
      <c r="B3010" s="303" t="s">
        <v>12</v>
      </c>
      <c r="C3010" s="402" t="s">
        <v>1255</v>
      </c>
      <c r="D3010" s="303" t="s">
        <v>1256</v>
      </c>
      <c r="E3010" s="314" t="s">
        <v>255</v>
      </c>
      <c r="F3010" s="326"/>
      <c r="G3010" s="326">
        <v>0</v>
      </c>
      <c r="H3010" s="305"/>
      <c r="I3010" s="305" t="s">
        <v>152</v>
      </c>
      <c r="J3010" s="305" t="s">
        <v>132</v>
      </c>
      <c r="K3010" s="305" t="s">
        <v>1948</v>
      </c>
    </row>
    <row r="3011" spans="1:11" x14ac:dyDescent="0.25">
      <c r="A3011" s="302" t="str">
        <f t="shared" si="88"/>
        <v>Modulating Commercial Gas Clothes Dryer_Laundromat &amp; MF Dorms_MF/SMB_Coincident Peak kW Saved per Unit</v>
      </c>
      <c r="B3011" s="303" t="s">
        <v>12</v>
      </c>
      <c r="C3011" s="402" t="s">
        <v>1255</v>
      </c>
      <c r="D3011" s="303" t="s">
        <v>1256</v>
      </c>
      <c r="E3011" s="314" t="s">
        <v>257</v>
      </c>
      <c r="F3011" s="326"/>
      <c r="G3011" s="326">
        <v>0</v>
      </c>
      <c r="H3011" s="305"/>
      <c r="I3011" s="305" t="s">
        <v>152</v>
      </c>
      <c r="J3011" s="305" t="s">
        <v>132</v>
      </c>
      <c r="K3011" s="305" t="s">
        <v>1948</v>
      </c>
    </row>
    <row r="3012" spans="1:11" x14ac:dyDescent="0.25">
      <c r="A3012" s="302" t="str">
        <f t="shared" si="88"/>
        <v>Modulating Commercial Gas Clothes Dryer_Laundromat &amp; MF Dorms_MF/SMB_Therm Saved per Unit</v>
      </c>
      <c r="B3012" s="303" t="s">
        <v>12</v>
      </c>
      <c r="C3012" s="402" t="s">
        <v>1255</v>
      </c>
      <c r="D3012" s="303" t="s">
        <v>1256</v>
      </c>
      <c r="E3012" s="314" t="s">
        <v>326</v>
      </c>
      <c r="F3012" s="326"/>
      <c r="G3012" s="326">
        <f>G3005*G3006</f>
        <v>230.13</v>
      </c>
      <c r="H3012" s="305"/>
      <c r="I3012" s="305" t="s">
        <v>152</v>
      </c>
      <c r="J3012" s="305" t="s">
        <v>132</v>
      </c>
      <c r="K3012" s="305" t="s">
        <v>1948</v>
      </c>
    </row>
    <row r="3013" spans="1:11" x14ac:dyDescent="0.25">
      <c r="A3013" s="302" t="str">
        <f t="shared" si="88"/>
        <v>Modulating Commercial Gas Clothes Dryer_Laundromat &amp; MF Dorms_MF/SMB_Gallons Saved per Unit</v>
      </c>
      <c r="B3013" s="303" t="s">
        <v>12</v>
      </c>
      <c r="C3013" s="402" t="s">
        <v>1255</v>
      </c>
      <c r="D3013" s="303" t="s">
        <v>1256</v>
      </c>
      <c r="E3013" s="314" t="s">
        <v>547</v>
      </c>
      <c r="F3013" s="326"/>
      <c r="G3013" s="326">
        <v>0</v>
      </c>
      <c r="H3013" s="305"/>
      <c r="I3013" s="305" t="s">
        <v>152</v>
      </c>
      <c r="J3013" s="305" t="s">
        <v>132</v>
      </c>
      <c r="K3013" s="305" t="s">
        <v>1948</v>
      </c>
    </row>
    <row r="3014" spans="1:11" x14ac:dyDescent="0.25">
      <c r="A3014" s="302" t="str">
        <f t="shared" si="88"/>
        <v>Modulating Commercial Gas Clothes Dryer_Laundromat &amp; MF Dorms_MF/SMB_Lifetime (years)</v>
      </c>
      <c r="B3014" s="303" t="s">
        <v>12</v>
      </c>
      <c r="C3014" s="402" t="s">
        <v>1255</v>
      </c>
      <c r="D3014" s="303" t="s">
        <v>1256</v>
      </c>
      <c r="E3014" s="314" t="s">
        <v>259</v>
      </c>
      <c r="F3014" s="326"/>
      <c r="G3014" s="401">
        <v>10</v>
      </c>
      <c r="H3014" s="305"/>
      <c r="I3014" s="305" t="s">
        <v>152</v>
      </c>
      <c r="J3014" s="305" t="s">
        <v>132</v>
      </c>
      <c r="K3014" s="305" t="s">
        <v>1948</v>
      </c>
    </row>
    <row r="3015" spans="1:11" x14ac:dyDescent="0.25">
      <c r="A3015" s="302" t="str">
        <f t="shared" si="88"/>
        <v>Modulating Commercial Gas Clothes Dryer_Laundromat &amp; MF Dorms_MF/SMB_Incremental Cost</v>
      </c>
      <c r="B3015" s="303" t="s">
        <v>12</v>
      </c>
      <c r="C3015" s="402" t="s">
        <v>1255</v>
      </c>
      <c r="D3015" s="303" t="s">
        <v>1256</v>
      </c>
      <c r="E3015" s="314" t="s">
        <v>260</v>
      </c>
      <c r="F3015" s="326"/>
      <c r="G3015" s="326">
        <v>700</v>
      </c>
      <c r="H3015" s="305"/>
      <c r="I3015" s="305" t="s">
        <v>152</v>
      </c>
      <c r="J3015" s="305" t="s">
        <v>132</v>
      </c>
      <c r="K3015" s="305" t="s">
        <v>1948</v>
      </c>
    </row>
    <row r="3016" spans="1:11" s="324" customFormat="1" x14ac:dyDescent="0.25">
      <c r="A3016" s="317" t="str">
        <f t="shared" si="88"/>
        <v>Modulating Commercial Gas Clothes Dryer_Laundromat &amp; MF Dorms_MF/SMB_</v>
      </c>
      <c r="B3016" s="317" t="str">
        <f>B3015</f>
        <v>Modulating Commercial Gas Clothes Dryer</v>
      </c>
      <c r="C3016" s="332" t="str">
        <f>C3015</f>
        <v>Laundromat &amp; MF Dorms</v>
      </c>
      <c r="D3016" s="317" t="str">
        <f>D3015</f>
        <v>MF/SMB</v>
      </c>
      <c r="E3016" s="320"/>
      <c r="F3016" s="320"/>
      <c r="G3016" s="329"/>
      <c r="H3016" s="320"/>
      <c r="I3016" s="320"/>
      <c r="J3016" s="320"/>
      <c r="K3016" s="320"/>
    </row>
    <row r="3017" spans="1:11" x14ac:dyDescent="0.25">
      <c r="A3017" s="302" t="str">
        <f t="shared" si="88"/>
        <v>Boiler_≥88% AFUE, &lt;300MBh_CI_EFLH</v>
      </c>
      <c r="B3017" s="303" t="s">
        <v>944</v>
      </c>
      <c r="C3017" s="304" t="s">
        <v>945</v>
      </c>
      <c r="D3017" s="303" t="s">
        <v>1159</v>
      </c>
      <c r="E3017" s="305" t="s">
        <v>321</v>
      </c>
      <c r="F3017" s="305" t="s">
        <v>283</v>
      </c>
      <c r="G3017" s="325">
        <f>AVERAGE(1540,1782)</f>
        <v>1661</v>
      </c>
      <c r="H3017" s="305" t="s">
        <v>656</v>
      </c>
      <c r="I3017" s="305" t="s">
        <v>152</v>
      </c>
      <c r="J3017" s="305" t="s">
        <v>910</v>
      </c>
      <c r="K3017" s="305"/>
    </row>
    <row r="3018" spans="1:11" x14ac:dyDescent="0.25">
      <c r="A3018" s="302" t="str">
        <f t="shared" si="88"/>
        <v>Boiler_≥88% AFUE, &lt;300MBh_CI_Capacity</v>
      </c>
      <c r="B3018" s="303" t="s">
        <v>944</v>
      </c>
      <c r="C3018" s="304" t="s">
        <v>945</v>
      </c>
      <c r="D3018" s="303" t="s">
        <v>1159</v>
      </c>
      <c r="E3018" s="305" t="s">
        <v>270</v>
      </c>
      <c r="F3018" s="305" t="s">
        <v>941</v>
      </c>
      <c r="G3018" s="339">
        <v>1000</v>
      </c>
      <c r="H3018" s="305"/>
      <c r="I3018" s="305"/>
      <c r="J3018" s="305"/>
      <c r="K3018" s="305"/>
    </row>
    <row r="3019" spans="1:11" x14ac:dyDescent="0.25">
      <c r="A3019" s="302" t="str">
        <f t="shared" si="88"/>
        <v>Boiler_≥88% AFUE, &lt;300MBh_CI_Eff_base</v>
      </c>
      <c r="B3019" s="303" t="s">
        <v>944</v>
      </c>
      <c r="C3019" s="304" t="s">
        <v>945</v>
      </c>
      <c r="D3019" s="303" t="s">
        <v>1159</v>
      </c>
      <c r="E3019" s="305" t="s">
        <v>372</v>
      </c>
      <c r="F3019" s="305" t="s">
        <v>539</v>
      </c>
      <c r="G3019" s="308">
        <v>0.84</v>
      </c>
      <c r="H3019" s="311" t="s">
        <v>2614</v>
      </c>
      <c r="I3019" s="305" t="s">
        <v>152</v>
      </c>
      <c r="J3019" s="305" t="s">
        <v>133</v>
      </c>
      <c r="K3019" s="305" t="s">
        <v>2038</v>
      </c>
    </row>
    <row r="3020" spans="1:11" x14ac:dyDescent="0.25">
      <c r="A3020" s="302" t="str">
        <f t="shared" ref="A3020:A3083" si="89">B3020&amp;"_"&amp;C3020&amp;"_"&amp;D3020&amp;"_"&amp;E3020</f>
        <v>Boiler_≥88% AFUE, &lt;300MBh_CI_Eff_ee</v>
      </c>
      <c r="B3020" s="303" t="s">
        <v>944</v>
      </c>
      <c r="C3020" s="304" t="s">
        <v>945</v>
      </c>
      <c r="D3020" s="303" t="s">
        <v>1159</v>
      </c>
      <c r="E3020" s="305" t="s">
        <v>373</v>
      </c>
      <c r="F3020" s="305" t="s">
        <v>539</v>
      </c>
      <c r="G3020" s="308">
        <v>0.88</v>
      </c>
      <c r="H3020" s="311" t="str">
        <f>H3019</f>
        <v>Hot Water &lt;300,000 Btu/hr</v>
      </c>
      <c r="I3020" s="311" t="s">
        <v>152</v>
      </c>
      <c r="J3020" s="305" t="s">
        <v>133</v>
      </c>
      <c r="K3020" s="305" t="s">
        <v>2038</v>
      </c>
    </row>
    <row r="3021" spans="1:11" x14ac:dyDescent="0.25">
      <c r="A3021" s="302" t="str">
        <f t="shared" si="89"/>
        <v>Boiler_≥88% AFUE, &lt;300MBh_CI_Conversion</v>
      </c>
      <c r="B3021" s="303" t="s">
        <v>944</v>
      </c>
      <c r="C3021" s="304" t="s">
        <v>945</v>
      </c>
      <c r="D3021" s="303" t="s">
        <v>1159</v>
      </c>
      <c r="E3021" s="305" t="s">
        <v>284</v>
      </c>
      <c r="F3021" s="305" t="s">
        <v>622</v>
      </c>
      <c r="G3021" s="325">
        <v>100000</v>
      </c>
      <c r="H3021" s="305"/>
      <c r="I3021" s="305" t="s">
        <v>152</v>
      </c>
      <c r="J3021" s="305" t="s">
        <v>133</v>
      </c>
      <c r="K3021" s="305" t="s">
        <v>2038</v>
      </c>
    </row>
    <row r="3022" spans="1:11" x14ac:dyDescent="0.25">
      <c r="A3022" s="302" t="str">
        <f t="shared" si="89"/>
        <v>Boiler_≥88% AFUE, &lt;300MBh_CI_Therm Saved per Unit</v>
      </c>
      <c r="B3022" s="303" t="s">
        <v>944</v>
      </c>
      <c r="C3022" s="304" t="s">
        <v>945</v>
      </c>
      <c r="D3022" s="303" t="s">
        <v>1159</v>
      </c>
      <c r="E3022" s="314" t="s">
        <v>326</v>
      </c>
      <c r="F3022" s="314" t="s">
        <v>943</v>
      </c>
      <c r="G3022" s="315">
        <f xml:space="preserve"> G3017 * G3018 * ((G3020 - G3019) / G3019) / G3021</f>
        <v>0.79095238095238163</v>
      </c>
      <c r="H3022" s="305"/>
      <c r="I3022" s="305" t="s">
        <v>152</v>
      </c>
      <c r="J3022" s="305" t="s">
        <v>133</v>
      </c>
      <c r="K3022" s="305" t="s">
        <v>2038</v>
      </c>
    </row>
    <row r="3023" spans="1:11" x14ac:dyDescent="0.25">
      <c r="A3023" s="302" t="str">
        <f t="shared" si="89"/>
        <v>Boiler_≥88% AFUE, &lt;300MBh_CI_Lifetime (years)</v>
      </c>
      <c r="B3023" s="303" t="s">
        <v>944</v>
      </c>
      <c r="C3023" s="304" t="s">
        <v>945</v>
      </c>
      <c r="D3023" s="303" t="s">
        <v>1159</v>
      </c>
      <c r="E3023" s="314" t="s">
        <v>259</v>
      </c>
      <c r="F3023" s="314" t="s">
        <v>548</v>
      </c>
      <c r="G3023" s="315">
        <v>25</v>
      </c>
      <c r="H3023" s="305"/>
      <c r="I3023" s="305" t="s">
        <v>152</v>
      </c>
      <c r="J3023" s="305" t="s">
        <v>133</v>
      </c>
      <c r="K3023" s="305" t="s">
        <v>2038</v>
      </c>
    </row>
    <row r="3024" spans="1:11" x14ac:dyDescent="0.25">
      <c r="A3024" s="302" t="str">
        <f t="shared" si="89"/>
        <v>Boiler_≥88% AFUE, &lt;300MBh_CI_Incremental Cost</v>
      </c>
      <c r="B3024" s="303" t="s">
        <v>944</v>
      </c>
      <c r="C3024" s="304" t="s">
        <v>945</v>
      </c>
      <c r="D3024" s="303" t="s">
        <v>1159</v>
      </c>
      <c r="E3024" s="314" t="s">
        <v>260</v>
      </c>
      <c r="F3024" s="314" t="s">
        <v>679</v>
      </c>
      <c r="G3024" s="328">
        <v>4.9000000000000004</v>
      </c>
      <c r="H3024" s="305" t="s">
        <v>633</v>
      </c>
      <c r="I3024" s="305" t="s">
        <v>633</v>
      </c>
      <c r="J3024" s="305"/>
      <c r="K3024" s="305"/>
    </row>
    <row r="3025" spans="1:11" s="324" customFormat="1" x14ac:dyDescent="0.25">
      <c r="A3025" s="317" t="str">
        <f t="shared" si="89"/>
        <v>Boiler_≥88% AFUE, &lt;300MBh_CI_</v>
      </c>
      <c r="B3025" s="317" t="str">
        <f>B3024</f>
        <v>Boiler</v>
      </c>
      <c r="C3025" s="332" t="str">
        <f>C3024</f>
        <v>≥88% AFUE, &lt;300MBh</v>
      </c>
      <c r="D3025" s="317" t="str">
        <f>D3024</f>
        <v>CI</v>
      </c>
      <c r="E3025" s="320"/>
      <c r="F3025" s="320"/>
      <c r="G3025" s="329"/>
      <c r="H3025" s="320"/>
      <c r="I3025" s="320"/>
      <c r="J3025" s="320"/>
      <c r="K3025" s="320"/>
    </row>
    <row r="3026" spans="1:11" x14ac:dyDescent="0.25">
      <c r="A3026" s="302" t="str">
        <f t="shared" si="89"/>
        <v>Boiler_≥88% AFUE, ≥300MBh TE_CI_EFLH</v>
      </c>
      <c r="B3026" s="303" t="s">
        <v>944</v>
      </c>
      <c r="C3026" s="304" t="s">
        <v>946</v>
      </c>
      <c r="D3026" s="303" t="s">
        <v>1159</v>
      </c>
      <c r="E3026" s="305" t="s">
        <v>321</v>
      </c>
      <c r="F3026" s="305" t="s">
        <v>283</v>
      </c>
      <c r="G3026" s="325">
        <v>1661</v>
      </c>
      <c r="H3026" s="305" t="s">
        <v>656</v>
      </c>
      <c r="I3026" s="305" t="s">
        <v>152</v>
      </c>
      <c r="J3026" s="305" t="s">
        <v>910</v>
      </c>
      <c r="K3026" s="305"/>
    </row>
    <row r="3027" spans="1:11" x14ac:dyDescent="0.25">
      <c r="A3027" s="302" t="str">
        <f t="shared" si="89"/>
        <v>Boiler_≥88% AFUE, ≥300MBh TE_CI_Capacity</v>
      </c>
      <c r="B3027" s="303" t="s">
        <v>944</v>
      </c>
      <c r="C3027" s="304" t="s">
        <v>946</v>
      </c>
      <c r="D3027" s="303" t="s">
        <v>1159</v>
      </c>
      <c r="E3027" s="305" t="s">
        <v>270</v>
      </c>
      <c r="F3027" s="309"/>
      <c r="G3027" s="306">
        <v>1000</v>
      </c>
      <c r="H3027" s="305"/>
      <c r="I3027" s="305"/>
      <c r="J3027" s="305"/>
      <c r="K3027" s="305"/>
    </row>
    <row r="3028" spans="1:11" x14ac:dyDescent="0.25">
      <c r="A3028" s="302" t="str">
        <f t="shared" si="89"/>
        <v>Boiler_≥88% AFUE, ≥300MBh TE_CI_Eff_base</v>
      </c>
      <c r="B3028" s="303" t="s">
        <v>944</v>
      </c>
      <c r="C3028" s="304" t="s">
        <v>946</v>
      </c>
      <c r="D3028" s="303" t="s">
        <v>1159</v>
      </c>
      <c r="E3028" s="311" t="s">
        <v>372</v>
      </c>
      <c r="F3028" s="311" t="s">
        <v>539</v>
      </c>
      <c r="G3028" s="322">
        <v>0.84</v>
      </c>
      <c r="H3028" s="311" t="s">
        <v>2557</v>
      </c>
      <c r="I3028" s="305" t="s">
        <v>152</v>
      </c>
      <c r="J3028" s="305" t="s">
        <v>133</v>
      </c>
      <c r="K3028" s="305" t="s">
        <v>2038</v>
      </c>
    </row>
    <row r="3029" spans="1:11" x14ac:dyDescent="0.25">
      <c r="A3029" s="302" t="str">
        <f t="shared" si="89"/>
        <v>Boiler_≥88% AFUE, ≥300MBh TE_CI_Eff_ee</v>
      </c>
      <c r="B3029" s="303" t="s">
        <v>944</v>
      </c>
      <c r="C3029" s="304" t="s">
        <v>946</v>
      </c>
      <c r="D3029" s="303" t="s">
        <v>1159</v>
      </c>
      <c r="E3029" s="305" t="s">
        <v>373</v>
      </c>
      <c r="F3029" s="309"/>
      <c r="G3029" s="333">
        <v>0.88</v>
      </c>
      <c r="H3029" s="311" t="str">
        <f>H3028</f>
        <v>Hot Water Boiler &gt; 300,000 Btu/h and &lt; 2,500,000 Btu/h</v>
      </c>
      <c r="I3029" s="311" t="s">
        <v>152</v>
      </c>
      <c r="J3029" s="305" t="s">
        <v>133</v>
      </c>
      <c r="K3029" s="305" t="s">
        <v>2038</v>
      </c>
    </row>
    <row r="3030" spans="1:11" x14ac:dyDescent="0.25">
      <c r="A3030" s="302" t="str">
        <f t="shared" si="89"/>
        <v>Boiler_≥88% AFUE, ≥300MBh TE_CI_Conversion</v>
      </c>
      <c r="B3030" s="303" t="s">
        <v>944</v>
      </c>
      <c r="C3030" s="304" t="s">
        <v>946</v>
      </c>
      <c r="D3030" s="303" t="s">
        <v>1159</v>
      </c>
      <c r="E3030" s="305" t="s">
        <v>284</v>
      </c>
      <c r="F3030" s="309" t="s">
        <v>622</v>
      </c>
      <c r="G3030" s="325">
        <v>100000</v>
      </c>
      <c r="H3030" s="305"/>
      <c r="I3030" s="305" t="s">
        <v>152</v>
      </c>
      <c r="J3030" s="305" t="s">
        <v>133</v>
      </c>
      <c r="K3030" s="305" t="s">
        <v>2038</v>
      </c>
    </row>
    <row r="3031" spans="1:11" x14ac:dyDescent="0.25">
      <c r="A3031" s="302" t="str">
        <f t="shared" si="89"/>
        <v>Boiler_≥88% AFUE, ≥300MBh TE_CI_Therm Saved per Unit</v>
      </c>
      <c r="B3031" s="303" t="s">
        <v>944</v>
      </c>
      <c r="C3031" s="304" t="s">
        <v>946</v>
      </c>
      <c r="D3031" s="303" t="s">
        <v>1159</v>
      </c>
      <c r="E3031" s="314" t="s">
        <v>326</v>
      </c>
      <c r="F3031" s="314" t="s">
        <v>943</v>
      </c>
      <c r="G3031" s="315">
        <f xml:space="preserve"> G3026 * G3027 * ((G3029 - G3028) / G3028) / G3030</f>
        <v>0.79095238095238163</v>
      </c>
      <c r="H3031" s="305"/>
      <c r="I3031" s="305" t="s">
        <v>152</v>
      </c>
      <c r="J3031" s="305" t="s">
        <v>133</v>
      </c>
      <c r="K3031" s="305" t="s">
        <v>2038</v>
      </c>
    </row>
    <row r="3032" spans="1:11" x14ac:dyDescent="0.25">
      <c r="A3032" s="302" t="str">
        <f t="shared" si="89"/>
        <v>Boiler_≥88% AFUE, ≥300MBh TE_CI_Lifetime (years)</v>
      </c>
      <c r="B3032" s="303" t="s">
        <v>944</v>
      </c>
      <c r="C3032" s="304" t="s">
        <v>946</v>
      </c>
      <c r="D3032" s="303" t="s">
        <v>1159</v>
      </c>
      <c r="E3032" s="314" t="s">
        <v>259</v>
      </c>
      <c r="F3032" s="314" t="s">
        <v>548</v>
      </c>
      <c r="G3032" s="315">
        <v>25</v>
      </c>
      <c r="H3032" s="305"/>
      <c r="I3032" s="305" t="s">
        <v>152</v>
      </c>
      <c r="J3032" s="305" t="s">
        <v>133</v>
      </c>
      <c r="K3032" s="305" t="s">
        <v>2038</v>
      </c>
    </row>
    <row r="3033" spans="1:11" x14ac:dyDescent="0.25">
      <c r="A3033" s="302" t="str">
        <f t="shared" si="89"/>
        <v>Boiler_≥88% AFUE, ≥300MBh TE_CI_Incremental Cost</v>
      </c>
      <c r="B3033" s="303" t="s">
        <v>944</v>
      </c>
      <c r="C3033" s="304" t="s">
        <v>946</v>
      </c>
      <c r="D3033" s="303" t="s">
        <v>1159</v>
      </c>
      <c r="E3033" s="314" t="s">
        <v>260</v>
      </c>
      <c r="F3033" s="314" t="s">
        <v>679</v>
      </c>
      <c r="G3033" s="328">
        <v>4.9000000000000004</v>
      </c>
      <c r="H3033" s="305" t="s">
        <v>633</v>
      </c>
      <c r="I3033" s="305" t="s">
        <v>633</v>
      </c>
      <c r="J3033" s="305"/>
      <c r="K3033" s="305"/>
    </row>
    <row r="3034" spans="1:11" s="324" customFormat="1" x14ac:dyDescent="0.25">
      <c r="A3034" s="317" t="str">
        <f t="shared" si="89"/>
        <v>Boiler_≥88% AFUE, ≥300MBh TE_CI_</v>
      </c>
      <c r="B3034" s="317" t="str">
        <f>B3033</f>
        <v>Boiler</v>
      </c>
      <c r="C3034" s="332" t="str">
        <f>C3033</f>
        <v>≥88% AFUE, ≥300MBh TE</v>
      </c>
      <c r="D3034" s="317" t="str">
        <f>D3033</f>
        <v>CI</v>
      </c>
      <c r="E3034" s="320"/>
      <c r="F3034" s="320"/>
      <c r="G3034" s="329"/>
      <c r="H3034" s="320"/>
      <c r="I3034" s="320"/>
      <c r="J3034" s="320"/>
      <c r="K3034" s="320"/>
    </row>
    <row r="3035" spans="1:11" x14ac:dyDescent="0.25">
      <c r="A3035" s="302" t="str">
        <f t="shared" si="89"/>
        <v>Steam Boiler_ &gt;=1500MBH, &gt;=82% TE_CI_EFLH</v>
      </c>
      <c r="B3035" s="303" t="s">
        <v>938</v>
      </c>
      <c r="C3035" s="304" t="s">
        <v>939</v>
      </c>
      <c r="D3035" s="303" t="s">
        <v>1159</v>
      </c>
      <c r="E3035" s="305" t="s">
        <v>321</v>
      </c>
      <c r="F3035" s="305" t="s">
        <v>283</v>
      </c>
      <c r="G3035" s="325">
        <v>1661</v>
      </c>
      <c r="H3035" s="305" t="s">
        <v>940</v>
      </c>
      <c r="I3035" s="305" t="s">
        <v>152</v>
      </c>
      <c r="J3035" s="305" t="s">
        <v>910</v>
      </c>
      <c r="K3035" s="305"/>
    </row>
    <row r="3036" spans="1:11" x14ac:dyDescent="0.25">
      <c r="A3036" s="302" t="str">
        <f t="shared" si="89"/>
        <v>Steam Boiler_ &gt;=1500MBH, &gt;=82% TE_CI_Capacity</v>
      </c>
      <c r="B3036" s="303" t="s">
        <v>938</v>
      </c>
      <c r="C3036" s="304" t="s">
        <v>939</v>
      </c>
      <c r="D3036" s="303" t="s">
        <v>1159</v>
      </c>
      <c r="E3036" s="305" t="s">
        <v>270</v>
      </c>
      <c r="F3036" s="309"/>
      <c r="G3036" s="339">
        <v>1000</v>
      </c>
      <c r="H3036" s="305"/>
      <c r="I3036" s="305"/>
      <c r="J3036" s="305"/>
      <c r="K3036" s="305"/>
    </row>
    <row r="3037" spans="1:11" x14ac:dyDescent="0.25">
      <c r="A3037" s="302" t="str">
        <f t="shared" si="89"/>
        <v>Steam Boiler_ &gt;=1500MBH, &gt;=82% TE_CI_Eff_base</v>
      </c>
      <c r="B3037" s="303" t="s">
        <v>938</v>
      </c>
      <c r="C3037" s="304" t="s">
        <v>939</v>
      </c>
      <c r="D3037" s="303" t="s">
        <v>1159</v>
      </c>
      <c r="E3037" s="311" t="s">
        <v>372</v>
      </c>
      <c r="F3037" s="311" t="s">
        <v>539</v>
      </c>
      <c r="G3037" s="322">
        <v>0.81</v>
      </c>
      <c r="H3037" s="311" t="s">
        <v>2556</v>
      </c>
      <c r="I3037" s="305" t="s">
        <v>152</v>
      </c>
      <c r="J3037" s="305" t="s">
        <v>133</v>
      </c>
      <c r="K3037" s="305" t="s">
        <v>2038</v>
      </c>
    </row>
    <row r="3038" spans="1:11" x14ac:dyDescent="0.25">
      <c r="A3038" s="302" t="str">
        <f t="shared" si="89"/>
        <v>Steam Boiler_ &gt;=1500MBH, &gt;=82% TE_CI_Eff_ee</v>
      </c>
      <c r="B3038" s="303" t="s">
        <v>938</v>
      </c>
      <c r="C3038" s="304" t="s">
        <v>939</v>
      </c>
      <c r="D3038" s="303" t="s">
        <v>1159</v>
      </c>
      <c r="E3038" s="311" t="s">
        <v>373</v>
      </c>
      <c r="F3038" s="311" t="s">
        <v>539</v>
      </c>
      <c r="G3038" s="322">
        <v>0.83</v>
      </c>
      <c r="H3038" s="311" t="str">
        <f>H3037</f>
        <v>Steam Boiler &gt; 300,000 Btu/h and &lt; 2,500,000 Btu/h</v>
      </c>
      <c r="I3038" s="305" t="s">
        <v>152</v>
      </c>
      <c r="J3038" s="305" t="s">
        <v>133</v>
      </c>
      <c r="K3038" s="305" t="s">
        <v>2038</v>
      </c>
    </row>
    <row r="3039" spans="1:11" x14ac:dyDescent="0.25">
      <c r="A3039" s="302" t="str">
        <f t="shared" si="89"/>
        <v>Steam Boiler_ &gt;=1500MBH, &gt;=82% TE_CI_Conversion</v>
      </c>
      <c r="B3039" s="303" t="s">
        <v>938</v>
      </c>
      <c r="C3039" s="304" t="s">
        <v>939</v>
      </c>
      <c r="D3039" s="303" t="s">
        <v>1159</v>
      </c>
      <c r="E3039" s="305" t="s">
        <v>284</v>
      </c>
      <c r="F3039" s="309" t="s">
        <v>622</v>
      </c>
      <c r="G3039" s="325">
        <v>100000</v>
      </c>
      <c r="H3039" s="305"/>
      <c r="I3039" s="305" t="s">
        <v>152</v>
      </c>
      <c r="J3039" s="305" t="s">
        <v>133</v>
      </c>
      <c r="K3039" s="305" t="s">
        <v>2038</v>
      </c>
    </row>
    <row r="3040" spans="1:11" x14ac:dyDescent="0.25">
      <c r="A3040" s="302" t="str">
        <f t="shared" si="89"/>
        <v>Steam Boiler_ &gt;=1500MBH, &gt;=82% TE_CI_Therm Saved per Unit</v>
      </c>
      <c r="B3040" s="303" t="s">
        <v>938</v>
      </c>
      <c r="C3040" s="304" t="s">
        <v>939</v>
      </c>
      <c r="D3040" s="303" t="s">
        <v>1159</v>
      </c>
      <c r="E3040" s="314" t="s">
        <v>326</v>
      </c>
      <c r="F3040" s="314" t="s">
        <v>943</v>
      </c>
      <c r="G3040" s="315">
        <f xml:space="preserve"> G3035 * G3036 * ((G3038 - G3037) / G3037) / G3039</f>
        <v>0.41012345679012158</v>
      </c>
      <c r="H3040" s="305"/>
      <c r="I3040" s="305" t="s">
        <v>152</v>
      </c>
      <c r="J3040" s="305" t="s">
        <v>133</v>
      </c>
      <c r="K3040" s="305" t="s">
        <v>2038</v>
      </c>
    </row>
    <row r="3041" spans="1:11" x14ac:dyDescent="0.25">
      <c r="A3041" s="302" t="str">
        <f t="shared" si="89"/>
        <v>Steam Boiler_ &gt;=1500MBH, &gt;=82% TE_CI_Lifetime (years)</v>
      </c>
      <c r="B3041" s="303" t="s">
        <v>938</v>
      </c>
      <c r="C3041" s="304" t="s">
        <v>939</v>
      </c>
      <c r="D3041" s="303" t="s">
        <v>1159</v>
      </c>
      <c r="E3041" s="314" t="s">
        <v>259</v>
      </c>
      <c r="F3041" s="314" t="s">
        <v>548</v>
      </c>
      <c r="G3041" s="315">
        <v>25</v>
      </c>
      <c r="H3041" s="305"/>
      <c r="I3041" s="305" t="s">
        <v>152</v>
      </c>
      <c r="J3041" s="305" t="s">
        <v>133</v>
      </c>
      <c r="K3041" s="305" t="s">
        <v>2038</v>
      </c>
    </row>
    <row r="3042" spans="1:11" x14ac:dyDescent="0.25">
      <c r="A3042" s="302" t="str">
        <f t="shared" si="89"/>
        <v>Steam Boiler_ &gt;=1500MBH, &gt;=82% TE_CI_Incremental Cost</v>
      </c>
      <c r="B3042" s="303" t="s">
        <v>938</v>
      </c>
      <c r="C3042" s="304" t="s">
        <v>939</v>
      </c>
      <c r="D3042" s="303" t="s">
        <v>1159</v>
      </c>
      <c r="E3042" s="314" t="s">
        <v>260</v>
      </c>
      <c r="F3042" s="314" t="s">
        <v>679</v>
      </c>
      <c r="G3042" s="328">
        <v>4.9000000000000004</v>
      </c>
      <c r="H3042" s="305" t="s">
        <v>633</v>
      </c>
      <c r="I3042" s="305" t="s">
        <v>633</v>
      </c>
      <c r="J3042" s="305"/>
      <c r="K3042" s="305"/>
    </row>
    <row r="3043" spans="1:11" s="324" customFormat="1" x14ac:dyDescent="0.25">
      <c r="A3043" s="317" t="str">
        <f t="shared" si="89"/>
        <v>Steam Boiler_ &gt;=1500MBH, &gt;=82% TE_CI_</v>
      </c>
      <c r="B3043" s="317" t="str">
        <f>B3042</f>
        <v>Steam Boiler</v>
      </c>
      <c r="C3043" s="332" t="str">
        <f>C3042</f>
        <v xml:space="preserve"> &gt;=1500MBH, &gt;=82% TE</v>
      </c>
      <c r="D3043" s="317" t="str">
        <f>D3042</f>
        <v>CI</v>
      </c>
      <c r="E3043" s="320"/>
      <c r="F3043" s="320"/>
      <c r="G3043" s="329"/>
      <c r="H3043" s="320"/>
      <c r="I3043" s="320"/>
      <c r="J3043" s="320"/>
      <c r="K3043" s="320"/>
    </row>
    <row r="3044" spans="1:11" x14ac:dyDescent="0.25">
      <c r="A3044" s="302" t="str">
        <f t="shared" si="89"/>
        <v>Boiler Tune Up_Process_MF/CI_Ngi</v>
      </c>
      <c r="B3044" s="303" t="s">
        <v>906</v>
      </c>
      <c r="C3044" s="304" t="s">
        <v>924</v>
      </c>
      <c r="D3044" s="303" t="s">
        <v>587</v>
      </c>
      <c r="E3044" s="305" t="s">
        <v>420</v>
      </c>
      <c r="F3044" s="305" t="s">
        <v>407</v>
      </c>
      <c r="G3044" s="307">
        <v>1</v>
      </c>
      <c r="H3044" s="305"/>
      <c r="I3044" s="305" t="s">
        <v>152</v>
      </c>
      <c r="J3044" s="305" t="s">
        <v>926</v>
      </c>
      <c r="K3044" s="305" t="s">
        <v>1947</v>
      </c>
    </row>
    <row r="3045" spans="1:11" x14ac:dyDescent="0.25">
      <c r="A3045" s="302" t="str">
        <f t="shared" si="89"/>
        <v>Boiler Tune Up_Process_MF/CI_UF</v>
      </c>
      <c r="B3045" s="303" t="s">
        <v>906</v>
      </c>
      <c r="C3045" s="304" t="s">
        <v>924</v>
      </c>
      <c r="D3045" s="303" t="s">
        <v>587</v>
      </c>
      <c r="E3045" s="305" t="s">
        <v>928</v>
      </c>
      <c r="F3045" s="305" t="s">
        <v>539</v>
      </c>
      <c r="G3045" s="373">
        <v>0.41899999999999998</v>
      </c>
      <c r="H3045" s="305" t="s">
        <v>376</v>
      </c>
      <c r="I3045" s="305" t="s">
        <v>152</v>
      </c>
      <c r="J3045" s="305" t="s">
        <v>926</v>
      </c>
      <c r="K3045" s="305" t="s">
        <v>1947</v>
      </c>
    </row>
    <row r="3046" spans="1:11" x14ac:dyDescent="0.25">
      <c r="A3046" s="302" t="str">
        <f t="shared" si="89"/>
        <v>Boiler Tune Up_Process_MF/CI_Effbefore</v>
      </c>
      <c r="B3046" s="303" t="s">
        <v>906</v>
      </c>
      <c r="C3046" s="304" t="s">
        <v>924</v>
      </c>
      <c r="D3046" s="303" t="s">
        <v>587</v>
      </c>
      <c r="E3046" s="305" t="s">
        <v>429</v>
      </c>
      <c r="F3046" s="305" t="s">
        <v>539</v>
      </c>
      <c r="G3046" s="333">
        <v>0.80300000000000005</v>
      </c>
      <c r="H3046" s="305"/>
      <c r="I3046" s="305" t="s">
        <v>152</v>
      </c>
      <c r="J3046" s="305" t="s">
        <v>926</v>
      </c>
      <c r="K3046" s="305" t="s">
        <v>1947</v>
      </c>
    </row>
    <row r="3047" spans="1:11" x14ac:dyDescent="0.25">
      <c r="A3047" s="302" t="str">
        <f t="shared" si="89"/>
        <v>Boiler Tune Up_Process_MF/CI_Effafter</v>
      </c>
      <c r="B3047" s="303" t="s">
        <v>906</v>
      </c>
      <c r="C3047" s="304" t="s">
        <v>924</v>
      </c>
      <c r="D3047" s="303" t="s">
        <v>587</v>
      </c>
      <c r="E3047" s="305" t="s">
        <v>1258</v>
      </c>
      <c r="F3047" s="305" t="s">
        <v>539</v>
      </c>
      <c r="G3047" s="333">
        <v>0.82599999999999996</v>
      </c>
      <c r="H3047" s="305"/>
      <c r="I3047" s="305" t="s">
        <v>152</v>
      </c>
      <c r="J3047" s="305" t="s">
        <v>926</v>
      </c>
      <c r="K3047" s="305" t="s">
        <v>1947</v>
      </c>
    </row>
    <row r="3048" spans="1:11" x14ac:dyDescent="0.25">
      <c r="A3048" s="302" t="str">
        <f t="shared" si="89"/>
        <v>Boiler Tune Up_Process_MF/CI_Conversion</v>
      </c>
      <c r="B3048" s="303" t="s">
        <v>906</v>
      </c>
      <c r="C3048" s="304" t="s">
        <v>924</v>
      </c>
      <c r="D3048" s="303" t="s">
        <v>587</v>
      </c>
      <c r="E3048" s="305" t="s">
        <v>284</v>
      </c>
      <c r="F3048" s="305" t="s">
        <v>981</v>
      </c>
      <c r="G3048" s="354">
        <v>100</v>
      </c>
      <c r="H3048" s="305"/>
      <c r="I3048" s="305" t="s">
        <v>152</v>
      </c>
      <c r="J3048" s="305" t="s">
        <v>926</v>
      </c>
      <c r="K3048" s="305" t="s">
        <v>1947</v>
      </c>
    </row>
    <row r="3049" spans="1:11" x14ac:dyDescent="0.25">
      <c r="A3049" s="302" t="str">
        <f t="shared" si="89"/>
        <v>Boiler Tune Up_Process_MF/CI_Conversion</v>
      </c>
      <c r="B3049" s="303" t="s">
        <v>906</v>
      </c>
      <c r="C3049" s="304" t="s">
        <v>924</v>
      </c>
      <c r="D3049" s="303" t="s">
        <v>587</v>
      </c>
      <c r="E3049" s="305" t="s">
        <v>284</v>
      </c>
      <c r="F3049" s="309" t="s">
        <v>1259</v>
      </c>
      <c r="G3049" s="325">
        <v>8766</v>
      </c>
      <c r="H3049" s="305"/>
      <c r="I3049" s="305" t="s">
        <v>152</v>
      </c>
      <c r="J3049" s="305" t="s">
        <v>926</v>
      </c>
      <c r="K3049" s="305" t="s">
        <v>1947</v>
      </c>
    </row>
    <row r="3050" spans="1:11" x14ac:dyDescent="0.25">
      <c r="A3050" s="302" t="str">
        <f t="shared" si="89"/>
        <v>Boiler Tune Up_Process_MF/CI_Therm Saved per Unit</v>
      </c>
      <c r="B3050" s="303" t="s">
        <v>906</v>
      </c>
      <c r="C3050" s="304" t="s">
        <v>924</v>
      </c>
      <c r="D3050" s="303" t="s">
        <v>587</v>
      </c>
      <c r="E3050" s="314" t="s">
        <v>326</v>
      </c>
      <c r="F3050" s="326"/>
      <c r="G3050" s="315">
        <f>((G3044*G3049*G3045)/G3048)*(1-(G3046/G3047))</f>
        <v>1.0227353753026578</v>
      </c>
      <c r="H3050" s="305"/>
      <c r="I3050" s="305" t="s">
        <v>152</v>
      </c>
      <c r="J3050" s="305" t="s">
        <v>926</v>
      </c>
      <c r="K3050" s="305" t="s">
        <v>1947</v>
      </c>
    </row>
    <row r="3051" spans="1:11" x14ac:dyDescent="0.25">
      <c r="A3051" s="302" t="str">
        <f t="shared" si="89"/>
        <v>Boiler Tune Up_Process_MF/CI_Gallons Saved per Unit</v>
      </c>
      <c r="B3051" s="303" t="s">
        <v>906</v>
      </c>
      <c r="C3051" s="304" t="s">
        <v>924</v>
      </c>
      <c r="D3051" s="303" t="s">
        <v>587</v>
      </c>
      <c r="E3051" s="314" t="s">
        <v>547</v>
      </c>
      <c r="F3051" s="326"/>
      <c r="G3051" s="315">
        <v>0</v>
      </c>
      <c r="H3051" s="305"/>
      <c r="I3051" s="305" t="s">
        <v>152</v>
      </c>
      <c r="J3051" s="305" t="s">
        <v>926</v>
      </c>
      <c r="K3051" s="305" t="s">
        <v>1947</v>
      </c>
    </row>
    <row r="3052" spans="1:11" x14ac:dyDescent="0.25">
      <c r="A3052" s="302" t="str">
        <f t="shared" si="89"/>
        <v>Boiler Tune Up_Process_MF/CI_Lifetime (years)</v>
      </c>
      <c r="B3052" s="303" t="s">
        <v>906</v>
      </c>
      <c r="C3052" s="304" t="s">
        <v>924</v>
      </c>
      <c r="D3052" s="303" t="s">
        <v>587</v>
      </c>
      <c r="E3052" s="314" t="s">
        <v>259</v>
      </c>
      <c r="F3052" s="326"/>
      <c r="G3052" s="375">
        <v>2</v>
      </c>
      <c r="H3052" s="305"/>
      <c r="I3052" s="305" t="s">
        <v>152</v>
      </c>
      <c r="J3052" s="305" t="s">
        <v>926</v>
      </c>
      <c r="K3052" s="305" t="s">
        <v>1947</v>
      </c>
    </row>
    <row r="3053" spans="1:11" x14ac:dyDescent="0.25">
      <c r="A3053" s="302" t="str">
        <f t="shared" si="89"/>
        <v>Boiler Tune Up_Process_MF/CI_Incremental Cost</v>
      </c>
      <c r="B3053" s="303" t="s">
        <v>906</v>
      </c>
      <c r="C3053" s="304" t="s">
        <v>924</v>
      </c>
      <c r="D3053" s="303" t="s">
        <v>587</v>
      </c>
      <c r="E3053" s="314" t="s">
        <v>260</v>
      </c>
      <c r="F3053" s="326"/>
      <c r="G3053" s="315">
        <f>0.83</f>
        <v>0.83</v>
      </c>
      <c r="H3053" s="305"/>
      <c r="I3053" s="305" t="s">
        <v>152</v>
      </c>
      <c r="J3053" s="305" t="s">
        <v>926</v>
      </c>
      <c r="K3053" s="305" t="s">
        <v>1947</v>
      </c>
    </row>
    <row r="3054" spans="1:11" s="324" customFormat="1" x14ac:dyDescent="0.25">
      <c r="A3054" s="317" t="str">
        <f t="shared" si="89"/>
        <v>Boiler Tune Up_Process_MF/CI_</v>
      </c>
      <c r="B3054" s="317" t="str">
        <f>B3053</f>
        <v>Boiler Tune Up</v>
      </c>
      <c r="C3054" s="332" t="str">
        <f>C3053</f>
        <v>Process</v>
      </c>
      <c r="D3054" s="317" t="str">
        <f>D3053</f>
        <v>MF/CI</v>
      </c>
      <c r="E3054" s="320"/>
      <c r="F3054" s="320"/>
      <c r="G3054" s="329"/>
      <c r="H3054" s="320"/>
      <c r="I3054" s="320"/>
      <c r="J3054" s="320"/>
      <c r="K3054" s="320"/>
    </row>
    <row r="3055" spans="1:11" x14ac:dyDescent="0.25">
      <c r="A3055" s="302" t="str">
        <f t="shared" si="89"/>
        <v>Boiler Tune Up_Space Heating_CI_Capacity</v>
      </c>
      <c r="B3055" s="303" t="s">
        <v>906</v>
      </c>
      <c r="C3055" s="304" t="s">
        <v>907</v>
      </c>
      <c r="D3055" s="303" t="s">
        <v>1159</v>
      </c>
      <c r="E3055" s="305" t="s">
        <v>270</v>
      </c>
      <c r="F3055" s="305"/>
      <c r="G3055" s="307">
        <v>1000</v>
      </c>
      <c r="H3055" s="305" t="s">
        <v>614</v>
      </c>
      <c r="I3055" s="305" t="s">
        <v>152</v>
      </c>
      <c r="J3055" s="305" t="s">
        <v>235</v>
      </c>
      <c r="K3055" s="305" t="s">
        <v>31</v>
      </c>
    </row>
    <row r="3056" spans="1:11" x14ac:dyDescent="0.25">
      <c r="A3056" s="302" t="str">
        <f t="shared" si="89"/>
        <v>Boiler Tune Up_Space Heating_CI_EFLH</v>
      </c>
      <c r="B3056" s="303" t="s">
        <v>906</v>
      </c>
      <c r="C3056" s="304" t="s">
        <v>907</v>
      </c>
      <c r="D3056" s="303" t="s">
        <v>1159</v>
      </c>
      <c r="E3056" s="305" t="s">
        <v>321</v>
      </c>
      <c r="F3056" s="305" t="s">
        <v>283</v>
      </c>
      <c r="G3056" s="325">
        <f>AVERAGE(1540,1782)</f>
        <v>1661</v>
      </c>
      <c r="H3056" s="305" t="s">
        <v>1260</v>
      </c>
      <c r="I3056" s="305" t="s">
        <v>152</v>
      </c>
      <c r="J3056" s="305" t="s">
        <v>235</v>
      </c>
      <c r="K3056" s="305" t="s">
        <v>31</v>
      </c>
    </row>
    <row r="3057" spans="1:11" x14ac:dyDescent="0.25">
      <c r="A3057" s="302" t="str">
        <f t="shared" si="89"/>
        <v>Boiler Tune Up_Space Heating_CI_Effbefore</v>
      </c>
      <c r="B3057" s="303" t="s">
        <v>906</v>
      </c>
      <c r="C3057" s="304" t="s">
        <v>907</v>
      </c>
      <c r="D3057" s="303" t="s">
        <v>1159</v>
      </c>
      <c r="E3057" s="305" t="s">
        <v>429</v>
      </c>
      <c r="F3057" s="305"/>
      <c r="G3057" s="333">
        <v>0.81499999999999995</v>
      </c>
      <c r="H3057" s="305"/>
      <c r="I3057" s="305" t="s">
        <v>152</v>
      </c>
      <c r="J3057" s="305" t="s">
        <v>235</v>
      </c>
      <c r="K3057" s="305" t="s">
        <v>31</v>
      </c>
    </row>
    <row r="3058" spans="1:11" x14ac:dyDescent="0.25">
      <c r="A3058" s="302" t="str">
        <f t="shared" si="89"/>
        <v>Boiler Tune Up_Space Heating_CI_Ei</v>
      </c>
      <c r="B3058" s="303" t="s">
        <v>906</v>
      </c>
      <c r="C3058" s="304" t="s">
        <v>907</v>
      </c>
      <c r="D3058" s="303" t="s">
        <v>1159</v>
      </c>
      <c r="E3058" s="305" t="s">
        <v>430</v>
      </c>
      <c r="F3058" s="305"/>
      <c r="G3058" s="333">
        <v>2.3E-2</v>
      </c>
      <c r="H3058" s="305"/>
      <c r="I3058" s="305" t="s">
        <v>152</v>
      </c>
      <c r="J3058" s="305" t="s">
        <v>235</v>
      </c>
      <c r="K3058" s="305" t="s">
        <v>31</v>
      </c>
    </row>
    <row r="3059" spans="1:11" x14ac:dyDescent="0.25">
      <c r="A3059" s="302" t="str">
        <f t="shared" si="89"/>
        <v>Boiler Tune Up_Space Heating_CI_Effbefore</v>
      </c>
      <c r="B3059" s="303" t="s">
        <v>906</v>
      </c>
      <c r="C3059" s="304" t="s">
        <v>907</v>
      </c>
      <c r="D3059" s="303" t="s">
        <v>1159</v>
      </c>
      <c r="E3059" s="305" t="s">
        <v>429</v>
      </c>
      <c r="F3059" s="309"/>
      <c r="G3059" s="333">
        <v>0.81499999999999995</v>
      </c>
      <c r="H3059" s="305"/>
      <c r="I3059" s="305" t="s">
        <v>152</v>
      </c>
      <c r="J3059" s="305" t="s">
        <v>235</v>
      </c>
      <c r="K3059" s="305" t="s">
        <v>31</v>
      </c>
    </row>
    <row r="3060" spans="1:11" x14ac:dyDescent="0.25">
      <c r="A3060" s="302" t="str">
        <f t="shared" si="89"/>
        <v>Boiler Tune Up_Space Heating_CI_Conversion</v>
      </c>
      <c r="B3060" s="303" t="s">
        <v>906</v>
      </c>
      <c r="C3060" s="304" t="s">
        <v>907</v>
      </c>
      <c r="D3060" s="303" t="s">
        <v>1159</v>
      </c>
      <c r="E3060" s="305" t="s">
        <v>284</v>
      </c>
      <c r="F3060" s="309" t="s">
        <v>622</v>
      </c>
      <c r="G3060" s="325">
        <v>100000</v>
      </c>
      <c r="H3060" s="305"/>
      <c r="I3060" s="305" t="s">
        <v>152</v>
      </c>
      <c r="J3060" s="305" t="s">
        <v>235</v>
      </c>
      <c r="K3060" s="305" t="s">
        <v>31</v>
      </c>
    </row>
    <row r="3061" spans="1:11" x14ac:dyDescent="0.25">
      <c r="A3061" s="302" t="str">
        <f t="shared" si="89"/>
        <v>Boiler Tune Up_Space Heating_CI_Therm Saved per Unit</v>
      </c>
      <c r="B3061" s="303" t="s">
        <v>906</v>
      </c>
      <c r="C3061" s="304" t="s">
        <v>907</v>
      </c>
      <c r="D3061" s="303" t="s">
        <v>1159</v>
      </c>
      <c r="E3061" s="314" t="s">
        <v>326</v>
      </c>
      <c r="F3061" s="326"/>
      <c r="G3061" s="315">
        <f>(G3055 * G3056 * (((G3057 + G3058)/ G3059) - 1)) / G3060</f>
        <v>0.46874846625766969</v>
      </c>
      <c r="H3061" s="305"/>
      <c r="I3061" s="305" t="s">
        <v>152</v>
      </c>
      <c r="J3061" s="305" t="s">
        <v>235</v>
      </c>
      <c r="K3061" s="305" t="s">
        <v>31</v>
      </c>
    </row>
    <row r="3062" spans="1:11" x14ac:dyDescent="0.25">
      <c r="A3062" s="302" t="str">
        <f t="shared" si="89"/>
        <v>Boiler Tune Up_Space Heating_CI_Gallons Saved per Unit</v>
      </c>
      <c r="B3062" s="303" t="s">
        <v>906</v>
      </c>
      <c r="C3062" s="304" t="s">
        <v>907</v>
      </c>
      <c r="D3062" s="303" t="s">
        <v>1159</v>
      </c>
      <c r="E3062" s="314" t="s">
        <v>547</v>
      </c>
      <c r="F3062" s="326"/>
      <c r="G3062" s="315">
        <v>0</v>
      </c>
      <c r="H3062" s="305"/>
      <c r="I3062" s="305" t="s">
        <v>152</v>
      </c>
      <c r="J3062" s="305" t="s">
        <v>235</v>
      </c>
      <c r="K3062" s="305" t="s">
        <v>31</v>
      </c>
    </row>
    <row r="3063" spans="1:11" x14ac:dyDescent="0.25">
      <c r="A3063" s="302" t="str">
        <f t="shared" si="89"/>
        <v>Boiler Tune Up_Space Heating_CI_Remaining Life</v>
      </c>
      <c r="B3063" s="303" t="s">
        <v>906</v>
      </c>
      <c r="C3063" s="304" t="s">
        <v>907</v>
      </c>
      <c r="D3063" s="303" t="s">
        <v>1159</v>
      </c>
      <c r="E3063" s="314" t="s">
        <v>258</v>
      </c>
      <c r="F3063" s="326"/>
      <c r="G3063" s="315">
        <v>0</v>
      </c>
      <c r="H3063" s="305"/>
      <c r="I3063" s="305" t="s">
        <v>152</v>
      </c>
      <c r="J3063" s="305" t="s">
        <v>235</v>
      </c>
      <c r="K3063" s="305" t="s">
        <v>31</v>
      </c>
    </row>
    <row r="3064" spans="1:11" x14ac:dyDescent="0.25">
      <c r="A3064" s="302" t="str">
        <f t="shared" si="89"/>
        <v>Boiler Tune Up_Space Heating_CI_Lifetime (years)</v>
      </c>
      <c r="B3064" s="303" t="s">
        <v>906</v>
      </c>
      <c r="C3064" s="304" t="s">
        <v>907</v>
      </c>
      <c r="D3064" s="303" t="s">
        <v>1159</v>
      </c>
      <c r="E3064" s="314" t="s">
        <v>259</v>
      </c>
      <c r="F3064" s="326"/>
      <c r="G3064" s="315">
        <v>3</v>
      </c>
      <c r="H3064" s="305"/>
      <c r="I3064" s="305" t="s">
        <v>152</v>
      </c>
      <c r="J3064" s="305" t="s">
        <v>235</v>
      </c>
      <c r="K3064" s="305" t="s">
        <v>31</v>
      </c>
    </row>
    <row r="3065" spans="1:11" x14ac:dyDescent="0.25">
      <c r="A3065" s="302" t="str">
        <f t="shared" si="89"/>
        <v>Boiler Tune Up_Space Heating_CI_Incremental Cost</v>
      </c>
      <c r="B3065" s="303" t="s">
        <v>906</v>
      </c>
      <c r="C3065" s="304" t="s">
        <v>907</v>
      </c>
      <c r="D3065" s="303" t="s">
        <v>1159</v>
      </c>
      <c r="E3065" s="314" t="s">
        <v>260</v>
      </c>
      <c r="F3065" s="326"/>
      <c r="G3065" s="315">
        <f>0.83*G3055/1000</f>
        <v>0.83</v>
      </c>
      <c r="H3065" s="305"/>
      <c r="I3065" s="305" t="s">
        <v>152</v>
      </c>
      <c r="J3065" s="305" t="s">
        <v>235</v>
      </c>
      <c r="K3065" s="305" t="s">
        <v>31</v>
      </c>
    </row>
    <row r="3066" spans="1:11" x14ac:dyDescent="0.25">
      <c r="A3066" s="302" t="str">
        <f t="shared" si="89"/>
        <v>Boiler Tune Up_Space Heating_CI_O&amp;M Cost Adjustment</v>
      </c>
      <c r="B3066" s="303" t="s">
        <v>906</v>
      </c>
      <c r="C3066" s="304" t="s">
        <v>907</v>
      </c>
      <c r="D3066" s="303" t="s">
        <v>1159</v>
      </c>
      <c r="E3066" s="314" t="s">
        <v>327</v>
      </c>
      <c r="F3066" s="326"/>
      <c r="G3066" s="315">
        <v>0</v>
      </c>
      <c r="H3066" s="305"/>
      <c r="I3066" s="305" t="s">
        <v>152</v>
      </c>
      <c r="J3066" s="305" t="s">
        <v>235</v>
      </c>
      <c r="K3066" s="305" t="s">
        <v>31</v>
      </c>
    </row>
    <row r="3067" spans="1:11" x14ac:dyDescent="0.25">
      <c r="A3067" s="302" t="str">
        <f t="shared" si="89"/>
        <v>Boiler Tune Up_Space Heating_CI_Measure Delivery Cost</v>
      </c>
      <c r="B3067" s="303" t="s">
        <v>906</v>
      </c>
      <c r="C3067" s="304" t="s">
        <v>907</v>
      </c>
      <c r="D3067" s="303" t="s">
        <v>1159</v>
      </c>
      <c r="E3067" s="314" t="s">
        <v>328</v>
      </c>
      <c r="F3067" s="327"/>
      <c r="G3067" s="328">
        <v>0</v>
      </c>
      <c r="H3067" s="305"/>
      <c r="I3067" s="305" t="s">
        <v>152</v>
      </c>
      <c r="J3067" s="305" t="s">
        <v>235</v>
      </c>
      <c r="K3067" s="305" t="s">
        <v>31</v>
      </c>
    </row>
    <row r="3068" spans="1:11" s="324" customFormat="1" x14ac:dyDescent="0.25">
      <c r="A3068" s="317" t="str">
        <f t="shared" si="89"/>
        <v>Boiler Tune Up_Space Heating_CI_</v>
      </c>
      <c r="B3068" s="317" t="str">
        <f>B3067</f>
        <v>Boiler Tune Up</v>
      </c>
      <c r="C3068" s="332" t="str">
        <f>C3067</f>
        <v>Space Heating</v>
      </c>
      <c r="D3068" s="317" t="str">
        <f>D3067</f>
        <v>CI</v>
      </c>
      <c r="E3068" s="320"/>
      <c r="F3068" s="320"/>
      <c r="G3068" s="329"/>
      <c r="H3068" s="320"/>
      <c r="I3068" s="320"/>
      <c r="J3068" s="320"/>
      <c r="K3068" s="320"/>
    </row>
    <row r="3069" spans="1:11" x14ac:dyDescent="0.25">
      <c r="A3069" s="302" t="str">
        <f t="shared" si="89"/>
        <v>Boiler Reset Controls_0_CI_Binput</v>
      </c>
      <c r="B3069" s="303" t="s">
        <v>978</v>
      </c>
      <c r="C3069" s="304">
        <v>0</v>
      </c>
      <c r="D3069" s="303" t="s">
        <v>1159</v>
      </c>
      <c r="E3069" s="305" t="s">
        <v>408</v>
      </c>
      <c r="F3069" s="305" t="s">
        <v>980</v>
      </c>
      <c r="G3069" s="354">
        <v>1200</v>
      </c>
      <c r="H3069" s="305"/>
      <c r="I3069" s="305"/>
      <c r="J3069" s="305"/>
      <c r="K3069" s="305"/>
    </row>
    <row r="3070" spans="1:11" x14ac:dyDescent="0.25">
      <c r="A3070" s="302" t="str">
        <f t="shared" si="89"/>
        <v>Boiler Reset Controls_0_CI_SF</v>
      </c>
      <c r="B3070" s="303" t="s">
        <v>978</v>
      </c>
      <c r="C3070" s="304">
        <v>0</v>
      </c>
      <c r="D3070" s="303" t="s">
        <v>1159</v>
      </c>
      <c r="E3070" s="305" t="s">
        <v>409</v>
      </c>
      <c r="F3070" s="305" t="s">
        <v>539</v>
      </c>
      <c r="G3070" s="307">
        <v>0.08</v>
      </c>
      <c r="H3070" s="305"/>
      <c r="I3070" s="305" t="s">
        <v>152</v>
      </c>
      <c r="J3070" s="305" t="s">
        <v>116</v>
      </c>
      <c r="K3070" s="305" t="s">
        <v>2368</v>
      </c>
    </row>
    <row r="3071" spans="1:11" x14ac:dyDescent="0.25">
      <c r="A3071" s="302" t="str">
        <f t="shared" si="89"/>
        <v>Boiler Reset Controls_0_CI_EFLH</v>
      </c>
      <c r="B3071" s="303" t="s">
        <v>978</v>
      </c>
      <c r="C3071" s="304">
        <v>0</v>
      </c>
      <c r="D3071" s="303" t="s">
        <v>1159</v>
      </c>
      <c r="E3071" s="305" t="s">
        <v>321</v>
      </c>
      <c r="F3071" s="305" t="s">
        <v>283</v>
      </c>
      <c r="G3071" s="325">
        <v>1678</v>
      </c>
      <c r="H3071" s="305" t="s">
        <v>1261</v>
      </c>
      <c r="I3071" s="305" t="s">
        <v>633</v>
      </c>
      <c r="J3071" s="305"/>
      <c r="K3071" s="305"/>
    </row>
    <row r="3072" spans="1:11" x14ac:dyDescent="0.25">
      <c r="A3072" s="302" t="str">
        <f t="shared" si="89"/>
        <v>Boiler Reset Controls_0_CI_Conversion</v>
      </c>
      <c r="B3072" s="303" t="s">
        <v>978</v>
      </c>
      <c r="C3072" s="304">
        <v>0</v>
      </c>
      <c r="D3072" s="303" t="s">
        <v>1159</v>
      </c>
      <c r="E3072" s="305" t="s">
        <v>284</v>
      </c>
      <c r="F3072" s="309" t="s">
        <v>981</v>
      </c>
      <c r="G3072" s="339">
        <v>100</v>
      </c>
      <c r="H3072" s="305"/>
      <c r="I3072" s="305" t="s">
        <v>152</v>
      </c>
      <c r="J3072" s="305" t="s">
        <v>116</v>
      </c>
      <c r="K3072" s="305" t="s">
        <v>2368</v>
      </c>
    </row>
    <row r="3073" spans="1:11" x14ac:dyDescent="0.25">
      <c r="A3073" s="302" t="str">
        <f t="shared" si="89"/>
        <v>Boiler Reset Controls_0_CI_Therm Saved per Unit</v>
      </c>
      <c r="B3073" s="303" t="s">
        <v>978</v>
      </c>
      <c r="C3073" s="304">
        <v>0</v>
      </c>
      <c r="D3073" s="303" t="s">
        <v>1159</v>
      </c>
      <c r="E3073" s="314" t="s">
        <v>326</v>
      </c>
      <c r="F3073" s="326"/>
      <c r="G3073" s="315">
        <f xml:space="preserve"> G3070 * G3071 / G3072</f>
        <v>1.3424</v>
      </c>
      <c r="H3073" s="305"/>
      <c r="I3073" s="305" t="s">
        <v>152</v>
      </c>
      <c r="J3073" s="305" t="s">
        <v>116</v>
      </c>
      <c r="K3073" s="305" t="s">
        <v>2368</v>
      </c>
    </row>
    <row r="3074" spans="1:11" x14ac:dyDescent="0.25">
      <c r="A3074" s="302" t="str">
        <f t="shared" si="89"/>
        <v>Boiler Reset Controls_0_CI_Lifetime (years)</v>
      </c>
      <c r="B3074" s="303" t="s">
        <v>978</v>
      </c>
      <c r="C3074" s="304">
        <v>0</v>
      </c>
      <c r="D3074" s="303" t="s">
        <v>1159</v>
      </c>
      <c r="E3074" s="314" t="s">
        <v>259</v>
      </c>
      <c r="F3074" s="326"/>
      <c r="G3074" s="315">
        <v>16</v>
      </c>
      <c r="H3074" s="305"/>
      <c r="I3074" s="305" t="s">
        <v>152</v>
      </c>
      <c r="J3074" s="305" t="s">
        <v>116</v>
      </c>
      <c r="K3074" s="305" t="s">
        <v>2368</v>
      </c>
    </row>
    <row r="3075" spans="1:11" x14ac:dyDescent="0.25">
      <c r="A3075" s="302" t="str">
        <f t="shared" si="89"/>
        <v>Boiler Reset Controls_0_CI_Incremental Cost</v>
      </c>
      <c r="B3075" s="303" t="s">
        <v>978</v>
      </c>
      <c r="C3075" s="304">
        <v>0</v>
      </c>
      <c r="D3075" s="303" t="s">
        <v>1159</v>
      </c>
      <c r="E3075" s="314" t="s">
        <v>260</v>
      </c>
      <c r="F3075" s="326" t="s">
        <v>679</v>
      </c>
      <c r="G3075" s="328">
        <f>612/G3069</f>
        <v>0.51</v>
      </c>
      <c r="H3075" s="305"/>
      <c r="I3075" s="305" t="s">
        <v>152</v>
      </c>
      <c r="J3075" s="305" t="s">
        <v>116</v>
      </c>
      <c r="K3075" s="305" t="s">
        <v>2368</v>
      </c>
    </row>
    <row r="3076" spans="1:11" s="324" customFormat="1" x14ac:dyDescent="0.25">
      <c r="A3076" s="317" t="str">
        <f t="shared" si="89"/>
        <v>Boiler Reset Controls_0_CI_</v>
      </c>
      <c r="B3076" s="317" t="str">
        <f>B3075</f>
        <v>Boiler Reset Controls</v>
      </c>
      <c r="C3076" s="332">
        <f>C3075</f>
        <v>0</v>
      </c>
      <c r="D3076" s="317" t="str">
        <f>D3075</f>
        <v>CI</v>
      </c>
      <c r="E3076" s="320"/>
      <c r="F3076" s="320"/>
      <c r="G3076" s="329"/>
      <c r="H3076" s="320"/>
      <c r="I3076" s="320"/>
      <c r="J3076" s="320"/>
      <c r="K3076" s="320"/>
    </row>
    <row r="3077" spans="1:11" x14ac:dyDescent="0.25">
      <c r="A3077" s="302" t="str">
        <f t="shared" si="89"/>
        <v>Water Heater_Storage 88% TE ≥75MBh_CI_T_out</v>
      </c>
      <c r="B3077" s="303" t="s">
        <v>8</v>
      </c>
      <c r="C3077" s="304" t="s">
        <v>1262</v>
      </c>
      <c r="D3077" s="303" t="s">
        <v>1159</v>
      </c>
      <c r="E3077" s="305" t="s">
        <v>377</v>
      </c>
      <c r="F3077" s="309"/>
      <c r="G3077" s="306">
        <v>125</v>
      </c>
      <c r="H3077" s="305"/>
      <c r="I3077" s="305" t="s">
        <v>152</v>
      </c>
      <c r="J3077" s="305" t="s">
        <v>134</v>
      </c>
      <c r="K3077" s="305" t="s">
        <v>2379</v>
      </c>
    </row>
    <row r="3078" spans="1:11" x14ac:dyDescent="0.25">
      <c r="A3078" s="302" t="str">
        <f t="shared" si="89"/>
        <v>Water Heater_Storage 88% TE ≥75MBh_CI_T_in</v>
      </c>
      <c r="B3078" s="303" t="s">
        <v>8</v>
      </c>
      <c r="C3078" s="304" t="s">
        <v>1262</v>
      </c>
      <c r="D3078" s="303" t="s">
        <v>1159</v>
      </c>
      <c r="E3078" s="305" t="s">
        <v>381</v>
      </c>
      <c r="F3078" s="309"/>
      <c r="G3078" s="334">
        <v>50.7</v>
      </c>
      <c r="H3078" s="311" t="s">
        <v>1916</v>
      </c>
      <c r="I3078" s="305" t="s">
        <v>152</v>
      </c>
      <c r="J3078" s="305" t="s">
        <v>134</v>
      </c>
      <c r="K3078" s="305" t="s">
        <v>2379</v>
      </c>
    </row>
    <row r="3079" spans="1:11" x14ac:dyDescent="0.25">
      <c r="A3079" s="302" t="str">
        <f t="shared" si="89"/>
        <v>Water Heater_Storage 88% TE ≥75MBh_CI_HotWaterUse_Gallon</v>
      </c>
      <c r="B3079" s="303" t="s">
        <v>8</v>
      </c>
      <c r="C3079" s="304" t="s">
        <v>1262</v>
      </c>
      <c r="D3079" s="303" t="s">
        <v>1159</v>
      </c>
      <c r="E3079" s="305" t="s">
        <v>382</v>
      </c>
      <c r="F3079" s="309" t="s">
        <v>1264</v>
      </c>
      <c r="G3079" s="306">
        <f>511*250</f>
        <v>127750</v>
      </c>
      <c r="H3079" s="305" t="s">
        <v>1265</v>
      </c>
      <c r="I3079" s="305" t="s">
        <v>152</v>
      </c>
      <c r="J3079" s="305" t="s">
        <v>134</v>
      </c>
      <c r="K3079" s="305" t="s">
        <v>2379</v>
      </c>
    </row>
    <row r="3080" spans="1:11" x14ac:dyDescent="0.25">
      <c r="A3080" s="302" t="str">
        <f t="shared" si="89"/>
        <v>Water Heater_Storage 88% TE ≥75MBh_CI_yWater</v>
      </c>
      <c r="B3080" s="303" t="s">
        <v>8</v>
      </c>
      <c r="C3080" s="304" t="s">
        <v>1262</v>
      </c>
      <c r="D3080" s="303" t="s">
        <v>1159</v>
      </c>
      <c r="E3080" s="305" t="s">
        <v>369</v>
      </c>
      <c r="F3080" s="309" t="s">
        <v>346</v>
      </c>
      <c r="G3080" s="306">
        <v>8.33</v>
      </c>
      <c r="H3080" s="305"/>
      <c r="I3080" s="305" t="s">
        <v>152</v>
      </c>
      <c r="J3080" s="305" t="s">
        <v>134</v>
      </c>
      <c r="K3080" s="305" t="s">
        <v>2379</v>
      </c>
    </row>
    <row r="3081" spans="1:11" x14ac:dyDescent="0.25">
      <c r="A3081" s="302" t="str">
        <f t="shared" si="89"/>
        <v>Water Heater_Storage 88% TE ≥75MBh_CI_Heat of Water</v>
      </c>
      <c r="B3081" s="303" t="s">
        <v>8</v>
      </c>
      <c r="C3081" s="304" t="s">
        <v>1262</v>
      </c>
      <c r="D3081" s="303" t="s">
        <v>1159</v>
      </c>
      <c r="E3081" s="305" t="s">
        <v>1266</v>
      </c>
      <c r="F3081" s="309" t="s">
        <v>1267</v>
      </c>
      <c r="G3081" s="306">
        <v>1</v>
      </c>
      <c r="H3081" s="305"/>
      <c r="I3081" s="305" t="s">
        <v>152</v>
      </c>
      <c r="J3081" s="305" t="s">
        <v>134</v>
      </c>
      <c r="K3081" s="305" t="s">
        <v>2379</v>
      </c>
    </row>
    <row r="3082" spans="1:11" x14ac:dyDescent="0.25">
      <c r="A3082" s="302" t="str">
        <f t="shared" si="89"/>
        <v>Water Heater_Storage 88% TE ≥75MBh_CI_UEF_gasbase</v>
      </c>
      <c r="B3082" s="303" t="s">
        <v>8</v>
      </c>
      <c r="C3082" s="304" t="s">
        <v>1262</v>
      </c>
      <c r="D3082" s="303" t="s">
        <v>1159</v>
      </c>
      <c r="E3082" s="305" t="s">
        <v>383</v>
      </c>
      <c r="F3082" s="309"/>
      <c r="G3082" s="306">
        <v>0.8</v>
      </c>
      <c r="H3082" s="305" t="s">
        <v>384</v>
      </c>
      <c r="I3082" s="305" t="s">
        <v>152</v>
      </c>
      <c r="J3082" s="305" t="s">
        <v>134</v>
      </c>
      <c r="K3082" s="305" t="s">
        <v>2379</v>
      </c>
    </row>
    <row r="3083" spans="1:11" x14ac:dyDescent="0.25">
      <c r="A3083" s="302" t="str">
        <f t="shared" si="89"/>
        <v>Water Heater_Storage 88% TE ≥75MBh_CI_UEF_Eff</v>
      </c>
      <c r="B3083" s="303" t="s">
        <v>8</v>
      </c>
      <c r="C3083" s="304" t="s">
        <v>1262</v>
      </c>
      <c r="D3083" s="303" t="s">
        <v>1159</v>
      </c>
      <c r="E3083" s="305" t="s">
        <v>385</v>
      </c>
      <c r="F3083" s="309"/>
      <c r="G3083" s="306">
        <v>0.88</v>
      </c>
      <c r="H3083" s="305" t="s">
        <v>614</v>
      </c>
      <c r="I3083" s="305" t="s">
        <v>152</v>
      </c>
      <c r="J3083" s="305" t="s">
        <v>134</v>
      </c>
      <c r="K3083" s="305" t="s">
        <v>2379</v>
      </c>
    </row>
    <row r="3084" spans="1:11" x14ac:dyDescent="0.25">
      <c r="A3084" s="302" t="str">
        <f t="shared" ref="A3084:A3147" si="90">B3084&amp;"_"&amp;C3084&amp;"_"&amp;D3084&amp;"_"&amp;E3084</f>
        <v>Water Heater_Storage 88% TE ≥75MBh_CI_Conversion</v>
      </c>
      <c r="B3084" s="303" t="s">
        <v>8</v>
      </c>
      <c r="C3084" s="304" t="s">
        <v>1262</v>
      </c>
      <c r="D3084" s="303" t="s">
        <v>1159</v>
      </c>
      <c r="E3084" s="305" t="s">
        <v>284</v>
      </c>
      <c r="F3084" s="309" t="s">
        <v>622</v>
      </c>
      <c r="G3084" s="325">
        <v>100000</v>
      </c>
      <c r="H3084" s="305"/>
      <c r="I3084" s="305" t="s">
        <v>152</v>
      </c>
      <c r="J3084" s="305" t="s">
        <v>134</v>
      </c>
      <c r="K3084" s="305" t="s">
        <v>2379</v>
      </c>
    </row>
    <row r="3085" spans="1:11" x14ac:dyDescent="0.25">
      <c r="A3085" s="302" t="str">
        <f t="shared" si="90"/>
        <v>Water Heater_Storage 88% TE ≥75MBh_CI_Delta_Therms</v>
      </c>
      <c r="B3085" s="303" t="s">
        <v>8</v>
      </c>
      <c r="C3085" s="304" t="s">
        <v>1262</v>
      </c>
      <c r="D3085" s="303" t="s">
        <v>1159</v>
      </c>
      <c r="E3085" s="305" t="s">
        <v>386</v>
      </c>
      <c r="F3085" s="305" t="s">
        <v>564</v>
      </c>
      <c r="G3085" s="307">
        <f>((G3077-G3078)*G3079*G3080*G3081*((1/G3082)-(1/G3083)))/G3084</f>
        <v>89.848752556818113</v>
      </c>
      <c r="H3085" s="305"/>
      <c r="I3085" s="305" t="s">
        <v>152</v>
      </c>
      <c r="J3085" s="305" t="s">
        <v>134</v>
      </c>
      <c r="K3085" s="305" t="s">
        <v>2379</v>
      </c>
    </row>
    <row r="3086" spans="1:11" x14ac:dyDescent="0.25">
      <c r="A3086" s="302" t="str">
        <f t="shared" si="90"/>
        <v>Water Heater_Storage 88% TE ≥75MBh_CI_Q</v>
      </c>
      <c r="B3086" s="303" t="s">
        <v>8</v>
      </c>
      <c r="C3086" s="304" t="s">
        <v>1262</v>
      </c>
      <c r="D3086" s="303" t="s">
        <v>1159</v>
      </c>
      <c r="E3086" s="305" t="s">
        <v>387</v>
      </c>
      <c r="F3086" s="305" t="s">
        <v>479</v>
      </c>
      <c r="G3086" s="307">
        <v>200000</v>
      </c>
      <c r="H3086" s="305"/>
      <c r="I3086" s="305" t="s">
        <v>152</v>
      </c>
      <c r="J3086" s="305" t="s">
        <v>134</v>
      </c>
      <c r="K3086" s="305" t="s">
        <v>2379</v>
      </c>
    </row>
    <row r="3087" spans="1:11" x14ac:dyDescent="0.25">
      <c r="A3087" s="302" t="str">
        <f t="shared" si="90"/>
        <v>Water Heater_Storage 88% TE ≥75MBh_CI_800</v>
      </c>
      <c r="B3087" s="303" t="s">
        <v>8</v>
      </c>
      <c r="C3087" s="304" t="s">
        <v>1262</v>
      </c>
      <c r="D3087" s="303" t="s">
        <v>1159</v>
      </c>
      <c r="E3087" s="305">
        <v>800</v>
      </c>
      <c r="F3087" s="305"/>
      <c r="G3087" s="354">
        <v>800</v>
      </c>
      <c r="H3087" s="305" t="s">
        <v>1268</v>
      </c>
      <c r="I3087" s="305" t="s">
        <v>152</v>
      </c>
      <c r="J3087" s="305" t="s">
        <v>134</v>
      </c>
      <c r="K3087" s="305" t="s">
        <v>2379</v>
      </c>
    </row>
    <row r="3088" spans="1:11" x14ac:dyDescent="0.25">
      <c r="A3088" s="302" t="str">
        <f t="shared" si="90"/>
        <v>Water Heater_Storage 88% TE ≥75MBh_CI_110</v>
      </c>
      <c r="B3088" s="303" t="s">
        <v>8</v>
      </c>
      <c r="C3088" s="304" t="s">
        <v>1262</v>
      </c>
      <c r="D3088" s="303" t="s">
        <v>1159</v>
      </c>
      <c r="E3088" s="305">
        <v>110</v>
      </c>
      <c r="F3088" s="305"/>
      <c r="G3088" s="354">
        <v>110</v>
      </c>
      <c r="H3088" s="305" t="s">
        <v>1269</v>
      </c>
      <c r="I3088" s="305" t="s">
        <v>152</v>
      </c>
      <c r="J3088" s="305" t="s">
        <v>134</v>
      </c>
      <c r="K3088" s="305" t="s">
        <v>2379</v>
      </c>
    </row>
    <row r="3089" spans="1:11" x14ac:dyDescent="0.25">
      <c r="A3089" s="302" t="str">
        <f t="shared" si="90"/>
        <v>Water Heater_Storage 88% TE ≥75MBh_CI_V</v>
      </c>
      <c r="B3089" s="303" t="s">
        <v>8</v>
      </c>
      <c r="C3089" s="304" t="s">
        <v>1262</v>
      </c>
      <c r="D3089" s="303" t="s">
        <v>1159</v>
      </c>
      <c r="E3089" s="305" t="s">
        <v>378</v>
      </c>
      <c r="F3089" s="305" t="s">
        <v>1264</v>
      </c>
      <c r="G3089" s="307">
        <v>150</v>
      </c>
      <c r="H3089" s="305" t="s">
        <v>614</v>
      </c>
      <c r="I3089" s="305" t="s">
        <v>152</v>
      </c>
      <c r="J3089" s="305" t="s">
        <v>134</v>
      </c>
      <c r="K3089" s="305" t="s">
        <v>2379</v>
      </c>
    </row>
    <row r="3090" spans="1:11" x14ac:dyDescent="0.25">
      <c r="A3090" s="302" t="str">
        <f t="shared" si="90"/>
        <v>Water Heater_Storage 88% TE ≥75MBh_CI_SL_gasbase</v>
      </c>
      <c r="B3090" s="303" t="s">
        <v>8</v>
      </c>
      <c r="C3090" s="304" t="s">
        <v>1262</v>
      </c>
      <c r="D3090" s="303" t="s">
        <v>1159</v>
      </c>
      <c r="E3090" s="305" t="s">
        <v>388</v>
      </c>
      <c r="F3090" s="305"/>
      <c r="G3090" s="307">
        <f>(G3086/G3087)+G3088*SQRT(G3089)</f>
        <v>1597.219358530748</v>
      </c>
      <c r="H3090" s="305"/>
      <c r="I3090" s="305" t="s">
        <v>152</v>
      </c>
      <c r="J3090" s="305" t="s">
        <v>134</v>
      </c>
      <c r="K3090" s="305" t="s">
        <v>2379</v>
      </c>
    </row>
    <row r="3091" spans="1:11" x14ac:dyDescent="0.25">
      <c r="A3091" s="302" t="str">
        <f t="shared" si="90"/>
        <v>Water Heater_Storage 88% TE ≥75MBh_CI_SL_eff</v>
      </c>
      <c r="B3091" s="303" t="s">
        <v>8</v>
      </c>
      <c r="C3091" s="304" t="s">
        <v>1262</v>
      </c>
      <c r="D3091" s="303" t="s">
        <v>1159</v>
      </c>
      <c r="E3091" s="305" t="s">
        <v>379</v>
      </c>
      <c r="F3091" s="305"/>
      <c r="G3091" s="307">
        <v>1029</v>
      </c>
      <c r="H3091" s="305"/>
      <c r="I3091" s="305" t="s">
        <v>614</v>
      </c>
      <c r="J3091" s="305"/>
      <c r="K3091" s="305"/>
    </row>
    <row r="3092" spans="1:11" x14ac:dyDescent="0.25">
      <c r="A3092" s="302" t="str">
        <f t="shared" si="90"/>
        <v>Water Heater_Storage 88% TE ≥75MBh_CI_Conversion</v>
      </c>
      <c r="B3092" s="303" t="s">
        <v>8</v>
      </c>
      <c r="C3092" s="304" t="s">
        <v>1262</v>
      </c>
      <c r="D3092" s="303" t="s">
        <v>1159</v>
      </c>
      <c r="E3092" s="305" t="s">
        <v>284</v>
      </c>
      <c r="F3092" s="309" t="s">
        <v>1259</v>
      </c>
      <c r="G3092" s="354">
        <v>8766</v>
      </c>
      <c r="H3092" s="305"/>
      <c r="I3092" s="305" t="s">
        <v>152</v>
      </c>
      <c r="J3092" s="305" t="s">
        <v>134</v>
      </c>
      <c r="K3092" s="305" t="s">
        <v>2379</v>
      </c>
    </row>
    <row r="3093" spans="1:11" x14ac:dyDescent="0.25">
      <c r="A3093" s="302" t="str">
        <f t="shared" si="90"/>
        <v>Water Heater_Storage 88% TE ≥75MBh_CI_Conversion</v>
      </c>
      <c r="B3093" s="303" t="s">
        <v>8</v>
      </c>
      <c r="C3093" s="304" t="s">
        <v>1262</v>
      </c>
      <c r="D3093" s="303" t="s">
        <v>1159</v>
      </c>
      <c r="E3093" s="305" t="s">
        <v>284</v>
      </c>
      <c r="F3093" s="309" t="s">
        <v>622</v>
      </c>
      <c r="G3093" s="325">
        <v>100000</v>
      </c>
      <c r="H3093" s="305"/>
      <c r="I3093" s="305" t="s">
        <v>152</v>
      </c>
      <c r="J3093" s="305" t="s">
        <v>134</v>
      </c>
      <c r="K3093" s="305" t="s">
        <v>2379</v>
      </c>
    </row>
    <row r="3094" spans="1:11" x14ac:dyDescent="0.25">
      <c r="A3094" s="302" t="str">
        <f t="shared" si="90"/>
        <v>Water Heater_Storage 88% TE ≥75MBh_CI_Delta_Therms_Standby</v>
      </c>
      <c r="B3094" s="303" t="s">
        <v>8</v>
      </c>
      <c r="C3094" s="304" t="s">
        <v>1262</v>
      </c>
      <c r="D3094" s="303" t="s">
        <v>1159</v>
      </c>
      <c r="E3094" s="305" t="s">
        <v>389</v>
      </c>
      <c r="F3094" s="309"/>
      <c r="G3094" s="306">
        <f>((G3090-G3091)*G3092)/G3093</f>
        <v>49.810108968805366</v>
      </c>
      <c r="H3094" s="305"/>
      <c r="I3094" s="305" t="s">
        <v>152</v>
      </c>
      <c r="J3094" s="305" t="s">
        <v>134</v>
      </c>
      <c r="K3094" s="305" t="s">
        <v>2379</v>
      </c>
    </row>
    <row r="3095" spans="1:11" x14ac:dyDescent="0.25">
      <c r="A3095" s="302" t="str">
        <f t="shared" si="90"/>
        <v>Water Heater_Storage 88% TE ≥75MBh_CI_kWh Saved per Unit</v>
      </c>
      <c r="B3095" s="303" t="s">
        <v>8</v>
      </c>
      <c r="C3095" s="304" t="s">
        <v>1262</v>
      </c>
      <c r="D3095" s="303" t="s">
        <v>1159</v>
      </c>
      <c r="E3095" s="314" t="s">
        <v>255</v>
      </c>
      <c r="F3095" s="326"/>
      <c r="G3095" s="315">
        <v>0</v>
      </c>
      <c r="H3095" s="305"/>
      <c r="I3095" s="305" t="s">
        <v>152</v>
      </c>
      <c r="J3095" s="305" t="s">
        <v>134</v>
      </c>
      <c r="K3095" s="305" t="s">
        <v>2379</v>
      </c>
    </row>
    <row r="3096" spans="1:11" x14ac:dyDescent="0.25">
      <c r="A3096" s="302" t="str">
        <f t="shared" si="90"/>
        <v>Water Heater_Storage 88% TE ≥75MBh_CI_Coincident Peak kW Saved per Unit</v>
      </c>
      <c r="B3096" s="303" t="s">
        <v>8</v>
      </c>
      <c r="C3096" s="304" t="s">
        <v>1262</v>
      </c>
      <c r="D3096" s="303" t="s">
        <v>1159</v>
      </c>
      <c r="E3096" s="314" t="s">
        <v>257</v>
      </c>
      <c r="F3096" s="326"/>
      <c r="G3096" s="315">
        <v>0</v>
      </c>
      <c r="H3096" s="305"/>
      <c r="I3096" s="305" t="s">
        <v>152</v>
      </c>
      <c r="J3096" s="305" t="s">
        <v>134</v>
      </c>
      <c r="K3096" s="305" t="s">
        <v>2379</v>
      </c>
    </row>
    <row r="3097" spans="1:11" x14ac:dyDescent="0.25">
      <c r="A3097" s="302" t="str">
        <f t="shared" si="90"/>
        <v>Water Heater_Storage 88% TE ≥75MBh_CI_Therm Saved per Unit</v>
      </c>
      <c r="B3097" s="303" t="s">
        <v>8</v>
      </c>
      <c r="C3097" s="304" t="s">
        <v>1262</v>
      </c>
      <c r="D3097" s="303" t="s">
        <v>1159</v>
      </c>
      <c r="E3097" s="314" t="s">
        <v>326</v>
      </c>
      <c r="F3097" s="326"/>
      <c r="G3097" s="315">
        <f>G3085+G3094</f>
        <v>139.65886152562348</v>
      </c>
      <c r="H3097" s="305"/>
      <c r="I3097" s="305" t="s">
        <v>152</v>
      </c>
      <c r="J3097" s="305" t="s">
        <v>134</v>
      </c>
      <c r="K3097" s="305" t="s">
        <v>2379</v>
      </c>
    </row>
    <row r="3098" spans="1:11" x14ac:dyDescent="0.25">
      <c r="A3098" s="302" t="str">
        <f t="shared" si="90"/>
        <v>Water Heater_Storage 88% TE ≥75MBh_CI_Gallons Saved per Unit</v>
      </c>
      <c r="B3098" s="303" t="s">
        <v>8</v>
      </c>
      <c r="C3098" s="304" t="s">
        <v>1262</v>
      </c>
      <c r="D3098" s="303" t="s">
        <v>1159</v>
      </c>
      <c r="E3098" s="314" t="s">
        <v>547</v>
      </c>
      <c r="F3098" s="326"/>
      <c r="G3098" s="315">
        <v>0</v>
      </c>
      <c r="H3098" s="305"/>
      <c r="I3098" s="305" t="s">
        <v>152</v>
      </c>
      <c r="J3098" s="305" t="s">
        <v>134</v>
      </c>
      <c r="K3098" s="305" t="s">
        <v>2379</v>
      </c>
    </row>
    <row r="3099" spans="1:11" x14ac:dyDescent="0.25">
      <c r="A3099" s="302" t="str">
        <f t="shared" si="90"/>
        <v>Water Heater_Storage 88% TE ≥75MBh_CI_Lifetime (years)</v>
      </c>
      <c r="B3099" s="303" t="s">
        <v>8</v>
      </c>
      <c r="C3099" s="304" t="s">
        <v>1262</v>
      </c>
      <c r="D3099" s="303" t="s">
        <v>1159</v>
      </c>
      <c r="E3099" s="314" t="s">
        <v>259</v>
      </c>
      <c r="F3099" s="326"/>
      <c r="G3099" s="315">
        <v>15</v>
      </c>
      <c r="H3099" s="305" t="s">
        <v>391</v>
      </c>
      <c r="I3099" s="305" t="s">
        <v>152</v>
      </c>
      <c r="J3099" s="305" t="s">
        <v>134</v>
      </c>
      <c r="K3099" s="305" t="s">
        <v>2379</v>
      </c>
    </row>
    <row r="3100" spans="1:11" x14ac:dyDescent="0.25">
      <c r="A3100" s="302" t="str">
        <f t="shared" si="90"/>
        <v>Water Heater_Storage 88% TE ≥75MBh_CI_Incremental Cost</v>
      </c>
      <c r="B3100" s="303" t="s">
        <v>8</v>
      </c>
      <c r="C3100" s="304" t="s">
        <v>1262</v>
      </c>
      <c r="D3100" s="303" t="s">
        <v>1159</v>
      </c>
      <c r="E3100" s="314" t="s">
        <v>260</v>
      </c>
      <c r="F3100" s="326"/>
      <c r="G3100" s="315">
        <v>879</v>
      </c>
      <c r="H3100" s="305"/>
      <c r="I3100" s="305" t="s">
        <v>152</v>
      </c>
      <c r="J3100" s="305" t="s">
        <v>134</v>
      </c>
      <c r="K3100" s="305" t="s">
        <v>2379</v>
      </c>
    </row>
    <row r="3101" spans="1:11" s="324" customFormat="1" x14ac:dyDescent="0.25">
      <c r="A3101" s="317" t="str">
        <f t="shared" si="90"/>
        <v>Water Heater_Storage 88% TE ≥75MBh_CI_</v>
      </c>
      <c r="B3101" s="317" t="str">
        <f>B3100</f>
        <v>Water Heater</v>
      </c>
      <c r="C3101" s="332" t="str">
        <f>C3100</f>
        <v>Storage 88% TE ≥75MBh</v>
      </c>
      <c r="D3101" s="317" t="str">
        <f>D3100</f>
        <v>CI</v>
      </c>
      <c r="E3101" s="320"/>
      <c r="F3101" s="320"/>
      <c r="G3101" s="329"/>
      <c r="H3101" s="320"/>
      <c r="I3101" s="320"/>
      <c r="J3101" s="320"/>
      <c r="K3101" s="320"/>
    </row>
    <row r="3102" spans="1:11" x14ac:dyDescent="0.25">
      <c r="A3102" s="302" t="str">
        <f t="shared" si="90"/>
        <v>Pipe Insulation_DHW_CI_Delta _Therms_per_foot</v>
      </c>
      <c r="B3102" s="303" t="s">
        <v>404</v>
      </c>
      <c r="C3102" s="304" t="s">
        <v>1019</v>
      </c>
      <c r="D3102" s="303" t="s">
        <v>1159</v>
      </c>
      <c r="E3102" s="305" t="s">
        <v>1270</v>
      </c>
      <c r="F3102" s="309"/>
      <c r="G3102" s="306">
        <v>5.0199999999999996</v>
      </c>
      <c r="H3102" s="305" t="s">
        <v>1271</v>
      </c>
      <c r="I3102" s="305" t="s">
        <v>152</v>
      </c>
      <c r="J3102" s="305" t="s">
        <v>405</v>
      </c>
      <c r="K3102" s="305" t="s">
        <v>1961</v>
      </c>
    </row>
    <row r="3103" spans="1:11" x14ac:dyDescent="0.25">
      <c r="A3103" s="302" t="str">
        <f t="shared" si="90"/>
        <v>Pipe Insulation_DHW_CI_TRF</v>
      </c>
      <c r="B3103" s="303" t="s">
        <v>404</v>
      </c>
      <c r="C3103" s="304" t="s">
        <v>1019</v>
      </c>
      <c r="D3103" s="303" t="s">
        <v>1159</v>
      </c>
      <c r="E3103" s="305" t="s">
        <v>406</v>
      </c>
      <c r="F3103" s="309"/>
      <c r="G3103" s="310">
        <v>0.77</v>
      </c>
      <c r="H3103" s="311" t="s">
        <v>1942</v>
      </c>
      <c r="I3103" s="305" t="s">
        <v>152</v>
      </c>
      <c r="J3103" s="305" t="s">
        <v>405</v>
      </c>
      <c r="K3103" s="305" t="s">
        <v>1961</v>
      </c>
    </row>
    <row r="3104" spans="1:11" x14ac:dyDescent="0.25">
      <c r="A3104" s="302" t="str">
        <f t="shared" si="90"/>
        <v>Pipe Insulation_DHW_CI_Therm Saved per Unit</v>
      </c>
      <c r="B3104" s="303" t="s">
        <v>404</v>
      </c>
      <c r="C3104" s="304" t="s">
        <v>1019</v>
      </c>
      <c r="D3104" s="303" t="s">
        <v>1159</v>
      </c>
      <c r="E3104" s="314" t="s">
        <v>326</v>
      </c>
      <c r="F3104" s="326"/>
      <c r="G3104" s="315">
        <f>G3102*G3103</f>
        <v>3.8653999999999997</v>
      </c>
      <c r="H3104" s="305"/>
      <c r="I3104" s="305" t="s">
        <v>152</v>
      </c>
      <c r="J3104" s="305" t="s">
        <v>405</v>
      </c>
      <c r="K3104" s="305" t="s">
        <v>1961</v>
      </c>
    </row>
    <row r="3105" spans="1:11" x14ac:dyDescent="0.25">
      <c r="A3105" s="302" t="str">
        <f t="shared" si="90"/>
        <v>Pipe Insulation_DHW_CI_Lifetime (years)</v>
      </c>
      <c r="B3105" s="303" t="s">
        <v>404</v>
      </c>
      <c r="C3105" s="304" t="s">
        <v>1019</v>
      </c>
      <c r="D3105" s="303" t="s">
        <v>1159</v>
      </c>
      <c r="E3105" s="314" t="s">
        <v>259</v>
      </c>
      <c r="F3105" s="314" t="s">
        <v>548</v>
      </c>
      <c r="G3105" s="315">
        <v>15</v>
      </c>
      <c r="H3105" s="305"/>
      <c r="I3105" s="305" t="s">
        <v>152</v>
      </c>
      <c r="J3105" s="305" t="s">
        <v>405</v>
      </c>
      <c r="K3105" s="305" t="s">
        <v>1961</v>
      </c>
    </row>
    <row r="3106" spans="1:11" x14ac:dyDescent="0.25">
      <c r="A3106" s="302" t="str">
        <f t="shared" si="90"/>
        <v>Pipe Insulation_DHW_CI_Incremental Cost</v>
      </c>
      <c r="B3106" s="303" t="s">
        <v>404</v>
      </c>
      <c r="C3106" s="304" t="s">
        <v>1019</v>
      </c>
      <c r="D3106" s="303" t="s">
        <v>1159</v>
      </c>
      <c r="E3106" s="314" t="s">
        <v>260</v>
      </c>
      <c r="F3106" s="314" t="s">
        <v>549</v>
      </c>
      <c r="G3106" s="315">
        <v>13.97</v>
      </c>
      <c r="H3106" s="305" t="s">
        <v>1273</v>
      </c>
      <c r="I3106" s="305" t="s">
        <v>152</v>
      </c>
      <c r="J3106" s="305" t="s">
        <v>405</v>
      </c>
      <c r="K3106" s="305" t="s">
        <v>1961</v>
      </c>
    </row>
    <row r="3107" spans="1:11" s="324" customFormat="1" x14ac:dyDescent="0.25">
      <c r="A3107" s="317" t="str">
        <f t="shared" si="90"/>
        <v>Pipe Insulation_DHW_CI_</v>
      </c>
      <c r="B3107" s="317" t="str">
        <f>B3106</f>
        <v>Pipe Insulation</v>
      </c>
      <c r="C3107" s="332" t="str">
        <f>C3106</f>
        <v>DHW</v>
      </c>
      <c r="D3107" s="317" t="str">
        <f>D3106</f>
        <v>CI</v>
      </c>
      <c r="E3107" s="320"/>
      <c r="F3107" s="320"/>
      <c r="G3107" s="329"/>
      <c r="H3107" s="320"/>
      <c r="I3107" s="320"/>
      <c r="J3107" s="320"/>
      <c r="K3107" s="320"/>
    </row>
    <row r="3108" spans="1:11" x14ac:dyDescent="0.25">
      <c r="A3108" s="302" t="str">
        <f t="shared" si="90"/>
        <v>Steam Traps_Dry Cleaner/Industrial - No Audit_MF/CI/SMB_GAL</v>
      </c>
      <c r="B3108" s="303" t="s">
        <v>644</v>
      </c>
      <c r="C3108" s="304" t="s">
        <v>1274</v>
      </c>
      <c r="D3108" s="303" t="s">
        <v>662</v>
      </c>
      <c r="E3108" s="305" t="s">
        <v>513</v>
      </c>
      <c r="F3108" s="309"/>
      <c r="G3108" s="306">
        <v>2.29</v>
      </c>
      <c r="H3108" s="305" t="s">
        <v>225</v>
      </c>
      <c r="I3108" s="305" t="s">
        <v>152</v>
      </c>
      <c r="J3108" s="305" t="s">
        <v>130</v>
      </c>
      <c r="K3108" s="305" t="s">
        <v>2161</v>
      </c>
    </row>
    <row r="3109" spans="1:11" x14ac:dyDescent="0.25">
      <c r="A3109" s="302" t="str">
        <f t="shared" si="90"/>
        <v>Steam Traps_Dry Cleaner/Industrial - No Audit_MF/CI/SMB_Hours of Operation</v>
      </c>
      <c r="B3109" s="303" t="s">
        <v>644</v>
      </c>
      <c r="C3109" s="304" t="s">
        <v>1274</v>
      </c>
      <c r="D3109" s="303" t="s">
        <v>662</v>
      </c>
      <c r="E3109" s="305" t="s">
        <v>460</v>
      </c>
      <c r="F3109" s="309" t="s">
        <v>647</v>
      </c>
      <c r="G3109" s="354">
        <v>2425</v>
      </c>
      <c r="H3109" s="305" t="s">
        <v>225</v>
      </c>
      <c r="I3109" s="305" t="s">
        <v>152</v>
      </c>
      <c r="J3109" s="305" t="s">
        <v>130</v>
      </c>
      <c r="K3109" s="305" t="s">
        <v>2161</v>
      </c>
    </row>
    <row r="3110" spans="1:11" x14ac:dyDescent="0.25">
      <c r="A3110" s="302" t="str">
        <f t="shared" si="90"/>
        <v>Steam Traps_Dry Cleaner/Industrial - No Audit_MF/CI/SMB_L</v>
      </c>
      <c r="B3110" s="303" t="s">
        <v>644</v>
      </c>
      <c r="C3110" s="304" t="s">
        <v>1274</v>
      </c>
      <c r="D3110" s="303" t="s">
        <v>662</v>
      </c>
      <c r="E3110" s="305" t="s">
        <v>437</v>
      </c>
      <c r="F3110" s="309"/>
      <c r="G3110" s="306">
        <v>0.27</v>
      </c>
      <c r="H3110" s="305" t="s">
        <v>225</v>
      </c>
      <c r="I3110" s="305" t="s">
        <v>152</v>
      </c>
      <c r="J3110" s="305" t="s">
        <v>130</v>
      </c>
      <c r="K3110" s="305" t="s">
        <v>2161</v>
      </c>
    </row>
    <row r="3111" spans="1:11" x14ac:dyDescent="0.25">
      <c r="A3111" s="302" t="str">
        <f t="shared" si="90"/>
        <v>Steam Traps_Dry Cleaner/Industrial - No Audit_MF/CI/SMB_Delta_Water_Gallons</v>
      </c>
      <c r="B3111" s="303" t="s">
        <v>644</v>
      </c>
      <c r="C3111" s="304" t="s">
        <v>1274</v>
      </c>
      <c r="D3111" s="303" t="s">
        <v>662</v>
      </c>
      <c r="E3111" s="305" t="s">
        <v>456</v>
      </c>
      <c r="F3111" s="305"/>
      <c r="G3111" s="307">
        <f>G3108*G3109*G3110</f>
        <v>1499.3775000000001</v>
      </c>
      <c r="H3111" s="305"/>
      <c r="I3111" s="305" t="s">
        <v>152</v>
      </c>
      <c r="J3111" s="305" t="s">
        <v>130</v>
      </c>
      <c r="K3111" s="305" t="s">
        <v>2161</v>
      </c>
    </row>
    <row r="3112" spans="1:11" x14ac:dyDescent="0.25">
      <c r="A3112" s="302" t="str">
        <f t="shared" si="90"/>
        <v>Steam Traps_Dry Cleaner/Industrial - No Audit_MF/CI/SMB_Conversion</v>
      </c>
      <c r="B3112" s="303" t="s">
        <v>644</v>
      </c>
      <c r="C3112" s="304" t="s">
        <v>1274</v>
      </c>
      <c r="D3112" s="303" t="s">
        <v>662</v>
      </c>
      <c r="E3112" s="305" t="s">
        <v>284</v>
      </c>
      <c r="F3112" s="305"/>
      <c r="G3112" s="354">
        <v>1000000</v>
      </c>
      <c r="H3112" s="305"/>
      <c r="I3112" s="305" t="s">
        <v>152</v>
      </c>
      <c r="J3112" s="305" t="s">
        <v>130</v>
      </c>
      <c r="K3112" s="305" t="s">
        <v>2161</v>
      </c>
    </row>
    <row r="3113" spans="1:11" x14ac:dyDescent="0.25">
      <c r="A3113" s="302" t="str">
        <f t="shared" si="90"/>
        <v>Steam Traps_Dry Cleaner/Industrial - No Audit_MF/CI/SMB_E_water_supply</v>
      </c>
      <c r="B3113" s="303" t="s">
        <v>644</v>
      </c>
      <c r="C3113" s="304" t="s">
        <v>1274</v>
      </c>
      <c r="D3113" s="303" t="s">
        <v>662</v>
      </c>
      <c r="E3113" s="305" t="s">
        <v>457</v>
      </c>
      <c r="F3113" s="305"/>
      <c r="G3113" s="307">
        <v>2571</v>
      </c>
      <c r="H3113" s="305"/>
      <c r="I3113" s="305" t="s">
        <v>152</v>
      </c>
      <c r="J3113" s="305" t="s">
        <v>130</v>
      </c>
      <c r="K3113" s="305" t="s">
        <v>2161</v>
      </c>
    </row>
    <row r="3114" spans="1:11" x14ac:dyDescent="0.25">
      <c r="A3114" s="302" t="str">
        <f t="shared" si="90"/>
        <v>Steam Traps_Dry Cleaner/Industrial - No Audit_MF/CI/SMB_Delta_kWh_water</v>
      </c>
      <c r="B3114" s="303" t="s">
        <v>644</v>
      </c>
      <c r="C3114" s="304" t="s">
        <v>1274</v>
      </c>
      <c r="D3114" s="303" t="s">
        <v>662</v>
      </c>
      <c r="E3114" s="305" t="s">
        <v>334</v>
      </c>
      <c r="F3114" s="305"/>
      <c r="G3114" s="307">
        <f>(G3111/G3112)*G3113</f>
        <v>3.8548995525</v>
      </c>
      <c r="H3114" s="305"/>
      <c r="I3114" s="305" t="s">
        <v>152</v>
      </c>
      <c r="J3114" s="305" t="s">
        <v>130</v>
      </c>
      <c r="K3114" s="305" t="s">
        <v>2161</v>
      </c>
    </row>
    <row r="3115" spans="1:11" x14ac:dyDescent="0.25">
      <c r="A3115" s="302" t="str">
        <f t="shared" si="90"/>
        <v>Steam Traps_Dry Cleaner/Industrial - No Audit_MF/CI/SMB_Sa</v>
      </c>
      <c r="B3115" s="303" t="s">
        <v>644</v>
      </c>
      <c r="C3115" s="304" t="s">
        <v>1274</v>
      </c>
      <c r="D3115" s="303" t="s">
        <v>662</v>
      </c>
      <c r="E3115" s="305" t="s">
        <v>507</v>
      </c>
      <c r="F3115" s="309"/>
      <c r="G3115" s="307">
        <v>18.5</v>
      </c>
      <c r="H3115" s="305" t="s">
        <v>225</v>
      </c>
      <c r="I3115" s="305" t="s">
        <v>152</v>
      </c>
      <c r="J3115" s="305" t="s">
        <v>130</v>
      </c>
      <c r="K3115" s="305" t="s">
        <v>2161</v>
      </c>
    </row>
    <row r="3116" spans="1:11" x14ac:dyDescent="0.25">
      <c r="A3116" s="302" t="str">
        <f t="shared" si="90"/>
        <v>Steam Traps_Dry Cleaner/Industrial - No Audit_MF/CI/SMB_Hv</v>
      </c>
      <c r="B3116" s="303" t="s">
        <v>644</v>
      </c>
      <c r="C3116" s="304" t="s">
        <v>1274</v>
      </c>
      <c r="D3116" s="303" t="s">
        <v>662</v>
      </c>
      <c r="E3116" s="305" t="s">
        <v>508</v>
      </c>
      <c r="F3116" s="305"/>
      <c r="G3116" s="307">
        <v>890</v>
      </c>
      <c r="H3116" s="305" t="s">
        <v>225</v>
      </c>
      <c r="I3116" s="305" t="s">
        <v>152</v>
      </c>
      <c r="J3116" s="305" t="s">
        <v>130</v>
      </c>
      <c r="K3116" s="305" t="s">
        <v>2161</v>
      </c>
    </row>
    <row r="3117" spans="1:11" x14ac:dyDescent="0.25">
      <c r="A3117" s="302" t="str">
        <f t="shared" si="90"/>
        <v>Steam Traps_Dry Cleaner/Industrial - No Audit_MF/CI/SMB_Hs</v>
      </c>
      <c r="B3117" s="303" t="s">
        <v>644</v>
      </c>
      <c r="C3117" s="304" t="s">
        <v>1274</v>
      </c>
      <c r="D3117" s="303" t="s">
        <v>662</v>
      </c>
      <c r="E3117" s="340" t="s">
        <v>509</v>
      </c>
      <c r="F3117" s="340"/>
      <c r="G3117" s="341">
        <v>1.0009999999999999</v>
      </c>
      <c r="H3117" s="340" t="s">
        <v>652</v>
      </c>
      <c r="I3117" s="305" t="s">
        <v>152</v>
      </c>
      <c r="J3117" s="305" t="s">
        <v>130</v>
      </c>
      <c r="K3117" s="305" t="s">
        <v>2161</v>
      </c>
    </row>
    <row r="3118" spans="1:11" x14ac:dyDescent="0.25">
      <c r="A3118" s="302" t="str">
        <f t="shared" si="90"/>
        <v>Steam Traps_Dry Cleaner/Industrial - No Audit_MF/CI/SMB_507.89</v>
      </c>
      <c r="B3118" s="303" t="s">
        <v>644</v>
      </c>
      <c r="C3118" s="304" t="s">
        <v>1274</v>
      </c>
      <c r="D3118" s="303" t="s">
        <v>662</v>
      </c>
      <c r="E3118" s="342">
        <v>507.89</v>
      </c>
      <c r="F3118" s="340"/>
      <c r="G3118" s="341">
        <v>507.89</v>
      </c>
      <c r="H3118" s="340"/>
      <c r="I3118" s="305" t="s">
        <v>152</v>
      </c>
      <c r="J3118" s="305" t="s">
        <v>130</v>
      </c>
      <c r="K3118" s="305" t="s">
        <v>2161</v>
      </c>
    </row>
    <row r="3119" spans="1:11" x14ac:dyDescent="0.25">
      <c r="A3119" s="302" t="str">
        <f t="shared" si="90"/>
        <v>Steam Traps_Dry Cleaner/Industrial - No Audit_MF/CI/SMB_P1</v>
      </c>
      <c r="B3119" s="303" t="s">
        <v>644</v>
      </c>
      <c r="C3119" s="304" t="s">
        <v>1274</v>
      </c>
      <c r="D3119" s="303" t="s">
        <v>662</v>
      </c>
      <c r="E3119" s="340" t="s">
        <v>510</v>
      </c>
      <c r="F3119" s="340"/>
      <c r="G3119" s="341">
        <f>82.8+14.696</f>
        <v>97.495999999999995</v>
      </c>
      <c r="H3119" s="340" t="s">
        <v>664</v>
      </c>
      <c r="I3119" s="305" t="s">
        <v>152</v>
      </c>
      <c r="J3119" s="305" t="s">
        <v>130</v>
      </c>
      <c r="K3119" s="305" t="s">
        <v>2161</v>
      </c>
    </row>
    <row r="3120" spans="1:11" x14ac:dyDescent="0.25">
      <c r="A3120" s="302" t="str">
        <f t="shared" si="90"/>
        <v>Steam Traps_Dry Cleaner/Industrial - No Audit_MF/CI/SMB_0.0962</v>
      </c>
      <c r="B3120" s="303" t="s">
        <v>644</v>
      </c>
      <c r="C3120" s="304" t="s">
        <v>1274</v>
      </c>
      <c r="D3120" s="303" t="s">
        <v>662</v>
      </c>
      <c r="E3120" s="340">
        <v>9.6199999999999994E-2</v>
      </c>
      <c r="F3120" s="340"/>
      <c r="G3120" s="343">
        <v>9.6199999999999994E-2</v>
      </c>
      <c r="H3120" s="340"/>
      <c r="I3120" s="305" t="s">
        <v>152</v>
      </c>
      <c r="J3120" s="305" t="s">
        <v>130</v>
      </c>
      <c r="K3120" s="305" t="s">
        <v>2161</v>
      </c>
    </row>
    <row r="3121" spans="1:11" x14ac:dyDescent="0.25">
      <c r="A3121" s="302" t="str">
        <f t="shared" si="90"/>
        <v>Steam Traps_Dry Cleaner/Industrial - No Audit_MF/CI/SMB_T1</v>
      </c>
      <c r="B3121" s="303" t="s">
        <v>644</v>
      </c>
      <c r="C3121" s="304" t="s">
        <v>1274</v>
      </c>
      <c r="D3121" s="303" t="s">
        <v>662</v>
      </c>
      <c r="E3121" s="340" t="s">
        <v>511</v>
      </c>
      <c r="F3121" s="340"/>
      <c r="G3121" s="341">
        <f>G3118*(G3119^G3120)</f>
        <v>789.06029758033731</v>
      </c>
      <c r="H3121" s="340" t="s">
        <v>654</v>
      </c>
      <c r="I3121" s="305" t="s">
        <v>152</v>
      </c>
      <c r="J3121" s="305" t="s">
        <v>130</v>
      </c>
      <c r="K3121" s="305" t="s">
        <v>2161</v>
      </c>
    </row>
    <row r="3122" spans="1:11" x14ac:dyDescent="0.25">
      <c r="A3122" s="302" t="str">
        <f t="shared" si="90"/>
        <v>Steam Traps_Dry Cleaner/Industrial - No Audit_MF/CI/SMB_Tsource</v>
      </c>
      <c r="B3122" s="303" t="s">
        <v>644</v>
      </c>
      <c r="C3122" s="304" t="s">
        <v>1274</v>
      </c>
      <c r="D3122" s="303" t="s">
        <v>662</v>
      </c>
      <c r="E3122" s="340" t="s">
        <v>512</v>
      </c>
      <c r="F3122" s="340"/>
      <c r="G3122" s="341">
        <v>513.66999999999996</v>
      </c>
      <c r="H3122" s="340" t="s">
        <v>655</v>
      </c>
      <c r="I3122" s="305" t="s">
        <v>152</v>
      </c>
      <c r="J3122" s="305" t="s">
        <v>130</v>
      </c>
      <c r="K3122" s="305" t="s">
        <v>2161</v>
      </c>
    </row>
    <row r="3123" spans="1:11" x14ac:dyDescent="0.25">
      <c r="A3123" s="302" t="str">
        <f t="shared" si="90"/>
        <v>Steam Traps_Dry Cleaner/Industrial - No Audit_MF/CI/SMB_Hours of Operation</v>
      </c>
      <c r="B3123" s="303" t="s">
        <v>644</v>
      </c>
      <c r="C3123" s="304" t="s">
        <v>1274</v>
      </c>
      <c r="D3123" s="303" t="s">
        <v>662</v>
      </c>
      <c r="E3123" s="305" t="s">
        <v>460</v>
      </c>
      <c r="F3123" s="309" t="s">
        <v>647</v>
      </c>
      <c r="G3123" s="354">
        <v>2425</v>
      </c>
      <c r="H3123" s="305" t="s">
        <v>225</v>
      </c>
      <c r="I3123" s="305" t="s">
        <v>152</v>
      </c>
      <c r="J3123" s="305" t="s">
        <v>130</v>
      </c>
      <c r="K3123" s="305" t="s">
        <v>2161</v>
      </c>
    </row>
    <row r="3124" spans="1:11" x14ac:dyDescent="0.25">
      <c r="A3124" s="302" t="str">
        <f t="shared" si="90"/>
        <v>Steam Traps_Dry Cleaner/Industrial - No Audit_MF/CI/SMB_L</v>
      </c>
      <c r="B3124" s="303" t="s">
        <v>644</v>
      </c>
      <c r="C3124" s="304" t="s">
        <v>1274</v>
      </c>
      <c r="D3124" s="303" t="s">
        <v>662</v>
      </c>
      <c r="E3124" s="305" t="s">
        <v>437</v>
      </c>
      <c r="F3124" s="309"/>
      <c r="G3124" s="306">
        <v>0.27</v>
      </c>
      <c r="H3124" s="305" t="s">
        <v>225</v>
      </c>
      <c r="I3124" s="305" t="s">
        <v>152</v>
      </c>
      <c r="J3124" s="305" t="s">
        <v>130</v>
      </c>
      <c r="K3124" s="305" t="s">
        <v>2161</v>
      </c>
    </row>
    <row r="3125" spans="1:11" x14ac:dyDescent="0.25">
      <c r="A3125" s="302" t="str">
        <f t="shared" si="90"/>
        <v>Steam Traps_Dry Cleaner/Industrial - No Audit_MF/CI/SMB_Conversion</v>
      </c>
      <c r="B3125" s="303" t="s">
        <v>644</v>
      </c>
      <c r="C3125" s="304" t="s">
        <v>1274</v>
      </c>
      <c r="D3125" s="303" t="s">
        <v>662</v>
      </c>
      <c r="E3125" s="305" t="s">
        <v>284</v>
      </c>
      <c r="F3125" s="309" t="s">
        <v>622</v>
      </c>
      <c r="G3125" s="325">
        <v>100000</v>
      </c>
      <c r="H3125" s="305"/>
      <c r="I3125" s="305" t="s">
        <v>152</v>
      </c>
      <c r="J3125" s="305" t="s">
        <v>130</v>
      </c>
      <c r="K3125" s="305" t="s">
        <v>2161</v>
      </c>
    </row>
    <row r="3126" spans="1:11" x14ac:dyDescent="0.25">
      <c r="A3126" s="302" t="str">
        <f t="shared" si="90"/>
        <v>Steam Traps_Dry Cleaner/Industrial - No Audit_MF/CI/SMB_n_B</v>
      </c>
      <c r="B3126" s="303" t="s">
        <v>644</v>
      </c>
      <c r="C3126" s="304" t="s">
        <v>1274</v>
      </c>
      <c r="D3126" s="303" t="s">
        <v>662</v>
      </c>
      <c r="E3126" s="340" t="s">
        <v>657</v>
      </c>
      <c r="F3126" s="341"/>
      <c r="G3126" s="346">
        <v>0.80700000000000005</v>
      </c>
      <c r="H3126" s="340" t="s">
        <v>665</v>
      </c>
      <c r="I3126" s="305" t="s">
        <v>152</v>
      </c>
      <c r="J3126" s="305" t="s">
        <v>130</v>
      </c>
      <c r="K3126" s="305" t="s">
        <v>2161</v>
      </c>
    </row>
    <row r="3127" spans="1:11" x14ac:dyDescent="0.25">
      <c r="A3127" s="302" t="str">
        <f t="shared" si="90"/>
        <v>Steam Traps_Dry Cleaner/Industrial - No Audit_MF/CI/SMB_kWh Saved per Unit</v>
      </c>
      <c r="B3127" s="303" t="s">
        <v>644</v>
      </c>
      <c r="C3127" s="304" t="s">
        <v>1274</v>
      </c>
      <c r="D3127" s="303" t="s">
        <v>662</v>
      </c>
      <c r="E3127" s="314" t="s">
        <v>255</v>
      </c>
      <c r="F3127" s="326"/>
      <c r="G3127" s="315">
        <f>G3114</f>
        <v>3.8548995525</v>
      </c>
      <c r="H3127" s="305"/>
      <c r="I3127" s="305" t="s">
        <v>152</v>
      </c>
      <c r="J3127" s="305" t="s">
        <v>130</v>
      </c>
      <c r="K3127" s="305" t="s">
        <v>2161</v>
      </c>
    </row>
    <row r="3128" spans="1:11" x14ac:dyDescent="0.25">
      <c r="A3128" s="302" t="str">
        <f t="shared" si="90"/>
        <v>Steam Traps_Dry Cleaner/Industrial - No Audit_MF/CI/SMB_Coincident Peak kW Saved per Unit</v>
      </c>
      <c r="B3128" s="303" t="s">
        <v>644</v>
      </c>
      <c r="C3128" s="304" t="s">
        <v>1274</v>
      </c>
      <c r="D3128" s="303" t="s">
        <v>662</v>
      </c>
      <c r="E3128" s="314" t="s">
        <v>257</v>
      </c>
      <c r="F3128" s="326"/>
      <c r="G3128" s="315">
        <v>0</v>
      </c>
      <c r="H3128" s="305"/>
      <c r="I3128" s="305" t="s">
        <v>152</v>
      </c>
      <c r="J3128" s="305" t="s">
        <v>130</v>
      </c>
      <c r="K3128" s="305" t="s">
        <v>2161</v>
      </c>
    </row>
    <row r="3129" spans="1:11" x14ac:dyDescent="0.25">
      <c r="A3129" s="302" t="str">
        <f t="shared" si="90"/>
        <v>Steam Traps_Dry Cleaner/Industrial - No Audit_MF/CI/SMB_Therm Saved per Unit</v>
      </c>
      <c r="B3129" s="303" t="s">
        <v>644</v>
      </c>
      <c r="C3129" s="304" t="s">
        <v>1274</v>
      </c>
      <c r="D3129" s="303" t="s">
        <v>662</v>
      </c>
      <c r="E3129" s="314" t="s">
        <v>326</v>
      </c>
      <c r="F3129" s="326"/>
      <c r="G3129" s="315">
        <f xml:space="preserve"> G3115 * (G3116 + G3117 * (G3121 - G3122)) * G3123 * G3124 / (G3125 * G3126)</f>
        <v>174.96360308617389</v>
      </c>
      <c r="H3129" s="305"/>
      <c r="I3129" s="305" t="s">
        <v>152</v>
      </c>
      <c r="J3129" s="305" t="s">
        <v>130</v>
      </c>
      <c r="K3129" s="305" t="s">
        <v>2161</v>
      </c>
    </row>
    <row r="3130" spans="1:11" x14ac:dyDescent="0.25">
      <c r="A3130" s="302" t="str">
        <f t="shared" si="90"/>
        <v>Steam Traps_Dry Cleaner/Industrial - No Audit_MF/CI/SMB_Gallons Saved per Unit</v>
      </c>
      <c r="B3130" s="303" t="s">
        <v>644</v>
      </c>
      <c r="C3130" s="304" t="s">
        <v>1274</v>
      </c>
      <c r="D3130" s="303" t="s">
        <v>662</v>
      </c>
      <c r="E3130" s="314" t="s">
        <v>547</v>
      </c>
      <c r="F3130" s="326"/>
      <c r="G3130" s="315">
        <f>G3111</f>
        <v>1499.3775000000001</v>
      </c>
      <c r="H3130" s="305"/>
      <c r="I3130" s="305" t="s">
        <v>152</v>
      </c>
      <c r="J3130" s="305" t="s">
        <v>130</v>
      </c>
      <c r="K3130" s="305" t="s">
        <v>2161</v>
      </c>
    </row>
    <row r="3131" spans="1:11" x14ac:dyDescent="0.25">
      <c r="A3131" s="302" t="str">
        <f t="shared" si="90"/>
        <v>Steam Traps_Dry Cleaner/Industrial - No Audit_MF/CI/SMB_Lifetime (years)</v>
      </c>
      <c r="B3131" s="303" t="s">
        <v>644</v>
      </c>
      <c r="C3131" s="304" t="s">
        <v>1274</v>
      </c>
      <c r="D3131" s="303" t="s">
        <v>662</v>
      </c>
      <c r="E3131" s="314" t="s">
        <v>259</v>
      </c>
      <c r="F3131" s="326"/>
      <c r="G3131" s="315">
        <v>6</v>
      </c>
      <c r="H3131" s="305" t="s">
        <v>659</v>
      </c>
      <c r="I3131" s="305" t="s">
        <v>152</v>
      </c>
      <c r="J3131" s="305" t="s">
        <v>130</v>
      </c>
      <c r="K3131" s="305" t="s">
        <v>2161</v>
      </c>
    </row>
    <row r="3132" spans="1:11" x14ac:dyDescent="0.25">
      <c r="A3132" s="302" t="str">
        <f t="shared" si="90"/>
        <v>Steam Traps_Dry Cleaner/Industrial - No Audit_MF/CI/SMB_Incremental Cost</v>
      </c>
      <c r="B3132" s="303" t="s">
        <v>644</v>
      </c>
      <c r="C3132" s="304" t="s">
        <v>1274</v>
      </c>
      <c r="D3132" s="303" t="s">
        <v>662</v>
      </c>
      <c r="E3132" s="314" t="s">
        <v>260</v>
      </c>
      <c r="F3132" s="326"/>
      <c r="G3132" s="315">
        <v>77</v>
      </c>
      <c r="H3132" s="305" t="s">
        <v>225</v>
      </c>
      <c r="I3132" s="305" t="s">
        <v>152</v>
      </c>
      <c r="J3132" s="305" t="s">
        <v>130</v>
      </c>
      <c r="K3132" s="305" t="s">
        <v>2161</v>
      </c>
    </row>
    <row r="3133" spans="1:11" s="324" customFormat="1" x14ac:dyDescent="0.25">
      <c r="A3133" s="317" t="str">
        <f t="shared" si="90"/>
        <v>Steam Traps_Dry Cleaner/Industrial - No Audit_MF/CI/SMB_</v>
      </c>
      <c r="B3133" s="317" t="str">
        <f>B3132</f>
        <v>Steam Traps</v>
      </c>
      <c r="C3133" s="332" t="str">
        <f>C3132</f>
        <v>Dry Cleaner/Industrial - No Audit</v>
      </c>
      <c r="D3133" s="317" t="str">
        <f>D3132</f>
        <v>MF/CI/SMB</v>
      </c>
      <c r="E3133" s="320"/>
      <c r="F3133" s="320"/>
      <c r="G3133" s="329"/>
      <c r="H3133" s="320"/>
      <c r="I3133" s="320"/>
      <c r="J3133" s="320"/>
      <c r="K3133" s="320"/>
    </row>
    <row r="3134" spans="1:11" s="324" customFormat="1" x14ac:dyDescent="0.25">
      <c r="A3134" s="302" t="str">
        <f t="shared" si="90"/>
        <v>Steam Traps_Dry Cleaner/Industrial - Audit_MF/CI/SMB_GAL</v>
      </c>
      <c r="B3134" s="303" t="s">
        <v>644</v>
      </c>
      <c r="C3134" s="304" t="s">
        <v>1275</v>
      </c>
      <c r="D3134" s="303" t="s">
        <v>662</v>
      </c>
      <c r="E3134" s="305" t="s">
        <v>513</v>
      </c>
      <c r="F3134" s="309"/>
      <c r="G3134" s="306">
        <v>2.29</v>
      </c>
      <c r="H3134" s="305" t="s">
        <v>225</v>
      </c>
      <c r="I3134" s="305" t="s">
        <v>152</v>
      </c>
      <c r="J3134" s="305" t="s">
        <v>130</v>
      </c>
      <c r="K3134" s="305" t="s">
        <v>2161</v>
      </c>
    </row>
    <row r="3135" spans="1:11" s="324" customFormat="1" x14ac:dyDescent="0.25">
      <c r="A3135" s="302" t="str">
        <f t="shared" si="90"/>
        <v>Steam Traps_Dry Cleaner/Industrial - Audit_MF/CI/SMB_Hours of Operation</v>
      </c>
      <c r="B3135" s="303" t="s">
        <v>644</v>
      </c>
      <c r="C3135" s="304" t="s">
        <v>1275</v>
      </c>
      <c r="D3135" s="303" t="s">
        <v>662</v>
      </c>
      <c r="E3135" s="305" t="s">
        <v>460</v>
      </c>
      <c r="F3135" s="309" t="s">
        <v>647</v>
      </c>
      <c r="G3135" s="354">
        <v>2425</v>
      </c>
      <c r="H3135" s="305" t="s">
        <v>225</v>
      </c>
      <c r="I3135" s="305" t="s">
        <v>152</v>
      </c>
      <c r="J3135" s="305" t="s">
        <v>130</v>
      </c>
      <c r="K3135" s="305" t="s">
        <v>2161</v>
      </c>
    </row>
    <row r="3136" spans="1:11" s="324" customFormat="1" x14ac:dyDescent="0.25">
      <c r="A3136" s="302" t="str">
        <f t="shared" si="90"/>
        <v>Steam Traps_Dry Cleaner/Industrial - Audit_MF/CI/SMB_L</v>
      </c>
      <c r="B3136" s="303" t="s">
        <v>644</v>
      </c>
      <c r="C3136" s="304" t="s">
        <v>1275</v>
      </c>
      <c r="D3136" s="303" t="s">
        <v>662</v>
      </c>
      <c r="E3136" s="305" t="s">
        <v>437</v>
      </c>
      <c r="F3136" s="309"/>
      <c r="G3136" s="307">
        <v>1</v>
      </c>
      <c r="H3136" s="305" t="s">
        <v>649</v>
      </c>
      <c r="I3136" s="305" t="s">
        <v>152</v>
      </c>
      <c r="J3136" s="305" t="s">
        <v>130</v>
      </c>
      <c r="K3136" s="305" t="s">
        <v>2161</v>
      </c>
    </row>
    <row r="3137" spans="1:11" s="324" customFormat="1" x14ac:dyDescent="0.25">
      <c r="A3137" s="302" t="str">
        <f t="shared" si="90"/>
        <v>Steam Traps_Dry Cleaner/Industrial - Audit_MF/CI/SMB_Delta_Water_Gallons</v>
      </c>
      <c r="B3137" s="303" t="s">
        <v>644</v>
      </c>
      <c r="C3137" s="304" t="s">
        <v>1275</v>
      </c>
      <c r="D3137" s="303" t="s">
        <v>662</v>
      </c>
      <c r="E3137" s="305" t="s">
        <v>456</v>
      </c>
      <c r="F3137" s="305"/>
      <c r="G3137" s="307">
        <f>G3134*G3135*G3136</f>
        <v>5553.25</v>
      </c>
      <c r="H3137" s="305"/>
      <c r="I3137" s="305" t="s">
        <v>152</v>
      </c>
      <c r="J3137" s="305" t="s">
        <v>130</v>
      </c>
      <c r="K3137" s="305" t="s">
        <v>2161</v>
      </c>
    </row>
    <row r="3138" spans="1:11" s="324" customFormat="1" x14ac:dyDescent="0.25">
      <c r="A3138" s="302" t="str">
        <f t="shared" si="90"/>
        <v>Steam Traps_Dry Cleaner/Industrial - Audit_MF/CI/SMB_Conversion</v>
      </c>
      <c r="B3138" s="303" t="s">
        <v>644</v>
      </c>
      <c r="C3138" s="304" t="s">
        <v>1275</v>
      </c>
      <c r="D3138" s="303" t="s">
        <v>662</v>
      </c>
      <c r="E3138" s="305" t="s">
        <v>284</v>
      </c>
      <c r="F3138" s="305"/>
      <c r="G3138" s="354">
        <v>1000000</v>
      </c>
      <c r="H3138" s="305"/>
      <c r="I3138" s="305" t="s">
        <v>152</v>
      </c>
      <c r="J3138" s="305" t="s">
        <v>130</v>
      </c>
      <c r="K3138" s="305" t="s">
        <v>2161</v>
      </c>
    </row>
    <row r="3139" spans="1:11" s="324" customFormat="1" x14ac:dyDescent="0.25">
      <c r="A3139" s="302" t="str">
        <f t="shared" si="90"/>
        <v>Steam Traps_Dry Cleaner/Industrial - Audit_MF/CI/SMB_E_water_supply</v>
      </c>
      <c r="B3139" s="303" t="s">
        <v>644</v>
      </c>
      <c r="C3139" s="304" t="s">
        <v>1275</v>
      </c>
      <c r="D3139" s="303" t="s">
        <v>662</v>
      </c>
      <c r="E3139" s="305" t="s">
        <v>457</v>
      </c>
      <c r="F3139" s="305"/>
      <c r="G3139" s="307">
        <v>2571</v>
      </c>
      <c r="H3139" s="305"/>
      <c r="I3139" s="305" t="s">
        <v>152</v>
      </c>
      <c r="J3139" s="305" t="s">
        <v>130</v>
      </c>
      <c r="K3139" s="305" t="s">
        <v>2161</v>
      </c>
    </row>
    <row r="3140" spans="1:11" s="324" customFormat="1" x14ac:dyDescent="0.25">
      <c r="A3140" s="302" t="str">
        <f t="shared" si="90"/>
        <v>Steam Traps_Dry Cleaner/Industrial - Audit_MF/CI/SMB_Delta_kWh_water</v>
      </c>
      <c r="B3140" s="303" t="s">
        <v>644</v>
      </c>
      <c r="C3140" s="304" t="s">
        <v>1275</v>
      </c>
      <c r="D3140" s="303" t="s">
        <v>662</v>
      </c>
      <c r="E3140" s="305" t="s">
        <v>334</v>
      </c>
      <c r="F3140" s="305"/>
      <c r="G3140" s="307">
        <f>(G3137/G3138)*G3139</f>
        <v>14.27740575</v>
      </c>
      <c r="H3140" s="305"/>
      <c r="I3140" s="305" t="s">
        <v>152</v>
      </c>
      <c r="J3140" s="305" t="s">
        <v>130</v>
      </c>
      <c r="K3140" s="305" t="s">
        <v>2161</v>
      </c>
    </row>
    <row r="3141" spans="1:11" s="324" customFormat="1" x14ac:dyDescent="0.25">
      <c r="A3141" s="302" t="str">
        <f t="shared" si="90"/>
        <v>Steam Traps_Dry Cleaner/Industrial - Audit_MF/CI/SMB_Sa</v>
      </c>
      <c r="B3141" s="303" t="s">
        <v>644</v>
      </c>
      <c r="C3141" s="304" t="s">
        <v>1275</v>
      </c>
      <c r="D3141" s="303" t="s">
        <v>662</v>
      </c>
      <c r="E3141" s="305" t="s">
        <v>507</v>
      </c>
      <c r="F3141" s="309"/>
      <c r="G3141" s="307">
        <v>18.5</v>
      </c>
      <c r="H3141" s="305" t="s">
        <v>663</v>
      </c>
      <c r="I3141" s="305" t="s">
        <v>152</v>
      </c>
      <c r="J3141" s="305" t="s">
        <v>130</v>
      </c>
      <c r="K3141" s="305" t="s">
        <v>2161</v>
      </c>
    </row>
    <row r="3142" spans="1:11" s="324" customFormat="1" x14ac:dyDescent="0.25">
      <c r="A3142" s="302" t="str">
        <f t="shared" si="90"/>
        <v>Steam Traps_Dry Cleaner/Industrial - Audit_MF/CI/SMB_Hv</v>
      </c>
      <c r="B3142" s="303" t="s">
        <v>644</v>
      </c>
      <c r="C3142" s="304" t="s">
        <v>1275</v>
      </c>
      <c r="D3142" s="303" t="s">
        <v>662</v>
      </c>
      <c r="E3142" s="305" t="s">
        <v>508</v>
      </c>
      <c r="F3142" s="305"/>
      <c r="G3142" s="307">
        <v>890</v>
      </c>
      <c r="H3142" s="305" t="s">
        <v>225</v>
      </c>
      <c r="I3142" s="305" t="s">
        <v>152</v>
      </c>
      <c r="J3142" s="305" t="s">
        <v>130</v>
      </c>
      <c r="K3142" s="305" t="s">
        <v>2161</v>
      </c>
    </row>
    <row r="3143" spans="1:11" x14ac:dyDescent="0.25">
      <c r="A3143" s="302" t="str">
        <f t="shared" si="90"/>
        <v>Steam Traps_Dry Cleaner/Industrial - Audit_MF/CI/SMB_Hs</v>
      </c>
      <c r="B3143" s="303" t="s">
        <v>644</v>
      </c>
      <c r="C3143" s="304" t="s">
        <v>1275</v>
      </c>
      <c r="D3143" s="303" t="s">
        <v>662</v>
      </c>
      <c r="E3143" s="340" t="s">
        <v>509</v>
      </c>
      <c r="F3143" s="340"/>
      <c r="G3143" s="341">
        <v>1.0009999999999999</v>
      </c>
      <c r="H3143" s="340" t="s">
        <v>652</v>
      </c>
      <c r="I3143" s="305" t="s">
        <v>152</v>
      </c>
      <c r="J3143" s="305" t="s">
        <v>130</v>
      </c>
      <c r="K3143" s="305" t="s">
        <v>2161</v>
      </c>
    </row>
    <row r="3144" spans="1:11" x14ac:dyDescent="0.25">
      <c r="A3144" s="302" t="str">
        <f t="shared" si="90"/>
        <v>Steam Traps_Dry Cleaner/Industrial - Audit_MF/CI/SMB_507.89</v>
      </c>
      <c r="B3144" s="303" t="s">
        <v>644</v>
      </c>
      <c r="C3144" s="304" t="s">
        <v>1275</v>
      </c>
      <c r="D3144" s="303" t="s">
        <v>662</v>
      </c>
      <c r="E3144" s="342">
        <v>507.89</v>
      </c>
      <c r="F3144" s="340"/>
      <c r="G3144" s="341">
        <v>507.89</v>
      </c>
      <c r="H3144" s="340"/>
      <c r="I3144" s="305" t="s">
        <v>152</v>
      </c>
      <c r="J3144" s="305" t="s">
        <v>130</v>
      </c>
      <c r="K3144" s="305" t="s">
        <v>2161</v>
      </c>
    </row>
    <row r="3145" spans="1:11" x14ac:dyDescent="0.25">
      <c r="A3145" s="302" t="str">
        <f t="shared" si="90"/>
        <v>Steam Traps_Dry Cleaner/Industrial - Audit_MF/CI/SMB_P1</v>
      </c>
      <c r="B3145" s="303" t="s">
        <v>644</v>
      </c>
      <c r="C3145" s="304" t="s">
        <v>1275</v>
      </c>
      <c r="D3145" s="303" t="s">
        <v>662</v>
      </c>
      <c r="E3145" s="340" t="s">
        <v>510</v>
      </c>
      <c r="F3145" s="340"/>
      <c r="G3145" s="341">
        <f>82.8+14.696</f>
        <v>97.495999999999995</v>
      </c>
      <c r="H3145" s="340" t="s">
        <v>664</v>
      </c>
      <c r="I3145" s="305" t="s">
        <v>152</v>
      </c>
      <c r="J3145" s="305" t="s">
        <v>130</v>
      </c>
      <c r="K3145" s="305" t="s">
        <v>2161</v>
      </c>
    </row>
    <row r="3146" spans="1:11" x14ac:dyDescent="0.25">
      <c r="A3146" s="302" t="str">
        <f t="shared" si="90"/>
        <v>Steam Traps_Dry Cleaner/Industrial - Audit_MF/CI/SMB_0.0962</v>
      </c>
      <c r="B3146" s="303" t="s">
        <v>644</v>
      </c>
      <c r="C3146" s="304" t="s">
        <v>1275</v>
      </c>
      <c r="D3146" s="303" t="s">
        <v>662</v>
      </c>
      <c r="E3146" s="340">
        <v>9.6199999999999994E-2</v>
      </c>
      <c r="F3146" s="340"/>
      <c r="G3146" s="343">
        <v>9.6199999999999994E-2</v>
      </c>
      <c r="H3146" s="340"/>
      <c r="I3146" s="305" t="s">
        <v>152</v>
      </c>
      <c r="J3146" s="305" t="s">
        <v>130</v>
      </c>
      <c r="K3146" s="305" t="s">
        <v>2161</v>
      </c>
    </row>
    <row r="3147" spans="1:11" x14ac:dyDescent="0.25">
      <c r="A3147" s="302" t="str">
        <f t="shared" si="90"/>
        <v>Steam Traps_Dry Cleaner/Industrial - Audit_MF/CI/SMB_T1</v>
      </c>
      <c r="B3147" s="303" t="s">
        <v>644</v>
      </c>
      <c r="C3147" s="304" t="s">
        <v>1275</v>
      </c>
      <c r="D3147" s="303" t="s">
        <v>662</v>
      </c>
      <c r="E3147" s="340" t="s">
        <v>511</v>
      </c>
      <c r="F3147" s="340"/>
      <c r="G3147" s="341">
        <f>G3144*(G3145^G3146)</f>
        <v>789.06029758033731</v>
      </c>
      <c r="H3147" s="340" t="s">
        <v>654</v>
      </c>
      <c r="I3147" s="305" t="s">
        <v>152</v>
      </c>
      <c r="J3147" s="305" t="s">
        <v>130</v>
      </c>
      <c r="K3147" s="305" t="s">
        <v>2161</v>
      </c>
    </row>
    <row r="3148" spans="1:11" x14ac:dyDescent="0.25">
      <c r="A3148" s="302" t="str">
        <f t="shared" ref="A3148:A3211" si="91">B3148&amp;"_"&amp;C3148&amp;"_"&amp;D3148&amp;"_"&amp;E3148</f>
        <v>Steam Traps_Dry Cleaner/Industrial - Audit_MF/CI/SMB_Tsource</v>
      </c>
      <c r="B3148" s="303" t="s">
        <v>644</v>
      </c>
      <c r="C3148" s="304" t="s">
        <v>1275</v>
      </c>
      <c r="D3148" s="303" t="s">
        <v>662</v>
      </c>
      <c r="E3148" s="340" t="s">
        <v>512</v>
      </c>
      <c r="F3148" s="340"/>
      <c r="G3148" s="341">
        <v>513.66999999999996</v>
      </c>
      <c r="H3148" s="340" t="s">
        <v>655</v>
      </c>
      <c r="I3148" s="305" t="s">
        <v>152</v>
      </c>
      <c r="J3148" s="305" t="s">
        <v>130</v>
      </c>
      <c r="K3148" s="305" t="s">
        <v>2161</v>
      </c>
    </row>
    <row r="3149" spans="1:11" s="324" customFormat="1" x14ac:dyDescent="0.25">
      <c r="A3149" s="302" t="str">
        <f t="shared" si="91"/>
        <v>Steam Traps_Dry Cleaner/Industrial - Audit_MF/CI/SMB_Hours of Operation</v>
      </c>
      <c r="B3149" s="303" t="s">
        <v>644</v>
      </c>
      <c r="C3149" s="304" t="s">
        <v>1275</v>
      </c>
      <c r="D3149" s="303" t="s">
        <v>662</v>
      </c>
      <c r="E3149" s="305" t="s">
        <v>460</v>
      </c>
      <c r="F3149" s="309" t="s">
        <v>647</v>
      </c>
      <c r="G3149" s="354">
        <v>2425</v>
      </c>
      <c r="H3149" s="305" t="s">
        <v>225</v>
      </c>
      <c r="I3149" s="305" t="s">
        <v>152</v>
      </c>
      <c r="J3149" s="305" t="s">
        <v>130</v>
      </c>
      <c r="K3149" s="305" t="s">
        <v>2161</v>
      </c>
    </row>
    <row r="3150" spans="1:11" s="324" customFormat="1" x14ac:dyDescent="0.25">
      <c r="A3150" s="302" t="str">
        <f t="shared" si="91"/>
        <v>Steam Traps_Dry Cleaner/Industrial - Audit_MF/CI/SMB_L</v>
      </c>
      <c r="B3150" s="303" t="s">
        <v>644</v>
      </c>
      <c r="C3150" s="304" t="s">
        <v>1275</v>
      </c>
      <c r="D3150" s="303" t="s">
        <v>662</v>
      </c>
      <c r="E3150" s="305" t="s">
        <v>437</v>
      </c>
      <c r="F3150" s="309"/>
      <c r="G3150" s="306">
        <v>1</v>
      </c>
      <c r="H3150" s="305" t="s">
        <v>649</v>
      </c>
      <c r="I3150" s="305" t="s">
        <v>152</v>
      </c>
      <c r="J3150" s="305" t="s">
        <v>130</v>
      </c>
      <c r="K3150" s="305" t="s">
        <v>2161</v>
      </c>
    </row>
    <row r="3151" spans="1:11" s="324" customFormat="1" x14ac:dyDescent="0.25">
      <c r="A3151" s="302" t="str">
        <f t="shared" si="91"/>
        <v>Steam Traps_Dry Cleaner/Industrial - Audit_MF/CI/SMB_Conversion</v>
      </c>
      <c r="B3151" s="303" t="s">
        <v>644</v>
      </c>
      <c r="C3151" s="304" t="s">
        <v>1275</v>
      </c>
      <c r="D3151" s="303" t="s">
        <v>662</v>
      </c>
      <c r="E3151" s="305" t="s">
        <v>284</v>
      </c>
      <c r="F3151" s="309" t="s">
        <v>622</v>
      </c>
      <c r="G3151" s="325">
        <v>100000</v>
      </c>
      <c r="H3151" s="305"/>
      <c r="I3151" s="305" t="s">
        <v>152</v>
      </c>
      <c r="J3151" s="305" t="s">
        <v>130</v>
      </c>
      <c r="K3151" s="305" t="s">
        <v>2161</v>
      </c>
    </row>
    <row r="3152" spans="1:11" x14ac:dyDescent="0.25">
      <c r="A3152" s="302" t="str">
        <f t="shared" si="91"/>
        <v>Steam Traps_Dry Cleaner/Industrial - Audit_MF/CI/SMB_n_B</v>
      </c>
      <c r="B3152" s="303" t="s">
        <v>644</v>
      </c>
      <c r="C3152" s="304" t="s">
        <v>1275</v>
      </c>
      <c r="D3152" s="303" t="s">
        <v>662</v>
      </c>
      <c r="E3152" s="340" t="s">
        <v>657</v>
      </c>
      <c r="F3152" s="341"/>
      <c r="G3152" s="346">
        <v>0.80700000000000005</v>
      </c>
      <c r="H3152" s="340" t="s">
        <v>665</v>
      </c>
      <c r="I3152" s="305" t="s">
        <v>152</v>
      </c>
      <c r="J3152" s="305" t="s">
        <v>130</v>
      </c>
      <c r="K3152" s="305" t="s">
        <v>2161</v>
      </c>
    </row>
    <row r="3153" spans="1:11" s="324" customFormat="1" x14ac:dyDescent="0.25">
      <c r="A3153" s="302" t="str">
        <f t="shared" si="91"/>
        <v>Steam Traps_Dry Cleaner/Industrial - Audit_MF/CI/SMB_kWh Saved per Unit</v>
      </c>
      <c r="B3153" s="303" t="s">
        <v>644</v>
      </c>
      <c r="C3153" s="304" t="s">
        <v>1275</v>
      </c>
      <c r="D3153" s="303" t="s">
        <v>662</v>
      </c>
      <c r="E3153" s="314" t="s">
        <v>255</v>
      </c>
      <c r="F3153" s="326"/>
      <c r="G3153" s="315">
        <f>G3140</f>
        <v>14.27740575</v>
      </c>
      <c r="H3153" s="305"/>
      <c r="I3153" s="305" t="s">
        <v>152</v>
      </c>
      <c r="J3153" s="305" t="s">
        <v>130</v>
      </c>
      <c r="K3153" s="305" t="s">
        <v>2161</v>
      </c>
    </row>
    <row r="3154" spans="1:11" s="324" customFormat="1" x14ac:dyDescent="0.25">
      <c r="A3154" s="302" t="str">
        <f t="shared" si="91"/>
        <v>Steam Traps_Dry Cleaner/Industrial - Audit_MF/CI/SMB_Coincident Peak kW Saved per Unit</v>
      </c>
      <c r="B3154" s="303" t="s">
        <v>644</v>
      </c>
      <c r="C3154" s="304" t="s">
        <v>1275</v>
      </c>
      <c r="D3154" s="303" t="s">
        <v>662</v>
      </c>
      <c r="E3154" s="314" t="s">
        <v>257</v>
      </c>
      <c r="F3154" s="326"/>
      <c r="G3154" s="315">
        <v>0</v>
      </c>
      <c r="H3154" s="305"/>
      <c r="I3154" s="305" t="s">
        <v>152</v>
      </c>
      <c r="J3154" s="305" t="s">
        <v>130</v>
      </c>
      <c r="K3154" s="305" t="s">
        <v>2161</v>
      </c>
    </row>
    <row r="3155" spans="1:11" s="324" customFormat="1" x14ac:dyDescent="0.25">
      <c r="A3155" s="302" t="str">
        <f t="shared" si="91"/>
        <v>Steam Traps_Dry Cleaner/Industrial - Audit_MF/CI/SMB_Therm Saved per Unit</v>
      </c>
      <c r="B3155" s="303" t="s">
        <v>644</v>
      </c>
      <c r="C3155" s="304" t="s">
        <v>1275</v>
      </c>
      <c r="D3155" s="303" t="s">
        <v>662</v>
      </c>
      <c r="E3155" s="314" t="s">
        <v>326</v>
      </c>
      <c r="F3155" s="326"/>
      <c r="G3155" s="315">
        <f xml:space="preserve"> G3141 * (G3142 + G3143 * (G3147 - G3148)) * G3149 * G3150 / (G3151 * G3152)</f>
        <v>648.01334476360694</v>
      </c>
      <c r="H3155" s="305"/>
      <c r="I3155" s="305" t="s">
        <v>152</v>
      </c>
      <c r="J3155" s="305" t="s">
        <v>130</v>
      </c>
      <c r="K3155" s="305" t="s">
        <v>2161</v>
      </c>
    </row>
    <row r="3156" spans="1:11" s="324" customFormat="1" x14ac:dyDescent="0.25">
      <c r="A3156" s="302" t="str">
        <f t="shared" si="91"/>
        <v>Steam Traps_Dry Cleaner/Industrial - Audit_MF/CI/SMB_Gallons Saved per Unit</v>
      </c>
      <c r="B3156" s="303" t="s">
        <v>644</v>
      </c>
      <c r="C3156" s="304" t="s">
        <v>1275</v>
      </c>
      <c r="D3156" s="303" t="s">
        <v>662</v>
      </c>
      <c r="E3156" s="314" t="s">
        <v>547</v>
      </c>
      <c r="F3156" s="326"/>
      <c r="G3156" s="315">
        <f>G3137</f>
        <v>5553.25</v>
      </c>
      <c r="H3156" s="305"/>
      <c r="I3156" s="305" t="s">
        <v>152</v>
      </c>
      <c r="J3156" s="305" t="s">
        <v>130</v>
      </c>
      <c r="K3156" s="305" t="s">
        <v>2161</v>
      </c>
    </row>
    <row r="3157" spans="1:11" s="324" customFormat="1" x14ac:dyDescent="0.25">
      <c r="A3157" s="302" t="str">
        <f t="shared" si="91"/>
        <v>Steam Traps_Dry Cleaner/Industrial - Audit_MF/CI/SMB_Lifetime (years)</v>
      </c>
      <c r="B3157" s="303" t="s">
        <v>644</v>
      </c>
      <c r="C3157" s="304" t="s">
        <v>1275</v>
      </c>
      <c r="D3157" s="303" t="s">
        <v>662</v>
      </c>
      <c r="E3157" s="314" t="s">
        <v>259</v>
      </c>
      <c r="F3157" s="326"/>
      <c r="G3157" s="315">
        <v>6</v>
      </c>
      <c r="H3157" s="305" t="s">
        <v>659</v>
      </c>
      <c r="I3157" s="305" t="s">
        <v>152</v>
      </c>
      <c r="J3157" s="305" t="s">
        <v>130</v>
      </c>
      <c r="K3157" s="305" t="s">
        <v>2161</v>
      </c>
    </row>
    <row r="3158" spans="1:11" s="324" customFormat="1" x14ac:dyDescent="0.25">
      <c r="A3158" s="302" t="str">
        <f t="shared" si="91"/>
        <v>Steam Traps_Dry Cleaner/Industrial - Audit_MF/CI/SMB_Incremental Cost</v>
      </c>
      <c r="B3158" s="303" t="s">
        <v>644</v>
      </c>
      <c r="C3158" s="304" t="s">
        <v>1275</v>
      </c>
      <c r="D3158" s="303" t="s">
        <v>662</v>
      </c>
      <c r="E3158" s="314" t="s">
        <v>260</v>
      </c>
      <c r="F3158" s="326"/>
      <c r="G3158" s="315">
        <v>77</v>
      </c>
      <c r="H3158" s="305" t="s">
        <v>225</v>
      </c>
      <c r="I3158" s="305" t="s">
        <v>152</v>
      </c>
      <c r="J3158" s="305" t="s">
        <v>130</v>
      </c>
      <c r="K3158" s="305" t="s">
        <v>2161</v>
      </c>
    </row>
    <row r="3159" spans="1:11" s="324" customFormat="1" x14ac:dyDescent="0.25">
      <c r="A3159" s="317" t="str">
        <f t="shared" si="91"/>
        <v>Steam Traps_Dry Cleaner/Industrial - Audit_MF/CI/SMB_</v>
      </c>
      <c r="B3159" s="317" t="str">
        <f>B3158</f>
        <v>Steam Traps</v>
      </c>
      <c r="C3159" s="332" t="str">
        <f>C3158</f>
        <v>Dry Cleaner/Industrial - Audit</v>
      </c>
      <c r="D3159" s="317" t="str">
        <f>D3158</f>
        <v>MF/CI/SMB</v>
      </c>
      <c r="E3159" s="320"/>
      <c r="F3159" s="320"/>
      <c r="G3159" s="329"/>
      <c r="H3159" s="320"/>
      <c r="I3159" s="320"/>
      <c r="J3159" s="320"/>
      <c r="K3159" s="320"/>
    </row>
    <row r="3160" spans="1:11" x14ac:dyDescent="0.25">
      <c r="A3160" s="302" t="str">
        <f t="shared" si="91"/>
        <v>Steam Traps_HVAC Repair/Rep - No Audit_CI_GAL</v>
      </c>
      <c r="B3160" s="303" t="s">
        <v>644</v>
      </c>
      <c r="C3160" s="304" t="s">
        <v>660</v>
      </c>
      <c r="D3160" s="303" t="s">
        <v>1159</v>
      </c>
      <c r="E3160" s="305" t="s">
        <v>513</v>
      </c>
      <c r="F3160" s="309"/>
      <c r="G3160" s="306">
        <v>0.83</v>
      </c>
      <c r="H3160" s="305" t="s">
        <v>514</v>
      </c>
      <c r="I3160" s="305" t="s">
        <v>152</v>
      </c>
      <c r="J3160" s="305" t="s">
        <v>130</v>
      </c>
      <c r="K3160" s="305" t="s">
        <v>2161</v>
      </c>
    </row>
    <row r="3161" spans="1:11" x14ac:dyDescent="0.25">
      <c r="A3161" s="302" t="str">
        <f t="shared" si="91"/>
        <v>Steam Traps_HVAC Repair/Rep - No Audit_CI_Hours of Operation</v>
      </c>
      <c r="B3161" s="303" t="s">
        <v>644</v>
      </c>
      <c r="C3161" s="304" t="s">
        <v>660</v>
      </c>
      <c r="D3161" s="303" t="s">
        <v>1159</v>
      </c>
      <c r="E3161" s="305" t="s">
        <v>460</v>
      </c>
      <c r="F3161" s="309" t="s">
        <v>647</v>
      </c>
      <c r="G3161" s="339">
        <v>4029</v>
      </c>
      <c r="H3161" s="305" t="s">
        <v>1276</v>
      </c>
      <c r="I3161" s="305" t="s">
        <v>152</v>
      </c>
      <c r="J3161" s="305" t="s">
        <v>130</v>
      </c>
      <c r="K3161" s="305" t="s">
        <v>2161</v>
      </c>
    </row>
    <row r="3162" spans="1:11" x14ac:dyDescent="0.25">
      <c r="A3162" s="302" t="str">
        <f t="shared" si="91"/>
        <v>Steam Traps_HVAC Repair/Rep - No Audit_CI_L</v>
      </c>
      <c r="B3162" s="303" t="s">
        <v>644</v>
      </c>
      <c r="C3162" s="304" t="s">
        <v>660</v>
      </c>
      <c r="D3162" s="303" t="s">
        <v>1159</v>
      </c>
      <c r="E3162" s="305" t="s">
        <v>437</v>
      </c>
      <c r="F3162" s="309"/>
      <c r="G3162" s="306">
        <v>0.27</v>
      </c>
      <c r="H3162" s="305" t="s">
        <v>1277</v>
      </c>
      <c r="I3162" s="305" t="s">
        <v>152</v>
      </c>
      <c r="J3162" s="305" t="s">
        <v>130</v>
      </c>
      <c r="K3162" s="305" t="s">
        <v>2161</v>
      </c>
    </row>
    <row r="3163" spans="1:11" x14ac:dyDescent="0.25">
      <c r="A3163" s="302" t="str">
        <f t="shared" si="91"/>
        <v>Steam Traps_HVAC Repair/Rep - No Audit_CI_Delta_Water_Gallons</v>
      </c>
      <c r="B3163" s="303" t="s">
        <v>644</v>
      </c>
      <c r="C3163" s="304" t="s">
        <v>660</v>
      </c>
      <c r="D3163" s="303" t="s">
        <v>1159</v>
      </c>
      <c r="E3163" s="305" t="s">
        <v>456</v>
      </c>
      <c r="F3163" s="305"/>
      <c r="G3163" s="307">
        <f>G3160*G3161*G3162</f>
        <v>902.89890000000003</v>
      </c>
      <c r="H3163" s="305"/>
      <c r="I3163" s="305" t="s">
        <v>152</v>
      </c>
      <c r="J3163" s="305" t="s">
        <v>130</v>
      </c>
      <c r="K3163" s="305" t="s">
        <v>2161</v>
      </c>
    </row>
    <row r="3164" spans="1:11" x14ac:dyDescent="0.25">
      <c r="A3164" s="302" t="str">
        <f t="shared" si="91"/>
        <v>Steam Traps_HVAC Repair/Rep - No Audit_CI_Conversion</v>
      </c>
      <c r="B3164" s="303" t="s">
        <v>644</v>
      </c>
      <c r="C3164" s="304" t="s">
        <v>660</v>
      </c>
      <c r="D3164" s="303" t="s">
        <v>1159</v>
      </c>
      <c r="E3164" s="305" t="s">
        <v>284</v>
      </c>
      <c r="F3164" s="305"/>
      <c r="G3164" s="354">
        <v>1000000</v>
      </c>
      <c r="H3164" s="305"/>
      <c r="I3164" s="305" t="s">
        <v>152</v>
      </c>
      <c r="J3164" s="305" t="s">
        <v>130</v>
      </c>
      <c r="K3164" s="305" t="s">
        <v>2161</v>
      </c>
    </row>
    <row r="3165" spans="1:11" x14ac:dyDescent="0.25">
      <c r="A3165" s="302" t="str">
        <f t="shared" si="91"/>
        <v>Steam Traps_HVAC Repair/Rep - No Audit_CI_E_water_supply</v>
      </c>
      <c r="B3165" s="303" t="s">
        <v>644</v>
      </c>
      <c r="C3165" s="304" t="s">
        <v>660</v>
      </c>
      <c r="D3165" s="303" t="s">
        <v>1159</v>
      </c>
      <c r="E3165" s="305" t="s">
        <v>457</v>
      </c>
      <c r="F3165" s="305"/>
      <c r="G3165" s="307">
        <v>2571</v>
      </c>
      <c r="H3165" s="305"/>
      <c r="I3165" s="305" t="s">
        <v>152</v>
      </c>
      <c r="J3165" s="305" t="s">
        <v>130</v>
      </c>
      <c r="K3165" s="305" t="s">
        <v>2161</v>
      </c>
    </row>
    <row r="3166" spans="1:11" x14ac:dyDescent="0.25">
      <c r="A3166" s="302" t="str">
        <f t="shared" si="91"/>
        <v>Steam Traps_HVAC Repair/Rep - No Audit_CI_Delta_kWh_water</v>
      </c>
      <c r="B3166" s="303" t="s">
        <v>644</v>
      </c>
      <c r="C3166" s="304" t="s">
        <v>660</v>
      </c>
      <c r="D3166" s="303" t="s">
        <v>1159</v>
      </c>
      <c r="E3166" s="305" t="s">
        <v>334</v>
      </c>
      <c r="F3166" s="305"/>
      <c r="G3166" s="307">
        <f>G3163/G3164*G3165</f>
        <v>2.3213530719</v>
      </c>
      <c r="H3166" s="305"/>
      <c r="I3166" s="305" t="s">
        <v>152</v>
      </c>
      <c r="J3166" s="305" t="s">
        <v>130</v>
      </c>
      <c r="K3166" s="305" t="s">
        <v>2161</v>
      </c>
    </row>
    <row r="3167" spans="1:11" x14ac:dyDescent="0.25">
      <c r="A3167" s="302" t="str">
        <f t="shared" si="91"/>
        <v>Steam Traps_HVAC Repair/Rep - No Audit_CI_Sa</v>
      </c>
      <c r="B3167" s="303" t="s">
        <v>644</v>
      </c>
      <c r="C3167" s="304" t="s">
        <v>660</v>
      </c>
      <c r="D3167" s="303" t="s">
        <v>1159</v>
      </c>
      <c r="E3167" s="305" t="s">
        <v>507</v>
      </c>
      <c r="F3167" s="305"/>
      <c r="G3167" s="401">
        <v>13.8</v>
      </c>
      <c r="H3167" s="340" t="s">
        <v>1278</v>
      </c>
      <c r="I3167" s="305" t="s">
        <v>152</v>
      </c>
      <c r="J3167" s="305" t="s">
        <v>130</v>
      </c>
      <c r="K3167" s="305" t="s">
        <v>2161</v>
      </c>
    </row>
    <row r="3168" spans="1:11" x14ac:dyDescent="0.25">
      <c r="A3168" s="302" t="str">
        <f t="shared" si="91"/>
        <v>Steam Traps_HVAC Repair/Rep - No Audit_CI_Hv</v>
      </c>
      <c r="B3168" s="303" t="s">
        <v>644</v>
      </c>
      <c r="C3168" s="304" t="s">
        <v>660</v>
      </c>
      <c r="D3168" s="303" t="s">
        <v>1159</v>
      </c>
      <c r="E3168" s="305" t="s">
        <v>508</v>
      </c>
      <c r="F3168" s="305"/>
      <c r="G3168" s="307">
        <v>951</v>
      </c>
      <c r="H3168" s="305" t="s">
        <v>2008</v>
      </c>
      <c r="I3168" s="305" t="s">
        <v>152</v>
      </c>
      <c r="J3168" s="305" t="s">
        <v>130</v>
      </c>
      <c r="K3168" s="305" t="s">
        <v>2161</v>
      </c>
    </row>
    <row r="3169" spans="1:11" x14ac:dyDescent="0.25">
      <c r="A3169" s="302" t="str">
        <f t="shared" si="91"/>
        <v>Steam Traps_HVAC Repair/Rep - No Audit_CI_Hs</v>
      </c>
      <c r="B3169" s="303" t="s">
        <v>644</v>
      </c>
      <c r="C3169" s="304" t="s">
        <v>660</v>
      </c>
      <c r="D3169" s="303" t="s">
        <v>1159</v>
      </c>
      <c r="E3169" s="340" t="s">
        <v>509</v>
      </c>
      <c r="F3169" s="340"/>
      <c r="G3169" s="341">
        <v>1.0009999999999999</v>
      </c>
      <c r="H3169" s="340" t="s">
        <v>652</v>
      </c>
      <c r="I3169" s="305" t="s">
        <v>152</v>
      </c>
      <c r="J3169" s="305" t="s">
        <v>130</v>
      </c>
      <c r="K3169" s="305" t="s">
        <v>2161</v>
      </c>
    </row>
    <row r="3170" spans="1:11" x14ac:dyDescent="0.25">
      <c r="A3170" s="302" t="str">
        <f t="shared" si="91"/>
        <v>Steam Traps_HVAC Repair/Rep - No Audit_CI_507.89</v>
      </c>
      <c r="B3170" s="303" t="s">
        <v>644</v>
      </c>
      <c r="C3170" s="304" t="s">
        <v>660</v>
      </c>
      <c r="D3170" s="303" t="s">
        <v>1159</v>
      </c>
      <c r="E3170" s="342">
        <v>507.89</v>
      </c>
      <c r="F3170" s="340"/>
      <c r="G3170" s="341">
        <v>507.89</v>
      </c>
      <c r="H3170" s="340"/>
      <c r="I3170" s="305" t="s">
        <v>152</v>
      </c>
      <c r="J3170" s="305" t="s">
        <v>130</v>
      </c>
      <c r="K3170" s="305" t="s">
        <v>2161</v>
      </c>
    </row>
    <row r="3171" spans="1:11" x14ac:dyDescent="0.25">
      <c r="A3171" s="302" t="str">
        <f t="shared" si="91"/>
        <v>Steam Traps_HVAC Repair/Rep - No Audit_CI_P1</v>
      </c>
      <c r="B3171" s="303" t="s">
        <v>644</v>
      </c>
      <c r="C3171" s="304" t="s">
        <v>660</v>
      </c>
      <c r="D3171" s="303" t="s">
        <v>1159</v>
      </c>
      <c r="E3171" s="340" t="s">
        <v>510</v>
      </c>
      <c r="F3171" s="340"/>
      <c r="G3171" s="401">
        <f>11.2+14.696</f>
        <v>25.896000000000001</v>
      </c>
      <c r="H3171" s="340" t="s">
        <v>1279</v>
      </c>
      <c r="I3171" s="305" t="s">
        <v>152</v>
      </c>
      <c r="J3171" s="305" t="s">
        <v>130</v>
      </c>
      <c r="K3171" s="305" t="s">
        <v>2161</v>
      </c>
    </row>
    <row r="3172" spans="1:11" x14ac:dyDescent="0.25">
      <c r="A3172" s="302" t="str">
        <f t="shared" si="91"/>
        <v>Steam Traps_HVAC Repair/Rep - No Audit_CI_0.0962</v>
      </c>
      <c r="B3172" s="303" t="s">
        <v>644</v>
      </c>
      <c r="C3172" s="304" t="s">
        <v>660</v>
      </c>
      <c r="D3172" s="303" t="s">
        <v>1159</v>
      </c>
      <c r="E3172" s="340">
        <v>9.6199999999999994E-2</v>
      </c>
      <c r="F3172" s="340"/>
      <c r="G3172" s="343">
        <v>9.6199999999999994E-2</v>
      </c>
      <c r="H3172" s="340"/>
      <c r="I3172" s="305" t="s">
        <v>152</v>
      </c>
      <c r="J3172" s="305" t="s">
        <v>130</v>
      </c>
      <c r="K3172" s="305" t="s">
        <v>2161</v>
      </c>
    </row>
    <row r="3173" spans="1:11" x14ac:dyDescent="0.25">
      <c r="A3173" s="302" t="str">
        <f t="shared" si="91"/>
        <v>Steam Traps_HVAC Repair/Rep - No Audit_CI_T1</v>
      </c>
      <c r="B3173" s="303" t="s">
        <v>644</v>
      </c>
      <c r="C3173" s="304" t="s">
        <v>660</v>
      </c>
      <c r="D3173" s="303" t="s">
        <v>1159</v>
      </c>
      <c r="E3173" s="340" t="s">
        <v>511</v>
      </c>
      <c r="F3173" s="340"/>
      <c r="G3173" s="341">
        <f>G3170*(G3171^G3172)</f>
        <v>694.58059570836633</v>
      </c>
      <c r="H3173" s="340" t="s">
        <v>654</v>
      </c>
      <c r="I3173" s="305" t="s">
        <v>152</v>
      </c>
      <c r="J3173" s="305" t="s">
        <v>130</v>
      </c>
      <c r="K3173" s="305" t="s">
        <v>2161</v>
      </c>
    </row>
    <row r="3174" spans="1:11" x14ac:dyDescent="0.25">
      <c r="A3174" s="302" t="str">
        <f t="shared" si="91"/>
        <v>Steam Traps_HVAC Repair/Rep - No Audit_CI_Tsource</v>
      </c>
      <c r="B3174" s="303" t="s">
        <v>644</v>
      </c>
      <c r="C3174" s="304" t="s">
        <v>660</v>
      </c>
      <c r="D3174" s="303" t="s">
        <v>1159</v>
      </c>
      <c r="E3174" s="340" t="s">
        <v>512</v>
      </c>
      <c r="F3174" s="340"/>
      <c r="G3174" s="341">
        <v>513.66999999999996</v>
      </c>
      <c r="H3174" s="340" t="s">
        <v>655</v>
      </c>
      <c r="I3174" s="305" t="s">
        <v>152</v>
      </c>
      <c r="J3174" s="305" t="s">
        <v>130</v>
      </c>
      <c r="K3174" s="305" t="s">
        <v>2161</v>
      </c>
    </row>
    <row r="3175" spans="1:11" x14ac:dyDescent="0.25">
      <c r="A3175" s="302" t="str">
        <f t="shared" si="91"/>
        <v>Steam Traps_HVAC Repair/Rep - No Audit_CI_Hours of Operation</v>
      </c>
      <c r="B3175" s="303" t="s">
        <v>644</v>
      </c>
      <c r="C3175" s="304" t="s">
        <v>660</v>
      </c>
      <c r="D3175" s="303" t="s">
        <v>1159</v>
      </c>
      <c r="E3175" s="305" t="s">
        <v>460</v>
      </c>
      <c r="F3175" s="309" t="s">
        <v>647</v>
      </c>
      <c r="G3175" s="354">
        <v>4029</v>
      </c>
      <c r="H3175" s="305" t="s">
        <v>1276</v>
      </c>
      <c r="I3175" s="305" t="s">
        <v>152</v>
      </c>
      <c r="J3175" s="305" t="s">
        <v>130</v>
      </c>
      <c r="K3175" s="305" t="s">
        <v>2161</v>
      </c>
    </row>
    <row r="3176" spans="1:11" x14ac:dyDescent="0.25">
      <c r="A3176" s="302" t="str">
        <f t="shared" si="91"/>
        <v>Steam Traps_HVAC Repair/Rep - No Audit_CI_L</v>
      </c>
      <c r="B3176" s="303" t="s">
        <v>644</v>
      </c>
      <c r="C3176" s="304" t="s">
        <v>660</v>
      </c>
      <c r="D3176" s="303" t="s">
        <v>1159</v>
      </c>
      <c r="E3176" s="305" t="s">
        <v>437</v>
      </c>
      <c r="F3176" s="309"/>
      <c r="G3176" s="306">
        <v>0.27</v>
      </c>
      <c r="H3176" s="305" t="s">
        <v>1277</v>
      </c>
      <c r="I3176" s="305" t="s">
        <v>152</v>
      </c>
      <c r="J3176" s="305" t="s">
        <v>130</v>
      </c>
      <c r="K3176" s="305" t="s">
        <v>2161</v>
      </c>
    </row>
    <row r="3177" spans="1:11" x14ac:dyDescent="0.25">
      <c r="A3177" s="302" t="str">
        <f t="shared" si="91"/>
        <v>Steam Traps_HVAC Repair/Rep - No Audit_CI_Conversion</v>
      </c>
      <c r="B3177" s="303" t="s">
        <v>644</v>
      </c>
      <c r="C3177" s="304" t="s">
        <v>660</v>
      </c>
      <c r="D3177" s="303" t="s">
        <v>1159</v>
      </c>
      <c r="E3177" s="305" t="s">
        <v>284</v>
      </c>
      <c r="F3177" s="309" t="s">
        <v>622</v>
      </c>
      <c r="G3177" s="325">
        <v>100000</v>
      </c>
      <c r="H3177" s="305"/>
      <c r="I3177" s="305" t="s">
        <v>152</v>
      </c>
      <c r="J3177" s="305" t="s">
        <v>130</v>
      </c>
      <c r="K3177" s="305" t="s">
        <v>2161</v>
      </c>
    </row>
    <row r="3178" spans="1:11" x14ac:dyDescent="0.25">
      <c r="A3178" s="302" t="str">
        <f t="shared" si="91"/>
        <v>Steam Traps_HVAC Repair/Rep - No Audit_CI_n_B</v>
      </c>
      <c r="B3178" s="303" t="s">
        <v>644</v>
      </c>
      <c r="C3178" s="304" t="s">
        <v>660</v>
      </c>
      <c r="D3178" s="303" t="s">
        <v>1159</v>
      </c>
      <c r="E3178" s="340" t="s">
        <v>657</v>
      </c>
      <c r="F3178" s="341"/>
      <c r="G3178" s="346">
        <v>0.80700000000000005</v>
      </c>
      <c r="H3178" s="340" t="s">
        <v>665</v>
      </c>
      <c r="I3178" s="305" t="s">
        <v>152</v>
      </c>
      <c r="J3178" s="305" t="s">
        <v>130</v>
      </c>
      <c r="K3178" s="305" t="s">
        <v>2161</v>
      </c>
    </row>
    <row r="3179" spans="1:11" x14ac:dyDescent="0.25">
      <c r="A3179" s="302" t="str">
        <f t="shared" si="91"/>
        <v>Steam Traps_HVAC Repair/Rep - No Audit_CI_kWh Saved per Unit</v>
      </c>
      <c r="B3179" s="303" t="s">
        <v>644</v>
      </c>
      <c r="C3179" s="304" t="s">
        <v>660</v>
      </c>
      <c r="D3179" s="303" t="s">
        <v>1159</v>
      </c>
      <c r="E3179" s="314" t="s">
        <v>255</v>
      </c>
      <c r="F3179" s="326"/>
      <c r="G3179" s="315">
        <f>G3166</f>
        <v>2.3213530719</v>
      </c>
      <c r="H3179" s="305"/>
      <c r="I3179" s="305" t="s">
        <v>152</v>
      </c>
      <c r="J3179" s="305" t="s">
        <v>130</v>
      </c>
      <c r="K3179" s="305" t="s">
        <v>2161</v>
      </c>
    </row>
    <row r="3180" spans="1:11" x14ac:dyDescent="0.25">
      <c r="A3180" s="302" t="str">
        <f t="shared" si="91"/>
        <v>Steam Traps_HVAC Repair/Rep - No Audit_CI_Coincident Peak kW Saved per Unit</v>
      </c>
      <c r="B3180" s="303" t="s">
        <v>644</v>
      </c>
      <c r="C3180" s="304" t="s">
        <v>660</v>
      </c>
      <c r="D3180" s="303" t="s">
        <v>1159</v>
      </c>
      <c r="E3180" s="314" t="s">
        <v>257</v>
      </c>
      <c r="F3180" s="326"/>
      <c r="G3180" s="315">
        <v>0</v>
      </c>
      <c r="H3180" s="305"/>
      <c r="I3180" s="305" t="s">
        <v>152</v>
      </c>
      <c r="J3180" s="305" t="s">
        <v>130</v>
      </c>
      <c r="K3180" s="305" t="s">
        <v>2161</v>
      </c>
    </row>
    <row r="3181" spans="1:11" x14ac:dyDescent="0.25">
      <c r="A3181" s="302" t="str">
        <f t="shared" si="91"/>
        <v>Steam Traps_HVAC Repair/Rep - No Audit_CI_Therm Saved per Unit</v>
      </c>
      <c r="B3181" s="303" t="s">
        <v>644</v>
      </c>
      <c r="C3181" s="304" t="s">
        <v>660</v>
      </c>
      <c r="D3181" s="303" t="s">
        <v>1159</v>
      </c>
      <c r="E3181" s="314" t="s">
        <v>326</v>
      </c>
      <c r="F3181" s="326"/>
      <c r="G3181" s="315">
        <f xml:space="preserve"> G3167 * (G3168 + G3169 * (G3173 - G3174)) * G3175 * G3176 / (G3177 * G3178)</f>
        <v>210.59502881757265</v>
      </c>
      <c r="H3181" s="305"/>
      <c r="I3181" s="305" t="s">
        <v>152</v>
      </c>
      <c r="J3181" s="305" t="s">
        <v>130</v>
      </c>
      <c r="K3181" s="305" t="s">
        <v>2161</v>
      </c>
    </row>
    <row r="3182" spans="1:11" x14ac:dyDescent="0.25">
      <c r="A3182" s="302" t="str">
        <f t="shared" si="91"/>
        <v>Steam Traps_HVAC Repair/Rep - No Audit_CI_Gallons Saved per Unit</v>
      </c>
      <c r="B3182" s="303" t="s">
        <v>644</v>
      </c>
      <c r="C3182" s="304" t="s">
        <v>660</v>
      </c>
      <c r="D3182" s="303" t="s">
        <v>1159</v>
      </c>
      <c r="E3182" s="314" t="s">
        <v>547</v>
      </c>
      <c r="F3182" s="326"/>
      <c r="G3182" s="315">
        <f>G3163</f>
        <v>902.89890000000003</v>
      </c>
      <c r="H3182" s="305"/>
      <c r="I3182" s="305" t="s">
        <v>152</v>
      </c>
      <c r="J3182" s="305" t="s">
        <v>130</v>
      </c>
      <c r="K3182" s="305" t="s">
        <v>2161</v>
      </c>
    </row>
    <row r="3183" spans="1:11" x14ac:dyDescent="0.25">
      <c r="A3183" s="302" t="str">
        <f t="shared" si="91"/>
        <v>Steam Traps_HVAC Repair/Rep - No Audit_CI_Lifetime (years)</v>
      </c>
      <c r="B3183" s="303" t="s">
        <v>644</v>
      </c>
      <c r="C3183" s="304" t="s">
        <v>660</v>
      </c>
      <c r="D3183" s="303" t="s">
        <v>1159</v>
      </c>
      <c r="E3183" s="314" t="s">
        <v>259</v>
      </c>
      <c r="F3183" s="326"/>
      <c r="G3183" s="315">
        <v>6</v>
      </c>
      <c r="H3183" s="305" t="s">
        <v>659</v>
      </c>
      <c r="I3183" s="305" t="s">
        <v>152</v>
      </c>
      <c r="J3183" s="305" t="s">
        <v>130</v>
      </c>
      <c r="K3183" s="305" t="s">
        <v>2161</v>
      </c>
    </row>
    <row r="3184" spans="1:11" x14ac:dyDescent="0.25">
      <c r="A3184" s="302" t="str">
        <f t="shared" si="91"/>
        <v>Steam Traps_HVAC Repair/Rep - No Audit_CI_Incremental Cost</v>
      </c>
      <c r="B3184" s="303" t="s">
        <v>644</v>
      </c>
      <c r="C3184" s="304" t="s">
        <v>660</v>
      </c>
      <c r="D3184" s="303" t="s">
        <v>1159</v>
      </c>
      <c r="E3184" s="314" t="s">
        <v>260</v>
      </c>
      <c r="F3184" s="326"/>
      <c r="G3184" s="315">
        <v>77</v>
      </c>
      <c r="H3184" s="305" t="s">
        <v>514</v>
      </c>
      <c r="I3184" s="305" t="s">
        <v>152</v>
      </c>
      <c r="J3184" s="305" t="s">
        <v>130</v>
      </c>
      <c r="K3184" s="305" t="s">
        <v>2161</v>
      </c>
    </row>
    <row r="3185" spans="1:11" s="324" customFormat="1" x14ac:dyDescent="0.25">
      <c r="A3185" s="317" t="str">
        <f t="shared" si="91"/>
        <v>Steam Traps_HVAC Repair/Rep - No Audit_CI_</v>
      </c>
      <c r="B3185" s="317" t="str">
        <f>B3184</f>
        <v>Steam Traps</v>
      </c>
      <c r="C3185" s="332" t="str">
        <f>C3184</f>
        <v>HVAC Repair/Rep - No Audit</v>
      </c>
      <c r="D3185" s="317" t="str">
        <f>D3184</f>
        <v>CI</v>
      </c>
      <c r="E3185" s="320"/>
      <c r="F3185" s="320"/>
      <c r="G3185" s="329"/>
      <c r="H3185" s="320"/>
      <c r="I3185" s="320"/>
      <c r="J3185" s="320"/>
      <c r="K3185" s="320"/>
    </row>
    <row r="3186" spans="1:11" x14ac:dyDescent="0.25">
      <c r="A3186" s="302" t="str">
        <f t="shared" si="91"/>
        <v>Steam Traps_HVAC Repair/Rep - Audit_CI_GAL</v>
      </c>
      <c r="B3186" s="303" t="s">
        <v>644</v>
      </c>
      <c r="C3186" s="304" t="s">
        <v>645</v>
      </c>
      <c r="D3186" s="303" t="s">
        <v>1159</v>
      </c>
      <c r="E3186" s="305" t="s">
        <v>513</v>
      </c>
      <c r="F3186" s="309"/>
      <c r="G3186" s="306">
        <v>0.83</v>
      </c>
      <c r="H3186" s="305" t="s">
        <v>514</v>
      </c>
      <c r="I3186" s="305" t="s">
        <v>152</v>
      </c>
      <c r="J3186" s="305" t="s">
        <v>130</v>
      </c>
      <c r="K3186" s="305" t="s">
        <v>2161</v>
      </c>
    </row>
    <row r="3187" spans="1:11" x14ac:dyDescent="0.25">
      <c r="A3187" s="302" t="str">
        <f t="shared" si="91"/>
        <v>Steam Traps_HVAC Repair/Rep - Audit_CI_Hours of Operation</v>
      </c>
      <c r="B3187" s="303" t="s">
        <v>644</v>
      </c>
      <c r="C3187" s="304" t="s">
        <v>645</v>
      </c>
      <c r="D3187" s="303" t="s">
        <v>1159</v>
      </c>
      <c r="E3187" s="305" t="s">
        <v>460</v>
      </c>
      <c r="F3187" s="309" t="s">
        <v>647</v>
      </c>
      <c r="G3187" s="354">
        <v>4029</v>
      </c>
      <c r="H3187" s="305" t="s">
        <v>1276</v>
      </c>
      <c r="I3187" s="305" t="s">
        <v>152</v>
      </c>
      <c r="J3187" s="305" t="s">
        <v>130</v>
      </c>
      <c r="K3187" s="305" t="s">
        <v>2161</v>
      </c>
    </row>
    <row r="3188" spans="1:11" x14ac:dyDescent="0.25">
      <c r="A3188" s="302" t="str">
        <f t="shared" si="91"/>
        <v>Steam Traps_HVAC Repair/Rep - Audit_CI_L</v>
      </c>
      <c r="B3188" s="303" t="s">
        <v>644</v>
      </c>
      <c r="C3188" s="304" t="s">
        <v>645</v>
      </c>
      <c r="D3188" s="303" t="s">
        <v>1159</v>
      </c>
      <c r="E3188" s="305" t="s">
        <v>437</v>
      </c>
      <c r="F3188" s="309"/>
      <c r="G3188" s="306">
        <v>1</v>
      </c>
      <c r="H3188" s="305" t="s">
        <v>1280</v>
      </c>
      <c r="I3188" s="305" t="s">
        <v>152</v>
      </c>
      <c r="J3188" s="305" t="s">
        <v>130</v>
      </c>
      <c r="K3188" s="305" t="s">
        <v>2161</v>
      </c>
    </row>
    <row r="3189" spans="1:11" x14ac:dyDescent="0.25">
      <c r="A3189" s="302" t="str">
        <f t="shared" si="91"/>
        <v>Steam Traps_HVAC Repair/Rep - Audit_CI_Delta_Water_Gallons</v>
      </c>
      <c r="B3189" s="303" t="s">
        <v>644</v>
      </c>
      <c r="C3189" s="304" t="s">
        <v>645</v>
      </c>
      <c r="D3189" s="303" t="s">
        <v>1159</v>
      </c>
      <c r="E3189" s="305" t="s">
        <v>456</v>
      </c>
      <c r="F3189" s="305"/>
      <c r="G3189" s="307">
        <f>G3186*G3187*G3188</f>
        <v>3344.0699999999997</v>
      </c>
      <c r="H3189" s="305"/>
      <c r="I3189" s="305" t="s">
        <v>152</v>
      </c>
      <c r="J3189" s="305" t="s">
        <v>130</v>
      </c>
      <c r="K3189" s="305" t="s">
        <v>2161</v>
      </c>
    </row>
    <row r="3190" spans="1:11" x14ac:dyDescent="0.25">
      <c r="A3190" s="302" t="str">
        <f t="shared" si="91"/>
        <v>Steam Traps_HVAC Repair/Rep - Audit_CI_Conversion</v>
      </c>
      <c r="B3190" s="303" t="s">
        <v>644</v>
      </c>
      <c r="C3190" s="304" t="s">
        <v>645</v>
      </c>
      <c r="D3190" s="303" t="s">
        <v>1159</v>
      </c>
      <c r="E3190" s="305" t="s">
        <v>284</v>
      </c>
      <c r="F3190" s="305"/>
      <c r="G3190" s="354">
        <v>1000000</v>
      </c>
      <c r="H3190" s="305"/>
      <c r="I3190" s="305" t="s">
        <v>152</v>
      </c>
      <c r="J3190" s="305" t="s">
        <v>130</v>
      </c>
      <c r="K3190" s="305" t="s">
        <v>2161</v>
      </c>
    </row>
    <row r="3191" spans="1:11" x14ac:dyDescent="0.25">
      <c r="A3191" s="302" t="str">
        <f t="shared" si="91"/>
        <v>Steam Traps_HVAC Repair/Rep - Audit_CI_E_water_supply</v>
      </c>
      <c r="B3191" s="303" t="s">
        <v>644</v>
      </c>
      <c r="C3191" s="304" t="s">
        <v>645</v>
      </c>
      <c r="D3191" s="303" t="s">
        <v>1159</v>
      </c>
      <c r="E3191" s="305" t="s">
        <v>457</v>
      </c>
      <c r="F3191" s="305"/>
      <c r="G3191" s="307">
        <v>2571</v>
      </c>
      <c r="H3191" s="305"/>
      <c r="I3191" s="305" t="s">
        <v>152</v>
      </c>
      <c r="J3191" s="305" t="s">
        <v>130</v>
      </c>
      <c r="K3191" s="305" t="s">
        <v>2161</v>
      </c>
    </row>
    <row r="3192" spans="1:11" x14ac:dyDescent="0.25">
      <c r="A3192" s="302" t="str">
        <f t="shared" si="91"/>
        <v>Steam Traps_HVAC Repair/Rep - Audit_CI_Delta_kWh_water</v>
      </c>
      <c r="B3192" s="303" t="s">
        <v>644</v>
      </c>
      <c r="C3192" s="304" t="s">
        <v>645</v>
      </c>
      <c r="D3192" s="303" t="s">
        <v>1159</v>
      </c>
      <c r="E3192" s="305" t="s">
        <v>334</v>
      </c>
      <c r="F3192" s="305"/>
      <c r="G3192" s="307">
        <f>G3189/G3190*G3191</f>
        <v>8.5976039699999998</v>
      </c>
      <c r="H3192" s="305"/>
      <c r="I3192" s="305" t="s">
        <v>152</v>
      </c>
      <c r="J3192" s="305" t="s">
        <v>130</v>
      </c>
      <c r="K3192" s="305" t="s">
        <v>2161</v>
      </c>
    </row>
    <row r="3193" spans="1:11" x14ac:dyDescent="0.25">
      <c r="A3193" s="302" t="str">
        <f t="shared" si="91"/>
        <v>Steam Traps_HVAC Repair/Rep - Audit_CI_Sa</v>
      </c>
      <c r="B3193" s="303" t="s">
        <v>644</v>
      </c>
      <c r="C3193" s="304" t="s">
        <v>645</v>
      </c>
      <c r="D3193" s="303" t="s">
        <v>1159</v>
      </c>
      <c r="E3193" s="305" t="s">
        <v>507</v>
      </c>
      <c r="F3193" s="305"/>
      <c r="G3193" s="401">
        <v>13.8</v>
      </c>
      <c r="H3193" s="340" t="s">
        <v>1278</v>
      </c>
      <c r="I3193" s="305" t="s">
        <v>152</v>
      </c>
      <c r="J3193" s="305" t="s">
        <v>130</v>
      </c>
      <c r="K3193" s="305" t="s">
        <v>2161</v>
      </c>
    </row>
    <row r="3194" spans="1:11" x14ac:dyDescent="0.25">
      <c r="A3194" s="302" t="str">
        <f t="shared" si="91"/>
        <v>Steam Traps_HVAC Repair/Rep - Audit_CI_Hv</v>
      </c>
      <c r="B3194" s="303" t="s">
        <v>644</v>
      </c>
      <c r="C3194" s="304" t="s">
        <v>645</v>
      </c>
      <c r="D3194" s="303" t="s">
        <v>1159</v>
      </c>
      <c r="E3194" s="305" t="s">
        <v>508</v>
      </c>
      <c r="F3194" s="305"/>
      <c r="G3194" s="307">
        <v>951</v>
      </c>
      <c r="H3194" s="305" t="s">
        <v>2008</v>
      </c>
      <c r="I3194" s="305" t="s">
        <v>152</v>
      </c>
      <c r="J3194" s="305" t="s">
        <v>130</v>
      </c>
      <c r="K3194" s="305" t="s">
        <v>2161</v>
      </c>
    </row>
    <row r="3195" spans="1:11" x14ac:dyDescent="0.25">
      <c r="A3195" s="302" t="str">
        <f t="shared" si="91"/>
        <v>Steam Traps_HVAC Repair/Rep - Audit_CI_Hs</v>
      </c>
      <c r="B3195" s="303" t="s">
        <v>644</v>
      </c>
      <c r="C3195" s="304" t="s">
        <v>645</v>
      </c>
      <c r="D3195" s="303" t="s">
        <v>1159</v>
      </c>
      <c r="E3195" s="340" t="s">
        <v>509</v>
      </c>
      <c r="F3195" s="340"/>
      <c r="G3195" s="341">
        <v>1.0009999999999999</v>
      </c>
      <c r="H3195" s="340" t="s">
        <v>652</v>
      </c>
      <c r="I3195" s="305" t="s">
        <v>152</v>
      </c>
      <c r="J3195" s="305" t="s">
        <v>130</v>
      </c>
      <c r="K3195" s="305" t="s">
        <v>2161</v>
      </c>
    </row>
    <row r="3196" spans="1:11" x14ac:dyDescent="0.25">
      <c r="A3196" s="302" t="str">
        <f t="shared" si="91"/>
        <v>Steam Traps_HVAC Repair/Rep - Audit_CI_507.89</v>
      </c>
      <c r="B3196" s="303" t="s">
        <v>644</v>
      </c>
      <c r="C3196" s="304" t="s">
        <v>645</v>
      </c>
      <c r="D3196" s="303" t="s">
        <v>1159</v>
      </c>
      <c r="E3196" s="342">
        <v>507.89</v>
      </c>
      <c r="F3196" s="340"/>
      <c r="G3196" s="341">
        <v>507.89</v>
      </c>
      <c r="H3196" s="340"/>
      <c r="I3196" s="305" t="s">
        <v>152</v>
      </c>
      <c r="J3196" s="305" t="s">
        <v>130</v>
      </c>
      <c r="K3196" s="305" t="s">
        <v>2161</v>
      </c>
    </row>
    <row r="3197" spans="1:11" x14ac:dyDescent="0.25">
      <c r="A3197" s="302" t="str">
        <f t="shared" si="91"/>
        <v>Steam Traps_HVAC Repair/Rep - Audit_CI_P1</v>
      </c>
      <c r="B3197" s="303" t="s">
        <v>644</v>
      </c>
      <c r="C3197" s="304" t="s">
        <v>645</v>
      </c>
      <c r="D3197" s="303" t="s">
        <v>1159</v>
      </c>
      <c r="E3197" s="340" t="s">
        <v>510</v>
      </c>
      <c r="F3197" s="340"/>
      <c r="G3197" s="401">
        <f>11.2+14.696</f>
        <v>25.896000000000001</v>
      </c>
      <c r="H3197" s="340" t="s">
        <v>1279</v>
      </c>
      <c r="I3197" s="305" t="s">
        <v>152</v>
      </c>
      <c r="J3197" s="305" t="s">
        <v>130</v>
      </c>
      <c r="K3197" s="305" t="s">
        <v>2161</v>
      </c>
    </row>
    <row r="3198" spans="1:11" x14ac:dyDescent="0.25">
      <c r="A3198" s="302" t="str">
        <f t="shared" si="91"/>
        <v>Steam Traps_HVAC Repair/Rep - Audit_CI_0.0962</v>
      </c>
      <c r="B3198" s="303" t="s">
        <v>644</v>
      </c>
      <c r="C3198" s="304" t="s">
        <v>645</v>
      </c>
      <c r="D3198" s="303" t="s">
        <v>1159</v>
      </c>
      <c r="E3198" s="340">
        <v>9.6199999999999994E-2</v>
      </c>
      <c r="F3198" s="340"/>
      <c r="G3198" s="343">
        <v>9.6199999999999994E-2</v>
      </c>
      <c r="H3198" s="340"/>
      <c r="I3198" s="305" t="s">
        <v>152</v>
      </c>
      <c r="J3198" s="305" t="s">
        <v>130</v>
      </c>
      <c r="K3198" s="305" t="s">
        <v>2161</v>
      </c>
    </row>
    <row r="3199" spans="1:11" x14ac:dyDescent="0.25">
      <c r="A3199" s="302" t="str">
        <f t="shared" si="91"/>
        <v>Steam Traps_HVAC Repair/Rep - Audit_CI_T1</v>
      </c>
      <c r="B3199" s="303" t="s">
        <v>644</v>
      </c>
      <c r="C3199" s="304" t="s">
        <v>645</v>
      </c>
      <c r="D3199" s="303" t="s">
        <v>1159</v>
      </c>
      <c r="E3199" s="340" t="s">
        <v>511</v>
      </c>
      <c r="F3199" s="340"/>
      <c r="G3199" s="341">
        <f>G3196*(G3197^G3198)</f>
        <v>694.58059570836633</v>
      </c>
      <c r="H3199" s="340" t="s">
        <v>654</v>
      </c>
      <c r="I3199" s="305" t="s">
        <v>152</v>
      </c>
      <c r="J3199" s="305" t="s">
        <v>130</v>
      </c>
      <c r="K3199" s="305" t="s">
        <v>2161</v>
      </c>
    </row>
    <row r="3200" spans="1:11" x14ac:dyDescent="0.25">
      <c r="A3200" s="302" t="str">
        <f t="shared" si="91"/>
        <v>Steam Traps_HVAC Repair/Rep - Audit_CI_Tsource</v>
      </c>
      <c r="B3200" s="303" t="s">
        <v>644</v>
      </c>
      <c r="C3200" s="304" t="s">
        <v>645</v>
      </c>
      <c r="D3200" s="303" t="s">
        <v>1159</v>
      </c>
      <c r="E3200" s="340" t="s">
        <v>512</v>
      </c>
      <c r="F3200" s="340"/>
      <c r="G3200" s="341">
        <v>513.66999999999996</v>
      </c>
      <c r="H3200" s="340" t="s">
        <v>655</v>
      </c>
      <c r="I3200" s="305" t="s">
        <v>152</v>
      </c>
      <c r="J3200" s="305" t="s">
        <v>130</v>
      </c>
      <c r="K3200" s="305" t="s">
        <v>2161</v>
      </c>
    </row>
    <row r="3201" spans="1:11" x14ac:dyDescent="0.25">
      <c r="A3201" s="302" t="str">
        <f t="shared" si="91"/>
        <v>Steam Traps_HVAC Repair/Rep - Audit_CI_Hours of Operation</v>
      </c>
      <c r="B3201" s="303" t="s">
        <v>644</v>
      </c>
      <c r="C3201" s="304" t="s">
        <v>645</v>
      </c>
      <c r="D3201" s="303" t="s">
        <v>1159</v>
      </c>
      <c r="E3201" s="305" t="s">
        <v>460</v>
      </c>
      <c r="F3201" s="309" t="s">
        <v>647</v>
      </c>
      <c r="G3201" s="354">
        <v>4029</v>
      </c>
      <c r="H3201" s="305" t="s">
        <v>1276</v>
      </c>
      <c r="I3201" s="305" t="s">
        <v>152</v>
      </c>
      <c r="J3201" s="305" t="s">
        <v>130</v>
      </c>
      <c r="K3201" s="305" t="s">
        <v>2161</v>
      </c>
    </row>
    <row r="3202" spans="1:11" x14ac:dyDescent="0.25">
      <c r="A3202" s="302" t="str">
        <f t="shared" si="91"/>
        <v>Steam Traps_HVAC Repair/Rep - Audit_CI_L</v>
      </c>
      <c r="B3202" s="303" t="s">
        <v>644</v>
      </c>
      <c r="C3202" s="304" t="s">
        <v>645</v>
      </c>
      <c r="D3202" s="303" t="s">
        <v>1159</v>
      </c>
      <c r="E3202" s="305" t="s">
        <v>437</v>
      </c>
      <c r="F3202" s="309"/>
      <c r="G3202" s="306">
        <v>1</v>
      </c>
      <c r="H3202" s="305" t="s">
        <v>1280</v>
      </c>
      <c r="I3202" s="305" t="s">
        <v>152</v>
      </c>
      <c r="J3202" s="305" t="s">
        <v>130</v>
      </c>
      <c r="K3202" s="305" t="s">
        <v>2161</v>
      </c>
    </row>
    <row r="3203" spans="1:11" x14ac:dyDescent="0.25">
      <c r="A3203" s="302" t="str">
        <f t="shared" si="91"/>
        <v>Steam Traps_HVAC Repair/Rep - Audit_CI_Conversion</v>
      </c>
      <c r="B3203" s="303" t="s">
        <v>644</v>
      </c>
      <c r="C3203" s="304" t="s">
        <v>645</v>
      </c>
      <c r="D3203" s="303" t="s">
        <v>1159</v>
      </c>
      <c r="E3203" s="305" t="s">
        <v>284</v>
      </c>
      <c r="F3203" s="309" t="s">
        <v>622</v>
      </c>
      <c r="G3203" s="325">
        <v>100000</v>
      </c>
      <c r="H3203" s="305"/>
      <c r="I3203" s="305" t="s">
        <v>152</v>
      </c>
      <c r="J3203" s="305" t="s">
        <v>130</v>
      </c>
      <c r="K3203" s="305" t="s">
        <v>2161</v>
      </c>
    </row>
    <row r="3204" spans="1:11" x14ac:dyDescent="0.25">
      <c r="A3204" s="302" t="str">
        <f t="shared" si="91"/>
        <v>Steam Traps_HVAC Repair/Rep - Audit_CI_n_B</v>
      </c>
      <c r="B3204" s="303" t="s">
        <v>644</v>
      </c>
      <c r="C3204" s="304" t="s">
        <v>645</v>
      </c>
      <c r="D3204" s="303" t="s">
        <v>1159</v>
      </c>
      <c r="E3204" s="340" t="s">
        <v>657</v>
      </c>
      <c r="F3204" s="341"/>
      <c r="G3204" s="346">
        <v>0.80700000000000005</v>
      </c>
      <c r="H3204" s="340" t="s">
        <v>665</v>
      </c>
      <c r="I3204" s="305" t="s">
        <v>152</v>
      </c>
      <c r="J3204" s="305" t="s">
        <v>130</v>
      </c>
      <c r="K3204" s="305" t="s">
        <v>2161</v>
      </c>
    </row>
    <row r="3205" spans="1:11" x14ac:dyDescent="0.25">
      <c r="A3205" s="302" t="str">
        <f t="shared" si="91"/>
        <v>Steam Traps_HVAC Repair/Rep - Audit_CI_kWh Saved per Unit</v>
      </c>
      <c r="B3205" s="303" t="s">
        <v>644</v>
      </c>
      <c r="C3205" s="304" t="s">
        <v>645</v>
      </c>
      <c r="D3205" s="303" t="s">
        <v>1159</v>
      </c>
      <c r="E3205" s="314" t="s">
        <v>255</v>
      </c>
      <c r="F3205" s="326"/>
      <c r="G3205" s="315">
        <f>G3192</f>
        <v>8.5976039699999998</v>
      </c>
      <c r="H3205" s="305"/>
      <c r="I3205" s="305" t="s">
        <v>152</v>
      </c>
      <c r="J3205" s="305" t="s">
        <v>130</v>
      </c>
      <c r="K3205" s="305" t="s">
        <v>2161</v>
      </c>
    </row>
    <row r="3206" spans="1:11" x14ac:dyDescent="0.25">
      <c r="A3206" s="302" t="str">
        <f t="shared" si="91"/>
        <v>Steam Traps_HVAC Repair/Rep - Audit_CI_Coincident Peak kW Saved per Unit</v>
      </c>
      <c r="B3206" s="303" t="s">
        <v>644</v>
      </c>
      <c r="C3206" s="304" t="s">
        <v>645</v>
      </c>
      <c r="D3206" s="303" t="s">
        <v>1159</v>
      </c>
      <c r="E3206" s="314" t="s">
        <v>257</v>
      </c>
      <c r="F3206" s="326"/>
      <c r="G3206" s="315">
        <v>0</v>
      </c>
      <c r="H3206" s="305"/>
      <c r="I3206" s="305" t="s">
        <v>152</v>
      </c>
      <c r="J3206" s="305" t="s">
        <v>130</v>
      </c>
      <c r="K3206" s="305" t="s">
        <v>2161</v>
      </c>
    </row>
    <row r="3207" spans="1:11" x14ac:dyDescent="0.25">
      <c r="A3207" s="302" t="str">
        <f t="shared" si="91"/>
        <v>Steam Traps_HVAC Repair/Rep - Audit_CI_Therm Saved per Unit</v>
      </c>
      <c r="B3207" s="303" t="s">
        <v>644</v>
      </c>
      <c r="C3207" s="304" t="s">
        <v>645</v>
      </c>
      <c r="D3207" s="303" t="s">
        <v>1159</v>
      </c>
      <c r="E3207" s="314" t="s">
        <v>326</v>
      </c>
      <c r="F3207" s="326"/>
      <c r="G3207" s="315">
        <f xml:space="preserve"> G3193 * (G3194 + G3195 * (G3199 - G3200)) * G3201 * G3202 / (G3203 * G3204)</f>
        <v>779.98158821323193</v>
      </c>
      <c r="H3207" s="305"/>
      <c r="I3207" s="305" t="s">
        <v>152</v>
      </c>
      <c r="J3207" s="305" t="s">
        <v>130</v>
      </c>
      <c r="K3207" s="305" t="s">
        <v>2161</v>
      </c>
    </row>
    <row r="3208" spans="1:11" x14ac:dyDescent="0.25">
      <c r="A3208" s="302" t="str">
        <f t="shared" si="91"/>
        <v>Steam Traps_HVAC Repair/Rep - Audit_CI_Gallons Saved per Unit</v>
      </c>
      <c r="B3208" s="303" t="s">
        <v>644</v>
      </c>
      <c r="C3208" s="304" t="s">
        <v>645</v>
      </c>
      <c r="D3208" s="303" t="s">
        <v>1159</v>
      </c>
      <c r="E3208" s="314" t="s">
        <v>547</v>
      </c>
      <c r="F3208" s="326"/>
      <c r="G3208" s="315">
        <f>G3189</f>
        <v>3344.0699999999997</v>
      </c>
      <c r="H3208" s="305"/>
      <c r="I3208" s="305" t="s">
        <v>152</v>
      </c>
      <c r="J3208" s="305" t="s">
        <v>130</v>
      </c>
      <c r="K3208" s="305" t="s">
        <v>2161</v>
      </c>
    </row>
    <row r="3209" spans="1:11" x14ac:dyDescent="0.25">
      <c r="A3209" s="302" t="str">
        <f t="shared" si="91"/>
        <v>Steam Traps_HVAC Repair/Rep - Audit_CI_Lifetime (years)</v>
      </c>
      <c r="B3209" s="303" t="s">
        <v>644</v>
      </c>
      <c r="C3209" s="304" t="s">
        <v>645</v>
      </c>
      <c r="D3209" s="303" t="s">
        <v>1159</v>
      </c>
      <c r="E3209" s="314" t="s">
        <v>259</v>
      </c>
      <c r="F3209" s="326"/>
      <c r="G3209" s="315">
        <v>6</v>
      </c>
      <c r="H3209" s="305" t="s">
        <v>659</v>
      </c>
      <c r="I3209" s="305" t="s">
        <v>152</v>
      </c>
      <c r="J3209" s="305" t="s">
        <v>130</v>
      </c>
      <c r="K3209" s="305" t="s">
        <v>2161</v>
      </c>
    </row>
    <row r="3210" spans="1:11" x14ac:dyDescent="0.25">
      <c r="A3210" s="302" t="str">
        <f t="shared" si="91"/>
        <v>Steam Traps_HVAC Repair/Rep - Audit_CI_Incremental Cost</v>
      </c>
      <c r="B3210" s="303" t="s">
        <v>644</v>
      </c>
      <c r="C3210" s="304" t="s">
        <v>645</v>
      </c>
      <c r="D3210" s="303" t="s">
        <v>1159</v>
      </c>
      <c r="E3210" s="314" t="s">
        <v>260</v>
      </c>
      <c r="F3210" s="326"/>
      <c r="G3210" s="315">
        <v>77</v>
      </c>
      <c r="H3210" s="305" t="s">
        <v>514</v>
      </c>
      <c r="I3210" s="305" t="s">
        <v>152</v>
      </c>
      <c r="J3210" s="305" t="s">
        <v>130</v>
      </c>
      <c r="K3210" s="305" t="s">
        <v>2161</v>
      </c>
    </row>
    <row r="3211" spans="1:11" s="324" customFormat="1" x14ac:dyDescent="0.25">
      <c r="A3211" s="317" t="str">
        <f t="shared" si="91"/>
        <v>Steam Traps_HVAC Repair/Rep - Audit_CI_</v>
      </c>
      <c r="B3211" s="317" t="str">
        <f>B3210</f>
        <v>Steam Traps</v>
      </c>
      <c r="C3211" s="332" t="str">
        <f>C3210</f>
        <v>HVAC Repair/Rep - Audit</v>
      </c>
      <c r="D3211" s="317" t="str">
        <f>D3210</f>
        <v>CI</v>
      </c>
      <c r="E3211" s="320"/>
      <c r="F3211" s="320"/>
      <c r="G3211" s="329"/>
      <c r="H3211" s="320"/>
      <c r="I3211" s="320"/>
      <c r="J3211" s="320"/>
      <c r="K3211" s="320"/>
    </row>
    <row r="3212" spans="1:11" x14ac:dyDescent="0.25">
      <c r="A3212" s="302" t="str">
        <f t="shared" ref="A3212:A3275" si="92">B3212&amp;"_"&amp;C3212&amp;"_"&amp;D3212&amp;"_"&amp;E3212</f>
        <v>Steam Traps_Test_CI_Therm Saved per Unit</v>
      </c>
      <c r="B3212" s="303" t="s">
        <v>644</v>
      </c>
      <c r="C3212" s="304" t="s">
        <v>1097</v>
      </c>
      <c r="D3212" s="303" t="s">
        <v>1159</v>
      </c>
      <c r="E3212" s="314" t="s">
        <v>326</v>
      </c>
      <c r="F3212" s="314"/>
      <c r="G3212" s="315">
        <v>0</v>
      </c>
      <c r="H3212" s="305" t="s">
        <v>1091</v>
      </c>
      <c r="I3212" s="305" t="s">
        <v>614</v>
      </c>
      <c r="J3212" s="305"/>
      <c r="K3212" s="305"/>
    </row>
    <row r="3213" spans="1:11" x14ac:dyDescent="0.25">
      <c r="A3213" s="302" t="str">
        <f t="shared" si="92"/>
        <v>Steam Traps_Test_CI_Lifetime (years)</v>
      </c>
      <c r="B3213" s="303" t="s">
        <v>644</v>
      </c>
      <c r="C3213" s="304" t="s">
        <v>1097</v>
      </c>
      <c r="D3213" s="303" t="s">
        <v>1159</v>
      </c>
      <c r="E3213" s="314" t="s">
        <v>259</v>
      </c>
      <c r="F3213" s="314" t="s">
        <v>548</v>
      </c>
      <c r="G3213" s="315">
        <v>3</v>
      </c>
      <c r="H3213" s="305" t="s">
        <v>1091</v>
      </c>
      <c r="I3213" s="305" t="s">
        <v>614</v>
      </c>
      <c r="J3213" s="305"/>
      <c r="K3213" s="305"/>
    </row>
    <row r="3214" spans="1:11" x14ac:dyDescent="0.25">
      <c r="A3214" s="302" t="str">
        <f t="shared" si="92"/>
        <v>Steam Traps_Test_CI_Incremental Cost</v>
      </c>
      <c r="B3214" s="303" t="s">
        <v>644</v>
      </c>
      <c r="C3214" s="304" t="s">
        <v>1097</v>
      </c>
      <c r="D3214" s="303" t="s">
        <v>1159</v>
      </c>
      <c r="E3214" s="314" t="s">
        <v>260</v>
      </c>
      <c r="F3214" s="314" t="s">
        <v>549</v>
      </c>
      <c r="G3214" s="315">
        <v>20</v>
      </c>
      <c r="H3214" s="305"/>
      <c r="I3214" s="305" t="s">
        <v>633</v>
      </c>
      <c r="J3214" s="305"/>
      <c r="K3214" s="305"/>
    </row>
    <row r="3215" spans="1:11" s="324" customFormat="1" x14ac:dyDescent="0.25">
      <c r="A3215" s="317" t="str">
        <f t="shared" si="92"/>
        <v>Steam Traps_Test_CI_</v>
      </c>
      <c r="B3215" s="317" t="str">
        <f>B3214</f>
        <v>Steam Traps</v>
      </c>
      <c r="C3215" s="317" t="str">
        <f>C3214</f>
        <v>Test</v>
      </c>
      <c r="D3215" s="317" t="str">
        <f>D3214</f>
        <v>CI</v>
      </c>
      <c r="E3215" s="317"/>
      <c r="F3215" s="317"/>
      <c r="G3215" s="323"/>
      <c r="H3215" s="320"/>
      <c r="I3215" s="320"/>
      <c r="J3215" s="317"/>
      <c r="K3215" s="317"/>
    </row>
    <row r="3216" spans="1:11" x14ac:dyDescent="0.25">
      <c r="A3216" s="302" t="str">
        <f t="shared" si="92"/>
        <v>Engineering Study_0_CI_Therm Saved per Unit</v>
      </c>
      <c r="B3216" s="303" t="s">
        <v>1281</v>
      </c>
      <c r="C3216" s="304">
        <v>0</v>
      </c>
      <c r="D3216" s="303" t="s">
        <v>1159</v>
      </c>
      <c r="E3216" s="314" t="s">
        <v>326</v>
      </c>
      <c r="F3216" s="314"/>
      <c r="G3216" s="315">
        <v>0</v>
      </c>
      <c r="H3216" s="305"/>
      <c r="I3216" s="305" t="s">
        <v>614</v>
      </c>
      <c r="J3216" s="305"/>
      <c r="K3216" s="305"/>
    </row>
    <row r="3217" spans="1:11" x14ac:dyDescent="0.25">
      <c r="A3217" s="302" t="str">
        <f t="shared" si="92"/>
        <v>Engineering Study_0_CI_Lifetime (years)</v>
      </c>
      <c r="B3217" s="303" t="s">
        <v>1281</v>
      </c>
      <c r="C3217" s="304">
        <v>0</v>
      </c>
      <c r="D3217" s="303" t="s">
        <v>1159</v>
      </c>
      <c r="E3217" s="314" t="s">
        <v>259</v>
      </c>
      <c r="F3217" s="314" t="s">
        <v>548</v>
      </c>
      <c r="G3217" s="315">
        <v>0</v>
      </c>
      <c r="H3217" s="305"/>
      <c r="I3217" s="305" t="s">
        <v>614</v>
      </c>
      <c r="J3217" s="305"/>
      <c r="K3217" s="305"/>
    </row>
    <row r="3218" spans="1:11" x14ac:dyDescent="0.25">
      <c r="A3218" s="302" t="str">
        <f t="shared" si="92"/>
        <v>Engineering Study_0_CI_Incremental Cost</v>
      </c>
      <c r="B3218" s="303" t="s">
        <v>1281</v>
      </c>
      <c r="C3218" s="304">
        <v>0</v>
      </c>
      <c r="D3218" s="303" t="s">
        <v>1159</v>
      </c>
      <c r="E3218" s="314" t="s">
        <v>260</v>
      </c>
      <c r="F3218" s="314" t="s">
        <v>549</v>
      </c>
      <c r="G3218" s="315">
        <v>0</v>
      </c>
      <c r="H3218" s="305"/>
      <c r="I3218" s="305" t="s">
        <v>614</v>
      </c>
      <c r="J3218" s="305"/>
      <c r="K3218" s="305"/>
    </row>
    <row r="3219" spans="1:11" s="324" customFormat="1" x14ac:dyDescent="0.25">
      <c r="A3219" s="317" t="str">
        <f t="shared" si="92"/>
        <v>Engineering Study_0_CI_</v>
      </c>
      <c r="B3219" s="317" t="str">
        <f>B3218</f>
        <v>Engineering Study</v>
      </c>
      <c r="C3219" s="317">
        <f>C3218</f>
        <v>0</v>
      </c>
      <c r="D3219" s="317" t="str">
        <f>D3218</f>
        <v>CI</v>
      </c>
      <c r="E3219" s="317"/>
      <c r="F3219" s="317"/>
      <c r="G3219" s="323"/>
      <c r="H3219" s="320"/>
      <c r="I3219" s="320"/>
      <c r="J3219" s="317"/>
      <c r="K3219" s="317"/>
    </row>
    <row r="3220" spans="1:11" x14ac:dyDescent="0.25">
      <c r="A3220" s="302" t="str">
        <f t="shared" si="92"/>
        <v>Staffing_0_CI_Therm Saved per Unit</v>
      </c>
      <c r="B3220" s="303" t="s">
        <v>1282</v>
      </c>
      <c r="C3220" s="304">
        <v>0</v>
      </c>
      <c r="D3220" s="303" t="s">
        <v>1159</v>
      </c>
      <c r="E3220" s="314" t="s">
        <v>326</v>
      </c>
      <c r="F3220" s="314"/>
      <c r="G3220" s="315">
        <v>0</v>
      </c>
      <c r="H3220" s="305"/>
      <c r="I3220" s="305" t="s">
        <v>614</v>
      </c>
      <c r="J3220" s="305"/>
      <c r="K3220" s="305"/>
    </row>
    <row r="3221" spans="1:11" x14ac:dyDescent="0.25">
      <c r="A3221" s="302" t="str">
        <f t="shared" si="92"/>
        <v>Staffing_0_CI_Lifetime (years)</v>
      </c>
      <c r="B3221" s="303" t="s">
        <v>1282</v>
      </c>
      <c r="C3221" s="304">
        <v>0</v>
      </c>
      <c r="D3221" s="303" t="s">
        <v>1159</v>
      </c>
      <c r="E3221" s="314" t="s">
        <v>259</v>
      </c>
      <c r="F3221" s="314" t="s">
        <v>548</v>
      </c>
      <c r="G3221" s="315">
        <v>0</v>
      </c>
      <c r="H3221" s="305"/>
      <c r="I3221" s="305" t="s">
        <v>614</v>
      </c>
      <c r="J3221" s="305"/>
      <c r="K3221" s="305"/>
    </row>
    <row r="3222" spans="1:11" x14ac:dyDescent="0.25">
      <c r="A3222" s="302" t="str">
        <f t="shared" si="92"/>
        <v>Staffing_0_CI_Incremental Cost</v>
      </c>
      <c r="B3222" s="303" t="s">
        <v>1282</v>
      </c>
      <c r="C3222" s="304">
        <v>0</v>
      </c>
      <c r="D3222" s="303" t="s">
        <v>1159</v>
      </c>
      <c r="E3222" s="314" t="s">
        <v>260</v>
      </c>
      <c r="F3222" s="314" t="s">
        <v>549</v>
      </c>
      <c r="G3222" s="315">
        <v>0</v>
      </c>
      <c r="H3222" s="305"/>
      <c r="I3222" s="305" t="s">
        <v>614</v>
      </c>
      <c r="J3222" s="305"/>
      <c r="K3222" s="305"/>
    </row>
    <row r="3223" spans="1:11" s="324" customFormat="1" x14ac:dyDescent="0.25">
      <c r="A3223" s="317" t="str">
        <f t="shared" si="92"/>
        <v>Staffing_0_CI_</v>
      </c>
      <c r="B3223" s="317" t="str">
        <f>B3222</f>
        <v>Staffing</v>
      </c>
      <c r="C3223" s="317">
        <f>C3222</f>
        <v>0</v>
      </c>
      <c r="D3223" s="317" t="str">
        <f>D3222</f>
        <v>CI</v>
      </c>
      <c r="E3223" s="317"/>
      <c r="F3223" s="317"/>
      <c r="G3223" s="323"/>
      <c r="H3223" s="320"/>
      <c r="I3223" s="320"/>
      <c r="J3223" s="317"/>
      <c r="K3223" s="317"/>
    </row>
    <row r="3224" spans="1:11" x14ac:dyDescent="0.25">
      <c r="A3224" s="302" t="str">
        <f t="shared" si="92"/>
        <v>Unit Visit_0_CI_Therm Saved per Unit</v>
      </c>
      <c r="B3224" s="303" t="s">
        <v>1090</v>
      </c>
      <c r="C3224" s="304">
        <v>0</v>
      </c>
      <c r="D3224" s="303" t="s">
        <v>1159</v>
      </c>
      <c r="E3224" s="314" t="s">
        <v>326</v>
      </c>
      <c r="F3224" s="314"/>
      <c r="G3224" s="315">
        <v>0</v>
      </c>
      <c r="H3224" s="305"/>
      <c r="I3224" s="305"/>
      <c r="J3224" s="305"/>
      <c r="K3224" s="305"/>
    </row>
    <row r="3225" spans="1:11" x14ac:dyDescent="0.25">
      <c r="A3225" s="302" t="str">
        <f t="shared" si="92"/>
        <v>Unit Visit_0_CI_Lifetime (years)</v>
      </c>
      <c r="B3225" s="303" t="s">
        <v>1090</v>
      </c>
      <c r="C3225" s="304">
        <v>0</v>
      </c>
      <c r="D3225" s="303" t="s">
        <v>1159</v>
      </c>
      <c r="E3225" s="314" t="s">
        <v>259</v>
      </c>
      <c r="F3225" s="314" t="s">
        <v>548</v>
      </c>
      <c r="G3225" s="315">
        <v>1</v>
      </c>
      <c r="H3225" s="305"/>
      <c r="I3225" s="305"/>
      <c r="J3225" s="305"/>
      <c r="K3225" s="305"/>
    </row>
    <row r="3226" spans="1:11" x14ac:dyDescent="0.25">
      <c r="A3226" s="302" t="str">
        <f t="shared" si="92"/>
        <v>Unit Visit_0_CI_Incremental Cost</v>
      </c>
      <c r="B3226" s="303" t="s">
        <v>1090</v>
      </c>
      <c r="C3226" s="304">
        <v>0</v>
      </c>
      <c r="D3226" s="303" t="s">
        <v>1159</v>
      </c>
      <c r="E3226" s="314" t="s">
        <v>260</v>
      </c>
      <c r="F3226" s="314" t="s">
        <v>549</v>
      </c>
      <c r="G3226" s="315">
        <v>0</v>
      </c>
      <c r="H3226" s="305"/>
      <c r="I3226" s="305"/>
      <c r="J3226" s="305"/>
      <c r="K3226" s="305"/>
    </row>
    <row r="3227" spans="1:11" s="324" customFormat="1" x14ac:dyDescent="0.25">
      <c r="A3227" s="317" t="str">
        <f t="shared" si="92"/>
        <v>Unit Visit_0_CI_</v>
      </c>
      <c r="B3227" s="317" t="str">
        <f>B3226</f>
        <v>Unit Visit</v>
      </c>
      <c r="C3227" s="317">
        <f>C3226</f>
        <v>0</v>
      </c>
      <c r="D3227" s="317" t="str">
        <f>D3226</f>
        <v>CI</v>
      </c>
      <c r="E3227" s="317"/>
      <c r="F3227" s="317"/>
      <c r="G3227" s="323"/>
      <c r="H3227" s="320"/>
      <c r="I3227" s="320"/>
      <c r="J3227" s="317"/>
      <c r="K3227" s="317"/>
    </row>
    <row r="3228" spans="1:11" x14ac:dyDescent="0.25">
      <c r="A3228" s="302" t="str">
        <f t="shared" si="92"/>
        <v>C&amp;I Gas Optimization_0_CI_Therm Saved per Unit</v>
      </c>
      <c r="B3228" s="303" t="s">
        <v>1283</v>
      </c>
      <c r="C3228" s="304">
        <v>0</v>
      </c>
      <c r="D3228" s="303" t="s">
        <v>1159</v>
      </c>
      <c r="E3228" s="314" t="s">
        <v>326</v>
      </c>
      <c r="F3228" s="314"/>
      <c r="G3228" s="315">
        <v>1</v>
      </c>
      <c r="H3228" s="305"/>
      <c r="I3228" s="305" t="s">
        <v>614</v>
      </c>
      <c r="J3228" s="305"/>
      <c r="K3228" s="305"/>
    </row>
    <row r="3229" spans="1:11" x14ac:dyDescent="0.25">
      <c r="A3229" s="302" t="str">
        <f t="shared" si="92"/>
        <v>C&amp;I Gas Optimization_0_CI_Lifetime (years)</v>
      </c>
      <c r="B3229" s="303" t="s">
        <v>1283</v>
      </c>
      <c r="C3229" s="304">
        <v>0</v>
      </c>
      <c r="D3229" s="303" t="s">
        <v>1159</v>
      </c>
      <c r="E3229" s="314" t="s">
        <v>259</v>
      </c>
      <c r="F3229" s="314" t="s">
        <v>548</v>
      </c>
      <c r="G3229" s="315">
        <v>15</v>
      </c>
      <c r="H3229" s="305"/>
      <c r="I3229" s="305" t="s">
        <v>614</v>
      </c>
      <c r="J3229" s="305"/>
      <c r="K3229" s="305"/>
    </row>
    <row r="3230" spans="1:11" x14ac:dyDescent="0.25">
      <c r="A3230" s="302" t="str">
        <f t="shared" si="92"/>
        <v>C&amp;I Gas Optimization_0_CI_Incremental Cost</v>
      </c>
      <c r="B3230" s="303" t="s">
        <v>1283</v>
      </c>
      <c r="C3230" s="304">
        <v>0</v>
      </c>
      <c r="D3230" s="303" t="s">
        <v>1159</v>
      </c>
      <c r="E3230" s="314" t="s">
        <v>260</v>
      </c>
      <c r="F3230" s="314" t="s">
        <v>549</v>
      </c>
      <c r="G3230" s="315">
        <v>2</v>
      </c>
      <c r="H3230" s="305"/>
      <c r="I3230" s="305" t="s">
        <v>614</v>
      </c>
      <c r="J3230" s="305"/>
      <c r="K3230" s="305"/>
    </row>
    <row r="3231" spans="1:11" s="324" customFormat="1" x14ac:dyDescent="0.25">
      <c r="A3231" s="317" t="str">
        <f t="shared" si="92"/>
        <v>C&amp;I Gas Optimization_0_CI_</v>
      </c>
      <c r="B3231" s="317" t="str">
        <f>B3230</f>
        <v>C&amp;I Gas Optimization</v>
      </c>
      <c r="C3231" s="317">
        <f>C3230</f>
        <v>0</v>
      </c>
      <c r="D3231" s="317" t="str">
        <f>D3230</f>
        <v>CI</v>
      </c>
      <c r="E3231" s="317"/>
      <c r="F3231" s="317"/>
      <c r="G3231" s="323"/>
      <c r="H3231" s="320"/>
      <c r="I3231" s="320"/>
      <c r="J3231" s="317"/>
      <c r="K3231" s="317"/>
    </row>
    <row r="3232" spans="1:11" x14ac:dyDescent="0.25">
      <c r="A3232" s="302" t="str">
        <f t="shared" si="92"/>
        <v>C&amp;I Retrocommissioning_0_CI_Therm Saved per Unit</v>
      </c>
      <c r="B3232" s="303" t="s">
        <v>1284</v>
      </c>
      <c r="C3232" s="304">
        <v>0</v>
      </c>
      <c r="D3232" s="303" t="s">
        <v>1159</v>
      </c>
      <c r="E3232" s="314" t="s">
        <v>326</v>
      </c>
      <c r="F3232" s="314"/>
      <c r="G3232" s="315">
        <v>1</v>
      </c>
      <c r="H3232" s="305"/>
      <c r="I3232" s="305" t="s">
        <v>614</v>
      </c>
      <c r="J3232" s="305"/>
      <c r="K3232" s="305"/>
    </row>
    <row r="3233" spans="1:11" x14ac:dyDescent="0.25">
      <c r="A3233" s="302" t="str">
        <f t="shared" si="92"/>
        <v>C&amp;I Retrocommissioning_0_CI_Lifetime (years)</v>
      </c>
      <c r="B3233" s="303" t="s">
        <v>1284</v>
      </c>
      <c r="C3233" s="304">
        <v>0</v>
      </c>
      <c r="D3233" s="303" t="s">
        <v>1159</v>
      </c>
      <c r="E3233" s="314" t="s">
        <v>259</v>
      </c>
      <c r="F3233" s="314" t="s">
        <v>548</v>
      </c>
      <c r="G3233" s="315">
        <v>15</v>
      </c>
      <c r="H3233" s="305"/>
      <c r="I3233" s="305" t="s">
        <v>614</v>
      </c>
      <c r="J3233" s="305"/>
      <c r="K3233" s="305"/>
    </row>
    <row r="3234" spans="1:11" x14ac:dyDescent="0.25">
      <c r="A3234" s="302" t="str">
        <f t="shared" si="92"/>
        <v>C&amp;I Retrocommissioning_0_CI_Incremental Cost</v>
      </c>
      <c r="B3234" s="303" t="s">
        <v>1284</v>
      </c>
      <c r="C3234" s="304">
        <v>0</v>
      </c>
      <c r="D3234" s="303" t="s">
        <v>1159</v>
      </c>
      <c r="E3234" s="314" t="s">
        <v>260</v>
      </c>
      <c r="F3234" s="314" t="s">
        <v>549</v>
      </c>
      <c r="G3234" s="315">
        <v>5</v>
      </c>
      <c r="H3234" s="305"/>
      <c r="I3234" s="305" t="s">
        <v>614</v>
      </c>
      <c r="J3234" s="305"/>
      <c r="K3234" s="305"/>
    </row>
    <row r="3235" spans="1:11" s="324" customFormat="1" x14ac:dyDescent="0.25">
      <c r="A3235" s="317" t="str">
        <f t="shared" si="92"/>
        <v>C&amp;I Retrocommissioning_0_CI_</v>
      </c>
      <c r="B3235" s="317" t="str">
        <f>B3234</f>
        <v>C&amp;I Retrocommissioning</v>
      </c>
      <c r="C3235" s="317">
        <f>C3234</f>
        <v>0</v>
      </c>
      <c r="D3235" s="317" t="str">
        <f>D3234</f>
        <v>CI</v>
      </c>
      <c r="E3235" s="317"/>
      <c r="F3235" s="317"/>
      <c r="G3235" s="323"/>
      <c r="H3235" s="320"/>
      <c r="I3235" s="320"/>
      <c r="J3235" s="317"/>
      <c r="K3235" s="317"/>
    </row>
    <row r="3236" spans="1:11" x14ac:dyDescent="0.25">
      <c r="A3236" s="302" t="str">
        <f t="shared" si="92"/>
        <v>C&amp;I Custom_0_CI_Therm Saved per Unit</v>
      </c>
      <c r="B3236" s="303" t="s">
        <v>1285</v>
      </c>
      <c r="C3236" s="304">
        <v>0</v>
      </c>
      <c r="D3236" s="303" t="s">
        <v>1159</v>
      </c>
      <c r="E3236" s="314" t="s">
        <v>326</v>
      </c>
      <c r="F3236" s="314"/>
      <c r="G3236" s="315">
        <v>1</v>
      </c>
      <c r="H3236" s="305"/>
      <c r="I3236" s="305" t="s">
        <v>614</v>
      </c>
      <c r="J3236" s="305"/>
      <c r="K3236" s="305"/>
    </row>
    <row r="3237" spans="1:11" x14ac:dyDescent="0.25">
      <c r="A3237" s="302" t="str">
        <f t="shared" si="92"/>
        <v>C&amp;I Custom_0_CI_Lifetime (years)</v>
      </c>
      <c r="B3237" s="303" t="s">
        <v>1285</v>
      </c>
      <c r="C3237" s="304">
        <v>0</v>
      </c>
      <c r="D3237" s="303" t="s">
        <v>1159</v>
      </c>
      <c r="E3237" s="314" t="s">
        <v>259</v>
      </c>
      <c r="F3237" s="314" t="s">
        <v>548</v>
      </c>
      <c r="G3237" s="315">
        <v>15</v>
      </c>
      <c r="H3237" s="305"/>
      <c r="I3237" s="305" t="s">
        <v>614</v>
      </c>
      <c r="J3237" s="305"/>
      <c r="K3237" s="305"/>
    </row>
    <row r="3238" spans="1:11" x14ac:dyDescent="0.25">
      <c r="A3238" s="302" t="str">
        <f t="shared" si="92"/>
        <v>C&amp;I Custom_0_CI_Incremental Cost</v>
      </c>
      <c r="B3238" s="303" t="s">
        <v>1285</v>
      </c>
      <c r="C3238" s="304">
        <v>0</v>
      </c>
      <c r="D3238" s="303" t="s">
        <v>1159</v>
      </c>
      <c r="E3238" s="314" t="s">
        <v>260</v>
      </c>
      <c r="F3238" s="314" t="s">
        <v>549</v>
      </c>
      <c r="G3238" s="315">
        <v>5</v>
      </c>
      <c r="H3238" s="305"/>
      <c r="I3238" s="305" t="s">
        <v>614</v>
      </c>
      <c r="J3238" s="305"/>
      <c r="K3238" s="305"/>
    </row>
    <row r="3239" spans="1:11" s="324" customFormat="1" x14ac:dyDescent="0.25">
      <c r="A3239" s="317" t="str">
        <f t="shared" si="92"/>
        <v>C&amp;I Custom_0_CI_</v>
      </c>
      <c r="B3239" s="317" t="str">
        <f>B3238</f>
        <v>C&amp;I Custom</v>
      </c>
      <c r="C3239" s="317">
        <f>C3238</f>
        <v>0</v>
      </c>
      <c r="D3239" s="317" t="str">
        <f>D3238</f>
        <v>CI</v>
      </c>
      <c r="E3239" s="317"/>
      <c r="F3239" s="317"/>
      <c r="G3239" s="323"/>
      <c r="H3239" s="320"/>
      <c r="I3239" s="320"/>
      <c r="J3239" s="317"/>
      <c r="K3239" s="317"/>
    </row>
    <row r="3240" spans="1:11" x14ac:dyDescent="0.25">
      <c r="A3240" s="302" t="str">
        <f t="shared" si="92"/>
        <v>C&amp;I New Construction_0_CI_Therm Saved per Unit</v>
      </c>
      <c r="B3240" s="303" t="s">
        <v>1286</v>
      </c>
      <c r="C3240" s="304">
        <v>0</v>
      </c>
      <c r="D3240" s="303" t="s">
        <v>1159</v>
      </c>
      <c r="E3240" s="314" t="s">
        <v>326</v>
      </c>
      <c r="F3240" s="314"/>
      <c r="G3240" s="315">
        <v>1</v>
      </c>
      <c r="H3240" s="305"/>
      <c r="I3240" s="305" t="s">
        <v>614</v>
      </c>
      <c r="J3240" s="305"/>
      <c r="K3240" s="305"/>
    </row>
    <row r="3241" spans="1:11" x14ac:dyDescent="0.25">
      <c r="A3241" s="302" t="str">
        <f t="shared" si="92"/>
        <v>C&amp;I New Construction_0_CI_Lifetime (years)</v>
      </c>
      <c r="B3241" s="303" t="s">
        <v>1286</v>
      </c>
      <c r="C3241" s="304">
        <v>0</v>
      </c>
      <c r="D3241" s="303" t="s">
        <v>1159</v>
      </c>
      <c r="E3241" s="314" t="s">
        <v>259</v>
      </c>
      <c r="F3241" s="314" t="s">
        <v>548</v>
      </c>
      <c r="G3241" s="315">
        <v>15</v>
      </c>
      <c r="H3241" s="305"/>
      <c r="I3241" s="305" t="s">
        <v>614</v>
      </c>
      <c r="J3241" s="305"/>
      <c r="K3241" s="305"/>
    </row>
    <row r="3242" spans="1:11" x14ac:dyDescent="0.25">
      <c r="A3242" s="302" t="str">
        <f t="shared" si="92"/>
        <v>C&amp;I New Construction_0_CI_Incremental Cost</v>
      </c>
      <c r="B3242" s="303" t="s">
        <v>1286</v>
      </c>
      <c r="C3242" s="304">
        <v>0</v>
      </c>
      <c r="D3242" s="303" t="s">
        <v>1159</v>
      </c>
      <c r="E3242" s="314" t="s">
        <v>260</v>
      </c>
      <c r="F3242" s="314" t="s">
        <v>549</v>
      </c>
      <c r="G3242" s="315">
        <v>5.25</v>
      </c>
      <c r="H3242" s="305"/>
      <c r="I3242" s="305" t="s">
        <v>614</v>
      </c>
      <c r="J3242" s="305"/>
      <c r="K3242" s="305"/>
    </row>
    <row r="3243" spans="1:11" s="324" customFormat="1" x14ac:dyDescent="0.25">
      <c r="A3243" s="317" t="str">
        <f t="shared" si="92"/>
        <v>C&amp;I New Construction_0_CI_</v>
      </c>
      <c r="B3243" s="317" t="str">
        <f>B3242</f>
        <v>C&amp;I New Construction</v>
      </c>
      <c r="C3243" s="317">
        <f>C3242</f>
        <v>0</v>
      </c>
      <c r="D3243" s="317" t="str">
        <f>D3242</f>
        <v>CI</v>
      </c>
      <c r="E3243" s="317"/>
      <c r="F3243" s="317"/>
      <c r="G3243" s="323"/>
      <c r="H3243" s="320"/>
      <c r="I3243" s="320"/>
      <c r="J3243" s="317"/>
      <c r="K3243" s="317"/>
    </row>
    <row r="3244" spans="1:11" x14ac:dyDescent="0.25">
      <c r="A3244" s="302" t="str">
        <f t="shared" si="92"/>
        <v>Linkageless Controls_0_MF_Ngi</v>
      </c>
      <c r="B3244" s="303" t="s">
        <v>1287</v>
      </c>
      <c r="C3244" s="304">
        <v>0</v>
      </c>
      <c r="D3244" s="303" t="s">
        <v>553</v>
      </c>
      <c r="E3244" s="305" t="s">
        <v>420</v>
      </c>
      <c r="F3244" s="309" t="s">
        <v>407</v>
      </c>
      <c r="G3244" s="354">
        <v>1</v>
      </c>
      <c r="H3244" s="305"/>
      <c r="I3244" s="305" t="s">
        <v>152</v>
      </c>
      <c r="J3244" s="305" t="s">
        <v>234</v>
      </c>
      <c r="K3244" s="305" t="s">
        <v>2001</v>
      </c>
    </row>
    <row r="3245" spans="1:11" x14ac:dyDescent="0.25">
      <c r="A3245" s="302" t="str">
        <f t="shared" si="92"/>
        <v>Linkageless Controls_0_MF_Savings Factor (SF)</v>
      </c>
      <c r="B3245" s="303" t="s">
        <v>1287</v>
      </c>
      <c r="C3245" s="304">
        <v>0</v>
      </c>
      <c r="D3245" s="303" t="s">
        <v>553</v>
      </c>
      <c r="E3245" s="305" t="s">
        <v>1288</v>
      </c>
      <c r="F3245" s="305" t="s">
        <v>539</v>
      </c>
      <c r="G3245" s="373">
        <v>3.7999999999999999E-2</v>
      </c>
      <c r="H3245" s="305"/>
      <c r="I3245" s="305" t="s">
        <v>152</v>
      </c>
      <c r="J3245" s="305" t="s">
        <v>234</v>
      </c>
      <c r="K3245" s="305" t="s">
        <v>2001</v>
      </c>
    </row>
    <row r="3246" spans="1:11" x14ac:dyDescent="0.25">
      <c r="A3246" s="302" t="str">
        <f t="shared" si="92"/>
        <v>Linkageless Controls_0_MF_EFLH</v>
      </c>
      <c r="B3246" s="303" t="s">
        <v>1287</v>
      </c>
      <c r="C3246" s="304">
        <v>0</v>
      </c>
      <c r="D3246" s="303" t="s">
        <v>553</v>
      </c>
      <c r="E3246" s="305" t="s">
        <v>321</v>
      </c>
      <c r="F3246" s="305" t="s">
        <v>283</v>
      </c>
      <c r="G3246" s="325">
        <f>AVERAGE(1540,1666,1782)</f>
        <v>1662.6666666666667</v>
      </c>
      <c r="H3246" s="305" t="s">
        <v>1289</v>
      </c>
      <c r="I3246" s="305" t="s">
        <v>152</v>
      </c>
      <c r="J3246" s="305" t="s">
        <v>234</v>
      </c>
      <c r="K3246" s="305" t="s">
        <v>2001</v>
      </c>
    </row>
    <row r="3247" spans="1:11" x14ac:dyDescent="0.25">
      <c r="A3247" s="302" t="str">
        <f t="shared" si="92"/>
        <v>Linkageless Controls_0_MF_Conversion</v>
      </c>
      <c r="B3247" s="303" t="s">
        <v>1287</v>
      </c>
      <c r="C3247" s="304">
        <v>0</v>
      </c>
      <c r="D3247" s="303" t="s">
        <v>553</v>
      </c>
      <c r="E3247" s="305" t="s">
        <v>284</v>
      </c>
      <c r="F3247" s="309" t="s">
        <v>981</v>
      </c>
      <c r="G3247" s="325">
        <v>100</v>
      </c>
      <c r="H3247" s="305"/>
      <c r="I3247" s="305" t="s">
        <v>152</v>
      </c>
      <c r="J3247" s="305" t="s">
        <v>234</v>
      </c>
      <c r="K3247" s="305" t="s">
        <v>2001</v>
      </c>
    </row>
    <row r="3248" spans="1:11" x14ac:dyDescent="0.25">
      <c r="A3248" s="302" t="str">
        <f t="shared" si="92"/>
        <v>Linkageless Controls_0_MF_kWh Saved per Unit</v>
      </c>
      <c r="B3248" s="303" t="s">
        <v>1287</v>
      </c>
      <c r="C3248" s="304">
        <v>0</v>
      </c>
      <c r="D3248" s="303" t="s">
        <v>553</v>
      </c>
      <c r="E3248" s="314" t="s">
        <v>255</v>
      </c>
      <c r="F3248" s="326"/>
      <c r="G3248" s="315">
        <v>0</v>
      </c>
      <c r="H3248" s="305"/>
      <c r="I3248" s="305" t="s">
        <v>152</v>
      </c>
      <c r="J3248" s="305" t="s">
        <v>234</v>
      </c>
      <c r="K3248" s="305" t="s">
        <v>2001</v>
      </c>
    </row>
    <row r="3249" spans="1:11" x14ac:dyDescent="0.25">
      <c r="A3249" s="302" t="str">
        <f t="shared" si="92"/>
        <v>Linkageless Controls_0_MF_Therm Saved per Unit</v>
      </c>
      <c r="B3249" s="303" t="s">
        <v>1287</v>
      </c>
      <c r="C3249" s="304">
        <v>0</v>
      </c>
      <c r="D3249" s="303" t="s">
        <v>553</v>
      </c>
      <c r="E3249" s="314" t="s">
        <v>326</v>
      </c>
      <c r="F3249" s="326" t="s">
        <v>678</v>
      </c>
      <c r="G3249" s="315">
        <f>G3244*G3245*G3246/G3247</f>
        <v>0.63181333333333334</v>
      </c>
      <c r="H3249" s="305"/>
      <c r="I3249" s="305" t="s">
        <v>152</v>
      </c>
      <c r="J3249" s="305" t="s">
        <v>234</v>
      </c>
      <c r="K3249" s="305" t="s">
        <v>2001</v>
      </c>
    </row>
    <row r="3250" spans="1:11" x14ac:dyDescent="0.25">
      <c r="A3250" s="302" t="str">
        <f t="shared" si="92"/>
        <v>Linkageless Controls_0_MF_Lifetime (years)</v>
      </c>
      <c r="B3250" s="303" t="s">
        <v>1287</v>
      </c>
      <c r="C3250" s="304">
        <v>0</v>
      </c>
      <c r="D3250" s="303" t="s">
        <v>553</v>
      </c>
      <c r="E3250" s="314" t="s">
        <v>259</v>
      </c>
      <c r="F3250" s="326" t="s">
        <v>548</v>
      </c>
      <c r="G3250" s="334">
        <v>20</v>
      </c>
      <c r="H3250" s="305"/>
      <c r="I3250" s="305" t="s">
        <v>152</v>
      </c>
      <c r="J3250" s="305" t="s">
        <v>234</v>
      </c>
      <c r="K3250" s="305" t="s">
        <v>2001</v>
      </c>
    </row>
    <row r="3251" spans="1:11" x14ac:dyDescent="0.25">
      <c r="A3251" s="302" t="str">
        <f t="shared" si="92"/>
        <v>Linkageless Controls_0_MF_Incremental Cost</v>
      </c>
      <c r="B3251" s="303" t="s">
        <v>1287</v>
      </c>
      <c r="C3251" s="304">
        <v>0</v>
      </c>
      <c r="D3251" s="303" t="s">
        <v>553</v>
      </c>
      <c r="E3251" s="314" t="s">
        <v>260</v>
      </c>
      <c r="F3251" s="327" t="s">
        <v>1290</v>
      </c>
      <c r="G3251" s="331">
        <f>2.5*G3244</f>
        <v>2.5</v>
      </c>
      <c r="H3251" s="305"/>
      <c r="I3251" s="305" t="s">
        <v>152</v>
      </c>
      <c r="J3251" s="305" t="s">
        <v>234</v>
      </c>
      <c r="K3251" s="305" t="s">
        <v>2001</v>
      </c>
    </row>
    <row r="3252" spans="1:11" s="324" customFormat="1" x14ac:dyDescent="0.25">
      <c r="A3252" s="317" t="str">
        <f t="shared" si="92"/>
        <v>Linkageless Controls_0_MF_</v>
      </c>
      <c r="B3252" s="317" t="str">
        <f>B3251</f>
        <v>Linkageless Controls</v>
      </c>
      <c r="C3252" s="332">
        <f>C3251</f>
        <v>0</v>
      </c>
      <c r="D3252" s="317" t="str">
        <f>D3251</f>
        <v>MF</v>
      </c>
      <c r="E3252" s="320"/>
      <c r="F3252" s="320"/>
      <c r="G3252" s="329"/>
      <c r="H3252" s="320"/>
      <c r="I3252" s="320"/>
      <c r="J3252" s="320"/>
      <c r="K3252" s="320"/>
    </row>
    <row r="3253" spans="1:11" x14ac:dyDescent="0.25">
      <c r="A3253" s="302" t="str">
        <f t="shared" si="92"/>
        <v>Dock Door Seals_0_CI_</v>
      </c>
      <c r="B3253" s="303" t="s">
        <v>1291</v>
      </c>
      <c r="C3253" s="304">
        <v>0</v>
      </c>
      <c r="D3253" s="303" t="s">
        <v>1159</v>
      </c>
      <c r="E3253" s="305"/>
      <c r="F3253" s="309"/>
      <c r="G3253" s="307">
        <v>1.04</v>
      </c>
      <c r="H3253" s="305"/>
      <c r="I3253" s="305" t="s">
        <v>633</v>
      </c>
      <c r="J3253" s="305"/>
      <c r="K3253" s="305"/>
    </row>
    <row r="3254" spans="1:11" x14ac:dyDescent="0.25">
      <c r="A3254" s="302" t="str">
        <f t="shared" si="92"/>
        <v>Dock Door Seals_0_CI_</v>
      </c>
      <c r="B3254" s="303" t="s">
        <v>1291</v>
      </c>
      <c r="C3254" s="304">
        <v>0</v>
      </c>
      <c r="D3254" s="303" t="s">
        <v>1159</v>
      </c>
      <c r="E3254" s="385"/>
      <c r="F3254" s="309"/>
      <c r="G3254" s="307">
        <v>3140</v>
      </c>
      <c r="H3254" s="305"/>
      <c r="I3254" s="305" t="s">
        <v>633</v>
      </c>
      <c r="J3254" s="305"/>
      <c r="K3254" s="305"/>
    </row>
    <row r="3255" spans="1:11" x14ac:dyDescent="0.25">
      <c r="A3255" s="302" t="str">
        <f t="shared" si="92"/>
        <v>Dock Door Seals_0_CI_HDD</v>
      </c>
      <c r="B3255" s="303" t="s">
        <v>1291</v>
      </c>
      <c r="C3255" s="304">
        <v>0</v>
      </c>
      <c r="D3255" s="303" t="s">
        <v>1159</v>
      </c>
      <c r="E3255" s="385" t="s">
        <v>487</v>
      </c>
      <c r="F3255" s="309"/>
      <c r="G3255" s="307">
        <v>4029</v>
      </c>
      <c r="H3255" s="305"/>
      <c r="I3255" s="305" t="s">
        <v>633</v>
      </c>
      <c r="J3255" s="305"/>
      <c r="K3255" s="305"/>
    </row>
    <row r="3256" spans="1:11" x14ac:dyDescent="0.25">
      <c r="A3256" s="302" t="str">
        <f t="shared" si="92"/>
        <v>Dock Door Seals_0_CI_Conversion</v>
      </c>
      <c r="B3256" s="303" t="s">
        <v>1291</v>
      </c>
      <c r="C3256" s="304">
        <v>0</v>
      </c>
      <c r="D3256" s="303" t="s">
        <v>1159</v>
      </c>
      <c r="E3256" s="305" t="s">
        <v>284</v>
      </c>
      <c r="F3256" s="309" t="s">
        <v>618</v>
      </c>
      <c r="G3256" s="325">
        <v>24</v>
      </c>
      <c r="H3256" s="305"/>
      <c r="I3256" s="305" t="s">
        <v>633</v>
      </c>
      <c r="J3256" s="305"/>
      <c r="K3256" s="305"/>
    </row>
    <row r="3257" spans="1:11" x14ac:dyDescent="0.25">
      <c r="A3257" s="302" t="str">
        <f t="shared" si="92"/>
        <v>Dock Door Seals_0_CI_</v>
      </c>
      <c r="B3257" s="303" t="s">
        <v>1291</v>
      </c>
      <c r="C3257" s="304">
        <v>0</v>
      </c>
      <c r="D3257" s="303" t="s">
        <v>1159</v>
      </c>
      <c r="E3257" s="305"/>
      <c r="F3257" s="309"/>
      <c r="G3257" s="306">
        <v>10</v>
      </c>
      <c r="H3257" s="305"/>
      <c r="I3257" s="305" t="s">
        <v>633</v>
      </c>
      <c r="J3257" s="305"/>
      <c r="K3257" s="305"/>
    </row>
    <row r="3258" spans="1:11" x14ac:dyDescent="0.25">
      <c r="A3258" s="302" t="str">
        <f t="shared" si="92"/>
        <v>Dock Door Seals_0_CI_</v>
      </c>
      <c r="B3258" s="303" t="s">
        <v>1291</v>
      </c>
      <c r="C3258" s="304">
        <v>0</v>
      </c>
      <c r="D3258" s="303" t="s">
        <v>1159</v>
      </c>
      <c r="E3258" s="305"/>
      <c r="F3258" s="309"/>
      <c r="G3258" s="306">
        <v>168</v>
      </c>
      <c r="H3258" s="305"/>
      <c r="I3258" s="305" t="s">
        <v>633</v>
      </c>
      <c r="J3258" s="305"/>
      <c r="K3258" s="305"/>
    </row>
    <row r="3259" spans="1:11" x14ac:dyDescent="0.25">
      <c r="A3259" s="302" t="str">
        <f t="shared" si="92"/>
        <v>Dock Door Seals_0_CI_</v>
      </c>
      <c r="B3259" s="303" t="s">
        <v>1291</v>
      </c>
      <c r="C3259" s="304">
        <v>0</v>
      </c>
      <c r="D3259" s="303" t="s">
        <v>1159</v>
      </c>
      <c r="E3259" s="305"/>
      <c r="F3259" s="309"/>
      <c r="G3259" s="306">
        <v>0.8</v>
      </c>
      <c r="H3259" s="305"/>
      <c r="I3259" s="305" t="s">
        <v>633</v>
      </c>
      <c r="J3259" s="305"/>
      <c r="K3259" s="305"/>
    </row>
    <row r="3260" spans="1:11" x14ac:dyDescent="0.25">
      <c r="A3260" s="302" t="str">
        <f t="shared" si="92"/>
        <v>Dock Door Seals_0_CI_Conversion</v>
      </c>
      <c r="B3260" s="303" t="s">
        <v>1291</v>
      </c>
      <c r="C3260" s="304">
        <v>0</v>
      </c>
      <c r="D3260" s="303" t="s">
        <v>1159</v>
      </c>
      <c r="E3260" s="305" t="s">
        <v>284</v>
      </c>
      <c r="F3260" s="309" t="s">
        <v>622</v>
      </c>
      <c r="G3260" s="325">
        <v>100000</v>
      </c>
      <c r="H3260" s="305"/>
      <c r="I3260" s="305" t="s">
        <v>633</v>
      </c>
      <c r="J3260" s="305"/>
      <c r="K3260" s="305"/>
    </row>
    <row r="3261" spans="1:11" x14ac:dyDescent="0.25">
      <c r="A3261" s="302" t="str">
        <f t="shared" si="92"/>
        <v>Dock Door Seals_0_CI_Therm Saved per Unit</v>
      </c>
      <c r="B3261" s="303" t="s">
        <v>1291</v>
      </c>
      <c r="C3261" s="304">
        <v>0</v>
      </c>
      <c r="D3261" s="303" t="s">
        <v>1159</v>
      </c>
      <c r="E3261" s="314" t="s">
        <v>326</v>
      </c>
      <c r="F3261" s="326"/>
      <c r="G3261" s="326">
        <f>G3253*G3254*G3255*G3256*G3257/G3258/G3259/G3260</f>
        <v>234.94825714285713</v>
      </c>
      <c r="H3261" s="305" t="s">
        <v>1292</v>
      </c>
      <c r="I3261" s="305" t="s">
        <v>633</v>
      </c>
      <c r="J3261" s="305"/>
      <c r="K3261" s="305"/>
    </row>
    <row r="3262" spans="1:11" x14ac:dyDescent="0.25">
      <c r="A3262" s="302" t="str">
        <f t="shared" si="92"/>
        <v>Dock Door Seals_0_CI_Lifetime (years)</v>
      </c>
      <c r="B3262" s="303" t="s">
        <v>1291</v>
      </c>
      <c r="C3262" s="304">
        <v>0</v>
      </c>
      <c r="D3262" s="303" t="s">
        <v>1159</v>
      </c>
      <c r="E3262" s="314" t="s">
        <v>259</v>
      </c>
      <c r="F3262" s="327" t="s">
        <v>548</v>
      </c>
      <c r="G3262" s="403">
        <v>20</v>
      </c>
      <c r="H3262" s="305"/>
      <c r="I3262" s="305" t="s">
        <v>633</v>
      </c>
      <c r="J3262" s="305"/>
      <c r="K3262" s="305"/>
    </row>
    <row r="3263" spans="1:11" x14ac:dyDescent="0.25">
      <c r="A3263" s="302" t="str">
        <f t="shared" si="92"/>
        <v>Dock Door Seals_0_CI_Incremental Cost</v>
      </c>
      <c r="B3263" s="303" t="s">
        <v>1291</v>
      </c>
      <c r="C3263" s="304">
        <v>0</v>
      </c>
      <c r="D3263" s="303" t="s">
        <v>1159</v>
      </c>
      <c r="E3263" s="314" t="s">
        <v>260</v>
      </c>
      <c r="F3263" s="327" t="s">
        <v>549</v>
      </c>
      <c r="G3263" s="331">
        <v>2857</v>
      </c>
      <c r="H3263" s="305"/>
      <c r="I3263" s="305" t="s">
        <v>633</v>
      </c>
      <c r="J3263" s="305"/>
      <c r="K3263" s="305"/>
    </row>
    <row r="3264" spans="1:11" s="324" customFormat="1" x14ac:dyDescent="0.25">
      <c r="A3264" s="317" t="str">
        <f t="shared" si="92"/>
        <v>Dock Door Seals_0_CI_</v>
      </c>
      <c r="B3264" s="317" t="str">
        <f>B3263</f>
        <v>Dock Door Seals</v>
      </c>
      <c r="C3264" s="332">
        <f>C3263</f>
        <v>0</v>
      </c>
      <c r="D3264" s="317" t="str">
        <f>D3263</f>
        <v>CI</v>
      </c>
      <c r="E3264" s="317"/>
      <c r="F3264" s="317"/>
      <c r="G3264" s="323"/>
      <c r="H3264" s="320"/>
      <c r="I3264" s="320"/>
      <c r="J3264" s="317"/>
      <c r="K3264" s="317"/>
    </row>
    <row r="3265" spans="1:11" x14ac:dyDescent="0.25">
      <c r="A3265" s="302" t="str">
        <f t="shared" si="92"/>
        <v>Water Heater_≥75 MBH, ≥88% TE _CI_T_out</v>
      </c>
      <c r="B3265" s="303" t="s">
        <v>8</v>
      </c>
      <c r="C3265" s="304" t="s">
        <v>1293</v>
      </c>
      <c r="D3265" s="303" t="s">
        <v>1159</v>
      </c>
      <c r="E3265" s="305" t="s">
        <v>377</v>
      </c>
      <c r="F3265" s="309"/>
      <c r="G3265" s="354">
        <v>125</v>
      </c>
      <c r="H3265" s="305"/>
      <c r="I3265" s="305" t="s">
        <v>152</v>
      </c>
      <c r="J3265" s="305" t="s">
        <v>134</v>
      </c>
      <c r="K3265" s="305" t="s">
        <v>2379</v>
      </c>
    </row>
    <row r="3266" spans="1:11" x14ac:dyDescent="0.25">
      <c r="A3266" s="302" t="str">
        <f t="shared" si="92"/>
        <v>Water Heater_≥75 MBH, ≥88% TE _CI_T_in</v>
      </c>
      <c r="B3266" s="303" t="s">
        <v>8</v>
      </c>
      <c r="C3266" s="304" t="s">
        <v>1293</v>
      </c>
      <c r="D3266" s="303" t="s">
        <v>1159</v>
      </c>
      <c r="E3266" s="305" t="s">
        <v>381</v>
      </c>
      <c r="F3266" s="309"/>
      <c r="G3266" s="334">
        <v>50.7</v>
      </c>
      <c r="H3266" s="311" t="s">
        <v>1916</v>
      </c>
      <c r="I3266" s="305" t="s">
        <v>152</v>
      </c>
      <c r="J3266" s="305" t="s">
        <v>134</v>
      </c>
      <c r="K3266" s="305" t="s">
        <v>2379</v>
      </c>
    </row>
    <row r="3267" spans="1:11" x14ac:dyDescent="0.25">
      <c r="A3267" s="302" t="str">
        <f t="shared" si="92"/>
        <v>Water Heater_≥75 MBH, ≥88% TE _CI_HotWaterUse_Gallon</v>
      </c>
      <c r="B3267" s="303" t="s">
        <v>8</v>
      </c>
      <c r="C3267" s="304" t="s">
        <v>1293</v>
      </c>
      <c r="D3267" s="303" t="s">
        <v>1159</v>
      </c>
      <c r="E3267" s="305" t="s">
        <v>382</v>
      </c>
      <c r="F3267" s="309"/>
      <c r="G3267" s="354">
        <f>G3277*AVERAGE(528,568,528,788,511,528,715,341,622,511,528,341,672)</f>
        <v>82857.692307692298</v>
      </c>
      <c r="H3267" s="305" t="s">
        <v>1295</v>
      </c>
      <c r="I3267" s="305" t="s">
        <v>152</v>
      </c>
      <c r="J3267" s="305" t="s">
        <v>134</v>
      </c>
      <c r="K3267" s="305" t="s">
        <v>2379</v>
      </c>
    </row>
    <row r="3268" spans="1:11" x14ac:dyDescent="0.25">
      <c r="A3268" s="302" t="str">
        <f t="shared" si="92"/>
        <v>Water Heater_≥75 MBH, ≥88% TE _CI_yWater</v>
      </c>
      <c r="B3268" s="303" t="s">
        <v>8</v>
      </c>
      <c r="C3268" s="304" t="s">
        <v>1293</v>
      </c>
      <c r="D3268" s="303" t="s">
        <v>1159</v>
      </c>
      <c r="E3268" s="305" t="s">
        <v>369</v>
      </c>
      <c r="F3268" s="309" t="s">
        <v>346</v>
      </c>
      <c r="G3268" s="307">
        <v>8.33</v>
      </c>
      <c r="H3268" s="305"/>
      <c r="I3268" s="305" t="s">
        <v>152</v>
      </c>
      <c r="J3268" s="305" t="s">
        <v>134</v>
      </c>
      <c r="K3268" s="305" t="s">
        <v>2379</v>
      </c>
    </row>
    <row r="3269" spans="1:11" x14ac:dyDescent="0.25">
      <c r="A3269" s="302" t="str">
        <f t="shared" si="92"/>
        <v>Water Heater_≥75 MBH, ≥88% TE _CI_Conversion</v>
      </c>
      <c r="B3269" s="303" t="s">
        <v>8</v>
      </c>
      <c r="C3269" s="304" t="s">
        <v>1293</v>
      </c>
      <c r="D3269" s="303" t="s">
        <v>1159</v>
      </c>
      <c r="E3269" s="305" t="s">
        <v>284</v>
      </c>
      <c r="F3269" s="309"/>
      <c r="G3269" s="354">
        <v>1</v>
      </c>
      <c r="H3269" s="305"/>
      <c r="I3269" s="305" t="s">
        <v>152</v>
      </c>
      <c r="J3269" s="305" t="s">
        <v>134</v>
      </c>
      <c r="K3269" s="305" t="s">
        <v>2379</v>
      </c>
    </row>
    <row r="3270" spans="1:11" x14ac:dyDescent="0.25">
      <c r="A3270" s="302" t="str">
        <f t="shared" si="92"/>
        <v>Water Heater_≥75 MBH, ≥88% TE _CI_UEF_gasbase</v>
      </c>
      <c r="B3270" s="303" t="s">
        <v>8</v>
      </c>
      <c r="C3270" s="304" t="s">
        <v>1293</v>
      </c>
      <c r="D3270" s="303" t="s">
        <v>1159</v>
      </c>
      <c r="E3270" s="305" t="s">
        <v>383</v>
      </c>
      <c r="F3270" s="309"/>
      <c r="G3270" s="307">
        <f>0.6002-(0.0011*G3277)</f>
        <v>0.43519999999999992</v>
      </c>
      <c r="H3270" s="305" t="s">
        <v>1296</v>
      </c>
      <c r="I3270" s="305" t="s">
        <v>152</v>
      </c>
      <c r="J3270" s="305" t="s">
        <v>134</v>
      </c>
      <c r="K3270" s="305" t="s">
        <v>2379</v>
      </c>
    </row>
    <row r="3271" spans="1:11" x14ac:dyDescent="0.25">
      <c r="A3271" s="302" t="str">
        <f t="shared" si="92"/>
        <v>Water Heater_≥75 MBH, ≥88% TE _CI_UEF_Eff</v>
      </c>
      <c r="B3271" s="303" t="s">
        <v>8</v>
      </c>
      <c r="C3271" s="304" t="s">
        <v>1293</v>
      </c>
      <c r="D3271" s="303" t="s">
        <v>1159</v>
      </c>
      <c r="E3271" s="305" t="s">
        <v>385</v>
      </c>
      <c r="F3271" s="309"/>
      <c r="G3271" s="307">
        <v>0.88</v>
      </c>
      <c r="H3271" s="305"/>
      <c r="I3271" s="305"/>
      <c r="J3271" s="305"/>
      <c r="K3271" s="305"/>
    </row>
    <row r="3272" spans="1:11" x14ac:dyDescent="0.25">
      <c r="A3272" s="302" t="str">
        <f t="shared" si="92"/>
        <v>Water Heater_≥75 MBH, ≥88% TE _CI_Conversion</v>
      </c>
      <c r="B3272" s="303" t="s">
        <v>8</v>
      </c>
      <c r="C3272" s="304" t="s">
        <v>1293</v>
      </c>
      <c r="D3272" s="303" t="s">
        <v>1159</v>
      </c>
      <c r="E3272" s="305" t="s">
        <v>284</v>
      </c>
      <c r="F3272" s="309" t="s">
        <v>622</v>
      </c>
      <c r="G3272" s="325">
        <v>100000</v>
      </c>
      <c r="H3272" s="305"/>
      <c r="I3272" s="305" t="s">
        <v>152</v>
      </c>
      <c r="J3272" s="305" t="s">
        <v>134</v>
      </c>
      <c r="K3272" s="305" t="s">
        <v>2379</v>
      </c>
    </row>
    <row r="3273" spans="1:11" x14ac:dyDescent="0.25">
      <c r="A3273" s="302" t="str">
        <f t="shared" si="92"/>
        <v>Water Heater_≥75 MBH, ≥88% TE _CI_Delta_Therms</v>
      </c>
      <c r="B3273" s="303" t="s">
        <v>8</v>
      </c>
      <c r="C3273" s="304" t="s">
        <v>1293</v>
      </c>
      <c r="D3273" s="303" t="s">
        <v>1159</v>
      </c>
      <c r="E3273" s="305" t="s">
        <v>386</v>
      </c>
      <c r="F3273" s="309"/>
      <c r="G3273" s="307">
        <f>((G3265-G3266)*G3267*G3268*G3269*((1/G3270)-(1/G3271)))/G3272</f>
        <v>595.6071030321242</v>
      </c>
      <c r="H3273" s="305"/>
      <c r="I3273" s="305" t="s">
        <v>152</v>
      </c>
      <c r="J3273" s="305" t="s">
        <v>134</v>
      </c>
      <c r="K3273" s="305" t="s">
        <v>2379</v>
      </c>
    </row>
    <row r="3274" spans="1:11" x14ac:dyDescent="0.25">
      <c r="A3274" s="302" t="str">
        <f t="shared" si="92"/>
        <v>Water Heater_≥75 MBH, ≥88% TE _CI_Q</v>
      </c>
      <c r="B3274" s="303" t="s">
        <v>8</v>
      </c>
      <c r="C3274" s="304" t="s">
        <v>1293</v>
      </c>
      <c r="D3274" s="303" t="s">
        <v>1159</v>
      </c>
      <c r="E3274" s="305" t="s">
        <v>387</v>
      </c>
      <c r="F3274" s="309" t="s">
        <v>479</v>
      </c>
      <c r="G3274" s="354">
        <v>250000</v>
      </c>
      <c r="H3274" s="305"/>
      <c r="I3274" s="305" t="s">
        <v>152</v>
      </c>
      <c r="J3274" s="305" t="s">
        <v>134</v>
      </c>
      <c r="K3274" s="305" t="s">
        <v>2379</v>
      </c>
    </row>
    <row r="3275" spans="1:11" x14ac:dyDescent="0.25">
      <c r="A3275" s="302" t="str">
        <f t="shared" si="92"/>
        <v>Water Heater_≥75 MBH, ≥88% TE _CI_800</v>
      </c>
      <c r="B3275" s="303" t="s">
        <v>8</v>
      </c>
      <c r="C3275" s="304" t="s">
        <v>1293</v>
      </c>
      <c r="D3275" s="303" t="s">
        <v>1159</v>
      </c>
      <c r="E3275" s="305">
        <v>800</v>
      </c>
      <c r="F3275" s="309"/>
      <c r="G3275" s="354">
        <v>800</v>
      </c>
      <c r="H3275" s="305" t="s">
        <v>1268</v>
      </c>
      <c r="I3275" s="305" t="s">
        <v>152</v>
      </c>
      <c r="J3275" s="305" t="s">
        <v>134</v>
      </c>
      <c r="K3275" s="305" t="s">
        <v>2379</v>
      </c>
    </row>
    <row r="3276" spans="1:11" x14ac:dyDescent="0.25">
      <c r="A3276" s="302" t="str">
        <f t="shared" ref="A3276:A3339" si="93">B3276&amp;"_"&amp;C3276&amp;"_"&amp;D3276&amp;"_"&amp;E3276</f>
        <v>Water Heater_≥75 MBH, ≥88% TE _CI_110</v>
      </c>
      <c r="B3276" s="303" t="s">
        <v>8</v>
      </c>
      <c r="C3276" s="304" t="s">
        <v>1293</v>
      </c>
      <c r="D3276" s="303" t="s">
        <v>1159</v>
      </c>
      <c r="E3276" s="305">
        <v>110</v>
      </c>
      <c r="F3276" s="309"/>
      <c r="G3276" s="354">
        <v>110</v>
      </c>
      <c r="H3276" s="305" t="s">
        <v>1269</v>
      </c>
      <c r="I3276" s="305" t="s">
        <v>152</v>
      </c>
      <c r="J3276" s="305" t="s">
        <v>134</v>
      </c>
      <c r="K3276" s="305" t="s">
        <v>2379</v>
      </c>
    </row>
    <row r="3277" spans="1:11" x14ac:dyDescent="0.25">
      <c r="A3277" s="302" t="str">
        <f t="shared" si="93"/>
        <v>Water Heater_≥75 MBH, ≥88% TE _CI_V</v>
      </c>
      <c r="B3277" s="303" t="s">
        <v>8</v>
      </c>
      <c r="C3277" s="304" t="s">
        <v>1293</v>
      </c>
      <c r="D3277" s="303" t="s">
        <v>1159</v>
      </c>
      <c r="E3277" s="305" t="s">
        <v>378</v>
      </c>
      <c r="F3277" s="309" t="s">
        <v>1072</v>
      </c>
      <c r="G3277" s="307">
        <v>150</v>
      </c>
      <c r="H3277" s="305"/>
      <c r="I3277" s="305" t="s">
        <v>152</v>
      </c>
      <c r="J3277" s="305" t="s">
        <v>134</v>
      </c>
      <c r="K3277" s="305" t="s">
        <v>2379</v>
      </c>
    </row>
    <row r="3278" spans="1:11" x14ac:dyDescent="0.25">
      <c r="A3278" s="302" t="str">
        <f t="shared" si="93"/>
        <v>Water Heater_≥75 MBH, ≥88% TE _CI_SL_gasbase</v>
      </c>
      <c r="B3278" s="303" t="s">
        <v>8</v>
      </c>
      <c r="C3278" s="304" t="s">
        <v>1293</v>
      </c>
      <c r="D3278" s="303" t="s">
        <v>1159</v>
      </c>
      <c r="E3278" s="305" t="s">
        <v>388</v>
      </c>
      <c r="F3278" s="309"/>
      <c r="G3278" s="307">
        <f>(G3274/G3275)+G3276*SQRT(G3277)</f>
        <v>1659.719358530748</v>
      </c>
      <c r="H3278" s="305"/>
      <c r="I3278" s="305" t="s">
        <v>152</v>
      </c>
      <c r="J3278" s="305" t="s">
        <v>134</v>
      </c>
      <c r="K3278" s="305" t="s">
        <v>2379</v>
      </c>
    </row>
    <row r="3279" spans="1:11" x14ac:dyDescent="0.25">
      <c r="A3279" s="302" t="str">
        <f t="shared" si="93"/>
        <v>Water Heater_≥75 MBH, ≥88% TE _CI_SL_eff</v>
      </c>
      <c r="B3279" s="303" t="s">
        <v>8</v>
      </c>
      <c r="C3279" s="304" t="s">
        <v>1293</v>
      </c>
      <c r="D3279" s="303" t="s">
        <v>1159</v>
      </c>
      <c r="E3279" s="305" t="s">
        <v>379</v>
      </c>
      <c r="F3279" s="309"/>
      <c r="G3279" s="307">
        <v>1029</v>
      </c>
      <c r="H3279" s="305" t="s">
        <v>366</v>
      </c>
      <c r="I3279" s="305" t="s">
        <v>152</v>
      </c>
      <c r="J3279" s="305" t="s">
        <v>134</v>
      </c>
      <c r="K3279" s="305" t="s">
        <v>2379</v>
      </c>
    </row>
    <row r="3280" spans="1:11" x14ac:dyDescent="0.25">
      <c r="A3280" s="302" t="str">
        <f t="shared" si="93"/>
        <v>Water Heater_≥75 MBH, ≥88% TE _CI_Conversion</v>
      </c>
      <c r="B3280" s="303" t="s">
        <v>8</v>
      </c>
      <c r="C3280" s="304" t="s">
        <v>1293</v>
      </c>
      <c r="D3280" s="303" t="s">
        <v>1159</v>
      </c>
      <c r="E3280" s="305" t="s">
        <v>284</v>
      </c>
      <c r="F3280" s="309" t="s">
        <v>1259</v>
      </c>
      <c r="G3280" s="354">
        <v>8766</v>
      </c>
      <c r="H3280" s="305"/>
      <c r="I3280" s="305" t="s">
        <v>152</v>
      </c>
      <c r="J3280" s="305" t="s">
        <v>134</v>
      </c>
      <c r="K3280" s="305" t="s">
        <v>2379</v>
      </c>
    </row>
    <row r="3281" spans="1:11" x14ac:dyDescent="0.25">
      <c r="A3281" s="302" t="str">
        <f t="shared" si="93"/>
        <v>Water Heater_≥75 MBH, ≥88% TE _CI_Delta_Therms_Standby</v>
      </c>
      <c r="B3281" s="303" t="s">
        <v>8</v>
      </c>
      <c r="C3281" s="304" t="s">
        <v>1293</v>
      </c>
      <c r="D3281" s="303" t="s">
        <v>1159</v>
      </c>
      <c r="E3281" s="305" t="s">
        <v>389</v>
      </c>
      <c r="F3281" s="309"/>
      <c r="G3281" s="307">
        <f>((G3278-G3279)*G3280)/G3272</f>
        <v>55.288858968805364</v>
      </c>
      <c r="H3281" s="305"/>
      <c r="I3281" s="305" t="s">
        <v>152</v>
      </c>
      <c r="J3281" s="305" t="s">
        <v>134</v>
      </c>
      <c r="K3281" s="305" t="s">
        <v>2379</v>
      </c>
    </row>
    <row r="3282" spans="1:11" x14ac:dyDescent="0.25">
      <c r="A3282" s="302" t="str">
        <f t="shared" si="93"/>
        <v>Water Heater_≥75 MBH, ≥88% TE _CI_Therm Saved per Unit</v>
      </c>
      <c r="B3282" s="303" t="s">
        <v>8</v>
      </c>
      <c r="C3282" s="304" t="s">
        <v>1293</v>
      </c>
      <c r="D3282" s="303" t="s">
        <v>1159</v>
      </c>
      <c r="E3282" s="314" t="s">
        <v>326</v>
      </c>
      <c r="F3282" s="326" t="s">
        <v>1297</v>
      </c>
      <c r="G3282" s="326">
        <f>(G3273+G3281)/(G3274/1000)</f>
        <v>2.6035838480037183</v>
      </c>
      <c r="H3282" s="305" t="s">
        <v>1298</v>
      </c>
      <c r="I3282" s="305" t="s">
        <v>152</v>
      </c>
      <c r="J3282" s="305" t="s">
        <v>134</v>
      </c>
      <c r="K3282" s="305" t="s">
        <v>2379</v>
      </c>
    </row>
    <row r="3283" spans="1:11" x14ac:dyDescent="0.25">
      <c r="A3283" s="302" t="str">
        <f t="shared" si="93"/>
        <v>Water Heater_≥75 MBH, ≥88% TE _CI_Lifetime (years)</v>
      </c>
      <c r="B3283" s="303" t="s">
        <v>8</v>
      </c>
      <c r="C3283" s="304" t="s">
        <v>1293</v>
      </c>
      <c r="D3283" s="303" t="s">
        <v>1159</v>
      </c>
      <c r="E3283" s="314" t="s">
        <v>259</v>
      </c>
      <c r="F3283" s="326"/>
      <c r="G3283" s="326">
        <v>15</v>
      </c>
      <c r="H3283" s="305" t="s">
        <v>391</v>
      </c>
      <c r="I3283" s="305" t="s">
        <v>152</v>
      </c>
      <c r="J3283" s="305" t="s">
        <v>134</v>
      </c>
      <c r="K3283" s="305" t="s">
        <v>2379</v>
      </c>
    </row>
    <row r="3284" spans="1:11" x14ac:dyDescent="0.25">
      <c r="A3284" s="302" t="str">
        <f t="shared" si="93"/>
        <v>Water Heater_≥75 MBH, ≥88% TE _CI_Incremental Cost</v>
      </c>
      <c r="B3284" s="303" t="s">
        <v>8</v>
      </c>
      <c r="C3284" s="304" t="s">
        <v>1293</v>
      </c>
      <c r="D3284" s="303" t="s">
        <v>1159</v>
      </c>
      <c r="E3284" s="314" t="s">
        <v>260</v>
      </c>
      <c r="F3284" s="326" t="s">
        <v>1297</v>
      </c>
      <c r="G3284" s="326">
        <f>879/(G3274/1000)</f>
        <v>3.516</v>
      </c>
      <c r="H3284" s="305" t="s">
        <v>392</v>
      </c>
      <c r="I3284" s="305" t="s">
        <v>152</v>
      </c>
      <c r="J3284" s="305" t="s">
        <v>134</v>
      </c>
      <c r="K3284" s="305" t="s">
        <v>2379</v>
      </c>
    </row>
    <row r="3285" spans="1:11" x14ac:dyDescent="0.25">
      <c r="A3285" s="317" t="str">
        <f t="shared" si="93"/>
        <v>Water Heater_≥75 MBH, ≥88% TE _CI_</v>
      </c>
      <c r="B3285" s="317" t="s">
        <v>8</v>
      </c>
      <c r="C3285" s="332" t="s">
        <v>1293</v>
      </c>
      <c r="D3285" s="317" t="str">
        <f>D3284</f>
        <v>CI</v>
      </c>
      <c r="E3285" s="317"/>
      <c r="F3285" s="317"/>
      <c r="G3285" s="323"/>
      <c r="H3285" s="320"/>
      <c r="I3285" s="320"/>
      <c r="J3285" s="317"/>
      <c r="K3285" s="317"/>
    </row>
    <row r="3286" spans="1:11" x14ac:dyDescent="0.25">
      <c r="A3286" s="302" t="str">
        <f t="shared" si="93"/>
        <v>Water Heater_≥75 MBH, ≥88% TE _MF_T_out</v>
      </c>
      <c r="B3286" s="303" t="s">
        <v>8</v>
      </c>
      <c r="C3286" s="304" t="s">
        <v>1293</v>
      </c>
      <c r="D3286" s="303" t="s">
        <v>553</v>
      </c>
      <c r="E3286" s="305" t="s">
        <v>377</v>
      </c>
      <c r="F3286" s="309"/>
      <c r="G3286" s="354">
        <v>125</v>
      </c>
      <c r="H3286" s="305"/>
      <c r="I3286" s="305" t="s">
        <v>152</v>
      </c>
      <c r="J3286" s="305" t="s">
        <v>134</v>
      </c>
      <c r="K3286" s="305" t="s">
        <v>2379</v>
      </c>
    </row>
    <row r="3287" spans="1:11" x14ac:dyDescent="0.25">
      <c r="A3287" s="302" t="str">
        <f t="shared" si="93"/>
        <v>Water Heater_≥75 MBH, ≥88% TE _MF_T_in</v>
      </c>
      <c r="B3287" s="303" t="s">
        <v>8</v>
      </c>
      <c r="C3287" s="304" t="s">
        <v>1293</v>
      </c>
      <c r="D3287" s="303" t="s">
        <v>553</v>
      </c>
      <c r="E3287" s="305" t="s">
        <v>381</v>
      </c>
      <c r="F3287" s="309"/>
      <c r="G3287" s="334">
        <v>50.7</v>
      </c>
      <c r="H3287" s="311" t="s">
        <v>1916</v>
      </c>
      <c r="I3287" s="305" t="s">
        <v>152</v>
      </c>
      <c r="J3287" s="305" t="s">
        <v>134</v>
      </c>
      <c r="K3287" s="305" t="s">
        <v>2379</v>
      </c>
    </row>
    <row r="3288" spans="1:11" x14ac:dyDescent="0.25">
      <c r="A3288" s="302" t="str">
        <f t="shared" si="93"/>
        <v>Water Heater_≥75 MBH, ≥88% TE _MF_HotWaterUse_Gallon</v>
      </c>
      <c r="B3288" s="303" t="s">
        <v>8</v>
      </c>
      <c r="C3288" s="304" t="s">
        <v>1293</v>
      </c>
      <c r="D3288" s="303" t="s">
        <v>553</v>
      </c>
      <c r="E3288" s="305" t="s">
        <v>382</v>
      </c>
      <c r="F3288" s="309"/>
      <c r="G3288" s="354">
        <f>G3298*894</f>
        <v>134100</v>
      </c>
      <c r="H3288" s="305" t="s">
        <v>1299</v>
      </c>
      <c r="I3288" s="305" t="s">
        <v>152</v>
      </c>
      <c r="J3288" s="305" t="s">
        <v>134</v>
      </c>
      <c r="K3288" s="305" t="s">
        <v>2379</v>
      </c>
    </row>
    <row r="3289" spans="1:11" x14ac:dyDescent="0.25">
      <c r="A3289" s="302" t="str">
        <f t="shared" si="93"/>
        <v>Water Heater_≥75 MBH, ≥88% TE _MF_yWater</v>
      </c>
      <c r="B3289" s="303" t="s">
        <v>8</v>
      </c>
      <c r="C3289" s="304" t="s">
        <v>1293</v>
      </c>
      <c r="D3289" s="303" t="s">
        <v>553</v>
      </c>
      <c r="E3289" s="305" t="s">
        <v>369</v>
      </c>
      <c r="F3289" s="309" t="s">
        <v>346</v>
      </c>
      <c r="G3289" s="307">
        <v>8.33</v>
      </c>
      <c r="H3289" s="305"/>
      <c r="I3289" s="305" t="s">
        <v>152</v>
      </c>
      <c r="J3289" s="305" t="s">
        <v>134</v>
      </c>
      <c r="K3289" s="305" t="s">
        <v>2379</v>
      </c>
    </row>
    <row r="3290" spans="1:11" x14ac:dyDescent="0.25">
      <c r="A3290" s="302" t="str">
        <f t="shared" si="93"/>
        <v>Water Heater_≥75 MBH, ≥88% TE _MF_Conversion</v>
      </c>
      <c r="B3290" s="303" t="s">
        <v>8</v>
      </c>
      <c r="C3290" s="304" t="s">
        <v>1293</v>
      </c>
      <c r="D3290" s="303" t="s">
        <v>553</v>
      </c>
      <c r="E3290" s="305" t="s">
        <v>284</v>
      </c>
      <c r="F3290" s="309"/>
      <c r="G3290" s="354">
        <v>1</v>
      </c>
      <c r="H3290" s="305"/>
      <c r="I3290" s="305" t="s">
        <v>152</v>
      </c>
      <c r="J3290" s="305" t="s">
        <v>134</v>
      </c>
      <c r="K3290" s="305" t="s">
        <v>2379</v>
      </c>
    </row>
    <row r="3291" spans="1:11" x14ac:dyDescent="0.25">
      <c r="A3291" s="302" t="str">
        <f t="shared" si="93"/>
        <v>Water Heater_≥75 MBH, ≥88% TE _MF_UEF_gasbase</v>
      </c>
      <c r="B3291" s="303" t="s">
        <v>8</v>
      </c>
      <c r="C3291" s="304" t="s">
        <v>1293</v>
      </c>
      <c r="D3291" s="303" t="s">
        <v>553</v>
      </c>
      <c r="E3291" s="305" t="s">
        <v>383</v>
      </c>
      <c r="F3291" s="309"/>
      <c r="G3291" s="307">
        <f>0.6002-(0.0011*G3298)</f>
        <v>0.43519999999999992</v>
      </c>
      <c r="H3291" s="305" t="s">
        <v>1296</v>
      </c>
      <c r="I3291" s="305" t="s">
        <v>152</v>
      </c>
      <c r="J3291" s="305" t="s">
        <v>134</v>
      </c>
      <c r="K3291" s="305" t="s">
        <v>2379</v>
      </c>
    </row>
    <row r="3292" spans="1:11" x14ac:dyDescent="0.25">
      <c r="A3292" s="302" t="str">
        <f t="shared" si="93"/>
        <v>Water Heater_≥75 MBH, ≥88% TE _MF_UEF_Eff</v>
      </c>
      <c r="B3292" s="303" t="s">
        <v>8</v>
      </c>
      <c r="C3292" s="304" t="s">
        <v>1293</v>
      </c>
      <c r="D3292" s="303" t="s">
        <v>553</v>
      </c>
      <c r="E3292" s="305" t="s">
        <v>385</v>
      </c>
      <c r="F3292" s="309"/>
      <c r="G3292" s="307">
        <v>88</v>
      </c>
      <c r="H3292" s="305"/>
      <c r="I3292" s="305"/>
      <c r="J3292" s="305"/>
      <c r="K3292" s="305"/>
    </row>
    <row r="3293" spans="1:11" x14ac:dyDescent="0.25">
      <c r="A3293" s="302" t="str">
        <f t="shared" si="93"/>
        <v>Water Heater_≥75 MBH, ≥88% TE _MF_Conversion</v>
      </c>
      <c r="B3293" s="303" t="s">
        <v>8</v>
      </c>
      <c r="C3293" s="304" t="s">
        <v>1293</v>
      </c>
      <c r="D3293" s="303" t="s">
        <v>553</v>
      </c>
      <c r="E3293" s="305" t="s">
        <v>284</v>
      </c>
      <c r="F3293" s="309" t="s">
        <v>622</v>
      </c>
      <c r="G3293" s="325">
        <v>100000</v>
      </c>
      <c r="H3293" s="305"/>
      <c r="I3293" s="305" t="s">
        <v>152</v>
      </c>
      <c r="J3293" s="305" t="s">
        <v>134</v>
      </c>
      <c r="K3293" s="305" t="s">
        <v>2379</v>
      </c>
    </row>
    <row r="3294" spans="1:11" x14ac:dyDescent="0.25">
      <c r="A3294" s="302" t="str">
        <f t="shared" si="93"/>
        <v>Water Heater_≥75 MBH, ≥88% TE _MF_Delta_Therms</v>
      </c>
      <c r="B3294" s="303" t="s">
        <v>8</v>
      </c>
      <c r="C3294" s="304" t="s">
        <v>1293</v>
      </c>
      <c r="D3294" s="303" t="s">
        <v>553</v>
      </c>
      <c r="E3294" s="305" t="s">
        <v>386</v>
      </c>
      <c r="F3294" s="309"/>
      <c r="G3294" s="307">
        <f>((G3286-G3287)*G3288*G3289*G3290*((1/G3291)-(1/G3292)))/G3293</f>
        <v>1897.6695731079551</v>
      </c>
      <c r="H3294" s="305"/>
      <c r="I3294" s="305" t="s">
        <v>152</v>
      </c>
      <c r="J3294" s="305" t="s">
        <v>134</v>
      </c>
      <c r="K3294" s="305" t="s">
        <v>2379</v>
      </c>
    </row>
    <row r="3295" spans="1:11" x14ac:dyDescent="0.25">
      <c r="A3295" s="302" t="str">
        <f t="shared" si="93"/>
        <v>Water Heater_≥75 MBH, ≥88% TE _MF_Q</v>
      </c>
      <c r="B3295" s="303" t="s">
        <v>8</v>
      </c>
      <c r="C3295" s="304" t="s">
        <v>1293</v>
      </c>
      <c r="D3295" s="303" t="s">
        <v>553</v>
      </c>
      <c r="E3295" s="305" t="s">
        <v>387</v>
      </c>
      <c r="F3295" s="309" t="s">
        <v>479</v>
      </c>
      <c r="G3295" s="354">
        <v>250000</v>
      </c>
      <c r="H3295" s="305"/>
      <c r="I3295" s="305" t="s">
        <v>152</v>
      </c>
      <c r="J3295" s="305" t="s">
        <v>134</v>
      </c>
      <c r="K3295" s="305" t="s">
        <v>2379</v>
      </c>
    </row>
    <row r="3296" spans="1:11" x14ac:dyDescent="0.25">
      <c r="A3296" s="302" t="str">
        <f t="shared" si="93"/>
        <v>Water Heater_≥75 MBH, ≥88% TE _MF_800</v>
      </c>
      <c r="B3296" s="303" t="s">
        <v>8</v>
      </c>
      <c r="C3296" s="304" t="s">
        <v>1293</v>
      </c>
      <c r="D3296" s="303" t="s">
        <v>553</v>
      </c>
      <c r="E3296" s="305">
        <v>800</v>
      </c>
      <c r="F3296" s="309"/>
      <c r="G3296" s="354">
        <v>800</v>
      </c>
      <c r="H3296" s="305" t="s">
        <v>1268</v>
      </c>
      <c r="I3296" s="305" t="s">
        <v>152</v>
      </c>
      <c r="J3296" s="305" t="s">
        <v>134</v>
      </c>
      <c r="K3296" s="305" t="s">
        <v>2379</v>
      </c>
    </row>
    <row r="3297" spans="1:11" x14ac:dyDescent="0.25">
      <c r="A3297" s="302" t="str">
        <f t="shared" si="93"/>
        <v>Water Heater_≥75 MBH, ≥88% TE _MF_110</v>
      </c>
      <c r="B3297" s="303" t="s">
        <v>8</v>
      </c>
      <c r="C3297" s="304" t="s">
        <v>1293</v>
      </c>
      <c r="D3297" s="303" t="s">
        <v>553</v>
      </c>
      <c r="E3297" s="305">
        <v>110</v>
      </c>
      <c r="F3297" s="309"/>
      <c r="G3297" s="354">
        <v>110</v>
      </c>
      <c r="H3297" s="305" t="s">
        <v>1269</v>
      </c>
      <c r="I3297" s="305" t="s">
        <v>152</v>
      </c>
      <c r="J3297" s="305" t="s">
        <v>134</v>
      </c>
      <c r="K3297" s="305" t="s">
        <v>2379</v>
      </c>
    </row>
    <row r="3298" spans="1:11" x14ac:dyDescent="0.25">
      <c r="A3298" s="302" t="str">
        <f t="shared" si="93"/>
        <v>Water Heater_≥75 MBH, ≥88% TE _MF_V</v>
      </c>
      <c r="B3298" s="303" t="s">
        <v>8</v>
      </c>
      <c r="C3298" s="304" t="s">
        <v>1293</v>
      </c>
      <c r="D3298" s="303" t="s">
        <v>553</v>
      </c>
      <c r="E3298" s="305" t="s">
        <v>378</v>
      </c>
      <c r="F3298" s="309" t="s">
        <v>1072</v>
      </c>
      <c r="G3298" s="307">
        <v>150</v>
      </c>
      <c r="H3298" s="305"/>
      <c r="I3298" s="305" t="s">
        <v>152</v>
      </c>
      <c r="J3298" s="305" t="s">
        <v>134</v>
      </c>
      <c r="K3298" s="305" t="s">
        <v>2379</v>
      </c>
    </row>
    <row r="3299" spans="1:11" x14ac:dyDescent="0.25">
      <c r="A3299" s="302" t="str">
        <f t="shared" si="93"/>
        <v>Water Heater_≥75 MBH, ≥88% TE _MF_SL_gasbase</v>
      </c>
      <c r="B3299" s="303" t="s">
        <v>8</v>
      </c>
      <c r="C3299" s="304" t="s">
        <v>1293</v>
      </c>
      <c r="D3299" s="303" t="s">
        <v>553</v>
      </c>
      <c r="E3299" s="305" t="s">
        <v>388</v>
      </c>
      <c r="F3299" s="309"/>
      <c r="G3299" s="307">
        <f>(G3295/G3296)+G3297*SQRT(G3298)</f>
        <v>1659.719358530748</v>
      </c>
      <c r="H3299" s="305"/>
      <c r="I3299" s="305" t="s">
        <v>152</v>
      </c>
      <c r="J3299" s="305" t="s">
        <v>134</v>
      </c>
      <c r="K3299" s="305" t="s">
        <v>2379</v>
      </c>
    </row>
    <row r="3300" spans="1:11" x14ac:dyDescent="0.25">
      <c r="A3300" s="302" t="str">
        <f t="shared" si="93"/>
        <v>Water Heater_≥75 MBH, ≥88% TE _MF_SL_eff</v>
      </c>
      <c r="B3300" s="303" t="s">
        <v>8</v>
      </c>
      <c r="C3300" s="304" t="s">
        <v>1293</v>
      </c>
      <c r="D3300" s="303" t="s">
        <v>553</v>
      </c>
      <c r="E3300" s="305" t="s">
        <v>379</v>
      </c>
      <c r="F3300" s="309"/>
      <c r="G3300" s="307">
        <v>1029</v>
      </c>
      <c r="H3300" s="305" t="s">
        <v>366</v>
      </c>
      <c r="I3300" s="305" t="s">
        <v>152</v>
      </c>
      <c r="J3300" s="305" t="s">
        <v>134</v>
      </c>
      <c r="K3300" s="305" t="s">
        <v>2379</v>
      </c>
    </row>
    <row r="3301" spans="1:11" x14ac:dyDescent="0.25">
      <c r="A3301" s="302" t="str">
        <f t="shared" si="93"/>
        <v>Water Heater_≥75 MBH, ≥88% TE _MF_Conversion</v>
      </c>
      <c r="B3301" s="303" t="s">
        <v>8</v>
      </c>
      <c r="C3301" s="304" t="s">
        <v>1293</v>
      </c>
      <c r="D3301" s="303" t="s">
        <v>553</v>
      </c>
      <c r="E3301" s="305" t="s">
        <v>284</v>
      </c>
      <c r="F3301" s="309" t="s">
        <v>1259</v>
      </c>
      <c r="G3301" s="354">
        <v>8766</v>
      </c>
      <c r="H3301" s="305"/>
      <c r="I3301" s="305" t="s">
        <v>152</v>
      </c>
      <c r="J3301" s="305" t="s">
        <v>134</v>
      </c>
      <c r="K3301" s="305" t="s">
        <v>2379</v>
      </c>
    </row>
    <row r="3302" spans="1:11" x14ac:dyDescent="0.25">
      <c r="A3302" s="302" t="str">
        <f t="shared" si="93"/>
        <v>Water Heater_≥75 MBH, ≥88% TE _MF_Delta_Therms_Standby</v>
      </c>
      <c r="B3302" s="303" t="s">
        <v>8</v>
      </c>
      <c r="C3302" s="304" t="s">
        <v>1293</v>
      </c>
      <c r="D3302" s="303" t="s">
        <v>553</v>
      </c>
      <c r="E3302" s="305" t="s">
        <v>389</v>
      </c>
      <c r="F3302" s="309"/>
      <c r="G3302" s="307">
        <f>((G3299-G3300)*G3301)/G3293</f>
        <v>55.288858968805364</v>
      </c>
      <c r="H3302" s="305"/>
      <c r="I3302" s="305" t="s">
        <v>152</v>
      </c>
      <c r="J3302" s="305" t="s">
        <v>134</v>
      </c>
      <c r="K3302" s="305" t="s">
        <v>2379</v>
      </c>
    </row>
    <row r="3303" spans="1:11" x14ac:dyDescent="0.25">
      <c r="A3303" s="302" t="str">
        <f t="shared" si="93"/>
        <v>Water Heater_≥75 MBH, ≥88% TE _MF_Therm Saved per Unit</v>
      </c>
      <c r="B3303" s="303" t="s">
        <v>8</v>
      </c>
      <c r="C3303" s="304" t="s">
        <v>1293</v>
      </c>
      <c r="D3303" s="303" t="s">
        <v>553</v>
      </c>
      <c r="E3303" s="314" t="s">
        <v>326</v>
      </c>
      <c r="F3303" s="326" t="s">
        <v>1297</v>
      </c>
      <c r="G3303" s="326">
        <f>(G3294+G3302)/(G3295/1000)</f>
        <v>7.8118337283070423</v>
      </c>
      <c r="H3303" s="305" t="s">
        <v>1298</v>
      </c>
      <c r="I3303" s="305" t="s">
        <v>152</v>
      </c>
      <c r="J3303" s="305" t="s">
        <v>134</v>
      </c>
      <c r="K3303" s="305" t="s">
        <v>2379</v>
      </c>
    </row>
    <row r="3304" spans="1:11" x14ac:dyDescent="0.25">
      <c r="A3304" s="302" t="str">
        <f t="shared" si="93"/>
        <v>Water Heater_≥75 MBH, ≥88% TE _MF_Lifetime (years)</v>
      </c>
      <c r="B3304" s="303" t="s">
        <v>8</v>
      </c>
      <c r="C3304" s="304" t="s">
        <v>1293</v>
      </c>
      <c r="D3304" s="303" t="s">
        <v>553</v>
      </c>
      <c r="E3304" s="314" t="s">
        <v>259</v>
      </c>
      <c r="F3304" s="326"/>
      <c r="G3304" s="326">
        <v>15</v>
      </c>
      <c r="H3304" s="305" t="s">
        <v>391</v>
      </c>
      <c r="I3304" s="305" t="s">
        <v>152</v>
      </c>
      <c r="J3304" s="305" t="s">
        <v>134</v>
      </c>
      <c r="K3304" s="305" t="s">
        <v>2379</v>
      </c>
    </row>
    <row r="3305" spans="1:11" x14ac:dyDescent="0.25">
      <c r="A3305" s="302" t="str">
        <f t="shared" si="93"/>
        <v>Water Heater_≥75 MBH, ≥88% TE _MF_Incremental Cost</v>
      </c>
      <c r="B3305" s="303" t="s">
        <v>8</v>
      </c>
      <c r="C3305" s="304" t="s">
        <v>1293</v>
      </c>
      <c r="D3305" s="303" t="s">
        <v>553</v>
      </c>
      <c r="E3305" s="314" t="s">
        <v>260</v>
      </c>
      <c r="F3305" s="326" t="s">
        <v>1297</v>
      </c>
      <c r="G3305" s="326">
        <f>879/(G3295/1000)</f>
        <v>3.516</v>
      </c>
      <c r="H3305" s="305" t="s">
        <v>392</v>
      </c>
      <c r="I3305" s="305" t="s">
        <v>152</v>
      </c>
      <c r="J3305" s="305" t="s">
        <v>134</v>
      </c>
      <c r="K3305" s="305" t="s">
        <v>2379</v>
      </c>
    </row>
    <row r="3306" spans="1:11" x14ac:dyDescent="0.25">
      <c r="A3306" s="317" t="str">
        <f t="shared" si="93"/>
        <v>Water Heater_≥75 MBH, ≥88% TE _MF_</v>
      </c>
      <c r="B3306" s="317" t="s">
        <v>8</v>
      </c>
      <c r="C3306" s="332" t="s">
        <v>1293</v>
      </c>
      <c r="D3306" s="317" t="str">
        <f>D3305</f>
        <v>MF</v>
      </c>
      <c r="E3306" s="317"/>
      <c r="F3306" s="317"/>
      <c r="G3306" s="323"/>
      <c r="H3306" s="320"/>
      <c r="I3306" s="320"/>
      <c r="J3306" s="317"/>
      <c r="K3306" s="317"/>
    </row>
    <row r="3307" spans="1:11" x14ac:dyDescent="0.25">
      <c r="A3307" s="302" t="str">
        <f t="shared" si="93"/>
        <v>Steam Boiler_&gt;=300MBH, &lt;1,500, &gt;=81% AFUE_MF_EFLH</v>
      </c>
      <c r="B3307" s="303" t="s">
        <v>938</v>
      </c>
      <c r="C3307" s="304" t="s">
        <v>1300</v>
      </c>
      <c r="D3307" s="303" t="s">
        <v>553</v>
      </c>
      <c r="E3307" s="305" t="s">
        <v>321</v>
      </c>
      <c r="F3307" s="305" t="s">
        <v>283</v>
      </c>
      <c r="G3307" s="325">
        <v>1661</v>
      </c>
      <c r="H3307" s="305" t="s">
        <v>1301</v>
      </c>
      <c r="I3307" s="305" t="s">
        <v>152</v>
      </c>
      <c r="J3307" s="305" t="s">
        <v>910</v>
      </c>
      <c r="K3307" s="305"/>
    </row>
    <row r="3308" spans="1:11" x14ac:dyDescent="0.25">
      <c r="A3308" s="302" t="str">
        <f t="shared" si="93"/>
        <v>Steam Boiler_&gt;=300MBH, &lt;1,500, &gt;=81% AFUE_MF_Capacity</v>
      </c>
      <c r="B3308" s="303" t="s">
        <v>938</v>
      </c>
      <c r="C3308" s="304" t="s">
        <v>1300</v>
      </c>
      <c r="D3308" s="303" t="s">
        <v>553</v>
      </c>
      <c r="E3308" s="305" t="s">
        <v>270</v>
      </c>
      <c r="F3308" s="305" t="s">
        <v>941</v>
      </c>
      <c r="G3308" s="339">
        <v>1000</v>
      </c>
      <c r="H3308" s="305"/>
      <c r="I3308" s="305"/>
      <c r="J3308" s="305"/>
      <c r="K3308" s="305"/>
    </row>
    <row r="3309" spans="1:11" x14ac:dyDescent="0.25">
      <c r="A3309" s="302" t="str">
        <f t="shared" si="93"/>
        <v>Steam Boiler_&gt;=300MBH, &lt;1,500, &gt;=81% AFUE_MF_Eff_base</v>
      </c>
      <c r="B3309" s="303" t="s">
        <v>938</v>
      </c>
      <c r="C3309" s="304" t="s">
        <v>1300</v>
      </c>
      <c r="D3309" s="303" t="s">
        <v>553</v>
      </c>
      <c r="E3309" s="311" t="s">
        <v>372</v>
      </c>
      <c r="F3309" s="311" t="s">
        <v>539</v>
      </c>
      <c r="G3309" s="322">
        <v>0.81</v>
      </c>
      <c r="H3309" s="311" t="s">
        <v>2556</v>
      </c>
      <c r="I3309" s="305" t="s">
        <v>152</v>
      </c>
      <c r="J3309" s="305" t="s">
        <v>133</v>
      </c>
      <c r="K3309" s="305" t="s">
        <v>2038</v>
      </c>
    </row>
    <row r="3310" spans="1:11" x14ac:dyDescent="0.25">
      <c r="A3310" s="302" t="str">
        <f t="shared" si="93"/>
        <v>Steam Boiler_&gt;=300MBH, &lt;1,500, &gt;=81% AFUE_MF_Eff_ee</v>
      </c>
      <c r="B3310" s="303" t="s">
        <v>938</v>
      </c>
      <c r="C3310" s="304" t="s">
        <v>1300</v>
      </c>
      <c r="D3310" s="303" t="s">
        <v>553</v>
      </c>
      <c r="E3310" s="311" t="s">
        <v>373</v>
      </c>
      <c r="F3310" s="311" t="s">
        <v>539</v>
      </c>
      <c r="G3310" s="322">
        <v>0.83</v>
      </c>
      <c r="H3310" s="311" t="str">
        <f>H3309</f>
        <v>Steam Boiler &gt; 300,000 Btu/h and &lt; 2,500,000 Btu/h</v>
      </c>
      <c r="I3310" s="305" t="s">
        <v>152</v>
      </c>
      <c r="J3310" s="305" t="s">
        <v>133</v>
      </c>
      <c r="K3310" s="305" t="s">
        <v>2038</v>
      </c>
    </row>
    <row r="3311" spans="1:11" x14ac:dyDescent="0.25">
      <c r="A3311" s="302" t="str">
        <f t="shared" si="93"/>
        <v>Steam Boiler_&gt;=300MBH, &lt;1,500, &gt;=81% AFUE_MF_Conversion</v>
      </c>
      <c r="B3311" s="303" t="s">
        <v>938</v>
      </c>
      <c r="C3311" s="304" t="s">
        <v>1300</v>
      </c>
      <c r="D3311" s="303" t="s">
        <v>553</v>
      </c>
      <c r="E3311" s="305" t="s">
        <v>284</v>
      </c>
      <c r="F3311" s="309" t="s">
        <v>622</v>
      </c>
      <c r="G3311" s="325">
        <v>100000</v>
      </c>
      <c r="H3311" s="305"/>
      <c r="I3311" s="305" t="s">
        <v>152</v>
      </c>
      <c r="J3311" s="305" t="s">
        <v>133</v>
      </c>
      <c r="K3311" s="305" t="s">
        <v>2038</v>
      </c>
    </row>
    <row r="3312" spans="1:11" x14ac:dyDescent="0.25">
      <c r="A3312" s="302" t="str">
        <f t="shared" si="93"/>
        <v>Steam Boiler_&gt;=300MBH, &lt;1,500, &gt;=81% AFUE_MF_Therm Saved per Unit</v>
      </c>
      <c r="B3312" s="303" t="s">
        <v>938</v>
      </c>
      <c r="C3312" s="304" t="s">
        <v>1300</v>
      </c>
      <c r="D3312" s="303" t="s">
        <v>553</v>
      </c>
      <c r="E3312" s="314" t="s">
        <v>326</v>
      </c>
      <c r="F3312" s="314" t="s">
        <v>943</v>
      </c>
      <c r="G3312" s="315">
        <f>G3307*G3308*((G3310-G3309)/G3309)/G3311</f>
        <v>0.41012345679012158</v>
      </c>
      <c r="H3312" s="305"/>
      <c r="I3312" s="305" t="s">
        <v>152</v>
      </c>
      <c r="J3312" s="305" t="s">
        <v>133</v>
      </c>
      <c r="K3312" s="305" t="s">
        <v>2038</v>
      </c>
    </row>
    <row r="3313" spans="1:11" x14ac:dyDescent="0.25">
      <c r="A3313" s="302" t="str">
        <f t="shared" si="93"/>
        <v>Steam Boiler_&gt;=300MBH, &lt;1,500, &gt;=81% AFUE_MF_Lifetime (years)</v>
      </c>
      <c r="B3313" s="303" t="s">
        <v>938</v>
      </c>
      <c r="C3313" s="304" t="s">
        <v>1300</v>
      </c>
      <c r="D3313" s="303" t="s">
        <v>553</v>
      </c>
      <c r="E3313" s="314" t="s">
        <v>259</v>
      </c>
      <c r="F3313" s="314" t="s">
        <v>548</v>
      </c>
      <c r="G3313" s="315">
        <v>25</v>
      </c>
      <c r="H3313" s="305"/>
      <c r="I3313" s="305" t="s">
        <v>152</v>
      </c>
      <c r="J3313" s="305" t="s">
        <v>133</v>
      </c>
      <c r="K3313" s="305" t="s">
        <v>2038</v>
      </c>
    </row>
    <row r="3314" spans="1:11" x14ac:dyDescent="0.25">
      <c r="A3314" s="302" t="str">
        <f t="shared" si="93"/>
        <v>Steam Boiler_&gt;=300MBH, &lt;1,500, &gt;=81% AFUE_MF_Incremental Cost</v>
      </c>
      <c r="B3314" s="303" t="s">
        <v>938</v>
      </c>
      <c r="C3314" s="304" t="s">
        <v>1300</v>
      </c>
      <c r="D3314" s="303" t="s">
        <v>553</v>
      </c>
      <c r="E3314" s="314" t="s">
        <v>260</v>
      </c>
      <c r="F3314" s="314" t="s">
        <v>679</v>
      </c>
      <c r="G3314" s="328">
        <v>4.9000000000000004</v>
      </c>
      <c r="H3314" s="305" t="s">
        <v>633</v>
      </c>
      <c r="I3314" s="305" t="s">
        <v>633</v>
      </c>
      <c r="J3314" s="305"/>
      <c r="K3314" s="305"/>
    </row>
    <row r="3315" spans="1:11" x14ac:dyDescent="0.25">
      <c r="A3315" s="317" t="str">
        <f t="shared" si="93"/>
        <v>Steam Boiler_&gt;=300MBH, &lt;1,500, &gt;=81% AFUE_MF_</v>
      </c>
      <c r="B3315" s="317" t="str">
        <f>B3314</f>
        <v>Steam Boiler</v>
      </c>
      <c r="C3315" s="332" t="str">
        <f>C3314</f>
        <v>&gt;=300MBH, &lt;1,500, &gt;=81% AFUE</v>
      </c>
      <c r="D3315" s="317" t="str">
        <f>D3314</f>
        <v>MF</v>
      </c>
      <c r="E3315" s="320"/>
      <c r="F3315" s="320"/>
      <c r="G3315" s="329"/>
      <c r="H3315" s="320"/>
      <c r="I3315" s="320"/>
      <c r="J3315" s="320"/>
      <c r="K3315" s="320"/>
    </row>
    <row r="3316" spans="1:11" x14ac:dyDescent="0.25">
      <c r="A3316" s="302" t="str">
        <f t="shared" si="93"/>
        <v>Steam Boiler_&gt;=300MBH, &lt;1,500, &gt;=81% AFUE_CI_EFLH</v>
      </c>
      <c r="B3316" s="303" t="s">
        <v>938</v>
      </c>
      <c r="C3316" s="304" t="s">
        <v>1300</v>
      </c>
      <c r="D3316" s="303" t="s">
        <v>1159</v>
      </c>
      <c r="E3316" s="305" t="s">
        <v>321</v>
      </c>
      <c r="F3316" s="305" t="s">
        <v>283</v>
      </c>
      <c r="G3316" s="325">
        <v>1661</v>
      </c>
      <c r="H3316" s="305" t="s">
        <v>1301</v>
      </c>
      <c r="I3316" s="305" t="s">
        <v>152</v>
      </c>
      <c r="J3316" s="305" t="s">
        <v>910</v>
      </c>
      <c r="K3316" s="305"/>
    </row>
    <row r="3317" spans="1:11" x14ac:dyDescent="0.25">
      <c r="A3317" s="302" t="str">
        <f t="shared" si="93"/>
        <v>Steam Boiler_&gt;=300MBH, &lt;1,500, &gt;=81% AFUE_CI_Capacity</v>
      </c>
      <c r="B3317" s="303" t="s">
        <v>938</v>
      </c>
      <c r="C3317" s="304" t="s">
        <v>1300</v>
      </c>
      <c r="D3317" s="303" t="s">
        <v>1159</v>
      </c>
      <c r="E3317" s="305" t="s">
        <v>270</v>
      </c>
      <c r="F3317" s="309"/>
      <c r="G3317" s="339">
        <v>1000</v>
      </c>
      <c r="H3317" s="305"/>
      <c r="I3317" s="305"/>
      <c r="J3317" s="305"/>
      <c r="K3317" s="305"/>
    </row>
    <row r="3318" spans="1:11" x14ac:dyDescent="0.25">
      <c r="A3318" s="302" t="str">
        <f t="shared" si="93"/>
        <v>Steam Boiler_&gt;=300MBH, &lt;1,500, &gt;=81% AFUE_CI_Eff_base</v>
      </c>
      <c r="B3318" s="303" t="s">
        <v>938</v>
      </c>
      <c r="C3318" s="304" t="s">
        <v>1300</v>
      </c>
      <c r="D3318" s="303" t="s">
        <v>1159</v>
      </c>
      <c r="E3318" s="311" t="s">
        <v>372</v>
      </c>
      <c r="F3318" s="311" t="s">
        <v>539</v>
      </c>
      <c r="G3318" s="322">
        <v>0.81</v>
      </c>
      <c r="H3318" s="311" t="s">
        <v>2556</v>
      </c>
      <c r="I3318" s="305" t="s">
        <v>152</v>
      </c>
      <c r="J3318" s="305" t="s">
        <v>133</v>
      </c>
      <c r="K3318" s="305" t="s">
        <v>2038</v>
      </c>
    </row>
    <row r="3319" spans="1:11" x14ac:dyDescent="0.25">
      <c r="A3319" s="302" t="str">
        <f t="shared" si="93"/>
        <v>Steam Boiler_&gt;=300MBH, &lt;1,500, &gt;=81% AFUE_CI_Eff_ee</v>
      </c>
      <c r="B3319" s="303" t="s">
        <v>938</v>
      </c>
      <c r="C3319" s="304" t="s">
        <v>1300</v>
      </c>
      <c r="D3319" s="303" t="s">
        <v>1159</v>
      </c>
      <c r="E3319" s="311" t="s">
        <v>373</v>
      </c>
      <c r="F3319" s="311" t="s">
        <v>539</v>
      </c>
      <c r="G3319" s="322">
        <v>0.83</v>
      </c>
      <c r="H3319" s="311" t="str">
        <f>H3318</f>
        <v>Steam Boiler &gt; 300,000 Btu/h and &lt; 2,500,000 Btu/h</v>
      </c>
      <c r="I3319" s="305" t="s">
        <v>152</v>
      </c>
      <c r="J3319" s="305" t="s">
        <v>133</v>
      </c>
      <c r="K3319" s="305" t="s">
        <v>2038</v>
      </c>
    </row>
    <row r="3320" spans="1:11" x14ac:dyDescent="0.25">
      <c r="A3320" s="302" t="str">
        <f t="shared" si="93"/>
        <v>Steam Boiler_&gt;=300MBH, &lt;1,500, &gt;=81% AFUE_CI_Conversion</v>
      </c>
      <c r="B3320" s="303" t="s">
        <v>938</v>
      </c>
      <c r="C3320" s="304" t="s">
        <v>1300</v>
      </c>
      <c r="D3320" s="303" t="s">
        <v>1159</v>
      </c>
      <c r="E3320" s="305" t="s">
        <v>284</v>
      </c>
      <c r="F3320" s="309" t="s">
        <v>622</v>
      </c>
      <c r="G3320" s="325">
        <v>100000</v>
      </c>
      <c r="H3320" s="305"/>
      <c r="I3320" s="305" t="s">
        <v>152</v>
      </c>
      <c r="J3320" s="305" t="s">
        <v>133</v>
      </c>
      <c r="K3320" s="305" t="s">
        <v>2038</v>
      </c>
    </row>
    <row r="3321" spans="1:11" x14ac:dyDescent="0.25">
      <c r="A3321" s="302" t="str">
        <f t="shared" si="93"/>
        <v>Steam Boiler_&gt;=300MBH, &lt;1,500, &gt;=81% AFUE_CI_Therm Saved per Unit</v>
      </c>
      <c r="B3321" s="303" t="s">
        <v>938</v>
      </c>
      <c r="C3321" s="304" t="s">
        <v>1300</v>
      </c>
      <c r="D3321" s="303" t="s">
        <v>1159</v>
      </c>
      <c r="E3321" s="314" t="s">
        <v>326</v>
      </c>
      <c r="F3321" s="326"/>
      <c r="G3321" s="336">
        <f xml:space="preserve"> G3316 * G3317 * ((G3319 - G3318) / G3318) / G3320</f>
        <v>0.41012345679012158</v>
      </c>
      <c r="H3321" s="305"/>
      <c r="I3321" s="305" t="s">
        <v>152</v>
      </c>
      <c r="J3321" s="305" t="s">
        <v>133</v>
      </c>
      <c r="K3321" s="305" t="s">
        <v>2038</v>
      </c>
    </row>
    <row r="3322" spans="1:11" x14ac:dyDescent="0.25">
      <c r="A3322" s="302" t="str">
        <f t="shared" si="93"/>
        <v>Steam Boiler_&gt;=300MBH, &lt;1,500, &gt;=81% AFUE_CI_Lifetime (years)</v>
      </c>
      <c r="B3322" s="303" t="s">
        <v>938</v>
      </c>
      <c r="C3322" s="304" t="s">
        <v>1300</v>
      </c>
      <c r="D3322" s="303" t="s">
        <v>1159</v>
      </c>
      <c r="E3322" s="314" t="s">
        <v>259</v>
      </c>
      <c r="F3322" s="326"/>
      <c r="G3322" s="315">
        <v>25</v>
      </c>
      <c r="H3322" s="305"/>
      <c r="I3322" s="305" t="s">
        <v>152</v>
      </c>
      <c r="J3322" s="305" t="s">
        <v>133</v>
      </c>
      <c r="K3322" s="305" t="s">
        <v>2038</v>
      </c>
    </row>
    <row r="3323" spans="1:11" x14ac:dyDescent="0.25">
      <c r="A3323" s="302" t="str">
        <f t="shared" si="93"/>
        <v>Steam Boiler_&gt;=300MBH, &lt;1,500, &gt;=81% AFUE_CI_Incremental Cost</v>
      </c>
      <c r="B3323" s="303" t="s">
        <v>938</v>
      </c>
      <c r="C3323" s="304" t="s">
        <v>1300</v>
      </c>
      <c r="D3323" s="303" t="s">
        <v>1159</v>
      </c>
      <c r="E3323" s="314" t="s">
        <v>260</v>
      </c>
      <c r="F3323" s="314" t="s">
        <v>679</v>
      </c>
      <c r="G3323" s="328">
        <v>4.9000000000000004</v>
      </c>
      <c r="H3323" s="305" t="s">
        <v>633</v>
      </c>
      <c r="I3323" s="305" t="s">
        <v>633</v>
      </c>
      <c r="J3323" s="305"/>
      <c r="K3323" s="305"/>
    </row>
    <row r="3324" spans="1:11" x14ac:dyDescent="0.25">
      <c r="A3324" s="317" t="str">
        <f t="shared" si="93"/>
        <v>Steam Boiler_&gt;=300MBH, &lt;1,500, &gt;=81% AFUE_CI_</v>
      </c>
      <c r="B3324" s="317" t="str">
        <f>B3323</f>
        <v>Steam Boiler</v>
      </c>
      <c r="C3324" s="332" t="str">
        <f>C3323</f>
        <v>&gt;=300MBH, &lt;1,500, &gt;=81% AFUE</v>
      </c>
      <c r="D3324" s="317" t="str">
        <f>D3323</f>
        <v>CI</v>
      </c>
      <c r="E3324" s="320"/>
      <c r="F3324" s="320"/>
      <c r="G3324" s="329"/>
      <c r="H3324" s="320"/>
      <c r="I3324" s="320"/>
      <c r="J3324" s="320"/>
      <c r="K3324" s="320"/>
    </row>
    <row r="3325" spans="1:11" x14ac:dyDescent="0.25">
      <c r="A3325" s="302" t="str">
        <f t="shared" si="93"/>
        <v>Small Commercial Advanced Thermostat_0_CI_kBtu/hrheat</v>
      </c>
      <c r="B3325" s="303" t="s">
        <v>1302</v>
      </c>
      <c r="C3325" s="304">
        <v>0</v>
      </c>
      <c r="D3325" s="303" t="s">
        <v>1159</v>
      </c>
      <c r="E3325" s="305" t="s">
        <v>414</v>
      </c>
      <c r="F3325" s="309"/>
      <c r="G3325" s="307">
        <v>0</v>
      </c>
      <c r="H3325" s="305" t="s">
        <v>422</v>
      </c>
      <c r="I3325" s="305" t="s">
        <v>152</v>
      </c>
      <c r="J3325" s="305" t="s">
        <v>236</v>
      </c>
      <c r="K3325" s="305" t="s">
        <v>2179</v>
      </c>
    </row>
    <row r="3326" spans="1:11" x14ac:dyDescent="0.25">
      <c r="A3326" s="302" t="str">
        <f t="shared" si="93"/>
        <v>Small Commercial Advanced Thermostat_0_CI_HSPF</v>
      </c>
      <c r="B3326" s="303" t="s">
        <v>1302</v>
      </c>
      <c r="C3326" s="304">
        <v>0</v>
      </c>
      <c r="D3326" s="303" t="s">
        <v>1159</v>
      </c>
      <c r="E3326" s="305" t="s">
        <v>423</v>
      </c>
      <c r="F3326" s="309"/>
      <c r="G3326" s="307">
        <v>8.1999999999999993</v>
      </c>
      <c r="H3326" s="305"/>
      <c r="I3326" s="305" t="s">
        <v>152</v>
      </c>
      <c r="J3326" s="305" t="s">
        <v>236</v>
      </c>
      <c r="K3326" s="305" t="s">
        <v>2179</v>
      </c>
    </row>
    <row r="3327" spans="1:11" x14ac:dyDescent="0.25">
      <c r="A3327" s="302" t="str">
        <f t="shared" si="93"/>
        <v>Small Commercial Advanced Thermostat_0_CI_EFLH Heat</v>
      </c>
      <c r="B3327" s="303" t="s">
        <v>1302</v>
      </c>
      <c r="C3327" s="304">
        <v>0</v>
      </c>
      <c r="D3327" s="303" t="s">
        <v>1159</v>
      </c>
      <c r="E3327" s="305" t="s">
        <v>1184</v>
      </c>
      <c r="F3327" s="305" t="s">
        <v>283</v>
      </c>
      <c r="G3327" s="325">
        <v>1678</v>
      </c>
      <c r="H3327" s="305" t="s">
        <v>747</v>
      </c>
      <c r="I3327" s="305" t="s">
        <v>152</v>
      </c>
      <c r="J3327" s="305" t="s">
        <v>236</v>
      </c>
      <c r="K3327" s="305" t="s">
        <v>2179</v>
      </c>
    </row>
    <row r="3328" spans="1:11" x14ac:dyDescent="0.25">
      <c r="A3328" s="302" t="str">
        <f t="shared" si="93"/>
        <v>Small Commercial Advanced Thermostat_0_CI_Heating_Reduction</v>
      </c>
      <c r="B3328" s="303" t="s">
        <v>1302</v>
      </c>
      <c r="C3328" s="304">
        <v>0</v>
      </c>
      <c r="D3328" s="303" t="s">
        <v>1159</v>
      </c>
      <c r="E3328" s="305" t="s">
        <v>424</v>
      </c>
      <c r="F3328" s="309"/>
      <c r="G3328" s="393">
        <v>8.7999999999999995E-2</v>
      </c>
      <c r="H3328" s="305"/>
      <c r="I3328" s="305" t="s">
        <v>152</v>
      </c>
      <c r="J3328" s="305" t="s">
        <v>236</v>
      </c>
      <c r="K3328" s="305" t="s">
        <v>2179</v>
      </c>
    </row>
    <row r="3329" spans="1:11" x14ac:dyDescent="0.25">
      <c r="A3329" s="302" t="str">
        <f t="shared" si="93"/>
        <v>Small Commercial Advanced Thermostat_0_CI_Delta_Therms</v>
      </c>
      <c r="B3329" s="303" t="s">
        <v>1302</v>
      </c>
      <c r="C3329" s="304">
        <v>0</v>
      </c>
      <c r="D3329" s="303" t="s">
        <v>1159</v>
      </c>
      <c r="E3329" s="305" t="s">
        <v>386</v>
      </c>
      <c r="F3329" s="309"/>
      <c r="G3329" s="307">
        <f>G3351</f>
        <v>157.01113119999999</v>
      </c>
      <c r="H3329" s="305"/>
      <c r="I3329" s="305" t="s">
        <v>152</v>
      </c>
      <c r="J3329" s="305" t="s">
        <v>236</v>
      </c>
      <c r="K3329" s="305" t="s">
        <v>2179</v>
      </c>
    </row>
    <row r="3330" spans="1:11" x14ac:dyDescent="0.25">
      <c r="A3330" s="302" t="str">
        <f t="shared" si="93"/>
        <v>Small Commercial Advanced Thermostat_0_CI_Fe</v>
      </c>
      <c r="B3330" s="303" t="s">
        <v>1302</v>
      </c>
      <c r="C3330" s="304">
        <v>0</v>
      </c>
      <c r="D3330" s="303" t="s">
        <v>1159</v>
      </c>
      <c r="E3330" s="305" t="s">
        <v>425</v>
      </c>
      <c r="F3330" s="309"/>
      <c r="G3330" s="307">
        <v>3.1399999999999997E-2</v>
      </c>
      <c r="H3330" s="305"/>
      <c r="I3330" s="305" t="s">
        <v>152</v>
      </c>
      <c r="J3330" s="305" t="s">
        <v>236</v>
      </c>
      <c r="K3330" s="305" t="s">
        <v>2179</v>
      </c>
    </row>
    <row r="3331" spans="1:11" x14ac:dyDescent="0.25">
      <c r="A3331" s="302" t="str">
        <f t="shared" si="93"/>
        <v>Small Commercial Advanced Thermostat_0_CI_Conversion</v>
      </c>
      <c r="B3331" s="303" t="s">
        <v>1302</v>
      </c>
      <c r="C3331" s="304">
        <v>0</v>
      </c>
      <c r="D3331" s="303" t="s">
        <v>1159</v>
      </c>
      <c r="E3331" s="305" t="s">
        <v>284</v>
      </c>
      <c r="F3331" s="309" t="s">
        <v>611</v>
      </c>
      <c r="G3331" s="307">
        <v>29.3</v>
      </c>
      <c r="H3331" s="305"/>
      <c r="I3331" s="305" t="s">
        <v>152</v>
      </c>
      <c r="J3331" s="305" t="s">
        <v>236</v>
      </c>
      <c r="K3331" s="305" t="s">
        <v>2179</v>
      </c>
    </row>
    <row r="3332" spans="1:11" x14ac:dyDescent="0.25">
      <c r="A3332" s="302" t="str">
        <f t="shared" si="93"/>
        <v>Small Commercial Advanced Thermostat_0_CI_Delta_kWh_heating</v>
      </c>
      <c r="B3332" s="303" t="s">
        <v>1302</v>
      </c>
      <c r="C3332" s="304">
        <v>0</v>
      </c>
      <c r="D3332" s="303" t="s">
        <v>1159</v>
      </c>
      <c r="E3332" s="305" t="s">
        <v>426</v>
      </c>
      <c r="F3332" s="309"/>
      <c r="G3332" s="307">
        <f xml:space="preserve"> (G3325 * 1/G3326 * G3327 * G3328) + (G3329 * G3330 * G3331)</f>
        <v>144.45338092662399</v>
      </c>
      <c r="H3332" s="305"/>
      <c r="I3332" s="305" t="s">
        <v>152</v>
      </c>
      <c r="J3332" s="305" t="s">
        <v>236</v>
      </c>
      <c r="K3332" s="305" t="s">
        <v>2179</v>
      </c>
    </row>
    <row r="3333" spans="1:11" x14ac:dyDescent="0.25">
      <c r="A3333" s="302" t="str">
        <f t="shared" si="93"/>
        <v>Small Commercial Advanced Thermostat_0_CI_kBtu/hrcool</v>
      </c>
      <c r="B3333" s="303" t="s">
        <v>1302</v>
      </c>
      <c r="C3333" s="304">
        <v>0</v>
      </c>
      <c r="D3333" s="303" t="s">
        <v>1159</v>
      </c>
      <c r="E3333" s="305" t="s">
        <v>413</v>
      </c>
      <c r="F3333" s="309"/>
      <c r="G3333" s="307">
        <v>100</v>
      </c>
      <c r="H3333" s="305"/>
      <c r="I3333" s="305" t="s">
        <v>152</v>
      </c>
      <c r="J3333" s="305" t="s">
        <v>236</v>
      </c>
      <c r="K3333" s="305" t="s">
        <v>2179</v>
      </c>
    </row>
    <row r="3334" spans="1:11" x14ac:dyDescent="0.25">
      <c r="A3334" s="302" t="str">
        <f t="shared" si="93"/>
        <v>Small Commercial Advanced Thermostat_0_CI_SEER</v>
      </c>
      <c r="B3334" s="303" t="s">
        <v>1302</v>
      </c>
      <c r="C3334" s="304">
        <v>0</v>
      </c>
      <c r="D3334" s="303" t="s">
        <v>1159</v>
      </c>
      <c r="E3334" s="305" t="s">
        <v>271</v>
      </c>
      <c r="F3334" s="309"/>
      <c r="G3334" s="307">
        <v>14</v>
      </c>
      <c r="H3334" s="305"/>
      <c r="I3334" s="305" t="s">
        <v>152</v>
      </c>
      <c r="J3334" s="305" t="s">
        <v>236</v>
      </c>
      <c r="K3334" s="305" t="s">
        <v>2179</v>
      </c>
    </row>
    <row r="3335" spans="1:11" x14ac:dyDescent="0.25">
      <c r="A3335" s="302" t="str">
        <f t="shared" si="93"/>
        <v>Small Commercial Advanced Thermostat_0_CI_EFLH Cooling</v>
      </c>
      <c r="B3335" s="303" t="s">
        <v>1302</v>
      </c>
      <c r="C3335" s="304">
        <v>0</v>
      </c>
      <c r="D3335" s="303" t="s">
        <v>1159</v>
      </c>
      <c r="E3335" s="305" t="s">
        <v>261</v>
      </c>
      <c r="F3335" s="309"/>
      <c r="G3335" s="354">
        <v>1019</v>
      </c>
      <c r="H3335" s="305" t="s">
        <v>747</v>
      </c>
      <c r="I3335" s="305" t="s">
        <v>152</v>
      </c>
      <c r="J3335" s="305" t="s">
        <v>236</v>
      </c>
      <c r="K3335" s="305" t="s">
        <v>2179</v>
      </c>
    </row>
    <row r="3336" spans="1:11" x14ac:dyDescent="0.25">
      <c r="A3336" s="302" t="str">
        <f t="shared" si="93"/>
        <v>Small Commercial Advanced Thermostat_0_CI_Cooling_Reduction</v>
      </c>
      <c r="B3336" s="303" t="s">
        <v>1302</v>
      </c>
      <c r="C3336" s="304">
        <v>0</v>
      </c>
      <c r="D3336" s="303" t="s">
        <v>1159</v>
      </c>
      <c r="E3336" s="305" t="s">
        <v>427</v>
      </c>
      <c r="F3336" s="309"/>
      <c r="G3336" s="307">
        <v>0.17699999999999999</v>
      </c>
      <c r="H3336" s="305"/>
      <c r="I3336" s="305" t="s">
        <v>152</v>
      </c>
      <c r="J3336" s="305" t="s">
        <v>236</v>
      </c>
      <c r="K3336" s="305" t="s">
        <v>2179</v>
      </c>
    </row>
    <row r="3337" spans="1:11" x14ac:dyDescent="0.25">
      <c r="A3337" s="302" t="str">
        <f t="shared" si="93"/>
        <v>Small Commercial Advanced Thermostat_0_CI_Delta_kWh_cooling</v>
      </c>
      <c r="B3337" s="303" t="s">
        <v>1302</v>
      </c>
      <c r="C3337" s="304">
        <v>0</v>
      </c>
      <c r="D3337" s="303" t="s">
        <v>1159</v>
      </c>
      <c r="E3337" s="305" t="s">
        <v>403</v>
      </c>
      <c r="F3337" s="309"/>
      <c r="G3337" s="307">
        <f xml:space="preserve"> G3333 * 1/G3334 * G3335 * G3336</f>
        <v>1288.3071428571429</v>
      </c>
      <c r="H3337" s="305"/>
      <c r="I3337" s="305" t="s">
        <v>152</v>
      </c>
      <c r="J3337" s="305" t="s">
        <v>236</v>
      </c>
      <c r="K3337" s="305" t="s">
        <v>2179</v>
      </c>
    </row>
    <row r="3338" spans="1:11" x14ac:dyDescent="0.25">
      <c r="A3338" s="302" t="str">
        <f t="shared" si="93"/>
        <v>Small Commercial Advanced Thermostat_0_CI_kBtu/hrcool</v>
      </c>
      <c r="B3338" s="303" t="s">
        <v>1302</v>
      </c>
      <c r="C3338" s="304">
        <v>0</v>
      </c>
      <c r="D3338" s="303" t="s">
        <v>1159</v>
      </c>
      <c r="E3338" s="305" t="s">
        <v>413</v>
      </c>
      <c r="F3338" s="309"/>
      <c r="G3338" s="307">
        <v>150</v>
      </c>
      <c r="H3338" s="305"/>
      <c r="I3338" s="305" t="s">
        <v>152</v>
      </c>
      <c r="J3338" s="305" t="s">
        <v>236</v>
      </c>
      <c r="K3338" s="305" t="s">
        <v>2179</v>
      </c>
    </row>
    <row r="3339" spans="1:11" x14ac:dyDescent="0.25">
      <c r="A3339" s="302" t="str">
        <f t="shared" si="93"/>
        <v>Small Commercial Advanced Thermostat_0_CI_EER</v>
      </c>
      <c r="B3339" s="303" t="s">
        <v>1302</v>
      </c>
      <c r="C3339" s="304">
        <v>0</v>
      </c>
      <c r="D3339" s="303" t="s">
        <v>1159</v>
      </c>
      <c r="E3339" s="305" t="s">
        <v>272</v>
      </c>
      <c r="F3339" s="309"/>
      <c r="G3339" s="307">
        <v>11.119800000000001</v>
      </c>
      <c r="H3339" s="305"/>
      <c r="I3339" s="305" t="s">
        <v>152</v>
      </c>
      <c r="J3339" s="305" t="s">
        <v>236</v>
      </c>
      <c r="K3339" s="305" t="s">
        <v>2179</v>
      </c>
    </row>
    <row r="3340" spans="1:11" x14ac:dyDescent="0.25">
      <c r="A3340" s="302" t="str">
        <f t="shared" ref="A3340:A3420" si="94">B3340&amp;"_"&amp;C3340&amp;"_"&amp;D3340&amp;"_"&amp;E3340</f>
        <v>Small Commercial Advanced Thermostat_0_CI_Cooling_Reduction</v>
      </c>
      <c r="B3340" s="303" t="s">
        <v>1302</v>
      </c>
      <c r="C3340" s="304">
        <v>0</v>
      </c>
      <c r="D3340" s="303" t="s">
        <v>1159</v>
      </c>
      <c r="E3340" s="305" t="s">
        <v>427</v>
      </c>
      <c r="F3340" s="309"/>
      <c r="G3340" s="307">
        <v>0.17699999999999999</v>
      </c>
      <c r="H3340" s="305"/>
      <c r="I3340" s="305" t="s">
        <v>152</v>
      </c>
      <c r="J3340" s="305" t="s">
        <v>236</v>
      </c>
      <c r="K3340" s="305" t="s">
        <v>2179</v>
      </c>
    </row>
    <row r="3341" spans="1:11" x14ac:dyDescent="0.25">
      <c r="A3341" s="302" t="str">
        <f t="shared" si="94"/>
        <v>Small Commercial Advanced Thermostat_0_CI_CF</v>
      </c>
      <c r="B3341" s="303" t="s">
        <v>1302</v>
      </c>
      <c r="C3341" s="304">
        <v>0</v>
      </c>
      <c r="D3341" s="303" t="s">
        <v>1159</v>
      </c>
      <c r="E3341" s="305" t="s">
        <v>253</v>
      </c>
      <c r="F3341" s="309"/>
      <c r="G3341" s="307">
        <v>0.45700000000000002</v>
      </c>
      <c r="H3341" s="305"/>
      <c r="I3341" s="305" t="s">
        <v>152</v>
      </c>
      <c r="J3341" s="305" t="s">
        <v>236</v>
      </c>
      <c r="K3341" s="305" t="s">
        <v>2179</v>
      </c>
    </row>
    <row r="3342" spans="1:11" x14ac:dyDescent="0.25">
      <c r="A3342" s="302" t="str">
        <f t="shared" si="94"/>
        <v>Small Commercial Advanced Thermostat_0_CI_EFLH Heat</v>
      </c>
      <c r="B3342" s="303" t="s">
        <v>1302</v>
      </c>
      <c r="C3342" s="304">
        <v>0</v>
      </c>
      <c r="D3342" s="303" t="s">
        <v>1159</v>
      </c>
      <c r="E3342" s="305" t="s">
        <v>1184</v>
      </c>
      <c r="F3342" s="305" t="s">
        <v>283</v>
      </c>
      <c r="G3342" s="325">
        <v>1678</v>
      </c>
      <c r="H3342" s="305" t="s">
        <v>747</v>
      </c>
      <c r="I3342" s="305" t="s">
        <v>152</v>
      </c>
      <c r="J3342" s="305" t="s">
        <v>236</v>
      </c>
      <c r="K3342" s="305" t="s">
        <v>2179</v>
      </c>
    </row>
    <row r="3343" spans="1:11" x14ac:dyDescent="0.25">
      <c r="A3343" s="302" t="str">
        <f t="shared" si="94"/>
        <v>Small Commercial Advanced Thermostat_0_CI_Capacity</v>
      </c>
      <c r="B3343" s="303" t="s">
        <v>1302</v>
      </c>
      <c r="C3343" s="304">
        <v>0</v>
      </c>
      <c r="D3343" s="303" t="s">
        <v>1159</v>
      </c>
      <c r="E3343" s="305" t="s">
        <v>270</v>
      </c>
      <c r="F3343" s="309"/>
      <c r="G3343" s="307">
        <v>106330</v>
      </c>
      <c r="H3343" s="305" t="s">
        <v>1303</v>
      </c>
      <c r="I3343" s="305" t="s">
        <v>152</v>
      </c>
      <c r="J3343" s="305" t="s">
        <v>236</v>
      </c>
      <c r="K3343" s="305" t="s">
        <v>2179</v>
      </c>
    </row>
    <row r="3344" spans="1:11" x14ac:dyDescent="0.25">
      <c r="A3344" s="302" t="str">
        <f t="shared" si="94"/>
        <v>Small Commercial Advanced Thermostat_0_CI_AFUE</v>
      </c>
      <c r="B3344" s="303" t="s">
        <v>1302</v>
      </c>
      <c r="C3344" s="304">
        <v>0</v>
      </c>
      <c r="D3344" s="303" t="s">
        <v>1159</v>
      </c>
      <c r="E3344" s="305" t="s">
        <v>428</v>
      </c>
      <c r="F3344" s="309"/>
      <c r="G3344" s="307">
        <v>0.8</v>
      </c>
      <c r="H3344" s="305"/>
      <c r="I3344" s="305" t="s">
        <v>152</v>
      </c>
      <c r="J3344" s="305" t="s">
        <v>236</v>
      </c>
      <c r="K3344" s="305" t="s">
        <v>2179</v>
      </c>
    </row>
    <row r="3345" spans="1:11" x14ac:dyDescent="0.25">
      <c r="A3345" s="302" t="str">
        <f t="shared" si="94"/>
        <v>Small Commercial Advanced Thermostat_0_CI_Heating_Reduction</v>
      </c>
      <c r="B3345" s="303" t="s">
        <v>1302</v>
      </c>
      <c r="C3345" s="304">
        <v>0</v>
      </c>
      <c r="D3345" s="303" t="s">
        <v>1159</v>
      </c>
      <c r="E3345" s="305" t="s">
        <v>424</v>
      </c>
      <c r="F3345" s="309"/>
      <c r="G3345" s="393">
        <v>8.7999999999999995E-2</v>
      </c>
      <c r="H3345" s="305"/>
      <c r="I3345" s="305" t="s">
        <v>152</v>
      </c>
      <c r="J3345" s="305" t="s">
        <v>236</v>
      </c>
      <c r="K3345" s="305" t="s">
        <v>2179</v>
      </c>
    </row>
    <row r="3346" spans="1:11" x14ac:dyDescent="0.25">
      <c r="A3346" s="302" t="str">
        <f t="shared" si="94"/>
        <v>Small Commercial Advanced Thermostat_0_CI_Conversion</v>
      </c>
      <c r="B3346" s="303" t="s">
        <v>1302</v>
      </c>
      <c r="C3346" s="304">
        <v>0</v>
      </c>
      <c r="D3346" s="303" t="s">
        <v>1159</v>
      </c>
      <c r="E3346" s="305" t="s">
        <v>284</v>
      </c>
      <c r="F3346" s="309" t="s">
        <v>622</v>
      </c>
      <c r="G3346" s="325">
        <v>100000</v>
      </c>
      <c r="H3346" s="305"/>
      <c r="I3346" s="305" t="s">
        <v>152</v>
      </c>
      <c r="J3346" s="305" t="s">
        <v>236</v>
      </c>
      <c r="K3346" s="305" t="s">
        <v>2179</v>
      </c>
    </row>
    <row r="3347" spans="1:11" x14ac:dyDescent="0.25">
      <c r="A3347" s="302" t="str">
        <f>B3347&amp;"_"&amp;C3347&amp;"_"&amp;D3347&amp;"_"&amp;E3347</f>
        <v>Small Commercial Advanced Thermostat_0_CI_%ElectricHeat</v>
      </c>
      <c r="B3347" s="303" t="s">
        <v>1302</v>
      </c>
      <c r="C3347" s="304">
        <v>0</v>
      </c>
      <c r="D3347" s="303" t="s">
        <v>1159</v>
      </c>
      <c r="E3347" s="311" t="s">
        <v>1903</v>
      </c>
      <c r="F3347" s="334"/>
      <c r="G3347" s="352">
        <v>0</v>
      </c>
      <c r="H3347" s="311" t="s">
        <v>1904</v>
      </c>
      <c r="I3347" s="305" t="s">
        <v>152</v>
      </c>
      <c r="J3347" s="305" t="s">
        <v>236</v>
      </c>
      <c r="K3347" s="305" t="s">
        <v>2179</v>
      </c>
    </row>
    <row r="3348" spans="1:11" x14ac:dyDescent="0.25">
      <c r="A3348" s="302" t="str">
        <f>B3348&amp;"_"&amp;C3348&amp;"_"&amp;D3348&amp;"_"&amp;E3348</f>
        <v>Small Commercial Advanced Thermostat_0_CI_BAF</v>
      </c>
      <c r="B3348" s="303" t="s">
        <v>1302</v>
      </c>
      <c r="C3348" s="304">
        <v>0</v>
      </c>
      <c r="D3348" s="303" t="s">
        <v>1159</v>
      </c>
      <c r="E3348" s="311" t="s">
        <v>1905</v>
      </c>
      <c r="F3348" s="334"/>
      <c r="G3348" s="394">
        <v>0.8</v>
      </c>
      <c r="H3348" s="311" t="s">
        <v>1906</v>
      </c>
      <c r="I3348" s="305" t="s">
        <v>152</v>
      </c>
      <c r="J3348" s="305" t="s">
        <v>236</v>
      </c>
      <c r="K3348" s="305" t="s">
        <v>2179</v>
      </c>
    </row>
    <row r="3349" spans="1:11" x14ac:dyDescent="0.25">
      <c r="A3349" s="302" t="str">
        <f t="shared" si="94"/>
        <v>Small Commercial Advanced Thermostat_0_CI_kWh Saved per Unit</v>
      </c>
      <c r="B3349" s="303" t="s">
        <v>1302</v>
      </c>
      <c r="C3349" s="304">
        <v>0</v>
      </c>
      <c r="D3349" s="303" t="s">
        <v>1159</v>
      </c>
      <c r="E3349" s="314" t="s">
        <v>255</v>
      </c>
      <c r="F3349" s="326"/>
      <c r="G3349" s="326">
        <f>G3332 + G3337</f>
        <v>1432.760523783767</v>
      </c>
      <c r="H3349" s="305"/>
      <c r="I3349" s="305" t="s">
        <v>152</v>
      </c>
      <c r="J3349" s="305" t="s">
        <v>236</v>
      </c>
      <c r="K3349" s="305" t="s">
        <v>2179</v>
      </c>
    </row>
    <row r="3350" spans="1:11" x14ac:dyDescent="0.25">
      <c r="A3350" s="302" t="str">
        <f t="shared" si="94"/>
        <v>Small Commercial Advanced Thermostat_0_CI_Coincident Peak kW Saved per Unit</v>
      </c>
      <c r="B3350" s="303" t="s">
        <v>1302</v>
      </c>
      <c r="C3350" s="304">
        <v>0</v>
      </c>
      <c r="D3350" s="303" t="s">
        <v>1159</v>
      </c>
      <c r="E3350" s="314" t="s">
        <v>257</v>
      </c>
      <c r="F3350" s="326"/>
      <c r="G3350" s="326">
        <f xml:space="preserve"> G3338 * 1/G3339 * G3340 * G3341</f>
        <v>1.0911482220903252</v>
      </c>
      <c r="H3350" s="305"/>
      <c r="I3350" s="305" t="s">
        <v>152</v>
      </c>
      <c r="J3350" s="305" t="s">
        <v>236</v>
      </c>
      <c r="K3350" s="305" t="s">
        <v>2179</v>
      </c>
    </row>
    <row r="3351" spans="1:11" x14ac:dyDescent="0.25">
      <c r="A3351" s="302" t="str">
        <f t="shared" si="94"/>
        <v>Small Commercial Advanced Thermostat_0_CI_Therm Saved per Unit</v>
      </c>
      <c r="B3351" s="303" t="s">
        <v>1302</v>
      </c>
      <c r="C3351" s="304">
        <v>0</v>
      </c>
      <c r="D3351" s="303" t="s">
        <v>1159</v>
      </c>
      <c r="E3351" s="314" t="s">
        <v>326</v>
      </c>
      <c r="F3351" s="326"/>
      <c r="G3351" s="310">
        <f xml:space="preserve"> ((1 - G3347) * G3342 * G3343 * 1/G3344 * G3345 * G3348) / G3346</f>
        <v>157.01113119999999</v>
      </c>
      <c r="H3351" s="311" t="s">
        <v>1907</v>
      </c>
      <c r="I3351" s="305" t="s">
        <v>152</v>
      </c>
      <c r="J3351" s="305" t="s">
        <v>236</v>
      </c>
      <c r="K3351" s="305" t="s">
        <v>2179</v>
      </c>
    </row>
    <row r="3352" spans="1:11" x14ac:dyDescent="0.25">
      <c r="A3352" s="302" t="str">
        <f t="shared" si="94"/>
        <v>Small Commercial Advanced Thermostat_0_CI_Gallons Saved per Unit</v>
      </c>
      <c r="B3352" s="303" t="s">
        <v>1302</v>
      </c>
      <c r="C3352" s="304">
        <v>0</v>
      </c>
      <c r="D3352" s="303" t="s">
        <v>1159</v>
      </c>
      <c r="E3352" s="314" t="s">
        <v>547</v>
      </c>
      <c r="F3352" s="326"/>
      <c r="G3352" s="326">
        <v>0</v>
      </c>
      <c r="H3352" s="305"/>
      <c r="I3352" s="305" t="s">
        <v>152</v>
      </c>
      <c r="J3352" s="305" t="s">
        <v>236</v>
      </c>
      <c r="K3352" s="305" t="s">
        <v>2179</v>
      </c>
    </row>
    <row r="3353" spans="1:11" x14ac:dyDescent="0.25">
      <c r="A3353" s="302" t="str">
        <f t="shared" si="94"/>
        <v>Small Commercial Advanced Thermostat_0_CI_Lifetime (years)</v>
      </c>
      <c r="B3353" s="303" t="s">
        <v>1302</v>
      </c>
      <c r="C3353" s="304">
        <v>0</v>
      </c>
      <c r="D3353" s="303" t="s">
        <v>1159</v>
      </c>
      <c r="E3353" s="314" t="s">
        <v>259</v>
      </c>
      <c r="F3353" s="326"/>
      <c r="G3353" s="326">
        <v>11</v>
      </c>
      <c r="H3353" s="305"/>
      <c r="I3353" s="305" t="s">
        <v>152</v>
      </c>
      <c r="J3353" s="305" t="s">
        <v>236</v>
      </c>
      <c r="K3353" s="305" t="s">
        <v>2179</v>
      </c>
    </row>
    <row r="3354" spans="1:11" x14ac:dyDescent="0.25">
      <c r="A3354" s="302" t="str">
        <f t="shared" si="94"/>
        <v>Small Commercial Advanced Thermostat_0_CI_Incremental Cost</v>
      </c>
      <c r="B3354" s="303" t="s">
        <v>1302</v>
      </c>
      <c r="C3354" s="304">
        <v>0</v>
      </c>
      <c r="D3354" s="303" t="s">
        <v>1159</v>
      </c>
      <c r="E3354" s="314" t="s">
        <v>260</v>
      </c>
      <c r="F3354" s="326"/>
      <c r="G3354" s="326">
        <v>175</v>
      </c>
      <c r="H3354" s="305"/>
      <c r="I3354" s="305" t="s">
        <v>152</v>
      </c>
      <c r="J3354" s="305" t="s">
        <v>236</v>
      </c>
      <c r="K3354" s="305" t="s">
        <v>2179</v>
      </c>
    </row>
    <row r="3355" spans="1:11" x14ac:dyDescent="0.25">
      <c r="A3355" s="317" t="str">
        <f t="shared" si="94"/>
        <v>Small Commercial Advanced Thermostat_0_CI_</v>
      </c>
      <c r="B3355" s="317" t="str">
        <f>B3354</f>
        <v>Small Commercial Advanced Thermostat</v>
      </c>
      <c r="C3355" s="317">
        <f>C3354</f>
        <v>0</v>
      </c>
      <c r="D3355" s="317" t="str">
        <f>D3354</f>
        <v>CI</v>
      </c>
      <c r="E3355" s="317"/>
      <c r="F3355" s="317"/>
      <c r="G3355" s="323"/>
      <c r="H3355" s="320"/>
      <c r="I3355" s="320"/>
      <c r="J3355" s="317"/>
      <c r="K3355" s="317"/>
    </row>
    <row r="3356" spans="1:11" x14ac:dyDescent="0.25">
      <c r="A3356" s="302" t="str">
        <f t="shared" si="94"/>
        <v>Water Heater_Central Lodging 88% TE_CI_MFHH</v>
      </c>
      <c r="B3356" s="303" t="s">
        <v>8</v>
      </c>
      <c r="C3356" s="304" t="s">
        <v>1304</v>
      </c>
      <c r="D3356" s="303" t="s">
        <v>1159</v>
      </c>
      <c r="E3356" s="305" t="s">
        <v>367</v>
      </c>
      <c r="F3356" s="309" t="s">
        <v>1065</v>
      </c>
      <c r="G3356" s="307">
        <v>2.1</v>
      </c>
      <c r="H3356" s="305" t="s">
        <v>274</v>
      </c>
      <c r="I3356" s="305" t="s">
        <v>152</v>
      </c>
      <c r="J3356" s="305" t="s">
        <v>127</v>
      </c>
      <c r="K3356" s="305" t="s">
        <v>2373</v>
      </c>
    </row>
    <row r="3357" spans="1:11" x14ac:dyDescent="0.25">
      <c r="A3357" s="302" t="str">
        <f t="shared" si="94"/>
        <v>Water Heater_Central Lodging 88% TE_CI_#Units</v>
      </c>
      <c r="B3357" s="303" t="s">
        <v>8</v>
      </c>
      <c r="C3357" s="304" t="s">
        <v>1304</v>
      </c>
      <c r="D3357" s="303" t="s">
        <v>1159</v>
      </c>
      <c r="E3357" s="305" t="s">
        <v>341</v>
      </c>
      <c r="F3357" s="309" t="s">
        <v>1067</v>
      </c>
      <c r="G3357" s="307">
        <v>1</v>
      </c>
      <c r="H3357" s="305" t="s">
        <v>875</v>
      </c>
      <c r="I3357" s="305" t="s">
        <v>633</v>
      </c>
      <c r="J3357" s="305"/>
      <c r="K3357" s="305"/>
    </row>
    <row r="3358" spans="1:11" x14ac:dyDescent="0.25">
      <c r="A3358" s="302" t="str">
        <f t="shared" si="94"/>
        <v>Water Heater_Central Lodging 88% TE_CI_GPD</v>
      </c>
      <c r="B3358" s="303" t="s">
        <v>8</v>
      </c>
      <c r="C3358" s="304" t="s">
        <v>1304</v>
      </c>
      <c r="D3358" s="303" t="s">
        <v>1159</v>
      </c>
      <c r="E3358" s="305" t="s">
        <v>368</v>
      </c>
      <c r="F3358" s="309" t="s">
        <v>1068</v>
      </c>
      <c r="G3358" s="307">
        <v>17.600000000000001</v>
      </c>
      <c r="H3358" s="305" t="s">
        <v>274</v>
      </c>
      <c r="I3358" s="305" t="s">
        <v>152</v>
      </c>
      <c r="J3358" s="305" t="s">
        <v>127</v>
      </c>
      <c r="K3358" s="305" t="s">
        <v>2373</v>
      </c>
    </row>
    <row r="3359" spans="1:11" x14ac:dyDescent="0.25">
      <c r="A3359" s="302" t="str">
        <f t="shared" si="94"/>
        <v>Water Heater_Central Lodging 88% TE_CI_Days per Year</v>
      </c>
      <c r="B3359" s="303" t="s">
        <v>8</v>
      </c>
      <c r="C3359" s="304" t="s">
        <v>1304</v>
      </c>
      <c r="D3359" s="303" t="s">
        <v>1159</v>
      </c>
      <c r="E3359" s="305" t="s">
        <v>263</v>
      </c>
      <c r="F3359" s="309" t="s">
        <v>871</v>
      </c>
      <c r="G3359" s="307">
        <v>365.25</v>
      </c>
      <c r="H3359" s="305"/>
      <c r="I3359" s="305" t="s">
        <v>152</v>
      </c>
      <c r="J3359" s="305" t="s">
        <v>127</v>
      </c>
      <c r="K3359" s="305" t="s">
        <v>2373</v>
      </c>
    </row>
    <row r="3360" spans="1:11" x14ac:dyDescent="0.25">
      <c r="A3360" s="302" t="str">
        <f t="shared" si="94"/>
        <v>Water Heater_Central Lodging 88% TE_CI_yWater</v>
      </c>
      <c r="B3360" s="303" t="s">
        <v>8</v>
      </c>
      <c r="C3360" s="304" t="s">
        <v>1304</v>
      </c>
      <c r="D3360" s="303" t="s">
        <v>1159</v>
      </c>
      <c r="E3360" s="305" t="s">
        <v>369</v>
      </c>
      <c r="F3360" s="309" t="s">
        <v>346</v>
      </c>
      <c r="G3360" s="307">
        <v>8.33</v>
      </c>
      <c r="H3360" s="305"/>
      <c r="I3360" s="305" t="s">
        <v>152</v>
      </c>
      <c r="J3360" s="305" t="s">
        <v>127</v>
      </c>
      <c r="K3360" s="305" t="s">
        <v>2373</v>
      </c>
    </row>
    <row r="3361" spans="1:11" x14ac:dyDescent="0.25">
      <c r="A3361" s="302" t="str">
        <f t="shared" si="94"/>
        <v>Water Heater_Central Lodging 88% TE_CI_Tout</v>
      </c>
      <c r="B3361" s="303" t="s">
        <v>8</v>
      </c>
      <c r="C3361" s="304" t="s">
        <v>1304</v>
      </c>
      <c r="D3361" s="303" t="s">
        <v>1159</v>
      </c>
      <c r="E3361" s="305" t="s">
        <v>370</v>
      </c>
      <c r="F3361" s="309" t="s">
        <v>542</v>
      </c>
      <c r="G3361" s="307">
        <v>125</v>
      </c>
      <c r="H3361" s="305"/>
      <c r="I3361" s="305" t="s">
        <v>152</v>
      </c>
      <c r="J3361" s="305" t="s">
        <v>127</v>
      </c>
      <c r="K3361" s="305" t="s">
        <v>2373</v>
      </c>
    </row>
    <row r="3362" spans="1:11" x14ac:dyDescent="0.25">
      <c r="A3362" s="302" t="str">
        <f t="shared" si="94"/>
        <v>Water Heater_Central Lodging 88% TE_CI_Tin</v>
      </c>
      <c r="B3362" s="303" t="s">
        <v>8</v>
      </c>
      <c r="C3362" s="304" t="s">
        <v>1304</v>
      </c>
      <c r="D3362" s="303" t="s">
        <v>1159</v>
      </c>
      <c r="E3362" s="305" t="s">
        <v>371</v>
      </c>
      <c r="F3362" s="309" t="s">
        <v>542</v>
      </c>
      <c r="G3362" s="334">
        <v>50.7</v>
      </c>
      <c r="H3362" s="311" t="s">
        <v>1916</v>
      </c>
      <c r="I3362" s="305" t="s">
        <v>152</v>
      </c>
      <c r="J3362" s="305" t="s">
        <v>127</v>
      </c>
      <c r="K3362" s="305" t="s">
        <v>2373</v>
      </c>
    </row>
    <row r="3363" spans="1:11" x14ac:dyDescent="0.25">
      <c r="A3363" s="302" t="str">
        <f t="shared" si="94"/>
        <v>Water Heater_Central Lodging 88% TE_CI_Eff_base</v>
      </c>
      <c r="B3363" s="303" t="s">
        <v>8</v>
      </c>
      <c r="C3363" s="304" t="s">
        <v>1304</v>
      </c>
      <c r="D3363" s="303" t="s">
        <v>1159</v>
      </c>
      <c r="E3363" s="305" t="s">
        <v>372</v>
      </c>
      <c r="F3363" s="309" t="s">
        <v>539</v>
      </c>
      <c r="G3363" s="308">
        <v>0.8</v>
      </c>
      <c r="H3363" s="305"/>
      <c r="I3363" s="305" t="s">
        <v>152</v>
      </c>
      <c r="J3363" s="305" t="s">
        <v>127</v>
      </c>
      <c r="K3363" s="305" t="s">
        <v>2373</v>
      </c>
    </row>
    <row r="3364" spans="1:11" x14ac:dyDescent="0.25">
      <c r="A3364" s="302" t="str">
        <f t="shared" si="94"/>
        <v>Water Heater_Central Lodging 88% TE_CI_Eff_ee</v>
      </c>
      <c r="B3364" s="303" t="s">
        <v>8</v>
      </c>
      <c r="C3364" s="304" t="s">
        <v>1304</v>
      </c>
      <c r="D3364" s="303" t="s">
        <v>1159</v>
      </c>
      <c r="E3364" s="305" t="s">
        <v>373</v>
      </c>
      <c r="F3364" s="309" t="s">
        <v>539</v>
      </c>
      <c r="G3364" s="308">
        <v>0.88</v>
      </c>
      <c r="H3364" s="305" t="s">
        <v>274</v>
      </c>
      <c r="I3364" s="305" t="s">
        <v>152</v>
      </c>
      <c r="J3364" s="305" t="s">
        <v>127</v>
      </c>
      <c r="K3364" s="305" t="s">
        <v>2373</v>
      </c>
    </row>
    <row r="3365" spans="1:11" x14ac:dyDescent="0.25">
      <c r="A3365" s="302" t="str">
        <f t="shared" si="94"/>
        <v>Water Heater_Central Lodging 88% TE_CI_Conversion</v>
      </c>
      <c r="B3365" s="303" t="s">
        <v>8</v>
      </c>
      <c r="C3365" s="304" t="s">
        <v>1304</v>
      </c>
      <c r="D3365" s="303" t="s">
        <v>1159</v>
      </c>
      <c r="E3365" s="305" t="s">
        <v>284</v>
      </c>
      <c r="F3365" s="309" t="s">
        <v>622</v>
      </c>
      <c r="G3365" s="325">
        <v>100000</v>
      </c>
      <c r="H3365" s="305"/>
      <c r="I3365" s="305" t="s">
        <v>152</v>
      </c>
      <c r="J3365" s="305" t="s">
        <v>127</v>
      </c>
      <c r="K3365" s="305" t="s">
        <v>2373</v>
      </c>
    </row>
    <row r="3366" spans="1:11" x14ac:dyDescent="0.25">
      <c r="A3366" s="302" t="str">
        <f t="shared" si="94"/>
        <v>Water Heater_Central Lodging 88% TE_CI_Input Capacity</v>
      </c>
      <c r="B3366" s="303" t="s">
        <v>8</v>
      </c>
      <c r="C3366" s="304" t="s">
        <v>1304</v>
      </c>
      <c r="D3366" s="303" t="s">
        <v>1159</v>
      </c>
      <c r="E3366" s="305" t="s">
        <v>1069</v>
      </c>
      <c r="F3366" s="309" t="s">
        <v>1070</v>
      </c>
      <c r="G3366" s="354">
        <v>150000</v>
      </c>
      <c r="H3366" s="305" t="s">
        <v>366</v>
      </c>
      <c r="I3366" s="305" t="s">
        <v>152</v>
      </c>
      <c r="J3366" s="305" t="s">
        <v>127</v>
      </c>
      <c r="K3366" s="305" t="s">
        <v>2373</v>
      </c>
    </row>
    <row r="3367" spans="1:11" x14ac:dyDescent="0.25">
      <c r="A3367" s="302" t="str">
        <f t="shared" si="94"/>
        <v>Water Heater_Central Lodging 88% TE_CI_Tank Volume</v>
      </c>
      <c r="B3367" s="303" t="s">
        <v>8</v>
      </c>
      <c r="C3367" s="304" t="s">
        <v>1304</v>
      </c>
      <c r="D3367" s="303" t="s">
        <v>1159</v>
      </c>
      <c r="E3367" s="305" t="s">
        <v>1071</v>
      </c>
      <c r="F3367" s="309" t="s">
        <v>1072</v>
      </c>
      <c r="G3367" s="354">
        <v>1000</v>
      </c>
      <c r="H3367" s="305" t="s">
        <v>366</v>
      </c>
      <c r="I3367" s="305" t="s">
        <v>152</v>
      </c>
      <c r="J3367" s="305" t="s">
        <v>127</v>
      </c>
      <c r="K3367" s="305" t="s">
        <v>2373</v>
      </c>
    </row>
    <row r="3368" spans="1:11" x14ac:dyDescent="0.25">
      <c r="A3368" s="302" t="str">
        <f t="shared" si="94"/>
        <v>Water Heater_Central Lodging 88% TE_CI_SL</v>
      </c>
      <c r="B3368" s="303" t="s">
        <v>8</v>
      </c>
      <c r="C3368" s="304" t="s">
        <v>1304</v>
      </c>
      <c r="D3368" s="303" t="s">
        <v>1159</v>
      </c>
      <c r="E3368" s="305" t="s">
        <v>374</v>
      </c>
      <c r="F3368" s="309"/>
      <c r="G3368" s="307">
        <f>G3366/800+110*(G3367)^0.5</f>
        <v>3666.0054261852174</v>
      </c>
      <c r="H3368" s="305"/>
      <c r="I3368" s="305" t="s">
        <v>152</v>
      </c>
      <c r="J3368" s="305" t="s">
        <v>127</v>
      </c>
      <c r="K3368" s="305" t="s">
        <v>2373</v>
      </c>
    </row>
    <row r="3369" spans="1:11" x14ac:dyDescent="0.25">
      <c r="A3369" s="302" t="str">
        <f t="shared" si="94"/>
        <v>Water Heater_Central Lodging 88% TE_CI_Hours of Operation</v>
      </c>
      <c r="B3369" s="303" t="s">
        <v>8</v>
      </c>
      <c r="C3369" s="304" t="s">
        <v>1304</v>
      </c>
      <c r="D3369" s="303" t="s">
        <v>1159</v>
      </c>
      <c r="E3369" s="305" t="s">
        <v>460</v>
      </c>
      <c r="F3369" s="309" t="s">
        <v>647</v>
      </c>
      <c r="G3369" s="354">
        <v>8766</v>
      </c>
      <c r="H3369" s="305"/>
      <c r="I3369" s="305" t="s">
        <v>152</v>
      </c>
      <c r="J3369" s="305" t="s">
        <v>127</v>
      </c>
      <c r="K3369" s="305" t="s">
        <v>2373</v>
      </c>
    </row>
    <row r="3370" spans="1:11" x14ac:dyDescent="0.25">
      <c r="A3370" s="302" t="str">
        <f t="shared" si="94"/>
        <v>Water Heater_Central Lodging 88% TE_CI_Therm Saved per Unit</v>
      </c>
      <c r="B3370" s="303" t="s">
        <v>8</v>
      </c>
      <c r="C3370" s="304" t="s">
        <v>1304</v>
      </c>
      <c r="D3370" s="303" t="s">
        <v>1159</v>
      </c>
      <c r="E3370" s="314" t="s">
        <v>326</v>
      </c>
      <c r="F3370" s="326" t="s">
        <v>678</v>
      </c>
      <c r="G3370" s="315">
        <f xml:space="preserve"> ((G3356 * G3357 * G3358 * G3359 * G3360 * (G3361 - G3362) * (1/G3363 - 1/G3364)) / G3365) + (((G3368 * G3369 * (1/G3363 - 1/G3364)) / G3365))/(G3366/1000)</f>
        <v>9.7379830071207483</v>
      </c>
      <c r="H3370" s="305" t="s">
        <v>1305</v>
      </c>
      <c r="I3370" s="305" t="s">
        <v>152</v>
      </c>
      <c r="J3370" s="305" t="s">
        <v>127</v>
      </c>
      <c r="K3370" s="305" t="s">
        <v>2373</v>
      </c>
    </row>
    <row r="3371" spans="1:11" x14ac:dyDescent="0.25">
      <c r="A3371" s="302" t="str">
        <f t="shared" si="94"/>
        <v>Water Heater_Central Lodging 88% TE_CI_Lifetime (years)</v>
      </c>
      <c r="B3371" s="303" t="s">
        <v>8</v>
      </c>
      <c r="C3371" s="304" t="s">
        <v>1304</v>
      </c>
      <c r="D3371" s="303" t="s">
        <v>1159</v>
      </c>
      <c r="E3371" s="314" t="s">
        <v>259</v>
      </c>
      <c r="F3371" s="326" t="s">
        <v>548</v>
      </c>
      <c r="G3371" s="315">
        <v>15</v>
      </c>
      <c r="H3371" s="305"/>
      <c r="I3371" s="305" t="s">
        <v>152</v>
      </c>
      <c r="J3371" s="305" t="s">
        <v>127</v>
      </c>
      <c r="K3371" s="305" t="s">
        <v>2373</v>
      </c>
    </row>
    <row r="3372" spans="1:11" x14ac:dyDescent="0.25">
      <c r="A3372" s="302" t="str">
        <f t="shared" si="94"/>
        <v>Water Heater_Central Lodging 88% TE_CI_Incremental Cost</v>
      </c>
      <c r="B3372" s="303" t="s">
        <v>8</v>
      </c>
      <c r="C3372" s="304" t="s">
        <v>1304</v>
      </c>
      <c r="D3372" s="303" t="s">
        <v>1159</v>
      </c>
      <c r="E3372" s="314" t="s">
        <v>260</v>
      </c>
      <c r="F3372" s="327" t="s">
        <v>679</v>
      </c>
      <c r="G3372" s="404">
        <f>38</f>
        <v>38</v>
      </c>
      <c r="H3372" s="305" t="s">
        <v>1074</v>
      </c>
      <c r="I3372" s="305" t="s">
        <v>152</v>
      </c>
      <c r="J3372" s="305" t="s">
        <v>127</v>
      </c>
      <c r="K3372" s="305" t="s">
        <v>2373</v>
      </c>
    </row>
    <row r="3373" spans="1:11" x14ac:dyDescent="0.25">
      <c r="A3373" s="317" t="str">
        <f t="shared" si="94"/>
        <v>Water Heater_Central Lodging 88% TE_CI_</v>
      </c>
      <c r="B3373" s="317" t="s">
        <v>8</v>
      </c>
      <c r="C3373" s="332" t="s">
        <v>1304</v>
      </c>
      <c r="D3373" s="317" t="str">
        <f>D3372</f>
        <v>CI</v>
      </c>
      <c r="E3373" s="317"/>
      <c r="F3373" s="317"/>
      <c r="G3373" s="323"/>
      <c r="H3373" s="320"/>
      <c r="I3373" s="320"/>
      <c r="J3373" s="317"/>
      <c r="K3373" s="317"/>
    </row>
    <row r="3374" spans="1:11" x14ac:dyDescent="0.25">
      <c r="A3374" s="302" t="str">
        <f t="shared" si="94"/>
        <v>Linkageless Controls_0_CI_Ngi</v>
      </c>
      <c r="B3374" s="303" t="s">
        <v>1287</v>
      </c>
      <c r="C3374" s="304">
        <v>0</v>
      </c>
      <c r="D3374" s="303" t="s">
        <v>1159</v>
      </c>
      <c r="E3374" s="305" t="s">
        <v>420</v>
      </c>
      <c r="F3374" s="309" t="s">
        <v>407</v>
      </c>
      <c r="G3374" s="354">
        <v>1</v>
      </c>
      <c r="H3374" s="305"/>
      <c r="I3374" s="305" t="s">
        <v>152</v>
      </c>
      <c r="J3374" s="305" t="s">
        <v>234</v>
      </c>
      <c r="K3374" s="305" t="s">
        <v>2001</v>
      </c>
    </row>
    <row r="3375" spans="1:11" x14ac:dyDescent="0.25">
      <c r="A3375" s="302" t="str">
        <f t="shared" si="94"/>
        <v>Linkageless Controls_0_CI_Savings Factor (SF)</v>
      </c>
      <c r="B3375" s="303" t="s">
        <v>1287</v>
      </c>
      <c r="C3375" s="304">
        <v>0</v>
      </c>
      <c r="D3375" s="303" t="s">
        <v>1159</v>
      </c>
      <c r="E3375" s="305" t="s">
        <v>1288</v>
      </c>
      <c r="F3375" s="309"/>
      <c r="G3375" s="373">
        <v>3.7999999999999999E-2</v>
      </c>
      <c r="H3375" s="305"/>
      <c r="I3375" s="305" t="s">
        <v>152</v>
      </c>
      <c r="J3375" s="305" t="s">
        <v>234</v>
      </c>
      <c r="K3375" s="305" t="s">
        <v>2001</v>
      </c>
    </row>
    <row r="3376" spans="1:11" x14ac:dyDescent="0.25">
      <c r="A3376" s="302" t="str">
        <f t="shared" si="94"/>
        <v>Linkageless Controls_0_CI_EFLH</v>
      </c>
      <c r="B3376" s="303" t="s">
        <v>1287</v>
      </c>
      <c r="C3376" s="304">
        <v>0</v>
      </c>
      <c r="D3376" s="303" t="s">
        <v>1159</v>
      </c>
      <c r="E3376" s="305" t="s">
        <v>321</v>
      </c>
      <c r="F3376" s="305" t="s">
        <v>283</v>
      </c>
      <c r="G3376" s="325">
        <v>1481</v>
      </c>
      <c r="H3376" s="305" t="s">
        <v>1306</v>
      </c>
      <c r="I3376" s="305" t="s">
        <v>152</v>
      </c>
      <c r="J3376" s="305" t="s">
        <v>234</v>
      </c>
      <c r="K3376" s="305" t="s">
        <v>2001</v>
      </c>
    </row>
    <row r="3377" spans="1:11" x14ac:dyDescent="0.25">
      <c r="A3377" s="302" t="str">
        <f t="shared" si="94"/>
        <v>Linkageless Controls_0_CI_Conversion</v>
      </c>
      <c r="B3377" s="303" t="s">
        <v>1287</v>
      </c>
      <c r="C3377" s="304">
        <v>0</v>
      </c>
      <c r="D3377" s="303" t="s">
        <v>1159</v>
      </c>
      <c r="E3377" s="305" t="s">
        <v>284</v>
      </c>
      <c r="F3377" s="309" t="s">
        <v>981</v>
      </c>
      <c r="G3377" s="325">
        <v>100</v>
      </c>
      <c r="H3377" s="305"/>
      <c r="I3377" s="305" t="s">
        <v>152</v>
      </c>
      <c r="J3377" s="305" t="s">
        <v>234</v>
      </c>
      <c r="K3377" s="305" t="s">
        <v>2001</v>
      </c>
    </row>
    <row r="3378" spans="1:11" x14ac:dyDescent="0.25">
      <c r="A3378" s="302" t="str">
        <f t="shared" si="94"/>
        <v>Linkageless Controls_0_CI_kWh Saved per Unit</v>
      </c>
      <c r="B3378" s="303" t="s">
        <v>1287</v>
      </c>
      <c r="C3378" s="304">
        <v>0</v>
      </c>
      <c r="D3378" s="303" t="s">
        <v>1159</v>
      </c>
      <c r="E3378" s="314" t="s">
        <v>255</v>
      </c>
      <c r="F3378" s="326"/>
      <c r="G3378" s="315">
        <v>0</v>
      </c>
      <c r="H3378" s="305"/>
      <c r="I3378" s="305" t="s">
        <v>152</v>
      </c>
      <c r="J3378" s="305" t="s">
        <v>234</v>
      </c>
      <c r="K3378" s="305" t="s">
        <v>2001</v>
      </c>
    </row>
    <row r="3379" spans="1:11" x14ac:dyDescent="0.25">
      <c r="A3379" s="302" t="str">
        <f t="shared" si="94"/>
        <v>Linkageless Controls_0_CI_Therm Saved per Unit</v>
      </c>
      <c r="B3379" s="303" t="s">
        <v>1287</v>
      </c>
      <c r="C3379" s="304">
        <v>0</v>
      </c>
      <c r="D3379" s="303" t="s">
        <v>1159</v>
      </c>
      <c r="E3379" s="314" t="s">
        <v>326</v>
      </c>
      <c r="F3379" s="326" t="s">
        <v>678</v>
      </c>
      <c r="G3379" s="315">
        <f>G3374*G3375*G3376/G3377</f>
        <v>0.56277999999999995</v>
      </c>
      <c r="H3379" s="305"/>
      <c r="I3379" s="305" t="s">
        <v>152</v>
      </c>
      <c r="J3379" s="305" t="s">
        <v>234</v>
      </c>
      <c r="K3379" s="305" t="s">
        <v>2001</v>
      </c>
    </row>
    <row r="3380" spans="1:11" x14ac:dyDescent="0.25">
      <c r="A3380" s="302" t="str">
        <f t="shared" si="94"/>
        <v>Linkageless Controls_0_CI_Lifetime (years)</v>
      </c>
      <c r="B3380" s="303" t="s">
        <v>1287</v>
      </c>
      <c r="C3380" s="304">
        <v>0</v>
      </c>
      <c r="D3380" s="303" t="s">
        <v>1159</v>
      </c>
      <c r="E3380" s="314" t="s">
        <v>259</v>
      </c>
      <c r="F3380" s="326" t="s">
        <v>548</v>
      </c>
      <c r="G3380" s="334">
        <v>20</v>
      </c>
      <c r="H3380" s="305"/>
      <c r="I3380" s="305" t="s">
        <v>152</v>
      </c>
      <c r="J3380" s="305" t="s">
        <v>234</v>
      </c>
      <c r="K3380" s="305" t="s">
        <v>2001</v>
      </c>
    </row>
    <row r="3381" spans="1:11" x14ac:dyDescent="0.25">
      <c r="A3381" s="302" t="str">
        <f t="shared" si="94"/>
        <v>Linkageless Controls_0_CI_Incremental Cost</v>
      </c>
      <c r="B3381" s="303" t="s">
        <v>1287</v>
      </c>
      <c r="C3381" s="304">
        <v>0</v>
      </c>
      <c r="D3381" s="303" t="s">
        <v>1159</v>
      </c>
      <c r="E3381" s="314" t="s">
        <v>260</v>
      </c>
      <c r="F3381" s="327" t="s">
        <v>1290</v>
      </c>
      <c r="G3381" s="331">
        <f>2.5*G3374</f>
        <v>2.5</v>
      </c>
      <c r="H3381" s="305"/>
      <c r="I3381" s="305" t="s">
        <v>152</v>
      </c>
      <c r="J3381" s="305" t="s">
        <v>234</v>
      </c>
      <c r="K3381" s="305" t="s">
        <v>2001</v>
      </c>
    </row>
    <row r="3382" spans="1:11" x14ac:dyDescent="0.25">
      <c r="A3382" s="317" t="str">
        <f t="shared" si="94"/>
        <v>Linkageless Controls_0_CI_</v>
      </c>
      <c r="B3382" s="317" t="str">
        <f>B3381</f>
        <v>Linkageless Controls</v>
      </c>
      <c r="C3382" s="332">
        <f>C3381</f>
        <v>0</v>
      </c>
      <c r="D3382" s="317" t="str">
        <f>D3381</f>
        <v>CI</v>
      </c>
      <c r="E3382" s="320"/>
      <c r="F3382" s="320"/>
      <c r="G3382" s="329"/>
      <c r="H3382" s="320"/>
      <c r="I3382" s="320"/>
      <c r="J3382" s="320"/>
      <c r="K3382" s="320"/>
    </row>
    <row r="3383" spans="1:11" x14ac:dyDescent="0.25">
      <c r="A3383" s="302" t="str">
        <f t="shared" si="94"/>
        <v>Combination Oven_0_MF/CI/SMB_Baseline Convection Efficiency</v>
      </c>
      <c r="B3383" s="303" t="s">
        <v>242</v>
      </c>
      <c r="C3383" s="304">
        <v>0</v>
      </c>
      <c r="D3383" s="303" t="s">
        <v>662</v>
      </c>
      <c r="E3383" s="305" t="s">
        <v>1307</v>
      </c>
      <c r="F3383" s="309"/>
      <c r="G3383" s="401">
        <v>0.49</v>
      </c>
      <c r="H3383" s="305"/>
      <c r="I3383" s="305" t="s">
        <v>152</v>
      </c>
      <c r="J3383" s="305" t="s">
        <v>519</v>
      </c>
      <c r="K3383" s="305" t="s">
        <v>2114</v>
      </c>
    </row>
    <row r="3384" spans="1:11" x14ac:dyDescent="0.25">
      <c r="A3384" s="302" t="str">
        <f t="shared" si="94"/>
        <v>Combination Oven_0_MF/CI/SMB_Baseline Steam Efficiency</v>
      </c>
      <c r="B3384" s="303" t="s">
        <v>242</v>
      </c>
      <c r="C3384" s="304">
        <v>0</v>
      </c>
      <c r="D3384" s="303" t="s">
        <v>662</v>
      </c>
      <c r="E3384" s="305" t="s">
        <v>1308</v>
      </c>
      <c r="F3384" s="309"/>
      <c r="G3384" s="401">
        <v>0.37</v>
      </c>
      <c r="H3384" s="305"/>
      <c r="I3384" s="305" t="s">
        <v>152</v>
      </c>
      <c r="J3384" s="305" t="s">
        <v>519</v>
      </c>
      <c r="K3384" s="305" t="s">
        <v>2114</v>
      </c>
    </row>
    <row r="3385" spans="1:11" x14ac:dyDescent="0.25">
      <c r="A3385" s="302" t="str">
        <f t="shared" si="94"/>
        <v>Combination Oven_0_MF/CI/SMB_Baseline Idle Energy Rate in Convection Mode</v>
      </c>
      <c r="B3385" s="303" t="s">
        <v>242</v>
      </c>
      <c r="C3385" s="304">
        <v>0</v>
      </c>
      <c r="D3385" s="303" t="s">
        <v>662</v>
      </c>
      <c r="E3385" s="305" t="s">
        <v>1309</v>
      </c>
      <c r="F3385" s="309"/>
      <c r="G3385" s="401">
        <v>11734</v>
      </c>
      <c r="H3385" s="305" t="s">
        <v>1310</v>
      </c>
      <c r="I3385" s="305" t="s">
        <v>152</v>
      </c>
      <c r="J3385" s="305" t="s">
        <v>519</v>
      </c>
      <c r="K3385" s="305" t="s">
        <v>2114</v>
      </c>
    </row>
    <row r="3386" spans="1:11" x14ac:dyDescent="0.25">
      <c r="A3386" s="302" t="str">
        <f t="shared" si="94"/>
        <v>Combination Oven_0_MF/CI/SMB_Baseline Idle Energy Rate in Steam Mode</v>
      </c>
      <c r="B3386" s="303" t="s">
        <v>242</v>
      </c>
      <c r="C3386" s="304">
        <v>0</v>
      </c>
      <c r="D3386" s="303" t="s">
        <v>662</v>
      </c>
      <c r="E3386" s="305" t="s">
        <v>1311</v>
      </c>
      <c r="F3386" s="309"/>
      <c r="G3386" s="401">
        <v>27795</v>
      </c>
      <c r="H3386" s="305" t="s">
        <v>1310</v>
      </c>
      <c r="I3386" s="305" t="s">
        <v>152</v>
      </c>
      <c r="J3386" s="305" t="s">
        <v>519</v>
      </c>
      <c r="K3386" s="305" t="s">
        <v>2114</v>
      </c>
    </row>
    <row r="3387" spans="1:11" x14ac:dyDescent="0.25">
      <c r="A3387" s="302" t="str">
        <f t="shared" si="94"/>
        <v>Combination Oven_0_MF/CI/SMB_Baseline Production Capacity Convection Mode</v>
      </c>
      <c r="B3387" s="303" t="s">
        <v>242</v>
      </c>
      <c r="C3387" s="304">
        <v>0</v>
      </c>
      <c r="D3387" s="303" t="s">
        <v>662</v>
      </c>
      <c r="E3387" s="305" t="s">
        <v>1312</v>
      </c>
      <c r="F3387" s="309"/>
      <c r="G3387" s="307">
        <v>176</v>
      </c>
      <c r="H3387" s="305" t="s">
        <v>1310</v>
      </c>
      <c r="I3387" s="305" t="s">
        <v>152</v>
      </c>
      <c r="J3387" s="305" t="s">
        <v>519</v>
      </c>
      <c r="K3387" s="305" t="s">
        <v>2114</v>
      </c>
    </row>
    <row r="3388" spans="1:11" x14ac:dyDescent="0.25">
      <c r="A3388" s="302" t="str">
        <f t="shared" si="94"/>
        <v>Combination Oven_0_MF/CI/SMB_Baseline Production Capacity Steam Mode</v>
      </c>
      <c r="B3388" s="303" t="s">
        <v>242</v>
      </c>
      <c r="C3388" s="304">
        <v>0</v>
      </c>
      <c r="D3388" s="303" t="s">
        <v>662</v>
      </c>
      <c r="E3388" s="305" t="s">
        <v>1313</v>
      </c>
      <c r="F3388" s="309"/>
      <c r="G3388" s="307">
        <v>211</v>
      </c>
      <c r="H3388" s="305" t="s">
        <v>1310</v>
      </c>
      <c r="I3388" s="305" t="s">
        <v>152</v>
      </c>
      <c r="J3388" s="305" t="s">
        <v>519</v>
      </c>
      <c r="K3388" s="305" t="s">
        <v>2114</v>
      </c>
    </row>
    <row r="3389" spans="1:11" x14ac:dyDescent="0.25">
      <c r="A3389" s="302" t="str">
        <f t="shared" si="94"/>
        <v>Combination Oven_0_MF/CI/SMB_Baseline Convection Cooking Energy</v>
      </c>
      <c r="B3389" s="303" t="s">
        <v>242</v>
      </c>
      <c r="C3389" s="304">
        <v>0</v>
      </c>
      <c r="D3389" s="303" t="s">
        <v>662</v>
      </c>
      <c r="E3389" s="305" t="s">
        <v>1314</v>
      </c>
      <c r="F3389" s="309"/>
      <c r="G3389" s="307">
        <f>G3397*G3398*G3406/G3383*G3394/100000</f>
        <v>232.78061224489798</v>
      </c>
      <c r="H3389" s="305"/>
      <c r="I3389" s="305" t="s">
        <v>152</v>
      </c>
      <c r="J3389" s="305" t="s">
        <v>519</v>
      </c>
      <c r="K3389" s="305" t="s">
        <v>2114</v>
      </c>
    </row>
    <row r="3390" spans="1:11" x14ac:dyDescent="0.25">
      <c r="A3390" s="302" t="str">
        <f t="shared" si="94"/>
        <v>Combination Oven_0_MF/CI/SMB_Baseline Steam Cooking Energy</v>
      </c>
      <c r="B3390" s="303" t="s">
        <v>242</v>
      </c>
      <c r="C3390" s="304">
        <v>0</v>
      </c>
      <c r="D3390" s="303" t="s">
        <v>662</v>
      </c>
      <c r="E3390" s="305" t="s">
        <v>1315</v>
      </c>
      <c r="F3390" s="309"/>
      <c r="G3390" s="307">
        <f>G3397*G3399*G3407/G3384*G3394/100000</f>
        <v>129.47635135135135</v>
      </c>
      <c r="H3390" s="305"/>
      <c r="I3390" s="305" t="s">
        <v>152</v>
      </c>
      <c r="J3390" s="305" t="s">
        <v>519</v>
      </c>
      <c r="K3390" s="305" t="s">
        <v>2114</v>
      </c>
    </row>
    <row r="3391" spans="1:11" x14ac:dyDescent="0.25">
      <c r="A3391" s="302" t="str">
        <f t="shared" si="94"/>
        <v>Combination Oven_0_MF/CI/SMB_Baseline Convection Idle Energy</v>
      </c>
      <c r="B3391" s="303" t="s">
        <v>242</v>
      </c>
      <c r="C3391" s="304">
        <v>0</v>
      </c>
      <c r="D3391" s="303" t="s">
        <v>662</v>
      </c>
      <c r="E3391" s="305" t="s">
        <v>1316</v>
      </c>
      <c r="F3391" s="309"/>
      <c r="G3391" s="307">
        <f>G3385*(G3395-G3397/G3387)*G3406/100000*G3394</f>
        <v>226.55620511363634</v>
      </c>
      <c r="H3391" s="305"/>
      <c r="I3391" s="305" t="s">
        <v>152</v>
      </c>
      <c r="J3391" s="305" t="s">
        <v>519</v>
      </c>
      <c r="K3391" s="305" t="s">
        <v>2114</v>
      </c>
    </row>
    <row r="3392" spans="1:11" x14ac:dyDescent="0.25">
      <c r="A3392" s="302" t="str">
        <f t="shared" si="94"/>
        <v>Combination Oven_0_MF/CI/SMB_Baseline Steam Idle Energy</v>
      </c>
      <c r="B3392" s="303" t="s">
        <v>242</v>
      </c>
      <c r="C3392" s="304">
        <v>0</v>
      </c>
      <c r="D3392" s="303" t="s">
        <v>662</v>
      </c>
      <c r="E3392" s="305" t="s">
        <v>1317</v>
      </c>
      <c r="F3392" s="309"/>
      <c r="G3392" s="307">
        <f>G3386*(G3395-G3397/G3388)*G3407/100000*G3394</f>
        <v>548.6087523696682</v>
      </c>
      <c r="H3392" s="305"/>
      <c r="I3392" s="305" t="s">
        <v>152</v>
      </c>
      <c r="J3392" s="305" t="s">
        <v>519</v>
      </c>
      <c r="K3392" s="305" t="s">
        <v>2114</v>
      </c>
    </row>
    <row r="3393" spans="1:11" x14ac:dyDescent="0.25">
      <c r="A3393" s="302" t="str">
        <f t="shared" si="94"/>
        <v>Combination Oven_0_MF/CI/SMB_PreheatBaseGas</v>
      </c>
      <c r="B3393" s="303" t="s">
        <v>242</v>
      </c>
      <c r="C3393" s="304">
        <v>0</v>
      </c>
      <c r="D3393" s="303" t="s">
        <v>662</v>
      </c>
      <c r="E3393" s="405" t="s">
        <v>1992</v>
      </c>
      <c r="F3393" s="401"/>
      <c r="G3393" s="401">
        <v>15844</v>
      </c>
      <c r="H3393" s="405" t="s">
        <v>1993</v>
      </c>
      <c r="I3393" s="305" t="s">
        <v>152</v>
      </c>
      <c r="J3393" s="305" t="s">
        <v>519</v>
      </c>
      <c r="K3393" s="305" t="s">
        <v>2114</v>
      </c>
    </row>
    <row r="3394" spans="1:11" x14ac:dyDescent="0.25">
      <c r="A3394" s="302" t="str">
        <f t="shared" si="94"/>
        <v>Combination Oven_0_MF/CI/SMB_Days per Year</v>
      </c>
      <c r="B3394" s="303" t="s">
        <v>242</v>
      </c>
      <c r="C3394" s="304">
        <v>0</v>
      </c>
      <c r="D3394" s="303" t="s">
        <v>662</v>
      </c>
      <c r="E3394" s="305" t="s">
        <v>263</v>
      </c>
      <c r="F3394" s="309"/>
      <c r="G3394" s="307">
        <v>365</v>
      </c>
      <c r="H3394" s="305" t="s">
        <v>317</v>
      </c>
      <c r="I3394" s="305" t="s">
        <v>152</v>
      </c>
      <c r="J3394" s="305" t="s">
        <v>519</v>
      </c>
      <c r="K3394" s="305" t="s">
        <v>2114</v>
      </c>
    </row>
    <row r="3395" spans="1:11" x14ac:dyDescent="0.25">
      <c r="A3395" s="302" t="str">
        <f t="shared" si="94"/>
        <v>Combination Oven_0_MF/CI/SMB_Hours of Operation per Day</v>
      </c>
      <c r="B3395" s="303" t="s">
        <v>242</v>
      </c>
      <c r="C3395" s="304">
        <v>0</v>
      </c>
      <c r="D3395" s="303" t="s">
        <v>662</v>
      </c>
      <c r="E3395" s="305" t="s">
        <v>1165</v>
      </c>
      <c r="F3395" s="305" t="s">
        <v>618</v>
      </c>
      <c r="G3395" s="307">
        <v>12</v>
      </c>
      <c r="H3395" s="305"/>
      <c r="I3395" s="305" t="s">
        <v>152</v>
      </c>
      <c r="J3395" s="305" t="s">
        <v>519</v>
      </c>
      <c r="K3395" s="305" t="s">
        <v>2114</v>
      </c>
    </row>
    <row r="3396" spans="1:11" x14ac:dyDescent="0.25">
      <c r="A3396" s="302" t="str">
        <f t="shared" si="94"/>
        <v>Combination Oven_0_MF/CI/SMB_Pans</v>
      </c>
      <c r="B3396" s="303" t="s">
        <v>242</v>
      </c>
      <c r="C3396" s="304">
        <v>0</v>
      </c>
      <c r="D3396" s="303" t="s">
        <v>662</v>
      </c>
      <c r="E3396" s="305" t="s">
        <v>1318</v>
      </c>
      <c r="F3396" s="309"/>
      <c r="G3396" s="307">
        <v>22</v>
      </c>
      <c r="H3396" s="305" t="s">
        <v>1310</v>
      </c>
      <c r="I3396" s="305" t="s">
        <v>152</v>
      </c>
      <c r="J3396" s="305" t="s">
        <v>519</v>
      </c>
      <c r="K3396" s="305" t="s">
        <v>2114</v>
      </c>
    </row>
    <row r="3397" spans="1:11" x14ac:dyDescent="0.25">
      <c r="A3397" s="302" t="str">
        <f t="shared" si="94"/>
        <v>Combination Oven_0_MF/CI/SMB_Mass of Food Cooked/day</v>
      </c>
      <c r="B3397" s="303" t="s">
        <v>242</v>
      </c>
      <c r="C3397" s="304">
        <v>0</v>
      </c>
      <c r="D3397" s="303" t="s">
        <v>662</v>
      </c>
      <c r="E3397" s="305" t="s">
        <v>1319</v>
      </c>
      <c r="F3397" s="309"/>
      <c r="G3397" s="307">
        <v>250</v>
      </c>
      <c r="H3397" s="305"/>
      <c r="I3397" s="305" t="s">
        <v>152</v>
      </c>
      <c r="J3397" s="305" t="s">
        <v>519</v>
      </c>
      <c r="K3397" s="305" t="s">
        <v>2114</v>
      </c>
    </row>
    <row r="3398" spans="1:11" x14ac:dyDescent="0.25">
      <c r="A3398" s="302" t="str">
        <f t="shared" si="94"/>
        <v>Combination Oven_0_MF/CI/SMB_Energy Absorbed by Food during convection</v>
      </c>
      <c r="B3398" s="303" t="s">
        <v>242</v>
      </c>
      <c r="C3398" s="304">
        <v>0</v>
      </c>
      <c r="D3398" s="303" t="s">
        <v>662</v>
      </c>
      <c r="E3398" s="305" t="s">
        <v>1320</v>
      </c>
      <c r="F3398" s="309"/>
      <c r="G3398" s="307">
        <v>250</v>
      </c>
      <c r="H3398" s="305" t="s">
        <v>639</v>
      </c>
      <c r="I3398" s="305" t="s">
        <v>152</v>
      </c>
      <c r="J3398" s="305" t="s">
        <v>519</v>
      </c>
      <c r="K3398" s="305" t="s">
        <v>2114</v>
      </c>
    </row>
    <row r="3399" spans="1:11" x14ac:dyDescent="0.25">
      <c r="A3399" s="302" t="str">
        <f t="shared" si="94"/>
        <v>Combination Oven_0_MF/CI/SMB_Energy Absorbed by Food during steam</v>
      </c>
      <c r="B3399" s="303" t="s">
        <v>242</v>
      </c>
      <c r="C3399" s="304">
        <v>0</v>
      </c>
      <c r="D3399" s="303" t="s">
        <v>662</v>
      </c>
      <c r="E3399" s="305" t="s">
        <v>1321</v>
      </c>
      <c r="F3399" s="309"/>
      <c r="G3399" s="307">
        <v>105</v>
      </c>
      <c r="H3399" s="305" t="s">
        <v>639</v>
      </c>
      <c r="I3399" s="305" t="s">
        <v>152</v>
      </c>
      <c r="J3399" s="305" t="s">
        <v>519</v>
      </c>
      <c r="K3399" s="305" t="s">
        <v>2114</v>
      </c>
    </row>
    <row r="3400" spans="1:11" x14ac:dyDescent="0.25">
      <c r="A3400" s="302" t="str">
        <f t="shared" si="94"/>
        <v>Combination Oven_0_MF/CI/SMB_Efficient Convection Efficiency</v>
      </c>
      <c r="B3400" s="303" t="s">
        <v>242</v>
      </c>
      <c r="C3400" s="304">
        <v>0</v>
      </c>
      <c r="D3400" s="303" t="s">
        <v>662</v>
      </c>
      <c r="E3400" s="305" t="s">
        <v>1322</v>
      </c>
      <c r="F3400" s="309"/>
      <c r="G3400" s="401">
        <v>0.56999999999999995</v>
      </c>
      <c r="H3400" s="305"/>
      <c r="I3400" s="305" t="s">
        <v>152</v>
      </c>
      <c r="J3400" s="305" t="s">
        <v>519</v>
      </c>
      <c r="K3400" s="305" t="s">
        <v>2114</v>
      </c>
    </row>
    <row r="3401" spans="1:11" x14ac:dyDescent="0.25">
      <c r="A3401" s="302" t="str">
        <f t="shared" si="94"/>
        <v>Combination Oven_0_MF/CI/SMB_Efficient Steam Efficiency</v>
      </c>
      <c r="B3401" s="303" t="s">
        <v>242</v>
      </c>
      <c r="C3401" s="304">
        <v>0</v>
      </c>
      <c r="D3401" s="303" t="s">
        <v>662</v>
      </c>
      <c r="E3401" s="305" t="s">
        <v>1323</v>
      </c>
      <c r="F3401" s="309"/>
      <c r="G3401" s="307">
        <v>0.41</v>
      </c>
      <c r="H3401" s="305"/>
      <c r="I3401" s="305" t="s">
        <v>152</v>
      </c>
      <c r="J3401" s="305" t="s">
        <v>519</v>
      </c>
      <c r="K3401" s="305" t="s">
        <v>2114</v>
      </c>
    </row>
    <row r="3402" spans="1:11" x14ac:dyDescent="0.25">
      <c r="A3402" s="302" t="str">
        <f t="shared" si="94"/>
        <v>Combination Oven_0_MF/CI/SMB_Efficient Idle Energy Rate in Convection Mode</v>
      </c>
      <c r="B3402" s="303" t="s">
        <v>242</v>
      </c>
      <c r="C3402" s="304">
        <v>0</v>
      </c>
      <c r="D3402" s="303" t="s">
        <v>662</v>
      </c>
      <c r="E3402" s="305" t="s">
        <v>1324</v>
      </c>
      <c r="F3402" s="309"/>
      <c r="G3402" s="401">
        <f>(140*G3396+3800)</f>
        <v>6880</v>
      </c>
      <c r="H3402" s="305"/>
      <c r="I3402" s="305" t="s">
        <v>152</v>
      </c>
      <c r="J3402" s="305" t="s">
        <v>519</v>
      </c>
      <c r="K3402" s="305" t="s">
        <v>2114</v>
      </c>
    </row>
    <row r="3403" spans="1:11" x14ac:dyDescent="0.25">
      <c r="A3403" s="302" t="str">
        <f t="shared" si="94"/>
        <v>Combination Oven_0_MF/CI/SMB_Efficient Idle Energy Rate in Steam Mode</v>
      </c>
      <c r="B3403" s="303" t="s">
        <v>242</v>
      </c>
      <c r="C3403" s="304">
        <v>0</v>
      </c>
      <c r="D3403" s="303" t="s">
        <v>662</v>
      </c>
      <c r="E3403" s="305" t="s">
        <v>1325</v>
      </c>
      <c r="F3403" s="309"/>
      <c r="G3403" s="307">
        <f>200*G3396+6511</f>
        <v>10911</v>
      </c>
      <c r="H3403" s="305"/>
      <c r="I3403" s="305" t="s">
        <v>152</v>
      </c>
      <c r="J3403" s="305" t="s">
        <v>519</v>
      </c>
      <c r="K3403" s="305" t="s">
        <v>2114</v>
      </c>
    </row>
    <row r="3404" spans="1:11" x14ac:dyDescent="0.25">
      <c r="A3404" s="302" t="str">
        <f t="shared" si="94"/>
        <v>Combination Oven_0_MF/CI/SMB_Efficient Production Capacity Convection Mode</v>
      </c>
      <c r="B3404" s="303" t="s">
        <v>242</v>
      </c>
      <c r="C3404" s="304">
        <v>0</v>
      </c>
      <c r="D3404" s="303" t="s">
        <v>662</v>
      </c>
      <c r="E3404" s="305" t="s">
        <v>1326</v>
      </c>
      <c r="F3404" s="309"/>
      <c r="G3404" s="307">
        <v>210</v>
      </c>
      <c r="H3404" s="305"/>
      <c r="I3404" s="305" t="s">
        <v>152</v>
      </c>
      <c r="J3404" s="305" t="s">
        <v>519</v>
      </c>
      <c r="K3404" s="305" t="s">
        <v>2114</v>
      </c>
    </row>
    <row r="3405" spans="1:11" x14ac:dyDescent="0.25">
      <c r="A3405" s="302" t="str">
        <f t="shared" si="94"/>
        <v>Combination Oven_0_MF/CI/SMB_Efficient Production Capacity Steam Mode</v>
      </c>
      <c r="B3405" s="303" t="s">
        <v>242</v>
      </c>
      <c r="C3405" s="304">
        <v>0</v>
      </c>
      <c r="D3405" s="303" t="s">
        <v>662</v>
      </c>
      <c r="E3405" s="305" t="s">
        <v>1327</v>
      </c>
      <c r="F3405" s="309"/>
      <c r="G3405" s="307">
        <v>277</v>
      </c>
      <c r="H3405" s="305"/>
      <c r="I3405" s="305" t="s">
        <v>152</v>
      </c>
      <c r="J3405" s="305" t="s">
        <v>519</v>
      </c>
      <c r="K3405" s="305" t="s">
        <v>2114</v>
      </c>
    </row>
    <row r="3406" spans="1:11" x14ac:dyDescent="0.25">
      <c r="A3406" s="302" t="str">
        <f t="shared" si="94"/>
        <v>Combination Oven_0_MF/CI/SMB_% of Time in Convection Mode</v>
      </c>
      <c r="B3406" s="303" t="s">
        <v>242</v>
      </c>
      <c r="C3406" s="304">
        <v>0</v>
      </c>
      <c r="D3406" s="303" t="s">
        <v>662</v>
      </c>
      <c r="E3406" s="305" t="s">
        <v>1328</v>
      </c>
      <c r="F3406" s="309"/>
      <c r="G3406" s="307">
        <v>0.5</v>
      </c>
      <c r="H3406" s="305"/>
      <c r="I3406" s="305" t="s">
        <v>152</v>
      </c>
      <c r="J3406" s="305" t="s">
        <v>519</v>
      </c>
      <c r="K3406" s="305" t="s">
        <v>2114</v>
      </c>
    </row>
    <row r="3407" spans="1:11" x14ac:dyDescent="0.25">
      <c r="A3407" s="302" t="str">
        <f t="shared" si="94"/>
        <v>Combination Oven_0_MF/CI/SMB_% of Time in Steam Mode</v>
      </c>
      <c r="B3407" s="303" t="s">
        <v>242</v>
      </c>
      <c r="C3407" s="304">
        <v>0</v>
      </c>
      <c r="D3407" s="303" t="s">
        <v>662</v>
      </c>
      <c r="E3407" s="305" t="s">
        <v>1329</v>
      </c>
      <c r="F3407" s="309"/>
      <c r="G3407" s="307">
        <f>1-G3406</f>
        <v>0.5</v>
      </c>
      <c r="H3407" s="305"/>
      <c r="I3407" s="305" t="s">
        <v>152</v>
      </c>
      <c r="J3407" s="305" t="s">
        <v>519</v>
      </c>
      <c r="K3407" s="305" t="s">
        <v>2114</v>
      </c>
    </row>
    <row r="3408" spans="1:11" x14ac:dyDescent="0.25">
      <c r="A3408" s="302" t="str">
        <f t="shared" si="94"/>
        <v>Combination Oven_0_MF/CI/SMB_Efficient Convection Cooking Energy</v>
      </c>
      <c r="B3408" s="303" t="s">
        <v>242</v>
      </c>
      <c r="C3408" s="304">
        <v>0</v>
      </c>
      <c r="D3408" s="303" t="s">
        <v>662</v>
      </c>
      <c r="E3408" s="305" t="s">
        <v>1330</v>
      </c>
      <c r="F3408" s="309"/>
      <c r="G3408" s="307">
        <f>G3397*G3398*G3406/G3400*G3394/100000</f>
        <v>200.10964912280704</v>
      </c>
      <c r="H3408" s="305"/>
      <c r="I3408" s="305" t="s">
        <v>152</v>
      </c>
      <c r="J3408" s="305" t="s">
        <v>519</v>
      </c>
      <c r="K3408" s="305" t="s">
        <v>2114</v>
      </c>
    </row>
    <row r="3409" spans="1:11" x14ac:dyDescent="0.25">
      <c r="A3409" s="302" t="str">
        <f t="shared" si="94"/>
        <v>Combination Oven_0_MF/CI/SMB_Efficient Steam Cooking Energy</v>
      </c>
      <c r="B3409" s="303" t="s">
        <v>242</v>
      </c>
      <c r="C3409" s="304">
        <v>0</v>
      </c>
      <c r="D3409" s="303" t="s">
        <v>662</v>
      </c>
      <c r="E3409" s="305" t="s">
        <v>1331</v>
      </c>
      <c r="F3409" s="309"/>
      <c r="G3409" s="307">
        <f>G3397*G3399*G3407/G3401*G3394/100000</f>
        <v>116.84451219512196</v>
      </c>
      <c r="H3409" s="305"/>
      <c r="I3409" s="305" t="s">
        <v>152</v>
      </c>
      <c r="J3409" s="305" t="s">
        <v>519</v>
      </c>
      <c r="K3409" s="305" t="s">
        <v>2114</v>
      </c>
    </row>
    <row r="3410" spans="1:11" x14ac:dyDescent="0.25">
      <c r="A3410" s="302" t="str">
        <f t="shared" si="94"/>
        <v>Combination Oven_0_MF/CI/SMB_Efficient Convection Idle Energy</v>
      </c>
      <c r="B3410" s="303" t="s">
        <v>242</v>
      </c>
      <c r="C3410" s="304">
        <v>0</v>
      </c>
      <c r="D3410" s="303" t="s">
        <v>662</v>
      </c>
      <c r="E3410" s="305" t="s">
        <v>1332</v>
      </c>
      <c r="F3410" s="309"/>
      <c r="G3410" s="307">
        <f>G3402*(G3395-G3397/G3404)*G3406/100000*G3394</f>
        <v>135.72438095238098</v>
      </c>
      <c r="H3410" s="305"/>
      <c r="I3410" s="305" t="s">
        <v>152</v>
      </c>
      <c r="J3410" s="305" t="s">
        <v>519</v>
      </c>
      <c r="K3410" s="305" t="s">
        <v>2114</v>
      </c>
    </row>
    <row r="3411" spans="1:11" x14ac:dyDescent="0.25">
      <c r="A3411" s="302" t="str">
        <f t="shared" si="94"/>
        <v>Combination Oven_0_MF/CI/SMB_Efficient Steam Idle Energy</v>
      </c>
      <c r="B3411" s="303" t="s">
        <v>242</v>
      </c>
      <c r="C3411" s="304">
        <v>0</v>
      </c>
      <c r="D3411" s="303" t="s">
        <v>662</v>
      </c>
      <c r="E3411" s="305" t="s">
        <v>1333</v>
      </c>
      <c r="F3411" s="309"/>
      <c r="G3411" s="307">
        <f>G3403*(G3395-G3397/G3405)*G3407/100000*G3394</f>
        <v>220.97926191335736</v>
      </c>
      <c r="H3411" s="305"/>
      <c r="I3411" s="305" t="s">
        <v>152</v>
      </c>
      <c r="J3411" s="305" t="s">
        <v>519</v>
      </c>
      <c r="K3411" s="305" t="s">
        <v>2114</v>
      </c>
    </row>
    <row r="3412" spans="1:11" x14ac:dyDescent="0.25">
      <c r="A3412" s="302" t="str">
        <f t="shared" si="94"/>
        <v>Combination Oven_0_MF/CI/SMB_PreheatEEGas</v>
      </c>
      <c r="B3412" s="303" t="s">
        <v>242</v>
      </c>
      <c r="C3412" s="304">
        <v>0</v>
      </c>
      <c r="D3412" s="303" t="s">
        <v>662</v>
      </c>
      <c r="E3412" s="405" t="s">
        <v>1994</v>
      </c>
      <c r="F3412" s="401"/>
      <c r="G3412" s="401">
        <v>10638</v>
      </c>
      <c r="H3412" s="405" t="s">
        <v>1993</v>
      </c>
      <c r="I3412" s="305" t="s">
        <v>152</v>
      </c>
      <c r="J3412" s="305" t="s">
        <v>519</v>
      </c>
      <c r="K3412" s="305" t="s">
        <v>2114</v>
      </c>
    </row>
    <row r="3413" spans="1:11" x14ac:dyDescent="0.25">
      <c r="A3413" s="302" t="str">
        <f t="shared" si="94"/>
        <v>Combination Oven_0_MF/CI/SMB_Baseline Therms Usage</v>
      </c>
      <c r="B3413" s="303" t="s">
        <v>242</v>
      </c>
      <c r="C3413" s="304">
        <v>0</v>
      </c>
      <c r="D3413" s="303" t="s">
        <v>662</v>
      </c>
      <c r="E3413" s="314" t="s">
        <v>1334</v>
      </c>
      <c r="F3413" s="326"/>
      <c r="G3413" s="326">
        <f>SUM(G3389:G3393)</f>
        <v>16981.421921079553</v>
      </c>
      <c r="H3413" s="305"/>
      <c r="I3413" s="305" t="s">
        <v>152</v>
      </c>
      <c r="J3413" s="305" t="s">
        <v>519</v>
      </c>
      <c r="K3413" s="305" t="s">
        <v>2114</v>
      </c>
    </row>
    <row r="3414" spans="1:11" x14ac:dyDescent="0.25">
      <c r="A3414" s="302" t="str">
        <f t="shared" si="94"/>
        <v>Combination Oven_0_MF/CI/SMB_Efficient Therms Usage</v>
      </c>
      <c r="B3414" s="303" t="s">
        <v>242</v>
      </c>
      <c r="C3414" s="304">
        <v>0</v>
      </c>
      <c r="D3414" s="303" t="s">
        <v>662</v>
      </c>
      <c r="E3414" s="314" t="s">
        <v>1335</v>
      </c>
      <c r="F3414" s="326"/>
      <c r="G3414" s="326">
        <f>SUM(G3408:G3412)</f>
        <v>11311.657804183667</v>
      </c>
      <c r="H3414" s="305"/>
      <c r="I3414" s="305" t="s">
        <v>152</v>
      </c>
      <c r="J3414" s="305" t="s">
        <v>519</v>
      </c>
      <c r="K3414" s="305" t="s">
        <v>2114</v>
      </c>
    </row>
    <row r="3415" spans="1:11" x14ac:dyDescent="0.25">
      <c r="A3415" s="302" t="str">
        <f t="shared" si="94"/>
        <v>Combination Oven_0_MF/CI/SMB_Coincidence Factor</v>
      </c>
      <c r="B3415" s="303" t="s">
        <v>242</v>
      </c>
      <c r="C3415" s="304">
        <v>0</v>
      </c>
      <c r="D3415" s="303" t="s">
        <v>662</v>
      </c>
      <c r="E3415" s="314" t="s">
        <v>467</v>
      </c>
      <c r="F3415" s="326"/>
      <c r="G3415" s="326">
        <v>0</v>
      </c>
      <c r="H3415" s="305" t="s">
        <v>1336</v>
      </c>
      <c r="I3415" s="305" t="s">
        <v>152</v>
      </c>
      <c r="J3415" s="305" t="s">
        <v>519</v>
      </c>
      <c r="K3415" s="305" t="s">
        <v>2114</v>
      </c>
    </row>
    <row r="3416" spans="1:11" x14ac:dyDescent="0.25">
      <c r="A3416" s="302" t="str">
        <f t="shared" si="94"/>
        <v>Combination Oven_0_MF/CI/SMB_Therm Saved per Unit</v>
      </c>
      <c r="B3416" s="303" t="s">
        <v>242</v>
      </c>
      <c r="C3416" s="304">
        <v>0</v>
      </c>
      <c r="D3416" s="303" t="s">
        <v>662</v>
      </c>
      <c r="E3416" s="314" t="s">
        <v>326</v>
      </c>
      <c r="F3416" s="326"/>
      <c r="G3416" s="326">
        <f>G3413-G3414</f>
        <v>5669.7641168958853</v>
      </c>
      <c r="H3416" s="305"/>
      <c r="I3416" s="305" t="s">
        <v>152</v>
      </c>
      <c r="J3416" s="305" t="s">
        <v>519</v>
      </c>
      <c r="K3416" s="305" t="s">
        <v>2114</v>
      </c>
    </row>
    <row r="3417" spans="1:11" x14ac:dyDescent="0.25">
      <c r="A3417" s="302" t="str">
        <f t="shared" si="94"/>
        <v>Combination Oven_0_MF/CI/SMB_Coincident Peak kW Saved per Unit</v>
      </c>
      <c r="B3417" s="303" t="s">
        <v>242</v>
      </c>
      <c r="C3417" s="304">
        <v>0</v>
      </c>
      <c r="D3417" s="303" t="s">
        <v>662</v>
      </c>
      <c r="E3417" s="314" t="s">
        <v>257</v>
      </c>
      <c r="F3417" s="326"/>
      <c r="G3417" s="326">
        <v>0</v>
      </c>
      <c r="H3417" s="305"/>
      <c r="I3417" s="305" t="s">
        <v>152</v>
      </c>
      <c r="J3417" s="305" t="s">
        <v>519</v>
      </c>
      <c r="K3417" s="305" t="s">
        <v>2114</v>
      </c>
    </row>
    <row r="3418" spans="1:11" x14ac:dyDescent="0.25">
      <c r="A3418" s="302" t="str">
        <f t="shared" si="94"/>
        <v>Combination Oven_0_MF/CI/SMB_Lifetime (years)</v>
      </c>
      <c r="B3418" s="303" t="s">
        <v>242</v>
      </c>
      <c r="C3418" s="304">
        <v>0</v>
      </c>
      <c r="D3418" s="303" t="s">
        <v>662</v>
      </c>
      <c r="E3418" s="314" t="s">
        <v>259</v>
      </c>
      <c r="F3418" s="326"/>
      <c r="G3418" s="326">
        <v>12</v>
      </c>
      <c r="H3418" s="305"/>
      <c r="I3418" s="305" t="s">
        <v>152</v>
      </c>
      <c r="J3418" s="305" t="s">
        <v>519</v>
      </c>
      <c r="K3418" s="305" t="s">
        <v>2114</v>
      </c>
    </row>
    <row r="3419" spans="1:11" x14ac:dyDescent="0.25">
      <c r="A3419" s="302" t="str">
        <f t="shared" si="94"/>
        <v>Combination Oven_0_MF/CI/SMB_Incremental Cost</v>
      </c>
      <c r="B3419" s="303" t="s">
        <v>242</v>
      </c>
      <c r="C3419" s="304">
        <v>0</v>
      </c>
      <c r="D3419" s="303" t="s">
        <v>662</v>
      </c>
      <c r="E3419" s="314" t="s">
        <v>260</v>
      </c>
      <c r="F3419" s="326"/>
      <c r="G3419" s="326">
        <v>3225</v>
      </c>
      <c r="H3419" s="305" t="s">
        <v>614</v>
      </c>
      <c r="I3419" s="305" t="s">
        <v>152</v>
      </c>
      <c r="J3419" s="305" t="s">
        <v>519</v>
      </c>
      <c r="K3419" s="305" t="s">
        <v>2114</v>
      </c>
    </row>
    <row r="3420" spans="1:11" x14ac:dyDescent="0.25">
      <c r="A3420" s="317" t="str">
        <f t="shared" si="94"/>
        <v>Combination Oven_0_MF/CI/SMB_</v>
      </c>
      <c r="B3420" s="317" t="str">
        <f>B3419</f>
        <v>Combination Oven</v>
      </c>
      <c r="C3420" s="332">
        <f>C3419</f>
        <v>0</v>
      </c>
      <c r="D3420" s="317" t="str">
        <f>D3419</f>
        <v>MF/CI/SMB</v>
      </c>
      <c r="E3420" s="317"/>
      <c r="F3420" s="317"/>
      <c r="G3420" s="323"/>
      <c r="H3420" s="320"/>
      <c r="I3420" s="320"/>
      <c r="J3420" s="320"/>
      <c r="K3420" s="320"/>
    </row>
    <row r="3421" spans="1:11" x14ac:dyDescent="0.25">
      <c r="A3421" s="302" t="str">
        <f t="shared" ref="A3421:A3471" si="95">B3421&amp;"_"&amp;C3421&amp;"_"&amp;D3421&amp;"_"&amp;E3421</f>
        <v>ENERGY STAR Dishwasher_Single Tank Conveyor_CI_Delta_therms</v>
      </c>
      <c r="B3421" s="303" t="s">
        <v>9</v>
      </c>
      <c r="C3421" s="304" t="s">
        <v>1337</v>
      </c>
      <c r="D3421" s="303" t="s">
        <v>1159</v>
      </c>
      <c r="E3421" s="305" t="s">
        <v>491</v>
      </c>
      <c r="F3421" s="309"/>
      <c r="G3421" s="307">
        <v>280</v>
      </c>
      <c r="H3421" s="305" t="s">
        <v>1338</v>
      </c>
      <c r="I3421" s="305" t="s">
        <v>152</v>
      </c>
      <c r="J3421" s="305" t="s">
        <v>114</v>
      </c>
      <c r="K3421" s="305" t="s">
        <v>2125</v>
      </c>
    </row>
    <row r="3422" spans="1:11" x14ac:dyDescent="0.25">
      <c r="A3422" s="302" t="str">
        <f t="shared" si="95"/>
        <v>ENERGY STAR Dishwasher_Single Tank Conveyor_CI_Delta_Water_Gallons</v>
      </c>
      <c r="B3422" s="303" t="s">
        <v>9</v>
      </c>
      <c r="C3422" s="304" t="s">
        <v>1337</v>
      </c>
      <c r="D3422" s="303" t="s">
        <v>1159</v>
      </c>
      <c r="E3422" s="305" t="s">
        <v>456</v>
      </c>
      <c r="F3422" s="309"/>
      <c r="G3422" s="307">
        <v>24837</v>
      </c>
      <c r="H3422" s="305" t="s">
        <v>1339</v>
      </c>
      <c r="I3422" s="305" t="s">
        <v>152</v>
      </c>
      <c r="J3422" s="305" t="s">
        <v>114</v>
      </c>
      <c r="K3422" s="305" t="s">
        <v>2125</v>
      </c>
    </row>
    <row r="3423" spans="1:11" x14ac:dyDescent="0.25">
      <c r="A3423" s="302" t="str">
        <f t="shared" si="95"/>
        <v>ENERGY STAR Dishwasher_Single Tank Conveyor_CI_Conversion</v>
      </c>
      <c r="B3423" s="303" t="s">
        <v>9</v>
      </c>
      <c r="C3423" s="304" t="s">
        <v>1337</v>
      </c>
      <c r="D3423" s="303" t="s">
        <v>1159</v>
      </c>
      <c r="E3423" s="305" t="s">
        <v>284</v>
      </c>
      <c r="F3423" s="309"/>
      <c r="G3423" s="354">
        <v>1000000</v>
      </c>
      <c r="H3423" s="305"/>
      <c r="I3423" s="305" t="s">
        <v>152</v>
      </c>
      <c r="J3423" s="305" t="s">
        <v>114</v>
      </c>
      <c r="K3423" s="305" t="s">
        <v>2125</v>
      </c>
    </row>
    <row r="3424" spans="1:11" x14ac:dyDescent="0.25">
      <c r="A3424" s="302" t="str">
        <f t="shared" si="95"/>
        <v>ENERGY STAR Dishwasher_Single Tank Conveyor_CI_E_water_total</v>
      </c>
      <c r="B3424" s="303" t="s">
        <v>9</v>
      </c>
      <c r="C3424" s="304" t="s">
        <v>1337</v>
      </c>
      <c r="D3424" s="303" t="s">
        <v>1159</v>
      </c>
      <c r="E3424" s="305" t="s">
        <v>318</v>
      </c>
      <c r="F3424" s="309"/>
      <c r="G3424" s="307">
        <v>2937</v>
      </c>
      <c r="H3424" s="305" t="s">
        <v>1251</v>
      </c>
      <c r="I3424" s="305" t="s">
        <v>152</v>
      </c>
      <c r="J3424" s="305" t="s">
        <v>114</v>
      </c>
      <c r="K3424" s="305" t="s">
        <v>2125</v>
      </c>
    </row>
    <row r="3425" spans="1:11" x14ac:dyDescent="0.25">
      <c r="A3425" s="302" t="str">
        <f t="shared" si="95"/>
        <v>ENERGY STAR Dishwasher_Single Tank Conveyor_CI_Delta_kWh_water</v>
      </c>
      <c r="B3425" s="303" t="s">
        <v>9</v>
      </c>
      <c r="C3425" s="304" t="s">
        <v>1337</v>
      </c>
      <c r="D3425" s="303" t="s">
        <v>1159</v>
      </c>
      <c r="E3425" s="305" t="s">
        <v>334</v>
      </c>
      <c r="F3425" s="309"/>
      <c r="G3425" s="307">
        <f>(G3422/G3423)*G3424</f>
        <v>72.946269000000001</v>
      </c>
      <c r="H3425" s="305"/>
      <c r="I3425" s="305" t="s">
        <v>152</v>
      </c>
      <c r="J3425" s="305" t="s">
        <v>114</v>
      </c>
      <c r="K3425" s="305" t="s">
        <v>2125</v>
      </c>
    </row>
    <row r="3426" spans="1:11" x14ac:dyDescent="0.25">
      <c r="A3426" s="302" t="str">
        <f t="shared" si="95"/>
        <v>ENERGY STAR Dishwasher_Single Tank Conveyor_CI_Hours of Operation</v>
      </c>
      <c r="B3426" s="303" t="s">
        <v>9</v>
      </c>
      <c r="C3426" s="304" t="s">
        <v>1337</v>
      </c>
      <c r="D3426" s="303" t="s">
        <v>1159</v>
      </c>
      <c r="E3426" s="305" t="s">
        <v>460</v>
      </c>
      <c r="F3426" s="309" t="s">
        <v>647</v>
      </c>
      <c r="G3426" s="354">
        <v>6575</v>
      </c>
      <c r="H3426" s="305" t="s">
        <v>1231</v>
      </c>
      <c r="I3426" s="305" t="s">
        <v>152</v>
      </c>
      <c r="J3426" s="305" t="s">
        <v>114</v>
      </c>
      <c r="K3426" s="305" t="s">
        <v>2125</v>
      </c>
    </row>
    <row r="3427" spans="1:11" x14ac:dyDescent="0.25">
      <c r="A3427" s="302" t="str">
        <f t="shared" si="95"/>
        <v>ENERGY STAR Dishwasher_Single Tank Conveyor_CI_CF</v>
      </c>
      <c r="B3427" s="303" t="s">
        <v>9</v>
      </c>
      <c r="C3427" s="304" t="s">
        <v>1337</v>
      </c>
      <c r="D3427" s="303" t="s">
        <v>1159</v>
      </c>
      <c r="E3427" s="305" t="s">
        <v>253</v>
      </c>
      <c r="F3427" s="309"/>
      <c r="G3427" s="307">
        <v>0.36</v>
      </c>
      <c r="H3427" s="305" t="s">
        <v>458</v>
      </c>
      <c r="I3427" s="305" t="s">
        <v>152</v>
      </c>
      <c r="J3427" s="305" t="s">
        <v>114</v>
      </c>
      <c r="K3427" s="305" t="s">
        <v>2125</v>
      </c>
    </row>
    <row r="3428" spans="1:11" x14ac:dyDescent="0.25">
      <c r="A3428" s="302" t="str">
        <f t="shared" si="95"/>
        <v>ENERGY STAR Dishwasher_Single Tank Conveyor_CI_kWh Saved per Unit</v>
      </c>
      <c r="B3428" s="303" t="s">
        <v>9</v>
      </c>
      <c r="C3428" s="304" t="s">
        <v>1337</v>
      </c>
      <c r="D3428" s="303" t="s">
        <v>1159</v>
      </c>
      <c r="E3428" s="314" t="s">
        <v>255</v>
      </c>
      <c r="F3428" s="326"/>
      <c r="G3428" s="326">
        <f>G3425</f>
        <v>72.946269000000001</v>
      </c>
      <c r="H3428" s="305"/>
      <c r="I3428" s="305" t="s">
        <v>152</v>
      </c>
      <c r="J3428" s="305" t="s">
        <v>114</v>
      </c>
      <c r="K3428" s="305" t="s">
        <v>2125</v>
      </c>
    </row>
    <row r="3429" spans="1:11" x14ac:dyDescent="0.25">
      <c r="A3429" s="302" t="str">
        <f t="shared" si="95"/>
        <v>ENERGY STAR Dishwasher_Single Tank Conveyor_CI_Coincident Peak kW Saved per Unit</v>
      </c>
      <c r="B3429" s="303" t="s">
        <v>9</v>
      </c>
      <c r="C3429" s="304" t="s">
        <v>1337</v>
      </c>
      <c r="D3429" s="303" t="s">
        <v>1159</v>
      </c>
      <c r="E3429" s="314" t="s">
        <v>257</v>
      </c>
      <c r="F3429" s="326"/>
      <c r="G3429" s="315">
        <v>0</v>
      </c>
      <c r="H3429" s="305"/>
      <c r="I3429" s="305" t="s">
        <v>152</v>
      </c>
      <c r="J3429" s="305" t="s">
        <v>114</v>
      </c>
      <c r="K3429" s="305" t="s">
        <v>2125</v>
      </c>
    </row>
    <row r="3430" spans="1:11" x14ac:dyDescent="0.25">
      <c r="A3430" s="302" t="str">
        <f t="shared" si="95"/>
        <v>ENERGY STAR Dishwasher_Single Tank Conveyor_CI_Therm Saved per Unit</v>
      </c>
      <c r="B3430" s="303" t="s">
        <v>9</v>
      </c>
      <c r="C3430" s="304" t="s">
        <v>1337</v>
      </c>
      <c r="D3430" s="303" t="s">
        <v>1159</v>
      </c>
      <c r="E3430" s="314" t="s">
        <v>326</v>
      </c>
      <c r="F3430" s="326"/>
      <c r="G3430" s="326">
        <f>G3421</f>
        <v>280</v>
      </c>
      <c r="H3430" s="305" t="s">
        <v>1339</v>
      </c>
      <c r="I3430" s="305" t="s">
        <v>152</v>
      </c>
      <c r="J3430" s="305" t="s">
        <v>114</v>
      </c>
      <c r="K3430" s="305" t="s">
        <v>2125</v>
      </c>
    </row>
    <row r="3431" spans="1:11" x14ac:dyDescent="0.25">
      <c r="A3431" s="302" t="str">
        <f t="shared" si="95"/>
        <v>ENERGY STAR Dishwasher_Single Tank Conveyor_CI_Gallons Saved per Unit</v>
      </c>
      <c r="B3431" s="303" t="s">
        <v>9</v>
      </c>
      <c r="C3431" s="304" t="s">
        <v>1337</v>
      </c>
      <c r="D3431" s="303" t="s">
        <v>1159</v>
      </c>
      <c r="E3431" s="314" t="s">
        <v>547</v>
      </c>
      <c r="F3431" s="326"/>
      <c r="G3431" s="315">
        <f>G3422</f>
        <v>24837</v>
      </c>
      <c r="H3431" s="305" t="s">
        <v>1339</v>
      </c>
      <c r="I3431" s="305" t="s">
        <v>152</v>
      </c>
      <c r="J3431" s="305" t="s">
        <v>114</v>
      </c>
      <c r="K3431" s="305" t="s">
        <v>2125</v>
      </c>
    </row>
    <row r="3432" spans="1:11" x14ac:dyDescent="0.25">
      <c r="A3432" s="302" t="str">
        <f t="shared" si="95"/>
        <v>ENERGY STAR Dishwasher_Single Tank Conveyor_CI_Lifetime (years)</v>
      </c>
      <c r="B3432" s="303" t="s">
        <v>9</v>
      </c>
      <c r="C3432" s="304" t="s">
        <v>1337</v>
      </c>
      <c r="D3432" s="303" t="s">
        <v>1159</v>
      </c>
      <c r="E3432" s="314" t="s">
        <v>259</v>
      </c>
      <c r="F3432" s="326"/>
      <c r="G3432" s="315">
        <v>20</v>
      </c>
      <c r="H3432" s="305" t="s">
        <v>1339</v>
      </c>
      <c r="I3432" s="305" t="s">
        <v>152</v>
      </c>
      <c r="J3432" s="305" t="s">
        <v>114</v>
      </c>
      <c r="K3432" s="305" t="s">
        <v>2125</v>
      </c>
    </row>
    <row r="3433" spans="1:11" x14ac:dyDescent="0.25">
      <c r="A3433" s="302" t="str">
        <f t="shared" si="95"/>
        <v>ENERGY STAR Dishwasher_Single Tank Conveyor_CI_Incremental Cost</v>
      </c>
      <c r="B3433" s="303" t="s">
        <v>9</v>
      </c>
      <c r="C3433" s="304" t="s">
        <v>1337</v>
      </c>
      <c r="D3433" s="303" t="s">
        <v>1159</v>
      </c>
      <c r="E3433" s="314" t="s">
        <v>260</v>
      </c>
      <c r="F3433" s="327"/>
      <c r="G3433" s="331">
        <v>2050</v>
      </c>
      <c r="H3433" s="305" t="s">
        <v>1339</v>
      </c>
      <c r="I3433" s="305" t="s">
        <v>152</v>
      </c>
      <c r="J3433" s="305" t="s">
        <v>114</v>
      </c>
      <c r="K3433" s="305" t="s">
        <v>2125</v>
      </c>
    </row>
    <row r="3434" spans="1:11" x14ac:dyDescent="0.25">
      <c r="A3434" s="317" t="str">
        <f t="shared" si="95"/>
        <v>ENERGY STAR Dishwasher_Single Tank Conveyor_CI_</v>
      </c>
      <c r="B3434" s="317" t="str">
        <f>B3433</f>
        <v>ENERGY STAR Dishwasher</v>
      </c>
      <c r="C3434" s="332" t="str">
        <f>C3433</f>
        <v>Single Tank Conveyor</v>
      </c>
      <c r="D3434" s="317" t="str">
        <f>D3433</f>
        <v>CI</v>
      </c>
      <c r="E3434" s="317"/>
      <c r="F3434" s="317"/>
      <c r="G3434" s="323"/>
      <c r="H3434" s="320"/>
      <c r="I3434" s="320"/>
      <c r="J3434" s="317"/>
      <c r="K3434" s="317"/>
    </row>
    <row r="3435" spans="1:11" x14ac:dyDescent="0.25">
      <c r="A3435" s="302" t="str">
        <f t="shared" si="95"/>
        <v>ENERGY STAR Dishwasher_Stationary Single Tank_CI_Delta_therms</v>
      </c>
      <c r="B3435" s="303" t="s">
        <v>9</v>
      </c>
      <c r="C3435" s="304" t="s">
        <v>1340</v>
      </c>
      <c r="D3435" s="303" t="s">
        <v>1159</v>
      </c>
      <c r="E3435" s="305" t="s">
        <v>491</v>
      </c>
      <c r="F3435" s="309"/>
      <c r="G3435" s="307">
        <v>462</v>
      </c>
      <c r="H3435" s="305" t="s">
        <v>1341</v>
      </c>
      <c r="I3435" s="305" t="s">
        <v>152</v>
      </c>
      <c r="J3435" s="305" t="s">
        <v>114</v>
      </c>
      <c r="K3435" s="305" t="s">
        <v>2125</v>
      </c>
    </row>
    <row r="3436" spans="1:11" x14ac:dyDescent="0.25">
      <c r="A3436" s="302" t="str">
        <f t="shared" si="95"/>
        <v>ENERGY STAR Dishwasher_Stationary Single Tank_CI_Delta_Water_Gallons</v>
      </c>
      <c r="B3436" s="303" t="s">
        <v>9</v>
      </c>
      <c r="C3436" s="304" t="s">
        <v>1340</v>
      </c>
      <c r="D3436" s="303" t="s">
        <v>1159</v>
      </c>
      <c r="E3436" s="305" t="s">
        <v>456</v>
      </c>
      <c r="F3436" s="309"/>
      <c r="G3436" s="307">
        <v>40908</v>
      </c>
      <c r="H3436" s="305" t="s">
        <v>1342</v>
      </c>
      <c r="I3436" s="305" t="s">
        <v>152</v>
      </c>
      <c r="J3436" s="305" t="s">
        <v>114</v>
      </c>
      <c r="K3436" s="305" t="s">
        <v>2125</v>
      </c>
    </row>
    <row r="3437" spans="1:11" x14ac:dyDescent="0.25">
      <c r="A3437" s="302" t="str">
        <f t="shared" si="95"/>
        <v>ENERGY STAR Dishwasher_Stationary Single Tank_CI_Conversion</v>
      </c>
      <c r="B3437" s="303" t="s">
        <v>9</v>
      </c>
      <c r="C3437" s="304" t="s">
        <v>1340</v>
      </c>
      <c r="D3437" s="303" t="s">
        <v>1159</v>
      </c>
      <c r="E3437" s="305" t="s">
        <v>284</v>
      </c>
      <c r="F3437" s="309"/>
      <c r="G3437" s="354">
        <v>1000000</v>
      </c>
      <c r="H3437" s="305"/>
      <c r="I3437" s="305" t="s">
        <v>152</v>
      </c>
      <c r="J3437" s="305" t="s">
        <v>114</v>
      </c>
      <c r="K3437" s="305" t="s">
        <v>2125</v>
      </c>
    </row>
    <row r="3438" spans="1:11" x14ac:dyDescent="0.25">
      <c r="A3438" s="302" t="str">
        <f t="shared" si="95"/>
        <v>ENERGY STAR Dishwasher_Stationary Single Tank_CI_E_water_total</v>
      </c>
      <c r="B3438" s="303" t="s">
        <v>9</v>
      </c>
      <c r="C3438" s="304" t="s">
        <v>1340</v>
      </c>
      <c r="D3438" s="303" t="s">
        <v>1159</v>
      </c>
      <c r="E3438" s="305" t="s">
        <v>318</v>
      </c>
      <c r="F3438" s="309"/>
      <c r="G3438" s="307">
        <v>2937</v>
      </c>
      <c r="H3438" s="305" t="s">
        <v>1251</v>
      </c>
      <c r="I3438" s="305" t="s">
        <v>152</v>
      </c>
      <c r="J3438" s="305" t="s">
        <v>114</v>
      </c>
      <c r="K3438" s="305" t="s">
        <v>2125</v>
      </c>
    </row>
    <row r="3439" spans="1:11" x14ac:dyDescent="0.25">
      <c r="A3439" s="302" t="str">
        <f t="shared" si="95"/>
        <v>ENERGY STAR Dishwasher_Stationary Single Tank_CI_Delta_kWh_water</v>
      </c>
      <c r="B3439" s="303" t="s">
        <v>9</v>
      </c>
      <c r="C3439" s="304" t="s">
        <v>1340</v>
      </c>
      <c r="D3439" s="303" t="s">
        <v>1159</v>
      </c>
      <c r="E3439" s="305" t="s">
        <v>334</v>
      </c>
      <c r="F3439" s="309"/>
      <c r="G3439" s="307">
        <f>(G3436/G3437)*G3438</f>
        <v>120.14679599999999</v>
      </c>
      <c r="H3439" s="305"/>
      <c r="I3439" s="305" t="s">
        <v>152</v>
      </c>
      <c r="J3439" s="305" t="s">
        <v>114</v>
      </c>
      <c r="K3439" s="305" t="s">
        <v>2125</v>
      </c>
    </row>
    <row r="3440" spans="1:11" x14ac:dyDescent="0.25">
      <c r="A3440" s="302" t="str">
        <f t="shared" si="95"/>
        <v>ENERGY STAR Dishwasher_Stationary Single Tank_CI_Hours of Operation</v>
      </c>
      <c r="B3440" s="303" t="s">
        <v>9</v>
      </c>
      <c r="C3440" s="304" t="s">
        <v>1340</v>
      </c>
      <c r="D3440" s="303" t="s">
        <v>1159</v>
      </c>
      <c r="E3440" s="305" t="s">
        <v>460</v>
      </c>
      <c r="F3440" s="309" t="s">
        <v>647</v>
      </c>
      <c r="G3440" s="354">
        <v>6575</v>
      </c>
      <c r="H3440" s="305" t="s">
        <v>1231</v>
      </c>
      <c r="I3440" s="305" t="s">
        <v>152</v>
      </c>
      <c r="J3440" s="305" t="s">
        <v>114</v>
      </c>
      <c r="K3440" s="305" t="s">
        <v>2125</v>
      </c>
    </row>
    <row r="3441" spans="1:11" x14ac:dyDescent="0.25">
      <c r="A3441" s="302" t="str">
        <f t="shared" si="95"/>
        <v>ENERGY STAR Dishwasher_Stationary Single Tank_CI_CF</v>
      </c>
      <c r="B3441" s="303" t="s">
        <v>9</v>
      </c>
      <c r="C3441" s="304" t="s">
        <v>1340</v>
      </c>
      <c r="D3441" s="303" t="s">
        <v>1159</v>
      </c>
      <c r="E3441" s="305" t="s">
        <v>253</v>
      </c>
      <c r="F3441" s="309"/>
      <c r="G3441" s="307">
        <v>0.36</v>
      </c>
      <c r="H3441" s="305" t="s">
        <v>458</v>
      </c>
      <c r="I3441" s="305" t="s">
        <v>152</v>
      </c>
      <c r="J3441" s="305" t="s">
        <v>114</v>
      </c>
      <c r="K3441" s="305" t="s">
        <v>2125</v>
      </c>
    </row>
    <row r="3442" spans="1:11" x14ac:dyDescent="0.25">
      <c r="A3442" s="302" t="str">
        <f t="shared" si="95"/>
        <v>ENERGY STAR Dishwasher_Stationary Single Tank_CI_kWh Saved per Unit</v>
      </c>
      <c r="B3442" s="303" t="s">
        <v>9</v>
      </c>
      <c r="C3442" s="304" t="s">
        <v>1340</v>
      </c>
      <c r="D3442" s="303" t="s">
        <v>1159</v>
      </c>
      <c r="E3442" s="314" t="s">
        <v>255</v>
      </c>
      <c r="F3442" s="326"/>
      <c r="G3442" s="326">
        <f>G3439</f>
        <v>120.14679599999999</v>
      </c>
      <c r="H3442" s="305"/>
      <c r="I3442" s="305" t="s">
        <v>152</v>
      </c>
      <c r="J3442" s="305" t="s">
        <v>114</v>
      </c>
      <c r="K3442" s="305" t="s">
        <v>2125</v>
      </c>
    </row>
    <row r="3443" spans="1:11" x14ac:dyDescent="0.25">
      <c r="A3443" s="302" t="str">
        <f t="shared" si="95"/>
        <v>ENERGY STAR Dishwasher_Stationary Single Tank_CI_Coincident Peak kW Saved per Unit</v>
      </c>
      <c r="B3443" s="303" t="s">
        <v>9</v>
      </c>
      <c r="C3443" s="304" t="s">
        <v>1340</v>
      </c>
      <c r="D3443" s="303" t="s">
        <v>1159</v>
      </c>
      <c r="E3443" s="314" t="s">
        <v>257</v>
      </c>
      <c r="F3443" s="326"/>
      <c r="G3443" s="315">
        <v>0</v>
      </c>
      <c r="H3443" s="305"/>
      <c r="I3443" s="305" t="s">
        <v>152</v>
      </c>
      <c r="J3443" s="305" t="s">
        <v>114</v>
      </c>
      <c r="K3443" s="305" t="s">
        <v>2125</v>
      </c>
    </row>
    <row r="3444" spans="1:11" x14ac:dyDescent="0.25">
      <c r="A3444" s="302" t="str">
        <f t="shared" si="95"/>
        <v>ENERGY STAR Dishwasher_Stationary Single Tank_CI_Therm Saved per Unit</v>
      </c>
      <c r="B3444" s="303" t="s">
        <v>9</v>
      </c>
      <c r="C3444" s="304" t="s">
        <v>1340</v>
      </c>
      <c r="D3444" s="303" t="s">
        <v>1159</v>
      </c>
      <c r="E3444" s="314" t="s">
        <v>326</v>
      </c>
      <c r="F3444" s="326"/>
      <c r="G3444" s="326">
        <f>G3435</f>
        <v>462</v>
      </c>
      <c r="H3444" s="305" t="s">
        <v>1342</v>
      </c>
      <c r="I3444" s="305" t="s">
        <v>152</v>
      </c>
      <c r="J3444" s="305" t="s">
        <v>114</v>
      </c>
      <c r="K3444" s="305" t="s">
        <v>2125</v>
      </c>
    </row>
    <row r="3445" spans="1:11" x14ac:dyDescent="0.25">
      <c r="A3445" s="302" t="str">
        <f t="shared" si="95"/>
        <v>ENERGY STAR Dishwasher_Stationary Single Tank_CI_Gallons Saved per Unit</v>
      </c>
      <c r="B3445" s="303" t="s">
        <v>9</v>
      </c>
      <c r="C3445" s="304" t="s">
        <v>1340</v>
      </c>
      <c r="D3445" s="303" t="s">
        <v>1159</v>
      </c>
      <c r="E3445" s="314" t="s">
        <v>547</v>
      </c>
      <c r="F3445" s="326"/>
      <c r="G3445" s="315">
        <f>G3436</f>
        <v>40908</v>
      </c>
      <c r="H3445" s="305" t="s">
        <v>1342</v>
      </c>
      <c r="I3445" s="305" t="s">
        <v>152</v>
      </c>
      <c r="J3445" s="305" t="s">
        <v>114</v>
      </c>
      <c r="K3445" s="305" t="s">
        <v>2125</v>
      </c>
    </row>
    <row r="3446" spans="1:11" x14ac:dyDescent="0.25">
      <c r="A3446" s="302" t="str">
        <f t="shared" si="95"/>
        <v>ENERGY STAR Dishwasher_Stationary Single Tank_CI_Lifetime (years)</v>
      </c>
      <c r="B3446" s="303" t="s">
        <v>9</v>
      </c>
      <c r="C3446" s="304" t="s">
        <v>1340</v>
      </c>
      <c r="D3446" s="303" t="s">
        <v>1159</v>
      </c>
      <c r="E3446" s="314" t="s">
        <v>259</v>
      </c>
      <c r="F3446" s="326"/>
      <c r="G3446" s="315">
        <v>15</v>
      </c>
      <c r="H3446" s="305" t="s">
        <v>1342</v>
      </c>
      <c r="I3446" s="305" t="s">
        <v>152</v>
      </c>
      <c r="J3446" s="305" t="s">
        <v>114</v>
      </c>
      <c r="K3446" s="305" t="s">
        <v>2125</v>
      </c>
    </row>
    <row r="3447" spans="1:11" x14ac:dyDescent="0.25">
      <c r="A3447" s="302" t="str">
        <f t="shared" si="95"/>
        <v>ENERGY STAR Dishwasher_Stationary Single Tank_CI_Incremental Cost</v>
      </c>
      <c r="B3447" s="303" t="s">
        <v>9</v>
      </c>
      <c r="C3447" s="304" t="s">
        <v>1340</v>
      </c>
      <c r="D3447" s="303" t="s">
        <v>1159</v>
      </c>
      <c r="E3447" s="314" t="s">
        <v>260</v>
      </c>
      <c r="F3447" s="327"/>
      <c r="G3447" s="331">
        <v>770</v>
      </c>
      <c r="H3447" s="305" t="s">
        <v>1342</v>
      </c>
      <c r="I3447" s="305" t="s">
        <v>152</v>
      </c>
      <c r="J3447" s="305" t="s">
        <v>114</v>
      </c>
      <c r="K3447" s="305" t="s">
        <v>2125</v>
      </c>
    </row>
    <row r="3448" spans="1:11" x14ac:dyDescent="0.25">
      <c r="A3448" s="317" t="str">
        <f t="shared" si="95"/>
        <v>ENERGY STAR Dishwasher_Stationary Single Tank_CI_</v>
      </c>
      <c r="B3448" s="317" t="str">
        <f>B3447</f>
        <v>ENERGY STAR Dishwasher</v>
      </c>
      <c r="C3448" s="332" t="str">
        <f>C3447</f>
        <v>Stationary Single Tank</v>
      </c>
      <c r="D3448" s="317" t="str">
        <f>D3447</f>
        <v>CI</v>
      </c>
      <c r="E3448" s="317"/>
      <c r="F3448" s="317"/>
      <c r="G3448" s="323"/>
      <c r="H3448" s="320"/>
      <c r="I3448" s="320"/>
      <c r="J3448" s="317"/>
      <c r="K3448" s="317"/>
    </row>
    <row r="3449" spans="1:11" x14ac:dyDescent="0.25">
      <c r="A3449" s="302" t="str">
        <f t="shared" si="95"/>
        <v>ENERGY STAR Dishwasher_Multi Tank Conveyor_CI_Delta_therms</v>
      </c>
      <c r="B3449" s="303" t="s">
        <v>9</v>
      </c>
      <c r="C3449" s="304" t="s">
        <v>1343</v>
      </c>
      <c r="D3449" s="303" t="s">
        <v>1159</v>
      </c>
      <c r="E3449" s="305" t="s">
        <v>491</v>
      </c>
      <c r="F3449" s="309"/>
      <c r="G3449" s="307">
        <v>1064</v>
      </c>
      <c r="H3449" s="305" t="s">
        <v>1344</v>
      </c>
      <c r="I3449" s="305" t="s">
        <v>152</v>
      </c>
      <c r="J3449" s="305" t="s">
        <v>114</v>
      </c>
      <c r="K3449" s="305" t="s">
        <v>2125</v>
      </c>
    </row>
    <row r="3450" spans="1:11" x14ac:dyDescent="0.25">
      <c r="A3450" s="302" t="str">
        <f t="shared" si="95"/>
        <v>ENERGY STAR Dishwasher_Multi Tank Conveyor_CI_Delta_Water_Gallons</v>
      </c>
      <c r="B3450" s="303" t="s">
        <v>9</v>
      </c>
      <c r="C3450" s="304" t="s">
        <v>1343</v>
      </c>
      <c r="D3450" s="303" t="s">
        <v>1159</v>
      </c>
      <c r="E3450" s="305" t="s">
        <v>456</v>
      </c>
      <c r="F3450" s="309"/>
      <c r="G3450" s="307">
        <v>94235</v>
      </c>
      <c r="H3450" s="305" t="s">
        <v>1345</v>
      </c>
      <c r="I3450" s="305" t="s">
        <v>152</v>
      </c>
      <c r="J3450" s="305" t="s">
        <v>114</v>
      </c>
      <c r="K3450" s="305" t="s">
        <v>2125</v>
      </c>
    </row>
    <row r="3451" spans="1:11" x14ac:dyDescent="0.25">
      <c r="A3451" s="302" t="str">
        <f t="shared" si="95"/>
        <v>ENERGY STAR Dishwasher_Multi Tank Conveyor_CI_Conversion</v>
      </c>
      <c r="B3451" s="303" t="s">
        <v>9</v>
      </c>
      <c r="C3451" s="304" t="s">
        <v>1343</v>
      </c>
      <c r="D3451" s="303" t="s">
        <v>1159</v>
      </c>
      <c r="E3451" s="305" t="s">
        <v>284</v>
      </c>
      <c r="F3451" s="309"/>
      <c r="G3451" s="354">
        <v>1000000</v>
      </c>
      <c r="H3451" s="305"/>
      <c r="I3451" s="305" t="s">
        <v>152</v>
      </c>
      <c r="J3451" s="305" t="s">
        <v>114</v>
      </c>
      <c r="K3451" s="305" t="s">
        <v>2125</v>
      </c>
    </row>
    <row r="3452" spans="1:11" x14ac:dyDescent="0.25">
      <c r="A3452" s="302" t="str">
        <f t="shared" si="95"/>
        <v>ENERGY STAR Dishwasher_Multi Tank Conveyor_CI_E_water_total</v>
      </c>
      <c r="B3452" s="303" t="s">
        <v>9</v>
      </c>
      <c r="C3452" s="304" t="s">
        <v>1343</v>
      </c>
      <c r="D3452" s="303" t="s">
        <v>1159</v>
      </c>
      <c r="E3452" s="305" t="s">
        <v>318</v>
      </c>
      <c r="F3452" s="309"/>
      <c r="G3452" s="307">
        <v>2937</v>
      </c>
      <c r="H3452" s="305" t="s">
        <v>1251</v>
      </c>
      <c r="I3452" s="305" t="s">
        <v>152</v>
      </c>
      <c r="J3452" s="305" t="s">
        <v>114</v>
      </c>
      <c r="K3452" s="305" t="s">
        <v>2125</v>
      </c>
    </row>
    <row r="3453" spans="1:11" x14ac:dyDescent="0.25">
      <c r="A3453" s="302" t="str">
        <f t="shared" si="95"/>
        <v>ENERGY STAR Dishwasher_Multi Tank Conveyor_CI_Delta_kWh_water</v>
      </c>
      <c r="B3453" s="303" t="s">
        <v>9</v>
      </c>
      <c r="C3453" s="304" t="s">
        <v>1343</v>
      </c>
      <c r="D3453" s="303" t="s">
        <v>1159</v>
      </c>
      <c r="E3453" s="305" t="s">
        <v>334</v>
      </c>
      <c r="F3453" s="309"/>
      <c r="G3453" s="307">
        <f>(G3450/G3451)*G3452</f>
        <v>276.76819499999999</v>
      </c>
      <c r="H3453" s="305"/>
      <c r="I3453" s="305" t="s">
        <v>152</v>
      </c>
      <c r="J3453" s="305" t="s">
        <v>114</v>
      </c>
      <c r="K3453" s="305" t="s">
        <v>2125</v>
      </c>
    </row>
    <row r="3454" spans="1:11" x14ac:dyDescent="0.25">
      <c r="A3454" s="302" t="str">
        <f t="shared" si="95"/>
        <v>ENERGY STAR Dishwasher_Multi Tank Conveyor_CI_Hours of Operation</v>
      </c>
      <c r="B3454" s="303" t="s">
        <v>9</v>
      </c>
      <c r="C3454" s="304" t="s">
        <v>1343</v>
      </c>
      <c r="D3454" s="303" t="s">
        <v>1159</v>
      </c>
      <c r="E3454" s="305" t="s">
        <v>460</v>
      </c>
      <c r="F3454" s="309" t="s">
        <v>647</v>
      </c>
      <c r="G3454" s="354">
        <v>6575</v>
      </c>
      <c r="H3454" s="305" t="s">
        <v>1231</v>
      </c>
      <c r="I3454" s="305" t="s">
        <v>152</v>
      </c>
      <c r="J3454" s="305" t="s">
        <v>114</v>
      </c>
      <c r="K3454" s="305" t="s">
        <v>2125</v>
      </c>
    </row>
    <row r="3455" spans="1:11" x14ac:dyDescent="0.25">
      <c r="A3455" s="302" t="str">
        <f t="shared" si="95"/>
        <v>ENERGY STAR Dishwasher_Multi Tank Conveyor_CI_CF</v>
      </c>
      <c r="B3455" s="303" t="s">
        <v>9</v>
      </c>
      <c r="C3455" s="304" t="s">
        <v>1343</v>
      </c>
      <c r="D3455" s="303" t="s">
        <v>1159</v>
      </c>
      <c r="E3455" s="305" t="s">
        <v>253</v>
      </c>
      <c r="F3455" s="309"/>
      <c r="G3455" s="307">
        <v>0.36</v>
      </c>
      <c r="H3455" s="305" t="s">
        <v>458</v>
      </c>
      <c r="I3455" s="305" t="s">
        <v>152</v>
      </c>
      <c r="J3455" s="305" t="s">
        <v>114</v>
      </c>
      <c r="K3455" s="305" t="s">
        <v>2125</v>
      </c>
    </row>
    <row r="3456" spans="1:11" x14ac:dyDescent="0.25">
      <c r="A3456" s="302" t="str">
        <f t="shared" si="95"/>
        <v>ENERGY STAR Dishwasher_Multi Tank Conveyor_CI_kWh Saved per Unit</v>
      </c>
      <c r="B3456" s="303" t="s">
        <v>9</v>
      </c>
      <c r="C3456" s="304" t="s">
        <v>1343</v>
      </c>
      <c r="D3456" s="303" t="s">
        <v>1159</v>
      </c>
      <c r="E3456" s="314" t="s">
        <v>255</v>
      </c>
      <c r="F3456" s="326"/>
      <c r="G3456" s="326">
        <f>G3453</f>
        <v>276.76819499999999</v>
      </c>
      <c r="H3456" s="305"/>
      <c r="I3456" s="305" t="s">
        <v>152</v>
      </c>
      <c r="J3456" s="305" t="s">
        <v>114</v>
      </c>
      <c r="K3456" s="305" t="s">
        <v>2125</v>
      </c>
    </row>
    <row r="3457" spans="1:11" x14ac:dyDescent="0.25">
      <c r="A3457" s="302" t="str">
        <f t="shared" si="95"/>
        <v>ENERGY STAR Dishwasher_Multi Tank Conveyor_CI_Coincident Peak kW Saved per Unit</v>
      </c>
      <c r="B3457" s="303" t="s">
        <v>9</v>
      </c>
      <c r="C3457" s="304" t="s">
        <v>1343</v>
      </c>
      <c r="D3457" s="303" t="s">
        <v>1159</v>
      </c>
      <c r="E3457" s="314" t="s">
        <v>257</v>
      </c>
      <c r="F3457" s="326"/>
      <c r="G3457" s="315">
        <v>0</v>
      </c>
      <c r="H3457" s="305"/>
      <c r="I3457" s="305" t="s">
        <v>152</v>
      </c>
      <c r="J3457" s="305" t="s">
        <v>114</v>
      </c>
      <c r="K3457" s="305" t="s">
        <v>2125</v>
      </c>
    </row>
    <row r="3458" spans="1:11" x14ac:dyDescent="0.25">
      <c r="A3458" s="302" t="str">
        <f t="shared" si="95"/>
        <v>ENERGY STAR Dishwasher_Multi Tank Conveyor_CI_Therm Saved per Unit</v>
      </c>
      <c r="B3458" s="303" t="s">
        <v>9</v>
      </c>
      <c r="C3458" s="304" t="s">
        <v>1343</v>
      </c>
      <c r="D3458" s="303" t="s">
        <v>1159</v>
      </c>
      <c r="E3458" s="314" t="s">
        <v>326</v>
      </c>
      <c r="F3458" s="326"/>
      <c r="G3458" s="326">
        <f>G3449</f>
        <v>1064</v>
      </c>
      <c r="H3458" s="305" t="s">
        <v>1345</v>
      </c>
      <c r="I3458" s="305" t="s">
        <v>152</v>
      </c>
      <c r="J3458" s="305" t="s">
        <v>114</v>
      </c>
      <c r="K3458" s="305" t="s">
        <v>2125</v>
      </c>
    </row>
    <row r="3459" spans="1:11" x14ac:dyDescent="0.25">
      <c r="A3459" s="302" t="str">
        <f t="shared" si="95"/>
        <v>ENERGY STAR Dishwasher_Multi Tank Conveyor_CI_Gallons Saved per Unit</v>
      </c>
      <c r="B3459" s="303" t="s">
        <v>9</v>
      </c>
      <c r="C3459" s="304" t="s">
        <v>1343</v>
      </c>
      <c r="D3459" s="303" t="s">
        <v>1159</v>
      </c>
      <c r="E3459" s="314" t="s">
        <v>547</v>
      </c>
      <c r="F3459" s="326"/>
      <c r="G3459" s="315">
        <f>G3450</f>
        <v>94235</v>
      </c>
      <c r="H3459" s="305" t="s">
        <v>1345</v>
      </c>
      <c r="I3459" s="305" t="s">
        <v>152</v>
      </c>
      <c r="J3459" s="305" t="s">
        <v>114</v>
      </c>
      <c r="K3459" s="305" t="s">
        <v>2125</v>
      </c>
    </row>
    <row r="3460" spans="1:11" x14ac:dyDescent="0.25">
      <c r="A3460" s="302" t="str">
        <f t="shared" si="95"/>
        <v>ENERGY STAR Dishwasher_Multi Tank Conveyor_CI_Lifetime (years)</v>
      </c>
      <c r="B3460" s="303" t="s">
        <v>9</v>
      </c>
      <c r="C3460" s="304" t="s">
        <v>1343</v>
      </c>
      <c r="D3460" s="303" t="s">
        <v>1159</v>
      </c>
      <c r="E3460" s="314" t="s">
        <v>259</v>
      </c>
      <c r="F3460" s="326"/>
      <c r="G3460" s="315">
        <v>20</v>
      </c>
      <c r="H3460" s="305" t="s">
        <v>1345</v>
      </c>
      <c r="I3460" s="305" t="s">
        <v>152</v>
      </c>
      <c r="J3460" s="305" t="s">
        <v>114</v>
      </c>
      <c r="K3460" s="305" t="s">
        <v>2125</v>
      </c>
    </row>
    <row r="3461" spans="1:11" x14ac:dyDescent="0.25">
      <c r="A3461" s="302" t="str">
        <f t="shared" si="95"/>
        <v>ENERGY STAR Dishwasher_Multi Tank Conveyor_CI_Incremental Cost</v>
      </c>
      <c r="B3461" s="303" t="s">
        <v>9</v>
      </c>
      <c r="C3461" s="304" t="s">
        <v>1343</v>
      </c>
      <c r="D3461" s="303" t="s">
        <v>1159</v>
      </c>
      <c r="E3461" s="314" t="s">
        <v>260</v>
      </c>
      <c r="F3461" s="327"/>
      <c r="G3461" s="331">
        <v>970</v>
      </c>
      <c r="H3461" s="305" t="s">
        <v>1345</v>
      </c>
      <c r="I3461" s="305" t="s">
        <v>152</v>
      </c>
      <c r="J3461" s="305" t="s">
        <v>114</v>
      </c>
      <c r="K3461" s="305" t="s">
        <v>2125</v>
      </c>
    </row>
    <row r="3462" spans="1:11" x14ac:dyDescent="0.25">
      <c r="A3462" s="317" t="str">
        <f t="shared" si="95"/>
        <v>ENERGY STAR Dishwasher_Multi Tank Conveyor_CI_</v>
      </c>
      <c r="B3462" s="317" t="str">
        <f>B3461</f>
        <v>ENERGY STAR Dishwasher</v>
      </c>
      <c r="C3462" s="332" t="str">
        <f>C3461</f>
        <v>Multi Tank Conveyor</v>
      </c>
      <c r="D3462" s="317" t="str">
        <f>D3461</f>
        <v>CI</v>
      </c>
      <c r="E3462" s="317"/>
      <c r="F3462" s="317"/>
      <c r="G3462" s="323"/>
      <c r="H3462" s="320"/>
      <c r="I3462" s="320"/>
      <c r="J3462" s="317"/>
      <c r="K3462" s="317"/>
    </row>
    <row r="3463" spans="1:11" x14ac:dyDescent="0.25">
      <c r="A3463" s="302" t="str">
        <f t="shared" si="95"/>
        <v>ENERGY STAR Dishwasher_0_MF/CI/SMB_Delta_therms</v>
      </c>
      <c r="B3463" s="303" t="s">
        <v>9</v>
      </c>
      <c r="C3463" s="304">
        <v>0</v>
      </c>
      <c r="D3463" s="303" t="s">
        <v>662</v>
      </c>
      <c r="E3463" s="305" t="s">
        <v>491</v>
      </c>
      <c r="F3463" s="309"/>
      <c r="G3463" s="307">
        <v>106</v>
      </c>
      <c r="H3463" s="305" t="s">
        <v>1346</v>
      </c>
      <c r="I3463" s="305" t="s">
        <v>152</v>
      </c>
      <c r="J3463" s="305" t="s">
        <v>114</v>
      </c>
      <c r="K3463" s="305" t="s">
        <v>2125</v>
      </c>
    </row>
    <row r="3464" spans="1:11" x14ac:dyDescent="0.25">
      <c r="A3464" s="302" t="str">
        <f t="shared" si="95"/>
        <v>ENERGY STAR Dishwasher_0_MF/CI/SMB_Delta_Water_Gallons</v>
      </c>
      <c r="B3464" s="303" t="s">
        <v>9</v>
      </c>
      <c r="C3464" s="304">
        <v>0</v>
      </c>
      <c r="D3464" s="303" t="s">
        <v>662</v>
      </c>
      <c r="E3464" s="305" t="s">
        <v>456</v>
      </c>
      <c r="F3464" s="309"/>
      <c r="G3464" s="307">
        <v>14793</v>
      </c>
      <c r="H3464" s="305" t="s">
        <v>1347</v>
      </c>
      <c r="I3464" s="305" t="s">
        <v>152</v>
      </c>
      <c r="J3464" s="305" t="s">
        <v>114</v>
      </c>
      <c r="K3464" s="305" t="s">
        <v>2125</v>
      </c>
    </row>
    <row r="3465" spans="1:11" x14ac:dyDescent="0.25">
      <c r="A3465" s="302" t="str">
        <f t="shared" si="95"/>
        <v>ENERGY STAR Dishwasher_0_MF/CI/SMB_Conversion</v>
      </c>
      <c r="B3465" s="303" t="s">
        <v>9</v>
      </c>
      <c r="C3465" s="304">
        <v>0</v>
      </c>
      <c r="D3465" s="303" t="s">
        <v>662</v>
      </c>
      <c r="E3465" s="305" t="s">
        <v>284</v>
      </c>
      <c r="F3465" s="309"/>
      <c r="G3465" s="354">
        <v>1000000</v>
      </c>
      <c r="H3465" s="305"/>
      <c r="I3465" s="305" t="s">
        <v>152</v>
      </c>
      <c r="J3465" s="305" t="s">
        <v>114</v>
      </c>
      <c r="K3465" s="305" t="s">
        <v>2125</v>
      </c>
    </row>
    <row r="3466" spans="1:11" x14ac:dyDescent="0.25">
      <c r="A3466" s="302" t="str">
        <f t="shared" si="95"/>
        <v>ENERGY STAR Dishwasher_0_MF/CI/SMB_E_water_total</v>
      </c>
      <c r="B3466" s="303" t="s">
        <v>9</v>
      </c>
      <c r="C3466" s="304">
        <v>0</v>
      </c>
      <c r="D3466" s="303" t="s">
        <v>662</v>
      </c>
      <c r="E3466" s="305" t="s">
        <v>318</v>
      </c>
      <c r="F3466" s="309"/>
      <c r="G3466" s="307">
        <v>2937</v>
      </c>
      <c r="H3466" s="305" t="s">
        <v>1251</v>
      </c>
      <c r="I3466" s="305" t="s">
        <v>152</v>
      </c>
      <c r="J3466" s="305" t="s">
        <v>114</v>
      </c>
      <c r="K3466" s="305" t="s">
        <v>2125</v>
      </c>
    </row>
    <row r="3467" spans="1:11" x14ac:dyDescent="0.25">
      <c r="A3467" s="302" t="str">
        <f t="shared" si="95"/>
        <v>ENERGY STAR Dishwasher_0_MF/CI/SMB_Delta_kWh_water</v>
      </c>
      <c r="B3467" s="303" t="s">
        <v>9</v>
      </c>
      <c r="C3467" s="304">
        <v>0</v>
      </c>
      <c r="D3467" s="303" t="s">
        <v>662</v>
      </c>
      <c r="E3467" s="305" t="s">
        <v>334</v>
      </c>
      <c r="F3467" s="309"/>
      <c r="G3467" s="307">
        <f>(G3464/G3465)*G3466</f>
        <v>43.447040999999999</v>
      </c>
      <c r="H3467" s="305"/>
      <c r="I3467" s="305" t="s">
        <v>152</v>
      </c>
      <c r="J3467" s="305" t="s">
        <v>114</v>
      </c>
      <c r="K3467" s="305" t="s">
        <v>2125</v>
      </c>
    </row>
    <row r="3468" spans="1:11" x14ac:dyDescent="0.25">
      <c r="A3468" s="302" t="str">
        <f t="shared" si="95"/>
        <v>ENERGY STAR Dishwasher_0_MF/CI/SMB_Hours of Operation</v>
      </c>
      <c r="B3468" s="303" t="s">
        <v>9</v>
      </c>
      <c r="C3468" s="304">
        <v>0</v>
      </c>
      <c r="D3468" s="303" t="s">
        <v>662</v>
      </c>
      <c r="E3468" s="305" t="s">
        <v>460</v>
      </c>
      <c r="F3468" s="309" t="s">
        <v>647</v>
      </c>
      <c r="G3468" s="354">
        <v>6575</v>
      </c>
      <c r="H3468" s="305" t="s">
        <v>1231</v>
      </c>
      <c r="I3468" s="305" t="s">
        <v>152</v>
      </c>
      <c r="J3468" s="305" t="s">
        <v>114</v>
      </c>
      <c r="K3468" s="305" t="s">
        <v>2125</v>
      </c>
    </row>
    <row r="3469" spans="1:11" x14ac:dyDescent="0.25">
      <c r="A3469" s="302" t="str">
        <f t="shared" si="95"/>
        <v>ENERGY STAR Dishwasher_0_MF/CI/SMB_CF</v>
      </c>
      <c r="B3469" s="303" t="s">
        <v>9</v>
      </c>
      <c r="C3469" s="304">
        <v>0</v>
      </c>
      <c r="D3469" s="303" t="s">
        <v>662</v>
      </c>
      <c r="E3469" s="305" t="s">
        <v>253</v>
      </c>
      <c r="F3469" s="309"/>
      <c r="G3469" s="307">
        <v>0.36</v>
      </c>
      <c r="H3469" s="305" t="s">
        <v>458</v>
      </c>
      <c r="I3469" s="305" t="s">
        <v>152</v>
      </c>
      <c r="J3469" s="305" t="s">
        <v>114</v>
      </c>
      <c r="K3469" s="305" t="s">
        <v>2125</v>
      </c>
    </row>
    <row r="3470" spans="1:11" x14ac:dyDescent="0.25">
      <c r="A3470" s="302" t="str">
        <f t="shared" si="95"/>
        <v>ENERGY STAR Dishwasher_0_MF/CI/SMB_kWh Saved per Unit</v>
      </c>
      <c r="B3470" s="303" t="s">
        <v>9</v>
      </c>
      <c r="C3470" s="304">
        <v>0</v>
      </c>
      <c r="D3470" s="303" t="s">
        <v>662</v>
      </c>
      <c r="E3470" s="314" t="s">
        <v>255</v>
      </c>
      <c r="F3470" s="326"/>
      <c r="G3470" s="326">
        <f>G3467</f>
        <v>43.447040999999999</v>
      </c>
      <c r="H3470" s="305"/>
      <c r="I3470" s="305" t="s">
        <v>152</v>
      </c>
      <c r="J3470" s="305" t="s">
        <v>114</v>
      </c>
      <c r="K3470" s="305" t="s">
        <v>2125</v>
      </c>
    </row>
    <row r="3471" spans="1:11" x14ac:dyDescent="0.25">
      <c r="A3471" s="302" t="str">
        <f t="shared" si="95"/>
        <v>ENERGY STAR Dishwasher_0_MF/CI/SMB_Coincident Peak kW Saved per Unit</v>
      </c>
      <c r="B3471" s="303" t="s">
        <v>9</v>
      </c>
      <c r="C3471" s="304">
        <v>0</v>
      </c>
      <c r="D3471" s="303" t="s">
        <v>662</v>
      </c>
      <c r="E3471" s="314" t="s">
        <v>257</v>
      </c>
      <c r="F3471" s="326"/>
      <c r="G3471" s="315">
        <v>0</v>
      </c>
      <c r="H3471" s="305"/>
      <c r="I3471" s="305" t="s">
        <v>152</v>
      </c>
      <c r="J3471" s="305" t="s">
        <v>114</v>
      </c>
      <c r="K3471" s="305" t="s">
        <v>2125</v>
      </c>
    </row>
    <row r="3472" spans="1:11" x14ac:dyDescent="0.25">
      <c r="A3472" s="302" t="str">
        <f t="shared" ref="A3472:A3535" si="96">B3472&amp;"_"&amp;C3472&amp;"_"&amp;D3472&amp;"_"&amp;E3472</f>
        <v>ENERGY STAR Dishwasher_0_MF/CI/SMB_Therm Saved per Unit</v>
      </c>
      <c r="B3472" s="303" t="s">
        <v>9</v>
      </c>
      <c r="C3472" s="304">
        <v>0</v>
      </c>
      <c r="D3472" s="303" t="s">
        <v>662</v>
      </c>
      <c r="E3472" s="314" t="s">
        <v>326</v>
      </c>
      <c r="F3472" s="326"/>
      <c r="G3472" s="326">
        <f>G3463</f>
        <v>106</v>
      </c>
      <c r="H3472" s="305" t="s">
        <v>1347</v>
      </c>
      <c r="I3472" s="305" t="s">
        <v>152</v>
      </c>
      <c r="J3472" s="305" t="s">
        <v>114</v>
      </c>
      <c r="K3472" s="305" t="s">
        <v>2125</v>
      </c>
    </row>
    <row r="3473" spans="1:11" x14ac:dyDescent="0.25">
      <c r="A3473" s="302" t="str">
        <f t="shared" si="96"/>
        <v>ENERGY STAR Dishwasher_0_MF/CI/SMB_Gallons Saved per Unit</v>
      </c>
      <c r="B3473" s="303" t="s">
        <v>9</v>
      </c>
      <c r="C3473" s="304">
        <v>0</v>
      </c>
      <c r="D3473" s="303" t="s">
        <v>662</v>
      </c>
      <c r="E3473" s="314" t="s">
        <v>547</v>
      </c>
      <c r="F3473" s="326"/>
      <c r="G3473" s="315">
        <f>G3464</f>
        <v>14793</v>
      </c>
      <c r="H3473" s="305" t="s">
        <v>1347</v>
      </c>
      <c r="I3473" s="305" t="s">
        <v>152</v>
      </c>
      <c r="J3473" s="305" t="s">
        <v>114</v>
      </c>
      <c r="K3473" s="305" t="s">
        <v>2125</v>
      </c>
    </row>
    <row r="3474" spans="1:11" x14ac:dyDescent="0.25">
      <c r="A3474" s="302" t="str">
        <f t="shared" si="96"/>
        <v>ENERGY STAR Dishwasher_0_MF/CI/SMB_Lifetime (years)</v>
      </c>
      <c r="B3474" s="303" t="s">
        <v>9</v>
      </c>
      <c r="C3474" s="304">
        <v>0</v>
      </c>
      <c r="D3474" s="303" t="s">
        <v>662</v>
      </c>
      <c r="E3474" s="314" t="s">
        <v>259</v>
      </c>
      <c r="F3474" s="326"/>
      <c r="G3474" s="315">
        <v>10</v>
      </c>
      <c r="H3474" s="305" t="s">
        <v>1347</v>
      </c>
      <c r="I3474" s="305" t="s">
        <v>152</v>
      </c>
      <c r="J3474" s="305" t="s">
        <v>114</v>
      </c>
      <c r="K3474" s="305" t="s">
        <v>2125</v>
      </c>
    </row>
    <row r="3475" spans="1:11" x14ac:dyDescent="0.25">
      <c r="A3475" s="302" t="str">
        <f t="shared" si="96"/>
        <v>ENERGY STAR Dishwasher_0_MF/CI/SMB_Incremental Cost</v>
      </c>
      <c r="B3475" s="303" t="s">
        <v>9</v>
      </c>
      <c r="C3475" s="304">
        <v>0</v>
      </c>
      <c r="D3475" s="303" t="s">
        <v>662</v>
      </c>
      <c r="E3475" s="314" t="s">
        <v>260</v>
      </c>
      <c r="F3475" s="327"/>
      <c r="G3475" s="331">
        <v>50</v>
      </c>
      <c r="H3475" s="305" t="s">
        <v>1347</v>
      </c>
      <c r="I3475" s="305" t="s">
        <v>152</v>
      </c>
      <c r="J3475" s="305" t="s">
        <v>114</v>
      </c>
      <c r="K3475" s="305" t="s">
        <v>2125</v>
      </c>
    </row>
    <row r="3476" spans="1:11" x14ac:dyDescent="0.25">
      <c r="A3476" s="317" t="str">
        <f t="shared" si="96"/>
        <v>ENERGY STAR Dishwasher_0_MF/CI/SMB_</v>
      </c>
      <c r="B3476" s="317" t="str">
        <f>B3475</f>
        <v>ENERGY STAR Dishwasher</v>
      </c>
      <c r="C3476" s="332">
        <f>C3475</f>
        <v>0</v>
      </c>
      <c r="D3476" s="317" t="str">
        <f>D3475</f>
        <v>MF/CI/SMB</v>
      </c>
      <c r="E3476" s="317"/>
      <c r="F3476" s="317"/>
      <c r="G3476" s="323"/>
      <c r="H3476" s="320"/>
      <c r="I3476" s="320"/>
      <c r="J3476" s="317"/>
      <c r="K3476" s="317"/>
    </row>
    <row r="3477" spans="1:11" x14ac:dyDescent="0.25">
      <c r="A3477" s="302" t="str">
        <f t="shared" si="96"/>
        <v>Energy Recovery Ventilator_0_CI_rated energy recovery ventilator supply air flow</v>
      </c>
      <c r="B3477" s="303" t="s">
        <v>11</v>
      </c>
      <c r="C3477" s="304">
        <v>0</v>
      </c>
      <c r="D3477" s="303" t="s">
        <v>1159</v>
      </c>
      <c r="E3477" s="305" t="s">
        <v>393</v>
      </c>
      <c r="F3477" s="309"/>
      <c r="G3477" s="307">
        <v>1</v>
      </c>
      <c r="H3477" s="305"/>
      <c r="I3477" s="305" t="s">
        <v>152</v>
      </c>
      <c r="J3477" s="305" t="s">
        <v>126</v>
      </c>
      <c r="K3477" s="305" t="s">
        <v>2042</v>
      </c>
    </row>
    <row r="3478" spans="1:11" x14ac:dyDescent="0.25">
      <c r="A3478" s="302" t="str">
        <f t="shared" si="96"/>
        <v>Energy Recovery Ventilator_0_CI_Exhaust Air Transfer Ratio</v>
      </c>
      <c r="B3478" s="303" t="s">
        <v>11</v>
      </c>
      <c r="C3478" s="304">
        <v>0</v>
      </c>
      <c r="D3478" s="303" t="s">
        <v>1159</v>
      </c>
      <c r="E3478" s="305" t="s">
        <v>394</v>
      </c>
      <c r="F3478" s="309"/>
      <c r="G3478" s="307">
        <v>0.05</v>
      </c>
      <c r="H3478" s="305"/>
      <c r="I3478" s="305" t="s">
        <v>152</v>
      </c>
      <c r="J3478" s="305" t="s">
        <v>126</v>
      </c>
      <c r="K3478" s="305" t="s">
        <v>2042</v>
      </c>
    </row>
    <row r="3479" spans="1:11" x14ac:dyDescent="0.25">
      <c r="A3479" s="302" t="str">
        <f t="shared" si="96"/>
        <v>Energy Recovery Ventilator_0_CI_(cfm)</v>
      </c>
      <c r="B3479" s="303" t="s">
        <v>11</v>
      </c>
      <c r="C3479" s="304">
        <v>0</v>
      </c>
      <c r="D3479" s="303" t="s">
        <v>1159</v>
      </c>
      <c r="E3479" s="305" t="s">
        <v>395</v>
      </c>
      <c r="F3479" s="309"/>
      <c r="G3479" s="307">
        <f>G3477*(1-G3478)</f>
        <v>0.95</v>
      </c>
      <c r="H3479" s="305"/>
      <c r="I3479" s="305" t="s">
        <v>152</v>
      </c>
      <c r="J3479" s="305" t="s">
        <v>126</v>
      </c>
      <c r="K3479" s="305" t="s">
        <v>2042</v>
      </c>
    </row>
    <row r="3480" spans="1:11" x14ac:dyDescent="0.25">
      <c r="A3480" s="302" t="str">
        <f t="shared" si="96"/>
        <v>Energy Recovery Ventilator_0_CI_Normalized Electric Energy Savings</v>
      </c>
      <c r="B3480" s="303" t="s">
        <v>11</v>
      </c>
      <c r="C3480" s="304">
        <v>0</v>
      </c>
      <c r="D3480" s="303" t="s">
        <v>1159</v>
      </c>
      <c r="E3480" s="305" t="s">
        <v>396</v>
      </c>
      <c r="F3480" s="309"/>
      <c r="G3480" s="367">
        <v>0.48699999999999999</v>
      </c>
      <c r="H3480" s="305" t="s">
        <v>1348</v>
      </c>
      <c r="I3480" s="305" t="s">
        <v>152</v>
      </c>
      <c r="J3480" s="305" t="s">
        <v>126</v>
      </c>
      <c r="K3480" s="305" t="s">
        <v>2042</v>
      </c>
    </row>
    <row r="3481" spans="1:11" x14ac:dyDescent="0.25">
      <c r="A3481" s="302" t="str">
        <f t="shared" si="96"/>
        <v>Energy Recovery Ventilator_0_CI_Normalized Electric Peak Demand Savings</v>
      </c>
      <c r="B3481" s="303" t="s">
        <v>11</v>
      </c>
      <c r="C3481" s="304">
        <v>0</v>
      </c>
      <c r="D3481" s="303" t="s">
        <v>1159</v>
      </c>
      <c r="E3481" s="305" t="s">
        <v>397</v>
      </c>
      <c r="F3481" s="309"/>
      <c r="G3481" s="307">
        <v>3.4399999999999999E-3</v>
      </c>
      <c r="H3481" s="305" t="s">
        <v>1348</v>
      </c>
      <c r="I3481" s="305" t="s">
        <v>152</v>
      </c>
      <c r="J3481" s="305" t="s">
        <v>126</v>
      </c>
      <c r="K3481" s="305" t="s">
        <v>2042</v>
      </c>
    </row>
    <row r="3482" spans="1:11" x14ac:dyDescent="0.25">
      <c r="A3482" s="302" t="str">
        <f t="shared" si="96"/>
        <v>Energy Recovery Ventilator_0_CI_CF</v>
      </c>
      <c r="B3482" s="303" t="s">
        <v>11</v>
      </c>
      <c r="C3482" s="304">
        <v>0</v>
      </c>
      <c r="D3482" s="303" t="s">
        <v>1159</v>
      </c>
      <c r="E3482" s="305" t="s">
        <v>253</v>
      </c>
      <c r="F3482" s="309"/>
      <c r="G3482" s="307">
        <v>1</v>
      </c>
      <c r="H3482" s="305"/>
      <c r="I3482" s="305" t="s">
        <v>152</v>
      </c>
      <c r="J3482" s="305" t="s">
        <v>126</v>
      </c>
      <c r="K3482" s="305" t="s">
        <v>2042</v>
      </c>
    </row>
    <row r="3483" spans="1:11" x14ac:dyDescent="0.25">
      <c r="A3483" s="302" t="str">
        <f t="shared" si="96"/>
        <v>Energy Recovery Ventilator_0_CI_Constant</v>
      </c>
      <c r="B3483" s="303" t="s">
        <v>11</v>
      </c>
      <c r="C3483" s="304">
        <v>0</v>
      </c>
      <c r="D3483" s="303" t="s">
        <v>1159</v>
      </c>
      <c r="E3483" s="305" t="s">
        <v>1349</v>
      </c>
      <c r="F3483" s="309" t="s">
        <v>1350</v>
      </c>
      <c r="G3483" s="307">
        <v>1.08</v>
      </c>
      <c r="H3483" s="305"/>
      <c r="I3483" s="305" t="s">
        <v>152</v>
      </c>
      <c r="J3483" s="305" t="s">
        <v>126</v>
      </c>
      <c r="K3483" s="305" t="s">
        <v>2042</v>
      </c>
    </row>
    <row r="3484" spans="1:11" x14ac:dyDescent="0.25">
      <c r="A3484" s="302" t="str">
        <f t="shared" si="96"/>
        <v>Energy Recovery Ventilator_0_CI_CFM</v>
      </c>
      <c r="B3484" s="303" t="s">
        <v>11</v>
      </c>
      <c r="C3484" s="304">
        <v>0</v>
      </c>
      <c r="D3484" s="303" t="s">
        <v>1159</v>
      </c>
      <c r="E3484" s="305" t="s">
        <v>331</v>
      </c>
      <c r="F3484" s="309"/>
      <c r="G3484" s="307">
        <v>1</v>
      </c>
      <c r="H3484" s="305"/>
      <c r="I3484" s="305" t="s">
        <v>152</v>
      </c>
      <c r="J3484" s="305" t="s">
        <v>126</v>
      </c>
      <c r="K3484" s="305" t="s">
        <v>2042</v>
      </c>
    </row>
    <row r="3485" spans="1:11" x14ac:dyDescent="0.25">
      <c r="A3485" s="302" t="str">
        <f t="shared" si="96"/>
        <v>Energy Recovery Ventilator_0_CI_Delta_T</v>
      </c>
      <c r="B3485" s="303" t="s">
        <v>11</v>
      </c>
      <c r="C3485" s="304">
        <v>0</v>
      </c>
      <c r="D3485" s="303" t="s">
        <v>1159</v>
      </c>
      <c r="E3485" s="311" t="s">
        <v>398</v>
      </c>
      <c r="F3485" s="334"/>
      <c r="G3485" s="334">
        <f>70--1</f>
        <v>71</v>
      </c>
      <c r="H3485" s="311" t="s">
        <v>675</v>
      </c>
      <c r="I3485" s="305" t="s">
        <v>152</v>
      </c>
      <c r="J3485" s="305" t="s">
        <v>126</v>
      </c>
      <c r="K3485" s="305" t="s">
        <v>2042</v>
      </c>
    </row>
    <row r="3486" spans="1:11" x14ac:dyDescent="0.25">
      <c r="A3486" s="302" t="str">
        <f t="shared" si="96"/>
        <v>Energy Recovery Ventilator_0_CI_TE_ERV</v>
      </c>
      <c r="B3486" s="303" t="s">
        <v>11</v>
      </c>
      <c r="C3486" s="304">
        <v>0</v>
      </c>
      <c r="D3486" s="303" t="s">
        <v>1159</v>
      </c>
      <c r="E3486" s="305" t="s">
        <v>399</v>
      </c>
      <c r="F3486" s="309"/>
      <c r="G3486" s="307">
        <f>AVERAGE(0.65,0.68,0.55)</f>
        <v>0.62666666666666671</v>
      </c>
      <c r="H3486" s="305" t="s">
        <v>1351</v>
      </c>
      <c r="I3486" s="305" t="s">
        <v>633</v>
      </c>
      <c r="J3486" s="305"/>
      <c r="K3486" s="305"/>
    </row>
    <row r="3487" spans="1:11" x14ac:dyDescent="0.25">
      <c r="A3487" s="302" t="str">
        <f t="shared" si="96"/>
        <v>Energy Recovery Ventilator_0_CI_EFLH</v>
      </c>
      <c r="B3487" s="303" t="s">
        <v>11</v>
      </c>
      <c r="C3487" s="304">
        <v>0</v>
      </c>
      <c r="D3487" s="303" t="s">
        <v>1159</v>
      </c>
      <c r="E3487" s="305" t="s">
        <v>321</v>
      </c>
      <c r="F3487" s="305" t="s">
        <v>283</v>
      </c>
      <c r="G3487" s="325">
        <v>1678</v>
      </c>
      <c r="H3487" s="305" t="s">
        <v>1352</v>
      </c>
      <c r="I3487" s="305" t="s">
        <v>633</v>
      </c>
      <c r="J3487" s="305"/>
      <c r="K3487" s="305"/>
    </row>
    <row r="3488" spans="1:11" x14ac:dyDescent="0.25">
      <c r="A3488" s="302" t="str">
        <f t="shared" si="96"/>
        <v>Energy Recovery Ventilator_0_CI_OccHours</v>
      </c>
      <c r="B3488" s="303" t="s">
        <v>11</v>
      </c>
      <c r="C3488" s="304">
        <v>0</v>
      </c>
      <c r="D3488" s="303" t="s">
        <v>1159</v>
      </c>
      <c r="E3488" s="305" t="s">
        <v>400</v>
      </c>
      <c r="F3488" s="309"/>
      <c r="G3488" s="307">
        <f>4103/8766</f>
        <v>0.46805840748345884</v>
      </c>
      <c r="H3488" s="305" t="s">
        <v>1353</v>
      </c>
      <c r="I3488" s="305" t="s">
        <v>633</v>
      </c>
      <c r="J3488" s="305"/>
      <c r="K3488" s="305"/>
    </row>
    <row r="3489" spans="1:11" x14ac:dyDescent="0.25">
      <c r="A3489" s="302" t="str">
        <f t="shared" si="96"/>
        <v>Energy Recovery Ventilator_0_CI_Conversion</v>
      </c>
      <c r="B3489" s="303" t="s">
        <v>11</v>
      </c>
      <c r="C3489" s="304">
        <v>0</v>
      </c>
      <c r="D3489" s="303" t="s">
        <v>1159</v>
      </c>
      <c r="E3489" s="305" t="s">
        <v>284</v>
      </c>
      <c r="F3489" s="309" t="s">
        <v>622</v>
      </c>
      <c r="G3489" s="325">
        <v>100000</v>
      </c>
      <c r="H3489" s="305"/>
      <c r="I3489" s="305" t="s">
        <v>152</v>
      </c>
      <c r="J3489" s="305" t="s">
        <v>126</v>
      </c>
      <c r="K3489" s="305" t="s">
        <v>2042</v>
      </c>
    </row>
    <row r="3490" spans="1:11" x14ac:dyDescent="0.25">
      <c r="A3490" s="302" t="str">
        <f t="shared" si="96"/>
        <v>Energy Recovery Ventilator_0_CI_μHeat</v>
      </c>
      <c r="B3490" s="303" t="s">
        <v>11</v>
      </c>
      <c r="C3490" s="304">
        <v>0</v>
      </c>
      <c r="D3490" s="303" t="s">
        <v>1159</v>
      </c>
      <c r="E3490" s="305" t="s">
        <v>401</v>
      </c>
      <c r="F3490" s="309"/>
      <c r="G3490" s="307">
        <v>0.8</v>
      </c>
      <c r="H3490" s="305" t="s">
        <v>351</v>
      </c>
      <c r="I3490" s="305" t="s">
        <v>152</v>
      </c>
      <c r="J3490" s="305" t="s">
        <v>126</v>
      </c>
      <c r="K3490" s="305" t="s">
        <v>2042</v>
      </c>
    </row>
    <row r="3491" spans="1:11" x14ac:dyDescent="0.25">
      <c r="A3491" s="302" t="str">
        <f t="shared" si="96"/>
        <v>Energy Recovery Ventilator_0_CI_kWh Saved per Unit</v>
      </c>
      <c r="B3491" s="303" t="s">
        <v>11</v>
      </c>
      <c r="C3491" s="304">
        <v>0</v>
      </c>
      <c r="D3491" s="303" t="s">
        <v>1159</v>
      </c>
      <c r="E3491" s="314" t="s">
        <v>255</v>
      </c>
      <c r="F3491" s="326" t="s">
        <v>1354</v>
      </c>
      <c r="G3491" s="326">
        <f>G3484*G3480</f>
        <v>0.48699999999999999</v>
      </c>
      <c r="H3491" s="305"/>
      <c r="I3491" s="305" t="s">
        <v>152</v>
      </c>
      <c r="J3491" s="305" t="s">
        <v>126</v>
      </c>
      <c r="K3491" s="305" t="s">
        <v>2042</v>
      </c>
    </row>
    <row r="3492" spans="1:11" x14ac:dyDescent="0.25">
      <c r="A3492" s="302" t="str">
        <f t="shared" si="96"/>
        <v>Energy Recovery Ventilator_0_CI_Coincident Peak kW Saved per Unit</v>
      </c>
      <c r="B3492" s="303" t="s">
        <v>11</v>
      </c>
      <c r="C3492" s="304">
        <v>0</v>
      </c>
      <c r="D3492" s="303" t="s">
        <v>1159</v>
      </c>
      <c r="E3492" s="314" t="s">
        <v>257</v>
      </c>
      <c r="F3492" s="326" t="s">
        <v>330</v>
      </c>
      <c r="G3492" s="315">
        <f>G3484*G3481*G3482</f>
        <v>3.4399999999999999E-3</v>
      </c>
      <c r="H3492" s="305"/>
      <c r="I3492" s="305" t="s">
        <v>152</v>
      </c>
      <c r="J3492" s="305" t="s">
        <v>126</v>
      </c>
      <c r="K3492" s="305" t="s">
        <v>2042</v>
      </c>
    </row>
    <row r="3493" spans="1:11" x14ac:dyDescent="0.25">
      <c r="A3493" s="302" t="str">
        <f t="shared" si="96"/>
        <v>Energy Recovery Ventilator_0_CI_Therm Saved per Unit</v>
      </c>
      <c r="B3493" s="303" t="s">
        <v>11</v>
      </c>
      <c r="C3493" s="304">
        <v>0</v>
      </c>
      <c r="D3493" s="303" t="s">
        <v>1159</v>
      </c>
      <c r="E3493" s="314" t="s">
        <v>326</v>
      </c>
      <c r="F3493" s="326" t="s">
        <v>1355</v>
      </c>
      <c r="G3493" s="326">
        <f xml:space="preserve"> ((G3483*G3484*G3485) * G3486 * G3487 * G3488)/(G3489 * G3490)</f>
        <v>0.47175956997946616</v>
      </c>
      <c r="H3493" s="305"/>
      <c r="I3493" s="305" t="s">
        <v>152</v>
      </c>
      <c r="J3493" s="305" t="s">
        <v>126</v>
      </c>
      <c r="K3493" s="305" t="s">
        <v>2042</v>
      </c>
    </row>
    <row r="3494" spans="1:11" x14ac:dyDescent="0.25">
      <c r="A3494" s="302" t="str">
        <f t="shared" si="96"/>
        <v>Energy Recovery Ventilator_0_CI_Lifetime (years)</v>
      </c>
      <c r="B3494" s="303" t="s">
        <v>11</v>
      </c>
      <c r="C3494" s="304">
        <v>0</v>
      </c>
      <c r="D3494" s="303" t="s">
        <v>1159</v>
      </c>
      <c r="E3494" s="314" t="s">
        <v>259</v>
      </c>
      <c r="F3494" s="326"/>
      <c r="G3494" s="315">
        <v>15</v>
      </c>
      <c r="H3494" s="305"/>
      <c r="I3494" s="305" t="s">
        <v>152</v>
      </c>
      <c r="J3494" s="305" t="s">
        <v>126</v>
      </c>
      <c r="K3494" s="305" t="s">
        <v>2042</v>
      </c>
    </row>
    <row r="3495" spans="1:11" x14ac:dyDescent="0.25">
      <c r="A3495" s="302" t="str">
        <f t="shared" si="96"/>
        <v>Energy Recovery Ventilator_0_CI_Incremental Cost</v>
      </c>
      <c r="B3495" s="303" t="s">
        <v>11</v>
      </c>
      <c r="C3495" s="304">
        <v>0</v>
      </c>
      <c r="D3495" s="303" t="s">
        <v>1159</v>
      </c>
      <c r="E3495" s="314" t="s">
        <v>260</v>
      </c>
      <c r="F3495" s="327" t="s">
        <v>332</v>
      </c>
      <c r="G3495" s="331">
        <f>3.75*G3484</f>
        <v>3.75</v>
      </c>
      <c r="H3495" s="305" t="s">
        <v>402</v>
      </c>
      <c r="I3495" s="305" t="s">
        <v>152</v>
      </c>
      <c r="J3495" s="305" t="s">
        <v>126</v>
      </c>
      <c r="K3495" s="305" t="s">
        <v>2042</v>
      </c>
    </row>
    <row r="3496" spans="1:11" x14ac:dyDescent="0.25">
      <c r="A3496" s="317" t="str">
        <f t="shared" si="96"/>
        <v>Energy Recovery Ventilator_0_CI_</v>
      </c>
      <c r="B3496" s="317" t="str">
        <f>B3495</f>
        <v>Energy Recovery Ventilator</v>
      </c>
      <c r="C3496" s="332">
        <f>C3495</f>
        <v>0</v>
      </c>
      <c r="D3496" s="317" t="str">
        <f>D3495</f>
        <v>CI</v>
      </c>
      <c r="E3496" s="317"/>
      <c r="F3496" s="317"/>
      <c r="G3496" s="323"/>
      <c r="H3496" s="320"/>
      <c r="I3496" s="320"/>
      <c r="J3496" s="317"/>
      <c r="K3496" s="317"/>
    </row>
    <row r="3497" spans="1:11" x14ac:dyDescent="0.25">
      <c r="A3497" s="302" t="str">
        <f t="shared" si="96"/>
        <v>High Speed Washer_Laundromat_SMB_Average number of daily washer cycles</v>
      </c>
      <c r="B3497" s="303" t="s">
        <v>725</v>
      </c>
      <c r="C3497" s="304" t="s">
        <v>1356</v>
      </c>
      <c r="D3497" s="303" t="s">
        <v>1220</v>
      </c>
      <c r="E3497" s="305" t="s">
        <v>726</v>
      </c>
      <c r="F3497" s="305" t="s">
        <v>727</v>
      </c>
      <c r="G3497" s="307">
        <v>4.3</v>
      </c>
      <c r="H3497" s="305" t="s">
        <v>1357</v>
      </c>
      <c r="I3497" s="305" t="s">
        <v>152</v>
      </c>
      <c r="J3497" s="305" t="s">
        <v>729</v>
      </c>
      <c r="K3497" s="305" t="s">
        <v>2364</v>
      </c>
    </row>
    <row r="3498" spans="1:11" x14ac:dyDescent="0.25">
      <c r="A3498" s="302" t="str">
        <f t="shared" si="96"/>
        <v>High Speed Washer_Laundromat_SMB_Days of Operation per Year</v>
      </c>
      <c r="B3498" s="303" t="s">
        <v>725</v>
      </c>
      <c r="C3498" s="304" t="s">
        <v>1356</v>
      </c>
      <c r="D3498" s="303" t="s">
        <v>1220</v>
      </c>
      <c r="E3498" s="305" t="s">
        <v>731</v>
      </c>
      <c r="F3498" s="305" t="s">
        <v>538</v>
      </c>
      <c r="G3498" s="354">
        <v>360</v>
      </c>
      <c r="H3498" s="305" t="s">
        <v>732</v>
      </c>
      <c r="I3498" s="305" t="s">
        <v>152</v>
      </c>
      <c r="J3498" s="305" t="s">
        <v>729</v>
      </c>
      <c r="K3498" s="305" t="s">
        <v>2364</v>
      </c>
    </row>
    <row r="3499" spans="1:11" x14ac:dyDescent="0.25">
      <c r="A3499" s="302" t="str">
        <f t="shared" si="96"/>
        <v>High Speed Washer_Laundromat_SMB_Capacity</v>
      </c>
      <c r="B3499" s="303" t="s">
        <v>725</v>
      </c>
      <c r="C3499" s="304" t="s">
        <v>1356</v>
      </c>
      <c r="D3499" s="303" t="s">
        <v>1220</v>
      </c>
      <c r="E3499" s="305" t="s">
        <v>270</v>
      </c>
      <c r="F3499" s="305" t="s">
        <v>733</v>
      </c>
      <c r="G3499" s="355">
        <v>1</v>
      </c>
      <c r="H3499" s="305" t="s">
        <v>734</v>
      </c>
      <c r="I3499" s="305" t="s">
        <v>152</v>
      </c>
      <c r="J3499" s="305" t="s">
        <v>729</v>
      </c>
      <c r="K3499" s="305" t="s">
        <v>2364</v>
      </c>
    </row>
    <row r="3500" spans="1:11" x14ac:dyDescent="0.25">
      <c r="A3500" s="302" t="str">
        <f t="shared" si="96"/>
        <v>High Speed Washer_Laundromat_SMB_Retained Moisture Content</v>
      </c>
      <c r="B3500" s="303" t="s">
        <v>725</v>
      </c>
      <c r="C3500" s="304" t="s">
        <v>1356</v>
      </c>
      <c r="D3500" s="303" t="s">
        <v>1220</v>
      </c>
      <c r="E3500" s="305" t="s">
        <v>735</v>
      </c>
      <c r="F3500" s="305" t="s">
        <v>539</v>
      </c>
      <c r="G3500" s="356">
        <v>0.15</v>
      </c>
      <c r="H3500" s="305"/>
      <c r="I3500" s="305" t="s">
        <v>152</v>
      </c>
      <c r="J3500" s="305" t="s">
        <v>729</v>
      </c>
      <c r="K3500" s="305" t="s">
        <v>2364</v>
      </c>
    </row>
    <row r="3501" spans="1:11" x14ac:dyDescent="0.25">
      <c r="A3501" s="302" t="str">
        <f t="shared" si="96"/>
        <v>High Speed Washer_Laundromat_SMB_Heat required to evaporate water</v>
      </c>
      <c r="B3501" s="303" t="s">
        <v>725</v>
      </c>
      <c r="C3501" s="304" t="s">
        <v>1356</v>
      </c>
      <c r="D3501" s="303" t="s">
        <v>1220</v>
      </c>
      <c r="E3501" s="305" t="s">
        <v>736</v>
      </c>
      <c r="F3501" s="305" t="s">
        <v>651</v>
      </c>
      <c r="G3501" s="354">
        <v>1200</v>
      </c>
      <c r="H3501" s="305"/>
      <c r="I3501" s="305" t="s">
        <v>152</v>
      </c>
      <c r="J3501" s="305" t="s">
        <v>729</v>
      </c>
      <c r="K3501" s="305" t="s">
        <v>2364</v>
      </c>
    </row>
    <row r="3502" spans="1:11" x14ac:dyDescent="0.25">
      <c r="A3502" s="302" t="str">
        <f t="shared" si="96"/>
        <v>High Speed Washer_Laundromat_SMB_Dryer Efficiency</v>
      </c>
      <c r="B3502" s="303" t="s">
        <v>725</v>
      </c>
      <c r="C3502" s="304" t="s">
        <v>1356</v>
      </c>
      <c r="D3502" s="303" t="s">
        <v>1220</v>
      </c>
      <c r="E3502" s="305" t="s">
        <v>737</v>
      </c>
      <c r="F3502" s="305" t="s">
        <v>539</v>
      </c>
      <c r="G3502" s="356">
        <v>0.6</v>
      </c>
      <c r="H3502" s="305" t="s">
        <v>732</v>
      </c>
      <c r="I3502" s="305" t="s">
        <v>152</v>
      </c>
      <c r="J3502" s="305" t="s">
        <v>729</v>
      </c>
      <c r="K3502" s="305" t="s">
        <v>2364</v>
      </c>
    </row>
    <row r="3503" spans="1:11" x14ac:dyDescent="0.25">
      <c r="A3503" s="302" t="str">
        <f t="shared" si="96"/>
        <v>High Speed Washer_Laundromat_SMB_Conversion</v>
      </c>
      <c r="B3503" s="303" t="s">
        <v>725</v>
      </c>
      <c r="C3503" s="304" t="s">
        <v>1356</v>
      </c>
      <c r="D3503" s="303" t="s">
        <v>1220</v>
      </c>
      <c r="E3503" s="305" t="s">
        <v>284</v>
      </c>
      <c r="F3503" s="305" t="s">
        <v>622</v>
      </c>
      <c r="G3503" s="325">
        <v>100000</v>
      </c>
      <c r="H3503" s="305"/>
      <c r="I3503" s="305" t="s">
        <v>152</v>
      </c>
      <c r="J3503" s="305" t="s">
        <v>729</v>
      </c>
      <c r="K3503" s="305" t="s">
        <v>2364</v>
      </c>
    </row>
    <row r="3504" spans="1:11" x14ac:dyDescent="0.25">
      <c r="A3504" s="302" t="str">
        <f t="shared" si="96"/>
        <v>High Speed Washer_Laundromat_SMB_Dryer Use</v>
      </c>
      <c r="B3504" s="303" t="s">
        <v>725</v>
      </c>
      <c r="C3504" s="304" t="s">
        <v>1356</v>
      </c>
      <c r="D3504" s="303" t="s">
        <v>1220</v>
      </c>
      <c r="E3504" s="305" t="s">
        <v>738</v>
      </c>
      <c r="F3504" s="305" t="s">
        <v>539</v>
      </c>
      <c r="G3504" s="356">
        <v>0.91</v>
      </c>
      <c r="H3504" s="305"/>
      <c r="I3504" s="305" t="s">
        <v>152</v>
      </c>
      <c r="J3504" s="305" t="s">
        <v>729</v>
      </c>
      <c r="K3504" s="305" t="s">
        <v>2364</v>
      </c>
    </row>
    <row r="3505" spans="1:11" x14ac:dyDescent="0.25">
      <c r="A3505" s="302" t="str">
        <f t="shared" si="96"/>
        <v>High Speed Washer_Laundromat_SMB_Load Factor</v>
      </c>
      <c r="B3505" s="303" t="s">
        <v>725</v>
      </c>
      <c r="C3505" s="304" t="s">
        <v>1356</v>
      </c>
      <c r="D3505" s="303" t="s">
        <v>1220</v>
      </c>
      <c r="E3505" s="305" t="s">
        <v>421</v>
      </c>
      <c r="F3505" s="305" t="s">
        <v>539</v>
      </c>
      <c r="G3505" s="356">
        <v>0.66</v>
      </c>
      <c r="H3505" s="305"/>
      <c r="I3505" s="305" t="s">
        <v>152</v>
      </c>
      <c r="J3505" s="305" t="s">
        <v>729</v>
      </c>
      <c r="K3505" s="305" t="s">
        <v>2364</v>
      </c>
    </row>
    <row r="3506" spans="1:11" x14ac:dyDescent="0.25">
      <c r="A3506" s="302" t="str">
        <f t="shared" si="96"/>
        <v>High Speed Washer_Laundromat_SMB_Therm Saved per Unit</v>
      </c>
      <c r="B3506" s="303" t="s">
        <v>725</v>
      </c>
      <c r="C3506" s="304" t="s">
        <v>1356</v>
      </c>
      <c r="D3506" s="303" t="s">
        <v>1220</v>
      </c>
      <c r="E3506" s="314" t="s">
        <v>326</v>
      </c>
      <c r="F3506" s="314"/>
      <c r="G3506" s="315">
        <f>(G3497*G3498*G3499*G3500*G3501/G3502/G3503)*G3504*G3505</f>
        <v>2.7891864000000002</v>
      </c>
      <c r="H3506" s="305"/>
      <c r="I3506" s="305" t="s">
        <v>152</v>
      </c>
      <c r="J3506" s="305" t="s">
        <v>729</v>
      </c>
      <c r="K3506" s="305" t="s">
        <v>2364</v>
      </c>
    </row>
    <row r="3507" spans="1:11" x14ac:dyDescent="0.25">
      <c r="A3507" s="302" t="str">
        <f t="shared" si="96"/>
        <v>High Speed Washer_Laundromat_SMB_Lifetime (years)</v>
      </c>
      <c r="B3507" s="303" t="s">
        <v>725</v>
      </c>
      <c r="C3507" s="304" t="s">
        <v>1356</v>
      </c>
      <c r="D3507" s="303" t="s">
        <v>1220</v>
      </c>
      <c r="E3507" s="314" t="s">
        <v>259</v>
      </c>
      <c r="F3507" s="314" t="s">
        <v>548</v>
      </c>
      <c r="G3507" s="315">
        <v>7</v>
      </c>
      <c r="H3507" s="305" t="s">
        <v>740</v>
      </c>
      <c r="I3507" s="305" t="s">
        <v>152</v>
      </c>
      <c r="J3507" s="305" t="s">
        <v>729</v>
      </c>
      <c r="K3507" s="305" t="s">
        <v>2364</v>
      </c>
    </row>
    <row r="3508" spans="1:11" x14ac:dyDescent="0.25">
      <c r="A3508" s="302" t="str">
        <f t="shared" si="96"/>
        <v>High Speed Washer_Laundromat_SMB_Incremental Cost</v>
      </c>
      <c r="B3508" s="303" t="s">
        <v>725</v>
      </c>
      <c r="C3508" s="304" t="s">
        <v>1356</v>
      </c>
      <c r="D3508" s="303" t="s">
        <v>1220</v>
      </c>
      <c r="E3508" s="314" t="s">
        <v>260</v>
      </c>
      <c r="F3508" s="314" t="s">
        <v>549</v>
      </c>
      <c r="G3508" s="315">
        <f>9.7*G3499</f>
        <v>9.6999999999999993</v>
      </c>
      <c r="H3508" s="305" t="s">
        <v>741</v>
      </c>
      <c r="I3508" s="305" t="s">
        <v>152</v>
      </c>
      <c r="J3508" s="305" t="s">
        <v>729</v>
      </c>
      <c r="K3508" s="305" t="s">
        <v>2364</v>
      </c>
    </row>
    <row r="3509" spans="1:11" x14ac:dyDescent="0.25">
      <c r="A3509" s="317" t="str">
        <f t="shared" si="96"/>
        <v>High Speed Washer_Laundromat_SMB_</v>
      </c>
      <c r="B3509" s="317" t="str">
        <f>B3508</f>
        <v>High Speed Washer</v>
      </c>
      <c r="C3509" s="332" t="str">
        <f>C3508</f>
        <v>Laundromat</v>
      </c>
      <c r="D3509" s="317" t="str">
        <f>D3508</f>
        <v>SMB</v>
      </c>
      <c r="E3509" s="320"/>
      <c r="F3509" s="320"/>
      <c r="G3509" s="329"/>
      <c r="H3509" s="320"/>
      <c r="I3509" s="320"/>
      <c r="J3509" s="320"/>
      <c r="K3509" s="320"/>
    </row>
    <row r="3510" spans="1:11" x14ac:dyDescent="0.25">
      <c r="A3510" s="302" t="str">
        <f t="shared" si="96"/>
        <v>Water Heater_Storage 0.67 EF_CI_T_out</v>
      </c>
      <c r="B3510" s="303" t="s">
        <v>8</v>
      </c>
      <c r="C3510" s="304" t="s">
        <v>879</v>
      </c>
      <c r="D3510" s="303" t="s">
        <v>1159</v>
      </c>
      <c r="E3510" s="305" t="s">
        <v>377</v>
      </c>
      <c r="F3510" s="309"/>
      <c r="G3510" s="306">
        <v>125</v>
      </c>
      <c r="H3510" s="305"/>
      <c r="I3510" s="305" t="s">
        <v>152</v>
      </c>
      <c r="J3510" s="305" t="s">
        <v>134</v>
      </c>
      <c r="K3510" s="305" t="s">
        <v>2379</v>
      </c>
    </row>
    <row r="3511" spans="1:11" x14ac:dyDescent="0.25">
      <c r="A3511" s="302" t="str">
        <f t="shared" si="96"/>
        <v>Water Heater_Storage 0.67 EF_CI_T_in</v>
      </c>
      <c r="B3511" s="303" t="s">
        <v>8</v>
      </c>
      <c r="C3511" s="304" t="s">
        <v>879</v>
      </c>
      <c r="D3511" s="303" t="s">
        <v>1159</v>
      </c>
      <c r="E3511" s="305" t="s">
        <v>381</v>
      </c>
      <c r="F3511" s="309"/>
      <c r="G3511" s="334">
        <v>50.7</v>
      </c>
      <c r="H3511" s="311" t="s">
        <v>1916</v>
      </c>
      <c r="I3511" s="305" t="s">
        <v>152</v>
      </c>
      <c r="J3511" s="305" t="s">
        <v>134</v>
      </c>
      <c r="K3511" s="305" t="s">
        <v>2379</v>
      </c>
    </row>
    <row r="3512" spans="1:11" x14ac:dyDescent="0.25">
      <c r="A3512" s="302" t="str">
        <f t="shared" si="96"/>
        <v>Water Heater_Storage 0.67 EF_CI_HotWaterUse_Gallon</v>
      </c>
      <c r="B3512" s="303" t="s">
        <v>8</v>
      </c>
      <c r="C3512" s="304" t="s">
        <v>879</v>
      </c>
      <c r="D3512" s="303" t="s">
        <v>1159</v>
      </c>
      <c r="E3512" s="305" t="s">
        <v>382</v>
      </c>
      <c r="F3512" s="309" t="s">
        <v>1264</v>
      </c>
      <c r="G3512" s="306">
        <f>555*55</f>
        <v>30525</v>
      </c>
      <c r="H3512" s="305" t="s">
        <v>2005</v>
      </c>
      <c r="I3512" s="305" t="s">
        <v>152</v>
      </c>
      <c r="J3512" s="305" t="s">
        <v>134</v>
      </c>
      <c r="K3512" s="305" t="s">
        <v>2379</v>
      </c>
    </row>
    <row r="3513" spans="1:11" x14ac:dyDescent="0.25">
      <c r="A3513" s="302" t="str">
        <f t="shared" si="96"/>
        <v>Water Heater_Storage 0.67 EF_CI_yWater</v>
      </c>
      <c r="B3513" s="303" t="s">
        <v>8</v>
      </c>
      <c r="C3513" s="304" t="s">
        <v>879</v>
      </c>
      <c r="D3513" s="303" t="s">
        <v>1159</v>
      </c>
      <c r="E3513" s="305" t="s">
        <v>369</v>
      </c>
      <c r="F3513" s="309" t="s">
        <v>346</v>
      </c>
      <c r="G3513" s="306">
        <v>8.33</v>
      </c>
      <c r="H3513" s="305"/>
      <c r="I3513" s="305" t="s">
        <v>152</v>
      </c>
      <c r="J3513" s="305" t="s">
        <v>134</v>
      </c>
      <c r="K3513" s="305" t="s">
        <v>2379</v>
      </c>
    </row>
    <row r="3514" spans="1:11" x14ac:dyDescent="0.25">
      <c r="A3514" s="302" t="str">
        <f t="shared" si="96"/>
        <v>Water Heater_Storage 0.67 EF_CI_Heat of Water</v>
      </c>
      <c r="B3514" s="303" t="s">
        <v>8</v>
      </c>
      <c r="C3514" s="304" t="s">
        <v>879</v>
      </c>
      <c r="D3514" s="303" t="s">
        <v>1159</v>
      </c>
      <c r="E3514" s="305" t="s">
        <v>1266</v>
      </c>
      <c r="F3514" s="309" t="s">
        <v>1267</v>
      </c>
      <c r="G3514" s="306">
        <v>1</v>
      </c>
      <c r="H3514" s="305"/>
      <c r="I3514" s="305" t="s">
        <v>152</v>
      </c>
      <c r="J3514" s="305" t="s">
        <v>134</v>
      </c>
      <c r="K3514" s="305" t="s">
        <v>2379</v>
      </c>
    </row>
    <row r="3515" spans="1:11" x14ac:dyDescent="0.25">
      <c r="A3515" s="302" t="str">
        <f t="shared" si="96"/>
        <v>Water Heater_Storage 0.67 EF_CI_UEF_gasbase</v>
      </c>
      <c r="B3515" s="303" t="s">
        <v>8</v>
      </c>
      <c r="C3515" s="304" t="s">
        <v>879</v>
      </c>
      <c r="D3515" s="303" t="s">
        <v>1159</v>
      </c>
      <c r="E3515" s="305" t="s">
        <v>383</v>
      </c>
      <c r="F3515" s="309"/>
      <c r="G3515" s="306">
        <f>0.6483-(0.0017*55)</f>
        <v>0.55479999999999996</v>
      </c>
      <c r="H3515" s="305" t="s">
        <v>1358</v>
      </c>
      <c r="I3515" s="305" t="s">
        <v>152</v>
      </c>
      <c r="J3515" s="305" t="s">
        <v>134</v>
      </c>
      <c r="K3515" s="305" t="s">
        <v>2379</v>
      </c>
    </row>
    <row r="3516" spans="1:11" x14ac:dyDescent="0.25">
      <c r="A3516" s="302" t="str">
        <f t="shared" si="96"/>
        <v>Water Heater_Storage 0.67 EF_CI_UEF_Eff</v>
      </c>
      <c r="B3516" s="303" t="s">
        <v>8</v>
      </c>
      <c r="C3516" s="304" t="s">
        <v>879</v>
      </c>
      <c r="D3516" s="303" t="s">
        <v>1159</v>
      </c>
      <c r="E3516" s="305" t="s">
        <v>385</v>
      </c>
      <c r="F3516" s="309"/>
      <c r="G3516" s="306">
        <v>0.67</v>
      </c>
      <c r="H3516" s="305"/>
      <c r="I3516" s="305" t="s">
        <v>152</v>
      </c>
      <c r="J3516" s="305" t="s">
        <v>134</v>
      </c>
      <c r="K3516" s="305" t="s">
        <v>2379</v>
      </c>
    </row>
    <row r="3517" spans="1:11" x14ac:dyDescent="0.25">
      <c r="A3517" s="302" t="str">
        <f t="shared" si="96"/>
        <v>Water Heater_Storage 0.67 EF_CI_Conversion</v>
      </c>
      <c r="B3517" s="303" t="s">
        <v>8</v>
      </c>
      <c r="C3517" s="304" t="s">
        <v>879</v>
      </c>
      <c r="D3517" s="303" t="s">
        <v>1159</v>
      </c>
      <c r="E3517" s="305" t="s">
        <v>284</v>
      </c>
      <c r="F3517" s="309" t="s">
        <v>622</v>
      </c>
      <c r="G3517" s="325">
        <v>100000</v>
      </c>
      <c r="H3517" s="305"/>
      <c r="I3517" s="305" t="s">
        <v>152</v>
      </c>
      <c r="J3517" s="305" t="s">
        <v>134</v>
      </c>
      <c r="K3517" s="305" t="s">
        <v>2379</v>
      </c>
    </row>
    <row r="3518" spans="1:11" x14ac:dyDescent="0.25">
      <c r="A3518" s="302" t="str">
        <f t="shared" si="96"/>
        <v>Water Heater_Storage 0.67 EF_CI_Delta_Therms</v>
      </c>
      <c r="B3518" s="303" t="s">
        <v>8</v>
      </c>
      <c r="C3518" s="304" t="s">
        <v>879</v>
      </c>
      <c r="D3518" s="303" t="s">
        <v>1159</v>
      </c>
      <c r="E3518" s="305" t="s">
        <v>386</v>
      </c>
      <c r="F3518" s="305" t="s">
        <v>564</v>
      </c>
      <c r="G3518" s="307">
        <f>((G3510-G3511)*G3512*G3513*G3514*((1/G3515)-(1/G3516)))/G3517</f>
        <v>58.550513970881049</v>
      </c>
      <c r="H3518" s="305"/>
      <c r="I3518" s="305" t="s">
        <v>152</v>
      </c>
      <c r="J3518" s="305" t="s">
        <v>134</v>
      </c>
      <c r="K3518" s="305" t="s">
        <v>2379</v>
      </c>
    </row>
    <row r="3519" spans="1:11" x14ac:dyDescent="0.25">
      <c r="A3519" s="302" t="str">
        <f t="shared" si="96"/>
        <v>Water Heater_Storage 0.67 EF_CI_Q</v>
      </c>
      <c r="B3519" s="303" t="s">
        <v>8</v>
      </c>
      <c r="C3519" s="304" t="s">
        <v>879</v>
      </c>
      <c r="D3519" s="303" t="s">
        <v>1159</v>
      </c>
      <c r="E3519" s="305" t="s">
        <v>387</v>
      </c>
      <c r="F3519" s="305" t="s">
        <v>479</v>
      </c>
      <c r="G3519" s="307">
        <v>200000</v>
      </c>
      <c r="H3519" s="305"/>
      <c r="I3519" s="305" t="s">
        <v>152</v>
      </c>
      <c r="J3519" s="305" t="s">
        <v>134</v>
      </c>
      <c r="K3519" s="305" t="s">
        <v>2379</v>
      </c>
    </row>
    <row r="3520" spans="1:11" x14ac:dyDescent="0.25">
      <c r="A3520" s="302" t="str">
        <f t="shared" si="96"/>
        <v>Water Heater_Storage 0.67 EF_CI_800</v>
      </c>
      <c r="B3520" s="303" t="s">
        <v>8</v>
      </c>
      <c r="C3520" s="304" t="s">
        <v>879</v>
      </c>
      <c r="D3520" s="303" t="s">
        <v>1159</v>
      </c>
      <c r="E3520" s="305">
        <v>800</v>
      </c>
      <c r="F3520" s="305"/>
      <c r="G3520" s="354">
        <v>800</v>
      </c>
      <c r="H3520" s="305" t="s">
        <v>1268</v>
      </c>
      <c r="I3520" s="305" t="s">
        <v>152</v>
      </c>
      <c r="J3520" s="305" t="s">
        <v>134</v>
      </c>
      <c r="K3520" s="305" t="s">
        <v>2379</v>
      </c>
    </row>
    <row r="3521" spans="1:11" x14ac:dyDescent="0.25">
      <c r="A3521" s="302" t="str">
        <f t="shared" si="96"/>
        <v>Water Heater_Storage 0.67 EF_CI_110</v>
      </c>
      <c r="B3521" s="303" t="s">
        <v>8</v>
      </c>
      <c r="C3521" s="304" t="s">
        <v>879</v>
      </c>
      <c r="D3521" s="303" t="s">
        <v>1159</v>
      </c>
      <c r="E3521" s="305">
        <v>110</v>
      </c>
      <c r="F3521" s="305"/>
      <c r="G3521" s="354">
        <v>110</v>
      </c>
      <c r="H3521" s="305" t="s">
        <v>1269</v>
      </c>
      <c r="I3521" s="305" t="s">
        <v>152</v>
      </c>
      <c r="J3521" s="305" t="s">
        <v>134</v>
      </c>
      <c r="K3521" s="305" t="s">
        <v>2379</v>
      </c>
    </row>
    <row r="3522" spans="1:11" x14ac:dyDescent="0.25">
      <c r="A3522" s="302" t="str">
        <f t="shared" si="96"/>
        <v>Water Heater_Storage 0.67 EF_CI_V</v>
      </c>
      <c r="B3522" s="303" t="s">
        <v>8</v>
      </c>
      <c r="C3522" s="304" t="s">
        <v>879</v>
      </c>
      <c r="D3522" s="303" t="s">
        <v>1159</v>
      </c>
      <c r="E3522" s="305" t="s">
        <v>378</v>
      </c>
      <c r="F3522" s="305" t="s">
        <v>1264</v>
      </c>
      <c r="G3522" s="307">
        <v>150</v>
      </c>
      <c r="H3522" s="305" t="s">
        <v>614</v>
      </c>
      <c r="I3522" s="305" t="s">
        <v>152</v>
      </c>
      <c r="J3522" s="305" t="s">
        <v>134</v>
      </c>
      <c r="K3522" s="305" t="s">
        <v>2379</v>
      </c>
    </row>
    <row r="3523" spans="1:11" x14ac:dyDescent="0.25">
      <c r="A3523" s="302" t="str">
        <f t="shared" si="96"/>
        <v>Water Heater_Storage 0.67 EF_CI_SL_gasbase</v>
      </c>
      <c r="B3523" s="303" t="s">
        <v>8</v>
      </c>
      <c r="C3523" s="304" t="s">
        <v>879</v>
      </c>
      <c r="D3523" s="303" t="s">
        <v>1159</v>
      </c>
      <c r="E3523" s="305" t="s">
        <v>388</v>
      </c>
      <c r="F3523" s="305"/>
      <c r="G3523" s="307">
        <f>(G3519/G3520)+G3521*SQRT(G3522)</f>
        <v>1597.219358530748</v>
      </c>
      <c r="H3523" s="305"/>
      <c r="I3523" s="305" t="s">
        <v>152</v>
      </c>
      <c r="J3523" s="305" t="s">
        <v>134</v>
      </c>
      <c r="K3523" s="305" t="s">
        <v>2379</v>
      </c>
    </row>
    <row r="3524" spans="1:11" x14ac:dyDescent="0.25">
      <c r="A3524" s="302" t="str">
        <f t="shared" si="96"/>
        <v>Water Heater_Storage 0.67 EF_CI_SL_eff</v>
      </c>
      <c r="B3524" s="303" t="s">
        <v>8</v>
      </c>
      <c r="C3524" s="304" t="s">
        <v>879</v>
      </c>
      <c r="D3524" s="303" t="s">
        <v>1159</v>
      </c>
      <c r="E3524" s="305" t="s">
        <v>379</v>
      </c>
      <c r="F3524" s="305"/>
      <c r="G3524" s="307">
        <v>1029</v>
      </c>
      <c r="H3524" s="305" t="s">
        <v>366</v>
      </c>
      <c r="I3524" s="305" t="s">
        <v>152</v>
      </c>
      <c r="J3524" s="305" t="s">
        <v>134</v>
      </c>
      <c r="K3524" s="305" t="s">
        <v>2379</v>
      </c>
    </row>
    <row r="3525" spans="1:11" x14ac:dyDescent="0.25">
      <c r="A3525" s="302" t="str">
        <f t="shared" si="96"/>
        <v>Water Heater_Storage 0.67 EF_CI_Conversion</v>
      </c>
      <c r="B3525" s="303" t="s">
        <v>8</v>
      </c>
      <c r="C3525" s="304" t="s">
        <v>879</v>
      </c>
      <c r="D3525" s="303" t="s">
        <v>1159</v>
      </c>
      <c r="E3525" s="305" t="s">
        <v>284</v>
      </c>
      <c r="F3525" s="309" t="s">
        <v>1259</v>
      </c>
      <c r="G3525" s="354">
        <v>8766</v>
      </c>
      <c r="H3525" s="305"/>
      <c r="I3525" s="305" t="s">
        <v>152</v>
      </c>
      <c r="J3525" s="305" t="s">
        <v>134</v>
      </c>
      <c r="K3525" s="305" t="s">
        <v>2379</v>
      </c>
    </row>
    <row r="3526" spans="1:11" x14ac:dyDescent="0.25">
      <c r="A3526" s="302" t="str">
        <f t="shared" si="96"/>
        <v>Water Heater_Storage 0.67 EF_CI_Conversion</v>
      </c>
      <c r="B3526" s="303" t="s">
        <v>8</v>
      </c>
      <c r="C3526" s="304" t="s">
        <v>879</v>
      </c>
      <c r="D3526" s="303" t="s">
        <v>1159</v>
      </c>
      <c r="E3526" s="305" t="s">
        <v>284</v>
      </c>
      <c r="F3526" s="309" t="s">
        <v>622</v>
      </c>
      <c r="G3526" s="325">
        <v>100000</v>
      </c>
      <c r="H3526" s="305"/>
      <c r="I3526" s="305" t="s">
        <v>152</v>
      </c>
      <c r="J3526" s="305" t="s">
        <v>134</v>
      </c>
      <c r="K3526" s="305" t="s">
        <v>2379</v>
      </c>
    </row>
    <row r="3527" spans="1:11" x14ac:dyDescent="0.25">
      <c r="A3527" s="302" t="str">
        <f t="shared" si="96"/>
        <v>Water Heater_Storage 0.67 EF_CI_Delta_Therms_Standby</v>
      </c>
      <c r="B3527" s="303" t="s">
        <v>8</v>
      </c>
      <c r="C3527" s="304" t="s">
        <v>879</v>
      </c>
      <c r="D3527" s="303" t="s">
        <v>1159</v>
      </c>
      <c r="E3527" s="305" t="s">
        <v>389</v>
      </c>
      <c r="F3527" s="309"/>
      <c r="G3527" s="306">
        <f>((G3523-G3524)*G3525)/G3526</f>
        <v>49.810108968805366</v>
      </c>
      <c r="H3527" s="305"/>
      <c r="I3527" s="305" t="s">
        <v>152</v>
      </c>
      <c r="J3527" s="305" t="s">
        <v>134</v>
      </c>
      <c r="K3527" s="305" t="s">
        <v>2379</v>
      </c>
    </row>
    <row r="3528" spans="1:11" x14ac:dyDescent="0.25">
      <c r="A3528" s="302" t="str">
        <f t="shared" si="96"/>
        <v>Water Heater_Storage 0.67 EF_CI_kWh Saved per Unit</v>
      </c>
      <c r="B3528" s="303" t="s">
        <v>8</v>
      </c>
      <c r="C3528" s="304" t="s">
        <v>879</v>
      </c>
      <c r="D3528" s="303" t="s">
        <v>1159</v>
      </c>
      <c r="E3528" s="314" t="s">
        <v>255</v>
      </c>
      <c r="F3528" s="326"/>
      <c r="G3528" s="315">
        <v>0</v>
      </c>
      <c r="H3528" s="305"/>
      <c r="I3528" s="305" t="s">
        <v>152</v>
      </c>
      <c r="J3528" s="305" t="s">
        <v>134</v>
      </c>
      <c r="K3528" s="305" t="s">
        <v>2379</v>
      </c>
    </row>
    <row r="3529" spans="1:11" x14ac:dyDescent="0.25">
      <c r="A3529" s="302" t="str">
        <f t="shared" si="96"/>
        <v>Water Heater_Storage 0.67 EF_CI_Coincident Peak kW Saved per Unit</v>
      </c>
      <c r="B3529" s="303" t="s">
        <v>8</v>
      </c>
      <c r="C3529" s="304" t="s">
        <v>879</v>
      </c>
      <c r="D3529" s="303" t="s">
        <v>1159</v>
      </c>
      <c r="E3529" s="314" t="s">
        <v>257</v>
      </c>
      <c r="F3529" s="326"/>
      <c r="G3529" s="315">
        <v>0</v>
      </c>
      <c r="H3529" s="305"/>
      <c r="I3529" s="305" t="s">
        <v>152</v>
      </c>
      <c r="J3529" s="305" t="s">
        <v>134</v>
      </c>
      <c r="K3529" s="305" t="s">
        <v>2379</v>
      </c>
    </row>
    <row r="3530" spans="1:11" x14ac:dyDescent="0.25">
      <c r="A3530" s="302" t="str">
        <f t="shared" si="96"/>
        <v>Water Heater_Storage 0.67 EF_CI_Therm Saved per Unit</v>
      </c>
      <c r="B3530" s="303" t="s">
        <v>8</v>
      </c>
      <c r="C3530" s="304" t="s">
        <v>879</v>
      </c>
      <c r="D3530" s="303" t="s">
        <v>1159</v>
      </c>
      <c r="E3530" s="314" t="s">
        <v>326</v>
      </c>
      <c r="F3530" s="326"/>
      <c r="G3530" s="315">
        <f>G3518</f>
        <v>58.550513970881049</v>
      </c>
      <c r="H3530" s="305"/>
      <c r="I3530" s="305" t="s">
        <v>152</v>
      </c>
      <c r="J3530" s="305" t="s">
        <v>134</v>
      </c>
      <c r="K3530" s="305" t="s">
        <v>2379</v>
      </c>
    </row>
    <row r="3531" spans="1:11" x14ac:dyDescent="0.25">
      <c r="A3531" s="302" t="str">
        <f t="shared" si="96"/>
        <v>Water Heater_Storage 0.67 EF_CI_Gallons Saved per Unit</v>
      </c>
      <c r="B3531" s="303" t="s">
        <v>8</v>
      </c>
      <c r="C3531" s="304" t="s">
        <v>879</v>
      </c>
      <c r="D3531" s="303" t="s">
        <v>1159</v>
      </c>
      <c r="E3531" s="314" t="s">
        <v>547</v>
      </c>
      <c r="F3531" s="326"/>
      <c r="G3531" s="315">
        <v>0</v>
      </c>
      <c r="H3531" s="305"/>
      <c r="I3531" s="305" t="s">
        <v>152</v>
      </c>
      <c r="J3531" s="305" t="s">
        <v>134</v>
      </c>
      <c r="K3531" s="305" t="s">
        <v>2379</v>
      </c>
    </row>
    <row r="3532" spans="1:11" x14ac:dyDescent="0.25">
      <c r="A3532" s="302" t="str">
        <f t="shared" si="96"/>
        <v>Water Heater_Storage 0.67 EF_CI_Lifetime (years)</v>
      </c>
      <c r="B3532" s="303" t="s">
        <v>8</v>
      </c>
      <c r="C3532" s="304" t="s">
        <v>879</v>
      </c>
      <c r="D3532" s="303" t="s">
        <v>1159</v>
      </c>
      <c r="E3532" s="314" t="s">
        <v>259</v>
      </c>
      <c r="F3532" s="326"/>
      <c r="G3532" s="315">
        <v>15</v>
      </c>
      <c r="H3532" s="305" t="s">
        <v>1359</v>
      </c>
      <c r="I3532" s="305" t="s">
        <v>152</v>
      </c>
      <c r="J3532" s="305" t="s">
        <v>134</v>
      </c>
      <c r="K3532" s="305" t="s">
        <v>2379</v>
      </c>
    </row>
    <row r="3533" spans="1:11" x14ac:dyDescent="0.25">
      <c r="A3533" s="302" t="str">
        <f t="shared" si="96"/>
        <v>Water Heater_Storage 0.67 EF_CI_Incremental Cost</v>
      </c>
      <c r="B3533" s="303" t="s">
        <v>8</v>
      </c>
      <c r="C3533" s="304" t="s">
        <v>879</v>
      </c>
      <c r="D3533" s="303" t="s">
        <v>1159</v>
      </c>
      <c r="E3533" s="314" t="s">
        <v>260</v>
      </c>
      <c r="F3533" s="326"/>
      <c r="G3533" s="315">
        <v>879</v>
      </c>
      <c r="H3533" s="305"/>
      <c r="I3533" s="305" t="s">
        <v>152</v>
      </c>
      <c r="J3533" s="305" t="s">
        <v>134</v>
      </c>
      <c r="K3533" s="305" t="s">
        <v>2379</v>
      </c>
    </row>
    <row r="3534" spans="1:11" x14ac:dyDescent="0.25">
      <c r="A3534" s="317" t="str">
        <f t="shared" si="96"/>
        <v>Water Heater_Storage 0.67 EF_CI_</v>
      </c>
      <c r="B3534" s="317" t="str">
        <f>B3533</f>
        <v>Water Heater</v>
      </c>
      <c r="C3534" s="332" t="str">
        <f>C3533</f>
        <v>Storage 0.67 EF</v>
      </c>
      <c r="D3534" s="317" t="str">
        <f>D3533</f>
        <v>CI</v>
      </c>
      <c r="E3534" s="320"/>
      <c r="F3534" s="320"/>
      <c r="G3534" s="329"/>
      <c r="H3534" s="320"/>
      <c r="I3534" s="320"/>
      <c r="J3534" s="320"/>
      <c r="K3534" s="320"/>
    </row>
    <row r="3535" spans="1:11" x14ac:dyDescent="0.25">
      <c r="A3535" s="302" t="str">
        <f t="shared" si="96"/>
        <v>Water Heater_Storage 0.67 EF_MF_T_out</v>
      </c>
      <c r="B3535" s="303" t="s">
        <v>8</v>
      </c>
      <c r="C3535" s="304" t="s">
        <v>879</v>
      </c>
      <c r="D3535" s="303" t="s">
        <v>553</v>
      </c>
      <c r="E3535" s="305" t="s">
        <v>377</v>
      </c>
      <c r="F3535" s="309"/>
      <c r="G3535" s="306">
        <v>125</v>
      </c>
      <c r="H3535" s="305"/>
      <c r="I3535" s="305" t="s">
        <v>152</v>
      </c>
      <c r="J3535" s="305" t="s">
        <v>134</v>
      </c>
      <c r="K3535" s="305" t="s">
        <v>2379</v>
      </c>
    </row>
    <row r="3536" spans="1:11" x14ac:dyDescent="0.25">
      <c r="A3536" s="302" t="str">
        <f t="shared" ref="A3536:A3599" si="97">B3536&amp;"_"&amp;C3536&amp;"_"&amp;D3536&amp;"_"&amp;E3536</f>
        <v>Water Heater_Storage 0.67 EF_MF_T_in</v>
      </c>
      <c r="B3536" s="303" t="s">
        <v>8</v>
      </c>
      <c r="C3536" s="304" t="s">
        <v>879</v>
      </c>
      <c r="D3536" s="303" t="s">
        <v>553</v>
      </c>
      <c r="E3536" s="305" t="s">
        <v>381</v>
      </c>
      <c r="F3536" s="309"/>
      <c r="G3536" s="334">
        <v>50.7</v>
      </c>
      <c r="H3536" s="311" t="s">
        <v>1916</v>
      </c>
      <c r="I3536" s="305" t="s">
        <v>152</v>
      </c>
      <c r="J3536" s="305" t="s">
        <v>134</v>
      </c>
      <c r="K3536" s="305" t="s">
        <v>2379</v>
      </c>
    </row>
    <row r="3537" spans="1:11" x14ac:dyDescent="0.25">
      <c r="A3537" s="302" t="str">
        <f t="shared" si="97"/>
        <v>Water Heater_Storage 0.67 EF_MF_HotWaterUse_Gallon</v>
      </c>
      <c r="B3537" s="303" t="s">
        <v>8</v>
      </c>
      <c r="C3537" s="304" t="s">
        <v>879</v>
      </c>
      <c r="D3537" s="303" t="s">
        <v>553</v>
      </c>
      <c r="E3537" s="305" t="s">
        <v>382</v>
      </c>
      <c r="F3537" s="309" t="s">
        <v>1264</v>
      </c>
      <c r="G3537" s="306">
        <f>555*55</f>
        <v>30525</v>
      </c>
      <c r="H3537" s="305" t="s">
        <v>2005</v>
      </c>
      <c r="I3537" s="305" t="s">
        <v>152</v>
      </c>
      <c r="J3537" s="305" t="s">
        <v>134</v>
      </c>
      <c r="K3537" s="305" t="s">
        <v>2379</v>
      </c>
    </row>
    <row r="3538" spans="1:11" x14ac:dyDescent="0.25">
      <c r="A3538" s="302" t="str">
        <f t="shared" si="97"/>
        <v>Water Heater_Storage 0.67 EF_MF_yWater</v>
      </c>
      <c r="B3538" s="303" t="s">
        <v>8</v>
      </c>
      <c r="C3538" s="304" t="s">
        <v>879</v>
      </c>
      <c r="D3538" s="303" t="s">
        <v>553</v>
      </c>
      <c r="E3538" s="305" t="s">
        <v>369</v>
      </c>
      <c r="F3538" s="309" t="s">
        <v>346</v>
      </c>
      <c r="G3538" s="306">
        <v>8.33</v>
      </c>
      <c r="H3538" s="305"/>
      <c r="I3538" s="305" t="s">
        <v>152</v>
      </c>
      <c r="J3538" s="305" t="s">
        <v>134</v>
      </c>
      <c r="K3538" s="305" t="s">
        <v>2379</v>
      </c>
    </row>
    <row r="3539" spans="1:11" x14ac:dyDescent="0.25">
      <c r="A3539" s="302" t="str">
        <f t="shared" si="97"/>
        <v>Water Heater_Storage 0.67 EF_MF_Heat of Water</v>
      </c>
      <c r="B3539" s="303" t="s">
        <v>8</v>
      </c>
      <c r="C3539" s="304" t="s">
        <v>879</v>
      </c>
      <c r="D3539" s="303" t="s">
        <v>553</v>
      </c>
      <c r="E3539" s="305" t="s">
        <v>1266</v>
      </c>
      <c r="F3539" s="309" t="s">
        <v>1267</v>
      </c>
      <c r="G3539" s="306">
        <v>1</v>
      </c>
      <c r="H3539" s="305"/>
      <c r="I3539" s="305" t="s">
        <v>152</v>
      </c>
      <c r="J3539" s="305" t="s">
        <v>134</v>
      </c>
      <c r="K3539" s="305" t="s">
        <v>2379</v>
      </c>
    </row>
    <row r="3540" spans="1:11" x14ac:dyDescent="0.25">
      <c r="A3540" s="302" t="str">
        <f t="shared" si="97"/>
        <v>Water Heater_Storage 0.67 EF_MF_UEF_gasbase</v>
      </c>
      <c r="B3540" s="303" t="s">
        <v>8</v>
      </c>
      <c r="C3540" s="304" t="s">
        <v>879</v>
      </c>
      <c r="D3540" s="303" t="s">
        <v>553</v>
      </c>
      <c r="E3540" s="305" t="s">
        <v>383</v>
      </c>
      <c r="F3540" s="309"/>
      <c r="G3540" s="306">
        <f>0.675-(0.0015*55)</f>
        <v>0.59250000000000003</v>
      </c>
      <c r="H3540" s="305" t="s">
        <v>1360</v>
      </c>
      <c r="I3540" s="305" t="s">
        <v>152</v>
      </c>
      <c r="J3540" s="305" t="s">
        <v>134</v>
      </c>
      <c r="K3540" s="305" t="s">
        <v>2379</v>
      </c>
    </row>
    <row r="3541" spans="1:11" x14ac:dyDescent="0.25">
      <c r="A3541" s="302" t="str">
        <f t="shared" si="97"/>
        <v>Water Heater_Storage 0.67 EF_MF_UEF_Eff</v>
      </c>
      <c r="B3541" s="303" t="s">
        <v>8</v>
      </c>
      <c r="C3541" s="304" t="s">
        <v>879</v>
      </c>
      <c r="D3541" s="303" t="s">
        <v>553</v>
      </c>
      <c r="E3541" s="305" t="s">
        <v>385</v>
      </c>
      <c r="F3541" s="309"/>
      <c r="G3541" s="306">
        <v>0.67</v>
      </c>
      <c r="H3541" s="305"/>
      <c r="I3541" s="305" t="s">
        <v>152</v>
      </c>
      <c r="J3541" s="305" t="s">
        <v>134</v>
      </c>
      <c r="K3541" s="305" t="s">
        <v>2379</v>
      </c>
    </row>
    <row r="3542" spans="1:11" x14ac:dyDescent="0.25">
      <c r="A3542" s="302" t="str">
        <f t="shared" si="97"/>
        <v>Water Heater_Storage 0.67 EF_MF_Conversion</v>
      </c>
      <c r="B3542" s="303" t="s">
        <v>8</v>
      </c>
      <c r="C3542" s="304" t="s">
        <v>879</v>
      </c>
      <c r="D3542" s="303" t="s">
        <v>553</v>
      </c>
      <c r="E3542" s="305" t="s">
        <v>284</v>
      </c>
      <c r="F3542" s="309" t="s">
        <v>622</v>
      </c>
      <c r="G3542" s="325">
        <v>100000</v>
      </c>
      <c r="H3542" s="305"/>
      <c r="I3542" s="305" t="s">
        <v>152</v>
      </c>
      <c r="J3542" s="305" t="s">
        <v>134</v>
      </c>
      <c r="K3542" s="305" t="s">
        <v>2379</v>
      </c>
    </row>
    <row r="3543" spans="1:11" x14ac:dyDescent="0.25">
      <c r="A3543" s="302" t="str">
        <f t="shared" si="97"/>
        <v>Water Heater_Storage 0.67 EF_MF_Delta_Therms</v>
      </c>
      <c r="B3543" s="303" t="s">
        <v>8</v>
      </c>
      <c r="C3543" s="304" t="s">
        <v>879</v>
      </c>
      <c r="D3543" s="303" t="s">
        <v>553</v>
      </c>
      <c r="E3543" s="305" t="s">
        <v>386</v>
      </c>
      <c r="F3543" s="305" t="s">
        <v>564</v>
      </c>
      <c r="G3543" s="307">
        <f>((G3535-G3536)*G3537*G3538*G3539*((1/G3540)-(1/G3541)))/G3542</f>
        <v>36.883152385225763</v>
      </c>
      <c r="H3543" s="305"/>
      <c r="I3543" s="305" t="s">
        <v>152</v>
      </c>
      <c r="J3543" s="305" t="s">
        <v>134</v>
      </c>
      <c r="K3543" s="305" t="s">
        <v>2379</v>
      </c>
    </row>
    <row r="3544" spans="1:11" x14ac:dyDescent="0.25">
      <c r="A3544" s="302" t="str">
        <f t="shared" si="97"/>
        <v>Water Heater_Storage 0.67 EF_MF_Q</v>
      </c>
      <c r="B3544" s="303" t="s">
        <v>8</v>
      </c>
      <c r="C3544" s="304" t="s">
        <v>879</v>
      </c>
      <c r="D3544" s="303" t="s">
        <v>553</v>
      </c>
      <c r="E3544" s="305" t="s">
        <v>387</v>
      </c>
      <c r="F3544" s="305" t="s">
        <v>479</v>
      </c>
      <c r="G3544" s="307">
        <v>200000</v>
      </c>
      <c r="H3544" s="305"/>
      <c r="I3544" s="305" t="s">
        <v>152</v>
      </c>
      <c r="J3544" s="305" t="s">
        <v>134</v>
      </c>
      <c r="K3544" s="305" t="s">
        <v>2379</v>
      </c>
    </row>
    <row r="3545" spans="1:11" x14ac:dyDescent="0.25">
      <c r="A3545" s="302" t="str">
        <f t="shared" si="97"/>
        <v>Water Heater_Storage 0.67 EF_MF_800</v>
      </c>
      <c r="B3545" s="303" t="s">
        <v>8</v>
      </c>
      <c r="C3545" s="304" t="s">
        <v>879</v>
      </c>
      <c r="D3545" s="303" t="s">
        <v>553</v>
      </c>
      <c r="E3545" s="305">
        <v>800</v>
      </c>
      <c r="F3545" s="305"/>
      <c r="G3545" s="354">
        <v>800</v>
      </c>
      <c r="H3545" s="305" t="s">
        <v>1268</v>
      </c>
      <c r="I3545" s="305" t="s">
        <v>152</v>
      </c>
      <c r="J3545" s="305" t="s">
        <v>134</v>
      </c>
      <c r="K3545" s="305" t="s">
        <v>2379</v>
      </c>
    </row>
    <row r="3546" spans="1:11" x14ac:dyDescent="0.25">
      <c r="A3546" s="302" t="str">
        <f t="shared" si="97"/>
        <v>Water Heater_Storage 0.67 EF_MF_110</v>
      </c>
      <c r="B3546" s="303" t="s">
        <v>8</v>
      </c>
      <c r="C3546" s="304" t="s">
        <v>879</v>
      </c>
      <c r="D3546" s="303" t="s">
        <v>553</v>
      </c>
      <c r="E3546" s="305">
        <v>110</v>
      </c>
      <c r="F3546" s="305"/>
      <c r="G3546" s="354">
        <v>110</v>
      </c>
      <c r="H3546" s="305" t="s">
        <v>1269</v>
      </c>
      <c r="I3546" s="305" t="s">
        <v>152</v>
      </c>
      <c r="J3546" s="305" t="s">
        <v>134</v>
      </c>
      <c r="K3546" s="305" t="s">
        <v>2379</v>
      </c>
    </row>
    <row r="3547" spans="1:11" x14ac:dyDescent="0.25">
      <c r="A3547" s="302" t="str">
        <f t="shared" si="97"/>
        <v>Water Heater_Storage 0.67 EF_MF_V</v>
      </c>
      <c r="B3547" s="303" t="s">
        <v>8</v>
      </c>
      <c r="C3547" s="304" t="s">
        <v>879</v>
      </c>
      <c r="D3547" s="303" t="s">
        <v>553</v>
      </c>
      <c r="E3547" s="305" t="s">
        <v>378</v>
      </c>
      <c r="F3547" s="305" t="s">
        <v>1264</v>
      </c>
      <c r="G3547" s="307">
        <v>150</v>
      </c>
      <c r="H3547" s="305" t="s">
        <v>614</v>
      </c>
      <c r="I3547" s="305" t="s">
        <v>152</v>
      </c>
      <c r="J3547" s="305" t="s">
        <v>134</v>
      </c>
      <c r="K3547" s="305" t="s">
        <v>2379</v>
      </c>
    </row>
    <row r="3548" spans="1:11" x14ac:dyDescent="0.25">
      <c r="A3548" s="302" t="str">
        <f t="shared" si="97"/>
        <v>Water Heater_Storage 0.67 EF_MF_SL_gasbase</v>
      </c>
      <c r="B3548" s="303" t="s">
        <v>8</v>
      </c>
      <c r="C3548" s="304" t="s">
        <v>879</v>
      </c>
      <c r="D3548" s="303" t="s">
        <v>553</v>
      </c>
      <c r="E3548" s="305" t="s">
        <v>388</v>
      </c>
      <c r="F3548" s="305"/>
      <c r="G3548" s="307">
        <f>(G3544/G3545)+G3546*SQRT(G3547)</f>
        <v>1597.219358530748</v>
      </c>
      <c r="H3548" s="305"/>
      <c r="I3548" s="305" t="s">
        <v>152</v>
      </c>
      <c r="J3548" s="305" t="s">
        <v>134</v>
      </c>
      <c r="K3548" s="305" t="s">
        <v>2379</v>
      </c>
    </row>
    <row r="3549" spans="1:11" x14ac:dyDescent="0.25">
      <c r="A3549" s="302" t="str">
        <f t="shared" si="97"/>
        <v>Water Heater_Storage 0.67 EF_MF_SL_eff</v>
      </c>
      <c r="B3549" s="303" t="s">
        <v>8</v>
      </c>
      <c r="C3549" s="304" t="s">
        <v>879</v>
      </c>
      <c r="D3549" s="303" t="s">
        <v>553</v>
      </c>
      <c r="E3549" s="305" t="s">
        <v>379</v>
      </c>
      <c r="F3549" s="305"/>
      <c r="G3549" s="307">
        <v>1029</v>
      </c>
      <c r="H3549" s="305" t="s">
        <v>366</v>
      </c>
      <c r="I3549" s="305" t="s">
        <v>152</v>
      </c>
      <c r="J3549" s="305" t="s">
        <v>134</v>
      </c>
      <c r="K3549" s="305" t="s">
        <v>2379</v>
      </c>
    </row>
    <row r="3550" spans="1:11" x14ac:dyDescent="0.25">
      <c r="A3550" s="302" t="str">
        <f t="shared" si="97"/>
        <v>Water Heater_Storage 0.67 EF_MF_Conversion</v>
      </c>
      <c r="B3550" s="303" t="s">
        <v>8</v>
      </c>
      <c r="C3550" s="304" t="s">
        <v>879</v>
      </c>
      <c r="D3550" s="303" t="s">
        <v>553</v>
      </c>
      <c r="E3550" s="305" t="s">
        <v>284</v>
      </c>
      <c r="F3550" s="309" t="s">
        <v>1259</v>
      </c>
      <c r="G3550" s="354">
        <v>8766</v>
      </c>
      <c r="H3550" s="305"/>
      <c r="I3550" s="305" t="s">
        <v>152</v>
      </c>
      <c r="J3550" s="305" t="s">
        <v>134</v>
      </c>
      <c r="K3550" s="305" t="s">
        <v>2379</v>
      </c>
    </row>
    <row r="3551" spans="1:11" x14ac:dyDescent="0.25">
      <c r="A3551" s="302" t="str">
        <f t="shared" si="97"/>
        <v>Water Heater_Storage 0.67 EF_MF_Conversion</v>
      </c>
      <c r="B3551" s="303" t="s">
        <v>8</v>
      </c>
      <c r="C3551" s="304" t="s">
        <v>879</v>
      </c>
      <c r="D3551" s="303" t="s">
        <v>553</v>
      </c>
      <c r="E3551" s="305" t="s">
        <v>284</v>
      </c>
      <c r="F3551" s="309" t="s">
        <v>622</v>
      </c>
      <c r="G3551" s="325">
        <v>100000</v>
      </c>
      <c r="H3551" s="305"/>
      <c r="I3551" s="305" t="s">
        <v>152</v>
      </c>
      <c r="J3551" s="305" t="s">
        <v>134</v>
      </c>
      <c r="K3551" s="305" t="s">
        <v>2379</v>
      </c>
    </row>
    <row r="3552" spans="1:11" x14ac:dyDescent="0.25">
      <c r="A3552" s="302" t="str">
        <f t="shared" si="97"/>
        <v>Water Heater_Storage 0.67 EF_MF_Delta_Therms_Standby</v>
      </c>
      <c r="B3552" s="303" t="s">
        <v>8</v>
      </c>
      <c r="C3552" s="304" t="s">
        <v>879</v>
      </c>
      <c r="D3552" s="303" t="s">
        <v>553</v>
      </c>
      <c r="E3552" s="305" t="s">
        <v>389</v>
      </c>
      <c r="F3552" s="309"/>
      <c r="G3552" s="306">
        <f>((G3548-G3549)*G3550)/G3551</f>
        <v>49.810108968805366</v>
      </c>
      <c r="H3552" s="305"/>
      <c r="I3552" s="305" t="s">
        <v>152</v>
      </c>
      <c r="J3552" s="305" t="s">
        <v>134</v>
      </c>
      <c r="K3552" s="305" t="s">
        <v>2379</v>
      </c>
    </row>
    <row r="3553" spans="1:11" x14ac:dyDescent="0.25">
      <c r="A3553" s="302" t="str">
        <f t="shared" si="97"/>
        <v>Water Heater_Storage 0.67 EF_MF_kWh Saved per Unit</v>
      </c>
      <c r="B3553" s="303" t="s">
        <v>8</v>
      </c>
      <c r="C3553" s="304" t="s">
        <v>879</v>
      </c>
      <c r="D3553" s="303" t="s">
        <v>553</v>
      </c>
      <c r="E3553" s="314" t="s">
        <v>255</v>
      </c>
      <c r="F3553" s="326"/>
      <c r="G3553" s="315">
        <v>0</v>
      </c>
      <c r="H3553" s="305"/>
      <c r="I3553" s="305" t="s">
        <v>152</v>
      </c>
      <c r="J3553" s="305" t="s">
        <v>134</v>
      </c>
      <c r="K3553" s="305" t="s">
        <v>2379</v>
      </c>
    </row>
    <row r="3554" spans="1:11" x14ac:dyDescent="0.25">
      <c r="A3554" s="302" t="str">
        <f t="shared" si="97"/>
        <v>Water Heater_Storage 0.67 EF_MF_Coincident Peak kW Saved per Unit</v>
      </c>
      <c r="B3554" s="303" t="s">
        <v>8</v>
      </c>
      <c r="C3554" s="304" t="s">
        <v>879</v>
      </c>
      <c r="D3554" s="303" t="s">
        <v>553</v>
      </c>
      <c r="E3554" s="314" t="s">
        <v>257</v>
      </c>
      <c r="F3554" s="326"/>
      <c r="G3554" s="315">
        <v>0</v>
      </c>
      <c r="H3554" s="305"/>
      <c r="I3554" s="305" t="s">
        <v>152</v>
      </c>
      <c r="J3554" s="305" t="s">
        <v>134</v>
      </c>
      <c r="K3554" s="305" t="s">
        <v>2379</v>
      </c>
    </row>
    <row r="3555" spans="1:11" x14ac:dyDescent="0.25">
      <c r="A3555" s="302" t="str">
        <f t="shared" si="97"/>
        <v>Water Heater_Storage 0.67 EF_MF_Therm Saved per Unit</v>
      </c>
      <c r="B3555" s="303" t="s">
        <v>8</v>
      </c>
      <c r="C3555" s="304" t="s">
        <v>879</v>
      </c>
      <c r="D3555" s="303" t="s">
        <v>553</v>
      </c>
      <c r="E3555" s="314" t="s">
        <v>326</v>
      </c>
      <c r="F3555" s="326"/>
      <c r="G3555" s="315">
        <f>G3543</f>
        <v>36.883152385225763</v>
      </c>
      <c r="H3555" s="305"/>
      <c r="I3555" s="305" t="s">
        <v>152</v>
      </c>
      <c r="J3555" s="305" t="s">
        <v>134</v>
      </c>
      <c r="K3555" s="305" t="s">
        <v>2379</v>
      </c>
    </row>
    <row r="3556" spans="1:11" x14ac:dyDescent="0.25">
      <c r="A3556" s="302" t="str">
        <f t="shared" si="97"/>
        <v>Water Heater_Storage 0.67 EF_MF_Gallons Saved per Unit</v>
      </c>
      <c r="B3556" s="303" t="s">
        <v>8</v>
      </c>
      <c r="C3556" s="304" t="s">
        <v>879</v>
      </c>
      <c r="D3556" s="303" t="s">
        <v>553</v>
      </c>
      <c r="E3556" s="314" t="s">
        <v>547</v>
      </c>
      <c r="F3556" s="326"/>
      <c r="G3556" s="315">
        <v>0</v>
      </c>
      <c r="H3556" s="305"/>
      <c r="I3556" s="305" t="s">
        <v>152</v>
      </c>
      <c r="J3556" s="305" t="s">
        <v>134</v>
      </c>
      <c r="K3556" s="305" t="s">
        <v>2379</v>
      </c>
    </row>
    <row r="3557" spans="1:11" x14ac:dyDescent="0.25">
      <c r="A3557" s="302" t="str">
        <f t="shared" si="97"/>
        <v>Water Heater_Storage 0.67 EF_MF_Lifetime (years)</v>
      </c>
      <c r="B3557" s="303" t="s">
        <v>8</v>
      </c>
      <c r="C3557" s="304" t="s">
        <v>879</v>
      </c>
      <c r="D3557" s="303" t="s">
        <v>553</v>
      </c>
      <c r="E3557" s="314" t="s">
        <v>259</v>
      </c>
      <c r="F3557" s="326"/>
      <c r="G3557" s="315">
        <v>15</v>
      </c>
      <c r="H3557" s="305" t="s">
        <v>1359</v>
      </c>
      <c r="I3557" s="305" t="s">
        <v>152</v>
      </c>
      <c r="J3557" s="305" t="s">
        <v>134</v>
      </c>
      <c r="K3557" s="305" t="s">
        <v>2379</v>
      </c>
    </row>
    <row r="3558" spans="1:11" x14ac:dyDescent="0.25">
      <c r="A3558" s="302" t="str">
        <f t="shared" si="97"/>
        <v>Water Heater_Storage 0.67 EF_MF_Incremental Cost</v>
      </c>
      <c r="B3558" s="303" t="s">
        <v>8</v>
      </c>
      <c r="C3558" s="304" t="s">
        <v>879</v>
      </c>
      <c r="D3558" s="303" t="s">
        <v>553</v>
      </c>
      <c r="E3558" s="314" t="s">
        <v>260</v>
      </c>
      <c r="F3558" s="326"/>
      <c r="G3558" s="315">
        <v>879</v>
      </c>
      <c r="H3558" s="305"/>
      <c r="I3558" s="305" t="s">
        <v>152</v>
      </c>
      <c r="J3558" s="305" t="s">
        <v>134</v>
      </c>
      <c r="K3558" s="305" t="s">
        <v>2379</v>
      </c>
    </row>
    <row r="3559" spans="1:11" x14ac:dyDescent="0.25">
      <c r="A3559" s="317" t="str">
        <f t="shared" si="97"/>
        <v>Water Heater_Storage 0.67 EF_MF_</v>
      </c>
      <c r="B3559" s="317" t="str">
        <f>B3558</f>
        <v>Water Heater</v>
      </c>
      <c r="C3559" s="332" t="str">
        <f>C3558</f>
        <v>Storage 0.67 EF</v>
      </c>
      <c r="D3559" s="317" t="str">
        <f>D3558</f>
        <v>MF</v>
      </c>
      <c r="E3559" s="320"/>
      <c r="F3559" s="320"/>
      <c r="G3559" s="329"/>
      <c r="H3559" s="320"/>
      <c r="I3559" s="320"/>
      <c r="J3559" s="320"/>
      <c r="K3559" s="320"/>
    </row>
    <row r="3560" spans="1:11" x14ac:dyDescent="0.25">
      <c r="A3560" s="302" t="str">
        <f t="shared" si="97"/>
        <v>Furnace_&gt;95% AFUE_CI_Heating Savings</v>
      </c>
      <c r="B3560" s="303" t="s">
        <v>490</v>
      </c>
      <c r="C3560" s="303" t="s">
        <v>982</v>
      </c>
      <c r="D3560" s="303" t="s">
        <v>1159</v>
      </c>
      <c r="E3560" s="305" t="s">
        <v>415</v>
      </c>
      <c r="F3560" s="309" t="s">
        <v>565</v>
      </c>
      <c r="G3560" s="306">
        <v>418</v>
      </c>
      <c r="H3560" s="305"/>
      <c r="I3560" s="305" t="s">
        <v>152</v>
      </c>
      <c r="J3560" s="305" t="s">
        <v>115</v>
      </c>
      <c r="K3560" s="305" t="s">
        <v>2040</v>
      </c>
    </row>
    <row r="3561" spans="1:11" x14ac:dyDescent="0.25">
      <c r="A3561" s="302" t="str">
        <f t="shared" si="97"/>
        <v>Furnace_&gt;95% AFUE_CI_Cooling Savings</v>
      </c>
      <c r="B3561" s="303" t="s">
        <v>490</v>
      </c>
      <c r="C3561" s="303" t="s">
        <v>982</v>
      </c>
      <c r="D3561" s="303" t="s">
        <v>1159</v>
      </c>
      <c r="E3561" s="305" t="s">
        <v>416</v>
      </c>
      <c r="F3561" s="309" t="s">
        <v>565</v>
      </c>
      <c r="G3561" s="306">
        <v>241</v>
      </c>
      <c r="H3561" s="305" t="s">
        <v>417</v>
      </c>
      <c r="I3561" s="305" t="s">
        <v>152</v>
      </c>
      <c r="J3561" s="305" t="s">
        <v>115</v>
      </c>
      <c r="K3561" s="305" t="s">
        <v>2040</v>
      </c>
    </row>
    <row r="3562" spans="1:11" x14ac:dyDescent="0.25">
      <c r="A3562" s="302" t="str">
        <f t="shared" si="97"/>
        <v>Furnace_&gt;95% AFUE_CI_Shoulder Season Savings</v>
      </c>
      <c r="B3562" s="303" t="s">
        <v>490</v>
      </c>
      <c r="C3562" s="303" t="s">
        <v>982</v>
      </c>
      <c r="D3562" s="303" t="s">
        <v>1159</v>
      </c>
      <c r="E3562" s="305" t="s">
        <v>418</v>
      </c>
      <c r="F3562" s="309" t="s">
        <v>565</v>
      </c>
      <c r="G3562" s="307">
        <v>51</v>
      </c>
      <c r="H3562" s="305"/>
      <c r="I3562" s="305" t="s">
        <v>152</v>
      </c>
      <c r="J3562" s="305" t="s">
        <v>115</v>
      </c>
      <c r="K3562" s="305" t="s">
        <v>2040</v>
      </c>
    </row>
    <row r="3563" spans="1:11" x14ac:dyDescent="0.25">
      <c r="A3563" s="302" t="str">
        <f t="shared" si="97"/>
        <v>Furnace_&gt;95% AFUE_CI_Hours of Operation</v>
      </c>
      <c r="B3563" s="303" t="s">
        <v>490</v>
      </c>
      <c r="C3563" s="303" t="s">
        <v>982</v>
      </c>
      <c r="D3563" s="303" t="s">
        <v>1159</v>
      </c>
      <c r="E3563" s="305" t="s">
        <v>460</v>
      </c>
      <c r="F3563" s="309" t="s">
        <v>647</v>
      </c>
      <c r="G3563" s="354">
        <v>2987</v>
      </c>
      <c r="H3563" s="305" t="s">
        <v>419</v>
      </c>
      <c r="I3563" s="305" t="s">
        <v>152</v>
      </c>
      <c r="J3563" s="305" t="s">
        <v>115</v>
      </c>
      <c r="K3563" s="305" t="s">
        <v>2040</v>
      </c>
    </row>
    <row r="3564" spans="1:11" x14ac:dyDescent="0.25">
      <c r="A3564" s="302" t="str">
        <f t="shared" si="97"/>
        <v>Furnace_&gt;95% AFUE_CI_CF</v>
      </c>
      <c r="B3564" s="303" t="s">
        <v>490</v>
      </c>
      <c r="C3564" s="303" t="s">
        <v>982</v>
      </c>
      <c r="D3564" s="303" t="s">
        <v>1159</v>
      </c>
      <c r="E3564" s="305" t="s">
        <v>253</v>
      </c>
      <c r="F3564" s="309" t="s">
        <v>539</v>
      </c>
      <c r="G3564" s="367">
        <v>0.42399999999999999</v>
      </c>
      <c r="H3564" s="305" t="s">
        <v>419</v>
      </c>
      <c r="I3564" s="305" t="s">
        <v>152</v>
      </c>
      <c r="J3564" s="305" t="s">
        <v>115</v>
      </c>
      <c r="K3564" s="305" t="s">
        <v>2040</v>
      </c>
    </row>
    <row r="3565" spans="1:11" x14ac:dyDescent="0.25">
      <c r="A3565" s="302" t="str">
        <f t="shared" si="97"/>
        <v>Furnace_&gt;95% AFUE_CI_EFLH</v>
      </c>
      <c r="B3565" s="303" t="s">
        <v>490</v>
      </c>
      <c r="C3565" s="303" t="s">
        <v>982</v>
      </c>
      <c r="D3565" s="303" t="s">
        <v>1159</v>
      </c>
      <c r="E3565" s="305" t="s">
        <v>321</v>
      </c>
      <c r="F3565" s="305" t="s">
        <v>283</v>
      </c>
      <c r="G3565" s="325">
        <v>1678</v>
      </c>
      <c r="H3565" s="305" t="s">
        <v>1352</v>
      </c>
      <c r="I3565" s="305" t="s">
        <v>633</v>
      </c>
      <c r="J3565" s="305"/>
      <c r="K3565" s="305"/>
    </row>
    <row r="3566" spans="1:11" x14ac:dyDescent="0.25">
      <c r="A3566" s="302" t="str">
        <f t="shared" si="97"/>
        <v>Furnace_&gt;95% AFUE_CI_Capacity</v>
      </c>
      <c r="B3566" s="303" t="s">
        <v>490</v>
      </c>
      <c r="C3566" s="303" t="s">
        <v>982</v>
      </c>
      <c r="D3566" s="303" t="s">
        <v>1159</v>
      </c>
      <c r="E3566" s="305" t="s">
        <v>270</v>
      </c>
      <c r="F3566" s="309" t="s">
        <v>479</v>
      </c>
      <c r="G3566" s="307">
        <v>76000</v>
      </c>
      <c r="H3566" s="305" t="s">
        <v>984</v>
      </c>
      <c r="I3566" s="305" t="s">
        <v>633</v>
      </c>
      <c r="J3566" s="305"/>
      <c r="K3566" s="305"/>
    </row>
    <row r="3567" spans="1:11" x14ac:dyDescent="0.25">
      <c r="A3567" s="302" t="str">
        <f t="shared" si="97"/>
        <v>Furnace_&gt;95% AFUE_CI_AFUE_ee</v>
      </c>
      <c r="B3567" s="303" t="s">
        <v>490</v>
      </c>
      <c r="C3567" s="303" t="s">
        <v>982</v>
      </c>
      <c r="D3567" s="303" t="s">
        <v>1159</v>
      </c>
      <c r="E3567" s="305" t="s">
        <v>985</v>
      </c>
      <c r="F3567" s="309" t="s">
        <v>539</v>
      </c>
      <c r="G3567" s="333">
        <v>0.95499999999999996</v>
      </c>
      <c r="H3567" s="305" t="s">
        <v>1361</v>
      </c>
      <c r="I3567" s="305" t="s">
        <v>633</v>
      </c>
      <c r="J3567" s="305"/>
      <c r="K3567" s="305"/>
    </row>
    <row r="3568" spans="1:11" x14ac:dyDescent="0.25">
      <c r="A3568" s="302" t="str">
        <f t="shared" si="97"/>
        <v>Furnace_&gt;95% AFUE_CI_AFUE_base</v>
      </c>
      <c r="B3568" s="303" t="s">
        <v>490</v>
      </c>
      <c r="C3568" s="303" t="s">
        <v>982</v>
      </c>
      <c r="D3568" s="303" t="s">
        <v>1159</v>
      </c>
      <c r="E3568" s="311" t="s">
        <v>986</v>
      </c>
      <c r="F3568" s="334" t="s">
        <v>539</v>
      </c>
      <c r="G3568" s="322">
        <v>0.81</v>
      </c>
      <c r="H3568" s="311" t="s">
        <v>987</v>
      </c>
      <c r="I3568" s="305" t="s">
        <v>152</v>
      </c>
      <c r="J3568" s="305" t="s">
        <v>115</v>
      </c>
      <c r="K3568" s="305" t="s">
        <v>2040</v>
      </c>
    </row>
    <row r="3569" spans="1:11" x14ac:dyDescent="0.25">
      <c r="A3569" s="302" t="str">
        <f t="shared" si="97"/>
        <v>Furnace_&gt;95% AFUE_CI_Conversion</v>
      </c>
      <c r="B3569" s="303" t="s">
        <v>490</v>
      </c>
      <c r="C3569" s="303" t="s">
        <v>982</v>
      </c>
      <c r="D3569" s="303" t="s">
        <v>1159</v>
      </c>
      <c r="E3569" s="305" t="s">
        <v>284</v>
      </c>
      <c r="F3569" s="309" t="s">
        <v>622</v>
      </c>
      <c r="G3569" s="325">
        <v>100000</v>
      </c>
      <c r="H3569" s="305"/>
      <c r="I3569" s="305" t="s">
        <v>152</v>
      </c>
      <c r="J3569" s="305" t="s">
        <v>115</v>
      </c>
      <c r="K3569" s="305" t="s">
        <v>2040</v>
      </c>
    </row>
    <row r="3570" spans="1:11" x14ac:dyDescent="0.25">
      <c r="A3570" s="302" t="str">
        <f t="shared" si="97"/>
        <v>Furnace_&gt;95% AFUE_CI_kWh Saved per Unit</v>
      </c>
      <c r="B3570" s="303" t="s">
        <v>490</v>
      </c>
      <c r="C3570" s="303" t="s">
        <v>982</v>
      </c>
      <c r="D3570" s="303" t="s">
        <v>1159</v>
      </c>
      <c r="E3570" s="314" t="s">
        <v>255</v>
      </c>
      <c r="F3570" s="326"/>
      <c r="G3570" s="315">
        <f>G3560+G3561+G3562</f>
        <v>710</v>
      </c>
      <c r="H3570" s="305"/>
      <c r="I3570" s="305" t="s">
        <v>152</v>
      </c>
      <c r="J3570" s="305" t="s">
        <v>115</v>
      </c>
      <c r="K3570" s="305" t="s">
        <v>2040</v>
      </c>
    </row>
    <row r="3571" spans="1:11" x14ac:dyDescent="0.25">
      <c r="A3571" s="302" t="str">
        <f t="shared" si="97"/>
        <v>Furnace_&gt;95% AFUE_CI_Coincident Peak kW Saved per Unit</v>
      </c>
      <c r="B3571" s="303" t="s">
        <v>490</v>
      </c>
      <c r="C3571" s="303" t="s">
        <v>982</v>
      </c>
      <c r="D3571" s="303" t="s">
        <v>1159</v>
      </c>
      <c r="E3571" s="314" t="s">
        <v>257</v>
      </c>
      <c r="F3571" s="326"/>
      <c r="G3571" s="315">
        <f>(G3561/G3563)*G3564</f>
        <v>3.4209574824238365E-2</v>
      </c>
      <c r="H3571" s="305"/>
      <c r="I3571" s="305" t="s">
        <v>152</v>
      </c>
      <c r="J3571" s="305" t="s">
        <v>115</v>
      </c>
      <c r="K3571" s="305" t="s">
        <v>2040</v>
      </c>
    </row>
    <row r="3572" spans="1:11" x14ac:dyDescent="0.25">
      <c r="A3572" s="302" t="str">
        <f t="shared" si="97"/>
        <v>Furnace_&gt;95% AFUE_CI_Therm Saved per Unit</v>
      </c>
      <c r="B3572" s="303" t="s">
        <v>490</v>
      </c>
      <c r="C3572" s="303" t="s">
        <v>982</v>
      </c>
      <c r="D3572" s="303" t="s">
        <v>1159</v>
      </c>
      <c r="E3572" s="314" t="s">
        <v>326</v>
      </c>
      <c r="F3572" s="326"/>
      <c r="G3572" s="315">
        <f xml:space="preserve"> G3565*G3566*((G3567 - G3568)/G3568)/G3569</f>
        <v>228.29086419753071</v>
      </c>
      <c r="H3572" s="305"/>
      <c r="I3572" s="305" t="s">
        <v>152</v>
      </c>
      <c r="J3572" s="305" t="s">
        <v>115</v>
      </c>
      <c r="K3572" s="305" t="s">
        <v>2040</v>
      </c>
    </row>
    <row r="3573" spans="1:11" x14ac:dyDescent="0.25">
      <c r="A3573" s="302" t="str">
        <f t="shared" si="97"/>
        <v>Furnace_&gt;95% AFUE_CI_Lifetime (years)</v>
      </c>
      <c r="B3573" s="303" t="s">
        <v>490</v>
      </c>
      <c r="C3573" s="303" t="s">
        <v>982</v>
      </c>
      <c r="D3573" s="303" t="s">
        <v>1159</v>
      </c>
      <c r="E3573" s="314" t="s">
        <v>259</v>
      </c>
      <c r="F3573" s="326"/>
      <c r="G3573" s="326">
        <v>16.5</v>
      </c>
      <c r="H3573" s="305"/>
      <c r="I3573" s="305" t="s">
        <v>152</v>
      </c>
      <c r="J3573" s="305" t="s">
        <v>115</v>
      </c>
      <c r="K3573" s="305" t="s">
        <v>2040</v>
      </c>
    </row>
    <row r="3574" spans="1:11" x14ac:dyDescent="0.25">
      <c r="A3574" s="302" t="str">
        <f t="shared" si="97"/>
        <v>Furnace_&gt;95% AFUE_CI_Incremental Cost</v>
      </c>
      <c r="B3574" s="303" t="s">
        <v>490</v>
      </c>
      <c r="C3574" s="303" t="s">
        <v>982</v>
      </c>
      <c r="D3574" s="303" t="s">
        <v>1159</v>
      </c>
      <c r="E3574" s="314" t="s">
        <v>260</v>
      </c>
      <c r="F3574" s="314" t="s">
        <v>549</v>
      </c>
      <c r="G3574" s="328">
        <v>1511</v>
      </c>
      <c r="H3574" s="305" t="s">
        <v>987</v>
      </c>
      <c r="I3574" s="305" t="s">
        <v>152</v>
      </c>
      <c r="J3574" s="305" t="s">
        <v>115</v>
      </c>
      <c r="K3574" s="305" t="s">
        <v>2040</v>
      </c>
    </row>
    <row r="3575" spans="1:11" x14ac:dyDescent="0.25">
      <c r="A3575" s="317" t="str">
        <f t="shared" si="97"/>
        <v>Furnace_&gt;95% AFUE_CI_</v>
      </c>
      <c r="B3575" s="317" t="str">
        <f>B3574</f>
        <v>Furnace</v>
      </c>
      <c r="C3575" s="317" t="str">
        <f>C3574</f>
        <v>&gt;95% AFUE</v>
      </c>
      <c r="D3575" s="317" t="str">
        <f>D3574</f>
        <v>CI</v>
      </c>
      <c r="E3575" s="320"/>
      <c r="F3575" s="320"/>
      <c r="G3575" s="329"/>
      <c r="H3575" s="320"/>
      <c r="I3575" s="320"/>
      <c r="J3575" s="320"/>
      <c r="K3575" s="320"/>
    </row>
    <row r="3576" spans="1:11" x14ac:dyDescent="0.25">
      <c r="A3576" s="302" t="str">
        <f t="shared" si="97"/>
        <v>Indirect Water Heater_≥88% AFUE_SF_Tout</v>
      </c>
      <c r="B3576" s="303" t="s">
        <v>1362</v>
      </c>
      <c r="C3576" s="304" t="s">
        <v>1363</v>
      </c>
      <c r="D3576" s="303" t="s">
        <v>409</v>
      </c>
      <c r="E3576" s="305" t="s">
        <v>370</v>
      </c>
      <c r="F3576" s="305" t="s">
        <v>542</v>
      </c>
      <c r="G3576" s="354">
        <v>125</v>
      </c>
      <c r="H3576" s="305"/>
      <c r="I3576" s="305" t="s">
        <v>152</v>
      </c>
      <c r="J3576" s="305" t="s">
        <v>239</v>
      </c>
      <c r="K3576" s="305" t="s">
        <v>2366</v>
      </c>
    </row>
    <row r="3577" spans="1:11" x14ac:dyDescent="0.25">
      <c r="A3577" s="302" t="str">
        <f t="shared" si="97"/>
        <v>Indirect Water Heater_≥88% AFUE_SF_Tin</v>
      </c>
      <c r="B3577" s="303" t="s">
        <v>1362</v>
      </c>
      <c r="C3577" s="304" t="s">
        <v>1363</v>
      </c>
      <c r="D3577" s="303" t="s">
        <v>409</v>
      </c>
      <c r="E3577" s="305" t="s">
        <v>371</v>
      </c>
      <c r="F3577" s="305" t="s">
        <v>542</v>
      </c>
      <c r="G3577" s="334">
        <v>50.7</v>
      </c>
      <c r="H3577" s="311" t="s">
        <v>1916</v>
      </c>
      <c r="I3577" s="305" t="s">
        <v>152</v>
      </c>
      <c r="J3577" s="305" t="s">
        <v>239</v>
      </c>
      <c r="K3577" s="305" t="s">
        <v>2366</v>
      </c>
    </row>
    <row r="3578" spans="1:11" x14ac:dyDescent="0.25">
      <c r="A3578" s="302" t="str">
        <f t="shared" si="97"/>
        <v>Indirect Water Heater_≥88% AFUE_SF_GPD</v>
      </c>
      <c r="B3578" s="303" t="s">
        <v>1362</v>
      </c>
      <c r="C3578" s="304" t="s">
        <v>1363</v>
      </c>
      <c r="D3578" s="303" t="s">
        <v>409</v>
      </c>
      <c r="E3578" s="305" t="s">
        <v>368</v>
      </c>
      <c r="F3578" s="305" t="s">
        <v>867</v>
      </c>
      <c r="G3578" s="355">
        <v>17.600000000000001</v>
      </c>
      <c r="H3578" s="305"/>
      <c r="I3578" s="305" t="s">
        <v>152</v>
      </c>
      <c r="J3578" s="305" t="s">
        <v>239</v>
      </c>
      <c r="K3578" s="305" t="s">
        <v>2366</v>
      </c>
    </row>
    <row r="3579" spans="1:11" x14ac:dyDescent="0.25">
      <c r="A3579" s="302" t="str">
        <f t="shared" si="97"/>
        <v>Indirect Water Heater_≥88% AFUE_SF_Storage Capacity</v>
      </c>
      <c r="B3579" s="303" t="s">
        <v>1362</v>
      </c>
      <c r="C3579" s="304" t="s">
        <v>1363</v>
      </c>
      <c r="D3579" s="303" t="s">
        <v>409</v>
      </c>
      <c r="E3579" s="305" t="s">
        <v>868</v>
      </c>
      <c r="F3579" s="305" t="s">
        <v>646</v>
      </c>
      <c r="G3579" s="355">
        <v>40</v>
      </c>
      <c r="H3579" s="305" t="s">
        <v>869</v>
      </c>
      <c r="I3579" s="305" t="s">
        <v>152</v>
      </c>
      <c r="J3579" s="305" t="s">
        <v>239</v>
      </c>
      <c r="K3579" s="305" t="s">
        <v>2366</v>
      </c>
    </row>
    <row r="3580" spans="1:11" x14ac:dyDescent="0.25">
      <c r="A3580" s="302" t="str">
        <f t="shared" si="97"/>
        <v>Indirect Water Heater_≥88% AFUE_SF_Household</v>
      </c>
      <c r="B3580" s="303" t="s">
        <v>1362</v>
      </c>
      <c r="C3580" s="304" t="s">
        <v>1363</v>
      </c>
      <c r="D3580" s="303" t="s">
        <v>409</v>
      </c>
      <c r="E3580" s="305" t="s">
        <v>505</v>
      </c>
      <c r="F3580" s="305" t="s">
        <v>537</v>
      </c>
      <c r="G3580" s="355">
        <v>2.56</v>
      </c>
      <c r="H3580" s="305" t="s">
        <v>870</v>
      </c>
      <c r="I3580" s="305" t="s">
        <v>152</v>
      </c>
      <c r="J3580" s="305" t="s">
        <v>239</v>
      </c>
      <c r="K3580" s="305" t="s">
        <v>2366</v>
      </c>
    </row>
    <row r="3581" spans="1:11" x14ac:dyDescent="0.25">
      <c r="A3581" s="302" t="str">
        <f t="shared" si="97"/>
        <v>Indirect Water Heater_≥88% AFUE_SF_Conversion</v>
      </c>
      <c r="B3581" s="303" t="s">
        <v>1362</v>
      </c>
      <c r="C3581" s="304" t="s">
        <v>1363</v>
      </c>
      <c r="D3581" s="303" t="s">
        <v>409</v>
      </c>
      <c r="E3581" s="305" t="s">
        <v>284</v>
      </c>
      <c r="F3581" s="305" t="s">
        <v>871</v>
      </c>
      <c r="G3581" s="325">
        <v>365.25</v>
      </c>
      <c r="H3581" s="305"/>
      <c r="I3581" s="305" t="s">
        <v>152</v>
      </c>
      <c r="J3581" s="305" t="s">
        <v>239</v>
      </c>
      <c r="K3581" s="305" t="s">
        <v>2366</v>
      </c>
    </row>
    <row r="3582" spans="1:11" x14ac:dyDescent="0.25">
      <c r="A3582" s="302" t="str">
        <f t="shared" si="97"/>
        <v>Indirect Water Heater_≥88% AFUE_SF_Conversion</v>
      </c>
      <c r="B3582" s="303" t="s">
        <v>1362</v>
      </c>
      <c r="C3582" s="304" t="s">
        <v>1363</v>
      </c>
      <c r="D3582" s="303" t="s">
        <v>409</v>
      </c>
      <c r="E3582" s="305" t="s">
        <v>284</v>
      </c>
      <c r="F3582" s="305" t="s">
        <v>622</v>
      </c>
      <c r="G3582" s="325">
        <v>100000</v>
      </c>
      <c r="H3582" s="305"/>
      <c r="I3582" s="305" t="s">
        <v>152</v>
      </c>
      <c r="J3582" s="305" t="s">
        <v>239</v>
      </c>
      <c r="K3582" s="305" t="s">
        <v>2366</v>
      </c>
    </row>
    <row r="3583" spans="1:11" x14ac:dyDescent="0.25">
      <c r="A3583" s="302" t="str">
        <f t="shared" si="97"/>
        <v>Indirect Water Heater_≥88% AFUE_SF_yWater</v>
      </c>
      <c r="B3583" s="303" t="s">
        <v>1362</v>
      </c>
      <c r="C3583" s="304" t="s">
        <v>1363</v>
      </c>
      <c r="D3583" s="303" t="s">
        <v>409</v>
      </c>
      <c r="E3583" s="305" t="s">
        <v>369</v>
      </c>
      <c r="F3583" s="305" t="s">
        <v>346</v>
      </c>
      <c r="G3583" s="307">
        <v>8.33</v>
      </c>
      <c r="H3583" s="305"/>
      <c r="I3583" s="305" t="s">
        <v>152</v>
      </c>
      <c r="J3583" s="305" t="s">
        <v>239</v>
      </c>
      <c r="K3583" s="305" t="s">
        <v>2366</v>
      </c>
    </row>
    <row r="3584" spans="1:11" x14ac:dyDescent="0.25">
      <c r="A3584" s="302" t="str">
        <f t="shared" si="97"/>
        <v>Indirect Water Heater_≥88% AFUE_SF_UEF gas base</v>
      </c>
      <c r="B3584" s="303" t="s">
        <v>1362</v>
      </c>
      <c r="C3584" s="304" t="s">
        <v>1363</v>
      </c>
      <c r="D3584" s="303" t="s">
        <v>409</v>
      </c>
      <c r="E3584" s="305" t="s">
        <v>872</v>
      </c>
      <c r="F3584" s="305" t="s">
        <v>539</v>
      </c>
      <c r="G3584" s="350">
        <v>0.56299999999999994</v>
      </c>
      <c r="H3584" s="305" t="s">
        <v>1231</v>
      </c>
      <c r="I3584" s="305" t="s">
        <v>152</v>
      </c>
      <c r="J3584" s="305" t="s">
        <v>239</v>
      </c>
      <c r="K3584" s="305" t="s">
        <v>2366</v>
      </c>
    </row>
    <row r="3585" spans="1:11" x14ac:dyDescent="0.25">
      <c r="A3585" s="302" t="str">
        <f t="shared" si="97"/>
        <v>Indirect Water Heater_≥88% AFUE_SF_UEF efficient</v>
      </c>
      <c r="B3585" s="303" t="s">
        <v>1362</v>
      </c>
      <c r="C3585" s="304" t="s">
        <v>1363</v>
      </c>
      <c r="D3585" s="303" t="s">
        <v>409</v>
      </c>
      <c r="E3585" s="311" t="s">
        <v>874</v>
      </c>
      <c r="F3585" s="311" t="s">
        <v>539</v>
      </c>
      <c r="G3585" s="334">
        <v>0.81</v>
      </c>
      <c r="H3585" s="311" t="s">
        <v>2560</v>
      </c>
      <c r="I3585" s="305" t="s">
        <v>152</v>
      </c>
      <c r="J3585" s="305" t="s">
        <v>239</v>
      </c>
      <c r="K3585" s="305" t="s">
        <v>2366</v>
      </c>
    </row>
    <row r="3586" spans="1:11" x14ac:dyDescent="0.25">
      <c r="A3586" s="302" t="str">
        <f t="shared" si="97"/>
        <v>Indirect Water Heater_≥88% AFUE_SF_Therm Saved per Unit</v>
      </c>
      <c r="B3586" s="303" t="s">
        <v>1362</v>
      </c>
      <c r="C3586" s="304" t="s">
        <v>1363</v>
      </c>
      <c r="D3586" s="303" t="s">
        <v>409</v>
      </c>
      <c r="E3586" s="314" t="s">
        <v>326</v>
      </c>
      <c r="F3586" s="314"/>
      <c r="G3586" s="315">
        <f>(1/G3584-1/G3585)*(G3578*G3580*G3581*G3583*(G3576-G3577)*1)/G3582</f>
        <v>55.16710732616437</v>
      </c>
      <c r="H3586" s="305" t="s">
        <v>875</v>
      </c>
      <c r="I3586" s="305" t="s">
        <v>152</v>
      </c>
      <c r="J3586" s="305" t="s">
        <v>239</v>
      </c>
      <c r="K3586" s="305" t="s">
        <v>2366</v>
      </c>
    </row>
    <row r="3587" spans="1:11" x14ac:dyDescent="0.25">
      <c r="A3587" s="302" t="str">
        <f t="shared" si="97"/>
        <v>Indirect Water Heater_≥88% AFUE_SF_Lifetime (years)</v>
      </c>
      <c r="B3587" s="303" t="s">
        <v>1362</v>
      </c>
      <c r="C3587" s="304" t="s">
        <v>1363</v>
      </c>
      <c r="D3587" s="303" t="s">
        <v>409</v>
      </c>
      <c r="E3587" s="311" t="s">
        <v>259</v>
      </c>
      <c r="F3587" s="311" t="s">
        <v>548</v>
      </c>
      <c r="G3587" s="310">
        <v>13.3</v>
      </c>
      <c r="H3587" s="311" t="s">
        <v>2621</v>
      </c>
      <c r="I3587" s="305" t="s">
        <v>152</v>
      </c>
      <c r="J3587" s="305" t="s">
        <v>239</v>
      </c>
      <c r="K3587" s="305" t="s">
        <v>2366</v>
      </c>
    </row>
    <row r="3588" spans="1:11" x14ac:dyDescent="0.25">
      <c r="A3588" s="302" t="str">
        <f t="shared" si="97"/>
        <v>Indirect Water Heater_≥88% AFUE_SF_Incremental Cost</v>
      </c>
      <c r="B3588" s="303" t="s">
        <v>1362</v>
      </c>
      <c r="C3588" s="304" t="s">
        <v>1363</v>
      </c>
      <c r="D3588" s="303" t="s">
        <v>409</v>
      </c>
      <c r="E3588" s="311" t="s">
        <v>260</v>
      </c>
      <c r="F3588" s="311" t="s">
        <v>549</v>
      </c>
      <c r="G3588" s="368">
        <v>873</v>
      </c>
      <c r="H3588" s="311" t="s">
        <v>2620</v>
      </c>
      <c r="I3588" s="305" t="s">
        <v>152</v>
      </c>
      <c r="J3588" s="305" t="s">
        <v>239</v>
      </c>
      <c r="K3588" s="305" t="s">
        <v>2366</v>
      </c>
    </row>
    <row r="3589" spans="1:11" x14ac:dyDescent="0.25">
      <c r="A3589" s="317" t="str">
        <f t="shared" si="97"/>
        <v>Indirect Water Heater_≥88% AFUE_SF_</v>
      </c>
      <c r="B3589" s="317" t="str">
        <f>B3588</f>
        <v>Indirect Water Heater</v>
      </c>
      <c r="C3589" s="317" t="str">
        <f>C3588</f>
        <v>≥88% AFUE</v>
      </c>
      <c r="D3589" s="317" t="str">
        <f>D3588</f>
        <v>SF</v>
      </c>
      <c r="E3589" s="320"/>
      <c r="F3589" s="320"/>
      <c r="G3589" s="329"/>
      <c r="H3589" s="320"/>
      <c r="I3589" s="320"/>
      <c r="J3589" s="320"/>
      <c r="K3589" s="320"/>
    </row>
    <row r="3590" spans="1:11" x14ac:dyDescent="0.25">
      <c r="A3590" s="302" t="str">
        <f t="shared" si="97"/>
        <v>SMB Kit_0_SMB_Therm Saved per Unit</v>
      </c>
      <c r="B3590" s="303" t="s">
        <v>1364</v>
      </c>
      <c r="C3590" s="304">
        <v>0</v>
      </c>
      <c r="D3590" s="303" t="s">
        <v>1220</v>
      </c>
      <c r="E3590" s="314" t="s">
        <v>326</v>
      </c>
      <c r="F3590" s="314"/>
      <c r="G3590" s="315">
        <v>96</v>
      </c>
      <c r="H3590" s="305" t="s">
        <v>1365</v>
      </c>
      <c r="I3590" s="305"/>
      <c r="J3590" s="305"/>
      <c r="K3590" s="305"/>
    </row>
    <row r="3591" spans="1:11" x14ac:dyDescent="0.25">
      <c r="A3591" s="302" t="str">
        <f t="shared" si="97"/>
        <v>SMB Kit_0_SMB_Lifetime (years)</v>
      </c>
      <c r="B3591" s="303" t="s">
        <v>1364</v>
      </c>
      <c r="C3591" s="304">
        <v>0</v>
      </c>
      <c r="D3591" s="303" t="s">
        <v>1220</v>
      </c>
      <c r="E3591" s="314" t="s">
        <v>259</v>
      </c>
      <c r="F3591" s="314" t="s">
        <v>548</v>
      </c>
      <c r="G3591" s="315">
        <v>10</v>
      </c>
      <c r="H3591" s="305"/>
      <c r="I3591" s="305"/>
      <c r="J3591" s="305"/>
      <c r="K3591" s="305"/>
    </row>
    <row r="3592" spans="1:11" x14ac:dyDescent="0.25">
      <c r="A3592" s="302" t="str">
        <f t="shared" si="97"/>
        <v>SMB Kit_0_SMB_Incremental Cost</v>
      </c>
      <c r="B3592" s="303" t="s">
        <v>1364</v>
      </c>
      <c r="C3592" s="304">
        <v>0</v>
      </c>
      <c r="D3592" s="303" t="s">
        <v>1220</v>
      </c>
      <c r="E3592" s="314" t="s">
        <v>260</v>
      </c>
      <c r="F3592" s="314" t="s">
        <v>549</v>
      </c>
      <c r="G3592" s="328">
        <v>50</v>
      </c>
      <c r="H3592" s="305" t="s">
        <v>1366</v>
      </c>
      <c r="I3592" s="305"/>
      <c r="J3592" s="305"/>
      <c r="K3592" s="305"/>
    </row>
    <row r="3593" spans="1:11" x14ac:dyDescent="0.25">
      <c r="A3593" s="317" t="str">
        <f t="shared" si="97"/>
        <v>SMB Kit_0_SMB_</v>
      </c>
      <c r="B3593" s="317" t="str">
        <f>B3592</f>
        <v>SMB Kit</v>
      </c>
      <c r="C3593" s="317">
        <f>C3592</f>
        <v>0</v>
      </c>
      <c r="D3593" s="317" t="str">
        <f>D3592</f>
        <v>SMB</v>
      </c>
      <c r="E3593" s="320"/>
      <c r="F3593" s="320"/>
      <c r="G3593" s="329"/>
      <c r="H3593" s="320"/>
      <c r="I3593" s="320"/>
      <c r="J3593" s="320"/>
      <c r="K3593" s="320"/>
    </row>
    <row r="3594" spans="1:11" x14ac:dyDescent="0.25">
      <c r="A3594" s="302" t="str">
        <f t="shared" si="97"/>
        <v>Steam Traps_Industrial/Process Audit - psig ≤ 15_CI/SMB_GAL</v>
      </c>
      <c r="B3594" s="303" t="s">
        <v>644</v>
      </c>
      <c r="C3594" s="304" t="s">
        <v>1383</v>
      </c>
      <c r="D3594" s="303" t="s">
        <v>970</v>
      </c>
      <c r="E3594" s="305" t="s">
        <v>513</v>
      </c>
      <c r="F3594" s="309"/>
      <c r="G3594" s="306">
        <v>0.83</v>
      </c>
      <c r="H3594" s="305" t="s">
        <v>1367</v>
      </c>
      <c r="I3594" s="305" t="s">
        <v>152</v>
      </c>
      <c r="J3594" s="305" t="s">
        <v>130</v>
      </c>
      <c r="K3594" s="305" t="s">
        <v>2161</v>
      </c>
    </row>
    <row r="3595" spans="1:11" x14ac:dyDescent="0.25">
      <c r="A3595" s="302" t="str">
        <f t="shared" si="97"/>
        <v>Steam Traps_Industrial/Process Audit - psig ≤ 15_CI/SMB_Hours of Operation</v>
      </c>
      <c r="B3595" s="303" t="s">
        <v>644</v>
      </c>
      <c r="C3595" s="304" t="s">
        <v>1383</v>
      </c>
      <c r="D3595" s="303" t="s">
        <v>970</v>
      </c>
      <c r="E3595" s="305" t="s">
        <v>460</v>
      </c>
      <c r="F3595" s="309" t="s">
        <v>647</v>
      </c>
      <c r="G3595" s="354">
        <v>8282</v>
      </c>
      <c r="H3595" s="305" t="s">
        <v>1367</v>
      </c>
      <c r="I3595" s="305" t="s">
        <v>152</v>
      </c>
      <c r="J3595" s="305" t="s">
        <v>130</v>
      </c>
      <c r="K3595" s="305" t="s">
        <v>2161</v>
      </c>
    </row>
    <row r="3596" spans="1:11" x14ac:dyDescent="0.25">
      <c r="A3596" s="302" t="str">
        <f t="shared" si="97"/>
        <v>Steam Traps_Industrial/Process Audit - psig ≤ 15_CI/SMB_L</v>
      </c>
      <c r="B3596" s="303" t="s">
        <v>644</v>
      </c>
      <c r="C3596" s="304" t="s">
        <v>1383</v>
      </c>
      <c r="D3596" s="303" t="s">
        <v>970</v>
      </c>
      <c r="E3596" s="305" t="s">
        <v>437</v>
      </c>
      <c r="F3596" s="309"/>
      <c r="G3596" s="306">
        <v>1</v>
      </c>
      <c r="H3596" s="305" t="s">
        <v>1280</v>
      </c>
      <c r="I3596" s="305" t="s">
        <v>152</v>
      </c>
      <c r="J3596" s="305" t="s">
        <v>130</v>
      </c>
      <c r="K3596" s="305" t="s">
        <v>2161</v>
      </c>
    </row>
    <row r="3597" spans="1:11" x14ac:dyDescent="0.25">
      <c r="A3597" s="302" t="str">
        <f t="shared" si="97"/>
        <v>Steam Traps_Industrial/Process Audit - psig ≤ 15_CI/SMB_Delta_Water_Gallons</v>
      </c>
      <c r="B3597" s="303" t="s">
        <v>644</v>
      </c>
      <c r="C3597" s="304" t="s">
        <v>1383</v>
      </c>
      <c r="D3597" s="303" t="s">
        <v>970</v>
      </c>
      <c r="E3597" s="305" t="s">
        <v>456</v>
      </c>
      <c r="F3597" s="305"/>
      <c r="G3597" s="307">
        <f>G3594*G3595*G3596</f>
        <v>6874.0599999999995</v>
      </c>
      <c r="H3597" s="305"/>
      <c r="I3597" s="305" t="s">
        <v>152</v>
      </c>
      <c r="J3597" s="305" t="s">
        <v>130</v>
      </c>
      <c r="K3597" s="305" t="s">
        <v>2161</v>
      </c>
    </row>
    <row r="3598" spans="1:11" x14ac:dyDescent="0.25">
      <c r="A3598" s="302" t="str">
        <f t="shared" si="97"/>
        <v>Steam Traps_Industrial/Process Audit - psig ≤ 15_CI/SMB_Conversion</v>
      </c>
      <c r="B3598" s="303" t="s">
        <v>644</v>
      </c>
      <c r="C3598" s="304" t="s">
        <v>1383</v>
      </c>
      <c r="D3598" s="303" t="s">
        <v>970</v>
      </c>
      <c r="E3598" s="305" t="s">
        <v>284</v>
      </c>
      <c r="F3598" s="305"/>
      <c r="G3598" s="354">
        <v>1000000</v>
      </c>
      <c r="H3598" s="305"/>
      <c r="I3598" s="305" t="s">
        <v>152</v>
      </c>
      <c r="J3598" s="305" t="s">
        <v>130</v>
      </c>
      <c r="K3598" s="305" t="s">
        <v>2161</v>
      </c>
    </row>
    <row r="3599" spans="1:11" x14ac:dyDescent="0.25">
      <c r="A3599" s="302" t="str">
        <f t="shared" si="97"/>
        <v>Steam Traps_Industrial/Process Audit - psig ≤ 15_CI/SMB_E_water_supply</v>
      </c>
      <c r="B3599" s="303" t="s">
        <v>644</v>
      </c>
      <c r="C3599" s="304" t="s">
        <v>1383</v>
      </c>
      <c r="D3599" s="303" t="s">
        <v>970</v>
      </c>
      <c r="E3599" s="305" t="s">
        <v>457</v>
      </c>
      <c r="F3599" s="305"/>
      <c r="G3599" s="307">
        <v>2571</v>
      </c>
      <c r="H3599" s="305"/>
      <c r="I3599" s="305" t="s">
        <v>152</v>
      </c>
      <c r="J3599" s="305" t="s">
        <v>130</v>
      </c>
      <c r="K3599" s="305" t="s">
        <v>2161</v>
      </c>
    </row>
    <row r="3600" spans="1:11" x14ac:dyDescent="0.25">
      <c r="A3600" s="302" t="str">
        <f t="shared" ref="A3600:A3663" si="98">B3600&amp;"_"&amp;C3600&amp;"_"&amp;D3600&amp;"_"&amp;E3600</f>
        <v>Steam Traps_Industrial/Process Audit - psig ≤ 15_CI/SMB_Delta_kWh_water</v>
      </c>
      <c r="B3600" s="303" t="s">
        <v>644</v>
      </c>
      <c r="C3600" s="304" t="s">
        <v>1383</v>
      </c>
      <c r="D3600" s="303" t="s">
        <v>970</v>
      </c>
      <c r="E3600" s="305" t="s">
        <v>334</v>
      </c>
      <c r="F3600" s="305"/>
      <c r="G3600" s="307">
        <f>G3597/G3598*G3599</f>
        <v>17.673208259999999</v>
      </c>
      <c r="H3600" s="305"/>
      <c r="I3600" s="305" t="s">
        <v>152</v>
      </c>
      <c r="J3600" s="305" t="s">
        <v>130</v>
      </c>
      <c r="K3600" s="305" t="s">
        <v>2161</v>
      </c>
    </row>
    <row r="3601" spans="1:11" x14ac:dyDescent="0.25">
      <c r="A3601" s="302" t="str">
        <f t="shared" si="98"/>
        <v>Steam Traps_Industrial/Process Audit - psig ≤ 15_CI/SMB_Sa</v>
      </c>
      <c r="B3601" s="303" t="s">
        <v>644</v>
      </c>
      <c r="C3601" s="304" t="s">
        <v>1383</v>
      </c>
      <c r="D3601" s="303" t="s">
        <v>970</v>
      </c>
      <c r="E3601" s="305" t="s">
        <v>507</v>
      </c>
      <c r="F3601" s="305"/>
      <c r="G3601" s="401">
        <v>13.8</v>
      </c>
      <c r="H3601" s="305" t="s">
        <v>1367</v>
      </c>
      <c r="I3601" s="305" t="s">
        <v>152</v>
      </c>
      <c r="J3601" s="305" t="s">
        <v>130</v>
      </c>
      <c r="K3601" s="305" t="s">
        <v>2161</v>
      </c>
    </row>
    <row r="3602" spans="1:11" x14ac:dyDescent="0.25">
      <c r="A3602" s="302" t="str">
        <f t="shared" si="98"/>
        <v>Steam Traps_Industrial/Process Audit - psig ≤ 15_CI/SMB_Hv</v>
      </c>
      <c r="B3602" s="303" t="s">
        <v>644</v>
      </c>
      <c r="C3602" s="304" t="s">
        <v>1383</v>
      </c>
      <c r="D3602" s="303" t="s">
        <v>970</v>
      </c>
      <c r="E3602" s="305" t="s">
        <v>508</v>
      </c>
      <c r="F3602" s="305"/>
      <c r="G3602" s="307">
        <v>951</v>
      </c>
      <c r="H3602" s="305" t="s">
        <v>1367</v>
      </c>
      <c r="I3602" s="305" t="s">
        <v>152</v>
      </c>
      <c r="J3602" s="305" t="s">
        <v>130</v>
      </c>
      <c r="K3602" s="305" t="s">
        <v>2161</v>
      </c>
    </row>
    <row r="3603" spans="1:11" x14ac:dyDescent="0.25">
      <c r="A3603" s="302" t="str">
        <f t="shared" si="98"/>
        <v>Steam Traps_Industrial/Process Audit - psig ≤ 15_CI/SMB_Hs</v>
      </c>
      <c r="B3603" s="303" t="s">
        <v>644</v>
      </c>
      <c r="C3603" s="304" t="s">
        <v>1383</v>
      </c>
      <c r="D3603" s="303" t="s">
        <v>970</v>
      </c>
      <c r="E3603" s="340" t="s">
        <v>509</v>
      </c>
      <c r="F3603" s="340"/>
      <c r="G3603" s="341">
        <v>1.0009999999999999</v>
      </c>
      <c r="H3603" s="340" t="s">
        <v>652</v>
      </c>
      <c r="I3603" s="305" t="s">
        <v>152</v>
      </c>
      <c r="J3603" s="305" t="s">
        <v>130</v>
      </c>
      <c r="K3603" s="305" t="s">
        <v>2161</v>
      </c>
    </row>
    <row r="3604" spans="1:11" x14ac:dyDescent="0.25">
      <c r="A3604" s="302" t="str">
        <f t="shared" si="98"/>
        <v>Steam Traps_Industrial/Process Audit - psig ≤ 15_CI/SMB_507.89</v>
      </c>
      <c r="B3604" s="303" t="s">
        <v>644</v>
      </c>
      <c r="C3604" s="304" t="s">
        <v>1383</v>
      </c>
      <c r="D3604" s="303" t="s">
        <v>970</v>
      </c>
      <c r="E3604" s="342">
        <v>507.89</v>
      </c>
      <c r="F3604" s="340"/>
      <c r="G3604" s="341">
        <v>507.89</v>
      </c>
      <c r="H3604" s="340"/>
      <c r="I3604" s="305" t="s">
        <v>152</v>
      </c>
      <c r="J3604" s="305" t="s">
        <v>130</v>
      </c>
      <c r="K3604" s="305" t="s">
        <v>2161</v>
      </c>
    </row>
    <row r="3605" spans="1:11" x14ac:dyDescent="0.25">
      <c r="A3605" s="302" t="str">
        <f t="shared" si="98"/>
        <v>Steam Traps_Industrial/Process Audit - psig ≤ 15_CI/SMB_P1</v>
      </c>
      <c r="B3605" s="303" t="s">
        <v>644</v>
      </c>
      <c r="C3605" s="304" t="s">
        <v>1383</v>
      </c>
      <c r="D3605" s="303" t="s">
        <v>970</v>
      </c>
      <c r="E3605" s="340" t="s">
        <v>510</v>
      </c>
      <c r="F3605" s="340"/>
      <c r="G3605" s="401">
        <f>11.2+14.696</f>
        <v>25.896000000000001</v>
      </c>
      <c r="H3605" s="340" t="s">
        <v>1368</v>
      </c>
      <c r="I3605" s="305" t="s">
        <v>152</v>
      </c>
      <c r="J3605" s="305" t="s">
        <v>130</v>
      </c>
      <c r="K3605" s="305" t="s">
        <v>2161</v>
      </c>
    </row>
    <row r="3606" spans="1:11" x14ac:dyDescent="0.25">
      <c r="A3606" s="302" t="str">
        <f t="shared" si="98"/>
        <v>Steam Traps_Industrial/Process Audit - psig ≤ 15_CI/SMB_0.0962</v>
      </c>
      <c r="B3606" s="303" t="s">
        <v>644</v>
      </c>
      <c r="C3606" s="304" t="s">
        <v>1383</v>
      </c>
      <c r="D3606" s="303" t="s">
        <v>970</v>
      </c>
      <c r="E3606" s="340">
        <v>9.6199999999999994E-2</v>
      </c>
      <c r="F3606" s="340"/>
      <c r="G3606" s="343">
        <v>9.6199999999999994E-2</v>
      </c>
      <c r="H3606" s="340"/>
      <c r="I3606" s="305" t="s">
        <v>152</v>
      </c>
      <c r="J3606" s="305" t="s">
        <v>130</v>
      </c>
      <c r="K3606" s="305" t="s">
        <v>2161</v>
      </c>
    </row>
    <row r="3607" spans="1:11" x14ac:dyDescent="0.25">
      <c r="A3607" s="302" t="str">
        <f t="shared" si="98"/>
        <v>Steam Traps_Industrial/Process Audit - psig ≤ 15_CI/SMB_T1</v>
      </c>
      <c r="B3607" s="303" t="s">
        <v>644</v>
      </c>
      <c r="C3607" s="304" t="s">
        <v>1383</v>
      </c>
      <c r="D3607" s="303" t="s">
        <v>970</v>
      </c>
      <c r="E3607" s="340" t="s">
        <v>511</v>
      </c>
      <c r="F3607" s="340"/>
      <c r="G3607" s="341">
        <f>G3604*(G3605^G3606)</f>
        <v>694.58059570836633</v>
      </c>
      <c r="H3607" s="340" t="s">
        <v>654</v>
      </c>
      <c r="I3607" s="305" t="s">
        <v>152</v>
      </c>
      <c r="J3607" s="305" t="s">
        <v>130</v>
      </c>
      <c r="K3607" s="305" t="s">
        <v>2161</v>
      </c>
    </row>
    <row r="3608" spans="1:11" x14ac:dyDescent="0.25">
      <c r="A3608" s="302" t="str">
        <f t="shared" si="98"/>
        <v>Steam Traps_Industrial/Process Audit - psig ≤ 15_CI/SMB_Tsource</v>
      </c>
      <c r="B3608" s="303" t="s">
        <v>644</v>
      </c>
      <c r="C3608" s="304" t="s">
        <v>1383</v>
      </c>
      <c r="D3608" s="303" t="s">
        <v>970</v>
      </c>
      <c r="E3608" s="340" t="s">
        <v>512</v>
      </c>
      <c r="F3608" s="340"/>
      <c r="G3608" s="341">
        <v>513.66999999999996</v>
      </c>
      <c r="H3608" s="340" t="s">
        <v>655</v>
      </c>
      <c r="I3608" s="305" t="s">
        <v>152</v>
      </c>
      <c r="J3608" s="305" t="s">
        <v>130</v>
      </c>
      <c r="K3608" s="305" t="s">
        <v>2161</v>
      </c>
    </row>
    <row r="3609" spans="1:11" x14ac:dyDescent="0.25">
      <c r="A3609" s="302" t="str">
        <f t="shared" si="98"/>
        <v>Steam Traps_Industrial/Process Audit - psig ≤ 15_CI/SMB_Hours of Operation</v>
      </c>
      <c r="B3609" s="303" t="s">
        <v>644</v>
      </c>
      <c r="C3609" s="304" t="s">
        <v>1383</v>
      </c>
      <c r="D3609" s="303" t="s">
        <v>970</v>
      </c>
      <c r="E3609" s="305" t="s">
        <v>460</v>
      </c>
      <c r="F3609" s="309" t="s">
        <v>647</v>
      </c>
      <c r="G3609" s="354">
        <v>8282</v>
      </c>
      <c r="H3609" s="305" t="s">
        <v>1367</v>
      </c>
      <c r="I3609" s="305" t="s">
        <v>152</v>
      </c>
      <c r="J3609" s="305" t="s">
        <v>130</v>
      </c>
      <c r="K3609" s="305" t="s">
        <v>2161</v>
      </c>
    </row>
    <row r="3610" spans="1:11" x14ac:dyDescent="0.25">
      <c r="A3610" s="302" t="str">
        <f t="shared" si="98"/>
        <v>Steam Traps_Industrial/Process Audit - psig ≤ 15_CI/SMB_L</v>
      </c>
      <c r="B3610" s="303" t="s">
        <v>644</v>
      </c>
      <c r="C3610" s="304" t="s">
        <v>1383</v>
      </c>
      <c r="D3610" s="303" t="s">
        <v>970</v>
      </c>
      <c r="E3610" s="305" t="s">
        <v>437</v>
      </c>
      <c r="F3610" s="309"/>
      <c r="G3610" s="306">
        <v>1</v>
      </c>
      <c r="H3610" s="305" t="s">
        <v>1280</v>
      </c>
      <c r="I3610" s="305" t="s">
        <v>152</v>
      </c>
      <c r="J3610" s="305" t="s">
        <v>130</v>
      </c>
      <c r="K3610" s="305" t="s">
        <v>2161</v>
      </c>
    </row>
    <row r="3611" spans="1:11" x14ac:dyDescent="0.25">
      <c r="A3611" s="302" t="str">
        <f t="shared" si="98"/>
        <v>Steam Traps_Industrial/Process Audit - psig ≤ 15_CI/SMB_Conversion</v>
      </c>
      <c r="B3611" s="303" t="s">
        <v>644</v>
      </c>
      <c r="C3611" s="304" t="s">
        <v>1383</v>
      </c>
      <c r="D3611" s="303" t="s">
        <v>970</v>
      </c>
      <c r="E3611" s="305" t="s">
        <v>284</v>
      </c>
      <c r="F3611" s="309" t="s">
        <v>622</v>
      </c>
      <c r="G3611" s="325">
        <v>100000</v>
      </c>
      <c r="H3611" s="305"/>
      <c r="I3611" s="305" t="s">
        <v>152</v>
      </c>
      <c r="J3611" s="305" t="s">
        <v>130</v>
      </c>
      <c r="K3611" s="305" t="s">
        <v>2161</v>
      </c>
    </row>
    <row r="3612" spans="1:11" x14ac:dyDescent="0.25">
      <c r="A3612" s="302" t="str">
        <f t="shared" si="98"/>
        <v>Steam Traps_Industrial/Process Audit - psig ≤ 15_CI/SMB_n_B</v>
      </c>
      <c r="B3612" s="303" t="s">
        <v>644</v>
      </c>
      <c r="C3612" s="304" t="s">
        <v>1383</v>
      </c>
      <c r="D3612" s="303" t="s">
        <v>970</v>
      </c>
      <c r="E3612" s="340" t="s">
        <v>657</v>
      </c>
      <c r="F3612" s="341"/>
      <c r="G3612" s="346">
        <v>0.80700000000000005</v>
      </c>
      <c r="H3612" s="340" t="s">
        <v>665</v>
      </c>
      <c r="I3612" s="305" t="s">
        <v>152</v>
      </c>
      <c r="J3612" s="305" t="s">
        <v>130</v>
      </c>
      <c r="K3612" s="305" t="s">
        <v>2161</v>
      </c>
    </row>
    <row r="3613" spans="1:11" x14ac:dyDescent="0.25">
      <c r="A3613" s="302" t="str">
        <f t="shared" si="98"/>
        <v>Steam Traps_Industrial/Process Audit - psig ≤ 15_CI/SMB_kWh Saved per Unit</v>
      </c>
      <c r="B3613" s="303" t="s">
        <v>644</v>
      </c>
      <c r="C3613" s="304" t="s">
        <v>1383</v>
      </c>
      <c r="D3613" s="303" t="s">
        <v>970</v>
      </c>
      <c r="E3613" s="314" t="s">
        <v>255</v>
      </c>
      <c r="F3613" s="326"/>
      <c r="G3613" s="315">
        <f>G3600</f>
        <v>17.673208259999999</v>
      </c>
      <c r="H3613" s="305"/>
      <c r="I3613" s="305" t="s">
        <v>152</v>
      </c>
      <c r="J3613" s="305" t="s">
        <v>130</v>
      </c>
      <c r="K3613" s="305" t="s">
        <v>2161</v>
      </c>
    </row>
    <row r="3614" spans="1:11" x14ac:dyDescent="0.25">
      <c r="A3614" s="302" t="str">
        <f t="shared" si="98"/>
        <v>Steam Traps_Industrial/Process Audit - psig ≤ 15_CI/SMB_Coincident Peak kW Saved per Unit</v>
      </c>
      <c r="B3614" s="303" t="s">
        <v>644</v>
      </c>
      <c r="C3614" s="304" t="s">
        <v>1383</v>
      </c>
      <c r="D3614" s="303" t="s">
        <v>970</v>
      </c>
      <c r="E3614" s="314" t="s">
        <v>257</v>
      </c>
      <c r="F3614" s="326"/>
      <c r="G3614" s="315">
        <v>0</v>
      </c>
      <c r="H3614" s="305"/>
      <c r="I3614" s="305" t="s">
        <v>152</v>
      </c>
      <c r="J3614" s="305" t="s">
        <v>130</v>
      </c>
      <c r="K3614" s="305" t="s">
        <v>2161</v>
      </c>
    </row>
    <row r="3615" spans="1:11" x14ac:dyDescent="0.25">
      <c r="A3615" s="302" t="str">
        <f t="shared" si="98"/>
        <v>Steam Traps_Industrial/Process Audit - psig ≤ 15_CI/SMB_Therm Saved per Unit</v>
      </c>
      <c r="B3615" s="303" t="s">
        <v>644</v>
      </c>
      <c r="C3615" s="304" t="s">
        <v>1383</v>
      </c>
      <c r="D3615" s="303" t="s">
        <v>970</v>
      </c>
      <c r="E3615" s="314" t="s">
        <v>326</v>
      </c>
      <c r="F3615" s="326"/>
      <c r="G3615" s="315">
        <f xml:space="preserve"> G3601 * (G3602 + G3603 * (G3607 - G3608)) * G3609 * G3610 / (G3611 * G3612)</f>
        <v>1603.3277521921041</v>
      </c>
      <c r="H3615" s="305"/>
      <c r="I3615" s="305" t="s">
        <v>152</v>
      </c>
      <c r="J3615" s="305" t="s">
        <v>130</v>
      </c>
      <c r="K3615" s="305" t="s">
        <v>2161</v>
      </c>
    </row>
    <row r="3616" spans="1:11" x14ac:dyDescent="0.25">
      <c r="A3616" s="302" t="str">
        <f t="shared" si="98"/>
        <v>Steam Traps_Industrial/Process Audit - psig ≤ 15_CI/SMB_Gallons Saved per Unit</v>
      </c>
      <c r="B3616" s="303" t="s">
        <v>644</v>
      </c>
      <c r="C3616" s="304" t="s">
        <v>1383</v>
      </c>
      <c r="D3616" s="303" t="s">
        <v>970</v>
      </c>
      <c r="E3616" s="314" t="s">
        <v>547</v>
      </c>
      <c r="F3616" s="326"/>
      <c r="G3616" s="315">
        <f>G3597</f>
        <v>6874.0599999999995</v>
      </c>
      <c r="H3616" s="305"/>
      <c r="I3616" s="305" t="s">
        <v>152</v>
      </c>
      <c r="J3616" s="305" t="s">
        <v>130</v>
      </c>
      <c r="K3616" s="305" t="s">
        <v>2161</v>
      </c>
    </row>
    <row r="3617" spans="1:11" x14ac:dyDescent="0.25">
      <c r="A3617" s="302" t="str">
        <f t="shared" si="98"/>
        <v>Steam Traps_Industrial/Process Audit - psig ≤ 15_CI/SMB_Lifetime (years)</v>
      </c>
      <c r="B3617" s="303" t="s">
        <v>644</v>
      </c>
      <c r="C3617" s="304" t="s">
        <v>1383</v>
      </c>
      <c r="D3617" s="303" t="s">
        <v>970</v>
      </c>
      <c r="E3617" s="314" t="s">
        <v>259</v>
      </c>
      <c r="F3617" s="326"/>
      <c r="G3617" s="315">
        <v>6</v>
      </c>
      <c r="H3617" s="305" t="s">
        <v>659</v>
      </c>
      <c r="I3617" s="305" t="s">
        <v>152</v>
      </c>
      <c r="J3617" s="305" t="s">
        <v>130</v>
      </c>
      <c r="K3617" s="305" t="s">
        <v>2161</v>
      </c>
    </row>
    <row r="3618" spans="1:11" x14ac:dyDescent="0.25">
      <c r="A3618" s="302" t="str">
        <f t="shared" si="98"/>
        <v>Steam Traps_Industrial/Process Audit - psig ≤ 15_CI/SMB_Incremental Cost</v>
      </c>
      <c r="B3618" s="303" t="s">
        <v>644</v>
      </c>
      <c r="C3618" s="304" t="s">
        <v>1383</v>
      </c>
      <c r="D3618" s="303" t="s">
        <v>970</v>
      </c>
      <c r="E3618" s="314" t="s">
        <v>260</v>
      </c>
      <c r="F3618" s="326"/>
      <c r="G3618" s="315">
        <v>77</v>
      </c>
      <c r="H3618" s="305" t="s">
        <v>1369</v>
      </c>
      <c r="I3618" s="305" t="s">
        <v>152</v>
      </c>
      <c r="J3618" s="305" t="s">
        <v>130</v>
      </c>
      <c r="K3618" s="305" t="s">
        <v>2161</v>
      </c>
    </row>
    <row r="3619" spans="1:11" x14ac:dyDescent="0.25">
      <c r="A3619" s="317" t="str">
        <f t="shared" si="98"/>
        <v>Steam Traps_Industrial/Process Audit - psig ≤ 15_CI/SMB_</v>
      </c>
      <c r="B3619" s="317" t="str">
        <f>B3618</f>
        <v>Steam Traps</v>
      </c>
      <c r="C3619" s="332" t="str">
        <f>C3618</f>
        <v>Industrial/Process Audit - psig ≤ 15</v>
      </c>
      <c r="D3619" s="317" t="str">
        <f>D3618</f>
        <v>CI/SMB</v>
      </c>
      <c r="E3619" s="320"/>
      <c r="F3619" s="320"/>
      <c r="G3619" s="329"/>
      <c r="H3619" s="320"/>
      <c r="I3619" s="320"/>
      <c r="J3619" s="320"/>
      <c r="K3619" s="320"/>
    </row>
    <row r="3620" spans="1:11" x14ac:dyDescent="0.25">
      <c r="A3620" s="302" t="str">
        <f t="shared" si="98"/>
        <v>Steam Traps_Industrial/Process Audit - 15 &lt; psig &lt; 30_CI/SMB_GAL</v>
      </c>
      <c r="B3620" s="303" t="s">
        <v>644</v>
      </c>
      <c r="C3620" s="304" t="s">
        <v>1384</v>
      </c>
      <c r="D3620" s="303" t="s">
        <v>970</v>
      </c>
      <c r="E3620" s="305" t="s">
        <v>513</v>
      </c>
      <c r="F3620" s="309"/>
      <c r="G3620" s="306">
        <v>0.78</v>
      </c>
      <c r="H3620" s="305" t="s">
        <v>1370</v>
      </c>
      <c r="I3620" s="305" t="s">
        <v>152</v>
      </c>
      <c r="J3620" s="305" t="s">
        <v>130</v>
      </c>
      <c r="K3620" s="305" t="s">
        <v>2161</v>
      </c>
    </row>
    <row r="3621" spans="1:11" x14ac:dyDescent="0.25">
      <c r="A3621" s="302" t="str">
        <f t="shared" si="98"/>
        <v>Steam Traps_Industrial/Process Audit - 15 &lt; psig &lt; 30_CI/SMB_Hours of Operation</v>
      </c>
      <c r="B3621" s="303" t="s">
        <v>644</v>
      </c>
      <c r="C3621" s="304" t="s">
        <v>1384</v>
      </c>
      <c r="D3621" s="303" t="s">
        <v>970</v>
      </c>
      <c r="E3621" s="305" t="s">
        <v>460</v>
      </c>
      <c r="F3621" s="309" t="s">
        <v>647</v>
      </c>
      <c r="G3621" s="354">
        <v>8282</v>
      </c>
      <c r="H3621" s="305" t="s">
        <v>1370</v>
      </c>
      <c r="I3621" s="305" t="s">
        <v>152</v>
      </c>
      <c r="J3621" s="305" t="s">
        <v>130</v>
      </c>
      <c r="K3621" s="305" t="s">
        <v>2161</v>
      </c>
    </row>
    <row r="3622" spans="1:11" x14ac:dyDescent="0.25">
      <c r="A3622" s="302" t="str">
        <f t="shared" si="98"/>
        <v>Steam Traps_Industrial/Process Audit - 15 &lt; psig &lt; 30_CI/SMB_L</v>
      </c>
      <c r="B3622" s="303" t="s">
        <v>644</v>
      </c>
      <c r="C3622" s="304" t="s">
        <v>1384</v>
      </c>
      <c r="D3622" s="303" t="s">
        <v>970</v>
      </c>
      <c r="E3622" s="305" t="s">
        <v>437</v>
      </c>
      <c r="F3622" s="309"/>
      <c r="G3622" s="306">
        <v>1</v>
      </c>
      <c r="H3622" s="305" t="s">
        <v>1280</v>
      </c>
      <c r="I3622" s="305" t="s">
        <v>152</v>
      </c>
      <c r="J3622" s="305" t="s">
        <v>130</v>
      </c>
      <c r="K3622" s="305" t="s">
        <v>2161</v>
      </c>
    </row>
    <row r="3623" spans="1:11" x14ac:dyDescent="0.25">
      <c r="A3623" s="302" t="str">
        <f t="shared" si="98"/>
        <v>Steam Traps_Industrial/Process Audit - 15 &lt; psig &lt; 30_CI/SMB_Delta_Water_Gallons</v>
      </c>
      <c r="B3623" s="303" t="s">
        <v>644</v>
      </c>
      <c r="C3623" s="304" t="s">
        <v>1384</v>
      </c>
      <c r="D3623" s="303" t="s">
        <v>970</v>
      </c>
      <c r="E3623" s="305" t="s">
        <v>456</v>
      </c>
      <c r="F3623" s="305"/>
      <c r="G3623" s="307">
        <f>G3620*G3621*G3622</f>
        <v>6459.96</v>
      </c>
      <c r="H3623" s="305"/>
      <c r="I3623" s="305" t="s">
        <v>152</v>
      </c>
      <c r="J3623" s="305" t="s">
        <v>130</v>
      </c>
      <c r="K3623" s="305" t="s">
        <v>2161</v>
      </c>
    </row>
    <row r="3624" spans="1:11" x14ac:dyDescent="0.25">
      <c r="A3624" s="302" t="str">
        <f t="shared" si="98"/>
        <v>Steam Traps_Industrial/Process Audit - 15 &lt; psig &lt; 30_CI/SMB_Conversion</v>
      </c>
      <c r="B3624" s="303" t="s">
        <v>644</v>
      </c>
      <c r="C3624" s="304" t="s">
        <v>1384</v>
      </c>
      <c r="D3624" s="303" t="s">
        <v>970</v>
      </c>
      <c r="E3624" s="305" t="s">
        <v>284</v>
      </c>
      <c r="F3624" s="305"/>
      <c r="G3624" s="354">
        <v>1000000</v>
      </c>
      <c r="H3624" s="305"/>
      <c r="I3624" s="305" t="s">
        <v>152</v>
      </c>
      <c r="J3624" s="305" t="s">
        <v>130</v>
      </c>
      <c r="K3624" s="305" t="s">
        <v>2161</v>
      </c>
    </row>
    <row r="3625" spans="1:11" x14ac:dyDescent="0.25">
      <c r="A3625" s="302" t="str">
        <f t="shared" si="98"/>
        <v>Steam Traps_Industrial/Process Audit - 15 &lt; psig &lt; 30_CI/SMB_E_water_supply</v>
      </c>
      <c r="B3625" s="303" t="s">
        <v>644</v>
      </c>
      <c r="C3625" s="304" t="s">
        <v>1384</v>
      </c>
      <c r="D3625" s="303" t="s">
        <v>970</v>
      </c>
      <c r="E3625" s="305" t="s">
        <v>457</v>
      </c>
      <c r="F3625" s="305"/>
      <c r="G3625" s="307">
        <v>2571</v>
      </c>
      <c r="H3625" s="305"/>
      <c r="I3625" s="305" t="s">
        <v>152</v>
      </c>
      <c r="J3625" s="305" t="s">
        <v>130</v>
      </c>
      <c r="K3625" s="305" t="s">
        <v>2161</v>
      </c>
    </row>
    <row r="3626" spans="1:11" x14ac:dyDescent="0.25">
      <c r="A3626" s="302" t="str">
        <f t="shared" si="98"/>
        <v>Steam Traps_Industrial/Process Audit - 15 &lt; psig &lt; 30_CI/SMB_Delta_kWh_water</v>
      </c>
      <c r="B3626" s="303" t="s">
        <v>644</v>
      </c>
      <c r="C3626" s="304" t="s">
        <v>1384</v>
      </c>
      <c r="D3626" s="303" t="s">
        <v>970</v>
      </c>
      <c r="E3626" s="305" t="s">
        <v>334</v>
      </c>
      <c r="F3626" s="305"/>
      <c r="G3626" s="307">
        <f>G3623/G3624*G3625</f>
        <v>16.60855716</v>
      </c>
      <c r="H3626" s="305"/>
      <c r="I3626" s="305" t="s">
        <v>152</v>
      </c>
      <c r="J3626" s="305" t="s">
        <v>130</v>
      </c>
      <c r="K3626" s="305" t="s">
        <v>2161</v>
      </c>
    </row>
    <row r="3627" spans="1:11" x14ac:dyDescent="0.25">
      <c r="A3627" s="302" t="str">
        <f t="shared" si="98"/>
        <v>Steam Traps_Industrial/Process Audit - 15 &lt; psig &lt; 30_CI/SMB_Sa</v>
      </c>
      <c r="B3627" s="303" t="s">
        <v>644</v>
      </c>
      <c r="C3627" s="304" t="s">
        <v>1384</v>
      </c>
      <c r="D3627" s="303" t="s">
        <v>970</v>
      </c>
      <c r="E3627" s="305" t="s">
        <v>507</v>
      </c>
      <c r="F3627" s="305"/>
      <c r="G3627" s="307">
        <v>6.5</v>
      </c>
      <c r="H3627" s="305" t="s">
        <v>1370</v>
      </c>
      <c r="I3627" s="305" t="s">
        <v>152</v>
      </c>
      <c r="J3627" s="305" t="s">
        <v>130</v>
      </c>
      <c r="K3627" s="305" t="s">
        <v>2161</v>
      </c>
    </row>
    <row r="3628" spans="1:11" x14ac:dyDescent="0.25">
      <c r="A3628" s="302" t="str">
        <f t="shared" si="98"/>
        <v>Steam Traps_Industrial/Process Audit - 15 &lt; psig &lt; 30_CI/SMB_Hv</v>
      </c>
      <c r="B3628" s="303" t="s">
        <v>644</v>
      </c>
      <c r="C3628" s="304" t="s">
        <v>1384</v>
      </c>
      <c r="D3628" s="303" t="s">
        <v>970</v>
      </c>
      <c r="E3628" s="305" t="s">
        <v>508</v>
      </c>
      <c r="F3628" s="305"/>
      <c r="G3628" s="307">
        <v>944</v>
      </c>
      <c r="H3628" s="305" t="s">
        <v>1370</v>
      </c>
      <c r="I3628" s="305" t="s">
        <v>152</v>
      </c>
      <c r="J3628" s="305" t="s">
        <v>130</v>
      </c>
      <c r="K3628" s="305" t="s">
        <v>2161</v>
      </c>
    </row>
    <row r="3629" spans="1:11" x14ac:dyDescent="0.25">
      <c r="A3629" s="302" t="str">
        <f t="shared" si="98"/>
        <v>Steam Traps_Industrial/Process Audit - 15 &lt; psig &lt; 30_CI/SMB_Hs</v>
      </c>
      <c r="B3629" s="303" t="s">
        <v>644</v>
      </c>
      <c r="C3629" s="304" t="s">
        <v>1384</v>
      </c>
      <c r="D3629" s="303" t="s">
        <v>970</v>
      </c>
      <c r="E3629" s="340" t="s">
        <v>509</v>
      </c>
      <c r="F3629" s="340"/>
      <c r="G3629" s="341">
        <v>1.0009999999999999</v>
      </c>
      <c r="H3629" s="340" t="s">
        <v>652</v>
      </c>
      <c r="I3629" s="305" t="s">
        <v>152</v>
      </c>
      <c r="J3629" s="305" t="s">
        <v>130</v>
      </c>
      <c r="K3629" s="305" t="s">
        <v>2161</v>
      </c>
    </row>
    <row r="3630" spans="1:11" x14ac:dyDescent="0.25">
      <c r="A3630" s="302" t="str">
        <f t="shared" si="98"/>
        <v>Steam Traps_Industrial/Process Audit - 15 &lt; psig &lt; 30_CI/SMB_507.89</v>
      </c>
      <c r="B3630" s="303" t="s">
        <v>644</v>
      </c>
      <c r="C3630" s="304" t="s">
        <v>1384</v>
      </c>
      <c r="D3630" s="303" t="s">
        <v>970</v>
      </c>
      <c r="E3630" s="342">
        <v>507.89</v>
      </c>
      <c r="F3630" s="340"/>
      <c r="G3630" s="341">
        <v>507.89</v>
      </c>
      <c r="H3630" s="340"/>
      <c r="I3630" s="305" t="s">
        <v>152</v>
      </c>
      <c r="J3630" s="305" t="s">
        <v>130</v>
      </c>
      <c r="K3630" s="305" t="s">
        <v>2161</v>
      </c>
    </row>
    <row r="3631" spans="1:11" x14ac:dyDescent="0.25">
      <c r="A3631" s="302" t="str">
        <f t="shared" si="98"/>
        <v>Steam Traps_Industrial/Process Audit - 15 &lt; psig &lt; 30_CI/SMB_P1</v>
      </c>
      <c r="B3631" s="303" t="s">
        <v>644</v>
      </c>
      <c r="C3631" s="304" t="s">
        <v>1384</v>
      </c>
      <c r="D3631" s="303" t="s">
        <v>970</v>
      </c>
      <c r="E3631" s="340" t="s">
        <v>510</v>
      </c>
      <c r="F3631" s="340"/>
      <c r="G3631" s="341">
        <f>16+14.696</f>
        <v>30.695999999999998</v>
      </c>
      <c r="H3631" s="340" t="s">
        <v>1371</v>
      </c>
      <c r="I3631" s="305" t="s">
        <v>152</v>
      </c>
      <c r="J3631" s="305" t="s">
        <v>130</v>
      </c>
      <c r="K3631" s="305" t="s">
        <v>2161</v>
      </c>
    </row>
    <row r="3632" spans="1:11" x14ac:dyDescent="0.25">
      <c r="A3632" s="302" t="str">
        <f t="shared" si="98"/>
        <v>Steam Traps_Industrial/Process Audit - 15 &lt; psig &lt; 30_CI/SMB_0.0962</v>
      </c>
      <c r="B3632" s="303" t="s">
        <v>644</v>
      </c>
      <c r="C3632" s="304" t="s">
        <v>1384</v>
      </c>
      <c r="D3632" s="303" t="s">
        <v>970</v>
      </c>
      <c r="E3632" s="340">
        <v>9.6199999999999994E-2</v>
      </c>
      <c r="F3632" s="340"/>
      <c r="G3632" s="343">
        <v>9.6199999999999994E-2</v>
      </c>
      <c r="H3632" s="340"/>
      <c r="I3632" s="305" t="s">
        <v>152</v>
      </c>
      <c r="J3632" s="305" t="s">
        <v>130</v>
      </c>
      <c r="K3632" s="305" t="s">
        <v>2161</v>
      </c>
    </row>
    <row r="3633" spans="1:11" x14ac:dyDescent="0.25">
      <c r="A3633" s="302" t="str">
        <f t="shared" si="98"/>
        <v>Steam Traps_Industrial/Process Audit - 15 &lt; psig &lt; 30_CI/SMB_T1</v>
      </c>
      <c r="B3633" s="303" t="s">
        <v>644</v>
      </c>
      <c r="C3633" s="304" t="s">
        <v>1384</v>
      </c>
      <c r="D3633" s="303" t="s">
        <v>970</v>
      </c>
      <c r="E3633" s="340" t="s">
        <v>511</v>
      </c>
      <c r="F3633" s="340"/>
      <c r="G3633" s="341">
        <f>G3630*(G3631^G3632)</f>
        <v>706.03613651692331</v>
      </c>
      <c r="H3633" s="340" t="s">
        <v>654</v>
      </c>
      <c r="I3633" s="305" t="s">
        <v>152</v>
      </c>
      <c r="J3633" s="305" t="s">
        <v>130</v>
      </c>
      <c r="K3633" s="305" t="s">
        <v>2161</v>
      </c>
    </row>
    <row r="3634" spans="1:11" x14ac:dyDescent="0.25">
      <c r="A3634" s="302" t="str">
        <f t="shared" si="98"/>
        <v>Steam Traps_Industrial/Process Audit - 15 &lt; psig &lt; 30_CI/SMB_Tsource</v>
      </c>
      <c r="B3634" s="303" t="s">
        <v>644</v>
      </c>
      <c r="C3634" s="304" t="s">
        <v>1384</v>
      </c>
      <c r="D3634" s="303" t="s">
        <v>970</v>
      </c>
      <c r="E3634" s="340" t="s">
        <v>512</v>
      </c>
      <c r="F3634" s="340"/>
      <c r="G3634" s="341">
        <v>513.66999999999996</v>
      </c>
      <c r="H3634" s="340" t="s">
        <v>655</v>
      </c>
      <c r="I3634" s="305" t="s">
        <v>152</v>
      </c>
      <c r="J3634" s="305" t="s">
        <v>130</v>
      </c>
      <c r="K3634" s="305" t="s">
        <v>2161</v>
      </c>
    </row>
    <row r="3635" spans="1:11" x14ac:dyDescent="0.25">
      <c r="A3635" s="302" t="str">
        <f t="shared" si="98"/>
        <v>Steam Traps_Industrial/Process Audit - 15 &lt; psig &lt; 30_CI/SMB_Hours of Operation</v>
      </c>
      <c r="B3635" s="303" t="s">
        <v>644</v>
      </c>
      <c r="C3635" s="304" t="s">
        <v>1384</v>
      </c>
      <c r="D3635" s="303" t="s">
        <v>970</v>
      </c>
      <c r="E3635" s="305" t="s">
        <v>460</v>
      </c>
      <c r="F3635" s="309" t="s">
        <v>647</v>
      </c>
      <c r="G3635" s="354">
        <v>8282</v>
      </c>
      <c r="H3635" s="305" t="s">
        <v>1370</v>
      </c>
      <c r="I3635" s="305" t="s">
        <v>152</v>
      </c>
      <c r="J3635" s="305" t="s">
        <v>130</v>
      </c>
      <c r="K3635" s="305" t="s">
        <v>2161</v>
      </c>
    </row>
    <row r="3636" spans="1:11" x14ac:dyDescent="0.25">
      <c r="A3636" s="302" t="str">
        <f t="shared" si="98"/>
        <v>Steam Traps_Industrial/Process Audit - 15 &lt; psig &lt; 30_CI/SMB_L</v>
      </c>
      <c r="B3636" s="303" t="s">
        <v>644</v>
      </c>
      <c r="C3636" s="304" t="s">
        <v>1384</v>
      </c>
      <c r="D3636" s="303" t="s">
        <v>970</v>
      </c>
      <c r="E3636" s="305" t="s">
        <v>437</v>
      </c>
      <c r="F3636" s="309"/>
      <c r="G3636" s="306">
        <v>1</v>
      </c>
      <c r="H3636" s="305" t="s">
        <v>1280</v>
      </c>
      <c r="I3636" s="305" t="s">
        <v>152</v>
      </c>
      <c r="J3636" s="305" t="s">
        <v>130</v>
      </c>
      <c r="K3636" s="305" t="s">
        <v>2161</v>
      </c>
    </row>
    <row r="3637" spans="1:11" x14ac:dyDescent="0.25">
      <c r="A3637" s="302" t="str">
        <f t="shared" si="98"/>
        <v>Steam Traps_Industrial/Process Audit - 15 &lt; psig &lt; 30_CI/SMB_Conversion</v>
      </c>
      <c r="B3637" s="303" t="s">
        <v>644</v>
      </c>
      <c r="C3637" s="304" t="s">
        <v>1384</v>
      </c>
      <c r="D3637" s="303" t="s">
        <v>970</v>
      </c>
      <c r="E3637" s="305" t="s">
        <v>284</v>
      </c>
      <c r="F3637" s="309" t="s">
        <v>622</v>
      </c>
      <c r="G3637" s="325">
        <v>100000</v>
      </c>
      <c r="H3637" s="305"/>
      <c r="I3637" s="305" t="s">
        <v>152</v>
      </c>
      <c r="J3637" s="305" t="s">
        <v>130</v>
      </c>
      <c r="K3637" s="305" t="s">
        <v>2161</v>
      </c>
    </row>
    <row r="3638" spans="1:11" x14ac:dyDescent="0.25">
      <c r="A3638" s="302" t="str">
        <f t="shared" si="98"/>
        <v>Steam Traps_Industrial/Process Audit - 15 &lt; psig &lt; 30_CI/SMB_n_B</v>
      </c>
      <c r="B3638" s="303" t="s">
        <v>644</v>
      </c>
      <c r="C3638" s="304" t="s">
        <v>1384</v>
      </c>
      <c r="D3638" s="303" t="s">
        <v>970</v>
      </c>
      <c r="E3638" s="340" t="s">
        <v>657</v>
      </c>
      <c r="F3638" s="341"/>
      <c r="G3638" s="346">
        <v>0.80700000000000005</v>
      </c>
      <c r="H3638" s="340" t="s">
        <v>665</v>
      </c>
      <c r="I3638" s="305" t="s">
        <v>152</v>
      </c>
      <c r="J3638" s="305" t="s">
        <v>130</v>
      </c>
      <c r="K3638" s="305" t="s">
        <v>2161</v>
      </c>
    </row>
    <row r="3639" spans="1:11" x14ac:dyDescent="0.25">
      <c r="A3639" s="302" t="str">
        <f t="shared" si="98"/>
        <v>Steam Traps_Industrial/Process Audit - 15 &lt; psig &lt; 30_CI/SMB_kWh Saved per Unit</v>
      </c>
      <c r="B3639" s="303" t="s">
        <v>644</v>
      </c>
      <c r="C3639" s="304" t="s">
        <v>1384</v>
      </c>
      <c r="D3639" s="303" t="s">
        <v>970</v>
      </c>
      <c r="E3639" s="314" t="s">
        <v>255</v>
      </c>
      <c r="F3639" s="326"/>
      <c r="G3639" s="315">
        <f>G3626</f>
        <v>16.60855716</v>
      </c>
      <c r="H3639" s="305"/>
      <c r="I3639" s="305" t="s">
        <v>152</v>
      </c>
      <c r="J3639" s="305" t="s">
        <v>130</v>
      </c>
      <c r="K3639" s="305" t="s">
        <v>2161</v>
      </c>
    </row>
    <row r="3640" spans="1:11" x14ac:dyDescent="0.25">
      <c r="A3640" s="302" t="str">
        <f t="shared" si="98"/>
        <v>Steam Traps_Industrial/Process Audit - 15 &lt; psig &lt; 30_CI/SMB_Coincident Peak kW Saved per Unit</v>
      </c>
      <c r="B3640" s="303" t="s">
        <v>644</v>
      </c>
      <c r="C3640" s="304" t="s">
        <v>1384</v>
      </c>
      <c r="D3640" s="303" t="s">
        <v>970</v>
      </c>
      <c r="E3640" s="314" t="s">
        <v>257</v>
      </c>
      <c r="F3640" s="326"/>
      <c r="G3640" s="315">
        <v>0</v>
      </c>
      <c r="H3640" s="305"/>
      <c r="I3640" s="305" t="s">
        <v>152</v>
      </c>
      <c r="J3640" s="305" t="s">
        <v>130</v>
      </c>
      <c r="K3640" s="305" t="s">
        <v>2161</v>
      </c>
    </row>
    <row r="3641" spans="1:11" x14ac:dyDescent="0.25">
      <c r="A3641" s="302" t="str">
        <f t="shared" si="98"/>
        <v>Steam Traps_Industrial/Process Audit - 15 &lt; psig &lt; 30_CI/SMB_Therm Saved per Unit</v>
      </c>
      <c r="B3641" s="303" t="s">
        <v>644</v>
      </c>
      <c r="C3641" s="304" t="s">
        <v>1384</v>
      </c>
      <c r="D3641" s="303" t="s">
        <v>970</v>
      </c>
      <c r="E3641" s="314" t="s">
        <v>326</v>
      </c>
      <c r="F3641" s="326"/>
      <c r="G3641" s="315">
        <f xml:space="preserve"> G3627 * (G3628 + G3629 * (G3633 - G3634)) * G3635 * G3636 / (G3637 * G3638)</f>
        <v>758.17043213559668</v>
      </c>
      <c r="H3641" s="305"/>
      <c r="I3641" s="305" t="s">
        <v>152</v>
      </c>
      <c r="J3641" s="305" t="s">
        <v>130</v>
      </c>
      <c r="K3641" s="305" t="s">
        <v>2161</v>
      </c>
    </row>
    <row r="3642" spans="1:11" x14ac:dyDescent="0.25">
      <c r="A3642" s="302" t="str">
        <f t="shared" si="98"/>
        <v>Steam Traps_Industrial/Process Audit - 15 &lt; psig &lt; 30_CI/SMB_Gallons Saved per Unit</v>
      </c>
      <c r="B3642" s="303" t="s">
        <v>644</v>
      </c>
      <c r="C3642" s="304" t="s">
        <v>1384</v>
      </c>
      <c r="D3642" s="303" t="s">
        <v>970</v>
      </c>
      <c r="E3642" s="314" t="s">
        <v>547</v>
      </c>
      <c r="F3642" s="326"/>
      <c r="G3642" s="315">
        <f>G3623</f>
        <v>6459.96</v>
      </c>
      <c r="H3642" s="305"/>
      <c r="I3642" s="305" t="s">
        <v>152</v>
      </c>
      <c r="J3642" s="305" t="s">
        <v>130</v>
      </c>
      <c r="K3642" s="305" t="s">
        <v>2161</v>
      </c>
    </row>
    <row r="3643" spans="1:11" x14ac:dyDescent="0.25">
      <c r="A3643" s="302" t="str">
        <f t="shared" si="98"/>
        <v>Steam Traps_Industrial/Process Audit - 15 &lt; psig &lt; 30_CI/SMB_Lifetime (years)</v>
      </c>
      <c r="B3643" s="303" t="s">
        <v>644</v>
      </c>
      <c r="C3643" s="304" t="s">
        <v>1384</v>
      </c>
      <c r="D3643" s="303" t="s">
        <v>970</v>
      </c>
      <c r="E3643" s="314" t="s">
        <v>259</v>
      </c>
      <c r="F3643" s="326"/>
      <c r="G3643" s="315">
        <v>6</v>
      </c>
      <c r="H3643" s="305" t="s">
        <v>659</v>
      </c>
      <c r="I3643" s="305" t="s">
        <v>152</v>
      </c>
      <c r="J3643" s="305" t="s">
        <v>130</v>
      </c>
      <c r="K3643" s="305" t="s">
        <v>2161</v>
      </c>
    </row>
    <row r="3644" spans="1:11" x14ac:dyDescent="0.25">
      <c r="A3644" s="302" t="str">
        <f t="shared" si="98"/>
        <v>Steam Traps_Industrial/Process Audit - 15 &lt; psig &lt; 30_CI/SMB_Incremental Cost</v>
      </c>
      <c r="B3644" s="303" t="s">
        <v>644</v>
      </c>
      <c r="C3644" s="304" t="s">
        <v>1384</v>
      </c>
      <c r="D3644" s="303" t="s">
        <v>970</v>
      </c>
      <c r="E3644" s="314" t="s">
        <v>260</v>
      </c>
      <c r="F3644" s="326"/>
      <c r="G3644" s="315">
        <v>180</v>
      </c>
      <c r="H3644" s="305" t="s">
        <v>1370</v>
      </c>
      <c r="I3644" s="305" t="s">
        <v>152</v>
      </c>
      <c r="J3644" s="305" t="s">
        <v>130</v>
      </c>
      <c r="K3644" s="305" t="s">
        <v>2161</v>
      </c>
    </row>
    <row r="3645" spans="1:11" x14ac:dyDescent="0.25">
      <c r="A3645" s="317" t="str">
        <f t="shared" si="98"/>
        <v>Steam Traps_Industrial/Process Audit - 15 &lt; psig &lt; 30_CI/SMB_</v>
      </c>
      <c r="B3645" s="317" t="str">
        <f>B3644</f>
        <v>Steam Traps</v>
      </c>
      <c r="C3645" s="332" t="str">
        <f>C3644</f>
        <v>Industrial/Process Audit - 15 &lt; psig &lt; 30</v>
      </c>
      <c r="D3645" s="317" t="str">
        <f>D3644</f>
        <v>CI/SMB</v>
      </c>
      <c r="E3645" s="320"/>
      <c r="F3645" s="320"/>
      <c r="G3645" s="329"/>
      <c r="H3645" s="320"/>
      <c r="I3645" s="320"/>
      <c r="J3645" s="320"/>
      <c r="K3645" s="320"/>
    </row>
    <row r="3646" spans="1:11" x14ac:dyDescent="0.25">
      <c r="A3646" s="302" t="str">
        <f t="shared" si="98"/>
        <v>Steam Traps_Industrial/Process Audit - 30 ≤ psig &lt; 75_CI/SMB_GAL</v>
      </c>
      <c r="B3646" s="303" t="s">
        <v>644</v>
      </c>
      <c r="C3646" s="304" t="s">
        <v>1385</v>
      </c>
      <c r="D3646" s="303" t="s">
        <v>970</v>
      </c>
      <c r="E3646" s="305" t="s">
        <v>513</v>
      </c>
      <c r="F3646" s="309"/>
      <c r="G3646" s="306">
        <v>2.81</v>
      </c>
      <c r="H3646" s="305" t="s">
        <v>230</v>
      </c>
      <c r="I3646" s="305" t="s">
        <v>152</v>
      </c>
      <c r="J3646" s="305" t="s">
        <v>130</v>
      </c>
      <c r="K3646" s="305" t="s">
        <v>2161</v>
      </c>
    </row>
    <row r="3647" spans="1:11" x14ac:dyDescent="0.25">
      <c r="A3647" s="302" t="str">
        <f t="shared" si="98"/>
        <v>Steam Traps_Industrial/Process Audit - 30 ≤ psig &lt; 75_CI/SMB_Hours of Operation</v>
      </c>
      <c r="B3647" s="303" t="s">
        <v>644</v>
      </c>
      <c r="C3647" s="304" t="s">
        <v>1385</v>
      </c>
      <c r="D3647" s="303" t="s">
        <v>970</v>
      </c>
      <c r="E3647" s="305" t="s">
        <v>460</v>
      </c>
      <c r="F3647" s="309" t="s">
        <v>647</v>
      </c>
      <c r="G3647" s="354">
        <v>8282</v>
      </c>
      <c r="H3647" s="305" t="s">
        <v>230</v>
      </c>
      <c r="I3647" s="305" t="s">
        <v>152</v>
      </c>
      <c r="J3647" s="305" t="s">
        <v>130</v>
      </c>
      <c r="K3647" s="305" t="s">
        <v>2161</v>
      </c>
    </row>
    <row r="3648" spans="1:11" x14ac:dyDescent="0.25">
      <c r="A3648" s="302" t="str">
        <f t="shared" si="98"/>
        <v>Steam Traps_Industrial/Process Audit - 30 ≤ psig &lt; 75_CI/SMB_L</v>
      </c>
      <c r="B3648" s="303" t="s">
        <v>644</v>
      </c>
      <c r="C3648" s="304" t="s">
        <v>1385</v>
      </c>
      <c r="D3648" s="303" t="s">
        <v>970</v>
      </c>
      <c r="E3648" s="305" t="s">
        <v>437</v>
      </c>
      <c r="F3648" s="309"/>
      <c r="G3648" s="306">
        <v>1</v>
      </c>
      <c r="H3648" s="305" t="s">
        <v>1280</v>
      </c>
      <c r="I3648" s="305" t="s">
        <v>152</v>
      </c>
      <c r="J3648" s="305" t="s">
        <v>130</v>
      </c>
      <c r="K3648" s="305" t="s">
        <v>2161</v>
      </c>
    </row>
    <row r="3649" spans="1:11" x14ac:dyDescent="0.25">
      <c r="A3649" s="302" t="str">
        <f t="shared" si="98"/>
        <v>Steam Traps_Industrial/Process Audit - 30 ≤ psig &lt; 75_CI/SMB_Delta_Water_Gallons</v>
      </c>
      <c r="B3649" s="303" t="s">
        <v>644</v>
      </c>
      <c r="C3649" s="304" t="s">
        <v>1385</v>
      </c>
      <c r="D3649" s="303" t="s">
        <v>970</v>
      </c>
      <c r="E3649" s="305" t="s">
        <v>456</v>
      </c>
      <c r="F3649" s="305"/>
      <c r="G3649" s="307">
        <f>G3646*G3647*G3648</f>
        <v>23272.420000000002</v>
      </c>
      <c r="H3649" s="305"/>
      <c r="I3649" s="305" t="s">
        <v>152</v>
      </c>
      <c r="J3649" s="305" t="s">
        <v>130</v>
      </c>
      <c r="K3649" s="305" t="s">
        <v>2161</v>
      </c>
    </row>
    <row r="3650" spans="1:11" x14ac:dyDescent="0.25">
      <c r="A3650" s="302" t="str">
        <f t="shared" si="98"/>
        <v>Steam Traps_Industrial/Process Audit - 30 ≤ psig &lt; 75_CI/SMB_Conversion</v>
      </c>
      <c r="B3650" s="303" t="s">
        <v>644</v>
      </c>
      <c r="C3650" s="304" t="s">
        <v>1385</v>
      </c>
      <c r="D3650" s="303" t="s">
        <v>970</v>
      </c>
      <c r="E3650" s="305" t="s">
        <v>284</v>
      </c>
      <c r="F3650" s="305"/>
      <c r="G3650" s="354">
        <v>1000000</v>
      </c>
      <c r="H3650" s="305"/>
      <c r="I3650" s="305" t="s">
        <v>152</v>
      </c>
      <c r="J3650" s="305" t="s">
        <v>130</v>
      </c>
      <c r="K3650" s="305" t="s">
        <v>2161</v>
      </c>
    </row>
    <row r="3651" spans="1:11" x14ac:dyDescent="0.25">
      <c r="A3651" s="302" t="str">
        <f t="shared" si="98"/>
        <v>Steam Traps_Industrial/Process Audit - 30 ≤ psig &lt; 75_CI/SMB_E_water_supply</v>
      </c>
      <c r="B3651" s="303" t="s">
        <v>644</v>
      </c>
      <c r="C3651" s="304" t="s">
        <v>1385</v>
      </c>
      <c r="D3651" s="303" t="s">
        <v>970</v>
      </c>
      <c r="E3651" s="305" t="s">
        <v>457</v>
      </c>
      <c r="F3651" s="305"/>
      <c r="G3651" s="307">
        <v>2571</v>
      </c>
      <c r="H3651" s="305"/>
      <c r="I3651" s="305" t="s">
        <v>152</v>
      </c>
      <c r="J3651" s="305" t="s">
        <v>130</v>
      </c>
      <c r="K3651" s="305" t="s">
        <v>2161</v>
      </c>
    </row>
    <row r="3652" spans="1:11" x14ac:dyDescent="0.25">
      <c r="A3652" s="302" t="str">
        <f t="shared" si="98"/>
        <v>Steam Traps_Industrial/Process Audit - 30 ≤ psig &lt; 75_CI/SMB_Delta_kWh_water</v>
      </c>
      <c r="B3652" s="303" t="s">
        <v>644</v>
      </c>
      <c r="C3652" s="304" t="s">
        <v>1385</v>
      </c>
      <c r="D3652" s="303" t="s">
        <v>970</v>
      </c>
      <c r="E3652" s="305" t="s">
        <v>334</v>
      </c>
      <c r="F3652" s="305"/>
      <c r="G3652" s="307">
        <f>G3649/G3650*G3651</f>
        <v>59.833391820000003</v>
      </c>
      <c r="H3652" s="305"/>
      <c r="I3652" s="305" t="s">
        <v>152</v>
      </c>
      <c r="J3652" s="305" t="s">
        <v>130</v>
      </c>
      <c r="K3652" s="305" t="s">
        <v>2161</v>
      </c>
    </row>
    <row r="3653" spans="1:11" x14ac:dyDescent="0.25">
      <c r="A3653" s="302" t="str">
        <f t="shared" si="98"/>
        <v>Steam Traps_Industrial/Process Audit - 30 ≤ psig &lt; 75_CI/SMB_Sa</v>
      </c>
      <c r="B3653" s="303" t="s">
        <v>644</v>
      </c>
      <c r="C3653" s="304" t="s">
        <v>1385</v>
      </c>
      <c r="D3653" s="303" t="s">
        <v>970</v>
      </c>
      <c r="E3653" s="305" t="s">
        <v>507</v>
      </c>
      <c r="F3653" s="305"/>
      <c r="G3653" s="307">
        <v>23.4</v>
      </c>
      <c r="H3653" s="305" t="s">
        <v>230</v>
      </c>
      <c r="I3653" s="305" t="s">
        <v>152</v>
      </c>
      <c r="J3653" s="305" t="s">
        <v>130</v>
      </c>
      <c r="K3653" s="305" t="s">
        <v>2161</v>
      </c>
    </row>
    <row r="3654" spans="1:11" x14ac:dyDescent="0.25">
      <c r="A3654" s="302" t="str">
        <f t="shared" si="98"/>
        <v>Steam Traps_Industrial/Process Audit - 30 ≤ psig &lt; 75_CI/SMB_Hv</v>
      </c>
      <c r="B3654" s="303" t="s">
        <v>644</v>
      </c>
      <c r="C3654" s="304" t="s">
        <v>1385</v>
      </c>
      <c r="D3654" s="303" t="s">
        <v>970</v>
      </c>
      <c r="E3654" s="305" t="s">
        <v>508</v>
      </c>
      <c r="F3654" s="305"/>
      <c r="G3654" s="307">
        <v>915</v>
      </c>
      <c r="H3654" s="305" t="s">
        <v>230</v>
      </c>
      <c r="I3654" s="305" t="s">
        <v>152</v>
      </c>
      <c r="J3654" s="305" t="s">
        <v>130</v>
      </c>
      <c r="K3654" s="305" t="s">
        <v>2161</v>
      </c>
    </row>
    <row r="3655" spans="1:11" x14ac:dyDescent="0.25">
      <c r="A3655" s="302" t="str">
        <f t="shared" si="98"/>
        <v>Steam Traps_Industrial/Process Audit - 30 ≤ psig &lt; 75_CI/SMB_Hs</v>
      </c>
      <c r="B3655" s="303" t="s">
        <v>644</v>
      </c>
      <c r="C3655" s="304" t="s">
        <v>1385</v>
      </c>
      <c r="D3655" s="303" t="s">
        <v>970</v>
      </c>
      <c r="E3655" s="340" t="s">
        <v>509</v>
      </c>
      <c r="F3655" s="340"/>
      <c r="G3655" s="341">
        <v>1.0009999999999999</v>
      </c>
      <c r="H3655" s="340" t="s">
        <v>652</v>
      </c>
      <c r="I3655" s="305" t="s">
        <v>152</v>
      </c>
      <c r="J3655" s="305" t="s">
        <v>130</v>
      </c>
      <c r="K3655" s="305" t="s">
        <v>2161</v>
      </c>
    </row>
    <row r="3656" spans="1:11" x14ac:dyDescent="0.25">
      <c r="A3656" s="302" t="str">
        <f t="shared" si="98"/>
        <v>Steam Traps_Industrial/Process Audit - 30 ≤ psig &lt; 75_CI/SMB_507.89</v>
      </c>
      <c r="B3656" s="303" t="s">
        <v>644</v>
      </c>
      <c r="C3656" s="304" t="s">
        <v>1385</v>
      </c>
      <c r="D3656" s="303" t="s">
        <v>970</v>
      </c>
      <c r="E3656" s="342">
        <v>507.89</v>
      </c>
      <c r="F3656" s="340"/>
      <c r="G3656" s="341">
        <v>507.89</v>
      </c>
      <c r="H3656" s="340"/>
      <c r="I3656" s="305" t="s">
        <v>152</v>
      </c>
      <c r="J3656" s="305" t="s">
        <v>130</v>
      </c>
      <c r="K3656" s="305" t="s">
        <v>2161</v>
      </c>
    </row>
    <row r="3657" spans="1:11" x14ac:dyDescent="0.25">
      <c r="A3657" s="302" t="str">
        <f t="shared" si="98"/>
        <v>Steam Traps_Industrial/Process Audit - 30 ≤ psig &lt; 75_CI/SMB_P1</v>
      </c>
      <c r="B3657" s="303" t="s">
        <v>644</v>
      </c>
      <c r="C3657" s="304" t="s">
        <v>1385</v>
      </c>
      <c r="D3657" s="303" t="s">
        <v>970</v>
      </c>
      <c r="E3657" s="340" t="s">
        <v>510</v>
      </c>
      <c r="F3657" s="340"/>
      <c r="G3657" s="341">
        <f>47+14.696</f>
        <v>61.695999999999998</v>
      </c>
      <c r="H3657" s="340" t="s">
        <v>1372</v>
      </c>
      <c r="I3657" s="305" t="s">
        <v>152</v>
      </c>
      <c r="J3657" s="305" t="s">
        <v>130</v>
      </c>
      <c r="K3657" s="305" t="s">
        <v>2161</v>
      </c>
    </row>
    <row r="3658" spans="1:11" x14ac:dyDescent="0.25">
      <c r="A3658" s="302" t="str">
        <f t="shared" si="98"/>
        <v>Steam Traps_Industrial/Process Audit - 30 ≤ psig &lt; 75_CI/SMB_0.0962</v>
      </c>
      <c r="B3658" s="303" t="s">
        <v>644</v>
      </c>
      <c r="C3658" s="304" t="s">
        <v>1385</v>
      </c>
      <c r="D3658" s="303" t="s">
        <v>970</v>
      </c>
      <c r="E3658" s="340">
        <v>9.6199999999999994E-2</v>
      </c>
      <c r="F3658" s="340"/>
      <c r="G3658" s="343">
        <v>9.6199999999999994E-2</v>
      </c>
      <c r="H3658" s="340"/>
      <c r="I3658" s="305" t="s">
        <v>152</v>
      </c>
      <c r="J3658" s="305" t="s">
        <v>130</v>
      </c>
      <c r="K3658" s="305" t="s">
        <v>2161</v>
      </c>
    </row>
    <row r="3659" spans="1:11" x14ac:dyDescent="0.25">
      <c r="A3659" s="302" t="str">
        <f t="shared" si="98"/>
        <v>Steam Traps_Industrial/Process Audit - 30 ≤ psig &lt; 75_CI/SMB_T1</v>
      </c>
      <c r="B3659" s="303" t="s">
        <v>644</v>
      </c>
      <c r="C3659" s="304" t="s">
        <v>1385</v>
      </c>
      <c r="D3659" s="303" t="s">
        <v>970</v>
      </c>
      <c r="E3659" s="340" t="s">
        <v>511</v>
      </c>
      <c r="F3659" s="340"/>
      <c r="G3659" s="341">
        <f>G3656*(G3657^G3658)</f>
        <v>755.07898979450931</v>
      </c>
      <c r="H3659" s="340" t="s">
        <v>654</v>
      </c>
      <c r="I3659" s="305" t="s">
        <v>152</v>
      </c>
      <c r="J3659" s="305" t="s">
        <v>130</v>
      </c>
      <c r="K3659" s="305" t="s">
        <v>2161</v>
      </c>
    </row>
    <row r="3660" spans="1:11" x14ac:dyDescent="0.25">
      <c r="A3660" s="302" t="str">
        <f t="shared" si="98"/>
        <v>Steam Traps_Industrial/Process Audit - 30 ≤ psig &lt; 75_CI/SMB_Tsource</v>
      </c>
      <c r="B3660" s="303" t="s">
        <v>644</v>
      </c>
      <c r="C3660" s="304" t="s">
        <v>1385</v>
      </c>
      <c r="D3660" s="303" t="s">
        <v>970</v>
      </c>
      <c r="E3660" s="340" t="s">
        <v>512</v>
      </c>
      <c r="F3660" s="340"/>
      <c r="G3660" s="341">
        <v>513.66999999999996</v>
      </c>
      <c r="H3660" s="340" t="s">
        <v>655</v>
      </c>
      <c r="I3660" s="305" t="s">
        <v>152</v>
      </c>
      <c r="J3660" s="305" t="s">
        <v>130</v>
      </c>
      <c r="K3660" s="305" t="s">
        <v>2161</v>
      </c>
    </row>
    <row r="3661" spans="1:11" x14ac:dyDescent="0.25">
      <c r="A3661" s="302" t="str">
        <f t="shared" si="98"/>
        <v>Steam Traps_Industrial/Process Audit - 30 ≤ psig &lt; 75_CI/SMB_Hours of Operation</v>
      </c>
      <c r="B3661" s="303" t="s">
        <v>644</v>
      </c>
      <c r="C3661" s="304" t="s">
        <v>1385</v>
      </c>
      <c r="D3661" s="303" t="s">
        <v>970</v>
      </c>
      <c r="E3661" s="305" t="s">
        <v>460</v>
      </c>
      <c r="F3661" s="309" t="s">
        <v>647</v>
      </c>
      <c r="G3661" s="354">
        <v>8282</v>
      </c>
      <c r="H3661" s="305" t="s">
        <v>230</v>
      </c>
      <c r="I3661" s="305" t="s">
        <v>152</v>
      </c>
      <c r="J3661" s="305" t="s">
        <v>130</v>
      </c>
      <c r="K3661" s="305" t="s">
        <v>2161</v>
      </c>
    </row>
    <row r="3662" spans="1:11" x14ac:dyDescent="0.25">
      <c r="A3662" s="302" t="str">
        <f t="shared" si="98"/>
        <v>Steam Traps_Industrial/Process Audit - 30 ≤ psig &lt; 75_CI/SMB_L</v>
      </c>
      <c r="B3662" s="303" t="s">
        <v>644</v>
      </c>
      <c r="C3662" s="304" t="s">
        <v>1385</v>
      </c>
      <c r="D3662" s="303" t="s">
        <v>970</v>
      </c>
      <c r="E3662" s="305" t="s">
        <v>437</v>
      </c>
      <c r="F3662" s="309"/>
      <c r="G3662" s="306">
        <v>1</v>
      </c>
      <c r="H3662" s="305" t="s">
        <v>1280</v>
      </c>
      <c r="I3662" s="305" t="s">
        <v>152</v>
      </c>
      <c r="J3662" s="305" t="s">
        <v>130</v>
      </c>
      <c r="K3662" s="305" t="s">
        <v>2161</v>
      </c>
    </row>
    <row r="3663" spans="1:11" x14ac:dyDescent="0.25">
      <c r="A3663" s="302" t="str">
        <f t="shared" si="98"/>
        <v>Steam Traps_Industrial/Process Audit - 30 ≤ psig &lt; 75_CI/SMB_Conversion</v>
      </c>
      <c r="B3663" s="303" t="s">
        <v>644</v>
      </c>
      <c r="C3663" s="304" t="s">
        <v>1385</v>
      </c>
      <c r="D3663" s="303" t="s">
        <v>970</v>
      </c>
      <c r="E3663" s="305" t="s">
        <v>284</v>
      </c>
      <c r="F3663" s="309" t="s">
        <v>622</v>
      </c>
      <c r="G3663" s="325">
        <v>100000</v>
      </c>
      <c r="H3663" s="305"/>
      <c r="I3663" s="305" t="s">
        <v>152</v>
      </c>
      <c r="J3663" s="305" t="s">
        <v>130</v>
      </c>
      <c r="K3663" s="305" t="s">
        <v>2161</v>
      </c>
    </row>
    <row r="3664" spans="1:11" x14ac:dyDescent="0.25">
      <c r="A3664" s="302" t="str">
        <f t="shared" ref="A3664:A3727" si="99">B3664&amp;"_"&amp;C3664&amp;"_"&amp;D3664&amp;"_"&amp;E3664</f>
        <v>Steam Traps_Industrial/Process Audit - 30 ≤ psig &lt; 75_CI/SMB_n_B</v>
      </c>
      <c r="B3664" s="303" t="s">
        <v>644</v>
      </c>
      <c r="C3664" s="304" t="s">
        <v>1385</v>
      </c>
      <c r="D3664" s="303" t="s">
        <v>970</v>
      </c>
      <c r="E3664" s="340" t="s">
        <v>657</v>
      </c>
      <c r="F3664" s="341"/>
      <c r="G3664" s="346">
        <v>0.80700000000000005</v>
      </c>
      <c r="H3664" s="340" t="s">
        <v>665</v>
      </c>
      <c r="I3664" s="305" t="s">
        <v>152</v>
      </c>
      <c r="J3664" s="305" t="s">
        <v>130</v>
      </c>
      <c r="K3664" s="305" t="s">
        <v>2161</v>
      </c>
    </row>
    <row r="3665" spans="1:11" x14ac:dyDescent="0.25">
      <c r="A3665" s="302" t="str">
        <f t="shared" si="99"/>
        <v>Steam Traps_Industrial/Process Audit - 30 ≤ psig &lt; 75_CI/SMB_kWh Saved per Unit</v>
      </c>
      <c r="B3665" s="303" t="s">
        <v>644</v>
      </c>
      <c r="C3665" s="304" t="s">
        <v>1385</v>
      </c>
      <c r="D3665" s="303" t="s">
        <v>970</v>
      </c>
      <c r="E3665" s="314" t="s">
        <v>255</v>
      </c>
      <c r="F3665" s="326"/>
      <c r="G3665" s="315">
        <f>G3652</f>
        <v>59.833391820000003</v>
      </c>
      <c r="H3665" s="305"/>
      <c r="I3665" s="305" t="s">
        <v>152</v>
      </c>
      <c r="J3665" s="305" t="s">
        <v>130</v>
      </c>
      <c r="K3665" s="305" t="s">
        <v>2161</v>
      </c>
    </row>
    <row r="3666" spans="1:11" x14ac:dyDescent="0.25">
      <c r="A3666" s="302" t="str">
        <f t="shared" si="99"/>
        <v>Steam Traps_Industrial/Process Audit - 30 ≤ psig &lt; 75_CI/SMB_Coincident Peak kW Saved per Unit</v>
      </c>
      <c r="B3666" s="303" t="s">
        <v>644</v>
      </c>
      <c r="C3666" s="304" t="s">
        <v>1385</v>
      </c>
      <c r="D3666" s="303" t="s">
        <v>970</v>
      </c>
      <c r="E3666" s="314" t="s">
        <v>257</v>
      </c>
      <c r="F3666" s="326"/>
      <c r="G3666" s="315">
        <v>0</v>
      </c>
      <c r="H3666" s="305"/>
      <c r="I3666" s="305" t="s">
        <v>152</v>
      </c>
      <c r="J3666" s="305" t="s">
        <v>130</v>
      </c>
      <c r="K3666" s="305" t="s">
        <v>2161</v>
      </c>
    </row>
    <row r="3667" spans="1:11" x14ac:dyDescent="0.25">
      <c r="A3667" s="302" t="str">
        <f t="shared" si="99"/>
        <v>Steam Traps_Industrial/Process Audit - 30 ≤ psig &lt; 75_CI/SMB_Therm Saved per Unit</v>
      </c>
      <c r="B3667" s="303" t="s">
        <v>644</v>
      </c>
      <c r="C3667" s="304" t="s">
        <v>1385</v>
      </c>
      <c r="D3667" s="303" t="s">
        <v>970</v>
      </c>
      <c r="E3667" s="314" t="s">
        <v>326</v>
      </c>
      <c r="F3667" s="326"/>
      <c r="G3667" s="315">
        <f xml:space="preserve"> G3653 * (G3654 + G3655 * (G3659 - G3660)) * G3661 * G3662 / (G3663 * G3664)</f>
        <v>2777.6636840634392</v>
      </c>
      <c r="H3667" s="305"/>
      <c r="I3667" s="305" t="s">
        <v>152</v>
      </c>
      <c r="J3667" s="305" t="s">
        <v>130</v>
      </c>
      <c r="K3667" s="305" t="s">
        <v>2161</v>
      </c>
    </row>
    <row r="3668" spans="1:11" x14ac:dyDescent="0.25">
      <c r="A3668" s="302" t="str">
        <f t="shared" si="99"/>
        <v>Steam Traps_Industrial/Process Audit - 30 ≤ psig &lt; 75_CI/SMB_Gallons Saved per Unit</v>
      </c>
      <c r="B3668" s="303" t="s">
        <v>644</v>
      </c>
      <c r="C3668" s="304" t="s">
        <v>1385</v>
      </c>
      <c r="D3668" s="303" t="s">
        <v>970</v>
      </c>
      <c r="E3668" s="314" t="s">
        <v>547</v>
      </c>
      <c r="F3668" s="326"/>
      <c r="G3668" s="315">
        <f>G3649</f>
        <v>23272.420000000002</v>
      </c>
      <c r="H3668" s="305"/>
      <c r="I3668" s="305" t="s">
        <v>152</v>
      </c>
      <c r="J3668" s="305" t="s">
        <v>130</v>
      </c>
      <c r="K3668" s="305" t="s">
        <v>2161</v>
      </c>
    </row>
    <row r="3669" spans="1:11" x14ac:dyDescent="0.25">
      <c r="A3669" s="302" t="str">
        <f t="shared" si="99"/>
        <v>Steam Traps_Industrial/Process Audit - 30 ≤ psig &lt; 75_CI/SMB_Lifetime (years)</v>
      </c>
      <c r="B3669" s="303" t="s">
        <v>644</v>
      </c>
      <c r="C3669" s="304" t="s">
        <v>1385</v>
      </c>
      <c r="D3669" s="303" t="s">
        <v>970</v>
      </c>
      <c r="E3669" s="314" t="s">
        <v>259</v>
      </c>
      <c r="F3669" s="326"/>
      <c r="G3669" s="315">
        <v>6</v>
      </c>
      <c r="H3669" s="305" t="s">
        <v>659</v>
      </c>
      <c r="I3669" s="305" t="s">
        <v>152</v>
      </c>
      <c r="J3669" s="305" t="s">
        <v>130</v>
      </c>
      <c r="K3669" s="305" t="s">
        <v>2161</v>
      </c>
    </row>
    <row r="3670" spans="1:11" x14ac:dyDescent="0.25">
      <c r="A3670" s="302" t="str">
        <f t="shared" si="99"/>
        <v>Steam Traps_Industrial/Process Audit - 30 ≤ psig &lt; 75_CI/SMB_Incremental Cost</v>
      </c>
      <c r="B3670" s="303" t="s">
        <v>644</v>
      </c>
      <c r="C3670" s="304" t="s">
        <v>1385</v>
      </c>
      <c r="D3670" s="303" t="s">
        <v>970</v>
      </c>
      <c r="E3670" s="314" t="s">
        <v>260</v>
      </c>
      <c r="F3670" s="326"/>
      <c r="G3670" s="315">
        <v>223</v>
      </c>
      <c r="H3670" s="305" t="s">
        <v>1373</v>
      </c>
      <c r="I3670" s="305" t="s">
        <v>152</v>
      </c>
      <c r="J3670" s="305" t="s">
        <v>130</v>
      </c>
      <c r="K3670" s="305" t="s">
        <v>2161</v>
      </c>
    </row>
    <row r="3671" spans="1:11" x14ac:dyDescent="0.25">
      <c r="A3671" s="317" t="str">
        <f t="shared" si="99"/>
        <v>Steam Traps_Industrial/Process Audit - 30 ≤ psig &lt; 75_CI/SMB_</v>
      </c>
      <c r="B3671" s="317" t="str">
        <f>B3670</f>
        <v>Steam Traps</v>
      </c>
      <c r="C3671" s="332" t="str">
        <f>C3670</f>
        <v>Industrial/Process Audit - 30 ≤ psig &lt; 75</v>
      </c>
      <c r="D3671" s="317" t="str">
        <f>D3670</f>
        <v>CI/SMB</v>
      </c>
      <c r="E3671" s="320"/>
      <c r="F3671" s="320"/>
      <c r="G3671" s="329"/>
      <c r="H3671" s="320"/>
      <c r="I3671" s="320"/>
      <c r="J3671" s="320"/>
      <c r="K3671" s="320"/>
    </row>
    <row r="3672" spans="1:11" x14ac:dyDescent="0.25">
      <c r="A3672" s="302" t="str">
        <f t="shared" si="99"/>
        <v>Steam Traps_Industrial/Process Audit - 75 ≤ psig &lt; 125_CI/SMB_GAL</v>
      </c>
      <c r="B3672" s="303" t="s">
        <v>644</v>
      </c>
      <c r="C3672" s="304" t="s">
        <v>1386</v>
      </c>
      <c r="D3672" s="303" t="s">
        <v>970</v>
      </c>
      <c r="E3672" s="305" t="s">
        <v>513</v>
      </c>
      <c r="F3672" s="309"/>
      <c r="G3672" s="306">
        <v>5.26</v>
      </c>
      <c r="H3672" s="305" t="s">
        <v>229</v>
      </c>
      <c r="I3672" s="305" t="s">
        <v>152</v>
      </c>
      <c r="J3672" s="305" t="s">
        <v>130</v>
      </c>
      <c r="K3672" s="305" t="s">
        <v>2161</v>
      </c>
    </row>
    <row r="3673" spans="1:11" x14ac:dyDescent="0.25">
      <c r="A3673" s="302" t="str">
        <f t="shared" si="99"/>
        <v>Steam Traps_Industrial/Process Audit - 75 ≤ psig &lt; 125_CI/SMB_Hours of Operation</v>
      </c>
      <c r="B3673" s="303" t="s">
        <v>644</v>
      </c>
      <c r="C3673" s="304" t="s">
        <v>1386</v>
      </c>
      <c r="D3673" s="303" t="s">
        <v>970</v>
      </c>
      <c r="E3673" s="305" t="s">
        <v>460</v>
      </c>
      <c r="F3673" s="309" t="s">
        <v>647</v>
      </c>
      <c r="G3673" s="354">
        <v>8282</v>
      </c>
      <c r="H3673" s="305" t="s">
        <v>229</v>
      </c>
      <c r="I3673" s="305" t="s">
        <v>152</v>
      </c>
      <c r="J3673" s="305" t="s">
        <v>130</v>
      </c>
      <c r="K3673" s="305" t="s">
        <v>2161</v>
      </c>
    </row>
    <row r="3674" spans="1:11" x14ac:dyDescent="0.25">
      <c r="A3674" s="302" t="str">
        <f t="shared" si="99"/>
        <v>Steam Traps_Industrial/Process Audit - 75 ≤ psig &lt; 125_CI/SMB_L</v>
      </c>
      <c r="B3674" s="303" t="s">
        <v>644</v>
      </c>
      <c r="C3674" s="304" t="s">
        <v>1386</v>
      </c>
      <c r="D3674" s="303" t="s">
        <v>970</v>
      </c>
      <c r="E3674" s="305" t="s">
        <v>437</v>
      </c>
      <c r="F3674" s="309"/>
      <c r="G3674" s="306">
        <v>1</v>
      </c>
      <c r="H3674" s="305" t="s">
        <v>1280</v>
      </c>
      <c r="I3674" s="305" t="s">
        <v>152</v>
      </c>
      <c r="J3674" s="305" t="s">
        <v>130</v>
      </c>
      <c r="K3674" s="305" t="s">
        <v>2161</v>
      </c>
    </row>
    <row r="3675" spans="1:11" x14ac:dyDescent="0.25">
      <c r="A3675" s="302" t="str">
        <f t="shared" si="99"/>
        <v>Steam Traps_Industrial/Process Audit - 75 ≤ psig &lt; 125_CI/SMB_Delta_Water_Gallons</v>
      </c>
      <c r="B3675" s="303" t="s">
        <v>644</v>
      </c>
      <c r="C3675" s="304" t="s">
        <v>1386</v>
      </c>
      <c r="D3675" s="303" t="s">
        <v>970</v>
      </c>
      <c r="E3675" s="305" t="s">
        <v>456</v>
      </c>
      <c r="F3675" s="305"/>
      <c r="G3675" s="307">
        <f>G3672*G3673*G3674</f>
        <v>43563.32</v>
      </c>
      <c r="H3675" s="305"/>
      <c r="I3675" s="305" t="s">
        <v>152</v>
      </c>
      <c r="J3675" s="305" t="s">
        <v>130</v>
      </c>
      <c r="K3675" s="305" t="s">
        <v>2161</v>
      </c>
    </row>
    <row r="3676" spans="1:11" x14ac:dyDescent="0.25">
      <c r="A3676" s="302" t="str">
        <f t="shared" si="99"/>
        <v>Steam Traps_Industrial/Process Audit - 75 ≤ psig &lt; 125_CI/SMB_Conversion</v>
      </c>
      <c r="B3676" s="303" t="s">
        <v>644</v>
      </c>
      <c r="C3676" s="304" t="s">
        <v>1386</v>
      </c>
      <c r="D3676" s="303" t="s">
        <v>970</v>
      </c>
      <c r="E3676" s="305" t="s">
        <v>284</v>
      </c>
      <c r="F3676" s="305"/>
      <c r="G3676" s="354">
        <v>1000000</v>
      </c>
      <c r="H3676" s="305"/>
      <c r="I3676" s="305" t="s">
        <v>152</v>
      </c>
      <c r="J3676" s="305" t="s">
        <v>130</v>
      </c>
      <c r="K3676" s="305" t="s">
        <v>2161</v>
      </c>
    </row>
    <row r="3677" spans="1:11" x14ac:dyDescent="0.25">
      <c r="A3677" s="302" t="str">
        <f t="shared" si="99"/>
        <v>Steam Traps_Industrial/Process Audit - 75 ≤ psig &lt; 125_CI/SMB_E_water_supply</v>
      </c>
      <c r="B3677" s="303" t="s">
        <v>644</v>
      </c>
      <c r="C3677" s="304" t="s">
        <v>1386</v>
      </c>
      <c r="D3677" s="303" t="s">
        <v>970</v>
      </c>
      <c r="E3677" s="305" t="s">
        <v>457</v>
      </c>
      <c r="F3677" s="305"/>
      <c r="G3677" s="307">
        <v>2571</v>
      </c>
      <c r="H3677" s="305"/>
      <c r="I3677" s="305" t="s">
        <v>152</v>
      </c>
      <c r="J3677" s="305" t="s">
        <v>130</v>
      </c>
      <c r="K3677" s="305" t="s">
        <v>2161</v>
      </c>
    </row>
    <row r="3678" spans="1:11" x14ac:dyDescent="0.25">
      <c r="A3678" s="302" t="str">
        <f t="shared" si="99"/>
        <v>Steam Traps_Industrial/Process Audit - 75 ≤ psig &lt; 125_CI/SMB_Delta_kWh_water</v>
      </c>
      <c r="B3678" s="303" t="s">
        <v>644</v>
      </c>
      <c r="C3678" s="304" t="s">
        <v>1386</v>
      </c>
      <c r="D3678" s="303" t="s">
        <v>970</v>
      </c>
      <c r="E3678" s="305" t="s">
        <v>334</v>
      </c>
      <c r="F3678" s="305"/>
      <c r="G3678" s="307">
        <f>G3675/G3676*G3677</f>
        <v>112.00129572</v>
      </c>
      <c r="H3678" s="305"/>
      <c r="I3678" s="305" t="s">
        <v>152</v>
      </c>
      <c r="J3678" s="305" t="s">
        <v>130</v>
      </c>
      <c r="K3678" s="305" t="s">
        <v>2161</v>
      </c>
    </row>
    <row r="3679" spans="1:11" x14ac:dyDescent="0.25">
      <c r="A3679" s="302" t="str">
        <f t="shared" si="99"/>
        <v>Steam Traps_Industrial/Process Audit - 75 ≤ psig &lt; 125_CI/SMB_Sa</v>
      </c>
      <c r="B3679" s="303" t="s">
        <v>644</v>
      </c>
      <c r="C3679" s="304" t="s">
        <v>1386</v>
      </c>
      <c r="D3679" s="303" t="s">
        <v>970</v>
      </c>
      <c r="E3679" s="305" t="s">
        <v>507</v>
      </c>
      <c r="F3679" s="305"/>
      <c r="G3679" s="307">
        <v>43.8</v>
      </c>
      <c r="H3679" s="305" t="s">
        <v>229</v>
      </c>
      <c r="I3679" s="305" t="s">
        <v>152</v>
      </c>
      <c r="J3679" s="305" t="s">
        <v>130</v>
      </c>
      <c r="K3679" s="305" t="s">
        <v>2161</v>
      </c>
    </row>
    <row r="3680" spans="1:11" x14ac:dyDescent="0.25">
      <c r="A3680" s="302" t="str">
        <f t="shared" si="99"/>
        <v>Steam Traps_Industrial/Process Audit - 75 ≤ psig &lt; 125_CI/SMB_Hv</v>
      </c>
      <c r="B3680" s="303" t="s">
        <v>644</v>
      </c>
      <c r="C3680" s="304" t="s">
        <v>1386</v>
      </c>
      <c r="D3680" s="303" t="s">
        <v>970</v>
      </c>
      <c r="E3680" s="305" t="s">
        <v>508</v>
      </c>
      <c r="F3680" s="305"/>
      <c r="G3680" s="307">
        <v>880</v>
      </c>
      <c r="H3680" s="305" t="s">
        <v>229</v>
      </c>
      <c r="I3680" s="305" t="s">
        <v>152</v>
      </c>
      <c r="J3680" s="305" t="s">
        <v>130</v>
      </c>
      <c r="K3680" s="305" t="s">
        <v>2161</v>
      </c>
    </row>
    <row r="3681" spans="1:11" x14ac:dyDescent="0.25">
      <c r="A3681" s="302" t="str">
        <f t="shared" si="99"/>
        <v>Steam Traps_Industrial/Process Audit - 75 ≤ psig &lt; 125_CI/SMB_Hs</v>
      </c>
      <c r="B3681" s="303" t="s">
        <v>644</v>
      </c>
      <c r="C3681" s="304" t="s">
        <v>1386</v>
      </c>
      <c r="D3681" s="303" t="s">
        <v>970</v>
      </c>
      <c r="E3681" s="340" t="s">
        <v>509</v>
      </c>
      <c r="F3681" s="340"/>
      <c r="G3681" s="341">
        <v>1.0009999999999999</v>
      </c>
      <c r="H3681" s="340" t="s">
        <v>652</v>
      </c>
      <c r="I3681" s="305" t="s">
        <v>152</v>
      </c>
      <c r="J3681" s="305" t="s">
        <v>130</v>
      </c>
      <c r="K3681" s="305" t="s">
        <v>2161</v>
      </c>
    </row>
    <row r="3682" spans="1:11" x14ac:dyDescent="0.25">
      <c r="A3682" s="302" t="str">
        <f t="shared" si="99"/>
        <v>Steam Traps_Industrial/Process Audit - 75 ≤ psig &lt; 125_CI/SMB_507.89</v>
      </c>
      <c r="B3682" s="303" t="s">
        <v>644</v>
      </c>
      <c r="C3682" s="304" t="s">
        <v>1386</v>
      </c>
      <c r="D3682" s="303" t="s">
        <v>970</v>
      </c>
      <c r="E3682" s="342">
        <v>507.89</v>
      </c>
      <c r="F3682" s="340"/>
      <c r="G3682" s="341">
        <v>507.89</v>
      </c>
      <c r="H3682" s="340"/>
      <c r="I3682" s="305" t="s">
        <v>152</v>
      </c>
      <c r="J3682" s="305" t="s">
        <v>130</v>
      </c>
      <c r="K3682" s="305" t="s">
        <v>2161</v>
      </c>
    </row>
    <row r="3683" spans="1:11" x14ac:dyDescent="0.25">
      <c r="A3683" s="302" t="str">
        <f t="shared" si="99"/>
        <v>Steam Traps_Industrial/Process Audit - 75 ≤ psig &lt; 125_CI/SMB_P1</v>
      </c>
      <c r="B3683" s="303" t="s">
        <v>644</v>
      </c>
      <c r="C3683" s="304" t="s">
        <v>1386</v>
      </c>
      <c r="D3683" s="303" t="s">
        <v>970</v>
      </c>
      <c r="E3683" s="340" t="s">
        <v>510</v>
      </c>
      <c r="F3683" s="340"/>
      <c r="G3683" s="341">
        <f>101+14.696</f>
        <v>115.696</v>
      </c>
      <c r="H3683" s="340" t="s">
        <v>1371</v>
      </c>
      <c r="I3683" s="305" t="s">
        <v>152</v>
      </c>
      <c r="J3683" s="305" t="s">
        <v>130</v>
      </c>
      <c r="K3683" s="305" t="s">
        <v>2161</v>
      </c>
    </row>
    <row r="3684" spans="1:11" x14ac:dyDescent="0.25">
      <c r="A3684" s="302" t="str">
        <f t="shared" si="99"/>
        <v>Steam Traps_Industrial/Process Audit - 75 ≤ psig &lt; 125_CI/SMB_0.0962</v>
      </c>
      <c r="B3684" s="303" t="s">
        <v>644</v>
      </c>
      <c r="C3684" s="304" t="s">
        <v>1386</v>
      </c>
      <c r="D3684" s="303" t="s">
        <v>970</v>
      </c>
      <c r="E3684" s="340">
        <v>9.6199999999999994E-2</v>
      </c>
      <c r="F3684" s="340"/>
      <c r="G3684" s="343">
        <v>9.6199999999999994E-2</v>
      </c>
      <c r="H3684" s="340"/>
      <c r="I3684" s="305" t="s">
        <v>152</v>
      </c>
      <c r="J3684" s="305" t="s">
        <v>130</v>
      </c>
      <c r="K3684" s="305" t="s">
        <v>2161</v>
      </c>
    </row>
    <row r="3685" spans="1:11" x14ac:dyDescent="0.25">
      <c r="A3685" s="302" t="str">
        <f t="shared" si="99"/>
        <v>Steam Traps_Industrial/Process Audit - 75 ≤ psig &lt; 125_CI/SMB_T1</v>
      </c>
      <c r="B3685" s="303" t="s">
        <v>644</v>
      </c>
      <c r="C3685" s="304" t="s">
        <v>1386</v>
      </c>
      <c r="D3685" s="303" t="s">
        <v>970</v>
      </c>
      <c r="E3685" s="340" t="s">
        <v>511</v>
      </c>
      <c r="F3685" s="340"/>
      <c r="G3685" s="341">
        <f>G3682*(G3683^G3684)</f>
        <v>802.1597871006478</v>
      </c>
      <c r="H3685" s="340" t="s">
        <v>654</v>
      </c>
      <c r="I3685" s="305" t="s">
        <v>152</v>
      </c>
      <c r="J3685" s="305" t="s">
        <v>130</v>
      </c>
      <c r="K3685" s="305" t="s">
        <v>2161</v>
      </c>
    </row>
    <row r="3686" spans="1:11" x14ac:dyDescent="0.25">
      <c r="A3686" s="302" t="str">
        <f t="shared" si="99"/>
        <v>Steam Traps_Industrial/Process Audit - 75 ≤ psig &lt; 125_CI/SMB_Tsource</v>
      </c>
      <c r="B3686" s="303" t="s">
        <v>644</v>
      </c>
      <c r="C3686" s="304" t="s">
        <v>1386</v>
      </c>
      <c r="D3686" s="303" t="s">
        <v>970</v>
      </c>
      <c r="E3686" s="340" t="s">
        <v>512</v>
      </c>
      <c r="F3686" s="340"/>
      <c r="G3686" s="341">
        <v>513.66999999999996</v>
      </c>
      <c r="H3686" s="340" t="s">
        <v>655</v>
      </c>
      <c r="I3686" s="305" t="s">
        <v>152</v>
      </c>
      <c r="J3686" s="305" t="s">
        <v>130</v>
      </c>
      <c r="K3686" s="305" t="s">
        <v>2161</v>
      </c>
    </row>
    <row r="3687" spans="1:11" x14ac:dyDescent="0.25">
      <c r="A3687" s="302" t="str">
        <f t="shared" si="99"/>
        <v>Steam Traps_Industrial/Process Audit - 75 ≤ psig &lt; 125_CI/SMB_Hours of Operation</v>
      </c>
      <c r="B3687" s="303" t="s">
        <v>644</v>
      </c>
      <c r="C3687" s="304" t="s">
        <v>1386</v>
      </c>
      <c r="D3687" s="303" t="s">
        <v>970</v>
      </c>
      <c r="E3687" s="305" t="s">
        <v>460</v>
      </c>
      <c r="F3687" s="309" t="s">
        <v>647</v>
      </c>
      <c r="G3687" s="354">
        <v>8282</v>
      </c>
      <c r="H3687" s="305" t="s">
        <v>229</v>
      </c>
      <c r="I3687" s="305" t="s">
        <v>152</v>
      </c>
      <c r="J3687" s="305" t="s">
        <v>130</v>
      </c>
      <c r="K3687" s="305" t="s">
        <v>2161</v>
      </c>
    </row>
    <row r="3688" spans="1:11" x14ac:dyDescent="0.25">
      <c r="A3688" s="302" t="str">
        <f t="shared" si="99"/>
        <v>Steam Traps_Industrial/Process Audit - 75 ≤ psig &lt; 125_CI/SMB_L</v>
      </c>
      <c r="B3688" s="303" t="s">
        <v>644</v>
      </c>
      <c r="C3688" s="304" t="s">
        <v>1386</v>
      </c>
      <c r="D3688" s="303" t="s">
        <v>970</v>
      </c>
      <c r="E3688" s="305" t="s">
        <v>437</v>
      </c>
      <c r="F3688" s="309"/>
      <c r="G3688" s="306">
        <v>1</v>
      </c>
      <c r="H3688" s="305" t="s">
        <v>1280</v>
      </c>
      <c r="I3688" s="305" t="s">
        <v>152</v>
      </c>
      <c r="J3688" s="305" t="s">
        <v>130</v>
      </c>
      <c r="K3688" s="305" t="s">
        <v>2161</v>
      </c>
    </row>
    <row r="3689" spans="1:11" x14ac:dyDescent="0.25">
      <c r="A3689" s="302" t="str">
        <f t="shared" si="99"/>
        <v>Steam Traps_Industrial/Process Audit - 75 ≤ psig &lt; 125_CI/SMB_Conversion</v>
      </c>
      <c r="B3689" s="303" t="s">
        <v>644</v>
      </c>
      <c r="C3689" s="304" t="s">
        <v>1386</v>
      </c>
      <c r="D3689" s="303" t="s">
        <v>970</v>
      </c>
      <c r="E3689" s="305" t="s">
        <v>284</v>
      </c>
      <c r="F3689" s="309" t="s">
        <v>622</v>
      </c>
      <c r="G3689" s="325">
        <v>100000</v>
      </c>
      <c r="H3689" s="305"/>
      <c r="I3689" s="305" t="s">
        <v>152</v>
      </c>
      <c r="J3689" s="305" t="s">
        <v>130</v>
      </c>
      <c r="K3689" s="305" t="s">
        <v>2161</v>
      </c>
    </row>
    <row r="3690" spans="1:11" x14ac:dyDescent="0.25">
      <c r="A3690" s="302" t="str">
        <f t="shared" si="99"/>
        <v>Steam Traps_Industrial/Process Audit - 75 ≤ psig &lt; 125_CI/SMB_n_B</v>
      </c>
      <c r="B3690" s="303" t="s">
        <v>644</v>
      </c>
      <c r="C3690" s="304" t="s">
        <v>1386</v>
      </c>
      <c r="D3690" s="303" t="s">
        <v>970</v>
      </c>
      <c r="E3690" s="340" t="s">
        <v>657</v>
      </c>
      <c r="F3690" s="341"/>
      <c r="G3690" s="346">
        <v>0.80700000000000005</v>
      </c>
      <c r="H3690" s="340" t="s">
        <v>665</v>
      </c>
      <c r="I3690" s="305" t="s">
        <v>152</v>
      </c>
      <c r="J3690" s="305" t="s">
        <v>130</v>
      </c>
      <c r="K3690" s="305" t="s">
        <v>2161</v>
      </c>
    </row>
    <row r="3691" spans="1:11" x14ac:dyDescent="0.25">
      <c r="A3691" s="302" t="str">
        <f t="shared" si="99"/>
        <v>Steam Traps_Industrial/Process Audit - 75 ≤ psig &lt; 125_CI/SMB_kWh Saved per Unit</v>
      </c>
      <c r="B3691" s="303" t="s">
        <v>644</v>
      </c>
      <c r="C3691" s="304" t="s">
        <v>1386</v>
      </c>
      <c r="D3691" s="303" t="s">
        <v>970</v>
      </c>
      <c r="E3691" s="314" t="s">
        <v>255</v>
      </c>
      <c r="F3691" s="326"/>
      <c r="G3691" s="315">
        <f>G3678</f>
        <v>112.00129572</v>
      </c>
      <c r="H3691" s="305"/>
      <c r="I3691" s="305" t="s">
        <v>152</v>
      </c>
      <c r="J3691" s="305" t="s">
        <v>130</v>
      </c>
      <c r="K3691" s="305" t="s">
        <v>2161</v>
      </c>
    </row>
    <row r="3692" spans="1:11" x14ac:dyDescent="0.25">
      <c r="A3692" s="302" t="str">
        <f t="shared" si="99"/>
        <v>Steam Traps_Industrial/Process Audit - 75 ≤ psig &lt; 125_CI/SMB_Coincident Peak kW Saved per Unit</v>
      </c>
      <c r="B3692" s="303" t="s">
        <v>644</v>
      </c>
      <c r="C3692" s="304" t="s">
        <v>1386</v>
      </c>
      <c r="D3692" s="303" t="s">
        <v>970</v>
      </c>
      <c r="E3692" s="314" t="s">
        <v>257</v>
      </c>
      <c r="F3692" s="326"/>
      <c r="G3692" s="315">
        <v>0</v>
      </c>
      <c r="H3692" s="305"/>
      <c r="I3692" s="305" t="s">
        <v>152</v>
      </c>
      <c r="J3692" s="305" t="s">
        <v>130</v>
      </c>
      <c r="K3692" s="305" t="s">
        <v>2161</v>
      </c>
    </row>
    <row r="3693" spans="1:11" x14ac:dyDescent="0.25">
      <c r="A3693" s="302" t="str">
        <f t="shared" si="99"/>
        <v>Steam Traps_Industrial/Process Audit - 75 ≤ psig &lt; 125_CI/SMB_Therm Saved per Unit</v>
      </c>
      <c r="B3693" s="303" t="s">
        <v>644</v>
      </c>
      <c r="C3693" s="304" t="s">
        <v>1386</v>
      </c>
      <c r="D3693" s="303" t="s">
        <v>970</v>
      </c>
      <c r="E3693" s="314" t="s">
        <v>326</v>
      </c>
      <c r="F3693" s="326"/>
      <c r="G3693" s="315">
        <f xml:space="preserve"> G3679 * (G3680 + G3681 * (G3685 - G3686)) * G3687 * G3688 / (G3689 * G3690)</f>
        <v>5253.732217921608</v>
      </c>
      <c r="H3693" s="305"/>
      <c r="I3693" s="305" t="s">
        <v>152</v>
      </c>
      <c r="J3693" s="305" t="s">
        <v>130</v>
      </c>
      <c r="K3693" s="305" t="s">
        <v>2161</v>
      </c>
    </row>
    <row r="3694" spans="1:11" x14ac:dyDescent="0.25">
      <c r="A3694" s="302" t="str">
        <f t="shared" si="99"/>
        <v>Steam Traps_Industrial/Process Audit - 75 ≤ psig &lt; 125_CI/SMB_Gallons Saved per Unit</v>
      </c>
      <c r="B3694" s="303" t="s">
        <v>644</v>
      </c>
      <c r="C3694" s="304" t="s">
        <v>1386</v>
      </c>
      <c r="D3694" s="303" t="s">
        <v>970</v>
      </c>
      <c r="E3694" s="314" t="s">
        <v>547</v>
      </c>
      <c r="F3694" s="326"/>
      <c r="G3694" s="315">
        <f>G3675</f>
        <v>43563.32</v>
      </c>
      <c r="H3694" s="305"/>
      <c r="I3694" s="305" t="s">
        <v>152</v>
      </c>
      <c r="J3694" s="305" t="s">
        <v>130</v>
      </c>
      <c r="K3694" s="305" t="s">
        <v>2161</v>
      </c>
    </row>
    <row r="3695" spans="1:11" x14ac:dyDescent="0.25">
      <c r="A3695" s="302" t="str">
        <f t="shared" si="99"/>
        <v>Steam Traps_Industrial/Process Audit - 75 ≤ psig &lt; 125_CI/SMB_Lifetime (years)</v>
      </c>
      <c r="B3695" s="303" t="s">
        <v>644</v>
      </c>
      <c r="C3695" s="304" t="s">
        <v>1386</v>
      </c>
      <c r="D3695" s="303" t="s">
        <v>970</v>
      </c>
      <c r="E3695" s="314" t="s">
        <v>259</v>
      </c>
      <c r="F3695" s="326"/>
      <c r="G3695" s="315">
        <v>6</v>
      </c>
      <c r="H3695" s="305" t="s">
        <v>659</v>
      </c>
      <c r="I3695" s="305" t="s">
        <v>152</v>
      </c>
      <c r="J3695" s="305" t="s">
        <v>130</v>
      </c>
      <c r="K3695" s="305" t="s">
        <v>2161</v>
      </c>
    </row>
    <row r="3696" spans="1:11" x14ac:dyDescent="0.25">
      <c r="A3696" s="302" t="str">
        <f t="shared" si="99"/>
        <v>Steam Traps_Industrial/Process Audit - 75 ≤ psig &lt; 125_CI/SMB_Incremental Cost</v>
      </c>
      <c r="B3696" s="303" t="s">
        <v>644</v>
      </c>
      <c r="C3696" s="304" t="s">
        <v>1386</v>
      </c>
      <c r="D3696" s="303" t="s">
        <v>970</v>
      </c>
      <c r="E3696" s="314" t="s">
        <v>260</v>
      </c>
      <c r="F3696" s="326"/>
      <c r="G3696" s="315">
        <v>276</v>
      </c>
      <c r="H3696" s="305" t="s">
        <v>1373</v>
      </c>
      <c r="I3696" s="305" t="s">
        <v>152</v>
      </c>
      <c r="J3696" s="305" t="s">
        <v>130</v>
      </c>
      <c r="K3696" s="305" t="s">
        <v>2161</v>
      </c>
    </row>
    <row r="3697" spans="1:11" x14ac:dyDescent="0.25">
      <c r="A3697" s="317" t="str">
        <f t="shared" si="99"/>
        <v>Steam Traps_Industrial/Process Audit - 75 ≤ psig &lt; 125_CI/SMB_</v>
      </c>
      <c r="B3697" s="317" t="str">
        <f>B3696</f>
        <v>Steam Traps</v>
      </c>
      <c r="C3697" s="332" t="str">
        <f>C3696</f>
        <v>Industrial/Process Audit - 75 ≤ psig &lt; 125</v>
      </c>
      <c r="D3697" s="317" t="str">
        <f>D3696</f>
        <v>CI/SMB</v>
      </c>
      <c r="E3697" s="320"/>
      <c r="F3697" s="320"/>
      <c r="G3697" s="329"/>
      <c r="H3697" s="320"/>
      <c r="I3697" s="320"/>
      <c r="J3697" s="320"/>
      <c r="K3697" s="320"/>
    </row>
    <row r="3698" spans="1:11" x14ac:dyDescent="0.25">
      <c r="A3698" s="302" t="str">
        <f t="shared" si="99"/>
        <v>Steam Traps_Industrial/Process Audit - 125 ≤ psig &lt; 175_CI/SMB_GAL</v>
      </c>
      <c r="B3698" s="303" t="s">
        <v>644</v>
      </c>
      <c r="C3698" s="304" t="s">
        <v>1374</v>
      </c>
      <c r="D3698" s="303" t="s">
        <v>970</v>
      </c>
      <c r="E3698" s="305" t="s">
        <v>513</v>
      </c>
      <c r="F3698" s="309"/>
      <c r="G3698" s="306">
        <v>7.31</v>
      </c>
      <c r="H3698" s="305" t="s">
        <v>226</v>
      </c>
      <c r="I3698" s="305" t="s">
        <v>152</v>
      </c>
      <c r="J3698" s="305" t="s">
        <v>130</v>
      </c>
      <c r="K3698" s="305" t="s">
        <v>2161</v>
      </c>
    </row>
    <row r="3699" spans="1:11" x14ac:dyDescent="0.25">
      <c r="A3699" s="302" t="str">
        <f t="shared" si="99"/>
        <v>Steam Traps_Industrial/Process Audit - 125 ≤ psig &lt; 175_CI/SMB_Hours of Operation</v>
      </c>
      <c r="B3699" s="303" t="s">
        <v>644</v>
      </c>
      <c r="C3699" s="304" t="s">
        <v>1374</v>
      </c>
      <c r="D3699" s="303" t="s">
        <v>970</v>
      </c>
      <c r="E3699" s="305" t="s">
        <v>460</v>
      </c>
      <c r="F3699" s="309" t="s">
        <v>647</v>
      </c>
      <c r="G3699" s="354">
        <v>8282</v>
      </c>
      <c r="H3699" s="305" t="s">
        <v>226</v>
      </c>
      <c r="I3699" s="305" t="s">
        <v>152</v>
      </c>
      <c r="J3699" s="305" t="s">
        <v>130</v>
      </c>
      <c r="K3699" s="305" t="s">
        <v>2161</v>
      </c>
    </row>
    <row r="3700" spans="1:11" x14ac:dyDescent="0.25">
      <c r="A3700" s="302" t="str">
        <f t="shared" si="99"/>
        <v>Steam Traps_Industrial/Process Audit - 125 ≤ psig &lt; 175_CI/SMB_L</v>
      </c>
      <c r="B3700" s="303" t="s">
        <v>644</v>
      </c>
      <c r="C3700" s="304" t="s">
        <v>1374</v>
      </c>
      <c r="D3700" s="303" t="s">
        <v>970</v>
      </c>
      <c r="E3700" s="305" t="s">
        <v>437</v>
      </c>
      <c r="F3700" s="309"/>
      <c r="G3700" s="306">
        <v>1</v>
      </c>
      <c r="H3700" s="305" t="s">
        <v>1280</v>
      </c>
      <c r="I3700" s="305" t="s">
        <v>152</v>
      </c>
      <c r="J3700" s="305" t="s">
        <v>130</v>
      </c>
      <c r="K3700" s="305" t="s">
        <v>2161</v>
      </c>
    </row>
    <row r="3701" spans="1:11" x14ac:dyDescent="0.25">
      <c r="A3701" s="302" t="str">
        <f t="shared" si="99"/>
        <v>Steam Traps_Industrial/Process Audit - 125 ≤ psig &lt; 175_CI/SMB_Delta_Water_Gallons</v>
      </c>
      <c r="B3701" s="303" t="s">
        <v>644</v>
      </c>
      <c r="C3701" s="304" t="s">
        <v>1374</v>
      </c>
      <c r="D3701" s="303" t="s">
        <v>970</v>
      </c>
      <c r="E3701" s="305" t="s">
        <v>456</v>
      </c>
      <c r="F3701" s="305"/>
      <c r="G3701" s="307">
        <f>G3698*G3699*G3700</f>
        <v>60541.42</v>
      </c>
      <c r="H3701" s="305"/>
      <c r="I3701" s="305" t="s">
        <v>152</v>
      </c>
      <c r="J3701" s="305" t="s">
        <v>130</v>
      </c>
      <c r="K3701" s="305" t="s">
        <v>2161</v>
      </c>
    </row>
    <row r="3702" spans="1:11" x14ac:dyDescent="0.25">
      <c r="A3702" s="302" t="str">
        <f t="shared" si="99"/>
        <v>Steam Traps_Industrial/Process Audit - 125 ≤ psig &lt; 175_CI/SMB_Conversion</v>
      </c>
      <c r="B3702" s="303" t="s">
        <v>644</v>
      </c>
      <c r="C3702" s="304" t="s">
        <v>1374</v>
      </c>
      <c r="D3702" s="303" t="s">
        <v>970</v>
      </c>
      <c r="E3702" s="305" t="s">
        <v>284</v>
      </c>
      <c r="F3702" s="305"/>
      <c r="G3702" s="354">
        <v>1000000</v>
      </c>
      <c r="H3702" s="305"/>
      <c r="I3702" s="305" t="s">
        <v>152</v>
      </c>
      <c r="J3702" s="305" t="s">
        <v>130</v>
      </c>
      <c r="K3702" s="305" t="s">
        <v>2161</v>
      </c>
    </row>
    <row r="3703" spans="1:11" x14ac:dyDescent="0.25">
      <c r="A3703" s="302" t="str">
        <f t="shared" si="99"/>
        <v>Steam Traps_Industrial/Process Audit - 125 ≤ psig &lt; 175_CI/SMB_E_water_supply</v>
      </c>
      <c r="B3703" s="303" t="s">
        <v>644</v>
      </c>
      <c r="C3703" s="304" t="s">
        <v>1374</v>
      </c>
      <c r="D3703" s="303" t="s">
        <v>970</v>
      </c>
      <c r="E3703" s="305" t="s">
        <v>457</v>
      </c>
      <c r="F3703" s="305"/>
      <c r="G3703" s="307">
        <v>2571</v>
      </c>
      <c r="H3703" s="305"/>
      <c r="I3703" s="305" t="s">
        <v>152</v>
      </c>
      <c r="J3703" s="305" t="s">
        <v>130</v>
      </c>
      <c r="K3703" s="305" t="s">
        <v>2161</v>
      </c>
    </row>
    <row r="3704" spans="1:11" x14ac:dyDescent="0.25">
      <c r="A3704" s="302" t="str">
        <f t="shared" si="99"/>
        <v>Steam Traps_Industrial/Process Audit - 125 ≤ psig &lt; 175_CI/SMB_Delta_kWh_water</v>
      </c>
      <c r="B3704" s="303" t="s">
        <v>644</v>
      </c>
      <c r="C3704" s="304" t="s">
        <v>1374</v>
      </c>
      <c r="D3704" s="303" t="s">
        <v>970</v>
      </c>
      <c r="E3704" s="305" t="s">
        <v>334</v>
      </c>
      <c r="F3704" s="305"/>
      <c r="G3704" s="307">
        <f>G3701/G3702*G3703</f>
        <v>155.65199082000001</v>
      </c>
      <c r="H3704" s="305"/>
      <c r="I3704" s="305" t="s">
        <v>152</v>
      </c>
      <c r="J3704" s="305" t="s">
        <v>130</v>
      </c>
      <c r="K3704" s="305" t="s">
        <v>2161</v>
      </c>
    </row>
    <row r="3705" spans="1:11" x14ac:dyDescent="0.25">
      <c r="A3705" s="302" t="str">
        <f t="shared" si="99"/>
        <v>Steam Traps_Industrial/Process Audit - 125 ≤ psig &lt; 175_CI/SMB_Sa</v>
      </c>
      <c r="B3705" s="303" t="s">
        <v>644</v>
      </c>
      <c r="C3705" s="304" t="s">
        <v>1374</v>
      </c>
      <c r="D3705" s="303" t="s">
        <v>970</v>
      </c>
      <c r="E3705" s="305" t="s">
        <v>507</v>
      </c>
      <c r="F3705" s="305"/>
      <c r="G3705" s="307">
        <v>60.9</v>
      </c>
      <c r="H3705" s="305" t="s">
        <v>226</v>
      </c>
      <c r="I3705" s="305" t="s">
        <v>152</v>
      </c>
      <c r="J3705" s="305" t="s">
        <v>130</v>
      </c>
      <c r="K3705" s="305" t="s">
        <v>2161</v>
      </c>
    </row>
    <row r="3706" spans="1:11" x14ac:dyDescent="0.25">
      <c r="A3706" s="302" t="str">
        <f t="shared" si="99"/>
        <v>Steam Traps_Industrial/Process Audit - 125 ≤ psig &lt; 175_CI/SMB_Hv</v>
      </c>
      <c r="B3706" s="303" t="s">
        <v>644</v>
      </c>
      <c r="C3706" s="304" t="s">
        <v>1374</v>
      </c>
      <c r="D3706" s="303" t="s">
        <v>970</v>
      </c>
      <c r="E3706" s="305" t="s">
        <v>508</v>
      </c>
      <c r="F3706" s="305"/>
      <c r="G3706" s="307">
        <v>859</v>
      </c>
      <c r="H3706" s="305" t="s">
        <v>226</v>
      </c>
      <c r="I3706" s="305" t="s">
        <v>152</v>
      </c>
      <c r="J3706" s="305" t="s">
        <v>130</v>
      </c>
      <c r="K3706" s="305" t="s">
        <v>2161</v>
      </c>
    </row>
    <row r="3707" spans="1:11" x14ac:dyDescent="0.25">
      <c r="A3707" s="302" t="str">
        <f t="shared" si="99"/>
        <v>Steam Traps_Industrial/Process Audit - 125 ≤ psig &lt; 175_CI/SMB_Hs</v>
      </c>
      <c r="B3707" s="303" t="s">
        <v>644</v>
      </c>
      <c r="C3707" s="304" t="s">
        <v>1374</v>
      </c>
      <c r="D3707" s="303" t="s">
        <v>970</v>
      </c>
      <c r="E3707" s="340" t="s">
        <v>509</v>
      </c>
      <c r="F3707" s="340"/>
      <c r="G3707" s="341">
        <v>1.0009999999999999</v>
      </c>
      <c r="H3707" s="340" t="s">
        <v>652</v>
      </c>
      <c r="I3707" s="305" t="s">
        <v>152</v>
      </c>
      <c r="J3707" s="305" t="s">
        <v>130</v>
      </c>
      <c r="K3707" s="305" t="s">
        <v>2161</v>
      </c>
    </row>
    <row r="3708" spans="1:11" x14ac:dyDescent="0.25">
      <c r="A3708" s="302" t="str">
        <f t="shared" si="99"/>
        <v>Steam Traps_Industrial/Process Audit - 125 ≤ psig &lt; 175_CI/SMB_507.89</v>
      </c>
      <c r="B3708" s="303" t="s">
        <v>644</v>
      </c>
      <c r="C3708" s="304" t="s">
        <v>1374</v>
      </c>
      <c r="D3708" s="303" t="s">
        <v>970</v>
      </c>
      <c r="E3708" s="342">
        <v>507.89</v>
      </c>
      <c r="F3708" s="340"/>
      <c r="G3708" s="341">
        <v>507.89</v>
      </c>
      <c r="H3708" s="340"/>
      <c r="I3708" s="305" t="s">
        <v>152</v>
      </c>
      <c r="J3708" s="305" t="s">
        <v>130</v>
      </c>
      <c r="K3708" s="305" t="s">
        <v>2161</v>
      </c>
    </row>
    <row r="3709" spans="1:11" x14ac:dyDescent="0.25">
      <c r="A3709" s="302" t="str">
        <f t="shared" si="99"/>
        <v>Steam Traps_Industrial/Process Audit - 125 ≤ psig &lt; 175_CI/SMB_P1</v>
      </c>
      <c r="B3709" s="303" t="s">
        <v>644</v>
      </c>
      <c r="C3709" s="304" t="s">
        <v>1374</v>
      </c>
      <c r="D3709" s="303" t="s">
        <v>970</v>
      </c>
      <c r="E3709" s="340" t="s">
        <v>510</v>
      </c>
      <c r="F3709" s="340"/>
      <c r="G3709" s="341">
        <f>(146+14.696)</f>
        <v>160.696</v>
      </c>
      <c r="H3709" s="340" t="s">
        <v>1371</v>
      </c>
      <c r="I3709" s="305" t="s">
        <v>152</v>
      </c>
      <c r="J3709" s="305" t="s">
        <v>130</v>
      </c>
      <c r="K3709" s="305" t="s">
        <v>2161</v>
      </c>
    </row>
    <row r="3710" spans="1:11" x14ac:dyDescent="0.25">
      <c r="A3710" s="302" t="str">
        <f t="shared" si="99"/>
        <v>Steam Traps_Industrial/Process Audit - 125 ≤ psig &lt; 175_CI/SMB_0.0962</v>
      </c>
      <c r="B3710" s="303" t="s">
        <v>644</v>
      </c>
      <c r="C3710" s="304" t="s">
        <v>1374</v>
      </c>
      <c r="D3710" s="303" t="s">
        <v>970</v>
      </c>
      <c r="E3710" s="340">
        <v>9.6199999999999994E-2</v>
      </c>
      <c r="F3710" s="340"/>
      <c r="G3710" s="343">
        <v>9.6199999999999994E-2</v>
      </c>
      <c r="H3710" s="340"/>
      <c r="I3710" s="305" t="s">
        <v>152</v>
      </c>
      <c r="J3710" s="305" t="s">
        <v>130</v>
      </c>
      <c r="K3710" s="305" t="s">
        <v>2161</v>
      </c>
    </row>
    <row r="3711" spans="1:11" x14ac:dyDescent="0.25">
      <c r="A3711" s="302" t="str">
        <f t="shared" si="99"/>
        <v>Steam Traps_Industrial/Process Audit - 125 ≤ psig &lt; 175_CI/SMB_T1</v>
      </c>
      <c r="B3711" s="303" t="s">
        <v>644</v>
      </c>
      <c r="C3711" s="304" t="s">
        <v>1374</v>
      </c>
      <c r="D3711" s="303" t="s">
        <v>970</v>
      </c>
      <c r="E3711" s="340" t="s">
        <v>511</v>
      </c>
      <c r="F3711" s="340"/>
      <c r="G3711" s="341">
        <f>G3708*(G3709^G3710)</f>
        <v>827.91804679204643</v>
      </c>
      <c r="H3711" s="340" t="s">
        <v>654</v>
      </c>
      <c r="I3711" s="305" t="s">
        <v>152</v>
      </c>
      <c r="J3711" s="305" t="s">
        <v>130</v>
      </c>
      <c r="K3711" s="305" t="s">
        <v>2161</v>
      </c>
    </row>
    <row r="3712" spans="1:11" x14ac:dyDescent="0.25">
      <c r="A3712" s="302" t="str">
        <f t="shared" si="99"/>
        <v>Steam Traps_Industrial/Process Audit - 125 ≤ psig &lt; 175_CI/SMB_Tsource</v>
      </c>
      <c r="B3712" s="303" t="s">
        <v>644</v>
      </c>
      <c r="C3712" s="304" t="s">
        <v>1374</v>
      </c>
      <c r="D3712" s="303" t="s">
        <v>970</v>
      </c>
      <c r="E3712" s="340" t="s">
        <v>512</v>
      </c>
      <c r="F3712" s="340"/>
      <c r="G3712" s="341">
        <v>513.66999999999996</v>
      </c>
      <c r="H3712" s="340" t="s">
        <v>655</v>
      </c>
      <c r="I3712" s="305" t="s">
        <v>152</v>
      </c>
      <c r="J3712" s="305" t="s">
        <v>130</v>
      </c>
      <c r="K3712" s="305" t="s">
        <v>2161</v>
      </c>
    </row>
    <row r="3713" spans="1:11" x14ac:dyDescent="0.25">
      <c r="A3713" s="302" t="str">
        <f t="shared" si="99"/>
        <v>Steam Traps_Industrial/Process Audit - 125 ≤ psig &lt; 175_CI/SMB_Hours of Operation</v>
      </c>
      <c r="B3713" s="303" t="s">
        <v>644</v>
      </c>
      <c r="C3713" s="304" t="s">
        <v>1374</v>
      </c>
      <c r="D3713" s="303" t="s">
        <v>970</v>
      </c>
      <c r="E3713" s="305" t="s">
        <v>460</v>
      </c>
      <c r="F3713" s="309" t="s">
        <v>647</v>
      </c>
      <c r="G3713" s="354">
        <v>8282</v>
      </c>
      <c r="H3713" s="305" t="s">
        <v>226</v>
      </c>
      <c r="I3713" s="305" t="s">
        <v>152</v>
      </c>
      <c r="J3713" s="305" t="s">
        <v>130</v>
      </c>
      <c r="K3713" s="305" t="s">
        <v>2161</v>
      </c>
    </row>
    <row r="3714" spans="1:11" x14ac:dyDescent="0.25">
      <c r="A3714" s="302" t="str">
        <f t="shared" si="99"/>
        <v>Steam Traps_Industrial/Process Audit - 125 ≤ psig &lt; 175_CI/SMB_L</v>
      </c>
      <c r="B3714" s="303" t="s">
        <v>644</v>
      </c>
      <c r="C3714" s="304" t="s">
        <v>1374</v>
      </c>
      <c r="D3714" s="303" t="s">
        <v>970</v>
      </c>
      <c r="E3714" s="305" t="s">
        <v>437</v>
      </c>
      <c r="F3714" s="309"/>
      <c r="G3714" s="306">
        <v>1</v>
      </c>
      <c r="H3714" s="305" t="s">
        <v>1280</v>
      </c>
      <c r="I3714" s="305" t="s">
        <v>152</v>
      </c>
      <c r="J3714" s="305" t="s">
        <v>130</v>
      </c>
      <c r="K3714" s="305" t="s">
        <v>2161</v>
      </c>
    </row>
    <row r="3715" spans="1:11" x14ac:dyDescent="0.25">
      <c r="A3715" s="302" t="str">
        <f t="shared" si="99"/>
        <v>Steam Traps_Industrial/Process Audit - 125 ≤ psig &lt; 175_CI/SMB_Conversion</v>
      </c>
      <c r="B3715" s="303" t="s">
        <v>644</v>
      </c>
      <c r="C3715" s="304" t="s">
        <v>1374</v>
      </c>
      <c r="D3715" s="303" t="s">
        <v>970</v>
      </c>
      <c r="E3715" s="305" t="s">
        <v>284</v>
      </c>
      <c r="F3715" s="309" t="s">
        <v>622</v>
      </c>
      <c r="G3715" s="325">
        <v>100000</v>
      </c>
      <c r="H3715" s="305"/>
      <c r="I3715" s="305" t="s">
        <v>152</v>
      </c>
      <c r="J3715" s="305" t="s">
        <v>130</v>
      </c>
      <c r="K3715" s="305" t="s">
        <v>2161</v>
      </c>
    </row>
    <row r="3716" spans="1:11" x14ac:dyDescent="0.25">
      <c r="A3716" s="302" t="str">
        <f t="shared" si="99"/>
        <v>Steam Traps_Industrial/Process Audit - 125 ≤ psig &lt; 175_CI/SMB_n_B</v>
      </c>
      <c r="B3716" s="303" t="s">
        <v>644</v>
      </c>
      <c r="C3716" s="304" t="s">
        <v>1374</v>
      </c>
      <c r="D3716" s="303" t="s">
        <v>970</v>
      </c>
      <c r="E3716" s="340" t="s">
        <v>657</v>
      </c>
      <c r="F3716" s="341"/>
      <c r="G3716" s="346">
        <v>0.80700000000000005</v>
      </c>
      <c r="H3716" s="340" t="s">
        <v>665</v>
      </c>
      <c r="I3716" s="305" t="s">
        <v>152</v>
      </c>
      <c r="J3716" s="305" t="s">
        <v>130</v>
      </c>
      <c r="K3716" s="305" t="s">
        <v>2161</v>
      </c>
    </row>
    <row r="3717" spans="1:11" x14ac:dyDescent="0.25">
      <c r="A3717" s="302" t="str">
        <f t="shared" si="99"/>
        <v>Steam Traps_Industrial/Process Audit - 125 ≤ psig &lt; 175_CI/SMB_kWh Saved per Unit</v>
      </c>
      <c r="B3717" s="303" t="s">
        <v>644</v>
      </c>
      <c r="C3717" s="304" t="s">
        <v>1374</v>
      </c>
      <c r="D3717" s="303" t="s">
        <v>970</v>
      </c>
      <c r="E3717" s="314" t="s">
        <v>255</v>
      </c>
      <c r="F3717" s="326"/>
      <c r="G3717" s="315">
        <f>G3704</f>
        <v>155.65199082000001</v>
      </c>
      <c r="H3717" s="305"/>
      <c r="I3717" s="305" t="s">
        <v>152</v>
      </c>
      <c r="J3717" s="305" t="s">
        <v>130</v>
      </c>
      <c r="K3717" s="305" t="s">
        <v>2161</v>
      </c>
    </row>
    <row r="3718" spans="1:11" x14ac:dyDescent="0.25">
      <c r="A3718" s="302" t="str">
        <f t="shared" si="99"/>
        <v>Steam Traps_Industrial/Process Audit - 125 ≤ psig &lt; 175_CI/SMB_Coincident Peak kW Saved per Unit</v>
      </c>
      <c r="B3718" s="303" t="s">
        <v>644</v>
      </c>
      <c r="C3718" s="304" t="s">
        <v>1374</v>
      </c>
      <c r="D3718" s="303" t="s">
        <v>970</v>
      </c>
      <c r="E3718" s="314" t="s">
        <v>257</v>
      </c>
      <c r="F3718" s="326"/>
      <c r="G3718" s="315">
        <v>0</v>
      </c>
      <c r="H3718" s="305"/>
      <c r="I3718" s="305" t="s">
        <v>152</v>
      </c>
      <c r="J3718" s="305" t="s">
        <v>130</v>
      </c>
      <c r="K3718" s="305" t="s">
        <v>2161</v>
      </c>
    </row>
    <row r="3719" spans="1:11" x14ac:dyDescent="0.25">
      <c r="A3719" s="302" t="str">
        <f t="shared" si="99"/>
        <v>Steam Traps_Industrial/Process Audit - 125 ≤ psig &lt; 175_CI/SMB_Therm Saved per Unit</v>
      </c>
      <c r="B3719" s="303" t="s">
        <v>644</v>
      </c>
      <c r="C3719" s="304" t="s">
        <v>1374</v>
      </c>
      <c r="D3719" s="303" t="s">
        <v>970</v>
      </c>
      <c r="E3719" s="314" t="s">
        <v>326</v>
      </c>
      <c r="F3719" s="326"/>
      <c r="G3719" s="315">
        <f xml:space="preserve"> G3705 * (G3706 + G3707 * (G3711 - G3712)) * G3713 * G3714 / (G3715 * G3716)</f>
        <v>7334.7468920022948</v>
      </c>
      <c r="H3719" s="305"/>
      <c r="I3719" s="305" t="s">
        <v>152</v>
      </c>
      <c r="J3719" s="305" t="s">
        <v>130</v>
      </c>
      <c r="K3719" s="305" t="s">
        <v>2161</v>
      </c>
    </row>
    <row r="3720" spans="1:11" x14ac:dyDescent="0.25">
      <c r="A3720" s="302" t="str">
        <f t="shared" si="99"/>
        <v>Steam Traps_Industrial/Process Audit - 125 ≤ psig &lt; 175_CI/SMB_Gallons Saved per Unit</v>
      </c>
      <c r="B3720" s="303" t="s">
        <v>644</v>
      </c>
      <c r="C3720" s="304" t="s">
        <v>1374</v>
      </c>
      <c r="D3720" s="303" t="s">
        <v>970</v>
      </c>
      <c r="E3720" s="314" t="s">
        <v>547</v>
      </c>
      <c r="F3720" s="326"/>
      <c r="G3720" s="315">
        <f>G3701</f>
        <v>60541.42</v>
      </c>
      <c r="H3720" s="305"/>
      <c r="I3720" s="305" t="s">
        <v>152</v>
      </c>
      <c r="J3720" s="305" t="s">
        <v>130</v>
      </c>
      <c r="K3720" s="305" t="s">
        <v>2161</v>
      </c>
    </row>
    <row r="3721" spans="1:11" x14ac:dyDescent="0.25">
      <c r="A3721" s="302" t="str">
        <f t="shared" si="99"/>
        <v>Steam Traps_Industrial/Process Audit - 125 ≤ psig &lt; 175_CI/SMB_Lifetime (years)</v>
      </c>
      <c r="B3721" s="303" t="s">
        <v>644</v>
      </c>
      <c r="C3721" s="304" t="s">
        <v>1374</v>
      </c>
      <c r="D3721" s="303" t="s">
        <v>970</v>
      </c>
      <c r="E3721" s="314" t="s">
        <v>259</v>
      </c>
      <c r="F3721" s="326"/>
      <c r="G3721" s="315">
        <v>6</v>
      </c>
      <c r="H3721" s="305" t="s">
        <v>659</v>
      </c>
      <c r="I3721" s="305" t="s">
        <v>152</v>
      </c>
      <c r="J3721" s="305" t="s">
        <v>130</v>
      </c>
      <c r="K3721" s="305" t="s">
        <v>2161</v>
      </c>
    </row>
    <row r="3722" spans="1:11" x14ac:dyDescent="0.25">
      <c r="A3722" s="302" t="str">
        <f t="shared" si="99"/>
        <v>Steam Traps_Industrial/Process Audit - 125 ≤ psig &lt; 175_CI/SMB_Incremental Cost</v>
      </c>
      <c r="B3722" s="303" t="s">
        <v>644</v>
      </c>
      <c r="C3722" s="304" t="s">
        <v>1374</v>
      </c>
      <c r="D3722" s="303" t="s">
        <v>970</v>
      </c>
      <c r="E3722" s="314" t="s">
        <v>260</v>
      </c>
      <c r="F3722" s="326"/>
      <c r="G3722" s="315">
        <v>322</v>
      </c>
      <c r="H3722" s="305" t="s">
        <v>1373</v>
      </c>
      <c r="I3722" s="305" t="s">
        <v>152</v>
      </c>
      <c r="J3722" s="305" t="s">
        <v>130</v>
      </c>
      <c r="K3722" s="305" t="s">
        <v>2161</v>
      </c>
    </row>
    <row r="3723" spans="1:11" x14ac:dyDescent="0.25">
      <c r="A3723" s="317" t="str">
        <f t="shared" si="99"/>
        <v>Steam Traps_Industrial/Process Audit - 125 ≤ psig &lt; 175_CI/SMB_</v>
      </c>
      <c r="B3723" s="317" t="str">
        <f>B3722</f>
        <v>Steam Traps</v>
      </c>
      <c r="C3723" s="332" t="str">
        <f>C3722</f>
        <v>Industrial/Process Audit - 125 ≤ psig &lt; 175</v>
      </c>
      <c r="D3723" s="317" t="str">
        <f>D3722</f>
        <v>CI/SMB</v>
      </c>
      <c r="E3723" s="320"/>
      <c r="F3723" s="320"/>
      <c r="G3723" s="329"/>
      <c r="H3723" s="320"/>
      <c r="I3723" s="320"/>
      <c r="J3723" s="320"/>
      <c r="K3723" s="320"/>
    </row>
    <row r="3724" spans="1:11" x14ac:dyDescent="0.25">
      <c r="A3724" s="302" t="str">
        <f t="shared" si="99"/>
        <v>Steam Traps_Industrial/Process Audit - 175 ≤ psig &lt; 250_CI/SMB_GAL</v>
      </c>
      <c r="B3724" s="303" t="s">
        <v>644</v>
      </c>
      <c r="C3724" s="304" t="s">
        <v>1375</v>
      </c>
      <c r="D3724" s="303" t="s">
        <v>970</v>
      </c>
      <c r="E3724" s="305" t="s">
        <v>513</v>
      </c>
      <c r="F3724" s="309"/>
      <c r="G3724" s="306">
        <v>9.86</v>
      </c>
      <c r="H3724" s="305" t="s">
        <v>227</v>
      </c>
      <c r="I3724" s="305" t="s">
        <v>152</v>
      </c>
      <c r="J3724" s="305" t="s">
        <v>130</v>
      </c>
      <c r="K3724" s="305" t="s">
        <v>2161</v>
      </c>
    </row>
    <row r="3725" spans="1:11" x14ac:dyDescent="0.25">
      <c r="A3725" s="302" t="str">
        <f t="shared" si="99"/>
        <v>Steam Traps_Industrial/Process Audit - 175 ≤ psig &lt; 250_CI/SMB_Hours of Operation</v>
      </c>
      <c r="B3725" s="303" t="s">
        <v>644</v>
      </c>
      <c r="C3725" s="304" t="s">
        <v>1375</v>
      </c>
      <c r="D3725" s="303" t="s">
        <v>970</v>
      </c>
      <c r="E3725" s="305" t="s">
        <v>460</v>
      </c>
      <c r="F3725" s="309" t="s">
        <v>647</v>
      </c>
      <c r="G3725" s="354">
        <v>8282</v>
      </c>
      <c r="H3725" s="305" t="s">
        <v>227</v>
      </c>
      <c r="I3725" s="305" t="s">
        <v>152</v>
      </c>
      <c r="J3725" s="305" t="s">
        <v>130</v>
      </c>
      <c r="K3725" s="305" t="s">
        <v>2161</v>
      </c>
    </row>
    <row r="3726" spans="1:11" x14ac:dyDescent="0.25">
      <c r="A3726" s="302" t="str">
        <f t="shared" si="99"/>
        <v>Steam Traps_Industrial/Process Audit - 175 ≤ psig &lt; 250_CI/SMB_L</v>
      </c>
      <c r="B3726" s="303" t="s">
        <v>644</v>
      </c>
      <c r="C3726" s="304" t="s">
        <v>1375</v>
      </c>
      <c r="D3726" s="303" t="s">
        <v>970</v>
      </c>
      <c r="E3726" s="305" t="s">
        <v>437</v>
      </c>
      <c r="F3726" s="309"/>
      <c r="G3726" s="306">
        <v>1</v>
      </c>
      <c r="H3726" s="305" t="s">
        <v>1280</v>
      </c>
      <c r="I3726" s="305" t="s">
        <v>152</v>
      </c>
      <c r="J3726" s="305" t="s">
        <v>130</v>
      </c>
      <c r="K3726" s="305" t="s">
        <v>2161</v>
      </c>
    </row>
    <row r="3727" spans="1:11" x14ac:dyDescent="0.25">
      <c r="A3727" s="302" t="str">
        <f t="shared" si="99"/>
        <v>Steam Traps_Industrial/Process Audit - 175 ≤ psig &lt; 250_CI/SMB_Delta_Water_Gallons</v>
      </c>
      <c r="B3727" s="303" t="s">
        <v>644</v>
      </c>
      <c r="C3727" s="304" t="s">
        <v>1375</v>
      </c>
      <c r="D3727" s="303" t="s">
        <v>970</v>
      </c>
      <c r="E3727" s="305" t="s">
        <v>456</v>
      </c>
      <c r="F3727" s="305"/>
      <c r="G3727" s="307">
        <f>G3724*G3725*G3726</f>
        <v>81660.51999999999</v>
      </c>
      <c r="H3727" s="305"/>
      <c r="I3727" s="305" t="s">
        <v>152</v>
      </c>
      <c r="J3727" s="305" t="s">
        <v>130</v>
      </c>
      <c r="K3727" s="305" t="s">
        <v>2161</v>
      </c>
    </row>
    <row r="3728" spans="1:11" x14ac:dyDescent="0.25">
      <c r="A3728" s="302" t="str">
        <f t="shared" ref="A3728:A3791" si="100">B3728&amp;"_"&amp;C3728&amp;"_"&amp;D3728&amp;"_"&amp;E3728</f>
        <v>Steam Traps_Industrial/Process Audit - 175 ≤ psig &lt; 250_CI/SMB_Conversion</v>
      </c>
      <c r="B3728" s="303" t="s">
        <v>644</v>
      </c>
      <c r="C3728" s="304" t="s">
        <v>1375</v>
      </c>
      <c r="D3728" s="303" t="s">
        <v>970</v>
      </c>
      <c r="E3728" s="305" t="s">
        <v>284</v>
      </c>
      <c r="F3728" s="305"/>
      <c r="G3728" s="354">
        <v>1000000</v>
      </c>
      <c r="H3728" s="305"/>
      <c r="I3728" s="305" t="s">
        <v>152</v>
      </c>
      <c r="J3728" s="305" t="s">
        <v>130</v>
      </c>
      <c r="K3728" s="305" t="s">
        <v>2161</v>
      </c>
    </row>
    <row r="3729" spans="1:11" x14ac:dyDescent="0.25">
      <c r="A3729" s="302" t="str">
        <f t="shared" si="100"/>
        <v>Steam Traps_Industrial/Process Audit - 175 ≤ psig &lt; 250_CI/SMB_E_water_supply</v>
      </c>
      <c r="B3729" s="303" t="s">
        <v>644</v>
      </c>
      <c r="C3729" s="304" t="s">
        <v>1375</v>
      </c>
      <c r="D3729" s="303" t="s">
        <v>970</v>
      </c>
      <c r="E3729" s="305" t="s">
        <v>457</v>
      </c>
      <c r="F3729" s="305"/>
      <c r="G3729" s="307">
        <v>2571</v>
      </c>
      <c r="H3729" s="305"/>
      <c r="I3729" s="305" t="s">
        <v>152</v>
      </c>
      <c r="J3729" s="305" t="s">
        <v>130</v>
      </c>
      <c r="K3729" s="305" t="s">
        <v>2161</v>
      </c>
    </row>
    <row r="3730" spans="1:11" x14ac:dyDescent="0.25">
      <c r="A3730" s="302" t="str">
        <f t="shared" si="100"/>
        <v>Steam Traps_Industrial/Process Audit - 175 ≤ psig &lt; 250_CI/SMB_Delta_kWh_water</v>
      </c>
      <c r="B3730" s="303" t="s">
        <v>644</v>
      </c>
      <c r="C3730" s="304" t="s">
        <v>1375</v>
      </c>
      <c r="D3730" s="303" t="s">
        <v>970</v>
      </c>
      <c r="E3730" s="305" t="s">
        <v>334</v>
      </c>
      <c r="F3730" s="305"/>
      <c r="G3730" s="307">
        <f>G3727/G3728*G3729</f>
        <v>209.94919691999996</v>
      </c>
      <c r="H3730" s="305"/>
      <c r="I3730" s="305" t="s">
        <v>152</v>
      </c>
      <c r="J3730" s="305" t="s">
        <v>130</v>
      </c>
      <c r="K3730" s="305" t="s">
        <v>2161</v>
      </c>
    </row>
    <row r="3731" spans="1:11" x14ac:dyDescent="0.25">
      <c r="A3731" s="302" t="str">
        <f t="shared" si="100"/>
        <v>Steam Traps_Industrial/Process Audit - 175 ≤ psig &lt; 250_CI/SMB_Sa</v>
      </c>
      <c r="B3731" s="303" t="s">
        <v>644</v>
      </c>
      <c r="C3731" s="304" t="s">
        <v>1375</v>
      </c>
      <c r="D3731" s="303" t="s">
        <v>970</v>
      </c>
      <c r="E3731" s="305" t="s">
        <v>507</v>
      </c>
      <c r="F3731" s="305"/>
      <c r="G3731" s="307">
        <v>82.1</v>
      </c>
      <c r="H3731" s="305" t="s">
        <v>227</v>
      </c>
      <c r="I3731" s="305" t="s">
        <v>152</v>
      </c>
      <c r="J3731" s="305" t="s">
        <v>130</v>
      </c>
      <c r="K3731" s="305" t="s">
        <v>2161</v>
      </c>
    </row>
    <row r="3732" spans="1:11" x14ac:dyDescent="0.25">
      <c r="A3732" s="302" t="str">
        <f t="shared" si="100"/>
        <v>Steam Traps_Industrial/Process Audit - 175 ≤ psig &lt; 250_CI/SMB_Hv</v>
      </c>
      <c r="B3732" s="303" t="s">
        <v>644</v>
      </c>
      <c r="C3732" s="304" t="s">
        <v>1375</v>
      </c>
      <c r="D3732" s="303" t="s">
        <v>970</v>
      </c>
      <c r="E3732" s="305" t="s">
        <v>508</v>
      </c>
      <c r="F3732" s="305"/>
      <c r="G3732" s="307">
        <v>837</v>
      </c>
      <c r="H3732" s="305" t="s">
        <v>227</v>
      </c>
      <c r="I3732" s="305" t="s">
        <v>152</v>
      </c>
      <c r="J3732" s="305" t="s">
        <v>130</v>
      </c>
      <c r="K3732" s="305" t="s">
        <v>2161</v>
      </c>
    </row>
    <row r="3733" spans="1:11" x14ac:dyDescent="0.25">
      <c r="A3733" s="302" t="str">
        <f t="shared" si="100"/>
        <v>Steam Traps_Industrial/Process Audit - 175 ≤ psig &lt; 250_CI/SMB_Hs</v>
      </c>
      <c r="B3733" s="303" t="s">
        <v>644</v>
      </c>
      <c r="C3733" s="304" t="s">
        <v>1375</v>
      </c>
      <c r="D3733" s="303" t="s">
        <v>970</v>
      </c>
      <c r="E3733" s="340" t="s">
        <v>509</v>
      </c>
      <c r="F3733" s="340"/>
      <c r="G3733" s="341">
        <v>1.0009999999999999</v>
      </c>
      <c r="H3733" s="340" t="s">
        <v>652</v>
      </c>
      <c r="I3733" s="305" t="s">
        <v>152</v>
      </c>
      <c r="J3733" s="305" t="s">
        <v>130</v>
      </c>
      <c r="K3733" s="305" t="s">
        <v>2161</v>
      </c>
    </row>
    <row r="3734" spans="1:11" x14ac:dyDescent="0.25">
      <c r="A3734" s="302" t="str">
        <f t="shared" si="100"/>
        <v>Steam Traps_Industrial/Process Audit - 175 ≤ psig &lt; 250_CI/SMB_507.89</v>
      </c>
      <c r="B3734" s="303" t="s">
        <v>644</v>
      </c>
      <c r="C3734" s="304" t="s">
        <v>1375</v>
      </c>
      <c r="D3734" s="303" t="s">
        <v>970</v>
      </c>
      <c r="E3734" s="342">
        <v>507.89</v>
      </c>
      <c r="F3734" s="340"/>
      <c r="G3734" s="341">
        <v>507.89</v>
      </c>
      <c r="H3734" s="340"/>
      <c r="I3734" s="305" t="s">
        <v>152</v>
      </c>
      <c r="J3734" s="305" t="s">
        <v>130</v>
      </c>
      <c r="K3734" s="305" t="s">
        <v>2161</v>
      </c>
    </row>
    <row r="3735" spans="1:11" x14ac:dyDescent="0.25">
      <c r="A3735" s="302" t="str">
        <f t="shared" si="100"/>
        <v>Steam Traps_Industrial/Process Audit - 175 ≤ psig &lt; 250_CI/SMB_P1</v>
      </c>
      <c r="B3735" s="303" t="s">
        <v>644</v>
      </c>
      <c r="C3735" s="304" t="s">
        <v>1375</v>
      </c>
      <c r="D3735" s="303" t="s">
        <v>970</v>
      </c>
      <c r="E3735" s="340" t="s">
        <v>510</v>
      </c>
      <c r="F3735" s="340"/>
      <c r="G3735" s="341">
        <f>202+14.696</f>
        <v>216.696</v>
      </c>
      <c r="H3735" s="340" t="s">
        <v>1371</v>
      </c>
      <c r="I3735" s="305" t="s">
        <v>152</v>
      </c>
      <c r="J3735" s="305" t="s">
        <v>130</v>
      </c>
      <c r="K3735" s="305" t="s">
        <v>2161</v>
      </c>
    </row>
    <row r="3736" spans="1:11" x14ac:dyDescent="0.25">
      <c r="A3736" s="302" t="str">
        <f t="shared" si="100"/>
        <v>Steam Traps_Industrial/Process Audit - 175 ≤ psig &lt; 250_CI/SMB_0.0962</v>
      </c>
      <c r="B3736" s="303" t="s">
        <v>644</v>
      </c>
      <c r="C3736" s="304" t="s">
        <v>1375</v>
      </c>
      <c r="D3736" s="303" t="s">
        <v>970</v>
      </c>
      <c r="E3736" s="340">
        <v>9.6199999999999994E-2</v>
      </c>
      <c r="F3736" s="340"/>
      <c r="G3736" s="343">
        <v>9.6199999999999994E-2</v>
      </c>
      <c r="H3736" s="340"/>
      <c r="I3736" s="305" t="s">
        <v>152</v>
      </c>
      <c r="J3736" s="305" t="s">
        <v>130</v>
      </c>
      <c r="K3736" s="305" t="s">
        <v>2161</v>
      </c>
    </row>
    <row r="3737" spans="1:11" x14ac:dyDescent="0.25">
      <c r="A3737" s="302" t="str">
        <f t="shared" si="100"/>
        <v>Steam Traps_Industrial/Process Audit - 175 ≤ psig &lt; 250_CI/SMB_T1</v>
      </c>
      <c r="B3737" s="303" t="s">
        <v>644</v>
      </c>
      <c r="C3737" s="304" t="s">
        <v>1375</v>
      </c>
      <c r="D3737" s="303" t="s">
        <v>970</v>
      </c>
      <c r="E3737" s="340" t="s">
        <v>511</v>
      </c>
      <c r="F3737" s="340"/>
      <c r="G3737" s="341">
        <f>G3734*(G3735^G3736)</f>
        <v>852.07636317855679</v>
      </c>
      <c r="H3737" s="340" t="s">
        <v>654</v>
      </c>
      <c r="I3737" s="305" t="s">
        <v>152</v>
      </c>
      <c r="J3737" s="305" t="s">
        <v>130</v>
      </c>
      <c r="K3737" s="305" t="s">
        <v>2161</v>
      </c>
    </row>
    <row r="3738" spans="1:11" x14ac:dyDescent="0.25">
      <c r="A3738" s="302" t="str">
        <f t="shared" si="100"/>
        <v>Steam Traps_Industrial/Process Audit - 175 ≤ psig &lt; 250_CI/SMB_Tsource</v>
      </c>
      <c r="B3738" s="303" t="s">
        <v>644</v>
      </c>
      <c r="C3738" s="304" t="s">
        <v>1375</v>
      </c>
      <c r="D3738" s="303" t="s">
        <v>970</v>
      </c>
      <c r="E3738" s="340" t="s">
        <v>512</v>
      </c>
      <c r="F3738" s="340"/>
      <c r="G3738" s="341">
        <v>513.66999999999996</v>
      </c>
      <c r="H3738" s="340" t="s">
        <v>655</v>
      </c>
      <c r="I3738" s="305" t="s">
        <v>152</v>
      </c>
      <c r="J3738" s="305" t="s">
        <v>130</v>
      </c>
      <c r="K3738" s="305" t="s">
        <v>2161</v>
      </c>
    </row>
    <row r="3739" spans="1:11" x14ac:dyDescent="0.25">
      <c r="A3739" s="302" t="str">
        <f t="shared" si="100"/>
        <v>Steam Traps_Industrial/Process Audit - 175 ≤ psig &lt; 250_CI/SMB_Hours of Operation</v>
      </c>
      <c r="B3739" s="303" t="s">
        <v>644</v>
      </c>
      <c r="C3739" s="304" t="s">
        <v>1375</v>
      </c>
      <c r="D3739" s="303" t="s">
        <v>970</v>
      </c>
      <c r="E3739" s="305" t="s">
        <v>460</v>
      </c>
      <c r="F3739" s="309" t="s">
        <v>647</v>
      </c>
      <c r="G3739" s="354">
        <v>8282</v>
      </c>
      <c r="H3739" s="305" t="s">
        <v>227</v>
      </c>
      <c r="I3739" s="305" t="s">
        <v>152</v>
      </c>
      <c r="J3739" s="305" t="s">
        <v>130</v>
      </c>
      <c r="K3739" s="305" t="s">
        <v>2161</v>
      </c>
    </row>
    <row r="3740" spans="1:11" x14ac:dyDescent="0.25">
      <c r="A3740" s="302" t="str">
        <f t="shared" si="100"/>
        <v>Steam Traps_Industrial/Process Audit - 175 ≤ psig &lt; 250_CI/SMB_L</v>
      </c>
      <c r="B3740" s="303" t="s">
        <v>644</v>
      </c>
      <c r="C3740" s="304" t="s">
        <v>1375</v>
      </c>
      <c r="D3740" s="303" t="s">
        <v>970</v>
      </c>
      <c r="E3740" s="305" t="s">
        <v>437</v>
      </c>
      <c r="F3740" s="309"/>
      <c r="G3740" s="306">
        <v>1</v>
      </c>
      <c r="H3740" s="305" t="s">
        <v>1280</v>
      </c>
      <c r="I3740" s="305" t="s">
        <v>152</v>
      </c>
      <c r="J3740" s="305" t="s">
        <v>130</v>
      </c>
      <c r="K3740" s="305" t="s">
        <v>2161</v>
      </c>
    </row>
    <row r="3741" spans="1:11" x14ac:dyDescent="0.25">
      <c r="A3741" s="302" t="str">
        <f t="shared" si="100"/>
        <v>Steam Traps_Industrial/Process Audit - 175 ≤ psig &lt; 250_CI/SMB_Conversion</v>
      </c>
      <c r="B3741" s="303" t="s">
        <v>644</v>
      </c>
      <c r="C3741" s="304" t="s">
        <v>1375</v>
      </c>
      <c r="D3741" s="303" t="s">
        <v>970</v>
      </c>
      <c r="E3741" s="305" t="s">
        <v>284</v>
      </c>
      <c r="F3741" s="309" t="s">
        <v>622</v>
      </c>
      <c r="G3741" s="325">
        <v>100000</v>
      </c>
      <c r="H3741" s="305"/>
      <c r="I3741" s="305" t="s">
        <v>152</v>
      </c>
      <c r="J3741" s="305" t="s">
        <v>130</v>
      </c>
      <c r="K3741" s="305" t="s">
        <v>2161</v>
      </c>
    </row>
    <row r="3742" spans="1:11" x14ac:dyDescent="0.25">
      <c r="A3742" s="302" t="str">
        <f t="shared" si="100"/>
        <v>Steam Traps_Industrial/Process Audit - 175 ≤ psig &lt; 250_CI/SMB_n_B</v>
      </c>
      <c r="B3742" s="303" t="s">
        <v>644</v>
      </c>
      <c r="C3742" s="304" t="s">
        <v>1375</v>
      </c>
      <c r="D3742" s="303" t="s">
        <v>970</v>
      </c>
      <c r="E3742" s="340" t="s">
        <v>657</v>
      </c>
      <c r="F3742" s="341"/>
      <c r="G3742" s="346">
        <v>0.80700000000000005</v>
      </c>
      <c r="H3742" s="340" t="s">
        <v>665</v>
      </c>
      <c r="I3742" s="305" t="s">
        <v>152</v>
      </c>
      <c r="J3742" s="305" t="s">
        <v>130</v>
      </c>
      <c r="K3742" s="305" t="s">
        <v>2161</v>
      </c>
    </row>
    <row r="3743" spans="1:11" x14ac:dyDescent="0.25">
      <c r="A3743" s="302" t="str">
        <f t="shared" si="100"/>
        <v>Steam Traps_Industrial/Process Audit - 175 ≤ psig &lt; 250_CI/SMB_kWh Saved per Unit</v>
      </c>
      <c r="B3743" s="303" t="s">
        <v>644</v>
      </c>
      <c r="C3743" s="304" t="s">
        <v>1375</v>
      </c>
      <c r="D3743" s="303" t="s">
        <v>970</v>
      </c>
      <c r="E3743" s="314" t="s">
        <v>255</v>
      </c>
      <c r="F3743" s="326"/>
      <c r="G3743" s="315">
        <f>G3730</f>
        <v>209.94919691999996</v>
      </c>
      <c r="H3743" s="305"/>
      <c r="I3743" s="305" t="s">
        <v>152</v>
      </c>
      <c r="J3743" s="305" t="s">
        <v>130</v>
      </c>
      <c r="K3743" s="305" t="s">
        <v>2161</v>
      </c>
    </row>
    <row r="3744" spans="1:11" x14ac:dyDescent="0.25">
      <c r="A3744" s="302" t="str">
        <f t="shared" si="100"/>
        <v>Steam Traps_Industrial/Process Audit - 175 ≤ psig &lt; 250_CI/SMB_Coincident Peak kW Saved per Unit</v>
      </c>
      <c r="B3744" s="303" t="s">
        <v>644</v>
      </c>
      <c r="C3744" s="304" t="s">
        <v>1375</v>
      </c>
      <c r="D3744" s="303" t="s">
        <v>970</v>
      </c>
      <c r="E3744" s="314" t="s">
        <v>257</v>
      </c>
      <c r="F3744" s="326"/>
      <c r="G3744" s="315">
        <v>0</v>
      </c>
      <c r="H3744" s="305"/>
      <c r="I3744" s="305" t="s">
        <v>152</v>
      </c>
      <c r="J3744" s="305" t="s">
        <v>130</v>
      </c>
      <c r="K3744" s="305" t="s">
        <v>2161</v>
      </c>
    </row>
    <row r="3745" spans="1:11" x14ac:dyDescent="0.25">
      <c r="A3745" s="302" t="str">
        <f t="shared" si="100"/>
        <v>Steam Traps_Industrial/Process Audit - 175 ≤ psig &lt; 250_CI/SMB_Therm Saved per Unit</v>
      </c>
      <c r="B3745" s="303" t="s">
        <v>644</v>
      </c>
      <c r="C3745" s="304" t="s">
        <v>1375</v>
      </c>
      <c r="D3745" s="303" t="s">
        <v>970</v>
      </c>
      <c r="E3745" s="314" t="s">
        <v>326</v>
      </c>
      <c r="F3745" s="326"/>
      <c r="G3745" s="315">
        <f xml:space="preserve"> G3731 * (G3732 + G3733 * (G3737 - G3738)) * G3739 * G3740 / (G3741 * G3742)</f>
        <v>9906.4466256306805</v>
      </c>
      <c r="H3745" s="305"/>
      <c r="I3745" s="305" t="s">
        <v>152</v>
      </c>
      <c r="J3745" s="305" t="s">
        <v>130</v>
      </c>
      <c r="K3745" s="305" t="s">
        <v>2161</v>
      </c>
    </row>
    <row r="3746" spans="1:11" x14ac:dyDescent="0.25">
      <c r="A3746" s="302" t="str">
        <f t="shared" si="100"/>
        <v>Steam Traps_Industrial/Process Audit - 175 ≤ psig &lt; 250_CI/SMB_Gallons Saved per Unit</v>
      </c>
      <c r="B3746" s="303" t="s">
        <v>644</v>
      </c>
      <c r="C3746" s="304" t="s">
        <v>1375</v>
      </c>
      <c r="D3746" s="303" t="s">
        <v>970</v>
      </c>
      <c r="E3746" s="314" t="s">
        <v>547</v>
      </c>
      <c r="F3746" s="326"/>
      <c r="G3746" s="315">
        <f>G3727</f>
        <v>81660.51999999999</v>
      </c>
      <c r="H3746" s="305"/>
      <c r="I3746" s="305" t="s">
        <v>152</v>
      </c>
      <c r="J3746" s="305" t="s">
        <v>130</v>
      </c>
      <c r="K3746" s="305" t="s">
        <v>2161</v>
      </c>
    </row>
    <row r="3747" spans="1:11" x14ac:dyDescent="0.25">
      <c r="A3747" s="302" t="str">
        <f t="shared" si="100"/>
        <v>Steam Traps_Industrial/Process Audit - 175 ≤ psig &lt; 250_CI/SMB_Lifetime (years)</v>
      </c>
      <c r="B3747" s="303" t="s">
        <v>644</v>
      </c>
      <c r="C3747" s="304" t="s">
        <v>1375</v>
      </c>
      <c r="D3747" s="303" t="s">
        <v>970</v>
      </c>
      <c r="E3747" s="314" t="s">
        <v>259</v>
      </c>
      <c r="F3747" s="326"/>
      <c r="G3747" s="315">
        <v>6</v>
      </c>
      <c r="H3747" s="305" t="s">
        <v>659</v>
      </c>
      <c r="I3747" s="305" t="s">
        <v>152</v>
      </c>
      <c r="J3747" s="305" t="s">
        <v>130</v>
      </c>
      <c r="K3747" s="305" t="s">
        <v>2161</v>
      </c>
    </row>
    <row r="3748" spans="1:11" x14ac:dyDescent="0.25">
      <c r="A3748" s="302" t="str">
        <f t="shared" si="100"/>
        <v>Steam Traps_Industrial/Process Audit - 175 ≤ psig &lt; 250_CI/SMB_Incremental Cost</v>
      </c>
      <c r="B3748" s="303" t="s">
        <v>644</v>
      </c>
      <c r="C3748" s="304" t="s">
        <v>1375</v>
      </c>
      <c r="D3748" s="303" t="s">
        <v>970</v>
      </c>
      <c r="E3748" s="314" t="s">
        <v>260</v>
      </c>
      <c r="F3748" s="326"/>
      <c r="G3748" s="315">
        <v>370</v>
      </c>
      <c r="H3748" s="305" t="s">
        <v>1373</v>
      </c>
      <c r="I3748" s="305" t="s">
        <v>152</v>
      </c>
      <c r="J3748" s="305" t="s">
        <v>130</v>
      </c>
      <c r="K3748" s="305" t="s">
        <v>2161</v>
      </c>
    </row>
    <row r="3749" spans="1:11" x14ac:dyDescent="0.25">
      <c r="A3749" s="317" t="str">
        <f t="shared" si="100"/>
        <v>Steam Traps_Industrial/Process Audit - 175 ≤ psig &lt; 250_CI/SMB_</v>
      </c>
      <c r="B3749" s="317" t="str">
        <f>B3748</f>
        <v>Steam Traps</v>
      </c>
      <c r="C3749" s="332" t="str">
        <f>C3748</f>
        <v>Industrial/Process Audit - 175 ≤ psig &lt; 250</v>
      </c>
      <c r="D3749" s="317" t="str">
        <f>D3748</f>
        <v>CI/SMB</v>
      </c>
      <c r="E3749" s="320"/>
      <c r="F3749" s="320"/>
      <c r="G3749" s="329"/>
      <c r="H3749" s="320"/>
      <c r="I3749" s="320"/>
      <c r="J3749" s="320"/>
      <c r="K3749" s="320"/>
    </row>
    <row r="3750" spans="1:11" x14ac:dyDescent="0.25">
      <c r="A3750" s="302" t="str">
        <f t="shared" si="100"/>
        <v>Steam Traps_Industrial/Process Audit - 250 ≤ psig_CI/SMB_GAL</v>
      </c>
      <c r="B3750" s="303" t="s">
        <v>644</v>
      </c>
      <c r="C3750" s="304" t="s">
        <v>1376</v>
      </c>
      <c r="D3750" s="303" t="s">
        <v>970</v>
      </c>
      <c r="E3750" s="305" t="s">
        <v>513</v>
      </c>
      <c r="F3750" s="309"/>
      <c r="G3750" s="306">
        <v>12.63</v>
      </c>
      <c r="H3750" s="305" t="s">
        <v>228</v>
      </c>
      <c r="I3750" s="305" t="s">
        <v>152</v>
      </c>
      <c r="J3750" s="305" t="s">
        <v>130</v>
      </c>
      <c r="K3750" s="305" t="s">
        <v>2161</v>
      </c>
    </row>
    <row r="3751" spans="1:11" x14ac:dyDescent="0.25">
      <c r="A3751" s="302" t="str">
        <f t="shared" si="100"/>
        <v>Steam Traps_Industrial/Process Audit - 250 ≤ psig_CI/SMB_Hours of Operation</v>
      </c>
      <c r="B3751" s="303" t="s">
        <v>644</v>
      </c>
      <c r="C3751" s="304" t="s">
        <v>1376</v>
      </c>
      <c r="D3751" s="303" t="s">
        <v>970</v>
      </c>
      <c r="E3751" s="305" t="s">
        <v>460</v>
      </c>
      <c r="F3751" s="309" t="s">
        <v>647</v>
      </c>
      <c r="G3751" s="354">
        <v>8282</v>
      </c>
      <c r="H3751" s="305" t="s">
        <v>228</v>
      </c>
      <c r="I3751" s="305" t="s">
        <v>152</v>
      </c>
      <c r="J3751" s="305" t="s">
        <v>130</v>
      </c>
      <c r="K3751" s="305" t="s">
        <v>2161</v>
      </c>
    </row>
    <row r="3752" spans="1:11" x14ac:dyDescent="0.25">
      <c r="A3752" s="302" t="str">
        <f t="shared" si="100"/>
        <v>Steam Traps_Industrial/Process Audit - 250 ≤ psig_CI/SMB_L</v>
      </c>
      <c r="B3752" s="303" t="s">
        <v>644</v>
      </c>
      <c r="C3752" s="304" t="s">
        <v>1376</v>
      </c>
      <c r="D3752" s="303" t="s">
        <v>970</v>
      </c>
      <c r="E3752" s="305" t="s">
        <v>437</v>
      </c>
      <c r="F3752" s="309"/>
      <c r="G3752" s="306">
        <v>1</v>
      </c>
      <c r="H3752" s="305" t="s">
        <v>1280</v>
      </c>
      <c r="I3752" s="305" t="s">
        <v>152</v>
      </c>
      <c r="J3752" s="305" t="s">
        <v>130</v>
      </c>
      <c r="K3752" s="305" t="s">
        <v>2161</v>
      </c>
    </row>
    <row r="3753" spans="1:11" x14ac:dyDescent="0.25">
      <c r="A3753" s="302" t="str">
        <f t="shared" si="100"/>
        <v>Steam Traps_Industrial/Process Audit - 250 ≤ psig_CI/SMB_Delta_Water_Gallons</v>
      </c>
      <c r="B3753" s="303" t="s">
        <v>644</v>
      </c>
      <c r="C3753" s="304" t="s">
        <v>1376</v>
      </c>
      <c r="D3753" s="303" t="s">
        <v>970</v>
      </c>
      <c r="E3753" s="305" t="s">
        <v>456</v>
      </c>
      <c r="F3753" s="305"/>
      <c r="G3753" s="307">
        <f>G3750*G3751*G3752</f>
        <v>104601.66</v>
      </c>
      <c r="H3753" s="305"/>
      <c r="I3753" s="305" t="s">
        <v>152</v>
      </c>
      <c r="J3753" s="305" t="s">
        <v>130</v>
      </c>
      <c r="K3753" s="305" t="s">
        <v>2161</v>
      </c>
    </row>
    <row r="3754" spans="1:11" x14ac:dyDescent="0.25">
      <c r="A3754" s="302" t="str">
        <f t="shared" si="100"/>
        <v>Steam Traps_Industrial/Process Audit - 250 ≤ psig_CI/SMB_Conversion</v>
      </c>
      <c r="B3754" s="303" t="s">
        <v>644</v>
      </c>
      <c r="C3754" s="304" t="s">
        <v>1376</v>
      </c>
      <c r="D3754" s="303" t="s">
        <v>970</v>
      </c>
      <c r="E3754" s="305" t="s">
        <v>284</v>
      </c>
      <c r="F3754" s="305"/>
      <c r="G3754" s="354">
        <v>1000000</v>
      </c>
      <c r="H3754" s="305"/>
      <c r="I3754" s="305" t="s">
        <v>152</v>
      </c>
      <c r="J3754" s="305" t="s">
        <v>130</v>
      </c>
      <c r="K3754" s="305" t="s">
        <v>2161</v>
      </c>
    </row>
    <row r="3755" spans="1:11" x14ac:dyDescent="0.25">
      <c r="A3755" s="302" t="str">
        <f t="shared" si="100"/>
        <v>Steam Traps_Industrial/Process Audit - 250 ≤ psig_CI/SMB_E_water_supply</v>
      </c>
      <c r="B3755" s="303" t="s">
        <v>644</v>
      </c>
      <c r="C3755" s="304" t="s">
        <v>1376</v>
      </c>
      <c r="D3755" s="303" t="s">
        <v>970</v>
      </c>
      <c r="E3755" s="305" t="s">
        <v>457</v>
      </c>
      <c r="F3755" s="305"/>
      <c r="G3755" s="307">
        <v>2571</v>
      </c>
      <c r="H3755" s="305"/>
      <c r="I3755" s="305" t="s">
        <v>152</v>
      </c>
      <c r="J3755" s="305" t="s">
        <v>130</v>
      </c>
      <c r="K3755" s="305" t="s">
        <v>2161</v>
      </c>
    </row>
    <row r="3756" spans="1:11" x14ac:dyDescent="0.25">
      <c r="A3756" s="302" t="str">
        <f t="shared" si="100"/>
        <v>Steam Traps_Industrial/Process Audit - 250 ≤ psig_CI/SMB_Delta_kWh_water</v>
      </c>
      <c r="B3756" s="303" t="s">
        <v>644</v>
      </c>
      <c r="C3756" s="304" t="s">
        <v>1376</v>
      </c>
      <c r="D3756" s="303" t="s">
        <v>970</v>
      </c>
      <c r="E3756" s="305" t="s">
        <v>334</v>
      </c>
      <c r="F3756" s="305"/>
      <c r="G3756" s="307">
        <f>G3753/G3754*G3755</f>
        <v>268.93086785999998</v>
      </c>
      <c r="H3756" s="305"/>
      <c r="I3756" s="305" t="s">
        <v>152</v>
      </c>
      <c r="J3756" s="305" t="s">
        <v>130</v>
      </c>
      <c r="K3756" s="305" t="s">
        <v>2161</v>
      </c>
    </row>
    <row r="3757" spans="1:11" x14ac:dyDescent="0.25">
      <c r="A3757" s="302" t="str">
        <f t="shared" si="100"/>
        <v>Steam Traps_Industrial/Process Audit - 250 ≤ psig_CI/SMB_Sa</v>
      </c>
      <c r="B3757" s="303" t="s">
        <v>644</v>
      </c>
      <c r="C3757" s="304" t="s">
        <v>1376</v>
      </c>
      <c r="D3757" s="303" t="s">
        <v>970</v>
      </c>
      <c r="E3757" s="305" t="s">
        <v>507</v>
      </c>
      <c r="F3757" s="305"/>
      <c r="G3757" s="307">
        <v>105.2</v>
      </c>
      <c r="H3757" s="305" t="s">
        <v>228</v>
      </c>
      <c r="I3757" s="305" t="s">
        <v>152</v>
      </c>
      <c r="J3757" s="305" t="s">
        <v>130</v>
      </c>
      <c r="K3757" s="305" t="s">
        <v>2161</v>
      </c>
    </row>
    <row r="3758" spans="1:11" x14ac:dyDescent="0.25">
      <c r="A3758" s="302" t="str">
        <f t="shared" si="100"/>
        <v>Steam Traps_Industrial/Process Audit - 250 ≤ psig_CI/SMB_Hv</v>
      </c>
      <c r="B3758" s="303" t="s">
        <v>644</v>
      </c>
      <c r="C3758" s="304" t="s">
        <v>1376</v>
      </c>
      <c r="D3758" s="303" t="s">
        <v>970</v>
      </c>
      <c r="E3758" s="305" t="s">
        <v>508</v>
      </c>
      <c r="F3758" s="305"/>
      <c r="G3758" s="307">
        <v>816</v>
      </c>
      <c r="H3758" s="305" t="s">
        <v>228</v>
      </c>
      <c r="I3758" s="305" t="s">
        <v>152</v>
      </c>
      <c r="J3758" s="305" t="s">
        <v>130</v>
      </c>
      <c r="K3758" s="305" t="s">
        <v>2161</v>
      </c>
    </row>
    <row r="3759" spans="1:11" x14ac:dyDescent="0.25">
      <c r="A3759" s="302" t="str">
        <f t="shared" si="100"/>
        <v>Steam Traps_Industrial/Process Audit - 250 ≤ psig_CI/SMB_Hs</v>
      </c>
      <c r="B3759" s="303" t="s">
        <v>644</v>
      </c>
      <c r="C3759" s="304" t="s">
        <v>1376</v>
      </c>
      <c r="D3759" s="303" t="s">
        <v>970</v>
      </c>
      <c r="E3759" s="340" t="s">
        <v>509</v>
      </c>
      <c r="F3759" s="340"/>
      <c r="G3759" s="341">
        <v>1.0009999999999999</v>
      </c>
      <c r="H3759" s="340" t="s">
        <v>652</v>
      </c>
      <c r="I3759" s="305" t="s">
        <v>152</v>
      </c>
      <c r="J3759" s="305" t="s">
        <v>130</v>
      </c>
      <c r="K3759" s="305" t="s">
        <v>2161</v>
      </c>
    </row>
    <row r="3760" spans="1:11" x14ac:dyDescent="0.25">
      <c r="A3760" s="302" t="str">
        <f t="shared" si="100"/>
        <v>Steam Traps_Industrial/Process Audit - 250 ≤ psig_CI/SMB_507.89</v>
      </c>
      <c r="B3760" s="303" t="s">
        <v>644</v>
      </c>
      <c r="C3760" s="304" t="s">
        <v>1376</v>
      </c>
      <c r="D3760" s="303" t="s">
        <v>970</v>
      </c>
      <c r="E3760" s="342">
        <v>507.89</v>
      </c>
      <c r="F3760" s="340"/>
      <c r="G3760" s="341">
        <v>507.89</v>
      </c>
      <c r="H3760" s="340"/>
      <c r="I3760" s="305" t="s">
        <v>152</v>
      </c>
      <c r="J3760" s="305" t="s">
        <v>130</v>
      </c>
      <c r="K3760" s="305" t="s">
        <v>2161</v>
      </c>
    </row>
    <row r="3761" spans="1:11" x14ac:dyDescent="0.25">
      <c r="A3761" s="302" t="str">
        <f t="shared" si="100"/>
        <v>Steam Traps_Industrial/Process Audit - 250 ≤ psig_CI/SMB_P1</v>
      </c>
      <c r="B3761" s="303" t="s">
        <v>644</v>
      </c>
      <c r="C3761" s="304" t="s">
        <v>1376</v>
      </c>
      <c r="D3761" s="303" t="s">
        <v>970</v>
      </c>
      <c r="E3761" s="340" t="s">
        <v>510</v>
      </c>
      <c r="F3761" s="340"/>
      <c r="G3761" s="341">
        <f>263+14.696</f>
        <v>277.69600000000003</v>
      </c>
      <c r="H3761" s="340" t="s">
        <v>1371</v>
      </c>
      <c r="I3761" s="305" t="s">
        <v>152</v>
      </c>
      <c r="J3761" s="305" t="s">
        <v>130</v>
      </c>
      <c r="K3761" s="305" t="s">
        <v>2161</v>
      </c>
    </row>
    <row r="3762" spans="1:11" x14ac:dyDescent="0.25">
      <c r="A3762" s="302" t="str">
        <f t="shared" si="100"/>
        <v>Steam Traps_Industrial/Process Audit - 250 ≤ psig_CI/SMB_0.0962</v>
      </c>
      <c r="B3762" s="303" t="s">
        <v>644</v>
      </c>
      <c r="C3762" s="304" t="s">
        <v>1376</v>
      </c>
      <c r="D3762" s="303" t="s">
        <v>970</v>
      </c>
      <c r="E3762" s="340">
        <v>9.6199999999999994E-2</v>
      </c>
      <c r="F3762" s="340"/>
      <c r="G3762" s="343">
        <v>9.6199999999999994E-2</v>
      </c>
      <c r="H3762" s="340"/>
      <c r="I3762" s="305" t="s">
        <v>152</v>
      </c>
      <c r="J3762" s="305" t="s">
        <v>130</v>
      </c>
      <c r="K3762" s="305" t="s">
        <v>2161</v>
      </c>
    </row>
    <row r="3763" spans="1:11" x14ac:dyDescent="0.25">
      <c r="A3763" s="302" t="str">
        <f t="shared" si="100"/>
        <v>Steam Traps_Industrial/Process Audit - 250 ≤ psig_CI/SMB_T1</v>
      </c>
      <c r="B3763" s="303" t="s">
        <v>644</v>
      </c>
      <c r="C3763" s="304" t="s">
        <v>1376</v>
      </c>
      <c r="D3763" s="303" t="s">
        <v>970</v>
      </c>
      <c r="E3763" s="340" t="s">
        <v>511</v>
      </c>
      <c r="F3763" s="340"/>
      <c r="G3763" s="341">
        <f>G3760*(G3761^G3762)</f>
        <v>872.65194259288455</v>
      </c>
      <c r="H3763" s="340" t="s">
        <v>654</v>
      </c>
      <c r="I3763" s="305" t="s">
        <v>152</v>
      </c>
      <c r="J3763" s="305" t="s">
        <v>130</v>
      </c>
      <c r="K3763" s="305" t="s">
        <v>2161</v>
      </c>
    </row>
    <row r="3764" spans="1:11" x14ac:dyDescent="0.25">
      <c r="A3764" s="302" t="str">
        <f t="shared" si="100"/>
        <v>Steam Traps_Industrial/Process Audit - 250 ≤ psig_CI/SMB_Tsource</v>
      </c>
      <c r="B3764" s="303" t="s">
        <v>644</v>
      </c>
      <c r="C3764" s="304" t="s">
        <v>1376</v>
      </c>
      <c r="D3764" s="303" t="s">
        <v>970</v>
      </c>
      <c r="E3764" s="340" t="s">
        <v>512</v>
      </c>
      <c r="F3764" s="340"/>
      <c r="G3764" s="341">
        <v>513.66999999999996</v>
      </c>
      <c r="H3764" s="340" t="s">
        <v>655</v>
      </c>
      <c r="I3764" s="305" t="s">
        <v>152</v>
      </c>
      <c r="J3764" s="305" t="s">
        <v>130</v>
      </c>
      <c r="K3764" s="305" t="s">
        <v>2161</v>
      </c>
    </row>
    <row r="3765" spans="1:11" x14ac:dyDescent="0.25">
      <c r="A3765" s="302" t="str">
        <f t="shared" si="100"/>
        <v>Steam Traps_Industrial/Process Audit - 250 ≤ psig_CI/SMB_Hours of Operation</v>
      </c>
      <c r="B3765" s="303" t="s">
        <v>644</v>
      </c>
      <c r="C3765" s="304" t="s">
        <v>1376</v>
      </c>
      <c r="D3765" s="303" t="s">
        <v>970</v>
      </c>
      <c r="E3765" s="305" t="s">
        <v>460</v>
      </c>
      <c r="F3765" s="309" t="s">
        <v>647</v>
      </c>
      <c r="G3765" s="354">
        <v>8282</v>
      </c>
      <c r="H3765" s="305" t="s">
        <v>228</v>
      </c>
      <c r="I3765" s="305" t="s">
        <v>152</v>
      </c>
      <c r="J3765" s="305" t="s">
        <v>130</v>
      </c>
      <c r="K3765" s="305" t="s">
        <v>2161</v>
      </c>
    </row>
    <row r="3766" spans="1:11" x14ac:dyDescent="0.25">
      <c r="A3766" s="302" t="str">
        <f t="shared" si="100"/>
        <v>Steam Traps_Industrial/Process Audit - 250 ≤ psig_CI/SMB_L</v>
      </c>
      <c r="B3766" s="303" t="s">
        <v>644</v>
      </c>
      <c r="C3766" s="304" t="s">
        <v>1376</v>
      </c>
      <c r="D3766" s="303" t="s">
        <v>970</v>
      </c>
      <c r="E3766" s="305" t="s">
        <v>437</v>
      </c>
      <c r="F3766" s="309"/>
      <c r="G3766" s="306">
        <v>1</v>
      </c>
      <c r="H3766" s="305" t="s">
        <v>1280</v>
      </c>
      <c r="I3766" s="305" t="s">
        <v>152</v>
      </c>
      <c r="J3766" s="305" t="s">
        <v>130</v>
      </c>
      <c r="K3766" s="305" t="s">
        <v>2161</v>
      </c>
    </row>
    <row r="3767" spans="1:11" x14ac:dyDescent="0.25">
      <c r="A3767" s="302" t="str">
        <f t="shared" si="100"/>
        <v>Steam Traps_Industrial/Process Audit - 250 ≤ psig_CI/SMB_Conversion</v>
      </c>
      <c r="B3767" s="303" t="s">
        <v>644</v>
      </c>
      <c r="C3767" s="304" t="s">
        <v>1376</v>
      </c>
      <c r="D3767" s="303" t="s">
        <v>970</v>
      </c>
      <c r="E3767" s="305" t="s">
        <v>284</v>
      </c>
      <c r="F3767" s="309" t="s">
        <v>622</v>
      </c>
      <c r="G3767" s="325">
        <v>100000</v>
      </c>
      <c r="H3767" s="305"/>
      <c r="I3767" s="305" t="s">
        <v>152</v>
      </c>
      <c r="J3767" s="305" t="s">
        <v>130</v>
      </c>
      <c r="K3767" s="305" t="s">
        <v>2161</v>
      </c>
    </row>
    <row r="3768" spans="1:11" x14ac:dyDescent="0.25">
      <c r="A3768" s="302" t="str">
        <f t="shared" si="100"/>
        <v>Steam Traps_Industrial/Process Audit - 250 ≤ psig_CI/SMB_n_B</v>
      </c>
      <c r="B3768" s="303" t="s">
        <v>644</v>
      </c>
      <c r="C3768" s="304" t="s">
        <v>1376</v>
      </c>
      <c r="D3768" s="303" t="s">
        <v>970</v>
      </c>
      <c r="E3768" s="340" t="s">
        <v>657</v>
      </c>
      <c r="F3768" s="341"/>
      <c r="G3768" s="346">
        <v>0.80700000000000005</v>
      </c>
      <c r="H3768" s="340" t="s">
        <v>665</v>
      </c>
      <c r="I3768" s="305" t="s">
        <v>152</v>
      </c>
      <c r="J3768" s="305" t="s">
        <v>130</v>
      </c>
      <c r="K3768" s="305" t="s">
        <v>2161</v>
      </c>
    </row>
    <row r="3769" spans="1:11" x14ac:dyDescent="0.25">
      <c r="A3769" s="302" t="str">
        <f t="shared" si="100"/>
        <v>Steam Traps_Industrial/Process Audit - 250 ≤ psig_CI/SMB_kWh Saved per Unit</v>
      </c>
      <c r="B3769" s="303" t="s">
        <v>644</v>
      </c>
      <c r="C3769" s="304" t="s">
        <v>1376</v>
      </c>
      <c r="D3769" s="303" t="s">
        <v>970</v>
      </c>
      <c r="E3769" s="314" t="s">
        <v>255</v>
      </c>
      <c r="F3769" s="326"/>
      <c r="G3769" s="315">
        <f>G3756</f>
        <v>268.93086785999998</v>
      </c>
      <c r="H3769" s="305"/>
      <c r="I3769" s="305" t="s">
        <v>152</v>
      </c>
      <c r="J3769" s="305" t="s">
        <v>130</v>
      </c>
      <c r="K3769" s="305" t="s">
        <v>2161</v>
      </c>
    </row>
    <row r="3770" spans="1:11" x14ac:dyDescent="0.25">
      <c r="A3770" s="302" t="str">
        <f t="shared" si="100"/>
        <v>Steam Traps_Industrial/Process Audit - 250 ≤ psig_CI/SMB_Coincident Peak kW Saved per Unit</v>
      </c>
      <c r="B3770" s="303" t="s">
        <v>644</v>
      </c>
      <c r="C3770" s="304" t="s">
        <v>1376</v>
      </c>
      <c r="D3770" s="303" t="s">
        <v>970</v>
      </c>
      <c r="E3770" s="314" t="s">
        <v>257</v>
      </c>
      <c r="F3770" s="326"/>
      <c r="G3770" s="315">
        <v>0</v>
      </c>
      <c r="H3770" s="305"/>
      <c r="I3770" s="305" t="s">
        <v>152</v>
      </c>
      <c r="J3770" s="305" t="s">
        <v>130</v>
      </c>
      <c r="K3770" s="305" t="s">
        <v>2161</v>
      </c>
    </row>
    <row r="3771" spans="1:11" x14ac:dyDescent="0.25">
      <c r="A3771" s="302" t="str">
        <f t="shared" si="100"/>
        <v>Steam Traps_Industrial/Process Audit - 250 ≤ psig_CI/SMB_Therm Saved per Unit</v>
      </c>
      <c r="B3771" s="303" t="s">
        <v>644</v>
      </c>
      <c r="C3771" s="304" t="s">
        <v>1376</v>
      </c>
      <c r="D3771" s="303" t="s">
        <v>970</v>
      </c>
      <c r="E3771" s="314" t="s">
        <v>326</v>
      </c>
      <c r="F3771" s="326"/>
      <c r="G3771" s="315">
        <f xml:space="preserve"> G3757 * (G3758 + G3759 * (G3763 - G3764)) * G3765 * G3766 / (G3767 * G3768)</f>
        <v>12689.405899537758</v>
      </c>
      <c r="H3771" s="305"/>
      <c r="I3771" s="305" t="s">
        <v>152</v>
      </c>
      <c r="J3771" s="305" t="s">
        <v>130</v>
      </c>
      <c r="K3771" s="305" t="s">
        <v>2161</v>
      </c>
    </row>
    <row r="3772" spans="1:11" x14ac:dyDescent="0.25">
      <c r="A3772" s="302" t="str">
        <f t="shared" si="100"/>
        <v>Steam Traps_Industrial/Process Audit - 250 ≤ psig_CI/SMB_Gallons Saved per Unit</v>
      </c>
      <c r="B3772" s="303" t="s">
        <v>644</v>
      </c>
      <c r="C3772" s="304" t="s">
        <v>1376</v>
      </c>
      <c r="D3772" s="303" t="s">
        <v>970</v>
      </c>
      <c r="E3772" s="314" t="s">
        <v>547</v>
      </c>
      <c r="F3772" s="326"/>
      <c r="G3772" s="315">
        <f>G3753</f>
        <v>104601.66</v>
      </c>
      <c r="H3772" s="305"/>
      <c r="I3772" s="305" t="s">
        <v>152</v>
      </c>
      <c r="J3772" s="305" t="s">
        <v>130</v>
      </c>
      <c r="K3772" s="305" t="s">
        <v>2161</v>
      </c>
    </row>
    <row r="3773" spans="1:11" x14ac:dyDescent="0.25">
      <c r="A3773" s="302" t="str">
        <f t="shared" si="100"/>
        <v>Steam Traps_Industrial/Process Audit - 250 ≤ psig_CI/SMB_Lifetime (years)</v>
      </c>
      <c r="B3773" s="303" t="s">
        <v>644</v>
      </c>
      <c r="C3773" s="304" t="s">
        <v>1376</v>
      </c>
      <c r="D3773" s="303" t="s">
        <v>970</v>
      </c>
      <c r="E3773" s="314" t="s">
        <v>259</v>
      </c>
      <c r="F3773" s="326"/>
      <c r="G3773" s="315">
        <v>6</v>
      </c>
      <c r="H3773" s="305" t="s">
        <v>659</v>
      </c>
      <c r="I3773" s="305" t="s">
        <v>152</v>
      </c>
      <c r="J3773" s="305" t="s">
        <v>130</v>
      </c>
      <c r="K3773" s="305" t="s">
        <v>2161</v>
      </c>
    </row>
    <row r="3774" spans="1:11" x14ac:dyDescent="0.25">
      <c r="A3774" s="302" t="str">
        <f t="shared" si="100"/>
        <v>Steam Traps_Industrial/Process Audit - 250 ≤ psig_CI/SMB_Incremental Cost</v>
      </c>
      <c r="B3774" s="303" t="s">
        <v>644</v>
      </c>
      <c r="C3774" s="304" t="s">
        <v>1376</v>
      </c>
      <c r="D3774" s="303" t="s">
        <v>970</v>
      </c>
      <c r="E3774" s="314" t="s">
        <v>260</v>
      </c>
      <c r="F3774" s="326"/>
      <c r="G3774" s="315">
        <v>418</v>
      </c>
      <c r="H3774" s="305" t="s">
        <v>1373</v>
      </c>
      <c r="I3774" s="305" t="s">
        <v>152</v>
      </c>
      <c r="J3774" s="305" t="s">
        <v>130</v>
      </c>
      <c r="K3774" s="305" t="s">
        <v>2161</v>
      </c>
    </row>
    <row r="3775" spans="1:11" x14ac:dyDescent="0.25">
      <c r="A3775" s="317" t="str">
        <f t="shared" si="100"/>
        <v>Steam Traps_Industrial/Process Audit - 250 ≤ psig_CI/SMB_</v>
      </c>
      <c r="B3775" s="317" t="str">
        <f>B3774</f>
        <v>Steam Traps</v>
      </c>
      <c r="C3775" s="332" t="str">
        <f>C3774</f>
        <v>Industrial/Process Audit - 250 ≤ psig</v>
      </c>
      <c r="D3775" s="317" t="str">
        <f>D3774</f>
        <v>CI/SMB</v>
      </c>
      <c r="E3775" s="320"/>
      <c r="F3775" s="320"/>
      <c r="G3775" s="329"/>
      <c r="H3775" s="320"/>
      <c r="I3775" s="320"/>
      <c r="J3775" s="320"/>
      <c r="K3775" s="320"/>
    </row>
    <row r="3776" spans="1:11" x14ac:dyDescent="0.25">
      <c r="A3776" s="302" t="str">
        <f t="shared" si="100"/>
        <v>Steam Traps_Industrial/Process Audit - psig ≤ 15_MF_GAL</v>
      </c>
      <c r="B3776" s="303" t="s">
        <v>644</v>
      </c>
      <c r="C3776" s="304" t="s">
        <v>1383</v>
      </c>
      <c r="D3776" s="303" t="s">
        <v>553</v>
      </c>
      <c r="E3776" s="305" t="s">
        <v>513</v>
      </c>
      <c r="F3776" s="309"/>
      <c r="G3776" s="306">
        <v>0.83</v>
      </c>
      <c r="H3776" s="305" t="s">
        <v>1367</v>
      </c>
      <c r="I3776" s="305" t="s">
        <v>152</v>
      </c>
      <c r="J3776" s="305" t="s">
        <v>130</v>
      </c>
      <c r="K3776" s="305" t="s">
        <v>2161</v>
      </c>
    </row>
    <row r="3777" spans="1:11" x14ac:dyDescent="0.25">
      <c r="A3777" s="302" t="str">
        <f t="shared" si="100"/>
        <v>Steam Traps_Industrial/Process Audit - psig ≤ 15_MF_Hours of Operation</v>
      </c>
      <c r="B3777" s="303" t="s">
        <v>644</v>
      </c>
      <c r="C3777" s="304" t="s">
        <v>1383</v>
      </c>
      <c r="D3777" s="303" t="s">
        <v>553</v>
      </c>
      <c r="E3777" s="305" t="s">
        <v>460</v>
      </c>
      <c r="F3777" s="309" t="s">
        <v>647</v>
      </c>
      <c r="G3777" s="354">
        <v>8282</v>
      </c>
      <c r="H3777" s="305" t="s">
        <v>1367</v>
      </c>
      <c r="I3777" s="305" t="s">
        <v>152</v>
      </c>
      <c r="J3777" s="305" t="s">
        <v>130</v>
      </c>
      <c r="K3777" s="305" t="s">
        <v>2161</v>
      </c>
    </row>
    <row r="3778" spans="1:11" x14ac:dyDescent="0.25">
      <c r="A3778" s="302" t="str">
        <f t="shared" si="100"/>
        <v>Steam Traps_Industrial/Process Audit - psig ≤ 15_MF_L</v>
      </c>
      <c r="B3778" s="303" t="s">
        <v>644</v>
      </c>
      <c r="C3778" s="304" t="s">
        <v>1383</v>
      </c>
      <c r="D3778" s="303" t="s">
        <v>553</v>
      </c>
      <c r="E3778" s="305" t="s">
        <v>437</v>
      </c>
      <c r="F3778" s="309"/>
      <c r="G3778" s="306">
        <v>1</v>
      </c>
      <c r="H3778" s="305" t="s">
        <v>1280</v>
      </c>
      <c r="I3778" s="305" t="s">
        <v>152</v>
      </c>
      <c r="J3778" s="305" t="s">
        <v>130</v>
      </c>
      <c r="K3778" s="305" t="s">
        <v>2161</v>
      </c>
    </row>
    <row r="3779" spans="1:11" x14ac:dyDescent="0.25">
      <c r="A3779" s="302" t="str">
        <f t="shared" si="100"/>
        <v>Steam Traps_Industrial/Process Audit - psig ≤ 15_MF_Delta_Water_Gallons</v>
      </c>
      <c r="B3779" s="303" t="s">
        <v>644</v>
      </c>
      <c r="C3779" s="304" t="s">
        <v>1383</v>
      </c>
      <c r="D3779" s="303" t="s">
        <v>553</v>
      </c>
      <c r="E3779" s="305" t="s">
        <v>456</v>
      </c>
      <c r="F3779" s="305"/>
      <c r="G3779" s="307">
        <f>G3776*G3777*G3778</f>
        <v>6874.0599999999995</v>
      </c>
      <c r="H3779" s="305"/>
      <c r="I3779" s="305" t="s">
        <v>152</v>
      </c>
      <c r="J3779" s="305" t="s">
        <v>130</v>
      </c>
      <c r="K3779" s="305" t="s">
        <v>2161</v>
      </c>
    </row>
    <row r="3780" spans="1:11" x14ac:dyDescent="0.25">
      <c r="A3780" s="302" t="str">
        <f t="shared" si="100"/>
        <v>Steam Traps_Industrial/Process Audit - psig ≤ 15_MF_Conversion</v>
      </c>
      <c r="B3780" s="303" t="s">
        <v>644</v>
      </c>
      <c r="C3780" s="304" t="s">
        <v>1383</v>
      </c>
      <c r="D3780" s="303" t="s">
        <v>553</v>
      </c>
      <c r="E3780" s="305" t="s">
        <v>284</v>
      </c>
      <c r="F3780" s="305"/>
      <c r="G3780" s="354">
        <v>1000000</v>
      </c>
      <c r="H3780" s="305"/>
      <c r="I3780" s="305" t="s">
        <v>152</v>
      </c>
      <c r="J3780" s="305" t="s">
        <v>130</v>
      </c>
      <c r="K3780" s="305" t="s">
        <v>2161</v>
      </c>
    </row>
    <row r="3781" spans="1:11" x14ac:dyDescent="0.25">
      <c r="A3781" s="302" t="str">
        <f t="shared" si="100"/>
        <v>Steam Traps_Industrial/Process Audit - psig ≤ 15_MF_E_water_supply</v>
      </c>
      <c r="B3781" s="303" t="s">
        <v>644</v>
      </c>
      <c r="C3781" s="304" t="s">
        <v>1383</v>
      </c>
      <c r="D3781" s="303" t="s">
        <v>553</v>
      </c>
      <c r="E3781" s="305" t="s">
        <v>457</v>
      </c>
      <c r="F3781" s="305"/>
      <c r="G3781" s="307">
        <v>2571</v>
      </c>
      <c r="H3781" s="305"/>
      <c r="I3781" s="305" t="s">
        <v>152</v>
      </c>
      <c r="J3781" s="305" t="s">
        <v>130</v>
      </c>
      <c r="K3781" s="305" t="s">
        <v>2161</v>
      </c>
    </row>
    <row r="3782" spans="1:11" x14ac:dyDescent="0.25">
      <c r="A3782" s="302" t="str">
        <f t="shared" si="100"/>
        <v>Steam Traps_Industrial/Process Audit - psig ≤ 15_MF_Delta_kWh_water</v>
      </c>
      <c r="B3782" s="303" t="s">
        <v>644</v>
      </c>
      <c r="C3782" s="304" t="s">
        <v>1383</v>
      </c>
      <c r="D3782" s="303" t="s">
        <v>553</v>
      </c>
      <c r="E3782" s="305" t="s">
        <v>334</v>
      </c>
      <c r="F3782" s="305"/>
      <c r="G3782" s="307">
        <f>G3779/G3780*G3781</f>
        <v>17.673208259999999</v>
      </c>
      <c r="H3782" s="305"/>
      <c r="I3782" s="305" t="s">
        <v>152</v>
      </c>
      <c r="J3782" s="305" t="s">
        <v>130</v>
      </c>
      <c r="K3782" s="305" t="s">
        <v>2161</v>
      </c>
    </row>
    <row r="3783" spans="1:11" x14ac:dyDescent="0.25">
      <c r="A3783" s="302" t="str">
        <f t="shared" si="100"/>
        <v>Steam Traps_Industrial/Process Audit - psig ≤ 15_MF_Sa</v>
      </c>
      <c r="B3783" s="303" t="s">
        <v>644</v>
      </c>
      <c r="C3783" s="304" t="s">
        <v>1383</v>
      </c>
      <c r="D3783" s="303" t="s">
        <v>553</v>
      </c>
      <c r="E3783" s="305" t="s">
        <v>507</v>
      </c>
      <c r="F3783" s="305"/>
      <c r="G3783" s="401">
        <v>13.8</v>
      </c>
      <c r="H3783" s="305" t="s">
        <v>2006</v>
      </c>
      <c r="I3783" s="305" t="s">
        <v>152</v>
      </c>
      <c r="J3783" s="305" t="s">
        <v>130</v>
      </c>
      <c r="K3783" s="305" t="s">
        <v>2161</v>
      </c>
    </row>
    <row r="3784" spans="1:11" x14ac:dyDescent="0.25">
      <c r="A3784" s="302" t="str">
        <f t="shared" si="100"/>
        <v>Steam Traps_Industrial/Process Audit - psig ≤ 15_MF_Hv</v>
      </c>
      <c r="B3784" s="303" t="s">
        <v>644</v>
      </c>
      <c r="C3784" s="304" t="s">
        <v>1383</v>
      </c>
      <c r="D3784" s="303" t="s">
        <v>553</v>
      </c>
      <c r="E3784" s="305" t="s">
        <v>508</v>
      </c>
      <c r="F3784" s="305"/>
      <c r="G3784" s="307">
        <v>951</v>
      </c>
      <c r="H3784" s="305" t="s">
        <v>1367</v>
      </c>
      <c r="I3784" s="305" t="s">
        <v>152</v>
      </c>
      <c r="J3784" s="305" t="s">
        <v>130</v>
      </c>
      <c r="K3784" s="305" t="s">
        <v>2161</v>
      </c>
    </row>
    <row r="3785" spans="1:11" x14ac:dyDescent="0.25">
      <c r="A3785" s="302" t="str">
        <f t="shared" si="100"/>
        <v>Steam Traps_Industrial/Process Audit - psig ≤ 15_MF_Hs</v>
      </c>
      <c r="B3785" s="303" t="s">
        <v>644</v>
      </c>
      <c r="C3785" s="304" t="s">
        <v>1383</v>
      </c>
      <c r="D3785" s="303" t="s">
        <v>553</v>
      </c>
      <c r="E3785" s="340" t="s">
        <v>509</v>
      </c>
      <c r="F3785" s="340"/>
      <c r="G3785" s="341">
        <v>1.0009999999999999</v>
      </c>
      <c r="H3785" s="340" t="s">
        <v>652</v>
      </c>
      <c r="I3785" s="305" t="s">
        <v>152</v>
      </c>
      <c r="J3785" s="305" t="s">
        <v>130</v>
      </c>
      <c r="K3785" s="305" t="s">
        <v>2161</v>
      </c>
    </row>
    <row r="3786" spans="1:11" x14ac:dyDescent="0.25">
      <c r="A3786" s="302" t="str">
        <f t="shared" si="100"/>
        <v>Steam Traps_Industrial/Process Audit - psig ≤ 15_MF_507.89</v>
      </c>
      <c r="B3786" s="303" t="s">
        <v>644</v>
      </c>
      <c r="C3786" s="304" t="s">
        <v>1383</v>
      </c>
      <c r="D3786" s="303" t="s">
        <v>553</v>
      </c>
      <c r="E3786" s="342">
        <v>507.89</v>
      </c>
      <c r="F3786" s="340"/>
      <c r="G3786" s="341">
        <v>507.89</v>
      </c>
      <c r="H3786" s="340"/>
      <c r="I3786" s="305" t="s">
        <v>152</v>
      </c>
      <c r="J3786" s="305" t="s">
        <v>130</v>
      </c>
      <c r="K3786" s="305" t="s">
        <v>2161</v>
      </c>
    </row>
    <row r="3787" spans="1:11" x14ac:dyDescent="0.25">
      <c r="A3787" s="302" t="str">
        <f t="shared" si="100"/>
        <v>Steam Traps_Industrial/Process Audit - psig ≤ 15_MF_P1</v>
      </c>
      <c r="B3787" s="303" t="s">
        <v>644</v>
      </c>
      <c r="C3787" s="304" t="s">
        <v>1383</v>
      </c>
      <c r="D3787" s="303" t="s">
        <v>553</v>
      </c>
      <c r="E3787" s="340" t="s">
        <v>510</v>
      </c>
      <c r="F3787" s="340"/>
      <c r="G3787" s="401">
        <f>11.2+14.696</f>
        <v>25.896000000000001</v>
      </c>
      <c r="H3787" s="340" t="s">
        <v>653</v>
      </c>
      <c r="I3787" s="305" t="s">
        <v>152</v>
      </c>
      <c r="J3787" s="305" t="s">
        <v>130</v>
      </c>
      <c r="K3787" s="305" t="s">
        <v>2161</v>
      </c>
    </row>
    <row r="3788" spans="1:11" x14ac:dyDescent="0.25">
      <c r="A3788" s="302" t="str">
        <f t="shared" si="100"/>
        <v>Steam Traps_Industrial/Process Audit - psig ≤ 15_MF_0.0962</v>
      </c>
      <c r="B3788" s="303" t="s">
        <v>644</v>
      </c>
      <c r="C3788" s="304" t="s">
        <v>1383</v>
      </c>
      <c r="D3788" s="303" t="s">
        <v>553</v>
      </c>
      <c r="E3788" s="340">
        <v>9.6199999999999994E-2</v>
      </c>
      <c r="F3788" s="340"/>
      <c r="G3788" s="343">
        <v>9.6199999999999994E-2</v>
      </c>
      <c r="H3788" s="340"/>
      <c r="I3788" s="305" t="s">
        <v>152</v>
      </c>
      <c r="J3788" s="305" t="s">
        <v>130</v>
      </c>
      <c r="K3788" s="305" t="s">
        <v>2161</v>
      </c>
    </row>
    <row r="3789" spans="1:11" x14ac:dyDescent="0.25">
      <c r="A3789" s="302" t="str">
        <f t="shared" si="100"/>
        <v>Steam Traps_Industrial/Process Audit - psig ≤ 15_MF_T1</v>
      </c>
      <c r="B3789" s="303" t="s">
        <v>644</v>
      </c>
      <c r="C3789" s="304" t="s">
        <v>1383</v>
      </c>
      <c r="D3789" s="303" t="s">
        <v>553</v>
      </c>
      <c r="E3789" s="340" t="s">
        <v>511</v>
      </c>
      <c r="F3789" s="340"/>
      <c r="G3789" s="341">
        <f>G3786*(G3787^G3788)</f>
        <v>694.58059570836633</v>
      </c>
      <c r="H3789" s="340" t="s">
        <v>654</v>
      </c>
      <c r="I3789" s="305" t="s">
        <v>152</v>
      </c>
      <c r="J3789" s="305" t="s">
        <v>130</v>
      </c>
      <c r="K3789" s="305" t="s">
        <v>2161</v>
      </c>
    </row>
    <row r="3790" spans="1:11" x14ac:dyDescent="0.25">
      <c r="A3790" s="302" t="str">
        <f t="shared" si="100"/>
        <v>Steam Traps_Industrial/Process Audit - psig ≤ 15_MF_Tsource</v>
      </c>
      <c r="B3790" s="303" t="s">
        <v>644</v>
      </c>
      <c r="C3790" s="304" t="s">
        <v>1383</v>
      </c>
      <c r="D3790" s="303" t="s">
        <v>553</v>
      </c>
      <c r="E3790" s="340" t="s">
        <v>512</v>
      </c>
      <c r="F3790" s="340"/>
      <c r="G3790" s="341">
        <v>513.66999999999996</v>
      </c>
      <c r="H3790" s="340" t="s">
        <v>655</v>
      </c>
      <c r="I3790" s="305" t="s">
        <v>152</v>
      </c>
      <c r="J3790" s="305" t="s">
        <v>130</v>
      </c>
      <c r="K3790" s="305" t="s">
        <v>2161</v>
      </c>
    </row>
    <row r="3791" spans="1:11" x14ac:dyDescent="0.25">
      <c r="A3791" s="302" t="str">
        <f t="shared" si="100"/>
        <v>Steam Traps_Industrial/Process Audit - psig ≤ 15_MF_Hours of Operation</v>
      </c>
      <c r="B3791" s="303" t="s">
        <v>644</v>
      </c>
      <c r="C3791" s="304" t="s">
        <v>1383</v>
      </c>
      <c r="D3791" s="303" t="s">
        <v>553</v>
      </c>
      <c r="E3791" s="305" t="s">
        <v>460</v>
      </c>
      <c r="F3791" s="309" t="s">
        <v>647</v>
      </c>
      <c r="G3791" s="354">
        <f>AVERAGE(1540,1782)</f>
        <v>1661</v>
      </c>
      <c r="H3791" s="305" t="s">
        <v>648</v>
      </c>
      <c r="I3791" s="305" t="s">
        <v>152</v>
      </c>
      <c r="J3791" s="305" t="s">
        <v>130</v>
      </c>
      <c r="K3791" s="305" t="s">
        <v>2161</v>
      </c>
    </row>
    <row r="3792" spans="1:11" x14ac:dyDescent="0.25">
      <c r="A3792" s="302" t="str">
        <f t="shared" ref="A3792:A3855" si="101">B3792&amp;"_"&amp;C3792&amp;"_"&amp;D3792&amp;"_"&amp;E3792</f>
        <v>Steam Traps_Industrial/Process Audit - psig ≤ 15_MF_L</v>
      </c>
      <c r="B3792" s="303" t="s">
        <v>644</v>
      </c>
      <c r="C3792" s="304" t="s">
        <v>1383</v>
      </c>
      <c r="D3792" s="303" t="s">
        <v>553</v>
      </c>
      <c r="E3792" s="305" t="s">
        <v>437</v>
      </c>
      <c r="F3792" s="309"/>
      <c r="G3792" s="306">
        <v>1</v>
      </c>
      <c r="H3792" s="305" t="s">
        <v>1280</v>
      </c>
      <c r="I3792" s="305" t="s">
        <v>152</v>
      </c>
      <c r="J3792" s="305" t="s">
        <v>130</v>
      </c>
      <c r="K3792" s="305" t="s">
        <v>2161</v>
      </c>
    </row>
    <row r="3793" spans="1:11" x14ac:dyDescent="0.25">
      <c r="A3793" s="302" t="str">
        <f t="shared" si="101"/>
        <v>Steam Traps_Industrial/Process Audit - psig ≤ 15_MF_Conversion</v>
      </c>
      <c r="B3793" s="303" t="s">
        <v>644</v>
      </c>
      <c r="C3793" s="304" t="s">
        <v>1383</v>
      </c>
      <c r="D3793" s="303" t="s">
        <v>553</v>
      </c>
      <c r="E3793" s="305" t="s">
        <v>284</v>
      </c>
      <c r="F3793" s="309" t="s">
        <v>622</v>
      </c>
      <c r="G3793" s="325">
        <v>100000</v>
      </c>
      <c r="H3793" s="305"/>
      <c r="I3793" s="305" t="s">
        <v>152</v>
      </c>
      <c r="J3793" s="305" t="s">
        <v>130</v>
      </c>
      <c r="K3793" s="305" t="s">
        <v>2161</v>
      </c>
    </row>
    <row r="3794" spans="1:11" x14ac:dyDescent="0.25">
      <c r="A3794" s="302" t="str">
        <f t="shared" si="101"/>
        <v>Steam Traps_Industrial/Process Audit - psig ≤ 15_MF_n_B</v>
      </c>
      <c r="B3794" s="303" t="s">
        <v>644</v>
      </c>
      <c r="C3794" s="304" t="s">
        <v>1383</v>
      </c>
      <c r="D3794" s="303" t="s">
        <v>553</v>
      </c>
      <c r="E3794" s="340" t="s">
        <v>657</v>
      </c>
      <c r="F3794" s="341"/>
      <c r="G3794" s="346">
        <v>0.80700000000000005</v>
      </c>
      <c r="H3794" s="340" t="s">
        <v>665</v>
      </c>
      <c r="I3794" s="305" t="s">
        <v>152</v>
      </c>
      <c r="J3794" s="305" t="s">
        <v>130</v>
      </c>
      <c r="K3794" s="305" t="s">
        <v>2161</v>
      </c>
    </row>
    <row r="3795" spans="1:11" x14ac:dyDescent="0.25">
      <c r="A3795" s="302" t="str">
        <f t="shared" si="101"/>
        <v>Steam Traps_Industrial/Process Audit - psig ≤ 15_MF_kWh Saved per Unit</v>
      </c>
      <c r="B3795" s="303" t="s">
        <v>644</v>
      </c>
      <c r="C3795" s="304" t="s">
        <v>1383</v>
      </c>
      <c r="D3795" s="303" t="s">
        <v>553</v>
      </c>
      <c r="E3795" s="314" t="s">
        <v>255</v>
      </c>
      <c r="F3795" s="326"/>
      <c r="G3795" s="315">
        <f>G3782</f>
        <v>17.673208259999999</v>
      </c>
      <c r="H3795" s="305"/>
      <c r="I3795" s="305" t="s">
        <v>152</v>
      </c>
      <c r="J3795" s="305" t="s">
        <v>130</v>
      </c>
      <c r="K3795" s="305" t="s">
        <v>2161</v>
      </c>
    </row>
    <row r="3796" spans="1:11" x14ac:dyDescent="0.25">
      <c r="A3796" s="302" t="str">
        <f t="shared" si="101"/>
        <v>Steam Traps_Industrial/Process Audit - psig ≤ 15_MF_Coincident Peak kW Saved per Unit</v>
      </c>
      <c r="B3796" s="303" t="s">
        <v>644</v>
      </c>
      <c r="C3796" s="304" t="s">
        <v>1383</v>
      </c>
      <c r="D3796" s="303" t="s">
        <v>553</v>
      </c>
      <c r="E3796" s="314" t="s">
        <v>257</v>
      </c>
      <c r="F3796" s="326"/>
      <c r="G3796" s="315">
        <v>0</v>
      </c>
      <c r="H3796" s="305"/>
      <c r="I3796" s="305" t="s">
        <v>152</v>
      </c>
      <c r="J3796" s="305" t="s">
        <v>130</v>
      </c>
      <c r="K3796" s="305" t="s">
        <v>2161</v>
      </c>
    </row>
    <row r="3797" spans="1:11" x14ac:dyDescent="0.25">
      <c r="A3797" s="302" t="str">
        <f t="shared" si="101"/>
        <v>Steam Traps_Industrial/Process Audit - psig ≤ 15_MF_Therm Saved per Unit</v>
      </c>
      <c r="B3797" s="303" t="s">
        <v>644</v>
      </c>
      <c r="C3797" s="304" t="s">
        <v>1383</v>
      </c>
      <c r="D3797" s="303" t="s">
        <v>553</v>
      </c>
      <c r="E3797" s="314" t="s">
        <v>326</v>
      </c>
      <c r="F3797" s="326"/>
      <c r="G3797" s="315">
        <f xml:space="preserve"> G3783 * (G3784 + G3785 * (G3789 - G3790)) * G3791 * G3792 / (G3793 * G3794)</f>
        <v>321.5560729764652</v>
      </c>
      <c r="H3797" s="305"/>
      <c r="I3797" s="305" t="s">
        <v>152</v>
      </c>
      <c r="J3797" s="305" t="s">
        <v>130</v>
      </c>
      <c r="K3797" s="305" t="s">
        <v>2161</v>
      </c>
    </row>
    <row r="3798" spans="1:11" x14ac:dyDescent="0.25">
      <c r="A3798" s="302" t="str">
        <f t="shared" si="101"/>
        <v>Steam Traps_Industrial/Process Audit - psig ≤ 15_MF_Gallons Saved per Unit</v>
      </c>
      <c r="B3798" s="303" t="s">
        <v>644</v>
      </c>
      <c r="C3798" s="304" t="s">
        <v>1383</v>
      </c>
      <c r="D3798" s="303" t="s">
        <v>553</v>
      </c>
      <c r="E3798" s="314" t="s">
        <v>547</v>
      </c>
      <c r="F3798" s="326"/>
      <c r="G3798" s="315">
        <f>G3779</f>
        <v>6874.0599999999995</v>
      </c>
      <c r="H3798" s="305"/>
      <c r="I3798" s="305" t="s">
        <v>152</v>
      </c>
      <c r="J3798" s="305" t="s">
        <v>130</v>
      </c>
      <c r="K3798" s="305" t="s">
        <v>2161</v>
      </c>
    </row>
    <row r="3799" spans="1:11" x14ac:dyDescent="0.25">
      <c r="A3799" s="302" t="str">
        <f t="shared" si="101"/>
        <v>Steam Traps_Industrial/Process Audit - psig ≤ 15_MF_Lifetime (years)</v>
      </c>
      <c r="B3799" s="303" t="s">
        <v>644</v>
      </c>
      <c r="C3799" s="304" t="s">
        <v>1383</v>
      </c>
      <c r="D3799" s="303" t="s">
        <v>553</v>
      </c>
      <c r="E3799" s="314" t="s">
        <v>259</v>
      </c>
      <c r="F3799" s="326"/>
      <c r="G3799" s="315">
        <v>6</v>
      </c>
      <c r="H3799" s="305" t="s">
        <v>659</v>
      </c>
      <c r="I3799" s="305" t="s">
        <v>152</v>
      </c>
      <c r="J3799" s="305" t="s">
        <v>130</v>
      </c>
      <c r="K3799" s="305" t="s">
        <v>2161</v>
      </c>
    </row>
    <row r="3800" spans="1:11" x14ac:dyDescent="0.25">
      <c r="A3800" s="302" t="str">
        <f t="shared" si="101"/>
        <v>Steam Traps_Industrial/Process Audit - psig ≤ 15_MF_Incremental Cost</v>
      </c>
      <c r="B3800" s="303" t="s">
        <v>644</v>
      </c>
      <c r="C3800" s="304" t="s">
        <v>1383</v>
      </c>
      <c r="D3800" s="303" t="s">
        <v>553</v>
      </c>
      <c r="E3800" s="314" t="s">
        <v>260</v>
      </c>
      <c r="F3800" s="326"/>
      <c r="G3800" s="315">
        <v>77</v>
      </c>
      <c r="H3800" s="305" t="s">
        <v>1369</v>
      </c>
      <c r="I3800" s="305" t="s">
        <v>152</v>
      </c>
      <c r="J3800" s="305" t="s">
        <v>130</v>
      </c>
      <c r="K3800" s="305" t="s">
        <v>2161</v>
      </c>
    </row>
    <row r="3801" spans="1:11" x14ac:dyDescent="0.25">
      <c r="A3801" s="317" t="str">
        <f t="shared" si="101"/>
        <v>Steam Traps_Industrial/Process Audit - psig ≤ 15_MF_</v>
      </c>
      <c r="B3801" s="317" t="str">
        <f>B3800</f>
        <v>Steam Traps</v>
      </c>
      <c r="C3801" s="332" t="str">
        <f>C3800</f>
        <v>Industrial/Process Audit - psig ≤ 15</v>
      </c>
      <c r="D3801" s="317" t="str">
        <f>D3800</f>
        <v>MF</v>
      </c>
      <c r="E3801" s="320"/>
      <c r="F3801" s="320"/>
      <c r="G3801" s="329"/>
      <c r="H3801" s="320"/>
      <c r="I3801" s="320"/>
      <c r="J3801" s="320"/>
      <c r="K3801" s="320"/>
    </row>
    <row r="3802" spans="1:11" x14ac:dyDescent="0.25">
      <c r="A3802" s="302" t="str">
        <f t="shared" si="101"/>
        <v>Steam Traps_Industrial/Process Audit - 15 &lt; psig &lt; 30_MF_GAL</v>
      </c>
      <c r="B3802" s="303" t="s">
        <v>644</v>
      </c>
      <c r="C3802" s="304" t="s">
        <v>1384</v>
      </c>
      <c r="D3802" s="303" t="s">
        <v>553</v>
      </c>
      <c r="E3802" s="305" t="s">
        <v>513</v>
      </c>
      <c r="F3802" s="309"/>
      <c r="G3802" s="306">
        <v>0.78</v>
      </c>
      <c r="H3802" s="305" t="s">
        <v>1370</v>
      </c>
      <c r="I3802" s="305" t="s">
        <v>152</v>
      </c>
      <c r="J3802" s="305" t="s">
        <v>130</v>
      </c>
      <c r="K3802" s="305" t="s">
        <v>2161</v>
      </c>
    </row>
    <row r="3803" spans="1:11" x14ac:dyDescent="0.25">
      <c r="A3803" s="302" t="str">
        <f t="shared" si="101"/>
        <v>Steam Traps_Industrial/Process Audit - 15 &lt; psig &lt; 30_MF_Hours of Operation</v>
      </c>
      <c r="B3803" s="303" t="s">
        <v>644</v>
      </c>
      <c r="C3803" s="304" t="s">
        <v>1384</v>
      </c>
      <c r="D3803" s="303" t="s">
        <v>553</v>
      </c>
      <c r="E3803" s="305" t="s">
        <v>460</v>
      </c>
      <c r="F3803" s="309" t="s">
        <v>647</v>
      </c>
      <c r="G3803" s="354">
        <v>8282</v>
      </c>
      <c r="H3803" s="305" t="s">
        <v>1370</v>
      </c>
      <c r="I3803" s="305" t="s">
        <v>152</v>
      </c>
      <c r="J3803" s="305" t="s">
        <v>130</v>
      </c>
      <c r="K3803" s="305" t="s">
        <v>2161</v>
      </c>
    </row>
    <row r="3804" spans="1:11" x14ac:dyDescent="0.25">
      <c r="A3804" s="302" t="str">
        <f t="shared" si="101"/>
        <v>Steam Traps_Industrial/Process Audit - 15 &lt; psig &lt; 30_MF_L</v>
      </c>
      <c r="B3804" s="303" t="s">
        <v>644</v>
      </c>
      <c r="C3804" s="304" t="s">
        <v>1384</v>
      </c>
      <c r="D3804" s="303" t="s">
        <v>553</v>
      </c>
      <c r="E3804" s="305" t="s">
        <v>437</v>
      </c>
      <c r="F3804" s="309"/>
      <c r="G3804" s="306">
        <v>1</v>
      </c>
      <c r="H3804" s="305" t="s">
        <v>1280</v>
      </c>
      <c r="I3804" s="305" t="s">
        <v>152</v>
      </c>
      <c r="J3804" s="305" t="s">
        <v>130</v>
      </c>
      <c r="K3804" s="305" t="s">
        <v>2161</v>
      </c>
    </row>
    <row r="3805" spans="1:11" x14ac:dyDescent="0.25">
      <c r="A3805" s="302" t="str">
        <f t="shared" si="101"/>
        <v>Steam Traps_Industrial/Process Audit - 15 &lt; psig &lt; 30_MF_Delta_Water_Gallons</v>
      </c>
      <c r="B3805" s="303" t="s">
        <v>644</v>
      </c>
      <c r="C3805" s="304" t="s">
        <v>1384</v>
      </c>
      <c r="D3805" s="303" t="s">
        <v>553</v>
      </c>
      <c r="E3805" s="305" t="s">
        <v>456</v>
      </c>
      <c r="F3805" s="305"/>
      <c r="G3805" s="307">
        <f>G3802*G3803*G3804</f>
        <v>6459.96</v>
      </c>
      <c r="H3805" s="305"/>
      <c r="I3805" s="305" t="s">
        <v>152</v>
      </c>
      <c r="J3805" s="305" t="s">
        <v>130</v>
      </c>
      <c r="K3805" s="305" t="s">
        <v>2161</v>
      </c>
    </row>
    <row r="3806" spans="1:11" x14ac:dyDescent="0.25">
      <c r="A3806" s="302" t="str">
        <f t="shared" si="101"/>
        <v>Steam Traps_Industrial/Process Audit - 15 &lt; psig &lt; 30_MF_Conversion</v>
      </c>
      <c r="B3806" s="303" t="s">
        <v>644</v>
      </c>
      <c r="C3806" s="304" t="s">
        <v>1384</v>
      </c>
      <c r="D3806" s="303" t="s">
        <v>553</v>
      </c>
      <c r="E3806" s="305" t="s">
        <v>284</v>
      </c>
      <c r="F3806" s="305"/>
      <c r="G3806" s="354">
        <v>1000000</v>
      </c>
      <c r="H3806" s="305"/>
      <c r="I3806" s="305" t="s">
        <v>152</v>
      </c>
      <c r="J3806" s="305" t="s">
        <v>130</v>
      </c>
      <c r="K3806" s="305" t="s">
        <v>2161</v>
      </c>
    </row>
    <row r="3807" spans="1:11" x14ac:dyDescent="0.25">
      <c r="A3807" s="302" t="str">
        <f t="shared" si="101"/>
        <v>Steam Traps_Industrial/Process Audit - 15 &lt; psig &lt; 30_MF_E_water_supply</v>
      </c>
      <c r="B3807" s="303" t="s">
        <v>644</v>
      </c>
      <c r="C3807" s="304" t="s">
        <v>1384</v>
      </c>
      <c r="D3807" s="303" t="s">
        <v>553</v>
      </c>
      <c r="E3807" s="305" t="s">
        <v>457</v>
      </c>
      <c r="F3807" s="305"/>
      <c r="G3807" s="307">
        <v>2571</v>
      </c>
      <c r="H3807" s="305"/>
      <c r="I3807" s="305" t="s">
        <v>152</v>
      </c>
      <c r="J3807" s="305" t="s">
        <v>130</v>
      </c>
      <c r="K3807" s="305" t="s">
        <v>2161</v>
      </c>
    </row>
    <row r="3808" spans="1:11" x14ac:dyDescent="0.25">
      <c r="A3808" s="302" t="str">
        <f t="shared" si="101"/>
        <v>Steam Traps_Industrial/Process Audit - 15 &lt; psig &lt; 30_MF_Delta_kWh_water</v>
      </c>
      <c r="B3808" s="303" t="s">
        <v>644</v>
      </c>
      <c r="C3808" s="304" t="s">
        <v>1384</v>
      </c>
      <c r="D3808" s="303" t="s">
        <v>553</v>
      </c>
      <c r="E3808" s="305" t="s">
        <v>334</v>
      </c>
      <c r="F3808" s="305"/>
      <c r="G3808" s="307">
        <f>G3805/G3806*G3807</f>
        <v>16.60855716</v>
      </c>
      <c r="H3808" s="305"/>
      <c r="I3808" s="305" t="s">
        <v>152</v>
      </c>
      <c r="J3808" s="305" t="s">
        <v>130</v>
      </c>
      <c r="K3808" s="305" t="s">
        <v>2161</v>
      </c>
    </row>
    <row r="3809" spans="1:11" x14ac:dyDescent="0.25">
      <c r="A3809" s="302" t="str">
        <f t="shared" si="101"/>
        <v>Steam Traps_Industrial/Process Audit - 15 &lt; psig &lt; 30_MF_Sa</v>
      </c>
      <c r="B3809" s="303" t="s">
        <v>644</v>
      </c>
      <c r="C3809" s="304" t="s">
        <v>1384</v>
      </c>
      <c r="D3809" s="303" t="s">
        <v>553</v>
      </c>
      <c r="E3809" s="305" t="s">
        <v>507</v>
      </c>
      <c r="F3809" s="305"/>
      <c r="G3809" s="307">
        <v>6.5</v>
      </c>
      <c r="H3809" s="305" t="s">
        <v>1370</v>
      </c>
      <c r="I3809" s="305" t="s">
        <v>152</v>
      </c>
      <c r="J3809" s="305" t="s">
        <v>130</v>
      </c>
      <c r="K3809" s="305" t="s">
        <v>2161</v>
      </c>
    </row>
    <row r="3810" spans="1:11" x14ac:dyDescent="0.25">
      <c r="A3810" s="302" t="str">
        <f t="shared" si="101"/>
        <v>Steam Traps_Industrial/Process Audit - 15 &lt; psig &lt; 30_MF_Hv</v>
      </c>
      <c r="B3810" s="303" t="s">
        <v>644</v>
      </c>
      <c r="C3810" s="304" t="s">
        <v>1384</v>
      </c>
      <c r="D3810" s="303" t="s">
        <v>553</v>
      </c>
      <c r="E3810" s="305" t="s">
        <v>508</v>
      </c>
      <c r="F3810" s="305"/>
      <c r="G3810" s="307">
        <v>944</v>
      </c>
      <c r="H3810" s="305" t="s">
        <v>1370</v>
      </c>
      <c r="I3810" s="305" t="s">
        <v>152</v>
      </c>
      <c r="J3810" s="305" t="s">
        <v>130</v>
      </c>
      <c r="K3810" s="305" t="s">
        <v>2161</v>
      </c>
    </row>
    <row r="3811" spans="1:11" x14ac:dyDescent="0.25">
      <c r="A3811" s="302" t="str">
        <f t="shared" si="101"/>
        <v>Steam Traps_Industrial/Process Audit - 15 &lt; psig &lt; 30_MF_Hs</v>
      </c>
      <c r="B3811" s="303" t="s">
        <v>644</v>
      </c>
      <c r="C3811" s="304" t="s">
        <v>1384</v>
      </c>
      <c r="D3811" s="303" t="s">
        <v>553</v>
      </c>
      <c r="E3811" s="340" t="s">
        <v>509</v>
      </c>
      <c r="F3811" s="340"/>
      <c r="G3811" s="341">
        <v>1.0009999999999999</v>
      </c>
      <c r="H3811" s="340" t="s">
        <v>652</v>
      </c>
      <c r="I3811" s="305" t="s">
        <v>152</v>
      </c>
      <c r="J3811" s="305" t="s">
        <v>130</v>
      </c>
      <c r="K3811" s="305" t="s">
        <v>2161</v>
      </c>
    </row>
    <row r="3812" spans="1:11" x14ac:dyDescent="0.25">
      <c r="A3812" s="302" t="str">
        <f t="shared" si="101"/>
        <v>Steam Traps_Industrial/Process Audit - 15 &lt; psig &lt; 30_MF_507.89</v>
      </c>
      <c r="B3812" s="303" t="s">
        <v>644</v>
      </c>
      <c r="C3812" s="304" t="s">
        <v>1384</v>
      </c>
      <c r="D3812" s="303" t="s">
        <v>553</v>
      </c>
      <c r="E3812" s="342">
        <v>507.89</v>
      </c>
      <c r="F3812" s="340"/>
      <c r="G3812" s="341">
        <v>507.89</v>
      </c>
      <c r="H3812" s="340"/>
      <c r="I3812" s="305" t="s">
        <v>152</v>
      </c>
      <c r="J3812" s="305" t="s">
        <v>130</v>
      </c>
      <c r="K3812" s="305" t="s">
        <v>2161</v>
      </c>
    </row>
    <row r="3813" spans="1:11" x14ac:dyDescent="0.25">
      <c r="A3813" s="302" t="str">
        <f t="shared" si="101"/>
        <v>Steam Traps_Industrial/Process Audit - 15 &lt; psig &lt; 30_MF_P1</v>
      </c>
      <c r="B3813" s="303" t="s">
        <v>644</v>
      </c>
      <c r="C3813" s="304" t="s">
        <v>1384</v>
      </c>
      <c r="D3813" s="303" t="s">
        <v>553</v>
      </c>
      <c r="E3813" s="340" t="s">
        <v>510</v>
      </c>
      <c r="F3813" s="340"/>
      <c r="G3813" s="341">
        <f>16+14.696</f>
        <v>30.695999999999998</v>
      </c>
      <c r="H3813" s="340" t="s">
        <v>1377</v>
      </c>
      <c r="I3813" s="305" t="s">
        <v>152</v>
      </c>
      <c r="J3813" s="305" t="s">
        <v>130</v>
      </c>
      <c r="K3813" s="305" t="s">
        <v>2161</v>
      </c>
    </row>
    <row r="3814" spans="1:11" x14ac:dyDescent="0.25">
      <c r="A3814" s="302" t="str">
        <f t="shared" si="101"/>
        <v>Steam Traps_Industrial/Process Audit - 15 &lt; psig &lt; 30_MF_0.0962</v>
      </c>
      <c r="B3814" s="303" t="s">
        <v>644</v>
      </c>
      <c r="C3814" s="304" t="s">
        <v>1384</v>
      </c>
      <c r="D3814" s="303" t="s">
        <v>553</v>
      </c>
      <c r="E3814" s="340">
        <v>9.6199999999999994E-2</v>
      </c>
      <c r="F3814" s="340"/>
      <c r="G3814" s="343">
        <v>9.6199999999999994E-2</v>
      </c>
      <c r="H3814" s="340"/>
      <c r="I3814" s="305" t="s">
        <v>152</v>
      </c>
      <c r="J3814" s="305" t="s">
        <v>130</v>
      </c>
      <c r="K3814" s="305" t="s">
        <v>2161</v>
      </c>
    </row>
    <row r="3815" spans="1:11" x14ac:dyDescent="0.25">
      <c r="A3815" s="302" t="str">
        <f t="shared" si="101"/>
        <v>Steam Traps_Industrial/Process Audit - 15 &lt; psig &lt; 30_MF_T1</v>
      </c>
      <c r="B3815" s="303" t="s">
        <v>644</v>
      </c>
      <c r="C3815" s="304" t="s">
        <v>1384</v>
      </c>
      <c r="D3815" s="303" t="s">
        <v>553</v>
      </c>
      <c r="E3815" s="340" t="s">
        <v>511</v>
      </c>
      <c r="F3815" s="340"/>
      <c r="G3815" s="341">
        <f>G3812*(G3813^G3814)</f>
        <v>706.03613651692331</v>
      </c>
      <c r="H3815" s="340" t="s">
        <v>654</v>
      </c>
      <c r="I3815" s="305" t="s">
        <v>152</v>
      </c>
      <c r="J3815" s="305" t="s">
        <v>130</v>
      </c>
      <c r="K3815" s="305" t="s">
        <v>2161</v>
      </c>
    </row>
    <row r="3816" spans="1:11" x14ac:dyDescent="0.25">
      <c r="A3816" s="302" t="str">
        <f t="shared" si="101"/>
        <v>Steam Traps_Industrial/Process Audit - 15 &lt; psig &lt; 30_MF_Tsource</v>
      </c>
      <c r="B3816" s="303" t="s">
        <v>644</v>
      </c>
      <c r="C3816" s="304" t="s">
        <v>1384</v>
      </c>
      <c r="D3816" s="303" t="s">
        <v>553</v>
      </c>
      <c r="E3816" s="340" t="s">
        <v>512</v>
      </c>
      <c r="F3816" s="340"/>
      <c r="G3816" s="341">
        <v>513.66999999999996</v>
      </c>
      <c r="H3816" s="340" t="s">
        <v>655</v>
      </c>
      <c r="I3816" s="305" t="s">
        <v>152</v>
      </c>
      <c r="J3816" s="305" t="s">
        <v>130</v>
      </c>
      <c r="K3816" s="305" t="s">
        <v>2161</v>
      </c>
    </row>
    <row r="3817" spans="1:11" x14ac:dyDescent="0.25">
      <c r="A3817" s="302" t="str">
        <f t="shared" si="101"/>
        <v>Steam Traps_Industrial/Process Audit - 15 &lt; psig &lt; 30_MF_Hours of Operation</v>
      </c>
      <c r="B3817" s="303" t="s">
        <v>644</v>
      </c>
      <c r="C3817" s="304" t="s">
        <v>1384</v>
      </c>
      <c r="D3817" s="303" t="s">
        <v>553</v>
      </c>
      <c r="E3817" s="305" t="s">
        <v>460</v>
      </c>
      <c r="F3817" s="309" t="s">
        <v>647</v>
      </c>
      <c r="G3817" s="354">
        <f>AVERAGE(1540,1782)</f>
        <v>1661</v>
      </c>
      <c r="H3817" s="305" t="s">
        <v>648</v>
      </c>
      <c r="I3817" s="305" t="s">
        <v>152</v>
      </c>
      <c r="J3817" s="305" t="s">
        <v>130</v>
      </c>
      <c r="K3817" s="305" t="s">
        <v>2161</v>
      </c>
    </row>
    <row r="3818" spans="1:11" x14ac:dyDescent="0.25">
      <c r="A3818" s="302" t="str">
        <f t="shared" si="101"/>
        <v>Steam Traps_Industrial/Process Audit - 15 &lt; psig &lt; 30_MF_L</v>
      </c>
      <c r="B3818" s="303" t="s">
        <v>644</v>
      </c>
      <c r="C3818" s="304" t="s">
        <v>1384</v>
      </c>
      <c r="D3818" s="303" t="s">
        <v>553</v>
      </c>
      <c r="E3818" s="305" t="s">
        <v>437</v>
      </c>
      <c r="F3818" s="309"/>
      <c r="G3818" s="306">
        <v>1</v>
      </c>
      <c r="H3818" s="305" t="s">
        <v>1280</v>
      </c>
      <c r="I3818" s="305" t="s">
        <v>152</v>
      </c>
      <c r="J3818" s="305" t="s">
        <v>130</v>
      </c>
      <c r="K3818" s="305" t="s">
        <v>2161</v>
      </c>
    </row>
    <row r="3819" spans="1:11" x14ac:dyDescent="0.25">
      <c r="A3819" s="302" t="str">
        <f t="shared" si="101"/>
        <v>Steam Traps_Industrial/Process Audit - 15 &lt; psig &lt; 30_MF_Conversion</v>
      </c>
      <c r="B3819" s="303" t="s">
        <v>644</v>
      </c>
      <c r="C3819" s="304" t="s">
        <v>1384</v>
      </c>
      <c r="D3819" s="303" t="s">
        <v>553</v>
      </c>
      <c r="E3819" s="305" t="s">
        <v>284</v>
      </c>
      <c r="F3819" s="309" t="s">
        <v>622</v>
      </c>
      <c r="G3819" s="325">
        <v>100000</v>
      </c>
      <c r="H3819" s="305"/>
      <c r="I3819" s="305" t="s">
        <v>152</v>
      </c>
      <c r="J3819" s="305" t="s">
        <v>130</v>
      </c>
      <c r="K3819" s="305" t="s">
        <v>2161</v>
      </c>
    </row>
    <row r="3820" spans="1:11" x14ac:dyDescent="0.25">
      <c r="A3820" s="302" t="str">
        <f t="shared" si="101"/>
        <v>Steam Traps_Industrial/Process Audit - 15 &lt; psig &lt; 30_MF_n_B</v>
      </c>
      <c r="B3820" s="303" t="s">
        <v>644</v>
      </c>
      <c r="C3820" s="304" t="s">
        <v>1384</v>
      </c>
      <c r="D3820" s="303" t="s">
        <v>553</v>
      </c>
      <c r="E3820" s="340" t="s">
        <v>657</v>
      </c>
      <c r="F3820" s="341"/>
      <c r="G3820" s="346">
        <v>0.80700000000000005</v>
      </c>
      <c r="H3820" s="340" t="s">
        <v>665</v>
      </c>
      <c r="I3820" s="305" t="s">
        <v>152</v>
      </c>
      <c r="J3820" s="305" t="s">
        <v>130</v>
      </c>
      <c r="K3820" s="305" t="s">
        <v>2161</v>
      </c>
    </row>
    <row r="3821" spans="1:11" x14ac:dyDescent="0.25">
      <c r="A3821" s="302" t="str">
        <f t="shared" si="101"/>
        <v>Steam Traps_Industrial/Process Audit - 15 &lt; psig &lt; 30_MF_kWh Saved per Unit</v>
      </c>
      <c r="B3821" s="303" t="s">
        <v>644</v>
      </c>
      <c r="C3821" s="304" t="s">
        <v>1384</v>
      </c>
      <c r="D3821" s="303" t="s">
        <v>553</v>
      </c>
      <c r="E3821" s="314" t="s">
        <v>255</v>
      </c>
      <c r="F3821" s="326"/>
      <c r="G3821" s="315">
        <f>G3808</f>
        <v>16.60855716</v>
      </c>
      <c r="H3821" s="305"/>
      <c r="I3821" s="305" t="s">
        <v>152</v>
      </c>
      <c r="J3821" s="305" t="s">
        <v>130</v>
      </c>
      <c r="K3821" s="305" t="s">
        <v>2161</v>
      </c>
    </row>
    <row r="3822" spans="1:11" x14ac:dyDescent="0.25">
      <c r="A3822" s="302" t="str">
        <f t="shared" si="101"/>
        <v>Steam Traps_Industrial/Process Audit - 15 &lt; psig &lt; 30_MF_Coincident Peak kW Saved per Unit</v>
      </c>
      <c r="B3822" s="303" t="s">
        <v>644</v>
      </c>
      <c r="C3822" s="304" t="s">
        <v>1384</v>
      </c>
      <c r="D3822" s="303" t="s">
        <v>553</v>
      </c>
      <c r="E3822" s="314" t="s">
        <v>257</v>
      </c>
      <c r="F3822" s="326"/>
      <c r="G3822" s="315">
        <v>0</v>
      </c>
      <c r="H3822" s="305"/>
      <c r="I3822" s="305" t="s">
        <v>152</v>
      </c>
      <c r="J3822" s="305" t="s">
        <v>130</v>
      </c>
      <c r="K3822" s="305" t="s">
        <v>2161</v>
      </c>
    </row>
    <row r="3823" spans="1:11" x14ac:dyDescent="0.25">
      <c r="A3823" s="302" t="str">
        <f t="shared" si="101"/>
        <v>Steam Traps_Industrial/Process Audit - 15 &lt; psig &lt; 30_MF_Therm Saved per Unit</v>
      </c>
      <c r="B3823" s="303" t="s">
        <v>644</v>
      </c>
      <c r="C3823" s="304" t="s">
        <v>1384</v>
      </c>
      <c r="D3823" s="303" t="s">
        <v>553</v>
      </c>
      <c r="E3823" s="314" t="s">
        <v>326</v>
      </c>
      <c r="F3823" s="326"/>
      <c r="G3823" s="315">
        <f xml:space="preserve"> G3809 * (G3810 + G3811 * (G3815 - G3816)) * G3817 * G3818 / (G3819 * G3820)</f>
        <v>152.05519050678893</v>
      </c>
      <c r="H3823" s="305"/>
      <c r="I3823" s="305" t="s">
        <v>152</v>
      </c>
      <c r="J3823" s="305" t="s">
        <v>130</v>
      </c>
      <c r="K3823" s="305" t="s">
        <v>2161</v>
      </c>
    </row>
    <row r="3824" spans="1:11" x14ac:dyDescent="0.25">
      <c r="A3824" s="302" t="str">
        <f t="shared" si="101"/>
        <v>Steam Traps_Industrial/Process Audit - 15 &lt; psig &lt; 30_MF_Gallons Saved per Unit</v>
      </c>
      <c r="B3824" s="303" t="s">
        <v>644</v>
      </c>
      <c r="C3824" s="304" t="s">
        <v>1384</v>
      </c>
      <c r="D3824" s="303" t="s">
        <v>553</v>
      </c>
      <c r="E3824" s="314" t="s">
        <v>547</v>
      </c>
      <c r="F3824" s="326"/>
      <c r="G3824" s="315">
        <f>G3805</f>
        <v>6459.96</v>
      </c>
      <c r="H3824" s="305"/>
      <c r="I3824" s="305" t="s">
        <v>152</v>
      </c>
      <c r="J3824" s="305" t="s">
        <v>130</v>
      </c>
      <c r="K3824" s="305" t="s">
        <v>2161</v>
      </c>
    </row>
    <row r="3825" spans="1:11" x14ac:dyDescent="0.25">
      <c r="A3825" s="302" t="str">
        <f t="shared" si="101"/>
        <v>Steam Traps_Industrial/Process Audit - 15 &lt; psig &lt; 30_MF_Lifetime (years)</v>
      </c>
      <c r="B3825" s="303" t="s">
        <v>644</v>
      </c>
      <c r="C3825" s="304" t="s">
        <v>1384</v>
      </c>
      <c r="D3825" s="303" t="s">
        <v>553</v>
      </c>
      <c r="E3825" s="314" t="s">
        <v>259</v>
      </c>
      <c r="F3825" s="326"/>
      <c r="G3825" s="315">
        <v>6</v>
      </c>
      <c r="H3825" s="305" t="s">
        <v>659</v>
      </c>
      <c r="I3825" s="305" t="s">
        <v>152</v>
      </c>
      <c r="J3825" s="305" t="s">
        <v>130</v>
      </c>
      <c r="K3825" s="305" t="s">
        <v>2161</v>
      </c>
    </row>
    <row r="3826" spans="1:11" x14ac:dyDescent="0.25">
      <c r="A3826" s="302" t="str">
        <f t="shared" si="101"/>
        <v>Steam Traps_Industrial/Process Audit - 15 &lt; psig &lt; 30_MF_Incremental Cost</v>
      </c>
      <c r="B3826" s="303" t="s">
        <v>644</v>
      </c>
      <c r="C3826" s="304" t="s">
        <v>1384</v>
      </c>
      <c r="D3826" s="303" t="s">
        <v>553</v>
      </c>
      <c r="E3826" s="314" t="s">
        <v>260</v>
      </c>
      <c r="F3826" s="326"/>
      <c r="G3826" s="315">
        <v>180</v>
      </c>
      <c r="H3826" s="305" t="s">
        <v>1370</v>
      </c>
      <c r="I3826" s="305" t="s">
        <v>152</v>
      </c>
      <c r="J3826" s="305" t="s">
        <v>130</v>
      </c>
      <c r="K3826" s="305" t="s">
        <v>2161</v>
      </c>
    </row>
    <row r="3827" spans="1:11" x14ac:dyDescent="0.25">
      <c r="A3827" s="317" t="str">
        <f t="shared" si="101"/>
        <v>Steam Traps_Industrial/Process Audit - 15 &lt; psig &lt; 30_MF_</v>
      </c>
      <c r="B3827" s="317" t="str">
        <f>B3826</f>
        <v>Steam Traps</v>
      </c>
      <c r="C3827" s="332" t="str">
        <f>C3826</f>
        <v>Industrial/Process Audit - 15 &lt; psig &lt; 30</v>
      </c>
      <c r="D3827" s="317" t="str">
        <f>D3826</f>
        <v>MF</v>
      </c>
      <c r="E3827" s="320"/>
      <c r="F3827" s="320"/>
      <c r="G3827" s="329"/>
      <c r="H3827" s="320"/>
      <c r="I3827" s="320"/>
      <c r="J3827" s="320"/>
      <c r="K3827" s="320"/>
    </row>
    <row r="3828" spans="1:11" x14ac:dyDescent="0.25">
      <c r="A3828" s="302" t="str">
        <f t="shared" si="101"/>
        <v>Steam Traps_Industrial/Process Audit - 30 ≤ psig &lt; 75_MF_GAL</v>
      </c>
      <c r="B3828" s="303" t="s">
        <v>644</v>
      </c>
      <c r="C3828" s="304" t="s">
        <v>1385</v>
      </c>
      <c r="D3828" s="303" t="s">
        <v>553</v>
      </c>
      <c r="E3828" s="305" t="s">
        <v>513</v>
      </c>
      <c r="F3828" s="309"/>
      <c r="G3828" s="306">
        <v>2.81</v>
      </c>
      <c r="H3828" s="305" t="s">
        <v>230</v>
      </c>
      <c r="I3828" s="305" t="s">
        <v>152</v>
      </c>
      <c r="J3828" s="305" t="s">
        <v>130</v>
      </c>
      <c r="K3828" s="305" t="s">
        <v>2161</v>
      </c>
    </row>
    <row r="3829" spans="1:11" x14ac:dyDescent="0.25">
      <c r="A3829" s="302" t="str">
        <f t="shared" si="101"/>
        <v>Steam Traps_Industrial/Process Audit - 30 ≤ psig &lt; 75_MF_Hours of Operation</v>
      </c>
      <c r="B3829" s="303" t="s">
        <v>644</v>
      </c>
      <c r="C3829" s="304" t="s">
        <v>1385</v>
      </c>
      <c r="D3829" s="303" t="s">
        <v>553</v>
      </c>
      <c r="E3829" s="305" t="s">
        <v>460</v>
      </c>
      <c r="F3829" s="309" t="s">
        <v>647</v>
      </c>
      <c r="G3829" s="354">
        <v>8282</v>
      </c>
      <c r="H3829" s="305" t="s">
        <v>230</v>
      </c>
      <c r="I3829" s="305" t="s">
        <v>152</v>
      </c>
      <c r="J3829" s="305" t="s">
        <v>130</v>
      </c>
      <c r="K3829" s="305" t="s">
        <v>2161</v>
      </c>
    </row>
    <row r="3830" spans="1:11" x14ac:dyDescent="0.25">
      <c r="A3830" s="302" t="str">
        <f t="shared" si="101"/>
        <v>Steam Traps_Industrial/Process Audit - 30 ≤ psig &lt; 75_MF_L</v>
      </c>
      <c r="B3830" s="303" t="s">
        <v>644</v>
      </c>
      <c r="C3830" s="304" t="s">
        <v>1385</v>
      </c>
      <c r="D3830" s="303" t="s">
        <v>553</v>
      </c>
      <c r="E3830" s="305" t="s">
        <v>437</v>
      </c>
      <c r="F3830" s="309"/>
      <c r="G3830" s="306">
        <v>1</v>
      </c>
      <c r="H3830" s="305" t="s">
        <v>1280</v>
      </c>
      <c r="I3830" s="305" t="s">
        <v>152</v>
      </c>
      <c r="J3830" s="305" t="s">
        <v>130</v>
      </c>
      <c r="K3830" s="305" t="s">
        <v>2161</v>
      </c>
    </row>
    <row r="3831" spans="1:11" x14ac:dyDescent="0.25">
      <c r="A3831" s="302" t="str">
        <f t="shared" si="101"/>
        <v>Steam Traps_Industrial/Process Audit - 30 ≤ psig &lt; 75_MF_Delta_Water_Gallons</v>
      </c>
      <c r="B3831" s="303" t="s">
        <v>644</v>
      </c>
      <c r="C3831" s="304" t="s">
        <v>1385</v>
      </c>
      <c r="D3831" s="303" t="s">
        <v>553</v>
      </c>
      <c r="E3831" s="305" t="s">
        <v>456</v>
      </c>
      <c r="F3831" s="305"/>
      <c r="G3831" s="307">
        <f>G3828*G3829*G3830</f>
        <v>23272.420000000002</v>
      </c>
      <c r="H3831" s="305"/>
      <c r="I3831" s="305" t="s">
        <v>152</v>
      </c>
      <c r="J3831" s="305" t="s">
        <v>130</v>
      </c>
      <c r="K3831" s="305" t="s">
        <v>2161</v>
      </c>
    </row>
    <row r="3832" spans="1:11" x14ac:dyDescent="0.25">
      <c r="A3832" s="302" t="str">
        <f t="shared" si="101"/>
        <v>Steam Traps_Industrial/Process Audit - 30 ≤ psig &lt; 75_MF_Conversion</v>
      </c>
      <c r="B3832" s="303" t="s">
        <v>644</v>
      </c>
      <c r="C3832" s="304" t="s">
        <v>1385</v>
      </c>
      <c r="D3832" s="303" t="s">
        <v>553</v>
      </c>
      <c r="E3832" s="305" t="s">
        <v>284</v>
      </c>
      <c r="F3832" s="305"/>
      <c r="G3832" s="354">
        <v>1000000</v>
      </c>
      <c r="H3832" s="305"/>
      <c r="I3832" s="305" t="s">
        <v>152</v>
      </c>
      <c r="J3832" s="305" t="s">
        <v>130</v>
      </c>
      <c r="K3832" s="305" t="s">
        <v>2161</v>
      </c>
    </row>
    <row r="3833" spans="1:11" x14ac:dyDescent="0.25">
      <c r="A3833" s="302" t="str">
        <f t="shared" si="101"/>
        <v>Steam Traps_Industrial/Process Audit - 30 ≤ psig &lt; 75_MF_E_water_supply</v>
      </c>
      <c r="B3833" s="303" t="s">
        <v>644</v>
      </c>
      <c r="C3833" s="304" t="s">
        <v>1385</v>
      </c>
      <c r="D3833" s="303" t="s">
        <v>553</v>
      </c>
      <c r="E3833" s="305" t="s">
        <v>457</v>
      </c>
      <c r="F3833" s="305"/>
      <c r="G3833" s="307">
        <v>2571</v>
      </c>
      <c r="H3833" s="305"/>
      <c r="I3833" s="305" t="s">
        <v>152</v>
      </c>
      <c r="J3833" s="305" t="s">
        <v>130</v>
      </c>
      <c r="K3833" s="305" t="s">
        <v>2161</v>
      </c>
    </row>
    <row r="3834" spans="1:11" x14ac:dyDescent="0.25">
      <c r="A3834" s="302" t="str">
        <f t="shared" si="101"/>
        <v>Steam Traps_Industrial/Process Audit - 30 ≤ psig &lt; 75_MF_Delta_kWh_water</v>
      </c>
      <c r="B3834" s="303" t="s">
        <v>644</v>
      </c>
      <c r="C3834" s="304" t="s">
        <v>1385</v>
      </c>
      <c r="D3834" s="303" t="s">
        <v>553</v>
      </c>
      <c r="E3834" s="305" t="s">
        <v>334</v>
      </c>
      <c r="F3834" s="305"/>
      <c r="G3834" s="307">
        <f>G3831/G3832*G3833</f>
        <v>59.833391820000003</v>
      </c>
      <c r="H3834" s="305"/>
      <c r="I3834" s="305" t="s">
        <v>152</v>
      </c>
      <c r="J3834" s="305" t="s">
        <v>130</v>
      </c>
      <c r="K3834" s="305" t="s">
        <v>2161</v>
      </c>
    </row>
    <row r="3835" spans="1:11" x14ac:dyDescent="0.25">
      <c r="A3835" s="302" t="str">
        <f t="shared" si="101"/>
        <v>Steam Traps_Industrial/Process Audit - 30 ≤ psig &lt; 75_MF_Sa</v>
      </c>
      <c r="B3835" s="303" t="s">
        <v>644</v>
      </c>
      <c r="C3835" s="304" t="s">
        <v>1385</v>
      </c>
      <c r="D3835" s="303" t="s">
        <v>553</v>
      </c>
      <c r="E3835" s="305" t="s">
        <v>507</v>
      </c>
      <c r="F3835" s="305"/>
      <c r="G3835" s="307">
        <v>23.4</v>
      </c>
      <c r="H3835" s="305" t="s">
        <v>230</v>
      </c>
      <c r="I3835" s="305" t="s">
        <v>152</v>
      </c>
      <c r="J3835" s="305" t="s">
        <v>130</v>
      </c>
      <c r="K3835" s="305" t="s">
        <v>2161</v>
      </c>
    </row>
    <row r="3836" spans="1:11" x14ac:dyDescent="0.25">
      <c r="A3836" s="302" t="str">
        <f t="shared" si="101"/>
        <v>Steam Traps_Industrial/Process Audit - 30 ≤ psig &lt; 75_MF_Hv</v>
      </c>
      <c r="B3836" s="303" t="s">
        <v>644</v>
      </c>
      <c r="C3836" s="304" t="s">
        <v>1385</v>
      </c>
      <c r="D3836" s="303" t="s">
        <v>553</v>
      </c>
      <c r="E3836" s="305" t="s">
        <v>508</v>
      </c>
      <c r="F3836" s="305"/>
      <c r="G3836" s="307">
        <v>915</v>
      </c>
      <c r="H3836" s="305" t="s">
        <v>230</v>
      </c>
      <c r="I3836" s="305" t="s">
        <v>152</v>
      </c>
      <c r="J3836" s="305" t="s">
        <v>130</v>
      </c>
      <c r="K3836" s="305" t="s">
        <v>2161</v>
      </c>
    </row>
    <row r="3837" spans="1:11" x14ac:dyDescent="0.25">
      <c r="A3837" s="302" t="str">
        <f t="shared" si="101"/>
        <v>Steam Traps_Industrial/Process Audit - 30 ≤ psig &lt; 75_MF_Hs</v>
      </c>
      <c r="B3837" s="303" t="s">
        <v>644</v>
      </c>
      <c r="C3837" s="304" t="s">
        <v>1385</v>
      </c>
      <c r="D3837" s="303" t="s">
        <v>553</v>
      </c>
      <c r="E3837" s="340" t="s">
        <v>509</v>
      </c>
      <c r="F3837" s="340"/>
      <c r="G3837" s="341">
        <v>1.0009999999999999</v>
      </c>
      <c r="H3837" s="340" t="s">
        <v>652</v>
      </c>
      <c r="I3837" s="305" t="s">
        <v>152</v>
      </c>
      <c r="J3837" s="305" t="s">
        <v>130</v>
      </c>
      <c r="K3837" s="305" t="s">
        <v>2161</v>
      </c>
    </row>
    <row r="3838" spans="1:11" x14ac:dyDescent="0.25">
      <c r="A3838" s="302" t="str">
        <f t="shared" si="101"/>
        <v>Steam Traps_Industrial/Process Audit - 30 ≤ psig &lt; 75_MF_507.89</v>
      </c>
      <c r="B3838" s="303" t="s">
        <v>644</v>
      </c>
      <c r="C3838" s="304" t="s">
        <v>1385</v>
      </c>
      <c r="D3838" s="303" t="s">
        <v>553</v>
      </c>
      <c r="E3838" s="342">
        <v>507.89</v>
      </c>
      <c r="F3838" s="340"/>
      <c r="G3838" s="341">
        <v>507.89</v>
      </c>
      <c r="H3838" s="340"/>
      <c r="I3838" s="305" t="s">
        <v>152</v>
      </c>
      <c r="J3838" s="305" t="s">
        <v>130</v>
      </c>
      <c r="K3838" s="305" t="s">
        <v>2161</v>
      </c>
    </row>
    <row r="3839" spans="1:11" x14ac:dyDescent="0.25">
      <c r="A3839" s="302" t="str">
        <f t="shared" si="101"/>
        <v>Steam Traps_Industrial/Process Audit - 30 ≤ psig &lt; 75_MF_P1</v>
      </c>
      <c r="B3839" s="303" t="s">
        <v>644</v>
      </c>
      <c r="C3839" s="304" t="s">
        <v>1385</v>
      </c>
      <c r="D3839" s="303" t="s">
        <v>553</v>
      </c>
      <c r="E3839" s="340" t="s">
        <v>510</v>
      </c>
      <c r="F3839" s="340"/>
      <c r="G3839" s="341">
        <f>47+14.696</f>
        <v>61.695999999999998</v>
      </c>
      <c r="H3839" s="340" t="s">
        <v>1372</v>
      </c>
      <c r="I3839" s="305" t="s">
        <v>152</v>
      </c>
      <c r="J3839" s="305" t="s">
        <v>130</v>
      </c>
      <c r="K3839" s="305" t="s">
        <v>2161</v>
      </c>
    </row>
    <row r="3840" spans="1:11" x14ac:dyDescent="0.25">
      <c r="A3840" s="302" t="str">
        <f t="shared" si="101"/>
        <v>Steam Traps_Industrial/Process Audit - 30 ≤ psig &lt; 75_MF_0.0962</v>
      </c>
      <c r="B3840" s="303" t="s">
        <v>644</v>
      </c>
      <c r="C3840" s="304" t="s">
        <v>1385</v>
      </c>
      <c r="D3840" s="303" t="s">
        <v>553</v>
      </c>
      <c r="E3840" s="340">
        <v>9.6199999999999994E-2</v>
      </c>
      <c r="F3840" s="340"/>
      <c r="G3840" s="343">
        <v>9.6199999999999994E-2</v>
      </c>
      <c r="H3840" s="340"/>
      <c r="I3840" s="305" t="s">
        <v>152</v>
      </c>
      <c r="J3840" s="305" t="s">
        <v>130</v>
      </c>
      <c r="K3840" s="305" t="s">
        <v>2161</v>
      </c>
    </row>
    <row r="3841" spans="1:11" x14ac:dyDescent="0.25">
      <c r="A3841" s="302" t="str">
        <f t="shared" si="101"/>
        <v>Steam Traps_Industrial/Process Audit - 30 ≤ psig &lt; 75_MF_T1</v>
      </c>
      <c r="B3841" s="303" t="s">
        <v>644</v>
      </c>
      <c r="C3841" s="304" t="s">
        <v>1385</v>
      </c>
      <c r="D3841" s="303" t="s">
        <v>553</v>
      </c>
      <c r="E3841" s="340" t="s">
        <v>511</v>
      </c>
      <c r="F3841" s="340"/>
      <c r="G3841" s="341">
        <f>G3838*(G3839^G3840)</f>
        <v>755.07898979450931</v>
      </c>
      <c r="H3841" s="340" t="s">
        <v>654</v>
      </c>
      <c r="I3841" s="305" t="s">
        <v>152</v>
      </c>
      <c r="J3841" s="305" t="s">
        <v>130</v>
      </c>
      <c r="K3841" s="305" t="s">
        <v>2161</v>
      </c>
    </row>
    <row r="3842" spans="1:11" x14ac:dyDescent="0.25">
      <c r="A3842" s="302" t="str">
        <f t="shared" si="101"/>
        <v>Steam Traps_Industrial/Process Audit - 30 ≤ psig &lt; 75_MF_Tsource</v>
      </c>
      <c r="B3842" s="303" t="s">
        <v>644</v>
      </c>
      <c r="C3842" s="304" t="s">
        <v>1385</v>
      </c>
      <c r="D3842" s="303" t="s">
        <v>553</v>
      </c>
      <c r="E3842" s="340" t="s">
        <v>512</v>
      </c>
      <c r="F3842" s="340"/>
      <c r="G3842" s="341">
        <v>513.66999999999996</v>
      </c>
      <c r="H3842" s="340" t="s">
        <v>655</v>
      </c>
      <c r="I3842" s="305" t="s">
        <v>152</v>
      </c>
      <c r="J3842" s="305" t="s">
        <v>130</v>
      </c>
      <c r="K3842" s="305" t="s">
        <v>2161</v>
      </c>
    </row>
    <row r="3843" spans="1:11" x14ac:dyDescent="0.25">
      <c r="A3843" s="302" t="str">
        <f t="shared" si="101"/>
        <v>Steam Traps_Industrial/Process Audit - 30 ≤ psig &lt; 75_MF_Hours of Operation</v>
      </c>
      <c r="B3843" s="303" t="s">
        <v>644</v>
      </c>
      <c r="C3843" s="304" t="s">
        <v>1385</v>
      </c>
      <c r="D3843" s="303" t="s">
        <v>553</v>
      </c>
      <c r="E3843" s="305" t="s">
        <v>460</v>
      </c>
      <c r="F3843" s="309" t="s">
        <v>647</v>
      </c>
      <c r="G3843" s="354">
        <f>AVERAGE(1540,1782)</f>
        <v>1661</v>
      </c>
      <c r="H3843" s="305" t="s">
        <v>648</v>
      </c>
      <c r="I3843" s="305" t="s">
        <v>152</v>
      </c>
      <c r="J3843" s="305" t="s">
        <v>130</v>
      </c>
      <c r="K3843" s="305" t="s">
        <v>2161</v>
      </c>
    </row>
    <row r="3844" spans="1:11" x14ac:dyDescent="0.25">
      <c r="A3844" s="302" t="str">
        <f t="shared" si="101"/>
        <v>Steam Traps_Industrial/Process Audit - 30 ≤ psig &lt; 75_MF_L</v>
      </c>
      <c r="B3844" s="303" t="s">
        <v>644</v>
      </c>
      <c r="C3844" s="304" t="s">
        <v>1385</v>
      </c>
      <c r="D3844" s="303" t="s">
        <v>553</v>
      </c>
      <c r="E3844" s="305" t="s">
        <v>437</v>
      </c>
      <c r="F3844" s="309"/>
      <c r="G3844" s="306">
        <v>1</v>
      </c>
      <c r="H3844" s="305" t="s">
        <v>1280</v>
      </c>
      <c r="I3844" s="305" t="s">
        <v>152</v>
      </c>
      <c r="J3844" s="305" t="s">
        <v>130</v>
      </c>
      <c r="K3844" s="305" t="s">
        <v>2161</v>
      </c>
    </row>
    <row r="3845" spans="1:11" x14ac:dyDescent="0.25">
      <c r="A3845" s="302" t="str">
        <f t="shared" si="101"/>
        <v>Steam Traps_Industrial/Process Audit - 30 ≤ psig &lt; 75_MF_Conversion</v>
      </c>
      <c r="B3845" s="303" t="s">
        <v>644</v>
      </c>
      <c r="C3845" s="304" t="s">
        <v>1385</v>
      </c>
      <c r="D3845" s="303" t="s">
        <v>553</v>
      </c>
      <c r="E3845" s="305" t="s">
        <v>284</v>
      </c>
      <c r="F3845" s="309" t="s">
        <v>622</v>
      </c>
      <c r="G3845" s="325">
        <v>100000</v>
      </c>
      <c r="H3845" s="305"/>
      <c r="I3845" s="305" t="s">
        <v>152</v>
      </c>
      <c r="J3845" s="305" t="s">
        <v>130</v>
      </c>
      <c r="K3845" s="305" t="s">
        <v>2161</v>
      </c>
    </row>
    <row r="3846" spans="1:11" x14ac:dyDescent="0.25">
      <c r="A3846" s="302" t="str">
        <f t="shared" si="101"/>
        <v>Steam Traps_Industrial/Process Audit - 30 ≤ psig &lt; 75_MF_n_B</v>
      </c>
      <c r="B3846" s="303" t="s">
        <v>644</v>
      </c>
      <c r="C3846" s="304" t="s">
        <v>1385</v>
      </c>
      <c r="D3846" s="303" t="s">
        <v>553</v>
      </c>
      <c r="E3846" s="340" t="s">
        <v>657</v>
      </c>
      <c r="F3846" s="341"/>
      <c r="G3846" s="346">
        <v>0.80700000000000005</v>
      </c>
      <c r="H3846" s="340" t="s">
        <v>665</v>
      </c>
      <c r="I3846" s="305" t="s">
        <v>152</v>
      </c>
      <c r="J3846" s="305" t="s">
        <v>130</v>
      </c>
      <c r="K3846" s="305" t="s">
        <v>2161</v>
      </c>
    </row>
    <row r="3847" spans="1:11" x14ac:dyDescent="0.25">
      <c r="A3847" s="302" t="str">
        <f t="shared" si="101"/>
        <v>Steam Traps_Industrial/Process Audit - 30 ≤ psig &lt; 75_MF_kWh Saved per Unit</v>
      </c>
      <c r="B3847" s="303" t="s">
        <v>644</v>
      </c>
      <c r="C3847" s="304" t="s">
        <v>1385</v>
      </c>
      <c r="D3847" s="303" t="s">
        <v>553</v>
      </c>
      <c r="E3847" s="314" t="s">
        <v>255</v>
      </c>
      <c r="F3847" s="326"/>
      <c r="G3847" s="315">
        <f>G3834</f>
        <v>59.833391820000003</v>
      </c>
      <c r="H3847" s="305"/>
      <c r="I3847" s="305" t="s">
        <v>152</v>
      </c>
      <c r="J3847" s="305" t="s">
        <v>130</v>
      </c>
      <c r="K3847" s="305" t="s">
        <v>2161</v>
      </c>
    </row>
    <row r="3848" spans="1:11" x14ac:dyDescent="0.25">
      <c r="A3848" s="302" t="str">
        <f t="shared" si="101"/>
        <v>Steam Traps_Industrial/Process Audit - 30 ≤ psig &lt; 75_MF_Coincident Peak kW Saved per Unit</v>
      </c>
      <c r="B3848" s="303" t="s">
        <v>644</v>
      </c>
      <c r="C3848" s="304" t="s">
        <v>1385</v>
      </c>
      <c r="D3848" s="303" t="s">
        <v>553</v>
      </c>
      <c r="E3848" s="314" t="s">
        <v>257</v>
      </c>
      <c r="F3848" s="326"/>
      <c r="G3848" s="315">
        <v>0</v>
      </c>
      <c r="H3848" s="305"/>
      <c r="I3848" s="305" t="s">
        <v>152</v>
      </c>
      <c r="J3848" s="305" t="s">
        <v>130</v>
      </c>
      <c r="K3848" s="305" t="s">
        <v>2161</v>
      </c>
    </row>
    <row r="3849" spans="1:11" x14ac:dyDescent="0.25">
      <c r="A3849" s="302" t="str">
        <f t="shared" si="101"/>
        <v>Steam Traps_Industrial/Process Audit - 30 ≤ psig &lt; 75_MF_Therm Saved per Unit</v>
      </c>
      <c r="B3849" s="303" t="s">
        <v>644</v>
      </c>
      <c r="C3849" s="304" t="s">
        <v>1385</v>
      </c>
      <c r="D3849" s="303" t="s">
        <v>553</v>
      </c>
      <c r="E3849" s="314" t="s">
        <v>326</v>
      </c>
      <c r="F3849" s="326"/>
      <c r="G3849" s="315">
        <f xml:space="preserve"> G3835 * (G3836 + G3837 * (G3841 - G3842)) * G3843 * G3844 / (G3845 * G3846)</f>
        <v>557.07551065314806</v>
      </c>
      <c r="H3849" s="305"/>
      <c r="I3849" s="305" t="s">
        <v>152</v>
      </c>
      <c r="J3849" s="305" t="s">
        <v>130</v>
      </c>
      <c r="K3849" s="305" t="s">
        <v>2161</v>
      </c>
    </row>
    <row r="3850" spans="1:11" x14ac:dyDescent="0.25">
      <c r="A3850" s="302" t="str">
        <f t="shared" si="101"/>
        <v>Steam Traps_Industrial/Process Audit - 30 ≤ psig &lt; 75_MF_Gallons Saved per Unit</v>
      </c>
      <c r="B3850" s="303" t="s">
        <v>644</v>
      </c>
      <c r="C3850" s="304" t="s">
        <v>1385</v>
      </c>
      <c r="D3850" s="303" t="s">
        <v>553</v>
      </c>
      <c r="E3850" s="314" t="s">
        <v>547</v>
      </c>
      <c r="F3850" s="326"/>
      <c r="G3850" s="315">
        <f>G3831</f>
        <v>23272.420000000002</v>
      </c>
      <c r="H3850" s="305"/>
      <c r="I3850" s="305" t="s">
        <v>152</v>
      </c>
      <c r="J3850" s="305" t="s">
        <v>130</v>
      </c>
      <c r="K3850" s="305" t="s">
        <v>2161</v>
      </c>
    </row>
    <row r="3851" spans="1:11" x14ac:dyDescent="0.25">
      <c r="A3851" s="302" t="str">
        <f t="shared" si="101"/>
        <v>Steam Traps_Industrial/Process Audit - 30 ≤ psig &lt; 75_MF_Lifetime (years)</v>
      </c>
      <c r="B3851" s="303" t="s">
        <v>644</v>
      </c>
      <c r="C3851" s="304" t="s">
        <v>1385</v>
      </c>
      <c r="D3851" s="303" t="s">
        <v>553</v>
      </c>
      <c r="E3851" s="314" t="s">
        <v>259</v>
      </c>
      <c r="F3851" s="326"/>
      <c r="G3851" s="315">
        <v>6</v>
      </c>
      <c r="H3851" s="305" t="s">
        <v>659</v>
      </c>
      <c r="I3851" s="305" t="s">
        <v>152</v>
      </c>
      <c r="J3851" s="305" t="s">
        <v>130</v>
      </c>
      <c r="K3851" s="305" t="s">
        <v>2161</v>
      </c>
    </row>
    <row r="3852" spans="1:11" x14ac:dyDescent="0.25">
      <c r="A3852" s="302" t="str">
        <f t="shared" si="101"/>
        <v>Steam Traps_Industrial/Process Audit - 30 ≤ psig &lt; 75_MF_Incremental Cost</v>
      </c>
      <c r="B3852" s="303" t="s">
        <v>644</v>
      </c>
      <c r="C3852" s="304" t="s">
        <v>1385</v>
      </c>
      <c r="D3852" s="303" t="s">
        <v>553</v>
      </c>
      <c r="E3852" s="314" t="s">
        <v>260</v>
      </c>
      <c r="F3852" s="326"/>
      <c r="G3852" s="315">
        <v>223</v>
      </c>
      <c r="H3852" s="305" t="s">
        <v>1373</v>
      </c>
      <c r="I3852" s="305" t="s">
        <v>152</v>
      </c>
      <c r="J3852" s="305" t="s">
        <v>130</v>
      </c>
      <c r="K3852" s="305" t="s">
        <v>2161</v>
      </c>
    </row>
    <row r="3853" spans="1:11" x14ac:dyDescent="0.25">
      <c r="A3853" s="317" t="str">
        <f t="shared" si="101"/>
        <v>Steam Traps_Industrial/Process Audit - 30 ≤ psig &lt; 75_MF_</v>
      </c>
      <c r="B3853" s="317" t="str">
        <f>B3852</f>
        <v>Steam Traps</v>
      </c>
      <c r="C3853" s="332" t="str">
        <f>C3852</f>
        <v>Industrial/Process Audit - 30 ≤ psig &lt; 75</v>
      </c>
      <c r="D3853" s="317" t="str">
        <f>D3852</f>
        <v>MF</v>
      </c>
      <c r="E3853" s="320"/>
      <c r="F3853" s="320"/>
      <c r="G3853" s="329"/>
      <c r="H3853" s="320"/>
      <c r="I3853" s="320"/>
      <c r="J3853" s="320"/>
      <c r="K3853" s="320"/>
    </row>
    <row r="3854" spans="1:11" x14ac:dyDescent="0.25">
      <c r="A3854" s="302" t="str">
        <f t="shared" si="101"/>
        <v>Steam Traps_Industrial/Process Audit - 75 ≤ psig &lt; 125_MF_GAL</v>
      </c>
      <c r="B3854" s="303" t="s">
        <v>644</v>
      </c>
      <c r="C3854" s="304" t="s">
        <v>1386</v>
      </c>
      <c r="D3854" s="303" t="s">
        <v>553</v>
      </c>
      <c r="E3854" s="305" t="s">
        <v>513</v>
      </c>
      <c r="F3854" s="309"/>
      <c r="G3854" s="306">
        <v>5.26</v>
      </c>
      <c r="H3854" s="305" t="s">
        <v>229</v>
      </c>
      <c r="I3854" s="305" t="s">
        <v>152</v>
      </c>
      <c r="J3854" s="305" t="s">
        <v>130</v>
      </c>
      <c r="K3854" s="305" t="s">
        <v>2161</v>
      </c>
    </row>
    <row r="3855" spans="1:11" x14ac:dyDescent="0.25">
      <c r="A3855" s="302" t="str">
        <f t="shared" si="101"/>
        <v>Steam Traps_Industrial/Process Audit - 75 ≤ psig &lt; 125_MF_Hours of Operation</v>
      </c>
      <c r="B3855" s="303" t="s">
        <v>644</v>
      </c>
      <c r="C3855" s="304" t="s">
        <v>1386</v>
      </c>
      <c r="D3855" s="303" t="s">
        <v>553</v>
      </c>
      <c r="E3855" s="305" t="s">
        <v>460</v>
      </c>
      <c r="F3855" s="309" t="s">
        <v>647</v>
      </c>
      <c r="G3855" s="354">
        <v>8282</v>
      </c>
      <c r="H3855" s="305" t="s">
        <v>229</v>
      </c>
      <c r="I3855" s="305" t="s">
        <v>152</v>
      </c>
      <c r="J3855" s="305" t="s">
        <v>130</v>
      </c>
      <c r="K3855" s="305" t="s">
        <v>2161</v>
      </c>
    </row>
    <row r="3856" spans="1:11" x14ac:dyDescent="0.25">
      <c r="A3856" s="302" t="str">
        <f t="shared" ref="A3856:A3919" si="102">B3856&amp;"_"&amp;C3856&amp;"_"&amp;D3856&amp;"_"&amp;E3856</f>
        <v>Steam Traps_Industrial/Process Audit - 75 ≤ psig &lt; 125_MF_L</v>
      </c>
      <c r="B3856" s="303" t="s">
        <v>644</v>
      </c>
      <c r="C3856" s="304" t="s">
        <v>1386</v>
      </c>
      <c r="D3856" s="303" t="s">
        <v>553</v>
      </c>
      <c r="E3856" s="305" t="s">
        <v>437</v>
      </c>
      <c r="F3856" s="309"/>
      <c r="G3856" s="306">
        <v>1</v>
      </c>
      <c r="H3856" s="305" t="s">
        <v>1280</v>
      </c>
      <c r="I3856" s="305" t="s">
        <v>152</v>
      </c>
      <c r="J3856" s="305" t="s">
        <v>130</v>
      </c>
      <c r="K3856" s="305" t="s">
        <v>2161</v>
      </c>
    </row>
    <row r="3857" spans="1:11" x14ac:dyDescent="0.25">
      <c r="A3857" s="302" t="str">
        <f t="shared" si="102"/>
        <v>Steam Traps_Industrial/Process Audit - 75 ≤ psig &lt; 125_MF_Delta_Water_Gallons</v>
      </c>
      <c r="B3857" s="303" t="s">
        <v>644</v>
      </c>
      <c r="C3857" s="304" t="s">
        <v>1386</v>
      </c>
      <c r="D3857" s="303" t="s">
        <v>553</v>
      </c>
      <c r="E3857" s="305" t="s">
        <v>456</v>
      </c>
      <c r="F3857" s="305"/>
      <c r="G3857" s="307">
        <f>G3854*G3855*G3856</f>
        <v>43563.32</v>
      </c>
      <c r="H3857" s="305"/>
      <c r="I3857" s="305" t="s">
        <v>152</v>
      </c>
      <c r="J3857" s="305" t="s">
        <v>130</v>
      </c>
      <c r="K3857" s="305" t="s">
        <v>2161</v>
      </c>
    </row>
    <row r="3858" spans="1:11" x14ac:dyDescent="0.25">
      <c r="A3858" s="302" t="str">
        <f t="shared" si="102"/>
        <v>Steam Traps_Industrial/Process Audit - 75 ≤ psig &lt; 125_MF_Conversion</v>
      </c>
      <c r="B3858" s="303" t="s">
        <v>644</v>
      </c>
      <c r="C3858" s="304" t="s">
        <v>1386</v>
      </c>
      <c r="D3858" s="303" t="s">
        <v>553</v>
      </c>
      <c r="E3858" s="305" t="s">
        <v>284</v>
      </c>
      <c r="F3858" s="305"/>
      <c r="G3858" s="354">
        <v>1000000</v>
      </c>
      <c r="H3858" s="305"/>
      <c r="I3858" s="305" t="s">
        <v>152</v>
      </c>
      <c r="J3858" s="305" t="s">
        <v>130</v>
      </c>
      <c r="K3858" s="305" t="s">
        <v>2161</v>
      </c>
    </row>
    <row r="3859" spans="1:11" x14ac:dyDescent="0.25">
      <c r="A3859" s="302" t="str">
        <f t="shared" si="102"/>
        <v>Steam Traps_Industrial/Process Audit - 75 ≤ psig &lt; 125_MF_E_water_supply</v>
      </c>
      <c r="B3859" s="303" t="s">
        <v>644</v>
      </c>
      <c r="C3859" s="304" t="s">
        <v>1386</v>
      </c>
      <c r="D3859" s="303" t="s">
        <v>553</v>
      </c>
      <c r="E3859" s="305" t="s">
        <v>457</v>
      </c>
      <c r="F3859" s="305"/>
      <c r="G3859" s="307">
        <v>2571</v>
      </c>
      <c r="H3859" s="305"/>
      <c r="I3859" s="305" t="s">
        <v>152</v>
      </c>
      <c r="J3859" s="305" t="s">
        <v>130</v>
      </c>
      <c r="K3859" s="305" t="s">
        <v>2161</v>
      </c>
    </row>
    <row r="3860" spans="1:11" x14ac:dyDescent="0.25">
      <c r="A3860" s="302" t="str">
        <f t="shared" si="102"/>
        <v>Steam Traps_Industrial/Process Audit - 75 ≤ psig &lt; 125_MF_Delta_kWh_water</v>
      </c>
      <c r="B3860" s="303" t="s">
        <v>644</v>
      </c>
      <c r="C3860" s="304" t="s">
        <v>1386</v>
      </c>
      <c r="D3860" s="303" t="s">
        <v>553</v>
      </c>
      <c r="E3860" s="305" t="s">
        <v>334</v>
      </c>
      <c r="F3860" s="305"/>
      <c r="G3860" s="307">
        <f>G3857/G3858*G3859</f>
        <v>112.00129572</v>
      </c>
      <c r="H3860" s="305"/>
      <c r="I3860" s="305" t="s">
        <v>152</v>
      </c>
      <c r="J3860" s="305" t="s">
        <v>130</v>
      </c>
      <c r="K3860" s="305" t="s">
        <v>2161</v>
      </c>
    </row>
    <row r="3861" spans="1:11" x14ac:dyDescent="0.25">
      <c r="A3861" s="302" t="str">
        <f t="shared" si="102"/>
        <v>Steam Traps_Industrial/Process Audit - 75 ≤ psig &lt; 125_MF_Sa</v>
      </c>
      <c r="B3861" s="303" t="s">
        <v>644</v>
      </c>
      <c r="C3861" s="304" t="s">
        <v>1386</v>
      </c>
      <c r="D3861" s="303" t="s">
        <v>553</v>
      </c>
      <c r="E3861" s="305" t="s">
        <v>507</v>
      </c>
      <c r="F3861" s="305"/>
      <c r="G3861" s="307">
        <v>43.8</v>
      </c>
      <c r="H3861" s="305" t="s">
        <v>229</v>
      </c>
      <c r="I3861" s="305" t="s">
        <v>152</v>
      </c>
      <c r="J3861" s="305" t="s">
        <v>130</v>
      </c>
      <c r="K3861" s="305" t="s">
        <v>2161</v>
      </c>
    </row>
    <row r="3862" spans="1:11" x14ac:dyDescent="0.25">
      <c r="A3862" s="302" t="str">
        <f t="shared" si="102"/>
        <v>Steam Traps_Industrial/Process Audit - 75 ≤ psig &lt; 125_MF_Hv</v>
      </c>
      <c r="B3862" s="303" t="s">
        <v>644</v>
      </c>
      <c r="C3862" s="304" t="s">
        <v>1386</v>
      </c>
      <c r="D3862" s="303" t="s">
        <v>553</v>
      </c>
      <c r="E3862" s="305" t="s">
        <v>508</v>
      </c>
      <c r="F3862" s="305"/>
      <c r="G3862" s="307">
        <v>880</v>
      </c>
      <c r="H3862" s="305" t="s">
        <v>229</v>
      </c>
      <c r="I3862" s="305" t="s">
        <v>152</v>
      </c>
      <c r="J3862" s="305" t="s">
        <v>130</v>
      </c>
      <c r="K3862" s="305" t="s">
        <v>2161</v>
      </c>
    </row>
    <row r="3863" spans="1:11" x14ac:dyDescent="0.25">
      <c r="A3863" s="302" t="str">
        <f t="shared" si="102"/>
        <v>Steam Traps_Industrial/Process Audit - 75 ≤ psig &lt; 125_MF_Hs</v>
      </c>
      <c r="B3863" s="303" t="s">
        <v>644</v>
      </c>
      <c r="C3863" s="304" t="s">
        <v>1386</v>
      </c>
      <c r="D3863" s="303" t="s">
        <v>553</v>
      </c>
      <c r="E3863" s="340" t="s">
        <v>509</v>
      </c>
      <c r="F3863" s="340"/>
      <c r="G3863" s="341">
        <v>1.0009999999999999</v>
      </c>
      <c r="H3863" s="340" t="s">
        <v>652</v>
      </c>
      <c r="I3863" s="305" t="s">
        <v>152</v>
      </c>
      <c r="J3863" s="305" t="s">
        <v>130</v>
      </c>
      <c r="K3863" s="305" t="s">
        <v>2161</v>
      </c>
    </row>
    <row r="3864" spans="1:11" x14ac:dyDescent="0.25">
      <c r="A3864" s="302" t="str">
        <f t="shared" si="102"/>
        <v>Steam Traps_Industrial/Process Audit - 75 ≤ psig &lt; 125_MF_507.89</v>
      </c>
      <c r="B3864" s="303" t="s">
        <v>644</v>
      </c>
      <c r="C3864" s="304" t="s">
        <v>1386</v>
      </c>
      <c r="D3864" s="303" t="s">
        <v>553</v>
      </c>
      <c r="E3864" s="342">
        <v>507.89</v>
      </c>
      <c r="F3864" s="340"/>
      <c r="G3864" s="341">
        <v>507.89</v>
      </c>
      <c r="H3864" s="340"/>
      <c r="I3864" s="305" t="s">
        <v>152</v>
      </c>
      <c r="J3864" s="305" t="s">
        <v>130</v>
      </c>
      <c r="K3864" s="305" t="s">
        <v>2161</v>
      </c>
    </row>
    <row r="3865" spans="1:11" x14ac:dyDescent="0.25">
      <c r="A3865" s="302" t="str">
        <f t="shared" si="102"/>
        <v>Steam Traps_Industrial/Process Audit - 75 ≤ psig &lt; 125_MF_P1</v>
      </c>
      <c r="B3865" s="303" t="s">
        <v>644</v>
      </c>
      <c r="C3865" s="304" t="s">
        <v>1386</v>
      </c>
      <c r="D3865" s="303" t="s">
        <v>553</v>
      </c>
      <c r="E3865" s="340" t="s">
        <v>510</v>
      </c>
      <c r="F3865" s="340"/>
      <c r="G3865" s="341">
        <f>101+14.696</f>
        <v>115.696</v>
      </c>
      <c r="H3865" s="340" t="s">
        <v>1378</v>
      </c>
      <c r="I3865" s="305" t="s">
        <v>152</v>
      </c>
      <c r="J3865" s="305" t="s">
        <v>130</v>
      </c>
      <c r="K3865" s="305" t="s">
        <v>2161</v>
      </c>
    </row>
    <row r="3866" spans="1:11" x14ac:dyDescent="0.25">
      <c r="A3866" s="302" t="str">
        <f t="shared" si="102"/>
        <v>Steam Traps_Industrial/Process Audit - 75 ≤ psig &lt; 125_MF_0.0962</v>
      </c>
      <c r="B3866" s="303" t="s">
        <v>644</v>
      </c>
      <c r="C3866" s="304" t="s">
        <v>1386</v>
      </c>
      <c r="D3866" s="303" t="s">
        <v>553</v>
      </c>
      <c r="E3866" s="340">
        <v>9.6199999999999994E-2</v>
      </c>
      <c r="F3866" s="340"/>
      <c r="G3866" s="343">
        <v>9.6199999999999994E-2</v>
      </c>
      <c r="H3866" s="340"/>
      <c r="I3866" s="305" t="s">
        <v>152</v>
      </c>
      <c r="J3866" s="305" t="s">
        <v>130</v>
      </c>
      <c r="K3866" s="305" t="s">
        <v>2161</v>
      </c>
    </row>
    <row r="3867" spans="1:11" x14ac:dyDescent="0.25">
      <c r="A3867" s="302" t="str">
        <f t="shared" si="102"/>
        <v>Steam Traps_Industrial/Process Audit - 75 ≤ psig &lt; 125_MF_T1</v>
      </c>
      <c r="B3867" s="303" t="s">
        <v>644</v>
      </c>
      <c r="C3867" s="304" t="s">
        <v>1386</v>
      </c>
      <c r="D3867" s="303" t="s">
        <v>553</v>
      </c>
      <c r="E3867" s="340" t="s">
        <v>511</v>
      </c>
      <c r="F3867" s="340"/>
      <c r="G3867" s="341">
        <f>G3864*(G3865^G3866)</f>
        <v>802.1597871006478</v>
      </c>
      <c r="H3867" s="340" t="s">
        <v>654</v>
      </c>
      <c r="I3867" s="305" t="s">
        <v>152</v>
      </c>
      <c r="J3867" s="305" t="s">
        <v>130</v>
      </c>
      <c r="K3867" s="305" t="s">
        <v>2161</v>
      </c>
    </row>
    <row r="3868" spans="1:11" x14ac:dyDescent="0.25">
      <c r="A3868" s="302" t="str">
        <f t="shared" si="102"/>
        <v>Steam Traps_Industrial/Process Audit - 75 ≤ psig &lt; 125_MF_Tsource</v>
      </c>
      <c r="B3868" s="303" t="s">
        <v>644</v>
      </c>
      <c r="C3868" s="304" t="s">
        <v>1386</v>
      </c>
      <c r="D3868" s="303" t="s">
        <v>553</v>
      </c>
      <c r="E3868" s="340" t="s">
        <v>512</v>
      </c>
      <c r="F3868" s="340"/>
      <c r="G3868" s="341">
        <v>513.66999999999996</v>
      </c>
      <c r="H3868" s="340" t="s">
        <v>655</v>
      </c>
      <c r="I3868" s="305" t="s">
        <v>152</v>
      </c>
      <c r="J3868" s="305" t="s">
        <v>130</v>
      </c>
      <c r="K3868" s="305" t="s">
        <v>2161</v>
      </c>
    </row>
    <row r="3869" spans="1:11" x14ac:dyDescent="0.25">
      <c r="A3869" s="302" t="str">
        <f t="shared" si="102"/>
        <v>Steam Traps_Industrial/Process Audit - 75 ≤ psig &lt; 125_MF_Hours of Operation</v>
      </c>
      <c r="B3869" s="303" t="s">
        <v>644</v>
      </c>
      <c r="C3869" s="304" t="s">
        <v>1386</v>
      </c>
      <c r="D3869" s="303" t="s">
        <v>553</v>
      </c>
      <c r="E3869" s="305" t="s">
        <v>460</v>
      </c>
      <c r="F3869" s="309" t="s">
        <v>647</v>
      </c>
      <c r="G3869" s="354">
        <f>AVERAGE(1540,1782)</f>
        <v>1661</v>
      </c>
      <c r="H3869" s="305" t="s">
        <v>648</v>
      </c>
      <c r="I3869" s="305" t="s">
        <v>152</v>
      </c>
      <c r="J3869" s="305" t="s">
        <v>130</v>
      </c>
      <c r="K3869" s="305" t="s">
        <v>2161</v>
      </c>
    </row>
    <row r="3870" spans="1:11" x14ac:dyDescent="0.25">
      <c r="A3870" s="302" t="str">
        <f t="shared" si="102"/>
        <v>Steam Traps_Industrial/Process Audit - 75 ≤ psig &lt; 125_MF_L</v>
      </c>
      <c r="B3870" s="303" t="s">
        <v>644</v>
      </c>
      <c r="C3870" s="304" t="s">
        <v>1386</v>
      </c>
      <c r="D3870" s="303" t="s">
        <v>553</v>
      </c>
      <c r="E3870" s="305" t="s">
        <v>437</v>
      </c>
      <c r="F3870" s="309"/>
      <c r="G3870" s="306">
        <v>1</v>
      </c>
      <c r="H3870" s="305" t="s">
        <v>1280</v>
      </c>
      <c r="I3870" s="305" t="s">
        <v>152</v>
      </c>
      <c r="J3870" s="305" t="s">
        <v>130</v>
      </c>
      <c r="K3870" s="305" t="s">
        <v>2161</v>
      </c>
    </row>
    <row r="3871" spans="1:11" x14ac:dyDescent="0.25">
      <c r="A3871" s="302" t="str">
        <f t="shared" si="102"/>
        <v>Steam Traps_Industrial/Process Audit - 75 ≤ psig &lt; 125_MF_Conversion</v>
      </c>
      <c r="B3871" s="303" t="s">
        <v>644</v>
      </c>
      <c r="C3871" s="304" t="s">
        <v>1386</v>
      </c>
      <c r="D3871" s="303" t="s">
        <v>553</v>
      </c>
      <c r="E3871" s="305" t="s">
        <v>284</v>
      </c>
      <c r="F3871" s="309" t="s">
        <v>622</v>
      </c>
      <c r="G3871" s="325">
        <v>100000</v>
      </c>
      <c r="H3871" s="305"/>
      <c r="I3871" s="305" t="s">
        <v>152</v>
      </c>
      <c r="J3871" s="305" t="s">
        <v>130</v>
      </c>
      <c r="K3871" s="305" t="s">
        <v>2161</v>
      </c>
    </row>
    <row r="3872" spans="1:11" x14ac:dyDescent="0.25">
      <c r="A3872" s="302" t="str">
        <f t="shared" si="102"/>
        <v>Steam Traps_Industrial/Process Audit - 75 ≤ psig &lt; 125_MF_n_B</v>
      </c>
      <c r="B3872" s="303" t="s">
        <v>644</v>
      </c>
      <c r="C3872" s="304" t="s">
        <v>1386</v>
      </c>
      <c r="D3872" s="303" t="s">
        <v>553</v>
      </c>
      <c r="E3872" s="340" t="s">
        <v>657</v>
      </c>
      <c r="F3872" s="341"/>
      <c r="G3872" s="346">
        <v>0.80700000000000005</v>
      </c>
      <c r="H3872" s="340" t="s">
        <v>665</v>
      </c>
      <c r="I3872" s="305" t="s">
        <v>152</v>
      </c>
      <c r="J3872" s="305" t="s">
        <v>130</v>
      </c>
      <c r="K3872" s="305" t="s">
        <v>2161</v>
      </c>
    </row>
    <row r="3873" spans="1:11" x14ac:dyDescent="0.25">
      <c r="A3873" s="302" t="str">
        <f t="shared" si="102"/>
        <v>Steam Traps_Industrial/Process Audit - 75 ≤ psig &lt; 125_MF_kWh Saved per Unit</v>
      </c>
      <c r="B3873" s="303" t="s">
        <v>644</v>
      </c>
      <c r="C3873" s="304" t="s">
        <v>1386</v>
      </c>
      <c r="D3873" s="303" t="s">
        <v>553</v>
      </c>
      <c r="E3873" s="314" t="s">
        <v>255</v>
      </c>
      <c r="F3873" s="326"/>
      <c r="G3873" s="315">
        <f>G3860</f>
        <v>112.00129572</v>
      </c>
      <c r="H3873" s="305"/>
      <c r="I3873" s="305" t="s">
        <v>152</v>
      </c>
      <c r="J3873" s="305" t="s">
        <v>130</v>
      </c>
      <c r="K3873" s="305" t="s">
        <v>2161</v>
      </c>
    </row>
    <row r="3874" spans="1:11" x14ac:dyDescent="0.25">
      <c r="A3874" s="302" t="str">
        <f t="shared" si="102"/>
        <v>Steam Traps_Industrial/Process Audit - 75 ≤ psig &lt; 125_MF_Coincident Peak kW Saved per Unit</v>
      </c>
      <c r="B3874" s="303" t="s">
        <v>644</v>
      </c>
      <c r="C3874" s="304" t="s">
        <v>1386</v>
      </c>
      <c r="D3874" s="303" t="s">
        <v>553</v>
      </c>
      <c r="E3874" s="314" t="s">
        <v>257</v>
      </c>
      <c r="F3874" s="326"/>
      <c r="G3874" s="315">
        <v>0</v>
      </c>
      <c r="H3874" s="305"/>
      <c r="I3874" s="305" t="s">
        <v>152</v>
      </c>
      <c r="J3874" s="305" t="s">
        <v>130</v>
      </c>
      <c r="K3874" s="305" t="s">
        <v>2161</v>
      </c>
    </row>
    <row r="3875" spans="1:11" x14ac:dyDescent="0.25">
      <c r="A3875" s="302" t="str">
        <f t="shared" si="102"/>
        <v>Steam Traps_Industrial/Process Audit - 75 ≤ psig &lt; 125_MF_Therm Saved per Unit</v>
      </c>
      <c r="B3875" s="303" t="s">
        <v>644</v>
      </c>
      <c r="C3875" s="304" t="s">
        <v>1386</v>
      </c>
      <c r="D3875" s="303" t="s">
        <v>553</v>
      </c>
      <c r="E3875" s="314" t="s">
        <v>326</v>
      </c>
      <c r="F3875" s="326"/>
      <c r="G3875" s="315">
        <f xml:space="preserve"> G3861 * (G3862 + G3863 * (G3867 - G3868)) * G3869 * G3870 / (G3871 * G3872)</f>
        <v>1053.6644788659491</v>
      </c>
      <c r="H3875" s="305"/>
      <c r="I3875" s="305" t="s">
        <v>152</v>
      </c>
      <c r="J3875" s="305" t="s">
        <v>130</v>
      </c>
      <c r="K3875" s="305" t="s">
        <v>2161</v>
      </c>
    </row>
    <row r="3876" spans="1:11" x14ac:dyDescent="0.25">
      <c r="A3876" s="302" t="str">
        <f t="shared" si="102"/>
        <v>Steam Traps_Industrial/Process Audit - 75 ≤ psig &lt; 125_MF_Gallons Saved per Unit</v>
      </c>
      <c r="B3876" s="303" t="s">
        <v>644</v>
      </c>
      <c r="C3876" s="304" t="s">
        <v>1386</v>
      </c>
      <c r="D3876" s="303" t="s">
        <v>553</v>
      </c>
      <c r="E3876" s="314" t="s">
        <v>547</v>
      </c>
      <c r="F3876" s="326"/>
      <c r="G3876" s="315">
        <f>G3857</f>
        <v>43563.32</v>
      </c>
      <c r="H3876" s="305"/>
      <c r="I3876" s="305" t="s">
        <v>152</v>
      </c>
      <c r="J3876" s="305" t="s">
        <v>130</v>
      </c>
      <c r="K3876" s="305" t="s">
        <v>2161</v>
      </c>
    </row>
    <row r="3877" spans="1:11" x14ac:dyDescent="0.25">
      <c r="A3877" s="302" t="str">
        <f t="shared" si="102"/>
        <v>Steam Traps_Industrial/Process Audit - 75 ≤ psig &lt; 125_MF_Lifetime (years)</v>
      </c>
      <c r="B3877" s="303" t="s">
        <v>644</v>
      </c>
      <c r="C3877" s="304" t="s">
        <v>1386</v>
      </c>
      <c r="D3877" s="303" t="s">
        <v>553</v>
      </c>
      <c r="E3877" s="314" t="s">
        <v>259</v>
      </c>
      <c r="F3877" s="326"/>
      <c r="G3877" s="315">
        <v>6</v>
      </c>
      <c r="H3877" s="305" t="s">
        <v>659</v>
      </c>
      <c r="I3877" s="305" t="s">
        <v>152</v>
      </c>
      <c r="J3877" s="305" t="s">
        <v>130</v>
      </c>
      <c r="K3877" s="305" t="s">
        <v>2161</v>
      </c>
    </row>
    <row r="3878" spans="1:11" x14ac:dyDescent="0.25">
      <c r="A3878" s="302" t="str">
        <f t="shared" si="102"/>
        <v>Steam Traps_Industrial/Process Audit - 75 ≤ psig &lt; 125_MF_Incremental Cost</v>
      </c>
      <c r="B3878" s="303" t="s">
        <v>644</v>
      </c>
      <c r="C3878" s="304" t="s">
        <v>1386</v>
      </c>
      <c r="D3878" s="303" t="s">
        <v>553</v>
      </c>
      <c r="E3878" s="314" t="s">
        <v>260</v>
      </c>
      <c r="F3878" s="326"/>
      <c r="G3878" s="315">
        <v>276</v>
      </c>
      <c r="H3878" s="305" t="s">
        <v>1373</v>
      </c>
      <c r="I3878" s="305" t="s">
        <v>152</v>
      </c>
      <c r="J3878" s="305" t="s">
        <v>130</v>
      </c>
      <c r="K3878" s="305" t="s">
        <v>2161</v>
      </c>
    </row>
    <row r="3879" spans="1:11" x14ac:dyDescent="0.25">
      <c r="A3879" s="317" t="str">
        <f t="shared" si="102"/>
        <v>Steam Traps_Industrial/Process Audit - 75 ≤ psig &lt; 125_MF_</v>
      </c>
      <c r="B3879" s="317" t="str">
        <f>B3878</f>
        <v>Steam Traps</v>
      </c>
      <c r="C3879" s="332" t="str">
        <f>C3878</f>
        <v>Industrial/Process Audit - 75 ≤ psig &lt; 125</v>
      </c>
      <c r="D3879" s="317" t="str">
        <f>D3878</f>
        <v>MF</v>
      </c>
      <c r="E3879" s="320"/>
      <c r="F3879" s="320"/>
      <c r="G3879" s="329"/>
      <c r="H3879" s="320"/>
      <c r="I3879" s="320"/>
      <c r="J3879" s="320"/>
      <c r="K3879" s="320"/>
    </row>
    <row r="3880" spans="1:11" x14ac:dyDescent="0.25">
      <c r="A3880" s="302" t="str">
        <f t="shared" si="102"/>
        <v>Steam Traps_Industrial/Process Audit - 125 ≤ psig &lt; 175_MF_GAL</v>
      </c>
      <c r="B3880" s="303" t="s">
        <v>644</v>
      </c>
      <c r="C3880" s="304" t="s">
        <v>1374</v>
      </c>
      <c r="D3880" s="303" t="s">
        <v>553</v>
      </c>
      <c r="E3880" s="305" t="s">
        <v>513</v>
      </c>
      <c r="F3880" s="309"/>
      <c r="G3880" s="306">
        <v>7.31</v>
      </c>
      <c r="H3880" s="305" t="s">
        <v>226</v>
      </c>
      <c r="I3880" s="305" t="s">
        <v>152</v>
      </c>
      <c r="J3880" s="305" t="s">
        <v>130</v>
      </c>
      <c r="K3880" s="305" t="s">
        <v>2161</v>
      </c>
    </row>
    <row r="3881" spans="1:11" x14ac:dyDescent="0.25">
      <c r="A3881" s="302" t="str">
        <f t="shared" si="102"/>
        <v>Steam Traps_Industrial/Process Audit - 125 ≤ psig &lt; 175_MF_Hours of Operation</v>
      </c>
      <c r="B3881" s="303" t="s">
        <v>644</v>
      </c>
      <c r="C3881" s="304" t="s">
        <v>1374</v>
      </c>
      <c r="D3881" s="303" t="s">
        <v>553</v>
      </c>
      <c r="E3881" s="305" t="s">
        <v>460</v>
      </c>
      <c r="F3881" s="309" t="s">
        <v>647</v>
      </c>
      <c r="G3881" s="354">
        <v>8282</v>
      </c>
      <c r="H3881" s="305" t="s">
        <v>226</v>
      </c>
      <c r="I3881" s="305" t="s">
        <v>152</v>
      </c>
      <c r="J3881" s="305" t="s">
        <v>130</v>
      </c>
      <c r="K3881" s="305" t="s">
        <v>2161</v>
      </c>
    </row>
    <row r="3882" spans="1:11" x14ac:dyDescent="0.25">
      <c r="A3882" s="302" t="str">
        <f t="shared" si="102"/>
        <v>Steam Traps_Industrial/Process Audit - 125 ≤ psig &lt; 175_MF_L</v>
      </c>
      <c r="B3882" s="303" t="s">
        <v>644</v>
      </c>
      <c r="C3882" s="304" t="s">
        <v>1374</v>
      </c>
      <c r="D3882" s="303" t="s">
        <v>553</v>
      </c>
      <c r="E3882" s="305" t="s">
        <v>437</v>
      </c>
      <c r="F3882" s="309"/>
      <c r="G3882" s="306">
        <v>1</v>
      </c>
      <c r="H3882" s="305" t="s">
        <v>1280</v>
      </c>
      <c r="I3882" s="305" t="s">
        <v>152</v>
      </c>
      <c r="J3882" s="305" t="s">
        <v>130</v>
      </c>
      <c r="K3882" s="305" t="s">
        <v>2161</v>
      </c>
    </row>
    <row r="3883" spans="1:11" x14ac:dyDescent="0.25">
      <c r="A3883" s="302" t="str">
        <f t="shared" si="102"/>
        <v>Steam Traps_Industrial/Process Audit - 125 ≤ psig &lt; 175_MF_Delta_Water_Gallons</v>
      </c>
      <c r="B3883" s="303" t="s">
        <v>644</v>
      </c>
      <c r="C3883" s="304" t="s">
        <v>1374</v>
      </c>
      <c r="D3883" s="303" t="s">
        <v>553</v>
      </c>
      <c r="E3883" s="305" t="s">
        <v>456</v>
      </c>
      <c r="F3883" s="305"/>
      <c r="G3883" s="307">
        <f>G3880*G3881*G3882</f>
        <v>60541.42</v>
      </c>
      <c r="H3883" s="305"/>
      <c r="I3883" s="305" t="s">
        <v>152</v>
      </c>
      <c r="J3883" s="305" t="s">
        <v>130</v>
      </c>
      <c r="K3883" s="305" t="s">
        <v>2161</v>
      </c>
    </row>
    <row r="3884" spans="1:11" x14ac:dyDescent="0.25">
      <c r="A3884" s="302" t="str">
        <f t="shared" si="102"/>
        <v>Steam Traps_Industrial/Process Audit - 125 ≤ psig &lt; 175_MF_Conversion</v>
      </c>
      <c r="B3884" s="303" t="s">
        <v>644</v>
      </c>
      <c r="C3884" s="304" t="s">
        <v>1374</v>
      </c>
      <c r="D3884" s="303" t="s">
        <v>553</v>
      </c>
      <c r="E3884" s="305" t="s">
        <v>284</v>
      </c>
      <c r="F3884" s="305"/>
      <c r="G3884" s="354">
        <v>1000000</v>
      </c>
      <c r="H3884" s="305"/>
      <c r="I3884" s="305" t="s">
        <v>152</v>
      </c>
      <c r="J3884" s="305" t="s">
        <v>130</v>
      </c>
      <c r="K3884" s="305" t="s">
        <v>2161</v>
      </c>
    </row>
    <row r="3885" spans="1:11" x14ac:dyDescent="0.25">
      <c r="A3885" s="302" t="str">
        <f t="shared" si="102"/>
        <v>Steam Traps_Industrial/Process Audit - 125 ≤ psig &lt; 175_MF_E_water_supply</v>
      </c>
      <c r="B3885" s="303" t="s">
        <v>644</v>
      </c>
      <c r="C3885" s="304" t="s">
        <v>1374</v>
      </c>
      <c r="D3885" s="303" t="s">
        <v>553</v>
      </c>
      <c r="E3885" s="305" t="s">
        <v>457</v>
      </c>
      <c r="F3885" s="305"/>
      <c r="G3885" s="307">
        <v>2571</v>
      </c>
      <c r="H3885" s="305"/>
      <c r="I3885" s="305" t="s">
        <v>152</v>
      </c>
      <c r="J3885" s="305" t="s">
        <v>130</v>
      </c>
      <c r="K3885" s="305" t="s">
        <v>2161</v>
      </c>
    </row>
    <row r="3886" spans="1:11" x14ac:dyDescent="0.25">
      <c r="A3886" s="302" t="str">
        <f t="shared" si="102"/>
        <v>Steam Traps_Industrial/Process Audit - 125 ≤ psig &lt; 175_MF_Delta_kWh_water</v>
      </c>
      <c r="B3886" s="303" t="s">
        <v>644</v>
      </c>
      <c r="C3886" s="304" t="s">
        <v>1374</v>
      </c>
      <c r="D3886" s="303" t="s">
        <v>553</v>
      </c>
      <c r="E3886" s="305" t="s">
        <v>334</v>
      </c>
      <c r="F3886" s="305"/>
      <c r="G3886" s="307">
        <f>G3883/G3884*G3885</f>
        <v>155.65199082000001</v>
      </c>
      <c r="H3886" s="305"/>
      <c r="I3886" s="305" t="s">
        <v>152</v>
      </c>
      <c r="J3886" s="305" t="s">
        <v>130</v>
      </c>
      <c r="K3886" s="305" t="s">
        <v>2161</v>
      </c>
    </row>
    <row r="3887" spans="1:11" x14ac:dyDescent="0.25">
      <c r="A3887" s="302" t="str">
        <f t="shared" si="102"/>
        <v>Steam Traps_Industrial/Process Audit - 125 ≤ psig &lt; 175_MF_Sa</v>
      </c>
      <c r="B3887" s="303" t="s">
        <v>644</v>
      </c>
      <c r="C3887" s="304" t="s">
        <v>1374</v>
      </c>
      <c r="D3887" s="303" t="s">
        <v>553</v>
      </c>
      <c r="E3887" s="305" t="s">
        <v>507</v>
      </c>
      <c r="F3887" s="305"/>
      <c r="G3887" s="307">
        <v>60.9</v>
      </c>
      <c r="H3887" s="305" t="s">
        <v>226</v>
      </c>
      <c r="I3887" s="305" t="s">
        <v>152</v>
      </c>
      <c r="J3887" s="305" t="s">
        <v>130</v>
      </c>
      <c r="K3887" s="305" t="s">
        <v>2161</v>
      </c>
    </row>
    <row r="3888" spans="1:11" x14ac:dyDescent="0.25">
      <c r="A3888" s="302" t="str">
        <f t="shared" si="102"/>
        <v>Steam Traps_Industrial/Process Audit - 125 ≤ psig &lt; 175_MF_Hv</v>
      </c>
      <c r="B3888" s="303" t="s">
        <v>644</v>
      </c>
      <c r="C3888" s="304" t="s">
        <v>1374</v>
      </c>
      <c r="D3888" s="303" t="s">
        <v>553</v>
      </c>
      <c r="E3888" s="305" t="s">
        <v>508</v>
      </c>
      <c r="F3888" s="305"/>
      <c r="G3888" s="307">
        <v>859</v>
      </c>
      <c r="H3888" s="305" t="s">
        <v>226</v>
      </c>
      <c r="I3888" s="305" t="s">
        <v>152</v>
      </c>
      <c r="J3888" s="305" t="s">
        <v>130</v>
      </c>
      <c r="K3888" s="305" t="s">
        <v>2161</v>
      </c>
    </row>
    <row r="3889" spans="1:11" x14ac:dyDescent="0.25">
      <c r="A3889" s="302" t="str">
        <f t="shared" si="102"/>
        <v>Steam Traps_Industrial/Process Audit - 125 ≤ psig &lt; 175_MF_Hs</v>
      </c>
      <c r="B3889" s="303" t="s">
        <v>644</v>
      </c>
      <c r="C3889" s="304" t="s">
        <v>1374</v>
      </c>
      <c r="D3889" s="303" t="s">
        <v>553</v>
      </c>
      <c r="E3889" s="340" t="s">
        <v>509</v>
      </c>
      <c r="F3889" s="340"/>
      <c r="G3889" s="341">
        <v>1.0009999999999999</v>
      </c>
      <c r="H3889" s="340" t="s">
        <v>652</v>
      </c>
      <c r="I3889" s="305" t="s">
        <v>152</v>
      </c>
      <c r="J3889" s="305" t="s">
        <v>130</v>
      </c>
      <c r="K3889" s="305" t="s">
        <v>2161</v>
      </c>
    </row>
    <row r="3890" spans="1:11" x14ac:dyDescent="0.25">
      <c r="A3890" s="302" t="str">
        <f t="shared" si="102"/>
        <v>Steam Traps_Industrial/Process Audit - 125 ≤ psig &lt; 175_MF_507.89</v>
      </c>
      <c r="B3890" s="303" t="s">
        <v>644</v>
      </c>
      <c r="C3890" s="304" t="s">
        <v>1374</v>
      </c>
      <c r="D3890" s="303" t="s">
        <v>553</v>
      </c>
      <c r="E3890" s="342">
        <v>507.89</v>
      </c>
      <c r="F3890" s="340"/>
      <c r="G3890" s="341">
        <v>507.89</v>
      </c>
      <c r="H3890" s="340"/>
      <c r="I3890" s="305" t="s">
        <v>152</v>
      </c>
      <c r="J3890" s="305" t="s">
        <v>130</v>
      </c>
      <c r="K3890" s="305" t="s">
        <v>2161</v>
      </c>
    </row>
    <row r="3891" spans="1:11" x14ac:dyDescent="0.25">
      <c r="A3891" s="302" t="str">
        <f t="shared" si="102"/>
        <v>Steam Traps_Industrial/Process Audit - 125 ≤ psig &lt; 175_MF_P1</v>
      </c>
      <c r="B3891" s="303" t="s">
        <v>644</v>
      </c>
      <c r="C3891" s="304" t="s">
        <v>1374</v>
      </c>
      <c r="D3891" s="303" t="s">
        <v>553</v>
      </c>
      <c r="E3891" s="340" t="s">
        <v>510</v>
      </c>
      <c r="F3891" s="340"/>
      <c r="G3891" s="341">
        <f>146+14.696</f>
        <v>160.696</v>
      </c>
      <c r="H3891" s="340" t="s">
        <v>1379</v>
      </c>
      <c r="I3891" s="305" t="s">
        <v>152</v>
      </c>
      <c r="J3891" s="305" t="s">
        <v>130</v>
      </c>
      <c r="K3891" s="305" t="s">
        <v>2161</v>
      </c>
    </row>
    <row r="3892" spans="1:11" x14ac:dyDescent="0.25">
      <c r="A3892" s="302" t="str">
        <f t="shared" si="102"/>
        <v>Steam Traps_Industrial/Process Audit - 125 ≤ psig &lt; 175_MF_0.0962</v>
      </c>
      <c r="B3892" s="303" t="s">
        <v>644</v>
      </c>
      <c r="C3892" s="304" t="s">
        <v>1374</v>
      </c>
      <c r="D3892" s="303" t="s">
        <v>553</v>
      </c>
      <c r="E3892" s="340">
        <v>9.6199999999999994E-2</v>
      </c>
      <c r="F3892" s="340"/>
      <c r="G3892" s="343">
        <v>9.6199999999999994E-2</v>
      </c>
      <c r="H3892" s="340"/>
      <c r="I3892" s="305" t="s">
        <v>152</v>
      </c>
      <c r="J3892" s="305" t="s">
        <v>130</v>
      </c>
      <c r="K3892" s="305" t="s">
        <v>2161</v>
      </c>
    </row>
    <row r="3893" spans="1:11" x14ac:dyDescent="0.25">
      <c r="A3893" s="302" t="str">
        <f t="shared" si="102"/>
        <v>Steam Traps_Industrial/Process Audit - 125 ≤ psig &lt; 175_MF_T1</v>
      </c>
      <c r="B3893" s="303" t="s">
        <v>644</v>
      </c>
      <c r="C3893" s="304" t="s">
        <v>1374</v>
      </c>
      <c r="D3893" s="303" t="s">
        <v>553</v>
      </c>
      <c r="E3893" s="340" t="s">
        <v>511</v>
      </c>
      <c r="F3893" s="340"/>
      <c r="G3893" s="341">
        <f>G3890*(G3891^G3892)</f>
        <v>827.91804679204643</v>
      </c>
      <c r="H3893" s="340" t="s">
        <v>654</v>
      </c>
      <c r="I3893" s="305" t="s">
        <v>152</v>
      </c>
      <c r="J3893" s="305" t="s">
        <v>130</v>
      </c>
      <c r="K3893" s="305" t="s">
        <v>2161</v>
      </c>
    </row>
    <row r="3894" spans="1:11" x14ac:dyDescent="0.25">
      <c r="A3894" s="302" t="str">
        <f t="shared" si="102"/>
        <v>Steam Traps_Industrial/Process Audit - 125 ≤ psig &lt; 175_MF_Tsource</v>
      </c>
      <c r="B3894" s="303" t="s">
        <v>644</v>
      </c>
      <c r="C3894" s="304" t="s">
        <v>1374</v>
      </c>
      <c r="D3894" s="303" t="s">
        <v>553</v>
      </c>
      <c r="E3894" s="340" t="s">
        <v>512</v>
      </c>
      <c r="F3894" s="340"/>
      <c r="G3894" s="341">
        <v>513.66999999999996</v>
      </c>
      <c r="H3894" s="340" t="s">
        <v>655</v>
      </c>
      <c r="I3894" s="305" t="s">
        <v>152</v>
      </c>
      <c r="J3894" s="305" t="s">
        <v>130</v>
      </c>
      <c r="K3894" s="305" t="s">
        <v>2161</v>
      </c>
    </row>
    <row r="3895" spans="1:11" x14ac:dyDescent="0.25">
      <c r="A3895" s="302" t="str">
        <f t="shared" si="102"/>
        <v>Steam Traps_Industrial/Process Audit - 125 ≤ psig &lt; 175_MF_Hours of Operation</v>
      </c>
      <c r="B3895" s="303" t="s">
        <v>644</v>
      </c>
      <c r="C3895" s="304" t="s">
        <v>1374</v>
      </c>
      <c r="D3895" s="303" t="s">
        <v>553</v>
      </c>
      <c r="E3895" s="305" t="s">
        <v>460</v>
      </c>
      <c r="F3895" s="309" t="s">
        <v>647</v>
      </c>
      <c r="G3895" s="354">
        <f>AVERAGE(1540,1782)</f>
        <v>1661</v>
      </c>
      <c r="H3895" s="305" t="s">
        <v>648</v>
      </c>
      <c r="I3895" s="305" t="s">
        <v>152</v>
      </c>
      <c r="J3895" s="305" t="s">
        <v>130</v>
      </c>
      <c r="K3895" s="305" t="s">
        <v>2161</v>
      </c>
    </row>
    <row r="3896" spans="1:11" x14ac:dyDescent="0.25">
      <c r="A3896" s="302" t="str">
        <f t="shared" si="102"/>
        <v>Steam Traps_Industrial/Process Audit - 125 ≤ psig &lt; 175_MF_L</v>
      </c>
      <c r="B3896" s="303" t="s">
        <v>644</v>
      </c>
      <c r="C3896" s="304" t="s">
        <v>1374</v>
      </c>
      <c r="D3896" s="303" t="s">
        <v>553</v>
      </c>
      <c r="E3896" s="305" t="s">
        <v>437</v>
      </c>
      <c r="F3896" s="309"/>
      <c r="G3896" s="306">
        <v>1</v>
      </c>
      <c r="H3896" s="305" t="s">
        <v>1280</v>
      </c>
      <c r="I3896" s="305" t="s">
        <v>152</v>
      </c>
      <c r="J3896" s="305" t="s">
        <v>130</v>
      </c>
      <c r="K3896" s="305" t="s">
        <v>2161</v>
      </c>
    </row>
    <row r="3897" spans="1:11" x14ac:dyDescent="0.25">
      <c r="A3897" s="302" t="str">
        <f t="shared" si="102"/>
        <v>Steam Traps_Industrial/Process Audit - 125 ≤ psig &lt; 175_MF_Conversion</v>
      </c>
      <c r="B3897" s="303" t="s">
        <v>644</v>
      </c>
      <c r="C3897" s="304" t="s">
        <v>1374</v>
      </c>
      <c r="D3897" s="303" t="s">
        <v>553</v>
      </c>
      <c r="E3897" s="305" t="s">
        <v>284</v>
      </c>
      <c r="F3897" s="309" t="s">
        <v>622</v>
      </c>
      <c r="G3897" s="325">
        <v>100000</v>
      </c>
      <c r="H3897" s="305"/>
      <c r="I3897" s="305" t="s">
        <v>152</v>
      </c>
      <c r="J3897" s="305" t="s">
        <v>130</v>
      </c>
      <c r="K3897" s="305" t="s">
        <v>2161</v>
      </c>
    </row>
    <row r="3898" spans="1:11" x14ac:dyDescent="0.25">
      <c r="A3898" s="302" t="str">
        <f t="shared" si="102"/>
        <v>Steam Traps_Industrial/Process Audit - 125 ≤ psig &lt; 175_MF_n_B</v>
      </c>
      <c r="B3898" s="303" t="s">
        <v>644</v>
      </c>
      <c r="C3898" s="304" t="s">
        <v>1374</v>
      </c>
      <c r="D3898" s="303" t="s">
        <v>553</v>
      </c>
      <c r="E3898" s="340" t="s">
        <v>657</v>
      </c>
      <c r="F3898" s="341"/>
      <c r="G3898" s="346">
        <v>0.80700000000000005</v>
      </c>
      <c r="H3898" s="340" t="s">
        <v>665</v>
      </c>
      <c r="I3898" s="305" t="s">
        <v>152</v>
      </c>
      <c r="J3898" s="305" t="s">
        <v>130</v>
      </c>
      <c r="K3898" s="305" t="s">
        <v>2161</v>
      </c>
    </row>
    <row r="3899" spans="1:11" x14ac:dyDescent="0.25">
      <c r="A3899" s="302" t="str">
        <f t="shared" si="102"/>
        <v>Steam Traps_Industrial/Process Audit - 125 ≤ psig &lt; 175_MF_kWh Saved per Unit</v>
      </c>
      <c r="B3899" s="303" t="s">
        <v>644</v>
      </c>
      <c r="C3899" s="304" t="s">
        <v>1374</v>
      </c>
      <c r="D3899" s="303" t="s">
        <v>553</v>
      </c>
      <c r="E3899" s="314" t="s">
        <v>255</v>
      </c>
      <c r="F3899" s="326"/>
      <c r="G3899" s="315">
        <f>G3886</f>
        <v>155.65199082000001</v>
      </c>
      <c r="H3899" s="305"/>
      <c r="I3899" s="305" t="s">
        <v>152</v>
      </c>
      <c r="J3899" s="305" t="s">
        <v>130</v>
      </c>
      <c r="K3899" s="305" t="s">
        <v>2161</v>
      </c>
    </row>
    <row r="3900" spans="1:11" x14ac:dyDescent="0.25">
      <c r="A3900" s="302" t="str">
        <f t="shared" si="102"/>
        <v>Steam Traps_Industrial/Process Audit - 125 ≤ psig &lt; 175_MF_Coincident Peak kW Saved per Unit</v>
      </c>
      <c r="B3900" s="303" t="s">
        <v>644</v>
      </c>
      <c r="C3900" s="304" t="s">
        <v>1374</v>
      </c>
      <c r="D3900" s="303" t="s">
        <v>553</v>
      </c>
      <c r="E3900" s="314" t="s">
        <v>257</v>
      </c>
      <c r="F3900" s="326"/>
      <c r="G3900" s="315">
        <v>0</v>
      </c>
      <c r="H3900" s="305"/>
      <c r="I3900" s="305" t="s">
        <v>152</v>
      </c>
      <c r="J3900" s="305" t="s">
        <v>130</v>
      </c>
      <c r="K3900" s="305" t="s">
        <v>2161</v>
      </c>
    </row>
    <row r="3901" spans="1:11" x14ac:dyDescent="0.25">
      <c r="A3901" s="302" t="str">
        <f t="shared" si="102"/>
        <v>Steam Traps_Industrial/Process Audit - 125 ≤ psig &lt; 175_MF_Therm Saved per Unit</v>
      </c>
      <c r="B3901" s="303" t="s">
        <v>644</v>
      </c>
      <c r="C3901" s="304" t="s">
        <v>1374</v>
      </c>
      <c r="D3901" s="303" t="s">
        <v>553</v>
      </c>
      <c r="E3901" s="314" t="s">
        <v>326</v>
      </c>
      <c r="F3901" s="326"/>
      <c r="G3901" s="315">
        <f xml:space="preserve"> G3887 * (G3888 + G3889 * (G3893 - G3894)) * G3895 * G3896 / (G3897 * G3898)</f>
        <v>1471.0232537570409</v>
      </c>
      <c r="H3901" s="305"/>
      <c r="I3901" s="305" t="s">
        <v>152</v>
      </c>
      <c r="J3901" s="305" t="s">
        <v>130</v>
      </c>
      <c r="K3901" s="305" t="s">
        <v>2161</v>
      </c>
    </row>
    <row r="3902" spans="1:11" x14ac:dyDescent="0.25">
      <c r="A3902" s="302" t="str">
        <f t="shared" si="102"/>
        <v>Steam Traps_Industrial/Process Audit - 125 ≤ psig &lt; 175_MF_Gallons Saved per Unit</v>
      </c>
      <c r="B3902" s="303" t="s">
        <v>644</v>
      </c>
      <c r="C3902" s="304" t="s">
        <v>1374</v>
      </c>
      <c r="D3902" s="303" t="s">
        <v>553</v>
      </c>
      <c r="E3902" s="314" t="s">
        <v>547</v>
      </c>
      <c r="F3902" s="326"/>
      <c r="G3902" s="315">
        <f>G3883</f>
        <v>60541.42</v>
      </c>
      <c r="H3902" s="305"/>
      <c r="I3902" s="305" t="s">
        <v>152</v>
      </c>
      <c r="J3902" s="305" t="s">
        <v>130</v>
      </c>
      <c r="K3902" s="305" t="s">
        <v>2161</v>
      </c>
    </row>
    <row r="3903" spans="1:11" x14ac:dyDescent="0.25">
      <c r="A3903" s="302" t="str">
        <f t="shared" si="102"/>
        <v>Steam Traps_Industrial/Process Audit - 125 ≤ psig &lt; 175_MF_Lifetime (years)</v>
      </c>
      <c r="B3903" s="303" t="s">
        <v>644</v>
      </c>
      <c r="C3903" s="304" t="s">
        <v>1374</v>
      </c>
      <c r="D3903" s="303" t="s">
        <v>553</v>
      </c>
      <c r="E3903" s="314" t="s">
        <v>259</v>
      </c>
      <c r="F3903" s="326"/>
      <c r="G3903" s="315">
        <v>6</v>
      </c>
      <c r="H3903" s="305" t="s">
        <v>659</v>
      </c>
      <c r="I3903" s="305" t="s">
        <v>152</v>
      </c>
      <c r="J3903" s="305" t="s">
        <v>130</v>
      </c>
      <c r="K3903" s="305" t="s">
        <v>2161</v>
      </c>
    </row>
    <row r="3904" spans="1:11" x14ac:dyDescent="0.25">
      <c r="A3904" s="302" t="str">
        <f t="shared" si="102"/>
        <v>Steam Traps_Industrial/Process Audit - 125 ≤ psig &lt; 175_MF_Incremental Cost</v>
      </c>
      <c r="B3904" s="303" t="s">
        <v>644</v>
      </c>
      <c r="C3904" s="304" t="s">
        <v>1374</v>
      </c>
      <c r="D3904" s="303" t="s">
        <v>553</v>
      </c>
      <c r="E3904" s="314" t="s">
        <v>260</v>
      </c>
      <c r="F3904" s="326"/>
      <c r="G3904" s="315">
        <v>322</v>
      </c>
      <c r="H3904" s="305" t="s">
        <v>1373</v>
      </c>
      <c r="I3904" s="305" t="s">
        <v>152</v>
      </c>
      <c r="J3904" s="305" t="s">
        <v>130</v>
      </c>
      <c r="K3904" s="305" t="s">
        <v>2161</v>
      </c>
    </row>
    <row r="3905" spans="1:11" x14ac:dyDescent="0.25">
      <c r="A3905" s="317" t="str">
        <f t="shared" si="102"/>
        <v>Steam Traps_Industrial/Process Audit - 125 ≤ psig &lt; 175_MF_</v>
      </c>
      <c r="B3905" s="317" t="str">
        <f>B3904</f>
        <v>Steam Traps</v>
      </c>
      <c r="C3905" s="332" t="str">
        <f>C3904</f>
        <v>Industrial/Process Audit - 125 ≤ psig &lt; 175</v>
      </c>
      <c r="D3905" s="317" t="str">
        <f>D3904</f>
        <v>MF</v>
      </c>
      <c r="E3905" s="320"/>
      <c r="F3905" s="320"/>
      <c r="G3905" s="329"/>
      <c r="H3905" s="320"/>
      <c r="I3905" s="320"/>
      <c r="J3905" s="320"/>
      <c r="K3905" s="320"/>
    </row>
    <row r="3906" spans="1:11" x14ac:dyDescent="0.25">
      <c r="A3906" s="302" t="str">
        <f t="shared" si="102"/>
        <v>Steam Traps_Industrial/Process Audit - 175 ≤ psig &lt; 250_MF_GAL</v>
      </c>
      <c r="B3906" s="303" t="s">
        <v>644</v>
      </c>
      <c r="C3906" s="304" t="s">
        <v>1375</v>
      </c>
      <c r="D3906" s="303" t="s">
        <v>553</v>
      </c>
      <c r="E3906" s="305" t="s">
        <v>513</v>
      </c>
      <c r="F3906" s="309"/>
      <c r="G3906" s="306">
        <v>9.86</v>
      </c>
      <c r="H3906" s="305" t="s">
        <v>227</v>
      </c>
      <c r="I3906" s="305" t="s">
        <v>152</v>
      </c>
      <c r="J3906" s="305" t="s">
        <v>130</v>
      </c>
      <c r="K3906" s="305" t="s">
        <v>2161</v>
      </c>
    </row>
    <row r="3907" spans="1:11" x14ac:dyDescent="0.25">
      <c r="A3907" s="302" t="str">
        <f t="shared" si="102"/>
        <v>Steam Traps_Industrial/Process Audit - 175 ≤ psig &lt; 250_MF_Hours of Operation</v>
      </c>
      <c r="B3907" s="303" t="s">
        <v>644</v>
      </c>
      <c r="C3907" s="304" t="s">
        <v>1375</v>
      </c>
      <c r="D3907" s="303" t="s">
        <v>553</v>
      </c>
      <c r="E3907" s="305" t="s">
        <v>460</v>
      </c>
      <c r="F3907" s="309" t="s">
        <v>647</v>
      </c>
      <c r="G3907" s="354">
        <v>8282</v>
      </c>
      <c r="H3907" s="305" t="s">
        <v>227</v>
      </c>
      <c r="I3907" s="305" t="s">
        <v>152</v>
      </c>
      <c r="J3907" s="305" t="s">
        <v>130</v>
      </c>
      <c r="K3907" s="305" t="s">
        <v>2161</v>
      </c>
    </row>
    <row r="3908" spans="1:11" x14ac:dyDescent="0.25">
      <c r="A3908" s="302" t="str">
        <f t="shared" si="102"/>
        <v>Steam Traps_Industrial/Process Audit - 175 ≤ psig &lt; 250_MF_L</v>
      </c>
      <c r="B3908" s="303" t="s">
        <v>644</v>
      </c>
      <c r="C3908" s="304" t="s">
        <v>1375</v>
      </c>
      <c r="D3908" s="303" t="s">
        <v>553</v>
      </c>
      <c r="E3908" s="305" t="s">
        <v>437</v>
      </c>
      <c r="F3908" s="309"/>
      <c r="G3908" s="306">
        <v>1</v>
      </c>
      <c r="H3908" s="305" t="s">
        <v>1280</v>
      </c>
      <c r="I3908" s="305" t="s">
        <v>152</v>
      </c>
      <c r="J3908" s="305" t="s">
        <v>130</v>
      </c>
      <c r="K3908" s="305" t="s">
        <v>2161</v>
      </c>
    </row>
    <row r="3909" spans="1:11" x14ac:dyDescent="0.25">
      <c r="A3909" s="302" t="str">
        <f t="shared" si="102"/>
        <v>Steam Traps_Industrial/Process Audit - 175 ≤ psig &lt; 250_MF_Delta_Water_Gallons</v>
      </c>
      <c r="B3909" s="303" t="s">
        <v>644</v>
      </c>
      <c r="C3909" s="304" t="s">
        <v>1375</v>
      </c>
      <c r="D3909" s="303" t="s">
        <v>553</v>
      </c>
      <c r="E3909" s="305" t="s">
        <v>456</v>
      </c>
      <c r="F3909" s="305"/>
      <c r="G3909" s="307">
        <f>G3906*G3907*G3908</f>
        <v>81660.51999999999</v>
      </c>
      <c r="H3909" s="305"/>
      <c r="I3909" s="305" t="s">
        <v>152</v>
      </c>
      <c r="J3909" s="305" t="s">
        <v>130</v>
      </c>
      <c r="K3909" s="305" t="s">
        <v>2161</v>
      </c>
    </row>
    <row r="3910" spans="1:11" x14ac:dyDescent="0.25">
      <c r="A3910" s="302" t="str">
        <f t="shared" si="102"/>
        <v>Steam Traps_Industrial/Process Audit - 175 ≤ psig &lt; 250_MF_Conversion</v>
      </c>
      <c r="B3910" s="303" t="s">
        <v>644</v>
      </c>
      <c r="C3910" s="304" t="s">
        <v>1375</v>
      </c>
      <c r="D3910" s="303" t="s">
        <v>553</v>
      </c>
      <c r="E3910" s="305" t="s">
        <v>284</v>
      </c>
      <c r="F3910" s="305"/>
      <c r="G3910" s="354">
        <v>1000000</v>
      </c>
      <c r="H3910" s="305"/>
      <c r="I3910" s="305" t="s">
        <v>152</v>
      </c>
      <c r="J3910" s="305" t="s">
        <v>130</v>
      </c>
      <c r="K3910" s="305" t="s">
        <v>2161</v>
      </c>
    </row>
    <row r="3911" spans="1:11" x14ac:dyDescent="0.25">
      <c r="A3911" s="302" t="str">
        <f t="shared" si="102"/>
        <v>Steam Traps_Industrial/Process Audit - 175 ≤ psig &lt; 250_MF_E_water_supply</v>
      </c>
      <c r="B3911" s="303" t="s">
        <v>644</v>
      </c>
      <c r="C3911" s="304" t="s">
        <v>1375</v>
      </c>
      <c r="D3911" s="303" t="s">
        <v>553</v>
      </c>
      <c r="E3911" s="305" t="s">
        <v>457</v>
      </c>
      <c r="F3911" s="305"/>
      <c r="G3911" s="307">
        <v>2571</v>
      </c>
      <c r="H3911" s="305"/>
      <c r="I3911" s="305" t="s">
        <v>152</v>
      </c>
      <c r="J3911" s="305" t="s">
        <v>130</v>
      </c>
      <c r="K3911" s="305" t="s">
        <v>2161</v>
      </c>
    </row>
    <row r="3912" spans="1:11" x14ac:dyDescent="0.25">
      <c r="A3912" s="302" t="str">
        <f t="shared" si="102"/>
        <v>Steam Traps_Industrial/Process Audit - 175 ≤ psig &lt; 250_MF_Delta_kWh_water</v>
      </c>
      <c r="B3912" s="303" t="s">
        <v>644</v>
      </c>
      <c r="C3912" s="304" t="s">
        <v>1375</v>
      </c>
      <c r="D3912" s="303" t="s">
        <v>553</v>
      </c>
      <c r="E3912" s="305" t="s">
        <v>334</v>
      </c>
      <c r="F3912" s="305"/>
      <c r="G3912" s="307">
        <f>G3909/G3910*G3911</f>
        <v>209.94919691999996</v>
      </c>
      <c r="H3912" s="305"/>
      <c r="I3912" s="305" t="s">
        <v>152</v>
      </c>
      <c r="J3912" s="305" t="s">
        <v>130</v>
      </c>
      <c r="K3912" s="305" t="s">
        <v>2161</v>
      </c>
    </row>
    <row r="3913" spans="1:11" x14ac:dyDescent="0.25">
      <c r="A3913" s="302" t="str">
        <f t="shared" si="102"/>
        <v>Steam Traps_Industrial/Process Audit - 175 ≤ psig &lt; 250_MF_Sa</v>
      </c>
      <c r="B3913" s="303" t="s">
        <v>644</v>
      </c>
      <c r="C3913" s="304" t="s">
        <v>1375</v>
      </c>
      <c r="D3913" s="303" t="s">
        <v>553</v>
      </c>
      <c r="E3913" s="305" t="s">
        <v>507</v>
      </c>
      <c r="F3913" s="305"/>
      <c r="G3913" s="307">
        <v>82.1</v>
      </c>
      <c r="H3913" s="305" t="s">
        <v>227</v>
      </c>
      <c r="I3913" s="305" t="s">
        <v>152</v>
      </c>
      <c r="J3913" s="305" t="s">
        <v>130</v>
      </c>
      <c r="K3913" s="305" t="s">
        <v>2161</v>
      </c>
    </row>
    <row r="3914" spans="1:11" x14ac:dyDescent="0.25">
      <c r="A3914" s="302" t="str">
        <f t="shared" si="102"/>
        <v>Steam Traps_Industrial/Process Audit - 175 ≤ psig &lt; 250_MF_Hv</v>
      </c>
      <c r="B3914" s="303" t="s">
        <v>644</v>
      </c>
      <c r="C3914" s="304" t="s">
        <v>1375</v>
      </c>
      <c r="D3914" s="303" t="s">
        <v>553</v>
      </c>
      <c r="E3914" s="305" t="s">
        <v>508</v>
      </c>
      <c r="F3914" s="305"/>
      <c r="G3914" s="307">
        <v>837</v>
      </c>
      <c r="H3914" s="305" t="s">
        <v>227</v>
      </c>
      <c r="I3914" s="305" t="s">
        <v>152</v>
      </c>
      <c r="J3914" s="305" t="s">
        <v>130</v>
      </c>
      <c r="K3914" s="305" t="s">
        <v>2161</v>
      </c>
    </row>
    <row r="3915" spans="1:11" x14ac:dyDescent="0.25">
      <c r="A3915" s="302" t="str">
        <f t="shared" si="102"/>
        <v>Steam Traps_Industrial/Process Audit - 175 ≤ psig &lt; 250_MF_Hs</v>
      </c>
      <c r="B3915" s="303" t="s">
        <v>644</v>
      </c>
      <c r="C3915" s="304" t="s">
        <v>1375</v>
      </c>
      <c r="D3915" s="303" t="s">
        <v>553</v>
      </c>
      <c r="E3915" s="340" t="s">
        <v>509</v>
      </c>
      <c r="F3915" s="340"/>
      <c r="G3915" s="341">
        <v>1.0009999999999999</v>
      </c>
      <c r="H3915" s="340" t="s">
        <v>652</v>
      </c>
      <c r="I3915" s="305" t="s">
        <v>152</v>
      </c>
      <c r="J3915" s="305" t="s">
        <v>130</v>
      </c>
      <c r="K3915" s="305" t="s">
        <v>2161</v>
      </c>
    </row>
    <row r="3916" spans="1:11" x14ac:dyDescent="0.25">
      <c r="A3916" s="302" t="str">
        <f t="shared" si="102"/>
        <v>Steam Traps_Industrial/Process Audit - 175 ≤ psig &lt; 250_MF_507.89</v>
      </c>
      <c r="B3916" s="303" t="s">
        <v>644</v>
      </c>
      <c r="C3916" s="304" t="s">
        <v>1375</v>
      </c>
      <c r="D3916" s="303" t="s">
        <v>553</v>
      </c>
      <c r="E3916" s="342">
        <v>507.89</v>
      </c>
      <c r="F3916" s="340"/>
      <c r="G3916" s="341">
        <v>507.89</v>
      </c>
      <c r="H3916" s="340"/>
      <c r="I3916" s="305" t="s">
        <v>152</v>
      </c>
      <c r="J3916" s="305" t="s">
        <v>130</v>
      </c>
      <c r="K3916" s="305" t="s">
        <v>2161</v>
      </c>
    </row>
    <row r="3917" spans="1:11" x14ac:dyDescent="0.25">
      <c r="A3917" s="302" t="str">
        <f t="shared" si="102"/>
        <v>Steam Traps_Industrial/Process Audit - 175 ≤ psig &lt; 250_MF_P1</v>
      </c>
      <c r="B3917" s="303" t="s">
        <v>644</v>
      </c>
      <c r="C3917" s="304" t="s">
        <v>1375</v>
      </c>
      <c r="D3917" s="303" t="s">
        <v>553</v>
      </c>
      <c r="E3917" s="340" t="s">
        <v>510</v>
      </c>
      <c r="F3917" s="340"/>
      <c r="G3917" s="341">
        <f>202+14.696</f>
        <v>216.696</v>
      </c>
      <c r="H3917" s="340" t="s">
        <v>1380</v>
      </c>
      <c r="I3917" s="305" t="s">
        <v>152</v>
      </c>
      <c r="J3917" s="305" t="s">
        <v>130</v>
      </c>
      <c r="K3917" s="305" t="s">
        <v>2161</v>
      </c>
    </row>
    <row r="3918" spans="1:11" x14ac:dyDescent="0.25">
      <c r="A3918" s="302" t="str">
        <f t="shared" si="102"/>
        <v>Steam Traps_Industrial/Process Audit - 175 ≤ psig &lt; 250_MF_0.0962</v>
      </c>
      <c r="B3918" s="303" t="s">
        <v>644</v>
      </c>
      <c r="C3918" s="304" t="s">
        <v>1375</v>
      </c>
      <c r="D3918" s="303" t="s">
        <v>553</v>
      </c>
      <c r="E3918" s="340">
        <v>9.6199999999999994E-2</v>
      </c>
      <c r="F3918" s="340"/>
      <c r="G3918" s="343">
        <v>9.6199999999999994E-2</v>
      </c>
      <c r="H3918" s="340"/>
      <c r="I3918" s="305" t="s">
        <v>152</v>
      </c>
      <c r="J3918" s="305" t="s">
        <v>130</v>
      </c>
      <c r="K3918" s="305" t="s">
        <v>2161</v>
      </c>
    </row>
    <row r="3919" spans="1:11" x14ac:dyDescent="0.25">
      <c r="A3919" s="302" t="str">
        <f t="shared" si="102"/>
        <v>Steam Traps_Industrial/Process Audit - 175 ≤ psig &lt; 250_MF_T1</v>
      </c>
      <c r="B3919" s="303" t="s">
        <v>644</v>
      </c>
      <c r="C3919" s="304" t="s">
        <v>1375</v>
      </c>
      <c r="D3919" s="303" t="s">
        <v>553</v>
      </c>
      <c r="E3919" s="340" t="s">
        <v>511</v>
      </c>
      <c r="F3919" s="340"/>
      <c r="G3919" s="341">
        <f>G3916*(G3917^G3918)</f>
        <v>852.07636317855679</v>
      </c>
      <c r="H3919" s="340" t="s">
        <v>654</v>
      </c>
      <c r="I3919" s="305" t="s">
        <v>152</v>
      </c>
      <c r="J3919" s="305" t="s">
        <v>130</v>
      </c>
      <c r="K3919" s="305" t="s">
        <v>2161</v>
      </c>
    </row>
    <row r="3920" spans="1:11" x14ac:dyDescent="0.25">
      <c r="A3920" s="302" t="str">
        <f t="shared" ref="A3920:A3983" si="103">B3920&amp;"_"&amp;C3920&amp;"_"&amp;D3920&amp;"_"&amp;E3920</f>
        <v>Steam Traps_Industrial/Process Audit - 175 ≤ psig &lt; 250_MF_Tsource</v>
      </c>
      <c r="B3920" s="303" t="s">
        <v>644</v>
      </c>
      <c r="C3920" s="304" t="s">
        <v>1375</v>
      </c>
      <c r="D3920" s="303" t="s">
        <v>553</v>
      </c>
      <c r="E3920" s="340" t="s">
        <v>512</v>
      </c>
      <c r="F3920" s="340"/>
      <c r="G3920" s="341">
        <v>513.66999999999996</v>
      </c>
      <c r="H3920" s="340" t="s">
        <v>655</v>
      </c>
      <c r="I3920" s="305" t="s">
        <v>152</v>
      </c>
      <c r="J3920" s="305" t="s">
        <v>130</v>
      </c>
      <c r="K3920" s="305" t="s">
        <v>2161</v>
      </c>
    </row>
    <row r="3921" spans="1:11" x14ac:dyDescent="0.25">
      <c r="A3921" s="302" t="str">
        <f t="shared" si="103"/>
        <v>Steam Traps_Industrial/Process Audit - 175 ≤ psig &lt; 250_MF_Hours of Operation</v>
      </c>
      <c r="B3921" s="303" t="s">
        <v>644</v>
      </c>
      <c r="C3921" s="304" t="s">
        <v>1375</v>
      </c>
      <c r="D3921" s="303" t="s">
        <v>553</v>
      </c>
      <c r="E3921" s="305" t="s">
        <v>460</v>
      </c>
      <c r="F3921" s="309" t="s">
        <v>647</v>
      </c>
      <c r="G3921" s="354">
        <f>AVERAGE(1540,1782)</f>
        <v>1661</v>
      </c>
      <c r="H3921" s="305" t="s">
        <v>648</v>
      </c>
      <c r="I3921" s="305" t="s">
        <v>152</v>
      </c>
      <c r="J3921" s="305" t="s">
        <v>130</v>
      </c>
      <c r="K3921" s="305" t="s">
        <v>2161</v>
      </c>
    </row>
    <row r="3922" spans="1:11" x14ac:dyDescent="0.25">
      <c r="A3922" s="302" t="str">
        <f t="shared" si="103"/>
        <v>Steam Traps_Industrial/Process Audit - 175 ≤ psig &lt; 250_MF_L</v>
      </c>
      <c r="B3922" s="303" t="s">
        <v>644</v>
      </c>
      <c r="C3922" s="304" t="s">
        <v>1375</v>
      </c>
      <c r="D3922" s="303" t="s">
        <v>553</v>
      </c>
      <c r="E3922" s="305" t="s">
        <v>437</v>
      </c>
      <c r="F3922" s="309"/>
      <c r="G3922" s="306">
        <v>1</v>
      </c>
      <c r="H3922" s="305" t="s">
        <v>1280</v>
      </c>
      <c r="I3922" s="305" t="s">
        <v>152</v>
      </c>
      <c r="J3922" s="305" t="s">
        <v>130</v>
      </c>
      <c r="K3922" s="305" t="s">
        <v>2161</v>
      </c>
    </row>
    <row r="3923" spans="1:11" x14ac:dyDescent="0.25">
      <c r="A3923" s="302" t="str">
        <f t="shared" si="103"/>
        <v>Steam Traps_Industrial/Process Audit - 175 ≤ psig &lt; 250_MF_Conversion</v>
      </c>
      <c r="B3923" s="303" t="s">
        <v>644</v>
      </c>
      <c r="C3923" s="304" t="s">
        <v>1375</v>
      </c>
      <c r="D3923" s="303" t="s">
        <v>553</v>
      </c>
      <c r="E3923" s="305" t="s">
        <v>284</v>
      </c>
      <c r="F3923" s="309" t="s">
        <v>622</v>
      </c>
      <c r="G3923" s="325">
        <v>100000</v>
      </c>
      <c r="H3923" s="305"/>
      <c r="I3923" s="305" t="s">
        <v>152</v>
      </c>
      <c r="J3923" s="305" t="s">
        <v>130</v>
      </c>
      <c r="K3923" s="305" t="s">
        <v>2161</v>
      </c>
    </row>
    <row r="3924" spans="1:11" x14ac:dyDescent="0.25">
      <c r="A3924" s="302" t="str">
        <f t="shared" si="103"/>
        <v>Steam Traps_Industrial/Process Audit - 175 ≤ psig &lt; 250_MF_n_B</v>
      </c>
      <c r="B3924" s="303" t="s">
        <v>644</v>
      </c>
      <c r="C3924" s="304" t="s">
        <v>1375</v>
      </c>
      <c r="D3924" s="303" t="s">
        <v>553</v>
      </c>
      <c r="E3924" s="340" t="s">
        <v>657</v>
      </c>
      <c r="F3924" s="341"/>
      <c r="G3924" s="346">
        <v>0.80700000000000005</v>
      </c>
      <c r="H3924" s="340" t="s">
        <v>665</v>
      </c>
      <c r="I3924" s="305" t="s">
        <v>152</v>
      </c>
      <c r="J3924" s="305" t="s">
        <v>130</v>
      </c>
      <c r="K3924" s="305" t="s">
        <v>2161</v>
      </c>
    </row>
    <row r="3925" spans="1:11" x14ac:dyDescent="0.25">
      <c r="A3925" s="302" t="str">
        <f t="shared" si="103"/>
        <v>Steam Traps_Industrial/Process Audit - 175 ≤ psig &lt; 250_MF_kWh Saved per Unit</v>
      </c>
      <c r="B3925" s="303" t="s">
        <v>644</v>
      </c>
      <c r="C3925" s="304" t="s">
        <v>1375</v>
      </c>
      <c r="D3925" s="303" t="s">
        <v>553</v>
      </c>
      <c r="E3925" s="314" t="s">
        <v>255</v>
      </c>
      <c r="F3925" s="326"/>
      <c r="G3925" s="315">
        <f>G3912</f>
        <v>209.94919691999996</v>
      </c>
      <c r="H3925" s="305"/>
      <c r="I3925" s="305" t="s">
        <v>152</v>
      </c>
      <c r="J3925" s="305" t="s">
        <v>130</v>
      </c>
      <c r="K3925" s="305" t="s">
        <v>2161</v>
      </c>
    </row>
    <row r="3926" spans="1:11" x14ac:dyDescent="0.25">
      <c r="A3926" s="302" t="str">
        <f t="shared" si="103"/>
        <v>Steam Traps_Industrial/Process Audit - 175 ≤ psig &lt; 250_MF_Coincident Peak kW Saved per Unit</v>
      </c>
      <c r="B3926" s="303" t="s">
        <v>644</v>
      </c>
      <c r="C3926" s="304" t="s">
        <v>1375</v>
      </c>
      <c r="D3926" s="303" t="s">
        <v>553</v>
      </c>
      <c r="E3926" s="314" t="s">
        <v>257</v>
      </c>
      <c r="F3926" s="326"/>
      <c r="G3926" s="315">
        <v>0</v>
      </c>
      <c r="H3926" s="305"/>
      <c r="I3926" s="305" t="s">
        <v>152</v>
      </c>
      <c r="J3926" s="305" t="s">
        <v>130</v>
      </c>
      <c r="K3926" s="305" t="s">
        <v>2161</v>
      </c>
    </row>
    <row r="3927" spans="1:11" x14ac:dyDescent="0.25">
      <c r="A3927" s="302" t="str">
        <f t="shared" si="103"/>
        <v>Steam Traps_Industrial/Process Audit - 175 ≤ psig &lt; 250_MF_Therm Saved per Unit</v>
      </c>
      <c r="B3927" s="303" t="s">
        <v>644</v>
      </c>
      <c r="C3927" s="304" t="s">
        <v>1375</v>
      </c>
      <c r="D3927" s="303" t="s">
        <v>553</v>
      </c>
      <c r="E3927" s="314" t="s">
        <v>326</v>
      </c>
      <c r="F3927" s="326"/>
      <c r="G3927" s="315">
        <f xml:space="preserve"> G3913 * (G3914 + G3915 * (G3919 - G3920)) * G3921 * G3922 / (G3923 * G3924)</f>
        <v>1986.7915775383435</v>
      </c>
      <c r="H3927" s="305"/>
      <c r="I3927" s="305" t="s">
        <v>152</v>
      </c>
      <c r="J3927" s="305" t="s">
        <v>130</v>
      </c>
      <c r="K3927" s="305" t="s">
        <v>2161</v>
      </c>
    </row>
    <row r="3928" spans="1:11" x14ac:dyDescent="0.25">
      <c r="A3928" s="302" t="str">
        <f t="shared" si="103"/>
        <v>Steam Traps_Industrial/Process Audit - 175 ≤ psig &lt; 250_MF_Gallons Saved per Unit</v>
      </c>
      <c r="B3928" s="303" t="s">
        <v>644</v>
      </c>
      <c r="C3928" s="304" t="s">
        <v>1375</v>
      </c>
      <c r="D3928" s="303" t="s">
        <v>553</v>
      </c>
      <c r="E3928" s="314" t="s">
        <v>547</v>
      </c>
      <c r="F3928" s="326"/>
      <c r="G3928" s="315">
        <f>G3909</f>
        <v>81660.51999999999</v>
      </c>
      <c r="H3928" s="305"/>
      <c r="I3928" s="305" t="s">
        <v>152</v>
      </c>
      <c r="J3928" s="305" t="s">
        <v>130</v>
      </c>
      <c r="K3928" s="305" t="s">
        <v>2161</v>
      </c>
    </row>
    <row r="3929" spans="1:11" x14ac:dyDescent="0.25">
      <c r="A3929" s="302" t="str">
        <f t="shared" si="103"/>
        <v>Steam Traps_Industrial/Process Audit - 175 ≤ psig &lt; 250_MF_Lifetime (years)</v>
      </c>
      <c r="B3929" s="303" t="s">
        <v>644</v>
      </c>
      <c r="C3929" s="304" t="s">
        <v>1375</v>
      </c>
      <c r="D3929" s="303" t="s">
        <v>553</v>
      </c>
      <c r="E3929" s="314" t="s">
        <v>259</v>
      </c>
      <c r="F3929" s="326"/>
      <c r="G3929" s="315">
        <v>6</v>
      </c>
      <c r="H3929" s="305" t="s">
        <v>659</v>
      </c>
      <c r="I3929" s="305" t="s">
        <v>152</v>
      </c>
      <c r="J3929" s="305" t="s">
        <v>130</v>
      </c>
      <c r="K3929" s="305" t="s">
        <v>2161</v>
      </c>
    </row>
    <row r="3930" spans="1:11" x14ac:dyDescent="0.25">
      <c r="A3930" s="302" t="str">
        <f t="shared" si="103"/>
        <v>Steam Traps_Industrial/Process Audit - 175 ≤ psig &lt; 250_MF_Incremental Cost</v>
      </c>
      <c r="B3930" s="303" t="s">
        <v>644</v>
      </c>
      <c r="C3930" s="304" t="s">
        <v>1375</v>
      </c>
      <c r="D3930" s="303" t="s">
        <v>553</v>
      </c>
      <c r="E3930" s="314" t="s">
        <v>260</v>
      </c>
      <c r="F3930" s="326"/>
      <c r="G3930" s="315">
        <v>370</v>
      </c>
      <c r="H3930" s="305" t="s">
        <v>1373</v>
      </c>
      <c r="I3930" s="305" t="s">
        <v>152</v>
      </c>
      <c r="J3930" s="305" t="s">
        <v>130</v>
      </c>
      <c r="K3930" s="305" t="s">
        <v>2161</v>
      </c>
    </row>
    <row r="3931" spans="1:11" x14ac:dyDescent="0.25">
      <c r="A3931" s="317" t="str">
        <f t="shared" si="103"/>
        <v>Steam Traps_Industrial/Process Audit - 175 ≤ psig &lt; 250_MF_</v>
      </c>
      <c r="B3931" s="317" t="str">
        <f>B3930</f>
        <v>Steam Traps</v>
      </c>
      <c r="C3931" s="332" t="str">
        <f>C3930</f>
        <v>Industrial/Process Audit - 175 ≤ psig &lt; 250</v>
      </c>
      <c r="D3931" s="317" t="str">
        <f>D3930</f>
        <v>MF</v>
      </c>
      <c r="E3931" s="320"/>
      <c r="F3931" s="320"/>
      <c r="G3931" s="329"/>
      <c r="H3931" s="320"/>
      <c r="I3931" s="320"/>
      <c r="J3931" s="320"/>
      <c r="K3931" s="320"/>
    </row>
    <row r="3932" spans="1:11" x14ac:dyDescent="0.25">
      <c r="A3932" s="302" t="str">
        <f t="shared" si="103"/>
        <v>Steam Traps_Industrial/Process Audit - 250 ≤ psig_MF_GAL</v>
      </c>
      <c r="B3932" s="303" t="s">
        <v>644</v>
      </c>
      <c r="C3932" s="304" t="s">
        <v>1376</v>
      </c>
      <c r="D3932" s="303" t="s">
        <v>553</v>
      </c>
      <c r="E3932" s="305" t="s">
        <v>513</v>
      </c>
      <c r="F3932" s="309"/>
      <c r="G3932" s="306">
        <v>12.63</v>
      </c>
      <c r="H3932" s="305" t="s">
        <v>228</v>
      </c>
      <c r="I3932" s="305" t="s">
        <v>152</v>
      </c>
      <c r="J3932" s="305" t="s">
        <v>130</v>
      </c>
      <c r="K3932" s="305" t="s">
        <v>2161</v>
      </c>
    </row>
    <row r="3933" spans="1:11" x14ac:dyDescent="0.25">
      <c r="A3933" s="302" t="str">
        <f t="shared" si="103"/>
        <v>Steam Traps_Industrial/Process Audit - 250 ≤ psig_MF_Hours of Operation</v>
      </c>
      <c r="B3933" s="303" t="s">
        <v>644</v>
      </c>
      <c r="C3933" s="304" t="s">
        <v>1376</v>
      </c>
      <c r="D3933" s="303" t="s">
        <v>553</v>
      </c>
      <c r="E3933" s="305" t="s">
        <v>460</v>
      </c>
      <c r="F3933" s="309" t="s">
        <v>647</v>
      </c>
      <c r="G3933" s="354">
        <v>8282</v>
      </c>
      <c r="H3933" s="305" t="s">
        <v>228</v>
      </c>
      <c r="I3933" s="305" t="s">
        <v>152</v>
      </c>
      <c r="J3933" s="305" t="s">
        <v>130</v>
      </c>
      <c r="K3933" s="305" t="s">
        <v>2161</v>
      </c>
    </row>
    <row r="3934" spans="1:11" x14ac:dyDescent="0.25">
      <c r="A3934" s="302" t="str">
        <f t="shared" si="103"/>
        <v>Steam Traps_Industrial/Process Audit - 250 ≤ psig_MF_L</v>
      </c>
      <c r="B3934" s="303" t="s">
        <v>644</v>
      </c>
      <c r="C3934" s="304" t="s">
        <v>1376</v>
      </c>
      <c r="D3934" s="303" t="s">
        <v>553</v>
      </c>
      <c r="E3934" s="305" t="s">
        <v>437</v>
      </c>
      <c r="F3934" s="309"/>
      <c r="G3934" s="306">
        <v>1</v>
      </c>
      <c r="H3934" s="305" t="s">
        <v>1280</v>
      </c>
      <c r="I3934" s="305" t="s">
        <v>152</v>
      </c>
      <c r="J3934" s="305" t="s">
        <v>130</v>
      </c>
      <c r="K3934" s="305" t="s">
        <v>2161</v>
      </c>
    </row>
    <row r="3935" spans="1:11" x14ac:dyDescent="0.25">
      <c r="A3935" s="302" t="str">
        <f t="shared" si="103"/>
        <v>Steam Traps_Industrial/Process Audit - 250 ≤ psig_MF_Delta_Water_Gallons</v>
      </c>
      <c r="B3935" s="303" t="s">
        <v>644</v>
      </c>
      <c r="C3935" s="304" t="s">
        <v>1376</v>
      </c>
      <c r="D3935" s="303" t="s">
        <v>553</v>
      </c>
      <c r="E3935" s="305" t="s">
        <v>456</v>
      </c>
      <c r="F3935" s="305"/>
      <c r="G3935" s="307">
        <f>G3932*G3933*G3934</f>
        <v>104601.66</v>
      </c>
      <c r="H3935" s="305"/>
      <c r="I3935" s="305" t="s">
        <v>152</v>
      </c>
      <c r="J3935" s="305" t="s">
        <v>130</v>
      </c>
      <c r="K3935" s="305" t="s">
        <v>2161</v>
      </c>
    </row>
    <row r="3936" spans="1:11" x14ac:dyDescent="0.25">
      <c r="A3936" s="302" t="str">
        <f t="shared" si="103"/>
        <v>Steam Traps_Industrial/Process Audit - 250 ≤ psig_MF_Conversion</v>
      </c>
      <c r="B3936" s="303" t="s">
        <v>644</v>
      </c>
      <c r="C3936" s="304" t="s">
        <v>1376</v>
      </c>
      <c r="D3936" s="303" t="s">
        <v>553</v>
      </c>
      <c r="E3936" s="305" t="s">
        <v>284</v>
      </c>
      <c r="F3936" s="305"/>
      <c r="G3936" s="354">
        <v>1000000</v>
      </c>
      <c r="H3936" s="305"/>
      <c r="I3936" s="305" t="s">
        <v>152</v>
      </c>
      <c r="J3936" s="305" t="s">
        <v>130</v>
      </c>
      <c r="K3936" s="305" t="s">
        <v>2161</v>
      </c>
    </row>
    <row r="3937" spans="1:11" x14ac:dyDescent="0.25">
      <c r="A3937" s="302" t="str">
        <f t="shared" si="103"/>
        <v>Steam Traps_Industrial/Process Audit - 250 ≤ psig_MF_E_water_supply</v>
      </c>
      <c r="B3937" s="303" t="s">
        <v>644</v>
      </c>
      <c r="C3937" s="304" t="s">
        <v>1376</v>
      </c>
      <c r="D3937" s="303" t="s">
        <v>553</v>
      </c>
      <c r="E3937" s="305" t="s">
        <v>457</v>
      </c>
      <c r="F3937" s="305"/>
      <c r="G3937" s="307">
        <v>2571</v>
      </c>
      <c r="H3937" s="305"/>
      <c r="I3937" s="305" t="s">
        <v>152</v>
      </c>
      <c r="J3937" s="305" t="s">
        <v>130</v>
      </c>
      <c r="K3937" s="305" t="s">
        <v>2161</v>
      </c>
    </row>
    <row r="3938" spans="1:11" x14ac:dyDescent="0.25">
      <c r="A3938" s="302" t="str">
        <f t="shared" si="103"/>
        <v>Steam Traps_Industrial/Process Audit - 250 ≤ psig_MF_Delta_kWh_water</v>
      </c>
      <c r="B3938" s="303" t="s">
        <v>644</v>
      </c>
      <c r="C3938" s="304" t="s">
        <v>1376</v>
      </c>
      <c r="D3938" s="303" t="s">
        <v>553</v>
      </c>
      <c r="E3938" s="305" t="s">
        <v>334</v>
      </c>
      <c r="F3938" s="305"/>
      <c r="G3938" s="307">
        <f>G3935/G3936*G3937</f>
        <v>268.93086785999998</v>
      </c>
      <c r="H3938" s="305"/>
      <c r="I3938" s="305" t="s">
        <v>152</v>
      </c>
      <c r="J3938" s="305" t="s">
        <v>130</v>
      </c>
      <c r="K3938" s="305" t="s">
        <v>2161</v>
      </c>
    </row>
    <row r="3939" spans="1:11" x14ac:dyDescent="0.25">
      <c r="A3939" s="302" t="str">
        <f t="shared" si="103"/>
        <v>Steam Traps_Industrial/Process Audit - 250 ≤ psig_MF_Sa</v>
      </c>
      <c r="B3939" s="303" t="s">
        <v>644</v>
      </c>
      <c r="C3939" s="304" t="s">
        <v>1376</v>
      </c>
      <c r="D3939" s="303" t="s">
        <v>553</v>
      </c>
      <c r="E3939" s="305" t="s">
        <v>507</v>
      </c>
      <c r="F3939" s="305"/>
      <c r="G3939" s="307">
        <v>105.2</v>
      </c>
      <c r="H3939" s="305" t="s">
        <v>228</v>
      </c>
      <c r="I3939" s="305" t="s">
        <v>152</v>
      </c>
      <c r="J3939" s="305" t="s">
        <v>130</v>
      </c>
      <c r="K3939" s="305" t="s">
        <v>2161</v>
      </c>
    </row>
    <row r="3940" spans="1:11" x14ac:dyDescent="0.25">
      <c r="A3940" s="302" t="str">
        <f t="shared" si="103"/>
        <v>Steam Traps_Industrial/Process Audit - 250 ≤ psig_MF_Hv</v>
      </c>
      <c r="B3940" s="303" t="s">
        <v>644</v>
      </c>
      <c r="C3940" s="304" t="s">
        <v>1376</v>
      </c>
      <c r="D3940" s="303" t="s">
        <v>553</v>
      </c>
      <c r="E3940" s="305" t="s">
        <v>508</v>
      </c>
      <c r="F3940" s="305"/>
      <c r="G3940" s="307">
        <v>816</v>
      </c>
      <c r="H3940" s="305" t="s">
        <v>228</v>
      </c>
      <c r="I3940" s="305" t="s">
        <v>152</v>
      </c>
      <c r="J3940" s="305" t="s">
        <v>130</v>
      </c>
      <c r="K3940" s="305" t="s">
        <v>2161</v>
      </c>
    </row>
    <row r="3941" spans="1:11" x14ac:dyDescent="0.25">
      <c r="A3941" s="302" t="str">
        <f t="shared" si="103"/>
        <v>Steam Traps_Industrial/Process Audit - 250 ≤ psig_MF_Hs</v>
      </c>
      <c r="B3941" s="303" t="s">
        <v>644</v>
      </c>
      <c r="C3941" s="304" t="s">
        <v>1376</v>
      </c>
      <c r="D3941" s="303" t="s">
        <v>553</v>
      </c>
      <c r="E3941" s="340" t="s">
        <v>509</v>
      </c>
      <c r="F3941" s="340"/>
      <c r="G3941" s="341">
        <v>1.0009999999999999</v>
      </c>
      <c r="H3941" s="340" t="s">
        <v>652</v>
      </c>
      <c r="I3941" s="305" t="s">
        <v>152</v>
      </c>
      <c r="J3941" s="305" t="s">
        <v>130</v>
      </c>
      <c r="K3941" s="305" t="s">
        <v>2161</v>
      </c>
    </row>
    <row r="3942" spans="1:11" x14ac:dyDescent="0.25">
      <c r="A3942" s="302" t="str">
        <f t="shared" si="103"/>
        <v>Steam Traps_Industrial/Process Audit - 250 ≤ psig_MF_507.89</v>
      </c>
      <c r="B3942" s="303" t="s">
        <v>644</v>
      </c>
      <c r="C3942" s="304" t="s">
        <v>1376</v>
      </c>
      <c r="D3942" s="303" t="s">
        <v>553</v>
      </c>
      <c r="E3942" s="342">
        <v>507.89</v>
      </c>
      <c r="F3942" s="340"/>
      <c r="G3942" s="341">
        <v>507.89</v>
      </c>
      <c r="H3942" s="340"/>
      <c r="I3942" s="305" t="s">
        <v>152</v>
      </c>
      <c r="J3942" s="305" t="s">
        <v>130</v>
      </c>
      <c r="K3942" s="305" t="s">
        <v>2161</v>
      </c>
    </row>
    <row r="3943" spans="1:11" x14ac:dyDescent="0.25">
      <c r="A3943" s="302" t="str">
        <f t="shared" si="103"/>
        <v>Steam Traps_Industrial/Process Audit - 250 ≤ psig_MF_P1</v>
      </c>
      <c r="B3943" s="303" t="s">
        <v>644</v>
      </c>
      <c r="C3943" s="304" t="s">
        <v>1376</v>
      </c>
      <c r="D3943" s="303" t="s">
        <v>553</v>
      </c>
      <c r="E3943" s="340" t="s">
        <v>510</v>
      </c>
      <c r="F3943" s="340"/>
      <c r="G3943" s="341">
        <f>263+14.696</f>
        <v>277.69600000000003</v>
      </c>
      <c r="H3943" s="340" t="s">
        <v>1371</v>
      </c>
      <c r="I3943" s="305" t="s">
        <v>152</v>
      </c>
      <c r="J3943" s="305" t="s">
        <v>130</v>
      </c>
      <c r="K3943" s="305" t="s">
        <v>2161</v>
      </c>
    </row>
    <row r="3944" spans="1:11" x14ac:dyDescent="0.25">
      <c r="A3944" s="302" t="str">
        <f t="shared" si="103"/>
        <v>Steam Traps_Industrial/Process Audit - 250 ≤ psig_MF_0.0962</v>
      </c>
      <c r="B3944" s="303" t="s">
        <v>644</v>
      </c>
      <c r="C3944" s="304" t="s">
        <v>1376</v>
      </c>
      <c r="D3944" s="303" t="s">
        <v>553</v>
      </c>
      <c r="E3944" s="340">
        <v>9.6199999999999994E-2</v>
      </c>
      <c r="F3944" s="340"/>
      <c r="G3944" s="343">
        <v>9.6199999999999994E-2</v>
      </c>
      <c r="H3944" s="340"/>
      <c r="I3944" s="305" t="s">
        <v>152</v>
      </c>
      <c r="J3944" s="305" t="s">
        <v>130</v>
      </c>
      <c r="K3944" s="305" t="s">
        <v>2161</v>
      </c>
    </row>
    <row r="3945" spans="1:11" x14ac:dyDescent="0.25">
      <c r="A3945" s="302" t="str">
        <f t="shared" si="103"/>
        <v>Steam Traps_Industrial/Process Audit - 250 ≤ psig_MF_T1</v>
      </c>
      <c r="B3945" s="303" t="s">
        <v>644</v>
      </c>
      <c r="C3945" s="304" t="s">
        <v>1376</v>
      </c>
      <c r="D3945" s="303" t="s">
        <v>553</v>
      </c>
      <c r="E3945" s="340" t="s">
        <v>511</v>
      </c>
      <c r="F3945" s="340"/>
      <c r="G3945" s="341">
        <f>G3942*(G3943^G3944)</f>
        <v>872.65194259288455</v>
      </c>
      <c r="H3945" s="340" t="s">
        <v>654</v>
      </c>
      <c r="I3945" s="305" t="s">
        <v>152</v>
      </c>
      <c r="J3945" s="305" t="s">
        <v>130</v>
      </c>
      <c r="K3945" s="305" t="s">
        <v>2161</v>
      </c>
    </row>
    <row r="3946" spans="1:11" x14ac:dyDescent="0.25">
      <c r="A3946" s="302" t="str">
        <f t="shared" si="103"/>
        <v>Steam Traps_Industrial/Process Audit - 250 ≤ psig_MF_Tsource</v>
      </c>
      <c r="B3946" s="303" t="s">
        <v>644</v>
      </c>
      <c r="C3946" s="304" t="s">
        <v>1376</v>
      </c>
      <c r="D3946" s="303" t="s">
        <v>553</v>
      </c>
      <c r="E3946" s="340" t="s">
        <v>512</v>
      </c>
      <c r="F3946" s="340"/>
      <c r="G3946" s="341">
        <v>513.66999999999996</v>
      </c>
      <c r="H3946" s="340" t="s">
        <v>655</v>
      </c>
      <c r="I3946" s="305" t="s">
        <v>152</v>
      </c>
      <c r="J3946" s="305" t="s">
        <v>130</v>
      </c>
      <c r="K3946" s="305" t="s">
        <v>2161</v>
      </c>
    </row>
    <row r="3947" spans="1:11" x14ac:dyDescent="0.25">
      <c r="A3947" s="302" t="str">
        <f t="shared" si="103"/>
        <v>Steam Traps_Industrial/Process Audit - 250 ≤ psig_MF_Hours of Operation</v>
      </c>
      <c r="B3947" s="303" t="s">
        <v>644</v>
      </c>
      <c r="C3947" s="304" t="s">
        <v>1376</v>
      </c>
      <c r="D3947" s="303" t="s">
        <v>553</v>
      </c>
      <c r="E3947" s="305" t="s">
        <v>460</v>
      </c>
      <c r="F3947" s="309" t="s">
        <v>647</v>
      </c>
      <c r="G3947" s="354">
        <f>AVERAGE(1540,1782)</f>
        <v>1661</v>
      </c>
      <c r="H3947" s="305" t="s">
        <v>648</v>
      </c>
      <c r="I3947" s="305" t="s">
        <v>152</v>
      </c>
      <c r="J3947" s="305" t="s">
        <v>130</v>
      </c>
      <c r="K3947" s="305" t="s">
        <v>2161</v>
      </c>
    </row>
    <row r="3948" spans="1:11" x14ac:dyDescent="0.25">
      <c r="A3948" s="302" t="str">
        <f t="shared" si="103"/>
        <v>Steam Traps_Industrial/Process Audit - 250 ≤ psig_MF_L</v>
      </c>
      <c r="B3948" s="303" t="s">
        <v>644</v>
      </c>
      <c r="C3948" s="304" t="s">
        <v>1376</v>
      </c>
      <c r="D3948" s="303" t="s">
        <v>553</v>
      </c>
      <c r="E3948" s="305" t="s">
        <v>437</v>
      </c>
      <c r="F3948" s="309"/>
      <c r="G3948" s="306">
        <v>1</v>
      </c>
      <c r="H3948" s="305" t="s">
        <v>1280</v>
      </c>
      <c r="I3948" s="305" t="s">
        <v>152</v>
      </c>
      <c r="J3948" s="305" t="s">
        <v>130</v>
      </c>
      <c r="K3948" s="305" t="s">
        <v>2161</v>
      </c>
    </row>
    <row r="3949" spans="1:11" x14ac:dyDescent="0.25">
      <c r="A3949" s="302" t="str">
        <f t="shared" si="103"/>
        <v>Steam Traps_Industrial/Process Audit - 250 ≤ psig_MF_Conversion</v>
      </c>
      <c r="B3949" s="303" t="s">
        <v>644</v>
      </c>
      <c r="C3949" s="304" t="s">
        <v>1376</v>
      </c>
      <c r="D3949" s="303" t="s">
        <v>553</v>
      </c>
      <c r="E3949" s="305" t="s">
        <v>284</v>
      </c>
      <c r="F3949" s="309" t="s">
        <v>622</v>
      </c>
      <c r="G3949" s="325">
        <v>100000</v>
      </c>
      <c r="H3949" s="305"/>
      <c r="I3949" s="305" t="s">
        <v>152</v>
      </c>
      <c r="J3949" s="305" t="s">
        <v>130</v>
      </c>
      <c r="K3949" s="305" t="s">
        <v>2161</v>
      </c>
    </row>
    <row r="3950" spans="1:11" x14ac:dyDescent="0.25">
      <c r="A3950" s="302" t="str">
        <f t="shared" si="103"/>
        <v>Steam Traps_Industrial/Process Audit - 250 ≤ psig_MF_n_B</v>
      </c>
      <c r="B3950" s="303" t="s">
        <v>644</v>
      </c>
      <c r="C3950" s="304" t="s">
        <v>1376</v>
      </c>
      <c r="D3950" s="303" t="s">
        <v>553</v>
      </c>
      <c r="E3950" s="340" t="s">
        <v>657</v>
      </c>
      <c r="F3950" s="341"/>
      <c r="G3950" s="346">
        <v>0.80700000000000005</v>
      </c>
      <c r="H3950" s="340" t="s">
        <v>665</v>
      </c>
      <c r="I3950" s="305" t="s">
        <v>152</v>
      </c>
      <c r="J3950" s="305" t="s">
        <v>130</v>
      </c>
      <c r="K3950" s="305" t="s">
        <v>2161</v>
      </c>
    </row>
    <row r="3951" spans="1:11" x14ac:dyDescent="0.25">
      <c r="A3951" s="302" t="str">
        <f t="shared" si="103"/>
        <v>Steam Traps_Industrial/Process Audit - 250 ≤ psig_MF_kWh Saved per Unit</v>
      </c>
      <c r="B3951" s="303" t="s">
        <v>644</v>
      </c>
      <c r="C3951" s="304" t="s">
        <v>1376</v>
      </c>
      <c r="D3951" s="303" t="s">
        <v>553</v>
      </c>
      <c r="E3951" s="314" t="s">
        <v>255</v>
      </c>
      <c r="F3951" s="326"/>
      <c r="G3951" s="315">
        <f>G3938</f>
        <v>268.93086785999998</v>
      </c>
      <c r="H3951" s="305"/>
      <c r="I3951" s="305" t="s">
        <v>152</v>
      </c>
      <c r="J3951" s="305" t="s">
        <v>130</v>
      </c>
      <c r="K3951" s="305" t="s">
        <v>2161</v>
      </c>
    </row>
    <row r="3952" spans="1:11" x14ac:dyDescent="0.25">
      <c r="A3952" s="302" t="str">
        <f t="shared" si="103"/>
        <v>Steam Traps_Industrial/Process Audit - 250 ≤ psig_MF_Coincident Peak kW Saved per Unit</v>
      </c>
      <c r="B3952" s="303" t="s">
        <v>644</v>
      </c>
      <c r="C3952" s="304" t="s">
        <v>1376</v>
      </c>
      <c r="D3952" s="303" t="s">
        <v>553</v>
      </c>
      <c r="E3952" s="314" t="s">
        <v>257</v>
      </c>
      <c r="F3952" s="326"/>
      <c r="G3952" s="315">
        <v>0</v>
      </c>
      <c r="H3952" s="305"/>
      <c r="I3952" s="305" t="s">
        <v>152</v>
      </c>
      <c r="J3952" s="305" t="s">
        <v>130</v>
      </c>
      <c r="K3952" s="305" t="s">
        <v>2161</v>
      </c>
    </row>
    <row r="3953" spans="1:11" x14ac:dyDescent="0.25">
      <c r="A3953" s="302" t="str">
        <f t="shared" si="103"/>
        <v>Steam Traps_Industrial/Process Audit - 250 ≤ psig_MF_Therm Saved per Unit</v>
      </c>
      <c r="B3953" s="303" t="s">
        <v>644</v>
      </c>
      <c r="C3953" s="304" t="s">
        <v>1376</v>
      </c>
      <c r="D3953" s="303" t="s">
        <v>553</v>
      </c>
      <c r="E3953" s="314" t="s">
        <v>326</v>
      </c>
      <c r="F3953" s="326"/>
      <c r="G3953" s="315">
        <f xml:space="preserve"> G3939 * (G3940 + G3941 * (G3945 - G3946)) * G3947 * G3948 / (G3949 * G3950)</f>
        <v>2544.9291474441216</v>
      </c>
      <c r="H3953" s="305"/>
      <c r="I3953" s="305" t="s">
        <v>152</v>
      </c>
      <c r="J3953" s="305" t="s">
        <v>130</v>
      </c>
      <c r="K3953" s="305" t="s">
        <v>2161</v>
      </c>
    </row>
    <row r="3954" spans="1:11" x14ac:dyDescent="0.25">
      <c r="A3954" s="302" t="str">
        <f t="shared" si="103"/>
        <v>Steam Traps_Industrial/Process Audit - 250 ≤ psig_MF_Gallons Saved per Unit</v>
      </c>
      <c r="B3954" s="303" t="s">
        <v>644</v>
      </c>
      <c r="C3954" s="304" t="s">
        <v>1376</v>
      </c>
      <c r="D3954" s="303" t="s">
        <v>553</v>
      </c>
      <c r="E3954" s="314" t="s">
        <v>547</v>
      </c>
      <c r="F3954" s="326"/>
      <c r="G3954" s="315">
        <f>G3935</f>
        <v>104601.66</v>
      </c>
      <c r="H3954" s="305"/>
      <c r="I3954" s="305" t="s">
        <v>152</v>
      </c>
      <c r="J3954" s="305" t="s">
        <v>130</v>
      </c>
      <c r="K3954" s="305" t="s">
        <v>2161</v>
      </c>
    </row>
    <row r="3955" spans="1:11" x14ac:dyDescent="0.25">
      <c r="A3955" s="302" t="str">
        <f t="shared" si="103"/>
        <v>Steam Traps_Industrial/Process Audit - 250 ≤ psig_MF_Lifetime (years)</v>
      </c>
      <c r="B3955" s="303" t="s">
        <v>644</v>
      </c>
      <c r="C3955" s="304" t="s">
        <v>1376</v>
      </c>
      <c r="D3955" s="303" t="s">
        <v>553</v>
      </c>
      <c r="E3955" s="314" t="s">
        <v>259</v>
      </c>
      <c r="F3955" s="326"/>
      <c r="G3955" s="315">
        <v>6</v>
      </c>
      <c r="H3955" s="305" t="s">
        <v>659</v>
      </c>
      <c r="I3955" s="305" t="s">
        <v>152</v>
      </c>
      <c r="J3955" s="305" t="s">
        <v>130</v>
      </c>
      <c r="K3955" s="305" t="s">
        <v>2161</v>
      </c>
    </row>
    <row r="3956" spans="1:11" x14ac:dyDescent="0.25">
      <c r="A3956" s="302" t="str">
        <f t="shared" si="103"/>
        <v>Steam Traps_Industrial/Process Audit - 250 ≤ psig_MF_Incremental Cost</v>
      </c>
      <c r="B3956" s="303" t="s">
        <v>644</v>
      </c>
      <c r="C3956" s="304" t="s">
        <v>1376</v>
      </c>
      <c r="D3956" s="303" t="s">
        <v>553</v>
      </c>
      <c r="E3956" s="314" t="s">
        <v>260</v>
      </c>
      <c r="F3956" s="326"/>
      <c r="G3956" s="315">
        <v>418</v>
      </c>
      <c r="H3956" s="305" t="s">
        <v>1373</v>
      </c>
      <c r="I3956" s="305" t="s">
        <v>152</v>
      </c>
      <c r="J3956" s="305" t="s">
        <v>130</v>
      </c>
      <c r="K3956" s="305" t="s">
        <v>2161</v>
      </c>
    </row>
    <row r="3957" spans="1:11" x14ac:dyDescent="0.25">
      <c r="A3957" s="317" t="str">
        <f t="shared" si="103"/>
        <v>Steam Traps_Industrial/Process Audit - 250 ≤ psig_MF_</v>
      </c>
      <c r="B3957" s="317" t="str">
        <f>B3956</f>
        <v>Steam Traps</v>
      </c>
      <c r="C3957" s="332" t="str">
        <f>C3956</f>
        <v>Industrial/Process Audit - 250 ≤ psig</v>
      </c>
      <c r="D3957" s="317" t="str">
        <f>D3956</f>
        <v>MF</v>
      </c>
      <c r="E3957" s="320"/>
      <c r="F3957" s="320"/>
      <c r="G3957" s="329"/>
      <c r="H3957" s="320"/>
      <c r="I3957" s="320"/>
      <c r="J3957" s="320"/>
      <c r="K3957" s="320"/>
    </row>
    <row r="3958" spans="1:11" x14ac:dyDescent="0.25">
      <c r="A3958" s="302" t="str">
        <f t="shared" si="103"/>
        <v>Steam Traps- Venturi_HVAC Repair/Rep - Audit_MF_GAL</v>
      </c>
      <c r="B3958" s="303" t="s">
        <v>1381</v>
      </c>
      <c r="C3958" s="304" t="s">
        <v>645</v>
      </c>
      <c r="D3958" s="303" t="s">
        <v>553</v>
      </c>
      <c r="E3958" s="305" t="s">
        <v>513</v>
      </c>
      <c r="F3958" s="309" t="s">
        <v>646</v>
      </c>
      <c r="G3958" s="307">
        <v>0.83</v>
      </c>
      <c r="H3958" s="305" t="s">
        <v>514</v>
      </c>
      <c r="I3958" s="305" t="s">
        <v>152</v>
      </c>
      <c r="J3958" s="305" t="s">
        <v>130</v>
      </c>
      <c r="K3958" s="305" t="s">
        <v>2161</v>
      </c>
    </row>
    <row r="3959" spans="1:11" x14ac:dyDescent="0.25">
      <c r="A3959" s="302" t="str">
        <f t="shared" si="103"/>
        <v>Steam Traps- Venturi_HVAC Repair/Rep - Audit_MF_Hours of Operation</v>
      </c>
      <c r="B3959" s="303" t="s">
        <v>1381</v>
      </c>
      <c r="C3959" s="304" t="s">
        <v>645</v>
      </c>
      <c r="D3959" s="303" t="s">
        <v>553</v>
      </c>
      <c r="E3959" s="305" t="s">
        <v>460</v>
      </c>
      <c r="F3959" s="309" t="s">
        <v>647</v>
      </c>
      <c r="G3959" s="339">
        <f>AVERAGE(1540,1782)</f>
        <v>1661</v>
      </c>
      <c r="H3959" s="305" t="s">
        <v>648</v>
      </c>
      <c r="I3959" s="305" t="s">
        <v>152</v>
      </c>
      <c r="J3959" s="305" t="s">
        <v>130</v>
      </c>
      <c r="K3959" s="305" t="s">
        <v>2161</v>
      </c>
    </row>
    <row r="3960" spans="1:11" x14ac:dyDescent="0.25">
      <c r="A3960" s="302" t="str">
        <f t="shared" si="103"/>
        <v>Steam Traps- Venturi_HVAC Repair/Rep - Audit_MF_L</v>
      </c>
      <c r="B3960" s="303" t="s">
        <v>1381</v>
      </c>
      <c r="C3960" s="304" t="s">
        <v>645</v>
      </c>
      <c r="D3960" s="303" t="s">
        <v>553</v>
      </c>
      <c r="E3960" s="305" t="s">
        <v>437</v>
      </c>
      <c r="F3960" s="309" t="s">
        <v>539</v>
      </c>
      <c r="G3960" s="307">
        <v>1</v>
      </c>
      <c r="H3960" s="305" t="s">
        <v>649</v>
      </c>
      <c r="I3960" s="305" t="s">
        <v>152</v>
      </c>
      <c r="J3960" s="305" t="s">
        <v>130</v>
      </c>
      <c r="K3960" s="305" t="s">
        <v>2161</v>
      </c>
    </row>
    <row r="3961" spans="1:11" x14ac:dyDescent="0.25">
      <c r="A3961" s="302" t="str">
        <f t="shared" si="103"/>
        <v>Steam Traps- Venturi_HVAC Repair/Rep - Audit_MF_Delta_Water_Gallons</v>
      </c>
      <c r="B3961" s="303" t="s">
        <v>1381</v>
      </c>
      <c r="C3961" s="304" t="s">
        <v>645</v>
      </c>
      <c r="D3961" s="303" t="s">
        <v>553</v>
      </c>
      <c r="E3961" s="305" t="s">
        <v>456</v>
      </c>
      <c r="F3961" s="309"/>
      <c r="G3961" s="307">
        <f>G3958*G3959*G3960</f>
        <v>1378.6299999999999</v>
      </c>
      <c r="H3961" s="305"/>
      <c r="I3961" s="305" t="s">
        <v>152</v>
      </c>
      <c r="J3961" s="305" t="s">
        <v>130</v>
      </c>
      <c r="K3961" s="305" t="s">
        <v>2161</v>
      </c>
    </row>
    <row r="3962" spans="1:11" x14ac:dyDescent="0.25">
      <c r="A3962" s="302" t="str">
        <f t="shared" si="103"/>
        <v>Steam Traps- Venturi_HVAC Repair/Rep - Audit_MF_Conversion</v>
      </c>
      <c r="B3962" s="303" t="s">
        <v>1381</v>
      </c>
      <c r="C3962" s="304" t="s">
        <v>645</v>
      </c>
      <c r="D3962" s="303" t="s">
        <v>553</v>
      </c>
      <c r="E3962" s="305" t="s">
        <v>284</v>
      </c>
      <c r="F3962" s="309"/>
      <c r="G3962" s="339">
        <v>1000000</v>
      </c>
      <c r="H3962" s="305"/>
      <c r="I3962" s="305" t="s">
        <v>152</v>
      </c>
      <c r="J3962" s="305" t="s">
        <v>130</v>
      </c>
      <c r="K3962" s="305" t="s">
        <v>2161</v>
      </c>
    </row>
    <row r="3963" spans="1:11" x14ac:dyDescent="0.25">
      <c r="A3963" s="302" t="str">
        <f t="shared" si="103"/>
        <v>Steam Traps- Venturi_HVAC Repair/Rep - Audit_MF_E_water_supply</v>
      </c>
      <c r="B3963" s="303" t="s">
        <v>1381</v>
      </c>
      <c r="C3963" s="304" t="s">
        <v>645</v>
      </c>
      <c r="D3963" s="303" t="s">
        <v>553</v>
      </c>
      <c r="E3963" s="305" t="s">
        <v>457</v>
      </c>
      <c r="F3963" s="309" t="s">
        <v>650</v>
      </c>
      <c r="G3963" s="307">
        <v>2571</v>
      </c>
      <c r="H3963" s="305"/>
      <c r="I3963" s="305" t="s">
        <v>152</v>
      </c>
      <c r="J3963" s="305" t="s">
        <v>130</v>
      </c>
      <c r="K3963" s="305" t="s">
        <v>2161</v>
      </c>
    </row>
    <row r="3964" spans="1:11" x14ac:dyDescent="0.25">
      <c r="A3964" s="302" t="str">
        <f t="shared" si="103"/>
        <v>Steam Traps- Venturi_HVAC Repair/Rep - Audit_MF_Delta_kWh_water</v>
      </c>
      <c r="B3964" s="303" t="s">
        <v>1381</v>
      </c>
      <c r="C3964" s="304" t="s">
        <v>645</v>
      </c>
      <c r="D3964" s="303" t="s">
        <v>553</v>
      </c>
      <c r="E3964" s="305" t="s">
        <v>334</v>
      </c>
      <c r="F3964" s="309" t="s">
        <v>565</v>
      </c>
      <c r="G3964" s="306">
        <f>(G3961/G3962)*G3963</f>
        <v>3.5444577299999995</v>
      </c>
      <c r="H3964" s="305"/>
      <c r="I3964" s="305" t="s">
        <v>152</v>
      </c>
      <c r="J3964" s="305" t="s">
        <v>130</v>
      </c>
      <c r="K3964" s="305" t="s">
        <v>2161</v>
      </c>
    </row>
    <row r="3965" spans="1:11" x14ac:dyDescent="0.25">
      <c r="A3965" s="302" t="str">
        <f t="shared" si="103"/>
        <v>Steam Traps- Venturi_HVAC Repair/Rep - Audit_MF_Sa</v>
      </c>
      <c r="B3965" s="303" t="s">
        <v>1381</v>
      </c>
      <c r="C3965" s="304" t="s">
        <v>645</v>
      </c>
      <c r="D3965" s="303" t="s">
        <v>553</v>
      </c>
      <c r="E3965" s="305" t="s">
        <v>507</v>
      </c>
      <c r="F3965" s="309"/>
      <c r="G3965" s="307">
        <v>6.9</v>
      </c>
      <c r="H3965" s="305" t="s">
        <v>2007</v>
      </c>
      <c r="I3965" s="305" t="s">
        <v>152</v>
      </c>
      <c r="J3965" s="305" t="s">
        <v>130</v>
      </c>
      <c r="K3965" s="305" t="s">
        <v>2161</v>
      </c>
    </row>
    <row r="3966" spans="1:11" x14ac:dyDescent="0.25">
      <c r="A3966" s="302" t="str">
        <f t="shared" si="103"/>
        <v>Steam Traps- Venturi_HVAC Repair/Rep - Audit_MF_Hv</v>
      </c>
      <c r="B3966" s="303" t="s">
        <v>1381</v>
      </c>
      <c r="C3966" s="304" t="s">
        <v>645</v>
      </c>
      <c r="D3966" s="303" t="s">
        <v>553</v>
      </c>
      <c r="E3966" s="305" t="s">
        <v>508</v>
      </c>
      <c r="F3966" s="309" t="s">
        <v>651</v>
      </c>
      <c r="G3966" s="306">
        <v>951</v>
      </c>
      <c r="H3966" s="305" t="s">
        <v>2007</v>
      </c>
      <c r="I3966" s="305" t="s">
        <v>152</v>
      </c>
      <c r="J3966" s="305" t="s">
        <v>130</v>
      </c>
      <c r="K3966" s="305" t="s">
        <v>2161</v>
      </c>
    </row>
    <row r="3967" spans="1:11" x14ac:dyDescent="0.25">
      <c r="A3967" s="302" t="str">
        <f t="shared" si="103"/>
        <v>Steam Traps- Venturi_HVAC Repair/Rep - Audit_MF_Hs</v>
      </c>
      <c r="B3967" s="303" t="s">
        <v>1381</v>
      </c>
      <c r="C3967" s="304" t="s">
        <v>645</v>
      </c>
      <c r="D3967" s="303" t="s">
        <v>553</v>
      </c>
      <c r="E3967" s="340" t="s">
        <v>509</v>
      </c>
      <c r="F3967" s="340"/>
      <c r="G3967" s="341">
        <v>1.0009999999999999</v>
      </c>
      <c r="H3967" s="340" t="s">
        <v>652</v>
      </c>
      <c r="I3967" s="305" t="s">
        <v>152</v>
      </c>
      <c r="J3967" s="305" t="s">
        <v>130</v>
      </c>
      <c r="K3967" s="305" t="s">
        <v>2161</v>
      </c>
    </row>
    <row r="3968" spans="1:11" x14ac:dyDescent="0.25">
      <c r="A3968" s="302" t="str">
        <f t="shared" si="103"/>
        <v>Steam Traps- Venturi_HVAC Repair/Rep - Audit_MF_507.89</v>
      </c>
      <c r="B3968" s="303" t="s">
        <v>1381</v>
      </c>
      <c r="C3968" s="304" t="s">
        <v>645</v>
      </c>
      <c r="D3968" s="303" t="s">
        <v>553</v>
      </c>
      <c r="E3968" s="342">
        <v>507.89</v>
      </c>
      <c r="F3968" s="340"/>
      <c r="G3968" s="341">
        <v>507.89</v>
      </c>
      <c r="H3968" s="340"/>
      <c r="I3968" s="305" t="s">
        <v>152</v>
      </c>
      <c r="J3968" s="305" t="s">
        <v>130</v>
      </c>
      <c r="K3968" s="305" t="s">
        <v>2161</v>
      </c>
    </row>
    <row r="3969" spans="1:11" x14ac:dyDescent="0.25">
      <c r="A3969" s="302" t="str">
        <f t="shared" si="103"/>
        <v>Steam Traps- Venturi_HVAC Repair/Rep - Audit_MF_P1</v>
      </c>
      <c r="B3969" s="303" t="s">
        <v>1381</v>
      </c>
      <c r="C3969" s="304" t="s">
        <v>645</v>
      </c>
      <c r="D3969" s="303" t="s">
        <v>553</v>
      </c>
      <c r="E3969" s="340" t="s">
        <v>510</v>
      </c>
      <c r="F3969" s="340"/>
      <c r="G3969" s="341">
        <f>5+14.696</f>
        <v>19.695999999999998</v>
      </c>
      <c r="H3969" s="340" t="s">
        <v>653</v>
      </c>
      <c r="I3969" s="305" t="s">
        <v>152</v>
      </c>
      <c r="J3969" s="305" t="s">
        <v>130</v>
      </c>
      <c r="K3969" s="305" t="s">
        <v>2161</v>
      </c>
    </row>
    <row r="3970" spans="1:11" x14ac:dyDescent="0.25">
      <c r="A3970" s="302" t="str">
        <f t="shared" si="103"/>
        <v>Steam Traps- Venturi_HVAC Repair/Rep - Audit_MF_0.0962</v>
      </c>
      <c r="B3970" s="303" t="s">
        <v>1381</v>
      </c>
      <c r="C3970" s="304" t="s">
        <v>645</v>
      </c>
      <c r="D3970" s="303" t="s">
        <v>553</v>
      </c>
      <c r="E3970" s="340">
        <v>9.6199999999999994E-2</v>
      </c>
      <c r="F3970" s="340"/>
      <c r="G3970" s="343">
        <v>9.6199999999999994E-2</v>
      </c>
      <c r="H3970" s="340"/>
      <c r="I3970" s="305" t="s">
        <v>152</v>
      </c>
      <c r="J3970" s="305" t="s">
        <v>130</v>
      </c>
      <c r="K3970" s="305" t="s">
        <v>2161</v>
      </c>
    </row>
    <row r="3971" spans="1:11" x14ac:dyDescent="0.25">
      <c r="A3971" s="302" t="str">
        <f t="shared" si="103"/>
        <v>Steam Traps- Venturi_HVAC Repair/Rep - Audit_MF_T1</v>
      </c>
      <c r="B3971" s="303" t="s">
        <v>1381</v>
      </c>
      <c r="C3971" s="304" t="s">
        <v>645</v>
      </c>
      <c r="D3971" s="303" t="s">
        <v>553</v>
      </c>
      <c r="E3971" s="340" t="s">
        <v>511</v>
      </c>
      <c r="F3971" s="340"/>
      <c r="G3971" s="341">
        <f>G3968*(G3969^G3970)</f>
        <v>676.5327561570117</v>
      </c>
      <c r="H3971" s="340" t="s">
        <v>654</v>
      </c>
      <c r="I3971" s="305" t="s">
        <v>152</v>
      </c>
      <c r="J3971" s="305" t="s">
        <v>130</v>
      </c>
      <c r="K3971" s="305" t="s">
        <v>2161</v>
      </c>
    </row>
    <row r="3972" spans="1:11" x14ac:dyDescent="0.25">
      <c r="A3972" s="302" t="str">
        <f t="shared" si="103"/>
        <v>Steam Traps- Venturi_HVAC Repair/Rep - Audit_MF_Tsource</v>
      </c>
      <c r="B3972" s="303" t="s">
        <v>1381</v>
      </c>
      <c r="C3972" s="304" t="s">
        <v>645</v>
      </c>
      <c r="D3972" s="303" t="s">
        <v>553</v>
      </c>
      <c r="E3972" s="340" t="s">
        <v>512</v>
      </c>
      <c r="F3972" s="340"/>
      <c r="G3972" s="341">
        <v>513.66999999999996</v>
      </c>
      <c r="H3972" s="340" t="s">
        <v>655</v>
      </c>
      <c r="I3972" s="305" t="s">
        <v>152</v>
      </c>
      <c r="J3972" s="305" t="s">
        <v>130</v>
      </c>
      <c r="K3972" s="305" t="s">
        <v>2161</v>
      </c>
    </row>
    <row r="3973" spans="1:11" x14ac:dyDescent="0.25">
      <c r="A3973" s="302" t="str">
        <f t="shared" si="103"/>
        <v>Steam Traps- Venturi_HVAC Repair/Rep - Audit_MF_Hours of Operation</v>
      </c>
      <c r="B3973" s="303" t="s">
        <v>1381</v>
      </c>
      <c r="C3973" s="304" t="s">
        <v>645</v>
      </c>
      <c r="D3973" s="303" t="s">
        <v>553</v>
      </c>
      <c r="E3973" s="305" t="s">
        <v>460</v>
      </c>
      <c r="F3973" s="309" t="s">
        <v>647</v>
      </c>
      <c r="G3973" s="339">
        <f>AVERAGE(1540,1782)</f>
        <v>1661</v>
      </c>
      <c r="H3973" s="305" t="s">
        <v>648</v>
      </c>
      <c r="I3973" s="305" t="s">
        <v>152</v>
      </c>
      <c r="J3973" s="305" t="s">
        <v>130</v>
      </c>
      <c r="K3973" s="305" t="s">
        <v>2161</v>
      </c>
    </row>
    <row r="3974" spans="1:11" x14ac:dyDescent="0.25">
      <c r="A3974" s="302" t="str">
        <f t="shared" si="103"/>
        <v>Steam Traps- Venturi_HVAC Repair/Rep - Audit_MF_L</v>
      </c>
      <c r="B3974" s="303" t="s">
        <v>1381</v>
      </c>
      <c r="C3974" s="304" t="s">
        <v>645</v>
      </c>
      <c r="D3974" s="303" t="s">
        <v>553</v>
      </c>
      <c r="E3974" s="305" t="s">
        <v>437</v>
      </c>
      <c r="F3974" s="309" t="s">
        <v>539</v>
      </c>
      <c r="G3974" s="307">
        <v>1</v>
      </c>
      <c r="H3974" s="305" t="s">
        <v>649</v>
      </c>
      <c r="I3974" s="305" t="s">
        <v>152</v>
      </c>
      <c r="J3974" s="305" t="s">
        <v>130</v>
      </c>
      <c r="K3974" s="305" t="s">
        <v>2161</v>
      </c>
    </row>
    <row r="3975" spans="1:11" x14ac:dyDescent="0.25">
      <c r="A3975" s="302" t="str">
        <f t="shared" si="103"/>
        <v>Steam Traps- Venturi_HVAC Repair/Rep - Audit_MF_Conversion</v>
      </c>
      <c r="B3975" s="303" t="s">
        <v>1381</v>
      </c>
      <c r="C3975" s="304" t="s">
        <v>645</v>
      </c>
      <c r="D3975" s="303" t="s">
        <v>553</v>
      </c>
      <c r="E3975" s="305" t="s">
        <v>284</v>
      </c>
      <c r="F3975" s="305" t="s">
        <v>622</v>
      </c>
      <c r="G3975" s="325">
        <v>100000</v>
      </c>
      <c r="H3975" s="305"/>
      <c r="I3975" s="305" t="s">
        <v>152</v>
      </c>
      <c r="J3975" s="305" t="s">
        <v>130</v>
      </c>
      <c r="K3975" s="305" t="s">
        <v>2161</v>
      </c>
    </row>
    <row r="3976" spans="1:11" x14ac:dyDescent="0.25">
      <c r="A3976" s="302" t="str">
        <f t="shared" si="103"/>
        <v>Steam Traps- Venturi_HVAC Repair/Rep - Audit_MF_n_B</v>
      </c>
      <c r="B3976" s="303" t="s">
        <v>1381</v>
      </c>
      <c r="C3976" s="304" t="s">
        <v>645</v>
      </c>
      <c r="D3976" s="303" t="s">
        <v>553</v>
      </c>
      <c r="E3976" s="340" t="s">
        <v>657</v>
      </c>
      <c r="F3976" s="341"/>
      <c r="G3976" s="344">
        <v>0.64800000000000002</v>
      </c>
      <c r="H3976" s="345" t="s">
        <v>1944</v>
      </c>
      <c r="I3976" s="305" t="s">
        <v>152</v>
      </c>
      <c r="J3976" s="305" t="s">
        <v>130</v>
      </c>
      <c r="K3976" s="305" t="s">
        <v>2161</v>
      </c>
    </row>
    <row r="3977" spans="1:11" x14ac:dyDescent="0.25">
      <c r="A3977" s="302" t="str">
        <f t="shared" si="103"/>
        <v>Steam Traps- Venturi_HVAC Repair/Rep - Audit_MF_Remaining Year kWh</v>
      </c>
      <c r="B3977" s="303" t="s">
        <v>1381</v>
      </c>
      <c r="C3977" s="304" t="s">
        <v>645</v>
      </c>
      <c r="D3977" s="303" t="s">
        <v>553</v>
      </c>
      <c r="E3977" s="305" t="s">
        <v>254</v>
      </c>
      <c r="F3977" s="309" t="s">
        <v>565</v>
      </c>
      <c r="G3977" s="307">
        <v>0</v>
      </c>
      <c r="H3977" s="305"/>
      <c r="I3977" s="305" t="s">
        <v>152</v>
      </c>
      <c r="J3977" s="305" t="s">
        <v>130</v>
      </c>
      <c r="K3977" s="305" t="s">
        <v>2161</v>
      </c>
    </row>
    <row r="3978" spans="1:11" x14ac:dyDescent="0.25">
      <c r="A3978" s="302" t="str">
        <f t="shared" si="103"/>
        <v>Steam Traps- Venturi_HVAC Repair/Rep - Audit_MF_kWh Saved per Unit</v>
      </c>
      <c r="B3978" s="303" t="s">
        <v>1381</v>
      </c>
      <c r="C3978" s="304" t="s">
        <v>645</v>
      </c>
      <c r="D3978" s="303" t="s">
        <v>553</v>
      </c>
      <c r="E3978" s="305" t="s">
        <v>255</v>
      </c>
      <c r="F3978" s="309" t="s">
        <v>565</v>
      </c>
      <c r="G3978" s="306">
        <f>G3964</f>
        <v>3.5444577299999995</v>
      </c>
      <c r="H3978" s="305"/>
      <c r="I3978" s="305" t="s">
        <v>152</v>
      </c>
      <c r="J3978" s="305" t="s">
        <v>130</v>
      </c>
      <c r="K3978" s="305" t="s">
        <v>2161</v>
      </c>
    </row>
    <row r="3979" spans="1:11" x14ac:dyDescent="0.25">
      <c r="A3979" s="302" t="str">
        <f t="shared" si="103"/>
        <v>Steam Traps- Venturi_HVAC Repair/Rep - Audit_MF_Remaining Year kW</v>
      </c>
      <c r="B3979" s="303" t="s">
        <v>1381</v>
      </c>
      <c r="C3979" s="304" t="s">
        <v>645</v>
      </c>
      <c r="D3979" s="303" t="s">
        <v>553</v>
      </c>
      <c r="E3979" s="305" t="s">
        <v>256</v>
      </c>
      <c r="F3979" s="309" t="s">
        <v>658</v>
      </c>
      <c r="G3979" s="307">
        <v>0</v>
      </c>
      <c r="H3979" s="305"/>
      <c r="I3979" s="305" t="s">
        <v>152</v>
      </c>
      <c r="J3979" s="305" t="s">
        <v>130</v>
      </c>
      <c r="K3979" s="305" t="s">
        <v>2161</v>
      </c>
    </row>
    <row r="3980" spans="1:11" x14ac:dyDescent="0.25">
      <c r="A3980" s="302" t="str">
        <f t="shared" si="103"/>
        <v>Steam Traps- Venturi_HVAC Repair/Rep - Audit_MF_Coincident Peak kW Saved per Unit</v>
      </c>
      <c r="B3980" s="303" t="s">
        <v>1381</v>
      </c>
      <c r="C3980" s="304" t="s">
        <v>645</v>
      </c>
      <c r="D3980" s="303" t="s">
        <v>553</v>
      </c>
      <c r="E3980" s="305" t="s">
        <v>257</v>
      </c>
      <c r="F3980" s="309" t="s">
        <v>658</v>
      </c>
      <c r="G3980" s="306">
        <v>0</v>
      </c>
      <c r="H3980" s="305"/>
      <c r="I3980" s="305" t="s">
        <v>152</v>
      </c>
      <c r="J3980" s="305" t="s">
        <v>130</v>
      </c>
      <c r="K3980" s="305" t="s">
        <v>2161</v>
      </c>
    </row>
    <row r="3981" spans="1:11" x14ac:dyDescent="0.25">
      <c r="A3981" s="302" t="str">
        <f t="shared" si="103"/>
        <v>Steam Traps- Venturi_HVAC Repair/Rep - Audit_MF_Remaining Year Therms</v>
      </c>
      <c r="B3981" s="303" t="s">
        <v>1381</v>
      </c>
      <c r="C3981" s="304" t="s">
        <v>645</v>
      </c>
      <c r="D3981" s="303" t="s">
        <v>553</v>
      </c>
      <c r="E3981" s="305" t="s">
        <v>320</v>
      </c>
      <c r="F3981" s="309" t="s">
        <v>564</v>
      </c>
      <c r="G3981" s="307">
        <v>0</v>
      </c>
      <c r="H3981" s="305"/>
      <c r="I3981" s="305" t="s">
        <v>152</v>
      </c>
      <c r="J3981" s="305" t="s">
        <v>130</v>
      </c>
      <c r="K3981" s="305" t="s">
        <v>2161</v>
      </c>
    </row>
    <row r="3982" spans="1:11" x14ac:dyDescent="0.25">
      <c r="A3982" s="302" t="str">
        <f t="shared" si="103"/>
        <v>Steam Traps- Venturi_HVAC Repair/Rep - Audit_MF_Therm Saved per Unit</v>
      </c>
      <c r="B3982" s="303" t="s">
        <v>1381</v>
      </c>
      <c r="C3982" s="304" t="s">
        <v>645</v>
      </c>
      <c r="D3982" s="303" t="s">
        <v>553</v>
      </c>
      <c r="E3982" s="314" t="s">
        <v>326</v>
      </c>
      <c r="F3982" s="326"/>
      <c r="G3982" s="315">
        <f xml:space="preserve"> G3965 * (G3966 + G3967 * (G3971 - G3972)) * G3973 * G3974 / (G3975 * G3976)</f>
        <v>197.03296629323975</v>
      </c>
      <c r="H3982" s="305"/>
      <c r="I3982" s="305" t="s">
        <v>152</v>
      </c>
      <c r="J3982" s="305" t="s">
        <v>130</v>
      </c>
      <c r="K3982" s="305" t="s">
        <v>2161</v>
      </c>
    </row>
    <row r="3983" spans="1:11" x14ac:dyDescent="0.25">
      <c r="A3983" s="302" t="str">
        <f t="shared" si="103"/>
        <v>Steam Traps- Venturi_HVAC Repair/Rep - Audit_MF_Gallons Saved per Unit</v>
      </c>
      <c r="B3983" s="303" t="s">
        <v>1381</v>
      </c>
      <c r="C3983" s="304" t="s">
        <v>645</v>
      </c>
      <c r="D3983" s="303" t="s">
        <v>553</v>
      </c>
      <c r="E3983" s="314" t="s">
        <v>547</v>
      </c>
      <c r="F3983" s="326"/>
      <c r="G3983" s="315">
        <f>G3961</f>
        <v>1378.6299999999999</v>
      </c>
      <c r="H3983" s="305"/>
      <c r="I3983" s="305" t="s">
        <v>152</v>
      </c>
      <c r="J3983" s="305" t="s">
        <v>130</v>
      </c>
      <c r="K3983" s="305" t="s">
        <v>2161</v>
      </c>
    </row>
    <row r="3984" spans="1:11" x14ac:dyDescent="0.25">
      <c r="A3984" s="302" t="str">
        <f t="shared" ref="A3984:A4047" si="104">B3984&amp;"_"&amp;C3984&amp;"_"&amp;D3984&amp;"_"&amp;E3984</f>
        <v>Steam Traps- Venturi_HVAC Repair/Rep - Audit_MF_Remaining Life</v>
      </c>
      <c r="B3984" s="303" t="s">
        <v>1381</v>
      </c>
      <c r="C3984" s="304" t="s">
        <v>645</v>
      </c>
      <c r="D3984" s="303" t="s">
        <v>553</v>
      </c>
      <c r="E3984" s="314" t="s">
        <v>258</v>
      </c>
      <c r="F3984" s="326"/>
      <c r="G3984" s="315">
        <v>0</v>
      </c>
      <c r="H3984" s="305"/>
      <c r="I3984" s="305" t="s">
        <v>152</v>
      </c>
      <c r="J3984" s="305" t="s">
        <v>130</v>
      </c>
      <c r="K3984" s="305" t="s">
        <v>2161</v>
      </c>
    </row>
    <row r="3985" spans="1:11" x14ac:dyDescent="0.25">
      <c r="A3985" s="302" t="str">
        <f t="shared" si="104"/>
        <v>Steam Traps- Venturi_HVAC Repair/Rep - Audit_MF_Lifetime (years)</v>
      </c>
      <c r="B3985" s="303" t="s">
        <v>1381</v>
      </c>
      <c r="C3985" s="304" t="s">
        <v>645</v>
      </c>
      <c r="D3985" s="303" t="s">
        <v>553</v>
      </c>
      <c r="E3985" s="314" t="s">
        <v>259</v>
      </c>
      <c r="F3985" s="326" t="s">
        <v>548</v>
      </c>
      <c r="G3985" s="326">
        <v>20</v>
      </c>
      <c r="H3985" s="305" t="s">
        <v>1382</v>
      </c>
      <c r="I3985" s="305" t="s">
        <v>152</v>
      </c>
      <c r="J3985" s="305" t="s">
        <v>130</v>
      </c>
      <c r="K3985" s="305" t="s">
        <v>2161</v>
      </c>
    </row>
    <row r="3986" spans="1:11" x14ac:dyDescent="0.25">
      <c r="A3986" s="302" t="str">
        <f t="shared" si="104"/>
        <v>Steam Traps- Venturi_HVAC Repair/Rep - Audit_MF_Incremental Cost</v>
      </c>
      <c r="B3986" s="303" t="s">
        <v>1381</v>
      </c>
      <c r="C3986" s="304" t="s">
        <v>645</v>
      </c>
      <c r="D3986" s="303" t="s">
        <v>553</v>
      </c>
      <c r="E3986" s="314" t="s">
        <v>260</v>
      </c>
      <c r="F3986" s="327" t="s">
        <v>549</v>
      </c>
      <c r="G3986" s="328">
        <v>77</v>
      </c>
      <c r="H3986" s="305" t="s">
        <v>514</v>
      </c>
      <c r="I3986" s="305" t="s">
        <v>152</v>
      </c>
      <c r="J3986" s="305" t="s">
        <v>130</v>
      </c>
      <c r="K3986" s="305" t="s">
        <v>2161</v>
      </c>
    </row>
    <row r="3987" spans="1:11" s="324" customFormat="1" x14ac:dyDescent="0.25">
      <c r="A3987" s="317" t="str">
        <f t="shared" si="104"/>
        <v>Steam Traps- Venturi_HVAC Repair/Rep - Audit_MF_</v>
      </c>
      <c r="B3987" s="317" t="str">
        <f>B3986</f>
        <v>Steam Traps- Venturi</v>
      </c>
      <c r="C3987" s="332" t="str">
        <f>C3986</f>
        <v>HVAC Repair/Rep - Audit</v>
      </c>
      <c r="D3987" s="317" t="str">
        <f>D3986</f>
        <v>MF</v>
      </c>
      <c r="E3987" s="320"/>
      <c r="F3987" s="320"/>
      <c r="G3987" s="329"/>
      <c r="H3987" s="320"/>
      <c r="I3987" s="320"/>
      <c r="J3987" s="320"/>
      <c r="K3987" s="320"/>
    </row>
    <row r="3988" spans="1:11" x14ac:dyDescent="0.25">
      <c r="A3988" s="302" t="str">
        <f t="shared" si="104"/>
        <v>Steam Traps- Venturi_HVAC Repair/Rep - No Audit_MF_GAL</v>
      </c>
      <c r="B3988" s="303" t="s">
        <v>1381</v>
      </c>
      <c r="C3988" s="304" t="s">
        <v>660</v>
      </c>
      <c r="D3988" s="303" t="s">
        <v>553</v>
      </c>
      <c r="E3988" s="305" t="s">
        <v>513</v>
      </c>
      <c r="F3988" s="309" t="s">
        <v>646</v>
      </c>
      <c r="G3988" s="307">
        <v>0.83</v>
      </c>
      <c r="H3988" s="305" t="s">
        <v>514</v>
      </c>
      <c r="I3988" s="305" t="s">
        <v>152</v>
      </c>
      <c r="J3988" s="305" t="s">
        <v>130</v>
      </c>
      <c r="K3988" s="305" t="s">
        <v>2161</v>
      </c>
    </row>
    <row r="3989" spans="1:11" x14ac:dyDescent="0.25">
      <c r="A3989" s="302" t="str">
        <f t="shared" si="104"/>
        <v>Steam Traps- Venturi_HVAC Repair/Rep - No Audit_MF_Hours of Operation</v>
      </c>
      <c r="B3989" s="303" t="s">
        <v>1381</v>
      </c>
      <c r="C3989" s="304" t="s">
        <v>660</v>
      </c>
      <c r="D3989" s="303" t="s">
        <v>553</v>
      </c>
      <c r="E3989" s="305" t="s">
        <v>460</v>
      </c>
      <c r="F3989" s="309" t="s">
        <v>647</v>
      </c>
      <c r="G3989" s="339">
        <f>AVERAGE(1540,1782)</f>
        <v>1661</v>
      </c>
      <c r="H3989" s="305" t="s">
        <v>648</v>
      </c>
      <c r="I3989" s="305" t="s">
        <v>152</v>
      </c>
      <c r="J3989" s="305" t="s">
        <v>130</v>
      </c>
      <c r="K3989" s="305" t="s">
        <v>2161</v>
      </c>
    </row>
    <row r="3990" spans="1:11" x14ac:dyDescent="0.25">
      <c r="A3990" s="302" t="str">
        <f t="shared" si="104"/>
        <v>Steam Traps- Venturi_HVAC Repair/Rep - No Audit_MF_L</v>
      </c>
      <c r="B3990" s="303" t="s">
        <v>1381</v>
      </c>
      <c r="C3990" s="304" t="s">
        <v>660</v>
      </c>
      <c r="D3990" s="303" t="s">
        <v>553</v>
      </c>
      <c r="E3990" s="305" t="s">
        <v>437</v>
      </c>
      <c r="F3990" s="309" t="s">
        <v>539</v>
      </c>
      <c r="G3990" s="306">
        <v>0.27</v>
      </c>
      <c r="H3990" s="305" t="s">
        <v>2009</v>
      </c>
      <c r="I3990" s="305" t="s">
        <v>152</v>
      </c>
      <c r="J3990" s="305" t="s">
        <v>130</v>
      </c>
      <c r="K3990" s="305" t="s">
        <v>2161</v>
      </c>
    </row>
    <row r="3991" spans="1:11" x14ac:dyDescent="0.25">
      <c r="A3991" s="302" t="str">
        <f t="shared" si="104"/>
        <v>Steam Traps- Venturi_HVAC Repair/Rep - No Audit_MF_Delta_Water_Gallons</v>
      </c>
      <c r="B3991" s="303" t="s">
        <v>1381</v>
      </c>
      <c r="C3991" s="304" t="s">
        <v>660</v>
      </c>
      <c r="D3991" s="303" t="s">
        <v>553</v>
      </c>
      <c r="E3991" s="305" t="s">
        <v>456</v>
      </c>
      <c r="F3991" s="309"/>
      <c r="G3991" s="307">
        <f>G3988*G3989*G3990</f>
        <v>372.23009999999999</v>
      </c>
      <c r="H3991" s="305"/>
      <c r="I3991" s="305" t="s">
        <v>152</v>
      </c>
      <c r="J3991" s="305" t="s">
        <v>130</v>
      </c>
      <c r="K3991" s="305" t="s">
        <v>2161</v>
      </c>
    </row>
    <row r="3992" spans="1:11" x14ac:dyDescent="0.25">
      <c r="A3992" s="302" t="str">
        <f t="shared" si="104"/>
        <v>Steam Traps- Venturi_HVAC Repair/Rep - No Audit_MF_Conversion</v>
      </c>
      <c r="B3992" s="303" t="s">
        <v>1381</v>
      </c>
      <c r="C3992" s="304" t="s">
        <v>660</v>
      </c>
      <c r="D3992" s="303" t="s">
        <v>553</v>
      </c>
      <c r="E3992" s="305" t="s">
        <v>284</v>
      </c>
      <c r="F3992" s="309"/>
      <c r="G3992" s="339">
        <v>1000000</v>
      </c>
      <c r="H3992" s="305"/>
      <c r="I3992" s="305" t="s">
        <v>152</v>
      </c>
      <c r="J3992" s="305" t="s">
        <v>130</v>
      </c>
      <c r="K3992" s="305" t="s">
        <v>2161</v>
      </c>
    </row>
    <row r="3993" spans="1:11" x14ac:dyDescent="0.25">
      <c r="A3993" s="302" t="str">
        <f t="shared" si="104"/>
        <v>Steam Traps- Venturi_HVAC Repair/Rep - No Audit_MF_E_water_supply</v>
      </c>
      <c r="B3993" s="303" t="s">
        <v>1381</v>
      </c>
      <c r="C3993" s="304" t="s">
        <v>660</v>
      </c>
      <c r="D3993" s="303" t="s">
        <v>553</v>
      </c>
      <c r="E3993" s="305" t="s">
        <v>457</v>
      </c>
      <c r="F3993" s="309" t="s">
        <v>650</v>
      </c>
      <c r="G3993" s="307">
        <v>2571</v>
      </c>
      <c r="H3993" s="305"/>
      <c r="I3993" s="305" t="s">
        <v>152</v>
      </c>
      <c r="J3993" s="305" t="s">
        <v>130</v>
      </c>
      <c r="K3993" s="305" t="s">
        <v>2161</v>
      </c>
    </row>
    <row r="3994" spans="1:11" x14ac:dyDescent="0.25">
      <c r="A3994" s="302" t="str">
        <f t="shared" si="104"/>
        <v>Steam Traps- Venturi_HVAC Repair/Rep - No Audit_MF_Delta_kWh_water</v>
      </c>
      <c r="B3994" s="303" t="s">
        <v>1381</v>
      </c>
      <c r="C3994" s="304" t="s">
        <v>660</v>
      </c>
      <c r="D3994" s="303" t="s">
        <v>553</v>
      </c>
      <c r="E3994" s="305" t="s">
        <v>334</v>
      </c>
      <c r="F3994" s="309" t="s">
        <v>565</v>
      </c>
      <c r="G3994" s="306">
        <f>(G3991/G3992)*G3993</f>
        <v>0.9570035871</v>
      </c>
      <c r="H3994" s="305"/>
      <c r="I3994" s="305" t="s">
        <v>152</v>
      </c>
      <c r="J3994" s="305" t="s">
        <v>130</v>
      </c>
      <c r="K3994" s="305" t="s">
        <v>2161</v>
      </c>
    </row>
    <row r="3995" spans="1:11" x14ac:dyDescent="0.25">
      <c r="A3995" s="302" t="str">
        <f t="shared" si="104"/>
        <v>Steam Traps- Venturi_HVAC Repair/Rep - No Audit_MF_Sa</v>
      </c>
      <c r="B3995" s="303" t="s">
        <v>1381</v>
      </c>
      <c r="C3995" s="304" t="s">
        <v>660</v>
      </c>
      <c r="D3995" s="303" t="s">
        <v>553</v>
      </c>
      <c r="E3995" s="305" t="s">
        <v>507</v>
      </c>
      <c r="F3995" s="309"/>
      <c r="G3995" s="307">
        <v>6.9</v>
      </c>
      <c r="H3995" s="305" t="s">
        <v>2007</v>
      </c>
      <c r="I3995" s="305" t="s">
        <v>152</v>
      </c>
      <c r="J3995" s="305" t="s">
        <v>130</v>
      </c>
      <c r="K3995" s="305" t="s">
        <v>2161</v>
      </c>
    </row>
    <row r="3996" spans="1:11" x14ac:dyDescent="0.25">
      <c r="A3996" s="302" t="str">
        <f t="shared" si="104"/>
        <v>Steam Traps- Venturi_HVAC Repair/Rep - No Audit_MF_Hv</v>
      </c>
      <c r="B3996" s="303" t="s">
        <v>1381</v>
      </c>
      <c r="C3996" s="304" t="s">
        <v>660</v>
      </c>
      <c r="D3996" s="303" t="s">
        <v>553</v>
      </c>
      <c r="E3996" s="305" t="s">
        <v>508</v>
      </c>
      <c r="F3996" s="309" t="s">
        <v>651</v>
      </c>
      <c r="G3996" s="306">
        <v>951</v>
      </c>
      <c r="H3996" s="305" t="s">
        <v>2007</v>
      </c>
      <c r="I3996" s="305" t="s">
        <v>152</v>
      </c>
      <c r="J3996" s="305" t="s">
        <v>130</v>
      </c>
      <c r="K3996" s="305" t="s">
        <v>2161</v>
      </c>
    </row>
    <row r="3997" spans="1:11" x14ac:dyDescent="0.25">
      <c r="A3997" s="302" t="str">
        <f t="shared" si="104"/>
        <v>Steam Traps- Venturi_HVAC Repair/Rep - No Audit_MF_Hs</v>
      </c>
      <c r="B3997" s="303" t="s">
        <v>1381</v>
      </c>
      <c r="C3997" s="304" t="s">
        <v>660</v>
      </c>
      <c r="D3997" s="303" t="s">
        <v>553</v>
      </c>
      <c r="E3997" s="340" t="s">
        <v>509</v>
      </c>
      <c r="F3997" s="340"/>
      <c r="G3997" s="341">
        <v>1.0009999999999999</v>
      </c>
      <c r="H3997" s="340" t="s">
        <v>652</v>
      </c>
      <c r="I3997" s="305" t="s">
        <v>152</v>
      </c>
      <c r="J3997" s="305" t="s">
        <v>130</v>
      </c>
      <c r="K3997" s="305" t="s">
        <v>2161</v>
      </c>
    </row>
    <row r="3998" spans="1:11" x14ac:dyDescent="0.25">
      <c r="A3998" s="302" t="str">
        <f t="shared" si="104"/>
        <v>Steam Traps- Venturi_HVAC Repair/Rep - No Audit_MF_507.89</v>
      </c>
      <c r="B3998" s="303" t="s">
        <v>1381</v>
      </c>
      <c r="C3998" s="304" t="s">
        <v>660</v>
      </c>
      <c r="D3998" s="303" t="s">
        <v>553</v>
      </c>
      <c r="E3998" s="342">
        <v>507.89</v>
      </c>
      <c r="F3998" s="340"/>
      <c r="G3998" s="341">
        <v>507.89</v>
      </c>
      <c r="H3998" s="340"/>
      <c r="I3998" s="305" t="s">
        <v>152</v>
      </c>
      <c r="J3998" s="305" t="s">
        <v>130</v>
      </c>
      <c r="K3998" s="305" t="s">
        <v>2161</v>
      </c>
    </row>
    <row r="3999" spans="1:11" x14ac:dyDescent="0.25">
      <c r="A3999" s="302" t="str">
        <f t="shared" si="104"/>
        <v>Steam Traps- Venturi_HVAC Repair/Rep - No Audit_MF_P1</v>
      </c>
      <c r="B3999" s="303" t="s">
        <v>1381</v>
      </c>
      <c r="C3999" s="304" t="s">
        <v>660</v>
      </c>
      <c r="D3999" s="303" t="s">
        <v>553</v>
      </c>
      <c r="E3999" s="340" t="s">
        <v>510</v>
      </c>
      <c r="F3999" s="340"/>
      <c r="G3999" s="341">
        <f>5+14.696</f>
        <v>19.695999999999998</v>
      </c>
      <c r="H3999" s="340" t="s">
        <v>653</v>
      </c>
      <c r="I3999" s="305" t="s">
        <v>152</v>
      </c>
      <c r="J3999" s="305" t="s">
        <v>130</v>
      </c>
      <c r="K3999" s="305" t="s">
        <v>2161</v>
      </c>
    </row>
    <row r="4000" spans="1:11" x14ac:dyDescent="0.25">
      <c r="A4000" s="302" t="str">
        <f t="shared" si="104"/>
        <v>Steam Traps- Venturi_HVAC Repair/Rep - No Audit_MF_0.0962</v>
      </c>
      <c r="B4000" s="303" t="s">
        <v>1381</v>
      </c>
      <c r="C4000" s="304" t="s">
        <v>660</v>
      </c>
      <c r="D4000" s="303" t="s">
        <v>553</v>
      </c>
      <c r="E4000" s="340">
        <v>9.6199999999999994E-2</v>
      </c>
      <c r="F4000" s="340"/>
      <c r="G4000" s="343">
        <v>9.6199999999999994E-2</v>
      </c>
      <c r="H4000" s="340"/>
      <c r="I4000" s="305" t="s">
        <v>152</v>
      </c>
      <c r="J4000" s="305" t="s">
        <v>130</v>
      </c>
      <c r="K4000" s="305" t="s">
        <v>2161</v>
      </c>
    </row>
    <row r="4001" spans="1:11" x14ac:dyDescent="0.25">
      <c r="A4001" s="302" t="str">
        <f t="shared" si="104"/>
        <v>Steam Traps- Venturi_HVAC Repair/Rep - No Audit_MF_T1</v>
      </c>
      <c r="B4001" s="303" t="s">
        <v>1381</v>
      </c>
      <c r="C4001" s="304" t="s">
        <v>660</v>
      </c>
      <c r="D4001" s="303" t="s">
        <v>553</v>
      </c>
      <c r="E4001" s="340" t="s">
        <v>511</v>
      </c>
      <c r="F4001" s="340"/>
      <c r="G4001" s="341">
        <f>G3998*(G3999^G4000)</f>
        <v>676.5327561570117</v>
      </c>
      <c r="H4001" s="340" t="s">
        <v>654</v>
      </c>
      <c r="I4001" s="305" t="s">
        <v>152</v>
      </c>
      <c r="J4001" s="305" t="s">
        <v>130</v>
      </c>
      <c r="K4001" s="305" t="s">
        <v>2161</v>
      </c>
    </row>
    <row r="4002" spans="1:11" x14ac:dyDescent="0.25">
      <c r="A4002" s="302" t="str">
        <f t="shared" si="104"/>
        <v>Steam Traps- Venturi_HVAC Repair/Rep - No Audit_MF_Tsource</v>
      </c>
      <c r="B4002" s="303" t="s">
        <v>1381</v>
      </c>
      <c r="C4002" s="304" t="s">
        <v>660</v>
      </c>
      <c r="D4002" s="303" t="s">
        <v>553</v>
      </c>
      <c r="E4002" s="340" t="s">
        <v>512</v>
      </c>
      <c r="F4002" s="340"/>
      <c r="G4002" s="341">
        <v>513.66999999999996</v>
      </c>
      <c r="H4002" s="340" t="s">
        <v>655</v>
      </c>
      <c r="I4002" s="305" t="s">
        <v>152</v>
      </c>
      <c r="J4002" s="305" t="s">
        <v>130</v>
      </c>
      <c r="K4002" s="305" t="s">
        <v>2161</v>
      </c>
    </row>
    <row r="4003" spans="1:11" x14ac:dyDescent="0.25">
      <c r="A4003" s="302" t="str">
        <f t="shared" si="104"/>
        <v>Steam Traps- Venturi_HVAC Repair/Rep - No Audit_MF_Hours of Operation</v>
      </c>
      <c r="B4003" s="303" t="s">
        <v>1381</v>
      </c>
      <c r="C4003" s="304" t="s">
        <v>660</v>
      </c>
      <c r="D4003" s="303" t="s">
        <v>553</v>
      </c>
      <c r="E4003" s="305" t="s">
        <v>460</v>
      </c>
      <c r="F4003" s="309" t="s">
        <v>647</v>
      </c>
      <c r="G4003" s="339">
        <f>AVERAGE(1540,1782)</f>
        <v>1661</v>
      </c>
      <c r="H4003" s="305" t="s">
        <v>648</v>
      </c>
      <c r="I4003" s="305" t="s">
        <v>152</v>
      </c>
      <c r="J4003" s="305" t="s">
        <v>130</v>
      </c>
      <c r="K4003" s="305" t="s">
        <v>2161</v>
      </c>
    </row>
    <row r="4004" spans="1:11" x14ac:dyDescent="0.25">
      <c r="A4004" s="302" t="str">
        <f t="shared" si="104"/>
        <v>Steam Traps- Venturi_HVAC Repair/Rep - No Audit_MF_L</v>
      </c>
      <c r="B4004" s="303" t="s">
        <v>1381</v>
      </c>
      <c r="C4004" s="304" t="s">
        <v>660</v>
      </c>
      <c r="D4004" s="303" t="s">
        <v>553</v>
      </c>
      <c r="E4004" s="305" t="s">
        <v>437</v>
      </c>
      <c r="F4004" s="309" t="s">
        <v>539</v>
      </c>
      <c r="G4004" s="307">
        <v>0.27</v>
      </c>
      <c r="H4004" s="305" t="s">
        <v>2009</v>
      </c>
      <c r="I4004" s="305" t="s">
        <v>152</v>
      </c>
      <c r="J4004" s="305" t="s">
        <v>130</v>
      </c>
      <c r="K4004" s="305" t="s">
        <v>2161</v>
      </c>
    </row>
    <row r="4005" spans="1:11" x14ac:dyDescent="0.25">
      <c r="A4005" s="302" t="str">
        <f t="shared" si="104"/>
        <v>Steam Traps- Venturi_HVAC Repair/Rep - No Audit_MF_Conversion</v>
      </c>
      <c r="B4005" s="303" t="s">
        <v>1381</v>
      </c>
      <c r="C4005" s="304" t="s">
        <v>660</v>
      </c>
      <c r="D4005" s="303" t="s">
        <v>553</v>
      </c>
      <c r="E4005" s="305" t="s">
        <v>284</v>
      </c>
      <c r="F4005" s="305" t="s">
        <v>622</v>
      </c>
      <c r="G4005" s="325">
        <v>100000</v>
      </c>
      <c r="H4005" s="305"/>
      <c r="I4005" s="305" t="s">
        <v>152</v>
      </c>
      <c r="J4005" s="305" t="s">
        <v>130</v>
      </c>
      <c r="K4005" s="305" t="s">
        <v>2161</v>
      </c>
    </row>
    <row r="4006" spans="1:11" x14ac:dyDescent="0.25">
      <c r="A4006" s="302" t="str">
        <f t="shared" si="104"/>
        <v>Steam Traps- Venturi_HVAC Repair/Rep - No Audit_MF_n_B</v>
      </c>
      <c r="B4006" s="303" t="s">
        <v>1381</v>
      </c>
      <c r="C4006" s="304" t="s">
        <v>660</v>
      </c>
      <c r="D4006" s="303" t="s">
        <v>553</v>
      </c>
      <c r="E4006" s="340" t="s">
        <v>657</v>
      </c>
      <c r="F4006" s="341"/>
      <c r="G4006" s="344">
        <v>0.64800000000000002</v>
      </c>
      <c r="H4006" s="345" t="s">
        <v>1944</v>
      </c>
      <c r="I4006" s="305" t="s">
        <v>152</v>
      </c>
      <c r="J4006" s="305" t="s">
        <v>130</v>
      </c>
      <c r="K4006" s="305" t="s">
        <v>2161</v>
      </c>
    </row>
    <row r="4007" spans="1:11" x14ac:dyDescent="0.25">
      <c r="A4007" s="302" t="str">
        <f t="shared" si="104"/>
        <v>Steam Traps- Venturi_HVAC Repair/Rep - No Audit_MF_Remaining Year kWh</v>
      </c>
      <c r="B4007" s="303" t="s">
        <v>1381</v>
      </c>
      <c r="C4007" s="304" t="s">
        <v>660</v>
      </c>
      <c r="D4007" s="303" t="s">
        <v>553</v>
      </c>
      <c r="E4007" s="305" t="s">
        <v>254</v>
      </c>
      <c r="F4007" s="309" t="s">
        <v>565</v>
      </c>
      <c r="G4007" s="307">
        <v>0</v>
      </c>
      <c r="H4007" s="305"/>
      <c r="I4007" s="305" t="s">
        <v>152</v>
      </c>
      <c r="J4007" s="305" t="s">
        <v>130</v>
      </c>
      <c r="K4007" s="305" t="s">
        <v>2161</v>
      </c>
    </row>
    <row r="4008" spans="1:11" x14ac:dyDescent="0.25">
      <c r="A4008" s="302" t="str">
        <f t="shared" si="104"/>
        <v>Steam Traps- Venturi_HVAC Repair/Rep - No Audit_MF_kWh Saved per Unit</v>
      </c>
      <c r="B4008" s="303" t="s">
        <v>1381</v>
      </c>
      <c r="C4008" s="304" t="s">
        <v>660</v>
      </c>
      <c r="D4008" s="303" t="s">
        <v>553</v>
      </c>
      <c r="E4008" s="305" t="s">
        <v>255</v>
      </c>
      <c r="F4008" s="309" t="s">
        <v>565</v>
      </c>
      <c r="G4008" s="306">
        <f>G3994</f>
        <v>0.9570035871</v>
      </c>
      <c r="H4008" s="305"/>
      <c r="I4008" s="305" t="s">
        <v>152</v>
      </c>
      <c r="J4008" s="305" t="s">
        <v>130</v>
      </c>
      <c r="K4008" s="305" t="s">
        <v>2161</v>
      </c>
    </row>
    <row r="4009" spans="1:11" x14ac:dyDescent="0.25">
      <c r="A4009" s="302" t="str">
        <f t="shared" si="104"/>
        <v>Steam Traps- Venturi_HVAC Repair/Rep - No Audit_MF_Remaining Year kW</v>
      </c>
      <c r="B4009" s="303" t="s">
        <v>1381</v>
      </c>
      <c r="C4009" s="304" t="s">
        <v>660</v>
      </c>
      <c r="D4009" s="303" t="s">
        <v>553</v>
      </c>
      <c r="E4009" s="305" t="s">
        <v>256</v>
      </c>
      <c r="F4009" s="309" t="s">
        <v>658</v>
      </c>
      <c r="G4009" s="307">
        <v>0</v>
      </c>
      <c r="H4009" s="305"/>
      <c r="I4009" s="305" t="s">
        <v>152</v>
      </c>
      <c r="J4009" s="305" t="s">
        <v>130</v>
      </c>
      <c r="K4009" s="305" t="s">
        <v>2161</v>
      </c>
    </row>
    <row r="4010" spans="1:11" x14ac:dyDescent="0.25">
      <c r="A4010" s="302" t="str">
        <f t="shared" si="104"/>
        <v>Steam Traps- Venturi_HVAC Repair/Rep - No Audit_MF_Coincident Peak kW Saved per Unit</v>
      </c>
      <c r="B4010" s="303" t="s">
        <v>1381</v>
      </c>
      <c r="C4010" s="304" t="s">
        <v>660</v>
      </c>
      <c r="D4010" s="303" t="s">
        <v>553</v>
      </c>
      <c r="E4010" s="305" t="s">
        <v>257</v>
      </c>
      <c r="F4010" s="309" t="s">
        <v>658</v>
      </c>
      <c r="G4010" s="306">
        <v>0</v>
      </c>
      <c r="H4010" s="305"/>
      <c r="I4010" s="305" t="s">
        <v>152</v>
      </c>
      <c r="J4010" s="305" t="s">
        <v>130</v>
      </c>
      <c r="K4010" s="305" t="s">
        <v>2161</v>
      </c>
    </row>
    <row r="4011" spans="1:11" x14ac:dyDescent="0.25">
      <c r="A4011" s="302" t="str">
        <f t="shared" si="104"/>
        <v>Steam Traps- Venturi_HVAC Repair/Rep - No Audit_MF_Remaining Year Therms</v>
      </c>
      <c r="B4011" s="303" t="s">
        <v>1381</v>
      </c>
      <c r="C4011" s="304" t="s">
        <v>660</v>
      </c>
      <c r="D4011" s="303" t="s">
        <v>553</v>
      </c>
      <c r="E4011" s="305" t="s">
        <v>320</v>
      </c>
      <c r="F4011" s="309" t="s">
        <v>564</v>
      </c>
      <c r="G4011" s="307">
        <v>0</v>
      </c>
      <c r="H4011" s="305"/>
      <c r="I4011" s="305" t="s">
        <v>152</v>
      </c>
      <c r="J4011" s="305" t="s">
        <v>130</v>
      </c>
      <c r="K4011" s="305" t="s">
        <v>2161</v>
      </c>
    </row>
    <row r="4012" spans="1:11" x14ac:dyDescent="0.25">
      <c r="A4012" s="302" t="str">
        <f t="shared" si="104"/>
        <v>Steam Traps- Venturi_HVAC Repair/Rep - No Audit_MF_Therm Saved per Unit</v>
      </c>
      <c r="B4012" s="303" t="s">
        <v>1381</v>
      </c>
      <c r="C4012" s="304" t="s">
        <v>660</v>
      </c>
      <c r="D4012" s="303" t="s">
        <v>553</v>
      </c>
      <c r="E4012" s="314" t="s">
        <v>326</v>
      </c>
      <c r="F4012" s="326"/>
      <c r="G4012" s="315">
        <f xml:space="preserve"> G3995 * (G3996 + G3997 * (G4001 - G4002)) * G4003 * G4004 / (G4005 * G4006)</f>
        <v>53.198900899174738</v>
      </c>
      <c r="H4012" s="305"/>
      <c r="I4012" s="305" t="s">
        <v>152</v>
      </c>
      <c r="J4012" s="305" t="s">
        <v>130</v>
      </c>
      <c r="K4012" s="305" t="s">
        <v>2161</v>
      </c>
    </row>
    <row r="4013" spans="1:11" x14ac:dyDescent="0.25">
      <c r="A4013" s="302" t="str">
        <f t="shared" si="104"/>
        <v>Steam Traps- Venturi_HVAC Repair/Rep - No Audit_MF_Gallons Saved per Unit</v>
      </c>
      <c r="B4013" s="303" t="s">
        <v>1381</v>
      </c>
      <c r="C4013" s="304" t="s">
        <v>660</v>
      </c>
      <c r="D4013" s="303" t="s">
        <v>553</v>
      </c>
      <c r="E4013" s="314" t="s">
        <v>547</v>
      </c>
      <c r="F4013" s="326"/>
      <c r="G4013" s="315">
        <f>G3991</f>
        <v>372.23009999999999</v>
      </c>
      <c r="H4013" s="305"/>
      <c r="I4013" s="305" t="s">
        <v>152</v>
      </c>
      <c r="J4013" s="305" t="s">
        <v>130</v>
      </c>
      <c r="K4013" s="305" t="s">
        <v>2161</v>
      </c>
    </row>
    <row r="4014" spans="1:11" x14ac:dyDescent="0.25">
      <c r="A4014" s="302" t="str">
        <f t="shared" si="104"/>
        <v>Steam Traps- Venturi_HVAC Repair/Rep - No Audit_MF_Remaining Life</v>
      </c>
      <c r="B4014" s="303" t="s">
        <v>1381</v>
      </c>
      <c r="C4014" s="304" t="s">
        <v>660</v>
      </c>
      <c r="D4014" s="303" t="s">
        <v>553</v>
      </c>
      <c r="E4014" s="314" t="s">
        <v>258</v>
      </c>
      <c r="F4014" s="326"/>
      <c r="G4014" s="315">
        <v>0</v>
      </c>
      <c r="H4014" s="305"/>
      <c r="I4014" s="305" t="s">
        <v>152</v>
      </c>
      <c r="J4014" s="305" t="s">
        <v>130</v>
      </c>
      <c r="K4014" s="305" t="s">
        <v>2161</v>
      </c>
    </row>
    <row r="4015" spans="1:11" x14ac:dyDescent="0.25">
      <c r="A4015" s="302" t="str">
        <f t="shared" si="104"/>
        <v>Steam Traps- Venturi_HVAC Repair/Rep - No Audit_MF_Lifetime (years)</v>
      </c>
      <c r="B4015" s="303" t="s">
        <v>1381</v>
      </c>
      <c r="C4015" s="304" t="s">
        <v>660</v>
      </c>
      <c r="D4015" s="303" t="s">
        <v>553</v>
      </c>
      <c r="E4015" s="314" t="s">
        <v>259</v>
      </c>
      <c r="F4015" s="326" t="s">
        <v>548</v>
      </c>
      <c r="G4015" s="326">
        <v>20</v>
      </c>
      <c r="H4015" s="305" t="s">
        <v>1382</v>
      </c>
      <c r="I4015" s="305" t="s">
        <v>152</v>
      </c>
      <c r="J4015" s="305" t="s">
        <v>130</v>
      </c>
      <c r="K4015" s="305" t="s">
        <v>2161</v>
      </c>
    </row>
    <row r="4016" spans="1:11" x14ac:dyDescent="0.25">
      <c r="A4016" s="302" t="str">
        <f t="shared" si="104"/>
        <v>Steam Traps- Venturi_HVAC Repair/Rep - No Audit_MF_Incremental Cost</v>
      </c>
      <c r="B4016" s="303" t="s">
        <v>1381</v>
      </c>
      <c r="C4016" s="304" t="s">
        <v>660</v>
      </c>
      <c r="D4016" s="303" t="s">
        <v>553</v>
      </c>
      <c r="E4016" s="314" t="s">
        <v>260</v>
      </c>
      <c r="F4016" s="327" t="s">
        <v>549</v>
      </c>
      <c r="G4016" s="328">
        <v>77</v>
      </c>
      <c r="H4016" s="305" t="s">
        <v>514</v>
      </c>
      <c r="I4016" s="305" t="s">
        <v>152</v>
      </c>
      <c r="J4016" s="305" t="s">
        <v>130</v>
      </c>
      <c r="K4016" s="305" t="s">
        <v>2161</v>
      </c>
    </row>
    <row r="4017" spans="1:11" s="324" customFormat="1" x14ac:dyDescent="0.25">
      <c r="A4017" s="317" t="str">
        <f t="shared" si="104"/>
        <v>Steam Traps- Venturi_HVAC Repair/Rep - No Audit_MF_</v>
      </c>
      <c r="B4017" s="317" t="str">
        <f>B4016</f>
        <v>Steam Traps- Venturi</v>
      </c>
      <c r="C4017" s="332" t="str">
        <f>C4016</f>
        <v>HVAC Repair/Rep - No Audit</v>
      </c>
      <c r="D4017" s="317" t="str">
        <f>D4016</f>
        <v>MF</v>
      </c>
      <c r="E4017" s="320"/>
      <c r="F4017" s="320"/>
      <c r="G4017" s="329"/>
      <c r="H4017" s="320"/>
      <c r="I4017" s="320"/>
      <c r="J4017" s="320"/>
      <c r="K4017" s="320"/>
    </row>
    <row r="4018" spans="1:11" x14ac:dyDescent="0.25">
      <c r="A4018" s="302" t="str">
        <f t="shared" si="104"/>
        <v>Steam Traps- Venturi_Dry Cleaner/Industrial_MF_GAL</v>
      </c>
      <c r="B4018" s="303" t="s">
        <v>1381</v>
      </c>
      <c r="C4018" s="304" t="s">
        <v>661</v>
      </c>
      <c r="D4018" s="303" t="s">
        <v>553</v>
      </c>
      <c r="E4018" s="305" t="s">
        <v>513</v>
      </c>
      <c r="F4018" s="309" t="s">
        <v>646</v>
      </c>
      <c r="G4018" s="307">
        <v>0.83</v>
      </c>
      <c r="H4018" s="305" t="s">
        <v>514</v>
      </c>
      <c r="I4018" s="305" t="s">
        <v>152</v>
      </c>
      <c r="J4018" s="305" t="s">
        <v>130</v>
      </c>
      <c r="K4018" s="305" t="s">
        <v>2161</v>
      </c>
    </row>
    <row r="4019" spans="1:11" x14ac:dyDescent="0.25">
      <c r="A4019" s="302" t="str">
        <f t="shared" si="104"/>
        <v>Steam Traps- Venturi_Dry Cleaner/Industrial_MF_Hours of Operation</v>
      </c>
      <c r="B4019" s="303" t="s">
        <v>1381</v>
      </c>
      <c r="C4019" s="304" t="s">
        <v>661</v>
      </c>
      <c r="D4019" s="303" t="s">
        <v>553</v>
      </c>
      <c r="E4019" s="305" t="s">
        <v>460</v>
      </c>
      <c r="F4019" s="309" t="s">
        <v>647</v>
      </c>
      <c r="G4019" s="339">
        <f>AVERAGE(1540,1782)</f>
        <v>1661</v>
      </c>
      <c r="H4019" s="305" t="s">
        <v>648</v>
      </c>
      <c r="I4019" s="305" t="s">
        <v>152</v>
      </c>
      <c r="J4019" s="305" t="s">
        <v>130</v>
      </c>
      <c r="K4019" s="305" t="s">
        <v>2161</v>
      </c>
    </row>
    <row r="4020" spans="1:11" x14ac:dyDescent="0.25">
      <c r="A4020" s="302" t="str">
        <f t="shared" si="104"/>
        <v>Steam Traps- Venturi_Dry Cleaner/Industrial_MF_L</v>
      </c>
      <c r="B4020" s="303" t="s">
        <v>1381</v>
      </c>
      <c r="C4020" s="304" t="s">
        <v>661</v>
      </c>
      <c r="D4020" s="303" t="s">
        <v>553</v>
      </c>
      <c r="E4020" s="305" t="s">
        <v>437</v>
      </c>
      <c r="F4020" s="309" t="s">
        <v>539</v>
      </c>
      <c r="G4020" s="306">
        <v>0.27</v>
      </c>
      <c r="H4020" s="305" t="s">
        <v>2009</v>
      </c>
      <c r="I4020" s="305" t="s">
        <v>152</v>
      </c>
      <c r="J4020" s="305" t="s">
        <v>130</v>
      </c>
      <c r="K4020" s="305" t="s">
        <v>2161</v>
      </c>
    </row>
    <row r="4021" spans="1:11" x14ac:dyDescent="0.25">
      <c r="A4021" s="302" t="str">
        <f t="shared" si="104"/>
        <v>Steam Traps- Venturi_Dry Cleaner/Industrial_MF_Delta_Water_Gallons</v>
      </c>
      <c r="B4021" s="303" t="s">
        <v>1381</v>
      </c>
      <c r="C4021" s="304" t="s">
        <v>661</v>
      </c>
      <c r="D4021" s="303" t="s">
        <v>553</v>
      </c>
      <c r="E4021" s="305" t="s">
        <v>456</v>
      </c>
      <c r="F4021" s="309"/>
      <c r="G4021" s="307">
        <f>G4018*G4019*G4020</f>
        <v>372.23009999999999</v>
      </c>
      <c r="H4021" s="305"/>
      <c r="I4021" s="305" t="s">
        <v>152</v>
      </c>
      <c r="J4021" s="305" t="s">
        <v>130</v>
      </c>
      <c r="K4021" s="305" t="s">
        <v>2161</v>
      </c>
    </row>
    <row r="4022" spans="1:11" x14ac:dyDescent="0.25">
      <c r="A4022" s="302" t="str">
        <f t="shared" si="104"/>
        <v>Steam Traps- Venturi_Dry Cleaner/Industrial_MF_Conversion</v>
      </c>
      <c r="B4022" s="303" t="s">
        <v>1381</v>
      </c>
      <c r="C4022" s="304" t="s">
        <v>661</v>
      </c>
      <c r="D4022" s="303" t="s">
        <v>553</v>
      </c>
      <c r="E4022" s="305" t="s">
        <v>284</v>
      </c>
      <c r="F4022" s="309"/>
      <c r="G4022" s="339">
        <v>1000000</v>
      </c>
      <c r="H4022" s="305"/>
      <c r="I4022" s="305" t="s">
        <v>152</v>
      </c>
      <c r="J4022" s="305" t="s">
        <v>130</v>
      </c>
      <c r="K4022" s="305" t="s">
        <v>2161</v>
      </c>
    </row>
    <row r="4023" spans="1:11" x14ac:dyDescent="0.25">
      <c r="A4023" s="302" t="str">
        <f t="shared" si="104"/>
        <v>Steam Traps- Venturi_Dry Cleaner/Industrial_MF_E_water_supply</v>
      </c>
      <c r="B4023" s="303" t="s">
        <v>1381</v>
      </c>
      <c r="C4023" s="304" t="s">
        <v>661</v>
      </c>
      <c r="D4023" s="303" t="s">
        <v>553</v>
      </c>
      <c r="E4023" s="305" t="s">
        <v>457</v>
      </c>
      <c r="F4023" s="309" t="s">
        <v>650</v>
      </c>
      <c r="G4023" s="307">
        <v>2571</v>
      </c>
      <c r="H4023" s="305"/>
      <c r="I4023" s="305" t="s">
        <v>152</v>
      </c>
      <c r="J4023" s="305" t="s">
        <v>130</v>
      </c>
      <c r="K4023" s="305" t="s">
        <v>2161</v>
      </c>
    </row>
    <row r="4024" spans="1:11" x14ac:dyDescent="0.25">
      <c r="A4024" s="302" t="str">
        <f t="shared" si="104"/>
        <v>Steam Traps- Venturi_Dry Cleaner/Industrial_MF_Delta_kWh_water</v>
      </c>
      <c r="B4024" s="303" t="s">
        <v>1381</v>
      </c>
      <c r="C4024" s="304" t="s">
        <v>661</v>
      </c>
      <c r="D4024" s="303" t="s">
        <v>553</v>
      </c>
      <c r="E4024" s="305" t="s">
        <v>334</v>
      </c>
      <c r="F4024" s="309" t="s">
        <v>565</v>
      </c>
      <c r="G4024" s="306">
        <f>(G4021/G4022)*G4023</f>
        <v>0.9570035871</v>
      </c>
      <c r="H4024" s="305"/>
      <c r="I4024" s="305" t="s">
        <v>152</v>
      </c>
      <c r="J4024" s="305" t="s">
        <v>130</v>
      </c>
      <c r="K4024" s="305" t="s">
        <v>2161</v>
      </c>
    </row>
    <row r="4025" spans="1:11" x14ac:dyDescent="0.25">
      <c r="A4025" s="302" t="str">
        <f t="shared" si="104"/>
        <v>Steam Traps- Venturi_Dry Cleaner/Industrial_MF_Sa</v>
      </c>
      <c r="B4025" s="303" t="s">
        <v>1381</v>
      </c>
      <c r="C4025" s="304" t="s">
        <v>661</v>
      </c>
      <c r="D4025" s="303" t="s">
        <v>553</v>
      </c>
      <c r="E4025" s="305" t="s">
        <v>507</v>
      </c>
      <c r="F4025" s="309"/>
      <c r="G4025" s="307">
        <v>18.5</v>
      </c>
      <c r="H4025" s="305" t="s">
        <v>663</v>
      </c>
      <c r="I4025" s="305" t="s">
        <v>152</v>
      </c>
      <c r="J4025" s="305" t="s">
        <v>130</v>
      </c>
      <c r="K4025" s="305" t="s">
        <v>2161</v>
      </c>
    </row>
    <row r="4026" spans="1:11" x14ac:dyDescent="0.25">
      <c r="A4026" s="302" t="str">
        <f t="shared" si="104"/>
        <v>Steam Traps- Venturi_Dry Cleaner/Industrial_MF_Hv</v>
      </c>
      <c r="B4026" s="303" t="s">
        <v>1381</v>
      </c>
      <c r="C4026" s="304" t="s">
        <v>661</v>
      </c>
      <c r="D4026" s="303" t="s">
        <v>553</v>
      </c>
      <c r="E4026" s="305" t="s">
        <v>508</v>
      </c>
      <c r="F4026" s="309" t="s">
        <v>651</v>
      </c>
      <c r="G4026" s="306">
        <v>890</v>
      </c>
      <c r="H4026" s="305" t="s">
        <v>663</v>
      </c>
      <c r="I4026" s="305" t="s">
        <v>152</v>
      </c>
      <c r="J4026" s="305" t="s">
        <v>130</v>
      </c>
      <c r="K4026" s="305" t="s">
        <v>2161</v>
      </c>
    </row>
    <row r="4027" spans="1:11" x14ac:dyDescent="0.25">
      <c r="A4027" s="302" t="str">
        <f t="shared" si="104"/>
        <v>Steam Traps- Venturi_Dry Cleaner/Industrial_MF_Hs</v>
      </c>
      <c r="B4027" s="303" t="s">
        <v>1381</v>
      </c>
      <c r="C4027" s="304" t="s">
        <v>661</v>
      </c>
      <c r="D4027" s="303" t="s">
        <v>553</v>
      </c>
      <c r="E4027" s="340" t="s">
        <v>509</v>
      </c>
      <c r="F4027" s="340"/>
      <c r="G4027" s="341">
        <v>1.0009999999999999</v>
      </c>
      <c r="H4027" s="340" t="s">
        <v>652</v>
      </c>
      <c r="I4027" s="305" t="s">
        <v>152</v>
      </c>
      <c r="J4027" s="305" t="s">
        <v>130</v>
      </c>
      <c r="K4027" s="305" t="s">
        <v>2161</v>
      </c>
    </row>
    <row r="4028" spans="1:11" x14ac:dyDescent="0.25">
      <c r="A4028" s="302" t="str">
        <f t="shared" si="104"/>
        <v>Steam Traps- Venturi_Dry Cleaner/Industrial_MF_507.89</v>
      </c>
      <c r="B4028" s="303" t="s">
        <v>1381</v>
      </c>
      <c r="C4028" s="304" t="s">
        <v>661</v>
      </c>
      <c r="D4028" s="303" t="s">
        <v>553</v>
      </c>
      <c r="E4028" s="342">
        <v>507.89</v>
      </c>
      <c r="F4028" s="340"/>
      <c r="G4028" s="341">
        <v>507.89</v>
      </c>
      <c r="H4028" s="340"/>
      <c r="I4028" s="305" t="s">
        <v>152</v>
      </c>
      <c r="J4028" s="305" t="s">
        <v>130</v>
      </c>
      <c r="K4028" s="305" t="s">
        <v>2161</v>
      </c>
    </row>
    <row r="4029" spans="1:11" x14ac:dyDescent="0.25">
      <c r="A4029" s="302" t="str">
        <f t="shared" si="104"/>
        <v>Steam Traps- Venturi_Dry Cleaner/Industrial_MF_P1</v>
      </c>
      <c r="B4029" s="303" t="s">
        <v>1381</v>
      </c>
      <c r="C4029" s="304" t="s">
        <v>661</v>
      </c>
      <c r="D4029" s="303" t="s">
        <v>553</v>
      </c>
      <c r="E4029" s="340" t="s">
        <v>510</v>
      </c>
      <c r="F4029" s="340"/>
      <c r="G4029" s="341">
        <f>82.8+14.696</f>
        <v>97.495999999999995</v>
      </c>
      <c r="H4029" s="340" t="s">
        <v>664</v>
      </c>
      <c r="I4029" s="305" t="s">
        <v>152</v>
      </c>
      <c r="J4029" s="305" t="s">
        <v>130</v>
      </c>
      <c r="K4029" s="305" t="s">
        <v>2161</v>
      </c>
    </row>
    <row r="4030" spans="1:11" x14ac:dyDescent="0.25">
      <c r="A4030" s="302" t="str">
        <f t="shared" si="104"/>
        <v>Steam Traps- Venturi_Dry Cleaner/Industrial_MF_0.0962</v>
      </c>
      <c r="B4030" s="303" t="s">
        <v>1381</v>
      </c>
      <c r="C4030" s="304" t="s">
        <v>661</v>
      </c>
      <c r="D4030" s="303" t="s">
        <v>553</v>
      </c>
      <c r="E4030" s="340">
        <v>9.6199999999999994E-2</v>
      </c>
      <c r="F4030" s="340"/>
      <c r="G4030" s="343">
        <v>9.6199999999999994E-2</v>
      </c>
      <c r="H4030" s="340"/>
      <c r="I4030" s="305" t="s">
        <v>152</v>
      </c>
      <c r="J4030" s="305" t="s">
        <v>130</v>
      </c>
      <c r="K4030" s="305" t="s">
        <v>2161</v>
      </c>
    </row>
    <row r="4031" spans="1:11" x14ac:dyDescent="0.25">
      <c r="A4031" s="302" t="str">
        <f t="shared" si="104"/>
        <v>Steam Traps- Venturi_Dry Cleaner/Industrial_MF_T1</v>
      </c>
      <c r="B4031" s="303" t="s">
        <v>1381</v>
      </c>
      <c r="C4031" s="304" t="s">
        <v>661</v>
      </c>
      <c r="D4031" s="303" t="s">
        <v>553</v>
      </c>
      <c r="E4031" s="340" t="s">
        <v>511</v>
      </c>
      <c r="F4031" s="340"/>
      <c r="G4031" s="341">
        <f>G4028*(G4029^G4030)</f>
        <v>789.06029758033731</v>
      </c>
      <c r="H4031" s="340" t="s">
        <v>654</v>
      </c>
      <c r="I4031" s="305" t="s">
        <v>152</v>
      </c>
      <c r="J4031" s="305" t="s">
        <v>130</v>
      </c>
      <c r="K4031" s="305" t="s">
        <v>2161</v>
      </c>
    </row>
    <row r="4032" spans="1:11" x14ac:dyDescent="0.25">
      <c r="A4032" s="302" t="str">
        <f t="shared" si="104"/>
        <v>Steam Traps- Venturi_Dry Cleaner/Industrial_MF_Tsource</v>
      </c>
      <c r="B4032" s="303" t="s">
        <v>1381</v>
      </c>
      <c r="C4032" s="304" t="s">
        <v>661</v>
      </c>
      <c r="D4032" s="303" t="s">
        <v>553</v>
      </c>
      <c r="E4032" s="340" t="s">
        <v>512</v>
      </c>
      <c r="F4032" s="340"/>
      <c r="G4032" s="341">
        <v>513.66999999999996</v>
      </c>
      <c r="H4032" s="340" t="s">
        <v>655</v>
      </c>
      <c r="I4032" s="305" t="s">
        <v>152</v>
      </c>
      <c r="J4032" s="305" t="s">
        <v>130</v>
      </c>
      <c r="K4032" s="305" t="s">
        <v>2161</v>
      </c>
    </row>
    <row r="4033" spans="1:11" x14ac:dyDescent="0.25">
      <c r="A4033" s="302" t="str">
        <f t="shared" si="104"/>
        <v>Steam Traps- Venturi_Dry Cleaner/Industrial_MF_Hours of Operation</v>
      </c>
      <c r="B4033" s="303" t="s">
        <v>1381</v>
      </c>
      <c r="C4033" s="304" t="s">
        <v>661</v>
      </c>
      <c r="D4033" s="303" t="s">
        <v>553</v>
      </c>
      <c r="E4033" s="305" t="s">
        <v>460</v>
      </c>
      <c r="F4033" s="309" t="s">
        <v>647</v>
      </c>
      <c r="G4033" s="339">
        <f>AVERAGE(1540,1782)</f>
        <v>1661</v>
      </c>
      <c r="H4033" s="305" t="s">
        <v>648</v>
      </c>
      <c r="I4033" s="305" t="s">
        <v>152</v>
      </c>
      <c r="J4033" s="305" t="s">
        <v>130</v>
      </c>
      <c r="K4033" s="305" t="s">
        <v>2161</v>
      </c>
    </row>
    <row r="4034" spans="1:11" x14ac:dyDescent="0.25">
      <c r="A4034" s="302" t="str">
        <f t="shared" si="104"/>
        <v>Steam Traps- Venturi_Dry Cleaner/Industrial_MF_L</v>
      </c>
      <c r="B4034" s="303" t="s">
        <v>1381</v>
      </c>
      <c r="C4034" s="304" t="s">
        <v>661</v>
      </c>
      <c r="D4034" s="303" t="s">
        <v>553</v>
      </c>
      <c r="E4034" s="305" t="s">
        <v>437</v>
      </c>
      <c r="F4034" s="309" t="s">
        <v>539</v>
      </c>
      <c r="G4034" s="307">
        <v>0.27</v>
      </c>
      <c r="H4034" s="305" t="s">
        <v>225</v>
      </c>
      <c r="I4034" s="305" t="s">
        <v>152</v>
      </c>
      <c r="J4034" s="305" t="s">
        <v>130</v>
      </c>
      <c r="K4034" s="305" t="s">
        <v>2161</v>
      </c>
    </row>
    <row r="4035" spans="1:11" x14ac:dyDescent="0.25">
      <c r="A4035" s="302" t="str">
        <f t="shared" si="104"/>
        <v>Steam Traps- Venturi_Dry Cleaner/Industrial_MF_Conversion</v>
      </c>
      <c r="B4035" s="303" t="s">
        <v>1381</v>
      </c>
      <c r="C4035" s="304" t="s">
        <v>661</v>
      </c>
      <c r="D4035" s="303" t="s">
        <v>553</v>
      </c>
      <c r="E4035" s="305" t="s">
        <v>284</v>
      </c>
      <c r="F4035" s="305" t="s">
        <v>622</v>
      </c>
      <c r="G4035" s="325">
        <v>100000</v>
      </c>
      <c r="H4035" s="305"/>
      <c r="I4035" s="305" t="s">
        <v>152</v>
      </c>
      <c r="J4035" s="305" t="s">
        <v>130</v>
      </c>
      <c r="K4035" s="305" t="s">
        <v>2161</v>
      </c>
    </row>
    <row r="4036" spans="1:11" x14ac:dyDescent="0.25">
      <c r="A4036" s="302" t="str">
        <f t="shared" si="104"/>
        <v>Steam Traps- Venturi_Dry Cleaner/Industrial_MF_n_B</v>
      </c>
      <c r="B4036" s="303" t="s">
        <v>1381</v>
      </c>
      <c r="C4036" s="304" t="s">
        <v>661</v>
      </c>
      <c r="D4036" s="303" t="s">
        <v>553</v>
      </c>
      <c r="E4036" s="340" t="s">
        <v>657</v>
      </c>
      <c r="F4036" s="341"/>
      <c r="G4036" s="346">
        <v>0.80700000000000005</v>
      </c>
      <c r="H4036" s="340" t="s">
        <v>665</v>
      </c>
      <c r="I4036" s="305" t="s">
        <v>152</v>
      </c>
      <c r="J4036" s="305" t="s">
        <v>130</v>
      </c>
      <c r="K4036" s="305" t="s">
        <v>2161</v>
      </c>
    </row>
    <row r="4037" spans="1:11" x14ac:dyDescent="0.25">
      <c r="A4037" s="302" t="str">
        <f t="shared" si="104"/>
        <v>Steam Traps- Venturi_Dry Cleaner/Industrial_MF_Remaining Year kWh</v>
      </c>
      <c r="B4037" s="303" t="s">
        <v>1381</v>
      </c>
      <c r="C4037" s="304" t="s">
        <v>661</v>
      </c>
      <c r="D4037" s="303" t="s">
        <v>553</v>
      </c>
      <c r="E4037" s="305" t="s">
        <v>254</v>
      </c>
      <c r="F4037" s="309" t="s">
        <v>565</v>
      </c>
      <c r="G4037" s="307">
        <v>0</v>
      </c>
      <c r="H4037" s="305"/>
      <c r="I4037" s="305" t="s">
        <v>152</v>
      </c>
      <c r="J4037" s="305" t="s">
        <v>130</v>
      </c>
      <c r="K4037" s="305" t="s">
        <v>2161</v>
      </c>
    </row>
    <row r="4038" spans="1:11" x14ac:dyDescent="0.25">
      <c r="A4038" s="302" t="str">
        <f t="shared" si="104"/>
        <v>Steam Traps- Venturi_Dry Cleaner/Industrial_MF_kWh Saved per Unit</v>
      </c>
      <c r="B4038" s="303" t="s">
        <v>1381</v>
      </c>
      <c r="C4038" s="304" t="s">
        <v>661</v>
      </c>
      <c r="D4038" s="303" t="s">
        <v>553</v>
      </c>
      <c r="E4038" s="305" t="s">
        <v>255</v>
      </c>
      <c r="F4038" s="309" t="s">
        <v>565</v>
      </c>
      <c r="G4038" s="306">
        <f>G4024</f>
        <v>0.9570035871</v>
      </c>
      <c r="H4038" s="305"/>
      <c r="I4038" s="305" t="s">
        <v>152</v>
      </c>
      <c r="J4038" s="305" t="s">
        <v>130</v>
      </c>
      <c r="K4038" s="305" t="s">
        <v>2161</v>
      </c>
    </row>
    <row r="4039" spans="1:11" x14ac:dyDescent="0.25">
      <c r="A4039" s="302" t="str">
        <f t="shared" si="104"/>
        <v>Steam Traps- Venturi_Dry Cleaner/Industrial_MF_Remaining Year kW</v>
      </c>
      <c r="B4039" s="303" t="s">
        <v>1381</v>
      </c>
      <c r="C4039" s="304" t="s">
        <v>661</v>
      </c>
      <c r="D4039" s="303" t="s">
        <v>553</v>
      </c>
      <c r="E4039" s="305" t="s">
        <v>256</v>
      </c>
      <c r="F4039" s="309" t="s">
        <v>658</v>
      </c>
      <c r="G4039" s="307">
        <v>0</v>
      </c>
      <c r="H4039" s="305"/>
      <c r="I4039" s="305" t="s">
        <v>152</v>
      </c>
      <c r="J4039" s="305" t="s">
        <v>130</v>
      </c>
      <c r="K4039" s="305" t="s">
        <v>2161</v>
      </c>
    </row>
    <row r="4040" spans="1:11" x14ac:dyDescent="0.25">
      <c r="A4040" s="302" t="str">
        <f t="shared" si="104"/>
        <v>Steam Traps- Venturi_Dry Cleaner/Industrial_MF_Coincident Peak kW Saved per Unit</v>
      </c>
      <c r="B4040" s="303" t="s">
        <v>1381</v>
      </c>
      <c r="C4040" s="304" t="s">
        <v>661</v>
      </c>
      <c r="D4040" s="303" t="s">
        <v>553</v>
      </c>
      <c r="E4040" s="305" t="s">
        <v>257</v>
      </c>
      <c r="F4040" s="309" t="s">
        <v>658</v>
      </c>
      <c r="G4040" s="306">
        <v>0</v>
      </c>
      <c r="H4040" s="305"/>
      <c r="I4040" s="305" t="s">
        <v>152</v>
      </c>
      <c r="J4040" s="305" t="s">
        <v>130</v>
      </c>
      <c r="K4040" s="305" t="s">
        <v>2161</v>
      </c>
    </row>
    <row r="4041" spans="1:11" x14ac:dyDescent="0.25">
      <c r="A4041" s="302" t="str">
        <f t="shared" si="104"/>
        <v>Steam Traps- Venturi_Dry Cleaner/Industrial_MF_Remaining Year Therms</v>
      </c>
      <c r="B4041" s="303" t="s">
        <v>1381</v>
      </c>
      <c r="C4041" s="304" t="s">
        <v>661</v>
      </c>
      <c r="D4041" s="303" t="s">
        <v>553</v>
      </c>
      <c r="E4041" s="305" t="s">
        <v>320</v>
      </c>
      <c r="F4041" s="309" t="s">
        <v>564</v>
      </c>
      <c r="G4041" s="307">
        <v>0</v>
      </c>
      <c r="H4041" s="305"/>
      <c r="I4041" s="305" t="s">
        <v>152</v>
      </c>
      <c r="J4041" s="305" t="s">
        <v>130</v>
      </c>
      <c r="K4041" s="305" t="s">
        <v>2161</v>
      </c>
    </row>
    <row r="4042" spans="1:11" x14ac:dyDescent="0.25">
      <c r="A4042" s="302" t="str">
        <f t="shared" si="104"/>
        <v>Steam Traps- Venturi_Dry Cleaner/Industrial_MF_Therm Saved per Unit</v>
      </c>
      <c r="B4042" s="303" t="s">
        <v>1381</v>
      </c>
      <c r="C4042" s="304" t="s">
        <v>661</v>
      </c>
      <c r="D4042" s="303" t="s">
        <v>553</v>
      </c>
      <c r="E4042" s="314" t="s">
        <v>326</v>
      </c>
      <c r="F4042" s="326"/>
      <c r="G4042" s="315">
        <f xml:space="preserve"> G4025 * (G4026 + G4027 * (G4031 - G4032)) * G4033 * G4034 / (G4035 * G4036)</f>
        <v>119.84104937160201</v>
      </c>
      <c r="H4042" s="305"/>
      <c r="I4042" s="305" t="s">
        <v>152</v>
      </c>
      <c r="J4042" s="305" t="s">
        <v>130</v>
      </c>
      <c r="K4042" s="305" t="s">
        <v>2161</v>
      </c>
    </row>
    <row r="4043" spans="1:11" x14ac:dyDescent="0.25">
      <c r="A4043" s="302" t="str">
        <f t="shared" si="104"/>
        <v>Steam Traps- Venturi_Dry Cleaner/Industrial_MF_Gallons Saved per Unit</v>
      </c>
      <c r="B4043" s="303" t="s">
        <v>1381</v>
      </c>
      <c r="C4043" s="304" t="s">
        <v>661</v>
      </c>
      <c r="D4043" s="303" t="s">
        <v>553</v>
      </c>
      <c r="E4043" s="314" t="s">
        <v>547</v>
      </c>
      <c r="F4043" s="326"/>
      <c r="G4043" s="315">
        <f>G4021</f>
        <v>372.23009999999999</v>
      </c>
      <c r="H4043" s="305"/>
      <c r="I4043" s="305" t="s">
        <v>152</v>
      </c>
      <c r="J4043" s="305" t="s">
        <v>130</v>
      </c>
      <c r="K4043" s="305" t="s">
        <v>2161</v>
      </c>
    </row>
    <row r="4044" spans="1:11" x14ac:dyDescent="0.25">
      <c r="A4044" s="302" t="str">
        <f t="shared" si="104"/>
        <v>Steam Traps- Venturi_Dry Cleaner/Industrial_MF_Remaining Life</v>
      </c>
      <c r="B4044" s="303" t="s">
        <v>1381</v>
      </c>
      <c r="C4044" s="304" t="s">
        <v>661</v>
      </c>
      <c r="D4044" s="303" t="s">
        <v>553</v>
      </c>
      <c r="E4044" s="314" t="s">
        <v>258</v>
      </c>
      <c r="F4044" s="326"/>
      <c r="G4044" s="315">
        <v>0</v>
      </c>
      <c r="H4044" s="305"/>
      <c r="I4044" s="305" t="s">
        <v>152</v>
      </c>
      <c r="J4044" s="305" t="s">
        <v>130</v>
      </c>
      <c r="K4044" s="305" t="s">
        <v>2161</v>
      </c>
    </row>
    <row r="4045" spans="1:11" x14ac:dyDescent="0.25">
      <c r="A4045" s="302" t="str">
        <f t="shared" si="104"/>
        <v>Steam Traps- Venturi_Dry Cleaner/Industrial_MF_Lifetime (years)</v>
      </c>
      <c r="B4045" s="303" t="s">
        <v>1381</v>
      </c>
      <c r="C4045" s="304" t="s">
        <v>661</v>
      </c>
      <c r="D4045" s="303" t="s">
        <v>553</v>
      </c>
      <c r="E4045" s="314" t="s">
        <v>259</v>
      </c>
      <c r="F4045" s="326" t="s">
        <v>548</v>
      </c>
      <c r="G4045" s="326">
        <v>20</v>
      </c>
      <c r="H4045" s="305" t="s">
        <v>1382</v>
      </c>
      <c r="I4045" s="305" t="s">
        <v>152</v>
      </c>
      <c r="J4045" s="305" t="s">
        <v>130</v>
      </c>
      <c r="K4045" s="305" t="s">
        <v>2161</v>
      </c>
    </row>
    <row r="4046" spans="1:11" x14ac:dyDescent="0.25">
      <c r="A4046" s="302" t="str">
        <f t="shared" si="104"/>
        <v>Steam Traps- Venturi_Dry Cleaner/Industrial_MF_Incremental Cost</v>
      </c>
      <c r="B4046" s="303" t="s">
        <v>1381</v>
      </c>
      <c r="C4046" s="304" t="s">
        <v>661</v>
      </c>
      <c r="D4046" s="303" t="s">
        <v>553</v>
      </c>
      <c r="E4046" s="314" t="s">
        <v>260</v>
      </c>
      <c r="F4046" s="327" t="s">
        <v>549</v>
      </c>
      <c r="G4046" s="328">
        <v>77</v>
      </c>
      <c r="H4046" s="305" t="s">
        <v>514</v>
      </c>
      <c r="I4046" s="305" t="s">
        <v>152</v>
      </c>
      <c r="J4046" s="305" t="s">
        <v>130</v>
      </c>
      <c r="K4046" s="305" t="s">
        <v>2161</v>
      </c>
    </row>
    <row r="4047" spans="1:11" s="324" customFormat="1" x14ac:dyDescent="0.25">
      <c r="A4047" s="317" t="str">
        <f t="shared" si="104"/>
        <v>Steam Traps- Venturi_Dry Cleaner/Industrial_MF_</v>
      </c>
      <c r="B4047" s="317" t="str">
        <f>B4046</f>
        <v>Steam Traps- Venturi</v>
      </c>
      <c r="C4047" s="332" t="str">
        <f>C4046</f>
        <v>Dry Cleaner/Industrial</v>
      </c>
      <c r="D4047" s="317" t="str">
        <f>D4046</f>
        <v>MF</v>
      </c>
      <c r="E4047" s="320"/>
      <c r="F4047" s="320"/>
      <c r="G4047" s="329"/>
      <c r="H4047" s="320"/>
      <c r="I4047" s="320"/>
      <c r="J4047" s="320"/>
      <c r="K4047" s="320"/>
    </row>
    <row r="4048" spans="1:11" x14ac:dyDescent="0.25">
      <c r="A4048" s="302" t="str">
        <f t="shared" ref="A4048:A4111" si="105">B4048&amp;"_"&amp;C4048&amp;"_"&amp;D4048&amp;"_"&amp;E4048</f>
        <v>Steam Traps- Venturi_Dry Cleaner/Industrial - No Audit_MF/CI/SMB_GAL</v>
      </c>
      <c r="B4048" s="303" t="s">
        <v>1381</v>
      </c>
      <c r="C4048" s="304" t="s">
        <v>1274</v>
      </c>
      <c r="D4048" s="303" t="s">
        <v>662</v>
      </c>
      <c r="E4048" s="305" t="s">
        <v>513</v>
      </c>
      <c r="F4048" s="309"/>
      <c r="G4048" s="306">
        <v>2.29</v>
      </c>
      <c r="H4048" s="305" t="s">
        <v>225</v>
      </c>
      <c r="I4048" s="305" t="s">
        <v>152</v>
      </c>
      <c r="J4048" s="305" t="s">
        <v>130</v>
      </c>
      <c r="K4048" s="305" t="s">
        <v>2161</v>
      </c>
    </row>
    <row r="4049" spans="1:11" x14ac:dyDescent="0.25">
      <c r="A4049" s="302" t="str">
        <f t="shared" si="105"/>
        <v>Steam Traps- Venturi_Dry Cleaner/Industrial - No Audit_MF/CI/SMB_Hours of Operation</v>
      </c>
      <c r="B4049" s="303" t="s">
        <v>1381</v>
      </c>
      <c r="C4049" s="304" t="s">
        <v>1274</v>
      </c>
      <c r="D4049" s="303" t="s">
        <v>662</v>
      </c>
      <c r="E4049" s="305" t="s">
        <v>460</v>
      </c>
      <c r="F4049" s="309" t="s">
        <v>647</v>
      </c>
      <c r="G4049" s="354">
        <v>2425</v>
      </c>
      <c r="H4049" s="305" t="s">
        <v>225</v>
      </c>
      <c r="I4049" s="305" t="s">
        <v>152</v>
      </c>
      <c r="J4049" s="305" t="s">
        <v>130</v>
      </c>
      <c r="K4049" s="305" t="s">
        <v>2161</v>
      </c>
    </row>
    <row r="4050" spans="1:11" x14ac:dyDescent="0.25">
      <c r="A4050" s="302" t="str">
        <f t="shared" si="105"/>
        <v>Steam Traps- Venturi_Dry Cleaner/Industrial - No Audit_MF/CI/SMB_L</v>
      </c>
      <c r="B4050" s="303" t="s">
        <v>1381</v>
      </c>
      <c r="C4050" s="304" t="s">
        <v>1274</v>
      </c>
      <c r="D4050" s="303" t="s">
        <v>662</v>
      </c>
      <c r="E4050" s="305" t="s">
        <v>437</v>
      </c>
      <c r="F4050" s="309"/>
      <c r="G4050" s="306">
        <v>0.27</v>
      </c>
      <c r="H4050" s="305" t="s">
        <v>225</v>
      </c>
      <c r="I4050" s="305" t="s">
        <v>152</v>
      </c>
      <c r="J4050" s="305" t="s">
        <v>130</v>
      </c>
      <c r="K4050" s="305" t="s">
        <v>2161</v>
      </c>
    </row>
    <row r="4051" spans="1:11" x14ac:dyDescent="0.25">
      <c r="A4051" s="302" t="str">
        <f t="shared" si="105"/>
        <v>Steam Traps- Venturi_Dry Cleaner/Industrial - No Audit_MF/CI/SMB_Delta_Water_Gallons</v>
      </c>
      <c r="B4051" s="303" t="s">
        <v>1381</v>
      </c>
      <c r="C4051" s="304" t="s">
        <v>1274</v>
      </c>
      <c r="D4051" s="303" t="s">
        <v>662</v>
      </c>
      <c r="E4051" s="305" t="s">
        <v>456</v>
      </c>
      <c r="F4051" s="305"/>
      <c r="G4051" s="307">
        <f>G4048*G4049*G4050</f>
        <v>1499.3775000000001</v>
      </c>
      <c r="H4051" s="305"/>
      <c r="I4051" s="305" t="s">
        <v>152</v>
      </c>
      <c r="J4051" s="305" t="s">
        <v>130</v>
      </c>
      <c r="K4051" s="305" t="s">
        <v>2161</v>
      </c>
    </row>
    <row r="4052" spans="1:11" x14ac:dyDescent="0.25">
      <c r="A4052" s="302" t="str">
        <f t="shared" si="105"/>
        <v>Steam Traps- Venturi_Dry Cleaner/Industrial - No Audit_MF/CI/SMB_Conversion</v>
      </c>
      <c r="B4052" s="303" t="s">
        <v>1381</v>
      </c>
      <c r="C4052" s="304" t="s">
        <v>1274</v>
      </c>
      <c r="D4052" s="303" t="s">
        <v>662</v>
      </c>
      <c r="E4052" s="305" t="s">
        <v>284</v>
      </c>
      <c r="F4052" s="305"/>
      <c r="G4052" s="354">
        <v>1000000</v>
      </c>
      <c r="H4052" s="305"/>
      <c r="I4052" s="305" t="s">
        <v>152</v>
      </c>
      <c r="J4052" s="305" t="s">
        <v>130</v>
      </c>
      <c r="K4052" s="305" t="s">
        <v>2161</v>
      </c>
    </row>
    <row r="4053" spans="1:11" x14ac:dyDescent="0.25">
      <c r="A4053" s="302" t="str">
        <f t="shared" si="105"/>
        <v>Steam Traps- Venturi_Dry Cleaner/Industrial - No Audit_MF/CI/SMB_E_water_supply</v>
      </c>
      <c r="B4053" s="303" t="s">
        <v>1381</v>
      </c>
      <c r="C4053" s="304" t="s">
        <v>1274</v>
      </c>
      <c r="D4053" s="303" t="s">
        <v>662</v>
      </c>
      <c r="E4053" s="305" t="s">
        <v>457</v>
      </c>
      <c r="F4053" s="305"/>
      <c r="G4053" s="307">
        <v>2571</v>
      </c>
      <c r="H4053" s="305"/>
      <c r="I4053" s="305" t="s">
        <v>152</v>
      </c>
      <c r="J4053" s="305" t="s">
        <v>130</v>
      </c>
      <c r="K4053" s="305" t="s">
        <v>2161</v>
      </c>
    </row>
    <row r="4054" spans="1:11" x14ac:dyDescent="0.25">
      <c r="A4054" s="302" t="str">
        <f t="shared" si="105"/>
        <v>Steam Traps- Venturi_Dry Cleaner/Industrial - No Audit_MF/CI/SMB_Delta_kWh_water</v>
      </c>
      <c r="B4054" s="303" t="s">
        <v>1381</v>
      </c>
      <c r="C4054" s="304" t="s">
        <v>1274</v>
      </c>
      <c r="D4054" s="303" t="s">
        <v>662</v>
      </c>
      <c r="E4054" s="305" t="s">
        <v>334</v>
      </c>
      <c r="F4054" s="305"/>
      <c r="G4054" s="307">
        <f>(G4051/G4052)*G4053</f>
        <v>3.8548995525</v>
      </c>
      <c r="H4054" s="305"/>
      <c r="I4054" s="305" t="s">
        <v>152</v>
      </c>
      <c r="J4054" s="305" t="s">
        <v>130</v>
      </c>
      <c r="K4054" s="305" t="s">
        <v>2161</v>
      </c>
    </row>
    <row r="4055" spans="1:11" x14ac:dyDescent="0.25">
      <c r="A4055" s="302" t="str">
        <f t="shared" si="105"/>
        <v>Steam Traps- Venturi_Dry Cleaner/Industrial - No Audit_MF/CI/SMB_Sa</v>
      </c>
      <c r="B4055" s="303" t="s">
        <v>1381</v>
      </c>
      <c r="C4055" s="304" t="s">
        <v>1274</v>
      </c>
      <c r="D4055" s="303" t="s">
        <v>662</v>
      </c>
      <c r="E4055" s="305" t="s">
        <v>507</v>
      </c>
      <c r="F4055" s="309"/>
      <c r="G4055" s="307">
        <v>18.5</v>
      </c>
      <c r="H4055" s="305" t="s">
        <v>225</v>
      </c>
      <c r="I4055" s="305" t="s">
        <v>152</v>
      </c>
      <c r="J4055" s="305" t="s">
        <v>130</v>
      </c>
      <c r="K4055" s="305" t="s">
        <v>2161</v>
      </c>
    </row>
    <row r="4056" spans="1:11" x14ac:dyDescent="0.25">
      <c r="A4056" s="302" t="str">
        <f t="shared" si="105"/>
        <v>Steam Traps- Venturi_Dry Cleaner/Industrial - No Audit_MF/CI/SMB_Hv</v>
      </c>
      <c r="B4056" s="303" t="s">
        <v>1381</v>
      </c>
      <c r="C4056" s="304" t="s">
        <v>1274</v>
      </c>
      <c r="D4056" s="303" t="s">
        <v>662</v>
      </c>
      <c r="E4056" s="305" t="s">
        <v>508</v>
      </c>
      <c r="F4056" s="305"/>
      <c r="G4056" s="307">
        <v>890</v>
      </c>
      <c r="H4056" s="305" t="s">
        <v>225</v>
      </c>
      <c r="I4056" s="305" t="s">
        <v>152</v>
      </c>
      <c r="J4056" s="305" t="s">
        <v>130</v>
      </c>
      <c r="K4056" s="305" t="s">
        <v>2161</v>
      </c>
    </row>
    <row r="4057" spans="1:11" x14ac:dyDescent="0.25">
      <c r="A4057" s="302" t="str">
        <f t="shared" si="105"/>
        <v>Steam Traps- Venturi_Dry Cleaner/Industrial - No Audit_MF/CI/SMB_Hs</v>
      </c>
      <c r="B4057" s="303" t="s">
        <v>1381</v>
      </c>
      <c r="C4057" s="304" t="s">
        <v>1274</v>
      </c>
      <c r="D4057" s="303" t="s">
        <v>662</v>
      </c>
      <c r="E4057" s="340" t="s">
        <v>509</v>
      </c>
      <c r="F4057" s="340"/>
      <c r="G4057" s="341">
        <v>1.0009999999999999</v>
      </c>
      <c r="H4057" s="340" t="s">
        <v>652</v>
      </c>
      <c r="I4057" s="305" t="s">
        <v>152</v>
      </c>
      <c r="J4057" s="305" t="s">
        <v>130</v>
      </c>
      <c r="K4057" s="305" t="s">
        <v>2161</v>
      </c>
    </row>
    <row r="4058" spans="1:11" x14ac:dyDescent="0.25">
      <c r="A4058" s="302" t="str">
        <f t="shared" si="105"/>
        <v>Steam Traps- Venturi_Dry Cleaner/Industrial - No Audit_MF/CI/SMB_507.89</v>
      </c>
      <c r="B4058" s="303" t="s">
        <v>1381</v>
      </c>
      <c r="C4058" s="304" t="s">
        <v>1274</v>
      </c>
      <c r="D4058" s="303" t="s">
        <v>662</v>
      </c>
      <c r="E4058" s="342">
        <v>507.89</v>
      </c>
      <c r="F4058" s="340"/>
      <c r="G4058" s="341">
        <v>507.89</v>
      </c>
      <c r="H4058" s="340"/>
      <c r="I4058" s="305" t="s">
        <v>152</v>
      </c>
      <c r="J4058" s="305" t="s">
        <v>130</v>
      </c>
      <c r="K4058" s="305" t="s">
        <v>2161</v>
      </c>
    </row>
    <row r="4059" spans="1:11" x14ac:dyDescent="0.25">
      <c r="A4059" s="302" t="str">
        <f t="shared" si="105"/>
        <v>Steam Traps- Venturi_Dry Cleaner/Industrial - No Audit_MF/CI/SMB_P1</v>
      </c>
      <c r="B4059" s="303" t="s">
        <v>1381</v>
      </c>
      <c r="C4059" s="304" t="s">
        <v>1274</v>
      </c>
      <c r="D4059" s="303" t="s">
        <v>662</v>
      </c>
      <c r="E4059" s="340" t="s">
        <v>510</v>
      </c>
      <c r="F4059" s="340"/>
      <c r="G4059" s="341">
        <f>82.8+14.696</f>
        <v>97.495999999999995</v>
      </c>
      <c r="H4059" s="340" t="s">
        <v>664</v>
      </c>
      <c r="I4059" s="305" t="s">
        <v>152</v>
      </c>
      <c r="J4059" s="305" t="s">
        <v>130</v>
      </c>
      <c r="K4059" s="305" t="s">
        <v>2161</v>
      </c>
    </row>
    <row r="4060" spans="1:11" x14ac:dyDescent="0.25">
      <c r="A4060" s="302" t="str">
        <f t="shared" si="105"/>
        <v>Steam Traps- Venturi_Dry Cleaner/Industrial - No Audit_MF/CI/SMB_0.0962</v>
      </c>
      <c r="B4060" s="303" t="s">
        <v>1381</v>
      </c>
      <c r="C4060" s="304" t="s">
        <v>1274</v>
      </c>
      <c r="D4060" s="303" t="s">
        <v>662</v>
      </c>
      <c r="E4060" s="340">
        <v>9.6199999999999994E-2</v>
      </c>
      <c r="F4060" s="340"/>
      <c r="G4060" s="343">
        <v>9.6199999999999994E-2</v>
      </c>
      <c r="H4060" s="340"/>
      <c r="I4060" s="305" t="s">
        <v>152</v>
      </c>
      <c r="J4060" s="305" t="s">
        <v>130</v>
      </c>
      <c r="K4060" s="305" t="s">
        <v>2161</v>
      </c>
    </row>
    <row r="4061" spans="1:11" x14ac:dyDescent="0.25">
      <c r="A4061" s="302" t="str">
        <f t="shared" si="105"/>
        <v>Steam Traps- Venturi_Dry Cleaner/Industrial - No Audit_MF/CI/SMB_T1</v>
      </c>
      <c r="B4061" s="303" t="s">
        <v>1381</v>
      </c>
      <c r="C4061" s="304" t="s">
        <v>1274</v>
      </c>
      <c r="D4061" s="303" t="s">
        <v>662</v>
      </c>
      <c r="E4061" s="340" t="s">
        <v>511</v>
      </c>
      <c r="F4061" s="340"/>
      <c r="G4061" s="341">
        <f>G4058*(G4059^G4060)</f>
        <v>789.06029758033731</v>
      </c>
      <c r="H4061" s="340" t="s">
        <v>654</v>
      </c>
      <c r="I4061" s="305" t="s">
        <v>152</v>
      </c>
      <c r="J4061" s="305" t="s">
        <v>130</v>
      </c>
      <c r="K4061" s="305" t="s">
        <v>2161</v>
      </c>
    </row>
    <row r="4062" spans="1:11" x14ac:dyDescent="0.25">
      <c r="A4062" s="302" t="str">
        <f t="shared" si="105"/>
        <v>Steam Traps- Venturi_Dry Cleaner/Industrial - No Audit_MF/CI/SMB_Tsource</v>
      </c>
      <c r="B4062" s="303" t="s">
        <v>1381</v>
      </c>
      <c r="C4062" s="304" t="s">
        <v>1274</v>
      </c>
      <c r="D4062" s="303" t="s">
        <v>662</v>
      </c>
      <c r="E4062" s="340" t="s">
        <v>512</v>
      </c>
      <c r="F4062" s="340"/>
      <c r="G4062" s="341">
        <v>513.66999999999996</v>
      </c>
      <c r="H4062" s="340" t="s">
        <v>655</v>
      </c>
      <c r="I4062" s="305" t="s">
        <v>152</v>
      </c>
      <c r="J4062" s="305" t="s">
        <v>130</v>
      </c>
      <c r="K4062" s="305" t="s">
        <v>2161</v>
      </c>
    </row>
    <row r="4063" spans="1:11" x14ac:dyDescent="0.25">
      <c r="A4063" s="302" t="str">
        <f t="shared" si="105"/>
        <v>Steam Traps- Venturi_Dry Cleaner/Industrial - No Audit_MF/CI/SMB_Hours of Operation</v>
      </c>
      <c r="B4063" s="303" t="s">
        <v>1381</v>
      </c>
      <c r="C4063" s="304" t="s">
        <v>1274</v>
      </c>
      <c r="D4063" s="303" t="s">
        <v>662</v>
      </c>
      <c r="E4063" s="305" t="s">
        <v>460</v>
      </c>
      <c r="F4063" s="309" t="s">
        <v>647</v>
      </c>
      <c r="G4063" s="354">
        <v>2425</v>
      </c>
      <c r="H4063" s="305" t="s">
        <v>225</v>
      </c>
      <c r="I4063" s="305" t="s">
        <v>152</v>
      </c>
      <c r="J4063" s="305" t="s">
        <v>130</v>
      </c>
      <c r="K4063" s="305" t="s">
        <v>2161</v>
      </c>
    </row>
    <row r="4064" spans="1:11" x14ac:dyDescent="0.25">
      <c r="A4064" s="302" t="str">
        <f t="shared" si="105"/>
        <v>Steam Traps- Venturi_Dry Cleaner/Industrial - No Audit_MF/CI/SMB_L</v>
      </c>
      <c r="B4064" s="303" t="s">
        <v>1381</v>
      </c>
      <c r="C4064" s="304" t="s">
        <v>1274</v>
      </c>
      <c r="D4064" s="303" t="s">
        <v>662</v>
      </c>
      <c r="E4064" s="305" t="s">
        <v>437</v>
      </c>
      <c r="F4064" s="309"/>
      <c r="G4064" s="306">
        <v>0.27</v>
      </c>
      <c r="H4064" s="305" t="s">
        <v>225</v>
      </c>
      <c r="I4064" s="305" t="s">
        <v>152</v>
      </c>
      <c r="J4064" s="305" t="s">
        <v>130</v>
      </c>
      <c r="K4064" s="305" t="s">
        <v>2161</v>
      </c>
    </row>
    <row r="4065" spans="1:11" x14ac:dyDescent="0.25">
      <c r="A4065" s="302" t="str">
        <f t="shared" si="105"/>
        <v>Steam Traps- Venturi_Dry Cleaner/Industrial - No Audit_MF/CI/SMB_Conversion</v>
      </c>
      <c r="B4065" s="303" t="s">
        <v>1381</v>
      </c>
      <c r="C4065" s="304" t="s">
        <v>1274</v>
      </c>
      <c r="D4065" s="303" t="s">
        <v>662</v>
      </c>
      <c r="E4065" s="305" t="s">
        <v>284</v>
      </c>
      <c r="F4065" s="309" t="s">
        <v>622</v>
      </c>
      <c r="G4065" s="325">
        <v>100000</v>
      </c>
      <c r="H4065" s="305"/>
      <c r="I4065" s="305" t="s">
        <v>152</v>
      </c>
      <c r="J4065" s="305" t="s">
        <v>130</v>
      </c>
      <c r="K4065" s="305" t="s">
        <v>2161</v>
      </c>
    </row>
    <row r="4066" spans="1:11" x14ac:dyDescent="0.25">
      <c r="A4066" s="302" t="str">
        <f t="shared" si="105"/>
        <v>Steam Traps- Venturi_Dry Cleaner/Industrial - No Audit_MF/CI/SMB_n_B</v>
      </c>
      <c r="B4066" s="303" t="s">
        <v>1381</v>
      </c>
      <c r="C4066" s="304" t="s">
        <v>1274</v>
      </c>
      <c r="D4066" s="303" t="s">
        <v>662</v>
      </c>
      <c r="E4066" s="340" t="s">
        <v>657</v>
      </c>
      <c r="F4066" s="341"/>
      <c r="G4066" s="346">
        <v>0.80700000000000005</v>
      </c>
      <c r="H4066" s="340" t="s">
        <v>665</v>
      </c>
      <c r="I4066" s="305" t="s">
        <v>152</v>
      </c>
      <c r="J4066" s="305" t="s">
        <v>130</v>
      </c>
      <c r="K4066" s="305" t="s">
        <v>2161</v>
      </c>
    </row>
    <row r="4067" spans="1:11" x14ac:dyDescent="0.25">
      <c r="A4067" s="302" t="str">
        <f t="shared" si="105"/>
        <v>Steam Traps- Venturi_Dry Cleaner/Industrial - No Audit_MF/CI/SMB_kWh Saved per Unit</v>
      </c>
      <c r="B4067" s="303" t="s">
        <v>1381</v>
      </c>
      <c r="C4067" s="304" t="s">
        <v>1274</v>
      </c>
      <c r="D4067" s="303" t="s">
        <v>662</v>
      </c>
      <c r="E4067" s="314" t="s">
        <v>255</v>
      </c>
      <c r="F4067" s="326"/>
      <c r="G4067" s="315">
        <f>G4054</f>
        <v>3.8548995525</v>
      </c>
      <c r="H4067" s="305"/>
      <c r="I4067" s="305" t="s">
        <v>152</v>
      </c>
      <c r="J4067" s="305" t="s">
        <v>130</v>
      </c>
      <c r="K4067" s="305" t="s">
        <v>2161</v>
      </c>
    </row>
    <row r="4068" spans="1:11" x14ac:dyDescent="0.25">
      <c r="A4068" s="302" t="str">
        <f t="shared" si="105"/>
        <v>Steam Traps- Venturi_Dry Cleaner/Industrial - No Audit_MF/CI/SMB_Coincident Peak kW Saved per Unit</v>
      </c>
      <c r="B4068" s="303" t="s">
        <v>1381</v>
      </c>
      <c r="C4068" s="304" t="s">
        <v>1274</v>
      </c>
      <c r="D4068" s="303" t="s">
        <v>662</v>
      </c>
      <c r="E4068" s="314" t="s">
        <v>257</v>
      </c>
      <c r="F4068" s="326"/>
      <c r="G4068" s="315">
        <v>0</v>
      </c>
      <c r="H4068" s="305"/>
      <c r="I4068" s="305" t="s">
        <v>152</v>
      </c>
      <c r="J4068" s="305" t="s">
        <v>130</v>
      </c>
      <c r="K4068" s="305" t="s">
        <v>2161</v>
      </c>
    </row>
    <row r="4069" spans="1:11" x14ac:dyDescent="0.25">
      <c r="A4069" s="302" t="str">
        <f t="shared" si="105"/>
        <v>Steam Traps- Venturi_Dry Cleaner/Industrial - No Audit_MF/CI/SMB_Therm Saved per Unit</v>
      </c>
      <c r="B4069" s="303" t="s">
        <v>1381</v>
      </c>
      <c r="C4069" s="304" t="s">
        <v>1274</v>
      </c>
      <c r="D4069" s="303" t="s">
        <v>662</v>
      </c>
      <c r="E4069" s="314" t="s">
        <v>326</v>
      </c>
      <c r="F4069" s="326"/>
      <c r="G4069" s="315">
        <f xml:space="preserve"> G4055 * (G4056 + G4057 * (G4061 - G4062)) * G4063 * G4064 / (G4065 * G4066)</f>
        <v>174.96360308617389</v>
      </c>
      <c r="H4069" s="305"/>
      <c r="I4069" s="305" t="s">
        <v>152</v>
      </c>
      <c r="J4069" s="305" t="s">
        <v>130</v>
      </c>
      <c r="K4069" s="305" t="s">
        <v>2161</v>
      </c>
    </row>
    <row r="4070" spans="1:11" x14ac:dyDescent="0.25">
      <c r="A4070" s="302" t="str">
        <f t="shared" si="105"/>
        <v>Steam Traps- Venturi_Dry Cleaner/Industrial - No Audit_MF/CI/SMB_Gallons Saved per Unit</v>
      </c>
      <c r="B4070" s="303" t="s">
        <v>1381</v>
      </c>
      <c r="C4070" s="304" t="s">
        <v>1274</v>
      </c>
      <c r="D4070" s="303" t="s">
        <v>662</v>
      </c>
      <c r="E4070" s="314" t="s">
        <v>547</v>
      </c>
      <c r="F4070" s="326"/>
      <c r="G4070" s="315">
        <f>G4051</f>
        <v>1499.3775000000001</v>
      </c>
      <c r="H4070" s="305"/>
      <c r="I4070" s="305" t="s">
        <v>152</v>
      </c>
      <c r="J4070" s="305" t="s">
        <v>130</v>
      </c>
      <c r="K4070" s="305" t="s">
        <v>2161</v>
      </c>
    </row>
    <row r="4071" spans="1:11" x14ac:dyDescent="0.25">
      <c r="A4071" s="302" t="str">
        <f t="shared" si="105"/>
        <v>Steam Traps- Venturi_Dry Cleaner/Industrial - No Audit_MF/CI/SMB_Lifetime (years)</v>
      </c>
      <c r="B4071" s="303" t="s">
        <v>1381</v>
      </c>
      <c r="C4071" s="304" t="s">
        <v>1274</v>
      </c>
      <c r="D4071" s="303" t="s">
        <v>662</v>
      </c>
      <c r="E4071" s="314" t="s">
        <v>259</v>
      </c>
      <c r="F4071" s="326"/>
      <c r="G4071" s="326">
        <v>20</v>
      </c>
      <c r="H4071" s="305" t="s">
        <v>1382</v>
      </c>
      <c r="I4071" s="305" t="s">
        <v>152</v>
      </c>
      <c r="J4071" s="305" t="s">
        <v>130</v>
      </c>
      <c r="K4071" s="305" t="s">
        <v>2161</v>
      </c>
    </row>
    <row r="4072" spans="1:11" x14ac:dyDescent="0.25">
      <c r="A4072" s="302" t="str">
        <f t="shared" si="105"/>
        <v>Steam Traps- Venturi_Dry Cleaner/Industrial - No Audit_MF/CI/SMB_Incremental Cost</v>
      </c>
      <c r="B4072" s="303" t="s">
        <v>1381</v>
      </c>
      <c r="C4072" s="304" t="s">
        <v>1274</v>
      </c>
      <c r="D4072" s="303" t="s">
        <v>662</v>
      </c>
      <c r="E4072" s="314" t="s">
        <v>260</v>
      </c>
      <c r="F4072" s="326"/>
      <c r="G4072" s="315">
        <v>77</v>
      </c>
      <c r="H4072" s="305" t="s">
        <v>225</v>
      </c>
      <c r="I4072" s="305" t="s">
        <v>152</v>
      </c>
      <c r="J4072" s="305" t="s">
        <v>130</v>
      </c>
      <c r="K4072" s="305" t="s">
        <v>2161</v>
      </c>
    </row>
    <row r="4073" spans="1:11" s="324" customFormat="1" x14ac:dyDescent="0.25">
      <c r="A4073" s="317" t="str">
        <f t="shared" si="105"/>
        <v>Steam Traps- Venturi_Dry Cleaner/Industrial - No Audit_MF/CI/SMB_</v>
      </c>
      <c r="B4073" s="317" t="str">
        <f>B4072</f>
        <v>Steam Traps- Venturi</v>
      </c>
      <c r="C4073" s="332" t="str">
        <f>C4072</f>
        <v>Dry Cleaner/Industrial - No Audit</v>
      </c>
      <c r="D4073" s="317" t="str">
        <f>D4072</f>
        <v>MF/CI/SMB</v>
      </c>
      <c r="E4073" s="320"/>
      <c r="F4073" s="320"/>
      <c r="G4073" s="329"/>
      <c r="H4073" s="320"/>
      <c r="I4073" s="320"/>
      <c r="J4073" s="320"/>
      <c r="K4073" s="320"/>
    </row>
    <row r="4074" spans="1:11" s="324" customFormat="1" x14ac:dyDescent="0.25">
      <c r="A4074" s="302" t="str">
        <f t="shared" si="105"/>
        <v>Steam Traps- Venturi_Dry Cleaner/Industrial - Audit_MF/CI/SMB_GAL</v>
      </c>
      <c r="B4074" s="303" t="s">
        <v>1381</v>
      </c>
      <c r="C4074" s="304" t="s">
        <v>1275</v>
      </c>
      <c r="D4074" s="303" t="s">
        <v>662</v>
      </c>
      <c r="E4074" s="305" t="s">
        <v>513</v>
      </c>
      <c r="F4074" s="309"/>
      <c r="G4074" s="306">
        <v>2.29</v>
      </c>
      <c r="H4074" s="305" t="s">
        <v>225</v>
      </c>
      <c r="I4074" s="305" t="s">
        <v>152</v>
      </c>
      <c r="J4074" s="305" t="s">
        <v>130</v>
      </c>
      <c r="K4074" s="305" t="s">
        <v>2161</v>
      </c>
    </row>
    <row r="4075" spans="1:11" s="324" customFormat="1" x14ac:dyDescent="0.25">
      <c r="A4075" s="302" t="str">
        <f t="shared" si="105"/>
        <v>Steam Traps- Venturi_Dry Cleaner/Industrial - Audit_MF/CI/SMB_Hours of Operation</v>
      </c>
      <c r="B4075" s="303" t="s">
        <v>1381</v>
      </c>
      <c r="C4075" s="304" t="s">
        <v>1275</v>
      </c>
      <c r="D4075" s="303" t="s">
        <v>662</v>
      </c>
      <c r="E4075" s="305" t="s">
        <v>460</v>
      </c>
      <c r="F4075" s="309" t="s">
        <v>647</v>
      </c>
      <c r="G4075" s="354">
        <v>2425</v>
      </c>
      <c r="H4075" s="305" t="s">
        <v>225</v>
      </c>
      <c r="I4075" s="305" t="s">
        <v>152</v>
      </c>
      <c r="J4075" s="305" t="s">
        <v>130</v>
      </c>
      <c r="K4075" s="305" t="s">
        <v>2161</v>
      </c>
    </row>
    <row r="4076" spans="1:11" s="324" customFormat="1" x14ac:dyDescent="0.25">
      <c r="A4076" s="302" t="str">
        <f t="shared" si="105"/>
        <v>Steam Traps- Venturi_Dry Cleaner/Industrial - Audit_MF/CI/SMB_L</v>
      </c>
      <c r="B4076" s="303" t="s">
        <v>1381</v>
      </c>
      <c r="C4076" s="304" t="s">
        <v>1275</v>
      </c>
      <c r="D4076" s="303" t="s">
        <v>662</v>
      </c>
      <c r="E4076" s="305" t="s">
        <v>437</v>
      </c>
      <c r="F4076" s="309"/>
      <c r="G4076" s="307">
        <v>1</v>
      </c>
      <c r="H4076" s="305" t="s">
        <v>649</v>
      </c>
      <c r="I4076" s="305" t="s">
        <v>152</v>
      </c>
      <c r="J4076" s="305" t="s">
        <v>130</v>
      </c>
      <c r="K4076" s="305" t="s">
        <v>2161</v>
      </c>
    </row>
    <row r="4077" spans="1:11" s="324" customFormat="1" x14ac:dyDescent="0.25">
      <c r="A4077" s="302" t="str">
        <f t="shared" si="105"/>
        <v>Steam Traps- Venturi_Dry Cleaner/Industrial - Audit_MF/CI/SMB_Delta_Water_Gallons</v>
      </c>
      <c r="B4077" s="303" t="s">
        <v>1381</v>
      </c>
      <c r="C4077" s="304" t="s">
        <v>1275</v>
      </c>
      <c r="D4077" s="303" t="s">
        <v>662</v>
      </c>
      <c r="E4077" s="305" t="s">
        <v>456</v>
      </c>
      <c r="F4077" s="305"/>
      <c r="G4077" s="307">
        <f>G4074*G4075*G4076</f>
        <v>5553.25</v>
      </c>
      <c r="H4077" s="305"/>
      <c r="I4077" s="305" t="s">
        <v>152</v>
      </c>
      <c r="J4077" s="305" t="s">
        <v>130</v>
      </c>
      <c r="K4077" s="305" t="s">
        <v>2161</v>
      </c>
    </row>
    <row r="4078" spans="1:11" s="324" customFormat="1" x14ac:dyDescent="0.25">
      <c r="A4078" s="302" t="str">
        <f t="shared" si="105"/>
        <v>Steam Traps- Venturi_Dry Cleaner/Industrial - Audit_MF/CI/SMB_Conversion</v>
      </c>
      <c r="B4078" s="303" t="s">
        <v>1381</v>
      </c>
      <c r="C4078" s="304" t="s">
        <v>1275</v>
      </c>
      <c r="D4078" s="303" t="s">
        <v>662</v>
      </c>
      <c r="E4078" s="305" t="s">
        <v>284</v>
      </c>
      <c r="F4078" s="305"/>
      <c r="G4078" s="354">
        <v>1000000</v>
      </c>
      <c r="H4078" s="305"/>
      <c r="I4078" s="305" t="s">
        <v>152</v>
      </c>
      <c r="J4078" s="305" t="s">
        <v>130</v>
      </c>
      <c r="K4078" s="305" t="s">
        <v>2161</v>
      </c>
    </row>
    <row r="4079" spans="1:11" s="324" customFormat="1" x14ac:dyDescent="0.25">
      <c r="A4079" s="302" t="str">
        <f t="shared" si="105"/>
        <v>Steam Traps- Venturi_Dry Cleaner/Industrial - Audit_MF/CI/SMB_E_water_supply</v>
      </c>
      <c r="B4079" s="303" t="s">
        <v>1381</v>
      </c>
      <c r="C4079" s="304" t="s">
        <v>1275</v>
      </c>
      <c r="D4079" s="303" t="s">
        <v>662</v>
      </c>
      <c r="E4079" s="305" t="s">
        <v>457</v>
      </c>
      <c r="F4079" s="305"/>
      <c r="G4079" s="307">
        <v>2571</v>
      </c>
      <c r="H4079" s="305"/>
      <c r="I4079" s="305" t="s">
        <v>152</v>
      </c>
      <c r="J4079" s="305" t="s">
        <v>130</v>
      </c>
      <c r="K4079" s="305" t="s">
        <v>2161</v>
      </c>
    </row>
    <row r="4080" spans="1:11" s="324" customFormat="1" x14ac:dyDescent="0.25">
      <c r="A4080" s="302" t="str">
        <f t="shared" si="105"/>
        <v>Steam Traps- Venturi_Dry Cleaner/Industrial - Audit_MF/CI/SMB_Delta_kWh_water</v>
      </c>
      <c r="B4080" s="303" t="s">
        <v>1381</v>
      </c>
      <c r="C4080" s="304" t="s">
        <v>1275</v>
      </c>
      <c r="D4080" s="303" t="s">
        <v>662</v>
      </c>
      <c r="E4080" s="305" t="s">
        <v>334</v>
      </c>
      <c r="F4080" s="305"/>
      <c r="G4080" s="307">
        <f>(G4077/G4078)*G4079</f>
        <v>14.27740575</v>
      </c>
      <c r="H4080" s="305"/>
      <c r="I4080" s="305" t="s">
        <v>152</v>
      </c>
      <c r="J4080" s="305" t="s">
        <v>130</v>
      </c>
      <c r="K4080" s="305" t="s">
        <v>2161</v>
      </c>
    </row>
    <row r="4081" spans="1:11" s="324" customFormat="1" x14ac:dyDescent="0.25">
      <c r="A4081" s="302" t="str">
        <f t="shared" si="105"/>
        <v>Steam Traps- Venturi_Dry Cleaner/Industrial - Audit_MF/CI/SMB_Sa</v>
      </c>
      <c r="B4081" s="303" t="s">
        <v>1381</v>
      </c>
      <c r="C4081" s="304" t="s">
        <v>1275</v>
      </c>
      <c r="D4081" s="303" t="s">
        <v>662</v>
      </c>
      <c r="E4081" s="305" t="s">
        <v>507</v>
      </c>
      <c r="F4081" s="309"/>
      <c r="G4081" s="307">
        <v>18.5</v>
      </c>
      <c r="H4081" s="305" t="s">
        <v>663</v>
      </c>
      <c r="I4081" s="305" t="s">
        <v>152</v>
      </c>
      <c r="J4081" s="305" t="s">
        <v>130</v>
      </c>
      <c r="K4081" s="305" t="s">
        <v>2161</v>
      </c>
    </row>
    <row r="4082" spans="1:11" s="324" customFormat="1" x14ac:dyDescent="0.25">
      <c r="A4082" s="302" t="str">
        <f t="shared" si="105"/>
        <v>Steam Traps- Venturi_Dry Cleaner/Industrial - Audit_MF/CI/SMB_Hv</v>
      </c>
      <c r="B4082" s="303" t="s">
        <v>1381</v>
      </c>
      <c r="C4082" s="304" t="s">
        <v>1275</v>
      </c>
      <c r="D4082" s="303" t="s">
        <v>662</v>
      </c>
      <c r="E4082" s="305" t="s">
        <v>508</v>
      </c>
      <c r="F4082" s="305"/>
      <c r="G4082" s="307">
        <v>890</v>
      </c>
      <c r="H4082" s="305" t="s">
        <v>225</v>
      </c>
      <c r="I4082" s="305" t="s">
        <v>152</v>
      </c>
      <c r="J4082" s="305" t="s">
        <v>130</v>
      </c>
      <c r="K4082" s="305" t="s">
        <v>2161</v>
      </c>
    </row>
    <row r="4083" spans="1:11" x14ac:dyDescent="0.25">
      <c r="A4083" s="302" t="str">
        <f t="shared" si="105"/>
        <v>Steam Traps- Venturi_Dry Cleaner/Industrial - Audit_MF/CI/SMB_Hs</v>
      </c>
      <c r="B4083" s="303" t="s">
        <v>1381</v>
      </c>
      <c r="C4083" s="304" t="s">
        <v>1275</v>
      </c>
      <c r="D4083" s="303" t="s">
        <v>662</v>
      </c>
      <c r="E4083" s="340" t="s">
        <v>509</v>
      </c>
      <c r="F4083" s="340"/>
      <c r="G4083" s="341">
        <v>1.0009999999999999</v>
      </c>
      <c r="H4083" s="340" t="s">
        <v>652</v>
      </c>
      <c r="I4083" s="305" t="s">
        <v>152</v>
      </c>
      <c r="J4083" s="305" t="s">
        <v>130</v>
      </c>
      <c r="K4083" s="305" t="s">
        <v>2161</v>
      </c>
    </row>
    <row r="4084" spans="1:11" x14ac:dyDescent="0.25">
      <c r="A4084" s="302" t="str">
        <f t="shared" si="105"/>
        <v>Steam Traps- Venturi_Dry Cleaner/Industrial - Audit_MF/CI/SMB_507.89</v>
      </c>
      <c r="B4084" s="303" t="s">
        <v>1381</v>
      </c>
      <c r="C4084" s="304" t="s">
        <v>1275</v>
      </c>
      <c r="D4084" s="303" t="s">
        <v>662</v>
      </c>
      <c r="E4084" s="342">
        <v>507.89</v>
      </c>
      <c r="F4084" s="340"/>
      <c r="G4084" s="341">
        <v>507.89</v>
      </c>
      <c r="H4084" s="340"/>
      <c r="I4084" s="305" t="s">
        <v>152</v>
      </c>
      <c r="J4084" s="305" t="s">
        <v>130</v>
      </c>
      <c r="K4084" s="305" t="s">
        <v>2161</v>
      </c>
    </row>
    <row r="4085" spans="1:11" x14ac:dyDescent="0.25">
      <c r="A4085" s="302" t="str">
        <f t="shared" si="105"/>
        <v>Steam Traps- Venturi_Dry Cleaner/Industrial - Audit_MF/CI/SMB_P1</v>
      </c>
      <c r="B4085" s="303" t="s">
        <v>1381</v>
      </c>
      <c r="C4085" s="304" t="s">
        <v>1275</v>
      </c>
      <c r="D4085" s="303" t="s">
        <v>662</v>
      </c>
      <c r="E4085" s="340" t="s">
        <v>510</v>
      </c>
      <c r="F4085" s="340"/>
      <c r="G4085" s="341">
        <f>82.8+14.696</f>
        <v>97.495999999999995</v>
      </c>
      <c r="H4085" s="340" t="s">
        <v>664</v>
      </c>
      <c r="I4085" s="305" t="s">
        <v>152</v>
      </c>
      <c r="J4085" s="305" t="s">
        <v>130</v>
      </c>
      <c r="K4085" s="305" t="s">
        <v>2161</v>
      </c>
    </row>
    <row r="4086" spans="1:11" x14ac:dyDescent="0.25">
      <c r="A4086" s="302" t="str">
        <f t="shared" si="105"/>
        <v>Steam Traps- Venturi_Dry Cleaner/Industrial - Audit_MF/CI/SMB_0.0962</v>
      </c>
      <c r="B4086" s="303" t="s">
        <v>1381</v>
      </c>
      <c r="C4086" s="304" t="s">
        <v>1275</v>
      </c>
      <c r="D4086" s="303" t="s">
        <v>662</v>
      </c>
      <c r="E4086" s="340">
        <v>9.6199999999999994E-2</v>
      </c>
      <c r="F4086" s="340"/>
      <c r="G4086" s="343">
        <v>9.6199999999999994E-2</v>
      </c>
      <c r="H4086" s="340"/>
      <c r="I4086" s="305" t="s">
        <v>152</v>
      </c>
      <c r="J4086" s="305" t="s">
        <v>130</v>
      </c>
      <c r="K4086" s="305" t="s">
        <v>2161</v>
      </c>
    </row>
    <row r="4087" spans="1:11" x14ac:dyDescent="0.25">
      <c r="A4087" s="302" t="str">
        <f t="shared" si="105"/>
        <v>Steam Traps- Venturi_Dry Cleaner/Industrial - Audit_MF/CI/SMB_T1</v>
      </c>
      <c r="B4087" s="303" t="s">
        <v>1381</v>
      </c>
      <c r="C4087" s="304" t="s">
        <v>1275</v>
      </c>
      <c r="D4087" s="303" t="s">
        <v>662</v>
      </c>
      <c r="E4087" s="340" t="s">
        <v>511</v>
      </c>
      <c r="F4087" s="340"/>
      <c r="G4087" s="341">
        <f>G4084*(G4085^G4086)</f>
        <v>789.06029758033731</v>
      </c>
      <c r="H4087" s="340" t="s">
        <v>654</v>
      </c>
      <c r="I4087" s="305" t="s">
        <v>152</v>
      </c>
      <c r="J4087" s="305" t="s">
        <v>130</v>
      </c>
      <c r="K4087" s="305" t="s">
        <v>2161</v>
      </c>
    </row>
    <row r="4088" spans="1:11" x14ac:dyDescent="0.25">
      <c r="A4088" s="302" t="str">
        <f t="shared" si="105"/>
        <v>Steam Traps- Venturi_Dry Cleaner/Industrial - Audit_MF/CI/SMB_Tsource</v>
      </c>
      <c r="B4088" s="303" t="s">
        <v>1381</v>
      </c>
      <c r="C4088" s="304" t="s">
        <v>1275</v>
      </c>
      <c r="D4088" s="303" t="s">
        <v>662</v>
      </c>
      <c r="E4088" s="340" t="s">
        <v>512</v>
      </c>
      <c r="F4088" s="340"/>
      <c r="G4088" s="341">
        <v>513.66999999999996</v>
      </c>
      <c r="H4088" s="340" t="s">
        <v>655</v>
      </c>
      <c r="I4088" s="305" t="s">
        <v>152</v>
      </c>
      <c r="J4088" s="305" t="s">
        <v>130</v>
      </c>
      <c r="K4088" s="305" t="s">
        <v>2161</v>
      </c>
    </row>
    <row r="4089" spans="1:11" s="324" customFormat="1" x14ac:dyDescent="0.25">
      <c r="A4089" s="302" t="str">
        <f t="shared" si="105"/>
        <v>Steam Traps- Venturi_Dry Cleaner/Industrial - Audit_MF/CI/SMB_Hours of Operation</v>
      </c>
      <c r="B4089" s="303" t="s">
        <v>1381</v>
      </c>
      <c r="C4089" s="304" t="s">
        <v>1275</v>
      </c>
      <c r="D4089" s="303" t="s">
        <v>662</v>
      </c>
      <c r="E4089" s="305" t="s">
        <v>460</v>
      </c>
      <c r="F4089" s="309" t="s">
        <v>647</v>
      </c>
      <c r="G4089" s="354">
        <v>2425</v>
      </c>
      <c r="H4089" s="305" t="s">
        <v>225</v>
      </c>
      <c r="I4089" s="305" t="s">
        <v>152</v>
      </c>
      <c r="J4089" s="305" t="s">
        <v>130</v>
      </c>
      <c r="K4089" s="305" t="s">
        <v>2161</v>
      </c>
    </row>
    <row r="4090" spans="1:11" s="324" customFormat="1" x14ac:dyDescent="0.25">
      <c r="A4090" s="302" t="str">
        <f t="shared" si="105"/>
        <v>Steam Traps- Venturi_Dry Cleaner/Industrial - Audit_MF/CI/SMB_L</v>
      </c>
      <c r="B4090" s="303" t="s">
        <v>1381</v>
      </c>
      <c r="C4090" s="304" t="s">
        <v>1275</v>
      </c>
      <c r="D4090" s="303" t="s">
        <v>662</v>
      </c>
      <c r="E4090" s="305" t="s">
        <v>437</v>
      </c>
      <c r="F4090" s="309"/>
      <c r="G4090" s="306">
        <v>1</v>
      </c>
      <c r="H4090" s="305" t="s">
        <v>649</v>
      </c>
      <c r="I4090" s="305" t="s">
        <v>152</v>
      </c>
      <c r="J4090" s="305" t="s">
        <v>130</v>
      </c>
      <c r="K4090" s="305" t="s">
        <v>2161</v>
      </c>
    </row>
    <row r="4091" spans="1:11" s="324" customFormat="1" x14ac:dyDescent="0.25">
      <c r="A4091" s="302" t="str">
        <f t="shared" si="105"/>
        <v>Steam Traps- Venturi_Dry Cleaner/Industrial - Audit_MF/CI/SMB_Conversion</v>
      </c>
      <c r="B4091" s="303" t="s">
        <v>1381</v>
      </c>
      <c r="C4091" s="304" t="s">
        <v>1275</v>
      </c>
      <c r="D4091" s="303" t="s">
        <v>662</v>
      </c>
      <c r="E4091" s="305" t="s">
        <v>284</v>
      </c>
      <c r="F4091" s="309" t="s">
        <v>622</v>
      </c>
      <c r="G4091" s="325">
        <v>100000</v>
      </c>
      <c r="H4091" s="305"/>
      <c r="I4091" s="305" t="s">
        <v>152</v>
      </c>
      <c r="J4091" s="305" t="s">
        <v>130</v>
      </c>
      <c r="K4091" s="305" t="s">
        <v>2161</v>
      </c>
    </row>
    <row r="4092" spans="1:11" x14ac:dyDescent="0.25">
      <c r="A4092" s="302" t="str">
        <f t="shared" si="105"/>
        <v>Steam Traps- Venturi_Dry Cleaner/Industrial - Audit_MF/CI/SMB_n_B</v>
      </c>
      <c r="B4092" s="303" t="s">
        <v>1381</v>
      </c>
      <c r="C4092" s="304" t="s">
        <v>1275</v>
      </c>
      <c r="D4092" s="303" t="s">
        <v>662</v>
      </c>
      <c r="E4092" s="340" t="s">
        <v>657</v>
      </c>
      <c r="F4092" s="341"/>
      <c r="G4092" s="346">
        <v>0.80700000000000005</v>
      </c>
      <c r="H4092" s="340" t="s">
        <v>665</v>
      </c>
      <c r="I4092" s="305" t="s">
        <v>152</v>
      </c>
      <c r="J4092" s="305" t="s">
        <v>130</v>
      </c>
      <c r="K4092" s="305" t="s">
        <v>2161</v>
      </c>
    </row>
    <row r="4093" spans="1:11" s="324" customFormat="1" x14ac:dyDescent="0.25">
      <c r="A4093" s="302" t="str">
        <f t="shared" si="105"/>
        <v>Steam Traps- Venturi_Dry Cleaner/Industrial - Audit_MF/CI/SMB_kWh Saved per Unit</v>
      </c>
      <c r="B4093" s="303" t="s">
        <v>1381</v>
      </c>
      <c r="C4093" s="304" t="s">
        <v>1275</v>
      </c>
      <c r="D4093" s="303" t="s">
        <v>662</v>
      </c>
      <c r="E4093" s="314" t="s">
        <v>255</v>
      </c>
      <c r="F4093" s="326"/>
      <c r="G4093" s="315">
        <f>G4080</f>
        <v>14.27740575</v>
      </c>
      <c r="H4093" s="305"/>
      <c r="I4093" s="305" t="s">
        <v>152</v>
      </c>
      <c r="J4093" s="305" t="s">
        <v>130</v>
      </c>
      <c r="K4093" s="305" t="s">
        <v>2161</v>
      </c>
    </row>
    <row r="4094" spans="1:11" s="324" customFormat="1" x14ac:dyDescent="0.25">
      <c r="A4094" s="302" t="str">
        <f t="shared" si="105"/>
        <v>Steam Traps- Venturi_Dry Cleaner/Industrial - Audit_MF/CI/SMB_Coincident Peak kW Saved per Unit</v>
      </c>
      <c r="B4094" s="303" t="s">
        <v>1381</v>
      </c>
      <c r="C4094" s="304" t="s">
        <v>1275</v>
      </c>
      <c r="D4094" s="303" t="s">
        <v>662</v>
      </c>
      <c r="E4094" s="314" t="s">
        <v>257</v>
      </c>
      <c r="F4094" s="326"/>
      <c r="G4094" s="315">
        <v>0</v>
      </c>
      <c r="H4094" s="305"/>
      <c r="I4094" s="305" t="s">
        <v>152</v>
      </c>
      <c r="J4094" s="305" t="s">
        <v>130</v>
      </c>
      <c r="K4094" s="305" t="s">
        <v>2161</v>
      </c>
    </row>
    <row r="4095" spans="1:11" s="324" customFormat="1" x14ac:dyDescent="0.25">
      <c r="A4095" s="302" t="str">
        <f t="shared" si="105"/>
        <v>Steam Traps- Venturi_Dry Cleaner/Industrial - Audit_MF/CI/SMB_Therm Saved per Unit</v>
      </c>
      <c r="B4095" s="303" t="s">
        <v>1381</v>
      </c>
      <c r="C4095" s="304" t="s">
        <v>1275</v>
      </c>
      <c r="D4095" s="303" t="s">
        <v>662</v>
      </c>
      <c r="E4095" s="314" t="s">
        <v>326</v>
      </c>
      <c r="F4095" s="326"/>
      <c r="G4095" s="315">
        <f xml:space="preserve"> G4081 * (G4082 + G4083 * (G4087 - G4088)) * G4089 * G4090 / (G4091 * G4092)</f>
        <v>648.01334476360694</v>
      </c>
      <c r="H4095" s="305"/>
      <c r="I4095" s="305" t="s">
        <v>152</v>
      </c>
      <c r="J4095" s="305" t="s">
        <v>130</v>
      </c>
      <c r="K4095" s="305" t="s">
        <v>2161</v>
      </c>
    </row>
    <row r="4096" spans="1:11" s="324" customFormat="1" x14ac:dyDescent="0.25">
      <c r="A4096" s="302" t="str">
        <f t="shared" si="105"/>
        <v>Steam Traps- Venturi_Dry Cleaner/Industrial - Audit_MF/CI/SMB_Gallons Saved per Unit</v>
      </c>
      <c r="B4096" s="303" t="s">
        <v>1381</v>
      </c>
      <c r="C4096" s="304" t="s">
        <v>1275</v>
      </c>
      <c r="D4096" s="303" t="s">
        <v>662</v>
      </c>
      <c r="E4096" s="314" t="s">
        <v>547</v>
      </c>
      <c r="F4096" s="326"/>
      <c r="G4096" s="315">
        <f>G4077</f>
        <v>5553.25</v>
      </c>
      <c r="H4096" s="305"/>
      <c r="I4096" s="305" t="s">
        <v>152</v>
      </c>
      <c r="J4096" s="305" t="s">
        <v>130</v>
      </c>
      <c r="K4096" s="305" t="s">
        <v>2161</v>
      </c>
    </row>
    <row r="4097" spans="1:11" s="324" customFormat="1" x14ac:dyDescent="0.25">
      <c r="A4097" s="302" t="str">
        <f t="shared" si="105"/>
        <v>Steam Traps- Venturi_Dry Cleaner/Industrial - Audit_MF/CI/SMB_Lifetime (years)</v>
      </c>
      <c r="B4097" s="303" t="s">
        <v>1381</v>
      </c>
      <c r="C4097" s="304" t="s">
        <v>1275</v>
      </c>
      <c r="D4097" s="303" t="s">
        <v>662</v>
      </c>
      <c r="E4097" s="314" t="s">
        <v>259</v>
      </c>
      <c r="F4097" s="326"/>
      <c r="G4097" s="326">
        <v>20</v>
      </c>
      <c r="H4097" s="305" t="s">
        <v>1382</v>
      </c>
      <c r="I4097" s="305" t="s">
        <v>152</v>
      </c>
      <c r="J4097" s="305" t="s">
        <v>130</v>
      </c>
      <c r="K4097" s="305" t="s">
        <v>2161</v>
      </c>
    </row>
    <row r="4098" spans="1:11" s="324" customFormat="1" x14ac:dyDescent="0.25">
      <c r="A4098" s="302" t="str">
        <f t="shared" si="105"/>
        <v>Steam Traps- Venturi_Dry Cleaner/Industrial - Audit_MF/CI/SMB_Incremental Cost</v>
      </c>
      <c r="B4098" s="303" t="s">
        <v>1381</v>
      </c>
      <c r="C4098" s="304" t="s">
        <v>1275</v>
      </c>
      <c r="D4098" s="303" t="s">
        <v>662</v>
      </c>
      <c r="E4098" s="314" t="s">
        <v>260</v>
      </c>
      <c r="F4098" s="326"/>
      <c r="G4098" s="315">
        <v>77</v>
      </c>
      <c r="H4098" s="305" t="s">
        <v>225</v>
      </c>
      <c r="I4098" s="305" t="s">
        <v>152</v>
      </c>
      <c r="J4098" s="305" t="s">
        <v>130</v>
      </c>
      <c r="K4098" s="305" t="s">
        <v>2161</v>
      </c>
    </row>
    <row r="4099" spans="1:11" s="324" customFormat="1" x14ac:dyDescent="0.25">
      <c r="A4099" s="317" t="str">
        <f t="shared" si="105"/>
        <v>Steam Traps- Venturi_Dry Cleaner/Industrial - Audit_MF/CI/SMB_</v>
      </c>
      <c r="B4099" s="317" t="str">
        <f>B4098</f>
        <v>Steam Traps- Venturi</v>
      </c>
      <c r="C4099" s="332" t="str">
        <f>C4098</f>
        <v>Dry Cleaner/Industrial - Audit</v>
      </c>
      <c r="D4099" s="317" t="str">
        <f>D4098</f>
        <v>MF/CI/SMB</v>
      </c>
      <c r="E4099" s="320"/>
      <c r="F4099" s="320"/>
      <c r="G4099" s="329"/>
      <c r="H4099" s="320"/>
      <c r="I4099" s="320"/>
      <c r="J4099" s="320"/>
      <c r="K4099" s="320"/>
    </row>
    <row r="4100" spans="1:11" x14ac:dyDescent="0.25">
      <c r="A4100" s="302" t="str">
        <f t="shared" si="105"/>
        <v>Steam Traps- Venturi_HVAC Repair/Rep - No Audit_CI_GAL</v>
      </c>
      <c r="B4100" s="303" t="s">
        <v>1381</v>
      </c>
      <c r="C4100" s="304" t="s">
        <v>660</v>
      </c>
      <c r="D4100" s="303" t="s">
        <v>1159</v>
      </c>
      <c r="E4100" s="305" t="s">
        <v>513</v>
      </c>
      <c r="F4100" s="309"/>
      <c r="G4100" s="306">
        <v>0.83</v>
      </c>
      <c r="H4100" s="305" t="s">
        <v>514</v>
      </c>
      <c r="I4100" s="305" t="s">
        <v>152</v>
      </c>
      <c r="J4100" s="305" t="s">
        <v>130</v>
      </c>
      <c r="K4100" s="305" t="s">
        <v>2161</v>
      </c>
    </row>
    <row r="4101" spans="1:11" x14ac:dyDescent="0.25">
      <c r="A4101" s="302" t="str">
        <f t="shared" si="105"/>
        <v>Steam Traps- Venturi_HVAC Repair/Rep - No Audit_CI_Hours of Operation</v>
      </c>
      <c r="B4101" s="303" t="s">
        <v>1381</v>
      </c>
      <c r="C4101" s="304" t="s">
        <v>660</v>
      </c>
      <c r="D4101" s="303" t="s">
        <v>1159</v>
      </c>
      <c r="E4101" s="305" t="s">
        <v>460</v>
      </c>
      <c r="F4101" s="309" t="s">
        <v>647</v>
      </c>
      <c r="G4101" s="339">
        <v>4029</v>
      </c>
      <c r="H4101" s="305" t="s">
        <v>1276</v>
      </c>
      <c r="I4101" s="305" t="s">
        <v>152</v>
      </c>
      <c r="J4101" s="305" t="s">
        <v>130</v>
      </c>
      <c r="K4101" s="305" t="s">
        <v>2161</v>
      </c>
    </row>
    <row r="4102" spans="1:11" x14ac:dyDescent="0.25">
      <c r="A4102" s="302" t="str">
        <f t="shared" si="105"/>
        <v>Steam Traps- Venturi_HVAC Repair/Rep - No Audit_CI_L</v>
      </c>
      <c r="B4102" s="303" t="s">
        <v>1381</v>
      </c>
      <c r="C4102" s="304" t="s">
        <v>660</v>
      </c>
      <c r="D4102" s="303" t="s">
        <v>1159</v>
      </c>
      <c r="E4102" s="305" t="s">
        <v>437</v>
      </c>
      <c r="F4102" s="309"/>
      <c r="G4102" s="306">
        <v>0.27</v>
      </c>
      <c r="H4102" s="305" t="s">
        <v>1277</v>
      </c>
      <c r="I4102" s="305" t="s">
        <v>152</v>
      </c>
      <c r="J4102" s="305" t="s">
        <v>130</v>
      </c>
      <c r="K4102" s="305" t="s">
        <v>2161</v>
      </c>
    </row>
    <row r="4103" spans="1:11" x14ac:dyDescent="0.25">
      <c r="A4103" s="302" t="str">
        <f t="shared" si="105"/>
        <v>Steam Traps- Venturi_HVAC Repair/Rep - No Audit_CI_Delta_Water_Gallons</v>
      </c>
      <c r="B4103" s="303" t="s">
        <v>1381</v>
      </c>
      <c r="C4103" s="304" t="s">
        <v>660</v>
      </c>
      <c r="D4103" s="303" t="s">
        <v>1159</v>
      </c>
      <c r="E4103" s="305" t="s">
        <v>456</v>
      </c>
      <c r="F4103" s="305"/>
      <c r="G4103" s="307">
        <f>G4100*G4101*G4102</f>
        <v>902.89890000000003</v>
      </c>
      <c r="H4103" s="305"/>
      <c r="I4103" s="305" t="s">
        <v>152</v>
      </c>
      <c r="J4103" s="305" t="s">
        <v>130</v>
      </c>
      <c r="K4103" s="305" t="s">
        <v>2161</v>
      </c>
    </row>
    <row r="4104" spans="1:11" x14ac:dyDescent="0.25">
      <c r="A4104" s="302" t="str">
        <f t="shared" si="105"/>
        <v>Steam Traps- Venturi_HVAC Repair/Rep - No Audit_CI_Conversion</v>
      </c>
      <c r="B4104" s="303" t="s">
        <v>1381</v>
      </c>
      <c r="C4104" s="304" t="s">
        <v>660</v>
      </c>
      <c r="D4104" s="303" t="s">
        <v>1159</v>
      </c>
      <c r="E4104" s="305" t="s">
        <v>284</v>
      </c>
      <c r="F4104" s="305"/>
      <c r="G4104" s="354">
        <v>1000000</v>
      </c>
      <c r="H4104" s="305"/>
      <c r="I4104" s="305" t="s">
        <v>152</v>
      </c>
      <c r="J4104" s="305" t="s">
        <v>130</v>
      </c>
      <c r="K4104" s="305" t="s">
        <v>2161</v>
      </c>
    </row>
    <row r="4105" spans="1:11" x14ac:dyDescent="0.25">
      <c r="A4105" s="302" t="str">
        <f t="shared" si="105"/>
        <v>Steam Traps- Venturi_HVAC Repair/Rep - No Audit_CI_E_water_supply</v>
      </c>
      <c r="B4105" s="303" t="s">
        <v>1381</v>
      </c>
      <c r="C4105" s="304" t="s">
        <v>660</v>
      </c>
      <c r="D4105" s="303" t="s">
        <v>1159</v>
      </c>
      <c r="E4105" s="305" t="s">
        <v>457</v>
      </c>
      <c r="F4105" s="305"/>
      <c r="G4105" s="307">
        <v>2571</v>
      </c>
      <c r="H4105" s="305"/>
      <c r="I4105" s="305" t="s">
        <v>152</v>
      </c>
      <c r="J4105" s="305" t="s">
        <v>130</v>
      </c>
      <c r="K4105" s="305" t="s">
        <v>2161</v>
      </c>
    </row>
    <row r="4106" spans="1:11" x14ac:dyDescent="0.25">
      <c r="A4106" s="302" t="str">
        <f t="shared" si="105"/>
        <v>Steam Traps- Venturi_HVAC Repair/Rep - No Audit_CI_Delta_kWh_water</v>
      </c>
      <c r="B4106" s="303" t="s">
        <v>1381</v>
      </c>
      <c r="C4106" s="304" t="s">
        <v>660</v>
      </c>
      <c r="D4106" s="303" t="s">
        <v>1159</v>
      </c>
      <c r="E4106" s="305" t="s">
        <v>334</v>
      </c>
      <c r="F4106" s="305"/>
      <c r="G4106" s="307">
        <f>G4103/G4104*G4105</f>
        <v>2.3213530719</v>
      </c>
      <c r="H4106" s="305"/>
      <c r="I4106" s="305" t="s">
        <v>152</v>
      </c>
      <c r="J4106" s="305" t="s">
        <v>130</v>
      </c>
      <c r="K4106" s="305" t="s">
        <v>2161</v>
      </c>
    </row>
    <row r="4107" spans="1:11" x14ac:dyDescent="0.25">
      <c r="A4107" s="302" t="str">
        <f t="shared" si="105"/>
        <v>Steam Traps- Venturi_HVAC Repair/Rep - No Audit_CI_Sa</v>
      </c>
      <c r="B4107" s="303" t="s">
        <v>1381</v>
      </c>
      <c r="C4107" s="304" t="s">
        <v>660</v>
      </c>
      <c r="D4107" s="303" t="s">
        <v>1159</v>
      </c>
      <c r="E4107" s="305" t="s">
        <v>507</v>
      </c>
      <c r="F4107" s="305"/>
      <c r="G4107" s="401">
        <v>13.8</v>
      </c>
      <c r="H4107" s="340" t="s">
        <v>1278</v>
      </c>
      <c r="I4107" s="305" t="s">
        <v>152</v>
      </c>
      <c r="J4107" s="305" t="s">
        <v>130</v>
      </c>
      <c r="K4107" s="305" t="s">
        <v>2161</v>
      </c>
    </row>
    <row r="4108" spans="1:11" x14ac:dyDescent="0.25">
      <c r="A4108" s="302" t="str">
        <f t="shared" si="105"/>
        <v>Steam Traps- Venturi_HVAC Repair/Rep - No Audit_CI_Hv</v>
      </c>
      <c r="B4108" s="303" t="s">
        <v>1381</v>
      </c>
      <c r="C4108" s="304" t="s">
        <v>660</v>
      </c>
      <c r="D4108" s="303" t="s">
        <v>1159</v>
      </c>
      <c r="E4108" s="305" t="s">
        <v>508</v>
      </c>
      <c r="F4108" s="305"/>
      <c r="G4108" s="307">
        <v>951</v>
      </c>
      <c r="H4108" s="305" t="s">
        <v>2008</v>
      </c>
      <c r="I4108" s="305" t="s">
        <v>152</v>
      </c>
      <c r="J4108" s="305" t="s">
        <v>130</v>
      </c>
      <c r="K4108" s="305" t="s">
        <v>2161</v>
      </c>
    </row>
    <row r="4109" spans="1:11" x14ac:dyDescent="0.25">
      <c r="A4109" s="302" t="str">
        <f t="shared" si="105"/>
        <v>Steam Traps- Venturi_HVAC Repair/Rep - No Audit_CI_Hs</v>
      </c>
      <c r="B4109" s="303" t="s">
        <v>1381</v>
      </c>
      <c r="C4109" s="304" t="s">
        <v>660</v>
      </c>
      <c r="D4109" s="303" t="s">
        <v>1159</v>
      </c>
      <c r="E4109" s="340" t="s">
        <v>509</v>
      </c>
      <c r="F4109" s="340"/>
      <c r="G4109" s="341">
        <v>1.0009999999999999</v>
      </c>
      <c r="H4109" s="340" t="s">
        <v>652</v>
      </c>
      <c r="I4109" s="305" t="s">
        <v>152</v>
      </c>
      <c r="J4109" s="305" t="s">
        <v>130</v>
      </c>
      <c r="K4109" s="305" t="s">
        <v>2161</v>
      </c>
    </row>
    <row r="4110" spans="1:11" x14ac:dyDescent="0.25">
      <c r="A4110" s="302" t="str">
        <f t="shared" si="105"/>
        <v>Steam Traps- Venturi_HVAC Repair/Rep - No Audit_CI_507.89</v>
      </c>
      <c r="B4110" s="303" t="s">
        <v>1381</v>
      </c>
      <c r="C4110" s="304" t="s">
        <v>660</v>
      </c>
      <c r="D4110" s="303" t="s">
        <v>1159</v>
      </c>
      <c r="E4110" s="342">
        <v>507.89</v>
      </c>
      <c r="F4110" s="340"/>
      <c r="G4110" s="341">
        <v>507.89</v>
      </c>
      <c r="H4110" s="340"/>
      <c r="I4110" s="305" t="s">
        <v>152</v>
      </c>
      <c r="J4110" s="305" t="s">
        <v>130</v>
      </c>
      <c r="K4110" s="305" t="s">
        <v>2161</v>
      </c>
    </row>
    <row r="4111" spans="1:11" x14ac:dyDescent="0.25">
      <c r="A4111" s="302" t="str">
        <f t="shared" si="105"/>
        <v>Steam Traps- Venturi_HVAC Repair/Rep - No Audit_CI_P1</v>
      </c>
      <c r="B4111" s="303" t="s">
        <v>1381</v>
      </c>
      <c r="C4111" s="304" t="s">
        <v>660</v>
      </c>
      <c r="D4111" s="303" t="s">
        <v>1159</v>
      </c>
      <c r="E4111" s="340" t="s">
        <v>510</v>
      </c>
      <c r="F4111" s="340"/>
      <c r="G4111" s="401">
        <f>11.2+14.696</f>
        <v>25.896000000000001</v>
      </c>
      <c r="H4111" s="340" t="s">
        <v>1279</v>
      </c>
      <c r="I4111" s="305" t="s">
        <v>152</v>
      </c>
      <c r="J4111" s="305" t="s">
        <v>130</v>
      </c>
      <c r="K4111" s="305" t="s">
        <v>2161</v>
      </c>
    </row>
    <row r="4112" spans="1:11" x14ac:dyDescent="0.25">
      <c r="A4112" s="302" t="str">
        <f t="shared" ref="A4112:A4175" si="106">B4112&amp;"_"&amp;C4112&amp;"_"&amp;D4112&amp;"_"&amp;E4112</f>
        <v>Steam Traps- Venturi_HVAC Repair/Rep - No Audit_CI_0.0962</v>
      </c>
      <c r="B4112" s="303" t="s">
        <v>1381</v>
      </c>
      <c r="C4112" s="304" t="s">
        <v>660</v>
      </c>
      <c r="D4112" s="303" t="s">
        <v>1159</v>
      </c>
      <c r="E4112" s="340">
        <v>9.6199999999999994E-2</v>
      </c>
      <c r="F4112" s="340"/>
      <c r="G4112" s="343">
        <v>9.6199999999999994E-2</v>
      </c>
      <c r="H4112" s="340"/>
      <c r="I4112" s="305" t="s">
        <v>152</v>
      </c>
      <c r="J4112" s="305" t="s">
        <v>130</v>
      </c>
      <c r="K4112" s="305" t="s">
        <v>2161</v>
      </c>
    </row>
    <row r="4113" spans="1:11" x14ac:dyDescent="0.25">
      <c r="A4113" s="302" t="str">
        <f t="shared" si="106"/>
        <v>Steam Traps- Venturi_HVAC Repair/Rep - No Audit_CI_T1</v>
      </c>
      <c r="B4113" s="303" t="s">
        <v>1381</v>
      </c>
      <c r="C4113" s="304" t="s">
        <v>660</v>
      </c>
      <c r="D4113" s="303" t="s">
        <v>1159</v>
      </c>
      <c r="E4113" s="340" t="s">
        <v>511</v>
      </c>
      <c r="F4113" s="340"/>
      <c r="G4113" s="341">
        <f>G4110*(G4111^G4112)</f>
        <v>694.58059570836633</v>
      </c>
      <c r="H4113" s="340" t="s">
        <v>654</v>
      </c>
      <c r="I4113" s="305" t="s">
        <v>152</v>
      </c>
      <c r="J4113" s="305" t="s">
        <v>130</v>
      </c>
      <c r="K4113" s="305" t="s">
        <v>2161</v>
      </c>
    </row>
    <row r="4114" spans="1:11" x14ac:dyDescent="0.25">
      <c r="A4114" s="302" t="str">
        <f t="shared" si="106"/>
        <v>Steam Traps- Venturi_HVAC Repair/Rep - No Audit_CI_Tsource</v>
      </c>
      <c r="B4114" s="303" t="s">
        <v>1381</v>
      </c>
      <c r="C4114" s="304" t="s">
        <v>660</v>
      </c>
      <c r="D4114" s="303" t="s">
        <v>1159</v>
      </c>
      <c r="E4114" s="340" t="s">
        <v>512</v>
      </c>
      <c r="F4114" s="340"/>
      <c r="G4114" s="341">
        <v>513.66999999999996</v>
      </c>
      <c r="H4114" s="340" t="s">
        <v>655</v>
      </c>
      <c r="I4114" s="305" t="s">
        <v>152</v>
      </c>
      <c r="J4114" s="305" t="s">
        <v>130</v>
      </c>
      <c r="K4114" s="305" t="s">
        <v>2161</v>
      </c>
    </row>
    <row r="4115" spans="1:11" x14ac:dyDescent="0.25">
      <c r="A4115" s="302" t="str">
        <f t="shared" si="106"/>
        <v>Steam Traps- Venturi_HVAC Repair/Rep - No Audit_CI_Hours of Operation</v>
      </c>
      <c r="B4115" s="303" t="s">
        <v>1381</v>
      </c>
      <c r="C4115" s="304" t="s">
        <v>660</v>
      </c>
      <c r="D4115" s="303" t="s">
        <v>1159</v>
      </c>
      <c r="E4115" s="305" t="s">
        <v>460</v>
      </c>
      <c r="F4115" s="309" t="s">
        <v>647</v>
      </c>
      <c r="G4115" s="354">
        <v>4029</v>
      </c>
      <c r="H4115" s="305" t="s">
        <v>1276</v>
      </c>
      <c r="I4115" s="305" t="s">
        <v>152</v>
      </c>
      <c r="J4115" s="305" t="s">
        <v>130</v>
      </c>
      <c r="K4115" s="305" t="s">
        <v>2161</v>
      </c>
    </row>
    <row r="4116" spans="1:11" x14ac:dyDescent="0.25">
      <c r="A4116" s="302" t="str">
        <f t="shared" si="106"/>
        <v>Steam Traps- Venturi_HVAC Repair/Rep - No Audit_CI_L</v>
      </c>
      <c r="B4116" s="303" t="s">
        <v>1381</v>
      </c>
      <c r="C4116" s="304" t="s">
        <v>660</v>
      </c>
      <c r="D4116" s="303" t="s">
        <v>1159</v>
      </c>
      <c r="E4116" s="305" t="s">
        <v>437</v>
      </c>
      <c r="F4116" s="309"/>
      <c r="G4116" s="306">
        <v>0.27</v>
      </c>
      <c r="H4116" s="305" t="s">
        <v>1277</v>
      </c>
      <c r="I4116" s="305" t="s">
        <v>152</v>
      </c>
      <c r="J4116" s="305" t="s">
        <v>130</v>
      </c>
      <c r="K4116" s="305" t="s">
        <v>2161</v>
      </c>
    </row>
    <row r="4117" spans="1:11" x14ac:dyDescent="0.25">
      <c r="A4117" s="302" t="str">
        <f t="shared" si="106"/>
        <v>Steam Traps- Venturi_HVAC Repair/Rep - No Audit_CI_Conversion</v>
      </c>
      <c r="B4117" s="303" t="s">
        <v>1381</v>
      </c>
      <c r="C4117" s="304" t="s">
        <v>660</v>
      </c>
      <c r="D4117" s="303" t="s">
        <v>1159</v>
      </c>
      <c r="E4117" s="305" t="s">
        <v>284</v>
      </c>
      <c r="F4117" s="309" t="s">
        <v>622</v>
      </c>
      <c r="G4117" s="325">
        <v>100000</v>
      </c>
      <c r="H4117" s="305"/>
      <c r="I4117" s="305" t="s">
        <v>152</v>
      </c>
      <c r="J4117" s="305" t="s">
        <v>130</v>
      </c>
      <c r="K4117" s="305" t="s">
        <v>2161</v>
      </c>
    </row>
    <row r="4118" spans="1:11" x14ac:dyDescent="0.25">
      <c r="A4118" s="302" t="str">
        <f t="shared" si="106"/>
        <v>Steam Traps- Venturi_HVAC Repair/Rep - No Audit_CI_n_B</v>
      </c>
      <c r="B4118" s="303" t="s">
        <v>1381</v>
      </c>
      <c r="C4118" s="304" t="s">
        <v>660</v>
      </c>
      <c r="D4118" s="303" t="s">
        <v>1159</v>
      </c>
      <c r="E4118" s="340" t="s">
        <v>657</v>
      </c>
      <c r="F4118" s="341"/>
      <c r="G4118" s="346">
        <v>0.80700000000000005</v>
      </c>
      <c r="H4118" s="340" t="s">
        <v>665</v>
      </c>
      <c r="I4118" s="305" t="s">
        <v>152</v>
      </c>
      <c r="J4118" s="305" t="s">
        <v>130</v>
      </c>
      <c r="K4118" s="305" t="s">
        <v>2161</v>
      </c>
    </row>
    <row r="4119" spans="1:11" x14ac:dyDescent="0.25">
      <c r="A4119" s="302" t="str">
        <f t="shared" si="106"/>
        <v>Steam Traps- Venturi_HVAC Repair/Rep - No Audit_CI_kWh Saved per Unit</v>
      </c>
      <c r="B4119" s="303" t="s">
        <v>1381</v>
      </c>
      <c r="C4119" s="304" t="s">
        <v>660</v>
      </c>
      <c r="D4119" s="303" t="s">
        <v>1159</v>
      </c>
      <c r="E4119" s="314" t="s">
        <v>255</v>
      </c>
      <c r="F4119" s="326"/>
      <c r="G4119" s="315">
        <f>G4106</f>
        <v>2.3213530719</v>
      </c>
      <c r="H4119" s="305"/>
      <c r="I4119" s="305" t="s">
        <v>152</v>
      </c>
      <c r="J4119" s="305" t="s">
        <v>130</v>
      </c>
      <c r="K4119" s="305" t="s">
        <v>2161</v>
      </c>
    </row>
    <row r="4120" spans="1:11" x14ac:dyDescent="0.25">
      <c r="A4120" s="302" t="str">
        <f t="shared" si="106"/>
        <v>Steam Traps- Venturi_HVAC Repair/Rep - No Audit_CI_Coincident Peak kW Saved per Unit</v>
      </c>
      <c r="B4120" s="303" t="s">
        <v>1381</v>
      </c>
      <c r="C4120" s="304" t="s">
        <v>660</v>
      </c>
      <c r="D4120" s="303" t="s">
        <v>1159</v>
      </c>
      <c r="E4120" s="314" t="s">
        <v>257</v>
      </c>
      <c r="F4120" s="326"/>
      <c r="G4120" s="315">
        <v>0</v>
      </c>
      <c r="H4120" s="305"/>
      <c r="I4120" s="305" t="s">
        <v>152</v>
      </c>
      <c r="J4120" s="305" t="s">
        <v>130</v>
      </c>
      <c r="K4120" s="305" t="s">
        <v>2161</v>
      </c>
    </row>
    <row r="4121" spans="1:11" x14ac:dyDescent="0.25">
      <c r="A4121" s="302" t="str">
        <f t="shared" si="106"/>
        <v>Steam Traps- Venturi_HVAC Repair/Rep - No Audit_CI_Therm Saved per Unit</v>
      </c>
      <c r="B4121" s="303" t="s">
        <v>1381</v>
      </c>
      <c r="C4121" s="304" t="s">
        <v>660</v>
      </c>
      <c r="D4121" s="303" t="s">
        <v>1159</v>
      </c>
      <c r="E4121" s="314" t="s">
        <v>326</v>
      </c>
      <c r="F4121" s="326"/>
      <c r="G4121" s="315">
        <f xml:space="preserve"> G4107 * (G4108 + G4109 * (G4113 - G4114)) * G4115 * G4116 / (G4117 * G4118)</f>
        <v>210.59502881757265</v>
      </c>
      <c r="H4121" s="305"/>
      <c r="I4121" s="305" t="s">
        <v>152</v>
      </c>
      <c r="J4121" s="305" t="s">
        <v>130</v>
      </c>
      <c r="K4121" s="305" t="s">
        <v>2161</v>
      </c>
    </row>
    <row r="4122" spans="1:11" x14ac:dyDescent="0.25">
      <c r="A4122" s="302" t="str">
        <f t="shared" si="106"/>
        <v>Steam Traps- Venturi_HVAC Repair/Rep - No Audit_CI_Gallons Saved per Unit</v>
      </c>
      <c r="B4122" s="303" t="s">
        <v>1381</v>
      </c>
      <c r="C4122" s="304" t="s">
        <v>660</v>
      </c>
      <c r="D4122" s="303" t="s">
        <v>1159</v>
      </c>
      <c r="E4122" s="314" t="s">
        <v>547</v>
      </c>
      <c r="F4122" s="326"/>
      <c r="G4122" s="315">
        <f>G4103</f>
        <v>902.89890000000003</v>
      </c>
      <c r="H4122" s="305"/>
      <c r="I4122" s="305" t="s">
        <v>152</v>
      </c>
      <c r="J4122" s="305" t="s">
        <v>130</v>
      </c>
      <c r="K4122" s="305" t="s">
        <v>2161</v>
      </c>
    </row>
    <row r="4123" spans="1:11" x14ac:dyDescent="0.25">
      <c r="A4123" s="302" t="str">
        <f t="shared" si="106"/>
        <v>Steam Traps- Venturi_HVAC Repair/Rep - No Audit_CI_Lifetime (years)</v>
      </c>
      <c r="B4123" s="303" t="s">
        <v>1381</v>
      </c>
      <c r="C4123" s="304" t="s">
        <v>660</v>
      </c>
      <c r="D4123" s="303" t="s">
        <v>1159</v>
      </c>
      <c r="E4123" s="314" t="s">
        <v>259</v>
      </c>
      <c r="F4123" s="326"/>
      <c r="G4123" s="326">
        <v>20</v>
      </c>
      <c r="H4123" s="305" t="s">
        <v>1382</v>
      </c>
      <c r="I4123" s="305" t="s">
        <v>152</v>
      </c>
      <c r="J4123" s="305" t="s">
        <v>130</v>
      </c>
      <c r="K4123" s="305" t="s">
        <v>2161</v>
      </c>
    </row>
    <row r="4124" spans="1:11" x14ac:dyDescent="0.25">
      <c r="A4124" s="302" t="str">
        <f t="shared" si="106"/>
        <v>Steam Traps- Venturi_HVAC Repair/Rep - No Audit_CI_Incremental Cost</v>
      </c>
      <c r="B4124" s="303" t="s">
        <v>1381</v>
      </c>
      <c r="C4124" s="304" t="s">
        <v>660</v>
      </c>
      <c r="D4124" s="303" t="s">
        <v>1159</v>
      </c>
      <c r="E4124" s="314" t="s">
        <v>260</v>
      </c>
      <c r="F4124" s="326"/>
      <c r="G4124" s="315">
        <v>77</v>
      </c>
      <c r="H4124" s="305" t="s">
        <v>514</v>
      </c>
      <c r="I4124" s="305" t="s">
        <v>152</v>
      </c>
      <c r="J4124" s="305" t="s">
        <v>130</v>
      </c>
      <c r="K4124" s="305" t="s">
        <v>2161</v>
      </c>
    </row>
    <row r="4125" spans="1:11" s="324" customFormat="1" x14ac:dyDescent="0.25">
      <c r="A4125" s="317" t="str">
        <f t="shared" si="106"/>
        <v>Steam Traps- Venturi_HVAC Repair/Rep - No Audit_CI_</v>
      </c>
      <c r="B4125" s="317" t="str">
        <f>B4124</f>
        <v>Steam Traps- Venturi</v>
      </c>
      <c r="C4125" s="332" t="str">
        <f>C4124</f>
        <v>HVAC Repair/Rep - No Audit</v>
      </c>
      <c r="D4125" s="317" t="str">
        <f>D4124</f>
        <v>CI</v>
      </c>
      <c r="E4125" s="320"/>
      <c r="F4125" s="320"/>
      <c r="G4125" s="329"/>
      <c r="H4125" s="320"/>
      <c r="I4125" s="320"/>
      <c r="J4125" s="320"/>
      <c r="K4125" s="320"/>
    </row>
    <row r="4126" spans="1:11" x14ac:dyDescent="0.25">
      <c r="A4126" s="302" t="str">
        <f t="shared" si="106"/>
        <v>Steam Traps- Venturi_HVAC Repair/Rep - Audit_CI_GAL</v>
      </c>
      <c r="B4126" s="303" t="s">
        <v>1381</v>
      </c>
      <c r="C4126" s="304" t="s">
        <v>645</v>
      </c>
      <c r="D4126" s="303" t="s">
        <v>1159</v>
      </c>
      <c r="E4126" s="305" t="s">
        <v>513</v>
      </c>
      <c r="F4126" s="309"/>
      <c r="G4126" s="306">
        <v>0.83</v>
      </c>
      <c r="H4126" s="305" t="s">
        <v>514</v>
      </c>
      <c r="I4126" s="305" t="s">
        <v>152</v>
      </c>
      <c r="J4126" s="305" t="s">
        <v>130</v>
      </c>
      <c r="K4126" s="305" t="s">
        <v>2161</v>
      </c>
    </row>
    <row r="4127" spans="1:11" x14ac:dyDescent="0.25">
      <c r="A4127" s="302" t="str">
        <f t="shared" si="106"/>
        <v>Steam Traps- Venturi_HVAC Repair/Rep - Audit_CI_Hours of Operation</v>
      </c>
      <c r="B4127" s="303" t="s">
        <v>1381</v>
      </c>
      <c r="C4127" s="304" t="s">
        <v>645</v>
      </c>
      <c r="D4127" s="303" t="s">
        <v>1159</v>
      </c>
      <c r="E4127" s="305" t="s">
        <v>460</v>
      </c>
      <c r="F4127" s="309" t="s">
        <v>647</v>
      </c>
      <c r="G4127" s="354">
        <v>4029</v>
      </c>
      <c r="H4127" s="305" t="s">
        <v>1276</v>
      </c>
      <c r="I4127" s="305" t="s">
        <v>152</v>
      </c>
      <c r="J4127" s="305" t="s">
        <v>130</v>
      </c>
      <c r="K4127" s="305" t="s">
        <v>2161</v>
      </c>
    </row>
    <row r="4128" spans="1:11" x14ac:dyDescent="0.25">
      <c r="A4128" s="302" t="str">
        <f t="shared" si="106"/>
        <v>Steam Traps- Venturi_HVAC Repair/Rep - Audit_CI_L</v>
      </c>
      <c r="B4128" s="303" t="s">
        <v>1381</v>
      </c>
      <c r="C4128" s="304" t="s">
        <v>645</v>
      </c>
      <c r="D4128" s="303" t="s">
        <v>1159</v>
      </c>
      <c r="E4128" s="305" t="s">
        <v>437</v>
      </c>
      <c r="F4128" s="309"/>
      <c r="G4128" s="306">
        <v>1</v>
      </c>
      <c r="H4128" s="305" t="s">
        <v>1280</v>
      </c>
      <c r="I4128" s="305" t="s">
        <v>152</v>
      </c>
      <c r="J4128" s="305" t="s">
        <v>130</v>
      </c>
      <c r="K4128" s="305" t="s">
        <v>2161</v>
      </c>
    </row>
    <row r="4129" spans="1:11" x14ac:dyDescent="0.25">
      <c r="A4129" s="302" t="str">
        <f t="shared" si="106"/>
        <v>Steam Traps- Venturi_HVAC Repair/Rep - Audit_CI_Delta_Water_Gallons</v>
      </c>
      <c r="B4129" s="303" t="s">
        <v>1381</v>
      </c>
      <c r="C4129" s="304" t="s">
        <v>645</v>
      </c>
      <c r="D4129" s="303" t="s">
        <v>1159</v>
      </c>
      <c r="E4129" s="305" t="s">
        <v>456</v>
      </c>
      <c r="F4129" s="305"/>
      <c r="G4129" s="307">
        <f>G4126*G4127*G4128</f>
        <v>3344.0699999999997</v>
      </c>
      <c r="H4129" s="305"/>
      <c r="I4129" s="305" t="s">
        <v>152</v>
      </c>
      <c r="J4129" s="305" t="s">
        <v>130</v>
      </c>
      <c r="K4129" s="305" t="s">
        <v>2161</v>
      </c>
    </row>
    <row r="4130" spans="1:11" x14ac:dyDescent="0.25">
      <c r="A4130" s="302" t="str">
        <f t="shared" si="106"/>
        <v>Steam Traps- Venturi_HVAC Repair/Rep - Audit_CI_Conversion</v>
      </c>
      <c r="B4130" s="303" t="s">
        <v>1381</v>
      </c>
      <c r="C4130" s="304" t="s">
        <v>645</v>
      </c>
      <c r="D4130" s="303" t="s">
        <v>1159</v>
      </c>
      <c r="E4130" s="305" t="s">
        <v>284</v>
      </c>
      <c r="F4130" s="305"/>
      <c r="G4130" s="354">
        <v>1000000</v>
      </c>
      <c r="H4130" s="305"/>
      <c r="I4130" s="305" t="s">
        <v>152</v>
      </c>
      <c r="J4130" s="305" t="s">
        <v>130</v>
      </c>
      <c r="K4130" s="305" t="s">
        <v>2161</v>
      </c>
    </row>
    <row r="4131" spans="1:11" x14ac:dyDescent="0.25">
      <c r="A4131" s="302" t="str">
        <f t="shared" si="106"/>
        <v>Steam Traps- Venturi_HVAC Repair/Rep - Audit_CI_E_water_supply</v>
      </c>
      <c r="B4131" s="303" t="s">
        <v>1381</v>
      </c>
      <c r="C4131" s="304" t="s">
        <v>645</v>
      </c>
      <c r="D4131" s="303" t="s">
        <v>1159</v>
      </c>
      <c r="E4131" s="305" t="s">
        <v>457</v>
      </c>
      <c r="F4131" s="305"/>
      <c r="G4131" s="307">
        <v>2571</v>
      </c>
      <c r="H4131" s="305"/>
      <c r="I4131" s="305" t="s">
        <v>152</v>
      </c>
      <c r="J4131" s="305" t="s">
        <v>130</v>
      </c>
      <c r="K4131" s="305" t="s">
        <v>2161</v>
      </c>
    </row>
    <row r="4132" spans="1:11" x14ac:dyDescent="0.25">
      <c r="A4132" s="302" t="str">
        <f t="shared" si="106"/>
        <v>Steam Traps- Venturi_HVAC Repair/Rep - Audit_CI_Delta_kWh_water</v>
      </c>
      <c r="B4132" s="303" t="s">
        <v>1381</v>
      </c>
      <c r="C4132" s="304" t="s">
        <v>645</v>
      </c>
      <c r="D4132" s="303" t="s">
        <v>1159</v>
      </c>
      <c r="E4132" s="305" t="s">
        <v>334</v>
      </c>
      <c r="F4132" s="305"/>
      <c r="G4132" s="307">
        <f>G4129/G4130*G4131</f>
        <v>8.5976039699999998</v>
      </c>
      <c r="H4132" s="305"/>
      <c r="I4132" s="305" t="s">
        <v>152</v>
      </c>
      <c r="J4132" s="305" t="s">
        <v>130</v>
      </c>
      <c r="K4132" s="305" t="s">
        <v>2161</v>
      </c>
    </row>
    <row r="4133" spans="1:11" x14ac:dyDescent="0.25">
      <c r="A4133" s="302" t="str">
        <f t="shared" si="106"/>
        <v>Steam Traps- Venturi_HVAC Repair/Rep - Audit_CI_Sa</v>
      </c>
      <c r="B4133" s="303" t="s">
        <v>1381</v>
      </c>
      <c r="C4133" s="304" t="s">
        <v>645</v>
      </c>
      <c r="D4133" s="303" t="s">
        <v>1159</v>
      </c>
      <c r="E4133" s="305" t="s">
        <v>507</v>
      </c>
      <c r="F4133" s="305"/>
      <c r="G4133" s="401">
        <v>13.8</v>
      </c>
      <c r="H4133" s="340" t="s">
        <v>1278</v>
      </c>
      <c r="I4133" s="305" t="s">
        <v>152</v>
      </c>
      <c r="J4133" s="305" t="s">
        <v>130</v>
      </c>
      <c r="K4133" s="305" t="s">
        <v>2161</v>
      </c>
    </row>
    <row r="4134" spans="1:11" x14ac:dyDescent="0.25">
      <c r="A4134" s="302" t="str">
        <f t="shared" si="106"/>
        <v>Steam Traps- Venturi_HVAC Repair/Rep - Audit_CI_Hv</v>
      </c>
      <c r="B4134" s="303" t="s">
        <v>1381</v>
      </c>
      <c r="C4134" s="304" t="s">
        <v>645</v>
      </c>
      <c r="D4134" s="303" t="s">
        <v>1159</v>
      </c>
      <c r="E4134" s="305" t="s">
        <v>508</v>
      </c>
      <c r="F4134" s="305"/>
      <c r="G4134" s="307">
        <v>951</v>
      </c>
      <c r="H4134" s="305" t="s">
        <v>2008</v>
      </c>
      <c r="I4134" s="305" t="s">
        <v>152</v>
      </c>
      <c r="J4134" s="305" t="s">
        <v>130</v>
      </c>
      <c r="K4134" s="305" t="s">
        <v>2161</v>
      </c>
    </row>
    <row r="4135" spans="1:11" x14ac:dyDescent="0.25">
      <c r="A4135" s="302" t="str">
        <f t="shared" si="106"/>
        <v>Steam Traps- Venturi_HVAC Repair/Rep - Audit_CI_Hs</v>
      </c>
      <c r="B4135" s="303" t="s">
        <v>1381</v>
      </c>
      <c r="C4135" s="304" t="s">
        <v>645</v>
      </c>
      <c r="D4135" s="303" t="s">
        <v>1159</v>
      </c>
      <c r="E4135" s="340" t="s">
        <v>509</v>
      </c>
      <c r="F4135" s="340"/>
      <c r="G4135" s="341">
        <v>1.0009999999999999</v>
      </c>
      <c r="H4135" s="340" t="s">
        <v>652</v>
      </c>
      <c r="I4135" s="305" t="s">
        <v>152</v>
      </c>
      <c r="J4135" s="305" t="s">
        <v>130</v>
      </c>
      <c r="K4135" s="305" t="s">
        <v>2161</v>
      </c>
    </row>
    <row r="4136" spans="1:11" x14ac:dyDescent="0.25">
      <c r="A4136" s="302" t="str">
        <f t="shared" si="106"/>
        <v>Steam Traps- Venturi_HVAC Repair/Rep - Audit_CI_507.89</v>
      </c>
      <c r="B4136" s="303" t="s">
        <v>1381</v>
      </c>
      <c r="C4136" s="304" t="s">
        <v>645</v>
      </c>
      <c r="D4136" s="303" t="s">
        <v>1159</v>
      </c>
      <c r="E4136" s="342">
        <v>507.89</v>
      </c>
      <c r="F4136" s="340"/>
      <c r="G4136" s="341">
        <v>507.89</v>
      </c>
      <c r="H4136" s="340"/>
      <c r="I4136" s="305" t="s">
        <v>152</v>
      </c>
      <c r="J4136" s="305" t="s">
        <v>130</v>
      </c>
      <c r="K4136" s="305" t="s">
        <v>2161</v>
      </c>
    </row>
    <row r="4137" spans="1:11" x14ac:dyDescent="0.25">
      <c r="A4137" s="302" t="str">
        <f t="shared" si="106"/>
        <v>Steam Traps- Venturi_HVAC Repair/Rep - Audit_CI_P1</v>
      </c>
      <c r="B4137" s="303" t="s">
        <v>1381</v>
      </c>
      <c r="C4137" s="304" t="s">
        <v>645</v>
      </c>
      <c r="D4137" s="303" t="s">
        <v>1159</v>
      </c>
      <c r="E4137" s="340" t="s">
        <v>510</v>
      </c>
      <c r="F4137" s="340"/>
      <c r="G4137" s="401">
        <f>11.2+14.696</f>
        <v>25.896000000000001</v>
      </c>
      <c r="H4137" s="340" t="s">
        <v>1279</v>
      </c>
      <c r="I4137" s="305" t="s">
        <v>152</v>
      </c>
      <c r="J4137" s="305" t="s">
        <v>130</v>
      </c>
      <c r="K4137" s="305" t="s">
        <v>2161</v>
      </c>
    </row>
    <row r="4138" spans="1:11" x14ac:dyDescent="0.25">
      <c r="A4138" s="302" t="str">
        <f t="shared" si="106"/>
        <v>Steam Traps- Venturi_HVAC Repair/Rep - Audit_CI_0.0962</v>
      </c>
      <c r="B4138" s="303" t="s">
        <v>1381</v>
      </c>
      <c r="C4138" s="304" t="s">
        <v>645</v>
      </c>
      <c r="D4138" s="303" t="s">
        <v>1159</v>
      </c>
      <c r="E4138" s="340">
        <v>9.6199999999999994E-2</v>
      </c>
      <c r="F4138" s="340"/>
      <c r="G4138" s="343">
        <v>9.6199999999999994E-2</v>
      </c>
      <c r="H4138" s="340"/>
      <c r="I4138" s="305" t="s">
        <v>152</v>
      </c>
      <c r="J4138" s="305" t="s">
        <v>130</v>
      </c>
      <c r="K4138" s="305" t="s">
        <v>2161</v>
      </c>
    </row>
    <row r="4139" spans="1:11" x14ac:dyDescent="0.25">
      <c r="A4139" s="302" t="str">
        <f t="shared" si="106"/>
        <v>Steam Traps- Venturi_HVAC Repair/Rep - Audit_CI_T1</v>
      </c>
      <c r="B4139" s="303" t="s">
        <v>1381</v>
      </c>
      <c r="C4139" s="304" t="s">
        <v>645</v>
      </c>
      <c r="D4139" s="303" t="s">
        <v>1159</v>
      </c>
      <c r="E4139" s="340" t="s">
        <v>511</v>
      </c>
      <c r="F4139" s="340"/>
      <c r="G4139" s="341">
        <f>G4136*(G4137^G4138)</f>
        <v>694.58059570836633</v>
      </c>
      <c r="H4139" s="340" t="s">
        <v>654</v>
      </c>
      <c r="I4139" s="305" t="s">
        <v>152</v>
      </c>
      <c r="J4139" s="305" t="s">
        <v>130</v>
      </c>
      <c r="K4139" s="305" t="s">
        <v>2161</v>
      </c>
    </row>
    <row r="4140" spans="1:11" x14ac:dyDescent="0.25">
      <c r="A4140" s="302" t="str">
        <f t="shared" si="106"/>
        <v>Steam Traps- Venturi_HVAC Repair/Rep - Audit_CI_Tsource</v>
      </c>
      <c r="B4140" s="303" t="s">
        <v>1381</v>
      </c>
      <c r="C4140" s="304" t="s">
        <v>645</v>
      </c>
      <c r="D4140" s="303" t="s">
        <v>1159</v>
      </c>
      <c r="E4140" s="340" t="s">
        <v>512</v>
      </c>
      <c r="F4140" s="340"/>
      <c r="G4140" s="341">
        <v>513.66999999999996</v>
      </c>
      <c r="H4140" s="340" t="s">
        <v>655</v>
      </c>
      <c r="I4140" s="305" t="s">
        <v>152</v>
      </c>
      <c r="J4140" s="305" t="s">
        <v>130</v>
      </c>
      <c r="K4140" s="305" t="s">
        <v>2161</v>
      </c>
    </row>
    <row r="4141" spans="1:11" x14ac:dyDescent="0.25">
      <c r="A4141" s="302" t="str">
        <f t="shared" si="106"/>
        <v>Steam Traps- Venturi_HVAC Repair/Rep - Audit_CI_Hours of Operation</v>
      </c>
      <c r="B4141" s="303" t="s">
        <v>1381</v>
      </c>
      <c r="C4141" s="304" t="s">
        <v>645</v>
      </c>
      <c r="D4141" s="303" t="s">
        <v>1159</v>
      </c>
      <c r="E4141" s="305" t="s">
        <v>460</v>
      </c>
      <c r="F4141" s="309" t="s">
        <v>647</v>
      </c>
      <c r="G4141" s="354">
        <v>4029</v>
      </c>
      <c r="H4141" s="305" t="s">
        <v>1276</v>
      </c>
      <c r="I4141" s="305" t="s">
        <v>152</v>
      </c>
      <c r="J4141" s="305" t="s">
        <v>130</v>
      </c>
      <c r="K4141" s="305" t="s">
        <v>2161</v>
      </c>
    </row>
    <row r="4142" spans="1:11" x14ac:dyDescent="0.25">
      <c r="A4142" s="302" t="str">
        <f t="shared" si="106"/>
        <v>Steam Traps- Venturi_HVAC Repair/Rep - Audit_CI_L</v>
      </c>
      <c r="B4142" s="303" t="s">
        <v>1381</v>
      </c>
      <c r="C4142" s="304" t="s">
        <v>645</v>
      </c>
      <c r="D4142" s="303" t="s">
        <v>1159</v>
      </c>
      <c r="E4142" s="305" t="s">
        <v>437</v>
      </c>
      <c r="F4142" s="309"/>
      <c r="G4142" s="306">
        <v>1</v>
      </c>
      <c r="H4142" s="305" t="s">
        <v>1280</v>
      </c>
      <c r="I4142" s="305" t="s">
        <v>152</v>
      </c>
      <c r="J4142" s="305" t="s">
        <v>130</v>
      </c>
      <c r="K4142" s="305" t="s">
        <v>2161</v>
      </c>
    </row>
    <row r="4143" spans="1:11" x14ac:dyDescent="0.25">
      <c r="A4143" s="302" t="str">
        <f t="shared" si="106"/>
        <v>Steam Traps- Venturi_HVAC Repair/Rep - Audit_CI_Conversion</v>
      </c>
      <c r="B4143" s="303" t="s">
        <v>1381</v>
      </c>
      <c r="C4143" s="304" t="s">
        <v>645</v>
      </c>
      <c r="D4143" s="303" t="s">
        <v>1159</v>
      </c>
      <c r="E4143" s="305" t="s">
        <v>284</v>
      </c>
      <c r="F4143" s="309" t="s">
        <v>622</v>
      </c>
      <c r="G4143" s="325">
        <v>100000</v>
      </c>
      <c r="H4143" s="305"/>
      <c r="I4143" s="305" t="s">
        <v>152</v>
      </c>
      <c r="J4143" s="305" t="s">
        <v>130</v>
      </c>
      <c r="K4143" s="305" t="s">
        <v>2161</v>
      </c>
    </row>
    <row r="4144" spans="1:11" x14ac:dyDescent="0.25">
      <c r="A4144" s="302" t="str">
        <f t="shared" si="106"/>
        <v>Steam Traps- Venturi_HVAC Repair/Rep - Audit_CI_n_B</v>
      </c>
      <c r="B4144" s="303" t="s">
        <v>1381</v>
      </c>
      <c r="C4144" s="304" t="s">
        <v>645</v>
      </c>
      <c r="D4144" s="303" t="s">
        <v>1159</v>
      </c>
      <c r="E4144" s="340" t="s">
        <v>657</v>
      </c>
      <c r="F4144" s="341"/>
      <c r="G4144" s="346">
        <v>0.80700000000000005</v>
      </c>
      <c r="H4144" s="340" t="s">
        <v>665</v>
      </c>
      <c r="I4144" s="305" t="s">
        <v>152</v>
      </c>
      <c r="J4144" s="305" t="s">
        <v>130</v>
      </c>
      <c r="K4144" s="305" t="s">
        <v>2161</v>
      </c>
    </row>
    <row r="4145" spans="1:11" x14ac:dyDescent="0.25">
      <c r="A4145" s="302" t="str">
        <f t="shared" si="106"/>
        <v>Steam Traps- Venturi_HVAC Repair/Rep - Audit_CI_kWh Saved per Unit</v>
      </c>
      <c r="B4145" s="303" t="s">
        <v>1381</v>
      </c>
      <c r="C4145" s="304" t="s">
        <v>645</v>
      </c>
      <c r="D4145" s="303" t="s">
        <v>1159</v>
      </c>
      <c r="E4145" s="314" t="s">
        <v>255</v>
      </c>
      <c r="F4145" s="326"/>
      <c r="G4145" s="315">
        <f>G4132</f>
        <v>8.5976039699999998</v>
      </c>
      <c r="H4145" s="305"/>
      <c r="I4145" s="305" t="s">
        <v>152</v>
      </c>
      <c r="J4145" s="305" t="s">
        <v>130</v>
      </c>
      <c r="K4145" s="305" t="s">
        <v>2161</v>
      </c>
    </row>
    <row r="4146" spans="1:11" x14ac:dyDescent="0.25">
      <c r="A4146" s="302" t="str">
        <f t="shared" si="106"/>
        <v>Steam Traps- Venturi_HVAC Repair/Rep - Audit_CI_Coincident Peak kW Saved per Unit</v>
      </c>
      <c r="B4146" s="303" t="s">
        <v>1381</v>
      </c>
      <c r="C4146" s="304" t="s">
        <v>645</v>
      </c>
      <c r="D4146" s="303" t="s">
        <v>1159</v>
      </c>
      <c r="E4146" s="314" t="s">
        <v>257</v>
      </c>
      <c r="F4146" s="326"/>
      <c r="G4146" s="315">
        <v>0</v>
      </c>
      <c r="H4146" s="305"/>
      <c r="I4146" s="305" t="s">
        <v>152</v>
      </c>
      <c r="J4146" s="305" t="s">
        <v>130</v>
      </c>
      <c r="K4146" s="305" t="s">
        <v>2161</v>
      </c>
    </row>
    <row r="4147" spans="1:11" x14ac:dyDescent="0.25">
      <c r="A4147" s="302" t="str">
        <f t="shared" si="106"/>
        <v>Steam Traps- Venturi_HVAC Repair/Rep - Audit_CI_Therm Saved per Unit</v>
      </c>
      <c r="B4147" s="303" t="s">
        <v>1381</v>
      </c>
      <c r="C4147" s="304" t="s">
        <v>645</v>
      </c>
      <c r="D4147" s="303" t="s">
        <v>1159</v>
      </c>
      <c r="E4147" s="314" t="s">
        <v>326</v>
      </c>
      <c r="F4147" s="326"/>
      <c r="G4147" s="315">
        <f xml:space="preserve"> G4133 * (G4134 + G4135 * (G4139 - G4140)) * G4141 * G4142 / (G4143 * G4144)</f>
        <v>779.98158821323193</v>
      </c>
      <c r="H4147" s="305"/>
      <c r="I4147" s="305" t="s">
        <v>152</v>
      </c>
      <c r="J4147" s="305" t="s">
        <v>130</v>
      </c>
      <c r="K4147" s="305" t="s">
        <v>2161</v>
      </c>
    </row>
    <row r="4148" spans="1:11" x14ac:dyDescent="0.25">
      <c r="A4148" s="302" t="str">
        <f t="shared" si="106"/>
        <v>Steam Traps- Venturi_HVAC Repair/Rep - Audit_CI_Gallons Saved per Unit</v>
      </c>
      <c r="B4148" s="303" t="s">
        <v>1381</v>
      </c>
      <c r="C4148" s="304" t="s">
        <v>645</v>
      </c>
      <c r="D4148" s="303" t="s">
        <v>1159</v>
      </c>
      <c r="E4148" s="314" t="s">
        <v>547</v>
      </c>
      <c r="F4148" s="326"/>
      <c r="G4148" s="315">
        <f>G4129</f>
        <v>3344.0699999999997</v>
      </c>
      <c r="H4148" s="305"/>
      <c r="I4148" s="305" t="s">
        <v>152</v>
      </c>
      <c r="J4148" s="305" t="s">
        <v>130</v>
      </c>
      <c r="K4148" s="305" t="s">
        <v>2161</v>
      </c>
    </row>
    <row r="4149" spans="1:11" x14ac:dyDescent="0.25">
      <c r="A4149" s="302" t="str">
        <f t="shared" si="106"/>
        <v>Steam Traps- Venturi_HVAC Repair/Rep - Audit_CI_Lifetime (years)</v>
      </c>
      <c r="B4149" s="303" t="s">
        <v>1381</v>
      </c>
      <c r="C4149" s="304" t="s">
        <v>645</v>
      </c>
      <c r="D4149" s="303" t="s">
        <v>1159</v>
      </c>
      <c r="E4149" s="314" t="s">
        <v>259</v>
      </c>
      <c r="F4149" s="326"/>
      <c r="G4149" s="326">
        <v>20</v>
      </c>
      <c r="H4149" s="305" t="s">
        <v>1382</v>
      </c>
      <c r="I4149" s="305" t="s">
        <v>152</v>
      </c>
      <c r="J4149" s="305" t="s">
        <v>130</v>
      </c>
      <c r="K4149" s="305" t="s">
        <v>2161</v>
      </c>
    </row>
    <row r="4150" spans="1:11" x14ac:dyDescent="0.25">
      <c r="A4150" s="302" t="str">
        <f t="shared" si="106"/>
        <v>Steam Traps- Venturi_HVAC Repair/Rep - Audit_CI_Incremental Cost</v>
      </c>
      <c r="B4150" s="303" t="s">
        <v>1381</v>
      </c>
      <c r="C4150" s="304" t="s">
        <v>645</v>
      </c>
      <c r="D4150" s="303" t="s">
        <v>1159</v>
      </c>
      <c r="E4150" s="314" t="s">
        <v>260</v>
      </c>
      <c r="F4150" s="326"/>
      <c r="G4150" s="315">
        <v>77</v>
      </c>
      <c r="H4150" s="305" t="s">
        <v>514</v>
      </c>
      <c r="I4150" s="305" t="s">
        <v>152</v>
      </c>
      <c r="J4150" s="305" t="s">
        <v>130</v>
      </c>
      <c r="K4150" s="305" t="s">
        <v>2161</v>
      </c>
    </row>
    <row r="4151" spans="1:11" s="324" customFormat="1" x14ac:dyDescent="0.25">
      <c r="A4151" s="317" t="str">
        <f t="shared" si="106"/>
        <v>Steam Traps- Venturi_HVAC Repair/Rep - Audit_CI_</v>
      </c>
      <c r="B4151" s="317" t="str">
        <f>B4150</f>
        <v>Steam Traps- Venturi</v>
      </c>
      <c r="C4151" s="332" t="str">
        <f>C4150</f>
        <v>HVAC Repair/Rep - Audit</v>
      </c>
      <c r="D4151" s="317" t="str">
        <f>D4150</f>
        <v>CI</v>
      </c>
      <c r="E4151" s="320"/>
      <c r="F4151" s="320"/>
      <c r="G4151" s="329"/>
      <c r="H4151" s="320"/>
      <c r="I4151" s="320"/>
      <c r="J4151" s="320"/>
      <c r="K4151" s="320"/>
    </row>
    <row r="4152" spans="1:11" x14ac:dyDescent="0.25">
      <c r="A4152" s="302" t="str">
        <f t="shared" si="106"/>
        <v>Steam Traps- Venturi_Industrial/Process Audit - psig ≤ 15_CI/SMB_GAL</v>
      </c>
      <c r="B4152" s="303" t="s">
        <v>1381</v>
      </c>
      <c r="C4152" s="304" t="s">
        <v>1383</v>
      </c>
      <c r="D4152" s="303" t="s">
        <v>970</v>
      </c>
      <c r="E4152" s="305" t="s">
        <v>513</v>
      </c>
      <c r="F4152" s="309"/>
      <c r="G4152" s="306">
        <v>0.83</v>
      </c>
      <c r="H4152" s="305" t="s">
        <v>1367</v>
      </c>
      <c r="I4152" s="305" t="s">
        <v>152</v>
      </c>
      <c r="J4152" s="305" t="s">
        <v>130</v>
      </c>
      <c r="K4152" s="305" t="s">
        <v>2161</v>
      </c>
    </row>
    <row r="4153" spans="1:11" x14ac:dyDescent="0.25">
      <c r="A4153" s="302" t="str">
        <f t="shared" si="106"/>
        <v>Steam Traps- Venturi_Industrial/Process Audit - psig ≤ 15_CI/SMB_Hours of Operation</v>
      </c>
      <c r="B4153" s="303" t="s">
        <v>1381</v>
      </c>
      <c r="C4153" s="304" t="s">
        <v>1383</v>
      </c>
      <c r="D4153" s="303" t="s">
        <v>970</v>
      </c>
      <c r="E4153" s="305" t="s">
        <v>460</v>
      </c>
      <c r="F4153" s="309" t="s">
        <v>647</v>
      </c>
      <c r="G4153" s="354">
        <v>8282</v>
      </c>
      <c r="H4153" s="305" t="s">
        <v>1367</v>
      </c>
      <c r="I4153" s="305" t="s">
        <v>152</v>
      </c>
      <c r="J4153" s="305" t="s">
        <v>130</v>
      </c>
      <c r="K4153" s="305" t="s">
        <v>2161</v>
      </c>
    </row>
    <row r="4154" spans="1:11" x14ac:dyDescent="0.25">
      <c r="A4154" s="302" t="str">
        <f t="shared" si="106"/>
        <v>Steam Traps- Venturi_Industrial/Process Audit - psig ≤ 15_CI/SMB_L</v>
      </c>
      <c r="B4154" s="303" t="s">
        <v>1381</v>
      </c>
      <c r="C4154" s="304" t="s">
        <v>1383</v>
      </c>
      <c r="D4154" s="303" t="s">
        <v>970</v>
      </c>
      <c r="E4154" s="305" t="s">
        <v>437</v>
      </c>
      <c r="F4154" s="309"/>
      <c r="G4154" s="306">
        <v>1</v>
      </c>
      <c r="H4154" s="305" t="s">
        <v>1280</v>
      </c>
      <c r="I4154" s="305" t="s">
        <v>152</v>
      </c>
      <c r="J4154" s="305" t="s">
        <v>130</v>
      </c>
      <c r="K4154" s="305" t="s">
        <v>2161</v>
      </c>
    </row>
    <row r="4155" spans="1:11" x14ac:dyDescent="0.25">
      <c r="A4155" s="302" t="str">
        <f t="shared" si="106"/>
        <v>Steam Traps- Venturi_Industrial/Process Audit - psig ≤ 15_CI/SMB_Delta_Water_Gallons</v>
      </c>
      <c r="B4155" s="303" t="s">
        <v>1381</v>
      </c>
      <c r="C4155" s="304" t="s">
        <v>1383</v>
      </c>
      <c r="D4155" s="303" t="s">
        <v>970</v>
      </c>
      <c r="E4155" s="305" t="s">
        <v>456</v>
      </c>
      <c r="F4155" s="305"/>
      <c r="G4155" s="307">
        <f>G4152*G4153*G4154</f>
        <v>6874.0599999999995</v>
      </c>
      <c r="H4155" s="305"/>
      <c r="I4155" s="305" t="s">
        <v>152</v>
      </c>
      <c r="J4155" s="305" t="s">
        <v>130</v>
      </c>
      <c r="K4155" s="305" t="s">
        <v>2161</v>
      </c>
    </row>
    <row r="4156" spans="1:11" x14ac:dyDescent="0.25">
      <c r="A4156" s="302" t="str">
        <f t="shared" si="106"/>
        <v>Steam Traps- Venturi_Industrial/Process Audit - psig ≤ 15_CI/SMB_Conversion</v>
      </c>
      <c r="B4156" s="303" t="s">
        <v>1381</v>
      </c>
      <c r="C4156" s="304" t="s">
        <v>1383</v>
      </c>
      <c r="D4156" s="303" t="s">
        <v>970</v>
      </c>
      <c r="E4156" s="305" t="s">
        <v>284</v>
      </c>
      <c r="F4156" s="305"/>
      <c r="G4156" s="354">
        <v>1000000</v>
      </c>
      <c r="H4156" s="305"/>
      <c r="I4156" s="305" t="s">
        <v>152</v>
      </c>
      <c r="J4156" s="305" t="s">
        <v>130</v>
      </c>
      <c r="K4156" s="305" t="s">
        <v>2161</v>
      </c>
    </row>
    <row r="4157" spans="1:11" x14ac:dyDescent="0.25">
      <c r="A4157" s="302" t="str">
        <f t="shared" si="106"/>
        <v>Steam Traps- Venturi_Industrial/Process Audit - psig ≤ 15_CI/SMB_E_water_supply</v>
      </c>
      <c r="B4157" s="303" t="s">
        <v>1381</v>
      </c>
      <c r="C4157" s="304" t="s">
        <v>1383</v>
      </c>
      <c r="D4157" s="303" t="s">
        <v>970</v>
      </c>
      <c r="E4157" s="305" t="s">
        <v>457</v>
      </c>
      <c r="F4157" s="305"/>
      <c r="G4157" s="307">
        <v>2571</v>
      </c>
      <c r="H4157" s="305"/>
      <c r="I4157" s="305" t="s">
        <v>152</v>
      </c>
      <c r="J4157" s="305" t="s">
        <v>130</v>
      </c>
      <c r="K4157" s="305" t="s">
        <v>2161</v>
      </c>
    </row>
    <row r="4158" spans="1:11" x14ac:dyDescent="0.25">
      <c r="A4158" s="302" t="str">
        <f t="shared" si="106"/>
        <v>Steam Traps- Venturi_Industrial/Process Audit - psig ≤ 15_CI/SMB_Delta_kWh_water</v>
      </c>
      <c r="B4158" s="303" t="s">
        <v>1381</v>
      </c>
      <c r="C4158" s="304" t="s">
        <v>1383</v>
      </c>
      <c r="D4158" s="303" t="s">
        <v>970</v>
      </c>
      <c r="E4158" s="305" t="s">
        <v>334</v>
      </c>
      <c r="F4158" s="305"/>
      <c r="G4158" s="307">
        <f>G4155/G4156*G4157</f>
        <v>17.673208259999999</v>
      </c>
      <c r="H4158" s="305"/>
      <c r="I4158" s="305" t="s">
        <v>152</v>
      </c>
      <c r="J4158" s="305" t="s">
        <v>130</v>
      </c>
      <c r="K4158" s="305" t="s">
        <v>2161</v>
      </c>
    </row>
    <row r="4159" spans="1:11" x14ac:dyDescent="0.25">
      <c r="A4159" s="302" t="str">
        <f t="shared" si="106"/>
        <v>Steam Traps- Venturi_Industrial/Process Audit - psig ≤ 15_CI/SMB_Sa</v>
      </c>
      <c r="B4159" s="303" t="s">
        <v>1381</v>
      </c>
      <c r="C4159" s="304" t="s">
        <v>1383</v>
      </c>
      <c r="D4159" s="303" t="s">
        <v>970</v>
      </c>
      <c r="E4159" s="305" t="s">
        <v>507</v>
      </c>
      <c r="F4159" s="305"/>
      <c r="G4159" s="401">
        <v>13.8</v>
      </c>
      <c r="H4159" s="305" t="s">
        <v>1367</v>
      </c>
      <c r="I4159" s="305" t="s">
        <v>152</v>
      </c>
      <c r="J4159" s="305" t="s">
        <v>130</v>
      </c>
      <c r="K4159" s="305" t="s">
        <v>2161</v>
      </c>
    </row>
    <row r="4160" spans="1:11" x14ac:dyDescent="0.25">
      <c r="A4160" s="302" t="str">
        <f t="shared" si="106"/>
        <v>Steam Traps- Venturi_Industrial/Process Audit - psig ≤ 15_CI/SMB_Hv</v>
      </c>
      <c r="B4160" s="303" t="s">
        <v>1381</v>
      </c>
      <c r="C4160" s="304" t="s">
        <v>1383</v>
      </c>
      <c r="D4160" s="303" t="s">
        <v>970</v>
      </c>
      <c r="E4160" s="305" t="s">
        <v>508</v>
      </c>
      <c r="F4160" s="305"/>
      <c r="G4160" s="307">
        <v>951</v>
      </c>
      <c r="H4160" s="305" t="s">
        <v>1367</v>
      </c>
      <c r="I4160" s="305" t="s">
        <v>152</v>
      </c>
      <c r="J4160" s="305" t="s">
        <v>130</v>
      </c>
      <c r="K4160" s="305" t="s">
        <v>2161</v>
      </c>
    </row>
    <row r="4161" spans="1:11" x14ac:dyDescent="0.25">
      <c r="A4161" s="302" t="str">
        <f t="shared" si="106"/>
        <v>Steam Traps- Venturi_Industrial/Process Audit - psig ≤ 15_CI/SMB_Hs</v>
      </c>
      <c r="B4161" s="303" t="s">
        <v>1381</v>
      </c>
      <c r="C4161" s="304" t="s">
        <v>1383</v>
      </c>
      <c r="D4161" s="303" t="s">
        <v>970</v>
      </c>
      <c r="E4161" s="340" t="s">
        <v>509</v>
      </c>
      <c r="F4161" s="340"/>
      <c r="G4161" s="341">
        <v>1.0009999999999999</v>
      </c>
      <c r="H4161" s="340" t="s">
        <v>652</v>
      </c>
      <c r="I4161" s="305" t="s">
        <v>152</v>
      </c>
      <c r="J4161" s="305" t="s">
        <v>130</v>
      </c>
      <c r="K4161" s="305" t="s">
        <v>2161</v>
      </c>
    </row>
    <row r="4162" spans="1:11" x14ac:dyDescent="0.25">
      <c r="A4162" s="302" t="str">
        <f t="shared" si="106"/>
        <v>Steam Traps- Venturi_Industrial/Process Audit - psig ≤ 15_CI/SMB_507.89</v>
      </c>
      <c r="B4162" s="303" t="s">
        <v>1381</v>
      </c>
      <c r="C4162" s="304" t="s">
        <v>1383</v>
      </c>
      <c r="D4162" s="303" t="s">
        <v>970</v>
      </c>
      <c r="E4162" s="342">
        <v>507.89</v>
      </c>
      <c r="F4162" s="340"/>
      <c r="G4162" s="341">
        <v>507.89</v>
      </c>
      <c r="H4162" s="340"/>
      <c r="I4162" s="305" t="s">
        <v>152</v>
      </c>
      <c r="J4162" s="305" t="s">
        <v>130</v>
      </c>
      <c r="K4162" s="305" t="s">
        <v>2161</v>
      </c>
    </row>
    <row r="4163" spans="1:11" x14ac:dyDescent="0.25">
      <c r="A4163" s="302" t="str">
        <f t="shared" si="106"/>
        <v>Steam Traps- Venturi_Industrial/Process Audit - psig ≤ 15_CI/SMB_P1</v>
      </c>
      <c r="B4163" s="303" t="s">
        <v>1381</v>
      </c>
      <c r="C4163" s="304" t="s">
        <v>1383</v>
      </c>
      <c r="D4163" s="303" t="s">
        <v>970</v>
      </c>
      <c r="E4163" s="340" t="s">
        <v>510</v>
      </c>
      <c r="F4163" s="340"/>
      <c r="G4163" s="401">
        <f>11.2+14.696</f>
        <v>25.896000000000001</v>
      </c>
      <c r="H4163" s="340" t="s">
        <v>1368</v>
      </c>
      <c r="I4163" s="305" t="s">
        <v>152</v>
      </c>
      <c r="J4163" s="305" t="s">
        <v>130</v>
      </c>
      <c r="K4163" s="305" t="s">
        <v>2161</v>
      </c>
    </row>
    <row r="4164" spans="1:11" x14ac:dyDescent="0.25">
      <c r="A4164" s="302" t="str">
        <f t="shared" si="106"/>
        <v>Steam Traps- Venturi_Industrial/Process Audit - psig ≤ 15_CI/SMB_0.0962</v>
      </c>
      <c r="B4164" s="303" t="s">
        <v>1381</v>
      </c>
      <c r="C4164" s="304" t="s">
        <v>1383</v>
      </c>
      <c r="D4164" s="303" t="s">
        <v>970</v>
      </c>
      <c r="E4164" s="340">
        <v>9.6199999999999994E-2</v>
      </c>
      <c r="F4164" s="340"/>
      <c r="G4164" s="343">
        <v>9.6199999999999994E-2</v>
      </c>
      <c r="H4164" s="340"/>
      <c r="I4164" s="305" t="s">
        <v>152</v>
      </c>
      <c r="J4164" s="305" t="s">
        <v>130</v>
      </c>
      <c r="K4164" s="305" t="s">
        <v>2161</v>
      </c>
    </row>
    <row r="4165" spans="1:11" x14ac:dyDescent="0.25">
      <c r="A4165" s="302" t="str">
        <f t="shared" si="106"/>
        <v>Steam Traps- Venturi_Industrial/Process Audit - psig ≤ 15_CI/SMB_T1</v>
      </c>
      <c r="B4165" s="303" t="s">
        <v>1381</v>
      </c>
      <c r="C4165" s="304" t="s">
        <v>1383</v>
      </c>
      <c r="D4165" s="303" t="s">
        <v>970</v>
      </c>
      <c r="E4165" s="340" t="s">
        <v>511</v>
      </c>
      <c r="F4165" s="340"/>
      <c r="G4165" s="341">
        <f>G4162*(G4163^G4164)</f>
        <v>694.58059570836633</v>
      </c>
      <c r="H4165" s="340" t="s">
        <v>654</v>
      </c>
      <c r="I4165" s="305" t="s">
        <v>152</v>
      </c>
      <c r="J4165" s="305" t="s">
        <v>130</v>
      </c>
      <c r="K4165" s="305" t="s">
        <v>2161</v>
      </c>
    </row>
    <row r="4166" spans="1:11" x14ac:dyDescent="0.25">
      <c r="A4166" s="302" t="str">
        <f t="shared" si="106"/>
        <v>Steam Traps- Venturi_Industrial/Process Audit - psig ≤ 15_CI/SMB_Tsource</v>
      </c>
      <c r="B4166" s="303" t="s">
        <v>1381</v>
      </c>
      <c r="C4166" s="304" t="s">
        <v>1383</v>
      </c>
      <c r="D4166" s="303" t="s">
        <v>970</v>
      </c>
      <c r="E4166" s="340" t="s">
        <v>512</v>
      </c>
      <c r="F4166" s="340"/>
      <c r="G4166" s="341">
        <v>513.66999999999996</v>
      </c>
      <c r="H4166" s="340" t="s">
        <v>655</v>
      </c>
      <c r="I4166" s="305" t="s">
        <v>152</v>
      </c>
      <c r="J4166" s="305" t="s">
        <v>130</v>
      </c>
      <c r="K4166" s="305" t="s">
        <v>2161</v>
      </c>
    </row>
    <row r="4167" spans="1:11" x14ac:dyDescent="0.25">
      <c r="A4167" s="302" t="str">
        <f t="shared" si="106"/>
        <v>Steam Traps- Venturi_Industrial/Process Audit - psig ≤ 15_CI/SMB_Hours of Operation</v>
      </c>
      <c r="B4167" s="303" t="s">
        <v>1381</v>
      </c>
      <c r="C4167" s="304" t="s">
        <v>1383</v>
      </c>
      <c r="D4167" s="303" t="s">
        <v>970</v>
      </c>
      <c r="E4167" s="305" t="s">
        <v>460</v>
      </c>
      <c r="F4167" s="309" t="s">
        <v>647</v>
      </c>
      <c r="G4167" s="354">
        <v>8282</v>
      </c>
      <c r="H4167" s="305" t="s">
        <v>1367</v>
      </c>
      <c r="I4167" s="305" t="s">
        <v>152</v>
      </c>
      <c r="J4167" s="305" t="s">
        <v>130</v>
      </c>
      <c r="K4167" s="305" t="s">
        <v>2161</v>
      </c>
    </row>
    <row r="4168" spans="1:11" x14ac:dyDescent="0.25">
      <c r="A4168" s="302" t="str">
        <f t="shared" si="106"/>
        <v>Steam Traps- Venturi_Industrial/Process Audit - psig ≤ 15_CI/SMB_L</v>
      </c>
      <c r="B4168" s="303" t="s">
        <v>1381</v>
      </c>
      <c r="C4168" s="304" t="s">
        <v>1383</v>
      </c>
      <c r="D4168" s="303" t="s">
        <v>970</v>
      </c>
      <c r="E4168" s="305" t="s">
        <v>437</v>
      </c>
      <c r="F4168" s="309"/>
      <c r="G4168" s="306">
        <v>1</v>
      </c>
      <c r="H4168" s="305" t="s">
        <v>1280</v>
      </c>
      <c r="I4168" s="305" t="s">
        <v>152</v>
      </c>
      <c r="J4168" s="305" t="s">
        <v>130</v>
      </c>
      <c r="K4168" s="305" t="s">
        <v>2161</v>
      </c>
    </row>
    <row r="4169" spans="1:11" x14ac:dyDescent="0.25">
      <c r="A4169" s="302" t="str">
        <f t="shared" si="106"/>
        <v>Steam Traps- Venturi_Industrial/Process Audit - psig ≤ 15_CI/SMB_Conversion</v>
      </c>
      <c r="B4169" s="303" t="s">
        <v>1381</v>
      </c>
      <c r="C4169" s="304" t="s">
        <v>1383</v>
      </c>
      <c r="D4169" s="303" t="s">
        <v>970</v>
      </c>
      <c r="E4169" s="305" t="s">
        <v>284</v>
      </c>
      <c r="F4169" s="309" t="s">
        <v>622</v>
      </c>
      <c r="G4169" s="325">
        <v>100000</v>
      </c>
      <c r="H4169" s="305"/>
      <c r="I4169" s="305" t="s">
        <v>152</v>
      </c>
      <c r="J4169" s="305" t="s">
        <v>130</v>
      </c>
      <c r="K4169" s="305" t="s">
        <v>2161</v>
      </c>
    </row>
    <row r="4170" spans="1:11" x14ac:dyDescent="0.25">
      <c r="A4170" s="302" t="str">
        <f t="shared" si="106"/>
        <v>Steam Traps- Venturi_Industrial/Process Audit - psig ≤ 15_CI/SMB_n_B</v>
      </c>
      <c r="B4170" s="303" t="s">
        <v>1381</v>
      </c>
      <c r="C4170" s="304" t="s">
        <v>1383</v>
      </c>
      <c r="D4170" s="303" t="s">
        <v>970</v>
      </c>
      <c r="E4170" s="340" t="s">
        <v>657</v>
      </c>
      <c r="F4170" s="341"/>
      <c r="G4170" s="346">
        <v>0.80700000000000005</v>
      </c>
      <c r="H4170" s="340" t="s">
        <v>665</v>
      </c>
      <c r="I4170" s="305" t="s">
        <v>152</v>
      </c>
      <c r="J4170" s="305" t="s">
        <v>130</v>
      </c>
      <c r="K4170" s="305" t="s">
        <v>2161</v>
      </c>
    </row>
    <row r="4171" spans="1:11" x14ac:dyDescent="0.25">
      <c r="A4171" s="302" t="str">
        <f t="shared" si="106"/>
        <v>Steam Traps- Venturi_Industrial/Process Audit - psig ≤ 15_CI/SMB_kWh Saved per Unit</v>
      </c>
      <c r="B4171" s="303" t="s">
        <v>1381</v>
      </c>
      <c r="C4171" s="304" t="s">
        <v>1383</v>
      </c>
      <c r="D4171" s="303" t="s">
        <v>970</v>
      </c>
      <c r="E4171" s="314" t="s">
        <v>255</v>
      </c>
      <c r="F4171" s="326"/>
      <c r="G4171" s="315">
        <f>G4158</f>
        <v>17.673208259999999</v>
      </c>
      <c r="H4171" s="305"/>
      <c r="I4171" s="305" t="s">
        <v>152</v>
      </c>
      <c r="J4171" s="305" t="s">
        <v>130</v>
      </c>
      <c r="K4171" s="305" t="s">
        <v>2161</v>
      </c>
    </row>
    <row r="4172" spans="1:11" x14ac:dyDescent="0.25">
      <c r="A4172" s="302" t="str">
        <f t="shared" si="106"/>
        <v>Steam Traps- Venturi_Industrial/Process Audit - psig ≤ 15_CI/SMB_Coincident Peak kW Saved per Unit</v>
      </c>
      <c r="B4172" s="303" t="s">
        <v>1381</v>
      </c>
      <c r="C4172" s="304" t="s">
        <v>1383</v>
      </c>
      <c r="D4172" s="303" t="s">
        <v>970</v>
      </c>
      <c r="E4172" s="314" t="s">
        <v>257</v>
      </c>
      <c r="F4172" s="326"/>
      <c r="G4172" s="315">
        <v>0</v>
      </c>
      <c r="H4172" s="305"/>
      <c r="I4172" s="305" t="s">
        <v>152</v>
      </c>
      <c r="J4172" s="305" t="s">
        <v>130</v>
      </c>
      <c r="K4172" s="305" t="s">
        <v>2161</v>
      </c>
    </row>
    <row r="4173" spans="1:11" x14ac:dyDescent="0.25">
      <c r="A4173" s="302" t="str">
        <f t="shared" si="106"/>
        <v>Steam Traps- Venturi_Industrial/Process Audit - psig ≤ 15_CI/SMB_Therm Saved per Unit</v>
      </c>
      <c r="B4173" s="303" t="s">
        <v>1381</v>
      </c>
      <c r="C4173" s="304" t="s">
        <v>1383</v>
      </c>
      <c r="D4173" s="303" t="s">
        <v>970</v>
      </c>
      <c r="E4173" s="314" t="s">
        <v>326</v>
      </c>
      <c r="F4173" s="326"/>
      <c r="G4173" s="315">
        <f xml:space="preserve"> G4159 * (G4160 + G4161 * (G4165 - G4166)) * G4167 * G4168 / (G4169 * G4170)</f>
        <v>1603.3277521921041</v>
      </c>
      <c r="H4173" s="305"/>
      <c r="I4173" s="305" t="s">
        <v>152</v>
      </c>
      <c r="J4173" s="305" t="s">
        <v>130</v>
      </c>
      <c r="K4173" s="305" t="s">
        <v>2161</v>
      </c>
    </row>
    <row r="4174" spans="1:11" x14ac:dyDescent="0.25">
      <c r="A4174" s="302" t="str">
        <f t="shared" si="106"/>
        <v>Steam Traps- Venturi_Industrial/Process Audit - psig ≤ 15_CI/SMB_Gallons Saved per Unit</v>
      </c>
      <c r="B4174" s="303" t="s">
        <v>1381</v>
      </c>
      <c r="C4174" s="304" t="s">
        <v>1383</v>
      </c>
      <c r="D4174" s="303" t="s">
        <v>970</v>
      </c>
      <c r="E4174" s="314" t="s">
        <v>547</v>
      </c>
      <c r="F4174" s="326"/>
      <c r="G4174" s="315">
        <f>G4155</f>
        <v>6874.0599999999995</v>
      </c>
      <c r="H4174" s="305"/>
      <c r="I4174" s="305" t="s">
        <v>152</v>
      </c>
      <c r="J4174" s="305" t="s">
        <v>130</v>
      </c>
      <c r="K4174" s="305" t="s">
        <v>2161</v>
      </c>
    </row>
    <row r="4175" spans="1:11" x14ac:dyDescent="0.25">
      <c r="A4175" s="302" t="str">
        <f t="shared" si="106"/>
        <v>Steam Traps- Venturi_Industrial/Process Audit - psig ≤ 15_CI/SMB_Lifetime (years)</v>
      </c>
      <c r="B4175" s="303" t="s">
        <v>1381</v>
      </c>
      <c r="C4175" s="304" t="s">
        <v>1383</v>
      </c>
      <c r="D4175" s="303" t="s">
        <v>970</v>
      </c>
      <c r="E4175" s="314" t="s">
        <v>259</v>
      </c>
      <c r="F4175" s="326"/>
      <c r="G4175" s="326">
        <v>20</v>
      </c>
      <c r="H4175" s="305" t="s">
        <v>1382</v>
      </c>
      <c r="I4175" s="305" t="s">
        <v>152</v>
      </c>
      <c r="J4175" s="305" t="s">
        <v>130</v>
      </c>
      <c r="K4175" s="305" t="s">
        <v>2161</v>
      </c>
    </row>
    <row r="4176" spans="1:11" x14ac:dyDescent="0.25">
      <c r="A4176" s="302" t="str">
        <f t="shared" ref="A4176:A4239" si="107">B4176&amp;"_"&amp;C4176&amp;"_"&amp;D4176&amp;"_"&amp;E4176</f>
        <v>Steam Traps- Venturi_Industrial/Process Audit - psig ≤ 15_CI/SMB_Incremental Cost</v>
      </c>
      <c r="B4176" s="303" t="s">
        <v>1381</v>
      </c>
      <c r="C4176" s="304" t="s">
        <v>1383</v>
      </c>
      <c r="D4176" s="303" t="s">
        <v>970</v>
      </c>
      <c r="E4176" s="314" t="s">
        <v>260</v>
      </c>
      <c r="F4176" s="326"/>
      <c r="G4176" s="315">
        <v>77</v>
      </c>
      <c r="H4176" s="305" t="s">
        <v>1369</v>
      </c>
      <c r="I4176" s="305" t="s">
        <v>152</v>
      </c>
      <c r="J4176" s="305" t="s">
        <v>130</v>
      </c>
      <c r="K4176" s="305" t="s">
        <v>2161</v>
      </c>
    </row>
    <row r="4177" spans="1:11" x14ac:dyDescent="0.25">
      <c r="A4177" s="317" t="str">
        <f t="shared" si="107"/>
        <v>Steam Traps- Venturi_Industrial/Process Audit - psig ≤ 15_CI/SMB_</v>
      </c>
      <c r="B4177" s="317" t="str">
        <f>B4176</f>
        <v>Steam Traps- Venturi</v>
      </c>
      <c r="C4177" s="332" t="str">
        <f>C4176</f>
        <v>Industrial/Process Audit - psig ≤ 15</v>
      </c>
      <c r="D4177" s="317" t="str">
        <f>D4176</f>
        <v>CI/SMB</v>
      </c>
      <c r="E4177" s="320"/>
      <c r="F4177" s="320"/>
      <c r="G4177" s="329"/>
      <c r="H4177" s="320"/>
      <c r="I4177" s="320"/>
      <c r="J4177" s="320"/>
      <c r="K4177" s="320"/>
    </row>
    <row r="4178" spans="1:11" x14ac:dyDescent="0.25">
      <c r="A4178" s="302" t="str">
        <f t="shared" si="107"/>
        <v>Steam Traps- Venturi_Industrial/Process Audit - 15 &lt; psig &lt; 30_CI/SMB_GAL</v>
      </c>
      <c r="B4178" s="303" t="s">
        <v>1381</v>
      </c>
      <c r="C4178" s="304" t="s">
        <v>1384</v>
      </c>
      <c r="D4178" s="303" t="s">
        <v>970</v>
      </c>
      <c r="E4178" s="305" t="s">
        <v>513</v>
      </c>
      <c r="F4178" s="309"/>
      <c r="G4178" s="306">
        <v>0.78</v>
      </c>
      <c r="H4178" s="305" t="s">
        <v>1370</v>
      </c>
      <c r="I4178" s="305" t="s">
        <v>152</v>
      </c>
      <c r="J4178" s="305" t="s">
        <v>130</v>
      </c>
      <c r="K4178" s="305" t="s">
        <v>2161</v>
      </c>
    </row>
    <row r="4179" spans="1:11" x14ac:dyDescent="0.25">
      <c r="A4179" s="302" t="str">
        <f t="shared" si="107"/>
        <v>Steam Traps- Venturi_Industrial/Process Audit - 15 &lt; psig &lt; 30_CI/SMB_Hours of Operation</v>
      </c>
      <c r="B4179" s="303" t="s">
        <v>1381</v>
      </c>
      <c r="C4179" s="304" t="s">
        <v>1384</v>
      </c>
      <c r="D4179" s="303" t="s">
        <v>970</v>
      </c>
      <c r="E4179" s="305" t="s">
        <v>460</v>
      </c>
      <c r="F4179" s="309" t="s">
        <v>647</v>
      </c>
      <c r="G4179" s="354">
        <v>8282</v>
      </c>
      <c r="H4179" s="305" t="s">
        <v>1370</v>
      </c>
      <c r="I4179" s="305" t="s">
        <v>152</v>
      </c>
      <c r="J4179" s="305" t="s">
        <v>130</v>
      </c>
      <c r="K4179" s="305" t="s">
        <v>2161</v>
      </c>
    </row>
    <row r="4180" spans="1:11" x14ac:dyDescent="0.25">
      <c r="A4180" s="302" t="str">
        <f t="shared" si="107"/>
        <v>Steam Traps- Venturi_Industrial/Process Audit - 15 &lt; psig &lt; 30_CI/SMB_L</v>
      </c>
      <c r="B4180" s="303" t="s">
        <v>1381</v>
      </c>
      <c r="C4180" s="304" t="s">
        <v>1384</v>
      </c>
      <c r="D4180" s="303" t="s">
        <v>970</v>
      </c>
      <c r="E4180" s="305" t="s">
        <v>437</v>
      </c>
      <c r="F4180" s="309"/>
      <c r="G4180" s="306">
        <v>1</v>
      </c>
      <c r="H4180" s="305" t="s">
        <v>1280</v>
      </c>
      <c r="I4180" s="305" t="s">
        <v>152</v>
      </c>
      <c r="J4180" s="305" t="s">
        <v>130</v>
      </c>
      <c r="K4180" s="305" t="s">
        <v>2161</v>
      </c>
    </row>
    <row r="4181" spans="1:11" x14ac:dyDescent="0.25">
      <c r="A4181" s="302" t="str">
        <f t="shared" si="107"/>
        <v>Steam Traps- Venturi_Industrial/Process Audit - 15 &lt; psig &lt; 30_CI/SMB_Delta_Water_Gallons</v>
      </c>
      <c r="B4181" s="303" t="s">
        <v>1381</v>
      </c>
      <c r="C4181" s="304" t="s">
        <v>1384</v>
      </c>
      <c r="D4181" s="303" t="s">
        <v>970</v>
      </c>
      <c r="E4181" s="305" t="s">
        <v>456</v>
      </c>
      <c r="F4181" s="305"/>
      <c r="G4181" s="307">
        <f>G4178*G4179*G4180</f>
        <v>6459.96</v>
      </c>
      <c r="H4181" s="305"/>
      <c r="I4181" s="305" t="s">
        <v>152</v>
      </c>
      <c r="J4181" s="305" t="s">
        <v>130</v>
      </c>
      <c r="K4181" s="305" t="s">
        <v>2161</v>
      </c>
    </row>
    <row r="4182" spans="1:11" x14ac:dyDescent="0.25">
      <c r="A4182" s="302" t="str">
        <f t="shared" si="107"/>
        <v>Steam Traps- Venturi_Industrial/Process Audit - 15 &lt; psig &lt; 30_CI/SMB_Conversion</v>
      </c>
      <c r="B4182" s="303" t="s">
        <v>1381</v>
      </c>
      <c r="C4182" s="304" t="s">
        <v>1384</v>
      </c>
      <c r="D4182" s="303" t="s">
        <v>970</v>
      </c>
      <c r="E4182" s="305" t="s">
        <v>284</v>
      </c>
      <c r="F4182" s="305"/>
      <c r="G4182" s="354">
        <v>1000000</v>
      </c>
      <c r="H4182" s="305"/>
      <c r="I4182" s="305" t="s">
        <v>152</v>
      </c>
      <c r="J4182" s="305" t="s">
        <v>130</v>
      </c>
      <c r="K4182" s="305" t="s">
        <v>2161</v>
      </c>
    </row>
    <row r="4183" spans="1:11" x14ac:dyDescent="0.25">
      <c r="A4183" s="302" t="str">
        <f t="shared" si="107"/>
        <v>Steam Traps- Venturi_Industrial/Process Audit - 15 &lt; psig &lt; 30_CI/SMB_E_water_supply</v>
      </c>
      <c r="B4183" s="303" t="s">
        <v>1381</v>
      </c>
      <c r="C4183" s="304" t="s">
        <v>1384</v>
      </c>
      <c r="D4183" s="303" t="s">
        <v>970</v>
      </c>
      <c r="E4183" s="305" t="s">
        <v>457</v>
      </c>
      <c r="F4183" s="305"/>
      <c r="G4183" s="307">
        <v>2571</v>
      </c>
      <c r="H4183" s="305"/>
      <c r="I4183" s="305" t="s">
        <v>152</v>
      </c>
      <c r="J4183" s="305" t="s">
        <v>130</v>
      </c>
      <c r="K4183" s="305" t="s">
        <v>2161</v>
      </c>
    </row>
    <row r="4184" spans="1:11" x14ac:dyDescent="0.25">
      <c r="A4184" s="302" t="str">
        <f t="shared" si="107"/>
        <v>Steam Traps- Venturi_Industrial/Process Audit - 15 &lt; psig &lt; 30_CI/SMB_Delta_kWh_water</v>
      </c>
      <c r="B4184" s="303" t="s">
        <v>1381</v>
      </c>
      <c r="C4184" s="304" t="s">
        <v>1384</v>
      </c>
      <c r="D4184" s="303" t="s">
        <v>970</v>
      </c>
      <c r="E4184" s="305" t="s">
        <v>334</v>
      </c>
      <c r="F4184" s="305"/>
      <c r="G4184" s="307">
        <f>G4181/G4182*G4183</f>
        <v>16.60855716</v>
      </c>
      <c r="H4184" s="305"/>
      <c r="I4184" s="305" t="s">
        <v>152</v>
      </c>
      <c r="J4184" s="305" t="s">
        <v>130</v>
      </c>
      <c r="K4184" s="305" t="s">
        <v>2161</v>
      </c>
    </row>
    <row r="4185" spans="1:11" x14ac:dyDescent="0.25">
      <c r="A4185" s="302" t="str">
        <f t="shared" si="107"/>
        <v>Steam Traps- Venturi_Industrial/Process Audit - 15 &lt; psig &lt; 30_CI/SMB_Sa</v>
      </c>
      <c r="B4185" s="303" t="s">
        <v>1381</v>
      </c>
      <c r="C4185" s="304" t="s">
        <v>1384</v>
      </c>
      <c r="D4185" s="303" t="s">
        <v>970</v>
      </c>
      <c r="E4185" s="305" t="s">
        <v>507</v>
      </c>
      <c r="F4185" s="305"/>
      <c r="G4185" s="307">
        <v>6.5</v>
      </c>
      <c r="H4185" s="305" t="s">
        <v>1370</v>
      </c>
      <c r="I4185" s="305" t="s">
        <v>152</v>
      </c>
      <c r="J4185" s="305" t="s">
        <v>130</v>
      </c>
      <c r="K4185" s="305" t="s">
        <v>2161</v>
      </c>
    </row>
    <row r="4186" spans="1:11" x14ac:dyDescent="0.25">
      <c r="A4186" s="302" t="str">
        <f t="shared" si="107"/>
        <v>Steam Traps- Venturi_Industrial/Process Audit - 15 &lt; psig &lt; 30_CI/SMB_Hv</v>
      </c>
      <c r="B4186" s="303" t="s">
        <v>1381</v>
      </c>
      <c r="C4186" s="304" t="s">
        <v>1384</v>
      </c>
      <c r="D4186" s="303" t="s">
        <v>970</v>
      </c>
      <c r="E4186" s="305" t="s">
        <v>508</v>
      </c>
      <c r="F4186" s="305"/>
      <c r="G4186" s="307">
        <v>944</v>
      </c>
      <c r="H4186" s="305" t="s">
        <v>1370</v>
      </c>
      <c r="I4186" s="305" t="s">
        <v>152</v>
      </c>
      <c r="J4186" s="305" t="s">
        <v>130</v>
      </c>
      <c r="K4186" s="305" t="s">
        <v>2161</v>
      </c>
    </row>
    <row r="4187" spans="1:11" x14ac:dyDescent="0.25">
      <c r="A4187" s="302" t="str">
        <f t="shared" si="107"/>
        <v>Steam Traps- Venturi_Industrial/Process Audit - 15 &lt; psig &lt; 30_CI/SMB_Hs</v>
      </c>
      <c r="B4187" s="303" t="s">
        <v>1381</v>
      </c>
      <c r="C4187" s="304" t="s">
        <v>1384</v>
      </c>
      <c r="D4187" s="303" t="s">
        <v>970</v>
      </c>
      <c r="E4187" s="340" t="s">
        <v>509</v>
      </c>
      <c r="F4187" s="340"/>
      <c r="G4187" s="341">
        <v>1.0009999999999999</v>
      </c>
      <c r="H4187" s="340" t="s">
        <v>652</v>
      </c>
      <c r="I4187" s="305" t="s">
        <v>152</v>
      </c>
      <c r="J4187" s="305" t="s">
        <v>130</v>
      </c>
      <c r="K4187" s="305" t="s">
        <v>2161</v>
      </c>
    </row>
    <row r="4188" spans="1:11" x14ac:dyDescent="0.25">
      <c r="A4188" s="302" t="str">
        <f t="shared" si="107"/>
        <v>Steam Traps- Venturi_Industrial/Process Audit - 15 &lt; psig &lt; 30_CI/SMB_507.89</v>
      </c>
      <c r="B4188" s="303" t="s">
        <v>1381</v>
      </c>
      <c r="C4188" s="304" t="s">
        <v>1384</v>
      </c>
      <c r="D4188" s="303" t="s">
        <v>970</v>
      </c>
      <c r="E4188" s="342">
        <v>507.89</v>
      </c>
      <c r="F4188" s="340"/>
      <c r="G4188" s="341">
        <v>507.89</v>
      </c>
      <c r="H4188" s="340"/>
      <c r="I4188" s="305" t="s">
        <v>152</v>
      </c>
      <c r="J4188" s="305" t="s">
        <v>130</v>
      </c>
      <c r="K4188" s="305" t="s">
        <v>2161</v>
      </c>
    </row>
    <row r="4189" spans="1:11" x14ac:dyDescent="0.25">
      <c r="A4189" s="302" t="str">
        <f t="shared" si="107"/>
        <v>Steam Traps- Venturi_Industrial/Process Audit - 15 &lt; psig &lt; 30_CI/SMB_P1</v>
      </c>
      <c r="B4189" s="303" t="s">
        <v>1381</v>
      </c>
      <c r="C4189" s="304" t="s">
        <v>1384</v>
      </c>
      <c r="D4189" s="303" t="s">
        <v>970</v>
      </c>
      <c r="E4189" s="340" t="s">
        <v>510</v>
      </c>
      <c r="F4189" s="340"/>
      <c r="G4189" s="341">
        <f>16+14.696</f>
        <v>30.695999999999998</v>
      </c>
      <c r="H4189" s="340" t="s">
        <v>1371</v>
      </c>
      <c r="I4189" s="305" t="s">
        <v>152</v>
      </c>
      <c r="J4189" s="305" t="s">
        <v>130</v>
      </c>
      <c r="K4189" s="305" t="s">
        <v>2161</v>
      </c>
    </row>
    <row r="4190" spans="1:11" x14ac:dyDescent="0.25">
      <c r="A4190" s="302" t="str">
        <f t="shared" si="107"/>
        <v>Steam Traps- Venturi_Industrial/Process Audit - 15 &lt; psig &lt; 30_CI/SMB_0.0962</v>
      </c>
      <c r="B4190" s="303" t="s">
        <v>1381</v>
      </c>
      <c r="C4190" s="304" t="s">
        <v>1384</v>
      </c>
      <c r="D4190" s="303" t="s">
        <v>970</v>
      </c>
      <c r="E4190" s="340">
        <v>9.6199999999999994E-2</v>
      </c>
      <c r="F4190" s="340"/>
      <c r="G4190" s="343">
        <v>9.6199999999999994E-2</v>
      </c>
      <c r="H4190" s="340"/>
      <c r="I4190" s="305" t="s">
        <v>152</v>
      </c>
      <c r="J4190" s="305" t="s">
        <v>130</v>
      </c>
      <c r="K4190" s="305" t="s">
        <v>2161</v>
      </c>
    </row>
    <row r="4191" spans="1:11" x14ac:dyDescent="0.25">
      <c r="A4191" s="302" t="str">
        <f t="shared" si="107"/>
        <v>Steam Traps- Venturi_Industrial/Process Audit - 15 &lt; psig &lt; 30_CI/SMB_T1</v>
      </c>
      <c r="B4191" s="303" t="s">
        <v>1381</v>
      </c>
      <c r="C4191" s="304" t="s">
        <v>1384</v>
      </c>
      <c r="D4191" s="303" t="s">
        <v>970</v>
      </c>
      <c r="E4191" s="340" t="s">
        <v>511</v>
      </c>
      <c r="F4191" s="340"/>
      <c r="G4191" s="341">
        <f>G4188*(G4189^G4190)</f>
        <v>706.03613651692331</v>
      </c>
      <c r="H4191" s="340" t="s">
        <v>654</v>
      </c>
      <c r="I4191" s="305" t="s">
        <v>152</v>
      </c>
      <c r="J4191" s="305" t="s">
        <v>130</v>
      </c>
      <c r="K4191" s="305" t="s">
        <v>2161</v>
      </c>
    </row>
    <row r="4192" spans="1:11" x14ac:dyDescent="0.25">
      <c r="A4192" s="302" t="str">
        <f t="shared" si="107"/>
        <v>Steam Traps- Venturi_Industrial/Process Audit - 15 &lt; psig &lt; 30_CI/SMB_Tsource</v>
      </c>
      <c r="B4192" s="303" t="s">
        <v>1381</v>
      </c>
      <c r="C4192" s="304" t="s">
        <v>1384</v>
      </c>
      <c r="D4192" s="303" t="s">
        <v>970</v>
      </c>
      <c r="E4192" s="340" t="s">
        <v>512</v>
      </c>
      <c r="F4192" s="340"/>
      <c r="G4192" s="341">
        <v>513.66999999999996</v>
      </c>
      <c r="H4192" s="340" t="s">
        <v>655</v>
      </c>
      <c r="I4192" s="305" t="s">
        <v>152</v>
      </c>
      <c r="J4192" s="305" t="s">
        <v>130</v>
      </c>
      <c r="K4192" s="305" t="s">
        <v>2161</v>
      </c>
    </row>
    <row r="4193" spans="1:11" x14ac:dyDescent="0.25">
      <c r="A4193" s="302" t="str">
        <f t="shared" si="107"/>
        <v>Steam Traps- Venturi_Industrial/Process Audit - 15 &lt; psig &lt; 30_CI/SMB_Hours of Operation</v>
      </c>
      <c r="B4193" s="303" t="s">
        <v>1381</v>
      </c>
      <c r="C4193" s="304" t="s">
        <v>1384</v>
      </c>
      <c r="D4193" s="303" t="s">
        <v>970</v>
      </c>
      <c r="E4193" s="305" t="s">
        <v>460</v>
      </c>
      <c r="F4193" s="309" t="s">
        <v>647</v>
      </c>
      <c r="G4193" s="354">
        <v>8282</v>
      </c>
      <c r="H4193" s="305" t="s">
        <v>1370</v>
      </c>
      <c r="I4193" s="305" t="s">
        <v>152</v>
      </c>
      <c r="J4193" s="305" t="s">
        <v>130</v>
      </c>
      <c r="K4193" s="305" t="s">
        <v>2161</v>
      </c>
    </row>
    <row r="4194" spans="1:11" x14ac:dyDescent="0.25">
      <c r="A4194" s="302" t="str">
        <f t="shared" si="107"/>
        <v>Steam Traps- Venturi_Industrial/Process Audit - 15 &lt; psig &lt; 30_CI/SMB_L</v>
      </c>
      <c r="B4194" s="303" t="s">
        <v>1381</v>
      </c>
      <c r="C4194" s="304" t="s">
        <v>1384</v>
      </c>
      <c r="D4194" s="303" t="s">
        <v>970</v>
      </c>
      <c r="E4194" s="305" t="s">
        <v>437</v>
      </c>
      <c r="F4194" s="309"/>
      <c r="G4194" s="306">
        <v>1</v>
      </c>
      <c r="H4194" s="305" t="s">
        <v>1280</v>
      </c>
      <c r="I4194" s="305" t="s">
        <v>152</v>
      </c>
      <c r="J4194" s="305" t="s">
        <v>130</v>
      </c>
      <c r="K4194" s="305" t="s">
        <v>2161</v>
      </c>
    </row>
    <row r="4195" spans="1:11" x14ac:dyDescent="0.25">
      <c r="A4195" s="302" t="str">
        <f t="shared" si="107"/>
        <v>Steam Traps- Venturi_Industrial/Process Audit - 15 &lt; psig &lt; 30_CI/SMB_Conversion</v>
      </c>
      <c r="B4195" s="303" t="s">
        <v>1381</v>
      </c>
      <c r="C4195" s="304" t="s">
        <v>1384</v>
      </c>
      <c r="D4195" s="303" t="s">
        <v>970</v>
      </c>
      <c r="E4195" s="305" t="s">
        <v>284</v>
      </c>
      <c r="F4195" s="309" t="s">
        <v>622</v>
      </c>
      <c r="G4195" s="325">
        <v>100000</v>
      </c>
      <c r="H4195" s="305"/>
      <c r="I4195" s="305" t="s">
        <v>152</v>
      </c>
      <c r="J4195" s="305" t="s">
        <v>130</v>
      </c>
      <c r="K4195" s="305" t="s">
        <v>2161</v>
      </c>
    </row>
    <row r="4196" spans="1:11" x14ac:dyDescent="0.25">
      <c r="A4196" s="302" t="str">
        <f t="shared" si="107"/>
        <v>Steam Traps- Venturi_Industrial/Process Audit - 15 &lt; psig &lt; 30_CI/SMB_n_B</v>
      </c>
      <c r="B4196" s="303" t="s">
        <v>1381</v>
      </c>
      <c r="C4196" s="304" t="s">
        <v>1384</v>
      </c>
      <c r="D4196" s="303" t="s">
        <v>970</v>
      </c>
      <c r="E4196" s="340" t="s">
        <v>657</v>
      </c>
      <c r="F4196" s="341"/>
      <c r="G4196" s="346">
        <v>0.80700000000000005</v>
      </c>
      <c r="H4196" s="340" t="s">
        <v>665</v>
      </c>
      <c r="I4196" s="305" t="s">
        <v>152</v>
      </c>
      <c r="J4196" s="305" t="s">
        <v>130</v>
      </c>
      <c r="K4196" s="305" t="s">
        <v>2161</v>
      </c>
    </row>
    <row r="4197" spans="1:11" x14ac:dyDescent="0.25">
      <c r="A4197" s="302" t="str">
        <f t="shared" si="107"/>
        <v>Steam Traps- Venturi_Industrial/Process Audit - 15 &lt; psig &lt; 30_CI/SMB_kWh Saved per Unit</v>
      </c>
      <c r="B4197" s="303" t="s">
        <v>1381</v>
      </c>
      <c r="C4197" s="304" t="s">
        <v>1384</v>
      </c>
      <c r="D4197" s="303" t="s">
        <v>970</v>
      </c>
      <c r="E4197" s="314" t="s">
        <v>255</v>
      </c>
      <c r="F4197" s="326"/>
      <c r="G4197" s="315">
        <f>G4184</f>
        <v>16.60855716</v>
      </c>
      <c r="H4197" s="305"/>
      <c r="I4197" s="305" t="s">
        <v>152</v>
      </c>
      <c r="J4197" s="305" t="s">
        <v>130</v>
      </c>
      <c r="K4197" s="305" t="s">
        <v>2161</v>
      </c>
    </row>
    <row r="4198" spans="1:11" x14ac:dyDescent="0.25">
      <c r="A4198" s="302" t="str">
        <f t="shared" si="107"/>
        <v>Steam Traps- Venturi_Industrial/Process Audit - 15 &lt; psig &lt; 30_CI/SMB_Coincident Peak kW Saved per Unit</v>
      </c>
      <c r="B4198" s="303" t="s">
        <v>1381</v>
      </c>
      <c r="C4198" s="304" t="s">
        <v>1384</v>
      </c>
      <c r="D4198" s="303" t="s">
        <v>970</v>
      </c>
      <c r="E4198" s="314" t="s">
        <v>257</v>
      </c>
      <c r="F4198" s="326"/>
      <c r="G4198" s="315">
        <v>0</v>
      </c>
      <c r="H4198" s="305"/>
      <c r="I4198" s="305" t="s">
        <v>152</v>
      </c>
      <c r="J4198" s="305" t="s">
        <v>130</v>
      </c>
      <c r="K4198" s="305" t="s">
        <v>2161</v>
      </c>
    </row>
    <row r="4199" spans="1:11" x14ac:dyDescent="0.25">
      <c r="A4199" s="302" t="str">
        <f t="shared" si="107"/>
        <v>Steam Traps- Venturi_Industrial/Process Audit - 15 &lt; psig &lt; 30_CI/SMB_Therm Saved per Unit</v>
      </c>
      <c r="B4199" s="303" t="s">
        <v>1381</v>
      </c>
      <c r="C4199" s="304" t="s">
        <v>1384</v>
      </c>
      <c r="D4199" s="303" t="s">
        <v>970</v>
      </c>
      <c r="E4199" s="314" t="s">
        <v>326</v>
      </c>
      <c r="F4199" s="326"/>
      <c r="G4199" s="315">
        <f xml:space="preserve"> G4185 * (G4186 + G4187 * (G4191 - G4192)) * G4193 * G4194 / (G4195 * G4196)</f>
        <v>758.17043213559668</v>
      </c>
      <c r="H4199" s="305"/>
      <c r="I4199" s="305" t="s">
        <v>152</v>
      </c>
      <c r="J4199" s="305" t="s">
        <v>130</v>
      </c>
      <c r="K4199" s="305" t="s">
        <v>2161</v>
      </c>
    </row>
    <row r="4200" spans="1:11" x14ac:dyDescent="0.25">
      <c r="A4200" s="302" t="str">
        <f t="shared" si="107"/>
        <v>Steam Traps- Venturi_Industrial/Process Audit - 15 &lt; psig &lt; 30_CI/SMB_Gallons Saved per Unit</v>
      </c>
      <c r="B4200" s="303" t="s">
        <v>1381</v>
      </c>
      <c r="C4200" s="304" t="s">
        <v>1384</v>
      </c>
      <c r="D4200" s="303" t="s">
        <v>970</v>
      </c>
      <c r="E4200" s="314" t="s">
        <v>547</v>
      </c>
      <c r="F4200" s="326"/>
      <c r="G4200" s="315">
        <f>G4181</f>
        <v>6459.96</v>
      </c>
      <c r="H4200" s="305"/>
      <c r="I4200" s="305" t="s">
        <v>152</v>
      </c>
      <c r="J4200" s="305" t="s">
        <v>130</v>
      </c>
      <c r="K4200" s="305" t="s">
        <v>2161</v>
      </c>
    </row>
    <row r="4201" spans="1:11" x14ac:dyDescent="0.25">
      <c r="A4201" s="302" t="str">
        <f t="shared" si="107"/>
        <v>Steam Traps- Venturi_Industrial/Process Audit - 15 &lt; psig &lt; 30_CI/SMB_Lifetime (years)</v>
      </c>
      <c r="B4201" s="303" t="s">
        <v>1381</v>
      </c>
      <c r="C4201" s="304" t="s">
        <v>1384</v>
      </c>
      <c r="D4201" s="303" t="s">
        <v>970</v>
      </c>
      <c r="E4201" s="314" t="s">
        <v>259</v>
      </c>
      <c r="F4201" s="326"/>
      <c r="G4201" s="326">
        <v>20</v>
      </c>
      <c r="H4201" s="305" t="s">
        <v>1382</v>
      </c>
      <c r="I4201" s="305" t="s">
        <v>152</v>
      </c>
      <c r="J4201" s="305" t="s">
        <v>130</v>
      </c>
      <c r="K4201" s="305" t="s">
        <v>2161</v>
      </c>
    </row>
    <row r="4202" spans="1:11" x14ac:dyDescent="0.25">
      <c r="A4202" s="302" t="str">
        <f t="shared" si="107"/>
        <v>Steam Traps- Venturi_Industrial/Process Audit - 15 &lt; psig &lt; 30_CI/SMB_Incremental Cost</v>
      </c>
      <c r="B4202" s="303" t="s">
        <v>1381</v>
      </c>
      <c r="C4202" s="304" t="s">
        <v>1384</v>
      </c>
      <c r="D4202" s="303" t="s">
        <v>970</v>
      </c>
      <c r="E4202" s="314" t="s">
        <v>260</v>
      </c>
      <c r="F4202" s="326"/>
      <c r="G4202" s="315">
        <v>180</v>
      </c>
      <c r="H4202" s="305" t="s">
        <v>1370</v>
      </c>
      <c r="I4202" s="305" t="s">
        <v>152</v>
      </c>
      <c r="J4202" s="305" t="s">
        <v>130</v>
      </c>
      <c r="K4202" s="305" t="s">
        <v>2161</v>
      </c>
    </row>
    <row r="4203" spans="1:11" x14ac:dyDescent="0.25">
      <c r="A4203" s="317" t="str">
        <f t="shared" si="107"/>
        <v>Steam Traps- Venturi_Industrial/Process Audit - 15 &lt; psig &lt; 30_CI/SMB_</v>
      </c>
      <c r="B4203" s="317" t="str">
        <f>B4202</f>
        <v>Steam Traps- Venturi</v>
      </c>
      <c r="C4203" s="332" t="str">
        <f>C4202</f>
        <v>Industrial/Process Audit - 15 &lt; psig &lt; 30</v>
      </c>
      <c r="D4203" s="317" t="str">
        <f>D4202</f>
        <v>CI/SMB</v>
      </c>
      <c r="E4203" s="320"/>
      <c r="F4203" s="320"/>
      <c r="G4203" s="329"/>
      <c r="H4203" s="320"/>
      <c r="I4203" s="320"/>
      <c r="J4203" s="320"/>
      <c r="K4203" s="320"/>
    </row>
    <row r="4204" spans="1:11" x14ac:dyDescent="0.25">
      <c r="A4204" s="302" t="str">
        <f t="shared" si="107"/>
        <v>Steam Traps- Venturi_Industrial/Process Audit - 30 ≤ psig &lt; 75_CI/SMB_GAL</v>
      </c>
      <c r="B4204" s="303" t="s">
        <v>1381</v>
      </c>
      <c r="C4204" s="304" t="s">
        <v>1385</v>
      </c>
      <c r="D4204" s="303" t="s">
        <v>970</v>
      </c>
      <c r="E4204" s="305" t="s">
        <v>513</v>
      </c>
      <c r="F4204" s="309"/>
      <c r="G4204" s="306">
        <v>2.81</v>
      </c>
      <c r="H4204" s="305" t="s">
        <v>230</v>
      </c>
      <c r="I4204" s="305" t="s">
        <v>152</v>
      </c>
      <c r="J4204" s="305" t="s">
        <v>130</v>
      </c>
      <c r="K4204" s="305" t="s">
        <v>2161</v>
      </c>
    </row>
    <row r="4205" spans="1:11" x14ac:dyDescent="0.25">
      <c r="A4205" s="302" t="str">
        <f t="shared" si="107"/>
        <v>Steam Traps- Venturi_Industrial/Process Audit - 30 ≤ psig &lt; 75_CI/SMB_Hours of Operation</v>
      </c>
      <c r="B4205" s="303" t="s">
        <v>1381</v>
      </c>
      <c r="C4205" s="304" t="s">
        <v>1385</v>
      </c>
      <c r="D4205" s="303" t="s">
        <v>970</v>
      </c>
      <c r="E4205" s="305" t="s">
        <v>460</v>
      </c>
      <c r="F4205" s="309" t="s">
        <v>647</v>
      </c>
      <c r="G4205" s="354">
        <v>8282</v>
      </c>
      <c r="H4205" s="305" t="s">
        <v>230</v>
      </c>
      <c r="I4205" s="305" t="s">
        <v>152</v>
      </c>
      <c r="J4205" s="305" t="s">
        <v>130</v>
      </c>
      <c r="K4205" s="305" t="s">
        <v>2161</v>
      </c>
    </row>
    <row r="4206" spans="1:11" x14ac:dyDescent="0.25">
      <c r="A4206" s="302" t="str">
        <f t="shared" si="107"/>
        <v>Steam Traps- Venturi_Industrial/Process Audit - 30 ≤ psig &lt; 75_CI/SMB_L</v>
      </c>
      <c r="B4206" s="303" t="s">
        <v>1381</v>
      </c>
      <c r="C4206" s="304" t="s">
        <v>1385</v>
      </c>
      <c r="D4206" s="303" t="s">
        <v>970</v>
      </c>
      <c r="E4206" s="305" t="s">
        <v>437</v>
      </c>
      <c r="F4206" s="309"/>
      <c r="G4206" s="306">
        <v>1</v>
      </c>
      <c r="H4206" s="305" t="s">
        <v>1280</v>
      </c>
      <c r="I4206" s="305" t="s">
        <v>152</v>
      </c>
      <c r="J4206" s="305" t="s">
        <v>130</v>
      </c>
      <c r="K4206" s="305" t="s">
        <v>2161</v>
      </c>
    </row>
    <row r="4207" spans="1:11" x14ac:dyDescent="0.25">
      <c r="A4207" s="302" t="str">
        <f t="shared" si="107"/>
        <v>Steam Traps- Venturi_Industrial/Process Audit - 30 ≤ psig &lt; 75_CI/SMB_Delta_Water_Gallons</v>
      </c>
      <c r="B4207" s="303" t="s">
        <v>1381</v>
      </c>
      <c r="C4207" s="304" t="s">
        <v>1385</v>
      </c>
      <c r="D4207" s="303" t="s">
        <v>970</v>
      </c>
      <c r="E4207" s="305" t="s">
        <v>456</v>
      </c>
      <c r="F4207" s="305"/>
      <c r="G4207" s="307">
        <f>G4204*G4205*G4206</f>
        <v>23272.420000000002</v>
      </c>
      <c r="H4207" s="305"/>
      <c r="I4207" s="305" t="s">
        <v>152</v>
      </c>
      <c r="J4207" s="305" t="s">
        <v>130</v>
      </c>
      <c r="K4207" s="305" t="s">
        <v>2161</v>
      </c>
    </row>
    <row r="4208" spans="1:11" x14ac:dyDescent="0.25">
      <c r="A4208" s="302" t="str">
        <f t="shared" si="107"/>
        <v>Steam Traps- Venturi_Industrial/Process Audit - 30 ≤ psig &lt; 75_CI/SMB_Conversion</v>
      </c>
      <c r="B4208" s="303" t="s">
        <v>1381</v>
      </c>
      <c r="C4208" s="304" t="s">
        <v>1385</v>
      </c>
      <c r="D4208" s="303" t="s">
        <v>970</v>
      </c>
      <c r="E4208" s="305" t="s">
        <v>284</v>
      </c>
      <c r="F4208" s="305"/>
      <c r="G4208" s="354">
        <v>1000000</v>
      </c>
      <c r="H4208" s="305"/>
      <c r="I4208" s="305" t="s">
        <v>152</v>
      </c>
      <c r="J4208" s="305" t="s">
        <v>130</v>
      </c>
      <c r="K4208" s="305" t="s">
        <v>2161</v>
      </c>
    </row>
    <row r="4209" spans="1:11" x14ac:dyDescent="0.25">
      <c r="A4209" s="302" t="str">
        <f t="shared" si="107"/>
        <v>Steam Traps- Venturi_Industrial/Process Audit - 30 ≤ psig &lt; 75_CI/SMB_E_water_supply</v>
      </c>
      <c r="B4209" s="303" t="s">
        <v>1381</v>
      </c>
      <c r="C4209" s="304" t="s">
        <v>1385</v>
      </c>
      <c r="D4209" s="303" t="s">
        <v>970</v>
      </c>
      <c r="E4209" s="305" t="s">
        <v>457</v>
      </c>
      <c r="F4209" s="305"/>
      <c r="G4209" s="307">
        <v>2571</v>
      </c>
      <c r="H4209" s="305"/>
      <c r="I4209" s="305" t="s">
        <v>152</v>
      </c>
      <c r="J4209" s="305" t="s">
        <v>130</v>
      </c>
      <c r="K4209" s="305" t="s">
        <v>2161</v>
      </c>
    </row>
    <row r="4210" spans="1:11" x14ac:dyDescent="0.25">
      <c r="A4210" s="302" t="str">
        <f t="shared" si="107"/>
        <v>Steam Traps- Venturi_Industrial/Process Audit - 30 ≤ psig &lt; 75_CI/SMB_Delta_kWh_water</v>
      </c>
      <c r="B4210" s="303" t="s">
        <v>1381</v>
      </c>
      <c r="C4210" s="304" t="s">
        <v>1385</v>
      </c>
      <c r="D4210" s="303" t="s">
        <v>970</v>
      </c>
      <c r="E4210" s="305" t="s">
        <v>334</v>
      </c>
      <c r="F4210" s="305"/>
      <c r="G4210" s="307">
        <f>G4207/G4208*G4209</f>
        <v>59.833391820000003</v>
      </c>
      <c r="H4210" s="305"/>
      <c r="I4210" s="305" t="s">
        <v>152</v>
      </c>
      <c r="J4210" s="305" t="s">
        <v>130</v>
      </c>
      <c r="K4210" s="305" t="s">
        <v>2161</v>
      </c>
    </row>
    <row r="4211" spans="1:11" x14ac:dyDescent="0.25">
      <c r="A4211" s="302" t="str">
        <f t="shared" si="107"/>
        <v>Steam Traps- Venturi_Industrial/Process Audit - 30 ≤ psig &lt; 75_CI/SMB_Sa</v>
      </c>
      <c r="B4211" s="303" t="s">
        <v>1381</v>
      </c>
      <c r="C4211" s="304" t="s">
        <v>1385</v>
      </c>
      <c r="D4211" s="303" t="s">
        <v>970</v>
      </c>
      <c r="E4211" s="305" t="s">
        <v>507</v>
      </c>
      <c r="F4211" s="305"/>
      <c r="G4211" s="307">
        <v>23.4</v>
      </c>
      <c r="H4211" s="305" t="s">
        <v>230</v>
      </c>
      <c r="I4211" s="305" t="s">
        <v>152</v>
      </c>
      <c r="J4211" s="305" t="s">
        <v>130</v>
      </c>
      <c r="K4211" s="305" t="s">
        <v>2161</v>
      </c>
    </row>
    <row r="4212" spans="1:11" x14ac:dyDescent="0.25">
      <c r="A4212" s="302" t="str">
        <f t="shared" si="107"/>
        <v>Steam Traps- Venturi_Industrial/Process Audit - 30 ≤ psig &lt; 75_CI/SMB_Hv</v>
      </c>
      <c r="B4212" s="303" t="s">
        <v>1381</v>
      </c>
      <c r="C4212" s="304" t="s">
        <v>1385</v>
      </c>
      <c r="D4212" s="303" t="s">
        <v>970</v>
      </c>
      <c r="E4212" s="305" t="s">
        <v>508</v>
      </c>
      <c r="F4212" s="305"/>
      <c r="G4212" s="307">
        <v>915</v>
      </c>
      <c r="H4212" s="305" t="s">
        <v>230</v>
      </c>
      <c r="I4212" s="305" t="s">
        <v>152</v>
      </c>
      <c r="J4212" s="305" t="s">
        <v>130</v>
      </c>
      <c r="K4212" s="305" t="s">
        <v>2161</v>
      </c>
    </row>
    <row r="4213" spans="1:11" x14ac:dyDescent="0.25">
      <c r="A4213" s="302" t="str">
        <f t="shared" si="107"/>
        <v>Steam Traps- Venturi_Industrial/Process Audit - 30 ≤ psig &lt; 75_CI/SMB_Hs</v>
      </c>
      <c r="B4213" s="303" t="s">
        <v>1381</v>
      </c>
      <c r="C4213" s="304" t="s">
        <v>1385</v>
      </c>
      <c r="D4213" s="303" t="s">
        <v>970</v>
      </c>
      <c r="E4213" s="340" t="s">
        <v>509</v>
      </c>
      <c r="F4213" s="340"/>
      <c r="G4213" s="341">
        <v>1.0009999999999999</v>
      </c>
      <c r="H4213" s="340" t="s">
        <v>652</v>
      </c>
      <c r="I4213" s="305" t="s">
        <v>152</v>
      </c>
      <c r="J4213" s="305" t="s">
        <v>130</v>
      </c>
      <c r="K4213" s="305" t="s">
        <v>2161</v>
      </c>
    </row>
    <row r="4214" spans="1:11" x14ac:dyDescent="0.25">
      <c r="A4214" s="302" t="str">
        <f t="shared" si="107"/>
        <v>Steam Traps- Venturi_Industrial/Process Audit - 30 ≤ psig &lt; 75_CI/SMB_507.89</v>
      </c>
      <c r="B4214" s="303" t="s">
        <v>1381</v>
      </c>
      <c r="C4214" s="304" t="s">
        <v>1385</v>
      </c>
      <c r="D4214" s="303" t="s">
        <v>970</v>
      </c>
      <c r="E4214" s="342">
        <v>507.89</v>
      </c>
      <c r="F4214" s="340"/>
      <c r="G4214" s="341">
        <v>507.89</v>
      </c>
      <c r="H4214" s="340"/>
      <c r="I4214" s="305" t="s">
        <v>152</v>
      </c>
      <c r="J4214" s="305" t="s">
        <v>130</v>
      </c>
      <c r="K4214" s="305" t="s">
        <v>2161</v>
      </c>
    </row>
    <row r="4215" spans="1:11" x14ac:dyDescent="0.25">
      <c r="A4215" s="302" t="str">
        <f t="shared" si="107"/>
        <v>Steam Traps- Venturi_Industrial/Process Audit - 30 ≤ psig &lt; 75_CI/SMB_P1</v>
      </c>
      <c r="B4215" s="303" t="s">
        <v>1381</v>
      </c>
      <c r="C4215" s="304" t="s">
        <v>1385</v>
      </c>
      <c r="D4215" s="303" t="s">
        <v>970</v>
      </c>
      <c r="E4215" s="340" t="s">
        <v>510</v>
      </c>
      <c r="F4215" s="340"/>
      <c r="G4215" s="341">
        <f>47+14.696</f>
        <v>61.695999999999998</v>
      </c>
      <c r="H4215" s="340" t="s">
        <v>1372</v>
      </c>
      <c r="I4215" s="305" t="s">
        <v>152</v>
      </c>
      <c r="J4215" s="305" t="s">
        <v>130</v>
      </c>
      <c r="K4215" s="305" t="s">
        <v>2161</v>
      </c>
    </row>
    <row r="4216" spans="1:11" x14ac:dyDescent="0.25">
      <c r="A4216" s="302" t="str">
        <f t="shared" si="107"/>
        <v>Steam Traps- Venturi_Industrial/Process Audit - 30 ≤ psig &lt; 75_CI/SMB_0.0962</v>
      </c>
      <c r="B4216" s="303" t="s">
        <v>1381</v>
      </c>
      <c r="C4216" s="304" t="s">
        <v>1385</v>
      </c>
      <c r="D4216" s="303" t="s">
        <v>970</v>
      </c>
      <c r="E4216" s="340">
        <v>9.6199999999999994E-2</v>
      </c>
      <c r="F4216" s="340"/>
      <c r="G4216" s="343">
        <v>9.6199999999999994E-2</v>
      </c>
      <c r="H4216" s="340"/>
      <c r="I4216" s="305" t="s">
        <v>152</v>
      </c>
      <c r="J4216" s="305" t="s">
        <v>130</v>
      </c>
      <c r="K4216" s="305" t="s">
        <v>2161</v>
      </c>
    </row>
    <row r="4217" spans="1:11" x14ac:dyDescent="0.25">
      <c r="A4217" s="302" t="str">
        <f t="shared" si="107"/>
        <v>Steam Traps- Venturi_Industrial/Process Audit - 30 ≤ psig &lt; 75_CI/SMB_T1</v>
      </c>
      <c r="B4217" s="303" t="s">
        <v>1381</v>
      </c>
      <c r="C4217" s="304" t="s">
        <v>1385</v>
      </c>
      <c r="D4217" s="303" t="s">
        <v>970</v>
      </c>
      <c r="E4217" s="340" t="s">
        <v>511</v>
      </c>
      <c r="F4217" s="340"/>
      <c r="G4217" s="341">
        <f>G4214*(G4215^G4216)</f>
        <v>755.07898979450931</v>
      </c>
      <c r="H4217" s="340" t="s">
        <v>654</v>
      </c>
      <c r="I4217" s="305" t="s">
        <v>152</v>
      </c>
      <c r="J4217" s="305" t="s">
        <v>130</v>
      </c>
      <c r="K4217" s="305" t="s">
        <v>2161</v>
      </c>
    </row>
    <row r="4218" spans="1:11" x14ac:dyDescent="0.25">
      <c r="A4218" s="302" t="str">
        <f t="shared" si="107"/>
        <v>Steam Traps- Venturi_Industrial/Process Audit - 30 ≤ psig &lt; 75_CI/SMB_Tsource</v>
      </c>
      <c r="B4218" s="303" t="s">
        <v>1381</v>
      </c>
      <c r="C4218" s="304" t="s">
        <v>1385</v>
      </c>
      <c r="D4218" s="303" t="s">
        <v>970</v>
      </c>
      <c r="E4218" s="340" t="s">
        <v>512</v>
      </c>
      <c r="F4218" s="340"/>
      <c r="G4218" s="341">
        <v>513.66999999999996</v>
      </c>
      <c r="H4218" s="340" t="s">
        <v>655</v>
      </c>
      <c r="I4218" s="305" t="s">
        <v>152</v>
      </c>
      <c r="J4218" s="305" t="s">
        <v>130</v>
      </c>
      <c r="K4218" s="305" t="s">
        <v>2161</v>
      </c>
    </row>
    <row r="4219" spans="1:11" x14ac:dyDescent="0.25">
      <c r="A4219" s="302" t="str">
        <f t="shared" si="107"/>
        <v>Steam Traps- Venturi_Industrial/Process Audit - 30 ≤ psig &lt; 75_CI/SMB_Hours of Operation</v>
      </c>
      <c r="B4219" s="303" t="s">
        <v>1381</v>
      </c>
      <c r="C4219" s="304" t="s">
        <v>1385</v>
      </c>
      <c r="D4219" s="303" t="s">
        <v>970</v>
      </c>
      <c r="E4219" s="305" t="s">
        <v>460</v>
      </c>
      <c r="F4219" s="309" t="s">
        <v>647</v>
      </c>
      <c r="G4219" s="354">
        <v>8282</v>
      </c>
      <c r="H4219" s="305" t="s">
        <v>230</v>
      </c>
      <c r="I4219" s="305" t="s">
        <v>152</v>
      </c>
      <c r="J4219" s="305" t="s">
        <v>130</v>
      </c>
      <c r="K4219" s="305" t="s">
        <v>2161</v>
      </c>
    </row>
    <row r="4220" spans="1:11" x14ac:dyDescent="0.25">
      <c r="A4220" s="302" t="str">
        <f t="shared" si="107"/>
        <v>Steam Traps- Venturi_Industrial/Process Audit - 30 ≤ psig &lt; 75_CI/SMB_L</v>
      </c>
      <c r="B4220" s="303" t="s">
        <v>1381</v>
      </c>
      <c r="C4220" s="304" t="s">
        <v>1385</v>
      </c>
      <c r="D4220" s="303" t="s">
        <v>970</v>
      </c>
      <c r="E4220" s="305" t="s">
        <v>437</v>
      </c>
      <c r="F4220" s="309"/>
      <c r="G4220" s="306">
        <v>1</v>
      </c>
      <c r="H4220" s="305" t="s">
        <v>1280</v>
      </c>
      <c r="I4220" s="305" t="s">
        <v>152</v>
      </c>
      <c r="J4220" s="305" t="s">
        <v>130</v>
      </c>
      <c r="K4220" s="305" t="s">
        <v>2161</v>
      </c>
    </row>
    <row r="4221" spans="1:11" x14ac:dyDescent="0.25">
      <c r="A4221" s="302" t="str">
        <f t="shared" si="107"/>
        <v>Steam Traps- Venturi_Industrial/Process Audit - 30 ≤ psig &lt; 75_CI/SMB_Conversion</v>
      </c>
      <c r="B4221" s="303" t="s">
        <v>1381</v>
      </c>
      <c r="C4221" s="304" t="s">
        <v>1385</v>
      </c>
      <c r="D4221" s="303" t="s">
        <v>970</v>
      </c>
      <c r="E4221" s="305" t="s">
        <v>284</v>
      </c>
      <c r="F4221" s="309" t="s">
        <v>622</v>
      </c>
      <c r="G4221" s="325">
        <v>100000</v>
      </c>
      <c r="H4221" s="305"/>
      <c r="I4221" s="305" t="s">
        <v>152</v>
      </c>
      <c r="J4221" s="305" t="s">
        <v>130</v>
      </c>
      <c r="K4221" s="305" t="s">
        <v>2161</v>
      </c>
    </row>
    <row r="4222" spans="1:11" x14ac:dyDescent="0.25">
      <c r="A4222" s="302" t="str">
        <f t="shared" si="107"/>
        <v>Steam Traps- Venturi_Industrial/Process Audit - 30 ≤ psig &lt; 75_CI/SMB_n_B</v>
      </c>
      <c r="B4222" s="303" t="s">
        <v>1381</v>
      </c>
      <c r="C4222" s="304" t="s">
        <v>1385</v>
      </c>
      <c r="D4222" s="303" t="s">
        <v>970</v>
      </c>
      <c r="E4222" s="340" t="s">
        <v>657</v>
      </c>
      <c r="F4222" s="341"/>
      <c r="G4222" s="346">
        <v>0.80700000000000005</v>
      </c>
      <c r="H4222" s="340" t="s">
        <v>665</v>
      </c>
      <c r="I4222" s="305" t="s">
        <v>152</v>
      </c>
      <c r="J4222" s="305" t="s">
        <v>130</v>
      </c>
      <c r="K4222" s="305" t="s">
        <v>2161</v>
      </c>
    </row>
    <row r="4223" spans="1:11" x14ac:dyDescent="0.25">
      <c r="A4223" s="302" t="str">
        <f t="shared" si="107"/>
        <v>Steam Traps- Venturi_Industrial/Process Audit - 30 ≤ psig &lt; 75_CI/SMB_kWh Saved per Unit</v>
      </c>
      <c r="B4223" s="303" t="s">
        <v>1381</v>
      </c>
      <c r="C4223" s="304" t="s">
        <v>1385</v>
      </c>
      <c r="D4223" s="303" t="s">
        <v>970</v>
      </c>
      <c r="E4223" s="314" t="s">
        <v>255</v>
      </c>
      <c r="F4223" s="326"/>
      <c r="G4223" s="315">
        <f>G4210</f>
        <v>59.833391820000003</v>
      </c>
      <c r="H4223" s="305"/>
      <c r="I4223" s="305" t="s">
        <v>152</v>
      </c>
      <c r="J4223" s="305" t="s">
        <v>130</v>
      </c>
      <c r="K4223" s="305" t="s">
        <v>2161</v>
      </c>
    </row>
    <row r="4224" spans="1:11" x14ac:dyDescent="0.25">
      <c r="A4224" s="302" t="str">
        <f t="shared" si="107"/>
        <v>Steam Traps- Venturi_Industrial/Process Audit - 30 ≤ psig &lt; 75_CI/SMB_Coincident Peak kW Saved per Unit</v>
      </c>
      <c r="B4224" s="303" t="s">
        <v>1381</v>
      </c>
      <c r="C4224" s="304" t="s">
        <v>1385</v>
      </c>
      <c r="D4224" s="303" t="s">
        <v>970</v>
      </c>
      <c r="E4224" s="314" t="s">
        <v>257</v>
      </c>
      <c r="F4224" s="326"/>
      <c r="G4224" s="315">
        <v>0</v>
      </c>
      <c r="H4224" s="305"/>
      <c r="I4224" s="305" t="s">
        <v>152</v>
      </c>
      <c r="J4224" s="305" t="s">
        <v>130</v>
      </c>
      <c r="K4224" s="305" t="s">
        <v>2161</v>
      </c>
    </row>
    <row r="4225" spans="1:11" x14ac:dyDescent="0.25">
      <c r="A4225" s="302" t="str">
        <f t="shared" si="107"/>
        <v>Steam Traps- Venturi_Industrial/Process Audit - 30 ≤ psig &lt; 75_CI/SMB_Therm Saved per Unit</v>
      </c>
      <c r="B4225" s="303" t="s">
        <v>1381</v>
      </c>
      <c r="C4225" s="304" t="s">
        <v>1385</v>
      </c>
      <c r="D4225" s="303" t="s">
        <v>970</v>
      </c>
      <c r="E4225" s="314" t="s">
        <v>326</v>
      </c>
      <c r="F4225" s="326"/>
      <c r="G4225" s="315">
        <f xml:space="preserve"> G4211 * (G4212 + G4213 * (G4217 - G4218)) * G4219 * G4220 / (G4221 * G4222)</f>
        <v>2777.6636840634392</v>
      </c>
      <c r="H4225" s="305"/>
      <c r="I4225" s="305" t="s">
        <v>152</v>
      </c>
      <c r="J4225" s="305" t="s">
        <v>130</v>
      </c>
      <c r="K4225" s="305" t="s">
        <v>2161</v>
      </c>
    </row>
    <row r="4226" spans="1:11" x14ac:dyDescent="0.25">
      <c r="A4226" s="302" t="str">
        <f t="shared" si="107"/>
        <v>Steam Traps- Venturi_Industrial/Process Audit - 30 ≤ psig &lt; 75_CI/SMB_Gallons Saved per Unit</v>
      </c>
      <c r="B4226" s="303" t="s">
        <v>1381</v>
      </c>
      <c r="C4226" s="304" t="s">
        <v>1385</v>
      </c>
      <c r="D4226" s="303" t="s">
        <v>970</v>
      </c>
      <c r="E4226" s="314" t="s">
        <v>547</v>
      </c>
      <c r="F4226" s="326"/>
      <c r="G4226" s="315">
        <f>G4207</f>
        <v>23272.420000000002</v>
      </c>
      <c r="H4226" s="305"/>
      <c r="I4226" s="305" t="s">
        <v>152</v>
      </c>
      <c r="J4226" s="305" t="s">
        <v>130</v>
      </c>
      <c r="K4226" s="305" t="s">
        <v>2161</v>
      </c>
    </row>
    <row r="4227" spans="1:11" x14ac:dyDescent="0.25">
      <c r="A4227" s="302" t="str">
        <f t="shared" si="107"/>
        <v>Steam Traps- Venturi_Industrial/Process Audit - 30 ≤ psig &lt; 75_CI/SMB_Lifetime (years)</v>
      </c>
      <c r="B4227" s="303" t="s">
        <v>1381</v>
      </c>
      <c r="C4227" s="304" t="s">
        <v>1385</v>
      </c>
      <c r="D4227" s="303" t="s">
        <v>970</v>
      </c>
      <c r="E4227" s="314" t="s">
        <v>259</v>
      </c>
      <c r="F4227" s="326"/>
      <c r="G4227" s="326">
        <v>20</v>
      </c>
      <c r="H4227" s="305" t="s">
        <v>1382</v>
      </c>
      <c r="I4227" s="305" t="s">
        <v>152</v>
      </c>
      <c r="J4227" s="305" t="s">
        <v>130</v>
      </c>
      <c r="K4227" s="305" t="s">
        <v>2161</v>
      </c>
    </row>
    <row r="4228" spans="1:11" x14ac:dyDescent="0.25">
      <c r="A4228" s="302" t="str">
        <f t="shared" si="107"/>
        <v>Steam Traps- Venturi_Industrial/Process Audit - 30 ≤ psig &lt; 75_CI/SMB_Incremental Cost</v>
      </c>
      <c r="B4228" s="303" t="s">
        <v>1381</v>
      </c>
      <c r="C4228" s="304" t="s">
        <v>1385</v>
      </c>
      <c r="D4228" s="303" t="s">
        <v>970</v>
      </c>
      <c r="E4228" s="314" t="s">
        <v>260</v>
      </c>
      <c r="F4228" s="326"/>
      <c r="G4228" s="315">
        <v>223</v>
      </c>
      <c r="H4228" s="305" t="s">
        <v>1373</v>
      </c>
      <c r="I4228" s="305" t="s">
        <v>152</v>
      </c>
      <c r="J4228" s="305" t="s">
        <v>130</v>
      </c>
      <c r="K4228" s="305" t="s">
        <v>2161</v>
      </c>
    </row>
    <row r="4229" spans="1:11" x14ac:dyDescent="0.25">
      <c r="A4229" s="317" t="str">
        <f t="shared" si="107"/>
        <v>Steam Traps- Venturi_Industrial/Process Audit - 30 ≤ psig &lt; 75_CI/SMB_</v>
      </c>
      <c r="B4229" s="317" t="str">
        <f>B4228</f>
        <v>Steam Traps- Venturi</v>
      </c>
      <c r="C4229" s="332" t="str">
        <f>C4228</f>
        <v>Industrial/Process Audit - 30 ≤ psig &lt; 75</v>
      </c>
      <c r="D4229" s="317" t="str">
        <f>D4228</f>
        <v>CI/SMB</v>
      </c>
      <c r="E4229" s="320"/>
      <c r="F4229" s="320"/>
      <c r="G4229" s="329"/>
      <c r="H4229" s="320"/>
      <c r="I4229" s="320"/>
      <c r="J4229" s="320"/>
      <c r="K4229" s="320"/>
    </row>
    <row r="4230" spans="1:11" x14ac:dyDescent="0.25">
      <c r="A4230" s="302" t="str">
        <f t="shared" si="107"/>
        <v>Steam Traps- Venturi_Industrial/Process Audit - 75 ≤ psig &lt; 125_CI/SMB_GAL</v>
      </c>
      <c r="B4230" s="303" t="s">
        <v>1381</v>
      </c>
      <c r="C4230" s="304" t="s">
        <v>1386</v>
      </c>
      <c r="D4230" s="303" t="s">
        <v>970</v>
      </c>
      <c r="E4230" s="305" t="s">
        <v>513</v>
      </c>
      <c r="F4230" s="309"/>
      <c r="G4230" s="306">
        <v>5.26</v>
      </c>
      <c r="H4230" s="305" t="s">
        <v>229</v>
      </c>
      <c r="I4230" s="305" t="s">
        <v>152</v>
      </c>
      <c r="J4230" s="305" t="s">
        <v>130</v>
      </c>
      <c r="K4230" s="305" t="s">
        <v>2161</v>
      </c>
    </row>
    <row r="4231" spans="1:11" x14ac:dyDescent="0.25">
      <c r="A4231" s="302" t="str">
        <f t="shared" si="107"/>
        <v>Steam Traps- Venturi_Industrial/Process Audit - 75 ≤ psig &lt; 125_CI/SMB_Hours of Operation</v>
      </c>
      <c r="B4231" s="303" t="s">
        <v>1381</v>
      </c>
      <c r="C4231" s="304" t="s">
        <v>1386</v>
      </c>
      <c r="D4231" s="303" t="s">
        <v>970</v>
      </c>
      <c r="E4231" s="305" t="s">
        <v>460</v>
      </c>
      <c r="F4231" s="309" t="s">
        <v>647</v>
      </c>
      <c r="G4231" s="354">
        <v>8282</v>
      </c>
      <c r="H4231" s="305" t="s">
        <v>229</v>
      </c>
      <c r="I4231" s="305" t="s">
        <v>152</v>
      </c>
      <c r="J4231" s="305" t="s">
        <v>130</v>
      </c>
      <c r="K4231" s="305" t="s">
        <v>2161</v>
      </c>
    </row>
    <row r="4232" spans="1:11" x14ac:dyDescent="0.25">
      <c r="A4232" s="302" t="str">
        <f t="shared" si="107"/>
        <v>Steam Traps- Venturi_Industrial/Process Audit - 75 ≤ psig &lt; 125_CI/SMB_L</v>
      </c>
      <c r="B4232" s="303" t="s">
        <v>1381</v>
      </c>
      <c r="C4232" s="304" t="s">
        <v>1386</v>
      </c>
      <c r="D4232" s="303" t="s">
        <v>970</v>
      </c>
      <c r="E4232" s="305" t="s">
        <v>437</v>
      </c>
      <c r="F4232" s="309"/>
      <c r="G4232" s="306">
        <v>1</v>
      </c>
      <c r="H4232" s="305" t="s">
        <v>1280</v>
      </c>
      <c r="I4232" s="305" t="s">
        <v>152</v>
      </c>
      <c r="J4232" s="305" t="s">
        <v>130</v>
      </c>
      <c r="K4232" s="305" t="s">
        <v>2161</v>
      </c>
    </row>
    <row r="4233" spans="1:11" x14ac:dyDescent="0.25">
      <c r="A4233" s="302" t="str">
        <f t="shared" si="107"/>
        <v>Steam Traps- Venturi_Industrial/Process Audit - 75 ≤ psig &lt; 125_CI/SMB_Delta_Water_Gallons</v>
      </c>
      <c r="B4233" s="303" t="s">
        <v>1381</v>
      </c>
      <c r="C4233" s="304" t="s">
        <v>1386</v>
      </c>
      <c r="D4233" s="303" t="s">
        <v>970</v>
      </c>
      <c r="E4233" s="305" t="s">
        <v>456</v>
      </c>
      <c r="F4233" s="305"/>
      <c r="G4233" s="307">
        <f>G4230*G4231*G4232</f>
        <v>43563.32</v>
      </c>
      <c r="H4233" s="305"/>
      <c r="I4233" s="305" t="s">
        <v>152</v>
      </c>
      <c r="J4233" s="305" t="s">
        <v>130</v>
      </c>
      <c r="K4233" s="305" t="s">
        <v>2161</v>
      </c>
    </row>
    <row r="4234" spans="1:11" x14ac:dyDescent="0.25">
      <c r="A4234" s="302" t="str">
        <f t="shared" si="107"/>
        <v>Steam Traps- Venturi_Industrial/Process Audit - 75 ≤ psig &lt; 125_CI/SMB_Conversion</v>
      </c>
      <c r="B4234" s="303" t="s">
        <v>1381</v>
      </c>
      <c r="C4234" s="304" t="s">
        <v>1386</v>
      </c>
      <c r="D4234" s="303" t="s">
        <v>970</v>
      </c>
      <c r="E4234" s="305" t="s">
        <v>284</v>
      </c>
      <c r="F4234" s="305"/>
      <c r="G4234" s="354">
        <v>1000000</v>
      </c>
      <c r="H4234" s="305"/>
      <c r="I4234" s="305" t="s">
        <v>152</v>
      </c>
      <c r="J4234" s="305" t="s">
        <v>130</v>
      </c>
      <c r="K4234" s="305" t="s">
        <v>2161</v>
      </c>
    </row>
    <row r="4235" spans="1:11" x14ac:dyDescent="0.25">
      <c r="A4235" s="302" t="str">
        <f t="shared" si="107"/>
        <v>Steam Traps- Venturi_Industrial/Process Audit - 75 ≤ psig &lt; 125_CI/SMB_E_water_supply</v>
      </c>
      <c r="B4235" s="303" t="s">
        <v>1381</v>
      </c>
      <c r="C4235" s="304" t="s">
        <v>1386</v>
      </c>
      <c r="D4235" s="303" t="s">
        <v>970</v>
      </c>
      <c r="E4235" s="305" t="s">
        <v>457</v>
      </c>
      <c r="F4235" s="305"/>
      <c r="G4235" s="307">
        <v>2571</v>
      </c>
      <c r="H4235" s="305"/>
      <c r="I4235" s="305" t="s">
        <v>152</v>
      </c>
      <c r="J4235" s="305" t="s">
        <v>130</v>
      </c>
      <c r="K4235" s="305" t="s">
        <v>2161</v>
      </c>
    </row>
    <row r="4236" spans="1:11" x14ac:dyDescent="0.25">
      <c r="A4236" s="302" t="str">
        <f t="shared" si="107"/>
        <v>Steam Traps- Venturi_Industrial/Process Audit - 75 ≤ psig &lt; 125_CI/SMB_Delta_kWh_water</v>
      </c>
      <c r="B4236" s="303" t="s">
        <v>1381</v>
      </c>
      <c r="C4236" s="304" t="s">
        <v>1386</v>
      </c>
      <c r="D4236" s="303" t="s">
        <v>970</v>
      </c>
      <c r="E4236" s="305" t="s">
        <v>334</v>
      </c>
      <c r="F4236" s="305"/>
      <c r="G4236" s="307">
        <f>G4233/G4234*G4235</f>
        <v>112.00129572</v>
      </c>
      <c r="H4236" s="305"/>
      <c r="I4236" s="305" t="s">
        <v>152</v>
      </c>
      <c r="J4236" s="305" t="s">
        <v>130</v>
      </c>
      <c r="K4236" s="305" t="s">
        <v>2161</v>
      </c>
    </row>
    <row r="4237" spans="1:11" x14ac:dyDescent="0.25">
      <c r="A4237" s="302" t="str">
        <f t="shared" si="107"/>
        <v>Steam Traps- Venturi_Industrial/Process Audit - 75 ≤ psig &lt; 125_CI/SMB_Sa</v>
      </c>
      <c r="B4237" s="303" t="s">
        <v>1381</v>
      </c>
      <c r="C4237" s="304" t="s">
        <v>1386</v>
      </c>
      <c r="D4237" s="303" t="s">
        <v>970</v>
      </c>
      <c r="E4237" s="305" t="s">
        <v>507</v>
      </c>
      <c r="F4237" s="305"/>
      <c r="G4237" s="307">
        <v>43.8</v>
      </c>
      <c r="H4237" s="305" t="s">
        <v>229</v>
      </c>
      <c r="I4237" s="305" t="s">
        <v>152</v>
      </c>
      <c r="J4237" s="305" t="s">
        <v>130</v>
      </c>
      <c r="K4237" s="305" t="s">
        <v>2161</v>
      </c>
    </row>
    <row r="4238" spans="1:11" x14ac:dyDescent="0.25">
      <c r="A4238" s="302" t="str">
        <f t="shared" si="107"/>
        <v>Steam Traps- Venturi_Industrial/Process Audit - 75 ≤ psig &lt; 125_CI/SMB_Hv</v>
      </c>
      <c r="B4238" s="303" t="s">
        <v>1381</v>
      </c>
      <c r="C4238" s="304" t="s">
        <v>1386</v>
      </c>
      <c r="D4238" s="303" t="s">
        <v>970</v>
      </c>
      <c r="E4238" s="305" t="s">
        <v>508</v>
      </c>
      <c r="F4238" s="305"/>
      <c r="G4238" s="307">
        <v>880</v>
      </c>
      <c r="H4238" s="305" t="s">
        <v>229</v>
      </c>
      <c r="I4238" s="305" t="s">
        <v>152</v>
      </c>
      <c r="J4238" s="305" t="s">
        <v>130</v>
      </c>
      <c r="K4238" s="305" t="s">
        <v>2161</v>
      </c>
    </row>
    <row r="4239" spans="1:11" x14ac:dyDescent="0.25">
      <c r="A4239" s="302" t="str">
        <f t="shared" si="107"/>
        <v>Steam Traps- Venturi_Industrial/Process Audit - 75 ≤ psig &lt; 125_CI/SMB_Hs</v>
      </c>
      <c r="B4239" s="303" t="s">
        <v>1381</v>
      </c>
      <c r="C4239" s="304" t="s">
        <v>1386</v>
      </c>
      <c r="D4239" s="303" t="s">
        <v>970</v>
      </c>
      <c r="E4239" s="340" t="s">
        <v>509</v>
      </c>
      <c r="F4239" s="340"/>
      <c r="G4239" s="341">
        <v>1.0009999999999999</v>
      </c>
      <c r="H4239" s="340" t="s">
        <v>652</v>
      </c>
      <c r="I4239" s="305" t="s">
        <v>152</v>
      </c>
      <c r="J4239" s="305" t="s">
        <v>130</v>
      </c>
      <c r="K4239" s="305" t="s">
        <v>2161</v>
      </c>
    </row>
    <row r="4240" spans="1:11" x14ac:dyDescent="0.25">
      <c r="A4240" s="302" t="str">
        <f t="shared" ref="A4240:A4303" si="108">B4240&amp;"_"&amp;C4240&amp;"_"&amp;D4240&amp;"_"&amp;E4240</f>
        <v>Steam Traps- Venturi_Industrial/Process Audit - 75 ≤ psig &lt; 125_CI/SMB_507.89</v>
      </c>
      <c r="B4240" s="303" t="s">
        <v>1381</v>
      </c>
      <c r="C4240" s="304" t="s">
        <v>1386</v>
      </c>
      <c r="D4240" s="303" t="s">
        <v>970</v>
      </c>
      <c r="E4240" s="342">
        <v>507.89</v>
      </c>
      <c r="F4240" s="340"/>
      <c r="G4240" s="341">
        <v>507.89</v>
      </c>
      <c r="H4240" s="340"/>
      <c r="I4240" s="305" t="s">
        <v>152</v>
      </c>
      <c r="J4240" s="305" t="s">
        <v>130</v>
      </c>
      <c r="K4240" s="305" t="s">
        <v>2161</v>
      </c>
    </row>
    <row r="4241" spans="1:11" x14ac:dyDescent="0.25">
      <c r="A4241" s="302" t="str">
        <f t="shared" si="108"/>
        <v>Steam Traps- Venturi_Industrial/Process Audit - 75 ≤ psig &lt; 125_CI/SMB_P1</v>
      </c>
      <c r="B4241" s="303" t="s">
        <v>1381</v>
      </c>
      <c r="C4241" s="304" t="s">
        <v>1386</v>
      </c>
      <c r="D4241" s="303" t="s">
        <v>970</v>
      </c>
      <c r="E4241" s="340" t="s">
        <v>510</v>
      </c>
      <c r="F4241" s="340"/>
      <c r="G4241" s="341">
        <f>101+14.696</f>
        <v>115.696</v>
      </c>
      <c r="H4241" s="340" t="s">
        <v>1371</v>
      </c>
      <c r="I4241" s="305" t="s">
        <v>152</v>
      </c>
      <c r="J4241" s="305" t="s">
        <v>130</v>
      </c>
      <c r="K4241" s="305" t="s">
        <v>2161</v>
      </c>
    </row>
    <row r="4242" spans="1:11" x14ac:dyDescent="0.25">
      <c r="A4242" s="302" t="str">
        <f t="shared" si="108"/>
        <v>Steam Traps- Venturi_Industrial/Process Audit - 75 ≤ psig &lt; 125_CI/SMB_0.0962</v>
      </c>
      <c r="B4242" s="303" t="s">
        <v>1381</v>
      </c>
      <c r="C4242" s="304" t="s">
        <v>1386</v>
      </c>
      <c r="D4242" s="303" t="s">
        <v>970</v>
      </c>
      <c r="E4242" s="340">
        <v>9.6199999999999994E-2</v>
      </c>
      <c r="F4242" s="340"/>
      <c r="G4242" s="343">
        <v>9.6199999999999994E-2</v>
      </c>
      <c r="H4242" s="340"/>
      <c r="I4242" s="305" t="s">
        <v>152</v>
      </c>
      <c r="J4242" s="305" t="s">
        <v>130</v>
      </c>
      <c r="K4242" s="305" t="s">
        <v>2161</v>
      </c>
    </row>
    <row r="4243" spans="1:11" x14ac:dyDescent="0.25">
      <c r="A4243" s="302" t="str">
        <f t="shared" si="108"/>
        <v>Steam Traps- Venturi_Industrial/Process Audit - 75 ≤ psig &lt; 125_CI/SMB_T1</v>
      </c>
      <c r="B4243" s="303" t="s">
        <v>1381</v>
      </c>
      <c r="C4243" s="304" t="s">
        <v>1386</v>
      </c>
      <c r="D4243" s="303" t="s">
        <v>970</v>
      </c>
      <c r="E4243" s="340" t="s">
        <v>511</v>
      </c>
      <c r="F4243" s="340"/>
      <c r="G4243" s="341">
        <f>G4240*(G4241^G4242)</f>
        <v>802.1597871006478</v>
      </c>
      <c r="H4243" s="340" t="s">
        <v>654</v>
      </c>
      <c r="I4243" s="305" t="s">
        <v>152</v>
      </c>
      <c r="J4243" s="305" t="s">
        <v>130</v>
      </c>
      <c r="K4243" s="305" t="s">
        <v>2161</v>
      </c>
    </row>
    <row r="4244" spans="1:11" x14ac:dyDescent="0.25">
      <c r="A4244" s="302" t="str">
        <f t="shared" si="108"/>
        <v>Steam Traps- Venturi_Industrial/Process Audit - 75 ≤ psig &lt; 125_CI/SMB_Tsource</v>
      </c>
      <c r="B4244" s="303" t="s">
        <v>1381</v>
      </c>
      <c r="C4244" s="304" t="s">
        <v>1386</v>
      </c>
      <c r="D4244" s="303" t="s">
        <v>970</v>
      </c>
      <c r="E4244" s="340" t="s">
        <v>512</v>
      </c>
      <c r="F4244" s="340"/>
      <c r="G4244" s="341">
        <v>513.66999999999996</v>
      </c>
      <c r="H4244" s="340" t="s">
        <v>655</v>
      </c>
      <c r="I4244" s="305" t="s">
        <v>152</v>
      </c>
      <c r="J4244" s="305" t="s">
        <v>130</v>
      </c>
      <c r="K4244" s="305" t="s">
        <v>2161</v>
      </c>
    </row>
    <row r="4245" spans="1:11" x14ac:dyDescent="0.25">
      <c r="A4245" s="302" t="str">
        <f t="shared" si="108"/>
        <v>Steam Traps- Venturi_Industrial/Process Audit - 75 ≤ psig &lt; 125_CI/SMB_Hours of Operation</v>
      </c>
      <c r="B4245" s="303" t="s">
        <v>1381</v>
      </c>
      <c r="C4245" s="304" t="s">
        <v>1386</v>
      </c>
      <c r="D4245" s="303" t="s">
        <v>970</v>
      </c>
      <c r="E4245" s="305" t="s">
        <v>460</v>
      </c>
      <c r="F4245" s="309" t="s">
        <v>647</v>
      </c>
      <c r="G4245" s="354">
        <v>8282</v>
      </c>
      <c r="H4245" s="305" t="s">
        <v>229</v>
      </c>
      <c r="I4245" s="305" t="s">
        <v>152</v>
      </c>
      <c r="J4245" s="305" t="s">
        <v>130</v>
      </c>
      <c r="K4245" s="305" t="s">
        <v>2161</v>
      </c>
    </row>
    <row r="4246" spans="1:11" x14ac:dyDescent="0.25">
      <c r="A4246" s="302" t="str">
        <f t="shared" si="108"/>
        <v>Steam Traps- Venturi_Industrial/Process Audit - 75 ≤ psig &lt; 125_CI/SMB_L</v>
      </c>
      <c r="B4246" s="303" t="s">
        <v>1381</v>
      </c>
      <c r="C4246" s="304" t="s">
        <v>1386</v>
      </c>
      <c r="D4246" s="303" t="s">
        <v>970</v>
      </c>
      <c r="E4246" s="305" t="s">
        <v>437</v>
      </c>
      <c r="F4246" s="309"/>
      <c r="G4246" s="306">
        <v>1</v>
      </c>
      <c r="H4246" s="305" t="s">
        <v>1280</v>
      </c>
      <c r="I4246" s="305" t="s">
        <v>152</v>
      </c>
      <c r="J4246" s="305" t="s">
        <v>130</v>
      </c>
      <c r="K4246" s="305" t="s">
        <v>2161</v>
      </c>
    </row>
    <row r="4247" spans="1:11" x14ac:dyDescent="0.25">
      <c r="A4247" s="302" t="str">
        <f t="shared" si="108"/>
        <v>Steam Traps- Venturi_Industrial/Process Audit - 75 ≤ psig &lt; 125_CI/SMB_Conversion</v>
      </c>
      <c r="B4247" s="303" t="s">
        <v>1381</v>
      </c>
      <c r="C4247" s="304" t="s">
        <v>1386</v>
      </c>
      <c r="D4247" s="303" t="s">
        <v>970</v>
      </c>
      <c r="E4247" s="305" t="s">
        <v>284</v>
      </c>
      <c r="F4247" s="309" t="s">
        <v>622</v>
      </c>
      <c r="G4247" s="325">
        <v>100000</v>
      </c>
      <c r="H4247" s="305"/>
      <c r="I4247" s="305" t="s">
        <v>152</v>
      </c>
      <c r="J4247" s="305" t="s">
        <v>130</v>
      </c>
      <c r="K4247" s="305" t="s">
        <v>2161</v>
      </c>
    </row>
    <row r="4248" spans="1:11" x14ac:dyDescent="0.25">
      <c r="A4248" s="302" t="str">
        <f t="shared" si="108"/>
        <v>Steam Traps- Venturi_Industrial/Process Audit - 75 ≤ psig &lt; 125_CI/SMB_n_B</v>
      </c>
      <c r="B4248" s="303" t="s">
        <v>1381</v>
      </c>
      <c r="C4248" s="304" t="s">
        <v>1386</v>
      </c>
      <c r="D4248" s="303" t="s">
        <v>970</v>
      </c>
      <c r="E4248" s="340" t="s">
        <v>657</v>
      </c>
      <c r="F4248" s="341"/>
      <c r="G4248" s="346">
        <v>0.80700000000000005</v>
      </c>
      <c r="H4248" s="340" t="s">
        <v>665</v>
      </c>
      <c r="I4248" s="305" t="s">
        <v>152</v>
      </c>
      <c r="J4248" s="305" t="s">
        <v>130</v>
      </c>
      <c r="K4248" s="305" t="s">
        <v>2161</v>
      </c>
    </row>
    <row r="4249" spans="1:11" x14ac:dyDescent="0.25">
      <c r="A4249" s="302" t="str">
        <f t="shared" si="108"/>
        <v>Steam Traps- Venturi_Industrial/Process Audit - 75 ≤ psig &lt; 125_CI/SMB_kWh Saved per Unit</v>
      </c>
      <c r="B4249" s="303" t="s">
        <v>1381</v>
      </c>
      <c r="C4249" s="304" t="s">
        <v>1386</v>
      </c>
      <c r="D4249" s="303" t="s">
        <v>970</v>
      </c>
      <c r="E4249" s="314" t="s">
        <v>255</v>
      </c>
      <c r="F4249" s="326"/>
      <c r="G4249" s="315">
        <f>G4236</f>
        <v>112.00129572</v>
      </c>
      <c r="H4249" s="305"/>
      <c r="I4249" s="305" t="s">
        <v>152</v>
      </c>
      <c r="J4249" s="305" t="s">
        <v>130</v>
      </c>
      <c r="K4249" s="305" t="s">
        <v>2161</v>
      </c>
    </row>
    <row r="4250" spans="1:11" x14ac:dyDescent="0.25">
      <c r="A4250" s="302" t="str">
        <f t="shared" si="108"/>
        <v>Steam Traps- Venturi_Industrial/Process Audit - 75 ≤ psig &lt; 125_CI/SMB_Coincident Peak kW Saved per Unit</v>
      </c>
      <c r="B4250" s="303" t="s">
        <v>1381</v>
      </c>
      <c r="C4250" s="304" t="s">
        <v>1386</v>
      </c>
      <c r="D4250" s="303" t="s">
        <v>970</v>
      </c>
      <c r="E4250" s="314" t="s">
        <v>257</v>
      </c>
      <c r="F4250" s="326"/>
      <c r="G4250" s="315">
        <v>0</v>
      </c>
      <c r="H4250" s="305"/>
      <c r="I4250" s="305" t="s">
        <v>152</v>
      </c>
      <c r="J4250" s="305" t="s">
        <v>130</v>
      </c>
      <c r="K4250" s="305" t="s">
        <v>2161</v>
      </c>
    </row>
    <row r="4251" spans="1:11" x14ac:dyDescent="0.25">
      <c r="A4251" s="302" t="str">
        <f t="shared" si="108"/>
        <v>Steam Traps- Venturi_Industrial/Process Audit - 75 ≤ psig &lt; 125_CI/SMB_Therm Saved per Unit</v>
      </c>
      <c r="B4251" s="303" t="s">
        <v>1381</v>
      </c>
      <c r="C4251" s="304" t="s">
        <v>1386</v>
      </c>
      <c r="D4251" s="303" t="s">
        <v>970</v>
      </c>
      <c r="E4251" s="314" t="s">
        <v>326</v>
      </c>
      <c r="F4251" s="326"/>
      <c r="G4251" s="315">
        <f xml:space="preserve"> G4237 * (G4238 + G4239 * (G4243 - G4244)) * G4245 * G4246 / (G4247 * G4248)</f>
        <v>5253.732217921608</v>
      </c>
      <c r="H4251" s="305"/>
      <c r="I4251" s="305" t="s">
        <v>152</v>
      </c>
      <c r="J4251" s="305" t="s">
        <v>130</v>
      </c>
      <c r="K4251" s="305" t="s">
        <v>2161</v>
      </c>
    </row>
    <row r="4252" spans="1:11" x14ac:dyDescent="0.25">
      <c r="A4252" s="302" t="str">
        <f t="shared" si="108"/>
        <v>Steam Traps- Venturi_Industrial/Process Audit - 75 ≤ psig &lt; 125_CI/SMB_Gallons Saved per Unit</v>
      </c>
      <c r="B4252" s="303" t="s">
        <v>1381</v>
      </c>
      <c r="C4252" s="304" t="s">
        <v>1386</v>
      </c>
      <c r="D4252" s="303" t="s">
        <v>970</v>
      </c>
      <c r="E4252" s="314" t="s">
        <v>547</v>
      </c>
      <c r="F4252" s="326"/>
      <c r="G4252" s="315">
        <f>G4233</f>
        <v>43563.32</v>
      </c>
      <c r="H4252" s="305"/>
      <c r="I4252" s="305" t="s">
        <v>152</v>
      </c>
      <c r="J4252" s="305" t="s">
        <v>130</v>
      </c>
      <c r="K4252" s="305" t="s">
        <v>2161</v>
      </c>
    </row>
    <row r="4253" spans="1:11" x14ac:dyDescent="0.25">
      <c r="A4253" s="302" t="str">
        <f t="shared" si="108"/>
        <v>Steam Traps- Venturi_Industrial/Process Audit - 75 ≤ psig &lt; 125_CI/SMB_Lifetime (years)</v>
      </c>
      <c r="B4253" s="303" t="s">
        <v>1381</v>
      </c>
      <c r="C4253" s="304" t="s">
        <v>1386</v>
      </c>
      <c r="D4253" s="303" t="s">
        <v>970</v>
      </c>
      <c r="E4253" s="314" t="s">
        <v>259</v>
      </c>
      <c r="F4253" s="326"/>
      <c r="G4253" s="326">
        <v>20</v>
      </c>
      <c r="H4253" s="305" t="s">
        <v>1382</v>
      </c>
      <c r="I4253" s="305" t="s">
        <v>152</v>
      </c>
      <c r="J4253" s="305" t="s">
        <v>130</v>
      </c>
      <c r="K4253" s="305" t="s">
        <v>2161</v>
      </c>
    </row>
    <row r="4254" spans="1:11" x14ac:dyDescent="0.25">
      <c r="A4254" s="302" t="str">
        <f t="shared" si="108"/>
        <v>Steam Traps- Venturi_Industrial/Process Audit - 75 ≤ psig &lt; 125_CI/SMB_Incremental Cost</v>
      </c>
      <c r="B4254" s="303" t="s">
        <v>1381</v>
      </c>
      <c r="C4254" s="304" t="s">
        <v>1386</v>
      </c>
      <c r="D4254" s="303" t="s">
        <v>970</v>
      </c>
      <c r="E4254" s="314" t="s">
        <v>260</v>
      </c>
      <c r="F4254" s="326"/>
      <c r="G4254" s="315">
        <v>276</v>
      </c>
      <c r="H4254" s="305" t="s">
        <v>1373</v>
      </c>
      <c r="I4254" s="305" t="s">
        <v>152</v>
      </c>
      <c r="J4254" s="305" t="s">
        <v>130</v>
      </c>
      <c r="K4254" s="305" t="s">
        <v>2161</v>
      </c>
    </row>
    <row r="4255" spans="1:11" x14ac:dyDescent="0.25">
      <c r="A4255" s="317" t="str">
        <f t="shared" si="108"/>
        <v>Steam Traps- Venturi_Industrial/Process Audit - 75 ≤ psig &lt; 125_CI/SMB_</v>
      </c>
      <c r="B4255" s="317" t="str">
        <f>B4254</f>
        <v>Steam Traps- Venturi</v>
      </c>
      <c r="C4255" s="332" t="str">
        <f>C4254</f>
        <v>Industrial/Process Audit - 75 ≤ psig &lt; 125</v>
      </c>
      <c r="D4255" s="317" t="str">
        <f>D4254</f>
        <v>CI/SMB</v>
      </c>
      <c r="E4255" s="320"/>
      <c r="F4255" s="320"/>
      <c r="G4255" s="329"/>
      <c r="H4255" s="320"/>
      <c r="I4255" s="320"/>
      <c r="J4255" s="320"/>
      <c r="K4255" s="320"/>
    </row>
    <row r="4256" spans="1:11" x14ac:dyDescent="0.25">
      <c r="A4256" s="302" t="str">
        <f t="shared" si="108"/>
        <v>Steam Traps- Venturi_Industrial/Process Audit - 125 ≤ psig &lt; 175_CI/SMB_GAL</v>
      </c>
      <c r="B4256" s="303" t="s">
        <v>1381</v>
      </c>
      <c r="C4256" s="304" t="s">
        <v>1374</v>
      </c>
      <c r="D4256" s="303" t="s">
        <v>970</v>
      </c>
      <c r="E4256" s="305" t="s">
        <v>513</v>
      </c>
      <c r="F4256" s="309"/>
      <c r="G4256" s="306">
        <v>7.31</v>
      </c>
      <c r="H4256" s="305" t="s">
        <v>226</v>
      </c>
      <c r="I4256" s="305" t="s">
        <v>152</v>
      </c>
      <c r="J4256" s="305" t="s">
        <v>130</v>
      </c>
      <c r="K4256" s="305" t="s">
        <v>2161</v>
      </c>
    </row>
    <row r="4257" spans="1:11" x14ac:dyDescent="0.25">
      <c r="A4257" s="302" t="str">
        <f t="shared" si="108"/>
        <v>Steam Traps- Venturi_Industrial/Process Audit - 125 ≤ psig &lt; 175_CI/SMB_Hours of Operation</v>
      </c>
      <c r="B4257" s="303" t="s">
        <v>1381</v>
      </c>
      <c r="C4257" s="304" t="s">
        <v>1374</v>
      </c>
      <c r="D4257" s="303" t="s">
        <v>970</v>
      </c>
      <c r="E4257" s="305" t="s">
        <v>460</v>
      </c>
      <c r="F4257" s="309" t="s">
        <v>647</v>
      </c>
      <c r="G4257" s="354">
        <v>8282</v>
      </c>
      <c r="H4257" s="305" t="s">
        <v>226</v>
      </c>
      <c r="I4257" s="305" t="s">
        <v>152</v>
      </c>
      <c r="J4257" s="305" t="s">
        <v>130</v>
      </c>
      <c r="K4257" s="305" t="s">
        <v>2161</v>
      </c>
    </row>
    <row r="4258" spans="1:11" x14ac:dyDescent="0.25">
      <c r="A4258" s="302" t="str">
        <f t="shared" si="108"/>
        <v>Steam Traps- Venturi_Industrial/Process Audit - 125 ≤ psig &lt; 175_CI/SMB_L</v>
      </c>
      <c r="B4258" s="303" t="s">
        <v>1381</v>
      </c>
      <c r="C4258" s="304" t="s">
        <v>1374</v>
      </c>
      <c r="D4258" s="303" t="s">
        <v>970</v>
      </c>
      <c r="E4258" s="305" t="s">
        <v>437</v>
      </c>
      <c r="F4258" s="309"/>
      <c r="G4258" s="306">
        <v>1</v>
      </c>
      <c r="H4258" s="305" t="s">
        <v>1280</v>
      </c>
      <c r="I4258" s="305" t="s">
        <v>152</v>
      </c>
      <c r="J4258" s="305" t="s">
        <v>130</v>
      </c>
      <c r="K4258" s="305" t="s">
        <v>2161</v>
      </c>
    </row>
    <row r="4259" spans="1:11" x14ac:dyDescent="0.25">
      <c r="A4259" s="302" t="str">
        <f t="shared" si="108"/>
        <v>Steam Traps- Venturi_Industrial/Process Audit - 125 ≤ psig &lt; 175_CI/SMB_Delta_Water_Gallons</v>
      </c>
      <c r="B4259" s="303" t="s">
        <v>1381</v>
      </c>
      <c r="C4259" s="304" t="s">
        <v>1374</v>
      </c>
      <c r="D4259" s="303" t="s">
        <v>970</v>
      </c>
      <c r="E4259" s="305" t="s">
        <v>456</v>
      </c>
      <c r="F4259" s="305"/>
      <c r="G4259" s="307">
        <f>G4256*G4257*G4258</f>
        <v>60541.42</v>
      </c>
      <c r="H4259" s="305"/>
      <c r="I4259" s="305" t="s">
        <v>152</v>
      </c>
      <c r="J4259" s="305" t="s">
        <v>130</v>
      </c>
      <c r="K4259" s="305" t="s">
        <v>2161</v>
      </c>
    </row>
    <row r="4260" spans="1:11" x14ac:dyDescent="0.25">
      <c r="A4260" s="302" t="str">
        <f t="shared" si="108"/>
        <v>Steam Traps- Venturi_Industrial/Process Audit - 125 ≤ psig &lt; 175_CI/SMB_Conversion</v>
      </c>
      <c r="B4260" s="303" t="s">
        <v>1381</v>
      </c>
      <c r="C4260" s="304" t="s">
        <v>1374</v>
      </c>
      <c r="D4260" s="303" t="s">
        <v>970</v>
      </c>
      <c r="E4260" s="305" t="s">
        <v>284</v>
      </c>
      <c r="F4260" s="305"/>
      <c r="G4260" s="354">
        <v>1000000</v>
      </c>
      <c r="H4260" s="305"/>
      <c r="I4260" s="305" t="s">
        <v>152</v>
      </c>
      <c r="J4260" s="305" t="s">
        <v>130</v>
      </c>
      <c r="K4260" s="305" t="s">
        <v>2161</v>
      </c>
    </row>
    <row r="4261" spans="1:11" x14ac:dyDescent="0.25">
      <c r="A4261" s="302" t="str">
        <f t="shared" si="108"/>
        <v>Steam Traps- Venturi_Industrial/Process Audit - 125 ≤ psig &lt; 175_CI/SMB_E_water_supply</v>
      </c>
      <c r="B4261" s="303" t="s">
        <v>1381</v>
      </c>
      <c r="C4261" s="304" t="s">
        <v>1374</v>
      </c>
      <c r="D4261" s="303" t="s">
        <v>970</v>
      </c>
      <c r="E4261" s="305" t="s">
        <v>457</v>
      </c>
      <c r="F4261" s="305"/>
      <c r="G4261" s="307">
        <v>2571</v>
      </c>
      <c r="H4261" s="305"/>
      <c r="I4261" s="305" t="s">
        <v>152</v>
      </c>
      <c r="J4261" s="305" t="s">
        <v>130</v>
      </c>
      <c r="K4261" s="305" t="s">
        <v>2161</v>
      </c>
    </row>
    <row r="4262" spans="1:11" x14ac:dyDescent="0.25">
      <c r="A4262" s="302" t="str">
        <f t="shared" si="108"/>
        <v>Steam Traps- Venturi_Industrial/Process Audit - 125 ≤ psig &lt; 175_CI/SMB_Delta_kWh_water</v>
      </c>
      <c r="B4262" s="303" t="s">
        <v>1381</v>
      </c>
      <c r="C4262" s="304" t="s">
        <v>1374</v>
      </c>
      <c r="D4262" s="303" t="s">
        <v>970</v>
      </c>
      <c r="E4262" s="305" t="s">
        <v>334</v>
      </c>
      <c r="F4262" s="305"/>
      <c r="G4262" s="307">
        <f>G4259/G4260*G4261</f>
        <v>155.65199082000001</v>
      </c>
      <c r="H4262" s="305"/>
      <c r="I4262" s="305" t="s">
        <v>152</v>
      </c>
      <c r="J4262" s="305" t="s">
        <v>130</v>
      </c>
      <c r="K4262" s="305" t="s">
        <v>2161</v>
      </c>
    </row>
    <row r="4263" spans="1:11" x14ac:dyDescent="0.25">
      <c r="A4263" s="302" t="str">
        <f t="shared" si="108"/>
        <v>Steam Traps- Venturi_Industrial/Process Audit - 125 ≤ psig &lt; 175_CI/SMB_Sa</v>
      </c>
      <c r="B4263" s="303" t="s">
        <v>1381</v>
      </c>
      <c r="C4263" s="304" t="s">
        <v>1374</v>
      </c>
      <c r="D4263" s="303" t="s">
        <v>970</v>
      </c>
      <c r="E4263" s="305" t="s">
        <v>507</v>
      </c>
      <c r="F4263" s="305"/>
      <c r="G4263" s="307">
        <v>60.9</v>
      </c>
      <c r="H4263" s="305" t="s">
        <v>226</v>
      </c>
      <c r="I4263" s="305" t="s">
        <v>152</v>
      </c>
      <c r="J4263" s="305" t="s">
        <v>130</v>
      </c>
      <c r="K4263" s="305" t="s">
        <v>2161</v>
      </c>
    </row>
    <row r="4264" spans="1:11" x14ac:dyDescent="0.25">
      <c r="A4264" s="302" t="str">
        <f t="shared" si="108"/>
        <v>Steam Traps- Venturi_Industrial/Process Audit - 125 ≤ psig &lt; 175_CI/SMB_Hv</v>
      </c>
      <c r="B4264" s="303" t="s">
        <v>1381</v>
      </c>
      <c r="C4264" s="304" t="s">
        <v>1374</v>
      </c>
      <c r="D4264" s="303" t="s">
        <v>970</v>
      </c>
      <c r="E4264" s="305" t="s">
        <v>508</v>
      </c>
      <c r="F4264" s="305"/>
      <c r="G4264" s="307">
        <v>859</v>
      </c>
      <c r="H4264" s="305" t="s">
        <v>226</v>
      </c>
      <c r="I4264" s="305" t="s">
        <v>152</v>
      </c>
      <c r="J4264" s="305" t="s">
        <v>130</v>
      </c>
      <c r="K4264" s="305" t="s">
        <v>2161</v>
      </c>
    </row>
    <row r="4265" spans="1:11" x14ac:dyDescent="0.25">
      <c r="A4265" s="302" t="str">
        <f t="shared" si="108"/>
        <v>Steam Traps- Venturi_Industrial/Process Audit - 125 ≤ psig &lt; 175_CI/SMB_Hs</v>
      </c>
      <c r="B4265" s="303" t="s">
        <v>1381</v>
      </c>
      <c r="C4265" s="304" t="s">
        <v>1374</v>
      </c>
      <c r="D4265" s="303" t="s">
        <v>970</v>
      </c>
      <c r="E4265" s="340" t="s">
        <v>509</v>
      </c>
      <c r="F4265" s="340"/>
      <c r="G4265" s="341">
        <v>1.0009999999999999</v>
      </c>
      <c r="H4265" s="340" t="s">
        <v>652</v>
      </c>
      <c r="I4265" s="305" t="s">
        <v>152</v>
      </c>
      <c r="J4265" s="305" t="s">
        <v>130</v>
      </c>
      <c r="K4265" s="305" t="s">
        <v>2161</v>
      </c>
    </row>
    <row r="4266" spans="1:11" x14ac:dyDescent="0.25">
      <c r="A4266" s="302" t="str">
        <f t="shared" si="108"/>
        <v>Steam Traps- Venturi_Industrial/Process Audit - 125 ≤ psig &lt; 175_CI/SMB_507.89</v>
      </c>
      <c r="B4266" s="303" t="s">
        <v>1381</v>
      </c>
      <c r="C4266" s="304" t="s">
        <v>1374</v>
      </c>
      <c r="D4266" s="303" t="s">
        <v>970</v>
      </c>
      <c r="E4266" s="342">
        <v>507.89</v>
      </c>
      <c r="F4266" s="340"/>
      <c r="G4266" s="341">
        <v>507.89</v>
      </c>
      <c r="H4266" s="340"/>
      <c r="I4266" s="305" t="s">
        <v>152</v>
      </c>
      <c r="J4266" s="305" t="s">
        <v>130</v>
      </c>
      <c r="K4266" s="305" t="s">
        <v>2161</v>
      </c>
    </row>
    <row r="4267" spans="1:11" x14ac:dyDescent="0.25">
      <c r="A4267" s="302" t="str">
        <f t="shared" si="108"/>
        <v>Steam Traps- Venturi_Industrial/Process Audit - 125 ≤ psig &lt; 175_CI/SMB_P1</v>
      </c>
      <c r="B4267" s="303" t="s">
        <v>1381</v>
      </c>
      <c r="C4267" s="304" t="s">
        <v>1374</v>
      </c>
      <c r="D4267" s="303" t="s">
        <v>970</v>
      </c>
      <c r="E4267" s="340" t="s">
        <v>510</v>
      </c>
      <c r="F4267" s="340"/>
      <c r="G4267" s="341">
        <f>(146+14.696)</f>
        <v>160.696</v>
      </c>
      <c r="H4267" s="340" t="s">
        <v>1371</v>
      </c>
      <c r="I4267" s="305" t="s">
        <v>152</v>
      </c>
      <c r="J4267" s="305" t="s">
        <v>130</v>
      </c>
      <c r="K4267" s="305" t="s">
        <v>2161</v>
      </c>
    </row>
    <row r="4268" spans="1:11" x14ac:dyDescent="0.25">
      <c r="A4268" s="302" t="str">
        <f t="shared" si="108"/>
        <v>Steam Traps- Venturi_Industrial/Process Audit - 125 ≤ psig &lt; 175_CI/SMB_0.0962</v>
      </c>
      <c r="B4268" s="303" t="s">
        <v>1381</v>
      </c>
      <c r="C4268" s="304" t="s">
        <v>1374</v>
      </c>
      <c r="D4268" s="303" t="s">
        <v>970</v>
      </c>
      <c r="E4268" s="340">
        <v>9.6199999999999994E-2</v>
      </c>
      <c r="F4268" s="340"/>
      <c r="G4268" s="343">
        <v>9.6199999999999994E-2</v>
      </c>
      <c r="H4268" s="340"/>
      <c r="I4268" s="305" t="s">
        <v>152</v>
      </c>
      <c r="J4268" s="305" t="s">
        <v>130</v>
      </c>
      <c r="K4268" s="305" t="s">
        <v>2161</v>
      </c>
    </row>
    <row r="4269" spans="1:11" x14ac:dyDescent="0.25">
      <c r="A4269" s="302" t="str">
        <f t="shared" si="108"/>
        <v>Steam Traps- Venturi_Industrial/Process Audit - 125 ≤ psig &lt; 175_CI/SMB_T1</v>
      </c>
      <c r="B4269" s="303" t="s">
        <v>1381</v>
      </c>
      <c r="C4269" s="304" t="s">
        <v>1374</v>
      </c>
      <c r="D4269" s="303" t="s">
        <v>970</v>
      </c>
      <c r="E4269" s="340" t="s">
        <v>511</v>
      </c>
      <c r="F4269" s="340"/>
      <c r="G4269" s="341">
        <f>G4266*(G4267^G4268)</f>
        <v>827.91804679204643</v>
      </c>
      <c r="H4269" s="340" t="s">
        <v>654</v>
      </c>
      <c r="I4269" s="305" t="s">
        <v>152</v>
      </c>
      <c r="J4269" s="305" t="s">
        <v>130</v>
      </c>
      <c r="K4269" s="305" t="s">
        <v>2161</v>
      </c>
    </row>
    <row r="4270" spans="1:11" x14ac:dyDescent="0.25">
      <c r="A4270" s="302" t="str">
        <f t="shared" si="108"/>
        <v>Steam Traps- Venturi_Industrial/Process Audit - 125 ≤ psig &lt; 175_CI/SMB_Tsource</v>
      </c>
      <c r="B4270" s="303" t="s">
        <v>1381</v>
      </c>
      <c r="C4270" s="304" t="s">
        <v>1374</v>
      </c>
      <c r="D4270" s="303" t="s">
        <v>970</v>
      </c>
      <c r="E4270" s="340" t="s">
        <v>512</v>
      </c>
      <c r="F4270" s="340"/>
      <c r="G4270" s="341">
        <v>513.66999999999996</v>
      </c>
      <c r="H4270" s="340" t="s">
        <v>655</v>
      </c>
      <c r="I4270" s="305" t="s">
        <v>152</v>
      </c>
      <c r="J4270" s="305" t="s">
        <v>130</v>
      </c>
      <c r="K4270" s="305" t="s">
        <v>2161</v>
      </c>
    </row>
    <row r="4271" spans="1:11" x14ac:dyDescent="0.25">
      <c r="A4271" s="302" t="str">
        <f t="shared" si="108"/>
        <v>Steam Traps- Venturi_Industrial/Process Audit - 125 ≤ psig &lt; 175_CI/SMB_Hours of Operation</v>
      </c>
      <c r="B4271" s="303" t="s">
        <v>1381</v>
      </c>
      <c r="C4271" s="304" t="s">
        <v>1374</v>
      </c>
      <c r="D4271" s="303" t="s">
        <v>970</v>
      </c>
      <c r="E4271" s="305" t="s">
        <v>460</v>
      </c>
      <c r="F4271" s="309" t="s">
        <v>647</v>
      </c>
      <c r="G4271" s="354">
        <v>8282</v>
      </c>
      <c r="H4271" s="305" t="s">
        <v>226</v>
      </c>
      <c r="I4271" s="305" t="s">
        <v>152</v>
      </c>
      <c r="J4271" s="305" t="s">
        <v>130</v>
      </c>
      <c r="K4271" s="305" t="s">
        <v>2161</v>
      </c>
    </row>
    <row r="4272" spans="1:11" x14ac:dyDescent="0.25">
      <c r="A4272" s="302" t="str">
        <f t="shared" si="108"/>
        <v>Steam Traps- Venturi_Industrial/Process Audit - 125 ≤ psig &lt; 175_CI/SMB_L</v>
      </c>
      <c r="B4272" s="303" t="s">
        <v>1381</v>
      </c>
      <c r="C4272" s="304" t="s">
        <v>1374</v>
      </c>
      <c r="D4272" s="303" t="s">
        <v>970</v>
      </c>
      <c r="E4272" s="305" t="s">
        <v>437</v>
      </c>
      <c r="F4272" s="309"/>
      <c r="G4272" s="306">
        <v>1</v>
      </c>
      <c r="H4272" s="305" t="s">
        <v>1280</v>
      </c>
      <c r="I4272" s="305" t="s">
        <v>152</v>
      </c>
      <c r="J4272" s="305" t="s">
        <v>130</v>
      </c>
      <c r="K4272" s="305" t="s">
        <v>2161</v>
      </c>
    </row>
    <row r="4273" spans="1:11" x14ac:dyDescent="0.25">
      <c r="A4273" s="302" t="str">
        <f t="shared" si="108"/>
        <v>Steam Traps- Venturi_Industrial/Process Audit - 125 ≤ psig &lt; 175_CI/SMB_Conversion</v>
      </c>
      <c r="B4273" s="303" t="s">
        <v>1381</v>
      </c>
      <c r="C4273" s="304" t="s">
        <v>1374</v>
      </c>
      <c r="D4273" s="303" t="s">
        <v>970</v>
      </c>
      <c r="E4273" s="305" t="s">
        <v>284</v>
      </c>
      <c r="F4273" s="309" t="s">
        <v>622</v>
      </c>
      <c r="G4273" s="325">
        <v>100000</v>
      </c>
      <c r="H4273" s="305"/>
      <c r="I4273" s="305" t="s">
        <v>152</v>
      </c>
      <c r="J4273" s="305" t="s">
        <v>130</v>
      </c>
      <c r="K4273" s="305" t="s">
        <v>2161</v>
      </c>
    </row>
    <row r="4274" spans="1:11" x14ac:dyDescent="0.25">
      <c r="A4274" s="302" t="str">
        <f t="shared" si="108"/>
        <v>Steam Traps- Venturi_Industrial/Process Audit - 125 ≤ psig &lt; 175_CI/SMB_n_B</v>
      </c>
      <c r="B4274" s="303" t="s">
        <v>1381</v>
      </c>
      <c r="C4274" s="304" t="s">
        <v>1374</v>
      </c>
      <c r="D4274" s="303" t="s">
        <v>970</v>
      </c>
      <c r="E4274" s="340" t="s">
        <v>657</v>
      </c>
      <c r="F4274" s="341"/>
      <c r="G4274" s="346">
        <v>0.80700000000000005</v>
      </c>
      <c r="H4274" s="340" t="s">
        <v>665</v>
      </c>
      <c r="I4274" s="305" t="s">
        <v>152</v>
      </c>
      <c r="J4274" s="305" t="s">
        <v>130</v>
      </c>
      <c r="K4274" s="305" t="s">
        <v>2161</v>
      </c>
    </row>
    <row r="4275" spans="1:11" x14ac:dyDescent="0.25">
      <c r="A4275" s="302" t="str">
        <f t="shared" si="108"/>
        <v>Steam Traps- Venturi_Industrial/Process Audit - 125 ≤ psig &lt; 175_CI/SMB_kWh Saved per Unit</v>
      </c>
      <c r="B4275" s="303" t="s">
        <v>1381</v>
      </c>
      <c r="C4275" s="304" t="s">
        <v>1374</v>
      </c>
      <c r="D4275" s="303" t="s">
        <v>970</v>
      </c>
      <c r="E4275" s="314" t="s">
        <v>255</v>
      </c>
      <c r="F4275" s="326"/>
      <c r="G4275" s="315">
        <f>G4262</f>
        <v>155.65199082000001</v>
      </c>
      <c r="H4275" s="305"/>
      <c r="I4275" s="305" t="s">
        <v>152</v>
      </c>
      <c r="J4275" s="305" t="s">
        <v>130</v>
      </c>
      <c r="K4275" s="305" t="s">
        <v>2161</v>
      </c>
    </row>
    <row r="4276" spans="1:11" x14ac:dyDescent="0.25">
      <c r="A4276" s="302" t="str">
        <f t="shared" si="108"/>
        <v>Steam Traps- Venturi_Industrial/Process Audit - 125 ≤ psig &lt; 175_CI/SMB_Coincident Peak kW Saved per Unit</v>
      </c>
      <c r="B4276" s="303" t="s">
        <v>1381</v>
      </c>
      <c r="C4276" s="304" t="s">
        <v>1374</v>
      </c>
      <c r="D4276" s="303" t="s">
        <v>970</v>
      </c>
      <c r="E4276" s="314" t="s">
        <v>257</v>
      </c>
      <c r="F4276" s="326"/>
      <c r="G4276" s="315">
        <v>0</v>
      </c>
      <c r="H4276" s="305"/>
      <c r="I4276" s="305" t="s">
        <v>152</v>
      </c>
      <c r="J4276" s="305" t="s">
        <v>130</v>
      </c>
      <c r="K4276" s="305" t="s">
        <v>2161</v>
      </c>
    </row>
    <row r="4277" spans="1:11" x14ac:dyDescent="0.25">
      <c r="A4277" s="302" t="str">
        <f t="shared" si="108"/>
        <v>Steam Traps- Venturi_Industrial/Process Audit - 125 ≤ psig &lt; 175_CI/SMB_Therm Saved per Unit</v>
      </c>
      <c r="B4277" s="303" t="s">
        <v>1381</v>
      </c>
      <c r="C4277" s="304" t="s">
        <v>1374</v>
      </c>
      <c r="D4277" s="303" t="s">
        <v>970</v>
      </c>
      <c r="E4277" s="314" t="s">
        <v>326</v>
      </c>
      <c r="F4277" s="326"/>
      <c r="G4277" s="315">
        <f xml:space="preserve"> G4263 * (G4264 + G4265 * (G4269 - G4270)) * G4271 * G4272 / (G4273 * G4274)</f>
        <v>7334.7468920022948</v>
      </c>
      <c r="H4277" s="305"/>
      <c r="I4277" s="305" t="s">
        <v>152</v>
      </c>
      <c r="J4277" s="305" t="s">
        <v>130</v>
      </c>
      <c r="K4277" s="305" t="s">
        <v>2161</v>
      </c>
    </row>
    <row r="4278" spans="1:11" x14ac:dyDescent="0.25">
      <c r="A4278" s="302" t="str">
        <f t="shared" si="108"/>
        <v>Steam Traps- Venturi_Industrial/Process Audit - 125 ≤ psig &lt; 175_CI/SMB_Gallons Saved per Unit</v>
      </c>
      <c r="B4278" s="303" t="s">
        <v>1381</v>
      </c>
      <c r="C4278" s="304" t="s">
        <v>1374</v>
      </c>
      <c r="D4278" s="303" t="s">
        <v>970</v>
      </c>
      <c r="E4278" s="314" t="s">
        <v>547</v>
      </c>
      <c r="F4278" s="326"/>
      <c r="G4278" s="315">
        <f>G4259</f>
        <v>60541.42</v>
      </c>
      <c r="H4278" s="305"/>
      <c r="I4278" s="305" t="s">
        <v>152</v>
      </c>
      <c r="J4278" s="305" t="s">
        <v>130</v>
      </c>
      <c r="K4278" s="305" t="s">
        <v>2161</v>
      </c>
    </row>
    <row r="4279" spans="1:11" x14ac:dyDescent="0.25">
      <c r="A4279" s="302" t="str">
        <f t="shared" si="108"/>
        <v>Steam Traps- Venturi_Industrial/Process Audit - 125 ≤ psig &lt; 175_CI/SMB_Lifetime (years)</v>
      </c>
      <c r="B4279" s="303" t="s">
        <v>1381</v>
      </c>
      <c r="C4279" s="304" t="s">
        <v>1374</v>
      </c>
      <c r="D4279" s="303" t="s">
        <v>970</v>
      </c>
      <c r="E4279" s="314" t="s">
        <v>259</v>
      </c>
      <c r="F4279" s="326"/>
      <c r="G4279" s="326">
        <v>20</v>
      </c>
      <c r="H4279" s="305" t="s">
        <v>1382</v>
      </c>
      <c r="I4279" s="305" t="s">
        <v>152</v>
      </c>
      <c r="J4279" s="305" t="s">
        <v>130</v>
      </c>
      <c r="K4279" s="305" t="s">
        <v>2161</v>
      </c>
    </row>
    <row r="4280" spans="1:11" x14ac:dyDescent="0.25">
      <c r="A4280" s="302" t="str">
        <f t="shared" si="108"/>
        <v>Steam Traps- Venturi_Industrial/Process Audit - 125 ≤ psig &lt; 175_CI/SMB_Incremental Cost</v>
      </c>
      <c r="B4280" s="303" t="s">
        <v>1381</v>
      </c>
      <c r="C4280" s="304" t="s">
        <v>1374</v>
      </c>
      <c r="D4280" s="303" t="s">
        <v>970</v>
      </c>
      <c r="E4280" s="314" t="s">
        <v>260</v>
      </c>
      <c r="F4280" s="326"/>
      <c r="G4280" s="315">
        <v>322</v>
      </c>
      <c r="H4280" s="305" t="s">
        <v>1373</v>
      </c>
      <c r="I4280" s="305" t="s">
        <v>152</v>
      </c>
      <c r="J4280" s="305" t="s">
        <v>130</v>
      </c>
      <c r="K4280" s="305" t="s">
        <v>2161</v>
      </c>
    </row>
    <row r="4281" spans="1:11" x14ac:dyDescent="0.25">
      <c r="A4281" s="317" t="str">
        <f t="shared" si="108"/>
        <v>Steam Traps- Venturi_Industrial/Process Audit - 125 ≤ psig &lt; 175_CI/SMB_</v>
      </c>
      <c r="B4281" s="317" t="str">
        <f>B4280</f>
        <v>Steam Traps- Venturi</v>
      </c>
      <c r="C4281" s="332" t="str">
        <f>C4280</f>
        <v>Industrial/Process Audit - 125 ≤ psig &lt; 175</v>
      </c>
      <c r="D4281" s="317" t="str">
        <f>D4280</f>
        <v>CI/SMB</v>
      </c>
      <c r="E4281" s="320"/>
      <c r="F4281" s="320"/>
      <c r="G4281" s="329"/>
      <c r="H4281" s="320"/>
      <c r="I4281" s="320"/>
      <c r="J4281" s="320"/>
      <c r="K4281" s="320"/>
    </row>
    <row r="4282" spans="1:11" x14ac:dyDescent="0.25">
      <c r="A4282" s="302" t="str">
        <f t="shared" si="108"/>
        <v>Steam Traps- Venturi_Industrial/Process Audit - 175 ≤ psig &lt; 250_CI/SMB_GAL</v>
      </c>
      <c r="B4282" s="303" t="s">
        <v>1381</v>
      </c>
      <c r="C4282" s="304" t="s">
        <v>1375</v>
      </c>
      <c r="D4282" s="303" t="s">
        <v>970</v>
      </c>
      <c r="E4282" s="305" t="s">
        <v>513</v>
      </c>
      <c r="F4282" s="309"/>
      <c r="G4282" s="306">
        <v>9.86</v>
      </c>
      <c r="H4282" s="305" t="s">
        <v>227</v>
      </c>
      <c r="I4282" s="305" t="s">
        <v>152</v>
      </c>
      <c r="J4282" s="305" t="s">
        <v>130</v>
      </c>
      <c r="K4282" s="305" t="s">
        <v>2161</v>
      </c>
    </row>
    <row r="4283" spans="1:11" x14ac:dyDescent="0.25">
      <c r="A4283" s="302" t="str">
        <f t="shared" si="108"/>
        <v>Steam Traps- Venturi_Industrial/Process Audit - 175 ≤ psig &lt; 250_CI/SMB_Hours of Operation</v>
      </c>
      <c r="B4283" s="303" t="s">
        <v>1381</v>
      </c>
      <c r="C4283" s="304" t="s">
        <v>1375</v>
      </c>
      <c r="D4283" s="303" t="s">
        <v>970</v>
      </c>
      <c r="E4283" s="305" t="s">
        <v>460</v>
      </c>
      <c r="F4283" s="309" t="s">
        <v>647</v>
      </c>
      <c r="G4283" s="354">
        <v>8282</v>
      </c>
      <c r="H4283" s="305" t="s">
        <v>227</v>
      </c>
      <c r="I4283" s="305" t="s">
        <v>152</v>
      </c>
      <c r="J4283" s="305" t="s">
        <v>130</v>
      </c>
      <c r="K4283" s="305" t="s">
        <v>2161</v>
      </c>
    </row>
    <row r="4284" spans="1:11" x14ac:dyDescent="0.25">
      <c r="A4284" s="302" t="str">
        <f t="shared" si="108"/>
        <v>Steam Traps- Venturi_Industrial/Process Audit - 175 ≤ psig &lt; 250_CI/SMB_L</v>
      </c>
      <c r="B4284" s="303" t="s">
        <v>1381</v>
      </c>
      <c r="C4284" s="304" t="s">
        <v>1375</v>
      </c>
      <c r="D4284" s="303" t="s">
        <v>970</v>
      </c>
      <c r="E4284" s="305" t="s">
        <v>437</v>
      </c>
      <c r="F4284" s="309"/>
      <c r="G4284" s="306">
        <v>1</v>
      </c>
      <c r="H4284" s="305" t="s">
        <v>1280</v>
      </c>
      <c r="I4284" s="305" t="s">
        <v>152</v>
      </c>
      <c r="J4284" s="305" t="s">
        <v>130</v>
      </c>
      <c r="K4284" s="305" t="s">
        <v>2161</v>
      </c>
    </row>
    <row r="4285" spans="1:11" x14ac:dyDescent="0.25">
      <c r="A4285" s="302" t="str">
        <f t="shared" si="108"/>
        <v>Steam Traps- Venturi_Industrial/Process Audit - 175 ≤ psig &lt; 250_CI/SMB_Delta_Water_Gallons</v>
      </c>
      <c r="B4285" s="303" t="s">
        <v>1381</v>
      </c>
      <c r="C4285" s="304" t="s">
        <v>1375</v>
      </c>
      <c r="D4285" s="303" t="s">
        <v>970</v>
      </c>
      <c r="E4285" s="305" t="s">
        <v>456</v>
      </c>
      <c r="F4285" s="305"/>
      <c r="G4285" s="307">
        <f>G4282*G4283*G4284</f>
        <v>81660.51999999999</v>
      </c>
      <c r="H4285" s="305"/>
      <c r="I4285" s="305" t="s">
        <v>152</v>
      </c>
      <c r="J4285" s="305" t="s">
        <v>130</v>
      </c>
      <c r="K4285" s="305" t="s">
        <v>2161</v>
      </c>
    </row>
    <row r="4286" spans="1:11" x14ac:dyDescent="0.25">
      <c r="A4286" s="302" t="str">
        <f t="shared" si="108"/>
        <v>Steam Traps- Venturi_Industrial/Process Audit - 175 ≤ psig &lt; 250_CI/SMB_Conversion</v>
      </c>
      <c r="B4286" s="303" t="s">
        <v>1381</v>
      </c>
      <c r="C4286" s="304" t="s">
        <v>1375</v>
      </c>
      <c r="D4286" s="303" t="s">
        <v>970</v>
      </c>
      <c r="E4286" s="305" t="s">
        <v>284</v>
      </c>
      <c r="F4286" s="305"/>
      <c r="G4286" s="354">
        <v>1000000</v>
      </c>
      <c r="H4286" s="305"/>
      <c r="I4286" s="305" t="s">
        <v>152</v>
      </c>
      <c r="J4286" s="305" t="s">
        <v>130</v>
      </c>
      <c r="K4286" s="305" t="s">
        <v>2161</v>
      </c>
    </row>
    <row r="4287" spans="1:11" x14ac:dyDescent="0.25">
      <c r="A4287" s="302" t="str">
        <f t="shared" si="108"/>
        <v>Steam Traps- Venturi_Industrial/Process Audit - 175 ≤ psig &lt; 250_CI/SMB_E_water_supply</v>
      </c>
      <c r="B4287" s="303" t="s">
        <v>1381</v>
      </c>
      <c r="C4287" s="304" t="s">
        <v>1375</v>
      </c>
      <c r="D4287" s="303" t="s">
        <v>970</v>
      </c>
      <c r="E4287" s="305" t="s">
        <v>457</v>
      </c>
      <c r="F4287" s="305"/>
      <c r="G4287" s="307">
        <v>2571</v>
      </c>
      <c r="H4287" s="305"/>
      <c r="I4287" s="305" t="s">
        <v>152</v>
      </c>
      <c r="J4287" s="305" t="s">
        <v>130</v>
      </c>
      <c r="K4287" s="305" t="s">
        <v>2161</v>
      </c>
    </row>
    <row r="4288" spans="1:11" x14ac:dyDescent="0.25">
      <c r="A4288" s="302" t="str">
        <f t="shared" si="108"/>
        <v>Steam Traps- Venturi_Industrial/Process Audit - 175 ≤ psig &lt; 250_CI/SMB_Delta_kWh_water</v>
      </c>
      <c r="B4288" s="303" t="s">
        <v>1381</v>
      </c>
      <c r="C4288" s="304" t="s">
        <v>1375</v>
      </c>
      <c r="D4288" s="303" t="s">
        <v>970</v>
      </c>
      <c r="E4288" s="305" t="s">
        <v>334</v>
      </c>
      <c r="F4288" s="305"/>
      <c r="G4288" s="307">
        <f>G4285/G4286*G4287</f>
        <v>209.94919691999996</v>
      </c>
      <c r="H4288" s="305"/>
      <c r="I4288" s="305" t="s">
        <v>152</v>
      </c>
      <c r="J4288" s="305" t="s">
        <v>130</v>
      </c>
      <c r="K4288" s="305" t="s">
        <v>2161</v>
      </c>
    </row>
    <row r="4289" spans="1:11" x14ac:dyDescent="0.25">
      <c r="A4289" s="302" t="str">
        <f t="shared" si="108"/>
        <v>Steam Traps- Venturi_Industrial/Process Audit - 175 ≤ psig &lt; 250_CI/SMB_Sa</v>
      </c>
      <c r="B4289" s="303" t="s">
        <v>1381</v>
      </c>
      <c r="C4289" s="304" t="s">
        <v>1375</v>
      </c>
      <c r="D4289" s="303" t="s">
        <v>970</v>
      </c>
      <c r="E4289" s="305" t="s">
        <v>507</v>
      </c>
      <c r="F4289" s="305"/>
      <c r="G4289" s="307">
        <v>82.1</v>
      </c>
      <c r="H4289" s="305" t="s">
        <v>227</v>
      </c>
      <c r="I4289" s="305" t="s">
        <v>152</v>
      </c>
      <c r="J4289" s="305" t="s">
        <v>130</v>
      </c>
      <c r="K4289" s="305" t="s">
        <v>2161</v>
      </c>
    </row>
    <row r="4290" spans="1:11" x14ac:dyDescent="0.25">
      <c r="A4290" s="302" t="str">
        <f t="shared" si="108"/>
        <v>Steam Traps- Venturi_Industrial/Process Audit - 175 ≤ psig &lt; 250_CI/SMB_Hv</v>
      </c>
      <c r="B4290" s="303" t="s">
        <v>1381</v>
      </c>
      <c r="C4290" s="304" t="s">
        <v>1375</v>
      </c>
      <c r="D4290" s="303" t="s">
        <v>970</v>
      </c>
      <c r="E4290" s="305" t="s">
        <v>508</v>
      </c>
      <c r="F4290" s="305"/>
      <c r="G4290" s="307">
        <v>837</v>
      </c>
      <c r="H4290" s="305" t="s">
        <v>227</v>
      </c>
      <c r="I4290" s="305" t="s">
        <v>152</v>
      </c>
      <c r="J4290" s="305" t="s">
        <v>130</v>
      </c>
      <c r="K4290" s="305" t="s">
        <v>2161</v>
      </c>
    </row>
    <row r="4291" spans="1:11" x14ac:dyDescent="0.25">
      <c r="A4291" s="302" t="str">
        <f t="shared" si="108"/>
        <v>Steam Traps- Venturi_Industrial/Process Audit - 175 ≤ psig &lt; 250_CI/SMB_Hs</v>
      </c>
      <c r="B4291" s="303" t="s">
        <v>1381</v>
      </c>
      <c r="C4291" s="304" t="s">
        <v>1375</v>
      </c>
      <c r="D4291" s="303" t="s">
        <v>970</v>
      </c>
      <c r="E4291" s="340" t="s">
        <v>509</v>
      </c>
      <c r="F4291" s="340"/>
      <c r="G4291" s="341">
        <v>1.0009999999999999</v>
      </c>
      <c r="H4291" s="340" t="s">
        <v>652</v>
      </c>
      <c r="I4291" s="305" t="s">
        <v>152</v>
      </c>
      <c r="J4291" s="305" t="s">
        <v>130</v>
      </c>
      <c r="K4291" s="305" t="s">
        <v>2161</v>
      </c>
    </row>
    <row r="4292" spans="1:11" x14ac:dyDescent="0.25">
      <c r="A4292" s="302" t="str">
        <f t="shared" si="108"/>
        <v>Steam Traps- Venturi_Industrial/Process Audit - 175 ≤ psig &lt; 250_CI/SMB_507.89</v>
      </c>
      <c r="B4292" s="303" t="s">
        <v>1381</v>
      </c>
      <c r="C4292" s="304" t="s">
        <v>1375</v>
      </c>
      <c r="D4292" s="303" t="s">
        <v>970</v>
      </c>
      <c r="E4292" s="342">
        <v>507.89</v>
      </c>
      <c r="F4292" s="340"/>
      <c r="G4292" s="341">
        <v>507.89</v>
      </c>
      <c r="H4292" s="340"/>
      <c r="I4292" s="305" t="s">
        <v>152</v>
      </c>
      <c r="J4292" s="305" t="s">
        <v>130</v>
      </c>
      <c r="K4292" s="305" t="s">
        <v>2161</v>
      </c>
    </row>
    <row r="4293" spans="1:11" x14ac:dyDescent="0.25">
      <c r="A4293" s="302" t="str">
        <f t="shared" si="108"/>
        <v>Steam Traps- Venturi_Industrial/Process Audit - 175 ≤ psig &lt; 250_CI/SMB_P1</v>
      </c>
      <c r="B4293" s="303" t="s">
        <v>1381</v>
      </c>
      <c r="C4293" s="304" t="s">
        <v>1375</v>
      </c>
      <c r="D4293" s="303" t="s">
        <v>970</v>
      </c>
      <c r="E4293" s="340" t="s">
        <v>510</v>
      </c>
      <c r="F4293" s="340"/>
      <c r="G4293" s="341">
        <f>202+14.696</f>
        <v>216.696</v>
      </c>
      <c r="H4293" s="340" t="s">
        <v>1371</v>
      </c>
      <c r="I4293" s="305" t="s">
        <v>152</v>
      </c>
      <c r="J4293" s="305" t="s">
        <v>130</v>
      </c>
      <c r="K4293" s="305" t="s">
        <v>2161</v>
      </c>
    </row>
    <row r="4294" spans="1:11" x14ac:dyDescent="0.25">
      <c r="A4294" s="302" t="str">
        <f t="shared" si="108"/>
        <v>Steam Traps- Venturi_Industrial/Process Audit - 175 ≤ psig &lt; 250_CI/SMB_0.0962</v>
      </c>
      <c r="B4294" s="303" t="s">
        <v>1381</v>
      </c>
      <c r="C4294" s="304" t="s">
        <v>1375</v>
      </c>
      <c r="D4294" s="303" t="s">
        <v>970</v>
      </c>
      <c r="E4294" s="340">
        <v>9.6199999999999994E-2</v>
      </c>
      <c r="F4294" s="340"/>
      <c r="G4294" s="343">
        <v>9.6199999999999994E-2</v>
      </c>
      <c r="H4294" s="340"/>
      <c r="I4294" s="305" t="s">
        <v>152</v>
      </c>
      <c r="J4294" s="305" t="s">
        <v>130</v>
      </c>
      <c r="K4294" s="305" t="s">
        <v>2161</v>
      </c>
    </row>
    <row r="4295" spans="1:11" x14ac:dyDescent="0.25">
      <c r="A4295" s="302" t="str">
        <f t="shared" si="108"/>
        <v>Steam Traps- Venturi_Industrial/Process Audit - 175 ≤ psig &lt; 250_CI/SMB_T1</v>
      </c>
      <c r="B4295" s="303" t="s">
        <v>1381</v>
      </c>
      <c r="C4295" s="304" t="s">
        <v>1375</v>
      </c>
      <c r="D4295" s="303" t="s">
        <v>970</v>
      </c>
      <c r="E4295" s="340" t="s">
        <v>511</v>
      </c>
      <c r="F4295" s="340"/>
      <c r="G4295" s="341">
        <f>G4292*(G4293^G4294)</f>
        <v>852.07636317855679</v>
      </c>
      <c r="H4295" s="340" t="s">
        <v>654</v>
      </c>
      <c r="I4295" s="305" t="s">
        <v>152</v>
      </c>
      <c r="J4295" s="305" t="s">
        <v>130</v>
      </c>
      <c r="K4295" s="305" t="s">
        <v>2161</v>
      </c>
    </row>
    <row r="4296" spans="1:11" x14ac:dyDescent="0.25">
      <c r="A4296" s="302" t="str">
        <f t="shared" si="108"/>
        <v>Steam Traps- Venturi_Industrial/Process Audit - 175 ≤ psig &lt; 250_CI/SMB_Tsource</v>
      </c>
      <c r="B4296" s="303" t="s">
        <v>1381</v>
      </c>
      <c r="C4296" s="304" t="s">
        <v>1375</v>
      </c>
      <c r="D4296" s="303" t="s">
        <v>970</v>
      </c>
      <c r="E4296" s="340" t="s">
        <v>512</v>
      </c>
      <c r="F4296" s="340"/>
      <c r="G4296" s="341">
        <v>513.66999999999996</v>
      </c>
      <c r="H4296" s="340" t="s">
        <v>655</v>
      </c>
      <c r="I4296" s="305" t="s">
        <v>152</v>
      </c>
      <c r="J4296" s="305" t="s">
        <v>130</v>
      </c>
      <c r="K4296" s="305" t="s">
        <v>2161</v>
      </c>
    </row>
    <row r="4297" spans="1:11" x14ac:dyDescent="0.25">
      <c r="A4297" s="302" t="str">
        <f t="shared" si="108"/>
        <v>Steam Traps- Venturi_Industrial/Process Audit - 175 ≤ psig &lt; 250_CI/SMB_Hours of Operation</v>
      </c>
      <c r="B4297" s="303" t="s">
        <v>1381</v>
      </c>
      <c r="C4297" s="304" t="s">
        <v>1375</v>
      </c>
      <c r="D4297" s="303" t="s">
        <v>970</v>
      </c>
      <c r="E4297" s="305" t="s">
        <v>460</v>
      </c>
      <c r="F4297" s="309" t="s">
        <v>647</v>
      </c>
      <c r="G4297" s="354">
        <v>8282</v>
      </c>
      <c r="H4297" s="305" t="s">
        <v>227</v>
      </c>
      <c r="I4297" s="305" t="s">
        <v>152</v>
      </c>
      <c r="J4297" s="305" t="s">
        <v>130</v>
      </c>
      <c r="K4297" s="305" t="s">
        <v>2161</v>
      </c>
    </row>
    <row r="4298" spans="1:11" x14ac:dyDescent="0.25">
      <c r="A4298" s="302" t="str">
        <f t="shared" si="108"/>
        <v>Steam Traps- Venturi_Industrial/Process Audit - 175 ≤ psig &lt; 250_CI/SMB_L</v>
      </c>
      <c r="B4298" s="303" t="s">
        <v>1381</v>
      </c>
      <c r="C4298" s="304" t="s">
        <v>1375</v>
      </c>
      <c r="D4298" s="303" t="s">
        <v>970</v>
      </c>
      <c r="E4298" s="305" t="s">
        <v>437</v>
      </c>
      <c r="F4298" s="309"/>
      <c r="G4298" s="306">
        <v>1</v>
      </c>
      <c r="H4298" s="305" t="s">
        <v>1280</v>
      </c>
      <c r="I4298" s="305" t="s">
        <v>152</v>
      </c>
      <c r="J4298" s="305" t="s">
        <v>130</v>
      </c>
      <c r="K4298" s="305" t="s">
        <v>2161</v>
      </c>
    </row>
    <row r="4299" spans="1:11" x14ac:dyDescent="0.25">
      <c r="A4299" s="302" t="str">
        <f t="shared" si="108"/>
        <v>Steam Traps- Venturi_Industrial/Process Audit - 175 ≤ psig &lt; 250_CI/SMB_Conversion</v>
      </c>
      <c r="B4299" s="303" t="s">
        <v>1381</v>
      </c>
      <c r="C4299" s="304" t="s">
        <v>1375</v>
      </c>
      <c r="D4299" s="303" t="s">
        <v>970</v>
      </c>
      <c r="E4299" s="305" t="s">
        <v>284</v>
      </c>
      <c r="F4299" s="309" t="s">
        <v>622</v>
      </c>
      <c r="G4299" s="325">
        <v>100000</v>
      </c>
      <c r="H4299" s="305"/>
      <c r="I4299" s="305" t="s">
        <v>152</v>
      </c>
      <c r="J4299" s="305" t="s">
        <v>130</v>
      </c>
      <c r="K4299" s="305" t="s">
        <v>2161</v>
      </c>
    </row>
    <row r="4300" spans="1:11" x14ac:dyDescent="0.25">
      <c r="A4300" s="302" t="str">
        <f t="shared" si="108"/>
        <v>Steam Traps- Venturi_Industrial/Process Audit - 175 ≤ psig &lt; 250_CI/SMB_n_B</v>
      </c>
      <c r="B4300" s="303" t="s">
        <v>1381</v>
      </c>
      <c r="C4300" s="304" t="s">
        <v>1375</v>
      </c>
      <c r="D4300" s="303" t="s">
        <v>970</v>
      </c>
      <c r="E4300" s="340" t="s">
        <v>657</v>
      </c>
      <c r="F4300" s="341"/>
      <c r="G4300" s="346">
        <v>0.80700000000000005</v>
      </c>
      <c r="H4300" s="340" t="s">
        <v>665</v>
      </c>
      <c r="I4300" s="305" t="s">
        <v>152</v>
      </c>
      <c r="J4300" s="305" t="s">
        <v>130</v>
      </c>
      <c r="K4300" s="305" t="s">
        <v>2161</v>
      </c>
    </row>
    <row r="4301" spans="1:11" x14ac:dyDescent="0.25">
      <c r="A4301" s="302" t="str">
        <f t="shared" si="108"/>
        <v>Steam Traps- Venturi_Industrial/Process Audit - 175 ≤ psig &lt; 250_CI/SMB_kWh Saved per Unit</v>
      </c>
      <c r="B4301" s="303" t="s">
        <v>1381</v>
      </c>
      <c r="C4301" s="304" t="s">
        <v>1375</v>
      </c>
      <c r="D4301" s="303" t="s">
        <v>970</v>
      </c>
      <c r="E4301" s="314" t="s">
        <v>255</v>
      </c>
      <c r="F4301" s="326"/>
      <c r="G4301" s="315">
        <f>G4288</f>
        <v>209.94919691999996</v>
      </c>
      <c r="H4301" s="305"/>
      <c r="I4301" s="305" t="s">
        <v>152</v>
      </c>
      <c r="J4301" s="305" t="s">
        <v>130</v>
      </c>
      <c r="K4301" s="305" t="s">
        <v>2161</v>
      </c>
    </row>
    <row r="4302" spans="1:11" x14ac:dyDescent="0.25">
      <c r="A4302" s="302" t="str">
        <f t="shared" si="108"/>
        <v>Steam Traps- Venturi_Industrial/Process Audit - 175 ≤ psig &lt; 250_CI/SMB_Coincident Peak kW Saved per Unit</v>
      </c>
      <c r="B4302" s="303" t="s">
        <v>1381</v>
      </c>
      <c r="C4302" s="304" t="s">
        <v>1375</v>
      </c>
      <c r="D4302" s="303" t="s">
        <v>970</v>
      </c>
      <c r="E4302" s="314" t="s">
        <v>257</v>
      </c>
      <c r="F4302" s="326"/>
      <c r="G4302" s="315">
        <v>0</v>
      </c>
      <c r="H4302" s="305"/>
      <c r="I4302" s="305" t="s">
        <v>152</v>
      </c>
      <c r="J4302" s="305" t="s">
        <v>130</v>
      </c>
      <c r="K4302" s="305" t="s">
        <v>2161</v>
      </c>
    </row>
    <row r="4303" spans="1:11" x14ac:dyDescent="0.25">
      <c r="A4303" s="302" t="str">
        <f t="shared" si="108"/>
        <v>Steam Traps- Venturi_Industrial/Process Audit - 175 ≤ psig &lt; 250_CI/SMB_Therm Saved per Unit</v>
      </c>
      <c r="B4303" s="303" t="s">
        <v>1381</v>
      </c>
      <c r="C4303" s="304" t="s">
        <v>1375</v>
      </c>
      <c r="D4303" s="303" t="s">
        <v>970</v>
      </c>
      <c r="E4303" s="314" t="s">
        <v>326</v>
      </c>
      <c r="F4303" s="326"/>
      <c r="G4303" s="315">
        <f xml:space="preserve"> G4289 * (G4290 + G4291 * (G4295 - G4296)) * G4297 * G4298 / (G4299 * G4300)</f>
        <v>9906.4466256306805</v>
      </c>
      <c r="H4303" s="305"/>
      <c r="I4303" s="305" t="s">
        <v>152</v>
      </c>
      <c r="J4303" s="305" t="s">
        <v>130</v>
      </c>
      <c r="K4303" s="305" t="s">
        <v>2161</v>
      </c>
    </row>
    <row r="4304" spans="1:11" x14ac:dyDescent="0.25">
      <c r="A4304" s="302" t="str">
        <f t="shared" ref="A4304:A4367" si="109">B4304&amp;"_"&amp;C4304&amp;"_"&amp;D4304&amp;"_"&amp;E4304</f>
        <v>Steam Traps- Venturi_Industrial/Process Audit - 175 ≤ psig &lt; 250_CI/SMB_Gallons Saved per Unit</v>
      </c>
      <c r="B4304" s="303" t="s">
        <v>1381</v>
      </c>
      <c r="C4304" s="304" t="s">
        <v>1375</v>
      </c>
      <c r="D4304" s="303" t="s">
        <v>970</v>
      </c>
      <c r="E4304" s="314" t="s">
        <v>547</v>
      </c>
      <c r="F4304" s="326"/>
      <c r="G4304" s="315">
        <f>G4285</f>
        <v>81660.51999999999</v>
      </c>
      <c r="H4304" s="305"/>
      <c r="I4304" s="305" t="s">
        <v>152</v>
      </c>
      <c r="J4304" s="305" t="s">
        <v>130</v>
      </c>
      <c r="K4304" s="305" t="s">
        <v>2161</v>
      </c>
    </row>
    <row r="4305" spans="1:11" x14ac:dyDescent="0.25">
      <c r="A4305" s="302" t="str">
        <f t="shared" si="109"/>
        <v>Steam Traps- Venturi_Industrial/Process Audit - 175 ≤ psig &lt; 250_CI/SMB_Lifetime (years)</v>
      </c>
      <c r="B4305" s="303" t="s">
        <v>1381</v>
      </c>
      <c r="C4305" s="304" t="s">
        <v>1375</v>
      </c>
      <c r="D4305" s="303" t="s">
        <v>970</v>
      </c>
      <c r="E4305" s="314" t="s">
        <v>259</v>
      </c>
      <c r="F4305" s="326"/>
      <c r="G4305" s="326">
        <v>20</v>
      </c>
      <c r="H4305" s="305" t="s">
        <v>1382</v>
      </c>
      <c r="I4305" s="305" t="s">
        <v>152</v>
      </c>
      <c r="J4305" s="305" t="s">
        <v>130</v>
      </c>
      <c r="K4305" s="305" t="s">
        <v>2161</v>
      </c>
    </row>
    <row r="4306" spans="1:11" x14ac:dyDescent="0.25">
      <c r="A4306" s="302" t="str">
        <f t="shared" si="109"/>
        <v>Steam Traps- Venturi_Industrial/Process Audit - 175 ≤ psig &lt; 250_CI/SMB_Incremental Cost</v>
      </c>
      <c r="B4306" s="303" t="s">
        <v>1381</v>
      </c>
      <c r="C4306" s="304" t="s">
        <v>1375</v>
      </c>
      <c r="D4306" s="303" t="s">
        <v>970</v>
      </c>
      <c r="E4306" s="314" t="s">
        <v>260</v>
      </c>
      <c r="F4306" s="326"/>
      <c r="G4306" s="315">
        <v>370</v>
      </c>
      <c r="H4306" s="305" t="s">
        <v>1373</v>
      </c>
      <c r="I4306" s="305" t="s">
        <v>152</v>
      </c>
      <c r="J4306" s="305" t="s">
        <v>130</v>
      </c>
      <c r="K4306" s="305" t="s">
        <v>2161</v>
      </c>
    </row>
    <row r="4307" spans="1:11" x14ac:dyDescent="0.25">
      <c r="A4307" s="317" t="str">
        <f t="shared" si="109"/>
        <v>Steam Traps- Venturi_Industrial/Process Audit - 175 ≤ psig &lt; 250_CI/SMB_</v>
      </c>
      <c r="B4307" s="317" t="str">
        <f>B4306</f>
        <v>Steam Traps- Venturi</v>
      </c>
      <c r="C4307" s="332" t="str">
        <f>C4306</f>
        <v>Industrial/Process Audit - 175 ≤ psig &lt; 250</v>
      </c>
      <c r="D4307" s="317" t="str">
        <f>D4306</f>
        <v>CI/SMB</v>
      </c>
      <c r="E4307" s="320"/>
      <c r="F4307" s="320"/>
      <c r="G4307" s="329"/>
      <c r="H4307" s="320"/>
      <c r="I4307" s="320"/>
      <c r="J4307" s="320"/>
      <c r="K4307" s="320"/>
    </row>
    <row r="4308" spans="1:11" x14ac:dyDescent="0.25">
      <c r="A4308" s="302" t="str">
        <f t="shared" si="109"/>
        <v>Steam Traps- Venturi_Industrial/Process Audit - 250 ≤ psig_CI/SMB_GAL</v>
      </c>
      <c r="B4308" s="303" t="s">
        <v>1381</v>
      </c>
      <c r="C4308" s="304" t="s">
        <v>1376</v>
      </c>
      <c r="D4308" s="303" t="s">
        <v>970</v>
      </c>
      <c r="E4308" s="305" t="s">
        <v>513</v>
      </c>
      <c r="F4308" s="309"/>
      <c r="G4308" s="306">
        <v>12.63</v>
      </c>
      <c r="H4308" s="305" t="s">
        <v>228</v>
      </c>
      <c r="I4308" s="305" t="s">
        <v>152</v>
      </c>
      <c r="J4308" s="305" t="s">
        <v>130</v>
      </c>
      <c r="K4308" s="305" t="s">
        <v>2161</v>
      </c>
    </row>
    <row r="4309" spans="1:11" x14ac:dyDescent="0.25">
      <c r="A4309" s="302" t="str">
        <f t="shared" si="109"/>
        <v>Steam Traps- Venturi_Industrial/Process Audit - 250 ≤ psig_CI/SMB_Hours of Operation</v>
      </c>
      <c r="B4309" s="303" t="s">
        <v>1381</v>
      </c>
      <c r="C4309" s="304" t="s">
        <v>1376</v>
      </c>
      <c r="D4309" s="303" t="s">
        <v>970</v>
      </c>
      <c r="E4309" s="305" t="s">
        <v>460</v>
      </c>
      <c r="F4309" s="309" t="s">
        <v>647</v>
      </c>
      <c r="G4309" s="354">
        <v>8282</v>
      </c>
      <c r="H4309" s="305" t="s">
        <v>228</v>
      </c>
      <c r="I4309" s="305" t="s">
        <v>152</v>
      </c>
      <c r="J4309" s="305" t="s">
        <v>130</v>
      </c>
      <c r="K4309" s="305" t="s">
        <v>2161</v>
      </c>
    </row>
    <row r="4310" spans="1:11" x14ac:dyDescent="0.25">
      <c r="A4310" s="302" t="str">
        <f t="shared" si="109"/>
        <v>Steam Traps- Venturi_Industrial/Process Audit - 250 ≤ psig_CI/SMB_L</v>
      </c>
      <c r="B4310" s="303" t="s">
        <v>1381</v>
      </c>
      <c r="C4310" s="304" t="s">
        <v>1376</v>
      </c>
      <c r="D4310" s="303" t="s">
        <v>970</v>
      </c>
      <c r="E4310" s="305" t="s">
        <v>437</v>
      </c>
      <c r="F4310" s="309"/>
      <c r="G4310" s="306">
        <v>1</v>
      </c>
      <c r="H4310" s="305" t="s">
        <v>1280</v>
      </c>
      <c r="I4310" s="305" t="s">
        <v>152</v>
      </c>
      <c r="J4310" s="305" t="s">
        <v>130</v>
      </c>
      <c r="K4310" s="305" t="s">
        <v>2161</v>
      </c>
    </row>
    <row r="4311" spans="1:11" x14ac:dyDescent="0.25">
      <c r="A4311" s="302" t="str">
        <f t="shared" si="109"/>
        <v>Steam Traps- Venturi_Industrial/Process Audit - 250 ≤ psig_CI/SMB_Delta_Water_Gallons</v>
      </c>
      <c r="B4311" s="303" t="s">
        <v>1381</v>
      </c>
      <c r="C4311" s="304" t="s">
        <v>1376</v>
      </c>
      <c r="D4311" s="303" t="s">
        <v>970</v>
      </c>
      <c r="E4311" s="305" t="s">
        <v>456</v>
      </c>
      <c r="F4311" s="305"/>
      <c r="G4311" s="307">
        <f>G4308*G4309*G4310</f>
        <v>104601.66</v>
      </c>
      <c r="H4311" s="305"/>
      <c r="I4311" s="305" t="s">
        <v>152</v>
      </c>
      <c r="J4311" s="305" t="s">
        <v>130</v>
      </c>
      <c r="K4311" s="305" t="s">
        <v>2161</v>
      </c>
    </row>
    <row r="4312" spans="1:11" x14ac:dyDescent="0.25">
      <c r="A4312" s="302" t="str">
        <f t="shared" si="109"/>
        <v>Steam Traps- Venturi_Industrial/Process Audit - 250 ≤ psig_CI/SMB_Conversion</v>
      </c>
      <c r="B4312" s="303" t="s">
        <v>1381</v>
      </c>
      <c r="C4312" s="304" t="s">
        <v>1376</v>
      </c>
      <c r="D4312" s="303" t="s">
        <v>970</v>
      </c>
      <c r="E4312" s="305" t="s">
        <v>284</v>
      </c>
      <c r="F4312" s="305"/>
      <c r="G4312" s="354">
        <v>1000000</v>
      </c>
      <c r="H4312" s="305"/>
      <c r="I4312" s="305" t="s">
        <v>152</v>
      </c>
      <c r="J4312" s="305" t="s">
        <v>130</v>
      </c>
      <c r="K4312" s="305" t="s">
        <v>2161</v>
      </c>
    </row>
    <row r="4313" spans="1:11" x14ac:dyDescent="0.25">
      <c r="A4313" s="302" t="str">
        <f t="shared" si="109"/>
        <v>Steam Traps- Venturi_Industrial/Process Audit - 250 ≤ psig_CI/SMB_E_water_supply</v>
      </c>
      <c r="B4313" s="303" t="s">
        <v>1381</v>
      </c>
      <c r="C4313" s="304" t="s">
        <v>1376</v>
      </c>
      <c r="D4313" s="303" t="s">
        <v>970</v>
      </c>
      <c r="E4313" s="305" t="s">
        <v>457</v>
      </c>
      <c r="F4313" s="305"/>
      <c r="G4313" s="307">
        <v>2571</v>
      </c>
      <c r="H4313" s="305"/>
      <c r="I4313" s="305" t="s">
        <v>152</v>
      </c>
      <c r="J4313" s="305" t="s">
        <v>130</v>
      </c>
      <c r="K4313" s="305" t="s">
        <v>2161</v>
      </c>
    </row>
    <row r="4314" spans="1:11" x14ac:dyDescent="0.25">
      <c r="A4314" s="302" t="str">
        <f t="shared" si="109"/>
        <v>Steam Traps- Venturi_Industrial/Process Audit - 250 ≤ psig_CI/SMB_Delta_kWh_water</v>
      </c>
      <c r="B4314" s="303" t="s">
        <v>1381</v>
      </c>
      <c r="C4314" s="304" t="s">
        <v>1376</v>
      </c>
      <c r="D4314" s="303" t="s">
        <v>970</v>
      </c>
      <c r="E4314" s="305" t="s">
        <v>334</v>
      </c>
      <c r="F4314" s="305"/>
      <c r="G4314" s="307">
        <f>G4311/G4312*G4313</f>
        <v>268.93086785999998</v>
      </c>
      <c r="H4314" s="305"/>
      <c r="I4314" s="305" t="s">
        <v>152</v>
      </c>
      <c r="J4314" s="305" t="s">
        <v>130</v>
      </c>
      <c r="K4314" s="305" t="s">
        <v>2161</v>
      </c>
    </row>
    <row r="4315" spans="1:11" x14ac:dyDescent="0.25">
      <c r="A4315" s="302" t="str">
        <f t="shared" si="109"/>
        <v>Steam Traps- Venturi_Industrial/Process Audit - 250 ≤ psig_CI/SMB_Sa</v>
      </c>
      <c r="B4315" s="303" t="s">
        <v>1381</v>
      </c>
      <c r="C4315" s="304" t="s">
        <v>1376</v>
      </c>
      <c r="D4315" s="303" t="s">
        <v>970</v>
      </c>
      <c r="E4315" s="305" t="s">
        <v>507</v>
      </c>
      <c r="F4315" s="305"/>
      <c r="G4315" s="307">
        <v>105.2</v>
      </c>
      <c r="H4315" s="305" t="s">
        <v>228</v>
      </c>
      <c r="I4315" s="305" t="s">
        <v>152</v>
      </c>
      <c r="J4315" s="305" t="s">
        <v>130</v>
      </c>
      <c r="K4315" s="305" t="s">
        <v>2161</v>
      </c>
    </row>
    <row r="4316" spans="1:11" x14ac:dyDescent="0.25">
      <c r="A4316" s="302" t="str">
        <f t="shared" si="109"/>
        <v>Steam Traps- Venturi_Industrial/Process Audit - 250 ≤ psig_CI/SMB_Hv</v>
      </c>
      <c r="B4316" s="303" t="s">
        <v>1381</v>
      </c>
      <c r="C4316" s="304" t="s">
        <v>1376</v>
      </c>
      <c r="D4316" s="303" t="s">
        <v>970</v>
      </c>
      <c r="E4316" s="305" t="s">
        <v>508</v>
      </c>
      <c r="F4316" s="305"/>
      <c r="G4316" s="307">
        <v>816</v>
      </c>
      <c r="H4316" s="305" t="s">
        <v>228</v>
      </c>
      <c r="I4316" s="305" t="s">
        <v>152</v>
      </c>
      <c r="J4316" s="305" t="s">
        <v>130</v>
      </c>
      <c r="K4316" s="305" t="s">
        <v>2161</v>
      </c>
    </row>
    <row r="4317" spans="1:11" x14ac:dyDescent="0.25">
      <c r="A4317" s="302" t="str">
        <f t="shared" si="109"/>
        <v>Steam Traps- Venturi_Industrial/Process Audit - 250 ≤ psig_CI/SMB_Hs</v>
      </c>
      <c r="B4317" s="303" t="s">
        <v>1381</v>
      </c>
      <c r="C4317" s="304" t="s">
        <v>1376</v>
      </c>
      <c r="D4317" s="303" t="s">
        <v>970</v>
      </c>
      <c r="E4317" s="340" t="s">
        <v>509</v>
      </c>
      <c r="F4317" s="340"/>
      <c r="G4317" s="341">
        <v>1.0009999999999999</v>
      </c>
      <c r="H4317" s="340" t="s">
        <v>652</v>
      </c>
      <c r="I4317" s="305" t="s">
        <v>152</v>
      </c>
      <c r="J4317" s="305" t="s">
        <v>130</v>
      </c>
      <c r="K4317" s="305" t="s">
        <v>2161</v>
      </c>
    </row>
    <row r="4318" spans="1:11" x14ac:dyDescent="0.25">
      <c r="A4318" s="302" t="str">
        <f t="shared" si="109"/>
        <v>Steam Traps- Venturi_Industrial/Process Audit - 250 ≤ psig_CI/SMB_507.89</v>
      </c>
      <c r="B4318" s="303" t="s">
        <v>1381</v>
      </c>
      <c r="C4318" s="304" t="s">
        <v>1376</v>
      </c>
      <c r="D4318" s="303" t="s">
        <v>970</v>
      </c>
      <c r="E4318" s="342">
        <v>507.89</v>
      </c>
      <c r="F4318" s="340"/>
      <c r="G4318" s="341">
        <v>507.89</v>
      </c>
      <c r="H4318" s="340"/>
      <c r="I4318" s="305" t="s">
        <v>152</v>
      </c>
      <c r="J4318" s="305" t="s">
        <v>130</v>
      </c>
      <c r="K4318" s="305" t="s">
        <v>2161</v>
      </c>
    </row>
    <row r="4319" spans="1:11" x14ac:dyDescent="0.25">
      <c r="A4319" s="302" t="str">
        <f t="shared" si="109"/>
        <v>Steam Traps- Venturi_Industrial/Process Audit - 250 ≤ psig_CI/SMB_P1</v>
      </c>
      <c r="B4319" s="303" t="s">
        <v>1381</v>
      </c>
      <c r="C4319" s="304" t="s">
        <v>1376</v>
      </c>
      <c r="D4319" s="303" t="s">
        <v>970</v>
      </c>
      <c r="E4319" s="340" t="s">
        <v>510</v>
      </c>
      <c r="F4319" s="340"/>
      <c r="G4319" s="341">
        <f>263+14.696</f>
        <v>277.69600000000003</v>
      </c>
      <c r="H4319" s="340" t="s">
        <v>1371</v>
      </c>
      <c r="I4319" s="305" t="s">
        <v>152</v>
      </c>
      <c r="J4319" s="305" t="s">
        <v>130</v>
      </c>
      <c r="K4319" s="305" t="s">
        <v>2161</v>
      </c>
    </row>
    <row r="4320" spans="1:11" x14ac:dyDescent="0.25">
      <c r="A4320" s="302" t="str">
        <f t="shared" si="109"/>
        <v>Steam Traps- Venturi_Industrial/Process Audit - 250 ≤ psig_CI/SMB_0.0962</v>
      </c>
      <c r="B4320" s="303" t="s">
        <v>1381</v>
      </c>
      <c r="C4320" s="304" t="s">
        <v>1376</v>
      </c>
      <c r="D4320" s="303" t="s">
        <v>970</v>
      </c>
      <c r="E4320" s="340">
        <v>9.6199999999999994E-2</v>
      </c>
      <c r="F4320" s="340"/>
      <c r="G4320" s="343">
        <v>9.6199999999999994E-2</v>
      </c>
      <c r="H4320" s="340"/>
      <c r="I4320" s="305" t="s">
        <v>152</v>
      </c>
      <c r="J4320" s="305" t="s">
        <v>130</v>
      </c>
      <c r="K4320" s="305" t="s">
        <v>2161</v>
      </c>
    </row>
    <row r="4321" spans="1:11" x14ac:dyDescent="0.25">
      <c r="A4321" s="302" t="str">
        <f t="shared" si="109"/>
        <v>Steam Traps- Venturi_Industrial/Process Audit - 250 ≤ psig_CI/SMB_T1</v>
      </c>
      <c r="B4321" s="303" t="s">
        <v>1381</v>
      </c>
      <c r="C4321" s="304" t="s">
        <v>1376</v>
      </c>
      <c r="D4321" s="303" t="s">
        <v>970</v>
      </c>
      <c r="E4321" s="340" t="s">
        <v>511</v>
      </c>
      <c r="F4321" s="340"/>
      <c r="G4321" s="341">
        <f>G4318*(G4319^G4320)</f>
        <v>872.65194259288455</v>
      </c>
      <c r="H4321" s="340" t="s">
        <v>654</v>
      </c>
      <c r="I4321" s="305" t="s">
        <v>152</v>
      </c>
      <c r="J4321" s="305" t="s">
        <v>130</v>
      </c>
      <c r="K4321" s="305" t="s">
        <v>2161</v>
      </c>
    </row>
    <row r="4322" spans="1:11" x14ac:dyDescent="0.25">
      <c r="A4322" s="302" t="str">
        <f t="shared" si="109"/>
        <v>Steam Traps- Venturi_Industrial/Process Audit - 250 ≤ psig_CI/SMB_Tsource</v>
      </c>
      <c r="B4322" s="303" t="s">
        <v>1381</v>
      </c>
      <c r="C4322" s="304" t="s">
        <v>1376</v>
      </c>
      <c r="D4322" s="303" t="s">
        <v>970</v>
      </c>
      <c r="E4322" s="340" t="s">
        <v>512</v>
      </c>
      <c r="F4322" s="340"/>
      <c r="G4322" s="341">
        <v>513.66999999999996</v>
      </c>
      <c r="H4322" s="340" t="s">
        <v>655</v>
      </c>
      <c r="I4322" s="305" t="s">
        <v>152</v>
      </c>
      <c r="J4322" s="305" t="s">
        <v>130</v>
      </c>
      <c r="K4322" s="305" t="s">
        <v>2161</v>
      </c>
    </row>
    <row r="4323" spans="1:11" x14ac:dyDescent="0.25">
      <c r="A4323" s="302" t="str">
        <f t="shared" si="109"/>
        <v>Steam Traps- Venturi_Industrial/Process Audit - 250 ≤ psig_CI/SMB_Hours of Operation</v>
      </c>
      <c r="B4323" s="303" t="s">
        <v>1381</v>
      </c>
      <c r="C4323" s="304" t="s">
        <v>1376</v>
      </c>
      <c r="D4323" s="303" t="s">
        <v>970</v>
      </c>
      <c r="E4323" s="305" t="s">
        <v>460</v>
      </c>
      <c r="F4323" s="309" t="s">
        <v>647</v>
      </c>
      <c r="G4323" s="354">
        <v>8282</v>
      </c>
      <c r="H4323" s="305" t="s">
        <v>228</v>
      </c>
      <c r="I4323" s="305" t="s">
        <v>152</v>
      </c>
      <c r="J4323" s="305" t="s">
        <v>130</v>
      </c>
      <c r="K4323" s="305" t="s">
        <v>2161</v>
      </c>
    </row>
    <row r="4324" spans="1:11" x14ac:dyDescent="0.25">
      <c r="A4324" s="302" t="str">
        <f t="shared" si="109"/>
        <v>Steam Traps- Venturi_Industrial/Process Audit - 250 ≤ psig_CI/SMB_L</v>
      </c>
      <c r="B4324" s="303" t="s">
        <v>1381</v>
      </c>
      <c r="C4324" s="304" t="s">
        <v>1376</v>
      </c>
      <c r="D4324" s="303" t="s">
        <v>970</v>
      </c>
      <c r="E4324" s="305" t="s">
        <v>437</v>
      </c>
      <c r="F4324" s="309"/>
      <c r="G4324" s="306">
        <v>1</v>
      </c>
      <c r="H4324" s="305" t="s">
        <v>1280</v>
      </c>
      <c r="I4324" s="305" t="s">
        <v>152</v>
      </c>
      <c r="J4324" s="305" t="s">
        <v>130</v>
      </c>
      <c r="K4324" s="305" t="s">
        <v>2161</v>
      </c>
    </row>
    <row r="4325" spans="1:11" x14ac:dyDescent="0.25">
      <c r="A4325" s="302" t="str">
        <f t="shared" si="109"/>
        <v>Steam Traps- Venturi_Industrial/Process Audit - 250 ≤ psig_CI/SMB_Conversion</v>
      </c>
      <c r="B4325" s="303" t="s">
        <v>1381</v>
      </c>
      <c r="C4325" s="304" t="s">
        <v>1376</v>
      </c>
      <c r="D4325" s="303" t="s">
        <v>970</v>
      </c>
      <c r="E4325" s="305" t="s">
        <v>284</v>
      </c>
      <c r="F4325" s="309" t="s">
        <v>622</v>
      </c>
      <c r="G4325" s="325">
        <v>100000</v>
      </c>
      <c r="H4325" s="305"/>
      <c r="I4325" s="305" t="s">
        <v>152</v>
      </c>
      <c r="J4325" s="305" t="s">
        <v>130</v>
      </c>
      <c r="K4325" s="305" t="s">
        <v>2161</v>
      </c>
    </row>
    <row r="4326" spans="1:11" x14ac:dyDescent="0.25">
      <c r="A4326" s="302" t="str">
        <f t="shared" si="109"/>
        <v>Steam Traps- Venturi_Industrial/Process Audit - 250 ≤ psig_CI/SMB_n_B</v>
      </c>
      <c r="B4326" s="303" t="s">
        <v>1381</v>
      </c>
      <c r="C4326" s="304" t="s">
        <v>1376</v>
      </c>
      <c r="D4326" s="303" t="s">
        <v>970</v>
      </c>
      <c r="E4326" s="340" t="s">
        <v>657</v>
      </c>
      <c r="F4326" s="341"/>
      <c r="G4326" s="346">
        <v>0.80700000000000005</v>
      </c>
      <c r="H4326" s="340" t="s">
        <v>665</v>
      </c>
      <c r="I4326" s="305" t="s">
        <v>152</v>
      </c>
      <c r="J4326" s="305" t="s">
        <v>130</v>
      </c>
      <c r="K4326" s="305" t="s">
        <v>2161</v>
      </c>
    </row>
    <row r="4327" spans="1:11" x14ac:dyDescent="0.25">
      <c r="A4327" s="302" t="str">
        <f t="shared" si="109"/>
        <v>Steam Traps- Venturi_Industrial/Process Audit - 250 ≤ psig_CI/SMB_kWh Saved per Unit</v>
      </c>
      <c r="B4327" s="303" t="s">
        <v>1381</v>
      </c>
      <c r="C4327" s="304" t="s">
        <v>1376</v>
      </c>
      <c r="D4327" s="303" t="s">
        <v>970</v>
      </c>
      <c r="E4327" s="314" t="s">
        <v>255</v>
      </c>
      <c r="F4327" s="326"/>
      <c r="G4327" s="315">
        <f>G4314</f>
        <v>268.93086785999998</v>
      </c>
      <c r="H4327" s="305"/>
      <c r="I4327" s="305" t="s">
        <v>152</v>
      </c>
      <c r="J4327" s="305" t="s">
        <v>130</v>
      </c>
      <c r="K4327" s="305" t="s">
        <v>2161</v>
      </c>
    </row>
    <row r="4328" spans="1:11" x14ac:dyDescent="0.25">
      <c r="A4328" s="302" t="str">
        <f t="shared" si="109"/>
        <v>Steam Traps- Venturi_Industrial/Process Audit - 250 ≤ psig_CI/SMB_Coincident Peak kW Saved per Unit</v>
      </c>
      <c r="B4328" s="303" t="s">
        <v>1381</v>
      </c>
      <c r="C4328" s="304" t="s">
        <v>1376</v>
      </c>
      <c r="D4328" s="303" t="s">
        <v>970</v>
      </c>
      <c r="E4328" s="314" t="s">
        <v>257</v>
      </c>
      <c r="F4328" s="326"/>
      <c r="G4328" s="315">
        <v>0</v>
      </c>
      <c r="H4328" s="305"/>
      <c r="I4328" s="305" t="s">
        <v>152</v>
      </c>
      <c r="J4328" s="305" t="s">
        <v>130</v>
      </c>
      <c r="K4328" s="305" t="s">
        <v>2161</v>
      </c>
    </row>
    <row r="4329" spans="1:11" x14ac:dyDescent="0.25">
      <c r="A4329" s="302" t="str">
        <f t="shared" si="109"/>
        <v>Steam Traps- Venturi_Industrial/Process Audit - 250 ≤ psig_CI/SMB_Therm Saved per Unit</v>
      </c>
      <c r="B4329" s="303" t="s">
        <v>1381</v>
      </c>
      <c r="C4329" s="304" t="s">
        <v>1376</v>
      </c>
      <c r="D4329" s="303" t="s">
        <v>970</v>
      </c>
      <c r="E4329" s="314" t="s">
        <v>326</v>
      </c>
      <c r="F4329" s="326"/>
      <c r="G4329" s="315">
        <f xml:space="preserve"> G4315 * (G4316 + G4317 * (G4321 - G4322)) * G4323 * G4324 / (G4325 * G4326)</f>
        <v>12689.405899537758</v>
      </c>
      <c r="H4329" s="305"/>
      <c r="I4329" s="305" t="s">
        <v>152</v>
      </c>
      <c r="J4329" s="305" t="s">
        <v>130</v>
      </c>
      <c r="K4329" s="305" t="s">
        <v>2161</v>
      </c>
    </row>
    <row r="4330" spans="1:11" x14ac:dyDescent="0.25">
      <c r="A4330" s="302" t="str">
        <f t="shared" si="109"/>
        <v>Steam Traps- Venturi_Industrial/Process Audit - 250 ≤ psig_CI/SMB_Gallons Saved per Unit</v>
      </c>
      <c r="B4330" s="303" t="s">
        <v>1381</v>
      </c>
      <c r="C4330" s="304" t="s">
        <v>1376</v>
      </c>
      <c r="D4330" s="303" t="s">
        <v>970</v>
      </c>
      <c r="E4330" s="314" t="s">
        <v>547</v>
      </c>
      <c r="F4330" s="326"/>
      <c r="G4330" s="315">
        <f>G4311</f>
        <v>104601.66</v>
      </c>
      <c r="H4330" s="305"/>
      <c r="I4330" s="305" t="s">
        <v>152</v>
      </c>
      <c r="J4330" s="305" t="s">
        <v>130</v>
      </c>
      <c r="K4330" s="305" t="s">
        <v>2161</v>
      </c>
    </row>
    <row r="4331" spans="1:11" x14ac:dyDescent="0.25">
      <c r="A4331" s="302" t="str">
        <f t="shared" si="109"/>
        <v>Steam Traps- Venturi_Industrial/Process Audit - 250 ≤ psig_CI/SMB_Lifetime (years)</v>
      </c>
      <c r="B4331" s="303" t="s">
        <v>1381</v>
      </c>
      <c r="C4331" s="304" t="s">
        <v>1376</v>
      </c>
      <c r="D4331" s="303" t="s">
        <v>970</v>
      </c>
      <c r="E4331" s="314" t="s">
        <v>259</v>
      </c>
      <c r="F4331" s="326"/>
      <c r="G4331" s="326">
        <v>20</v>
      </c>
      <c r="H4331" s="305" t="s">
        <v>1382</v>
      </c>
      <c r="I4331" s="305" t="s">
        <v>152</v>
      </c>
      <c r="J4331" s="305" t="s">
        <v>130</v>
      </c>
      <c r="K4331" s="305" t="s">
        <v>2161</v>
      </c>
    </row>
    <row r="4332" spans="1:11" x14ac:dyDescent="0.25">
      <c r="A4332" s="302" t="str">
        <f t="shared" si="109"/>
        <v>Steam Traps- Venturi_Industrial/Process Audit - 250 ≤ psig_CI/SMB_Incremental Cost</v>
      </c>
      <c r="B4332" s="303" t="s">
        <v>1381</v>
      </c>
      <c r="C4332" s="304" t="s">
        <v>1376</v>
      </c>
      <c r="D4332" s="303" t="s">
        <v>970</v>
      </c>
      <c r="E4332" s="314" t="s">
        <v>260</v>
      </c>
      <c r="F4332" s="326"/>
      <c r="G4332" s="315">
        <v>418</v>
      </c>
      <c r="H4332" s="305" t="s">
        <v>1373</v>
      </c>
      <c r="I4332" s="305" t="s">
        <v>152</v>
      </c>
      <c r="J4332" s="305" t="s">
        <v>130</v>
      </c>
      <c r="K4332" s="305" t="s">
        <v>2161</v>
      </c>
    </row>
    <row r="4333" spans="1:11" x14ac:dyDescent="0.25">
      <c r="A4333" s="317" t="str">
        <f t="shared" si="109"/>
        <v>Steam Traps- Venturi_Industrial/Process Audit - 250 ≤ psig_CI/SMB_</v>
      </c>
      <c r="B4333" s="317" t="str">
        <f>B4332</f>
        <v>Steam Traps- Venturi</v>
      </c>
      <c r="C4333" s="332" t="str">
        <f>C4332</f>
        <v>Industrial/Process Audit - 250 ≤ psig</v>
      </c>
      <c r="D4333" s="317" t="str">
        <f>D4332</f>
        <v>CI/SMB</v>
      </c>
      <c r="E4333" s="320"/>
      <c r="F4333" s="320"/>
      <c r="G4333" s="329"/>
      <c r="H4333" s="320"/>
      <c r="I4333" s="320"/>
      <c r="J4333" s="320"/>
      <c r="K4333" s="320"/>
    </row>
    <row r="4334" spans="1:11" x14ac:dyDescent="0.25">
      <c r="A4334" s="302" t="str">
        <f t="shared" si="109"/>
        <v>Steam Traps- Venturi_Industrial/Process Audit - psig ≤ 15_MF_GAL</v>
      </c>
      <c r="B4334" s="303" t="s">
        <v>1381</v>
      </c>
      <c r="C4334" s="304" t="s">
        <v>1383</v>
      </c>
      <c r="D4334" s="303" t="s">
        <v>553</v>
      </c>
      <c r="E4334" s="305" t="s">
        <v>513</v>
      </c>
      <c r="F4334" s="309"/>
      <c r="G4334" s="306">
        <v>0.83</v>
      </c>
      <c r="H4334" s="305" t="s">
        <v>1367</v>
      </c>
      <c r="I4334" s="305" t="s">
        <v>152</v>
      </c>
      <c r="J4334" s="305" t="s">
        <v>130</v>
      </c>
      <c r="K4334" s="305" t="s">
        <v>2161</v>
      </c>
    </row>
    <row r="4335" spans="1:11" x14ac:dyDescent="0.25">
      <c r="A4335" s="302" t="str">
        <f t="shared" si="109"/>
        <v>Steam Traps- Venturi_Industrial/Process Audit - psig ≤ 15_MF_Hours of Operation</v>
      </c>
      <c r="B4335" s="303" t="s">
        <v>1381</v>
      </c>
      <c r="C4335" s="304" t="s">
        <v>1383</v>
      </c>
      <c r="D4335" s="303" t="s">
        <v>553</v>
      </c>
      <c r="E4335" s="305" t="s">
        <v>460</v>
      </c>
      <c r="F4335" s="309" t="s">
        <v>647</v>
      </c>
      <c r="G4335" s="354">
        <v>8282</v>
      </c>
      <c r="H4335" s="305" t="s">
        <v>1367</v>
      </c>
      <c r="I4335" s="305" t="s">
        <v>152</v>
      </c>
      <c r="J4335" s="305" t="s">
        <v>130</v>
      </c>
      <c r="K4335" s="305" t="s">
        <v>2161</v>
      </c>
    </row>
    <row r="4336" spans="1:11" x14ac:dyDescent="0.25">
      <c r="A4336" s="302" t="str">
        <f t="shared" si="109"/>
        <v>Steam Traps- Venturi_Industrial/Process Audit - psig ≤ 15_MF_L</v>
      </c>
      <c r="B4336" s="303" t="s">
        <v>1381</v>
      </c>
      <c r="C4336" s="304" t="s">
        <v>1383</v>
      </c>
      <c r="D4336" s="303" t="s">
        <v>553</v>
      </c>
      <c r="E4336" s="305" t="s">
        <v>437</v>
      </c>
      <c r="F4336" s="309"/>
      <c r="G4336" s="306">
        <v>1</v>
      </c>
      <c r="H4336" s="305" t="s">
        <v>1280</v>
      </c>
      <c r="I4336" s="305" t="s">
        <v>152</v>
      </c>
      <c r="J4336" s="305" t="s">
        <v>130</v>
      </c>
      <c r="K4336" s="305" t="s">
        <v>2161</v>
      </c>
    </row>
    <row r="4337" spans="1:11" x14ac:dyDescent="0.25">
      <c r="A4337" s="302" t="str">
        <f t="shared" si="109"/>
        <v>Steam Traps- Venturi_Industrial/Process Audit - psig ≤ 15_MF_Delta_Water_Gallons</v>
      </c>
      <c r="B4337" s="303" t="s">
        <v>1381</v>
      </c>
      <c r="C4337" s="304" t="s">
        <v>1383</v>
      </c>
      <c r="D4337" s="303" t="s">
        <v>553</v>
      </c>
      <c r="E4337" s="305" t="s">
        <v>456</v>
      </c>
      <c r="F4337" s="305"/>
      <c r="G4337" s="307">
        <f>G4334*G4335*G4336</f>
        <v>6874.0599999999995</v>
      </c>
      <c r="H4337" s="305"/>
      <c r="I4337" s="305" t="s">
        <v>152</v>
      </c>
      <c r="J4337" s="305" t="s">
        <v>130</v>
      </c>
      <c r="K4337" s="305" t="s">
        <v>2161</v>
      </c>
    </row>
    <row r="4338" spans="1:11" x14ac:dyDescent="0.25">
      <c r="A4338" s="302" t="str">
        <f t="shared" si="109"/>
        <v>Steam Traps- Venturi_Industrial/Process Audit - psig ≤ 15_MF_Conversion</v>
      </c>
      <c r="B4338" s="303" t="s">
        <v>1381</v>
      </c>
      <c r="C4338" s="304" t="s">
        <v>1383</v>
      </c>
      <c r="D4338" s="303" t="s">
        <v>553</v>
      </c>
      <c r="E4338" s="305" t="s">
        <v>284</v>
      </c>
      <c r="F4338" s="305"/>
      <c r="G4338" s="354">
        <v>1000000</v>
      </c>
      <c r="H4338" s="305"/>
      <c r="I4338" s="305" t="s">
        <v>152</v>
      </c>
      <c r="J4338" s="305" t="s">
        <v>130</v>
      </c>
      <c r="K4338" s="305" t="s">
        <v>2161</v>
      </c>
    </row>
    <row r="4339" spans="1:11" x14ac:dyDescent="0.25">
      <c r="A4339" s="302" t="str">
        <f t="shared" si="109"/>
        <v>Steam Traps- Venturi_Industrial/Process Audit - psig ≤ 15_MF_E_water_supply</v>
      </c>
      <c r="B4339" s="303" t="s">
        <v>1381</v>
      </c>
      <c r="C4339" s="304" t="s">
        <v>1383</v>
      </c>
      <c r="D4339" s="303" t="s">
        <v>553</v>
      </c>
      <c r="E4339" s="305" t="s">
        <v>457</v>
      </c>
      <c r="F4339" s="305"/>
      <c r="G4339" s="307">
        <v>2571</v>
      </c>
      <c r="H4339" s="305"/>
      <c r="I4339" s="305" t="s">
        <v>152</v>
      </c>
      <c r="J4339" s="305" t="s">
        <v>130</v>
      </c>
      <c r="K4339" s="305" t="s">
        <v>2161</v>
      </c>
    </row>
    <row r="4340" spans="1:11" x14ac:dyDescent="0.25">
      <c r="A4340" s="302" t="str">
        <f t="shared" si="109"/>
        <v>Steam Traps- Venturi_Industrial/Process Audit - psig ≤ 15_MF_Delta_kWh_water</v>
      </c>
      <c r="B4340" s="303" t="s">
        <v>1381</v>
      </c>
      <c r="C4340" s="304" t="s">
        <v>1383</v>
      </c>
      <c r="D4340" s="303" t="s">
        <v>553</v>
      </c>
      <c r="E4340" s="305" t="s">
        <v>334</v>
      </c>
      <c r="F4340" s="305"/>
      <c r="G4340" s="307">
        <f>G4337/G4338*G4339</f>
        <v>17.673208259999999</v>
      </c>
      <c r="H4340" s="305"/>
      <c r="I4340" s="305" t="s">
        <v>152</v>
      </c>
      <c r="J4340" s="305" t="s">
        <v>130</v>
      </c>
      <c r="K4340" s="305" t="s">
        <v>2161</v>
      </c>
    </row>
    <row r="4341" spans="1:11" x14ac:dyDescent="0.25">
      <c r="A4341" s="302" t="str">
        <f t="shared" si="109"/>
        <v>Steam Traps- Venturi_Industrial/Process Audit - psig ≤ 15_MF_Sa</v>
      </c>
      <c r="B4341" s="303" t="s">
        <v>1381</v>
      </c>
      <c r="C4341" s="304" t="s">
        <v>1383</v>
      </c>
      <c r="D4341" s="303" t="s">
        <v>553</v>
      </c>
      <c r="E4341" s="305" t="s">
        <v>507</v>
      </c>
      <c r="F4341" s="305"/>
      <c r="G4341" s="401">
        <v>13.8</v>
      </c>
      <c r="H4341" s="305" t="s">
        <v>2006</v>
      </c>
      <c r="I4341" s="305" t="s">
        <v>152</v>
      </c>
      <c r="J4341" s="305" t="s">
        <v>130</v>
      </c>
      <c r="K4341" s="305" t="s">
        <v>2161</v>
      </c>
    </row>
    <row r="4342" spans="1:11" x14ac:dyDescent="0.25">
      <c r="A4342" s="302" t="str">
        <f t="shared" si="109"/>
        <v>Steam Traps- Venturi_Industrial/Process Audit - psig ≤ 15_MF_Hv</v>
      </c>
      <c r="B4342" s="303" t="s">
        <v>1381</v>
      </c>
      <c r="C4342" s="304" t="s">
        <v>1383</v>
      </c>
      <c r="D4342" s="303" t="s">
        <v>553</v>
      </c>
      <c r="E4342" s="305" t="s">
        <v>508</v>
      </c>
      <c r="F4342" s="305"/>
      <c r="G4342" s="307">
        <v>951</v>
      </c>
      <c r="H4342" s="305" t="s">
        <v>1367</v>
      </c>
      <c r="I4342" s="305" t="s">
        <v>152</v>
      </c>
      <c r="J4342" s="305" t="s">
        <v>130</v>
      </c>
      <c r="K4342" s="305" t="s">
        <v>2161</v>
      </c>
    </row>
    <row r="4343" spans="1:11" x14ac:dyDescent="0.25">
      <c r="A4343" s="302" t="str">
        <f t="shared" si="109"/>
        <v>Steam Traps- Venturi_Industrial/Process Audit - psig ≤ 15_MF_Hs</v>
      </c>
      <c r="B4343" s="303" t="s">
        <v>1381</v>
      </c>
      <c r="C4343" s="304" t="s">
        <v>1383</v>
      </c>
      <c r="D4343" s="303" t="s">
        <v>553</v>
      </c>
      <c r="E4343" s="340" t="s">
        <v>509</v>
      </c>
      <c r="F4343" s="340"/>
      <c r="G4343" s="341">
        <v>1.0009999999999999</v>
      </c>
      <c r="H4343" s="340" t="s">
        <v>652</v>
      </c>
      <c r="I4343" s="305" t="s">
        <v>152</v>
      </c>
      <c r="J4343" s="305" t="s">
        <v>130</v>
      </c>
      <c r="K4343" s="305" t="s">
        <v>2161</v>
      </c>
    </row>
    <row r="4344" spans="1:11" x14ac:dyDescent="0.25">
      <c r="A4344" s="302" t="str">
        <f t="shared" si="109"/>
        <v>Steam Traps- Venturi_Industrial/Process Audit - psig ≤ 15_MF_507.89</v>
      </c>
      <c r="B4344" s="303" t="s">
        <v>1381</v>
      </c>
      <c r="C4344" s="304" t="s">
        <v>1383</v>
      </c>
      <c r="D4344" s="303" t="s">
        <v>553</v>
      </c>
      <c r="E4344" s="342">
        <v>507.89</v>
      </c>
      <c r="F4344" s="340"/>
      <c r="G4344" s="341">
        <v>507.89</v>
      </c>
      <c r="H4344" s="340"/>
      <c r="I4344" s="305" t="s">
        <v>152</v>
      </c>
      <c r="J4344" s="305" t="s">
        <v>130</v>
      </c>
      <c r="K4344" s="305" t="s">
        <v>2161</v>
      </c>
    </row>
    <row r="4345" spans="1:11" x14ac:dyDescent="0.25">
      <c r="A4345" s="302" t="str">
        <f t="shared" si="109"/>
        <v>Steam Traps- Venturi_Industrial/Process Audit - psig ≤ 15_MF_P1</v>
      </c>
      <c r="B4345" s="303" t="s">
        <v>1381</v>
      </c>
      <c r="C4345" s="304" t="s">
        <v>1383</v>
      </c>
      <c r="D4345" s="303" t="s">
        <v>553</v>
      </c>
      <c r="E4345" s="340" t="s">
        <v>510</v>
      </c>
      <c r="F4345" s="340"/>
      <c r="G4345" s="401">
        <f>11.2+14.696</f>
        <v>25.896000000000001</v>
      </c>
      <c r="H4345" s="340" t="s">
        <v>653</v>
      </c>
      <c r="I4345" s="305" t="s">
        <v>152</v>
      </c>
      <c r="J4345" s="305" t="s">
        <v>130</v>
      </c>
      <c r="K4345" s="305" t="s">
        <v>2161</v>
      </c>
    </row>
    <row r="4346" spans="1:11" x14ac:dyDescent="0.25">
      <c r="A4346" s="302" t="str">
        <f t="shared" si="109"/>
        <v>Steam Traps- Venturi_Industrial/Process Audit - psig ≤ 15_MF_0.0962</v>
      </c>
      <c r="B4346" s="303" t="s">
        <v>1381</v>
      </c>
      <c r="C4346" s="304" t="s">
        <v>1383</v>
      </c>
      <c r="D4346" s="303" t="s">
        <v>553</v>
      </c>
      <c r="E4346" s="340">
        <v>9.6199999999999994E-2</v>
      </c>
      <c r="F4346" s="340"/>
      <c r="G4346" s="343">
        <v>9.6199999999999994E-2</v>
      </c>
      <c r="H4346" s="340"/>
      <c r="I4346" s="305" t="s">
        <v>152</v>
      </c>
      <c r="J4346" s="305" t="s">
        <v>130</v>
      </c>
      <c r="K4346" s="305" t="s">
        <v>2161</v>
      </c>
    </row>
    <row r="4347" spans="1:11" x14ac:dyDescent="0.25">
      <c r="A4347" s="302" t="str">
        <f t="shared" si="109"/>
        <v>Steam Traps- Venturi_Industrial/Process Audit - psig ≤ 15_MF_T1</v>
      </c>
      <c r="B4347" s="303" t="s">
        <v>1381</v>
      </c>
      <c r="C4347" s="304" t="s">
        <v>1383</v>
      </c>
      <c r="D4347" s="303" t="s">
        <v>553</v>
      </c>
      <c r="E4347" s="340" t="s">
        <v>511</v>
      </c>
      <c r="F4347" s="340"/>
      <c r="G4347" s="341">
        <f>G4344*(G4345^G4346)</f>
        <v>694.58059570836633</v>
      </c>
      <c r="H4347" s="340" t="s">
        <v>654</v>
      </c>
      <c r="I4347" s="305" t="s">
        <v>152</v>
      </c>
      <c r="J4347" s="305" t="s">
        <v>130</v>
      </c>
      <c r="K4347" s="305" t="s">
        <v>2161</v>
      </c>
    </row>
    <row r="4348" spans="1:11" x14ac:dyDescent="0.25">
      <c r="A4348" s="302" t="str">
        <f t="shared" si="109"/>
        <v>Steam Traps- Venturi_Industrial/Process Audit - psig ≤ 15_MF_Tsource</v>
      </c>
      <c r="B4348" s="303" t="s">
        <v>1381</v>
      </c>
      <c r="C4348" s="304" t="s">
        <v>1383</v>
      </c>
      <c r="D4348" s="303" t="s">
        <v>553</v>
      </c>
      <c r="E4348" s="340" t="s">
        <v>512</v>
      </c>
      <c r="F4348" s="340"/>
      <c r="G4348" s="341">
        <v>513.66999999999996</v>
      </c>
      <c r="H4348" s="340" t="s">
        <v>655</v>
      </c>
      <c r="I4348" s="305" t="s">
        <v>152</v>
      </c>
      <c r="J4348" s="305" t="s">
        <v>130</v>
      </c>
      <c r="K4348" s="305" t="s">
        <v>2161</v>
      </c>
    </row>
    <row r="4349" spans="1:11" x14ac:dyDescent="0.25">
      <c r="A4349" s="302" t="str">
        <f t="shared" si="109"/>
        <v>Steam Traps- Venturi_Industrial/Process Audit - psig ≤ 15_MF_Hours of Operation</v>
      </c>
      <c r="B4349" s="303" t="s">
        <v>1381</v>
      </c>
      <c r="C4349" s="304" t="s">
        <v>1383</v>
      </c>
      <c r="D4349" s="303" t="s">
        <v>553</v>
      </c>
      <c r="E4349" s="305" t="s">
        <v>460</v>
      </c>
      <c r="F4349" s="309" t="s">
        <v>647</v>
      </c>
      <c r="G4349" s="354">
        <f>AVERAGE(1540,1782)</f>
        <v>1661</v>
      </c>
      <c r="H4349" s="305" t="s">
        <v>648</v>
      </c>
      <c r="I4349" s="305" t="s">
        <v>152</v>
      </c>
      <c r="J4349" s="305" t="s">
        <v>130</v>
      </c>
      <c r="K4349" s="305" t="s">
        <v>2161</v>
      </c>
    </row>
    <row r="4350" spans="1:11" x14ac:dyDescent="0.25">
      <c r="A4350" s="302" t="str">
        <f t="shared" si="109"/>
        <v>Steam Traps- Venturi_Industrial/Process Audit - psig ≤ 15_MF_L</v>
      </c>
      <c r="B4350" s="303" t="s">
        <v>1381</v>
      </c>
      <c r="C4350" s="304" t="s">
        <v>1383</v>
      </c>
      <c r="D4350" s="303" t="s">
        <v>553</v>
      </c>
      <c r="E4350" s="305" t="s">
        <v>437</v>
      </c>
      <c r="F4350" s="309"/>
      <c r="G4350" s="306">
        <v>1</v>
      </c>
      <c r="H4350" s="305" t="s">
        <v>1280</v>
      </c>
      <c r="I4350" s="305" t="s">
        <v>152</v>
      </c>
      <c r="J4350" s="305" t="s">
        <v>130</v>
      </c>
      <c r="K4350" s="305" t="s">
        <v>2161</v>
      </c>
    </row>
    <row r="4351" spans="1:11" x14ac:dyDescent="0.25">
      <c r="A4351" s="302" t="str">
        <f t="shared" si="109"/>
        <v>Steam Traps- Venturi_Industrial/Process Audit - psig ≤ 15_MF_Conversion</v>
      </c>
      <c r="B4351" s="303" t="s">
        <v>1381</v>
      </c>
      <c r="C4351" s="304" t="s">
        <v>1383</v>
      </c>
      <c r="D4351" s="303" t="s">
        <v>553</v>
      </c>
      <c r="E4351" s="305" t="s">
        <v>284</v>
      </c>
      <c r="F4351" s="309" t="s">
        <v>622</v>
      </c>
      <c r="G4351" s="325">
        <v>100000</v>
      </c>
      <c r="H4351" s="305"/>
      <c r="I4351" s="305" t="s">
        <v>152</v>
      </c>
      <c r="J4351" s="305" t="s">
        <v>130</v>
      </c>
      <c r="K4351" s="305" t="s">
        <v>2161</v>
      </c>
    </row>
    <row r="4352" spans="1:11" x14ac:dyDescent="0.25">
      <c r="A4352" s="302" t="str">
        <f t="shared" si="109"/>
        <v>Steam Traps- Venturi_Industrial/Process Audit - psig ≤ 15_MF_n_B</v>
      </c>
      <c r="B4352" s="303" t="s">
        <v>1381</v>
      </c>
      <c r="C4352" s="304" t="s">
        <v>1383</v>
      </c>
      <c r="D4352" s="303" t="s">
        <v>553</v>
      </c>
      <c r="E4352" s="340" t="s">
        <v>657</v>
      </c>
      <c r="F4352" s="341"/>
      <c r="G4352" s="346">
        <v>0.80700000000000005</v>
      </c>
      <c r="H4352" s="340" t="s">
        <v>665</v>
      </c>
      <c r="I4352" s="305" t="s">
        <v>152</v>
      </c>
      <c r="J4352" s="305" t="s">
        <v>130</v>
      </c>
      <c r="K4352" s="305" t="s">
        <v>2161</v>
      </c>
    </row>
    <row r="4353" spans="1:11" x14ac:dyDescent="0.25">
      <c r="A4353" s="302" t="str">
        <f t="shared" si="109"/>
        <v>Steam Traps- Venturi_Industrial/Process Audit - psig ≤ 15_MF_kWh Saved per Unit</v>
      </c>
      <c r="B4353" s="303" t="s">
        <v>1381</v>
      </c>
      <c r="C4353" s="304" t="s">
        <v>1383</v>
      </c>
      <c r="D4353" s="303" t="s">
        <v>553</v>
      </c>
      <c r="E4353" s="314" t="s">
        <v>255</v>
      </c>
      <c r="F4353" s="326"/>
      <c r="G4353" s="315">
        <f>G4340</f>
        <v>17.673208259999999</v>
      </c>
      <c r="H4353" s="305"/>
      <c r="I4353" s="305" t="s">
        <v>152</v>
      </c>
      <c r="J4353" s="305" t="s">
        <v>130</v>
      </c>
      <c r="K4353" s="305" t="s">
        <v>2161</v>
      </c>
    </row>
    <row r="4354" spans="1:11" x14ac:dyDescent="0.25">
      <c r="A4354" s="302" t="str">
        <f t="shared" si="109"/>
        <v>Steam Traps- Venturi_Industrial/Process Audit - psig ≤ 15_MF_Coincident Peak kW Saved per Unit</v>
      </c>
      <c r="B4354" s="303" t="s">
        <v>1381</v>
      </c>
      <c r="C4354" s="304" t="s">
        <v>1383</v>
      </c>
      <c r="D4354" s="303" t="s">
        <v>553</v>
      </c>
      <c r="E4354" s="314" t="s">
        <v>257</v>
      </c>
      <c r="F4354" s="326"/>
      <c r="G4354" s="315">
        <v>0</v>
      </c>
      <c r="H4354" s="305"/>
      <c r="I4354" s="305" t="s">
        <v>152</v>
      </c>
      <c r="J4354" s="305" t="s">
        <v>130</v>
      </c>
      <c r="K4354" s="305" t="s">
        <v>2161</v>
      </c>
    </row>
    <row r="4355" spans="1:11" x14ac:dyDescent="0.25">
      <c r="A4355" s="302" t="str">
        <f t="shared" si="109"/>
        <v>Steam Traps- Venturi_Industrial/Process Audit - psig ≤ 15_MF_Therm Saved per Unit</v>
      </c>
      <c r="B4355" s="303" t="s">
        <v>1381</v>
      </c>
      <c r="C4355" s="304" t="s">
        <v>1383</v>
      </c>
      <c r="D4355" s="303" t="s">
        <v>553</v>
      </c>
      <c r="E4355" s="314" t="s">
        <v>326</v>
      </c>
      <c r="F4355" s="326"/>
      <c r="G4355" s="315">
        <f xml:space="preserve"> G4341 * (G4342 + G4343 * (G4347 - G4348)) * G4349 * G4350 / (G4351 * G4352)</f>
        <v>321.5560729764652</v>
      </c>
      <c r="H4355" s="305"/>
      <c r="I4355" s="305" t="s">
        <v>152</v>
      </c>
      <c r="J4355" s="305" t="s">
        <v>130</v>
      </c>
      <c r="K4355" s="305" t="s">
        <v>2161</v>
      </c>
    </row>
    <row r="4356" spans="1:11" x14ac:dyDescent="0.25">
      <c r="A4356" s="302" t="str">
        <f t="shared" si="109"/>
        <v>Steam Traps- Venturi_Industrial/Process Audit - psig ≤ 15_MF_Gallons Saved per Unit</v>
      </c>
      <c r="B4356" s="303" t="s">
        <v>1381</v>
      </c>
      <c r="C4356" s="304" t="s">
        <v>1383</v>
      </c>
      <c r="D4356" s="303" t="s">
        <v>553</v>
      </c>
      <c r="E4356" s="314" t="s">
        <v>547</v>
      </c>
      <c r="F4356" s="326"/>
      <c r="G4356" s="315">
        <f>G4337</f>
        <v>6874.0599999999995</v>
      </c>
      <c r="H4356" s="305"/>
      <c r="I4356" s="305" t="s">
        <v>152</v>
      </c>
      <c r="J4356" s="305" t="s">
        <v>130</v>
      </c>
      <c r="K4356" s="305" t="s">
        <v>2161</v>
      </c>
    </row>
    <row r="4357" spans="1:11" x14ac:dyDescent="0.25">
      <c r="A4357" s="302" t="str">
        <f t="shared" si="109"/>
        <v>Steam Traps- Venturi_Industrial/Process Audit - psig ≤ 15_MF_Lifetime (years)</v>
      </c>
      <c r="B4357" s="303" t="s">
        <v>1381</v>
      </c>
      <c r="C4357" s="304" t="s">
        <v>1383</v>
      </c>
      <c r="D4357" s="303" t="s">
        <v>553</v>
      </c>
      <c r="E4357" s="314" t="s">
        <v>259</v>
      </c>
      <c r="F4357" s="326"/>
      <c r="G4357" s="326">
        <v>20</v>
      </c>
      <c r="H4357" s="305" t="s">
        <v>1382</v>
      </c>
      <c r="I4357" s="305" t="s">
        <v>152</v>
      </c>
      <c r="J4357" s="305" t="s">
        <v>130</v>
      </c>
      <c r="K4357" s="305" t="s">
        <v>2161</v>
      </c>
    </row>
    <row r="4358" spans="1:11" x14ac:dyDescent="0.25">
      <c r="A4358" s="302" t="str">
        <f t="shared" si="109"/>
        <v>Steam Traps- Venturi_Industrial/Process Audit - psig ≤ 15_MF_Incremental Cost</v>
      </c>
      <c r="B4358" s="303" t="s">
        <v>1381</v>
      </c>
      <c r="C4358" s="304" t="s">
        <v>1383</v>
      </c>
      <c r="D4358" s="303" t="s">
        <v>553</v>
      </c>
      <c r="E4358" s="314" t="s">
        <v>260</v>
      </c>
      <c r="F4358" s="326"/>
      <c r="G4358" s="315">
        <v>77</v>
      </c>
      <c r="H4358" s="305" t="s">
        <v>1369</v>
      </c>
      <c r="I4358" s="305" t="s">
        <v>152</v>
      </c>
      <c r="J4358" s="305" t="s">
        <v>130</v>
      </c>
      <c r="K4358" s="305" t="s">
        <v>2161</v>
      </c>
    </row>
    <row r="4359" spans="1:11" x14ac:dyDescent="0.25">
      <c r="A4359" s="317" t="str">
        <f t="shared" si="109"/>
        <v>Steam Traps- Venturi_Industrial/Process Audit - psig ≤ 15_MF_</v>
      </c>
      <c r="B4359" s="317" t="str">
        <f>B4358</f>
        <v>Steam Traps- Venturi</v>
      </c>
      <c r="C4359" s="332" t="str">
        <f>C4358</f>
        <v>Industrial/Process Audit - psig ≤ 15</v>
      </c>
      <c r="D4359" s="317" t="str">
        <f>D4358</f>
        <v>MF</v>
      </c>
      <c r="E4359" s="320"/>
      <c r="F4359" s="320"/>
      <c r="G4359" s="329"/>
      <c r="H4359" s="320"/>
      <c r="I4359" s="320"/>
      <c r="J4359" s="320"/>
      <c r="K4359" s="320"/>
    </row>
    <row r="4360" spans="1:11" x14ac:dyDescent="0.25">
      <c r="A4360" s="302" t="str">
        <f t="shared" si="109"/>
        <v>Steam Traps- Venturi_Industrial/Process Audit - 15 &lt; psig &lt; 30_MF_GAL</v>
      </c>
      <c r="B4360" s="303" t="s">
        <v>1381</v>
      </c>
      <c r="C4360" s="304" t="s">
        <v>1384</v>
      </c>
      <c r="D4360" s="303" t="s">
        <v>553</v>
      </c>
      <c r="E4360" s="305" t="s">
        <v>513</v>
      </c>
      <c r="F4360" s="309"/>
      <c r="G4360" s="306">
        <v>0.78</v>
      </c>
      <c r="H4360" s="305" t="s">
        <v>1370</v>
      </c>
      <c r="I4360" s="305" t="s">
        <v>152</v>
      </c>
      <c r="J4360" s="305" t="s">
        <v>130</v>
      </c>
      <c r="K4360" s="305" t="s">
        <v>2161</v>
      </c>
    </row>
    <row r="4361" spans="1:11" x14ac:dyDescent="0.25">
      <c r="A4361" s="302" t="str">
        <f t="shared" si="109"/>
        <v>Steam Traps- Venturi_Industrial/Process Audit - 15 &lt; psig &lt; 30_MF_Hours of Operation</v>
      </c>
      <c r="B4361" s="303" t="s">
        <v>1381</v>
      </c>
      <c r="C4361" s="304" t="s">
        <v>1384</v>
      </c>
      <c r="D4361" s="303" t="s">
        <v>553</v>
      </c>
      <c r="E4361" s="305" t="s">
        <v>460</v>
      </c>
      <c r="F4361" s="309" t="s">
        <v>647</v>
      </c>
      <c r="G4361" s="354">
        <v>8282</v>
      </c>
      <c r="H4361" s="305" t="s">
        <v>1370</v>
      </c>
      <c r="I4361" s="305" t="s">
        <v>152</v>
      </c>
      <c r="J4361" s="305" t="s">
        <v>130</v>
      </c>
      <c r="K4361" s="305" t="s">
        <v>2161</v>
      </c>
    </row>
    <row r="4362" spans="1:11" x14ac:dyDescent="0.25">
      <c r="A4362" s="302" t="str">
        <f t="shared" si="109"/>
        <v>Steam Traps- Venturi_Industrial/Process Audit - 15 &lt; psig &lt; 30_MF_L</v>
      </c>
      <c r="B4362" s="303" t="s">
        <v>1381</v>
      </c>
      <c r="C4362" s="304" t="s">
        <v>1384</v>
      </c>
      <c r="D4362" s="303" t="s">
        <v>553</v>
      </c>
      <c r="E4362" s="305" t="s">
        <v>437</v>
      </c>
      <c r="F4362" s="309"/>
      <c r="G4362" s="306">
        <v>1</v>
      </c>
      <c r="H4362" s="305" t="s">
        <v>1280</v>
      </c>
      <c r="I4362" s="305" t="s">
        <v>152</v>
      </c>
      <c r="J4362" s="305" t="s">
        <v>130</v>
      </c>
      <c r="K4362" s="305" t="s">
        <v>2161</v>
      </c>
    </row>
    <row r="4363" spans="1:11" x14ac:dyDescent="0.25">
      <c r="A4363" s="302" t="str">
        <f t="shared" si="109"/>
        <v>Steam Traps- Venturi_Industrial/Process Audit - 15 &lt; psig &lt; 30_MF_Delta_Water_Gallons</v>
      </c>
      <c r="B4363" s="303" t="s">
        <v>1381</v>
      </c>
      <c r="C4363" s="304" t="s">
        <v>1384</v>
      </c>
      <c r="D4363" s="303" t="s">
        <v>553</v>
      </c>
      <c r="E4363" s="305" t="s">
        <v>456</v>
      </c>
      <c r="F4363" s="305"/>
      <c r="G4363" s="307">
        <f>G4360*G4361*G4362</f>
        <v>6459.96</v>
      </c>
      <c r="H4363" s="305"/>
      <c r="I4363" s="305" t="s">
        <v>152</v>
      </c>
      <c r="J4363" s="305" t="s">
        <v>130</v>
      </c>
      <c r="K4363" s="305" t="s">
        <v>2161</v>
      </c>
    </row>
    <row r="4364" spans="1:11" x14ac:dyDescent="0.25">
      <c r="A4364" s="302" t="str">
        <f t="shared" si="109"/>
        <v>Steam Traps- Venturi_Industrial/Process Audit - 15 &lt; psig &lt; 30_MF_Conversion</v>
      </c>
      <c r="B4364" s="303" t="s">
        <v>1381</v>
      </c>
      <c r="C4364" s="304" t="s">
        <v>1384</v>
      </c>
      <c r="D4364" s="303" t="s">
        <v>553</v>
      </c>
      <c r="E4364" s="305" t="s">
        <v>284</v>
      </c>
      <c r="F4364" s="305"/>
      <c r="G4364" s="354">
        <v>1000000</v>
      </c>
      <c r="H4364" s="305"/>
      <c r="I4364" s="305" t="s">
        <v>152</v>
      </c>
      <c r="J4364" s="305" t="s">
        <v>130</v>
      </c>
      <c r="K4364" s="305" t="s">
        <v>2161</v>
      </c>
    </row>
    <row r="4365" spans="1:11" x14ac:dyDescent="0.25">
      <c r="A4365" s="302" t="str">
        <f t="shared" si="109"/>
        <v>Steam Traps- Venturi_Industrial/Process Audit - 15 &lt; psig &lt; 30_MF_E_water_supply</v>
      </c>
      <c r="B4365" s="303" t="s">
        <v>1381</v>
      </c>
      <c r="C4365" s="304" t="s">
        <v>1384</v>
      </c>
      <c r="D4365" s="303" t="s">
        <v>553</v>
      </c>
      <c r="E4365" s="305" t="s">
        <v>457</v>
      </c>
      <c r="F4365" s="305"/>
      <c r="G4365" s="307">
        <v>2571</v>
      </c>
      <c r="H4365" s="305"/>
      <c r="I4365" s="305" t="s">
        <v>152</v>
      </c>
      <c r="J4365" s="305" t="s">
        <v>130</v>
      </c>
      <c r="K4365" s="305" t="s">
        <v>2161</v>
      </c>
    </row>
    <row r="4366" spans="1:11" x14ac:dyDescent="0.25">
      <c r="A4366" s="302" t="str">
        <f t="shared" si="109"/>
        <v>Steam Traps- Venturi_Industrial/Process Audit - 15 &lt; psig &lt; 30_MF_Delta_kWh_water</v>
      </c>
      <c r="B4366" s="303" t="s">
        <v>1381</v>
      </c>
      <c r="C4366" s="304" t="s">
        <v>1384</v>
      </c>
      <c r="D4366" s="303" t="s">
        <v>553</v>
      </c>
      <c r="E4366" s="305" t="s">
        <v>334</v>
      </c>
      <c r="F4366" s="305"/>
      <c r="G4366" s="307">
        <f>G4363/G4364*G4365</f>
        <v>16.60855716</v>
      </c>
      <c r="H4366" s="305"/>
      <c r="I4366" s="305" t="s">
        <v>152</v>
      </c>
      <c r="J4366" s="305" t="s">
        <v>130</v>
      </c>
      <c r="K4366" s="305" t="s">
        <v>2161</v>
      </c>
    </row>
    <row r="4367" spans="1:11" x14ac:dyDescent="0.25">
      <c r="A4367" s="302" t="str">
        <f t="shared" si="109"/>
        <v>Steam Traps- Venturi_Industrial/Process Audit - 15 &lt; psig &lt; 30_MF_Sa</v>
      </c>
      <c r="B4367" s="303" t="s">
        <v>1381</v>
      </c>
      <c r="C4367" s="304" t="s">
        <v>1384</v>
      </c>
      <c r="D4367" s="303" t="s">
        <v>553</v>
      </c>
      <c r="E4367" s="305" t="s">
        <v>507</v>
      </c>
      <c r="F4367" s="305"/>
      <c r="G4367" s="307">
        <v>6.5</v>
      </c>
      <c r="H4367" s="305" t="s">
        <v>1370</v>
      </c>
      <c r="I4367" s="305" t="s">
        <v>152</v>
      </c>
      <c r="J4367" s="305" t="s">
        <v>130</v>
      </c>
      <c r="K4367" s="305" t="s">
        <v>2161</v>
      </c>
    </row>
    <row r="4368" spans="1:11" x14ac:dyDescent="0.25">
      <c r="A4368" s="302" t="str">
        <f t="shared" ref="A4368:A4431" si="110">B4368&amp;"_"&amp;C4368&amp;"_"&amp;D4368&amp;"_"&amp;E4368</f>
        <v>Steam Traps- Venturi_Industrial/Process Audit - 15 &lt; psig &lt; 30_MF_Hv</v>
      </c>
      <c r="B4368" s="303" t="s">
        <v>1381</v>
      </c>
      <c r="C4368" s="304" t="s">
        <v>1384</v>
      </c>
      <c r="D4368" s="303" t="s">
        <v>553</v>
      </c>
      <c r="E4368" s="305" t="s">
        <v>508</v>
      </c>
      <c r="F4368" s="305"/>
      <c r="G4368" s="307">
        <v>944</v>
      </c>
      <c r="H4368" s="305" t="s">
        <v>1370</v>
      </c>
      <c r="I4368" s="305" t="s">
        <v>152</v>
      </c>
      <c r="J4368" s="305" t="s">
        <v>130</v>
      </c>
      <c r="K4368" s="305" t="s">
        <v>2161</v>
      </c>
    </row>
    <row r="4369" spans="1:11" x14ac:dyDescent="0.25">
      <c r="A4369" s="302" t="str">
        <f t="shared" si="110"/>
        <v>Steam Traps- Venturi_Industrial/Process Audit - 15 &lt; psig &lt; 30_MF_Hs</v>
      </c>
      <c r="B4369" s="303" t="s">
        <v>1381</v>
      </c>
      <c r="C4369" s="304" t="s">
        <v>1384</v>
      </c>
      <c r="D4369" s="303" t="s">
        <v>553</v>
      </c>
      <c r="E4369" s="340" t="s">
        <v>509</v>
      </c>
      <c r="F4369" s="340"/>
      <c r="G4369" s="341">
        <v>1.0009999999999999</v>
      </c>
      <c r="H4369" s="340" t="s">
        <v>652</v>
      </c>
      <c r="I4369" s="305" t="s">
        <v>152</v>
      </c>
      <c r="J4369" s="305" t="s">
        <v>130</v>
      </c>
      <c r="K4369" s="305" t="s">
        <v>2161</v>
      </c>
    </row>
    <row r="4370" spans="1:11" x14ac:dyDescent="0.25">
      <c r="A4370" s="302" t="str">
        <f t="shared" si="110"/>
        <v>Steam Traps- Venturi_Industrial/Process Audit - 15 &lt; psig &lt; 30_MF_507.89</v>
      </c>
      <c r="B4370" s="303" t="s">
        <v>1381</v>
      </c>
      <c r="C4370" s="304" t="s">
        <v>1384</v>
      </c>
      <c r="D4370" s="303" t="s">
        <v>553</v>
      </c>
      <c r="E4370" s="342">
        <v>507.89</v>
      </c>
      <c r="F4370" s="340"/>
      <c r="G4370" s="341">
        <v>507.89</v>
      </c>
      <c r="H4370" s="340"/>
      <c r="I4370" s="305" t="s">
        <v>152</v>
      </c>
      <c r="J4370" s="305" t="s">
        <v>130</v>
      </c>
      <c r="K4370" s="305" t="s">
        <v>2161</v>
      </c>
    </row>
    <row r="4371" spans="1:11" x14ac:dyDescent="0.25">
      <c r="A4371" s="302" t="str">
        <f t="shared" si="110"/>
        <v>Steam Traps- Venturi_Industrial/Process Audit - 15 &lt; psig &lt; 30_MF_P1</v>
      </c>
      <c r="B4371" s="303" t="s">
        <v>1381</v>
      </c>
      <c r="C4371" s="304" t="s">
        <v>1384</v>
      </c>
      <c r="D4371" s="303" t="s">
        <v>553</v>
      </c>
      <c r="E4371" s="340" t="s">
        <v>510</v>
      </c>
      <c r="F4371" s="340"/>
      <c r="G4371" s="341">
        <f>16+14.696</f>
        <v>30.695999999999998</v>
      </c>
      <c r="H4371" s="340" t="s">
        <v>1377</v>
      </c>
      <c r="I4371" s="305" t="s">
        <v>152</v>
      </c>
      <c r="J4371" s="305" t="s">
        <v>130</v>
      </c>
      <c r="K4371" s="305" t="s">
        <v>2161</v>
      </c>
    </row>
    <row r="4372" spans="1:11" x14ac:dyDescent="0.25">
      <c r="A4372" s="302" t="str">
        <f t="shared" si="110"/>
        <v>Steam Traps- Venturi_Industrial/Process Audit - 15 &lt; psig &lt; 30_MF_0.0962</v>
      </c>
      <c r="B4372" s="303" t="s">
        <v>1381</v>
      </c>
      <c r="C4372" s="304" t="s">
        <v>1384</v>
      </c>
      <c r="D4372" s="303" t="s">
        <v>553</v>
      </c>
      <c r="E4372" s="340">
        <v>9.6199999999999994E-2</v>
      </c>
      <c r="F4372" s="340"/>
      <c r="G4372" s="343">
        <v>9.6199999999999994E-2</v>
      </c>
      <c r="H4372" s="340"/>
      <c r="I4372" s="305" t="s">
        <v>152</v>
      </c>
      <c r="J4372" s="305" t="s">
        <v>130</v>
      </c>
      <c r="K4372" s="305" t="s">
        <v>2161</v>
      </c>
    </row>
    <row r="4373" spans="1:11" x14ac:dyDescent="0.25">
      <c r="A4373" s="302" t="str">
        <f t="shared" si="110"/>
        <v>Steam Traps- Venturi_Industrial/Process Audit - 15 &lt; psig &lt; 30_MF_T1</v>
      </c>
      <c r="B4373" s="303" t="s">
        <v>1381</v>
      </c>
      <c r="C4373" s="304" t="s">
        <v>1384</v>
      </c>
      <c r="D4373" s="303" t="s">
        <v>553</v>
      </c>
      <c r="E4373" s="340" t="s">
        <v>511</v>
      </c>
      <c r="F4373" s="340"/>
      <c r="G4373" s="341">
        <f>G4370*(G4371^G4372)</f>
        <v>706.03613651692331</v>
      </c>
      <c r="H4373" s="340" t="s">
        <v>654</v>
      </c>
      <c r="I4373" s="305" t="s">
        <v>152</v>
      </c>
      <c r="J4373" s="305" t="s">
        <v>130</v>
      </c>
      <c r="K4373" s="305" t="s">
        <v>2161</v>
      </c>
    </row>
    <row r="4374" spans="1:11" x14ac:dyDescent="0.25">
      <c r="A4374" s="302" t="str">
        <f t="shared" si="110"/>
        <v>Steam Traps- Venturi_Industrial/Process Audit - 15 &lt; psig &lt; 30_MF_Tsource</v>
      </c>
      <c r="B4374" s="303" t="s">
        <v>1381</v>
      </c>
      <c r="C4374" s="304" t="s">
        <v>1384</v>
      </c>
      <c r="D4374" s="303" t="s">
        <v>553</v>
      </c>
      <c r="E4374" s="340" t="s">
        <v>512</v>
      </c>
      <c r="F4374" s="340"/>
      <c r="G4374" s="341">
        <v>513.66999999999996</v>
      </c>
      <c r="H4374" s="340" t="s">
        <v>655</v>
      </c>
      <c r="I4374" s="305" t="s">
        <v>152</v>
      </c>
      <c r="J4374" s="305" t="s">
        <v>130</v>
      </c>
      <c r="K4374" s="305" t="s">
        <v>2161</v>
      </c>
    </row>
    <row r="4375" spans="1:11" x14ac:dyDescent="0.25">
      <c r="A4375" s="302" t="str">
        <f t="shared" si="110"/>
        <v>Steam Traps- Venturi_Industrial/Process Audit - 15 &lt; psig &lt; 30_MF_Hours of Operation</v>
      </c>
      <c r="B4375" s="303" t="s">
        <v>1381</v>
      </c>
      <c r="C4375" s="304" t="s">
        <v>1384</v>
      </c>
      <c r="D4375" s="303" t="s">
        <v>553</v>
      </c>
      <c r="E4375" s="305" t="s">
        <v>460</v>
      </c>
      <c r="F4375" s="309" t="s">
        <v>647</v>
      </c>
      <c r="G4375" s="354">
        <f>AVERAGE(1540,1782)</f>
        <v>1661</v>
      </c>
      <c r="H4375" s="305" t="s">
        <v>648</v>
      </c>
      <c r="I4375" s="305" t="s">
        <v>152</v>
      </c>
      <c r="J4375" s="305" t="s">
        <v>130</v>
      </c>
      <c r="K4375" s="305" t="s">
        <v>2161</v>
      </c>
    </row>
    <row r="4376" spans="1:11" x14ac:dyDescent="0.25">
      <c r="A4376" s="302" t="str">
        <f t="shared" si="110"/>
        <v>Steam Traps- Venturi_Industrial/Process Audit - 15 &lt; psig &lt; 30_MF_L</v>
      </c>
      <c r="B4376" s="303" t="s">
        <v>1381</v>
      </c>
      <c r="C4376" s="304" t="s">
        <v>1384</v>
      </c>
      <c r="D4376" s="303" t="s">
        <v>553</v>
      </c>
      <c r="E4376" s="305" t="s">
        <v>437</v>
      </c>
      <c r="F4376" s="309"/>
      <c r="G4376" s="306">
        <v>1</v>
      </c>
      <c r="H4376" s="305" t="s">
        <v>1280</v>
      </c>
      <c r="I4376" s="305" t="s">
        <v>152</v>
      </c>
      <c r="J4376" s="305" t="s">
        <v>130</v>
      </c>
      <c r="K4376" s="305" t="s">
        <v>2161</v>
      </c>
    </row>
    <row r="4377" spans="1:11" x14ac:dyDescent="0.25">
      <c r="A4377" s="302" t="str">
        <f t="shared" si="110"/>
        <v>Steam Traps- Venturi_Industrial/Process Audit - 15 &lt; psig &lt; 30_MF_Conversion</v>
      </c>
      <c r="B4377" s="303" t="s">
        <v>1381</v>
      </c>
      <c r="C4377" s="304" t="s">
        <v>1384</v>
      </c>
      <c r="D4377" s="303" t="s">
        <v>553</v>
      </c>
      <c r="E4377" s="305" t="s">
        <v>284</v>
      </c>
      <c r="F4377" s="309" t="s">
        <v>622</v>
      </c>
      <c r="G4377" s="325">
        <v>100000</v>
      </c>
      <c r="H4377" s="305"/>
      <c r="I4377" s="305" t="s">
        <v>152</v>
      </c>
      <c r="J4377" s="305" t="s">
        <v>130</v>
      </c>
      <c r="K4377" s="305" t="s">
        <v>2161</v>
      </c>
    </row>
    <row r="4378" spans="1:11" x14ac:dyDescent="0.25">
      <c r="A4378" s="302" t="str">
        <f t="shared" si="110"/>
        <v>Steam Traps- Venturi_Industrial/Process Audit - 15 &lt; psig &lt; 30_MF_n_B</v>
      </c>
      <c r="B4378" s="303" t="s">
        <v>1381</v>
      </c>
      <c r="C4378" s="304" t="s">
        <v>1384</v>
      </c>
      <c r="D4378" s="303" t="s">
        <v>553</v>
      </c>
      <c r="E4378" s="340" t="s">
        <v>657</v>
      </c>
      <c r="F4378" s="341"/>
      <c r="G4378" s="346">
        <v>0.80700000000000005</v>
      </c>
      <c r="H4378" s="340" t="s">
        <v>665</v>
      </c>
      <c r="I4378" s="305" t="s">
        <v>152</v>
      </c>
      <c r="J4378" s="305" t="s">
        <v>130</v>
      </c>
      <c r="K4378" s="305" t="s">
        <v>2161</v>
      </c>
    </row>
    <row r="4379" spans="1:11" x14ac:dyDescent="0.25">
      <c r="A4379" s="302" t="str">
        <f t="shared" si="110"/>
        <v>Steam Traps- Venturi_Industrial/Process Audit - 15 &lt; psig &lt; 30_MF_kWh Saved per Unit</v>
      </c>
      <c r="B4379" s="303" t="s">
        <v>1381</v>
      </c>
      <c r="C4379" s="304" t="s">
        <v>1384</v>
      </c>
      <c r="D4379" s="303" t="s">
        <v>553</v>
      </c>
      <c r="E4379" s="314" t="s">
        <v>255</v>
      </c>
      <c r="F4379" s="326"/>
      <c r="G4379" s="315">
        <f>G4366</f>
        <v>16.60855716</v>
      </c>
      <c r="H4379" s="305"/>
      <c r="I4379" s="305" t="s">
        <v>152</v>
      </c>
      <c r="J4379" s="305" t="s">
        <v>130</v>
      </c>
      <c r="K4379" s="305" t="s">
        <v>2161</v>
      </c>
    </row>
    <row r="4380" spans="1:11" x14ac:dyDescent="0.25">
      <c r="A4380" s="302" t="str">
        <f t="shared" si="110"/>
        <v>Steam Traps- Venturi_Industrial/Process Audit - 15 &lt; psig &lt; 30_MF_Coincident Peak kW Saved per Unit</v>
      </c>
      <c r="B4380" s="303" t="s">
        <v>1381</v>
      </c>
      <c r="C4380" s="304" t="s">
        <v>1384</v>
      </c>
      <c r="D4380" s="303" t="s">
        <v>553</v>
      </c>
      <c r="E4380" s="314" t="s">
        <v>257</v>
      </c>
      <c r="F4380" s="326"/>
      <c r="G4380" s="315">
        <v>0</v>
      </c>
      <c r="H4380" s="305"/>
      <c r="I4380" s="305" t="s">
        <v>152</v>
      </c>
      <c r="J4380" s="305" t="s">
        <v>130</v>
      </c>
      <c r="K4380" s="305" t="s">
        <v>2161</v>
      </c>
    </row>
    <row r="4381" spans="1:11" x14ac:dyDescent="0.25">
      <c r="A4381" s="302" t="str">
        <f t="shared" si="110"/>
        <v>Steam Traps- Venturi_Industrial/Process Audit - 15 &lt; psig &lt; 30_MF_Therm Saved per Unit</v>
      </c>
      <c r="B4381" s="303" t="s">
        <v>1381</v>
      </c>
      <c r="C4381" s="304" t="s">
        <v>1384</v>
      </c>
      <c r="D4381" s="303" t="s">
        <v>553</v>
      </c>
      <c r="E4381" s="314" t="s">
        <v>326</v>
      </c>
      <c r="F4381" s="326"/>
      <c r="G4381" s="315">
        <f xml:space="preserve"> G4367 * (G4368 + G4369 * (G4373 - G4374)) * G4375 * G4376 / (G4377 * G4378)</f>
        <v>152.05519050678893</v>
      </c>
      <c r="H4381" s="305"/>
      <c r="I4381" s="305" t="s">
        <v>152</v>
      </c>
      <c r="J4381" s="305" t="s">
        <v>130</v>
      </c>
      <c r="K4381" s="305" t="s">
        <v>2161</v>
      </c>
    </row>
    <row r="4382" spans="1:11" x14ac:dyDescent="0.25">
      <c r="A4382" s="302" t="str">
        <f t="shared" si="110"/>
        <v>Steam Traps- Venturi_Industrial/Process Audit - 15 &lt; psig &lt; 30_MF_Gallons Saved per Unit</v>
      </c>
      <c r="B4382" s="303" t="s">
        <v>1381</v>
      </c>
      <c r="C4382" s="304" t="s">
        <v>1384</v>
      </c>
      <c r="D4382" s="303" t="s">
        <v>553</v>
      </c>
      <c r="E4382" s="314" t="s">
        <v>547</v>
      </c>
      <c r="F4382" s="326"/>
      <c r="G4382" s="315">
        <f>G4363</f>
        <v>6459.96</v>
      </c>
      <c r="H4382" s="305"/>
      <c r="I4382" s="305" t="s">
        <v>152</v>
      </c>
      <c r="J4382" s="305" t="s">
        <v>130</v>
      </c>
      <c r="K4382" s="305" t="s">
        <v>2161</v>
      </c>
    </row>
    <row r="4383" spans="1:11" x14ac:dyDescent="0.25">
      <c r="A4383" s="302" t="str">
        <f t="shared" si="110"/>
        <v>Steam Traps- Venturi_Industrial/Process Audit - 15 &lt; psig &lt; 30_MF_Lifetime (years)</v>
      </c>
      <c r="B4383" s="303" t="s">
        <v>1381</v>
      </c>
      <c r="C4383" s="304" t="s">
        <v>1384</v>
      </c>
      <c r="D4383" s="303" t="s">
        <v>553</v>
      </c>
      <c r="E4383" s="314" t="s">
        <v>259</v>
      </c>
      <c r="F4383" s="326"/>
      <c r="G4383" s="326">
        <v>20</v>
      </c>
      <c r="H4383" s="305" t="s">
        <v>1382</v>
      </c>
      <c r="I4383" s="305" t="s">
        <v>152</v>
      </c>
      <c r="J4383" s="305" t="s">
        <v>130</v>
      </c>
      <c r="K4383" s="305" t="s">
        <v>2161</v>
      </c>
    </row>
    <row r="4384" spans="1:11" x14ac:dyDescent="0.25">
      <c r="A4384" s="302" t="str">
        <f t="shared" si="110"/>
        <v>Steam Traps- Venturi_Industrial/Process Audit - 15 &lt; psig &lt; 30_MF_Incremental Cost</v>
      </c>
      <c r="B4384" s="303" t="s">
        <v>1381</v>
      </c>
      <c r="C4384" s="304" t="s">
        <v>1384</v>
      </c>
      <c r="D4384" s="303" t="s">
        <v>553</v>
      </c>
      <c r="E4384" s="314" t="s">
        <v>260</v>
      </c>
      <c r="F4384" s="326"/>
      <c r="G4384" s="315">
        <v>180</v>
      </c>
      <c r="H4384" s="305" t="s">
        <v>1370</v>
      </c>
      <c r="I4384" s="305" t="s">
        <v>152</v>
      </c>
      <c r="J4384" s="305" t="s">
        <v>130</v>
      </c>
      <c r="K4384" s="305" t="s">
        <v>2161</v>
      </c>
    </row>
    <row r="4385" spans="1:11" x14ac:dyDescent="0.25">
      <c r="A4385" s="317" t="str">
        <f t="shared" si="110"/>
        <v>Steam Traps- Venturi_Industrial/Process Audit - 15 &lt; psig &lt; 30_MF_</v>
      </c>
      <c r="B4385" s="317" t="str">
        <f>B4384</f>
        <v>Steam Traps- Venturi</v>
      </c>
      <c r="C4385" s="332" t="str">
        <f>C4384</f>
        <v>Industrial/Process Audit - 15 &lt; psig &lt; 30</v>
      </c>
      <c r="D4385" s="317" t="str">
        <f>D4384</f>
        <v>MF</v>
      </c>
      <c r="E4385" s="320"/>
      <c r="F4385" s="320"/>
      <c r="G4385" s="329"/>
      <c r="H4385" s="320"/>
      <c r="I4385" s="320"/>
      <c r="J4385" s="320"/>
      <c r="K4385" s="320"/>
    </row>
    <row r="4386" spans="1:11" x14ac:dyDescent="0.25">
      <c r="A4386" s="302" t="str">
        <f t="shared" si="110"/>
        <v>Steam Traps- Venturi_Industrial/Process Audit - 30 ≤ psig &lt; 75_MF_GAL</v>
      </c>
      <c r="B4386" s="303" t="s">
        <v>1381</v>
      </c>
      <c r="C4386" s="304" t="s">
        <v>1385</v>
      </c>
      <c r="D4386" s="303" t="s">
        <v>553</v>
      </c>
      <c r="E4386" s="305" t="s">
        <v>513</v>
      </c>
      <c r="F4386" s="309"/>
      <c r="G4386" s="306">
        <v>2.81</v>
      </c>
      <c r="H4386" s="305" t="s">
        <v>230</v>
      </c>
      <c r="I4386" s="305" t="s">
        <v>152</v>
      </c>
      <c r="J4386" s="305" t="s">
        <v>130</v>
      </c>
      <c r="K4386" s="305" t="s">
        <v>2161</v>
      </c>
    </row>
    <row r="4387" spans="1:11" x14ac:dyDescent="0.25">
      <c r="A4387" s="302" t="str">
        <f t="shared" si="110"/>
        <v>Steam Traps- Venturi_Industrial/Process Audit - 30 ≤ psig &lt; 75_MF_Hours of Operation</v>
      </c>
      <c r="B4387" s="303" t="s">
        <v>1381</v>
      </c>
      <c r="C4387" s="304" t="s">
        <v>1385</v>
      </c>
      <c r="D4387" s="303" t="s">
        <v>553</v>
      </c>
      <c r="E4387" s="305" t="s">
        <v>460</v>
      </c>
      <c r="F4387" s="309" t="s">
        <v>647</v>
      </c>
      <c r="G4387" s="354">
        <v>8282</v>
      </c>
      <c r="H4387" s="305" t="s">
        <v>230</v>
      </c>
      <c r="I4387" s="305" t="s">
        <v>152</v>
      </c>
      <c r="J4387" s="305" t="s">
        <v>130</v>
      </c>
      <c r="K4387" s="305" t="s">
        <v>2161</v>
      </c>
    </row>
    <row r="4388" spans="1:11" x14ac:dyDescent="0.25">
      <c r="A4388" s="302" t="str">
        <f t="shared" si="110"/>
        <v>Steam Traps- Venturi_Industrial/Process Audit - 30 ≤ psig &lt; 75_MF_L</v>
      </c>
      <c r="B4388" s="303" t="s">
        <v>1381</v>
      </c>
      <c r="C4388" s="304" t="s">
        <v>1385</v>
      </c>
      <c r="D4388" s="303" t="s">
        <v>553</v>
      </c>
      <c r="E4388" s="305" t="s">
        <v>437</v>
      </c>
      <c r="F4388" s="309"/>
      <c r="G4388" s="306">
        <v>1</v>
      </c>
      <c r="H4388" s="305" t="s">
        <v>1280</v>
      </c>
      <c r="I4388" s="305" t="s">
        <v>152</v>
      </c>
      <c r="J4388" s="305" t="s">
        <v>130</v>
      </c>
      <c r="K4388" s="305" t="s">
        <v>2161</v>
      </c>
    </row>
    <row r="4389" spans="1:11" x14ac:dyDescent="0.25">
      <c r="A4389" s="302" t="str">
        <f t="shared" si="110"/>
        <v>Steam Traps- Venturi_Industrial/Process Audit - 30 ≤ psig &lt; 75_MF_Delta_Water_Gallons</v>
      </c>
      <c r="B4389" s="303" t="s">
        <v>1381</v>
      </c>
      <c r="C4389" s="304" t="s">
        <v>1385</v>
      </c>
      <c r="D4389" s="303" t="s">
        <v>553</v>
      </c>
      <c r="E4389" s="305" t="s">
        <v>456</v>
      </c>
      <c r="F4389" s="305"/>
      <c r="G4389" s="307">
        <f>G4386*G4387*G4388</f>
        <v>23272.420000000002</v>
      </c>
      <c r="H4389" s="305"/>
      <c r="I4389" s="305" t="s">
        <v>152</v>
      </c>
      <c r="J4389" s="305" t="s">
        <v>130</v>
      </c>
      <c r="K4389" s="305" t="s">
        <v>2161</v>
      </c>
    </row>
    <row r="4390" spans="1:11" x14ac:dyDescent="0.25">
      <c r="A4390" s="302" t="str">
        <f t="shared" si="110"/>
        <v>Steam Traps- Venturi_Industrial/Process Audit - 30 ≤ psig &lt; 75_MF_Conversion</v>
      </c>
      <c r="B4390" s="303" t="s">
        <v>1381</v>
      </c>
      <c r="C4390" s="304" t="s">
        <v>1385</v>
      </c>
      <c r="D4390" s="303" t="s">
        <v>553</v>
      </c>
      <c r="E4390" s="305" t="s">
        <v>284</v>
      </c>
      <c r="F4390" s="305"/>
      <c r="G4390" s="354">
        <v>1000000</v>
      </c>
      <c r="H4390" s="305"/>
      <c r="I4390" s="305" t="s">
        <v>152</v>
      </c>
      <c r="J4390" s="305" t="s">
        <v>130</v>
      </c>
      <c r="K4390" s="305" t="s">
        <v>2161</v>
      </c>
    </row>
    <row r="4391" spans="1:11" x14ac:dyDescent="0.25">
      <c r="A4391" s="302" t="str">
        <f t="shared" si="110"/>
        <v>Steam Traps- Venturi_Industrial/Process Audit - 30 ≤ psig &lt; 75_MF_E_water_supply</v>
      </c>
      <c r="B4391" s="303" t="s">
        <v>1381</v>
      </c>
      <c r="C4391" s="304" t="s">
        <v>1385</v>
      </c>
      <c r="D4391" s="303" t="s">
        <v>553</v>
      </c>
      <c r="E4391" s="305" t="s">
        <v>457</v>
      </c>
      <c r="F4391" s="305"/>
      <c r="G4391" s="307">
        <v>2571</v>
      </c>
      <c r="H4391" s="305"/>
      <c r="I4391" s="305" t="s">
        <v>152</v>
      </c>
      <c r="J4391" s="305" t="s">
        <v>130</v>
      </c>
      <c r="K4391" s="305" t="s">
        <v>2161</v>
      </c>
    </row>
    <row r="4392" spans="1:11" x14ac:dyDescent="0.25">
      <c r="A4392" s="302" t="str">
        <f t="shared" si="110"/>
        <v>Steam Traps- Venturi_Industrial/Process Audit - 30 ≤ psig &lt; 75_MF_Delta_kWh_water</v>
      </c>
      <c r="B4392" s="303" t="s">
        <v>1381</v>
      </c>
      <c r="C4392" s="304" t="s">
        <v>1385</v>
      </c>
      <c r="D4392" s="303" t="s">
        <v>553</v>
      </c>
      <c r="E4392" s="305" t="s">
        <v>334</v>
      </c>
      <c r="F4392" s="305"/>
      <c r="G4392" s="307">
        <f>G4389/G4390*G4391</f>
        <v>59.833391820000003</v>
      </c>
      <c r="H4392" s="305"/>
      <c r="I4392" s="305" t="s">
        <v>152</v>
      </c>
      <c r="J4392" s="305" t="s">
        <v>130</v>
      </c>
      <c r="K4392" s="305" t="s">
        <v>2161</v>
      </c>
    </row>
    <row r="4393" spans="1:11" x14ac:dyDescent="0.25">
      <c r="A4393" s="302" t="str">
        <f t="shared" si="110"/>
        <v>Steam Traps- Venturi_Industrial/Process Audit - 30 ≤ psig &lt; 75_MF_Sa</v>
      </c>
      <c r="B4393" s="303" t="s">
        <v>1381</v>
      </c>
      <c r="C4393" s="304" t="s">
        <v>1385</v>
      </c>
      <c r="D4393" s="303" t="s">
        <v>553</v>
      </c>
      <c r="E4393" s="305" t="s">
        <v>507</v>
      </c>
      <c r="F4393" s="305"/>
      <c r="G4393" s="307">
        <v>23.4</v>
      </c>
      <c r="H4393" s="305" t="s">
        <v>230</v>
      </c>
      <c r="I4393" s="305" t="s">
        <v>152</v>
      </c>
      <c r="J4393" s="305" t="s">
        <v>130</v>
      </c>
      <c r="K4393" s="305" t="s">
        <v>2161</v>
      </c>
    </row>
    <row r="4394" spans="1:11" x14ac:dyDescent="0.25">
      <c r="A4394" s="302" t="str">
        <f t="shared" si="110"/>
        <v>Steam Traps- Venturi_Industrial/Process Audit - 30 ≤ psig &lt; 75_MF_Hv</v>
      </c>
      <c r="B4394" s="303" t="s">
        <v>1381</v>
      </c>
      <c r="C4394" s="304" t="s">
        <v>1385</v>
      </c>
      <c r="D4394" s="303" t="s">
        <v>553</v>
      </c>
      <c r="E4394" s="305" t="s">
        <v>508</v>
      </c>
      <c r="F4394" s="305"/>
      <c r="G4394" s="307">
        <v>915</v>
      </c>
      <c r="H4394" s="305" t="s">
        <v>230</v>
      </c>
      <c r="I4394" s="305" t="s">
        <v>152</v>
      </c>
      <c r="J4394" s="305" t="s">
        <v>130</v>
      </c>
      <c r="K4394" s="305" t="s">
        <v>2161</v>
      </c>
    </row>
    <row r="4395" spans="1:11" x14ac:dyDescent="0.25">
      <c r="A4395" s="302" t="str">
        <f t="shared" si="110"/>
        <v>Steam Traps- Venturi_Industrial/Process Audit - 30 ≤ psig &lt; 75_MF_Hs</v>
      </c>
      <c r="B4395" s="303" t="s">
        <v>1381</v>
      </c>
      <c r="C4395" s="304" t="s">
        <v>1385</v>
      </c>
      <c r="D4395" s="303" t="s">
        <v>553</v>
      </c>
      <c r="E4395" s="340" t="s">
        <v>509</v>
      </c>
      <c r="F4395" s="340"/>
      <c r="G4395" s="341">
        <v>1.0009999999999999</v>
      </c>
      <c r="H4395" s="340" t="s">
        <v>652</v>
      </c>
      <c r="I4395" s="305" t="s">
        <v>152</v>
      </c>
      <c r="J4395" s="305" t="s">
        <v>130</v>
      </c>
      <c r="K4395" s="305" t="s">
        <v>2161</v>
      </c>
    </row>
    <row r="4396" spans="1:11" x14ac:dyDescent="0.25">
      <c r="A4396" s="302" t="str">
        <f t="shared" si="110"/>
        <v>Steam Traps- Venturi_Industrial/Process Audit - 30 ≤ psig &lt; 75_MF_507.89</v>
      </c>
      <c r="B4396" s="303" t="s">
        <v>1381</v>
      </c>
      <c r="C4396" s="304" t="s">
        <v>1385</v>
      </c>
      <c r="D4396" s="303" t="s">
        <v>553</v>
      </c>
      <c r="E4396" s="342">
        <v>507.89</v>
      </c>
      <c r="F4396" s="340"/>
      <c r="G4396" s="341">
        <v>507.89</v>
      </c>
      <c r="H4396" s="340"/>
      <c r="I4396" s="305" t="s">
        <v>152</v>
      </c>
      <c r="J4396" s="305" t="s">
        <v>130</v>
      </c>
      <c r="K4396" s="305" t="s">
        <v>2161</v>
      </c>
    </row>
    <row r="4397" spans="1:11" x14ac:dyDescent="0.25">
      <c r="A4397" s="302" t="str">
        <f t="shared" si="110"/>
        <v>Steam Traps- Venturi_Industrial/Process Audit - 30 ≤ psig &lt; 75_MF_P1</v>
      </c>
      <c r="B4397" s="303" t="s">
        <v>1381</v>
      </c>
      <c r="C4397" s="304" t="s">
        <v>1385</v>
      </c>
      <c r="D4397" s="303" t="s">
        <v>553</v>
      </c>
      <c r="E4397" s="340" t="s">
        <v>510</v>
      </c>
      <c r="F4397" s="340"/>
      <c r="G4397" s="341">
        <f>47+14.696</f>
        <v>61.695999999999998</v>
      </c>
      <c r="H4397" s="340" t="s">
        <v>1372</v>
      </c>
      <c r="I4397" s="305" t="s">
        <v>152</v>
      </c>
      <c r="J4397" s="305" t="s">
        <v>130</v>
      </c>
      <c r="K4397" s="305" t="s">
        <v>2161</v>
      </c>
    </row>
    <row r="4398" spans="1:11" x14ac:dyDescent="0.25">
      <c r="A4398" s="302" t="str">
        <f t="shared" si="110"/>
        <v>Steam Traps- Venturi_Industrial/Process Audit - 30 ≤ psig &lt; 75_MF_0.0962</v>
      </c>
      <c r="B4398" s="303" t="s">
        <v>1381</v>
      </c>
      <c r="C4398" s="304" t="s">
        <v>1385</v>
      </c>
      <c r="D4398" s="303" t="s">
        <v>553</v>
      </c>
      <c r="E4398" s="340">
        <v>9.6199999999999994E-2</v>
      </c>
      <c r="F4398" s="340"/>
      <c r="G4398" s="343">
        <v>9.6199999999999994E-2</v>
      </c>
      <c r="H4398" s="340"/>
      <c r="I4398" s="305" t="s">
        <v>152</v>
      </c>
      <c r="J4398" s="305" t="s">
        <v>130</v>
      </c>
      <c r="K4398" s="305" t="s">
        <v>2161</v>
      </c>
    </row>
    <row r="4399" spans="1:11" x14ac:dyDescent="0.25">
      <c r="A4399" s="302" t="str">
        <f t="shared" si="110"/>
        <v>Steam Traps- Venturi_Industrial/Process Audit - 30 ≤ psig &lt; 75_MF_T1</v>
      </c>
      <c r="B4399" s="303" t="s">
        <v>1381</v>
      </c>
      <c r="C4399" s="304" t="s">
        <v>1385</v>
      </c>
      <c r="D4399" s="303" t="s">
        <v>553</v>
      </c>
      <c r="E4399" s="340" t="s">
        <v>511</v>
      </c>
      <c r="F4399" s="340"/>
      <c r="G4399" s="341">
        <f>G4396*(G4397^G4398)</f>
        <v>755.07898979450931</v>
      </c>
      <c r="H4399" s="340" t="s">
        <v>654</v>
      </c>
      <c r="I4399" s="305" t="s">
        <v>152</v>
      </c>
      <c r="J4399" s="305" t="s">
        <v>130</v>
      </c>
      <c r="K4399" s="305" t="s">
        <v>2161</v>
      </c>
    </row>
    <row r="4400" spans="1:11" x14ac:dyDescent="0.25">
      <c r="A4400" s="302" t="str">
        <f t="shared" si="110"/>
        <v>Steam Traps- Venturi_Industrial/Process Audit - 30 ≤ psig &lt; 75_MF_Tsource</v>
      </c>
      <c r="B4400" s="303" t="s">
        <v>1381</v>
      </c>
      <c r="C4400" s="304" t="s">
        <v>1385</v>
      </c>
      <c r="D4400" s="303" t="s">
        <v>553</v>
      </c>
      <c r="E4400" s="340" t="s">
        <v>512</v>
      </c>
      <c r="F4400" s="340"/>
      <c r="G4400" s="341">
        <v>513.66999999999996</v>
      </c>
      <c r="H4400" s="340" t="s">
        <v>655</v>
      </c>
      <c r="I4400" s="305" t="s">
        <v>152</v>
      </c>
      <c r="J4400" s="305" t="s">
        <v>130</v>
      </c>
      <c r="K4400" s="305" t="s">
        <v>2161</v>
      </c>
    </row>
    <row r="4401" spans="1:11" x14ac:dyDescent="0.25">
      <c r="A4401" s="302" t="str">
        <f t="shared" si="110"/>
        <v>Steam Traps- Venturi_Industrial/Process Audit - 30 ≤ psig &lt; 75_MF_Hours of Operation</v>
      </c>
      <c r="B4401" s="303" t="s">
        <v>1381</v>
      </c>
      <c r="C4401" s="304" t="s">
        <v>1385</v>
      </c>
      <c r="D4401" s="303" t="s">
        <v>553</v>
      </c>
      <c r="E4401" s="305" t="s">
        <v>460</v>
      </c>
      <c r="F4401" s="309" t="s">
        <v>647</v>
      </c>
      <c r="G4401" s="354">
        <f>AVERAGE(1540,1782)</f>
        <v>1661</v>
      </c>
      <c r="H4401" s="305" t="s">
        <v>648</v>
      </c>
      <c r="I4401" s="305" t="s">
        <v>152</v>
      </c>
      <c r="J4401" s="305" t="s">
        <v>130</v>
      </c>
      <c r="K4401" s="305" t="s">
        <v>2161</v>
      </c>
    </row>
    <row r="4402" spans="1:11" x14ac:dyDescent="0.25">
      <c r="A4402" s="302" t="str">
        <f t="shared" si="110"/>
        <v>Steam Traps- Venturi_Industrial/Process Audit - 30 ≤ psig &lt; 75_MF_L</v>
      </c>
      <c r="B4402" s="303" t="s">
        <v>1381</v>
      </c>
      <c r="C4402" s="304" t="s">
        <v>1385</v>
      </c>
      <c r="D4402" s="303" t="s">
        <v>553</v>
      </c>
      <c r="E4402" s="305" t="s">
        <v>437</v>
      </c>
      <c r="F4402" s="309"/>
      <c r="G4402" s="306">
        <v>1</v>
      </c>
      <c r="H4402" s="305" t="s">
        <v>1280</v>
      </c>
      <c r="I4402" s="305" t="s">
        <v>152</v>
      </c>
      <c r="J4402" s="305" t="s">
        <v>130</v>
      </c>
      <c r="K4402" s="305" t="s">
        <v>2161</v>
      </c>
    </row>
    <row r="4403" spans="1:11" x14ac:dyDescent="0.25">
      <c r="A4403" s="302" t="str">
        <f t="shared" si="110"/>
        <v>Steam Traps- Venturi_Industrial/Process Audit - 30 ≤ psig &lt; 75_MF_Conversion</v>
      </c>
      <c r="B4403" s="303" t="s">
        <v>1381</v>
      </c>
      <c r="C4403" s="304" t="s">
        <v>1385</v>
      </c>
      <c r="D4403" s="303" t="s">
        <v>553</v>
      </c>
      <c r="E4403" s="305" t="s">
        <v>284</v>
      </c>
      <c r="F4403" s="309" t="s">
        <v>622</v>
      </c>
      <c r="G4403" s="325">
        <v>100000</v>
      </c>
      <c r="H4403" s="305"/>
      <c r="I4403" s="305" t="s">
        <v>152</v>
      </c>
      <c r="J4403" s="305" t="s">
        <v>130</v>
      </c>
      <c r="K4403" s="305" t="s">
        <v>2161</v>
      </c>
    </row>
    <row r="4404" spans="1:11" x14ac:dyDescent="0.25">
      <c r="A4404" s="302" t="str">
        <f t="shared" si="110"/>
        <v>Steam Traps- Venturi_Industrial/Process Audit - 30 ≤ psig &lt; 75_MF_n_B</v>
      </c>
      <c r="B4404" s="303" t="s">
        <v>1381</v>
      </c>
      <c r="C4404" s="304" t="s">
        <v>1385</v>
      </c>
      <c r="D4404" s="303" t="s">
        <v>553</v>
      </c>
      <c r="E4404" s="340" t="s">
        <v>657</v>
      </c>
      <c r="F4404" s="341"/>
      <c r="G4404" s="346">
        <v>0.80700000000000005</v>
      </c>
      <c r="H4404" s="340" t="s">
        <v>665</v>
      </c>
      <c r="I4404" s="305" t="s">
        <v>152</v>
      </c>
      <c r="J4404" s="305" t="s">
        <v>130</v>
      </c>
      <c r="K4404" s="305" t="s">
        <v>2161</v>
      </c>
    </row>
    <row r="4405" spans="1:11" x14ac:dyDescent="0.25">
      <c r="A4405" s="302" t="str">
        <f t="shared" si="110"/>
        <v>Steam Traps- Venturi_Industrial/Process Audit - 30 ≤ psig &lt; 75_MF_kWh Saved per Unit</v>
      </c>
      <c r="B4405" s="303" t="s">
        <v>1381</v>
      </c>
      <c r="C4405" s="304" t="s">
        <v>1385</v>
      </c>
      <c r="D4405" s="303" t="s">
        <v>553</v>
      </c>
      <c r="E4405" s="314" t="s">
        <v>255</v>
      </c>
      <c r="F4405" s="326"/>
      <c r="G4405" s="315">
        <f>G4392</f>
        <v>59.833391820000003</v>
      </c>
      <c r="H4405" s="305"/>
      <c r="I4405" s="305" t="s">
        <v>152</v>
      </c>
      <c r="J4405" s="305" t="s">
        <v>130</v>
      </c>
      <c r="K4405" s="305" t="s">
        <v>2161</v>
      </c>
    </row>
    <row r="4406" spans="1:11" x14ac:dyDescent="0.25">
      <c r="A4406" s="302" t="str">
        <f t="shared" si="110"/>
        <v>Steam Traps- Venturi_Industrial/Process Audit - 30 ≤ psig &lt; 75_MF_Coincident Peak kW Saved per Unit</v>
      </c>
      <c r="B4406" s="303" t="s">
        <v>1381</v>
      </c>
      <c r="C4406" s="304" t="s">
        <v>1385</v>
      </c>
      <c r="D4406" s="303" t="s">
        <v>553</v>
      </c>
      <c r="E4406" s="314" t="s">
        <v>257</v>
      </c>
      <c r="F4406" s="326"/>
      <c r="G4406" s="315">
        <v>0</v>
      </c>
      <c r="H4406" s="305"/>
      <c r="I4406" s="305" t="s">
        <v>152</v>
      </c>
      <c r="J4406" s="305" t="s">
        <v>130</v>
      </c>
      <c r="K4406" s="305" t="s">
        <v>2161</v>
      </c>
    </row>
    <row r="4407" spans="1:11" x14ac:dyDescent="0.25">
      <c r="A4407" s="302" t="str">
        <f t="shared" si="110"/>
        <v>Steam Traps- Venturi_Industrial/Process Audit - 30 ≤ psig &lt; 75_MF_Therm Saved per Unit</v>
      </c>
      <c r="B4407" s="303" t="s">
        <v>1381</v>
      </c>
      <c r="C4407" s="304" t="s">
        <v>1385</v>
      </c>
      <c r="D4407" s="303" t="s">
        <v>553</v>
      </c>
      <c r="E4407" s="314" t="s">
        <v>326</v>
      </c>
      <c r="F4407" s="326"/>
      <c r="G4407" s="315">
        <f xml:space="preserve"> G4393 * (G4394 + G4395 * (G4399 - G4400)) * G4401 * G4402 / (G4403 * G4404)</f>
        <v>557.07551065314806</v>
      </c>
      <c r="H4407" s="305"/>
      <c r="I4407" s="305" t="s">
        <v>152</v>
      </c>
      <c r="J4407" s="305" t="s">
        <v>130</v>
      </c>
      <c r="K4407" s="305" t="s">
        <v>2161</v>
      </c>
    </row>
    <row r="4408" spans="1:11" x14ac:dyDescent="0.25">
      <c r="A4408" s="302" t="str">
        <f t="shared" si="110"/>
        <v>Steam Traps- Venturi_Industrial/Process Audit - 30 ≤ psig &lt; 75_MF_Gallons Saved per Unit</v>
      </c>
      <c r="B4408" s="303" t="s">
        <v>1381</v>
      </c>
      <c r="C4408" s="304" t="s">
        <v>1385</v>
      </c>
      <c r="D4408" s="303" t="s">
        <v>553</v>
      </c>
      <c r="E4408" s="314" t="s">
        <v>547</v>
      </c>
      <c r="F4408" s="326"/>
      <c r="G4408" s="315">
        <f>G4389</f>
        <v>23272.420000000002</v>
      </c>
      <c r="H4408" s="305"/>
      <c r="I4408" s="305" t="s">
        <v>152</v>
      </c>
      <c r="J4408" s="305" t="s">
        <v>130</v>
      </c>
      <c r="K4408" s="305" t="s">
        <v>2161</v>
      </c>
    </row>
    <row r="4409" spans="1:11" x14ac:dyDescent="0.25">
      <c r="A4409" s="302" t="str">
        <f t="shared" si="110"/>
        <v>Steam Traps- Venturi_Industrial/Process Audit - 30 ≤ psig &lt; 75_MF_Lifetime (years)</v>
      </c>
      <c r="B4409" s="303" t="s">
        <v>1381</v>
      </c>
      <c r="C4409" s="304" t="s">
        <v>1385</v>
      </c>
      <c r="D4409" s="303" t="s">
        <v>553</v>
      </c>
      <c r="E4409" s="314" t="s">
        <v>259</v>
      </c>
      <c r="F4409" s="326"/>
      <c r="G4409" s="326">
        <v>20</v>
      </c>
      <c r="H4409" s="305" t="s">
        <v>1382</v>
      </c>
      <c r="I4409" s="305" t="s">
        <v>152</v>
      </c>
      <c r="J4409" s="305" t="s">
        <v>130</v>
      </c>
      <c r="K4409" s="305" t="s">
        <v>2161</v>
      </c>
    </row>
    <row r="4410" spans="1:11" x14ac:dyDescent="0.25">
      <c r="A4410" s="302" t="str">
        <f t="shared" si="110"/>
        <v>Steam Traps- Venturi_Industrial/Process Audit - 30 ≤ psig &lt; 75_MF_Incremental Cost</v>
      </c>
      <c r="B4410" s="303" t="s">
        <v>1381</v>
      </c>
      <c r="C4410" s="304" t="s">
        <v>1385</v>
      </c>
      <c r="D4410" s="303" t="s">
        <v>553</v>
      </c>
      <c r="E4410" s="314" t="s">
        <v>260</v>
      </c>
      <c r="F4410" s="326"/>
      <c r="G4410" s="315">
        <v>223</v>
      </c>
      <c r="H4410" s="305" t="s">
        <v>1373</v>
      </c>
      <c r="I4410" s="305" t="s">
        <v>152</v>
      </c>
      <c r="J4410" s="305" t="s">
        <v>130</v>
      </c>
      <c r="K4410" s="305" t="s">
        <v>2161</v>
      </c>
    </row>
    <row r="4411" spans="1:11" x14ac:dyDescent="0.25">
      <c r="A4411" s="317" t="str">
        <f t="shared" si="110"/>
        <v>Steam Traps- Venturi_Industrial/Process Audit - 30 ≤ psig &lt; 75_MF_</v>
      </c>
      <c r="B4411" s="317" t="str">
        <f>B4410</f>
        <v>Steam Traps- Venturi</v>
      </c>
      <c r="C4411" s="332" t="str">
        <f>C4410</f>
        <v>Industrial/Process Audit - 30 ≤ psig &lt; 75</v>
      </c>
      <c r="D4411" s="317" t="str">
        <f>D4410</f>
        <v>MF</v>
      </c>
      <c r="E4411" s="320"/>
      <c r="F4411" s="320"/>
      <c r="G4411" s="329"/>
      <c r="H4411" s="320"/>
      <c r="I4411" s="320"/>
      <c r="J4411" s="320"/>
      <c r="K4411" s="320"/>
    </row>
    <row r="4412" spans="1:11" x14ac:dyDescent="0.25">
      <c r="A4412" s="302" t="str">
        <f t="shared" si="110"/>
        <v>Steam Traps- Venturi_Industrial/Process Audit - 75 ≤ psig &lt; 125_MF_GAL</v>
      </c>
      <c r="B4412" s="303" t="s">
        <v>1381</v>
      </c>
      <c r="C4412" s="304" t="s">
        <v>1386</v>
      </c>
      <c r="D4412" s="303" t="s">
        <v>553</v>
      </c>
      <c r="E4412" s="305" t="s">
        <v>513</v>
      </c>
      <c r="F4412" s="309"/>
      <c r="G4412" s="306">
        <v>5.26</v>
      </c>
      <c r="H4412" s="305" t="s">
        <v>229</v>
      </c>
      <c r="I4412" s="305" t="s">
        <v>152</v>
      </c>
      <c r="J4412" s="305" t="s">
        <v>130</v>
      </c>
      <c r="K4412" s="305" t="s">
        <v>2161</v>
      </c>
    </row>
    <row r="4413" spans="1:11" x14ac:dyDescent="0.25">
      <c r="A4413" s="302" t="str">
        <f t="shared" si="110"/>
        <v>Steam Traps- Venturi_Industrial/Process Audit - 75 ≤ psig &lt; 125_MF_Hours of Operation</v>
      </c>
      <c r="B4413" s="303" t="s">
        <v>1381</v>
      </c>
      <c r="C4413" s="304" t="s">
        <v>1386</v>
      </c>
      <c r="D4413" s="303" t="s">
        <v>553</v>
      </c>
      <c r="E4413" s="305" t="s">
        <v>460</v>
      </c>
      <c r="F4413" s="309" t="s">
        <v>647</v>
      </c>
      <c r="G4413" s="354">
        <v>8282</v>
      </c>
      <c r="H4413" s="305" t="s">
        <v>229</v>
      </c>
      <c r="I4413" s="305" t="s">
        <v>152</v>
      </c>
      <c r="J4413" s="305" t="s">
        <v>130</v>
      </c>
      <c r="K4413" s="305" t="s">
        <v>2161</v>
      </c>
    </row>
    <row r="4414" spans="1:11" x14ac:dyDescent="0.25">
      <c r="A4414" s="302" t="str">
        <f t="shared" si="110"/>
        <v>Steam Traps- Venturi_Industrial/Process Audit - 75 ≤ psig &lt; 125_MF_L</v>
      </c>
      <c r="B4414" s="303" t="s">
        <v>1381</v>
      </c>
      <c r="C4414" s="304" t="s">
        <v>1386</v>
      </c>
      <c r="D4414" s="303" t="s">
        <v>553</v>
      </c>
      <c r="E4414" s="305" t="s">
        <v>437</v>
      </c>
      <c r="F4414" s="309"/>
      <c r="G4414" s="306">
        <v>1</v>
      </c>
      <c r="H4414" s="305" t="s">
        <v>1280</v>
      </c>
      <c r="I4414" s="305" t="s">
        <v>152</v>
      </c>
      <c r="J4414" s="305" t="s">
        <v>130</v>
      </c>
      <c r="K4414" s="305" t="s">
        <v>2161</v>
      </c>
    </row>
    <row r="4415" spans="1:11" x14ac:dyDescent="0.25">
      <c r="A4415" s="302" t="str">
        <f t="shared" si="110"/>
        <v>Steam Traps- Venturi_Industrial/Process Audit - 75 ≤ psig &lt; 125_MF_Delta_Water_Gallons</v>
      </c>
      <c r="B4415" s="303" t="s">
        <v>1381</v>
      </c>
      <c r="C4415" s="304" t="s">
        <v>1386</v>
      </c>
      <c r="D4415" s="303" t="s">
        <v>553</v>
      </c>
      <c r="E4415" s="305" t="s">
        <v>456</v>
      </c>
      <c r="F4415" s="305"/>
      <c r="G4415" s="307">
        <f>G4412*G4413*G4414</f>
        <v>43563.32</v>
      </c>
      <c r="H4415" s="305"/>
      <c r="I4415" s="305" t="s">
        <v>152</v>
      </c>
      <c r="J4415" s="305" t="s">
        <v>130</v>
      </c>
      <c r="K4415" s="305" t="s">
        <v>2161</v>
      </c>
    </row>
    <row r="4416" spans="1:11" x14ac:dyDescent="0.25">
      <c r="A4416" s="302" t="str">
        <f t="shared" si="110"/>
        <v>Steam Traps- Venturi_Industrial/Process Audit - 75 ≤ psig &lt; 125_MF_Conversion</v>
      </c>
      <c r="B4416" s="303" t="s">
        <v>1381</v>
      </c>
      <c r="C4416" s="304" t="s">
        <v>1386</v>
      </c>
      <c r="D4416" s="303" t="s">
        <v>553</v>
      </c>
      <c r="E4416" s="305" t="s">
        <v>284</v>
      </c>
      <c r="F4416" s="305"/>
      <c r="G4416" s="354">
        <v>1000000</v>
      </c>
      <c r="H4416" s="305"/>
      <c r="I4416" s="305" t="s">
        <v>152</v>
      </c>
      <c r="J4416" s="305" t="s">
        <v>130</v>
      </c>
      <c r="K4416" s="305" t="s">
        <v>2161</v>
      </c>
    </row>
    <row r="4417" spans="1:11" x14ac:dyDescent="0.25">
      <c r="A4417" s="302" t="str">
        <f t="shared" si="110"/>
        <v>Steam Traps- Venturi_Industrial/Process Audit - 75 ≤ psig &lt; 125_MF_E_water_supply</v>
      </c>
      <c r="B4417" s="303" t="s">
        <v>1381</v>
      </c>
      <c r="C4417" s="304" t="s">
        <v>1386</v>
      </c>
      <c r="D4417" s="303" t="s">
        <v>553</v>
      </c>
      <c r="E4417" s="305" t="s">
        <v>457</v>
      </c>
      <c r="F4417" s="305"/>
      <c r="G4417" s="307">
        <v>2571</v>
      </c>
      <c r="H4417" s="305"/>
      <c r="I4417" s="305" t="s">
        <v>152</v>
      </c>
      <c r="J4417" s="305" t="s">
        <v>130</v>
      </c>
      <c r="K4417" s="305" t="s">
        <v>2161</v>
      </c>
    </row>
    <row r="4418" spans="1:11" x14ac:dyDescent="0.25">
      <c r="A4418" s="302" t="str">
        <f t="shared" si="110"/>
        <v>Steam Traps- Venturi_Industrial/Process Audit - 75 ≤ psig &lt; 125_MF_Delta_kWh_water</v>
      </c>
      <c r="B4418" s="303" t="s">
        <v>1381</v>
      </c>
      <c r="C4418" s="304" t="s">
        <v>1386</v>
      </c>
      <c r="D4418" s="303" t="s">
        <v>553</v>
      </c>
      <c r="E4418" s="305" t="s">
        <v>334</v>
      </c>
      <c r="F4418" s="305"/>
      <c r="G4418" s="307">
        <f>G4415/G4416*G4417</f>
        <v>112.00129572</v>
      </c>
      <c r="H4418" s="305"/>
      <c r="I4418" s="305" t="s">
        <v>152</v>
      </c>
      <c r="J4418" s="305" t="s">
        <v>130</v>
      </c>
      <c r="K4418" s="305" t="s">
        <v>2161</v>
      </c>
    </row>
    <row r="4419" spans="1:11" x14ac:dyDescent="0.25">
      <c r="A4419" s="302" t="str">
        <f t="shared" si="110"/>
        <v>Steam Traps- Venturi_Industrial/Process Audit - 75 ≤ psig &lt; 125_MF_Sa</v>
      </c>
      <c r="B4419" s="303" t="s">
        <v>1381</v>
      </c>
      <c r="C4419" s="304" t="s">
        <v>1386</v>
      </c>
      <c r="D4419" s="303" t="s">
        <v>553</v>
      </c>
      <c r="E4419" s="305" t="s">
        <v>507</v>
      </c>
      <c r="F4419" s="305"/>
      <c r="G4419" s="307">
        <v>43.8</v>
      </c>
      <c r="H4419" s="305" t="s">
        <v>229</v>
      </c>
      <c r="I4419" s="305" t="s">
        <v>152</v>
      </c>
      <c r="J4419" s="305" t="s">
        <v>130</v>
      </c>
      <c r="K4419" s="305" t="s">
        <v>2161</v>
      </c>
    </row>
    <row r="4420" spans="1:11" x14ac:dyDescent="0.25">
      <c r="A4420" s="302" t="str">
        <f t="shared" si="110"/>
        <v>Steam Traps- Venturi_Industrial/Process Audit - 75 ≤ psig &lt; 125_MF_Hv</v>
      </c>
      <c r="B4420" s="303" t="s">
        <v>1381</v>
      </c>
      <c r="C4420" s="304" t="s">
        <v>1386</v>
      </c>
      <c r="D4420" s="303" t="s">
        <v>553</v>
      </c>
      <c r="E4420" s="305" t="s">
        <v>508</v>
      </c>
      <c r="F4420" s="305"/>
      <c r="G4420" s="307">
        <v>880</v>
      </c>
      <c r="H4420" s="305" t="s">
        <v>229</v>
      </c>
      <c r="I4420" s="305" t="s">
        <v>152</v>
      </c>
      <c r="J4420" s="305" t="s">
        <v>130</v>
      </c>
      <c r="K4420" s="305" t="s">
        <v>2161</v>
      </c>
    </row>
    <row r="4421" spans="1:11" x14ac:dyDescent="0.25">
      <c r="A4421" s="302" t="str">
        <f t="shared" si="110"/>
        <v>Steam Traps- Venturi_Industrial/Process Audit - 75 ≤ psig &lt; 125_MF_Hs</v>
      </c>
      <c r="B4421" s="303" t="s">
        <v>1381</v>
      </c>
      <c r="C4421" s="304" t="s">
        <v>1386</v>
      </c>
      <c r="D4421" s="303" t="s">
        <v>553</v>
      </c>
      <c r="E4421" s="340" t="s">
        <v>509</v>
      </c>
      <c r="F4421" s="340"/>
      <c r="G4421" s="341">
        <v>1.0009999999999999</v>
      </c>
      <c r="H4421" s="340" t="s">
        <v>652</v>
      </c>
      <c r="I4421" s="305" t="s">
        <v>152</v>
      </c>
      <c r="J4421" s="305" t="s">
        <v>130</v>
      </c>
      <c r="K4421" s="305" t="s">
        <v>2161</v>
      </c>
    </row>
    <row r="4422" spans="1:11" x14ac:dyDescent="0.25">
      <c r="A4422" s="302" t="str">
        <f t="shared" si="110"/>
        <v>Steam Traps- Venturi_Industrial/Process Audit - 75 ≤ psig &lt; 125_MF_507.89</v>
      </c>
      <c r="B4422" s="303" t="s">
        <v>1381</v>
      </c>
      <c r="C4422" s="304" t="s">
        <v>1386</v>
      </c>
      <c r="D4422" s="303" t="s">
        <v>553</v>
      </c>
      <c r="E4422" s="342">
        <v>507.89</v>
      </c>
      <c r="F4422" s="340"/>
      <c r="G4422" s="341">
        <v>507.89</v>
      </c>
      <c r="H4422" s="340"/>
      <c r="I4422" s="305" t="s">
        <v>152</v>
      </c>
      <c r="J4422" s="305" t="s">
        <v>130</v>
      </c>
      <c r="K4422" s="305" t="s">
        <v>2161</v>
      </c>
    </row>
    <row r="4423" spans="1:11" x14ac:dyDescent="0.25">
      <c r="A4423" s="302" t="str">
        <f t="shared" si="110"/>
        <v>Steam Traps- Venturi_Industrial/Process Audit - 75 ≤ psig &lt; 125_MF_P1</v>
      </c>
      <c r="B4423" s="303" t="s">
        <v>1381</v>
      </c>
      <c r="C4423" s="304" t="s">
        <v>1386</v>
      </c>
      <c r="D4423" s="303" t="s">
        <v>553</v>
      </c>
      <c r="E4423" s="340" t="s">
        <v>510</v>
      </c>
      <c r="F4423" s="340"/>
      <c r="G4423" s="341">
        <f>101+14.696</f>
        <v>115.696</v>
      </c>
      <c r="H4423" s="340" t="s">
        <v>1378</v>
      </c>
      <c r="I4423" s="305" t="s">
        <v>152</v>
      </c>
      <c r="J4423" s="305" t="s">
        <v>130</v>
      </c>
      <c r="K4423" s="305" t="s">
        <v>2161</v>
      </c>
    </row>
    <row r="4424" spans="1:11" x14ac:dyDescent="0.25">
      <c r="A4424" s="302" t="str">
        <f t="shared" si="110"/>
        <v>Steam Traps- Venturi_Industrial/Process Audit - 75 ≤ psig &lt; 125_MF_0.0962</v>
      </c>
      <c r="B4424" s="303" t="s">
        <v>1381</v>
      </c>
      <c r="C4424" s="304" t="s">
        <v>1386</v>
      </c>
      <c r="D4424" s="303" t="s">
        <v>553</v>
      </c>
      <c r="E4424" s="340">
        <v>9.6199999999999994E-2</v>
      </c>
      <c r="F4424" s="340"/>
      <c r="G4424" s="343">
        <v>9.6199999999999994E-2</v>
      </c>
      <c r="H4424" s="340"/>
      <c r="I4424" s="305" t="s">
        <v>152</v>
      </c>
      <c r="J4424" s="305" t="s">
        <v>130</v>
      </c>
      <c r="K4424" s="305" t="s">
        <v>2161</v>
      </c>
    </row>
    <row r="4425" spans="1:11" x14ac:dyDescent="0.25">
      <c r="A4425" s="302" t="str">
        <f t="shared" si="110"/>
        <v>Steam Traps- Venturi_Industrial/Process Audit - 75 ≤ psig &lt; 125_MF_T1</v>
      </c>
      <c r="B4425" s="303" t="s">
        <v>1381</v>
      </c>
      <c r="C4425" s="304" t="s">
        <v>1386</v>
      </c>
      <c r="D4425" s="303" t="s">
        <v>553</v>
      </c>
      <c r="E4425" s="340" t="s">
        <v>511</v>
      </c>
      <c r="F4425" s="340"/>
      <c r="G4425" s="341">
        <f>G4422*(G4423^G4424)</f>
        <v>802.1597871006478</v>
      </c>
      <c r="H4425" s="340" t="s">
        <v>654</v>
      </c>
      <c r="I4425" s="305" t="s">
        <v>152</v>
      </c>
      <c r="J4425" s="305" t="s">
        <v>130</v>
      </c>
      <c r="K4425" s="305" t="s">
        <v>2161</v>
      </c>
    </row>
    <row r="4426" spans="1:11" x14ac:dyDescent="0.25">
      <c r="A4426" s="302" t="str">
        <f t="shared" si="110"/>
        <v>Steam Traps- Venturi_Industrial/Process Audit - 75 ≤ psig &lt; 125_MF_Tsource</v>
      </c>
      <c r="B4426" s="303" t="s">
        <v>1381</v>
      </c>
      <c r="C4426" s="304" t="s">
        <v>1386</v>
      </c>
      <c r="D4426" s="303" t="s">
        <v>553</v>
      </c>
      <c r="E4426" s="340" t="s">
        <v>512</v>
      </c>
      <c r="F4426" s="340"/>
      <c r="G4426" s="341">
        <v>513.66999999999996</v>
      </c>
      <c r="H4426" s="340" t="s">
        <v>655</v>
      </c>
      <c r="I4426" s="305" t="s">
        <v>152</v>
      </c>
      <c r="J4426" s="305" t="s">
        <v>130</v>
      </c>
      <c r="K4426" s="305" t="s">
        <v>2161</v>
      </c>
    </row>
    <row r="4427" spans="1:11" x14ac:dyDescent="0.25">
      <c r="A4427" s="302" t="str">
        <f t="shared" si="110"/>
        <v>Steam Traps- Venturi_Industrial/Process Audit - 75 ≤ psig &lt; 125_MF_Hours of Operation</v>
      </c>
      <c r="B4427" s="303" t="s">
        <v>1381</v>
      </c>
      <c r="C4427" s="304" t="s">
        <v>1386</v>
      </c>
      <c r="D4427" s="303" t="s">
        <v>553</v>
      </c>
      <c r="E4427" s="305" t="s">
        <v>460</v>
      </c>
      <c r="F4427" s="309" t="s">
        <v>647</v>
      </c>
      <c r="G4427" s="354">
        <f>AVERAGE(1540,1782)</f>
        <v>1661</v>
      </c>
      <c r="H4427" s="305" t="s">
        <v>648</v>
      </c>
      <c r="I4427" s="305" t="s">
        <v>152</v>
      </c>
      <c r="J4427" s="305" t="s">
        <v>130</v>
      </c>
      <c r="K4427" s="305" t="s">
        <v>2161</v>
      </c>
    </row>
    <row r="4428" spans="1:11" x14ac:dyDescent="0.25">
      <c r="A4428" s="302" t="str">
        <f t="shared" si="110"/>
        <v>Steam Traps- Venturi_Industrial/Process Audit - 75 ≤ psig &lt; 125_MF_L</v>
      </c>
      <c r="B4428" s="303" t="s">
        <v>1381</v>
      </c>
      <c r="C4428" s="304" t="s">
        <v>1386</v>
      </c>
      <c r="D4428" s="303" t="s">
        <v>553</v>
      </c>
      <c r="E4428" s="305" t="s">
        <v>437</v>
      </c>
      <c r="F4428" s="309"/>
      <c r="G4428" s="306">
        <v>1</v>
      </c>
      <c r="H4428" s="305" t="s">
        <v>1280</v>
      </c>
      <c r="I4428" s="305" t="s">
        <v>152</v>
      </c>
      <c r="J4428" s="305" t="s">
        <v>130</v>
      </c>
      <c r="K4428" s="305" t="s">
        <v>2161</v>
      </c>
    </row>
    <row r="4429" spans="1:11" x14ac:dyDescent="0.25">
      <c r="A4429" s="302" t="str">
        <f t="shared" si="110"/>
        <v>Steam Traps- Venturi_Industrial/Process Audit - 75 ≤ psig &lt; 125_MF_Conversion</v>
      </c>
      <c r="B4429" s="303" t="s">
        <v>1381</v>
      </c>
      <c r="C4429" s="304" t="s">
        <v>1386</v>
      </c>
      <c r="D4429" s="303" t="s">
        <v>553</v>
      </c>
      <c r="E4429" s="305" t="s">
        <v>284</v>
      </c>
      <c r="F4429" s="309" t="s">
        <v>622</v>
      </c>
      <c r="G4429" s="325">
        <v>100000</v>
      </c>
      <c r="H4429" s="305"/>
      <c r="I4429" s="305" t="s">
        <v>152</v>
      </c>
      <c r="J4429" s="305" t="s">
        <v>130</v>
      </c>
      <c r="K4429" s="305" t="s">
        <v>2161</v>
      </c>
    </row>
    <row r="4430" spans="1:11" x14ac:dyDescent="0.25">
      <c r="A4430" s="302" t="str">
        <f t="shared" si="110"/>
        <v>Steam Traps- Venturi_Industrial/Process Audit - 75 ≤ psig &lt; 125_MF_n_B</v>
      </c>
      <c r="B4430" s="303" t="s">
        <v>1381</v>
      </c>
      <c r="C4430" s="304" t="s">
        <v>1386</v>
      </c>
      <c r="D4430" s="303" t="s">
        <v>553</v>
      </c>
      <c r="E4430" s="340" t="s">
        <v>657</v>
      </c>
      <c r="F4430" s="341"/>
      <c r="G4430" s="346">
        <v>0.80700000000000005</v>
      </c>
      <c r="H4430" s="340" t="s">
        <v>665</v>
      </c>
      <c r="I4430" s="305" t="s">
        <v>152</v>
      </c>
      <c r="J4430" s="305" t="s">
        <v>130</v>
      </c>
      <c r="K4430" s="305" t="s">
        <v>2161</v>
      </c>
    </row>
    <row r="4431" spans="1:11" x14ac:dyDescent="0.25">
      <c r="A4431" s="302" t="str">
        <f t="shared" si="110"/>
        <v>Steam Traps- Venturi_Industrial/Process Audit - 75 ≤ psig &lt; 125_MF_kWh Saved per Unit</v>
      </c>
      <c r="B4431" s="303" t="s">
        <v>1381</v>
      </c>
      <c r="C4431" s="304" t="s">
        <v>1386</v>
      </c>
      <c r="D4431" s="303" t="s">
        <v>553</v>
      </c>
      <c r="E4431" s="314" t="s">
        <v>255</v>
      </c>
      <c r="F4431" s="326"/>
      <c r="G4431" s="315">
        <f>G4418</f>
        <v>112.00129572</v>
      </c>
      <c r="H4431" s="305"/>
      <c r="I4431" s="305" t="s">
        <v>152</v>
      </c>
      <c r="J4431" s="305" t="s">
        <v>130</v>
      </c>
      <c r="K4431" s="305" t="s">
        <v>2161</v>
      </c>
    </row>
    <row r="4432" spans="1:11" x14ac:dyDescent="0.25">
      <c r="A4432" s="302" t="str">
        <f t="shared" ref="A4432:A4495" si="111">B4432&amp;"_"&amp;C4432&amp;"_"&amp;D4432&amp;"_"&amp;E4432</f>
        <v>Steam Traps- Venturi_Industrial/Process Audit - 75 ≤ psig &lt; 125_MF_Coincident Peak kW Saved per Unit</v>
      </c>
      <c r="B4432" s="303" t="s">
        <v>1381</v>
      </c>
      <c r="C4432" s="304" t="s">
        <v>1386</v>
      </c>
      <c r="D4432" s="303" t="s">
        <v>553</v>
      </c>
      <c r="E4432" s="314" t="s">
        <v>257</v>
      </c>
      <c r="F4432" s="326"/>
      <c r="G4432" s="315">
        <v>0</v>
      </c>
      <c r="H4432" s="305"/>
      <c r="I4432" s="305" t="s">
        <v>152</v>
      </c>
      <c r="J4432" s="305" t="s">
        <v>130</v>
      </c>
      <c r="K4432" s="305" t="s">
        <v>2161</v>
      </c>
    </row>
    <row r="4433" spans="1:11" x14ac:dyDescent="0.25">
      <c r="A4433" s="302" t="str">
        <f t="shared" si="111"/>
        <v>Steam Traps- Venturi_Industrial/Process Audit - 75 ≤ psig &lt; 125_MF_Therm Saved per Unit</v>
      </c>
      <c r="B4433" s="303" t="s">
        <v>1381</v>
      </c>
      <c r="C4433" s="304" t="s">
        <v>1386</v>
      </c>
      <c r="D4433" s="303" t="s">
        <v>553</v>
      </c>
      <c r="E4433" s="314" t="s">
        <v>326</v>
      </c>
      <c r="F4433" s="326"/>
      <c r="G4433" s="315">
        <f xml:space="preserve"> G4419 * (G4420 + G4421 * (G4425 - G4426)) * G4427 * G4428 / (G4429 * G4430)</f>
        <v>1053.6644788659491</v>
      </c>
      <c r="H4433" s="305"/>
      <c r="I4433" s="305" t="s">
        <v>152</v>
      </c>
      <c r="J4433" s="305" t="s">
        <v>130</v>
      </c>
      <c r="K4433" s="305" t="s">
        <v>2161</v>
      </c>
    </row>
    <row r="4434" spans="1:11" x14ac:dyDescent="0.25">
      <c r="A4434" s="302" t="str">
        <f t="shared" si="111"/>
        <v>Steam Traps- Venturi_Industrial/Process Audit - 75 ≤ psig &lt; 125_MF_Gallons Saved per Unit</v>
      </c>
      <c r="B4434" s="303" t="s">
        <v>1381</v>
      </c>
      <c r="C4434" s="304" t="s">
        <v>1386</v>
      </c>
      <c r="D4434" s="303" t="s">
        <v>553</v>
      </c>
      <c r="E4434" s="314" t="s">
        <v>547</v>
      </c>
      <c r="F4434" s="326"/>
      <c r="G4434" s="315">
        <f>G4415</f>
        <v>43563.32</v>
      </c>
      <c r="H4434" s="305"/>
      <c r="I4434" s="305" t="s">
        <v>152</v>
      </c>
      <c r="J4434" s="305" t="s">
        <v>130</v>
      </c>
      <c r="K4434" s="305" t="s">
        <v>2161</v>
      </c>
    </row>
    <row r="4435" spans="1:11" x14ac:dyDescent="0.25">
      <c r="A4435" s="302" t="str">
        <f t="shared" si="111"/>
        <v>Steam Traps- Venturi_Industrial/Process Audit - 75 ≤ psig &lt; 125_MF_Lifetime (years)</v>
      </c>
      <c r="B4435" s="303" t="s">
        <v>1381</v>
      </c>
      <c r="C4435" s="304" t="s">
        <v>1386</v>
      </c>
      <c r="D4435" s="303" t="s">
        <v>553</v>
      </c>
      <c r="E4435" s="314" t="s">
        <v>259</v>
      </c>
      <c r="F4435" s="326"/>
      <c r="G4435" s="326">
        <v>20</v>
      </c>
      <c r="H4435" s="305" t="s">
        <v>1382</v>
      </c>
      <c r="I4435" s="305" t="s">
        <v>152</v>
      </c>
      <c r="J4435" s="305" t="s">
        <v>130</v>
      </c>
      <c r="K4435" s="305" t="s">
        <v>2161</v>
      </c>
    </row>
    <row r="4436" spans="1:11" x14ac:dyDescent="0.25">
      <c r="A4436" s="302" t="str">
        <f t="shared" si="111"/>
        <v>Steam Traps- Venturi_Industrial/Process Audit - 75 ≤ psig &lt; 125_MF_Incremental Cost</v>
      </c>
      <c r="B4436" s="303" t="s">
        <v>1381</v>
      </c>
      <c r="C4436" s="304" t="s">
        <v>1386</v>
      </c>
      <c r="D4436" s="303" t="s">
        <v>553</v>
      </c>
      <c r="E4436" s="314" t="s">
        <v>260</v>
      </c>
      <c r="F4436" s="326"/>
      <c r="G4436" s="315">
        <v>276</v>
      </c>
      <c r="H4436" s="305" t="s">
        <v>1373</v>
      </c>
      <c r="I4436" s="305" t="s">
        <v>152</v>
      </c>
      <c r="J4436" s="305" t="s">
        <v>130</v>
      </c>
      <c r="K4436" s="305" t="s">
        <v>2161</v>
      </c>
    </row>
    <row r="4437" spans="1:11" x14ac:dyDescent="0.25">
      <c r="A4437" s="317" t="str">
        <f t="shared" si="111"/>
        <v>Steam Traps- Venturi_Industrial/Process Audit - 75 ≤ psig &lt; 125_MF_</v>
      </c>
      <c r="B4437" s="317" t="str">
        <f>B4436</f>
        <v>Steam Traps- Venturi</v>
      </c>
      <c r="C4437" s="332" t="str">
        <f>C4436</f>
        <v>Industrial/Process Audit - 75 ≤ psig &lt; 125</v>
      </c>
      <c r="D4437" s="317" t="str">
        <f>D4436</f>
        <v>MF</v>
      </c>
      <c r="E4437" s="320"/>
      <c r="F4437" s="320"/>
      <c r="G4437" s="329"/>
      <c r="H4437" s="320"/>
      <c r="I4437" s="320"/>
      <c r="J4437" s="320"/>
      <c r="K4437" s="320"/>
    </row>
    <row r="4438" spans="1:11" x14ac:dyDescent="0.25">
      <c r="A4438" s="302" t="str">
        <f t="shared" si="111"/>
        <v>Steam Traps- Venturi_Industrial/Process Audit - 125 ≤ psig &lt; 175_MF_GAL</v>
      </c>
      <c r="B4438" s="303" t="s">
        <v>1381</v>
      </c>
      <c r="C4438" s="304" t="s">
        <v>1374</v>
      </c>
      <c r="D4438" s="303" t="s">
        <v>553</v>
      </c>
      <c r="E4438" s="305" t="s">
        <v>513</v>
      </c>
      <c r="F4438" s="309"/>
      <c r="G4438" s="306">
        <v>7.31</v>
      </c>
      <c r="H4438" s="305" t="s">
        <v>226</v>
      </c>
      <c r="I4438" s="305" t="s">
        <v>152</v>
      </c>
      <c r="J4438" s="305" t="s">
        <v>130</v>
      </c>
      <c r="K4438" s="305" t="s">
        <v>2161</v>
      </c>
    </row>
    <row r="4439" spans="1:11" x14ac:dyDescent="0.25">
      <c r="A4439" s="302" t="str">
        <f t="shared" si="111"/>
        <v>Steam Traps- Venturi_Industrial/Process Audit - 125 ≤ psig &lt; 175_MF_Hours of Operation</v>
      </c>
      <c r="B4439" s="303" t="s">
        <v>1381</v>
      </c>
      <c r="C4439" s="304" t="s">
        <v>1374</v>
      </c>
      <c r="D4439" s="303" t="s">
        <v>553</v>
      </c>
      <c r="E4439" s="305" t="s">
        <v>460</v>
      </c>
      <c r="F4439" s="309" t="s">
        <v>647</v>
      </c>
      <c r="G4439" s="354">
        <v>8282</v>
      </c>
      <c r="H4439" s="305" t="s">
        <v>226</v>
      </c>
      <c r="I4439" s="305" t="s">
        <v>152</v>
      </c>
      <c r="J4439" s="305" t="s">
        <v>130</v>
      </c>
      <c r="K4439" s="305" t="s">
        <v>2161</v>
      </c>
    </row>
    <row r="4440" spans="1:11" x14ac:dyDescent="0.25">
      <c r="A4440" s="302" t="str">
        <f t="shared" si="111"/>
        <v>Steam Traps- Venturi_Industrial/Process Audit - 125 ≤ psig &lt; 175_MF_L</v>
      </c>
      <c r="B4440" s="303" t="s">
        <v>1381</v>
      </c>
      <c r="C4440" s="304" t="s">
        <v>1374</v>
      </c>
      <c r="D4440" s="303" t="s">
        <v>553</v>
      </c>
      <c r="E4440" s="305" t="s">
        <v>437</v>
      </c>
      <c r="F4440" s="309"/>
      <c r="G4440" s="306">
        <v>1</v>
      </c>
      <c r="H4440" s="305" t="s">
        <v>1280</v>
      </c>
      <c r="I4440" s="305" t="s">
        <v>152</v>
      </c>
      <c r="J4440" s="305" t="s">
        <v>130</v>
      </c>
      <c r="K4440" s="305" t="s">
        <v>2161</v>
      </c>
    </row>
    <row r="4441" spans="1:11" x14ac:dyDescent="0.25">
      <c r="A4441" s="302" t="str">
        <f t="shared" si="111"/>
        <v>Steam Traps- Venturi_Industrial/Process Audit - 125 ≤ psig &lt; 175_MF_Delta_Water_Gallons</v>
      </c>
      <c r="B4441" s="303" t="s">
        <v>1381</v>
      </c>
      <c r="C4441" s="304" t="s">
        <v>1374</v>
      </c>
      <c r="D4441" s="303" t="s">
        <v>553</v>
      </c>
      <c r="E4441" s="305" t="s">
        <v>456</v>
      </c>
      <c r="F4441" s="305"/>
      <c r="G4441" s="307">
        <f>G4438*G4439*G4440</f>
        <v>60541.42</v>
      </c>
      <c r="H4441" s="305"/>
      <c r="I4441" s="305" t="s">
        <v>152</v>
      </c>
      <c r="J4441" s="305" t="s">
        <v>130</v>
      </c>
      <c r="K4441" s="305" t="s">
        <v>2161</v>
      </c>
    </row>
    <row r="4442" spans="1:11" x14ac:dyDescent="0.25">
      <c r="A4442" s="302" t="str">
        <f t="shared" si="111"/>
        <v>Steam Traps- Venturi_Industrial/Process Audit - 125 ≤ psig &lt; 175_MF_Conversion</v>
      </c>
      <c r="B4442" s="303" t="s">
        <v>1381</v>
      </c>
      <c r="C4442" s="304" t="s">
        <v>1374</v>
      </c>
      <c r="D4442" s="303" t="s">
        <v>553</v>
      </c>
      <c r="E4442" s="305" t="s">
        <v>284</v>
      </c>
      <c r="F4442" s="305"/>
      <c r="G4442" s="354">
        <v>1000000</v>
      </c>
      <c r="H4442" s="305"/>
      <c r="I4442" s="305" t="s">
        <v>152</v>
      </c>
      <c r="J4442" s="305" t="s">
        <v>130</v>
      </c>
      <c r="K4442" s="305" t="s">
        <v>2161</v>
      </c>
    </row>
    <row r="4443" spans="1:11" x14ac:dyDescent="0.25">
      <c r="A4443" s="302" t="str">
        <f t="shared" si="111"/>
        <v>Steam Traps- Venturi_Industrial/Process Audit - 125 ≤ psig &lt; 175_MF_E_water_supply</v>
      </c>
      <c r="B4443" s="303" t="s">
        <v>1381</v>
      </c>
      <c r="C4443" s="304" t="s">
        <v>1374</v>
      </c>
      <c r="D4443" s="303" t="s">
        <v>553</v>
      </c>
      <c r="E4443" s="305" t="s">
        <v>457</v>
      </c>
      <c r="F4443" s="305"/>
      <c r="G4443" s="307">
        <v>2571</v>
      </c>
      <c r="H4443" s="305"/>
      <c r="I4443" s="305" t="s">
        <v>152</v>
      </c>
      <c r="J4443" s="305" t="s">
        <v>130</v>
      </c>
      <c r="K4443" s="305" t="s">
        <v>2161</v>
      </c>
    </row>
    <row r="4444" spans="1:11" x14ac:dyDescent="0.25">
      <c r="A4444" s="302" t="str">
        <f t="shared" si="111"/>
        <v>Steam Traps- Venturi_Industrial/Process Audit - 125 ≤ psig &lt; 175_MF_Delta_kWh_water</v>
      </c>
      <c r="B4444" s="303" t="s">
        <v>1381</v>
      </c>
      <c r="C4444" s="304" t="s">
        <v>1374</v>
      </c>
      <c r="D4444" s="303" t="s">
        <v>553</v>
      </c>
      <c r="E4444" s="305" t="s">
        <v>334</v>
      </c>
      <c r="F4444" s="305"/>
      <c r="G4444" s="307">
        <f>G4441/G4442*G4443</f>
        <v>155.65199082000001</v>
      </c>
      <c r="H4444" s="305"/>
      <c r="I4444" s="305" t="s">
        <v>152</v>
      </c>
      <c r="J4444" s="305" t="s">
        <v>130</v>
      </c>
      <c r="K4444" s="305" t="s">
        <v>2161</v>
      </c>
    </row>
    <row r="4445" spans="1:11" x14ac:dyDescent="0.25">
      <c r="A4445" s="302" t="str">
        <f t="shared" si="111"/>
        <v>Steam Traps- Venturi_Industrial/Process Audit - 125 ≤ psig &lt; 175_MF_Sa</v>
      </c>
      <c r="B4445" s="303" t="s">
        <v>1381</v>
      </c>
      <c r="C4445" s="304" t="s">
        <v>1374</v>
      </c>
      <c r="D4445" s="303" t="s">
        <v>553</v>
      </c>
      <c r="E4445" s="305" t="s">
        <v>507</v>
      </c>
      <c r="F4445" s="305"/>
      <c r="G4445" s="307">
        <v>60.9</v>
      </c>
      <c r="H4445" s="305" t="s">
        <v>226</v>
      </c>
      <c r="I4445" s="305" t="s">
        <v>152</v>
      </c>
      <c r="J4445" s="305" t="s">
        <v>130</v>
      </c>
      <c r="K4445" s="305" t="s">
        <v>2161</v>
      </c>
    </row>
    <row r="4446" spans="1:11" x14ac:dyDescent="0.25">
      <c r="A4446" s="302" t="str">
        <f t="shared" si="111"/>
        <v>Steam Traps- Venturi_Industrial/Process Audit - 125 ≤ psig &lt; 175_MF_Hv</v>
      </c>
      <c r="B4446" s="303" t="s">
        <v>1381</v>
      </c>
      <c r="C4446" s="304" t="s">
        <v>1374</v>
      </c>
      <c r="D4446" s="303" t="s">
        <v>553</v>
      </c>
      <c r="E4446" s="305" t="s">
        <v>508</v>
      </c>
      <c r="F4446" s="305"/>
      <c r="G4446" s="307">
        <v>859</v>
      </c>
      <c r="H4446" s="305" t="s">
        <v>226</v>
      </c>
      <c r="I4446" s="305" t="s">
        <v>152</v>
      </c>
      <c r="J4446" s="305" t="s">
        <v>130</v>
      </c>
      <c r="K4446" s="305" t="s">
        <v>2161</v>
      </c>
    </row>
    <row r="4447" spans="1:11" x14ac:dyDescent="0.25">
      <c r="A4447" s="302" t="str">
        <f t="shared" si="111"/>
        <v>Steam Traps- Venturi_Industrial/Process Audit - 125 ≤ psig &lt; 175_MF_Hs</v>
      </c>
      <c r="B4447" s="303" t="s">
        <v>1381</v>
      </c>
      <c r="C4447" s="304" t="s">
        <v>1374</v>
      </c>
      <c r="D4447" s="303" t="s">
        <v>553</v>
      </c>
      <c r="E4447" s="340" t="s">
        <v>509</v>
      </c>
      <c r="F4447" s="340"/>
      <c r="G4447" s="341">
        <v>1.0009999999999999</v>
      </c>
      <c r="H4447" s="340" t="s">
        <v>652</v>
      </c>
      <c r="I4447" s="305" t="s">
        <v>152</v>
      </c>
      <c r="J4447" s="305" t="s">
        <v>130</v>
      </c>
      <c r="K4447" s="305" t="s">
        <v>2161</v>
      </c>
    </row>
    <row r="4448" spans="1:11" x14ac:dyDescent="0.25">
      <c r="A4448" s="302" t="str">
        <f t="shared" si="111"/>
        <v>Steam Traps- Venturi_Industrial/Process Audit - 125 ≤ psig &lt; 175_MF_507.89</v>
      </c>
      <c r="B4448" s="303" t="s">
        <v>1381</v>
      </c>
      <c r="C4448" s="304" t="s">
        <v>1374</v>
      </c>
      <c r="D4448" s="303" t="s">
        <v>553</v>
      </c>
      <c r="E4448" s="342">
        <v>507.89</v>
      </c>
      <c r="F4448" s="340"/>
      <c r="G4448" s="341">
        <v>507.89</v>
      </c>
      <c r="H4448" s="340"/>
      <c r="I4448" s="305" t="s">
        <v>152</v>
      </c>
      <c r="J4448" s="305" t="s">
        <v>130</v>
      </c>
      <c r="K4448" s="305" t="s">
        <v>2161</v>
      </c>
    </row>
    <row r="4449" spans="1:11" x14ac:dyDescent="0.25">
      <c r="A4449" s="302" t="str">
        <f t="shared" si="111"/>
        <v>Steam Traps- Venturi_Industrial/Process Audit - 125 ≤ psig &lt; 175_MF_P1</v>
      </c>
      <c r="B4449" s="303" t="s">
        <v>1381</v>
      </c>
      <c r="C4449" s="304" t="s">
        <v>1374</v>
      </c>
      <c r="D4449" s="303" t="s">
        <v>553</v>
      </c>
      <c r="E4449" s="340" t="s">
        <v>510</v>
      </c>
      <c r="F4449" s="340"/>
      <c r="G4449" s="341">
        <f>146+14.696</f>
        <v>160.696</v>
      </c>
      <c r="H4449" s="340" t="s">
        <v>1379</v>
      </c>
      <c r="I4449" s="305" t="s">
        <v>152</v>
      </c>
      <c r="J4449" s="305" t="s">
        <v>130</v>
      </c>
      <c r="K4449" s="305" t="s">
        <v>2161</v>
      </c>
    </row>
    <row r="4450" spans="1:11" x14ac:dyDescent="0.25">
      <c r="A4450" s="302" t="str">
        <f t="shared" si="111"/>
        <v>Steam Traps- Venturi_Industrial/Process Audit - 125 ≤ psig &lt; 175_MF_0.0962</v>
      </c>
      <c r="B4450" s="303" t="s">
        <v>1381</v>
      </c>
      <c r="C4450" s="304" t="s">
        <v>1374</v>
      </c>
      <c r="D4450" s="303" t="s">
        <v>553</v>
      </c>
      <c r="E4450" s="340">
        <v>9.6199999999999994E-2</v>
      </c>
      <c r="F4450" s="340"/>
      <c r="G4450" s="343">
        <v>9.6199999999999994E-2</v>
      </c>
      <c r="H4450" s="340"/>
      <c r="I4450" s="305" t="s">
        <v>152</v>
      </c>
      <c r="J4450" s="305" t="s">
        <v>130</v>
      </c>
      <c r="K4450" s="305" t="s">
        <v>2161</v>
      </c>
    </row>
    <row r="4451" spans="1:11" x14ac:dyDescent="0.25">
      <c r="A4451" s="302" t="str">
        <f t="shared" si="111"/>
        <v>Steam Traps- Venturi_Industrial/Process Audit - 125 ≤ psig &lt; 175_MF_T1</v>
      </c>
      <c r="B4451" s="303" t="s">
        <v>1381</v>
      </c>
      <c r="C4451" s="304" t="s">
        <v>1374</v>
      </c>
      <c r="D4451" s="303" t="s">
        <v>553</v>
      </c>
      <c r="E4451" s="340" t="s">
        <v>511</v>
      </c>
      <c r="F4451" s="340"/>
      <c r="G4451" s="341">
        <f>G4448*(G4449^G4450)</f>
        <v>827.91804679204643</v>
      </c>
      <c r="H4451" s="340" t="s">
        <v>654</v>
      </c>
      <c r="I4451" s="305" t="s">
        <v>152</v>
      </c>
      <c r="J4451" s="305" t="s">
        <v>130</v>
      </c>
      <c r="K4451" s="305" t="s">
        <v>2161</v>
      </c>
    </row>
    <row r="4452" spans="1:11" x14ac:dyDescent="0.25">
      <c r="A4452" s="302" t="str">
        <f t="shared" si="111"/>
        <v>Steam Traps- Venturi_Industrial/Process Audit - 125 ≤ psig &lt; 175_MF_Tsource</v>
      </c>
      <c r="B4452" s="303" t="s">
        <v>1381</v>
      </c>
      <c r="C4452" s="304" t="s">
        <v>1374</v>
      </c>
      <c r="D4452" s="303" t="s">
        <v>553</v>
      </c>
      <c r="E4452" s="340" t="s">
        <v>512</v>
      </c>
      <c r="F4452" s="340"/>
      <c r="G4452" s="341">
        <v>513.66999999999996</v>
      </c>
      <c r="H4452" s="340" t="s">
        <v>655</v>
      </c>
      <c r="I4452" s="305" t="s">
        <v>152</v>
      </c>
      <c r="J4452" s="305" t="s">
        <v>130</v>
      </c>
      <c r="K4452" s="305" t="s">
        <v>2161</v>
      </c>
    </row>
    <row r="4453" spans="1:11" x14ac:dyDescent="0.25">
      <c r="A4453" s="302" t="str">
        <f t="shared" si="111"/>
        <v>Steam Traps- Venturi_Industrial/Process Audit - 125 ≤ psig &lt; 175_MF_Hours of Operation</v>
      </c>
      <c r="B4453" s="303" t="s">
        <v>1381</v>
      </c>
      <c r="C4453" s="304" t="s">
        <v>1374</v>
      </c>
      <c r="D4453" s="303" t="s">
        <v>553</v>
      </c>
      <c r="E4453" s="305" t="s">
        <v>460</v>
      </c>
      <c r="F4453" s="309" t="s">
        <v>647</v>
      </c>
      <c r="G4453" s="354">
        <f>AVERAGE(1540,1782)</f>
        <v>1661</v>
      </c>
      <c r="H4453" s="305" t="s">
        <v>648</v>
      </c>
      <c r="I4453" s="305" t="s">
        <v>152</v>
      </c>
      <c r="J4453" s="305" t="s">
        <v>130</v>
      </c>
      <c r="K4453" s="305" t="s">
        <v>2161</v>
      </c>
    </row>
    <row r="4454" spans="1:11" x14ac:dyDescent="0.25">
      <c r="A4454" s="302" t="str">
        <f t="shared" si="111"/>
        <v>Steam Traps- Venturi_Industrial/Process Audit - 125 ≤ psig &lt; 175_MF_L</v>
      </c>
      <c r="B4454" s="303" t="s">
        <v>1381</v>
      </c>
      <c r="C4454" s="304" t="s">
        <v>1374</v>
      </c>
      <c r="D4454" s="303" t="s">
        <v>553</v>
      </c>
      <c r="E4454" s="305" t="s">
        <v>437</v>
      </c>
      <c r="F4454" s="309"/>
      <c r="G4454" s="306">
        <v>1</v>
      </c>
      <c r="H4454" s="305" t="s">
        <v>1280</v>
      </c>
      <c r="I4454" s="305" t="s">
        <v>152</v>
      </c>
      <c r="J4454" s="305" t="s">
        <v>130</v>
      </c>
      <c r="K4454" s="305" t="s">
        <v>2161</v>
      </c>
    </row>
    <row r="4455" spans="1:11" x14ac:dyDescent="0.25">
      <c r="A4455" s="302" t="str">
        <f t="shared" si="111"/>
        <v>Steam Traps- Venturi_Industrial/Process Audit - 125 ≤ psig &lt; 175_MF_Conversion</v>
      </c>
      <c r="B4455" s="303" t="s">
        <v>1381</v>
      </c>
      <c r="C4455" s="304" t="s">
        <v>1374</v>
      </c>
      <c r="D4455" s="303" t="s">
        <v>553</v>
      </c>
      <c r="E4455" s="305" t="s">
        <v>284</v>
      </c>
      <c r="F4455" s="309" t="s">
        <v>622</v>
      </c>
      <c r="G4455" s="325">
        <v>100000</v>
      </c>
      <c r="H4455" s="305"/>
      <c r="I4455" s="305" t="s">
        <v>152</v>
      </c>
      <c r="J4455" s="305" t="s">
        <v>130</v>
      </c>
      <c r="K4455" s="305" t="s">
        <v>2161</v>
      </c>
    </row>
    <row r="4456" spans="1:11" x14ac:dyDescent="0.25">
      <c r="A4456" s="302" t="str">
        <f t="shared" si="111"/>
        <v>Steam Traps- Venturi_Industrial/Process Audit - 125 ≤ psig &lt; 175_MF_n_B</v>
      </c>
      <c r="B4456" s="303" t="s">
        <v>1381</v>
      </c>
      <c r="C4456" s="304" t="s">
        <v>1374</v>
      </c>
      <c r="D4456" s="303" t="s">
        <v>553</v>
      </c>
      <c r="E4456" s="340" t="s">
        <v>657</v>
      </c>
      <c r="F4456" s="341"/>
      <c r="G4456" s="346">
        <v>0.80700000000000005</v>
      </c>
      <c r="H4456" s="340" t="s">
        <v>665</v>
      </c>
      <c r="I4456" s="305" t="s">
        <v>152</v>
      </c>
      <c r="J4456" s="305" t="s">
        <v>130</v>
      </c>
      <c r="K4456" s="305" t="s">
        <v>2161</v>
      </c>
    </row>
    <row r="4457" spans="1:11" x14ac:dyDescent="0.25">
      <c r="A4457" s="302" t="str">
        <f t="shared" si="111"/>
        <v>Steam Traps- Venturi_Industrial/Process Audit - 125 ≤ psig &lt; 175_MF_kWh Saved per Unit</v>
      </c>
      <c r="B4457" s="303" t="s">
        <v>1381</v>
      </c>
      <c r="C4457" s="304" t="s">
        <v>1374</v>
      </c>
      <c r="D4457" s="303" t="s">
        <v>553</v>
      </c>
      <c r="E4457" s="314" t="s">
        <v>255</v>
      </c>
      <c r="F4457" s="326"/>
      <c r="G4457" s="315">
        <f>G4444</f>
        <v>155.65199082000001</v>
      </c>
      <c r="H4457" s="305"/>
      <c r="I4457" s="305" t="s">
        <v>152</v>
      </c>
      <c r="J4457" s="305" t="s">
        <v>130</v>
      </c>
      <c r="K4457" s="305" t="s">
        <v>2161</v>
      </c>
    </row>
    <row r="4458" spans="1:11" x14ac:dyDescent="0.25">
      <c r="A4458" s="302" t="str">
        <f t="shared" si="111"/>
        <v>Steam Traps- Venturi_Industrial/Process Audit - 125 ≤ psig &lt; 175_MF_Coincident Peak kW Saved per Unit</v>
      </c>
      <c r="B4458" s="303" t="s">
        <v>1381</v>
      </c>
      <c r="C4458" s="304" t="s">
        <v>1374</v>
      </c>
      <c r="D4458" s="303" t="s">
        <v>553</v>
      </c>
      <c r="E4458" s="314" t="s">
        <v>257</v>
      </c>
      <c r="F4458" s="326"/>
      <c r="G4458" s="315">
        <v>0</v>
      </c>
      <c r="H4458" s="305"/>
      <c r="I4458" s="305" t="s">
        <v>152</v>
      </c>
      <c r="J4458" s="305" t="s">
        <v>130</v>
      </c>
      <c r="K4458" s="305" t="s">
        <v>2161</v>
      </c>
    </row>
    <row r="4459" spans="1:11" x14ac:dyDescent="0.25">
      <c r="A4459" s="302" t="str">
        <f t="shared" si="111"/>
        <v>Steam Traps- Venturi_Industrial/Process Audit - 125 ≤ psig &lt; 175_MF_Therm Saved per Unit</v>
      </c>
      <c r="B4459" s="303" t="s">
        <v>1381</v>
      </c>
      <c r="C4459" s="304" t="s">
        <v>1374</v>
      </c>
      <c r="D4459" s="303" t="s">
        <v>553</v>
      </c>
      <c r="E4459" s="314" t="s">
        <v>326</v>
      </c>
      <c r="F4459" s="326"/>
      <c r="G4459" s="315">
        <f xml:space="preserve"> G4445 * (G4446 + G4447 * (G4451 - G4452)) * G4453 * G4454 / (G4455 * G4456)</f>
        <v>1471.0232537570409</v>
      </c>
      <c r="H4459" s="305"/>
      <c r="I4459" s="305" t="s">
        <v>152</v>
      </c>
      <c r="J4459" s="305" t="s">
        <v>130</v>
      </c>
      <c r="K4459" s="305" t="s">
        <v>2161</v>
      </c>
    </row>
    <row r="4460" spans="1:11" x14ac:dyDescent="0.25">
      <c r="A4460" s="302" t="str">
        <f t="shared" si="111"/>
        <v>Steam Traps- Venturi_Industrial/Process Audit - 125 ≤ psig &lt; 175_MF_Gallons Saved per Unit</v>
      </c>
      <c r="B4460" s="303" t="s">
        <v>1381</v>
      </c>
      <c r="C4460" s="304" t="s">
        <v>1374</v>
      </c>
      <c r="D4460" s="303" t="s">
        <v>553</v>
      </c>
      <c r="E4460" s="314" t="s">
        <v>547</v>
      </c>
      <c r="F4460" s="326"/>
      <c r="G4460" s="315">
        <f>G4441</f>
        <v>60541.42</v>
      </c>
      <c r="H4460" s="305"/>
      <c r="I4460" s="305" t="s">
        <v>152</v>
      </c>
      <c r="J4460" s="305" t="s">
        <v>130</v>
      </c>
      <c r="K4460" s="305" t="s">
        <v>2161</v>
      </c>
    </row>
    <row r="4461" spans="1:11" x14ac:dyDescent="0.25">
      <c r="A4461" s="302" t="str">
        <f t="shared" si="111"/>
        <v>Steam Traps- Venturi_Industrial/Process Audit - 125 ≤ psig &lt; 175_MF_Lifetime (years)</v>
      </c>
      <c r="B4461" s="303" t="s">
        <v>1381</v>
      </c>
      <c r="C4461" s="304" t="s">
        <v>1374</v>
      </c>
      <c r="D4461" s="303" t="s">
        <v>553</v>
      </c>
      <c r="E4461" s="314" t="s">
        <v>259</v>
      </c>
      <c r="F4461" s="326"/>
      <c r="G4461" s="326">
        <v>20</v>
      </c>
      <c r="H4461" s="305" t="s">
        <v>1382</v>
      </c>
      <c r="I4461" s="305" t="s">
        <v>152</v>
      </c>
      <c r="J4461" s="305" t="s">
        <v>130</v>
      </c>
      <c r="K4461" s="305" t="s">
        <v>2161</v>
      </c>
    </row>
    <row r="4462" spans="1:11" x14ac:dyDescent="0.25">
      <c r="A4462" s="302" t="str">
        <f t="shared" si="111"/>
        <v>Steam Traps- Venturi_Industrial/Process Audit - 125 ≤ psig &lt; 175_MF_Incremental Cost</v>
      </c>
      <c r="B4462" s="303" t="s">
        <v>1381</v>
      </c>
      <c r="C4462" s="304" t="s">
        <v>1374</v>
      </c>
      <c r="D4462" s="303" t="s">
        <v>553</v>
      </c>
      <c r="E4462" s="314" t="s">
        <v>260</v>
      </c>
      <c r="F4462" s="326"/>
      <c r="G4462" s="315">
        <v>322</v>
      </c>
      <c r="H4462" s="305" t="s">
        <v>1373</v>
      </c>
      <c r="I4462" s="305" t="s">
        <v>152</v>
      </c>
      <c r="J4462" s="305" t="s">
        <v>130</v>
      </c>
      <c r="K4462" s="305" t="s">
        <v>2161</v>
      </c>
    </row>
    <row r="4463" spans="1:11" x14ac:dyDescent="0.25">
      <c r="A4463" s="317" t="str">
        <f t="shared" si="111"/>
        <v>Steam Traps- Venturi_Industrial/Process Audit - 125 ≤ psig &lt; 175_MF_</v>
      </c>
      <c r="B4463" s="317" t="str">
        <f>B4462</f>
        <v>Steam Traps- Venturi</v>
      </c>
      <c r="C4463" s="332" t="str">
        <f>C4462</f>
        <v>Industrial/Process Audit - 125 ≤ psig &lt; 175</v>
      </c>
      <c r="D4463" s="317" t="str">
        <f>D4462</f>
        <v>MF</v>
      </c>
      <c r="E4463" s="320"/>
      <c r="F4463" s="320"/>
      <c r="G4463" s="329"/>
      <c r="H4463" s="320"/>
      <c r="I4463" s="320"/>
      <c r="J4463" s="320"/>
      <c r="K4463" s="320"/>
    </row>
    <row r="4464" spans="1:11" x14ac:dyDescent="0.25">
      <c r="A4464" s="302" t="str">
        <f t="shared" si="111"/>
        <v>Steam Traps- Venturi_Industrial/Process Audit - 175 ≤ psig &lt; 250_MF_GAL</v>
      </c>
      <c r="B4464" s="303" t="s">
        <v>1381</v>
      </c>
      <c r="C4464" s="304" t="s">
        <v>1375</v>
      </c>
      <c r="D4464" s="303" t="s">
        <v>553</v>
      </c>
      <c r="E4464" s="305" t="s">
        <v>513</v>
      </c>
      <c r="F4464" s="309"/>
      <c r="G4464" s="306">
        <v>9.86</v>
      </c>
      <c r="H4464" s="305" t="s">
        <v>227</v>
      </c>
      <c r="I4464" s="305" t="s">
        <v>152</v>
      </c>
      <c r="J4464" s="305" t="s">
        <v>130</v>
      </c>
      <c r="K4464" s="305" t="s">
        <v>2161</v>
      </c>
    </row>
    <row r="4465" spans="1:11" x14ac:dyDescent="0.25">
      <c r="A4465" s="302" t="str">
        <f t="shared" si="111"/>
        <v>Steam Traps- Venturi_Industrial/Process Audit - 175 ≤ psig &lt; 250_MF_Hours of Operation</v>
      </c>
      <c r="B4465" s="303" t="s">
        <v>1381</v>
      </c>
      <c r="C4465" s="304" t="s">
        <v>1375</v>
      </c>
      <c r="D4465" s="303" t="s">
        <v>553</v>
      </c>
      <c r="E4465" s="305" t="s">
        <v>460</v>
      </c>
      <c r="F4465" s="309" t="s">
        <v>647</v>
      </c>
      <c r="G4465" s="354">
        <v>8282</v>
      </c>
      <c r="H4465" s="305" t="s">
        <v>227</v>
      </c>
      <c r="I4465" s="305" t="s">
        <v>152</v>
      </c>
      <c r="J4465" s="305" t="s">
        <v>130</v>
      </c>
      <c r="K4465" s="305" t="s">
        <v>2161</v>
      </c>
    </row>
    <row r="4466" spans="1:11" x14ac:dyDescent="0.25">
      <c r="A4466" s="302" t="str">
        <f t="shared" si="111"/>
        <v>Steam Traps- Venturi_Industrial/Process Audit - 175 ≤ psig &lt; 250_MF_L</v>
      </c>
      <c r="B4466" s="303" t="s">
        <v>1381</v>
      </c>
      <c r="C4466" s="304" t="s">
        <v>1375</v>
      </c>
      <c r="D4466" s="303" t="s">
        <v>553</v>
      </c>
      <c r="E4466" s="305" t="s">
        <v>437</v>
      </c>
      <c r="F4466" s="309"/>
      <c r="G4466" s="306">
        <v>1</v>
      </c>
      <c r="H4466" s="305" t="s">
        <v>1280</v>
      </c>
      <c r="I4466" s="305" t="s">
        <v>152</v>
      </c>
      <c r="J4466" s="305" t="s">
        <v>130</v>
      </c>
      <c r="K4466" s="305" t="s">
        <v>2161</v>
      </c>
    </row>
    <row r="4467" spans="1:11" x14ac:dyDescent="0.25">
      <c r="A4467" s="302" t="str">
        <f t="shared" si="111"/>
        <v>Steam Traps- Venturi_Industrial/Process Audit - 175 ≤ psig &lt; 250_MF_Delta_Water_Gallons</v>
      </c>
      <c r="B4467" s="303" t="s">
        <v>1381</v>
      </c>
      <c r="C4467" s="304" t="s">
        <v>1375</v>
      </c>
      <c r="D4467" s="303" t="s">
        <v>553</v>
      </c>
      <c r="E4467" s="305" t="s">
        <v>456</v>
      </c>
      <c r="F4467" s="305"/>
      <c r="G4467" s="307">
        <f>G4464*G4465*G4466</f>
        <v>81660.51999999999</v>
      </c>
      <c r="H4467" s="305"/>
      <c r="I4467" s="305" t="s">
        <v>152</v>
      </c>
      <c r="J4467" s="305" t="s">
        <v>130</v>
      </c>
      <c r="K4467" s="305" t="s">
        <v>2161</v>
      </c>
    </row>
    <row r="4468" spans="1:11" x14ac:dyDescent="0.25">
      <c r="A4468" s="302" t="str">
        <f t="shared" si="111"/>
        <v>Steam Traps- Venturi_Industrial/Process Audit - 175 ≤ psig &lt; 250_MF_Conversion</v>
      </c>
      <c r="B4468" s="303" t="s">
        <v>1381</v>
      </c>
      <c r="C4468" s="304" t="s">
        <v>1375</v>
      </c>
      <c r="D4468" s="303" t="s">
        <v>553</v>
      </c>
      <c r="E4468" s="305" t="s">
        <v>284</v>
      </c>
      <c r="F4468" s="305"/>
      <c r="G4468" s="354">
        <v>1000000</v>
      </c>
      <c r="H4468" s="305"/>
      <c r="I4468" s="305" t="s">
        <v>152</v>
      </c>
      <c r="J4468" s="305" t="s">
        <v>130</v>
      </c>
      <c r="K4468" s="305" t="s">
        <v>2161</v>
      </c>
    </row>
    <row r="4469" spans="1:11" x14ac:dyDescent="0.25">
      <c r="A4469" s="302" t="str">
        <f t="shared" si="111"/>
        <v>Steam Traps- Venturi_Industrial/Process Audit - 175 ≤ psig &lt; 250_MF_E_water_supply</v>
      </c>
      <c r="B4469" s="303" t="s">
        <v>1381</v>
      </c>
      <c r="C4469" s="304" t="s">
        <v>1375</v>
      </c>
      <c r="D4469" s="303" t="s">
        <v>553</v>
      </c>
      <c r="E4469" s="305" t="s">
        <v>457</v>
      </c>
      <c r="F4469" s="305"/>
      <c r="G4469" s="307">
        <v>2571</v>
      </c>
      <c r="H4469" s="305"/>
      <c r="I4469" s="305" t="s">
        <v>152</v>
      </c>
      <c r="J4469" s="305" t="s">
        <v>130</v>
      </c>
      <c r="K4469" s="305" t="s">
        <v>2161</v>
      </c>
    </row>
    <row r="4470" spans="1:11" x14ac:dyDescent="0.25">
      <c r="A4470" s="302" t="str">
        <f t="shared" si="111"/>
        <v>Steam Traps- Venturi_Industrial/Process Audit - 175 ≤ psig &lt; 250_MF_Delta_kWh_water</v>
      </c>
      <c r="B4470" s="303" t="s">
        <v>1381</v>
      </c>
      <c r="C4470" s="304" t="s">
        <v>1375</v>
      </c>
      <c r="D4470" s="303" t="s">
        <v>553</v>
      </c>
      <c r="E4470" s="305" t="s">
        <v>334</v>
      </c>
      <c r="F4470" s="305"/>
      <c r="G4470" s="307">
        <f>G4467/G4468*G4469</f>
        <v>209.94919691999996</v>
      </c>
      <c r="H4470" s="305"/>
      <c r="I4470" s="305" t="s">
        <v>152</v>
      </c>
      <c r="J4470" s="305" t="s">
        <v>130</v>
      </c>
      <c r="K4470" s="305" t="s">
        <v>2161</v>
      </c>
    </row>
    <row r="4471" spans="1:11" x14ac:dyDescent="0.25">
      <c r="A4471" s="302" t="str">
        <f t="shared" si="111"/>
        <v>Steam Traps- Venturi_Industrial/Process Audit - 175 ≤ psig &lt; 250_MF_Sa</v>
      </c>
      <c r="B4471" s="303" t="s">
        <v>1381</v>
      </c>
      <c r="C4471" s="304" t="s">
        <v>1375</v>
      </c>
      <c r="D4471" s="303" t="s">
        <v>553</v>
      </c>
      <c r="E4471" s="305" t="s">
        <v>507</v>
      </c>
      <c r="F4471" s="305"/>
      <c r="G4471" s="307">
        <v>82.1</v>
      </c>
      <c r="H4471" s="305" t="s">
        <v>227</v>
      </c>
      <c r="I4471" s="305" t="s">
        <v>152</v>
      </c>
      <c r="J4471" s="305" t="s">
        <v>130</v>
      </c>
      <c r="K4471" s="305" t="s">
        <v>2161</v>
      </c>
    </row>
    <row r="4472" spans="1:11" x14ac:dyDescent="0.25">
      <c r="A4472" s="302" t="str">
        <f t="shared" si="111"/>
        <v>Steam Traps- Venturi_Industrial/Process Audit - 175 ≤ psig &lt; 250_MF_Hv</v>
      </c>
      <c r="B4472" s="303" t="s">
        <v>1381</v>
      </c>
      <c r="C4472" s="304" t="s">
        <v>1375</v>
      </c>
      <c r="D4472" s="303" t="s">
        <v>553</v>
      </c>
      <c r="E4472" s="305" t="s">
        <v>508</v>
      </c>
      <c r="F4472" s="305"/>
      <c r="G4472" s="307">
        <v>837</v>
      </c>
      <c r="H4472" s="305" t="s">
        <v>227</v>
      </c>
      <c r="I4472" s="305" t="s">
        <v>152</v>
      </c>
      <c r="J4472" s="305" t="s">
        <v>130</v>
      </c>
      <c r="K4472" s="305" t="s">
        <v>2161</v>
      </c>
    </row>
    <row r="4473" spans="1:11" x14ac:dyDescent="0.25">
      <c r="A4473" s="302" t="str">
        <f t="shared" si="111"/>
        <v>Steam Traps- Venturi_Industrial/Process Audit - 175 ≤ psig &lt; 250_MF_Hs</v>
      </c>
      <c r="B4473" s="303" t="s">
        <v>1381</v>
      </c>
      <c r="C4473" s="304" t="s">
        <v>1375</v>
      </c>
      <c r="D4473" s="303" t="s">
        <v>553</v>
      </c>
      <c r="E4473" s="340" t="s">
        <v>509</v>
      </c>
      <c r="F4473" s="340"/>
      <c r="G4473" s="341">
        <v>1.0009999999999999</v>
      </c>
      <c r="H4473" s="340" t="s">
        <v>652</v>
      </c>
      <c r="I4473" s="305" t="s">
        <v>152</v>
      </c>
      <c r="J4473" s="305" t="s">
        <v>130</v>
      </c>
      <c r="K4473" s="305" t="s">
        <v>2161</v>
      </c>
    </row>
    <row r="4474" spans="1:11" x14ac:dyDescent="0.25">
      <c r="A4474" s="302" t="str">
        <f t="shared" si="111"/>
        <v>Steam Traps- Venturi_Industrial/Process Audit - 175 ≤ psig &lt; 250_MF_507.89</v>
      </c>
      <c r="B4474" s="303" t="s">
        <v>1381</v>
      </c>
      <c r="C4474" s="304" t="s">
        <v>1375</v>
      </c>
      <c r="D4474" s="303" t="s">
        <v>553</v>
      </c>
      <c r="E4474" s="342">
        <v>507.89</v>
      </c>
      <c r="F4474" s="340"/>
      <c r="G4474" s="341">
        <v>507.89</v>
      </c>
      <c r="H4474" s="340"/>
      <c r="I4474" s="305" t="s">
        <v>152</v>
      </c>
      <c r="J4474" s="305" t="s">
        <v>130</v>
      </c>
      <c r="K4474" s="305" t="s">
        <v>2161</v>
      </c>
    </row>
    <row r="4475" spans="1:11" x14ac:dyDescent="0.25">
      <c r="A4475" s="302" t="str">
        <f t="shared" si="111"/>
        <v>Steam Traps- Venturi_Industrial/Process Audit - 175 ≤ psig &lt; 250_MF_P1</v>
      </c>
      <c r="B4475" s="303" t="s">
        <v>1381</v>
      </c>
      <c r="C4475" s="304" t="s">
        <v>1375</v>
      </c>
      <c r="D4475" s="303" t="s">
        <v>553</v>
      </c>
      <c r="E4475" s="340" t="s">
        <v>510</v>
      </c>
      <c r="F4475" s="340"/>
      <c r="G4475" s="341">
        <f>202+14.696</f>
        <v>216.696</v>
      </c>
      <c r="H4475" s="340" t="s">
        <v>1380</v>
      </c>
      <c r="I4475" s="305" t="s">
        <v>152</v>
      </c>
      <c r="J4475" s="305" t="s">
        <v>130</v>
      </c>
      <c r="K4475" s="305" t="s">
        <v>2161</v>
      </c>
    </row>
    <row r="4476" spans="1:11" x14ac:dyDescent="0.25">
      <c r="A4476" s="302" t="str">
        <f t="shared" si="111"/>
        <v>Steam Traps- Venturi_Industrial/Process Audit - 175 ≤ psig &lt; 250_MF_0.0962</v>
      </c>
      <c r="B4476" s="303" t="s">
        <v>1381</v>
      </c>
      <c r="C4476" s="304" t="s">
        <v>1375</v>
      </c>
      <c r="D4476" s="303" t="s">
        <v>553</v>
      </c>
      <c r="E4476" s="340">
        <v>9.6199999999999994E-2</v>
      </c>
      <c r="F4476" s="340"/>
      <c r="G4476" s="343">
        <v>9.6199999999999994E-2</v>
      </c>
      <c r="H4476" s="340"/>
      <c r="I4476" s="305" t="s">
        <v>152</v>
      </c>
      <c r="J4476" s="305" t="s">
        <v>130</v>
      </c>
      <c r="K4476" s="305" t="s">
        <v>2161</v>
      </c>
    </row>
    <row r="4477" spans="1:11" x14ac:dyDescent="0.25">
      <c r="A4477" s="302" t="str">
        <f t="shared" si="111"/>
        <v>Steam Traps- Venturi_Industrial/Process Audit - 175 ≤ psig &lt; 250_MF_T1</v>
      </c>
      <c r="B4477" s="303" t="s">
        <v>1381</v>
      </c>
      <c r="C4477" s="304" t="s">
        <v>1375</v>
      </c>
      <c r="D4477" s="303" t="s">
        <v>553</v>
      </c>
      <c r="E4477" s="340" t="s">
        <v>511</v>
      </c>
      <c r="F4477" s="340"/>
      <c r="G4477" s="341">
        <f>G4474*(G4475^G4476)</f>
        <v>852.07636317855679</v>
      </c>
      <c r="H4477" s="340" t="s">
        <v>654</v>
      </c>
      <c r="I4477" s="305" t="s">
        <v>152</v>
      </c>
      <c r="J4477" s="305" t="s">
        <v>130</v>
      </c>
      <c r="K4477" s="305" t="s">
        <v>2161</v>
      </c>
    </row>
    <row r="4478" spans="1:11" x14ac:dyDescent="0.25">
      <c r="A4478" s="302" t="str">
        <f t="shared" si="111"/>
        <v>Steam Traps- Venturi_Industrial/Process Audit - 175 ≤ psig &lt; 250_MF_Tsource</v>
      </c>
      <c r="B4478" s="303" t="s">
        <v>1381</v>
      </c>
      <c r="C4478" s="304" t="s">
        <v>1375</v>
      </c>
      <c r="D4478" s="303" t="s">
        <v>553</v>
      </c>
      <c r="E4478" s="340" t="s">
        <v>512</v>
      </c>
      <c r="F4478" s="340"/>
      <c r="G4478" s="341">
        <v>513.66999999999996</v>
      </c>
      <c r="H4478" s="340" t="s">
        <v>655</v>
      </c>
      <c r="I4478" s="305" t="s">
        <v>152</v>
      </c>
      <c r="J4478" s="305" t="s">
        <v>130</v>
      </c>
      <c r="K4478" s="305" t="s">
        <v>2161</v>
      </c>
    </row>
    <row r="4479" spans="1:11" x14ac:dyDescent="0.25">
      <c r="A4479" s="302" t="str">
        <f t="shared" si="111"/>
        <v>Steam Traps- Venturi_Industrial/Process Audit - 175 ≤ psig &lt; 250_MF_Hours of Operation</v>
      </c>
      <c r="B4479" s="303" t="s">
        <v>1381</v>
      </c>
      <c r="C4479" s="304" t="s">
        <v>1375</v>
      </c>
      <c r="D4479" s="303" t="s">
        <v>553</v>
      </c>
      <c r="E4479" s="305" t="s">
        <v>460</v>
      </c>
      <c r="F4479" s="309" t="s">
        <v>647</v>
      </c>
      <c r="G4479" s="354">
        <f>AVERAGE(1540,1782)</f>
        <v>1661</v>
      </c>
      <c r="H4479" s="305" t="s">
        <v>648</v>
      </c>
      <c r="I4479" s="305" t="s">
        <v>152</v>
      </c>
      <c r="J4479" s="305" t="s">
        <v>130</v>
      </c>
      <c r="K4479" s="305" t="s">
        <v>2161</v>
      </c>
    </row>
    <row r="4480" spans="1:11" x14ac:dyDescent="0.25">
      <c r="A4480" s="302" t="str">
        <f t="shared" si="111"/>
        <v>Steam Traps- Venturi_Industrial/Process Audit - 175 ≤ psig &lt; 250_MF_L</v>
      </c>
      <c r="B4480" s="303" t="s">
        <v>1381</v>
      </c>
      <c r="C4480" s="304" t="s">
        <v>1375</v>
      </c>
      <c r="D4480" s="303" t="s">
        <v>553</v>
      </c>
      <c r="E4480" s="305" t="s">
        <v>437</v>
      </c>
      <c r="F4480" s="309"/>
      <c r="G4480" s="306">
        <v>1</v>
      </c>
      <c r="H4480" s="305" t="s">
        <v>1280</v>
      </c>
      <c r="I4480" s="305" t="s">
        <v>152</v>
      </c>
      <c r="J4480" s="305" t="s">
        <v>130</v>
      </c>
      <c r="K4480" s="305" t="s">
        <v>2161</v>
      </c>
    </row>
    <row r="4481" spans="1:11" x14ac:dyDescent="0.25">
      <c r="A4481" s="302" t="str">
        <f t="shared" si="111"/>
        <v>Steam Traps- Venturi_Industrial/Process Audit - 175 ≤ psig &lt; 250_MF_Conversion</v>
      </c>
      <c r="B4481" s="303" t="s">
        <v>1381</v>
      </c>
      <c r="C4481" s="304" t="s">
        <v>1375</v>
      </c>
      <c r="D4481" s="303" t="s">
        <v>553</v>
      </c>
      <c r="E4481" s="305" t="s">
        <v>284</v>
      </c>
      <c r="F4481" s="309" t="s">
        <v>622</v>
      </c>
      <c r="G4481" s="325">
        <v>100000</v>
      </c>
      <c r="H4481" s="305"/>
      <c r="I4481" s="305" t="s">
        <v>152</v>
      </c>
      <c r="J4481" s="305" t="s">
        <v>130</v>
      </c>
      <c r="K4481" s="305" t="s">
        <v>2161</v>
      </c>
    </row>
    <row r="4482" spans="1:11" x14ac:dyDescent="0.25">
      <c r="A4482" s="302" t="str">
        <f t="shared" si="111"/>
        <v>Steam Traps- Venturi_Industrial/Process Audit - 175 ≤ psig &lt; 250_MF_n_B</v>
      </c>
      <c r="B4482" s="303" t="s">
        <v>1381</v>
      </c>
      <c r="C4482" s="304" t="s">
        <v>1375</v>
      </c>
      <c r="D4482" s="303" t="s">
        <v>553</v>
      </c>
      <c r="E4482" s="340" t="s">
        <v>657</v>
      </c>
      <c r="F4482" s="341"/>
      <c r="G4482" s="346">
        <v>0.80700000000000005</v>
      </c>
      <c r="H4482" s="340" t="s">
        <v>665</v>
      </c>
      <c r="I4482" s="305" t="s">
        <v>152</v>
      </c>
      <c r="J4482" s="305" t="s">
        <v>130</v>
      </c>
      <c r="K4482" s="305" t="s">
        <v>2161</v>
      </c>
    </row>
    <row r="4483" spans="1:11" x14ac:dyDescent="0.25">
      <c r="A4483" s="302" t="str">
        <f t="shared" si="111"/>
        <v>Steam Traps- Venturi_Industrial/Process Audit - 175 ≤ psig &lt; 250_MF_kWh Saved per Unit</v>
      </c>
      <c r="B4483" s="303" t="s">
        <v>1381</v>
      </c>
      <c r="C4483" s="304" t="s">
        <v>1375</v>
      </c>
      <c r="D4483" s="303" t="s">
        <v>553</v>
      </c>
      <c r="E4483" s="314" t="s">
        <v>255</v>
      </c>
      <c r="F4483" s="326"/>
      <c r="G4483" s="315">
        <f>G4470</f>
        <v>209.94919691999996</v>
      </c>
      <c r="H4483" s="305"/>
      <c r="I4483" s="305" t="s">
        <v>152</v>
      </c>
      <c r="J4483" s="305" t="s">
        <v>130</v>
      </c>
      <c r="K4483" s="305" t="s">
        <v>2161</v>
      </c>
    </row>
    <row r="4484" spans="1:11" x14ac:dyDescent="0.25">
      <c r="A4484" s="302" t="str">
        <f t="shared" si="111"/>
        <v>Steam Traps- Venturi_Industrial/Process Audit - 175 ≤ psig &lt; 250_MF_Coincident Peak kW Saved per Unit</v>
      </c>
      <c r="B4484" s="303" t="s">
        <v>1381</v>
      </c>
      <c r="C4484" s="304" t="s">
        <v>1375</v>
      </c>
      <c r="D4484" s="303" t="s">
        <v>553</v>
      </c>
      <c r="E4484" s="314" t="s">
        <v>257</v>
      </c>
      <c r="F4484" s="326"/>
      <c r="G4484" s="315">
        <v>0</v>
      </c>
      <c r="H4484" s="305"/>
      <c r="I4484" s="305" t="s">
        <v>152</v>
      </c>
      <c r="J4484" s="305" t="s">
        <v>130</v>
      </c>
      <c r="K4484" s="305" t="s">
        <v>2161</v>
      </c>
    </row>
    <row r="4485" spans="1:11" x14ac:dyDescent="0.25">
      <c r="A4485" s="302" t="str">
        <f t="shared" si="111"/>
        <v>Steam Traps- Venturi_Industrial/Process Audit - 175 ≤ psig &lt; 250_MF_Therm Saved per Unit</v>
      </c>
      <c r="B4485" s="303" t="s">
        <v>1381</v>
      </c>
      <c r="C4485" s="304" t="s">
        <v>1375</v>
      </c>
      <c r="D4485" s="303" t="s">
        <v>553</v>
      </c>
      <c r="E4485" s="314" t="s">
        <v>326</v>
      </c>
      <c r="F4485" s="326"/>
      <c r="G4485" s="315">
        <f xml:space="preserve"> G4471 * (G4472 + G4473 * (G4477 - G4478)) * G4479 * G4480 / (G4481 * G4482)</f>
        <v>1986.7915775383435</v>
      </c>
      <c r="H4485" s="305"/>
      <c r="I4485" s="305" t="s">
        <v>152</v>
      </c>
      <c r="J4485" s="305" t="s">
        <v>130</v>
      </c>
      <c r="K4485" s="305" t="s">
        <v>2161</v>
      </c>
    </row>
    <row r="4486" spans="1:11" x14ac:dyDescent="0.25">
      <c r="A4486" s="302" t="str">
        <f t="shared" si="111"/>
        <v>Steam Traps- Venturi_Industrial/Process Audit - 175 ≤ psig &lt; 250_MF_Gallons Saved per Unit</v>
      </c>
      <c r="B4486" s="303" t="s">
        <v>1381</v>
      </c>
      <c r="C4486" s="304" t="s">
        <v>1375</v>
      </c>
      <c r="D4486" s="303" t="s">
        <v>553</v>
      </c>
      <c r="E4486" s="314" t="s">
        <v>547</v>
      </c>
      <c r="F4486" s="326"/>
      <c r="G4486" s="315">
        <f>G4467</f>
        <v>81660.51999999999</v>
      </c>
      <c r="H4486" s="305"/>
      <c r="I4486" s="305" t="s">
        <v>152</v>
      </c>
      <c r="J4486" s="305" t="s">
        <v>130</v>
      </c>
      <c r="K4486" s="305" t="s">
        <v>2161</v>
      </c>
    </row>
    <row r="4487" spans="1:11" x14ac:dyDescent="0.25">
      <c r="A4487" s="302" t="str">
        <f t="shared" si="111"/>
        <v>Steam Traps- Venturi_Industrial/Process Audit - 175 ≤ psig &lt; 250_MF_Lifetime (years)</v>
      </c>
      <c r="B4487" s="303" t="s">
        <v>1381</v>
      </c>
      <c r="C4487" s="304" t="s">
        <v>1375</v>
      </c>
      <c r="D4487" s="303" t="s">
        <v>553</v>
      </c>
      <c r="E4487" s="314" t="s">
        <v>259</v>
      </c>
      <c r="F4487" s="326"/>
      <c r="G4487" s="326">
        <v>20</v>
      </c>
      <c r="H4487" s="305" t="s">
        <v>1382</v>
      </c>
      <c r="I4487" s="305" t="s">
        <v>152</v>
      </c>
      <c r="J4487" s="305" t="s">
        <v>130</v>
      </c>
      <c r="K4487" s="305" t="s">
        <v>2161</v>
      </c>
    </row>
    <row r="4488" spans="1:11" x14ac:dyDescent="0.25">
      <c r="A4488" s="302" t="str">
        <f t="shared" si="111"/>
        <v>Steam Traps- Venturi_Industrial/Process Audit - 175 ≤ psig &lt; 250_MF_Incremental Cost</v>
      </c>
      <c r="B4488" s="303" t="s">
        <v>1381</v>
      </c>
      <c r="C4488" s="304" t="s">
        <v>1375</v>
      </c>
      <c r="D4488" s="303" t="s">
        <v>553</v>
      </c>
      <c r="E4488" s="314" t="s">
        <v>260</v>
      </c>
      <c r="F4488" s="326"/>
      <c r="G4488" s="315">
        <v>370</v>
      </c>
      <c r="H4488" s="305" t="s">
        <v>1373</v>
      </c>
      <c r="I4488" s="305" t="s">
        <v>152</v>
      </c>
      <c r="J4488" s="305" t="s">
        <v>130</v>
      </c>
      <c r="K4488" s="305" t="s">
        <v>2161</v>
      </c>
    </row>
    <row r="4489" spans="1:11" x14ac:dyDescent="0.25">
      <c r="A4489" s="317" t="str">
        <f t="shared" si="111"/>
        <v>Steam Traps- Venturi_Industrial/Process Audit - 175 ≤ psig &lt; 250_MF_</v>
      </c>
      <c r="B4489" s="317" t="str">
        <f>B4488</f>
        <v>Steam Traps- Venturi</v>
      </c>
      <c r="C4489" s="332" t="str">
        <f>C4488</f>
        <v>Industrial/Process Audit - 175 ≤ psig &lt; 250</v>
      </c>
      <c r="D4489" s="317" t="str">
        <f>D4488</f>
        <v>MF</v>
      </c>
      <c r="E4489" s="320"/>
      <c r="F4489" s="320"/>
      <c r="G4489" s="329"/>
      <c r="H4489" s="320"/>
      <c r="I4489" s="320"/>
      <c r="J4489" s="320"/>
      <c r="K4489" s="320"/>
    </row>
    <row r="4490" spans="1:11" x14ac:dyDescent="0.25">
      <c r="A4490" s="302" t="str">
        <f t="shared" si="111"/>
        <v>Steam Traps- Venturi_Industrial/Process Audit - 250 ≤ psig_MF_GAL</v>
      </c>
      <c r="B4490" s="303" t="s">
        <v>1381</v>
      </c>
      <c r="C4490" s="304" t="s">
        <v>1376</v>
      </c>
      <c r="D4490" s="303" t="s">
        <v>553</v>
      </c>
      <c r="E4490" s="305" t="s">
        <v>513</v>
      </c>
      <c r="F4490" s="309"/>
      <c r="G4490" s="306">
        <v>12.63</v>
      </c>
      <c r="H4490" s="305" t="s">
        <v>228</v>
      </c>
      <c r="I4490" s="305" t="s">
        <v>152</v>
      </c>
      <c r="J4490" s="305" t="s">
        <v>130</v>
      </c>
      <c r="K4490" s="305" t="s">
        <v>2161</v>
      </c>
    </row>
    <row r="4491" spans="1:11" x14ac:dyDescent="0.25">
      <c r="A4491" s="302" t="str">
        <f t="shared" si="111"/>
        <v>Steam Traps- Venturi_Industrial/Process Audit - 250 ≤ psig_MF_Hours of Operation</v>
      </c>
      <c r="B4491" s="303" t="s">
        <v>1381</v>
      </c>
      <c r="C4491" s="304" t="s">
        <v>1376</v>
      </c>
      <c r="D4491" s="303" t="s">
        <v>553</v>
      </c>
      <c r="E4491" s="305" t="s">
        <v>460</v>
      </c>
      <c r="F4491" s="309" t="s">
        <v>647</v>
      </c>
      <c r="G4491" s="354">
        <v>8282</v>
      </c>
      <c r="H4491" s="305" t="s">
        <v>228</v>
      </c>
      <c r="I4491" s="305" t="s">
        <v>152</v>
      </c>
      <c r="J4491" s="305" t="s">
        <v>130</v>
      </c>
      <c r="K4491" s="305" t="s">
        <v>2161</v>
      </c>
    </row>
    <row r="4492" spans="1:11" x14ac:dyDescent="0.25">
      <c r="A4492" s="302" t="str">
        <f t="shared" si="111"/>
        <v>Steam Traps- Venturi_Industrial/Process Audit - 250 ≤ psig_MF_L</v>
      </c>
      <c r="B4492" s="303" t="s">
        <v>1381</v>
      </c>
      <c r="C4492" s="304" t="s">
        <v>1376</v>
      </c>
      <c r="D4492" s="303" t="s">
        <v>553</v>
      </c>
      <c r="E4492" s="305" t="s">
        <v>437</v>
      </c>
      <c r="F4492" s="309"/>
      <c r="G4492" s="306">
        <v>1</v>
      </c>
      <c r="H4492" s="305" t="s">
        <v>1280</v>
      </c>
      <c r="I4492" s="305" t="s">
        <v>152</v>
      </c>
      <c r="J4492" s="305" t="s">
        <v>130</v>
      </c>
      <c r="K4492" s="305" t="s">
        <v>2161</v>
      </c>
    </row>
    <row r="4493" spans="1:11" x14ac:dyDescent="0.25">
      <c r="A4493" s="302" t="str">
        <f t="shared" si="111"/>
        <v>Steam Traps- Venturi_Industrial/Process Audit - 250 ≤ psig_MF_Delta_Water_Gallons</v>
      </c>
      <c r="B4493" s="303" t="s">
        <v>1381</v>
      </c>
      <c r="C4493" s="304" t="s">
        <v>1376</v>
      </c>
      <c r="D4493" s="303" t="s">
        <v>553</v>
      </c>
      <c r="E4493" s="305" t="s">
        <v>456</v>
      </c>
      <c r="F4493" s="305"/>
      <c r="G4493" s="307">
        <f>G4490*G4491*G4492</f>
        <v>104601.66</v>
      </c>
      <c r="H4493" s="305"/>
      <c r="I4493" s="305" t="s">
        <v>152</v>
      </c>
      <c r="J4493" s="305" t="s">
        <v>130</v>
      </c>
      <c r="K4493" s="305" t="s">
        <v>2161</v>
      </c>
    </row>
    <row r="4494" spans="1:11" x14ac:dyDescent="0.25">
      <c r="A4494" s="302" t="str">
        <f t="shared" si="111"/>
        <v>Steam Traps- Venturi_Industrial/Process Audit - 250 ≤ psig_MF_Conversion</v>
      </c>
      <c r="B4494" s="303" t="s">
        <v>1381</v>
      </c>
      <c r="C4494" s="304" t="s">
        <v>1376</v>
      </c>
      <c r="D4494" s="303" t="s">
        <v>553</v>
      </c>
      <c r="E4494" s="305" t="s">
        <v>284</v>
      </c>
      <c r="F4494" s="305"/>
      <c r="G4494" s="354">
        <v>1000000</v>
      </c>
      <c r="H4494" s="305"/>
      <c r="I4494" s="305" t="s">
        <v>152</v>
      </c>
      <c r="J4494" s="305" t="s">
        <v>130</v>
      </c>
      <c r="K4494" s="305" t="s">
        <v>2161</v>
      </c>
    </row>
    <row r="4495" spans="1:11" x14ac:dyDescent="0.25">
      <c r="A4495" s="302" t="str">
        <f t="shared" si="111"/>
        <v>Steam Traps- Venturi_Industrial/Process Audit - 250 ≤ psig_MF_E_water_supply</v>
      </c>
      <c r="B4495" s="303" t="s">
        <v>1381</v>
      </c>
      <c r="C4495" s="304" t="s">
        <v>1376</v>
      </c>
      <c r="D4495" s="303" t="s">
        <v>553</v>
      </c>
      <c r="E4495" s="305" t="s">
        <v>457</v>
      </c>
      <c r="F4495" s="305"/>
      <c r="G4495" s="307">
        <v>2571</v>
      </c>
      <c r="H4495" s="305"/>
      <c r="I4495" s="305" t="s">
        <v>152</v>
      </c>
      <c r="J4495" s="305" t="s">
        <v>130</v>
      </c>
      <c r="K4495" s="305" t="s">
        <v>2161</v>
      </c>
    </row>
    <row r="4496" spans="1:11" x14ac:dyDescent="0.25">
      <c r="A4496" s="302" t="str">
        <f t="shared" ref="A4496:A4559" si="112">B4496&amp;"_"&amp;C4496&amp;"_"&amp;D4496&amp;"_"&amp;E4496</f>
        <v>Steam Traps- Venturi_Industrial/Process Audit - 250 ≤ psig_MF_Delta_kWh_water</v>
      </c>
      <c r="B4496" s="303" t="s">
        <v>1381</v>
      </c>
      <c r="C4496" s="304" t="s">
        <v>1376</v>
      </c>
      <c r="D4496" s="303" t="s">
        <v>553</v>
      </c>
      <c r="E4496" s="305" t="s">
        <v>334</v>
      </c>
      <c r="F4496" s="305"/>
      <c r="G4496" s="307">
        <f>G4493/G4494*G4495</f>
        <v>268.93086785999998</v>
      </c>
      <c r="H4496" s="305"/>
      <c r="I4496" s="305" t="s">
        <v>152</v>
      </c>
      <c r="J4496" s="305" t="s">
        <v>130</v>
      </c>
      <c r="K4496" s="305" t="s">
        <v>2161</v>
      </c>
    </row>
    <row r="4497" spans="1:11" x14ac:dyDescent="0.25">
      <c r="A4497" s="302" t="str">
        <f t="shared" si="112"/>
        <v>Steam Traps- Venturi_Industrial/Process Audit - 250 ≤ psig_MF_Sa</v>
      </c>
      <c r="B4497" s="303" t="s">
        <v>1381</v>
      </c>
      <c r="C4497" s="304" t="s">
        <v>1376</v>
      </c>
      <c r="D4497" s="303" t="s">
        <v>553</v>
      </c>
      <c r="E4497" s="305" t="s">
        <v>507</v>
      </c>
      <c r="F4497" s="305"/>
      <c r="G4497" s="307">
        <v>105.2</v>
      </c>
      <c r="H4497" s="305" t="s">
        <v>228</v>
      </c>
      <c r="I4497" s="305" t="s">
        <v>152</v>
      </c>
      <c r="J4497" s="305" t="s">
        <v>130</v>
      </c>
      <c r="K4497" s="305" t="s">
        <v>2161</v>
      </c>
    </row>
    <row r="4498" spans="1:11" x14ac:dyDescent="0.25">
      <c r="A4498" s="302" t="str">
        <f t="shared" si="112"/>
        <v>Steam Traps- Venturi_Industrial/Process Audit - 250 ≤ psig_MF_Hv</v>
      </c>
      <c r="B4498" s="303" t="s">
        <v>1381</v>
      </c>
      <c r="C4498" s="304" t="s">
        <v>1376</v>
      </c>
      <c r="D4498" s="303" t="s">
        <v>553</v>
      </c>
      <c r="E4498" s="305" t="s">
        <v>508</v>
      </c>
      <c r="F4498" s="305"/>
      <c r="G4498" s="307">
        <v>816</v>
      </c>
      <c r="H4498" s="305" t="s">
        <v>228</v>
      </c>
      <c r="I4498" s="305" t="s">
        <v>152</v>
      </c>
      <c r="J4498" s="305" t="s">
        <v>130</v>
      </c>
      <c r="K4498" s="305" t="s">
        <v>2161</v>
      </c>
    </row>
    <row r="4499" spans="1:11" x14ac:dyDescent="0.25">
      <c r="A4499" s="302" t="str">
        <f t="shared" si="112"/>
        <v>Steam Traps- Venturi_Industrial/Process Audit - 250 ≤ psig_MF_Hs</v>
      </c>
      <c r="B4499" s="303" t="s">
        <v>1381</v>
      </c>
      <c r="C4499" s="304" t="s">
        <v>1376</v>
      </c>
      <c r="D4499" s="303" t="s">
        <v>553</v>
      </c>
      <c r="E4499" s="340" t="s">
        <v>509</v>
      </c>
      <c r="F4499" s="340"/>
      <c r="G4499" s="341">
        <v>1.0009999999999999</v>
      </c>
      <c r="H4499" s="340" t="s">
        <v>652</v>
      </c>
      <c r="I4499" s="305" t="s">
        <v>152</v>
      </c>
      <c r="J4499" s="305" t="s">
        <v>130</v>
      </c>
      <c r="K4499" s="305" t="s">
        <v>2161</v>
      </c>
    </row>
    <row r="4500" spans="1:11" x14ac:dyDescent="0.25">
      <c r="A4500" s="302" t="str">
        <f t="shared" si="112"/>
        <v>Steam Traps- Venturi_Industrial/Process Audit - 250 ≤ psig_MF_507.89</v>
      </c>
      <c r="B4500" s="303" t="s">
        <v>1381</v>
      </c>
      <c r="C4500" s="304" t="s">
        <v>1376</v>
      </c>
      <c r="D4500" s="303" t="s">
        <v>553</v>
      </c>
      <c r="E4500" s="342">
        <v>507.89</v>
      </c>
      <c r="F4500" s="340"/>
      <c r="G4500" s="341">
        <v>507.89</v>
      </c>
      <c r="H4500" s="340"/>
      <c r="I4500" s="305" t="s">
        <v>152</v>
      </c>
      <c r="J4500" s="305" t="s">
        <v>130</v>
      </c>
      <c r="K4500" s="305" t="s">
        <v>2161</v>
      </c>
    </row>
    <row r="4501" spans="1:11" x14ac:dyDescent="0.25">
      <c r="A4501" s="302" t="str">
        <f t="shared" si="112"/>
        <v>Steam Traps- Venturi_Industrial/Process Audit - 250 ≤ psig_MF_P1</v>
      </c>
      <c r="B4501" s="303" t="s">
        <v>1381</v>
      </c>
      <c r="C4501" s="304" t="s">
        <v>1376</v>
      </c>
      <c r="D4501" s="303" t="s">
        <v>553</v>
      </c>
      <c r="E4501" s="340" t="s">
        <v>510</v>
      </c>
      <c r="F4501" s="340"/>
      <c r="G4501" s="341">
        <f>263+14.696</f>
        <v>277.69600000000003</v>
      </c>
      <c r="H4501" s="340" t="s">
        <v>1371</v>
      </c>
      <c r="I4501" s="305" t="s">
        <v>152</v>
      </c>
      <c r="J4501" s="305" t="s">
        <v>130</v>
      </c>
      <c r="K4501" s="305" t="s">
        <v>2161</v>
      </c>
    </row>
    <row r="4502" spans="1:11" x14ac:dyDescent="0.25">
      <c r="A4502" s="302" t="str">
        <f t="shared" si="112"/>
        <v>Steam Traps- Venturi_Industrial/Process Audit - 250 ≤ psig_MF_0.0962</v>
      </c>
      <c r="B4502" s="303" t="s">
        <v>1381</v>
      </c>
      <c r="C4502" s="304" t="s">
        <v>1376</v>
      </c>
      <c r="D4502" s="303" t="s">
        <v>553</v>
      </c>
      <c r="E4502" s="340">
        <v>9.6199999999999994E-2</v>
      </c>
      <c r="F4502" s="340"/>
      <c r="G4502" s="343">
        <v>9.6199999999999994E-2</v>
      </c>
      <c r="H4502" s="340"/>
      <c r="I4502" s="305" t="s">
        <v>152</v>
      </c>
      <c r="J4502" s="305" t="s">
        <v>130</v>
      </c>
      <c r="K4502" s="305" t="s">
        <v>2161</v>
      </c>
    </row>
    <row r="4503" spans="1:11" x14ac:dyDescent="0.25">
      <c r="A4503" s="302" t="str">
        <f t="shared" si="112"/>
        <v>Steam Traps- Venturi_Industrial/Process Audit - 250 ≤ psig_MF_T1</v>
      </c>
      <c r="B4503" s="303" t="s">
        <v>1381</v>
      </c>
      <c r="C4503" s="304" t="s">
        <v>1376</v>
      </c>
      <c r="D4503" s="303" t="s">
        <v>553</v>
      </c>
      <c r="E4503" s="340" t="s">
        <v>511</v>
      </c>
      <c r="F4503" s="340"/>
      <c r="G4503" s="341">
        <f>G4500*(G4501^G4502)</f>
        <v>872.65194259288455</v>
      </c>
      <c r="H4503" s="340" t="s">
        <v>654</v>
      </c>
      <c r="I4503" s="305" t="s">
        <v>152</v>
      </c>
      <c r="J4503" s="305" t="s">
        <v>130</v>
      </c>
      <c r="K4503" s="305" t="s">
        <v>2161</v>
      </c>
    </row>
    <row r="4504" spans="1:11" x14ac:dyDescent="0.25">
      <c r="A4504" s="302" t="str">
        <f t="shared" si="112"/>
        <v>Steam Traps- Venturi_Industrial/Process Audit - 250 ≤ psig_MF_Tsource</v>
      </c>
      <c r="B4504" s="303" t="s">
        <v>1381</v>
      </c>
      <c r="C4504" s="304" t="s">
        <v>1376</v>
      </c>
      <c r="D4504" s="303" t="s">
        <v>553</v>
      </c>
      <c r="E4504" s="340" t="s">
        <v>512</v>
      </c>
      <c r="F4504" s="340"/>
      <c r="G4504" s="341">
        <v>513.66999999999996</v>
      </c>
      <c r="H4504" s="340" t="s">
        <v>655</v>
      </c>
      <c r="I4504" s="305" t="s">
        <v>152</v>
      </c>
      <c r="J4504" s="305" t="s">
        <v>130</v>
      </c>
      <c r="K4504" s="305" t="s">
        <v>2161</v>
      </c>
    </row>
    <row r="4505" spans="1:11" x14ac:dyDescent="0.25">
      <c r="A4505" s="302" t="str">
        <f t="shared" si="112"/>
        <v>Steam Traps- Venturi_Industrial/Process Audit - 250 ≤ psig_MF_Hours of Operation</v>
      </c>
      <c r="B4505" s="303" t="s">
        <v>1381</v>
      </c>
      <c r="C4505" s="304" t="s">
        <v>1376</v>
      </c>
      <c r="D4505" s="303" t="s">
        <v>553</v>
      </c>
      <c r="E4505" s="305" t="s">
        <v>460</v>
      </c>
      <c r="F4505" s="309" t="s">
        <v>647</v>
      </c>
      <c r="G4505" s="354">
        <f>AVERAGE(1540,1782)</f>
        <v>1661</v>
      </c>
      <c r="H4505" s="305" t="s">
        <v>648</v>
      </c>
      <c r="I4505" s="305" t="s">
        <v>152</v>
      </c>
      <c r="J4505" s="305" t="s">
        <v>130</v>
      </c>
      <c r="K4505" s="305" t="s">
        <v>2161</v>
      </c>
    </row>
    <row r="4506" spans="1:11" x14ac:dyDescent="0.25">
      <c r="A4506" s="302" t="str">
        <f t="shared" si="112"/>
        <v>Steam Traps- Venturi_Industrial/Process Audit - 250 ≤ psig_MF_L</v>
      </c>
      <c r="B4506" s="303" t="s">
        <v>1381</v>
      </c>
      <c r="C4506" s="304" t="s">
        <v>1376</v>
      </c>
      <c r="D4506" s="303" t="s">
        <v>553</v>
      </c>
      <c r="E4506" s="305" t="s">
        <v>437</v>
      </c>
      <c r="F4506" s="309"/>
      <c r="G4506" s="306">
        <v>1</v>
      </c>
      <c r="H4506" s="305" t="s">
        <v>1280</v>
      </c>
      <c r="I4506" s="305" t="s">
        <v>152</v>
      </c>
      <c r="J4506" s="305" t="s">
        <v>130</v>
      </c>
      <c r="K4506" s="305" t="s">
        <v>2161</v>
      </c>
    </row>
    <row r="4507" spans="1:11" x14ac:dyDescent="0.25">
      <c r="A4507" s="302" t="str">
        <f t="shared" si="112"/>
        <v>Steam Traps- Venturi_Industrial/Process Audit - 250 ≤ psig_MF_Conversion</v>
      </c>
      <c r="B4507" s="303" t="s">
        <v>1381</v>
      </c>
      <c r="C4507" s="304" t="s">
        <v>1376</v>
      </c>
      <c r="D4507" s="303" t="s">
        <v>553</v>
      </c>
      <c r="E4507" s="305" t="s">
        <v>284</v>
      </c>
      <c r="F4507" s="309" t="s">
        <v>622</v>
      </c>
      <c r="G4507" s="325">
        <v>100000</v>
      </c>
      <c r="H4507" s="305"/>
      <c r="I4507" s="305" t="s">
        <v>152</v>
      </c>
      <c r="J4507" s="305" t="s">
        <v>130</v>
      </c>
      <c r="K4507" s="305" t="s">
        <v>2161</v>
      </c>
    </row>
    <row r="4508" spans="1:11" x14ac:dyDescent="0.25">
      <c r="A4508" s="302" t="str">
        <f t="shared" si="112"/>
        <v>Steam Traps- Venturi_Industrial/Process Audit - 250 ≤ psig_MF_n_B</v>
      </c>
      <c r="B4508" s="303" t="s">
        <v>1381</v>
      </c>
      <c r="C4508" s="304" t="s">
        <v>1376</v>
      </c>
      <c r="D4508" s="303" t="s">
        <v>553</v>
      </c>
      <c r="E4508" s="340" t="s">
        <v>657</v>
      </c>
      <c r="F4508" s="341"/>
      <c r="G4508" s="346">
        <v>0.80700000000000005</v>
      </c>
      <c r="H4508" s="340" t="s">
        <v>665</v>
      </c>
      <c r="I4508" s="305" t="s">
        <v>152</v>
      </c>
      <c r="J4508" s="305" t="s">
        <v>130</v>
      </c>
      <c r="K4508" s="305" t="s">
        <v>2161</v>
      </c>
    </row>
    <row r="4509" spans="1:11" x14ac:dyDescent="0.25">
      <c r="A4509" s="302" t="str">
        <f t="shared" si="112"/>
        <v>Steam Traps- Venturi_Industrial/Process Audit - 250 ≤ psig_MF_kWh Saved per Unit</v>
      </c>
      <c r="B4509" s="303" t="s">
        <v>1381</v>
      </c>
      <c r="C4509" s="304" t="s">
        <v>1376</v>
      </c>
      <c r="D4509" s="303" t="s">
        <v>553</v>
      </c>
      <c r="E4509" s="314" t="s">
        <v>255</v>
      </c>
      <c r="F4509" s="326"/>
      <c r="G4509" s="315">
        <f>G4496</f>
        <v>268.93086785999998</v>
      </c>
      <c r="H4509" s="305"/>
      <c r="I4509" s="305" t="s">
        <v>152</v>
      </c>
      <c r="J4509" s="305" t="s">
        <v>130</v>
      </c>
      <c r="K4509" s="305" t="s">
        <v>2161</v>
      </c>
    </row>
    <row r="4510" spans="1:11" x14ac:dyDescent="0.25">
      <c r="A4510" s="302" t="str">
        <f t="shared" si="112"/>
        <v>Steam Traps- Venturi_Industrial/Process Audit - 250 ≤ psig_MF_Coincident Peak kW Saved per Unit</v>
      </c>
      <c r="B4510" s="303" t="s">
        <v>1381</v>
      </c>
      <c r="C4510" s="304" t="s">
        <v>1376</v>
      </c>
      <c r="D4510" s="303" t="s">
        <v>553</v>
      </c>
      <c r="E4510" s="314" t="s">
        <v>257</v>
      </c>
      <c r="F4510" s="326"/>
      <c r="G4510" s="315">
        <v>0</v>
      </c>
      <c r="H4510" s="305"/>
      <c r="I4510" s="305" t="s">
        <v>152</v>
      </c>
      <c r="J4510" s="305" t="s">
        <v>130</v>
      </c>
      <c r="K4510" s="305" t="s">
        <v>2161</v>
      </c>
    </row>
    <row r="4511" spans="1:11" x14ac:dyDescent="0.25">
      <c r="A4511" s="302" t="str">
        <f t="shared" si="112"/>
        <v>Steam Traps- Venturi_Industrial/Process Audit - 250 ≤ psig_MF_Therm Saved per Unit</v>
      </c>
      <c r="B4511" s="303" t="s">
        <v>1381</v>
      </c>
      <c r="C4511" s="304" t="s">
        <v>1376</v>
      </c>
      <c r="D4511" s="303" t="s">
        <v>553</v>
      </c>
      <c r="E4511" s="314" t="s">
        <v>326</v>
      </c>
      <c r="F4511" s="326"/>
      <c r="G4511" s="315">
        <f xml:space="preserve"> G4497 * (G4498 + G4499 * (G4503 - G4504)) * G4505 * G4506 / (G4507 * G4508)</f>
        <v>2544.9291474441216</v>
      </c>
      <c r="H4511" s="305"/>
      <c r="I4511" s="305" t="s">
        <v>152</v>
      </c>
      <c r="J4511" s="305" t="s">
        <v>130</v>
      </c>
      <c r="K4511" s="305" t="s">
        <v>2161</v>
      </c>
    </row>
    <row r="4512" spans="1:11" x14ac:dyDescent="0.25">
      <c r="A4512" s="302" t="str">
        <f t="shared" si="112"/>
        <v>Steam Traps- Venturi_Industrial/Process Audit - 250 ≤ psig_MF_Gallons Saved per Unit</v>
      </c>
      <c r="B4512" s="303" t="s">
        <v>1381</v>
      </c>
      <c r="C4512" s="304" t="s">
        <v>1376</v>
      </c>
      <c r="D4512" s="303" t="s">
        <v>553</v>
      </c>
      <c r="E4512" s="314" t="s">
        <v>547</v>
      </c>
      <c r="F4512" s="326"/>
      <c r="G4512" s="315">
        <f>G4493</f>
        <v>104601.66</v>
      </c>
      <c r="H4512" s="305"/>
      <c r="I4512" s="305" t="s">
        <v>152</v>
      </c>
      <c r="J4512" s="305" t="s">
        <v>130</v>
      </c>
      <c r="K4512" s="305" t="s">
        <v>2161</v>
      </c>
    </row>
    <row r="4513" spans="1:11" x14ac:dyDescent="0.25">
      <c r="A4513" s="302" t="str">
        <f t="shared" si="112"/>
        <v>Steam Traps- Venturi_Industrial/Process Audit - 250 ≤ psig_MF_Lifetime (years)</v>
      </c>
      <c r="B4513" s="303" t="s">
        <v>1381</v>
      </c>
      <c r="C4513" s="304" t="s">
        <v>1376</v>
      </c>
      <c r="D4513" s="303" t="s">
        <v>553</v>
      </c>
      <c r="E4513" s="314" t="s">
        <v>259</v>
      </c>
      <c r="F4513" s="326"/>
      <c r="G4513" s="326">
        <v>20</v>
      </c>
      <c r="H4513" s="305" t="s">
        <v>1382</v>
      </c>
      <c r="I4513" s="305" t="s">
        <v>152</v>
      </c>
      <c r="J4513" s="305" t="s">
        <v>130</v>
      </c>
      <c r="K4513" s="305" t="s">
        <v>2161</v>
      </c>
    </row>
    <row r="4514" spans="1:11" x14ac:dyDescent="0.25">
      <c r="A4514" s="302" t="str">
        <f t="shared" si="112"/>
        <v>Steam Traps- Venturi_Industrial/Process Audit - 250 ≤ psig_MF_Incremental Cost</v>
      </c>
      <c r="B4514" s="303" t="s">
        <v>1381</v>
      </c>
      <c r="C4514" s="304" t="s">
        <v>1376</v>
      </c>
      <c r="D4514" s="303" t="s">
        <v>553</v>
      </c>
      <c r="E4514" s="314" t="s">
        <v>260</v>
      </c>
      <c r="F4514" s="326"/>
      <c r="G4514" s="315">
        <v>418</v>
      </c>
      <c r="H4514" s="305" t="s">
        <v>1373</v>
      </c>
      <c r="I4514" s="305" t="s">
        <v>152</v>
      </c>
      <c r="J4514" s="305" t="s">
        <v>130</v>
      </c>
      <c r="K4514" s="305" t="s">
        <v>2161</v>
      </c>
    </row>
    <row r="4515" spans="1:11" x14ac:dyDescent="0.25">
      <c r="A4515" s="317" t="str">
        <f t="shared" si="112"/>
        <v>Steam Traps- Venturi_Industrial/Process Audit - 250 ≤ psig_MF_</v>
      </c>
      <c r="B4515" s="317" t="str">
        <f>B4514</f>
        <v>Steam Traps- Venturi</v>
      </c>
      <c r="C4515" s="332" t="str">
        <f>C4514</f>
        <v>Industrial/Process Audit - 250 ≤ psig</v>
      </c>
      <c r="D4515" s="317" t="str">
        <f>D4514</f>
        <v>MF</v>
      </c>
      <c r="E4515" s="320"/>
      <c r="F4515" s="320"/>
      <c r="G4515" s="329"/>
      <c r="H4515" s="320"/>
      <c r="I4515" s="320"/>
      <c r="J4515" s="320"/>
      <c r="K4515" s="320"/>
    </row>
    <row r="4516" spans="1:11" x14ac:dyDescent="0.25">
      <c r="A4516" s="302" t="str">
        <f t="shared" si="112"/>
        <v>Water Heater_High/Medium Draw (UEF &gt;0.64 and &gt;0.68)_MF_T_out</v>
      </c>
      <c r="B4516" s="303" t="s">
        <v>8</v>
      </c>
      <c r="C4516" s="304" t="s">
        <v>1387</v>
      </c>
      <c r="D4516" s="303" t="s">
        <v>553</v>
      </c>
      <c r="E4516" s="305" t="s">
        <v>377</v>
      </c>
      <c r="F4516" s="309"/>
      <c r="G4516" s="306">
        <v>125</v>
      </c>
      <c r="H4516" s="305"/>
      <c r="I4516" s="305" t="s">
        <v>152</v>
      </c>
      <c r="J4516" s="305" t="s">
        <v>134</v>
      </c>
      <c r="K4516" s="305" t="s">
        <v>2379</v>
      </c>
    </row>
    <row r="4517" spans="1:11" x14ac:dyDescent="0.25">
      <c r="A4517" s="302" t="str">
        <f t="shared" si="112"/>
        <v>Water Heater_High/Medium Draw (UEF &gt;0.64 and &gt;0.68)_MF_T_in</v>
      </c>
      <c r="B4517" s="303" t="s">
        <v>8</v>
      </c>
      <c r="C4517" s="304" t="s">
        <v>1387</v>
      </c>
      <c r="D4517" s="303" t="s">
        <v>553</v>
      </c>
      <c r="E4517" s="305" t="s">
        <v>381</v>
      </c>
      <c r="F4517" s="309"/>
      <c r="G4517" s="334">
        <v>50.7</v>
      </c>
      <c r="H4517" s="311" t="s">
        <v>1916</v>
      </c>
      <c r="I4517" s="305" t="s">
        <v>152</v>
      </c>
      <c r="J4517" s="305" t="s">
        <v>134</v>
      </c>
      <c r="K4517" s="305" t="s">
        <v>2379</v>
      </c>
    </row>
    <row r="4518" spans="1:11" x14ac:dyDescent="0.25">
      <c r="A4518" s="302" t="str">
        <f t="shared" si="112"/>
        <v>Water Heater_High/Medium Draw (UEF &gt;0.64 and &gt;0.68)_MF_HotWaterUse_Gallon</v>
      </c>
      <c r="B4518" s="303" t="s">
        <v>8</v>
      </c>
      <c r="C4518" s="304" t="s">
        <v>1387</v>
      </c>
      <c r="D4518" s="303" t="s">
        <v>553</v>
      </c>
      <c r="E4518" s="305" t="s">
        <v>382</v>
      </c>
      <c r="F4518" s="309" t="s">
        <v>1264</v>
      </c>
      <c r="G4518" s="306">
        <f>30*894</f>
        <v>26820</v>
      </c>
      <c r="H4518" s="305" t="s">
        <v>1388</v>
      </c>
      <c r="I4518" s="305" t="s">
        <v>152</v>
      </c>
      <c r="J4518" s="305" t="s">
        <v>134</v>
      </c>
      <c r="K4518" s="305" t="s">
        <v>2379</v>
      </c>
    </row>
    <row r="4519" spans="1:11" x14ac:dyDescent="0.25">
      <c r="A4519" s="302" t="str">
        <f t="shared" si="112"/>
        <v>Water Heater_High/Medium Draw (UEF &gt;0.64 and &gt;0.68)_MF_yWater</v>
      </c>
      <c r="B4519" s="303" t="s">
        <v>8</v>
      </c>
      <c r="C4519" s="304" t="s">
        <v>1387</v>
      </c>
      <c r="D4519" s="303" t="s">
        <v>553</v>
      </c>
      <c r="E4519" s="305" t="s">
        <v>369</v>
      </c>
      <c r="F4519" s="309" t="s">
        <v>346</v>
      </c>
      <c r="G4519" s="306">
        <v>8.33</v>
      </c>
      <c r="H4519" s="305"/>
      <c r="I4519" s="305" t="s">
        <v>152</v>
      </c>
      <c r="J4519" s="305" t="s">
        <v>134</v>
      </c>
      <c r="K4519" s="305" t="s">
        <v>2379</v>
      </c>
    </row>
    <row r="4520" spans="1:11" x14ac:dyDescent="0.25">
      <c r="A4520" s="302" t="str">
        <f t="shared" si="112"/>
        <v>Water Heater_High/Medium Draw (UEF &gt;0.64 and &gt;0.68)_MF_Heat of Water</v>
      </c>
      <c r="B4520" s="303" t="s">
        <v>8</v>
      </c>
      <c r="C4520" s="304" t="s">
        <v>1387</v>
      </c>
      <c r="D4520" s="303" t="s">
        <v>553</v>
      </c>
      <c r="E4520" s="305" t="s">
        <v>1266</v>
      </c>
      <c r="F4520" s="309" t="s">
        <v>1267</v>
      </c>
      <c r="G4520" s="306">
        <v>1</v>
      </c>
      <c r="H4520" s="305"/>
      <c r="I4520" s="305" t="s">
        <v>152</v>
      </c>
      <c r="J4520" s="305" t="s">
        <v>134</v>
      </c>
      <c r="K4520" s="305" t="s">
        <v>2379</v>
      </c>
    </row>
    <row r="4521" spans="1:11" x14ac:dyDescent="0.25">
      <c r="A4521" s="302" t="str">
        <f t="shared" si="112"/>
        <v>Water Heater_High/Medium Draw (UEF &gt;0.64 and &gt;0.68)_MF_UEF_gasbase</v>
      </c>
      <c r="B4521" s="303" t="s">
        <v>8</v>
      </c>
      <c r="C4521" s="304" t="s">
        <v>1387</v>
      </c>
      <c r="D4521" s="303" t="s">
        <v>553</v>
      </c>
      <c r="E4521" s="305" t="s">
        <v>383</v>
      </c>
      <c r="F4521" s="309"/>
      <c r="G4521" s="406">
        <f>0.6002-(0.0011*30)</f>
        <v>0.56719999999999993</v>
      </c>
      <c r="H4521" s="305" t="s">
        <v>1389</v>
      </c>
      <c r="I4521" s="305" t="s">
        <v>152</v>
      </c>
      <c r="J4521" s="305" t="s">
        <v>134</v>
      </c>
      <c r="K4521" s="305" t="s">
        <v>2379</v>
      </c>
    </row>
    <row r="4522" spans="1:11" x14ac:dyDescent="0.25">
      <c r="A4522" s="302" t="str">
        <f t="shared" si="112"/>
        <v>Water Heater_High/Medium Draw (UEF &gt;0.64 and &gt;0.68)_MF_UEF_Eff</v>
      </c>
      <c r="B4522" s="303" t="s">
        <v>8</v>
      </c>
      <c r="C4522" s="304" t="s">
        <v>1387</v>
      </c>
      <c r="D4522" s="303" t="s">
        <v>553</v>
      </c>
      <c r="E4522" s="305" t="s">
        <v>385</v>
      </c>
      <c r="F4522" s="309"/>
      <c r="G4522" s="306">
        <v>0.68</v>
      </c>
      <c r="H4522" s="305" t="s">
        <v>1390</v>
      </c>
      <c r="I4522" s="305" t="s">
        <v>152</v>
      </c>
      <c r="J4522" s="305" t="s">
        <v>134</v>
      </c>
      <c r="K4522" s="305" t="s">
        <v>2379</v>
      </c>
    </row>
    <row r="4523" spans="1:11" x14ac:dyDescent="0.25">
      <c r="A4523" s="302" t="str">
        <f t="shared" si="112"/>
        <v>Water Heater_High/Medium Draw (UEF &gt;0.64 and &gt;0.68)_MF_Conversion</v>
      </c>
      <c r="B4523" s="303" t="s">
        <v>8</v>
      </c>
      <c r="C4523" s="304" t="s">
        <v>1387</v>
      </c>
      <c r="D4523" s="303" t="s">
        <v>553</v>
      </c>
      <c r="E4523" s="305" t="s">
        <v>284</v>
      </c>
      <c r="F4523" s="309" t="s">
        <v>622</v>
      </c>
      <c r="G4523" s="325">
        <v>100000</v>
      </c>
      <c r="H4523" s="305"/>
      <c r="I4523" s="305" t="s">
        <v>152</v>
      </c>
      <c r="J4523" s="305" t="s">
        <v>134</v>
      </c>
      <c r="K4523" s="305" t="s">
        <v>2379</v>
      </c>
    </row>
    <row r="4524" spans="1:11" x14ac:dyDescent="0.25">
      <c r="A4524" s="302" t="str">
        <f t="shared" si="112"/>
        <v>Water Heater_High/Medium Draw (UEF &gt;0.64 and &gt;0.68)_MF_Delta_Therms</v>
      </c>
      <c r="B4524" s="303" t="s">
        <v>8</v>
      </c>
      <c r="C4524" s="304" t="s">
        <v>1387</v>
      </c>
      <c r="D4524" s="303" t="s">
        <v>553</v>
      </c>
      <c r="E4524" s="305" t="s">
        <v>386</v>
      </c>
      <c r="F4524" s="305" t="s">
        <v>564</v>
      </c>
      <c r="G4524" s="307">
        <f>((G4516-G4517)*G4518*G4519*G4520*((1/G4521)-(1/G4522)))/G4523</f>
        <v>48.54634673483784</v>
      </c>
      <c r="H4524" s="305"/>
      <c r="I4524" s="305" t="s">
        <v>152</v>
      </c>
      <c r="J4524" s="305" t="s">
        <v>134</v>
      </c>
      <c r="K4524" s="305" t="s">
        <v>2379</v>
      </c>
    </row>
    <row r="4525" spans="1:11" x14ac:dyDescent="0.25">
      <c r="A4525" s="302" t="str">
        <f t="shared" si="112"/>
        <v>Water Heater_High/Medium Draw (UEF &gt;0.64 and &gt;0.68)_MF_Q</v>
      </c>
      <c r="B4525" s="303" t="s">
        <v>8</v>
      </c>
      <c r="C4525" s="304" t="s">
        <v>1387</v>
      </c>
      <c r="D4525" s="303" t="s">
        <v>553</v>
      </c>
      <c r="E4525" s="305" t="s">
        <v>387</v>
      </c>
      <c r="F4525" s="305" t="s">
        <v>479</v>
      </c>
      <c r="G4525" s="307">
        <v>200000</v>
      </c>
      <c r="H4525" s="305"/>
      <c r="I4525" s="305" t="s">
        <v>152</v>
      </c>
      <c r="J4525" s="305" t="s">
        <v>134</v>
      </c>
      <c r="K4525" s="305" t="s">
        <v>2379</v>
      </c>
    </row>
    <row r="4526" spans="1:11" x14ac:dyDescent="0.25">
      <c r="A4526" s="302" t="str">
        <f t="shared" si="112"/>
        <v>Water Heater_High/Medium Draw (UEF &gt;0.64 and &gt;0.68)_MF_800</v>
      </c>
      <c r="B4526" s="303" t="s">
        <v>8</v>
      </c>
      <c r="C4526" s="304" t="s">
        <v>1387</v>
      </c>
      <c r="D4526" s="303" t="s">
        <v>553</v>
      </c>
      <c r="E4526" s="305">
        <v>800</v>
      </c>
      <c r="F4526" s="305"/>
      <c r="G4526" s="354">
        <v>800</v>
      </c>
      <c r="H4526" s="305" t="s">
        <v>1268</v>
      </c>
      <c r="I4526" s="305" t="s">
        <v>152</v>
      </c>
      <c r="J4526" s="305" t="s">
        <v>134</v>
      </c>
      <c r="K4526" s="305" t="s">
        <v>2379</v>
      </c>
    </row>
    <row r="4527" spans="1:11" x14ac:dyDescent="0.25">
      <c r="A4527" s="302" t="str">
        <f t="shared" si="112"/>
        <v>Water Heater_High/Medium Draw (UEF &gt;0.64 and &gt;0.68)_MF_110</v>
      </c>
      <c r="B4527" s="303" t="s">
        <v>8</v>
      </c>
      <c r="C4527" s="304" t="s">
        <v>1387</v>
      </c>
      <c r="D4527" s="303" t="s">
        <v>553</v>
      </c>
      <c r="E4527" s="305">
        <v>110</v>
      </c>
      <c r="F4527" s="305"/>
      <c r="G4527" s="354">
        <v>110</v>
      </c>
      <c r="H4527" s="305" t="s">
        <v>1269</v>
      </c>
      <c r="I4527" s="305" t="s">
        <v>152</v>
      </c>
      <c r="J4527" s="305" t="s">
        <v>134</v>
      </c>
      <c r="K4527" s="305" t="s">
        <v>2379</v>
      </c>
    </row>
    <row r="4528" spans="1:11" x14ac:dyDescent="0.25">
      <c r="A4528" s="302" t="str">
        <f t="shared" si="112"/>
        <v>Water Heater_High/Medium Draw (UEF &gt;0.64 and &gt;0.68)_MF_V</v>
      </c>
      <c r="B4528" s="303" t="s">
        <v>8</v>
      </c>
      <c r="C4528" s="304" t="s">
        <v>1387</v>
      </c>
      <c r="D4528" s="303" t="s">
        <v>553</v>
      </c>
      <c r="E4528" s="305" t="s">
        <v>378</v>
      </c>
      <c r="F4528" s="305" t="s">
        <v>1264</v>
      </c>
      <c r="G4528" s="307">
        <v>150</v>
      </c>
      <c r="H4528" s="305" t="s">
        <v>614</v>
      </c>
      <c r="I4528" s="305" t="s">
        <v>152</v>
      </c>
      <c r="J4528" s="305" t="s">
        <v>134</v>
      </c>
      <c r="K4528" s="305" t="s">
        <v>2379</v>
      </c>
    </row>
    <row r="4529" spans="1:11" x14ac:dyDescent="0.25">
      <c r="A4529" s="302" t="str">
        <f t="shared" si="112"/>
        <v>Water Heater_High/Medium Draw (UEF &gt;0.64 and &gt;0.68)_MF_SL_gasbase</v>
      </c>
      <c r="B4529" s="303" t="s">
        <v>8</v>
      </c>
      <c r="C4529" s="304" t="s">
        <v>1387</v>
      </c>
      <c r="D4529" s="303" t="s">
        <v>553</v>
      </c>
      <c r="E4529" s="305" t="s">
        <v>388</v>
      </c>
      <c r="F4529" s="305"/>
      <c r="G4529" s="307">
        <f>(G4525/G4526)+G4527*SQRT(G4528)</f>
        <v>1597.219358530748</v>
      </c>
      <c r="H4529" s="305"/>
      <c r="I4529" s="305" t="s">
        <v>152</v>
      </c>
      <c r="J4529" s="305" t="s">
        <v>134</v>
      </c>
      <c r="K4529" s="305" t="s">
        <v>2379</v>
      </c>
    </row>
    <row r="4530" spans="1:11" x14ac:dyDescent="0.25">
      <c r="A4530" s="302" t="str">
        <f t="shared" si="112"/>
        <v>Water Heater_High/Medium Draw (UEF &gt;0.64 and &gt;0.68)_MF_SL_eff</v>
      </c>
      <c r="B4530" s="303" t="s">
        <v>8</v>
      </c>
      <c r="C4530" s="304" t="s">
        <v>1387</v>
      </c>
      <c r="D4530" s="303" t="s">
        <v>553</v>
      </c>
      <c r="E4530" s="305" t="s">
        <v>379</v>
      </c>
      <c r="F4530" s="305"/>
      <c r="G4530" s="307">
        <v>1029</v>
      </c>
      <c r="H4530" s="305"/>
      <c r="I4530" s="305" t="s">
        <v>614</v>
      </c>
      <c r="J4530" s="305"/>
      <c r="K4530" s="305"/>
    </row>
    <row r="4531" spans="1:11" x14ac:dyDescent="0.25">
      <c r="A4531" s="302" t="str">
        <f t="shared" si="112"/>
        <v>Water Heater_High/Medium Draw (UEF &gt;0.64 and &gt;0.68)_MF_Conversion</v>
      </c>
      <c r="B4531" s="303" t="s">
        <v>8</v>
      </c>
      <c r="C4531" s="304" t="s">
        <v>1387</v>
      </c>
      <c r="D4531" s="303" t="s">
        <v>553</v>
      </c>
      <c r="E4531" s="305" t="s">
        <v>284</v>
      </c>
      <c r="F4531" s="305" t="s">
        <v>1391</v>
      </c>
      <c r="G4531" s="354">
        <v>8766</v>
      </c>
      <c r="H4531" s="305"/>
      <c r="I4531" s="305" t="s">
        <v>152</v>
      </c>
      <c r="J4531" s="305" t="s">
        <v>134</v>
      </c>
      <c r="K4531" s="305" t="s">
        <v>2379</v>
      </c>
    </row>
    <row r="4532" spans="1:11" x14ac:dyDescent="0.25">
      <c r="A4532" s="302" t="str">
        <f t="shared" si="112"/>
        <v>Water Heater_High/Medium Draw (UEF &gt;0.64 and &gt;0.68)_MF_Conversion</v>
      </c>
      <c r="B4532" s="303" t="s">
        <v>8</v>
      </c>
      <c r="C4532" s="304" t="s">
        <v>1387</v>
      </c>
      <c r="D4532" s="303" t="s">
        <v>553</v>
      </c>
      <c r="E4532" s="305" t="s">
        <v>284</v>
      </c>
      <c r="F4532" s="309" t="s">
        <v>622</v>
      </c>
      <c r="G4532" s="325">
        <v>100000</v>
      </c>
      <c r="H4532" s="305"/>
      <c r="I4532" s="305" t="s">
        <v>152</v>
      </c>
      <c r="J4532" s="305" t="s">
        <v>134</v>
      </c>
      <c r="K4532" s="305" t="s">
        <v>2379</v>
      </c>
    </row>
    <row r="4533" spans="1:11" x14ac:dyDescent="0.25">
      <c r="A4533" s="302" t="str">
        <f t="shared" si="112"/>
        <v>Water Heater_High/Medium Draw (UEF &gt;0.64 and &gt;0.68)_MF_Delta_Therms_Standby</v>
      </c>
      <c r="B4533" s="303" t="s">
        <v>8</v>
      </c>
      <c r="C4533" s="304" t="s">
        <v>1387</v>
      </c>
      <c r="D4533" s="303" t="s">
        <v>553</v>
      </c>
      <c r="E4533" s="305" t="s">
        <v>389</v>
      </c>
      <c r="F4533" s="309"/>
      <c r="G4533" s="306">
        <f>((G4529-G4530)*G4531)/G4532</f>
        <v>49.810108968805366</v>
      </c>
      <c r="H4533" s="305"/>
      <c r="I4533" s="305" t="s">
        <v>152</v>
      </c>
      <c r="J4533" s="305" t="s">
        <v>134</v>
      </c>
      <c r="K4533" s="305" t="s">
        <v>2379</v>
      </c>
    </row>
    <row r="4534" spans="1:11" x14ac:dyDescent="0.25">
      <c r="A4534" s="302" t="str">
        <f t="shared" si="112"/>
        <v>Water Heater_High/Medium Draw (UEF &gt;0.64 and &gt;0.68)_MF_kWh Saved per Unit</v>
      </c>
      <c r="B4534" s="303" t="s">
        <v>8</v>
      </c>
      <c r="C4534" s="304" t="s">
        <v>1387</v>
      </c>
      <c r="D4534" s="303" t="s">
        <v>553</v>
      </c>
      <c r="E4534" s="314" t="s">
        <v>255</v>
      </c>
      <c r="F4534" s="326"/>
      <c r="G4534" s="315">
        <v>0</v>
      </c>
      <c r="H4534" s="305"/>
      <c r="I4534" s="305" t="s">
        <v>152</v>
      </c>
      <c r="J4534" s="305" t="s">
        <v>134</v>
      </c>
      <c r="K4534" s="305" t="s">
        <v>2379</v>
      </c>
    </row>
    <row r="4535" spans="1:11" x14ac:dyDescent="0.25">
      <c r="A4535" s="302" t="str">
        <f t="shared" si="112"/>
        <v>Water Heater_High/Medium Draw (UEF &gt;0.64 and &gt;0.68)_MF_Coincident Peak kW Saved per Unit</v>
      </c>
      <c r="B4535" s="303" t="s">
        <v>8</v>
      </c>
      <c r="C4535" s="304" t="s">
        <v>1387</v>
      </c>
      <c r="D4535" s="303" t="s">
        <v>553</v>
      </c>
      <c r="E4535" s="314" t="s">
        <v>257</v>
      </c>
      <c r="F4535" s="326"/>
      <c r="G4535" s="315">
        <v>0</v>
      </c>
      <c r="H4535" s="305"/>
      <c r="I4535" s="305" t="s">
        <v>152</v>
      </c>
      <c r="J4535" s="305" t="s">
        <v>134</v>
      </c>
      <c r="K4535" s="305" t="s">
        <v>2379</v>
      </c>
    </row>
    <row r="4536" spans="1:11" x14ac:dyDescent="0.25">
      <c r="A4536" s="302" t="str">
        <f t="shared" si="112"/>
        <v>Water Heater_High/Medium Draw (UEF &gt;0.64 and &gt;0.68)_MF_Therm Saved per Unit</v>
      </c>
      <c r="B4536" s="303" t="s">
        <v>8</v>
      </c>
      <c r="C4536" s="304" t="s">
        <v>1387</v>
      </c>
      <c r="D4536" s="303" t="s">
        <v>553</v>
      </c>
      <c r="E4536" s="314" t="s">
        <v>326</v>
      </c>
      <c r="F4536" s="326"/>
      <c r="G4536" s="315">
        <f>G4524</f>
        <v>48.54634673483784</v>
      </c>
      <c r="H4536" s="311" t="s">
        <v>1392</v>
      </c>
      <c r="I4536" s="305" t="s">
        <v>152</v>
      </c>
      <c r="J4536" s="305" t="s">
        <v>134</v>
      </c>
      <c r="K4536" s="305" t="s">
        <v>2379</v>
      </c>
    </row>
    <row r="4537" spans="1:11" x14ac:dyDescent="0.25">
      <c r="A4537" s="302" t="str">
        <f t="shared" si="112"/>
        <v>Water Heater_High/Medium Draw (UEF &gt;0.64 and &gt;0.68)_MF_Gallons Saved per Unit</v>
      </c>
      <c r="B4537" s="303" t="s">
        <v>8</v>
      </c>
      <c r="C4537" s="304" t="s">
        <v>1387</v>
      </c>
      <c r="D4537" s="303" t="s">
        <v>553</v>
      </c>
      <c r="E4537" s="314" t="s">
        <v>547</v>
      </c>
      <c r="F4537" s="326"/>
      <c r="G4537" s="315">
        <v>0</v>
      </c>
      <c r="H4537" s="305"/>
      <c r="I4537" s="305" t="s">
        <v>152</v>
      </c>
      <c r="J4537" s="305" t="s">
        <v>134</v>
      </c>
      <c r="K4537" s="305" t="s">
        <v>2379</v>
      </c>
    </row>
    <row r="4538" spans="1:11" x14ac:dyDescent="0.25">
      <c r="A4538" s="302" t="str">
        <f t="shared" si="112"/>
        <v>Water Heater_High/Medium Draw (UEF &gt;0.64 and &gt;0.68)_MF_Lifetime (years)</v>
      </c>
      <c r="B4538" s="303" t="s">
        <v>8</v>
      </c>
      <c r="C4538" s="304" t="s">
        <v>1387</v>
      </c>
      <c r="D4538" s="303" t="s">
        <v>553</v>
      </c>
      <c r="E4538" s="314" t="s">
        <v>259</v>
      </c>
      <c r="F4538" s="326"/>
      <c r="G4538" s="315">
        <v>20</v>
      </c>
      <c r="H4538" s="305" t="s">
        <v>390</v>
      </c>
      <c r="I4538" s="305" t="s">
        <v>152</v>
      </c>
      <c r="J4538" s="305" t="s">
        <v>134</v>
      </c>
      <c r="K4538" s="305" t="s">
        <v>2379</v>
      </c>
    </row>
    <row r="4539" spans="1:11" x14ac:dyDescent="0.25">
      <c r="A4539" s="302" t="str">
        <f t="shared" si="112"/>
        <v>Water Heater_High/Medium Draw (UEF &gt;0.64 and &gt;0.68)_MF_Incremental Cost</v>
      </c>
      <c r="B4539" s="303" t="s">
        <v>8</v>
      </c>
      <c r="C4539" s="304" t="s">
        <v>1387</v>
      </c>
      <c r="D4539" s="303" t="s">
        <v>553</v>
      </c>
      <c r="E4539" s="314" t="s">
        <v>260</v>
      </c>
      <c r="F4539" s="326"/>
      <c r="G4539" s="315">
        <v>879</v>
      </c>
      <c r="H4539" s="305"/>
      <c r="I4539" s="305" t="s">
        <v>152</v>
      </c>
      <c r="J4539" s="305" t="s">
        <v>134</v>
      </c>
      <c r="K4539" s="305" t="s">
        <v>2379</v>
      </c>
    </row>
    <row r="4540" spans="1:11" x14ac:dyDescent="0.25">
      <c r="A4540" s="317" t="str">
        <f t="shared" si="112"/>
        <v>Water Heater_High/Medium Draw (UEF &gt;0.64 and &gt;0.68)_MF_</v>
      </c>
      <c r="B4540" s="317" t="str">
        <f>B4539</f>
        <v>Water Heater</v>
      </c>
      <c r="C4540" s="332" t="str">
        <f>C4539</f>
        <v>High/Medium Draw (UEF &gt;0.64 and &gt;0.68)</v>
      </c>
      <c r="D4540" s="317" t="str">
        <f>D4539</f>
        <v>MF</v>
      </c>
      <c r="E4540" s="320"/>
      <c r="F4540" s="320"/>
      <c r="G4540" s="329"/>
      <c r="H4540" s="320"/>
      <c r="I4540" s="320"/>
      <c r="J4540" s="320"/>
      <c r="K4540" s="320"/>
    </row>
    <row r="4541" spans="1:11" x14ac:dyDescent="0.25">
      <c r="A4541" s="302" t="str">
        <f t="shared" si="112"/>
        <v>SMB Kit_Motel Kit_SMB_Therm Saved per Unit</v>
      </c>
      <c r="B4541" s="303" t="s">
        <v>1364</v>
      </c>
      <c r="C4541" s="304" t="s">
        <v>1393</v>
      </c>
      <c r="D4541" s="303" t="s">
        <v>1220</v>
      </c>
      <c r="E4541" s="314" t="s">
        <v>326</v>
      </c>
      <c r="F4541" s="326"/>
      <c r="G4541" s="315">
        <f>'[13]Motel Kit'!$H$20</f>
        <v>134.51339999999999</v>
      </c>
      <c r="H4541" s="305"/>
      <c r="I4541" s="305" t="s">
        <v>1999</v>
      </c>
      <c r="J4541" s="305" t="s">
        <v>1469</v>
      </c>
      <c r="K4541" s="305" t="s">
        <v>1469</v>
      </c>
    </row>
    <row r="4542" spans="1:11" x14ac:dyDescent="0.25">
      <c r="A4542" s="302" t="str">
        <f t="shared" si="112"/>
        <v>SMB Kit_Motel Kit_SMB_Gallons Saved per Unit</v>
      </c>
      <c r="B4542" s="303" t="s">
        <v>1364</v>
      </c>
      <c r="C4542" s="304" t="s">
        <v>1393</v>
      </c>
      <c r="D4542" s="303" t="s">
        <v>1220</v>
      </c>
      <c r="E4542" s="314" t="s">
        <v>547</v>
      </c>
      <c r="F4542" s="326"/>
      <c r="G4542" s="315">
        <v>0</v>
      </c>
      <c r="H4542" s="305"/>
      <c r="I4542" s="305" t="s">
        <v>1999</v>
      </c>
      <c r="J4542" s="305" t="s">
        <v>1469</v>
      </c>
      <c r="K4542" s="305" t="s">
        <v>1469</v>
      </c>
    </row>
    <row r="4543" spans="1:11" x14ac:dyDescent="0.25">
      <c r="A4543" s="302" t="str">
        <f t="shared" si="112"/>
        <v>SMB Kit_Motel Kit_SMB_Lifetime (years)</v>
      </c>
      <c r="B4543" s="303" t="s">
        <v>1364</v>
      </c>
      <c r="C4543" s="304" t="s">
        <v>1393</v>
      </c>
      <c r="D4543" s="303" t="s">
        <v>1220</v>
      </c>
      <c r="E4543" s="314" t="s">
        <v>259</v>
      </c>
      <c r="F4543" s="326"/>
      <c r="G4543" s="315">
        <v>10</v>
      </c>
      <c r="H4543" s="305"/>
      <c r="I4543" s="305" t="s">
        <v>1999</v>
      </c>
      <c r="J4543" s="305" t="s">
        <v>1469</v>
      </c>
      <c r="K4543" s="305" t="s">
        <v>1469</v>
      </c>
    </row>
    <row r="4544" spans="1:11" x14ac:dyDescent="0.25">
      <c r="A4544" s="302" t="str">
        <f t="shared" si="112"/>
        <v>SMB Kit_Motel Kit_SMB_Incremental Cost</v>
      </c>
      <c r="B4544" s="303" t="s">
        <v>1364</v>
      </c>
      <c r="C4544" s="304" t="s">
        <v>1393</v>
      </c>
      <c r="D4544" s="303" t="s">
        <v>1220</v>
      </c>
      <c r="E4544" s="314" t="s">
        <v>260</v>
      </c>
      <c r="F4544" s="326"/>
      <c r="G4544" s="315">
        <v>0</v>
      </c>
      <c r="H4544" s="305"/>
      <c r="I4544" s="305" t="s">
        <v>1999</v>
      </c>
      <c r="J4544" s="305" t="s">
        <v>1469</v>
      </c>
      <c r="K4544" s="305" t="s">
        <v>1469</v>
      </c>
    </row>
    <row r="4545" spans="1:11" x14ac:dyDescent="0.25">
      <c r="A4545" s="317" t="str">
        <f t="shared" si="112"/>
        <v>SMB Kit_Motel Kit_SMB_</v>
      </c>
      <c r="B4545" s="317" t="str">
        <f>B4544</f>
        <v>SMB Kit</v>
      </c>
      <c r="C4545" s="332" t="str">
        <f>C4544</f>
        <v>Motel Kit</v>
      </c>
      <c r="D4545" s="317" t="str">
        <f>D4544</f>
        <v>SMB</v>
      </c>
      <c r="E4545" s="320"/>
      <c r="F4545" s="320"/>
      <c r="G4545" s="329"/>
      <c r="H4545" s="320"/>
      <c r="I4545" s="320"/>
      <c r="J4545" s="320"/>
      <c r="K4545" s="320"/>
    </row>
    <row r="4546" spans="1:11" x14ac:dyDescent="0.25">
      <c r="A4546" s="302" t="str">
        <f t="shared" si="112"/>
        <v>SMB Kit_School - Grocery_SMB_Therm Saved per Unit</v>
      </c>
      <c r="B4546" s="303" t="s">
        <v>1364</v>
      </c>
      <c r="C4546" s="304" t="s">
        <v>1395</v>
      </c>
      <c r="D4546" s="303" t="s">
        <v>1220</v>
      </c>
      <c r="E4546" s="314" t="s">
        <v>326</v>
      </c>
      <c r="F4546" s="326"/>
      <c r="G4546" s="315">
        <f>'[13]School-Grocery Kit'!$H$19</f>
        <v>108.2208</v>
      </c>
      <c r="H4546" s="305"/>
      <c r="I4546" s="305" t="s">
        <v>1999</v>
      </c>
      <c r="J4546" s="305" t="s">
        <v>1469</v>
      </c>
      <c r="K4546" s="305" t="s">
        <v>1469</v>
      </c>
    </row>
    <row r="4547" spans="1:11" x14ac:dyDescent="0.25">
      <c r="A4547" s="302" t="str">
        <f t="shared" si="112"/>
        <v>SMB Kit_School - Grocery_SMB_Gallons Saved per Unit</v>
      </c>
      <c r="B4547" s="303" t="s">
        <v>1364</v>
      </c>
      <c r="C4547" s="304" t="s">
        <v>1395</v>
      </c>
      <c r="D4547" s="303" t="s">
        <v>1220</v>
      </c>
      <c r="E4547" s="314" t="s">
        <v>547</v>
      </c>
      <c r="F4547" s="326"/>
      <c r="G4547" s="315">
        <v>0</v>
      </c>
      <c r="H4547" s="305"/>
      <c r="I4547" s="305" t="s">
        <v>1999</v>
      </c>
      <c r="J4547" s="305" t="s">
        <v>1469</v>
      </c>
      <c r="K4547" s="305" t="s">
        <v>1469</v>
      </c>
    </row>
    <row r="4548" spans="1:11" x14ac:dyDescent="0.25">
      <c r="A4548" s="302" t="str">
        <f t="shared" si="112"/>
        <v>SMB Kit_School - Grocery_SMB_Lifetime (years)</v>
      </c>
      <c r="B4548" s="303" t="s">
        <v>1364</v>
      </c>
      <c r="C4548" s="304" t="s">
        <v>1395</v>
      </c>
      <c r="D4548" s="303" t="s">
        <v>1220</v>
      </c>
      <c r="E4548" s="314" t="s">
        <v>259</v>
      </c>
      <c r="F4548" s="326"/>
      <c r="G4548" s="315">
        <v>10</v>
      </c>
      <c r="H4548" s="305"/>
      <c r="I4548" s="305" t="s">
        <v>1999</v>
      </c>
      <c r="J4548" s="305" t="s">
        <v>1469</v>
      </c>
      <c r="K4548" s="305" t="s">
        <v>1469</v>
      </c>
    </row>
    <row r="4549" spans="1:11" x14ac:dyDescent="0.25">
      <c r="A4549" s="302" t="str">
        <f t="shared" si="112"/>
        <v>SMB Kit_School - Grocery_SMB_Incremental Cost</v>
      </c>
      <c r="B4549" s="303" t="s">
        <v>1364</v>
      </c>
      <c r="C4549" s="304" t="s">
        <v>1395</v>
      </c>
      <c r="D4549" s="303" t="s">
        <v>1220</v>
      </c>
      <c r="E4549" s="314" t="s">
        <v>260</v>
      </c>
      <c r="F4549" s="326"/>
      <c r="G4549" s="315">
        <v>0</v>
      </c>
      <c r="H4549" s="305"/>
      <c r="I4549" s="305" t="s">
        <v>1999</v>
      </c>
      <c r="J4549" s="305" t="s">
        <v>1469</v>
      </c>
      <c r="K4549" s="305" t="s">
        <v>1469</v>
      </c>
    </row>
    <row r="4550" spans="1:11" x14ac:dyDescent="0.25">
      <c r="A4550" s="317" t="str">
        <f t="shared" si="112"/>
        <v>SMB Kit_School - Grocery_SMB_</v>
      </c>
      <c r="B4550" s="317" t="str">
        <f>B4549</f>
        <v>SMB Kit</v>
      </c>
      <c r="C4550" s="332" t="str">
        <f>C4549</f>
        <v>School - Grocery</v>
      </c>
      <c r="D4550" s="317" t="str">
        <f>D4549</f>
        <v>SMB</v>
      </c>
      <c r="E4550" s="320"/>
      <c r="F4550" s="320"/>
      <c r="G4550" s="329"/>
      <c r="H4550" s="320"/>
      <c r="I4550" s="320"/>
      <c r="J4550" s="320"/>
      <c r="K4550" s="320"/>
    </row>
    <row r="4551" spans="1:11" x14ac:dyDescent="0.25">
      <c r="A4551" s="302" t="str">
        <f t="shared" si="112"/>
        <v>SMB Kit_General - Worship_SMB_Therm Saved per Unit</v>
      </c>
      <c r="B4551" s="303" t="s">
        <v>1364</v>
      </c>
      <c r="C4551" s="304" t="s">
        <v>1396</v>
      </c>
      <c r="D4551" s="303" t="s">
        <v>1220</v>
      </c>
      <c r="E4551" s="314" t="s">
        <v>326</v>
      </c>
      <c r="F4551" s="326"/>
      <c r="G4551" s="315">
        <f>'[13]General-Worship'!$H$19</f>
        <v>45.185399999999994</v>
      </c>
      <c r="H4551" s="305"/>
      <c r="I4551" s="305" t="s">
        <v>1999</v>
      </c>
      <c r="J4551" s="305" t="s">
        <v>1469</v>
      </c>
      <c r="K4551" s="305" t="s">
        <v>1469</v>
      </c>
    </row>
    <row r="4552" spans="1:11" x14ac:dyDescent="0.25">
      <c r="A4552" s="302" t="str">
        <f t="shared" si="112"/>
        <v>SMB Kit_General - Worship_SMB_Gallons Saved per Unit</v>
      </c>
      <c r="B4552" s="303" t="s">
        <v>1364</v>
      </c>
      <c r="C4552" s="304" t="s">
        <v>1396</v>
      </c>
      <c r="D4552" s="303" t="s">
        <v>1220</v>
      </c>
      <c r="E4552" s="314" t="s">
        <v>547</v>
      </c>
      <c r="F4552" s="326"/>
      <c r="G4552" s="315">
        <v>0</v>
      </c>
      <c r="H4552" s="305"/>
      <c r="I4552" s="305" t="s">
        <v>1999</v>
      </c>
      <c r="J4552" s="305" t="s">
        <v>1469</v>
      </c>
      <c r="K4552" s="305" t="s">
        <v>1469</v>
      </c>
    </row>
    <row r="4553" spans="1:11" x14ac:dyDescent="0.25">
      <c r="A4553" s="302" t="str">
        <f t="shared" si="112"/>
        <v>SMB Kit_General - Worship_SMB_Lifetime (years)</v>
      </c>
      <c r="B4553" s="303" t="s">
        <v>1364</v>
      </c>
      <c r="C4553" s="304" t="s">
        <v>1396</v>
      </c>
      <c r="D4553" s="303" t="s">
        <v>1220</v>
      </c>
      <c r="E4553" s="314" t="s">
        <v>259</v>
      </c>
      <c r="F4553" s="326"/>
      <c r="G4553" s="315">
        <v>10</v>
      </c>
      <c r="H4553" s="305"/>
      <c r="I4553" s="305" t="s">
        <v>1999</v>
      </c>
      <c r="J4553" s="305" t="s">
        <v>1469</v>
      </c>
      <c r="K4553" s="305" t="s">
        <v>1469</v>
      </c>
    </row>
    <row r="4554" spans="1:11" x14ac:dyDescent="0.25">
      <c r="A4554" s="302" t="str">
        <f t="shared" si="112"/>
        <v>SMB Kit_General - Worship_SMB_Incremental Cost</v>
      </c>
      <c r="B4554" s="303" t="s">
        <v>1364</v>
      </c>
      <c r="C4554" s="304" t="s">
        <v>1396</v>
      </c>
      <c r="D4554" s="303" t="s">
        <v>1220</v>
      </c>
      <c r="E4554" s="314" t="s">
        <v>260</v>
      </c>
      <c r="F4554" s="326"/>
      <c r="G4554" s="315">
        <v>0</v>
      </c>
      <c r="H4554" s="305"/>
      <c r="I4554" s="305" t="s">
        <v>1999</v>
      </c>
      <c r="J4554" s="305" t="s">
        <v>1469</v>
      </c>
      <c r="K4554" s="305" t="s">
        <v>1469</v>
      </c>
    </row>
    <row r="4555" spans="1:11" x14ac:dyDescent="0.25">
      <c r="A4555" s="317" t="str">
        <f t="shared" si="112"/>
        <v>SMB Kit_General - Worship_SMB_</v>
      </c>
      <c r="B4555" s="317" t="str">
        <f>B4554</f>
        <v>SMB Kit</v>
      </c>
      <c r="C4555" s="332" t="str">
        <f>C4554</f>
        <v>General - Worship</v>
      </c>
      <c r="D4555" s="317" t="str">
        <f>D4554</f>
        <v>SMB</v>
      </c>
      <c r="E4555" s="320"/>
      <c r="F4555" s="320"/>
      <c r="G4555" s="329"/>
      <c r="H4555" s="320"/>
      <c r="I4555" s="320"/>
      <c r="J4555" s="320"/>
      <c r="K4555" s="320"/>
    </row>
    <row r="4556" spans="1:11" x14ac:dyDescent="0.25">
      <c r="A4556" s="302" t="str">
        <f t="shared" si="112"/>
        <v>Strategic Energy Management_0_CI_Therm Saved per Unit</v>
      </c>
      <c r="B4556" s="303" t="s">
        <v>1397</v>
      </c>
      <c r="C4556" s="303">
        <v>0</v>
      </c>
      <c r="D4556" s="303" t="s">
        <v>1159</v>
      </c>
      <c r="E4556" s="314" t="s">
        <v>326</v>
      </c>
      <c r="F4556" s="326"/>
      <c r="G4556" s="315">
        <v>1</v>
      </c>
      <c r="H4556" s="305"/>
      <c r="I4556" s="305" t="s">
        <v>152</v>
      </c>
      <c r="J4556" s="305"/>
      <c r="K4556" s="305"/>
    </row>
    <row r="4557" spans="1:11" x14ac:dyDescent="0.25">
      <c r="A4557" s="302" t="str">
        <f t="shared" si="112"/>
        <v>Strategic Energy Management_0_CI_Gallons Saved per Unit</v>
      </c>
      <c r="B4557" s="303" t="s">
        <v>1397</v>
      </c>
      <c r="C4557" s="303">
        <v>0</v>
      </c>
      <c r="D4557" s="303" t="s">
        <v>1159</v>
      </c>
      <c r="E4557" s="314" t="s">
        <v>547</v>
      </c>
      <c r="F4557" s="326"/>
      <c r="G4557" s="315">
        <v>0</v>
      </c>
      <c r="H4557" s="305"/>
      <c r="I4557" s="305" t="s">
        <v>152</v>
      </c>
      <c r="J4557" s="305"/>
      <c r="K4557" s="305"/>
    </row>
    <row r="4558" spans="1:11" x14ac:dyDescent="0.25">
      <c r="A4558" s="302" t="str">
        <f t="shared" si="112"/>
        <v>Strategic Energy Management_0_CI_Lifetime (years)</v>
      </c>
      <c r="B4558" s="303" t="s">
        <v>1397</v>
      </c>
      <c r="C4558" s="303">
        <v>0</v>
      </c>
      <c r="D4558" s="303" t="s">
        <v>1159</v>
      </c>
      <c r="E4558" s="314" t="s">
        <v>259</v>
      </c>
      <c r="F4558" s="326"/>
      <c r="G4558" s="315">
        <v>5</v>
      </c>
      <c r="H4558" s="305"/>
      <c r="I4558" s="305" t="s">
        <v>152</v>
      </c>
      <c r="J4558" s="305"/>
      <c r="K4558" s="305"/>
    </row>
    <row r="4559" spans="1:11" x14ac:dyDescent="0.25">
      <c r="A4559" s="302" t="str">
        <f t="shared" si="112"/>
        <v>Strategic Energy Management_0_CI_Incremental Cost</v>
      </c>
      <c r="B4559" s="303" t="s">
        <v>1397</v>
      </c>
      <c r="C4559" s="303">
        <v>0</v>
      </c>
      <c r="D4559" s="303" t="s">
        <v>1159</v>
      </c>
      <c r="E4559" s="314" t="s">
        <v>260</v>
      </c>
      <c r="F4559" s="326"/>
      <c r="G4559" s="315">
        <v>0</v>
      </c>
      <c r="H4559" s="305"/>
      <c r="I4559" s="305" t="s">
        <v>152</v>
      </c>
      <c r="J4559" s="305"/>
      <c r="K4559" s="305"/>
    </row>
    <row r="4560" spans="1:11" x14ac:dyDescent="0.25">
      <c r="A4560" s="317" t="str">
        <f t="shared" ref="A4560:A4625" si="113">B4560&amp;"_"&amp;C4560&amp;"_"&amp;D4560&amp;"_"&amp;E4560</f>
        <v>Strategic Energy Management_0_CI_</v>
      </c>
      <c r="B4560" s="317" t="str">
        <f>B4559</f>
        <v>Strategic Energy Management</v>
      </c>
      <c r="C4560" s="332">
        <f>C4559</f>
        <v>0</v>
      </c>
      <c r="D4560" s="317" t="str">
        <f>D4559</f>
        <v>CI</v>
      </c>
      <c r="E4560" s="320"/>
      <c r="F4560" s="320"/>
      <c r="G4560" s="329"/>
      <c r="H4560" s="320"/>
      <c r="I4560" s="320"/>
      <c r="J4560" s="320"/>
      <c r="K4560" s="320"/>
    </row>
    <row r="4561" spans="1:11" x14ac:dyDescent="0.25">
      <c r="A4561" s="302" t="str">
        <f t="shared" si="113"/>
        <v>Weatherstripping_0_IE MF_Delta_therms</v>
      </c>
      <c r="B4561" s="303" t="s">
        <v>576</v>
      </c>
      <c r="C4561" s="304">
        <v>0</v>
      </c>
      <c r="D4561" s="303" t="s">
        <v>1398</v>
      </c>
      <c r="E4561" s="305" t="s">
        <v>491</v>
      </c>
      <c r="F4561" s="305" t="s">
        <v>575</v>
      </c>
      <c r="G4561" s="306">
        <v>0.61</v>
      </c>
      <c r="H4561" s="305"/>
      <c r="I4561" s="305" t="s">
        <v>152</v>
      </c>
      <c r="J4561" s="305" t="s">
        <v>106</v>
      </c>
      <c r="K4561" s="305" t="s">
        <v>2058</v>
      </c>
    </row>
    <row r="4562" spans="1:11" x14ac:dyDescent="0.25">
      <c r="A4562" s="302" t="str">
        <f t="shared" si="113"/>
        <v>Weatherstripping_0_IE MF_Delta_kWh</v>
      </c>
      <c r="B4562" s="303" t="s">
        <v>576</v>
      </c>
      <c r="C4562" s="304">
        <v>0</v>
      </c>
      <c r="D4562" s="303" t="s">
        <v>1398</v>
      </c>
      <c r="E4562" s="305" t="s">
        <v>359</v>
      </c>
      <c r="F4562" s="305" t="s">
        <v>438</v>
      </c>
      <c r="G4562" s="306">
        <f>AVERAGE(3.9,2)</f>
        <v>2.95</v>
      </c>
      <c r="H4562" s="305" t="s">
        <v>566</v>
      </c>
      <c r="I4562" s="305" t="s">
        <v>152</v>
      </c>
      <c r="J4562" s="305" t="s">
        <v>106</v>
      </c>
      <c r="K4562" s="305" t="s">
        <v>2058</v>
      </c>
    </row>
    <row r="4563" spans="1:11" x14ac:dyDescent="0.25">
      <c r="A4563" s="302" t="str">
        <f t="shared" si="113"/>
        <v>Weatherstripping_0_IE MF_FLH Cooling</v>
      </c>
      <c r="B4563" s="303" t="s">
        <v>576</v>
      </c>
      <c r="C4563" s="304">
        <v>0</v>
      </c>
      <c r="D4563" s="303" t="s">
        <v>1398</v>
      </c>
      <c r="E4563" s="305" t="s">
        <v>249</v>
      </c>
      <c r="F4563" s="305" t="s">
        <v>283</v>
      </c>
      <c r="G4563" s="325">
        <v>570</v>
      </c>
      <c r="H4563" s="305" t="s">
        <v>794</v>
      </c>
      <c r="I4563" s="305" t="s">
        <v>152</v>
      </c>
      <c r="J4563" s="305" t="s">
        <v>106</v>
      </c>
      <c r="K4563" s="305" t="s">
        <v>2058</v>
      </c>
    </row>
    <row r="4564" spans="1:11" x14ac:dyDescent="0.25">
      <c r="A4564" s="302" t="str">
        <f t="shared" si="113"/>
        <v>Weatherstripping_0_IE MF_CF</v>
      </c>
      <c r="B4564" s="303" t="s">
        <v>576</v>
      </c>
      <c r="C4564" s="304">
        <v>0</v>
      </c>
      <c r="D4564" s="303" t="s">
        <v>1398</v>
      </c>
      <c r="E4564" s="305" t="s">
        <v>253</v>
      </c>
      <c r="F4564" s="305" t="s">
        <v>539</v>
      </c>
      <c r="G4564" s="306">
        <f>AVERAGE(68%,72%)</f>
        <v>0.7</v>
      </c>
      <c r="H4564" s="305" t="s">
        <v>568</v>
      </c>
      <c r="I4564" s="305" t="s">
        <v>152</v>
      </c>
      <c r="J4564" s="305" t="s">
        <v>106</v>
      </c>
      <c r="K4564" s="305" t="s">
        <v>2058</v>
      </c>
    </row>
    <row r="4565" spans="1:11" x14ac:dyDescent="0.25">
      <c r="A4565" s="302" t="str">
        <f t="shared" si="113"/>
        <v>Weatherstripping_0_IE MF_ADJRxAirsealing</v>
      </c>
      <c r="B4565" s="303" t="s">
        <v>576</v>
      </c>
      <c r="C4565" s="304">
        <v>0</v>
      </c>
      <c r="D4565" s="303" t="s">
        <v>1398</v>
      </c>
      <c r="E4565" s="305" t="s">
        <v>518</v>
      </c>
      <c r="F4565" s="305" t="s">
        <v>539</v>
      </c>
      <c r="G4565" s="306">
        <v>0.8</v>
      </c>
      <c r="H4565" s="305"/>
      <c r="I4565" s="305" t="s">
        <v>152</v>
      </c>
      <c r="J4565" s="305" t="s">
        <v>106</v>
      </c>
      <c r="K4565" s="305" t="s">
        <v>2058</v>
      </c>
    </row>
    <row r="4566" spans="1:11" x14ac:dyDescent="0.25">
      <c r="A4566" s="302" t="str">
        <f t="shared" si="113"/>
        <v>Weatherstripping_0_IE MF_ISR</v>
      </c>
      <c r="B4566" s="303" t="s">
        <v>576</v>
      </c>
      <c r="C4566" s="304">
        <v>0</v>
      </c>
      <c r="D4566" s="303" t="s">
        <v>1398</v>
      </c>
      <c r="E4566" s="305" t="s">
        <v>267</v>
      </c>
      <c r="F4566" s="305" t="s">
        <v>539</v>
      </c>
      <c r="G4566" s="308">
        <v>1</v>
      </c>
      <c r="H4566" s="305" t="s">
        <v>582</v>
      </c>
      <c r="I4566" s="305"/>
      <c r="J4566" s="305"/>
      <c r="K4566" s="305"/>
    </row>
    <row r="4567" spans="1:11" x14ac:dyDescent="0.25">
      <c r="A4567" s="302" t="str">
        <f t="shared" si="113"/>
        <v>Weatherstripping_0_IE MF_Linear feet</v>
      </c>
      <c r="B4567" s="303" t="s">
        <v>576</v>
      </c>
      <c r="C4567" s="304">
        <v>0</v>
      </c>
      <c r="D4567" s="303" t="s">
        <v>1398</v>
      </c>
      <c r="E4567" s="305" t="s">
        <v>577</v>
      </c>
      <c r="F4567" s="305" t="s">
        <v>578</v>
      </c>
      <c r="G4567" s="306"/>
      <c r="H4567" s="305"/>
      <c r="I4567" s="305"/>
      <c r="J4567" s="305"/>
      <c r="K4567" s="305"/>
    </row>
    <row r="4568" spans="1:11" x14ac:dyDescent="0.25">
      <c r="A4568" s="302" t="str">
        <f t="shared" si="113"/>
        <v>Weatherstripping_0_IE MF_kWh Saved per Unit</v>
      </c>
      <c r="B4568" s="303" t="s">
        <v>576</v>
      </c>
      <c r="C4568" s="304">
        <v>0</v>
      </c>
      <c r="D4568" s="303" t="s">
        <v>1398</v>
      </c>
      <c r="E4568" s="314" t="s">
        <v>255</v>
      </c>
      <c r="F4568" s="326" t="s">
        <v>569</v>
      </c>
      <c r="G4568" s="315">
        <f>G4562*G4565*G4566</f>
        <v>2.3600000000000003</v>
      </c>
      <c r="H4568" s="305" t="s">
        <v>579</v>
      </c>
      <c r="I4568" s="305" t="s">
        <v>152</v>
      </c>
      <c r="J4568" s="305" t="s">
        <v>106</v>
      </c>
      <c r="K4568" s="305" t="s">
        <v>2058</v>
      </c>
    </row>
    <row r="4569" spans="1:11" x14ac:dyDescent="0.25">
      <c r="A4569" s="302" t="str">
        <f t="shared" si="113"/>
        <v>Weatherstripping_0_IE MF_Coincident Peak kW Saved per Unit</v>
      </c>
      <c r="B4569" s="303" t="s">
        <v>576</v>
      </c>
      <c r="C4569" s="304">
        <v>0</v>
      </c>
      <c r="D4569" s="303" t="s">
        <v>1398</v>
      </c>
      <c r="E4569" s="314" t="s">
        <v>257</v>
      </c>
      <c r="F4569" s="326" t="s">
        <v>1399</v>
      </c>
      <c r="G4569" s="315">
        <f>G4562/G4563*G4564</f>
        <v>3.6228070175438592E-3</v>
      </c>
      <c r="H4569" s="305" t="s">
        <v>579</v>
      </c>
      <c r="I4569" s="305" t="s">
        <v>152</v>
      </c>
      <c r="J4569" s="305" t="s">
        <v>106</v>
      </c>
      <c r="K4569" s="305" t="s">
        <v>2058</v>
      </c>
    </row>
    <row r="4570" spans="1:11" x14ac:dyDescent="0.25">
      <c r="A4570" s="302" t="str">
        <f t="shared" si="113"/>
        <v>Weatherstripping_0_IE MF_Therm Saved per Unit</v>
      </c>
      <c r="B4570" s="303" t="s">
        <v>576</v>
      </c>
      <c r="C4570" s="304">
        <v>0</v>
      </c>
      <c r="D4570" s="303" t="s">
        <v>1398</v>
      </c>
      <c r="E4570" s="314" t="s">
        <v>326</v>
      </c>
      <c r="F4570" s="326" t="s">
        <v>572</v>
      </c>
      <c r="G4570" s="315">
        <f>G4561*G4566*G4565</f>
        <v>0.48799999999999999</v>
      </c>
      <c r="H4570" s="305" t="s">
        <v>579</v>
      </c>
      <c r="I4570" s="305" t="s">
        <v>152</v>
      </c>
      <c r="J4570" s="305" t="s">
        <v>106</v>
      </c>
      <c r="K4570" s="305" t="s">
        <v>2058</v>
      </c>
    </row>
    <row r="4571" spans="1:11" x14ac:dyDescent="0.25">
      <c r="A4571" s="302" t="str">
        <f t="shared" si="113"/>
        <v>Weatherstripping_0_IE MF_Lifetime (years)</v>
      </c>
      <c r="B4571" s="303" t="s">
        <v>576</v>
      </c>
      <c r="C4571" s="304">
        <v>0</v>
      </c>
      <c r="D4571" s="303" t="s">
        <v>1398</v>
      </c>
      <c r="E4571" s="314" t="s">
        <v>259</v>
      </c>
      <c r="F4571" s="326" t="s">
        <v>548</v>
      </c>
      <c r="G4571" s="315">
        <v>10</v>
      </c>
      <c r="H4571" s="305"/>
      <c r="I4571" s="305" t="s">
        <v>152</v>
      </c>
      <c r="J4571" s="305" t="s">
        <v>106</v>
      </c>
      <c r="K4571" s="305" t="s">
        <v>2058</v>
      </c>
    </row>
    <row r="4572" spans="1:11" x14ac:dyDescent="0.25">
      <c r="A4572" s="302" t="str">
        <f t="shared" si="113"/>
        <v>Weatherstripping_0_IE MF_Incremental Cost</v>
      </c>
      <c r="B4572" s="303" t="s">
        <v>576</v>
      </c>
      <c r="C4572" s="304">
        <v>0</v>
      </c>
      <c r="D4572" s="303" t="s">
        <v>1398</v>
      </c>
      <c r="E4572" s="314" t="s">
        <v>260</v>
      </c>
      <c r="F4572" s="327" t="s">
        <v>549</v>
      </c>
      <c r="G4572" s="328">
        <v>0</v>
      </c>
      <c r="H4572" s="305" t="s">
        <v>552</v>
      </c>
      <c r="I4572" s="305"/>
      <c r="J4572" s="305" t="s">
        <v>106</v>
      </c>
      <c r="K4572" s="305"/>
    </row>
    <row r="4573" spans="1:11" x14ac:dyDescent="0.25">
      <c r="A4573" s="317" t="str">
        <f t="shared" si="113"/>
        <v>Weatherstripping_0_IE MF_</v>
      </c>
      <c r="B4573" s="317" t="str">
        <f>B4572</f>
        <v>Weatherstripping</v>
      </c>
      <c r="C4573" s="317">
        <f>C4572</f>
        <v>0</v>
      </c>
      <c r="D4573" s="317" t="str">
        <f>D4572</f>
        <v>IE MF</v>
      </c>
      <c r="E4573" s="320"/>
      <c r="F4573" s="320"/>
      <c r="G4573" s="329"/>
      <c r="H4573" s="320"/>
      <c r="I4573" s="320"/>
      <c r="J4573" s="320"/>
      <c r="K4573" s="320"/>
    </row>
    <row r="4574" spans="1:11" x14ac:dyDescent="0.25">
      <c r="A4574" s="302" t="str">
        <f t="shared" si="113"/>
        <v>Air Sealing w/ Attic Insulation_0_IE MF_CFM50_existing</v>
      </c>
      <c r="B4574" s="303" t="s">
        <v>890</v>
      </c>
      <c r="C4574" s="304">
        <v>0</v>
      </c>
      <c r="D4574" s="303" t="s">
        <v>1398</v>
      </c>
      <c r="E4574" s="305" t="s">
        <v>481</v>
      </c>
      <c r="F4574" s="309"/>
      <c r="G4574" s="307">
        <v>1</v>
      </c>
      <c r="H4574" s="305" t="s">
        <v>880</v>
      </c>
      <c r="I4574" s="305" t="s">
        <v>152</v>
      </c>
      <c r="J4574" s="305" t="s">
        <v>106</v>
      </c>
      <c r="K4574" s="305" t="s">
        <v>2058</v>
      </c>
    </row>
    <row r="4575" spans="1:11" x14ac:dyDescent="0.25">
      <c r="A4575" s="302" t="str">
        <f t="shared" si="113"/>
        <v>Air Sealing w/ Attic Insulation_0_IE MF_CFM50_new</v>
      </c>
      <c r="B4575" s="303" t="s">
        <v>890</v>
      </c>
      <c r="C4575" s="304">
        <v>0</v>
      </c>
      <c r="D4575" s="303" t="s">
        <v>1398</v>
      </c>
      <c r="E4575" s="305" t="s">
        <v>482</v>
      </c>
      <c r="F4575" s="309"/>
      <c r="G4575" s="307">
        <v>0</v>
      </c>
      <c r="H4575" s="305" t="s">
        <v>880</v>
      </c>
      <c r="I4575" s="305" t="s">
        <v>152</v>
      </c>
      <c r="J4575" s="305" t="s">
        <v>106</v>
      </c>
      <c r="K4575" s="305" t="s">
        <v>2058</v>
      </c>
    </row>
    <row r="4576" spans="1:11" x14ac:dyDescent="0.25">
      <c r="A4576" s="302" t="str">
        <f t="shared" si="113"/>
        <v>Air Sealing w/ Attic Insulation_0_IE MF_Conversion</v>
      </c>
      <c r="B4576" s="303" t="s">
        <v>890</v>
      </c>
      <c r="C4576" s="304">
        <v>0</v>
      </c>
      <c r="D4576" s="303" t="s">
        <v>1398</v>
      </c>
      <c r="E4576" s="305" t="s">
        <v>284</v>
      </c>
      <c r="F4576" s="309" t="s">
        <v>882</v>
      </c>
      <c r="G4576" s="354">
        <v>60</v>
      </c>
      <c r="H4576" s="305"/>
      <c r="I4576" s="305" t="s">
        <v>152</v>
      </c>
      <c r="J4576" s="305" t="s">
        <v>106</v>
      </c>
      <c r="K4576" s="305" t="s">
        <v>2058</v>
      </c>
    </row>
    <row r="4577" spans="1:11" x14ac:dyDescent="0.25">
      <c r="A4577" s="302" t="str">
        <f t="shared" si="113"/>
        <v>Air Sealing w/ Attic Insulation_0_IE MF_Conversion</v>
      </c>
      <c r="B4577" s="303" t="s">
        <v>890</v>
      </c>
      <c r="C4577" s="304">
        <v>0</v>
      </c>
      <c r="D4577" s="303" t="s">
        <v>1398</v>
      </c>
      <c r="E4577" s="305" t="s">
        <v>284</v>
      </c>
      <c r="F4577" s="309" t="s">
        <v>618</v>
      </c>
      <c r="G4577" s="325">
        <v>24</v>
      </c>
      <c r="H4577" s="305"/>
      <c r="I4577" s="305" t="s">
        <v>152</v>
      </c>
      <c r="J4577" s="305" t="s">
        <v>106</v>
      </c>
      <c r="K4577" s="305" t="s">
        <v>2058</v>
      </c>
    </row>
    <row r="4578" spans="1:11" x14ac:dyDescent="0.25">
      <c r="A4578" s="302" t="str">
        <f t="shared" si="113"/>
        <v>Air Sealing w/ Attic Insulation_0_IE MF_Specific Heat Capacity of Air</v>
      </c>
      <c r="B4578" s="303" t="s">
        <v>890</v>
      </c>
      <c r="C4578" s="304">
        <v>0</v>
      </c>
      <c r="D4578" s="303" t="s">
        <v>1398</v>
      </c>
      <c r="E4578" s="305" t="s">
        <v>883</v>
      </c>
      <c r="F4578" s="309" t="s">
        <v>884</v>
      </c>
      <c r="G4578" s="307">
        <v>1.7999999999999999E-2</v>
      </c>
      <c r="H4578" s="305"/>
      <c r="I4578" s="305" t="s">
        <v>152</v>
      </c>
      <c r="J4578" s="305" t="s">
        <v>106</v>
      </c>
      <c r="K4578" s="305" t="s">
        <v>2058</v>
      </c>
    </row>
    <row r="4579" spans="1:11" x14ac:dyDescent="0.25">
      <c r="A4579" s="302" t="str">
        <f t="shared" si="113"/>
        <v>Air Sealing w/ Attic Insulation_0_IE MF_ADJ</v>
      </c>
      <c r="B4579" s="303" t="s">
        <v>890</v>
      </c>
      <c r="C4579" s="304">
        <v>0</v>
      </c>
      <c r="D4579" s="303" t="s">
        <v>1398</v>
      </c>
      <c r="E4579" s="311" t="s">
        <v>885</v>
      </c>
      <c r="F4579" s="334" t="s">
        <v>891</v>
      </c>
      <c r="G4579" s="334">
        <v>0.76</v>
      </c>
      <c r="H4579" s="311" t="s">
        <v>892</v>
      </c>
      <c r="I4579" s="305" t="s">
        <v>152</v>
      </c>
      <c r="J4579" s="305" t="s">
        <v>106</v>
      </c>
      <c r="K4579" s="305" t="s">
        <v>2058</v>
      </c>
    </row>
    <row r="4580" spans="1:11" x14ac:dyDescent="0.25">
      <c r="A4580" s="302" t="str">
        <f t="shared" si="113"/>
        <v>Air Sealing w/ Attic Insulation_0_IE MF_Nheat</v>
      </c>
      <c r="B4580" s="303" t="s">
        <v>890</v>
      </c>
      <c r="C4580" s="304">
        <v>0</v>
      </c>
      <c r="D4580" s="303" t="s">
        <v>1398</v>
      </c>
      <c r="E4580" s="305" t="s">
        <v>887</v>
      </c>
      <c r="F4580" s="309"/>
      <c r="G4580" s="307">
        <v>21.1</v>
      </c>
      <c r="H4580" s="305" t="s">
        <v>888</v>
      </c>
      <c r="I4580" s="305" t="s">
        <v>152</v>
      </c>
      <c r="J4580" s="305" t="s">
        <v>106</v>
      </c>
      <c r="K4580" s="305" t="s">
        <v>2058</v>
      </c>
    </row>
    <row r="4581" spans="1:11" x14ac:dyDescent="0.25">
      <c r="A4581" s="302" t="str">
        <f t="shared" si="113"/>
        <v>Air Sealing w/ Attic Insulation_0_IE MF_HDD</v>
      </c>
      <c r="B4581" s="303" t="s">
        <v>890</v>
      </c>
      <c r="C4581" s="304">
        <v>0</v>
      </c>
      <c r="D4581" s="303" t="s">
        <v>1398</v>
      </c>
      <c r="E4581" s="311" t="s">
        <v>487</v>
      </c>
      <c r="F4581" s="334"/>
      <c r="G4581" s="337">
        <v>4798</v>
      </c>
      <c r="H4581" s="311" t="s">
        <v>636</v>
      </c>
      <c r="I4581" s="305" t="s">
        <v>152</v>
      </c>
      <c r="J4581" s="305" t="s">
        <v>106</v>
      </c>
      <c r="K4581" s="305" t="s">
        <v>2058</v>
      </c>
    </row>
    <row r="4582" spans="1:11" x14ac:dyDescent="0.25">
      <c r="A4582" s="302" t="str">
        <f t="shared" si="113"/>
        <v>Air Sealing w/ Attic Insulation_0_IE MF_ηHeat - gas</v>
      </c>
      <c r="B4582" s="303" t="s">
        <v>890</v>
      </c>
      <c r="C4582" s="304">
        <v>0</v>
      </c>
      <c r="D4582" s="303" t="s">
        <v>1398</v>
      </c>
      <c r="E4582" s="305" t="s">
        <v>620</v>
      </c>
      <c r="F4582" s="309" t="s">
        <v>539</v>
      </c>
      <c r="G4582" s="307">
        <v>0.72</v>
      </c>
      <c r="H4582" s="305" t="s">
        <v>639</v>
      </c>
      <c r="I4582" s="305" t="s">
        <v>152</v>
      </c>
      <c r="J4582" s="305" t="s">
        <v>106</v>
      </c>
      <c r="K4582" s="305" t="s">
        <v>2058</v>
      </c>
    </row>
    <row r="4583" spans="1:11" x14ac:dyDescent="0.25">
      <c r="A4583" s="302" t="str">
        <f t="shared" si="113"/>
        <v>Air Sealing w/ Attic Insulation_0_IE MF_ηHeat - gas- MLA</v>
      </c>
      <c r="B4583" s="303" t="s">
        <v>890</v>
      </c>
      <c r="C4583" s="304">
        <v>0</v>
      </c>
      <c r="D4583" s="303" t="s">
        <v>1398</v>
      </c>
      <c r="E4583" s="305" t="s">
        <v>621</v>
      </c>
      <c r="F4583" s="309" t="s">
        <v>539</v>
      </c>
      <c r="G4583" s="334">
        <v>0.68</v>
      </c>
      <c r="H4583" s="311" t="s">
        <v>1924</v>
      </c>
      <c r="I4583" s="305" t="s">
        <v>152</v>
      </c>
      <c r="J4583" s="305" t="s">
        <v>106</v>
      </c>
      <c r="K4583" s="305" t="s">
        <v>2058</v>
      </c>
    </row>
    <row r="4584" spans="1:11" x14ac:dyDescent="0.25">
      <c r="A4584" s="302" t="str">
        <f t="shared" si="113"/>
        <v>Air Sealing w/ Attic Insulation_0_IE MF_Fe</v>
      </c>
      <c r="B4584" s="303" t="s">
        <v>890</v>
      </c>
      <c r="C4584" s="304">
        <v>0</v>
      </c>
      <c r="D4584" s="303" t="s">
        <v>1398</v>
      </c>
      <c r="E4584" s="305" t="s">
        <v>425</v>
      </c>
      <c r="F4584" s="309" t="s">
        <v>539</v>
      </c>
      <c r="G4584" s="307">
        <v>3.1399999999999997E-2</v>
      </c>
      <c r="H4584" s="305"/>
      <c r="I4584" s="305" t="s">
        <v>152</v>
      </c>
      <c r="J4584" s="305" t="s">
        <v>106</v>
      </c>
      <c r="K4584" s="305" t="s">
        <v>2058</v>
      </c>
    </row>
    <row r="4585" spans="1:11" x14ac:dyDescent="0.25">
      <c r="A4585" s="302" t="str">
        <f t="shared" si="113"/>
        <v>Air Sealing w/ Attic Insulation_0_IE MF_IEnetCorrection (with attic insulation)</v>
      </c>
      <c r="B4585" s="303" t="s">
        <v>890</v>
      </c>
      <c r="C4585" s="304">
        <v>0</v>
      </c>
      <c r="D4585" s="303" t="s">
        <v>1398</v>
      </c>
      <c r="E4585" s="305" t="s">
        <v>893</v>
      </c>
      <c r="F4585" s="309" t="s">
        <v>539</v>
      </c>
      <c r="G4585" s="307">
        <v>1.1000000000000001</v>
      </c>
      <c r="H4585" s="305" t="s">
        <v>894</v>
      </c>
      <c r="I4585" s="305" t="s">
        <v>152</v>
      </c>
      <c r="J4585" s="305" t="s">
        <v>106</v>
      </c>
      <c r="K4585" s="305" t="s">
        <v>2058</v>
      </c>
    </row>
    <row r="4586" spans="1:11" x14ac:dyDescent="0.25">
      <c r="A4586" s="302" t="str">
        <f t="shared" si="113"/>
        <v>Air Sealing w/ Attic Insulation_0_IE MF_Conversion</v>
      </c>
      <c r="B4586" s="303" t="s">
        <v>890</v>
      </c>
      <c r="C4586" s="304">
        <v>0</v>
      </c>
      <c r="D4586" s="303" t="s">
        <v>1398</v>
      </c>
      <c r="E4586" s="305" t="s">
        <v>284</v>
      </c>
      <c r="F4586" s="305" t="s">
        <v>611</v>
      </c>
      <c r="G4586" s="307">
        <v>29.3</v>
      </c>
      <c r="H4586" s="305"/>
      <c r="I4586" s="305" t="s">
        <v>152</v>
      </c>
      <c r="J4586" s="305" t="s">
        <v>106</v>
      </c>
      <c r="K4586" s="305" t="s">
        <v>2058</v>
      </c>
    </row>
    <row r="4587" spans="1:11" x14ac:dyDescent="0.25">
      <c r="A4587" s="302" t="str">
        <f t="shared" si="113"/>
        <v>Air Sealing w/ Attic Insulation_0_IE MF_CFM 50 reduction</v>
      </c>
      <c r="B4587" s="303" t="s">
        <v>890</v>
      </c>
      <c r="C4587" s="304">
        <v>0</v>
      </c>
      <c r="D4587" s="303" t="s">
        <v>1398</v>
      </c>
      <c r="E4587" s="305" t="s">
        <v>895</v>
      </c>
      <c r="F4587" s="305"/>
      <c r="G4587" s="307">
        <v>500</v>
      </c>
      <c r="H4587" s="311" t="s">
        <v>2623</v>
      </c>
      <c r="I4587" s="305" t="s">
        <v>2629</v>
      </c>
      <c r="J4587" s="305"/>
      <c r="K4587" s="305"/>
    </row>
    <row r="4588" spans="1:11" x14ac:dyDescent="0.25">
      <c r="A4588" s="302" t="str">
        <f t="shared" ref="A4588" si="114">B4588&amp;"_"&amp;C4588&amp;"_"&amp;D4588&amp;"_"&amp;E4588</f>
        <v>Air Sealing w/ Attic Insulation_0_IE MF_%GasHeat</v>
      </c>
      <c r="B4588" s="303" t="s">
        <v>890</v>
      </c>
      <c r="C4588" s="304">
        <v>0</v>
      </c>
      <c r="D4588" s="303" t="s">
        <v>1398</v>
      </c>
      <c r="E4588" s="311" t="s">
        <v>1919</v>
      </c>
      <c r="F4588" s="334" t="s">
        <v>539</v>
      </c>
      <c r="G4588" s="334">
        <v>1</v>
      </c>
      <c r="H4588" s="311" t="s">
        <v>1904</v>
      </c>
      <c r="I4588" s="305" t="s">
        <v>152</v>
      </c>
      <c r="J4588" s="305" t="s">
        <v>106</v>
      </c>
      <c r="K4588" s="305" t="s">
        <v>2058</v>
      </c>
    </row>
    <row r="4589" spans="1:11" x14ac:dyDescent="0.25">
      <c r="A4589" s="302" t="str">
        <f t="shared" si="113"/>
        <v>Air Sealing w/ Attic Insulation_0_IE MF_kWh Saved per Unit</v>
      </c>
      <c r="B4589" s="303" t="s">
        <v>890</v>
      </c>
      <c r="C4589" s="304">
        <v>0</v>
      </c>
      <c r="D4589" s="303" t="s">
        <v>1398</v>
      </c>
      <c r="E4589" s="314" t="s">
        <v>255</v>
      </c>
      <c r="F4589" s="326" t="s">
        <v>896</v>
      </c>
      <c r="G4589" s="326">
        <f>G4591*G4584*G4586</f>
        <v>31.481385633213272</v>
      </c>
      <c r="H4589" s="305"/>
      <c r="I4589" s="305" t="s">
        <v>152</v>
      </c>
      <c r="J4589" s="305" t="s">
        <v>106</v>
      </c>
      <c r="K4589" s="305" t="s">
        <v>2058</v>
      </c>
    </row>
    <row r="4590" spans="1:11" x14ac:dyDescent="0.25">
      <c r="A4590" s="302" t="str">
        <f t="shared" si="113"/>
        <v>Air Sealing w/ Attic Insulation_0_IE MF_Coincident Peak kW Saved per Unit</v>
      </c>
      <c r="B4590" s="303" t="s">
        <v>890</v>
      </c>
      <c r="C4590" s="304">
        <v>0</v>
      </c>
      <c r="D4590" s="303" t="s">
        <v>1398</v>
      </c>
      <c r="E4590" s="314" t="s">
        <v>257</v>
      </c>
      <c r="F4590" s="326" t="s">
        <v>896</v>
      </c>
      <c r="G4590" s="326">
        <v>0</v>
      </c>
      <c r="H4590" s="305"/>
      <c r="I4590" s="305" t="s">
        <v>152</v>
      </c>
      <c r="J4590" s="305" t="s">
        <v>106</v>
      </c>
      <c r="K4590" s="305" t="s">
        <v>2058</v>
      </c>
    </row>
    <row r="4591" spans="1:11" x14ac:dyDescent="0.25">
      <c r="A4591" s="302" t="str">
        <f t="shared" si="113"/>
        <v>Air Sealing w/ Attic Insulation_0_IE MF_Therm Saved per Unit</v>
      </c>
      <c r="B4591" s="303" t="s">
        <v>890</v>
      </c>
      <c r="C4591" s="304">
        <v>0</v>
      </c>
      <c r="D4591" s="303" t="s">
        <v>1398</v>
      </c>
      <c r="E4591" s="314" t="s">
        <v>326</v>
      </c>
      <c r="F4591" s="326" t="s">
        <v>896</v>
      </c>
      <c r="G4591" s="370">
        <f>(G4576*G4577*G4581*G4578)/(G4582*100000*G4580)*G4579*G4585*G4587*G4588</f>
        <v>34.218153554502372</v>
      </c>
      <c r="H4591" s="311" t="s">
        <v>1922</v>
      </c>
      <c r="I4591" s="305" t="s">
        <v>152</v>
      </c>
      <c r="J4591" s="305" t="s">
        <v>106</v>
      </c>
      <c r="K4591" s="305" t="s">
        <v>2058</v>
      </c>
    </row>
    <row r="4592" spans="1:11" x14ac:dyDescent="0.25">
      <c r="A4592" s="302" t="str">
        <f t="shared" si="113"/>
        <v>Air Sealing w/ Attic Insulation_0_IE MF_Therm Saved per Unit- MLA</v>
      </c>
      <c r="B4592" s="303" t="s">
        <v>890</v>
      </c>
      <c r="C4592" s="304">
        <v>0</v>
      </c>
      <c r="D4592" s="303" t="s">
        <v>1398</v>
      </c>
      <c r="E4592" s="314" t="s">
        <v>626</v>
      </c>
      <c r="F4592" s="326" t="s">
        <v>896</v>
      </c>
      <c r="G4592" s="370">
        <f>(G4576*G4577*G4581*G4578)/(G4583*100000*G4580)*G4579*G4585*(G4574-G4575)*G4587*G4588</f>
        <v>36.230986116531916</v>
      </c>
      <c r="H4592" s="311" t="s">
        <v>1923</v>
      </c>
      <c r="I4592" s="305" t="s">
        <v>152</v>
      </c>
      <c r="J4592" s="305" t="s">
        <v>106</v>
      </c>
      <c r="K4592" s="305" t="s">
        <v>2058</v>
      </c>
    </row>
    <row r="4593" spans="1:11" x14ac:dyDescent="0.25">
      <c r="A4593" s="302" t="str">
        <f t="shared" si="113"/>
        <v>Air Sealing w/ Attic Insulation_0_IE MF_Lifetime (years)</v>
      </c>
      <c r="B4593" s="303" t="s">
        <v>890</v>
      </c>
      <c r="C4593" s="304">
        <v>0</v>
      </c>
      <c r="D4593" s="303" t="s">
        <v>1398</v>
      </c>
      <c r="E4593" s="314" t="s">
        <v>259</v>
      </c>
      <c r="F4593" s="314" t="s">
        <v>548</v>
      </c>
      <c r="G4593" s="315">
        <v>20</v>
      </c>
      <c r="H4593" s="305"/>
      <c r="I4593" s="305" t="s">
        <v>152</v>
      </c>
      <c r="J4593" s="305" t="s">
        <v>106</v>
      </c>
      <c r="K4593" s="305" t="s">
        <v>2058</v>
      </c>
    </row>
    <row r="4594" spans="1:11" x14ac:dyDescent="0.25">
      <c r="A4594" s="302" t="str">
        <f t="shared" si="113"/>
        <v>Air Sealing w/ Attic Insulation_0_IE MF_Lifetime (years) - Remaining Years</v>
      </c>
      <c r="B4594" s="303" t="s">
        <v>890</v>
      </c>
      <c r="C4594" s="304">
        <v>0</v>
      </c>
      <c r="D4594" s="303" t="s">
        <v>1398</v>
      </c>
      <c r="E4594" s="314" t="s">
        <v>628</v>
      </c>
      <c r="F4594" s="314" t="s">
        <v>548</v>
      </c>
      <c r="G4594" s="315">
        <v>10</v>
      </c>
      <c r="H4594" s="305" t="s">
        <v>889</v>
      </c>
      <c r="I4594" s="305" t="s">
        <v>152</v>
      </c>
      <c r="J4594" s="305" t="s">
        <v>106</v>
      </c>
      <c r="K4594" s="305" t="s">
        <v>2058</v>
      </c>
    </row>
    <row r="4595" spans="1:11" x14ac:dyDescent="0.25">
      <c r="A4595" s="302" t="str">
        <f t="shared" si="113"/>
        <v>Air Sealing w/ Attic Insulation_0_IE MF_Incremental Cost</v>
      </c>
      <c r="B4595" s="303" t="s">
        <v>890</v>
      </c>
      <c r="C4595" s="304">
        <v>0</v>
      </c>
      <c r="D4595" s="303" t="s">
        <v>1398</v>
      </c>
      <c r="E4595" s="314" t="s">
        <v>260</v>
      </c>
      <c r="F4595" s="314" t="s">
        <v>549</v>
      </c>
      <c r="G4595" s="328">
        <f>0.45*G4587</f>
        <v>225</v>
      </c>
      <c r="H4595" s="305" t="s">
        <v>613</v>
      </c>
      <c r="I4595" s="305" t="s">
        <v>614</v>
      </c>
      <c r="J4595" s="305"/>
      <c r="K4595" s="305"/>
    </row>
    <row r="4596" spans="1:11" x14ac:dyDescent="0.25">
      <c r="A4596" s="317" t="str">
        <f t="shared" si="113"/>
        <v>Air Sealing w/ Attic Insulation_0_IE MF_</v>
      </c>
      <c r="B4596" s="317" t="str">
        <f>B4595</f>
        <v>Air Sealing w/ Attic Insulation</v>
      </c>
      <c r="C4596" s="317">
        <f>C4595</f>
        <v>0</v>
      </c>
      <c r="D4596" s="317" t="str">
        <f>D4595</f>
        <v>IE MF</v>
      </c>
      <c r="E4596" s="320"/>
      <c r="F4596" s="320"/>
      <c r="G4596" s="329"/>
      <c r="H4596" s="320"/>
      <c r="I4596" s="320"/>
      <c r="J4596" s="320"/>
      <c r="K4596" s="320"/>
    </row>
    <row r="4597" spans="1:11" x14ac:dyDescent="0.25">
      <c r="A4597" s="302" t="str">
        <f t="shared" si="113"/>
        <v>A/C Cover and Gap Sealer_0_MF_Nheat</v>
      </c>
      <c r="B4597" s="303" t="s">
        <v>1400</v>
      </c>
      <c r="C4597" s="304">
        <v>0</v>
      </c>
      <c r="D4597" s="303" t="s">
        <v>553</v>
      </c>
      <c r="E4597" s="305" t="s">
        <v>887</v>
      </c>
      <c r="F4597" s="309"/>
      <c r="G4597" s="307">
        <v>0.8</v>
      </c>
      <c r="H4597" s="305"/>
      <c r="I4597" s="305" t="s">
        <v>152</v>
      </c>
      <c r="J4597" s="305" t="s">
        <v>1401</v>
      </c>
      <c r="K4597" s="305" t="s">
        <v>1967</v>
      </c>
    </row>
    <row r="4598" spans="1:11" x14ac:dyDescent="0.25">
      <c r="A4598" s="302" t="str">
        <f t="shared" si="113"/>
        <v xml:space="preserve">A/C Cover and Gap Sealer_0_MF_Gas Savings per Unit </v>
      </c>
      <c r="B4598" s="303" t="s">
        <v>1400</v>
      </c>
      <c r="C4598" s="304">
        <v>0</v>
      </c>
      <c r="D4598" s="303" t="s">
        <v>553</v>
      </c>
      <c r="E4598" s="305" t="s">
        <v>1402</v>
      </c>
      <c r="F4598" s="309" t="s">
        <v>1403</v>
      </c>
      <c r="G4598" s="307">
        <v>12.64</v>
      </c>
      <c r="H4598" s="305" t="s">
        <v>1404</v>
      </c>
      <c r="I4598" s="305" t="s">
        <v>152</v>
      </c>
      <c r="J4598" s="305" t="s">
        <v>1401</v>
      </c>
      <c r="K4598" s="305" t="s">
        <v>1967</v>
      </c>
    </row>
    <row r="4599" spans="1:11" x14ac:dyDescent="0.25">
      <c r="A4599" s="302" t="str">
        <f t="shared" si="113"/>
        <v>A/C Cover and Gap Sealer_0_MF_kWh Saved per Unit</v>
      </c>
      <c r="B4599" s="303" t="s">
        <v>1400</v>
      </c>
      <c r="C4599" s="304">
        <v>0</v>
      </c>
      <c r="D4599" s="303" t="s">
        <v>553</v>
      </c>
      <c r="E4599" s="314" t="s">
        <v>255</v>
      </c>
      <c r="F4599" s="326" t="s">
        <v>1405</v>
      </c>
      <c r="G4599" s="326">
        <v>0</v>
      </c>
      <c r="H4599" s="305"/>
      <c r="I4599" s="305" t="s">
        <v>152</v>
      </c>
      <c r="J4599" s="305" t="s">
        <v>1401</v>
      </c>
      <c r="K4599" s="305" t="s">
        <v>1967</v>
      </c>
    </row>
    <row r="4600" spans="1:11" x14ac:dyDescent="0.25">
      <c r="A4600" s="302" t="str">
        <f t="shared" si="113"/>
        <v>A/C Cover and Gap Sealer_0_MF_Coincident Peak kW Saved per Unit</v>
      </c>
      <c r="B4600" s="303" t="s">
        <v>1400</v>
      </c>
      <c r="C4600" s="304">
        <v>0</v>
      </c>
      <c r="D4600" s="303" t="s">
        <v>553</v>
      </c>
      <c r="E4600" s="314" t="s">
        <v>257</v>
      </c>
      <c r="F4600" s="326" t="s">
        <v>1405</v>
      </c>
      <c r="G4600" s="326">
        <v>0</v>
      </c>
      <c r="H4600" s="305"/>
      <c r="I4600" s="305" t="s">
        <v>152</v>
      </c>
      <c r="J4600" s="305" t="s">
        <v>1401</v>
      </c>
      <c r="K4600" s="305" t="s">
        <v>1967</v>
      </c>
    </row>
    <row r="4601" spans="1:11" x14ac:dyDescent="0.25">
      <c r="A4601" s="302" t="str">
        <f t="shared" si="113"/>
        <v>A/C Cover and Gap Sealer_0_MF_Therm Saved per Unit</v>
      </c>
      <c r="B4601" s="303" t="s">
        <v>1400</v>
      </c>
      <c r="C4601" s="304">
        <v>0</v>
      </c>
      <c r="D4601" s="303" t="s">
        <v>553</v>
      </c>
      <c r="E4601" s="314" t="s">
        <v>326</v>
      </c>
      <c r="F4601" s="326" t="s">
        <v>1405</v>
      </c>
      <c r="G4601" s="315">
        <f>G4598</f>
        <v>12.64</v>
      </c>
      <c r="H4601" s="305"/>
      <c r="I4601" s="305" t="s">
        <v>152</v>
      </c>
      <c r="J4601" s="305" t="s">
        <v>1401</v>
      </c>
      <c r="K4601" s="305" t="s">
        <v>1967</v>
      </c>
    </row>
    <row r="4602" spans="1:11" x14ac:dyDescent="0.25">
      <c r="A4602" s="302" t="str">
        <f t="shared" si="113"/>
        <v>A/C Cover and Gap Sealer_0_MF_Lifetime (years)</v>
      </c>
      <c r="B4602" s="303" t="s">
        <v>1400</v>
      </c>
      <c r="C4602" s="304">
        <v>0</v>
      </c>
      <c r="D4602" s="303" t="s">
        <v>553</v>
      </c>
      <c r="E4602" s="314" t="s">
        <v>259</v>
      </c>
      <c r="F4602" s="314" t="s">
        <v>548</v>
      </c>
      <c r="G4602" s="315">
        <v>5</v>
      </c>
      <c r="H4602" s="305"/>
      <c r="I4602" s="305" t="s">
        <v>152</v>
      </c>
      <c r="J4602" s="305" t="s">
        <v>1401</v>
      </c>
      <c r="K4602" s="305" t="s">
        <v>1967</v>
      </c>
    </row>
    <row r="4603" spans="1:11" x14ac:dyDescent="0.25">
      <c r="A4603" s="302" t="str">
        <f t="shared" si="113"/>
        <v>A/C Cover and Gap Sealer_0_MF_Incremental Cost</v>
      </c>
      <c r="B4603" s="303" t="s">
        <v>1400</v>
      </c>
      <c r="C4603" s="304">
        <v>0</v>
      </c>
      <c r="D4603" s="303" t="s">
        <v>553</v>
      </c>
      <c r="E4603" s="314" t="s">
        <v>260</v>
      </c>
      <c r="F4603" s="314" t="s">
        <v>549</v>
      </c>
      <c r="G4603" s="328">
        <v>59.81</v>
      </c>
      <c r="H4603" s="305" t="s">
        <v>1406</v>
      </c>
      <c r="I4603" s="305"/>
      <c r="J4603" s="305"/>
      <c r="K4603" s="305"/>
    </row>
    <row r="4604" spans="1:11" x14ac:dyDescent="0.25">
      <c r="A4604" s="317" t="str">
        <f t="shared" si="113"/>
        <v>A/C Cover and Gap Sealer_0_MF_</v>
      </c>
      <c r="B4604" s="317" t="str">
        <f>B4603</f>
        <v>A/C Cover and Gap Sealer</v>
      </c>
      <c r="C4604" s="317">
        <f>C4603</f>
        <v>0</v>
      </c>
      <c r="D4604" s="317" t="str">
        <f>D4603</f>
        <v>MF</v>
      </c>
      <c r="E4604" s="320"/>
      <c r="F4604" s="320"/>
      <c r="G4604" s="329"/>
      <c r="H4604" s="320"/>
      <c r="I4604" s="320"/>
      <c r="J4604" s="320"/>
      <c r="K4604" s="320"/>
    </row>
    <row r="4605" spans="1:11" x14ac:dyDescent="0.25">
      <c r="A4605" s="302" t="str">
        <f t="shared" si="113"/>
        <v>Water Heater_Tankless_MF_Tout</v>
      </c>
      <c r="B4605" s="303" t="s">
        <v>8</v>
      </c>
      <c r="C4605" s="304" t="s">
        <v>380</v>
      </c>
      <c r="D4605" s="303" t="s">
        <v>553</v>
      </c>
      <c r="E4605" s="305" t="s">
        <v>370</v>
      </c>
      <c r="F4605" s="305" t="s">
        <v>542</v>
      </c>
      <c r="G4605" s="354">
        <v>125</v>
      </c>
      <c r="H4605" s="305"/>
      <c r="I4605" s="305" t="s">
        <v>152</v>
      </c>
      <c r="J4605" s="305" t="s">
        <v>239</v>
      </c>
      <c r="K4605" s="305" t="s">
        <v>2366</v>
      </c>
    </row>
    <row r="4606" spans="1:11" x14ac:dyDescent="0.25">
      <c r="A4606" s="302" t="str">
        <f t="shared" si="113"/>
        <v>Water Heater_Tankless_MF_Tin</v>
      </c>
      <c r="B4606" s="303" t="s">
        <v>8</v>
      </c>
      <c r="C4606" s="304" t="s">
        <v>380</v>
      </c>
      <c r="D4606" s="303" t="s">
        <v>553</v>
      </c>
      <c r="E4606" s="305" t="s">
        <v>371</v>
      </c>
      <c r="F4606" s="305" t="s">
        <v>542</v>
      </c>
      <c r="G4606" s="334">
        <v>50.7</v>
      </c>
      <c r="H4606" s="311" t="s">
        <v>1916</v>
      </c>
      <c r="I4606" s="305" t="s">
        <v>152</v>
      </c>
      <c r="J4606" s="305" t="s">
        <v>239</v>
      </c>
      <c r="K4606" s="305" t="s">
        <v>2366</v>
      </c>
    </row>
    <row r="4607" spans="1:11" x14ac:dyDescent="0.25">
      <c r="A4607" s="302" t="str">
        <f t="shared" si="113"/>
        <v>Water Heater_Tankless_MF_GPD</v>
      </c>
      <c r="B4607" s="303" t="s">
        <v>8</v>
      </c>
      <c r="C4607" s="304" t="s">
        <v>380</v>
      </c>
      <c r="D4607" s="303" t="s">
        <v>553</v>
      </c>
      <c r="E4607" s="305" t="s">
        <v>368</v>
      </c>
      <c r="F4607" s="305" t="s">
        <v>867</v>
      </c>
      <c r="G4607" s="355">
        <v>17.600000000000001</v>
      </c>
      <c r="H4607" s="305"/>
      <c r="I4607" s="305" t="s">
        <v>152</v>
      </c>
      <c r="J4607" s="305" t="s">
        <v>239</v>
      </c>
      <c r="K4607" s="305" t="s">
        <v>2366</v>
      </c>
    </row>
    <row r="4608" spans="1:11" x14ac:dyDescent="0.25">
      <c r="A4608" s="302" t="str">
        <f t="shared" si="113"/>
        <v>Water Heater_Tankless_MF_Storage Capacity</v>
      </c>
      <c r="B4608" s="303" t="s">
        <v>8</v>
      </c>
      <c r="C4608" s="304" t="s">
        <v>380</v>
      </c>
      <c r="D4608" s="303" t="s">
        <v>553</v>
      </c>
      <c r="E4608" s="305" t="s">
        <v>868</v>
      </c>
      <c r="F4608" s="305" t="s">
        <v>646</v>
      </c>
      <c r="G4608" s="355">
        <v>40</v>
      </c>
      <c r="H4608" s="305" t="s">
        <v>869</v>
      </c>
      <c r="I4608" s="305" t="s">
        <v>152</v>
      </c>
      <c r="J4608" s="305" t="s">
        <v>239</v>
      </c>
      <c r="K4608" s="305" t="s">
        <v>2366</v>
      </c>
    </row>
    <row r="4609" spans="1:11" x14ac:dyDescent="0.25">
      <c r="A4609" s="302" t="str">
        <f t="shared" si="113"/>
        <v>Water Heater_Tankless_MF_Household</v>
      </c>
      <c r="B4609" s="303" t="s">
        <v>8</v>
      </c>
      <c r="C4609" s="304" t="s">
        <v>380</v>
      </c>
      <c r="D4609" s="303" t="s">
        <v>553</v>
      </c>
      <c r="E4609" s="305" t="s">
        <v>505</v>
      </c>
      <c r="F4609" s="305" t="s">
        <v>537</v>
      </c>
      <c r="G4609" s="355">
        <v>2.1</v>
      </c>
      <c r="H4609" s="305" t="s">
        <v>553</v>
      </c>
      <c r="I4609" s="305" t="s">
        <v>152</v>
      </c>
      <c r="J4609" s="305" t="s">
        <v>239</v>
      </c>
      <c r="K4609" s="305" t="s">
        <v>2366</v>
      </c>
    </row>
    <row r="4610" spans="1:11" x14ac:dyDescent="0.25">
      <c r="A4610" s="302" t="str">
        <f t="shared" si="113"/>
        <v>Water Heater_Tankless_MF_Conversion</v>
      </c>
      <c r="B4610" s="303" t="s">
        <v>8</v>
      </c>
      <c r="C4610" s="304" t="s">
        <v>380</v>
      </c>
      <c r="D4610" s="303" t="s">
        <v>553</v>
      </c>
      <c r="E4610" s="305" t="s">
        <v>284</v>
      </c>
      <c r="F4610" s="305" t="s">
        <v>871</v>
      </c>
      <c r="G4610" s="325">
        <v>365.25</v>
      </c>
      <c r="H4610" s="305"/>
      <c r="I4610" s="305" t="s">
        <v>152</v>
      </c>
      <c r="J4610" s="305" t="s">
        <v>239</v>
      </c>
      <c r="K4610" s="305" t="s">
        <v>2366</v>
      </c>
    </row>
    <row r="4611" spans="1:11" x14ac:dyDescent="0.25">
      <c r="A4611" s="302" t="str">
        <f t="shared" si="113"/>
        <v>Water Heater_Tankless_MF_Conversion</v>
      </c>
      <c r="B4611" s="303" t="s">
        <v>8</v>
      </c>
      <c r="C4611" s="304" t="s">
        <v>380</v>
      </c>
      <c r="D4611" s="303" t="s">
        <v>553</v>
      </c>
      <c r="E4611" s="305" t="s">
        <v>284</v>
      </c>
      <c r="F4611" s="305" t="s">
        <v>622</v>
      </c>
      <c r="G4611" s="325">
        <v>100000</v>
      </c>
      <c r="H4611" s="305"/>
      <c r="I4611" s="305" t="s">
        <v>152</v>
      </c>
      <c r="J4611" s="305" t="s">
        <v>239</v>
      </c>
      <c r="K4611" s="305" t="s">
        <v>2366</v>
      </c>
    </row>
    <row r="4612" spans="1:11" x14ac:dyDescent="0.25">
      <c r="A4612" s="302" t="str">
        <f t="shared" si="113"/>
        <v>Water Heater_Tankless_MF_yWater</v>
      </c>
      <c r="B4612" s="303" t="s">
        <v>8</v>
      </c>
      <c r="C4612" s="304" t="s">
        <v>380</v>
      </c>
      <c r="D4612" s="303" t="s">
        <v>553</v>
      </c>
      <c r="E4612" s="305" t="s">
        <v>369</v>
      </c>
      <c r="F4612" s="309" t="s">
        <v>346</v>
      </c>
      <c r="G4612" s="307">
        <v>8.33</v>
      </c>
      <c r="H4612" s="305"/>
      <c r="I4612" s="305" t="s">
        <v>152</v>
      </c>
      <c r="J4612" s="305" t="s">
        <v>239</v>
      </c>
      <c r="K4612" s="305" t="s">
        <v>2366</v>
      </c>
    </row>
    <row r="4613" spans="1:11" x14ac:dyDescent="0.25">
      <c r="A4613" s="302" t="str">
        <f t="shared" si="113"/>
        <v>Water Heater_Tankless_MF_UEF gas base</v>
      </c>
      <c r="B4613" s="303" t="s">
        <v>8</v>
      </c>
      <c r="C4613" s="304" t="s">
        <v>380</v>
      </c>
      <c r="D4613" s="303" t="s">
        <v>553</v>
      </c>
      <c r="E4613" s="305" t="s">
        <v>872</v>
      </c>
      <c r="F4613" s="305" t="s">
        <v>539</v>
      </c>
      <c r="G4613" s="350">
        <f>0.6483-(0.0017*G4608)</f>
        <v>0.58030000000000004</v>
      </c>
      <c r="H4613" s="305" t="s">
        <v>873</v>
      </c>
      <c r="I4613" s="305" t="s">
        <v>152</v>
      </c>
      <c r="J4613" s="305" t="s">
        <v>239</v>
      </c>
      <c r="K4613" s="305" t="s">
        <v>2366</v>
      </c>
    </row>
    <row r="4614" spans="1:11" x14ac:dyDescent="0.25">
      <c r="A4614" s="302" t="str">
        <f t="shared" si="113"/>
        <v>Water Heater_Tankless_MF_UEF efficient</v>
      </c>
      <c r="B4614" s="303" t="s">
        <v>8</v>
      </c>
      <c r="C4614" s="304" t="s">
        <v>380</v>
      </c>
      <c r="D4614" s="303" t="s">
        <v>553</v>
      </c>
      <c r="E4614" s="305" t="s">
        <v>874</v>
      </c>
      <c r="F4614" s="305" t="s">
        <v>539</v>
      </c>
      <c r="G4614" s="350">
        <f>G794</f>
        <v>0.95</v>
      </c>
      <c r="H4614" s="305"/>
      <c r="I4614" s="305" t="s">
        <v>152</v>
      </c>
      <c r="J4614" s="305" t="s">
        <v>239</v>
      </c>
      <c r="K4614" s="305" t="s">
        <v>2366</v>
      </c>
    </row>
    <row r="4615" spans="1:11" x14ac:dyDescent="0.25">
      <c r="A4615" s="302" t="str">
        <f t="shared" si="113"/>
        <v>Water Heater_Tankless_MF_Therm Saved per Unit</v>
      </c>
      <c r="B4615" s="303" t="s">
        <v>8</v>
      </c>
      <c r="C4615" s="304" t="s">
        <v>380</v>
      </c>
      <c r="D4615" s="303" t="s">
        <v>553</v>
      </c>
      <c r="E4615" s="314" t="s">
        <v>326</v>
      </c>
      <c r="F4615" s="314"/>
      <c r="G4615" s="315">
        <f>(1/G4613-1/G4614)*(G4607*G4609*G4610*G4612*(G4605-G4606)*1)/G4611</f>
        <v>56.031116570965146</v>
      </c>
      <c r="H4615" s="305" t="s">
        <v>875</v>
      </c>
      <c r="I4615" s="305" t="s">
        <v>152</v>
      </c>
      <c r="J4615" s="305" t="s">
        <v>239</v>
      </c>
      <c r="K4615" s="305" t="s">
        <v>2366</v>
      </c>
    </row>
    <row r="4616" spans="1:11" x14ac:dyDescent="0.25">
      <c r="A4616" s="302" t="str">
        <f t="shared" si="113"/>
        <v>Water Heater_Tankless_MF_Lifetime (years)</v>
      </c>
      <c r="B4616" s="303" t="s">
        <v>8</v>
      </c>
      <c r="C4616" s="304" t="s">
        <v>380</v>
      </c>
      <c r="D4616" s="303" t="s">
        <v>553</v>
      </c>
      <c r="E4616" s="311" t="s">
        <v>259</v>
      </c>
      <c r="F4616" s="311" t="s">
        <v>548</v>
      </c>
      <c r="G4616" s="310">
        <v>18.3</v>
      </c>
      <c r="H4616" s="311" t="s">
        <v>2586</v>
      </c>
      <c r="I4616" s="305" t="s">
        <v>152</v>
      </c>
      <c r="J4616" s="305" t="s">
        <v>239</v>
      </c>
      <c r="K4616" s="305" t="s">
        <v>2366</v>
      </c>
    </row>
    <row r="4617" spans="1:11" x14ac:dyDescent="0.25">
      <c r="A4617" s="302" t="str">
        <f t="shared" si="113"/>
        <v>Water Heater_Tankless_MF_Incremental Cost</v>
      </c>
      <c r="B4617" s="303" t="s">
        <v>8</v>
      </c>
      <c r="C4617" s="304" t="s">
        <v>380</v>
      </c>
      <c r="D4617" s="303" t="s">
        <v>553</v>
      </c>
      <c r="E4617" s="311" t="s">
        <v>260</v>
      </c>
      <c r="F4617" s="311" t="s">
        <v>549</v>
      </c>
      <c r="G4617" s="368">
        <v>229</v>
      </c>
      <c r="H4617" s="311" t="str">
        <f>H4616</f>
        <v>Assumed gas instantaneous water heaters</v>
      </c>
      <c r="I4617" s="305" t="s">
        <v>152</v>
      </c>
      <c r="J4617" s="305" t="s">
        <v>239</v>
      </c>
      <c r="K4617" s="305" t="s">
        <v>2366</v>
      </c>
    </row>
    <row r="4618" spans="1:11" x14ac:dyDescent="0.25">
      <c r="A4618" s="317" t="str">
        <f t="shared" si="113"/>
        <v>Water Heater_Tankless_MF_</v>
      </c>
      <c r="B4618" s="317" t="str">
        <f>B4617</f>
        <v>Water Heater</v>
      </c>
      <c r="C4618" s="317" t="str">
        <f>C4617</f>
        <v>Tankless</v>
      </c>
      <c r="D4618" s="317" t="str">
        <f>D4617</f>
        <v>MF</v>
      </c>
      <c r="E4618" s="320"/>
      <c r="F4618" s="320"/>
      <c r="G4618" s="329"/>
      <c r="H4618" s="320"/>
      <c r="I4618" s="320"/>
      <c r="J4618" s="320"/>
      <c r="K4618" s="320"/>
    </row>
    <row r="4619" spans="1:11" x14ac:dyDescent="0.25">
      <c r="A4619" s="302" t="str">
        <f t="shared" si="113"/>
        <v>Advanced Thermostat_Furnace (Replace Manual) - Non DI_SF_Heating Energy Reduction</v>
      </c>
      <c r="B4619" s="303" t="s">
        <v>7</v>
      </c>
      <c r="C4619" s="303" t="s">
        <v>1407</v>
      </c>
      <c r="D4619" s="303" t="s">
        <v>409</v>
      </c>
      <c r="E4619" s="385" t="s">
        <v>279</v>
      </c>
      <c r="F4619" s="305" t="s">
        <v>539</v>
      </c>
      <c r="G4619" s="353">
        <v>0.10199999999999999</v>
      </c>
      <c r="H4619" s="311" t="s">
        <v>1048</v>
      </c>
      <c r="I4619" s="305" t="s">
        <v>152</v>
      </c>
      <c r="J4619" s="305" t="s">
        <v>101</v>
      </c>
      <c r="K4619" s="305" t="s">
        <v>2371</v>
      </c>
    </row>
    <row r="4620" spans="1:11" x14ac:dyDescent="0.25">
      <c r="A4620" s="302" t="str">
        <f t="shared" si="113"/>
        <v>Advanced Thermostat_Furnace (Replace Manual) - Non DI_SF_Household Factor</v>
      </c>
      <c r="B4620" s="303" t="s">
        <v>7</v>
      </c>
      <c r="C4620" s="303" t="s">
        <v>1407</v>
      </c>
      <c r="D4620" s="303" t="s">
        <v>409</v>
      </c>
      <c r="E4620" s="305" t="s">
        <v>276</v>
      </c>
      <c r="F4620" s="305" t="s">
        <v>539</v>
      </c>
      <c r="G4620" s="308">
        <v>1</v>
      </c>
      <c r="H4620" s="305" t="s">
        <v>375</v>
      </c>
      <c r="I4620" s="305" t="s">
        <v>152</v>
      </c>
      <c r="J4620" s="305" t="s">
        <v>101</v>
      </c>
      <c r="K4620" s="305" t="s">
        <v>2371</v>
      </c>
    </row>
    <row r="4621" spans="1:11" x14ac:dyDescent="0.25">
      <c r="A4621" s="302" t="str">
        <f t="shared" si="113"/>
        <v>Advanced Thermostat_Furnace (Replace Manual) - Non DI_SF_Gas Heating Consumption</v>
      </c>
      <c r="B4621" s="303" t="s">
        <v>7</v>
      </c>
      <c r="C4621" s="303" t="s">
        <v>1407</v>
      </c>
      <c r="D4621" s="303" t="s">
        <v>409</v>
      </c>
      <c r="E4621" s="305" t="s">
        <v>275</v>
      </c>
      <c r="F4621" s="305" t="s">
        <v>1015</v>
      </c>
      <c r="G4621" s="339">
        <v>1005</v>
      </c>
      <c r="H4621" s="305" t="s">
        <v>675</v>
      </c>
      <c r="I4621" s="305" t="s">
        <v>152</v>
      </c>
      <c r="J4621" s="305" t="s">
        <v>101</v>
      </c>
      <c r="K4621" s="305" t="s">
        <v>2371</v>
      </c>
    </row>
    <row r="4622" spans="1:11" x14ac:dyDescent="0.25">
      <c r="A4622" s="302" t="str">
        <f t="shared" si="113"/>
        <v>Advanced Thermostat_Furnace (Replace Manual) - Non DI_SF_ISR</v>
      </c>
      <c r="B4622" s="303" t="s">
        <v>7</v>
      </c>
      <c r="C4622" s="303" t="s">
        <v>1407</v>
      </c>
      <c r="D4622" s="303" t="s">
        <v>409</v>
      </c>
      <c r="E4622" s="305" t="s">
        <v>267</v>
      </c>
      <c r="F4622" s="305" t="s">
        <v>539</v>
      </c>
      <c r="G4622" s="322">
        <v>1</v>
      </c>
      <c r="H4622" s="311" t="s">
        <v>1890</v>
      </c>
      <c r="I4622" s="305" t="s">
        <v>152</v>
      </c>
      <c r="J4622" s="305" t="s">
        <v>101</v>
      </c>
      <c r="K4622" s="305" t="s">
        <v>2371</v>
      </c>
    </row>
    <row r="4623" spans="1:11" x14ac:dyDescent="0.25">
      <c r="A4623" s="302" t="str">
        <f t="shared" si="113"/>
        <v>Advanced Thermostat_Furnace (Replace Manual) - Non DI_SF_%FossilHeat</v>
      </c>
      <c r="B4623" s="303" t="s">
        <v>7</v>
      </c>
      <c r="C4623" s="303" t="s">
        <v>1407</v>
      </c>
      <c r="D4623" s="303" t="s">
        <v>409</v>
      </c>
      <c r="E4623" s="311" t="s">
        <v>1938</v>
      </c>
      <c r="F4623" s="334" t="s">
        <v>539</v>
      </c>
      <c r="G4623" s="322">
        <v>1</v>
      </c>
      <c r="H4623" s="311" t="s">
        <v>1940</v>
      </c>
      <c r="I4623" s="305" t="s">
        <v>152</v>
      </c>
      <c r="J4623" s="305" t="s">
        <v>101</v>
      </c>
      <c r="K4623" s="305" t="s">
        <v>2371</v>
      </c>
    </row>
    <row r="4624" spans="1:11" x14ac:dyDescent="0.25">
      <c r="A4624" s="302" t="str">
        <f t="shared" si="113"/>
        <v>Advanced Thermostat_Furnace (Replace Manual) - Non DI_SF_Furnace Fan Energy Consumption %</v>
      </c>
      <c r="B4624" s="303" t="s">
        <v>7</v>
      </c>
      <c r="C4624" s="303" t="s">
        <v>1407</v>
      </c>
      <c r="D4624" s="303" t="s">
        <v>409</v>
      </c>
      <c r="E4624" s="385" t="s">
        <v>277</v>
      </c>
      <c r="F4624" s="305" t="s">
        <v>539</v>
      </c>
      <c r="G4624" s="333">
        <v>3.1399999999999997E-2</v>
      </c>
      <c r="H4624" s="305" t="s">
        <v>278</v>
      </c>
      <c r="I4624" s="305" t="s">
        <v>152</v>
      </c>
      <c r="J4624" s="305" t="s">
        <v>101</v>
      </c>
      <c r="K4624" s="305" t="s">
        <v>2371</v>
      </c>
    </row>
    <row r="4625" spans="1:11" x14ac:dyDescent="0.25">
      <c r="A4625" s="302" t="str">
        <f t="shared" si="113"/>
        <v>Advanced Thermostat_Furnace (Replace Manual) - Non DI_SF_Therm Saved per Unit</v>
      </c>
      <c r="B4625" s="303" t="s">
        <v>7</v>
      </c>
      <c r="C4625" s="303" t="s">
        <v>1407</v>
      </c>
      <c r="D4625" s="303" t="s">
        <v>409</v>
      </c>
      <c r="E4625" s="314" t="s">
        <v>326</v>
      </c>
      <c r="F4625" s="314"/>
      <c r="G4625" s="315">
        <f>G4621*G4619*G4620*G4622*G4623</f>
        <v>102.50999999999999</v>
      </c>
      <c r="H4625" s="305"/>
      <c r="I4625" s="305" t="s">
        <v>152</v>
      </c>
      <c r="J4625" s="305" t="s">
        <v>101</v>
      </c>
      <c r="K4625" s="305" t="s">
        <v>2371</v>
      </c>
    </row>
    <row r="4626" spans="1:11" x14ac:dyDescent="0.25">
      <c r="A4626" s="302" t="str">
        <f t="shared" ref="A4626:A4694" si="115">B4626&amp;"_"&amp;C4626&amp;"_"&amp;D4626&amp;"_"&amp;E4626</f>
        <v>Advanced Thermostat_Furnace (Replace Manual) - Non DI_SF_kWh Saved per Unit</v>
      </c>
      <c r="B4626" s="303" t="s">
        <v>7</v>
      </c>
      <c r="C4626" s="303" t="s">
        <v>1407</v>
      </c>
      <c r="D4626" s="303" t="s">
        <v>409</v>
      </c>
      <c r="E4626" s="314" t="s">
        <v>255</v>
      </c>
      <c r="F4626" s="314"/>
      <c r="G4626" s="315">
        <f>G4625*G4624*29.3</f>
        <v>94.311250199999989</v>
      </c>
      <c r="H4626" s="305"/>
      <c r="I4626" s="305" t="s">
        <v>152</v>
      </c>
      <c r="J4626" s="305" t="s">
        <v>101</v>
      </c>
      <c r="K4626" s="305" t="s">
        <v>2371</v>
      </c>
    </row>
    <row r="4627" spans="1:11" x14ac:dyDescent="0.25">
      <c r="A4627" s="302" t="str">
        <f t="shared" si="115"/>
        <v>Advanced Thermostat_Furnace (Replace Manual) - Non DI_SF_Lifetime (years)</v>
      </c>
      <c r="B4627" s="303" t="s">
        <v>7</v>
      </c>
      <c r="C4627" s="303" t="s">
        <v>1407</v>
      </c>
      <c r="D4627" s="303" t="s">
        <v>409</v>
      </c>
      <c r="E4627" s="314" t="s">
        <v>259</v>
      </c>
      <c r="F4627" s="314" t="s">
        <v>548</v>
      </c>
      <c r="G4627" s="315">
        <v>11</v>
      </c>
      <c r="H4627" s="305"/>
      <c r="I4627" s="305" t="s">
        <v>152</v>
      </c>
      <c r="J4627" s="305" t="s">
        <v>101</v>
      </c>
      <c r="K4627" s="305" t="s">
        <v>2371</v>
      </c>
    </row>
    <row r="4628" spans="1:11" x14ac:dyDescent="0.25">
      <c r="A4628" s="302" t="str">
        <f t="shared" si="115"/>
        <v>Advanced Thermostat_Furnace (Replace Manual) - Non DI_SF_Incremental Cost</v>
      </c>
      <c r="B4628" s="303" t="s">
        <v>7</v>
      </c>
      <c r="C4628" s="303" t="s">
        <v>1407</v>
      </c>
      <c r="D4628" s="303" t="s">
        <v>409</v>
      </c>
      <c r="E4628" s="314" t="s">
        <v>260</v>
      </c>
      <c r="F4628" s="314" t="s">
        <v>549</v>
      </c>
      <c r="G4628" s="328">
        <v>125</v>
      </c>
      <c r="H4628" s="305" t="s">
        <v>282</v>
      </c>
      <c r="I4628" s="305" t="s">
        <v>152</v>
      </c>
      <c r="J4628" s="305" t="s">
        <v>101</v>
      </c>
      <c r="K4628" s="305" t="s">
        <v>2371</v>
      </c>
    </row>
    <row r="4629" spans="1:11" x14ac:dyDescent="0.25">
      <c r="A4629" s="317" t="str">
        <f t="shared" si="115"/>
        <v>Advanced Thermostat_Furnace (Replace Manual) - Non DI_SF_</v>
      </c>
      <c r="B4629" s="317" t="s">
        <v>7</v>
      </c>
      <c r="C4629" s="317" t="str">
        <f>C4628</f>
        <v>Furnace (Replace Manual) - Non DI</v>
      </c>
      <c r="D4629" s="317" t="s">
        <v>409</v>
      </c>
      <c r="E4629" s="317"/>
      <c r="F4629" s="317"/>
      <c r="G4629" s="323"/>
      <c r="H4629" s="320"/>
      <c r="I4629" s="320"/>
      <c r="J4629" s="317"/>
      <c r="K4629" s="317"/>
    </row>
    <row r="4630" spans="1:11" x14ac:dyDescent="0.25">
      <c r="A4630" s="302" t="str">
        <f t="shared" si="115"/>
        <v>Advanced Thermostat_Furnace (Replace Programmable) - Non DI_SF_Heating Energy Reduction</v>
      </c>
      <c r="B4630" s="303" t="s">
        <v>7</v>
      </c>
      <c r="C4630" s="303" t="s">
        <v>1408</v>
      </c>
      <c r="D4630" s="303" t="s">
        <v>409</v>
      </c>
      <c r="E4630" s="385" t="s">
        <v>279</v>
      </c>
      <c r="F4630" s="305" t="s">
        <v>539</v>
      </c>
      <c r="G4630" s="353">
        <v>7.0999999999999994E-2</v>
      </c>
      <c r="H4630" s="311" t="s">
        <v>1053</v>
      </c>
      <c r="I4630" s="305" t="s">
        <v>152</v>
      </c>
      <c r="J4630" s="305" t="s">
        <v>101</v>
      </c>
      <c r="K4630" s="305" t="s">
        <v>2371</v>
      </c>
    </row>
    <row r="4631" spans="1:11" x14ac:dyDescent="0.25">
      <c r="A4631" s="302" t="str">
        <f t="shared" si="115"/>
        <v>Advanced Thermostat_Furnace (Replace Programmable) - Non DI_SF_Household Factor</v>
      </c>
      <c r="B4631" s="303" t="s">
        <v>7</v>
      </c>
      <c r="C4631" s="303" t="s">
        <v>1408</v>
      </c>
      <c r="D4631" s="303" t="s">
        <v>409</v>
      </c>
      <c r="E4631" s="305" t="s">
        <v>276</v>
      </c>
      <c r="F4631" s="305" t="s">
        <v>539</v>
      </c>
      <c r="G4631" s="308">
        <v>1</v>
      </c>
      <c r="H4631" s="305" t="s">
        <v>375</v>
      </c>
      <c r="I4631" s="305" t="s">
        <v>152</v>
      </c>
      <c r="J4631" s="305" t="s">
        <v>101</v>
      </c>
      <c r="K4631" s="305" t="s">
        <v>2371</v>
      </c>
    </row>
    <row r="4632" spans="1:11" x14ac:dyDescent="0.25">
      <c r="A4632" s="302" t="str">
        <f t="shared" si="115"/>
        <v>Advanced Thermostat_Furnace (Replace Programmable) - Non DI_SF_Gas Heating Consumption</v>
      </c>
      <c r="B4632" s="303" t="s">
        <v>7</v>
      </c>
      <c r="C4632" s="303" t="s">
        <v>1408</v>
      </c>
      <c r="D4632" s="303" t="s">
        <v>409</v>
      </c>
      <c r="E4632" s="305" t="s">
        <v>275</v>
      </c>
      <c r="F4632" s="305" t="s">
        <v>1015</v>
      </c>
      <c r="G4632" s="339">
        <v>1005</v>
      </c>
      <c r="H4632" s="305" t="s">
        <v>675</v>
      </c>
      <c r="I4632" s="305" t="s">
        <v>152</v>
      </c>
      <c r="J4632" s="305" t="s">
        <v>101</v>
      </c>
      <c r="K4632" s="305" t="s">
        <v>2371</v>
      </c>
    </row>
    <row r="4633" spans="1:11" x14ac:dyDescent="0.25">
      <c r="A4633" s="302" t="str">
        <f t="shared" si="115"/>
        <v>Advanced Thermostat_Furnace (Replace Programmable) - Non DI_SF_ISR</v>
      </c>
      <c r="B4633" s="303" t="s">
        <v>7</v>
      </c>
      <c r="C4633" s="303" t="s">
        <v>1408</v>
      </c>
      <c r="D4633" s="303" t="s">
        <v>409</v>
      </c>
      <c r="E4633" s="305" t="s">
        <v>267</v>
      </c>
      <c r="F4633" s="305" t="s">
        <v>539</v>
      </c>
      <c r="G4633" s="322">
        <v>1</v>
      </c>
      <c r="H4633" s="311" t="s">
        <v>1890</v>
      </c>
      <c r="I4633" s="305" t="s">
        <v>152</v>
      </c>
      <c r="J4633" s="305" t="s">
        <v>101</v>
      </c>
      <c r="K4633" s="305" t="s">
        <v>2371</v>
      </c>
    </row>
    <row r="4634" spans="1:11" x14ac:dyDescent="0.25">
      <c r="A4634" s="302" t="str">
        <f t="shared" si="115"/>
        <v>Advanced Thermostat_Furnace (Replace Programmable) - Non DI_SF_%FossilHeat</v>
      </c>
      <c r="B4634" s="303" t="s">
        <v>7</v>
      </c>
      <c r="C4634" s="303" t="s">
        <v>1408</v>
      </c>
      <c r="D4634" s="303" t="s">
        <v>409</v>
      </c>
      <c r="E4634" s="311" t="s">
        <v>1938</v>
      </c>
      <c r="F4634" s="334" t="s">
        <v>539</v>
      </c>
      <c r="G4634" s="322">
        <v>1</v>
      </c>
      <c r="H4634" s="311" t="s">
        <v>1940</v>
      </c>
      <c r="I4634" s="305" t="s">
        <v>152</v>
      </c>
      <c r="J4634" s="305" t="s">
        <v>101</v>
      </c>
      <c r="K4634" s="305" t="s">
        <v>2371</v>
      </c>
    </row>
    <row r="4635" spans="1:11" x14ac:dyDescent="0.25">
      <c r="A4635" s="302" t="str">
        <f t="shared" si="115"/>
        <v>Advanced Thermostat_Furnace (Replace Programmable) - Non DI_SF_Furnace Fan Energy Consumption %</v>
      </c>
      <c r="B4635" s="303" t="s">
        <v>7</v>
      </c>
      <c r="C4635" s="303" t="s">
        <v>1408</v>
      </c>
      <c r="D4635" s="303" t="s">
        <v>409</v>
      </c>
      <c r="E4635" s="385" t="s">
        <v>277</v>
      </c>
      <c r="F4635" s="305" t="s">
        <v>539</v>
      </c>
      <c r="G4635" s="333">
        <v>3.1399999999999997E-2</v>
      </c>
      <c r="H4635" s="305" t="s">
        <v>278</v>
      </c>
      <c r="I4635" s="305" t="s">
        <v>152</v>
      </c>
      <c r="J4635" s="305" t="s">
        <v>101</v>
      </c>
      <c r="K4635" s="305" t="s">
        <v>2371</v>
      </c>
    </row>
    <row r="4636" spans="1:11" x14ac:dyDescent="0.25">
      <c r="A4636" s="302" t="str">
        <f t="shared" si="115"/>
        <v>Advanced Thermostat_Furnace (Replace Programmable) - Non DI_SF_Therm Saved per Unit</v>
      </c>
      <c r="B4636" s="303" t="s">
        <v>7</v>
      </c>
      <c r="C4636" s="303" t="s">
        <v>1408</v>
      </c>
      <c r="D4636" s="303" t="s">
        <v>409</v>
      </c>
      <c r="E4636" s="314" t="s">
        <v>326</v>
      </c>
      <c r="F4636" s="314"/>
      <c r="G4636" s="315">
        <f>G4632*G4630*G4631*G4633*G4634</f>
        <v>71.35499999999999</v>
      </c>
      <c r="H4636" s="305"/>
      <c r="I4636" s="305" t="s">
        <v>152</v>
      </c>
      <c r="J4636" s="305" t="s">
        <v>101</v>
      </c>
      <c r="K4636" s="305" t="s">
        <v>2371</v>
      </c>
    </row>
    <row r="4637" spans="1:11" x14ac:dyDescent="0.25">
      <c r="A4637" s="302" t="str">
        <f t="shared" si="115"/>
        <v>Advanced Thermostat_Furnace (Replace Programmable) - Non DI_SF_kWh Saved per Unit</v>
      </c>
      <c r="B4637" s="303" t="s">
        <v>7</v>
      </c>
      <c r="C4637" s="303" t="s">
        <v>1408</v>
      </c>
      <c r="D4637" s="303" t="s">
        <v>409</v>
      </c>
      <c r="E4637" s="314" t="s">
        <v>255</v>
      </c>
      <c r="F4637" s="314"/>
      <c r="G4637" s="315">
        <f>G4636*G4635*29.3</f>
        <v>65.648027099999979</v>
      </c>
      <c r="H4637" s="305"/>
      <c r="I4637" s="305" t="s">
        <v>152</v>
      </c>
      <c r="J4637" s="305" t="s">
        <v>101</v>
      </c>
      <c r="K4637" s="305" t="s">
        <v>2371</v>
      </c>
    </row>
    <row r="4638" spans="1:11" x14ac:dyDescent="0.25">
      <c r="A4638" s="302" t="str">
        <f t="shared" si="115"/>
        <v>Advanced Thermostat_Furnace (Replace Programmable) - Non DI_SF_Lifetime (years)</v>
      </c>
      <c r="B4638" s="303" t="s">
        <v>7</v>
      </c>
      <c r="C4638" s="303" t="s">
        <v>1408</v>
      </c>
      <c r="D4638" s="303" t="s">
        <v>409</v>
      </c>
      <c r="E4638" s="314" t="s">
        <v>259</v>
      </c>
      <c r="F4638" s="314" t="s">
        <v>548</v>
      </c>
      <c r="G4638" s="315">
        <v>11</v>
      </c>
      <c r="H4638" s="305"/>
      <c r="I4638" s="305" t="s">
        <v>152</v>
      </c>
      <c r="J4638" s="305" t="s">
        <v>101</v>
      </c>
      <c r="K4638" s="305" t="s">
        <v>2371</v>
      </c>
    </row>
    <row r="4639" spans="1:11" x14ac:dyDescent="0.25">
      <c r="A4639" s="302" t="str">
        <f t="shared" si="115"/>
        <v>Advanced Thermostat_Furnace (Replace Programmable) - Non DI_SF_Incremental Cost</v>
      </c>
      <c r="B4639" s="303" t="s">
        <v>7</v>
      </c>
      <c r="C4639" s="303" t="s">
        <v>1408</v>
      </c>
      <c r="D4639" s="303" t="s">
        <v>409</v>
      </c>
      <c r="E4639" s="314" t="s">
        <v>260</v>
      </c>
      <c r="F4639" s="314" t="s">
        <v>549</v>
      </c>
      <c r="G4639" s="328">
        <v>125</v>
      </c>
      <c r="H4639" s="305" t="s">
        <v>282</v>
      </c>
      <c r="I4639" s="305" t="s">
        <v>152</v>
      </c>
      <c r="J4639" s="305" t="s">
        <v>101</v>
      </c>
      <c r="K4639" s="305" t="s">
        <v>2371</v>
      </c>
    </row>
    <row r="4640" spans="1:11" x14ac:dyDescent="0.25">
      <c r="A4640" s="317" t="str">
        <f t="shared" si="115"/>
        <v>Advanced Thermostat_Furnace (Replace Programmable) - Non DI_SF_</v>
      </c>
      <c r="B4640" s="317" t="s">
        <v>7</v>
      </c>
      <c r="C4640" s="317" t="str">
        <f>C4639</f>
        <v>Furnace (Replace Programmable) - Non DI</v>
      </c>
      <c r="D4640" s="317" t="s">
        <v>409</v>
      </c>
      <c r="E4640" s="317"/>
      <c r="F4640" s="317"/>
      <c r="G4640" s="323"/>
      <c r="H4640" s="320"/>
      <c r="I4640" s="320"/>
      <c r="J4640" s="317"/>
      <c r="K4640" s="317"/>
    </row>
    <row r="4641" spans="1:11" x14ac:dyDescent="0.25">
      <c r="A4641" s="302" t="str">
        <f t="shared" si="115"/>
        <v>Advanced Thermostat_Furnace (Replace Unknown) - Non DI_SF_Heating Energy Reduction</v>
      </c>
      <c r="B4641" s="303" t="s">
        <v>7</v>
      </c>
      <c r="C4641" s="303" t="s">
        <v>1409</v>
      </c>
      <c r="D4641" s="303" t="s">
        <v>409</v>
      </c>
      <c r="E4641" s="385" t="s">
        <v>279</v>
      </c>
      <c r="F4641" s="305" t="s">
        <v>539</v>
      </c>
      <c r="G4641" s="353">
        <v>8.5000000000000006E-2</v>
      </c>
      <c r="H4641" s="311" t="s">
        <v>274</v>
      </c>
      <c r="I4641" s="305" t="s">
        <v>152</v>
      </c>
      <c r="J4641" s="305" t="s">
        <v>101</v>
      </c>
      <c r="K4641" s="305" t="s">
        <v>2371</v>
      </c>
    </row>
    <row r="4642" spans="1:11" x14ac:dyDescent="0.25">
      <c r="A4642" s="302" t="str">
        <f t="shared" si="115"/>
        <v>Advanced Thermostat_Furnace (Replace Unknown) - Non DI_SF_Household Factor</v>
      </c>
      <c r="B4642" s="303" t="s">
        <v>7</v>
      </c>
      <c r="C4642" s="303" t="s">
        <v>1409</v>
      </c>
      <c r="D4642" s="303" t="s">
        <v>409</v>
      </c>
      <c r="E4642" s="305" t="s">
        <v>276</v>
      </c>
      <c r="F4642" s="305" t="s">
        <v>539</v>
      </c>
      <c r="G4642" s="308">
        <v>1</v>
      </c>
      <c r="H4642" s="305" t="s">
        <v>375</v>
      </c>
      <c r="I4642" s="305" t="s">
        <v>152</v>
      </c>
      <c r="J4642" s="305" t="s">
        <v>101</v>
      </c>
      <c r="K4642" s="305" t="s">
        <v>2371</v>
      </c>
    </row>
    <row r="4643" spans="1:11" x14ac:dyDescent="0.25">
      <c r="A4643" s="302" t="str">
        <f t="shared" si="115"/>
        <v>Advanced Thermostat_Furnace (Replace Unknown) - Non DI_SF_Gas Heating Consumption</v>
      </c>
      <c r="B4643" s="303" t="s">
        <v>7</v>
      </c>
      <c r="C4643" s="303" t="s">
        <v>1409</v>
      </c>
      <c r="D4643" s="303" t="s">
        <v>409</v>
      </c>
      <c r="E4643" s="305" t="s">
        <v>275</v>
      </c>
      <c r="F4643" s="305" t="s">
        <v>1015</v>
      </c>
      <c r="G4643" s="339">
        <v>1005</v>
      </c>
      <c r="H4643" s="305" t="s">
        <v>675</v>
      </c>
      <c r="I4643" s="305" t="s">
        <v>152</v>
      </c>
      <c r="J4643" s="305" t="s">
        <v>101</v>
      </c>
      <c r="K4643" s="305" t="s">
        <v>2371</v>
      </c>
    </row>
    <row r="4644" spans="1:11" x14ac:dyDescent="0.25">
      <c r="A4644" s="302" t="str">
        <f t="shared" si="115"/>
        <v>Advanced Thermostat_Furnace (Replace Unknown) - Non DI_SF_ISR</v>
      </c>
      <c r="B4644" s="303" t="s">
        <v>7</v>
      </c>
      <c r="C4644" s="303" t="s">
        <v>1409</v>
      </c>
      <c r="D4644" s="303" t="s">
        <v>409</v>
      </c>
      <c r="E4644" s="305" t="s">
        <v>267</v>
      </c>
      <c r="F4644" s="305" t="s">
        <v>539</v>
      </c>
      <c r="G4644" s="322">
        <v>1</v>
      </c>
      <c r="H4644" s="311" t="s">
        <v>1890</v>
      </c>
      <c r="I4644" s="305" t="s">
        <v>152</v>
      </c>
      <c r="J4644" s="305" t="s">
        <v>101</v>
      </c>
      <c r="K4644" s="305" t="s">
        <v>2371</v>
      </c>
    </row>
    <row r="4645" spans="1:11" x14ac:dyDescent="0.25">
      <c r="A4645" s="302" t="str">
        <f t="shared" ref="A4645" si="116">B4645&amp;"_"&amp;C4645&amp;"_"&amp;D4645&amp;"_"&amp;E4645</f>
        <v>Advanced Thermostat_Furnace (Replace Unknown) - Non DI_SF_%FossilHeat</v>
      </c>
      <c r="B4645" s="303" t="s">
        <v>7</v>
      </c>
      <c r="C4645" s="303" t="s">
        <v>1409</v>
      </c>
      <c r="D4645" s="303" t="s">
        <v>409</v>
      </c>
      <c r="E4645" s="311" t="s">
        <v>1938</v>
      </c>
      <c r="F4645" s="334" t="s">
        <v>539</v>
      </c>
      <c r="G4645" s="322">
        <v>1</v>
      </c>
      <c r="H4645" s="311" t="s">
        <v>1940</v>
      </c>
      <c r="I4645" s="305" t="s">
        <v>152</v>
      </c>
      <c r="J4645" s="305" t="s">
        <v>101</v>
      </c>
      <c r="K4645" s="305" t="s">
        <v>2371</v>
      </c>
    </row>
    <row r="4646" spans="1:11" x14ac:dyDescent="0.25">
      <c r="A4646" s="302" t="str">
        <f t="shared" si="115"/>
        <v>Advanced Thermostat_Furnace (Replace Unknown) - Non DI_SF_Furnace Fan Energy Consumption %</v>
      </c>
      <c r="B4646" s="303" t="s">
        <v>7</v>
      </c>
      <c r="C4646" s="303" t="s">
        <v>1409</v>
      </c>
      <c r="D4646" s="303" t="s">
        <v>409</v>
      </c>
      <c r="E4646" s="385" t="s">
        <v>277</v>
      </c>
      <c r="F4646" s="305" t="s">
        <v>539</v>
      </c>
      <c r="G4646" s="333">
        <v>3.1399999999999997E-2</v>
      </c>
      <c r="H4646" s="305" t="s">
        <v>278</v>
      </c>
      <c r="I4646" s="305" t="s">
        <v>152</v>
      </c>
      <c r="J4646" s="305" t="s">
        <v>101</v>
      </c>
      <c r="K4646" s="305" t="s">
        <v>2371</v>
      </c>
    </row>
    <row r="4647" spans="1:11" x14ac:dyDescent="0.25">
      <c r="A4647" s="302" t="str">
        <f t="shared" si="115"/>
        <v>Advanced Thermostat_Furnace (Replace Unknown) - Non DI_SF_Therm Saved per Unit</v>
      </c>
      <c r="B4647" s="303" t="s">
        <v>7</v>
      </c>
      <c r="C4647" s="303" t="s">
        <v>1409</v>
      </c>
      <c r="D4647" s="303" t="s">
        <v>409</v>
      </c>
      <c r="E4647" s="314" t="s">
        <v>326</v>
      </c>
      <c r="F4647" s="314"/>
      <c r="G4647" s="315">
        <f>G4643*G4641*G4642*G4644*G4645</f>
        <v>85.425000000000011</v>
      </c>
      <c r="H4647" s="305"/>
      <c r="I4647" s="305" t="s">
        <v>152</v>
      </c>
      <c r="J4647" s="305" t="s">
        <v>101</v>
      </c>
      <c r="K4647" s="305" t="s">
        <v>2371</v>
      </c>
    </row>
    <row r="4648" spans="1:11" x14ac:dyDescent="0.25">
      <c r="A4648" s="302" t="str">
        <f t="shared" si="115"/>
        <v>Advanced Thermostat_Furnace (Replace Unknown) - Non DI_SF_kWh Saved per Unit</v>
      </c>
      <c r="B4648" s="303" t="s">
        <v>7</v>
      </c>
      <c r="C4648" s="303" t="s">
        <v>1409</v>
      </c>
      <c r="D4648" s="303" t="s">
        <v>409</v>
      </c>
      <c r="E4648" s="314" t="s">
        <v>255</v>
      </c>
      <c r="F4648" s="314"/>
      <c r="G4648" s="315">
        <f>G4647*G4646*29.3</f>
        <v>78.592708500000015</v>
      </c>
      <c r="H4648" s="305"/>
      <c r="I4648" s="305" t="s">
        <v>152</v>
      </c>
      <c r="J4648" s="305" t="s">
        <v>101</v>
      </c>
      <c r="K4648" s="305" t="s">
        <v>2371</v>
      </c>
    </row>
    <row r="4649" spans="1:11" x14ac:dyDescent="0.25">
      <c r="A4649" s="302" t="str">
        <f t="shared" si="115"/>
        <v>Advanced Thermostat_Furnace (Replace Unknown) - Non DI_SF_Lifetime (years)</v>
      </c>
      <c r="B4649" s="303" t="s">
        <v>7</v>
      </c>
      <c r="C4649" s="303" t="s">
        <v>1409</v>
      </c>
      <c r="D4649" s="303" t="s">
        <v>409</v>
      </c>
      <c r="E4649" s="314" t="s">
        <v>259</v>
      </c>
      <c r="F4649" s="314" t="s">
        <v>548</v>
      </c>
      <c r="G4649" s="315">
        <v>11</v>
      </c>
      <c r="H4649" s="305"/>
      <c r="I4649" s="305" t="s">
        <v>152</v>
      </c>
      <c r="J4649" s="305" t="s">
        <v>101</v>
      </c>
      <c r="K4649" s="305" t="s">
        <v>2371</v>
      </c>
    </row>
    <row r="4650" spans="1:11" x14ac:dyDescent="0.25">
      <c r="A4650" s="302" t="str">
        <f t="shared" si="115"/>
        <v>Advanced Thermostat_Furnace (Replace Unknown) - Non DI_SF_Incremental Cost</v>
      </c>
      <c r="B4650" s="303" t="s">
        <v>7</v>
      </c>
      <c r="C4650" s="303" t="s">
        <v>1409</v>
      </c>
      <c r="D4650" s="303" t="s">
        <v>409</v>
      </c>
      <c r="E4650" s="314" t="s">
        <v>260</v>
      </c>
      <c r="F4650" s="314" t="s">
        <v>549</v>
      </c>
      <c r="G4650" s="328">
        <v>125</v>
      </c>
      <c r="H4650" s="305" t="s">
        <v>282</v>
      </c>
      <c r="I4650" s="305" t="s">
        <v>152</v>
      </c>
      <c r="J4650" s="305" t="s">
        <v>101</v>
      </c>
      <c r="K4650" s="305" t="s">
        <v>2371</v>
      </c>
    </row>
    <row r="4651" spans="1:11" x14ac:dyDescent="0.25">
      <c r="A4651" s="317" t="str">
        <f t="shared" si="115"/>
        <v>Advanced Thermostat_Furnace (Replace Unknown) - Non DI_SF_</v>
      </c>
      <c r="B4651" s="317" t="s">
        <v>7</v>
      </c>
      <c r="C4651" s="317" t="str">
        <f>C4650</f>
        <v>Furnace (Replace Unknown) - Non DI</v>
      </c>
      <c r="D4651" s="317" t="s">
        <v>409</v>
      </c>
      <c r="E4651" s="317"/>
      <c r="F4651" s="317"/>
      <c r="G4651" s="323"/>
      <c r="H4651" s="320"/>
      <c r="I4651" s="320"/>
      <c r="J4651" s="317"/>
      <c r="K4651" s="317"/>
    </row>
    <row r="4652" spans="1:11" x14ac:dyDescent="0.25">
      <c r="A4652" s="302" t="str">
        <f t="shared" si="115"/>
        <v>Advanced Thermostat_Boiler (Replace Manual) - Non DI_SF_Heating Energy Reduction</v>
      </c>
      <c r="B4652" s="303" t="s">
        <v>7</v>
      </c>
      <c r="C4652" s="303" t="s">
        <v>1410</v>
      </c>
      <c r="D4652" s="303" t="s">
        <v>409</v>
      </c>
      <c r="E4652" s="385" t="s">
        <v>279</v>
      </c>
      <c r="F4652" s="305" t="s">
        <v>539</v>
      </c>
      <c r="G4652" s="353">
        <v>0.10199999999999999</v>
      </c>
      <c r="H4652" s="311" t="s">
        <v>1048</v>
      </c>
      <c r="I4652" s="305" t="s">
        <v>152</v>
      </c>
      <c r="J4652" s="305" t="s">
        <v>101</v>
      </c>
      <c r="K4652" s="305" t="s">
        <v>2371</v>
      </c>
    </row>
    <row r="4653" spans="1:11" x14ac:dyDescent="0.25">
      <c r="A4653" s="302" t="str">
        <f t="shared" si="115"/>
        <v>Advanced Thermostat_Boiler (Replace Manual) - Non DI_SF_Household Factor</v>
      </c>
      <c r="B4653" s="303" t="s">
        <v>7</v>
      </c>
      <c r="C4653" s="303" t="s">
        <v>1410</v>
      </c>
      <c r="D4653" s="303" t="s">
        <v>409</v>
      </c>
      <c r="E4653" s="305" t="s">
        <v>276</v>
      </c>
      <c r="F4653" s="305" t="s">
        <v>539</v>
      </c>
      <c r="G4653" s="308">
        <v>1</v>
      </c>
      <c r="H4653" s="305" t="s">
        <v>375</v>
      </c>
      <c r="I4653" s="305" t="s">
        <v>152</v>
      </c>
      <c r="J4653" s="305" t="s">
        <v>101</v>
      </c>
      <c r="K4653" s="305" t="s">
        <v>2371</v>
      </c>
    </row>
    <row r="4654" spans="1:11" x14ac:dyDescent="0.25">
      <c r="A4654" s="302" t="str">
        <f t="shared" si="115"/>
        <v>Advanced Thermostat_Boiler (Replace Manual) - Non DI_SF_Gas Heating Consumption</v>
      </c>
      <c r="B4654" s="303" t="s">
        <v>7</v>
      </c>
      <c r="C4654" s="303" t="s">
        <v>1410</v>
      </c>
      <c r="D4654" s="303" t="s">
        <v>409</v>
      </c>
      <c r="E4654" s="305" t="s">
        <v>275</v>
      </c>
      <c r="F4654" s="305" t="s">
        <v>1015</v>
      </c>
      <c r="G4654" s="306">
        <v>1485</v>
      </c>
      <c r="H4654" s="305" t="s">
        <v>633</v>
      </c>
      <c r="I4654" s="305" t="s">
        <v>633</v>
      </c>
      <c r="J4654" s="305"/>
      <c r="K4654" s="305"/>
    </row>
    <row r="4655" spans="1:11" x14ac:dyDescent="0.25">
      <c r="A4655" s="302" t="str">
        <f t="shared" si="115"/>
        <v>Advanced Thermostat_Boiler (Replace Manual) - Non DI_SF_ISR</v>
      </c>
      <c r="B4655" s="303" t="s">
        <v>7</v>
      </c>
      <c r="C4655" s="303" t="s">
        <v>1410</v>
      </c>
      <c r="D4655" s="303" t="s">
        <v>409</v>
      </c>
      <c r="E4655" s="305" t="s">
        <v>267</v>
      </c>
      <c r="F4655" s="305" t="s">
        <v>539</v>
      </c>
      <c r="G4655" s="322">
        <v>1</v>
      </c>
      <c r="H4655" s="311" t="s">
        <v>1890</v>
      </c>
      <c r="I4655" s="305" t="s">
        <v>152</v>
      </c>
      <c r="J4655" s="305" t="s">
        <v>101</v>
      </c>
      <c r="K4655" s="305" t="s">
        <v>2371</v>
      </c>
    </row>
    <row r="4656" spans="1:11" x14ac:dyDescent="0.25">
      <c r="A4656" s="302" t="str">
        <f t="shared" si="115"/>
        <v>Advanced Thermostat_Boiler (Replace Manual) - Non DI_SF_%FossilHeat</v>
      </c>
      <c r="B4656" s="303" t="s">
        <v>7</v>
      </c>
      <c r="C4656" s="303" t="s">
        <v>1410</v>
      </c>
      <c r="D4656" s="303" t="s">
        <v>409</v>
      </c>
      <c r="E4656" s="311" t="s">
        <v>1938</v>
      </c>
      <c r="F4656" s="334" t="s">
        <v>539</v>
      </c>
      <c r="G4656" s="322">
        <v>1</v>
      </c>
      <c r="H4656" s="311" t="s">
        <v>1940</v>
      </c>
      <c r="I4656" s="305" t="s">
        <v>152</v>
      </c>
      <c r="J4656" s="305" t="s">
        <v>101</v>
      </c>
      <c r="K4656" s="305" t="s">
        <v>2371</v>
      </c>
    </row>
    <row r="4657" spans="1:11" x14ac:dyDescent="0.25">
      <c r="A4657" s="302" t="str">
        <f t="shared" si="115"/>
        <v>Advanced Thermostat_Boiler (Replace Manual) - Non DI_SF_Furnace Fan Energy Consumption %</v>
      </c>
      <c r="B4657" s="303" t="s">
        <v>7</v>
      </c>
      <c r="C4657" s="303" t="s">
        <v>1410</v>
      </c>
      <c r="D4657" s="303" t="s">
        <v>409</v>
      </c>
      <c r="E4657" s="385" t="s">
        <v>277</v>
      </c>
      <c r="F4657" s="305" t="s">
        <v>539</v>
      </c>
      <c r="G4657" s="333">
        <v>3.1399999999999997E-2</v>
      </c>
      <c r="H4657" s="305" t="s">
        <v>278</v>
      </c>
      <c r="I4657" s="305" t="s">
        <v>152</v>
      </c>
      <c r="J4657" s="305" t="s">
        <v>101</v>
      </c>
      <c r="K4657" s="305" t="s">
        <v>2371</v>
      </c>
    </row>
    <row r="4658" spans="1:11" x14ac:dyDescent="0.25">
      <c r="A4658" s="302" t="str">
        <f t="shared" si="115"/>
        <v>Advanced Thermostat_Boiler (Replace Manual) - Non DI_SF_Therm Saved per Unit</v>
      </c>
      <c r="B4658" s="303" t="s">
        <v>7</v>
      </c>
      <c r="C4658" s="303" t="s">
        <v>1410</v>
      </c>
      <c r="D4658" s="303" t="s">
        <v>409</v>
      </c>
      <c r="E4658" s="314" t="s">
        <v>326</v>
      </c>
      <c r="F4658" s="314"/>
      <c r="G4658" s="344">
        <f>G4654*G4652*G4653*G4655*G4656</f>
        <v>151.47</v>
      </c>
      <c r="H4658" s="305"/>
      <c r="I4658" s="305" t="s">
        <v>152</v>
      </c>
      <c r="J4658" s="305" t="s">
        <v>101</v>
      </c>
      <c r="K4658" s="305" t="s">
        <v>2371</v>
      </c>
    </row>
    <row r="4659" spans="1:11" x14ac:dyDescent="0.25">
      <c r="A4659" s="302" t="str">
        <f t="shared" si="115"/>
        <v>Advanced Thermostat_Boiler (Replace Manual) - Non DI_SF_kWh Saved per Unit</v>
      </c>
      <c r="B4659" s="303" t="s">
        <v>7</v>
      </c>
      <c r="C4659" s="303" t="s">
        <v>1410</v>
      </c>
      <c r="D4659" s="303" t="s">
        <v>409</v>
      </c>
      <c r="E4659" s="314" t="s">
        <v>255</v>
      </c>
      <c r="F4659" s="314"/>
      <c r="G4659" s="344">
        <f>G4658*G4657*29.3</f>
        <v>139.35542939999999</v>
      </c>
      <c r="H4659" s="305"/>
      <c r="I4659" s="305" t="s">
        <v>152</v>
      </c>
      <c r="J4659" s="305" t="s">
        <v>101</v>
      </c>
      <c r="K4659" s="305" t="s">
        <v>2371</v>
      </c>
    </row>
    <row r="4660" spans="1:11" x14ac:dyDescent="0.25">
      <c r="A4660" s="302" t="str">
        <f t="shared" si="115"/>
        <v>Advanced Thermostat_Boiler (Replace Manual) - Non DI_SF_Lifetime (years)</v>
      </c>
      <c r="B4660" s="303" t="s">
        <v>7</v>
      </c>
      <c r="C4660" s="303" t="s">
        <v>1410</v>
      </c>
      <c r="D4660" s="303" t="s">
        <v>409</v>
      </c>
      <c r="E4660" s="314" t="s">
        <v>259</v>
      </c>
      <c r="F4660" s="314" t="s">
        <v>548</v>
      </c>
      <c r="G4660" s="315">
        <v>11</v>
      </c>
      <c r="H4660" s="305"/>
      <c r="I4660" s="305" t="s">
        <v>152</v>
      </c>
      <c r="J4660" s="305" t="s">
        <v>101</v>
      </c>
      <c r="K4660" s="305" t="s">
        <v>2371</v>
      </c>
    </row>
    <row r="4661" spans="1:11" x14ac:dyDescent="0.25">
      <c r="A4661" s="302" t="str">
        <f t="shared" si="115"/>
        <v>Advanced Thermostat_Boiler (Replace Manual) - Non DI_SF_Incremental Cost</v>
      </c>
      <c r="B4661" s="303" t="s">
        <v>7</v>
      </c>
      <c r="C4661" s="303" t="s">
        <v>1410</v>
      </c>
      <c r="D4661" s="303" t="s">
        <v>409</v>
      </c>
      <c r="E4661" s="314" t="s">
        <v>260</v>
      </c>
      <c r="F4661" s="314" t="s">
        <v>549</v>
      </c>
      <c r="G4661" s="328">
        <v>125</v>
      </c>
      <c r="H4661" s="305" t="s">
        <v>282</v>
      </c>
      <c r="I4661" s="305" t="s">
        <v>152</v>
      </c>
      <c r="J4661" s="305" t="s">
        <v>101</v>
      </c>
      <c r="K4661" s="305" t="s">
        <v>2371</v>
      </c>
    </row>
    <row r="4662" spans="1:11" x14ac:dyDescent="0.25">
      <c r="A4662" s="317" t="str">
        <f t="shared" si="115"/>
        <v>Advanced Thermostat_Boiler (Replace Manual) - Non DI_SF_</v>
      </c>
      <c r="B4662" s="317" t="s">
        <v>7</v>
      </c>
      <c r="C4662" s="317" t="str">
        <f>C4661</f>
        <v>Boiler (Replace Manual) - Non DI</v>
      </c>
      <c r="D4662" s="317" t="s">
        <v>409</v>
      </c>
      <c r="E4662" s="317"/>
      <c r="F4662" s="317"/>
      <c r="G4662" s="323"/>
      <c r="H4662" s="320"/>
      <c r="I4662" s="320"/>
      <c r="J4662" s="317"/>
      <c r="K4662" s="317"/>
    </row>
    <row r="4663" spans="1:11" x14ac:dyDescent="0.25">
      <c r="A4663" s="302" t="str">
        <f t="shared" si="115"/>
        <v>Advanced Thermostat_Boiler (Replace Programmable) - Non DI_SF_Heating Energy Reduction</v>
      </c>
      <c r="B4663" s="303" t="s">
        <v>7</v>
      </c>
      <c r="C4663" s="303" t="s">
        <v>1411</v>
      </c>
      <c r="D4663" s="303" t="s">
        <v>409</v>
      </c>
      <c r="E4663" s="385" t="s">
        <v>279</v>
      </c>
      <c r="F4663" s="305" t="s">
        <v>539</v>
      </c>
      <c r="G4663" s="353">
        <v>7.0999999999999994E-2</v>
      </c>
      <c r="H4663" s="311" t="s">
        <v>1053</v>
      </c>
      <c r="I4663" s="305" t="s">
        <v>152</v>
      </c>
      <c r="J4663" s="305" t="s">
        <v>101</v>
      </c>
      <c r="K4663" s="305" t="s">
        <v>2371</v>
      </c>
    </row>
    <row r="4664" spans="1:11" x14ac:dyDescent="0.25">
      <c r="A4664" s="302" t="str">
        <f t="shared" si="115"/>
        <v>Advanced Thermostat_Boiler (Replace Programmable) - Non DI_SF_Household Factor</v>
      </c>
      <c r="B4664" s="303" t="s">
        <v>7</v>
      </c>
      <c r="C4664" s="303" t="s">
        <v>1411</v>
      </c>
      <c r="D4664" s="303" t="s">
        <v>409</v>
      </c>
      <c r="E4664" s="305" t="s">
        <v>276</v>
      </c>
      <c r="F4664" s="305" t="s">
        <v>539</v>
      </c>
      <c r="G4664" s="308">
        <v>1</v>
      </c>
      <c r="H4664" s="305" t="s">
        <v>375</v>
      </c>
      <c r="I4664" s="305" t="s">
        <v>152</v>
      </c>
      <c r="J4664" s="305" t="s">
        <v>101</v>
      </c>
      <c r="K4664" s="305" t="s">
        <v>2371</v>
      </c>
    </row>
    <row r="4665" spans="1:11" x14ac:dyDescent="0.25">
      <c r="A4665" s="302" t="str">
        <f t="shared" si="115"/>
        <v>Advanced Thermostat_Boiler (Replace Programmable) - Non DI_SF_Gas Heating Consumption</v>
      </c>
      <c r="B4665" s="303" t="s">
        <v>7</v>
      </c>
      <c r="C4665" s="303" t="s">
        <v>1411</v>
      </c>
      <c r="D4665" s="303" t="s">
        <v>409</v>
      </c>
      <c r="E4665" s="305" t="s">
        <v>275</v>
      </c>
      <c r="F4665" s="305" t="s">
        <v>1015</v>
      </c>
      <c r="G4665" s="306">
        <v>1485</v>
      </c>
      <c r="H4665" s="305" t="s">
        <v>633</v>
      </c>
      <c r="I4665" s="305" t="s">
        <v>633</v>
      </c>
      <c r="J4665" s="305"/>
      <c r="K4665" s="305"/>
    </row>
    <row r="4666" spans="1:11" x14ac:dyDescent="0.25">
      <c r="A4666" s="302" t="str">
        <f t="shared" si="115"/>
        <v>Advanced Thermostat_Boiler (Replace Programmable) - Non DI_SF_ISR</v>
      </c>
      <c r="B4666" s="303" t="s">
        <v>7</v>
      </c>
      <c r="C4666" s="303" t="s">
        <v>1411</v>
      </c>
      <c r="D4666" s="303" t="s">
        <v>409</v>
      </c>
      <c r="E4666" s="305" t="s">
        <v>267</v>
      </c>
      <c r="F4666" s="305" t="s">
        <v>539</v>
      </c>
      <c r="G4666" s="322">
        <v>1</v>
      </c>
      <c r="H4666" s="311" t="s">
        <v>1890</v>
      </c>
      <c r="I4666" s="305" t="s">
        <v>152</v>
      </c>
      <c r="J4666" s="305" t="s">
        <v>101</v>
      </c>
      <c r="K4666" s="305" t="s">
        <v>2371</v>
      </c>
    </row>
    <row r="4667" spans="1:11" x14ac:dyDescent="0.25">
      <c r="A4667" s="302" t="str">
        <f t="shared" ref="A4667" si="117">B4667&amp;"_"&amp;C4667&amp;"_"&amp;D4667&amp;"_"&amp;E4667</f>
        <v>Advanced Thermostat_Boiler (Replace Programmable) - Non DI_SF_%FossilHeat</v>
      </c>
      <c r="B4667" s="303" t="s">
        <v>7</v>
      </c>
      <c r="C4667" s="303" t="s">
        <v>1411</v>
      </c>
      <c r="D4667" s="303" t="s">
        <v>409</v>
      </c>
      <c r="E4667" s="311" t="s">
        <v>1938</v>
      </c>
      <c r="F4667" s="334" t="s">
        <v>539</v>
      </c>
      <c r="G4667" s="322">
        <v>1</v>
      </c>
      <c r="H4667" s="311" t="s">
        <v>1940</v>
      </c>
      <c r="I4667" s="305" t="s">
        <v>152</v>
      </c>
      <c r="J4667" s="305" t="s">
        <v>101</v>
      </c>
      <c r="K4667" s="305" t="s">
        <v>2371</v>
      </c>
    </row>
    <row r="4668" spans="1:11" x14ac:dyDescent="0.25">
      <c r="A4668" s="302" t="str">
        <f t="shared" si="115"/>
        <v>Advanced Thermostat_Boiler (Replace Programmable) - Non DI_SF_Furnace Fan Energy Consumption %</v>
      </c>
      <c r="B4668" s="303" t="s">
        <v>7</v>
      </c>
      <c r="C4668" s="303" t="s">
        <v>1411</v>
      </c>
      <c r="D4668" s="303" t="s">
        <v>409</v>
      </c>
      <c r="E4668" s="385" t="s">
        <v>277</v>
      </c>
      <c r="F4668" s="305" t="s">
        <v>539</v>
      </c>
      <c r="G4668" s="333">
        <v>3.1399999999999997E-2</v>
      </c>
      <c r="H4668" s="305" t="s">
        <v>278</v>
      </c>
      <c r="I4668" s="305" t="s">
        <v>152</v>
      </c>
      <c r="J4668" s="305" t="s">
        <v>101</v>
      </c>
      <c r="K4668" s="305" t="s">
        <v>2371</v>
      </c>
    </row>
    <row r="4669" spans="1:11" x14ac:dyDescent="0.25">
      <c r="A4669" s="302" t="str">
        <f t="shared" si="115"/>
        <v>Advanced Thermostat_Boiler (Replace Programmable) - Non DI_SF_Therm Saved per Unit</v>
      </c>
      <c r="B4669" s="303" t="s">
        <v>7</v>
      </c>
      <c r="C4669" s="303" t="s">
        <v>1411</v>
      </c>
      <c r="D4669" s="303" t="s">
        <v>409</v>
      </c>
      <c r="E4669" s="314" t="s">
        <v>326</v>
      </c>
      <c r="F4669" s="314"/>
      <c r="G4669" s="315">
        <f>G4665*G4663*G4664*G4666*G4667</f>
        <v>105.43499999999999</v>
      </c>
      <c r="H4669" s="305"/>
      <c r="I4669" s="305" t="s">
        <v>152</v>
      </c>
      <c r="J4669" s="305" t="s">
        <v>101</v>
      </c>
      <c r="K4669" s="305" t="s">
        <v>2371</v>
      </c>
    </row>
    <row r="4670" spans="1:11" x14ac:dyDescent="0.25">
      <c r="A4670" s="302" t="str">
        <f t="shared" si="115"/>
        <v>Advanced Thermostat_Boiler (Replace Programmable) - Non DI_SF_kWh Saved per Unit</v>
      </c>
      <c r="B4670" s="303" t="s">
        <v>7</v>
      </c>
      <c r="C4670" s="303" t="s">
        <v>1411</v>
      </c>
      <c r="D4670" s="303" t="s">
        <v>409</v>
      </c>
      <c r="E4670" s="314" t="s">
        <v>255</v>
      </c>
      <c r="F4670" s="314"/>
      <c r="G4670" s="315">
        <f>G4669*G4668*29.3</f>
        <v>97.002308699999986</v>
      </c>
      <c r="H4670" s="305"/>
      <c r="I4670" s="305" t="s">
        <v>152</v>
      </c>
      <c r="J4670" s="305" t="s">
        <v>101</v>
      </c>
      <c r="K4670" s="305" t="s">
        <v>2371</v>
      </c>
    </row>
    <row r="4671" spans="1:11" x14ac:dyDescent="0.25">
      <c r="A4671" s="302" t="str">
        <f t="shared" si="115"/>
        <v>Advanced Thermostat_Boiler (Replace Programmable) - Non DI_SF_Lifetime (years)</v>
      </c>
      <c r="B4671" s="303" t="s">
        <v>7</v>
      </c>
      <c r="C4671" s="303" t="s">
        <v>1411</v>
      </c>
      <c r="D4671" s="303" t="s">
        <v>409</v>
      </c>
      <c r="E4671" s="314" t="s">
        <v>259</v>
      </c>
      <c r="F4671" s="314" t="s">
        <v>548</v>
      </c>
      <c r="G4671" s="315">
        <v>11</v>
      </c>
      <c r="H4671" s="305"/>
      <c r="I4671" s="305" t="s">
        <v>152</v>
      </c>
      <c r="J4671" s="305" t="s">
        <v>101</v>
      </c>
      <c r="K4671" s="305" t="s">
        <v>2371</v>
      </c>
    </row>
    <row r="4672" spans="1:11" x14ac:dyDescent="0.25">
      <c r="A4672" s="302" t="str">
        <f t="shared" si="115"/>
        <v>Advanced Thermostat_Boiler (Replace Programmable) - Non DI_SF_Incremental Cost</v>
      </c>
      <c r="B4672" s="303" t="s">
        <v>7</v>
      </c>
      <c r="C4672" s="303" t="s">
        <v>1411</v>
      </c>
      <c r="D4672" s="303" t="s">
        <v>409</v>
      </c>
      <c r="E4672" s="314" t="s">
        <v>260</v>
      </c>
      <c r="F4672" s="314" t="s">
        <v>549</v>
      </c>
      <c r="G4672" s="328">
        <v>125</v>
      </c>
      <c r="H4672" s="305" t="s">
        <v>282</v>
      </c>
      <c r="I4672" s="305" t="s">
        <v>152</v>
      </c>
      <c r="J4672" s="305" t="s">
        <v>101</v>
      </c>
      <c r="K4672" s="305" t="s">
        <v>2371</v>
      </c>
    </row>
    <row r="4673" spans="1:11" x14ac:dyDescent="0.25">
      <c r="A4673" s="317" t="str">
        <f t="shared" si="115"/>
        <v>Advanced Thermostat_Boiler (Replace Programmable) - Non DI_SF_</v>
      </c>
      <c r="B4673" s="317" t="s">
        <v>7</v>
      </c>
      <c r="C4673" s="317" t="str">
        <f>C4672</f>
        <v>Boiler (Replace Programmable) - Non DI</v>
      </c>
      <c r="D4673" s="317" t="s">
        <v>409</v>
      </c>
      <c r="E4673" s="317"/>
      <c r="F4673" s="317"/>
      <c r="G4673" s="323"/>
      <c r="H4673" s="320"/>
      <c r="I4673" s="320"/>
      <c r="J4673" s="317"/>
      <c r="K4673" s="317"/>
    </row>
    <row r="4674" spans="1:11" x14ac:dyDescent="0.25">
      <c r="A4674" s="302" t="str">
        <f t="shared" si="115"/>
        <v>Advanced Thermostat_Boiler (Replace Unknown) - Non DI_SF_Heating Energy Reduction</v>
      </c>
      <c r="B4674" s="303" t="s">
        <v>7</v>
      </c>
      <c r="C4674" s="303" t="s">
        <v>1412</v>
      </c>
      <c r="D4674" s="303" t="s">
        <v>409</v>
      </c>
      <c r="E4674" s="385" t="s">
        <v>279</v>
      </c>
      <c r="F4674" s="305" t="s">
        <v>539</v>
      </c>
      <c r="G4674" s="353">
        <v>8.5000000000000006E-2</v>
      </c>
      <c r="H4674" s="311" t="s">
        <v>274</v>
      </c>
      <c r="I4674" s="305" t="s">
        <v>152</v>
      </c>
      <c r="J4674" s="305" t="s">
        <v>101</v>
      </c>
      <c r="K4674" s="305" t="s">
        <v>2371</v>
      </c>
    </row>
    <row r="4675" spans="1:11" x14ac:dyDescent="0.25">
      <c r="A4675" s="302" t="str">
        <f t="shared" si="115"/>
        <v>Advanced Thermostat_Boiler (Replace Unknown) - Non DI_SF_Household Factor</v>
      </c>
      <c r="B4675" s="303" t="s">
        <v>7</v>
      </c>
      <c r="C4675" s="303" t="s">
        <v>1412</v>
      </c>
      <c r="D4675" s="303" t="s">
        <v>409</v>
      </c>
      <c r="E4675" s="305" t="s">
        <v>276</v>
      </c>
      <c r="F4675" s="305" t="s">
        <v>539</v>
      </c>
      <c r="G4675" s="308">
        <v>1</v>
      </c>
      <c r="H4675" s="305" t="s">
        <v>375</v>
      </c>
      <c r="I4675" s="305" t="s">
        <v>152</v>
      </c>
      <c r="J4675" s="305" t="s">
        <v>101</v>
      </c>
      <c r="K4675" s="305" t="s">
        <v>2371</v>
      </c>
    </row>
    <row r="4676" spans="1:11" x14ac:dyDescent="0.25">
      <c r="A4676" s="302" t="str">
        <f t="shared" si="115"/>
        <v>Advanced Thermostat_Boiler (Replace Unknown) - Non DI_SF_Gas Heating Consumption</v>
      </c>
      <c r="B4676" s="303" t="s">
        <v>7</v>
      </c>
      <c r="C4676" s="303" t="s">
        <v>1412</v>
      </c>
      <c r="D4676" s="303" t="s">
        <v>409</v>
      </c>
      <c r="E4676" s="305" t="s">
        <v>275</v>
      </c>
      <c r="F4676" s="305" t="s">
        <v>1015</v>
      </c>
      <c r="G4676" s="306">
        <v>1485</v>
      </c>
      <c r="H4676" s="305" t="s">
        <v>633</v>
      </c>
      <c r="I4676" s="305" t="s">
        <v>633</v>
      </c>
      <c r="J4676" s="305"/>
      <c r="K4676" s="305"/>
    </row>
    <row r="4677" spans="1:11" x14ac:dyDescent="0.25">
      <c r="A4677" s="302" t="str">
        <f t="shared" si="115"/>
        <v>Advanced Thermostat_Boiler (Replace Unknown) - Non DI_SF_ISR</v>
      </c>
      <c r="B4677" s="303" t="s">
        <v>7</v>
      </c>
      <c r="C4677" s="303" t="s">
        <v>1412</v>
      </c>
      <c r="D4677" s="303" t="s">
        <v>409</v>
      </c>
      <c r="E4677" s="305" t="s">
        <v>267</v>
      </c>
      <c r="F4677" s="305" t="s">
        <v>539</v>
      </c>
      <c r="G4677" s="322">
        <v>1</v>
      </c>
      <c r="H4677" s="311" t="s">
        <v>1890</v>
      </c>
      <c r="I4677" s="305" t="s">
        <v>152</v>
      </c>
      <c r="J4677" s="305" t="s">
        <v>101</v>
      </c>
      <c r="K4677" s="305" t="s">
        <v>2371</v>
      </c>
    </row>
    <row r="4678" spans="1:11" x14ac:dyDescent="0.25">
      <c r="A4678" s="302" t="str">
        <f t="shared" si="115"/>
        <v>Advanced Thermostat_Boiler (Replace Unknown) - Non DI_SF_%FossilHeat</v>
      </c>
      <c r="B4678" s="303" t="s">
        <v>7</v>
      </c>
      <c r="C4678" s="303" t="s">
        <v>1412</v>
      </c>
      <c r="D4678" s="303" t="s">
        <v>409</v>
      </c>
      <c r="E4678" s="311" t="s">
        <v>1938</v>
      </c>
      <c r="F4678" s="334" t="s">
        <v>539</v>
      </c>
      <c r="G4678" s="322">
        <v>1</v>
      </c>
      <c r="H4678" s="311" t="s">
        <v>1940</v>
      </c>
      <c r="I4678" s="305" t="s">
        <v>152</v>
      </c>
      <c r="J4678" s="305" t="s">
        <v>101</v>
      </c>
      <c r="K4678" s="305" t="s">
        <v>2371</v>
      </c>
    </row>
    <row r="4679" spans="1:11" x14ac:dyDescent="0.25">
      <c r="A4679" s="302" t="str">
        <f t="shared" si="115"/>
        <v>Advanced Thermostat_Boiler (Replace Unknown) - Non DI_SF_Furnace Fan Energy Consumption %</v>
      </c>
      <c r="B4679" s="303" t="s">
        <v>7</v>
      </c>
      <c r="C4679" s="303" t="s">
        <v>1412</v>
      </c>
      <c r="D4679" s="303" t="s">
        <v>409</v>
      </c>
      <c r="E4679" s="385" t="s">
        <v>277</v>
      </c>
      <c r="F4679" s="305" t="s">
        <v>539</v>
      </c>
      <c r="G4679" s="333">
        <v>3.1399999999999997E-2</v>
      </c>
      <c r="H4679" s="305" t="s">
        <v>278</v>
      </c>
      <c r="I4679" s="305" t="s">
        <v>152</v>
      </c>
      <c r="J4679" s="305" t="s">
        <v>101</v>
      </c>
      <c r="K4679" s="305" t="s">
        <v>2371</v>
      </c>
    </row>
    <row r="4680" spans="1:11" x14ac:dyDescent="0.25">
      <c r="A4680" s="302" t="str">
        <f t="shared" si="115"/>
        <v>Advanced Thermostat_Boiler (Replace Unknown) - Non DI_SF_Therm Saved per Unit</v>
      </c>
      <c r="B4680" s="303" t="s">
        <v>7</v>
      </c>
      <c r="C4680" s="303" t="s">
        <v>1412</v>
      </c>
      <c r="D4680" s="303" t="s">
        <v>409</v>
      </c>
      <c r="E4680" s="314" t="s">
        <v>326</v>
      </c>
      <c r="F4680" s="314"/>
      <c r="G4680" s="315">
        <f>G4676*G4674*G4675*G4677*G4678</f>
        <v>126.22500000000001</v>
      </c>
      <c r="H4680" s="305"/>
      <c r="I4680" s="305" t="s">
        <v>152</v>
      </c>
      <c r="J4680" s="305" t="s">
        <v>101</v>
      </c>
      <c r="K4680" s="305" t="s">
        <v>2371</v>
      </c>
    </row>
    <row r="4681" spans="1:11" x14ac:dyDescent="0.25">
      <c r="A4681" s="302" t="str">
        <f t="shared" si="115"/>
        <v>Advanced Thermostat_Boiler (Replace Unknown) - Non DI_SF_kWh Saved per Unit</v>
      </c>
      <c r="B4681" s="303" t="s">
        <v>7</v>
      </c>
      <c r="C4681" s="303" t="s">
        <v>1412</v>
      </c>
      <c r="D4681" s="303" t="s">
        <v>409</v>
      </c>
      <c r="E4681" s="314" t="s">
        <v>255</v>
      </c>
      <c r="F4681" s="314"/>
      <c r="G4681" s="315">
        <f>G4680*G4679*29.3</f>
        <v>116.1295245</v>
      </c>
      <c r="H4681" s="305"/>
      <c r="I4681" s="305" t="s">
        <v>152</v>
      </c>
      <c r="J4681" s="305" t="s">
        <v>101</v>
      </c>
      <c r="K4681" s="305" t="s">
        <v>2371</v>
      </c>
    </row>
    <row r="4682" spans="1:11" x14ac:dyDescent="0.25">
      <c r="A4682" s="302" t="str">
        <f t="shared" si="115"/>
        <v>Advanced Thermostat_Boiler (Replace Unknown) - Non DI_SF_Lifetime (years)</v>
      </c>
      <c r="B4682" s="303" t="s">
        <v>7</v>
      </c>
      <c r="C4682" s="303" t="s">
        <v>1412</v>
      </c>
      <c r="D4682" s="303" t="s">
        <v>409</v>
      </c>
      <c r="E4682" s="314" t="s">
        <v>259</v>
      </c>
      <c r="F4682" s="314" t="s">
        <v>548</v>
      </c>
      <c r="G4682" s="315">
        <v>11</v>
      </c>
      <c r="H4682" s="305"/>
      <c r="I4682" s="305" t="s">
        <v>152</v>
      </c>
      <c r="J4682" s="305" t="s">
        <v>101</v>
      </c>
      <c r="K4682" s="305" t="s">
        <v>2371</v>
      </c>
    </row>
    <row r="4683" spans="1:11" x14ac:dyDescent="0.25">
      <c r="A4683" s="302" t="str">
        <f t="shared" si="115"/>
        <v>Advanced Thermostat_Boiler (Replace Unknown) - Non DI_SF_Incremental Cost</v>
      </c>
      <c r="B4683" s="303" t="s">
        <v>7</v>
      </c>
      <c r="C4683" s="303" t="s">
        <v>1412</v>
      </c>
      <c r="D4683" s="303" t="s">
        <v>409</v>
      </c>
      <c r="E4683" s="314" t="s">
        <v>260</v>
      </c>
      <c r="F4683" s="314" t="s">
        <v>549</v>
      </c>
      <c r="G4683" s="328">
        <v>125</v>
      </c>
      <c r="H4683" s="305" t="s">
        <v>282</v>
      </c>
      <c r="I4683" s="305" t="s">
        <v>152</v>
      </c>
      <c r="J4683" s="305" t="s">
        <v>101</v>
      </c>
      <c r="K4683" s="305" t="s">
        <v>2371</v>
      </c>
    </row>
    <row r="4684" spans="1:11" x14ac:dyDescent="0.25">
      <c r="A4684" s="317" t="str">
        <f t="shared" si="115"/>
        <v>Advanced Thermostat_Boiler (Replace Unknown) - Non DI_SF_</v>
      </c>
      <c r="B4684" s="317" t="s">
        <v>7</v>
      </c>
      <c r="C4684" s="317" t="str">
        <f>C4683</f>
        <v>Boiler (Replace Unknown) - Non DI</v>
      </c>
      <c r="D4684" s="317" t="s">
        <v>409</v>
      </c>
      <c r="E4684" s="317"/>
      <c r="F4684" s="317"/>
      <c r="G4684" s="323"/>
      <c r="H4684" s="320"/>
      <c r="I4684" s="320"/>
      <c r="J4684" s="317"/>
      <c r="K4684" s="317"/>
    </row>
    <row r="4685" spans="1:11" x14ac:dyDescent="0.25">
      <c r="A4685" s="302" t="str">
        <f t="shared" si="115"/>
        <v>Door Sweep_0_IE MF_Delta_therms</v>
      </c>
      <c r="B4685" s="303" t="s">
        <v>6</v>
      </c>
      <c r="C4685" s="304">
        <v>0</v>
      </c>
      <c r="D4685" s="303" t="s">
        <v>1398</v>
      </c>
      <c r="E4685" s="305" t="s">
        <v>491</v>
      </c>
      <c r="F4685" s="305" t="s">
        <v>575</v>
      </c>
      <c r="G4685" s="306">
        <v>9.1300000000000008</v>
      </c>
      <c r="H4685" s="305"/>
      <c r="I4685" s="305" t="s">
        <v>152</v>
      </c>
      <c r="J4685" s="305" t="s">
        <v>106</v>
      </c>
      <c r="K4685" s="305" t="s">
        <v>2058</v>
      </c>
    </row>
    <row r="4686" spans="1:11" x14ac:dyDescent="0.25">
      <c r="A4686" s="302" t="str">
        <f t="shared" si="115"/>
        <v>Door Sweep_0_IE MF_Delta_kWh</v>
      </c>
      <c r="B4686" s="303" t="s">
        <v>6</v>
      </c>
      <c r="C4686" s="304">
        <v>0</v>
      </c>
      <c r="D4686" s="303" t="s">
        <v>1398</v>
      </c>
      <c r="E4686" s="305" t="s">
        <v>359</v>
      </c>
      <c r="F4686" s="305" t="s">
        <v>438</v>
      </c>
      <c r="G4686" s="306">
        <f>AVERAGE(3.9,2)</f>
        <v>2.95</v>
      </c>
      <c r="H4686" s="305" t="s">
        <v>566</v>
      </c>
      <c r="I4686" s="305" t="s">
        <v>152</v>
      </c>
      <c r="J4686" s="305" t="s">
        <v>106</v>
      </c>
      <c r="K4686" s="305" t="s">
        <v>2058</v>
      </c>
    </row>
    <row r="4687" spans="1:11" x14ac:dyDescent="0.25">
      <c r="A4687" s="302" t="str">
        <f t="shared" si="115"/>
        <v>Door Sweep_0_IE MF_FLH Cooling</v>
      </c>
      <c r="B4687" s="303" t="s">
        <v>6</v>
      </c>
      <c r="C4687" s="304">
        <v>0</v>
      </c>
      <c r="D4687" s="303" t="s">
        <v>1398</v>
      </c>
      <c r="E4687" s="305" t="s">
        <v>249</v>
      </c>
      <c r="F4687" s="305" t="s">
        <v>283</v>
      </c>
      <c r="G4687" s="325">
        <v>570</v>
      </c>
      <c r="H4687" s="305" t="s">
        <v>794</v>
      </c>
      <c r="I4687" s="305" t="s">
        <v>152</v>
      </c>
      <c r="J4687" s="305" t="s">
        <v>106</v>
      </c>
      <c r="K4687" s="305" t="s">
        <v>2058</v>
      </c>
    </row>
    <row r="4688" spans="1:11" x14ac:dyDescent="0.25">
      <c r="A4688" s="302" t="str">
        <f t="shared" si="115"/>
        <v>Door Sweep_0_IE MF_CF</v>
      </c>
      <c r="B4688" s="303" t="s">
        <v>6</v>
      </c>
      <c r="C4688" s="304">
        <v>0</v>
      </c>
      <c r="D4688" s="303" t="s">
        <v>1398</v>
      </c>
      <c r="E4688" s="305" t="s">
        <v>253</v>
      </c>
      <c r="F4688" s="305" t="s">
        <v>539</v>
      </c>
      <c r="G4688" s="306">
        <f>AVERAGE(68%,72%)</f>
        <v>0.7</v>
      </c>
      <c r="H4688" s="305" t="s">
        <v>568</v>
      </c>
      <c r="I4688" s="305" t="s">
        <v>152</v>
      </c>
      <c r="J4688" s="305" t="s">
        <v>106</v>
      </c>
      <c r="K4688" s="305" t="s">
        <v>2058</v>
      </c>
    </row>
    <row r="4689" spans="1:11" x14ac:dyDescent="0.25">
      <c r="A4689" s="302" t="str">
        <f t="shared" si="115"/>
        <v>Door Sweep_0_IE MF_ADJRxAirsealing</v>
      </c>
      <c r="B4689" s="303" t="s">
        <v>6</v>
      </c>
      <c r="C4689" s="304">
        <v>0</v>
      </c>
      <c r="D4689" s="303" t="s">
        <v>1398</v>
      </c>
      <c r="E4689" s="305" t="s">
        <v>518</v>
      </c>
      <c r="F4689" s="305" t="s">
        <v>539</v>
      </c>
      <c r="G4689" s="306">
        <v>0.8</v>
      </c>
      <c r="H4689" s="305"/>
      <c r="I4689" s="305" t="s">
        <v>152</v>
      </c>
      <c r="J4689" s="305" t="s">
        <v>106</v>
      </c>
      <c r="K4689" s="305" t="s">
        <v>2058</v>
      </c>
    </row>
    <row r="4690" spans="1:11" x14ac:dyDescent="0.25">
      <c r="A4690" s="302" t="str">
        <f t="shared" si="115"/>
        <v>Door Sweep_0_IE MF_ISR</v>
      </c>
      <c r="B4690" s="303" t="s">
        <v>6</v>
      </c>
      <c r="C4690" s="304">
        <v>0</v>
      </c>
      <c r="D4690" s="303" t="s">
        <v>1398</v>
      </c>
      <c r="E4690" s="305" t="s">
        <v>267</v>
      </c>
      <c r="F4690" s="305" t="s">
        <v>539</v>
      </c>
      <c r="G4690" s="308">
        <v>1</v>
      </c>
      <c r="H4690" s="305" t="s">
        <v>582</v>
      </c>
      <c r="I4690" s="305"/>
      <c r="J4690" s="305"/>
      <c r="K4690" s="305"/>
    </row>
    <row r="4691" spans="1:11" x14ac:dyDescent="0.25">
      <c r="A4691" s="302" t="str">
        <f t="shared" si="115"/>
        <v>Door Sweep_0_IE MF_Linear feet</v>
      </c>
      <c r="B4691" s="303" t="s">
        <v>6</v>
      </c>
      <c r="C4691" s="304">
        <v>0</v>
      </c>
      <c r="D4691" s="303" t="s">
        <v>1398</v>
      </c>
      <c r="E4691" s="305" t="s">
        <v>577</v>
      </c>
      <c r="F4691" s="305" t="s">
        <v>578</v>
      </c>
      <c r="G4691" s="306"/>
      <c r="H4691" s="305"/>
      <c r="I4691" s="305"/>
      <c r="J4691" s="305"/>
      <c r="K4691" s="305"/>
    </row>
    <row r="4692" spans="1:11" x14ac:dyDescent="0.25">
      <c r="A4692" s="302" t="str">
        <f t="shared" si="115"/>
        <v>Door Sweep_0_IE MF_kWh Saved per Unit</v>
      </c>
      <c r="B4692" s="303" t="s">
        <v>6</v>
      </c>
      <c r="C4692" s="304">
        <v>0</v>
      </c>
      <c r="D4692" s="303" t="s">
        <v>1398</v>
      </c>
      <c r="E4692" s="314" t="s">
        <v>255</v>
      </c>
      <c r="F4692" s="326" t="s">
        <v>569</v>
      </c>
      <c r="G4692" s="315">
        <f>G4686*G4689*G4690</f>
        <v>2.3600000000000003</v>
      </c>
      <c r="H4692" s="305" t="s">
        <v>586</v>
      </c>
      <c r="I4692" s="305" t="s">
        <v>152</v>
      </c>
      <c r="J4692" s="305" t="s">
        <v>106</v>
      </c>
      <c r="K4692" s="305" t="s">
        <v>2058</v>
      </c>
    </row>
    <row r="4693" spans="1:11" x14ac:dyDescent="0.25">
      <c r="A4693" s="302" t="str">
        <f t="shared" si="115"/>
        <v>Door Sweep_0_IE MF_kW Saved per Unit</v>
      </c>
      <c r="B4693" s="303" t="s">
        <v>6</v>
      </c>
      <c r="C4693" s="304">
        <v>0</v>
      </c>
      <c r="D4693" s="303" t="s">
        <v>1398</v>
      </c>
      <c r="E4693" s="314" t="s">
        <v>580</v>
      </c>
      <c r="F4693" s="326" t="s">
        <v>571</v>
      </c>
      <c r="G4693" s="315">
        <f>G4686/G4687*G4688</f>
        <v>3.6228070175438592E-3</v>
      </c>
      <c r="H4693" s="305" t="s">
        <v>586</v>
      </c>
      <c r="I4693" s="305" t="s">
        <v>152</v>
      </c>
      <c r="J4693" s="305" t="s">
        <v>106</v>
      </c>
      <c r="K4693" s="305" t="s">
        <v>2058</v>
      </c>
    </row>
    <row r="4694" spans="1:11" x14ac:dyDescent="0.25">
      <c r="A4694" s="302" t="str">
        <f t="shared" si="115"/>
        <v>Door Sweep_0_IE MF_Therm Saved per Unit</v>
      </c>
      <c r="B4694" s="303" t="s">
        <v>6</v>
      </c>
      <c r="C4694" s="304">
        <v>0</v>
      </c>
      <c r="D4694" s="303" t="s">
        <v>1398</v>
      </c>
      <c r="E4694" s="314" t="s">
        <v>326</v>
      </c>
      <c r="F4694" s="326" t="s">
        <v>572</v>
      </c>
      <c r="G4694" s="315">
        <f>G4685*G4690*G4689</f>
        <v>7.3040000000000012</v>
      </c>
      <c r="H4694" s="305" t="s">
        <v>586</v>
      </c>
      <c r="I4694" s="305" t="s">
        <v>152</v>
      </c>
      <c r="J4694" s="305" t="s">
        <v>106</v>
      </c>
      <c r="K4694" s="305" t="s">
        <v>2058</v>
      </c>
    </row>
    <row r="4695" spans="1:11" x14ac:dyDescent="0.25">
      <c r="A4695" s="302" t="str">
        <f t="shared" ref="A4695:A4700" si="118">B4695&amp;"_"&amp;C4695&amp;"_"&amp;D4695&amp;"_"&amp;E4695</f>
        <v>Door Sweep_0_IE MF_Lifetime (years)</v>
      </c>
      <c r="B4695" s="303" t="s">
        <v>6</v>
      </c>
      <c r="C4695" s="304">
        <v>0</v>
      </c>
      <c r="D4695" s="303" t="s">
        <v>1398</v>
      </c>
      <c r="E4695" s="314" t="s">
        <v>259</v>
      </c>
      <c r="F4695" s="326" t="s">
        <v>548</v>
      </c>
      <c r="G4695" s="315">
        <v>20</v>
      </c>
      <c r="H4695" s="305"/>
      <c r="I4695" s="305" t="s">
        <v>152</v>
      </c>
      <c r="J4695" s="305" t="s">
        <v>106</v>
      </c>
      <c r="K4695" s="305" t="s">
        <v>2058</v>
      </c>
    </row>
    <row r="4696" spans="1:11" x14ac:dyDescent="0.25">
      <c r="A4696" s="302" t="str">
        <f t="shared" si="118"/>
        <v>Door Sweep_0_IE MF_Incremental Cost</v>
      </c>
      <c r="B4696" s="303" t="s">
        <v>6</v>
      </c>
      <c r="C4696" s="304">
        <v>0</v>
      </c>
      <c r="D4696" s="303" t="s">
        <v>1398</v>
      </c>
      <c r="E4696" s="314" t="s">
        <v>260</v>
      </c>
      <c r="F4696" s="327" t="s">
        <v>549</v>
      </c>
      <c r="G4696" s="328">
        <v>0</v>
      </c>
      <c r="H4696" s="305"/>
      <c r="I4696" s="305"/>
      <c r="J4696" s="305" t="s">
        <v>106</v>
      </c>
      <c r="K4696" s="305"/>
    </row>
    <row r="4697" spans="1:11" x14ac:dyDescent="0.25">
      <c r="A4697" s="317" t="str">
        <f t="shared" si="118"/>
        <v>Door Sweep_0_IE MF_</v>
      </c>
      <c r="B4697" s="317" t="str">
        <f>B4696</f>
        <v>Door Sweep</v>
      </c>
      <c r="C4697" s="317">
        <f>C4696</f>
        <v>0</v>
      </c>
      <c r="D4697" s="317" t="str">
        <f>D4696</f>
        <v>IE MF</v>
      </c>
      <c r="E4697" s="320"/>
      <c r="F4697" s="320"/>
      <c r="G4697" s="329"/>
      <c r="H4697" s="320"/>
      <c r="I4697" s="320"/>
      <c r="J4697" s="320"/>
      <c r="K4697" s="320"/>
    </row>
    <row r="4698" spans="1:11" x14ac:dyDescent="0.25">
      <c r="A4698" s="302" t="str">
        <f t="shared" si="118"/>
        <v>Energy Education Kits_0_SF_kWh Saved per Unit</v>
      </c>
      <c r="B4698" s="303" t="s">
        <v>1421</v>
      </c>
      <c r="C4698" s="304">
        <v>0</v>
      </c>
      <c r="D4698" s="303" t="s">
        <v>409</v>
      </c>
      <c r="E4698" s="314" t="s">
        <v>255</v>
      </c>
      <c r="F4698" s="326" t="s">
        <v>569</v>
      </c>
      <c r="G4698" s="315">
        <v>0</v>
      </c>
      <c r="H4698" s="305"/>
      <c r="I4698" s="305" t="s">
        <v>1469</v>
      </c>
      <c r="J4698" s="305" t="s">
        <v>1469</v>
      </c>
      <c r="K4698" s="305" t="s">
        <v>1469</v>
      </c>
    </row>
    <row r="4699" spans="1:11" x14ac:dyDescent="0.25">
      <c r="A4699" s="302" t="str">
        <f t="shared" si="118"/>
        <v>Energy Education Kits_0_SF_kW Saved per Unit</v>
      </c>
      <c r="B4699" s="303" t="s">
        <v>1421</v>
      </c>
      <c r="C4699" s="304">
        <v>0</v>
      </c>
      <c r="D4699" s="303" t="s">
        <v>409</v>
      </c>
      <c r="E4699" s="314" t="s">
        <v>580</v>
      </c>
      <c r="F4699" s="326" t="s">
        <v>571</v>
      </c>
      <c r="G4699" s="315">
        <v>0</v>
      </c>
      <c r="H4699" s="305"/>
      <c r="I4699" s="305" t="s">
        <v>1469</v>
      </c>
      <c r="J4699" s="305" t="s">
        <v>1469</v>
      </c>
      <c r="K4699" s="305" t="s">
        <v>1469</v>
      </c>
    </row>
    <row r="4700" spans="1:11" x14ac:dyDescent="0.25">
      <c r="A4700" s="302" t="str">
        <f t="shared" si="118"/>
        <v>Energy Education Kits_0_SF_Therm Saved per Unit</v>
      </c>
      <c r="B4700" s="303" t="s">
        <v>1421</v>
      </c>
      <c r="C4700" s="304">
        <v>0</v>
      </c>
      <c r="D4700" s="303" t="s">
        <v>409</v>
      </c>
      <c r="E4700" s="314" t="s">
        <v>326</v>
      </c>
      <c r="F4700" s="326" t="s">
        <v>572</v>
      </c>
      <c r="G4700" s="315">
        <v>18.06005859375</v>
      </c>
      <c r="H4700" s="305"/>
      <c r="I4700" s="305" t="s">
        <v>1469</v>
      </c>
      <c r="J4700" s="305" t="s">
        <v>1469</v>
      </c>
      <c r="K4700" s="305" t="s">
        <v>1469</v>
      </c>
    </row>
    <row r="4701" spans="1:11" x14ac:dyDescent="0.25">
      <c r="A4701" s="302" t="str">
        <f t="shared" ref="A4701:A4703" si="119">B4701&amp;"_"&amp;C4701&amp;"_"&amp;D4701&amp;"_"&amp;E4701</f>
        <v>Energy Education Kits_0_SF_Lifetime (years)</v>
      </c>
      <c r="B4701" s="303" t="s">
        <v>1421</v>
      </c>
      <c r="C4701" s="304">
        <v>0</v>
      </c>
      <c r="D4701" s="303" t="s">
        <v>409</v>
      </c>
      <c r="E4701" s="314" t="s">
        <v>259</v>
      </c>
      <c r="F4701" s="326" t="s">
        <v>548</v>
      </c>
      <c r="G4701" s="315">
        <v>9.5</v>
      </c>
      <c r="H4701" s="305"/>
      <c r="I4701" s="305" t="s">
        <v>1469</v>
      </c>
      <c r="J4701" s="305" t="s">
        <v>1469</v>
      </c>
      <c r="K4701" s="305" t="s">
        <v>1469</v>
      </c>
    </row>
    <row r="4702" spans="1:11" x14ac:dyDescent="0.25">
      <c r="A4702" s="302" t="str">
        <f t="shared" si="119"/>
        <v>Energy Education Kits_0_SF_Incremental Cost</v>
      </c>
      <c r="B4702" s="303" t="s">
        <v>1421</v>
      </c>
      <c r="C4702" s="304">
        <v>0</v>
      </c>
      <c r="D4702" s="303" t="s">
        <v>409</v>
      </c>
      <c r="E4702" s="314" t="s">
        <v>260</v>
      </c>
      <c r="F4702" s="327" t="s">
        <v>549</v>
      </c>
      <c r="G4702" s="328">
        <v>0</v>
      </c>
      <c r="H4702" s="305"/>
      <c r="I4702" s="305"/>
      <c r="J4702" s="305"/>
      <c r="K4702" s="305"/>
    </row>
    <row r="4703" spans="1:11" x14ac:dyDescent="0.25">
      <c r="A4703" s="317" t="str">
        <f t="shared" si="119"/>
        <v>Energy Education Kits_0_SF_</v>
      </c>
      <c r="B4703" s="317" t="s">
        <v>1421</v>
      </c>
      <c r="C4703" s="317">
        <v>0</v>
      </c>
      <c r="D4703" s="317" t="s">
        <v>409</v>
      </c>
      <c r="E4703" s="320"/>
      <c r="F4703" s="320"/>
      <c r="G4703" s="329"/>
      <c r="H4703" s="320"/>
      <c r="I4703" s="320"/>
      <c r="J4703" s="320"/>
      <c r="K4703" s="320"/>
    </row>
    <row r="4704" spans="1:11" ht="15" customHeight="1" x14ac:dyDescent="0.25"/>
    <row r="4705" ht="15" customHeight="1" x14ac:dyDescent="0.25"/>
    <row r="4706" ht="15" customHeight="1" x14ac:dyDescent="0.25"/>
    <row r="4707" ht="15" customHeight="1" x14ac:dyDescent="0.25"/>
    <row r="4708" ht="15" customHeight="1" x14ac:dyDescent="0.25"/>
    <row r="4709" ht="15" customHeight="1" x14ac:dyDescent="0.25"/>
    <row r="4710" ht="15" customHeight="1" x14ac:dyDescent="0.25"/>
    <row r="4711" ht="15" customHeight="1" x14ac:dyDescent="0.25"/>
    <row r="4712" ht="15" customHeight="1" x14ac:dyDescent="0.25"/>
    <row r="4713" ht="15" customHeight="1" x14ac:dyDescent="0.25"/>
    <row r="4714" ht="15" customHeight="1" x14ac:dyDescent="0.25"/>
    <row r="4715" ht="15" customHeight="1" x14ac:dyDescent="0.25"/>
    <row r="4716" ht="15" customHeight="1" x14ac:dyDescent="0.25"/>
    <row r="4717" ht="15" customHeight="1" x14ac:dyDescent="0.25"/>
    <row r="4718" ht="15" customHeight="1" x14ac:dyDescent="0.25"/>
    <row r="4719" ht="15" customHeight="1" x14ac:dyDescent="0.25"/>
    <row r="4720" ht="15" customHeight="1" x14ac:dyDescent="0.25"/>
    <row r="4721" ht="15" customHeight="1" x14ac:dyDescent="0.25"/>
    <row r="4722" ht="15" customHeight="1" x14ac:dyDescent="0.25"/>
    <row r="4723" ht="15" customHeight="1" x14ac:dyDescent="0.25"/>
    <row r="4724" ht="15" customHeight="1" x14ac:dyDescent="0.25"/>
    <row r="4725" ht="15" customHeight="1" x14ac:dyDescent="0.25"/>
    <row r="4726" ht="15" customHeight="1" x14ac:dyDescent="0.25"/>
    <row r="4727" ht="15" customHeight="1" x14ac:dyDescent="0.25"/>
    <row r="4728" ht="15" customHeight="1" x14ac:dyDescent="0.25"/>
    <row r="4729" ht="15" customHeight="1" x14ac:dyDescent="0.25"/>
    <row r="4730" ht="15" customHeight="1" x14ac:dyDescent="0.25"/>
    <row r="4731" ht="15" customHeight="1" x14ac:dyDescent="0.25"/>
    <row r="4732" ht="15" customHeight="1" x14ac:dyDescent="0.25"/>
    <row r="4733" ht="15" customHeight="1" x14ac:dyDescent="0.25"/>
    <row r="4734" ht="15" customHeight="1" x14ac:dyDescent="0.25"/>
    <row r="4735" ht="15" customHeight="1" x14ac:dyDescent="0.25"/>
    <row r="4736" ht="15" customHeight="1" x14ac:dyDescent="0.25"/>
    <row r="4737" ht="15" customHeight="1" x14ac:dyDescent="0.25"/>
    <row r="4738" ht="15" customHeight="1" x14ac:dyDescent="0.25"/>
    <row r="4739" ht="15" customHeight="1" x14ac:dyDescent="0.25"/>
    <row r="4740" ht="15" customHeight="1" x14ac:dyDescent="0.25"/>
    <row r="4741" ht="15" customHeight="1" x14ac:dyDescent="0.25"/>
    <row r="4742" ht="15" customHeight="1" x14ac:dyDescent="0.25"/>
    <row r="4743" ht="15" customHeight="1" x14ac:dyDescent="0.25"/>
    <row r="4744" ht="15" customHeight="1" x14ac:dyDescent="0.25"/>
    <row r="4745" ht="15" customHeight="1" x14ac:dyDescent="0.25"/>
    <row r="4746" ht="15" customHeight="1" x14ac:dyDescent="0.25"/>
    <row r="4747" ht="15" customHeight="1" x14ac:dyDescent="0.25"/>
    <row r="4748" ht="15" customHeight="1" x14ac:dyDescent="0.25"/>
    <row r="4749" ht="15" customHeight="1" x14ac:dyDescent="0.25"/>
    <row r="4750" ht="15" customHeight="1" x14ac:dyDescent="0.25"/>
    <row r="4751" ht="15" customHeight="1" x14ac:dyDescent="0.25"/>
    <row r="4752" ht="15" customHeight="1" x14ac:dyDescent="0.25"/>
    <row r="4753" ht="15" customHeight="1" x14ac:dyDescent="0.25"/>
    <row r="4754" ht="15" customHeight="1" x14ac:dyDescent="0.25"/>
    <row r="4755" ht="15" customHeight="1" x14ac:dyDescent="0.25"/>
    <row r="4756" ht="15" customHeight="1" x14ac:dyDescent="0.25"/>
    <row r="4757" ht="15" customHeight="1" x14ac:dyDescent="0.25"/>
    <row r="4758" ht="15" customHeight="1" x14ac:dyDescent="0.25"/>
    <row r="4759" ht="15" customHeight="1" x14ac:dyDescent="0.25"/>
    <row r="4760" ht="15" customHeight="1" x14ac:dyDescent="0.25"/>
    <row r="4761" ht="15" customHeight="1" x14ac:dyDescent="0.25"/>
    <row r="4762" ht="15" customHeight="1" x14ac:dyDescent="0.25"/>
    <row r="4763" ht="15" customHeight="1" x14ac:dyDescent="0.25"/>
    <row r="4764" ht="15" customHeight="1" x14ac:dyDescent="0.25"/>
    <row r="4765" ht="15" customHeight="1" x14ac:dyDescent="0.25"/>
    <row r="4766" ht="15" customHeight="1" x14ac:dyDescent="0.25"/>
    <row r="4767" ht="15" customHeight="1" x14ac:dyDescent="0.25"/>
    <row r="4768" ht="15" customHeight="1" x14ac:dyDescent="0.25"/>
    <row r="4769" ht="15" customHeight="1" x14ac:dyDescent="0.25"/>
    <row r="4770" ht="15" customHeight="1" x14ac:dyDescent="0.25"/>
    <row r="4771" ht="15" customHeight="1" x14ac:dyDescent="0.25"/>
    <row r="4772" ht="15" customHeight="1" x14ac:dyDescent="0.25"/>
    <row r="4773" ht="15" customHeight="1" x14ac:dyDescent="0.25"/>
    <row r="4774" ht="15" customHeight="1" x14ac:dyDescent="0.25"/>
    <row r="4775" ht="15" customHeight="1" x14ac:dyDescent="0.25"/>
    <row r="4776" ht="15" customHeight="1" x14ac:dyDescent="0.25"/>
    <row r="4777" ht="15" customHeight="1" x14ac:dyDescent="0.25"/>
    <row r="4778" ht="15" customHeight="1" x14ac:dyDescent="0.25"/>
    <row r="4779" ht="15" customHeight="1" x14ac:dyDescent="0.25"/>
    <row r="4780" ht="15" customHeight="1" x14ac:dyDescent="0.25"/>
    <row r="4781" ht="15" customHeight="1" x14ac:dyDescent="0.25"/>
    <row r="4782" ht="15" customHeight="1" x14ac:dyDescent="0.25"/>
    <row r="4783" ht="15" customHeight="1" x14ac:dyDescent="0.25"/>
    <row r="4784" ht="15" customHeight="1" x14ac:dyDescent="0.25"/>
    <row r="4785" ht="15" customHeight="1" x14ac:dyDescent="0.25"/>
    <row r="4786" ht="15" customHeight="1" x14ac:dyDescent="0.25"/>
    <row r="4787" ht="15" customHeight="1" x14ac:dyDescent="0.25"/>
    <row r="4788" ht="15" customHeight="1" x14ac:dyDescent="0.25"/>
    <row r="4789" ht="15" customHeight="1" x14ac:dyDescent="0.25"/>
    <row r="4790" ht="15" customHeight="1" x14ac:dyDescent="0.25"/>
    <row r="4791" ht="15" customHeight="1" x14ac:dyDescent="0.25"/>
    <row r="4792" ht="15" customHeight="1" x14ac:dyDescent="0.25"/>
    <row r="4793" ht="15" customHeight="1" x14ac:dyDescent="0.25"/>
    <row r="4794" ht="15" customHeight="1" x14ac:dyDescent="0.25"/>
    <row r="4795" ht="15" customHeight="1" x14ac:dyDescent="0.25"/>
    <row r="4796" ht="15" customHeight="1" x14ac:dyDescent="0.25"/>
    <row r="4797" ht="15" customHeight="1" x14ac:dyDescent="0.25"/>
    <row r="4798" ht="15" customHeight="1" x14ac:dyDescent="0.25"/>
    <row r="4799" ht="15" customHeight="1" x14ac:dyDescent="0.25"/>
    <row r="4800" ht="15" customHeight="1" x14ac:dyDescent="0.25"/>
    <row r="4801" ht="15" customHeight="1" x14ac:dyDescent="0.25"/>
    <row r="4802" ht="15" customHeight="1" x14ac:dyDescent="0.25"/>
    <row r="4803" ht="15" customHeight="1" x14ac:dyDescent="0.25"/>
    <row r="4804" ht="15" customHeight="1" x14ac:dyDescent="0.25"/>
    <row r="4805" ht="15" customHeight="1" x14ac:dyDescent="0.25"/>
    <row r="4806" ht="15" customHeight="1" x14ac:dyDescent="0.25"/>
    <row r="4807" ht="15" customHeight="1" x14ac:dyDescent="0.25"/>
    <row r="4808" ht="15" customHeight="1" x14ac:dyDescent="0.25"/>
    <row r="4809" ht="15" customHeight="1" x14ac:dyDescent="0.25"/>
    <row r="4810" ht="15" customHeight="1" x14ac:dyDescent="0.25"/>
    <row r="4811" ht="15" customHeight="1" x14ac:dyDescent="0.25"/>
    <row r="4812" ht="15" customHeight="1" x14ac:dyDescent="0.25"/>
    <row r="4813" ht="15" customHeight="1" x14ac:dyDescent="0.25"/>
    <row r="4814" ht="15" customHeight="1" x14ac:dyDescent="0.25"/>
    <row r="4815" ht="15" customHeight="1" x14ac:dyDescent="0.25"/>
    <row r="4816" ht="15" customHeight="1" x14ac:dyDescent="0.25"/>
    <row r="4817" ht="15" customHeight="1" x14ac:dyDescent="0.25"/>
    <row r="4818" ht="15" customHeight="1" x14ac:dyDescent="0.25"/>
    <row r="4819" ht="15" customHeight="1" x14ac:dyDescent="0.25"/>
    <row r="4820" ht="15" customHeight="1" x14ac:dyDescent="0.25"/>
    <row r="4821" ht="15" customHeight="1" x14ac:dyDescent="0.25"/>
    <row r="4822" ht="15" customHeight="1" x14ac:dyDescent="0.25"/>
    <row r="4823" ht="15" customHeight="1" x14ac:dyDescent="0.25"/>
    <row r="4824" ht="15" customHeight="1" x14ac:dyDescent="0.25"/>
    <row r="4825" ht="15" customHeight="1" x14ac:dyDescent="0.25"/>
    <row r="4826" ht="15" customHeight="1" x14ac:dyDescent="0.25"/>
    <row r="4827" ht="15" customHeight="1" x14ac:dyDescent="0.25"/>
    <row r="4828" ht="15" customHeight="1" x14ac:dyDescent="0.25"/>
    <row r="4829" ht="15" customHeight="1" x14ac:dyDescent="0.25"/>
    <row r="4830" ht="15" customHeight="1" x14ac:dyDescent="0.25"/>
    <row r="4831" ht="15" customHeight="1" x14ac:dyDescent="0.25"/>
    <row r="4832" ht="15" customHeight="1" x14ac:dyDescent="0.25"/>
    <row r="4833" ht="15" customHeight="1" x14ac:dyDescent="0.25"/>
    <row r="4834" ht="15" customHeight="1" x14ac:dyDescent="0.25"/>
    <row r="4835" ht="15" customHeight="1" x14ac:dyDescent="0.25"/>
    <row r="4836" ht="15" customHeight="1" x14ac:dyDescent="0.25"/>
    <row r="4837" ht="15" customHeight="1" x14ac:dyDescent="0.25"/>
    <row r="4838" ht="15" customHeight="1" x14ac:dyDescent="0.25"/>
    <row r="4839" ht="15" customHeight="1" x14ac:dyDescent="0.25"/>
    <row r="4840" ht="15" customHeight="1" x14ac:dyDescent="0.25"/>
    <row r="4841" ht="15" customHeight="1" x14ac:dyDescent="0.25"/>
    <row r="4842" ht="15" customHeight="1" x14ac:dyDescent="0.25"/>
    <row r="4843" ht="15" customHeight="1" x14ac:dyDescent="0.25"/>
    <row r="4844" ht="15" customHeight="1" x14ac:dyDescent="0.25"/>
    <row r="4845" ht="15" customHeight="1" x14ac:dyDescent="0.25"/>
    <row r="4846" ht="15" customHeight="1" x14ac:dyDescent="0.25"/>
    <row r="4847" ht="15" customHeight="1" x14ac:dyDescent="0.25"/>
    <row r="4848" ht="15" customHeight="1" x14ac:dyDescent="0.25"/>
    <row r="4849" ht="15" customHeight="1" x14ac:dyDescent="0.25"/>
    <row r="4850" ht="15" customHeight="1" x14ac:dyDescent="0.25"/>
    <row r="4851" ht="15" customHeight="1" x14ac:dyDescent="0.25"/>
    <row r="4852" ht="15" customHeight="1" x14ac:dyDescent="0.25"/>
    <row r="4853" ht="15" customHeight="1" x14ac:dyDescent="0.25"/>
    <row r="4854" ht="15" customHeight="1" x14ac:dyDescent="0.25"/>
    <row r="4855" ht="15" customHeight="1" x14ac:dyDescent="0.25"/>
    <row r="4856" ht="15" customHeight="1" x14ac:dyDescent="0.25"/>
    <row r="4857" ht="15" customHeight="1" x14ac:dyDescent="0.25"/>
    <row r="4858" ht="15" customHeight="1" x14ac:dyDescent="0.25"/>
    <row r="4859" ht="15" customHeight="1" x14ac:dyDescent="0.25"/>
    <row r="4860" ht="15" customHeight="1" x14ac:dyDescent="0.25"/>
    <row r="4861" ht="15" customHeight="1" x14ac:dyDescent="0.25"/>
    <row r="4862" ht="15" customHeight="1" x14ac:dyDescent="0.25"/>
    <row r="4863" ht="15" customHeight="1" x14ac:dyDescent="0.25"/>
    <row r="4864" ht="15" customHeight="1" x14ac:dyDescent="0.25"/>
    <row r="4865" ht="15" customHeight="1" x14ac:dyDescent="0.25"/>
    <row r="4866" ht="15" customHeight="1" x14ac:dyDescent="0.25"/>
    <row r="4867" ht="15" customHeight="1" x14ac:dyDescent="0.25"/>
    <row r="4868" ht="15" customHeight="1" x14ac:dyDescent="0.25"/>
    <row r="4869" ht="15" customHeight="1" x14ac:dyDescent="0.25"/>
    <row r="4870" ht="15" customHeight="1" x14ac:dyDescent="0.25"/>
    <row r="4871" ht="15" customHeight="1" x14ac:dyDescent="0.25"/>
    <row r="4872" ht="15" customHeight="1" x14ac:dyDescent="0.25"/>
    <row r="4873" ht="15" customHeight="1" x14ac:dyDescent="0.25"/>
    <row r="4874" ht="15" customHeight="1" x14ac:dyDescent="0.25"/>
    <row r="4875" ht="15" customHeight="1" x14ac:dyDescent="0.25"/>
    <row r="4876" ht="15" customHeight="1" x14ac:dyDescent="0.25"/>
    <row r="4877" ht="15" customHeight="1" x14ac:dyDescent="0.25"/>
    <row r="4878" ht="15" customHeight="1" x14ac:dyDescent="0.25"/>
    <row r="4879" ht="15" customHeight="1" x14ac:dyDescent="0.25"/>
    <row r="4880" ht="15" customHeight="1" x14ac:dyDescent="0.25"/>
    <row r="4881" ht="15" customHeight="1" x14ac:dyDescent="0.25"/>
    <row r="4882" ht="15" customHeight="1" x14ac:dyDescent="0.25"/>
    <row r="4883" ht="15" customHeight="1" x14ac:dyDescent="0.25"/>
    <row r="4884" ht="15" customHeight="1" x14ac:dyDescent="0.25"/>
    <row r="4885" ht="15" customHeight="1" x14ac:dyDescent="0.25"/>
    <row r="4886" ht="15" customHeight="1" x14ac:dyDescent="0.25"/>
    <row r="4887" ht="15" customHeight="1" x14ac:dyDescent="0.25"/>
    <row r="4888" ht="15" customHeight="1" x14ac:dyDescent="0.25"/>
    <row r="4889" ht="15" customHeight="1" x14ac:dyDescent="0.25"/>
    <row r="4890" ht="15" customHeight="1" x14ac:dyDescent="0.25"/>
    <row r="4891" ht="15" customHeight="1" x14ac:dyDescent="0.25"/>
    <row r="4892" ht="15" customHeight="1" x14ac:dyDescent="0.25"/>
    <row r="4893" ht="15" customHeight="1" x14ac:dyDescent="0.25"/>
    <row r="4894" ht="15" customHeight="1" x14ac:dyDescent="0.25"/>
    <row r="4895" ht="15" customHeight="1" x14ac:dyDescent="0.25"/>
    <row r="4896" ht="15" customHeight="1" x14ac:dyDescent="0.25"/>
    <row r="4897" ht="15" customHeight="1" x14ac:dyDescent="0.25"/>
    <row r="4898" ht="15" customHeight="1" x14ac:dyDescent="0.25"/>
    <row r="4899" ht="15" customHeight="1" x14ac:dyDescent="0.25"/>
    <row r="4900" ht="15" customHeight="1" x14ac:dyDescent="0.25"/>
    <row r="4901" ht="15" customHeight="1" x14ac:dyDescent="0.25"/>
    <row r="4902" ht="15" customHeight="1" x14ac:dyDescent="0.25"/>
    <row r="4903" ht="15" customHeight="1" x14ac:dyDescent="0.25"/>
    <row r="4904" ht="15" customHeight="1" x14ac:dyDescent="0.25"/>
    <row r="4905" ht="15" customHeight="1" x14ac:dyDescent="0.25"/>
    <row r="4906" ht="15" customHeight="1" x14ac:dyDescent="0.25"/>
    <row r="4907" ht="15" customHeight="1" x14ac:dyDescent="0.25"/>
    <row r="4908" ht="15" customHeight="1" x14ac:dyDescent="0.25"/>
    <row r="4909" ht="15" customHeight="1" x14ac:dyDescent="0.25"/>
    <row r="4910" ht="15" customHeight="1" x14ac:dyDescent="0.25"/>
    <row r="4911" ht="15" customHeight="1" x14ac:dyDescent="0.25"/>
    <row r="4912" ht="15" customHeight="1" x14ac:dyDescent="0.25"/>
    <row r="4913" ht="15" customHeight="1" x14ac:dyDescent="0.25"/>
    <row r="4914" ht="15" customHeight="1" x14ac:dyDescent="0.25"/>
    <row r="4915" ht="15" customHeight="1" x14ac:dyDescent="0.25"/>
    <row r="4916" ht="15" customHeight="1" x14ac:dyDescent="0.25"/>
    <row r="4917" ht="15" customHeight="1" x14ac:dyDescent="0.25"/>
    <row r="4918" ht="15" customHeight="1" x14ac:dyDescent="0.25"/>
    <row r="4919" ht="15" customHeight="1" x14ac:dyDescent="0.25"/>
    <row r="4920" ht="15" customHeight="1" x14ac:dyDescent="0.25"/>
    <row r="4921" ht="15" customHeight="1" x14ac:dyDescent="0.25"/>
    <row r="4922" ht="15" customHeight="1" x14ac:dyDescent="0.25"/>
    <row r="4923" ht="15" customHeight="1" x14ac:dyDescent="0.25"/>
    <row r="4924" ht="15" customHeight="1" x14ac:dyDescent="0.25"/>
    <row r="4925" ht="15" customHeight="1" x14ac:dyDescent="0.25"/>
    <row r="4926" ht="15" customHeight="1" x14ac:dyDescent="0.25"/>
    <row r="4927" ht="15" customHeight="1" x14ac:dyDescent="0.25"/>
    <row r="4928" ht="15" customHeight="1" x14ac:dyDescent="0.25"/>
    <row r="4929" ht="15" customHeight="1" x14ac:dyDescent="0.25"/>
    <row r="4930" ht="15" customHeight="1" x14ac:dyDescent="0.25"/>
    <row r="4931" ht="15" customHeight="1" x14ac:dyDescent="0.25"/>
    <row r="4932" ht="15" customHeight="1" x14ac:dyDescent="0.25"/>
    <row r="4933" ht="15" customHeight="1" x14ac:dyDescent="0.25"/>
    <row r="4934" ht="15" customHeight="1" x14ac:dyDescent="0.25"/>
    <row r="4935" ht="15" customHeight="1" x14ac:dyDescent="0.25"/>
    <row r="4936" ht="15" customHeight="1" x14ac:dyDescent="0.25"/>
    <row r="4937" ht="15" customHeight="1" x14ac:dyDescent="0.25"/>
    <row r="4938" ht="15" customHeight="1" x14ac:dyDescent="0.25"/>
    <row r="4939" ht="15" customHeight="1" x14ac:dyDescent="0.25"/>
    <row r="4940" ht="15" customHeight="1" x14ac:dyDescent="0.25"/>
    <row r="4941" ht="15" customHeight="1" x14ac:dyDescent="0.25"/>
    <row r="4942" ht="15" customHeight="1" x14ac:dyDescent="0.25"/>
    <row r="4943" ht="15" customHeight="1" x14ac:dyDescent="0.25"/>
    <row r="4944" ht="15" customHeight="1" x14ac:dyDescent="0.25"/>
    <row r="4945" ht="15" customHeight="1" x14ac:dyDescent="0.25"/>
    <row r="4946" ht="15" customHeight="1" x14ac:dyDescent="0.25"/>
    <row r="4947" ht="15" customHeight="1" x14ac:dyDescent="0.25"/>
    <row r="4948" ht="15" customHeight="1" x14ac:dyDescent="0.25"/>
    <row r="4949" ht="15" customHeight="1" x14ac:dyDescent="0.25"/>
    <row r="4950" ht="15" customHeight="1" x14ac:dyDescent="0.25"/>
    <row r="4951" ht="15" customHeight="1" x14ac:dyDescent="0.25"/>
    <row r="4952" ht="15" customHeight="1" x14ac:dyDescent="0.25"/>
    <row r="4953" ht="15" customHeight="1" x14ac:dyDescent="0.25"/>
    <row r="4954" ht="15" customHeight="1" x14ac:dyDescent="0.25"/>
    <row r="4955" ht="15" customHeight="1" x14ac:dyDescent="0.25"/>
    <row r="4956" ht="15" customHeight="1" x14ac:dyDescent="0.25"/>
    <row r="4957" ht="15" customHeight="1" x14ac:dyDescent="0.25"/>
    <row r="4958" ht="15" customHeight="1" x14ac:dyDescent="0.25"/>
    <row r="4959" ht="15" customHeight="1" x14ac:dyDescent="0.25"/>
    <row r="4960" ht="15" customHeight="1" x14ac:dyDescent="0.25"/>
    <row r="4961" ht="15" customHeight="1" x14ac:dyDescent="0.25"/>
    <row r="4962" ht="15" customHeight="1" x14ac:dyDescent="0.25"/>
    <row r="4963" ht="15" customHeight="1" x14ac:dyDescent="0.25"/>
    <row r="4964" ht="15" customHeight="1" x14ac:dyDescent="0.25"/>
    <row r="4965" ht="15" customHeight="1" x14ac:dyDescent="0.25"/>
    <row r="4966" ht="15" customHeight="1" x14ac:dyDescent="0.25"/>
    <row r="4967" ht="15" customHeight="1" x14ac:dyDescent="0.25"/>
    <row r="4968" ht="15" customHeight="1" x14ac:dyDescent="0.25"/>
    <row r="4969" ht="15" customHeight="1" x14ac:dyDescent="0.25"/>
    <row r="4970" ht="15" customHeight="1" x14ac:dyDescent="0.25"/>
    <row r="4971" ht="15" customHeight="1" x14ac:dyDescent="0.25"/>
    <row r="4972" ht="15" customHeight="1" x14ac:dyDescent="0.25"/>
    <row r="4973" ht="15" customHeight="1" x14ac:dyDescent="0.25"/>
    <row r="4974" ht="15" customHeight="1" x14ac:dyDescent="0.25"/>
    <row r="4975" ht="15" customHeight="1" x14ac:dyDescent="0.25"/>
    <row r="4976" ht="15" customHeight="1" x14ac:dyDescent="0.25"/>
    <row r="4977" ht="15" customHeight="1" x14ac:dyDescent="0.25"/>
    <row r="4978" ht="15" customHeight="1" x14ac:dyDescent="0.25"/>
    <row r="4979" ht="15" customHeight="1" x14ac:dyDescent="0.25"/>
    <row r="4980" ht="15" customHeight="1" x14ac:dyDescent="0.25"/>
    <row r="4981" ht="15" customHeight="1" x14ac:dyDescent="0.25"/>
    <row r="4982" ht="15" customHeight="1" x14ac:dyDescent="0.25"/>
    <row r="4983" ht="15" customHeight="1" x14ac:dyDescent="0.25"/>
    <row r="4984" ht="15" customHeight="1" x14ac:dyDescent="0.25"/>
    <row r="4985" ht="15" customHeight="1" x14ac:dyDescent="0.25"/>
    <row r="4986" ht="15" customHeight="1" x14ac:dyDescent="0.25"/>
    <row r="4987" ht="15" customHeight="1" x14ac:dyDescent="0.25"/>
    <row r="4988" ht="15" customHeight="1" x14ac:dyDescent="0.25"/>
    <row r="4989" ht="15" customHeight="1" x14ac:dyDescent="0.25"/>
    <row r="4990" ht="15" customHeight="1" x14ac:dyDescent="0.25"/>
    <row r="4991" ht="15" customHeight="1" x14ac:dyDescent="0.25"/>
    <row r="4992" ht="15" customHeight="1" x14ac:dyDescent="0.25"/>
    <row r="4993" ht="15" customHeight="1" x14ac:dyDescent="0.25"/>
    <row r="4994" ht="15" customHeight="1" x14ac:dyDescent="0.25"/>
    <row r="4995" ht="15" customHeight="1" x14ac:dyDescent="0.25"/>
    <row r="4996" ht="15" customHeight="1" x14ac:dyDescent="0.25"/>
    <row r="4997" ht="15" customHeight="1" x14ac:dyDescent="0.25"/>
    <row r="4998" ht="15" customHeight="1" x14ac:dyDescent="0.25"/>
    <row r="4999" ht="15" customHeight="1" x14ac:dyDescent="0.25"/>
    <row r="5000" ht="15" customHeight="1" x14ac:dyDescent="0.25"/>
    <row r="5001" ht="15" customHeight="1" x14ac:dyDescent="0.25"/>
    <row r="5002" ht="15" customHeight="1" x14ac:dyDescent="0.25"/>
    <row r="5003" ht="15" customHeight="1" x14ac:dyDescent="0.25"/>
    <row r="5004" ht="15" customHeight="1" x14ac:dyDescent="0.25"/>
    <row r="5005" ht="15" customHeight="1" x14ac:dyDescent="0.25"/>
    <row r="5006" ht="15" customHeight="1" x14ac:dyDescent="0.25"/>
    <row r="5007" ht="15" customHeight="1" x14ac:dyDescent="0.25"/>
    <row r="5008" ht="15" customHeight="1" x14ac:dyDescent="0.25"/>
    <row r="5009" ht="15" customHeight="1" x14ac:dyDescent="0.25"/>
    <row r="5010" ht="15" customHeight="1" x14ac:dyDescent="0.25"/>
    <row r="5011" ht="15" customHeight="1" x14ac:dyDescent="0.25"/>
    <row r="5012" ht="15" customHeight="1" x14ac:dyDescent="0.25"/>
    <row r="5013" ht="15" customHeight="1" x14ac:dyDescent="0.25"/>
    <row r="5014" ht="15" customHeight="1" x14ac:dyDescent="0.25"/>
    <row r="5015" ht="15" customHeight="1" x14ac:dyDescent="0.25"/>
    <row r="5016" ht="15" customHeight="1" x14ac:dyDescent="0.25"/>
    <row r="5017" ht="15" customHeight="1" x14ac:dyDescent="0.25"/>
    <row r="5018" ht="15" customHeight="1" x14ac:dyDescent="0.25"/>
    <row r="5019" ht="15" customHeight="1" x14ac:dyDescent="0.25"/>
    <row r="5020" ht="15" customHeight="1" x14ac:dyDescent="0.25"/>
    <row r="5021" ht="15" customHeight="1" x14ac:dyDescent="0.25"/>
    <row r="5022" ht="15" customHeight="1" x14ac:dyDescent="0.25"/>
    <row r="5023" ht="15" customHeight="1" x14ac:dyDescent="0.25"/>
    <row r="5024" ht="15" customHeight="1" x14ac:dyDescent="0.25"/>
    <row r="5025" ht="15" customHeight="1" x14ac:dyDescent="0.25"/>
    <row r="5026" ht="15" customHeight="1" x14ac:dyDescent="0.25"/>
    <row r="5027" ht="15" customHeight="1" x14ac:dyDescent="0.25"/>
    <row r="5028" ht="15" customHeight="1" x14ac:dyDescent="0.25"/>
    <row r="5029" ht="15" customHeight="1" x14ac:dyDescent="0.25"/>
    <row r="5030" ht="15" customHeight="1" x14ac:dyDescent="0.25"/>
    <row r="5031" ht="15" customHeight="1" x14ac:dyDescent="0.25"/>
    <row r="5032" ht="15" customHeight="1" x14ac:dyDescent="0.25"/>
    <row r="5033" ht="15" customHeight="1" x14ac:dyDescent="0.25"/>
    <row r="5034" ht="15" customHeight="1" x14ac:dyDescent="0.25"/>
    <row r="5035" ht="15" customHeight="1" x14ac:dyDescent="0.25"/>
    <row r="5036" ht="15" customHeight="1" x14ac:dyDescent="0.25"/>
    <row r="5037" ht="15" customHeight="1" x14ac:dyDescent="0.25"/>
    <row r="5038" ht="15" customHeight="1" x14ac:dyDescent="0.25"/>
    <row r="5039" ht="15" customHeight="1" x14ac:dyDescent="0.25"/>
    <row r="5040" ht="15" customHeight="1" x14ac:dyDescent="0.25"/>
    <row r="5041" ht="15" customHeight="1" x14ac:dyDescent="0.25"/>
    <row r="5042" ht="15" customHeight="1" x14ac:dyDescent="0.25"/>
    <row r="5043" ht="15" customHeight="1" x14ac:dyDescent="0.25"/>
    <row r="5044" ht="15" customHeight="1" x14ac:dyDescent="0.25"/>
    <row r="5045" ht="15" customHeight="1" x14ac:dyDescent="0.25"/>
    <row r="5046" ht="15" customHeight="1" x14ac:dyDescent="0.25"/>
    <row r="5047" ht="15" customHeight="1" x14ac:dyDescent="0.25"/>
    <row r="5048" ht="15" customHeight="1" x14ac:dyDescent="0.25"/>
    <row r="5049" ht="15" customHeight="1" x14ac:dyDescent="0.25"/>
    <row r="5050" ht="15" customHeight="1" x14ac:dyDescent="0.25"/>
    <row r="5051" ht="15" customHeight="1" x14ac:dyDescent="0.25"/>
    <row r="5052" ht="15" customHeight="1" x14ac:dyDescent="0.25"/>
    <row r="5053" ht="15" customHeight="1" x14ac:dyDescent="0.25"/>
    <row r="5054" ht="15" customHeight="1" x14ac:dyDescent="0.25"/>
    <row r="5055" ht="15" customHeight="1" x14ac:dyDescent="0.25"/>
    <row r="5056" ht="15" customHeight="1" x14ac:dyDescent="0.25"/>
    <row r="5057" ht="15" customHeight="1" x14ac:dyDescent="0.25"/>
    <row r="5058" ht="15" customHeight="1" x14ac:dyDescent="0.25"/>
    <row r="5059" ht="15" customHeight="1" x14ac:dyDescent="0.25"/>
    <row r="5060" ht="15" customHeight="1" x14ac:dyDescent="0.25"/>
    <row r="5061" ht="15" customHeight="1" x14ac:dyDescent="0.25"/>
    <row r="5062" ht="15" customHeight="1" x14ac:dyDescent="0.25"/>
    <row r="5063" ht="15" customHeight="1" x14ac:dyDescent="0.25"/>
    <row r="5064" ht="15" customHeight="1" x14ac:dyDescent="0.25"/>
    <row r="5065" ht="15" customHeight="1" x14ac:dyDescent="0.25"/>
    <row r="5066" ht="15" customHeight="1" x14ac:dyDescent="0.25"/>
    <row r="5067" ht="15" customHeight="1" x14ac:dyDescent="0.25"/>
    <row r="5068" ht="15" customHeight="1" x14ac:dyDescent="0.25"/>
    <row r="5069" ht="15" customHeight="1" x14ac:dyDescent="0.25"/>
    <row r="5070" ht="15" customHeight="1" x14ac:dyDescent="0.25"/>
    <row r="5071" ht="15" customHeight="1" x14ac:dyDescent="0.25"/>
    <row r="5072" ht="15" customHeight="1" x14ac:dyDescent="0.25"/>
    <row r="5073" ht="15" customHeight="1" x14ac:dyDescent="0.25"/>
    <row r="5074" ht="15" customHeight="1" x14ac:dyDescent="0.25"/>
    <row r="5075" ht="15" customHeight="1" x14ac:dyDescent="0.25"/>
    <row r="5076" ht="15" customHeight="1" x14ac:dyDescent="0.25"/>
    <row r="5077" ht="15" customHeight="1" x14ac:dyDescent="0.25"/>
    <row r="5078" ht="15" customHeight="1" x14ac:dyDescent="0.25"/>
    <row r="5079" ht="15" customHeight="1" x14ac:dyDescent="0.25"/>
    <row r="5080" ht="15" customHeight="1" x14ac:dyDescent="0.25"/>
    <row r="5081" ht="15" customHeight="1" x14ac:dyDescent="0.25"/>
    <row r="5082" ht="15" customHeight="1" x14ac:dyDescent="0.25"/>
    <row r="5083" ht="15" customHeight="1" x14ac:dyDescent="0.25"/>
    <row r="5084" ht="15" customHeight="1" x14ac:dyDescent="0.25"/>
    <row r="5085" ht="15" customHeight="1" x14ac:dyDescent="0.25"/>
    <row r="5086" ht="15" customHeight="1" x14ac:dyDescent="0.25"/>
    <row r="5087" ht="15" customHeight="1" x14ac:dyDescent="0.25"/>
    <row r="5088" ht="15" customHeight="1" x14ac:dyDescent="0.25"/>
    <row r="5089" ht="15" customHeight="1" x14ac:dyDescent="0.25"/>
    <row r="5090" ht="15" customHeight="1" x14ac:dyDescent="0.25"/>
    <row r="5091" ht="15" customHeight="1" x14ac:dyDescent="0.25"/>
    <row r="5092" ht="15" customHeight="1" x14ac:dyDescent="0.25"/>
    <row r="5093" ht="15" customHeight="1" x14ac:dyDescent="0.25"/>
    <row r="5094" ht="15" customHeight="1" x14ac:dyDescent="0.25"/>
    <row r="5095" ht="15" customHeight="1" x14ac:dyDescent="0.25"/>
    <row r="5096" ht="15" customHeight="1" x14ac:dyDescent="0.25"/>
    <row r="5097" ht="15" customHeight="1" x14ac:dyDescent="0.25"/>
    <row r="5098" ht="15" customHeight="1" x14ac:dyDescent="0.25"/>
    <row r="5099" ht="15" customHeight="1" x14ac:dyDescent="0.25"/>
    <row r="5100" ht="15" customHeight="1" x14ac:dyDescent="0.25"/>
    <row r="5101" ht="15" customHeight="1" x14ac:dyDescent="0.25"/>
    <row r="5102" ht="15" customHeight="1" x14ac:dyDescent="0.25"/>
    <row r="5103" ht="15" customHeight="1" x14ac:dyDescent="0.25"/>
    <row r="5104" ht="15" customHeight="1" x14ac:dyDescent="0.25"/>
    <row r="5105" ht="15" customHeight="1" x14ac:dyDescent="0.25"/>
    <row r="5106" ht="15" customHeight="1" x14ac:dyDescent="0.25"/>
    <row r="5107" ht="15" customHeight="1" x14ac:dyDescent="0.25"/>
    <row r="5108" ht="15" customHeight="1" x14ac:dyDescent="0.25"/>
    <row r="5109" ht="15" customHeight="1" x14ac:dyDescent="0.25"/>
    <row r="5110" ht="15" customHeight="1" x14ac:dyDescent="0.25"/>
    <row r="5111" ht="15" customHeight="1" x14ac:dyDescent="0.25"/>
    <row r="5112" ht="15" customHeight="1" x14ac:dyDescent="0.25"/>
    <row r="5113" ht="15" customHeight="1" x14ac:dyDescent="0.25"/>
    <row r="5114" ht="15" customHeight="1" x14ac:dyDescent="0.25"/>
    <row r="5115" ht="15" customHeight="1" x14ac:dyDescent="0.25"/>
    <row r="5116" ht="15" customHeight="1" x14ac:dyDescent="0.25"/>
    <row r="5117" ht="15" customHeight="1" x14ac:dyDescent="0.25"/>
    <row r="5118" ht="15" customHeight="1" x14ac:dyDescent="0.25"/>
    <row r="5119" ht="15" customHeight="1" x14ac:dyDescent="0.25"/>
    <row r="5120" ht="15" customHeight="1" x14ac:dyDescent="0.25"/>
    <row r="5121" ht="15" customHeight="1" x14ac:dyDescent="0.25"/>
    <row r="5122" ht="15" customHeight="1" x14ac:dyDescent="0.25"/>
    <row r="5123" ht="15" customHeight="1" x14ac:dyDescent="0.25"/>
    <row r="5124" ht="15" customHeight="1" x14ac:dyDescent="0.25"/>
    <row r="5125" ht="15" customHeight="1" x14ac:dyDescent="0.25"/>
    <row r="5126" ht="15" customHeight="1" x14ac:dyDescent="0.25"/>
    <row r="5127" ht="15" customHeight="1" x14ac:dyDescent="0.25"/>
    <row r="5128" ht="15" customHeight="1" x14ac:dyDescent="0.25"/>
    <row r="5129" ht="15" customHeight="1" x14ac:dyDescent="0.25"/>
    <row r="5130" ht="15" customHeight="1" x14ac:dyDescent="0.25"/>
    <row r="5131" ht="15" customHeight="1" x14ac:dyDescent="0.25"/>
    <row r="5132" ht="15" customHeight="1" x14ac:dyDescent="0.25"/>
    <row r="5133" ht="15" customHeight="1" x14ac:dyDescent="0.25"/>
    <row r="5134" ht="15" customHeight="1" x14ac:dyDescent="0.25"/>
    <row r="5135" ht="15" customHeight="1" x14ac:dyDescent="0.25"/>
    <row r="5136" ht="15" customHeight="1" x14ac:dyDescent="0.25"/>
    <row r="5137" ht="15" customHeight="1" x14ac:dyDescent="0.25"/>
    <row r="5138" ht="15" customHeight="1" x14ac:dyDescent="0.25"/>
    <row r="5139" ht="15" customHeight="1" x14ac:dyDescent="0.25"/>
    <row r="5140" ht="15" customHeight="1" x14ac:dyDescent="0.25"/>
    <row r="5141" ht="15" customHeight="1" x14ac:dyDescent="0.25"/>
    <row r="5142" ht="15" customHeight="1" x14ac:dyDescent="0.25"/>
    <row r="5143" ht="15" customHeight="1" x14ac:dyDescent="0.25"/>
    <row r="5144" ht="15" customHeight="1" x14ac:dyDescent="0.25"/>
    <row r="5145" ht="15" customHeight="1" x14ac:dyDescent="0.25"/>
    <row r="5146" ht="15" customHeight="1" x14ac:dyDescent="0.25"/>
    <row r="5147" ht="15" customHeight="1" x14ac:dyDescent="0.25"/>
    <row r="5148" ht="15" customHeight="1" x14ac:dyDescent="0.25"/>
    <row r="5149" ht="15" customHeight="1" x14ac:dyDescent="0.25"/>
    <row r="5150" ht="15" customHeight="1" x14ac:dyDescent="0.25"/>
    <row r="5151" ht="15" customHeight="1" x14ac:dyDescent="0.25"/>
    <row r="5152" ht="15" customHeight="1" x14ac:dyDescent="0.25"/>
    <row r="5153" ht="15" customHeight="1" x14ac:dyDescent="0.25"/>
    <row r="5154" ht="15" customHeight="1" x14ac:dyDescent="0.25"/>
    <row r="5155" ht="15" customHeight="1" x14ac:dyDescent="0.25"/>
    <row r="5156" ht="15" customHeight="1" x14ac:dyDescent="0.25"/>
    <row r="5157" ht="15" customHeight="1" x14ac:dyDescent="0.25"/>
    <row r="5158" ht="15" customHeight="1" x14ac:dyDescent="0.25"/>
    <row r="5159" ht="15" customHeight="1" x14ac:dyDescent="0.25"/>
    <row r="5160" ht="15" customHeight="1" x14ac:dyDescent="0.25"/>
    <row r="5161" ht="15" customHeight="1" x14ac:dyDescent="0.25"/>
    <row r="5162" ht="15" customHeight="1" x14ac:dyDescent="0.25"/>
    <row r="5163" ht="15" customHeight="1" x14ac:dyDescent="0.25"/>
    <row r="5164" ht="15" customHeight="1" x14ac:dyDescent="0.25"/>
    <row r="5165" ht="15" customHeight="1" x14ac:dyDescent="0.25"/>
    <row r="5166" ht="15" customHeight="1" x14ac:dyDescent="0.25"/>
    <row r="5167" ht="15" customHeight="1" x14ac:dyDescent="0.25"/>
    <row r="5168" ht="15" customHeight="1" x14ac:dyDescent="0.25"/>
    <row r="5169" ht="15" customHeight="1" x14ac:dyDescent="0.25"/>
    <row r="5170" ht="15" customHeight="1" x14ac:dyDescent="0.25"/>
    <row r="5171" ht="15" customHeight="1" x14ac:dyDescent="0.25"/>
    <row r="5172" ht="15" customHeight="1" x14ac:dyDescent="0.25"/>
    <row r="5173" ht="15" customHeight="1" x14ac:dyDescent="0.25"/>
    <row r="5174" ht="15" customHeight="1" x14ac:dyDescent="0.25"/>
    <row r="5175" ht="15" customHeight="1" x14ac:dyDescent="0.25"/>
    <row r="5176" ht="15" customHeight="1" x14ac:dyDescent="0.25"/>
    <row r="5177" ht="15" customHeight="1" x14ac:dyDescent="0.25"/>
    <row r="5178" ht="15" customHeight="1" x14ac:dyDescent="0.25"/>
    <row r="5179" ht="15" customHeight="1" x14ac:dyDescent="0.25"/>
    <row r="5180" ht="15" customHeight="1" x14ac:dyDescent="0.25"/>
    <row r="5181" ht="15" customHeight="1" x14ac:dyDescent="0.25"/>
    <row r="5182" ht="15" customHeight="1" x14ac:dyDescent="0.25"/>
    <row r="5183" ht="15" customHeight="1" x14ac:dyDescent="0.25"/>
    <row r="5184" ht="15" customHeight="1" x14ac:dyDescent="0.25"/>
    <row r="5185" ht="15" customHeight="1" x14ac:dyDescent="0.25"/>
    <row r="5186" ht="15" customHeight="1" x14ac:dyDescent="0.25"/>
    <row r="5187" ht="15" customHeight="1" x14ac:dyDescent="0.25"/>
    <row r="5188" ht="15" customHeight="1" x14ac:dyDescent="0.25"/>
    <row r="5189" ht="15" customHeight="1" x14ac:dyDescent="0.25"/>
    <row r="5190" ht="15" customHeight="1" x14ac:dyDescent="0.25"/>
    <row r="5191" ht="15" customHeight="1" x14ac:dyDescent="0.25"/>
    <row r="5192" ht="15" customHeight="1" x14ac:dyDescent="0.25"/>
    <row r="5193" ht="15" customHeight="1" x14ac:dyDescent="0.25"/>
    <row r="5194" ht="15" customHeight="1" x14ac:dyDescent="0.25"/>
    <row r="5195" ht="15" customHeight="1" x14ac:dyDescent="0.25"/>
    <row r="5196" ht="15" customHeight="1" x14ac:dyDescent="0.25"/>
    <row r="5197" ht="15" customHeight="1" x14ac:dyDescent="0.25"/>
    <row r="5198" ht="15" customHeight="1" x14ac:dyDescent="0.25"/>
    <row r="5199" ht="15" customHeight="1" x14ac:dyDescent="0.25"/>
    <row r="5200" ht="15" customHeight="1" x14ac:dyDescent="0.25"/>
    <row r="5201" ht="15" customHeight="1" x14ac:dyDescent="0.25"/>
    <row r="5202" ht="15" customHeight="1" x14ac:dyDescent="0.25"/>
    <row r="5203" ht="15" customHeight="1" x14ac:dyDescent="0.25"/>
    <row r="5204" ht="15" customHeight="1" x14ac:dyDescent="0.25"/>
    <row r="5205" ht="15" customHeight="1" x14ac:dyDescent="0.25"/>
    <row r="5206" ht="15" customHeight="1" x14ac:dyDescent="0.25"/>
    <row r="5207" ht="15" customHeight="1" x14ac:dyDescent="0.25"/>
    <row r="5208" ht="15" customHeight="1" x14ac:dyDescent="0.25"/>
    <row r="5209" ht="15" customHeight="1" x14ac:dyDescent="0.25"/>
    <row r="5210" ht="15" customHeight="1" x14ac:dyDescent="0.25"/>
    <row r="5211" ht="15" customHeight="1" x14ac:dyDescent="0.25"/>
    <row r="5212" ht="15" customHeight="1" x14ac:dyDescent="0.25"/>
    <row r="5213" ht="15" customHeight="1" x14ac:dyDescent="0.25"/>
    <row r="5214" ht="15" customHeight="1" x14ac:dyDescent="0.25"/>
    <row r="5215" ht="15" customHeight="1" x14ac:dyDescent="0.25"/>
    <row r="5216" ht="15" customHeight="1" x14ac:dyDescent="0.25"/>
    <row r="5217" ht="15" customHeight="1" x14ac:dyDescent="0.25"/>
    <row r="5218" ht="15" customHeight="1" x14ac:dyDescent="0.25"/>
    <row r="5219" ht="15" customHeight="1" x14ac:dyDescent="0.25"/>
    <row r="5220" ht="15" customHeight="1" x14ac:dyDescent="0.25"/>
    <row r="5221" ht="15" customHeight="1" x14ac:dyDescent="0.25"/>
    <row r="5222" ht="15" customHeight="1" x14ac:dyDescent="0.25"/>
    <row r="5223" ht="15" customHeight="1" x14ac:dyDescent="0.25"/>
    <row r="5224" ht="15" customHeight="1" x14ac:dyDescent="0.25"/>
    <row r="5225" ht="15" customHeight="1" x14ac:dyDescent="0.25"/>
    <row r="5226" ht="15" customHeight="1" x14ac:dyDescent="0.25"/>
    <row r="5227" ht="15" customHeight="1" x14ac:dyDescent="0.25"/>
    <row r="5228" ht="15" customHeight="1" x14ac:dyDescent="0.25"/>
    <row r="5229" ht="15" customHeight="1" x14ac:dyDescent="0.25"/>
    <row r="5230" ht="15" customHeight="1" x14ac:dyDescent="0.25"/>
    <row r="5231" ht="15" customHeight="1" x14ac:dyDescent="0.25"/>
    <row r="5232" ht="15" customHeight="1" x14ac:dyDescent="0.25"/>
    <row r="5233" ht="15" customHeight="1" x14ac:dyDescent="0.25"/>
    <row r="5234" ht="15" customHeight="1" x14ac:dyDescent="0.25"/>
    <row r="5235" ht="15" customHeight="1" x14ac:dyDescent="0.25"/>
    <row r="5236" ht="15" customHeight="1" x14ac:dyDescent="0.25"/>
    <row r="5237" ht="15" customHeight="1" x14ac:dyDescent="0.25"/>
    <row r="5238" ht="15" customHeight="1" x14ac:dyDescent="0.25"/>
    <row r="5239" ht="15" customHeight="1" x14ac:dyDescent="0.25"/>
    <row r="5240" ht="15" customHeight="1" x14ac:dyDescent="0.25"/>
    <row r="5241" ht="15" customHeight="1" x14ac:dyDescent="0.25"/>
    <row r="5242" ht="15" customHeight="1" x14ac:dyDescent="0.25"/>
    <row r="5243" ht="15" customHeight="1" x14ac:dyDescent="0.25"/>
    <row r="5244" ht="15" customHeight="1" x14ac:dyDescent="0.25"/>
    <row r="5245" ht="15" customHeight="1" x14ac:dyDescent="0.25"/>
    <row r="5246" ht="15" customHeight="1" x14ac:dyDescent="0.25"/>
    <row r="5247" ht="15" customHeight="1" x14ac:dyDescent="0.25"/>
    <row r="5248" ht="15" customHeight="1" x14ac:dyDescent="0.25"/>
    <row r="5249" ht="15" customHeight="1" x14ac:dyDescent="0.25"/>
    <row r="5250" ht="15" customHeight="1" x14ac:dyDescent="0.25"/>
    <row r="5251" ht="15" customHeight="1" x14ac:dyDescent="0.25"/>
    <row r="5252" ht="15" customHeight="1" x14ac:dyDescent="0.25"/>
    <row r="5253" ht="15" customHeight="1" x14ac:dyDescent="0.25"/>
    <row r="5254" ht="15" customHeight="1" x14ac:dyDescent="0.25"/>
    <row r="5255" ht="15" customHeight="1" x14ac:dyDescent="0.25"/>
    <row r="5256" ht="15" customHeight="1" x14ac:dyDescent="0.25"/>
    <row r="5257" ht="15" customHeight="1" x14ac:dyDescent="0.25"/>
    <row r="5258" ht="15" customHeight="1" x14ac:dyDescent="0.25"/>
    <row r="5259" ht="15" customHeight="1" x14ac:dyDescent="0.25"/>
    <row r="5260" ht="15" customHeight="1" x14ac:dyDescent="0.25"/>
    <row r="5261" ht="15" customHeight="1" x14ac:dyDescent="0.25"/>
    <row r="5262" ht="15" customHeight="1" x14ac:dyDescent="0.25"/>
    <row r="5263" ht="15" customHeight="1" x14ac:dyDescent="0.25"/>
    <row r="5264" ht="15" customHeight="1" x14ac:dyDescent="0.25"/>
    <row r="5265" ht="15" customHeight="1" x14ac:dyDescent="0.25"/>
    <row r="5266" ht="15" customHeight="1" x14ac:dyDescent="0.25"/>
    <row r="5267" ht="15" customHeight="1" x14ac:dyDescent="0.25"/>
    <row r="5268" ht="15" customHeight="1" x14ac:dyDescent="0.25"/>
    <row r="5269" ht="15" customHeight="1" x14ac:dyDescent="0.25"/>
    <row r="5270" ht="15" customHeight="1" x14ac:dyDescent="0.25"/>
    <row r="5271" ht="15" customHeight="1" x14ac:dyDescent="0.25"/>
    <row r="5272" ht="15" customHeight="1" x14ac:dyDescent="0.25"/>
    <row r="5273" ht="15" customHeight="1" x14ac:dyDescent="0.25"/>
    <row r="5274" ht="15" customHeight="1" x14ac:dyDescent="0.25"/>
    <row r="5275" ht="15" customHeight="1" x14ac:dyDescent="0.25"/>
    <row r="5276" ht="15" customHeight="1" x14ac:dyDescent="0.25"/>
    <row r="5277" ht="15" customHeight="1" x14ac:dyDescent="0.25"/>
    <row r="5278" ht="15" customHeight="1" x14ac:dyDescent="0.25"/>
    <row r="5279" ht="15" customHeight="1" x14ac:dyDescent="0.25"/>
    <row r="5280" ht="15" customHeight="1" x14ac:dyDescent="0.25"/>
    <row r="5281" ht="15" customHeight="1" x14ac:dyDescent="0.25"/>
    <row r="5282" ht="15" customHeight="1" x14ac:dyDescent="0.25"/>
    <row r="5283" ht="15" customHeight="1" x14ac:dyDescent="0.25"/>
    <row r="5284" ht="15" customHeight="1" x14ac:dyDescent="0.25"/>
    <row r="5285" ht="15" customHeight="1" x14ac:dyDescent="0.25"/>
    <row r="5286" ht="15" customHeight="1" x14ac:dyDescent="0.25"/>
    <row r="5287" ht="15" customHeight="1" x14ac:dyDescent="0.25"/>
    <row r="5288" ht="15" customHeight="1" x14ac:dyDescent="0.25"/>
    <row r="5289" ht="15" customHeight="1" x14ac:dyDescent="0.25"/>
    <row r="5290" ht="15" customHeight="1" x14ac:dyDescent="0.25"/>
    <row r="5291" ht="15" customHeight="1" x14ac:dyDescent="0.25"/>
    <row r="5292" ht="15" customHeight="1" x14ac:dyDescent="0.25"/>
    <row r="5293" ht="15" customHeight="1" x14ac:dyDescent="0.25"/>
    <row r="5294" ht="15" customHeight="1" x14ac:dyDescent="0.25"/>
    <row r="5295" ht="15" customHeight="1" x14ac:dyDescent="0.25"/>
    <row r="5296" ht="15" customHeight="1" x14ac:dyDescent="0.25"/>
    <row r="5297" ht="15" customHeight="1" x14ac:dyDescent="0.25"/>
    <row r="5298" ht="15" customHeight="1" x14ac:dyDescent="0.25"/>
    <row r="5299" ht="15" customHeight="1" x14ac:dyDescent="0.25"/>
    <row r="5300" ht="15" customHeight="1" x14ac:dyDescent="0.25"/>
    <row r="5301" ht="15" customHeight="1" x14ac:dyDescent="0.25"/>
    <row r="5302" ht="15" customHeight="1" x14ac:dyDescent="0.25"/>
    <row r="5303" ht="15" customHeight="1" x14ac:dyDescent="0.25"/>
    <row r="5304" ht="15" customHeight="1" x14ac:dyDescent="0.25"/>
    <row r="5305" ht="15" customHeight="1" x14ac:dyDescent="0.25"/>
    <row r="5306" ht="15" customHeight="1" x14ac:dyDescent="0.25"/>
    <row r="5307" ht="15" customHeight="1" x14ac:dyDescent="0.25"/>
    <row r="5308" ht="15" customHeight="1" x14ac:dyDescent="0.25"/>
    <row r="5309" ht="15" customHeight="1" x14ac:dyDescent="0.25"/>
    <row r="5310" ht="15" customHeight="1" x14ac:dyDescent="0.25"/>
    <row r="5311" ht="15" customHeight="1" x14ac:dyDescent="0.25"/>
    <row r="5312" ht="15" customHeight="1" x14ac:dyDescent="0.25"/>
    <row r="5313" ht="15" customHeight="1" x14ac:dyDescent="0.25"/>
    <row r="5314" ht="15" customHeight="1" x14ac:dyDescent="0.25"/>
    <row r="5315" ht="15" customHeight="1" x14ac:dyDescent="0.25"/>
    <row r="5316" ht="15" customHeight="1" x14ac:dyDescent="0.25"/>
    <row r="5317" ht="15" customHeight="1" x14ac:dyDescent="0.25"/>
    <row r="5318" ht="15" customHeight="1" x14ac:dyDescent="0.25"/>
    <row r="5319" ht="15" customHeight="1" x14ac:dyDescent="0.25"/>
    <row r="5320" ht="15" customHeight="1" x14ac:dyDescent="0.25"/>
    <row r="5321" ht="15" customHeight="1" x14ac:dyDescent="0.25"/>
    <row r="5322" ht="15" customHeight="1" x14ac:dyDescent="0.25"/>
    <row r="5323" ht="15" customHeight="1" x14ac:dyDescent="0.25"/>
    <row r="5324" ht="15" customHeight="1" x14ac:dyDescent="0.25"/>
    <row r="5325" ht="15" customHeight="1" x14ac:dyDescent="0.25"/>
    <row r="5326" ht="15" customHeight="1" x14ac:dyDescent="0.25"/>
    <row r="5327" ht="15" customHeight="1" x14ac:dyDescent="0.25"/>
    <row r="5328" ht="15" customHeight="1" x14ac:dyDescent="0.25"/>
    <row r="5329" ht="15" customHeight="1" x14ac:dyDescent="0.25"/>
    <row r="5330" ht="15" customHeight="1" x14ac:dyDescent="0.25"/>
    <row r="5331" ht="15" customHeight="1" x14ac:dyDescent="0.25"/>
    <row r="5332" ht="15" customHeight="1" x14ac:dyDescent="0.25"/>
    <row r="5333" ht="15" customHeight="1" x14ac:dyDescent="0.25"/>
    <row r="5334" ht="15" customHeight="1" x14ac:dyDescent="0.25"/>
    <row r="5335" ht="15" customHeight="1" x14ac:dyDescent="0.25"/>
    <row r="5336" ht="15" customHeight="1" x14ac:dyDescent="0.25"/>
    <row r="5337" ht="15" customHeight="1" x14ac:dyDescent="0.25"/>
    <row r="5338" ht="15" customHeight="1" x14ac:dyDescent="0.25"/>
    <row r="5339" ht="15" customHeight="1" x14ac:dyDescent="0.25"/>
    <row r="5340" ht="15" customHeight="1" x14ac:dyDescent="0.25"/>
    <row r="5341" ht="15" customHeight="1" x14ac:dyDescent="0.25"/>
    <row r="5342" ht="15" customHeight="1" x14ac:dyDescent="0.25"/>
    <row r="5343" ht="15" customHeight="1" x14ac:dyDescent="0.25"/>
    <row r="5344" ht="15" customHeight="1" x14ac:dyDescent="0.25"/>
    <row r="5345" ht="15" customHeight="1" x14ac:dyDescent="0.25"/>
    <row r="5346" ht="15" customHeight="1" x14ac:dyDescent="0.25"/>
    <row r="5347" ht="15" customHeight="1" x14ac:dyDescent="0.25"/>
    <row r="5348" ht="15" customHeight="1" x14ac:dyDescent="0.25"/>
    <row r="5349" ht="15" customHeight="1" x14ac:dyDescent="0.25"/>
    <row r="5350" ht="15" customHeight="1" x14ac:dyDescent="0.25"/>
    <row r="5351" ht="15" customHeight="1" x14ac:dyDescent="0.25"/>
    <row r="5352" ht="15" customHeight="1" x14ac:dyDescent="0.25"/>
    <row r="5353" ht="15" customHeight="1" x14ac:dyDescent="0.25"/>
    <row r="5354" ht="15" customHeight="1" x14ac:dyDescent="0.25"/>
    <row r="5355" ht="15" customHeight="1" x14ac:dyDescent="0.25"/>
    <row r="5356" ht="15" customHeight="1" x14ac:dyDescent="0.25"/>
    <row r="5357" ht="15" customHeight="1" x14ac:dyDescent="0.25"/>
    <row r="5358" ht="15" customHeight="1" x14ac:dyDescent="0.25"/>
    <row r="5359" ht="15" customHeight="1" x14ac:dyDescent="0.25"/>
    <row r="5360" ht="15" customHeight="1" x14ac:dyDescent="0.25"/>
    <row r="5361" ht="15" customHeight="1" x14ac:dyDescent="0.25"/>
    <row r="5362" ht="15" customHeight="1" x14ac:dyDescent="0.25"/>
    <row r="5363" ht="15" customHeight="1" x14ac:dyDescent="0.25"/>
    <row r="5364" ht="15" customHeight="1" x14ac:dyDescent="0.25"/>
    <row r="5365" ht="15" customHeight="1" x14ac:dyDescent="0.25"/>
    <row r="5366" ht="15" customHeight="1" x14ac:dyDescent="0.25"/>
    <row r="5367" ht="15" customHeight="1" x14ac:dyDescent="0.25"/>
    <row r="5368" ht="15" customHeight="1" x14ac:dyDescent="0.25"/>
    <row r="5369" ht="15" customHeight="1" x14ac:dyDescent="0.25"/>
    <row r="5370" ht="15" customHeight="1" x14ac:dyDescent="0.25"/>
    <row r="5371" ht="15" customHeight="1" x14ac:dyDescent="0.25"/>
    <row r="5372" ht="15" customHeight="1" x14ac:dyDescent="0.25"/>
    <row r="5373" ht="15" customHeight="1" x14ac:dyDescent="0.25"/>
    <row r="5374" ht="15" customHeight="1" x14ac:dyDescent="0.25"/>
    <row r="5375" ht="15" customHeight="1" x14ac:dyDescent="0.25"/>
    <row r="5376" ht="15" customHeight="1" x14ac:dyDescent="0.25"/>
    <row r="5377" ht="15" customHeight="1" x14ac:dyDescent="0.25"/>
    <row r="5378" ht="15" customHeight="1" x14ac:dyDescent="0.25"/>
    <row r="5379" ht="15" customHeight="1" x14ac:dyDescent="0.25"/>
    <row r="5380" ht="15" customHeight="1" x14ac:dyDescent="0.25"/>
    <row r="5381" ht="15" customHeight="1" x14ac:dyDescent="0.25"/>
    <row r="5382" ht="15" customHeight="1" x14ac:dyDescent="0.25"/>
    <row r="5383" ht="15" customHeight="1" x14ac:dyDescent="0.25"/>
    <row r="5384" ht="15" customHeight="1" x14ac:dyDescent="0.25"/>
    <row r="5385" ht="15" customHeight="1" x14ac:dyDescent="0.25"/>
    <row r="5386" ht="15" customHeight="1" x14ac:dyDescent="0.25"/>
    <row r="5387" ht="15" customHeight="1" x14ac:dyDescent="0.25"/>
    <row r="5388" ht="15" customHeight="1" x14ac:dyDescent="0.25"/>
    <row r="5389" ht="15" customHeight="1" x14ac:dyDescent="0.25"/>
    <row r="5390" ht="15" customHeight="1" x14ac:dyDescent="0.25"/>
    <row r="5391" ht="15" customHeight="1" x14ac:dyDescent="0.25"/>
    <row r="5392" ht="15" customHeight="1" x14ac:dyDescent="0.25"/>
    <row r="5393" ht="15" customHeight="1" x14ac:dyDescent="0.25"/>
    <row r="5394" ht="15" customHeight="1" x14ac:dyDescent="0.25"/>
    <row r="5395" ht="15" customHeight="1" x14ac:dyDescent="0.25"/>
    <row r="5396" ht="15" customHeight="1" x14ac:dyDescent="0.25"/>
    <row r="5397" ht="15" customHeight="1" x14ac:dyDescent="0.25"/>
    <row r="5398" ht="15" customHeight="1" x14ac:dyDescent="0.25"/>
    <row r="5399" ht="15" customHeight="1" x14ac:dyDescent="0.25"/>
    <row r="5400" ht="15" customHeight="1" x14ac:dyDescent="0.25"/>
    <row r="5401" ht="15" customHeight="1" x14ac:dyDescent="0.25"/>
    <row r="5402" ht="15" customHeight="1" x14ac:dyDescent="0.25"/>
    <row r="5403" ht="15" customHeight="1" x14ac:dyDescent="0.25"/>
    <row r="5404" ht="15" customHeight="1" x14ac:dyDescent="0.25"/>
    <row r="5405" ht="15" customHeight="1" x14ac:dyDescent="0.25"/>
    <row r="5406" ht="15" customHeight="1" x14ac:dyDescent="0.25"/>
    <row r="5407" ht="15" customHeight="1" x14ac:dyDescent="0.25"/>
    <row r="5408" ht="15" customHeight="1" x14ac:dyDescent="0.25"/>
    <row r="5409" ht="15" customHeight="1" x14ac:dyDescent="0.25"/>
    <row r="5410" ht="15" customHeight="1" x14ac:dyDescent="0.25"/>
    <row r="5411" ht="15" customHeight="1" x14ac:dyDescent="0.25"/>
    <row r="5412" ht="15" customHeight="1" x14ac:dyDescent="0.25"/>
    <row r="5413" ht="15" customHeight="1" x14ac:dyDescent="0.25"/>
    <row r="5414" ht="15" customHeight="1" x14ac:dyDescent="0.25"/>
    <row r="5415" ht="15" customHeight="1" x14ac:dyDescent="0.25"/>
    <row r="5416" ht="15" customHeight="1" x14ac:dyDescent="0.25"/>
    <row r="5417" ht="15" customHeight="1" x14ac:dyDescent="0.25"/>
    <row r="5418" ht="15" customHeight="1" x14ac:dyDescent="0.25"/>
    <row r="5419" ht="15" customHeight="1" x14ac:dyDescent="0.25"/>
    <row r="5420" ht="15" customHeight="1" x14ac:dyDescent="0.25"/>
    <row r="5421" ht="15" customHeight="1" x14ac:dyDescent="0.25"/>
    <row r="5422" ht="15" customHeight="1" x14ac:dyDescent="0.25"/>
    <row r="5423" ht="15" customHeight="1" x14ac:dyDescent="0.25"/>
    <row r="5424" ht="15" customHeight="1" x14ac:dyDescent="0.25"/>
    <row r="5425" ht="15" customHeight="1" x14ac:dyDescent="0.25"/>
    <row r="5426" ht="15" customHeight="1" x14ac:dyDescent="0.25"/>
    <row r="5427" ht="15" customHeight="1" x14ac:dyDescent="0.25"/>
    <row r="5428" ht="15" customHeight="1" x14ac:dyDescent="0.25"/>
    <row r="5429" ht="15" customHeight="1" x14ac:dyDescent="0.25"/>
    <row r="5430" ht="15" customHeight="1" x14ac:dyDescent="0.25"/>
    <row r="5431" ht="15" customHeight="1" x14ac:dyDescent="0.25"/>
    <row r="5432" ht="15" customHeight="1" x14ac:dyDescent="0.25"/>
    <row r="5433" ht="15" customHeight="1" x14ac:dyDescent="0.25"/>
    <row r="5434" ht="15" customHeight="1" x14ac:dyDescent="0.25"/>
    <row r="5435" ht="15" customHeight="1" x14ac:dyDescent="0.25"/>
    <row r="5436" ht="15" customHeight="1" x14ac:dyDescent="0.25"/>
    <row r="5437" ht="15" customHeight="1" x14ac:dyDescent="0.25"/>
    <row r="5438" ht="15" customHeight="1" x14ac:dyDescent="0.25"/>
    <row r="5439" ht="15" customHeight="1" x14ac:dyDescent="0.25"/>
    <row r="5440" ht="15" customHeight="1" x14ac:dyDescent="0.25"/>
    <row r="5441" ht="15" customHeight="1" x14ac:dyDescent="0.25"/>
    <row r="5442" ht="15" customHeight="1" x14ac:dyDescent="0.25"/>
    <row r="5443" ht="15" customHeight="1" x14ac:dyDescent="0.25"/>
    <row r="5444" ht="15" customHeight="1" x14ac:dyDescent="0.25"/>
    <row r="5445" ht="15" customHeight="1" x14ac:dyDescent="0.25"/>
    <row r="5446" ht="15" customHeight="1" x14ac:dyDescent="0.25"/>
    <row r="5447" ht="15" customHeight="1" x14ac:dyDescent="0.25"/>
    <row r="5448" ht="15" customHeight="1" x14ac:dyDescent="0.25"/>
    <row r="5449" ht="15" customHeight="1" x14ac:dyDescent="0.25"/>
    <row r="5450" ht="15" customHeight="1" x14ac:dyDescent="0.25"/>
    <row r="5451" ht="15" customHeight="1" x14ac:dyDescent="0.25"/>
    <row r="5452" ht="15" customHeight="1" x14ac:dyDescent="0.25"/>
    <row r="5453" ht="15" customHeight="1" x14ac:dyDescent="0.25"/>
    <row r="5454" ht="15" customHeight="1" x14ac:dyDescent="0.25"/>
    <row r="5455" ht="15" customHeight="1" x14ac:dyDescent="0.25"/>
    <row r="5456" ht="15" customHeight="1" x14ac:dyDescent="0.25"/>
    <row r="5457" ht="15" customHeight="1" x14ac:dyDescent="0.25"/>
    <row r="5458" ht="15" customHeight="1" x14ac:dyDescent="0.25"/>
    <row r="5459" ht="15" customHeight="1" x14ac:dyDescent="0.25"/>
    <row r="5460" ht="15" customHeight="1" x14ac:dyDescent="0.25"/>
    <row r="5461" ht="15" customHeight="1" x14ac:dyDescent="0.25"/>
    <row r="5462" ht="15" customHeight="1" x14ac:dyDescent="0.25"/>
    <row r="5463" ht="15" customHeight="1" x14ac:dyDescent="0.25"/>
    <row r="5464" ht="15" customHeight="1" x14ac:dyDescent="0.25"/>
    <row r="5465" ht="15" customHeight="1" x14ac:dyDescent="0.25"/>
    <row r="5466" ht="15" customHeight="1" x14ac:dyDescent="0.25"/>
    <row r="5467" ht="15" customHeight="1" x14ac:dyDescent="0.25"/>
    <row r="5468" ht="15" customHeight="1" x14ac:dyDescent="0.25"/>
    <row r="5469" ht="15" customHeight="1" x14ac:dyDescent="0.25"/>
    <row r="5470" ht="15" customHeight="1" x14ac:dyDescent="0.25"/>
    <row r="5471" ht="15" customHeight="1" x14ac:dyDescent="0.25"/>
    <row r="5472" ht="15" customHeight="1" x14ac:dyDescent="0.25"/>
    <row r="5473" ht="15" customHeight="1" x14ac:dyDescent="0.25"/>
    <row r="5474" ht="15" customHeight="1" x14ac:dyDescent="0.25"/>
    <row r="5475" ht="15" customHeight="1" x14ac:dyDescent="0.25"/>
    <row r="5476" ht="15" customHeight="1" x14ac:dyDescent="0.25"/>
    <row r="5477" ht="15" customHeight="1" x14ac:dyDescent="0.25"/>
    <row r="5478" ht="15" customHeight="1" x14ac:dyDescent="0.25"/>
    <row r="5479" ht="15" customHeight="1" x14ac:dyDescent="0.25"/>
    <row r="5480" ht="15" customHeight="1" x14ac:dyDescent="0.25"/>
    <row r="5481" ht="15" customHeight="1" x14ac:dyDescent="0.25"/>
    <row r="5482" ht="15" customHeight="1" x14ac:dyDescent="0.25"/>
    <row r="5483" ht="15" customHeight="1" x14ac:dyDescent="0.25"/>
    <row r="5484" ht="15" customHeight="1" x14ac:dyDescent="0.25"/>
    <row r="5485" ht="15" customHeight="1" x14ac:dyDescent="0.25"/>
    <row r="5486" ht="15" customHeight="1" x14ac:dyDescent="0.25"/>
    <row r="5487" ht="15" customHeight="1" x14ac:dyDescent="0.25"/>
    <row r="5488" ht="15" customHeight="1" x14ac:dyDescent="0.25"/>
    <row r="5489" ht="15" customHeight="1" x14ac:dyDescent="0.25"/>
    <row r="5490" ht="15" customHeight="1" x14ac:dyDescent="0.25"/>
    <row r="5491" ht="15" customHeight="1" x14ac:dyDescent="0.25"/>
    <row r="5492" ht="15" customHeight="1" x14ac:dyDescent="0.25"/>
    <row r="5493" ht="15" customHeight="1" x14ac:dyDescent="0.25"/>
    <row r="5494" ht="15" customHeight="1" x14ac:dyDescent="0.25"/>
    <row r="5495" ht="15" customHeight="1" x14ac:dyDescent="0.25"/>
    <row r="5496" ht="15" customHeight="1" x14ac:dyDescent="0.25"/>
    <row r="5497" ht="15" customHeight="1" x14ac:dyDescent="0.25"/>
    <row r="5498" ht="15" customHeight="1" x14ac:dyDescent="0.25"/>
    <row r="5499" ht="15" customHeight="1" x14ac:dyDescent="0.25"/>
    <row r="5500" ht="15" customHeight="1" x14ac:dyDescent="0.25"/>
    <row r="5501" ht="15" customHeight="1" x14ac:dyDescent="0.25"/>
    <row r="5502" ht="15" customHeight="1" x14ac:dyDescent="0.25"/>
    <row r="5503" ht="15" customHeight="1" x14ac:dyDescent="0.25"/>
    <row r="5504" ht="15" customHeight="1" x14ac:dyDescent="0.25"/>
    <row r="5505" ht="15" customHeight="1" x14ac:dyDescent="0.25"/>
    <row r="5506" ht="15" customHeight="1" x14ac:dyDescent="0.25"/>
    <row r="5507" ht="15" customHeight="1" x14ac:dyDescent="0.25"/>
    <row r="5508" ht="15" customHeight="1" x14ac:dyDescent="0.25"/>
    <row r="5509" ht="15" customHeight="1" x14ac:dyDescent="0.25"/>
    <row r="5510" ht="15" customHeight="1" x14ac:dyDescent="0.25"/>
    <row r="5511" ht="15" customHeight="1" x14ac:dyDescent="0.25"/>
    <row r="5512" ht="15" customHeight="1" x14ac:dyDescent="0.25"/>
    <row r="5513" ht="15" customHeight="1" x14ac:dyDescent="0.25"/>
    <row r="5514" ht="15" customHeight="1" x14ac:dyDescent="0.25"/>
    <row r="5515" ht="15" customHeight="1" x14ac:dyDescent="0.25"/>
    <row r="5516" ht="15" customHeight="1" x14ac:dyDescent="0.25"/>
    <row r="5517" ht="15" customHeight="1" x14ac:dyDescent="0.25"/>
    <row r="5518" ht="15" customHeight="1" x14ac:dyDescent="0.25"/>
    <row r="5519" ht="15" customHeight="1" x14ac:dyDescent="0.25"/>
    <row r="5520" ht="15" customHeight="1" x14ac:dyDescent="0.25"/>
    <row r="5521" ht="15" customHeight="1" x14ac:dyDescent="0.25"/>
    <row r="5522" ht="15" customHeight="1" x14ac:dyDescent="0.25"/>
    <row r="5523" ht="15" customHeight="1" x14ac:dyDescent="0.25"/>
    <row r="5524" ht="15" customHeight="1" x14ac:dyDescent="0.25"/>
    <row r="5525" ht="15" customHeight="1" x14ac:dyDescent="0.25"/>
    <row r="5526" ht="15" customHeight="1" x14ac:dyDescent="0.25"/>
    <row r="5527" ht="15" customHeight="1" x14ac:dyDescent="0.25"/>
    <row r="5528" ht="15" customHeight="1" x14ac:dyDescent="0.25"/>
    <row r="5529" ht="15" customHeight="1" x14ac:dyDescent="0.25"/>
    <row r="5530" ht="15" customHeight="1" x14ac:dyDescent="0.25"/>
    <row r="5531" ht="15" customHeight="1" x14ac:dyDescent="0.25"/>
    <row r="5532" ht="15" customHeight="1" x14ac:dyDescent="0.25"/>
    <row r="5533" ht="15" customHeight="1" x14ac:dyDescent="0.25"/>
    <row r="5534" ht="15" customHeight="1" x14ac:dyDescent="0.25"/>
    <row r="5535" ht="15" customHeight="1" x14ac:dyDescent="0.25"/>
    <row r="5536" ht="15" customHeight="1" x14ac:dyDescent="0.25"/>
    <row r="5537" ht="15" customHeight="1" x14ac:dyDescent="0.25"/>
    <row r="5538" ht="15" customHeight="1" x14ac:dyDescent="0.25"/>
    <row r="5539" ht="15" customHeight="1" x14ac:dyDescent="0.25"/>
    <row r="5540" ht="15" customHeight="1" x14ac:dyDescent="0.25"/>
    <row r="5541" ht="15" customHeight="1" x14ac:dyDescent="0.25"/>
    <row r="5542" ht="15" customHeight="1" x14ac:dyDescent="0.25"/>
    <row r="5543" ht="15" customHeight="1" x14ac:dyDescent="0.25"/>
    <row r="5544" ht="15" customHeight="1" x14ac:dyDescent="0.25"/>
    <row r="5545" ht="15" customHeight="1" x14ac:dyDescent="0.25"/>
    <row r="5546" ht="15" customHeight="1" x14ac:dyDescent="0.25"/>
    <row r="5547" ht="15" customHeight="1" x14ac:dyDescent="0.25"/>
    <row r="5548" ht="15" customHeight="1" x14ac:dyDescent="0.25"/>
    <row r="5549" ht="15" customHeight="1" x14ac:dyDescent="0.25"/>
    <row r="5550" ht="15" customHeight="1" x14ac:dyDescent="0.25"/>
    <row r="5551" ht="15" customHeight="1" x14ac:dyDescent="0.25"/>
    <row r="5552" ht="15" customHeight="1" x14ac:dyDescent="0.25"/>
    <row r="5553" ht="15" customHeight="1" x14ac:dyDescent="0.25"/>
    <row r="5554" ht="15" customHeight="1" x14ac:dyDescent="0.25"/>
    <row r="5555" ht="15" customHeight="1" x14ac:dyDescent="0.25"/>
    <row r="5556" ht="15" customHeight="1" x14ac:dyDescent="0.25"/>
    <row r="5557" ht="15" customHeight="1" x14ac:dyDescent="0.25"/>
    <row r="5558" ht="15" customHeight="1" x14ac:dyDescent="0.25"/>
    <row r="5559" ht="15" customHeight="1" x14ac:dyDescent="0.25"/>
    <row r="5560" ht="15" customHeight="1" x14ac:dyDescent="0.25"/>
    <row r="5561" ht="15" customHeight="1" x14ac:dyDescent="0.25"/>
    <row r="5562" ht="15" customHeight="1" x14ac:dyDescent="0.25"/>
    <row r="5563" ht="15" customHeight="1" x14ac:dyDescent="0.25"/>
    <row r="5564" ht="15" customHeight="1" x14ac:dyDescent="0.25"/>
    <row r="5565" ht="15" customHeight="1" x14ac:dyDescent="0.25"/>
    <row r="5566" ht="15" customHeight="1" x14ac:dyDescent="0.25"/>
    <row r="5567" ht="15" customHeight="1" x14ac:dyDescent="0.25"/>
    <row r="5568" ht="15" customHeight="1" x14ac:dyDescent="0.25"/>
    <row r="5569" ht="15" customHeight="1" x14ac:dyDescent="0.25"/>
    <row r="5570" ht="15" customHeight="1" x14ac:dyDescent="0.25"/>
    <row r="5571" ht="15" customHeight="1" x14ac:dyDescent="0.25"/>
    <row r="5572" ht="15" customHeight="1" x14ac:dyDescent="0.25"/>
    <row r="5573" ht="15" customHeight="1" x14ac:dyDescent="0.25"/>
    <row r="5574" ht="15" customHeight="1" x14ac:dyDescent="0.25"/>
    <row r="5575" ht="15" customHeight="1" x14ac:dyDescent="0.25"/>
    <row r="5576" ht="15" customHeight="1" x14ac:dyDescent="0.25"/>
    <row r="5577" ht="15" customHeight="1" x14ac:dyDescent="0.25"/>
    <row r="5578" ht="15" customHeight="1" x14ac:dyDescent="0.25"/>
    <row r="5579" ht="15" customHeight="1" x14ac:dyDescent="0.25"/>
    <row r="5580" ht="15" customHeight="1" x14ac:dyDescent="0.25"/>
    <row r="5581" ht="15" customHeight="1" x14ac:dyDescent="0.25"/>
    <row r="5582" ht="15" customHeight="1" x14ac:dyDescent="0.25"/>
    <row r="5583" ht="15" customHeight="1" x14ac:dyDescent="0.25"/>
    <row r="5584" ht="15" customHeight="1" x14ac:dyDescent="0.25"/>
    <row r="5585" ht="15" customHeight="1" x14ac:dyDescent="0.25"/>
    <row r="5586" ht="15" customHeight="1" x14ac:dyDescent="0.25"/>
    <row r="5587" ht="15" customHeight="1" x14ac:dyDescent="0.25"/>
    <row r="5588" ht="15" customHeight="1" x14ac:dyDescent="0.25"/>
    <row r="5589" ht="15" customHeight="1" x14ac:dyDescent="0.25"/>
    <row r="5590" ht="15" customHeight="1" x14ac:dyDescent="0.25"/>
    <row r="5591" ht="15" customHeight="1" x14ac:dyDescent="0.25"/>
    <row r="5592" ht="15" customHeight="1" x14ac:dyDescent="0.25"/>
    <row r="5593" ht="15" customHeight="1" x14ac:dyDescent="0.25"/>
    <row r="5594" ht="15" customHeight="1" x14ac:dyDescent="0.25"/>
    <row r="5595" ht="15" customHeight="1" x14ac:dyDescent="0.25"/>
    <row r="5596" ht="15" customHeight="1" x14ac:dyDescent="0.25"/>
    <row r="5597" ht="15" customHeight="1" x14ac:dyDescent="0.25"/>
    <row r="5598" ht="15" customHeight="1" x14ac:dyDescent="0.25"/>
    <row r="5599" ht="15" customHeight="1" x14ac:dyDescent="0.25"/>
    <row r="5600" ht="15" customHeight="1" x14ac:dyDescent="0.25"/>
    <row r="5601" ht="15" customHeight="1" x14ac:dyDescent="0.25"/>
    <row r="5602" ht="15" customHeight="1" x14ac:dyDescent="0.25"/>
    <row r="5603" ht="15" customHeight="1" x14ac:dyDescent="0.25"/>
    <row r="5604" ht="15" customHeight="1" x14ac:dyDescent="0.25"/>
    <row r="5605" ht="15" customHeight="1" x14ac:dyDescent="0.25"/>
    <row r="5606" ht="15" customHeight="1" x14ac:dyDescent="0.25"/>
    <row r="5607" ht="15" customHeight="1" x14ac:dyDescent="0.25"/>
    <row r="5608" ht="15" customHeight="1" x14ac:dyDescent="0.25"/>
    <row r="5609" ht="15" customHeight="1" x14ac:dyDescent="0.25"/>
    <row r="5610" ht="15" customHeight="1" x14ac:dyDescent="0.25"/>
    <row r="5611" ht="15" customHeight="1" x14ac:dyDescent="0.25"/>
    <row r="5612" ht="15" customHeight="1" x14ac:dyDescent="0.25"/>
    <row r="5613" ht="15" customHeight="1" x14ac:dyDescent="0.25"/>
    <row r="5614" ht="15" customHeight="1" x14ac:dyDescent="0.25"/>
    <row r="5615" ht="15" customHeight="1" x14ac:dyDescent="0.25"/>
    <row r="5616" ht="15" customHeight="1" x14ac:dyDescent="0.25"/>
    <row r="5617" ht="15" customHeight="1" x14ac:dyDescent="0.25"/>
    <row r="5618" ht="15" customHeight="1" x14ac:dyDescent="0.25"/>
    <row r="5619" ht="15" customHeight="1" x14ac:dyDescent="0.25"/>
    <row r="5620" ht="15" customHeight="1" x14ac:dyDescent="0.25"/>
    <row r="5621" ht="15" customHeight="1" x14ac:dyDescent="0.25"/>
    <row r="5622" ht="15" customHeight="1" x14ac:dyDescent="0.25"/>
    <row r="5623" ht="15" customHeight="1" x14ac:dyDescent="0.25"/>
    <row r="5624" ht="15" customHeight="1" x14ac:dyDescent="0.25"/>
    <row r="5625" ht="15" customHeight="1" x14ac:dyDescent="0.25"/>
    <row r="5626" ht="15" customHeight="1" x14ac:dyDescent="0.25"/>
    <row r="5627" ht="15" customHeight="1" x14ac:dyDescent="0.25"/>
    <row r="5628" ht="15" customHeight="1" x14ac:dyDescent="0.25"/>
    <row r="5629" ht="15" customHeight="1" x14ac:dyDescent="0.25"/>
    <row r="5630" ht="15" customHeight="1" x14ac:dyDescent="0.25"/>
    <row r="5631" ht="15" customHeight="1" x14ac:dyDescent="0.25"/>
    <row r="5632" ht="15" customHeight="1" x14ac:dyDescent="0.25"/>
    <row r="5633" ht="15" customHeight="1" x14ac:dyDescent="0.25"/>
    <row r="5634" ht="15" customHeight="1" x14ac:dyDescent="0.25"/>
    <row r="5635" ht="15" customHeight="1" x14ac:dyDescent="0.25"/>
    <row r="5636" ht="15" customHeight="1" x14ac:dyDescent="0.25"/>
    <row r="5637" ht="15" customHeight="1" x14ac:dyDescent="0.25"/>
    <row r="5638" ht="15" customHeight="1" x14ac:dyDescent="0.25"/>
    <row r="5639" ht="15" customHeight="1" x14ac:dyDescent="0.25"/>
    <row r="5640" ht="15" customHeight="1" x14ac:dyDescent="0.25"/>
    <row r="5641" ht="15" customHeight="1" x14ac:dyDescent="0.25"/>
    <row r="5642" ht="15" customHeight="1" x14ac:dyDescent="0.25"/>
    <row r="5643" ht="15" customHeight="1" x14ac:dyDescent="0.25"/>
    <row r="5644" ht="15" customHeight="1" x14ac:dyDescent="0.25"/>
    <row r="5645" ht="15" customHeight="1" x14ac:dyDescent="0.25"/>
    <row r="5646" ht="15" customHeight="1" x14ac:dyDescent="0.25"/>
    <row r="5647" ht="15" customHeight="1" x14ac:dyDescent="0.25"/>
    <row r="5648" ht="15" customHeight="1" x14ac:dyDescent="0.25"/>
    <row r="5649" ht="15" customHeight="1" x14ac:dyDescent="0.25"/>
    <row r="5650" ht="15" customHeight="1" x14ac:dyDescent="0.25"/>
    <row r="5651" ht="15" customHeight="1" x14ac:dyDescent="0.25"/>
    <row r="5652" ht="15" customHeight="1" x14ac:dyDescent="0.25"/>
    <row r="5653" ht="15" customHeight="1" x14ac:dyDescent="0.25"/>
    <row r="5654" ht="15" customHeight="1" x14ac:dyDescent="0.25"/>
    <row r="5655" ht="15" customHeight="1" x14ac:dyDescent="0.25"/>
    <row r="5656" ht="15" customHeight="1" x14ac:dyDescent="0.25"/>
    <row r="5657" ht="15" customHeight="1" x14ac:dyDescent="0.25"/>
    <row r="5658" ht="15" customHeight="1" x14ac:dyDescent="0.25"/>
    <row r="5659" ht="15" customHeight="1" x14ac:dyDescent="0.25"/>
    <row r="5660" ht="15" customHeight="1" x14ac:dyDescent="0.25"/>
    <row r="5661" ht="15" customHeight="1" x14ac:dyDescent="0.25"/>
    <row r="5662" ht="15" customHeight="1" x14ac:dyDescent="0.25"/>
    <row r="5663" ht="15" customHeight="1" x14ac:dyDescent="0.25"/>
    <row r="5664" ht="15" customHeight="1" x14ac:dyDescent="0.25"/>
    <row r="5665" ht="15" customHeight="1" x14ac:dyDescent="0.25"/>
    <row r="5666" ht="15" customHeight="1" x14ac:dyDescent="0.25"/>
    <row r="5667" ht="15" customHeight="1" x14ac:dyDescent="0.25"/>
    <row r="5668" ht="15" customHeight="1" x14ac:dyDescent="0.25"/>
    <row r="5669" ht="15" customHeight="1" x14ac:dyDescent="0.25"/>
    <row r="5670" ht="15" customHeight="1" x14ac:dyDescent="0.25"/>
    <row r="5671" ht="15" customHeight="1" x14ac:dyDescent="0.25"/>
    <row r="5672" ht="15" customHeight="1" x14ac:dyDescent="0.25"/>
    <row r="5673" ht="15" customHeight="1" x14ac:dyDescent="0.25"/>
    <row r="5674" ht="15" customHeight="1" x14ac:dyDescent="0.25"/>
    <row r="5675" ht="15" customHeight="1" x14ac:dyDescent="0.25"/>
    <row r="5676" ht="15" customHeight="1" x14ac:dyDescent="0.25"/>
    <row r="5677" ht="15" customHeight="1" x14ac:dyDescent="0.25"/>
    <row r="5678" ht="15" customHeight="1" x14ac:dyDescent="0.25"/>
    <row r="5679" ht="15" customHeight="1" x14ac:dyDescent="0.25"/>
    <row r="5680" ht="15" customHeight="1" x14ac:dyDescent="0.25"/>
    <row r="5681" ht="15" customHeight="1" x14ac:dyDescent="0.25"/>
    <row r="5682" ht="15" customHeight="1" x14ac:dyDescent="0.25"/>
    <row r="5683" ht="15" customHeight="1" x14ac:dyDescent="0.25"/>
    <row r="5684" ht="15" customHeight="1" x14ac:dyDescent="0.25"/>
    <row r="5685" ht="15" customHeight="1" x14ac:dyDescent="0.25"/>
    <row r="5686" ht="15" customHeight="1" x14ac:dyDescent="0.25"/>
    <row r="5687" ht="15" customHeight="1" x14ac:dyDescent="0.25"/>
    <row r="5688" ht="15" customHeight="1" x14ac:dyDescent="0.25"/>
    <row r="5689" ht="15" customHeight="1" x14ac:dyDescent="0.25"/>
    <row r="5690" ht="15" customHeight="1" x14ac:dyDescent="0.25"/>
    <row r="5691" ht="15" customHeight="1" x14ac:dyDescent="0.25"/>
    <row r="5692" ht="15" customHeight="1" x14ac:dyDescent="0.25"/>
    <row r="5693" ht="15" customHeight="1" x14ac:dyDescent="0.25"/>
    <row r="5694" ht="15" customHeight="1" x14ac:dyDescent="0.25"/>
    <row r="5695" ht="15" customHeight="1" x14ac:dyDescent="0.25"/>
    <row r="5696" ht="15" customHeight="1" x14ac:dyDescent="0.25"/>
    <row r="5697" ht="15" customHeight="1" x14ac:dyDescent="0.25"/>
    <row r="5698" ht="15" customHeight="1" x14ac:dyDescent="0.25"/>
    <row r="5699" ht="15" customHeight="1" x14ac:dyDescent="0.25"/>
    <row r="5700" ht="15" customHeight="1" x14ac:dyDescent="0.25"/>
    <row r="5701" ht="15" customHeight="1" x14ac:dyDescent="0.25"/>
    <row r="5702" ht="15" customHeight="1" x14ac:dyDescent="0.25"/>
    <row r="5703" ht="15" customHeight="1" x14ac:dyDescent="0.25"/>
    <row r="5704" ht="15" customHeight="1" x14ac:dyDescent="0.25"/>
    <row r="5705" ht="15" customHeight="1" x14ac:dyDescent="0.25"/>
    <row r="5706" ht="15" customHeight="1" x14ac:dyDescent="0.25"/>
    <row r="5707" ht="15" customHeight="1" x14ac:dyDescent="0.25"/>
    <row r="5708" ht="15" customHeight="1" x14ac:dyDescent="0.25"/>
    <row r="5709" ht="15" customHeight="1" x14ac:dyDescent="0.25"/>
    <row r="5710" ht="15" customHeight="1" x14ac:dyDescent="0.25"/>
    <row r="5711" ht="15" customHeight="1" x14ac:dyDescent="0.25"/>
    <row r="5712" ht="15" customHeight="1" x14ac:dyDescent="0.25"/>
    <row r="5713" ht="15" customHeight="1" x14ac:dyDescent="0.25"/>
    <row r="5714" ht="15" customHeight="1" x14ac:dyDescent="0.25"/>
    <row r="5715" ht="15" customHeight="1" x14ac:dyDescent="0.25"/>
    <row r="5716" ht="15" customHeight="1" x14ac:dyDescent="0.25"/>
    <row r="5717" ht="15" customHeight="1" x14ac:dyDescent="0.25"/>
    <row r="5718" ht="15" customHeight="1" x14ac:dyDescent="0.25"/>
    <row r="5719" ht="15" customHeight="1" x14ac:dyDescent="0.25"/>
    <row r="5720" ht="15" customHeight="1" x14ac:dyDescent="0.25"/>
    <row r="5721" ht="15" customHeight="1" x14ac:dyDescent="0.25"/>
    <row r="5722" ht="15" customHeight="1" x14ac:dyDescent="0.25"/>
    <row r="5723" ht="15" customHeight="1" x14ac:dyDescent="0.25"/>
    <row r="5724" ht="15" customHeight="1" x14ac:dyDescent="0.25"/>
    <row r="5725" ht="15" customHeight="1" x14ac:dyDescent="0.25"/>
    <row r="5726" ht="15" customHeight="1" x14ac:dyDescent="0.25"/>
    <row r="5727" ht="15" customHeight="1" x14ac:dyDescent="0.25"/>
    <row r="5728" ht="15" customHeight="1" x14ac:dyDescent="0.25"/>
    <row r="5729" ht="15" customHeight="1" x14ac:dyDescent="0.25"/>
    <row r="5730" ht="15" customHeight="1" x14ac:dyDescent="0.25"/>
    <row r="5731" ht="15" customHeight="1" x14ac:dyDescent="0.25"/>
    <row r="5732" ht="15" customHeight="1" x14ac:dyDescent="0.25"/>
    <row r="5733" ht="15" customHeight="1" x14ac:dyDescent="0.25"/>
    <row r="5734" ht="15" customHeight="1" x14ac:dyDescent="0.25"/>
    <row r="5735" ht="15" customHeight="1" x14ac:dyDescent="0.25"/>
    <row r="5736" ht="15" customHeight="1" x14ac:dyDescent="0.25"/>
    <row r="5737" ht="15" customHeight="1" x14ac:dyDescent="0.25"/>
    <row r="5738" ht="15" customHeight="1" x14ac:dyDescent="0.25"/>
    <row r="5739" ht="15" customHeight="1" x14ac:dyDescent="0.25"/>
    <row r="5740" ht="15" customHeight="1" x14ac:dyDescent="0.25"/>
    <row r="5741" ht="15" customHeight="1" x14ac:dyDescent="0.25"/>
    <row r="5742" ht="15" customHeight="1" x14ac:dyDescent="0.25"/>
    <row r="5743" ht="15" customHeight="1" x14ac:dyDescent="0.25"/>
    <row r="5744" ht="15" customHeight="1" x14ac:dyDescent="0.25"/>
    <row r="5745" ht="15" customHeight="1" x14ac:dyDescent="0.25"/>
    <row r="5746" ht="15" customHeight="1" x14ac:dyDescent="0.25"/>
    <row r="5747" ht="15" customHeight="1" x14ac:dyDescent="0.25"/>
    <row r="5748" ht="15" customHeight="1" x14ac:dyDescent="0.25"/>
    <row r="5749" ht="15" customHeight="1" x14ac:dyDescent="0.25"/>
    <row r="5750" ht="15" customHeight="1" x14ac:dyDescent="0.25"/>
    <row r="5751" ht="15" customHeight="1" x14ac:dyDescent="0.25"/>
    <row r="5752" ht="15" customHeight="1" x14ac:dyDescent="0.25"/>
    <row r="5753" ht="15" customHeight="1" x14ac:dyDescent="0.25"/>
    <row r="5754" ht="15" customHeight="1" x14ac:dyDescent="0.25"/>
    <row r="5755" ht="15" customHeight="1" x14ac:dyDescent="0.25"/>
    <row r="5756" ht="15" customHeight="1" x14ac:dyDescent="0.25"/>
    <row r="5757" ht="15" customHeight="1" x14ac:dyDescent="0.25"/>
    <row r="5758" ht="15" customHeight="1" x14ac:dyDescent="0.25"/>
    <row r="5759" ht="15" customHeight="1" x14ac:dyDescent="0.25"/>
    <row r="5760" ht="15" customHeight="1" x14ac:dyDescent="0.25"/>
    <row r="5761" ht="15" customHeight="1" x14ac:dyDescent="0.25"/>
    <row r="5762" ht="15" customHeight="1" x14ac:dyDescent="0.25"/>
    <row r="5763" ht="15" customHeight="1" x14ac:dyDescent="0.25"/>
    <row r="5764" ht="15" customHeight="1" x14ac:dyDescent="0.25"/>
    <row r="5765" ht="15" customHeight="1" x14ac:dyDescent="0.25"/>
    <row r="5766" ht="15" customHeight="1" x14ac:dyDescent="0.25"/>
    <row r="5767" ht="15" customHeight="1" x14ac:dyDescent="0.25"/>
    <row r="5768" ht="15" customHeight="1" x14ac:dyDescent="0.25"/>
    <row r="5769" ht="15" customHeight="1" x14ac:dyDescent="0.25"/>
    <row r="5770" ht="15" customHeight="1" x14ac:dyDescent="0.25"/>
    <row r="5771" ht="15" customHeight="1" x14ac:dyDescent="0.25"/>
    <row r="5772" ht="15" customHeight="1" x14ac:dyDescent="0.25"/>
    <row r="5773" ht="15" customHeight="1" x14ac:dyDescent="0.25"/>
    <row r="5774" ht="15" customHeight="1" x14ac:dyDescent="0.25"/>
    <row r="5775" ht="15" customHeight="1" x14ac:dyDescent="0.25"/>
    <row r="5776" ht="15" customHeight="1" x14ac:dyDescent="0.25"/>
    <row r="5777" ht="15" customHeight="1" x14ac:dyDescent="0.25"/>
    <row r="5778" ht="15" customHeight="1" x14ac:dyDescent="0.25"/>
    <row r="5779" ht="15" customHeight="1" x14ac:dyDescent="0.25"/>
    <row r="5780" ht="15" customHeight="1" x14ac:dyDescent="0.25"/>
    <row r="5781" ht="15" customHeight="1" x14ac:dyDescent="0.25"/>
    <row r="5782" ht="15" customHeight="1" x14ac:dyDescent="0.25"/>
    <row r="5783" ht="15" customHeight="1" x14ac:dyDescent="0.25"/>
    <row r="5784" ht="15" customHeight="1" x14ac:dyDescent="0.25"/>
    <row r="5785" ht="15" customHeight="1" x14ac:dyDescent="0.25"/>
    <row r="5786" ht="15" customHeight="1" x14ac:dyDescent="0.25"/>
    <row r="5787" ht="15" customHeight="1" x14ac:dyDescent="0.25"/>
    <row r="5788" ht="15" customHeight="1" x14ac:dyDescent="0.25"/>
    <row r="5789" ht="15" customHeight="1" x14ac:dyDescent="0.25"/>
    <row r="5790" ht="15" customHeight="1" x14ac:dyDescent="0.25"/>
    <row r="5791" ht="15" customHeight="1" x14ac:dyDescent="0.25"/>
    <row r="5792" ht="15" customHeight="1" x14ac:dyDescent="0.25"/>
    <row r="5793" ht="15" customHeight="1" x14ac:dyDescent="0.25"/>
    <row r="5794" ht="15" customHeight="1" x14ac:dyDescent="0.25"/>
    <row r="5795" ht="15" customHeight="1" x14ac:dyDescent="0.25"/>
    <row r="5796" ht="15" customHeight="1" x14ac:dyDescent="0.25"/>
    <row r="5797" ht="15" customHeight="1" x14ac:dyDescent="0.25"/>
    <row r="5798" ht="15" customHeight="1" x14ac:dyDescent="0.25"/>
    <row r="5799" ht="15" customHeight="1" x14ac:dyDescent="0.25"/>
    <row r="5800" ht="15" customHeight="1" x14ac:dyDescent="0.25"/>
    <row r="5801" ht="15" customHeight="1" x14ac:dyDescent="0.25"/>
    <row r="5802" ht="15" customHeight="1" x14ac:dyDescent="0.25"/>
    <row r="5803" ht="15" customHeight="1" x14ac:dyDescent="0.25"/>
    <row r="5804" ht="15" customHeight="1" x14ac:dyDescent="0.25"/>
    <row r="5805" ht="15" customHeight="1" x14ac:dyDescent="0.25"/>
    <row r="5806" ht="15" customHeight="1" x14ac:dyDescent="0.25"/>
    <row r="5807" ht="15" customHeight="1" x14ac:dyDescent="0.25"/>
    <row r="5808" ht="15" customHeight="1" x14ac:dyDescent="0.25"/>
    <row r="5809" ht="15" customHeight="1" x14ac:dyDescent="0.25"/>
    <row r="5810" ht="15" customHeight="1" x14ac:dyDescent="0.25"/>
    <row r="5811" ht="15" customHeight="1" x14ac:dyDescent="0.25"/>
    <row r="5812" ht="15" customHeight="1" x14ac:dyDescent="0.25"/>
    <row r="5813" ht="15" customHeight="1" x14ac:dyDescent="0.25"/>
    <row r="5814" ht="15" customHeight="1" x14ac:dyDescent="0.25"/>
    <row r="5815" ht="15" customHeight="1" x14ac:dyDescent="0.25"/>
    <row r="5816" ht="15" customHeight="1" x14ac:dyDescent="0.25"/>
    <row r="5817" ht="15" customHeight="1" x14ac:dyDescent="0.25"/>
    <row r="5818" ht="15" customHeight="1" x14ac:dyDescent="0.25"/>
    <row r="5819" ht="15" customHeight="1" x14ac:dyDescent="0.25"/>
    <row r="5820" ht="15" customHeight="1" x14ac:dyDescent="0.25"/>
    <row r="5821" ht="15" customHeight="1" x14ac:dyDescent="0.25"/>
    <row r="5822" ht="15" customHeight="1" x14ac:dyDescent="0.25"/>
    <row r="5823" ht="15" customHeight="1" x14ac:dyDescent="0.25"/>
    <row r="5824" ht="15" customHeight="1" x14ac:dyDescent="0.25"/>
    <row r="5825" ht="15" customHeight="1" x14ac:dyDescent="0.25"/>
    <row r="5826" ht="15" customHeight="1" x14ac:dyDescent="0.25"/>
    <row r="5827" ht="15" customHeight="1" x14ac:dyDescent="0.25"/>
    <row r="5828" ht="15" customHeight="1" x14ac:dyDescent="0.25"/>
    <row r="5829" ht="15" customHeight="1" x14ac:dyDescent="0.25"/>
    <row r="5830" ht="15" customHeight="1" x14ac:dyDescent="0.25"/>
    <row r="5831" ht="15" customHeight="1" x14ac:dyDescent="0.25"/>
    <row r="5832" ht="15" customHeight="1" x14ac:dyDescent="0.25"/>
    <row r="5833" ht="15" customHeight="1" x14ac:dyDescent="0.25"/>
    <row r="5834" ht="15" customHeight="1" x14ac:dyDescent="0.25"/>
    <row r="5835" ht="15" customHeight="1" x14ac:dyDescent="0.25"/>
    <row r="5836" ht="15" customHeight="1" x14ac:dyDescent="0.25"/>
    <row r="5837" ht="15" customHeight="1" x14ac:dyDescent="0.25"/>
    <row r="5838" ht="15" customHeight="1" x14ac:dyDescent="0.25"/>
    <row r="5839" ht="15" customHeight="1" x14ac:dyDescent="0.25"/>
    <row r="5840" ht="15" customHeight="1" x14ac:dyDescent="0.25"/>
    <row r="5841" ht="15" customHeight="1" x14ac:dyDescent="0.25"/>
    <row r="5842" ht="15" customHeight="1" x14ac:dyDescent="0.25"/>
    <row r="5843" ht="15" customHeight="1" x14ac:dyDescent="0.25"/>
    <row r="5844" ht="15" customHeight="1" x14ac:dyDescent="0.25"/>
    <row r="5845" ht="15" customHeight="1" x14ac:dyDescent="0.25"/>
    <row r="5846" ht="15" customHeight="1" x14ac:dyDescent="0.25"/>
    <row r="5847" ht="15" customHeight="1" x14ac:dyDescent="0.25"/>
    <row r="5848" ht="15" customHeight="1" x14ac:dyDescent="0.25"/>
    <row r="5849" ht="15" customHeight="1" x14ac:dyDescent="0.25"/>
    <row r="5850" ht="15" customHeight="1" x14ac:dyDescent="0.25"/>
    <row r="5851" ht="15" customHeight="1" x14ac:dyDescent="0.25"/>
    <row r="5852" ht="15" customHeight="1" x14ac:dyDescent="0.25"/>
    <row r="5853" ht="15" customHeight="1" x14ac:dyDescent="0.25"/>
    <row r="5854" ht="15" customHeight="1" x14ac:dyDescent="0.25"/>
    <row r="5855" ht="15" customHeight="1" x14ac:dyDescent="0.25"/>
    <row r="5856" ht="15" customHeight="1" x14ac:dyDescent="0.25"/>
    <row r="5857" ht="15" customHeight="1" x14ac:dyDescent="0.25"/>
    <row r="5858" ht="15" customHeight="1" x14ac:dyDescent="0.25"/>
    <row r="5859" ht="15" customHeight="1" x14ac:dyDescent="0.25"/>
    <row r="5860" ht="15" customHeight="1" x14ac:dyDescent="0.25"/>
    <row r="5861" ht="15" customHeight="1" x14ac:dyDescent="0.25"/>
    <row r="5862" ht="15" customHeight="1" x14ac:dyDescent="0.25"/>
    <row r="5863" ht="15" customHeight="1" x14ac:dyDescent="0.25"/>
    <row r="5864" ht="15" customHeight="1" x14ac:dyDescent="0.25"/>
    <row r="5865" ht="15" customHeight="1" x14ac:dyDescent="0.25"/>
    <row r="5866" ht="15" customHeight="1" x14ac:dyDescent="0.25"/>
    <row r="5867" ht="15" customHeight="1" x14ac:dyDescent="0.25"/>
    <row r="5868" ht="15" customHeight="1" x14ac:dyDescent="0.25"/>
    <row r="5869" ht="15" customHeight="1" x14ac:dyDescent="0.25"/>
    <row r="5870" ht="15" customHeight="1" x14ac:dyDescent="0.25"/>
    <row r="5871" ht="15" customHeight="1" x14ac:dyDescent="0.25"/>
    <row r="5872" ht="15" customHeight="1" x14ac:dyDescent="0.25"/>
    <row r="5873" ht="15" customHeight="1" x14ac:dyDescent="0.25"/>
    <row r="5874" ht="15" customHeight="1" x14ac:dyDescent="0.25"/>
    <row r="5875" ht="15" customHeight="1" x14ac:dyDescent="0.25"/>
    <row r="5876" ht="15" customHeight="1" x14ac:dyDescent="0.25"/>
    <row r="5877" ht="15" customHeight="1" x14ac:dyDescent="0.25"/>
    <row r="5878" ht="15" customHeight="1" x14ac:dyDescent="0.25"/>
    <row r="5879" ht="15" customHeight="1" x14ac:dyDescent="0.25"/>
    <row r="5880" ht="15" customHeight="1" x14ac:dyDescent="0.25"/>
    <row r="5881" ht="15" customHeight="1" x14ac:dyDescent="0.25"/>
    <row r="5882" ht="15" customHeight="1" x14ac:dyDescent="0.25"/>
    <row r="5883" ht="15" customHeight="1" x14ac:dyDescent="0.25"/>
    <row r="5884" ht="15" customHeight="1" x14ac:dyDescent="0.25"/>
    <row r="5885" ht="15" customHeight="1" x14ac:dyDescent="0.25"/>
    <row r="5886" ht="15" customHeight="1" x14ac:dyDescent="0.25"/>
    <row r="5887" ht="15" customHeight="1" x14ac:dyDescent="0.25"/>
    <row r="5888" ht="15" customHeight="1" x14ac:dyDescent="0.25"/>
    <row r="5889" ht="15" customHeight="1" x14ac:dyDescent="0.25"/>
    <row r="5890" ht="15" customHeight="1" x14ac:dyDescent="0.25"/>
    <row r="5891" ht="15" customHeight="1" x14ac:dyDescent="0.25"/>
    <row r="5892" ht="15" customHeight="1" x14ac:dyDescent="0.25"/>
    <row r="5893" ht="15" customHeight="1" x14ac:dyDescent="0.25"/>
    <row r="5894" ht="15" customHeight="1" x14ac:dyDescent="0.25"/>
    <row r="5895" ht="15" customHeight="1" x14ac:dyDescent="0.25"/>
    <row r="5896" ht="15" customHeight="1" x14ac:dyDescent="0.25"/>
    <row r="5897" ht="15" customHeight="1" x14ac:dyDescent="0.25"/>
    <row r="5898" ht="15" customHeight="1" x14ac:dyDescent="0.25"/>
    <row r="5899" ht="15" customHeight="1" x14ac:dyDescent="0.25"/>
    <row r="5900" ht="15" customHeight="1" x14ac:dyDescent="0.25"/>
    <row r="5901" ht="15" customHeight="1" x14ac:dyDescent="0.25"/>
    <row r="5902" ht="15" customHeight="1" x14ac:dyDescent="0.25"/>
    <row r="5903" ht="15" customHeight="1" x14ac:dyDescent="0.25"/>
    <row r="5904" ht="15" customHeight="1" x14ac:dyDescent="0.25"/>
    <row r="5905" ht="15" customHeight="1" x14ac:dyDescent="0.25"/>
    <row r="5906" ht="15" customHeight="1" x14ac:dyDescent="0.25"/>
    <row r="5907" ht="15" customHeight="1" x14ac:dyDescent="0.25"/>
    <row r="5908" ht="15" customHeight="1" x14ac:dyDescent="0.25"/>
    <row r="5909" ht="15" customHeight="1" x14ac:dyDescent="0.25"/>
    <row r="5910" ht="15" customHeight="1" x14ac:dyDescent="0.25"/>
    <row r="5911" ht="15" customHeight="1" x14ac:dyDescent="0.25"/>
    <row r="5912" ht="15" customHeight="1" x14ac:dyDescent="0.25"/>
    <row r="5913" ht="15" customHeight="1" x14ac:dyDescent="0.25"/>
    <row r="5914" ht="15" customHeight="1" x14ac:dyDescent="0.25"/>
    <row r="5915" ht="15" customHeight="1" x14ac:dyDescent="0.25"/>
    <row r="5916" ht="15" customHeight="1" x14ac:dyDescent="0.25"/>
    <row r="5917" ht="15" customHeight="1" x14ac:dyDescent="0.25"/>
    <row r="5918" ht="15" customHeight="1" x14ac:dyDescent="0.25"/>
    <row r="5919" ht="15" customHeight="1" x14ac:dyDescent="0.25"/>
    <row r="5920" ht="15" customHeight="1" x14ac:dyDescent="0.25"/>
    <row r="5921" ht="15" customHeight="1" x14ac:dyDescent="0.25"/>
    <row r="5922" ht="15" customHeight="1" x14ac:dyDescent="0.25"/>
    <row r="5923" ht="15" customHeight="1" x14ac:dyDescent="0.25"/>
    <row r="5924" ht="15" customHeight="1" x14ac:dyDescent="0.25"/>
    <row r="5925" ht="15" customHeight="1" x14ac:dyDescent="0.25"/>
    <row r="5926" ht="15" customHeight="1" x14ac:dyDescent="0.25"/>
    <row r="5927" ht="15" customHeight="1" x14ac:dyDescent="0.25"/>
    <row r="5928" ht="15" customHeight="1" x14ac:dyDescent="0.25"/>
    <row r="5929" ht="15" customHeight="1" x14ac:dyDescent="0.25"/>
    <row r="5930" ht="15" customHeight="1" x14ac:dyDescent="0.25"/>
    <row r="5931" ht="15" customHeight="1" x14ac:dyDescent="0.25"/>
    <row r="5932" ht="15" customHeight="1" x14ac:dyDescent="0.25"/>
    <row r="5933" ht="15" customHeight="1" x14ac:dyDescent="0.25"/>
    <row r="5934" ht="15" customHeight="1" x14ac:dyDescent="0.25"/>
    <row r="5935" ht="15" customHeight="1" x14ac:dyDescent="0.25"/>
    <row r="5936" ht="15" customHeight="1" x14ac:dyDescent="0.25"/>
    <row r="5937" ht="15" customHeight="1" x14ac:dyDescent="0.25"/>
    <row r="5938" ht="15" customHeight="1" x14ac:dyDescent="0.25"/>
    <row r="5939" ht="15" customHeight="1" x14ac:dyDescent="0.25"/>
    <row r="5940" ht="15" customHeight="1" x14ac:dyDescent="0.25"/>
    <row r="5941" ht="15" customHeight="1" x14ac:dyDescent="0.25"/>
    <row r="5942" ht="15" customHeight="1" x14ac:dyDescent="0.25"/>
    <row r="5943" ht="15" customHeight="1" x14ac:dyDescent="0.25"/>
    <row r="5944" ht="15" customHeight="1" x14ac:dyDescent="0.25"/>
    <row r="5945" ht="15" customHeight="1" x14ac:dyDescent="0.25"/>
    <row r="5946" ht="15" customHeight="1" x14ac:dyDescent="0.25"/>
    <row r="5947" ht="15" customHeight="1" x14ac:dyDescent="0.25"/>
    <row r="5948" ht="15" customHeight="1" x14ac:dyDescent="0.25"/>
    <row r="5949" ht="15" customHeight="1" x14ac:dyDescent="0.25"/>
    <row r="5950" ht="15" customHeight="1" x14ac:dyDescent="0.25"/>
    <row r="5951" ht="15" customHeight="1" x14ac:dyDescent="0.25"/>
    <row r="5952" ht="15" customHeight="1" x14ac:dyDescent="0.25"/>
    <row r="5953" ht="15" customHeight="1" x14ac:dyDescent="0.25"/>
    <row r="5954" ht="15" customHeight="1" x14ac:dyDescent="0.25"/>
    <row r="5955" ht="15" customHeight="1" x14ac:dyDescent="0.25"/>
    <row r="5956" ht="15" customHeight="1" x14ac:dyDescent="0.25"/>
    <row r="5957" ht="15" customHeight="1" x14ac:dyDescent="0.25"/>
    <row r="5958" ht="15" customHeight="1" x14ac:dyDescent="0.25"/>
    <row r="5959" ht="15" customHeight="1" x14ac:dyDescent="0.25"/>
    <row r="5960" ht="15" customHeight="1" x14ac:dyDescent="0.25"/>
    <row r="5961" ht="15" customHeight="1" x14ac:dyDescent="0.25"/>
    <row r="5962" ht="15" customHeight="1" x14ac:dyDescent="0.25"/>
    <row r="5963" ht="15" customHeight="1" x14ac:dyDescent="0.25"/>
    <row r="5964" ht="15" customHeight="1" x14ac:dyDescent="0.25"/>
    <row r="5965" ht="15" customHeight="1" x14ac:dyDescent="0.25"/>
    <row r="5966" ht="15" customHeight="1" x14ac:dyDescent="0.25"/>
    <row r="5967" ht="15" customHeight="1" x14ac:dyDescent="0.25"/>
    <row r="5968" ht="15" customHeight="1" x14ac:dyDescent="0.25"/>
    <row r="5969" ht="15" customHeight="1" x14ac:dyDescent="0.25"/>
    <row r="5970" ht="15" customHeight="1" x14ac:dyDescent="0.25"/>
    <row r="5971" ht="15" customHeight="1" x14ac:dyDescent="0.25"/>
    <row r="5972" ht="15" customHeight="1" x14ac:dyDescent="0.25"/>
    <row r="5973" ht="15" customHeight="1" x14ac:dyDescent="0.25"/>
    <row r="5974" ht="15" customHeight="1" x14ac:dyDescent="0.25"/>
    <row r="5975" ht="15" customHeight="1" x14ac:dyDescent="0.25"/>
    <row r="5976" ht="15" customHeight="1" x14ac:dyDescent="0.25"/>
    <row r="5977" ht="15" customHeight="1" x14ac:dyDescent="0.25"/>
    <row r="5978" ht="15" customHeight="1" x14ac:dyDescent="0.25"/>
    <row r="5979" ht="15" customHeight="1" x14ac:dyDescent="0.25"/>
    <row r="5980" ht="15" customHeight="1" x14ac:dyDescent="0.25"/>
    <row r="5981" ht="15" customHeight="1" x14ac:dyDescent="0.25"/>
    <row r="5982" ht="15" customHeight="1" x14ac:dyDescent="0.25"/>
    <row r="5983" ht="15" customHeight="1" x14ac:dyDescent="0.25"/>
    <row r="5984" ht="15" customHeight="1" x14ac:dyDescent="0.25"/>
    <row r="5985" ht="15" customHeight="1" x14ac:dyDescent="0.25"/>
    <row r="5986" ht="15" customHeight="1" x14ac:dyDescent="0.25"/>
    <row r="5987" ht="15" customHeight="1" x14ac:dyDescent="0.25"/>
    <row r="5988" ht="15" customHeight="1" x14ac:dyDescent="0.25"/>
    <row r="5989" ht="15" customHeight="1" x14ac:dyDescent="0.25"/>
    <row r="5990" ht="15" customHeight="1" x14ac:dyDescent="0.25"/>
    <row r="5991" ht="15" customHeight="1" x14ac:dyDescent="0.25"/>
    <row r="5992" ht="15" customHeight="1" x14ac:dyDescent="0.25"/>
    <row r="5993" ht="15" customHeight="1" x14ac:dyDescent="0.25"/>
    <row r="5994" ht="15" customHeight="1" x14ac:dyDescent="0.25"/>
    <row r="5995" ht="15" customHeight="1" x14ac:dyDescent="0.25"/>
    <row r="5996" ht="15" customHeight="1" x14ac:dyDescent="0.25"/>
    <row r="5997" ht="15" customHeight="1" x14ac:dyDescent="0.25"/>
    <row r="5998" ht="15" customHeight="1" x14ac:dyDescent="0.25"/>
    <row r="5999" ht="15" customHeight="1" x14ac:dyDescent="0.25"/>
    <row r="6000" ht="15" customHeight="1" x14ac:dyDescent="0.25"/>
    <row r="6001" ht="15" customHeight="1" x14ac:dyDescent="0.25"/>
    <row r="6002" ht="15" customHeight="1" x14ac:dyDescent="0.25"/>
    <row r="6003" ht="15" customHeight="1" x14ac:dyDescent="0.25"/>
    <row r="6004" ht="15" customHeight="1" x14ac:dyDescent="0.25"/>
    <row r="6005" ht="15" customHeight="1" x14ac:dyDescent="0.25"/>
    <row r="6006" ht="15" customHeight="1" x14ac:dyDescent="0.25"/>
    <row r="6007" ht="15" customHeight="1" x14ac:dyDescent="0.25"/>
    <row r="6008" ht="15" customHeight="1" x14ac:dyDescent="0.25"/>
    <row r="6009" ht="15" customHeight="1" x14ac:dyDescent="0.25"/>
    <row r="6010" ht="15" customHeight="1" x14ac:dyDescent="0.25"/>
    <row r="6011" ht="15" customHeight="1" x14ac:dyDescent="0.25"/>
    <row r="6012" ht="15" customHeight="1" x14ac:dyDescent="0.25"/>
    <row r="6013" ht="15" customHeight="1" x14ac:dyDescent="0.25"/>
    <row r="6014" ht="15" customHeight="1" x14ac:dyDescent="0.25"/>
    <row r="6015" ht="15" customHeight="1" x14ac:dyDescent="0.25"/>
    <row r="6016" ht="15" customHeight="1" x14ac:dyDescent="0.25"/>
    <row r="6017" ht="15" customHeight="1" x14ac:dyDescent="0.25"/>
    <row r="6018" ht="15" customHeight="1" x14ac:dyDescent="0.25"/>
    <row r="6019" ht="15" customHeight="1" x14ac:dyDescent="0.25"/>
    <row r="6020" ht="15" customHeight="1" x14ac:dyDescent="0.25"/>
    <row r="6021" ht="15" customHeight="1" x14ac:dyDescent="0.25"/>
    <row r="6022" ht="15" customHeight="1" x14ac:dyDescent="0.25"/>
    <row r="6023" ht="15" customHeight="1" x14ac:dyDescent="0.25"/>
    <row r="6024" ht="15" customHeight="1" x14ac:dyDescent="0.25"/>
    <row r="6025" ht="15" customHeight="1" x14ac:dyDescent="0.25"/>
    <row r="6026" ht="15" customHeight="1" x14ac:dyDescent="0.25"/>
    <row r="6027" ht="15" customHeight="1" x14ac:dyDescent="0.25"/>
    <row r="6028" ht="15" customHeight="1" x14ac:dyDescent="0.25"/>
    <row r="6029" ht="15" customHeight="1" x14ac:dyDescent="0.25"/>
    <row r="6030" ht="15" customHeight="1" x14ac:dyDescent="0.25"/>
    <row r="6031" ht="15" customHeight="1" x14ac:dyDescent="0.25"/>
    <row r="6032" ht="15" customHeight="1" x14ac:dyDescent="0.25"/>
    <row r="6033" ht="15" customHeight="1" x14ac:dyDescent="0.25"/>
    <row r="6034" ht="15" customHeight="1" x14ac:dyDescent="0.25"/>
    <row r="6035" ht="15" customHeight="1" x14ac:dyDescent="0.25"/>
    <row r="6036" ht="15" customHeight="1" x14ac:dyDescent="0.25"/>
    <row r="6037" ht="15" customHeight="1" x14ac:dyDescent="0.25"/>
    <row r="6038" ht="15" customHeight="1" x14ac:dyDescent="0.25"/>
    <row r="6039" ht="15" customHeight="1" x14ac:dyDescent="0.25"/>
    <row r="6040" ht="15" customHeight="1" x14ac:dyDescent="0.25"/>
    <row r="6041" ht="15" customHeight="1" x14ac:dyDescent="0.25"/>
    <row r="6042" ht="15" customHeight="1" x14ac:dyDescent="0.25"/>
    <row r="6043" ht="15" customHeight="1" x14ac:dyDescent="0.25"/>
    <row r="6044" ht="15" customHeight="1" x14ac:dyDescent="0.25"/>
    <row r="6045" ht="15" customHeight="1" x14ac:dyDescent="0.25"/>
    <row r="6046" ht="15" customHeight="1" x14ac:dyDescent="0.25"/>
    <row r="6047" ht="15" customHeight="1" x14ac:dyDescent="0.25"/>
    <row r="6048" ht="15" customHeight="1" x14ac:dyDescent="0.25"/>
    <row r="6049" ht="15" customHeight="1" x14ac:dyDescent="0.25"/>
    <row r="6050" ht="15" customHeight="1" x14ac:dyDescent="0.25"/>
    <row r="6051" ht="15" customHeight="1" x14ac:dyDescent="0.25"/>
    <row r="6052" ht="15" customHeight="1" x14ac:dyDescent="0.25"/>
    <row r="6053" ht="15" customHeight="1" x14ac:dyDescent="0.25"/>
    <row r="6054" ht="15" customHeight="1" x14ac:dyDescent="0.25"/>
    <row r="6055" ht="15" customHeight="1" x14ac:dyDescent="0.25"/>
    <row r="6056" ht="15" customHeight="1" x14ac:dyDescent="0.25"/>
    <row r="6057" ht="15" customHeight="1" x14ac:dyDescent="0.25"/>
    <row r="6058" ht="15" customHeight="1" x14ac:dyDescent="0.25"/>
    <row r="6059" ht="15" customHeight="1" x14ac:dyDescent="0.25"/>
    <row r="6060" ht="15" customHeight="1" x14ac:dyDescent="0.25"/>
    <row r="6061" ht="15" customHeight="1" x14ac:dyDescent="0.25"/>
    <row r="6062" ht="15" customHeight="1" x14ac:dyDescent="0.25"/>
    <row r="6063" ht="15" customHeight="1" x14ac:dyDescent="0.25"/>
    <row r="6064" ht="15" customHeight="1" x14ac:dyDescent="0.25"/>
    <row r="6065" ht="15" customHeight="1" x14ac:dyDescent="0.25"/>
    <row r="6066" ht="15" customHeight="1" x14ac:dyDescent="0.25"/>
    <row r="6067" ht="15" customHeight="1" x14ac:dyDescent="0.25"/>
    <row r="6068" ht="15" customHeight="1" x14ac:dyDescent="0.25"/>
    <row r="6069" ht="15" customHeight="1" x14ac:dyDescent="0.25"/>
    <row r="6070" ht="15" customHeight="1" x14ac:dyDescent="0.25"/>
    <row r="6071" ht="15" customHeight="1" x14ac:dyDescent="0.25"/>
    <row r="6072" ht="15" customHeight="1" x14ac:dyDescent="0.25"/>
    <row r="6073" ht="15" customHeight="1" x14ac:dyDescent="0.25"/>
    <row r="6074" ht="15" customHeight="1" x14ac:dyDescent="0.25"/>
    <row r="6075" ht="15" customHeight="1" x14ac:dyDescent="0.25"/>
    <row r="6076" ht="15" customHeight="1" x14ac:dyDescent="0.25"/>
    <row r="6077" ht="15" customHeight="1" x14ac:dyDescent="0.25"/>
    <row r="6078" ht="15" customHeight="1" x14ac:dyDescent="0.25"/>
    <row r="6079" ht="15" customHeight="1" x14ac:dyDescent="0.25"/>
    <row r="6080" ht="15" customHeight="1" x14ac:dyDescent="0.25"/>
    <row r="6081" ht="15" customHeight="1" x14ac:dyDescent="0.25"/>
    <row r="6082" ht="15" customHeight="1" x14ac:dyDescent="0.25"/>
    <row r="6083" ht="15" customHeight="1" x14ac:dyDescent="0.25"/>
    <row r="6084" ht="15" customHeight="1" x14ac:dyDescent="0.25"/>
    <row r="6085" ht="15" customHeight="1" x14ac:dyDescent="0.25"/>
    <row r="6086" ht="15" customHeight="1" x14ac:dyDescent="0.25"/>
    <row r="6087" ht="15" customHeight="1" x14ac:dyDescent="0.25"/>
    <row r="6088" ht="15" customHeight="1" x14ac:dyDescent="0.25"/>
    <row r="6089" ht="15" customHeight="1" x14ac:dyDescent="0.25"/>
    <row r="6090" ht="15" customHeight="1" x14ac:dyDescent="0.25"/>
    <row r="6091" ht="15" customHeight="1" x14ac:dyDescent="0.25"/>
    <row r="6092" ht="15" customHeight="1" x14ac:dyDescent="0.25"/>
    <row r="6093" ht="15" customHeight="1" x14ac:dyDescent="0.25"/>
    <row r="6094" ht="15" customHeight="1" x14ac:dyDescent="0.25"/>
    <row r="6095" ht="15" customHeight="1" x14ac:dyDescent="0.25"/>
    <row r="6096" ht="15" customHeight="1" x14ac:dyDescent="0.25"/>
    <row r="6097" ht="15" customHeight="1" x14ac:dyDescent="0.25"/>
    <row r="6098" ht="15" customHeight="1" x14ac:dyDescent="0.25"/>
    <row r="6099" ht="15" customHeight="1" x14ac:dyDescent="0.25"/>
    <row r="6100" ht="15" customHeight="1" x14ac:dyDescent="0.25"/>
    <row r="6101" ht="15" customHeight="1" x14ac:dyDescent="0.25"/>
    <row r="6102" ht="15" customHeight="1" x14ac:dyDescent="0.25"/>
    <row r="6103" ht="15" customHeight="1" x14ac:dyDescent="0.25"/>
    <row r="6104" ht="15" customHeight="1" x14ac:dyDescent="0.25"/>
    <row r="6105" ht="15" customHeight="1" x14ac:dyDescent="0.25"/>
    <row r="6106" ht="15" customHeight="1" x14ac:dyDescent="0.25"/>
    <row r="6107" ht="15" customHeight="1" x14ac:dyDescent="0.25"/>
    <row r="6108" ht="15" customHeight="1" x14ac:dyDescent="0.25"/>
    <row r="6109" ht="15" customHeight="1" x14ac:dyDescent="0.25"/>
    <row r="6110" ht="15" customHeight="1" x14ac:dyDescent="0.25"/>
    <row r="6111" ht="15" customHeight="1" x14ac:dyDescent="0.25"/>
    <row r="6112" ht="15" customHeight="1" x14ac:dyDescent="0.25"/>
    <row r="6113" ht="15" customHeight="1" x14ac:dyDescent="0.25"/>
    <row r="6114" ht="15" customHeight="1" x14ac:dyDescent="0.25"/>
    <row r="6115" ht="15" customHeight="1" x14ac:dyDescent="0.25"/>
    <row r="6116" ht="15" customHeight="1" x14ac:dyDescent="0.25"/>
    <row r="6117" ht="15" customHeight="1" x14ac:dyDescent="0.25"/>
    <row r="6118" ht="15" customHeight="1" x14ac:dyDescent="0.25"/>
    <row r="6119" ht="15" customHeight="1" x14ac:dyDescent="0.25"/>
    <row r="6120" ht="15" customHeight="1" x14ac:dyDescent="0.25"/>
    <row r="6121" ht="15" customHeight="1" x14ac:dyDescent="0.25"/>
    <row r="6122" ht="15" customHeight="1" x14ac:dyDescent="0.25"/>
    <row r="6123" ht="15" customHeight="1" x14ac:dyDescent="0.25"/>
    <row r="6124" ht="15" customHeight="1" x14ac:dyDescent="0.25"/>
    <row r="6125" ht="15" customHeight="1" x14ac:dyDescent="0.25"/>
    <row r="6126" ht="15" customHeight="1" x14ac:dyDescent="0.25"/>
    <row r="6127" ht="15" customHeight="1" x14ac:dyDescent="0.25"/>
    <row r="6128" ht="15" customHeight="1" x14ac:dyDescent="0.25"/>
    <row r="6129" ht="15" customHeight="1" x14ac:dyDescent="0.25"/>
    <row r="6130" ht="15" customHeight="1" x14ac:dyDescent="0.25"/>
    <row r="6131" ht="15" customHeight="1" x14ac:dyDescent="0.25"/>
    <row r="6132" ht="15" customHeight="1" x14ac:dyDescent="0.25"/>
    <row r="6133" ht="15" customHeight="1" x14ac:dyDescent="0.25"/>
    <row r="6134" ht="15" customHeight="1" x14ac:dyDescent="0.25"/>
    <row r="6135" ht="15" customHeight="1" x14ac:dyDescent="0.25"/>
    <row r="6136" ht="15" customHeight="1" x14ac:dyDescent="0.25"/>
    <row r="6137" ht="15" customHeight="1" x14ac:dyDescent="0.25"/>
    <row r="6138" ht="15" customHeight="1" x14ac:dyDescent="0.25"/>
    <row r="6139" ht="15" customHeight="1" x14ac:dyDescent="0.25"/>
    <row r="6140" ht="15" customHeight="1" x14ac:dyDescent="0.25"/>
    <row r="6141" ht="15" customHeight="1" x14ac:dyDescent="0.25"/>
    <row r="6142" ht="15" customHeight="1" x14ac:dyDescent="0.25"/>
    <row r="6143" ht="15" customHeight="1" x14ac:dyDescent="0.25"/>
    <row r="6144" ht="15" customHeight="1" x14ac:dyDescent="0.25"/>
    <row r="6145" ht="15" customHeight="1" x14ac:dyDescent="0.25"/>
    <row r="6146" ht="15" customHeight="1" x14ac:dyDescent="0.25"/>
    <row r="6147" ht="15" customHeight="1" x14ac:dyDescent="0.25"/>
    <row r="6148" ht="15" customHeight="1" x14ac:dyDescent="0.25"/>
    <row r="6149" ht="15" customHeight="1" x14ac:dyDescent="0.25"/>
    <row r="6150" ht="15" customHeight="1" x14ac:dyDescent="0.25"/>
    <row r="6151" ht="15" customHeight="1" x14ac:dyDescent="0.25"/>
    <row r="6152" ht="15" customHeight="1" x14ac:dyDescent="0.25"/>
    <row r="6153" ht="15" customHeight="1" x14ac:dyDescent="0.25"/>
    <row r="6154" ht="15" customHeight="1" x14ac:dyDescent="0.25"/>
    <row r="6155" ht="15" customHeight="1" x14ac:dyDescent="0.25"/>
    <row r="6156" ht="15" customHeight="1" x14ac:dyDescent="0.25"/>
    <row r="6157" ht="15" customHeight="1" x14ac:dyDescent="0.25"/>
    <row r="6158" ht="15" customHeight="1" x14ac:dyDescent="0.25"/>
    <row r="6159" ht="15" customHeight="1" x14ac:dyDescent="0.25"/>
    <row r="6160" ht="15" customHeight="1" x14ac:dyDescent="0.25"/>
    <row r="6161" ht="15" customHeight="1" x14ac:dyDescent="0.25"/>
    <row r="6162" ht="15" customHeight="1" x14ac:dyDescent="0.25"/>
    <row r="6163" ht="15" customHeight="1" x14ac:dyDescent="0.25"/>
    <row r="6164" ht="15" customHeight="1" x14ac:dyDescent="0.25"/>
    <row r="6165" ht="15" customHeight="1" x14ac:dyDescent="0.25"/>
    <row r="6166" ht="15" customHeight="1" x14ac:dyDescent="0.25"/>
    <row r="6167" ht="15" customHeight="1" x14ac:dyDescent="0.25"/>
    <row r="6168" ht="15" customHeight="1" x14ac:dyDescent="0.25"/>
    <row r="6169" ht="15" customHeight="1" x14ac:dyDescent="0.25"/>
    <row r="6170" ht="15" customHeight="1" x14ac:dyDescent="0.25"/>
    <row r="6171" ht="15" customHeight="1" x14ac:dyDescent="0.25"/>
    <row r="6172" ht="15" customHeight="1" x14ac:dyDescent="0.25"/>
    <row r="6173" ht="15" customHeight="1" x14ac:dyDescent="0.25"/>
    <row r="6174" ht="15" customHeight="1" x14ac:dyDescent="0.25"/>
    <row r="6175" ht="15" customHeight="1" x14ac:dyDescent="0.25"/>
    <row r="6176" ht="15" customHeight="1" x14ac:dyDescent="0.25"/>
    <row r="6177" ht="15" customHeight="1" x14ac:dyDescent="0.25"/>
    <row r="6178" ht="15" customHeight="1" x14ac:dyDescent="0.25"/>
    <row r="6179" ht="15" customHeight="1" x14ac:dyDescent="0.25"/>
    <row r="6180" ht="15" customHeight="1" x14ac:dyDescent="0.25"/>
    <row r="6181" ht="15" customHeight="1" x14ac:dyDescent="0.25"/>
    <row r="6182" ht="15" customHeight="1" x14ac:dyDescent="0.25"/>
    <row r="6183" ht="15" customHeight="1" x14ac:dyDescent="0.25"/>
    <row r="6184" ht="15" customHeight="1" x14ac:dyDescent="0.25"/>
    <row r="6185" ht="15" customHeight="1" x14ac:dyDescent="0.25"/>
    <row r="6186" ht="15" customHeight="1" x14ac:dyDescent="0.25"/>
    <row r="6187" ht="15" customHeight="1" x14ac:dyDescent="0.25"/>
    <row r="6188" ht="15" customHeight="1" x14ac:dyDescent="0.25"/>
    <row r="6189" ht="15" customHeight="1" x14ac:dyDescent="0.25"/>
    <row r="6190" ht="15" customHeight="1" x14ac:dyDescent="0.25"/>
    <row r="6191" ht="15" customHeight="1" x14ac:dyDescent="0.25"/>
    <row r="6192" ht="15" customHeight="1" x14ac:dyDescent="0.25"/>
    <row r="6193" ht="15" customHeight="1" x14ac:dyDescent="0.25"/>
    <row r="6194" ht="15" customHeight="1" x14ac:dyDescent="0.25"/>
    <row r="6195" ht="15" customHeight="1" x14ac:dyDescent="0.25"/>
    <row r="6196" ht="15" customHeight="1" x14ac:dyDescent="0.25"/>
    <row r="6197" ht="15" customHeight="1" x14ac:dyDescent="0.25"/>
    <row r="6198" ht="15" customHeight="1" x14ac:dyDescent="0.25"/>
    <row r="6199" ht="15" customHeight="1" x14ac:dyDescent="0.25"/>
    <row r="6200" ht="15" customHeight="1" x14ac:dyDescent="0.25"/>
    <row r="6201" ht="15" customHeight="1" x14ac:dyDescent="0.25"/>
    <row r="6202" ht="15" customHeight="1" x14ac:dyDescent="0.25"/>
    <row r="6203" ht="15" customHeight="1" x14ac:dyDescent="0.25"/>
    <row r="6204" ht="15" customHeight="1" x14ac:dyDescent="0.25"/>
    <row r="6205" ht="15" customHeight="1" x14ac:dyDescent="0.25"/>
    <row r="6206" ht="15" customHeight="1" x14ac:dyDescent="0.25"/>
    <row r="6207" ht="15" customHeight="1" x14ac:dyDescent="0.25"/>
    <row r="6208" ht="15" customHeight="1" x14ac:dyDescent="0.25"/>
    <row r="6209" ht="15" customHeight="1" x14ac:dyDescent="0.25"/>
    <row r="6210" ht="15" customHeight="1" x14ac:dyDescent="0.25"/>
    <row r="6211" ht="15" customHeight="1" x14ac:dyDescent="0.25"/>
    <row r="6212" ht="15" customHeight="1" x14ac:dyDescent="0.25"/>
    <row r="6213" ht="15" customHeight="1" x14ac:dyDescent="0.25"/>
    <row r="6214" ht="15" customHeight="1" x14ac:dyDescent="0.25"/>
    <row r="6215" ht="15" customHeight="1" x14ac:dyDescent="0.25"/>
    <row r="6216" ht="15" customHeight="1" x14ac:dyDescent="0.25"/>
    <row r="6217" ht="15" customHeight="1" x14ac:dyDescent="0.25"/>
    <row r="6218" ht="15" customHeight="1" x14ac:dyDescent="0.25"/>
    <row r="6219" ht="15" customHeight="1" x14ac:dyDescent="0.25"/>
    <row r="6220" ht="15" customHeight="1" x14ac:dyDescent="0.25"/>
    <row r="6221" ht="15" customHeight="1" x14ac:dyDescent="0.25"/>
    <row r="6222" ht="15" customHeight="1" x14ac:dyDescent="0.25"/>
    <row r="6223" ht="15" customHeight="1" x14ac:dyDescent="0.25"/>
    <row r="6224" ht="15" customHeight="1" x14ac:dyDescent="0.25"/>
    <row r="6225" ht="15" customHeight="1" x14ac:dyDescent="0.25"/>
    <row r="6226" ht="15" customHeight="1" x14ac:dyDescent="0.25"/>
    <row r="6227" ht="15" customHeight="1" x14ac:dyDescent="0.25"/>
    <row r="6228" ht="15" customHeight="1" x14ac:dyDescent="0.25"/>
    <row r="6229" ht="15" customHeight="1" x14ac:dyDescent="0.25"/>
    <row r="6230" ht="15" customHeight="1" x14ac:dyDescent="0.25"/>
    <row r="6231" ht="15" customHeight="1" x14ac:dyDescent="0.25"/>
    <row r="6232" ht="15" customHeight="1" x14ac:dyDescent="0.25"/>
    <row r="6233" ht="15" customHeight="1" x14ac:dyDescent="0.25"/>
    <row r="6234" ht="15" customHeight="1" x14ac:dyDescent="0.25"/>
    <row r="6235" ht="15" customHeight="1" x14ac:dyDescent="0.25"/>
    <row r="6236" ht="15" customHeight="1" x14ac:dyDescent="0.25"/>
    <row r="6237" ht="15" customHeight="1" x14ac:dyDescent="0.25"/>
    <row r="6238" ht="15" customHeight="1" x14ac:dyDescent="0.25"/>
    <row r="6239" ht="15" customHeight="1" x14ac:dyDescent="0.25"/>
    <row r="6240" ht="15" customHeight="1" x14ac:dyDescent="0.25"/>
    <row r="6241" ht="15" customHeight="1" x14ac:dyDescent="0.25"/>
    <row r="6242" ht="15" customHeight="1" x14ac:dyDescent="0.25"/>
    <row r="6243" ht="15" customHeight="1" x14ac:dyDescent="0.25"/>
    <row r="6244" ht="15" customHeight="1" x14ac:dyDescent="0.25"/>
    <row r="6245" ht="15" customHeight="1" x14ac:dyDescent="0.25"/>
    <row r="6246" ht="15" customHeight="1" x14ac:dyDescent="0.25"/>
    <row r="6247" ht="15" customHeight="1" x14ac:dyDescent="0.25"/>
    <row r="6248" ht="15" customHeight="1" x14ac:dyDescent="0.25"/>
    <row r="6249" ht="15" customHeight="1" x14ac:dyDescent="0.25"/>
    <row r="6250" ht="15" customHeight="1" x14ac:dyDescent="0.25"/>
    <row r="6251" ht="15" customHeight="1" x14ac:dyDescent="0.25"/>
    <row r="6252" ht="15" customHeight="1" x14ac:dyDescent="0.25"/>
    <row r="6253" ht="15" customHeight="1" x14ac:dyDescent="0.25"/>
    <row r="6254" ht="15" customHeight="1" x14ac:dyDescent="0.25"/>
    <row r="6255" ht="15" customHeight="1" x14ac:dyDescent="0.25"/>
    <row r="6256" ht="15" customHeight="1" x14ac:dyDescent="0.25"/>
    <row r="6257" ht="15" customHeight="1" x14ac:dyDescent="0.25"/>
    <row r="6258" ht="15" customHeight="1" x14ac:dyDescent="0.25"/>
    <row r="6259" ht="15" customHeight="1" x14ac:dyDescent="0.25"/>
    <row r="6260" ht="15" customHeight="1" x14ac:dyDescent="0.25"/>
    <row r="6261" ht="15" customHeight="1" x14ac:dyDescent="0.25"/>
    <row r="6262" ht="15" customHeight="1" x14ac:dyDescent="0.25"/>
    <row r="6263" ht="15" customHeight="1" x14ac:dyDescent="0.25"/>
    <row r="6264" ht="15" customHeight="1" x14ac:dyDescent="0.25"/>
    <row r="6265" ht="15" customHeight="1" x14ac:dyDescent="0.25"/>
    <row r="6266" ht="15" customHeight="1" x14ac:dyDescent="0.25"/>
    <row r="6267" ht="15" customHeight="1" x14ac:dyDescent="0.25"/>
    <row r="6268" ht="15" customHeight="1" x14ac:dyDescent="0.25"/>
    <row r="6269" ht="15" customHeight="1" x14ac:dyDescent="0.25"/>
    <row r="6270" ht="15" customHeight="1" x14ac:dyDescent="0.25"/>
    <row r="6271" ht="15" customHeight="1" x14ac:dyDescent="0.25"/>
    <row r="6272" ht="15" customHeight="1" x14ac:dyDescent="0.25"/>
    <row r="6273" ht="15" customHeight="1" x14ac:dyDescent="0.25"/>
    <row r="6274" ht="15" customHeight="1" x14ac:dyDescent="0.25"/>
    <row r="6275" ht="15" customHeight="1" x14ac:dyDescent="0.25"/>
    <row r="6276" ht="15" customHeight="1" x14ac:dyDescent="0.25"/>
    <row r="6277" ht="15" customHeight="1" x14ac:dyDescent="0.25"/>
    <row r="6278" ht="15" customHeight="1" x14ac:dyDescent="0.25"/>
    <row r="6279" ht="15" customHeight="1" x14ac:dyDescent="0.25"/>
    <row r="6280" ht="15" customHeight="1" x14ac:dyDescent="0.25"/>
    <row r="6281" ht="15" customHeight="1" x14ac:dyDescent="0.25"/>
    <row r="6282" ht="15" customHeight="1" x14ac:dyDescent="0.25"/>
    <row r="6283" ht="15" customHeight="1" x14ac:dyDescent="0.25"/>
    <row r="6284" ht="15" customHeight="1" x14ac:dyDescent="0.25"/>
    <row r="6285" ht="15" customHeight="1" x14ac:dyDescent="0.25"/>
    <row r="6286" ht="15" customHeight="1" x14ac:dyDescent="0.25"/>
    <row r="6287" ht="15" customHeight="1" x14ac:dyDescent="0.25"/>
    <row r="6288" ht="15" customHeight="1" x14ac:dyDescent="0.25"/>
    <row r="6289" ht="15" customHeight="1" x14ac:dyDescent="0.25"/>
    <row r="6290" ht="15" customHeight="1" x14ac:dyDescent="0.25"/>
    <row r="6291" ht="15" customHeight="1" x14ac:dyDescent="0.25"/>
    <row r="6292" ht="15" customHeight="1" x14ac:dyDescent="0.25"/>
    <row r="6293" ht="15" customHeight="1" x14ac:dyDescent="0.25"/>
    <row r="6294" ht="15" customHeight="1" x14ac:dyDescent="0.25"/>
    <row r="6295" ht="15" customHeight="1" x14ac:dyDescent="0.25"/>
    <row r="6296" ht="15" customHeight="1" x14ac:dyDescent="0.25"/>
    <row r="6297" ht="15" customHeight="1" x14ac:dyDescent="0.25"/>
    <row r="6298" ht="15" customHeight="1" x14ac:dyDescent="0.25"/>
    <row r="6299" ht="15" customHeight="1" x14ac:dyDescent="0.25"/>
    <row r="6300" ht="15" customHeight="1" x14ac:dyDescent="0.25"/>
    <row r="6301" ht="15" customHeight="1" x14ac:dyDescent="0.25"/>
    <row r="6302" ht="15" customHeight="1" x14ac:dyDescent="0.25"/>
    <row r="6303" ht="15" customHeight="1" x14ac:dyDescent="0.25"/>
    <row r="6304" ht="15" customHeight="1" x14ac:dyDescent="0.25"/>
    <row r="6305" ht="15" customHeight="1" x14ac:dyDescent="0.25"/>
    <row r="6306" ht="15" customHeight="1" x14ac:dyDescent="0.25"/>
    <row r="6307" ht="15" customHeight="1" x14ac:dyDescent="0.25"/>
    <row r="6308" ht="15" customHeight="1" x14ac:dyDescent="0.25"/>
    <row r="6309" ht="15" customHeight="1" x14ac:dyDescent="0.25"/>
    <row r="6310" ht="15" customHeight="1" x14ac:dyDescent="0.25"/>
    <row r="6311" ht="15" customHeight="1" x14ac:dyDescent="0.25"/>
    <row r="6312" ht="15" customHeight="1" x14ac:dyDescent="0.25"/>
    <row r="6313" ht="15" customHeight="1" x14ac:dyDescent="0.25"/>
    <row r="6314" ht="15" customHeight="1" x14ac:dyDescent="0.25"/>
    <row r="6315" ht="15" customHeight="1" x14ac:dyDescent="0.25"/>
    <row r="6316" ht="15" customHeight="1" x14ac:dyDescent="0.25"/>
    <row r="6317" ht="15" customHeight="1" x14ac:dyDescent="0.25"/>
    <row r="6318" ht="15" customHeight="1" x14ac:dyDescent="0.25"/>
    <row r="6319" ht="15" customHeight="1" x14ac:dyDescent="0.25"/>
    <row r="6320" ht="15" customHeight="1" x14ac:dyDescent="0.25"/>
    <row r="6321" ht="15" customHeight="1" x14ac:dyDescent="0.25"/>
    <row r="6322" ht="15" customHeight="1" x14ac:dyDescent="0.25"/>
    <row r="6323" ht="15" customHeight="1" x14ac:dyDescent="0.25"/>
    <row r="6324" ht="15" customHeight="1" x14ac:dyDescent="0.25"/>
    <row r="6325" ht="15" customHeight="1" x14ac:dyDescent="0.25"/>
    <row r="6326" ht="15" customHeight="1" x14ac:dyDescent="0.25"/>
    <row r="6327" ht="15" customHeight="1" x14ac:dyDescent="0.25"/>
    <row r="6328" ht="15" customHeight="1" x14ac:dyDescent="0.25"/>
    <row r="6329" ht="15" customHeight="1" x14ac:dyDescent="0.25"/>
    <row r="6330" ht="15" customHeight="1" x14ac:dyDescent="0.25"/>
    <row r="6331" ht="15" customHeight="1" x14ac:dyDescent="0.25"/>
    <row r="6332" ht="15" customHeight="1" x14ac:dyDescent="0.25"/>
    <row r="6333" ht="15" customHeight="1" x14ac:dyDescent="0.25"/>
    <row r="6334" ht="15" customHeight="1" x14ac:dyDescent="0.25"/>
    <row r="6335" ht="15" customHeight="1" x14ac:dyDescent="0.25"/>
    <row r="6336" ht="15" customHeight="1" x14ac:dyDescent="0.25"/>
    <row r="6337" ht="15" customHeight="1" x14ac:dyDescent="0.25"/>
    <row r="6338" ht="15" customHeight="1" x14ac:dyDescent="0.25"/>
    <row r="6339" ht="15" customHeight="1" x14ac:dyDescent="0.25"/>
    <row r="6340" ht="15" customHeight="1" x14ac:dyDescent="0.25"/>
    <row r="6341" ht="15" customHeight="1" x14ac:dyDescent="0.25"/>
    <row r="6342" ht="15" customHeight="1" x14ac:dyDescent="0.25"/>
    <row r="6343" ht="15" customHeight="1" x14ac:dyDescent="0.25"/>
    <row r="6344" ht="15" customHeight="1" x14ac:dyDescent="0.25"/>
    <row r="6345" ht="15" customHeight="1" x14ac:dyDescent="0.25"/>
    <row r="6346" ht="15" customHeight="1" x14ac:dyDescent="0.25"/>
    <row r="6347" ht="15" customHeight="1" x14ac:dyDescent="0.25"/>
    <row r="6348" ht="15" customHeight="1" x14ac:dyDescent="0.25"/>
    <row r="6349" ht="15" customHeight="1" x14ac:dyDescent="0.25"/>
    <row r="6350" ht="15" customHeight="1" x14ac:dyDescent="0.25"/>
    <row r="6351" ht="15" customHeight="1" x14ac:dyDescent="0.25"/>
    <row r="6352" ht="15" customHeight="1" x14ac:dyDescent="0.25"/>
    <row r="6353" ht="15" customHeight="1" x14ac:dyDescent="0.25"/>
    <row r="6354" ht="15" customHeight="1" x14ac:dyDescent="0.25"/>
    <row r="6355" ht="15" customHeight="1" x14ac:dyDescent="0.25"/>
    <row r="6356" ht="15" customHeight="1" x14ac:dyDescent="0.25"/>
    <row r="6357" ht="15" customHeight="1" x14ac:dyDescent="0.25"/>
    <row r="6358" ht="15" customHeight="1" x14ac:dyDescent="0.25"/>
    <row r="6359" ht="15" customHeight="1" x14ac:dyDescent="0.25"/>
    <row r="6360" ht="15" customHeight="1" x14ac:dyDescent="0.25"/>
    <row r="6361" ht="15" customHeight="1" x14ac:dyDescent="0.25"/>
    <row r="6362" ht="15" customHeight="1" x14ac:dyDescent="0.25"/>
    <row r="6363" ht="15" customHeight="1" x14ac:dyDescent="0.25"/>
    <row r="6364" ht="15" customHeight="1" x14ac:dyDescent="0.25"/>
    <row r="6365" ht="15" customHeight="1" x14ac:dyDescent="0.25"/>
    <row r="6366" ht="15" customHeight="1" x14ac:dyDescent="0.25"/>
    <row r="6367" ht="15" customHeight="1" x14ac:dyDescent="0.25"/>
    <row r="6368" ht="15" customHeight="1" x14ac:dyDescent="0.25"/>
    <row r="6369" ht="15" customHeight="1" x14ac:dyDescent="0.25"/>
    <row r="6370" ht="15" customHeight="1" x14ac:dyDescent="0.25"/>
    <row r="6371" ht="15" customHeight="1" x14ac:dyDescent="0.25"/>
    <row r="6372" ht="15" customHeight="1" x14ac:dyDescent="0.25"/>
    <row r="6373" ht="15" customHeight="1" x14ac:dyDescent="0.25"/>
    <row r="6374" ht="15" customHeight="1" x14ac:dyDescent="0.25"/>
    <row r="6375" ht="15" customHeight="1" x14ac:dyDescent="0.25"/>
    <row r="6376" ht="15" customHeight="1" x14ac:dyDescent="0.25"/>
    <row r="6377" ht="15" customHeight="1" x14ac:dyDescent="0.25"/>
    <row r="6378" ht="15" customHeight="1" x14ac:dyDescent="0.25"/>
    <row r="6379" ht="15" customHeight="1" x14ac:dyDescent="0.25"/>
    <row r="6380" ht="15" customHeight="1" x14ac:dyDescent="0.25"/>
    <row r="6381" ht="15" customHeight="1" x14ac:dyDescent="0.25"/>
    <row r="6382" ht="15" customHeight="1" x14ac:dyDescent="0.25"/>
    <row r="6383" ht="15" customHeight="1" x14ac:dyDescent="0.25"/>
    <row r="6384" ht="15" customHeight="1" x14ac:dyDescent="0.25"/>
    <row r="6385" ht="15" customHeight="1" x14ac:dyDescent="0.25"/>
    <row r="6386" ht="15" customHeight="1" x14ac:dyDescent="0.25"/>
    <row r="6387" ht="15" customHeight="1" x14ac:dyDescent="0.25"/>
    <row r="6388" ht="15" customHeight="1" x14ac:dyDescent="0.25"/>
    <row r="6389" ht="15" customHeight="1" x14ac:dyDescent="0.25"/>
    <row r="6390" ht="15" customHeight="1" x14ac:dyDescent="0.25"/>
    <row r="6391" ht="15" customHeight="1" x14ac:dyDescent="0.25"/>
    <row r="6392" ht="15" customHeight="1" x14ac:dyDescent="0.25"/>
    <row r="6393" ht="15" customHeight="1" x14ac:dyDescent="0.25"/>
    <row r="6394" ht="15" customHeight="1" x14ac:dyDescent="0.25"/>
    <row r="6395" ht="15" customHeight="1" x14ac:dyDescent="0.25"/>
    <row r="6396" ht="15" customHeight="1" x14ac:dyDescent="0.25"/>
    <row r="6397" ht="15" customHeight="1" x14ac:dyDescent="0.25"/>
    <row r="6398" ht="15" customHeight="1" x14ac:dyDescent="0.25"/>
    <row r="6399" ht="15" customHeight="1" x14ac:dyDescent="0.25"/>
    <row r="6400" ht="15" customHeight="1" x14ac:dyDescent="0.25"/>
    <row r="6401" ht="15" customHeight="1" x14ac:dyDescent="0.25"/>
    <row r="6402" ht="15" customHeight="1" x14ac:dyDescent="0.25"/>
    <row r="6403" ht="15" customHeight="1" x14ac:dyDescent="0.25"/>
    <row r="6404" ht="15" customHeight="1" x14ac:dyDescent="0.25"/>
    <row r="6405" ht="15" customHeight="1" x14ac:dyDescent="0.25"/>
    <row r="6406" ht="15" customHeight="1" x14ac:dyDescent="0.25"/>
    <row r="6407" ht="15" customHeight="1" x14ac:dyDescent="0.25"/>
    <row r="6408" ht="15" customHeight="1" x14ac:dyDescent="0.25"/>
    <row r="6409" ht="15" customHeight="1" x14ac:dyDescent="0.25"/>
    <row r="6410" ht="15" customHeight="1" x14ac:dyDescent="0.25"/>
    <row r="6411" ht="15" customHeight="1" x14ac:dyDescent="0.25"/>
    <row r="6412" ht="15" customHeight="1" x14ac:dyDescent="0.25"/>
    <row r="6413" ht="15" customHeight="1" x14ac:dyDescent="0.25"/>
    <row r="6414" ht="15" customHeight="1" x14ac:dyDescent="0.25"/>
    <row r="6415" ht="15" customHeight="1" x14ac:dyDescent="0.25"/>
    <row r="6416" ht="15" customHeight="1" x14ac:dyDescent="0.25"/>
    <row r="6417" ht="15" customHeight="1" x14ac:dyDescent="0.25"/>
    <row r="6418" ht="15" customHeight="1" x14ac:dyDescent="0.25"/>
    <row r="6419" ht="15" customHeight="1" x14ac:dyDescent="0.25"/>
    <row r="6420" ht="15" customHeight="1" x14ac:dyDescent="0.25"/>
    <row r="6421" ht="15" customHeight="1" x14ac:dyDescent="0.25"/>
    <row r="6422" ht="15" customHeight="1" x14ac:dyDescent="0.25"/>
    <row r="6423" ht="15" customHeight="1" x14ac:dyDescent="0.25"/>
    <row r="6424" ht="15" customHeight="1" x14ac:dyDescent="0.25"/>
    <row r="6425" ht="15" customHeight="1" x14ac:dyDescent="0.25"/>
    <row r="6426" ht="15" customHeight="1" x14ac:dyDescent="0.25"/>
    <row r="6427" ht="15" customHeight="1" x14ac:dyDescent="0.25"/>
    <row r="6428" ht="15" customHeight="1" x14ac:dyDescent="0.25"/>
    <row r="6429" ht="15" customHeight="1" x14ac:dyDescent="0.25"/>
    <row r="6430" ht="15" customHeight="1" x14ac:dyDescent="0.25"/>
    <row r="6431" ht="15" customHeight="1" x14ac:dyDescent="0.25"/>
    <row r="6432" ht="15" customHeight="1" x14ac:dyDescent="0.25"/>
    <row r="6433" ht="15" customHeight="1" x14ac:dyDescent="0.25"/>
    <row r="6434" ht="15" customHeight="1" x14ac:dyDescent="0.25"/>
    <row r="6435" ht="15" customHeight="1" x14ac:dyDescent="0.25"/>
    <row r="6436" ht="15" customHeight="1" x14ac:dyDescent="0.25"/>
    <row r="6437" ht="15" customHeight="1" x14ac:dyDescent="0.25"/>
    <row r="6438" ht="15" customHeight="1" x14ac:dyDescent="0.25"/>
    <row r="6439" ht="15" customHeight="1" x14ac:dyDescent="0.25"/>
    <row r="6440" ht="15" customHeight="1" x14ac:dyDescent="0.25"/>
    <row r="6441" ht="15" customHeight="1" x14ac:dyDescent="0.25"/>
    <row r="6442" ht="15" customHeight="1" x14ac:dyDescent="0.25"/>
    <row r="6443" ht="15" customHeight="1" x14ac:dyDescent="0.25"/>
    <row r="6444" ht="15" customHeight="1" x14ac:dyDescent="0.25"/>
    <row r="6445" ht="15" customHeight="1" x14ac:dyDescent="0.25"/>
    <row r="6446" ht="15" customHeight="1" x14ac:dyDescent="0.25"/>
    <row r="6447" ht="15" customHeight="1" x14ac:dyDescent="0.25"/>
    <row r="6448" ht="15" customHeight="1" x14ac:dyDescent="0.25"/>
    <row r="6449" ht="15" customHeight="1" x14ac:dyDescent="0.25"/>
    <row r="6450" ht="15" customHeight="1" x14ac:dyDescent="0.25"/>
    <row r="6451" ht="15" customHeight="1" x14ac:dyDescent="0.25"/>
    <row r="6452" ht="15" customHeight="1" x14ac:dyDescent="0.25"/>
    <row r="6453" ht="15" customHeight="1" x14ac:dyDescent="0.25"/>
    <row r="6454" ht="15" customHeight="1" x14ac:dyDescent="0.25"/>
    <row r="6455" ht="15" customHeight="1" x14ac:dyDescent="0.25"/>
    <row r="6456" ht="15" customHeight="1" x14ac:dyDescent="0.25"/>
    <row r="6457" ht="15" customHeight="1" x14ac:dyDescent="0.25"/>
    <row r="6458" ht="15" customHeight="1" x14ac:dyDescent="0.25"/>
    <row r="6459" ht="15" customHeight="1" x14ac:dyDescent="0.25"/>
    <row r="6460" ht="15" customHeight="1" x14ac:dyDescent="0.25"/>
    <row r="6461" ht="15" customHeight="1" x14ac:dyDescent="0.25"/>
    <row r="6462" ht="15" customHeight="1" x14ac:dyDescent="0.25"/>
    <row r="6463" ht="15" customHeight="1" x14ac:dyDescent="0.25"/>
    <row r="6464" ht="15" customHeight="1" x14ac:dyDescent="0.25"/>
    <row r="6465" ht="15" customHeight="1" x14ac:dyDescent="0.25"/>
    <row r="6466" ht="15" customHeight="1" x14ac:dyDescent="0.25"/>
    <row r="6467" ht="15" customHeight="1" x14ac:dyDescent="0.25"/>
    <row r="6468" ht="15" customHeight="1" x14ac:dyDescent="0.25"/>
    <row r="6469" ht="15" customHeight="1" x14ac:dyDescent="0.25"/>
    <row r="6470" ht="15" customHeight="1" x14ac:dyDescent="0.25"/>
    <row r="6471" ht="15" customHeight="1" x14ac:dyDescent="0.25"/>
    <row r="6472" ht="15" customHeight="1" x14ac:dyDescent="0.25"/>
    <row r="6473" ht="15" customHeight="1" x14ac:dyDescent="0.25"/>
    <row r="6474" ht="15" customHeight="1" x14ac:dyDescent="0.25"/>
    <row r="6475" ht="15" customHeight="1" x14ac:dyDescent="0.25"/>
    <row r="6476" ht="15" customHeight="1" x14ac:dyDescent="0.25"/>
    <row r="6477" ht="15" customHeight="1" x14ac:dyDescent="0.25"/>
    <row r="6478" ht="15" customHeight="1" x14ac:dyDescent="0.25"/>
    <row r="6479" ht="15" customHeight="1" x14ac:dyDescent="0.25"/>
    <row r="6480" ht="15" customHeight="1" x14ac:dyDescent="0.25"/>
    <row r="6481" ht="15" customHeight="1" x14ac:dyDescent="0.25"/>
    <row r="6482" ht="15" customHeight="1" x14ac:dyDescent="0.25"/>
    <row r="6483" ht="15" customHeight="1" x14ac:dyDescent="0.25"/>
    <row r="6484" ht="15" customHeight="1" x14ac:dyDescent="0.25"/>
    <row r="6485" ht="15" customHeight="1" x14ac:dyDescent="0.25"/>
    <row r="6486" ht="15" customHeight="1" x14ac:dyDescent="0.25"/>
    <row r="6487" ht="15" customHeight="1" x14ac:dyDescent="0.25"/>
    <row r="6488" ht="15" customHeight="1" x14ac:dyDescent="0.25"/>
    <row r="6489" ht="15" customHeight="1" x14ac:dyDescent="0.25"/>
    <row r="6490" ht="15" customHeight="1" x14ac:dyDescent="0.25"/>
    <row r="6491" ht="15" customHeight="1" x14ac:dyDescent="0.25"/>
    <row r="6492" ht="15" customHeight="1" x14ac:dyDescent="0.25"/>
    <row r="6493" ht="15" customHeight="1" x14ac:dyDescent="0.25"/>
    <row r="6494" ht="15" customHeight="1" x14ac:dyDescent="0.25"/>
    <row r="6495" ht="15" customHeight="1" x14ac:dyDescent="0.25"/>
    <row r="6496" ht="15" customHeight="1" x14ac:dyDescent="0.25"/>
    <row r="6497" ht="15" customHeight="1" x14ac:dyDescent="0.25"/>
    <row r="6498" ht="15" customHeight="1" x14ac:dyDescent="0.25"/>
    <row r="6499" ht="15" customHeight="1" x14ac:dyDescent="0.25"/>
    <row r="6500" ht="15" customHeight="1" x14ac:dyDescent="0.25"/>
    <row r="6501" ht="15" customHeight="1" x14ac:dyDescent="0.25"/>
    <row r="6502" ht="15" customHeight="1" x14ac:dyDescent="0.25"/>
    <row r="6503" ht="15" customHeight="1" x14ac:dyDescent="0.25"/>
    <row r="6504" ht="15" customHeight="1" x14ac:dyDescent="0.25"/>
    <row r="6505" ht="15" customHeight="1" x14ac:dyDescent="0.25"/>
    <row r="6506" ht="15" customHeight="1" x14ac:dyDescent="0.25"/>
    <row r="6507" ht="15" customHeight="1" x14ac:dyDescent="0.25"/>
    <row r="6508" ht="15" customHeight="1" x14ac:dyDescent="0.25"/>
    <row r="6509" ht="15" customHeight="1" x14ac:dyDescent="0.25"/>
    <row r="6510" ht="15" customHeight="1" x14ac:dyDescent="0.25"/>
    <row r="6511" ht="15" customHeight="1" x14ac:dyDescent="0.25"/>
    <row r="6512" ht="15" customHeight="1" x14ac:dyDescent="0.25"/>
    <row r="6513" ht="15" customHeight="1" x14ac:dyDescent="0.25"/>
    <row r="6514" ht="15" customHeight="1" x14ac:dyDescent="0.25"/>
    <row r="6515" ht="15" customHeight="1" x14ac:dyDescent="0.25"/>
    <row r="6516" ht="15" customHeight="1" x14ac:dyDescent="0.25"/>
    <row r="6517" ht="15" customHeight="1" x14ac:dyDescent="0.25"/>
    <row r="6518" ht="15" customHeight="1" x14ac:dyDescent="0.25"/>
    <row r="6519" ht="15" customHeight="1" x14ac:dyDescent="0.25"/>
    <row r="6520" ht="15" customHeight="1" x14ac:dyDescent="0.25"/>
    <row r="6521" ht="15" customHeight="1" x14ac:dyDescent="0.25"/>
    <row r="6522" ht="15" customHeight="1" x14ac:dyDescent="0.25"/>
    <row r="6523" ht="15" customHeight="1" x14ac:dyDescent="0.25"/>
    <row r="6524" ht="15" customHeight="1" x14ac:dyDescent="0.25"/>
    <row r="6525" ht="15" customHeight="1" x14ac:dyDescent="0.25"/>
    <row r="6526" ht="15" customHeight="1" x14ac:dyDescent="0.25"/>
    <row r="6527" ht="15" customHeight="1" x14ac:dyDescent="0.25"/>
    <row r="6528" ht="15" customHeight="1" x14ac:dyDescent="0.25"/>
    <row r="6529" ht="15" customHeight="1" x14ac:dyDescent="0.25"/>
    <row r="6530" ht="15" customHeight="1" x14ac:dyDescent="0.25"/>
    <row r="6531" ht="15" customHeight="1" x14ac:dyDescent="0.25"/>
    <row r="6532" ht="15" customHeight="1" x14ac:dyDescent="0.25"/>
    <row r="6533" ht="15" customHeight="1" x14ac:dyDescent="0.25"/>
    <row r="6534" ht="15" customHeight="1" x14ac:dyDescent="0.25"/>
    <row r="6535" ht="15" customHeight="1" x14ac:dyDescent="0.25"/>
    <row r="6536" ht="15" customHeight="1" x14ac:dyDescent="0.25"/>
    <row r="6537" ht="15" customHeight="1" x14ac:dyDescent="0.25"/>
    <row r="6538" ht="15" customHeight="1" x14ac:dyDescent="0.25"/>
    <row r="6539" ht="15" customHeight="1" x14ac:dyDescent="0.25"/>
    <row r="6540" ht="15" customHeight="1" x14ac:dyDescent="0.25"/>
    <row r="6541" ht="15" customHeight="1" x14ac:dyDescent="0.25"/>
    <row r="6542" ht="15" customHeight="1" x14ac:dyDescent="0.25"/>
    <row r="6543" ht="15" customHeight="1" x14ac:dyDescent="0.25"/>
    <row r="6544" ht="15" customHeight="1" x14ac:dyDescent="0.25"/>
    <row r="6545" ht="15" customHeight="1" x14ac:dyDescent="0.25"/>
    <row r="6546" ht="15" customHeight="1" x14ac:dyDescent="0.25"/>
    <row r="6547" ht="15" customHeight="1" x14ac:dyDescent="0.25"/>
    <row r="6548" ht="15" customHeight="1" x14ac:dyDescent="0.25"/>
    <row r="6549" ht="15" customHeight="1" x14ac:dyDescent="0.25"/>
    <row r="6550" ht="15" customHeight="1" x14ac:dyDescent="0.25"/>
    <row r="6551" ht="15" customHeight="1" x14ac:dyDescent="0.25"/>
    <row r="6552" ht="15" customHeight="1" x14ac:dyDescent="0.25"/>
    <row r="6553" ht="15" customHeight="1" x14ac:dyDescent="0.25"/>
    <row r="6554" ht="15" customHeight="1" x14ac:dyDescent="0.25"/>
    <row r="6555" ht="15" customHeight="1" x14ac:dyDescent="0.25"/>
    <row r="6556" ht="15" customHeight="1" x14ac:dyDescent="0.25"/>
    <row r="6557" ht="15" customHeight="1" x14ac:dyDescent="0.25"/>
    <row r="6558" ht="15" customHeight="1" x14ac:dyDescent="0.25"/>
    <row r="6559" ht="15" customHeight="1" x14ac:dyDescent="0.25"/>
    <row r="6560" ht="15" customHeight="1" x14ac:dyDescent="0.25"/>
    <row r="6561" ht="15" customHeight="1" x14ac:dyDescent="0.25"/>
    <row r="6562" ht="15" customHeight="1" x14ac:dyDescent="0.25"/>
    <row r="6563" ht="15" customHeight="1" x14ac:dyDescent="0.25"/>
    <row r="6564" ht="15" customHeight="1" x14ac:dyDescent="0.25"/>
    <row r="6565" ht="15" customHeight="1" x14ac:dyDescent="0.25"/>
    <row r="6566" ht="15" customHeight="1" x14ac:dyDescent="0.25"/>
    <row r="6567" ht="15" customHeight="1" x14ac:dyDescent="0.25"/>
    <row r="6568" ht="15" customHeight="1" x14ac:dyDescent="0.25"/>
    <row r="6569" ht="15" customHeight="1" x14ac:dyDescent="0.25"/>
    <row r="6570" ht="15" customHeight="1" x14ac:dyDescent="0.25"/>
    <row r="6571" ht="15" customHeight="1" x14ac:dyDescent="0.25"/>
    <row r="6572" ht="15" customHeight="1" x14ac:dyDescent="0.25"/>
    <row r="6573" ht="15" customHeight="1" x14ac:dyDescent="0.25"/>
    <row r="6574" ht="15" customHeight="1" x14ac:dyDescent="0.25"/>
    <row r="6575" ht="15" customHeight="1" x14ac:dyDescent="0.25"/>
    <row r="6576" ht="15" customHeight="1" x14ac:dyDescent="0.25"/>
    <row r="6577" ht="15" customHeight="1" x14ac:dyDescent="0.25"/>
    <row r="6578" ht="15" customHeight="1" x14ac:dyDescent="0.25"/>
    <row r="6579" ht="15" customHeight="1" x14ac:dyDescent="0.25"/>
    <row r="6580" ht="15" customHeight="1" x14ac:dyDescent="0.25"/>
    <row r="6581" ht="15" customHeight="1" x14ac:dyDescent="0.25"/>
    <row r="6582" ht="15" customHeight="1" x14ac:dyDescent="0.25"/>
    <row r="6583" ht="15" customHeight="1" x14ac:dyDescent="0.25"/>
    <row r="6584" ht="15" customHeight="1" x14ac:dyDescent="0.25"/>
    <row r="6585" ht="15" customHeight="1" x14ac:dyDescent="0.25"/>
    <row r="6586" ht="15" customHeight="1" x14ac:dyDescent="0.25"/>
    <row r="6587" ht="15" customHeight="1" x14ac:dyDescent="0.25"/>
    <row r="6588" ht="15" customHeight="1" x14ac:dyDescent="0.25"/>
    <row r="6589" ht="15" customHeight="1" x14ac:dyDescent="0.25"/>
    <row r="6590" ht="15" customHeight="1" x14ac:dyDescent="0.25"/>
    <row r="6591" ht="15" customHeight="1" x14ac:dyDescent="0.25"/>
    <row r="6592" ht="15" customHeight="1" x14ac:dyDescent="0.25"/>
    <row r="6593" ht="15" customHeight="1" x14ac:dyDescent="0.25"/>
    <row r="6594" ht="15" customHeight="1" x14ac:dyDescent="0.25"/>
    <row r="6595" ht="15" customHeight="1" x14ac:dyDescent="0.25"/>
    <row r="6596" ht="15" customHeight="1" x14ac:dyDescent="0.25"/>
    <row r="6597" ht="15" customHeight="1" x14ac:dyDescent="0.25"/>
    <row r="6598" ht="15" customHeight="1" x14ac:dyDescent="0.25"/>
    <row r="6599" ht="15" customHeight="1" x14ac:dyDescent="0.25"/>
    <row r="6600" ht="15" customHeight="1" x14ac:dyDescent="0.25"/>
    <row r="6601" ht="15" customHeight="1" x14ac:dyDescent="0.25"/>
    <row r="6602" ht="15" customHeight="1" x14ac:dyDescent="0.25"/>
    <row r="6603" ht="15" customHeight="1" x14ac:dyDescent="0.25"/>
    <row r="6604" ht="15" customHeight="1" x14ac:dyDescent="0.25"/>
    <row r="6605" ht="15" customHeight="1" x14ac:dyDescent="0.25"/>
    <row r="6606" ht="15" customHeight="1" x14ac:dyDescent="0.25"/>
    <row r="6607" ht="15" customHeight="1" x14ac:dyDescent="0.25"/>
    <row r="6608" ht="15" customHeight="1" x14ac:dyDescent="0.25"/>
    <row r="6609" ht="15" customHeight="1" x14ac:dyDescent="0.25"/>
    <row r="6610" ht="15" customHeight="1" x14ac:dyDescent="0.25"/>
    <row r="6611" ht="15" customHeight="1" x14ac:dyDescent="0.25"/>
    <row r="6612" ht="15" customHeight="1" x14ac:dyDescent="0.25"/>
    <row r="6613" ht="15" customHeight="1" x14ac:dyDescent="0.25"/>
    <row r="6614" ht="15" customHeight="1" x14ac:dyDescent="0.25"/>
    <row r="6615" ht="15" customHeight="1" x14ac:dyDescent="0.25"/>
    <row r="6616" ht="15" customHeight="1" x14ac:dyDescent="0.25"/>
    <row r="6617" ht="15" customHeight="1" x14ac:dyDescent="0.25"/>
    <row r="6618" ht="15" customHeight="1" x14ac:dyDescent="0.25"/>
    <row r="6619" ht="15" customHeight="1" x14ac:dyDescent="0.25"/>
    <row r="6620" ht="15" customHeight="1" x14ac:dyDescent="0.25"/>
    <row r="6621" ht="15" customHeight="1" x14ac:dyDescent="0.25"/>
    <row r="6622" ht="15" customHeight="1" x14ac:dyDescent="0.25"/>
    <row r="6623" ht="15" customHeight="1" x14ac:dyDescent="0.25"/>
    <row r="6624" ht="15" customHeight="1" x14ac:dyDescent="0.25"/>
    <row r="6625" ht="15" customHeight="1" x14ac:dyDescent="0.25"/>
    <row r="6626" ht="15" customHeight="1" x14ac:dyDescent="0.25"/>
    <row r="6627" ht="15" customHeight="1" x14ac:dyDescent="0.25"/>
    <row r="6628" ht="15" customHeight="1" x14ac:dyDescent="0.25"/>
    <row r="6629" ht="15" customHeight="1" x14ac:dyDescent="0.25"/>
    <row r="6630" ht="15" customHeight="1" x14ac:dyDescent="0.25"/>
    <row r="6631" ht="15" customHeight="1" x14ac:dyDescent="0.25"/>
    <row r="6632" ht="15" customHeight="1" x14ac:dyDescent="0.25"/>
    <row r="6633" ht="15" customHeight="1" x14ac:dyDescent="0.25"/>
    <row r="6634" ht="15" customHeight="1" x14ac:dyDescent="0.25"/>
    <row r="6635" ht="15" customHeight="1" x14ac:dyDescent="0.25"/>
    <row r="6636" ht="15" customHeight="1" x14ac:dyDescent="0.25"/>
    <row r="6637" ht="15" customHeight="1" x14ac:dyDescent="0.25"/>
    <row r="6638" ht="15" customHeight="1" x14ac:dyDescent="0.25"/>
    <row r="6639" ht="15" customHeight="1" x14ac:dyDescent="0.25"/>
    <row r="6640" ht="15" customHeight="1" x14ac:dyDescent="0.25"/>
    <row r="6641" ht="15" customHeight="1" x14ac:dyDescent="0.25"/>
    <row r="6642" ht="15" customHeight="1" x14ac:dyDescent="0.25"/>
    <row r="6643" ht="15" customHeight="1" x14ac:dyDescent="0.25"/>
    <row r="6644" ht="15" customHeight="1" x14ac:dyDescent="0.25"/>
    <row r="6645" ht="15" customHeight="1" x14ac:dyDescent="0.25"/>
    <row r="6646" ht="15" customHeight="1" x14ac:dyDescent="0.25"/>
    <row r="6647" ht="15" customHeight="1" x14ac:dyDescent="0.25"/>
    <row r="6648" ht="15" customHeight="1" x14ac:dyDescent="0.25"/>
    <row r="6649" ht="15" customHeight="1" x14ac:dyDescent="0.25"/>
    <row r="6650" ht="15" customHeight="1" x14ac:dyDescent="0.25"/>
    <row r="6651" ht="15" customHeight="1" x14ac:dyDescent="0.25"/>
    <row r="6652" ht="15" customHeight="1" x14ac:dyDescent="0.25"/>
    <row r="6653" ht="15" customHeight="1" x14ac:dyDescent="0.25"/>
    <row r="6654" ht="15" customHeight="1" x14ac:dyDescent="0.25"/>
    <row r="6655" ht="15" customHeight="1" x14ac:dyDescent="0.25"/>
    <row r="6656" ht="15" customHeight="1" x14ac:dyDescent="0.25"/>
    <row r="6657" ht="15" customHeight="1" x14ac:dyDescent="0.25"/>
    <row r="6658" ht="15" customHeight="1" x14ac:dyDescent="0.25"/>
    <row r="6659" ht="15" customHeight="1" x14ac:dyDescent="0.25"/>
    <row r="6660" ht="15" customHeight="1" x14ac:dyDescent="0.25"/>
    <row r="6661" ht="15" customHeight="1" x14ac:dyDescent="0.25"/>
    <row r="6662" ht="15" customHeight="1" x14ac:dyDescent="0.25"/>
    <row r="6663" ht="15" customHeight="1" x14ac:dyDescent="0.25"/>
    <row r="6664" ht="15" customHeight="1" x14ac:dyDescent="0.25"/>
    <row r="6665" ht="15" customHeight="1" x14ac:dyDescent="0.25"/>
    <row r="6666" ht="15" customHeight="1" x14ac:dyDescent="0.25"/>
    <row r="6667" ht="15" customHeight="1" x14ac:dyDescent="0.25"/>
    <row r="6668" ht="15" customHeight="1" x14ac:dyDescent="0.25"/>
    <row r="6669" ht="15" customHeight="1" x14ac:dyDescent="0.25"/>
    <row r="6670" ht="15" customHeight="1" x14ac:dyDescent="0.25"/>
    <row r="6671" ht="15" customHeight="1" x14ac:dyDescent="0.25"/>
    <row r="6672" ht="15" customHeight="1" x14ac:dyDescent="0.25"/>
    <row r="6673" ht="15" customHeight="1" x14ac:dyDescent="0.25"/>
    <row r="6674" ht="15" customHeight="1" x14ac:dyDescent="0.25"/>
    <row r="6675" ht="15" customHeight="1" x14ac:dyDescent="0.25"/>
    <row r="6676" ht="15" customHeight="1" x14ac:dyDescent="0.25"/>
    <row r="6677" ht="15" customHeight="1" x14ac:dyDescent="0.25"/>
    <row r="6678" ht="15" customHeight="1" x14ac:dyDescent="0.25"/>
    <row r="6679" ht="15" customHeight="1" x14ac:dyDescent="0.25"/>
    <row r="6680" ht="15" customHeight="1" x14ac:dyDescent="0.25"/>
    <row r="6681" ht="15" customHeight="1" x14ac:dyDescent="0.25"/>
    <row r="6682" ht="15" customHeight="1" x14ac:dyDescent="0.25"/>
    <row r="6683" ht="15" customHeight="1" x14ac:dyDescent="0.25"/>
    <row r="6684" ht="15" customHeight="1" x14ac:dyDescent="0.25"/>
    <row r="6685" ht="15" customHeight="1" x14ac:dyDescent="0.25"/>
    <row r="6686" ht="15" customHeight="1" x14ac:dyDescent="0.25"/>
    <row r="6687" ht="15" customHeight="1" x14ac:dyDescent="0.25"/>
    <row r="6688" ht="15" customHeight="1" x14ac:dyDescent="0.25"/>
    <row r="6689" ht="15" customHeight="1" x14ac:dyDescent="0.25"/>
    <row r="6690" ht="15" customHeight="1" x14ac:dyDescent="0.25"/>
    <row r="6691" ht="15" customHeight="1" x14ac:dyDescent="0.25"/>
    <row r="6692" ht="15" customHeight="1" x14ac:dyDescent="0.25"/>
    <row r="6693" ht="15" customHeight="1" x14ac:dyDescent="0.25"/>
    <row r="6694" ht="15" customHeight="1" x14ac:dyDescent="0.25"/>
    <row r="6695" ht="15" customHeight="1" x14ac:dyDescent="0.25"/>
    <row r="6696" ht="15" customHeight="1" x14ac:dyDescent="0.25"/>
    <row r="6697" ht="15" customHeight="1" x14ac:dyDescent="0.25"/>
    <row r="6698" ht="15" customHeight="1" x14ac:dyDescent="0.25"/>
    <row r="6699" ht="15" customHeight="1" x14ac:dyDescent="0.25"/>
    <row r="6700" ht="15" customHeight="1" x14ac:dyDescent="0.25"/>
    <row r="6701" ht="15" customHeight="1" x14ac:dyDescent="0.25"/>
    <row r="6702" ht="15" customHeight="1" x14ac:dyDescent="0.25"/>
    <row r="6703" ht="15" customHeight="1" x14ac:dyDescent="0.25"/>
    <row r="6704" ht="15" customHeight="1" x14ac:dyDescent="0.25"/>
    <row r="6705" ht="15" customHeight="1" x14ac:dyDescent="0.25"/>
    <row r="6706" ht="15" customHeight="1" x14ac:dyDescent="0.25"/>
    <row r="6707" ht="15" customHeight="1" x14ac:dyDescent="0.25"/>
    <row r="6708" ht="15" customHeight="1" x14ac:dyDescent="0.25"/>
    <row r="6709" ht="15" customHeight="1" x14ac:dyDescent="0.25"/>
    <row r="6710" ht="15" customHeight="1" x14ac:dyDescent="0.25"/>
    <row r="6711" ht="15" customHeight="1" x14ac:dyDescent="0.25"/>
    <row r="6712" ht="15" customHeight="1" x14ac:dyDescent="0.25"/>
    <row r="6713" ht="15" customHeight="1" x14ac:dyDescent="0.25"/>
    <row r="6714" ht="15" customHeight="1" x14ac:dyDescent="0.25"/>
    <row r="6715" ht="15" customHeight="1" x14ac:dyDescent="0.25"/>
    <row r="6716" ht="15" customHeight="1" x14ac:dyDescent="0.25"/>
    <row r="6717" ht="15" customHeight="1" x14ac:dyDescent="0.25"/>
    <row r="6718" ht="15" customHeight="1" x14ac:dyDescent="0.25"/>
    <row r="6719" ht="15" customHeight="1" x14ac:dyDescent="0.25"/>
    <row r="6720" ht="15" customHeight="1" x14ac:dyDescent="0.25"/>
    <row r="6721" ht="15" customHeight="1" x14ac:dyDescent="0.25"/>
    <row r="6722" ht="15" customHeight="1" x14ac:dyDescent="0.25"/>
    <row r="6723" ht="15" customHeight="1" x14ac:dyDescent="0.25"/>
    <row r="6724" ht="15" customHeight="1" x14ac:dyDescent="0.25"/>
    <row r="6725" ht="15" customHeight="1" x14ac:dyDescent="0.25"/>
    <row r="6726" ht="15" customHeight="1" x14ac:dyDescent="0.25"/>
    <row r="6727" ht="15" customHeight="1" x14ac:dyDescent="0.25"/>
    <row r="6728" ht="15" customHeight="1" x14ac:dyDescent="0.25"/>
    <row r="6729" ht="15" customHeight="1" x14ac:dyDescent="0.25"/>
    <row r="6730" ht="15" customHeight="1" x14ac:dyDescent="0.25"/>
    <row r="6731" ht="15" customHeight="1" x14ac:dyDescent="0.25"/>
    <row r="6732" ht="15" customHeight="1" x14ac:dyDescent="0.25"/>
    <row r="6733" ht="15" customHeight="1" x14ac:dyDescent="0.25"/>
    <row r="6734" ht="15" customHeight="1" x14ac:dyDescent="0.25"/>
    <row r="6735" ht="15" customHeight="1" x14ac:dyDescent="0.25"/>
    <row r="6736" ht="15" customHeight="1" x14ac:dyDescent="0.25"/>
    <row r="6737" ht="15" customHeight="1" x14ac:dyDescent="0.25"/>
    <row r="6738" ht="15" customHeight="1" x14ac:dyDescent="0.25"/>
    <row r="6739" ht="15" customHeight="1" x14ac:dyDescent="0.25"/>
    <row r="6740" ht="15" customHeight="1" x14ac:dyDescent="0.25"/>
    <row r="6741" ht="15" customHeight="1" x14ac:dyDescent="0.25"/>
    <row r="6742" ht="15" customHeight="1" x14ac:dyDescent="0.25"/>
    <row r="6743" ht="15" customHeight="1" x14ac:dyDescent="0.25"/>
    <row r="6744" ht="15" customHeight="1" x14ac:dyDescent="0.25"/>
    <row r="6745" ht="15" customHeight="1" x14ac:dyDescent="0.25"/>
    <row r="6746" ht="15" customHeight="1" x14ac:dyDescent="0.25"/>
    <row r="6747" ht="15" customHeight="1" x14ac:dyDescent="0.25"/>
    <row r="6748" ht="15" customHeight="1" x14ac:dyDescent="0.25"/>
    <row r="6749" ht="15" customHeight="1" x14ac:dyDescent="0.25"/>
    <row r="6750" ht="15" customHeight="1" x14ac:dyDescent="0.25"/>
    <row r="6751" ht="15" customHeight="1" x14ac:dyDescent="0.25"/>
    <row r="6752" ht="15" customHeight="1" x14ac:dyDescent="0.25"/>
    <row r="6753" ht="15" customHeight="1" x14ac:dyDescent="0.25"/>
    <row r="6754" ht="15" customHeight="1" x14ac:dyDescent="0.25"/>
    <row r="6755" ht="15" customHeight="1" x14ac:dyDescent="0.25"/>
    <row r="6756" ht="15" customHeight="1" x14ac:dyDescent="0.25"/>
    <row r="6757" ht="15" customHeight="1" x14ac:dyDescent="0.25"/>
    <row r="6758" ht="15" customHeight="1" x14ac:dyDescent="0.25"/>
    <row r="6759" ht="15" customHeight="1" x14ac:dyDescent="0.25"/>
    <row r="6760" ht="15" customHeight="1" x14ac:dyDescent="0.25"/>
    <row r="6761" ht="15" customHeight="1" x14ac:dyDescent="0.25"/>
    <row r="6762" ht="15" customHeight="1" x14ac:dyDescent="0.25"/>
    <row r="6763" ht="15" customHeight="1" x14ac:dyDescent="0.25"/>
    <row r="6764" ht="15" customHeight="1" x14ac:dyDescent="0.25"/>
    <row r="6765" ht="15" customHeight="1" x14ac:dyDescent="0.25"/>
    <row r="6766" ht="15" customHeight="1" x14ac:dyDescent="0.25"/>
    <row r="6767" ht="15" customHeight="1" x14ac:dyDescent="0.25"/>
    <row r="6768" ht="15" customHeight="1" x14ac:dyDescent="0.25"/>
    <row r="6769" ht="15" customHeight="1" x14ac:dyDescent="0.25"/>
    <row r="6770" ht="15" customHeight="1" x14ac:dyDescent="0.25"/>
    <row r="6771" ht="15" customHeight="1" x14ac:dyDescent="0.25"/>
    <row r="6772" ht="15" customHeight="1" x14ac:dyDescent="0.25"/>
    <row r="6773" ht="15" customHeight="1" x14ac:dyDescent="0.25"/>
    <row r="6774" ht="15" customHeight="1" x14ac:dyDescent="0.25"/>
    <row r="6775" ht="15" customHeight="1" x14ac:dyDescent="0.25"/>
    <row r="6776" ht="15" customHeight="1" x14ac:dyDescent="0.25"/>
    <row r="6777" ht="15" customHeight="1" x14ac:dyDescent="0.25"/>
    <row r="6778" ht="15" customHeight="1" x14ac:dyDescent="0.25"/>
    <row r="6779" ht="15" customHeight="1" x14ac:dyDescent="0.25"/>
    <row r="6780" ht="15" customHeight="1" x14ac:dyDescent="0.25"/>
    <row r="6781" ht="15" customHeight="1" x14ac:dyDescent="0.25"/>
    <row r="6782" ht="15" customHeight="1" x14ac:dyDescent="0.25"/>
    <row r="6783" ht="15" customHeight="1" x14ac:dyDescent="0.25"/>
    <row r="6784" ht="15" customHeight="1" x14ac:dyDescent="0.25"/>
    <row r="6785" ht="15" customHeight="1" x14ac:dyDescent="0.25"/>
    <row r="6786" ht="15" customHeight="1" x14ac:dyDescent="0.25"/>
    <row r="6787" ht="15" customHeight="1" x14ac:dyDescent="0.25"/>
    <row r="6788" ht="15" customHeight="1" x14ac:dyDescent="0.25"/>
    <row r="6789" ht="15" customHeight="1" x14ac:dyDescent="0.25"/>
    <row r="6790" ht="15" customHeight="1" x14ac:dyDescent="0.25"/>
    <row r="6791" ht="15" customHeight="1" x14ac:dyDescent="0.25"/>
    <row r="6792" ht="15" customHeight="1" x14ac:dyDescent="0.25"/>
    <row r="6793" ht="15" customHeight="1" x14ac:dyDescent="0.25"/>
    <row r="6794" ht="15" customHeight="1" x14ac:dyDescent="0.25"/>
    <row r="6795" ht="15" customHeight="1" x14ac:dyDescent="0.25"/>
    <row r="6796" ht="15" customHeight="1" x14ac:dyDescent="0.25"/>
    <row r="6797" ht="15" customHeight="1" x14ac:dyDescent="0.25"/>
    <row r="6798" ht="15" customHeight="1" x14ac:dyDescent="0.25"/>
    <row r="6799" ht="15" customHeight="1" x14ac:dyDescent="0.25"/>
    <row r="6800" ht="15" customHeight="1" x14ac:dyDescent="0.25"/>
    <row r="6801" ht="15" customHeight="1" x14ac:dyDescent="0.25"/>
    <row r="6802" ht="15" customHeight="1" x14ac:dyDescent="0.25"/>
    <row r="6803" ht="15" customHeight="1" x14ac:dyDescent="0.25"/>
    <row r="6804" ht="15" customHeight="1" x14ac:dyDescent="0.25"/>
    <row r="6805" ht="15" customHeight="1" x14ac:dyDescent="0.25"/>
    <row r="6806" ht="15" customHeight="1" x14ac:dyDescent="0.25"/>
    <row r="6807" ht="15" customHeight="1" x14ac:dyDescent="0.25"/>
    <row r="6808" ht="15" customHeight="1" x14ac:dyDescent="0.25"/>
    <row r="6809" ht="15" customHeight="1" x14ac:dyDescent="0.25"/>
    <row r="6810" ht="15" customHeight="1" x14ac:dyDescent="0.25"/>
    <row r="6811" ht="15" customHeight="1" x14ac:dyDescent="0.25"/>
    <row r="6812" ht="15" customHeight="1" x14ac:dyDescent="0.25"/>
    <row r="6813" ht="15" customHeight="1" x14ac:dyDescent="0.25"/>
    <row r="6814" ht="15" customHeight="1" x14ac:dyDescent="0.25"/>
    <row r="6815" ht="15" customHeight="1" x14ac:dyDescent="0.25"/>
    <row r="6816" ht="15" customHeight="1" x14ac:dyDescent="0.25"/>
    <row r="6817" ht="15" customHeight="1" x14ac:dyDescent="0.25"/>
    <row r="6818" ht="15" customHeight="1" x14ac:dyDescent="0.25"/>
    <row r="6819" ht="15" customHeight="1" x14ac:dyDescent="0.25"/>
    <row r="6820" ht="15" customHeight="1" x14ac:dyDescent="0.25"/>
    <row r="6821" ht="15" customHeight="1" x14ac:dyDescent="0.25"/>
    <row r="6822" ht="15" customHeight="1" x14ac:dyDescent="0.25"/>
    <row r="6823" ht="15" customHeight="1" x14ac:dyDescent="0.25"/>
    <row r="6824" ht="15" customHeight="1" x14ac:dyDescent="0.25"/>
    <row r="6825" ht="15" customHeight="1" x14ac:dyDescent="0.25"/>
    <row r="6826" ht="15" customHeight="1" x14ac:dyDescent="0.25"/>
    <row r="6827" ht="15" customHeight="1" x14ac:dyDescent="0.25"/>
    <row r="6828" ht="15" customHeight="1" x14ac:dyDescent="0.25"/>
    <row r="6829" ht="15" customHeight="1" x14ac:dyDescent="0.25"/>
    <row r="6830" ht="15" customHeight="1" x14ac:dyDescent="0.25"/>
    <row r="6831" ht="15" customHeight="1" x14ac:dyDescent="0.25"/>
    <row r="6832" ht="15" customHeight="1" x14ac:dyDescent="0.25"/>
    <row r="6833" ht="15" customHeight="1" x14ac:dyDescent="0.25"/>
    <row r="6834" ht="15" customHeight="1" x14ac:dyDescent="0.25"/>
    <row r="6835" ht="15" customHeight="1" x14ac:dyDescent="0.25"/>
    <row r="6836" ht="15" customHeight="1" x14ac:dyDescent="0.25"/>
    <row r="6837" ht="15" customHeight="1" x14ac:dyDescent="0.25"/>
    <row r="6838" ht="15" customHeight="1" x14ac:dyDescent="0.25"/>
    <row r="6839" ht="15" customHeight="1" x14ac:dyDescent="0.25"/>
    <row r="6840" ht="15" customHeight="1" x14ac:dyDescent="0.25"/>
    <row r="6841" ht="15" customHeight="1" x14ac:dyDescent="0.25"/>
    <row r="6842" ht="15" customHeight="1" x14ac:dyDescent="0.25"/>
    <row r="6843" ht="15" customHeight="1" x14ac:dyDescent="0.25"/>
    <row r="6844" ht="15" customHeight="1" x14ac:dyDescent="0.25"/>
    <row r="6845" ht="15" customHeight="1" x14ac:dyDescent="0.25"/>
    <row r="6846" ht="15" customHeight="1" x14ac:dyDescent="0.25"/>
    <row r="6847" ht="15" customHeight="1" x14ac:dyDescent="0.25"/>
    <row r="6848" ht="15" customHeight="1" x14ac:dyDescent="0.25"/>
    <row r="6849" ht="15" customHeight="1" x14ac:dyDescent="0.25"/>
    <row r="6850" ht="15" customHeight="1" x14ac:dyDescent="0.25"/>
    <row r="6851" ht="15" customHeight="1" x14ac:dyDescent="0.25"/>
    <row r="6852" ht="15" customHeight="1" x14ac:dyDescent="0.25"/>
    <row r="6853" ht="15" customHeight="1" x14ac:dyDescent="0.25"/>
    <row r="6854" ht="15" customHeight="1" x14ac:dyDescent="0.25"/>
    <row r="6855" ht="15" customHeight="1" x14ac:dyDescent="0.25"/>
    <row r="6856" ht="15" customHeight="1" x14ac:dyDescent="0.25"/>
    <row r="6857" ht="15" customHeight="1" x14ac:dyDescent="0.25"/>
    <row r="6858" ht="15" customHeight="1" x14ac:dyDescent="0.25"/>
    <row r="6859" ht="15" customHeight="1" x14ac:dyDescent="0.25"/>
    <row r="6860" ht="15" customHeight="1" x14ac:dyDescent="0.25"/>
    <row r="6861" ht="15" customHeight="1" x14ac:dyDescent="0.25"/>
    <row r="6862" ht="15" customHeight="1" x14ac:dyDescent="0.25"/>
    <row r="6863" ht="15" customHeight="1" x14ac:dyDescent="0.25"/>
    <row r="6864" ht="15" customHeight="1" x14ac:dyDescent="0.25"/>
    <row r="6865" ht="15" customHeight="1" x14ac:dyDescent="0.25"/>
    <row r="6866" ht="15" customHeight="1" x14ac:dyDescent="0.25"/>
    <row r="6867" ht="15" customHeight="1" x14ac:dyDescent="0.25"/>
    <row r="6868" ht="15" customHeight="1" x14ac:dyDescent="0.25"/>
    <row r="6869" ht="15" customHeight="1" x14ac:dyDescent="0.25"/>
    <row r="6870" ht="15" customHeight="1" x14ac:dyDescent="0.25"/>
    <row r="6871" ht="15" customHeight="1" x14ac:dyDescent="0.25"/>
    <row r="6872" ht="15" customHeight="1" x14ac:dyDescent="0.25"/>
    <row r="6873" ht="15" customHeight="1" x14ac:dyDescent="0.25"/>
    <row r="6874" ht="15" customHeight="1" x14ac:dyDescent="0.25"/>
    <row r="6875" ht="15" customHeight="1" x14ac:dyDescent="0.25"/>
    <row r="6876" ht="15" customHeight="1" x14ac:dyDescent="0.25"/>
    <row r="6877" ht="15" customHeight="1" x14ac:dyDescent="0.25"/>
    <row r="6878" ht="15" customHeight="1" x14ac:dyDescent="0.25"/>
    <row r="6879" ht="15" customHeight="1" x14ac:dyDescent="0.25"/>
    <row r="6880" ht="15" customHeight="1" x14ac:dyDescent="0.25"/>
    <row r="6881" ht="15" customHeight="1" x14ac:dyDescent="0.25"/>
    <row r="6882" ht="15" customHeight="1" x14ac:dyDescent="0.25"/>
    <row r="6883" ht="15" customHeight="1" x14ac:dyDescent="0.25"/>
    <row r="6884" ht="15" customHeight="1" x14ac:dyDescent="0.25"/>
    <row r="6885" ht="15" customHeight="1" x14ac:dyDescent="0.25"/>
    <row r="6886" ht="15" customHeight="1" x14ac:dyDescent="0.25"/>
    <row r="6887" ht="15" customHeight="1" x14ac:dyDescent="0.25"/>
    <row r="6888" ht="15" customHeight="1" x14ac:dyDescent="0.25"/>
    <row r="6889" ht="15" customHeight="1" x14ac:dyDescent="0.25"/>
    <row r="6890" ht="15" customHeight="1" x14ac:dyDescent="0.25"/>
    <row r="6891" ht="15" customHeight="1" x14ac:dyDescent="0.25"/>
    <row r="6892" ht="15" customHeight="1" x14ac:dyDescent="0.25"/>
    <row r="6893" ht="15" customHeight="1" x14ac:dyDescent="0.25"/>
    <row r="6894" ht="15" customHeight="1" x14ac:dyDescent="0.25"/>
    <row r="6895" ht="15" customHeight="1" x14ac:dyDescent="0.25"/>
    <row r="6896" ht="15" customHeight="1" x14ac:dyDescent="0.25"/>
    <row r="6897" ht="15" customHeight="1" x14ac:dyDescent="0.25"/>
    <row r="6898" ht="15" customHeight="1" x14ac:dyDescent="0.25"/>
    <row r="6899" ht="15" customHeight="1" x14ac:dyDescent="0.25"/>
    <row r="6900" ht="15" customHeight="1" x14ac:dyDescent="0.25"/>
    <row r="6901" ht="15" customHeight="1" x14ac:dyDescent="0.25"/>
    <row r="6902" ht="15" customHeight="1" x14ac:dyDescent="0.25"/>
    <row r="6903" ht="15" customHeight="1" x14ac:dyDescent="0.25"/>
    <row r="6904" ht="15" customHeight="1" x14ac:dyDescent="0.25"/>
    <row r="6905" ht="15" customHeight="1" x14ac:dyDescent="0.25"/>
    <row r="6906" ht="15" customHeight="1" x14ac:dyDescent="0.25"/>
    <row r="6907" ht="15" customHeight="1" x14ac:dyDescent="0.25"/>
    <row r="6908" ht="15" customHeight="1" x14ac:dyDescent="0.25"/>
    <row r="6909" ht="15" customHeight="1" x14ac:dyDescent="0.25"/>
    <row r="6910" ht="15" customHeight="1" x14ac:dyDescent="0.25"/>
    <row r="6911" ht="15" customHeight="1" x14ac:dyDescent="0.25"/>
    <row r="6912" ht="15" customHeight="1" x14ac:dyDescent="0.25"/>
    <row r="6913" ht="15" customHeight="1" x14ac:dyDescent="0.25"/>
    <row r="6914" ht="15" customHeight="1" x14ac:dyDescent="0.25"/>
    <row r="6915" ht="15" customHeight="1" x14ac:dyDescent="0.25"/>
    <row r="6916" ht="15" customHeight="1" x14ac:dyDescent="0.25"/>
    <row r="6917" ht="15" customHeight="1" x14ac:dyDescent="0.25"/>
    <row r="6918" ht="15" customHeight="1" x14ac:dyDescent="0.25"/>
    <row r="6919" ht="15" customHeight="1" x14ac:dyDescent="0.25"/>
    <row r="6920" ht="15" customHeight="1" x14ac:dyDescent="0.25"/>
    <row r="6921" ht="15" customHeight="1" x14ac:dyDescent="0.25"/>
    <row r="6922" ht="15" customHeight="1" x14ac:dyDescent="0.25"/>
    <row r="6923" ht="15" customHeight="1" x14ac:dyDescent="0.25"/>
    <row r="6924" ht="15" customHeight="1" x14ac:dyDescent="0.25"/>
    <row r="6925" ht="15" customHeight="1" x14ac:dyDescent="0.25"/>
    <row r="6926" ht="15" customHeight="1" x14ac:dyDescent="0.25"/>
    <row r="6927" ht="15" customHeight="1" x14ac:dyDescent="0.25"/>
    <row r="6928" ht="15" customHeight="1" x14ac:dyDescent="0.25"/>
    <row r="6929" ht="15" customHeight="1" x14ac:dyDescent="0.25"/>
    <row r="6930" ht="15" customHeight="1" x14ac:dyDescent="0.25"/>
    <row r="6931" ht="15" customHeight="1" x14ac:dyDescent="0.25"/>
    <row r="6932" ht="15" customHeight="1" x14ac:dyDescent="0.25"/>
    <row r="6933" ht="15" customHeight="1" x14ac:dyDescent="0.25"/>
    <row r="6934" ht="15" customHeight="1" x14ac:dyDescent="0.25"/>
    <row r="6935" ht="15" customHeight="1" x14ac:dyDescent="0.25"/>
    <row r="6936" ht="15" customHeight="1" x14ac:dyDescent="0.25"/>
    <row r="6937" ht="15" customHeight="1" x14ac:dyDescent="0.25"/>
    <row r="6938" ht="15" customHeight="1" x14ac:dyDescent="0.25"/>
    <row r="6939" ht="15" customHeight="1" x14ac:dyDescent="0.25"/>
    <row r="6940" ht="15" customHeight="1" x14ac:dyDescent="0.25"/>
    <row r="6941" ht="15" customHeight="1" x14ac:dyDescent="0.25"/>
    <row r="6942" ht="15" customHeight="1" x14ac:dyDescent="0.25"/>
    <row r="6943" ht="15" customHeight="1" x14ac:dyDescent="0.25"/>
    <row r="6944" ht="15" customHeight="1" x14ac:dyDescent="0.25"/>
    <row r="6945" ht="15" customHeight="1" x14ac:dyDescent="0.25"/>
    <row r="6946" ht="15" customHeight="1" x14ac:dyDescent="0.25"/>
    <row r="6947" ht="15" customHeight="1" x14ac:dyDescent="0.25"/>
    <row r="6948" ht="15" customHeight="1" x14ac:dyDescent="0.25"/>
    <row r="6949" ht="15" customHeight="1" x14ac:dyDescent="0.25"/>
    <row r="6950" ht="15" customHeight="1" x14ac:dyDescent="0.25"/>
    <row r="6951" ht="15" customHeight="1" x14ac:dyDescent="0.25"/>
    <row r="6952" ht="15" customHeight="1" x14ac:dyDescent="0.25"/>
    <row r="6953" ht="15" customHeight="1" x14ac:dyDescent="0.25"/>
    <row r="6954" ht="15" customHeight="1" x14ac:dyDescent="0.25"/>
    <row r="6955" ht="15" customHeight="1" x14ac:dyDescent="0.25"/>
    <row r="6956" ht="15" customHeight="1" x14ac:dyDescent="0.25"/>
    <row r="6957" ht="15" customHeight="1" x14ac:dyDescent="0.25"/>
    <row r="6958" ht="15" customHeight="1" x14ac:dyDescent="0.25"/>
    <row r="6959" ht="15" customHeight="1" x14ac:dyDescent="0.25"/>
    <row r="6960" ht="15" customHeight="1" x14ac:dyDescent="0.25"/>
    <row r="6961" ht="15" customHeight="1" x14ac:dyDescent="0.25"/>
    <row r="6962" ht="15" customHeight="1" x14ac:dyDescent="0.25"/>
    <row r="6963" ht="15" customHeight="1" x14ac:dyDescent="0.25"/>
    <row r="6964" ht="15" customHeight="1" x14ac:dyDescent="0.25"/>
    <row r="6965" ht="15" customHeight="1" x14ac:dyDescent="0.25"/>
    <row r="6966" ht="15" customHeight="1" x14ac:dyDescent="0.25"/>
    <row r="6967" ht="15" customHeight="1" x14ac:dyDescent="0.25"/>
    <row r="6968" ht="15" customHeight="1" x14ac:dyDescent="0.25"/>
    <row r="6969" ht="15" customHeight="1" x14ac:dyDescent="0.25"/>
    <row r="6970" ht="15" customHeight="1" x14ac:dyDescent="0.25"/>
    <row r="6971" ht="15" customHeight="1" x14ac:dyDescent="0.25"/>
    <row r="6972" ht="15" customHeight="1" x14ac:dyDescent="0.25"/>
    <row r="6973" ht="15" customHeight="1" x14ac:dyDescent="0.25"/>
    <row r="6974" ht="15" customHeight="1" x14ac:dyDescent="0.25"/>
    <row r="6975" ht="15" customHeight="1" x14ac:dyDescent="0.25"/>
    <row r="6976" ht="15" customHeight="1" x14ac:dyDescent="0.25"/>
    <row r="6977" ht="15" customHeight="1" x14ac:dyDescent="0.25"/>
    <row r="6978" ht="15" customHeight="1" x14ac:dyDescent="0.25"/>
    <row r="6979" ht="15" customHeight="1" x14ac:dyDescent="0.25"/>
    <row r="6980" ht="15" customHeight="1" x14ac:dyDescent="0.25"/>
    <row r="6981" ht="15" customHeight="1" x14ac:dyDescent="0.25"/>
    <row r="6982" ht="15" customHeight="1" x14ac:dyDescent="0.25"/>
    <row r="6983" ht="15" customHeight="1" x14ac:dyDescent="0.25"/>
    <row r="6984" ht="15" customHeight="1" x14ac:dyDescent="0.25"/>
    <row r="6985" ht="15" customHeight="1" x14ac:dyDescent="0.25"/>
    <row r="6986" ht="15" customHeight="1" x14ac:dyDescent="0.25"/>
    <row r="6987" ht="15" customHeight="1" x14ac:dyDescent="0.25"/>
    <row r="6988" ht="15" customHeight="1" x14ac:dyDescent="0.25"/>
    <row r="6989" ht="15" customHeight="1" x14ac:dyDescent="0.25"/>
    <row r="6990" ht="15" customHeight="1" x14ac:dyDescent="0.25"/>
    <row r="6991" ht="15" customHeight="1" x14ac:dyDescent="0.25"/>
    <row r="6992" ht="15" customHeight="1" x14ac:dyDescent="0.25"/>
    <row r="6993" ht="15" customHeight="1" x14ac:dyDescent="0.25"/>
    <row r="6994" ht="15" customHeight="1" x14ac:dyDescent="0.25"/>
    <row r="6995" ht="15" customHeight="1" x14ac:dyDescent="0.25"/>
    <row r="6996" ht="15" customHeight="1" x14ac:dyDescent="0.25"/>
    <row r="6997" ht="15" customHeight="1" x14ac:dyDescent="0.25"/>
    <row r="6998" ht="15" customHeight="1" x14ac:dyDescent="0.25"/>
    <row r="6999" ht="15" customHeight="1" x14ac:dyDescent="0.25"/>
    <row r="7000" ht="15" customHeight="1" x14ac:dyDescent="0.25"/>
    <row r="7001" ht="15" customHeight="1" x14ac:dyDescent="0.25"/>
    <row r="7002" ht="15" customHeight="1" x14ac:dyDescent="0.25"/>
    <row r="7003" ht="15" customHeight="1" x14ac:dyDescent="0.25"/>
    <row r="7004" ht="15" customHeight="1" x14ac:dyDescent="0.25"/>
    <row r="7005" ht="15" customHeight="1" x14ac:dyDescent="0.25"/>
    <row r="7006" ht="15" customHeight="1" x14ac:dyDescent="0.25"/>
    <row r="7007" ht="15" customHeight="1" x14ac:dyDescent="0.25"/>
    <row r="7008" ht="15" customHeight="1" x14ac:dyDescent="0.25"/>
    <row r="7009" ht="15" customHeight="1" x14ac:dyDescent="0.25"/>
    <row r="7010" ht="15" customHeight="1" x14ac:dyDescent="0.25"/>
    <row r="7011" ht="15" customHeight="1" x14ac:dyDescent="0.25"/>
    <row r="7012" ht="15" customHeight="1" x14ac:dyDescent="0.25"/>
    <row r="7013" ht="15" customHeight="1" x14ac:dyDescent="0.25"/>
    <row r="7014" ht="15" customHeight="1" x14ac:dyDescent="0.25"/>
    <row r="7015" ht="15" customHeight="1" x14ac:dyDescent="0.25"/>
    <row r="7016" ht="15" customHeight="1" x14ac:dyDescent="0.25"/>
    <row r="7017" ht="15" customHeight="1" x14ac:dyDescent="0.25"/>
    <row r="7018" ht="15" customHeight="1" x14ac:dyDescent="0.25"/>
    <row r="7019" ht="15" customHeight="1" x14ac:dyDescent="0.25"/>
    <row r="7020" ht="15" customHeight="1" x14ac:dyDescent="0.25"/>
    <row r="7021" ht="15" customHeight="1" x14ac:dyDescent="0.25"/>
    <row r="7022" ht="15" customHeight="1" x14ac:dyDescent="0.25"/>
    <row r="7023" ht="15" customHeight="1" x14ac:dyDescent="0.25"/>
    <row r="7024" ht="15" customHeight="1" x14ac:dyDescent="0.25"/>
    <row r="7025" ht="15" customHeight="1" x14ac:dyDescent="0.25"/>
    <row r="7026" ht="15" customHeight="1" x14ac:dyDescent="0.25"/>
    <row r="7027" ht="15" customHeight="1" x14ac:dyDescent="0.25"/>
    <row r="7028" ht="15" customHeight="1" x14ac:dyDescent="0.25"/>
    <row r="7029" ht="15" customHeight="1" x14ac:dyDescent="0.25"/>
    <row r="7030" ht="15" customHeight="1" x14ac:dyDescent="0.25"/>
    <row r="7031" ht="15" customHeight="1" x14ac:dyDescent="0.25"/>
    <row r="7032" ht="15" customHeight="1" x14ac:dyDescent="0.25"/>
    <row r="7033" ht="15" customHeight="1" x14ac:dyDescent="0.25"/>
    <row r="7034" ht="15" customHeight="1" x14ac:dyDescent="0.25"/>
    <row r="7035" ht="15" customHeight="1" x14ac:dyDescent="0.25"/>
    <row r="7036" ht="15" customHeight="1" x14ac:dyDescent="0.25"/>
    <row r="7037" ht="15" customHeight="1" x14ac:dyDescent="0.25"/>
    <row r="7038" ht="15" customHeight="1" x14ac:dyDescent="0.25"/>
    <row r="7039" ht="15" customHeight="1" x14ac:dyDescent="0.25"/>
    <row r="7040" ht="15" customHeight="1" x14ac:dyDescent="0.25"/>
    <row r="7041" ht="15" customHeight="1" x14ac:dyDescent="0.25"/>
    <row r="7042" ht="15" customHeight="1" x14ac:dyDescent="0.25"/>
    <row r="7043" ht="15" customHeight="1" x14ac:dyDescent="0.25"/>
    <row r="7044" ht="15" customHeight="1" x14ac:dyDescent="0.25"/>
    <row r="7045" ht="15" customHeight="1" x14ac:dyDescent="0.25"/>
    <row r="7046" ht="15" customHeight="1" x14ac:dyDescent="0.25"/>
    <row r="7047" ht="15" customHeight="1" x14ac:dyDescent="0.25"/>
    <row r="7048" ht="15" customHeight="1" x14ac:dyDescent="0.25"/>
    <row r="7049" ht="15" customHeight="1" x14ac:dyDescent="0.25"/>
    <row r="7050" ht="15" customHeight="1" x14ac:dyDescent="0.25"/>
    <row r="7051" ht="15" customHeight="1" x14ac:dyDescent="0.25"/>
    <row r="7052" ht="15" customHeight="1" x14ac:dyDescent="0.25"/>
    <row r="7053" ht="15" customHeight="1" x14ac:dyDescent="0.25"/>
    <row r="7054" ht="15" customHeight="1" x14ac:dyDescent="0.25"/>
    <row r="7055" ht="15" customHeight="1" x14ac:dyDescent="0.25"/>
    <row r="7056" ht="15" customHeight="1" x14ac:dyDescent="0.25"/>
    <row r="7057" ht="15" customHeight="1" x14ac:dyDescent="0.25"/>
    <row r="7058" ht="15" customHeight="1" x14ac:dyDescent="0.25"/>
    <row r="7059" ht="15" customHeight="1" x14ac:dyDescent="0.25"/>
    <row r="7060" ht="15" customHeight="1" x14ac:dyDescent="0.25"/>
    <row r="7061" ht="15" customHeight="1" x14ac:dyDescent="0.25"/>
    <row r="7062" ht="15" customHeight="1" x14ac:dyDescent="0.25"/>
    <row r="7063" ht="15" customHeight="1" x14ac:dyDescent="0.25"/>
    <row r="7064" ht="15" customHeight="1" x14ac:dyDescent="0.25"/>
    <row r="7065" ht="15" customHeight="1" x14ac:dyDescent="0.25"/>
    <row r="7066" ht="15" customHeight="1" x14ac:dyDescent="0.25"/>
    <row r="7067" ht="15" customHeight="1" x14ac:dyDescent="0.25"/>
    <row r="7068" ht="15" customHeight="1" x14ac:dyDescent="0.25"/>
    <row r="7069" ht="15" customHeight="1" x14ac:dyDescent="0.25"/>
    <row r="7070" ht="15" customHeight="1" x14ac:dyDescent="0.25"/>
    <row r="7071" ht="15" customHeight="1" x14ac:dyDescent="0.25"/>
    <row r="7072" ht="15" customHeight="1" x14ac:dyDescent="0.25"/>
    <row r="7073" ht="15" customHeight="1" x14ac:dyDescent="0.25"/>
    <row r="7074" ht="15" customHeight="1" x14ac:dyDescent="0.25"/>
    <row r="7075" ht="15" customHeight="1" x14ac:dyDescent="0.25"/>
    <row r="7076" ht="15" customHeight="1" x14ac:dyDescent="0.25"/>
    <row r="7077" ht="15" customHeight="1" x14ac:dyDescent="0.25"/>
    <row r="7078" ht="15" customHeight="1" x14ac:dyDescent="0.25"/>
    <row r="7079" ht="15" customHeight="1" x14ac:dyDescent="0.25"/>
    <row r="7080" ht="15" customHeight="1" x14ac:dyDescent="0.25"/>
    <row r="7081" ht="15" customHeight="1" x14ac:dyDescent="0.25"/>
    <row r="7082" ht="15" customHeight="1" x14ac:dyDescent="0.25"/>
    <row r="7083" ht="15" customHeight="1" x14ac:dyDescent="0.25"/>
    <row r="7084" ht="15" customHeight="1" x14ac:dyDescent="0.25"/>
    <row r="7085" ht="15" customHeight="1" x14ac:dyDescent="0.25"/>
    <row r="7086" ht="15" customHeight="1" x14ac:dyDescent="0.25"/>
    <row r="7087" ht="15" customHeight="1" x14ac:dyDescent="0.25"/>
    <row r="7088" ht="15" customHeight="1" x14ac:dyDescent="0.25"/>
    <row r="7089" ht="15" customHeight="1" x14ac:dyDescent="0.25"/>
    <row r="7090" ht="15" customHeight="1" x14ac:dyDescent="0.25"/>
    <row r="7091" ht="15" customHeight="1" x14ac:dyDescent="0.25"/>
    <row r="7092" ht="15" customHeight="1" x14ac:dyDescent="0.25"/>
    <row r="7093" ht="15" customHeight="1" x14ac:dyDescent="0.25"/>
    <row r="7094" ht="15" customHeight="1" x14ac:dyDescent="0.25"/>
    <row r="7095" ht="15" customHeight="1" x14ac:dyDescent="0.25"/>
    <row r="7096" ht="15" customHeight="1" x14ac:dyDescent="0.25"/>
    <row r="7097" ht="15" customHeight="1" x14ac:dyDescent="0.25"/>
    <row r="7098" ht="15" customHeight="1" x14ac:dyDescent="0.25"/>
    <row r="7099" ht="15" customHeight="1" x14ac:dyDescent="0.25"/>
    <row r="7100" ht="15" customHeight="1" x14ac:dyDescent="0.25"/>
    <row r="7101" ht="15" customHeight="1" x14ac:dyDescent="0.25"/>
    <row r="7102" ht="15" customHeight="1" x14ac:dyDescent="0.25"/>
    <row r="7103" ht="15" customHeight="1" x14ac:dyDescent="0.25"/>
    <row r="7104" ht="15" customHeight="1" x14ac:dyDescent="0.25"/>
    <row r="7105" ht="15" customHeight="1" x14ac:dyDescent="0.25"/>
    <row r="7106" ht="15" customHeight="1" x14ac:dyDescent="0.25"/>
    <row r="7107" ht="15" customHeight="1" x14ac:dyDescent="0.25"/>
    <row r="7108" ht="15" customHeight="1" x14ac:dyDescent="0.25"/>
    <row r="7109" ht="15" customHeight="1" x14ac:dyDescent="0.25"/>
    <row r="7110" ht="15" customHeight="1" x14ac:dyDescent="0.25"/>
    <row r="7111" ht="15" customHeight="1" x14ac:dyDescent="0.25"/>
    <row r="7112" ht="15" customHeight="1" x14ac:dyDescent="0.25"/>
    <row r="7113" ht="15" customHeight="1" x14ac:dyDescent="0.25"/>
    <row r="7114" ht="15" customHeight="1" x14ac:dyDescent="0.25"/>
    <row r="7115" ht="15" customHeight="1" x14ac:dyDescent="0.25"/>
    <row r="7116" ht="15" customHeight="1" x14ac:dyDescent="0.25"/>
    <row r="7117" ht="15" customHeight="1" x14ac:dyDescent="0.25"/>
    <row r="7118" ht="15" customHeight="1" x14ac:dyDescent="0.25"/>
    <row r="7119" ht="15" customHeight="1" x14ac:dyDescent="0.25"/>
    <row r="7120" ht="15" customHeight="1" x14ac:dyDescent="0.25"/>
    <row r="7121" ht="15" customHeight="1" x14ac:dyDescent="0.25"/>
    <row r="7122" ht="15" customHeight="1" x14ac:dyDescent="0.25"/>
    <row r="7123" ht="15" customHeight="1" x14ac:dyDescent="0.25"/>
    <row r="7124" ht="15" customHeight="1" x14ac:dyDescent="0.25"/>
    <row r="7125" ht="15" customHeight="1" x14ac:dyDescent="0.25"/>
    <row r="7126" ht="15" customHeight="1" x14ac:dyDescent="0.25"/>
    <row r="7127" ht="15" customHeight="1" x14ac:dyDescent="0.25"/>
    <row r="7128" ht="15" customHeight="1" x14ac:dyDescent="0.25"/>
    <row r="7129" ht="15" customHeight="1" x14ac:dyDescent="0.25"/>
    <row r="7130" ht="15" customHeight="1" x14ac:dyDescent="0.25"/>
    <row r="7131" ht="15" customHeight="1" x14ac:dyDescent="0.25"/>
    <row r="7132" ht="15" customHeight="1" x14ac:dyDescent="0.25"/>
    <row r="7133" ht="15" customHeight="1" x14ac:dyDescent="0.25"/>
    <row r="7134" ht="15" customHeight="1" x14ac:dyDescent="0.25"/>
    <row r="7135" ht="15" customHeight="1" x14ac:dyDescent="0.25"/>
    <row r="7136" ht="15" customHeight="1" x14ac:dyDescent="0.25"/>
    <row r="7137" ht="15" customHeight="1" x14ac:dyDescent="0.25"/>
    <row r="7138" ht="15" customHeight="1" x14ac:dyDescent="0.25"/>
    <row r="7139" ht="15" customHeight="1" x14ac:dyDescent="0.25"/>
    <row r="7140" ht="15" customHeight="1" x14ac:dyDescent="0.25"/>
    <row r="7141" ht="15" customHeight="1" x14ac:dyDescent="0.25"/>
    <row r="7142" ht="15" customHeight="1" x14ac:dyDescent="0.25"/>
    <row r="7143" ht="15" customHeight="1" x14ac:dyDescent="0.25"/>
    <row r="7144" ht="15" customHeight="1" x14ac:dyDescent="0.25"/>
    <row r="7145" ht="15" customHeight="1" x14ac:dyDescent="0.25"/>
    <row r="7146" ht="15" customHeight="1" x14ac:dyDescent="0.25"/>
    <row r="7147" ht="15" customHeight="1" x14ac:dyDescent="0.25"/>
    <row r="7148" ht="15" customHeight="1" x14ac:dyDescent="0.25"/>
    <row r="7149" ht="15" customHeight="1" x14ac:dyDescent="0.25"/>
    <row r="7150" ht="15" customHeight="1" x14ac:dyDescent="0.25"/>
    <row r="7151" ht="15" customHeight="1" x14ac:dyDescent="0.25"/>
    <row r="7152" ht="15" customHeight="1" x14ac:dyDescent="0.25"/>
    <row r="7153" ht="15" customHeight="1" x14ac:dyDescent="0.25"/>
    <row r="7154" ht="15" customHeight="1" x14ac:dyDescent="0.25"/>
    <row r="7155" ht="15" customHeight="1" x14ac:dyDescent="0.25"/>
    <row r="7156" ht="15" customHeight="1" x14ac:dyDescent="0.25"/>
    <row r="7157" ht="15" customHeight="1" x14ac:dyDescent="0.25"/>
    <row r="7158" ht="15" customHeight="1" x14ac:dyDescent="0.25"/>
    <row r="7159" ht="15" customHeight="1" x14ac:dyDescent="0.25"/>
    <row r="7160" ht="15" customHeight="1" x14ac:dyDescent="0.25"/>
    <row r="7161" ht="15" customHeight="1" x14ac:dyDescent="0.25"/>
    <row r="7162" ht="15" customHeight="1" x14ac:dyDescent="0.25"/>
    <row r="7163" ht="15" customHeight="1" x14ac:dyDescent="0.25"/>
    <row r="7164" ht="15" customHeight="1" x14ac:dyDescent="0.25"/>
    <row r="7165" ht="15" customHeight="1" x14ac:dyDescent="0.25"/>
    <row r="7166" ht="15" customHeight="1" x14ac:dyDescent="0.25"/>
    <row r="7167" ht="15" customHeight="1" x14ac:dyDescent="0.25"/>
    <row r="7168" ht="15" customHeight="1" x14ac:dyDescent="0.25"/>
    <row r="7169" ht="15" customHeight="1" x14ac:dyDescent="0.25"/>
    <row r="7170" ht="15" customHeight="1" x14ac:dyDescent="0.25"/>
    <row r="7171" ht="15" customHeight="1" x14ac:dyDescent="0.25"/>
    <row r="7172" ht="15" customHeight="1" x14ac:dyDescent="0.25"/>
    <row r="7173" ht="15" customHeight="1" x14ac:dyDescent="0.25"/>
    <row r="7174" ht="15" customHeight="1" x14ac:dyDescent="0.25"/>
    <row r="7175" ht="15" customHeight="1" x14ac:dyDescent="0.25"/>
    <row r="7176" ht="15" customHeight="1" x14ac:dyDescent="0.25"/>
    <row r="7177" ht="15" customHeight="1" x14ac:dyDescent="0.25"/>
    <row r="7178" ht="15" customHeight="1" x14ac:dyDescent="0.25"/>
    <row r="7179" ht="15" customHeight="1" x14ac:dyDescent="0.25"/>
    <row r="7180" ht="15" customHeight="1" x14ac:dyDescent="0.25"/>
    <row r="7181" ht="15" customHeight="1" x14ac:dyDescent="0.25"/>
    <row r="7182" ht="15" customHeight="1" x14ac:dyDescent="0.25"/>
    <row r="7183" ht="15" customHeight="1" x14ac:dyDescent="0.25"/>
    <row r="7184" ht="15" customHeight="1" x14ac:dyDescent="0.25"/>
    <row r="7185" ht="15" customHeight="1" x14ac:dyDescent="0.25"/>
    <row r="7186" ht="15" customHeight="1" x14ac:dyDescent="0.25"/>
    <row r="7187" ht="15" customHeight="1" x14ac:dyDescent="0.25"/>
    <row r="7188" ht="15" customHeight="1" x14ac:dyDescent="0.25"/>
    <row r="7189" ht="15" customHeight="1" x14ac:dyDescent="0.25"/>
    <row r="7190" ht="15" customHeight="1" x14ac:dyDescent="0.25"/>
    <row r="7191" ht="15" customHeight="1" x14ac:dyDescent="0.25"/>
    <row r="7192" ht="15" customHeight="1" x14ac:dyDescent="0.25"/>
    <row r="7193" ht="15" customHeight="1" x14ac:dyDescent="0.25"/>
    <row r="7194" ht="15" customHeight="1" x14ac:dyDescent="0.25"/>
    <row r="7195" ht="15" customHeight="1" x14ac:dyDescent="0.25"/>
    <row r="7196" ht="15" customHeight="1" x14ac:dyDescent="0.25"/>
    <row r="7197" ht="15" customHeight="1" x14ac:dyDescent="0.25"/>
    <row r="7198" ht="15" customHeight="1" x14ac:dyDescent="0.25"/>
    <row r="7199" ht="15" customHeight="1" x14ac:dyDescent="0.25"/>
    <row r="7200" ht="15" customHeight="1" x14ac:dyDescent="0.25"/>
    <row r="7201" ht="15" customHeight="1" x14ac:dyDescent="0.25"/>
    <row r="7202" ht="15" customHeight="1" x14ac:dyDescent="0.25"/>
    <row r="7203" ht="15" customHeight="1" x14ac:dyDescent="0.25"/>
    <row r="7204" ht="15" customHeight="1" x14ac:dyDescent="0.25"/>
    <row r="7205" ht="15" customHeight="1" x14ac:dyDescent="0.25"/>
    <row r="7206" ht="15" customHeight="1" x14ac:dyDescent="0.25"/>
    <row r="7207" ht="15" customHeight="1" x14ac:dyDescent="0.25"/>
    <row r="7208" ht="15" customHeight="1" x14ac:dyDescent="0.25"/>
    <row r="7209" ht="15" customHeight="1" x14ac:dyDescent="0.25"/>
    <row r="7210" ht="15" customHeight="1" x14ac:dyDescent="0.25"/>
    <row r="7211" ht="15" customHeight="1" x14ac:dyDescent="0.25"/>
    <row r="7212" ht="15" customHeight="1" x14ac:dyDescent="0.25"/>
    <row r="7213" ht="15" customHeight="1" x14ac:dyDescent="0.25"/>
    <row r="7214" ht="15" customHeight="1" x14ac:dyDescent="0.25"/>
    <row r="7215" ht="15" customHeight="1" x14ac:dyDescent="0.25"/>
    <row r="7216" ht="15" customHeight="1" x14ac:dyDescent="0.25"/>
    <row r="7217" ht="15" customHeight="1" x14ac:dyDescent="0.25"/>
    <row r="7218" ht="15" customHeight="1" x14ac:dyDescent="0.25"/>
    <row r="7219" ht="15" customHeight="1" x14ac:dyDescent="0.25"/>
    <row r="7220" ht="15" customHeight="1" x14ac:dyDescent="0.25"/>
    <row r="7221" ht="15" customHeight="1" x14ac:dyDescent="0.25"/>
    <row r="7222" ht="15" customHeight="1" x14ac:dyDescent="0.25"/>
    <row r="7223" ht="15" customHeight="1" x14ac:dyDescent="0.25"/>
    <row r="7224" ht="15" customHeight="1" x14ac:dyDescent="0.25"/>
    <row r="7225" ht="15" customHeight="1" x14ac:dyDescent="0.25"/>
    <row r="7226" ht="15" customHeight="1" x14ac:dyDescent="0.25"/>
    <row r="7227" ht="15" customHeight="1" x14ac:dyDescent="0.25"/>
    <row r="7228" ht="15" customHeight="1" x14ac:dyDescent="0.25"/>
    <row r="7229" ht="15" customHeight="1" x14ac:dyDescent="0.25"/>
    <row r="7230" ht="15" customHeight="1" x14ac:dyDescent="0.25"/>
    <row r="7231" ht="15" customHeight="1" x14ac:dyDescent="0.25"/>
    <row r="7232" ht="15" customHeight="1" x14ac:dyDescent="0.25"/>
    <row r="7233" ht="15" customHeight="1" x14ac:dyDescent="0.25"/>
    <row r="7234" ht="15" customHeight="1" x14ac:dyDescent="0.25"/>
    <row r="7235" ht="15" customHeight="1" x14ac:dyDescent="0.25"/>
    <row r="7236" ht="15" customHeight="1" x14ac:dyDescent="0.25"/>
    <row r="7237" ht="15" customHeight="1" x14ac:dyDescent="0.25"/>
    <row r="7238" ht="15" customHeight="1" x14ac:dyDescent="0.25"/>
    <row r="7239" ht="15" customHeight="1" x14ac:dyDescent="0.25"/>
    <row r="7240" ht="15" customHeight="1" x14ac:dyDescent="0.25"/>
    <row r="7241" ht="15" customHeight="1" x14ac:dyDescent="0.25"/>
    <row r="7242" ht="15" customHeight="1" x14ac:dyDescent="0.25"/>
    <row r="7243" ht="15" customHeight="1" x14ac:dyDescent="0.25"/>
    <row r="7244" ht="15" customHeight="1" x14ac:dyDescent="0.25"/>
    <row r="7245" ht="15" customHeight="1" x14ac:dyDescent="0.25"/>
    <row r="7246" ht="15" customHeight="1" x14ac:dyDescent="0.25"/>
    <row r="7247" ht="15" customHeight="1" x14ac:dyDescent="0.25"/>
    <row r="7248" ht="15" customHeight="1" x14ac:dyDescent="0.25"/>
    <row r="7249" ht="15" customHeight="1" x14ac:dyDescent="0.25"/>
    <row r="7250" ht="15" customHeight="1" x14ac:dyDescent="0.25"/>
    <row r="7251" ht="15" customHeight="1" x14ac:dyDescent="0.25"/>
    <row r="7252" ht="15" customHeight="1" x14ac:dyDescent="0.25"/>
    <row r="7253" ht="15" customHeight="1" x14ac:dyDescent="0.25"/>
    <row r="7254" ht="15" customHeight="1" x14ac:dyDescent="0.25"/>
    <row r="7255" ht="15" customHeight="1" x14ac:dyDescent="0.25"/>
    <row r="7256" ht="15" customHeight="1" x14ac:dyDescent="0.25"/>
    <row r="7257" ht="15" customHeight="1" x14ac:dyDescent="0.25"/>
    <row r="7258" ht="15" customHeight="1" x14ac:dyDescent="0.25"/>
    <row r="7259" ht="15" customHeight="1" x14ac:dyDescent="0.25"/>
    <row r="7260" ht="15" customHeight="1" x14ac:dyDescent="0.25"/>
    <row r="7261" ht="15" customHeight="1" x14ac:dyDescent="0.25"/>
    <row r="7262" ht="15" customHeight="1" x14ac:dyDescent="0.25"/>
    <row r="7263" ht="15" customHeight="1" x14ac:dyDescent="0.25"/>
    <row r="7264" ht="15" customHeight="1" x14ac:dyDescent="0.25"/>
    <row r="7265" ht="15" customHeight="1" x14ac:dyDescent="0.25"/>
    <row r="7266" ht="15" customHeight="1" x14ac:dyDescent="0.25"/>
    <row r="7268" ht="15" customHeight="1" x14ac:dyDescent="0.25"/>
    <row r="7269" ht="15" customHeight="1" x14ac:dyDescent="0.25"/>
    <row r="7270" ht="15" customHeight="1" x14ac:dyDescent="0.25"/>
    <row r="7271" ht="15" customHeight="1" x14ac:dyDescent="0.25"/>
    <row r="7272" ht="15" customHeight="1" x14ac:dyDescent="0.25"/>
    <row r="7273" ht="15" customHeight="1" x14ac:dyDescent="0.25"/>
    <row r="7274" ht="15" customHeight="1" x14ac:dyDescent="0.25"/>
    <row r="7275" ht="15" customHeight="1" x14ac:dyDescent="0.25"/>
    <row r="7276" ht="15" customHeight="1" x14ac:dyDescent="0.25"/>
    <row r="7277" ht="15" customHeight="1" x14ac:dyDescent="0.25"/>
    <row r="7278" ht="15" customHeight="1" x14ac:dyDescent="0.25"/>
    <row r="7279" ht="15" customHeight="1" x14ac:dyDescent="0.25"/>
    <row r="7280" ht="15" customHeight="1" x14ac:dyDescent="0.25"/>
    <row r="7281" ht="15" customHeight="1" x14ac:dyDescent="0.25"/>
    <row r="7282" ht="15" customHeight="1" x14ac:dyDescent="0.25"/>
    <row r="7283" ht="15" customHeight="1" x14ac:dyDescent="0.25"/>
    <row r="7284" ht="15" customHeight="1" x14ac:dyDescent="0.25"/>
    <row r="7285" ht="15" customHeight="1" x14ac:dyDescent="0.25"/>
    <row r="7286" ht="15" customHeight="1" x14ac:dyDescent="0.25"/>
    <row r="7287" ht="15" customHeight="1" x14ac:dyDescent="0.25"/>
    <row r="7288" ht="15" customHeight="1" x14ac:dyDescent="0.25"/>
    <row r="7289" ht="15" customHeight="1" x14ac:dyDescent="0.25"/>
    <row r="7290" ht="15" customHeight="1" x14ac:dyDescent="0.25"/>
    <row r="7291" ht="15" customHeight="1" x14ac:dyDescent="0.25"/>
    <row r="7292" ht="15" customHeight="1" x14ac:dyDescent="0.25"/>
    <row r="7293" ht="15" customHeight="1" x14ac:dyDescent="0.25"/>
    <row r="7294" ht="15" customHeight="1" x14ac:dyDescent="0.25"/>
    <row r="7295" ht="15" customHeight="1" x14ac:dyDescent="0.25"/>
    <row r="7296" ht="15" customHeight="1" x14ac:dyDescent="0.25"/>
    <row r="7297" ht="15" customHeight="1" x14ac:dyDescent="0.25"/>
    <row r="7298" ht="15" customHeight="1" x14ac:dyDescent="0.25"/>
    <row r="7299" ht="15" customHeight="1" x14ac:dyDescent="0.25"/>
    <row r="7300" ht="15" customHeight="1" x14ac:dyDescent="0.25"/>
    <row r="7301" ht="15" customHeight="1" x14ac:dyDescent="0.25"/>
    <row r="7302" ht="15" customHeight="1" x14ac:dyDescent="0.25"/>
    <row r="7303" ht="15" customHeight="1" x14ac:dyDescent="0.25"/>
    <row r="7304" ht="15" customHeight="1" x14ac:dyDescent="0.25"/>
    <row r="7305" ht="15" customHeight="1" x14ac:dyDescent="0.25"/>
    <row r="7306" ht="15" customHeight="1" x14ac:dyDescent="0.25"/>
    <row r="7307" ht="15" customHeight="1" x14ac:dyDescent="0.25"/>
    <row r="7308" ht="15" customHeight="1" x14ac:dyDescent="0.25"/>
    <row r="7309" ht="15" customHeight="1" x14ac:dyDescent="0.25"/>
    <row r="7310" ht="15" customHeight="1" x14ac:dyDescent="0.25"/>
    <row r="7311" ht="15" customHeight="1" x14ac:dyDescent="0.25"/>
    <row r="7312" ht="15" customHeight="1" x14ac:dyDescent="0.25"/>
    <row r="7313" ht="15" customHeight="1" x14ac:dyDescent="0.25"/>
    <row r="7314" ht="15" customHeight="1" x14ac:dyDescent="0.25"/>
    <row r="7315" ht="15" customHeight="1" x14ac:dyDescent="0.25"/>
    <row r="7316" ht="15" customHeight="1" x14ac:dyDescent="0.25"/>
    <row r="7317" ht="15" customHeight="1" x14ac:dyDescent="0.25"/>
    <row r="7318" ht="15" customHeight="1" x14ac:dyDescent="0.25"/>
    <row r="7319" ht="15" customHeight="1" x14ac:dyDescent="0.25"/>
    <row r="7320" ht="15" customHeight="1" x14ac:dyDescent="0.25"/>
    <row r="7321" ht="15" customHeight="1" x14ac:dyDescent="0.25"/>
    <row r="7322" ht="15" customHeight="1" x14ac:dyDescent="0.25"/>
    <row r="7323" ht="15" customHeight="1" x14ac:dyDescent="0.25"/>
    <row r="7324" ht="15" customHeight="1" x14ac:dyDescent="0.25"/>
    <row r="7325" ht="15" customHeight="1" x14ac:dyDescent="0.25"/>
    <row r="7326" ht="15" customHeight="1" x14ac:dyDescent="0.25"/>
    <row r="7327" ht="15" customHeight="1" x14ac:dyDescent="0.25"/>
    <row r="7328" ht="15" customHeight="1" x14ac:dyDescent="0.25"/>
    <row r="7329" ht="15" customHeight="1" x14ac:dyDescent="0.25"/>
    <row r="7330" ht="15" customHeight="1" x14ac:dyDescent="0.25"/>
    <row r="7331" ht="15" customHeight="1" x14ac:dyDescent="0.25"/>
    <row r="7332" ht="15" customHeight="1" x14ac:dyDescent="0.25"/>
    <row r="7333" ht="15" customHeight="1" x14ac:dyDescent="0.25"/>
    <row r="7334" ht="15" customHeight="1" x14ac:dyDescent="0.25"/>
    <row r="7335" ht="15" customHeight="1" x14ac:dyDescent="0.25"/>
    <row r="7336" ht="15" customHeight="1" x14ac:dyDescent="0.25"/>
    <row r="7337" ht="15" customHeight="1" x14ac:dyDescent="0.25"/>
    <row r="7338" ht="15" customHeight="1" x14ac:dyDescent="0.25"/>
    <row r="7339" ht="15" customHeight="1" x14ac:dyDescent="0.25"/>
    <row r="7340" ht="15" customHeight="1" x14ac:dyDescent="0.25"/>
    <row r="7341" ht="15" customHeight="1" x14ac:dyDescent="0.25"/>
    <row r="7342" ht="15" customHeight="1" x14ac:dyDescent="0.25"/>
    <row r="7343" ht="15" customHeight="1" x14ac:dyDescent="0.25"/>
    <row r="7344" ht="15" customHeight="1" x14ac:dyDescent="0.25"/>
    <row r="7345" ht="15" customHeight="1" x14ac:dyDescent="0.25"/>
    <row r="7346" ht="15" customHeight="1" x14ac:dyDescent="0.25"/>
    <row r="7347" ht="15" customHeight="1" x14ac:dyDescent="0.25"/>
    <row r="7348" ht="15" customHeight="1" x14ac:dyDescent="0.25"/>
    <row r="7349" ht="15" customHeight="1" x14ac:dyDescent="0.25"/>
    <row r="7350" ht="15" customHeight="1" x14ac:dyDescent="0.25"/>
    <row r="7351" ht="15" customHeight="1" x14ac:dyDescent="0.25"/>
    <row r="7352" ht="15" customHeight="1" x14ac:dyDescent="0.25"/>
    <row r="7353" ht="15" customHeight="1" x14ac:dyDescent="0.25"/>
    <row r="7354" ht="15" customHeight="1" x14ac:dyDescent="0.25"/>
    <row r="7355" ht="15" customHeight="1" x14ac:dyDescent="0.25"/>
    <row r="7356" ht="15" customHeight="1" x14ac:dyDescent="0.25"/>
    <row r="7357" ht="15" customHeight="1" x14ac:dyDescent="0.25"/>
    <row r="7358" ht="15" customHeight="1" x14ac:dyDescent="0.25"/>
    <row r="7359" ht="15" customHeight="1" x14ac:dyDescent="0.25"/>
    <row r="7360" ht="15" customHeight="1" x14ac:dyDescent="0.25"/>
    <row r="7361" ht="15" customHeight="1" x14ac:dyDescent="0.25"/>
    <row r="7362" ht="15" customHeight="1" x14ac:dyDescent="0.25"/>
    <row r="7363" ht="15" customHeight="1" x14ac:dyDescent="0.25"/>
    <row r="7364" ht="15" customHeight="1" x14ac:dyDescent="0.25"/>
    <row r="7365" ht="15" customHeight="1" x14ac:dyDescent="0.25"/>
    <row r="7366" ht="15" customHeight="1" x14ac:dyDescent="0.25"/>
    <row r="7367" ht="15" customHeight="1" x14ac:dyDescent="0.25"/>
    <row r="7368" ht="15" customHeight="1" x14ac:dyDescent="0.25"/>
    <row r="7369" ht="15" customHeight="1" x14ac:dyDescent="0.25"/>
    <row r="7370" ht="15" customHeight="1" x14ac:dyDescent="0.25"/>
    <row r="7371" ht="15" customHeight="1" x14ac:dyDescent="0.25"/>
    <row r="7372" ht="15" customHeight="1" x14ac:dyDescent="0.25"/>
    <row r="7373" ht="15" customHeight="1" x14ac:dyDescent="0.25"/>
    <row r="7374" ht="15" customHeight="1" x14ac:dyDescent="0.25"/>
    <row r="7375" ht="15" customHeight="1" x14ac:dyDescent="0.25"/>
    <row r="7376" ht="15" customHeight="1" x14ac:dyDescent="0.25"/>
    <row r="7378" ht="15" customHeight="1" x14ac:dyDescent="0.25"/>
    <row r="7379" ht="15" customHeight="1" x14ac:dyDescent="0.25"/>
    <row r="7380" ht="15" customHeight="1" x14ac:dyDescent="0.25"/>
    <row r="7381" ht="15" customHeight="1" x14ac:dyDescent="0.25"/>
    <row r="7382" ht="15" customHeight="1" x14ac:dyDescent="0.25"/>
    <row r="7383" ht="15" customHeight="1" x14ac:dyDescent="0.25"/>
    <row r="7384" ht="15" customHeight="1" x14ac:dyDescent="0.25"/>
    <row r="7385" ht="15" customHeight="1" x14ac:dyDescent="0.25"/>
    <row r="7386" ht="15" customHeight="1" x14ac:dyDescent="0.25"/>
    <row r="7387" ht="15" customHeight="1" x14ac:dyDescent="0.25"/>
    <row r="7388" ht="15" customHeight="1" x14ac:dyDescent="0.25"/>
    <row r="7389" ht="15" customHeight="1" x14ac:dyDescent="0.25"/>
    <row r="7390" ht="15" customHeight="1" x14ac:dyDescent="0.25"/>
    <row r="7391" ht="15" customHeight="1" x14ac:dyDescent="0.25"/>
    <row r="7392" ht="15" customHeight="1" x14ac:dyDescent="0.25"/>
    <row r="7393" ht="15" customHeight="1" x14ac:dyDescent="0.25"/>
    <row r="7394" ht="15" customHeight="1" x14ac:dyDescent="0.25"/>
    <row r="7395" ht="15" customHeight="1" x14ac:dyDescent="0.25"/>
    <row r="7397" ht="15" customHeight="1" x14ac:dyDescent="0.25"/>
    <row r="7398" ht="15" customHeight="1" x14ac:dyDescent="0.25"/>
    <row r="7399" ht="15" customHeight="1" x14ac:dyDescent="0.25"/>
    <row r="7400" ht="15" customHeight="1" x14ac:dyDescent="0.25"/>
    <row r="7401" ht="15" customHeight="1" x14ac:dyDescent="0.25"/>
    <row r="7402" ht="15" customHeight="1" x14ac:dyDescent="0.25"/>
    <row r="7403" ht="15" customHeight="1" x14ac:dyDescent="0.25"/>
    <row r="7404" ht="15" customHeight="1" x14ac:dyDescent="0.25"/>
    <row r="7405" ht="15" customHeight="1" x14ac:dyDescent="0.25"/>
    <row r="7418" ht="15" customHeight="1" x14ac:dyDescent="0.25"/>
    <row r="7419" ht="15" customHeight="1" x14ac:dyDescent="0.25"/>
    <row r="7420" ht="15" customHeight="1" x14ac:dyDescent="0.25"/>
    <row r="7421" ht="15" customHeight="1" x14ac:dyDescent="0.25"/>
    <row r="7422" ht="15" customHeight="1" x14ac:dyDescent="0.25"/>
    <row r="7423" ht="15" customHeight="1" x14ac:dyDescent="0.25"/>
    <row r="7424" ht="15" customHeight="1" x14ac:dyDescent="0.25"/>
    <row r="7425" ht="15" customHeight="1" x14ac:dyDescent="0.25"/>
    <row r="7426" ht="15" customHeight="1" x14ac:dyDescent="0.25"/>
    <row r="7427" ht="15" customHeight="1" x14ac:dyDescent="0.25"/>
    <row r="7428" ht="15" customHeight="1" x14ac:dyDescent="0.25"/>
    <row r="7429" ht="15" customHeight="1" x14ac:dyDescent="0.25"/>
    <row r="7430" ht="15" customHeight="1" x14ac:dyDescent="0.25"/>
    <row r="7431" ht="15" customHeight="1" x14ac:dyDescent="0.25"/>
    <row r="7432" ht="15" customHeight="1" x14ac:dyDescent="0.25"/>
    <row r="7433" ht="15" customHeight="1" x14ac:dyDescent="0.25"/>
    <row r="7434" ht="15" customHeight="1" x14ac:dyDescent="0.25"/>
    <row r="7435" ht="15" customHeight="1" x14ac:dyDescent="0.25"/>
    <row r="7436" ht="15" customHeight="1" x14ac:dyDescent="0.25"/>
    <row r="7437" ht="15" customHeight="1" x14ac:dyDescent="0.25"/>
    <row r="7438" ht="15" customHeight="1" x14ac:dyDescent="0.25"/>
    <row r="7439" ht="15" customHeight="1" x14ac:dyDescent="0.25"/>
    <row r="7440" ht="15" customHeight="1" x14ac:dyDescent="0.25"/>
    <row r="7441" ht="15" customHeight="1" x14ac:dyDescent="0.25"/>
    <row r="7442" ht="15" customHeight="1" x14ac:dyDescent="0.25"/>
    <row r="7443" ht="15" customHeight="1" x14ac:dyDescent="0.25"/>
    <row r="7444" ht="15" customHeight="1" x14ac:dyDescent="0.25"/>
    <row r="7445" ht="15" customHeight="1" x14ac:dyDescent="0.25"/>
    <row r="7446" ht="15" customHeight="1" x14ac:dyDescent="0.25"/>
    <row r="7448" ht="15" customHeight="1" x14ac:dyDescent="0.25"/>
    <row r="7449" ht="15" customHeight="1" x14ac:dyDescent="0.25"/>
    <row r="7450" ht="15" customHeight="1" x14ac:dyDescent="0.25"/>
    <row r="7451" ht="15" customHeight="1" x14ac:dyDescent="0.25"/>
    <row r="7452" ht="15" customHeight="1" x14ac:dyDescent="0.25"/>
    <row r="7453" ht="15" customHeight="1" x14ac:dyDescent="0.25"/>
    <row r="7454" ht="15" customHeight="1" x14ac:dyDescent="0.25"/>
    <row r="7455" ht="15" customHeight="1" x14ac:dyDescent="0.25"/>
    <row r="7456" ht="15" customHeight="1" x14ac:dyDescent="0.25"/>
    <row r="7457" ht="15" customHeight="1" x14ac:dyDescent="0.25"/>
    <row r="7458" ht="15" customHeight="1" x14ac:dyDescent="0.25"/>
    <row r="7459" ht="15" customHeight="1" x14ac:dyDescent="0.25"/>
    <row r="7460" ht="15" customHeight="1" x14ac:dyDescent="0.25"/>
    <row r="7461" ht="15" customHeight="1" x14ac:dyDescent="0.25"/>
    <row r="7462" ht="15" customHeight="1" x14ac:dyDescent="0.25"/>
    <row r="7463" ht="15" customHeight="1" x14ac:dyDescent="0.25"/>
    <row r="7464" ht="15" customHeight="1" x14ac:dyDescent="0.25"/>
    <row r="7465" ht="15" customHeight="1" x14ac:dyDescent="0.25"/>
    <row r="7466" ht="15" customHeight="1" x14ac:dyDescent="0.25"/>
    <row r="7467" ht="15" customHeight="1" x14ac:dyDescent="0.25"/>
    <row r="7468" ht="15" customHeight="1" x14ac:dyDescent="0.25"/>
    <row r="7469" ht="15" customHeight="1" x14ac:dyDescent="0.25"/>
    <row r="7470" ht="15" customHeight="1" x14ac:dyDescent="0.25"/>
    <row r="7471" ht="15" customHeight="1" x14ac:dyDescent="0.25"/>
    <row r="7472" ht="15" customHeight="1" x14ac:dyDescent="0.25"/>
    <row r="7473" ht="15" customHeight="1" x14ac:dyDescent="0.25"/>
    <row r="7474" ht="15" customHeight="1" x14ac:dyDescent="0.25"/>
    <row r="7475" ht="15" customHeight="1" x14ac:dyDescent="0.25"/>
    <row r="7476" ht="15" customHeight="1" x14ac:dyDescent="0.25"/>
    <row r="7478" ht="15" customHeight="1" x14ac:dyDescent="0.25"/>
    <row r="7479" ht="15" customHeight="1" x14ac:dyDescent="0.25"/>
    <row r="7480" ht="15" customHeight="1" x14ac:dyDescent="0.25"/>
    <row r="7481" ht="15" customHeight="1" x14ac:dyDescent="0.25"/>
    <row r="7482" ht="15" customHeight="1" x14ac:dyDescent="0.25"/>
    <row r="7483" ht="15" customHeight="1" x14ac:dyDescent="0.25"/>
    <row r="7484" ht="15" customHeight="1" x14ac:dyDescent="0.25"/>
    <row r="7485" ht="15" customHeight="1" x14ac:dyDescent="0.25"/>
    <row r="7486" ht="15" customHeight="1" x14ac:dyDescent="0.25"/>
    <row r="7487" ht="15" customHeight="1" x14ac:dyDescent="0.25"/>
    <row r="7488" ht="15" customHeight="1" x14ac:dyDescent="0.25"/>
    <row r="7489" ht="15" customHeight="1" x14ac:dyDescent="0.25"/>
    <row r="7490" ht="15" customHeight="1" x14ac:dyDescent="0.25"/>
    <row r="7491" ht="15" customHeight="1" x14ac:dyDescent="0.25"/>
    <row r="7492" ht="15" customHeight="1" x14ac:dyDescent="0.25"/>
    <row r="7493" ht="15" customHeight="1" x14ac:dyDescent="0.25"/>
    <row r="7494" ht="15" customHeight="1" x14ac:dyDescent="0.25"/>
    <row r="7495" ht="15" customHeight="1" x14ac:dyDescent="0.25"/>
    <row r="7496" ht="15" customHeight="1" x14ac:dyDescent="0.25"/>
    <row r="7497" ht="15" customHeight="1" x14ac:dyDescent="0.25"/>
    <row r="7498" ht="15" customHeight="1" x14ac:dyDescent="0.25"/>
    <row r="7499" ht="15" customHeight="1" x14ac:dyDescent="0.25"/>
    <row r="7500" ht="15" customHeight="1" x14ac:dyDescent="0.25"/>
    <row r="7501" ht="15" customHeight="1" x14ac:dyDescent="0.25"/>
    <row r="7502" ht="15" customHeight="1" x14ac:dyDescent="0.25"/>
    <row r="7503" ht="15" customHeight="1" x14ac:dyDescent="0.25"/>
    <row r="7504" ht="15" customHeight="1" x14ac:dyDescent="0.25"/>
    <row r="7505" ht="15" customHeight="1" x14ac:dyDescent="0.25"/>
    <row r="7506" ht="15" customHeight="1" x14ac:dyDescent="0.25"/>
    <row r="7507" ht="15" customHeight="1" x14ac:dyDescent="0.25"/>
    <row r="7508" ht="15" customHeight="1" x14ac:dyDescent="0.25"/>
    <row r="7510" ht="15" customHeight="1" x14ac:dyDescent="0.25"/>
    <row r="7511" ht="15" customHeight="1" x14ac:dyDescent="0.25"/>
    <row r="7512" ht="15" customHeight="1" x14ac:dyDescent="0.25"/>
    <row r="7513" ht="15" customHeight="1" x14ac:dyDescent="0.25"/>
    <row r="7514" ht="15" customHeight="1" x14ac:dyDescent="0.25"/>
    <row r="7515" ht="15" customHeight="1" x14ac:dyDescent="0.25"/>
    <row r="7516" ht="15" customHeight="1" x14ac:dyDescent="0.25"/>
    <row r="7517" ht="15" customHeight="1" x14ac:dyDescent="0.25"/>
    <row r="7518" ht="15" customHeight="1" x14ac:dyDescent="0.25"/>
    <row r="7519" ht="15" customHeight="1" x14ac:dyDescent="0.25"/>
    <row r="7520" ht="15" customHeight="1" x14ac:dyDescent="0.25"/>
    <row r="7521" ht="15" customHeight="1" x14ac:dyDescent="0.25"/>
    <row r="7522" ht="15" customHeight="1" x14ac:dyDescent="0.25"/>
    <row r="7523" ht="15" customHeight="1" x14ac:dyDescent="0.25"/>
    <row r="7524" ht="15" customHeight="1" x14ac:dyDescent="0.25"/>
    <row r="7525" ht="15" customHeight="1" x14ac:dyDescent="0.25"/>
    <row r="7526" ht="15" customHeight="1" x14ac:dyDescent="0.25"/>
    <row r="7527" ht="15" customHeight="1" x14ac:dyDescent="0.25"/>
    <row r="7528" ht="15" customHeight="1" x14ac:dyDescent="0.25"/>
    <row r="7529" ht="15" customHeight="1" x14ac:dyDescent="0.25"/>
    <row r="7530" ht="15" customHeight="1" x14ac:dyDescent="0.25"/>
    <row r="7531" ht="15" customHeight="1" x14ac:dyDescent="0.25"/>
    <row r="7532" ht="15" customHeight="1" x14ac:dyDescent="0.25"/>
    <row r="7533" ht="15" customHeight="1" x14ac:dyDescent="0.25"/>
    <row r="7534" ht="15" customHeight="1" x14ac:dyDescent="0.25"/>
    <row r="7535" ht="15" customHeight="1" x14ac:dyDescent="0.25"/>
    <row r="7536" ht="15" customHeight="1" x14ac:dyDescent="0.25"/>
    <row r="7537" ht="15" customHeight="1" x14ac:dyDescent="0.25"/>
    <row r="7538" ht="15" customHeight="1" x14ac:dyDescent="0.25"/>
    <row r="7539" ht="15" customHeight="1" x14ac:dyDescent="0.25"/>
    <row r="7541" ht="15" customHeight="1" x14ac:dyDescent="0.25"/>
    <row r="7542" ht="15" customHeight="1" x14ac:dyDescent="0.25"/>
    <row r="7543" ht="15" customHeight="1" x14ac:dyDescent="0.25"/>
    <row r="7544" ht="15" customHeight="1" x14ac:dyDescent="0.25"/>
    <row r="7545" ht="15" customHeight="1" x14ac:dyDescent="0.25"/>
    <row r="7546" ht="15" customHeight="1" x14ac:dyDescent="0.25"/>
    <row r="7547" ht="15" customHeight="1" x14ac:dyDescent="0.25"/>
    <row r="7548" ht="15" customHeight="1" x14ac:dyDescent="0.25"/>
    <row r="7549" ht="15" customHeight="1" x14ac:dyDescent="0.25"/>
    <row r="7550" ht="15" customHeight="1" x14ac:dyDescent="0.25"/>
    <row r="7551" ht="15" customHeight="1" x14ac:dyDescent="0.25"/>
    <row r="7552" ht="15" customHeight="1" x14ac:dyDescent="0.25"/>
    <row r="7553" ht="15" customHeight="1" x14ac:dyDescent="0.25"/>
    <row r="7554" ht="15" customHeight="1" x14ac:dyDescent="0.25"/>
    <row r="7555" ht="15" customHeight="1" x14ac:dyDescent="0.25"/>
    <row r="7556" ht="15" customHeight="1" x14ac:dyDescent="0.25"/>
    <row r="7557" ht="15" customHeight="1" x14ac:dyDescent="0.25"/>
    <row r="7558" ht="15" customHeight="1" x14ac:dyDescent="0.25"/>
    <row r="7559" ht="15" customHeight="1" x14ac:dyDescent="0.25"/>
    <row r="7560" ht="15" customHeight="1" x14ac:dyDescent="0.25"/>
    <row r="7561" ht="15" customHeight="1" x14ac:dyDescent="0.25"/>
    <row r="7562" ht="15" customHeight="1" x14ac:dyDescent="0.25"/>
    <row r="7563" ht="15" customHeight="1" x14ac:dyDescent="0.25"/>
    <row r="7564" ht="15" customHeight="1" x14ac:dyDescent="0.25"/>
    <row r="7565" ht="15" customHeight="1" x14ac:dyDescent="0.25"/>
    <row r="7566" ht="15" customHeight="1" x14ac:dyDescent="0.25"/>
    <row r="7567" ht="15" customHeight="1" x14ac:dyDescent="0.25"/>
    <row r="7568" ht="15" customHeight="1" x14ac:dyDescent="0.25"/>
    <row r="7569" ht="15" customHeight="1" x14ac:dyDescent="0.25"/>
    <row r="7570" ht="15" customHeight="1" x14ac:dyDescent="0.25"/>
    <row r="7571" ht="15" customHeight="1" x14ac:dyDescent="0.25"/>
    <row r="7572" ht="15" customHeight="1" x14ac:dyDescent="0.25"/>
    <row r="7573" ht="15" customHeight="1" x14ac:dyDescent="0.25"/>
    <row r="7574" ht="15" customHeight="1" x14ac:dyDescent="0.25"/>
    <row r="7575" ht="15" customHeight="1" x14ac:dyDescent="0.25"/>
    <row r="7576" ht="15" customHeight="1" x14ac:dyDescent="0.25"/>
    <row r="7577" ht="15" customHeight="1" x14ac:dyDescent="0.25"/>
    <row r="7578" ht="15" customHeight="1" x14ac:dyDescent="0.25"/>
    <row r="7579" ht="15" customHeight="1" x14ac:dyDescent="0.25"/>
    <row r="7580" ht="15" customHeight="1" x14ac:dyDescent="0.25"/>
    <row r="7581" ht="15" customHeight="1" x14ac:dyDescent="0.25"/>
    <row r="7582" ht="15" customHeight="1" x14ac:dyDescent="0.25"/>
    <row r="7583" ht="15" customHeight="1" x14ac:dyDescent="0.25"/>
    <row r="7584" ht="15" customHeight="1" x14ac:dyDescent="0.25"/>
    <row r="7585" ht="15" customHeight="1" x14ac:dyDescent="0.25"/>
    <row r="7586" ht="15" customHeight="1" x14ac:dyDescent="0.25"/>
    <row r="7587" ht="15" customHeight="1" x14ac:dyDescent="0.25"/>
    <row r="7588" ht="15" customHeight="1" x14ac:dyDescent="0.25"/>
    <row r="7589" ht="15" customHeight="1" x14ac:dyDescent="0.25"/>
    <row r="7590" ht="15" customHeight="1" x14ac:dyDescent="0.25"/>
    <row r="7591" ht="15" customHeight="1" x14ac:dyDescent="0.25"/>
    <row r="7592" ht="15" customHeight="1" x14ac:dyDescent="0.25"/>
    <row r="7594" ht="15" customHeight="1" x14ac:dyDescent="0.25"/>
    <row r="7595" ht="15" customHeight="1" x14ac:dyDescent="0.25"/>
    <row r="7596" ht="15" customHeight="1" x14ac:dyDescent="0.25"/>
    <row r="7597" ht="15" customHeight="1" x14ac:dyDescent="0.25"/>
    <row r="7598" ht="15" customHeight="1" x14ac:dyDescent="0.25"/>
    <row r="7599" ht="15" customHeight="1" x14ac:dyDescent="0.25"/>
    <row r="7600" ht="15" customHeight="1" x14ac:dyDescent="0.25"/>
    <row r="7601" ht="15" customHeight="1" x14ac:dyDescent="0.25"/>
    <row r="7602" ht="15" customHeight="1" x14ac:dyDescent="0.25"/>
    <row r="7603" ht="15" customHeight="1" x14ac:dyDescent="0.25"/>
    <row r="7604" ht="15" customHeight="1" x14ac:dyDescent="0.25"/>
    <row r="7605" ht="15" customHeight="1" x14ac:dyDescent="0.25"/>
    <row r="7606" ht="15" customHeight="1" x14ac:dyDescent="0.25"/>
    <row r="7607" ht="15" customHeight="1" x14ac:dyDescent="0.25"/>
    <row r="7608" ht="15" customHeight="1" x14ac:dyDescent="0.25"/>
    <row r="7609" ht="15" customHeight="1" x14ac:dyDescent="0.25"/>
    <row r="7610" ht="15" customHeight="1" x14ac:dyDescent="0.25"/>
    <row r="7611" ht="15" customHeight="1" x14ac:dyDescent="0.25"/>
    <row r="7612" ht="15" customHeight="1" x14ac:dyDescent="0.25"/>
    <row r="7613" ht="15" customHeight="1" x14ac:dyDescent="0.25"/>
    <row r="7614" ht="15" customHeight="1" x14ac:dyDescent="0.25"/>
    <row r="7615" ht="15" customHeight="1" x14ac:dyDescent="0.25"/>
    <row r="7616" ht="15" customHeight="1" x14ac:dyDescent="0.25"/>
    <row r="7617" ht="15" customHeight="1" x14ac:dyDescent="0.25"/>
    <row r="7618" ht="15" customHeight="1" x14ac:dyDescent="0.25"/>
    <row r="7619" ht="15" customHeight="1" x14ac:dyDescent="0.25"/>
    <row r="7620" ht="15" customHeight="1" x14ac:dyDescent="0.25"/>
    <row r="7621" ht="15" customHeight="1" x14ac:dyDescent="0.25"/>
    <row r="7622" ht="15" customHeight="1" x14ac:dyDescent="0.25"/>
    <row r="7624" ht="15" customHeight="1" x14ac:dyDescent="0.25"/>
    <row r="7625" ht="15" customHeight="1" x14ac:dyDescent="0.25"/>
    <row r="7626" ht="15" customHeight="1" x14ac:dyDescent="0.25"/>
    <row r="7627" ht="15" customHeight="1" x14ac:dyDescent="0.25"/>
    <row r="7628" ht="15" customHeight="1" x14ac:dyDescent="0.25"/>
    <row r="7629" ht="15" customHeight="1" x14ac:dyDescent="0.25"/>
    <row r="7630" ht="15" customHeight="1" x14ac:dyDescent="0.25"/>
    <row r="7631" ht="15" customHeight="1" x14ac:dyDescent="0.25"/>
    <row r="7632" ht="15" customHeight="1" x14ac:dyDescent="0.25"/>
    <row r="7633" ht="15" customHeight="1" x14ac:dyDescent="0.25"/>
    <row r="7634" ht="15" customHeight="1" x14ac:dyDescent="0.25"/>
    <row r="7635" ht="15" customHeight="1" x14ac:dyDescent="0.25"/>
    <row r="7636" ht="15" customHeight="1" x14ac:dyDescent="0.25"/>
    <row r="7637" ht="15" customHeight="1" x14ac:dyDescent="0.25"/>
    <row r="7638" ht="15" customHeight="1" x14ac:dyDescent="0.25"/>
    <row r="7639" ht="15" customHeight="1" x14ac:dyDescent="0.25"/>
    <row r="7640" ht="15" customHeight="1" x14ac:dyDescent="0.25"/>
    <row r="7641" ht="15" customHeight="1" x14ac:dyDescent="0.25"/>
    <row r="7642" ht="15" customHeight="1" x14ac:dyDescent="0.25"/>
    <row r="7643" ht="15" customHeight="1" x14ac:dyDescent="0.25"/>
    <row r="7644" ht="15" customHeight="1" x14ac:dyDescent="0.25"/>
    <row r="7645" ht="15" customHeight="1" x14ac:dyDescent="0.25"/>
    <row r="7646" ht="15" customHeight="1" x14ac:dyDescent="0.25"/>
    <row r="7647" ht="15" customHeight="1" x14ac:dyDescent="0.25"/>
    <row r="7648" ht="15" customHeight="1" x14ac:dyDescent="0.25"/>
    <row r="7649" ht="15" customHeight="1" x14ac:dyDescent="0.25"/>
    <row r="7650" ht="15" customHeight="1" x14ac:dyDescent="0.25"/>
    <row r="7651" ht="15" customHeight="1" x14ac:dyDescent="0.25"/>
    <row r="7652" ht="15" customHeight="1" x14ac:dyDescent="0.25"/>
    <row r="7654" ht="15" customHeight="1" x14ac:dyDescent="0.25"/>
    <row r="7655" ht="15" customHeight="1" x14ac:dyDescent="0.25"/>
    <row r="7656" ht="15" customHeight="1" x14ac:dyDescent="0.25"/>
    <row r="7657" ht="15" customHeight="1" x14ac:dyDescent="0.25"/>
    <row r="7658" ht="15" customHeight="1" x14ac:dyDescent="0.25"/>
    <row r="7659" ht="15" customHeight="1" x14ac:dyDescent="0.25"/>
    <row r="7660" ht="15" customHeight="1" x14ac:dyDescent="0.25"/>
    <row r="7661" ht="15" customHeight="1" x14ac:dyDescent="0.25"/>
    <row r="7662" ht="15" customHeight="1" x14ac:dyDescent="0.25"/>
    <row r="7663" ht="15" customHeight="1" x14ac:dyDescent="0.25"/>
    <row r="7664" ht="15" customHeight="1" x14ac:dyDescent="0.25"/>
    <row r="7665" ht="15" customHeight="1" x14ac:dyDescent="0.25"/>
    <row r="7666" ht="15" customHeight="1" x14ac:dyDescent="0.25"/>
    <row r="7667" ht="15" customHeight="1" x14ac:dyDescent="0.25"/>
    <row r="7668" ht="15" customHeight="1" x14ac:dyDescent="0.25"/>
    <row r="7669" ht="15" customHeight="1" x14ac:dyDescent="0.25"/>
    <row r="7670" ht="15" customHeight="1" x14ac:dyDescent="0.25"/>
    <row r="7671" ht="15" customHeight="1" x14ac:dyDescent="0.25"/>
    <row r="7672" ht="15" customHeight="1" x14ac:dyDescent="0.25"/>
    <row r="7673" ht="15" customHeight="1" x14ac:dyDescent="0.25"/>
    <row r="7674" ht="15" customHeight="1" x14ac:dyDescent="0.25"/>
    <row r="7675" ht="15" customHeight="1" x14ac:dyDescent="0.25"/>
    <row r="7676" ht="15" customHeight="1" x14ac:dyDescent="0.25"/>
    <row r="7677" ht="15" customHeight="1" x14ac:dyDescent="0.25"/>
    <row r="7678" ht="15" customHeight="1" x14ac:dyDescent="0.25"/>
    <row r="7679" ht="15" customHeight="1" x14ac:dyDescent="0.25"/>
    <row r="7680" ht="15" customHeight="1" x14ac:dyDescent="0.25"/>
    <row r="7681" ht="15" customHeight="1" x14ac:dyDescent="0.25"/>
    <row r="7682" ht="15" customHeight="1" x14ac:dyDescent="0.25"/>
    <row r="7684" ht="15" customHeight="1" x14ac:dyDescent="0.25"/>
    <row r="7696" ht="15" customHeight="1" x14ac:dyDescent="0.25"/>
    <row r="7697" ht="15" customHeight="1" x14ac:dyDescent="0.25"/>
    <row r="7698" ht="15" customHeight="1" x14ac:dyDescent="0.25"/>
    <row r="7699" ht="15" customHeight="1" x14ac:dyDescent="0.25"/>
    <row r="7700" ht="15" customHeight="1" x14ac:dyDescent="0.25"/>
    <row r="7701" ht="15" customHeight="1" x14ac:dyDescent="0.25"/>
    <row r="7702" ht="15" customHeight="1" x14ac:dyDescent="0.25"/>
    <row r="7703" ht="15" customHeight="1" x14ac:dyDescent="0.25"/>
    <row r="7704" ht="15" customHeight="1" x14ac:dyDescent="0.25"/>
    <row r="7705" ht="15" customHeight="1" x14ac:dyDescent="0.25"/>
    <row r="7706" ht="15" customHeight="1" x14ac:dyDescent="0.25"/>
    <row r="7707" ht="15" customHeight="1" x14ac:dyDescent="0.25"/>
    <row r="7708" ht="15" customHeight="1" x14ac:dyDescent="0.25"/>
    <row r="7709" ht="15" customHeight="1" x14ac:dyDescent="0.25"/>
    <row r="7710" ht="15" customHeight="1" x14ac:dyDescent="0.25"/>
    <row r="7711" ht="15" customHeight="1" x14ac:dyDescent="0.25"/>
    <row r="7712" ht="15" customHeight="1" x14ac:dyDescent="0.25"/>
    <row r="7724" ht="15" customHeight="1" x14ac:dyDescent="0.25"/>
    <row r="7725" ht="15" customHeight="1" x14ac:dyDescent="0.25"/>
    <row r="7726" ht="15" customHeight="1" x14ac:dyDescent="0.25"/>
    <row r="7727" ht="15" customHeight="1" x14ac:dyDescent="0.25"/>
    <row r="7728" ht="15" customHeight="1" x14ac:dyDescent="0.25"/>
    <row r="7729" ht="15" customHeight="1" x14ac:dyDescent="0.25"/>
    <row r="7730" ht="15" customHeight="1" x14ac:dyDescent="0.25"/>
    <row r="7731" ht="15" customHeight="1" x14ac:dyDescent="0.25"/>
    <row r="7732" ht="15" customHeight="1" x14ac:dyDescent="0.25"/>
    <row r="7733" ht="15" customHeight="1" x14ac:dyDescent="0.25"/>
    <row r="7734" ht="15" customHeight="1" x14ac:dyDescent="0.25"/>
    <row r="7735" ht="15" customHeight="1" x14ac:dyDescent="0.25"/>
    <row r="7736" ht="15" customHeight="1" x14ac:dyDescent="0.25"/>
    <row r="7737" ht="15" customHeight="1" x14ac:dyDescent="0.25"/>
    <row r="7738" ht="15" customHeight="1" x14ac:dyDescent="0.25"/>
    <row r="7739" ht="15" customHeight="1" x14ac:dyDescent="0.25"/>
    <row r="7740" ht="15" customHeight="1" x14ac:dyDescent="0.25"/>
    <row r="7741" ht="15" customHeight="1" x14ac:dyDescent="0.25"/>
    <row r="7742" ht="15" customHeight="1" x14ac:dyDescent="0.25"/>
    <row r="7743" ht="15" customHeight="1" x14ac:dyDescent="0.25"/>
    <row r="7744" ht="15" customHeight="1" x14ac:dyDescent="0.25"/>
    <row r="7745" ht="15" customHeight="1" x14ac:dyDescent="0.25"/>
    <row r="7746" ht="15" customHeight="1" x14ac:dyDescent="0.25"/>
    <row r="7747" ht="15" customHeight="1" x14ac:dyDescent="0.25"/>
    <row r="7748" ht="15" customHeight="1" x14ac:dyDescent="0.25"/>
    <row r="7749" ht="15" customHeight="1" x14ac:dyDescent="0.25"/>
    <row r="7750" ht="15" customHeight="1" x14ac:dyDescent="0.25"/>
    <row r="7751" ht="15" customHeight="1" x14ac:dyDescent="0.25"/>
    <row r="7752" ht="15" customHeight="1" x14ac:dyDescent="0.25"/>
    <row r="7753" ht="15" customHeight="1" x14ac:dyDescent="0.25"/>
    <row r="7754" ht="15" customHeight="1" x14ac:dyDescent="0.25"/>
    <row r="7755" ht="15" customHeight="1" x14ac:dyDescent="0.25"/>
    <row r="7756" ht="15" customHeight="1" x14ac:dyDescent="0.25"/>
    <row r="7757" ht="15" customHeight="1" x14ac:dyDescent="0.25"/>
    <row r="7758" ht="15" customHeight="1" x14ac:dyDescent="0.25"/>
    <row r="7759" ht="15" customHeight="1" x14ac:dyDescent="0.25"/>
    <row r="7760" ht="15" customHeight="1" x14ac:dyDescent="0.25"/>
    <row r="7761" ht="15" customHeight="1" x14ac:dyDescent="0.25"/>
    <row r="7762" ht="15" customHeight="1" x14ac:dyDescent="0.25"/>
    <row r="7763" ht="15" customHeight="1" x14ac:dyDescent="0.25"/>
    <row r="7764" ht="15" customHeight="1" x14ac:dyDescent="0.25"/>
    <row r="7765" ht="15" customHeight="1" x14ac:dyDescent="0.25"/>
    <row r="7766" ht="15" customHeight="1" x14ac:dyDescent="0.25"/>
    <row r="7767" ht="15" customHeight="1" x14ac:dyDescent="0.25"/>
    <row r="7768" ht="15" customHeight="1" x14ac:dyDescent="0.25"/>
    <row r="7769" ht="15" customHeight="1" x14ac:dyDescent="0.25"/>
    <row r="7770" ht="15" customHeight="1" x14ac:dyDescent="0.25"/>
    <row r="7771" ht="15" customHeight="1" x14ac:dyDescent="0.25"/>
    <row r="7772" ht="15" customHeight="1" x14ac:dyDescent="0.25"/>
    <row r="7773" ht="15" customHeight="1" x14ac:dyDescent="0.25"/>
    <row r="7774" ht="15" customHeight="1" x14ac:dyDescent="0.25"/>
    <row r="7775" ht="15" customHeight="1" x14ac:dyDescent="0.25"/>
    <row r="7776" ht="15" customHeight="1" x14ac:dyDescent="0.25"/>
    <row r="7777" ht="15" customHeight="1" x14ac:dyDescent="0.25"/>
    <row r="7778" ht="15" customHeight="1" x14ac:dyDescent="0.25"/>
    <row r="7779" ht="15" customHeight="1" x14ac:dyDescent="0.25"/>
    <row r="7780" ht="15" customHeight="1" x14ac:dyDescent="0.25"/>
    <row r="7781" ht="15" customHeight="1" x14ac:dyDescent="0.25"/>
    <row r="7782" ht="15" customHeight="1" x14ac:dyDescent="0.25"/>
    <row r="7783" ht="15" customHeight="1" x14ac:dyDescent="0.25"/>
    <row r="7784" ht="15" customHeight="1" x14ac:dyDescent="0.25"/>
    <row r="7785" ht="15" customHeight="1" x14ac:dyDescent="0.25"/>
    <row r="7786" ht="15" customHeight="1" x14ac:dyDescent="0.25"/>
    <row r="7787" ht="15" customHeight="1" x14ac:dyDescent="0.25"/>
    <row r="7788" ht="15" customHeight="1" x14ac:dyDescent="0.25"/>
    <row r="7789" ht="15" customHeight="1" x14ac:dyDescent="0.25"/>
    <row r="7801" ht="15" customHeight="1" x14ac:dyDescent="0.25"/>
    <row r="7802" ht="15" customHeight="1" x14ac:dyDescent="0.25"/>
    <row r="7803" ht="15" customHeight="1" x14ac:dyDescent="0.25"/>
    <row r="7815" ht="15" customHeight="1" x14ac:dyDescent="0.25"/>
    <row r="7816" ht="15" customHeight="1" x14ac:dyDescent="0.25"/>
    <row r="7817" ht="15" customHeight="1" x14ac:dyDescent="0.25"/>
    <row r="7818" ht="15" customHeight="1" x14ac:dyDescent="0.25"/>
    <row r="7819" ht="15" customHeight="1" x14ac:dyDescent="0.25"/>
    <row r="7820" ht="15" customHeight="1" x14ac:dyDescent="0.25"/>
    <row r="7821" ht="15" customHeight="1" x14ac:dyDescent="0.25"/>
    <row r="7822" ht="15" customHeight="1" x14ac:dyDescent="0.25"/>
    <row r="7823" ht="15" customHeight="1" x14ac:dyDescent="0.25"/>
    <row r="7824" ht="15" customHeight="1" x14ac:dyDescent="0.25"/>
    <row r="7836" ht="15" customHeight="1" x14ac:dyDescent="0.25"/>
    <row r="7837" ht="15" customHeight="1" x14ac:dyDescent="0.25"/>
    <row r="7838" ht="15" customHeight="1" x14ac:dyDescent="0.25"/>
    <row r="7839" ht="15" customHeight="1" x14ac:dyDescent="0.25"/>
    <row r="7840" ht="15" customHeight="1" x14ac:dyDescent="0.25"/>
    <row r="7853" ht="15" customHeight="1" x14ac:dyDescent="0.25"/>
    <row r="7854" ht="15" customHeight="1" x14ac:dyDescent="0.25"/>
    <row r="7855" ht="15" customHeight="1" x14ac:dyDescent="0.25"/>
    <row r="7856" ht="15" customHeight="1" x14ac:dyDescent="0.25"/>
    <row r="7857" ht="15" customHeight="1" x14ac:dyDescent="0.25"/>
    <row r="7869" ht="15" customHeight="1" x14ac:dyDescent="0.25"/>
    <row r="7870" ht="15" customHeight="1" x14ac:dyDescent="0.25"/>
    <row r="7871" ht="15" customHeight="1" x14ac:dyDescent="0.25"/>
    <row r="7872" ht="15" customHeight="1" x14ac:dyDescent="0.25"/>
    <row r="7873" ht="15" customHeight="1" x14ac:dyDescent="0.25"/>
    <row r="7885" ht="15" customHeight="1" x14ac:dyDescent="0.25"/>
    <row r="7886" ht="15" customHeight="1" x14ac:dyDescent="0.25"/>
    <row r="7887" ht="15" customHeight="1" x14ac:dyDescent="0.25"/>
    <row r="7888" ht="15" customHeight="1" x14ac:dyDescent="0.25"/>
    <row r="7889" ht="15" customHeight="1" x14ac:dyDescent="0.25"/>
    <row r="7890" ht="15" customHeight="1" x14ac:dyDescent="0.25"/>
    <row r="7891" ht="15" customHeight="1" x14ac:dyDescent="0.25"/>
    <row r="7892" ht="15" customHeight="1" x14ac:dyDescent="0.25"/>
    <row r="7893" ht="15" customHeight="1" x14ac:dyDescent="0.25"/>
    <row r="7894" ht="15" customHeight="1" x14ac:dyDescent="0.25"/>
    <row r="7895" ht="15" customHeight="1" x14ac:dyDescent="0.25"/>
    <row r="7896" ht="15" customHeight="1" x14ac:dyDescent="0.25"/>
    <row r="7897" ht="15" customHeight="1" x14ac:dyDescent="0.25"/>
    <row r="7898" ht="15" customHeight="1" x14ac:dyDescent="0.25"/>
    <row r="7899" ht="15" customHeight="1" x14ac:dyDescent="0.25"/>
    <row r="7911" ht="15" customHeight="1" x14ac:dyDescent="0.25"/>
    <row r="7912" ht="15" customHeight="1" x14ac:dyDescent="0.25"/>
    <row r="7913" ht="15" customHeight="1" x14ac:dyDescent="0.25"/>
    <row r="7914" ht="15" customHeight="1" x14ac:dyDescent="0.25"/>
    <row r="7915" ht="15" customHeight="1" x14ac:dyDescent="0.25"/>
    <row r="7916" ht="15" customHeight="1" x14ac:dyDescent="0.25"/>
    <row r="7917" ht="15" customHeight="1" x14ac:dyDescent="0.25"/>
    <row r="7918" ht="15" customHeight="1" x14ac:dyDescent="0.25"/>
    <row r="7919" ht="15" customHeight="1" x14ac:dyDescent="0.25"/>
    <row r="7931" ht="15" customHeight="1" x14ac:dyDescent="0.25"/>
    <row r="7932" ht="15" customHeight="1" x14ac:dyDescent="0.25"/>
    <row r="7933" ht="15" customHeight="1" x14ac:dyDescent="0.25"/>
    <row r="7934" ht="15" customHeight="1" x14ac:dyDescent="0.25"/>
    <row r="7935" ht="15" customHeight="1" x14ac:dyDescent="0.25"/>
    <row r="7936" ht="15" customHeight="1" x14ac:dyDescent="0.25"/>
    <row r="7937" ht="15" customHeight="1" x14ac:dyDescent="0.25"/>
    <row r="7938" ht="15" customHeight="1" x14ac:dyDescent="0.25"/>
    <row r="7939" ht="15" customHeight="1" x14ac:dyDescent="0.25"/>
    <row r="7951" ht="15" customHeight="1" x14ac:dyDescent="0.25"/>
    <row r="7952" ht="15" customHeight="1" x14ac:dyDescent="0.25"/>
    <row r="7953" ht="15" customHeight="1" x14ac:dyDescent="0.25"/>
    <row r="7954" ht="15" customHeight="1" x14ac:dyDescent="0.25"/>
    <row r="7955" ht="15" customHeight="1" x14ac:dyDescent="0.25"/>
    <row r="7967" ht="15" customHeight="1" x14ac:dyDescent="0.25"/>
    <row r="7968" ht="15" customHeight="1" x14ac:dyDescent="0.25"/>
    <row r="7969" ht="15" customHeight="1" x14ac:dyDescent="0.25"/>
    <row r="7970" ht="15" customHeight="1" x14ac:dyDescent="0.25"/>
    <row r="7971" ht="15" customHeight="1" x14ac:dyDescent="0.25"/>
    <row r="7983" ht="15" customHeight="1" x14ac:dyDescent="0.25"/>
    <row r="7984" ht="15" customHeight="1" x14ac:dyDescent="0.25"/>
    <row r="7985" ht="15" customHeight="1" x14ac:dyDescent="0.25"/>
    <row r="7986" ht="15" customHeight="1" x14ac:dyDescent="0.25"/>
    <row r="7987" ht="15" customHeight="1" x14ac:dyDescent="0.25"/>
    <row r="8000" ht="15" customHeight="1" x14ac:dyDescent="0.25"/>
    <row r="8001" ht="15" customHeight="1" x14ac:dyDescent="0.25"/>
    <row r="8002" ht="15" customHeight="1" x14ac:dyDescent="0.25"/>
    <row r="8003" ht="15" customHeight="1" x14ac:dyDescent="0.25"/>
    <row r="8004" ht="15" customHeight="1" x14ac:dyDescent="0.25"/>
    <row r="8017" ht="15" customHeight="1" x14ac:dyDescent="0.25"/>
    <row r="8018" ht="15" customHeight="1" x14ac:dyDescent="0.25"/>
    <row r="8019" ht="15" customHeight="1" x14ac:dyDescent="0.25"/>
    <row r="8020" ht="15" customHeight="1" x14ac:dyDescent="0.25"/>
    <row r="8021" ht="15" customHeight="1" x14ac:dyDescent="0.25"/>
    <row r="8022" ht="15" customHeight="1" x14ac:dyDescent="0.25"/>
    <row r="8023" ht="15" customHeight="1" x14ac:dyDescent="0.25"/>
    <row r="8024" ht="15" customHeight="1" x14ac:dyDescent="0.25"/>
    <row r="8025" ht="15" customHeight="1" x14ac:dyDescent="0.25"/>
    <row r="8026" ht="15" customHeight="1" x14ac:dyDescent="0.25"/>
    <row r="8027" ht="15" customHeight="1" x14ac:dyDescent="0.25"/>
    <row r="8041" ht="15" customHeight="1" x14ac:dyDescent="0.25"/>
    <row r="8042" ht="15" customHeight="1" x14ac:dyDescent="0.25"/>
    <row r="8043" ht="15" customHeight="1" x14ac:dyDescent="0.25"/>
    <row r="8044" ht="15" customHeight="1" x14ac:dyDescent="0.25"/>
    <row r="8045" ht="15" customHeight="1" x14ac:dyDescent="0.25"/>
    <row r="8046" ht="15" customHeight="1" x14ac:dyDescent="0.25"/>
    <row r="8047" ht="15" customHeight="1" x14ac:dyDescent="0.25"/>
    <row r="8048" ht="15" customHeight="1" x14ac:dyDescent="0.25"/>
    <row r="8049" ht="15" customHeight="1" x14ac:dyDescent="0.25"/>
    <row r="8050" ht="15" customHeight="1" x14ac:dyDescent="0.25"/>
    <row r="8051" ht="15" customHeight="1" x14ac:dyDescent="0.25"/>
    <row r="8065" ht="15" customHeight="1" x14ac:dyDescent="0.25"/>
    <row r="8066" ht="15" customHeight="1" x14ac:dyDescent="0.25"/>
    <row r="8067" ht="15" customHeight="1" x14ac:dyDescent="0.25"/>
    <row r="8068" ht="15" customHeight="1" x14ac:dyDescent="0.25"/>
    <row r="8069" ht="15" customHeight="1" x14ac:dyDescent="0.25"/>
    <row r="8081" ht="15" customHeight="1" x14ac:dyDescent="0.25"/>
    <row r="8082" ht="15" customHeight="1" x14ac:dyDescent="0.25"/>
    <row r="8083" ht="15" customHeight="1" x14ac:dyDescent="0.25"/>
    <row r="8084" ht="15" customHeight="1" x14ac:dyDescent="0.25"/>
    <row r="8085" ht="15" customHeight="1" x14ac:dyDescent="0.25"/>
    <row r="8086" ht="15" customHeight="1" x14ac:dyDescent="0.25"/>
    <row r="8087" ht="15" customHeight="1" x14ac:dyDescent="0.25"/>
    <row r="8088" ht="15" customHeight="1" x14ac:dyDescent="0.25"/>
    <row r="8100" ht="15" customHeight="1" x14ac:dyDescent="0.25"/>
    <row r="8101" ht="15" customHeight="1" x14ac:dyDescent="0.25"/>
    <row r="8102" ht="15" customHeight="1" x14ac:dyDescent="0.25"/>
    <row r="8103" ht="15" customHeight="1" x14ac:dyDescent="0.25"/>
    <row r="8104" ht="15" customHeight="1" x14ac:dyDescent="0.25"/>
    <row r="8105" ht="15" customHeight="1" x14ac:dyDescent="0.25"/>
    <row r="8106" ht="15" customHeight="1" x14ac:dyDescent="0.25"/>
    <row r="8107" ht="15" customHeight="1" x14ac:dyDescent="0.25"/>
    <row r="8108" ht="15" customHeight="1" x14ac:dyDescent="0.25"/>
    <row r="8109" ht="15" customHeight="1" x14ac:dyDescent="0.25"/>
    <row r="8110" ht="15" customHeight="1" x14ac:dyDescent="0.25"/>
    <row r="8111" ht="15" customHeight="1" x14ac:dyDescent="0.25"/>
    <row r="8112" ht="15" customHeight="1" x14ac:dyDescent="0.25"/>
    <row r="8113" ht="15" customHeight="1" x14ac:dyDescent="0.25"/>
    <row r="8114" ht="15" customHeight="1" x14ac:dyDescent="0.25"/>
    <row r="8115" ht="15" customHeight="1" x14ac:dyDescent="0.25"/>
    <row r="8116" ht="15" customHeight="1" x14ac:dyDescent="0.25"/>
    <row r="8129" ht="15" customHeight="1" x14ac:dyDescent="0.25"/>
    <row r="8130" ht="15" customHeight="1" x14ac:dyDescent="0.25"/>
    <row r="8131" ht="15" customHeight="1" x14ac:dyDescent="0.25"/>
    <row r="8132" ht="15" customHeight="1" x14ac:dyDescent="0.25"/>
    <row r="8133" ht="15" customHeight="1" x14ac:dyDescent="0.25"/>
    <row r="8134" ht="15" customHeight="1" x14ac:dyDescent="0.25"/>
    <row r="8135" ht="15" customHeight="1" x14ac:dyDescent="0.25"/>
    <row r="8136" ht="15" customHeight="1" x14ac:dyDescent="0.25"/>
    <row r="8137" ht="15" customHeight="1" x14ac:dyDescent="0.25"/>
    <row r="8138" ht="15" customHeight="1" x14ac:dyDescent="0.25"/>
    <row r="8139" ht="15" customHeight="1" x14ac:dyDescent="0.25"/>
    <row r="8140" ht="15" customHeight="1" x14ac:dyDescent="0.25"/>
    <row r="8141" ht="15" customHeight="1" x14ac:dyDescent="0.25"/>
    <row r="8142" ht="15" customHeight="1" x14ac:dyDescent="0.25"/>
    <row r="8143" ht="15" customHeight="1" x14ac:dyDescent="0.25"/>
    <row r="8144" ht="15" customHeight="1" x14ac:dyDescent="0.25"/>
    <row r="8145" ht="15" customHeight="1" x14ac:dyDescent="0.25"/>
    <row r="8158" ht="15" customHeight="1" x14ac:dyDescent="0.25"/>
    <row r="8159" ht="15" customHeight="1" x14ac:dyDescent="0.25"/>
    <row r="8160" ht="15" customHeight="1" x14ac:dyDescent="0.25"/>
    <row r="8161" ht="15" customHeight="1" x14ac:dyDescent="0.25"/>
    <row r="8162" ht="15" customHeight="1" x14ac:dyDescent="0.25"/>
    <row r="8163" ht="15" customHeight="1" x14ac:dyDescent="0.25"/>
    <row r="8164" ht="15" customHeight="1" x14ac:dyDescent="0.25"/>
    <row r="8165" ht="15" customHeight="1" x14ac:dyDescent="0.25"/>
    <row r="8166" ht="15" customHeight="1" x14ac:dyDescent="0.25"/>
    <row r="8178" ht="15" customHeight="1" x14ac:dyDescent="0.25"/>
    <row r="8179" ht="15" customHeight="1" x14ac:dyDescent="0.25"/>
    <row r="8180" ht="15" customHeight="1" x14ac:dyDescent="0.25"/>
    <row r="8181" ht="15" customHeight="1" x14ac:dyDescent="0.25"/>
    <row r="8182" ht="15" customHeight="1" x14ac:dyDescent="0.25"/>
    <row r="8183" ht="15" customHeight="1" x14ac:dyDescent="0.25"/>
    <row r="8184" ht="15" customHeight="1" x14ac:dyDescent="0.25"/>
    <row r="8185" ht="15" customHeight="1" x14ac:dyDescent="0.25"/>
    <row r="8186" ht="15" customHeight="1" x14ac:dyDescent="0.25"/>
    <row r="8198" ht="15" customHeight="1" x14ac:dyDescent="0.25"/>
    <row r="8199" ht="15" customHeight="1" x14ac:dyDescent="0.25"/>
    <row r="8200" ht="15" customHeight="1" x14ac:dyDescent="0.25"/>
    <row r="8201" ht="15" customHeight="1" x14ac:dyDescent="0.25"/>
    <row r="8202" ht="15" customHeight="1" x14ac:dyDescent="0.25"/>
    <row r="8203" ht="15" customHeight="1" x14ac:dyDescent="0.25"/>
    <row r="8204" ht="15" customHeight="1" x14ac:dyDescent="0.25"/>
    <row r="8205" ht="15" customHeight="1" x14ac:dyDescent="0.25"/>
    <row r="8206" ht="15" customHeight="1" x14ac:dyDescent="0.25"/>
    <row r="8218" ht="15" customHeight="1" x14ac:dyDescent="0.25"/>
    <row r="8219" ht="15" customHeight="1" x14ac:dyDescent="0.25"/>
    <row r="8220" ht="15" customHeight="1" x14ac:dyDescent="0.25"/>
    <row r="8221" ht="15" customHeight="1" x14ac:dyDescent="0.25"/>
    <row r="8222" ht="15" customHeight="1" x14ac:dyDescent="0.25"/>
    <row r="8223" ht="15" customHeight="1" x14ac:dyDescent="0.25"/>
    <row r="8224" ht="15" customHeight="1" x14ac:dyDescent="0.25"/>
    <row r="8225" ht="15" customHeight="1" x14ac:dyDescent="0.25"/>
    <row r="8226" ht="15" customHeight="1" x14ac:dyDescent="0.25"/>
    <row r="8238" ht="15" customHeight="1" x14ac:dyDescent="0.25"/>
    <row r="8239" ht="15" customHeight="1" x14ac:dyDescent="0.25"/>
    <row r="8240" ht="15" customHeight="1" x14ac:dyDescent="0.25"/>
    <row r="8241" ht="15" customHeight="1" x14ac:dyDescent="0.25"/>
    <row r="8242" ht="15" customHeight="1" x14ac:dyDescent="0.25"/>
    <row r="8243" ht="15" customHeight="1" x14ac:dyDescent="0.25"/>
    <row r="8244" ht="15" customHeight="1" x14ac:dyDescent="0.25"/>
    <row r="8245" ht="15" customHeight="1" x14ac:dyDescent="0.25"/>
    <row r="8246" ht="15" customHeight="1" x14ac:dyDescent="0.25"/>
    <row r="8258" ht="15" customHeight="1" x14ac:dyDescent="0.25"/>
    <row r="8259" ht="15" customHeight="1" x14ac:dyDescent="0.25"/>
    <row r="8260" ht="15" customHeight="1" x14ac:dyDescent="0.25"/>
    <row r="8261" ht="15" customHeight="1" x14ac:dyDescent="0.25"/>
    <row r="8262" ht="15" customHeight="1" x14ac:dyDescent="0.25"/>
    <row r="8263" ht="15" customHeight="1" x14ac:dyDescent="0.25"/>
    <row r="8264" ht="15" customHeight="1" x14ac:dyDescent="0.25"/>
    <row r="8265" ht="15" customHeight="1" x14ac:dyDescent="0.25"/>
    <row r="8266" ht="15" customHeight="1" x14ac:dyDescent="0.25"/>
    <row r="8267" ht="15" customHeight="1" x14ac:dyDescent="0.25"/>
    <row r="8268" ht="15" customHeight="1" x14ac:dyDescent="0.25"/>
    <row r="8269" ht="15" customHeight="1" x14ac:dyDescent="0.25"/>
    <row r="8270" ht="15" customHeight="1" x14ac:dyDescent="0.25"/>
    <row r="8271" ht="15" customHeight="1" x14ac:dyDescent="0.25"/>
    <row r="8272" ht="15" customHeight="1" x14ac:dyDescent="0.25"/>
    <row r="8273" ht="15" customHeight="1" x14ac:dyDescent="0.25"/>
    <row r="8274" ht="15" customHeight="1" x14ac:dyDescent="0.25"/>
    <row r="8275" ht="15" customHeight="1" x14ac:dyDescent="0.25"/>
    <row r="8276" ht="15" customHeight="1" x14ac:dyDescent="0.25"/>
    <row r="8277" ht="15" customHeight="1" x14ac:dyDescent="0.25"/>
    <row r="8278" ht="15" customHeight="1" x14ac:dyDescent="0.25"/>
    <row r="8279" ht="15" customHeight="1" x14ac:dyDescent="0.25"/>
    <row r="8280" ht="15" customHeight="1" x14ac:dyDescent="0.25"/>
    <row r="8292" ht="15" customHeight="1" x14ac:dyDescent="0.25"/>
    <row r="8293" ht="15" customHeight="1" x14ac:dyDescent="0.25"/>
    <row r="8294" ht="15" customHeight="1" x14ac:dyDescent="0.25"/>
    <row r="8295" ht="15" customHeight="1" x14ac:dyDescent="0.25"/>
    <row r="8296" ht="15" customHeight="1" x14ac:dyDescent="0.25"/>
    <row r="8297" ht="15" customHeight="1" x14ac:dyDescent="0.25"/>
    <row r="8298" ht="15" customHeight="1" x14ac:dyDescent="0.25"/>
    <row r="8310" ht="15" customHeight="1" x14ac:dyDescent="0.25"/>
    <row r="8311" ht="15" customHeight="1" x14ac:dyDescent="0.25"/>
    <row r="8312" ht="15" customHeight="1" x14ac:dyDescent="0.25"/>
    <row r="8313" ht="15" customHeight="1" x14ac:dyDescent="0.25"/>
    <row r="8314" ht="15" customHeight="1" x14ac:dyDescent="0.25"/>
    <row r="8315" ht="15" customHeight="1" x14ac:dyDescent="0.25"/>
    <row r="8316" ht="15" customHeight="1" x14ac:dyDescent="0.25"/>
    <row r="8317" ht="15" customHeight="1" x14ac:dyDescent="0.25"/>
    <row r="8318" ht="15" customHeight="1" x14ac:dyDescent="0.25"/>
    <row r="8319" ht="15" customHeight="1" x14ac:dyDescent="0.25"/>
    <row r="8320" ht="15" customHeight="1" x14ac:dyDescent="0.25"/>
    <row r="8321" ht="15" customHeight="1" x14ac:dyDescent="0.25"/>
    <row r="8322" ht="15" customHeight="1" x14ac:dyDescent="0.25"/>
    <row r="8323" ht="15" customHeight="1" x14ac:dyDescent="0.25"/>
    <row r="8335" ht="15" customHeight="1" x14ac:dyDescent="0.25"/>
    <row r="8336" ht="15" customHeight="1" x14ac:dyDescent="0.25"/>
    <row r="8337" ht="15" customHeight="1" x14ac:dyDescent="0.25"/>
    <row r="8338" ht="15" customHeight="1" x14ac:dyDescent="0.25"/>
    <row r="8339" ht="15" customHeight="1" x14ac:dyDescent="0.25"/>
    <row r="8340" ht="15" customHeight="1" x14ac:dyDescent="0.25"/>
    <row r="8352" ht="15" customHeight="1" x14ac:dyDescent="0.25"/>
    <row r="8353" ht="15" customHeight="1" x14ac:dyDescent="0.25"/>
    <row r="8354" ht="15" customHeight="1" x14ac:dyDescent="0.25"/>
    <row r="8355" ht="15" customHeight="1" x14ac:dyDescent="0.25"/>
    <row r="8356" ht="15" customHeight="1" x14ac:dyDescent="0.25"/>
    <row r="8357" ht="15" customHeight="1" x14ac:dyDescent="0.25"/>
    <row r="8358" ht="15" customHeight="1" x14ac:dyDescent="0.25"/>
    <row r="8359" ht="15" customHeight="1" x14ac:dyDescent="0.25"/>
    <row r="8360" ht="15" customHeight="1" x14ac:dyDescent="0.25"/>
    <row r="8361" ht="15" customHeight="1" x14ac:dyDescent="0.25"/>
    <row r="8362" ht="15" customHeight="1" x14ac:dyDescent="0.25"/>
    <row r="8363" ht="15" customHeight="1" x14ac:dyDescent="0.25"/>
    <row r="8364" ht="15" customHeight="1" x14ac:dyDescent="0.25"/>
    <row r="8365" ht="15" customHeight="1" x14ac:dyDescent="0.25"/>
    <row r="8377" ht="15" customHeight="1" x14ac:dyDescent="0.25"/>
    <row r="8378" ht="15" customHeight="1" x14ac:dyDescent="0.25"/>
    <row r="8379" ht="15" customHeight="1" x14ac:dyDescent="0.25"/>
    <row r="8380" ht="15" customHeight="1" x14ac:dyDescent="0.25"/>
    <row r="8381" ht="15" customHeight="1" x14ac:dyDescent="0.25"/>
    <row r="8382" ht="15" customHeight="1" x14ac:dyDescent="0.25"/>
    <row r="8383" ht="15" customHeight="1" x14ac:dyDescent="0.25"/>
    <row r="8384" ht="15" customHeight="1" x14ac:dyDescent="0.25"/>
    <row r="8385" ht="15" customHeight="1" x14ac:dyDescent="0.25"/>
    <row r="8386" ht="15" customHeight="1" x14ac:dyDescent="0.25"/>
    <row r="8387" ht="15" customHeight="1" x14ac:dyDescent="0.25"/>
    <row r="8388" ht="15" customHeight="1" x14ac:dyDescent="0.25"/>
    <row r="8389" ht="15" customHeight="1" x14ac:dyDescent="0.25"/>
    <row r="8390" ht="15" customHeight="1" x14ac:dyDescent="0.25"/>
    <row r="8391" ht="15" customHeight="1" x14ac:dyDescent="0.25"/>
    <row r="8392" ht="15" customHeight="1" x14ac:dyDescent="0.25"/>
    <row r="8393" ht="15" customHeight="1" x14ac:dyDescent="0.25"/>
    <row r="8394" ht="15" customHeight="1" x14ac:dyDescent="0.25"/>
    <row r="8395" ht="15" customHeight="1" x14ac:dyDescent="0.25"/>
    <row r="8396" ht="15" customHeight="1" x14ac:dyDescent="0.25"/>
    <row r="8397" ht="15" customHeight="1" x14ac:dyDescent="0.25"/>
    <row r="8398" ht="15" customHeight="1" x14ac:dyDescent="0.25"/>
    <row r="8399" ht="15" customHeight="1" x14ac:dyDescent="0.25"/>
    <row r="8400" ht="15" customHeight="1" x14ac:dyDescent="0.25"/>
    <row r="8401" ht="15" customHeight="1" x14ac:dyDescent="0.25"/>
    <row r="8402" ht="15" customHeight="1" x14ac:dyDescent="0.25"/>
    <row r="8407" ht="15" customHeight="1" x14ac:dyDescent="0.25"/>
    <row r="8414" ht="15" customHeight="1" x14ac:dyDescent="0.25"/>
    <row r="8415" ht="15" customHeight="1" x14ac:dyDescent="0.25"/>
    <row r="8416" ht="15" customHeight="1" x14ac:dyDescent="0.25"/>
    <row r="8417" ht="15" customHeight="1" x14ac:dyDescent="0.25"/>
    <row r="8418" ht="15" customHeight="1" x14ac:dyDescent="0.25"/>
    <row r="8419" ht="15" customHeight="1" x14ac:dyDescent="0.25"/>
    <row r="8420" ht="15" customHeight="1" x14ac:dyDescent="0.25"/>
    <row r="8421" ht="15" customHeight="1" x14ac:dyDescent="0.25"/>
    <row r="8422" ht="15" customHeight="1" x14ac:dyDescent="0.25"/>
    <row r="8423" ht="15" customHeight="1" x14ac:dyDescent="0.25"/>
    <row r="8424" ht="15" customHeight="1" x14ac:dyDescent="0.25"/>
    <row r="8425" ht="15" customHeight="1" x14ac:dyDescent="0.25"/>
    <row r="8426" ht="15" customHeight="1" x14ac:dyDescent="0.25"/>
    <row r="8427" ht="15" customHeight="1" x14ac:dyDescent="0.25"/>
    <row r="8428" ht="15" customHeight="1" x14ac:dyDescent="0.25"/>
    <row r="8429" ht="15" customHeight="1" x14ac:dyDescent="0.25"/>
    <row r="8430" ht="15" customHeight="1" x14ac:dyDescent="0.25"/>
    <row r="8431" ht="15" customHeight="1" x14ac:dyDescent="0.25"/>
    <row r="8432" ht="15" customHeight="1" x14ac:dyDescent="0.25"/>
    <row r="8433" ht="15" customHeight="1" x14ac:dyDescent="0.25"/>
    <row r="8434" ht="15" customHeight="1" x14ac:dyDescent="0.25"/>
    <row r="8435" ht="15" customHeight="1" x14ac:dyDescent="0.25"/>
    <row r="8436" ht="15" customHeight="1" x14ac:dyDescent="0.25"/>
    <row r="8437" ht="15" customHeight="1" x14ac:dyDescent="0.25"/>
    <row r="8438" ht="15" customHeight="1" x14ac:dyDescent="0.25"/>
    <row r="8439" ht="15" customHeight="1" x14ac:dyDescent="0.25"/>
    <row r="8444" ht="15" customHeight="1" x14ac:dyDescent="0.25"/>
    <row r="8451" ht="15" customHeight="1" x14ac:dyDescent="0.25"/>
    <row r="8452" ht="15" customHeight="1" x14ac:dyDescent="0.25"/>
    <row r="8453" ht="15" customHeight="1" x14ac:dyDescent="0.25"/>
    <row r="8454" ht="15" customHeight="1" x14ac:dyDescent="0.25"/>
    <row r="8455" ht="15" customHeight="1" x14ac:dyDescent="0.25"/>
    <row r="8456" ht="15" customHeight="1" x14ac:dyDescent="0.25"/>
    <row r="8457" ht="15" customHeight="1" x14ac:dyDescent="0.25"/>
    <row r="8458" ht="15" customHeight="1" x14ac:dyDescent="0.25"/>
    <row r="8459" ht="15" customHeight="1" x14ac:dyDescent="0.25"/>
    <row r="8460" ht="15" customHeight="1" x14ac:dyDescent="0.25"/>
    <row r="8461" ht="15" customHeight="1" x14ac:dyDescent="0.25"/>
    <row r="8462" ht="15" customHeight="1" x14ac:dyDescent="0.25"/>
    <row r="8463" ht="15" customHeight="1" x14ac:dyDescent="0.25"/>
    <row r="8464" ht="15" customHeight="1" x14ac:dyDescent="0.25"/>
    <row r="8465" ht="15" customHeight="1" x14ac:dyDescent="0.25"/>
    <row r="8466" ht="15" customHeight="1" x14ac:dyDescent="0.25"/>
    <row r="8467" ht="15" customHeight="1" x14ac:dyDescent="0.25"/>
    <row r="8468" ht="15" customHeight="1" x14ac:dyDescent="0.25"/>
    <row r="8469" ht="15" customHeight="1" x14ac:dyDescent="0.25"/>
    <row r="8470" ht="15" customHeight="1" x14ac:dyDescent="0.25"/>
    <row r="8471" ht="15" customHeight="1" x14ac:dyDescent="0.25"/>
    <row r="8472" ht="15" customHeight="1" x14ac:dyDescent="0.25"/>
    <row r="8473" ht="15" customHeight="1" x14ac:dyDescent="0.25"/>
    <row r="8474" ht="15" customHeight="1" x14ac:dyDescent="0.25"/>
    <row r="8479" ht="15" customHeight="1" x14ac:dyDescent="0.25"/>
    <row r="8491" ht="15" customHeight="1" x14ac:dyDescent="0.25"/>
    <row r="8492" ht="15" customHeight="1" x14ac:dyDescent="0.25"/>
    <row r="8493" ht="15" customHeight="1" x14ac:dyDescent="0.25"/>
    <row r="8494" ht="15" customHeight="1" x14ac:dyDescent="0.25"/>
    <row r="8495" ht="15" customHeight="1" x14ac:dyDescent="0.25"/>
    <row r="8496" ht="15" customHeight="1" x14ac:dyDescent="0.25"/>
    <row r="8497" ht="15" customHeight="1" x14ac:dyDescent="0.25"/>
    <row r="8498" ht="15" customHeight="1" x14ac:dyDescent="0.25"/>
    <row r="8499" ht="15" customHeight="1" x14ac:dyDescent="0.25"/>
    <row r="8500" ht="15" customHeight="1" x14ac:dyDescent="0.25"/>
    <row r="8501" ht="15" customHeight="1" x14ac:dyDescent="0.25"/>
    <row r="8502" ht="15" customHeight="1" x14ac:dyDescent="0.25"/>
    <row r="8503" ht="15" customHeight="1" x14ac:dyDescent="0.25"/>
    <row r="8504" ht="15" customHeight="1" x14ac:dyDescent="0.25"/>
    <row r="8505" ht="15" customHeight="1" x14ac:dyDescent="0.25"/>
    <row r="8506" ht="15" customHeight="1" x14ac:dyDescent="0.25"/>
    <row r="8507" ht="15" customHeight="1" x14ac:dyDescent="0.25"/>
    <row r="8508" ht="15" customHeight="1" x14ac:dyDescent="0.25"/>
    <row r="8509" ht="15" customHeight="1" x14ac:dyDescent="0.25"/>
    <row r="8510" ht="15" customHeight="1" x14ac:dyDescent="0.25"/>
    <row r="8511" ht="15" customHeight="1" x14ac:dyDescent="0.25"/>
    <row r="8512" ht="15" customHeight="1" x14ac:dyDescent="0.25"/>
    <row r="8513" ht="15" customHeight="1" x14ac:dyDescent="0.25"/>
    <row r="8514" ht="15" customHeight="1" x14ac:dyDescent="0.25"/>
    <row r="8515" ht="15" customHeight="1" x14ac:dyDescent="0.25"/>
    <row r="8516" ht="15" customHeight="1" x14ac:dyDescent="0.25"/>
    <row r="8517" ht="15" customHeight="1" x14ac:dyDescent="0.25"/>
    <row r="8518" ht="15" customHeight="1" x14ac:dyDescent="0.25"/>
    <row r="8519" ht="15" customHeight="1" x14ac:dyDescent="0.25"/>
    <row r="8520" ht="15" customHeight="1" x14ac:dyDescent="0.25"/>
    <row r="8531" ht="15" customHeight="1" x14ac:dyDescent="0.25"/>
    <row r="8532" ht="15" customHeight="1" x14ac:dyDescent="0.25"/>
    <row r="8533" ht="15" customHeight="1" x14ac:dyDescent="0.25"/>
    <row r="8534" ht="15" customHeight="1" x14ac:dyDescent="0.25"/>
    <row r="8535" ht="15" customHeight="1" x14ac:dyDescent="0.25"/>
    <row r="8536" ht="15" customHeight="1" x14ac:dyDescent="0.25"/>
    <row r="8537" ht="15" customHeight="1" x14ac:dyDescent="0.25"/>
    <row r="8538" ht="15" customHeight="1" x14ac:dyDescent="0.25"/>
    <row r="8539" ht="15" customHeight="1" x14ac:dyDescent="0.25"/>
    <row r="8540" ht="15" customHeight="1" x14ac:dyDescent="0.25"/>
    <row r="8541" ht="15" customHeight="1" x14ac:dyDescent="0.25"/>
    <row r="8542" ht="15" customHeight="1" x14ac:dyDescent="0.25"/>
    <row r="8543" ht="15" customHeight="1" x14ac:dyDescent="0.25"/>
    <row r="8544" ht="15" customHeight="1" x14ac:dyDescent="0.25"/>
    <row r="8545" ht="15" customHeight="1" x14ac:dyDescent="0.25"/>
    <row r="8546" ht="15" customHeight="1" x14ac:dyDescent="0.25"/>
    <row r="8547" ht="15" customHeight="1" x14ac:dyDescent="0.25"/>
    <row r="8548" ht="15" customHeight="1" x14ac:dyDescent="0.25"/>
    <row r="8549" ht="15" customHeight="1" x14ac:dyDescent="0.25"/>
    <row r="8550" ht="15" customHeight="1" x14ac:dyDescent="0.25"/>
    <row r="8551" ht="15" customHeight="1" x14ac:dyDescent="0.25"/>
    <row r="8552" ht="15" customHeight="1" x14ac:dyDescent="0.25"/>
    <row r="8553" ht="15" customHeight="1" x14ac:dyDescent="0.25"/>
    <row r="8554" ht="15" customHeight="1" x14ac:dyDescent="0.25"/>
    <row r="8555" ht="15" customHeight="1" x14ac:dyDescent="0.25"/>
    <row r="8556" ht="15" customHeight="1" x14ac:dyDescent="0.25"/>
    <row r="8557" ht="15" customHeight="1" x14ac:dyDescent="0.25"/>
    <row r="8558" ht="15" customHeight="1" x14ac:dyDescent="0.25"/>
    <row r="8559" ht="15" customHeight="1" x14ac:dyDescent="0.25"/>
    <row r="8560" ht="15" customHeight="1" x14ac:dyDescent="0.25"/>
    <row r="8571" ht="15" customHeight="1" x14ac:dyDescent="0.25"/>
    <row r="8572" ht="15" customHeight="1" x14ac:dyDescent="0.25"/>
    <row r="8573" ht="15" customHeight="1" x14ac:dyDescent="0.25"/>
    <row r="8574" ht="15" customHeight="1" x14ac:dyDescent="0.25"/>
    <row r="8575" ht="15" customHeight="1" x14ac:dyDescent="0.25"/>
    <row r="8576" ht="15" customHeight="1" x14ac:dyDescent="0.25"/>
    <row r="8577" ht="15" customHeight="1" x14ac:dyDescent="0.25"/>
    <row r="8578" ht="15" customHeight="1" x14ac:dyDescent="0.25"/>
    <row r="8579" ht="15" customHeight="1" x14ac:dyDescent="0.25"/>
    <row r="8580" ht="15" customHeight="1" x14ac:dyDescent="0.25"/>
    <row r="8581" ht="15" customHeight="1" x14ac:dyDescent="0.25"/>
    <row r="8582" ht="15" customHeight="1" x14ac:dyDescent="0.25"/>
    <row r="8583" ht="15" customHeight="1" x14ac:dyDescent="0.25"/>
    <row r="8584" ht="15" customHeight="1" x14ac:dyDescent="0.25"/>
    <row r="8585" ht="15" customHeight="1" x14ac:dyDescent="0.25"/>
    <row r="8586" ht="15" customHeight="1" x14ac:dyDescent="0.25"/>
    <row r="8587" ht="15" customHeight="1" x14ac:dyDescent="0.25"/>
    <row r="8588" ht="15" customHeight="1" x14ac:dyDescent="0.25"/>
    <row r="8589" ht="15" customHeight="1" x14ac:dyDescent="0.25"/>
    <row r="8590" ht="15" customHeight="1" x14ac:dyDescent="0.25"/>
    <row r="8591" ht="15" customHeight="1" x14ac:dyDescent="0.25"/>
    <row r="8592" ht="15" customHeight="1" x14ac:dyDescent="0.25"/>
    <row r="8593" ht="15" customHeight="1" x14ac:dyDescent="0.25"/>
    <row r="8594" ht="15" customHeight="1" x14ac:dyDescent="0.25"/>
    <row r="8595" ht="15" customHeight="1" x14ac:dyDescent="0.25"/>
    <row r="8596" ht="15" customHeight="1" x14ac:dyDescent="0.25"/>
    <row r="8597" ht="15" customHeight="1" x14ac:dyDescent="0.25"/>
    <row r="8598" ht="15" customHeight="1" x14ac:dyDescent="0.25"/>
    <row r="8599" ht="15" customHeight="1" x14ac:dyDescent="0.25"/>
    <row r="8600" ht="15" customHeight="1" x14ac:dyDescent="0.25"/>
    <row r="8601" ht="15" customHeight="1" x14ac:dyDescent="0.25"/>
    <row r="8612" ht="15" customHeight="1" x14ac:dyDescent="0.25"/>
    <row r="8613" ht="15" customHeight="1" x14ac:dyDescent="0.25"/>
    <row r="8614" ht="15" customHeight="1" x14ac:dyDescent="0.25"/>
    <row r="8615" ht="15" customHeight="1" x14ac:dyDescent="0.25"/>
    <row r="8616" ht="15" customHeight="1" x14ac:dyDescent="0.25"/>
    <row r="8617" ht="15" customHeight="1" x14ac:dyDescent="0.25"/>
    <row r="8618" ht="15" customHeight="1" x14ac:dyDescent="0.25"/>
    <row r="8619" ht="15" customHeight="1" x14ac:dyDescent="0.25"/>
    <row r="8620" ht="15" customHeight="1" x14ac:dyDescent="0.25"/>
    <row r="8621" ht="15" customHeight="1" x14ac:dyDescent="0.25"/>
    <row r="8622" ht="15" customHeight="1" x14ac:dyDescent="0.25"/>
    <row r="8623" ht="15" customHeight="1" x14ac:dyDescent="0.25"/>
    <row r="8624" ht="15" customHeight="1" x14ac:dyDescent="0.25"/>
    <row r="8625" ht="15" customHeight="1" x14ac:dyDescent="0.25"/>
    <row r="8626" ht="15" customHeight="1" x14ac:dyDescent="0.25"/>
    <row r="8627" ht="15" customHeight="1" x14ac:dyDescent="0.25"/>
    <row r="8628" ht="15" customHeight="1" x14ac:dyDescent="0.25"/>
    <row r="8629" ht="15" customHeight="1" x14ac:dyDescent="0.25"/>
    <row r="8630" ht="15" customHeight="1" x14ac:dyDescent="0.25"/>
    <row r="8631" ht="15" customHeight="1" x14ac:dyDescent="0.25"/>
    <row r="8632" ht="15" customHeight="1" x14ac:dyDescent="0.25"/>
    <row r="8633" ht="15" customHeight="1" x14ac:dyDescent="0.25"/>
    <row r="8634" ht="15" customHeight="1" x14ac:dyDescent="0.25"/>
    <row r="8635" ht="15" customHeight="1" x14ac:dyDescent="0.25"/>
    <row r="8636" ht="15" customHeight="1" x14ac:dyDescent="0.25"/>
    <row r="8637" ht="15" customHeight="1" x14ac:dyDescent="0.25"/>
    <row r="8638" ht="15" customHeight="1" x14ac:dyDescent="0.25"/>
    <row r="8639" ht="15" customHeight="1" x14ac:dyDescent="0.25"/>
    <row r="8640" ht="15" customHeight="1" x14ac:dyDescent="0.25"/>
    <row r="8641" ht="15" customHeight="1" x14ac:dyDescent="0.25"/>
    <row r="8642" ht="15" customHeight="1" x14ac:dyDescent="0.25"/>
    <row r="8653" ht="15" customHeight="1" x14ac:dyDescent="0.25"/>
    <row r="8654" ht="15" customHeight="1" x14ac:dyDescent="0.25"/>
    <row r="8655" ht="15" customHeight="1" x14ac:dyDescent="0.25"/>
    <row r="8656" ht="15" customHeight="1" x14ac:dyDescent="0.25"/>
    <row r="8657" ht="15" customHeight="1" x14ac:dyDescent="0.25"/>
    <row r="8658" ht="15" customHeight="1" x14ac:dyDescent="0.25"/>
    <row r="8659" ht="15" customHeight="1" x14ac:dyDescent="0.25"/>
    <row r="8660" ht="15" customHeight="1" x14ac:dyDescent="0.25"/>
    <row r="8661" ht="15" customHeight="1" x14ac:dyDescent="0.25"/>
    <row r="8662" ht="15" customHeight="1" x14ac:dyDescent="0.25"/>
    <row r="8663" ht="15" customHeight="1" x14ac:dyDescent="0.25"/>
    <row r="8664" ht="15" customHeight="1" x14ac:dyDescent="0.25"/>
    <row r="8665" ht="15" customHeight="1" x14ac:dyDescent="0.25"/>
    <row r="8666" ht="15" customHeight="1" x14ac:dyDescent="0.25"/>
    <row r="8667" ht="15" customHeight="1" x14ac:dyDescent="0.25"/>
    <row r="8668" ht="15" customHeight="1" x14ac:dyDescent="0.25"/>
    <row r="8669" ht="15" customHeight="1" x14ac:dyDescent="0.25"/>
    <row r="8670" ht="15" customHeight="1" x14ac:dyDescent="0.25"/>
    <row r="8671" ht="15" customHeight="1" x14ac:dyDescent="0.25"/>
    <row r="8672" ht="15" customHeight="1" x14ac:dyDescent="0.25"/>
    <row r="8673" ht="15" customHeight="1" x14ac:dyDescent="0.25"/>
    <row r="8674" ht="15" customHeight="1" x14ac:dyDescent="0.25"/>
    <row r="8675" ht="15" customHeight="1" x14ac:dyDescent="0.25"/>
    <row r="8676" ht="15" customHeight="1" x14ac:dyDescent="0.25"/>
    <row r="8677" ht="15" customHeight="1" x14ac:dyDescent="0.25"/>
    <row r="8678" ht="15" customHeight="1" x14ac:dyDescent="0.25"/>
    <row r="8679" ht="15" customHeight="1" x14ac:dyDescent="0.25"/>
    <row r="8680" ht="15" customHeight="1" x14ac:dyDescent="0.25"/>
    <row r="8681" ht="15" customHeight="1" x14ac:dyDescent="0.25"/>
    <row r="8682" ht="15" customHeight="1" x14ac:dyDescent="0.25"/>
    <row r="8683" ht="15" customHeight="1" x14ac:dyDescent="0.25"/>
    <row r="8694" ht="15" customHeight="1" x14ac:dyDescent="0.25"/>
    <row r="8695" ht="15" customHeight="1" x14ac:dyDescent="0.25"/>
    <row r="8696" ht="15" customHeight="1" x14ac:dyDescent="0.25"/>
    <row r="8697" ht="15" customHeight="1" x14ac:dyDescent="0.25"/>
    <row r="8698" ht="15" customHeight="1" x14ac:dyDescent="0.25"/>
    <row r="8699" ht="15" customHeight="1" x14ac:dyDescent="0.25"/>
    <row r="8700" ht="15" customHeight="1" x14ac:dyDescent="0.25"/>
    <row r="8701" ht="15" customHeight="1" x14ac:dyDescent="0.25"/>
    <row r="8702" ht="15" customHeight="1" x14ac:dyDescent="0.25"/>
    <row r="8703" ht="15" customHeight="1" x14ac:dyDescent="0.25"/>
    <row r="8704" ht="15" customHeight="1" x14ac:dyDescent="0.25"/>
    <row r="8705" ht="15" customHeight="1" x14ac:dyDescent="0.25"/>
    <row r="8706" ht="15" customHeight="1" x14ac:dyDescent="0.25"/>
    <row r="8707" ht="15" customHeight="1" x14ac:dyDescent="0.25"/>
    <row r="8708" ht="15" customHeight="1" x14ac:dyDescent="0.25"/>
    <row r="8709" ht="15" customHeight="1" x14ac:dyDescent="0.25"/>
    <row r="8710" ht="15" customHeight="1" x14ac:dyDescent="0.25"/>
    <row r="8711" ht="15" customHeight="1" x14ac:dyDescent="0.25"/>
    <row r="8712" ht="15" customHeight="1" x14ac:dyDescent="0.25"/>
    <row r="8713" ht="15" customHeight="1" x14ac:dyDescent="0.25"/>
    <row r="8714" ht="15" customHeight="1" x14ac:dyDescent="0.25"/>
    <row r="8715" ht="15" customHeight="1" x14ac:dyDescent="0.25"/>
    <row r="8716" ht="15" customHeight="1" x14ac:dyDescent="0.25"/>
    <row r="8717" ht="15" customHeight="1" x14ac:dyDescent="0.25"/>
    <row r="8718" ht="15" customHeight="1" x14ac:dyDescent="0.25"/>
    <row r="8719" ht="15" customHeight="1" x14ac:dyDescent="0.25"/>
    <row r="8720" ht="15" customHeight="1" x14ac:dyDescent="0.25"/>
    <row r="8721" ht="15" customHeight="1" x14ac:dyDescent="0.25"/>
    <row r="8722" ht="15" customHeight="1" x14ac:dyDescent="0.25"/>
    <row r="8723" ht="15" customHeight="1" x14ac:dyDescent="0.25"/>
    <row r="8724" ht="15" customHeight="1" x14ac:dyDescent="0.25"/>
    <row r="8735" ht="15" customHeight="1" x14ac:dyDescent="0.25"/>
    <row r="8736" ht="15" customHeight="1" x14ac:dyDescent="0.25"/>
    <row r="8737" ht="15" customHeight="1" x14ac:dyDescent="0.25"/>
    <row r="8738" ht="15" customHeight="1" x14ac:dyDescent="0.25"/>
    <row r="8739" ht="15" customHeight="1" x14ac:dyDescent="0.25"/>
    <row r="8740" ht="15" customHeight="1" x14ac:dyDescent="0.25"/>
    <row r="8741" ht="15" customHeight="1" x14ac:dyDescent="0.25"/>
    <row r="8742" ht="15" customHeight="1" x14ac:dyDescent="0.25"/>
    <row r="8743" ht="15" customHeight="1" x14ac:dyDescent="0.25"/>
    <row r="8744" ht="15" customHeight="1" x14ac:dyDescent="0.25"/>
    <row r="8745" ht="15" customHeight="1" x14ac:dyDescent="0.25"/>
    <row r="8746" ht="15" customHeight="1" x14ac:dyDescent="0.25"/>
    <row r="8747" ht="15" customHeight="1" x14ac:dyDescent="0.25"/>
    <row r="8748" ht="15" customHeight="1" x14ac:dyDescent="0.25"/>
    <row r="8749" ht="15" customHeight="1" x14ac:dyDescent="0.25"/>
    <row r="8750" ht="15" customHeight="1" x14ac:dyDescent="0.25"/>
    <row r="8751" ht="15" customHeight="1" x14ac:dyDescent="0.25"/>
    <row r="8752" ht="15" customHeight="1" x14ac:dyDescent="0.25"/>
    <row r="8753" ht="15" customHeight="1" x14ac:dyDescent="0.25"/>
    <row r="8754" ht="15" customHeight="1" x14ac:dyDescent="0.25"/>
    <row r="8755" ht="15" customHeight="1" x14ac:dyDescent="0.25"/>
    <row r="8756" ht="15" customHeight="1" x14ac:dyDescent="0.25"/>
    <row r="8757" ht="15" customHeight="1" x14ac:dyDescent="0.25"/>
    <row r="8758" ht="15" customHeight="1" x14ac:dyDescent="0.25"/>
    <row r="8759" ht="15" customHeight="1" x14ac:dyDescent="0.25"/>
    <row r="8760" ht="15" customHeight="1" x14ac:dyDescent="0.25"/>
    <row r="8761" ht="15" customHeight="1" x14ac:dyDescent="0.25"/>
    <row r="8762" ht="15" customHeight="1" x14ac:dyDescent="0.25"/>
    <row r="8763" ht="15" customHeight="1" x14ac:dyDescent="0.25"/>
    <row r="8764" ht="15" customHeight="1" x14ac:dyDescent="0.25"/>
    <row r="8765" ht="15" customHeight="1" x14ac:dyDescent="0.25"/>
    <row r="8776" ht="15" customHeight="1" x14ac:dyDescent="0.25"/>
    <row r="8777" ht="15" customHeight="1" x14ac:dyDescent="0.25"/>
    <row r="8778" ht="15" customHeight="1" x14ac:dyDescent="0.25"/>
    <row r="8779" ht="15" customHeight="1" x14ac:dyDescent="0.25"/>
    <row r="8780" ht="15" customHeight="1" x14ac:dyDescent="0.25"/>
    <row r="8781" ht="15" customHeight="1" x14ac:dyDescent="0.25"/>
    <row r="8782" ht="15" customHeight="1" x14ac:dyDescent="0.25"/>
    <row r="8783" ht="15" customHeight="1" x14ac:dyDescent="0.25"/>
    <row r="8784" ht="15" customHeight="1" x14ac:dyDescent="0.25"/>
    <row r="8785" ht="15" customHeight="1" x14ac:dyDescent="0.25"/>
    <row r="8786" ht="15" customHeight="1" x14ac:dyDescent="0.25"/>
    <row r="8787" ht="15" customHeight="1" x14ac:dyDescent="0.25"/>
    <row r="8788" ht="15" customHeight="1" x14ac:dyDescent="0.25"/>
    <row r="8789" ht="15" customHeight="1" x14ac:dyDescent="0.25"/>
    <row r="8790" ht="15" customHeight="1" x14ac:dyDescent="0.25"/>
    <row r="8791" ht="15" customHeight="1" x14ac:dyDescent="0.25"/>
    <row r="8792" ht="15" customHeight="1" x14ac:dyDescent="0.25"/>
    <row r="8793" ht="15" customHeight="1" x14ac:dyDescent="0.25"/>
    <row r="8794" ht="15" customHeight="1" x14ac:dyDescent="0.25"/>
    <row r="8795" ht="15" customHeight="1" x14ac:dyDescent="0.25"/>
    <row r="8796" ht="15" customHeight="1" x14ac:dyDescent="0.25"/>
    <row r="8797" ht="15" customHeight="1" x14ac:dyDescent="0.25"/>
    <row r="8798" ht="15" customHeight="1" x14ac:dyDescent="0.25"/>
    <row r="8799" ht="15" customHeight="1" x14ac:dyDescent="0.25"/>
    <row r="8800" ht="15" customHeight="1" x14ac:dyDescent="0.25"/>
    <row r="8801" ht="15" customHeight="1" x14ac:dyDescent="0.25"/>
    <row r="8802" ht="15" customHeight="1" x14ac:dyDescent="0.25"/>
    <row r="8803" ht="15" customHeight="1" x14ac:dyDescent="0.25"/>
    <row r="8804" ht="15" customHeight="1" x14ac:dyDescent="0.25"/>
    <row r="8805" ht="15" customHeight="1" x14ac:dyDescent="0.25"/>
    <row r="8806" ht="15" customHeight="1" x14ac:dyDescent="0.25"/>
    <row r="8817" ht="15" customHeight="1" x14ac:dyDescent="0.25"/>
    <row r="8818" ht="15" customHeight="1" x14ac:dyDescent="0.25"/>
    <row r="8819" ht="15" customHeight="1" x14ac:dyDescent="0.25"/>
    <row r="8820" ht="15" customHeight="1" x14ac:dyDescent="0.25"/>
    <row r="8821" ht="15" customHeight="1" x14ac:dyDescent="0.25"/>
    <row r="8822" ht="15" customHeight="1" x14ac:dyDescent="0.25"/>
    <row r="8823" ht="15" customHeight="1" x14ac:dyDescent="0.25"/>
    <row r="8824" ht="15" customHeight="1" x14ac:dyDescent="0.25"/>
    <row r="8825" ht="15" customHeight="1" x14ac:dyDescent="0.25"/>
    <row r="8826" ht="15" customHeight="1" x14ac:dyDescent="0.25"/>
    <row r="8827" ht="15" customHeight="1" x14ac:dyDescent="0.25"/>
    <row r="8828" ht="15" customHeight="1" x14ac:dyDescent="0.25"/>
    <row r="8829" ht="15" customHeight="1" x14ac:dyDescent="0.25"/>
    <row r="8830" ht="15" customHeight="1" x14ac:dyDescent="0.25"/>
    <row r="8831" ht="15" customHeight="1" x14ac:dyDescent="0.25"/>
    <row r="8832" ht="15" customHeight="1" x14ac:dyDescent="0.25"/>
    <row r="8833" ht="15" customHeight="1" x14ac:dyDescent="0.25"/>
    <row r="8834" ht="15" customHeight="1" x14ac:dyDescent="0.25"/>
    <row r="8835" ht="15" customHeight="1" x14ac:dyDescent="0.25"/>
    <row r="8836" ht="15" customHeight="1" x14ac:dyDescent="0.25"/>
    <row r="8837" ht="15" customHeight="1" x14ac:dyDescent="0.25"/>
    <row r="8838" ht="15" customHeight="1" x14ac:dyDescent="0.25"/>
    <row r="8839" ht="15" customHeight="1" x14ac:dyDescent="0.25"/>
    <row r="8840" ht="15" customHeight="1" x14ac:dyDescent="0.25"/>
    <row r="8841" ht="15" customHeight="1" x14ac:dyDescent="0.25"/>
    <row r="8842" ht="15" customHeight="1" x14ac:dyDescent="0.25"/>
    <row r="8843" ht="15" customHeight="1" x14ac:dyDescent="0.25"/>
    <row r="8844" ht="15" customHeight="1" x14ac:dyDescent="0.25"/>
    <row r="8845" ht="15" customHeight="1" x14ac:dyDescent="0.25"/>
    <row r="8846" ht="15" customHeight="1" x14ac:dyDescent="0.25"/>
    <row r="8847" ht="15" customHeight="1" x14ac:dyDescent="0.25"/>
    <row r="8858" ht="15" customHeight="1" x14ac:dyDescent="0.25"/>
    <row r="8859" ht="15" customHeight="1" x14ac:dyDescent="0.25"/>
    <row r="8860" ht="15" customHeight="1" x14ac:dyDescent="0.25"/>
    <row r="8861" ht="15" customHeight="1" x14ac:dyDescent="0.25"/>
    <row r="8862" ht="15" customHeight="1" x14ac:dyDescent="0.25"/>
    <row r="8863" ht="15" customHeight="1" x14ac:dyDescent="0.25"/>
    <row r="8864" ht="15" customHeight="1" x14ac:dyDescent="0.25"/>
    <row r="8865" ht="15" customHeight="1" x14ac:dyDescent="0.25"/>
    <row r="8866" ht="15" customHeight="1" x14ac:dyDescent="0.25"/>
    <row r="8867" ht="15" customHeight="1" x14ac:dyDescent="0.25"/>
    <row r="8868" ht="15" customHeight="1" x14ac:dyDescent="0.25"/>
    <row r="8869" ht="15" customHeight="1" x14ac:dyDescent="0.25"/>
    <row r="8870" ht="15" customHeight="1" x14ac:dyDescent="0.25"/>
    <row r="8871" ht="15" customHeight="1" x14ac:dyDescent="0.25"/>
    <row r="8872" ht="15" customHeight="1" x14ac:dyDescent="0.25"/>
    <row r="8873" ht="15" customHeight="1" x14ac:dyDescent="0.25"/>
    <row r="8874" ht="15" customHeight="1" x14ac:dyDescent="0.25"/>
    <row r="8875" ht="15" customHeight="1" x14ac:dyDescent="0.25"/>
    <row r="8876" ht="15" customHeight="1" x14ac:dyDescent="0.25"/>
    <row r="8877" ht="15" customHeight="1" x14ac:dyDescent="0.25"/>
    <row r="8878" ht="15" customHeight="1" x14ac:dyDescent="0.25"/>
    <row r="8879" ht="15" customHeight="1" x14ac:dyDescent="0.25"/>
    <row r="8880" ht="15" customHeight="1" x14ac:dyDescent="0.25"/>
    <row r="8881" ht="15" customHeight="1" x14ac:dyDescent="0.25"/>
    <row r="8882" ht="15" customHeight="1" x14ac:dyDescent="0.25"/>
    <row r="8883" ht="15" customHeight="1" x14ac:dyDescent="0.25"/>
    <row r="8884" ht="15" customHeight="1" x14ac:dyDescent="0.25"/>
    <row r="8885" ht="15" customHeight="1" x14ac:dyDescent="0.25"/>
    <row r="8886" ht="15" customHeight="1" x14ac:dyDescent="0.25"/>
    <row r="8887" ht="15" customHeight="1" x14ac:dyDescent="0.25"/>
    <row r="8888" ht="15" customHeight="1" x14ac:dyDescent="0.25"/>
    <row r="8899" ht="15" customHeight="1" x14ac:dyDescent="0.25"/>
    <row r="8900" ht="15" customHeight="1" x14ac:dyDescent="0.25"/>
    <row r="8901" ht="15" customHeight="1" x14ac:dyDescent="0.25"/>
    <row r="8902" ht="15" customHeight="1" x14ac:dyDescent="0.25"/>
    <row r="8903" ht="15" customHeight="1" x14ac:dyDescent="0.25"/>
    <row r="8904" ht="15" customHeight="1" x14ac:dyDescent="0.25"/>
    <row r="8905" ht="15" customHeight="1" x14ac:dyDescent="0.25"/>
    <row r="8906" ht="15" customHeight="1" x14ac:dyDescent="0.25"/>
    <row r="8907" ht="15" customHeight="1" x14ac:dyDescent="0.25"/>
    <row r="8908" ht="15" customHeight="1" x14ac:dyDescent="0.25"/>
    <row r="8909" ht="15" customHeight="1" x14ac:dyDescent="0.25"/>
    <row r="8910" ht="15" customHeight="1" x14ac:dyDescent="0.25"/>
    <row r="8911" ht="15" customHeight="1" x14ac:dyDescent="0.25"/>
    <row r="8912" ht="15" customHeight="1" x14ac:dyDescent="0.25"/>
    <row r="8913" ht="15" customHeight="1" x14ac:dyDescent="0.25"/>
    <row r="8914" ht="15" customHeight="1" x14ac:dyDescent="0.25"/>
    <row r="8919" ht="15" customHeight="1" x14ac:dyDescent="0.25"/>
    <row r="8931" ht="15" customHeight="1" x14ac:dyDescent="0.25"/>
    <row r="8932" ht="15" customHeight="1" x14ac:dyDescent="0.25"/>
    <row r="8933" ht="15" customHeight="1" x14ac:dyDescent="0.25"/>
    <row r="8934" ht="15" customHeight="1" x14ac:dyDescent="0.25"/>
    <row r="8935" ht="15" customHeight="1" x14ac:dyDescent="0.25"/>
    <row r="8936" ht="15" customHeight="1" x14ac:dyDescent="0.25"/>
    <row r="8937" ht="15" customHeight="1" x14ac:dyDescent="0.25"/>
    <row r="8938" ht="15" customHeight="1" x14ac:dyDescent="0.25"/>
    <row r="8939" ht="15" customHeight="1" x14ac:dyDescent="0.25"/>
    <row r="8940" ht="15" customHeight="1" x14ac:dyDescent="0.25"/>
    <row r="8941" ht="15" customHeight="1" x14ac:dyDescent="0.25"/>
    <row r="8942" ht="15" customHeight="1" x14ac:dyDescent="0.25"/>
    <row r="8943" ht="15" customHeight="1" x14ac:dyDescent="0.25"/>
    <row r="8944" ht="15" customHeight="1" x14ac:dyDescent="0.25"/>
    <row r="8945" ht="15" customHeight="1" x14ac:dyDescent="0.25"/>
    <row r="8946" ht="15" customHeight="1" x14ac:dyDescent="0.25"/>
    <row r="8951" ht="15" customHeight="1" x14ac:dyDescent="0.25"/>
    <row r="8963" ht="15" customHeight="1" x14ac:dyDescent="0.25"/>
    <row r="8964" ht="15" customHeight="1" x14ac:dyDescent="0.25"/>
    <row r="8965" ht="15" customHeight="1" x14ac:dyDescent="0.25"/>
    <row r="8966" ht="15" customHeight="1" x14ac:dyDescent="0.25"/>
    <row r="8967" ht="15" customHeight="1" x14ac:dyDescent="0.25"/>
    <row r="8968" ht="15" customHeight="1" x14ac:dyDescent="0.25"/>
    <row r="8969" ht="15" customHeight="1" x14ac:dyDescent="0.25"/>
    <row r="8970" ht="15" customHeight="1" x14ac:dyDescent="0.25"/>
    <row r="8971" ht="15" customHeight="1" x14ac:dyDescent="0.25"/>
    <row r="8972" ht="15" customHeight="1" x14ac:dyDescent="0.25"/>
    <row r="8973" ht="15" customHeight="1" x14ac:dyDescent="0.25"/>
    <row r="8974" ht="15" customHeight="1" x14ac:dyDescent="0.25"/>
    <row r="8975" ht="15" customHeight="1" x14ac:dyDescent="0.25"/>
    <row r="8976" ht="15" customHeight="1" x14ac:dyDescent="0.25"/>
    <row r="8977" ht="15" customHeight="1" x14ac:dyDescent="0.25"/>
    <row r="8978" ht="15" customHeight="1" x14ac:dyDescent="0.25"/>
    <row r="8983" ht="15" customHeight="1" x14ac:dyDescent="0.25"/>
    <row r="8995" ht="15" customHeight="1" x14ac:dyDescent="0.25"/>
    <row r="8996" ht="15" customHeight="1" x14ac:dyDescent="0.25"/>
    <row r="8997" ht="15" customHeight="1" x14ac:dyDescent="0.25"/>
    <row r="8998" ht="15" customHeight="1" x14ac:dyDescent="0.25"/>
    <row r="8999" ht="15" customHeight="1" x14ac:dyDescent="0.25"/>
    <row r="9000" ht="15" customHeight="1" x14ac:dyDescent="0.25"/>
    <row r="9001" ht="15" customHeight="1" x14ac:dyDescent="0.25"/>
    <row r="9002" ht="15" customHeight="1" x14ac:dyDescent="0.25"/>
    <row r="9003" ht="15" customHeight="1" x14ac:dyDescent="0.25"/>
    <row r="9004" ht="15" customHeight="1" x14ac:dyDescent="0.25"/>
    <row r="9005" ht="15" customHeight="1" x14ac:dyDescent="0.25"/>
    <row r="9006" ht="15" customHeight="1" x14ac:dyDescent="0.25"/>
    <row r="9007" ht="15" customHeight="1" x14ac:dyDescent="0.25"/>
    <row r="9008" ht="15" customHeight="1" x14ac:dyDescent="0.25"/>
    <row r="9009" ht="15" customHeight="1" x14ac:dyDescent="0.25"/>
    <row r="9010" ht="15" customHeight="1" x14ac:dyDescent="0.25"/>
    <row r="9015" ht="15" customHeight="1" x14ac:dyDescent="0.25"/>
    <row r="9027" ht="15" customHeight="1" x14ac:dyDescent="0.25"/>
    <row r="9028" ht="15" customHeight="1" x14ac:dyDescent="0.25"/>
    <row r="9029" ht="15" customHeight="1" x14ac:dyDescent="0.25"/>
    <row r="9030" ht="15" customHeight="1" x14ac:dyDescent="0.25"/>
    <row r="9031" ht="15" customHeight="1" x14ac:dyDescent="0.25"/>
    <row r="9032" ht="15" customHeight="1" x14ac:dyDescent="0.25"/>
    <row r="9033" ht="15" customHeight="1" x14ac:dyDescent="0.25"/>
    <row r="9034" ht="15" customHeight="1" x14ac:dyDescent="0.25"/>
    <row r="9035" ht="15" customHeight="1" x14ac:dyDescent="0.25"/>
    <row r="9036" ht="15" customHeight="1" x14ac:dyDescent="0.25"/>
    <row r="9037" ht="15" customHeight="1" x14ac:dyDescent="0.25"/>
    <row r="9038" ht="15" customHeight="1" x14ac:dyDescent="0.25"/>
    <row r="9039" ht="15" customHeight="1" x14ac:dyDescent="0.25"/>
    <row r="9040" ht="15" customHeight="1" x14ac:dyDescent="0.25"/>
    <row r="9041" ht="15" customHeight="1" x14ac:dyDescent="0.25"/>
    <row r="9042" ht="15" customHeight="1" x14ac:dyDescent="0.25"/>
    <row r="9047" ht="15" customHeight="1" x14ac:dyDescent="0.25"/>
    <row r="9059" ht="15" customHeight="1" x14ac:dyDescent="0.25"/>
    <row r="9060" ht="15" customHeight="1" x14ac:dyDescent="0.25"/>
    <row r="9061" ht="15" customHeight="1" x14ac:dyDescent="0.25"/>
    <row r="9062" ht="15" customHeight="1" x14ac:dyDescent="0.25"/>
    <row r="9063" ht="15" customHeight="1" x14ac:dyDescent="0.25"/>
    <row r="9064" ht="15" customHeight="1" x14ac:dyDescent="0.25"/>
    <row r="9065" ht="15" customHeight="1" x14ac:dyDescent="0.25"/>
    <row r="9066" ht="15" customHeight="1" x14ac:dyDescent="0.25"/>
    <row r="9067" ht="15" customHeight="1" x14ac:dyDescent="0.25"/>
    <row r="9068" ht="15" customHeight="1" x14ac:dyDescent="0.25"/>
    <row r="9069" ht="15" customHeight="1" x14ac:dyDescent="0.25"/>
    <row r="9070" ht="15" customHeight="1" x14ac:dyDescent="0.25"/>
    <row r="9071" ht="15" customHeight="1" x14ac:dyDescent="0.25"/>
    <row r="9072" ht="15" customHeight="1" x14ac:dyDescent="0.25"/>
    <row r="9073" ht="15" customHeight="1" x14ac:dyDescent="0.25"/>
    <row r="9074" ht="15" customHeight="1" x14ac:dyDescent="0.25"/>
    <row r="9075" ht="15" customHeight="1" x14ac:dyDescent="0.25"/>
    <row r="9076" ht="15" customHeight="1" x14ac:dyDescent="0.25"/>
    <row r="9077" ht="15" customHeight="1" x14ac:dyDescent="0.25"/>
    <row r="9078" ht="15" customHeight="1" x14ac:dyDescent="0.25"/>
    <row r="9079" ht="15" customHeight="1" x14ac:dyDescent="0.25"/>
    <row r="9080" ht="15" customHeight="1" x14ac:dyDescent="0.25"/>
    <row r="9081" ht="15" customHeight="1" x14ac:dyDescent="0.25"/>
    <row r="9082" ht="15" customHeight="1" x14ac:dyDescent="0.25"/>
    <row r="9083" ht="15" customHeight="1" x14ac:dyDescent="0.25"/>
    <row r="9084" ht="15" customHeight="1" x14ac:dyDescent="0.25"/>
    <row r="9085" ht="15" customHeight="1" x14ac:dyDescent="0.25"/>
    <row r="9086" ht="15" customHeight="1" x14ac:dyDescent="0.25"/>
    <row r="9090" ht="15" customHeight="1" x14ac:dyDescent="0.25"/>
    <row r="9091" ht="15" customHeight="1" x14ac:dyDescent="0.25"/>
    <row r="9092" ht="15" customHeight="1" x14ac:dyDescent="0.25"/>
    <row r="9093" ht="15" customHeight="1" x14ac:dyDescent="0.25"/>
    <row r="9094" ht="15" customHeight="1" x14ac:dyDescent="0.25"/>
    <row r="9095" ht="15" customHeight="1" x14ac:dyDescent="0.25"/>
    <row r="9096" ht="15" customHeight="1" x14ac:dyDescent="0.25"/>
    <row r="9097" ht="15" customHeight="1" x14ac:dyDescent="0.25"/>
    <row r="9098" ht="15" customHeight="1" x14ac:dyDescent="0.25"/>
    <row r="9099" ht="15" customHeight="1" x14ac:dyDescent="0.25"/>
    <row r="9100" ht="15" customHeight="1" x14ac:dyDescent="0.25"/>
    <row r="9101" ht="15" customHeight="1" x14ac:dyDescent="0.25"/>
    <row r="9102" ht="15" customHeight="1" x14ac:dyDescent="0.25"/>
    <row r="9103" ht="15" customHeight="1" x14ac:dyDescent="0.25"/>
    <row r="9104" ht="15" customHeight="1" x14ac:dyDescent="0.25"/>
    <row r="9105" ht="15" customHeight="1" x14ac:dyDescent="0.25"/>
    <row r="9106" ht="15" customHeight="1" x14ac:dyDescent="0.25"/>
    <row r="9107" ht="15" customHeight="1" x14ac:dyDescent="0.25"/>
    <row r="9108" ht="15" customHeight="1" x14ac:dyDescent="0.25"/>
    <row r="9109" ht="15" customHeight="1" x14ac:dyDescent="0.25"/>
    <row r="9110" ht="15" customHeight="1" x14ac:dyDescent="0.25"/>
    <row r="9115" ht="15" customHeight="1" x14ac:dyDescent="0.25"/>
    <row r="9127" ht="15" customHeight="1" x14ac:dyDescent="0.25"/>
    <row r="9128" ht="15" customHeight="1" x14ac:dyDescent="0.25"/>
    <row r="9129" ht="15" customHeight="1" x14ac:dyDescent="0.25"/>
    <row r="9130" ht="15" customHeight="1" x14ac:dyDescent="0.25"/>
    <row r="9131" ht="15" customHeight="1" x14ac:dyDescent="0.25"/>
    <row r="9132" ht="15" customHeight="1" x14ac:dyDescent="0.25"/>
    <row r="9133" ht="15" customHeight="1" x14ac:dyDescent="0.25"/>
    <row r="9134" ht="15" customHeight="1" x14ac:dyDescent="0.25"/>
    <row r="9135" ht="15" customHeight="1" x14ac:dyDescent="0.25"/>
    <row r="9136" ht="15" customHeight="1" x14ac:dyDescent="0.25"/>
    <row r="9137" ht="15" customHeight="1" x14ac:dyDescent="0.25"/>
    <row r="9138" ht="15" customHeight="1" x14ac:dyDescent="0.25"/>
    <row r="9139" ht="15" customHeight="1" x14ac:dyDescent="0.25"/>
    <row r="9140" ht="15" customHeight="1" x14ac:dyDescent="0.25"/>
    <row r="9141" ht="15" customHeight="1" x14ac:dyDescent="0.25"/>
    <row r="9142" ht="15" customHeight="1" x14ac:dyDescent="0.25"/>
    <row r="9143" ht="15" customHeight="1" x14ac:dyDescent="0.25"/>
    <row r="9144" ht="15" customHeight="1" x14ac:dyDescent="0.25"/>
    <row r="9145" ht="15" customHeight="1" x14ac:dyDescent="0.25"/>
    <row r="9146" ht="15" customHeight="1" x14ac:dyDescent="0.25"/>
    <row r="9147" ht="15" customHeight="1" x14ac:dyDescent="0.25"/>
    <row r="9148" ht="15" customHeight="1" x14ac:dyDescent="0.25"/>
    <row r="9149" ht="15" customHeight="1" x14ac:dyDescent="0.25"/>
    <row r="9150" ht="15" customHeight="1" x14ac:dyDescent="0.25"/>
    <row r="9155" ht="15" customHeight="1" x14ac:dyDescent="0.25"/>
    <row r="9167" ht="15" customHeight="1" x14ac:dyDescent="0.25"/>
    <row r="9168" ht="15" customHeight="1" x14ac:dyDescent="0.25"/>
    <row r="9169" ht="15" customHeight="1" x14ac:dyDescent="0.25"/>
    <row r="9170" ht="15" customHeight="1" x14ac:dyDescent="0.25"/>
    <row r="9171" ht="15" customHeight="1" x14ac:dyDescent="0.25"/>
    <row r="9172" ht="15" customHeight="1" x14ac:dyDescent="0.25"/>
    <row r="9173" ht="15" customHeight="1" x14ac:dyDescent="0.25"/>
    <row r="9174" ht="15" customHeight="1" x14ac:dyDescent="0.25"/>
    <row r="9175" ht="15" customHeight="1" x14ac:dyDescent="0.25"/>
    <row r="9176" ht="15" customHeight="1" x14ac:dyDescent="0.25"/>
    <row r="9177" ht="15" customHeight="1" x14ac:dyDescent="0.25"/>
    <row r="9178" ht="15" customHeight="1" x14ac:dyDescent="0.25"/>
    <row r="9179" ht="15" customHeight="1" x14ac:dyDescent="0.25"/>
    <row r="9180" ht="15" customHeight="1" x14ac:dyDescent="0.25"/>
    <row r="9181" ht="15" customHeight="1" x14ac:dyDescent="0.25"/>
    <row r="9182" ht="15" customHeight="1" x14ac:dyDescent="0.25"/>
    <row r="9183" ht="15" customHeight="1" x14ac:dyDescent="0.25"/>
    <row r="9184" ht="15" customHeight="1" x14ac:dyDescent="0.25"/>
    <row r="9185" ht="15" customHeight="1" x14ac:dyDescent="0.25"/>
    <row r="9186" ht="15" customHeight="1" x14ac:dyDescent="0.25"/>
    <row r="9187" ht="15" customHeight="1" x14ac:dyDescent="0.25"/>
    <row r="9188" ht="15" customHeight="1" x14ac:dyDescent="0.25"/>
    <row r="9189" ht="15" customHeight="1" x14ac:dyDescent="0.25"/>
    <row r="9190" ht="15" customHeight="1" x14ac:dyDescent="0.25"/>
    <row r="9195" ht="15" customHeight="1" x14ac:dyDescent="0.25"/>
    <row r="9207" ht="15" customHeight="1" x14ac:dyDescent="0.25"/>
    <row r="9208" ht="15" customHeight="1" x14ac:dyDescent="0.25"/>
    <row r="9209" ht="15" customHeight="1" x14ac:dyDescent="0.25"/>
    <row r="9210" ht="15" customHeight="1" x14ac:dyDescent="0.25"/>
    <row r="9211" ht="15" customHeight="1" x14ac:dyDescent="0.25"/>
    <row r="9212" ht="15" customHeight="1" x14ac:dyDescent="0.25"/>
    <row r="9213" ht="15" customHeight="1" x14ac:dyDescent="0.25"/>
    <row r="9214" ht="15" customHeight="1" x14ac:dyDescent="0.25"/>
    <row r="9215" ht="15" customHeight="1" x14ac:dyDescent="0.25"/>
    <row r="9216" ht="15" customHeight="1" x14ac:dyDescent="0.25"/>
    <row r="9217" ht="15" customHeight="1" x14ac:dyDescent="0.25"/>
    <row r="9218" ht="15" customHeight="1" x14ac:dyDescent="0.25"/>
    <row r="9219" ht="15" customHeight="1" x14ac:dyDescent="0.25"/>
    <row r="9220" ht="15" customHeight="1" x14ac:dyDescent="0.25"/>
    <row r="9221" ht="15" customHeight="1" x14ac:dyDescent="0.25"/>
    <row r="9222" ht="15" customHeight="1" x14ac:dyDescent="0.25"/>
    <row r="9223" ht="15" customHeight="1" x14ac:dyDescent="0.25"/>
    <row r="9224" ht="15" customHeight="1" x14ac:dyDescent="0.25"/>
    <row r="9225" ht="15" customHeight="1" x14ac:dyDescent="0.25"/>
    <row r="9226" ht="15" customHeight="1" x14ac:dyDescent="0.25"/>
    <row r="9227" ht="15" customHeight="1" x14ac:dyDescent="0.25"/>
    <row r="9228" ht="15" customHeight="1" x14ac:dyDescent="0.25"/>
    <row r="9229" ht="15" customHeight="1" x14ac:dyDescent="0.25"/>
    <row r="9230" ht="15" customHeight="1" x14ac:dyDescent="0.25"/>
    <row r="9235" ht="15" customHeight="1" x14ac:dyDescent="0.25"/>
    <row r="9247" ht="15" customHeight="1" x14ac:dyDescent="0.25"/>
    <row r="9248" ht="15" customHeight="1" x14ac:dyDescent="0.25"/>
    <row r="9249" ht="15" customHeight="1" x14ac:dyDescent="0.25"/>
    <row r="9250" ht="15" customHeight="1" x14ac:dyDescent="0.25"/>
    <row r="9251" ht="15" customHeight="1" x14ac:dyDescent="0.25"/>
    <row r="9252" ht="15" customHeight="1" x14ac:dyDescent="0.25"/>
    <row r="9253" ht="15" customHeight="1" x14ac:dyDescent="0.25"/>
    <row r="9254" ht="15" customHeight="1" x14ac:dyDescent="0.25"/>
    <row r="9255" ht="15" customHeight="1" x14ac:dyDescent="0.25"/>
    <row r="9256" ht="15" customHeight="1" x14ac:dyDescent="0.25"/>
    <row r="9257" ht="15" customHeight="1" x14ac:dyDescent="0.25"/>
    <row r="9258" ht="15" customHeight="1" x14ac:dyDescent="0.25"/>
    <row r="9259" ht="15" customHeight="1" x14ac:dyDescent="0.25"/>
    <row r="9260" ht="15" customHeight="1" x14ac:dyDescent="0.25"/>
    <row r="9261" ht="15" customHeight="1" x14ac:dyDescent="0.25"/>
    <row r="9262" ht="15" customHeight="1" x14ac:dyDescent="0.25"/>
    <row r="9263" ht="15" customHeight="1" x14ac:dyDescent="0.25"/>
    <row r="9264" ht="15" customHeight="1" x14ac:dyDescent="0.25"/>
    <row r="9265" ht="15" customHeight="1" x14ac:dyDescent="0.25"/>
    <row r="9266" ht="15" customHeight="1" x14ac:dyDescent="0.25"/>
    <row r="9267" ht="15" customHeight="1" x14ac:dyDescent="0.25"/>
    <row r="9268" ht="15" customHeight="1" x14ac:dyDescent="0.25"/>
    <row r="9269" ht="15" customHeight="1" x14ac:dyDescent="0.25"/>
    <row r="9270" ht="15" customHeight="1" x14ac:dyDescent="0.25"/>
    <row r="9271" ht="15" customHeight="1" x14ac:dyDescent="0.25"/>
    <row r="9272" ht="15" customHeight="1" x14ac:dyDescent="0.25"/>
    <row r="9273" ht="15" customHeight="1" x14ac:dyDescent="0.25"/>
    <row r="9274" ht="15" customHeight="1" x14ac:dyDescent="0.25"/>
    <row r="9275" ht="15" customHeight="1" x14ac:dyDescent="0.25"/>
    <row r="9276" ht="15" customHeight="1" x14ac:dyDescent="0.25"/>
    <row r="9277" ht="15" customHeight="1" x14ac:dyDescent="0.25"/>
    <row r="9278" ht="15" customHeight="1" x14ac:dyDescent="0.25"/>
    <row r="9279" ht="15" customHeight="1" x14ac:dyDescent="0.25"/>
    <row r="9280" ht="15" customHeight="1" x14ac:dyDescent="0.25"/>
    <row r="9281" ht="15" customHeight="1" x14ac:dyDescent="0.25"/>
    <row r="9282" ht="15" customHeight="1" x14ac:dyDescent="0.25"/>
    <row r="9283" ht="15" customHeight="1" x14ac:dyDescent="0.25"/>
    <row r="9284" ht="15" customHeight="1" x14ac:dyDescent="0.25"/>
    <row r="9285" ht="15" customHeight="1" x14ac:dyDescent="0.25"/>
    <row r="9286" ht="15" customHeight="1" x14ac:dyDescent="0.25"/>
    <row r="9287" ht="15" customHeight="1" x14ac:dyDescent="0.25"/>
    <row r="9288" ht="15" customHeight="1" x14ac:dyDescent="0.25"/>
    <row r="9289" ht="15" customHeight="1" x14ac:dyDescent="0.25"/>
    <row r="9290" ht="15" customHeight="1" x14ac:dyDescent="0.25"/>
    <row r="9291" ht="15" customHeight="1" x14ac:dyDescent="0.25"/>
    <row r="9292" ht="15" customHeight="1" x14ac:dyDescent="0.25"/>
    <row r="9293" ht="15" customHeight="1" x14ac:dyDescent="0.25"/>
    <row r="9294" ht="15" customHeight="1" x14ac:dyDescent="0.25"/>
    <row r="9295" ht="15" customHeight="1" x14ac:dyDescent="0.25"/>
    <row r="9296" ht="15" customHeight="1" x14ac:dyDescent="0.25"/>
    <row r="9297" ht="15" customHeight="1" x14ac:dyDescent="0.25"/>
    <row r="9298" ht="15" customHeight="1" x14ac:dyDescent="0.25"/>
    <row r="9299" ht="15" customHeight="1" x14ac:dyDescent="0.25"/>
    <row r="9300" ht="15" customHeight="1" x14ac:dyDescent="0.25"/>
    <row r="9301" ht="15" customHeight="1" x14ac:dyDescent="0.25"/>
    <row r="9302" ht="15" customHeight="1" x14ac:dyDescent="0.25"/>
    <row r="9303" ht="15" customHeight="1" x14ac:dyDescent="0.25"/>
    <row r="9304" ht="15" customHeight="1" x14ac:dyDescent="0.25"/>
    <row r="9305" ht="15" customHeight="1" x14ac:dyDescent="0.25"/>
    <row r="9306" ht="15" customHeight="1" x14ac:dyDescent="0.25"/>
    <row r="9307" ht="15" customHeight="1" x14ac:dyDescent="0.25"/>
    <row r="9308" ht="15" customHeight="1" x14ac:dyDescent="0.25"/>
    <row r="9309" ht="15" customHeight="1" x14ac:dyDescent="0.25"/>
    <row r="9310" ht="15" customHeight="1" x14ac:dyDescent="0.25"/>
    <row r="9311" ht="15" customHeight="1" x14ac:dyDescent="0.25"/>
    <row r="9312" ht="15" customHeight="1" x14ac:dyDescent="0.25"/>
    <row r="9313" ht="15" customHeight="1" x14ac:dyDescent="0.25"/>
    <row r="9314" ht="15" customHeight="1" x14ac:dyDescent="0.25"/>
    <row r="9315" ht="15" customHeight="1" x14ac:dyDescent="0.25"/>
    <row r="9316" ht="15" customHeight="1" x14ac:dyDescent="0.25"/>
    <row r="9317" ht="15" customHeight="1" x14ac:dyDescent="0.25"/>
    <row r="9318" ht="15" customHeight="1" x14ac:dyDescent="0.25"/>
    <row r="9319" ht="15" customHeight="1" x14ac:dyDescent="0.25"/>
    <row r="9320" ht="15" customHeight="1" x14ac:dyDescent="0.25"/>
    <row r="9321" ht="15" customHeight="1" x14ac:dyDescent="0.25"/>
    <row r="9322" ht="15" customHeight="1" x14ac:dyDescent="0.25"/>
    <row r="9323" ht="15" customHeight="1" x14ac:dyDescent="0.25"/>
    <row r="9324" ht="15" customHeight="1" x14ac:dyDescent="0.25"/>
    <row r="9325" ht="15" customHeight="1" x14ac:dyDescent="0.25"/>
    <row r="9326" ht="15" customHeight="1" x14ac:dyDescent="0.25"/>
    <row r="9327" ht="15" customHeight="1" x14ac:dyDescent="0.25"/>
    <row r="9328" ht="15" customHeight="1" x14ac:dyDescent="0.25"/>
    <row r="9329" ht="15" customHeight="1" x14ac:dyDescent="0.25"/>
    <row r="9330" ht="15" customHeight="1" x14ac:dyDescent="0.25"/>
    <row r="9331" ht="15" customHeight="1" x14ac:dyDescent="0.25"/>
    <row r="9332" ht="15" customHeight="1" x14ac:dyDescent="0.25"/>
    <row r="9333" ht="15" customHeight="1" x14ac:dyDescent="0.25"/>
    <row r="9334" ht="15" customHeight="1" x14ac:dyDescent="0.25"/>
    <row r="9335" ht="15" customHeight="1" x14ac:dyDescent="0.25"/>
    <row r="9336" ht="15" customHeight="1" x14ac:dyDescent="0.25"/>
    <row r="9337" ht="15" customHeight="1" x14ac:dyDescent="0.25"/>
    <row r="9338" ht="15" customHeight="1" x14ac:dyDescent="0.25"/>
    <row r="9339" ht="15" customHeight="1" x14ac:dyDescent="0.25"/>
    <row r="9340" ht="15" customHeight="1" x14ac:dyDescent="0.25"/>
    <row r="9341" ht="15" customHeight="1" x14ac:dyDescent="0.25"/>
    <row r="9342" ht="15" customHeight="1" x14ac:dyDescent="0.25"/>
    <row r="9343" ht="15" customHeight="1" x14ac:dyDescent="0.25"/>
    <row r="9344" ht="15" customHeight="1" x14ac:dyDescent="0.25"/>
    <row r="9345" ht="15" customHeight="1" x14ac:dyDescent="0.25"/>
    <row r="9346" ht="15" customHeight="1" x14ac:dyDescent="0.25"/>
    <row r="9347" ht="15" customHeight="1" x14ac:dyDescent="0.25"/>
    <row r="9348" ht="15" customHeight="1" x14ac:dyDescent="0.25"/>
    <row r="9349" ht="15" customHeight="1" x14ac:dyDescent="0.25"/>
    <row r="9350" ht="15" customHeight="1" x14ac:dyDescent="0.25"/>
    <row r="9351" ht="15" customHeight="1" x14ac:dyDescent="0.25"/>
    <row r="9352" ht="15" customHeight="1" x14ac:dyDescent="0.25"/>
    <row r="9353" ht="15" customHeight="1" x14ac:dyDescent="0.25"/>
    <row r="9354" ht="15" customHeight="1" x14ac:dyDescent="0.25"/>
    <row r="9355" ht="15" customHeight="1" x14ac:dyDescent="0.25"/>
    <row r="9356" ht="15" customHeight="1" x14ac:dyDescent="0.25"/>
    <row r="9357" ht="15" customHeight="1" x14ac:dyDescent="0.25"/>
    <row r="9358" ht="15" customHeight="1" x14ac:dyDescent="0.25"/>
    <row r="9359" ht="15" customHeight="1" x14ac:dyDescent="0.25"/>
    <row r="9360" ht="15" customHeight="1" x14ac:dyDescent="0.25"/>
    <row r="9361" ht="15" customHeight="1" x14ac:dyDescent="0.25"/>
    <row r="9362" ht="15" customHeight="1" x14ac:dyDescent="0.25"/>
    <row r="9363" ht="15" customHeight="1" x14ac:dyDescent="0.25"/>
    <row r="9364" ht="15" customHeight="1" x14ac:dyDescent="0.25"/>
    <row r="9365" ht="15" customHeight="1" x14ac:dyDescent="0.25"/>
    <row r="9366" ht="15" customHeight="1" x14ac:dyDescent="0.25"/>
    <row r="9367" ht="15" customHeight="1" x14ac:dyDescent="0.25"/>
    <row r="9368" ht="15" customHeight="1" x14ac:dyDescent="0.25"/>
    <row r="9369" ht="15" customHeight="1" x14ac:dyDescent="0.25"/>
    <row r="9370" ht="15" customHeight="1" x14ac:dyDescent="0.25"/>
    <row r="9371" ht="15" customHeight="1" x14ac:dyDescent="0.25"/>
    <row r="9372" ht="15" customHeight="1" x14ac:dyDescent="0.25"/>
    <row r="9373" ht="15" customHeight="1" x14ac:dyDescent="0.25"/>
    <row r="9374" ht="15" customHeight="1" x14ac:dyDescent="0.25"/>
    <row r="9375" ht="15" customHeight="1" x14ac:dyDescent="0.25"/>
    <row r="9376" ht="15" customHeight="1" x14ac:dyDescent="0.25"/>
    <row r="9377" ht="15" customHeight="1" x14ac:dyDescent="0.25"/>
    <row r="9378" ht="15" customHeight="1" x14ac:dyDescent="0.25"/>
    <row r="9379" ht="15" customHeight="1" x14ac:dyDescent="0.25"/>
    <row r="9380" ht="15" customHeight="1" x14ac:dyDescent="0.25"/>
    <row r="9381" ht="15" customHeight="1" x14ac:dyDescent="0.25"/>
    <row r="9382" ht="15" customHeight="1" x14ac:dyDescent="0.25"/>
    <row r="9383" ht="15" customHeight="1" x14ac:dyDescent="0.25"/>
    <row r="9384" ht="15" customHeight="1" x14ac:dyDescent="0.25"/>
    <row r="9385" ht="15" customHeight="1" x14ac:dyDescent="0.25"/>
    <row r="9386" ht="15" customHeight="1" x14ac:dyDescent="0.25"/>
    <row r="9387" ht="15" customHeight="1" x14ac:dyDescent="0.25"/>
    <row r="9388" ht="15" customHeight="1" x14ac:dyDescent="0.25"/>
    <row r="9389" ht="15" customHeight="1" x14ac:dyDescent="0.25"/>
    <row r="9390" ht="15" customHeight="1" x14ac:dyDescent="0.25"/>
    <row r="9391" ht="15" customHeight="1" x14ac:dyDescent="0.25"/>
    <row r="9392" ht="15" customHeight="1" x14ac:dyDescent="0.25"/>
    <row r="9393" ht="15" customHeight="1" x14ac:dyDescent="0.25"/>
    <row r="9394" ht="15" customHeight="1" x14ac:dyDescent="0.25"/>
    <row r="9395" ht="15" customHeight="1" x14ac:dyDescent="0.25"/>
    <row r="9396" ht="15" customHeight="1" x14ac:dyDescent="0.25"/>
    <row r="9397" ht="15" customHeight="1" x14ac:dyDescent="0.25"/>
    <row r="9398" ht="15" customHeight="1" x14ac:dyDescent="0.25"/>
    <row r="9399" ht="15" customHeight="1" x14ac:dyDescent="0.25"/>
    <row r="9400" ht="15" customHeight="1" x14ac:dyDescent="0.25"/>
    <row r="9401" ht="15" customHeight="1" x14ac:dyDescent="0.25"/>
    <row r="9402" ht="15" customHeight="1" x14ac:dyDescent="0.25"/>
    <row r="9403" ht="15" customHeight="1" x14ac:dyDescent="0.25"/>
    <row r="9404" ht="15" customHeight="1" x14ac:dyDescent="0.25"/>
    <row r="9405" ht="15" customHeight="1" x14ac:dyDescent="0.25"/>
    <row r="9406" ht="15" customHeight="1" x14ac:dyDescent="0.25"/>
    <row r="9407" ht="15" customHeight="1" x14ac:dyDescent="0.25"/>
    <row r="9408" ht="15" customHeight="1" x14ac:dyDescent="0.25"/>
    <row r="9409" ht="15" customHeight="1" x14ac:dyDescent="0.25"/>
    <row r="9410" ht="15" customHeight="1" x14ac:dyDescent="0.25"/>
    <row r="9411" ht="15" customHeight="1" x14ac:dyDescent="0.25"/>
    <row r="9412" ht="15" customHeight="1" x14ac:dyDescent="0.25"/>
    <row r="9413" ht="15" customHeight="1" x14ac:dyDescent="0.25"/>
    <row r="9414" ht="15" customHeight="1" x14ac:dyDescent="0.25"/>
    <row r="9415" ht="15" customHeight="1" x14ac:dyDescent="0.25"/>
    <row r="9416" ht="15" customHeight="1" x14ac:dyDescent="0.25"/>
    <row r="9417" ht="15" customHeight="1" x14ac:dyDescent="0.25"/>
    <row r="9418" ht="15" customHeight="1" x14ac:dyDescent="0.25"/>
    <row r="9419" ht="15" customHeight="1" x14ac:dyDescent="0.25"/>
    <row r="9420" ht="15" customHeight="1" x14ac:dyDescent="0.25"/>
    <row r="9421" ht="15" customHeight="1" x14ac:dyDescent="0.25"/>
    <row r="9422" ht="15" customHeight="1" x14ac:dyDescent="0.25"/>
    <row r="9423" ht="15" customHeight="1" x14ac:dyDescent="0.25"/>
    <row r="9424" ht="15" customHeight="1" x14ac:dyDescent="0.25"/>
    <row r="9425" ht="15" customHeight="1" x14ac:dyDescent="0.25"/>
    <row r="9426" ht="15" customHeight="1" x14ac:dyDescent="0.25"/>
    <row r="9427" ht="15" customHeight="1" x14ac:dyDescent="0.25"/>
    <row r="9428" ht="15" customHeight="1" x14ac:dyDescent="0.25"/>
    <row r="9429" ht="15" customHeight="1" x14ac:dyDescent="0.25"/>
    <row r="9430" ht="15" customHeight="1" x14ac:dyDescent="0.25"/>
    <row r="9431" ht="15" customHeight="1" x14ac:dyDescent="0.25"/>
    <row r="9432" ht="15" customHeight="1" x14ac:dyDescent="0.25"/>
    <row r="9433" ht="15" customHeight="1" x14ac:dyDescent="0.25"/>
    <row r="9434" ht="15" customHeight="1" x14ac:dyDescent="0.25"/>
    <row r="9435" ht="15" customHeight="1" x14ac:dyDescent="0.25"/>
    <row r="9436" ht="15" customHeight="1" x14ac:dyDescent="0.25"/>
    <row r="9437" ht="15" customHeight="1" x14ac:dyDescent="0.25"/>
    <row r="9438" ht="15" customHeight="1" x14ac:dyDescent="0.25"/>
    <row r="9439" ht="15" customHeight="1" x14ac:dyDescent="0.25"/>
    <row r="9440" ht="15" customHeight="1" x14ac:dyDescent="0.25"/>
    <row r="9441" ht="15" customHeight="1" x14ac:dyDescent="0.25"/>
    <row r="9442" ht="15" customHeight="1" x14ac:dyDescent="0.25"/>
    <row r="9443" ht="15" customHeight="1" x14ac:dyDescent="0.25"/>
    <row r="9444" ht="15" customHeight="1" x14ac:dyDescent="0.25"/>
    <row r="9445" ht="15" customHeight="1" x14ac:dyDescent="0.25"/>
    <row r="9446" ht="15" customHeight="1" x14ac:dyDescent="0.25"/>
    <row r="9447" ht="15" customHeight="1" x14ac:dyDescent="0.25"/>
    <row r="9448" ht="15" customHeight="1" x14ac:dyDescent="0.25"/>
    <row r="9449" ht="15" customHeight="1" x14ac:dyDescent="0.25"/>
    <row r="9450" ht="15" customHeight="1" x14ac:dyDescent="0.25"/>
    <row r="9451" ht="15" customHeight="1" x14ac:dyDescent="0.25"/>
    <row r="9452" ht="15" customHeight="1" x14ac:dyDescent="0.25"/>
    <row r="9453" ht="15" customHeight="1" x14ac:dyDescent="0.25"/>
    <row r="9454" ht="15" customHeight="1" x14ac:dyDescent="0.25"/>
    <row r="9455" ht="15" customHeight="1" x14ac:dyDescent="0.25"/>
    <row r="9456" ht="15" customHeight="1" x14ac:dyDescent="0.25"/>
    <row r="9457" ht="15" customHeight="1" x14ac:dyDescent="0.25"/>
    <row r="9458" ht="15" customHeight="1" x14ac:dyDescent="0.25"/>
    <row r="9459" ht="15" customHeight="1" x14ac:dyDescent="0.25"/>
    <row r="9460" ht="15" customHeight="1" x14ac:dyDescent="0.25"/>
    <row r="9461" ht="15" customHeight="1" x14ac:dyDescent="0.25"/>
    <row r="9462" ht="15" customHeight="1" x14ac:dyDescent="0.25"/>
    <row r="9463" ht="15" customHeight="1" x14ac:dyDescent="0.25"/>
    <row r="9464" ht="15" customHeight="1" x14ac:dyDescent="0.25"/>
    <row r="9465" ht="15" customHeight="1" x14ac:dyDescent="0.25"/>
    <row r="9466" ht="15" customHeight="1" x14ac:dyDescent="0.25"/>
    <row r="9467" ht="15" customHeight="1" x14ac:dyDescent="0.25"/>
    <row r="9468" ht="15" customHeight="1" x14ac:dyDescent="0.25"/>
    <row r="9469" ht="15" customHeight="1" x14ac:dyDescent="0.25"/>
    <row r="9470" ht="15" customHeight="1" x14ac:dyDescent="0.25"/>
    <row r="9471" ht="15" customHeight="1" x14ac:dyDescent="0.25"/>
    <row r="9472" ht="15" customHeight="1" x14ac:dyDescent="0.25"/>
    <row r="9473" ht="15" customHeight="1" x14ac:dyDescent="0.25"/>
    <row r="9474" ht="15" customHeight="1" x14ac:dyDescent="0.25"/>
    <row r="9475" ht="15" customHeight="1" x14ac:dyDescent="0.25"/>
    <row r="9476" ht="15" customHeight="1" x14ac:dyDescent="0.25"/>
    <row r="9477" ht="15" customHeight="1" x14ac:dyDescent="0.25"/>
    <row r="9478" ht="15" customHeight="1" x14ac:dyDescent="0.25"/>
    <row r="9479" ht="15" customHeight="1" x14ac:dyDescent="0.25"/>
    <row r="9480" ht="15" customHeight="1" x14ac:dyDescent="0.25"/>
    <row r="9481" ht="15" customHeight="1" x14ac:dyDescent="0.25"/>
    <row r="9482" ht="15" customHeight="1" x14ac:dyDescent="0.25"/>
    <row r="9483" ht="15" customHeight="1" x14ac:dyDescent="0.25"/>
    <row r="9484" ht="15" customHeight="1" x14ac:dyDescent="0.25"/>
    <row r="9485" ht="15" customHeight="1" x14ac:dyDescent="0.25"/>
    <row r="9486" ht="15" customHeight="1" x14ac:dyDescent="0.25"/>
    <row r="9487" ht="15" customHeight="1" x14ac:dyDescent="0.25"/>
    <row r="9488" ht="15" customHeight="1" x14ac:dyDescent="0.25"/>
    <row r="9489" ht="15" customHeight="1" x14ac:dyDescent="0.25"/>
    <row r="9490" ht="15" customHeight="1" x14ac:dyDescent="0.25"/>
    <row r="9491" ht="15" customHeight="1" x14ac:dyDescent="0.25"/>
    <row r="9492" ht="15" customHeight="1" x14ac:dyDescent="0.25"/>
    <row r="9493" ht="15" customHeight="1" x14ac:dyDescent="0.25"/>
    <row r="9494" ht="15" customHeight="1" x14ac:dyDescent="0.25"/>
    <row r="9495" ht="15" customHeight="1" x14ac:dyDescent="0.25"/>
    <row r="9496" ht="15" customHeight="1" x14ac:dyDescent="0.25"/>
    <row r="9497" ht="15" customHeight="1" x14ac:dyDescent="0.25"/>
    <row r="9498" ht="15" customHeight="1" x14ac:dyDescent="0.25"/>
    <row r="9499" ht="15" customHeight="1" x14ac:dyDescent="0.25"/>
    <row r="9500" ht="15" customHeight="1" x14ac:dyDescent="0.25"/>
    <row r="9501" ht="15" customHeight="1" x14ac:dyDescent="0.25"/>
    <row r="9502" ht="15" customHeight="1" x14ac:dyDescent="0.25"/>
    <row r="9503" ht="15" customHeight="1" x14ac:dyDescent="0.25"/>
    <row r="9504" ht="15" customHeight="1" x14ac:dyDescent="0.25"/>
    <row r="9505" ht="15" customHeight="1" x14ac:dyDescent="0.25"/>
    <row r="9506" ht="15" customHeight="1" x14ac:dyDescent="0.25"/>
    <row r="9507" ht="15" customHeight="1" x14ac:dyDescent="0.25"/>
    <row r="9508" ht="15" customHeight="1" x14ac:dyDescent="0.25"/>
    <row r="9509" ht="15" customHeight="1" x14ac:dyDescent="0.25"/>
    <row r="9510" ht="15" customHeight="1" x14ac:dyDescent="0.25"/>
    <row r="9511" ht="15" customHeight="1" x14ac:dyDescent="0.25"/>
    <row r="9512" ht="15" customHeight="1" x14ac:dyDescent="0.25"/>
    <row r="9513" ht="15" customHeight="1" x14ac:dyDescent="0.25"/>
    <row r="9514" ht="15" customHeight="1" x14ac:dyDescent="0.25"/>
    <row r="9515" ht="15" customHeight="1" x14ac:dyDescent="0.25"/>
    <row r="9516" ht="15" customHeight="1" x14ac:dyDescent="0.25"/>
    <row r="9517" ht="15" customHeight="1" x14ac:dyDescent="0.25"/>
    <row r="9518" ht="15" customHeight="1" x14ac:dyDescent="0.25"/>
    <row r="9519" ht="15" customHeight="1" x14ac:dyDescent="0.25"/>
    <row r="9520" ht="15" customHeight="1" x14ac:dyDescent="0.25"/>
    <row r="9521" ht="15" customHeight="1" x14ac:dyDescent="0.25"/>
    <row r="9522" ht="15" customHeight="1" x14ac:dyDescent="0.25"/>
    <row r="9523" ht="15" customHeight="1" x14ac:dyDescent="0.25"/>
    <row r="9524" ht="15" customHeight="1" x14ac:dyDescent="0.25"/>
    <row r="9525" ht="15" customHeight="1" x14ac:dyDescent="0.25"/>
    <row r="9526" ht="15" customHeight="1" x14ac:dyDescent="0.25"/>
    <row r="9527" ht="15" customHeight="1" x14ac:dyDescent="0.25"/>
    <row r="9528" ht="15" customHeight="1" x14ac:dyDescent="0.25"/>
    <row r="9529" ht="15" customHeight="1" x14ac:dyDescent="0.25"/>
    <row r="9530" ht="15" customHeight="1" x14ac:dyDescent="0.25"/>
    <row r="9531" ht="15" customHeight="1" x14ac:dyDescent="0.25"/>
    <row r="9532" ht="15" customHeight="1" x14ac:dyDescent="0.25"/>
    <row r="9533" ht="15" customHeight="1" x14ac:dyDescent="0.25"/>
    <row r="9534" ht="15" customHeight="1" x14ac:dyDescent="0.25"/>
    <row r="9535" ht="15" customHeight="1" x14ac:dyDescent="0.25"/>
    <row r="9536" ht="15" customHeight="1" x14ac:dyDescent="0.25"/>
    <row r="9537" ht="15" customHeight="1" x14ac:dyDescent="0.25"/>
    <row r="9538" ht="15" customHeight="1" x14ac:dyDescent="0.25"/>
    <row r="9539" ht="15" customHeight="1" x14ac:dyDescent="0.25"/>
    <row r="9540" ht="15" customHeight="1" x14ac:dyDescent="0.25"/>
    <row r="9541" ht="15" customHeight="1" x14ac:dyDescent="0.25"/>
    <row r="9542" ht="15" customHeight="1" x14ac:dyDescent="0.25"/>
    <row r="9543" ht="15" customHeight="1" x14ac:dyDescent="0.25"/>
    <row r="9544" ht="15" customHeight="1" x14ac:dyDescent="0.25"/>
    <row r="9545" ht="15" customHeight="1" x14ac:dyDescent="0.25"/>
    <row r="9546" ht="15" customHeight="1" x14ac:dyDescent="0.25"/>
    <row r="9547" ht="15" customHeight="1" x14ac:dyDescent="0.25"/>
    <row r="9548" ht="15" customHeight="1" x14ac:dyDescent="0.25"/>
    <row r="9549" ht="15" customHeight="1" x14ac:dyDescent="0.25"/>
    <row r="9550" ht="15" customHeight="1" x14ac:dyDescent="0.25"/>
    <row r="9551" ht="15" customHeight="1" x14ac:dyDescent="0.25"/>
    <row r="9552" ht="15" customHeight="1" x14ac:dyDescent="0.25"/>
    <row r="9553" ht="15" customHeight="1" x14ac:dyDescent="0.25"/>
    <row r="9554" ht="15" customHeight="1" x14ac:dyDescent="0.25"/>
    <row r="9555" ht="15" customHeight="1" x14ac:dyDescent="0.25"/>
    <row r="9556" ht="15" customHeight="1" x14ac:dyDescent="0.25"/>
    <row r="9557" ht="15" customHeight="1" x14ac:dyDescent="0.25"/>
    <row r="9558" ht="15" customHeight="1" x14ac:dyDescent="0.25"/>
    <row r="9559" ht="15" customHeight="1" x14ac:dyDescent="0.25"/>
    <row r="9560" ht="15" customHeight="1" x14ac:dyDescent="0.25"/>
    <row r="9561" ht="15" customHeight="1" x14ac:dyDescent="0.25"/>
    <row r="9562" ht="15" customHeight="1" x14ac:dyDescent="0.25"/>
    <row r="9563" ht="15" customHeight="1" x14ac:dyDescent="0.25"/>
    <row r="9564" ht="15" customHeight="1" x14ac:dyDescent="0.25"/>
    <row r="9565" ht="15" customHeight="1" x14ac:dyDescent="0.25"/>
    <row r="9566" ht="15" customHeight="1" x14ac:dyDescent="0.25"/>
    <row r="9567" ht="15" customHeight="1" x14ac:dyDescent="0.25"/>
    <row r="9568" ht="15" customHeight="1" x14ac:dyDescent="0.25"/>
    <row r="9569" ht="15" customHeight="1" x14ac:dyDescent="0.25"/>
    <row r="9570" ht="15" customHeight="1" x14ac:dyDescent="0.25"/>
    <row r="9571" ht="15" customHeight="1" x14ac:dyDescent="0.25"/>
    <row r="9572" ht="15" customHeight="1" x14ac:dyDescent="0.25"/>
    <row r="9573" ht="15" customHeight="1" x14ac:dyDescent="0.25"/>
    <row r="9574" ht="15" customHeight="1" x14ac:dyDescent="0.25"/>
    <row r="9575" ht="15" customHeight="1" x14ac:dyDescent="0.25"/>
    <row r="9576" ht="15" customHeight="1" x14ac:dyDescent="0.25"/>
    <row r="9577" ht="15" customHeight="1" x14ac:dyDescent="0.25"/>
    <row r="9578" ht="15" customHeight="1" x14ac:dyDescent="0.25"/>
    <row r="9579" ht="15" customHeight="1" x14ac:dyDescent="0.25"/>
    <row r="9580" ht="15" customHeight="1" x14ac:dyDescent="0.25"/>
    <row r="9581" ht="15" customHeight="1" x14ac:dyDescent="0.25"/>
    <row r="9582" ht="15" customHeight="1" x14ac:dyDescent="0.25"/>
    <row r="9583" ht="15" customHeight="1" x14ac:dyDescent="0.25"/>
    <row r="9584" ht="15" customHeight="1" x14ac:dyDescent="0.25"/>
    <row r="9585" ht="15" customHeight="1" x14ac:dyDescent="0.25"/>
    <row r="9586" ht="15" customHeight="1" x14ac:dyDescent="0.25"/>
    <row r="9587" ht="15" customHeight="1" x14ac:dyDescent="0.25"/>
    <row r="9588" ht="15" customHeight="1" x14ac:dyDescent="0.25"/>
    <row r="9589" ht="15" customHeight="1" x14ac:dyDescent="0.25"/>
    <row r="9590" ht="15" customHeight="1" x14ac:dyDescent="0.25"/>
    <row r="9591" ht="15" customHeight="1" x14ac:dyDescent="0.25"/>
    <row r="9592" ht="15" customHeight="1" x14ac:dyDescent="0.25"/>
    <row r="9593" ht="15" customHeight="1" x14ac:dyDescent="0.25"/>
    <row r="9594" ht="15" customHeight="1" x14ac:dyDescent="0.25"/>
    <row r="9595" ht="15" customHeight="1" x14ac:dyDescent="0.25"/>
    <row r="9596" ht="15" customHeight="1" x14ac:dyDescent="0.25"/>
    <row r="9597" ht="15" customHeight="1" x14ac:dyDescent="0.25"/>
    <row r="9598" ht="15" customHeight="1" x14ac:dyDescent="0.25"/>
    <row r="9599" ht="15" customHeight="1" x14ac:dyDescent="0.25"/>
    <row r="9600" ht="15" customHeight="1" x14ac:dyDescent="0.25"/>
    <row r="9601" ht="15" customHeight="1" x14ac:dyDescent="0.25"/>
    <row r="9602" ht="15" customHeight="1" x14ac:dyDescent="0.25"/>
    <row r="9603" ht="15" customHeight="1" x14ac:dyDescent="0.25"/>
    <row r="9604" ht="15" customHeight="1" x14ac:dyDescent="0.25"/>
    <row r="9605" ht="15" customHeight="1" x14ac:dyDescent="0.25"/>
    <row r="9606" ht="15" customHeight="1" x14ac:dyDescent="0.25"/>
    <row r="9607" ht="15" customHeight="1" x14ac:dyDescent="0.25"/>
    <row r="9609" ht="15" customHeight="1" x14ac:dyDescent="0.25"/>
    <row r="9610" ht="15" customHeight="1" x14ac:dyDescent="0.25"/>
    <row r="9611" ht="15" customHeight="1" x14ac:dyDescent="0.25"/>
    <row r="9612" ht="15" customHeight="1" x14ac:dyDescent="0.25"/>
    <row r="9613" ht="15" customHeight="1" x14ac:dyDescent="0.25"/>
    <row r="9614" ht="15" customHeight="1" x14ac:dyDescent="0.25"/>
    <row r="9615" ht="15" customHeight="1" x14ac:dyDescent="0.25"/>
    <row r="9616" ht="15" customHeight="1" x14ac:dyDescent="0.25"/>
    <row r="9617" ht="15" customHeight="1" x14ac:dyDescent="0.25"/>
    <row r="9618" ht="15" customHeight="1" x14ac:dyDescent="0.25"/>
    <row r="9619" ht="15" customHeight="1" x14ac:dyDescent="0.25"/>
    <row r="9620" ht="15" customHeight="1" x14ac:dyDescent="0.25"/>
    <row r="9621" ht="15" customHeight="1" x14ac:dyDescent="0.25"/>
    <row r="9622" ht="15" customHeight="1" x14ac:dyDescent="0.25"/>
    <row r="9623" ht="15" customHeight="1" x14ac:dyDescent="0.25"/>
    <row r="9624" ht="15" customHeight="1" x14ac:dyDescent="0.25"/>
    <row r="9625" ht="15" customHeight="1" x14ac:dyDescent="0.25"/>
    <row r="9626" ht="15" customHeight="1" x14ac:dyDescent="0.25"/>
    <row r="9627" ht="15" customHeight="1" x14ac:dyDescent="0.25"/>
    <row r="9628" ht="15" customHeight="1" x14ac:dyDescent="0.25"/>
    <row r="9629" ht="15" customHeight="1" x14ac:dyDescent="0.25"/>
    <row r="9630" ht="15" customHeight="1" x14ac:dyDescent="0.25"/>
    <row r="9631" ht="15" customHeight="1" x14ac:dyDescent="0.25"/>
    <row r="9632" ht="15" customHeight="1" x14ac:dyDescent="0.25"/>
    <row r="9633" ht="15" customHeight="1" x14ac:dyDescent="0.25"/>
    <row r="9634" ht="15" customHeight="1" x14ac:dyDescent="0.25"/>
    <row r="9635" ht="15" customHeight="1" x14ac:dyDescent="0.25"/>
    <row r="9636" ht="15" customHeight="1" x14ac:dyDescent="0.25"/>
    <row r="9637" ht="15" customHeight="1" x14ac:dyDescent="0.25"/>
    <row r="9639" ht="15" customHeight="1" x14ac:dyDescent="0.25"/>
    <row r="9640" ht="15" customHeight="1" x14ac:dyDescent="0.25"/>
    <row r="9641" ht="15" customHeight="1" x14ac:dyDescent="0.25"/>
    <row r="9642" ht="15" customHeight="1" x14ac:dyDescent="0.25"/>
    <row r="9643" ht="15" customHeight="1" x14ac:dyDescent="0.25"/>
    <row r="9644" ht="15" customHeight="1" x14ac:dyDescent="0.25"/>
    <row r="9645" ht="15" customHeight="1" x14ac:dyDescent="0.25"/>
    <row r="9646" ht="15" customHeight="1" x14ac:dyDescent="0.25"/>
    <row r="9647" ht="15" customHeight="1" x14ac:dyDescent="0.25"/>
    <row r="9648" ht="15" customHeight="1" x14ac:dyDescent="0.25"/>
    <row r="9649" ht="15" customHeight="1" x14ac:dyDescent="0.25"/>
    <row r="9650" ht="15" customHeight="1" x14ac:dyDescent="0.25"/>
    <row r="9651" ht="15" customHeight="1" x14ac:dyDescent="0.25"/>
    <row r="9652" ht="15" customHeight="1" x14ac:dyDescent="0.25"/>
    <row r="9653" ht="15" customHeight="1" x14ac:dyDescent="0.25"/>
    <row r="9654" ht="15" customHeight="1" x14ac:dyDescent="0.25"/>
    <row r="9655" ht="15" customHeight="1" x14ac:dyDescent="0.25"/>
    <row r="9656" ht="15" customHeight="1" x14ac:dyDescent="0.25"/>
    <row r="9657" ht="15" customHeight="1" x14ac:dyDescent="0.25"/>
    <row r="9658" ht="15" customHeight="1" x14ac:dyDescent="0.25"/>
    <row r="9659" ht="15" customHeight="1" x14ac:dyDescent="0.25"/>
    <row r="9660" ht="15" customHeight="1" x14ac:dyDescent="0.25"/>
    <row r="9661" ht="15" customHeight="1" x14ac:dyDescent="0.25"/>
    <row r="9662" ht="15" customHeight="1" x14ac:dyDescent="0.25"/>
    <row r="9663" ht="15" customHeight="1" x14ac:dyDescent="0.25"/>
    <row r="9664" ht="15" customHeight="1" x14ac:dyDescent="0.25"/>
    <row r="9665" ht="15" customHeight="1" x14ac:dyDescent="0.25"/>
    <row r="9666" ht="15" customHeight="1" x14ac:dyDescent="0.25"/>
    <row r="9667" ht="15" customHeight="1" x14ac:dyDescent="0.25"/>
    <row r="9669" ht="15" customHeight="1" x14ac:dyDescent="0.25"/>
    <row r="9670" ht="15" customHeight="1" x14ac:dyDescent="0.25"/>
    <row r="9671" ht="15" customHeight="1" x14ac:dyDescent="0.25"/>
    <row r="9672" ht="15" customHeight="1" x14ac:dyDescent="0.25"/>
    <row r="9673" ht="15" customHeight="1" x14ac:dyDescent="0.25"/>
    <row r="9674" ht="15" customHeight="1" x14ac:dyDescent="0.25"/>
    <row r="9675" ht="15" customHeight="1" x14ac:dyDescent="0.25"/>
    <row r="9676" ht="15" customHeight="1" x14ac:dyDescent="0.25"/>
    <row r="9677" ht="15" customHeight="1" x14ac:dyDescent="0.25"/>
    <row r="9678" ht="15" customHeight="1" x14ac:dyDescent="0.25"/>
    <row r="9679" ht="15" customHeight="1" x14ac:dyDescent="0.25"/>
    <row r="9680" ht="15" customHeight="1" x14ac:dyDescent="0.25"/>
    <row r="9681" ht="15" customHeight="1" x14ac:dyDescent="0.25"/>
    <row r="9682" ht="15" customHeight="1" x14ac:dyDescent="0.25"/>
    <row r="9683" ht="15" customHeight="1" x14ac:dyDescent="0.25"/>
    <row r="9684" ht="15" customHeight="1" x14ac:dyDescent="0.25"/>
    <row r="9685" ht="15" customHeight="1" x14ac:dyDescent="0.25"/>
    <row r="9686" ht="15" customHeight="1" x14ac:dyDescent="0.25"/>
    <row r="9687" ht="15" customHeight="1" x14ac:dyDescent="0.25"/>
    <row r="9688" ht="15" customHeight="1" x14ac:dyDescent="0.25"/>
    <row r="9689" ht="15" customHeight="1" x14ac:dyDescent="0.25"/>
    <row r="9690" ht="15" customHeight="1" x14ac:dyDescent="0.25"/>
    <row r="9691" ht="15" customHeight="1" x14ac:dyDescent="0.25"/>
    <row r="9692" ht="15" customHeight="1" x14ac:dyDescent="0.25"/>
    <row r="9693" ht="15" customHeight="1" x14ac:dyDescent="0.25"/>
    <row r="9694" ht="15" customHeight="1" x14ac:dyDescent="0.25"/>
    <row r="9695" ht="15" customHeight="1" x14ac:dyDescent="0.25"/>
    <row r="9696" ht="15" customHeight="1" x14ac:dyDescent="0.25"/>
    <row r="9697" ht="15" customHeight="1" x14ac:dyDescent="0.25"/>
    <row r="9698" ht="15" customHeight="1" x14ac:dyDescent="0.25"/>
    <row r="9699" ht="15" customHeight="1" x14ac:dyDescent="0.25"/>
    <row r="9701" ht="15" customHeight="1" x14ac:dyDescent="0.25"/>
    <row r="9702" ht="15" customHeight="1" x14ac:dyDescent="0.25"/>
    <row r="9703" ht="15" customHeight="1" x14ac:dyDescent="0.25"/>
    <row r="9704" ht="15" customHeight="1" x14ac:dyDescent="0.25"/>
    <row r="9705" ht="15" customHeight="1" x14ac:dyDescent="0.25"/>
    <row r="9706" ht="15" customHeight="1" x14ac:dyDescent="0.25"/>
    <row r="9707" ht="15" customHeight="1" x14ac:dyDescent="0.25"/>
    <row r="9708" ht="15" customHeight="1" x14ac:dyDescent="0.25"/>
    <row r="9709" ht="15" customHeight="1" x14ac:dyDescent="0.25"/>
    <row r="9710" ht="15" customHeight="1" x14ac:dyDescent="0.25"/>
    <row r="9711" ht="15" customHeight="1" x14ac:dyDescent="0.25"/>
    <row r="9712" ht="15" customHeight="1" x14ac:dyDescent="0.25"/>
    <row r="9713" ht="15" customHeight="1" x14ac:dyDescent="0.25"/>
    <row r="9714" ht="15" customHeight="1" x14ac:dyDescent="0.25"/>
    <row r="9715" ht="15" customHeight="1" x14ac:dyDescent="0.25"/>
    <row r="9716" ht="15" customHeight="1" x14ac:dyDescent="0.25"/>
    <row r="9717" ht="15" customHeight="1" x14ac:dyDescent="0.25"/>
    <row r="9718" ht="15" customHeight="1" x14ac:dyDescent="0.25"/>
    <row r="9719" ht="15" customHeight="1" x14ac:dyDescent="0.25"/>
    <row r="9720" ht="15" customHeight="1" x14ac:dyDescent="0.25"/>
    <row r="9721" ht="15" customHeight="1" x14ac:dyDescent="0.25"/>
    <row r="9722" ht="15" customHeight="1" x14ac:dyDescent="0.25"/>
    <row r="9723" ht="15" customHeight="1" x14ac:dyDescent="0.25"/>
    <row r="9724" ht="15" customHeight="1" x14ac:dyDescent="0.25"/>
    <row r="9725" ht="15" customHeight="1" x14ac:dyDescent="0.25"/>
    <row r="9726" ht="15" customHeight="1" x14ac:dyDescent="0.25"/>
    <row r="9727" ht="15" customHeight="1" x14ac:dyDescent="0.25"/>
    <row r="9728" ht="15" customHeight="1" x14ac:dyDescent="0.25"/>
    <row r="9729" ht="15" customHeight="1" x14ac:dyDescent="0.25"/>
    <row r="9730" ht="15" customHeight="1" x14ac:dyDescent="0.25"/>
    <row r="9731" ht="15" customHeight="1" x14ac:dyDescent="0.25"/>
    <row r="9732" ht="15" customHeight="1" x14ac:dyDescent="0.25"/>
    <row r="9733" ht="15" customHeight="1" x14ac:dyDescent="0.25"/>
    <row r="9734" ht="15" customHeight="1" x14ac:dyDescent="0.25"/>
    <row r="9735" ht="15" customHeight="1" x14ac:dyDescent="0.25"/>
    <row r="9736" ht="15" customHeight="1" x14ac:dyDescent="0.25"/>
    <row r="9737" ht="15" customHeight="1" x14ac:dyDescent="0.25"/>
    <row r="9738" ht="15" customHeight="1" x14ac:dyDescent="0.25"/>
    <row r="9739" ht="15" customHeight="1" x14ac:dyDescent="0.25"/>
    <row r="9740" ht="15" customHeight="1" x14ac:dyDescent="0.25"/>
    <row r="9741" ht="15" customHeight="1" x14ac:dyDescent="0.25"/>
    <row r="9742" ht="15" customHeight="1" x14ac:dyDescent="0.25"/>
    <row r="9743" ht="15" customHeight="1" x14ac:dyDescent="0.25"/>
    <row r="9744" ht="15" customHeight="1" x14ac:dyDescent="0.25"/>
    <row r="9745" ht="15" customHeight="1" x14ac:dyDescent="0.25"/>
    <row r="9746" ht="15" customHeight="1" x14ac:dyDescent="0.25"/>
    <row r="9747" ht="15" customHeight="1" x14ac:dyDescent="0.25"/>
    <row r="9748" ht="15" customHeight="1" x14ac:dyDescent="0.25"/>
    <row r="9749" ht="15" customHeight="1" x14ac:dyDescent="0.25"/>
    <row r="9750" ht="15" customHeight="1" x14ac:dyDescent="0.25"/>
    <row r="9751" ht="15" customHeight="1" x14ac:dyDescent="0.25"/>
    <row r="9752" ht="15" customHeight="1" x14ac:dyDescent="0.25"/>
    <row r="9754" ht="15" customHeight="1" x14ac:dyDescent="0.25"/>
    <row r="9755" ht="15" customHeight="1" x14ac:dyDescent="0.25"/>
    <row r="9756" ht="15" customHeight="1" x14ac:dyDescent="0.25"/>
    <row r="9757" ht="15" customHeight="1" x14ac:dyDescent="0.25"/>
    <row r="9758" ht="15" customHeight="1" x14ac:dyDescent="0.25"/>
    <row r="9759" ht="15" customHeight="1" x14ac:dyDescent="0.25"/>
    <row r="9760" ht="15" customHeight="1" x14ac:dyDescent="0.25"/>
    <row r="9761" ht="15" customHeight="1" x14ac:dyDescent="0.25"/>
    <row r="9762" ht="15" customHeight="1" x14ac:dyDescent="0.25"/>
    <row r="9763" ht="15" customHeight="1" x14ac:dyDescent="0.25"/>
    <row r="9764" ht="15" customHeight="1" x14ac:dyDescent="0.25"/>
    <row r="9765" ht="15" customHeight="1" x14ac:dyDescent="0.25"/>
    <row r="9766" ht="15" customHeight="1" x14ac:dyDescent="0.25"/>
    <row r="9767" ht="15" customHeight="1" x14ac:dyDescent="0.25"/>
    <row r="9768" ht="15" customHeight="1" x14ac:dyDescent="0.25"/>
    <row r="9769" ht="15" customHeight="1" x14ac:dyDescent="0.25"/>
    <row r="9770" ht="15" customHeight="1" x14ac:dyDescent="0.25"/>
    <row r="9771" ht="15" customHeight="1" x14ac:dyDescent="0.25"/>
    <row r="9772" ht="15" customHeight="1" x14ac:dyDescent="0.25"/>
    <row r="9773" ht="15" customHeight="1" x14ac:dyDescent="0.25"/>
    <row r="9774" ht="15" customHeight="1" x14ac:dyDescent="0.25"/>
    <row r="9775" ht="15" customHeight="1" x14ac:dyDescent="0.25"/>
    <row r="9776" ht="15" customHeight="1" x14ac:dyDescent="0.25"/>
    <row r="9777" ht="15" customHeight="1" x14ac:dyDescent="0.25"/>
    <row r="9778" ht="15" customHeight="1" x14ac:dyDescent="0.25"/>
    <row r="9779" ht="15" customHeight="1" x14ac:dyDescent="0.25"/>
    <row r="9780" ht="15" customHeight="1" x14ac:dyDescent="0.25"/>
    <row r="9781" ht="15" customHeight="1" x14ac:dyDescent="0.25"/>
    <row r="9782" ht="15" customHeight="1" x14ac:dyDescent="0.25"/>
    <row r="9784" ht="15" customHeight="1" x14ac:dyDescent="0.25"/>
    <row r="9785" ht="15" customHeight="1" x14ac:dyDescent="0.25"/>
    <row r="9786" ht="15" customHeight="1" x14ac:dyDescent="0.25"/>
    <row r="9787" ht="15" customHeight="1" x14ac:dyDescent="0.25"/>
    <row r="9788" ht="15" customHeight="1" x14ac:dyDescent="0.25"/>
    <row r="9789" ht="15" customHeight="1" x14ac:dyDescent="0.25"/>
    <row r="9790" ht="15" customHeight="1" x14ac:dyDescent="0.25"/>
    <row r="9791" ht="15" customHeight="1" x14ac:dyDescent="0.25"/>
    <row r="9792" ht="15" customHeight="1" x14ac:dyDescent="0.25"/>
    <row r="9793" ht="15" customHeight="1" x14ac:dyDescent="0.25"/>
    <row r="9794" ht="15" customHeight="1" x14ac:dyDescent="0.25"/>
    <row r="9795" ht="15" customHeight="1" x14ac:dyDescent="0.25"/>
    <row r="9796" ht="15" customHeight="1" x14ac:dyDescent="0.25"/>
    <row r="9797" ht="15" customHeight="1" x14ac:dyDescent="0.25"/>
    <row r="9798" ht="15" customHeight="1" x14ac:dyDescent="0.25"/>
    <row r="9799" ht="15" customHeight="1" x14ac:dyDescent="0.25"/>
    <row r="9800" ht="15" customHeight="1" x14ac:dyDescent="0.25"/>
    <row r="9801" ht="15" customHeight="1" x14ac:dyDescent="0.25"/>
    <row r="9802" ht="15" customHeight="1" x14ac:dyDescent="0.25"/>
    <row r="9803" ht="15" customHeight="1" x14ac:dyDescent="0.25"/>
    <row r="9804" ht="15" customHeight="1" x14ac:dyDescent="0.25"/>
    <row r="9805" ht="15" customHeight="1" x14ac:dyDescent="0.25"/>
    <row r="9806" ht="15" customHeight="1" x14ac:dyDescent="0.25"/>
    <row r="9807" ht="15" customHeight="1" x14ac:dyDescent="0.25"/>
    <row r="9808" ht="15" customHeight="1" x14ac:dyDescent="0.25"/>
    <row r="9809" ht="15" customHeight="1" x14ac:dyDescent="0.25"/>
    <row r="9810" ht="15" customHeight="1" x14ac:dyDescent="0.25"/>
    <row r="9811" ht="15" customHeight="1" x14ac:dyDescent="0.25"/>
    <row r="9812" ht="15" customHeight="1" x14ac:dyDescent="0.25"/>
    <row r="9814" ht="15" customHeight="1" x14ac:dyDescent="0.25"/>
    <row r="9815" ht="15" customHeight="1" x14ac:dyDescent="0.25"/>
    <row r="9816" ht="15" customHeight="1" x14ac:dyDescent="0.25"/>
    <row r="9817" ht="15" customHeight="1" x14ac:dyDescent="0.25"/>
    <row r="9818" ht="15" customHeight="1" x14ac:dyDescent="0.25"/>
    <row r="9819" ht="15" customHeight="1" x14ac:dyDescent="0.25"/>
    <row r="9820" ht="15" customHeight="1" x14ac:dyDescent="0.25"/>
    <row r="9821" ht="15" customHeight="1" x14ac:dyDescent="0.25"/>
    <row r="9822" ht="15" customHeight="1" x14ac:dyDescent="0.25"/>
    <row r="9823" ht="15" customHeight="1" x14ac:dyDescent="0.25"/>
    <row r="9824" ht="15" customHeight="1" x14ac:dyDescent="0.25"/>
    <row r="9825" ht="15" customHeight="1" x14ac:dyDescent="0.25"/>
    <row r="9826" ht="15" customHeight="1" x14ac:dyDescent="0.25"/>
    <row r="9827" ht="15" customHeight="1" x14ac:dyDescent="0.25"/>
    <row r="9828" ht="15" customHeight="1" x14ac:dyDescent="0.25"/>
    <row r="9829" ht="15" customHeight="1" x14ac:dyDescent="0.25"/>
    <row r="9830" ht="15" customHeight="1" x14ac:dyDescent="0.25"/>
    <row r="9831" ht="15" customHeight="1" x14ac:dyDescent="0.25"/>
    <row r="9832" ht="15" customHeight="1" x14ac:dyDescent="0.25"/>
    <row r="9833" ht="15" customHeight="1" x14ac:dyDescent="0.25"/>
    <row r="9834" ht="15" customHeight="1" x14ac:dyDescent="0.25"/>
    <row r="9835" ht="15" customHeight="1" x14ac:dyDescent="0.25"/>
    <row r="9836" ht="15" customHeight="1" x14ac:dyDescent="0.25"/>
    <row r="9837" ht="15" customHeight="1" x14ac:dyDescent="0.25"/>
    <row r="9838" ht="15" customHeight="1" x14ac:dyDescent="0.25"/>
    <row r="9839" ht="15" customHeight="1" x14ac:dyDescent="0.25"/>
    <row r="9840" ht="15" customHeight="1" x14ac:dyDescent="0.25"/>
    <row r="9841" ht="15" customHeight="1" x14ac:dyDescent="0.25"/>
    <row r="9842" ht="15" customHeight="1" x14ac:dyDescent="0.25"/>
    <row r="9844" ht="15" customHeight="1" x14ac:dyDescent="0.25"/>
    <row r="9845" ht="15" customHeight="1" x14ac:dyDescent="0.25"/>
    <row r="9846" ht="15" customHeight="1" x14ac:dyDescent="0.25"/>
    <row r="9847" ht="15" customHeight="1" x14ac:dyDescent="0.25"/>
    <row r="9848" ht="15" customHeight="1" x14ac:dyDescent="0.25"/>
    <row r="9849" ht="15" customHeight="1" x14ac:dyDescent="0.25"/>
    <row r="9850" ht="15" customHeight="1" x14ac:dyDescent="0.25"/>
    <row r="9851" ht="15" customHeight="1" x14ac:dyDescent="0.25"/>
    <row r="9852" ht="15" customHeight="1" x14ac:dyDescent="0.25"/>
    <row r="9853" ht="15" customHeight="1" x14ac:dyDescent="0.25"/>
    <row r="9854" ht="15" customHeight="1" x14ac:dyDescent="0.25"/>
    <row r="9855" ht="15" customHeight="1" x14ac:dyDescent="0.25"/>
    <row r="9856" ht="15" customHeight="1" x14ac:dyDescent="0.25"/>
    <row r="9857" ht="15" customHeight="1" x14ac:dyDescent="0.25"/>
    <row r="9858" ht="15" customHeight="1" x14ac:dyDescent="0.25"/>
    <row r="9859" ht="15" customHeight="1" x14ac:dyDescent="0.25"/>
    <row r="9860" ht="15" customHeight="1" x14ac:dyDescent="0.25"/>
    <row r="9872" ht="15" customHeight="1" x14ac:dyDescent="0.25"/>
    <row r="9873" ht="15" customHeight="1" x14ac:dyDescent="0.25"/>
    <row r="9874" ht="15" customHeight="1" x14ac:dyDescent="0.25"/>
    <row r="9875" ht="15" customHeight="1" x14ac:dyDescent="0.25"/>
    <row r="9876" ht="15" customHeight="1" x14ac:dyDescent="0.25"/>
    <row r="9877" ht="15" customHeight="1" x14ac:dyDescent="0.25"/>
    <row r="9878" ht="15" customHeight="1" x14ac:dyDescent="0.25"/>
    <row r="9879" ht="15" customHeight="1" x14ac:dyDescent="0.25"/>
    <row r="9880" ht="15" customHeight="1" x14ac:dyDescent="0.25"/>
    <row r="9881" ht="15" customHeight="1" x14ac:dyDescent="0.25"/>
    <row r="9893" ht="15" customHeight="1" x14ac:dyDescent="0.25"/>
    <row r="9894" ht="15" customHeight="1" x14ac:dyDescent="0.25"/>
    <row r="9895" ht="15" customHeight="1" x14ac:dyDescent="0.25"/>
    <row r="9896" ht="15" customHeight="1" x14ac:dyDescent="0.25"/>
    <row r="9897" ht="15" customHeight="1" x14ac:dyDescent="0.25"/>
    <row r="9910" ht="15" customHeight="1" x14ac:dyDescent="0.25"/>
    <row r="9911" ht="15" customHeight="1" x14ac:dyDescent="0.25"/>
    <row r="9912" ht="15" customHeight="1" x14ac:dyDescent="0.25"/>
    <row r="9913" ht="15" customHeight="1" x14ac:dyDescent="0.25"/>
    <row r="9914" ht="15" customHeight="1" x14ac:dyDescent="0.25"/>
    <row r="9926" ht="15" customHeight="1" x14ac:dyDescent="0.25"/>
    <row r="9927" ht="15" customHeight="1" x14ac:dyDescent="0.25"/>
    <row r="9928" ht="15" customHeight="1" x14ac:dyDescent="0.25"/>
    <row r="9929" ht="15" customHeight="1" x14ac:dyDescent="0.25"/>
    <row r="9930" ht="15" customHeight="1" x14ac:dyDescent="0.25"/>
    <row r="9942" ht="15" customHeight="1" x14ac:dyDescent="0.25"/>
    <row r="9943" ht="15" customHeight="1" x14ac:dyDescent="0.25"/>
    <row r="9944" ht="15" customHeight="1" x14ac:dyDescent="0.25"/>
    <row r="9945" ht="15" customHeight="1" x14ac:dyDescent="0.25"/>
    <row r="9946" ht="15" customHeight="1" x14ac:dyDescent="0.25"/>
    <row r="9947" ht="15" customHeight="1" x14ac:dyDescent="0.25"/>
    <row r="9948" ht="15" customHeight="1" x14ac:dyDescent="0.25"/>
    <row r="9949" ht="15" customHeight="1" x14ac:dyDescent="0.25"/>
    <row r="9950" ht="15" customHeight="1" x14ac:dyDescent="0.25"/>
    <row r="9951" ht="15" customHeight="1" x14ac:dyDescent="0.25"/>
    <row r="9952" ht="15" customHeight="1" x14ac:dyDescent="0.25"/>
    <row r="9953" ht="15" customHeight="1" x14ac:dyDescent="0.25"/>
    <row r="9954" ht="15" customHeight="1" x14ac:dyDescent="0.25"/>
    <row r="9955" ht="15" customHeight="1" x14ac:dyDescent="0.25"/>
    <row r="9956" ht="15" customHeight="1" x14ac:dyDescent="0.25"/>
    <row r="9968" ht="15" customHeight="1" x14ac:dyDescent="0.25"/>
    <row r="9969" ht="15" customHeight="1" x14ac:dyDescent="0.25"/>
    <row r="9970" ht="15" customHeight="1" x14ac:dyDescent="0.25"/>
    <row r="9971" ht="15" customHeight="1" x14ac:dyDescent="0.25"/>
    <row r="9972" ht="15" customHeight="1" x14ac:dyDescent="0.25"/>
    <row r="9973" ht="15" customHeight="1" x14ac:dyDescent="0.25"/>
    <row r="9974" ht="15" customHeight="1" x14ac:dyDescent="0.25"/>
    <row r="9975" ht="15" customHeight="1" x14ac:dyDescent="0.25"/>
    <row r="9976" ht="15" customHeight="1" x14ac:dyDescent="0.25"/>
    <row r="9988" ht="15" customHeight="1" x14ac:dyDescent="0.25"/>
    <row r="9989" ht="15" customHeight="1" x14ac:dyDescent="0.25"/>
    <row r="9990" ht="15" customHeight="1" x14ac:dyDescent="0.25"/>
    <row r="9991" ht="15" customHeight="1" x14ac:dyDescent="0.25"/>
    <row r="9992" ht="15" customHeight="1" x14ac:dyDescent="0.25"/>
    <row r="9993" ht="15" customHeight="1" x14ac:dyDescent="0.25"/>
    <row r="9994" ht="15" customHeight="1" x14ac:dyDescent="0.25"/>
    <row r="9995" ht="15" customHeight="1" x14ac:dyDescent="0.25"/>
    <row r="9996" ht="15" customHeight="1" x14ac:dyDescent="0.25"/>
    <row r="10008" ht="15" customHeight="1" x14ac:dyDescent="0.25"/>
    <row r="10009" ht="15" customHeight="1" x14ac:dyDescent="0.25"/>
    <row r="10010" ht="15" customHeight="1" x14ac:dyDescent="0.25"/>
    <row r="10011" ht="15" customHeight="1" x14ac:dyDescent="0.25"/>
    <row r="10012" ht="15" customHeight="1" x14ac:dyDescent="0.25"/>
    <row r="10025" ht="15" customHeight="1" x14ac:dyDescent="0.25"/>
    <row r="10026" ht="15" customHeight="1" x14ac:dyDescent="0.25"/>
    <row r="10027" ht="15" customHeight="1" x14ac:dyDescent="0.25"/>
    <row r="10028" ht="15" customHeight="1" x14ac:dyDescent="0.25"/>
    <row r="10029" ht="15" customHeight="1" x14ac:dyDescent="0.25"/>
    <row r="10030" ht="15" customHeight="1" x14ac:dyDescent="0.25"/>
    <row r="10031" ht="15" customHeight="1" x14ac:dyDescent="0.25"/>
    <row r="10032" ht="15" customHeight="1" x14ac:dyDescent="0.25"/>
    <row r="10033" ht="15" customHeight="1" x14ac:dyDescent="0.25"/>
    <row r="10034" ht="15" customHeight="1" x14ac:dyDescent="0.25"/>
    <row r="10035" ht="15" customHeight="1" x14ac:dyDescent="0.25"/>
    <row r="10049" ht="15" customHeight="1" x14ac:dyDescent="0.25"/>
    <row r="10050" ht="15" customHeight="1" x14ac:dyDescent="0.25"/>
    <row r="10051" ht="15" customHeight="1" x14ac:dyDescent="0.25"/>
    <row r="10052" ht="15" customHeight="1" x14ac:dyDescent="0.25"/>
    <row r="10053" ht="15" customHeight="1" x14ac:dyDescent="0.25"/>
    <row r="10054" ht="15" customHeight="1" x14ac:dyDescent="0.25"/>
    <row r="10055" ht="15" customHeight="1" x14ac:dyDescent="0.25"/>
    <row r="10056" ht="15" customHeight="1" x14ac:dyDescent="0.25"/>
    <row r="10057" ht="15" customHeight="1" x14ac:dyDescent="0.25"/>
    <row r="10058" ht="15" customHeight="1" x14ac:dyDescent="0.25"/>
    <row r="10059" ht="15" customHeight="1" x14ac:dyDescent="0.25"/>
    <row r="10073" ht="15" customHeight="1" x14ac:dyDescent="0.25"/>
    <row r="10074" ht="15" customHeight="1" x14ac:dyDescent="0.25"/>
    <row r="10075" ht="15" customHeight="1" x14ac:dyDescent="0.25"/>
    <row r="10076" ht="15" customHeight="1" x14ac:dyDescent="0.25"/>
    <row r="10077" ht="15" customHeight="1" x14ac:dyDescent="0.25"/>
    <row r="10078" ht="15" customHeight="1" x14ac:dyDescent="0.25"/>
    <row r="10079" ht="15" customHeight="1" x14ac:dyDescent="0.25"/>
    <row r="10080" ht="15" customHeight="1" x14ac:dyDescent="0.25"/>
    <row r="10092" ht="15" customHeight="1" x14ac:dyDescent="0.25"/>
    <row r="10093" ht="15" customHeight="1" x14ac:dyDescent="0.25"/>
    <row r="10094" ht="15" customHeight="1" x14ac:dyDescent="0.25"/>
    <row r="10095" ht="15" customHeight="1" x14ac:dyDescent="0.25"/>
    <row r="10096" ht="15" customHeight="1" x14ac:dyDescent="0.25"/>
    <row r="10097" ht="15" customHeight="1" x14ac:dyDescent="0.25"/>
    <row r="10098" ht="15" customHeight="1" x14ac:dyDescent="0.25"/>
    <row r="10099" ht="15" customHeight="1" x14ac:dyDescent="0.25"/>
    <row r="10100" ht="15" customHeight="1" x14ac:dyDescent="0.25"/>
    <row r="10112" ht="15" customHeight="1" x14ac:dyDescent="0.25"/>
    <row r="10113" ht="15" customHeight="1" x14ac:dyDescent="0.25"/>
    <row r="10114" ht="15" customHeight="1" x14ac:dyDescent="0.25"/>
    <row r="10115" ht="15" customHeight="1" x14ac:dyDescent="0.25"/>
    <row r="10116" ht="15" customHeight="1" x14ac:dyDescent="0.25"/>
    <row r="10117" ht="15" customHeight="1" x14ac:dyDescent="0.25"/>
    <row r="10118" ht="15" customHeight="1" x14ac:dyDescent="0.25"/>
    <row r="10119" ht="15" customHeight="1" x14ac:dyDescent="0.25"/>
    <row r="10120" ht="15" customHeight="1" x14ac:dyDescent="0.25"/>
    <row r="10132" ht="15" customHeight="1" x14ac:dyDescent="0.25"/>
    <row r="10133" ht="15" customHeight="1" x14ac:dyDescent="0.25"/>
    <row r="10134" ht="15" customHeight="1" x14ac:dyDescent="0.25"/>
    <row r="10135" ht="15" customHeight="1" x14ac:dyDescent="0.25"/>
    <row r="10136" ht="15" customHeight="1" x14ac:dyDescent="0.25"/>
    <row r="10137" ht="15" customHeight="1" x14ac:dyDescent="0.25"/>
    <row r="10138" ht="15" customHeight="1" x14ac:dyDescent="0.25"/>
    <row r="10139" ht="15" customHeight="1" x14ac:dyDescent="0.25"/>
    <row r="10140" ht="15" customHeight="1" x14ac:dyDescent="0.25"/>
    <row r="10152" ht="15" customHeight="1" x14ac:dyDescent="0.25"/>
    <row r="10153" ht="15" customHeight="1" x14ac:dyDescent="0.25"/>
    <row r="10154" ht="15" customHeight="1" x14ac:dyDescent="0.25"/>
    <row r="10155" ht="15" customHeight="1" x14ac:dyDescent="0.25"/>
    <row r="10156" ht="15" customHeight="1" x14ac:dyDescent="0.25"/>
    <row r="10157" ht="15" customHeight="1" x14ac:dyDescent="0.25"/>
    <row r="10158" ht="15" customHeight="1" x14ac:dyDescent="0.25"/>
    <row r="10159" ht="15" customHeight="1" x14ac:dyDescent="0.25"/>
    <row r="10160" ht="15" customHeight="1" x14ac:dyDescent="0.25"/>
    <row r="10172" ht="15" customHeight="1" x14ac:dyDescent="0.25"/>
    <row r="10173" ht="15" customHeight="1" x14ac:dyDescent="0.25"/>
    <row r="10174" ht="15" customHeight="1" x14ac:dyDescent="0.25"/>
    <row r="10175" ht="15" customHeight="1" x14ac:dyDescent="0.25"/>
    <row r="10176" ht="15" customHeight="1" x14ac:dyDescent="0.25"/>
    <row r="10177" ht="15" customHeight="1" x14ac:dyDescent="0.25"/>
    <row r="10178" ht="15" customHeight="1" x14ac:dyDescent="0.25"/>
    <row r="10179" ht="15" customHeight="1" x14ac:dyDescent="0.25"/>
    <row r="10180" ht="15" customHeight="1" x14ac:dyDescent="0.25"/>
    <row r="10192" ht="15" customHeight="1" x14ac:dyDescent="0.25"/>
    <row r="10193" ht="15" customHeight="1" x14ac:dyDescent="0.25"/>
    <row r="10194" ht="15" customHeight="1" x14ac:dyDescent="0.25"/>
    <row r="10195" ht="15" customHeight="1" x14ac:dyDescent="0.25"/>
    <row r="10196" ht="15" customHeight="1" x14ac:dyDescent="0.25"/>
    <row r="10197" ht="15" customHeight="1" x14ac:dyDescent="0.25"/>
    <row r="10198" ht="15" customHeight="1" x14ac:dyDescent="0.25"/>
    <row r="10199" ht="15" customHeight="1" x14ac:dyDescent="0.25"/>
    <row r="10200" ht="15" customHeight="1" x14ac:dyDescent="0.25"/>
    <row r="10201" ht="15" customHeight="1" x14ac:dyDescent="0.25"/>
    <row r="10202" ht="15" customHeight="1" x14ac:dyDescent="0.25"/>
    <row r="10203" ht="15" customHeight="1" x14ac:dyDescent="0.25"/>
    <row r="10204" ht="15" customHeight="1" x14ac:dyDescent="0.25"/>
    <row r="10205" ht="15" customHeight="1" x14ac:dyDescent="0.25"/>
    <row r="10206" ht="15" customHeight="1" x14ac:dyDescent="0.25"/>
    <row r="10207" ht="15" customHeight="1" x14ac:dyDescent="0.25"/>
    <row r="10208" ht="15" customHeight="1" x14ac:dyDescent="0.25"/>
    <row r="10209" ht="15" customHeight="1" x14ac:dyDescent="0.25"/>
    <row r="10210" ht="15" customHeight="1" x14ac:dyDescent="0.25"/>
    <row r="10211" ht="15" customHeight="1" x14ac:dyDescent="0.25"/>
    <row r="10212" ht="15" customHeight="1" x14ac:dyDescent="0.25"/>
    <row r="10213" ht="15" customHeight="1" x14ac:dyDescent="0.25"/>
    <row r="10214" ht="15" customHeight="1" x14ac:dyDescent="0.25"/>
    <row r="10226" ht="15" customHeight="1" x14ac:dyDescent="0.25"/>
    <row r="10227" ht="15" customHeight="1" x14ac:dyDescent="0.25"/>
    <row r="10228" ht="15" customHeight="1" x14ac:dyDescent="0.25"/>
    <row r="10229" ht="15" customHeight="1" x14ac:dyDescent="0.25"/>
    <row r="10230" ht="15" customHeight="1" x14ac:dyDescent="0.25"/>
    <row r="10231" ht="15" customHeight="1" x14ac:dyDescent="0.25"/>
    <row r="10232" ht="15" customHeight="1" x14ac:dyDescent="0.25"/>
    <row r="10244" ht="15" customHeight="1" x14ac:dyDescent="0.25"/>
    <row r="10245" ht="15" customHeight="1" x14ac:dyDescent="0.25"/>
    <row r="10246" ht="15" customHeight="1" x14ac:dyDescent="0.25"/>
    <row r="10247" ht="15" customHeight="1" x14ac:dyDescent="0.25"/>
    <row r="10248" ht="15" customHeight="1" x14ac:dyDescent="0.25"/>
    <row r="10249" ht="15" customHeight="1" x14ac:dyDescent="0.25"/>
    <row r="10250" ht="15" customHeight="1" x14ac:dyDescent="0.25"/>
    <row r="10251" ht="15" customHeight="1" x14ac:dyDescent="0.25"/>
    <row r="10252" ht="15" customHeight="1" x14ac:dyDescent="0.25"/>
    <row r="10253" ht="15" customHeight="1" x14ac:dyDescent="0.25"/>
    <row r="10254" ht="15" customHeight="1" x14ac:dyDescent="0.25"/>
    <row r="10255" ht="15" customHeight="1" x14ac:dyDescent="0.25"/>
    <row r="10256" ht="15" customHeight="1" x14ac:dyDescent="0.25"/>
    <row r="10257" ht="15" customHeight="1" x14ac:dyDescent="0.25"/>
    <row r="10269" ht="15" customHeight="1" x14ac:dyDescent="0.25"/>
    <row r="10270" ht="15" customHeight="1" x14ac:dyDescent="0.25"/>
    <row r="10271" ht="15" customHeight="1" x14ac:dyDescent="0.25"/>
    <row r="10272" ht="15" customHeight="1" x14ac:dyDescent="0.25"/>
    <row r="10273" ht="15" customHeight="1" x14ac:dyDescent="0.25"/>
    <row r="10274" ht="15" customHeight="1" x14ac:dyDescent="0.25"/>
    <row r="10286" ht="15" customHeight="1" x14ac:dyDescent="0.25"/>
    <row r="10287" ht="15" customHeight="1" x14ac:dyDescent="0.25"/>
    <row r="10288" ht="15" customHeight="1" x14ac:dyDescent="0.25"/>
    <row r="10289" ht="15" customHeight="1" x14ac:dyDescent="0.25"/>
    <row r="10290" ht="15" customHeight="1" x14ac:dyDescent="0.25"/>
    <row r="10291" ht="15" customHeight="1" x14ac:dyDescent="0.25"/>
    <row r="10292" ht="15" customHeight="1" x14ac:dyDescent="0.25"/>
    <row r="10293" ht="15" customHeight="1" x14ac:dyDescent="0.25"/>
    <row r="10294" ht="15" customHeight="1" x14ac:dyDescent="0.25"/>
    <row r="10295" ht="15" customHeight="1" x14ac:dyDescent="0.25"/>
    <row r="10296" ht="15" customHeight="1" x14ac:dyDescent="0.25"/>
    <row r="10297" ht="15" customHeight="1" x14ac:dyDescent="0.25"/>
    <row r="10298" ht="15" customHeight="1" x14ac:dyDescent="0.25"/>
    <row r="10299" ht="15" customHeight="1" x14ac:dyDescent="0.25"/>
    <row r="10311" ht="15" customHeight="1" x14ac:dyDescent="0.25"/>
    <row r="10312" ht="15" customHeight="1" x14ac:dyDescent="0.25"/>
    <row r="10313" ht="15" customHeight="1" x14ac:dyDescent="0.25"/>
    <row r="10314" ht="15" customHeight="1" x14ac:dyDescent="0.25"/>
    <row r="10315" ht="15" customHeight="1" x14ac:dyDescent="0.25"/>
    <row r="10316" ht="15" customHeight="1" x14ac:dyDescent="0.25"/>
    <row r="10317" ht="15" customHeight="1" x14ac:dyDescent="0.25"/>
    <row r="10318" ht="15" customHeight="1" x14ac:dyDescent="0.25"/>
    <row r="10319" ht="15" customHeight="1" x14ac:dyDescent="0.25"/>
    <row r="10320" ht="15" customHeight="1" x14ac:dyDescent="0.25"/>
    <row r="10321" ht="15" customHeight="1" x14ac:dyDescent="0.25"/>
    <row r="10322" ht="15" customHeight="1" x14ac:dyDescent="0.25"/>
    <row r="10323" ht="15" customHeight="1" x14ac:dyDescent="0.25"/>
    <row r="10324" ht="15" customHeight="1" x14ac:dyDescent="0.25"/>
    <row r="10325" ht="15" customHeight="1" x14ac:dyDescent="0.25"/>
    <row r="10326" ht="15" customHeight="1" x14ac:dyDescent="0.25"/>
    <row r="10327" ht="15" customHeight="1" x14ac:dyDescent="0.25"/>
    <row r="10328" ht="15" customHeight="1" x14ac:dyDescent="0.25"/>
    <row r="10329" ht="15" customHeight="1" x14ac:dyDescent="0.25"/>
    <row r="10330" ht="15" customHeight="1" x14ac:dyDescent="0.25"/>
    <row r="10331" ht="15" customHeight="1" x14ac:dyDescent="0.25"/>
    <row r="10332" ht="15" customHeight="1" x14ac:dyDescent="0.25"/>
    <row r="10333" ht="15" customHeight="1" x14ac:dyDescent="0.25"/>
    <row r="10334" ht="15" customHeight="1" x14ac:dyDescent="0.25"/>
    <row r="10335" ht="15" customHeight="1" x14ac:dyDescent="0.25"/>
    <row r="10336" ht="15" customHeight="1" x14ac:dyDescent="0.25"/>
    <row r="10341" ht="15" customHeight="1" x14ac:dyDescent="0.25"/>
    <row r="10348" ht="15" customHeight="1" x14ac:dyDescent="0.25"/>
    <row r="10349" ht="15" customHeight="1" x14ac:dyDescent="0.25"/>
    <row r="10350" ht="15" customHeight="1" x14ac:dyDescent="0.25"/>
    <row r="10351" ht="15" customHeight="1" x14ac:dyDescent="0.25"/>
    <row r="10352" ht="15" customHeight="1" x14ac:dyDescent="0.25"/>
    <row r="10353" ht="15" customHeight="1" x14ac:dyDescent="0.25"/>
    <row r="10354" ht="15" customHeight="1" x14ac:dyDescent="0.25"/>
    <row r="10355" ht="15" customHeight="1" x14ac:dyDescent="0.25"/>
    <row r="10356" ht="15" customHeight="1" x14ac:dyDescent="0.25"/>
    <row r="10357" ht="15" customHeight="1" x14ac:dyDescent="0.25"/>
    <row r="10358" ht="15" customHeight="1" x14ac:dyDescent="0.25"/>
    <row r="10359" ht="15" customHeight="1" x14ac:dyDescent="0.25"/>
    <row r="10360" ht="15" customHeight="1" x14ac:dyDescent="0.25"/>
    <row r="10361" ht="15" customHeight="1" x14ac:dyDescent="0.25"/>
    <row r="10362" ht="15" customHeight="1" x14ac:dyDescent="0.25"/>
    <row r="10363" ht="15" customHeight="1" x14ac:dyDescent="0.25"/>
    <row r="10364" ht="15" customHeight="1" x14ac:dyDescent="0.25"/>
    <row r="10365" ht="15" customHeight="1" x14ac:dyDescent="0.25"/>
    <row r="10366" ht="15" customHeight="1" x14ac:dyDescent="0.25"/>
    <row r="10367" ht="15" customHeight="1" x14ac:dyDescent="0.25"/>
    <row r="10368" ht="15" customHeight="1" x14ac:dyDescent="0.25"/>
    <row r="10369" ht="15" customHeight="1" x14ac:dyDescent="0.25"/>
    <row r="10370" ht="15" customHeight="1" x14ac:dyDescent="0.25"/>
    <row r="10371" ht="15" customHeight="1" x14ac:dyDescent="0.25"/>
    <row r="10372" ht="15" customHeight="1" x14ac:dyDescent="0.25"/>
    <row r="10373" ht="15" customHeight="1" x14ac:dyDescent="0.25"/>
    <row r="10378" ht="15" customHeight="1" x14ac:dyDescent="0.25"/>
    <row r="10385" ht="15" customHeight="1" x14ac:dyDescent="0.25"/>
    <row r="10386" ht="15" customHeight="1" x14ac:dyDescent="0.25"/>
    <row r="10387" ht="15" customHeight="1" x14ac:dyDescent="0.25"/>
    <row r="10388" ht="15" customHeight="1" x14ac:dyDescent="0.25"/>
    <row r="10389" ht="15" customHeight="1" x14ac:dyDescent="0.25"/>
    <row r="10390" ht="15" customHeight="1" x14ac:dyDescent="0.25"/>
    <row r="10391" ht="15" customHeight="1" x14ac:dyDescent="0.25"/>
    <row r="10392" ht="15" customHeight="1" x14ac:dyDescent="0.25"/>
    <row r="10393" ht="15" customHeight="1" x14ac:dyDescent="0.25"/>
    <row r="10394" ht="15" customHeight="1" x14ac:dyDescent="0.25"/>
    <row r="10395" ht="15" customHeight="1" x14ac:dyDescent="0.25"/>
    <row r="10396" ht="15" customHeight="1" x14ac:dyDescent="0.25"/>
    <row r="10397" ht="15" customHeight="1" x14ac:dyDescent="0.25"/>
    <row r="10398" ht="15" customHeight="1" x14ac:dyDescent="0.25"/>
    <row r="10399" ht="15" customHeight="1" x14ac:dyDescent="0.25"/>
    <row r="10400" ht="15" customHeight="1" x14ac:dyDescent="0.25"/>
    <row r="10401" ht="15" customHeight="1" x14ac:dyDescent="0.25"/>
    <row r="10402" ht="15" customHeight="1" x14ac:dyDescent="0.25"/>
    <row r="10403" ht="15" customHeight="1" x14ac:dyDescent="0.25"/>
    <row r="10404" ht="15" customHeight="1" x14ac:dyDescent="0.25"/>
    <row r="10405" ht="15" customHeight="1" x14ac:dyDescent="0.25"/>
    <row r="10406" ht="15" customHeight="1" x14ac:dyDescent="0.25"/>
    <row r="10407" ht="15" customHeight="1" x14ac:dyDescent="0.25"/>
    <row r="10408" ht="15" customHeight="1" x14ac:dyDescent="0.25"/>
    <row r="10413" ht="15" customHeight="1" x14ac:dyDescent="0.25"/>
    <row r="10425" ht="15" customHeight="1" x14ac:dyDescent="0.25"/>
    <row r="10426" ht="15" customHeight="1" x14ac:dyDescent="0.25"/>
    <row r="10427" ht="15" customHeight="1" x14ac:dyDescent="0.25"/>
    <row r="10428" ht="15" customHeight="1" x14ac:dyDescent="0.25"/>
    <row r="10429" ht="15" customHeight="1" x14ac:dyDescent="0.25"/>
    <row r="10430" ht="15" customHeight="1" x14ac:dyDescent="0.25"/>
    <row r="10431" ht="15" customHeight="1" x14ac:dyDescent="0.25"/>
    <row r="10432" ht="15" customHeight="1" x14ac:dyDescent="0.25"/>
    <row r="10433" ht="15" customHeight="1" x14ac:dyDescent="0.25"/>
    <row r="10434" ht="15" customHeight="1" x14ac:dyDescent="0.25"/>
    <row r="10435" ht="15" customHeight="1" x14ac:dyDescent="0.25"/>
    <row r="10436" ht="15" customHeight="1" x14ac:dyDescent="0.25"/>
    <row r="10437" ht="15" customHeight="1" x14ac:dyDescent="0.25"/>
    <row r="10438" ht="15" customHeight="1" x14ac:dyDescent="0.25"/>
    <row r="10439" ht="15" customHeight="1" x14ac:dyDescent="0.25"/>
    <row r="10440" ht="15" customHeight="1" x14ac:dyDescent="0.25"/>
    <row r="10441" ht="15" customHeight="1" x14ac:dyDescent="0.25"/>
    <row r="10442" ht="15" customHeight="1" x14ac:dyDescent="0.25"/>
    <row r="10443" ht="15" customHeight="1" x14ac:dyDescent="0.25"/>
    <row r="10444" ht="15" customHeight="1" x14ac:dyDescent="0.25"/>
    <row r="10445" ht="15" customHeight="1" x14ac:dyDescent="0.25"/>
    <row r="10446" ht="15" customHeight="1" x14ac:dyDescent="0.25"/>
    <row r="10447" ht="15" customHeight="1" x14ac:dyDescent="0.25"/>
    <row r="10448" ht="15" customHeight="1" x14ac:dyDescent="0.25"/>
    <row r="10449" ht="15" customHeight="1" x14ac:dyDescent="0.25"/>
    <row r="10450" ht="15" customHeight="1" x14ac:dyDescent="0.25"/>
    <row r="10451" ht="15" customHeight="1" x14ac:dyDescent="0.25"/>
    <row r="10452" ht="15" customHeight="1" x14ac:dyDescent="0.25"/>
    <row r="10453" ht="15" customHeight="1" x14ac:dyDescent="0.25"/>
    <row r="10454" ht="15" customHeight="1" x14ac:dyDescent="0.25"/>
    <row r="10465" ht="15" customHeight="1" x14ac:dyDescent="0.25"/>
    <row r="10466" ht="15" customHeight="1" x14ac:dyDescent="0.25"/>
    <row r="10467" ht="15" customHeight="1" x14ac:dyDescent="0.25"/>
    <row r="10468" ht="15" customHeight="1" x14ac:dyDescent="0.25"/>
    <row r="10469" ht="15" customHeight="1" x14ac:dyDescent="0.25"/>
    <row r="10470" ht="15" customHeight="1" x14ac:dyDescent="0.25"/>
    <row r="10471" ht="15" customHeight="1" x14ac:dyDescent="0.25"/>
    <row r="10472" ht="15" customHeight="1" x14ac:dyDescent="0.25"/>
    <row r="10473" ht="15" customHeight="1" x14ac:dyDescent="0.25"/>
    <row r="10474" ht="15" customHeight="1" x14ac:dyDescent="0.25"/>
    <row r="10475" ht="15" customHeight="1" x14ac:dyDescent="0.25"/>
    <row r="10476" ht="15" customHeight="1" x14ac:dyDescent="0.25"/>
    <row r="10477" ht="15" customHeight="1" x14ac:dyDescent="0.25"/>
    <row r="10478" ht="15" customHeight="1" x14ac:dyDescent="0.25"/>
    <row r="10479" ht="15" customHeight="1" x14ac:dyDescent="0.25"/>
    <row r="10480" ht="15" customHeight="1" x14ac:dyDescent="0.25"/>
    <row r="10481" ht="15" customHeight="1" x14ac:dyDescent="0.25"/>
    <row r="10482" ht="15" customHeight="1" x14ac:dyDescent="0.25"/>
    <row r="10483" ht="15" customHeight="1" x14ac:dyDescent="0.25"/>
    <row r="10484" ht="15" customHeight="1" x14ac:dyDescent="0.25"/>
    <row r="10485" ht="15" customHeight="1" x14ac:dyDescent="0.25"/>
    <row r="10486" ht="15" customHeight="1" x14ac:dyDescent="0.25"/>
    <row r="10487" ht="15" customHeight="1" x14ac:dyDescent="0.25"/>
    <row r="10488" ht="15" customHeight="1" x14ac:dyDescent="0.25"/>
    <row r="10489" ht="15" customHeight="1" x14ac:dyDescent="0.25"/>
    <row r="10490" ht="15" customHeight="1" x14ac:dyDescent="0.25"/>
    <row r="10491" ht="15" customHeight="1" x14ac:dyDescent="0.25"/>
    <row r="10492" ht="15" customHeight="1" x14ac:dyDescent="0.25"/>
    <row r="10493" ht="15" customHeight="1" x14ac:dyDescent="0.25"/>
    <row r="10494" ht="15" customHeight="1" x14ac:dyDescent="0.25"/>
    <row r="10505" ht="15" customHeight="1" x14ac:dyDescent="0.25"/>
    <row r="10506" ht="15" customHeight="1" x14ac:dyDescent="0.25"/>
    <row r="10507" ht="15" customHeight="1" x14ac:dyDescent="0.25"/>
    <row r="10508" ht="15" customHeight="1" x14ac:dyDescent="0.25"/>
    <row r="10509" ht="15" customHeight="1" x14ac:dyDescent="0.25"/>
    <row r="10510" ht="15" customHeight="1" x14ac:dyDescent="0.25"/>
    <row r="10511" ht="15" customHeight="1" x14ac:dyDescent="0.25"/>
    <row r="10512" ht="15" customHeight="1" x14ac:dyDescent="0.25"/>
    <row r="10513" ht="15" customHeight="1" x14ac:dyDescent="0.25"/>
    <row r="10514" ht="15" customHeight="1" x14ac:dyDescent="0.25"/>
    <row r="10515" ht="15" customHeight="1" x14ac:dyDescent="0.25"/>
    <row r="10516" ht="15" customHeight="1" x14ac:dyDescent="0.25"/>
    <row r="10517" ht="15" customHeight="1" x14ac:dyDescent="0.25"/>
    <row r="10518" ht="15" customHeight="1" x14ac:dyDescent="0.25"/>
    <row r="10519" ht="15" customHeight="1" x14ac:dyDescent="0.25"/>
    <row r="10520" ht="15" customHeight="1" x14ac:dyDescent="0.25"/>
    <row r="10521" ht="15" customHeight="1" x14ac:dyDescent="0.25"/>
    <row r="10522" ht="15" customHeight="1" x14ac:dyDescent="0.25"/>
    <row r="10523" ht="15" customHeight="1" x14ac:dyDescent="0.25"/>
    <row r="10524" ht="15" customHeight="1" x14ac:dyDescent="0.25"/>
    <row r="10525" ht="15" customHeight="1" x14ac:dyDescent="0.25"/>
    <row r="10526" ht="15" customHeight="1" x14ac:dyDescent="0.25"/>
    <row r="10527" ht="15" customHeight="1" x14ac:dyDescent="0.25"/>
    <row r="10528" ht="15" customHeight="1" x14ac:dyDescent="0.25"/>
    <row r="10529" ht="15" customHeight="1" x14ac:dyDescent="0.25"/>
    <row r="10530" ht="15" customHeight="1" x14ac:dyDescent="0.25"/>
    <row r="10531" ht="15" customHeight="1" x14ac:dyDescent="0.25"/>
    <row r="10532" ht="15" customHeight="1" x14ac:dyDescent="0.25"/>
    <row r="10533" ht="15" customHeight="1" x14ac:dyDescent="0.25"/>
    <row r="10534" ht="15" customHeight="1" x14ac:dyDescent="0.25"/>
    <row r="10535" ht="15" customHeight="1" x14ac:dyDescent="0.25"/>
    <row r="10546" ht="15" customHeight="1" x14ac:dyDescent="0.25"/>
    <row r="10547" ht="15" customHeight="1" x14ac:dyDescent="0.25"/>
    <row r="10548" ht="15" customHeight="1" x14ac:dyDescent="0.25"/>
    <row r="10549" ht="15" customHeight="1" x14ac:dyDescent="0.25"/>
    <row r="10550" ht="15" customHeight="1" x14ac:dyDescent="0.25"/>
    <row r="10551" ht="15" customHeight="1" x14ac:dyDescent="0.25"/>
    <row r="10552" ht="15" customHeight="1" x14ac:dyDescent="0.25"/>
    <row r="10553" ht="15" customHeight="1" x14ac:dyDescent="0.25"/>
    <row r="10554" ht="15" customHeight="1" x14ac:dyDescent="0.25"/>
    <row r="10555" ht="15" customHeight="1" x14ac:dyDescent="0.25"/>
    <row r="10556" ht="15" customHeight="1" x14ac:dyDescent="0.25"/>
    <row r="10557" ht="15" customHeight="1" x14ac:dyDescent="0.25"/>
    <row r="10558" ht="15" customHeight="1" x14ac:dyDescent="0.25"/>
    <row r="10559" ht="15" customHeight="1" x14ac:dyDescent="0.25"/>
    <row r="10560" ht="15" customHeight="1" x14ac:dyDescent="0.25"/>
    <row r="10561" ht="15" customHeight="1" x14ac:dyDescent="0.25"/>
    <row r="10562" ht="15" customHeight="1" x14ac:dyDescent="0.25"/>
    <row r="10563" ht="15" customHeight="1" x14ac:dyDescent="0.25"/>
    <row r="10564" ht="15" customHeight="1" x14ac:dyDescent="0.25"/>
    <row r="10565" ht="15" customHeight="1" x14ac:dyDescent="0.25"/>
    <row r="10566" ht="15" customHeight="1" x14ac:dyDescent="0.25"/>
    <row r="10567" ht="15" customHeight="1" x14ac:dyDescent="0.25"/>
    <row r="10568" ht="15" customHeight="1" x14ac:dyDescent="0.25"/>
    <row r="10569" ht="15" customHeight="1" x14ac:dyDescent="0.25"/>
    <row r="10570" ht="15" customHeight="1" x14ac:dyDescent="0.25"/>
    <row r="10571" ht="15" customHeight="1" x14ac:dyDescent="0.25"/>
    <row r="10572" ht="15" customHeight="1" x14ac:dyDescent="0.25"/>
    <row r="10573" ht="15" customHeight="1" x14ac:dyDescent="0.25"/>
    <row r="10574" ht="15" customHeight="1" x14ac:dyDescent="0.25"/>
    <row r="10575" ht="15" customHeight="1" x14ac:dyDescent="0.25"/>
    <row r="10576" ht="15" customHeight="1" x14ac:dyDescent="0.25"/>
    <row r="10587" ht="15" customHeight="1" x14ac:dyDescent="0.25"/>
    <row r="10588" ht="15" customHeight="1" x14ac:dyDescent="0.25"/>
    <row r="10589" ht="15" customHeight="1" x14ac:dyDescent="0.25"/>
    <row r="10590" ht="15" customHeight="1" x14ac:dyDescent="0.25"/>
    <row r="10591" ht="15" customHeight="1" x14ac:dyDescent="0.25"/>
    <row r="10592" ht="15" customHeight="1" x14ac:dyDescent="0.25"/>
    <row r="10593" ht="15" customHeight="1" x14ac:dyDescent="0.25"/>
    <row r="10594" ht="15" customHeight="1" x14ac:dyDescent="0.25"/>
    <row r="10595" ht="15" customHeight="1" x14ac:dyDescent="0.25"/>
    <row r="10596" ht="15" customHeight="1" x14ac:dyDescent="0.25"/>
    <row r="10597" ht="15" customHeight="1" x14ac:dyDescent="0.25"/>
    <row r="10598" ht="15" customHeight="1" x14ac:dyDescent="0.25"/>
    <row r="10599" ht="15" customHeight="1" x14ac:dyDescent="0.25"/>
    <row r="10600" ht="15" customHeight="1" x14ac:dyDescent="0.25"/>
    <row r="10601" ht="15" customHeight="1" x14ac:dyDescent="0.25"/>
    <row r="10602" ht="15" customHeight="1" x14ac:dyDescent="0.25"/>
    <row r="10603" ht="15" customHeight="1" x14ac:dyDescent="0.25"/>
    <row r="10604" ht="15" customHeight="1" x14ac:dyDescent="0.25"/>
    <row r="10605" ht="15" customHeight="1" x14ac:dyDescent="0.25"/>
    <row r="10606" ht="15" customHeight="1" x14ac:dyDescent="0.25"/>
    <row r="10607" ht="15" customHeight="1" x14ac:dyDescent="0.25"/>
    <row r="10608" ht="15" customHeight="1" x14ac:dyDescent="0.25"/>
    <row r="10609" ht="15" customHeight="1" x14ac:dyDescent="0.25"/>
    <row r="10610" ht="15" customHeight="1" x14ac:dyDescent="0.25"/>
    <row r="10611" ht="15" customHeight="1" x14ac:dyDescent="0.25"/>
    <row r="10612" ht="15" customHeight="1" x14ac:dyDescent="0.25"/>
    <row r="10613" ht="15" customHeight="1" x14ac:dyDescent="0.25"/>
    <row r="10614" ht="15" customHeight="1" x14ac:dyDescent="0.25"/>
    <row r="10615" ht="15" customHeight="1" x14ac:dyDescent="0.25"/>
    <row r="10616" ht="15" customHeight="1" x14ac:dyDescent="0.25"/>
    <row r="10617" ht="15" customHeight="1" x14ac:dyDescent="0.25"/>
    <row r="10628" ht="15" customHeight="1" x14ac:dyDescent="0.25"/>
    <row r="10629" ht="15" customHeight="1" x14ac:dyDescent="0.25"/>
    <row r="10630" ht="15" customHeight="1" x14ac:dyDescent="0.25"/>
    <row r="10631" ht="15" customHeight="1" x14ac:dyDescent="0.25"/>
    <row r="10632" ht="15" customHeight="1" x14ac:dyDescent="0.25"/>
    <row r="10633" ht="15" customHeight="1" x14ac:dyDescent="0.25"/>
    <row r="10634" ht="15" customHeight="1" x14ac:dyDescent="0.25"/>
    <row r="10635" ht="15" customHeight="1" x14ac:dyDescent="0.25"/>
    <row r="10636" ht="15" customHeight="1" x14ac:dyDescent="0.25"/>
    <row r="10637" ht="15" customHeight="1" x14ac:dyDescent="0.25"/>
    <row r="10638" ht="15" customHeight="1" x14ac:dyDescent="0.25"/>
    <row r="10639" ht="15" customHeight="1" x14ac:dyDescent="0.25"/>
    <row r="10640" ht="15" customHeight="1" x14ac:dyDescent="0.25"/>
    <row r="10641" ht="15" customHeight="1" x14ac:dyDescent="0.25"/>
    <row r="10642" ht="15" customHeight="1" x14ac:dyDescent="0.25"/>
    <row r="10643" ht="15" customHeight="1" x14ac:dyDescent="0.25"/>
    <row r="10644" ht="15" customHeight="1" x14ac:dyDescent="0.25"/>
    <row r="10645" ht="15" customHeight="1" x14ac:dyDescent="0.25"/>
    <row r="10646" ht="15" customHeight="1" x14ac:dyDescent="0.25"/>
    <row r="10647" ht="15" customHeight="1" x14ac:dyDescent="0.25"/>
    <row r="10648" ht="15" customHeight="1" x14ac:dyDescent="0.25"/>
    <row r="10649" ht="15" customHeight="1" x14ac:dyDescent="0.25"/>
    <row r="10650" ht="15" customHeight="1" x14ac:dyDescent="0.25"/>
    <row r="10651" ht="15" customHeight="1" x14ac:dyDescent="0.25"/>
    <row r="10652" ht="15" customHeight="1" x14ac:dyDescent="0.25"/>
    <row r="10653" ht="15" customHeight="1" x14ac:dyDescent="0.25"/>
    <row r="10654" ht="15" customHeight="1" x14ac:dyDescent="0.25"/>
    <row r="10655" ht="15" customHeight="1" x14ac:dyDescent="0.25"/>
    <row r="10656" ht="15" customHeight="1" x14ac:dyDescent="0.25"/>
    <row r="10657" ht="15" customHeight="1" x14ac:dyDescent="0.25"/>
    <row r="10658" ht="15" customHeight="1" x14ac:dyDescent="0.25"/>
    <row r="10669" ht="15" customHeight="1" x14ac:dyDescent="0.25"/>
    <row r="10670" ht="15" customHeight="1" x14ac:dyDescent="0.25"/>
    <row r="10671" ht="15" customHeight="1" x14ac:dyDescent="0.25"/>
    <row r="10672" ht="15" customHeight="1" x14ac:dyDescent="0.25"/>
    <row r="10673" ht="15" customHeight="1" x14ac:dyDescent="0.25"/>
    <row r="10674" ht="15" customHeight="1" x14ac:dyDescent="0.25"/>
    <row r="10675" ht="15" customHeight="1" x14ac:dyDescent="0.25"/>
    <row r="10676" ht="15" customHeight="1" x14ac:dyDescent="0.25"/>
    <row r="10677" ht="15" customHeight="1" x14ac:dyDescent="0.25"/>
    <row r="10678" ht="15" customHeight="1" x14ac:dyDescent="0.25"/>
    <row r="10679" ht="15" customHeight="1" x14ac:dyDescent="0.25"/>
    <row r="10680" ht="15" customHeight="1" x14ac:dyDescent="0.25"/>
    <row r="10681" ht="15" customHeight="1" x14ac:dyDescent="0.25"/>
    <row r="10682" ht="15" customHeight="1" x14ac:dyDescent="0.25"/>
    <row r="10683" ht="15" customHeight="1" x14ac:dyDescent="0.25"/>
    <row r="10684" ht="15" customHeight="1" x14ac:dyDescent="0.25"/>
    <row r="10685" ht="15" customHeight="1" x14ac:dyDescent="0.25"/>
    <row r="10686" ht="15" customHeight="1" x14ac:dyDescent="0.25"/>
    <row r="10687" ht="15" customHeight="1" x14ac:dyDescent="0.25"/>
    <row r="10688" ht="15" customHeight="1" x14ac:dyDescent="0.25"/>
    <row r="10689" ht="15" customHeight="1" x14ac:dyDescent="0.25"/>
    <row r="10690" ht="15" customHeight="1" x14ac:dyDescent="0.25"/>
    <row r="10691" ht="15" customHeight="1" x14ac:dyDescent="0.25"/>
    <row r="10692" ht="15" customHeight="1" x14ac:dyDescent="0.25"/>
    <row r="10693" ht="15" customHeight="1" x14ac:dyDescent="0.25"/>
    <row r="10694" ht="15" customHeight="1" x14ac:dyDescent="0.25"/>
    <row r="10695" ht="15" customHeight="1" x14ac:dyDescent="0.25"/>
    <row r="10696" ht="15" customHeight="1" x14ac:dyDescent="0.25"/>
    <row r="10697" ht="15" customHeight="1" x14ac:dyDescent="0.25"/>
    <row r="10698" ht="15" customHeight="1" x14ac:dyDescent="0.25"/>
    <row r="10699" ht="15" customHeight="1" x14ac:dyDescent="0.25"/>
    <row r="10710" ht="15" customHeight="1" x14ac:dyDescent="0.25"/>
    <row r="10711" ht="15" customHeight="1" x14ac:dyDescent="0.25"/>
    <row r="10712" ht="15" customHeight="1" x14ac:dyDescent="0.25"/>
    <row r="10713" ht="15" customHeight="1" x14ac:dyDescent="0.25"/>
    <row r="10714" ht="15" customHeight="1" x14ac:dyDescent="0.25"/>
    <row r="10715" ht="15" customHeight="1" x14ac:dyDescent="0.25"/>
    <row r="10716" ht="15" customHeight="1" x14ac:dyDescent="0.25"/>
    <row r="10717" ht="15" customHeight="1" x14ac:dyDescent="0.25"/>
    <row r="10718" ht="15" customHeight="1" x14ac:dyDescent="0.25"/>
    <row r="10719" ht="15" customHeight="1" x14ac:dyDescent="0.25"/>
    <row r="10720" ht="15" customHeight="1" x14ac:dyDescent="0.25"/>
    <row r="10721" ht="15" customHeight="1" x14ac:dyDescent="0.25"/>
    <row r="10722" ht="15" customHeight="1" x14ac:dyDescent="0.25"/>
    <row r="10723" ht="15" customHeight="1" x14ac:dyDescent="0.25"/>
    <row r="10724" ht="15" customHeight="1" x14ac:dyDescent="0.25"/>
    <row r="10725" ht="15" customHeight="1" x14ac:dyDescent="0.25"/>
    <row r="10726" ht="15" customHeight="1" x14ac:dyDescent="0.25"/>
    <row r="10727" ht="15" customHeight="1" x14ac:dyDescent="0.25"/>
    <row r="10728" ht="15" customHeight="1" x14ac:dyDescent="0.25"/>
    <row r="10729" ht="15" customHeight="1" x14ac:dyDescent="0.25"/>
    <row r="10730" ht="15" customHeight="1" x14ac:dyDescent="0.25"/>
    <row r="10731" ht="15" customHeight="1" x14ac:dyDescent="0.25"/>
    <row r="10732" ht="15" customHeight="1" x14ac:dyDescent="0.25"/>
    <row r="10733" ht="15" customHeight="1" x14ac:dyDescent="0.25"/>
    <row r="10734" ht="15" customHeight="1" x14ac:dyDescent="0.25"/>
    <row r="10735" ht="15" customHeight="1" x14ac:dyDescent="0.25"/>
    <row r="10736" ht="15" customHeight="1" x14ac:dyDescent="0.25"/>
    <row r="10737" ht="15" customHeight="1" x14ac:dyDescent="0.25"/>
    <row r="10738" ht="15" customHeight="1" x14ac:dyDescent="0.25"/>
    <row r="10739" ht="15" customHeight="1" x14ac:dyDescent="0.25"/>
    <row r="10740" ht="15" customHeight="1" x14ac:dyDescent="0.25"/>
    <row r="10751" ht="15" customHeight="1" x14ac:dyDescent="0.25"/>
    <row r="10752" ht="15" customHeight="1" x14ac:dyDescent="0.25"/>
    <row r="10753" ht="15" customHeight="1" x14ac:dyDescent="0.25"/>
    <row r="10754" ht="15" customHeight="1" x14ac:dyDescent="0.25"/>
    <row r="10755" ht="15" customHeight="1" x14ac:dyDescent="0.25"/>
    <row r="10756" ht="15" customHeight="1" x14ac:dyDescent="0.25"/>
    <row r="10757" ht="15" customHeight="1" x14ac:dyDescent="0.25"/>
    <row r="10758" ht="15" customHeight="1" x14ac:dyDescent="0.25"/>
    <row r="10759" ht="15" customHeight="1" x14ac:dyDescent="0.25"/>
    <row r="10760" ht="15" customHeight="1" x14ac:dyDescent="0.25"/>
    <row r="10761" ht="15" customHeight="1" x14ac:dyDescent="0.25"/>
    <row r="10762" ht="15" customHeight="1" x14ac:dyDescent="0.25"/>
    <row r="10763" ht="15" customHeight="1" x14ac:dyDescent="0.25"/>
    <row r="10764" ht="15" customHeight="1" x14ac:dyDescent="0.25"/>
    <row r="10765" ht="15" customHeight="1" x14ac:dyDescent="0.25"/>
    <row r="10766" ht="15" customHeight="1" x14ac:dyDescent="0.25"/>
    <row r="10767" ht="15" customHeight="1" x14ac:dyDescent="0.25"/>
    <row r="10768" ht="15" customHeight="1" x14ac:dyDescent="0.25"/>
    <row r="10769" ht="15" customHeight="1" x14ac:dyDescent="0.25"/>
    <row r="10770" ht="15" customHeight="1" x14ac:dyDescent="0.25"/>
    <row r="10771" ht="15" customHeight="1" x14ac:dyDescent="0.25"/>
    <row r="10772" ht="15" customHeight="1" x14ac:dyDescent="0.25"/>
    <row r="10773" ht="15" customHeight="1" x14ac:dyDescent="0.25"/>
    <row r="10774" ht="15" customHeight="1" x14ac:dyDescent="0.25"/>
    <row r="10775" ht="15" customHeight="1" x14ac:dyDescent="0.25"/>
    <row r="10776" ht="15" customHeight="1" x14ac:dyDescent="0.25"/>
    <row r="10777" ht="15" customHeight="1" x14ac:dyDescent="0.25"/>
    <row r="10778" ht="15" customHeight="1" x14ac:dyDescent="0.25"/>
    <row r="10779" ht="15" customHeight="1" x14ac:dyDescent="0.25"/>
    <row r="10780" ht="15" customHeight="1" x14ac:dyDescent="0.25"/>
    <row r="10781" ht="15" customHeight="1" x14ac:dyDescent="0.25"/>
    <row r="10792" ht="15" customHeight="1" x14ac:dyDescent="0.25"/>
    <row r="10793" ht="15" customHeight="1" x14ac:dyDescent="0.25"/>
    <row r="10794" ht="15" customHeight="1" x14ac:dyDescent="0.25"/>
    <row r="10795" ht="15" customHeight="1" x14ac:dyDescent="0.25"/>
    <row r="10796" ht="15" customHeight="1" x14ac:dyDescent="0.25"/>
    <row r="10797" ht="15" customHeight="1" x14ac:dyDescent="0.25"/>
    <row r="10798" ht="15" customHeight="1" x14ac:dyDescent="0.25"/>
    <row r="10799" ht="15" customHeight="1" x14ac:dyDescent="0.25"/>
    <row r="10800" ht="15" customHeight="1" x14ac:dyDescent="0.25"/>
    <row r="10801" ht="15" customHeight="1" x14ac:dyDescent="0.25"/>
    <row r="10802" ht="15" customHeight="1" x14ac:dyDescent="0.25"/>
    <row r="10803" ht="15" customHeight="1" x14ac:dyDescent="0.25"/>
    <row r="10804" ht="15" customHeight="1" x14ac:dyDescent="0.25"/>
    <row r="10805" ht="15" customHeight="1" x14ac:dyDescent="0.25"/>
    <row r="10806" ht="15" customHeight="1" x14ac:dyDescent="0.25"/>
    <row r="10807" ht="15" customHeight="1" x14ac:dyDescent="0.25"/>
    <row r="10812" ht="15" customHeight="1" x14ac:dyDescent="0.25"/>
    <row r="10824" ht="15" customHeight="1" x14ac:dyDescent="0.25"/>
    <row r="10825" ht="15" customHeight="1" x14ac:dyDescent="0.25"/>
    <row r="10826" ht="15" customHeight="1" x14ac:dyDescent="0.25"/>
    <row r="10827" ht="15" customHeight="1" x14ac:dyDescent="0.25"/>
    <row r="10828" ht="15" customHeight="1" x14ac:dyDescent="0.25"/>
    <row r="10829" ht="15" customHeight="1" x14ac:dyDescent="0.25"/>
    <row r="10830" ht="15" customHeight="1" x14ac:dyDescent="0.25"/>
    <row r="10831" ht="15" customHeight="1" x14ac:dyDescent="0.25"/>
    <row r="10832" ht="15" customHeight="1" x14ac:dyDescent="0.25"/>
    <row r="10833" ht="15" customHeight="1" x14ac:dyDescent="0.25"/>
    <row r="10834" ht="15" customHeight="1" x14ac:dyDescent="0.25"/>
    <row r="10835" ht="15" customHeight="1" x14ac:dyDescent="0.25"/>
    <row r="10836" ht="15" customHeight="1" x14ac:dyDescent="0.25"/>
    <row r="10837" ht="15" customHeight="1" x14ac:dyDescent="0.25"/>
    <row r="10838" ht="15" customHeight="1" x14ac:dyDescent="0.25"/>
    <row r="10839" ht="15" customHeight="1" x14ac:dyDescent="0.25"/>
    <row r="10844" ht="15" customHeight="1" x14ac:dyDescent="0.25"/>
    <row r="10856" ht="15" customHeight="1" x14ac:dyDescent="0.25"/>
    <row r="10857" ht="15" customHeight="1" x14ac:dyDescent="0.25"/>
    <row r="10858" ht="15" customHeight="1" x14ac:dyDescent="0.25"/>
    <row r="10859" ht="15" customHeight="1" x14ac:dyDescent="0.25"/>
    <row r="10860" ht="15" customHeight="1" x14ac:dyDescent="0.25"/>
    <row r="10861" ht="15" customHeight="1" x14ac:dyDescent="0.25"/>
    <row r="10862" ht="15" customHeight="1" x14ac:dyDescent="0.25"/>
    <row r="10863" ht="15" customHeight="1" x14ac:dyDescent="0.25"/>
    <row r="10864" ht="15" customHeight="1" x14ac:dyDescent="0.25"/>
    <row r="10865" ht="15" customHeight="1" x14ac:dyDescent="0.25"/>
    <row r="10866" ht="15" customHeight="1" x14ac:dyDescent="0.25"/>
    <row r="10867" ht="15" customHeight="1" x14ac:dyDescent="0.25"/>
    <row r="10868" ht="15" customHeight="1" x14ac:dyDescent="0.25"/>
    <row r="10869" ht="15" customHeight="1" x14ac:dyDescent="0.25"/>
    <row r="10870" ht="15" customHeight="1" x14ac:dyDescent="0.25"/>
    <row r="10871" ht="15" customHeight="1" x14ac:dyDescent="0.25"/>
    <row r="10876" ht="15" customHeight="1" x14ac:dyDescent="0.25"/>
    <row r="10888" ht="15" customHeight="1" x14ac:dyDescent="0.25"/>
    <row r="10889" ht="15" customHeight="1" x14ac:dyDescent="0.25"/>
    <row r="10890" ht="15" customHeight="1" x14ac:dyDescent="0.25"/>
    <row r="10891" ht="15" customHeight="1" x14ac:dyDescent="0.25"/>
    <row r="10892" ht="15" customHeight="1" x14ac:dyDescent="0.25"/>
    <row r="10893" ht="15" customHeight="1" x14ac:dyDescent="0.25"/>
    <row r="10894" ht="15" customHeight="1" x14ac:dyDescent="0.25"/>
    <row r="10895" ht="15" customHeight="1" x14ac:dyDescent="0.25"/>
    <row r="10896" ht="15" customHeight="1" x14ac:dyDescent="0.25"/>
    <row r="10897" ht="15" customHeight="1" x14ac:dyDescent="0.25"/>
    <row r="10898" ht="15" customHeight="1" x14ac:dyDescent="0.25"/>
    <row r="10899" ht="15" customHeight="1" x14ac:dyDescent="0.25"/>
    <row r="10900" ht="15" customHeight="1" x14ac:dyDescent="0.25"/>
    <row r="10901" ht="15" customHeight="1" x14ac:dyDescent="0.25"/>
    <row r="10902" ht="15" customHeight="1" x14ac:dyDescent="0.25"/>
    <row r="10903" ht="15" customHeight="1" x14ac:dyDescent="0.25"/>
    <row r="10908" ht="15" customHeight="1" x14ac:dyDescent="0.25"/>
    <row r="10920" ht="15" customHeight="1" x14ac:dyDescent="0.25"/>
    <row r="10921" ht="15" customHeight="1" x14ac:dyDescent="0.25"/>
    <row r="10922" ht="15" customHeight="1" x14ac:dyDescent="0.25"/>
    <row r="10923" ht="15" customHeight="1" x14ac:dyDescent="0.25"/>
    <row r="10924" ht="15" customHeight="1" x14ac:dyDescent="0.25"/>
    <row r="10925" ht="15" customHeight="1" x14ac:dyDescent="0.25"/>
    <row r="10926" ht="15" customHeight="1" x14ac:dyDescent="0.25"/>
    <row r="10927" ht="15" customHeight="1" x14ac:dyDescent="0.25"/>
    <row r="10928" ht="15" customHeight="1" x14ac:dyDescent="0.25"/>
    <row r="10929" ht="15" customHeight="1" x14ac:dyDescent="0.25"/>
    <row r="10930" ht="15" customHeight="1" x14ac:dyDescent="0.25"/>
    <row r="10931" ht="15" customHeight="1" x14ac:dyDescent="0.25"/>
    <row r="10932" ht="15" customHeight="1" x14ac:dyDescent="0.25"/>
    <row r="10933" ht="15" customHeight="1" x14ac:dyDescent="0.25"/>
    <row r="10934" ht="15" customHeight="1" x14ac:dyDescent="0.25"/>
    <row r="10935" ht="15" customHeight="1" x14ac:dyDescent="0.25"/>
    <row r="10936" ht="15" customHeight="1" x14ac:dyDescent="0.25"/>
    <row r="10937" ht="15" customHeight="1" x14ac:dyDescent="0.25"/>
    <row r="10938" ht="15" customHeight="1" x14ac:dyDescent="0.25"/>
    <row r="10939" ht="15" customHeight="1" x14ac:dyDescent="0.25"/>
    <row r="10940" ht="15" customHeight="1" x14ac:dyDescent="0.25"/>
    <row r="10941" ht="15" customHeight="1" x14ac:dyDescent="0.25"/>
    <row r="10942" ht="15" customHeight="1" x14ac:dyDescent="0.25"/>
    <row r="10943" ht="15" customHeight="1" x14ac:dyDescent="0.25"/>
    <row r="10944" ht="15" customHeight="1" x14ac:dyDescent="0.25"/>
    <row r="10945" ht="15" customHeight="1" x14ac:dyDescent="0.25"/>
    <row r="10946" ht="15" customHeight="1" x14ac:dyDescent="0.25"/>
    <row r="10947" ht="15" customHeight="1" x14ac:dyDescent="0.25"/>
    <row r="10951" ht="15" customHeight="1" x14ac:dyDescent="0.25"/>
    <row r="10952" ht="15" customHeight="1" x14ac:dyDescent="0.25"/>
    <row r="10953" ht="15" customHeight="1" x14ac:dyDescent="0.25"/>
    <row r="10954" ht="15" customHeight="1" x14ac:dyDescent="0.25"/>
    <row r="10955" ht="15" customHeight="1" x14ac:dyDescent="0.25"/>
    <row r="10956" ht="15" customHeight="1" x14ac:dyDescent="0.25"/>
    <row r="10957" ht="15" customHeight="1" x14ac:dyDescent="0.25"/>
    <row r="10958" ht="15" customHeight="1" x14ac:dyDescent="0.25"/>
    <row r="10959" ht="15" customHeight="1" x14ac:dyDescent="0.25"/>
    <row r="10960" ht="15" customHeight="1" x14ac:dyDescent="0.25"/>
    <row r="10961" ht="15" customHeight="1" x14ac:dyDescent="0.25"/>
    <row r="10962" ht="15" customHeight="1" x14ac:dyDescent="0.25"/>
    <row r="10963" ht="15" customHeight="1" x14ac:dyDescent="0.25"/>
    <row r="10964" ht="15" customHeight="1" x14ac:dyDescent="0.25"/>
    <row r="10965" ht="15" customHeight="1" x14ac:dyDescent="0.25"/>
    <row r="10966" ht="15" customHeight="1" x14ac:dyDescent="0.25"/>
    <row r="10967" ht="15" customHeight="1" x14ac:dyDescent="0.25"/>
    <row r="10968" ht="15" customHeight="1" x14ac:dyDescent="0.25"/>
    <row r="10969" ht="15" customHeight="1" x14ac:dyDescent="0.25"/>
    <row r="10970" ht="15" customHeight="1" x14ac:dyDescent="0.25"/>
    <row r="10971" ht="15" customHeight="1" x14ac:dyDescent="0.25"/>
    <row r="10976" ht="15" customHeight="1" x14ac:dyDescent="0.25"/>
    <row r="10988" ht="15" customHeight="1" x14ac:dyDescent="0.25"/>
    <row r="10989" ht="15" customHeight="1" x14ac:dyDescent="0.25"/>
    <row r="10990" ht="15" customHeight="1" x14ac:dyDescent="0.25"/>
    <row r="10991" ht="15" customHeight="1" x14ac:dyDescent="0.25"/>
    <row r="10992" ht="15" customHeight="1" x14ac:dyDescent="0.25"/>
    <row r="10993" ht="15" customHeight="1" x14ac:dyDescent="0.25"/>
    <row r="10994" ht="15" customHeight="1" x14ac:dyDescent="0.25"/>
    <row r="10995" ht="15" customHeight="1" x14ac:dyDescent="0.25"/>
    <row r="10996" ht="15" customHeight="1" x14ac:dyDescent="0.25"/>
    <row r="10997" ht="15" customHeight="1" x14ac:dyDescent="0.25"/>
    <row r="10998" ht="15" customHeight="1" x14ac:dyDescent="0.25"/>
    <row r="10999" ht="15" customHeight="1" x14ac:dyDescent="0.25"/>
    <row r="11000" ht="15" customHeight="1" x14ac:dyDescent="0.25"/>
    <row r="11001" ht="15" customHeight="1" x14ac:dyDescent="0.25"/>
    <row r="11002" ht="15" customHeight="1" x14ac:dyDescent="0.25"/>
    <row r="11003" ht="15" customHeight="1" x14ac:dyDescent="0.25"/>
    <row r="11004" ht="15" customHeight="1" x14ac:dyDescent="0.25"/>
    <row r="11005" ht="15" customHeight="1" x14ac:dyDescent="0.25"/>
    <row r="11006" ht="15" customHeight="1" x14ac:dyDescent="0.25"/>
    <row r="11007" ht="15" customHeight="1" x14ac:dyDescent="0.25"/>
    <row r="11008" ht="15" customHeight="1" x14ac:dyDescent="0.25"/>
    <row r="11009" ht="15" customHeight="1" x14ac:dyDescent="0.25"/>
    <row r="11010" ht="15" customHeight="1" x14ac:dyDescent="0.25"/>
    <row r="11011" ht="15" customHeight="1" x14ac:dyDescent="0.25"/>
    <row r="11016" ht="15" customHeight="1" x14ac:dyDescent="0.25"/>
    <row r="11028" ht="15" customHeight="1" x14ac:dyDescent="0.25"/>
    <row r="11029" ht="15" customHeight="1" x14ac:dyDescent="0.25"/>
    <row r="11030" ht="15" customHeight="1" x14ac:dyDescent="0.25"/>
    <row r="11031" ht="15" customHeight="1" x14ac:dyDescent="0.25"/>
    <row r="11032" ht="15" customHeight="1" x14ac:dyDescent="0.25"/>
    <row r="11033" ht="15" customHeight="1" x14ac:dyDescent="0.25"/>
    <row r="11034" ht="15" customHeight="1" x14ac:dyDescent="0.25"/>
    <row r="11035" ht="15" customHeight="1" x14ac:dyDescent="0.25"/>
    <row r="11036" ht="15" customHeight="1" x14ac:dyDescent="0.25"/>
    <row r="11037" ht="15" customHeight="1" x14ac:dyDescent="0.25"/>
    <row r="11038" ht="15" customHeight="1" x14ac:dyDescent="0.25"/>
    <row r="11039" ht="15" customHeight="1" x14ac:dyDescent="0.25"/>
    <row r="11040" ht="15" customHeight="1" x14ac:dyDescent="0.25"/>
    <row r="11041" ht="15" customHeight="1" x14ac:dyDescent="0.25"/>
    <row r="11042" ht="15" customHeight="1" x14ac:dyDescent="0.25"/>
    <row r="11043" ht="15" customHeight="1" x14ac:dyDescent="0.25"/>
    <row r="11044" ht="15" customHeight="1" x14ac:dyDescent="0.25"/>
    <row r="11045" ht="15" customHeight="1" x14ac:dyDescent="0.25"/>
    <row r="11046" ht="15" customHeight="1" x14ac:dyDescent="0.25"/>
    <row r="11047" ht="15" customHeight="1" x14ac:dyDescent="0.25"/>
    <row r="11048" ht="15" customHeight="1" x14ac:dyDescent="0.25"/>
    <row r="11049" ht="15" customHeight="1" x14ac:dyDescent="0.25"/>
    <row r="11050" ht="15" customHeight="1" x14ac:dyDescent="0.25"/>
    <row r="11051" ht="15" customHeight="1" x14ac:dyDescent="0.25"/>
    <row r="11056" ht="15" customHeight="1" x14ac:dyDescent="0.25"/>
    <row r="11068" ht="15" customHeight="1" x14ac:dyDescent="0.25"/>
    <row r="11069" ht="15" customHeight="1" x14ac:dyDescent="0.25"/>
    <row r="11070" ht="15" customHeight="1" x14ac:dyDescent="0.25"/>
    <row r="11071" ht="15" customHeight="1" x14ac:dyDescent="0.25"/>
    <row r="11072" ht="15" customHeight="1" x14ac:dyDescent="0.25"/>
    <row r="11073" ht="15" customHeight="1" x14ac:dyDescent="0.25"/>
    <row r="11074" ht="15" customHeight="1" x14ac:dyDescent="0.25"/>
    <row r="11075" ht="15" customHeight="1" x14ac:dyDescent="0.25"/>
    <row r="11076" ht="15" customHeight="1" x14ac:dyDescent="0.25"/>
    <row r="11077" ht="15" customHeight="1" x14ac:dyDescent="0.25"/>
    <row r="11078" ht="15" customHeight="1" x14ac:dyDescent="0.25"/>
    <row r="11079" ht="15" customHeight="1" x14ac:dyDescent="0.25"/>
    <row r="11080" ht="15" customHeight="1" x14ac:dyDescent="0.25"/>
    <row r="11081" ht="15" customHeight="1" x14ac:dyDescent="0.25"/>
    <row r="11082" ht="15" customHeight="1" x14ac:dyDescent="0.25"/>
    <row r="11083" ht="15" customHeight="1" x14ac:dyDescent="0.25"/>
    <row r="11084" ht="15" customHeight="1" x14ac:dyDescent="0.25"/>
    <row r="11085" ht="15" customHeight="1" x14ac:dyDescent="0.25"/>
    <row r="11086" ht="15" customHeight="1" x14ac:dyDescent="0.25"/>
    <row r="11087" ht="15" customHeight="1" x14ac:dyDescent="0.25"/>
    <row r="11088" ht="15" customHeight="1" x14ac:dyDescent="0.25"/>
    <row r="11089" ht="15" customHeight="1" x14ac:dyDescent="0.25"/>
    <row r="11090" ht="15" customHeight="1" x14ac:dyDescent="0.25"/>
    <row r="11091" ht="15" customHeight="1" x14ac:dyDescent="0.25"/>
    <row r="11096" ht="15" customHeight="1" x14ac:dyDescent="0.25"/>
    <row r="11108" ht="15" customHeight="1" x14ac:dyDescent="0.25"/>
    <row r="11109" ht="15" customHeight="1" x14ac:dyDescent="0.25"/>
    <row r="11110" ht="15" customHeight="1" x14ac:dyDescent="0.25"/>
    <row r="11111" ht="15" customHeight="1" x14ac:dyDescent="0.25"/>
    <row r="11112" ht="15" customHeight="1" x14ac:dyDescent="0.25"/>
    <row r="11113" ht="15" customHeight="1" x14ac:dyDescent="0.25"/>
    <row r="11114" ht="15" customHeight="1" x14ac:dyDescent="0.25"/>
    <row r="11115" ht="15" customHeight="1" x14ac:dyDescent="0.25"/>
    <row r="11116" ht="15" customHeight="1" x14ac:dyDescent="0.25"/>
    <row r="11117" ht="15" customHeight="1" x14ac:dyDescent="0.25"/>
    <row r="11118" ht="15" customHeight="1" x14ac:dyDescent="0.25"/>
    <row r="11119" ht="15" customHeight="1" x14ac:dyDescent="0.25"/>
    <row r="11120" ht="15" customHeight="1" x14ac:dyDescent="0.25"/>
    <row r="11121" ht="15" customHeight="1" x14ac:dyDescent="0.25"/>
    <row r="11122" ht="15" customHeight="1" x14ac:dyDescent="0.25"/>
    <row r="11123" ht="15" customHeight="1" x14ac:dyDescent="0.25"/>
    <row r="11124" ht="15" customHeight="1" x14ac:dyDescent="0.25"/>
    <row r="11125" ht="15" customHeight="1" x14ac:dyDescent="0.25"/>
    <row r="11126" ht="15" customHeight="1" x14ac:dyDescent="0.25"/>
    <row r="11127" ht="15" customHeight="1" x14ac:dyDescent="0.25"/>
    <row r="11128" ht="15" customHeight="1" x14ac:dyDescent="0.25"/>
    <row r="11129" ht="15" customHeight="1" x14ac:dyDescent="0.25"/>
    <row r="11130" ht="15" customHeight="1" x14ac:dyDescent="0.25"/>
    <row r="11131" ht="15" customHeight="1" x14ac:dyDescent="0.25"/>
    <row r="11132" ht="15" customHeight="1" x14ac:dyDescent="0.25"/>
    <row r="11133" ht="15" customHeight="1" x14ac:dyDescent="0.25"/>
    <row r="11134" ht="15" customHeight="1" x14ac:dyDescent="0.25"/>
    <row r="11135" ht="15" customHeight="1" x14ac:dyDescent="0.25"/>
    <row r="11136" ht="15" customHeight="1" x14ac:dyDescent="0.25"/>
    <row r="11137" ht="15" customHeight="1" x14ac:dyDescent="0.25"/>
    <row r="11138" ht="15" customHeight="1" x14ac:dyDescent="0.25"/>
    <row r="11139" ht="15" customHeight="1" x14ac:dyDescent="0.25"/>
    <row r="11140" ht="15" customHeight="1" x14ac:dyDescent="0.25"/>
    <row r="11141" ht="15" customHeight="1" x14ac:dyDescent="0.25"/>
    <row r="11142" ht="15" customHeight="1" x14ac:dyDescent="0.25"/>
    <row r="11143" ht="15" customHeight="1" x14ac:dyDescent="0.25"/>
    <row r="11144" ht="15" customHeight="1" x14ac:dyDescent="0.25"/>
    <row r="11145" ht="15" customHeight="1" x14ac:dyDescent="0.25"/>
    <row r="11146" ht="15" customHeight="1" x14ac:dyDescent="0.25"/>
    <row r="11147" ht="15" customHeight="1" x14ac:dyDescent="0.25"/>
    <row r="11148" ht="15" customHeight="1" x14ac:dyDescent="0.25"/>
    <row r="11149" ht="15" customHeight="1" x14ac:dyDescent="0.25"/>
    <row r="11150" ht="15" customHeight="1" x14ac:dyDescent="0.25"/>
    <row r="11151" ht="15" customHeight="1" x14ac:dyDescent="0.25"/>
    <row r="11152" ht="15" customHeight="1" x14ac:dyDescent="0.25"/>
    <row r="11153" ht="15" customHeight="1" x14ac:dyDescent="0.25"/>
    <row r="11154" ht="15" customHeight="1" x14ac:dyDescent="0.25"/>
    <row r="11155" ht="15" customHeight="1" x14ac:dyDescent="0.25"/>
    <row r="11156" ht="15" customHeight="1" x14ac:dyDescent="0.25"/>
    <row r="11157" ht="15" customHeight="1" x14ac:dyDescent="0.25"/>
    <row r="11158" ht="15" customHeight="1" x14ac:dyDescent="0.25"/>
    <row r="11159" ht="15" customHeight="1" x14ac:dyDescent="0.25"/>
    <row r="11160" ht="15" customHeight="1" x14ac:dyDescent="0.25"/>
    <row r="11161" ht="15" customHeight="1" x14ac:dyDescent="0.25"/>
    <row r="11162" ht="15" customHeight="1" x14ac:dyDescent="0.25"/>
    <row r="11163" ht="15" customHeight="1" x14ac:dyDescent="0.25"/>
    <row r="11164" ht="15" customHeight="1" x14ac:dyDescent="0.25"/>
    <row r="11165" ht="15" customHeight="1" x14ac:dyDescent="0.25"/>
    <row r="11166" ht="15" customHeight="1" x14ac:dyDescent="0.25"/>
    <row r="11167" ht="15" customHeight="1" x14ac:dyDescent="0.25"/>
    <row r="11168" ht="15" customHeight="1" x14ac:dyDescent="0.25"/>
    <row r="11169" ht="15" customHeight="1" x14ac:dyDescent="0.25"/>
    <row r="11170" ht="15" customHeight="1" x14ac:dyDescent="0.25"/>
    <row r="11171" ht="15" customHeight="1" x14ac:dyDescent="0.25"/>
    <row r="11172" ht="15" customHeight="1" x14ac:dyDescent="0.25"/>
    <row r="11173" ht="15" customHeight="1" x14ac:dyDescent="0.25"/>
    <row r="11174" ht="15" customHeight="1" x14ac:dyDescent="0.25"/>
    <row r="11175" ht="15" customHeight="1" x14ac:dyDescent="0.25"/>
    <row r="11176" ht="15" customHeight="1" x14ac:dyDescent="0.25"/>
    <row r="11177" ht="15" customHeight="1" x14ac:dyDescent="0.25"/>
    <row r="11178" ht="15" customHeight="1" x14ac:dyDescent="0.25"/>
    <row r="11179" ht="15" customHeight="1" x14ac:dyDescent="0.25"/>
    <row r="11180" ht="15" customHeight="1" x14ac:dyDescent="0.25"/>
    <row r="11181" ht="15" customHeight="1" x14ac:dyDescent="0.25"/>
    <row r="11182" ht="15" customHeight="1" x14ac:dyDescent="0.25"/>
    <row r="11183" ht="15" customHeight="1" x14ac:dyDescent="0.25"/>
    <row r="11184" ht="15" customHeight="1" x14ac:dyDescent="0.25"/>
    <row r="11185" ht="15" customHeight="1" x14ac:dyDescent="0.25"/>
    <row r="11186" ht="15" customHeight="1" x14ac:dyDescent="0.25"/>
    <row r="11187" ht="15" customHeight="1" x14ac:dyDescent="0.25"/>
    <row r="11188" ht="15" customHeight="1" x14ac:dyDescent="0.25"/>
    <row r="11189" ht="15" customHeight="1" x14ac:dyDescent="0.25"/>
    <row r="11190" ht="15" customHeight="1" x14ac:dyDescent="0.25"/>
    <row r="11191" ht="15" customHeight="1" x14ac:dyDescent="0.25"/>
    <row r="11192" ht="15" customHeight="1" x14ac:dyDescent="0.25"/>
    <row r="11193" ht="15" customHeight="1" x14ac:dyDescent="0.25"/>
    <row r="11194" ht="15" customHeight="1" x14ac:dyDescent="0.25"/>
    <row r="11195" ht="15" customHeight="1" x14ac:dyDescent="0.25"/>
    <row r="11196" ht="15" customHeight="1" x14ac:dyDescent="0.25"/>
    <row r="11197" ht="15" customHeight="1" x14ac:dyDescent="0.25"/>
    <row r="11198" ht="15" customHeight="1" x14ac:dyDescent="0.25"/>
    <row r="11199" ht="15" customHeight="1" x14ac:dyDescent="0.25"/>
    <row r="11200" ht="15" customHeight="1" x14ac:dyDescent="0.25"/>
    <row r="11201" ht="15" customHeight="1" x14ac:dyDescent="0.25"/>
    <row r="11202" ht="15" customHeight="1" x14ac:dyDescent="0.25"/>
    <row r="11203" ht="15" customHeight="1" x14ac:dyDescent="0.25"/>
    <row r="11204" ht="15" customHeight="1" x14ac:dyDescent="0.25"/>
    <row r="11205" ht="15" customHeight="1" x14ac:dyDescent="0.25"/>
    <row r="11206" ht="15" customHeight="1" x14ac:dyDescent="0.25"/>
    <row r="11207" ht="15" customHeight="1" x14ac:dyDescent="0.25"/>
    <row r="11208" ht="15" customHeight="1" x14ac:dyDescent="0.25"/>
    <row r="11209" ht="15" customHeight="1" x14ac:dyDescent="0.25"/>
    <row r="11210" ht="15" customHeight="1" x14ac:dyDescent="0.25"/>
    <row r="11211" ht="15" customHeight="1" x14ac:dyDescent="0.25"/>
    <row r="11212" ht="15" customHeight="1" x14ac:dyDescent="0.25"/>
    <row r="11213" ht="15" customHeight="1" x14ac:dyDescent="0.25"/>
    <row r="11214" ht="15" customHeight="1" x14ac:dyDescent="0.25"/>
    <row r="11215" ht="15" customHeight="1" x14ac:dyDescent="0.25"/>
    <row r="11216" ht="15" customHeight="1" x14ac:dyDescent="0.25"/>
    <row r="11217" ht="15" customHeight="1" x14ac:dyDescent="0.25"/>
    <row r="11218" ht="15" customHeight="1" x14ac:dyDescent="0.25"/>
    <row r="11219" ht="15" customHeight="1" x14ac:dyDescent="0.25"/>
    <row r="11220" ht="15" customHeight="1" x14ac:dyDescent="0.25"/>
    <row r="11221" ht="15" customHeight="1" x14ac:dyDescent="0.25"/>
    <row r="11222" ht="15" customHeight="1" x14ac:dyDescent="0.25"/>
    <row r="11223" ht="15" customHeight="1" x14ac:dyDescent="0.25"/>
    <row r="11224" ht="15" customHeight="1" x14ac:dyDescent="0.25"/>
    <row r="11225" ht="15" customHeight="1" x14ac:dyDescent="0.25"/>
    <row r="11226" ht="15" customHeight="1" x14ac:dyDescent="0.25"/>
    <row r="11227" ht="15" customHeight="1" x14ac:dyDescent="0.25"/>
    <row r="11228" ht="15" customHeight="1" x14ac:dyDescent="0.25"/>
    <row r="11229" ht="15" customHeight="1" x14ac:dyDescent="0.25"/>
    <row r="11230" ht="15" customHeight="1" x14ac:dyDescent="0.25"/>
    <row r="11231" ht="15" customHeight="1" x14ac:dyDescent="0.25"/>
    <row r="11232" ht="15" customHeight="1" x14ac:dyDescent="0.25"/>
    <row r="11233" ht="15" customHeight="1" x14ac:dyDescent="0.25"/>
    <row r="11235" ht="15" customHeight="1" x14ac:dyDescent="0.25"/>
    <row r="11236" ht="15" customHeight="1" x14ac:dyDescent="0.25"/>
    <row r="11237" ht="15" customHeight="1" x14ac:dyDescent="0.25"/>
    <row r="11238" ht="15" customHeight="1" x14ac:dyDescent="0.25"/>
    <row r="11239" ht="15" customHeight="1" x14ac:dyDescent="0.25"/>
    <row r="11240" ht="15" customHeight="1" x14ac:dyDescent="0.25"/>
    <row r="11241" ht="15" customHeight="1" x14ac:dyDescent="0.25"/>
    <row r="11242" ht="15" customHeight="1" x14ac:dyDescent="0.25"/>
    <row r="11243" ht="15" customHeight="1" x14ac:dyDescent="0.25"/>
    <row r="11244" ht="15" customHeight="1" x14ac:dyDescent="0.25"/>
    <row r="11245" ht="15" customHeight="1" x14ac:dyDescent="0.25"/>
    <row r="11246" ht="15" customHeight="1" x14ac:dyDescent="0.25"/>
    <row r="11247" ht="15" customHeight="1" x14ac:dyDescent="0.25"/>
    <row r="11248" ht="15" customHeight="1" x14ac:dyDescent="0.25"/>
    <row r="11249" ht="15" customHeight="1" x14ac:dyDescent="0.25"/>
    <row r="11250" ht="15" customHeight="1" x14ac:dyDescent="0.25"/>
    <row r="11251" ht="15" customHeight="1" x14ac:dyDescent="0.25"/>
    <row r="11252" ht="15" customHeight="1" x14ac:dyDescent="0.25"/>
    <row r="11253" ht="15" customHeight="1" x14ac:dyDescent="0.25"/>
    <row r="11254" ht="15" customHeight="1" x14ac:dyDescent="0.25"/>
    <row r="11255" ht="15" customHeight="1" x14ac:dyDescent="0.25"/>
    <row r="11256" ht="15" customHeight="1" x14ac:dyDescent="0.25"/>
    <row r="11257" ht="15" customHeight="1" x14ac:dyDescent="0.25"/>
    <row r="11258" ht="15" customHeight="1" x14ac:dyDescent="0.25"/>
    <row r="11259" ht="15" customHeight="1" x14ac:dyDescent="0.25"/>
    <row r="11260" ht="15" customHeight="1" x14ac:dyDescent="0.25"/>
    <row r="11261" ht="15" customHeight="1" x14ac:dyDescent="0.25"/>
    <row r="11262" ht="15" customHeight="1" x14ac:dyDescent="0.25"/>
    <row r="11263" ht="15" customHeight="1" x14ac:dyDescent="0.25"/>
    <row r="11265" ht="15" customHeight="1" x14ac:dyDescent="0.25"/>
    <row r="11266" ht="15" customHeight="1" x14ac:dyDescent="0.25"/>
    <row r="11267" ht="15" customHeight="1" x14ac:dyDescent="0.25"/>
    <row r="11268" ht="15" customHeight="1" x14ac:dyDescent="0.25"/>
    <row r="11269" ht="15" customHeight="1" x14ac:dyDescent="0.25"/>
    <row r="11270" ht="15" customHeight="1" x14ac:dyDescent="0.25"/>
    <row r="11271" ht="15" customHeight="1" x14ac:dyDescent="0.25"/>
    <row r="11272" ht="15" customHeight="1" x14ac:dyDescent="0.25"/>
    <row r="11273" ht="15" customHeight="1" x14ac:dyDescent="0.25"/>
    <row r="11274" ht="15" customHeight="1" x14ac:dyDescent="0.25"/>
    <row r="11275" ht="15" customHeight="1" x14ac:dyDescent="0.25"/>
    <row r="11276" ht="15" customHeight="1" x14ac:dyDescent="0.25"/>
    <row r="11277" ht="15" customHeight="1" x14ac:dyDescent="0.25"/>
    <row r="11278" ht="15" customHeight="1" x14ac:dyDescent="0.25"/>
    <row r="11279" ht="15" customHeight="1" x14ac:dyDescent="0.25"/>
    <row r="11280" ht="15" customHeight="1" x14ac:dyDescent="0.25"/>
    <row r="11281" ht="15" customHeight="1" x14ac:dyDescent="0.25"/>
    <row r="11282" ht="15" customHeight="1" x14ac:dyDescent="0.25"/>
    <row r="11283" ht="15" customHeight="1" x14ac:dyDescent="0.25"/>
    <row r="11284" ht="15" customHeight="1" x14ac:dyDescent="0.25"/>
    <row r="11285" ht="15" customHeight="1" x14ac:dyDescent="0.25"/>
    <row r="11286" ht="15" customHeight="1" x14ac:dyDescent="0.25"/>
    <row r="11287" ht="15" customHeight="1" x14ac:dyDescent="0.25"/>
    <row r="11288" ht="15" customHeight="1" x14ac:dyDescent="0.25"/>
    <row r="11289" ht="15" customHeight="1" x14ac:dyDescent="0.25"/>
    <row r="11290" ht="15" customHeight="1" x14ac:dyDescent="0.25"/>
    <row r="11291" ht="15" customHeight="1" x14ac:dyDescent="0.25"/>
    <row r="11292" ht="15" customHeight="1" x14ac:dyDescent="0.25"/>
    <row r="11293" ht="15" customHeight="1" x14ac:dyDescent="0.25"/>
    <row r="11294" ht="15" customHeight="1" x14ac:dyDescent="0.25"/>
    <row r="11295" ht="15" customHeight="1" x14ac:dyDescent="0.25"/>
    <row r="11297" ht="15" customHeight="1" x14ac:dyDescent="0.25"/>
    <row r="11298" ht="15" customHeight="1" x14ac:dyDescent="0.25"/>
    <row r="11299" ht="15" customHeight="1" x14ac:dyDescent="0.25"/>
    <row r="11300" ht="15" customHeight="1" x14ac:dyDescent="0.25"/>
    <row r="11301" ht="15" customHeight="1" x14ac:dyDescent="0.25"/>
    <row r="11302" ht="15" customHeight="1" x14ac:dyDescent="0.25"/>
    <row r="11303" ht="15" customHeight="1" x14ac:dyDescent="0.25"/>
    <row r="11304" ht="15" customHeight="1" x14ac:dyDescent="0.25"/>
    <row r="11305" ht="15" customHeight="1" x14ac:dyDescent="0.25"/>
    <row r="11306" ht="15" customHeight="1" x14ac:dyDescent="0.25"/>
    <row r="11318" ht="15" customHeight="1" x14ac:dyDescent="0.25"/>
    <row r="11319" ht="15" customHeight="1" x14ac:dyDescent="0.25"/>
    <row r="11320" ht="15" customHeight="1" x14ac:dyDescent="0.25"/>
    <row r="11321" ht="15" customHeight="1" x14ac:dyDescent="0.25"/>
    <row r="11322" ht="15" customHeight="1" x14ac:dyDescent="0.25"/>
    <row r="11334" ht="15" customHeight="1" x14ac:dyDescent="0.25"/>
    <row r="11335" ht="15" customHeight="1" x14ac:dyDescent="0.25"/>
    <row r="11336" ht="15" customHeight="1" x14ac:dyDescent="0.25"/>
    <row r="11337" ht="15" customHeight="1" x14ac:dyDescent="0.25"/>
    <row r="11338" ht="15" customHeight="1" x14ac:dyDescent="0.25"/>
    <row r="11350" ht="15" customHeight="1" x14ac:dyDescent="0.25"/>
    <row r="11351" ht="15" customHeight="1" x14ac:dyDescent="0.25"/>
    <row r="11352" ht="15" customHeight="1" x14ac:dyDescent="0.25"/>
    <row r="11353" ht="15" customHeight="1" x14ac:dyDescent="0.25"/>
    <row r="11354" ht="15" customHeight="1" x14ac:dyDescent="0.25"/>
    <row r="11355" ht="15" customHeight="1" x14ac:dyDescent="0.25"/>
    <row r="11356" ht="15" customHeight="1" x14ac:dyDescent="0.25"/>
    <row r="11357" ht="15" customHeight="1" x14ac:dyDescent="0.25"/>
    <row r="11358" ht="15" customHeight="1" x14ac:dyDescent="0.25"/>
    <row r="11359" ht="15" customHeight="1" x14ac:dyDescent="0.25"/>
    <row r="11360" ht="15" customHeight="1" x14ac:dyDescent="0.25"/>
    <row r="11361" ht="15" customHeight="1" x14ac:dyDescent="0.25"/>
    <row r="11362" ht="15" customHeight="1" x14ac:dyDescent="0.25"/>
    <row r="11363" ht="15" customHeight="1" x14ac:dyDescent="0.25"/>
    <row r="11364" ht="15" customHeight="1" x14ac:dyDescent="0.25"/>
    <row r="11376" ht="15" customHeight="1" x14ac:dyDescent="0.25"/>
    <row r="11377" ht="15" customHeight="1" x14ac:dyDescent="0.25"/>
    <row r="11378" ht="15" customHeight="1" x14ac:dyDescent="0.25"/>
    <row r="11379" ht="15" customHeight="1" x14ac:dyDescent="0.25"/>
    <row r="11380" ht="15" customHeight="1" x14ac:dyDescent="0.25"/>
    <row r="11381" ht="15" customHeight="1" x14ac:dyDescent="0.25"/>
    <row r="11382" ht="15" customHeight="1" x14ac:dyDescent="0.25"/>
    <row r="11383" ht="15" customHeight="1" x14ac:dyDescent="0.25"/>
    <row r="11395" ht="15" customHeight="1" x14ac:dyDescent="0.25"/>
    <row r="11396" ht="15" customHeight="1" x14ac:dyDescent="0.25"/>
    <row r="11397" ht="15" customHeight="1" x14ac:dyDescent="0.25"/>
    <row r="11398" ht="15" customHeight="1" x14ac:dyDescent="0.25"/>
    <row r="11399" ht="15" customHeight="1" x14ac:dyDescent="0.25"/>
    <row r="11400" ht="15" customHeight="1" x14ac:dyDescent="0.25"/>
    <row r="11401" ht="15" customHeight="1" x14ac:dyDescent="0.25"/>
    <row r="11402" ht="15" customHeight="1" x14ac:dyDescent="0.25"/>
    <row r="11403" ht="15" customHeight="1" x14ac:dyDescent="0.25"/>
    <row r="11404" ht="15" customHeight="1" x14ac:dyDescent="0.25"/>
    <row r="11405" ht="15" customHeight="1" x14ac:dyDescent="0.25"/>
    <row r="11406" ht="15" customHeight="1" x14ac:dyDescent="0.25"/>
    <row r="11407" ht="15" customHeight="1" x14ac:dyDescent="0.25"/>
    <row r="11408" ht="15" customHeight="1" x14ac:dyDescent="0.25"/>
    <row r="11409" ht="15" customHeight="1" x14ac:dyDescent="0.25"/>
    <row r="11410" ht="15" customHeight="1" x14ac:dyDescent="0.25"/>
    <row r="11411" ht="15" customHeight="1" x14ac:dyDescent="0.25"/>
    <row r="11412" ht="15" customHeight="1" x14ac:dyDescent="0.25"/>
    <row r="11413" ht="15" customHeight="1" x14ac:dyDescent="0.25"/>
    <row r="11414" ht="15" customHeight="1" x14ac:dyDescent="0.25"/>
    <row r="11415" ht="15" customHeight="1" x14ac:dyDescent="0.25"/>
    <row r="11416" ht="15" customHeight="1" x14ac:dyDescent="0.25"/>
    <row r="11417" ht="15" customHeight="1" x14ac:dyDescent="0.25"/>
    <row r="11429" ht="15" customHeight="1" x14ac:dyDescent="0.25"/>
    <row r="11430" ht="15" customHeight="1" x14ac:dyDescent="0.25"/>
    <row r="11431" ht="15" customHeight="1" x14ac:dyDescent="0.25"/>
    <row r="11432" ht="15" customHeight="1" x14ac:dyDescent="0.25"/>
    <row r="11433" ht="15" customHeight="1" x14ac:dyDescent="0.25"/>
    <row r="11434" ht="15" customHeight="1" x14ac:dyDescent="0.25"/>
    <row r="11446" ht="15" customHeight="1" x14ac:dyDescent="0.25"/>
    <row r="11447" ht="15" customHeight="1" x14ac:dyDescent="0.25"/>
    <row r="11448" ht="15" customHeight="1" x14ac:dyDescent="0.25"/>
    <row r="11449" ht="15" customHeight="1" x14ac:dyDescent="0.25"/>
    <row r="11450" ht="15" customHeight="1" x14ac:dyDescent="0.25"/>
    <row r="11451" ht="15" customHeight="1" x14ac:dyDescent="0.25"/>
    <row r="11452" ht="15" customHeight="1" x14ac:dyDescent="0.25"/>
    <row r="11453" ht="15" customHeight="1" x14ac:dyDescent="0.25"/>
    <row r="11454" ht="15" customHeight="1" x14ac:dyDescent="0.25"/>
    <row r="11455" ht="15" customHeight="1" x14ac:dyDescent="0.25"/>
    <row r="11456" ht="15" customHeight="1" x14ac:dyDescent="0.25"/>
    <row r="11457" ht="15" customHeight="1" x14ac:dyDescent="0.25"/>
    <row r="11458" ht="15" customHeight="1" x14ac:dyDescent="0.25"/>
    <row r="11459" ht="15" customHeight="1" x14ac:dyDescent="0.25"/>
    <row r="11471" ht="15" customHeight="1" x14ac:dyDescent="0.25"/>
    <row r="11472" ht="15" customHeight="1" x14ac:dyDescent="0.25"/>
    <row r="11473" ht="15" customHeight="1" x14ac:dyDescent="0.25"/>
    <row r="11474" ht="15" customHeight="1" x14ac:dyDescent="0.25"/>
    <row r="11475" ht="15" customHeight="1" x14ac:dyDescent="0.25"/>
    <row r="11476" ht="15" customHeight="1" x14ac:dyDescent="0.25"/>
    <row r="11477" ht="15" customHeight="1" x14ac:dyDescent="0.25"/>
    <row r="11478" ht="15" customHeight="1" x14ac:dyDescent="0.25"/>
    <row r="11479" ht="15" customHeight="1" x14ac:dyDescent="0.25"/>
    <row r="11480" ht="15" customHeight="1" x14ac:dyDescent="0.25"/>
    <row r="11481" ht="15" customHeight="1" x14ac:dyDescent="0.25"/>
    <row r="11482" ht="15" customHeight="1" x14ac:dyDescent="0.25"/>
    <row r="11483" ht="15" customHeight="1" x14ac:dyDescent="0.25"/>
    <row r="11484" ht="15" customHeight="1" x14ac:dyDescent="0.25"/>
    <row r="11485" ht="15" customHeight="1" x14ac:dyDescent="0.25"/>
    <row r="11486" ht="15" customHeight="1" x14ac:dyDescent="0.25"/>
    <row r="11487" ht="15" customHeight="1" x14ac:dyDescent="0.25"/>
    <row r="11488" ht="15" customHeight="1" x14ac:dyDescent="0.25"/>
    <row r="11489" ht="15" customHeight="1" x14ac:dyDescent="0.25"/>
    <row r="11490" ht="15" customHeight="1" x14ac:dyDescent="0.25"/>
    <row r="11491" ht="15" customHeight="1" x14ac:dyDescent="0.25"/>
    <row r="11492" ht="15" customHeight="1" x14ac:dyDescent="0.25"/>
    <row r="11493" ht="15" customHeight="1" x14ac:dyDescent="0.25"/>
    <row r="11494" ht="15" customHeight="1" x14ac:dyDescent="0.25"/>
    <row r="11495" ht="15" customHeight="1" x14ac:dyDescent="0.25"/>
    <row r="11496" ht="15" customHeight="1" x14ac:dyDescent="0.25"/>
    <row r="11501" ht="15" customHeight="1" x14ac:dyDescent="0.25"/>
    <row r="11508" ht="15" customHeight="1" x14ac:dyDescent="0.25"/>
    <row r="11509" ht="15" customHeight="1" x14ac:dyDescent="0.25"/>
    <row r="11510" ht="15" customHeight="1" x14ac:dyDescent="0.25"/>
    <row r="11511" ht="15" customHeight="1" x14ac:dyDescent="0.25"/>
    <row r="11512" ht="15" customHeight="1" x14ac:dyDescent="0.25"/>
    <row r="11513" ht="15" customHeight="1" x14ac:dyDescent="0.25"/>
    <row r="11514" ht="15" customHeight="1" x14ac:dyDescent="0.25"/>
    <row r="11515" ht="15" customHeight="1" x14ac:dyDescent="0.25"/>
    <row r="11516" ht="15" customHeight="1" x14ac:dyDescent="0.25"/>
    <row r="11517" ht="15" customHeight="1" x14ac:dyDescent="0.25"/>
    <row r="11518" ht="15" customHeight="1" x14ac:dyDescent="0.25"/>
    <row r="11519" ht="15" customHeight="1" x14ac:dyDescent="0.25"/>
    <row r="11520" ht="15" customHeight="1" x14ac:dyDescent="0.25"/>
    <row r="11521" ht="15" customHeight="1" x14ac:dyDescent="0.25"/>
    <row r="11522" ht="15" customHeight="1" x14ac:dyDescent="0.25"/>
    <row r="11523" ht="15" customHeight="1" x14ac:dyDescent="0.25"/>
    <row r="11524" ht="15" customHeight="1" x14ac:dyDescent="0.25"/>
    <row r="11525" ht="15" customHeight="1" x14ac:dyDescent="0.25"/>
    <row r="11526" ht="15" customHeight="1" x14ac:dyDescent="0.25"/>
    <row r="11527" ht="15" customHeight="1" x14ac:dyDescent="0.25"/>
    <row r="11528" ht="15" customHeight="1" x14ac:dyDescent="0.25"/>
    <row r="11529" ht="15" customHeight="1" x14ac:dyDescent="0.25"/>
    <row r="11530" ht="15" customHeight="1" x14ac:dyDescent="0.25"/>
    <row r="11531" ht="15" customHeight="1" x14ac:dyDescent="0.25"/>
    <row r="11532" ht="15" customHeight="1" x14ac:dyDescent="0.25"/>
    <row r="11533" ht="15" customHeight="1" x14ac:dyDescent="0.25"/>
    <row r="11538" ht="15" customHeight="1" x14ac:dyDescent="0.25"/>
    <row r="11545" ht="15" customHeight="1" x14ac:dyDescent="0.25"/>
    <row r="11546" ht="15" customHeight="1" x14ac:dyDescent="0.25"/>
    <row r="11547" ht="15" customHeight="1" x14ac:dyDescent="0.25"/>
    <row r="11548" ht="15" customHeight="1" x14ac:dyDescent="0.25"/>
    <row r="11549" ht="15" customHeight="1" x14ac:dyDescent="0.25"/>
    <row r="11550" ht="15" customHeight="1" x14ac:dyDescent="0.25"/>
    <row r="11551" ht="15" customHeight="1" x14ac:dyDescent="0.25"/>
    <row r="11552" ht="15" customHeight="1" x14ac:dyDescent="0.25"/>
    <row r="11553" ht="15" customHeight="1" x14ac:dyDescent="0.25"/>
    <row r="11554" ht="15" customHeight="1" x14ac:dyDescent="0.25"/>
    <row r="11555" ht="15" customHeight="1" x14ac:dyDescent="0.25"/>
    <row r="11556" ht="15" customHeight="1" x14ac:dyDescent="0.25"/>
    <row r="11557" ht="15" customHeight="1" x14ac:dyDescent="0.25"/>
    <row r="11558" ht="15" customHeight="1" x14ac:dyDescent="0.25"/>
    <row r="11559" ht="15" customHeight="1" x14ac:dyDescent="0.25"/>
    <row r="11560" ht="15" customHeight="1" x14ac:dyDescent="0.25"/>
    <row r="11561" ht="15" customHeight="1" x14ac:dyDescent="0.25"/>
    <row r="11562" ht="15" customHeight="1" x14ac:dyDescent="0.25"/>
    <row r="11563" ht="15" customHeight="1" x14ac:dyDescent="0.25"/>
    <row r="11564" ht="15" customHeight="1" x14ac:dyDescent="0.25"/>
    <row r="11565" ht="15" customHeight="1" x14ac:dyDescent="0.25"/>
    <row r="11566" ht="15" customHeight="1" x14ac:dyDescent="0.25"/>
    <row r="11567" ht="15" customHeight="1" x14ac:dyDescent="0.25"/>
    <row r="11568" ht="15" customHeight="1" x14ac:dyDescent="0.25"/>
    <row r="11573" ht="15" customHeight="1" x14ac:dyDescent="0.25"/>
    <row r="11585" ht="15" customHeight="1" x14ac:dyDescent="0.25"/>
    <row r="11586" ht="15" customHeight="1" x14ac:dyDescent="0.25"/>
    <row r="11587" ht="15" customHeight="1" x14ac:dyDescent="0.25"/>
    <row r="11588" ht="15" customHeight="1" x14ac:dyDescent="0.25"/>
    <row r="11589" ht="15" customHeight="1" x14ac:dyDescent="0.25"/>
    <row r="11590" ht="15" customHeight="1" x14ac:dyDescent="0.25"/>
    <row r="11591" ht="15" customHeight="1" x14ac:dyDescent="0.25"/>
    <row r="11592" ht="15" customHeight="1" x14ac:dyDescent="0.25"/>
    <row r="11593" ht="15" customHeight="1" x14ac:dyDescent="0.25"/>
    <row r="11594" ht="15" customHeight="1" x14ac:dyDescent="0.25"/>
    <row r="11595" ht="15" customHeight="1" x14ac:dyDescent="0.25"/>
    <row r="11596" ht="15" customHeight="1" x14ac:dyDescent="0.25"/>
    <row r="11597" ht="15" customHeight="1" x14ac:dyDescent="0.25"/>
    <row r="11598" ht="15" customHeight="1" x14ac:dyDescent="0.25"/>
    <row r="11599" ht="15" customHeight="1" x14ac:dyDescent="0.25"/>
    <row r="11600" ht="15" customHeight="1" x14ac:dyDescent="0.25"/>
    <row r="11601" ht="15" customHeight="1" x14ac:dyDescent="0.25"/>
    <row r="11602" ht="15" customHeight="1" x14ac:dyDescent="0.25"/>
    <row r="11603" ht="15" customHeight="1" x14ac:dyDescent="0.25"/>
    <row r="11604" ht="15" customHeight="1" x14ac:dyDescent="0.25"/>
    <row r="11605" ht="15" customHeight="1" x14ac:dyDescent="0.25"/>
    <row r="11606" ht="15" customHeight="1" x14ac:dyDescent="0.25"/>
    <row r="11607" ht="15" customHeight="1" x14ac:dyDescent="0.25"/>
    <row r="11608" ht="15" customHeight="1" x14ac:dyDescent="0.25"/>
    <row r="11609" ht="15" customHeight="1" x14ac:dyDescent="0.25"/>
    <row r="11610" ht="15" customHeight="1" x14ac:dyDescent="0.25"/>
    <row r="11611" ht="15" customHeight="1" x14ac:dyDescent="0.25"/>
    <row r="11612" ht="15" customHeight="1" x14ac:dyDescent="0.25"/>
    <row r="11613" ht="15" customHeight="1" x14ac:dyDescent="0.25"/>
    <row r="11614" ht="15" customHeight="1" x14ac:dyDescent="0.25"/>
    <row r="11625" ht="15" customHeight="1" x14ac:dyDescent="0.25"/>
    <row r="11626" ht="15" customHeight="1" x14ac:dyDescent="0.25"/>
    <row r="11627" ht="15" customHeight="1" x14ac:dyDescent="0.25"/>
    <row r="11628" ht="15" customHeight="1" x14ac:dyDescent="0.25"/>
    <row r="11629" ht="15" customHeight="1" x14ac:dyDescent="0.25"/>
    <row r="11630" ht="15" customHeight="1" x14ac:dyDescent="0.25"/>
    <row r="11631" ht="15" customHeight="1" x14ac:dyDescent="0.25"/>
    <row r="11632" ht="15" customHeight="1" x14ac:dyDescent="0.25"/>
    <row r="11633" ht="15" customHeight="1" x14ac:dyDescent="0.25"/>
    <row r="11634" ht="15" customHeight="1" x14ac:dyDescent="0.25"/>
    <row r="11635" ht="15" customHeight="1" x14ac:dyDescent="0.25"/>
    <row r="11636" ht="15" customHeight="1" x14ac:dyDescent="0.25"/>
    <row r="11637" ht="15" customHeight="1" x14ac:dyDescent="0.25"/>
    <row r="11638" ht="15" customHeight="1" x14ac:dyDescent="0.25"/>
    <row r="11639" ht="15" customHeight="1" x14ac:dyDescent="0.25"/>
    <row r="11640" ht="15" customHeight="1" x14ac:dyDescent="0.25"/>
    <row r="11641" ht="15" customHeight="1" x14ac:dyDescent="0.25"/>
    <row r="11642" ht="15" customHeight="1" x14ac:dyDescent="0.25"/>
    <row r="11643" ht="15" customHeight="1" x14ac:dyDescent="0.25"/>
    <row r="11644" ht="15" customHeight="1" x14ac:dyDescent="0.25"/>
    <row r="11645" ht="15" customHeight="1" x14ac:dyDescent="0.25"/>
    <row r="11646" ht="15" customHeight="1" x14ac:dyDescent="0.25"/>
    <row r="11647" ht="15" customHeight="1" x14ac:dyDescent="0.25"/>
    <row r="11648" ht="15" customHeight="1" x14ac:dyDescent="0.25"/>
    <row r="11649" ht="15" customHeight="1" x14ac:dyDescent="0.25"/>
    <row r="11650" ht="15" customHeight="1" x14ac:dyDescent="0.25"/>
    <row r="11651" ht="15" customHeight="1" x14ac:dyDescent="0.25"/>
    <row r="11652" ht="15" customHeight="1" x14ac:dyDescent="0.25"/>
    <row r="11653" ht="15" customHeight="1" x14ac:dyDescent="0.25"/>
    <row r="11654" ht="15" customHeight="1" x14ac:dyDescent="0.25"/>
    <row r="11665" ht="15" customHeight="1" x14ac:dyDescent="0.25"/>
    <row r="11666" ht="15" customHeight="1" x14ac:dyDescent="0.25"/>
    <row r="11667" ht="15" customHeight="1" x14ac:dyDescent="0.25"/>
    <row r="11668" ht="15" customHeight="1" x14ac:dyDescent="0.25"/>
    <row r="11669" ht="15" customHeight="1" x14ac:dyDescent="0.25"/>
    <row r="11670" ht="15" customHeight="1" x14ac:dyDescent="0.25"/>
    <row r="11671" ht="15" customHeight="1" x14ac:dyDescent="0.25"/>
    <row r="11672" ht="15" customHeight="1" x14ac:dyDescent="0.25"/>
    <row r="11673" ht="15" customHeight="1" x14ac:dyDescent="0.25"/>
    <row r="11674" ht="15" customHeight="1" x14ac:dyDescent="0.25"/>
    <row r="11675" ht="15" customHeight="1" x14ac:dyDescent="0.25"/>
    <row r="11676" ht="15" customHeight="1" x14ac:dyDescent="0.25"/>
    <row r="11677" ht="15" customHeight="1" x14ac:dyDescent="0.25"/>
    <row r="11678" ht="15" customHeight="1" x14ac:dyDescent="0.25"/>
    <row r="11679" ht="15" customHeight="1" x14ac:dyDescent="0.25"/>
    <row r="11680" ht="15" customHeight="1" x14ac:dyDescent="0.25"/>
    <row r="11681" ht="15" customHeight="1" x14ac:dyDescent="0.25"/>
    <row r="11682" ht="15" customHeight="1" x14ac:dyDescent="0.25"/>
    <row r="11683" ht="15" customHeight="1" x14ac:dyDescent="0.25"/>
    <row r="11684" ht="15" customHeight="1" x14ac:dyDescent="0.25"/>
    <row r="11685" ht="15" customHeight="1" x14ac:dyDescent="0.25"/>
    <row r="11686" ht="15" customHeight="1" x14ac:dyDescent="0.25"/>
    <row r="11687" ht="15" customHeight="1" x14ac:dyDescent="0.25"/>
    <row r="11688" ht="15" customHeight="1" x14ac:dyDescent="0.25"/>
    <row r="11689" ht="15" customHeight="1" x14ac:dyDescent="0.25"/>
    <row r="11690" ht="15" customHeight="1" x14ac:dyDescent="0.25"/>
    <row r="11691" ht="15" customHeight="1" x14ac:dyDescent="0.25"/>
    <row r="11692" ht="15" customHeight="1" x14ac:dyDescent="0.25"/>
    <row r="11693" ht="15" customHeight="1" x14ac:dyDescent="0.25"/>
    <row r="11694" ht="15" customHeight="1" x14ac:dyDescent="0.25"/>
    <row r="11695" ht="15" customHeight="1" x14ac:dyDescent="0.25"/>
    <row r="11706" ht="15" customHeight="1" x14ac:dyDescent="0.25"/>
    <row r="11707" ht="15" customHeight="1" x14ac:dyDescent="0.25"/>
    <row r="11708" ht="15" customHeight="1" x14ac:dyDescent="0.25"/>
    <row r="11709" ht="15" customHeight="1" x14ac:dyDescent="0.25"/>
    <row r="11710" ht="15" customHeight="1" x14ac:dyDescent="0.25"/>
    <row r="11711" ht="15" customHeight="1" x14ac:dyDescent="0.25"/>
    <row r="11712" ht="15" customHeight="1" x14ac:dyDescent="0.25"/>
    <row r="11713" ht="15" customHeight="1" x14ac:dyDescent="0.25"/>
    <row r="11714" ht="15" customHeight="1" x14ac:dyDescent="0.25"/>
    <row r="11715" ht="15" customHeight="1" x14ac:dyDescent="0.25"/>
    <row r="11716" ht="15" customHeight="1" x14ac:dyDescent="0.25"/>
    <row r="11717" ht="15" customHeight="1" x14ac:dyDescent="0.25"/>
    <row r="11718" ht="15" customHeight="1" x14ac:dyDescent="0.25"/>
    <row r="11719" ht="15" customHeight="1" x14ac:dyDescent="0.25"/>
    <row r="11720" ht="15" customHeight="1" x14ac:dyDescent="0.25"/>
    <row r="11721" ht="15" customHeight="1" x14ac:dyDescent="0.25"/>
    <row r="11722" ht="15" customHeight="1" x14ac:dyDescent="0.25"/>
    <row r="11723" ht="15" customHeight="1" x14ac:dyDescent="0.25"/>
    <row r="11724" ht="15" customHeight="1" x14ac:dyDescent="0.25"/>
    <row r="11725" ht="15" customHeight="1" x14ac:dyDescent="0.25"/>
    <row r="11726" ht="15" customHeight="1" x14ac:dyDescent="0.25"/>
    <row r="11727" ht="15" customHeight="1" x14ac:dyDescent="0.25"/>
    <row r="11728" ht="15" customHeight="1" x14ac:dyDescent="0.25"/>
    <row r="11729" ht="15" customHeight="1" x14ac:dyDescent="0.25"/>
    <row r="11730" ht="15" customHeight="1" x14ac:dyDescent="0.25"/>
    <row r="11731" ht="15" customHeight="1" x14ac:dyDescent="0.25"/>
    <row r="11732" ht="15" customHeight="1" x14ac:dyDescent="0.25"/>
    <row r="11733" ht="15" customHeight="1" x14ac:dyDescent="0.25"/>
    <row r="11734" ht="15" customHeight="1" x14ac:dyDescent="0.25"/>
    <row r="11735" ht="15" customHeight="1" x14ac:dyDescent="0.25"/>
    <row r="11736" ht="15" customHeight="1" x14ac:dyDescent="0.25"/>
    <row r="11747" ht="15" customHeight="1" x14ac:dyDescent="0.25"/>
    <row r="11748" ht="15" customHeight="1" x14ac:dyDescent="0.25"/>
    <row r="11749" ht="15" customHeight="1" x14ac:dyDescent="0.25"/>
    <row r="11750" ht="15" customHeight="1" x14ac:dyDescent="0.25"/>
    <row r="11751" ht="15" customHeight="1" x14ac:dyDescent="0.25"/>
    <row r="11752" ht="15" customHeight="1" x14ac:dyDescent="0.25"/>
    <row r="11753" ht="15" customHeight="1" x14ac:dyDescent="0.25"/>
    <row r="11754" ht="15" customHeight="1" x14ac:dyDescent="0.25"/>
    <row r="11755" ht="15" customHeight="1" x14ac:dyDescent="0.25"/>
    <row r="11756" ht="15" customHeight="1" x14ac:dyDescent="0.25"/>
    <row r="11757" ht="15" customHeight="1" x14ac:dyDescent="0.25"/>
    <row r="11758" ht="15" customHeight="1" x14ac:dyDescent="0.25"/>
    <row r="11759" ht="15" customHeight="1" x14ac:dyDescent="0.25"/>
    <row r="11760" ht="15" customHeight="1" x14ac:dyDescent="0.25"/>
    <row r="11761" ht="15" customHeight="1" x14ac:dyDescent="0.25"/>
    <row r="11762" ht="15" customHeight="1" x14ac:dyDescent="0.25"/>
    <row r="11763" ht="15" customHeight="1" x14ac:dyDescent="0.25"/>
    <row r="11764" ht="15" customHeight="1" x14ac:dyDescent="0.25"/>
    <row r="11765" ht="15" customHeight="1" x14ac:dyDescent="0.25"/>
    <row r="11766" ht="15" customHeight="1" x14ac:dyDescent="0.25"/>
    <row r="11767" ht="15" customHeight="1" x14ac:dyDescent="0.25"/>
    <row r="11768" ht="15" customHeight="1" x14ac:dyDescent="0.25"/>
    <row r="11769" ht="15" customHeight="1" x14ac:dyDescent="0.25"/>
    <row r="11770" ht="15" customHeight="1" x14ac:dyDescent="0.25"/>
    <row r="11771" ht="15" customHeight="1" x14ac:dyDescent="0.25"/>
    <row r="11772" ht="15" customHeight="1" x14ac:dyDescent="0.25"/>
    <row r="11773" ht="15" customHeight="1" x14ac:dyDescent="0.25"/>
    <row r="11774" ht="15" customHeight="1" x14ac:dyDescent="0.25"/>
    <row r="11775" ht="15" customHeight="1" x14ac:dyDescent="0.25"/>
    <row r="11776" ht="15" customHeight="1" x14ac:dyDescent="0.25"/>
    <row r="11777" ht="15" customHeight="1" x14ac:dyDescent="0.25"/>
    <row r="11788" ht="15" customHeight="1" x14ac:dyDescent="0.25"/>
    <row r="11789" ht="15" customHeight="1" x14ac:dyDescent="0.25"/>
    <row r="11790" ht="15" customHeight="1" x14ac:dyDescent="0.25"/>
    <row r="11791" ht="15" customHeight="1" x14ac:dyDescent="0.25"/>
    <row r="11792" ht="15" customHeight="1" x14ac:dyDescent="0.25"/>
    <row r="11793" ht="15" customHeight="1" x14ac:dyDescent="0.25"/>
    <row r="11794" ht="15" customHeight="1" x14ac:dyDescent="0.25"/>
    <row r="11795" ht="15" customHeight="1" x14ac:dyDescent="0.25"/>
    <row r="11796" ht="15" customHeight="1" x14ac:dyDescent="0.25"/>
    <row r="11797" ht="15" customHeight="1" x14ac:dyDescent="0.25"/>
    <row r="11798" ht="15" customHeight="1" x14ac:dyDescent="0.25"/>
    <row r="11799" ht="15" customHeight="1" x14ac:dyDescent="0.25"/>
    <row r="11800" ht="15" customHeight="1" x14ac:dyDescent="0.25"/>
    <row r="11801" ht="15" customHeight="1" x14ac:dyDescent="0.25"/>
    <row r="11802" ht="15" customHeight="1" x14ac:dyDescent="0.25"/>
    <row r="11803" ht="15" customHeight="1" x14ac:dyDescent="0.25"/>
    <row r="11804" ht="15" customHeight="1" x14ac:dyDescent="0.25"/>
    <row r="11805" ht="15" customHeight="1" x14ac:dyDescent="0.25"/>
    <row r="11806" ht="15" customHeight="1" x14ac:dyDescent="0.25"/>
    <row r="11807" ht="15" customHeight="1" x14ac:dyDescent="0.25"/>
    <row r="11808" ht="15" customHeight="1" x14ac:dyDescent="0.25"/>
    <row r="11809" ht="15" customHeight="1" x14ac:dyDescent="0.25"/>
    <row r="11810" ht="15" customHeight="1" x14ac:dyDescent="0.25"/>
    <row r="11811" ht="15" customHeight="1" x14ac:dyDescent="0.25"/>
    <row r="11812" ht="15" customHeight="1" x14ac:dyDescent="0.25"/>
    <row r="11813" ht="15" customHeight="1" x14ac:dyDescent="0.25"/>
    <row r="11814" ht="15" customHeight="1" x14ac:dyDescent="0.25"/>
    <row r="11815" ht="15" customHeight="1" x14ac:dyDescent="0.25"/>
    <row r="11816" ht="15" customHeight="1" x14ac:dyDescent="0.25"/>
    <row r="11817" ht="15" customHeight="1" x14ac:dyDescent="0.25"/>
    <row r="11818" ht="15" customHeight="1" x14ac:dyDescent="0.25"/>
    <row r="11829" ht="15" customHeight="1" x14ac:dyDescent="0.25"/>
    <row r="11830" ht="15" customHeight="1" x14ac:dyDescent="0.25"/>
    <row r="11831" ht="15" customHeight="1" x14ac:dyDescent="0.25"/>
    <row r="11832" ht="15" customHeight="1" x14ac:dyDescent="0.25"/>
    <row r="11833" ht="15" customHeight="1" x14ac:dyDescent="0.25"/>
    <row r="11834" ht="15" customHeight="1" x14ac:dyDescent="0.25"/>
    <row r="11835" ht="15" customHeight="1" x14ac:dyDescent="0.25"/>
    <row r="11836" ht="15" customHeight="1" x14ac:dyDescent="0.25"/>
    <row r="11837" ht="15" customHeight="1" x14ac:dyDescent="0.25"/>
    <row r="11838" ht="15" customHeight="1" x14ac:dyDescent="0.25"/>
    <row r="11839" ht="15" customHeight="1" x14ac:dyDescent="0.25"/>
    <row r="11840" ht="15" customHeight="1" x14ac:dyDescent="0.25"/>
    <row r="11841" ht="15" customHeight="1" x14ac:dyDescent="0.25"/>
    <row r="11842" ht="15" customHeight="1" x14ac:dyDescent="0.25"/>
    <row r="11843" ht="15" customHeight="1" x14ac:dyDescent="0.25"/>
    <row r="11844" ht="15" customHeight="1" x14ac:dyDescent="0.25"/>
    <row r="11845" ht="15" customHeight="1" x14ac:dyDescent="0.25"/>
    <row r="11846" ht="15" customHeight="1" x14ac:dyDescent="0.25"/>
    <row r="11847" ht="15" customHeight="1" x14ac:dyDescent="0.25"/>
    <row r="11848" ht="15" customHeight="1" x14ac:dyDescent="0.25"/>
    <row r="11849" ht="15" customHeight="1" x14ac:dyDescent="0.25"/>
    <row r="11850" ht="15" customHeight="1" x14ac:dyDescent="0.25"/>
    <row r="11851" ht="15" customHeight="1" x14ac:dyDescent="0.25"/>
    <row r="11852" ht="15" customHeight="1" x14ac:dyDescent="0.25"/>
    <row r="11853" ht="15" customHeight="1" x14ac:dyDescent="0.25"/>
    <row r="11854" ht="15" customHeight="1" x14ac:dyDescent="0.25"/>
    <row r="11855" ht="15" customHeight="1" x14ac:dyDescent="0.25"/>
    <row r="11856" ht="15" customHeight="1" x14ac:dyDescent="0.25"/>
    <row r="11857" ht="15" customHeight="1" x14ac:dyDescent="0.25"/>
    <row r="11858" ht="15" customHeight="1" x14ac:dyDescent="0.25"/>
    <row r="11859" ht="15" customHeight="1" x14ac:dyDescent="0.25"/>
    <row r="11870" ht="15" customHeight="1" x14ac:dyDescent="0.25"/>
    <row r="11871" ht="15" customHeight="1" x14ac:dyDescent="0.25"/>
    <row r="11872" ht="15" customHeight="1" x14ac:dyDescent="0.25"/>
    <row r="11873" ht="15" customHeight="1" x14ac:dyDescent="0.25"/>
    <row r="11874" ht="15" customHeight="1" x14ac:dyDescent="0.25"/>
    <row r="11875" ht="15" customHeight="1" x14ac:dyDescent="0.25"/>
    <row r="11876" ht="15" customHeight="1" x14ac:dyDescent="0.25"/>
    <row r="11877" ht="15" customHeight="1" x14ac:dyDescent="0.25"/>
    <row r="11878" ht="15" customHeight="1" x14ac:dyDescent="0.25"/>
    <row r="11879" ht="15" customHeight="1" x14ac:dyDescent="0.25"/>
    <row r="11880" ht="15" customHeight="1" x14ac:dyDescent="0.25"/>
    <row r="11881" ht="15" customHeight="1" x14ac:dyDescent="0.25"/>
    <row r="11882" ht="15" customHeight="1" x14ac:dyDescent="0.25"/>
    <row r="11883" ht="15" customHeight="1" x14ac:dyDescent="0.25"/>
    <row r="11884" ht="15" customHeight="1" x14ac:dyDescent="0.25"/>
    <row r="11885" ht="15" customHeight="1" x14ac:dyDescent="0.25"/>
    <row r="11886" ht="15" customHeight="1" x14ac:dyDescent="0.25"/>
    <row r="11887" ht="15" customHeight="1" x14ac:dyDescent="0.25"/>
    <row r="11888" ht="15" customHeight="1" x14ac:dyDescent="0.25"/>
    <row r="11889" ht="15" customHeight="1" x14ac:dyDescent="0.25"/>
    <row r="11890" ht="15" customHeight="1" x14ac:dyDescent="0.25"/>
    <row r="11891" ht="15" customHeight="1" x14ac:dyDescent="0.25"/>
    <row r="11892" ht="15" customHeight="1" x14ac:dyDescent="0.25"/>
    <row r="11893" ht="15" customHeight="1" x14ac:dyDescent="0.25"/>
    <row r="11894" ht="15" customHeight="1" x14ac:dyDescent="0.25"/>
    <row r="11895" ht="15" customHeight="1" x14ac:dyDescent="0.25"/>
    <row r="11896" ht="15" customHeight="1" x14ac:dyDescent="0.25"/>
    <row r="11897" ht="15" customHeight="1" x14ac:dyDescent="0.25"/>
    <row r="11898" ht="15" customHeight="1" x14ac:dyDescent="0.25"/>
    <row r="11899" ht="15" customHeight="1" x14ac:dyDescent="0.25"/>
    <row r="11900" ht="15" customHeight="1" x14ac:dyDescent="0.25"/>
    <row r="11911" ht="15" customHeight="1" x14ac:dyDescent="0.25"/>
    <row r="11912" ht="15" customHeight="1" x14ac:dyDescent="0.25"/>
    <row r="11913" ht="15" customHeight="1" x14ac:dyDescent="0.25"/>
    <row r="11914" ht="15" customHeight="1" x14ac:dyDescent="0.25"/>
    <row r="11915" ht="15" customHeight="1" x14ac:dyDescent="0.25"/>
    <row r="11916" ht="15" customHeight="1" x14ac:dyDescent="0.25"/>
    <row r="11917" ht="15" customHeight="1" x14ac:dyDescent="0.25"/>
    <row r="11918" ht="15" customHeight="1" x14ac:dyDescent="0.25"/>
    <row r="11919" ht="15" customHeight="1" x14ac:dyDescent="0.25"/>
    <row r="11920" ht="15" customHeight="1" x14ac:dyDescent="0.25"/>
    <row r="11921" ht="15" customHeight="1" x14ac:dyDescent="0.25"/>
    <row r="11922" ht="15" customHeight="1" x14ac:dyDescent="0.25"/>
    <row r="11923" ht="15" customHeight="1" x14ac:dyDescent="0.25"/>
    <row r="11924" ht="15" customHeight="1" x14ac:dyDescent="0.25"/>
    <row r="11925" ht="15" customHeight="1" x14ac:dyDescent="0.25"/>
    <row r="11926" ht="15" customHeight="1" x14ac:dyDescent="0.25"/>
    <row r="11927" ht="15" customHeight="1" x14ac:dyDescent="0.25"/>
    <row r="11928" ht="15" customHeight="1" x14ac:dyDescent="0.25"/>
    <row r="11929" ht="15" customHeight="1" x14ac:dyDescent="0.25"/>
    <row r="11930" ht="15" customHeight="1" x14ac:dyDescent="0.25"/>
    <row r="11931" ht="15" customHeight="1" x14ac:dyDescent="0.25"/>
    <row r="11932" ht="15" customHeight="1" x14ac:dyDescent="0.25"/>
    <row r="11933" ht="15" customHeight="1" x14ac:dyDescent="0.25"/>
    <row r="11934" ht="15" customHeight="1" x14ac:dyDescent="0.25"/>
    <row r="11935" ht="15" customHeight="1" x14ac:dyDescent="0.25"/>
    <row r="11936" ht="15" customHeight="1" x14ac:dyDescent="0.25"/>
    <row r="11937" ht="15" customHeight="1" x14ac:dyDescent="0.25"/>
    <row r="11938" ht="15" customHeight="1" x14ac:dyDescent="0.25"/>
    <row r="11939" ht="15" customHeight="1" x14ac:dyDescent="0.25"/>
    <row r="11940" ht="15" customHeight="1" x14ac:dyDescent="0.25"/>
    <row r="11941" ht="15" customHeight="1" x14ac:dyDescent="0.25"/>
    <row r="11952" ht="15" customHeight="1" x14ac:dyDescent="0.25"/>
    <row r="11953" ht="15" customHeight="1" x14ac:dyDescent="0.25"/>
    <row r="11954" ht="15" customHeight="1" x14ac:dyDescent="0.25"/>
    <row r="11955" ht="15" customHeight="1" x14ac:dyDescent="0.25"/>
    <row r="11956" ht="15" customHeight="1" x14ac:dyDescent="0.25"/>
    <row r="11957" ht="15" customHeight="1" x14ac:dyDescent="0.25"/>
    <row r="11958" ht="15" customHeight="1" x14ac:dyDescent="0.25"/>
    <row r="11959" ht="15" customHeight="1" x14ac:dyDescent="0.25"/>
    <row r="11960" ht="15" customHeight="1" x14ac:dyDescent="0.25"/>
    <row r="11961" ht="15" customHeight="1" x14ac:dyDescent="0.25"/>
    <row r="11962" ht="15" customHeight="1" x14ac:dyDescent="0.25"/>
    <row r="11963" ht="15" customHeight="1" x14ac:dyDescent="0.25"/>
    <row r="11964" ht="15" customHeight="1" x14ac:dyDescent="0.25"/>
    <row r="11965" ht="15" customHeight="1" x14ac:dyDescent="0.25"/>
    <row r="11966" ht="15" customHeight="1" x14ac:dyDescent="0.25"/>
    <row r="11967" ht="15" customHeight="1" x14ac:dyDescent="0.25"/>
    <row r="11972" ht="15" customHeight="1" x14ac:dyDescent="0.25"/>
    <row r="11984" ht="15" customHeight="1" x14ac:dyDescent="0.25"/>
    <row r="11985" ht="15" customHeight="1" x14ac:dyDescent="0.25"/>
    <row r="11986" ht="15" customHeight="1" x14ac:dyDescent="0.25"/>
    <row r="11987" ht="15" customHeight="1" x14ac:dyDescent="0.25"/>
    <row r="11988" ht="15" customHeight="1" x14ac:dyDescent="0.25"/>
    <row r="11989" ht="15" customHeight="1" x14ac:dyDescent="0.25"/>
    <row r="11990" ht="15" customHeight="1" x14ac:dyDescent="0.25"/>
    <row r="11991" ht="15" customHeight="1" x14ac:dyDescent="0.25"/>
    <row r="11992" ht="15" customHeight="1" x14ac:dyDescent="0.25"/>
    <row r="11993" ht="15" customHeight="1" x14ac:dyDescent="0.25"/>
    <row r="11994" ht="15" customHeight="1" x14ac:dyDescent="0.25"/>
    <row r="11995" ht="15" customHeight="1" x14ac:dyDescent="0.25"/>
    <row r="11996" ht="15" customHeight="1" x14ac:dyDescent="0.25"/>
    <row r="11997" ht="15" customHeight="1" x14ac:dyDescent="0.25"/>
    <row r="11998" ht="15" customHeight="1" x14ac:dyDescent="0.25"/>
    <row r="11999" ht="15" customHeight="1" x14ac:dyDescent="0.25"/>
    <row r="12004" ht="15" customHeight="1" x14ac:dyDescent="0.25"/>
    <row r="12016" ht="15" customHeight="1" x14ac:dyDescent="0.25"/>
    <row r="12017" ht="15" customHeight="1" x14ac:dyDescent="0.25"/>
    <row r="12018" ht="15" customHeight="1" x14ac:dyDescent="0.25"/>
    <row r="12019" ht="15" customHeight="1" x14ac:dyDescent="0.25"/>
    <row r="12020" ht="15" customHeight="1" x14ac:dyDescent="0.25"/>
    <row r="12021" ht="15" customHeight="1" x14ac:dyDescent="0.25"/>
    <row r="12022" ht="15" customHeight="1" x14ac:dyDescent="0.25"/>
    <row r="12023" ht="15" customHeight="1" x14ac:dyDescent="0.25"/>
    <row r="12024" ht="15" customHeight="1" x14ac:dyDescent="0.25"/>
    <row r="12025" ht="15" customHeight="1" x14ac:dyDescent="0.25"/>
    <row r="12026" ht="15" customHeight="1" x14ac:dyDescent="0.25"/>
    <row r="12027" ht="15" customHeight="1" x14ac:dyDescent="0.25"/>
    <row r="12028" ht="15" customHeight="1" x14ac:dyDescent="0.25"/>
    <row r="12029" ht="15" customHeight="1" x14ac:dyDescent="0.25"/>
    <row r="12030" ht="15" customHeight="1" x14ac:dyDescent="0.25"/>
    <row r="12031" ht="15" customHeight="1" x14ac:dyDescent="0.25"/>
    <row r="12036" ht="15" customHeight="1" x14ac:dyDescent="0.25"/>
    <row r="12048" ht="15" customHeight="1" x14ac:dyDescent="0.25"/>
    <row r="12049" ht="15" customHeight="1" x14ac:dyDescent="0.25"/>
    <row r="12050" ht="15" customHeight="1" x14ac:dyDescent="0.25"/>
    <row r="12051" ht="15" customHeight="1" x14ac:dyDescent="0.25"/>
    <row r="12052" ht="15" customHeight="1" x14ac:dyDescent="0.25"/>
    <row r="12053" ht="15" customHeight="1" x14ac:dyDescent="0.25"/>
    <row r="12054" ht="15" customHeight="1" x14ac:dyDescent="0.25"/>
    <row r="12055" ht="15" customHeight="1" x14ac:dyDescent="0.25"/>
    <row r="12056" ht="15" customHeight="1" x14ac:dyDescent="0.25"/>
    <row r="12057" ht="15" customHeight="1" x14ac:dyDescent="0.25"/>
    <row r="12058" ht="15" customHeight="1" x14ac:dyDescent="0.25"/>
    <row r="12059" ht="15" customHeight="1" x14ac:dyDescent="0.25"/>
    <row r="12060" ht="15" customHeight="1" x14ac:dyDescent="0.25"/>
    <row r="12061" ht="15" customHeight="1" x14ac:dyDescent="0.25"/>
    <row r="12062" ht="15" customHeight="1" x14ac:dyDescent="0.25"/>
    <row r="12063" ht="15" customHeight="1" x14ac:dyDescent="0.25"/>
    <row r="12068" ht="15" customHeight="1" x14ac:dyDescent="0.25"/>
    <row r="12080" ht="15" customHeight="1" x14ac:dyDescent="0.25"/>
    <row r="12081" ht="15" customHeight="1" x14ac:dyDescent="0.25"/>
    <row r="12082" ht="15" customHeight="1" x14ac:dyDescent="0.25"/>
    <row r="12083" ht="15" customHeight="1" x14ac:dyDescent="0.25"/>
    <row r="12084" ht="15" customHeight="1" x14ac:dyDescent="0.25"/>
    <row r="12085" ht="15" customHeight="1" x14ac:dyDescent="0.25"/>
    <row r="12086" ht="15" customHeight="1" x14ac:dyDescent="0.25"/>
    <row r="12087" ht="15" customHeight="1" x14ac:dyDescent="0.25"/>
    <row r="12088" ht="15" customHeight="1" x14ac:dyDescent="0.25"/>
    <row r="12089" ht="15" customHeight="1" x14ac:dyDescent="0.25"/>
    <row r="12090" ht="15" customHeight="1" x14ac:dyDescent="0.25"/>
    <row r="12091" ht="15" customHeight="1" x14ac:dyDescent="0.25"/>
    <row r="12092" ht="15" customHeight="1" x14ac:dyDescent="0.25"/>
    <row r="12093" ht="15" customHeight="1" x14ac:dyDescent="0.25"/>
    <row r="12094" ht="15" customHeight="1" x14ac:dyDescent="0.25"/>
    <row r="12095" ht="15" customHeight="1" x14ac:dyDescent="0.25"/>
    <row r="12100" ht="15" customHeight="1" x14ac:dyDescent="0.25"/>
    <row r="12112" ht="15" customHeight="1" x14ac:dyDescent="0.25"/>
    <row r="12113" ht="15" customHeight="1" x14ac:dyDescent="0.25"/>
    <row r="12114" ht="15" customHeight="1" x14ac:dyDescent="0.25"/>
    <row r="12115" ht="15" customHeight="1" x14ac:dyDescent="0.25"/>
    <row r="12116" ht="15" customHeight="1" x14ac:dyDescent="0.25"/>
    <row r="12117" ht="15" customHeight="1" x14ac:dyDescent="0.25"/>
    <row r="12118" ht="15" customHeight="1" x14ac:dyDescent="0.25"/>
    <row r="12119" ht="15" customHeight="1" x14ac:dyDescent="0.25"/>
    <row r="12120" ht="15" customHeight="1" x14ac:dyDescent="0.25"/>
    <row r="12121" ht="15" customHeight="1" x14ac:dyDescent="0.25"/>
    <row r="12122" ht="15" customHeight="1" x14ac:dyDescent="0.25"/>
    <row r="12123" ht="15" customHeight="1" x14ac:dyDescent="0.25"/>
    <row r="12124" ht="15" customHeight="1" x14ac:dyDescent="0.25"/>
    <row r="12125" ht="15" customHeight="1" x14ac:dyDescent="0.25"/>
    <row r="12126" ht="15" customHeight="1" x14ac:dyDescent="0.25"/>
    <row r="12127" ht="15" customHeight="1" x14ac:dyDescent="0.25"/>
    <row r="12128" ht="15" customHeight="1" x14ac:dyDescent="0.25"/>
    <row r="12129" ht="15" customHeight="1" x14ac:dyDescent="0.25"/>
    <row r="12130" ht="15" customHeight="1" x14ac:dyDescent="0.25"/>
    <row r="12131" ht="15" customHeight="1" x14ac:dyDescent="0.25"/>
    <row r="12132" ht="15" customHeight="1" x14ac:dyDescent="0.25"/>
    <row r="12133" ht="15" customHeight="1" x14ac:dyDescent="0.25"/>
    <row r="12134" ht="15" customHeight="1" x14ac:dyDescent="0.25"/>
    <row r="12135" ht="15" customHeight="1" x14ac:dyDescent="0.25"/>
    <row r="12136" ht="15" customHeight="1" x14ac:dyDescent="0.25"/>
    <row r="12137" ht="15" customHeight="1" x14ac:dyDescent="0.25"/>
    <row r="12138" ht="15" customHeight="1" x14ac:dyDescent="0.25"/>
    <row r="12139" ht="15" customHeight="1" x14ac:dyDescent="0.25"/>
    <row r="12143" ht="15" customHeight="1" x14ac:dyDescent="0.25"/>
    <row r="12144" ht="15" customHeight="1" x14ac:dyDescent="0.25"/>
    <row r="12145" ht="15" customHeight="1" x14ac:dyDescent="0.25"/>
    <row r="12146" ht="15" customHeight="1" x14ac:dyDescent="0.25"/>
    <row r="12147" ht="15" customHeight="1" x14ac:dyDescent="0.25"/>
    <row r="12148" ht="15" customHeight="1" x14ac:dyDescent="0.25"/>
    <row r="12149" ht="15" customHeight="1" x14ac:dyDescent="0.25"/>
    <row r="12150" ht="15" customHeight="1" x14ac:dyDescent="0.25"/>
    <row r="12151" ht="15" customHeight="1" x14ac:dyDescent="0.25"/>
    <row r="12152" ht="15" customHeight="1" x14ac:dyDescent="0.25"/>
    <row r="12153" ht="15" customHeight="1" x14ac:dyDescent="0.25"/>
    <row r="12154" ht="15" customHeight="1" x14ac:dyDescent="0.25"/>
    <row r="12155" ht="15" customHeight="1" x14ac:dyDescent="0.25"/>
    <row r="12156" ht="15" customHeight="1" x14ac:dyDescent="0.25"/>
    <row r="12157" ht="15" customHeight="1" x14ac:dyDescent="0.25"/>
    <row r="12158" ht="15" customHeight="1" x14ac:dyDescent="0.25"/>
    <row r="12159" ht="15" customHeight="1" x14ac:dyDescent="0.25"/>
    <row r="12160" ht="15" customHeight="1" x14ac:dyDescent="0.25"/>
    <row r="12161" ht="15" customHeight="1" x14ac:dyDescent="0.25"/>
    <row r="12162" ht="15" customHeight="1" x14ac:dyDescent="0.25"/>
    <row r="12163" ht="15" customHeight="1" x14ac:dyDescent="0.25"/>
    <row r="12164" ht="15" customHeight="1" x14ac:dyDescent="0.25"/>
    <row r="12165" ht="15" customHeight="1" x14ac:dyDescent="0.25"/>
    <row r="12166" ht="15" customHeight="1" x14ac:dyDescent="0.25"/>
    <row r="12171" ht="15" customHeight="1" x14ac:dyDescent="0.25"/>
    <row r="12183" ht="15" customHeight="1" x14ac:dyDescent="0.25"/>
    <row r="12184" ht="15" customHeight="1" x14ac:dyDescent="0.25"/>
    <row r="12185" ht="15" customHeight="1" x14ac:dyDescent="0.25"/>
    <row r="12186" ht="15" customHeight="1" x14ac:dyDescent="0.25"/>
    <row r="12187" ht="15" customHeight="1" x14ac:dyDescent="0.25"/>
    <row r="12188" ht="15" customHeight="1" x14ac:dyDescent="0.25"/>
    <row r="12189" ht="15" customHeight="1" x14ac:dyDescent="0.25"/>
    <row r="12190" ht="15" customHeight="1" x14ac:dyDescent="0.25"/>
    <row r="12191" ht="15" customHeight="1" x14ac:dyDescent="0.25"/>
    <row r="12192" ht="15" customHeight="1" x14ac:dyDescent="0.25"/>
    <row r="12193" ht="15" customHeight="1" x14ac:dyDescent="0.25"/>
    <row r="12194" ht="15" customHeight="1" x14ac:dyDescent="0.25"/>
    <row r="12195" ht="15" customHeight="1" x14ac:dyDescent="0.25"/>
    <row r="12196" ht="15" customHeight="1" x14ac:dyDescent="0.25"/>
    <row r="12197" ht="15" customHeight="1" x14ac:dyDescent="0.25"/>
    <row r="12198" ht="15" customHeight="1" x14ac:dyDescent="0.25"/>
    <row r="12199" ht="15" customHeight="1" x14ac:dyDescent="0.25"/>
    <row r="12200" ht="15" customHeight="1" x14ac:dyDescent="0.25"/>
    <row r="12201" ht="15" customHeight="1" x14ac:dyDescent="0.25"/>
    <row r="12202" ht="15" customHeight="1" x14ac:dyDescent="0.25"/>
    <row r="12203" ht="15" customHeight="1" x14ac:dyDescent="0.25"/>
    <row r="12204" ht="15" customHeight="1" x14ac:dyDescent="0.25"/>
    <row r="12205" ht="15" customHeight="1" x14ac:dyDescent="0.25"/>
    <row r="12206" ht="15" customHeight="1" x14ac:dyDescent="0.25"/>
    <row r="12211" ht="15" customHeight="1" x14ac:dyDescent="0.25"/>
    <row r="12223" ht="15" customHeight="1" x14ac:dyDescent="0.25"/>
    <row r="12224" ht="15" customHeight="1" x14ac:dyDescent="0.25"/>
    <row r="12225" ht="15" customHeight="1" x14ac:dyDescent="0.25"/>
    <row r="12226" ht="15" customHeight="1" x14ac:dyDescent="0.25"/>
    <row r="12227" ht="15" customHeight="1" x14ac:dyDescent="0.25"/>
    <row r="12228" ht="15" customHeight="1" x14ac:dyDescent="0.25"/>
    <row r="12229" ht="15" customHeight="1" x14ac:dyDescent="0.25"/>
    <row r="12230" ht="15" customHeight="1" x14ac:dyDescent="0.25"/>
    <row r="12231" ht="15" customHeight="1" x14ac:dyDescent="0.25"/>
    <row r="12232" ht="15" customHeight="1" x14ac:dyDescent="0.25"/>
    <row r="12233" ht="15" customHeight="1" x14ac:dyDescent="0.25"/>
    <row r="12234" ht="15" customHeight="1" x14ac:dyDescent="0.25"/>
    <row r="12235" ht="15" customHeight="1" x14ac:dyDescent="0.25"/>
    <row r="12236" ht="15" customHeight="1" x14ac:dyDescent="0.25"/>
    <row r="12237" ht="15" customHeight="1" x14ac:dyDescent="0.25"/>
    <row r="12238" ht="15" customHeight="1" x14ac:dyDescent="0.25"/>
    <row r="12239" ht="15" customHeight="1" x14ac:dyDescent="0.25"/>
    <row r="12240" ht="15" customHeight="1" x14ac:dyDescent="0.25"/>
    <row r="12241" ht="15" customHeight="1" x14ac:dyDescent="0.25"/>
    <row r="12242" ht="15" customHeight="1" x14ac:dyDescent="0.25"/>
    <row r="12243" ht="15" customHeight="1" x14ac:dyDescent="0.25"/>
    <row r="12244" ht="15" customHeight="1" x14ac:dyDescent="0.25"/>
    <row r="12245" ht="15" customHeight="1" x14ac:dyDescent="0.25"/>
    <row r="12246" ht="15" customHeight="1" x14ac:dyDescent="0.25"/>
    <row r="12247" ht="15" customHeight="1" x14ac:dyDescent="0.25"/>
    <row r="12248" ht="15" customHeight="1" x14ac:dyDescent="0.25"/>
    <row r="12249" ht="15" customHeight="1" x14ac:dyDescent="0.25"/>
    <row r="12250" ht="15" customHeight="1" x14ac:dyDescent="0.25"/>
    <row r="12251" ht="15" customHeight="1" x14ac:dyDescent="0.25"/>
    <row r="12252" ht="15" customHeight="1" x14ac:dyDescent="0.25"/>
    <row r="12253" ht="15" customHeight="1" x14ac:dyDescent="0.25"/>
    <row r="12254" ht="15" customHeight="1" x14ac:dyDescent="0.25"/>
    <row r="12255" ht="15" customHeight="1" x14ac:dyDescent="0.25"/>
    <row r="12256" ht="15" customHeight="1" x14ac:dyDescent="0.25"/>
    <row r="12257" ht="15" customHeight="1" x14ac:dyDescent="0.25"/>
    <row r="12258" ht="15" customHeight="1" x14ac:dyDescent="0.25"/>
    <row r="12259" ht="15" customHeight="1" x14ac:dyDescent="0.25"/>
    <row r="12260" ht="15" customHeight="1" x14ac:dyDescent="0.25"/>
    <row r="12261" ht="15" customHeight="1" x14ac:dyDescent="0.25"/>
    <row r="12262" ht="15" customHeight="1" x14ac:dyDescent="0.25"/>
    <row r="12263" ht="15" customHeight="1" x14ac:dyDescent="0.25"/>
    <row r="12264" ht="15" customHeight="1" x14ac:dyDescent="0.25"/>
    <row r="12265" ht="15" customHeight="1" x14ac:dyDescent="0.25"/>
    <row r="12266" ht="15" customHeight="1" x14ac:dyDescent="0.25"/>
    <row r="12267" ht="15" customHeight="1" x14ac:dyDescent="0.25"/>
    <row r="12268" ht="15" customHeight="1" x14ac:dyDescent="0.25"/>
    <row r="12269" ht="15" customHeight="1" x14ac:dyDescent="0.25"/>
    <row r="12270" ht="15" customHeight="1" x14ac:dyDescent="0.25"/>
    <row r="12271" ht="15" customHeight="1" x14ac:dyDescent="0.25"/>
    <row r="12272" ht="15" customHeight="1" x14ac:dyDescent="0.25"/>
    <row r="12273" ht="15" customHeight="1" x14ac:dyDescent="0.25"/>
    <row r="12274" ht="15" customHeight="1" x14ac:dyDescent="0.25"/>
    <row r="12275" ht="15" customHeight="1" x14ac:dyDescent="0.25"/>
    <row r="12276" ht="15" customHeight="1" x14ac:dyDescent="0.25"/>
    <row r="12277" ht="15" customHeight="1" x14ac:dyDescent="0.25"/>
    <row r="12278" ht="15" customHeight="1" x14ac:dyDescent="0.25"/>
    <row r="12279" ht="15" customHeight="1" x14ac:dyDescent="0.25"/>
    <row r="12280" ht="15" customHeight="1" x14ac:dyDescent="0.25"/>
    <row r="12281" ht="15" customHeight="1" x14ac:dyDescent="0.25"/>
    <row r="12282" ht="15" customHeight="1" x14ac:dyDescent="0.25"/>
    <row r="12283" ht="15" customHeight="1" x14ac:dyDescent="0.25"/>
    <row r="12284" ht="15" customHeight="1" x14ac:dyDescent="0.25"/>
    <row r="12285" ht="15" customHeight="1" x14ac:dyDescent="0.25"/>
    <row r="12286" ht="15" customHeight="1" x14ac:dyDescent="0.25"/>
    <row r="12287" ht="15" customHeight="1" x14ac:dyDescent="0.25"/>
    <row r="12288" ht="15" customHeight="1" x14ac:dyDescent="0.25"/>
    <row r="12289" ht="15" customHeight="1" x14ac:dyDescent="0.25"/>
    <row r="12290" ht="15" customHeight="1" x14ac:dyDescent="0.25"/>
    <row r="12291" ht="15" customHeight="1" x14ac:dyDescent="0.25"/>
    <row r="12292" ht="15" customHeight="1" x14ac:dyDescent="0.25"/>
    <row r="12293" ht="15" customHeight="1" x14ac:dyDescent="0.25"/>
    <row r="12294" ht="15" customHeight="1" x14ac:dyDescent="0.25"/>
    <row r="12295" ht="15" customHeight="1" x14ac:dyDescent="0.25"/>
    <row r="12296" ht="15" customHeight="1" x14ac:dyDescent="0.25"/>
    <row r="12297" ht="15" customHeight="1" x14ac:dyDescent="0.25"/>
    <row r="12298" ht="15" customHeight="1" x14ac:dyDescent="0.25"/>
    <row r="12299" ht="15" customHeight="1" x14ac:dyDescent="0.25"/>
    <row r="12300" ht="15" customHeight="1" x14ac:dyDescent="0.25"/>
    <row r="12301" ht="15" customHeight="1" x14ac:dyDescent="0.25"/>
    <row r="12302" ht="15" customHeight="1" x14ac:dyDescent="0.25"/>
    <row r="12303" ht="15" customHeight="1" x14ac:dyDescent="0.25"/>
    <row r="12304" ht="15" customHeight="1" x14ac:dyDescent="0.25"/>
    <row r="12305" ht="15" customHeight="1" x14ac:dyDescent="0.25"/>
    <row r="12306" ht="15" customHeight="1" x14ac:dyDescent="0.25"/>
    <row r="12307" ht="15" customHeight="1" x14ac:dyDescent="0.25"/>
    <row r="12308" ht="15" customHeight="1" x14ac:dyDescent="0.25"/>
    <row r="12309" ht="15" customHeight="1" x14ac:dyDescent="0.25"/>
    <row r="12310" ht="15" customHeight="1" x14ac:dyDescent="0.25"/>
    <row r="12311" ht="15" customHeight="1" x14ac:dyDescent="0.25"/>
    <row r="12312" ht="15" customHeight="1" x14ac:dyDescent="0.25"/>
    <row r="12313" ht="15" customHeight="1" x14ac:dyDescent="0.25"/>
    <row r="12314" ht="15" customHeight="1" x14ac:dyDescent="0.25"/>
    <row r="12315" ht="15" customHeight="1" x14ac:dyDescent="0.25"/>
    <row r="12316" ht="15" customHeight="1" x14ac:dyDescent="0.25"/>
    <row r="12317" ht="15" customHeight="1" x14ac:dyDescent="0.25"/>
    <row r="12318" ht="15" customHeight="1" x14ac:dyDescent="0.25"/>
    <row r="12319" ht="15" customHeight="1" x14ac:dyDescent="0.25"/>
    <row r="12320" ht="15" customHeight="1" x14ac:dyDescent="0.25"/>
    <row r="12321" ht="15" customHeight="1" x14ac:dyDescent="0.25"/>
    <row r="12322" ht="15" customHeight="1" x14ac:dyDescent="0.25"/>
    <row r="12323" ht="15" customHeight="1" x14ac:dyDescent="0.25"/>
    <row r="12324" ht="15" customHeight="1" x14ac:dyDescent="0.25"/>
    <row r="12325" ht="15" customHeight="1" x14ac:dyDescent="0.25"/>
    <row r="12326" ht="15" customHeight="1" x14ac:dyDescent="0.25"/>
    <row r="12327" ht="15" customHeight="1" x14ac:dyDescent="0.25"/>
    <row r="12328" ht="15" customHeight="1" x14ac:dyDescent="0.25"/>
    <row r="12329" ht="15" customHeight="1" x14ac:dyDescent="0.25"/>
    <row r="12330" ht="15" customHeight="1" x14ac:dyDescent="0.25"/>
    <row r="12331" ht="15" customHeight="1" x14ac:dyDescent="0.25"/>
    <row r="12332" ht="15" customHeight="1" x14ac:dyDescent="0.25"/>
    <row r="12333" ht="15" customHeight="1" x14ac:dyDescent="0.25"/>
    <row r="12334" ht="15" customHeight="1" x14ac:dyDescent="0.25"/>
    <row r="12335" ht="15" customHeight="1" x14ac:dyDescent="0.25"/>
    <row r="12336" ht="15" customHeight="1" x14ac:dyDescent="0.25"/>
    <row r="12337" ht="15" customHeight="1" x14ac:dyDescent="0.25"/>
    <row r="12338" ht="15" customHeight="1" x14ac:dyDescent="0.25"/>
    <row r="12339" ht="15" customHeight="1" x14ac:dyDescent="0.25"/>
    <row r="12340" ht="15" customHeight="1" x14ac:dyDescent="0.25"/>
    <row r="12341" ht="15" customHeight="1" x14ac:dyDescent="0.25"/>
    <row r="12342" ht="15" customHeight="1" x14ac:dyDescent="0.25"/>
    <row r="12343" ht="15" customHeight="1" x14ac:dyDescent="0.25"/>
    <row r="12344" ht="15" customHeight="1" x14ac:dyDescent="0.25"/>
    <row r="12345" ht="15" customHeight="1" x14ac:dyDescent="0.25"/>
    <row r="12346" ht="15" customHeight="1" x14ac:dyDescent="0.25"/>
    <row r="12347" ht="15" customHeight="1" x14ac:dyDescent="0.25"/>
    <row r="12348" ht="15" customHeight="1" x14ac:dyDescent="0.25"/>
    <row r="12349" ht="15" customHeight="1" x14ac:dyDescent="0.25"/>
    <row r="12350" ht="15" customHeight="1" x14ac:dyDescent="0.25"/>
    <row r="12351" ht="15" customHeight="1" x14ac:dyDescent="0.25"/>
    <row r="12352" ht="15" customHeight="1" x14ac:dyDescent="0.25"/>
    <row r="12353" ht="15" customHeight="1" x14ac:dyDescent="0.25"/>
    <row r="12354" ht="15" customHeight="1" x14ac:dyDescent="0.25"/>
    <row r="12355" ht="15" customHeight="1" x14ac:dyDescent="0.25"/>
    <row r="12356" ht="15" customHeight="1" x14ac:dyDescent="0.25"/>
    <row r="12357" ht="15" customHeight="1" x14ac:dyDescent="0.25"/>
    <row r="12358" ht="15" customHeight="1" x14ac:dyDescent="0.25"/>
    <row r="12359" ht="15" customHeight="1" x14ac:dyDescent="0.25"/>
    <row r="12360" ht="15" customHeight="1" x14ac:dyDescent="0.25"/>
    <row r="12361" ht="15" customHeight="1" x14ac:dyDescent="0.25"/>
    <row r="12362" ht="15" customHeight="1" x14ac:dyDescent="0.25"/>
    <row r="12363" ht="15" customHeight="1" x14ac:dyDescent="0.25"/>
    <row r="12364" ht="15" customHeight="1" x14ac:dyDescent="0.25"/>
    <row r="12365" ht="15" customHeight="1" x14ac:dyDescent="0.25"/>
    <row r="12366" ht="15" customHeight="1" x14ac:dyDescent="0.25"/>
    <row r="12367" ht="15" customHeight="1" x14ac:dyDescent="0.25"/>
    <row r="12368" ht="15" customHeight="1" x14ac:dyDescent="0.25"/>
    <row r="12369" ht="15" customHeight="1" x14ac:dyDescent="0.25"/>
    <row r="12370" ht="15" customHeight="1" x14ac:dyDescent="0.25"/>
    <row r="12371" ht="15" customHeight="1" x14ac:dyDescent="0.25"/>
    <row r="12372" ht="15" customHeight="1" x14ac:dyDescent="0.25"/>
    <row r="12373" ht="15" customHeight="1" x14ac:dyDescent="0.25"/>
    <row r="12374" ht="15" customHeight="1" x14ac:dyDescent="0.25"/>
    <row r="12375" ht="15" customHeight="1" x14ac:dyDescent="0.25"/>
    <row r="12376" ht="15" customHeight="1" x14ac:dyDescent="0.25"/>
    <row r="12377" ht="15" customHeight="1" x14ac:dyDescent="0.25"/>
    <row r="12378" ht="15" customHeight="1" x14ac:dyDescent="0.25"/>
    <row r="12379" ht="15" customHeight="1" x14ac:dyDescent="0.25"/>
    <row r="12380" ht="15" customHeight="1" x14ac:dyDescent="0.25"/>
    <row r="12381" ht="15" customHeight="1" x14ac:dyDescent="0.25"/>
    <row r="12382" ht="15" customHeight="1" x14ac:dyDescent="0.25"/>
    <row r="12383" ht="15" customHeight="1" x14ac:dyDescent="0.25"/>
    <row r="12384" ht="15" customHeight="1" x14ac:dyDescent="0.25"/>
    <row r="12385" ht="15" customHeight="1" x14ac:dyDescent="0.25"/>
    <row r="12386" ht="15" customHeight="1" x14ac:dyDescent="0.25"/>
    <row r="12387" ht="15" customHeight="1" x14ac:dyDescent="0.25"/>
    <row r="12388" ht="15" customHeight="1" x14ac:dyDescent="0.25"/>
    <row r="12389" ht="15" customHeight="1" x14ac:dyDescent="0.25"/>
    <row r="12390" ht="15" customHeight="1" x14ac:dyDescent="0.25"/>
    <row r="12391" ht="15" customHeight="1" x14ac:dyDescent="0.25"/>
    <row r="12392" ht="15" customHeight="1" x14ac:dyDescent="0.25"/>
    <row r="12393" ht="15" customHeight="1" x14ac:dyDescent="0.25"/>
    <row r="12394" ht="15" customHeight="1" x14ac:dyDescent="0.25"/>
    <row r="12395" ht="15" customHeight="1" x14ac:dyDescent="0.25"/>
    <row r="12396" ht="15" customHeight="1" x14ac:dyDescent="0.25"/>
    <row r="12397" ht="15" customHeight="1" x14ac:dyDescent="0.25"/>
    <row r="12398" ht="15" customHeight="1" x14ac:dyDescent="0.25"/>
    <row r="12399" ht="15" customHeight="1" x14ac:dyDescent="0.25"/>
    <row r="12400" ht="15" customHeight="1" x14ac:dyDescent="0.25"/>
    <row r="12401" ht="15" customHeight="1" x14ac:dyDescent="0.25"/>
    <row r="12402" ht="15" customHeight="1" x14ac:dyDescent="0.25"/>
    <row r="12403" ht="15" customHeight="1" x14ac:dyDescent="0.25"/>
    <row r="12404" ht="15" customHeight="1" x14ac:dyDescent="0.25"/>
    <row r="12405" ht="15" customHeight="1" x14ac:dyDescent="0.25"/>
    <row r="12406" ht="15" customHeight="1" x14ac:dyDescent="0.25"/>
    <row r="12407" ht="15" customHeight="1" x14ac:dyDescent="0.25"/>
    <row r="12408" ht="15" customHeight="1" x14ac:dyDescent="0.25"/>
    <row r="12409" ht="15" customHeight="1" x14ac:dyDescent="0.25"/>
    <row r="12410" ht="15" customHeight="1" x14ac:dyDescent="0.25"/>
    <row r="12411" ht="15" customHeight="1" x14ac:dyDescent="0.25"/>
    <row r="12412" ht="15" customHeight="1" x14ac:dyDescent="0.25"/>
    <row r="12413" ht="15" customHeight="1" x14ac:dyDescent="0.25"/>
    <row r="12414" ht="15" customHeight="1" x14ac:dyDescent="0.25"/>
    <row r="12415" ht="15" customHeight="1" x14ac:dyDescent="0.25"/>
    <row r="12416" ht="15" customHeight="1" x14ac:dyDescent="0.25"/>
    <row r="12417" ht="15" customHeight="1" x14ac:dyDescent="0.25"/>
    <row r="12418" ht="15" customHeight="1" x14ac:dyDescent="0.25"/>
    <row r="12419" ht="15" customHeight="1" x14ac:dyDescent="0.25"/>
    <row r="12420" ht="15" customHeight="1" x14ac:dyDescent="0.25"/>
    <row r="12421" ht="15" customHeight="1" x14ac:dyDescent="0.25"/>
    <row r="12422" ht="15" customHeight="1" x14ac:dyDescent="0.25"/>
    <row r="12423" ht="15" customHeight="1" x14ac:dyDescent="0.25"/>
    <row r="12424" ht="15" customHeight="1" x14ac:dyDescent="0.25"/>
    <row r="12425" ht="15" customHeight="1" x14ac:dyDescent="0.25"/>
    <row r="12426" ht="15" customHeight="1" x14ac:dyDescent="0.25"/>
    <row r="12427" ht="15" customHeight="1" x14ac:dyDescent="0.25"/>
    <row r="12428" ht="15" customHeight="1" x14ac:dyDescent="0.25"/>
    <row r="12429" ht="15" customHeight="1" x14ac:dyDescent="0.25"/>
    <row r="12430" ht="15" customHeight="1" x14ac:dyDescent="0.25"/>
    <row r="12431" ht="15" customHeight="1" x14ac:dyDescent="0.25"/>
    <row r="12432" ht="15" customHeight="1" x14ac:dyDescent="0.25"/>
    <row r="12433" ht="15" customHeight="1" x14ac:dyDescent="0.25"/>
    <row r="12434" ht="15" customHeight="1" x14ac:dyDescent="0.25"/>
    <row r="12435" ht="15" customHeight="1" x14ac:dyDescent="0.25"/>
    <row r="12436" ht="15" customHeight="1" x14ac:dyDescent="0.25"/>
    <row r="12437" ht="15" customHeight="1" x14ac:dyDescent="0.25"/>
    <row r="12438" ht="15" customHeight="1" x14ac:dyDescent="0.25"/>
    <row r="12439" ht="15" customHeight="1" x14ac:dyDescent="0.25"/>
    <row r="12440" ht="15" customHeight="1" x14ac:dyDescent="0.25"/>
    <row r="12441" ht="15" customHeight="1" x14ac:dyDescent="0.25"/>
    <row r="12442" ht="15" customHeight="1" x14ac:dyDescent="0.25"/>
    <row r="12443" ht="15" customHeight="1" x14ac:dyDescent="0.25"/>
    <row r="12444" ht="15" customHeight="1" x14ac:dyDescent="0.25"/>
    <row r="12445" ht="15" customHeight="1" x14ac:dyDescent="0.25"/>
    <row r="12446" ht="15" customHeight="1" x14ac:dyDescent="0.25"/>
    <row r="12447" ht="15" customHeight="1" x14ac:dyDescent="0.25"/>
    <row r="12448" ht="15" customHeight="1" x14ac:dyDescent="0.25"/>
    <row r="12449" ht="15" customHeight="1" x14ac:dyDescent="0.25"/>
    <row r="12450" ht="15" customHeight="1" x14ac:dyDescent="0.25"/>
    <row r="12451" ht="15" customHeight="1" x14ac:dyDescent="0.25"/>
    <row r="12452" ht="15" customHeight="1" x14ac:dyDescent="0.25"/>
    <row r="12453" ht="15" customHeight="1" x14ac:dyDescent="0.25"/>
    <row r="12454" ht="15" customHeight="1" x14ac:dyDescent="0.25"/>
    <row r="12455" ht="15" customHeight="1" x14ac:dyDescent="0.25"/>
    <row r="12456" ht="15" customHeight="1" x14ac:dyDescent="0.25"/>
    <row r="12457" ht="15" customHeight="1" x14ac:dyDescent="0.25"/>
    <row r="12458" ht="15" customHeight="1" x14ac:dyDescent="0.25"/>
    <row r="12459" ht="15" customHeight="1" x14ac:dyDescent="0.25"/>
    <row r="12460" ht="15" customHeight="1" x14ac:dyDescent="0.25"/>
    <row r="12461" ht="15" customHeight="1" x14ac:dyDescent="0.25"/>
    <row r="12462" ht="15" customHeight="1" x14ac:dyDescent="0.25"/>
    <row r="12463" ht="15" customHeight="1" x14ac:dyDescent="0.25"/>
    <row r="12464" ht="15" customHeight="1" x14ac:dyDescent="0.25"/>
    <row r="12465" ht="15" customHeight="1" x14ac:dyDescent="0.25"/>
    <row r="12466" ht="15" customHeight="1" x14ac:dyDescent="0.25"/>
    <row r="12467" ht="15" customHeight="1" x14ac:dyDescent="0.25"/>
    <row r="12468" ht="15" customHeight="1" x14ac:dyDescent="0.25"/>
    <row r="12469" ht="15" customHeight="1" x14ac:dyDescent="0.25"/>
    <row r="12470" ht="15" customHeight="1" x14ac:dyDescent="0.25"/>
    <row r="12471" ht="15" customHeight="1" x14ac:dyDescent="0.25"/>
    <row r="12472" ht="15" customHeight="1" x14ac:dyDescent="0.25"/>
    <row r="12473" ht="15" customHeight="1" x14ac:dyDescent="0.25"/>
    <row r="12474" ht="15" customHeight="1" x14ac:dyDescent="0.25"/>
    <row r="12475" ht="15" customHeight="1" x14ac:dyDescent="0.25"/>
    <row r="12476" ht="15" customHeight="1" x14ac:dyDescent="0.25"/>
    <row r="12477" ht="15" customHeight="1" x14ac:dyDescent="0.25"/>
    <row r="12478" ht="15" customHeight="1" x14ac:dyDescent="0.25"/>
    <row r="12479" ht="15" customHeight="1" x14ac:dyDescent="0.25"/>
    <row r="12480" ht="15" customHeight="1" x14ac:dyDescent="0.25"/>
    <row r="12481" ht="15" customHeight="1" x14ac:dyDescent="0.25"/>
    <row r="12482" ht="15" customHeight="1" x14ac:dyDescent="0.25"/>
    <row r="12483" ht="15" customHeight="1" x14ac:dyDescent="0.25"/>
    <row r="12484" ht="15" customHeight="1" x14ac:dyDescent="0.25"/>
    <row r="12485" ht="15" customHeight="1" x14ac:dyDescent="0.25"/>
    <row r="12486" ht="15" customHeight="1" x14ac:dyDescent="0.25"/>
    <row r="12487" ht="15" customHeight="1" x14ac:dyDescent="0.25"/>
    <row r="12488" ht="15" customHeight="1" x14ac:dyDescent="0.25"/>
    <row r="12489" ht="15" customHeight="1" x14ac:dyDescent="0.25"/>
    <row r="12490" ht="15" customHeight="1" x14ac:dyDescent="0.25"/>
    <row r="12491" ht="15" customHeight="1" x14ac:dyDescent="0.25"/>
    <row r="12492" ht="15" customHeight="1" x14ac:dyDescent="0.25"/>
    <row r="12493" ht="15" customHeight="1" x14ac:dyDescent="0.25"/>
    <row r="12494" ht="15" customHeight="1" x14ac:dyDescent="0.25"/>
    <row r="12495" ht="15" customHeight="1" x14ac:dyDescent="0.25"/>
    <row r="12496" ht="15" customHeight="1" x14ac:dyDescent="0.25"/>
    <row r="12497" ht="15" customHeight="1" x14ac:dyDescent="0.25"/>
    <row r="12498" ht="15" customHeight="1" x14ac:dyDescent="0.25"/>
    <row r="12499" ht="15" customHeight="1" x14ac:dyDescent="0.25"/>
    <row r="12500" ht="15" customHeight="1" x14ac:dyDescent="0.25"/>
    <row r="12501" ht="15" customHeight="1" x14ac:dyDescent="0.25"/>
    <row r="12502" ht="15" customHeight="1" x14ac:dyDescent="0.25"/>
    <row r="12503" ht="15" customHeight="1" x14ac:dyDescent="0.25"/>
    <row r="12504" ht="15" customHeight="1" x14ac:dyDescent="0.25"/>
    <row r="12505" ht="15" customHeight="1" x14ac:dyDescent="0.25"/>
    <row r="12506" ht="15" customHeight="1" x14ac:dyDescent="0.25"/>
    <row r="12507" ht="15" customHeight="1" x14ac:dyDescent="0.25"/>
    <row r="12508" ht="15" customHeight="1" x14ac:dyDescent="0.25"/>
    <row r="12513" ht="15" customHeight="1" x14ac:dyDescent="0.25"/>
    <row r="12526" ht="15" customHeight="1" x14ac:dyDescent="0.25"/>
    <row r="12527" ht="15" customHeight="1" x14ac:dyDescent="0.25"/>
    <row r="12528" ht="15" customHeight="1" x14ac:dyDescent="0.25"/>
    <row r="12529" ht="15" customHeight="1" x14ac:dyDescent="0.25"/>
    <row r="12530" ht="15" customHeight="1" x14ac:dyDescent="0.25"/>
    <row r="12531" ht="15" customHeight="1" x14ac:dyDescent="0.25"/>
    <row r="12532" ht="15" customHeight="1" x14ac:dyDescent="0.25"/>
    <row r="12533" ht="15" customHeight="1" x14ac:dyDescent="0.25"/>
    <row r="12534" ht="15" customHeight="1" x14ac:dyDescent="0.25"/>
    <row r="12535" ht="15" customHeight="1" x14ac:dyDescent="0.25"/>
    <row r="12536" ht="15" customHeight="1" x14ac:dyDescent="0.25"/>
    <row r="12537" ht="15" customHeight="1" x14ac:dyDescent="0.25"/>
    <row r="12542" ht="15" customHeight="1" x14ac:dyDescent="0.25"/>
    <row r="12555" ht="15" customHeight="1" x14ac:dyDescent="0.25"/>
    <row r="12556" ht="15" customHeight="1" x14ac:dyDescent="0.25"/>
    <row r="12557" ht="15" customHeight="1" x14ac:dyDescent="0.25"/>
    <row r="12558" ht="15" customHeight="1" x14ac:dyDescent="0.25"/>
    <row r="12559" ht="15" customHeight="1" x14ac:dyDescent="0.25"/>
    <row r="12560" ht="15" customHeight="1" x14ac:dyDescent="0.25"/>
    <row r="12561" ht="15" customHeight="1" x14ac:dyDescent="0.25"/>
    <row r="12562" ht="15" customHeight="1" x14ac:dyDescent="0.25"/>
    <row r="12563" ht="15" customHeight="1" x14ac:dyDescent="0.25"/>
    <row r="12564" ht="15" customHeight="1" x14ac:dyDescent="0.25"/>
    <row r="12565" ht="15" customHeight="1" x14ac:dyDescent="0.25"/>
    <row r="12566" ht="15" customHeight="1" x14ac:dyDescent="0.25"/>
    <row r="12571" ht="15" customHeight="1" x14ac:dyDescent="0.25"/>
    <row r="12584" ht="15" customHeight="1" x14ac:dyDescent="0.25"/>
    <row r="12585" ht="15" customHeight="1" x14ac:dyDescent="0.25"/>
    <row r="12586" ht="15" customHeight="1" x14ac:dyDescent="0.25"/>
    <row r="12587" ht="15" customHeight="1" x14ac:dyDescent="0.25"/>
    <row r="12588" ht="15" customHeight="1" x14ac:dyDescent="0.25"/>
    <row r="12589" ht="15" customHeight="1" x14ac:dyDescent="0.25"/>
    <row r="12590" ht="15" customHeight="1" x14ac:dyDescent="0.25"/>
    <row r="12591" ht="15" customHeight="1" x14ac:dyDescent="0.25"/>
    <row r="12592" ht="15" customHeight="1" x14ac:dyDescent="0.25"/>
    <row r="12593" ht="15" customHeight="1" x14ac:dyDescent="0.25"/>
    <row r="12594" ht="15" customHeight="1" x14ac:dyDescent="0.25"/>
    <row r="12595" ht="15" customHeight="1" x14ac:dyDescent="0.25"/>
    <row r="12600" ht="15" customHeight="1" x14ac:dyDescent="0.25"/>
    <row r="12613" ht="15" customHeight="1" x14ac:dyDescent="0.25"/>
    <row r="12614" ht="15" customHeight="1" x14ac:dyDescent="0.25"/>
    <row r="12615" ht="15" customHeight="1" x14ac:dyDescent="0.25"/>
    <row r="12616" ht="15" customHeight="1" x14ac:dyDescent="0.25"/>
    <row r="12617" ht="15" customHeight="1" x14ac:dyDescent="0.25"/>
    <row r="12618" ht="15" customHeight="1" x14ac:dyDescent="0.25"/>
    <row r="12619" ht="15" customHeight="1" x14ac:dyDescent="0.25"/>
    <row r="12620" ht="15" customHeight="1" x14ac:dyDescent="0.25"/>
    <row r="12621" ht="15" customHeight="1" x14ac:dyDescent="0.25"/>
    <row r="12622" ht="15" customHeight="1" x14ac:dyDescent="0.25"/>
    <row r="12623" ht="15" customHeight="1" x14ac:dyDescent="0.25"/>
    <row r="12624" ht="15" customHeight="1" x14ac:dyDescent="0.25"/>
    <row r="12625" ht="15" customHeight="1" x14ac:dyDescent="0.25"/>
    <row r="12626" ht="15" customHeight="1" x14ac:dyDescent="0.25"/>
    <row r="12627" ht="15" customHeight="1" x14ac:dyDescent="0.25"/>
    <row r="12628" ht="15" customHeight="1" x14ac:dyDescent="0.25"/>
    <row r="12629" ht="15" customHeight="1" x14ac:dyDescent="0.25"/>
    <row r="12630" ht="15" customHeight="1" x14ac:dyDescent="0.25"/>
    <row r="12631" ht="15" customHeight="1" x14ac:dyDescent="0.25"/>
    <row r="12632" ht="15" customHeight="1" x14ac:dyDescent="0.25"/>
    <row r="12633" ht="15" customHeight="1" x14ac:dyDescent="0.25"/>
    <row r="12634" ht="15" customHeight="1" x14ac:dyDescent="0.25"/>
    <row r="12635" ht="15" customHeight="1" x14ac:dyDescent="0.25"/>
    <row r="12636" ht="15" customHeight="1" x14ac:dyDescent="0.25"/>
    <row r="12637" ht="15" customHeight="1" x14ac:dyDescent="0.25"/>
    <row r="12638" ht="15" customHeight="1" x14ac:dyDescent="0.25"/>
    <row r="12639" ht="15" customHeight="1" x14ac:dyDescent="0.25"/>
    <row r="12640" ht="15" customHeight="1" x14ac:dyDescent="0.25"/>
    <row r="12641" ht="15" customHeight="1" x14ac:dyDescent="0.25"/>
    <row r="12642" ht="15" customHeight="1" x14ac:dyDescent="0.25"/>
    <row r="12643" ht="15" customHeight="1" x14ac:dyDescent="0.25"/>
    <row r="12644" ht="15" customHeight="1" x14ac:dyDescent="0.25"/>
    <row r="12645" ht="15" customHeight="1" x14ac:dyDescent="0.25"/>
    <row r="12646" ht="15" customHeight="1" x14ac:dyDescent="0.25"/>
    <row r="12647" ht="15" customHeight="1" x14ac:dyDescent="0.25"/>
    <row r="12648" ht="15" customHeight="1" x14ac:dyDescent="0.25"/>
    <row r="12649" ht="15" customHeight="1" x14ac:dyDescent="0.25"/>
    <row r="12650" ht="15" customHeight="1" x14ac:dyDescent="0.25"/>
    <row r="12651" ht="15" customHeight="1" x14ac:dyDescent="0.25"/>
    <row r="12652" ht="15" customHeight="1" x14ac:dyDescent="0.25"/>
    <row r="12653" ht="15" customHeight="1" x14ac:dyDescent="0.25"/>
    <row r="12654" ht="15" customHeight="1" x14ac:dyDescent="0.25"/>
    <row r="12655" ht="15" customHeight="1" x14ac:dyDescent="0.25"/>
    <row r="12656" ht="15" customHeight="1" x14ac:dyDescent="0.25"/>
    <row r="12657" ht="15" customHeight="1" x14ac:dyDescent="0.25"/>
    <row r="12658" ht="15" customHeight="1" x14ac:dyDescent="0.25"/>
    <row r="12659" ht="15" customHeight="1" x14ac:dyDescent="0.25"/>
    <row r="12660" ht="15" customHeight="1" x14ac:dyDescent="0.25"/>
    <row r="12661" ht="15" customHeight="1" x14ac:dyDescent="0.25"/>
    <row r="12662" ht="15" customHeight="1" x14ac:dyDescent="0.25"/>
    <row r="12663" ht="15" customHeight="1" x14ac:dyDescent="0.25"/>
    <row r="12664" ht="15" customHeight="1" x14ac:dyDescent="0.25"/>
    <row r="12665" ht="15" customHeight="1" x14ac:dyDescent="0.25"/>
    <row r="12666" ht="15" customHeight="1" x14ac:dyDescent="0.25"/>
    <row r="12667" ht="15" customHeight="1" x14ac:dyDescent="0.25"/>
    <row r="12668" ht="15" customHeight="1" x14ac:dyDescent="0.25"/>
    <row r="12669" ht="15" customHeight="1" x14ac:dyDescent="0.25"/>
    <row r="12670" ht="15" customHeight="1" x14ac:dyDescent="0.25"/>
    <row r="12671" ht="15" customHeight="1" x14ac:dyDescent="0.25"/>
    <row r="12672" ht="15" customHeight="1" x14ac:dyDescent="0.25"/>
    <row r="12697" ht="15" customHeight="1" x14ac:dyDescent="0.25"/>
    <row r="12727" ht="15" customHeight="1" x14ac:dyDescent="0.25"/>
    <row r="12755" ht="15" customHeight="1" x14ac:dyDescent="0.25"/>
    <row r="12766" ht="15" customHeight="1" x14ac:dyDescent="0.25"/>
    <row r="12767" ht="15" customHeight="1" x14ac:dyDescent="0.25"/>
    <row r="12768" ht="15" customHeight="1" x14ac:dyDescent="0.25"/>
    <row r="12769" ht="15" customHeight="1" x14ac:dyDescent="0.25"/>
    <row r="12770" ht="15" customHeight="1" x14ac:dyDescent="0.25"/>
    <row r="12771" ht="15" customHeight="1" x14ac:dyDescent="0.25"/>
    <row r="12772" ht="15" customHeight="1" x14ac:dyDescent="0.25"/>
    <row r="12773" ht="15" customHeight="1" x14ac:dyDescent="0.25"/>
    <row r="12774" ht="15" customHeight="1" x14ac:dyDescent="0.25"/>
    <row r="12775" ht="15" customHeight="1" x14ac:dyDescent="0.25"/>
    <row r="12776" ht="15" customHeight="1" x14ac:dyDescent="0.25"/>
    <row r="12777" ht="15" customHeight="1" x14ac:dyDescent="0.25"/>
    <row r="12778" ht="15" customHeight="1" x14ac:dyDescent="0.25"/>
    <row r="12779" ht="15" customHeight="1" x14ac:dyDescent="0.25"/>
    <row r="12780" ht="15" customHeight="1" x14ac:dyDescent="0.25"/>
    <row r="12781" ht="15" customHeight="1" x14ac:dyDescent="0.25"/>
    <row r="12782" ht="15" customHeight="1" x14ac:dyDescent="0.25"/>
    <row r="12783" ht="15" customHeight="1" x14ac:dyDescent="0.25"/>
    <row r="12784" ht="15" customHeight="1" x14ac:dyDescent="0.25"/>
    <row r="12785" ht="15" customHeight="1" x14ac:dyDescent="0.25"/>
    <row r="12786" ht="15" customHeight="1" x14ac:dyDescent="0.25"/>
    <row r="12787" ht="15" customHeight="1" x14ac:dyDescent="0.25"/>
    <row r="12788" ht="15" customHeight="1" x14ac:dyDescent="0.25"/>
    <row r="12789" ht="15" customHeight="1" x14ac:dyDescent="0.25"/>
    <row r="12790" ht="15" customHeight="1" x14ac:dyDescent="0.25"/>
    <row r="12791" ht="15" customHeight="1" x14ac:dyDescent="0.25"/>
    <row r="12792" ht="15" customHeight="1" x14ac:dyDescent="0.25"/>
    <row r="12793" ht="15" customHeight="1" x14ac:dyDescent="0.25"/>
    <row r="12794" ht="15" customHeight="1" x14ac:dyDescent="0.25"/>
    <row r="12795" ht="15" customHeight="1" x14ac:dyDescent="0.25"/>
    <row r="12796" ht="15" customHeight="1" x14ac:dyDescent="0.25"/>
    <row r="12797" ht="15" customHeight="1" x14ac:dyDescent="0.25"/>
    <row r="12798" ht="15" customHeight="1" x14ac:dyDescent="0.25"/>
    <row r="12799" ht="15" customHeight="1" x14ac:dyDescent="0.25"/>
    <row r="12800" ht="15" customHeight="1" x14ac:dyDescent="0.25"/>
    <row r="12801" ht="15" customHeight="1" x14ac:dyDescent="0.25"/>
    <row r="12802" ht="15" customHeight="1" x14ac:dyDescent="0.25"/>
    <row r="12803" ht="15" customHeight="1" x14ac:dyDescent="0.25"/>
    <row r="12804" ht="15" customHeight="1" x14ac:dyDescent="0.25"/>
    <row r="12805" ht="15" customHeight="1" x14ac:dyDescent="0.25"/>
    <row r="12806" ht="15" customHeight="1" x14ac:dyDescent="0.25"/>
    <row r="12807" ht="15" customHeight="1" x14ac:dyDescent="0.25"/>
    <row r="12808" ht="15" customHeight="1" x14ac:dyDescent="0.25"/>
    <row r="12809" ht="15" customHeight="1" x14ac:dyDescent="0.25"/>
    <row r="12810" ht="15" customHeight="1" x14ac:dyDescent="0.25"/>
    <row r="12811" ht="15" customHeight="1" x14ac:dyDescent="0.25"/>
    <row r="12812" ht="15" customHeight="1" x14ac:dyDescent="0.25"/>
    <row r="12813" ht="15" customHeight="1" x14ac:dyDescent="0.25"/>
    <row r="12814" ht="15" customHeight="1" x14ac:dyDescent="0.25"/>
    <row r="12815" ht="15" customHeight="1" x14ac:dyDescent="0.25"/>
    <row r="12816" ht="15" customHeight="1" x14ac:dyDescent="0.25"/>
    <row r="12817" ht="15" customHeight="1" x14ac:dyDescent="0.25"/>
    <row r="12828" ht="15" customHeight="1" x14ac:dyDescent="0.25"/>
    <row r="12829" ht="15" customHeight="1" x14ac:dyDescent="0.25"/>
    <row r="12830" ht="15" customHeight="1" x14ac:dyDescent="0.25"/>
    <row r="12831" ht="15" customHeight="1" x14ac:dyDescent="0.25"/>
    <row r="12832" ht="15" customHeight="1" x14ac:dyDescent="0.25"/>
    <row r="12833" ht="15" customHeight="1" x14ac:dyDescent="0.25"/>
    <row r="12834" ht="15" customHeight="1" x14ac:dyDescent="0.25"/>
    <row r="12835" ht="15" customHeight="1" x14ac:dyDescent="0.25"/>
    <row r="12836" ht="15" customHeight="1" x14ac:dyDescent="0.25"/>
    <row r="12837" ht="15" customHeight="1" x14ac:dyDescent="0.25"/>
    <row r="12838" ht="15" customHeight="1" x14ac:dyDescent="0.25"/>
    <row r="12839" ht="15" customHeight="1" x14ac:dyDescent="0.25"/>
    <row r="12840" ht="15" customHeight="1" x14ac:dyDescent="0.25"/>
    <row r="12841" ht="15" customHeight="1" x14ac:dyDescent="0.25"/>
    <row r="12842" ht="15" customHeight="1" x14ac:dyDescent="0.25"/>
    <row r="12843" ht="15" customHeight="1" x14ac:dyDescent="0.25"/>
    <row r="12844" ht="15" customHeight="1" x14ac:dyDescent="0.25"/>
    <row r="12845" ht="15" customHeight="1" x14ac:dyDescent="0.25"/>
    <row r="12846" ht="15" customHeight="1" x14ac:dyDescent="0.25"/>
    <row r="12847" ht="15" customHeight="1" x14ac:dyDescent="0.25"/>
    <row r="12848" ht="15" customHeight="1" x14ac:dyDescent="0.25"/>
    <row r="12849" ht="15" customHeight="1" x14ac:dyDescent="0.25"/>
    <row r="12850" ht="15" customHeight="1" x14ac:dyDescent="0.25"/>
    <row r="12851" ht="15" customHeight="1" x14ac:dyDescent="0.25"/>
    <row r="12852" ht="15" customHeight="1" x14ac:dyDescent="0.25"/>
    <row r="12853" ht="15" customHeight="1" x14ac:dyDescent="0.25"/>
    <row r="12854" ht="15" customHeight="1" x14ac:dyDescent="0.25"/>
    <row r="12855" ht="15" customHeight="1" x14ac:dyDescent="0.25"/>
    <row r="12856" ht="15" customHeight="1" x14ac:dyDescent="0.25"/>
    <row r="12857" ht="15" customHeight="1" x14ac:dyDescent="0.25"/>
    <row r="12858" ht="15" customHeight="1" x14ac:dyDescent="0.25"/>
    <row r="12859" ht="15" customHeight="1" x14ac:dyDescent="0.25"/>
    <row r="12860" ht="15" customHeight="1" x14ac:dyDescent="0.25"/>
    <row r="12861" ht="15" customHeight="1" x14ac:dyDescent="0.25"/>
    <row r="12862" ht="15" customHeight="1" x14ac:dyDescent="0.25"/>
    <row r="12863" ht="15" customHeight="1" x14ac:dyDescent="0.25"/>
    <row r="12864" ht="15" customHeight="1" x14ac:dyDescent="0.25"/>
    <row r="12865" ht="15" customHeight="1" x14ac:dyDescent="0.25"/>
    <row r="12866" ht="15" customHeight="1" x14ac:dyDescent="0.25"/>
    <row r="12867" ht="15" customHeight="1" x14ac:dyDescent="0.25"/>
    <row r="12868" ht="15" customHeight="1" x14ac:dyDescent="0.25"/>
    <row r="12869" ht="15" customHeight="1" x14ac:dyDescent="0.25"/>
    <row r="12870" ht="15" customHeight="1" x14ac:dyDescent="0.25"/>
    <row r="12871" ht="15" customHeight="1" x14ac:dyDescent="0.25"/>
    <row r="12872" ht="15" customHeight="1" x14ac:dyDescent="0.25"/>
    <row r="12873" ht="15" customHeight="1" x14ac:dyDescent="0.25"/>
    <row r="12874" ht="15" customHeight="1" x14ac:dyDescent="0.25"/>
    <row r="12875" ht="15" customHeight="1" x14ac:dyDescent="0.25"/>
    <row r="12876" ht="15" customHeight="1" x14ac:dyDescent="0.25"/>
    <row r="12877" ht="15" customHeight="1" x14ac:dyDescent="0.25"/>
    <row r="12878" ht="15" customHeight="1" x14ac:dyDescent="0.25"/>
    <row r="12879" ht="15" customHeight="1" x14ac:dyDescent="0.25"/>
    <row r="12881" ht="15" customHeight="1" x14ac:dyDescent="0.25"/>
    <row r="12882" ht="15" customHeight="1" x14ac:dyDescent="0.25"/>
    <row r="12883" ht="15" customHeight="1" x14ac:dyDescent="0.25"/>
    <row r="12884" ht="15" customHeight="1" x14ac:dyDescent="0.25"/>
    <row r="12885" ht="15" customHeight="1" x14ac:dyDescent="0.25"/>
    <row r="12886" ht="15" customHeight="1" x14ac:dyDescent="0.25"/>
    <row r="12887" ht="15" customHeight="1" x14ac:dyDescent="0.25"/>
    <row r="12888" ht="15" customHeight="1" x14ac:dyDescent="0.25"/>
    <row r="12889" ht="15" customHeight="1" x14ac:dyDescent="0.25"/>
    <row r="12890" ht="15" customHeight="1" x14ac:dyDescent="0.25"/>
    <row r="12891" ht="15" customHeight="1" x14ac:dyDescent="0.25"/>
    <row r="12892" ht="15" customHeight="1" x14ac:dyDescent="0.25"/>
    <row r="12893" ht="15" customHeight="1" x14ac:dyDescent="0.25"/>
    <row r="12894" ht="15" customHeight="1" x14ac:dyDescent="0.25"/>
    <row r="12895" ht="15" customHeight="1" x14ac:dyDescent="0.25"/>
    <row r="12896" ht="15" customHeight="1" x14ac:dyDescent="0.25"/>
    <row r="12897" ht="15" customHeight="1" x14ac:dyDescent="0.25"/>
    <row r="12898" ht="15" customHeight="1" x14ac:dyDescent="0.25"/>
    <row r="12899" ht="15" customHeight="1" x14ac:dyDescent="0.25"/>
    <row r="12900" ht="15" customHeight="1" x14ac:dyDescent="0.25"/>
    <row r="12901" ht="15" customHeight="1" x14ac:dyDescent="0.25"/>
    <row r="12902" ht="15" customHeight="1" x14ac:dyDescent="0.25"/>
    <row r="12903" ht="15" customHeight="1" x14ac:dyDescent="0.25"/>
    <row r="12904" ht="15" customHeight="1" x14ac:dyDescent="0.25"/>
    <row r="12905" ht="15" customHeight="1" x14ac:dyDescent="0.25"/>
    <row r="12906" ht="15" customHeight="1" x14ac:dyDescent="0.25"/>
    <row r="12907" ht="15" customHeight="1" x14ac:dyDescent="0.25"/>
    <row r="12908" ht="15" customHeight="1" x14ac:dyDescent="0.25"/>
    <row r="12909" ht="15" customHeight="1" x14ac:dyDescent="0.25"/>
    <row r="12910" ht="15" customHeight="1" x14ac:dyDescent="0.25"/>
    <row r="12911" ht="15" customHeight="1" x14ac:dyDescent="0.25"/>
    <row r="12913" ht="15" customHeight="1" x14ac:dyDescent="0.25"/>
    <row r="12914" ht="15" customHeight="1" x14ac:dyDescent="0.25"/>
    <row r="12915" ht="15" customHeight="1" x14ac:dyDescent="0.25"/>
    <row r="12916" ht="15" customHeight="1" x14ac:dyDescent="0.25"/>
    <row r="12917" ht="15" customHeight="1" x14ac:dyDescent="0.25"/>
    <row r="12918" ht="15" customHeight="1" x14ac:dyDescent="0.25"/>
    <row r="12919" ht="15" customHeight="1" x14ac:dyDescent="0.25"/>
    <row r="12920" ht="15" customHeight="1" x14ac:dyDescent="0.25"/>
    <row r="12921" ht="15" customHeight="1" x14ac:dyDescent="0.25"/>
    <row r="12922" ht="15" customHeight="1" x14ac:dyDescent="0.25"/>
    <row r="12923" ht="15" customHeight="1" x14ac:dyDescent="0.25"/>
    <row r="12924" ht="15" customHeight="1" x14ac:dyDescent="0.25"/>
    <row r="12925" ht="15" customHeight="1" x14ac:dyDescent="0.25"/>
    <row r="12926" ht="15" customHeight="1" x14ac:dyDescent="0.25"/>
    <row r="12927" ht="15" customHeight="1" x14ac:dyDescent="0.25"/>
    <row r="12928" ht="15" customHeight="1" x14ac:dyDescent="0.25"/>
    <row r="12929" ht="15" customHeight="1" x14ac:dyDescent="0.25"/>
    <row r="12930" ht="15" customHeight="1" x14ac:dyDescent="0.25"/>
    <row r="12931" ht="15" customHeight="1" x14ac:dyDescent="0.25"/>
    <row r="12932" ht="15" customHeight="1" x14ac:dyDescent="0.25"/>
    <row r="12933" ht="15" customHeight="1" x14ac:dyDescent="0.25"/>
    <row r="12934" ht="15" customHeight="1" x14ac:dyDescent="0.25"/>
    <row r="12935" ht="15" customHeight="1" x14ac:dyDescent="0.25"/>
    <row r="12936" ht="15" customHeight="1" x14ac:dyDescent="0.25"/>
    <row r="12937" ht="15" customHeight="1" x14ac:dyDescent="0.25"/>
    <row r="12938" ht="15" customHeight="1" x14ac:dyDescent="0.25"/>
    <row r="12939" ht="15" customHeight="1" x14ac:dyDescent="0.25"/>
    <row r="12940" ht="15" customHeight="1" x14ac:dyDescent="0.25"/>
    <row r="12941" ht="15" customHeight="1" x14ac:dyDescent="0.25"/>
    <row r="12942" ht="15" customHeight="1" x14ac:dyDescent="0.25"/>
    <row r="12943" ht="15" customHeight="1" x14ac:dyDescent="0.25"/>
    <row r="12944" ht="15" customHeight="1" x14ac:dyDescent="0.25"/>
    <row r="12945" ht="15" customHeight="1" x14ac:dyDescent="0.25"/>
    <row r="12946" ht="15" customHeight="1" x14ac:dyDescent="0.25"/>
    <row r="12947" ht="15" customHeight="1" x14ac:dyDescent="0.25"/>
    <row r="12948" ht="15" customHeight="1" x14ac:dyDescent="0.25"/>
    <row r="12949" ht="15" customHeight="1" x14ac:dyDescent="0.25"/>
    <row r="12950" ht="15" customHeight="1" x14ac:dyDescent="0.25"/>
    <row r="12951" ht="15" customHeight="1" x14ac:dyDescent="0.25"/>
    <row r="12952" ht="15" customHeight="1" x14ac:dyDescent="0.25"/>
    <row r="12953" ht="15" customHeight="1" x14ac:dyDescent="0.25"/>
    <row r="12954" ht="15" customHeight="1" x14ac:dyDescent="0.25"/>
    <row r="12955" ht="15" customHeight="1" x14ac:dyDescent="0.25"/>
    <row r="12956" ht="15" customHeight="1" x14ac:dyDescent="0.25"/>
    <row r="12957" ht="15" customHeight="1" x14ac:dyDescent="0.25"/>
    <row r="12958" ht="15" customHeight="1" x14ac:dyDescent="0.25"/>
    <row r="12959" ht="15" customHeight="1" x14ac:dyDescent="0.25"/>
    <row r="12960" ht="15" customHeight="1" x14ac:dyDescent="0.25"/>
    <row r="12961" ht="15" customHeight="1" x14ac:dyDescent="0.25"/>
    <row r="12962" ht="15" customHeight="1" x14ac:dyDescent="0.25"/>
    <row r="12963" ht="15" customHeight="1" x14ac:dyDescent="0.25"/>
    <row r="12964" ht="15" customHeight="1" x14ac:dyDescent="0.25"/>
    <row r="12965" ht="15" customHeight="1" x14ac:dyDescent="0.25"/>
    <row r="12966" ht="15" customHeight="1" x14ac:dyDescent="0.25"/>
    <row r="12967" ht="15" customHeight="1" x14ac:dyDescent="0.25"/>
    <row r="12968" ht="15" customHeight="1" x14ac:dyDescent="0.25"/>
    <row r="12969" ht="15" customHeight="1" x14ac:dyDescent="0.25"/>
    <row r="12970" ht="15" customHeight="1" x14ac:dyDescent="0.25"/>
    <row r="12971" ht="15" customHeight="1" x14ac:dyDescent="0.25"/>
    <row r="12972" ht="15" customHeight="1" x14ac:dyDescent="0.25"/>
    <row r="12973" ht="15" customHeight="1" x14ac:dyDescent="0.25"/>
    <row r="12974" ht="15" customHeight="1" x14ac:dyDescent="0.25"/>
    <row r="12975" ht="15" customHeight="1" x14ac:dyDescent="0.25"/>
    <row r="12976" ht="15" customHeight="1" x14ac:dyDescent="0.25"/>
    <row r="12977" ht="15" customHeight="1" x14ac:dyDescent="0.25"/>
    <row r="12978" ht="15" customHeight="1" x14ac:dyDescent="0.25"/>
    <row r="12979" ht="15" customHeight="1" x14ac:dyDescent="0.25"/>
    <row r="12980" ht="15" customHeight="1" x14ac:dyDescent="0.25"/>
    <row r="12981" ht="15" customHeight="1" x14ac:dyDescent="0.25"/>
    <row r="12982" ht="15" customHeight="1" x14ac:dyDescent="0.25"/>
    <row r="12983" ht="15" customHeight="1" x14ac:dyDescent="0.25"/>
    <row r="12984" ht="15" customHeight="1" x14ac:dyDescent="0.25"/>
    <row r="12985" ht="15" customHeight="1" x14ac:dyDescent="0.25"/>
    <row r="12986" ht="15" customHeight="1" x14ac:dyDescent="0.25"/>
    <row r="12987" ht="15" customHeight="1" x14ac:dyDescent="0.25"/>
    <row r="12988" ht="15" customHeight="1" x14ac:dyDescent="0.25"/>
    <row r="12989" ht="15" customHeight="1" x14ac:dyDescent="0.25"/>
    <row r="12990" ht="15" customHeight="1" x14ac:dyDescent="0.25"/>
    <row r="12991" ht="15" customHeight="1" x14ac:dyDescent="0.25"/>
    <row r="12992" ht="15" customHeight="1" x14ac:dyDescent="0.25"/>
    <row r="12993" ht="15" customHeight="1" x14ac:dyDescent="0.25"/>
    <row r="12994" ht="15" customHeight="1" x14ac:dyDescent="0.25"/>
    <row r="12995" ht="15" customHeight="1" x14ac:dyDescent="0.25"/>
    <row r="12996" ht="15" customHeight="1" x14ac:dyDescent="0.25"/>
    <row r="12997" ht="15" customHeight="1" x14ac:dyDescent="0.25"/>
    <row r="12998" ht="15" customHeight="1" x14ac:dyDescent="0.25"/>
    <row r="12999" ht="15" customHeight="1" x14ac:dyDescent="0.25"/>
    <row r="13000" ht="15" customHeight="1" x14ac:dyDescent="0.25"/>
    <row r="13001" ht="15" customHeight="1" x14ac:dyDescent="0.25"/>
    <row r="13002" ht="15" customHeight="1" x14ac:dyDescent="0.25"/>
    <row r="13003" ht="15" customHeight="1" x14ac:dyDescent="0.25"/>
    <row r="13004" ht="15" customHeight="1" x14ac:dyDescent="0.25"/>
    <row r="13005" ht="15" customHeight="1" x14ac:dyDescent="0.25"/>
    <row r="13006" ht="15" customHeight="1" x14ac:dyDescent="0.25"/>
    <row r="13007" ht="15" customHeight="1" x14ac:dyDescent="0.25"/>
    <row r="13008" ht="15" customHeight="1" x14ac:dyDescent="0.25"/>
    <row r="13009" ht="15" customHeight="1" x14ac:dyDescent="0.25"/>
    <row r="13010" ht="15" customHeight="1" x14ac:dyDescent="0.25"/>
    <row r="13011" ht="15" customHeight="1" x14ac:dyDescent="0.25"/>
    <row r="13012" ht="15" customHeight="1" x14ac:dyDescent="0.25"/>
    <row r="13013" ht="15" customHeight="1" x14ac:dyDescent="0.25"/>
    <row r="13014" ht="15" customHeight="1" x14ac:dyDescent="0.25"/>
    <row r="13015" ht="15" customHeight="1" x14ac:dyDescent="0.25"/>
    <row r="13016" ht="15" customHeight="1" x14ac:dyDescent="0.25"/>
    <row r="13017" ht="15" customHeight="1" x14ac:dyDescent="0.25"/>
    <row r="13018" ht="15" customHeight="1" x14ac:dyDescent="0.25"/>
    <row r="13019" ht="15" customHeight="1" x14ac:dyDescent="0.25"/>
    <row r="13020" ht="15" customHeight="1" x14ac:dyDescent="0.25"/>
    <row r="13021" ht="15" customHeight="1" x14ac:dyDescent="0.25"/>
    <row r="13022" ht="15" customHeight="1" x14ac:dyDescent="0.25"/>
    <row r="13023" ht="15" customHeight="1" x14ac:dyDescent="0.25"/>
    <row r="13024" ht="15" customHeight="1" x14ac:dyDescent="0.25"/>
    <row r="13025" ht="15" customHeight="1" x14ac:dyDescent="0.25"/>
    <row r="13026" ht="15" customHeight="1" x14ac:dyDescent="0.25"/>
    <row r="13027" ht="15" customHeight="1" x14ac:dyDescent="0.25"/>
    <row r="13028" ht="15" customHeight="1" x14ac:dyDescent="0.25"/>
    <row r="13029" ht="15" customHeight="1" x14ac:dyDescent="0.25"/>
    <row r="13030" ht="15" customHeight="1" x14ac:dyDescent="0.25"/>
    <row r="13031" ht="15" customHeight="1" x14ac:dyDescent="0.25"/>
    <row r="13032" ht="15" customHeight="1" x14ac:dyDescent="0.25"/>
    <row r="13033" ht="15" customHeight="1" x14ac:dyDescent="0.25"/>
    <row r="13034" ht="15" customHeight="1" x14ac:dyDescent="0.25"/>
    <row r="13035" ht="15" customHeight="1" x14ac:dyDescent="0.25"/>
    <row r="13036" ht="15" customHeight="1" x14ac:dyDescent="0.25"/>
    <row r="13037" ht="15" customHeight="1" x14ac:dyDescent="0.25"/>
    <row r="13038" ht="15" customHeight="1" x14ac:dyDescent="0.25"/>
    <row r="13039" ht="15" customHeight="1" x14ac:dyDescent="0.25"/>
    <row r="13040" ht="15" customHeight="1" x14ac:dyDescent="0.25"/>
    <row r="13041" ht="15" customHeight="1" x14ac:dyDescent="0.25"/>
    <row r="13042" ht="15" customHeight="1" x14ac:dyDescent="0.25"/>
    <row r="13043" ht="15" customHeight="1" x14ac:dyDescent="0.25"/>
    <row r="13044" ht="15" customHeight="1" x14ac:dyDescent="0.25"/>
    <row r="13045" ht="15" customHeight="1" x14ac:dyDescent="0.25"/>
    <row r="13046" ht="15" customHeight="1" x14ac:dyDescent="0.25"/>
    <row r="13047" ht="15" customHeight="1" x14ac:dyDescent="0.25"/>
    <row r="13048" ht="15" customHeight="1" x14ac:dyDescent="0.25"/>
    <row r="13049" ht="15" customHeight="1" x14ac:dyDescent="0.25"/>
    <row r="13050" ht="15" customHeight="1" x14ac:dyDescent="0.25"/>
    <row r="13051" ht="15" customHeight="1" x14ac:dyDescent="0.25"/>
    <row r="13052" ht="15" customHeight="1" x14ac:dyDescent="0.25"/>
    <row r="13053" ht="15" customHeight="1" x14ac:dyDescent="0.25"/>
    <row r="13054" ht="15" customHeight="1" x14ac:dyDescent="0.25"/>
    <row r="13055" ht="15" customHeight="1" x14ac:dyDescent="0.25"/>
    <row r="13056" ht="15" customHeight="1" x14ac:dyDescent="0.25"/>
    <row r="13057" ht="15" customHeight="1" x14ac:dyDescent="0.25"/>
    <row r="13058" ht="15" customHeight="1" x14ac:dyDescent="0.25"/>
    <row r="13059" ht="15" customHeight="1" x14ac:dyDescent="0.25"/>
    <row r="13060" ht="15" customHeight="1" x14ac:dyDescent="0.25"/>
    <row r="13061" ht="15" customHeight="1" x14ac:dyDescent="0.25"/>
    <row r="13062" ht="15" customHeight="1" x14ac:dyDescent="0.25"/>
    <row r="13063" ht="15" customHeight="1" x14ac:dyDescent="0.25"/>
    <row r="13064" ht="15" customHeight="1" x14ac:dyDescent="0.25"/>
    <row r="13065" ht="15" customHeight="1" x14ac:dyDescent="0.25"/>
    <row r="13066" ht="15" customHeight="1" x14ac:dyDescent="0.25"/>
    <row r="13067" ht="15" customHeight="1" x14ac:dyDescent="0.25"/>
    <row r="13068" ht="15" customHeight="1" x14ac:dyDescent="0.25"/>
    <row r="13069" ht="15" customHeight="1" x14ac:dyDescent="0.25"/>
    <row r="13070" ht="15" customHeight="1" x14ac:dyDescent="0.25"/>
    <row r="13071" ht="15" customHeight="1" x14ac:dyDescent="0.25"/>
    <row r="13072" ht="15" customHeight="1" x14ac:dyDescent="0.25"/>
    <row r="13073" ht="15" customHeight="1" x14ac:dyDescent="0.25"/>
    <row r="13074" ht="15" customHeight="1" x14ac:dyDescent="0.25"/>
    <row r="13075" ht="15" customHeight="1" x14ac:dyDescent="0.25"/>
    <row r="13076" ht="15" customHeight="1" x14ac:dyDescent="0.25"/>
    <row r="13077" ht="15" customHeight="1" x14ac:dyDescent="0.25"/>
    <row r="13078" ht="15" customHeight="1" x14ac:dyDescent="0.25"/>
    <row r="13079" ht="15" customHeight="1" x14ac:dyDescent="0.25"/>
    <row r="13080" ht="15" customHeight="1" x14ac:dyDescent="0.25"/>
    <row r="13081" ht="15" customHeight="1" x14ac:dyDescent="0.25"/>
    <row r="13082" ht="15" customHeight="1" x14ac:dyDescent="0.25"/>
    <row r="13083" ht="15" customHeight="1" x14ac:dyDescent="0.25"/>
    <row r="13084" ht="15" customHeight="1" x14ac:dyDescent="0.25"/>
    <row r="13085" ht="15" customHeight="1" x14ac:dyDescent="0.25"/>
    <row r="13086" ht="15" customHeight="1" x14ac:dyDescent="0.25"/>
    <row r="13087" ht="15" customHeight="1" x14ac:dyDescent="0.25"/>
    <row r="13088" ht="15" customHeight="1" x14ac:dyDescent="0.25"/>
    <row r="13089" ht="15" customHeight="1" x14ac:dyDescent="0.25"/>
    <row r="13090" ht="15" customHeight="1" x14ac:dyDescent="0.25"/>
    <row r="13091" ht="15" customHeight="1" x14ac:dyDescent="0.25"/>
    <row r="13092" ht="15" customHeight="1" x14ac:dyDescent="0.25"/>
    <row r="13093" ht="15" customHeight="1" x14ac:dyDescent="0.25"/>
    <row r="13094" ht="15" customHeight="1" x14ac:dyDescent="0.25"/>
    <row r="13095" ht="15" customHeight="1" x14ac:dyDescent="0.25"/>
    <row r="13096" ht="15" customHeight="1" x14ac:dyDescent="0.25"/>
    <row r="13097" ht="15" customHeight="1" x14ac:dyDescent="0.25"/>
    <row r="13098" ht="15" customHeight="1" x14ac:dyDescent="0.25"/>
    <row r="13099" ht="15" customHeight="1" x14ac:dyDescent="0.25"/>
    <row r="13100" ht="15" customHeight="1" x14ac:dyDescent="0.25"/>
    <row r="13101" ht="15" customHeight="1" x14ac:dyDescent="0.25"/>
    <row r="13102" ht="15" customHeight="1" x14ac:dyDescent="0.25"/>
    <row r="13103" ht="15" customHeight="1" x14ac:dyDescent="0.25"/>
    <row r="13104" ht="15" customHeight="1" x14ac:dyDescent="0.25"/>
    <row r="13105" ht="15" customHeight="1" x14ac:dyDescent="0.25"/>
    <row r="13106" ht="15" customHeight="1" x14ac:dyDescent="0.25"/>
    <row r="13107" ht="15" customHeight="1" x14ac:dyDescent="0.25"/>
    <row r="13108" ht="15" customHeight="1" x14ac:dyDescent="0.25"/>
    <row r="13109" ht="15" customHeight="1" x14ac:dyDescent="0.25"/>
    <row r="13110" ht="15" customHeight="1" x14ac:dyDescent="0.25"/>
    <row r="13111" ht="15" customHeight="1" x14ac:dyDescent="0.25"/>
    <row r="13112" ht="15" customHeight="1" x14ac:dyDescent="0.25"/>
    <row r="13113" ht="15" customHeight="1" x14ac:dyDescent="0.25"/>
    <row r="13114" ht="15" customHeight="1" x14ac:dyDescent="0.25"/>
    <row r="13115" ht="15" customHeight="1" x14ac:dyDescent="0.25"/>
    <row r="13116" ht="15" customHeight="1" x14ac:dyDescent="0.25"/>
    <row r="13117" ht="15" customHeight="1" x14ac:dyDescent="0.25"/>
    <row r="13118" ht="15" customHeight="1" x14ac:dyDescent="0.25"/>
    <row r="13119" ht="15" customHeight="1" x14ac:dyDescent="0.25"/>
    <row r="13120" ht="15" customHeight="1" x14ac:dyDescent="0.25"/>
    <row r="13121" ht="15" customHeight="1" x14ac:dyDescent="0.25"/>
    <row r="13122" ht="15" customHeight="1" x14ac:dyDescent="0.25"/>
    <row r="13123" ht="15" customHeight="1" x14ac:dyDescent="0.25"/>
    <row r="13124" ht="15" customHeight="1" x14ac:dyDescent="0.25"/>
    <row r="13125" ht="15" customHeight="1" x14ac:dyDescent="0.25"/>
    <row r="13126" ht="15" customHeight="1" x14ac:dyDescent="0.25"/>
    <row r="13127" ht="15" customHeight="1" x14ac:dyDescent="0.25"/>
    <row r="13128" ht="15" customHeight="1" x14ac:dyDescent="0.25"/>
    <row r="13129" ht="15" customHeight="1" x14ac:dyDescent="0.25"/>
    <row r="13130" ht="15" customHeight="1" x14ac:dyDescent="0.25"/>
    <row r="13131" ht="15" customHeight="1" x14ac:dyDescent="0.25"/>
    <row r="13132" ht="15" customHeight="1" x14ac:dyDescent="0.25"/>
    <row r="13133" ht="15" customHeight="1" x14ac:dyDescent="0.25"/>
    <row r="13134" ht="15" customHeight="1" x14ac:dyDescent="0.25"/>
    <row r="13135" ht="15" customHeight="1" x14ac:dyDescent="0.25"/>
    <row r="13136" ht="15" customHeight="1" x14ac:dyDescent="0.25"/>
    <row r="13137" ht="15" customHeight="1" x14ac:dyDescent="0.25"/>
    <row r="13138" ht="15" customHeight="1" x14ac:dyDescent="0.25"/>
    <row r="13139" ht="15" customHeight="1" x14ac:dyDescent="0.25"/>
    <row r="13140" ht="15" customHeight="1" x14ac:dyDescent="0.25"/>
    <row r="13141" ht="15" customHeight="1" x14ac:dyDescent="0.25"/>
    <row r="13142" ht="15" customHeight="1" x14ac:dyDescent="0.25"/>
    <row r="13143" ht="15" customHeight="1" x14ac:dyDescent="0.25"/>
    <row r="13144" ht="15" customHeight="1" x14ac:dyDescent="0.25"/>
    <row r="13145" ht="15" customHeight="1" x14ac:dyDescent="0.25"/>
    <row r="13146" ht="15" customHeight="1" x14ac:dyDescent="0.25"/>
    <row r="13147" ht="15" customHeight="1" x14ac:dyDescent="0.25"/>
    <row r="13148" ht="15" customHeight="1" x14ac:dyDescent="0.25"/>
    <row r="13149" ht="15" customHeight="1" x14ac:dyDescent="0.25"/>
    <row r="13150" ht="15" customHeight="1" x14ac:dyDescent="0.25"/>
    <row r="13151" ht="15" customHeight="1" x14ac:dyDescent="0.25"/>
    <row r="13152" ht="15" customHeight="1" x14ac:dyDescent="0.25"/>
    <row r="13153" ht="15" customHeight="1" x14ac:dyDescent="0.25"/>
    <row r="13154" ht="15" customHeight="1" x14ac:dyDescent="0.25"/>
    <row r="13155" ht="15" customHeight="1" x14ac:dyDescent="0.25"/>
    <row r="13156" ht="15" customHeight="1" x14ac:dyDescent="0.25"/>
    <row r="13157" ht="15" customHeight="1" x14ac:dyDescent="0.25"/>
    <row r="13158" ht="15" customHeight="1" x14ac:dyDescent="0.25"/>
    <row r="13159" ht="15" customHeight="1" x14ac:dyDescent="0.25"/>
    <row r="13160" ht="15" customHeight="1" x14ac:dyDescent="0.25"/>
    <row r="13161" ht="15" customHeight="1" x14ac:dyDescent="0.25"/>
    <row r="13162" ht="15" customHeight="1" x14ac:dyDescent="0.25"/>
    <row r="13163" ht="15" customHeight="1" x14ac:dyDescent="0.25"/>
    <row r="13164" ht="15" customHeight="1" x14ac:dyDescent="0.25"/>
    <row r="13165" ht="15" customHeight="1" x14ac:dyDescent="0.25"/>
    <row r="13166" ht="15" customHeight="1" x14ac:dyDescent="0.25"/>
    <row r="13167" ht="15" customHeight="1" x14ac:dyDescent="0.25"/>
    <row r="13168" ht="15" customHeight="1" x14ac:dyDescent="0.25"/>
    <row r="13169" ht="15" customHeight="1" x14ac:dyDescent="0.25"/>
    <row r="13170" ht="15" customHeight="1" x14ac:dyDescent="0.25"/>
    <row r="13171" ht="15" customHeight="1" x14ac:dyDescent="0.25"/>
    <row r="13172" ht="15" customHeight="1" x14ac:dyDescent="0.25"/>
    <row r="13173" ht="15" customHeight="1" x14ac:dyDescent="0.25"/>
    <row r="13174" ht="15" customHeight="1" x14ac:dyDescent="0.25"/>
    <row r="13175" ht="15" customHeight="1" x14ac:dyDescent="0.25"/>
    <row r="13176" ht="15" customHeight="1" x14ac:dyDescent="0.25"/>
    <row r="13177" ht="15" customHeight="1" x14ac:dyDescent="0.25"/>
    <row r="13178" ht="15" customHeight="1" x14ac:dyDescent="0.25"/>
    <row r="13179" ht="15" customHeight="1" x14ac:dyDescent="0.25"/>
    <row r="13180" ht="15" customHeight="1" x14ac:dyDescent="0.25"/>
    <row r="13181" ht="15" customHeight="1" x14ac:dyDescent="0.25"/>
    <row r="13182" ht="15" customHeight="1" x14ac:dyDescent="0.25"/>
    <row r="13183" ht="15" customHeight="1" x14ac:dyDescent="0.25"/>
    <row r="13184" ht="15" customHeight="1" x14ac:dyDescent="0.25"/>
    <row r="13185" ht="15" customHeight="1" x14ac:dyDescent="0.25"/>
    <row r="13186" ht="15" customHeight="1" x14ac:dyDescent="0.25"/>
    <row r="13187" ht="15" customHeight="1" x14ac:dyDescent="0.25"/>
    <row r="13188" ht="15" customHeight="1" x14ac:dyDescent="0.25"/>
    <row r="13189" ht="15" customHeight="1" x14ac:dyDescent="0.25"/>
    <row r="13190" ht="15" customHeight="1" x14ac:dyDescent="0.25"/>
    <row r="13191" ht="15" customHeight="1" x14ac:dyDescent="0.25"/>
    <row r="13192" ht="15" customHeight="1" x14ac:dyDescent="0.25"/>
    <row r="13193" ht="15" customHeight="1" x14ac:dyDescent="0.25"/>
    <row r="13194" ht="15" customHeight="1" x14ac:dyDescent="0.25"/>
    <row r="13195" ht="15" customHeight="1" x14ac:dyDescent="0.25"/>
    <row r="13196" ht="15" customHeight="1" x14ac:dyDescent="0.25"/>
    <row r="13197" ht="15" customHeight="1" x14ac:dyDescent="0.25"/>
    <row r="13198" ht="15" customHeight="1" x14ac:dyDescent="0.25"/>
    <row r="13199" ht="15" customHeight="1" x14ac:dyDescent="0.25"/>
    <row r="13200" ht="15" customHeight="1" x14ac:dyDescent="0.25"/>
    <row r="13201" ht="15" customHeight="1" x14ac:dyDescent="0.25"/>
    <row r="13202" ht="15" customHeight="1" x14ac:dyDescent="0.25"/>
    <row r="13203" ht="15" customHeight="1" x14ac:dyDescent="0.25"/>
    <row r="13204" ht="15" customHeight="1" x14ac:dyDescent="0.25"/>
    <row r="13205" ht="15" customHeight="1" x14ac:dyDescent="0.25"/>
    <row r="13206" ht="15" customHeight="1" x14ac:dyDescent="0.25"/>
    <row r="13207" ht="15" customHeight="1" x14ac:dyDescent="0.25"/>
    <row r="13208" ht="15" customHeight="1" x14ac:dyDescent="0.25"/>
    <row r="13209" ht="15" customHeight="1" x14ac:dyDescent="0.25"/>
    <row r="13210" ht="15" customHeight="1" x14ac:dyDescent="0.25"/>
    <row r="13211" ht="15" customHeight="1" x14ac:dyDescent="0.25"/>
    <row r="13212" ht="15" customHeight="1" x14ac:dyDescent="0.25"/>
    <row r="13213" ht="15" customHeight="1" x14ac:dyDescent="0.25"/>
    <row r="13214" ht="15" customHeight="1" x14ac:dyDescent="0.25"/>
    <row r="13215" ht="15" customHeight="1" x14ac:dyDescent="0.25"/>
    <row r="13216" ht="15" customHeight="1" x14ac:dyDescent="0.25"/>
    <row r="13217" ht="15" customHeight="1" x14ac:dyDescent="0.25"/>
    <row r="13218" ht="15" customHeight="1" x14ac:dyDescent="0.25"/>
    <row r="13219" ht="15" customHeight="1" x14ac:dyDescent="0.25"/>
    <row r="13220" ht="15" customHeight="1" x14ac:dyDescent="0.25"/>
    <row r="13221" ht="15" customHeight="1" x14ac:dyDescent="0.25"/>
    <row r="13222" ht="15" customHeight="1" x14ac:dyDescent="0.25"/>
    <row r="13223" ht="15" customHeight="1" x14ac:dyDescent="0.25"/>
    <row r="13224" ht="15" customHeight="1" x14ac:dyDescent="0.25"/>
    <row r="13225" ht="15" customHeight="1" x14ac:dyDescent="0.25"/>
    <row r="13226" ht="15" customHeight="1" x14ac:dyDescent="0.25"/>
    <row r="13227" ht="15" customHeight="1" x14ac:dyDescent="0.25"/>
    <row r="13228" ht="15" customHeight="1" x14ac:dyDescent="0.25"/>
    <row r="13229" ht="15" customHeight="1" x14ac:dyDescent="0.25"/>
    <row r="13230" ht="15" customHeight="1" x14ac:dyDescent="0.25"/>
    <row r="13231" ht="15" customHeight="1" x14ac:dyDescent="0.25"/>
    <row r="13232" ht="15" customHeight="1" x14ac:dyDescent="0.25"/>
    <row r="13233" ht="15" customHeight="1" x14ac:dyDescent="0.25"/>
    <row r="13234" ht="15" customHeight="1" x14ac:dyDescent="0.25"/>
    <row r="13235" ht="15" customHeight="1" x14ac:dyDescent="0.25"/>
    <row r="13236" ht="15" customHeight="1" x14ac:dyDescent="0.25"/>
    <row r="13237" ht="15" customHeight="1" x14ac:dyDescent="0.25"/>
    <row r="13238" ht="15" customHeight="1" x14ac:dyDescent="0.25"/>
    <row r="13239" ht="15" customHeight="1" x14ac:dyDescent="0.25"/>
    <row r="13240" ht="15" customHeight="1" x14ac:dyDescent="0.25"/>
    <row r="13241" ht="15" customHeight="1" x14ac:dyDescent="0.25"/>
    <row r="13242" ht="15" customHeight="1" x14ac:dyDescent="0.25"/>
    <row r="13243" ht="15" customHeight="1" x14ac:dyDescent="0.25"/>
    <row r="13244" ht="15" customHeight="1" x14ac:dyDescent="0.25"/>
    <row r="13245" ht="15" customHeight="1" x14ac:dyDescent="0.25"/>
    <row r="13246" ht="15" customHeight="1" x14ac:dyDescent="0.25"/>
    <row r="13247" ht="15" customHeight="1" x14ac:dyDescent="0.25"/>
    <row r="13248" ht="15" customHeight="1" x14ac:dyDescent="0.25"/>
    <row r="13249" ht="15" customHeight="1" x14ac:dyDescent="0.25"/>
    <row r="13250" ht="15" customHeight="1" x14ac:dyDescent="0.25"/>
    <row r="13251" ht="15" customHeight="1" x14ac:dyDescent="0.25"/>
    <row r="13252" ht="15" customHeight="1" x14ac:dyDescent="0.25"/>
    <row r="13253" ht="15" customHeight="1" x14ac:dyDescent="0.25"/>
    <row r="13254" ht="15" customHeight="1" x14ac:dyDescent="0.25"/>
    <row r="13255" ht="15" customHeight="1" x14ac:dyDescent="0.25"/>
    <row r="13256" ht="15" customHeight="1" x14ac:dyDescent="0.25"/>
    <row r="13257" ht="15" customHeight="1" x14ac:dyDescent="0.25"/>
    <row r="13258" ht="15" customHeight="1" x14ac:dyDescent="0.25"/>
    <row r="13259" ht="15" customHeight="1" x14ac:dyDescent="0.25"/>
    <row r="13260" ht="15" customHeight="1" x14ac:dyDescent="0.25"/>
    <row r="13261" ht="15" customHeight="1" x14ac:dyDescent="0.25"/>
    <row r="13262" ht="15" customHeight="1" x14ac:dyDescent="0.25"/>
    <row r="13263" ht="15" customHeight="1" x14ac:dyDescent="0.25"/>
    <row r="13264" ht="15" customHeight="1" x14ac:dyDescent="0.25"/>
    <row r="13265" ht="15" customHeight="1" x14ac:dyDescent="0.25"/>
    <row r="13266" ht="15" customHeight="1" x14ac:dyDescent="0.25"/>
    <row r="13267" ht="15" customHeight="1" x14ac:dyDescent="0.25"/>
    <row r="13268" ht="15" customHeight="1" x14ac:dyDescent="0.25"/>
    <row r="13269" ht="15" customHeight="1" x14ac:dyDescent="0.25"/>
    <row r="13270" ht="15" customHeight="1" x14ac:dyDescent="0.25"/>
    <row r="13271" ht="15" customHeight="1" x14ac:dyDescent="0.25"/>
    <row r="13272" ht="15" customHeight="1" x14ac:dyDescent="0.25"/>
    <row r="13273" ht="15" customHeight="1" x14ac:dyDescent="0.25"/>
    <row r="13274" ht="15" customHeight="1" x14ac:dyDescent="0.25"/>
    <row r="13275" ht="15" customHeight="1" x14ac:dyDescent="0.25"/>
    <row r="13276" ht="15" customHeight="1" x14ac:dyDescent="0.25"/>
    <row r="13277" ht="15" customHeight="1" x14ac:dyDescent="0.25"/>
    <row r="13278" ht="15" customHeight="1" x14ac:dyDescent="0.25"/>
    <row r="13279" ht="15" customHeight="1" x14ac:dyDescent="0.25"/>
    <row r="13280" ht="15" customHeight="1" x14ac:dyDescent="0.25"/>
    <row r="13281" ht="15" customHeight="1" x14ac:dyDescent="0.25"/>
    <row r="13282" ht="15" customHeight="1" x14ac:dyDescent="0.25"/>
    <row r="13283" ht="15" customHeight="1" x14ac:dyDescent="0.25"/>
    <row r="13284" ht="15" customHeight="1" x14ac:dyDescent="0.25"/>
    <row r="13285" ht="15" customHeight="1" x14ac:dyDescent="0.25"/>
    <row r="13286" ht="15" customHeight="1" x14ac:dyDescent="0.25"/>
    <row r="13287" ht="15" customHeight="1" x14ac:dyDescent="0.25"/>
    <row r="13288" ht="15" customHeight="1" x14ac:dyDescent="0.25"/>
    <row r="13289" ht="15" customHeight="1" x14ac:dyDescent="0.25"/>
    <row r="13290" ht="15" customHeight="1" x14ac:dyDescent="0.25"/>
    <row r="13291" ht="15" customHeight="1" x14ac:dyDescent="0.25"/>
    <row r="13292" ht="15" customHeight="1" x14ac:dyDescent="0.25"/>
    <row r="13293" ht="15" customHeight="1" x14ac:dyDescent="0.25"/>
    <row r="13294" ht="15" customHeight="1" x14ac:dyDescent="0.25"/>
    <row r="13295" ht="15" customHeight="1" x14ac:dyDescent="0.25"/>
    <row r="13296" ht="15" customHeight="1" x14ac:dyDescent="0.25"/>
    <row r="13297" ht="15" customHeight="1" x14ac:dyDescent="0.25"/>
    <row r="13298" ht="15" customHeight="1" x14ac:dyDescent="0.25"/>
    <row r="13323" ht="15" customHeight="1" x14ac:dyDescent="0.25"/>
    <row r="13348" ht="15" customHeight="1" x14ac:dyDescent="0.25"/>
    <row r="13378" ht="15" customHeight="1" x14ac:dyDescent="0.25"/>
    <row r="13400" ht="15" customHeight="1" x14ac:dyDescent="0.25"/>
    <row r="13428" ht="15" customHeight="1" x14ac:dyDescent="0.25"/>
    <row r="13429" ht="15" customHeight="1" x14ac:dyDescent="0.25"/>
    <row r="13430" ht="15" customHeight="1" x14ac:dyDescent="0.25"/>
    <row r="13431" ht="15" customHeight="1" x14ac:dyDescent="0.25"/>
    <row r="13432" ht="15" customHeight="1" x14ac:dyDescent="0.25"/>
    <row r="13433" ht="15" customHeight="1" x14ac:dyDescent="0.25"/>
    <row r="13434" ht="15" customHeight="1" x14ac:dyDescent="0.25"/>
    <row r="13435" ht="15" customHeight="1" x14ac:dyDescent="0.25"/>
    <row r="13436" ht="15" customHeight="1" x14ac:dyDescent="0.25"/>
    <row r="13437" ht="15" customHeight="1" x14ac:dyDescent="0.25"/>
    <row r="13438" ht="15" customHeight="1" x14ac:dyDescent="0.25"/>
    <row r="13439" ht="15" customHeight="1" x14ac:dyDescent="0.25"/>
    <row r="13440" ht="15" customHeight="1" x14ac:dyDescent="0.25"/>
    <row r="13441" ht="15" customHeight="1" x14ac:dyDescent="0.25"/>
    <row r="13442" ht="15" customHeight="1" x14ac:dyDescent="0.25"/>
    <row r="13443" ht="15" customHeight="1" x14ac:dyDescent="0.25"/>
    <row r="13444" ht="15" customHeight="1" x14ac:dyDescent="0.25"/>
    <row r="13445" ht="15" customHeight="1" x14ac:dyDescent="0.25"/>
    <row r="13446" ht="15" customHeight="1" x14ac:dyDescent="0.25"/>
    <row r="13447" ht="15" customHeight="1" x14ac:dyDescent="0.25"/>
    <row r="13448" ht="15" customHeight="1" x14ac:dyDescent="0.25"/>
    <row r="13449" ht="15" customHeight="1" x14ac:dyDescent="0.25"/>
    <row r="13450" ht="15" customHeight="1" x14ac:dyDescent="0.25"/>
    <row r="13451" ht="15" customHeight="1" x14ac:dyDescent="0.25"/>
    <row r="13452" ht="15" customHeight="1" x14ac:dyDescent="0.25"/>
    <row r="13453" ht="15" customHeight="1" x14ac:dyDescent="0.25"/>
    <row r="13454" ht="15" customHeight="1" x14ac:dyDescent="0.25"/>
    <row r="13455" ht="15" customHeight="1" x14ac:dyDescent="0.25"/>
    <row r="13456" ht="15" customHeight="1" x14ac:dyDescent="0.25"/>
    <row r="13457" ht="15" customHeight="1" x14ac:dyDescent="0.25"/>
    <row r="13458" ht="15" customHeight="1" x14ac:dyDescent="0.25"/>
    <row r="13459" ht="15" customHeight="1" x14ac:dyDescent="0.25"/>
    <row r="13460" ht="15" customHeight="1" x14ac:dyDescent="0.25"/>
    <row r="13461" ht="15" customHeight="1" x14ac:dyDescent="0.25"/>
    <row r="13462" ht="15" customHeight="1" x14ac:dyDescent="0.25"/>
    <row r="13463" ht="15" customHeight="1" x14ac:dyDescent="0.25"/>
    <row r="13464" ht="15" customHeight="1" x14ac:dyDescent="0.25"/>
    <row r="13465" ht="15" customHeight="1" x14ac:dyDescent="0.25"/>
    <row r="13466" ht="15" customHeight="1" x14ac:dyDescent="0.25"/>
    <row r="13467" ht="15" customHeight="1" x14ac:dyDescent="0.25"/>
    <row r="13468" ht="15" customHeight="1" x14ac:dyDescent="0.25"/>
    <row r="13469" ht="15" customHeight="1" x14ac:dyDescent="0.25"/>
    <row r="13481" ht="15" customHeight="1" x14ac:dyDescent="0.25"/>
    <row r="13482" ht="15" customHeight="1" x14ac:dyDescent="0.25"/>
    <row r="13483" ht="15" customHeight="1" x14ac:dyDescent="0.25"/>
    <row r="13484" ht="15" customHeight="1" x14ac:dyDescent="0.25"/>
    <row r="13485" ht="15" customHeight="1" x14ac:dyDescent="0.25"/>
    <row r="13486" ht="15" customHeight="1" x14ac:dyDescent="0.25"/>
    <row r="13487" ht="15" customHeight="1" x14ac:dyDescent="0.25"/>
    <row r="13488" ht="15" customHeight="1" x14ac:dyDescent="0.25"/>
    <row r="13489" ht="15" customHeight="1" x14ac:dyDescent="0.25"/>
    <row r="13490" ht="15" customHeight="1" x14ac:dyDescent="0.25"/>
    <row r="13491" ht="15" customHeight="1" x14ac:dyDescent="0.25"/>
    <row r="13492" ht="15" customHeight="1" x14ac:dyDescent="0.25"/>
    <row r="13493" ht="15" customHeight="1" x14ac:dyDescent="0.25"/>
    <row r="13494" ht="15" customHeight="1" x14ac:dyDescent="0.25"/>
    <row r="13495" ht="15" customHeight="1" x14ac:dyDescent="0.25"/>
    <row r="13507" ht="15" customHeight="1" x14ac:dyDescent="0.25"/>
    <row r="13508" ht="15" customHeight="1" x14ac:dyDescent="0.25"/>
    <row r="13509" ht="15" customHeight="1" x14ac:dyDescent="0.25"/>
    <row r="13510" ht="15" customHeight="1" x14ac:dyDescent="0.25"/>
    <row r="13511" ht="15" customHeight="1" x14ac:dyDescent="0.25"/>
    <row r="13524" ht="15" customHeight="1" x14ac:dyDescent="0.25"/>
    <row r="13525" ht="15" customHeight="1" x14ac:dyDescent="0.25"/>
    <row r="13526" ht="15" customHeight="1" x14ac:dyDescent="0.25"/>
    <row r="13527" ht="15" customHeight="1" x14ac:dyDescent="0.25"/>
    <row r="13528" ht="15" customHeight="1" x14ac:dyDescent="0.25"/>
    <row r="13529" ht="15" customHeight="1" x14ac:dyDescent="0.25"/>
    <row r="13530" ht="15" customHeight="1" x14ac:dyDescent="0.25"/>
    <row r="13531" ht="15" customHeight="1" x14ac:dyDescent="0.25"/>
    <row r="13532" ht="15" customHeight="1" x14ac:dyDescent="0.25"/>
    <row r="13533" ht="15" customHeight="1" x14ac:dyDescent="0.25"/>
    <row r="13534" ht="15" customHeight="1" x14ac:dyDescent="0.25"/>
    <row r="13548" ht="15" customHeight="1" x14ac:dyDescent="0.25"/>
    <row r="13549" ht="15" customHeight="1" x14ac:dyDescent="0.25"/>
    <row r="13550" ht="15" customHeight="1" x14ac:dyDescent="0.25"/>
    <row r="13551" ht="15" customHeight="1" x14ac:dyDescent="0.25"/>
    <row r="13552" ht="15" customHeight="1" x14ac:dyDescent="0.25"/>
    <row r="13553" ht="15" customHeight="1" x14ac:dyDescent="0.25"/>
    <row r="13554" ht="15" customHeight="1" x14ac:dyDescent="0.25"/>
    <row r="13555" ht="15" customHeight="1" x14ac:dyDescent="0.25"/>
    <row r="13556" ht="15" customHeight="1" x14ac:dyDescent="0.25"/>
    <row r="13557" ht="15" customHeight="1" x14ac:dyDescent="0.25"/>
    <row r="13558" ht="15" customHeight="1" x14ac:dyDescent="0.25"/>
    <row r="13559" ht="15" customHeight="1" x14ac:dyDescent="0.25"/>
    <row r="13560" ht="15" customHeight="1" x14ac:dyDescent="0.25"/>
    <row r="13561" ht="15" customHeight="1" x14ac:dyDescent="0.25"/>
    <row r="13562" ht="15" customHeight="1" x14ac:dyDescent="0.25"/>
    <row r="13563" ht="15" customHeight="1" x14ac:dyDescent="0.25"/>
    <row r="13564" ht="15" customHeight="1" x14ac:dyDescent="0.25"/>
    <row r="13577" ht="15" customHeight="1" x14ac:dyDescent="0.25"/>
    <row r="13578" ht="15" customHeight="1" x14ac:dyDescent="0.25"/>
    <row r="13579" ht="15" customHeight="1" x14ac:dyDescent="0.25"/>
    <row r="13580" ht="15" customHeight="1" x14ac:dyDescent="0.25"/>
    <row r="13581" ht="15" customHeight="1" x14ac:dyDescent="0.25"/>
    <row r="13582" ht="15" customHeight="1" x14ac:dyDescent="0.25"/>
    <row r="13583" ht="15" customHeight="1" x14ac:dyDescent="0.25"/>
    <row r="13584" ht="15" customHeight="1" x14ac:dyDescent="0.25"/>
    <row r="13585" ht="15" customHeight="1" x14ac:dyDescent="0.25"/>
    <row r="13597" ht="15" customHeight="1" x14ac:dyDescent="0.25"/>
    <row r="13598" ht="15" customHeight="1" x14ac:dyDescent="0.25"/>
    <row r="13599" ht="15" customHeight="1" x14ac:dyDescent="0.25"/>
    <row r="13600" ht="15" customHeight="1" x14ac:dyDescent="0.25"/>
    <row r="13601" ht="15" customHeight="1" x14ac:dyDescent="0.25"/>
    <row r="13602" ht="15" customHeight="1" x14ac:dyDescent="0.25"/>
    <row r="13603" ht="15" customHeight="1" x14ac:dyDescent="0.25"/>
    <row r="13604" ht="15" customHeight="1" x14ac:dyDescent="0.25"/>
    <row r="13605" ht="15" customHeight="1" x14ac:dyDescent="0.25"/>
    <row r="13617" ht="15" customHeight="1" x14ac:dyDescent="0.25"/>
    <row r="13618" ht="15" customHeight="1" x14ac:dyDescent="0.25"/>
    <row r="13619" ht="15" customHeight="1" x14ac:dyDescent="0.25"/>
    <row r="13620" ht="15" customHeight="1" x14ac:dyDescent="0.25"/>
    <row r="13621" ht="15" customHeight="1" x14ac:dyDescent="0.25"/>
    <row r="13622" ht="15" customHeight="1" x14ac:dyDescent="0.25"/>
    <row r="13623" ht="15" customHeight="1" x14ac:dyDescent="0.25"/>
    <row r="13624" ht="15" customHeight="1" x14ac:dyDescent="0.25"/>
    <row r="13625" ht="15" customHeight="1" x14ac:dyDescent="0.25"/>
    <row r="13637" ht="15" customHeight="1" x14ac:dyDescent="0.25"/>
    <row r="13638" ht="15" customHeight="1" x14ac:dyDescent="0.25"/>
    <row r="13639" ht="15" customHeight="1" x14ac:dyDescent="0.25"/>
    <row r="13640" ht="15" customHeight="1" x14ac:dyDescent="0.25"/>
    <row r="13641" ht="15" customHeight="1" x14ac:dyDescent="0.25"/>
    <row r="13642" ht="15" customHeight="1" x14ac:dyDescent="0.25"/>
    <row r="13643" ht="15" customHeight="1" x14ac:dyDescent="0.25"/>
    <row r="13644" ht="15" customHeight="1" x14ac:dyDescent="0.25"/>
    <row r="13645" ht="15" customHeight="1" x14ac:dyDescent="0.25"/>
    <row r="13657" ht="15" customHeight="1" x14ac:dyDescent="0.25"/>
    <row r="13658" ht="15" customHeight="1" x14ac:dyDescent="0.25"/>
    <row r="13659" ht="15" customHeight="1" x14ac:dyDescent="0.25"/>
    <row r="13660" ht="15" customHeight="1" x14ac:dyDescent="0.25"/>
    <row r="13661" ht="15" customHeight="1" x14ac:dyDescent="0.25"/>
    <row r="13662" ht="15" customHeight="1" x14ac:dyDescent="0.25"/>
    <row r="13663" ht="15" customHeight="1" x14ac:dyDescent="0.25"/>
    <row r="13664" ht="15" customHeight="1" x14ac:dyDescent="0.25"/>
    <row r="13665" ht="15" customHeight="1" x14ac:dyDescent="0.25"/>
    <row r="13677" ht="15" customHeight="1" x14ac:dyDescent="0.25"/>
    <row r="13678" ht="15" customHeight="1" x14ac:dyDescent="0.25"/>
    <row r="13679" ht="15" customHeight="1" x14ac:dyDescent="0.25"/>
    <row r="13680" ht="15" customHeight="1" x14ac:dyDescent="0.25"/>
    <row r="13681" ht="15" customHeight="1" x14ac:dyDescent="0.25"/>
    <row r="13682" ht="15" customHeight="1" x14ac:dyDescent="0.25"/>
    <row r="13683" ht="15" customHeight="1" x14ac:dyDescent="0.25"/>
    <row r="13684" ht="15" customHeight="1" x14ac:dyDescent="0.25"/>
    <row r="13685" ht="15" customHeight="1" x14ac:dyDescent="0.25"/>
    <row r="13686" ht="15" customHeight="1" x14ac:dyDescent="0.25"/>
    <row r="13687" ht="15" customHeight="1" x14ac:dyDescent="0.25"/>
    <row r="13688" ht="15" customHeight="1" x14ac:dyDescent="0.25"/>
    <row r="13689" ht="15" customHeight="1" x14ac:dyDescent="0.25"/>
    <row r="13690" ht="15" customHeight="1" x14ac:dyDescent="0.25"/>
    <row r="13702" ht="15" customHeight="1" x14ac:dyDescent="0.25"/>
    <row r="13703" ht="15" customHeight="1" x14ac:dyDescent="0.25"/>
    <row r="13704" ht="15" customHeight="1" x14ac:dyDescent="0.25"/>
    <row r="13705" ht="15" customHeight="1" x14ac:dyDescent="0.25"/>
    <row r="13706" ht="15" customHeight="1" x14ac:dyDescent="0.25"/>
    <row r="13707" ht="15" customHeight="1" x14ac:dyDescent="0.25"/>
    <row r="13708" ht="15" customHeight="1" x14ac:dyDescent="0.25"/>
    <row r="13709" ht="15" customHeight="1" x14ac:dyDescent="0.25"/>
    <row r="13710" ht="15" customHeight="1" x14ac:dyDescent="0.25"/>
    <row r="13711" ht="15" customHeight="1" x14ac:dyDescent="0.25"/>
    <row r="13712" ht="15" customHeight="1" x14ac:dyDescent="0.25"/>
    <row r="13713" ht="15" customHeight="1" x14ac:dyDescent="0.25"/>
    <row r="13714" ht="15" customHeight="1" x14ac:dyDescent="0.25"/>
    <row r="13715" ht="15" customHeight="1" x14ac:dyDescent="0.25"/>
    <row r="13716" ht="15" customHeight="1" x14ac:dyDescent="0.25"/>
    <row r="13717" ht="15" customHeight="1" x14ac:dyDescent="0.25"/>
    <row r="13718" ht="15" customHeight="1" x14ac:dyDescent="0.25"/>
    <row r="13719" ht="15" customHeight="1" x14ac:dyDescent="0.25"/>
    <row r="13720" ht="15" customHeight="1" x14ac:dyDescent="0.25"/>
    <row r="13721" ht="15" customHeight="1" x14ac:dyDescent="0.25"/>
    <row r="13722" ht="15" customHeight="1" x14ac:dyDescent="0.25"/>
    <row r="13723" ht="15" customHeight="1" x14ac:dyDescent="0.25"/>
    <row r="13724" ht="15" customHeight="1" x14ac:dyDescent="0.25"/>
    <row r="13725" ht="15" customHeight="1" x14ac:dyDescent="0.25"/>
    <row r="13726" ht="15" customHeight="1" x14ac:dyDescent="0.25"/>
    <row r="13727" ht="15" customHeight="1" x14ac:dyDescent="0.25"/>
    <row r="13728" ht="15" customHeight="1" x14ac:dyDescent="0.25"/>
    <row r="13729" ht="15" customHeight="1" x14ac:dyDescent="0.25"/>
    <row r="13730" ht="15" customHeight="1" x14ac:dyDescent="0.25"/>
    <row r="13731" ht="15" customHeight="1" x14ac:dyDescent="0.25"/>
    <row r="13732" ht="15" customHeight="1" x14ac:dyDescent="0.25"/>
    <row r="13733" ht="15" customHeight="1" x14ac:dyDescent="0.25"/>
    <row r="13734" ht="15" customHeight="1" x14ac:dyDescent="0.25"/>
    <row r="13735" ht="15" customHeight="1" x14ac:dyDescent="0.25"/>
    <row r="13736" ht="15" customHeight="1" x14ac:dyDescent="0.25"/>
    <row r="13737" ht="15" customHeight="1" x14ac:dyDescent="0.25"/>
    <row r="13738" ht="15" customHeight="1" x14ac:dyDescent="0.25"/>
    <row r="13739" ht="15" customHeight="1" x14ac:dyDescent="0.25"/>
    <row r="13740" ht="15" customHeight="1" x14ac:dyDescent="0.25"/>
    <row r="13741" ht="15" customHeight="1" x14ac:dyDescent="0.25"/>
    <row r="13742" ht="15" customHeight="1" x14ac:dyDescent="0.25"/>
    <row r="13743" ht="15" customHeight="1" x14ac:dyDescent="0.25"/>
    <row r="13744" ht="15" customHeight="1" x14ac:dyDescent="0.25"/>
    <row r="13745" ht="15" customHeight="1" x14ac:dyDescent="0.25"/>
    <row r="13746" ht="15" customHeight="1" x14ac:dyDescent="0.25"/>
    <row r="13747" ht="15" customHeight="1" x14ac:dyDescent="0.25"/>
    <row r="13748" ht="15" customHeight="1" x14ac:dyDescent="0.25"/>
    <row r="13749" ht="15" customHeight="1" x14ac:dyDescent="0.25"/>
    <row r="13750" ht="15" customHeight="1" x14ac:dyDescent="0.25"/>
    <row r="13751" ht="15" customHeight="1" x14ac:dyDescent="0.25"/>
    <row r="13752" ht="15" customHeight="1" x14ac:dyDescent="0.25"/>
    <row r="13753" ht="15" customHeight="1" x14ac:dyDescent="0.25"/>
    <row r="13754" ht="15" customHeight="1" x14ac:dyDescent="0.25"/>
    <row r="13755" ht="15" customHeight="1" x14ac:dyDescent="0.25"/>
    <row r="13756" ht="15" customHeight="1" x14ac:dyDescent="0.25"/>
    <row r="13757" ht="15" customHeight="1" x14ac:dyDescent="0.25"/>
    <row r="13758" ht="15" customHeight="1" x14ac:dyDescent="0.25"/>
    <row r="13759" ht="15" customHeight="1" x14ac:dyDescent="0.25"/>
    <row r="13760" ht="15" customHeight="1" x14ac:dyDescent="0.25"/>
    <row r="13761" ht="15" customHeight="1" x14ac:dyDescent="0.25"/>
    <row r="13762" ht="15" customHeight="1" x14ac:dyDescent="0.25"/>
    <row r="13763" ht="15" customHeight="1" x14ac:dyDescent="0.25"/>
    <row r="13764" ht="15" customHeight="1" x14ac:dyDescent="0.25"/>
    <row r="13765" ht="15" customHeight="1" x14ac:dyDescent="0.25"/>
    <row r="13766" ht="15" customHeight="1" x14ac:dyDescent="0.25"/>
    <row r="13767" ht="15" customHeight="1" x14ac:dyDescent="0.25"/>
    <row r="13768" ht="15" customHeight="1" x14ac:dyDescent="0.25"/>
    <row r="13769" ht="15" customHeight="1" x14ac:dyDescent="0.25"/>
    <row r="13770" ht="15" customHeight="1" x14ac:dyDescent="0.25"/>
    <row r="13771" ht="15" customHeight="1" x14ac:dyDescent="0.25"/>
    <row r="13772" ht="15" customHeight="1" x14ac:dyDescent="0.25"/>
    <row r="13773" ht="15" customHeight="1" x14ac:dyDescent="0.25"/>
    <row r="13774" ht="15" customHeight="1" x14ac:dyDescent="0.25"/>
    <row r="13775" ht="15" customHeight="1" x14ac:dyDescent="0.25"/>
    <row r="13776" ht="15" customHeight="1" x14ac:dyDescent="0.25"/>
    <row r="13777" ht="15" customHeight="1" x14ac:dyDescent="0.25"/>
    <row r="13778" ht="15" customHeight="1" x14ac:dyDescent="0.25"/>
    <row r="13779" ht="15" customHeight="1" x14ac:dyDescent="0.25"/>
    <row r="13780" ht="15" customHeight="1" x14ac:dyDescent="0.25"/>
    <row r="13781" ht="15" customHeight="1" x14ac:dyDescent="0.25"/>
    <row r="13786" ht="15" customHeight="1" x14ac:dyDescent="0.25"/>
    <row r="13798" ht="15" customHeight="1" x14ac:dyDescent="0.25"/>
    <row r="13799" ht="15" customHeight="1" x14ac:dyDescent="0.25"/>
    <row r="13800" ht="15" customHeight="1" x14ac:dyDescent="0.25"/>
    <row r="13801" ht="15" customHeight="1" x14ac:dyDescent="0.25"/>
    <row r="13802" ht="15" customHeight="1" x14ac:dyDescent="0.25"/>
    <row r="13803" ht="15" customHeight="1" x14ac:dyDescent="0.25"/>
    <row r="13804" ht="15" customHeight="1" x14ac:dyDescent="0.25"/>
    <row r="13805" ht="15" customHeight="1" x14ac:dyDescent="0.25"/>
    <row r="13806" ht="15" customHeight="1" x14ac:dyDescent="0.25"/>
    <row r="13807" ht="15" customHeight="1" x14ac:dyDescent="0.25"/>
    <row r="13808" ht="15" customHeight="1" x14ac:dyDescent="0.25"/>
    <row r="13809" ht="15" customHeight="1" x14ac:dyDescent="0.25"/>
    <row r="13810" ht="15" customHeight="1" x14ac:dyDescent="0.25"/>
    <row r="13811" ht="15" customHeight="1" x14ac:dyDescent="0.25"/>
    <row r="13812" ht="15" customHeight="1" x14ac:dyDescent="0.25"/>
    <row r="13813" ht="15" customHeight="1" x14ac:dyDescent="0.25"/>
    <row r="13814" ht="15" customHeight="1" x14ac:dyDescent="0.25"/>
    <row r="13815" ht="15" customHeight="1" x14ac:dyDescent="0.25"/>
    <row r="13816" ht="15" customHeight="1" x14ac:dyDescent="0.25"/>
    <row r="13817" ht="15" customHeight="1" x14ac:dyDescent="0.25"/>
    <row r="13818" ht="15" customHeight="1" x14ac:dyDescent="0.25"/>
    <row r="13819" ht="15" customHeight="1" x14ac:dyDescent="0.25"/>
    <row r="13820" ht="15" customHeight="1" x14ac:dyDescent="0.25"/>
    <row r="13821" ht="15" customHeight="1" x14ac:dyDescent="0.25"/>
    <row r="13822" ht="15" customHeight="1" x14ac:dyDescent="0.25"/>
    <row r="13823" ht="15" customHeight="1" x14ac:dyDescent="0.25"/>
    <row r="13824" ht="15" customHeight="1" x14ac:dyDescent="0.25"/>
    <row r="13825" ht="15" customHeight="1" x14ac:dyDescent="0.25"/>
    <row r="13826" ht="15" customHeight="1" x14ac:dyDescent="0.25"/>
    <row r="13827" ht="15" customHeight="1" x14ac:dyDescent="0.25"/>
    <row r="13828" ht="15" customHeight="1" x14ac:dyDescent="0.25"/>
    <row r="13829" ht="15" customHeight="1" x14ac:dyDescent="0.25"/>
    <row r="13830" ht="15" customHeight="1" x14ac:dyDescent="0.25"/>
    <row r="13831" ht="15" customHeight="1" x14ac:dyDescent="0.25"/>
    <row r="13832" ht="15" customHeight="1" x14ac:dyDescent="0.25"/>
    <row r="13833" ht="15" customHeight="1" x14ac:dyDescent="0.25"/>
    <row r="13834" ht="15" customHeight="1" x14ac:dyDescent="0.25"/>
    <row r="13835" ht="15" customHeight="1" x14ac:dyDescent="0.25"/>
    <row r="13836" ht="15" customHeight="1" x14ac:dyDescent="0.25"/>
    <row r="13837" ht="15" customHeight="1" x14ac:dyDescent="0.25"/>
    <row r="13838" ht="15" customHeight="1" x14ac:dyDescent="0.25"/>
    <row r="13839" ht="15" customHeight="1" x14ac:dyDescent="0.25"/>
    <row r="13840" ht="15" customHeight="1" x14ac:dyDescent="0.25"/>
    <row r="13841" ht="15" customHeight="1" x14ac:dyDescent="0.25"/>
    <row r="13842" ht="15" customHeight="1" x14ac:dyDescent="0.25"/>
    <row r="13843" ht="15" customHeight="1" x14ac:dyDescent="0.25"/>
    <row r="13844" ht="15" customHeight="1" x14ac:dyDescent="0.25"/>
    <row r="13845" ht="15" customHeight="1" x14ac:dyDescent="0.25"/>
    <row r="13846" ht="15" customHeight="1" x14ac:dyDescent="0.25"/>
    <row r="13847" ht="15" customHeight="1" x14ac:dyDescent="0.25"/>
    <row r="13848" ht="15" customHeight="1" x14ac:dyDescent="0.25"/>
    <row r="13849" ht="15" customHeight="1" x14ac:dyDescent="0.25"/>
    <row r="13850" ht="15" customHeight="1" x14ac:dyDescent="0.25"/>
    <row r="13851" ht="15" customHeight="1" x14ac:dyDescent="0.25"/>
    <row r="13852" ht="15" customHeight="1" x14ac:dyDescent="0.25"/>
    <row r="13853" ht="15" customHeight="1" x14ac:dyDescent="0.25"/>
    <row r="13854" ht="15" customHeight="1" x14ac:dyDescent="0.25"/>
    <row r="13855" ht="15" customHeight="1" x14ac:dyDescent="0.25"/>
    <row r="13856" ht="15" customHeight="1" x14ac:dyDescent="0.25"/>
    <row r="13857" ht="15" customHeight="1" x14ac:dyDescent="0.25"/>
    <row r="13858" ht="15" customHeight="1" x14ac:dyDescent="0.25"/>
    <row r="13859" ht="15" customHeight="1" x14ac:dyDescent="0.25"/>
    <row r="13860" ht="15" customHeight="1" x14ac:dyDescent="0.25"/>
    <row r="13861" ht="15" customHeight="1" x14ac:dyDescent="0.25"/>
    <row r="13862" ht="15" customHeight="1" x14ac:dyDescent="0.25"/>
    <row r="13863" ht="15" customHeight="1" x14ac:dyDescent="0.25"/>
    <row r="13864" ht="15" customHeight="1" x14ac:dyDescent="0.25"/>
    <row r="13865" ht="15" customHeight="1" x14ac:dyDescent="0.25"/>
    <row r="13866" ht="15" customHeight="1" x14ac:dyDescent="0.25"/>
    <row r="13867" ht="15" customHeight="1" x14ac:dyDescent="0.25"/>
    <row r="13868" ht="15" customHeight="1" x14ac:dyDescent="0.25"/>
    <row r="13869" ht="15" customHeight="1" x14ac:dyDescent="0.25"/>
    <row r="13870" ht="15" customHeight="1" x14ac:dyDescent="0.25"/>
    <row r="13871" ht="15" customHeight="1" x14ac:dyDescent="0.25"/>
    <row r="13872" ht="15" customHeight="1" x14ac:dyDescent="0.25"/>
    <row r="13873" ht="15" customHeight="1" x14ac:dyDescent="0.25"/>
    <row r="13874" ht="15" customHeight="1" x14ac:dyDescent="0.25"/>
    <row r="13875" ht="15" customHeight="1" x14ac:dyDescent="0.25"/>
    <row r="13876" ht="15" customHeight="1" x14ac:dyDescent="0.25"/>
    <row r="13877" ht="15" customHeight="1" x14ac:dyDescent="0.25"/>
    <row r="13878" ht="15" customHeight="1" x14ac:dyDescent="0.25"/>
    <row r="13879" ht="15" customHeight="1" x14ac:dyDescent="0.25"/>
    <row r="13880" ht="15" customHeight="1" x14ac:dyDescent="0.25"/>
    <row r="13881" ht="15" customHeight="1" x14ac:dyDescent="0.25"/>
    <row r="13882" ht="15" customHeight="1" x14ac:dyDescent="0.25"/>
    <row r="13883" ht="15" customHeight="1" x14ac:dyDescent="0.25"/>
    <row r="13884" ht="15" customHeight="1" x14ac:dyDescent="0.25"/>
    <row r="13885" ht="15" customHeight="1" x14ac:dyDescent="0.25"/>
    <row r="13886" ht="15" customHeight="1" x14ac:dyDescent="0.25"/>
    <row r="13887" ht="15" customHeight="1" x14ac:dyDescent="0.25"/>
    <row r="13888" ht="15" customHeight="1" x14ac:dyDescent="0.25"/>
    <row r="13889" ht="15" customHeight="1" x14ac:dyDescent="0.25"/>
    <row r="13890" ht="15" customHeight="1" x14ac:dyDescent="0.25"/>
    <row r="13891" ht="15" customHeight="1" x14ac:dyDescent="0.25"/>
    <row r="13892" ht="15" customHeight="1" x14ac:dyDescent="0.25"/>
    <row r="13893" ht="15" customHeight="1" x14ac:dyDescent="0.25"/>
    <row r="13894" ht="15" customHeight="1" x14ac:dyDescent="0.25"/>
    <row r="13895" ht="15" customHeight="1" x14ac:dyDescent="0.25"/>
    <row r="13896" ht="15" customHeight="1" x14ac:dyDescent="0.25"/>
    <row r="13897" ht="15" customHeight="1" x14ac:dyDescent="0.25"/>
    <row r="13898" ht="15" customHeight="1" x14ac:dyDescent="0.25"/>
    <row r="13899" ht="15" customHeight="1" x14ac:dyDescent="0.25"/>
    <row r="13900" ht="15" customHeight="1" x14ac:dyDescent="0.25"/>
    <row r="13901" ht="15" customHeight="1" x14ac:dyDescent="0.25"/>
    <row r="13902" ht="15" customHeight="1" x14ac:dyDescent="0.25"/>
    <row r="13903" ht="15" customHeight="1" x14ac:dyDescent="0.25"/>
    <row r="13904" ht="15" customHeight="1" x14ac:dyDescent="0.25"/>
    <row r="13905" ht="15" customHeight="1" x14ac:dyDescent="0.25"/>
    <row r="13906" ht="15" customHeight="1" x14ac:dyDescent="0.25"/>
    <row r="13907" ht="15" customHeight="1" x14ac:dyDescent="0.25"/>
    <row r="13908" ht="15" customHeight="1" x14ac:dyDescent="0.25"/>
    <row r="13909" ht="15" customHeight="1" x14ac:dyDescent="0.25"/>
    <row r="13910" ht="15" customHeight="1" x14ac:dyDescent="0.25"/>
    <row r="13911" ht="15" customHeight="1" x14ac:dyDescent="0.25"/>
    <row r="13912" ht="15" customHeight="1" x14ac:dyDescent="0.25"/>
    <row r="13913" ht="15" customHeight="1" x14ac:dyDescent="0.25"/>
    <row r="13914" ht="15" customHeight="1" x14ac:dyDescent="0.25"/>
    <row r="13915" ht="15" customHeight="1" x14ac:dyDescent="0.25"/>
    <row r="13916" ht="15" customHeight="1" x14ac:dyDescent="0.25"/>
    <row r="13917" ht="15" customHeight="1" x14ac:dyDescent="0.25"/>
    <row r="13918" ht="15" customHeight="1" x14ac:dyDescent="0.25"/>
    <row r="13919" ht="15" customHeight="1" x14ac:dyDescent="0.25"/>
    <row r="13920" ht="15" customHeight="1" x14ac:dyDescent="0.25"/>
    <row r="13921" ht="15" customHeight="1" x14ac:dyDescent="0.25"/>
    <row r="13922" ht="15" customHeight="1" x14ac:dyDescent="0.25"/>
    <row r="13923" ht="15" customHeight="1" x14ac:dyDescent="0.25"/>
    <row r="13924" ht="15" customHeight="1" x14ac:dyDescent="0.25"/>
    <row r="13925" ht="15" customHeight="1" x14ac:dyDescent="0.25"/>
    <row r="13926" ht="15" customHeight="1" x14ac:dyDescent="0.25"/>
    <row r="13927" ht="15" customHeight="1" x14ac:dyDescent="0.25"/>
    <row r="13928" ht="15" customHeight="1" x14ac:dyDescent="0.25"/>
    <row r="13929" ht="15" customHeight="1" x14ac:dyDescent="0.25"/>
    <row r="13930" ht="15" customHeight="1" x14ac:dyDescent="0.25"/>
    <row r="13931" ht="15" customHeight="1" x14ac:dyDescent="0.25"/>
    <row r="13932" ht="15" customHeight="1" x14ac:dyDescent="0.25"/>
    <row r="13933" ht="15" customHeight="1" x14ac:dyDescent="0.25"/>
    <row r="13934" ht="15" customHeight="1" x14ac:dyDescent="0.25"/>
    <row r="13935" ht="15" customHeight="1" x14ac:dyDescent="0.25"/>
    <row r="13936" ht="15" customHeight="1" x14ac:dyDescent="0.25"/>
    <row r="13937" ht="15" customHeight="1" x14ac:dyDescent="0.25"/>
    <row r="13938" ht="15" customHeight="1" x14ac:dyDescent="0.25"/>
    <row r="13939" ht="15" customHeight="1" x14ac:dyDescent="0.25"/>
    <row r="13940" ht="15" customHeight="1" x14ac:dyDescent="0.25"/>
    <row r="13941" ht="15" customHeight="1" x14ac:dyDescent="0.25"/>
    <row r="13942" ht="15" customHeight="1" x14ac:dyDescent="0.25"/>
    <row r="13943" ht="15" customHeight="1" x14ac:dyDescent="0.25"/>
    <row r="13944" ht="15" customHeight="1" x14ac:dyDescent="0.25"/>
    <row r="13945" ht="15" customHeight="1" x14ac:dyDescent="0.25"/>
    <row r="13946" ht="15" customHeight="1" x14ac:dyDescent="0.25"/>
    <row r="13947" ht="15" customHeight="1" x14ac:dyDescent="0.25"/>
    <row r="13948" ht="15" customHeight="1" x14ac:dyDescent="0.25"/>
    <row r="13949" ht="15" customHeight="1" x14ac:dyDescent="0.25"/>
    <row r="13950" ht="15" customHeight="1" x14ac:dyDescent="0.25"/>
    <row r="13951" ht="15" customHeight="1" x14ac:dyDescent="0.25"/>
    <row r="13952" ht="15" customHeight="1" x14ac:dyDescent="0.25"/>
    <row r="13953" ht="15" customHeight="1" x14ac:dyDescent="0.25"/>
    <row r="13954" ht="15" customHeight="1" x14ac:dyDescent="0.25"/>
    <row r="13955" ht="15" customHeight="1" x14ac:dyDescent="0.25"/>
    <row r="13956" ht="15" customHeight="1" x14ac:dyDescent="0.25"/>
    <row r="13957" ht="15" customHeight="1" x14ac:dyDescent="0.25"/>
    <row r="13958" ht="15" customHeight="1" x14ac:dyDescent="0.25"/>
    <row r="13959" ht="15" customHeight="1" x14ac:dyDescent="0.25"/>
    <row r="13960" ht="15" customHeight="1" x14ac:dyDescent="0.25"/>
    <row r="13961" ht="15" customHeight="1" x14ac:dyDescent="0.25"/>
    <row r="13962" ht="15" customHeight="1" x14ac:dyDescent="0.25"/>
    <row r="13963" ht="15" customHeight="1" x14ac:dyDescent="0.25"/>
    <row r="13964" ht="15" customHeight="1" x14ac:dyDescent="0.25"/>
    <row r="13965" ht="15" customHeight="1" x14ac:dyDescent="0.25"/>
    <row r="13966" ht="15" customHeight="1" x14ac:dyDescent="0.25"/>
    <row r="13967" ht="15" customHeight="1" x14ac:dyDescent="0.25"/>
    <row r="13968" ht="15" customHeight="1" x14ac:dyDescent="0.25"/>
    <row r="13969" ht="15" customHeight="1" x14ac:dyDescent="0.25"/>
    <row r="13970" ht="15" customHeight="1" x14ac:dyDescent="0.25"/>
    <row r="13971" ht="15" customHeight="1" x14ac:dyDescent="0.25"/>
    <row r="13972" ht="15" customHeight="1" x14ac:dyDescent="0.25"/>
    <row r="13973" ht="15" customHeight="1" x14ac:dyDescent="0.25"/>
    <row r="13974" ht="15" customHeight="1" x14ac:dyDescent="0.25"/>
    <row r="13975" ht="15" customHeight="1" x14ac:dyDescent="0.25"/>
    <row r="13976" ht="15" customHeight="1" x14ac:dyDescent="0.25"/>
    <row r="13977" ht="15" customHeight="1" x14ac:dyDescent="0.25"/>
    <row r="13978" ht="15" customHeight="1" x14ac:dyDescent="0.25"/>
    <row r="13979" ht="15" customHeight="1" x14ac:dyDescent="0.25"/>
    <row r="13980" ht="15" customHeight="1" x14ac:dyDescent="0.25"/>
    <row r="13981" ht="15" customHeight="1" x14ac:dyDescent="0.25"/>
    <row r="13982" ht="15" customHeight="1" x14ac:dyDescent="0.25"/>
    <row r="13983" ht="15" customHeight="1" x14ac:dyDescent="0.25"/>
    <row r="13984" ht="15" customHeight="1" x14ac:dyDescent="0.25"/>
    <row r="13985" ht="15" customHeight="1" x14ac:dyDescent="0.25"/>
    <row r="13986" ht="15" customHeight="1" x14ac:dyDescent="0.25"/>
    <row r="13987" ht="15" customHeight="1" x14ac:dyDescent="0.25"/>
    <row r="13988" ht="15" customHeight="1" x14ac:dyDescent="0.25"/>
    <row r="13989" ht="15" customHeight="1" x14ac:dyDescent="0.25"/>
    <row r="13990" ht="15" customHeight="1" x14ac:dyDescent="0.25"/>
    <row r="13991" ht="15" customHeight="1" x14ac:dyDescent="0.25"/>
    <row r="13992" ht="15" customHeight="1" x14ac:dyDescent="0.25"/>
    <row r="13993" ht="15" customHeight="1" x14ac:dyDescent="0.25"/>
    <row r="13994" ht="15" customHeight="1" x14ac:dyDescent="0.25"/>
    <row r="13995" ht="15" customHeight="1" x14ac:dyDescent="0.25"/>
    <row r="13996" ht="15" customHeight="1" x14ac:dyDescent="0.25"/>
    <row r="13997" ht="15" customHeight="1" x14ac:dyDescent="0.25"/>
    <row r="13998" ht="15" customHeight="1" x14ac:dyDescent="0.25"/>
    <row r="13999" ht="15" customHeight="1" x14ac:dyDescent="0.25"/>
    <row r="14000" ht="15" customHeight="1" x14ac:dyDescent="0.25"/>
    <row r="14001" ht="15" customHeight="1" x14ac:dyDescent="0.25"/>
    <row r="14002" ht="15" customHeight="1" x14ac:dyDescent="0.25"/>
    <row r="14003" ht="15" customHeight="1" x14ac:dyDescent="0.25"/>
    <row r="14004" ht="15" customHeight="1" x14ac:dyDescent="0.25"/>
    <row r="14005" ht="15" customHeight="1" x14ac:dyDescent="0.25"/>
    <row r="14006" ht="15" customHeight="1" x14ac:dyDescent="0.25"/>
    <row r="14007" ht="15" customHeight="1" x14ac:dyDescent="0.25"/>
    <row r="14008" ht="15" customHeight="1" x14ac:dyDescent="0.25"/>
    <row r="14009" ht="15" customHeight="1" x14ac:dyDescent="0.25"/>
    <row r="14010" ht="15" customHeight="1" x14ac:dyDescent="0.25"/>
    <row r="14011" ht="15" customHeight="1" x14ac:dyDescent="0.25"/>
    <row r="14012" ht="15" customHeight="1" x14ac:dyDescent="0.25"/>
    <row r="14013" ht="15" customHeight="1" x14ac:dyDescent="0.25"/>
    <row r="14014" ht="15" customHeight="1" x14ac:dyDescent="0.25"/>
    <row r="14015" ht="15" customHeight="1" x14ac:dyDescent="0.25"/>
    <row r="14016" ht="15" customHeight="1" x14ac:dyDescent="0.25"/>
    <row r="14017" ht="15" customHeight="1" x14ac:dyDescent="0.25"/>
    <row r="14018" ht="15" customHeight="1" x14ac:dyDescent="0.25"/>
    <row r="14019" ht="15" customHeight="1" x14ac:dyDescent="0.25"/>
    <row r="14020" ht="15" customHeight="1" x14ac:dyDescent="0.25"/>
    <row r="14021" ht="15" customHeight="1" x14ac:dyDescent="0.25"/>
    <row r="14022" ht="15" customHeight="1" x14ac:dyDescent="0.25"/>
    <row r="14023" ht="15" customHeight="1" x14ac:dyDescent="0.25"/>
    <row r="14024" ht="15" customHeight="1" x14ac:dyDescent="0.25"/>
    <row r="14025" ht="15" customHeight="1" x14ac:dyDescent="0.25"/>
    <row r="14026" ht="15" customHeight="1" x14ac:dyDescent="0.25"/>
    <row r="14027" ht="15" customHeight="1" x14ac:dyDescent="0.25"/>
    <row r="14052" ht="15" customHeight="1" x14ac:dyDescent="0.25"/>
    <row r="14077" ht="15" customHeight="1" x14ac:dyDescent="0.25"/>
    <row r="14078" ht="15" customHeight="1" x14ac:dyDescent="0.25"/>
    <row r="14079" ht="15" customHeight="1" x14ac:dyDescent="0.25"/>
    <row r="14080" ht="15" customHeight="1" x14ac:dyDescent="0.25"/>
    <row r="14081" ht="15" customHeight="1" x14ac:dyDescent="0.25"/>
    <row r="14082" ht="15" customHeight="1" x14ac:dyDescent="0.25"/>
    <row r="14083" ht="15" customHeight="1" x14ac:dyDescent="0.25"/>
    <row r="14084" ht="15" customHeight="1" x14ac:dyDescent="0.25"/>
    <row r="14085" ht="15" customHeight="1" x14ac:dyDescent="0.25"/>
    <row r="14086" ht="15" customHeight="1" x14ac:dyDescent="0.25"/>
    <row r="14087" ht="15" customHeight="1" x14ac:dyDescent="0.25"/>
    <row r="14088" ht="15" customHeight="1" x14ac:dyDescent="0.25"/>
    <row r="14089" ht="15" customHeight="1" x14ac:dyDescent="0.25"/>
    <row r="14090" ht="15" customHeight="1" x14ac:dyDescent="0.25"/>
    <row r="14091" ht="15" customHeight="1" x14ac:dyDescent="0.25"/>
    <row r="14092" ht="15" customHeight="1" x14ac:dyDescent="0.25"/>
    <row r="14093" ht="15" customHeight="1" x14ac:dyDescent="0.25"/>
    <row r="14094" ht="15" customHeight="1" x14ac:dyDescent="0.25"/>
    <row r="14095" ht="15" customHeight="1" x14ac:dyDescent="0.25"/>
    <row r="14096" ht="15" customHeight="1" x14ac:dyDescent="0.25"/>
    <row r="14097" ht="15" customHeight="1" x14ac:dyDescent="0.25"/>
    <row r="14098" ht="15" customHeight="1" x14ac:dyDescent="0.25"/>
    <row r="14099" ht="15" customHeight="1" x14ac:dyDescent="0.25"/>
    <row r="14100" ht="15" customHeight="1" x14ac:dyDescent="0.25"/>
    <row r="14101" ht="15" customHeight="1" x14ac:dyDescent="0.25"/>
    <row r="14102" ht="15" customHeight="1" x14ac:dyDescent="0.25"/>
    <row r="14103" ht="15" customHeight="1" x14ac:dyDescent="0.25"/>
    <row r="14108" ht="15" customHeight="1" x14ac:dyDescent="0.25"/>
    <row r="14115" ht="15" customHeight="1" x14ac:dyDescent="0.25"/>
    <row r="14116" ht="15" customHeight="1" x14ac:dyDescent="0.25"/>
    <row r="14117" ht="15" customHeight="1" x14ac:dyDescent="0.25"/>
    <row r="14118" ht="15" customHeight="1" x14ac:dyDescent="0.25"/>
    <row r="14119" ht="15" customHeight="1" x14ac:dyDescent="0.25"/>
    <row r="14120" ht="15" customHeight="1" x14ac:dyDescent="0.25"/>
    <row r="14121" ht="15" customHeight="1" x14ac:dyDescent="0.25"/>
    <row r="14122" ht="15" customHeight="1" x14ac:dyDescent="0.25"/>
    <row r="14123" ht="15" customHeight="1" x14ac:dyDescent="0.25"/>
    <row r="14124" ht="15" customHeight="1" x14ac:dyDescent="0.25"/>
    <row r="14125" ht="15" customHeight="1" x14ac:dyDescent="0.25"/>
    <row r="14126" ht="15" customHeight="1" x14ac:dyDescent="0.25"/>
    <row r="14127" ht="15" customHeight="1" x14ac:dyDescent="0.25"/>
    <row r="14128" ht="15" customHeight="1" x14ac:dyDescent="0.25"/>
    <row r="14129" ht="15" customHeight="1" x14ac:dyDescent="0.25"/>
    <row r="14130" ht="15" customHeight="1" x14ac:dyDescent="0.25"/>
    <row r="14131" ht="15" customHeight="1" x14ac:dyDescent="0.25"/>
    <row r="14132" ht="15" customHeight="1" x14ac:dyDescent="0.25"/>
    <row r="14133" ht="15" customHeight="1" x14ac:dyDescent="0.25"/>
    <row r="14134" ht="15" customHeight="1" x14ac:dyDescent="0.25"/>
    <row r="14135" ht="15" customHeight="1" x14ac:dyDescent="0.25"/>
    <row r="14136" ht="15" customHeight="1" x14ac:dyDescent="0.25"/>
    <row r="14137" ht="15" customHeight="1" x14ac:dyDescent="0.25"/>
    <row r="14138" ht="15" customHeight="1" x14ac:dyDescent="0.25"/>
    <row r="14139" ht="15" customHeight="1" x14ac:dyDescent="0.25"/>
    <row r="14140" ht="15" customHeight="1" x14ac:dyDescent="0.25"/>
    <row r="14145" ht="15" customHeight="1" x14ac:dyDescent="0.25"/>
    <row r="14182" ht="15" customHeight="1" x14ac:dyDescent="0.25"/>
    <row r="14183" ht="15" customHeight="1" x14ac:dyDescent="0.25"/>
    <row r="14184" ht="15" customHeight="1" x14ac:dyDescent="0.25"/>
    <row r="14185" ht="15" customHeight="1" x14ac:dyDescent="0.25"/>
    <row r="14186" ht="15" customHeight="1" x14ac:dyDescent="0.25"/>
    <row r="14187" ht="15" customHeight="1" x14ac:dyDescent="0.25"/>
    <row r="14188" ht="15" customHeight="1" x14ac:dyDescent="0.25"/>
    <row r="14189" ht="15" customHeight="1" x14ac:dyDescent="0.25"/>
    <row r="14190" ht="15" customHeight="1" x14ac:dyDescent="0.25"/>
    <row r="14191" ht="15" customHeight="1" x14ac:dyDescent="0.25"/>
    <row r="14192" ht="15" customHeight="1" x14ac:dyDescent="0.25"/>
    <row r="14193" ht="15" customHeight="1" x14ac:dyDescent="0.25"/>
    <row r="14194" ht="15" customHeight="1" x14ac:dyDescent="0.25"/>
    <row r="14195" ht="15" customHeight="1" x14ac:dyDescent="0.25"/>
    <row r="14196" ht="15" customHeight="1" x14ac:dyDescent="0.25"/>
    <row r="14197" ht="15" customHeight="1" x14ac:dyDescent="0.25"/>
    <row r="14198" ht="15" customHeight="1" x14ac:dyDescent="0.25"/>
    <row r="14199" ht="15" customHeight="1" x14ac:dyDescent="0.25"/>
    <row r="14200" ht="15" customHeight="1" x14ac:dyDescent="0.25"/>
    <row r="14201" ht="15" customHeight="1" x14ac:dyDescent="0.25"/>
    <row r="14202" ht="15" customHeight="1" x14ac:dyDescent="0.25"/>
    <row r="14203" ht="15" customHeight="1" x14ac:dyDescent="0.25"/>
    <row r="14204" ht="15" customHeight="1" x14ac:dyDescent="0.25"/>
    <row r="14205" ht="15" customHeight="1" x14ac:dyDescent="0.25"/>
    <row r="14206" ht="15" customHeight="1" x14ac:dyDescent="0.25"/>
    <row r="14207" ht="15" customHeight="1" x14ac:dyDescent="0.25"/>
    <row r="14208" ht="15" customHeight="1" x14ac:dyDescent="0.25"/>
    <row r="14209" ht="15" customHeight="1" x14ac:dyDescent="0.25"/>
    <row r="14210" ht="15" customHeight="1" x14ac:dyDescent="0.25"/>
    <row r="14211" ht="15" customHeight="1" x14ac:dyDescent="0.25"/>
    <row r="14212" ht="15" customHeight="1" x14ac:dyDescent="0.25"/>
    <row r="14213" ht="15" customHeight="1" x14ac:dyDescent="0.25"/>
    <row r="14214" ht="15" customHeight="1" x14ac:dyDescent="0.25"/>
    <row r="14215" ht="15" customHeight="1" x14ac:dyDescent="0.25"/>
    <row r="14220" ht="15" customHeight="1" x14ac:dyDescent="0.25"/>
    <row r="14227" ht="15" customHeight="1" x14ac:dyDescent="0.25"/>
    <row r="14228" ht="15" customHeight="1" x14ac:dyDescent="0.25"/>
    <row r="14229" ht="15" customHeight="1" x14ac:dyDescent="0.25"/>
    <row r="14230" ht="15" customHeight="1" x14ac:dyDescent="0.25"/>
    <row r="14231" ht="15" customHeight="1" x14ac:dyDescent="0.25"/>
    <row r="14236" ht="15" customHeight="1" x14ac:dyDescent="0.25"/>
    <row r="14243" ht="15" customHeight="1" x14ac:dyDescent="0.25"/>
    <row r="14244" ht="15" customHeight="1" x14ac:dyDescent="0.25"/>
    <row r="14245" ht="15" customHeight="1" x14ac:dyDescent="0.25"/>
    <row r="14246" ht="15" customHeight="1" x14ac:dyDescent="0.25"/>
    <row r="14247" ht="15" customHeight="1" x14ac:dyDescent="0.25"/>
    <row r="14248" ht="15" customHeight="1" x14ac:dyDescent="0.25"/>
    <row r="14249" ht="15" customHeight="1" x14ac:dyDescent="0.25"/>
    <row r="14250" ht="15" customHeight="1" x14ac:dyDescent="0.25"/>
    <row r="14251" ht="15" customHeight="1" x14ac:dyDescent="0.25"/>
    <row r="14252" ht="15" customHeight="1" x14ac:dyDescent="0.25"/>
    <row r="14253" ht="15" customHeight="1" x14ac:dyDescent="0.25"/>
    <row r="14254" ht="15" customHeight="1" x14ac:dyDescent="0.25"/>
    <row r="14255" ht="15" customHeight="1" x14ac:dyDescent="0.25"/>
    <row r="14256" ht="15" customHeight="1" x14ac:dyDescent="0.25"/>
    <row r="14257" ht="15" customHeight="1" x14ac:dyDescent="0.25"/>
    <row r="14258" ht="15" customHeight="1" x14ac:dyDescent="0.25"/>
    <row r="14259" ht="15" customHeight="1" x14ac:dyDescent="0.25"/>
    <row r="14260" ht="15" customHeight="1" x14ac:dyDescent="0.25"/>
    <row r="14261" ht="15" customHeight="1" x14ac:dyDescent="0.25"/>
    <row r="14262" ht="15" customHeight="1" x14ac:dyDescent="0.25"/>
    <row r="14263" ht="15" customHeight="1" x14ac:dyDescent="0.25"/>
    <row r="14264" ht="15" customHeight="1" x14ac:dyDescent="0.25"/>
    <row r="14265" ht="15" customHeight="1" x14ac:dyDescent="0.25"/>
    <row r="14266" ht="15" customHeight="1" x14ac:dyDescent="0.25"/>
    <row r="14267" ht="15" customHeight="1" x14ac:dyDescent="0.25"/>
    <row r="14268" ht="15" customHeight="1" x14ac:dyDescent="0.25"/>
    <row r="14269" ht="15" customHeight="1" x14ac:dyDescent="0.25"/>
    <row r="14270" ht="15" customHeight="1" x14ac:dyDescent="0.25"/>
    <row r="14271" ht="15" customHeight="1" x14ac:dyDescent="0.25"/>
    <row r="14272" ht="15" customHeight="1" x14ac:dyDescent="0.25"/>
    <row r="14273" ht="15" customHeight="1" x14ac:dyDescent="0.25"/>
    <row r="14274" ht="15" customHeight="1" x14ac:dyDescent="0.25"/>
    <row r="14275" ht="15" customHeight="1" x14ac:dyDescent="0.25"/>
    <row r="14276" ht="15" customHeight="1" x14ac:dyDescent="0.25"/>
    <row r="14277" ht="15" customHeight="1" x14ac:dyDescent="0.25"/>
    <row r="14278" ht="15" customHeight="1" x14ac:dyDescent="0.25"/>
    <row r="14279" ht="15" customHeight="1" x14ac:dyDescent="0.25"/>
    <row r="14280" ht="15" customHeight="1" x14ac:dyDescent="0.25"/>
    <row r="14281" ht="15" customHeight="1" x14ac:dyDescent="0.25"/>
    <row r="14282" ht="15" customHeight="1" x14ac:dyDescent="0.25"/>
    <row r="14283" ht="15" customHeight="1" x14ac:dyDescent="0.25"/>
    <row r="14284" ht="15" customHeight="1" x14ac:dyDescent="0.25"/>
    <row r="14285" ht="15" customHeight="1" x14ac:dyDescent="0.25"/>
    <row r="14286" ht="15" customHeight="1" x14ac:dyDescent="0.25"/>
    <row r="14287" ht="15" customHeight="1" x14ac:dyDescent="0.25"/>
    <row r="14288" ht="15" customHeight="1" x14ac:dyDescent="0.25"/>
    <row r="14289" ht="15" customHeight="1" x14ac:dyDescent="0.25"/>
    <row r="14290" ht="15" customHeight="1" x14ac:dyDescent="0.25"/>
    <row r="14291" ht="15" customHeight="1" x14ac:dyDescent="0.25"/>
    <row r="14292" ht="15" customHeight="1" x14ac:dyDescent="0.25"/>
    <row r="14293" ht="15" customHeight="1" x14ac:dyDescent="0.25"/>
    <row r="14294" ht="15" customHeight="1" x14ac:dyDescent="0.25"/>
    <row r="14295" ht="15" customHeight="1" x14ac:dyDescent="0.25"/>
    <row r="14296" ht="15" customHeight="1" x14ac:dyDescent="0.25"/>
    <row r="14297" ht="15" customHeight="1" x14ac:dyDescent="0.25"/>
    <row r="14298" ht="15" customHeight="1" x14ac:dyDescent="0.25"/>
    <row r="14299" ht="15" customHeight="1" x14ac:dyDescent="0.25"/>
    <row r="14300" ht="15" customHeight="1" x14ac:dyDescent="0.25"/>
    <row r="14301" ht="15" customHeight="1" x14ac:dyDescent="0.25"/>
    <row r="14302" ht="15" customHeight="1" x14ac:dyDescent="0.25"/>
    <row r="14303" ht="15" customHeight="1" x14ac:dyDescent="0.25"/>
    <row r="14304" ht="15" customHeight="1" x14ac:dyDescent="0.25"/>
    <row r="14305" ht="15" customHeight="1" x14ac:dyDescent="0.25"/>
    <row r="14306" ht="15" customHeight="1" x14ac:dyDescent="0.25"/>
    <row r="14307" ht="15" customHeight="1" x14ac:dyDescent="0.25"/>
    <row r="14308" ht="15" customHeight="1" x14ac:dyDescent="0.25"/>
    <row r="14309" ht="15" customHeight="1" x14ac:dyDescent="0.25"/>
    <row r="14310" ht="15" customHeight="1" x14ac:dyDescent="0.25"/>
    <row r="14311" ht="15" customHeight="1" x14ac:dyDescent="0.25"/>
    <row r="14312" ht="15" customHeight="1" x14ac:dyDescent="0.25"/>
    <row r="14313" ht="15" customHeight="1" x14ac:dyDescent="0.25"/>
    <row r="14314" ht="15" customHeight="1" x14ac:dyDescent="0.25"/>
    <row r="14315" ht="15" customHeight="1" x14ac:dyDescent="0.25"/>
    <row r="14316" ht="15" customHeight="1" x14ac:dyDescent="0.25"/>
    <row r="14317" ht="15" customHeight="1" x14ac:dyDescent="0.25"/>
    <row r="14318" ht="15" customHeight="1" x14ac:dyDescent="0.25"/>
    <row r="14319" ht="15" customHeight="1" x14ac:dyDescent="0.25"/>
    <row r="14320" ht="15" customHeight="1" x14ac:dyDescent="0.25"/>
    <row r="14321" ht="15" customHeight="1" x14ac:dyDescent="0.25"/>
    <row r="14322" ht="15" customHeight="1" x14ac:dyDescent="0.25"/>
    <row r="14323" ht="15" customHeight="1" x14ac:dyDescent="0.25"/>
    <row r="14324" ht="15" customHeight="1" x14ac:dyDescent="0.25"/>
    <row r="14325" ht="15" customHeight="1" x14ac:dyDescent="0.25"/>
    <row r="14326" ht="15" customHeight="1" x14ac:dyDescent="0.25"/>
    <row r="14327" ht="15" customHeight="1" x14ac:dyDescent="0.25"/>
    <row r="14328" ht="15" customHeight="1" x14ac:dyDescent="0.25"/>
    <row r="14329" ht="15" customHeight="1" x14ac:dyDescent="0.25"/>
    <row r="14330" ht="15" customHeight="1" x14ac:dyDescent="0.25"/>
    <row r="14331" ht="15" customHeight="1" x14ac:dyDescent="0.25"/>
    <row r="14332" ht="15" customHeight="1" x14ac:dyDescent="0.25"/>
    <row r="14333" ht="15" customHeight="1" x14ac:dyDescent="0.25"/>
    <row r="14334" ht="15" customHeight="1" x14ac:dyDescent="0.25"/>
    <row r="14335" ht="15" customHeight="1" x14ac:dyDescent="0.25"/>
    <row r="14336" ht="15" customHeight="1" x14ac:dyDescent="0.25"/>
    <row r="14337" ht="15" customHeight="1" x14ac:dyDescent="0.25"/>
    <row r="14338" ht="15" customHeight="1" x14ac:dyDescent="0.25"/>
    <row r="14339" ht="15" customHeight="1" x14ac:dyDescent="0.25"/>
    <row r="14340" ht="15" customHeight="1" x14ac:dyDescent="0.25"/>
    <row r="14341" ht="15" customHeight="1" x14ac:dyDescent="0.25"/>
    <row r="14342" ht="15" customHeight="1" x14ac:dyDescent="0.25"/>
    <row r="14343" ht="15" customHeight="1" x14ac:dyDescent="0.25"/>
    <row r="14344" ht="15" customHeight="1" x14ac:dyDescent="0.25"/>
    <row r="14345" ht="15" customHeight="1" x14ac:dyDescent="0.25"/>
    <row r="14346" ht="15" customHeight="1" x14ac:dyDescent="0.25"/>
    <row r="14347" ht="15" customHeight="1" x14ac:dyDescent="0.25"/>
    <row r="14348" ht="15" customHeight="1" x14ac:dyDescent="0.25"/>
    <row r="14349" ht="15" customHeight="1" x14ac:dyDescent="0.25"/>
    <row r="14350" ht="15" customHeight="1" x14ac:dyDescent="0.25"/>
    <row r="14351" ht="15" customHeight="1" x14ac:dyDescent="0.25"/>
    <row r="14352" ht="15" customHeight="1" x14ac:dyDescent="0.25"/>
    <row r="14353" ht="15" customHeight="1" x14ac:dyDescent="0.25"/>
    <row r="14354" ht="15" customHeight="1" x14ac:dyDescent="0.25"/>
    <row r="14355" ht="15" customHeight="1" x14ac:dyDescent="0.25"/>
    <row r="14356" ht="15" customHeight="1" x14ac:dyDescent="0.25"/>
    <row r="14357" ht="15" customHeight="1" x14ac:dyDescent="0.25"/>
    <row r="14358" ht="15" customHeight="1" x14ac:dyDescent="0.25"/>
    <row r="14359" ht="15" customHeight="1" x14ac:dyDescent="0.25"/>
    <row r="14360" ht="15" customHeight="1" x14ac:dyDescent="0.25"/>
    <row r="14361" ht="15" customHeight="1" x14ac:dyDescent="0.25"/>
    <row r="14362" ht="15" customHeight="1" x14ac:dyDescent="0.25"/>
    <row r="14363" ht="15" customHeight="1" x14ac:dyDescent="0.25"/>
    <row r="14364" ht="15" customHeight="1" x14ac:dyDescent="0.25"/>
    <row r="14365" ht="15" customHeight="1" x14ac:dyDescent="0.25"/>
    <row r="14366" ht="15" customHeight="1" x14ac:dyDescent="0.25"/>
    <row r="14367" ht="15" customHeight="1" x14ac:dyDescent="0.25"/>
    <row r="14368" ht="15" customHeight="1" x14ac:dyDescent="0.25"/>
    <row r="14369" ht="15" customHeight="1" x14ac:dyDescent="0.25"/>
    <row r="14370" ht="15" customHeight="1" x14ac:dyDescent="0.25"/>
    <row r="14371" ht="15" customHeight="1" x14ac:dyDescent="0.25"/>
    <row r="14372" ht="15" customHeight="1" x14ac:dyDescent="0.25"/>
    <row r="14373" ht="15" customHeight="1" x14ac:dyDescent="0.25"/>
    <row r="14374" ht="15" customHeight="1" x14ac:dyDescent="0.25"/>
    <row r="14375" ht="15" customHeight="1" x14ac:dyDescent="0.25"/>
    <row r="14376" ht="15" customHeight="1" x14ac:dyDescent="0.25"/>
    <row r="14377" ht="15" customHeight="1" x14ac:dyDescent="0.25"/>
    <row r="14378" ht="15" customHeight="1" x14ac:dyDescent="0.25"/>
    <row r="14379" ht="15" customHeight="1" x14ac:dyDescent="0.25"/>
    <row r="14380" ht="15" customHeight="1" x14ac:dyDescent="0.25"/>
    <row r="14381" ht="15" customHeight="1" x14ac:dyDescent="0.25"/>
    <row r="14382" ht="15" customHeight="1" x14ac:dyDescent="0.25"/>
    <row r="14383" ht="15" customHeight="1" x14ac:dyDescent="0.25"/>
    <row r="14384" ht="15" customHeight="1" x14ac:dyDescent="0.25"/>
    <row r="14385" ht="15" customHeight="1" x14ac:dyDescent="0.25"/>
    <row r="14386" ht="15" customHeight="1" x14ac:dyDescent="0.25"/>
    <row r="14387" ht="15" customHeight="1" x14ac:dyDescent="0.25"/>
    <row r="14388" ht="15" customHeight="1" x14ac:dyDescent="0.25"/>
    <row r="14389" ht="15" customHeight="1" x14ac:dyDescent="0.25"/>
    <row r="14390" ht="15" customHeight="1" x14ac:dyDescent="0.25"/>
    <row r="14391" ht="15" customHeight="1" x14ac:dyDescent="0.25"/>
    <row r="14392" ht="15" customHeight="1" x14ac:dyDescent="0.25"/>
    <row r="14393" ht="15" customHeight="1" x14ac:dyDescent="0.25"/>
    <row r="14394" ht="15" customHeight="1" x14ac:dyDescent="0.25"/>
    <row r="14395" ht="15" customHeight="1" x14ac:dyDescent="0.25"/>
    <row r="14396" ht="15" customHeight="1" x14ac:dyDescent="0.25"/>
    <row r="14397" ht="15" customHeight="1" x14ac:dyDescent="0.25"/>
    <row r="14398" ht="15" customHeight="1" x14ac:dyDescent="0.25"/>
    <row r="14399" ht="15" customHeight="1" x14ac:dyDescent="0.25"/>
    <row r="14400" ht="15" customHeight="1" x14ac:dyDescent="0.25"/>
    <row r="14401" ht="15" customHeight="1" x14ac:dyDescent="0.25"/>
    <row r="14402" ht="15" customHeight="1" x14ac:dyDescent="0.25"/>
    <row r="14403" ht="15" customHeight="1" x14ac:dyDescent="0.25"/>
    <row r="14404" ht="15" customHeight="1" x14ac:dyDescent="0.25"/>
    <row r="14405" ht="15" customHeight="1" x14ac:dyDescent="0.25"/>
    <row r="14406" ht="15" customHeight="1" x14ac:dyDescent="0.25"/>
    <row r="14407" ht="15" customHeight="1" x14ac:dyDescent="0.25"/>
    <row r="14408" ht="15" customHeight="1" x14ac:dyDescent="0.25"/>
    <row r="14409" ht="15" customHeight="1" x14ac:dyDescent="0.25"/>
    <row r="14410" ht="15" customHeight="1" x14ac:dyDescent="0.25"/>
    <row r="14411" ht="15" customHeight="1" x14ac:dyDescent="0.25"/>
    <row r="14412" ht="15" customHeight="1" x14ac:dyDescent="0.25"/>
    <row r="14413" ht="15" customHeight="1" x14ac:dyDescent="0.25"/>
    <row r="14414" ht="15" customHeight="1" x14ac:dyDescent="0.25"/>
    <row r="14415" ht="15" customHeight="1" x14ac:dyDescent="0.25"/>
    <row r="14416" ht="15" customHeight="1" x14ac:dyDescent="0.25"/>
    <row r="14417" ht="15" customHeight="1" x14ac:dyDescent="0.25"/>
    <row r="14418" ht="15" customHeight="1" x14ac:dyDescent="0.25"/>
    <row r="14419" ht="15" customHeight="1" x14ac:dyDescent="0.25"/>
    <row r="14420" ht="15" customHeight="1" x14ac:dyDescent="0.25"/>
    <row r="14421" ht="15" customHeight="1" x14ac:dyDescent="0.25"/>
    <row r="14422" ht="15" customHeight="1" x14ac:dyDescent="0.25"/>
    <row r="14423" ht="15" customHeight="1" x14ac:dyDescent="0.25"/>
    <row r="14424" ht="15" customHeight="1" x14ac:dyDescent="0.25"/>
    <row r="14425" ht="15" customHeight="1" x14ac:dyDescent="0.25"/>
    <row r="14426" ht="15" customHeight="1" x14ac:dyDescent="0.25"/>
    <row r="14427" ht="15" customHeight="1" x14ac:dyDescent="0.25"/>
    <row r="14428" ht="15" customHeight="1" x14ac:dyDescent="0.25"/>
    <row r="14429" ht="15" customHeight="1" x14ac:dyDescent="0.25"/>
    <row r="14430" ht="15" customHeight="1" x14ac:dyDescent="0.25"/>
    <row r="14431" ht="15" customHeight="1" x14ac:dyDescent="0.25"/>
    <row r="14432" ht="15" customHeight="1" x14ac:dyDescent="0.25"/>
    <row r="14433" ht="15" customHeight="1" x14ac:dyDescent="0.25"/>
    <row r="14434" ht="15" customHeight="1" x14ac:dyDescent="0.25"/>
    <row r="14435" ht="15" customHeight="1" x14ac:dyDescent="0.25"/>
    <row r="14436" ht="15" customHeight="1" x14ac:dyDescent="0.25"/>
    <row r="14437" ht="15" customHeight="1" x14ac:dyDescent="0.25"/>
    <row r="14438" ht="15" customHeight="1" x14ac:dyDescent="0.25"/>
    <row r="14439" ht="15" customHeight="1" x14ac:dyDescent="0.25"/>
    <row r="14440" ht="15" customHeight="1" x14ac:dyDescent="0.25"/>
    <row r="14441" ht="15" customHeight="1" x14ac:dyDescent="0.25"/>
    <row r="14442" ht="15" customHeight="1" x14ac:dyDescent="0.25"/>
    <row r="14443" ht="15" customHeight="1" x14ac:dyDescent="0.25"/>
    <row r="14444" ht="15" customHeight="1" x14ac:dyDescent="0.25"/>
    <row r="14445" ht="15" customHeight="1" x14ac:dyDescent="0.25"/>
    <row r="14446" ht="15" customHeight="1" x14ac:dyDescent="0.25"/>
    <row r="14447" ht="15" customHeight="1" x14ac:dyDescent="0.25"/>
    <row r="14448" ht="15" customHeight="1" x14ac:dyDescent="0.25"/>
    <row r="14449" ht="15" customHeight="1" x14ac:dyDescent="0.25"/>
    <row r="14450" ht="15" customHeight="1" x14ac:dyDescent="0.25"/>
    <row r="14451" ht="15" customHeight="1" x14ac:dyDescent="0.25"/>
    <row r="14452" ht="15" customHeight="1" x14ac:dyDescent="0.25"/>
    <row r="14453" ht="15" customHeight="1" x14ac:dyDescent="0.25"/>
    <row r="14454" ht="15" customHeight="1" x14ac:dyDescent="0.25"/>
    <row r="14455" ht="15" customHeight="1" x14ac:dyDescent="0.25"/>
    <row r="14456" ht="15" customHeight="1" x14ac:dyDescent="0.25"/>
    <row r="14457" ht="15" customHeight="1" x14ac:dyDescent="0.25"/>
    <row r="14458" ht="15" customHeight="1" x14ac:dyDescent="0.25"/>
    <row r="14459" ht="15" customHeight="1" x14ac:dyDescent="0.25"/>
    <row r="14460" ht="15" customHeight="1" x14ac:dyDescent="0.25"/>
    <row r="14461" ht="15" customHeight="1" x14ac:dyDescent="0.25"/>
    <row r="14462" ht="15" customHeight="1" x14ac:dyDescent="0.25"/>
    <row r="14463" ht="15" customHeight="1" x14ac:dyDescent="0.25"/>
    <row r="14464" ht="15" customHeight="1" x14ac:dyDescent="0.25"/>
    <row r="14465" ht="15" customHeight="1" x14ac:dyDescent="0.25"/>
    <row r="14466" ht="15" customHeight="1" x14ac:dyDescent="0.25"/>
    <row r="14467" ht="15" customHeight="1" x14ac:dyDescent="0.25"/>
    <row r="14468" ht="15" customHeight="1" x14ac:dyDescent="0.25"/>
    <row r="14469" ht="15" customHeight="1" x14ac:dyDescent="0.25"/>
    <row r="14470" ht="15" customHeight="1" x14ac:dyDescent="0.25"/>
    <row r="14471" ht="15" customHeight="1" x14ac:dyDescent="0.25"/>
    <row r="14472" ht="15" customHeight="1" x14ac:dyDescent="0.25"/>
    <row r="14473" ht="15" customHeight="1" x14ac:dyDescent="0.25"/>
    <row r="14474" ht="15" customHeight="1" x14ac:dyDescent="0.25"/>
    <row r="14475" ht="15" customHeight="1" x14ac:dyDescent="0.25"/>
    <row r="14476" ht="15" customHeight="1" x14ac:dyDescent="0.25"/>
    <row r="14477" ht="15" customHeight="1" x14ac:dyDescent="0.25"/>
    <row r="14478" ht="15" customHeight="1" x14ac:dyDescent="0.25"/>
    <row r="14479" ht="15" customHeight="1" x14ac:dyDescent="0.25"/>
    <row r="14480" ht="15" customHeight="1" x14ac:dyDescent="0.25"/>
    <row r="14481" ht="15" customHeight="1" x14ac:dyDescent="0.25"/>
    <row r="14482" ht="15" customHeight="1" x14ac:dyDescent="0.25"/>
    <row r="14483" ht="15" customHeight="1" x14ac:dyDescent="0.25"/>
    <row r="14484" ht="15" customHeight="1" x14ac:dyDescent="0.25"/>
    <row r="14485" ht="15" customHeight="1" x14ac:dyDescent="0.25"/>
    <row r="14486" ht="15" customHeight="1" x14ac:dyDescent="0.25"/>
    <row r="14487" ht="15" customHeight="1" x14ac:dyDescent="0.25"/>
    <row r="14488" ht="15" customHeight="1" x14ac:dyDescent="0.25"/>
    <row r="14489" ht="15" customHeight="1" x14ac:dyDescent="0.25"/>
    <row r="14490" ht="15" customHeight="1" x14ac:dyDescent="0.25"/>
    <row r="14491" ht="15" customHeight="1" x14ac:dyDescent="0.25"/>
    <row r="14492" ht="15" customHeight="1" x14ac:dyDescent="0.25"/>
    <row r="14493" ht="15" customHeight="1" x14ac:dyDescent="0.25"/>
    <row r="14494" ht="15" customHeight="1" x14ac:dyDescent="0.25"/>
    <row r="14495" ht="15" customHeight="1" x14ac:dyDescent="0.25"/>
    <row r="14496" ht="15" customHeight="1" x14ac:dyDescent="0.25"/>
    <row r="14497" ht="15" customHeight="1" x14ac:dyDescent="0.25"/>
    <row r="14498" ht="15" customHeight="1" x14ac:dyDescent="0.25"/>
    <row r="14499" ht="15" customHeight="1" x14ac:dyDescent="0.25"/>
    <row r="14500" ht="15" customHeight="1" x14ac:dyDescent="0.25"/>
    <row r="14501" ht="15" customHeight="1" x14ac:dyDescent="0.25"/>
    <row r="14502" ht="15" customHeight="1" x14ac:dyDescent="0.25"/>
    <row r="14503" ht="15" customHeight="1" x14ac:dyDescent="0.25"/>
    <row r="14504" ht="15" customHeight="1" x14ac:dyDescent="0.25"/>
    <row r="14505" ht="15" customHeight="1" x14ac:dyDescent="0.25"/>
    <row r="14506" ht="15" customHeight="1" x14ac:dyDescent="0.25"/>
    <row r="14507" ht="15" customHeight="1" x14ac:dyDescent="0.25"/>
    <row r="14508" ht="15" customHeight="1" x14ac:dyDescent="0.25"/>
    <row r="14509" ht="15" customHeight="1" x14ac:dyDescent="0.25"/>
    <row r="14510" ht="15" customHeight="1" x14ac:dyDescent="0.25"/>
    <row r="14511" ht="15" customHeight="1" x14ac:dyDescent="0.25"/>
    <row r="14512" ht="15" customHeight="1" x14ac:dyDescent="0.25"/>
    <row r="14513" ht="15" customHeight="1" x14ac:dyDescent="0.25"/>
    <row r="14514" ht="15" customHeight="1" x14ac:dyDescent="0.25"/>
    <row r="14515" ht="15" customHeight="1" x14ac:dyDescent="0.25"/>
    <row r="14516" ht="15" customHeight="1" x14ac:dyDescent="0.25"/>
    <row r="14517" ht="15" customHeight="1" x14ac:dyDescent="0.25"/>
    <row r="14518" ht="15" customHeight="1" x14ac:dyDescent="0.25"/>
    <row r="14519" ht="15" customHeight="1" x14ac:dyDescent="0.25"/>
    <row r="14520" ht="15" customHeight="1" x14ac:dyDescent="0.25"/>
    <row r="14521" ht="15" customHeight="1" x14ac:dyDescent="0.25"/>
    <row r="14522" ht="15" customHeight="1" x14ac:dyDescent="0.25"/>
    <row r="14523" ht="15" customHeight="1" x14ac:dyDescent="0.25"/>
    <row r="14524" ht="15" customHeight="1" x14ac:dyDescent="0.25"/>
    <row r="14525" ht="15" customHeight="1" x14ac:dyDescent="0.25"/>
    <row r="14526" ht="15" customHeight="1" x14ac:dyDescent="0.25"/>
    <row r="14527" ht="15" customHeight="1" x14ac:dyDescent="0.25"/>
    <row r="14528" ht="15" customHeight="1" x14ac:dyDescent="0.25"/>
    <row r="14529" ht="15" customHeight="1" x14ac:dyDescent="0.25"/>
    <row r="14530" ht="15" customHeight="1" x14ac:dyDescent="0.25"/>
    <row r="14531" ht="15" customHeight="1" x14ac:dyDescent="0.25"/>
    <row r="14532" ht="15" customHeight="1" x14ac:dyDescent="0.25"/>
    <row r="14533" ht="15" customHeight="1" x14ac:dyDescent="0.25"/>
    <row r="14534" ht="15" customHeight="1" x14ac:dyDescent="0.25"/>
    <row r="14535" ht="15" customHeight="1" x14ac:dyDescent="0.25"/>
    <row r="14536" ht="15" customHeight="1" x14ac:dyDescent="0.25"/>
    <row r="14537" ht="15" customHeight="1" x14ac:dyDescent="0.25"/>
    <row r="14538" ht="15" customHeight="1" x14ac:dyDescent="0.25"/>
    <row r="14539" ht="15" customHeight="1" x14ac:dyDescent="0.25"/>
    <row r="14540" ht="15" customHeight="1" x14ac:dyDescent="0.25"/>
    <row r="14541" ht="15" customHeight="1" x14ac:dyDescent="0.25"/>
    <row r="14542" ht="15" customHeight="1" x14ac:dyDescent="0.25"/>
    <row r="14543" ht="15" customHeight="1" x14ac:dyDescent="0.25"/>
    <row r="14544" ht="15" customHeight="1" x14ac:dyDescent="0.25"/>
    <row r="14545" ht="15" customHeight="1" x14ac:dyDescent="0.25"/>
    <row r="14546" ht="15" customHeight="1" x14ac:dyDescent="0.25"/>
    <row r="14547" ht="15" customHeight="1" x14ac:dyDescent="0.25"/>
    <row r="14548" ht="15" customHeight="1" x14ac:dyDescent="0.25"/>
    <row r="14549" ht="15" customHeight="1" x14ac:dyDescent="0.25"/>
    <row r="14550" ht="15" customHeight="1" x14ac:dyDescent="0.25"/>
    <row r="14551" ht="15" customHeight="1" x14ac:dyDescent="0.25"/>
    <row r="14552" ht="15" customHeight="1" x14ac:dyDescent="0.25"/>
    <row r="14553" ht="15" customHeight="1" x14ac:dyDescent="0.25"/>
    <row r="14554" ht="15" customHeight="1" x14ac:dyDescent="0.25"/>
    <row r="14555" ht="15" customHeight="1" x14ac:dyDescent="0.25"/>
    <row r="14556" ht="15" customHeight="1" x14ac:dyDescent="0.25"/>
    <row r="14557" ht="15" customHeight="1" x14ac:dyDescent="0.25"/>
    <row r="14558" ht="15" customHeight="1" x14ac:dyDescent="0.25"/>
    <row r="14559" ht="15" customHeight="1" x14ac:dyDescent="0.25"/>
    <row r="14560" ht="15" customHeight="1" x14ac:dyDescent="0.25"/>
    <row r="14561" ht="15" customHeight="1" x14ac:dyDescent="0.25"/>
    <row r="14562" ht="15" customHeight="1" x14ac:dyDescent="0.25"/>
    <row r="14563" ht="15" customHeight="1" x14ac:dyDescent="0.25"/>
    <row r="14564" ht="15" customHeight="1" x14ac:dyDescent="0.25"/>
    <row r="14565" ht="15" customHeight="1" x14ac:dyDescent="0.25"/>
    <row r="14566" ht="15" customHeight="1" x14ac:dyDescent="0.25"/>
    <row r="14567" ht="15" customHeight="1" x14ac:dyDescent="0.25"/>
    <row r="14568" ht="15" customHeight="1" x14ac:dyDescent="0.25"/>
    <row r="14569" ht="15" customHeight="1" x14ac:dyDescent="0.25"/>
    <row r="14570" ht="15" customHeight="1" x14ac:dyDescent="0.25"/>
    <row r="14571" ht="15" customHeight="1" x14ac:dyDescent="0.25"/>
    <row r="14572" ht="15" customHeight="1" x14ac:dyDescent="0.25"/>
    <row r="14573" ht="15" customHeight="1" x14ac:dyDescent="0.25"/>
    <row r="14574" ht="15" customHeight="1" x14ac:dyDescent="0.25"/>
    <row r="14575" ht="15" customHeight="1" x14ac:dyDescent="0.25"/>
    <row r="14576" ht="15" customHeight="1" x14ac:dyDescent="0.25"/>
    <row r="14577" ht="15" customHeight="1" x14ac:dyDescent="0.25"/>
    <row r="14578" ht="15" customHeight="1" x14ac:dyDescent="0.25"/>
    <row r="14579" ht="15" customHeight="1" x14ac:dyDescent="0.25"/>
    <row r="14580" ht="15" customHeight="1" x14ac:dyDescent="0.25"/>
    <row r="14581" ht="15" customHeight="1" x14ac:dyDescent="0.25"/>
    <row r="14582" ht="15" customHeight="1" x14ac:dyDescent="0.25"/>
    <row r="14583" ht="15" customHeight="1" x14ac:dyDescent="0.25"/>
    <row r="14584" ht="15" customHeight="1" x14ac:dyDescent="0.25"/>
    <row r="14585" ht="15" customHeight="1" x14ac:dyDescent="0.25"/>
    <row r="14586" ht="15" customHeight="1" x14ac:dyDescent="0.25"/>
    <row r="14587" ht="15" customHeight="1" x14ac:dyDescent="0.25"/>
    <row r="14588" ht="15" customHeight="1" x14ac:dyDescent="0.25"/>
    <row r="14589" ht="15" customHeight="1" x14ac:dyDescent="0.25"/>
    <row r="14590" ht="15" customHeight="1" x14ac:dyDescent="0.25"/>
    <row r="14591" ht="15" customHeight="1" x14ac:dyDescent="0.25"/>
    <row r="14592" ht="15" customHeight="1" x14ac:dyDescent="0.25"/>
    <row r="14593" ht="15" customHeight="1" x14ac:dyDescent="0.25"/>
    <row r="14594" ht="15" customHeight="1" x14ac:dyDescent="0.25"/>
    <row r="14595" ht="15" customHeight="1" x14ac:dyDescent="0.25"/>
    <row r="14596" ht="15" customHeight="1" x14ac:dyDescent="0.25"/>
    <row r="14597" ht="15" customHeight="1" x14ac:dyDescent="0.25"/>
    <row r="14598" ht="15" customHeight="1" x14ac:dyDescent="0.25"/>
    <row r="14599" ht="15" customHeight="1" x14ac:dyDescent="0.25"/>
    <row r="14600" ht="15" customHeight="1" x14ac:dyDescent="0.25"/>
    <row r="14601" ht="15" customHeight="1" x14ac:dyDescent="0.25"/>
    <row r="14602" ht="15" customHeight="1" x14ac:dyDescent="0.25"/>
    <row r="14603" ht="15" customHeight="1" x14ac:dyDescent="0.25"/>
    <row r="14604" ht="15" customHeight="1" x14ac:dyDescent="0.25"/>
    <row r="14605" ht="15" customHeight="1" x14ac:dyDescent="0.25"/>
    <row r="14606" ht="15" customHeight="1" x14ac:dyDescent="0.25"/>
    <row r="14607" ht="15" customHeight="1" x14ac:dyDescent="0.25"/>
    <row r="14608" ht="15" customHeight="1" x14ac:dyDescent="0.25"/>
    <row r="14609" ht="15" customHeight="1" x14ac:dyDescent="0.25"/>
    <row r="14610" ht="15" customHeight="1" x14ac:dyDescent="0.25"/>
    <row r="14611" ht="15" customHeight="1" x14ac:dyDescent="0.25"/>
    <row r="14612" ht="15" customHeight="1" x14ac:dyDescent="0.25"/>
    <row r="14613" ht="15" customHeight="1" x14ac:dyDescent="0.25"/>
    <row r="14614" ht="15" customHeight="1" x14ac:dyDescent="0.25"/>
    <row r="14615" ht="15" customHeight="1" x14ac:dyDescent="0.25"/>
    <row r="14616" ht="15" customHeight="1" x14ac:dyDescent="0.25"/>
    <row r="14617" ht="15" customHeight="1" x14ac:dyDescent="0.25"/>
    <row r="14618" ht="15" customHeight="1" x14ac:dyDescent="0.25"/>
    <row r="14619" ht="15" customHeight="1" x14ac:dyDescent="0.25"/>
    <row r="14620" ht="15" customHeight="1" x14ac:dyDescent="0.25"/>
    <row r="14621" ht="15" customHeight="1" x14ac:dyDescent="0.25"/>
    <row r="14622" ht="15" customHeight="1" x14ac:dyDescent="0.25"/>
    <row r="14623" ht="15" customHeight="1" x14ac:dyDescent="0.25"/>
    <row r="14624" ht="15" customHeight="1" x14ac:dyDescent="0.25"/>
    <row r="14625" ht="15" customHeight="1" x14ac:dyDescent="0.25"/>
    <row r="14626" ht="15" customHeight="1" x14ac:dyDescent="0.25"/>
    <row r="14627" ht="15" customHeight="1" x14ac:dyDescent="0.25"/>
    <row r="14628" ht="15" customHeight="1" x14ac:dyDescent="0.25"/>
    <row r="14629" ht="15" customHeight="1" x14ac:dyDescent="0.25"/>
    <row r="14630" ht="15" customHeight="1" x14ac:dyDescent="0.25"/>
    <row r="14631" ht="15" customHeight="1" x14ac:dyDescent="0.25"/>
    <row r="14632" ht="15" customHeight="1" x14ac:dyDescent="0.25"/>
    <row r="14633" ht="15" customHeight="1" x14ac:dyDescent="0.25"/>
    <row r="14634" ht="15" customHeight="1" x14ac:dyDescent="0.25"/>
    <row r="14635" ht="15" customHeight="1" x14ac:dyDescent="0.25"/>
    <row r="14636" ht="15" customHeight="1" x14ac:dyDescent="0.25"/>
    <row r="14637" ht="15" customHeight="1" x14ac:dyDescent="0.25"/>
    <row r="14638" ht="15" customHeight="1" x14ac:dyDescent="0.25"/>
    <row r="14639" ht="15" customHeight="1" x14ac:dyDescent="0.25"/>
    <row r="14640" ht="15" customHeight="1" x14ac:dyDescent="0.25"/>
    <row r="14641" ht="15" customHeight="1" x14ac:dyDescent="0.25"/>
    <row r="14642" ht="15" customHeight="1" x14ac:dyDescent="0.25"/>
    <row r="14643" ht="15" customHeight="1" x14ac:dyDescent="0.25"/>
    <row r="14644" ht="15" customHeight="1" x14ac:dyDescent="0.25"/>
    <row r="14645" ht="15" customHeight="1" x14ac:dyDescent="0.25"/>
    <row r="14646" ht="15" customHeight="1" x14ac:dyDescent="0.25"/>
    <row r="14647" ht="15" customHeight="1" x14ac:dyDescent="0.25"/>
    <row r="14648" ht="15" customHeight="1" x14ac:dyDescent="0.25"/>
    <row r="14649" ht="15" customHeight="1" x14ac:dyDescent="0.25"/>
    <row r="14650" ht="15" customHeight="1" x14ac:dyDescent="0.25"/>
    <row r="14651" ht="15" customHeight="1" x14ac:dyDescent="0.25"/>
    <row r="14652" ht="15" customHeight="1" x14ac:dyDescent="0.25"/>
    <row r="14653" ht="15" customHeight="1" x14ac:dyDescent="0.25"/>
    <row r="14654" ht="15" customHeight="1" x14ac:dyDescent="0.25"/>
    <row r="14655" ht="15" customHeight="1" x14ac:dyDescent="0.25"/>
    <row r="14656" ht="15" customHeight="1" x14ac:dyDescent="0.25"/>
    <row r="14657" ht="15" customHeight="1" x14ac:dyDescent="0.25"/>
    <row r="14658" ht="15" customHeight="1" x14ac:dyDescent="0.25"/>
    <row r="14659" ht="15" customHeight="1" x14ac:dyDescent="0.25"/>
    <row r="14660" ht="15" customHeight="1" x14ac:dyDescent="0.25"/>
    <row r="14661" ht="15" customHeight="1" x14ac:dyDescent="0.25"/>
    <row r="14662" ht="15" customHeight="1" x14ac:dyDescent="0.25"/>
    <row r="14663" ht="15" customHeight="1" x14ac:dyDescent="0.25"/>
    <row r="14664" ht="15" customHeight="1" x14ac:dyDescent="0.25"/>
    <row r="14665" ht="15" customHeight="1" x14ac:dyDescent="0.25"/>
    <row r="14666" ht="15" customHeight="1" x14ac:dyDescent="0.25"/>
    <row r="14667" ht="15" customHeight="1" x14ac:dyDescent="0.25"/>
    <row r="14668" ht="15" customHeight="1" x14ac:dyDescent="0.25"/>
    <row r="14669" ht="15" customHeight="1" x14ac:dyDescent="0.25"/>
    <row r="14670" ht="15" customHeight="1" x14ac:dyDescent="0.25"/>
    <row r="14671" ht="15" customHeight="1" x14ac:dyDescent="0.25"/>
    <row r="14672" ht="15" customHeight="1" x14ac:dyDescent="0.25"/>
    <row r="14673" ht="15" customHeight="1" x14ac:dyDescent="0.25"/>
    <row r="14674" ht="15" customHeight="1" x14ac:dyDescent="0.25"/>
    <row r="14675" ht="15" customHeight="1" x14ac:dyDescent="0.25"/>
    <row r="14676" ht="15" customHeight="1" x14ac:dyDescent="0.25"/>
    <row r="14677" ht="15" customHeight="1" x14ac:dyDescent="0.25"/>
    <row r="14678" ht="15" customHeight="1" x14ac:dyDescent="0.25"/>
    <row r="14679" ht="15" customHeight="1" x14ac:dyDescent="0.25"/>
    <row r="14680" ht="15" customHeight="1" x14ac:dyDescent="0.25"/>
    <row r="14681" ht="15" customHeight="1" x14ac:dyDescent="0.25"/>
    <row r="14682" ht="15" customHeight="1" x14ac:dyDescent="0.25"/>
    <row r="14683" ht="15" customHeight="1" x14ac:dyDescent="0.25"/>
    <row r="14684" ht="15" customHeight="1" x14ac:dyDescent="0.25"/>
    <row r="14685" ht="15" customHeight="1" x14ac:dyDescent="0.25"/>
    <row r="14686" ht="15" customHeight="1" x14ac:dyDescent="0.25"/>
    <row r="14687" ht="15" customHeight="1" x14ac:dyDescent="0.25"/>
    <row r="14688" ht="15" customHeight="1" x14ac:dyDescent="0.25"/>
    <row r="14689" ht="15" customHeight="1" x14ac:dyDescent="0.25"/>
    <row r="14690" ht="15" customHeight="1" x14ac:dyDescent="0.25"/>
    <row r="14691" ht="15" customHeight="1" x14ac:dyDescent="0.25"/>
    <row r="14692" ht="15" customHeight="1" x14ac:dyDescent="0.25"/>
    <row r="14693" ht="15" customHeight="1" x14ac:dyDescent="0.25"/>
    <row r="14694" ht="15" customHeight="1" x14ac:dyDescent="0.25"/>
    <row r="14695" ht="15" customHeight="1" x14ac:dyDescent="0.25"/>
    <row r="14696" ht="15" customHeight="1" x14ac:dyDescent="0.25"/>
    <row r="14697" ht="15" customHeight="1" x14ac:dyDescent="0.25"/>
    <row r="14698" ht="15" customHeight="1" x14ac:dyDescent="0.25"/>
    <row r="14699" ht="15" customHeight="1" x14ac:dyDescent="0.25"/>
    <row r="14700" ht="15" customHeight="1" x14ac:dyDescent="0.25"/>
    <row r="14701" ht="15" customHeight="1" x14ac:dyDescent="0.25"/>
    <row r="14702" ht="15" customHeight="1" x14ac:dyDescent="0.25"/>
    <row r="14703" ht="15" customHeight="1" x14ac:dyDescent="0.25"/>
    <row r="14704" ht="15" customHeight="1" x14ac:dyDescent="0.25"/>
    <row r="14705" ht="15" customHeight="1" x14ac:dyDescent="0.25"/>
    <row r="14706" ht="15" customHeight="1" x14ac:dyDescent="0.25"/>
    <row r="14707" ht="15" customHeight="1" x14ac:dyDescent="0.25"/>
    <row r="14708" ht="15" customHeight="1" x14ac:dyDescent="0.25"/>
    <row r="14709" ht="15" customHeight="1" x14ac:dyDescent="0.25"/>
    <row r="14710" ht="15" customHeight="1" x14ac:dyDescent="0.25"/>
    <row r="14711" ht="15" customHeight="1" x14ac:dyDescent="0.25"/>
    <row r="14712" ht="15" customHeight="1" x14ac:dyDescent="0.25"/>
    <row r="14713" ht="15" customHeight="1" x14ac:dyDescent="0.25"/>
    <row r="14714" ht="15" customHeight="1" x14ac:dyDescent="0.25"/>
    <row r="14715" ht="15" customHeight="1" x14ac:dyDescent="0.25"/>
    <row r="14716" ht="15" customHeight="1" x14ac:dyDescent="0.25"/>
    <row r="14717" ht="15" customHeight="1" x14ac:dyDescent="0.25"/>
    <row r="14718" ht="15" customHeight="1" x14ac:dyDescent="0.25"/>
    <row r="14719" ht="15" customHeight="1" x14ac:dyDescent="0.25"/>
    <row r="14720" ht="15" customHeight="1" x14ac:dyDescent="0.25"/>
    <row r="14721" ht="15" customHeight="1" x14ac:dyDescent="0.25"/>
    <row r="14722" ht="15" customHeight="1" x14ac:dyDescent="0.25"/>
    <row r="14723" ht="15" customHeight="1" x14ac:dyDescent="0.25"/>
    <row r="14724" ht="15" customHeight="1" x14ac:dyDescent="0.25"/>
    <row r="14725" ht="15" customHeight="1" x14ac:dyDescent="0.25"/>
    <row r="14726" ht="15" customHeight="1" x14ac:dyDescent="0.25"/>
    <row r="14727" ht="15" customHeight="1" x14ac:dyDescent="0.25"/>
    <row r="14728" ht="15" customHeight="1" x14ac:dyDescent="0.25"/>
    <row r="14729" ht="15" customHeight="1" x14ac:dyDescent="0.25"/>
    <row r="14730" ht="15" customHeight="1" x14ac:dyDescent="0.25"/>
    <row r="14731" ht="15" customHeight="1" x14ac:dyDescent="0.25"/>
    <row r="14732" ht="15" customHeight="1" x14ac:dyDescent="0.25"/>
    <row r="14733" ht="15" customHeight="1" x14ac:dyDescent="0.25"/>
    <row r="14734" ht="15" customHeight="1" x14ac:dyDescent="0.25"/>
    <row r="14735" ht="15" customHeight="1" x14ac:dyDescent="0.25"/>
    <row r="14736" ht="15" customHeight="1" x14ac:dyDescent="0.25"/>
    <row r="14737" ht="15" customHeight="1" x14ac:dyDescent="0.25"/>
    <row r="14738" ht="15" customHeight="1" x14ac:dyDescent="0.25"/>
    <row r="14739" ht="15" customHeight="1" x14ac:dyDescent="0.25"/>
    <row r="14740" ht="15" customHeight="1" x14ac:dyDescent="0.25"/>
    <row r="14741" ht="15" customHeight="1" x14ac:dyDescent="0.25"/>
    <row r="14742" ht="15" customHeight="1" x14ac:dyDescent="0.25"/>
    <row r="14743" ht="15" customHeight="1" x14ac:dyDescent="0.25"/>
    <row r="14744" ht="15" customHeight="1" x14ac:dyDescent="0.25"/>
    <row r="14745" ht="15" customHeight="1" x14ac:dyDescent="0.25"/>
    <row r="14746" ht="15" customHeight="1" x14ac:dyDescent="0.25"/>
    <row r="14747" ht="15" customHeight="1" x14ac:dyDescent="0.25"/>
    <row r="14748" ht="15" customHeight="1" x14ac:dyDescent="0.25"/>
    <row r="14749" ht="15" customHeight="1" x14ac:dyDescent="0.25"/>
    <row r="14750" ht="15" customHeight="1" x14ac:dyDescent="0.25"/>
    <row r="14751" ht="15" customHeight="1" x14ac:dyDescent="0.25"/>
    <row r="14752" ht="15" customHeight="1" x14ac:dyDescent="0.25"/>
    <row r="14753" ht="15" customHeight="1" x14ac:dyDescent="0.25"/>
    <row r="14754" ht="15" customHeight="1" x14ac:dyDescent="0.25"/>
    <row r="14755" ht="15" customHeight="1" x14ac:dyDescent="0.25"/>
    <row r="14756" ht="15" customHeight="1" x14ac:dyDescent="0.25"/>
    <row r="14757" ht="15" customHeight="1" x14ac:dyDescent="0.25"/>
    <row r="14758" ht="15" customHeight="1" x14ac:dyDescent="0.25"/>
    <row r="14759" ht="15" customHeight="1" x14ac:dyDescent="0.25"/>
    <row r="14760" ht="15" customHeight="1" x14ac:dyDescent="0.25"/>
    <row r="14761" ht="15" customHeight="1" x14ac:dyDescent="0.25"/>
    <row r="14762" ht="15" customHeight="1" x14ac:dyDescent="0.25"/>
    <row r="14763" ht="15" customHeight="1" x14ac:dyDescent="0.25"/>
    <row r="14764" ht="15" customHeight="1" x14ac:dyDescent="0.25"/>
    <row r="14765" ht="15" customHeight="1" x14ac:dyDescent="0.25"/>
    <row r="14766" ht="15" customHeight="1" x14ac:dyDescent="0.25"/>
    <row r="14767" ht="15" customHeight="1" x14ac:dyDescent="0.25"/>
    <row r="14768" ht="15" customHeight="1" x14ac:dyDescent="0.25"/>
    <row r="14769" ht="15" customHeight="1" x14ac:dyDescent="0.25"/>
    <row r="14770" ht="15" customHeight="1" x14ac:dyDescent="0.25"/>
    <row r="14771" ht="15" customHeight="1" x14ac:dyDescent="0.25"/>
    <row r="14772" ht="15" customHeight="1" x14ac:dyDescent="0.25"/>
    <row r="14773" ht="15" customHeight="1" x14ac:dyDescent="0.25"/>
    <row r="14774" ht="15" customHeight="1" x14ac:dyDescent="0.25"/>
    <row r="14775" ht="15" customHeight="1" x14ac:dyDescent="0.25"/>
    <row r="14776" ht="15" customHeight="1" x14ac:dyDescent="0.25"/>
    <row r="14777" ht="15" customHeight="1" x14ac:dyDescent="0.25"/>
    <row r="14778" ht="15" customHeight="1" x14ac:dyDescent="0.25"/>
    <row r="14779" ht="15" customHeight="1" x14ac:dyDescent="0.25"/>
    <row r="14780" ht="15" customHeight="1" x14ac:dyDescent="0.25"/>
    <row r="14781" ht="15" customHeight="1" x14ac:dyDescent="0.25"/>
    <row r="14782" ht="15" customHeight="1" x14ac:dyDescent="0.25"/>
    <row r="14783" ht="15" customHeight="1" x14ac:dyDescent="0.25"/>
    <row r="14784" ht="15" customHeight="1" x14ac:dyDescent="0.25"/>
    <row r="14785" ht="15" customHeight="1" x14ac:dyDescent="0.25"/>
    <row r="14786" ht="15" customHeight="1" x14ac:dyDescent="0.25"/>
    <row r="14787" ht="15" customHeight="1" x14ac:dyDescent="0.25"/>
    <row r="14788" ht="15" customHeight="1" x14ac:dyDescent="0.25"/>
    <row r="14789" ht="15" customHeight="1" x14ac:dyDescent="0.25"/>
    <row r="14790" ht="15" customHeight="1" x14ac:dyDescent="0.25"/>
    <row r="14791" ht="15" customHeight="1" x14ac:dyDescent="0.25"/>
    <row r="14792" ht="15" customHeight="1" x14ac:dyDescent="0.25"/>
    <row r="14793" ht="15" customHeight="1" x14ac:dyDescent="0.25"/>
    <row r="14794" ht="15" customHeight="1" x14ac:dyDescent="0.25"/>
    <row r="14795" ht="15" customHeight="1" x14ac:dyDescent="0.25"/>
    <row r="14796" ht="15" customHeight="1" x14ac:dyDescent="0.25"/>
    <row r="14797" ht="15" customHeight="1" x14ac:dyDescent="0.25"/>
    <row r="14798" ht="15" customHeight="1" x14ac:dyDescent="0.25"/>
    <row r="14799" ht="15" customHeight="1" x14ac:dyDescent="0.25"/>
    <row r="14800" ht="15" customHeight="1" x14ac:dyDescent="0.25"/>
    <row r="14801" ht="15" customHeight="1" x14ac:dyDescent="0.25"/>
    <row r="14802" ht="15" customHeight="1" x14ac:dyDescent="0.25"/>
    <row r="14803" ht="15" customHeight="1" x14ac:dyDescent="0.25"/>
    <row r="14804" ht="15" customHeight="1" x14ac:dyDescent="0.25"/>
    <row r="14805" ht="15" customHeight="1" x14ac:dyDescent="0.25"/>
    <row r="14806" ht="15" customHeight="1" x14ac:dyDescent="0.25"/>
    <row r="14807" ht="15" customHeight="1" x14ac:dyDescent="0.25"/>
    <row r="14808" ht="15" customHeight="1" x14ac:dyDescent="0.25"/>
    <row r="14809" ht="15" customHeight="1" x14ac:dyDescent="0.25"/>
    <row r="14810" ht="15" customHeight="1" x14ac:dyDescent="0.25"/>
    <row r="14811" ht="15" customHeight="1" x14ac:dyDescent="0.25"/>
    <row r="14812" ht="15" customHeight="1" x14ac:dyDescent="0.25"/>
    <row r="14813" ht="15" customHeight="1" x14ac:dyDescent="0.25"/>
    <row r="14814" ht="15" customHeight="1" x14ac:dyDescent="0.25"/>
    <row r="14815" ht="15" customHeight="1" x14ac:dyDescent="0.25"/>
    <row r="14816" ht="15" customHeight="1" x14ac:dyDescent="0.25"/>
    <row r="14817" ht="15" customHeight="1" x14ac:dyDescent="0.25"/>
    <row r="14818" ht="15" customHeight="1" x14ac:dyDescent="0.25"/>
    <row r="14819" ht="15" customHeight="1" x14ac:dyDescent="0.25"/>
    <row r="14820" ht="15" customHeight="1" x14ac:dyDescent="0.25"/>
    <row r="14821" ht="15" customHeight="1" x14ac:dyDescent="0.25"/>
    <row r="14822" ht="15" customHeight="1" x14ac:dyDescent="0.25"/>
    <row r="14823" ht="15" customHeight="1" x14ac:dyDescent="0.25"/>
    <row r="14824" ht="15" customHeight="1" x14ac:dyDescent="0.25"/>
    <row r="14825" ht="15" customHeight="1" x14ac:dyDescent="0.25"/>
    <row r="14826" ht="15" customHeight="1" x14ac:dyDescent="0.25"/>
    <row r="14827" ht="15" customHeight="1" x14ac:dyDescent="0.25"/>
    <row r="14828" ht="15" customHeight="1" x14ac:dyDescent="0.25"/>
    <row r="14829" ht="15" customHeight="1" x14ac:dyDescent="0.25"/>
    <row r="14830" ht="15" customHeight="1" x14ac:dyDescent="0.25"/>
    <row r="14831" ht="15" customHeight="1" x14ac:dyDescent="0.25"/>
    <row r="14832" ht="15" customHeight="1" x14ac:dyDescent="0.25"/>
    <row r="14833" ht="15" customHeight="1" x14ac:dyDescent="0.25"/>
    <row r="14834" ht="15" customHeight="1" x14ac:dyDescent="0.25"/>
    <row r="14835" ht="15" customHeight="1" x14ac:dyDescent="0.25"/>
    <row r="14836" ht="15" customHeight="1" x14ac:dyDescent="0.25"/>
    <row r="14837" ht="15" customHeight="1" x14ac:dyDescent="0.25"/>
    <row r="14838" ht="15" customHeight="1" x14ac:dyDescent="0.25"/>
    <row r="14839" ht="15" customHeight="1" x14ac:dyDescent="0.25"/>
    <row r="14840" ht="15" customHeight="1" x14ac:dyDescent="0.25"/>
    <row r="14841" ht="15" customHeight="1" x14ac:dyDescent="0.25"/>
    <row r="14842" ht="15" customHeight="1" x14ac:dyDescent="0.25"/>
    <row r="14843" ht="15" customHeight="1" x14ac:dyDescent="0.25"/>
    <row r="14844" ht="15" customHeight="1" x14ac:dyDescent="0.25"/>
    <row r="14845" ht="15" customHeight="1" x14ac:dyDescent="0.25"/>
    <row r="14846" ht="15" customHeight="1" x14ac:dyDescent="0.25"/>
    <row r="14847" ht="15" customHeight="1" x14ac:dyDescent="0.25"/>
    <row r="14848" ht="15" customHeight="1" x14ac:dyDescent="0.25"/>
    <row r="14849" ht="15" customHeight="1" x14ac:dyDescent="0.25"/>
    <row r="14850" ht="15" customHeight="1" x14ac:dyDescent="0.25"/>
    <row r="14851" ht="15" customHeight="1" x14ac:dyDescent="0.25"/>
    <row r="14852" ht="15" customHeight="1" x14ac:dyDescent="0.25"/>
    <row r="14853" ht="15" customHeight="1" x14ac:dyDescent="0.25"/>
    <row r="14854" ht="15" customHeight="1" x14ac:dyDescent="0.25"/>
    <row r="14855" ht="15" customHeight="1" x14ac:dyDescent="0.25"/>
    <row r="14856" ht="15" customHeight="1" x14ac:dyDescent="0.25"/>
    <row r="14857" ht="15" customHeight="1" x14ac:dyDescent="0.25"/>
    <row r="14858" ht="15" customHeight="1" x14ac:dyDescent="0.25"/>
    <row r="14859" ht="15" customHeight="1" x14ac:dyDescent="0.25"/>
    <row r="14860" ht="15" customHeight="1" x14ac:dyDescent="0.25"/>
    <row r="14861" ht="15" customHeight="1" x14ac:dyDescent="0.25"/>
    <row r="14862" ht="15" customHeight="1" x14ac:dyDescent="0.25"/>
    <row r="14863" ht="15" customHeight="1" x14ac:dyDescent="0.25"/>
    <row r="14864" ht="15" customHeight="1" x14ac:dyDescent="0.25"/>
    <row r="14865" ht="15" customHeight="1" x14ac:dyDescent="0.25"/>
    <row r="14866" ht="15" customHeight="1" x14ac:dyDescent="0.25"/>
    <row r="14867" ht="15" customHeight="1" x14ac:dyDescent="0.25"/>
    <row r="14868" ht="15" customHeight="1" x14ac:dyDescent="0.25"/>
    <row r="14869" ht="15" customHeight="1" x14ac:dyDescent="0.25"/>
    <row r="14870" ht="15" customHeight="1" x14ac:dyDescent="0.25"/>
    <row r="14871" ht="15" customHeight="1" x14ac:dyDescent="0.25"/>
    <row r="14872" ht="15" customHeight="1" x14ac:dyDescent="0.25"/>
    <row r="14873" ht="15" customHeight="1" x14ac:dyDescent="0.25"/>
    <row r="14874" ht="15" customHeight="1" x14ac:dyDescent="0.25"/>
    <row r="14875" ht="15" customHeight="1" x14ac:dyDescent="0.25"/>
    <row r="14876" ht="15" customHeight="1" x14ac:dyDescent="0.25"/>
    <row r="14877" ht="15" customHeight="1" x14ac:dyDescent="0.25"/>
    <row r="14878" ht="15" customHeight="1" x14ac:dyDescent="0.25"/>
    <row r="14879" ht="15" customHeight="1" x14ac:dyDescent="0.25"/>
    <row r="14880" ht="15" customHeight="1" x14ac:dyDescent="0.25"/>
    <row r="14881" ht="15" customHeight="1" x14ac:dyDescent="0.25"/>
    <row r="14882" ht="15" customHeight="1" x14ac:dyDescent="0.25"/>
    <row r="14883" ht="15" customHeight="1" x14ac:dyDescent="0.25"/>
    <row r="14884" ht="15" customHeight="1" x14ac:dyDescent="0.25"/>
    <row r="14885" ht="15" customHeight="1" x14ac:dyDescent="0.25"/>
    <row r="14886" ht="15" customHeight="1" x14ac:dyDescent="0.25"/>
    <row r="14887" ht="15" customHeight="1" x14ac:dyDescent="0.25"/>
    <row r="14888" ht="15" customHeight="1" x14ac:dyDescent="0.25"/>
    <row r="14889" ht="15" customHeight="1" x14ac:dyDescent="0.25"/>
    <row r="14890" ht="15" customHeight="1" x14ac:dyDescent="0.25"/>
    <row r="14891" ht="15" customHeight="1" x14ac:dyDescent="0.25"/>
    <row r="14892" ht="15" customHeight="1" x14ac:dyDescent="0.25"/>
    <row r="14893" ht="15" customHeight="1" x14ac:dyDescent="0.25"/>
    <row r="14894" ht="15" customHeight="1" x14ac:dyDescent="0.25"/>
    <row r="14895" ht="15" customHeight="1" x14ac:dyDescent="0.25"/>
    <row r="14896" ht="15" customHeight="1" x14ac:dyDescent="0.25"/>
    <row r="14897" ht="15" customHeight="1" x14ac:dyDescent="0.25"/>
    <row r="14898" ht="15" customHeight="1" x14ac:dyDescent="0.25"/>
    <row r="14899" ht="15" customHeight="1" x14ac:dyDescent="0.25"/>
    <row r="14900" ht="15" customHeight="1" x14ac:dyDescent="0.25"/>
    <row r="14901" ht="15" customHeight="1" x14ac:dyDescent="0.25"/>
    <row r="14902" ht="15" customHeight="1" x14ac:dyDescent="0.25"/>
    <row r="14903" ht="15" customHeight="1" x14ac:dyDescent="0.25"/>
    <row r="14904" ht="15" customHeight="1" x14ac:dyDescent="0.25"/>
    <row r="14905" ht="15" customHeight="1" x14ac:dyDescent="0.25"/>
    <row r="14906" ht="15" customHeight="1" x14ac:dyDescent="0.25"/>
    <row r="14907" ht="15" customHeight="1" x14ac:dyDescent="0.25"/>
    <row r="14908" ht="15" customHeight="1" x14ac:dyDescent="0.25"/>
    <row r="14909" ht="15" customHeight="1" x14ac:dyDescent="0.25"/>
    <row r="14910" ht="15" customHeight="1" x14ac:dyDescent="0.25"/>
    <row r="14911" ht="15" customHeight="1" x14ac:dyDescent="0.25"/>
    <row r="14912" ht="15" customHeight="1" x14ac:dyDescent="0.25"/>
    <row r="14913" ht="15" customHeight="1" x14ac:dyDescent="0.25"/>
    <row r="14914" ht="15" customHeight="1" x14ac:dyDescent="0.25"/>
    <row r="14915" ht="15" customHeight="1" x14ac:dyDescent="0.25"/>
    <row r="14916" ht="15" customHeight="1" x14ac:dyDescent="0.25"/>
    <row r="14917" ht="15" customHeight="1" x14ac:dyDescent="0.25"/>
    <row r="14918" ht="15" customHeight="1" x14ac:dyDescent="0.25"/>
    <row r="14919" ht="15" customHeight="1" x14ac:dyDescent="0.25"/>
    <row r="14920" ht="15" customHeight="1" x14ac:dyDescent="0.25"/>
    <row r="14921" ht="15" customHeight="1" x14ac:dyDescent="0.25"/>
    <row r="14922" ht="15" customHeight="1" x14ac:dyDescent="0.25"/>
    <row r="14923" ht="15" customHeight="1" x14ac:dyDescent="0.25"/>
    <row r="14924" ht="15" customHeight="1" x14ac:dyDescent="0.25"/>
    <row r="14925" ht="15" customHeight="1" x14ac:dyDescent="0.25"/>
    <row r="14926" ht="15" customHeight="1" x14ac:dyDescent="0.25"/>
    <row r="14927" ht="15" customHeight="1" x14ac:dyDescent="0.25"/>
    <row r="14928" ht="15" customHeight="1" x14ac:dyDescent="0.25"/>
    <row r="14929" ht="15" customHeight="1" x14ac:dyDescent="0.25"/>
    <row r="14930" ht="15" customHeight="1" x14ac:dyDescent="0.25"/>
    <row r="14931" ht="15" customHeight="1" x14ac:dyDescent="0.25"/>
    <row r="14932" ht="15" customHeight="1" x14ac:dyDescent="0.25"/>
    <row r="14933" ht="15" customHeight="1" x14ac:dyDescent="0.25"/>
    <row r="14934" ht="15" customHeight="1" x14ac:dyDescent="0.25"/>
    <row r="14935" ht="15" customHeight="1" x14ac:dyDescent="0.25"/>
    <row r="14936" ht="15" customHeight="1" x14ac:dyDescent="0.25"/>
    <row r="14937" ht="15" customHeight="1" x14ac:dyDescent="0.25"/>
    <row r="14938" ht="15" customHeight="1" x14ac:dyDescent="0.25"/>
    <row r="14939" ht="15" customHeight="1" x14ac:dyDescent="0.25"/>
    <row r="14940" ht="15" customHeight="1" x14ac:dyDescent="0.25"/>
    <row r="14941" ht="15" customHeight="1" x14ac:dyDescent="0.25"/>
    <row r="14942" ht="15" customHeight="1" x14ac:dyDescent="0.25"/>
    <row r="14943" ht="15" customHeight="1" x14ac:dyDescent="0.25"/>
    <row r="14944" ht="15" customHeight="1" x14ac:dyDescent="0.25"/>
    <row r="14945" ht="15" customHeight="1" x14ac:dyDescent="0.25"/>
    <row r="14946" ht="15" customHeight="1" x14ac:dyDescent="0.25"/>
    <row r="14947" ht="15" customHeight="1" x14ac:dyDescent="0.25"/>
    <row r="14948" ht="15" customHeight="1" x14ac:dyDescent="0.25"/>
    <row r="14949" ht="15" customHeight="1" x14ac:dyDescent="0.25"/>
    <row r="14950" ht="15" customHeight="1" x14ac:dyDescent="0.25"/>
    <row r="14951" ht="15" customHeight="1" x14ac:dyDescent="0.25"/>
    <row r="14952" ht="15" customHeight="1" x14ac:dyDescent="0.25"/>
    <row r="14953" ht="15" customHeight="1" x14ac:dyDescent="0.25"/>
    <row r="14954" ht="15" customHeight="1" x14ac:dyDescent="0.25"/>
    <row r="14955" ht="15" customHeight="1" x14ac:dyDescent="0.25"/>
    <row r="14956" ht="15" customHeight="1" x14ac:dyDescent="0.25"/>
    <row r="14957" ht="15" customHeight="1" x14ac:dyDescent="0.25"/>
    <row r="14958" ht="15" customHeight="1" x14ac:dyDescent="0.25"/>
    <row r="14959" ht="15" customHeight="1" x14ac:dyDescent="0.25"/>
    <row r="14960" ht="15" customHeight="1" x14ac:dyDescent="0.25"/>
    <row r="14961" ht="15" customHeight="1" x14ac:dyDescent="0.25"/>
    <row r="14962" ht="15" customHeight="1" x14ac:dyDescent="0.25"/>
    <row r="14963" ht="15" customHeight="1" x14ac:dyDescent="0.25"/>
    <row r="14964" ht="15" customHeight="1" x14ac:dyDescent="0.25"/>
    <row r="14965" ht="15" customHeight="1" x14ac:dyDescent="0.25"/>
    <row r="14966" ht="15" customHeight="1" x14ac:dyDescent="0.25"/>
    <row r="14967" ht="15" customHeight="1" x14ac:dyDescent="0.25"/>
    <row r="14968" ht="15" customHeight="1" x14ac:dyDescent="0.25"/>
    <row r="14969" ht="15" customHeight="1" x14ac:dyDescent="0.25"/>
    <row r="14970" ht="15" customHeight="1" x14ac:dyDescent="0.25"/>
    <row r="14971" ht="15" customHeight="1" x14ac:dyDescent="0.25"/>
    <row r="14972" ht="15" customHeight="1" x14ac:dyDescent="0.25"/>
    <row r="14973" ht="15" customHeight="1" x14ac:dyDescent="0.25"/>
    <row r="14974" ht="15" customHeight="1" x14ac:dyDescent="0.25"/>
    <row r="14975" ht="15" customHeight="1" x14ac:dyDescent="0.25"/>
    <row r="14976" ht="15" customHeight="1" x14ac:dyDescent="0.25"/>
    <row r="14977" ht="15" customHeight="1" x14ac:dyDescent="0.25"/>
    <row r="14978" ht="15" customHeight="1" x14ac:dyDescent="0.25"/>
    <row r="14979" ht="15" customHeight="1" x14ac:dyDescent="0.25"/>
    <row r="14980" ht="15" customHeight="1" x14ac:dyDescent="0.25"/>
    <row r="14981" ht="15" customHeight="1" x14ac:dyDescent="0.25"/>
    <row r="14982" ht="15" customHeight="1" x14ac:dyDescent="0.25"/>
    <row r="14983" ht="15" customHeight="1" x14ac:dyDescent="0.25"/>
    <row r="14984" ht="15" customHeight="1" x14ac:dyDescent="0.25"/>
    <row r="14985" ht="15" customHeight="1" x14ac:dyDescent="0.25"/>
    <row r="14986" ht="15" customHeight="1" x14ac:dyDescent="0.25"/>
    <row r="14987" ht="15" customHeight="1" x14ac:dyDescent="0.25"/>
    <row r="14988" ht="15" customHeight="1" x14ac:dyDescent="0.25"/>
    <row r="14989" ht="15" customHeight="1" x14ac:dyDescent="0.25"/>
    <row r="14990" ht="15" customHeight="1" x14ac:dyDescent="0.25"/>
    <row r="14991" ht="15" customHeight="1" x14ac:dyDescent="0.25"/>
    <row r="14992" ht="15" customHeight="1" x14ac:dyDescent="0.25"/>
    <row r="14993" ht="15" customHeight="1" x14ac:dyDescent="0.25"/>
    <row r="14994" ht="15" customHeight="1" x14ac:dyDescent="0.25"/>
    <row r="14995" ht="15" customHeight="1" x14ac:dyDescent="0.25"/>
    <row r="14996" ht="15" customHeight="1" x14ac:dyDescent="0.25"/>
    <row r="14997" ht="15" customHeight="1" x14ac:dyDescent="0.25"/>
    <row r="14998" ht="15" customHeight="1" x14ac:dyDescent="0.25"/>
    <row r="14999" ht="15" customHeight="1" x14ac:dyDescent="0.25"/>
    <row r="15000" ht="15" customHeight="1" x14ac:dyDescent="0.25"/>
    <row r="15001" ht="15" customHeight="1" x14ac:dyDescent="0.25"/>
    <row r="15002" ht="15" customHeight="1" x14ac:dyDescent="0.25"/>
    <row r="15003" ht="15" customHeight="1" x14ac:dyDescent="0.25"/>
    <row r="15004" ht="15" customHeight="1" x14ac:dyDescent="0.25"/>
    <row r="15005" ht="15" customHeight="1" x14ac:dyDescent="0.25"/>
    <row r="15006" ht="15" customHeight="1" x14ac:dyDescent="0.25"/>
    <row r="15007" ht="15" customHeight="1" x14ac:dyDescent="0.25"/>
    <row r="15008" ht="15" customHeight="1" x14ac:dyDescent="0.25"/>
    <row r="15009" ht="15" customHeight="1" x14ac:dyDescent="0.25"/>
    <row r="15010" ht="15" customHeight="1" x14ac:dyDescent="0.25"/>
    <row r="15011" ht="15" customHeight="1" x14ac:dyDescent="0.25"/>
    <row r="15012" ht="15" customHeight="1" x14ac:dyDescent="0.25"/>
    <row r="15013" ht="15" customHeight="1" x14ac:dyDescent="0.25"/>
    <row r="15014" ht="15" customHeight="1" x14ac:dyDescent="0.25"/>
    <row r="15015" ht="15" customHeight="1" x14ac:dyDescent="0.25"/>
    <row r="15016" ht="15" customHeight="1" x14ac:dyDescent="0.25"/>
    <row r="15017" ht="15" customHeight="1" x14ac:dyDescent="0.25"/>
    <row r="15018" ht="15" customHeight="1" x14ac:dyDescent="0.25"/>
    <row r="15019" ht="15" customHeight="1" x14ac:dyDescent="0.25"/>
    <row r="15020" ht="15" customHeight="1" x14ac:dyDescent="0.25"/>
    <row r="15021" ht="15" customHeight="1" x14ac:dyDescent="0.25"/>
    <row r="15022" ht="15" customHeight="1" x14ac:dyDescent="0.25"/>
    <row r="15023" ht="15" customHeight="1" x14ac:dyDescent="0.25"/>
    <row r="15024" ht="15" customHeight="1" x14ac:dyDescent="0.25"/>
    <row r="15025" ht="15" customHeight="1" x14ac:dyDescent="0.25"/>
    <row r="15026" ht="15" customHeight="1" x14ac:dyDescent="0.25"/>
    <row r="15027" ht="15" customHeight="1" x14ac:dyDescent="0.25"/>
    <row r="15028" ht="15" customHeight="1" x14ac:dyDescent="0.25"/>
    <row r="15029" ht="15" customHeight="1" x14ac:dyDescent="0.25"/>
    <row r="15030" ht="15" customHeight="1" x14ac:dyDescent="0.25"/>
    <row r="15031" ht="15" customHeight="1" x14ac:dyDescent="0.25"/>
    <row r="15032" ht="15" customHeight="1" x14ac:dyDescent="0.25"/>
    <row r="15033" ht="15" customHeight="1" x14ac:dyDescent="0.25"/>
    <row r="15034" ht="15" customHeight="1" x14ac:dyDescent="0.25"/>
    <row r="15035" ht="15" customHeight="1" x14ac:dyDescent="0.25"/>
    <row r="15036" ht="15" customHeight="1" x14ac:dyDescent="0.25"/>
    <row r="15037" ht="15" customHeight="1" x14ac:dyDescent="0.25"/>
    <row r="15038" ht="15" customHeight="1" x14ac:dyDescent="0.25"/>
    <row r="15039" ht="15" customHeight="1" x14ac:dyDescent="0.25"/>
    <row r="15040" ht="15" customHeight="1" x14ac:dyDescent="0.25"/>
    <row r="15041" ht="15" customHeight="1" x14ac:dyDescent="0.25"/>
    <row r="15042" ht="15" customHeight="1" x14ac:dyDescent="0.25"/>
    <row r="15043" ht="15" customHeight="1" x14ac:dyDescent="0.25"/>
    <row r="15044" ht="15" customHeight="1" x14ac:dyDescent="0.25"/>
    <row r="15045" ht="15" customHeight="1" x14ac:dyDescent="0.25"/>
    <row r="15046" ht="15" customHeight="1" x14ac:dyDescent="0.25"/>
    <row r="15047" ht="15" customHeight="1" x14ac:dyDescent="0.25"/>
    <row r="15048" ht="15" customHeight="1" x14ac:dyDescent="0.25"/>
    <row r="15049" ht="15" customHeight="1" x14ac:dyDescent="0.25"/>
    <row r="15050" ht="15" customHeight="1" x14ac:dyDescent="0.25"/>
    <row r="15051" ht="15" customHeight="1" x14ac:dyDescent="0.25"/>
    <row r="15052" ht="15" customHeight="1" x14ac:dyDescent="0.25"/>
    <row r="15053" ht="15" customHeight="1" x14ac:dyDescent="0.25"/>
    <row r="15054" ht="15" customHeight="1" x14ac:dyDescent="0.25"/>
    <row r="15055" ht="15" customHeight="1" x14ac:dyDescent="0.25"/>
    <row r="15056" ht="15" customHeight="1" x14ac:dyDescent="0.25"/>
    <row r="15057" ht="15" customHeight="1" x14ac:dyDescent="0.25"/>
    <row r="15058" ht="15" customHeight="1" x14ac:dyDescent="0.25"/>
    <row r="15059" ht="15" customHeight="1" x14ac:dyDescent="0.25"/>
    <row r="15060" ht="15" customHeight="1" x14ac:dyDescent="0.25"/>
    <row r="15061" ht="15" customHeight="1" x14ac:dyDescent="0.25"/>
    <row r="15062" ht="15" customHeight="1" x14ac:dyDescent="0.25"/>
    <row r="15063" ht="15" customHeight="1" x14ac:dyDescent="0.25"/>
    <row r="15064" ht="15" customHeight="1" x14ac:dyDescent="0.25"/>
    <row r="15065" ht="15" customHeight="1" x14ac:dyDescent="0.25"/>
    <row r="15066" ht="15" customHeight="1" x14ac:dyDescent="0.25"/>
    <row r="15067" ht="15" customHeight="1" x14ac:dyDescent="0.25"/>
    <row r="15068" ht="15" customHeight="1" x14ac:dyDescent="0.25"/>
    <row r="15069" ht="15" customHeight="1" x14ac:dyDescent="0.25"/>
    <row r="15070" ht="15" customHeight="1" x14ac:dyDescent="0.25"/>
    <row r="15071" ht="15" customHeight="1" x14ac:dyDescent="0.25"/>
    <row r="15072" ht="15" customHeight="1" x14ac:dyDescent="0.25"/>
    <row r="15073" ht="15" customHeight="1" x14ac:dyDescent="0.25"/>
    <row r="15074" ht="15" customHeight="1" x14ac:dyDescent="0.25"/>
    <row r="15075" ht="15" customHeight="1" x14ac:dyDescent="0.25"/>
    <row r="15076" ht="15" customHeight="1" x14ac:dyDescent="0.25"/>
    <row r="15077" ht="15" customHeight="1" x14ac:dyDescent="0.25"/>
    <row r="15078" ht="15" customHeight="1" x14ac:dyDescent="0.25"/>
    <row r="15079" ht="15" customHeight="1" x14ac:dyDescent="0.25"/>
    <row r="15080" ht="15" customHeight="1" x14ac:dyDescent="0.25"/>
    <row r="15081" ht="15" customHeight="1" x14ac:dyDescent="0.25"/>
    <row r="15082" ht="15" customHeight="1" x14ac:dyDescent="0.25"/>
    <row r="15083" ht="15" customHeight="1" x14ac:dyDescent="0.25"/>
    <row r="15084" ht="15" customHeight="1" x14ac:dyDescent="0.25"/>
    <row r="15085" ht="15" customHeight="1" x14ac:dyDescent="0.25"/>
    <row r="15086" ht="15" customHeight="1" x14ac:dyDescent="0.25"/>
    <row r="15087" ht="15" customHeight="1" x14ac:dyDescent="0.25"/>
    <row r="15088" ht="15" customHeight="1" x14ac:dyDescent="0.25"/>
    <row r="15089" ht="15" customHeight="1" x14ac:dyDescent="0.25"/>
    <row r="15090" ht="15" customHeight="1" x14ac:dyDescent="0.25"/>
    <row r="15091" ht="15" customHeight="1" x14ac:dyDescent="0.25"/>
    <row r="15092" ht="15" customHeight="1" x14ac:dyDescent="0.25"/>
    <row r="15093" ht="15" customHeight="1" x14ac:dyDescent="0.25"/>
    <row r="15094" ht="15" customHeight="1" x14ac:dyDescent="0.25"/>
    <row r="15095" ht="15" customHeight="1" x14ac:dyDescent="0.25"/>
    <row r="15096" ht="15" customHeight="1" x14ac:dyDescent="0.25"/>
    <row r="15097" ht="15" customHeight="1" x14ac:dyDescent="0.25"/>
    <row r="15098" ht="15" customHeight="1" x14ac:dyDescent="0.25"/>
    <row r="15099" ht="15" customHeight="1" x14ac:dyDescent="0.25"/>
    <row r="15100" ht="15" customHeight="1" x14ac:dyDescent="0.25"/>
    <row r="15101" ht="15" customHeight="1" x14ac:dyDescent="0.25"/>
    <row r="15102" ht="15" customHeight="1" x14ac:dyDescent="0.25"/>
    <row r="15103" ht="15" customHeight="1" x14ac:dyDescent="0.25"/>
    <row r="15104" ht="15" customHeight="1" x14ac:dyDescent="0.25"/>
    <row r="15105" ht="15" customHeight="1" x14ac:dyDescent="0.25"/>
    <row r="15106" ht="15" customHeight="1" x14ac:dyDescent="0.25"/>
    <row r="15107" ht="15" customHeight="1" x14ac:dyDescent="0.25"/>
    <row r="15108" ht="15" customHeight="1" x14ac:dyDescent="0.25"/>
    <row r="15109" ht="15" customHeight="1" x14ac:dyDescent="0.25"/>
    <row r="15110" ht="15" customHeight="1" x14ac:dyDescent="0.25"/>
    <row r="15111" ht="15" customHeight="1" x14ac:dyDescent="0.25"/>
    <row r="15112" ht="15" customHeight="1" x14ac:dyDescent="0.25"/>
    <row r="15113" ht="15" customHeight="1" x14ac:dyDescent="0.25"/>
    <row r="15114" ht="15" customHeight="1" x14ac:dyDescent="0.25"/>
    <row r="15115" ht="15" customHeight="1" x14ac:dyDescent="0.25"/>
    <row r="15116" ht="15" customHeight="1" x14ac:dyDescent="0.25"/>
    <row r="15117" ht="15" customHeight="1" x14ac:dyDescent="0.25"/>
    <row r="15118" ht="15" customHeight="1" x14ac:dyDescent="0.25"/>
    <row r="15119" ht="15" customHeight="1" x14ac:dyDescent="0.25"/>
    <row r="15120" ht="15" customHeight="1" x14ac:dyDescent="0.25"/>
    <row r="15121" ht="15" customHeight="1" x14ac:dyDescent="0.25"/>
    <row r="15122" ht="15" customHeight="1" x14ac:dyDescent="0.25"/>
    <row r="15123" ht="15" customHeight="1" x14ac:dyDescent="0.25"/>
    <row r="15124" ht="15" customHeight="1" x14ac:dyDescent="0.25"/>
    <row r="15125" ht="15" customHeight="1" x14ac:dyDescent="0.25"/>
    <row r="15126" ht="15" customHeight="1" x14ac:dyDescent="0.25"/>
    <row r="15127" ht="15" customHeight="1" x14ac:dyDescent="0.25"/>
    <row r="15128" ht="15" customHeight="1" x14ac:dyDescent="0.25"/>
    <row r="15129" ht="15" customHeight="1" x14ac:dyDescent="0.25"/>
    <row r="15130" ht="15" customHeight="1" x14ac:dyDescent="0.25"/>
    <row r="15131" ht="15" customHeight="1" x14ac:dyDescent="0.25"/>
    <row r="15132" ht="15" customHeight="1" x14ac:dyDescent="0.25"/>
    <row r="15133" ht="15" customHeight="1" x14ac:dyDescent="0.25"/>
    <row r="15134" ht="15" customHeight="1" x14ac:dyDescent="0.25"/>
    <row r="15135" ht="15" customHeight="1" x14ac:dyDescent="0.25"/>
    <row r="15136" ht="15" customHeight="1" x14ac:dyDescent="0.25"/>
    <row r="15137" ht="15" customHeight="1" x14ac:dyDescent="0.25"/>
    <row r="15138" ht="15" customHeight="1" x14ac:dyDescent="0.25"/>
    <row r="15139" ht="15" customHeight="1" x14ac:dyDescent="0.25"/>
    <row r="15140" ht="15" customHeight="1" x14ac:dyDescent="0.25"/>
    <row r="15141" ht="15" customHeight="1" x14ac:dyDescent="0.25"/>
    <row r="15142" ht="15" customHeight="1" x14ac:dyDescent="0.25"/>
    <row r="15143" ht="15" customHeight="1" x14ac:dyDescent="0.25"/>
    <row r="15144" ht="15" customHeight="1" x14ac:dyDescent="0.25"/>
    <row r="15145" ht="15" customHeight="1" x14ac:dyDescent="0.25"/>
    <row r="15146" ht="15" customHeight="1" x14ac:dyDescent="0.25"/>
    <row r="15147" ht="15" customHeight="1" x14ac:dyDescent="0.25"/>
    <row r="15148" ht="15" customHeight="1" x14ac:dyDescent="0.25"/>
    <row r="15149" ht="15" customHeight="1" x14ac:dyDescent="0.25"/>
    <row r="15150" ht="15" customHeight="1" x14ac:dyDescent="0.25"/>
    <row r="15151" ht="15" customHeight="1" x14ac:dyDescent="0.25"/>
    <row r="15152" ht="15" customHeight="1" x14ac:dyDescent="0.25"/>
    <row r="15153" ht="15" customHeight="1" x14ac:dyDescent="0.25"/>
    <row r="15154" ht="15" customHeight="1" x14ac:dyDescent="0.25"/>
    <row r="15155" ht="15" customHeight="1" x14ac:dyDescent="0.25"/>
    <row r="15156" ht="15" customHeight="1" x14ac:dyDescent="0.25"/>
    <row r="15157" ht="15" customHeight="1" x14ac:dyDescent="0.25"/>
    <row r="15158" ht="15" customHeight="1" x14ac:dyDescent="0.25"/>
    <row r="15159" ht="15" customHeight="1" x14ac:dyDescent="0.25"/>
    <row r="15160" ht="15" customHeight="1" x14ac:dyDescent="0.25"/>
    <row r="15161" ht="15" customHeight="1" x14ac:dyDescent="0.25"/>
    <row r="15162" ht="15" customHeight="1" x14ac:dyDescent="0.25"/>
    <row r="15163" ht="15" customHeight="1" x14ac:dyDescent="0.25"/>
    <row r="15164" ht="15" customHeight="1" x14ac:dyDescent="0.25"/>
    <row r="15165" ht="15" customHeight="1" x14ac:dyDescent="0.25"/>
    <row r="15166" ht="15" customHeight="1" x14ac:dyDescent="0.25"/>
    <row r="15167" ht="15" customHeight="1" x14ac:dyDescent="0.25"/>
    <row r="15168" ht="15" customHeight="1" x14ac:dyDescent="0.25"/>
    <row r="15169" ht="15" customHeight="1" x14ac:dyDescent="0.25"/>
    <row r="15170" ht="15" customHeight="1" x14ac:dyDescent="0.25"/>
    <row r="15171" ht="15" customHeight="1" x14ac:dyDescent="0.25"/>
    <row r="15172" ht="15" customHeight="1" x14ac:dyDescent="0.25"/>
    <row r="15173" ht="15" customHeight="1" x14ac:dyDescent="0.25"/>
    <row r="15174" ht="15" customHeight="1" x14ac:dyDescent="0.25"/>
    <row r="15175" ht="15" customHeight="1" x14ac:dyDescent="0.25"/>
    <row r="15176" ht="15" customHeight="1" x14ac:dyDescent="0.25"/>
    <row r="15177" ht="15" customHeight="1" x14ac:dyDescent="0.25"/>
    <row r="15178" ht="15" customHeight="1" x14ac:dyDescent="0.25"/>
    <row r="15179" ht="15" customHeight="1" x14ac:dyDescent="0.25"/>
    <row r="15180" ht="15" customHeight="1" x14ac:dyDescent="0.25"/>
    <row r="15181" ht="15" customHeight="1" x14ac:dyDescent="0.25"/>
    <row r="15182" ht="15" customHeight="1" x14ac:dyDescent="0.25"/>
    <row r="15183" ht="15" customHeight="1" x14ac:dyDescent="0.25"/>
    <row r="15184" ht="15" customHeight="1" x14ac:dyDescent="0.25"/>
    <row r="15185" ht="15" customHeight="1" x14ac:dyDescent="0.25"/>
    <row r="15186" ht="15" customHeight="1" x14ac:dyDescent="0.25"/>
    <row r="15187" ht="15" customHeight="1" x14ac:dyDescent="0.25"/>
    <row r="15188" ht="15" customHeight="1" x14ac:dyDescent="0.25"/>
    <row r="15189" ht="15" customHeight="1" x14ac:dyDescent="0.25"/>
    <row r="15190" ht="15" customHeight="1" x14ac:dyDescent="0.25"/>
    <row r="15191" ht="15" customHeight="1" x14ac:dyDescent="0.25"/>
    <row r="15192" ht="15" customHeight="1" x14ac:dyDescent="0.25"/>
    <row r="15193" ht="15" customHeight="1" x14ac:dyDescent="0.25"/>
    <row r="15194" ht="15" customHeight="1" x14ac:dyDescent="0.25"/>
    <row r="15195" ht="15" customHeight="1" x14ac:dyDescent="0.25"/>
    <row r="15196" ht="15" customHeight="1" x14ac:dyDescent="0.25"/>
    <row r="15197" ht="15" customHeight="1" x14ac:dyDescent="0.25"/>
    <row r="15198" ht="15" customHeight="1" x14ac:dyDescent="0.25"/>
    <row r="15199" ht="15" customHeight="1" x14ac:dyDescent="0.25"/>
    <row r="15200" ht="15" customHeight="1" x14ac:dyDescent="0.25"/>
    <row r="15201" ht="15" customHeight="1" x14ac:dyDescent="0.25"/>
    <row r="15202" ht="15" customHeight="1" x14ac:dyDescent="0.25"/>
    <row r="15203" ht="15" customHeight="1" x14ac:dyDescent="0.25"/>
    <row r="15204" ht="15" customHeight="1" x14ac:dyDescent="0.25"/>
    <row r="15205" ht="15" customHeight="1" x14ac:dyDescent="0.25"/>
    <row r="15206" ht="15" customHeight="1" x14ac:dyDescent="0.25"/>
    <row r="15207" ht="15" customHeight="1" x14ac:dyDescent="0.25"/>
    <row r="15208" ht="15" customHeight="1" x14ac:dyDescent="0.25"/>
    <row r="15209" ht="15" customHeight="1" x14ac:dyDescent="0.25"/>
    <row r="15210" ht="15" customHeight="1" x14ac:dyDescent="0.25"/>
    <row r="15211" ht="15" customHeight="1" x14ac:dyDescent="0.25"/>
    <row r="15212" ht="15" customHeight="1" x14ac:dyDescent="0.25"/>
    <row r="15213" ht="15" customHeight="1" x14ac:dyDescent="0.25"/>
    <row r="15214" ht="15" customHeight="1" x14ac:dyDescent="0.25"/>
    <row r="15215" ht="15" customHeight="1" x14ac:dyDescent="0.25"/>
    <row r="15216" ht="15" customHeight="1" x14ac:dyDescent="0.25"/>
    <row r="15217" ht="15" customHeight="1" x14ac:dyDescent="0.25"/>
    <row r="15218" ht="15" customHeight="1" x14ac:dyDescent="0.25"/>
    <row r="15219" ht="15" customHeight="1" x14ac:dyDescent="0.25"/>
    <row r="15220" ht="15" customHeight="1" x14ac:dyDescent="0.25"/>
    <row r="15221" ht="15" customHeight="1" x14ac:dyDescent="0.25"/>
    <row r="15222" ht="15" customHeight="1" x14ac:dyDescent="0.25"/>
    <row r="15223" ht="15" customHeight="1" x14ac:dyDescent="0.25"/>
    <row r="15224" ht="15" customHeight="1" x14ac:dyDescent="0.25"/>
    <row r="15225" ht="15" customHeight="1" x14ac:dyDescent="0.25"/>
    <row r="15226" ht="15" customHeight="1" x14ac:dyDescent="0.25"/>
    <row r="15227" ht="15" customHeight="1" x14ac:dyDescent="0.25"/>
    <row r="15228" ht="15" customHeight="1" x14ac:dyDescent="0.25"/>
    <row r="15229" ht="15" customHeight="1" x14ac:dyDescent="0.25"/>
    <row r="15230" ht="15" customHeight="1" x14ac:dyDescent="0.25"/>
    <row r="15231" ht="15" customHeight="1" x14ac:dyDescent="0.25"/>
    <row r="15232" ht="15" customHeight="1" x14ac:dyDescent="0.25"/>
    <row r="15233" ht="15" customHeight="1" x14ac:dyDescent="0.25"/>
    <row r="15234" ht="15" customHeight="1" x14ac:dyDescent="0.25"/>
    <row r="15235" ht="15" customHeight="1" x14ac:dyDescent="0.25"/>
    <row r="15236" ht="15" customHeight="1" x14ac:dyDescent="0.25"/>
    <row r="15237" ht="15" customHeight="1" x14ac:dyDescent="0.25"/>
    <row r="15238" ht="15" customHeight="1" x14ac:dyDescent="0.25"/>
    <row r="15239" ht="15" customHeight="1" x14ac:dyDescent="0.25"/>
    <row r="15240" ht="15" customHeight="1" x14ac:dyDescent="0.25"/>
    <row r="15241" ht="15" customHeight="1" x14ac:dyDescent="0.25"/>
    <row r="15242" ht="15" customHeight="1" x14ac:dyDescent="0.25"/>
    <row r="15243" ht="15" customHeight="1" x14ac:dyDescent="0.25"/>
    <row r="15244" ht="15" customHeight="1" x14ac:dyDescent="0.25"/>
    <row r="15245" ht="15" customHeight="1" x14ac:dyDescent="0.25"/>
    <row r="15246" ht="15" customHeight="1" x14ac:dyDescent="0.25"/>
    <row r="15247" ht="15" customHeight="1" x14ac:dyDescent="0.25"/>
    <row r="15248" ht="15" customHeight="1" x14ac:dyDescent="0.25"/>
    <row r="15249" ht="15" customHeight="1" x14ac:dyDescent="0.25"/>
    <row r="15250" ht="15" customHeight="1" x14ac:dyDescent="0.25"/>
    <row r="15251" ht="15" customHeight="1" x14ac:dyDescent="0.25"/>
    <row r="15252" ht="15" customHeight="1" x14ac:dyDescent="0.25"/>
    <row r="15253" ht="15" customHeight="1" x14ac:dyDescent="0.25"/>
    <row r="15254" ht="15" customHeight="1" x14ac:dyDescent="0.25"/>
    <row r="15255" ht="15" customHeight="1" x14ac:dyDescent="0.25"/>
    <row r="15256" ht="15" customHeight="1" x14ac:dyDescent="0.25"/>
    <row r="15257" ht="15" customHeight="1" x14ac:dyDescent="0.25"/>
    <row r="15258" ht="15" customHeight="1" x14ac:dyDescent="0.25"/>
    <row r="15259" ht="15" customHeight="1" x14ac:dyDescent="0.25"/>
    <row r="15260" ht="15" customHeight="1" x14ac:dyDescent="0.25"/>
    <row r="15261" ht="15" customHeight="1" x14ac:dyDescent="0.25"/>
    <row r="15262" ht="15" customHeight="1" x14ac:dyDescent="0.25"/>
    <row r="15263" ht="15" customHeight="1" x14ac:dyDescent="0.25"/>
    <row r="15264" ht="15" customHeight="1" x14ac:dyDescent="0.25"/>
    <row r="15265" ht="15" customHeight="1" x14ac:dyDescent="0.25"/>
    <row r="15266" ht="15" customHeight="1" x14ac:dyDescent="0.25"/>
    <row r="15267" ht="15" customHeight="1" x14ac:dyDescent="0.25"/>
    <row r="15268" ht="15" customHeight="1" x14ac:dyDescent="0.25"/>
    <row r="15269" ht="15" customHeight="1" x14ac:dyDescent="0.25"/>
    <row r="15270" ht="15" customHeight="1" x14ac:dyDescent="0.25"/>
    <row r="15271" ht="15" customHeight="1" x14ac:dyDescent="0.25"/>
    <row r="15272" ht="15" customHeight="1" x14ac:dyDescent="0.25"/>
    <row r="15273" ht="15" customHeight="1" x14ac:dyDescent="0.25"/>
    <row r="15274" ht="15" customHeight="1" x14ac:dyDescent="0.25"/>
    <row r="15275" ht="15" customHeight="1" x14ac:dyDescent="0.25"/>
    <row r="15276" ht="15" customHeight="1" x14ac:dyDescent="0.25"/>
    <row r="15277" ht="15" customHeight="1" x14ac:dyDescent="0.25"/>
    <row r="15278" ht="15" customHeight="1" x14ac:dyDescent="0.25"/>
    <row r="15279" ht="15" customHeight="1" x14ac:dyDescent="0.25"/>
    <row r="15280" ht="15" customHeight="1" x14ac:dyDescent="0.25"/>
    <row r="15281" ht="15" customHeight="1" x14ac:dyDescent="0.25"/>
    <row r="15282" ht="15" customHeight="1" x14ac:dyDescent="0.25"/>
    <row r="15283" ht="15" customHeight="1" x14ac:dyDescent="0.25"/>
    <row r="15284" ht="15" customHeight="1" x14ac:dyDescent="0.25"/>
    <row r="15285" ht="15" customHeight="1" x14ac:dyDescent="0.25"/>
    <row r="15286" ht="15" customHeight="1" x14ac:dyDescent="0.25"/>
    <row r="15287" ht="15" customHeight="1" x14ac:dyDescent="0.25"/>
    <row r="15288" ht="15" customHeight="1" x14ac:dyDescent="0.25"/>
    <row r="15289" ht="15" customHeight="1" x14ac:dyDescent="0.25"/>
    <row r="15290" ht="15" customHeight="1" x14ac:dyDescent="0.25"/>
    <row r="15291" ht="15" customHeight="1" x14ac:dyDescent="0.25"/>
    <row r="15292" ht="15" customHeight="1" x14ac:dyDescent="0.25"/>
    <row r="15293" ht="15" customHeight="1" x14ac:dyDescent="0.25"/>
    <row r="15294" ht="15" customHeight="1" x14ac:dyDescent="0.25"/>
    <row r="15295" ht="15" customHeight="1" x14ac:dyDescent="0.25"/>
    <row r="15296" ht="15" customHeight="1" x14ac:dyDescent="0.25"/>
    <row r="15297" ht="15" customHeight="1" x14ac:dyDescent="0.25"/>
    <row r="15298" ht="15" customHeight="1" x14ac:dyDescent="0.25"/>
    <row r="15299" ht="15" customHeight="1" x14ac:dyDescent="0.25"/>
    <row r="15300" ht="15" customHeight="1" x14ac:dyDescent="0.25"/>
    <row r="15301" ht="15" customHeight="1" x14ac:dyDescent="0.25"/>
    <row r="15302" ht="15" customHeight="1" x14ac:dyDescent="0.25"/>
    <row r="15303" ht="15" customHeight="1" x14ac:dyDescent="0.25"/>
    <row r="15304" ht="15" customHeight="1" x14ac:dyDescent="0.25"/>
    <row r="15305" ht="15" customHeight="1" x14ac:dyDescent="0.25"/>
    <row r="15306" ht="15" customHeight="1" x14ac:dyDescent="0.25"/>
    <row r="15307" ht="15" customHeight="1" x14ac:dyDescent="0.25"/>
    <row r="15308" ht="15" customHeight="1" x14ac:dyDescent="0.25"/>
    <row r="15309" ht="15" customHeight="1" x14ac:dyDescent="0.25"/>
    <row r="15310" ht="15" customHeight="1" x14ac:dyDescent="0.25"/>
    <row r="15311" ht="15" customHeight="1" x14ac:dyDescent="0.25"/>
    <row r="15312" ht="15" customHeight="1" x14ac:dyDescent="0.25"/>
    <row r="15313" ht="15" customHeight="1" x14ac:dyDescent="0.25"/>
    <row r="15314" ht="15" customHeight="1" x14ac:dyDescent="0.25"/>
    <row r="15315" ht="15" customHeight="1" x14ac:dyDescent="0.25"/>
    <row r="15316" ht="15" customHeight="1" x14ac:dyDescent="0.25"/>
    <row r="15317" ht="15" customHeight="1" x14ac:dyDescent="0.25"/>
    <row r="15318" ht="15" customHeight="1" x14ac:dyDescent="0.25"/>
    <row r="15319" ht="15" customHeight="1" x14ac:dyDescent="0.25"/>
    <row r="15320" ht="15" customHeight="1" x14ac:dyDescent="0.25"/>
    <row r="15321" ht="15" customHeight="1" x14ac:dyDescent="0.25"/>
    <row r="15322" ht="15" customHeight="1" x14ac:dyDescent="0.25"/>
    <row r="15323" ht="15" customHeight="1" x14ac:dyDescent="0.25"/>
    <row r="15324" ht="15" customHeight="1" x14ac:dyDescent="0.25"/>
    <row r="15325" ht="15" customHeight="1" x14ac:dyDescent="0.25"/>
    <row r="15326" ht="15" customHeight="1" x14ac:dyDescent="0.25"/>
    <row r="15327" ht="15" customHeight="1" x14ac:dyDescent="0.25"/>
    <row r="15328" ht="15" customHeight="1" x14ac:dyDescent="0.25"/>
    <row r="15329" ht="15" customHeight="1" x14ac:dyDescent="0.25"/>
    <row r="15330" ht="15" customHeight="1" x14ac:dyDescent="0.25"/>
    <row r="15331" ht="15" customHeight="1" x14ac:dyDescent="0.25"/>
    <row r="15332" ht="15" customHeight="1" x14ac:dyDescent="0.25"/>
    <row r="15333" ht="15" customHeight="1" x14ac:dyDescent="0.25"/>
    <row r="15334" ht="15" customHeight="1" x14ac:dyDescent="0.25"/>
    <row r="15335" ht="15" customHeight="1" x14ac:dyDescent="0.25"/>
    <row r="15336" ht="15" customHeight="1" x14ac:dyDescent="0.25"/>
    <row r="15337" ht="15" customHeight="1" x14ac:dyDescent="0.25"/>
    <row r="15338" ht="15" customHeight="1" x14ac:dyDescent="0.25"/>
    <row r="15339" ht="15" customHeight="1" x14ac:dyDescent="0.25"/>
    <row r="15340" ht="15" customHeight="1" x14ac:dyDescent="0.25"/>
    <row r="15341" ht="15" customHeight="1" x14ac:dyDescent="0.25"/>
    <row r="15342" ht="15" customHeight="1" x14ac:dyDescent="0.25"/>
    <row r="15343" ht="15" customHeight="1" x14ac:dyDescent="0.25"/>
    <row r="15344" ht="15" customHeight="1" x14ac:dyDescent="0.25"/>
    <row r="15345" ht="15" customHeight="1" x14ac:dyDescent="0.25"/>
    <row r="15346" ht="15" customHeight="1" x14ac:dyDescent="0.25"/>
    <row r="15347" ht="15" customHeight="1" x14ac:dyDescent="0.25"/>
    <row r="15348" ht="15" customHeight="1" x14ac:dyDescent="0.25"/>
    <row r="15349" ht="15" customHeight="1" x14ac:dyDescent="0.25"/>
    <row r="15350" ht="15" customHeight="1" x14ac:dyDescent="0.25"/>
    <row r="15351" ht="15" customHeight="1" x14ac:dyDescent="0.25"/>
    <row r="15352" ht="15" customHeight="1" x14ac:dyDescent="0.25"/>
    <row r="15353" ht="15" customHeight="1" x14ac:dyDescent="0.25"/>
    <row r="15354" ht="15" customHeight="1" x14ac:dyDescent="0.25"/>
    <row r="15355" ht="15" customHeight="1" x14ac:dyDescent="0.25"/>
    <row r="15356" ht="15" customHeight="1" x14ac:dyDescent="0.25"/>
    <row r="15357" ht="15" customHeight="1" x14ac:dyDescent="0.25"/>
    <row r="15358" ht="15" customHeight="1" x14ac:dyDescent="0.25"/>
    <row r="15359" ht="15" customHeight="1" x14ac:dyDescent="0.25"/>
    <row r="15360" ht="15" customHeight="1" x14ac:dyDescent="0.25"/>
    <row r="15361" ht="15" customHeight="1" x14ac:dyDescent="0.25"/>
    <row r="15362" ht="15" customHeight="1" x14ac:dyDescent="0.25"/>
    <row r="15363" ht="15" customHeight="1" x14ac:dyDescent="0.25"/>
    <row r="15364" ht="15" customHeight="1" x14ac:dyDescent="0.25"/>
    <row r="15365" ht="15" customHeight="1" x14ac:dyDescent="0.25"/>
    <row r="15366" ht="15" customHeight="1" x14ac:dyDescent="0.25"/>
    <row r="15367" ht="15" customHeight="1" x14ac:dyDescent="0.25"/>
    <row r="15368" ht="15" customHeight="1" x14ac:dyDescent="0.25"/>
    <row r="15369" ht="15" customHeight="1" x14ac:dyDescent="0.25"/>
    <row r="15370" ht="15" customHeight="1" x14ac:dyDescent="0.25"/>
    <row r="15371" ht="15" customHeight="1" x14ac:dyDescent="0.25"/>
    <row r="15372" ht="15" customHeight="1" x14ac:dyDescent="0.25"/>
    <row r="15373" ht="15" customHeight="1" x14ac:dyDescent="0.25"/>
    <row r="15374" ht="15" customHeight="1" x14ac:dyDescent="0.25"/>
    <row r="15375" ht="15" customHeight="1" x14ac:dyDescent="0.25"/>
    <row r="15376" ht="15" customHeight="1" x14ac:dyDescent="0.25"/>
    <row r="15377" ht="15" customHeight="1" x14ac:dyDescent="0.25"/>
    <row r="15378" ht="15" customHeight="1" x14ac:dyDescent="0.25"/>
    <row r="15379" ht="15" customHeight="1" x14ac:dyDescent="0.25"/>
    <row r="15380" ht="15" customHeight="1" x14ac:dyDescent="0.25"/>
    <row r="15381" ht="15" customHeight="1" x14ac:dyDescent="0.25"/>
    <row r="15382" ht="15" customHeight="1" x14ac:dyDescent="0.25"/>
    <row r="15383" ht="15" customHeight="1" x14ac:dyDescent="0.25"/>
    <row r="15384" ht="15" customHeight="1" x14ac:dyDescent="0.25"/>
    <row r="15385" ht="15" customHeight="1" x14ac:dyDescent="0.25"/>
    <row r="15386" ht="15" customHeight="1" x14ac:dyDescent="0.25"/>
    <row r="15387" ht="15" customHeight="1" x14ac:dyDescent="0.25"/>
    <row r="15388" ht="15" customHeight="1" x14ac:dyDescent="0.25"/>
    <row r="15389" ht="15" customHeight="1" x14ac:dyDescent="0.25"/>
    <row r="15390" ht="15" customHeight="1" x14ac:dyDescent="0.25"/>
    <row r="15391" ht="15" customHeight="1" x14ac:dyDescent="0.25"/>
    <row r="15392" ht="15" customHeight="1" x14ac:dyDescent="0.25"/>
    <row r="15393" ht="15" customHeight="1" x14ac:dyDescent="0.25"/>
    <row r="15394" ht="15" customHeight="1" x14ac:dyDescent="0.25"/>
    <row r="15395" ht="15" customHeight="1" x14ac:dyDescent="0.25"/>
    <row r="15396" ht="15" customHeight="1" x14ac:dyDescent="0.25"/>
    <row r="15397" ht="15" customHeight="1" x14ac:dyDescent="0.25"/>
    <row r="15398" ht="15" customHeight="1" x14ac:dyDescent="0.25"/>
    <row r="15399" ht="15" customHeight="1" x14ac:dyDescent="0.25"/>
    <row r="15400" ht="15" customHeight="1" x14ac:dyDescent="0.25"/>
    <row r="15401" ht="15" customHeight="1" x14ac:dyDescent="0.25"/>
    <row r="15402" ht="15" customHeight="1" x14ac:dyDescent="0.25"/>
    <row r="15403" ht="15" customHeight="1" x14ac:dyDescent="0.25"/>
    <row r="15404" ht="15" customHeight="1" x14ac:dyDescent="0.25"/>
    <row r="15405" ht="15" customHeight="1" x14ac:dyDescent="0.25"/>
    <row r="15406" ht="15" customHeight="1" x14ac:dyDescent="0.25"/>
    <row r="15407" ht="15" customHeight="1" x14ac:dyDescent="0.25"/>
    <row r="15408" ht="15" customHeight="1" x14ac:dyDescent="0.25"/>
    <row r="15409" ht="15" customHeight="1" x14ac:dyDescent="0.25"/>
    <row r="15410" ht="15" customHeight="1" x14ac:dyDescent="0.25"/>
    <row r="15411" ht="15" customHeight="1" x14ac:dyDescent="0.25"/>
    <row r="15412" ht="15" customHeight="1" x14ac:dyDescent="0.25"/>
    <row r="15413" ht="15" customHeight="1" x14ac:dyDescent="0.25"/>
    <row r="15414" ht="15" customHeight="1" x14ac:dyDescent="0.25"/>
    <row r="15415" ht="15" customHeight="1" x14ac:dyDescent="0.25"/>
    <row r="15416" ht="15" customHeight="1" x14ac:dyDescent="0.25"/>
    <row r="15417" ht="15" customHeight="1" x14ac:dyDescent="0.25"/>
    <row r="15418" ht="15" customHeight="1" x14ac:dyDescent="0.25"/>
    <row r="15419" ht="15" customHeight="1" x14ac:dyDescent="0.25"/>
    <row r="15420" ht="15" customHeight="1" x14ac:dyDescent="0.25"/>
    <row r="15421" ht="15" customHeight="1" x14ac:dyDescent="0.25"/>
    <row r="15422" ht="15" customHeight="1" x14ac:dyDescent="0.25"/>
    <row r="15423" ht="15" customHeight="1" x14ac:dyDescent="0.25"/>
    <row r="15424" ht="15" customHeight="1" x14ac:dyDescent="0.25"/>
    <row r="15425" ht="15" customHeight="1" x14ac:dyDescent="0.25"/>
    <row r="15426" ht="15" customHeight="1" x14ac:dyDescent="0.25"/>
    <row r="15427" ht="15" customHeight="1" x14ac:dyDescent="0.25"/>
    <row r="15428" ht="15" customHeight="1" x14ac:dyDescent="0.25"/>
    <row r="15429" ht="15" customHeight="1" x14ac:dyDescent="0.25"/>
    <row r="15430" ht="15" customHeight="1" x14ac:dyDescent="0.25"/>
    <row r="15431" ht="15" customHeight="1" x14ac:dyDescent="0.25"/>
    <row r="15432" ht="15" customHeight="1" x14ac:dyDescent="0.25"/>
    <row r="15433" ht="15" customHeight="1" x14ac:dyDescent="0.25"/>
    <row r="15434" ht="15" customHeight="1" x14ac:dyDescent="0.25"/>
    <row r="15435" ht="15" customHeight="1" x14ac:dyDescent="0.25"/>
    <row r="15436" ht="15" customHeight="1" x14ac:dyDescent="0.25"/>
    <row r="15437" ht="15" customHeight="1" x14ac:dyDescent="0.25"/>
    <row r="15438" ht="15" customHeight="1" x14ac:dyDescent="0.25"/>
    <row r="15439" ht="15" customHeight="1" x14ac:dyDescent="0.25"/>
    <row r="15440" ht="15" customHeight="1" x14ac:dyDescent="0.25"/>
    <row r="15441" ht="15" customHeight="1" x14ac:dyDescent="0.25"/>
    <row r="15442" ht="15" customHeight="1" x14ac:dyDescent="0.25"/>
    <row r="15443" ht="15" customHeight="1" x14ac:dyDescent="0.25"/>
    <row r="15444" ht="15" customHeight="1" x14ac:dyDescent="0.25"/>
    <row r="15445" ht="15" customHeight="1" x14ac:dyDescent="0.25"/>
    <row r="15446" ht="15" customHeight="1" x14ac:dyDescent="0.25"/>
    <row r="15447" ht="15" customHeight="1" x14ac:dyDescent="0.25"/>
    <row r="15448" ht="15" customHeight="1" x14ac:dyDescent="0.25"/>
    <row r="15449" ht="15" customHeight="1" x14ac:dyDescent="0.25"/>
    <row r="15450" ht="15" customHeight="1" x14ac:dyDescent="0.25"/>
    <row r="15451" ht="15" customHeight="1" x14ac:dyDescent="0.25"/>
    <row r="15452" ht="15" customHeight="1" x14ac:dyDescent="0.25"/>
    <row r="15453" ht="15" customHeight="1" x14ac:dyDescent="0.25"/>
    <row r="15454" ht="15" customHeight="1" x14ac:dyDescent="0.25"/>
    <row r="15455" ht="15" customHeight="1" x14ac:dyDescent="0.25"/>
    <row r="15456" ht="15" customHeight="1" x14ac:dyDescent="0.25"/>
    <row r="15457" ht="15" customHeight="1" x14ac:dyDescent="0.25"/>
    <row r="15458" ht="15" customHeight="1" x14ac:dyDescent="0.25"/>
    <row r="15459" ht="15" customHeight="1" x14ac:dyDescent="0.25"/>
    <row r="15460" ht="15" customHeight="1" x14ac:dyDescent="0.25"/>
    <row r="15461" ht="15" customHeight="1" x14ac:dyDescent="0.25"/>
    <row r="15462" ht="15" customHeight="1" x14ac:dyDescent="0.25"/>
    <row r="15463" ht="15" customHeight="1" x14ac:dyDescent="0.25"/>
    <row r="15464" ht="15" customHeight="1" x14ac:dyDescent="0.25"/>
    <row r="15465" ht="15" customHeight="1" x14ac:dyDescent="0.25"/>
    <row r="15466" ht="15" customHeight="1" x14ac:dyDescent="0.25"/>
    <row r="15467" ht="15" customHeight="1" x14ac:dyDescent="0.25"/>
    <row r="15468" ht="15" customHeight="1" x14ac:dyDescent="0.25"/>
    <row r="15469" ht="15" customHeight="1" x14ac:dyDescent="0.25"/>
    <row r="15470" ht="15" customHeight="1" x14ac:dyDescent="0.25"/>
    <row r="15471" ht="15" customHeight="1" x14ac:dyDescent="0.25"/>
    <row r="15472" ht="15" customHeight="1" x14ac:dyDescent="0.25"/>
    <row r="15473" ht="15" customHeight="1" x14ac:dyDescent="0.25"/>
    <row r="15474" ht="15" customHeight="1" x14ac:dyDescent="0.25"/>
    <row r="15475" ht="15" customHeight="1" x14ac:dyDescent="0.25"/>
    <row r="15476" ht="15" customHeight="1" x14ac:dyDescent="0.25"/>
    <row r="15477" ht="15" customHeight="1" x14ac:dyDescent="0.25"/>
    <row r="15478" ht="15" customHeight="1" x14ac:dyDescent="0.25"/>
    <row r="15479" ht="15" customHeight="1" x14ac:dyDescent="0.25"/>
    <row r="15480" ht="15" customHeight="1" x14ac:dyDescent="0.25"/>
    <row r="15481" ht="15" customHeight="1" x14ac:dyDescent="0.25"/>
    <row r="15482" ht="15" customHeight="1" x14ac:dyDescent="0.25"/>
    <row r="15483" ht="15" customHeight="1" x14ac:dyDescent="0.25"/>
    <row r="15484" ht="15" customHeight="1" x14ac:dyDescent="0.25"/>
    <row r="15485" ht="15" customHeight="1" x14ac:dyDescent="0.25"/>
    <row r="15486" ht="15" customHeight="1" x14ac:dyDescent="0.25"/>
    <row r="15487" ht="15" customHeight="1" x14ac:dyDescent="0.25"/>
    <row r="15488" ht="15" customHeight="1" x14ac:dyDescent="0.25"/>
    <row r="15489" ht="15" customHeight="1" x14ac:dyDescent="0.25"/>
    <row r="15490" ht="15" customHeight="1" x14ac:dyDescent="0.25"/>
    <row r="15491" ht="15" customHeight="1" x14ac:dyDescent="0.25"/>
    <row r="15492" ht="15" customHeight="1" x14ac:dyDescent="0.25"/>
    <row r="15493" ht="15" customHeight="1" x14ac:dyDescent="0.25"/>
    <row r="15494" ht="15" customHeight="1" x14ac:dyDescent="0.25"/>
    <row r="15495" ht="15" customHeight="1" x14ac:dyDescent="0.25"/>
    <row r="15496" ht="15" customHeight="1" x14ac:dyDescent="0.25"/>
    <row r="15497" ht="15" customHeight="1" x14ac:dyDescent="0.25"/>
    <row r="15498" ht="15" customHeight="1" x14ac:dyDescent="0.25"/>
    <row r="15499" ht="15" customHeight="1" x14ac:dyDescent="0.25"/>
    <row r="15500" ht="15" customHeight="1" x14ac:dyDescent="0.25"/>
    <row r="15501" ht="15" customHeight="1" x14ac:dyDescent="0.25"/>
    <row r="15502" ht="15" customHeight="1" x14ac:dyDescent="0.25"/>
    <row r="15503" ht="15" customHeight="1" x14ac:dyDescent="0.25"/>
    <row r="15504" ht="15" customHeight="1" x14ac:dyDescent="0.25"/>
    <row r="15505" ht="15" customHeight="1" x14ac:dyDescent="0.25"/>
    <row r="15506" ht="15" customHeight="1" x14ac:dyDescent="0.25"/>
    <row r="15507" ht="15" customHeight="1" x14ac:dyDescent="0.25"/>
    <row r="15508" ht="15" customHeight="1" x14ac:dyDescent="0.25"/>
    <row r="15509" ht="15" customHeight="1" x14ac:dyDescent="0.25"/>
    <row r="15510" ht="15" customHeight="1" x14ac:dyDescent="0.25"/>
    <row r="15511" ht="15" customHeight="1" x14ac:dyDescent="0.25"/>
    <row r="15512" ht="15" customHeight="1" x14ac:dyDescent="0.25"/>
    <row r="15513" ht="15" customHeight="1" x14ac:dyDescent="0.25"/>
    <row r="15514" ht="15" customHeight="1" x14ac:dyDescent="0.25"/>
    <row r="15515" ht="15" customHeight="1" x14ac:dyDescent="0.25"/>
    <row r="15516" ht="15" customHeight="1" x14ac:dyDescent="0.25"/>
    <row r="15517" ht="15" customHeight="1" x14ac:dyDescent="0.25"/>
    <row r="15518" ht="15" customHeight="1" x14ac:dyDescent="0.25"/>
    <row r="15519" ht="15" customHeight="1" x14ac:dyDescent="0.25"/>
    <row r="15520" ht="15" customHeight="1" x14ac:dyDescent="0.25"/>
    <row r="15521" ht="15" customHeight="1" x14ac:dyDescent="0.25"/>
    <row r="15522" ht="15" customHeight="1" x14ac:dyDescent="0.25"/>
    <row r="15523" ht="15" customHeight="1" x14ac:dyDescent="0.25"/>
    <row r="15524" ht="15" customHeight="1" x14ac:dyDescent="0.25"/>
    <row r="15525" ht="15" customHeight="1" x14ac:dyDescent="0.25"/>
    <row r="15526" ht="15" customHeight="1" x14ac:dyDescent="0.25"/>
    <row r="15527" ht="15" customHeight="1" x14ac:dyDescent="0.25"/>
    <row r="15528" ht="15" customHeight="1" x14ac:dyDescent="0.25"/>
    <row r="15529" ht="15" customHeight="1" x14ac:dyDescent="0.25"/>
    <row r="15530" ht="15" customHeight="1" x14ac:dyDescent="0.25"/>
    <row r="15531" ht="15" customHeight="1" x14ac:dyDescent="0.25"/>
    <row r="15532" ht="15" customHeight="1" x14ac:dyDescent="0.25"/>
    <row r="15533" ht="15" customHeight="1" x14ac:dyDescent="0.25"/>
    <row r="15534" ht="15" customHeight="1" x14ac:dyDescent="0.25"/>
    <row r="15535" ht="15" customHeight="1" x14ac:dyDescent="0.25"/>
    <row r="15536" ht="15" customHeight="1" x14ac:dyDescent="0.25"/>
    <row r="15537" ht="15" customHeight="1" x14ac:dyDescent="0.25"/>
    <row r="15538" ht="15" customHeight="1" x14ac:dyDescent="0.25"/>
    <row r="15539" ht="15" customHeight="1" x14ac:dyDescent="0.25"/>
    <row r="15540" ht="15" customHeight="1" x14ac:dyDescent="0.25"/>
    <row r="15541" ht="15" customHeight="1" x14ac:dyDescent="0.25"/>
    <row r="15542" ht="15" customHeight="1" x14ac:dyDescent="0.25"/>
    <row r="15543" ht="15" customHeight="1" x14ac:dyDescent="0.25"/>
    <row r="15544" ht="15" customHeight="1" x14ac:dyDescent="0.25"/>
    <row r="15545" ht="15" customHeight="1" x14ac:dyDescent="0.25"/>
    <row r="15546" ht="15" customHeight="1" x14ac:dyDescent="0.25"/>
    <row r="15547" ht="15" customHeight="1" x14ac:dyDescent="0.25"/>
    <row r="15548" ht="15" customHeight="1" x14ac:dyDescent="0.25"/>
    <row r="15549" ht="15" customHeight="1" x14ac:dyDescent="0.25"/>
    <row r="15550" ht="15" customHeight="1" x14ac:dyDescent="0.25"/>
    <row r="15551" ht="15" customHeight="1" x14ac:dyDescent="0.25"/>
    <row r="15552" ht="15" customHeight="1" x14ac:dyDescent="0.25"/>
    <row r="15553" ht="15" customHeight="1" x14ac:dyDescent="0.25"/>
    <row r="15554" ht="15" customHeight="1" x14ac:dyDescent="0.25"/>
    <row r="15555" ht="15" customHeight="1" x14ac:dyDescent="0.25"/>
    <row r="15556" ht="15" customHeight="1" x14ac:dyDescent="0.25"/>
    <row r="15557" ht="15" customHeight="1" x14ac:dyDescent="0.25"/>
    <row r="15558" ht="15" customHeight="1" x14ac:dyDescent="0.25"/>
    <row r="15559" ht="15" customHeight="1" x14ac:dyDescent="0.25"/>
    <row r="15560" ht="15" customHeight="1" x14ac:dyDescent="0.25"/>
    <row r="15561" ht="15" customHeight="1" x14ac:dyDescent="0.25"/>
    <row r="15562" ht="15" customHeight="1" x14ac:dyDescent="0.25"/>
    <row r="15563" ht="15" customHeight="1" x14ac:dyDescent="0.25"/>
    <row r="15564" ht="15" customHeight="1" x14ac:dyDescent="0.25"/>
    <row r="15565" ht="15" customHeight="1" x14ac:dyDescent="0.25"/>
    <row r="15566" ht="15" customHeight="1" x14ac:dyDescent="0.25"/>
    <row r="15567" ht="15" customHeight="1" x14ac:dyDescent="0.25"/>
    <row r="15568" ht="15" customHeight="1" x14ac:dyDescent="0.25"/>
    <row r="15569" ht="15" customHeight="1" x14ac:dyDescent="0.25"/>
    <row r="15570" ht="15" customHeight="1" x14ac:dyDescent="0.25"/>
    <row r="15571" ht="15" customHeight="1" x14ac:dyDescent="0.25"/>
    <row r="15572" ht="15" customHeight="1" x14ac:dyDescent="0.25"/>
    <row r="15573" ht="15" customHeight="1" x14ac:dyDescent="0.25"/>
    <row r="15574" ht="15" customHeight="1" x14ac:dyDescent="0.25"/>
    <row r="15575" ht="15" customHeight="1" x14ac:dyDescent="0.25"/>
    <row r="15576" ht="15" customHeight="1" x14ac:dyDescent="0.25"/>
    <row r="15577" ht="15" customHeight="1" x14ac:dyDescent="0.25"/>
    <row r="15578" ht="15" customHeight="1" x14ac:dyDescent="0.25"/>
    <row r="15579" ht="15" customHeight="1" x14ac:dyDescent="0.25"/>
    <row r="15580" ht="15" customHeight="1" x14ac:dyDescent="0.25"/>
    <row r="15581" ht="15" customHeight="1" x14ac:dyDescent="0.25"/>
    <row r="15582" ht="15" customHeight="1" x14ac:dyDescent="0.25"/>
    <row r="15583" ht="15" customHeight="1" x14ac:dyDescent="0.25"/>
    <row r="15584" ht="15" customHeight="1" x14ac:dyDescent="0.25"/>
    <row r="15585" ht="15" customHeight="1" x14ac:dyDescent="0.25"/>
    <row r="15586" ht="15" customHeight="1" x14ac:dyDescent="0.25"/>
    <row r="15587" ht="15" customHeight="1" x14ac:dyDescent="0.25"/>
    <row r="15588" ht="15" customHeight="1" x14ac:dyDescent="0.25"/>
    <row r="15589" ht="15" customHeight="1" x14ac:dyDescent="0.25"/>
    <row r="15590" ht="15" customHeight="1" x14ac:dyDescent="0.25"/>
    <row r="15591" ht="15" customHeight="1" x14ac:dyDescent="0.25"/>
    <row r="15592" ht="15" customHeight="1" x14ac:dyDescent="0.25"/>
    <row r="15593" ht="15" customHeight="1" x14ac:dyDescent="0.25"/>
    <row r="15594" ht="15" customHeight="1" x14ac:dyDescent="0.25"/>
    <row r="15595" ht="15" customHeight="1" x14ac:dyDescent="0.25"/>
    <row r="15596" ht="15" customHeight="1" x14ac:dyDescent="0.25"/>
    <row r="15597" ht="15" customHeight="1" x14ac:dyDescent="0.25"/>
    <row r="15598" ht="15" customHeight="1" x14ac:dyDescent="0.25"/>
    <row r="15599" ht="15" customHeight="1" x14ac:dyDescent="0.25"/>
    <row r="15600" ht="15" customHeight="1" x14ac:dyDescent="0.25"/>
    <row r="15601" ht="15" customHeight="1" x14ac:dyDescent="0.25"/>
    <row r="15602" ht="15" customHeight="1" x14ac:dyDescent="0.25"/>
    <row r="15603" ht="15" customHeight="1" x14ac:dyDescent="0.25"/>
    <row r="15604" ht="15" customHeight="1" x14ac:dyDescent="0.25"/>
    <row r="15605" ht="15" customHeight="1" x14ac:dyDescent="0.25"/>
    <row r="15606" ht="15" customHeight="1" x14ac:dyDescent="0.25"/>
    <row r="15607" ht="15" customHeight="1" x14ac:dyDescent="0.25"/>
    <row r="15608" ht="15" customHeight="1" x14ac:dyDescent="0.25"/>
    <row r="15609" ht="15" customHeight="1" x14ac:dyDescent="0.25"/>
    <row r="15610" ht="15" customHeight="1" x14ac:dyDescent="0.25"/>
    <row r="15611" ht="15" customHeight="1" x14ac:dyDescent="0.25"/>
    <row r="15612" ht="15" customHeight="1" x14ac:dyDescent="0.25"/>
    <row r="15613" ht="15" customHeight="1" x14ac:dyDescent="0.25"/>
    <row r="15614" ht="15" customHeight="1" x14ac:dyDescent="0.25"/>
    <row r="15615" ht="15" customHeight="1" x14ac:dyDescent="0.25"/>
    <row r="15616" ht="15" customHeight="1" x14ac:dyDescent="0.25"/>
    <row r="15617" ht="15" customHeight="1" x14ac:dyDescent="0.25"/>
    <row r="15618" ht="15" customHeight="1" x14ac:dyDescent="0.25"/>
    <row r="15619" ht="15" customHeight="1" x14ac:dyDescent="0.25"/>
    <row r="15620" ht="15" customHeight="1" x14ac:dyDescent="0.25"/>
    <row r="15621" ht="15" customHeight="1" x14ac:dyDescent="0.25"/>
    <row r="15622" ht="15" customHeight="1" x14ac:dyDescent="0.25"/>
    <row r="15623" ht="15" customHeight="1" x14ac:dyDescent="0.25"/>
    <row r="15624" ht="15" customHeight="1" x14ac:dyDescent="0.25"/>
    <row r="15625" ht="15" customHeight="1" x14ac:dyDescent="0.25"/>
    <row r="15626" ht="15" customHeight="1" x14ac:dyDescent="0.25"/>
    <row r="15627" ht="15" customHeight="1" x14ac:dyDescent="0.25"/>
    <row r="15628" ht="15" customHeight="1" x14ac:dyDescent="0.25"/>
    <row r="15629" ht="15" customHeight="1" x14ac:dyDescent="0.25"/>
    <row r="15630" ht="15" customHeight="1" x14ac:dyDescent="0.25"/>
    <row r="15631" ht="15" customHeight="1" x14ac:dyDescent="0.25"/>
    <row r="15632" ht="15" customHeight="1" x14ac:dyDescent="0.25"/>
    <row r="15633" ht="15" customHeight="1" x14ac:dyDescent="0.25"/>
    <row r="15634" ht="15" customHeight="1" x14ac:dyDescent="0.25"/>
    <row r="15635" ht="15" customHeight="1" x14ac:dyDescent="0.25"/>
    <row r="15636" ht="15" customHeight="1" x14ac:dyDescent="0.25"/>
    <row r="15637" ht="15" customHeight="1" x14ac:dyDescent="0.25"/>
    <row r="15638" ht="15" customHeight="1" x14ac:dyDescent="0.25"/>
    <row r="15639" ht="15" customHeight="1" x14ac:dyDescent="0.25"/>
    <row r="15640" ht="15" customHeight="1" x14ac:dyDescent="0.25"/>
    <row r="15641" ht="15" customHeight="1" x14ac:dyDescent="0.25"/>
    <row r="15642" ht="15" customHeight="1" x14ac:dyDescent="0.25"/>
    <row r="15643" ht="15" customHeight="1" x14ac:dyDescent="0.25"/>
    <row r="15644" ht="15" customHeight="1" x14ac:dyDescent="0.25"/>
    <row r="15645" ht="15" customHeight="1" x14ac:dyDescent="0.25"/>
    <row r="15646" ht="15" customHeight="1" x14ac:dyDescent="0.25"/>
    <row r="15647" ht="15" customHeight="1" x14ac:dyDescent="0.25"/>
    <row r="15648" ht="15" customHeight="1" x14ac:dyDescent="0.25"/>
    <row r="15649" ht="15" customHeight="1" x14ac:dyDescent="0.25"/>
    <row r="15650" ht="15" customHeight="1" x14ac:dyDescent="0.25"/>
    <row r="15651" ht="15" customHeight="1" x14ac:dyDescent="0.25"/>
    <row r="15652" ht="15" customHeight="1" x14ac:dyDescent="0.25"/>
    <row r="15653" ht="15" customHeight="1" x14ac:dyDescent="0.25"/>
    <row r="15654" ht="15" customHeight="1" x14ac:dyDescent="0.25"/>
    <row r="15655" ht="15" customHeight="1" x14ac:dyDescent="0.25"/>
    <row r="15656" ht="15" customHeight="1" x14ac:dyDescent="0.25"/>
    <row r="15657" ht="15" customHeight="1" x14ac:dyDescent="0.25"/>
    <row r="15658" ht="15" customHeight="1" x14ac:dyDescent="0.25"/>
    <row r="15659" ht="15" customHeight="1" x14ac:dyDescent="0.25"/>
    <row r="15660" ht="15" customHeight="1" x14ac:dyDescent="0.25"/>
    <row r="15661" ht="15" customHeight="1" x14ac:dyDescent="0.25"/>
    <row r="15662" ht="15" customHeight="1" x14ac:dyDescent="0.25"/>
    <row r="15663" ht="15" customHeight="1" x14ac:dyDescent="0.25"/>
    <row r="15664" ht="15" customHeight="1" x14ac:dyDescent="0.25"/>
    <row r="15665" ht="15" customHeight="1" x14ac:dyDescent="0.25"/>
    <row r="15666" ht="15" customHeight="1" x14ac:dyDescent="0.25"/>
    <row r="15667" ht="15" customHeight="1" x14ac:dyDescent="0.25"/>
    <row r="15668" ht="15" customHeight="1" x14ac:dyDescent="0.25"/>
    <row r="15669" ht="15" customHeight="1" x14ac:dyDescent="0.25"/>
    <row r="15670" ht="15" customHeight="1" x14ac:dyDescent="0.25"/>
    <row r="15671" ht="15" customHeight="1" x14ac:dyDescent="0.25"/>
    <row r="15672" ht="15" customHeight="1" x14ac:dyDescent="0.25"/>
    <row r="15673" ht="15" customHeight="1" x14ac:dyDescent="0.25"/>
    <row r="15674" ht="15" customHeight="1" x14ac:dyDescent="0.25"/>
    <row r="15675" ht="15" customHeight="1" x14ac:dyDescent="0.25"/>
    <row r="15676" ht="15" customHeight="1" x14ac:dyDescent="0.25"/>
    <row r="15677" ht="15" customHeight="1" x14ac:dyDescent="0.25"/>
    <row r="15678" ht="15" customHeight="1" x14ac:dyDescent="0.25"/>
    <row r="15679" ht="15" customHeight="1" x14ac:dyDescent="0.25"/>
    <row r="15680" ht="15" customHeight="1" x14ac:dyDescent="0.25"/>
    <row r="15681" ht="15" customHeight="1" x14ac:dyDescent="0.25"/>
    <row r="15682" ht="15" customHeight="1" x14ac:dyDescent="0.25"/>
    <row r="15683" ht="15" customHeight="1" x14ac:dyDescent="0.25"/>
    <row r="15684" ht="15" customHeight="1" x14ac:dyDescent="0.25"/>
    <row r="15685" ht="15" customHeight="1" x14ac:dyDescent="0.25"/>
    <row r="15686" ht="15" customHeight="1" x14ac:dyDescent="0.25"/>
    <row r="15687" ht="15" customHeight="1" x14ac:dyDescent="0.25"/>
    <row r="15688" ht="15" customHeight="1" x14ac:dyDescent="0.25"/>
    <row r="15689" ht="15" customHeight="1" x14ac:dyDescent="0.25"/>
    <row r="15690" ht="15" customHeight="1" x14ac:dyDescent="0.25"/>
    <row r="15691" ht="15" customHeight="1" x14ac:dyDescent="0.25"/>
    <row r="15692" ht="15" customHeight="1" x14ac:dyDescent="0.25"/>
    <row r="15693" ht="15" customHeight="1" x14ac:dyDescent="0.25"/>
    <row r="15694" ht="15" customHeight="1" x14ac:dyDescent="0.25"/>
    <row r="15695" ht="15" customHeight="1" x14ac:dyDescent="0.25"/>
    <row r="15696" ht="15" customHeight="1" x14ac:dyDescent="0.25"/>
    <row r="15697" ht="15" customHeight="1" x14ac:dyDescent="0.25"/>
    <row r="15698" ht="15" customHeight="1" x14ac:dyDescent="0.25"/>
    <row r="15699" ht="15" customHeight="1" x14ac:dyDescent="0.25"/>
    <row r="15700" ht="15" customHeight="1" x14ac:dyDescent="0.25"/>
    <row r="15701" ht="15" customHeight="1" x14ac:dyDescent="0.25"/>
    <row r="15702" ht="15" customHeight="1" x14ac:dyDescent="0.25"/>
    <row r="15703" ht="15" customHeight="1" x14ac:dyDescent="0.25"/>
    <row r="15704" ht="15" customHeight="1" x14ac:dyDescent="0.25"/>
    <row r="15705" ht="15" customHeight="1" x14ac:dyDescent="0.25"/>
    <row r="15706" ht="15" customHeight="1" x14ac:dyDescent="0.25"/>
    <row r="15707" ht="15" customHeight="1" x14ac:dyDescent="0.25"/>
    <row r="15708" ht="15" customHeight="1" x14ac:dyDescent="0.25"/>
    <row r="15709" ht="15" customHeight="1" x14ac:dyDescent="0.25"/>
    <row r="15710" ht="15" customHeight="1" x14ac:dyDescent="0.25"/>
    <row r="15711" ht="15" customHeight="1" x14ac:dyDescent="0.25"/>
    <row r="15712" ht="15" customHeight="1" x14ac:dyDescent="0.25"/>
    <row r="15713" ht="15" customHeight="1" x14ac:dyDescent="0.25"/>
    <row r="15714" ht="15" customHeight="1" x14ac:dyDescent="0.25"/>
    <row r="15715" ht="15" customHeight="1" x14ac:dyDescent="0.25"/>
    <row r="15716" ht="15" customHeight="1" x14ac:dyDescent="0.25"/>
    <row r="15717" ht="15" customHeight="1" x14ac:dyDescent="0.25"/>
    <row r="15718" ht="15" customHeight="1" x14ac:dyDescent="0.25"/>
    <row r="15719" ht="15" customHeight="1" x14ac:dyDescent="0.25"/>
    <row r="15720" ht="15" customHeight="1" x14ac:dyDescent="0.25"/>
    <row r="15721" ht="15" customHeight="1" x14ac:dyDescent="0.25"/>
    <row r="15722" ht="15" customHeight="1" x14ac:dyDescent="0.25"/>
    <row r="15723" ht="15" customHeight="1" x14ac:dyDescent="0.25"/>
    <row r="15724" ht="15" customHeight="1" x14ac:dyDescent="0.25"/>
    <row r="15725" ht="15" customHeight="1" x14ac:dyDescent="0.25"/>
    <row r="15726" ht="15" customHeight="1" x14ac:dyDescent="0.25"/>
    <row r="15727" ht="15" customHeight="1" x14ac:dyDescent="0.25"/>
    <row r="15728" ht="15" customHeight="1" x14ac:dyDescent="0.25"/>
    <row r="15729" ht="15" customHeight="1" x14ac:dyDescent="0.25"/>
    <row r="15730" ht="15" customHeight="1" x14ac:dyDescent="0.25"/>
    <row r="15731" ht="15" customHeight="1" x14ac:dyDescent="0.25"/>
    <row r="15732" ht="15" customHeight="1" x14ac:dyDescent="0.25"/>
    <row r="15733" ht="15" customHeight="1" x14ac:dyDescent="0.25"/>
    <row r="15734" ht="15" customHeight="1" x14ac:dyDescent="0.25"/>
    <row r="15735" ht="15" customHeight="1" x14ac:dyDescent="0.25"/>
    <row r="15736" ht="15" customHeight="1" x14ac:dyDescent="0.25"/>
    <row r="15737" ht="15" customHeight="1" x14ac:dyDescent="0.25"/>
    <row r="15738" ht="15" customHeight="1" x14ac:dyDescent="0.25"/>
    <row r="15739" ht="15" customHeight="1" x14ac:dyDescent="0.25"/>
    <row r="15740" ht="15" customHeight="1" x14ac:dyDescent="0.25"/>
    <row r="15741" ht="15" customHeight="1" x14ac:dyDescent="0.25"/>
    <row r="15742" ht="15" customHeight="1" x14ac:dyDescent="0.25"/>
    <row r="15743" ht="15" customHeight="1" x14ac:dyDescent="0.25"/>
    <row r="15744" ht="15" customHeight="1" x14ac:dyDescent="0.25"/>
    <row r="15745" ht="15" customHeight="1" x14ac:dyDescent="0.25"/>
    <row r="15746" ht="15" customHeight="1" x14ac:dyDescent="0.25"/>
    <row r="15747" ht="15" customHeight="1" x14ac:dyDescent="0.25"/>
    <row r="15748" ht="15" customHeight="1" x14ac:dyDescent="0.25"/>
    <row r="15749" ht="15" customHeight="1" x14ac:dyDescent="0.25"/>
    <row r="15750" ht="15" customHeight="1" x14ac:dyDescent="0.25"/>
    <row r="15751" ht="15" customHeight="1" x14ac:dyDescent="0.25"/>
    <row r="15752" ht="15" customHeight="1" x14ac:dyDescent="0.25"/>
    <row r="15753" ht="15" customHeight="1" x14ac:dyDescent="0.25"/>
    <row r="15754" ht="15" customHeight="1" x14ac:dyDescent="0.25"/>
    <row r="15755" ht="15" customHeight="1" x14ac:dyDescent="0.25"/>
    <row r="15756" ht="15" customHeight="1" x14ac:dyDescent="0.25"/>
    <row r="15757" ht="15" customHeight="1" x14ac:dyDescent="0.25"/>
    <row r="15758" ht="15" customHeight="1" x14ac:dyDescent="0.25"/>
    <row r="15759" ht="15" customHeight="1" x14ac:dyDescent="0.25"/>
    <row r="15760" ht="15" customHeight="1" x14ac:dyDescent="0.25"/>
    <row r="15761" ht="15" customHeight="1" x14ac:dyDescent="0.25"/>
    <row r="15762" ht="15" customHeight="1" x14ac:dyDescent="0.25"/>
    <row r="15763" ht="15" customHeight="1" x14ac:dyDescent="0.25"/>
    <row r="15764" ht="15" customHeight="1" x14ac:dyDescent="0.25"/>
    <row r="15765" ht="15" customHeight="1" x14ac:dyDescent="0.25"/>
    <row r="15766" ht="15" customHeight="1" x14ac:dyDescent="0.25"/>
    <row r="15767" ht="15" customHeight="1" x14ac:dyDescent="0.25"/>
    <row r="15768" ht="15" customHeight="1" x14ac:dyDescent="0.25"/>
    <row r="15769" ht="15" customHeight="1" x14ac:dyDescent="0.25"/>
    <row r="15770" ht="15" customHeight="1" x14ac:dyDescent="0.25"/>
    <row r="15771" ht="15" customHeight="1" x14ac:dyDescent="0.25"/>
    <row r="15772" ht="15" customHeight="1" x14ac:dyDescent="0.25"/>
    <row r="15773" ht="15" customHeight="1" x14ac:dyDescent="0.25"/>
    <row r="15774" ht="15" customHeight="1" x14ac:dyDescent="0.25"/>
    <row r="15775" ht="15" customHeight="1" x14ac:dyDescent="0.25"/>
    <row r="15776" ht="15" customHeight="1" x14ac:dyDescent="0.25"/>
    <row r="15777" ht="15" customHeight="1" x14ac:dyDescent="0.25"/>
    <row r="15778" ht="15" customHeight="1" x14ac:dyDescent="0.25"/>
    <row r="15779" ht="15" customHeight="1" x14ac:dyDescent="0.25"/>
    <row r="15780" ht="15" customHeight="1" x14ac:dyDescent="0.25"/>
    <row r="15781" ht="15" customHeight="1" x14ac:dyDescent="0.25"/>
    <row r="15782" ht="15" customHeight="1" x14ac:dyDescent="0.25"/>
    <row r="15783" ht="15" customHeight="1" x14ac:dyDescent="0.25"/>
    <row r="15784" ht="15" customHeight="1" x14ac:dyDescent="0.25"/>
    <row r="15785" ht="15" customHeight="1" x14ac:dyDescent="0.25"/>
    <row r="15786" ht="15" customHeight="1" x14ac:dyDescent="0.25"/>
    <row r="15787" ht="15" customHeight="1" x14ac:dyDescent="0.25"/>
    <row r="15788" ht="15" customHeight="1" x14ac:dyDescent="0.25"/>
    <row r="15789" ht="15" customHeight="1" x14ac:dyDescent="0.25"/>
    <row r="15790" ht="15" customHeight="1" x14ac:dyDescent="0.25"/>
    <row r="15791" ht="15" customHeight="1" x14ac:dyDescent="0.25"/>
    <row r="15792" ht="15" customHeight="1" x14ac:dyDescent="0.25"/>
    <row r="15793" ht="15" customHeight="1" x14ac:dyDescent="0.25"/>
    <row r="15794" ht="15" customHeight="1" x14ac:dyDescent="0.25"/>
    <row r="15795" ht="15" customHeight="1" x14ac:dyDescent="0.25"/>
    <row r="15796" ht="15" customHeight="1" x14ac:dyDescent="0.25"/>
    <row r="15797" ht="15" customHeight="1" x14ac:dyDescent="0.25"/>
    <row r="15798" ht="15" customHeight="1" x14ac:dyDescent="0.25"/>
    <row r="15799" ht="15" customHeight="1" x14ac:dyDescent="0.25"/>
    <row r="15800" ht="15" customHeight="1" x14ac:dyDescent="0.25"/>
    <row r="15801" ht="15" customHeight="1" x14ac:dyDescent="0.25"/>
    <row r="15802" ht="15" customHeight="1" x14ac:dyDescent="0.25"/>
    <row r="15803" ht="15" customHeight="1" x14ac:dyDescent="0.25"/>
    <row r="15804" ht="15" customHeight="1" x14ac:dyDescent="0.25"/>
    <row r="15805" ht="15" customHeight="1" x14ac:dyDescent="0.25"/>
    <row r="15806" ht="15" customHeight="1" x14ac:dyDescent="0.25"/>
    <row r="15807" ht="15" customHeight="1" x14ac:dyDescent="0.25"/>
    <row r="15808" ht="15" customHeight="1" x14ac:dyDescent="0.25"/>
    <row r="15809" ht="15" customHeight="1" x14ac:dyDescent="0.25"/>
    <row r="15810" ht="15" customHeight="1" x14ac:dyDescent="0.25"/>
    <row r="15811" ht="15" customHeight="1" x14ac:dyDescent="0.25"/>
    <row r="15812" ht="15" customHeight="1" x14ac:dyDescent="0.25"/>
    <row r="15813" ht="15" customHeight="1" x14ac:dyDescent="0.25"/>
    <row r="15814" ht="15" customHeight="1" x14ac:dyDescent="0.25"/>
    <row r="15815" ht="15" customHeight="1" x14ac:dyDescent="0.25"/>
    <row r="15816" ht="15" customHeight="1" x14ac:dyDescent="0.25"/>
    <row r="15817" ht="15" customHeight="1" x14ac:dyDescent="0.25"/>
    <row r="15818" ht="15" customHeight="1" x14ac:dyDescent="0.25"/>
    <row r="15819" ht="15" customHeight="1" x14ac:dyDescent="0.25"/>
    <row r="15820" ht="15" customHeight="1" x14ac:dyDescent="0.25"/>
    <row r="15821" ht="15" customHeight="1" x14ac:dyDescent="0.25"/>
    <row r="15822" ht="15" customHeight="1" x14ac:dyDescent="0.25"/>
    <row r="15823" ht="15" customHeight="1" x14ac:dyDescent="0.25"/>
    <row r="15824" ht="15" customHeight="1" x14ac:dyDescent="0.25"/>
    <row r="15825" ht="15" customHeight="1" x14ac:dyDescent="0.25"/>
    <row r="15826" ht="15" customHeight="1" x14ac:dyDescent="0.25"/>
    <row r="15827" ht="15" customHeight="1" x14ac:dyDescent="0.25"/>
    <row r="15828" ht="15" customHeight="1" x14ac:dyDescent="0.25"/>
    <row r="15829" ht="15" customHeight="1" x14ac:dyDescent="0.25"/>
    <row r="15830" ht="15" customHeight="1" x14ac:dyDescent="0.25"/>
    <row r="15831" ht="15" customHeight="1" x14ac:dyDescent="0.25"/>
    <row r="15832" ht="15" customHeight="1" x14ac:dyDescent="0.25"/>
    <row r="15833" ht="15" customHeight="1" x14ac:dyDescent="0.25"/>
    <row r="15834" ht="15" customHeight="1" x14ac:dyDescent="0.25"/>
    <row r="15835" ht="15" customHeight="1" x14ac:dyDescent="0.25"/>
    <row r="15836" ht="15" customHeight="1" x14ac:dyDescent="0.25"/>
    <row r="15837" ht="15" customHeight="1" x14ac:dyDescent="0.25"/>
    <row r="15838" ht="15" customHeight="1" x14ac:dyDescent="0.25"/>
    <row r="15839" ht="15" customHeight="1" x14ac:dyDescent="0.25"/>
    <row r="15840" ht="15" customHeight="1" x14ac:dyDescent="0.25"/>
    <row r="15841" ht="15" customHeight="1" x14ac:dyDescent="0.25"/>
    <row r="15842" ht="15" customHeight="1" x14ac:dyDescent="0.25"/>
    <row r="15843" ht="15" customHeight="1" x14ac:dyDescent="0.25"/>
    <row r="15844" ht="15" customHeight="1" x14ac:dyDescent="0.25"/>
    <row r="15845" ht="15" customHeight="1" x14ac:dyDescent="0.25"/>
    <row r="15846" ht="15" customHeight="1" x14ac:dyDescent="0.25"/>
    <row r="15847" ht="15" customHeight="1" x14ac:dyDescent="0.25"/>
    <row r="15848" ht="15" customHeight="1" x14ac:dyDescent="0.25"/>
    <row r="15849" ht="15" customHeight="1" x14ac:dyDescent="0.25"/>
    <row r="15850" ht="15" customHeight="1" x14ac:dyDescent="0.25"/>
    <row r="15851" ht="15" customHeight="1" x14ac:dyDescent="0.25"/>
    <row r="15852" ht="15" customHeight="1" x14ac:dyDescent="0.25"/>
    <row r="15853" ht="15" customHeight="1" x14ac:dyDescent="0.25"/>
    <row r="15854" ht="15" customHeight="1" x14ac:dyDescent="0.25"/>
    <row r="15855" ht="15" customHeight="1" x14ac:dyDescent="0.25"/>
    <row r="15856" ht="15" customHeight="1" x14ac:dyDescent="0.25"/>
    <row r="15857" ht="15" customHeight="1" x14ac:dyDescent="0.25"/>
    <row r="15858" ht="15" customHeight="1" x14ac:dyDescent="0.25"/>
    <row r="15859" ht="15" customHeight="1" x14ac:dyDescent="0.25"/>
    <row r="15860" ht="15" customHeight="1" x14ac:dyDescent="0.25"/>
    <row r="15861" ht="15" customHeight="1" x14ac:dyDescent="0.25"/>
    <row r="15862" ht="15" customHeight="1" x14ac:dyDescent="0.25"/>
    <row r="15863" ht="15" customHeight="1" x14ac:dyDescent="0.25"/>
    <row r="15864" ht="15" customHeight="1" x14ac:dyDescent="0.25"/>
    <row r="15865" ht="15" customHeight="1" x14ac:dyDescent="0.25"/>
    <row r="15866" ht="15" customHeight="1" x14ac:dyDescent="0.25"/>
    <row r="15867" ht="15" customHeight="1" x14ac:dyDescent="0.25"/>
    <row r="15868" ht="15" customHeight="1" x14ac:dyDescent="0.25"/>
    <row r="15869" ht="15" customHeight="1" x14ac:dyDescent="0.25"/>
    <row r="15870" ht="15" customHeight="1" x14ac:dyDescent="0.25"/>
    <row r="15871" ht="15" customHeight="1" x14ac:dyDescent="0.25"/>
    <row r="15872" ht="15" customHeight="1" x14ac:dyDescent="0.25"/>
    <row r="15873" ht="15" customHeight="1" x14ac:dyDescent="0.25"/>
    <row r="15874" ht="15" customHeight="1" x14ac:dyDescent="0.25"/>
    <row r="15875" ht="15" customHeight="1" x14ac:dyDescent="0.25"/>
    <row r="15876" ht="15" customHeight="1" x14ac:dyDescent="0.25"/>
    <row r="15877" ht="15" customHeight="1" x14ac:dyDescent="0.25"/>
    <row r="15878" ht="15" customHeight="1" x14ac:dyDescent="0.25"/>
    <row r="15879" ht="15" customHeight="1" x14ac:dyDescent="0.25"/>
    <row r="15880" ht="15" customHeight="1" x14ac:dyDescent="0.25"/>
    <row r="15881" ht="15" customHeight="1" x14ac:dyDescent="0.25"/>
    <row r="15882" ht="15" customHeight="1" x14ac:dyDescent="0.25"/>
    <row r="15883" ht="15" customHeight="1" x14ac:dyDescent="0.25"/>
    <row r="15884" ht="15" customHeight="1" x14ac:dyDescent="0.25"/>
    <row r="15885" ht="15" customHeight="1" x14ac:dyDescent="0.25"/>
    <row r="15886" ht="15" customHeight="1" x14ac:dyDescent="0.25"/>
    <row r="15887" ht="15" customHeight="1" x14ac:dyDescent="0.25"/>
    <row r="15888" ht="15" customHeight="1" x14ac:dyDescent="0.25"/>
    <row r="15889" ht="15" customHeight="1" x14ac:dyDescent="0.25"/>
    <row r="15890" ht="15" customHeight="1" x14ac:dyDescent="0.25"/>
    <row r="15891" ht="15" customHeight="1" x14ac:dyDescent="0.25"/>
    <row r="15892" ht="15" customHeight="1" x14ac:dyDescent="0.25"/>
    <row r="15893" ht="15" customHeight="1" x14ac:dyDescent="0.25"/>
    <row r="15894" ht="15" customHeight="1" x14ac:dyDescent="0.25"/>
    <row r="15895" ht="15" customHeight="1" x14ac:dyDescent="0.25"/>
    <row r="15896" ht="15" customHeight="1" x14ac:dyDescent="0.25"/>
    <row r="15897" ht="15" customHeight="1" x14ac:dyDescent="0.25"/>
    <row r="15898" ht="15" customHeight="1" x14ac:dyDescent="0.25"/>
    <row r="15899" ht="15" customHeight="1" x14ac:dyDescent="0.25"/>
    <row r="15900" ht="15" customHeight="1" x14ac:dyDescent="0.25"/>
    <row r="15901" ht="15" customHeight="1" x14ac:dyDescent="0.25"/>
    <row r="15902" ht="15" customHeight="1" x14ac:dyDescent="0.25"/>
    <row r="15903" ht="15" customHeight="1" x14ac:dyDescent="0.25"/>
    <row r="15904" ht="15" customHeight="1" x14ac:dyDescent="0.25"/>
    <row r="15905" ht="15" customHeight="1" x14ac:dyDescent="0.25"/>
    <row r="15906" ht="15" customHeight="1" x14ac:dyDescent="0.25"/>
    <row r="15907" ht="15" customHeight="1" x14ac:dyDescent="0.25"/>
    <row r="15908" ht="15" customHeight="1" x14ac:dyDescent="0.25"/>
    <row r="15909" ht="15" customHeight="1" x14ac:dyDescent="0.25"/>
    <row r="15910" ht="15" customHeight="1" x14ac:dyDescent="0.25"/>
    <row r="15911" ht="15" customHeight="1" x14ac:dyDescent="0.25"/>
    <row r="15912" ht="15" customHeight="1" x14ac:dyDescent="0.25"/>
    <row r="15913" ht="15" customHeight="1" x14ac:dyDescent="0.25"/>
    <row r="15914" ht="15" customHeight="1" x14ac:dyDescent="0.25"/>
    <row r="15915" ht="15" customHeight="1" x14ac:dyDescent="0.25"/>
    <row r="15916" ht="15" customHeight="1" x14ac:dyDescent="0.25"/>
    <row r="15917" ht="15" customHeight="1" x14ac:dyDescent="0.25"/>
    <row r="15918" ht="15" customHeight="1" x14ac:dyDescent="0.25"/>
    <row r="15919" ht="15" customHeight="1" x14ac:dyDescent="0.25"/>
    <row r="15920" ht="15" customHeight="1" x14ac:dyDescent="0.25"/>
    <row r="15921" ht="15" customHeight="1" x14ac:dyDescent="0.25"/>
    <row r="15922" ht="15" customHeight="1" x14ac:dyDescent="0.25"/>
    <row r="15923" ht="15" customHeight="1" x14ac:dyDescent="0.25"/>
    <row r="15924" ht="15" customHeight="1" x14ac:dyDescent="0.25"/>
    <row r="15925" ht="15" customHeight="1" x14ac:dyDescent="0.25"/>
    <row r="15926" ht="15" customHeight="1" x14ac:dyDescent="0.25"/>
    <row r="15927" ht="15" customHeight="1" x14ac:dyDescent="0.25"/>
    <row r="15928" ht="15" customHeight="1" x14ac:dyDescent="0.25"/>
    <row r="15929" ht="15" customHeight="1" x14ac:dyDescent="0.25"/>
    <row r="15930" ht="15" customHeight="1" x14ac:dyDescent="0.25"/>
    <row r="15931" ht="15" customHeight="1" x14ac:dyDescent="0.25"/>
    <row r="15932" ht="15" customHeight="1" x14ac:dyDescent="0.25"/>
    <row r="15933" ht="15" customHeight="1" x14ac:dyDescent="0.25"/>
    <row r="15934" ht="15" customHeight="1" x14ac:dyDescent="0.25"/>
    <row r="15935" ht="15" customHeight="1" x14ac:dyDescent="0.25"/>
    <row r="15936" ht="15" customHeight="1" x14ac:dyDescent="0.25"/>
    <row r="15937" ht="15" customHeight="1" x14ac:dyDescent="0.25"/>
    <row r="15938" ht="15" customHeight="1" x14ac:dyDescent="0.25"/>
    <row r="15939" ht="15" customHeight="1" x14ac:dyDescent="0.25"/>
    <row r="15940" ht="15" customHeight="1" x14ac:dyDescent="0.25"/>
    <row r="15941" ht="15" customHeight="1" x14ac:dyDescent="0.25"/>
    <row r="15942" ht="15" customHeight="1" x14ac:dyDescent="0.25"/>
    <row r="15943" ht="15" customHeight="1" x14ac:dyDescent="0.25"/>
    <row r="15944" ht="15" customHeight="1" x14ac:dyDescent="0.25"/>
    <row r="15945" ht="15" customHeight="1" x14ac:dyDescent="0.25"/>
    <row r="15946" ht="15" customHeight="1" x14ac:dyDescent="0.25"/>
    <row r="15947" ht="15" customHeight="1" x14ac:dyDescent="0.25"/>
    <row r="15948" ht="15" customHeight="1" x14ac:dyDescent="0.25"/>
    <row r="15949" ht="15" customHeight="1" x14ac:dyDescent="0.25"/>
    <row r="15950" ht="15" customHeight="1" x14ac:dyDescent="0.25"/>
    <row r="15951" ht="15" customHeight="1" x14ac:dyDescent="0.25"/>
    <row r="15952" ht="15" customHeight="1" x14ac:dyDescent="0.25"/>
    <row r="15953" ht="15" customHeight="1" x14ac:dyDescent="0.25"/>
    <row r="15954" ht="15" customHeight="1" x14ac:dyDescent="0.25"/>
    <row r="15955" ht="15" customHeight="1" x14ac:dyDescent="0.25"/>
    <row r="15956" ht="15" customHeight="1" x14ac:dyDescent="0.25"/>
    <row r="15957" ht="15" customHeight="1" x14ac:dyDescent="0.25"/>
    <row r="15958" ht="15" customHeight="1" x14ac:dyDescent="0.25"/>
    <row r="15959" ht="15" customHeight="1" x14ac:dyDescent="0.25"/>
    <row r="15960" ht="15" customHeight="1" x14ac:dyDescent="0.25"/>
    <row r="15961" ht="15" customHeight="1" x14ac:dyDescent="0.25"/>
    <row r="15962" ht="15" customHeight="1" x14ac:dyDescent="0.25"/>
    <row r="15963" ht="15" customHeight="1" x14ac:dyDescent="0.25"/>
    <row r="15964" ht="15" customHeight="1" x14ac:dyDescent="0.25"/>
    <row r="15965" ht="15" customHeight="1" x14ac:dyDescent="0.25"/>
    <row r="15966" ht="15" customHeight="1" x14ac:dyDescent="0.25"/>
    <row r="15967" ht="15" customHeight="1" x14ac:dyDescent="0.25"/>
    <row r="15968" ht="15" customHeight="1" x14ac:dyDescent="0.25"/>
    <row r="15969" ht="15" customHeight="1" x14ac:dyDescent="0.25"/>
    <row r="15970" ht="15" customHeight="1" x14ac:dyDescent="0.25"/>
    <row r="15971" ht="15" customHeight="1" x14ac:dyDescent="0.25"/>
    <row r="15972" ht="15" customHeight="1" x14ac:dyDescent="0.25"/>
    <row r="15973" ht="15" customHeight="1" x14ac:dyDescent="0.25"/>
    <row r="15974" ht="15" customHeight="1" x14ac:dyDescent="0.25"/>
    <row r="15975" ht="15" customHeight="1" x14ac:dyDescent="0.25"/>
    <row r="15976" ht="15" customHeight="1" x14ac:dyDescent="0.25"/>
    <row r="15977" ht="15" customHeight="1" x14ac:dyDescent="0.25"/>
    <row r="15978" ht="15" customHeight="1" x14ac:dyDescent="0.25"/>
    <row r="15979" ht="15" customHeight="1" x14ac:dyDescent="0.25"/>
    <row r="15980" ht="15" customHeight="1" x14ac:dyDescent="0.25"/>
    <row r="15981" ht="15" customHeight="1" x14ac:dyDescent="0.25"/>
    <row r="15982" ht="15" customHeight="1" x14ac:dyDescent="0.25"/>
    <row r="15983" ht="15" customHeight="1" x14ac:dyDescent="0.25"/>
    <row r="15984" ht="15" customHeight="1" x14ac:dyDescent="0.25"/>
    <row r="15985" ht="15" customHeight="1" x14ac:dyDescent="0.25"/>
    <row r="15986" ht="15" customHeight="1" x14ac:dyDescent="0.25"/>
    <row r="15987" ht="15" customHeight="1" x14ac:dyDescent="0.25"/>
    <row r="15988" ht="15" customHeight="1" x14ac:dyDescent="0.25"/>
    <row r="15989" ht="15" customHeight="1" x14ac:dyDescent="0.25"/>
    <row r="15990" ht="15" customHeight="1" x14ac:dyDescent="0.25"/>
    <row r="15991" ht="15" customHeight="1" x14ac:dyDescent="0.25"/>
    <row r="15992" ht="15" customHeight="1" x14ac:dyDescent="0.25"/>
    <row r="15993" ht="15" customHeight="1" x14ac:dyDescent="0.25"/>
    <row r="15994" ht="15" customHeight="1" x14ac:dyDescent="0.25"/>
    <row r="15995" ht="15" customHeight="1" x14ac:dyDescent="0.25"/>
    <row r="15996" ht="15" customHeight="1" x14ac:dyDescent="0.25"/>
    <row r="15997" ht="15" customHeight="1" x14ac:dyDescent="0.25"/>
    <row r="15998" ht="15" customHeight="1" x14ac:dyDescent="0.25"/>
    <row r="15999" ht="15" customHeight="1" x14ac:dyDescent="0.25"/>
    <row r="16000" ht="15" customHeight="1" x14ac:dyDescent="0.25"/>
    <row r="16001" ht="15" customHeight="1" x14ac:dyDescent="0.25"/>
    <row r="16002" ht="15" customHeight="1" x14ac:dyDescent="0.25"/>
    <row r="16003" ht="15" customHeight="1" x14ac:dyDescent="0.25"/>
    <row r="16004" ht="15" customHeight="1" x14ac:dyDescent="0.25"/>
    <row r="16005" ht="15" customHeight="1" x14ac:dyDescent="0.25"/>
    <row r="16006" ht="15" customHeight="1" x14ac:dyDescent="0.25"/>
    <row r="16007" ht="15" customHeight="1" x14ac:dyDescent="0.25"/>
    <row r="16008" ht="15" customHeight="1" x14ac:dyDescent="0.25"/>
    <row r="16009" ht="15" customHeight="1" x14ac:dyDescent="0.25"/>
    <row r="16010" ht="15" customHeight="1" x14ac:dyDescent="0.25"/>
    <row r="16011" ht="15" customHeight="1" x14ac:dyDescent="0.25"/>
    <row r="16012" ht="15" customHeight="1" x14ac:dyDescent="0.25"/>
    <row r="16013" ht="15" customHeight="1" x14ac:dyDescent="0.25"/>
    <row r="16014" ht="15" customHeight="1" x14ac:dyDescent="0.25"/>
    <row r="16015" ht="15" customHeight="1" x14ac:dyDescent="0.25"/>
    <row r="16016" ht="15" customHeight="1" x14ac:dyDescent="0.25"/>
    <row r="16017" ht="15" customHeight="1" x14ac:dyDescent="0.25"/>
    <row r="16018" ht="15" customHeight="1" x14ac:dyDescent="0.25"/>
    <row r="16019" ht="15" customHeight="1" x14ac:dyDescent="0.25"/>
    <row r="16020" ht="15" customHeight="1" x14ac:dyDescent="0.25"/>
    <row r="16021" ht="15" customHeight="1" x14ac:dyDescent="0.25"/>
    <row r="16022" ht="15" customHeight="1" x14ac:dyDescent="0.25"/>
    <row r="16023" ht="15" customHeight="1" x14ac:dyDescent="0.25"/>
    <row r="16024" ht="15" customHeight="1" x14ac:dyDescent="0.25"/>
    <row r="16025" ht="15" customHeight="1" x14ac:dyDescent="0.25"/>
    <row r="16026" ht="15" customHeight="1" x14ac:dyDescent="0.25"/>
    <row r="16027" ht="15" customHeight="1" x14ac:dyDescent="0.25"/>
    <row r="16028" ht="15" customHeight="1" x14ac:dyDescent="0.25"/>
    <row r="16029" ht="15" customHeight="1" x14ac:dyDescent="0.25"/>
    <row r="16030" ht="15" customHeight="1" x14ac:dyDescent="0.25"/>
    <row r="16031" ht="15" customHeight="1" x14ac:dyDescent="0.25"/>
    <row r="16032" ht="15" customHeight="1" x14ac:dyDescent="0.25"/>
    <row r="16033" ht="15" customHeight="1" x14ac:dyDescent="0.25"/>
    <row r="16034" ht="15" customHeight="1" x14ac:dyDescent="0.25"/>
    <row r="16035" ht="15" customHeight="1" x14ac:dyDescent="0.25"/>
    <row r="16036" ht="15" customHeight="1" x14ac:dyDescent="0.25"/>
    <row r="16037" ht="15" customHeight="1" x14ac:dyDescent="0.25"/>
    <row r="16038" ht="15" customHeight="1" x14ac:dyDescent="0.25"/>
    <row r="16039" ht="15" customHeight="1" x14ac:dyDescent="0.25"/>
    <row r="16040" ht="15" customHeight="1" x14ac:dyDescent="0.25"/>
    <row r="16041" ht="15" customHeight="1" x14ac:dyDescent="0.25"/>
    <row r="16042" ht="15" customHeight="1" x14ac:dyDescent="0.25"/>
    <row r="16043" ht="15" customHeight="1" x14ac:dyDescent="0.25"/>
    <row r="16044" ht="15" customHeight="1" x14ac:dyDescent="0.25"/>
    <row r="16045" ht="15" customHeight="1" x14ac:dyDescent="0.25"/>
    <row r="16046" ht="15" customHeight="1" x14ac:dyDescent="0.25"/>
    <row r="16047" ht="15" customHeight="1" x14ac:dyDescent="0.25"/>
    <row r="16048" ht="15" customHeight="1" x14ac:dyDescent="0.25"/>
    <row r="16049" ht="15" customHeight="1" x14ac:dyDescent="0.25"/>
    <row r="16050" ht="15" customHeight="1" x14ac:dyDescent="0.25"/>
    <row r="16051" ht="15" customHeight="1" x14ac:dyDescent="0.25"/>
    <row r="16052" ht="15" customHeight="1" x14ac:dyDescent="0.25"/>
    <row r="16053" ht="15" customHeight="1" x14ac:dyDescent="0.25"/>
    <row r="16054" ht="15" customHeight="1" x14ac:dyDescent="0.25"/>
    <row r="16055" ht="15" customHeight="1" x14ac:dyDescent="0.25"/>
    <row r="16056" ht="15" customHeight="1" x14ac:dyDescent="0.25"/>
    <row r="16057" ht="15" customHeight="1" x14ac:dyDescent="0.25"/>
    <row r="16058" ht="15" customHeight="1" x14ac:dyDescent="0.25"/>
    <row r="16059" ht="15" customHeight="1" x14ac:dyDescent="0.25"/>
    <row r="16060" ht="15" customHeight="1" x14ac:dyDescent="0.25"/>
    <row r="16061" ht="15" customHeight="1" x14ac:dyDescent="0.25"/>
    <row r="16062" ht="15" customHeight="1" x14ac:dyDescent="0.25"/>
    <row r="16063" ht="15" customHeight="1" x14ac:dyDescent="0.25"/>
    <row r="16064" ht="15" customHeight="1" x14ac:dyDescent="0.25"/>
    <row r="16065" ht="15" customHeight="1" x14ac:dyDescent="0.25"/>
    <row r="16066" ht="15" customHeight="1" x14ac:dyDescent="0.25"/>
    <row r="16067" ht="15" customHeight="1" x14ac:dyDescent="0.25"/>
    <row r="16068" ht="15" customHeight="1" x14ac:dyDescent="0.25"/>
    <row r="16069" ht="15" customHeight="1" x14ac:dyDescent="0.25"/>
    <row r="16070" ht="15" customHeight="1" x14ac:dyDescent="0.25"/>
    <row r="16071" ht="15" customHeight="1" x14ac:dyDescent="0.25"/>
    <row r="16072" ht="15" customHeight="1" x14ac:dyDescent="0.25"/>
    <row r="16073" ht="15" customHeight="1" x14ac:dyDescent="0.25"/>
    <row r="16074" ht="15" customHeight="1" x14ac:dyDescent="0.25"/>
    <row r="16075" ht="15" customHeight="1" x14ac:dyDescent="0.25"/>
    <row r="16076" ht="15" customHeight="1" x14ac:dyDescent="0.25"/>
    <row r="16077" ht="15" customHeight="1" x14ac:dyDescent="0.25"/>
    <row r="16078" ht="15" customHeight="1" x14ac:dyDescent="0.25"/>
    <row r="16079" ht="15" customHeight="1" x14ac:dyDescent="0.25"/>
    <row r="16080" ht="15" customHeight="1" x14ac:dyDescent="0.25"/>
    <row r="16081" ht="15" customHeight="1" x14ac:dyDescent="0.25"/>
    <row r="16082" ht="15" customHeight="1" x14ac:dyDescent="0.25"/>
    <row r="16083" ht="15" customHeight="1" x14ac:dyDescent="0.25"/>
    <row r="16084" ht="15" customHeight="1" x14ac:dyDescent="0.25"/>
    <row r="16085" ht="15" customHeight="1" x14ac:dyDescent="0.25"/>
    <row r="16086" ht="15" customHeight="1" x14ac:dyDescent="0.25"/>
    <row r="16087" ht="15" customHeight="1" x14ac:dyDescent="0.25"/>
    <row r="16088" ht="15" customHeight="1" x14ac:dyDescent="0.25"/>
    <row r="16089" ht="15" customHeight="1" x14ac:dyDescent="0.25"/>
    <row r="16090" ht="15" customHeight="1" x14ac:dyDescent="0.25"/>
    <row r="16091" ht="15" customHeight="1" x14ac:dyDescent="0.25"/>
    <row r="16092" ht="15" customHeight="1" x14ac:dyDescent="0.25"/>
    <row r="16093" ht="15" customHeight="1" x14ac:dyDescent="0.25"/>
    <row r="16094" ht="15" customHeight="1" x14ac:dyDescent="0.25"/>
    <row r="16095" ht="15" customHeight="1" x14ac:dyDescent="0.25"/>
    <row r="16096" ht="15" customHeight="1" x14ac:dyDescent="0.25"/>
    <row r="16097" ht="15" customHeight="1" x14ac:dyDescent="0.25"/>
    <row r="16098" ht="15" customHeight="1" x14ac:dyDescent="0.25"/>
    <row r="16099" ht="15" customHeight="1" x14ac:dyDescent="0.25"/>
    <row r="16100" ht="15" customHeight="1" x14ac:dyDescent="0.25"/>
    <row r="16101" ht="15" customHeight="1" x14ac:dyDescent="0.25"/>
    <row r="16102" ht="15" customHeight="1" x14ac:dyDescent="0.25"/>
    <row r="16103" ht="15" customHeight="1" x14ac:dyDescent="0.25"/>
    <row r="16104" ht="15" customHeight="1" x14ac:dyDescent="0.25"/>
    <row r="16105" ht="15" customHeight="1" x14ac:dyDescent="0.25"/>
    <row r="16106" ht="15" customHeight="1" x14ac:dyDescent="0.25"/>
    <row r="16107" ht="15" customHeight="1" x14ac:dyDescent="0.25"/>
    <row r="16108" ht="15" customHeight="1" x14ac:dyDescent="0.25"/>
    <row r="16109" ht="15" customHeight="1" x14ac:dyDescent="0.25"/>
    <row r="16110" ht="15" customHeight="1" x14ac:dyDescent="0.25"/>
    <row r="16111" ht="15" customHeight="1" x14ac:dyDescent="0.25"/>
    <row r="16112" ht="15" customHeight="1" x14ac:dyDescent="0.25"/>
    <row r="16113" ht="15" customHeight="1" x14ac:dyDescent="0.25"/>
    <row r="16114" ht="15" customHeight="1" x14ac:dyDescent="0.25"/>
    <row r="16115" ht="15" customHeight="1" x14ac:dyDescent="0.25"/>
    <row r="16116" ht="15" customHeight="1" x14ac:dyDescent="0.25"/>
    <row r="16117" ht="15" customHeight="1" x14ac:dyDescent="0.25"/>
    <row r="16118" ht="15" customHeight="1" x14ac:dyDescent="0.25"/>
    <row r="16119" ht="15" customHeight="1" x14ac:dyDescent="0.25"/>
    <row r="16120" ht="15" customHeight="1" x14ac:dyDescent="0.25"/>
    <row r="16121" ht="15" customHeight="1" x14ac:dyDescent="0.25"/>
    <row r="16122" ht="15" customHeight="1" x14ac:dyDescent="0.25"/>
    <row r="16123" ht="15" customHeight="1" x14ac:dyDescent="0.25"/>
    <row r="16124" ht="15" customHeight="1" x14ac:dyDescent="0.25"/>
    <row r="16125" ht="15" customHeight="1" x14ac:dyDescent="0.25"/>
    <row r="16126" ht="15" customHeight="1" x14ac:dyDescent="0.25"/>
    <row r="16127" ht="15" customHeight="1" x14ac:dyDescent="0.25"/>
    <row r="16128" ht="15" customHeight="1" x14ac:dyDescent="0.25"/>
    <row r="16129" ht="15" customHeight="1" x14ac:dyDescent="0.25"/>
    <row r="16130" ht="15" customHeight="1" x14ac:dyDescent="0.25"/>
    <row r="16131" ht="15" customHeight="1" x14ac:dyDescent="0.25"/>
    <row r="16132" ht="15" customHeight="1" x14ac:dyDescent="0.25"/>
    <row r="16133" ht="15" customHeight="1" x14ac:dyDescent="0.25"/>
    <row r="16134" ht="15" customHeight="1" x14ac:dyDescent="0.25"/>
    <row r="16135" ht="15" customHeight="1" x14ac:dyDescent="0.25"/>
    <row r="16136" ht="15" customHeight="1" x14ac:dyDescent="0.25"/>
    <row r="16137" ht="15" customHeight="1" x14ac:dyDescent="0.25"/>
    <row r="16138" ht="15" customHeight="1" x14ac:dyDescent="0.25"/>
    <row r="16139" ht="15" customHeight="1" x14ac:dyDescent="0.25"/>
    <row r="16140" ht="15" customHeight="1" x14ac:dyDescent="0.25"/>
    <row r="16141" ht="15" customHeight="1" x14ac:dyDescent="0.25"/>
    <row r="16142" ht="15" customHeight="1" x14ac:dyDescent="0.25"/>
    <row r="16143" ht="15" customHeight="1" x14ac:dyDescent="0.25"/>
    <row r="16144" ht="15" customHeight="1" x14ac:dyDescent="0.25"/>
    <row r="16145" ht="15" customHeight="1" x14ac:dyDescent="0.25"/>
    <row r="16146" ht="15" customHeight="1" x14ac:dyDescent="0.25"/>
    <row r="16147" ht="15" customHeight="1" x14ac:dyDescent="0.25"/>
    <row r="16148" ht="15" customHeight="1" x14ac:dyDescent="0.25"/>
    <row r="16149" ht="15" customHeight="1" x14ac:dyDescent="0.25"/>
    <row r="16150" ht="15" customHeight="1" x14ac:dyDescent="0.25"/>
    <row r="16151" ht="15" customHeight="1" x14ac:dyDescent="0.25"/>
    <row r="16152" ht="15" customHeight="1" x14ac:dyDescent="0.25"/>
    <row r="16153" ht="15" customHeight="1" x14ac:dyDescent="0.25"/>
    <row r="16154" ht="15" customHeight="1" x14ac:dyDescent="0.25"/>
    <row r="16155" ht="15" customHeight="1" x14ac:dyDescent="0.25"/>
    <row r="16156" ht="15" customHeight="1" x14ac:dyDescent="0.25"/>
    <row r="16157" ht="15" customHeight="1" x14ac:dyDescent="0.25"/>
    <row r="16158" ht="15" customHeight="1" x14ac:dyDescent="0.25"/>
    <row r="16159" ht="15" customHeight="1" x14ac:dyDescent="0.25"/>
    <row r="16160" ht="15" customHeight="1" x14ac:dyDescent="0.25"/>
    <row r="16161" ht="15" customHeight="1" x14ac:dyDescent="0.25"/>
    <row r="16162" ht="15" customHeight="1" x14ac:dyDescent="0.25"/>
    <row r="16163" ht="15" customHeight="1" x14ac:dyDescent="0.25"/>
    <row r="16164" ht="15" customHeight="1" x14ac:dyDescent="0.25"/>
    <row r="16165" ht="15" customHeight="1" x14ac:dyDescent="0.25"/>
    <row r="16166" ht="15" customHeight="1" x14ac:dyDescent="0.25"/>
    <row r="16167" ht="15" customHeight="1" x14ac:dyDescent="0.25"/>
    <row r="16168" ht="15" customHeight="1" x14ac:dyDescent="0.25"/>
    <row r="16169" ht="15" customHeight="1" x14ac:dyDescent="0.25"/>
    <row r="16170" ht="15" customHeight="1" x14ac:dyDescent="0.25"/>
    <row r="16171" ht="15" customHeight="1" x14ac:dyDescent="0.25"/>
    <row r="16172" ht="15" customHeight="1" x14ac:dyDescent="0.25"/>
    <row r="16173" ht="15" customHeight="1" x14ac:dyDescent="0.25"/>
    <row r="16174" ht="15" customHeight="1" x14ac:dyDescent="0.25"/>
    <row r="16175" ht="15" customHeight="1" x14ac:dyDescent="0.25"/>
    <row r="16176" ht="15" customHeight="1" x14ac:dyDescent="0.25"/>
    <row r="16177" ht="15" customHeight="1" x14ac:dyDescent="0.25"/>
    <row r="16178" ht="15" customHeight="1" x14ac:dyDescent="0.25"/>
    <row r="16179" ht="15" customHeight="1" x14ac:dyDescent="0.25"/>
    <row r="16180" ht="15" customHeight="1" x14ac:dyDescent="0.25"/>
    <row r="16181" ht="15" customHeight="1" x14ac:dyDescent="0.25"/>
    <row r="16182" ht="15" customHeight="1" x14ac:dyDescent="0.25"/>
    <row r="16183" ht="15" customHeight="1" x14ac:dyDescent="0.25"/>
    <row r="16184" ht="15" customHeight="1" x14ac:dyDescent="0.25"/>
    <row r="16185" ht="15" customHeight="1" x14ac:dyDescent="0.25"/>
    <row r="16186" ht="15" customHeight="1" x14ac:dyDescent="0.25"/>
    <row r="16187" ht="15" customHeight="1" x14ac:dyDescent="0.25"/>
    <row r="16188" ht="15" customHeight="1" x14ac:dyDescent="0.25"/>
    <row r="16189" ht="15" customHeight="1" x14ac:dyDescent="0.25"/>
    <row r="16190" ht="15" customHeight="1" x14ac:dyDescent="0.25"/>
    <row r="16191" ht="15" customHeight="1" x14ac:dyDescent="0.25"/>
    <row r="16192" ht="15" customHeight="1" x14ac:dyDescent="0.25"/>
    <row r="16193" ht="15" customHeight="1" x14ac:dyDescent="0.25"/>
    <row r="16194" ht="15" customHeight="1" x14ac:dyDescent="0.25"/>
    <row r="16195" ht="15" customHeight="1" x14ac:dyDescent="0.25"/>
    <row r="16196" ht="15" customHeight="1" x14ac:dyDescent="0.25"/>
    <row r="16197" ht="15" customHeight="1" x14ac:dyDescent="0.25"/>
    <row r="16198" ht="15" customHeight="1" x14ac:dyDescent="0.25"/>
    <row r="16199" ht="15" customHeight="1" x14ac:dyDescent="0.25"/>
    <row r="16200" ht="15" customHeight="1" x14ac:dyDescent="0.25"/>
    <row r="16201" ht="15" customHeight="1" x14ac:dyDescent="0.25"/>
    <row r="16202" ht="15" customHeight="1" x14ac:dyDescent="0.25"/>
    <row r="16203" ht="15" customHeight="1" x14ac:dyDescent="0.25"/>
    <row r="16204" ht="15" customHeight="1" x14ac:dyDescent="0.25"/>
    <row r="16205" ht="15" customHeight="1" x14ac:dyDescent="0.25"/>
    <row r="16206" ht="15" customHeight="1" x14ac:dyDescent="0.25"/>
    <row r="16207" ht="15" customHeight="1" x14ac:dyDescent="0.25"/>
    <row r="16208" ht="15" customHeight="1" x14ac:dyDescent="0.25"/>
    <row r="16209" ht="15" customHeight="1" x14ac:dyDescent="0.25"/>
    <row r="16210" ht="15" customHeight="1" x14ac:dyDescent="0.25"/>
    <row r="16211" ht="15" customHeight="1" x14ac:dyDescent="0.25"/>
    <row r="16212" ht="15" customHeight="1" x14ac:dyDescent="0.25"/>
    <row r="16213" ht="15" customHeight="1" x14ac:dyDescent="0.25"/>
    <row r="16214" ht="15" customHeight="1" x14ac:dyDescent="0.25"/>
    <row r="16215" ht="15" customHeight="1" x14ac:dyDescent="0.25"/>
    <row r="16216" ht="15" customHeight="1" x14ac:dyDescent="0.25"/>
    <row r="16217" ht="15" customHeight="1" x14ac:dyDescent="0.25"/>
    <row r="16218" ht="15" customHeight="1" x14ac:dyDescent="0.25"/>
    <row r="16219" ht="15" customHeight="1" x14ac:dyDescent="0.25"/>
    <row r="16220" ht="15" customHeight="1" x14ac:dyDescent="0.25"/>
    <row r="16221" ht="15" customHeight="1" x14ac:dyDescent="0.25"/>
    <row r="16222" ht="15" customHeight="1" x14ac:dyDescent="0.25"/>
    <row r="16223" ht="15" customHeight="1" x14ac:dyDescent="0.25"/>
    <row r="16224" ht="15" customHeight="1" x14ac:dyDescent="0.25"/>
    <row r="16225" ht="15" customHeight="1" x14ac:dyDescent="0.25"/>
    <row r="16226" ht="15" customHeight="1" x14ac:dyDescent="0.25"/>
    <row r="16227" ht="15" customHeight="1" x14ac:dyDescent="0.25"/>
    <row r="16228" ht="15" customHeight="1" x14ac:dyDescent="0.25"/>
    <row r="16229" ht="15" customHeight="1" x14ac:dyDescent="0.25"/>
    <row r="16230" ht="15" customHeight="1" x14ac:dyDescent="0.25"/>
    <row r="16231" ht="15" customHeight="1" x14ac:dyDescent="0.25"/>
    <row r="16232" ht="15" customHeight="1" x14ac:dyDescent="0.25"/>
    <row r="16233" ht="15" customHeight="1" x14ac:dyDescent="0.25"/>
    <row r="16234" ht="15" customHeight="1" x14ac:dyDescent="0.25"/>
    <row r="16235" ht="15" customHeight="1" x14ac:dyDescent="0.25"/>
    <row r="16236" ht="15" customHeight="1" x14ac:dyDescent="0.25"/>
    <row r="16237" ht="15" customHeight="1" x14ac:dyDescent="0.25"/>
    <row r="16238" ht="15" customHeight="1" x14ac:dyDescent="0.25"/>
    <row r="16239" ht="15" customHeight="1" x14ac:dyDescent="0.25"/>
    <row r="16240" ht="15" customHeight="1" x14ac:dyDescent="0.25"/>
    <row r="16241" ht="15" customHeight="1" x14ac:dyDescent="0.25"/>
    <row r="16242" ht="15" customHeight="1" x14ac:dyDescent="0.25"/>
    <row r="16243" ht="15" customHeight="1" x14ac:dyDescent="0.25"/>
    <row r="16244" ht="15" customHeight="1" x14ac:dyDescent="0.25"/>
    <row r="16245" ht="15" customHeight="1" x14ac:dyDescent="0.25"/>
    <row r="16246" ht="15" customHeight="1" x14ac:dyDescent="0.25"/>
    <row r="16247" ht="15" customHeight="1" x14ac:dyDescent="0.25"/>
    <row r="16248" ht="15" customHeight="1" x14ac:dyDescent="0.25"/>
    <row r="16249" ht="15" customHeight="1" x14ac:dyDescent="0.25"/>
    <row r="16250" ht="15" customHeight="1" x14ac:dyDescent="0.25"/>
    <row r="16251" ht="15" customHeight="1" x14ac:dyDescent="0.25"/>
    <row r="16252" ht="15" customHeight="1" x14ac:dyDescent="0.25"/>
    <row r="16253" ht="15" customHeight="1" x14ac:dyDescent="0.25"/>
    <row r="16254" ht="15" customHeight="1" x14ac:dyDescent="0.25"/>
    <row r="16255" ht="15" customHeight="1" x14ac:dyDescent="0.25"/>
    <row r="16256" ht="15" customHeight="1" x14ac:dyDescent="0.25"/>
    <row r="16257" ht="15" customHeight="1" x14ac:dyDescent="0.25"/>
    <row r="16258" ht="15" customHeight="1" x14ac:dyDescent="0.25"/>
    <row r="16259" ht="15" customHeight="1" x14ac:dyDescent="0.25"/>
    <row r="16260" ht="15" customHeight="1" x14ac:dyDescent="0.25"/>
    <row r="16261" ht="15" customHeight="1" x14ac:dyDescent="0.25"/>
    <row r="16262" ht="15" customHeight="1" x14ac:dyDescent="0.25"/>
    <row r="16263" ht="15" customHeight="1" x14ac:dyDescent="0.25"/>
    <row r="16264" ht="15" customHeight="1" x14ac:dyDescent="0.25"/>
    <row r="16265" ht="15" customHeight="1" x14ac:dyDescent="0.25"/>
    <row r="16266" ht="15" customHeight="1" x14ac:dyDescent="0.25"/>
    <row r="16267" ht="15" customHeight="1" x14ac:dyDescent="0.25"/>
    <row r="16268" ht="15" customHeight="1" x14ac:dyDescent="0.25"/>
    <row r="16269" ht="15" customHeight="1" x14ac:dyDescent="0.25"/>
    <row r="16270" ht="15" customHeight="1" x14ac:dyDescent="0.25"/>
    <row r="16271" ht="15" customHeight="1" x14ac:dyDescent="0.25"/>
    <row r="16272" ht="15" customHeight="1" x14ac:dyDescent="0.25"/>
    <row r="16273" ht="15" customHeight="1" x14ac:dyDescent="0.25"/>
    <row r="16274" ht="15" customHeight="1" x14ac:dyDescent="0.25"/>
    <row r="16275" ht="15" customHeight="1" x14ac:dyDescent="0.25"/>
    <row r="16276" ht="15" customHeight="1" x14ac:dyDescent="0.25"/>
    <row r="16277" ht="15" customHeight="1" x14ac:dyDescent="0.25"/>
    <row r="16278" ht="15" customHeight="1" x14ac:dyDescent="0.25"/>
    <row r="16279" ht="15" customHeight="1" x14ac:dyDescent="0.25"/>
    <row r="16280" ht="15" customHeight="1" x14ac:dyDescent="0.25"/>
    <row r="16281" ht="15" customHeight="1" x14ac:dyDescent="0.25"/>
    <row r="16282" ht="15" customHeight="1" x14ac:dyDescent="0.25"/>
    <row r="16283" ht="15" customHeight="1" x14ac:dyDescent="0.25"/>
    <row r="16284" ht="15" customHeight="1" x14ac:dyDescent="0.25"/>
    <row r="16285" ht="15" customHeight="1" x14ac:dyDescent="0.25"/>
    <row r="16286" ht="15" customHeight="1" x14ac:dyDescent="0.25"/>
    <row r="16287" ht="15" customHeight="1" x14ac:dyDescent="0.25"/>
    <row r="16288" ht="15" customHeight="1" x14ac:dyDescent="0.25"/>
    <row r="16289" ht="15" customHeight="1" x14ac:dyDescent="0.25"/>
    <row r="16290" ht="15" customHeight="1" x14ac:dyDescent="0.25"/>
    <row r="16291" ht="15" customHeight="1" x14ac:dyDescent="0.25"/>
    <row r="16292" ht="15" customHeight="1" x14ac:dyDescent="0.25"/>
    <row r="16293" ht="15" customHeight="1" x14ac:dyDescent="0.25"/>
    <row r="16294" ht="15" customHeight="1" x14ac:dyDescent="0.25"/>
    <row r="16295" ht="15" customHeight="1" x14ac:dyDescent="0.25"/>
    <row r="16296" ht="15" customHeight="1" x14ac:dyDescent="0.25"/>
    <row r="16297" ht="15" customHeight="1" x14ac:dyDescent="0.25"/>
    <row r="16298" ht="15" customHeight="1" x14ac:dyDescent="0.25"/>
    <row r="16299" ht="15" customHeight="1" x14ac:dyDescent="0.25"/>
    <row r="16300" ht="15" customHeight="1" x14ac:dyDescent="0.25"/>
    <row r="16301" ht="15" customHeight="1" x14ac:dyDescent="0.25"/>
    <row r="16302" ht="15" customHeight="1" x14ac:dyDescent="0.25"/>
    <row r="16303" ht="15" customHeight="1" x14ac:dyDescent="0.25"/>
    <row r="16304" ht="15" customHeight="1" x14ac:dyDescent="0.25"/>
    <row r="16305" ht="15" customHeight="1" x14ac:dyDescent="0.25"/>
    <row r="16306" ht="15" customHeight="1" x14ac:dyDescent="0.25"/>
    <row r="16307" ht="15" customHeight="1" x14ac:dyDescent="0.25"/>
    <row r="16308" ht="15" customHeight="1" x14ac:dyDescent="0.25"/>
    <row r="16309" ht="15" customHeight="1" x14ac:dyDescent="0.25"/>
    <row r="16310" ht="15" customHeight="1" x14ac:dyDescent="0.25"/>
    <row r="16311" ht="15" customHeight="1" x14ac:dyDescent="0.25"/>
    <row r="16312" ht="15" customHeight="1" x14ac:dyDescent="0.25"/>
    <row r="16313" ht="15" customHeight="1" x14ac:dyDescent="0.25"/>
    <row r="16314" ht="15" customHeight="1" x14ac:dyDescent="0.25"/>
    <row r="16315" ht="15" customHeight="1" x14ac:dyDescent="0.25"/>
    <row r="16316" ht="15" customHeight="1" x14ac:dyDescent="0.25"/>
    <row r="16317" ht="15" customHeight="1" x14ac:dyDescent="0.25"/>
    <row r="16318" ht="15" customHeight="1" x14ac:dyDescent="0.25"/>
    <row r="16319" ht="15" customHeight="1" x14ac:dyDescent="0.25"/>
    <row r="16320" ht="15" customHeight="1" x14ac:dyDescent="0.25"/>
    <row r="16321" ht="15" customHeight="1" x14ac:dyDescent="0.25"/>
    <row r="16322" ht="15" customHeight="1" x14ac:dyDescent="0.25"/>
    <row r="16323" ht="15" customHeight="1" x14ac:dyDescent="0.25"/>
    <row r="16324" ht="15" customHeight="1" x14ac:dyDescent="0.25"/>
    <row r="16325" ht="15" customHeight="1" x14ac:dyDescent="0.25"/>
    <row r="16326" ht="15" customHeight="1" x14ac:dyDescent="0.25"/>
    <row r="16327" ht="15" customHeight="1" x14ac:dyDescent="0.25"/>
    <row r="16328" ht="15" customHeight="1" x14ac:dyDescent="0.25"/>
    <row r="16329" ht="15" customHeight="1" x14ac:dyDescent="0.25"/>
    <row r="16330" ht="15" customHeight="1" x14ac:dyDescent="0.25"/>
    <row r="16331" ht="15" customHeight="1" x14ac:dyDescent="0.25"/>
    <row r="16332" ht="15" customHeight="1" x14ac:dyDescent="0.25"/>
    <row r="16333" ht="15" customHeight="1" x14ac:dyDescent="0.25"/>
    <row r="16334" ht="15" customHeight="1" x14ac:dyDescent="0.25"/>
    <row r="16335" ht="15" customHeight="1" x14ac:dyDescent="0.25"/>
    <row r="16336" ht="15" customHeight="1" x14ac:dyDescent="0.25"/>
    <row r="16337" ht="15" customHeight="1" x14ac:dyDescent="0.25"/>
    <row r="16338" ht="15" customHeight="1" x14ac:dyDescent="0.25"/>
    <row r="16339" ht="15" customHeight="1" x14ac:dyDescent="0.25"/>
    <row r="16340" ht="15" customHeight="1" x14ac:dyDescent="0.25"/>
    <row r="16341" ht="15" customHeight="1" x14ac:dyDescent="0.25"/>
    <row r="16342" ht="15" customHeight="1" x14ac:dyDescent="0.25"/>
    <row r="16343" ht="15" customHeight="1" x14ac:dyDescent="0.25"/>
    <row r="16344" ht="15" customHeight="1" x14ac:dyDescent="0.25"/>
    <row r="16345" ht="15" customHeight="1" x14ac:dyDescent="0.25"/>
    <row r="16346" ht="15" customHeight="1" x14ac:dyDescent="0.25"/>
    <row r="16347" ht="15" customHeight="1" x14ac:dyDescent="0.25"/>
    <row r="16348" ht="15" customHeight="1" x14ac:dyDescent="0.25"/>
    <row r="16349" ht="15" customHeight="1" x14ac:dyDescent="0.25"/>
    <row r="16350" ht="15" customHeight="1" x14ac:dyDescent="0.25"/>
    <row r="16351" ht="15" customHeight="1" x14ac:dyDescent="0.25"/>
    <row r="16352" ht="15" customHeight="1" x14ac:dyDescent="0.25"/>
    <row r="16353" ht="15" customHeight="1" x14ac:dyDescent="0.25"/>
    <row r="16354" ht="15" customHeight="1" x14ac:dyDescent="0.25"/>
    <row r="16355" ht="15" customHeight="1" x14ac:dyDescent="0.25"/>
    <row r="16356" ht="15" customHeight="1" x14ac:dyDescent="0.25"/>
    <row r="16357" ht="15" customHeight="1" x14ac:dyDescent="0.25"/>
    <row r="16358" ht="15" customHeight="1" x14ac:dyDescent="0.25"/>
    <row r="16359" ht="15" customHeight="1" x14ac:dyDescent="0.25"/>
    <row r="16360" ht="15" customHeight="1" x14ac:dyDescent="0.25"/>
    <row r="16361" ht="15" customHeight="1" x14ac:dyDescent="0.25"/>
    <row r="16362" ht="15" customHeight="1" x14ac:dyDescent="0.25"/>
    <row r="16363" ht="15" customHeight="1" x14ac:dyDescent="0.25"/>
    <row r="16364" ht="15" customHeight="1" x14ac:dyDescent="0.25"/>
    <row r="16365" ht="15" customHeight="1" x14ac:dyDescent="0.25"/>
    <row r="16366" ht="15" customHeight="1" x14ac:dyDescent="0.25"/>
    <row r="16367" ht="15" customHeight="1" x14ac:dyDescent="0.25"/>
    <row r="16368" ht="15" customHeight="1" x14ac:dyDescent="0.25"/>
    <row r="16369" ht="15" customHeight="1" x14ac:dyDescent="0.25"/>
    <row r="16370" ht="15" customHeight="1" x14ac:dyDescent="0.25"/>
    <row r="16371" ht="15" customHeight="1" x14ac:dyDescent="0.25"/>
    <row r="16372" ht="15" customHeight="1" x14ac:dyDescent="0.25"/>
    <row r="16373" ht="15" customHeight="1" x14ac:dyDescent="0.25"/>
    <row r="16374" ht="15" customHeight="1" x14ac:dyDescent="0.25"/>
    <row r="16375" ht="15" customHeight="1" x14ac:dyDescent="0.25"/>
    <row r="16376" ht="15" customHeight="1" x14ac:dyDescent="0.25"/>
    <row r="16377" ht="15" customHeight="1" x14ac:dyDescent="0.25"/>
    <row r="16378" ht="15" customHeight="1" x14ac:dyDescent="0.25"/>
    <row r="16379" ht="15" customHeight="1" x14ac:dyDescent="0.25"/>
    <row r="16380" ht="15" customHeight="1" x14ac:dyDescent="0.25"/>
    <row r="16381" ht="15" customHeight="1" x14ac:dyDescent="0.25"/>
    <row r="16382" ht="15" customHeight="1" x14ac:dyDescent="0.25"/>
    <row r="16383" ht="15" customHeight="1" x14ac:dyDescent="0.25"/>
    <row r="16384" ht="15" customHeight="1" x14ac:dyDescent="0.25"/>
    <row r="16385" ht="15" customHeight="1" x14ac:dyDescent="0.25"/>
    <row r="16386" ht="15" customHeight="1" x14ac:dyDescent="0.25"/>
    <row r="16387" ht="15" customHeight="1" x14ac:dyDescent="0.25"/>
    <row r="16388" ht="15" customHeight="1" x14ac:dyDescent="0.25"/>
    <row r="16389" ht="15" customHeight="1" x14ac:dyDescent="0.25"/>
    <row r="16390" ht="15" customHeight="1" x14ac:dyDescent="0.25"/>
    <row r="16391" ht="15" customHeight="1" x14ac:dyDescent="0.25"/>
    <row r="16392" ht="15" customHeight="1" x14ac:dyDescent="0.25"/>
    <row r="16393" ht="15" customHeight="1" x14ac:dyDescent="0.25"/>
    <row r="16394" ht="15" customHeight="1" x14ac:dyDescent="0.25"/>
    <row r="16395" ht="15" customHeight="1" x14ac:dyDescent="0.25"/>
    <row r="16396" ht="15" customHeight="1" x14ac:dyDescent="0.25"/>
    <row r="16397" ht="15" customHeight="1" x14ac:dyDescent="0.25"/>
    <row r="16398" ht="15" customHeight="1" x14ac:dyDescent="0.25"/>
    <row r="16399" ht="15" customHeight="1" x14ac:dyDescent="0.25"/>
    <row r="16400" ht="15" customHeight="1" x14ac:dyDescent="0.25"/>
    <row r="16401" ht="15" customHeight="1" x14ac:dyDescent="0.25"/>
    <row r="16402" ht="15" customHeight="1" x14ac:dyDescent="0.25"/>
    <row r="16403" ht="15" customHeight="1" x14ac:dyDescent="0.25"/>
    <row r="16404" ht="15" customHeight="1" x14ac:dyDescent="0.25"/>
    <row r="16405" ht="15" customHeight="1" x14ac:dyDescent="0.25"/>
    <row r="16406" ht="15" customHeight="1" x14ac:dyDescent="0.25"/>
    <row r="16407" ht="15" customHeight="1" x14ac:dyDescent="0.25"/>
    <row r="16408" ht="15" customHeight="1" x14ac:dyDescent="0.25"/>
    <row r="16409" ht="15" customHeight="1" x14ac:dyDescent="0.25"/>
    <row r="16410" ht="15" customHeight="1" x14ac:dyDescent="0.25"/>
    <row r="16411" ht="15" customHeight="1" x14ac:dyDescent="0.25"/>
    <row r="16412" ht="15" customHeight="1" x14ac:dyDescent="0.25"/>
    <row r="16413" ht="15" customHeight="1" x14ac:dyDescent="0.25"/>
    <row r="16414" ht="15" customHeight="1" x14ac:dyDescent="0.25"/>
    <row r="16415" ht="15" customHeight="1" x14ac:dyDescent="0.25"/>
    <row r="16416" ht="15" customHeight="1" x14ac:dyDescent="0.25"/>
    <row r="16417" ht="15" customHeight="1" x14ac:dyDescent="0.25"/>
    <row r="16418" ht="15" customHeight="1" x14ac:dyDescent="0.25"/>
    <row r="16419" ht="15" customHeight="1" x14ac:dyDescent="0.25"/>
    <row r="16420" ht="15" customHeight="1" x14ac:dyDescent="0.25"/>
    <row r="16421" ht="15" customHeight="1" x14ac:dyDescent="0.25"/>
    <row r="16422" ht="15" customHeight="1" x14ac:dyDescent="0.25"/>
    <row r="16423" ht="15" customHeight="1" x14ac:dyDescent="0.25"/>
    <row r="16424" ht="15" customHeight="1" x14ac:dyDescent="0.25"/>
    <row r="16425" ht="15" customHeight="1" x14ac:dyDescent="0.25"/>
    <row r="16426" ht="15" customHeight="1" x14ac:dyDescent="0.25"/>
    <row r="16427" ht="15" customHeight="1" x14ac:dyDescent="0.25"/>
    <row r="16428" ht="15" customHeight="1" x14ac:dyDescent="0.25"/>
    <row r="16429" ht="15" customHeight="1" x14ac:dyDescent="0.25"/>
    <row r="16430" ht="15" customHeight="1" x14ac:dyDescent="0.25"/>
    <row r="16431" ht="15" customHeight="1" x14ac:dyDescent="0.25"/>
    <row r="16432" ht="15" customHeight="1" x14ac:dyDescent="0.25"/>
    <row r="16433" ht="15" customHeight="1" x14ac:dyDescent="0.25"/>
    <row r="16434" ht="15" customHeight="1" x14ac:dyDescent="0.25"/>
    <row r="16435" ht="15" customHeight="1" x14ac:dyDescent="0.25"/>
    <row r="16436" ht="15" customHeight="1" x14ac:dyDescent="0.25"/>
    <row r="16437" ht="15" customHeight="1" x14ac:dyDescent="0.25"/>
    <row r="16438" ht="15" customHeight="1" x14ac:dyDescent="0.25"/>
    <row r="16439" ht="15" customHeight="1" x14ac:dyDescent="0.25"/>
    <row r="16440" ht="15" customHeight="1" x14ac:dyDescent="0.25"/>
    <row r="16441" ht="15" customHeight="1" x14ac:dyDescent="0.25"/>
    <row r="16442" ht="15" customHeight="1" x14ac:dyDescent="0.25"/>
    <row r="16443" ht="15" customHeight="1" x14ac:dyDescent="0.25"/>
    <row r="16444" ht="15" customHeight="1" x14ac:dyDescent="0.25"/>
    <row r="16445" ht="15" customHeight="1" x14ac:dyDescent="0.25"/>
    <row r="16446" ht="15" customHeight="1" x14ac:dyDescent="0.25"/>
    <row r="16447" ht="15" customHeight="1" x14ac:dyDescent="0.25"/>
    <row r="16448" ht="15" customHeight="1" x14ac:dyDescent="0.25"/>
    <row r="16449" ht="15" customHeight="1" x14ac:dyDescent="0.25"/>
    <row r="16450" ht="15" customHeight="1" x14ac:dyDescent="0.25"/>
    <row r="16451" ht="15" customHeight="1" x14ac:dyDescent="0.25"/>
    <row r="16452" ht="15" customHeight="1" x14ac:dyDescent="0.25"/>
    <row r="16453" ht="15" customHeight="1" x14ac:dyDescent="0.25"/>
    <row r="16454" ht="15" customHeight="1" x14ac:dyDescent="0.25"/>
    <row r="16455" ht="15" customHeight="1" x14ac:dyDescent="0.25"/>
    <row r="16456" ht="15" customHeight="1" x14ac:dyDescent="0.25"/>
    <row r="16457" ht="15" customHeight="1" x14ac:dyDescent="0.25"/>
    <row r="16458" ht="15" customHeight="1" x14ac:dyDescent="0.25"/>
    <row r="16459" ht="15" customHeight="1" x14ac:dyDescent="0.25"/>
    <row r="16460" ht="15" customHeight="1" x14ac:dyDescent="0.25"/>
    <row r="16461" ht="15" customHeight="1" x14ac:dyDescent="0.25"/>
    <row r="16462" ht="15" customHeight="1" x14ac:dyDescent="0.25"/>
    <row r="16463" ht="15" customHeight="1" x14ac:dyDescent="0.25"/>
    <row r="16464" ht="15" customHeight="1" x14ac:dyDescent="0.25"/>
    <row r="16465" ht="15" customHeight="1" x14ac:dyDescent="0.25"/>
    <row r="16466" ht="15" customHeight="1" x14ac:dyDescent="0.25"/>
    <row r="16467" ht="15" customHeight="1" x14ac:dyDescent="0.25"/>
    <row r="16468" ht="15" customHeight="1" x14ac:dyDescent="0.25"/>
    <row r="16469" ht="15" customHeight="1" x14ac:dyDescent="0.25"/>
    <row r="16470" ht="15" customHeight="1" x14ac:dyDescent="0.25"/>
    <row r="16471" ht="15" customHeight="1" x14ac:dyDescent="0.25"/>
    <row r="16472" ht="15" customHeight="1" x14ac:dyDescent="0.25"/>
    <row r="16473" ht="15" customHeight="1" x14ac:dyDescent="0.25"/>
    <row r="16474" ht="15" customHeight="1" x14ac:dyDescent="0.25"/>
    <row r="16475" ht="15" customHeight="1" x14ac:dyDescent="0.25"/>
    <row r="16476" ht="15" customHeight="1" x14ac:dyDescent="0.25"/>
    <row r="16477" ht="15" customHeight="1" x14ac:dyDescent="0.25"/>
    <row r="16478" ht="15" customHeight="1" x14ac:dyDescent="0.25"/>
    <row r="16479" ht="15" customHeight="1" x14ac:dyDescent="0.25"/>
    <row r="16480" ht="15" customHeight="1" x14ac:dyDescent="0.25"/>
    <row r="16481" ht="15" customHeight="1" x14ac:dyDescent="0.25"/>
    <row r="16482" ht="15" customHeight="1" x14ac:dyDescent="0.25"/>
    <row r="16483" ht="15" customHeight="1" x14ac:dyDescent="0.25"/>
    <row r="16484" ht="15" customHeight="1" x14ac:dyDescent="0.25"/>
    <row r="16485" ht="15" customHeight="1" x14ac:dyDescent="0.25"/>
    <row r="16486" ht="15" customHeight="1" x14ac:dyDescent="0.25"/>
    <row r="16487" ht="15" customHeight="1" x14ac:dyDescent="0.25"/>
    <row r="16488" ht="15" customHeight="1" x14ac:dyDescent="0.25"/>
    <row r="16489" ht="15" customHeight="1" x14ac:dyDescent="0.25"/>
    <row r="16490" ht="15" customHeight="1" x14ac:dyDescent="0.25"/>
    <row r="16491" ht="15" customHeight="1" x14ac:dyDescent="0.25"/>
    <row r="16492" ht="15" customHeight="1" x14ac:dyDescent="0.25"/>
    <row r="16493" ht="15" customHeight="1" x14ac:dyDescent="0.25"/>
    <row r="16494" ht="15" customHeight="1" x14ac:dyDescent="0.25"/>
    <row r="16495" ht="15" customHeight="1" x14ac:dyDescent="0.25"/>
    <row r="16496" ht="15" customHeight="1" x14ac:dyDescent="0.25"/>
    <row r="16497" ht="15" customHeight="1" x14ac:dyDescent="0.25"/>
    <row r="16498" ht="15" customHeight="1" x14ac:dyDescent="0.25"/>
    <row r="16499" ht="15" customHeight="1" x14ac:dyDescent="0.25"/>
    <row r="16500" ht="15" customHeight="1" x14ac:dyDescent="0.25"/>
    <row r="16501" ht="15" customHeight="1" x14ac:dyDescent="0.25"/>
    <row r="16502" ht="15" customHeight="1" x14ac:dyDescent="0.25"/>
    <row r="16503" ht="15" customHeight="1" x14ac:dyDescent="0.25"/>
    <row r="16504" ht="15" customHeight="1" x14ac:dyDescent="0.25"/>
    <row r="16505" ht="15" customHeight="1" x14ac:dyDescent="0.25"/>
    <row r="16506" ht="15" customHeight="1" x14ac:dyDescent="0.25"/>
    <row r="16507" ht="15" customHeight="1" x14ac:dyDescent="0.25"/>
    <row r="16508" ht="15" customHeight="1" x14ac:dyDescent="0.25"/>
    <row r="16509" ht="15" customHeight="1" x14ac:dyDescent="0.25"/>
    <row r="16510" ht="15" customHeight="1" x14ac:dyDescent="0.25"/>
    <row r="16511" ht="15" customHeight="1" x14ac:dyDescent="0.25"/>
    <row r="16512" ht="15" customHeight="1" x14ac:dyDescent="0.25"/>
    <row r="16513" ht="15" customHeight="1" x14ac:dyDescent="0.25"/>
    <row r="16514" ht="15" customHeight="1" x14ac:dyDescent="0.25"/>
    <row r="16515" ht="15" customHeight="1" x14ac:dyDescent="0.25"/>
    <row r="16516" ht="15" customHeight="1" x14ac:dyDescent="0.25"/>
    <row r="16517" ht="15" customHeight="1" x14ac:dyDescent="0.25"/>
    <row r="16518" ht="15" customHeight="1" x14ac:dyDescent="0.25"/>
    <row r="16519" ht="15" customHeight="1" x14ac:dyDescent="0.25"/>
    <row r="16520" ht="15" customHeight="1" x14ac:dyDescent="0.25"/>
    <row r="16521" ht="15" customHeight="1" x14ac:dyDescent="0.25"/>
    <row r="16522" ht="15" customHeight="1" x14ac:dyDescent="0.25"/>
    <row r="16523" ht="15" customHeight="1" x14ac:dyDescent="0.25"/>
    <row r="16524" ht="15" customHeight="1" x14ac:dyDescent="0.25"/>
    <row r="16525" ht="15" customHeight="1" x14ac:dyDescent="0.25"/>
    <row r="16526" ht="15" customHeight="1" x14ac:dyDescent="0.25"/>
    <row r="16527" ht="15" customHeight="1" x14ac:dyDescent="0.25"/>
    <row r="16528" ht="15" customHeight="1" x14ac:dyDescent="0.25"/>
    <row r="16529" ht="15" customHeight="1" x14ac:dyDescent="0.25"/>
    <row r="16530" ht="15" customHeight="1" x14ac:dyDescent="0.25"/>
    <row r="16531" ht="15" customHeight="1" x14ac:dyDescent="0.25"/>
    <row r="16532" ht="15" customHeight="1" x14ac:dyDescent="0.25"/>
    <row r="16533" ht="15" customHeight="1" x14ac:dyDescent="0.25"/>
    <row r="16534" ht="15" customHeight="1" x14ac:dyDescent="0.25"/>
    <row r="16535" ht="15" customHeight="1" x14ac:dyDescent="0.25"/>
    <row r="16536" ht="15" customHeight="1" x14ac:dyDescent="0.25"/>
    <row r="16537" ht="15" customHeight="1" x14ac:dyDescent="0.25"/>
    <row r="16538" ht="15" customHeight="1" x14ac:dyDescent="0.25"/>
    <row r="16539" ht="15" customHeight="1" x14ac:dyDescent="0.25"/>
    <row r="16540" ht="15" customHeight="1" x14ac:dyDescent="0.25"/>
    <row r="16541" ht="15" customHeight="1" x14ac:dyDescent="0.25"/>
    <row r="16542" ht="15" customHeight="1" x14ac:dyDescent="0.25"/>
    <row r="16543" ht="15" customHeight="1" x14ac:dyDescent="0.25"/>
    <row r="16544" ht="15" customHeight="1" x14ac:dyDescent="0.25"/>
    <row r="16545" ht="15" customHeight="1" x14ac:dyDescent="0.25"/>
    <row r="16546" ht="15" customHeight="1" x14ac:dyDescent="0.25"/>
    <row r="16547" ht="15" customHeight="1" x14ac:dyDescent="0.25"/>
    <row r="16548" ht="15" customHeight="1" x14ac:dyDescent="0.25"/>
    <row r="16549" ht="15" customHeight="1" x14ac:dyDescent="0.25"/>
    <row r="16550" ht="15" customHeight="1" x14ac:dyDescent="0.25"/>
    <row r="16551" ht="15" customHeight="1" x14ac:dyDescent="0.25"/>
    <row r="16552" ht="15" customHeight="1" x14ac:dyDescent="0.25"/>
    <row r="16553" ht="15" customHeight="1" x14ac:dyDescent="0.25"/>
    <row r="16554" ht="15" customHeight="1" x14ac:dyDescent="0.25"/>
    <row r="16555" ht="15" customHeight="1" x14ac:dyDescent="0.25"/>
    <row r="16556" ht="15" customHeight="1" x14ac:dyDescent="0.25"/>
    <row r="16557" ht="15" customHeight="1" x14ac:dyDescent="0.25"/>
    <row r="16558" ht="15" customHeight="1" x14ac:dyDescent="0.25"/>
    <row r="16559" ht="15" customHeight="1" x14ac:dyDescent="0.25"/>
    <row r="16560" ht="15" customHeight="1" x14ac:dyDescent="0.25"/>
    <row r="16561" ht="15" customHeight="1" x14ac:dyDescent="0.25"/>
    <row r="16562" ht="15" customHeight="1" x14ac:dyDescent="0.25"/>
    <row r="16563" ht="15" customHeight="1" x14ac:dyDescent="0.25"/>
    <row r="16564" ht="15" customHeight="1" x14ac:dyDescent="0.25"/>
    <row r="16565" ht="15" customHeight="1" x14ac:dyDescent="0.25"/>
    <row r="16566" ht="15" customHeight="1" x14ac:dyDescent="0.25"/>
    <row r="16567" ht="15" customHeight="1" x14ac:dyDescent="0.25"/>
    <row r="16568" ht="15" customHeight="1" x14ac:dyDescent="0.25"/>
    <row r="16569" ht="15" customHeight="1" x14ac:dyDescent="0.25"/>
    <row r="16570" ht="15" customHeight="1" x14ac:dyDescent="0.25"/>
    <row r="16571" ht="15" customHeight="1" x14ac:dyDescent="0.25"/>
    <row r="16572" ht="15" customHeight="1" x14ac:dyDescent="0.25"/>
    <row r="16573" ht="15" customHeight="1" x14ac:dyDescent="0.25"/>
    <row r="16574" ht="15" customHeight="1" x14ac:dyDescent="0.25"/>
    <row r="16575" ht="15" customHeight="1" x14ac:dyDescent="0.25"/>
    <row r="16576" ht="15" customHeight="1" x14ac:dyDescent="0.25"/>
    <row r="16577" ht="15" customHeight="1" x14ac:dyDescent="0.25"/>
    <row r="16578" ht="15" customHeight="1" x14ac:dyDescent="0.25"/>
    <row r="16579" ht="15" customHeight="1" x14ac:dyDescent="0.25"/>
    <row r="16580" ht="15" customHeight="1" x14ac:dyDescent="0.25"/>
    <row r="16581" ht="15" customHeight="1" x14ac:dyDescent="0.25"/>
    <row r="16582" ht="15" customHeight="1" x14ac:dyDescent="0.25"/>
    <row r="16583" ht="15" customHeight="1" x14ac:dyDescent="0.25"/>
    <row r="16584" ht="15" customHeight="1" x14ac:dyDescent="0.25"/>
    <row r="16585" ht="15" customHeight="1" x14ac:dyDescent="0.25"/>
    <row r="16586" ht="15" customHeight="1" x14ac:dyDescent="0.25"/>
    <row r="16587" ht="15" customHeight="1" x14ac:dyDescent="0.25"/>
    <row r="16588" ht="15" customHeight="1" x14ac:dyDescent="0.25"/>
    <row r="16589" ht="15" customHeight="1" x14ac:dyDescent="0.25"/>
    <row r="16590" ht="15" customHeight="1" x14ac:dyDescent="0.25"/>
    <row r="16591" ht="15" customHeight="1" x14ac:dyDescent="0.25"/>
    <row r="16592" ht="15" customHeight="1" x14ac:dyDescent="0.25"/>
    <row r="16593" ht="15" customHeight="1" x14ac:dyDescent="0.25"/>
    <row r="16594" ht="15" customHeight="1" x14ac:dyDescent="0.25"/>
    <row r="16595" ht="15" customHeight="1" x14ac:dyDescent="0.25"/>
    <row r="16596" ht="15" customHeight="1" x14ac:dyDescent="0.25"/>
    <row r="16597" ht="15" customHeight="1" x14ac:dyDescent="0.25"/>
    <row r="16598" ht="15" customHeight="1" x14ac:dyDescent="0.25"/>
    <row r="16599" ht="15" customHeight="1" x14ac:dyDescent="0.25"/>
    <row r="16600" ht="15" customHeight="1" x14ac:dyDescent="0.25"/>
    <row r="16601" ht="15" customHeight="1" x14ac:dyDescent="0.25"/>
    <row r="16602" ht="15" customHeight="1" x14ac:dyDescent="0.25"/>
    <row r="16603" ht="15" customHeight="1" x14ac:dyDescent="0.25"/>
    <row r="16604" ht="15" customHeight="1" x14ac:dyDescent="0.25"/>
    <row r="16605" ht="15" customHeight="1" x14ac:dyDescent="0.25"/>
    <row r="16606" ht="15" customHeight="1" x14ac:dyDescent="0.25"/>
    <row r="16607" ht="15" customHeight="1" x14ac:dyDescent="0.25"/>
    <row r="16608" ht="15" customHeight="1" x14ac:dyDescent="0.25"/>
    <row r="16609" ht="15" customHeight="1" x14ac:dyDescent="0.25"/>
    <row r="16610" ht="15" customHeight="1" x14ac:dyDescent="0.25"/>
    <row r="16611" ht="15" customHeight="1" x14ac:dyDescent="0.25"/>
    <row r="16612" ht="15" customHeight="1" x14ac:dyDescent="0.25"/>
    <row r="16613" ht="15" customHeight="1" x14ac:dyDescent="0.25"/>
    <row r="16614" ht="15" customHeight="1" x14ac:dyDescent="0.25"/>
    <row r="16615" ht="15" customHeight="1" x14ac:dyDescent="0.25"/>
    <row r="16616" ht="15" customHeight="1" x14ac:dyDescent="0.25"/>
    <row r="16617" ht="15" customHeight="1" x14ac:dyDescent="0.25"/>
    <row r="16618" ht="15" customHeight="1" x14ac:dyDescent="0.25"/>
    <row r="16619" ht="15" customHeight="1" x14ac:dyDescent="0.25"/>
    <row r="16620" ht="15" customHeight="1" x14ac:dyDescent="0.25"/>
    <row r="16621" ht="15" customHeight="1" x14ac:dyDescent="0.25"/>
    <row r="16622" ht="15" customHeight="1" x14ac:dyDescent="0.25"/>
    <row r="16623" ht="15" customHeight="1" x14ac:dyDescent="0.25"/>
    <row r="16624" ht="15" customHeight="1" x14ac:dyDescent="0.25"/>
    <row r="16625" ht="15" customHeight="1" x14ac:dyDescent="0.25"/>
    <row r="16626" ht="15" customHeight="1" x14ac:dyDescent="0.25"/>
    <row r="16627" ht="15" customHeight="1" x14ac:dyDescent="0.25"/>
    <row r="16628" ht="15" customHeight="1" x14ac:dyDescent="0.25"/>
    <row r="16629" ht="15" customHeight="1" x14ac:dyDescent="0.25"/>
    <row r="16630" ht="15" customHeight="1" x14ac:dyDescent="0.25"/>
    <row r="16631" ht="15" customHeight="1" x14ac:dyDescent="0.25"/>
    <row r="16632" ht="15" customHeight="1" x14ac:dyDescent="0.25"/>
    <row r="16633" ht="15" customHeight="1" x14ac:dyDescent="0.25"/>
    <row r="16634" ht="15" customHeight="1" x14ac:dyDescent="0.25"/>
    <row r="16635" ht="15" customHeight="1" x14ac:dyDescent="0.25"/>
    <row r="16636" ht="15" customHeight="1" x14ac:dyDescent="0.25"/>
    <row r="16637" ht="15" customHeight="1" x14ac:dyDescent="0.25"/>
    <row r="16638" ht="15" customHeight="1" x14ac:dyDescent="0.25"/>
    <row r="16639" ht="15" customHeight="1" x14ac:dyDescent="0.25"/>
    <row r="16640" ht="15" customHeight="1" x14ac:dyDescent="0.25"/>
    <row r="16641" ht="15" customHeight="1" x14ac:dyDescent="0.25"/>
    <row r="16642" ht="15" customHeight="1" x14ac:dyDescent="0.25"/>
    <row r="16643" ht="15" customHeight="1" x14ac:dyDescent="0.25"/>
    <row r="16644" ht="15" customHeight="1" x14ac:dyDescent="0.25"/>
    <row r="16645" ht="15" customHeight="1" x14ac:dyDescent="0.25"/>
    <row r="16646" ht="15" customHeight="1" x14ac:dyDescent="0.25"/>
    <row r="16647" ht="15" customHeight="1" x14ac:dyDescent="0.25"/>
    <row r="16648" ht="15" customHeight="1" x14ac:dyDescent="0.25"/>
    <row r="16649" ht="15" customHeight="1" x14ac:dyDescent="0.25"/>
    <row r="16650" ht="15" customHeight="1" x14ac:dyDescent="0.25"/>
    <row r="16651" ht="15" customHeight="1" x14ac:dyDescent="0.25"/>
    <row r="16652" ht="15" customHeight="1" x14ac:dyDescent="0.25"/>
    <row r="16653" ht="15" customHeight="1" x14ac:dyDescent="0.25"/>
    <row r="16654" ht="15" customHeight="1" x14ac:dyDescent="0.25"/>
    <row r="16655" ht="15" customHeight="1" x14ac:dyDescent="0.25"/>
    <row r="16656" ht="15" customHeight="1" x14ac:dyDescent="0.25"/>
    <row r="16657" ht="15" customHeight="1" x14ac:dyDescent="0.25"/>
    <row r="16658" ht="15" customHeight="1" x14ac:dyDescent="0.25"/>
    <row r="16659" ht="15" customHeight="1" x14ac:dyDescent="0.25"/>
    <row r="16660" ht="15" customHeight="1" x14ac:dyDescent="0.25"/>
    <row r="16661" ht="15" customHeight="1" x14ac:dyDescent="0.25"/>
    <row r="16662" ht="15" customHeight="1" x14ac:dyDescent="0.25"/>
    <row r="16663" ht="15" customHeight="1" x14ac:dyDescent="0.25"/>
    <row r="16664" ht="15" customHeight="1" x14ac:dyDescent="0.25"/>
    <row r="16665" ht="15" customHeight="1" x14ac:dyDescent="0.25"/>
    <row r="16666" ht="15" customHeight="1" x14ac:dyDescent="0.25"/>
    <row r="16667" ht="15" customHeight="1" x14ac:dyDescent="0.25"/>
    <row r="16668" ht="15" customHeight="1" x14ac:dyDescent="0.25"/>
    <row r="16669" ht="15" customHeight="1" x14ac:dyDescent="0.25"/>
    <row r="16670" ht="15" customHeight="1" x14ac:dyDescent="0.25"/>
    <row r="16671" ht="15" customHeight="1" x14ac:dyDescent="0.25"/>
    <row r="16672" ht="15" customHeight="1" x14ac:dyDescent="0.25"/>
    <row r="16673" ht="15" customHeight="1" x14ac:dyDescent="0.25"/>
    <row r="16674" ht="15" customHeight="1" x14ac:dyDescent="0.25"/>
    <row r="16675" ht="15" customHeight="1" x14ac:dyDescent="0.25"/>
    <row r="16676" ht="15" customHeight="1" x14ac:dyDescent="0.25"/>
    <row r="16677" ht="15" customHeight="1" x14ac:dyDescent="0.25"/>
    <row r="16678" ht="15" customHeight="1" x14ac:dyDescent="0.25"/>
    <row r="16679" ht="15" customHeight="1" x14ac:dyDescent="0.25"/>
    <row r="16680" ht="15" customHeight="1" x14ac:dyDescent="0.25"/>
    <row r="16681" ht="15" customHeight="1" x14ac:dyDescent="0.25"/>
    <row r="16682" ht="15" customHeight="1" x14ac:dyDescent="0.25"/>
    <row r="16683" ht="15" customHeight="1" x14ac:dyDescent="0.25"/>
    <row r="16684" ht="15" customHeight="1" x14ac:dyDescent="0.25"/>
    <row r="16685" ht="15" customHeight="1" x14ac:dyDescent="0.25"/>
    <row r="16686" ht="15" customHeight="1" x14ac:dyDescent="0.25"/>
    <row r="16687" ht="15" customHeight="1" x14ac:dyDescent="0.25"/>
    <row r="16688" ht="15" customHeight="1" x14ac:dyDescent="0.25"/>
    <row r="16689" ht="15" customHeight="1" x14ac:dyDescent="0.25"/>
    <row r="16690" ht="15" customHeight="1" x14ac:dyDescent="0.25"/>
    <row r="16691" ht="15" customHeight="1" x14ac:dyDescent="0.25"/>
    <row r="16692" ht="15" customHeight="1" x14ac:dyDescent="0.25"/>
    <row r="16693" ht="15" customHeight="1" x14ac:dyDescent="0.25"/>
    <row r="16694" ht="15" customHeight="1" x14ac:dyDescent="0.25"/>
    <row r="16695" ht="15" customHeight="1" x14ac:dyDescent="0.25"/>
    <row r="16696" ht="15" customHeight="1" x14ac:dyDescent="0.25"/>
    <row r="16697" ht="15" customHeight="1" x14ac:dyDescent="0.25"/>
    <row r="16698" ht="15" customHeight="1" x14ac:dyDescent="0.25"/>
    <row r="16699" ht="15" customHeight="1" x14ac:dyDescent="0.25"/>
    <row r="16700" ht="15" customHeight="1" x14ac:dyDescent="0.25"/>
    <row r="16701" ht="15" customHeight="1" x14ac:dyDescent="0.25"/>
    <row r="16702" ht="15" customHeight="1" x14ac:dyDescent="0.25"/>
    <row r="16703" ht="15" customHeight="1" x14ac:dyDescent="0.25"/>
    <row r="16704" ht="15" customHeight="1" x14ac:dyDescent="0.25"/>
    <row r="16705" ht="15" customHeight="1" x14ac:dyDescent="0.25"/>
    <row r="16706" ht="15" customHeight="1" x14ac:dyDescent="0.25"/>
    <row r="16707" ht="15" customHeight="1" x14ac:dyDescent="0.25"/>
    <row r="16708" ht="15" customHeight="1" x14ac:dyDescent="0.25"/>
    <row r="16709" ht="15" customHeight="1" x14ac:dyDescent="0.25"/>
    <row r="16710" ht="15" customHeight="1" x14ac:dyDescent="0.25"/>
    <row r="16711" ht="15" customHeight="1" x14ac:dyDescent="0.25"/>
    <row r="16712" ht="15" customHeight="1" x14ac:dyDescent="0.25"/>
    <row r="16713" ht="15" customHeight="1" x14ac:dyDescent="0.25"/>
    <row r="16714" ht="15" customHeight="1" x14ac:dyDescent="0.25"/>
    <row r="16715" ht="15" customHeight="1" x14ac:dyDescent="0.25"/>
    <row r="16716" ht="15" customHeight="1" x14ac:dyDescent="0.25"/>
    <row r="16717" ht="15" customHeight="1" x14ac:dyDescent="0.25"/>
    <row r="16718" ht="15" customHeight="1" x14ac:dyDescent="0.25"/>
    <row r="16719" ht="15" customHeight="1" x14ac:dyDescent="0.25"/>
    <row r="16720" ht="15" customHeight="1" x14ac:dyDescent="0.25"/>
    <row r="16721" ht="15" customHeight="1" x14ac:dyDescent="0.25"/>
    <row r="16722" ht="15" customHeight="1" x14ac:dyDescent="0.25"/>
    <row r="16723" ht="15" customHeight="1" x14ac:dyDescent="0.25"/>
    <row r="16724" ht="15" customHeight="1" x14ac:dyDescent="0.25"/>
    <row r="16725" ht="15" customHeight="1" x14ac:dyDescent="0.25"/>
    <row r="16726" ht="15" customHeight="1" x14ac:dyDescent="0.25"/>
    <row r="16727" ht="15" customHeight="1" x14ac:dyDescent="0.25"/>
    <row r="16728" ht="15" customHeight="1" x14ac:dyDescent="0.25"/>
    <row r="16729" ht="15" customHeight="1" x14ac:dyDescent="0.25"/>
    <row r="16730" ht="15" customHeight="1" x14ac:dyDescent="0.25"/>
    <row r="16731" ht="15" customHeight="1" x14ac:dyDescent="0.25"/>
    <row r="16732" ht="15" customHeight="1" x14ac:dyDescent="0.25"/>
    <row r="16733" ht="15" customHeight="1" x14ac:dyDescent="0.25"/>
    <row r="16734" ht="15" customHeight="1" x14ac:dyDescent="0.25"/>
    <row r="16735" ht="15" customHeight="1" x14ac:dyDescent="0.25"/>
    <row r="16736" ht="15" customHeight="1" x14ac:dyDescent="0.25"/>
    <row r="16737" ht="15" customHeight="1" x14ac:dyDescent="0.25"/>
    <row r="16738" ht="15" customHeight="1" x14ac:dyDescent="0.25"/>
    <row r="16739" ht="15" customHeight="1" x14ac:dyDescent="0.25"/>
    <row r="16740" ht="15" customHeight="1" x14ac:dyDescent="0.25"/>
    <row r="16741" ht="15" customHeight="1" x14ac:dyDescent="0.25"/>
    <row r="16742" ht="15" customHeight="1" x14ac:dyDescent="0.25"/>
    <row r="16743" ht="15" customHeight="1" x14ac:dyDescent="0.25"/>
    <row r="16744" ht="15" customHeight="1" x14ac:dyDescent="0.25"/>
    <row r="16745" ht="15" customHeight="1" x14ac:dyDescent="0.25"/>
    <row r="16746" ht="15" customHeight="1" x14ac:dyDescent="0.25"/>
    <row r="16747" ht="15" customHeight="1" x14ac:dyDescent="0.25"/>
    <row r="16748" ht="15" customHeight="1" x14ac:dyDescent="0.25"/>
    <row r="16749" ht="15" customHeight="1" x14ac:dyDescent="0.25"/>
    <row r="16750" ht="15" customHeight="1" x14ac:dyDescent="0.25"/>
    <row r="16751" ht="15" customHeight="1" x14ac:dyDescent="0.25"/>
    <row r="16752" ht="15" customHeight="1" x14ac:dyDescent="0.25"/>
    <row r="16753" ht="15" customHeight="1" x14ac:dyDescent="0.25"/>
    <row r="16754" ht="15" customHeight="1" x14ac:dyDescent="0.25"/>
    <row r="16755" ht="15" customHeight="1" x14ac:dyDescent="0.25"/>
    <row r="16756" ht="15" customHeight="1" x14ac:dyDescent="0.25"/>
    <row r="16757" ht="15" customHeight="1" x14ac:dyDescent="0.25"/>
    <row r="16758" ht="15" customHeight="1" x14ac:dyDescent="0.25"/>
    <row r="16759" ht="15" customHeight="1" x14ac:dyDescent="0.25"/>
    <row r="16760" ht="15" customHeight="1" x14ac:dyDescent="0.25"/>
    <row r="16761" ht="15" customHeight="1" x14ac:dyDescent="0.25"/>
    <row r="16762" ht="15" customHeight="1" x14ac:dyDescent="0.25"/>
    <row r="16763" ht="15" customHeight="1" x14ac:dyDescent="0.25"/>
    <row r="16764" ht="15" customHeight="1" x14ac:dyDescent="0.25"/>
    <row r="16765" ht="15" customHeight="1" x14ac:dyDescent="0.25"/>
    <row r="16766" ht="15" customHeight="1" x14ac:dyDescent="0.25"/>
    <row r="16767" ht="15" customHeight="1" x14ac:dyDescent="0.25"/>
    <row r="16768" ht="15" customHeight="1" x14ac:dyDescent="0.25"/>
    <row r="16769" ht="15" customHeight="1" x14ac:dyDescent="0.25"/>
    <row r="16770" ht="15" customHeight="1" x14ac:dyDescent="0.25"/>
    <row r="16771" ht="15" customHeight="1" x14ac:dyDescent="0.25"/>
    <row r="16772" ht="15" customHeight="1" x14ac:dyDescent="0.25"/>
    <row r="16773" ht="15" customHeight="1" x14ac:dyDescent="0.25"/>
    <row r="16774" ht="15" customHeight="1" x14ac:dyDescent="0.25"/>
    <row r="16775" ht="15" customHeight="1" x14ac:dyDescent="0.25"/>
    <row r="16776" ht="15" customHeight="1" x14ac:dyDescent="0.25"/>
    <row r="16777" ht="15" customHeight="1" x14ac:dyDescent="0.25"/>
    <row r="16778" ht="15" customHeight="1" x14ac:dyDescent="0.25"/>
    <row r="16779" ht="15" customHeight="1" x14ac:dyDescent="0.25"/>
    <row r="16780" ht="15" customHeight="1" x14ac:dyDescent="0.25"/>
    <row r="16781" ht="15" customHeight="1" x14ac:dyDescent="0.25"/>
    <row r="16782" ht="15" customHeight="1" x14ac:dyDescent="0.25"/>
    <row r="16783" ht="15" customHeight="1" x14ac:dyDescent="0.25"/>
    <row r="16784" ht="15" customHeight="1" x14ac:dyDescent="0.25"/>
    <row r="16785" ht="15" customHeight="1" x14ac:dyDescent="0.25"/>
    <row r="16786" ht="15" customHeight="1" x14ac:dyDescent="0.25"/>
    <row r="16787" ht="15" customHeight="1" x14ac:dyDescent="0.25"/>
    <row r="16788" ht="15" customHeight="1" x14ac:dyDescent="0.25"/>
    <row r="16789" ht="15" customHeight="1" x14ac:dyDescent="0.25"/>
    <row r="16790" ht="15" customHeight="1" x14ac:dyDescent="0.25"/>
    <row r="16791" ht="15" customHeight="1" x14ac:dyDescent="0.25"/>
    <row r="16792" ht="15" customHeight="1" x14ac:dyDescent="0.25"/>
    <row r="16793" ht="15" customHeight="1" x14ac:dyDescent="0.25"/>
    <row r="16794" ht="15" customHeight="1" x14ac:dyDescent="0.25"/>
    <row r="16795" ht="15" customHeight="1" x14ac:dyDescent="0.25"/>
    <row r="16796" ht="15" customHeight="1" x14ac:dyDescent="0.25"/>
    <row r="16797" ht="15" customHeight="1" x14ac:dyDescent="0.25"/>
    <row r="16798" ht="15" customHeight="1" x14ac:dyDescent="0.25"/>
    <row r="16799" ht="15" customHeight="1" x14ac:dyDescent="0.25"/>
    <row r="16800" ht="15" customHeight="1" x14ac:dyDescent="0.25"/>
    <row r="16801" ht="15" customHeight="1" x14ac:dyDescent="0.25"/>
    <row r="16802" ht="15" customHeight="1" x14ac:dyDescent="0.25"/>
    <row r="16803" ht="15" customHeight="1" x14ac:dyDescent="0.25"/>
    <row r="16804" ht="15" customHeight="1" x14ac:dyDescent="0.25"/>
    <row r="16805" ht="15" customHeight="1" x14ac:dyDescent="0.25"/>
    <row r="16806" ht="15" customHeight="1" x14ac:dyDescent="0.25"/>
    <row r="16807" ht="15" customHeight="1" x14ac:dyDescent="0.25"/>
    <row r="16808" ht="15" customHeight="1" x14ac:dyDescent="0.25"/>
    <row r="16809" ht="15" customHeight="1" x14ac:dyDescent="0.25"/>
    <row r="16810" ht="15" customHeight="1" x14ac:dyDescent="0.25"/>
    <row r="16811" ht="15" customHeight="1" x14ac:dyDescent="0.25"/>
    <row r="16812" ht="15" customHeight="1" x14ac:dyDescent="0.25"/>
    <row r="16813" ht="15" customHeight="1" x14ac:dyDescent="0.25"/>
    <row r="16814" ht="15" customHeight="1" x14ac:dyDescent="0.25"/>
    <row r="16815" ht="15" customHeight="1" x14ac:dyDescent="0.25"/>
    <row r="16816" ht="15" customHeight="1" x14ac:dyDescent="0.25"/>
    <row r="16817" ht="15" customHeight="1" x14ac:dyDescent="0.25"/>
    <row r="16818" ht="15" customHeight="1" x14ac:dyDescent="0.25"/>
    <row r="16819" ht="15" customHeight="1" x14ac:dyDescent="0.25"/>
    <row r="16820" ht="15" customHeight="1" x14ac:dyDescent="0.25"/>
    <row r="16821" ht="15" customHeight="1" x14ac:dyDescent="0.25"/>
    <row r="16822" ht="15" customHeight="1" x14ac:dyDescent="0.25"/>
    <row r="16823" ht="15" customHeight="1" x14ac:dyDescent="0.25"/>
    <row r="16824" ht="15" customHeight="1" x14ac:dyDescent="0.25"/>
    <row r="16825" ht="15" customHeight="1" x14ac:dyDescent="0.25"/>
    <row r="16826" ht="15" customHeight="1" x14ac:dyDescent="0.25"/>
    <row r="16827" ht="15" customHeight="1" x14ac:dyDescent="0.25"/>
    <row r="16828" ht="15" customHeight="1" x14ac:dyDescent="0.25"/>
    <row r="16829" ht="15" customHeight="1" x14ac:dyDescent="0.25"/>
    <row r="16830" ht="15" customHeight="1" x14ac:dyDescent="0.25"/>
    <row r="16831" ht="15" customHeight="1" x14ac:dyDescent="0.25"/>
    <row r="16832" ht="15" customHeight="1" x14ac:dyDescent="0.25"/>
    <row r="16833" ht="15" customHeight="1" x14ac:dyDescent="0.25"/>
    <row r="16834" ht="15" customHeight="1" x14ac:dyDescent="0.25"/>
    <row r="16835" ht="15" customHeight="1" x14ac:dyDescent="0.25"/>
    <row r="16836" ht="15" customHeight="1" x14ac:dyDescent="0.25"/>
    <row r="16837" ht="15" customHeight="1" x14ac:dyDescent="0.25"/>
    <row r="16838" ht="15" customHeight="1" x14ac:dyDescent="0.25"/>
    <row r="16839" ht="15" customHeight="1" x14ac:dyDescent="0.25"/>
    <row r="16840" ht="15" customHeight="1" x14ac:dyDescent="0.25"/>
    <row r="16841" ht="15" customHeight="1" x14ac:dyDescent="0.25"/>
    <row r="16842" ht="15" customHeight="1" x14ac:dyDescent="0.25"/>
    <row r="16843" ht="15" customHeight="1" x14ac:dyDescent="0.25"/>
    <row r="16844" ht="15" customHeight="1" x14ac:dyDescent="0.25"/>
    <row r="16845" ht="15" customHeight="1" x14ac:dyDescent="0.25"/>
    <row r="16846" ht="15" customHeight="1" x14ac:dyDescent="0.25"/>
    <row r="16847" ht="15" customHeight="1" x14ac:dyDescent="0.25"/>
    <row r="16848" ht="15" customHeight="1" x14ac:dyDescent="0.25"/>
    <row r="16849" ht="15" customHeight="1" x14ac:dyDescent="0.25"/>
    <row r="16850" ht="15" customHeight="1" x14ac:dyDescent="0.25"/>
    <row r="16851" ht="15" customHeight="1" x14ac:dyDescent="0.25"/>
    <row r="16852" ht="15" customHeight="1" x14ac:dyDescent="0.25"/>
    <row r="16853" ht="15" customHeight="1" x14ac:dyDescent="0.25"/>
    <row r="16854" ht="15" customHeight="1" x14ac:dyDescent="0.25"/>
    <row r="16855" ht="15" customHeight="1" x14ac:dyDescent="0.25"/>
    <row r="16856" ht="15" customHeight="1" x14ac:dyDescent="0.25"/>
    <row r="16857" ht="15" customHeight="1" x14ac:dyDescent="0.25"/>
    <row r="16858" ht="15" customHeight="1" x14ac:dyDescent="0.25"/>
    <row r="16859" ht="15" customHeight="1" x14ac:dyDescent="0.25"/>
    <row r="16860" ht="15" customHeight="1" x14ac:dyDescent="0.25"/>
    <row r="16861" ht="15" customHeight="1" x14ac:dyDescent="0.25"/>
    <row r="16862" ht="15" customHeight="1" x14ac:dyDescent="0.25"/>
    <row r="16863" ht="15" customHeight="1" x14ac:dyDescent="0.25"/>
    <row r="16864" ht="15" customHeight="1" x14ac:dyDescent="0.25"/>
    <row r="16865" ht="15" customHeight="1" x14ac:dyDescent="0.25"/>
    <row r="16866" ht="15" customHeight="1" x14ac:dyDescent="0.25"/>
    <row r="16867" ht="15" customHeight="1" x14ac:dyDescent="0.25"/>
    <row r="16868" ht="15" customHeight="1" x14ac:dyDescent="0.25"/>
    <row r="16869" ht="15" customHeight="1" x14ac:dyDescent="0.25"/>
    <row r="16870" ht="15" customHeight="1" x14ac:dyDescent="0.25"/>
    <row r="16871" ht="15" customHeight="1" x14ac:dyDescent="0.25"/>
    <row r="16872" ht="15" customHeight="1" x14ac:dyDescent="0.25"/>
    <row r="16873" ht="15" customHeight="1" x14ac:dyDescent="0.25"/>
    <row r="16874" ht="15" customHeight="1" x14ac:dyDescent="0.25"/>
    <row r="16875" ht="15" customHeight="1" x14ac:dyDescent="0.25"/>
    <row r="16876" ht="15" customHeight="1" x14ac:dyDescent="0.25"/>
    <row r="16877" ht="15" customHeight="1" x14ac:dyDescent="0.25"/>
    <row r="16878" ht="15" customHeight="1" x14ac:dyDescent="0.25"/>
    <row r="16879" ht="15" customHeight="1" x14ac:dyDescent="0.25"/>
    <row r="16880" ht="15" customHeight="1" x14ac:dyDescent="0.25"/>
    <row r="16881" ht="15" customHeight="1" x14ac:dyDescent="0.25"/>
    <row r="16882" ht="15" customHeight="1" x14ac:dyDescent="0.25"/>
    <row r="16883" ht="15" customHeight="1" x14ac:dyDescent="0.25"/>
    <row r="16884" ht="15" customHeight="1" x14ac:dyDescent="0.25"/>
    <row r="16885" ht="15" customHeight="1" x14ac:dyDescent="0.25"/>
    <row r="16886" ht="15" customHeight="1" x14ac:dyDescent="0.25"/>
    <row r="16887" ht="15" customHeight="1" x14ac:dyDescent="0.25"/>
    <row r="16888" ht="15" customHeight="1" x14ac:dyDescent="0.25"/>
    <row r="16889" ht="15" customHeight="1" x14ac:dyDescent="0.25"/>
    <row r="16890" ht="15" customHeight="1" x14ac:dyDescent="0.25"/>
    <row r="16891" ht="15" customHeight="1" x14ac:dyDescent="0.25"/>
    <row r="16892" ht="15" customHeight="1" x14ac:dyDescent="0.25"/>
    <row r="16893" ht="15" customHeight="1" x14ac:dyDescent="0.25"/>
    <row r="16894" ht="15" customHeight="1" x14ac:dyDescent="0.25"/>
    <row r="16895" ht="15" customHeight="1" x14ac:dyDescent="0.25"/>
    <row r="16896" ht="15" customHeight="1" x14ac:dyDescent="0.25"/>
    <row r="16897" ht="15" customHeight="1" x14ac:dyDescent="0.25"/>
    <row r="16898" ht="15" customHeight="1" x14ac:dyDescent="0.25"/>
    <row r="16899" ht="15" customHeight="1" x14ac:dyDescent="0.25"/>
    <row r="16900" ht="15" customHeight="1" x14ac:dyDescent="0.25"/>
    <row r="16901" ht="15" customHeight="1" x14ac:dyDescent="0.25"/>
    <row r="16902" ht="15" customHeight="1" x14ac:dyDescent="0.25"/>
    <row r="16903" ht="15" customHeight="1" x14ac:dyDescent="0.25"/>
    <row r="16904" ht="15" customHeight="1" x14ac:dyDescent="0.25"/>
    <row r="16905" ht="15" customHeight="1" x14ac:dyDescent="0.25"/>
    <row r="16906" ht="15" customHeight="1" x14ac:dyDescent="0.25"/>
    <row r="16907" ht="15" customHeight="1" x14ac:dyDescent="0.25"/>
    <row r="16908" ht="15" customHeight="1" x14ac:dyDescent="0.25"/>
    <row r="16909" ht="15" customHeight="1" x14ac:dyDescent="0.25"/>
    <row r="16910" ht="15" customHeight="1" x14ac:dyDescent="0.25"/>
    <row r="16911" ht="15" customHeight="1" x14ac:dyDescent="0.25"/>
    <row r="16912" ht="15" customHeight="1" x14ac:dyDescent="0.25"/>
    <row r="16913" ht="15" customHeight="1" x14ac:dyDescent="0.25"/>
    <row r="16914" ht="15" customHeight="1" x14ac:dyDescent="0.25"/>
    <row r="16915" ht="15" customHeight="1" x14ac:dyDescent="0.25"/>
    <row r="16916" ht="15" customHeight="1" x14ac:dyDescent="0.25"/>
    <row r="16917" ht="15" customHeight="1" x14ac:dyDescent="0.25"/>
    <row r="16918" ht="15" customHeight="1" x14ac:dyDescent="0.25"/>
    <row r="16919" ht="15" customHeight="1" x14ac:dyDescent="0.25"/>
    <row r="16920" ht="15" customHeight="1" x14ac:dyDescent="0.25"/>
    <row r="16921" ht="15" customHeight="1" x14ac:dyDescent="0.25"/>
    <row r="16922" ht="15" customHeight="1" x14ac:dyDescent="0.25"/>
    <row r="16923" ht="15" customHeight="1" x14ac:dyDescent="0.25"/>
    <row r="16924" ht="15" customHeight="1" x14ac:dyDescent="0.25"/>
    <row r="16925" ht="15" customHeight="1" x14ac:dyDescent="0.25"/>
    <row r="16926" ht="15" customHeight="1" x14ac:dyDescent="0.25"/>
    <row r="16927" ht="15" customHeight="1" x14ac:dyDescent="0.25"/>
    <row r="16928" ht="15" customHeight="1" x14ac:dyDescent="0.25"/>
    <row r="16929" ht="15" customHeight="1" x14ac:dyDescent="0.25"/>
    <row r="16930" ht="15" customHeight="1" x14ac:dyDescent="0.25"/>
    <row r="16931" ht="15" customHeight="1" x14ac:dyDescent="0.25"/>
    <row r="16932" ht="15" customHeight="1" x14ac:dyDescent="0.25"/>
    <row r="16933" ht="15" customHeight="1" x14ac:dyDescent="0.25"/>
    <row r="16934" ht="15" customHeight="1" x14ac:dyDescent="0.25"/>
    <row r="16935" ht="15" customHeight="1" x14ac:dyDescent="0.25"/>
    <row r="16936" ht="15" customHeight="1" x14ac:dyDescent="0.25"/>
    <row r="16937" ht="15" customHeight="1" x14ac:dyDescent="0.25"/>
    <row r="16938" ht="15" customHeight="1" x14ac:dyDescent="0.25"/>
    <row r="16939" ht="15" customHeight="1" x14ac:dyDescent="0.25"/>
    <row r="16940" ht="15" customHeight="1" x14ac:dyDescent="0.25"/>
    <row r="16941" ht="15" customHeight="1" x14ac:dyDescent="0.25"/>
    <row r="16942" ht="15" customHeight="1" x14ac:dyDescent="0.25"/>
    <row r="16943" ht="15" customHeight="1" x14ac:dyDescent="0.25"/>
    <row r="16944" ht="15" customHeight="1" x14ac:dyDescent="0.25"/>
    <row r="16945" ht="15" customHeight="1" x14ac:dyDescent="0.25"/>
    <row r="16946" ht="15" customHeight="1" x14ac:dyDescent="0.25"/>
    <row r="16947" ht="15" customHeight="1" x14ac:dyDescent="0.25"/>
    <row r="16948" ht="15" customHeight="1" x14ac:dyDescent="0.25"/>
    <row r="16949" ht="15" customHeight="1" x14ac:dyDescent="0.25"/>
    <row r="16950" ht="15" customHeight="1" x14ac:dyDescent="0.25"/>
    <row r="16951" ht="15" customHeight="1" x14ac:dyDescent="0.25"/>
    <row r="16952" ht="15" customHeight="1" x14ac:dyDescent="0.25"/>
    <row r="16953" ht="15" customHeight="1" x14ac:dyDescent="0.25"/>
    <row r="16954" ht="15" customHeight="1" x14ac:dyDescent="0.25"/>
    <row r="16955" ht="15" customHeight="1" x14ac:dyDescent="0.25"/>
    <row r="16956" ht="15" customHeight="1" x14ac:dyDescent="0.25"/>
    <row r="16957" ht="15" customHeight="1" x14ac:dyDescent="0.25"/>
    <row r="16958" ht="15" customHeight="1" x14ac:dyDescent="0.25"/>
    <row r="16959" ht="15" customHeight="1" x14ac:dyDescent="0.25"/>
    <row r="16960" ht="15" customHeight="1" x14ac:dyDescent="0.25"/>
    <row r="16961" ht="15" customHeight="1" x14ac:dyDescent="0.25"/>
    <row r="16962" ht="15" customHeight="1" x14ac:dyDescent="0.25"/>
    <row r="16963" ht="15" customHeight="1" x14ac:dyDescent="0.25"/>
    <row r="16964" ht="15" customHeight="1" x14ac:dyDescent="0.25"/>
    <row r="16965" ht="15" customHeight="1" x14ac:dyDescent="0.25"/>
    <row r="16966" ht="15" customHeight="1" x14ac:dyDescent="0.25"/>
    <row r="16967" ht="15" customHeight="1" x14ac:dyDescent="0.25"/>
    <row r="16968" ht="15" customHeight="1" x14ac:dyDescent="0.25"/>
    <row r="16969" ht="15" customHeight="1" x14ac:dyDescent="0.25"/>
    <row r="16970" ht="15" customHeight="1" x14ac:dyDescent="0.25"/>
    <row r="16971" ht="15" customHeight="1" x14ac:dyDescent="0.25"/>
    <row r="16972" ht="15" customHeight="1" x14ac:dyDescent="0.25"/>
    <row r="16973" ht="15" customHeight="1" x14ac:dyDescent="0.25"/>
    <row r="16974" ht="15" customHeight="1" x14ac:dyDescent="0.25"/>
    <row r="16975" ht="15" customHeight="1" x14ac:dyDescent="0.25"/>
    <row r="16976" ht="15" customHeight="1" x14ac:dyDescent="0.25"/>
    <row r="16977" ht="15" customHeight="1" x14ac:dyDescent="0.25"/>
    <row r="16978" ht="15" customHeight="1" x14ac:dyDescent="0.25"/>
    <row r="16979" ht="15" customHeight="1" x14ac:dyDescent="0.25"/>
    <row r="16980" ht="15" customHeight="1" x14ac:dyDescent="0.25"/>
    <row r="16981" ht="15" customHeight="1" x14ac:dyDescent="0.25"/>
    <row r="16982" ht="15" customHeight="1" x14ac:dyDescent="0.25"/>
    <row r="16983" ht="15" customHeight="1" x14ac:dyDescent="0.25"/>
    <row r="16984" ht="15" customHeight="1" x14ac:dyDescent="0.25"/>
    <row r="16985" ht="15" customHeight="1" x14ac:dyDescent="0.25"/>
    <row r="16986" ht="15" customHeight="1" x14ac:dyDescent="0.25"/>
    <row r="16987" ht="15" customHeight="1" x14ac:dyDescent="0.25"/>
    <row r="16988" ht="15" customHeight="1" x14ac:dyDescent="0.25"/>
    <row r="16989" ht="15" customHeight="1" x14ac:dyDescent="0.25"/>
    <row r="16990" ht="15" customHeight="1" x14ac:dyDescent="0.25"/>
    <row r="16991" ht="15" customHeight="1" x14ac:dyDescent="0.25"/>
    <row r="16992" ht="15" customHeight="1" x14ac:dyDescent="0.25"/>
    <row r="16993" ht="15" customHeight="1" x14ac:dyDescent="0.25"/>
    <row r="16994" ht="15" customHeight="1" x14ac:dyDescent="0.25"/>
    <row r="16995" ht="15" customHeight="1" x14ac:dyDescent="0.25"/>
    <row r="16996" ht="15" customHeight="1" x14ac:dyDescent="0.25"/>
    <row r="16997" ht="15" customHeight="1" x14ac:dyDescent="0.25"/>
    <row r="16998" ht="15" customHeight="1" x14ac:dyDescent="0.25"/>
    <row r="16999" ht="15" customHeight="1" x14ac:dyDescent="0.25"/>
    <row r="17000" ht="15" customHeight="1" x14ac:dyDescent="0.25"/>
    <row r="17001" ht="15" customHeight="1" x14ac:dyDescent="0.25"/>
    <row r="17002" ht="15" customHeight="1" x14ac:dyDescent="0.25"/>
    <row r="17003" ht="15" customHeight="1" x14ac:dyDescent="0.25"/>
    <row r="17004" ht="15" customHeight="1" x14ac:dyDescent="0.25"/>
    <row r="17005" ht="15" customHeight="1" x14ac:dyDescent="0.25"/>
    <row r="17006" ht="15" customHeight="1" x14ac:dyDescent="0.25"/>
    <row r="17007" ht="15" customHeight="1" x14ac:dyDescent="0.25"/>
    <row r="17008" ht="15" customHeight="1" x14ac:dyDescent="0.25"/>
    <row r="17009" ht="15" customHeight="1" x14ac:dyDescent="0.25"/>
    <row r="17010" ht="15" customHeight="1" x14ac:dyDescent="0.25"/>
    <row r="17011" ht="15" customHeight="1" x14ac:dyDescent="0.25"/>
    <row r="17012" ht="15" customHeight="1" x14ac:dyDescent="0.25"/>
    <row r="17013" ht="15" customHeight="1" x14ac:dyDescent="0.25"/>
    <row r="17014" ht="15" customHeight="1" x14ac:dyDescent="0.25"/>
    <row r="17015" ht="15" customHeight="1" x14ac:dyDescent="0.25"/>
    <row r="17016" ht="15" customHeight="1" x14ac:dyDescent="0.25"/>
    <row r="17017" ht="15" customHeight="1" x14ac:dyDescent="0.25"/>
    <row r="17018" ht="15" customHeight="1" x14ac:dyDescent="0.25"/>
    <row r="17019" ht="15" customHeight="1" x14ac:dyDescent="0.25"/>
    <row r="17020" ht="15" customHeight="1" x14ac:dyDescent="0.25"/>
    <row r="17021" ht="15" customHeight="1" x14ac:dyDescent="0.25"/>
    <row r="17022" ht="15" customHeight="1" x14ac:dyDescent="0.25"/>
    <row r="17023" ht="15" customHeight="1" x14ac:dyDescent="0.25"/>
    <row r="17024" ht="15" customHeight="1" x14ac:dyDescent="0.25"/>
    <row r="17025" ht="15" customHeight="1" x14ac:dyDescent="0.25"/>
    <row r="17026" ht="15" customHeight="1" x14ac:dyDescent="0.25"/>
    <row r="17027" ht="15" customHeight="1" x14ac:dyDescent="0.25"/>
    <row r="17028" ht="15" customHeight="1" x14ac:dyDescent="0.25"/>
    <row r="17029" ht="15" customHeight="1" x14ac:dyDescent="0.25"/>
    <row r="17030" ht="15" customHeight="1" x14ac:dyDescent="0.25"/>
    <row r="17031" ht="15" customHeight="1" x14ac:dyDescent="0.25"/>
    <row r="17032" ht="15" customHeight="1" x14ac:dyDescent="0.25"/>
    <row r="17033" ht="15" customHeight="1" x14ac:dyDescent="0.25"/>
    <row r="17034" ht="15" customHeight="1" x14ac:dyDescent="0.25"/>
    <row r="17035" ht="15" customHeight="1" x14ac:dyDescent="0.25"/>
    <row r="17036" ht="15" customHeight="1" x14ac:dyDescent="0.25"/>
    <row r="17037" ht="15" customHeight="1" x14ac:dyDescent="0.25"/>
    <row r="17038" ht="15" customHeight="1" x14ac:dyDescent="0.25"/>
    <row r="17039" ht="15" customHeight="1" x14ac:dyDescent="0.25"/>
    <row r="17040" ht="15" customHeight="1" x14ac:dyDescent="0.25"/>
    <row r="17041" ht="15" customHeight="1" x14ac:dyDescent="0.25"/>
    <row r="17042" ht="15" customHeight="1" x14ac:dyDescent="0.25"/>
    <row r="17043" ht="15" customHeight="1" x14ac:dyDescent="0.25"/>
    <row r="17044" ht="15" customHeight="1" x14ac:dyDescent="0.25"/>
    <row r="17045" ht="15" customHeight="1" x14ac:dyDescent="0.25"/>
    <row r="17046" ht="15" customHeight="1" x14ac:dyDescent="0.25"/>
    <row r="17047" ht="15" customHeight="1" x14ac:dyDescent="0.25"/>
    <row r="17048" ht="15" customHeight="1" x14ac:dyDescent="0.25"/>
    <row r="17049" ht="15" customHeight="1" x14ac:dyDescent="0.25"/>
    <row r="17050" ht="15" customHeight="1" x14ac:dyDescent="0.25"/>
    <row r="17051" ht="15" customHeight="1" x14ac:dyDescent="0.25"/>
    <row r="17052" ht="15" customHeight="1" x14ac:dyDescent="0.25"/>
    <row r="17053" ht="15" customHeight="1" x14ac:dyDescent="0.25"/>
    <row r="17054" ht="15" customHeight="1" x14ac:dyDescent="0.25"/>
    <row r="17055" ht="15" customHeight="1" x14ac:dyDescent="0.25"/>
    <row r="17056" ht="15" customHeight="1" x14ac:dyDescent="0.25"/>
    <row r="17057" ht="15" customHeight="1" x14ac:dyDescent="0.25"/>
    <row r="17058" ht="15" customHeight="1" x14ac:dyDescent="0.25"/>
    <row r="17059" ht="15" customHeight="1" x14ac:dyDescent="0.25"/>
    <row r="17060" ht="15" customHeight="1" x14ac:dyDescent="0.25"/>
    <row r="17061" ht="15" customHeight="1" x14ac:dyDescent="0.25"/>
    <row r="17062" ht="15" customHeight="1" x14ac:dyDescent="0.25"/>
    <row r="17063" ht="15" customHeight="1" x14ac:dyDescent="0.25"/>
    <row r="17064" ht="15" customHeight="1" x14ac:dyDescent="0.25"/>
    <row r="17065" ht="15" customHeight="1" x14ac:dyDescent="0.25"/>
    <row r="17066" ht="15" customHeight="1" x14ac:dyDescent="0.25"/>
    <row r="17067" ht="15" customHeight="1" x14ac:dyDescent="0.25"/>
    <row r="17068" ht="15" customHeight="1" x14ac:dyDescent="0.25"/>
    <row r="17069" ht="15" customHeight="1" x14ac:dyDescent="0.25"/>
    <row r="17070" ht="15" customHeight="1" x14ac:dyDescent="0.25"/>
    <row r="17071" ht="15" customHeight="1" x14ac:dyDescent="0.25"/>
    <row r="17072" ht="15" customHeight="1" x14ac:dyDescent="0.25"/>
    <row r="17073" ht="15" customHeight="1" x14ac:dyDescent="0.25"/>
    <row r="17074" ht="15" customHeight="1" x14ac:dyDescent="0.25"/>
    <row r="17075" ht="15" customHeight="1" x14ac:dyDescent="0.25"/>
    <row r="17076" ht="15" customHeight="1" x14ac:dyDescent="0.25"/>
    <row r="17077" ht="15" customHeight="1" x14ac:dyDescent="0.25"/>
    <row r="17078" ht="15" customHeight="1" x14ac:dyDescent="0.25"/>
    <row r="17079" ht="15" customHeight="1" x14ac:dyDescent="0.25"/>
    <row r="17080" ht="15" customHeight="1" x14ac:dyDescent="0.25"/>
    <row r="17081" ht="15" customHeight="1" x14ac:dyDescent="0.25"/>
    <row r="17082" ht="15" customHeight="1" x14ac:dyDescent="0.25"/>
    <row r="17083" ht="15" customHeight="1" x14ac:dyDescent="0.25"/>
    <row r="17084" ht="15" customHeight="1" x14ac:dyDescent="0.25"/>
    <row r="17085" ht="15" customHeight="1" x14ac:dyDescent="0.25"/>
    <row r="17086" ht="15" customHeight="1" x14ac:dyDescent="0.25"/>
    <row r="17087" ht="15" customHeight="1" x14ac:dyDescent="0.25"/>
    <row r="17088" ht="15" customHeight="1" x14ac:dyDescent="0.25"/>
    <row r="17089" ht="15" customHeight="1" x14ac:dyDescent="0.25"/>
    <row r="17090" ht="15" customHeight="1" x14ac:dyDescent="0.25"/>
    <row r="17091" ht="15" customHeight="1" x14ac:dyDescent="0.25"/>
    <row r="17092" ht="15" customHeight="1" x14ac:dyDescent="0.25"/>
    <row r="17093" ht="15" customHeight="1" x14ac:dyDescent="0.25"/>
    <row r="17094" ht="15" customHeight="1" x14ac:dyDescent="0.25"/>
    <row r="17095" ht="15" customHeight="1" x14ac:dyDescent="0.25"/>
    <row r="17096" ht="15" customHeight="1" x14ac:dyDescent="0.25"/>
    <row r="17097" ht="15" customHeight="1" x14ac:dyDescent="0.25"/>
    <row r="17098" ht="15" customHeight="1" x14ac:dyDescent="0.25"/>
    <row r="17099" ht="15" customHeight="1" x14ac:dyDescent="0.25"/>
    <row r="17100" ht="15" customHeight="1" x14ac:dyDescent="0.25"/>
    <row r="17101" ht="15" customHeight="1" x14ac:dyDescent="0.25"/>
    <row r="17102" ht="15" customHeight="1" x14ac:dyDescent="0.25"/>
    <row r="17103" ht="15" customHeight="1" x14ac:dyDescent="0.25"/>
    <row r="17104" ht="15" customHeight="1" x14ac:dyDescent="0.25"/>
    <row r="17105" ht="15" customHeight="1" x14ac:dyDescent="0.25"/>
    <row r="17106" ht="15" customHeight="1" x14ac:dyDescent="0.25"/>
    <row r="17107" ht="15" customHeight="1" x14ac:dyDescent="0.25"/>
    <row r="17108" ht="15" customHeight="1" x14ac:dyDescent="0.25"/>
    <row r="17109" ht="15" customHeight="1" x14ac:dyDescent="0.25"/>
    <row r="17110" ht="15" customHeight="1" x14ac:dyDescent="0.25"/>
    <row r="17111" ht="15" customHeight="1" x14ac:dyDescent="0.25"/>
    <row r="17112" ht="15" customHeight="1" x14ac:dyDescent="0.25"/>
    <row r="17113" ht="15" customHeight="1" x14ac:dyDescent="0.25"/>
    <row r="17114" ht="15" customHeight="1" x14ac:dyDescent="0.25"/>
    <row r="17115" ht="15" customHeight="1" x14ac:dyDescent="0.25"/>
    <row r="17116" ht="15" customHeight="1" x14ac:dyDescent="0.25"/>
    <row r="17117" ht="15" customHeight="1" x14ac:dyDescent="0.25"/>
    <row r="17118" ht="15" customHeight="1" x14ac:dyDescent="0.25"/>
    <row r="17119" ht="15" customHeight="1" x14ac:dyDescent="0.25"/>
    <row r="17120" ht="15" customHeight="1" x14ac:dyDescent="0.25"/>
    <row r="17121" ht="15" customHeight="1" x14ac:dyDescent="0.25"/>
    <row r="17122" ht="15" customHeight="1" x14ac:dyDescent="0.25"/>
    <row r="17123" ht="15" customHeight="1" x14ac:dyDescent="0.25"/>
    <row r="17124" ht="15" customHeight="1" x14ac:dyDescent="0.25"/>
    <row r="17125" ht="15" customHeight="1" x14ac:dyDescent="0.25"/>
    <row r="17126" ht="15" customHeight="1" x14ac:dyDescent="0.25"/>
    <row r="17127" ht="15" customHeight="1" x14ac:dyDescent="0.25"/>
    <row r="17128" ht="15" customHeight="1" x14ac:dyDescent="0.25"/>
    <row r="17129" ht="15" customHeight="1" x14ac:dyDescent="0.25"/>
    <row r="17130" ht="15" customHeight="1" x14ac:dyDescent="0.25"/>
    <row r="17131" ht="15" customHeight="1" x14ac:dyDescent="0.25"/>
    <row r="17132" ht="15" customHeight="1" x14ac:dyDescent="0.25"/>
    <row r="17133" ht="15" customHeight="1" x14ac:dyDescent="0.25"/>
    <row r="17134" ht="15" customHeight="1" x14ac:dyDescent="0.25"/>
    <row r="17135" ht="15" customHeight="1" x14ac:dyDescent="0.25"/>
    <row r="17136" ht="15" customHeight="1" x14ac:dyDescent="0.25"/>
    <row r="17137" ht="15" customHeight="1" x14ac:dyDescent="0.25"/>
    <row r="17138" ht="15" customHeight="1" x14ac:dyDescent="0.25"/>
    <row r="17139" ht="15" customHeight="1" x14ac:dyDescent="0.25"/>
    <row r="17140" ht="15" customHeight="1" x14ac:dyDescent="0.25"/>
    <row r="17141" ht="15" customHeight="1" x14ac:dyDescent="0.25"/>
    <row r="17142" ht="15" customHeight="1" x14ac:dyDescent="0.25"/>
    <row r="17143" ht="15" customHeight="1" x14ac:dyDescent="0.25"/>
    <row r="17144" ht="15" customHeight="1" x14ac:dyDescent="0.25"/>
    <row r="17145" ht="15" customHeight="1" x14ac:dyDescent="0.25"/>
    <row r="17146" ht="15" customHeight="1" x14ac:dyDescent="0.25"/>
    <row r="17147" ht="15" customHeight="1" x14ac:dyDescent="0.25"/>
    <row r="17148" ht="15" customHeight="1" x14ac:dyDescent="0.25"/>
    <row r="17149" ht="15" customHeight="1" x14ac:dyDescent="0.25"/>
    <row r="17150" ht="15" customHeight="1" x14ac:dyDescent="0.25"/>
    <row r="17151" ht="15" customHeight="1" x14ac:dyDescent="0.25"/>
    <row r="17152" ht="15" customHeight="1" x14ac:dyDescent="0.25"/>
    <row r="17153" ht="15" customHeight="1" x14ac:dyDescent="0.25"/>
    <row r="17154" ht="15" customHeight="1" x14ac:dyDescent="0.25"/>
    <row r="17155" ht="15" customHeight="1" x14ac:dyDescent="0.25"/>
    <row r="17156" ht="15" customHeight="1" x14ac:dyDescent="0.25"/>
    <row r="17157" ht="15" customHeight="1" x14ac:dyDescent="0.25"/>
    <row r="17158" ht="15" customHeight="1" x14ac:dyDescent="0.25"/>
    <row r="17159" ht="15" customHeight="1" x14ac:dyDescent="0.25"/>
    <row r="17160" ht="15" customHeight="1" x14ac:dyDescent="0.25"/>
    <row r="17161" ht="15" customHeight="1" x14ac:dyDescent="0.25"/>
    <row r="17162" ht="15" customHeight="1" x14ac:dyDescent="0.25"/>
    <row r="17163" ht="15" customHeight="1" x14ac:dyDescent="0.25"/>
    <row r="17164" ht="15" customHeight="1" x14ac:dyDescent="0.25"/>
    <row r="17165" ht="15" customHeight="1" x14ac:dyDescent="0.25"/>
    <row r="17166" ht="15" customHeight="1" x14ac:dyDescent="0.25"/>
    <row r="17167" ht="15" customHeight="1" x14ac:dyDescent="0.25"/>
    <row r="17168" ht="15" customHeight="1" x14ac:dyDescent="0.25"/>
    <row r="17169" ht="15" customHeight="1" x14ac:dyDescent="0.25"/>
    <row r="17170" ht="15" customHeight="1" x14ac:dyDescent="0.25"/>
    <row r="17171" ht="15" customHeight="1" x14ac:dyDescent="0.25"/>
    <row r="17172" ht="15" customHeight="1" x14ac:dyDescent="0.25"/>
    <row r="17173" ht="15" customHeight="1" x14ac:dyDescent="0.25"/>
    <row r="17174" ht="15" customHeight="1" x14ac:dyDescent="0.25"/>
    <row r="17175" ht="15" customHeight="1" x14ac:dyDescent="0.25"/>
    <row r="17176" ht="15" customHeight="1" x14ac:dyDescent="0.25"/>
    <row r="17177" ht="15" customHeight="1" x14ac:dyDescent="0.25"/>
    <row r="17178" ht="15" customHeight="1" x14ac:dyDescent="0.25"/>
    <row r="17179" ht="15" customHeight="1" x14ac:dyDescent="0.25"/>
    <row r="17180" ht="15" customHeight="1" x14ac:dyDescent="0.25"/>
    <row r="17181" ht="15" customHeight="1" x14ac:dyDescent="0.25"/>
    <row r="17182" ht="15" customHeight="1" x14ac:dyDescent="0.25"/>
    <row r="17183" ht="15" customHeight="1" x14ac:dyDescent="0.25"/>
    <row r="17184" ht="15" customHeight="1" x14ac:dyDescent="0.25"/>
    <row r="17185" ht="15" customHeight="1" x14ac:dyDescent="0.25"/>
    <row r="17186" ht="15" customHeight="1" x14ac:dyDescent="0.25"/>
    <row r="17187" ht="15" customHeight="1" x14ac:dyDescent="0.25"/>
    <row r="17188" ht="15" customHeight="1" x14ac:dyDescent="0.25"/>
    <row r="17189" ht="15" customHeight="1" x14ac:dyDescent="0.25"/>
    <row r="17190" ht="15" customHeight="1" x14ac:dyDescent="0.25"/>
    <row r="17191" ht="15" customHeight="1" x14ac:dyDescent="0.25"/>
    <row r="17192" ht="15" customHeight="1" x14ac:dyDescent="0.25"/>
    <row r="17193" ht="15" customHeight="1" x14ac:dyDescent="0.25"/>
    <row r="17194" ht="15" customHeight="1" x14ac:dyDescent="0.25"/>
    <row r="17195" ht="15" customHeight="1" x14ac:dyDescent="0.25"/>
    <row r="17196" ht="15" customHeight="1" x14ac:dyDescent="0.25"/>
    <row r="17197" ht="15" customHeight="1" x14ac:dyDescent="0.25"/>
    <row r="17198" ht="15" customHeight="1" x14ac:dyDescent="0.25"/>
    <row r="17199" ht="15" customHeight="1" x14ac:dyDescent="0.25"/>
    <row r="17200" ht="15" customHeight="1" x14ac:dyDescent="0.25"/>
    <row r="17201" ht="15" customHeight="1" x14ac:dyDescent="0.25"/>
    <row r="17202" ht="15" customHeight="1" x14ac:dyDescent="0.25"/>
    <row r="17203" ht="15" customHeight="1" x14ac:dyDescent="0.25"/>
    <row r="17204" ht="15" customHeight="1" x14ac:dyDescent="0.25"/>
    <row r="17205" ht="15" customHeight="1" x14ac:dyDescent="0.25"/>
    <row r="17206" ht="15" customHeight="1" x14ac:dyDescent="0.25"/>
    <row r="17207" ht="15" customHeight="1" x14ac:dyDescent="0.25"/>
    <row r="17208" ht="15" customHeight="1" x14ac:dyDescent="0.25"/>
    <row r="17209" ht="15" customHeight="1" x14ac:dyDescent="0.25"/>
    <row r="17210" ht="15" customHeight="1" x14ac:dyDescent="0.25"/>
    <row r="17211" ht="15" customHeight="1" x14ac:dyDescent="0.25"/>
    <row r="17212" ht="15" customHeight="1" x14ac:dyDescent="0.25"/>
    <row r="17213" ht="15" customHeight="1" x14ac:dyDescent="0.25"/>
    <row r="17214" ht="15" customHeight="1" x14ac:dyDescent="0.25"/>
    <row r="17215" ht="15" customHeight="1" x14ac:dyDescent="0.25"/>
    <row r="17216" ht="15" customHeight="1" x14ac:dyDescent="0.25"/>
    <row r="17217" ht="15" customHeight="1" x14ac:dyDescent="0.25"/>
    <row r="17218" ht="15" customHeight="1" x14ac:dyDescent="0.25"/>
    <row r="17219" ht="15" customHeight="1" x14ac:dyDescent="0.25"/>
    <row r="17220" ht="15" customHeight="1" x14ac:dyDescent="0.25"/>
    <row r="17221" ht="15" customHeight="1" x14ac:dyDescent="0.25"/>
    <row r="17222" ht="15" customHeight="1" x14ac:dyDescent="0.25"/>
    <row r="17223" ht="15" customHeight="1" x14ac:dyDescent="0.25"/>
    <row r="17224" ht="15" customHeight="1" x14ac:dyDescent="0.25"/>
    <row r="17225" ht="15" customHeight="1" x14ac:dyDescent="0.25"/>
    <row r="17226" ht="15" customHeight="1" x14ac:dyDescent="0.25"/>
    <row r="17227" ht="15" customHeight="1" x14ac:dyDescent="0.25"/>
    <row r="17228" ht="15" customHeight="1" x14ac:dyDescent="0.25"/>
    <row r="17229" ht="15" customHeight="1" x14ac:dyDescent="0.25"/>
    <row r="17230" ht="15" customHeight="1" x14ac:dyDescent="0.25"/>
    <row r="17231" ht="15" customHeight="1" x14ac:dyDescent="0.25"/>
    <row r="17232" ht="15" customHeight="1" x14ac:dyDescent="0.25"/>
    <row r="17233" ht="15" customHeight="1" x14ac:dyDescent="0.25"/>
    <row r="17234" ht="15" customHeight="1" x14ac:dyDescent="0.25"/>
    <row r="17235" ht="15" customHeight="1" x14ac:dyDescent="0.25"/>
    <row r="17236" ht="15" customHeight="1" x14ac:dyDescent="0.25"/>
    <row r="17237" ht="15" customHeight="1" x14ac:dyDescent="0.25"/>
    <row r="17238" ht="15" customHeight="1" x14ac:dyDescent="0.25"/>
    <row r="17239" ht="15" customHeight="1" x14ac:dyDescent="0.25"/>
    <row r="17240" ht="15" customHeight="1" x14ac:dyDescent="0.25"/>
    <row r="17241" ht="15" customHeight="1" x14ac:dyDescent="0.25"/>
    <row r="17242" ht="15" customHeight="1" x14ac:dyDescent="0.25"/>
    <row r="17243" ht="15" customHeight="1" x14ac:dyDescent="0.25"/>
    <row r="17244" ht="15" customHeight="1" x14ac:dyDescent="0.25"/>
    <row r="17245" ht="15" customHeight="1" x14ac:dyDescent="0.25"/>
    <row r="17246" ht="15" customHeight="1" x14ac:dyDescent="0.25"/>
    <row r="17247" ht="15" customHeight="1" x14ac:dyDescent="0.25"/>
    <row r="17248" ht="15" customHeight="1" x14ac:dyDescent="0.25"/>
    <row r="17249" ht="15" customHeight="1" x14ac:dyDescent="0.25"/>
    <row r="17250" ht="15" customHeight="1" x14ac:dyDescent="0.25"/>
    <row r="17251" ht="15" customHeight="1" x14ac:dyDescent="0.25"/>
    <row r="17252" ht="15" customHeight="1" x14ac:dyDescent="0.25"/>
    <row r="17253" ht="15" customHeight="1" x14ac:dyDescent="0.25"/>
    <row r="17254" ht="15" customHeight="1" x14ac:dyDescent="0.25"/>
    <row r="17255" ht="15" customHeight="1" x14ac:dyDescent="0.25"/>
    <row r="17256" ht="15" customHeight="1" x14ac:dyDescent="0.25"/>
    <row r="17257" ht="15" customHeight="1" x14ac:dyDescent="0.25"/>
    <row r="17258" ht="15" customHeight="1" x14ac:dyDescent="0.25"/>
    <row r="17259" ht="15" customHeight="1" x14ac:dyDescent="0.25"/>
    <row r="17260" ht="15" customHeight="1" x14ac:dyDescent="0.25"/>
    <row r="17261" ht="15" customHeight="1" x14ac:dyDescent="0.25"/>
    <row r="17262" ht="15" customHeight="1" x14ac:dyDescent="0.25"/>
    <row r="17263" ht="15" customHeight="1" x14ac:dyDescent="0.25"/>
    <row r="17264" ht="15" customHeight="1" x14ac:dyDescent="0.25"/>
    <row r="17265" ht="15" customHeight="1" x14ac:dyDescent="0.25"/>
    <row r="17266" ht="15" customHeight="1" x14ac:dyDescent="0.25"/>
    <row r="17267" ht="15" customHeight="1" x14ac:dyDescent="0.25"/>
    <row r="17268" ht="15" customHeight="1" x14ac:dyDescent="0.25"/>
    <row r="17269" ht="15" customHeight="1" x14ac:dyDescent="0.25"/>
    <row r="17270" ht="15" customHeight="1" x14ac:dyDescent="0.25"/>
    <row r="17271" ht="15" customHeight="1" x14ac:dyDescent="0.25"/>
    <row r="17272" ht="15" customHeight="1" x14ac:dyDescent="0.25"/>
    <row r="17273" ht="15" customHeight="1" x14ac:dyDescent="0.25"/>
    <row r="17274" ht="15" customHeight="1" x14ac:dyDescent="0.25"/>
    <row r="17275" ht="15" customHeight="1" x14ac:dyDescent="0.25"/>
    <row r="17276" ht="15" customHeight="1" x14ac:dyDescent="0.25"/>
    <row r="17277" ht="15" customHeight="1" x14ac:dyDescent="0.25"/>
    <row r="17278" ht="15" customHeight="1" x14ac:dyDescent="0.25"/>
    <row r="17279" ht="15" customHeight="1" x14ac:dyDescent="0.25"/>
    <row r="17280" ht="15" customHeight="1" x14ac:dyDescent="0.25"/>
    <row r="17281" ht="15" customHeight="1" x14ac:dyDescent="0.25"/>
    <row r="17282" ht="15" customHeight="1" x14ac:dyDescent="0.25"/>
    <row r="17283" ht="15" customHeight="1" x14ac:dyDescent="0.25"/>
    <row r="17284" ht="15" customHeight="1" x14ac:dyDescent="0.25"/>
    <row r="17285" ht="15" customHeight="1" x14ac:dyDescent="0.25"/>
    <row r="17286" ht="15" customHeight="1" x14ac:dyDescent="0.25"/>
    <row r="17287" ht="15" customHeight="1" x14ac:dyDescent="0.25"/>
    <row r="17288" ht="15" customHeight="1" x14ac:dyDescent="0.25"/>
    <row r="17289" ht="15" customHeight="1" x14ac:dyDescent="0.25"/>
    <row r="17290" ht="15" customHeight="1" x14ac:dyDescent="0.25"/>
    <row r="17291" ht="15" customHeight="1" x14ac:dyDescent="0.25"/>
    <row r="17292" ht="15" customHeight="1" x14ac:dyDescent="0.25"/>
    <row r="17293" ht="15" customHeight="1" x14ac:dyDescent="0.25"/>
    <row r="17294" ht="15" customHeight="1" x14ac:dyDescent="0.25"/>
    <row r="17295" ht="15" customHeight="1" x14ac:dyDescent="0.25"/>
    <row r="17296" ht="15" customHeight="1" x14ac:dyDescent="0.25"/>
    <row r="17297" ht="15" customHeight="1" x14ac:dyDescent="0.25"/>
    <row r="17298" ht="15" customHeight="1" x14ac:dyDescent="0.25"/>
    <row r="17299" ht="15" customHeight="1" x14ac:dyDescent="0.25"/>
    <row r="17300" ht="15" customHeight="1" x14ac:dyDescent="0.25"/>
    <row r="17301" ht="15" customHeight="1" x14ac:dyDescent="0.25"/>
    <row r="17302" ht="15" customHeight="1" x14ac:dyDescent="0.25"/>
    <row r="17303" ht="15" customHeight="1" x14ac:dyDescent="0.25"/>
    <row r="17304" ht="15" customHeight="1" x14ac:dyDescent="0.25"/>
    <row r="17305" ht="15" customHeight="1" x14ac:dyDescent="0.25"/>
    <row r="17306" ht="15" customHeight="1" x14ac:dyDescent="0.25"/>
    <row r="17307" ht="15" customHeight="1" x14ac:dyDescent="0.25"/>
    <row r="17308" ht="15" customHeight="1" x14ac:dyDescent="0.25"/>
    <row r="17309" ht="15" customHeight="1" x14ac:dyDescent="0.25"/>
    <row r="17310" ht="15" customHeight="1" x14ac:dyDescent="0.25"/>
    <row r="17311" ht="15" customHeight="1" x14ac:dyDescent="0.25"/>
    <row r="17312" ht="15" customHeight="1" x14ac:dyDescent="0.25"/>
    <row r="17313" ht="15" customHeight="1" x14ac:dyDescent="0.25"/>
    <row r="17314" ht="15" customHeight="1" x14ac:dyDescent="0.25"/>
    <row r="17315" ht="15" customHeight="1" x14ac:dyDescent="0.25"/>
    <row r="17316" ht="15" customHeight="1" x14ac:dyDescent="0.25"/>
    <row r="17317" ht="15" customHeight="1" x14ac:dyDescent="0.25"/>
    <row r="17318" ht="15" customHeight="1" x14ac:dyDescent="0.25"/>
    <row r="17319" ht="15" customHeight="1" x14ac:dyDescent="0.25"/>
    <row r="17320" ht="15" customHeight="1" x14ac:dyDescent="0.25"/>
    <row r="17321" ht="15" customHeight="1" x14ac:dyDescent="0.25"/>
    <row r="17322" ht="15" customHeight="1" x14ac:dyDescent="0.25"/>
    <row r="17323" ht="15" customHeight="1" x14ac:dyDescent="0.25"/>
    <row r="17324" ht="15" customHeight="1" x14ac:dyDescent="0.25"/>
    <row r="17325" ht="15" customHeight="1" x14ac:dyDescent="0.25"/>
    <row r="17326" ht="15" customHeight="1" x14ac:dyDescent="0.25"/>
    <row r="17327" ht="15" customHeight="1" x14ac:dyDescent="0.25"/>
    <row r="17328" ht="15" customHeight="1" x14ac:dyDescent="0.25"/>
    <row r="17329" ht="15" customHeight="1" x14ac:dyDescent="0.25"/>
    <row r="17330" ht="15" customHeight="1" x14ac:dyDescent="0.25"/>
    <row r="17331" ht="15" customHeight="1" x14ac:dyDescent="0.25"/>
    <row r="17332" ht="15" customHeight="1" x14ac:dyDescent="0.25"/>
    <row r="17333" ht="15" customHeight="1" x14ac:dyDescent="0.25"/>
    <row r="17334" ht="15" customHeight="1" x14ac:dyDescent="0.25"/>
    <row r="17335" ht="15" customHeight="1" x14ac:dyDescent="0.25"/>
    <row r="17336" ht="15" customHeight="1" x14ac:dyDescent="0.25"/>
    <row r="17337" ht="15" customHeight="1" x14ac:dyDescent="0.25"/>
    <row r="17338" ht="15" customHeight="1" x14ac:dyDescent="0.25"/>
    <row r="17339" ht="15" customHeight="1" x14ac:dyDescent="0.25"/>
    <row r="17340" ht="15" customHeight="1" x14ac:dyDescent="0.25"/>
    <row r="17341" ht="15" customHeight="1" x14ac:dyDescent="0.25"/>
    <row r="17342" ht="15" customHeight="1" x14ac:dyDescent="0.25"/>
    <row r="17343" ht="15" customHeight="1" x14ac:dyDescent="0.25"/>
    <row r="17344" ht="15" customHeight="1" x14ac:dyDescent="0.25"/>
    <row r="17345" ht="15" customHeight="1" x14ac:dyDescent="0.25"/>
    <row r="17346" ht="15" customHeight="1" x14ac:dyDescent="0.25"/>
    <row r="17347" ht="15" customHeight="1" x14ac:dyDescent="0.25"/>
    <row r="17348" ht="15" customHeight="1" x14ac:dyDescent="0.25"/>
    <row r="17349" ht="15" customHeight="1" x14ac:dyDescent="0.25"/>
    <row r="17350" ht="15" customHeight="1" x14ac:dyDescent="0.25"/>
    <row r="17351" ht="15" customHeight="1" x14ac:dyDescent="0.25"/>
    <row r="17352" ht="15" customHeight="1" x14ac:dyDescent="0.25"/>
    <row r="17353" ht="15" customHeight="1" x14ac:dyDescent="0.25"/>
    <row r="17354" ht="15" customHeight="1" x14ac:dyDescent="0.25"/>
    <row r="17355" ht="15" customHeight="1" x14ac:dyDescent="0.25"/>
    <row r="17356" ht="15" customHeight="1" x14ac:dyDescent="0.25"/>
    <row r="17357" ht="15" customHeight="1" x14ac:dyDescent="0.25"/>
    <row r="17358" ht="15" customHeight="1" x14ac:dyDescent="0.25"/>
    <row r="17359" ht="15" customHeight="1" x14ac:dyDescent="0.25"/>
    <row r="17360" ht="15" customHeight="1" x14ac:dyDescent="0.25"/>
    <row r="17361" ht="15" customHeight="1" x14ac:dyDescent="0.25"/>
    <row r="17362" ht="15" customHeight="1" x14ac:dyDescent="0.25"/>
    <row r="17363" ht="15" customHeight="1" x14ac:dyDescent="0.25"/>
    <row r="17364" ht="15" customHeight="1" x14ac:dyDescent="0.25"/>
    <row r="17365" ht="15" customHeight="1" x14ac:dyDescent="0.25"/>
    <row r="17366" ht="15" customHeight="1" x14ac:dyDescent="0.25"/>
    <row r="17367" ht="15" customHeight="1" x14ac:dyDescent="0.25"/>
    <row r="17368" ht="15" customHeight="1" x14ac:dyDescent="0.25"/>
    <row r="17369" ht="15" customHeight="1" x14ac:dyDescent="0.25"/>
    <row r="17370" ht="15" customHeight="1" x14ac:dyDescent="0.25"/>
    <row r="17371" ht="15" customHeight="1" x14ac:dyDescent="0.25"/>
    <row r="17372" ht="15" customHeight="1" x14ac:dyDescent="0.25"/>
    <row r="17373" ht="15" customHeight="1" x14ac:dyDescent="0.25"/>
    <row r="17374" ht="15" customHeight="1" x14ac:dyDescent="0.25"/>
    <row r="17375" ht="15" customHeight="1" x14ac:dyDescent="0.25"/>
    <row r="17376" ht="15" customHeight="1" x14ac:dyDescent="0.25"/>
    <row r="17377" ht="15" customHeight="1" x14ac:dyDescent="0.25"/>
    <row r="17378" ht="15" customHeight="1" x14ac:dyDescent="0.25"/>
    <row r="17379" ht="15" customHeight="1" x14ac:dyDescent="0.25"/>
    <row r="17380" ht="15" customHeight="1" x14ac:dyDescent="0.25"/>
    <row r="17381" ht="15" customHeight="1" x14ac:dyDescent="0.25"/>
    <row r="17382" ht="15" customHeight="1" x14ac:dyDescent="0.25"/>
    <row r="17383" ht="15" customHeight="1" x14ac:dyDescent="0.25"/>
    <row r="17384" ht="15" customHeight="1" x14ac:dyDescent="0.25"/>
    <row r="17385" ht="15" customHeight="1" x14ac:dyDescent="0.25"/>
    <row r="17386" ht="15" customHeight="1" x14ac:dyDescent="0.25"/>
    <row r="17387" ht="15" customHeight="1" x14ac:dyDescent="0.25"/>
    <row r="17388" ht="15" customHeight="1" x14ac:dyDescent="0.25"/>
    <row r="17389" ht="15" customHeight="1" x14ac:dyDescent="0.25"/>
    <row r="17390" ht="15" customHeight="1" x14ac:dyDescent="0.25"/>
    <row r="17391" ht="15" customHeight="1" x14ac:dyDescent="0.25"/>
    <row r="17392" ht="15" customHeight="1" x14ac:dyDescent="0.25"/>
    <row r="17393" ht="15" customHeight="1" x14ac:dyDescent="0.25"/>
    <row r="17394" ht="15" customHeight="1" x14ac:dyDescent="0.25"/>
    <row r="17395" ht="15" customHeight="1" x14ac:dyDescent="0.25"/>
    <row r="17396" ht="15" customHeight="1" x14ac:dyDescent="0.25"/>
    <row r="17397" ht="15" customHeight="1" x14ac:dyDescent="0.25"/>
    <row r="17398" ht="15" customHeight="1" x14ac:dyDescent="0.25"/>
    <row r="17399" ht="15" customHeight="1" x14ac:dyDescent="0.25"/>
    <row r="17400" ht="15" customHeight="1" x14ac:dyDescent="0.25"/>
    <row r="17401" ht="15" customHeight="1" x14ac:dyDescent="0.25"/>
    <row r="17402" ht="15" customHeight="1" x14ac:dyDescent="0.25"/>
    <row r="17403" ht="15" customHeight="1" x14ac:dyDescent="0.25"/>
    <row r="17404" ht="15" customHeight="1" x14ac:dyDescent="0.25"/>
    <row r="17405" ht="15" customHeight="1" x14ac:dyDescent="0.25"/>
    <row r="17406" ht="15" customHeight="1" x14ac:dyDescent="0.25"/>
    <row r="17407" ht="15" customHeight="1" x14ac:dyDescent="0.25"/>
    <row r="17408" ht="15" customHeight="1" x14ac:dyDescent="0.25"/>
    <row r="17409" ht="15" customHeight="1" x14ac:dyDescent="0.25"/>
    <row r="17410" ht="15" customHeight="1" x14ac:dyDescent="0.25"/>
    <row r="17411" ht="15" customHeight="1" x14ac:dyDescent="0.25"/>
    <row r="17412" ht="15" customHeight="1" x14ac:dyDescent="0.25"/>
    <row r="17413" ht="15" customHeight="1" x14ac:dyDescent="0.25"/>
    <row r="17414" ht="15" customHeight="1" x14ac:dyDescent="0.25"/>
    <row r="17415" ht="15" customHeight="1" x14ac:dyDescent="0.25"/>
    <row r="17416" ht="15" customHeight="1" x14ac:dyDescent="0.25"/>
    <row r="17417" ht="15" customHeight="1" x14ac:dyDescent="0.25"/>
    <row r="17418" ht="15" customHeight="1" x14ac:dyDescent="0.25"/>
    <row r="17419" ht="15" customHeight="1" x14ac:dyDescent="0.25"/>
    <row r="17420" ht="15" customHeight="1" x14ac:dyDescent="0.25"/>
    <row r="17421" ht="15" customHeight="1" x14ac:dyDescent="0.25"/>
    <row r="17422" ht="15" customHeight="1" x14ac:dyDescent="0.25"/>
    <row r="17423" ht="15" customHeight="1" x14ac:dyDescent="0.25"/>
    <row r="17424" ht="15" customHeight="1" x14ac:dyDescent="0.25"/>
    <row r="17425" ht="15" customHeight="1" x14ac:dyDescent="0.25"/>
    <row r="17426" ht="15" customHeight="1" x14ac:dyDescent="0.25"/>
    <row r="17427" ht="15" customHeight="1" x14ac:dyDescent="0.25"/>
    <row r="17428" ht="15" customHeight="1" x14ac:dyDescent="0.25"/>
    <row r="17429" ht="15" customHeight="1" x14ac:dyDescent="0.25"/>
    <row r="17430" ht="15" customHeight="1" x14ac:dyDescent="0.25"/>
    <row r="17431" ht="15" customHeight="1" x14ac:dyDescent="0.25"/>
    <row r="17432" ht="15" customHeight="1" x14ac:dyDescent="0.25"/>
    <row r="17433" ht="15" customHeight="1" x14ac:dyDescent="0.25"/>
    <row r="17434" ht="15" customHeight="1" x14ac:dyDescent="0.25"/>
    <row r="17435" ht="15" customHeight="1" x14ac:dyDescent="0.25"/>
    <row r="17436" ht="15" customHeight="1" x14ac:dyDescent="0.25"/>
    <row r="17437" ht="15" customHeight="1" x14ac:dyDescent="0.25"/>
    <row r="17438" ht="15" customHeight="1" x14ac:dyDescent="0.25"/>
    <row r="17439" ht="15" customHeight="1" x14ac:dyDescent="0.25"/>
    <row r="17440" ht="15" customHeight="1" x14ac:dyDescent="0.25"/>
    <row r="17441" ht="15" customHeight="1" x14ac:dyDescent="0.25"/>
    <row r="17442" ht="15" customHeight="1" x14ac:dyDescent="0.25"/>
    <row r="17443" ht="15" customHeight="1" x14ac:dyDescent="0.25"/>
    <row r="17444" ht="15" customHeight="1" x14ac:dyDescent="0.25"/>
    <row r="17445" ht="15" customHeight="1" x14ac:dyDescent="0.25"/>
    <row r="17446" ht="15" customHeight="1" x14ac:dyDescent="0.25"/>
    <row r="17447" ht="15" customHeight="1" x14ac:dyDescent="0.25"/>
    <row r="17448" ht="15" customHeight="1" x14ac:dyDescent="0.25"/>
    <row r="17449" ht="15" customHeight="1" x14ac:dyDescent="0.25"/>
    <row r="17450" ht="15" customHeight="1" x14ac:dyDescent="0.25"/>
    <row r="17451" ht="15" customHeight="1" x14ac:dyDescent="0.25"/>
    <row r="17452" ht="15" customHeight="1" x14ac:dyDescent="0.25"/>
    <row r="17453" ht="15" customHeight="1" x14ac:dyDescent="0.25"/>
    <row r="17454" ht="15" customHeight="1" x14ac:dyDescent="0.25"/>
    <row r="17455" ht="15" customHeight="1" x14ac:dyDescent="0.25"/>
    <row r="17456" ht="15" customHeight="1" x14ac:dyDescent="0.25"/>
    <row r="17457" ht="15" customHeight="1" x14ac:dyDescent="0.25"/>
    <row r="17458" ht="15" customHeight="1" x14ac:dyDescent="0.25"/>
    <row r="17459" ht="15" customHeight="1" x14ac:dyDescent="0.25"/>
    <row r="17460" ht="15" customHeight="1" x14ac:dyDescent="0.25"/>
    <row r="17461" ht="15" customHeight="1" x14ac:dyDescent="0.25"/>
    <row r="17462" ht="15" customHeight="1" x14ac:dyDescent="0.25"/>
    <row r="17463" ht="15" customHeight="1" x14ac:dyDescent="0.25"/>
    <row r="17464" ht="15" customHeight="1" x14ac:dyDescent="0.25"/>
    <row r="17465" ht="15" customHeight="1" x14ac:dyDescent="0.25"/>
    <row r="17466" ht="15" customHeight="1" x14ac:dyDescent="0.25"/>
    <row r="17467" ht="15" customHeight="1" x14ac:dyDescent="0.25"/>
    <row r="17468" ht="15" customHeight="1" x14ac:dyDescent="0.25"/>
    <row r="17469" ht="15" customHeight="1" x14ac:dyDescent="0.25"/>
    <row r="17470" ht="15" customHeight="1" x14ac:dyDescent="0.25"/>
    <row r="17471" ht="15" customHeight="1" x14ac:dyDescent="0.25"/>
    <row r="17472" ht="15" customHeight="1" x14ac:dyDescent="0.25"/>
    <row r="17473" ht="15" customHeight="1" x14ac:dyDescent="0.25"/>
    <row r="17474" ht="15" customHeight="1" x14ac:dyDescent="0.25"/>
    <row r="17475" ht="15" customHeight="1" x14ac:dyDescent="0.25"/>
    <row r="17476" ht="15" customHeight="1" x14ac:dyDescent="0.25"/>
    <row r="17477" ht="15" customHeight="1" x14ac:dyDescent="0.25"/>
    <row r="17478" ht="15" customHeight="1" x14ac:dyDescent="0.25"/>
    <row r="17479" ht="15" customHeight="1" x14ac:dyDescent="0.25"/>
    <row r="17480" ht="15" customHeight="1" x14ac:dyDescent="0.25"/>
    <row r="17481" ht="15" customHeight="1" x14ac:dyDescent="0.25"/>
    <row r="17482" ht="15" customHeight="1" x14ac:dyDescent="0.25"/>
    <row r="17483" ht="15" customHeight="1" x14ac:dyDescent="0.25"/>
    <row r="17484" ht="15" customHeight="1" x14ac:dyDescent="0.25"/>
    <row r="17485" ht="15" customHeight="1" x14ac:dyDescent="0.25"/>
    <row r="17486" ht="15" customHeight="1" x14ac:dyDescent="0.25"/>
    <row r="17487" ht="15" customHeight="1" x14ac:dyDescent="0.25"/>
    <row r="17488" ht="15" customHeight="1" x14ac:dyDescent="0.25"/>
    <row r="17489" ht="15" customHeight="1" x14ac:dyDescent="0.25"/>
    <row r="17490" ht="15" customHeight="1" x14ac:dyDescent="0.25"/>
    <row r="17491" ht="15" customHeight="1" x14ac:dyDescent="0.25"/>
    <row r="17492" ht="15" customHeight="1" x14ac:dyDescent="0.25"/>
    <row r="17493" ht="15" customHeight="1" x14ac:dyDescent="0.25"/>
    <row r="17494" ht="15" customHeight="1" x14ac:dyDescent="0.25"/>
    <row r="17495" ht="15" customHeight="1" x14ac:dyDescent="0.25"/>
    <row r="17496" ht="15" customHeight="1" x14ac:dyDescent="0.25"/>
    <row r="17497" ht="15" customHeight="1" x14ac:dyDescent="0.25"/>
    <row r="17498" ht="15" customHeight="1" x14ac:dyDescent="0.25"/>
    <row r="17499" ht="15" customHeight="1" x14ac:dyDescent="0.25"/>
    <row r="17500" ht="15" customHeight="1" x14ac:dyDescent="0.25"/>
    <row r="17501" ht="15" customHeight="1" x14ac:dyDescent="0.25"/>
    <row r="17502" ht="15" customHeight="1" x14ac:dyDescent="0.25"/>
    <row r="17503" ht="15" customHeight="1" x14ac:dyDescent="0.25"/>
    <row r="17504" ht="15" customHeight="1" x14ac:dyDescent="0.25"/>
    <row r="17505" ht="15" customHeight="1" x14ac:dyDescent="0.25"/>
    <row r="17506" ht="15" customHeight="1" x14ac:dyDescent="0.25"/>
    <row r="17507" ht="15" customHeight="1" x14ac:dyDescent="0.25"/>
    <row r="17508" ht="15" customHeight="1" x14ac:dyDescent="0.25"/>
    <row r="17509" ht="15" customHeight="1" x14ac:dyDescent="0.25"/>
    <row r="17510" ht="15" customHeight="1" x14ac:dyDescent="0.25"/>
    <row r="17511" ht="15" customHeight="1" x14ac:dyDescent="0.25"/>
    <row r="17512" ht="15" customHeight="1" x14ac:dyDescent="0.25"/>
    <row r="17513" ht="15" customHeight="1" x14ac:dyDescent="0.25"/>
    <row r="17514" ht="15" customHeight="1" x14ac:dyDescent="0.25"/>
    <row r="17515" ht="15" customHeight="1" x14ac:dyDescent="0.25"/>
    <row r="17516" ht="15" customHeight="1" x14ac:dyDescent="0.25"/>
    <row r="17517" ht="15" customHeight="1" x14ac:dyDescent="0.25"/>
    <row r="17518" ht="15" customHeight="1" x14ac:dyDescent="0.25"/>
    <row r="17519" ht="15" customHeight="1" x14ac:dyDescent="0.25"/>
    <row r="17520" ht="15" customHeight="1" x14ac:dyDescent="0.25"/>
    <row r="17521" ht="15" customHeight="1" x14ac:dyDescent="0.25"/>
    <row r="17522" ht="15" customHeight="1" x14ac:dyDescent="0.25"/>
    <row r="17523" ht="15" customHeight="1" x14ac:dyDescent="0.25"/>
    <row r="17524" ht="15" customHeight="1" x14ac:dyDescent="0.25"/>
    <row r="17525" ht="15" customHeight="1" x14ac:dyDescent="0.25"/>
    <row r="17526" ht="15" customHeight="1" x14ac:dyDescent="0.25"/>
    <row r="17527" ht="15" customHeight="1" x14ac:dyDescent="0.25"/>
    <row r="17528" ht="15" customHeight="1" x14ac:dyDescent="0.25"/>
    <row r="17529" ht="15" customHeight="1" x14ac:dyDescent="0.25"/>
    <row r="17530" ht="15" customHeight="1" x14ac:dyDescent="0.25"/>
    <row r="17531" ht="15" customHeight="1" x14ac:dyDescent="0.25"/>
    <row r="17532" ht="15" customHeight="1" x14ac:dyDescent="0.25"/>
    <row r="17533" ht="15" customHeight="1" x14ac:dyDescent="0.25"/>
    <row r="17534" ht="15" customHeight="1" x14ac:dyDescent="0.25"/>
    <row r="17535" ht="15" customHeight="1" x14ac:dyDescent="0.25"/>
    <row r="17536" ht="15" customHeight="1" x14ac:dyDescent="0.25"/>
    <row r="17537" ht="15" customHeight="1" x14ac:dyDescent="0.25"/>
    <row r="17538" ht="15" customHeight="1" x14ac:dyDescent="0.25"/>
    <row r="17539" ht="15" customHeight="1" x14ac:dyDescent="0.25"/>
    <row r="17540" ht="15" customHeight="1" x14ac:dyDescent="0.25"/>
    <row r="17541" ht="15" customHeight="1" x14ac:dyDescent="0.25"/>
    <row r="17542" ht="15" customHeight="1" x14ac:dyDescent="0.25"/>
    <row r="17543" ht="15" customHeight="1" x14ac:dyDescent="0.25"/>
    <row r="17544" ht="15" customHeight="1" x14ac:dyDescent="0.25"/>
    <row r="17545" ht="15" customHeight="1" x14ac:dyDescent="0.25"/>
    <row r="17546" ht="15" customHeight="1" x14ac:dyDescent="0.25"/>
    <row r="17547" ht="15" customHeight="1" x14ac:dyDescent="0.25"/>
    <row r="17548" ht="15" customHeight="1" x14ac:dyDescent="0.25"/>
    <row r="17549" ht="15" customHeight="1" x14ac:dyDescent="0.25"/>
    <row r="17550" ht="15" customHeight="1" x14ac:dyDescent="0.25"/>
    <row r="17551" ht="15" customHeight="1" x14ac:dyDescent="0.25"/>
    <row r="17552" ht="15" customHeight="1" x14ac:dyDescent="0.25"/>
    <row r="17553" ht="15" customHeight="1" x14ac:dyDescent="0.25"/>
    <row r="17554" ht="15" customHeight="1" x14ac:dyDescent="0.25"/>
    <row r="17555" ht="15" customHeight="1" x14ac:dyDescent="0.25"/>
    <row r="17556" ht="15" customHeight="1" x14ac:dyDescent="0.25"/>
    <row r="17557" ht="15" customHeight="1" x14ac:dyDescent="0.25"/>
    <row r="17558" ht="15" customHeight="1" x14ac:dyDescent="0.25"/>
    <row r="17559" ht="15" customHeight="1" x14ac:dyDescent="0.25"/>
    <row r="17560" ht="15" customHeight="1" x14ac:dyDescent="0.25"/>
    <row r="17561" ht="15" customHeight="1" x14ac:dyDescent="0.25"/>
    <row r="17562" ht="15" customHeight="1" x14ac:dyDescent="0.25"/>
    <row r="17563" ht="15" customHeight="1" x14ac:dyDescent="0.25"/>
    <row r="17564" ht="15" customHeight="1" x14ac:dyDescent="0.25"/>
    <row r="17565" ht="15" customHeight="1" x14ac:dyDescent="0.25"/>
    <row r="17566" ht="15" customHeight="1" x14ac:dyDescent="0.25"/>
    <row r="17567" ht="15" customHeight="1" x14ac:dyDescent="0.25"/>
    <row r="17568" ht="15" customHeight="1" x14ac:dyDescent="0.25"/>
    <row r="17569" ht="15" customHeight="1" x14ac:dyDescent="0.25"/>
    <row r="17570" ht="15" customHeight="1" x14ac:dyDescent="0.25"/>
    <row r="17571" ht="15" customHeight="1" x14ac:dyDescent="0.25"/>
    <row r="17572" ht="15" customHeight="1" x14ac:dyDescent="0.25"/>
    <row r="17573" ht="15" customHeight="1" x14ac:dyDescent="0.25"/>
    <row r="17574" ht="15" customHeight="1" x14ac:dyDescent="0.25"/>
    <row r="17575" ht="15" customHeight="1" x14ac:dyDescent="0.25"/>
    <row r="17576" ht="15" customHeight="1" x14ac:dyDescent="0.25"/>
    <row r="17577" ht="15" customHeight="1" x14ac:dyDescent="0.25"/>
    <row r="17578" ht="15" customHeight="1" x14ac:dyDescent="0.25"/>
    <row r="17579" ht="15" customHeight="1" x14ac:dyDescent="0.25"/>
    <row r="17580" ht="15" customHeight="1" x14ac:dyDescent="0.25"/>
    <row r="17581" ht="15" customHeight="1" x14ac:dyDescent="0.25"/>
    <row r="17582" ht="15" customHeight="1" x14ac:dyDescent="0.25"/>
    <row r="17583" ht="15" customHeight="1" x14ac:dyDescent="0.25"/>
    <row r="17584" ht="15" customHeight="1" x14ac:dyDescent="0.25"/>
    <row r="17585" ht="15" customHeight="1" x14ac:dyDescent="0.25"/>
    <row r="17586" ht="15" customHeight="1" x14ac:dyDescent="0.25"/>
    <row r="17587" ht="15" customHeight="1" x14ac:dyDescent="0.25"/>
    <row r="17588" ht="15" customHeight="1" x14ac:dyDescent="0.25"/>
    <row r="17589" ht="15" customHeight="1" x14ac:dyDescent="0.25"/>
    <row r="17590" ht="15" customHeight="1" x14ac:dyDescent="0.25"/>
    <row r="17591" ht="15" customHeight="1" x14ac:dyDescent="0.25"/>
    <row r="17592" ht="15" customHeight="1" x14ac:dyDescent="0.25"/>
    <row r="17593" ht="15" customHeight="1" x14ac:dyDescent="0.25"/>
    <row r="17594" ht="15" customHeight="1" x14ac:dyDescent="0.25"/>
    <row r="17595" ht="15" customHeight="1" x14ac:dyDescent="0.25"/>
    <row r="17596" ht="15" customHeight="1" x14ac:dyDescent="0.25"/>
    <row r="17597" ht="15" customHeight="1" x14ac:dyDescent="0.25"/>
    <row r="17598" ht="15" customHeight="1" x14ac:dyDescent="0.25"/>
    <row r="17599" ht="15" customHeight="1" x14ac:dyDescent="0.25"/>
    <row r="17600" ht="15" customHeight="1" x14ac:dyDescent="0.25"/>
    <row r="17601" ht="15" customHeight="1" x14ac:dyDescent="0.25"/>
    <row r="17602" ht="15" customHeight="1" x14ac:dyDescent="0.25"/>
    <row r="17603" ht="15" customHeight="1" x14ac:dyDescent="0.25"/>
    <row r="17604" ht="15" customHeight="1" x14ac:dyDescent="0.25"/>
    <row r="17605" ht="15" customHeight="1" x14ac:dyDescent="0.25"/>
    <row r="17606" ht="15" customHeight="1" x14ac:dyDescent="0.25"/>
    <row r="17607" ht="15" customHeight="1" x14ac:dyDescent="0.25"/>
    <row r="17608" ht="15" customHeight="1" x14ac:dyDescent="0.25"/>
    <row r="17609" ht="15" customHeight="1" x14ac:dyDescent="0.25"/>
    <row r="17610" ht="15" customHeight="1" x14ac:dyDescent="0.25"/>
    <row r="17611" ht="15" customHeight="1" x14ac:dyDescent="0.25"/>
    <row r="17612" ht="15" customHeight="1" x14ac:dyDescent="0.25"/>
    <row r="17613" ht="15" customHeight="1" x14ac:dyDescent="0.25"/>
    <row r="17614" ht="15" customHeight="1" x14ac:dyDescent="0.25"/>
    <row r="17615" ht="15" customHeight="1" x14ac:dyDescent="0.25"/>
    <row r="17616" ht="15" customHeight="1" x14ac:dyDescent="0.25"/>
    <row r="17617" ht="15" customHeight="1" x14ac:dyDescent="0.25"/>
    <row r="17618" ht="15" customHeight="1" x14ac:dyDescent="0.25"/>
    <row r="17619" ht="15" customHeight="1" x14ac:dyDescent="0.25"/>
    <row r="17620" ht="15" customHeight="1" x14ac:dyDescent="0.25"/>
    <row r="17621" ht="15" customHeight="1" x14ac:dyDescent="0.25"/>
    <row r="17622" ht="15" customHeight="1" x14ac:dyDescent="0.25"/>
    <row r="17623" ht="15" customHeight="1" x14ac:dyDescent="0.25"/>
    <row r="17624" ht="15" customHeight="1" x14ac:dyDescent="0.25"/>
    <row r="17625" ht="15" customHeight="1" x14ac:dyDescent="0.25"/>
    <row r="17626" ht="15" customHeight="1" x14ac:dyDescent="0.25"/>
    <row r="17627" ht="15" customHeight="1" x14ac:dyDescent="0.25"/>
    <row r="17628" ht="15" customHeight="1" x14ac:dyDescent="0.25"/>
    <row r="17629" ht="15" customHeight="1" x14ac:dyDescent="0.25"/>
    <row r="17630" ht="15" customHeight="1" x14ac:dyDescent="0.25"/>
    <row r="17631" ht="15" customHeight="1" x14ac:dyDescent="0.25"/>
    <row r="17632" ht="15" customHeight="1" x14ac:dyDescent="0.25"/>
    <row r="17633" ht="15" customHeight="1" x14ac:dyDescent="0.25"/>
    <row r="17634" ht="15" customHeight="1" x14ac:dyDescent="0.25"/>
    <row r="17635" ht="15" customHeight="1" x14ac:dyDescent="0.25"/>
    <row r="17636" ht="15" customHeight="1" x14ac:dyDescent="0.25"/>
    <row r="17637" ht="15" customHeight="1" x14ac:dyDescent="0.25"/>
    <row r="17638" ht="15" customHeight="1" x14ac:dyDescent="0.25"/>
    <row r="17639" ht="15" customHeight="1" x14ac:dyDescent="0.25"/>
    <row r="17640" ht="15" customHeight="1" x14ac:dyDescent="0.25"/>
    <row r="17641" ht="15" customHeight="1" x14ac:dyDescent="0.25"/>
    <row r="17642" ht="15" customHeight="1" x14ac:dyDescent="0.25"/>
    <row r="17643" ht="15" customHeight="1" x14ac:dyDescent="0.25"/>
    <row r="17644" ht="15" customHeight="1" x14ac:dyDescent="0.25"/>
    <row r="17645" ht="15" customHeight="1" x14ac:dyDescent="0.25"/>
    <row r="17646" ht="15" customHeight="1" x14ac:dyDescent="0.25"/>
    <row r="17647" ht="15" customHeight="1" x14ac:dyDescent="0.25"/>
    <row r="17648" ht="15" customHeight="1" x14ac:dyDescent="0.25"/>
    <row r="17649" ht="15" customHeight="1" x14ac:dyDescent="0.25"/>
    <row r="17650" ht="15" customHeight="1" x14ac:dyDescent="0.25"/>
    <row r="17651" ht="15" customHeight="1" x14ac:dyDescent="0.25"/>
    <row r="17652" ht="15" customHeight="1" x14ac:dyDescent="0.25"/>
    <row r="17653" ht="15" customHeight="1" x14ac:dyDescent="0.25"/>
    <row r="17654" ht="15" customHeight="1" x14ac:dyDescent="0.25"/>
    <row r="17655" ht="15" customHeight="1" x14ac:dyDescent="0.25"/>
    <row r="17656" ht="15" customHeight="1" x14ac:dyDescent="0.25"/>
    <row r="17657" ht="15" customHeight="1" x14ac:dyDescent="0.25"/>
    <row r="17658" ht="15" customHeight="1" x14ac:dyDescent="0.25"/>
    <row r="17659" ht="15" customHeight="1" x14ac:dyDescent="0.25"/>
    <row r="17660" ht="15" customHeight="1" x14ac:dyDescent="0.25"/>
    <row r="17661" ht="15" customHeight="1" x14ac:dyDescent="0.25"/>
    <row r="17662" ht="15" customHeight="1" x14ac:dyDescent="0.25"/>
    <row r="17663" ht="15" customHeight="1" x14ac:dyDescent="0.25"/>
    <row r="17664" ht="15" customHeight="1" x14ac:dyDescent="0.25"/>
    <row r="17665" ht="15" customHeight="1" x14ac:dyDescent="0.25"/>
    <row r="17666" ht="15" customHeight="1" x14ac:dyDescent="0.25"/>
    <row r="17667" ht="15" customHeight="1" x14ac:dyDescent="0.25"/>
    <row r="17668" ht="15" customHeight="1" x14ac:dyDescent="0.25"/>
    <row r="17669" ht="15" customHeight="1" x14ac:dyDescent="0.25"/>
    <row r="17670" ht="15" customHeight="1" x14ac:dyDescent="0.25"/>
    <row r="17671" ht="15" customHeight="1" x14ac:dyDescent="0.25"/>
    <row r="17672" ht="15" customHeight="1" x14ac:dyDescent="0.25"/>
    <row r="17673" ht="15" customHeight="1" x14ac:dyDescent="0.25"/>
    <row r="17674" ht="15" customHeight="1" x14ac:dyDescent="0.25"/>
    <row r="17675" ht="15" customHeight="1" x14ac:dyDescent="0.25"/>
    <row r="17676" ht="15" customHeight="1" x14ac:dyDescent="0.25"/>
    <row r="17677" ht="15" customHeight="1" x14ac:dyDescent="0.25"/>
    <row r="17678" ht="15" customHeight="1" x14ac:dyDescent="0.25"/>
    <row r="17679" ht="15" customHeight="1" x14ac:dyDescent="0.25"/>
    <row r="17680" ht="15" customHeight="1" x14ac:dyDescent="0.25"/>
    <row r="17681" ht="15" customHeight="1" x14ac:dyDescent="0.25"/>
    <row r="17682" ht="15" customHeight="1" x14ac:dyDescent="0.25"/>
    <row r="17683" ht="15" customHeight="1" x14ac:dyDescent="0.25"/>
    <row r="17684" ht="15" customHeight="1" x14ac:dyDescent="0.25"/>
    <row r="17685" ht="15" customHeight="1" x14ac:dyDescent="0.25"/>
    <row r="17686" ht="15" customHeight="1" x14ac:dyDescent="0.25"/>
    <row r="17687" ht="15" customHeight="1" x14ac:dyDescent="0.25"/>
    <row r="17688" ht="15" customHeight="1" x14ac:dyDescent="0.25"/>
    <row r="17689" ht="15" customHeight="1" x14ac:dyDescent="0.25"/>
    <row r="17690" ht="15" customHeight="1" x14ac:dyDescent="0.25"/>
    <row r="17691" ht="15" customHeight="1" x14ac:dyDescent="0.25"/>
    <row r="17692" ht="15" customHeight="1" x14ac:dyDescent="0.25"/>
    <row r="17693" ht="15" customHeight="1" x14ac:dyDescent="0.25"/>
    <row r="17694" ht="15" customHeight="1" x14ac:dyDescent="0.25"/>
    <row r="17695" ht="15" customHeight="1" x14ac:dyDescent="0.25"/>
    <row r="17696" ht="15" customHeight="1" x14ac:dyDescent="0.25"/>
    <row r="17697" ht="15" customHeight="1" x14ac:dyDescent="0.25"/>
    <row r="17698" ht="15" customHeight="1" x14ac:dyDescent="0.25"/>
    <row r="17699" ht="15" customHeight="1" x14ac:dyDescent="0.25"/>
    <row r="17700" ht="15" customHeight="1" x14ac:dyDescent="0.25"/>
    <row r="17701" ht="15" customHeight="1" x14ac:dyDescent="0.25"/>
    <row r="17702" ht="15" customHeight="1" x14ac:dyDescent="0.25"/>
    <row r="17703" ht="15" customHeight="1" x14ac:dyDescent="0.25"/>
    <row r="17704" ht="15" customHeight="1" x14ac:dyDescent="0.25"/>
    <row r="17705" ht="15" customHeight="1" x14ac:dyDescent="0.25"/>
    <row r="17706" ht="15" customHeight="1" x14ac:dyDescent="0.25"/>
    <row r="17707" ht="15" customHeight="1" x14ac:dyDescent="0.25"/>
    <row r="17708" ht="15" customHeight="1" x14ac:dyDescent="0.25"/>
    <row r="17709" ht="15" customHeight="1" x14ac:dyDescent="0.25"/>
    <row r="17710" ht="15" customHeight="1" x14ac:dyDescent="0.25"/>
    <row r="17711" ht="15" customHeight="1" x14ac:dyDescent="0.25"/>
    <row r="17712" ht="15" customHeight="1" x14ac:dyDescent="0.25"/>
    <row r="17713" ht="15" customHeight="1" x14ac:dyDescent="0.25"/>
    <row r="17714" ht="15" customHeight="1" x14ac:dyDescent="0.25"/>
    <row r="17715" ht="15" customHeight="1" x14ac:dyDescent="0.25"/>
    <row r="17716" ht="15" customHeight="1" x14ac:dyDescent="0.25"/>
    <row r="17717" ht="15" customHeight="1" x14ac:dyDescent="0.25"/>
    <row r="17718" ht="15" customHeight="1" x14ac:dyDescent="0.25"/>
    <row r="17719" ht="15" customHeight="1" x14ac:dyDescent="0.25"/>
    <row r="17720" ht="15" customHeight="1" x14ac:dyDescent="0.25"/>
    <row r="17721" ht="15" customHeight="1" x14ac:dyDescent="0.25"/>
    <row r="17722" ht="15" customHeight="1" x14ac:dyDescent="0.25"/>
    <row r="17723" ht="15" customHeight="1" x14ac:dyDescent="0.25"/>
    <row r="17724" ht="15" customHeight="1" x14ac:dyDescent="0.25"/>
    <row r="17725" ht="15" customHeight="1" x14ac:dyDescent="0.25"/>
    <row r="17726" ht="15" customHeight="1" x14ac:dyDescent="0.25"/>
    <row r="17727" ht="15" customHeight="1" x14ac:dyDescent="0.25"/>
    <row r="17728" ht="15" customHeight="1" x14ac:dyDescent="0.25"/>
    <row r="17729" ht="15" customHeight="1" x14ac:dyDescent="0.25"/>
    <row r="17730" ht="15" customHeight="1" x14ac:dyDescent="0.25"/>
    <row r="17731" ht="15" customHeight="1" x14ac:dyDescent="0.25"/>
    <row r="17732" ht="15" customHeight="1" x14ac:dyDescent="0.25"/>
    <row r="17733" ht="15" customHeight="1" x14ac:dyDescent="0.25"/>
    <row r="17734" ht="15" customHeight="1" x14ac:dyDescent="0.25"/>
    <row r="17735" ht="15" customHeight="1" x14ac:dyDescent="0.25"/>
    <row r="17736" ht="15" customHeight="1" x14ac:dyDescent="0.25"/>
    <row r="17737" ht="15" customHeight="1" x14ac:dyDescent="0.25"/>
    <row r="17738" ht="15" customHeight="1" x14ac:dyDescent="0.25"/>
    <row r="17739" ht="15" customHeight="1" x14ac:dyDescent="0.25"/>
    <row r="17740" ht="15" customHeight="1" x14ac:dyDescent="0.25"/>
    <row r="17741" ht="15" customHeight="1" x14ac:dyDescent="0.25"/>
    <row r="17742" ht="15" customHeight="1" x14ac:dyDescent="0.25"/>
    <row r="17743" ht="15" customHeight="1" x14ac:dyDescent="0.25"/>
    <row r="17744" ht="15" customHeight="1" x14ac:dyDescent="0.25"/>
    <row r="17745" ht="15" customHeight="1" x14ac:dyDescent="0.25"/>
    <row r="17746" ht="15" customHeight="1" x14ac:dyDescent="0.25"/>
    <row r="17747" ht="15" customHeight="1" x14ac:dyDescent="0.25"/>
    <row r="17748" ht="15" customHeight="1" x14ac:dyDescent="0.25"/>
    <row r="17749" ht="15" customHeight="1" x14ac:dyDescent="0.25"/>
    <row r="17750" ht="15" customHeight="1" x14ac:dyDescent="0.25"/>
    <row r="17751" ht="15" customHeight="1" x14ac:dyDescent="0.25"/>
    <row r="17752" ht="15" customHeight="1" x14ac:dyDescent="0.25"/>
    <row r="17753" ht="15" customHeight="1" x14ac:dyDescent="0.25"/>
    <row r="17754" ht="15" customHeight="1" x14ac:dyDescent="0.25"/>
    <row r="17755" ht="15" customHeight="1" x14ac:dyDescent="0.25"/>
    <row r="17756" ht="15" customHeight="1" x14ac:dyDescent="0.25"/>
    <row r="17757" ht="15" customHeight="1" x14ac:dyDescent="0.25"/>
    <row r="17758" ht="15" customHeight="1" x14ac:dyDescent="0.25"/>
    <row r="17759" ht="15" customHeight="1" x14ac:dyDescent="0.25"/>
    <row r="17760" ht="15" customHeight="1" x14ac:dyDescent="0.25"/>
    <row r="17761" ht="15" customHeight="1" x14ac:dyDescent="0.25"/>
    <row r="17762" ht="15" customHeight="1" x14ac:dyDescent="0.25"/>
    <row r="17763" ht="15" customHeight="1" x14ac:dyDescent="0.25"/>
    <row r="17764" ht="15" customHeight="1" x14ac:dyDescent="0.25"/>
    <row r="17765" ht="15" customHeight="1" x14ac:dyDescent="0.25"/>
    <row r="17766" ht="15" customHeight="1" x14ac:dyDescent="0.25"/>
    <row r="17767" ht="15" customHeight="1" x14ac:dyDescent="0.25"/>
    <row r="17768" ht="15" customHeight="1" x14ac:dyDescent="0.25"/>
    <row r="17769" ht="15" customHeight="1" x14ac:dyDescent="0.25"/>
    <row r="17770" ht="15" customHeight="1" x14ac:dyDescent="0.25"/>
    <row r="17771" ht="15" customHeight="1" x14ac:dyDescent="0.25"/>
    <row r="17772" ht="15" customHeight="1" x14ac:dyDescent="0.25"/>
    <row r="17773" ht="15" customHeight="1" x14ac:dyDescent="0.25"/>
    <row r="17774" ht="15" customHeight="1" x14ac:dyDescent="0.25"/>
    <row r="17775" ht="15" customHeight="1" x14ac:dyDescent="0.25"/>
    <row r="17776" ht="15" customHeight="1" x14ac:dyDescent="0.25"/>
    <row r="17777" ht="15" customHeight="1" x14ac:dyDescent="0.25"/>
    <row r="17778" ht="15" customHeight="1" x14ac:dyDescent="0.25"/>
    <row r="17779" ht="15" customHeight="1" x14ac:dyDescent="0.25"/>
    <row r="17780" ht="15" customHeight="1" x14ac:dyDescent="0.25"/>
    <row r="17781" ht="15" customHeight="1" x14ac:dyDescent="0.25"/>
    <row r="17782" ht="15" customHeight="1" x14ac:dyDescent="0.25"/>
    <row r="17783" ht="15" customHeight="1" x14ac:dyDescent="0.25"/>
    <row r="17784" ht="15" customHeight="1" x14ac:dyDescent="0.25"/>
    <row r="17785" ht="15" customHeight="1" x14ac:dyDescent="0.25"/>
    <row r="17786" ht="15" customHeight="1" x14ac:dyDescent="0.25"/>
    <row r="17787" ht="15" customHeight="1" x14ac:dyDescent="0.25"/>
    <row r="17788" ht="15" customHeight="1" x14ac:dyDescent="0.25"/>
    <row r="17789" ht="15" customHeight="1" x14ac:dyDescent="0.25"/>
    <row r="17790" ht="15" customHeight="1" x14ac:dyDescent="0.25"/>
    <row r="17791" ht="15" customHeight="1" x14ac:dyDescent="0.25"/>
    <row r="17792" ht="15" customHeight="1" x14ac:dyDescent="0.25"/>
    <row r="17793" ht="15" customHeight="1" x14ac:dyDescent="0.25"/>
    <row r="17794" ht="15" customHeight="1" x14ac:dyDescent="0.25"/>
    <row r="17795" ht="15" customHeight="1" x14ac:dyDescent="0.25"/>
    <row r="17796" ht="15" customHeight="1" x14ac:dyDescent="0.25"/>
    <row r="17797" ht="15" customHeight="1" x14ac:dyDescent="0.25"/>
    <row r="17798" ht="15" customHeight="1" x14ac:dyDescent="0.25"/>
    <row r="17799" ht="15" customHeight="1" x14ac:dyDescent="0.25"/>
    <row r="17800" ht="15" customHeight="1" x14ac:dyDescent="0.25"/>
    <row r="17801" ht="15" customHeight="1" x14ac:dyDescent="0.25"/>
    <row r="17802" ht="15" customHeight="1" x14ac:dyDescent="0.25"/>
    <row r="17803" ht="15" customHeight="1" x14ac:dyDescent="0.25"/>
    <row r="17804" ht="15" customHeight="1" x14ac:dyDescent="0.25"/>
    <row r="17805" ht="15" customHeight="1" x14ac:dyDescent="0.25"/>
    <row r="17806" ht="15" customHeight="1" x14ac:dyDescent="0.25"/>
    <row r="17807" ht="15" customHeight="1" x14ac:dyDescent="0.25"/>
    <row r="17808" ht="15" customHeight="1" x14ac:dyDescent="0.25"/>
    <row r="17809" ht="15" customHeight="1" x14ac:dyDescent="0.25"/>
    <row r="17810" ht="15" customHeight="1" x14ac:dyDescent="0.25"/>
    <row r="17811" ht="15" customHeight="1" x14ac:dyDescent="0.25"/>
    <row r="17812" ht="15" customHeight="1" x14ac:dyDescent="0.25"/>
    <row r="17813" ht="15" customHeight="1" x14ac:dyDescent="0.25"/>
    <row r="17814" ht="15" customHeight="1" x14ac:dyDescent="0.25"/>
    <row r="17815" ht="15" customHeight="1" x14ac:dyDescent="0.25"/>
    <row r="17816" ht="15" customHeight="1" x14ac:dyDescent="0.25"/>
    <row r="17817" ht="15" customHeight="1" x14ac:dyDescent="0.25"/>
    <row r="17818" ht="15" customHeight="1" x14ac:dyDescent="0.25"/>
    <row r="17819" ht="15" customHeight="1" x14ac:dyDescent="0.25"/>
    <row r="17820" ht="15" customHeight="1" x14ac:dyDescent="0.25"/>
    <row r="17821" ht="15" customHeight="1" x14ac:dyDescent="0.25"/>
    <row r="17822" ht="15" customHeight="1" x14ac:dyDescent="0.25"/>
    <row r="17823" ht="15" customHeight="1" x14ac:dyDescent="0.25"/>
    <row r="17824" ht="15" customHeight="1" x14ac:dyDescent="0.25"/>
    <row r="17825" ht="15" customHeight="1" x14ac:dyDescent="0.25"/>
    <row r="17826" ht="15" customHeight="1" x14ac:dyDescent="0.25"/>
    <row r="17827" ht="15" customHeight="1" x14ac:dyDescent="0.25"/>
    <row r="17828" ht="15" customHeight="1" x14ac:dyDescent="0.25"/>
    <row r="17829" ht="15" customHeight="1" x14ac:dyDescent="0.25"/>
    <row r="17830" ht="15" customHeight="1" x14ac:dyDescent="0.25"/>
    <row r="17831" ht="15" customHeight="1" x14ac:dyDescent="0.25"/>
    <row r="17832" ht="15" customHeight="1" x14ac:dyDescent="0.25"/>
    <row r="17833" ht="15" customHeight="1" x14ac:dyDescent="0.25"/>
    <row r="17834" ht="15" customHeight="1" x14ac:dyDescent="0.25"/>
    <row r="17835" ht="15" customHeight="1" x14ac:dyDescent="0.25"/>
    <row r="17836" ht="15" customHeight="1" x14ac:dyDescent="0.25"/>
    <row r="17837" ht="15" customHeight="1" x14ac:dyDescent="0.25"/>
    <row r="17838" ht="15" customHeight="1" x14ac:dyDescent="0.25"/>
    <row r="17839" ht="15" customHeight="1" x14ac:dyDescent="0.25"/>
    <row r="17840" ht="15" customHeight="1" x14ac:dyDescent="0.25"/>
    <row r="17841" ht="15" customHeight="1" x14ac:dyDescent="0.25"/>
    <row r="17842" ht="15" customHeight="1" x14ac:dyDescent="0.25"/>
    <row r="17843" ht="15" customHeight="1" x14ac:dyDescent="0.25"/>
    <row r="17844" ht="15" customHeight="1" x14ac:dyDescent="0.25"/>
    <row r="17845" ht="15" customHeight="1" x14ac:dyDescent="0.25"/>
    <row r="17846" ht="15" customHeight="1" x14ac:dyDescent="0.25"/>
    <row r="17847" ht="15" customHeight="1" x14ac:dyDescent="0.25"/>
    <row r="17848" ht="15" customHeight="1" x14ac:dyDescent="0.25"/>
    <row r="17849" ht="15" customHeight="1" x14ac:dyDescent="0.25"/>
    <row r="17850" ht="15" customHeight="1" x14ac:dyDescent="0.25"/>
    <row r="17851" ht="15" customHeight="1" x14ac:dyDescent="0.25"/>
    <row r="17852" ht="15" customHeight="1" x14ac:dyDescent="0.25"/>
    <row r="17853" ht="15" customHeight="1" x14ac:dyDescent="0.25"/>
    <row r="17854" ht="15" customHeight="1" x14ac:dyDescent="0.25"/>
    <row r="17855" ht="15" customHeight="1" x14ac:dyDescent="0.25"/>
    <row r="17856" ht="15" customHeight="1" x14ac:dyDescent="0.25"/>
    <row r="17857" ht="15" customHeight="1" x14ac:dyDescent="0.25"/>
    <row r="17858" ht="15" customHeight="1" x14ac:dyDescent="0.25"/>
    <row r="17859" ht="15" customHeight="1" x14ac:dyDescent="0.25"/>
    <row r="17860" ht="15" customHeight="1" x14ac:dyDescent="0.25"/>
    <row r="17861" ht="15" customHeight="1" x14ac:dyDescent="0.25"/>
    <row r="17862" ht="15" customHeight="1" x14ac:dyDescent="0.25"/>
    <row r="17863" ht="15" customHeight="1" x14ac:dyDescent="0.25"/>
    <row r="17864" ht="15" customHeight="1" x14ac:dyDescent="0.25"/>
    <row r="17865" ht="15" customHeight="1" x14ac:dyDescent="0.25"/>
    <row r="17866" ht="15" customHeight="1" x14ac:dyDescent="0.25"/>
    <row r="17867" ht="15" customHeight="1" x14ac:dyDescent="0.25"/>
    <row r="17868" ht="15" customHeight="1" x14ac:dyDescent="0.25"/>
    <row r="17869" ht="15" customHeight="1" x14ac:dyDescent="0.25"/>
    <row r="17870" ht="15" customHeight="1" x14ac:dyDescent="0.25"/>
    <row r="17871" ht="15" customHeight="1" x14ac:dyDescent="0.25"/>
    <row r="17872" ht="15" customHeight="1" x14ac:dyDescent="0.25"/>
    <row r="17873" ht="15" customHeight="1" x14ac:dyDescent="0.25"/>
    <row r="17874" ht="15" customHeight="1" x14ac:dyDescent="0.25"/>
    <row r="17875" ht="15" customHeight="1" x14ac:dyDescent="0.25"/>
    <row r="17876" ht="15" customHeight="1" x14ac:dyDescent="0.25"/>
    <row r="17877" ht="15" customHeight="1" x14ac:dyDescent="0.25"/>
    <row r="17878" ht="15" customHeight="1" x14ac:dyDescent="0.25"/>
    <row r="17879" ht="15" customHeight="1" x14ac:dyDescent="0.25"/>
    <row r="17880" ht="15" customHeight="1" x14ac:dyDescent="0.25"/>
    <row r="17881" ht="15" customHeight="1" x14ac:dyDescent="0.25"/>
    <row r="17882" ht="15" customHeight="1" x14ac:dyDescent="0.25"/>
    <row r="17883" ht="15" customHeight="1" x14ac:dyDescent="0.25"/>
    <row r="17884" ht="15" customHeight="1" x14ac:dyDescent="0.25"/>
    <row r="17885" ht="15" customHeight="1" x14ac:dyDescent="0.25"/>
    <row r="17886" ht="15" customHeight="1" x14ac:dyDescent="0.25"/>
    <row r="17887" ht="15" customHeight="1" x14ac:dyDescent="0.25"/>
    <row r="17888" ht="15" customHeight="1" x14ac:dyDescent="0.25"/>
    <row r="17889" ht="15" customHeight="1" x14ac:dyDescent="0.25"/>
    <row r="17890" ht="15" customHeight="1" x14ac:dyDescent="0.25"/>
    <row r="17891" ht="15" customHeight="1" x14ac:dyDescent="0.25"/>
    <row r="17892" ht="15" customHeight="1" x14ac:dyDescent="0.25"/>
    <row r="17893" ht="15" customHeight="1" x14ac:dyDescent="0.25"/>
    <row r="17894" ht="15" customHeight="1" x14ac:dyDescent="0.25"/>
    <row r="17895" ht="15" customHeight="1" x14ac:dyDescent="0.25"/>
    <row r="17896" ht="15" customHeight="1" x14ac:dyDescent="0.25"/>
    <row r="17897" ht="15" customHeight="1" x14ac:dyDescent="0.25"/>
    <row r="17898" ht="15" customHeight="1" x14ac:dyDescent="0.25"/>
    <row r="17899" ht="15" customHeight="1" x14ac:dyDescent="0.25"/>
    <row r="17900" ht="15" customHeight="1" x14ac:dyDescent="0.25"/>
    <row r="17901" ht="15" customHeight="1" x14ac:dyDescent="0.25"/>
    <row r="17902" ht="15" customHeight="1" x14ac:dyDescent="0.25"/>
    <row r="17903" ht="15" customHeight="1" x14ac:dyDescent="0.25"/>
    <row r="17904" ht="15" customHeight="1" x14ac:dyDescent="0.25"/>
    <row r="17905" ht="15" customHeight="1" x14ac:dyDescent="0.25"/>
    <row r="17906" ht="15" customHeight="1" x14ac:dyDescent="0.25"/>
    <row r="17907" ht="15" customHeight="1" x14ac:dyDescent="0.25"/>
    <row r="17908" ht="15" customHeight="1" x14ac:dyDescent="0.25"/>
    <row r="17909" ht="15" customHeight="1" x14ac:dyDescent="0.25"/>
    <row r="17910" ht="15" customHeight="1" x14ac:dyDescent="0.25"/>
    <row r="17911" ht="15" customHeight="1" x14ac:dyDescent="0.25"/>
    <row r="17912" ht="15" customHeight="1" x14ac:dyDescent="0.25"/>
    <row r="17913" ht="15" customHeight="1" x14ac:dyDescent="0.25"/>
    <row r="17914" ht="15" customHeight="1" x14ac:dyDescent="0.25"/>
    <row r="17915" ht="15" customHeight="1" x14ac:dyDescent="0.25"/>
    <row r="17916" ht="15" customHeight="1" x14ac:dyDescent="0.25"/>
    <row r="17917" ht="15" customHeight="1" x14ac:dyDescent="0.25"/>
    <row r="17918" ht="15" customHeight="1" x14ac:dyDescent="0.25"/>
    <row r="17919" ht="15" customHeight="1" x14ac:dyDescent="0.25"/>
    <row r="17920" ht="15" customHeight="1" x14ac:dyDescent="0.25"/>
    <row r="17921" ht="15" customHeight="1" x14ac:dyDescent="0.25"/>
    <row r="17922" ht="15" customHeight="1" x14ac:dyDescent="0.25"/>
    <row r="17923" ht="15" customHeight="1" x14ac:dyDescent="0.25"/>
    <row r="17924" ht="15" customHeight="1" x14ac:dyDescent="0.25"/>
    <row r="17925" ht="15" customHeight="1" x14ac:dyDescent="0.25"/>
    <row r="17926" ht="15" customHeight="1" x14ac:dyDescent="0.25"/>
    <row r="17927" ht="15" customHeight="1" x14ac:dyDescent="0.25"/>
    <row r="17928" ht="15" customHeight="1" x14ac:dyDescent="0.25"/>
    <row r="17929" ht="15" customHeight="1" x14ac:dyDescent="0.25"/>
    <row r="17930" ht="15" customHeight="1" x14ac:dyDescent="0.25"/>
    <row r="17931" ht="15" customHeight="1" x14ac:dyDescent="0.25"/>
    <row r="17932" ht="15" customHeight="1" x14ac:dyDescent="0.25"/>
    <row r="17933" ht="15" customHeight="1" x14ac:dyDescent="0.25"/>
    <row r="17934" ht="15" customHeight="1" x14ac:dyDescent="0.25"/>
    <row r="17935" ht="15" customHeight="1" x14ac:dyDescent="0.25"/>
    <row r="17936" ht="15" customHeight="1" x14ac:dyDescent="0.25"/>
    <row r="17937" ht="15" customHeight="1" x14ac:dyDescent="0.25"/>
    <row r="17938" ht="15" customHeight="1" x14ac:dyDescent="0.25"/>
    <row r="17939" ht="15" customHeight="1" x14ac:dyDescent="0.25"/>
    <row r="17940" ht="15" customHeight="1" x14ac:dyDescent="0.25"/>
    <row r="17941" ht="15" customHeight="1" x14ac:dyDescent="0.25"/>
    <row r="17942" ht="15" customHeight="1" x14ac:dyDescent="0.25"/>
    <row r="17943" ht="15" customHeight="1" x14ac:dyDescent="0.25"/>
    <row r="17944" ht="15" customHeight="1" x14ac:dyDescent="0.25"/>
    <row r="17945" ht="15" customHeight="1" x14ac:dyDescent="0.25"/>
    <row r="17946" ht="15" customHeight="1" x14ac:dyDescent="0.25"/>
    <row r="17947" ht="15" customHeight="1" x14ac:dyDescent="0.25"/>
    <row r="17948" ht="15" customHeight="1" x14ac:dyDescent="0.25"/>
    <row r="17949" ht="15" customHeight="1" x14ac:dyDescent="0.25"/>
    <row r="17950" ht="15" customHeight="1" x14ac:dyDescent="0.25"/>
    <row r="17951" ht="15" customHeight="1" x14ac:dyDescent="0.25"/>
    <row r="17952" ht="15" customHeight="1" x14ac:dyDescent="0.25"/>
    <row r="17953" ht="15" customHeight="1" x14ac:dyDescent="0.25"/>
    <row r="17954" ht="15" customHeight="1" x14ac:dyDescent="0.25"/>
    <row r="17955" ht="15" customHeight="1" x14ac:dyDescent="0.25"/>
    <row r="17956" ht="15" customHeight="1" x14ac:dyDescent="0.25"/>
    <row r="17957" ht="15" customHeight="1" x14ac:dyDescent="0.25"/>
    <row r="17958" ht="15" customHeight="1" x14ac:dyDescent="0.25"/>
    <row r="17959" ht="15" customHeight="1" x14ac:dyDescent="0.25"/>
    <row r="17960" ht="15" customHeight="1" x14ac:dyDescent="0.25"/>
    <row r="17961" ht="15" customHeight="1" x14ac:dyDescent="0.25"/>
    <row r="17962" ht="15" customHeight="1" x14ac:dyDescent="0.25"/>
    <row r="17963" ht="15" customHeight="1" x14ac:dyDescent="0.25"/>
    <row r="17964" ht="15" customHeight="1" x14ac:dyDescent="0.25"/>
    <row r="17965" ht="15" customHeight="1" x14ac:dyDescent="0.25"/>
    <row r="17966" ht="15" customHeight="1" x14ac:dyDescent="0.25"/>
    <row r="17967" ht="15" customHeight="1" x14ac:dyDescent="0.25"/>
    <row r="17968" ht="15" customHeight="1" x14ac:dyDescent="0.25"/>
    <row r="17969" ht="15" customHeight="1" x14ac:dyDescent="0.25"/>
    <row r="17970" ht="15" customHeight="1" x14ac:dyDescent="0.25"/>
    <row r="17971" ht="15" customHeight="1" x14ac:dyDescent="0.25"/>
    <row r="17972" ht="15" customHeight="1" x14ac:dyDescent="0.25"/>
    <row r="17973" ht="15" customHeight="1" x14ac:dyDescent="0.25"/>
    <row r="17974" ht="15" customHeight="1" x14ac:dyDescent="0.25"/>
    <row r="17975" ht="15" customHeight="1" x14ac:dyDescent="0.25"/>
    <row r="17976" ht="15" customHeight="1" x14ac:dyDescent="0.25"/>
    <row r="17977" ht="15" customHeight="1" x14ac:dyDescent="0.25"/>
    <row r="17978" ht="15" customHeight="1" x14ac:dyDescent="0.25"/>
    <row r="17979" ht="15" customHeight="1" x14ac:dyDescent="0.25"/>
    <row r="17980" ht="15" customHeight="1" x14ac:dyDescent="0.25"/>
    <row r="17981" ht="15" customHeight="1" x14ac:dyDescent="0.25"/>
    <row r="17982" ht="15" customHeight="1" x14ac:dyDescent="0.25"/>
    <row r="17983" ht="15" customHeight="1" x14ac:dyDescent="0.25"/>
    <row r="17984" ht="15" customHeight="1" x14ac:dyDescent="0.25"/>
    <row r="17985" ht="15" customHeight="1" x14ac:dyDescent="0.25"/>
    <row r="17986" ht="15" customHeight="1" x14ac:dyDescent="0.25"/>
    <row r="17987" ht="15" customHeight="1" x14ac:dyDescent="0.25"/>
    <row r="17988" ht="15" customHeight="1" x14ac:dyDescent="0.25"/>
    <row r="17989" ht="15" customHeight="1" x14ac:dyDescent="0.25"/>
    <row r="17990" ht="15" customHeight="1" x14ac:dyDescent="0.25"/>
    <row r="17991" ht="15" customHeight="1" x14ac:dyDescent="0.25"/>
    <row r="17992" ht="15" customHeight="1" x14ac:dyDescent="0.25"/>
    <row r="17993" ht="15" customHeight="1" x14ac:dyDescent="0.25"/>
    <row r="17994" ht="15" customHeight="1" x14ac:dyDescent="0.25"/>
    <row r="17995" ht="15" customHeight="1" x14ac:dyDescent="0.25"/>
    <row r="17996" ht="15" customHeight="1" x14ac:dyDescent="0.25"/>
    <row r="17997" ht="15" customHeight="1" x14ac:dyDescent="0.25"/>
    <row r="17998" ht="15" customHeight="1" x14ac:dyDescent="0.25"/>
    <row r="17999" ht="15" customHeight="1" x14ac:dyDescent="0.25"/>
    <row r="18000" ht="15" customHeight="1" x14ac:dyDescent="0.25"/>
    <row r="18001" ht="15" customHeight="1" x14ac:dyDescent="0.25"/>
    <row r="18002" ht="15" customHeight="1" x14ac:dyDescent="0.25"/>
    <row r="18003" ht="15" customHeight="1" x14ac:dyDescent="0.25"/>
    <row r="18004" ht="15" customHeight="1" x14ac:dyDescent="0.25"/>
    <row r="18005" ht="15" customHeight="1" x14ac:dyDescent="0.25"/>
    <row r="18006" ht="15" customHeight="1" x14ac:dyDescent="0.25"/>
    <row r="18007" ht="15" customHeight="1" x14ac:dyDescent="0.25"/>
    <row r="18008" ht="15" customHeight="1" x14ac:dyDescent="0.25"/>
    <row r="18009" ht="15" customHeight="1" x14ac:dyDescent="0.25"/>
    <row r="18010" ht="15" customHeight="1" x14ac:dyDescent="0.25"/>
    <row r="18011" ht="15" customHeight="1" x14ac:dyDescent="0.25"/>
    <row r="18012" ht="15" customHeight="1" x14ac:dyDescent="0.25"/>
    <row r="18013" ht="15" customHeight="1" x14ac:dyDescent="0.25"/>
    <row r="18014" ht="15" customHeight="1" x14ac:dyDescent="0.25"/>
    <row r="18015" ht="15" customHeight="1" x14ac:dyDescent="0.25"/>
    <row r="18016" ht="15" customHeight="1" x14ac:dyDescent="0.25"/>
    <row r="18017" ht="15" customHeight="1" x14ac:dyDescent="0.25"/>
    <row r="18018" ht="15" customHeight="1" x14ac:dyDescent="0.25"/>
    <row r="18019" ht="15" customHeight="1" x14ac:dyDescent="0.25"/>
    <row r="18020" ht="15" customHeight="1" x14ac:dyDescent="0.25"/>
    <row r="18021" ht="15" customHeight="1" x14ac:dyDescent="0.25"/>
    <row r="18022" ht="15" customHeight="1" x14ac:dyDescent="0.25"/>
    <row r="18023" ht="15" customHeight="1" x14ac:dyDescent="0.25"/>
    <row r="18024" ht="15" customHeight="1" x14ac:dyDescent="0.25"/>
    <row r="18025" ht="15" customHeight="1" x14ac:dyDescent="0.25"/>
    <row r="18026" ht="15" customHeight="1" x14ac:dyDescent="0.25"/>
    <row r="18027" ht="15" customHeight="1" x14ac:dyDescent="0.25"/>
    <row r="18028" ht="15" customHeight="1" x14ac:dyDescent="0.25"/>
    <row r="18029" ht="15" customHeight="1" x14ac:dyDescent="0.25"/>
    <row r="18030" ht="15" customHeight="1" x14ac:dyDescent="0.25"/>
    <row r="18031" ht="15" customHeight="1" x14ac:dyDescent="0.25"/>
    <row r="18032" ht="15" customHeight="1" x14ac:dyDescent="0.25"/>
    <row r="18033" ht="15" customHeight="1" x14ac:dyDescent="0.25"/>
    <row r="18034" ht="15" customHeight="1" x14ac:dyDescent="0.25"/>
    <row r="18035" ht="15" customHeight="1" x14ac:dyDescent="0.25"/>
    <row r="18036" ht="15" customHeight="1" x14ac:dyDescent="0.25"/>
    <row r="18037" ht="15" customHeight="1" x14ac:dyDescent="0.25"/>
    <row r="18038" ht="15" customHeight="1" x14ac:dyDescent="0.25"/>
    <row r="18039" ht="15" customHeight="1" x14ac:dyDescent="0.25"/>
    <row r="18040" ht="15" customHeight="1" x14ac:dyDescent="0.25"/>
    <row r="18041" ht="15" customHeight="1" x14ac:dyDescent="0.25"/>
    <row r="18042" ht="15" customHeight="1" x14ac:dyDescent="0.25"/>
    <row r="18043" ht="15" customHeight="1" x14ac:dyDescent="0.25"/>
    <row r="18044" ht="15" customHeight="1" x14ac:dyDescent="0.25"/>
    <row r="18045" ht="15" customHeight="1" x14ac:dyDescent="0.25"/>
    <row r="18046" ht="15" customHeight="1" x14ac:dyDescent="0.25"/>
    <row r="18047" ht="15" customHeight="1" x14ac:dyDescent="0.25"/>
    <row r="18048" ht="15" customHeight="1" x14ac:dyDescent="0.25"/>
    <row r="18049" ht="15" customHeight="1" x14ac:dyDescent="0.25"/>
    <row r="18050" ht="15" customHeight="1" x14ac:dyDescent="0.25"/>
    <row r="18051" ht="15" customHeight="1" x14ac:dyDescent="0.25"/>
    <row r="18052" ht="15" customHeight="1" x14ac:dyDescent="0.25"/>
    <row r="18053" ht="15" customHeight="1" x14ac:dyDescent="0.25"/>
    <row r="18054" ht="15" customHeight="1" x14ac:dyDescent="0.25"/>
    <row r="18055" ht="15" customHeight="1" x14ac:dyDescent="0.25"/>
    <row r="18056" ht="15" customHeight="1" x14ac:dyDescent="0.25"/>
    <row r="18057" ht="15" customHeight="1" x14ac:dyDescent="0.25"/>
    <row r="18058" ht="15" customHeight="1" x14ac:dyDescent="0.25"/>
    <row r="18059" ht="15" customHeight="1" x14ac:dyDescent="0.25"/>
    <row r="18060" ht="15" customHeight="1" x14ac:dyDescent="0.25"/>
    <row r="18061" ht="15" customHeight="1" x14ac:dyDescent="0.25"/>
    <row r="18062" ht="15" customHeight="1" x14ac:dyDescent="0.25"/>
    <row r="18063" ht="15" customHeight="1" x14ac:dyDescent="0.25"/>
    <row r="18064" ht="15" customHeight="1" x14ac:dyDescent="0.25"/>
    <row r="18065" ht="15" customHeight="1" x14ac:dyDescent="0.25"/>
    <row r="18066" ht="15" customHeight="1" x14ac:dyDescent="0.25"/>
    <row r="18067" ht="15" customHeight="1" x14ac:dyDescent="0.25"/>
    <row r="18068" ht="15" customHeight="1" x14ac:dyDescent="0.25"/>
    <row r="18069" ht="15" customHeight="1" x14ac:dyDescent="0.25"/>
    <row r="18070" ht="15" customHeight="1" x14ac:dyDescent="0.25"/>
    <row r="18071" ht="15" customHeight="1" x14ac:dyDescent="0.25"/>
    <row r="18072" ht="15" customHeight="1" x14ac:dyDescent="0.25"/>
    <row r="18073" ht="15" customHeight="1" x14ac:dyDescent="0.25"/>
    <row r="18074" ht="15" customHeight="1" x14ac:dyDescent="0.25"/>
    <row r="18075" ht="15" customHeight="1" x14ac:dyDescent="0.25"/>
    <row r="18076" ht="15" customHeight="1" x14ac:dyDescent="0.25"/>
    <row r="18077" ht="15" customHeight="1" x14ac:dyDescent="0.25"/>
    <row r="18078" ht="15" customHeight="1" x14ac:dyDescent="0.25"/>
    <row r="18079" ht="15" customHeight="1" x14ac:dyDescent="0.25"/>
    <row r="18080" ht="15" customHeight="1" x14ac:dyDescent="0.25"/>
    <row r="18081" ht="15" customHeight="1" x14ac:dyDescent="0.25"/>
    <row r="18082" ht="15" customHeight="1" x14ac:dyDescent="0.25"/>
    <row r="18083" ht="15" customHeight="1" x14ac:dyDescent="0.25"/>
    <row r="18084" ht="15" customHeight="1" x14ac:dyDescent="0.25"/>
    <row r="18085" ht="15" customHeight="1" x14ac:dyDescent="0.25"/>
    <row r="18086" ht="15" customHeight="1" x14ac:dyDescent="0.25"/>
    <row r="18087" ht="15" customHeight="1" x14ac:dyDescent="0.25"/>
    <row r="18088" ht="15" customHeight="1" x14ac:dyDescent="0.25"/>
    <row r="18089" ht="15" customHeight="1" x14ac:dyDescent="0.25"/>
    <row r="18090" ht="15" customHeight="1" x14ac:dyDescent="0.25"/>
    <row r="18091" ht="15" customHeight="1" x14ac:dyDescent="0.25"/>
    <row r="18092" ht="15" customHeight="1" x14ac:dyDescent="0.25"/>
    <row r="18093" ht="15" customHeight="1" x14ac:dyDescent="0.25"/>
    <row r="18094" ht="15" customHeight="1" x14ac:dyDescent="0.25"/>
    <row r="18095" ht="15" customHeight="1" x14ac:dyDescent="0.25"/>
    <row r="18096" ht="15" customHeight="1" x14ac:dyDescent="0.25"/>
    <row r="18097" ht="15" customHeight="1" x14ac:dyDescent="0.25"/>
    <row r="18098" ht="15" customHeight="1" x14ac:dyDescent="0.25"/>
    <row r="18099" ht="15" customHeight="1" x14ac:dyDescent="0.25"/>
    <row r="18100" ht="15" customHeight="1" x14ac:dyDescent="0.25"/>
    <row r="18101" ht="15" customHeight="1" x14ac:dyDescent="0.25"/>
    <row r="18102" ht="15" customHeight="1" x14ac:dyDescent="0.25"/>
    <row r="18103" ht="15" customHeight="1" x14ac:dyDescent="0.25"/>
    <row r="18104" ht="15" customHeight="1" x14ac:dyDescent="0.25"/>
    <row r="18105" ht="15" customHeight="1" x14ac:dyDescent="0.25"/>
    <row r="18106" ht="15" customHeight="1" x14ac:dyDescent="0.25"/>
    <row r="18107" ht="15" customHeight="1" x14ac:dyDescent="0.25"/>
    <row r="18108" ht="15" customHeight="1" x14ac:dyDescent="0.25"/>
    <row r="18109" ht="15" customHeight="1" x14ac:dyDescent="0.25"/>
    <row r="18110" ht="15" customHeight="1" x14ac:dyDescent="0.25"/>
    <row r="18111" ht="15" customHeight="1" x14ac:dyDescent="0.25"/>
    <row r="18112" ht="15" customHeight="1" x14ac:dyDescent="0.25"/>
    <row r="18113" ht="15" customHeight="1" x14ac:dyDescent="0.25"/>
    <row r="18114" ht="15" customHeight="1" x14ac:dyDescent="0.25"/>
    <row r="18115" ht="15" customHeight="1" x14ac:dyDescent="0.25"/>
    <row r="18116" ht="15" customHeight="1" x14ac:dyDescent="0.25"/>
    <row r="18117" ht="15" customHeight="1" x14ac:dyDescent="0.25"/>
    <row r="18118" ht="15" customHeight="1" x14ac:dyDescent="0.25"/>
    <row r="18119" ht="15" customHeight="1" x14ac:dyDescent="0.25"/>
    <row r="18120" ht="15" customHeight="1" x14ac:dyDescent="0.25"/>
    <row r="18121" ht="15" customHeight="1" x14ac:dyDescent="0.25"/>
    <row r="18122" ht="15" customHeight="1" x14ac:dyDescent="0.25"/>
    <row r="18123" ht="15" customHeight="1" x14ac:dyDescent="0.25"/>
    <row r="18124" ht="15" customHeight="1" x14ac:dyDescent="0.25"/>
    <row r="18125" ht="15" customHeight="1" x14ac:dyDescent="0.25"/>
    <row r="18126" ht="15" customHeight="1" x14ac:dyDescent="0.25"/>
    <row r="18127" ht="15" customHeight="1" x14ac:dyDescent="0.25"/>
    <row r="18128" ht="15" customHeight="1" x14ac:dyDescent="0.25"/>
    <row r="18129" ht="15" customHeight="1" x14ac:dyDescent="0.25"/>
    <row r="18130" ht="15" customHeight="1" x14ac:dyDescent="0.25"/>
    <row r="18131" ht="15" customHeight="1" x14ac:dyDescent="0.25"/>
    <row r="18132" ht="15" customHeight="1" x14ac:dyDescent="0.25"/>
    <row r="18133" ht="15" customHeight="1" x14ac:dyDescent="0.25"/>
    <row r="18134" ht="15" customHeight="1" x14ac:dyDescent="0.25"/>
    <row r="18135" ht="15" customHeight="1" x14ac:dyDescent="0.25"/>
    <row r="18136" ht="15" customHeight="1" x14ac:dyDescent="0.25"/>
    <row r="18137" ht="15" customHeight="1" x14ac:dyDescent="0.25"/>
    <row r="18138" ht="15" customHeight="1" x14ac:dyDescent="0.25"/>
    <row r="18139" ht="15" customHeight="1" x14ac:dyDescent="0.25"/>
    <row r="18140" ht="15" customHeight="1" x14ac:dyDescent="0.25"/>
    <row r="18141" ht="15" customHeight="1" x14ac:dyDescent="0.25"/>
    <row r="18142" ht="15" customHeight="1" x14ac:dyDescent="0.25"/>
    <row r="18143" ht="15" customHeight="1" x14ac:dyDescent="0.25"/>
    <row r="18144" ht="15" customHeight="1" x14ac:dyDescent="0.25"/>
    <row r="18145" ht="15" customHeight="1" x14ac:dyDescent="0.25"/>
    <row r="18146" ht="15" customHeight="1" x14ac:dyDescent="0.25"/>
    <row r="18147" ht="15" customHeight="1" x14ac:dyDescent="0.25"/>
    <row r="18148" ht="15" customHeight="1" x14ac:dyDescent="0.25"/>
    <row r="18149" ht="15" customHeight="1" x14ac:dyDescent="0.25"/>
    <row r="18150" ht="15" customHeight="1" x14ac:dyDescent="0.25"/>
    <row r="18151" ht="15" customHeight="1" x14ac:dyDescent="0.25"/>
    <row r="18152" ht="15" customHeight="1" x14ac:dyDescent="0.25"/>
    <row r="18153" ht="15" customHeight="1" x14ac:dyDescent="0.25"/>
    <row r="18154" ht="15" customHeight="1" x14ac:dyDescent="0.25"/>
    <row r="18155" ht="15" customHeight="1" x14ac:dyDescent="0.25"/>
    <row r="18156" ht="15" customHeight="1" x14ac:dyDescent="0.25"/>
    <row r="18157" ht="15" customHeight="1" x14ac:dyDescent="0.25"/>
    <row r="18158" ht="15" customHeight="1" x14ac:dyDescent="0.25"/>
    <row r="18159" ht="15" customHeight="1" x14ac:dyDescent="0.25"/>
    <row r="18160" ht="15" customHeight="1" x14ac:dyDescent="0.25"/>
    <row r="18161" ht="15" customHeight="1" x14ac:dyDescent="0.25"/>
    <row r="18162" ht="15" customHeight="1" x14ac:dyDescent="0.25"/>
    <row r="18163" ht="15" customHeight="1" x14ac:dyDescent="0.25"/>
    <row r="18164" ht="15" customHeight="1" x14ac:dyDescent="0.25"/>
    <row r="18165" ht="15" customHeight="1" x14ac:dyDescent="0.25"/>
    <row r="18166" ht="15" customHeight="1" x14ac:dyDescent="0.25"/>
    <row r="18167" ht="15" customHeight="1" x14ac:dyDescent="0.25"/>
    <row r="18168" ht="15" customHeight="1" x14ac:dyDescent="0.25"/>
    <row r="18169" ht="15" customHeight="1" x14ac:dyDescent="0.25"/>
    <row r="18170" ht="15" customHeight="1" x14ac:dyDescent="0.25"/>
    <row r="18171" ht="15" customHeight="1" x14ac:dyDescent="0.25"/>
    <row r="18172" ht="15" customHeight="1" x14ac:dyDescent="0.25"/>
    <row r="18173" ht="15" customHeight="1" x14ac:dyDescent="0.25"/>
    <row r="18174" ht="15" customHeight="1" x14ac:dyDescent="0.25"/>
    <row r="18175" ht="15" customHeight="1" x14ac:dyDescent="0.25"/>
    <row r="18176" ht="15" customHeight="1" x14ac:dyDescent="0.25"/>
    <row r="18177" ht="15" customHeight="1" x14ac:dyDescent="0.25"/>
    <row r="18178" ht="15" customHeight="1" x14ac:dyDescent="0.25"/>
    <row r="18179" ht="15" customHeight="1" x14ac:dyDescent="0.25"/>
    <row r="18180" ht="15" customHeight="1" x14ac:dyDescent="0.25"/>
    <row r="18181" ht="15" customHeight="1" x14ac:dyDescent="0.25"/>
    <row r="18182" ht="15" customHeight="1" x14ac:dyDescent="0.25"/>
    <row r="18183" ht="15" customHeight="1" x14ac:dyDescent="0.25"/>
    <row r="18184" ht="15" customHeight="1" x14ac:dyDescent="0.25"/>
    <row r="18185" ht="15" customHeight="1" x14ac:dyDescent="0.25"/>
    <row r="18186" ht="15" customHeight="1" x14ac:dyDescent="0.25"/>
    <row r="18187" ht="15" customHeight="1" x14ac:dyDescent="0.25"/>
    <row r="18188" ht="15" customHeight="1" x14ac:dyDescent="0.25"/>
    <row r="18189" ht="15" customHeight="1" x14ac:dyDescent="0.25"/>
    <row r="18190" ht="15" customHeight="1" x14ac:dyDescent="0.25"/>
    <row r="18191" ht="15" customHeight="1" x14ac:dyDescent="0.25"/>
    <row r="18192" ht="15" customHeight="1" x14ac:dyDescent="0.25"/>
    <row r="18193" ht="15" customHeight="1" x14ac:dyDescent="0.25"/>
    <row r="18194" ht="15" customHeight="1" x14ac:dyDescent="0.25"/>
    <row r="18195" ht="15" customHeight="1" x14ac:dyDescent="0.25"/>
    <row r="18196" ht="15" customHeight="1" x14ac:dyDescent="0.25"/>
    <row r="18197" ht="15" customHeight="1" x14ac:dyDescent="0.25"/>
    <row r="18198" ht="15" customHeight="1" x14ac:dyDescent="0.25"/>
    <row r="18199" ht="15" customHeight="1" x14ac:dyDescent="0.25"/>
    <row r="18200" ht="15" customHeight="1" x14ac:dyDescent="0.25"/>
    <row r="18201" ht="15" customHeight="1" x14ac:dyDescent="0.25"/>
    <row r="18202" ht="15" customHeight="1" x14ac:dyDescent="0.25"/>
    <row r="18203" ht="15" customHeight="1" x14ac:dyDescent="0.25"/>
    <row r="18204" ht="15" customHeight="1" x14ac:dyDescent="0.25"/>
    <row r="18205" ht="15" customHeight="1" x14ac:dyDescent="0.25"/>
    <row r="18206" ht="15" customHeight="1" x14ac:dyDescent="0.25"/>
    <row r="18207" ht="15" customHeight="1" x14ac:dyDescent="0.25"/>
    <row r="18208" ht="15" customHeight="1" x14ac:dyDescent="0.25"/>
    <row r="18209" ht="15" customHeight="1" x14ac:dyDescent="0.25"/>
    <row r="18210" ht="15" customHeight="1" x14ac:dyDescent="0.25"/>
    <row r="18211" ht="15" customHeight="1" x14ac:dyDescent="0.25"/>
    <row r="18212" ht="15" customHeight="1" x14ac:dyDescent="0.25"/>
    <row r="18213" ht="15" customHeight="1" x14ac:dyDescent="0.25"/>
    <row r="18214" ht="15" customHeight="1" x14ac:dyDescent="0.25"/>
    <row r="18215" ht="15" customHeight="1" x14ac:dyDescent="0.25"/>
    <row r="18216" ht="15" customHeight="1" x14ac:dyDescent="0.25"/>
    <row r="18217" ht="15" customHeight="1" x14ac:dyDescent="0.25"/>
    <row r="18218" ht="15" customHeight="1" x14ac:dyDescent="0.25"/>
    <row r="18219" ht="15" customHeight="1" x14ac:dyDescent="0.25"/>
    <row r="18220" ht="15" customHeight="1" x14ac:dyDescent="0.25"/>
    <row r="18221" ht="15" customHeight="1" x14ac:dyDescent="0.25"/>
    <row r="18222" ht="15" customHeight="1" x14ac:dyDescent="0.25"/>
    <row r="18223" ht="15" customHeight="1" x14ac:dyDescent="0.25"/>
    <row r="18224" ht="15" customHeight="1" x14ac:dyDescent="0.25"/>
    <row r="18225" ht="15" customHeight="1" x14ac:dyDescent="0.25"/>
    <row r="18226" ht="15" customHeight="1" x14ac:dyDescent="0.25"/>
    <row r="18227" ht="15" customHeight="1" x14ac:dyDescent="0.25"/>
    <row r="18228" ht="15" customHeight="1" x14ac:dyDescent="0.25"/>
    <row r="18229" ht="15" customHeight="1" x14ac:dyDescent="0.25"/>
    <row r="18230" ht="15" customHeight="1" x14ac:dyDescent="0.25"/>
    <row r="18231" ht="15" customHeight="1" x14ac:dyDescent="0.25"/>
    <row r="18232" ht="15" customHeight="1" x14ac:dyDescent="0.25"/>
    <row r="18237" ht="15" customHeight="1" x14ac:dyDescent="0.25"/>
    <row r="18244" ht="15" customHeight="1" x14ac:dyDescent="0.25"/>
    <row r="18245" ht="15" customHeight="1" x14ac:dyDescent="0.25"/>
    <row r="18246" ht="15" customHeight="1" x14ac:dyDescent="0.25"/>
    <row r="18247" ht="15" customHeight="1" x14ac:dyDescent="0.25"/>
    <row r="18248" ht="15" customHeight="1" x14ac:dyDescent="0.25"/>
    <row r="18249" ht="15" customHeight="1" x14ac:dyDescent="0.25"/>
    <row r="18250" ht="15" customHeight="1" x14ac:dyDescent="0.25"/>
    <row r="18251" ht="15" customHeight="1" x14ac:dyDescent="0.25"/>
    <row r="18252" ht="15" customHeight="1" x14ac:dyDescent="0.25"/>
    <row r="18253" ht="15" customHeight="1" x14ac:dyDescent="0.25"/>
    <row r="18254" ht="15" customHeight="1" x14ac:dyDescent="0.25"/>
    <row r="18255" ht="15" customHeight="1" x14ac:dyDescent="0.25"/>
    <row r="18256" ht="15" customHeight="1" x14ac:dyDescent="0.25"/>
    <row r="18257" ht="15" customHeight="1" x14ac:dyDescent="0.25"/>
    <row r="18258" ht="15" customHeight="1" x14ac:dyDescent="0.25"/>
    <row r="18259" ht="15" customHeight="1" x14ac:dyDescent="0.25"/>
    <row r="18260" ht="15" customHeight="1" x14ac:dyDescent="0.25"/>
    <row r="18261" ht="15" customHeight="1" x14ac:dyDescent="0.25"/>
    <row r="18262" ht="15" customHeight="1" x14ac:dyDescent="0.25"/>
    <row r="18263" ht="15" customHeight="1" x14ac:dyDescent="0.25"/>
    <row r="18264" ht="15" customHeight="1" x14ac:dyDescent="0.25"/>
    <row r="18265" ht="15" customHeight="1" x14ac:dyDescent="0.25"/>
    <row r="18266" ht="15" customHeight="1" x14ac:dyDescent="0.25"/>
    <row r="18267" ht="15" customHeight="1" x14ac:dyDescent="0.25"/>
    <row r="18268" ht="15" customHeight="1" x14ac:dyDescent="0.25"/>
    <row r="18269" ht="15" customHeight="1" x14ac:dyDescent="0.25"/>
    <row r="18270" ht="15" customHeight="1" x14ac:dyDescent="0.25"/>
    <row r="18271" ht="15" customHeight="1" x14ac:dyDescent="0.25"/>
    <row r="18272" ht="15" customHeight="1" x14ac:dyDescent="0.25"/>
    <row r="18273" ht="15" customHeight="1" x14ac:dyDescent="0.25"/>
    <row r="18274" ht="15" customHeight="1" x14ac:dyDescent="0.25"/>
    <row r="18275" ht="15" customHeight="1" x14ac:dyDescent="0.25"/>
    <row r="18276" ht="15" customHeight="1" x14ac:dyDescent="0.25"/>
    <row r="18277" ht="15" customHeight="1" x14ac:dyDescent="0.25"/>
    <row r="18278" ht="15" customHeight="1" x14ac:dyDescent="0.25"/>
    <row r="18279" ht="15" customHeight="1" x14ac:dyDescent="0.25"/>
    <row r="18280" ht="15" customHeight="1" x14ac:dyDescent="0.25"/>
    <row r="18281" ht="15" customHeight="1" x14ac:dyDescent="0.25"/>
    <row r="18282" ht="15" customHeight="1" x14ac:dyDescent="0.25"/>
    <row r="18283" ht="15" customHeight="1" x14ac:dyDescent="0.25"/>
    <row r="18284" ht="15" customHeight="1" x14ac:dyDescent="0.25"/>
    <row r="18285" ht="15" customHeight="1" x14ac:dyDescent="0.25"/>
    <row r="18286" ht="15" customHeight="1" x14ac:dyDescent="0.25"/>
    <row r="18287" ht="15" customHeight="1" x14ac:dyDescent="0.25"/>
    <row r="18288" ht="15" customHeight="1" x14ac:dyDescent="0.25"/>
    <row r="18289" ht="15" customHeight="1" x14ac:dyDescent="0.25"/>
    <row r="18290" ht="15" customHeight="1" x14ac:dyDescent="0.25"/>
    <row r="18291" ht="15" customHeight="1" x14ac:dyDescent="0.25"/>
    <row r="18292" ht="15" customHeight="1" x14ac:dyDescent="0.25"/>
    <row r="18293" ht="15" customHeight="1" x14ac:dyDescent="0.25"/>
    <row r="18294" ht="15" customHeight="1" x14ac:dyDescent="0.25"/>
    <row r="18295" ht="15" customHeight="1" x14ac:dyDescent="0.25"/>
    <row r="18296" ht="15" customHeight="1" x14ac:dyDescent="0.25"/>
    <row r="18297" ht="15" customHeight="1" x14ac:dyDescent="0.25"/>
    <row r="18298" ht="15" customHeight="1" x14ac:dyDescent="0.25"/>
    <row r="18299" ht="15" customHeight="1" x14ac:dyDescent="0.25"/>
    <row r="18300" ht="15" customHeight="1" x14ac:dyDescent="0.25"/>
    <row r="18301" ht="15" customHeight="1" x14ac:dyDescent="0.25"/>
    <row r="18302" ht="15" customHeight="1" x14ac:dyDescent="0.25"/>
    <row r="18303" ht="15" customHeight="1" x14ac:dyDescent="0.25"/>
    <row r="18304" ht="15" customHeight="1" x14ac:dyDescent="0.25"/>
    <row r="18305" ht="15" customHeight="1" x14ac:dyDescent="0.25"/>
    <row r="18306" ht="15" customHeight="1" x14ac:dyDescent="0.25"/>
    <row r="18307" ht="15" customHeight="1" x14ac:dyDescent="0.25"/>
    <row r="18308" ht="15" customHeight="1" x14ac:dyDescent="0.25"/>
    <row r="18309" ht="15" customHeight="1" x14ac:dyDescent="0.25"/>
    <row r="18310" ht="15" customHeight="1" x14ac:dyDescent="0.25"/>
    <row r="18311" ht="15" customHeight="1" x14ac:dyDescent="0.25"/>
    <row r="18312" ht="15" customHeight="1" x14ac:dyDescent="0.25"/>
    <row r="18313" ht="15" customHeight="1" x14ac:dyDescent="0.25"/>
    <row r="18314" ht="15" customHeight="1" x14ac:dyDescent="0.25"/>
    <row r="18315" ht="15" customHeight="1" x14ac:dyDescent="0.25"/>
    <row r="18316" ht="15" customHeight="1" x14ac:dyDescent="0.25"/>
    <row r="18317" ht="15" customHeight="1" x14ac:dyDescent="0.25"/>
    <row r="18318" ht="15" customHeight="1" x14ac:dyDescent="0.25"/>
    <row r="18319" ht="15" customHeight="1" x14ac:dyDescent="0.25"/>
    <row r="18320" ht="15" customHeight="1" x14ac:dyDescent="0.25"/>
    <row r="18321" ht="15" customHeight="1" x14ac:dyDescent="0.25"/>
    <row r="18322" ht="15" customHeight="1" x14ac:dyDescent="0.25"/>
    <row r="18323" ht="15" customHeight="1" x14ac:dyDescent="0.25"/>
    <row r="18324" ht="15" customHeight="1" x14ac:dyDescent="0.25"/>
    <row r="18325" ht="15" customHeight="1" x14ac:dyDescent="0.25"/>
    <row r="18326" ht="15" customHeight="1" x14ac:dyDescent="0.25"/>
    <row r="18327" ht="15" customHeight="1" x14ac:dyDescent="0.25"/>
    <row r="18328" ht="15" customHeight="1" x14ac:dyDescent="0.25"/>
    <row r="18329" ht="15" customHeight="1" x14ac:dyDescent="0.25"/>
    <row r="18330" ht="15" customHeight="1" x14ac:dyDescent="0.25"/>
    <row r="18331" ht="15" customHeight="1" x14ac:dyDescent="0.25"/>
    <row r="18332" ht="15" customHeight="1" x14ac:dyDescent="0.25"/>
    <row r="18333" ht="15" customHeight="1" x14ac:dyDescent="0.25"/>
    <row r="18334" ht="15" customHeight="1" x14ac:dyDescent="0.25"/>
    <row r="18335" ht="15" customHeight="1" x14ac:dyDescent="0.25"/>
    <row r="18336" ht="15" customHeight="1" x14ac:dyDescent="0.25"/>
    <row r="18337" ht="15" customHeight="1" x14ac:dyDescent="0.25"/>
    <row r="18338" ht="15" customHeight="1" x14ac:dyDescent="0.25"/>
    <row r="18339" ht="15" customHeight="1" x14ac:dyDescent="0.25"/>
    <row r="18340" ht="15" customHeight="1" x14ac:dyDescent="0.25"/>
    <row r="18341" ht="15" customHeight="1" x14ac:dyDescent="0.25"/>
    <row r="18342" ht="15" customHeight="1" x14ac:dyDescent="0.25"/>
    <row r="18343" ht="15" customHeight="1" x14ac:dyDescent="0.25"/>
    <row r="18344" ht="15" customHeight="1" x14ac:dyDescent="0.25"/>
    <row r="18345" ht="15" customHeight="1" x14ac:dyDescent="0.25"/>
    <row r="18346" ht="15" customHeight="1" x14ac:dyDescent="0.25"/>
    <row r="18347" ht="15" customHeight="1" x14ac:dyDescent="0.25"/>
    <row r="18348" ht="15" customHeight="1" x14ac:dyDescent="0.25"/>
    <row r="18349" ht="15" customHeight="1" x14ac:dyDescent="0.25"/>
    <row r="18350" ht="15" customHeight="1" x14ac:dyDescent="0.25"/>
    <row r="18351" ht="15" customHeight="1" x14ac:dyDescent="0.25"/>
    <row r="18352" ht="15" customHeight="1" x14ac:dyDescent="0.25"/>
    <row r="18353" ht="15" customHeight="1" x14ac:dyDescent="0.25"/>
    <row r="18354" ht="15" customHeight="1" x14ac:dyDescent="0.25"/>
    <row r="18355" ht="15" customHeight="1" x14ac:dyDescent="0.25"/>
    <row r="18356" ht="15" customHeight="1" x14ac:dyDescent="0.25"/>
    <row r="18357" ht="15" customHeight="1" x14ac:dyDescent="0.25"/>
    <row r="18358" ht="15" customHeight="1" x14ac:dyDescent="0.25"/>
    <row r="18359" ht="15" customHeight="1" x14ac:dyDescent="0.25"/>
    <row r="18360" ht="15" customHeight="1" x14ac:dyDescent="0.25"/>
    <row r="18361" ht="15" customHeight="1" x14ac:dyDescent="0.25"/>
    <row r="18362" ht="15" customHeight="1" x14ac:dyDescent="0.25"/>
    <row r="18363" ht="15" customHeight="1" x14ac:dyDescent="0.25"/>
    <row r="18364" ht="15" customHeight="1" x14ac:dyDescent="0.25"/>
    <row r="18365" ht="15" customHeight="1" x14ac:dyDescent="0.25"/>
    <row r="18366" ht="15" customHeight="1" x14ac:dyDescent="0.25"/>
    <row r="18367" ht="15" customHeight="1" x14ac:dyDescent="0.25"/>
    <row r="18368" ht="15" customHeight="1" x14ac:dyDescent="0.25"/>
    <row r="18369" ht="15" customHeight="1" x14ac:dyDescent="0.25"/>
    <row r="18370" ht="15" customHeight="1" x14ac:dyDescent="0.25"/>
    <row r="18371" ht="15" customHeight="1" x14ac:dyDescent="0.25"/>
    <row r="18372" ht="15" customHeight="1" x14ac:dyDescent="0.25"/>
    <row r="18373" ht="15" customHeight="1" x14ac:dyDescent="0.25"/>
    <row r="18374" ht="15" customHeight="1" x14ac:dyDescent="0.25"/>
    <row r="18375" ht="15" customHeight="1" x14ac:dyDescent="0.25"/>
    <row r="18376" ht="15" customHeight="1" x14ac:dyDescent="0.25"/>
    <row r="18377" ht="15" customHeight="1" x14ac:dyDescent="0.25"/>
    <row r="18378" ht="15" customHeight="1" x14ac:dyDescent="0.25"/>
    <row r="18379" ht="15" customHeight="1" x14ac:dyDescent="0.25"/>
    <row r="18380" ht="15" customHeight="1" x14ac:dyDescent="0.25"/>
    <row r="18381" ht="15" customHeight="1" x14ac:dyDescent="0.25"/>
    <row r="18382" ht="15" customHeight="1" x14ac:dyDescent="0.25"/>
    <row r="18383" ht="15" customHeight="1" x14ac:dyDescent="0.25"/>
    <row r="18384" ht="15" customHeight="1" x14ac:dyDescent="0.25"/>
    <row r="18385" ht="15" customHeight="1" x14ac:dyDescent="0.25"/>
    <row r="18386" ht="15" customHeight="1" x14ac:dyDescent="0.25"/>
    <row r="18387" ht="15" customHeight="1" x14ac:dyDescent="0.25"/>
    <row r="18388" ht="15" customHeight="1" x14ac:dyDescent="0.25"/>
    <row r="18389" ht="15" customHeight="1" x14ac:dyDescent="0.25"/>
    <row r="18390" ht="15" customHeight="1" x14ac:dyDescent="0.25"/>
    <row r="18391" ht="15" customHeight="1" x14ac:dyDescent="0.25"/>
    <row r="18392" ht="15" customHeight="1" x14ac:dyDescent="0.25"/>
    <row r="18393" ht="15" customHeight="1" x14ac:dyDescent="0.25"/>
    <row r="18394" ht="15" customHeight="1" x14ac:dyDescent="0.25"/>
    <row r="18395" ht="15" customHeight="1" x14ac:dyDescent="0.25"/>
    <row r="18396" ht="15" customHeight="1" x14ac:dyDescent="0.25"/>
    <row r="18397" ht="15" customHeight="1" x14ac:dyDescent="0.25"/>
    <row r="18398" ht="15" customHeight="1" x14ac:dyDescent="0.25"/>
    <row r="18399" ht="15" customHeight="1" x14ac:dyDescent="0.25"/>
    <row r="18400" ht="15" customHeight="1" x14ac:dyDescent="0.25"/>
    <row r="18401" ht="15" customHeight="1" x14ac:dyDescent="0.25"/>
    <row r="18402" ht="15" customHeight="1" x14ac:dyDescent="0.25"/>
    <row r="18403" ht="15" customHeight="1" x14ac:dyDescent="0.25"/>
    <row r="18404" ht="15" customHeight="1" x14ac:dyDescent="0.25"/>
    <row r="18405" ht="15" customHeight="1" x14ac:dyDescent="0.25"/>
    <row r="18406" ht="15" customHeight="1" x14ac:dyDescent="0.25"/>
    <row r="18407" ht="15" customHeight="1" x14ac:dyDescent="0.25"/>
    <row r="18408" ht="15" customHeight="1" x14ac:dyDescent="0.25"/>
    <row r="18409" ht="15" customHeight="1" x14ac:dyDescent="0.25"/>
    <row r="18410" ht="15" customHeight="1" x14ac:dyDescent="0.25"/>
    <row r="18411" ht="15" customHeight="1" x14ac:dyDescent="0.25"/>
    <row r="18412" ht="15" customHeight="1" x14ac:dyDescent="0.25"/>
    <row r="18413" ht="15" customHeight="1" x14ac:dyDescent="0.25"/>
    <row r="18414" ht="15" customHeight="1" x14ac:dyDescent="0.25"/>
    <row r="18415" ht="15" customHeight="1" x14ac:dyDescent="0.25"/>
    <row r="18416" ht="15" customHeight="1" x14ac:dyDescent="0.25"/>
    <row r="18417" ht="15" customHeight="1" x14ac:dyDescent="0.25"/>
    <row r="18418" ht="15" customHeight="1" x14ac:dyDescent="0.25"/>
    <row r="18419" ht="15" customHeight="1" x14ac:dyDescent="0.25"/>
    <row r="18420" ht="15" customHeight="1" x14ac:dyDescent="0.25"/>
    <row r="18421" ht="15" customHeight="1" x14ac:dyDescent="0.25"/>
    <row r="18422" ht="15" customHeight="1" x14ac:dyDescent="0.25"/>
    <row r="18423" ht="15" customHeight="1" x14ac:dyDescent="0.25"/>
    <row r="18424" ht="15" customHeight="1" x14ac:dyDescent="0.25"/>
    <row r="18425" ht="15" customHeight="1" x14ac:dyDescent="0.25"/>
    <row r="18426" ht="15" customHeight="1" x14ac:dyDescent="0.25"/>
    <row r="18427" ht="15" customHeight="1" x14ac:dyDescent="0.25"/>
    <row r="18428" ht="15" customHeight="1" x14ac:dyDescent="0.25"/>
    <row r="18429" ht="15" customHeight="1" x14ac:dyDescent="0.25"/>
    <row r="18430" ht="15" customHeight="1" x14ac:dyDescent="0.25"/>
    <row r="18431" ht="15" customHeight="1" x14ac:dyDescent="0.25"/>
    <row r="18432" ht="15" customHeight="1" x14ac:dyDescent="0.25"/>
    <row r="18433" ht="15" customHeight="1" x14ac:dyDescent="0.25"/>
    <row r="18434" ht="15" customHeight="1" x14ac:dyDescent="0.25"/>
    <row r="18435" ht="15" customHeight="1" x14ac:dyDescent="0.25"/>
    <row r="18436" ht="15" customHeight="1" x14ac:dyDescent="0.25"/>
    <row r="18437" ht="15" customHeight="1" x14ac:dyDescent="0.25"/>
    <row r="18438" ht="15" customHeight="1" x14ac:dyDescent="0.25"/>
    <row r="18439" ht="15" customHeight="1" x14ac:dyDescent="0.25"/>
    <row r="18440" ht="15" customHeight="1" x14ac:dyDescent="0.25"/>
    <row r="18441" ht="15" customHeight="1" x14ac:dyDescent="0.25"/>
    <row r="18442" ht="15" customHeight="1" x14ac:dyDescent="0.25"/>
    <row r="18443" ht="15" customHeight="1" x14ac:dyDescent="0.25"/>
    <row r="18444" ht="15" customHeight="1" x14ac:dyDescent="0.25"/>
    <row r="18445" ht="15" customHeight="1" x14ac:dyDescent="0.25"/>
    <row r="18446" ht="15" customHeight="1" x14ac:dyDescent="0.25"/>
    <row r="18447" ht="15" customHeight="1" x14ac:dyDescent="0.25"/>
    <row r="18448" ht="15" customHeight="1" x14ac:dyDescent="0.25"/>
    <row r="18449" ht="15" customHeight="1" x14ac:dyDescent="0.25"/>
    <row r="18450" ht="15" customHeight="1" x14ac:dyDescent="0.25"/>
    <row r="18451" ht="15" customHeight="1" x14ac:dyDescent="0.25"/>
    <row r="18452" ht="15" customHeight="1" x14ac:dyDescent="0.25"/>
    <row r="18453" ht="15" customHeight="1" x14ac:dyDescent="0.25"/>
    <row r="18454" ht="15" customHeight="1" x14ac:dyDescent="0.25"/>
    <row r="18455" ht="15" customHeight="1" x14ac:dyDescent="0.25"/>
    <row r="18456" ht="15" customHeight="1" x14ac:dyDescent="0.25"/>
    <row r="18457" ht="15" customHeight="1" x14ac:dyDescent="0.25"/>
    <row r="18458" ht="15" customHeight="1" x14ac:dyDescent="0.25"/>
    <row r="18459" ht="15" customHeight="1" x14ac:dyDescent="0.25"/>
    <row r="18460" ht="15" customHeight="1" x14ac:dyDescent="0.25"/>
    <row r="18461" ht="15" customHeight="1" x14ac:dyDescent="0.25"/>
    <row r="18462" ht="15" customHeight="1" x14ac:dyDescent="0.25"/>
    <row r="18463" ht="15" customHeight="1" x14ac:dyDescent="0.25"/>
    <row r="18464" ht="15" customHeight="1" x14ac:dyDescent="0.25"/>
    <row r="18465" ht="15" customHeight="1" x14ac:dyDescent="0.25"/>
    <row r="18466" ht="15" customHeight="1" x14ac:dyDescent="0.25"/>
    <row r="18467" ht="15" customHeight="1" x14ac:dyDescent="0.25"/>
    <row r="18468" ht="15" customHeight="1" x14ac:dyDescent="0.25"/>
    <row r="18469" ht="15" customHeight="1" x14ac:dyDescent="0.25"/>
    <row r="18470" ht="15" customHeight="1" x14ac:dyDescent="0.25"/>
    <row r="18471" ht="15" customHeight="1" x14ac:dyDescent="0.25"/>
    <row r="18472" ht="15" customHeight="1" x14ac:dyDescent="0.25"/>
    <row r="18473" ht="15" customHeight="1" x14ac:dyDescent="0.25"/>
    <row r="18474" ht="15" customHeight="1" x14ac:dyDescent="0.25"/>
    <row r="18475" ht="15" customHeight="1" x14ac:dyDescent="0.25"/>
    <row r="18476" ht="15" customHeight="1" x14ac:dyDescent="0.25"/>
    <row r="18477" ht="15" customHeight="1" x14ac:dyDescent="0.25"/>
    <row r="18478" ht="15" customHeight="1" x14ac:dyDescent="0.25"/>
    <row r="18479" ht="15" customHeight="1" x14ac:dyDescent="0.25"/>
    <row r="18480" ht="15" customHeight="1" x14ac:dyDescent="0.25"/>
    <row r="18481" ht="15" customHeight="1" x14ac:dyDescent="0.25"/>
    <row r="18482" ht="15" customHeight="1" x14ac:dyDescent="0.25"/>
    <row r="18483" ht="15" customHeight="1" x14ac:dyDescent="0.25"/>
    <row r="18484" ht="15" customHeight="1" x14ac:dyDescent="0.25"/>
    <row r="18485" ht="15" customHeight="1" x14ac:dyDescent="0.25"/>
    <row r="18486" ht="15" customHeight="1" x14ac:dyDescent="0.25"/>
    <row r="18487" ht="15" customHeight="1" x14ac:dyDescent="0.25"/>
    <row r="18488" ht="15" customHeight="1" x14ac:dyDescent="0.25"/>
    <row r="18489" ht="15" customHeight="1" x14ac:dyDescent="0.25"/>
    <row r="18490" ht="15" customHeight="1" x14ac:dyDescent="0.25"/>
    <row r="18491" ht="15" customHeight="1" x14ac:dyDescent="0.25"/>
    <row r="18492" ht="15" customHeight="1" x14ac:dyDescent="0.25"/>
    <row r="18493" ht="15" customHeight="1" x14ac:dyDescent="0.25"/>
    <row r="18494" ht="15" customHeight="1" x14ac:dyDescent="0.25"/>
    <row r="18495" ht="15" customHeight="1" x14ac:dyDescent="0.25"/>
    <row r="18496" ht="15" customHeight="1" x14ac:dyDescent="0.25"/>
    <row r="18497" ht="15" customHeight="1" x14ac:dyDescent="0.25"/>
    <row r="18498" ht="15" customHeight="1" x14ac:dyDescent="0.25"/>
    <row r="18499" ht="15" customHeight="1" x14ac:dyDescent="0.25"/>
    <row r="18500" ht="15" customHeight="1" x14ac:dyDescent="0.25"/>
    <row r="18501" ht="15" customHeight="1" x14ac:dyDescent="0.25"/>
    <row r="18502" ht="15" customHeight="1" x14ac:dyDescent="0.25"/>
    <row r="18503" ht="15" customHeight="1" x14ac:dyDescent="0.25"/>
    <row r="18504" ht="15" customHeight="1" x14ac:dyDescent="0.25"/>
    <row r="18505" ht="15" customHeight="1" x14ac:dyDescent="0.25"/>
    <row r="18506" ht="15" customHeight="1" x14ac:dyDescent="0.25"/>
    <row r="18507" ht="15" customHeight="1" x14ac:dyDescent="0.25"/>
    <row r="18508" ht="15" customHeight="1" x14ac:dyDescent="0.25"/>
    <row r="18509" ht="15" customHeight="1" x14ac:dyDescent="0.25"/>
    <row r="18510" ht="15" customHeight="1" x14ac:dyDescent="0.25"/>
    <row r="18511" ht="15" customHeight="1" x14ac:dyDescent="0.25"/>
    <row r="18512" ht="15" customHeight="1" x14ac:dyDescent="0.25"/>
    <row r="18513" ht="15" customHeight="1" x14ac:dyDescent="0.25"/>
    <row r="18514" ht="15" customHeight="1" x14ac:dyDescent="0.25"/>
    <row r="18515" ht="15" customHeight="1" x14ac:dyDescent="0.25"/>
    <row r="18516" ht="15" customHeight="1" x14ac:dyDescent="0.25"/>
    <row r="18517" ht="15" customHeight="1" x14ac:dyDescent="0.25"/>
    <row r="18518" ht="15" customHeight="1" x14ac:dyDescent="0.25"/>
    <row r="18519" ht="15" customHeight="1" x14ac:dyDescent="0.25"/>
    <row r="18520" ht="15" customHeight="1" x14ac:dyDescent="0.25"/>
    <row r="18521" ht="15" customHeight="1" x14ac:dyDescent="0.25"/>
    <row r="18522" ht="15" customHeight="1" x14ac:dyDescent="0.25"/>
    <row r="18523" ht="15" customHeight="1" x14ac:dyDescent="0.25"/>
    <row r="18524" ht="15" customHeight="1" x14ac:dyDescent="0.25"/>
    <row r="18525" ht="15" customHeight="1" x14ac:dyDescent="0.25"/>
    <row r="18526" ht="15" customHeight="1" x14ac:dyDescent="0.25"/>
    <row r="18527" ht="15" customHeight="1" x14ac:dyDescent="0.25"/>
    <row r="18528" ht="15" customHeight="1" x14ac:dyDescent="0.25"/>
    <row r="18529" ht="15" customHeight="1" x14ac:dyDescent="0.25"/>
    <row r="18530" ht="15" customHeight="1" x14ac:dyDescent="0.25"/>
    <row r="18531" ht="15" customHeight="1" x14ac:dyDescent="0.25"/>
    <row r="18532" ht="15" customHeight="1" x14ac:dyDescent="0.25"/>
    <row r="18533" ht="15" customHeight="1" x14ac:dyDescent="0.25"/>
    <row r="18534" ht="15" customHeight="1" x14ac:dyDescent="0.25"/>
    <row r="18535" ht="15" customHeight="1" x14ac:dyDescent="0.25"/>
    <row r="18536" ht="15" customHeight="1" x14ac:dyDescent="0.25"/>
    <row r="18537" ht="15" customHeight="1" x14ac:dyDescent="0.25"/>
    <row r="18538" ht="15" customHeight="1" x14ac:dyDescent="0.25"/>
    <row r="18539" ht="15" customHeight="1" x14ac:dyDescent="0.25"/>
    <row r="18540" ht="15" customHeight="1" x14ac:dyDescent="0.25"/>
    <row r="18541" ht="15" customHeight="1" x14ac:dyDescent="0.25"/>
    <row r="18542" ht="15" customHeight="1" x14ac:dyDescent="0.25"/>
    <row r="18543" ht="15" customHeight="1" x14ac:dyDescent="0.25"/>
    <row r="18544" ht="15" customHeight="1" x14ac:dyDescent="0.25"/>
    <row r="18545" ht="15" customHeight="1" x14ac:dyDescent="0.25"/>
    <row r="18546" ht="15" customHeight="1" x14ac:dyDescent="0.25"/>
    <row r="18547" ht="15" customHeight="1" x14ac:dyDescent="0.25"/>
    <row r="18548" ht="15" customHeight="1" x14ac:dyDescent="0.25"/>
    <row r="18549" ht="15" customHeight="1" x14ac:dyDescent="0.25"/>
    <row r="18550" ht="15" customHeight="1" x14ac:dyDescent="0.25"/>
    <row r="18551" ht="15" customHeight="1" x14ac:dyDescent="0.25"/>
    <row r="18552" ht="15" customHeight="1" x14ac:dyDescent="0.25"/>
    <row r="18553" ht="15" customHeight="1" x14ac:dyDescent="0.25"/>
    <row r="18554" ht="15" customHeight="1" x14ac:dyDescent="0.25"/>
    <row r="18555" ht="15" customHeight="1" x14ac:dyDescent="0.25"/>
    <row r="18556" ht="15" customHeight="1" x14ac:dyDescent="0.25"/>
    <row r="18557" ht="15" customHeight="1" x14ac:dyDescent="0.25"/>
    <row r="18558" ht="15" customHeight="1" x14ac:dyDescent="0.25"/>
    <row r="18559" ht="15" customHeight="1" x14ac:dyDescent="0.25"/>
    <row r="18560" ht="15" customHeight="1" x14ac:dyDescent="0.25"/>
    <row r="18561" ht="15" customHeight="1" x14ac:dyDescent="0.25"/>
    <row r="18562" ht="15" customHeight="1" x14ac:dyDescent="0.25"/>
    <row r="18563" ht="15" customHeight="1" x14ac:dyDescent="0.25"/>
    <row r="18564" ht="15" customHeight="1" x14ac:dyDescent="0.25"/>
    <row r="18565" ht="15" customHeight="1" x14ac:dyDescent="0.25"/>
    <row r="18566" ht="15" customHeight="1" x14ac:dyDescent="0.25"/>
    <row r="18567" ht="15" customHeight="1" x14ac:dyDescent="0.25"/>
    <row r="18568" ht="15" customHeight="1" x14ac:dyDescent="0.25"/>
    <row r="18569" ht="15" customHeight="1" x14ac:dyDescent="0.25"/>
    <row r="18570" ht="15" customHeight="1" x14ac:dyDescent="0.25"/>
    <row r="18571" ht="15" customHeight="1" x14ac:dyDescent="0.25"/>
    <row r="18572" ht="15" customHeight="1" x14ac:dyDescent="0.25"/>
    <row r="18573" ht="15" customHeight="1" x14ac:dyDescent="0.25"/>
    <row r="18574" ht="15" customHeight="1" x14ac:dyDescent="0.25"/>
    <row r="18575" ht="15" customHeight="1" x14ac:dyDescent="0.25"/>
    <row r="18576" ht="15" customHeight="1" x14ac:dyDescent="0.25"/>
    <row r="18577" ht="15" customHeight="1" x14ac:dyDescent="0.25"/>
    <row r="18578" ht="15" customHeight="1" x14ac:dyDescent="0.25"/>
    <row r="18579" ht="15" customHeight="1" x14ac:dyDescent="0.25"/>
    <row r="18580" ht="15" customHeight="1" x14ac:dyDescent="0.25"/>
    <row r="18581" ht="15" customHeight="1" x14ac:dyDescent="0.25"/>
    <row r="18582" ht="15" customHeight="1" x14ac:dyDescent="0.25"/>
    <row r="18583" ht="15" customHeight="1" x14ac:dyDescent="0.25"/>
    <row r="18584" ht="15" customHeight="1" x14ac:dyDescent="0.25"/>
    <row r="18585" ht="15" customHeight="1" x14ac:dyDescent="0.25"/>
    <row r="18586" ht="15" customHeight="1" x14ac:dyDescent="0.25"/>
    <row r="18587" ht="15" customHeight="1" x14ac:dyDescent="0.25"/>
    <row r="18588" ht="15" customHeight="1" x14ac:dyDescent="0.25"/>
    <row r="18589" ht="15" customHeight="1" x14ac:dyDescent="0.25"/>
    <row r="18590" ht="15" customHeight="1" x14ac:dyDescent="0.25"/>
    <row r="18591" ht="15" customHeight="1" x14ac:dyDescent="0.25"/>
    <row r="18592" ht="15" customHeight="1" x14ac:dyDescent="0.25"/>
    <row r="18593" ht="15" customHeight="1" x14ac:dyDescent="0.25"/>
    <row r="18594" ht="15" customHeight="1" x14ac:dyDescent="0.25"/>
    <row r="18595" ht="15" customHeight="1" x14ac:dyDescent="0.25"/>
    <row r="18596" ht="15" customHeight="1" x14ac:dyDescent="0.25"/>
    <row r="18597" ht="15" customHeight="1" x14ac:dyDescent="0.25"/>
    <row r="18598" ht="15" customHeight="1" x14ac:dyDescent="0.25"/>
    <row r="18599" ht="15" customHeight="1" x14ac:dyDescent="0.25"/>
    <row r="18600" ht="15" customHeight="1" x14ac:dyDescent="0.25"/>
    <row r="18601" ht="15" customHeight="1" x14ac:dyDescent="0.25"/>
    <row r="18602" ht="15" customHeight="1" x14ac:dyDescent="0.25"/>
    <row r="18603" ht="15" customHeight="1" x14ac:dyDescent="0.25"/>
    <row r="18604" ht="15" customHeight="1" x14ac:dyDescent="0.25"/>
    <row r="18605" ht="15" customHeight="1" x14ac:dyDescent="0.25"/>
    <row r="18606" ht="15" customHeight="1" x14ac:dyDescent="0.25"/>
    <row r="18607" ht="15" customHeight="1" x14ac:dyDescent="0.25"/>
    <row r="18608" ht="15" customHeight="1" x14ac:dyDescent="0.25"/>
    <row r="18609" ht="15" customHeight="1" x14ac:dyDescent="0.25"/>
    <row r="18610" ht="15" customHeight="1" x14ac:dyDescent="0.25"/>
    <row r="18611" ht="15" customHeight="1" x14ac:dyDescent="0.25"/>
    <row r="18612" ht="15" customHeight="1" x14ac:dyDescent="0.25"/>
    <row r="18613" ht="15" customHeight="1" x14ac:dyDescent="0.25"/>
    <row r="18614" ht="15" customHeight="1" x14ac:dyDescent="0.25"/>
    <row r="18615" ht="15" customHeight="1" x14ac:dyDescent="0.25"/>
    <row r="18616" ht="15" customHeight="1" x14ac:dyDescent="0.25"/>
    <row r="18617" ht="15" customHeight="1" x14ac:dyDescent="0.25"/>
    <row r="18618" ht="15" customHeight="1" x14ac:dyDescent="0.25"/>
    <row r="18619" ht="15" customHeight="1" x14ac:dyDescent="0.25"/>
    <row r="18620" ht="15" customHeight="1" x14ac:dyDescent="0.25"/>
    <row r="18621" ht="15" customHeight="1" x14ac:dyDescent="0.25"/>
    <row r="18622" ht="15" customHeight="1" x14ac:dyDescent="0.25"/>
    <row r="18623" ht="15" customHeight="1" x14ac:dyDescent="0.25"/>
    <row r="18624" ht="15" customHeight="1" x14ac:dyDescent="0.25"/>
    <row r="18625" ht="15" customHeight="1" x14ac:dyDescent="0.25"/>
    <row r="18626" ht="15" customHeight="1" x14ac:dyDescent="0.25"/>
    <row r="18627" ht="15" customHeight="1" x14ac:dyDescent="0.25"/>
    <row r="18628" ht="15" customHeight="1" x14ac:dyDescent="0.25"/>
    <row r="18629" ht="15" customHeight="1" x14ac:dyDescent="0.25"/>
    <row r="18630" ht="15" customHeight="1" x14ac:dyDescent="0.25"/>
    <row r="18631" ht="15" customHeight="1" x14ac:dyDescent="0.25"/>
    <row r="18632" ht="15" customHeight="1" x14ac:dyDescent="0.25"/>
    <row r="18633" ht="15" customHeight="1" x14ac:dyDescent="0.25"/>
    <row r="18634" ht="15" customHeight="1" x14ac:dyDescent="0.25"/>
    <row r="18635" ht="15" customHeight="1" x14ac:dyDescent="0.25"/>
    <row r="18636" ht="15" customHeight="1" x14ac:dyDescent="0.25"/>
    <row r="18637" ht="15" customHeight="1" x14ac:dyDescent="0.25"/>
    <row r="18638" ht="15" customHeight="1" x14ac:dyDescent="0.25"/>
    <row r="18639" ht="15" customHeight="1" x14ac:dyDescent="0.25"/>
    <row r="18640" ht="15" customHeight="1" x14ac:dyDescent="0.25"/>
    <row r="18641" ht="15" customHeight="1" x14ac:dyDescent="0.25"/>
    <row r="18642" ht="15" customHeight="1" x14ac:dyDescent="0.25"/>
    <row r="18643" ht="15" customHeight="1" x14ac:dyDescent="0.25"/>
    <row r="18644" ht="15" customHeight="1" x14ac:dyDescent="0.25"/>
    <row r="18645" ht="15" customHeight="1" x14ac:dyDescent="0.25"/>
    <row r="18646" ht="15" customHeight="1" x14ac:dyDescent="0.25"/>
    <row r="18647" ht="15" customHeight="1" x14ac:dyDescent="0.25"/>
    <row r="18648" ht="15" customHeight="1" x14ac:dyDescent="0.25"/>
    <row r="18649" ht="15" customHeight="1" x14ac:dyDescent="0.25"/>
    <row r="18650" ht="15" customHeight="1" x14ac:dyDescent="0.25"/>
    <row r="18651" ht="15" customHeight="1" x14ac:dyDescent="0.25"/>
    <row r="18652" ht="15" customHeight="1" x14ac:dyDescent="0.25"/>
    <row r="18653" ht="15" customHeight="1" x14ac:dyDescent="0.25"/>
    <row r="18654" ht="15" customHeight="1" x14ac:dyDescent="0.25"/>
    <row r="18655" ht="15" customHeight="1" x14ac:dyDescent="0.25"/>
    <row r="18656" ht="15" customHeight="1" x14ac:dyDescent="0.25"/>
    <row r="18657" ht="15" customHeight="1" x14ac:dyDescent="0.25"/>
    <row r="18658" ht="15" customHeight="1" x14ac:dyDescent="0.25"/>
    <row r="18659" ht="15" customHeight="1" x14ac:dyDescent="0.25"/>
    <row r="18660" ht="15" customHeight="1" x14ac:dyDescent="0.25"/>
    <row r="18661" ht="15" customHeight="1" x14ac:dyDescent="0.25"/>
    <row r="18662" ht="15" customHeight="1" x14ac:dyDescent="0.25"/>
    <row r="18663" ht="15" customHeight="1" x14ac:dyDescent="0.25"/>
    <row r="18664" ht="15" customHeight="1" x14ac:dyDescent="0.25"/>
    <row r="18665" ht="15" customHeight="1" x14ac:dyDescent="0.25"/>
    <row r="18666" ht="15" customHeight="1" x14ac:dyDescent="0.25"/>
    <row r="18667" ht="15" customHeight="1" x14ac:dyDescent="0.25"/>
    <row r="18668" ht="15" customHeight="1" x14ac:dyDescent="0.25"/>
    <row r="18669" ht="15" customHeight="1" x14ac:dyDescent="0.25"/>
    <row r="18670" ht="15" customHeight="1" x14ac:dyDescent="0.25"/>
    <row r="18671" ht="15" customHeight="1" x14ac:dyDescent="0.25"/>
    <row r="18672" ht="15" customHeight="1" x14ac:dyDescent="0.25"/>
    <row r="18673" ht="15" customHeight="1" x14ac:dyDescent="0.25"/>
    <row r="18674" ht="15" customHeight="1" x14ac:dyDescent="0.25"/>
    <row r="18675" ht="15" customHeight="1" x14ac:dyDescent="0.25"/>
    <row r="18676" ht="15" customHeight="1" x14ac:dyDescent="0.25"/>
    <row r="18677" ht="15" customHeight="1" x14ac:dyDescent="0.25"/>
    <row r="18678" ht="15" customHeight="1" x14ac:dyDescent="0.25"/>
    <row r="18679" ht="15" customHeight="1" x14ac:dyDescent="0.25"/>
    <row r="18680" ht="15" customHeight="1" x14ac:dyDescent="0.25"/>
    <row r="18681" ht="15" customHeight="1" x14ac:dyDescent="0.25"/>
    <row r="18682" ht="15" customHeight="1" x14ac:dyDescent="0.25"/>
    <row r="18683" ht="15" customHeight="1" x14ac:dyDescent="0.25"/>
    <row r="18684" ht="15" customHeight="1" x14ac:dyDescent="0.25"/>
    <row r="18685" ht="15" customHeight="1" x14ac:dyDescent="0.25"/>
    <row r="18686" ht="15" customHeight="1" x14ac:dyDescent="0.25"/>
    <row r="18687" ht="15" customHeight="1" x14ac:dyDescent="0.25"/>
    <row r="18688" ht="15" customHeight="1" x14ac:dyDescent="0.25"/>
    <row r="18689" ht="15" customHeight="1" x14ac:dyDescent="0.25"/>
    <row r="18690" ht="15" customHeight="1" x14ac:dyDescent="0.25"/>
    <row r="18691" ht="15" customHeight="1" x14ac:dyDescent="0.25"/>
    <row r="18692" ht="15" customHeight="1" x14ac:dyDescent="0.25"/>
    <row r="18693" ht="15" customHeight="1" x14ac:dyDescent="0.25"/>
    <row r="18694" ht="15" customHeight="1" x14ac:dyDescent="0.25"/>
    <row r="18695" ht="15" customHeight="1" x14ac:dyDescent="0.25"/>
    <row r="18696" ht="15" customHeight="1" x14ac:dyDescent="0.25"/>
    <row r="18697" ht="15" customHeight="1" x14ac:dyDescent="0.25"/>
    <row r="18698" ht="15" customHeight="1" x14ac:dyDescent="0.25"/>
    <row r="18699" ht="15" customHeight="1" x14ac:dyDescent="0.25"/>
    <row r="18700" ht="15" customHeight="1" x14ac:dyDescent="0.25"/>
    <row r="18701" ht="15" customHeight="1" x14ac:dyDescent="0.25"/>
    <row r="18702" ht="15" customHeight="1" x14ac:dyDescent="0.25"/>
    <row r="18703" ht="15" customHeight="1" x14ac:dyDescent="0.25"/>
    <row r="18704" ht="15" customHeight="1" x14ac:dyDescent="0.25"/>
    <row r="18705" ht="15" customHeight="1" x14ac:dyDescent="0.25"/>
    <row r="18706" ht="15" customHeight="1" x14ac:dyDescent="0.25"/>
    <row r="18707" ht="15" customHeight="1" x14ac:dyDescent="0.25"/>
    <row r="18708" ht="15" customHeight="1" x14ac:dyDescent="0.25"/>
    <row r="18709" ht="15" customHeight="1" x14ac:dyDescent="0.25"/>
    <row r="18710" ht="15" customHeight="1" x14ac:dyDescent="0.25"/>
    <row r="18711" ht="15" customHeight="1" x14ac:dyDescent="0.25"/>
    <row r="18712" ht="15" customHeight="1" x14ac:dyDescent="0.25"/>
    <row r="18713" ht="15" customHeight="1" x14ac:dyDescent="0.25"/>
    <row r="18714" ht="15" customHeight="1" x14ac:dyDescent="0.25"/>
    <row r="18715" ht="15" customHeight="1" x14ac:dyDescent="0.25"/>
    <row r="18716" ht="15" customHeight="1" x14ac:dyDescent="0.25"/>
    <row r="18717" ht="15" customHeight="1" x14ac:dyDescent="0.25"/>
    <row r="18718" ht="15" customHeight="1" x14ac:dyDescent="0.25"/>
    <row r="18719" ht="15" customHeight="1" x14ac:dyDescent="0.25"/>
    <row r="18720" ht="15" customHeight="1" x14ac:dyDescent="0.25"/>
    <row r="18721" ht="15" customHeight="1" x14ac:dyDescent="0.25"/>
    <row r="18722" ht="15" customHeight="1" x14ac:dyDescent="0.25"/>
    <row r="18723" ht="15" customHeight="1" x14ac:dyDescent="0.25"/>
    <row r="18724" ht="15" customHeight="1" x14ac:dyDescent="0.25"/>
    <row r="18725" ht="15" customHeight="1" x14ac:dyDescent="0.25"/>
    <row r="18726" ht="15" customHeight="1" x14ac:dyDescent="0.25"/>
    <row r="18727" ht="15" customHeight="1" x14ac:dyDescent="0.25"/>
    <row r="18728" ht="15" customHeight="1" x14ac:dyDescent="0.25"/>
    <row r="18729" ht="15" customHeight="1" x14ac:dyDescent="0.25"/>
    <row r="18730" ht="15" customHeight="1" x14ac:dyDescent="0.25"/>
    <row r="18731" ht="15" customHeight="1" x14ac:dyDescent="0.25"/>
    <row r="18732" ht="15" customHeight="1" x14ac:dyDescent="0.25"/>
    <row r="18733" ht="15" customHeight="1" x14ac:dyDescent="0.25"/>
    <row r="18734" ht="15" customHeight="1" x14ac:dyDescent="0.25"/>
    <row r="18735" ht="15" customHeight="1" x14ac:dyDescent="0.25"/>
    <row r="18736" ht="15" customHeight="1" x14ac:dyDescent="0.25"/>
    <row r="18737" ht="15" customHeight="1" x14ac:dyDescent="0.25"/>
    <row r="18738" ht="15" customHeight="1" x14ac:dyDescent="0.25"/>
    <row r="18739" ht="15" customHeight="1" x14ac:dyDescent="0.25"/>
    <row r="18740" ht="15" customHeight="1" x14ac:dyDescent="0.25"/>
    <row r="18741" ht="15" customHeight="1" x14ac:dyDescent="0.25"/>
    <row r="18742" ht="15" customHeight="1" x14ac:dyDescent="0.25"/>
    <row r="18743" ht="15" customHeight="1" x14ac:dyDescent="0.25"/>
    <row r="18744" ht="15" customHeight="1" x14ac:dyDescent="0.25"/>
    <row r="18745" ht="15" customHeight="1" x14ac:dyDescent="0.25"/>
    <row r="18746" ht="15" customHeight="1" x14ac:dyDescent="0.25"/>
    <row r="18747" ht="15" customHeight="1" x14ac:dyDescent="0.25"/>
    <row r="18748" ht="15" customHeight="1" x14ac:dyDescent="0.25"/>
    <row r="18749" ht="15" customHeight="1" x14ac:dyDescent="0.25"/>
    <row r="18750" ht="15" customHeight="1" x14ac:dyDescent="0.25"/>
    <row r="18751" ht="15" customHeight="1" x14ac:dyDescent="0.25"/>
    <row r="18752" ht="15" customHeight="1" x14ac:dyDescent="0.25"/>
    <row r="18753" ht="15" customHeight="1" x14ac:dyDescent="0.25"/>
    <row r="18754" ht="15" customHeight="1" x14ac:dyDescent="0.25"/>
    <row r="18755" ht="15" customHeight="1" x14ac:dyDescent="0.25"/>
    <row r="18756" ht="15" customHeight="1" x14ac:dyDescent="0.25"/>
    <row r="18757" ht="15" customHeight="1" x14ac:dyDescent="0.25"/>
    <row r="18758" ht="15" customHeight="1" x14ac:dyDescent="0.25"/>
    <row r="18759" ht="15" customHeight="1" x14ac:dyDescent="0.25"/>
    <row r="18760" ht="15" customHeight="1" x14ac:dyDescent="0.25"/>
    <row r="18761" ht="15" customHeight="1" x14ac:dyDescent="0.25"/>
    <row r="18762" ht="15" customHeight="1" x14ac:dyDescent="0.25"/>
    <row r="18763" ht="15" customHeight="1" x14ac:dyDescent="0.25"/>
    <row r="18764" ht="15" customHeight="1" x14ac:dyDescent="0.25"/>
    <row r="18765" ht="15" customHeight="1" x14ac:dyDescent="0.25"/>
    <row r="18766" ht="15" customHeight="1" x14ac:dyDescent="0.25"/>
    <row r="18767" ht="15" customHeight="1" x14ac:dyDescent="0.25"/>
    <row r="18768" ht="15" customHeight="1" x14ac:dyDescent="0.25"/>
    <row r="18769" ht="15" customHeight="1" x14ac:dyDescent="0.25"/>
    <row r="18770" ht="15" customHeight="1" x14ac:dyDescent="0.25"/>
    <row r="18771" ht="15" customHeight="1" x14ac:dyDescent="0.25"/>
    <row r="18772" ht="15" customHeight="1" x14ac:dyDescent="0.25"/>
    <row r="18773" ht="15" customHeight="1" x14ac:dyDescent="0.25"/>
    <row r="18774" ht="15" customHeight="1" x14ac:dyDescent="0.25"/>
    <row r="18775" ht="15" customHeight="1" x14ac:dyDescent="0.25"/>
    <row r="18776" ht="15" customHeight="1" x14ac:dyDescent="0.25"/>
    <row r="18777" ht="15" customHeight="1" x14ac:dyDescent="0.25"/>
    <row r="18778" ht="15" customHeight="1" x14ac:dyDescent="0.25"/>
    <row r="18779" ht="15" customHeight="1" x14ac:dyDescent="0.25"/>
    <row r="18780" ht="15" customHeight="1" x14ac:dyDescent="0.25"/>
    <row r="18781" ht="15" customHeight="1" x14ac:dyDescent="0.25"/>
    <row r="18782" ht="15" customHeight="1" x14ac:dyDescent="0.25"/>
    <row r="18783" ht="15" customHeight="1" x14ac:dyDescent="0.25"/>
    <row r="18784" ht="15" customHeight="1" x14ac:dyDescent="0.25"/>
    <row r="18785" ht="15" customHeight="1" x14ac:dyDescent="0.25"/>
    <row r="18786" ht="15" customHeight="1" x14ac:dyDescent="0.25"/>
    <row r="18787" ht="15" customHeight="1" x14ac:dyDescent="0.25"/>
    <row r="18788" ht="15" customHeight="1" x14ac:dyDescent="0.25"/>
    <row r="18789" ht="15" customHeight="1" x14ac:dyDescent="0.25"/>
    <row r="18790" ht="15" customHeight="1" x14ac:dyDescent="0.25"/>
    <row r="18791" ht="15" customHeight="1" x14ac:dyDescent="0.25"/>
    <row r="18792" ht="15" customHeight="1" x14ac:dyDescent="0.25"/>
    <row r="18793" ht="15" customHeight="1" x14ac:dyDescent="0.25"/>
    <row r="18794" ht="15" customHeight="1" x14ac:dyDescent="0.25"/>
    <row r="18795" ht="15" customHeight="1" x14ac:dyDescent="0.25"/>
    <row r="18796" ht="15" customHeight="1" x14ac:dyDescent="0.25"/>
    <row r="18797" ht="15" customHeight="1" x14ac:dyDescent="0.25"/>
    <row r="18798" ht="15" customHeight="1" x14ac:dyDescent="0.25"/>
    <row r="18799" ht="15" customHeight="1" x14ac:dyDescent="0.25"/>
    <row r="18800" ht="15" customHeight="1" x14ac:dyDescent="0.25"/>
    <row r="18801" ht="15" customHeight="1" x14ac:dyDescent="0.25"/>
    <row r="18802" ht="15" customHeight="1" x14ac:dyDescent="0.25"/>
    <row r="18803" ht="15" customHeight="1" x14ac:dyDescent="0.25"/>
    <row r="18804" ht="15" customHeight="1" x14ac:dyDescent="0.25"/>
    <row r="18805" ht="15" customHeight="1" x14ac:dyDescent="0.25"/>
    <row r="18806" ht="15" customHeight="1" x14ac:dyDescent="0.25"/>
    <row r="18807" ht="15" customHeight="1" x14ac:dyDescent="0.25"/>
    <row r="18808" ht="15" customHeight="1" x14ac:dyDescent="0.25"/>
    <row r="18809" ht="15" customHeight="1" x14ac:dyDescent="0.25"/>
    <row r="18810" ht="15" customHeight="1" x14ac:dyDescent="0.25"/>
    <row r="18811" ht="15" customHeight="1" x14ac:dyDescent="0.25"/>
    <row r="18812" ht="15" customHeight="1" x14ac:dyDescent="0.25"/>
    <row r="18813" ht="15" customHeight="1" x14ac:dyDescent="0.25"/>
    <row r="18814" ht="15" customHeight="1" x14ac:dyDescent="0.25"/>
    <row r="18815" ht="15" customHeight="1" x14ac:dyDescent="0.25"/>
    <row r="18816" ht="15" customHeight="1" x14ac:dyDescent="0.25"/>
    <row r="18817" ht="15" customHeight="1" x14ac:dyDescent="0.25"/>
    <row r="18818" ht="15" customHeight="1" x14ac:dyDescent="0.25"/>
    <row r="18819" ht="15" customHeight="1" x14ac:dyDescent="0.25"/>
    <row r="18820" ht="15" customHeight="1" x14ac:dyDescent="0.25"/>
    <row r="18821" ht="15" customHeight="1" x14ac:dyDescent="0.25"/>
    <row r="18822" ht="15" customHeight="1" x14ac:dyDescent="0.25"/>
    <row r="18823" ht="15" customHeight="1" x14ac:dyDescent="0.25"/>
    <row r="18824" ht="15" customHeight="1" x14ac:dyDescent="0.25"/>
    <row r="18825" ht="15" customHeight="1" x14ac:dyDescent="0.25"/>
    <row r="18826" ht="15" customHeight="1" x14ac:dyDescent="0.25"/>
    <row r="18827" ht="15" customHeight="1" x14ac:dyDescent="0.25"/>
    <row r="18828" ht="15" customHeight="1" x14ac:dyDescent="0.25"/>
    <row r="18829" ht="15" customHeight="1" x14ac:dyDescent="0.25"/>
    <row r="18830" ht="15" customHeight="1" x14ac:dyDescent="0.25"/>
    <row r="18831" ht="15" customHeight="1" x14ac:dyDescent="0.25"/>
    <row r="18832" ht="15" customHeight="1" x14ac:dyDescent="0.25"/>
    <row r="18833" ht="15" customHeight="1" x14ac:dyDescent="0.25"/>
    <row r="18834" ht="15" customHeight="1" x14ac:dyDescent="0.25"/>
    <row r="18835" ht="15" customHeight="1" x14ac:dyDescent="0.25"/>
    <row r="18836" ht="15" customHeight="1" x14ac:dyDescent="0.25"/>
    <row r="18837" ht="15" customHeight="1" x14ac:dyDescent="0.25"/>
    <row r="18838" ht="15" customHeight="1" x14ac:dyDescent="0.25"/>
    <row r="18839" ht="15" customHeight="1" x14ac:dyDescent="0.25"/>
    <row r="18840" ht="15" customHeight="1" x14ac:dyDescent="0.25"/>
    <row r="18841" ht="15" customHeight="1" x14ac:dyDescent="0.25"/>
    <row r="18842" ht="15" customHeight="1" x14ac:dyDescent="0.25"/>
    <row r="18843" ht="15" customHeight="1" x14ac:dyDescent="0.25"/>
    <row r="18844" ht="15" customHeight="1" x14ac:dyDescent="0.25"/>
    <row r="18845" ht="15" customHeight="1" x14ac:dyDescent="0.25"/>
    <row r="18846" ht="15" customHeight="1" x14ac:dyDescent="0.25"/>
    <row r="18847" ht="15" customHeight="1" x14ac:dyDescent="0.25"/>
    <row r="18848" ht="15" customHeight="1" x14ac:dyDescent="0.25"/>
    <row r="18849" ht="15" customHeight="1" x14ac:dyDescent="0.25"/>
    <row r="18850" ht="15" customHeight="1" x14ac:dyDescent="0.25"/>
    <row r="18851" ht="15" customHeight="1" x14ac:dyDescent="0.25"/>
    <row r="18852" ht="15" customHeight="1" x14ac:dyDescent="0.25"/>
    <row r="18853" ht="15" customHeight="1" x14ac:dyDescent="0.25"/>
    <row r="18854" ht="15" customHeight="1" x14ac:dyDescent="0.25"/>
    <row r="18855" ht="15" customHeight="1" x14ac:dyDescent="0.25"/>
    <row r="18856" ht="15" customHeight="1" x14ac:dyDescent="0.25"/>
    <row r="18857" ht="15" customHeight="1" x14ac:dyDescent="0.25"/>
    <row r="18858" ht="15" customHeight="1" x14ac:dyDescent="0.25"/>
    <row r="18859" ht="15" customHeight="1" x14ac:dyDescent="0.25"/>
    <row r="18860" ht="15" customHeight="1" x14ac:dyDescent="0.25"/>
    <row r="18861" ht="15" customHeight="1" x14ac:dyDescent="0.25"/>
    <row r="18862" ht="15" customHeight="1" x14ac:dyDescent="0.25"/>
    <row r="18863" ht="15" customHeight="1" x14ac:dyDescent="0.25"/>
    <row r="18864" ht="15" customHeight="1" x14ac:dyDescent="0.25"/>
    <row r="18865" ht="15" customHeight="1" x14ac:dyDescent="0.25"/>
    <row r="18866" ht="15" customHeight="1" x14ac:dyDescent="0.25"/>
    <row r="18867" ht="15" customHeight="1" x14ac:dyDescent="0.25"/>
    <row r="18868" ht="15" customHeight="1" x14ac:dyDescent="0.25"/>
    <row r="18869" ht="15" customHeight="1" x14ac:dyDescent="0.25"/>
    <row r="18870" ht="15" customHeight="1" x14ac:dyDescent="0.25"/>
    <row r="18871" ht="15" customHeight="1" x14ac:dyDescent="0.25"/>
    <row r="18872" ht="15" customHeight="1" x14ac:dyDescent="0.25"/>
    <row r="18873" ht="15" customHeight="1" x14ac:dyDescent="0.25"/>
    <row r="18874" ht="15" customHeight="1" x14ac:dyDescent="0.25"/>
    <row r="18875" ht="15" customHeight="1" x14ac:dyDescent="0.25"/>
    <row r="18876" ht="15" customHeight="1" x14ac:dyDescent="0.25"/>
    <row r="18877" ht="15" customHeight="1" x14ac:dyDescent="0.25"/>
    <row r="18878" ht="15" customHeight="1" x14ac:dyDescent="0.25"/>
    <row r="18879" ht="15" customHeight="1" x14ac:dyDescent="0.25"/>
    <row r="18880" ht="15" customHeight="1" x14ac:dyDescent="0.25"/>
    <row r="18881" ht="15" customHeight="1" x14ac:dyDescent="0.25"/>
    <row r="18882" ht="15" customHeight="1" x14ac:dyDescent="0.25"/>
    <row r="18883" ht="15" customHeight="1" x14ac:dyDescent="0.25"/>
    <row r="18884" ht="15" customHeight="1" x14ac:dyDescent="0.25"/>
    <row r="18885" ht="15" customHeight="1" x14ac:dyDescent="0.25"/>
    <row r="18886" ht="15" customHeight="1" x14ac:dyDescent="0.25"/>
    <row r="18887" ht="15" customHeight="1" x14ac:dyDescent="0.25"/>
    <row r="18888" ht="15" customHeight="1" x14ac:dyDescent="0.25"/>
    <row r="18889" ht="15" customHeight="1" x14ac:dyDescent="0.25"/>
    <row r="18890" ht="15" customHeight="1" x14ac:dyDescent="0.25"/>
    <row r="18891" ht="15" customHeight="1" x14ac:dyDescent="0.25"/>
    <row r="18892" ht="15" customHeight="1" x14ac:dyDescent="0.25"/>
    <row r="18893" ht="15" customHeight="1" x14ac:dyDescent="0.25"/>
    <row r="18894" ht="15" customHeight="1" x14ac:dyDescent="0.25"/>
    <row r="18895" ht="15" customHeight="1" x14ac:dyDescent="0.25"/>
    <row r="18896" ht="15" customHeight="1" x14ac:dyDescent="0.25"/>
    <row r="18897" ht="15" customHeight="1" x14ac:dyDescent="0.25"/>
    <row r="18898" ht="15" customHeight="1" x14ac:dyDescent="0.25"/>
    <row r="18899" ht="15" customHeight="1" x14ac:dyDescent="0.25"/>
    <row r="18900" ht="15" customHeight="1" x14ac:dyDescent="0.25"/>
    <row r="18901" ht="15" customHeight="1" x14ac:dyDescent="0.25"/>
    <row r="18902" ht="15" customHeight="1" x14ac:dyDescent="0.25"/>
    <row r="18903" ht="15" customHeight="1" x14ac:dyDescent="0.25"/>
    <row r="18904" ht="15" customHeight="1" x14ac:dyDescent="0.25"/>
    <row r="18905" ht="15" customHeight="1" x14ac:dyDescent="0.25"/>
    <row r="18906" ht="15" customHeight="1" x14ac:dyDescent="0.25"/>
    <row r="18907" ht="15" customHeight="1" x14ac:dyDescent="0.25"/>
    <row r="18908" ht="15" customHeight="1" x14ac:dyDescent="0.25"/>
    <row r="18909" ht="15" customHeight="1" x14ac:dyDescent="0.25"/>
    <row r="18910" ht="15" customHeight="1" x14ac:dyDescent="0.25"/>
    <row r="18911" ht="15" customHeight="1" x14ac:dyDescent="0.25"/>
    <row r="18912" ht="15" customHeight="1" x14ac:dyDescent="0.25"/>
    <row r="18913" ht="15" customHeight="1" x14ac:dyDescent="0.25"/>
    <row r="18914" ht="15" customHeight="1" x14ac:dyDescent="0.25"/>
    <row r="18915" ht="15" customHeight="1" x14ac:dyDescent="0.25"/>
    <row r="18916" ht="15" customHeight="1" x14ac:dyDescent="0.25"/>
    <row r="18917" ht="15" customHeight="1" x14ac:dyDescent="0.25"/>
    <row r="18918" ht="15" customHeight="1" x14ac:dyDescent="0.25"/>
    <row r="18919" ht="15" customHeight="1" x14ac:dyDescent="0.25"/>
    <row r="18920" ht="15" customHeight="1" x14ac:dyDescent="0.25"/>
    <row r="18921" ht="15" customHeight="1" x14ac:dyDescent="0.25"/>
    <row r="18922" ht="15" customHeight="1" x14ac:dyDescent="0.25"/>
    <row r="18923" ht="15" customHeight="1" x14ac:dyDescent="0.25"/>
    <row r="18924" ht="15" customHeight="1" x14ac:dyDescent="0.25"/>
    <row r="18925" ht="15" customHeight="1" x14ac:dyDescent="0.25"/>
    <row r="18926" ht="15" customHeight="1" x14ac:dyDescent="0.25"/>
    <row r="18927" ht="15" customHeight="1" x14ac:dyDescent="0.25"/>
    <row r="18928" ht="15" customHeight="1" x14ac:dyDescent="0.25"/>
    <row r="18929" ht="15" customHeight="1" x14ac:dyDescent="0.25"/>
    <row r="18930" ht="15" customHeight="1" x14ac:dyDescent="0.25"/>
    <row r="18931" ht="15" customHeight="1" x14ac:dyDescent="0.25"/>
    <row r="18932" ht="15" customHeight="1" x14ac:dyDescent="0.25"/>
    <row r="18933" ht="15" customHeight="1" x14ac:dyDescent="0.25"/>
    <row r="18934" ht="15" customHeight="1" x14ac:dyDescent="0.25"/>
    <row r="18935" ht="15" customHeight="1" x14ac:dyDescent="0.25"/>
    <row r="18936" ht="15" customHeight="1" x14ac:dyDescent="0.25"/>
    <row r="18937" ht="15" customHeight="1" x14ac:dyDescent="0.25"/>
    <row r="18938" ht="15" customHeight="1" x14ac:dyDescent="0.25"/>
    <row r="18939" ht="15" customHeight="1" x14ac:dyDescent="0.25"/>
    <row r="18940" ht="15" customHeight="1" x14ac:dyDescent="0.25"/>
    <row r="18941" ht="15" customHeight="1" x14ac:dyDescent="0.25"/>
    <row r="18942" ht="15" customHeight="1" x14ac:dyDescent="0.25"/>
    <row r="18943" ht="15" customHeight="1" x14ac:dyDescent="0.25"/>
    <row r="18944" ht="15" customHeight="1" x14ac:dyDescent="0.25"/>
    <row r="18945" ht="15" customHeight="1" x14ac:dyDescent="0.25"/>
    <row r="18946" ht="15" customHeight="1" x14ac:dyDescent="0.25"/>
    <row r="18947" ht="15" customHeight="1" x14ac:dyDescent="0.25"/>
    <row r="18948" ht="15" customHeight="1" x14ac:dyDescent="0.25"/>
    <row r="18949" ht="15" customHeight="1" x14ac:dyDescent="0.25"/>
    <row r="18950" ht="15" customHeight="1" x14ac:dyDescent="0.25"/>
    <row r="18951" ht="15" customHeight="1" x14ac:dyDescent="0.25"/>
    <row r="18952" ht="15" customHeight="1" x14ac:dyDescent="0.25"/>
    <row r="18953" ht="15" customHeight="1" x14ac:dyDescent="0.25"/>
    <row r="18954" ht="15" customHeight="1" x14ac:dyDescent="0.25"/>
    <row r="18955" ht="15" customHeight="1" x14ac:dyDescent="0.25"/>
    <row r="18956" ht="15" customHeight="1" x14ac:dyDescent="0.25"/>
    <row r="18957" ht="15" customHeight="1" x14ac:dyDescent="0.25"/>
    <row r="18958" ht="15" customHeight="1" x14ac:dyDescent="0.25"/>
    <row r="18959" ht="15" customHeight="1" x14ac:dyDescent="0.25"/>
    <row r="18960" ht="15" customHeight="1" x14ac:dyDescent="0.25"/>
    <row r="18961" ht="15" customHeight="1" x14ac:dyDescent="0.25"/>
    <row r="18962" ht="15" customHeight="1" x14ac:dyDescent="0.25"/>
    <row r="18963" ht="15" customHeight="1" x14ac:dyDescent="0.25"/>
    <row r="18964" ht="15" customHeight="1" x14ac:dyDescent="0.25"/>
    <row r="18965" ht="15" customHeight="1" x14ac:dyDescent="0.25"/>
    <row r="18966" ht="15" customHeight="1" x14ac:dyDescent="0.25"/>
    <row r="18967" ht="15" customHeight="1" x14ac:dyDescent="0.25"/>
    <row r="18968" ht="15" customHeight="1" x14ac:dyDescent="0.25"/>
    <row r="18969" ht="15" customHeight="1" x14ac:dyDescent="0.25"/>
    <row r="18970" ht="15" customHeight="1" x14ac:dyDescent="0.25"/>
    <row r="18971" ht="15" customHeight="1" x14ac:dyDescent="0.25"/>
    <row r="18972" ht="15" customHeight="1" x14ac:dyDescent="0.25"/>
    <row r="18973" ht="15" customHeight="1" x14ac:dyDescent="0.25"/>
    <row r="18974" ht="15" customHeight="1" x14ac:dyDescent="0.25"/>
    <row r="18975" ht="15" customHeight="1" x14ac:dyDescent="0.25"/>
    <row r="18976" ht="15" customHeight="1" x14ac:dyDescent="0.25"/>
    <row r="18977" ht="15" customHeight="1" x14ac:dyDescent="0.25"/>
    <row r="18978" ht="15" customHeight="1" x14ac:dyDescent="0.25"/>
    <row r="18979" ht="15" customHeight="1" x14ac:dyDescent="0.25"/>
    <row r="18980" ht="15" customHeight="1" x14ac:dyDescent="0.25"/>
    <row r="18981" ht="15" customHeight="1" x14ac:dyDescent="0.25"/>
    <row r="18982" ht="15" customHeight="1" x14ac:dyDescent="0.25"/>
    <row r="18983" ht="15" customHeight="1" x14ac:dyDescent="0.25"/>
    <row r="18984" ht="15" customHeight="1" x14ac:dyDescent="0.25"/>
    <row r="18985" ht="15" customHeight="1" x14ac:dyDescent="0.25"/>
    <row r="18986" ht="15" customHeight="1" x14ac:dyDescent="0.25"/>
    <row r="18987" ht="15" customHeight="1" x14ac:dyDescent="0.25"/>
    <row r="18988" ht="15" customHeight="1" x14ac:dyDescent="0.25"/>
    <row r="18989" ht="15" customHeight="1" x14ac:dyDescent="0.25"/>
    <row r="18990" ht="15" customHeight="1" x14ac:dyDescent="0.25"/>
    <row r="18991" ht="15" customHeight="1" x14ac:dyDescent="0.25"/>
    <row r="18992" ht="15" customHeight="1" x14ac:dyDescent="0.25"/>
    <row r="18993" ht="15" customHeight="1" x14ac:dyDescent="0.25"/>
    <row r="18994" ht="15" customHeight="1" x14ac:dyDescent="0.25"/>
    <row r="18995" ht="15" customHeight="1" x14ac:dyDescent="0.25"/>
    <row r="18996" ht="15" customHeight="1" x14ac:dyDescent="0.25"/>
    <row r="18997" ht="15" customHeight="1" x14ac:dyDescent="0.25"/>
    <row r="18998" ht="15" customHeight="1" x14ac:dyDescent="0.25"/>
    <row r="18999" ht="15" customHeight="1" x14ac:dyDescent="0.25"/>
    <row r="19000" ht="15" customHeight="1" x14ac:dyDescent="0.25"/>
    <row r="19001" ht="15" customHeight="1" x14ac:dyDescent="0.25"/>
    <row r="19002" ht="15" customHeight="1" x14ac:dyDescent="0.25"/>
    <row r="19003" ht="15" customHeight="1" x14ac:dyDescent="0.25"/>
    <row r="19004" ht="15" customHeight="1" x14ac:dyDescent="0.25"/>
    <row r="19005" ht="15" customHeight="1" x14ac:dyDescent="0.25"/>
    <row r="19006" ht="15" customHeight="1" x14ac:dyDescent="0.25"/>
    <row r="19007" ht="15" customHeight="1" x14ac:dyDescent="0.25"/>
    <row r="19008" ht="15" customHeight="1" x14ac:dyDescent="0.25"/>
    <row r="19009" ht="15" customHeight="1" x14ac:dyDescent="0.25"/>
    <row r="19010" ht="15" customHeight="1" x14ac:dyDescent="0.25"/>
    <row r="19011" ht="15" customHeight="1" x14ac:dyDescent="0.25"/>
    <row r="19012" ht="15" customHeight="1" x14ac:dyDescent="0.25"/>
    <row r="19013" ht="15" customHeight="1" x14ac:dyDescent="0.25"/>
    <row r="19014" ht="15" customHeight="1" x14ac:dyDescent="0.25"/>
    <row r="19015" ht="15" customHeight="1" x14ac:dyDescent="0.25"/>
    <row r="19016" ht="15" customHeight="1" x14ac:dyDescent="0.25"/>
    <row r="19017" ht="15" customHeight="1" x14ac:dyDescent="0.25"/>
    <row r="19018" ht="15" customHeight="1" x14ac:dyDescent="0.25"/>
    <row r="19019" ht="15" customHeight="1" x14ac:dyDescent="0.25"/>
    <row r="19020" ht="15" customHeight="1" x14ac:dyDescent="0.25"/>
    <row r="19021" ht="15" customHeight="1" x14ac:dyDescent="0.25"/>
    <row r="19022" ht="15" customHeight="1" x14ac:dyDescent="0.25"/>
    <row r="19023" ht="15" customHeight="1" x14ac:dyDescent="0.25"/>
    <row r="19024" ht="15" customHeight="1" x14ac:dyDescent="0.25"/>
    <row r="19025" ht="15" customHeight="1" x14ac:dyDescent="0.25"/>
    <row r="19026" ht="15" customHeight="1" x14ac:dyDescent="0.25"/>
    <row r="19027" ht="15" customHeight="1" x14ac:dyDescent="0.25"/>
    <row r="19028" ht="15" customHeight="1" x14ac:dyDescent="0.25"/>
    <row r="19029" ht="15" customHeight="1" x14ac:dyDescent="0.25"/>
    <row r="19030" ht="15" customHeight="1" x14ac:dyDescent="0.25"/>
    <row r="19031" ht="15" customHeight="1" x14ac:dyDescent="0.25"/>
    <row r="19032" ht="15" customHeight="1" x14ac:dyDescent="0.25"/>
    <row r="19033" ht="15" customHeight="1" x14ac:dyDescent="0.25"/>
    <row r="19034" ht="15" customHeight="1" x14ac:dyDescent="0.25"/>
    <row r="19035" ht="15" customHeight="1" x14ac:dyDescent="0.25"/>
    <row r="19036" ht="15" customHeight="1" x14ac:dyDescent="0.25"/>
    <row r="19037" ht="15" customHeight="1" x14ac:dyDescent="0.25"/>
    <row r="19038" ht="15" customHeight="1" x14ac:dyDescent="0.25"/>
    <row r="19039" ht="15" customHeight="1" x14ac:dyDescent="0.25"/>
    <row r="19040" ht="15" customHeight="1" x14ac:dyDescent="0.25"/>
    <row r="19041" ht="15" customHeight="1" x14ac:dyDescent="0.25"/>
    <row r="19042" ht="15" customHeight="1" x14ac:dyDescent="0.25"/>
    <row r="19043" ht="15" customHeight="1" x14ac:dyDescent="0.25"/>
    <row r="19044" ht="15" customHeight="1" x14ac:dyDescent="0.25"/>
    <row r="19045" ht="15" customHeight="1" x14ac:dyDescent="0.25"/>
    <row r="19046" ht="15" customHeight="1" x14ac:dyDescent="0.25"/>
    <row r="19047" ht="15" customHeight="1" x14ac:dyDescent="0.25"/>
    <row r="19048" ht="15" customHeight="1" x14ac:dyDescent="0.25"/>
    <row r="19049" ht="15" customHeight="1" x14ac:dyDescent="0.25"/>
    <row r="19050" ht="15" customHeight="1" x14ac:dyDescent="0.25"/>
    <row r="19051" ht="15" customHeight="1" x14ac:dyDescent="0.25"/>
    <row r="19052" ht="15" customHeight="1" x14ac:dyDescent="0.25"/>
    <row r="19053" ht="15" customHeight="1" x14ac:dyDescent="0.25"/>
    <row r="19054" ht="15" customHeight="1" x14ac:dyDescent="0.25"/>
    <row r="19055" ht="15" customHeight="1" x14ac:dyDescent="0.25"/>
    <row r="19056" ht="15" customHeight="1" x14ac:dyDescent="0.25"/>
    <row r="19057" ht="15" customHeight="1" x14ac:dyDescent="0.25"/>
    <row r="19058" ht="15" customHeight="1" x14ac:dyDescent="0.25"/>
    <row r="19059" ht="15" customHeight="1" x14ac:dyDescent="0.25"/>
    <row r="19060" ht="15" customHeight="1" x14ac:dyDescent="0.25"/>
    <row r="19061" ht="15" customHeight="1" x14ac:dyDescent="0.25"/>
    <row r="19062" ht="15" customHeight="1" x14ac:dyDescent="0.25"/>
    <row r="19063" ht="15" customHeight="1" x14ac:dyDescent="0.25"/>
    <row r="19064" ht="15" customHeight="1" x14ac:dyDescent="0.25"/>
    <row r="19065" ht="15" customHeight="1" x14ac:dyDescent="0.25"/>
    <row r="19066" ht="15" customHeight="1" x14ac:dyDescent="0.25"/>
    <row r="19067" ht="15" customHeight="1" x14ac:dyDescent="0.25"/>
    <row r="19068" ht="15" customHeight="1" x14ac:dyDescent="0.25"/>
    <row r="19069" ht="15" customHeight="1" x14ac:dyDescent="0.25"/>
    <row r="19070" ht="15" customHeight="1" x14ac:dyDescent="0.25"/>
    <row r="19071" ht="15" customHeight="1" x14ac:dyDescent="0.25"/>
    <row r="19072" ht="15" customHeight="1" x14ac:dyDescent="0.25"/>
    <row r="19073" ht="15" customHeight="1" x14ac:dyDescent="0.25"/>
    <row r="19074" ht="15" customHeight="1" x14ac:dyDescent="0.25"/>
    <row r="19075" ht="15" customHeight="1" x14ac:dyDescent="0.25"/>
    <row r="19076" ht="15" customHeight="1" x14ac:dyDescent="0.25"/>
    <row r="19077" ht="15" customHeight="1" x14ac:dyDescent="0.25"/>
    <row r="19078" ht="15" customHeight="1" x14ac:dyDescent="0.25"/>
    <row r="19079" ht="15" customHeight="1" x14ac:dyDescent="0.25"/>
    <row r="19080" ht="15" customHeight="1" x14ac:dyDescent="0.25"/>
    <row r="19081" ht="15" customHeight="1" x14ac:dyDescent="0.25"/>
    <row r="19082" ht="15" customHeight="1" x14ac:dyDescent="0.25"/>
    <row r="19083" ht="15" customHeight="1" x14ac:dyDescent="0.25"/>
    <row r="19084" ht="15" customHeight="1" x14ac:dyDescent="0.25"/>
    <row r="19085" ht="15" customHeight="1" x14ac:dyDescent="0.25"/>
    <row r="19086" ht="15" customHeight="1" x14ac:dyDescent="0.25"/>
    <row r="19087" ht="15" customHeight="1" x14ac:dyDescent="0.25"/>
    <row r="19088" ht="15" customHeight="1" x14ac:dyDescent="0.25"/>
    <row r="19089" ht="15" customHeight="1" x14ac:dyDescent="0.25"/>
    <row r="19090" ht="15" customHeight="1" x14ac:dyDescent="0.25"/>
    <row r="19091" ht="15" customHeight="1" x14ac:dyDescent="0.25"/>
    <row r="19092" ht="15" customHeight="1" x14ac:dyDescent="0.25"/>
    <row r="19093" ht="15" customHeight="1" x14ac:dyDescent="0.25"/>
    <row r="19094" ht="15" customHeight="1" x14ac:dyDescent="0.25"/>
    <row r="19095" ht="15" customHeight="1" x14ac:dyDescent="0.25"/>
    <row r="19096" ht="15" customHeight="1" x14ac:dyDescent="0.25"/>
    <row r="19097" ht="15" customHeight="1" x14ac:dyDescent="0.25"/>
    <row r="19098" ht="15" customHeight="1" x14ac:dyDescent="0.25"/>
    <row r="19099" ht="15" customHeight="1" x14ac:dyDescent="0.25"/>
    <row r="19100" ht="15" customHeight="1" x14ac:dyDescent="0.25"/>
    <row r="19101" ht="15" customHeight="1" x14ac:dyDescent="0.25"/>
    <row r="19102" ht="15" customHeight="1" x14ac:dyDescent="0.25"/>
    <row r="19103" ht="15" customHeight="1" x14ac:dyDescent="0.25"/>
    <row r="19104" ht="15" customHeight="1" x14ac:dyDescent="0.25"/>
    <row r="19105" ht="15" customHeight="1" x14ac:dyDescent="0.25"/>
    <row r="19106" ht="15" customHeight="1" x14ac:dyDescent="0.25"/>
    <row r="19107" ht="15" customHeight="1" x14ac:dyDescent="0.25"/>
    <row r="19108" ht="15" customHeight="1" x14ac:dyDescent="0.25"/>
    <row r="19109" ht="15" customHeight="1" x14ac:dyDescent="0.25"/>
    <row r="19110" ht="15" customHeight="1" x14ac:dyDescent="0.25"/>
    <row r="19111" ht="15" customHeight="1" x14ac:dyDescent="0.25"/>
    <row r="19112" ht="15" customHeight="1" x14ac:dyDescent="0.25"/>
    <row r="19113" ht="15" customHeight="1" x14ac:dyDescent="0.25"/>
    <row r="19114" ht="15" customHeight="1" x14ac:dyDescent="0.25"/>
    <row r="19115" ht="15" customHeight="1" x14ac:dyDescent="0.25"/>
    <row r="19116" ht="15" customHeight="1" x14ac:dyDescent="0.25"/>
    <row r="19117" ht="15" customHeight="1" x14ac:dyDescent="0.25"/>
    <row r="19118" ht="15" customHeight="1" x14ac:dyDescent="0.25"/>
    <row r="19119" ht="15" customHeight="1" x14ac:dyDescent="0.25"/>
    <row r="19120" ht="15" customHeight="1" x14ac:dyDescent="0.25"/>
    <row r="19121" ht="15" customHeight="1" x14ac:dyDescent="0.25"/>
    <row r="19122" ht="15" customHeight="1" x14ac:dyDescent="0.25"/>
    <row r="19123" ht="15" customHeight="1" x14ac:dyDescent="0.25"/>
    <row r="19124" ht="15" customHeight="1" x14ac:dyDescent="0.25"/>
    <row r="19125" ht="15" customHeight="1" x14ac:dyDescent="0.25"/>
    <row r="19126" ht="15" customHeight="1" x14ac:dyDescent="0.25"/>
    <row r="19127" ht="15" customHeight="1" x14ac:dyDescent="0.25"/>
    <row r="19128" ht="15" customHeight="1" x14ac:dyDescent="0.25"/>
    <row r="19129" ht="15" customHeight="1" x14ac:dyDescent="0.25"/>
    <row r="19130" ht="15" customHeight="1" x14ac:dyDescent="0.25"/>
    <row r="19131" ht="15" customHeight="1" x14ac:dyDescent="0.25"/>
    <row r="19132" ht="15" customHeight="1" x14ac:dyDescent="0.25"/>
    <row r="19133" ht="15" customHeight="1" x14ac:dyDescent="0.25"/>
    <row r="19134" ht="15" customHeight="1" x14ac:dyDescent="0.25"/>
    <row r="19135" ht="15" customHeight="1" x14ac:dyDescent="0.25"/>
    <row r="19136" ht="15" customHeight="1" x14ac:dyDescent="0.25"/>
    <row r="19137" ht="15" customHeight="1" x14ac:dyDescent="0.25"/>
    <row r="19138" ht="15" customHeight="1" x14ac:dyDescent="0.25"/>
    <row r="19139" ht="15" customHeight="1" x14ac:dyDescent="0.25"/>
    <row r="19140" ht="15" customHeight="1" x14ac:dyDescent="0.25"/>
    <row r="19141" ht="15" customHeight="1" x14ac:dyDescent="0.25"/>
    <row r="19142" ht="15" customHeight="1" x14ac:dyDescent="0.25"/>
    <row r="19143" ht="15" customHeight="1" x14ac:dyDescent="0.25"/>
    <row r="19144" ht="15" customHeight="1" x14ac:dyDescent="0.25"/>
    <row r="19145" ht="15" customHeight="1" x14ac:dyDescent="0.25"/>
    <row r="19146" ht="15" customHeight="1" x14ac:dyDescent="0.25"/>
    <row r="19147" ht="15" customHeight="1" x14ac:dyDescent="0.25"/>
    <row r="19148" ht="15" customHeight="1" x14ac:dyDescent="0.25"/>
    <row r="19149" ht="15" customHeight="1" x14ac:dyDescent="0.25"/>
    <row r="19150" ht="15" customHeight="1" x14ac:dyDescent="0.25"/>
    <row r="19151" ht="15" customHeight="1" x14ac:dyDescent="0.25"/>
    <row r="19152" ht="15" customHeight="1" x14ac:dyDescent="0.25"/>
    <row r="19153" ht="15" customHeight="1" x14ac:dyDescent="0.25"/>
    <row r="19154" ht="15" customHeight="1" x14ac:dyDescent="0.25"/>
    <row r="19155" ht="15" customHeight="1" x14ac:dyDescent="0.25"/>
    <row r="19156" ht="15" customHeight="1" x14ac:dyDescent="0.25"/>
    <row r="19157" ht="15" customHeight="1" x14ac:dyDescent="0.25"/>
    <row r="19158" ht="15" customHeight="1" x14ac:dyDescent="0.25"/>
    <row r="19159" ht="15" customHeight="1" x14ac:dyDescent="0.25"/>
    <row r="19160" ht="15" customHeight="1" x14ac:dyDescent="0.25"/>
    <row r="19161" ht="15" customHeight="1" x14ac:dyDescent="0.25"/>
    <row r="19162" ht="15" customHeight="1" x14ac:dyDescent="0.25"/>
    <row r="19163" ht="15" customHeight="1" x14ac:dyDescent="0.25"/>
    <row r="19164" ht="15" customHeight="1" x14ac:dyDescent="0.25"/>
    <row r="19165" ht="15" customHeight="1" x14ac:dyDescent="0.25"/>
    <row r="19166" ht="15" customHeight="1" x14ac:dyDescent="0.25"/>
    <row r="19167" ht="15" customHeight="1" x14ac:dyDescent="0.25"/>
    <row r="19168" ht="15" customHeight="1" x14ac:dyDescent="0.25"/>
    <row r="19169" ht="15" customHeight="1" x14ac:dyDescent="0.25"/>
    <row r="19170" ht="15" customHeight="1" x14ac:dyDescent="0.25"/>
    <row r="19171" ht="15" customHeight="1" x14ac:dyDescent="0.25"/>
    <row r="19172" ht="15" customHeight="1" x14ac:dyDescent="0.25"/>
    <row r="19173" ht="15" customHeight="1" x14ac:dyDescent="0.25"/>
    <row r="19174" ht="15" customHeight="1" x14ac:dyDescent="0.25"/>
    <row r="19175" ht="15" customHeight="1" x14ac:dyDescent="0.25"/>
    <row r="19176" ht="15" customHeight="1" x14ac:dyDescent="0.25"/>
    <row r="19177" ht="15" customHeight="1" x14ac:dyDescent="0.25"/>
    <row r="19178" ht="15" customHeight="1" x14ac:dyDescent="0.25"/>
    <row r="19179" ht="15" customHeight="1" x14ac:dyDescent="0.25"/>
    <row r="19180" ht="15" customHeight="1" x14ac:dyDescent="0.25"/>
    <row r="19181" ht="15" customHeight="1" x14ac:dyDescent="0.25"/>
    <row r="19182" ht="15" customHeight="1" x14ac:dyDescent="0.25"/>
    <row r="19183" ht="15" customHeight="1" x14ac:dyDescent="0.25"/>
    <row r="19184" ht="15" customHeight="1" x14ac:dyDescent="0.25"/>
    <row r="19185" ht="15" customHeight="1" x14ac:dyDescent="0.25"/>
    <row r="19186" ht="15" customHeight="1" x14ac:dyDescent="0.25"/>
    <row r="19187" ht="15" customHeight="1" x14ac:dyDescent="0.25"/>
    <row r="19188" ht="15" customHeight="1" x14ac:dyDescent="0.25"/>
    <row r="19189" ht="15" customHeight="1" x14ac:dyDescent="0.25"/>
    <row r="19190" ht="15" customHeight="1" x14ac:dyDescent="0.25"/>
    <row r="19191" ht="15" customHeight="1" x14ac:dyDescent="0.25"/>
    <row r="19192" ht="15" customHeight="1" x14ac:dyDescent="0.25"/>
    <row r="19193" ht="15" customHeight="1" x14ac:dyDescent="0.25"/>
    <row r="19194" ht="15" customHeight="1" x14ac:dyDescent="0.25"/>
    <row r="19195" ht="15" customHeight="1" x14ac:dyDescent="0.25"/>
    <row r="19196" ht="15" customHeight="1" x14ac:dyDescent="0.25"/>
    <row r="19197" ht="15" customHeight="1" x14ac:dyDescent="0.25"/>
    <row r="19198" ht="15" customHeight="1" x14ac:dyDescent="0.25"/>
    <row r="19199" ht="15" customHeight="1" x14ac:dyDescent="0.25"/>
    <row r="19200" ht="15" customHeight="1" x14ac:dyDescent="0.25"/>
    <row r="19201" ht="15" customHeight="1" x14ac:dyDescent="0.25"/>
    <row r="19202" ht="15" customHeight="1" x14ac:dyDescent="0.25"/>
    <row r="19203" ht="15" customHeight="1" x14ac:dyDescent="0.25"/>
    <row r="19204" ht="15" customHeight="1" x14ac:dyDescent="0.25"/>
    <row r="19205" ht="15" customHeight="1" x14ac:dyDescent="0.25"/>
    <row r="19206" ht="15" customHeight="1" x14ac:dyDescent="0.25"/>
    <row r="19207" ht="15" customHeight="1" x14ac:dyDescent="0.25"/>
    <row r="19208" ht="15" customHeight="1" x14ac:dyDescent="0.25"/>
    <row r="19209" ht="15" customHeight="1" x14ac:dyDescent="0.25"/>
    <row r="19210" ht="15" customHeight="1" x14ac:dyDescent="0.25"/>
    <row r="19211" ht="15" customHeight="1" x14ac:dyDescent="0.25"/>
    <row r="19212" ht="15" customHeight="1" x14ac:dyDescent="0.25"/>
    <row r="19213" ht="15" customHeight="1" x14ac:dyDescent="0.25"/>
    <row r="19214" ht="15" customHeight="1" x14ac:dyDescent="0.25"/>
    <row r="19215" ht="15" customHeight="1" x14ac:dyDescent="0.25"/>
    <row r="19216" ht="15" customHeight="1" x14ac:dyDescent="0.25"/>
    <row r="19217" ht="15" customHeight="1" x14ac:dyDescent="0.25"/>
    <row r="19218" ht="15" customHeight="1" x14ac:dyDescent="0.25"/>
    <row r="19219" ht="15" customHeight="1" x14ac:dyDescent="0.25"/>
    <row r="19220" ht="15" customHeight="1" x14ac:dyDescent="0.25"/>
    <row r="19221" ht="15" customHeight="1" x14ac:dyDescent="0.25"/>
    <row r="19222" ht="15" customHeight="1" x14ac:dyDescent="0.25"/>
    <row r="19223" ht="15" customHeight="1" x14ac:dyDescent="0.25"/>
    <row r="19224" ht="15" customHeight="1" x14ac:dyDescent="0.25"/>
    <row r="19225" ht="15" customHeight="1" x14ac:dyDescent="0.25"/>
    <row r="19226" ht="15" customHeight="1" x14ac:dyDescent="0.25"/>
    <row r="19227" ht="15" customHeight="1" x14ac:dyDescent="0.25"/>
    <row r="19228" ht="15" customHeight="1" x14ac:dyDescent="0.25"/>
    <row r="19229" ht="15" customHeight="1" x14ac:dyDescent="0.25"/>
    <row r="19230" ht="15" customHeight="1" x14ac:dyDescent="0.25"/>
    <row r="19231" ht="15" customHeight="1" x14ac:dyDescent="0.25"/>
    <row r="19232" ht="15" customHeight="1" x14ac:dyDescent="0.25"/>
    <row r="19233" ht="15" customHeight="1" x14ac:dyDescent="0.25"/>
    <row r="19234" ht="15" customHeight="1" x14ac:dyDescent="0.25"/>
    <row r="19235" ht="15" customHeight="1" x14ac:dyDescent="0.25"/>
    <row r="19236" ht="15" customHeight="1" x14ac:dyDescent="0.25"/>
    <row r="19237" ht="15" customHeight="1" x14ac:dyDescent="0.25"/>
    <row r="19238" ht="15" customHeight="1" x14ac:dyDescent="0.25"/>
    <row r="19239" ht="15" customHeight="1" x14ac:dyDescent="0.25"/>
    <row r="19240" ht="15" customHeight="1" x14ac:dyDescent="0.25"/>
    <row r="19241" ht="15" customHeight="1" x14ac:dyDescent="0.25"/>
    <row r="19242" ht="15" customHeight="1" x14ac:dyDescent="0.25"/>
    <row r="19243" ht="15" customHeight="1" x14ac:dyDescent="0.25"/>
    <row r="19244" ht="15" customHeight="1" x14ac:dyDescent="0.25"/>
    <row r="19245" ht="15" customHeight="1" x14ac:dyDescent="0.25"/>
    <row r="19246" ht="15" customHeight="1" x14ac:dyDescent="0.25"/>
    <row r="19247" ht="15" customHeight="1" x14ac:dyDescent="0.25"/>
    <row r="19248" ht="15" customHeight="1" x14ac:dyDescent="0.25"/>
    <row r="19249" ht="15" customHeight="1" x14ac:dyDescent="0.25"/>
    <row r="19250" ht="15" customHeight="1" x14ac:dyDescent="0.25"/>
    <row r="19251" ht="15" customHeight="1" x14ac:dyDescent="0.25"/>
    <row r="19252" ht="15" customHeight="1" x14ac:dyDescent="0.25"/>
    <row r="19253" ht="15" customHeight="1" x14ac:dyDescent="0.25"/>
    <row r="19254" ht="15" customHeight="1" x14ac:dyDescent="0.25"/>
    <row r="19255" ht="15" customHeight="1" x14ac:dyDescent="0.25"/>
    <row r="19256" ht="15" customHeight="1" x14ac:dyDescent="0.25"/>
    <row r="19257" ht="15" customHeight="1" x14ac:dyDescent="0.25"/>
    <row r="19258" ht="15" customHeight="1" x14ac:dyDescent="0.25"/>
    <row r="19259" ht="15" customHeight="1" x14ac:dyDescent="0.25"/>
    <row r="19260" ht="15" customHeight="1" x14ac:dyDescent="0.25"/>
    <row r="19261" ht="15" customHeight="1" x14ac:dyDescent="0.25"/>
    <row r="19262" ht="15" customHeight="1" x14ac:dyDescent="0.25"/>
    <row r="19263" ht="15" customHeight="1" x14ac:dyDescent="0.25"/>
    <row r="19264" ht="15" customHeight="1" x14ac:dyDescent="0.25"/>
    <row r="19265" ht="15" customHeight="1" x14ac:dyDescent="0.25"/>
    <row r="19266" ht="15" customHeight="1" x14ac:dyDescent="0.25"/>
    <row r="19267" ht="15" customHeight="1" x14ac:dyDescent="0.25"/>
    <row r="19268" ht="15" customHeight="1" x14ac:dyDescent="0.25"/>
    <row r="19269" ht="15" customHeight="1" x14ac:dyDescent="0.25"/>
    <row r="19270" ht="15" customHeight="1" x14ac:dyDescent="0.25"/>
    <row r="19271" ht="15" customHeight="1" x14ac:dyDescent="0.25"/>
    <row r="19272" ht="15" customHeight="1" x14ac:dyDescent="0.25"/>
    <row r="19273" ht="15" customHeight="1" x14ac:dyDescent="0.25"/>
    <row r="19274" ht="15" customHeight="1" x14ac:dyDescent="0.25"/>
    <row r="19275" ht="15" customHeight="1" x14ac:dyDescent="0.25"/>
    <row r="19276" ht="15" customHeight="1" x14ac:dyDescent="0.25"/>
    <row r="19277" ht="15" customHeight="1" x14ac:dyDescent="0.25"/>
    <row r="19278" ht="15" customHeight="1" x14ac:dyDescent="0.25"/>
    <row r="19279" ht="15" customHeight="1" x14ac:dyDescent="0.25"/>
    <row r="19280" ht="15" customHeight="1" x14ac:dyDescent="0.25"/>
    <row r="19281" ht="15" customHeight="1" x14ac:dyDescent="0.25"/>
    <row r="19282" ht="15" customHeight="1" x14ac:dyDescent="0.25"/>
    <row r="19283" ht="15" customHeight="1" x14ac:dyDescent="0.25"/>
    <row r="19284" ht="15" customHeight="1" x14ac:dyDescent="0.25"/>
    <row r="19285" ht="15" customHeight="1" x14ac:dyDescent="0.25"/>
    <row r="19286" ht="15" customHeight="1" x14ac:dyDescent="0.25"/>
    <row r="19287" ht="15" customHeight="1" x14ac:dyDescent="0.25"/>
    <row r="19288" ht="15" customHeight="1" x14ac:dyDescent="0.25"/>
    <row r="19289" ht="15" customHeight="1" x14ac:dyDescent="0.25"/>
    <row r="19290" ht="15" customHeight="1" x14ac:dyDescent="0.25"/>
    <row r="19291" ht="15" customHeight="1" x14ac:dyDescent="0.25"/>
    <row r="19292" ht="15" customHeight="1" x14ac:dyDescent="0.25"/>
    <row r="19293" ht="15" customHeight="1" x14ac:dyDescent="0.25"/>
    <row r="19294" ht="15" customHeight="1" x14ac:dyDescent="0.25"/>
    <row r="19295" ht="15" customHeight="1" x14ac:dyDescent="0.25"/>
    <row r="19296" ht="15" customHeight="1" x14ac:dyDescent="0.25"/>
    <row r="19297" ht="15" customHeight="1" x14ac:dyDescent="0.25"/>
    <row r="19298" ht="15" customHeight="1" x14ac:dyDescent="0.25"/>
    <row r="19299" ht="15" customHeight="1" x14ac:dyDescent="0.25"/>
    <row r="19300" ht="15" customHeight="1" x14ac:dyDescent="0.25"/>
    <row r="19301" ht="15" customHeight="1" x14ac:dyDescent="0.25"/>
    <row r="19302" ht="15" customHeight="1" x14ac:dyDescent="0.25"/>
    <row r="19303" ht="15" customHeight="1" x14ac:dyDescent="0.25"/>
    <row r="19304" ht="15" customHeight="1" x14ac:dyDescent="0.25"/>
    <row r="19305" ht="15" customHeight="1" x14ac:dyDescent="0.25"/>
    <row r="19306" ht="15" customHeight="1" x14ac:dyDescent="0.25"/>
    <row r="19307" ht="15" customHeight="1" x14ac:dyDescent="0.25"/>
    <row r="19308" ht="15" customHeight="1" x14ac:dyDescent="0.25"/>
    <row r="19309" ht="15" customHeight="1" x14ac:dyDescent="0.25"/>
    <row r="19310" ht="15" customHeight="1" x14ac:dyDescent="0.25"/>
    <row r="19311" ht="15" customHeight="1" x14ac:dyDescent="0.25"/>
    <row r="19312" ht="15" customHeight="1" x14ac:dyDescent="0.25"/>
    <row r="19313" ht="15" customHeight="1" x14ac:dyDescent="0.25"/>
    <row r="19314" ht="15" customHeight="1" x14ac:dyDescent="0.25"/>
    <row r="19315" ht="15" customHeight="1" x14ac:dyDescent="0.25"/>
    <row r="19316" ht="15" customHeight="1" x14ac:dyDescent="0.25"/>
    <row r="19317" ht="15" customHeight="1" x14ac:dyDescent="0.25"/>
    <row r="19318" ht="15" customHeight="1" x14ac:dyDescent="0.25"/>
    <row r="19319" ht="15" customHeight="1" x14ac:dyDescent="0.25"/>
    <row r="19320" ht="15" customHeight="1" x14ac:dyDescent="0.25"/>
    <row r="19321" ht="15" customHeight="1" x14ac:dyDescent="0.25"/>
    <row r="19322" ht="15" customHeight="1" x14ac:dyDescent="0.25"/>
    <row r="19323" ht="15" customHeight="1" x14ac:dyDescent="0.25"/>
    <row r="19324" ht="15" customHeight="1" x14ac:dyDescent="0.25"/>
    <row r="19325" ht="15" customHeight="1" x14ac:dyDescent="0.25"/>
    <row r="19326" ht="15" customHeight="1" x14ac:dyDescent="0.25"/>
    <row r="19327" ht="15" customHeight="1" x14ac:dyDescent="0.25"/>
    <row r="19328" ht="15" customHeight="1" x14ac:dyDescent="0.25"/>
    <row r="19329" ht="15" customHeight="1" x14ac:dyDescent="0.25"/>
    <row r="19330" ht="15" customHeight="1" x14ac:dyDescent="0.25"/>
    <row r="19331" ht="15" customHeight="1" x14ac:dyDescent="0.25"/>
    <row r="19332" ht="15" customHeight="1" x14ac:dyDescent="0.25"/>
    <row r="19333" ht="15" customHeight="1" x14ac:dyDescent="0.25"/>
    <row r="19334" ht="15" customHeight="1" x14ac:dyDescent="0.25"/>
    <row r="19335" ht="15" customHeight="1" x14ac:dyDescent="0.25"/>
    <row r="19336" ht="15" customHeight="1" x14ac:dyDescent="0.25"/>
    <row r="19337" ht="15" customHeight="1" x14ac:dyDescent="0.25"/>
    <row r="19338" ht="15" customHeight="1" x14ac:dyDescent="0.25"/>
    <row r="19339" ht="15" customHeight="1" x14ac:dyDescent="0.25"/>
    <row r="19340" ht="15" customHeight="1" x14ac:dyDescent="0.25"/>
    <row r="19341" ht="15" customHeight="1" x14ac:dyDescent="0.25"/>
    <row r="19342" ht="15" customHeight="1" x14ac:dyDescent="0.25"/>
    <row r="19343" ht="15" customHeight="1" x14ac:dyDescent="0.25"/>
    <row r="19344" ht="15" customHeight="1" x14ac:dyDescent="0.25"/>
    <row r="19345" ht="15" customHeight="1" x14ac:dyDescent="0.25"/>
    <row r="19346" ht="15" customHeight="1" x14ac:dyDescent="0.25"/>
    <row r="19347" ht="15" customHeight="1" x14ac:dyDescent="0.25"/>
    <row r="19348" ht="15" customHeight="1" x14ac:dyDescent="0.25"/>
    <row r="19349" ht="15" customHeight="1" x14ac:dyDescent="0.25"/>
    <row r="19350" ht="15" customHeight="1" x14ac:dyDescent="0.25"/>
    <row r="19351" ht="15" customHeight="1" x14ac:dyDescent="0.25"/>
    <row r="19352" ht="15" customHeight="1" x14ac:dyDescent="0.25"/>
    <row r="19353" ht="15" customHeight="1" x14ac:dyDescent="0.25"/>
    <row r="19354" ht="15" customHeight="1" x14ac:dyDescent="0.25"/>
    <row r="19355" ht="15" customHeight="1" x14ac:dyDescent="0.25"/>
    <row r="19356" ht="15" customHeight="1" x14ac:dyDescent="0.25"/>
    <row r="19357" ht="15" customHeight="1" x14ac:dyDescent="0.25"/>
    <row r="19358" ht="15" customHeight="1" x14ac:dyDescent="0.25"/>
    <row r="19359" ht="15" customHeight="1" x14ac:dyDescent="0.25"/>
    <row r="19360" ht="15" customHeight="1" x14ac:dyDescent="0.25"/>
    <row r="19361" ht="15" customHeight="1" x14ac:dyDescent="0.25"/>
    <row r="19362" ht="15" customHeight="1" x14ac:dyDescent="0.25"/>
    <row r="19363" ht="15" customHeight="1" x14ac:dyDescent="0.25"/>
    <row r="19364" ht="15" customHeight="1" x14ac:dyDescent="0.25"/>
    <row r="19365" ht="15" customHeight="1" x14ac:dyDescent="0.25"/>
    <row r="19366" ht="15" customHeight="1" x14ac:dyDescent="0.25"/>
    <row r="19367" ht="15" customHeight="1" x14ac:dyDescent="0.25"/>
    <row r="19368" ht="15" customHeight="1" x14ac:dyDescent="0.25"/>
    <row r="19369" ht="15" customHeight="1" x14ac:dyDescent="0.25"/>
    <row r="19370" ht="15" customHeight="1" x14ac:dyDescent="0.25"/>
    <row r="19371" ht="15" customHeight="1" x14ac:dyDescent="0.25"/>
    <row r="19372" ht="15" customHeight="1" x14ac:dyDescent="0.25"/>
    <row r="19373" ht="15" customHeight="1" x14ac:dyDescent="0.25"/>
    <row r="19374" ht="15" customHeight="1" x14ac:dyDescent="0.25"/>
    <row r="19375" ht="15" customHeight="1" x14ac:dyDescent="0.25"/>
    <row r="19376" ht="15" customHeight="1" x14ac:dyDescent="0.25"/>
    <row r="19377" ht="15" customHeight="1" x14ac:dyDescent="0.25"/>
    <row r="19378" ht="15" customHeight="1" x14ac:dyDescent="0.25"/>
    <row r="19379" ht="15" customHeight="1" x14ac:dyDescent="0.25"/>
    <row r="19380" ht="15" customHeight="1" x14ac:dyDescent="0.25"/>
    <row r="19381" ht="15" customHeight="1" x14ac:dyDescent="0.25"/>
    <row r="19382" ht="15" customHeight="1" x14ac:dyDescent="0.25"/>
    <row r="19383" ht="15" customHeight="1" x14ac:dyDescent="0.25"/>
    <row r="19384" ht="15" customHeight="1" x14ac:dyDescent="0.25"/>
    <row r="19385" ht="15" customHeight="1" x14ac:dyDescent="0.25"/>
    <row r="19386" ht="15" customHeight="1" x14ac:dyDescent="0.25"/>
    <row r="19387" ht="15" customHeight="1" x14ac:dyDescent="0.25"/>
    <row r="19388" ht="15" customHeight="1" x14ac:dyDescent="0.25"/>
    <row r="19389" ht="15" customHeight="1" x14ac:dyDescent="0.25"/>
    <row r="19390" ht="15" customHeight="1" x14ac:dyDescent="0.25"/>
    <row r="19391" ht="15" customHeight="1" x14ac:dyDescent="0.25"/>
    <row r="19392" ht="15" customHeight="1" x14ac:dyDescent="0.25"/>
    <row r="19393" ht="15" customHeight="1" x14ac:dyDescent="0.25"/>
    <row r="19394" ht="15" customHeight="1" x14ac:dyDescent="0.25"/>
    <row r="19395" ht="15" customHeight="1" x14ac:dyDescent="0.25"/>
    <row r="19396" ht="15" customHeight="1" x14ac:dyDescent="0.25"/>
    <row r="19397" ht="15" customHeight="1" x14ac:dyDescent="0.25"/>
    <row r="19398" ht="15" customHeight="1" x14ac:dyDescent="0.25"/>
    <row r="19399" ht="15" customHeight="1" x14ac:dyDescent="0.25"/>
    <row r="19400" ht="15" customHeight="1" x14ac:dyDescent="0.25"/>
    <row r="19401" ht="15" customHeight="1" x14ac:dyDescent="0.25"/>
    <row r="19402" ht="15" customHeight="1" x14ac:dyDescent="0.25"/>
    <row r="19403" ht="15" customHeight="1" x14ac:dyDescent="0.25"/>
    <row r="19404" ht="15" customHeight="1" x14ac:dyDescent="0.25"/>
    <row r="19405" ht="15" customHeight="1" x14ac:dyDescent="0.25"/>
    <row r="19406" ht="15" customHeight="1" x14ac:dyDescent="0.25"/>
    <row r="19407" ht="15" customHeight="1" x14ac:dyDescent="0.25"/>
    <row r="19408" ht="15" customHeight="1" x14ac:dyDescent="0.25"/>
    <row r="19409" ht="15" customHeight="1" x14ac:dyDescent="0.25"/>
    <row r="19410" ht="15" customHeight="1" x14ac:dyDescent="0.25"/>
    <row r="19411" ht="15" customHeight="1" x14ac:dyDescent="0.25"/>
    <row r="19412" ht="15" customHeight="1" x14ac:dyDescent="0.25"/>
    <row r="19413" ht="15" customHeight="1" x14ac:dyDescent="0.25"/>
    <row r="19414" ht="15" customHeight="1" x14ac:dyDescent="0.25"/>
    <row r="19415" ht="15" customHeight="1" x14ac:dyDescent="0.25"/>
    <row r="19416" ht="15" customHeight="1" x14ac:dyDescent="0.25"/>
    <row r="19417" ht="15" customHeight="1" x14ac:dyDescent="0.25"/>
    <row r="19418" ht="15" customHeight="1" x14ac:dyDescent="0.25"/>
    <row r="19419" ht="15" customHeight="1" x14ac:dyDescent="0.25"/>
    <row r="19420" ht="15" customHeight="1" x14ac:dyDescent="0.25"/>
    <row r="19421" ht="15" customHeight="1" x14ac:dyDescent="0.25"/>
    <row r="19422" ht="15" customHeight="1" x14ac:dyDescent="0.25"/>
    <row r="19423" ht="15" customHeight="1" x14ac:dyDescent="0.25"/>
    <row r="19424" ht="15" customHeight="1" x14ac:dyDescent="0.25"/>
    <row r="19425" ht="15" customHeight="1" x14ac:dyDescent="0.25"/>
    <row r="19426" ht="15" customHeight="1" x14ac:dyDescent="0.25"/>
    <row r="19427" ht="15" customHeight="1" x14ac:dyDescent="0.25"/>
    <row r="19428" ht="15" customHeight="1" x14ac:dyDescent="0.25"/>
    <row r="19429" ht="15" customHeight="1" x14ac:dyDescent="0.25"/>
    <row r="19430" ht="15" customHeight="1" x14ac:dyDescent="0.25"/>
    <row r="19431" ht="15" customHeight="1" x14ac:dyDescent="0.25"/>
    <row r="19432" ht="15" customHeight="1" x14ac:dyDescent="0.25"/>
    <row r="19433" ht="15" customHeight="1" x14ac:dyDescent="0.25"/>
    <row r="19434" ht="15" customHeight="1" x14ac:dyDescent="0.25"/>
    <row r="19435" ht="15" customHeight="1" x14ac:dyDescent="0.25"/>
    <row r="19436" ht="15" customHeight="1" x14ac:dyDescent="0.25"/>
    <row r="19437" ht="15" customHeight="1" x14ac:dyDescent="0.25"/>
    <row r="19438" ht="15" customHeight="1" x14ac:dyDescent="0.25"/>
    <row r="19439" ht="15" customHeight="1" x14ac:dyDescent="0.25"/>
    <row r="19440" ht="15" customHeight="1" x14ac:dyDescent="0.25"/>
    <row r="19441" ht="15" customHeight="1" x14ac:dyDescent="0.25"/>
    <row r="19442" ht="15" customHeight="1" x14ac:dyDescent="0.25"/>
    <row r="19443" ht="15" customHeight="1" x14ac:dyDescent="0.25"/>
    <row r="19444" ht="15" customHeight="1" x14ac:dyDescent="0.25"/>
    <row r="19445" ht="15" customHeight="1" x14ac:dyDescent="0.25"/>
    <row r="19446" ht="15" customHeight="1" x14ac:dyDescent="0.25"/>
    <row r="19447" ht="15" customHeight="1" x14ac:dyDescent="0.25"/>
    <row r="19448" ht="15" customHeight="1" x14ac:dyDescent="0.25"/>
    <row r="19449" ht="15" customHeight="1" x14ac:dyDescent="0.25"/>
    <row r="19450" ht="15" customHeight="1" x14ac:dyDescent="0.25"/>
    <row r="19451" ht="15" customHeight="1" x14ac:dyDescent="0.25"/>
    <row r="19452" ht="15" customHeight="1" x14ac:dyDescent="0.25"/>
    <row r="19453" ht="15" customHeight="1" x14ac:dyDescent="0.25"/>
    <row r="19454" ht="15" customHeight="1" x14ac:dyDescent="0.25"/>
    <row r="19455" ht="15" customHeight="1" x14ac:dyDescent="0.25"/>
    <row r="19456" ht="15" customHeight="1" x14ac:dyDescent="0.25"/>
    <row r="19457" ht="15" customHeight="1" x14ac:dyDescent="0.25"/>
    <row r="19458" ht="15" customHeight="1" x14ac:dyDescent="0.25"/>
    <row r="19459" ht="15" customHeight="1" x14ac:dyDescent="0.25"/>
    <row r="19460" ht="15" customHeight="1" x14ac:dyDescent="0.25"/>
    <row r="19461" ht="15" customHeight="1" x14ac:dyDescent="0.25"/>
    <row r="19462" ht="15" customHeight="1" x14ac:dyDescent="0.25"/>
    <row r="19463" ht="15" customHeight="1" x14ac:dyDescent="0.25"/>
    <row r="19464" ht="15" customHeight="1" x14ac:dyDescent="0.25"/>
    <row r="19465" ht="15" customHeight="1" x14ac:dyDescent="0.25"/>
    <row r="19466" ht="15" customHeight="1" x14ac:dyDescent="0.25"/>
    <row r="19467" ht="15" customHeight="1" x14ac:dyDescent="0.25"/>
    <row r="19468" ht="15" customHeight="1" x14ac:dyDescent="0.25"/>
    <row r="19469" ht="15" customHeight="1" x14ac:dyDescent="0.25"/>
    <row r="19470" ht="15" customHeight="1" x14ac:dyDescent="0.25"/>
    <row r="19471" ht="15" customHeight="1" x14ac:dyDescent="0.25"/>
    <row r="19472" ht="15" customHeight="1" x14ac:dyDescent="0.25"/>
    <row r="19473" ht="15" customHeight="1" x14ac:dyDescent="0.25"/>
    <row r="19474" ht="15" customHeight="1" x14ac:dyDescent="0.25"/>
    <row r="19475" ht="15" customHeight="1" x14ac:dyDescent="0.25"/>
    <row r="19476" ht="15" customHeight="1" x14ac:dyDescent="0.25"/>
    <row r="19477" ht="15" customHeight="1" x14ac:dyDescent="0.25"/>
    <row r="19478" ht="15" customHeight="1" x14ac:dyDescent="0.25"/>
    <row r="19479" ht="15" customHeight="1" x14ac:dyDescent="0.25"/>
    <row r="19480" ht="15" customHeight="1" x14ac:dyDescent="0.25"/>
    <row r="19481" ht="15" customHeight="1" x14ac:dyDescent="0.25"/>
    <row r="19482" ht="15" customHeight="1" x14ac:dyDescent="0.25"/>
    <row r="19483" ht="15" customHeight="1" x14ac:dyDescent="0.25"/>
    <row r="19484" ht="15" customHeight="1" x14ac:dyDescent="0.25"/>
    <row r="19485" ht="15" customHeight="1" x14ac:dyDescent="0.25"/>
    <row r="19486" ht="15" customHeight="1" x14ac:dyDescent="0.25"/>
    <row r="19487" ht="15" customHeight="1" x14ac:dyDescent="0.25"/>
    <row r="19488" ht="15" customHeight="1" x14ac:dyDescent="0.25"/>
    <row r="19489" ht="15" customHeight="1" x14ac:dyDescent="0.25"/>
    <row r="19490" ht="15" customHeight="1" x14ac:dyDescent="0.25"/>
    <row r="19491" ht="15" customHeight="1" x14ac:dyDescent="0.25"/>
    <row r="19492" ht="15" customHeight="1" x14ac:dyDescent="0.25"/>
    <row r="19493" ht="15" customHeight="1" x14ac:dyDescent="0.25"/>
    <row r="19494" ht="15" customHeight="1" x14ac:dyDescent="0.25"/>
    <row r="19495" ht="15" customHeight="1" x14ac:dyDescent="0.25"/>
    <row r="19496" ht="15" customHeight="1" x14ac:dyDescent="0.25"/>
    <row r="19497" ht="15" customHeight="1" x14ac:dyDescent="0.25"/>
    <row r="19498" ht="15" customHeight="1" x14ac:dyDescent="0.25"/>
    <row r="19499" ht="15" customHeight="1" x14ac:dyDescent="0.25"/>
    <row r="19500" ht="15" customHeight="1" x14ac:dyDescent="0.25"/>
    <row r="19501" ht="15" customHeight="1" x14ac:dyDescent="0.25"/>
    <row r="19502" ht="15" customHeight="1" x14ac:dyDescent="0.25"/>
    <row r="19503" ht="15" customHeight="1" x14ac:dyDescent="0.25"/>
    <row r="19504" ht="15" customHeight="1" x14ac:dyDescent="0.25"/>
    <row r="19505" ht="15" customHeight="1" x14ac:dyDescent="0.25"/>
    <row r="19506" ht="15" customHeight="1" x14ac:dyDescent="0.25"/>
    <row r="19507" ht="15" customHeight="1" x14ac:dyDescent="0.25"/>
    <row r="19508" ht="15" customHeight="1" x14ac:dyDescent="0.25"/>
    <row r="19509" ht="15" customHeight="1" x14ac:dyDescent="0.25"/>
    <row r="19510" ht="15" customHeight="1" x14ac:dyDescent="0.25"/>
    <row r="19511" ht="15" customHeight="1" x14ac:dyDescent="0.25"/>
    <row r="19512" ht="15" customHeight="1" x14ac:dyDescent="0.25"/>
    <row r="19513" ht="15" customHeight="1" x14ac:dyDescent="0.25"/>
    <row r="19514" ht="15" customHeight="1" x14ac:dyDescent="0.25"/>
    <row r="19515" ht="15" customHeight="1" x14ac:dyDescent="0.25"/>
    <row r="19516" ht="15" customHeight="1" x14ac:dyDescent="0.25"/>
    <row r="19517" ht="15" customHeight="1" x14ac:dyDescent="0.25"/>
    <row r="19518" ht="15" customHeight="1" x14ac:dyDescent="0.25"/>
    <row r="19519" ht="15" customHeight="1" x14ac:dyDescent="0.25"/>
    <row r="19520" ht="15" customHeight="1" x14ac:dyDescent="0.25"/>
    <row r="19521" ht="15" customHeight="1" x14ac:dyDescent="0.25"/>
    <row r="19522" ht="15" customHeight="1" x14ac:dyDescent="0.25"/>
    <row r="19523" ht="15" customHeight="1" x14ac:dyDescent="0.25"/>
    <row r="19524" ht="15" customHeight="1" x14ac:dyDescent="0.25"/>
    <row r="19525" ht="15" customHeight="1" x14ac:dyDescent="0.25"/>
    <row r="19526" ht="15" customHeight="1" x14ac:dyDescent="0.25"/>
    <row r="19527" ht="15" customHeight="1" x14ac:dyDescent="0.25"/>
    <row r="19528" ht="15" customHeight="1" x14ac:dyDescent="0.25"/>
    <row r="19529" ht="15" customHeight="1" x14ac:dyDescent="0.25"/>
    <row r="19530" ht="15" customHeight="1" x14ac:dyDescent="0.25"/>
    <row r="19531" ht="15" customHeight="1" x14ac:dyDescent="0.25"/>
    <row r="19532" ht="15" customHeight="1" x14ac:dyDescent="0.25"/>
    <row r="19533" ht="15" customHeight="1" x14ac:dyDescent="0.25"/>
    <row r="19534" ht="15" customHeight="1" x14ac:dyDescent="0.25"/>
    <row r="19535" ht="15" customHeight="1" x14ac:dyDescent="0.25"/>
    <row r="19536" ht="15" customHeight="1" x14ac:dyDescent="0.25"/>
    <row r="19537" ht="15" customHeight="1" x14ac:dyDescent="0.25"/>
    <row r="19538" ht="15" customHeight="1" x14ac:dyDescent="0.25"/>
    <row r="19539" ht="15" customHeight="1" x14ac:dyDescent="0.25"/>
    <row r="19540" ht="15" customHeight="1" x14ac:dyDescent="0.25"/>
    <row r="19541" ht="15" customHeight="1" x14ac:dyDescent="0.25"/>
    <row r="19542" ht="15" customHeight="1" x14ac:dyDescent="0.25"/>
    <row r="19543" ht="15" customHeight="1" x14ac:dyDescent="0.25"/>
    <row r="19544" ht="15" customHeight="1" x14ac:dyDescent="0.25"/>
    <row r="19545" ht="15" customHeight="1" x14ac:dyDescent="0.25"/>
    <row r="19546" ht="15" customHeight="1" x14ac:dyDescent="0.25"/>
    <row r="19547" ht="15" customHeight="1" x14ac:dyDescent="0.25"/>
    <row r="19548" ht="15" customHeight="1" x14ac:dyDescent="0.25"/>
    <row r="19549" ht="15" customHeight="1" x14ac:dyDescent="0.25"/>
    <row r="19550" ht="15" customHeight="1" x14ac:dyDescent="0.25"/>
    <row r="19551" ht="15" customHeight="1" x14ac:dyDescent="0.25"/>
    <row r="19552" ht="15" customHeight="1" x14ac:dyDescent="0.25"/>
    <row r="19553" ht="15" customHeight="1" x14ac:dyDescent="0.25"/>
    <row r="19554" ht="15" customHeight="1" x14ac:dyDescent="0.25"/>
    <row r="19555" ht="15" customHeight="1" x14ac:dyDescent="0.25"/>
    <row r="19556" ht="15" customHeight="1" x14ac:dyDescent="0.25"/>
    <row r="19557" ht="15" customHeight="1" x14ac:dyDescent="0.25"/>
    <row r="19558" ht="15" customHeight="1" x14ac:dyDescent="0.25"/>
    <row r="19559" ht="15" customHeight="1" x14ac:dyDescent="0.25"/>
    <row r="19560" ht="15" customHeight="1" x14ac:dyDescent="0.25"/>
    <row r="19561" ht="15" customHeight="1" x14ac:dyDescent="0.25"/>
    <row r="19562" ht="15" customHeight="1" x14ac:dyDescent="0.25"/>
    <row r="19563" ht="15" customHeight="1" x14ac:dyDescent="0.25"/>
    <row r="19564" ht="15" customHeight="1" x14ac:dyDescent="0.25"/>
    <row r="19565" ht="15" customHeight="1" x14ac:dyDescent="0.25"/>
    <row r="19566" ht="15" customHeight="1" x14ac:dyDescent="0.25"/>
    <row r="19567" ht="15" customHeight="1" x14ac:dyDescent="0.25"/>
    <row r="19568" ht="15" customHeight="1" x14ac:dyDescent="0.25"/>
    <row r="19569" ht="15" customHeight="1" x14ac:dyDescent="0.25"/>
    <row r="19570" ht="15" customHeight="1" x14ac:dyDescent="0.25"/>
    <row r="19571" ht="15" customHeight="1" x14ac:dyDescent="0.25"/>
    <row r="19572" ht="15" customHeight="1" x14ac:dyDescent="0.25"/>
    <row r="19573" ht="15" customHeight="1" x14ac:dyDescent="0.25"/>
    <row r="19574" ht="15" customHeight="1" x14ac:dyDescent="0.25"/>
    <row r="19575" ht="15" customHeight="1" x14ac:dyDescent="0.25"/>
    <row r="19576" ht="15" customHeight="1" x14ac:dyDescent="0.25"/>
    <row r="19577" ht="15" customHeight="1" x14ac:dyDescent="0.25"/>
    <row r="19578" ht="15" customHeight="1" x14ac:dyDescent="0.25"/>
    <row r="19579" ht="15" customHeight="1" x14ac:dyDescent="0.25"/>
    <row r="19580" ht="15" customHeight="1" x14ac:dyDescent="0.25"/>
    <row r="19581" ht="15" customHeight="1" x14ac:dyDescent="0.25"/>
    <row r="19582" ht="15" customHeight="1" x14ac:dyDescent="0.25"/>
    <row r="19583" ht="15" customHeight="1" x14ac:dyDescent="0.25"/>
    <row r="19584" ht="15" customHeight="1" x14ac:dyDescent="0.25"/>
    <row r="19585" ht="15" customHeight="1" x14ac:dyDescent="0.25"/>
    <row r="19586" ht="15" customHeight="1" x14ac:dyDescent="0.25"/>
    <row r="19587" ht="15" customHeight="1" x14ac:dyDescent="0.25"/>
    <row r="19588" ht="15" customHeight="1" x14ac:dyDescent="0.25"/>
    <row r="19589" ht="15" customHeight="1" x14ac:dyDescent="0.25"/>
    <row r="19590" ht="15" customHeight="1" x14ac:dyDescent="0.25"/>
    <row r="19591" ht="15" customHeight="1" x14ac:dyDescent="0.25"/>
    <row r="19592" ht="15" customHeight="1" x14ac:dyDescent="0.25"/>
    <row r="19593" ht="15" customHeight="1" x14ac:dyDescent="0.25"/>
    <row r="19594" ht="15" customHeight="1" x14ac:dyDescent="0.25"/>
    <row r="19595" ht="15" customHeight="1" x14ac:dyDescent="0.25"/>
    <row r="19596" ht="15" customHeight="1" x14ac:dyDescent="0.25"/>
    <row r="19597" ht="15" customHeight="1" x14ac:dyDescent="0.25"/>
    <row r="19598" ht="15" customHeight="1" x14ac:dyDescent="0.25"/>
    <row r="19599" ht="15" customHeight="1" x14ac:dyDescent="0.25"/>
    <row r="19600" ht="15" customHeight="1" x14ac:dyDescent="0.25"/>
    <row r="19601" ht="15" customHeight="1" x14ac:dyDescent="0.25"/>
    <row r="19602" ht="15" customHeight="1" x14ac:dyDescent="0.25"/>
    <row r="19603" ht="15" customHeight="1" x14ac:dyDescent="0.25"/>
    <row r="19604" ht="15" customHeight="1" x14ac:dyDescent="0.25"/>
    <row r="19605" ht="15" customHeight="1" x14ac:dyDescent="0.25"/>
    <row r="19606" ht="15" customHeight="1" x14ac:dyDescent="0.25"/>
    <row r="19607" ht="15" customHeight="1" x14ac:dyDescent="0.25"/>
    <row r="19608" ht="15" customHeight="1" x14ac:dyDescent="0.25"/>
    <row r="19609" ht="15" customHeight="1" x14ac:dyDescent="0.25"/>
    <row r="19610" ht="15" customHeight="1" x14ac:dyDescent="0.25"/>
    <row r="19611" ht="15" customHeight="1" x14ac:dyDescent="0.25"/>
    <row r="19612" ht="15" customHeight="1" x14ac:dyDescent="0.25"/>
    <row r="19613" ht="15" customHeight="1" x14ac:dyDescent="0.25"/>
    <row r="19614" ht="15" customHeight="1" x14ac:dyDescent="0.25"/>
    <row r="19615" ht="15" customHeight="1" x14ac:dyDescent="0.25"/>
    <row r="19616" ht="15" customHeight="1" x14ac:dyDescent="0.25"/>
    <row r="19617" ht="15" customHeight="1" x14ac:dyDescent="0.25"/>
    <row r="19618" ht="15" customHeight="1" x14ac:dyDescent="0.25"/>
    <row r="19619" ht="15" customHeight="1" x14ac:dyDescent="0.25"/>
    <row r="19620" ht="15" customHeight="1" x14ac:dyDescent="0.25"/>
    <row r="19621" ht="15" customHeight="1" x14ac:dyDescent="0.25"/>
    <row r="19622" ht="15" customHeight="1" x14ac:dyDescent="0.25"/>
    <row r="19623" ht="15" customHeight="1" x14ac:dyDescent="0.25"/>
    <row r="19624" ht="15" customHeight="1" x14ac:dyDescent="0.25"/>
    <row r="19625" ht="15" customHeight="1" x14ac:dyDescent="0.25"/>
    <row r="19626" ht="15" customHeight="1" x14ac:dyDescent="0.25"/>
    <row r="19627" ht="15" customHeight="1" x14ac:dyDescent="0.25"/>
    <row r="19628" ht="15" customHeight="1" x14ac:dyDescent="0.25"/>
    <row r="19629" ht="15" customHeight="1" x14ac:dyDescent="0.25"/>
    <row r="19630" ht="15" customHeight="1" x14ac:dyDescent="0.25"/>
    <row r="19631" ht="15" customHeight="1" x14ac:dyDescent="0.25"/>
    <row r="19632" ht="15" customHeight="1" x14ac:dyDescent="0.25"/>
    <row r="19633" ht="15" customHeight="1" x14ac:dyDescent="0.25"/>
    <row r="19634" ht="15" customHeight="1" x14ac:dyDescent="0.25"/>
    <row r="19635" ht="15" customHeight="1" x14ac:dyDescent="0.25"/>
    <row r="19636" ht="15" customHeight="1" x14ac:dyDescent="0.25"/>
    <row r="19637" ht="15" customHeight="1" x14ac:dyDescent="0.25"/>
    <row r="19638" ht="15" customHeight="1" x14ac:dyDescent="0.25"/>
    <row r="19639" ht="15" customHeight="1" x14ac:dyDescent="0.25"/>
    <row r="19640" ht="15" customHeight="1" x14ac:dyDescent="0.25"/>
    <row r="19641" ht="15" customHeight="1" x14ac:dyDescent="0.25"/>
    <row r="19642" ht="15" customHeight="1" x14ac:dyDescent="0.25"/>
    <row r="19643" ht="15" customHeight="1" x14ac:dyDescent="0.25"/>
    <row r="19644" ht="15" customHeight="1" x14ac:dyDescent="0.25"/>
    <row r="19645" ht="15" customHeight="1" x14ac:dyDescent="0.25"/>
    <row r="19646" ht="15" customHeight="1" x14ac:dyDescent="0.25"/>
    <row r="19647" ht="15" customHeight="1" x14ac:dyDescent="0.25"/>
    <row r="19648" ht="15" customHeight="1" x14ac:dyDescent="0.25"/>
    <row r="19649" ht="15" customHeight="1" x14ac:dyDescent="0.25"/>
    <row r="19650" ht="15" customHeight="1" x14ac:dyDescent="0.25"/>
    <row r="19651" ht="15" customHeight="1" x14ac:dyDescent="0.25"/>
    <row r="19652" ht="15" customHeight="1" x14ac:dyDescent="0.25"/>
    <row r="19653" ht="15" customHeight="1" x14ac:dyDescent="0.25"/>
    <row r="19654" ht="15" customHeight="1" x14ac:dyDescent="0.25"/>
    <row r="19655" ht="15" customHeight="1" x14ac:dyDescent="0.25"/>
    <row r="19656" ht="15" customHeight="1" x14ac:dyDescent="0.25"/>
    <row r="19657" ht="15" customHeight="1" x14ac:dyDescent="0.25"/>
    <row r="19658" ht="15" customHeight="1" x14ac:dyDescent="0.25"/>
    <row r="19659" ht="15" customHeight="1" x14ac:dyDescent="0.25"/>
    <row r="19660" ht="15" customHeight="1" x14ac:dyDescent="0.25"/>
    <row r="19661" ht="15" customHeight="1" x14ac:dyDescent="0.25"/>
    <row r="19662" ht="15" customHeight="1" x14ac:dyDescent="0.25"/>
    <row r="19663" ht="15" customHeight="1" x14ac:dyDescent="0.25"/>
    <row r="19664" ht="15" customHeight="1" x14ac:dyDescent="0.25"/>
    <row r="19665" ht="15" customHeight="1" x14ac:dyDescent="0.25"/>
    <row r="19666" ht="15" customHeight="1" x14ac:dyDescent="0.25"/>
    <row r="19667" ht="15" customHeight="1" x14ac:dyDescent="0.25"/>
    <row r="19668" ht="15" customHeight="1" x14ac:dyDescent="0.25"/>
    <row r="19669" ht="15" customHeight="1" x14ac:dyDescent="0.25"/>
    <row r="19670" ht="15" customHeight="1" x14ac:dyDescent="0.25"/>
    <row r="19671" ht="15" customHeight="1" x14ac:dyDescent="0.25"/>
    <row r="19672" ht="15" customHeight="1" x14ac:dyDescent="0.25"/>
    <row r="19673" ht="15" customHeight="1" x14ac:dyDescent="0.25"/>
    <row r="19674" ht="15" customHeight="1" x14ac:dyDescent="0.25"/>
    <row r="19675" ht="15" customHeight="1" x14ac:dyDescent="0.25"/>
    <row r="19676" ht="15" customHeight="1" x14ac:dyDescent="0.25"/>
    <row r="19677" ht="15" customHeight="1" x14ac:dyDescent="0.25"/>
    <row r="19678" ht="15" customHeight="1" x14ac:dyDescent="0.25"/>
    <row r="19679" ht="15" customHeight="1" x14ac:dyDescent="0.25"/>
    <row r="19680" ht="15" customHeight="1" x14ac:dyDescent="0.25"/>
    <row r="19681" ht="15" customHeight="1" x14ac:dyDescent="0.25"/>
    <row r="19682" ht="15" customHeight="1" x14ac:dyDescent="0.25"/>
    <row r="19683" ht="15" customHeight="1" x14ac:dyDescent="0.25"/>
    <row r="19684" ht="15" customHeight="1" x14ac:dyDescent="0.25"/>
    <row r="19685" ht="15" customHeight="1" x14ac:dyDescent="0.25"/>
    <row r="19686" ht="15" customHeight="1" x14ac:dyDescent="0.25"/>
    <row r="19687" ht="15" customHeight="1" x14ac:dyDescent="0.25"/>
    <row r="19688" ht="15" customHeight="1" x14ac:dyDescent="0.25"/>
    <row r="19689" ht="15" customHeight="1" x14ac:dyDescent="0.25"/>
    <row r="19690" ht="15" customHeight="1" x14ac:dyDescent="0.25"/>
    <row r="19691" ht="15" customHeight="1" x14ac:dyDescent="0.25"/>
    <row r="19692" ht="15" customHeight="1" x14ac:dyDescent="0.25"/>
    <row r="19693" ht="15" customHeight="1" x14ac:dyDescent="0.25"/>
    <row r="19694" ht="15" customHeight="1" x14ac:dyDescent="0.25"/>
    <row r="19695" ht="15" customHeight="1" x14ac:dyDescent="0.25"/>
    <row r="19696" ht="15" customHeight="1" x14ac:dyDescent="0.25"/>
    <row r="19697" ht="15" customHeight="1" x14ac:dyDescent="0.25"/>
    <row r="19698" ht="15" customHeight="1" x14ac:dyDescent="0.25"/>
    <row r="19699" ht="15" customHeight="1" x14ac:dyDescent="0.25"/>
    <row r="19700" ht="15" customHeight="1" x14ac:dyDescent="0.25"/>
    <row r="19701" ht="15" customHeight="1" x14ac:dyDescent="0.25"/>
    <row r="19702" ht="15" customHeight="1" x14ac:dyDescent="0.25"/>
    <row r="19703" ht="15" customHeight="1" x14ac:dyDescent="0.25"/>
    <row r="19704" ht="15" customHeight="1" x14ac:dyDescent="0.25"/>
    <row r="19705" ht="15" customHeight="1" x14ac:dyDescent="0.25"/>
    <row r="19706" ht="15" customHeight="1" x14ac:dyDescent="0.25"/>
    <row r="19707" ht="15" customHeight="1" x14ac:dyDescent="0.25"/>
    <row r="19708" ht="15" customHeight="1" x14ac:dyDescent="0.25"/>
    <row r="19709" ht="15" customHeight="1" x14ac:dyDescent="0.25"/>
    <row r="19710" ht="15" customHeight="1" x14ac:dyDescent="0.25"/>
    <row r="19711" ht="15" customHeight="1" x14ac:dyDescent="0.25"/>
    <row r="19712" ht="15" customHeight="1" x14ac:dyDescent="0.25"/>
    <row r="19713" ht="15" customHeight="1" x14ac:dyDescent="0.25"/>
    <row r="19714" ht="15" customHeight="1" x14ac:dyDescent="0.25"/>
    <row r="19715" ht="15" customHeight="1" x14ac:dyDescent="0.25"/>
    <row r="19716" ht="15" customHeight="1" x14ac:dyDescent="0.25"/>
    <row r="19717" ht="15" customHeight="1" x14ac:dyDescent="0.25"/>
    <row r="19718" ht="15" customHeight="1" x14ac:dyDescent="0.25"/>
    <row r="19719" ht="15" customHeight="1" x14ac:dyDescent="0.25"/>
    <row r="19720" ht="15" customHeight="1" x14ac:dyDescent="0.25"/>
    <row r="19721" ht="15" customHeight="1" x14ac:dyDescent="0.25"/>
    <row r="19722" ht="15" customHeight="1" x14ac:dyDescent="0.25"/>
    <row r="19723" ht="15" customHeight="1" x14ac:dyDescent="0.25"/>
    <row r="19724" ht="15" customHeight="1" x14ac:dyDescent="0.25"/>
    <row r="19725" ht="15" customHeight="1" x14ac:dyDescent="0.25"/>
    <row r="19726" ht="15" customHeight="1" x14ac:dyDescent="0.25"/>
    <row r="19727" ht="15" customHeight="1" x14ac:dyDescent="0.25"/>
    <row r="19728" ht="15" customHeight="1" x14ac:dyDescent="0.25"/>
    <row r="19729" ht="15" customHeight="1" x14ac:dyDescent="0.25"/>
    <row r="19730" ht="15" customHeight="1" x14ac:dyDescent="0.25"/>
    <row r="19731" ht="15" customHeight="1" x14ac:dyDescent="0.25"/>
    <row r="19732" ht="15" customHeight="1" x14ac:dyDescent="0.25"/>
    <row r="19733" ht="15" customHeight="1" x14ac:dyDescent="0.25"/>
    <row r="19734" ht="15" customHeight="1" x14ac:dyDescent="0.25"/>
    <row r="19735" ht="15" customHeight="1" x14ac:dyDescent="0.25"/>
    <row r="19736" ht="15" customHeight="1" x14ac:dyDescent="0.25"/>
    <row r="19737" ht="15" customHeight="1" x14ac:dyDescent="0.25"/>
    <row r="19738" ht="15" customHeight="1" x14ac:dyDescent="0.25"/>
    <row r="19739" ht="15" customHeight="1" x14ac:dyDescent="0.25"/>
    <row r="19740" ht="15" customHeight="1" x14ac:dyDescent="0.25"/>
    <row r="19741" ht="15" customHeight="1" x14ac:dyDescent="0.25"/>
    <row r="19742" ht="15" customHeight="1" x14ac:dyDescent="0.25"/>
    <row r="19743" ht="15" customHeight="1" x14ac:dyDescent="0.25"/>
    <row r="19744" ht="15" customHeight="1" x14ac:dyDescent="0.25"/>
    <row r="19745" ht="15" customHeight="1" x14ac:dyDescent="0.25"/>
    <row r="19746" ht="15" customHeight="1" x14ac:dyDescent="0.25"/>
    <row r="19747" ht="15" customHeight="1" x14ac:dyDescent="0.25"/>
    <row r="19748" ht="15" customHeight="1" x14ac:dyDescent="0.25"/>
    <row r="19749" ht="15" customHeight="1" x14ac:dyDescent="0.25"/>
    <row r="19750" ht="15" customHeight="1" x14ac:dyDescent="0.25"/>
    <row r="19751" ht="15" customHeight="1" x14ac:dyDescent="0.25"/>
    <row r="19752" ht="15" customHeight="1" x14ac:dyDescent="0.25"/>
    <row r="19753" ht="15" customHeight="1" x14ac:dyDescent="0.25"/>
    <row r="19754" ht="15" customHeight="1" x14ac:dyDescent="0.25"/>
    <row r="19755" ht="15" customHeight="1" x14ac:dyDescent="0.25"/>
    <row r="19756" ht="15" customHeight="1" x14ac:dyDescent="0.25"/>
    <row r="19757" ht="15" customHeight="1" x14ac:dyDescent="0.25"/>
    <row r="19758" ht="15" customHeight="1" x14ac:dyDescent="0.25"/>
    <row r="19759" ht="15" customHeight="1" x14ac:dyDescent="0.25"/>
    <row r="19760" ht="15" customHeight="1" x14ac:dyDescent="0.25"/>
    <row r="19761" ht="15" customHeight="1" x14ac:dyDescent="0.25"/>
    <row r="19762" ht="15" customHeight="1" x14ac:dyDescent="0.25"/>
    <row r="19763" ht="15" customHeight="1" x14ac:dyDescent="0.25"/>
    <row r="19764" ht="15" customHeight="1" x14ac:dyDescent="0.25"/>
    <row r="19765" ht="15" customHeight="1" x14ac:dyDescent="0.25"/>
    <row r="19766" ht="15" customHeight="1" x14ac:dyDescent="0.25"/>
    <row r="19767" ht="15" customHeight="1" x14ac:dyDescent="0.25"/>
    <row r="19768" ht="15" customHeight="1" x14ac:dyDescent="0.25"/>
    <row r="19769" ht="15" customHeight="1" x14ac:dyDescent="0.25"/>
    <row r="19770" ht="15" customHeight="1" x14ac:dyDescent="0.25"/>
    <row r="19771" ht="15" customHeight="1" x14ac:dyDescent="0.25"/>
    <row r="19772" ht="15" customHeight="1" x14ac:dyDescent="0.25"/>
    <row r="19773" ht="15" customHeight="1" x14ac:dyDescent="0.25"/>
    <row r="19774" ht="15" customHeight="1" x14ac:dyDescent="0.25"/>
    <row r="19775" ht="15" customHeight="1" x14ac:dyDescent="0.25"/>
    <row r="19776" ht="15" customHeight="1" x14ac:dyDescent="0.25"/>
    <row r="19777" ht="15" customHeight="1" x14ac:dyDescent="0.25"/>
    <row r="19778" ht="15" customHeight="1" x14ac:dyDescent="0.25"/>
    <row r="19779" ht="15" customHeight="1" x14ac:dyDescent="0.25"/>
    <row r="19780" ht="15" customHeight="1" x14ac:dyDescent="0.25"/>
    <row r="19781" ht="15" customHeight="1" x14ac:dyDescent="0.25"/>
    <row r="19782" ht="15" customHeight="1" x14ac:dyDescent="0.25"/>
    <row r="19783" ht="15" customHeight="1" x14ac:dyDescent="0.25"/>
    <row r="19784" ht="15" customHeight="1" x14ac:dyDescent="0.25"/>
    <row r="19785" ht="15" customHeight="1" x14ac:dyDescent="0.25"/>
    <row r="19786" ht="15" customHeight="1" x14ac:dyDescent="0.25"/>
    <row r="19787" ht="15" customHeight="1" x14ac:dyDescent="0.25"/>
    <row r="19788" ht="15" customHeight="1" x14ac:dyDescent="0.25"/>
    <row r="19789" ht="15" customHeight="1" x14ac:dyDescent="0.25"/>
    <row r="19790" ht="15" customHeight="1" x14ac:dyDescent="0.25"/>
    <row r="19791" ht="15" customHeight="1" x14ac:dyDescent="0.25"/>
    <row r="19792" ht="15" customHeight="1" x14ac:dyDescent="0.25"/>
    <row r="19793" ht="15" customHeight="1" x14ac:dyDescent="0.25"/>
    <row r="19794" ht="15" customHeight="1" x14ac:dyDescent="0.25"/>
    <row r="19795" ht="15" customHeight="1" x14ac:dyDescent="0.25"/>
    <row r="19796" ht="15" customHeight="1" x14ac:dyDescent="0.25"/>
    <row r="19797" ht="15" customHeight="1" x14ac:dyDescent="0.25"/>
    <row r="19798" ht="15" customHeight="1" x14ac:dyDescent="0.25"/>
    <row r="19799" ht="15" customHeight="1" x14ac:dyDescent="0.25"/>
    <row r="19800" ht="15" customHeight="1" x14ac:dyDescent="0.25"/>
    <row r="19801" ht="15" customHeight="1" x14ac:dyDescent="0.25"/>
    <row r="19802" ht="15" customHeight="1" x14ac:dyDescent="0.25"/>
    <row r="19803" ht="15" customHeight="1" x14ac:dyDescent="0.25"/>
    <row r="19804" ht="15" customHeight="1" x14ac:dyDescent="0.25"/>
    <row r="19805" ht="15" customHeight="1" x14ac:dyDescent="0.25"/>
    <row r="19806" ht="15" customHeight="1" x14ac:dyDescent="0.25"/>
    <row r="19807" ht="15" customHeight="1" x14ac:dyDescent="0.25"/>
    <row r="19808" ht="15" customHeight="1" x14ac:dyDescent="0.25"/>
    <row r="19809" ht="15" customHeight="1" x14ac:dyDescent="0.25"/>
    <row r="19810" ht="15" customHeight="1" x14ac:dyDescent="0.25"/>
    <row r="19811" ht="15" customHeight="1" x14ac:dyDescent="0.25"/>
    <row r="19812" ht="15" customHeight="1" x14ac:dyDescent="0.25"/>
    <row r="19813" ht="15" customHeight="1" x14ac:dyDescent="0.25"/>
    <row r="19814" ht="15" customHeight="1" x14ac:dyDescent="0.25"/>
    <row r="19815" ht="15" customHeight="1" x14ac:dyDescent="0.25"/>
    <row r="19816" ht="15" customHeight="1" x14ac:dyDescent="0.25"/>
    <row r="19817" ht="15" customHeight="1" x14ac:dyDescent="0.25"/>
    <row r="19818" ht="15" customHeight="1" x14ac:dyDescent="0.25"/>
    <row r="19819" ht="15" customHeight="1" x14ac:dyDescent="0.25"/>
    <row r="19820" ht="15" customHeight="1" x14ac:dyDescent="0.25"/>
    <row r="19821" ht="15" customHeight="1" x14ac:dyDescent="0.25"/>
    <row r="19822" ht="15" customHeight="1" x14ac:dyDescent="0.25"/>
    <row r="19823" ht="15" customHeight="1" x14ac:dyDescent="0.25"/>
    <row r="19824" ht="15" customHeight="1" x14ac:dyDescent="0.25"/>
    <row r="19825" ht="15" customHeight="1" x14ac:dyDescent="0.25"/>
    <row r="19826" ht="15" customHeight="1" x14ac:dyDescent="0.25"/>
    <row r="19827" ht="15" customHeight="1" x14ac:dyDescent="0.25"/>
    <row r="19828" ht="15" customHeight="1" x14ac:dyDescent="0.25"/>
    <row r="19829" ht="15" customHeight="1" x14ac:dyDescent="0.25"/>
    <row r="19830" ht="15" customHeight="1" x14ac:dyDescent="0.25"/>
    <row r="19831" ht="15" customHeight="1" x14ac:dyDescent="0.25"/>
    <row r="19832" ht="15" customHeight="1" x14ac:dyDescent="0.25"/>
    <row r="19833" ht="15" customHeight="1" x14ac:dyDescent="0.25"/>
    <row r="19834" ht="15" customHeight="1" x14ac:dyDescent="0.25"/>
    <row r="19835" ht="15" customHeight="1" x14ac:dyDescent="0.25"/>
    <row r="19836" ht="15" customHeight="1" x14ac:dyDescent="0.25"/>
    <row r="19837" ht="15" customHeight="1" x14ac:dyDescent="0.25"/>
    <row r="19838" ht="15" customHeight="1" x14ac:dyDescent="0.25"/>
    <row r="19839" ht="15" customHeight="1" x14ac:dyDescent="0.25"/>
    <row r="19840" ht="15" customHeight="1" x14ac:dyDescent="0.25"/>
    <row r="19841" ht="15" customHeight="1" x14ac:dyDescent="0.25"/>
    <row r="19842" ht="15" customHeight="1" x14ac:dyDescent="0.25"/>
    <row r="19843" ht="15" customHeight="1" x14ac:dyDescent="0.25"/>
    <row r="19844" ht="15" customHeight="1" x14ac:dyDescent="0.25"/>
    <row r="19845" ht="15" customHeight="1" x14ac:dyDescent="0.25"/>
    <row r="19846" ht="15" customHeight="1" x14ac:dyDescent="0.25"/>
    <row r="19847" ht="15" customHeight="1" x14ac:dyDescent="0.25"/>
    <row r="19848" ht="15" customHeight="1" x14ac:dyDescent="0.25"/>
    <row r="19849" ht="15" customHeight="1" x14ac:dyDescent="0.25"/>
    <row r="19850" ht="15" customHeight="1" x14ac:dyDescent="0.25"/>
    <row r="19851" ht="15" customHeight="1" x14ac:dyDescent="0.25"/>
    <row r="19852" ht="15" customHeight="1" x14ac:dyDescent="0.25"/>
    <row r="19853" ht="15" customHeight="1" x14ac:dyDescent="0.25"/>
    <row r="19854" ht="15" customHeight="1" x14ac:dyDescent="0.25"/>
    <row r="19855" ht="15" customHeight="1" x14ac:dyDescent="0.25"/>
    <row r="19856" ht="15" customHeight="1" x14ac:dyDescent="0.25"/>
    <row r="19857" ht="15" customHeight="1" x14ac:dyDescent="0.25"/>
    <row r="19858" ht="15" customHeight="1" x14ac:dyDescent="0.25"/>
    <row r="19859" ht="15" customHeight="1" x14ac:dyDescent="0.25"/>
    <row r="19860" ht="15" customHeight="1" x14ac:dyDescent="0.25"/>
    <row r="19861" ht="15" customHeight="1" x14ac:dyDescent="0.25"/>
    <row r="19862" ht="15" customHeight="1" x14ac:dyDescent="0.25"/>
    <row r="19863" ht="15" customHeight="1" x14ac:dyDescent="0.25"/>
    <row r="19864" ht="15" customHeight="1" x14ac:dyDescent="0.25"/>
    <row r="19865" ht="15" customHeight="1" x14ac:dyDescent="0.25"/>
    <row r="19866" ht="15" customHeight="1" x14ac:dyDescent="0.25"/>
    <row r="19867" ht="15" customHeight="1" x14ac:dyDescent="0.25"/>
    <row r="19868" ht="15" customHeight="1" x14ac:dyDescent="0.25"/>
    <row r="19869" ht="15" customHeight="1" x14ac:dyDescent="0.25"/>
    <row r="19870" ht="15" customHeight="1" x14ac:dyDescent="0.25"/>
    <row r="19871" ht="15" customHeight="1" x14ac:dyDescent="0.25"/>
    <row r="19872" ht="15" customHeight="1" x14ac:dyDescent="0.25"/>
    <row r="19873" ht="15" customHeight="1" x14ac:dyDescent="0.25"/>
    <row r="19874" ht="15" customHeight="1" x14ac:dyDescent="0.25"/>
    <row r="19875" ht="15" customHeight="1" x14ac:dyDescent="0.25"/>
    <row r="19876" ht="15" customHeight="1" x14ac:dyDescent="0.25"/>
    <row r="19877" ht="15" customHeight="1" x14ac:dyDescent="0.25"/>
    <row r="19878" ht="15" customHeight="1" x14ac:dyDescent="0.25"/>
    <row r="19879" ht="15" customHeight="1" x14ac:dyDescent="0.25"/>
    <row r="19880" ht="15" customHeight="1" x14ac:dyDescent="0.25"/>
    <row r="19881" ht="15" customHeight="1" x14ac:dyDescent="0.25"/>
    <row r="19882" ht="15" customHeight="1" x14ac:dyDescent="0.25"/>
    <row r="19883" ht="15" customHeight="1" x14ac:dyDescent="0.25"/>
    <row r="19884" ht="15" customHeight="1" x14ac:dyDescent="0.25"/>
    <row r="19885" ht="15" customHeight="1" x14ac:dyDescent="0.25"/>
    <row r="19886" ht="15" customHeight="1" x14ac:dyDescent="0.25"/>
    <row r="19887" ht="15" customHeight="1" x14ac:dyDescent="0.25"/>
    <row r="19888" ht="15" customHeight="1" x14ac:dyDescent="0.25"/>
    <row r="19889" ht="15" customHeight="1" x14ac:dyDescent="0.25"/>
    <row r="19890" ht="15" customHeight="1" x14ac:dyDescent="0.25"/>
    <row r="19891" ht="15" customHeight="1" x14ac:dyDescent="0.25"/>
    <row r="19892" ht="15" customHeight="1" x14ac:dyDescent="0.25"/>
    <row r="19893" ht="15" customHeight="1" x14ac:dyDescent="0.25"/>
    <row r="19894" ht="15" customHeight="1" x14ac:dyDescent="0.25"/>
    <row r="19895" ht="15" customHeight="1" x14ac:dyDescent="0.25"/>
    <row r="19896" ht="15" customHeight="1" x14ac:dyDescent="0.25"/>
    <row r="19897" ht="15" customHeight="1" x14ac:dyDescent="0.25"/>
    <row r="19898" ht="15" customHeight="1" x14ac:dyDescent="0.25"/>
    <row r="19899" ht="15" customHeight="1" x14ac:dyDescent="0.25"/>
    <row r="19900" ht="15" customHeight="1" x14ac:dyDescent="0.25"/>
    <row r="19901" ht="15" customHeight="1" x14ac:dyDescent="0.25"/>
    <row r="19902" ht="15" customHeight="1" x14ac:dyDescent="0.25"/>
    <row r="19903" ht="15" customHeight="1" x14ac:dyDescent="0.25"/>
    <row r="19904" ht="15" customHeight="1" x14ac:dyDescent="0.25"/>
    <row r="19905" ht="15" customHeight="1" x14ac:dyDescent="0.25"/>
    <row r="19906" ht="15" customHeight="1" x14ac:dyDescent="0.25"/>
    <row r="19907" ht="15" customHeight="1" x14ac:dyDescent="0.25"/>
    <row r="19908" ht="15" customHeight="1" x14ac:dyDescent="0.25"/>
    <row r="19909" ht="15" customHeight="1" x14ac:dyDescent="0.25"/>
    <row r="19910" ht="15" customHeight="1" x14ac:dyDescent="0.25"/>
    <row r="19911" ht="15" customHeight="1" x14ac:dyDescent="0.25"/>
    <row r="19912" ht="15" customHeight="1" x14ac:dyDescent="0.25"/>
    <row r="19913" ht="15" customHeight="1" x14ac:dyDescent="0.25"/>
    <row r="19914" ht="15" customHeight="1" x14ac:dyDescent="0.25"/>
    <row r="19915" ht="15" customHeight="1" x14ac:dyDescent="0.25"/>
    <row r="19916" ht="15" customHeight="1" x14ac:dyDescent="0.25"/>
    <row r="19917" ht="15" customHeight="1" x14ac:dyDescent="0.25"/>
    <row r="19918" ht="15" customHeight="1" x14ac:dyDescent="0.25"/>
    <row r="19919" ht="15" customHeight="1" x14ac:dyDescent="0.25"/>
    <row r="19920" ht="15" customHeight="1" x14ac:dyDescent="0.25"/>
    <row r="19921" ht="15" customHeight="1" x14ac:dyDescent="0.25"/>
    <row r="19922" ht="15" customHeight="1" x14ac:dyDescent="0.25"/>
    <row r="19923" ht="15" customHeight="1" x14ac:dyDescent="0.25"/>
    <row r="19924" ht="15" customHeight="1" x14ac:dyDescent="0.25"/>
    <row r="19925" ht="15" customHeight="1" x14ac:dyDescent="0.25"/>
    <row r="19926" ht="15" customHeight="1" x14ac:dyDescent="0.25"/>
    <row r="19927" ht="15" customHeight="1" x14ac:dyDescent="0.25"/>
    <row r="19928" ht="15" customHeight="1" x14ac:dyDescent="0.25"/>
    <row r="19929" ht="15" customHeight="1" x14ac:dyDescent="0.25"/>
    <row r="19930" ht="15" customHeight="1" x14ac:dyDescent="0.25"/>
    <row r="19931" ht="15" customHeight="1" x14ac:dyDescent="0.25"/>
    <row r="19932" ht="15" customHeight="1" x14ac:dyDescent="0.25"/>
    <row r="19933" ht="15" customHeight="1" x14ac:dyDescent="0.25"/>
    <row r="19934" ht="15" customHeight="1" x14ac:dyDescent="0.25"/>
    <row r="19935" ht="15" customHeight="1" x14ac:dyDescent="0.25"/>
    <row r="19936" ht="15" customHeight="1" x14ac:dyDescent="0.25"/>
    <row r="19937" ht="15" customHeight="1" x14ac:dyDescent="0.25"/>
    <row r="19938" ht="15" customHeight="1" x14ac:dyDescent="0.25"/>
    <row r="19939" ht="15" customHeight="1" x14ac:dyDescent="0.25"/>
    <row r="19940" ht="15" customHeight="1" x14ac:dyDescent="0.25"/>
    <row r="19941" ht="15" customHeight="1" x14ac:dyDescent="0.25"/>
    <row r="19942" ht="15" customHeight="1" x14ac:dyDescent="0.25"/>
    <row r="19943" ht="15" customHeight="1" x14ac:dyDescent="0.25"/>
    <row r="19944" ht="15" customHeight="1" x14ac:dyDescent="0.25"/>
    <row r="19945" ht="15" customHeight="1" x14ac:dyDescent="0.25"/>
    <row r="19946" ht="15" customHeight="1" x14ac:dyDescent="0.25"/>
    <row r="19947" ht="15" customHeight="1" x14ac:dyDescent="0.25"/>
    <row r="19948" ht="15" customHeight="1" x14ac:dyDescent="0.25"/>
    <row r="19949" ht="15" customHeight="1" x14ac:dyDescent="0.25"/>
    <row r="19950" ht="15" customHeight="1" x14ac:dyDescent="0.25"/>
    <row r="19951" ht="15" customHeight="1" x14ac:dyDescent="0.25"/>
    <row r="19952" ht="15" customHeight="1" x14ac:dyDescent="0.25"/>
    <row r="19953" ht="15" customHeight="1" x14ac:dyDescent="0.25"/>
    <row r="19954" ht="15" customHeight="1" x14ac:dyDescent="0.25"/>
    <row r="19955" ht="15" customHeight="1" x14ac:dyDescent="0.25"/>
    <row r="19956" ht="15" customHeight="1" x14ac:dyDescent="0.25"/>
    <row r="19957" ht="15" customHeight="1" x14ac:dyDescent="0.25"/>
    <row r="19958" ht="15" customHeight="1" x14ac:dyDescent="0.25"/>
    <row r="19959" ht="15" customHeight="1" x14ac:dyDescent="0.25"/>
    <row r="19960" ht="15" customHeight="1" x14ac:dyDescent="0.25"/>
    <row r="19961" ht="15" customHeight="1" x14ac:dyDescent="0.25"/>
    <row r="19962" ht="15" customHeight="1" x14ac:dyDescent="0.25"/>
    <row r="19963" ht="15" customHeight="1" x14ac:dyDescent="0.25"/>
    <row r="19964" ht="15" customHeight="1" x14ac:dyDescent="0.25"/>
    <row r="19965" ht="15" customHeight="1" x14ac:dyDescent="0.25"/>
    <row r="19966" ht="15" customHeight="1" x14ac:dyDescent="0.25"/>
    <row r="19967" ht="15" customHeight="1" x14ac:dyDescent="0.25"/>
    <row r="19968" ht="15" customHeight="1" x14ac:dyDescent="0.25"/>
    <row r="19969" ht="15" customHeight="1" x14ac:dyDescent="0.25"/>
    <row r="19970" ht="15" customHeight="1" x14ac:dyDescent="0.25"/>
    <row r="19971" ht="15" customHeight="1" x14ac:dyDescent="0.25"/>
    <row r="19972" ht="15" customHeight="1" x14ac:dyDescent="0.25"/>
    <row r="19973" ht="15" customHeight="1" x14ac:dyDescent="0.25"/>
    <row r="19974" ht="15" customHeight="1" x14ac:dyDescent="0.25"/>
    <row r="19975" ht="15" customHeight="1" x14ac:dyDescent="0.25"/>
    <row r="19976" ht="15" customHeight="1" x14ac:dyDescent="0.25"/>
    <row r="19977" ht="15" customHeight="1" x14ac:dyDescent="0.25"/>
    <row r="19978" ht="15" customHeight="1" x14ac:dyDescent="0.25"/>
    <row r="19979" ht="15" customHeight="1" x14ac:dyDescent="0.25"/>
    <row r="19980" ht="15" customHeight="1" x14ac:dyDescent="0.25"/>
    <row r="19981" ht="15" customHeight="1" x14ac:dyDescent="0.25"/>
    <row r="19982" ht="15" customHeight="1" x14ac:dyDescent="0.25"/>
    <row r="19983" ht="15" customHeight="1" x14ac:dyDescent="0.25"/>
    <row r="19984" ht="15" customHeight="1" x14ac:dyDescent="0.25"/>
    <row r="19985" ht="15" customHeight="1" x14ac:dyDescent="0.25"/>
    <row r="19986" ht="15" customHeight="1" x14ac:dyDescent="0.25"/>
    <row r="19987" ht="15" customHeight="1" x14ac:dyDescent="0.25"/>
    <row r="19988" ht="15" customHeight="1" x14ac:dyDescent="0.25"/>
    <row r="19989" ht="15" customHeight="1" x14ac:dyDescent="0.25"/>
    <row r="19990" ht="15" customHeight="1" x14ac:dyDescent="0.25"/>
    <row r="19991" ht="15" customHeight="1" x14ac:dyDescent="0.25"/>
    <row r="19992" ht="15" customHeight="1" x14ac:dyDescent="0.25"/>
    <row r="19993" ht="15" customHeight="1" x14ac:dyDescent="0.25"/>
    <row r="19994" ht="15" customHeight="1" x14ac:dyDescent="0.25"/>
    <row r="19995" ht="15" customHeight="1" x14ac:dyDescent="0.25"/>
    <row r="19996" ht="15" customHeight="1" x14ac:dyDescent="0.25"/>
    <row r="19997" ht="15" customHeight="1" x14ac:dyDescent="0.25"/>
    <row r="19998" ht="15" customHeight="1" x14ac:dyDescent="0.25"/>
    <row r="19999" ht="15" customHeight="1" x14ac:dyDescent="0.25"/>
    <row r="20000" ht="15" customHeight="1" x14ac:dyDescent="0.25"/>
    <row r="20001" ht="15" customHeight="1" x14ac:dyDescent="0.25"/>
    <row r="20002" ht="15" customHeight="1" x14ac:dyDescent="0.25"/>
    <row r="20003" ht="15" customHeight="1" x14ac:dyDescent="0.25"/>
    <row r="20004" ht="15" customHeight="1" x14ac:dyDescent="0.25"/>
    <row r="20005" ht="15" customHeight="1" x14ac:dyDescent="0.25"/>
    <row r="20006" ht="15" customHeight="1" x14ac:dyDescent="0.25"/>
    <row r="20007" ht="15" customHeight="1" x14ac:dyDescent="0.25"/>
    <row r="20008" ht="15" customHeight="1" x14ac:dyDescent="0.25"/>
    <row r="20009" ht="15" customHeight="1" x14ac:dyDescent="0.25"/>
    <row r="20010" ht="15" customHeight="1" x14ac:dyDescent="0.25"/>
    <row r="20011" ht="15" customHeight="1" x14ac:dyDescent="0.25"/>
    <row r="20012" ht="15" customHeight="1" x14ac:dyDescent="0.25"/>
    <row r="20013" ht="15" customHeight="1" x14ac:dyDescent="0.25"/>
    <row r="20014" ht="15" customHeight="1" x14ac:dyDescent="0.25"/>
    <row r="20015" ht="15" customHeight="1" x14ac:dyDescent="0.25"/>
    <row r="20016" ht="15" customHeight="1" x14ac:dyDescent="0.25"/>
    <row r="20017" ht="15" customHeight="1" x14ac:dyDescent="0.25"/>
    <row r="20018" ht="15" customHeight="1" x14ac:dyDescent="0.25"/>
    <row r="20019" ht="15" customHeight="1" x14ac:dyDescent="0.25"/>
    <row r="20020" ht="15" customHeight="1" x14ac:dyDescent="0.25"/>
    <row r="20021" ht="15" customHeight="1" x14ac:dyDescent="0.25"/>
    <row r="20022" ht="15" customHeight="1" x14ac:dyDescent="0.25"/>
    <row r="20023" ht="15" customHeight="1" x14ac:dyDescent="0.25"/>
    <row r="20024" ht="15" customHeight="1" x14ac:dyDescent="0.25"/>
    <row r="20025" ht="15" customHeight="1" x14ac:dyDescent="0.25"/>
    <row r="20026" ht="15" customHeight="1" x14ac:dyDescent="0.25"/>
    <row r="20027" ht="15" customHeight="1" x14ac:dyDescent="0.25"/>
    <row r="20028" ht="15" customHeight="1" x14ac:dyDescent="0.25"/>
    <row r="20029" ht="15" customHeight="1" x14ac:dyDescent="0.25"/>
    <row r="20030" ht="15" customHeight="1" x14ac:dyDescent="0.25"/>
    <row r="20031" ht="15" customHeight="1" x14ac:dyDescent="0.25"/>
    <row r="20032" ht="15" customHeight="1" x14ac:dyDescent="0.25"/>
    <row r="20033" ht="15" customHeight="1" x14ac:dyDescent="0.25"/>
    <row r="20034" ht="15" customHeight="1" x14ac:dyDescent="0.25"/>
    <row r="20035" ht="15" customHeight="1" x14ac:dyDescent="0.25"/>
    <row r="20036" ht="15" customHeight="1" x14ac:dyDescent="0.25"/>
    <row r="20037" ht="15" customHeight="1" x14ac:dyDescent="0.25"/>
    <row r="20038" ht="15" customHeight="1" x14ac:dyDescent="0.25"/>
    <row r="20039" ht="15" customHeight="1" x14ac:dyDescent="0.25"/>
    <row r="20040" ht="15" customHeight="1" x14ac:dyDescent="0.25"/>
    <row r="20041" ht="15" customHeight="1" x14ac:dyDescent="0.25"/>
    <row r="20042" ht="15" customHeight="1" x14ac:dyDescent="0.25"/>
    <row r="20043" ht="15" customHeight="1" x14ac:dyDescent="0.25"/>
    <row r="20044" ht="15" customHeight="1" x14ac:dyDescent="0.25"/>
    <row r="20045" ht="15" customHeight="1" x14ac:dyDescent="0.25"/>
    <row r="20046" ht="15" customHeight="1" x14ac:dyDescent="0.25"/>
    <row r="20047" ht="15" customHeight="1" x14ac:dyDescent="0.25"/>
    <row r="20048" ht="15" customHeight="1" x14ac:dyDescent="0.25"/>
    <row r="20049" ht="15" customHeight="1" x14ac:dyDescent="0.25"/>
    <row r="20050" ht="15" customHeight="1" x14ac:dyDescent="0.25"/>
    <row r="20051" ht="15" customHeight="1" x14ac:dyDescent="0.25"/>
    <row r="20052" ht="15" customHeight="1" x14ac:dyDescent="0.25"/>
    <row r="20053" ht="15" customHeight="1" x14ac:dyDescent="0.25"/>
    <row r="20054" ht="15" customHeight="1" x14ac:dyDescent="0.25"/>
    <row r="20055" ht="15" customHeight="1" x14ac:dyDescent="0.25"/>
    <row r="20056" ht="15" customHeight="1" x14ac:dyDescent="0.25"/>
    <row r="20057" ht="15" customHeight="1" x14ac:dyDescent="0.25"/>
    <row r="20058" ht="15" customHeight="1" x14ac:dyDescent="0.25"/>
    <row r="20059" ht="15" customHeight="1" x14ac:dyDescent="0.25"/>
    <row r="20060" ht="15" customHeight="1" x14ac:dyDescent="0.25"/>
    <row r="20061" ht="15" customHeight="1" x14ac:dyDescent="0.25"/>
    <row r="20062" ht="15" customHeight="1" x14ac:dyDescent="0.25"/>
    <row r="20063" ht="15" customHeight="1" x14ac:dyDescent="0.25"/>
    <row r="20064" ht="15" customHeight="1" x14ac:dyDescent="0.25"/>
    <row r="20065" ht="15" customHeight="1" x14ac:dyDescent="0.25"/>
    <row r="20066" ht="15" customHeight="1" x14ac:dyDescent="0.25"/>
    <row r="20067" ht="15" customHeight="1" x14ac:dyDescent="0.25"/>
    <row r="20068" ht="15" customHeight="1" x14ac:dyDescent="0.25"/>
    <row r="20069" ht="15" customHeight="1" x14ac:dyDescent="0.25"/>
    <row r="20070" ht="15" customHeight="1" x14ac:dyDescent="0.25"/>
    <row r="20071" ht="15" customHeight="1" x14ac:dyDescent="0.25"/>
    <row r="20072" ht="15" customHeight="1" x14ac:dyDescent="0.25"/>
    <row r="20073" ht="15" customHeight="1" x14ac:dyDescent="0.25"/>
    <row r="20074" ht="15" customHeight="1" x14ac:dyDescent="0.25"/>
    <row r="20075" ht="15" customHeight="1" x14ac:dyDescent="0.25"/>
    <row r="20076" ht="15" customHeight="1" x14ac:dyDescent="0.25"/>
    <row r="20077" ht="15" customHeight="1" x14ac:dyDescent="0.25"/>
    <row r="20078" ht="15" customHeight="1" x14ac:dyDescent="0.25"/>
    <row r="20079" ht="15" customHeight="1" x14ac:dyDescent="0.25"/>
    <row r="20080" ht="15" customHeight="1" x14ac:dyDescent="0.25"/>
    <row r="20081" ht="15" customHeight="1" x14ac:dyDescent="0.25"/>
    <row r="20082" ht="15" customHeight="1" x14ac:dyDescent="0.25"/>
    <row r="20083" ht="15" customHeight="1" x14ac:dyDescent="0.25"/>
    <row r="20084" ht="15" customHeight="1" x14ac:dyDescent="0.25"/>
    <row r="20085" ht="15" customHeight="1" x14ac:dyDescent="0.25"/>
    <row r="20086" ht="15" customHeight="1" x14ac:dyDescent="0.25"/>
    <row r="20087" ht="15" customHeight="1" x14ac:dyDescent="0.25"/>
    <row r="20088" ht="15" customHeight="1" x14ac:dyDescent="0.25"/>
    <row r="20089" ht="15" customHeight="1" x14ac:dyDescent="0.25"/>
    <row r="20090" ht="15" customHeight="1" x14ac:dyDescent="0.25"/>
    <row r="20091" ht="15" customHeight="1" x14ac:dyDescent="0.25"/>
    <row r="20092" ht="15" customHeight="1" x14ac:dyDescent="0.25"/>
    <row r="20093" ht="15" customHeight="1" x14ac:dyDescent="0.25"/>
    <row r="20094" ht="15" customHeight="1" x14ac:dyDescent="0.25"/>
    <row r="20095" ht="15" customHeight="1" x14ac:dyDescent="0.25"/>
    <row r="20096" ht="15" customHeight="1" x14ac:dyDescent="0.25"/>
    <row r="20097" ht="15" customHeight="1" x14ac:dyDescent="0.25"/>
    <row r="20098" ht="15" customHeight="1" x14ac:dyDescent="0.25"/>
    <row r="20099" ht="15" customHeight="1" x14ac:dyDescent="0.25"/>
    <row r="20100" ht="15" customHeight="1" x14ac:dyDescent="0.25"/>
    <row r="20101" ht="15" customHeight="1" x14ac:dyDescent="0.25"/>
    <row r="20102" ht="15" customHeight="1" x14ac:dyDescent="0.25"/>
    <row r="20103" ht="15" customHeight="1" x14ac:dyDescent="0.25"/>
    <row r="20104" ht="15" customHeight="1" x14ac:dyDescent="0.25"/>
    <row r="20105" ht="15" customHeight="1" x14ac:dyDescent="0.25"/>
    <row r="20106" ht="15" customHeight="1" x14ac:dyDescent="0.25"/>
    <row r="20107" ht="15" customHeight="1" x14ac:dyDescent="0.25"/>
    <row r="20108" ht="15" customHeight="1" x14ac:dyDescent="0.25"/>
    <row r="20109" ht="15" customHeight="1" x14ac:dyDescent="0.25"/>
    <row r="20110" ht="15" customHeight="1" x14ac:dyDescent="0.25"/>
    <row r="20111" ht="15" customHeight="1" x14ac:dyDescent="0.25"/>
    <row r="20112" ht="15" customHeight="1" x14ac:dyDescent="0.25"/>
    <row r="20113" ht="15" customHeight="1" x14ac:dyDescent="0.25"/>
    <row r="20114" ht="15" customHeight="1" x14ac:dyDescent="0.25"/>
    <row r="20115" ht="15" customHeight="1" x14ac:dyDescent="0.25"/>
    <row r="20116" ht="15" customHeight="1" x14ac:dyDescent="0.25"/>
    <row r="20117" ht="15" customHeight="1" x14ac:dyDescent="0.25"/>
    <row r="20118" ht="15" customHeight="1" x14ac:dyDescent="0.25"/>
    <row r="20119" ht="15" customHeight="1" x14ac:dyDescent="0.25"/>
    <row r="20120" ht="15" customHeight="1" x14ac:dyDescent="0.25"/>
    <row r="20121" ht="15" customHeight="1" x14ac:dyDescent="0.25"/>
    <row r="20122" ht="15" customHeight="1" x14ac:dyDescent="0.25"/>
    <row r="20123" ht="15" customHeight="1" x14ac:dyDescent="0.25"/>
    <row r="20124" ht="15" customHeight="1" x14ac:dyDescent="0.25"/>
    <row r="20125" ht="15" customHeight="1" x14ac:dyDescent="0.25"/>
    <row r="20126" ht="15" customHeight="1" x14ac:dyDescent="0.25"/>
    <row r="20127" ht="15" customHeight="1" x14ac:dyDescent="0.25"/>
    <row r="20128" ht="15" customHeight="1" x14ac:dyDescent="0.25"/>
    <row r="20129" ht="15" customHeight="1" x14ac:dyDescent="0.25"/>
    <row r="20130" ht="15" customHeight="1" x14ac:dyDescent="0.25"/>
    <row r="20131" ht="15" customHeight="1" x14ac:dyDescent="0.25"/>
    <row r="20132" ht="15" customHeight="1" x14ac:dyDescent="0.25"/>
    <row r="20133" ht="15" customHeight="1" x14ac:dyDescent="0.25"/>
    <row r="20134" ht="15" customHeight="1" x14ac:dyDescent="0.25"/>
    <row r="20135" ht="15" customHeight="1" x14ac:dyDescent="0.25"/>
    <row r="20136" ht="15" customHeight="1" x14ac:dyDescent="0.25"/>
    <row r="20137" ht="15" customHeight="1" x14ac:dyDescent="0.25"/>
    <row r="20138" ht="15" customHeight="1" x14ac:dyDescent="0.25"/>
    <row r="20139" ht="15" customHeight="1" x14ac:dyDescent="0.25"/>
    <row r="20140" ht="15" customHeight="1" x14ac:dyDescent="0.25"/>
    <row r="20141" ht="15" customHeight="1" x14ac:dyDescent="0.25"/>
    <row r="20142" ht="15" customHeight="1" x14ac:dyDescent="0.25"/>
    <row r="20143" ht="15" customHeight="1" x14ac:dyDescent="0.25"/>
    <row r="20144" ht="15" customHeight="1" x14ac:dyDescent="0.25"/>
    <row r="20145" ht="15" customHeight="1" x14ac:dyDescent="0.25"/>
    <row r="20146" ht="15" customHeight="1" x14ac:dyDescent="0.25"/>
    <row r="20147" ht="15" customHeight="1" x14ac:dyDescent="0.25"/>
    <row r="20148" ht="15" customHeight="1" x14ac:dyDescent="0.25"/>
    <row r="20149" ht="15" customHeight="1" x14ac:dyDescent="0.25"/>
    <row r="20150" ht="15" customHeight="1" x14ac:dyDescent="0.25"/>
    <row r="20151" ht="15" customHeight="1" x14ac:dyDescent="0.25"/>
    <row r="20152" ht="15" customHeight="1" x14ac:dyDescent="0.25"/>
    <row r="20153" ht="15" customHeight="1" x14ac:dyDescent="0.25"/>
    <row r="20154" ht="15" customHeight="1" x14ac:dyDescent="0.25"/>
    <row r="20155" ht="15" customHeight="1" x14ac:dyDescent="0.25"/>
    <row r="20156" ht="15" customHeight="1" x14ac:dyDescent="0.25"/>
    <row r="20157" ht="15" customHeight="1" x14ac:dyDescent="0.25"/>
    <row r="20158" ht="15" customHeight="1" x14ac:dyDescent="0.25"/>
    <row r="20159" ht="15" customHeight="1" x14ac:dyDescent="0.25"/>
    <row r="20160" ht="15" customHeight="1" x14ac:dyDescent="0.25"/>
    <row r="20161" ht="15" customHeight="1" x14ac:dyDescent="0.25"/>
    <row r="20162" ht="15" customHeight="1" x14ac:dyDescent="0.25"/>
    <row r="20163" ht="15" customHeight="1" x14ac:dyDescent="0.25"/>
    <row r="20164" ht="15" customHeight="1" x14ac:dyDescent="0.25"/>
    <row r="20165" ht="15" customHeight="1" x14ac:dyDescent="0.25"/>
    <row r="20166" ht="15" customHeight="1" x14ac:dyDescent="0.25"/>
    <row r="20167" ht="15" customHeight="1" x14ac:dyDescent="0.25"/>
    <row r="20168" ht="15" customHeight="1" x14ac:dyDescent="0.25"/>
    <row r="20169" ht="15" customHeight="1" x14ac:dyDescent="0.25"/>
    <row r="20170" ht="15" customHeight="1" x14ac:dyDescent="0.25"/>
    <row r="20171" ht="15" customHeight="1" x14ac:dyDescent="0.25"/>
    <row r="20172" ht="15" customHeight="1" x14ac:dyDescent="0.25"/>
    <row r="20173" ht="15" customHeight="1" x14ac:dyDescent="0.25"/>
    <row r="20174" ht="15" customHeight="1" x14ac:dyDescent="0.25"/>
    <row r="20175" ht="15" customHeight="1" x14ac:dyDescent="0.25"/>
    <row r="20176" ht="15" customHeight="1" x14ac:dyDescent="0.25"/>
    <row r="20177" ht="15" customHeight="1" x14ac:dyDescent="0.25"/>
    <row r="20178" ht="15" customHeight="1" x14ac:dyDescent="0.25"/>
    <row r="20179" ht="15" customHeight="1" x14ac:dyDescent="0.25"/>
    <row r="20180" ht="15" customHeight="1" x14ac:dyDescent="0.25"/>
    <row r="20181" ht="15" customHeight="1" x14ac:dyDescent="0.25"/>
    <row r="20182" ht="15" customHeight="1" x14ac:dyDescent="0.25"/>
    <row r="20183" ht="15" customHeight="1" x14ac:dyDescent="0.25"/>
    <row r="20184" ht="15" customHeight="1" x14ac:dyDescent="0.25"/>
    <row r="20185" ht="15" customHeight="1" x14ac:dyDescent="0.25"/>
    <row r="20186" ht="15" customHeight="1" x14ac:dyDescent="0.25"/>
    <row r="20187" ht="15" customHeight="1" x14ac:dyDescent="0.25"/>
    <row r="20188" ht="15" customHeight="1" x14ac:dyDescent="0.25"/>
    <row r="20189" ht="15" customHeight="1" x14ac:dyDescent="0.25"/>
    <row r="20190" ht="15" customHeight="1" x14ac:dyDescent="0.25"/>
    <row r="20191" ht="15" customHeight="1" x14ac:dyDescent="0.25"/>
    <row r="20192" ht="15" customHeight="1" x14ac:dyDescent="0.25"/>
    <row r="20193" ht="15" customHeight="1" x14ac:dyDescent="0.25"/>
    <row r="20194" ht="15" customHeight="1" x14ac:dyDescent="0.25"/>
    <row r="20195" ht="15" customHeight="1" x14ac:dyDescent="0.25"/>
    <row r="20196" ht="15" customHeight="1" x14ac:dyDescent="0.25"/>
    <row r="20197" ht="15" customHeight="1" x14ac:dyDescent="0.25"/>
    <row r="20198" ht="15" customHeight="1" x14ac:dyDescent="0.25"/>
    <row r="20199" ht="15" customHeight="1" x14ac:dyDescent="0.25"/>
    <row r="20200" ht="15" customHeight="1" x14ac:dyDescent="0.25"/>
    <row r="20201" ht="15" customHeight="1" x14ac:dyDescent="0.25"/>
    <row r="20202" ht="15" customHeight="1" x14ac:dyDescent="0.25"/>
    <row r="20203" ht="15" customHeight="1" x14ac:dyDescent="0.25"/>
    <row r="20204" ht="15" customHeight="1" x14ac:dyDescent="0.25"/>
    <row r="20205" ht="15" customHeight="1" x14ac:dyDescent="0.25"/>
    <row r="20206" ht="15" customHeight="1" x14ac:dyDescent="0.25"/>
    <row r="20207" ht="15" customHeight="1" x14ac:dyDescent="0.25"/>
    <row r="20208" ht="15" customHeight="1" x14ac:dyDescent="0.25"/>
    <row r="20209" ht="15" customHeight="1" x14ac:dyDescent="0.25"/>
    <row r="20210" ht="15" customHeight="1" x14ac:dyDescent="0.25"/>
    <row r="20211" ht="15" customHeight="1" x14ac:dyDescent="0.25"/>
    <row r="20212" ht="15" customHeight="1" x14ac:dyDescent="0.25"/>
    <row r="20213" ht="15" customHeight="1" x14ac:dyDescent="0.25"/>
    <row r="20214" ht="15" customHeight="1" x14ac:dyDescent="0.25"/>
    <row r="20215" ht="15" customHeight="1" x14ac:dyDescent="0.25"/>
    <row r="20216" ht="15" customHeight="1" x14ac:dyDescent="0.25"/>
    <row r="20217" ht="15" customHeight="1" x14ac:dyDescent="0.25"/>
    <row r="20218" ht="15" customHeight="1" x14ac:dyDescent="0.25"/>
    <row r="20219" ht="15" customHeight="1" x14ac:dyDescent="0.25"/>
    <row r="20220" ht="15" customHeight="1" x14ac:dyDescent="0.25"/>
    <row r="20221" ht="15" customHeight="1" x14ac:dyDescent="0.25"/>
    <row r="20222" ht="15" customHeight="1" x14ac:dyDescent="0.25"/>
    <row r="20223" ht="15" customHeight="1" x14ac:dyDescent="0.25"/>
    <row r="20224" ht="15" customHeight="1" x14ac:dyDescent="0.25"/>
    <row r="20225" ht="15" customHeight="1" x14ac:dyDescent="0.25"/>
    <row r="20226" ht="15" customHeight="1" x14ac:dyDescent="0.25"/>
    <row r="20227" ht="15" customHeight="1" x14ac:dyDescent="0.25"/>
    <row r="20228" ht="15" customHeight="1" x14ac:dyDescent="0.25"/>
    <row r="20229" ht="15" customHeight="1" x14ac:dyDescent="0.25"/>
    <row r="20230" ht="15" customHeight="1" x14ac:dyDescent="0.25"/>
    <row r="20231" ht="15" customHeight="1" x14ac:dyDescent="0.25"/>
    <row r="20232" ht="15" customHeight="1" x14ac:dyDescent="0.25"/>
    <row r="20233" ht="15" customHeight="1" x14ac:dyDescent="0.25"/>
    <row r="20234" ht="15" customHeight="1" x14ac:dyDescent="0.25"/>
    <row r="20235" ht="15" customHeight="1" x14ac:dyDescent="0.25"/>
    <row r="20236" ht="15" customHeight="1" x14ac:dyDescent="0.25"/>
    <row r="20237" ht="15" customHeight="1" x14ac:dyDescent="0.25"/>
    <row r="20238" ht="15" customHeight="1" x14ac:dyDescent="0.25"/>
    <row r="20239" ht="15" customHeight="1" x14ac:dyDescent="0.25"/>
    <row r="20240" ht="15" customHeight="1" x14ac:dyDescent="0.25"/>
    <row r="20241" ht="15" customHeight="1" x14ac:dyDescent="0.25"/>
    <row r="20242" ht="15" customHeight="1" x14ac:dyDescent="0.25"/>
    <row r="20243" ht="15" customHeight="1" x14ac:dyDescent="0.25"/>
    <row r="20244" ht="15" customHeight="1" x14ac:dyDescent="0.25"/>
    <row r="20245" ht="15" customHeight="1" x14ac:dyDescent="0.25"/>
    <row r="20246" ht="15" customHeight="1" x14ac:dyDescent="0.25"/>
    <row r="20247" ht="15" customHeight="1" x14ac:dyDescent="0.25"/>
    <row r="20248" ht="15" customHeight="1" x14ac:dyDescent="0.25"/>
    <row r="20249" ht="15" customHeight="1" x14ac:dyDescent="0.25"/>
    <row r="20250" ht="15" customHeight="1" x14ac:dyDescent="0.25"/>
    <row r="20251" ht="15" customHeight="1" x14ac:dyDescent="0.25"/>
    <row r="20252" ht="15" customHeight="1" x14ac:dyDescent="0.25"/>
    <row r="20253" ht="15" customHeight="1" x14ac:dyDescent="0.25"/>
    <row r="20254" ht="15" customHeight="1" x14ac:dyDescent="0.25"/>
    <row r="20255" ht="15" customHeight="1" x14ac:dyDescent="0.25"/>
    <row r="20256" ht="15" customHeight="1" x14ac:dyDescent="0.25"/>
    <row r="20257" ht="15" customHeight="1" x14ac:dyDescent="0.25"/>
    <row r="20258" ht="15" customHeight="1" x14ac:dyDescent="0.25"/>
    <row r="20259" ht="15" customHeight="1" x14ac:dyDescent="0.25"/>
    <row r="20260" ht="15" customHeight="1" x14ac:dyDescent="0.25"/>
    <row r="20261" ht="15" customHeight="1" x14ac:dyDescent="0.25"/>
    <row r="20262" ht="15" customHeight="1" x14ac:dyDescent="0.25"/>
    <row r="20263" ht="15" customHeight="1" x14ac:dyDescent="0.25"/>
    <row r="20264" ht="15" customHeight="1" x14ac:dyDescent="0.25"/>
    <row r="20265" ht="15" customHeight="1" x14ac:dyDescent="0.25"/>
    <row r="20266" ht="15" customHeight="1" x14ac:dyDescent="0.25"/>
    <row r="20267" ht="15" customHeight="1" x14ac:dyDescent="0.25"/>
    <row r="20268" ht="15" customHeight="1" x14ac:dyDescent="0.25"/>
    <row r="20269" ht="15" customHeight="1" x14ac:dyDescent="0.25"/>
    <row r="20270" ht="15" customHeight="1" x14ac:dyDescent="0.25"/>
    <row r="20271" ht="15" customHeight="1" x14ac:dyDescent="0.25"/>
    <row r="20272" ht="15" customHeight="1" x14ac:dyDescent="0.25"/>
    <row r="20273" ht="15" customHeight="1" x14ac:dyDescent="0.25"/>
    <row r="20274" ht="15" customHeight="1" x14ac:dyDescent="0.25"/>
    <row r="20275" ht="15" customHeight="1" x14ac:dyDescent="0.25"/>
    <row r="20276" ht="15" customHeight="1" x14ac:dyDescent="0.25"/>
    <row r="20277" ht="15" customHeight="1" x14ac:dyDescent="0.25"/>
    <row r="20278" ht="15" customHeight="1" x14ac:dyDescent="0.25"/>
    <row r="20279" ht="15" customHeight="1" x14ac:dyDescent="0.25"/>
    <row r="20280" ht="15" customHeight="1" x14ac:dyDescent="0.25"/>
    <row r="20281" ht="15" customHeight="1" x14ac:dyDescent="0.25"/>
    <row r="20282" ht="15" customHeight="1" x14ac:dyDescent="0.25"/>
    <row r="20283" ht="15" customHeight="1" x14ac:dyDescent="0.25"/>
    <row r="20284" ht="15" customHeight="1" x14ac:dyDescent="0.25"/>
    <row r="20285" ht="15" customHeight="1" x14ac:dyDescent="0.25"/>
    <row r="20286" ht="15" customHeight="1" x14ac:dyDescent="0.25"/>
    <row r="20287" ht="15" customHeight="1" x14ac:dyDescent="0.25"/>
    <row r="20288" ht="15" customHeight="1" x14ac:dyDescent="0.25"/>
    <row r="20289" ht="15" customHeight="1" x14ac:dyDescent="0.25"/>
    <row r="20290" ht="15" customHeight="1" x14ac:dyDescent="0.25"/>
    <row r="20291" ht="15" customHeight="1" x14ac:dyDescent="0.25"/>
    <row r="20292" ht="15" customHeight="1" x14ac:dyDescent="0.25"/>
    <row r="20293" ht="15" customHeight="1" x14ac:dyDescent="0.25"/>
    <row r="20294" ht="15" customHeight="1" x14ac:dyDescent="0.25"/>
    <row r="20295" ht="15" customHeight="1" x14ac:dyDescent="0.25"/>
    <row r="20296" ht="15" customHeight="1" x14ac:dyDescent="0.25"/>
    <row r="20297" ht="15" customHeight="1" x14ac:dyDescent="0.25"/>
    <row r="20298" ht="15" customHeight="1" x14ac:dyDescent="0.25"/>
    <row r="20299" ht="15" customHeight="1" x14ac:dyDescent="0.25"/>
    <row r="20300" ht="15" customHeight="1" x14ac:dyDescent="0.25"/>
    <row r="20301" ht="15" customHeight="1" x14ac:dyDescent="0.25"/>
    <row r="20302" ht="15" customHeight="1" x14ac:dyDescent="0.25"/>
    <row r="20303" ht="15" customHeight="1" x14ac:dyDescent="0.25"/>
    <row r="20304" ht="15" customHeight="1" x14ac:dyDescent="0.25"/>
    <row r="20305" ht="15" customHeight="1" x14ac:dyDescent="0.25"/>
    <row r="20306" ht="15" customHeight="1" x14ac:dyDescent="0.25"/>
    <row r="20307" ht="15" customHeight="1" x14ac:dyDescent="0.25"/>
    <row r="20308" ht="15" customHeight="1" x14ac:dyDescent="0.25"/>
    <row r="20309" ht="15" customHeight="1" x14ac:dyDescent="0.25"/>
    <row r="20310" ht="15" customHeight="1" x14ac:dyDescent="0.25"/>
    <row r="20311" ht="15" customHeight="1" x14ac:dyDescent="0.25"/>
    <row r="20312" ht="15" customHeight="1" x14ac:dyDescent="0.25"/>
    <row r="20313" ht="15" customHeight="1" x14ac:dyDescent="0.25"/>
    <row r="20314" ht="15" customHeight="1" x14ac:dyDescent="0.25"/>
    <row r="20315" ht="15" customHeight="1" x14ac:dyDescent="0.25"/>
    <row r="20316" ht="15" customHeight="1" x14ac:dyDescent="0.25"/>
    <row r="20317" ht="15" customHeight="1" x14ac:dyDescent="0.25"/>
    <row r="20318" ht="15" customHeight="1" x14ac:dyDescent="0.25"/>
    <row r="20319" ht="15" customHeight="1" x14ac:dyDescent="0.25"/>
    <row r="20320" ht="15" customHeight="1" x14ac:dyDescent="0.25"/>
    <row r="20321" ht="15" customHeight="1" x14ac:dyDescent="0.25"/>
    <row r="20322" ht="15" customHeight="1" x14ac:dyDescent="0.25"/>
    <row r="20323" ht="15" customHeight="1" x14ac:dyDescent="0.25"/>
    <row r="20324" ht="15" customHeight="1" x14ac:dyDescent="0.25"/>
    <row r="20325" ht="15" customHeight="1" x14ac:dyDescent="0.25"/>
    <row r="20326" ht="15" customHeight="1" x14ac:dyDescent="0.25"/>
    <row r="20327" ht="15" customHeight="1" x14ac:dyDescent="0.25"/>
    <row r="20328" ht="15" customHeight="1" x14ac:dyDescent="0.25"/>
    <row r="20329" ht="15" customHeight="1" x14ac:dyDescent="0.25"/>
    <row r="20330" ht="15" customHeight="1" x14ac:dyDescent="0.25"/>
    <row r="20331" ht="15" customHeight="1" x14ac:dyDescent="0.25"/>
    <row r="20332" ht="15" customHeight="1" x14ac:dyDescent="0.25"/>
    <row r="20333" ht="15" customHeight="1" x14ac:dyDescent="0.25"/>
    <row r="20334" ht="15" customHeight="1" x14ac:dyDescent="0.25"/>
    <row r="20335" ht="15" customHeight="1" x14ac:dyDescent="0.25"/>
    <row r="20336" ht="15" customHeight="1" x14ac:dyDescent="0.25"/>
    <row r="20337" ht="15" customHeight="1" x14ac:dyDescent="0.25"/>
    <row r="20338" ht="15" customHeight="1" x14ac:dyDescent="0.25"/>
    <row r="20339" ht="15" customHeight="1" x14ac:dyDescent="0.25"/>
    <row r="20340" ht="15" customHeight="1" x14ac:dyDescent="0.25"/>
    <row r="20341" ht="15" customHeight="1" x14ac:dyDescent="0.25"/>
    <row r="20342" ht="15" customHeight="1" x14ac:dyDescent="0.25"/>
    <row r="20343" ht="15" customHeight="1" x14ac:dyDescent="0.25"/>
    <row r="20344" ht="15" customHeight="1" x14ac:dyDescent="0.25"/>
    <row r="20345" ht="15" customHeight="1" x14ac:dyDescent="0.25"/>
    <row r="20346" ht="15" customHeight="1" x14ac:dyDescent="0.25"/>
    <row r="20347" ht="15" customHeight="1" x14ac:dyDescent="0.25"/>
    <row r="20348" ht="15" customHeight="1" x14ac:dyDescent="0.25"/>
    <row r="20349" ht="15" customHeight="1" x14ac:dyDescent="0.25"/>
    <row r="20350" ht="15" customHeight="1" x14ac:dyDescent="0.25"/>
    <row r="20351" ht="15" customHeight="1" x14ac:dyDescent="0.25"/>
    <row r="20352" ht="15" customHeight="1" x14ac:dyDescent="0.25"/>
    <row r="20353" ht="15" customHeight="1" x14ac:dyDescent="0.25"/>
    <row r="20354" ht="15" customHeight="1" x14ac:dyDescent="0.25"/>
    <row r="20355" ht="15" customHeight="1" x14ac:dyDescent="0.25"/>
    <row r="20356" ht="15" customHeight="1" x14ac:dyDescent="0.25"/>
    <row r="20357" ht="15" customHeight="1" x14ac:dyDescent="0.25"/>
    <row r="20358" ht="15" customHeight="1" x14ac:dyDescent="0.25"/>
    <row r="20359" ht="15" customHeight="1" x14ac:dyDescent="0.25"/>
    <row r="20360" ht="15" customHeight="1" x14ac:dyDescent="0.25"/>
    <row r="20361" ht="15" customHeight="1" x14ac:dyDescent="0.25"/>
    <row r="20362" ht="15" customHeight="1" x14ac:dyDescent="0.25"/>
    <row r="20363" ht="15" customHeight="1" x14ac:dyDescent="0.25"/>
    <row r="20364" ht="15" customHeight="1" x14ac:dyDescent="0.25"/>
    <row r="20365" ht="15" customHeight="1" x14ac:dyDescent="0.25"/>
    <row r="20366" ht="15" customHeight="1" x14ac:dyDescent="0.25"/>
    <row r="20367" ht="15" customHeight="1" x14ac:dyDescent="0.25"/>
    <row r="20368" ht="15" customHeight="1" x14ac:dyDescent="0.25"/>
    <row r="20369" ht="15" customHeight="1" x14ac:dyDescent="0.25"/>
    <row r="20370" ht="15" customHeight="1" x14ac:dyDescent="0.25"/>
    <row r="20371" ht="15" customHeight="1" x14ac:dyDescent="0.25"/>
    <row r="20372" ht="15" customHeight="1" x14ac:dyDescent="0.25"/>
    <row r="20373" ht="15" customHeight="1" x14ac:dyDescent="0.25"/>
    <row r="20374" ht="15" customHeight="1" x14ac:dyDescent="0.25"/>
    <row r="20375" ht="15" customHeight="1" x14ac:dyDescent="0.25"/>
    <row r="20376" ht="15" customHeight="1" x14ac:dyDescent="0.25"/>
    <row r="20377" ht="15" customHeight="1" x14ac:dyDescent="0.25"/>
    <row r="20378" ht="15" customHeight="1" x14ac:dyDescent="0.25"/>
    <row r="20379" ht="15" customHeight="1" x14ac:dyDescent="0.25"/>
    <row r="20380" ht="15" customHeight="1" x14ac:dyDescent="0.25"/>
    <row r="20381" ht="15" customHeight="1" x14ac:dyDescent="0.25"/>
    <row r="20382" ht="15" customHeight="1" x14ac:dyDescent="0.25"/>
    <row r="20383" ht="15" customHeight="1" x14ac:dyDescent="0.25"/>
    <row r="20384" ht="15" customHeight="1" x14ac:dyDescent="0.25"/>
    <row r="20385" ht="15" customHeight="1" x14ac:dyDescent="0.25"/>
    <row r="20386" ht="15" customHeight="1" x14ac:dyDescent="0.25"/>
    <row r="20387" ht="15" customHeight="1" x14ac:dyDescent="0.25"/>
    <row r="20388" ht="15" customHeight="1" x14ac:dyDescent="0.25"/>
    <row r="20389" ht="15" customHeight="1" x14ac:dyDescent="0.25"/>
    <row r="20390" ht="15" customHeight="1" x14ac:dyDescent="0.25"/>
    <row r="20391" ht="15" customHeight="1" x14ac:dyDescent="0.25"/>
    <row r="20392" ht="15" customHeight="1" x14ac:dyDescent="0.25"/>
    <row r="20393" ht="15" customHeight="1" x14ac:dyDescent="0.25"/>
    <row r="20394" ht="15" customHeight="1" x14ac:dyDescent="0.25"/>
    <row r="20395" ht="15" customHeight="1" x14ac:dyDescent="0.25"/>
    <row r="20396" ht="15" customHeight="1" x14ac:dyDescent="0.25"/>
    <row r="20397" ht="15" customHeight="1" x14ac:dyDescent="0.25"/>
    <row r="20398" ht="15" customHeight="1" x14ac:dyDescent="0.25"/>
    <row r="20399" ht="15" customHeight="1" x14ac:dyDescent="0.25"/>
    <row r="20400" ht="15" customHeight="1" x14ac:dyDescent="0.25"/>
    <row r="20401" ht="15" customHeight="1" x14ac:dyDescent="0.25"/>
    <row r="20402" ht="15" customHeight="1" x14ac:dyDescent="0.25"/>
    <row r="20403" ht="15" customHeight="1" x14ac:dyDescent="0.25"/>
    <row r="20404" ht="15" customHeight="1" x14ac:dyDescent="0.25"/>
    <row r="20405" ht="15" customHeight="1" x14ac:dyDescent="0.25"/>
    <row r="20406" ht="15" customHeight="1" x14ac:dyDescent="0.25"/>
    <row r="20407" ht="15" customHeight="1" x14ac:dyDescent="0.25"/>
    <row r="20408" ht="15" customHeight="1" x14ac:dyDescent="0.25"/>
    <row r="20409" ht="15" customHeight="1" x14ac:dyDescent="0.25"/>
    <row r="20410" ht="15" customHeight="1" x14ac:dyDescent="0.25"/>
    <row r="20411" ht="15" customHeight="1" x14ac:dyDescent="0.25"/>
    <row r="20412" ht="15" customHeight="1" x14ac:dyDescent="0.25"/>
    <row r="20413" ht="15" customHeight="1" x14ac:dyDescent="0.25"/>
    <row r="20414" ht="15" customHeight="1" x14ac:dyDescent="0.25"/>
    <row r="20415" ht="15" customHeight="1" x14ac:dyDescent="0.25"/>
    <row r="20416" ht="15" customHeight="1" x14ac:dyDescent="0.25"/>
    <row r="20417" ht="15" customHeight="1" x14ac:dyDescent="0.25"/>
    <row r="20418" ht="15" customHeight="1" x14ac:dyDescent="0.25"/>
    <row r="20419" ht="15" customHeight="1" x14ac:dyDescent="0.25"/>
    <row r="20420" ht="15" customHeight="1" x14ac:dyDescent="0.25"/>
    <row r="20421" ht="15" customHeight="1" x14ac:dyDescent="0.25"/>
    <row r="20422" ht="15" customHeight="1" x14ac:dyDescent="0.25"/>
    <row r="20423" ht="15" customHeight="1" x14ac:dyDescent="0.25"/>
    <row r="20424" ht="15" customHeight="1" x14ac:dyDescent="0.25"/>
    <row r="20425" ht="15" customHeight="1" x14ac:dyDescent="0.25"/>
    <row r="20426" ht="15" customHeight="1" x14ac:dyDescent="0.25"/>
    <row r="20427" ht="15" customHeight="1" x14ac:dyDescent="0.25"/>
    <row r="20428" ht="15" customHeight="1" x14ac:dyDescent="0.25"/>
    <row r="20429" ht="15" customHeight="1" x14ac:dyDescent="0.25"/>
    <row r="20430" ht="15" customHeight="1" x14ac:dyDescent="0.25"/>
    <row r="20431" ht="15" customHeight="1" x14ac:dyDescent="0.25"/>
    <row r="20432" ht="15" customHeight="1" x14ac:dyDescent="0.25"/>
    <row r="20433" ht="15" customHeight="1" x14ac:dyDescent="0.25"/>
    <row r="20434" ht="15" customHeight="1" x14ac:dyDescent="0.25"/>
    <row r="20435" ht="15" customHeight="1" x14ac:dyDescent="0.25"/>
    <row r="20436" ht="15" customHeight="1" x14ac:dyDescent="0.25"/>
    <row r="20437" ht="15" customHeight="1" x14ac:dyDescent="0.25"/>
    <row r="20438" ht="15" customHeight="1" x14ac:dyDescent="0.25"/>
    <row r="20439" ht="15" customHeight="1" x14ac:dyDescent="0.25"/>
    <row r="20440" ht="15" customHeight="1" x14ac:dyDescent="0.25"/>
    <row r="20441" ht="15" customHeight="1" x14ac:dyDescent="0.25"/>
    <row r="20442" ht="15" customHeight="1" x14ac:dyDescent="0.25"/>
    <row r="20443" ht="15" customHeight="1" x14ac:dyDescent="0.25"/>
    <row r="20444" ht="15" customHeight="1" x14ac:dyDescent="0.25"/>
    <row r="20445" ht="15" customHeight="1" x14ac:dyDescent="0.25"/>
    <row r="20446" ht="15" customHeight="1" x14ac:dyDescent="0.25"/>
    <row r="20447" ht="15" customHeight="1" x14ac:dyDescent="0.25"/>
    <row r="20448" ht="15" customHeight="1" x14ac:dyDescent="0.25"/>
    <row r="20449" ht="15" customHeight="1" x14ac:dyDescent="0.25"/>
    <row r="20450" ht="15" customHeight="1" x14ac:dyDescent="0.25"/>
    <row r="20451" ht="15" customHeight="1" x14ac:dyDescent="0.25"/>
    <row r="20452" ht="15" customHeight="1" x14ac:dyDescent="0.25"/>
    <row r="20453" ht="15" customHeight="1" x14ac:dyDescent="0.25"/>
    <row r="20454" ht="15" customHeight="1" x14ac:dyDescent="0.25"/>
    <row r="20455" ht="15" customHeight="1" x14ac:dyDescent="0.25"/>
    <row r="20456" ht="15" customHeight="1" x14ac:dyDescent="0.25"/>
    <row r="20457" ht="15" customHeight="1" x14ac:dyDescent="0.25"/>
    <row r="20458" ht="15" customHeight="1" x14ac:dyDescent="0.25"/>
    <row r="20459" ht="15" customHeight="1" x14ac:dyDescent="0.25"/>
    <row r="20460" ht="15" customHeight="1" x14ac:dyDescent="0.25"/>
    <row r="20461" ht="15" customHeight="1" x14ac:dyDescent="0.25"/>
    <row r="20462" ht="15" customHeight="1" x14ac:dyDescent="0.25"/>
    <row r="20463" ht="15" customHeight="1" x14ac:dyDescent="0.25"/>
    <row r="20464" ht="15" customHeight="1" x14ac:dyDescent="0.25"/>
    <row r="20465" ht="15" customHeight="1" x14ac:dyDescent="0.25"/>
    <row r="20466" ht="15" customHeight="1" x14ac:dyDescent="0.25"/>
    <row r="20467" ht="15" customHeight="1" x14ac:dyDescent="0.25"/>
    <row r="20468" ht="15" customHeight="1" x14ac:dyDescent="0.25"/>
    <row r="20469" ht="15" customHeight="1" x14ac:dyDescent="0.25"/>
    <row r="20470" ht="15" customHeight="1" x14ac:dyDescent="0.25"/>
    <row r="20471" ht="15" customHeight="1" x14ac:dyDescent="0.25"/>
    <row r="20472" ht="15" customHeight="1" x14ac:dyDescent="0.25"/>
    <row r="20473" ht="15" customHeight="1" x14ac:dyDescent="0.25"/>
    <row r="20474" ht="15" customHeight="1" x14ac:dyDescent="0.25"/>
    <row r="20475" ht="15" customHeight="1" x14ac:dyDescent="0.25"/>
    <row r="20476" ht="15" customHeight="1" x14ac:dyDescent="0.25"/>
    <row r="20477" ht="15" customHeight="1" x14ac:dyDescent="0.25"/>
    <row r="20478" ht="15" customHeight="1" x14ac:dyDescent="0.25"/>
    <row r="20479" ht="15" customHeight="1" x14ac:dyDescent="0.25"/>
    <row r="20480" ht="15" customHeight="1" x14ac:dyDescent="0.25"/>
    <row r="20481" ht="15" customHeight="1" x14ac:dyDescent="0.25"/>
    <row r="20482" ht="15" customHeight="1" x14ac:dyDescent="0.25"/>
    <row r="20483" ht="15" customHeight="1" x14ac:dyDescent="0.25"/>
    <row r="20484" ht="15" customHeight="1" x14ac:dyDescent="0.25"/>
    <row r="20485" ht="15" customHeight="1" x14ac:dyDescent="0.25"/>
    <row r="20486" ht="15" customHeight="1" x14ac:dyDescent="0.25"/>
    <row r="20487" ht="15" customHeight="1" x14ac:dyDescent="0.25"/>
    <row r="20488" ht="15" customHeight="1" x14ac:dyDescent="0.25"/>
    <row r="20489" ht="15" customHeight="1" x14ac:dyDescent="0.25"/>
    <row r="20490" ht="15" customHeight="1" x14ac:dyDescent="0.25"/>
    <row r="20491" ht="15" customHeight="1" x14ac:dyDescent="0.25"/>
    <row r="20492" ht="15" customHeight="1" x14ac:dyDescent="0.25"/>
    <row r="20493" ht="15" customHeight="1" x14ac:dyDescent="0.25"/>
    <row r="20494" ht="15" customHeight="1" x14ac:dyDescent="0.25"/>
    <row r="20495" ht="15" customHeight="1" x14ac:dyDescent="0.25"/>
    <row r="20496" ht="15" customHeight="1" x14ac:dyDescent="0.25"/>
    <row r="20497" ht="15" customHeight="1" x14ac:dyDescent="0.25"/>
    <row r="20498" ht="15" customHeight="1" x14ac:dyDescent="0.25"/>
    <row r="20499" ht="15" customHeight="1" x14ac:dyDescent="0.25"/>
    <row r="20500" ht="15" customHeight="1" x14ac:dyDescent="0.25"/>
    <row r="20501" ht="15" customHeight="1" x14ac:dyDescent="0.25"/>
    <row r="20502" ht="15" customHeight="1" x14ac:dyDescent="0.25"/>
    <row r="20503" ht="15" customHeight="1" x14ac:dyDescent="0.25"/>
    <row r="20504" ht="15" customHeight="1" x14ac:dyDescent="0.25"/>
    <row r="20505" ht="15" customHeight="1" x14ac:dyDescent="0.25"/>
    <row r="20506" ht="15" customHeight="1" x14ac:dyDescent="0.25"/>
    <row r="20507" ht="15" customHeight="1" x14ac:dyDescent="0.25"/>
    <row r="20508" ht="15" customHeight="1" x14ac:dyDescent="0.25"/>
    <row r="20509" ht="15" customHeight="1" x14ac:dyDescent="0.25"/>
    <row r="20510" ht="15" customHeight="1" x14ac:dyDescent="0.25"/>
    <row r="20511" ht="15" customHeight="1" x14ac:dyDescent="0.25"/>
    <row r="20512" ht="15" customHeight="1" x14ac:dyDescent="0.25"/>
    <row r="20513" ht="15" customHeight="1" x14ac:dyDescent="0.25"/>
    <row r="20514" ht="15" customHeight="1" x14ac:dyDescent="0.25"/>
    <row r="20515" ht="15" customHeight="1" x14ac:dyDescent="0.25"/>
    <row r="20516" ht="15" customHeight="1" x14ac:dyDescent="0.25"/>
    <row r="20517" ht="15" customHeight="1" x14ac:dyDescent="0.25"/>
    <row r="20518" ht="15" customHeight="1" x14ac:dyDescent="0.25"/>
    <row r="20519" ht="15" customHeight="1" x14ac:dyDescent="0.25"/>
    <row r="20520" ht="15" customHeight="1" x14ac:dyDescent="0.25"/>
    <row r="20521" ht="15" customHeight="1" x14ac:dyDescent="0.25"/>
    <row r="20522" ht="15" customHeight="1" x14ac:dyDescent="0.25"/>
    <row r="20523" ht="15" customHeight="1" x14ac:dyDescent="0.25"/>
    <row r="20524" ht="15" customHeight="1" x14ac:dyDescent="0.25"/>
    <row r="20525" ht="15" customHeight="1" x14ac:dyDescent="0.25"/>
    <row r="20526" ht="15" customHeight="1" x14ac:dyDescent="0.25"/>
    <row r="20527" ht="15" customHeight="1" x14ac:dyDescent="0.25"/>
    <row r="20528" ht="15" customHeight="1" x14ac:dyDescent="0.25"/>
    <row r="20529" ht="15" customHeight="1" x14ac:dyDescent="0.25"/>
    <row r="20530" ht="15" customHeight="1" x14ac:dyDescent="0.25"/>
    <row r="20531" ht="15" customHeight="1" x14ac:dyDescent="0.25"/>
    <row r="20532" ht="15" customHeight="1" x14ac:dyDescent="0.25"/>
    <row r="20533" ht="15" customHeight="1" x14ac:dyDescent="0.25"/>
    <row r="20534" ht="15" customHeight="1" x14ac:dyDescent="0.25"/>
    <row r="20535" ht="15" customHeight="1" x14ac:dyDescent="0.25"/>
    <row r="20536" ht="15" customHeight="1" x14ac:dyDescent="0.25"/>
    <row r="20537" ht="15" customHeight="1" x14ac:dyDescent="0.25"/>
    <row r="20538" ht="15" customHeight="1" x14ac:dyDescent="0.25"/>
    <row r="20539" ht="15" customHeight="1" x14ac:dyDescent="0.25"/>
    <row r="20540" ht="15" customHeight="1" x14ac:dyDescent="0.25"/>
    <row r="20541" ht="15" customHeight="1" x14ac:dyDescent="0.25"/>
    <row r="20542" ht="15" customHeight="1" x14ac:dyDescent="0.25"/>
    <row r="20543" ht="15" customHeight="1" x14ac:dyDescent="0.25"/>
    <row r="20544" ht="15" customHeight="1" x14ac:dyDescent="0.25"/>
    <row r="20545" ht="15" customHeight="1" x14ac:dyDescent="0.25"/>
    <row r="20546" ht="15" customHeight="1" x14ac:dyDescent="0.25"/>
    <row r="20547" ht="15" customHeight="1" x14ac:dyDescent="0.25"/>
    <row r="20548" ht="15" customHeight="1" x14ac:dyDescent="0.25"/>
    <row r="20549" ht="15" customHeight="1" x14ac:dyDescent="0.25"/>
    <row r="20550" ht="15" customHeight="1" x14ac:dyDescent="0.25"/>
    <row r="20551" ht="15" customHeight="1" x14ac:dyDescent="0.25"/>
    <row r="20552" ht="15" customHeight="1" x14ac:dyDescent="0.25"/>
    <row r="20553" ht="15" customHeight="1" x14ac:dyDescent="0.25"/>
    <row r="20554" ht="15" customHeight="1" x14ac:dyDescent="0.25"/>
    <row r="20555" ht="15" customHeight="1" x14ac:dyDescent="0.25"/>
    <row r="20556" ht="15" customHeight="1" x14ac:dyDescent="0.25"/>
    <row r="20557" ht="15" customHeight="1" x14ac:dyDescent="0.25"/>
    <row r="20558" ht="15" customHeight="1" x14ac:dyDescent="0.25"/>
    <row r="20559" ht="15" customHeight="1" x14ac:dyDescent="0.25"/>
    <row r="20560" ht="15" customHeight="1" x14ac:dyDescent="0.25"/>
    <row r="20561" ht="15" customHeight="1" x14ac:dyDescent="0.25"/>
    <row r="20562" ht="15" customHeight="1" x14ac:dyDescent="0.25"/>
    <row r="20563" ht="15" customHeight="1" x14ac:dyDescent="0.25"/>
    <row r="20564" ht="15" customHeight="1" x14ac:dyDescent="0.25"/>
    <row r="20565" ht="15" customHeight="1" x14ac:dyDescent="0.25"/>
    <row r="20566" ht="15" customHeight="1" x14ac:dyDescent="0.25"/>
    <row r="20567" ht="15" customHeight="1" x14ac:dyDescent="0.25"/>
    <row r="20568" ht="15" customHeight="1" x14ac:dyDescent="0.25"/>
    <row r="20569" ht="15" customHeight="1" x14ac:dyDescent="0.25"/>
    <row r="20570" ht="15" customHeight="1" x14ac:dyDescent="0.25"/>
    <row r="20571" ht="15" customHeight="1" x14ac:dyDescent="0.25"/>
    <row r="20572" ht="15" customHeight="1" x14ac:dyDescent="0.25"/>
    <row r="20573" ht="15" customHeight="1" x14ac:dyDescent="0.25"/>
    <row r="20574" ht="15" customHeight="1" x14ac:dyDescent="0.25"/>
    <row r="20575" ht="15" customHeight="1" x14ac:dyDescent="0.25"/>
    <row r="20576" ht="15" customHeight="1" x14ac:dyDescent="0.25"/>
    <row r="20577" ht="15" customHeight="1" x14ac:dyDescent="0.25"/>
    <row r="20578" ht="15" customHeight="1" x14ac:dyDescent="0.25"/>
    <row r="20579" ht="15" customHeight="1" x14ac:dyDescent="0.25"/>
    <row r="20580" ht="15" customHeight="1" x14ac:dyDescent="0.25"/>
    <row r="20581" ht="15" customHeight="1" x14ac:dyDescent="0.25"/>
    <row r="20582" ht="15" customHeight="1" x14ac:dyDescent="0.25"/>
    <row r="20583" ht="15" customHeight="1" x14ac:dyDescent="0.25"/>
    <row r="20584" ht="15" customHeight="1" x14ac:dyDescent="0.25"/>
    <row r="20585" ht="15" customHeight="1" x14ac:dyDescent="0.25"/>
    <row r="20586" ht="15" customHeight="1" x14ac:dyDescent="0.25"/>
    <row r="20587" ht="15" customHeight="1" x14ac:dyDescent="0.25"/>
    <row r="20588" ht="15" customHeight="1" x14ac:dyDescent="0.25"/>
    <row r="20589" ht="15" customHeight="1" x14ac:dyDescent="0.25"/>
    <row r="20590" ht="15" customHeight="1" x14ac:dyDescent="0.25"/>
    <row r="20591" ht="15" customHeight="1" x14ac:dyDescent="0.25"/>
    <row r="20592" ht="15" customHeight="1" x14ac:dyDescent="0.25"/>
    <row r="20593" ht="15" customHeight="1" x14ac:dyDescent="0.25"/>
    <row r="20594" ht="15" customHeight="1" x14ac:dyDescent="0.25"/>
    <row r="20595" ht="15" customHeight="1" x14ac:dyDescent="0.25"/>
    <row r="20596" ht="15" customHeight="1" x14ac:dyDescent="0.25"/>
    <row r="20597" ht="15" customHeight="1" x14ac:dyDescent="0.25"/>
    <row r="20598" ht="15" customHeight="1" x14ac:dyDescent="0.25"/>
    <row r="20599" ht="15" customHeight="1" x14ac:dyDescent="0.25"/>
    <row r="20600" ht="15" customHeight="1" x14ac:dyDescent="0.25"/>
    <row r="20601" ht="15" customHeight="1" x14ac:dyDescent="0.25"/>
    <row r="20602" ht="15" customHeight="1" x14ac:dyDescent="0.25"/>
    <row r="20603" ht="15" customHeight="1" x14ac:dyDescent="0.25"/>
    <row r="20604" ht="15" customHeight="1" x14ac:dyDescent="0.25"/>
    <row r="20605" ht="15" customHeight="1" x14ac:dyDescent="0.25"/>
    <row r="20606" ht="15" customHeight="1" x14ac:dyDescent="0.25"/>
    <row r="20607" ht="15" customHeight="1" x14ac:dyDescent="0.25"/>
    <row r="20608" ht="15" customHeight="1" x14ac:dyDescent="0.25"/>
    <row r="20609" ht="15" customHeight="1" x14ac:dyDescent="0.25"/>
    <row r="20610" ht="15" customHeight="1" x14ac:dyDescent="0.25"/>
    <row r="20611" ht="15" customHeight="1" x14ac:dyDescent="0.25"/>
    <row r="20612" ht="15" customHeight="1" x14ac:dyDescent="0.25"/>
    <row r="20613" ht="15" customHeight="1" x14ac:dyDescent="0.25"/>
    <row r="20614" ht="15" customHeight="1" x14ac:dyDescent="0.25"/>
    <row r="20615" ht="15" customHeight="1" x14ac:dyDescent="0.25"/>
    <row r="20616" ht="15" customHeight="1" x14ac:dyDescent="0.25"/>
    <row r="20617" ht="15" customHeight="1" x14ac:dyDescent="0.25"/>
    <row r="20618" ht="15" customHeight="1" x14ac:dyDescent="0.25"/>
    <row r="20619" ht="15" customHeight="1" x14ac:dyDescent="0.25"/>
    <row r="20620" ht="15" customHeight="1" x14ac:dyDescent="0.25"/>
    <row r="20621" ht="15" customHeight="1" x14ac:dyDescent="0.25"/>
    <row r="20622" ht="15" customHeight="1" x14ac:dyDescent="0.25"/>
    <row r="20623" ht="15" customHeight="1" x14ac:dyDescent="0.25"/>
    <row r="20624" ht="15" customHeight="1" x14ac:dyDescent="0.25"/>
    <row r="20625" ht="15" customHeight="1" x14ac:dyDescent="0.25"/>
    <row r="20626" ht="15" customHeight="1" x14ac:dyDescent="0.25"/>
    <row r="20627" ht="15" customHeight="1" x14ac:dyDescent="0.25"/>
    <row r="20628" ht="15" customHeight="1" x14ac:dyDescent="0.25"/>
    <row r="20629" ht="15" customHeight="1" x14ac:dyDescent="0.25"/>
    <row r="20630" ht="15" customHeight="1" x14ac:dyDescent="0.25"/>
    <row r="20631" ht="15" customHeight="1" x14ac:dyDescent="0.25"/>
    <row r="20632" ht="15" customHeight="1" x14ac:dyDescent="0.25"/>
    <row r="20633" ht="15" customHeight="1" x14ac:dyDescent="0.25"/>
    <row r="20634" ht="15" customHeight="1" x14ac:dyDescent="0.25"/>
    <row r="20635" ht="15" customHeight="1" x14ac:dyDescent="0.25"/>
    <row r="20636" ht="15" customHeight="1" x14ac:dyDescent="0.25"/>
    <row r="20637" ht="15" customHeight="1" x14ac:dyDescent="0.25"/>
    <row r="20638" ht="15" customHeight="1" x14ac:dyDescent="0.25"/>
    <row r="20639" ht="15" customHeight="1" x14ac:dyDescent="0.25"/>
    <row r="20640" ht="15" customHeight="1" x14ac:dyDescent="0.25"/>
    <row r="20641" ht="15" customHeight="1" x14ac:dyDescent="0.25"/>
    <row r="20642" ht="15" customHeight="1" x14ac:dyDescent="0.25"/>
    <row r="20643" ht="15" customHeight="1" x14ac:dyDescent="0.25"/>
    <row r="20644" ht="15" customHeight="1" x14ac:dyDescent="0.25"/>
    <row r="20645" ht="15" customHeight="1" x14ac:dyDescent="0.25"/>
    <row r="20646" ht="15" customHeight="1" x14ac:dyDescent="0.25"/>
    <row r="20647" ht="15" customHeight="1" x14ac:dyDescent="0.25"/>
    <row r="20648" ht="15" customHeight="1" x14ac:dyDescent="0.25"/>
    <row r="20649" ht="15" customHeight="1" x14ac:dyDescent="0.25"/>
    <row r="20650" ht="15" customHeight="1" x14ac:dyDescent="0.25"/>
    <row r="20651" ht="15" customHeight="1" x14ac:dyDescent="0.25"/>
    <row r="20652" ht="15" customHeight="1" x14ac:dyDescent="0.25"/>
    <row r="20653" ht="15" customHeight="1" x14ac:dyDescent="0.25"/>
    <row r="20654" ht="15" customHeight="1" x14ac:dyDescent="0.25"/>
    <row r="20655" ht="15" customHeight="1" x14ac:dyDescent="0.25"/>
    <row r="20656" ht="15" customHeight="1" x14ac:dyDescent="0.25"/>
    <row r="20657" ht="15" customHeight="1" x14ac:dyDescent="0.25"/>
    <row r="20658" ht="15" customHeight="1" x14ac:dyDescent="0.25"/>
    <row r="20659" ht="15" customHeight="1" x14ac:dyDescent="0.25"/>
    <row r="20660" ht="15" customHeight="1" x14ac:dyDescent="0.25"/>
    <row r="20661" ht="15" customHeight="1" x14ac:dyDescent="0.25"/>
    <row r="20662" ht="15" customHeight="1" x14ac:dyDescent="0.25"/>
    <row r="20663" ht="15" customHeight="1" x14ac:dyDescent="0.25"/>
    <row r="20664" ht="15" customHeight="1" x14ac:dyDescent="0.25"/>
    <row r="20665" ht="15" customHeight="1" x14ac:dyDescent="0.25"/>
    <row r="20666" ht="15" customHeight="1" x14ac:dyDescent="0.25"/>
    <row r="20667" ht="15" customHeight="1" x14ac:dyDescent="0.25"/>
    <row r="20668" ht="15" customHeight="1" x14ac:dyDescent="0.25"/>
    <row r="20669" ht="15" customHeight="1" x14ac:dyDescent="0.25"/>
    <row r="20670" ht="15" customHeight="1" x14ac:dyDescent="0.25"/>
    <row r="20671" ht="15" customHeight="1" x14ac:dyDescent="0.25"/>
    <row r="20672" ht="15" customHeight="1" x14ac:dyDescent="0.25"/>
    <row r="20673" ht="15" customHeight="1" x14ac:dyDescent="0.25"/>
    <row r="20674" ht="15" customHeight="1" x14ac:dyDescent="0.25"/>
    <row r="20675" ht="15" customHeight="1" x14ac:dyDescent="0.25"/>
    <row r="20676" ht="15" customHeight="1" x14ac:dyDescent="0.25"/>
    <row r="20677" ht="15" customHeight="1" x14ac:dyDescent="0.25"/>
    <row r="20678" ht="15" customHeight="1" x14ac:dyDescent="0.25"/>
    <row r="20679" ht="15" customHeight="1" x14ac:dyDescent="0.25"/>
    <row r="20680" ht="15" customHeight="1" x14ac:dyDescent="0.25"/>
    <row r="20681" ht="15" customHeight="1" x14ac:dyDescent="0.25"/>
    <row r="20682" ht="15" customHeight="1" x14ac:dyDescent="0.25"/>
    <row r="20683" ht="15" customHeight="1" x14ac:dyDescent="0.25"/>
    <row r="20684" ht="15" customHeight="1" x14ac:dyDescent="0.25"/>
    <row r="20685" ht="15" customHeight="1" x14ac:dyDescent="0.25"/>
    <row r="20686" ht="15" customHeight="1" x14ac:dyDescent="0.25"/>
    <row r="20687" ht="15" customHeight="1" x14ac:dyDescent="0.25"/>
    <row r="20688" ht="15" customHeight="1" x14ac:dyDescent="0.25"/>
    <row r="20689" ht="15" customHeight="1" x14ac:dyDescent="0.25"/>
    <row r="20690" ht="15" customHeight="1" x14ac:dyDescent="0.25"/>
    <row r="20691" ht="15" customHeight="1" x14ac:dyDescent="0.25"/>
    <row r="20692" ht="15" customHeight="1" x14ac:dyDescent="0.25"/>
    <row r="20693" ht="15" customHeight="1" x14ac:dyDescent="0.25"/>
    <row r="20694" ht="15" customHeight="1" x14ac:dyDescent="0.25"/>
    <row r="20695" ht="15" customHeight="1" x14ac:dyDescent="0.25"/>
    <row r="20696" ht="15" customHeight="1" x14ac:dyDescent="0.25"/>
    <row r="20697" ht="15" customHeight="1" x14ac:dyDescent="0.25"/>
    <row r="20698" ht="15" customHeight="1" x14ac:dyDescent="0.25"/>
    <row r="20699" ht="15" customHeight="1" x14ac:dyDescent="0.25"/>
    <row r="20700" ht="15" customHeight="1" x14ac:dyDescent="0.25"/>
    <row r="20701" ht="15" customHeight="1" x14ac:dyDescent="0.25"/>
    <row r="20702" ht="15" customHeight="1" x14ac:dyDescent="0.25"/>
    <row r="20703" ht="15" customHeight="1" x14ac:dyDescent="0.25"/>
    <row r="20704" ht="15" customHeight="1" x14ac:dyDescent="0.25"/>
    <row r="20705" ht="15" customHeight="1" x14ac:dyDescent="0.25"/>
    <row r="20706" ht="15" customHeight="1" x14ac:dyDescent="0.25"/>
    <row r="20707" ht="15" customHeight="1" x14ac:dyDescent="0.25"/>
    <row r="20708" ht="15" customHeight="1" x14ac:dyDescent="0.25"/>
    <row r="20709" ht="15" customHeight="1" x14ac:dyDescent="0.25"/>
    <row r="20710" ht="15" customHeight="1" x14ac:dyDescent="0.25"/>
    <row r="20711" ht="15" customHeight="1" x14ac:dyDescent="0.25"/>
    <row r="20712" ht="15" customHeight="1" x14ac:dyDescent="0.25"/>
    <row r="20713" ht="15" customHeight="1" x14ac:dyDescent="0.25"/>
    <row r="20714" ht="15" customHeight="1" x14ac:dyDescent="0.25"/>
    <row r="20715" ht="15" customHeight="1" x14ac:dyDescent="0.25"/>
    <row r="20716" ht="15" customHeight="1" x14ac:dyDescent="0.25"/>
    <row r="20717" ht="15" customHeight="1" x14ac:dyDescent="0.25"/>
    <row r="20718" ht="15" customHeight="1" x14ac:dyDescent="0.25"/>
    <row r="20719" ht="15" customHeight="1" x14ac:dyDescent="0.25"/>
    <row r="20720" ht="15" customHeight="1" x14ac:dyDescent="0.25"/>
    <row r="20721" ht="15" customHeight="1" x14ac:dyDescent="0.25"/>
    <row r="20722" ht="15" customHeight="1" x14ac:dyDescent="0.25"/>
    <row r="20723" ht="15" customHeight="1" x14ac:dyDescent="0.25"/>
    <row r="20724" ht="15" customHeight="1" x14ac:dyDescent="0.25"/>
    <row r="20725" ht="15" customHeight="1" x14ac:dyDescent="0.25"/>
    <row r="20726" ht="15" customHeight="1" x14ac:dyDescent="0.25"/>
    <row r="20727" ht="15" customHeight="1" x14ac:dyDescent="0.25"/>
    <row r="20728" ht="15" customHeight="1" x14ac:dyDescent="0.25"/>
    <row r="20729" ht="15" customHeight="1" x14ac:dyDescent="0.25"/>
    <row r="20730" ht="15" customHeight="1" x14ac:dyDescent="0.25"/>
    <row r="20731" ht="15" customHeight="1" x14ac:dyDescent="0.25"/>
    <row r="20732" ht="15" customHeight="1" x14ac:dyDescent="0.25"/>
    <row r="20733" ht="15" customHeight="1" x14ac:dyDescent="0.25"/>
    <row r="20734" ht="15" customHeight="1" x14ac:dyDescent="0.25"/>
    <row r="20735" ht="15" customHeight="1" x14ac:dyDescent="0.25"/>
    <row r="20736" ht="15" customHeight="1" x14ac:dyDescent="0.25"/>
    <row r="20737" ht="15" customHeight="1" x14ac:dyDescent="0.25"/>
    <row r="20738" ht="15" customHeight="1" x14ac:dyDescent="0.25"/>
    <row r="20739" ht="15" customHeight="1" x14ac:dyDescent="0.25"/>
    <row r="20740" ht="15" customHeight="1" x14ac:dyDescent="0.25"/>
    <row r="20741" ht="15" customHeight="1" x14ac:dyDescent="0.25"/>
    <row r="20742" ht="15" customHeight="1" x14ac:dyDescent="0.25"/>
    <row r="20743" ht="15" customHeight="1" x14ac:dyDescent="0.25"/>
    <row r="20744" ht="15" customHeight="1" x14ac:dyDescent="0.25"/>
    <row r="20745" ht="15" customHeight="1" x14ac:dyDescent="0.25"/>
    <row r="20746" ht="15" customHeight="1" x14ac:dyDescent="0.25"/>
    <row r="20747" ht="15" customHeight="1" x14ac:dyDescent="0.25"/>
    <row r="20748" ht="15" customHeight="1" x14ac:dyDescent="0.25"/>
    <row r="20749" ht="15" customHeight="1" x14ac:dyDescent="0.25"/>
    <row r="20750" ht="15" customHeight="1" x14ac:dyDescent="0.25"/>
    <row r="20751" ht="15" customHeight="1" x14ac:dyDescent="0.25"/>
    <row r="20752" ht="15" customHeight="1" x14ac:dyDescent="0.25"/>
    <row r="20753" ht="15" customHeight="1" x14ac:dyDescent="0.25"/>
    <row r="20754" ht="15" customHeight="1" x14ac:dyDescent="0.25"/>
    <row r="20755" ht="15" customHeight="1" x14ac:dyDescent="0.25"/>
    <row r="20756" ht="15" customHeight="1" x14ac:dyDescent="0.25"/>
    <row r="20757" ht="15" customHeight="1" x14ac:dyDescent="0.25"/>
    <row r="20758" ht="15" customHeight="1" x14ac:dyDescent="0.25"/>
    <row r="20759" ht="15" customHeight="1" x14ac:dyDescent="0.25"/>
    <row r="20760" ht="15" customHeight="1" x14ac:dyDescent="0.25"/>
    <row r="20761" ht="15" customHeight="1" x14ac:dyDescent="0.25"/>
    <row r="20762" ht="15" customHeight="1" x14ac:dyDescent="0.25"/>
    <row r="20763" ht="15" customHeight="1" x14ac:dyDescent="0.25"/>
    <row r="20764" ht="15" customHeight="1" x14ac:dyDescent="0.25"/>
    <row r="20765" ht="15" customHeight="1" x14ac:dyDescent="0.25"/>
    <row r="20766" ht="15" customHeight="1" x14ac:dyDescent="0.25"/>
    <row r="20767" ht="15" customHeight="1" x14ac:dyDescent="0.25"/>
    <row r="20768" ht="15" customHeight="1" x14ac:dyDescent="0.25"/>
    <row r="20769" ht="15" customHeight="1" x14ac:dyDescent="0.25"/>
    <row r="20770" ht="15" customHeight="1" x14ac:dyDescent="0.25"/>
    <row r="20771" ht="15" customHeight="1" x14ac:dyDescent="0.25"/>
    <row r="20772" ht="15" customHeight="1" x14ac:dyDescent="0.25"/>
    <row r="20773" ht="15" customHeight="1" x14ac:dyDescent="0.25"/>
    <row r="20774" ht="15" customHeight="1" x14ac:dyDescent="0.25"/>
    <row r="20775" ht="15" customHeight="1" x14ac:dyDescent="0.25"/>
    <row r="20776" ht="15" customHeight="1" x14ac:dyDescent="0.25"/>
    <row r="20777" ht="15" customHeight="1" x14ac:dyDescent="0.25"/>
    <row r="20778" ht="15" customHeight="1" x14ac:dyDescent="0.25"/>
    <row r="20779" ht="15" customHeight="1" x14ac:dyDescent="0.25"/>
    <row r="20780" ht="15" customHeight="1" x14ac:dyDescent="0.25"/>
    <row r="20781" ht="15" customHeight="1" x14ac:dyDescent="0.25"/>
    <row r="20782" ht="15" customHeight="1" x14ac:dyDescent="0.25"/>
    <row r="20783" ht="15" customHeight="1" x14ac:dyDescent="0.25"/>
    <row r="20784" ht="15" customHeight="1" x14ac:dyDescent="0.25"/>
    <row r="20785" ht="15" customHeight="1" x14ac:dyDescent="0.25"/>
    <row r="20786" ht="15" customHeight="1" x14ac:dyDescent="0.25"/>
    <row r="20787" ht="15" customHeight="1" x14ac:dyDescent="0.25"/>
    <row r="20788" ht="15" customHeight="1" x14ac:dyDescent="0.25"/>
    <row r="20789" ht="15" customHeight="1" x14ac:dyDescent="0.25"/>
    <row r="20790" ht="15" customHeight="1" x14ac:dyDescent="0.25"/>
    <row r="20791" ht="15" customHeight="1" x14ac:dyDescent="0.25"/>
    <row r="20792" ht="15" customHeight="1" x14ac:dyDescent="0.25"/>
    <row r="20793" ht="15" customHeight="1" x14ac:dyDescent="0.25"/>
    <row r="20794" ht="15" customHeight="1" x14ac:dyDescent="0.25"/>
    <row r="20795" ht="15" customHeight="1" x14ac:dyDescent="0.25"/>
    <row r="20796" ht="15" customHeight="1" x14ac:dyDescent="0.25"/>
    <row r="20797" ht="15" customHeight="1" x14ac:dyDescent="0.25"/>
    <row r="20798" ht="15" customHeight="1" x14ac:dyDescent="0.25"/>
    <row r="20799" ht="15" customHeight="1" x14ac:dyDescent="0.25"/>
    <row r="20800" ht="15" customHeight="1" x14ac:dyDescent="0.25"/>
    <row r="20801" ht="15" customHeight="1" x14ac:dyDescent="0.25"/>
    <row r="20802" ht="15" customHeight="1" x14ac:dyDescent="0.25"/>
    <row r="20803" ht="15" customHeight="1" x14ac:dyDescent="0.25"/>
    <row r="20804" ht="15" customHeight="1" x14ac:dyDescent="0.25"/>
    <row r="20805" ht="15" customHeight="1" x14ac:dyDescent="0.25"/>
    <row r="20806" ht="15" customHeight="1" x14ac:dyDescent="0.25"/>
    <row r="20807" ht="15" customHeight="1" x14ac:dyDescent="0.25"/>
    <row r="20808" ht="15" customHeight="1" x14ac:dyDescent="0.25"/>
    <row r="20809" ht="15" customHeight="1" x14ac:dyDescent="0.25"/>
    <row r="20810" ht="15" customHeight="1" x14ac:dyDescent="0.25"/>
    <row r="20811" ht="15" customHeight="1" x14ac:dyDescent="0.25"/>
    <row r="20812" ht="15" customHeight="1" x14ac:dyDescent="0.25"/>
    <row r="20813" ht="15" customHeight="1" x14ac:dyDescent="0.25"/>
    <row r="20814" ht="15" customHeight="1" x14ac:dyDescent="0.25"/>
    <row r="20815" ht="15" customHeight="1" x14ac:dyDescent="0.25"/>
    <row r="20816" ht="15" customHeight="1" x14ac:dyDescent="0.25"/>
    <row r="20817" ht="15" customHeight="1" x14ac:dyDescent="0.25"/>
    <row r="20818" ht="15" customHeight="1" x14ac:dyDescent="0.25"/>
    <row r="20819" ht="15" customHeight="1" x14ac:dyDescent="0.25"/>
    <row r="20820" ht="15" customHeight="1" x14ac:dyDescent="0.25"/>
    <row r="20821" ht="15" customHeight="1" x14ac:dyDescent="0.25"/>
    <row r="20822" ht="15" customHeight="1" x14ac:dyDescent="0.25"/>
    <row r="20823" ht="15" customHeight="1" x14ac:dyDescent="0.25"/>
    <row r="20824" ht="15" customHeight="1" x14ac:dyDescent="0.25"/>
    <row r="20825" ht="15" customHeight="1" x14ac:dyDescent="0.25"/>
    <row r="20826" ht="15" customHeight="1" x14ac:dyDescent="0.25"/>
    <row r="20827" ht="15" customHeight="1" x14ac:dyDescent="0.25"/>
    <row r="20828" ht="15" customHeight="1" x14ac:dyDescent="0.25"/>
    <row r="20829" ht="15" customHeight="1" x14ac:dyDescent="0.25"/>
    <row r="20830" ht="15" customHeight="1" x14ac:dyDescent="0.25"/>
    <row r="20831" ht="15" customHeight="1" x14ac:dyDescent="0.25"/>
    <row r="20832" ht="15" customHeight="1" x14ac:dyDescent="0.25"/>
    <row r="20833" ht="15" customHeight="1" x14ac:dyDescent="0.25"/>
    <row r="20834" ht="15" customHeight="1" x14ac:dyDescent="0.25"/>
    <row r="20835" ht="15" customHeight="1" x14ac:dyDescent="0.25"/>
    <row r="20836" ht="15" customHeight="1" x14ac:dyDescent="0.25"/>
    <row r="20837" ht="15" customHeight="1" x14ac:dyDescent="0.25"/>
    <row r="20838" ht="15" customHeight="1" x14ac:dyDescent="0.25"/>
    <row r="20839" ht="15" customHeight="1" x14ac:dyDescent="0.25"/>
    <row r="20840" ht="15" customHeight="1" x14ac:dyDescent="0.25"/>
    <row r="20841" ht="15" customHeight="1" x14ac:dyDescent="0.25"/>
    <row r="20842" ht="15" customHeight="1" x14ac:dyDescent="0.25"/>
    <row r="20843" ht="15" customHeight="1" x14ac:dyDescent="0.25"/>
    <row r="20844" ht="15" customHeight="1" x14ac:dyDescent="0.25"/>
    <row r="20845" ht="15" customHeight="1" x14ac:dyDescent="0.25"/>
    <row r="20846" ht="15" customHeight="1" x14ac:dyDescent="0.25"/>
    <row r="20847" ht="15" customHeight="1" x14ac:dyDescent="0.25"/>
    <row r="20848" ht="15" customHeight="1" x14ac:dyDescent="0.25"/>
    <row r="20849" ht="15" customHeight="1" x14ac:dyDescent="0.25"/>
    <row r="20850" ht="15" customHeight="1" x14ac:dyDescent="0.25"/>
    <row r="20851" ht="15" customHeight="1" x14ac:dyDescent="0.25"/>
    <row r="20852" ht="15" customHeight="1" x14ac:dyDescent="0.25"/>
    <row r="20853" ht="15" customHeight="1" x14ac:dyDescent="0.25"/>
    <row r="20854" ht="15" customHeight="1" x14ac:dyDescent="0.25"/>
    <row r="20855" ht="15" customHeight="1" x14ac:dyDescent="0.25"/>
    <row r="20856" ht="15" customHeight="1" x14ac:dyDescent="0.25"/>
    <row r="20857" ht="15" customHeight="1" x14ac:dyDescent="0.25"/>
    <row r="20858" ht="15" customHeight="1" x14ac:dyDescent="0.25"/>
    <row r="20859" ht="15" customHeight="1" x14ac:dyDescent="0.25"/>
    <row r="20860" ht="15" customHeight="1" x14ac:dyDescent="0.25"/>
    <row r="20861" ht="15" customHeight="1" x14ac:dyDescent="0.25"/>
    <row r="20862" ht="15" customHeight="1" x14ac:dyDescent="0.25"/>
    <row r="20863" ht="15" customHeight="1" x14ac:dyDescent="0.25"/>
    <row r="20864" ht="15" customHeight="1" x14ac:dyDescent="0.25"/>
    <row r="20865" ht="15" customHeight="1" x14ac:dyDescent="0.25"/>
    <row r="20866" ht="15" customHeight="1" x14ac:dyDescent="0.25"/>
    <row r="20867" ht="15" customHeight="1" x14ac:dyDescent="0.25"/>
    <row r="20868" ht="15" customHeight="1" x14ac:dyDescent="0.25"/>
    <row r="20869" ht="15" customHeight="1" x14ac:dyDescent="0.25"/>
    <row r="20870" ht="15" customHeight="1" x14ac:dyDescent="0.25"/>
    <row r="20871" ht="15" customHeight="1" x14ac:dyDescent="0.25"/>
    <row r="20872" ht="15" customHeight="1" x14ac:dyDescent="0.25"/>
    <row r="20873" ht="15" customHeight="1" x14ac:dyDescent="0.25"/>
    <row r="20874" ht="15" customHeight="1" x14ac:dyDescent="0.25"/>
    <row r="20875" ht="15" customHeight="1" x14ac:dyDescent="0.25"/>
    <row r="20876" ht="15" customHeight="1" x14ac:dyDescent="0.25"/>
    <row r="20877" ht="15" customHeight="1" x14ac:dyDescent="0.25"/>
    <row r="20878" ht="15" customHeight="1" x14ac:dyDescent="0.25"/>
    <row r="20879" ht="15" customHeight="1" x14ac:dyDescent="0.25"/>
    <row r="20880" ht="15" customHeight="1" x14ac:dyDescent="0.25"/>
    <row r="20881" ht="15" customHeight="1" x14ac:dyDescent="0.25"/>
    <row r="20882" ht="15" customHeight="1" x14ac:dyDescent="0.25"/>
    <row r="20883" ht="15" customHeight="1" x14ac:dyDescent="0.25"/>
    <row r="20884" ht="15" customHeight="1" x14ac:dyDescent="0.25"/>
    <row r="20885" ht="15" customHeight="1" x14ac:dyDescent="0.25"/>
    <row r="20886" ht="15" customHeight="1" x14ac:dyDescent="0.25"/>
    <row r="20887" ht="15" customHeight="1" x14ac:dyDescent="0.25"/>
    <row r="20888" ht="15" customHeight="1" x14ac:dyDescent="0.25"/>
    <row r="20889" ht="15" customHeight="1" x14ac:dyDescent="0.25"/>
    <row r="20890" ht="15" customHeight="1" x14ac:dyDescent="0.25"/>
    <row r="20891" ht="15" customHeight="1" x14ac:dyDescent="0.25"/>
    <row r="20892" ht="15" customHeight="1" x14ac:dyDescent="0.25"/>
    <row r="20893" ht="15" customHeight="1" x14ac:dyDescent="0.25"/>
    <row r="20894" ht="15" customHeight="1" x14ac:dyDescent="0.25"/>
    <row r="20895" ht="15" customHeight="1" x14ac:dyDescent="0.25"/>
    <row r="20896" ht="15" customHeight="1" x14ac:dyDescent="0.25"/>
    <row r="20897" ht="15" customHeight="1" x14ac:dyDescent="0.25"/>
    <row r="20898" ht="15" customHeight="1" x14ac:dyDescent="0.25"/>
    <row r="20899" ht="15" customHeight="1" x14ac:dyDescent="0.25"/>
    <row r="20900" ht="15" customHeight="1" x14ac:dyDescent="0.25"/>
    <row r="20901" ht="15" customHeight="1" x14ac:dyDescent="0.25"/>
    <row r="20902" ht="15" customHeight="1" x14ac:dyDescent="0.25"/>
    <row r="20903" ht="15" customHeight="1" x14ac:dyDescent="0.25"/>
    <row r="20904" ht="15" customHeight="1" x14ac:dyDescent="0.25"/>
    <row r="20905" ht="15" customHeight="1" x14ac:dyDescent="0.25"/>
    <row r="20906" ht="15" customHeight="1" x14ac:dyDescent="0.25"/>
    <row r="20907" ht="15" customHeight="1" x14ac:dyDescent="0.25"/>
    <row r="20908" ht="15" customHeight="1" x14ac:dyDescent="0.25"/>
    <row r="20909" ht="15" customHeight="1" x14ac:dyDescent="0.25"/>
    <row r="20910" ht="15" customHeight="1" x14ac:dyDescent="0.25"/>
    <row r="20911" ht="15" customHeight="1" x14ac:dyDescent="0.25"/>
    <row r="20912" ht="15" customHeight="1" x14ac:dyDescent="0.25"/>
    <row r="20913" ht="15" customHeight="1" x14ac:dyDescent="0.25"/>
    <row r="20914" ht="15" customHeight="1" x14ac:dyDescent="0.25"/>
    <row r="20915" ht="15" customHeight="1" x14ac:dyDescent="0.25"/>
    <row r="20916" ht="15" customHeight="1" x14ac:dyDescent="0.25"/>
    <row r="20917" ht="15" customHeight="1" x14ac:dyDescent="0.25"/>
    <row r="20918" ht="15" customHeight="1" x14ac:dyDescent="0.25"/>
    <row r="20919" ht="15" customHeight="1" x14ac:dyDescent="0.25"/>
    <row r="20920" ht="15" customHeight="1" x14ac:dyDescent="0.25"/>
    <row r="20921" ht="15" customHeight="1" x14ac:dyDescent="0.25"/>
    <row r="20922" ht="15" customHeight="1" x14ac:dyDescent="0.25"/>
    <row r="20923" ht="15" customHeight="1" x14ac:dyDescent="0.25"/>
    <row r="20924" ht="15" customHeight="1" x14ac:dyDescent="0.25"/>
    <row r="20925" ht="15" customHeight="1" x14ac:dyDescent="0.25"/>
    <row r="20926" ht="15" customHeight="1" x14ac:dyDescent="0.25"/>
    <row r="20927" ht="15" customHeight="1" x14ac:dyDescent="0.25"/>
    <row r="20928" ht="15" customHeight="1" x14ac:dyDescent="0.25"/>
    <row r="20929" ht="15" customHeight="1" x14ac:dyDescent="0.25"/>
    <row r="20930" ht="15" customHeight="1" x14ac:dyDescent="0.25"/>
    <row r="20931" ht="15" customHeight="1" x14ac:dyDescent="0.25"/>
    <row r="20932" ht="15" customHeight="1" x14ac:dyDescent="0.25"/>
    <row r="20933" ht="15" customHeight="1" x14ac:dyDescent="0.25"/>
    <row r="20934" ht="15" customHeight="1" x14ac:dyDescent="0.25"/>
    <row r="20935" ht="15" customHeight="1" x14ac:dyDescent="0.25"/>
    <row r="20936" ht="15" customHeight="1" x14ac:dyDescent="0.25"/>
    <row r="20937" ht="15" customHeight="1" x14ac:dyDescent="0.25"/>
    <row r="20938" ht="15" customHeight="1" x14ac:dyDescent="0.25"/>
    <row r="20939" ht="15" customHeight="1" x14ac:dyDescent="0.25"/>
    <row r="20940" ht="15" customHeight="1" x14ac:dyDescent="0.25"/>
    <row r="20941" ht="15" customHeight="1" x14ac:dyDescent="0.25"/>
    <row r="20942" ht="15" customHeight="1" x14ac:dyDescent="0.25"/>
    <row r="20943" ht="15" customHeight="1" x14ac:dyDescent="0.25"/>
    <row r="20944" ht="15" customHeight="1" x14ac:dyDescent="0.25"/>
    <row r="20945" ht="15" customHeight="1" x14ac:dyDescent="0.25"/>
    <row r="20946" ht="15" customHeight="1" x14ac:dyDescent="0.25"/>
    <row r="20947" ht="15" customHeight="1" x14ac:dyDescent="0.25"/>
    <row r="20948" ht="15" customHeight="1" x14ac:dyDescent="0.25"/>
    <row r="20949" ht="15" customHeight="1" x14ac:dyDescent="0.25"/>
    <row r="20950" ht="15" customHeight="1" x14ac:dyDescent="0.25"/>
    <row r="20951" ht="15" customHeight="1" x14ac:dyDescent="0.25"/>
    <row r="20952" ht="15" customHeight="1" x14ac:dyDescent="0.25"/>
    <row r="20953" ht="15" customHeight="1" x14ac:dyDescent="0.25"/>
    <row r="20954" ht="15" customHeight="1" x14ac:dyDescent="0.25"/>
    <row r="20955" ht="15" customHeight="1" x14ac:dyDescent="0.25"/>
    <row r="20956" ht="15" customHeight="1" x14ac:dyDescent="0.25"/>
    <row r="20957" ht="15" customHeight="1" x14ac:dyDescent="0.25"/>
    <row r="20958" ht="15" customHeight="1" x14ac:dyDescent="0.25"/>
    <row r="20959" ht="15" customHeight="1" x14ac:dyDescent="0.25"/>
    <row r="20960" ht="15" customHeight="1" x14ac:dyDescent="0.25"/>
    <row r="20961" ht="15" customHeight="1" x14ac:dyDescent="0.25"/>
    <row r="20962" ht="15" customHeight="1" x14ac:dyDescent="0.25"/>
    <row r="20963" ht="15" customHeight="1" x14ac:dyDescent="0.25"/>
    <row r="20964" ht="15" customHeight="1" x14ac:dyDescent="0.25"/>
    <row r="20965" ht="15" customHeight="1" x14ac:dyDescent="0.25"/>
    <row r="20966" ht="15" customHeight="1" x14ac:dyDescent="0.25"/>
    <row r="20967" ht="15" customHeight="1" x14ac:dyDescent="0.25"/>
    <row r="20968" ht="15" customHeight="1" x14ac:dyDescent="0.25"/>
    <row r="20969" ht="15" customHeight="1" x14ac:dyDescent="0.25"/>
    <row r="20970" ht="15" customHeight="1" x14ac:dyDescent="0.25"/>
    <row r="20971" ht="15" customHeight="1" x14ac:dyDescent="0.25"/>
    <row r="20972" ht="15" customHeight="1" x14ac:dyDescent="0.25"/>
    <row r="20973" ht="15" customHeight="1" x14ac:dyDescent="0.25"/>
    <row r="20974" ht="15" customHeight="1" x14ac:dyDescent="0.25"/>
    <row r="20975" ht="15" customHeight="1" x14ac:dyDescent="0.25"/>
    <row r="20976" ht="15" customHeight="1" x14ac:dyDescent="0.25"/>
    <row r="20977" ht="15" customHeight="1" x14ac:dyDescent="0.25"/>
    <row r="20978" ht="15" customHeight="1" x14ac:dyDescent="0.25"/>
    <row r="20979" ht="15" customHeight="1" x14ac:dyDescent="0.25"/>
    <row r="20980" ht="15" customHeight="1" x14ac:dyDescent="0.25"/>
    <row r="20981" ht="15" customHeight="1" x14ac:dyDescent="0.25"/>
    <row r="20982" ht="15" customHeight="1" x14ac:dyDescent="0.25"/>
    <row r="20983" ht="15" customHeight="1" x14ac:dyDescent="0.25"/>
    <row r="20984" ht="15" customHeight="1" x14ac:dyDescent="0.25"/>
    <row r="20985" ht="15" customHeight="1" x14ac:dyDescent="0.25"/>
    <row r="20986" ht="15" customHeight="1" x14ac:dyDescent="0.25"/>
    <row r="20987" ht="15" customHeight="1" x14ac:dyDescent="0.25"/>
    <row r="20988" ht="15" customHeight="1" x14ac:dyDescent="0.25"/>
    <row r="20989" ht="15" customHeight="1" x14ac:dyDescent="0.25"/>
    <row r="20990" ht="15" customHeight="1" x14ac:dyDescent="0.25"/>
    <row r="20991" ht="15" customHeight="1" x14ac:dyDescent="0.25"/>
    <row r="20992" ht="15" customHeight="1" x14ac:dyDescent="0.25"/>
    <row r="20993" ht="15" customHeight="1" x14ac:dyDescent="0.25"/>
    <row r="20994" ht="15" customHeight="1" x14ac:dyDescent="0.25"/>
    <row r="20995" ht="15" customHeight="1" x14ac:dyDescent="0.25"/>
    <row r="20996" ht="15" customHeight="1" x14ac:dyDescent="0.25"/>
    <row r="20997" ht="15" customHeight="1" x14ac:dyDescent="0.25"/>
    <row r="20998" ht="15" customHeight="1" x14ac:dyDescent="0.25"/>
    <row r="20999" ht="15" customHeight="1" x14ac:dyDescent="0.25"/>
    <row r="21000" ht="15" customHeight="1" x14ac:dyDescent="0.25"/>
    <row r="21001" ht="15" customHeight="1" x14ac:dyDescent="0.25"/>
    <row r="21002" ht="15" customHeight="1" x14ac:dyDescent="0.25"/>
    <row r="21003" ht="15" customHeight="1" x14ac:dyDescent="0.25"/>
    <row r="21004" ht="15" customHeight="1" x14ac:dyDescent="0.25"/>
    <row r="21005" ht="15" customHeight="1" x14ac:dyDescent="0.25"/>
    <row r="21006" ht="15" customHeight="1" x14ac:dyDescent="0.25"/>
    <row r="21007" ht="15" customHeight="1" x14ac:dyDescent="0.25"/>
    <row r="21008" ht="15" customHeight="1" x14ac:dyDescent="0.25"/>
    <row r="21009" ht="15" customHeight="1" x14ac:dyDescent="0.25"/>
    <row r="21010" ht="15" customHeight="1" x14ac:dyDescent="0.25"/>
    <row r="21011" ht="15" customHeight="1" x14ac:dyDescent="0.25"/>
    <row r="21012" ht="15" customHeight="1" x14ac:dyDescent="0.25"/>
    <row r="21013" ht="15" customHeight="1" x14ac:dyDescent="0.25"/>
    <row r="21014" ht="15" customHeight="1" x14ac:dyDescent="0.25"/>
    <row r="21015" ht="15" customHeight="1" x14ac:dyDescent="0.25"/>
    <row r="21016" ht="15" customHeight="1" x14ac:dyDescent="0.25"/>
    <row r="21017" ht="15" customHeight="1" x14ac:dyDescent="0.25"/>
    <row r="21018" ht="15" customHeight="1" x14ac:dyDescent="0.25"/>
    <row r="21019" ht="15" customHeight="1" x14ac:dyDescent="0.25"/>
    <row r="21020" ht="15" customHeight="1" x14ac:dyDescent="0.25"/>
    <row r="21021" ht="15" customHeight="1" x14ac:dyDescent="0.25"/>
    <row r="21022" ht="15" customHeight="1" x14ac:dyDescent="0.25"/>
    <row r="21023" ht="15" customHeight="1" x14ac:dyDescent="0.25"/>
    <row r="21024" ht="15" customHeight="1" x14ac:dyDescent="0.25"/>
    <row r="21025" ht="15" customHeight="1" x14ac:dyDescent="0.25"/>
    <row r="21026" ht="15" customHeight="1" x14ac:dyDescent="0.25"/>
    <row r="21027" ht="15" customHeight="1" x14ac:dyDescent="0.25"/>
    <row r="21028" ht="15" customHeight="1" x14ac:dyDescent="0.25"/>
    <row r="21029" ht="15" customHeight="1" x14ac:dyDescent="0.25"/>
    <row r="21030" ht="15" customHeight="1" x14ac:dyDescent="0.25"/>
    <row r="21031" ht="15" customHeight="1" x14ac:dyDescent="0.25"/>
    <row r="21032" ht="15" customHeight="1" x14ac:dyDescent="0.25"/>
    <row r="21033" ht="15" customHeight="1" x14ac:dyDescent="0.25"/>
    <row r="21034" ht="15" customHeight="1" x14ac:dyDescent="0.25"/>
    <row r="21035" ht="15" customHeight="1" x14ac:dyDescent="0.25"/>
    <row r="21036" ht="15" customHeight="1" x14ac:dyDescent="0.25"/>
    <row r="21037" ht="15" customHeight="1" x14ac:dyDescent="0.25"/>
    <row r="21038" ht="15" customHeight="1" x14ac:dyDescent="0.25"/>
    <row r="21039" ht="15" customHeight="1" x14ac:dyDescent="0.25"/>
    <row r="21040" ht="15" customHeight="1" x14ac:dyDescent="0.25"/>
    <row r="21041" ht="15" customHeight="1" x14ac:dyDescent="0.25"/>
    <row r="21042" ht="15" customHeight="1" x14ac:dyDescent="0.25"/>
    <row r="21043" ht="15" customHeight="1" x14ac:dyDescent="0.25"/>
    <row r="21044" ht="15" customHeight="1" x14ac:dyDescent="0.25"/>
    <row r="21045" ht="15" customHeight="1" x14ac:dyDescent="0.25"/>
    <row r="21046" ht="15" customHeight="1" x14ac:dyDescent="0.25"/>
    <row r="21047" ht="15" customHeight="1" x14ac:dyDescent="0.25"/>
    <row r="21048" ht="15" customHeight="1" x14ac:dyDescent="0.25"/>
    <row r="21049" ht="15" customHeight="1" x14ac:dyDescent="0.25"/>
    <row r="21050" ht="15" customHeight="1" x14ac:dyDescent="0.25"/>
    <row r="21051" ht="15" customHeight="1" x14ac:dyDescent="0.25"/>
    <row r="21052" ht="15" customHeight="1" x14ac:dyDescent="0.25"/>
    <row r="21053" ht="15" customHeight="1" x14ac:dyDescent="0.25"/>
    <row r="21054" ht="15" customHeight="1" x14ac:dyDescent="0.25"/>
    <row r="21055" ht="15" customHeight="1" x14ac:dyDescent="0.25"/>
    <row r="21056" ht="15" customHeight="1" x14ac:dyDescent="0.25"/>
    <row r="21057" ht="15" customHeight="1" x14ac:dyDescent="0.25"/>
    <row r="21058" ht="15" customHeight="1" x14ac:dyDescent="0.25"/>
    <row r="21059" ht="15" customHeight="1" x14ac:dyDescent="0.25"/>
    <row r="21060" ht="15" customHeight="1" x14ac:dyDescent="0.25"/>
    <row r="21061" ht="15" customHeight="1" x14ac:dyDescent="0.25"/>
    <row r="21062" ht="15" customHeight="1" x14ac:dyDescent="0.25"/>
    <row r="21063" ht="15" customHeight="1" x14ac:dyDescent="0.25"/>
    <row r="21064" ht="15" customHeight="1" x14ac:dyDescent="0.25"/>
    <row r="21065" ht="15" customHeight="1" x14ac:dyDescent="0.25"/>
    <row r="21066" ht="15" customHeight="1" x14ac:dyDescent="0.25"/>
    <row r="21067" ht="15" customHeight="1" x14ac:dyDescent="0.25"/>
    <row r="21068" ht="15" customHeight="1" x14ac:dyDescent="0.25"/>
    <row r="21069" ht="15" customHeight="1" x14ac:dyDescent="0.25"/>
    <row r="21070" ht="15" customHeight="1" x14ac:dyDescent="0.25"/>
    <row r="21071" ht="15" customHeight="1" x14ac:dyDescent="0.25"/>
    <row r="21072" ht="15" customHeight="1" x14ac:dyDescent="0.25"/>
    <row r="21073" ht="15" customHeight="1" x14ac:dyDescent="0.25"/>
    <row r="21074" ht="15" customHeight="1" x14ac:dyDescent="0.25"/>
    <row r="21075" ht="15" customHeight="1" x14ac:dyDescent="0.25"/>
    <row r="21076" ht="15" customHeight="1" x14ac:dyDescent="0.25"/>
    <row r="21077" ht="15" customHeight="1" x14ac:dyDescent="0.25"/>
    <row r="21078" ht="15" customHeight="1" x14ac:dyDescent="0.25"/>
    <row r="21079" ht="15" customHeight="1" x14ac:dyDescent="0.25"/>
    <row r="21080" ht="15" customHeight="1" x14ac:dyDescent="0.25"/>
    <row r="21081" ht="15" customHeight="1" x14ac:dyDescent="0.25"/>
    <row r="21082" ht="15" customHeight="1" x14ac:dyDescent="0.25"/>
    <row r="21083" ht="15" customHeight="1" x14ac:dyDescent="0.25"/>
    <row r="21084" ht="15" customHeight="1" x14ac:dyDescent="0.25"/>
    <row r="21085" ht="15" customHeight="1" x14ac:dyDescent="0.25"/>
    <row r="21086" ht="15" customHeight="1" x14ac:dyDescent="0.25"/>
    <row r="21087" ht="15" customHeight="1" x14ac:dyDescent="0.25"/>
    <row r="21088" ht="15" customHeight="1" x14ac:dyDescent="0.25"/>
    <row r="21089" ht="15" customHeight="1" x14ac:dyDescent="0.25"/>
    <row r="21090" ht="15" customHeight="1" x14ac:dyDescent="0.25"/>
    <row r="21091" ht="15" customHeight="1" x14ac:dyDescent="0.25"/>
    <row r="21092" ht="15" customHeight="1" x14ac:dyDescent="0.25"/>
    <row r="21093" ht="15" customHeight="1" x14ac:dyDescent="0.25"/>
    <row r="21094" ht="15" customHeight="1" x14ac:dyDescent="0.25"/>
    <row r="21095" ht="15" customHeight="1" x14ac:dyDescent="0.25"/>
    <row r="21096" ht="15" customHeight="1" x14ac:dyDescent="0.25"/>
    <row r="21097" ht="15" customHeight="1" x14ac:dyDescent="0.25"/>
    <row r="21098" ht="15" customHeight="1" x14ac:dyDescent="0.25"/>
    <row r="21099" ht="15" customHeight="1" x14ac:dyDescent="0.25"/>
    <row r="21100" ht="15" customHeight="1" x14ac:dyDescent="0.25"/>
    <row r="21101" ht="15" customHeight="1" x14ac:dyDescent="0.25"/>
    <row r="21102" ht="15" customHeight="1" x14ac:dyDescent="0.25"/>
    <row r="21103" ht="15" customHeight="1" x14ac:dyDescent="0.25"/>
    <row r="21104" ht="15" customHeight="1" x14ac:dyDescent="0.25"/>
    <row r="21105" ht="15" customHeight="1" x14ac:dyDescent="0.25"/>
    <row r="21106" ht="15" customHeight="1" x14ac:dyDescent="0.25"/>
    <row r="21107" ht="15" customHeight="1" x14ac:dyDescent="0.25"/>
    <row r="21108" ht="15" customHeight="1" x14ac:dyDescent="0.25"/>
    <row r="21109" ht="15" customHeight="1" x14ac:dyDescent="0.25"/>
    <row r="21110" ht="15" customHeight="1" x14ac:dyDescent="0.25"/>
    <row r="21111" ht="15" customHeight="1" x14ac:dyDescent="0.25"/>
    <row r="21112" ht="15" customHeight="1" x14ac:dyDescent="0.25"/>
    <row r="21113" ht="15" customHeight="1" x14ac:dyDescent="0.25"/>
    <row r="21114" ht="15" customHeight="1" x14ac:dyDescent="0.25"/>
    <row r="21115" ht="15" customHeight="1" x14ac:dyDescent="0.25"/>
    <row r="21116" ht="15" customHeight="1" x14ac:dyDescent="0.25"/>
    <row r="21117" ht="15" customHeight="1" x14ac:dyDescent="0.25"/>
    <row r="21118" ht="15" customHeight="1" x14ac:dyDescent="0.25"/>
    <row r="21119" ht="15" customHeight="1" x14ac:dyDescent="0.25"/>
    <row r="21120" ht="15" customHeight="1" x14ac:dyDescent="0.25"/>
    <row r="21121" ht="15" customHeight="1" x14ac:dyDescent="0.25"/>
    <row r="21122" ht="15" customHeight="1" x14ac:dyDescent="0.25"/>
    <row r="21123" ht="15" customHeight="1" x14ac:dyDescent="0.25"/>
    <row r="21124" ht="15" customHeight="1" x14ac:dyDescent="0.25"/>
    <row r="21125" ht="15" customHeight="1" x14ac:dyDescent="0.25"/>
    <row r="21126" ht="15" customHeight="1" x14ac:dyDescent="0.25"/>
    <row r="21127" ht="15" customHeight="1" x14ac:dyDescent="0.25"/>
    <row r="21128" ht="15" customHeight="1" x14ac:dyDescent="0.25"/>
    <row r="21129" ht="15" customHeight="1" x14ac:dyDescent="0.25"/>
    <row r="21130" ht="15" customHeight="1" x14ac:dyDescent="0.25"/>
    <row r="21131" ht="15" customHeight="1" x14ac:dyDescent="0.25"/>
    <row r="21132" ht="15" customHeight="1" x14ac:dyDescent="0.25"/>
    <row r="21133" ht="15" customHeight="1" x14ac:dyDescent="0.25"/>
    <row r="21134" ht="15" customHeight="1" x14ac:dyDescent="0.25"/>
    <row r="21135" ht="15" customHeight="1" x14ac:dyDescent="0.25"/>
    <row r="21136" ht="15" customHeight="1" x14ac:dyDescent="0.25"/>
    <row r="21137" ht="15" customHeight="1" x14ac:dyDescent="0.25"/>
    <row r="21138" ht="15" customHeight="1" x14ac:dyDescent="0.25"/>
    <row r="21139" ht="15" customHeight="1" x14ac:dyDescent="0.25"/>
    <row r="21140" ht="15" customHeight="1" x14ac:dyDescent="0.25"/>
    <row r="21141" ht="15" customHeight="1" x14ac:dyDescent="0.25"/>
    <row r="21142" ht="15" customHeight="1" x14ac:dyDescent="0.25"/>
    <row r="21143" ht="15" customHeight="1" x14ac:dyDescent="0.25"/>
    <row r="21144" ht="15" customHeight="1" x14ac:dyDescent="0.25"/>
    <row r="21145" ht="15" customHeight="1" x14ac:dyDescent="0.25"/>
    <row r="21146" ht="15" customHeight="1" x14ac:dyDescent="0.25"/>
    <row r="21147" ht="15" customHeight="1" x14ac:dyDescent="0.25"/>
    <row r="21148" ht="15" customHeight="1" x14ac:dyDescent="0.25"/>
    <row r="21149" ht="15" customHeight="1" x14ac:dyDescent="0.25"/>
    <row r="21150" ht="15" customHeight="1" x14ac:dyDescent="0.25"/>
    <row r="21151" ht="15" customHeight="1" x14ac:dyDescent="0.25"/>
    <row r="21152" ht="15" customHeight="1" x14ac:dyDescent="0.25"/>
    <row r="21153" ht="15" customHeight="1" x14ac:dyDescent="0.25"/>
    <row r="21154" ht="15" customHeight="1" x14ac:dyDescent="0.25"/>
    <row r="21155" ht="15" customHeight="1" x14ac:dyDescent="0.25"/>
    <row r="21156" ht="15" customHeight="1" x14ac:dyDescent="0.25"/>
    <row r="21157" ht="15" customHeight="1" x14ac:dyDescent="0.25"/>
    <row r="21158" ht="15" customHeight="1" x14ac:dyDescent="0.25"/>
    <row r="21159" ht="15" customHeight="1" x14ac:dyDescent="0.25"/>
    <row r="21160" ht="15" customHeight="1" x14ac:dyDescent="0.25"/>
    <row r="21161" ht="15" customHeight="1" x14ac:dyDescent="0.25"/>
    <row r="21162" ht="15" customHeight="1" x14ac:dyDescent="0.25"/>
    <row r="21163" ht="15" customHeight="1" x14ac:dyDescent="0.25"/>
    <row r="21164" ht="15" customHeight="1" x14ac:dyDescent="0.25"/>
    <row r="21165" ht="15" customHeight="1" x14ac:dyDescent="0.25"/>
    <row r="21166" ht="15" customHeight="1" x14ac:dyDescent="0.25"/>
    <row r="21167" ht="15" customHeight="1" x14ac:dyDescent="0.25"/>
    <row r="21168" ht="15" customHeight="1" x14ac:dyDescent="0.25"/>
    <row r="21169" ht="15" customHeight="1" x14ac:dyDescent="0.25"/>
    <row r="21170" ht="15" customHeight="1" x14ac:dyDescent="0.25"/>
    <row r="21171" ht="15" customHeight="1" x14ac:dyDescent="0.25"/>
    <row r="21172" ht="15" customHeight="1" x14ac:dyDescent="0.25"/>
    <row r="21173" ht="15" customHeight="1" x14ac:dyDescent="0.25"/>
    <row r="21174" ht="15" customHeight="1" x14ac:dyDescent="0.25"/>
    <row r="21175" ht="15" customHeight="1" x14ac:dyDescent="0.25"/>
    <row r="21176" ht="15" customHeight="1" x14ac:dyDescent="0.25"/>
    <row r="21177" ht="15" customHeight="1" x14ac:dyDescent="0.25"/>
    <row r="21178" ht="15" customHeight="1" x14ac:dyDescent="0.25"/>
    <row r="21179" ht="15" customHeight="1" x14ac:dyDescent="0.25"/>
    <row r="21180" ht="15" customHeight="1" x14ac:dyDescent="0.25"/>
    <row r="21181" ht="15" customHeight="1" x14ac:dyDescent="0.25"/>
    <row r="21182" ht="15" customHeight="1" x14ac:dyDescent="0.25"/>
    <row r="21183" ht="15" customHeight="1" x14ac:dyDescent="0.25"/>
    <row r="21184" ht="15" customHeight="1" x14ac:dyDescent="0.25"/>
    <row r="21185" ht="15" customHeight="1" x14ac:dyDescent="0.25"/>
    <row r="21186" ht="15" customHeight="1" x14ac:dyDescent="0.25"/>
    <row r="21187" ht="15" customHeight="1" x14ac:dyDescent="0.25"/>
    <row r="21188" ht="15" customHeight="1" x14ac:dyDescent="0.25"/>
    <row r="21189" ht="15" customHeight="1" x14ac:dyDescent="0.25"/>
    <row r="21190" ht="15" customHeight="1" x14ac:dyDescent="0.25"/>
    <row r="21191" ht="15" customHeight="1" x14ac:dyDescent="0.25"/>
    <row r="21192" ht="15" customHeight="1" x14ac:dyDescent="0.25"/>
    <row r="21193" ht="15" customHeight="1" x14ac:dyDescent="0.25"/>
    <row r="21194" ht="15" customHeight="1" x14ac:dyDescent="0.25"/>
    <row r="21195" ht="15" customHeight="1" x14ac:dyDescent="0.25"/>
    <row r="21196" ht="15" customHeight="1" x14ac:dyDescent="0.25"/>
    <row r="21197" ht="15" customHeight="1" x14ac:dyDescent="0.25"/>
    <row r="21198" ht="15" customHeight="1" x14ac:dyDescent="0.25"/>
    <row r="21199" ht="15" customHeight="1" x14ac:dyDescent="0.25"/>
    <row r="21200" ht="15" customHeight="1" x14ac:dyDescent="0.25"/>
    <row r="21201" ht="15" customHeight="1" x14ac:dyDescent="0.25"/>
    <row r="21202" ht="15" customHeight="1" x14ac:dyDescent="0.25"/>
    <row r="21203" ht="15" customHeight="1" x14ac:dyDescent="0.25"/>
    <row r="21204" ht="15" customHeight="1" x14ac:dyDescent="0.25"/>
    <row r="21205" ht="15" customHeight="1" x14ac:dyDescent="0.25"/>
    <row r="21206" ht="15" customHeight="1" x14ac:dyDescent="0.25"/>
    <row r="21207" ht="15" customHeight="1" x14ac:dyDescent="0.25"/>
    <row r="21208" ht="15" customHeight="1" x14ac:dyDescent="0.25"/>
    <row r="21209" ht="15" customHeight="1" x14ac:dyDescent="0.25"/>
    <row r="21210" ht="15" customHeight="1" x14ac:dyDescent="0.25"/>
    <row r="21211" ht="15" customHeight="1" x14ac:dyDescent="0.25"/>
    <row r="21212" ht="15" customHeight="1" x14ac:dyDescent="0.25"/>
    <row r="21213" ht="15" customHeight="1" x14ac:dyDescent="0.25"/>
    <row r="21214" ht="15" customHeight="1" x14ac:dyDescent="0.25"/>
    <row r="21215" ht="15" customHeight="1" x14ac:dyDescent="0.25"/>
    <row r="21216" ht="15" customHeight="1" x14ac:dyDescent="0.25"/>
    <row r="21217" ht="15" customHeight="1" x14ac:dyDescent="0.25"/>
    <row r="21218" ht="15" customHeight="1" x14ac:dyDescent="0.25"/>
    <row r="21219" ht="15" customHeight="1" x14ac:dyDescent="0.25"/>
    <row r="21220" ht="15" customHeight="1" x14ac:dyDescent="0.25"/>
    <row r="21221" ht="15" customHeight="1" x14ac:dyDescent="0.25"/>
    <row r="21222" ht="15" customHeight="1" x14ac:dyDescent="0.25"/>
    <row r="21223" ht="15" customHeight="1" x14ac:dyDescent="0.25"/>
    <row r="21224" ht="15" customHeight="1" x14ac:dyDescent="0.25"/>
    <row r="21225" ht="15" customHeight="1" x14ac:dyDescent="0.25"/>
    <row r="21226" ht="15" customHeight="1" x14ac:dyDescent="0.25"/>
    <row r="21227" ht="15" customHeight="1" x14ac:dyDescent="0.25"/>
    <row r="21228" ht="15" customHeight="1" x14ac:dyDescent="0.25"/>
    <row r="21229" ht="15" customHeight="1" x14ac:dyDescent="0.25"/>
    <row r="21230" ht="15" customHeight="1" x14ac:dyDescent="0.25"/>
    <row r="21231" ht="15" customHeight="1" x14ac:dyDescent="0.25"/>
    <row r="21232" ht="15" customHeight="1" x14ac:dyDescent="0.25"/>
    <row r="21233" ht="15" customHeight="1" x14ac:dyDescent="0.25"/>
    <row r="21234" ht="15" customHeight="1" x14ac:dyDescent="0.25"/>
    <row r="21235" ht="15" customHeight="1" x14ac:dyDescent="0.25"/>
    <row r="21236" ht="15" customHeight="1" x14ac:dyDescent="0.25"/>
    <row r="21237" ht="15" customHeight="1" x14ac:dyDescent="0.25"/>
    <row r="21238" ht="15" customHeight="1" x14ac:dyDescent="0.25"/>
    <row r="21239" ht="15" customHeight="1" x14ac:dyDescent="0.25"/>
    <row r="21240" ht="15" customHeight="1" x14ac:dyDescent="0.25"/>
    <row r="21241" ht="15" customHeight="1" x14ac:dyDescent="0.25"/>
    <row r="21242" ht="15" customHeight="1" x14ac:dyDescent="0.25"/>
    <row r="21243" ht="15" customHeight="1" x14ac:dyDescent="0.25"/>
    <row r="21244" ht="15" customHeight="1" x14ac:dyDescent="0.25"/>
    <row r="21245" ht="15" customHeight="1" x14ac:dyDescent="0.25"/>
    <row r="21246" ht="15" customHeight="1" x14ac:dyDescent="0.25"/>
    <row r="21247" ht="15" customHeight="1" x14ac:dyDescent="0.25"/>
    <row r="21248" ht="15" customHeight="1" x14ac:dyDescent="0.25"/>
    <row r="21249" ht="15" customHeight="1" x14ac:dyDescent="0.25"/>
    <row r="21250" ht="15" customHeight="1" x14ac:dyDescent="0.25"/>
    <row r="21251" ht="15" customHeight="1" x14ac:dyDescent="0.25"/>
    <row r="21252" ht="15" customHeight="1" x14ac:dyDescent="0.25"/>
    <row r="21253" ht="15" customHeight="1" x14ac:dyDescent="0.25"/>
    <row r="21254" ht="15" customHeight="1" x14ac:dyDescent="0.25"/>
    <row r="21255" ht="15" customHeight="1" x14ac:dyDescent="0.25"/>
    <row r="21256" ht="15" customHeight="1" x14ac:dyDescent="0.25"/>
    <row r="21257" ht="15" customHeight="1" x14ac:dyDescent="0.25"/>
    <row r="21258" ht="15" customHeight="1" x14ac:dyDescent="0.25"/>
    <row r="21259" ht="15" customHeight="1" x14ac:dyDescent="0.25"/>
    <row r="21260" ht="15" customHeight="1" x14ac:dyDescent="0.25"/>
    <row r="21261" ht="15" customHeight="1" x14ac:dyDescent="0.25"/>
    <row r="21262" ht="15" customHeight="1" x14ac:dyDescent="0.25"/>
    <row r="21263" ht="15" customHeight="1" x14ac:dyDescent="0.25"/>
    <row r="21264" ht="15" customHeight="1" x14ac:dyDescent="0.25"/>
    <row r="21265" ht="15" customHeight="1" x14ac:dyDescent="0.25"/>
    <row r="21266" ht="15" customHeight="1" x14ac:dyDescent="0.25"/>
    <row r="21267" ht="15" customHeight="1" x14ac:dyDescent="0.25"/>
    <row r="21268" ht="15" customHeight="1" x14ac:dyDescent="0.25"/>
    <row r="21269" ht="15" customHeight="1" x14ac:dyDescent="0.25"/>
    <row r="21270" ht="15" customHeight="1" x14ac:dyDescent="0.25"/>
    <row r="21271" ht="15" customHeight="1" x14ac:dyDescent="0.25"/>
    <row r="21272" ht="15" customHeight="1" x14ac:dyDescent="0.25"/>
    <row r="21273" ht="15" customHeight="1" x14ac:dyDescent="0.25"/>
    <row r="21274" ht="15" customHeight="1" x14ac:dyDescent="0.25"/>
    <row r="21275" ht="15" customHeight="1" x14ac:dyDescent="0.25"/>
    <row r="21276" ht="15" customHeight="1" x14ac:dyDescent="0.25"/>
    <row r="21277" ht="15" customHeight="1" x14ac:dyDescent="0.25"/>
    <row r="21278" ht="15" customHeight="1" x14ac:dyDescent="0.25"/>
    <row r="21279" ht="15" customHeight="1" x14ac:dyDescent="0.25"/>
    <row r="21280" ht="15" customHeight="1" x14ac:dyDescent="0.25"/>
    <row r="21281" ht="15" customHeight="1" x14ac:dyDescent="0.25"/>
    <row r="21282" ht="15" customHeight="1" x14ac:dyDescent="0.25"/>
    <row r="21283" ht="15" customHeight="1" x14ac:dyDescent="0.25"/>
    <row r="21284" ht="15" customHeight="1" x14ac:dyDescent="0.25"/>
    <row r="21285" ht="15" customHeight="1" x14ac:dyDescent="0.25"/>
    <row r="21286" ht="15" customHeight="1" x14ac:dyDescent="0.25"/>
    <row r="21287" ht="15" customHeight="1" x14ac:dyDescent="0.25"/>
    <row r="21288" ht="15" customHeight="1" x14ac:dyDescent="0.25"/>
    <row r="21289" ht="15" customHeight="1" x14ac:dyDescent="0.25"/>
    <row r="21290" ht="15" customHeight="1" x14ac:dyDescent="0.25"/>
    <row r="21291" ht="15" customHeight="1" x14ac:dyDescent="0.25"/>
    <row r="21292" ht="15" customHeight="1" x14ac:dyDescent="0.25"/>
    <row r="21293" ht="15" customHeight="1" x14ac:dyDescent="0.25"/>
    <row r="21294" ht="15" customHeight="1" x14ac:dyDescent="0.25"/>
    <row r="21295" ht="15" customHeight="1" x14ac:dyDescent="0.25"/>
    <row r="21296" ht="15" customHeight="1" x14ac:dyDescent="0.25"/>
    <row r="21297" ht="15" customHeight="1" x14ac:dyDescent="0.25"/>
    <row r="21298" ht="15" customHeight="1" x14ac:dyDescent="0.25"/>
    <row r="21299" ht="15" customHeight="1" x14ac:dyDescent="0.25"/>
    <row r="21300" ht="15" customHeight="1" x14ac:dyDescent="0.25"/>
    <row r="21301" ht="15" customHeight="1" x14ac:dyDescent="0.25"/>
    <row r="21302" ht="15" customHeight="1" x14ac:dyDescent="0.25"/>
    <row r="21303" ht="15" customHeight="1" x14ac:dyDescent="0.25"/>
    <row r="21304" ht="15" customHeight="1" x14ac:dyDescent="0.25"/>
    <row r="21305" ht="15" customHeight="1" x14ac:dyDescent="0.25"/>
    <row r="21306" ht="15" customHeight="1" x14ac:dyDescent="0.25"/>
    <row r="21307" ht="15" customHeight="1" x14ac:dyDescent="0.25"/>
    <row r="21308" ht="15" customHeight="1" x14ac:dyDescent="0.25"/>
    <row r="21309" ht="15" customHeight="1" x14ac:dyDescent="0.25"/>
    <row r="21310" ht="15" customHeight="1" x14ac:dyDescent="0.25"/>
    <row r="21311" ht="15" customHeight="1" x14ac:dyDescent="0.25"/>
    <row r="21312" ht="15" customHeight="1" x14ac:dyDescent="0.25"/>
    <row r="21313" ht="15" customHeight="1" x14ac:dyDescent="0.25"/>
    <row r="21314" ht="15" customHeight="1" x14ac:dyDescent="0.25"/>
    <row r="21315" ht="15" customHeight="1" x14ac:dyDescent="0.25"/>
    <row r="21316" ht="15" customHeight="1" x14ac:dyDescent="0.25"/>
    <row r="21317" ht="15" customHeight="1" x14ac:dyDescent="0.25"/>
    <row r="21318" ht="15" customHeight="1" x14ac:dyDescent="0.25"/>
    <row r="21319" ht="15" customHeight="1" x14ac:dyDescent="0.25"/>
    <row r="21320" ht="15" customHeight="1" x14ac:dyDescent="0.25"/>
    <row r="21321" ht="15" customHeight="1" x14ac:dyDescent="0.25"/>
    <row r="21322" ht="15" customHeight="1" x14ac:dyDescent="0.25"/>
    <row r="21323" ht="15" customHeight="1" x14ac:dyDescent="0.25"/>
    <row r="21324" ht="15" customHeight="1" x14ac:dyDescent="0.25"/>
    <row r="21325" ht="15" customHeight="1" x14ac:dyDescent="0.25"/>
    <row r="21326" ht="15" customHeight="1" x14ac:dyDescent="0.25"/>
    <row r="21327" ht="15" customHeight="1" x14ac:dyDescent="0.25"/>
    <row r="21328" ht="15" customHeight="1" x14ac:dyDescent="0.25"/>
    <row r="21329" ht="15" customHeight="1" x14ac:dyDescent="0.25"/>
    <row r="21330" ht="15" customHeight="1" x14ac:dyDescent="0.25"/>
    <row r="21331" ht="15" customHeight="1" x14ac:dyDescent="0.25"/>
    <row r="21332" ht="15" customHeight="1" x14ac:dyDescent="0.25"/>
    <row r="21333" ht="15" customHeight="1" x14ac:dyDescent="0.25"/>
    <row r="21334" ht="15" customHeight="1" x14ac:dyDescent="0.25"/>
    <row r="21335" ht="15" customHeight="1" x14ac:dyDescent="0.25"/>
    <row r="21336" ht="15" customHeight="1" x14ac:dyDescent="0.25"/>
    <row r="21337" ht="15" customHeight="1" x14ac:dyDescent="0.25"/>
    <row r="21338" ht="15" customHeight="1" x14ac:dyDescent="0.25"/>
    <row r="21339" ht="15" customHeight="1" x14ac:dyDescent="0.25"/>
    <row r="21340" ht="15" customHeight="1" x14ac:dyDescent="0.25"/>
    <row r="21341" ht="15" customHeight="1" x14ac:dyDescent="0.25"/>
    <row r="21342" ht="15" customHeight="1" x14ac:dyDescent="0.25"/>
    <row r="21343" ht="15" customHeight="1" x14ac:dyDescent="0.25"/>
    <row r="21344" ht="15" customHeight="1" x14ac:dyDescent="0.25"/>
    <row r="21345" ht="15" customHeight="1" x14ac:dyDescent="0.25"/>
    <row r="21346" ht="15" customHeight="1" x14ac:dyDescent="0.25"/>
    <row r="21347" ht="15" customHeight="1" x14ac:dyDescent="0.25"/>
    <row r="21348" ht="15" customHeight="1" x14ac:dyDescent="0.25"/>
    <row r="21349" ht="15" customHeight="1" x14ac:dyDescent="0.25"/>
    <row r="21350" ht="15" customHeight="1" x14ac:dyDescent="0.25"/>
    <row r="21351" ht="15" customHeight="1" x14ac:dyDescent="0.25"/>
    <row r="21352" ht="15" customHeight="1" x14ac:dyDescent="0.25"/>
    <row r="21353" ht="15" customHeight="1" x14ac:dyDescent="0.25"/>
    <row r="21354" ht="15" customHeight="1" x14ac:dyDescent="0.25"/>
    <row r="21355" ht="15" customHeight="1" x14ac:dyDescent="0.25"/>
    <row r="21356" ht="15" customHeight="1" x14ac:dyDescent="0.25"/>
    <row r="21357" ht="15" customHeight="1" x14ac:dyDescent="0.25"/>
    <row r="21358" ht="15" customHeight="1" x14ac:dyDescent="0.25"/>
    <row r="21359" ht="15" customHeight="1" x14ac:dyDescent="0.25"/>
    <row r="21360" ht="15" customHeight="1" x14ac:dyDescent="0.25"/>
    <row r="21361" ht="15" customHeight="1" x14ac:dyDescent="0.25"/>
    <row r="21362" ht="15" customHeight="1" x14ac:dyDescent="0.25"/>
    <row r="21363" ht="15" customHeight="1" x14ac:dyDescent="0.25"/>
    <row r="21364" ht="15" customHeight="1" x14ac:dyDescent="0.25"/>
    <row r="21365" ht="15" customHeight="1" x14ac:dyDescent="0.25"/>
    <row r="21366" ht="15" customHeight="1" x14ac:dyDescent="0.25"/>
    <row r="21367" ht="15" customHeight="1" x14ac:dyDescent="0.25"/>
    <row r="21368" ht="15" customHeight="1" x14ac:dyDescent="0.25"/>
    <row r="21369" ht="15" customHeight="1" x14ac:dyDescent="0.25"/>
    <row r="21370" ht="15" customHeight="1" x14ac:dyDescent="0.25"/>
    <row r="21371" ht="15" customHeight="1" x14ac:dyDescent="0.25"/>
    <row r="21372" ht="15" customHeight="1" x14ac:dyDescent="0.25"/>
    <row r="21373" ht="15" customHeight="1" x14ac:dyDescent="0.25"/>
    <row r="21374" ht="15" customHeight="1" x14ac:dyDescent="0.25"/>
    <row r="21375" ht="15" customHeight="1" x14ac:dyDescent="0.25"/>
    <row r="21376" ht="15" customHeight="1" x14ac:dyDescent="0.25"/>
    <row r="21377" ht="15" customHeight="1" x14ac:dyDescent="0.25"/>
    <row r="21378" ht="15" customHeight="1" x14ac:dyDescent="0.25"/>
    <row r="21379" ht="15" customHeight="1" x14ac:dyDescent="0.25"/>
    <row r="21380" ht="15" customHeight="1" x14ac:dyDescent="0.25"/>
    <row r="21381" ht="15" customHeight="1" x14ac:dyDescent="0.25"/>
    <row r="21382" ht="15" customHeight="1" x14ac:dyDescent="0.25"/>
    <row r="21383" ht="15" customHeight="1" x14ac:dyDescent="0.25"/>
    <row r="21384" ht="15" customHeight="1" x14ac:dyDescent="0.25"/>
    <row r="21385" ht="15" customHeight="1" x14ac:dyDescent="0.25"/>
    <row r="21386" ht="15" customHeight="1" x14ac:dyDescent="0.25"/>
    <row r="21387" ht="15" customHeight="1" x14ac:dyDescent="0.25"/>
    <row r="21388" ht="15" customHeight="1" x14ac:dyDescent="0.25"/>
    <row r="21389" ht="15" customHeight="1" x14ac:dyDescent="0.25"/>
    <row r="21390" ht="15" customHeight="1" x14ac:dyDescent="0.25"/>
    <row r="21391" ht="15" customHeight="1" x14ac:dyDescent="0.25"/>
    <row r="21392" ht="15" customHeight="1" x14ac:dyDescent="0.25"/>
    <row r="21393" ht="15" customHeight="1" x14ac:dyDescent="0.25"/>
    <row r="21394" ht="15" customHeight="1" x14ac:dyDescent="0.25"/>
    <row r="21395" ht="15" customHeight="1" x14ac:dyDescent="0.25"/>
    <row r="21396" ht="15" customHeight="1" x14ac:dyDescent="0.25"/>
    <row r="21397" ht="15" customHeight="1" x14ac:dyDescent="0.25"/>
    <row r="21398" ht="15" customHeight="1" x14ac:dyDescent="0.25"/>
    <row r="21399" ht="15" customHeight="1" x14ac:dyDescent="0.25"/>
    <row r="21400" ht="15" customHeight="1" x14ac:dyDescent="0.25"/>
    <row r="21401" ht="15" customHeight="1" x14ac:dyDescent="0.25"/>
    <row r="21402" ht="15" customHeight="1" x14ac:dyDescent="0.25"/>
    <row r="21403" ht="15" customHeight="1" x14ac:dyDescent="0.25"/>
    <row r="21404" ht="15" customHeight="1" x14ac:dyDescent="0.25"/>
    <row r="21405" ht="15" customHeight="1" x14ac:dyDescent="0.25"/>
    <row r="21406" ht="15" customHeight="1" x14ac:dyDescent="0.25"/>
    <row r="21407" ht="15" customHeight="1" x14ac:dyDescent="0.25"/>
    <row r="21408" ht="15" customHeight="1" x14ac:dyDescent="0.25"/>
    <row r="21409" ht="15" customHeight="1" x14ac:dyDescent="0.25"/>
    <row r="21410" ht="15" customHeight="1" x14ac:dyDescent="0.25"/>
    <row r="21411" ht="15" customHeight="1" x14ac:dyDescent="0.25"/>
    <row r="21412" ht="15" customHeight="1" x14ac:dyDescent="0.25"/>
    <row r="21413" ht="15" customHeight="1" x14ac:dyDescent="0.25"/>
    <row r="21414" ht="15" customHeight="1" x14ac:dyDescent="0.25"/>
    <row r="21415" ht="15" customHeight="1" x14ac:dyDescent="0.25"/>
    <row r="21416" ht="15" customHeight="1" x14ac:dyDescent="0.25"/>
    <row r="21417" ht="15" customHeight="1" x14ac:dyDescent="0.25"/>
    <row r="21418" ht="15" customHeight="1" x14ac:dyDescent="0.25"/>
    <row r="21419" ht="15" customHeight="1" x14ac:dyDescent="0.25"/>
    <row r="21420" ht="15" customHeight="1" x14ac:dyDescent="0.25"/>
    <row r="21421" ht="15" customHeight="1" x14ac:dyDescent="0.25"/>
    <row r="21422" ht="15" customHeight="1" x14ac:dyDescent="0.25"/>
    <row r="21423" ht="15" customHeight="1" x14ac:dyDescent="0.25"/>
    <row r="21424" ht="15" customHeight="1" x14ac:dyDescent="0.25"/>
    <row r="21425" ht="15" customHeight="1" x14ac:dyDescent="0.25"/>
    <row r="21426" ht="15" customHeight="1" x14ac:dyDescent="0.25"/>
    <row r="21427" ht="15" customHeight="1" x14ac:dyDescent="0.25"/>
    <row r="21428" ht="15" customHeight="1" x14ac:dyDescent="0.25"/>
    <row r="21429" ht="15" customHeight="1" x14ac:dyDescent="0.25"/>
    <row r="21430" ht="15" customHeight="1" x14ac:dyDescent="0.25"/>
    <row r="21431" ht="15" customHeight="1" x14ac:dyDescent="0.25"/>
    <row r="21432" ht="15" customHeight="1" x14ac:dyDescent="0.25"/>
    <row r="21433" ht="15" customHeight="1" x14ac:dyDescent="0.25"/>
    <row r="21434" ht="15" customHeight="1" x14ac:dyDescent="0.25"/>
    <row r="21435" ht="15" customHeight="1" x14ac:dyDescent="0.25"/>
    <row r="21436" ht="15" customHeight="1" x14ac:dyDescent="0.25"/>
    <row r="21437" ht="15" customHeight="1" x14ac:dyDescent="0.25"/>
    <row r="21438" ht="15" customHeight="1" x14ac:dyDescent="0.25"/>
    <row r="21439" ht="15" customHeight="1" x14ac:dyDescent="0.25"/>
    <row r="21440" ht="15" customHeight="1" x14ac:dyDescent="0.25"/>
    <row r="21441" ht="15" customHeight="1" x14ac:dyDescent="0.25"/>
    <row r="21442" ht="15" customHeight="1" x14ac:dyDescent="0.25"/>
    <row r="21443" ht="15" customHeight="1" x14ac:dyDescent="0.25"/>
    <row r="21444" ht="15" customHeight="1" x14ac:dyDescent="0.25"/>
    <row r="21445" ht="15" customHeight="1" x14ac:dyDescent="0.25"/>
    <row r="21446" ht="15" customHeight="1" x14ac:dyDescent="0.25"/>
    <row r="21447" ht="15" customHeight="1" x14ac:dyDescent="0.25"/>
    <row r="21448" ht="15" customHeight="1" x14ac:dyDescent="0.25"/>
    <row r="21449" ht="15" customHeight="1" x14ac:dyDescent="0.25"/>
    <row r="21450" ht="15" customHeight="1" x14ac:dyDescent="0.25"/>
    <row r="21451" ht="15" customHeight="1" x14ac:dyDescent="0.25"/>
    <row r="21452" ht="15" customHeight="1" x14ac:dyDescent="0.25"/>
    <row r="21453" ht="15" customHeight="1" x14ac:dyDescent="0.25"/>
    <row r="21454" ht="15" customHeight="1" x14ac:dyDescent="0.25"/>
    <row r="21455" ht="15" customHeight="1" x14ac:dyDescent="0.25"/>
    <row r="21456" ht="15" customHeight="1" x14ac:dyDescent="0.25"/>
    <row r="21457" ht="15" customHeight="1" x14ac:dyDescent="0.25"/>
    <row r="21458" ht="15" customHeight="1" x14ac:dyDescent="0.25"/>
    <row r="21459" ht="15" customHeight="1" x14ac:dyDescent="0.25"/>
    <row r="21460" ht="15" customHeight="1" x14ac:dyDescent="0.25"/>
    <row r="21461" ht="15" customHeight="1" x14ac:dyDescent="0.25"/>
    <row r="21462" ht="15" customHeight="1" x14ac:dyDescent="0.25"/>
    <row r="21463" ht="15" customHeight="1" x14ac:dyDescent="0.25"/>
    <row r="21464" ht="15" customHeight="1" x14ac:dyDescent="0.25"/>
    <row r="21465" ht="15" customHeight="1" x14ac:dyDescent="0.25"/>
    <row r="21466" ht="15" customHeight="1" x14ac:dyDescent="0.25"/>
    <row r="21467" ht="15" customHeight="1" x14ac:dyDescent="0.25"/>
    <row r="21468" ht="15" customHeight="1" x14ac:dyDescent="0.25"/>
    <row r="21469" ht="15" customHeight="1" x14ac:dyDescent="0.25"/>
    <row r="21470" ht="15" customHeight="1" x14ac:dyDescent="0.25"/>
    <row r="21471" ht="15" customHeight="1" x14ac:dyDescent="0.25"/>
    <row r="21472" ht="15" customHeight="1" x14ac:dyDescent="0.25"/>
    <row r="21473" ht="15" customHeight="1" x14ac:dyDescent="0.25"/>
    <row r="21474" ht="15" customHeight="1" x14ac:dyDescent="0.25"/>
    <row r="21475" ht="15" customHeight="1" x14ac:dyDescent="0.25"/>
    <row r="21476" ht="15" customHeight="1" x14ac:dyDescent="0.25"/>
    <row r="21477" ht="15" customHeight="1" x14ac:dyDescent="0.25"/>
    <row r="21478" ht="15" customHeight="1" x14ac:dyDescent="0.25"/>
    <row r="21479" ht="15" customHeight="1" x14ac:dyDescent="0.25"/>
    <row r="21480" ht="15" customHeight="1" x14ac:dyDescent="0.25"/>
    <row r="21481" ht="15" customHeight="1" x14ac:dyDescent="0.25"/>
    <row r="21482" ht="15" customHeight="1" x14ac:dyDescent="0.25"/>
    <row r="21483" ht="15" customHeight="1" x14ac:dyDescent="0.25"/>
    <row r="21484" ht="15" customHeight="1" x14ac:dyDescent="0.25"/>
    <row r="21485" ht="15" customHeight="1" x14ac:dyDescent="0.25"/>
    <row r="21486" ht="15" customHeight="1" x14ac:dyDescent="0.25"/>
    <row r="21487" ht="15" customHeight="1" x14ac:dyDescent="0.25"/>
    <row r="21488" ht="15" customHeight="1" x14ac:dyDescent="0.25"/>
    <row r="21489" ht="15" customHeight="1" x14ac:dyDescent="0.25"/>
    <row r="21490" ht="15" customHeight="1" x14ac:dyDescent="0.25"/>
    <row r="21491" ht="15" customHeight="1" x14ac:dyDescent="0.25"/>
    <row r="21492" ht="15" customHeight="1" x14ac:dyDescent="0.25"/>
    <row r="21493" ht="15" customHeight="1" x14ac:dyDescent="0.25"/>
    <row r="21494" ht="15" customHeight="1" x14ac:dyDescent="0.25"/>
    <row r="21495" ht="15" customHeight="1" x14ac:dyDescent="0.25"/>
    <row r="21496" ht="15" customHeight="1" x14ac:dyDescent="0.25"/>
    <row r="21497" ht="15" customHeight="1" x14ac:dyDescent="0.25"/>
    <row r="21498" ht="15" customHeight="1" x14ac:dyDescent="0.25"/>
    <row r="21499" ht="15" customHeight="1" x14ac:dyDescent="0.25"/>
    <row r="21500" ht="15" customHeight="1" x14ac:dyDescent="0.25"/>
    <row r="21501" ht="15" customHeight="1" x14ac:dyDescent="0.25"/>
    <row r="21502" ht="15" customHeight="1" x14ac:dyDescent="0.25"/>
    <row r="21503" ht="15" customHeight="1" x14ac:dyDescent="0.25"/>
    <row r="21504" ht="15" customHeight="1" x14ac:dyDescent="0.25"/>
    <row r="21505" ht="15" customHeight="1" x14ac:dyDescent="0.25"/>
    <row r="21506" ht="15" customHeight="1" x14ac:dyDescent="0.25"/>
    <row r="21507" ht="15" customHeight="1" x14ac:dyDescent="0.25"/>
    <row r="21508" ht="15" customHeight="1" x14ac:dyDescent="0.25"/>
    <row r="21509" ht="15" customHeight="1" x14ac:dyDescent="0.25"/>
    <row r="21510" ht="15" customHeight="1" x14ac:dyDescent="0.25"/>
    <row r="21511" ht="15" customHeight="1" x14ac:dyDescent="0.25"/>
    <row r="21512" ht="15" customHeight="1" x14ac:dyDescent="0.25"/>
    <row r="21513" ht="15" customHeight="1" x14ac:dyDescent="0.25"/>
    <row r="21514" ht="15" customHeight="1" x14ac:dyDescent="0.25"/>
    <row r="21515" ht="15" customHeight="1" x14ac:dyDescent="0.25"/>
    <row r="21516" ht="15" customHeight="1" x14ac:dyDescent="0.25"/>
    <row r="21517" ht="15" customHeight="1" x14ac:dyDescent="0.25"/>
    <row r="21518" ht="15" customHeight="1" x14ac:dyDescent="0.25"/>
    <row r="21519" ht="15" customHeight="1" x14ac:dyDescent="0.25"/>
    <row r="21520" ht="15" customHeight="1" x14ac:dyDescent="0.25"/>
    <row r="21521" ht="15" customHeight="1" x14ac:dyDescent="0.25"/>
    <row r="21522" ht="15" customHeight="1" x14ac:dyDescent="0.25"/>
    <row r="21523" ht="15" customHeight="1" x14ac:dyDescent="0.25"/>
    <row r="21524" ht="15" customHeight="1" x14ac:dyDescent="0.25"/>
    <row r="21525" ht="15" customHeight="1" x14ac:dyDescent="0.25"/>
    <row r="21526" ht="15" customHeight="1" x14ac:dyDescent="0.25"/>
    <row r="21527" ht="15" customHeight="1" x14ac:dyDescent="0.25"/>
    <row r="21528" ht="15" customHeight="1" x14ac:dyDescent="0.25"/>
    <row r="21529" ht="15" customHeight="1" x14ac:dyDescent="0.25"/>
    <row r="21530" ht="15" customHeight="1" x14ac:dyDescent="0.25"/>
    <row r="21531" ht="15" customHeight="1" x14ac:dyDescent="0.25"/>
    <row r="21532" ht="15" customHeight="1" x14ac:dyDescent="0.25"/>
    <row r="21533" ht="15" customHeight="1" x14ac:dyDescent="0.25"/>
    <row r="21534" ht="15" customHeight="1" x14ac:dyDescent="0.25"/>
    <row r="21535" ht="15" customHeight="1" x14ac:dyDescent="0.25"/>
    <row r="21536" ht="15" customHeight="1" x14ac:dyDescent="0.25"/>
    <row r="21537" ht="15" customHeight="1" x14ac:dyDescent="0.25"/>
    <row r="21538" ht="15" customHeight="1" x14ac:dyDescent="0.25"/>
    <row r="21539" ht="15" customHeight="1" x14ac:dyDescent="0.25"/>
    <row r="21540" ht="15" customHeight="1" x14ac:dyDescent="0.25"/>
    <row r="21541" ht="15" customHeight="1" x14ac:dyDescent="0.25"/>
    <row r="21542" ht="15" customHeight="1" x14ac:dyDescent="0.25"/>
    <row r="21543" ht="15" customHeight="1" x14ac:dyDescent="0.25"/>
    <row r="21544" ht="15" customHeight="1" x14ac:dyDescent="0.25"/>
    <row r="21545" ht="15" customHeight="1" x14ac:dyDescent="0.25"/>
    <row r="21546" ht="15" customHeight="1" x14ac:dyDescent="0.25"/>
    <row r="21547" ht="15" customHeight="1" x14ac:dyDescent="0.25"/>
    <row r="21548" ht="15" customHeight="1" x14ac:dyDescent="0.25"/>
    <row r="21549" ht="15" customHeight="1" x14ac:dyDescent="0.25"/>
    <row r="21550" ht="15" customHeight="1" x14ac:dyDescent="0.25"/>
    <row r="21551" ht="15" customHeight="1" x14ac:dyDescent="0.25"/>
    <row r="21552" ht="15" customHeight="1" x14ac:dyDescent="0.25"/>
    <row r="21553" ht="15" customHeight="1" x14ac:dyDescent="0.25"/>
    <row r="21554" ht="15" customHeight="1" x14ac:dyDescent="0.25"/>
    <row r="21555" ht="15" customHeight="1" x14ac:dyDescent="0.25"/>
    <row r="21556" ht="15" customHeight="1" x14ac:dyDescent="0.25"/>
    <row r="21557" ht="15" customHeight="1" x14ac:dyDescent="0.25"/>
    <row r="21558" ht="15" customHeight="1" x14ac:dyDescent="0.25"/>
    <row r="21559" ht="15" customHeight="1" x14ac:dyDescent="0.25"/>
    <row r="21560" ht="15" customHeight="1" x14ac:dyDescent="0.25"/>
    <row r="21561" ht="15" customHeight="1" x14ac:dyDescent="0.25"/>
    <row r="21562" ht="15" customHeight="1" x14ac:dyDescent="0.25"/>
    <row r="21563" ht="15" customHeight="1" x14ac:dyDescent="0.25"/>
    <row r="21564" ht="15" customHeight="1" x14ac:dyDescent="0.25"/>
    <row r="21565" ht="15" customHeight="1" x14ac:dyDescent="0.25"/>
    <row r="21566" ht="15" customHeight="1" x14ac:dyDescent="0.25"/>
    <row r="21567" ht="15" customHeight="1" x14ac:dyDescent="0.25"/>
    <row r="21568" ht="15" customHeight="1" x14ac:dyDescent="0.25"/>
    <row r="21569" ht="15" customHeight="1" x14ac:dyDescent="0.25"/>
    <row r="21570" ht="15" customHeight="1" x14ac:dyDescent="0.25"/>
    <row r="21571" ht="15" customHeight="1" x14ac:dyDescent="0.25"/>
    <row r="21572" ht="15" customHeight="1" x14ac:dyDescent="0.25"/>
    <row r="21573" ht="15" customHeight="1" x14ac:dyDescent="0.25"/>
    <row r="21574" ht="15" customHeight="1" x14ac:dyDescent="0.25"/>
    <row r="21575" ht="15" customHeight="1" x14ac:dyDescent="0.25"/>
    <row r="21576" ht="15" customHeight="1" x14ac:dyDescent="0.25"/>
    <row r="21577" ht="15" customHeight="1" x14ac:dyDescent="0.25"/>
    <row r="21578" ht="15" customHeight="1" x14ac:dyDescent="0.25"/>
    <row r="21579" ht="15" customHeight="1" x14ac:dyDescent="0.25"/>
    <row r="21580" ht="15" customHeight="1" x14ac:dyDescent="0.25"/>
    <row r="21581" ht="15" customHeight="1" x14ac:dyDescent="0.25"/>
    <row r="21582" ht="15" customHeight="1" x14ac:dyDescent="0.25"/>
    <row r="21583" ht="15" customHeight="1" x14ac:dyDescent="0.25"/>
    <row r="21584" ht="15" customHeight="1" x14ac:dyDescent="0.25"/>
    <row r="21585" ht="15" customHeight="1" x14ac:dyDescent="0.25"/>
    <row r="21586" ht="15" customHeight="1" x14ac:dyDescent="0.25"/>
    <row r="21587" ht="15" customHeight="1" x14ac:dyDescent="0.25"/>
    <row r="21588" ht="15" customHeight="1" x14ac:dyDescent="0.25"/>
    <row r="21589" ht="15" customHeight="1" x14ac:dyDescent="0.25"/>
    <row r="21590" ht="15" customHeight="1" x14ac:dyDescent="0.25"/>
    <row r="21591" ht="15" customHeight="1" x14ac:dyDescent="0.25"/>
    <row r="21592" ht="15" customHeight="1" x14ac:dyDescent="0.25"/>
    <row r="21593" ht="15" customHeight="1" x14ac:dyDescent="0.25"/>
    <row r="21594" ht="15" customHeight="1" x14ac:dyDescent="0.25"/>
    <row r="21595" ht="15" customHeight="1" x14ac:dyDescent="0.25"/>
    <row r="21596" ht="15" customHeight="1" x14ac:dyDescent="0.25"/>
    <row r="21597" ht="15" customHeight="1" x14ac:dyDescent="0.25"/>
    <row r="21598" ht="15" customHeight="1" x14ac:dyDescent="0.25"/>
    <row r="21599" ht="15" customHeight="1" x14ac:dyDescent="0.25"/>
    <row r="21600" ht="15" customHeight="1" x14ac:dyDescent="0.25"/>
    <row r="21601" ht="15" customHeight="1" x14ac:dyDescent="0.25"/>
    <row r="21602" ht="15" customHeight="1" x14ac:dyDescent="0.25"/>
    <row r="21603" ht="15" customHeight="1" x14ac:dyDescent="0.25"/>
    <row r="21604" ht="15" customHeight="1" x14ac:dyDescent="0.25"/>
    <row r="21605" ht="15" customHeight="1" x14ac:dyDescent="0.25"/>
    <row r="21606" ht="15" customHeight="1" x14ac:dyDescent="0.25"/>
    <row r="21607" ht="15" customHeight="1" x14ac:dyDescent="0.25"/>
    <row r="21608" ht="15" customHeight="1" x14ac:dyDescent="0.25"/>
    <row r="21609" ht="15" customHeight="1" x14ac:dyDescent="0.25"/>
    <row r="21610" ht="15" customHeight="1" x14ac:dyDescent="0.25"/>
    <row r="21611" ht="15" customHeight="1" x14ac:dyDescent="0.25"/>
    <row r="21612" ht="15" customHeight="1" x14ac:dyDescent="0.25"/>
    <row r="21613" ht="15" customHeight="1" x14ac:dyDescent="0.25"/>
    <row r="21614" ht="15" customHeight="1" x14ac:dyDescent="0.25"/>
    <row r="21615" ht="15" customHeight="1" x14ac:dyDescent="0.25"/>
    <row r="21616" ht="15" customHeight="1" x14ac:dyDescent="0.25"/>
    <row r="21617" ht="15" customHeight="1" x14ac:dyDescent="0.25"/>
    <row r="21618" ht="15" customHeight="1" x14ac:dyDescent="0.25"/>
    <row r="21619" ht="15" customHeight="1" x14ac:dyDescent="0.25"/>
    <row r="21620" ht="15" customHeight="1" x14ac:dyDescent="0.25"/>
    <row r="21621" ht="15" customHeight="1" x14ac:dyDescent="0.25"/>
    <row r="21622" ht="15" customHeight="1" x14ac:dyDescent="0.25"/>
    <row r="21623" ht="15" customHeight="1" x14ac:dyDescent="0.25"/>
    <row r="21624" ht="15" customHeight="1" x14ac:dyDescent="0.25"/>
    <row r="21625" ht="15" customHeight="1" x14ac:dyDescent="0.25"/>
    <row r="21626" ht="15" customHeight="1" x14ac:dyDescent="0.25"/>
    <row r="21627" ht="15" customHeight="1" x14ac:dyDescent="0.25"/>
    <row r="21628" ht="15" customHeight="1" x14ac:dyDescent="0.25"/>
    <row r="21629" ht="15" customHeight="1" x14ac:dyDescent="0.25"/>
    <row r="21630" ht="15" customHeight="1" x14ac:dyDescent="0.25"/>
    <row r="21631" ht="15" customHeight="1" x14ac:dyDescent="0.25"/>
    <row r="21632" ht="15" customHeight="1" x14ac:dyDescent="0.25"/>
    <row r="21633" ht="15" customHeight="1" x14ac:dyDescent="0.25"/>
    <row r="21634" ht="15" customHeight="1" x14ac:dyDescent="0.25"/>
    <row r="21635" ht="15" customHeight="1" x14ac:dyDescent="0.25"/>
    <row r="21636" ht="15" customHeight="1" x14ac:dyDescent="0.25"/>
    <row r="21637" ht="15" customHeight="1" x14ac:dyDescent="0.25"/>
    <row r="21638" ht="15" customHeight="1" x14ac:dyDescent="0.25"/>
    <row r="21639" ht="15" customHeight="1" x14ac:dyDescent="0.25"/>
    <row r="21640" ht="15" customHeight="1" x14ac:dyDescent="0.25"/>
    <row r="21641" ht="15" customHeight="1" x14ac:dyDescent="0.25"/>
    <row r="21642" ht="15" customHeight="1" x14ac:dyDescent="0.25"/>
    <row r="21643" ht="15" customHeight="1" x14ac:dyDescent="0.25"/>
    <row r="21644" ht="15" customHeight="1" x14ac:dyDescent="0.25"/>
    <row r="21645" ht="15" customHeight="1" x14ac:dyDescent="0.25"/>
    <row r="21646" ht="15" customHeight="1" x14ac:dyDescent="0.25"/>
    <row r="21647" ht="15" customHeight="1" x14ac:dyDescent="0.25"/>
    <row r="21648" ht="15" customHeight="1" x14ac:dyDescent="0.25"/>
    <row r="21649" ht="15" customHeight="1" x14ac:dyDescent="0.25"/>
    <row r="21650" ht="15" customHeight="1" x14ac:dyDescent="0.25"/>
    <row r="21651" ht="15" customHeight="1" x14ac:dyDescent="0.25"/>
    <row r="21652" ht="15" customHeight="1" x14ac:dyDescent="0.25"/>
    <row r="21653" ht="15" customHeight="1" x14ac:dyDescent="0.25"/>
    <row r="21654" ht="15" customHeight="1" x14ac:dyDescent="0.25"/>
    <row r="21655" ht="15" customHeight="1" x14ac:dyDescent="0.25"/>
    <row r="21656" ht="15" customHeight="1" x14ac:dyDescent="0.25"/>
    <row r="21657" ht="15" customHeight="1" x14ac:dyDescent="0.25"/>
    <row r="21658" ht="15" customHeight="1" x14ac:dyDescent="0.25"/>
    <row r="21659" ht="15" customHeight="1" x14ac:dyDescent="0.25"/>
    <row r="21660" ht="15" customHeight="1" x14ac:dyDescent="0.25"/>
    <row r="21661" ht="15" customHeight="1" x14ac:dyDescent="0.25"/>
    <row r="21662" ht="15" customHeight="1" x14ac:dyDescent="0.25"/>
    <row r="21663" ht="15" customHeight="1" x14ac:dyDescent="0.25"/>
    <row r="21664" ht="15" customHeight="1" x14ac:dyDescent="0.25"/>
    <row r="21665" ht="15" customHeight="1" x14ac:dyDescent="0.25"/>
    <row r="21666" ht="15" customHeight="1" x14ac:dyDescent="0.25"/>
    <row r="21667" ht="15" customHeight="1" x14ac:dyDescent="0.25"/>
    <row r="21668" ht="15" customHeight="1" x14ac:dyDescent="0.25"/>
    <row r="21669" ht="15" customHeight="1" x14ac:dyDescent="0.25"/>
    <row r="21670" ht="15" customHeight="1" x14ac:dyDescent="0.25"/>
    <row r="21671" ht="15" customHeight="1" x14ac:dyDescent="0.25"/>
    <row r="21672" ht="15" customHeight="1" x14ac:dyDescent="0.25"/>
    <row r="21673" ht="15" customHeight="1" x14ac:dyDescent="0.25"/>
    <row r="21674" ht="15" customHeight="1" x14ac:dyDescent="0.25"/>
    <row r="21675" ht="15" customHeight="1" x14ac:dyDescent="0.25"/>
    <row r="21676" ht="15" customHeight="1" x14ac:dyDescent="0.25"/>
    <row r="21677" ht="15" customHeight="1" x14ac:dyDescent="0.25"/>
    <row r="21678" ht="15" customHeight="1" x14ac:dyDescent="0.25"/>
    <row r="21679" ht="15" customHeight="1" x14ac:dyDescent="0.25"/>
    <row r="21680" ht="15" customHeight="1" x14ac:dyDescent="0.25"/>
    <row r="21681" ht="15" customHeight="1" x14ac:dyDescent="0.25"/>
    <row r="21682" ht="15" customHeight="1" x14ac:dyDescent="0.25"/>
    <row r="21683" ht="15" customHeight="1" x14ac:dyDescent="0.25"/>
    <row r="21684" ht="15" customHeight="1" x14ac:dyDescent="0.25"/>
    <row r="21685" ht="15" customHeight="1" x14ac:dyDescent="0.25"/>
    <row r="21686" ht="15" customHeight="1" x14ac:dyDescent="0.25"/>
    <row r="21687" ht="15" customHeight="1" x14ac:dyDescent="0.25"/>
    <row r="21688" ht="15" customHeight="1" x14ac:dyDescent="0.25"/>
    <row r="21689" ht="15" customHeight="1" x14ac:dyDescent="0.25"/>
    <row r="21690" ht="15" customHeight="1" x14ac:dyDescent="0.25"/>
    <row r="21691" ht="15" customHeight="1" x14ac:dyDescent="0.25"/>
    <row r="21692" ht="15" customHeight="1" x14ac:dyDescent="0.25"/>
    <row r="21693" ht="15" customHeight="1" x14ac:dyDescent="0.25"/>
    <row r="21694" ht="15" customHeight="1" x14ac:dyDescent="0.25"/>
    <row r="21695" ht="15" customHeight="1" x14ac:dyDescent="0.25"/>
    <row r="21696" ht="15" customHeight="1" x14ac:dyDescent="0.25"/>
    <row r="21697" ht="15" customHeight="1" x14ac:dyDescent="0.25"/>
    <row r="21698" ht="15" customHeight="1" x14ac:dyDescent="0.25"/>
    <row r="21699" ht="15" customHeight="1" x14ac:dyDescent="0.25"/>
    <row r="21700" ht="15" customHeight="1" x14ac:dyDescent="0.25"/>
    <row r="21701" ht="15" customHeight="1" x14ac:dyDescent="0.25"/>
    <row r="21702" ht="15" customHeight="1" x14ac:dyDescent="0.25"/>
    <row r="21703" ht="15" customHeight="1" x14ac:dyDescent="0.25"/>
    <row r="21704" ht="15" customHeight="1" x14ac:dyDescent="0.25"/>
    <row r="21705" ht="15" customHeight="1" x14ac:dyDescent="0.25"/>
    <row r="21706" ht="15" customHeight="1" x14ac:dyDescent="0.25"/>
    <row r="21707" ht="15" customHeight="1" x14ac:dyDescent="0.25"/>
    <row r="21708" ht="15" customHeight="1" x14ac:dyDescent="0.25"/>
    <row r="21709" ht="15" customHeight="1" x14ac:dyDescent="0.25"/>
    <row r="21710" ht="15" customHeight="1" x14ac:dyDescent="0.25"/>
    <row r="21711" ht="15" customHeight="1" x14ac:dyDescent="0.25"/>
    <row r="21712" ht="15" customHeight="1" x14ac:dyDescent="0.25"/>
    <row r="21713" ht="15" customHeight="1" x14ac:dyDescent="0.25"/>
    <row r="21714" ht="15" customHeight="1" x14ac:dyDescent="0.25"/>
    <row r="21715" ht="15" customHeight="1" x14ac:dyDescent="0.25"/>
    <row r="21716" ht="15" customHeight="1" x14ac:dyDescent="0.25"/>
    <row r="21717" ht="15" customHeight="1" x14ac:dyDescent="0.25"/>
    <row r="21718" ht="15" customHeight="1" x14ac:dyDescent="0.25"/>
    <row r="21719" ht="15" customHeight="1" x14ac:dyDescent="0.25"/>
    <row r="21720" ht="15" customHeight="1" x14ac:dyDescent="0.25"/>
    <row r="21721" ht="15" customHeight="1" x14ac:dyDescent="0.25"/>
    <row r="21722" ht="15" customHeight="1" x14ac:dyDescent="0.25"/>
    <row r="21723" ht="15" customHeight="1" x14ac:dyDescent="0.25"/>
    <row r="21724" ht="15" customHeight="1" x14ac:dyDescent="0.25"/>
    <row r="21725" ht="15" customHeight="1" x14ac:dyDescent="0.25"/>
    <row r="21726" ht="15" customHeight="1" x14ac:dyDescent="0.25"/>
    <row r="21727" ht="15" customHeight="1" x14ac:dyDescent="0.25"/>
    <row r="21728" ht="15" customHeight="1" x14ac:dyDescent="0.25"/>
    <row r="21729" ht="15" customHeight="1" x14ac:dyDescent="0.25"/>
    <row r="21730" ht="15" customHeight="1" x14ac:dyDescent="0.25"/>
    <row r="21731" ht="15" customHeight="1" x14ac:dyDescent="0.25"/>
    <row r="21732" ht="15" customHeight="1" x14ac:dyDescent="0.25"/>
    <row r="21733" ht="15" customHeight="1" x14ac:dyDescent="0.25"/>
    <row r="21734" ht="15" customHeight="1" x14ac:dyDescent="0.25"/>
    <row r="21735" ht="15" customHeight="1" x14ac:dyDescent="0.25"/>
    <row r="21736" ht="15" customHeight="1" x14ac:dyDescent="0.25"/>
    <row r="21737" ht="15" customHeight="1" x14ac:dyDescent="0.25"/>
    <row r="21738" ht="15" customHeight="1" x14ac:dyDescent="0.25"/>
    <row r="21739" ht="15" customHeight="1" x14ac:dyDescent="0.25"/>
    <row r="21740" ht="15" customHeight="1" x14ac:dyDescent="0.25"/>
    <row r="21741" ht="15" customHeight="1" x14ac:dyDescent="0.25"/>
    <row r="21742" ht="15" customHeight="1" x14ac:dyDescent="0.25"/>
    <row r="21743" ht="15" customHeight="1" x14ac:dyDescent="0.25"/>
    <row r="21744" ht="15" customHeight="1" x14ac:dyDescent="0.25"/>
    <row r="21745" ht="15" customHeight="1" x14ac:dyDescent="0.25"/>
    <row r="21746" ht="15" customHeight="1" x14ac:dyDescent="0.25"/>
    <row r="21747" ht="15" customHeight="1" x14ac:dyDescent="0.25"/>
    <row r="21748" ht="15" customHeight="1" x14ac:dyDescent="0.25"/>
    <row r="21749" ht="15" customHeight="1" x14ac:dyDescent="0.25"/>
    <row r="21750" ht="15" customHeight="1" x14ac:dyDescent="0.25"/>
    <row r="21751" ht="15" customHeight="1" x14ac:dyDescent="0.25"/>
    <row r="21752" ht="15" customHeight="1" x14ac:dyDescent="0.25"/>
    <row r="21753" ht="15" customHeight="1" x14ac:dyDescent="0.25"/>
    <row r="21754" ht="15" customHeight="1" x14ac:dyDescent="0.25"/>
    <row r="21755" ht="15" customHeight="1" x14ac:dyDescent="0.25"/>
    <row r="21756" ht="15" customHeight="1" x14ac:dyDescent="0.25"/>
    <row r="21757" ht="15" customHeight="1" x14ac:dyDescent="0.25"/>
    <row r="21758" ht="15" customHeight="1" x14ac:dyDescent="0.25"/>
    <row r="21759" ht="15" customHeight="1" x14ac:dyDescent="0.25"/>
    <row r="21760" ht="15" customHeight="1" x14ac:dyDescent="0.25"/>
    <row r="21761" ht="15" customHeight="1" x14ac:dyDescent="0.25"/>
    <row r="21762" ht="15" customHeight="1" x14ac:dyDescent="0.25"/>
    <row r="21763" ht="15" customHeight="1" x14ac:dyDescent="0.25"/>
    <row r="21764" ht="15" customHeight="1" x14ac:dyDescent="0.25"/>
    <row r="21765" ht="15" customHeight="1" x14ac:dyDescent="0.25"/>
    <row r="21766" ht="15" customHeight="1" x14ac:dyDescent="0.25"/>
    <row r="21767" ht="15" customHeight="1" x14ac:dyDescent="0.25"/>
    <row r="21768" ht="15" customHeight="1" x14ac:dyDescent="0.25"/>
    <row r="21769" ht="15" customHeight="1" x14ac:dyDescent="0.25"/>
    <row r="21770" ht="15" customHeight="1" x14ac:dyDescent="0.25"/>
    <row r="21771" ht="15" customHeight="1" x14ac:dyDescent="0.25"/>
    <row r="21772" ht="15" customHeight="1" x14ac:dyDescent="0.25"/>
    <row r="21773" ht="15" customHeight="1" x14ac:dyDescent="0.25"/>
    <row r="21774" ht="15" customHeight="1" x14ac:dyDescent="0.25"/>
    <row r="21775" ht="15" customHeight="1" x14ac:dyDescent="0.25"/>
    <row r="21776" ht="15" customHeight="1" x14ac:dyDescent="0.25"/>
    <row r="21777" ht="15" customHeight="1" x14ac:dyDescent="0.25"/>
    <row r="21778" ht="15" customHeight="1" x14ac:dyDescent="0.25"/>
    <row r="21779" ht="15" customHeight="1" x14ac:dyDescent="0.25"/>
    <row r="21780" ht="15" customHeight="1" x14ac:dyDescent="0.25"/>
    <row r="21781" ht="15" customHeight="1" x14ac:dyDescent="0.25"/>
    <row r="21782" ht="15" customHeight="1" x14ac:dyDescent="0.25"/>
    <row r="21783" ht="15" customHeight="1" x14ac:dyDescent="0.25"/>
    <row r="21784" ht="15" customHeight="1" x14ac:dyDescent="0.25"/>
    <row r="21785" ht="15" customHeight="1" x14ac:dyDescent="0.25"/>
    <row r="21786" ht="15" customHeight="1" x14ac:dyDescent="0.25"/>
    <row r="21787" ht="15" customHeight="1" x14ac:dyDescent="0.25"/>
    <row r="21788" ht="15" customHeight="1" x14ac:dyDescent="0.25"/>
    <row r="21789" ht="15" customHeight="1" x14ac:dyDescent="0.25"/>
    <row r="21790" ht="15" customHeight="1" x14ac:dyDescent="0.25"/>
    <row r="21791" ht="15" customHeight="1" x14ac:dyDescent="0.25"/>
    <row r="21792" ht="15" customHeight="1" x14ac:dyDescent="0.25"/>
    <row r="21793" ht="15" customHeight="1" x14ac:dyDescent="0.25"/>
    <row r="21794" ht="15" customHeight="1" x14ac:dyDescent="0.25"/>
    <row r="21795" ht="15" customHeight="1" x14ac:dyDescent="0.25"/>
    <row r="21796" ht="15" customHeight="1" x14ac:dyDescent="0.25"/>
    <row r="21797" ht="15" customHeight="1" x14ac:dyDescent="0.25"/>
    <row r="21798" ht="15" customHeight="1" x14ac:dyDescent="0.25"/>
    <row r="21799" ht="15" customHeight="1" x14ac:dyDescent="0.25"/>
    <row r="21800" ht="15" customHeight="1" x14ac:dyDescent="0.25"/>
    <row r="21801" ht="15" customHeight="1" x14ac:dyDescent="0.25"/>
    <row r="21802" ht="15" customHeight="1" x14ac:dyDescent="0.25"/>
    <row r="21803" ht="15" customHeight="1" x14ac:dyDescent="0.25"/>
    <row r="21804" ht="15" customHeight="1" x14ac:dyDescent="0.25"/>
    <row r="21805" ht="15" customHeight="1" x14ac:dyDescent="0.25"/>
    <row r="21806" ht="15" customHeight="1" x14ac:dyDescent="0.25"/>
    <row r="21807" ht="15" customHeight="1" x14ac:dyDescent="0.25"/>
    <row r="21808" ht="15" customHeight="1" x14ac:dyDescent="0.25"/>
    <row r="21809" ht="15" customHeight="1" x14ac:dyDescent="0.25"/>
    <row r="21810" ht="15" customHeight="1" x14ac:dyDescent="0.25"/>
    <row r="21811" ht="15" customHeight="1" x14ac:dyDescent="0.25"/>
    <row r="21812" ht="15" customHeight="1" x14ac:dyDescent="0.25"/>
    <row r="21813" ht="15" customHeight="1" x14ac:dyDescent="0.25"/>
    <row r="21814" ht="15" customHeight="1" x14ac:dyDescent="0.25"/>
    <row r="21815" ht="15" customHeight="1" x14ac:dyDescent="0.25"/>
    <row r="21816" ht="15" customHeight="1" x14ac:dyDescent="0.25"/>
    <row r="21817" ht="15" customHeight="1" x14ac:dyDescent="0.25"/>
    <row r="21818" ht="15" customHeight="1" x14ac:dyDescent="0.25"/>
    <row r="21819" ht="15" customHeight="1" x14ac:dyDescent="0.25"/>
    <row r="21820" ht="15" customHeight="1" x14ac:dyDescent="0.25"/>
    <row r="21821" ht="15" customHeight="1" x14ac:dyDescent="0.25"/>
    <row r="21822" ht="15" customHeight="1" x14ac:dyDescent="0.25"/>
    <row r="21823" ht="15" customHeight="1" x14ac:dyDescent="0.25"/>
    <row r="21824" ht="15" customHeight="1" x14ac:dyDescent="0.25"/>
    <row r="21825" ht="15" customHeight="1" x14ac:dyDescent="0.25"/>
    <row r="21826" ht="15" customHeight="1" x14ac:dyDescent="0.25"/>
    <row r="21827" ht="15" customHeight="1" x14ac:dyDescent="0.25"/>
    <row r="21828" ht="15" customHeight="1" x14ac:dyDescent="0.25"/>
    <row r="21829" ht="15" customHeight="1" x14ac:dyDescent="0.25"/>
    <row r="21830" ht="15" customHeight="1" x14ac:dyDescent="0.25"/>
    <row r="21831" ht="15" customHeight="1" x14ac:dyDescent="0.25"/>
    <row r="21832" ht="15" customHeight="1" x14ac:dyDescent="0.25"/>
    <row r="21833" ht="15" customHeight="1" x14ac:dyDescent="0.25"/>
    <row r="21834" ht="15" customHeight="1" x14ac:dyDescent="0.25"/>
    <row r="21835" ht="15" customHeight="1" x14ac:dyDescent="0.25"/>
    <row r="21836" ht="15" customHeight="1" x14ac:dyDescent="0.25"/>
    <row r="21837" ht="15" customHeight="1" x14ac:dyDescent="0.25"/>
    <row r="21838" ht="15" customHeight="1" x14ac:dyDescent="0.25"/>
    <row r="21839" ht="15" customHeight="1" x14ac:dyDescent="0.25"/>
    <row r="21840" ht="15" customHeight="1" x14ac:dyDescent="0.25"/>
    <row r="21841" ht="15" customHeight="1" x14ac:dyDescent="0.25"/>
    <row r="21842" ht="15" customHeight="1" x14ac:dyDescent="0.25"/>
    <row r="21843" ht="15" customHeight="1" x14ac:dyDescent="0.25"/>
    <row r="21844" ht="15" customHeight="1" x14ac:dyDescent="0.25"/>
    <row r="21845" ht="15" customHeight="1" x14ac:dyDescent="0.25"/>
    <row r="21846" ht="15" customHeight="1" x14ac:dyDescent="0.25"/>
    <row r="21847" ht="15" customHeight="1" x14ac:dyDescent="0.25"/>
    <row r="21848" ht="15" customHeight="1" x14ac:dyDescent="0.25"/>
    <row r="21849" ht="15" customHeight="1" x14ac:dyDescent="0.25"/>
    <row r="21850" ht="15" customHeight="1" x14ac:dyDescent="0.25"/>
    <row r="21851" ht="15" customHeight="1" x14ac:dyDescent="0.25"/>
    <row r="21852" ht="15" customHeight="1" x14ac:dyDescent="0.25"/>
    <row r="21853" ht="15" customHeight="1" x14ac:dyDescent="0.25"/>
    <row r="21854" ht="15" customHeight="1" x14ac:dyDescent="0.25"/>
    <row r="21855" ht="15" customHeight="1" x14ac:dyDescent="0.25"/>
    <row r="21856" ht="15" customHeight="1" x14ac:dyDescent="0.25"/>
    <row r="21857" ht="15" customHeight="1" x14ac:dyDescent="0.25"/>
    <row r="21858" ht="15" customHeight="1" x14ac:dyDescent="0.25"/>
    <row r="21859" ht="15" customHeight="1" x14ac:dyDescent="0.25"/>
    <row r="21860" ht="15" customHeight="1" x14ac:dyDescent="0.25"/>
    <row r="21861" ht="15" customHeight="1" x14ac:dyDescent="0.25"/>
    <row r="21862" ht="15" customHeight="1" x14ac:dyDescent="0.25"/>
    <row r="21863" ht="15" customHeight="1" x14ac:dyDescent="0.25"/>
    <row r="21864" ht="15" customHeight="1" x14ac:dyDescent="0.25"/>
    <row r="21865" ht="15" customHeight="1" x14ac:dyDescent="0.25"/>
    <row r="21866" ht="15" customHeight="1" x14ac:dyDescent="0.25"/>
    <row r="21867" ht="15" customHeight="1" x14ac:dyDescent="0.25"/>
    <row r="21868" ht="15" customHeight="1" x14ac:dyDescent="0.25"/>
    <row r="21869" ht="15" customHeight="1" x14ac:dyDescent="0.25"/>
    <row r="21870" ht="15" customHeight="1" x14ac:dyDescent="0.25"/>
    <row r="21871" ht="15" customHeight="1" x14ac:dyDescent="0.25"/>
    <row r="21872" ht="15" customHeight="1" x14ac:dyDescent="0.25"/>
    <row r="21873" ht="15" customHeight="1" x14ac:dyDescent="0.25"/>
    <row r="21874" ht="15" customHeight="1" x14ac:dyDescent="0.25"/>
    <row r="21875" ht="15" customHeight="1" x14ac:dyDescent="0.25"/>
    <row r="21876" ht="15" customHeight="1" x14ac:dyDescent="0.25"/>
    <row r="21877" ht="15" customHeight="1" x14ac:dyDescent="0.25"/>
    <row r="21878" ht="15" customHeight="1" x14ac:dyDescent="0.25"/>
    <row r="21879" ht="15" customHeight="1" x14ac:dyDescent="0.25"/>
    <row r="21880" ht="15" customHeight="1" x14ac:dyDescent="0.25"/>
    <row r="21881" ht="15" customHeight="1" x14ac:dyDescent="0.25"/>
    <row r="21882" ht="15" customHeight="1" x14ac:dyDescent="0.25"/>
    <row r="21883" ht="15" customHeight="1" x14ac:dyDescent="0.25"/>
    <row r="21884" ht="15" customHeight="1" x14ac:dyDescent="0.25"/>
    <row r="21885" ht="15" customHeight="1" x14ac:dyDescent="0.25"/>
    <row r="21886" ht="15" customHeight="1" x14ac:dyDescent="0.25"/>
    <row r="21887" ht="15" customHeight="1" x14ac:dyDescent="0.25"/>
    <row r="21888" ht="15" customHeight="1" x14ac:dyDescent="0.25"/>
    <row r="21889" ht="15" customHeight="1" x14ac:dyDescent="0.25"/>
    <row r="21890" ht="15" customHeight="1" x14ac:dyDescent="0.25"/>
    <row r="21891" ht="15" customHeight="1" x14ac:dyDescent="0.25"/>
    <row r="21892" ht="15" customHeight="1" x14ac:dyDescent="0.25"/>
    <row r="21893" ht="15" customHeight="1" x14ac:dyDescent="0.25"/>
    <row r="21894" ht="15" customHeight="1" x14ac:dyDescent="0.25"/>
    <row r="21895" ht="15" customHeight="1" x14ac:dyDescent="0.25"/>
    <row r="21896" ht="15" customHeight="1" x14ac:dyDescent="0.25"/>
    <row r="21897" ht="15" customHeight="1" x14ac:dyDescent="0.25"/>
    <row r="21898" ht="15" customHeight="1" x14ac:dyDescent="0.25"/>
    <row r="21899" ht="15" customHeight="1" x14ac:dyDescent="0.25"/>
    <row r="21900" ht="15" customHeight="1" x14ac:dyDescent="0.25"/>
    <row r="21901" ht="15" customHeight="1" x14ac:dyDescent="0.25"/>
    <row r="21902" ht="15" customHeight="1" x14ac:dyDescent="0.25"/>
    <row r="21903" ht="15" customHeight="1" x14ac:dyDescent="0.25"/>
    <row r="21904" ht="15" customHeight="1" x14ac:dyDescent="0.25"/>
    <row r="21905" ht="15" customHeight="1" x14ac:dyDescent="0.25"/>
    <row r="21906" ht="15" customHeight="1" x14ac:dyDescent="0.25"/>
    <row r="21907" ht="15" customHeight="1" x14ac:dyDescent="0.25"/>
    <row r="21908" ht="15" customHeight="1" x14ac:dyDescent="0.25"/>
    <row r="21909" ht="15" customHeight="1" x14ac:dyDescent="0.25"/>
    <row r="21910" ht="15" customHeight="1" x14ac:dyDescent="0.25"/>
    <row r="21911" ht="15" customHeight="1" x14ac:dyDescent="0.25"/>
    <row r="21912" ht="15" customHeight="1" x14ac:dyDescent="0.25"/>
    <row r="21913" ht="15" customHeight="1" x14ac:dyDescent="0.25"/>
    <row r="21914" ht="15" customHeight="1" x14ac:dyDescent="0.25"/>
    <row r="21915" ht="15" customHeight="1" x14ac:dyDescent="0.25"/>
    <row r="21916" ht="15" customHeight="1" x14ac:dyDescent="0.25"/>
    <row r="21917" ht="15" customHeight="1" x14ac:dyDescent="0.25"/>
    <row r="21918" ht="15" customHeight="1" x14ac:dyDescent="0.25"/>
    <row r="21919" ht="15" customHeight="1" x14ac:dyDescent="0.25"/>
    <row r="21920" ht="15" customHeight="1" x14ac:dyDescent="0.25"/>
    <row r="21921" ht="15" customHeight="1" x14ac:dyDescent="0.25"/>
    <row r="21922" ht="15" customHeight="1" x14ac:dyDescent="0.25"/>
    <row r="21923" ht="15" customHeight="1" x14ac:dyDescent="0.25"/>
    <row r="21924" ht="15" customHeight="1" x14ac:dyDescent="0.25"/>
    <row r="21925" ht="15" customHeight="1" x14ac:dyDescent="0.25"/>
    <row r="21926" ht="15" customHeight="1" x14ac:dyDescent="0.25"/>
    <row r="21927" ht="15" customHeight="1" x14ac:dyDescent="0.25"/>
    <row r="21928" ht="15" customHeight="1" x14ac:dyDescent="0.25"/>
    <row r="21929" ht="15" customHeight="1" x14ac:dyDescent="0.25"/>
    <row r="21930" ht="15" customHeight="1" x14ac:dyDescent="0.25"/>
    <row r="21931" ht="15" customHeight="1" x14ac:dyDescent="0.25"/>
    <row r="21932" ht="15" customHeight="1" x14ac:dyDescent="0.25"/>
    <row r="21933" ht="15" customHeight="1" x14ac:dyDescent="0.25"/>
    <row r="21934" ht="15" customHeight="1" x14ac:dyDescent="0.25"/>
    <row r="21935" ht="15" customHeight="1" x14ac:dyDescent="0.25"/>
    <row r="21936" ht="15" customHeight="1" x14ac:dyDescent="0.25"/>
    <row r="21937" ht="15" customHeight="1" x14ac:dyDescent="0.25"/>
    <row r="21938" ht="15" customHeight="1" x14ac:dyDescent="0.25"/>
    <row r="21939" ht="15" customHeight="1" x14ac:dyDescent="0.25"/>
    <row r="21940" ht="15" customHeight="1" x14ac:dyDescent="0.25"/>
    <row r="21941" ht="15" customHeight="1" x14ac:dyDescent="0.25"/>
    <row r="21942" ht="15" customHeight="1" x14ac:dyDescent="0.25"/>
    <row r="21943" ht="15" customHeight="1" x14ac:dyDescent="0.25"/>
    <row r="21944" ht="15" customHeight="1" x14ac:dyDescent="0.25"/>
    <row r="21945" ht="15" customHeight="1" x14ac:dyDescent="0.25"/>
    <row r="21946" ht="15" customHeight="1" x14ac:dyDescent="0.25"/>
    <row r="21947" ht="15" customHeight="1" x14ac:dyDescent="0.25"/>
    <row r="21948" ht="15" customHeight="1" x14ac:dyDescent="0.25"/>
    <row r="21949" ht="15" customHeight="1" x14ac:dyDescent="0.25"/>
    <row r="21950" ht="15" customHeight="1" x14ac:dyDescent="0.25"/>
    <row r="21951" ht="15" customHeight="1" x14ac:dyDescent="0.25"/>
    <row r="21952" ht="15" customHeight="1" x14ac:dyDescent="0.25"/>
    <row r="21953" ht="15" customHeight="1" x14ac:dyDescent="0.25"/>
    <row r="21954" ht="15" customHeight="1" x14ac:dyDescent="0.25"/>
    <row r="21955" ht="15" customHeight="1" x14ac:dyDescent="0.25"/>
    <row r="21956" ht="15" customHeight="1" x14ac:dyDescent="0.25"/>
    <row r="21957" ht="15" customHeight="1" x14ac:dyDescent="0.25"/>
    <row r="21958" ht="15" customHeight="1" x14ac:dyDescent="0.25"/>
    <row r="21959" ht="15" customHeight="1" x14ac:dyDescent="0.25"/>
    <row r="21960" ht="15" customHeight="1" x14ac:dyDescent="0.25"/>
    <row r="21961" ht="15" customHeight="1" x14ac:dyDescent="0.25"/>
    <row r="21962" ht="15" customHeight="1" x14ac:dyDescent="0.25"/>
    <row r="21963" ht="15" customHeight="1" x14ac:dyDescent="0.25"/>
    <row r="21964" ht="15" customHeight="1" x14ac:dyDescent="0.25"/>
    <row r="21965" ht="15" customHeight="1" x14ac:dyDescent="0.25"/>
    <row r="21966" ht="15" customHeight="1" x14ac:dyDescent="0.25"/>
    <row r="21967" ht="15" customHeight="1" x14ac:dyDescent="0.25"/>
    <row r="21968" ht="15" customHeight="1" x14ac:dyDescent="0.25"/>
    <row r="21969" ht="15" customHeight="1" x14ac:dyDescent="0.25"/>
    <row r="21970" ht="15" customHeight="1" x14ac:dyDescent="0.25"/>
    <row r="21971" ht="15" customHeight="1" x14ac:dyDescent="0.25"/>
    <row r="21972" ht="15" customHeight="1" x14ac:dyDescent="0.25"/>
    <row r="21973" ht="15" customHeight="1" x14ac:dyDescent="0.25"/>
    <row r="21974" ht="15" customHeight="1" x14ac:dyDescent="0.25"/>
    <row r="21975" ht="15" customHeight="1" x14ac:dyDescent="0.25"/>
    <row r="21976" ht="15" customHeight="1" x14ac:dyDescent="0.25"/>
    <row r="21977" ht="15" customHeight="1" x14ac:dyDescent="0.25"/>
    <row r="21978" ht="15" customHeight="1" x14ac:dyDescent="0.25"/>
    <row r="21979" ht="15" customHeight="1" x14ac:dyDescent="0.25"/>
    <row r="21980" ht="15" customHeight="1" x14ac:dyDescent="0.25"/>
    <row r="21981" ht="15" customHeight="1" x14ac:dyDescent="0.25"/>
    <row r="21982" ht="15" customHeight="1" x14ac:dyDescent="0.25"/>
    <row r="21983" ht="15" customHeight="1" x14ac:dyDescent="0.25"/>
    <row r="21984" ht="15" customHeight="1" x14ac:dyDescent="0.25"/>
    <row r="21985" ht="15" customHeight="1" x14ac:dyDescent="0.25"/>
    <row r="21986" ht="15" customHeight="1" x14ac:dyDescent="0.25"/>
    <row r="21987" ht="15" customHeight="1" x14ac:dyDescent="0.25"/>
    <row r="21988" ht="15" customHeight="1" x14ac:dyDescent="0.25"/>
    <row r="21989" ht="15" customHeight="1" x14ac:dyDescent="0.25"/>
    <row r="21990" ht="15" customHeight="1" x14ac:dyDescent="0.25"/>
    <row r="21991" ht="15" customHeight="1" x14ac:dyDescent="0.25"/>
    <row r="21992" ht="15" customHeight="1" x14ac:dyDescent="0.25"/>
    <row r="21993" ht="15" customHeight="1" x14ac:dyDescent="0.25"/>
    <row r="21994" ht="15" customHeight="1" x14ac:dyDescent="0.25"/>
    <row r="21995" ht="15" customHeight="1" x14ac:dyDescent="0.25"/>
    <row r="21996" ht="15" customHeight="1" x14ac:dyDescent="0.25"/>
    <row r="21997" ht="15" customHeight="1" x14ac:dyDescent="0.25"/>
    <row r="21998" ht="15" customHeight="1" x14ac:dyDescent="0.25"/>
    <row r="21999" ht="15" customHeight="1" x14ac:dyDescent="0.25"/>
    <row r="22000" ht="15" customHeight="1" x14ac:dyDescent="0.25"/>
    <row r="22001" ht="15" customHeight="1" x14ac:dyDescent="0.25"/>
    <row r="22002" ht="15" customHeight="1" x14ac:dyDescent="0.25"/>
    <row r="22003" ht="15" customHeight="1" x14ac:dyDescent="0.25"/>
    <row r="22004" ht="15" customHeight="1" x14ac:dyDescent="0.25"/>
    <row r="22005" ht="15" customHeight="1" x14ac:dyDescent="0.25"/>
    <row r="22006" ht="15" customHeight="1" x14ac:dyDescent="0.25"/>
    <row r="22007" ht="15" customHeight="1" x14ac:dyDescent="0.25"/>
    <row r="22008" ht="15" customHeight="1" x14ac:dyDescent="0.25"/>
    <row r="22009" ht="15" customHeight="1" x14ac:dyDescent="0.25"/>
    <row r="22010" ht="15" customHeight="1" x14ac:dyDescent="0.25"/>
    <row r="22011" ht="15" customHeight="1" x14ac:dyDescent="0.25"/>
    <row r="22012" ht="15" customHeight="1" x14ac:dyDescent="0.25"/>
    <row r="22013" ht="15" customHeight="1" x14ac:dyDescent="0.25"/>
    <row r="22014" ht="15" customHeight="1" x14ac:dyDescent="0.25"/>
    <row r="22015" ht="15" customHeight="1" x14ac:dyDescent="0.25"/>
    <row r="22016" ht="15" customHeight="1" x14ac:dyDescent="0.25"/>
    <row r="22017" ht="15" customHeight="1" x14ac:dyDescent="0.25"/>
    <row r="22018" ht="15" customHeight="1" x14ac:dyDescent="0.25"/>
    <row r="22019" ht="15" customHeight="1" x14ac:dyDescent="0.25"/>
    <row r="22020" ht="15" customHeight="1" x14ac:dyDescent="0.25"/>
    <row r="22021" ht="15" customHeight="1" x14ac:dyDescent="0.25"/>
    <row r="22022" ht="15" customHeight="1" x14ac:dyDescent="0.25"/>
    <row r="22023" ht="15" customHeight="1" x14ac:dyDescent="0.25"/>
    <row r="22024" ht="15" customHeight="1" x14ac:dyDescent="0.25"/>
    <row r="22025" ht="15" customHeight="1" x14ac:dyDescent="0.25"/>
    <row r="22026" ht="15" customHeight="1" x14ac:dyDescent="0.25"/>
    <row r="22027" ht="15" customHeight="1" x14ac:dyDescent="0.25"/>
    <row r="22028" ht="15" customHeight="1" x14ac:dyDescent="0.25"/>
    <row r="22029" ht="15" customHeight="1" x14ac:dyDescent="0.25"/>
    <row r="22030" ht="15" customHeight="1" x14ac:dyDescent="0.25"/>
    <row r="22031" ht="15" customHeight="1" x14ac:dyDescent="0.25"/>
    <row r="22032" ht="15" customHeight="1" x14ac:dyDescent="0.25"/>
    <row r="22033" ht="15" customHeight="1" x14ac:dyDescent="0.25"/>
    <row r="22034" ht="15" customHeight="1" x14ac:dyDescent="0.25"/>
    <row r="22035" ht="15" customHeight="1" x14ac:dyDescent="0.25"/>
    <row r="22036" ht="15" customHeight="1" x14ac:dyDescent="0.25"/>
    <row r="22037" ht="15" customHeight="1" x14ac:dyDescent="0.25"/>
    <row r="22038" ht="15" customHeight="1" x14ac:dyDescent="0.25"/>
    <row r="22039" ht="15" customHeight="1" x14ac:dyDescent="0.25"/>
    <row r="22040" ht="15" customHeight="1" x14ac:dyDescent="0.25"/>
    <row r="22041" ht="15" customHeight="1" x14ac:dyDescent="0.25"/>
    <row r="22042" ht="15" customHeight="1" x14ac:dyDescent="0.25"/>
    <row r="22043" ht="15" customHeight="1" x14ac:dyDescent="0.25"/>
    <row r="22044" ht="15" customHeight="1" x14ac:dyDescent="0.25"/>
    <row r="22045" ht="15" customHeight="1" x14ac:dyDescent="0.25"/>
    <row r="22046" ht="15" customHeight="1" x14ac:dyDescent="0.25"/>
    <row r="22047" ht="15" customHeight="1" x14ac:dyDescent="0.25"/>
    <row r="22048" ht="15" customHeight="1" x14ac:dyDescent="0.25"/>
    <row r="22049" ht="15" customHeight="1" x14ac:dyDescent="0.25"/>
    <row r="22050" ht="15" customHeight="1" x14ac:dyDescent="0.25"/>
    <row r="22051" ht="15" customHeight="1" x14ac:dyDescent="0.25"/>
    <row r="22052" ht="15" customHeight="1" x14ac:dyDescent="0.25"/>
    <row r="22053" ht="15" customHeight="1" x14ac:dyDescent="0.25"/>
    <row r="22054" ht="15" customHeight="1" x14ac:dyDescent="0.25"/>
    <row r="22055" ht="15" customHeight="1" x14ac:dyDescent="0.25"/>
    <row r="22056" ht="15" customHeight="1" x14ac:dyDescent="0.25"/>
    <row r="22057" ht="15" customHeight="1" x14ac:dyDescent="0.25"/>
    <row r="22058" ht="15" customHeight="1" x14ac:dyDescent="0.25"/>
    <row r="22059" ht="15" customHeight="1" x14ac:dyDescent="0.25"/>
    <row r="22060" ht="15" customHeight="1" x14ac:dyDescent="0.25"/>
    <row r="22061" ht="15" customHeight="1" x14ac:dyDescent="0.25"/>
    <row r="22062" ht="15" customHeight="1" x14ac:dyDescent="0.25"/>
    <row r="22063" ht="15" customHeight="1" x14ac:dyDescent="0.25"/>
    <row r="22064" ht="15" customHeight="1" x14ac:dyDescent="0.25"/>
    <row r="22065" ht="15" customHeight="1" x14ac:dyDescent="0.25"/>
    <row r="22066" ht="15" customHeight="1" x14ac:dyDescent="0.25"/>
    <row r="22067" ht="15" customHeight="1" x14ac:dyDescent="0.25"/>
    <row r="22068" ht="15" customHeight="1" x14ac:dyDescent="0.25"/>
    <row r="22069" ht="15" customHeight="1" x14ac:dyDescent="0.25"/>
    <row r="22070" ht="15" customHeight="1" x14ac:dyDescent="0.25"/>
    <row r="22071" ht="15" customHeight="1" x14ac:dyDescent="0.25"/>
    <row r="22072" ht="15" customHeight="1" x14ac:dyDescent="0.25"/>
    <row r="22073" ht="15" customHeight="1" x14ac:dyDescent="0.25"/>
    <row r="22074" ht="15" customHeight="1" x14ac:dyDescent="0.25"/>
    <row r="22075" ht="15" customHeight="1" x14ac:dyDescent="0.25"/>
    <row r="22076" ht="15" customHeight="1" x14ac:dyDescent="0.25"/>
    <row r="22077" ht="15" customHeight="1" x14ac:dyDescent="0.25"/>
    <row r="22078" ht="15" customHeight="1" x14ac:dyDescent="0.25"/>
    <row r="22079" ht="15" customHeight="1" x14ac:dyDescent="0.25"/>
    <row r="22080" ht="15" customHeight="1" x14ac:dyDescent="0.25"/>
    <row r="22081" ht="15" customHeight="1" x14ac:dyDescent="0.25"/>
    <row r="22082" ht="15" customHeight="1" x14ac:dyDescent="0.25"/>
    <row r="22083" ht="15" customHeight="1" x14ac:dyDescent="0.25"/>
    <row r="22084" ht="15" customHeight="1" x14ac:dyDescent="0.25"/>
    <row r="22085" ht="15" customHeight="1" x14ac:dyDescent="0.25"/>
    <row r="22086" ht="15" customHeight="1" x14ac:dyDescent="0.25"/>
    <row r="22087" ht="15" customHeight="1" x14ac:dyDescent="0.25"/>
    <row r="22088" ht="15" customHeight="1" x14ac:dyDescent="0.25"/>
    <row r="22089" ht="15" customHeight="1" x14ac:dyDescent="0.25"/>
    <row r="22090" ht="15" customHeight="1" x14ac:dyDescent="0.25"/>
    <row r="22091" ht="15" customHeight="1" x14ac:dyDescent="0.25"/>
    <row r="22092" ht="15" customHeight="1" x14ac:dyDescent="0.25"/>
    <row r="22093" ht="15" customHeight="1" x14ac:dyDescent="0.25"/>
    <row r="22094" ht="15" customHeight="1" x14ac:dyDescent="0.25"/>
    <row r="22095" ht="15" customHeight="1" x14ac:dyDescent="0.25"/>
    <row r="22096" ht="15" customHeight="1" x14ac:dyDescent="0.25"/>
    <row r="22097" ht="15" customHeight="1" x14ac:dyDescent="0.25"/>
    <row r="22098" ht="15" customHeight="1" x14ac:dyDescent="0.25"/>
    <row r="22099" ht="15" customHeight="1" x14ac:dyDescent="0.25"/>
    <row r="22100" ht="15" customHeight="1" x14ac:dyDescent="0.25"/>
    <row r="22101" ht="15" customHeight="1" x14ac:dyDescent="0.25"/>
    <row r="22102" ht="15" customHeight="1" x14ac:dyDescent="0.25"/>
    <row r="22103" ht="15" customHeight="1" x14ac:dyDescent="0.25"/>
    <row r="22104" ht="15" customHeight="1" x14ac:dyDescent="0.25"/>
    <row r="22105" ht="15" customHeight="1" x14ac:dyDescent="0.25"/>
    <row r="22106" ht="15" customHeight="1" x14ac:dyDescent="0.25"/>
    <row r="22107" ht="15" customHeight="1" x14ac:dyDescent="0.25"/>
    <row r="22108" ht="15" customHeight="1" x14ac:dyDescent="0.25"/>
    <row r="22109" ht="15" customHeight="1" x14ac:dyDescent="0.25"/>
    <row r="22110" ht="15" customHeight="1" x14ac:dyDescent="0.25"/>
    <row r="22111" ht="15" customHeight="1" x14ac:dyDescent="0.25"/>
    <row r="22112" ht="15" customHeight="1" x14ac:dyDescent="0.25"/>
    <row r="22113" ht="15" customHeight="1" x14ac:dyDescent="0.25"/>
    <row r="22114" ht="15" customHeight="1" x14ac:dyDescent="0.25"/>
    <row r="22115" ht="15" customHeight="1" x14ac:dyDescent="0.25"/>
    <row r="22116" ht="15" customHeight="1" x14ac:dyDescent="0.25"/>
    <row r="22117" ht="15" customHeight="1" x14ac:dyDescent="0.25"/>
    <row r="22118" ht="15" customHeight="1" x14ac:dyDescent="0.25"/>
    <row r="22119" ht="15" customHeight="1" x14ac:dyDescent="0.25"/>
    <row r="22120" ht="15" customHeight="1" x14ac:dyDescent="0.25"/>
    <row r="22121" ht="15" customHeight="1" x14ac:dyDescent="0.25"/>
    <row r="22122" ht="15" customHeight="1" x14ac:dyDescent="0.25"/>
    <row r="22123" ht="15" customHeight="1" x14ac:dyDescent="0.25"/>
    <row r="22124" ht="15" customHeight="1" x14ac:dyDescent="0.25"/>
    <row r="22125" ht="15" customHeight="1" x14ac:dyDescent="0.25"/>
    <row r="22126" ht="15" customHeight="1" x14ac:dyDescent="0.25"/>
    <row r="22127" ht="15" customHeight="1" x14ac:dyDescent="0.25"/>
    <row r="22128" ht="15" customHeight="1" x14ac:dyDescent="0.25"/>
    <row r="22129" ht="15" customHeight="1" x14ac:dyDescent="0.25"/>
    <row r="22130" ht="15" customHeight="1" x14ac:dyDescent="0.25"/>
    <row r="22131" ht="15" customHeight="1" x14ac:dyDescent="0.25"/>
    <row r="22132" ht="15" customHeight="1" x14ac:dyDescent="0.25"/>
    <row r="22133" ht="15" customHeight="1" x14ac:dyDescent="0.25"/>
    <row r="22134" ht="15" customHeight="1" x14ac:dyDescent="0.25"/>
    <row r="22135" ht="15" customHeight="1" x14ac:dyDescent="0.25"/>
    <row r="22136" ht="15" customHeight="1" x14ac:dyDescent="0.25"/>
    <row r="22137" ht="15" customHeight="1" x14ac:dyDescent="0.25"/>
    <row r="22138" ht="15" customHeight="1" x14ac:dyDescent="0.25"/>
    <row r="22139" ht="15" customHeight="1" x14ac:dyDescent="0.25"/>
    <row r="22140" ht="15" customHeight="1" x14ac:dyDescent="0.25"/>
    <row r="22141" ht="15" customHeight="1" x14ac:dyDescent="0.25"/>
    <row r="22142" ht="15" customHeight="1" x14ac:dyDescent="0.25"/>
    <row r="22143" ht="15" customHeight="1" x14ac:dyDescent="0.25"/>
    <row r="22144" ht="15" customHeight="1" x14ac:dyDescent="0.25"/>
    <row r="22145" ht="15" customHeight="1" x14ac:dyDescent="0.25"/>
    <row r="22146" ht="15" customHeight="1" x14ac:dyDescent="0.25"/>
    <row r="22147" ht="15" customHeight="1" x14ac:dyDescent="0.25"/>
    <row r="22148" ht="15" customHeight="1" x14ac:dyDescent="0.25"/>
    <row r="22149" ht="15" customHeight="1" x14ac:dyDescent="0.25"/>
    <row r="22150" ht="15" customHeight="1" x14ac:dyDescent="0.25"/>
    <row r="22151" ht="15" customHeight="1" x14ac:dyDescent="0.25"/>
    <row r="22152" ht="15" customHeight="1" x14ac:dyDescent="0.25"/>
    <row r="22153" ht="15" customHeight="1" x14ac:dyDescent="0.25"/>
    <row r="22154" ht="15" customHeight="1" x14ac:dyDescent="0.25"/>
    <row r="22155" ht="15" customHeight="1" x14ac:dyDescent="0.25"/>
    <row r="22156" ht="15" customHeight="1" x14ac:dyDescent="0.25"/>
    <row r="22157" ht="15" customHeight="1" x14ac:dyDescent="0.25"/>
    <row r="22158" ht="15" customHeight="1" x14ac:dyDescent="0.25"/>
    <row r="22159" ht="15" customHeight="1" x14ac:dyDescent="0.25"/>
    <row r="22160" ht="15" customHeight="1" x14ac:dyDescent="0.25"/>
    <row r="22161" ht="15" customHeight="1" x14ac:dyDescent="0.25"/>
    <row r="22162" ht="15" customHeight="1" x14ac:dyDescent="0.25"/>
    <row r="22163" ht="15" customHeight="1" x14ac:dyDescent="0.25"/>
    <row r="22164" ht="15" customHeight="1" x14ac:dyDescent="0.25"/>
    <row r="22165" ht="15" customHeight="1" x14ac:dyDescent="0.25"/>
    <row r="22166" ht="15" customHeight="1" x14ac:dyDescent="0.25"/>
    <row r="22167" ht="15" customHeight="1" x14ac:dyDescent="0.25"/>
    <row r="22168" ht="15" customHeight="1" x14ac:dyDescent="0.25"/>
    <row r="22169" ht="15" customHeight="1" x14ac:dyDescent="0.25"/>
    <row r="22170" ht="15" customHeight="1" x14ac:dyDescent="0.25"/>
    <row r="22171" ht="15" customHeight="1" x14ac:dyDescent="0.25"/>
    <row r="22172" ht="15" customHeight="1" x14ac:dyDescent="0.25"/>
    <row r="22173" ht="15" customHeight="1" x14ac:dyDescent="0.25"/>
    <row r="22174" ht="15" customHeight="1" x14ac:dyDescent="0.25"/>
    <row r="22175" ht="15" customHeight="1" x14ac:dyDescent="0.25"/>
    <row r="22176" ht="15" customHeight="1" x14ac:dyDescent="0.25"/>
    <row r="22177" ht="15" customHeight="1" x14ac:dyDescent="0.25"/>
    <row r="22178" ht="15" customHeight="1" x14ac:dyDescent="0.25"/>
    <row r="22179" ht="15" customHeight="1" x14ac:dyDescent="0.25"/>
    <row r="22180" ht="15" customHeight="1" x14ac:dyDescent="0.25"/>
    <row r="22181" ht="15" customHeight="1" x14ac:dyDescent="0.25"/>
    <row r="22182" ht="15" customHeight="1" x14ac:dyDescent="0.25"/>
    <row r="22183" ht="15" customHeight="1" x14ac:dyDescent="0.25"/>
    <row r="22184" ht="15" customHeight="1" x14ac:dyDescent="0.25"/>
    <row r="22185" ht="15" customHeight="1" x14ac:dyDescent="0.25"/>
    <row r="22186" ht="15" customHeight="1" x14ac:dyDescent="0.25"/>
    <row r="22187" ht="15" customHeight="1" x14ac:dyDescent="0.25"/>
    <row r="22188" ht="15" customHeight="1" x14ac:dyDescent="0.25"/>
    <row r="22189" ht="15" customHeight="1" x14ac:dyDescent="0.25"/>
    <row r="22190" ht="15" customHeight="1" x14ac:dyDescent="0.25"/>
    <row r="22191" ht="15" customHeight="1" x14ac:dyDescent="0.25"/>
    <row r="22192" ht="15" customHeight="1" x14ac:dyDescent="0.25"/>
    <row r="22193" ht="15" customHeight="1" x14ac:dyDescent="0.25"/>
    <row r="22194" ht="15" customHeight="1" x14ac:dyDescent="0.25"/>
    <row r="22195" ht="15" customHeight="1" x14ac:dyDescent="0.25"/>
    <row r="22196" ht="15" customHeight="1" x14ac:dyDescent="0.25"/>
    <row r="22197" ht="15" customHeight="1" x14ac:dyDescent="0.25"/>
    <row r="22198" ht="15" customHeight="1" x14ac:dyDescent="0.25"/>
    <row r="22199" ht="15" customHeight="1" x14ac:dyDescent="0.25"/>
    <row r="22200" ht="15" customHeight="1" x14ac:dyDescent="0.25"/>
    <row r="22201" ht="15" customHeight="1" x14ac:dyDescent="0.25"/>
    <row r="22202" ht="15" customHeight="1" x14ac:dyDescent="0.25"/>
    <row r="22203" ht="15" customHeight="1" x14ac:dyDescent="0.25"/>
    <row r="22204" ht="15" customHeight="1" x14ac:dyDescent="0.25"/>
    <row r="22205" ht="15" customHeight="1" x14ac:dyDescent="0.25"/>
    <row r="22206" ht="15" customHeight="1" x14ac:dyDescent="0.25"/>
    <row r="22207" ht="15" customHeight="1" x14ac:dyDescent="0.25"/>
    <row r="22208" ht="15" customHeight="1" x14ac:dyDescent="0.25"/>
    <row r="22209" ht="15" customHeight="1" x14ac:dyDescent="0.25"/>
    <row r="22210" ht="15" customHeight="1" x14ac:dyDescent="0.25"/>
    <row r="22211" ht="15" customHeight="1" x14ac:dyDescent="0.25"/>
    <row r="22212" ht="15" customHeight="1" x14ac:dyDescent="0.25"/>
    <row r="22213" ht="15" customHeight="1" x14ac:dyDescent="0.25"/>
    <row r="22214" ht="15" customHeight="1" x14ac:dyDescent="0.25"/>
    <row r="22215" ht="15" customHeight="1" x14ac:dyDescent="0.25"/>
    <row r="22216" ht="15" customHeight="1" x14ac:dyDescent="0.25"/>
    <row r="22217" ht="15" customHeight="1" x14ac:dyDescent="0.25"/>
    <row r="22218" ht="15" customHeight="1" x14ac:dyDescent="0.25"/>
    <row r="22219" ht="15" customHeight="1" x14ac:dyDescent="0.25"/>
    <row r="22220" ht="15" customHeight="1" x14ac:dyDescent="0.25"/>
    <row r="22221" ht="15" customHeight="1" x14ac:dyDescent="0.25"/>
    <row r="22222" ht="15" customHeight="1" x14ac:dyDescent="0.25"/>
    <row r="22223" ht="15" customHeight="1" x14ac:dyDescent="0.25"/>
    <row r="22224" ht="15" customHeight="1" x14ac:dyDescent="0.25"/>
    <row r="22225" ht="15" customHeight="1" x14ac:dyDescent="0.25"/>
    <row r="22226" ht="15" customHeight="1" x14ac:dyDescent="0.25"/>
    <row r="22227" ht="15" customHeight="1" x14ac:dyDescent="0.25"/>
    <row r="22228" ht="15" customHeight="1" x14ac:dyDescent="0.25"/>
    <row r="22229" ht="15" customHeight="1" x14ac:dyDescent="0.25"/>
    <row r="22230" ht="15" customHeight="1" x14ac:dyDescent="0.25"/>
    <row r="22231" ht="15" customHeight="1" x14ac:dyDescent="0.25"/>
    <row r="22232" ht="15" customHeight="1" x14ac:dyDescent="0.25"/>
    <row r="22233" ht="15" customHeight="1" x14ac:dyDescent="0.25"/>
    <row r="22234" ht="15" customHeight="1" x14ac:dyDescent="0.25"/>
    <row r="22235" ht="15" customHeight="1" x14ac:dyDescent="0.25"/>
    <row r="22236" ht="15" customHeight="1" x14ac:dyDescent="0.25"/>
    <row r="22237" ht="15" customHeight="1" x14ac:dyDescent="0.25"/>
    <row r="22238" ht="15" customHeight="1" x14ac:dyDescent="0.25"/>
    <row r="22239" ht="15" customHeight="1" x14ac:dyDescent="0.25"/>
    <row r="22240" ht="15" customHeight="1" x14ac:dyDescent="0.25"/>
    <row r="22241" ht="15" customHeight="1" x14ac:dyDescent="0.25"/>
    <row r="22242" ht="15" customHeight="1" x14ac:dyDescent="0.25"/>
    <row r="22243" ht="15" customHeight="1" x14ac:dyDescent="0.25"/>
    <row r="22244" ht="15" customHeight="1" x14ac:dyDescent="0.25"/>
    <row r="22245" ht="15" customHeight="1" x14ac:dyDescent="0.25"/>
    <row r="22246" ht="15" customHeight="1" x14ac:dyDescent="0.25"/>
    <row r="22247" ht="15" customHeight="1" x14ac:dyDescent="0.25"/>
    <row r="22248" ht="15" customHeight="1" x14ac:dyDescent="0.25"/>
    <row r="22249" ht="15" customHeight="1" x14ac:dyDescent="0.25"/>
    <row r="22250" ht="15" customHeight="1" x14ac:dyDescent="0.25"/>
    <row r="22251" ht="15" customHeight="1" x14ac:dyDescent="0.25"/>
    <row r="22252" ht="15" customHeight="1" x14ac:dyDescent="0.25"/>
    <row r="22253" ht="15" customHeight="1" x14ac:dyDescent="0.25"/>
    <row r="22254" ht="15" customHeight="1" x14ac:dyDescent="0.25"/>
    <row r="22255" ht="15" customHeight="1" x14ac:dyDescent="0.25"/>
    <row r="22256" ht="15" customHeight="1" x14ac:dyDescent="0.25"/>
    <row r="22257" ht="15" customHeight="1" x14ac:dyDescent="0.25"/>
    <row r="22258" ht="15" customHeight="1" x14ac:dyDescent="0.25"/>
    <row r="22259" ht="15" customHeight="1" x14ac:dyDescent="0.25"/>
    <row r="22260" ht="15" customHeight="1" x14ac:dyDescent="0.25"/>
    <row r="22261" ht="15" customHeight="1" x14ac:dyDescent="0.25"/>
    <row r="22262" ht="15" customHeight="1" x14ac:dyDescent="0.25"/>
    <row r="22263" ht="15" customHeight="1" x14ac:dyDescent="0.25"/>
    <row r="22264" ht="15" customHeight="1" x14ac:dyDescent="0.25"/>
    <row r="22265" ht="15" customHeight="1" x14ac:dyDescent="0.25"/>
    <row r="22266" ht="15" customHeight="1" x14ac:dyDescent="0.25"/>
    <row r="22267" ht="15" customHeight="1" x14ac:dyDescent="0.25"/>
    <row r="22268" ht="15" customHeight="1" x14ac:dyDescent="0.25"/>
    <row r="22269" ht="15" customHeight="1" x14ac:dyDescent="0.25"/>
    <row r="22270" ht="15" customHeight="1" x14ac:dyDescent="0.25"/>
    <row r="22271" ht="15" customHeight="1" x14ac:dyDescent="0.25"/>
    <row r="22272" ht="15" customHeight="1" x14ac:dyDescent="0.25"/>
    <row r="22273" ht="15" customHeight="1" x14ac:dyDescent="0.25"/>
    <row r="22274" ht="15" customHeight="1" x14ac:dyDescent="0.25"/>
    <row r="22275" ht="15" customHeight="1" x14ac:dyDescent="0.25"/>
    <row r="22276" ht="15" customHeight="1" x14ac:dyDescent="0.25"/>
    <row r="22277" ht="15" customHeight="1" x14ac:dyDescent="0.25"/>
    <row r="22278" ht="15" customHeight="1" x14ac:dyDescent="0.25"/>
    <row r="22279" ht="15" customHeight="1" x14ac:dyDescent="0.25"/>
    <row r="22280" ht="15" customHeight="1" x14ac:dyDescent="0.25"/>
    <row r="22281" ht="15" customHeight="1" x14ac:dyDescent="0.25"/>
    <row r="22282" ht="15" customHeight="1" x14ac:dyDescent="0.25"/>
    <row r="22283" ht="15" customHeight="1" x14ac:dyDescent="0.25"/>
    <row r="22284" ht="15" customHeight="1" x14ac:dyDescent="0.25"/>
    <row r="22285" ht="15" customHeight="1" x14ac:dyDescent="0.25"/>
    <row r="22286" ht="15" customHeight="1" x14ac:dyDescent="0.25"/>
    <row r="22287" ht="15" customHeight="1" x14ac:dyDescent="0.25"/>
    <row r="22288" ht="15" customHeight="1" x14ac:dyDescent="0.25"/>
    <row r="22289" ht="15" customHeight="1" x14ac:dyDescent="0.25"/>
    <row r="22290" ht="15" customHeight="1" x14ac:dyDescent="0.25"/>
    <row r="22291" ht="15" customHeight="1" x14ac:dyDescent="0.25"/>
    <row r="22292" ht="15" customHeight="1" x14ac:dyDescent="0.25"/>
    <row r="22293" ht="15" customHeight="1" x14ac:dyDescent="0.25"/>
    <row r="22294" ht="15" customHeight="1" x14ac:dyDescent="0.25"/>
    <row r="22295" ht="15" customHeight="1" x14ac:dyDescent="0.25"/>
    <row r="22296" ht="15" customHeight="1" x14ac:dyDescent="0.25"/>
    <row r="22297" ht="15" customHeight="1" x14ac:dyDescent="0.25"/>
    <row r="22298" ht="15" customHeight="1" x14ac:dyDescent="0.25"/>
    <row r="22299" ht="15" customHeight="1" x14ac:dyDescent="0.25"/>
    <row r="22300" ht="15" customHeight="1" x14ac:dyDescent="0.25"/>
    <row r="22301" ht="15" customHeight="1" x14ac:dyDescent="0.25"/>
    <row r="22302" ht="15" customHeight="1" x14ac:dyDescent="0.25"/>
    <row r="22303" ht="15" customHeight="1" x14ac:dyDescent="0.25"/>
    <row r="22304" ht="15" customHeight="1" x14ac:dyDescent="0.25"/>
    <row r="22305" ht="15" customHeight="1" x14ac:dyDescent="0.25"/>
    <row r="22306" ht="15" customHeight="1" x14ac:dyDescent="0.25"/>
    <row r="22307" ht="15" customHeight="1" x14ac:dyDescent="0.25"/>
    <row r="22308" ht="15" customHeight="1" x14ac:dyDescent="0.25"/>
    <row r="22309" ht="15" customHeight="1" x14ac:dyDescent="0.25"/>
    <row r="22310" ht="15" customHeight="1" x14ac:dyDescent="0.25"/>
    <row r="22311" ht="15" customHeight="1" x14ac:dyDescent="0.25"/>
    <row r="22312" ht="15" customHeight="1" x14ac:dyDescent="0.25"/>
    <row r="22313" ht="15" customHeight="1" x14ac:dyDescent="0.25"/>
    <row r="22315" ht="15" customHeight="1" x14ac:dyDescent="0.25"/>
    <row r="22316" ht="15" customHeight="1" x14ac:dyDescent="0.25"/>
    <row r="22317" ht="15" customHeight="1" x14ac:dyDescent="0.25"/>
    <row r="22318" ht="15" customHeight="1" x14ac:dyDescent="0.25"/>
    <row r="22319" ht="15" customHeight="1" x14ac:dyDescent="0.25"/>
    <row r="22320" ht="15" customHeight="1" x14ac:dyDescent="0.25"/>
    <row r="22321" ht="15" customHeight="1" x14ac:dyDescent="0.25"/>
    <row r="22322" ht="15" customHeight="1" x14ac:dyDescent="0.25"/>
    <row r="22323" ht="15" customHeight="1" x14ac:dyDescent="0.25"/>
    <row r="22324" ht="15" customHeight="1" x14ac:dyDescent="0.25"/>
    <row r="22325" ht="15" customHeight="1" x14ac:dyDescent="0.25"/>
    <row r="22326" ht="15" customHeight="1" x14ac:dyDescent="0.25"/>
    <row r="22327" ht="15" customHeight="1" x14ac:dyDescent="0.25"/>
    <row r="22328" ht="15" customHeight="1" x14ac:dyDescent="0.25"/>
    <row r="22329" ht="15" customHeight="1" x14ac:dyDescent="0.25"/>
    <row r="22330" ht="15" customHeight="1" x14ac:dyDescent="0.25"/>
    <row r="22331" ht="15" customHeight="1" x14ac:dyDescent="0.25"/>
    <row r="22332" ht="15" customHeight="1" x14ac:dyDescent="0.25"/>
    <row r="22333" ht="15" customHeight="1" x14ac:dyDescent="0.25"/>
    <row r="22334" ht="15" customHeight="1" x14ac:dyDescent="0.25"/>
    <row r="22335" ht="15" customHeight="1" x14ac:dyDescent="0.25"/>
    <row r="22336" ht="15" customHeight="1" x14ac:dyDescent="0.25"/>
    <row r="22337" ht="15" customHeight="1" x14ac:dyDescent="0.25"/>
    <row r="22338" ht="15" customHeight="1" x14ac:dyDescent="0.25"/>
    <row r="22339" ht="15" customHeight="1" x14ac:dyDescent="0.25"/>
    <row r="22340" ht="15" customHeight="1" x14ac:dyDescent="0.25"/>
    <row r="22341" ht="15" customHeight="1" x14ac:dyDescent="0.25"/>
    <row r="22342" ht="15" customHeight="1" x14ac:dyDescent="0.25"/>
    <row r="22343" ht="15" customHeight="1" x14ac:dyDescent="0.25"/>
    <row r="22344" ht="15" customHeight="1" x14ac:dyDescent="0.25"/>
    <row r="22346" ht="15" customHeight="1" x14ac:dyDescent="0.25"/>
    <row r="22347" ht="15" customHeight="1" x14ac:dyDescent="0.25"/>
    <row r="22348" ht="15" customHeight="1" x14ac:dyDescent="0.25"/>
    <row r="22349" ht="15" customHeight="1" x14ac:dyDescent="0.25"/>
    <row r="22350" ht="15" customHeight="1" x14ac:dyDescent="0.25"/>
    <row r="22351" ht="15" customHeight="1" x14ac:dyDescent="0.25"/>
    <row r="22352" ht="15" customHeight="1" x14ac:dyDescent="0.25"/>
    <row r="22353" ht="15" customHeight="1" x14ac:dyDescent="0.25"/>
    <row r="22354" ht="15" customHeight="1" x14ac:dyDescent="0.25"/>
    <row r="22355" ht="15" customHeight="1" x14ac:dyDescent="0.25"/>
    <row r="22356" ht="15" customHeight="1" x14ac:dyDescent="0.25"/>
    <row r="22357" ht="15" customHeight="1" x14ac:dyDescent="0.25"/>
    <row r="22358" ht="15" customHeight="1" x14ac:dyDescent="0.25"/>
    <row r="22359" ht="15" customHeight="1" x14ac:dyDescent="0.25"/>
    <row r="22360" ht="15" customHeight="1" x14ac:dyDescent="0.25"/>
    <row r="22361" ht="15" customHeight="1" x14ac:dyDescent="0.25"/>
    <row r="22362" ht="15" customHeight="1" x14ac:dyDescent="0.25"/>
    <row r="22363" ht="15" customHeight="1" x14ac:dyDescent="0.25"/>
    <row r="22364" ht="15" customHeight="1" x14ac:dyDescent="0.25"/>
    <row r="22365" ht="15" customHeight="1" x14ac:dyDescent="0.25"/>
    <row r="22366" ht="15" customHeight="1" x14ac:dyDescent="0.25"/>
    <row r="22367" ht="15" customHeight="1" x14ac:dyDescent="0.25"/>
    <row r="22368" ht="15" customHeight="1" x14ac:dyDescent="0.25"/>
    <row r="22369" ht="15" customHeight="1" x14ac:dyDescent="0.25"/>
    <row r="22370" ht="15" customHeight="1" x14ac:dyDescent="0.25"/>
    <row r="22371" ht="15" customHeight="1" x14ac:dyDescent="0.25"/>
    <row r="22372" ht="15" customHeight="1" x14ac:dyDescent="0.25"/>
    <row r="22373" ht="15" customHeight="1" x14ac:dyDescent="0.25"/>
    <row r="22374" ht="15" customHeight="1" x14ac:dyDescent="0.25"/>
    <row r="22376" ht="15" customHeight="1" x14ac:dyDescent="0.25"/>
    <row r="22377" ht="15" customHeight="1" x14ac:dyDescent="0.25"/>
    <row r="22378" ht="15" customHeight="1" x14ac:dyDescent="0.25"/>
    <row r="22379" ht="15" customHeight="1" x14ac:dyDescent="0.25"/>
    <row r="22380" ht="15" customHeight="1" x14ac:dyDescent="0.25"/>
    <row r="22381" ht="15" customHeight="1" x14ac:dyDescent="0.25"/>
    <row r="22382" ht="15" customHeight="1" x14ac:dyDescent="0.25"/>
    <row r="22383" ht="15" customHeight="1" x14ac:dyDescent="0.25"/>
    <row r="22384" ht="15" customHeight="1" x14ac:dyDescent="0.25"/>
    <row r="22385" ht="15" customHeight="1" x14ac:dyDescent="0.25"/>
    <row r="22386" ht="15" customHeight="1" x14ac:dyDescent="0.25"/>
    <row r="22387" ht="15" customHeight="1" x14ac:dyDescent="0.25"/>
    <row r="22388" ht="15" customHeight="1" x14ac:dyDescent="0.25"/>
    <row r="22389" ht="15" customHeight="1" x14ac:dyDescent="0.25"/>
    <row r="22390" ht="15" customHeight="1" x14ac:dyDescent="0.25"/>
    <row r="22391" ht="15" customHeight="1" x14ac:dyDescent="0.25"/>
    <row r="22392" ht="15" customHeight="1" x14ac:dyDescent="0.25"/>
    <row r="22393" ht="15" customHeight="1" x14ac:dyDescent="0.25"/>
    <row r="22394" ht="15" customHeight="1" x14ac:dyDescent="0.25"/>
    <row r="22395" ht="15" customHeight="1" x14ac:dyDescent="0.25"/>
    <row r="22396" ht="15" customHeight="1" x14ac:dyDescent="0.25"/>
    <row r="22397" ht="15" customHeight="1" x14ac:dyDescent="0.25"/>
    <row r="22398" ht="15" customHeight="1" x14ac:dyDescent="0.25"/>
    <row r="22399" ht="15" customHeight="1" x14ac:dyDescent="0.25"/>
    <row r="22400" ht="15" customHeight="1" x14ac:dyDescent="0.25"/>
    <row r="22401" ht="15" customHeight="1" x14ac:dyDescent="0.25"/>
    <row r="22402" ht="15" customHeight="1" x14ac:dyDescent="0.25"/>
    <row r="22403" ht="15" customHeight="1" x14ac:dyDescent="0.25"/>
    <row r="22404" ht="15" customHeight="1" x14ac:dyDescent="0.25"/>
    <row r="22406" ht="15" customHeight="1" x14ac:dyDescent="0.25"/>
    <row r="22407" ht="15" customHeight="1" x14ac:dyDescent="0.25"/>
    <row r="22408" ht="15" customHeight="1" x14ac:dyDescent="0.25"/>
    <row r="22409" ht="15" customHeight="1" x14ac:dyDescent="0.25"/>
    <row r="22410" ht="15" customHeight="1" x14ac:dyDescent="0.25"/>
    <row r="22411" ht="15" customHeight="1" x14ac:dyDescent="0.25"/>
    <row r="22412" ht="15" customHeight="1" x14ac:dyDescent="0.25"/>
    <row r="22413" ht="15" customHeight="1" x14ac:dyDescent="0.25"/>
    <row r="22414" ht="15" customHeight="1" x14ac:dyDescent="0.25"/>
    <row r="22415" ht="15" customHeight="1" x14ac:dyDescent="0.25"/>
    <row r="22416" ht="15" customHeight="1" x14ac:dyDescent="0.25"/>
    <row r="22417" ht="15" customHeight="1" x14ac:dyDescent="0.25"/>
    <row r="22418" ht="15" customHeight="1" x14ac:dyDescent="0.25"/>
    <row r="22419" ht="15" customHeight="1" x14ac:dyDescent="0.25"/>
    <row r="22420" ht="15" customHeight="1" x14ac:dyDescent="0.25"/>
    <row r="22421" ht="15" customHeight="1" x14ac:dyDescent="0.25"/>
    <row r="22422" ht="15" customHeight="1" x14ac:dyDescent="0.25"/>
    <row r="22423" ht="15" customHeight="1" x14ac:dyDescent="0.25"/>
    <row r="22424" ht="15" customHeight="1" x14ac:dyDescent="0.25"/>
    <row r="22425" ht="15" customHeight="1" x14ac:dyDescent="0.25"/>
    <row r="22426" ht="15" customHeight="1" x14ac:dyDescent="0.25"/>
    <row r="22427" ht="15" customHeight="1" x14ac:dyDescent="0.25"/>
    <row r="22428" ht="15" customHeight="1" x14ac:dyDescent="0.25"/>
    <row r="22429" ht="15" customHeight="1" x14ac:dyDescent="0.25"/>
    <row r="22430" ht="15" customHeight="1" x14ac:dyDescent="0.25"/>
    <row r="22431" ht="15" customHeight="1" x14ac:dyDescent="0.25"/>
    <row r="22432" ht="15" customHeight="1" x14ac:dyDescent="0.25"/>
    <row r="22433" ht="15" customHeight="1" x14ac:dyDescent="0.25"/>
    <row r="22434" ht="15" customHeight="1" x14ac:dyDescent="0.25"/>
    <row r="22436" ht="15" customHeight="1" x14ac:dyDescent="0.25"/>
    <row r="22437" ht="15" customHeight="1" x14ac:dyDescent="0.25"/>
    <row r="22438" ht="15" customHeight="1" x14ac:dyDescent="0.25"/>
    <row r="22439" ht="15" customHeight="1" x14ac:dyDescent="0.25"/>
    <row r="22440" ht="15" customHeight="1" x14ac:dyDescent="0.25"/>
    <row r="22441" ht="15" customHeight="1" x14ac:dyDescent="0.25"/>
    <row r="22442" ht="15" customHeight="1" x14ac:dyDescent="0.25"/>
    <row r="22443" ht="15" customHeight="1" x14ac:dyDescent="0.25"/>
    <row r="22444" ht="15" customHeight="1" x14ac:dyDescent="0.25"/>
    <row r="22445" ht="15" customHeight="1" x14ac:dyDescent="0.25"/>
    <row r="22446" ht="15" customHeight="1" x14ac:dyDescent="0.25"/>
    <row r="22447" ht="15" customHeight="1" x14ac:dyDescent="0.25"/>
    <row r="22448" ht="15" customHeight="1" x14ac:dyDescent="0.25"/>
    <row r="22449" ht="15" customHeight="1" x14ac:dyDescent="0.25"/>
    <row r="22450" ht="15" customHeight="1" x14ac:dyDescent="0.25"/>
    <row r="22451" ht="15" customHeight="1" x14ac:dyDescent="0.25"/>
    <row r="22452" ht="15" customHeight="1" x14ac:dyDescent="0.25"/>
    <row r="22453" ht="15" customHeight="1" x14ac:dyDescent="0.25"/>
    <row r="22454" ht="15" customHeight="1" x14ac:dyDescent="0.25"/>
    <row r="22455" ht="15" customHeight="1" x14ac:dyDescent="0.25"/>
    <row r="22456" ht="15" customHeight="1" x14ac:dyDescent="0.25"/>
    <row r="22457" ht="15" customHeight="1" x14ac:dyDescent="0.25"/>
    <row r="22458" ht="15" customHeight="1" x14ac:dyDescent="0.25"/>
    <row r="22460" ht="15" customHeight="1" x14ac:dyDescent="0.25"/>
    <row r="22461" ht="15" customHeight="1" x14ac:dyDescent="0.25"/>
    <row r="22462" ht="15" customHeight="1" x14ac:dyDescent="0.25"/>
    <row r="22463" ht="15" customHeight="1" x14ac:dyDescent="0.25"/>
    <row r="22464" ht="15" customHeight="1" x14ac:dyDescent="0.25"/>
    <row r="22465" ht="15" customHeight="1" x14ac:dyDescent="0.25"/>
    <row r="22466" ht="15" customHeight="1" x14ac:dyDescent="0.25"/>
    <row r="22467" ht="15" customHeight="1" x14ac:dyDescent="0.25"/>
    <row r="22468" ht="15" customHeight="1" x14ac:dyDescent="0.25"/>
    <row r="22469" ht="15" customHeight="1" x14ac:dyDescent="0.25"/>
    <row r="22481" ht="15" customHeight="1" x14ac:dyDescent="0.25"/>
    <row r="22482" ht="15" customHeight="1" x14ac:dyDescent="0.25"/>
    <row r="22483" ht="15" customHeight="1" x14ac:dyDescent="0.25"/>
    <row r="22484" ht="15" customHeight="1" x14ac:dyDescent="0.25"/>
    <row r="22485" ht="15" customHeight="1" x14ac:dyDescent="0.25"/>
    <row r="22498" ht="15" customHeight="1" x14ac:dyDescent="0.25"/>
    <row r="22499" ht="15" customHeight="1" x14ac:dyDescent="0.25"/>
    <row r="22500" ht="15" customHeight="1" x14ac:dyDescent="0.25"/>
    <row r="22501" ht="15" customHeight="1" x14ac:dyDescent="0.25"/>
    <row r="22502" ht="15" customHeight="1" x14ac:dyDescent="0.25"/>
    <row r="22514" ht="15" customHeight="1" x14ac:dyDescent="0.25"/>
    <row r="22515" ht="15" customHeight="1" x14ac:dyDescent="0.25"/>
    <row r="22516" ht="15" customHeight="1" x14ac:dyDescent="0.25"/>
    <row r="22517" ht="15" customHeight="1" x14ac:dyDescent="0.25"/>
    <row r="22518" ht="15" customHeight="1" x14ac:dyDescent="0.25"/>
    <row r="22519" ht="15" customHeight="1" x14ac:dyDescent="0.25"/>
    <row r="22520" ht="15" customHeight="1" x14ac:dyDescent="0.25"/>
    <row r="22521" ht="15" customHeight="1" x14ac:dyDescent="0.25"/>
    <row r="22522" ht="15" customHeight="1" x14ac:dyDescent="0.25"/>
    <row r="22534" ht="15" customHeight="1" x14ac:dyDescent="0.25"/>
    <row r="22535" ht="15" customHeight="1" x14ac:dyDescent="0.25"/>
    <row r="22536" ht="15" customHeight="1" x14ac:dyDescent="0.25"/>
    <row r="22537" ht="15" customHeight="1" x14ac:dyDescent="0.25"/>
    <row r="22538" ht="15" customHeight="1" x14ac:dyDescent="0.25"/>
    <row r="22539" ht="15" customHeight="1" x14ac:dyDescent="0.25"/>
    <row r="22540" ht="15" customHeight="1" x14ac:dyDescent="0.25"/>
    <row r="22541" ht="15" customHeight="1" x14ac:dyDescent="0.25"/>
    <row r="22542" ht="15" customHeight="1" x14ac:dyDescent="0.25"/>
    <row r="22554" ht="15" customHeight="1" x14ac:dyDescent="0.25"/>
    <row r="22555" ht="15" customHeight="1" x14ac:dyDescent="0.25"/>
    <row r="22556" ht="15" customHeight="1" x14ac:dyDescent="0.25"/>
    <row r="22557" ht="15" customHeight="1" x14ac:dyDescent="0.25"/>
    <row r="22558" ht="15" customHeight="1" x14ac:dyDescent="0.25"/>
    <row r="22559" ht="15" customHeight="1" x14ac:dyDescent="0.25"/>
    <row r="22560" ht="15" customHeight="1" x14ac:dyDescent="0.25"/>
    <row r="22561" ht="15" customHeight="1" x14ac:dyDescent="0.25"/>
    <row r="22562" ht="15" customHeight="1" x14ac:dyDescent="0.25"/>
    <row r="22563" ht="15" customHeight="1" x14ac:dyDescent="0.25"/>
    <row r="22564" ht="15" customHeight="1" x14ac:dyDescent="0.25"/>
    <row r="22565" ht="15" customHeight="1" x14ac:dyDescent="0.25"/>
    <row r="22566" ht="15" customHeight="1" x14ac:dyDescent="0.25"/>
    <row r="22567" ht="15" customHeight="1" x14ac:dyDescent="0.25"/>
    <row r="22568" ht="15" customHeight="1" x14ac:dyDescent="0.25"/>
    <row r="22569" ht="15" customHeight="1" x14ac:dyDescent="0.25"/>
    <row r="22570" ht="15" customHeight="1" x14ac:dyDescent="0.25"/>
    <row r="22582" ht="15" customHeight="1" x14ac:dyDescent="0.25"/>
    <row r="22583" ht="15" customHeight="1" x14ac:dyDescent="0.25"/>
    <row r="22584" ht="15" customHeight="1" x14ac:dyDescent="0.25"/>
    <row r="22585" ht="15" customHeight="1" x14ac:dyDescent="0.25"/>
    <row r="22586" ht="15" customHeight="1" x14ac:dyDescent="0.25"/>
    <row r="22599" ht="15" customHeight="1" x14ac:dyDescent="0.25"/>
    <row r="22600" ht="15" customHeight="1" x14ac:dyDescent="0.25"/>
    <row r="22601" ht="15" customHeight="1" x14ac:dyDescent="0.25"/>
    <row r="22602" ht="15" customHeight="1" x14ac:dyDescent="0.25"/>
    <row r="22603" ht="15" customHeight="1" x14ac:dyDescent="0.25"/>
    <row r="22616" ht="15" customHeight="1" x14ac:dyDescent="0.25"/>
    <row r="22617" ht="15" customHeight="1" x14ac:dyDescent="0.25"/>
    <row r="22618" ht="15" customHeight="1" x14ac:dyDescent="0.25"/>
    <row r="22619" ht="15" customHeight="1" x14ac:dyDescent="0.25"/>
    <row r="22620" ht="15" customHeight="1" x14ac:dyDescent="0.25"/>
    <row r="22621" ht="15" customHeight="1" x14ac:dyDescent="0.25"/>
    <row r="22622" ht="15" customHeight="1" x14ac:dyDescent="0.25"/>
    <row r="22623" ht="15" customHeight="1" x14ac:dyDescent="0.25"/>
    <row r="22624" ht="15" customHeight="1" x14ac:dyDescent="0.25"/>
    <row r="22625" ht="15" customHeight="1" x14ac:dyDescent="0.25"/>
    <row r="22626" ht="15" customHeight="1" x14ac:dyDescent="0.25"/>
    <row r="22640" ht="15" customHeight="1" x14ac:dyDescent="0.25"/>
    <row r="22641" ht="15" customHeight="1" x14ac:dyDescent="0.25"/>
    <row r="22642" ht="15" customHeight="1" x14ac:dyDescent="0.25"/>
    <row r="22643" ht="15" customHeight="1" x14ac:dyDescent="0.25"/>
    <row r="22644" ht="15" customHeight="1" x14ac:dyDescent="0.25"/>
    <row r="22656" ht="15" customHeight="1" x14ac:dyDescent="0.25"/>
    <row r="22657" ht="15" customHeight="1" x14ac:dyDescent="0.25"/>
    <row r="22658" ht="15" customHeight="1" x14ac:dyDescent="0.25"/>
    <row r="22659" ht="15" customHeight="1" x14ac:dyDescent="0.25"/>
    <row r="22660" ht="15" customHeight="1" x14ac:dyDescent="0.25"/>
    <row r="22661" ht="15" customHeight="1" x14ac:dyDescent="0.25"/>
    <row r="22662" ht="15" customHeight="1" x14ac:dyDescent="0.25"/>
    <row r="22663" ht="15" customHeight="1" x14ac:dyDescent="0.25"/>
    <row r="22675" ht="15" customHeight="1" x14ac:dyDescent="0.25"/>
    <row r="22676" ht="15" customHeight="1" x14ac:dyDescent="0.25"/>
    <row r="22677" ht="15" customHeight="1" x14ac:dyDescent="0.25"/>
    <row r="22678" ht="15" customHeight="1" x14ac:dyDescent="0.25"/>
    <row r="22679" ht="15" customHeight="1" x14ac:dyDescent="0.25"/>
    <row r="22680" ht="15" customHeight="1" x14ac:dyDescent="0.25"/>
    <row r="22681" ht="15" customHeight="1" x14ac:dyDescent="0.25"/>
    <row r="22682" ht="15" customHeight="1" x14ac:dyDescent="0.25"/>
    <row r="22683" ht="15" customHeight="1" x14ac:dyDescent="0.25"/>
    <row r="22684" ht="15" customHeight="1" x14ac:dyDescent="0.25"/>
    <row r="22685" ht="15" customHeight="1" x14ac:dyDescent="0.25"/>
    <row r="22686" ht="15" customHeight="1" x14ac:dyDescent="0.25"/>
    <row r="22687" ht="15" customHeight="1" x14ac:dyDescent="0.25"/>
    <row r="22688" ht="15" customHeight="1" x14ac:dyDescent="0.25"/>
    <row r="22689" ht="15" customHeight="1" x14ac:dyDescent="0.25"/>
    <row r="22690" ht="15" customHeight="1" x14ac:dyDescent="0.25"/>
    <row r="22691" ht="15" customHeight="1" x14ac:dyDescent="0.25"/>
    <row r="22704" ht="15" customHeight="1" x14ac:dyDescent="0.25"/>
    <row r="22705" ht="15" customHeight="1" x14ac:dyDescent="0.25"/>
    <row r="22706" ht="15" customHeight="1" x14ac:dyDescent="0.25"/>
    <row r="22707" ht="15" customHeight="1" x14ac:dyDescent="0.25"/>
    <row r="22708" ht="15" customHeight="1" x14ac:dyDescent="0.25"/>
    <row r="22709" ht="15" customHeight="1" x14ac:dyDescent="0.25"/>
    <row r="22710" ht="15" customHeight="1" x14ac:dyDescent="0.25"/>
    <row r="22711" ht="15" customHeight="1" x14ac:dyDescent="0.25"/>
    <row r="22712" ht="15" customHeight="1" x14ac:dyDescent="0.25"/>
    <row r="22713" ht="15" customHeight="1" x14ac:dyDescent="0.25"/>
    <row r="22714" ht="15" customHeight="1" x14ac:dyDescent="0.25"/>
    <row r="22715" ht="15" customHeight="1" x14ac:dyDescent="0.25"/>
    <row r="22716" ht="15" customHeight="1" x14ac:dyDescent="0.25"/>
    <row r="22717" ht="15" customHeight="1" x14ac:dyDescent="0.25"/>
    <row r="22718" ht="15" customHeight="1" x14ac:dyDescent="0.25"/>
    <row r="22719" ht="15" customHeight="1" x14ac:dyDescent="0.25"/>
    <row r="22720" ht="15" customHeight="1" x14ac:dyDescent="0.25"/>
    <row r="22733" ht="15" customHeight="1" x14ac:dyDescent="0.25"/>
    <row r="22734" ht="15" customHeight="1" x14ac:dyDescent="0.25"/>
    <row r="22735" ht="15" customHeight="1" x14ac:dyDescent="0.25"/>
    <row r="22736" ht="15" customHeight="1" x14ac:dyDescent="0.25"/>
    <row r="22737" ht="15" customHeight="1" x14ac:dyDescent="0.25"/>
    <row r="22738" ht="15" customHeight="1" x14ac:dyDescent="0.25"/>
    <row r="22739" ht="15" customHeight="1" x14ac:dyDescent="0.25"/>
    <row r="22740" ht="15" customHeight="1" x14ac:dyDescent="0.25"/>
    <row r="22741" ht="15" customHeight="1" x14ac:dyDescent="0.25"/>
    <row r="22753" ht="15" customHeight="1" x14ac:dyDescent="0.25"/>
    <row r="22754" ht="15" customHeight="1" x14ac:dyDescent="0.25"/>
    <row r="22755" ht="15" customHeight="1" x14ac:dyDescent="0.25"/>
    <row r="22756" ht="15" customHeight="1" x14ac:dyDescent="0.25"/>
    <row r="22757" ht="15" customHeight="1" x14ac:dyDescent="0.25"/>
    <row r="22758" ht="15" customHeight="1" x14ac:dyDescent="0.25"/>
    <row r="22759" ht="15" customHeight="1" x14ac:dyDescent="0.25"/>
    <row r="22760" ht="15" customHeight="1" x14ac:dyDescent="0.25"/>
    <row r="22761" ht="15" customHeight="1" x14ac:dyDescent="0.25"/>
    <row r="22773" ht="15" customHeight="1" x14ac:dyDescent="0.25"/>
    <row r="22774" ht="15" customHeight="1" x14ac:dyDescent="0.25"/>
    <row r="22775" ht="15" customHeight="1" x14ac:dyDescent="0.25"/>
    <row r="22776" ht="15" customHeight="1" x14ac:dyDescent="0.25"/>
    <row r="22777" ht="15" customHeight="1" x14ac:dyDescent="0.25"/>
    <row r="22778" ht="15" customHeight="1" x14ac:dyDescent="0.25"/>
    <row r="22779" ht="15" customHeight="1" x14ac:dyDescent="0.25"/>
    <row r="22780" ht="15" customHeight="1" x14ac:dyDescent="0.25"/>
    <row r="22781" ht="15" customHeight="1" x14ac:dyDescent="0.25"/>
    <row r="22793" ht="15" customHeight="1" x14ac:dyDescent="0.25"/>
    <row r="22794" ht="15" customHeight="1" x14ac:dyDescent="0.25"/>
    <row r="22795" ht="15" customHeight="1" x14ac:dyDescent="0.25"/>
    <row r="22796" ht="15" customHeight="1" x14ac:dyDescent="0.25"/>
    <row r="22797" ht="15" customHeight="1" x14ac:dyDescent="0.25"/>
    <row r="22798" ht="15" customHeight="1" x14ac:dyDescent="0.25"/>
    <row r="22799" ht="15" customHeight="1" x14ac:dyDescent="0.25"/>
    <row r="22800" ht="15" customHeight="1" x14ac:dyDescent="0.25"/>
    <row r="22801" ht="15" customHeight="1" x14ac:dyDescent="0.25"/>
    <row r="22813" ht="15" customHeight="1" x14ac:dyDescent="0.25"/>
    <row r="22814" ht="15" customHeight="1" x14ac:dyDescent="0.25"/>
    <row r="22815" ht="15" customHeight="1" x14ac:dyDescent="0.25"/>
    <row r="22816" ht="15" customHeight="1" x14ac:dyDescent="0.25"/>
    <row r="22817" ht="15" customHeight="1" x14ac:dyDescent="0.25"/>
    <row r="22818" ht="15" customHeight="1" x14ac:dyDescent="0.25"/>
    <row r="22819" ht="15" customHeight="1" x14ac:dyDescent="0.25"/>
    <row r="22820" ht="15" customHeight="1" x14ac:dyDescent="0.25"/>
    <row r="22821" ht="15" customHeight="1" x14ac:dyDescent="0.25"/>
    <row r="22833" ht="15" customHeight="1" x14ac:dyDescent="0.25"/>
    <row r="22834" ht="15" customHeight="1" x14ac:dyDescent="0.25"/>
    <row r="22835" ht="15" customHeight="1" x14ac:dyDescent="0.25"/>
    <row r="22836" ht="15" customHeight="1" x14ac:dyDescent="0.25"/>
    <row r="22837" ht="15" customHeight="1" x14ac:dyDescent="0.25"/>
    <row r="22838" ht="15" customHeight="1" x14ac:dyDescent="0.25"/>
    <row r="22839" ht="15" customHeight="1" x14ac:dyDescent="0.25"/>
    <row r="22851" ht="15" customHeight="1" x14ac:dyDescent="0.25"/>
    <row r="22852" ht="15" customHeight="1" x14ac:dyDescent="0.25"/>
    <row r="22853" ht="15" customHeight="1" x14ac:dyDescent="0.25"/>
    <row r="22854" ht="15" customHeight="1" x14ac:dyDescent="0.25"/>
    <row r="22855" ht="15" customHeight="1" x14ac:dyDescent="0.25"/>
    <row r="22856" ht="15" customHeight="1" x14ac:dyDescent="0.25"/>
    <row r="22857" ht="15" customHeight="1" x14ac:dyDescent="0.25"/>
    <row r="22858" ht="15" customHeight="1" x14ac:dyDescent="0.25"/>
    <row r="22859" ht="15" customHeight="1" x14ac:dyDescent="0.25"/>
    <row r="22860" ht="15" customHeight="1" x14ac:dyDescent="0.25"/>
    <row r="22861" ht="15" customHeight="1" x14ac:dyDescent="0.25"/>
    <row r="22862" ht="15" customHeight="1" x14ac:dyDescent="0.25"/>
    <row r="22863" ht="15" customHeight="1" x14ac:dyDescent="0.25"/>
    <row r="22864" ht="15" customHeight="1" x14ac:dyDescent="0.25"/>
    <row r="22876" ht="15" customHeight="1" x14ac:dyDescent="0.25"/>
    <row r="22877" ht="15" customHeight="1" x14ac:dyDescent="0.25"/>
    <row r="22878" ht="15" customHeight="1" x14ac:dyDescent="0.25"/>
    <row r="22879" ht="15" customHeight="1" x14ac:dyDescent="0.25"/>
    <row r="22880" ht="15" customHeight="1" x14ac:dyDescent="0.25"/>
    <row r="22881" ht="15" customHeight="1" x14ac:dyDescent="0.25"/>
    <row r="22893" ht="15" customHeight="1" x14ac:dyDescent="0.25"/>
    <row r="22894" ht="15" customHeight="1" x14ac:dyDescent="0.25"/>
    <row r="22895" ht="15" customHeight="1" x14ac:dyDescent="0.25"/>
    <row r="22896" ht="15" customHeight="1" x14ac:dyDescent="0.25"/>
    <row r="22897" ht="15" customHeight="1" x14ac:dyDescent="0.25"/>
    <row r="22898" ht="15" customHeight="1" x14ac:dyDescent="0.25"/>
    <row r="22899" ht="15" customHeight="1" x14ac:dyDescent="0.25"/>
    <row r="22900" ht="15" customHeight="1" x14ac:dyDescent="0.25"/>
    <row r="22901" ht="15" customHeight="1" x14ac:dyDescent="0.25"/>
    <row r="22902" ht="15" customHeight="1" x14ac:dyDescent="0.25"/>
    <row r="22903" ht="15" customHeight="1" x14ac:dyDescent="0.25"/>
    <row r="22904" ht="15" customHeight="1" x14ac:dyDescent="0.25"/>
    <row r="22905" ht="15" customHeight="1" x14ac:dyDescent="0.25"/>
    <row r="22906" ht="15" customHeight="1" x14ac:dyDescent="0.25"/>
    <row r="22918" ht="15" customHeight="1" x14ac:dyDescent="0.25"/>
    <row r="22919" ht="15" customHeight="1" x14ac:dyDescent="0.25"/>
    <row r="22920" ht="15" customHeight="1" x14ac:dyDescent="0.25"/>
    <row r="22921" ht="15" customHeight="1" x14ac:dyDescent="0.25"/>
    <row r="22922" ht="15" customHeight="1" x14ac:dyDescent="0.25"/>
    <row r="22923" ht="15" customHeight="1" x14ac:dyDescent="0.25"/>
    <row r="22924" ht="15" customHeight="1" x14ac:dyDescent="0.25"/>
    <row r="22925" ht="15" customHeight="1" x14ac:dyDescent="0.25"/>
    <row r="22926" ht="15" customHeight="1" x14ac:dyDescent="0.25"/>
    <row r="22927" ht="15" customHeight="1" x14ac:dyDescent="0.25"/>
    <row r="22928" ht="15" customHeight="1" x14ac:dyDescent="0.25"/>
    <row r="22929" ht="15" customHeight="1" x14ac:dyDescent="0.25"/>
    <row r="22930" ht="15" customHeight="1" x14ac:dyDescent="0.25"/>
    <row r="22931" ht="15" customHeight="1" x14ac:dyDescent="0.25"/>
    <row r="22932" ht="15" customHeight="1" x14ac:dyDescent="0.25"/>
    <row r="22933" ht="15" customHeight="1" x14ac:dyDescent="0.25"/>
    <row r="22934" ht="15" customHeight="1" x14ac:dyDescent="0.25"/>
    <row r="22935" ht="15" customHeight="1" x14ac:dyDescent="0.25"/>
    <row r="22936" ht="15" customHeight="1" x14ac:dyDescent="0.25"/>
    <row r="22937" ht="15" customHeight="1" x14ac:dyDescent="0.25"/>
    <row r="22938" ht="15" customHeight="1" x14ac:dyDescent="0.25"/>
    <row r="22939" ht="15" customHeight="1" x14ac:dyDescent="0.25"/>
    <row r="22940" ht="15" customHeight="1" x14ac:dyDescent="0.25"/>
    <row r="22941" ht="15" customHeight="1" x14ac:dyDescent="0.25"/>
    <row r="22942" ht="15" customHeight="1" x14ac:dyDescent="0.25"/>
    <row r="22943" ht="15" customHeight="1" x14ac:dyDescent="0.25"/>
    <row r="22948" ht="15" customHeight="1" x14ac:dyDescent="0.25"/>
    <row r="22955" ht="15" customHeight="1" x14ac:dyDescent="0.25"/>
    <row r="22956" ht="15" customHeight="1" x14ac:dyDescent="0.25"/>
    <row r="22957" ht="15" customHeight="1" x14ac:dyDescent="0.25"/>
    <row r="22958" ht="15" customHeight="1" x14ac:dyDescent="0.25"/>
    <row r="22959" ht="15" customHeight="1" x14ac:dyDescent="0.25"/>
    <row r="22960" ht="15" customHeight="1" x14ac:dyDescent="0.25"/>
    <row r="22961" ht="15" customHeight="1" x14ac:dyDescent="0.25"/>
    <row r="22962" ht="15" customHeight="1" x14ac:dyDescent="0.25"/>
    <row r="22963" ht="15" customHeight="1" x14ac:dyDescent="0.25"/>
    <row r="22964" ht="15" customHeight="1" x14ac:dyDescent="0.25"/>
    <row r="22965" ht="15" customHeight="1" x14ac:dyDescent="0.25"/>
    <row r="22966" ht="15" customHeight="1" x14ac:dyDescent="0.25"/>
    <row r="22967" ht="15" customHeight="1" x14ac:dyDescent="0.25"/>
    <row r="22968" ht="15" customHeight="1" x14ac:dyDescent="0.25"/>
    <row r="22969" ht="15" customHeight="1" x14ac:dyDescent="0.25"/>
    <row r="22970" ht="15" customHeight="1" x14ac:dyDescent="0.25"/>
    <row r="22971" ht="15" customHeight="1" x14ac:dyDescent="0.25"/>
    <row r="22972" ht="15" customHeight="1" x14ac:dyDescent="0.25"/>
    <row r="22973" ht="15" customHeight="1" x14ac:dyDescent="0.25"/>
    <row r="22974" ht="15" customHeight="1" x14ac:dyDescent="0.25"/>
    <row r="22975" ht="15" customHeight="1" x14ac:dyDescent="0.25"/>
    <row r="22976" ht="15" customHeight="1" x14ac:dyDescent="0.25"/>
    <row r="22977" ht="15" customHeight="1" x14ac:dyDescent="0.25"/>
    <row r="22978" ht="15" customHeight="1" x14ac:dyDescent="0.25"/>
    <row r="22979" ht="15" customHeight="1" x14ac:dyDescent="0.25"/>
    <row r="22980" ht="15" customHeight="1" x14ac:dyDescent="0.25"/>
    <row r="22985" ht="15" customHeight="1" x14ac:dyDescent="0.25"/>
    <row r="22992" ht="15" customHeight="1" x14ac:dyDescent="0.25"/>
    <row r="22993" ht="15" customHeight="1" x14ac:dyDescent="0.25"/>
    <row r="22994" ht="15" customHeight="1" x14ac:dyDescent="0.25"/>
    <row r="22995" ht="15" customHeight="1" x14ac:dyDescent="0.25"/>
    <row r="22996" ht="15" customHeight="1" x14ac:dyDescent="0.25"/>
    <row r="22997" ht="15" customHeight="1" x14ac:dyDescent="0.25"/>
    <row r="22998" ht="15" customHeight="1" x14ac:dyDescent="0.25"/>
    <row r="22999" ht="15" customHeight="1" x14ac:dyDescent="0.25"/>
    <row r="23000" ht="15" customHeight="1" x14ac:dyDescent="0.25"/>
    <row r="23001" ht="15" customHeight="1" x14ac:dyDescent="0.25"/>
    <row r="23002" ht="15" customHeight="1" x14ac:dyDescent="0.25"/>
    <row r="23003" ht="15" customHeight="1" x14ac:dyDescent="0.25"/>
    <row r="23004" ht="15" customHeight="1" x14ac:dyDescent="0.25"/>
    <row r="23005" ht="15" customHeight="1" x14ac:dyDescent="0.25"/>
    <row r="23006" ht="15" customHeight="1" x14ac:dyDescent="0.25"/>
    <row r="23007" ht="15" customHeight="1" x14ac:dyDescent="0.25"/>
    <row r="23008" ht="15" customHeight="1" x14ac:dyDescent="0.25"/>
    <row r="23009" ht="15" customHeight="1" x14ac:dyDescent="0.25"/>
    <row r="23010" ht="15" customHeight="1" x14ac:dyDescent="0.25"/>
    <row r="23011" ht="15" customHeight="1" x14ac:dyDescent="0.25"/>
    <row r="23012" ht="15" customHeight="1" x14ac:dyDescent="0.25"/>
    <row r="23013" ht="15" customHeight="1" x14ac:dyDescent="0.25"/>
    <row r="23014" ht="15" customHeight="1" x14ac:dyDescent="0.25"/>
    <row r="23015" ht="15" customHeight="1" x14ac:dyDescent="0.25"/>
    <row r="23020" ht="15" customHeight="1" x14ac:dyDescent="0.25"/>
    <row r="23032" ht="15" customHeight="1" x14ac:dyDescent="0.25"/>
    <row r="23033" ht="15" customHeight="1" x14ac:dyDescent="0.25"/>
    <row r="23034" ht="15" customHeight="1" x14ac:dyDescent="0.25"/>
    <row r="23035" ht="15" customHeight="1" x14ac:dyDescent="0.25"/>
    <row r="23036" ht="15" customHeight="1" x14ac:dyDescent="0.25"/>
    <row r="23037" ht="15" customHeight="1" x14ac:dyDescent="0.25"/>
    <row r="23038" ht="15" customHeight="1" x14ac:dyDescent="0.25"/>
    <row r="23039" ht="15" customHeight="1" x14ac:dyDescent="0.25"/>
    <row r="23040" ht="15" customHeight="1" x14ac:dyDescent="0.25"/>
    <row r="23041" ht="15" customHeight="1" x14ac:dyDescent="0.25"/>
    <row r="23042" ht="15" customHeight="1" x14ac:dyDescent="0.25"/>
    <row r="23043" ht="15" customHeight="1" x14ac:dyDescent="0.25"/>
    <row r="23044" ht="15" customHeight="1" x14ac:dyDescent="0.25"/>
    <row r="23045" ht="15" customHeight="1" x14ac:dyDescent="0.25"/>
    <row r="23046" ht="15" customHeight="1" x14ac:dyDescent="0.25"/>
    <row r="23047" ht="15" customHeight="1" x14ac:dyDescent="0.25"/>
    <row r="23048" ht="15" customHeight="1" x14ac:dyDescent="0.25"/>
    <row r="23049" ht="15" customHeight="1" x14ac:dyDescent="0.25"/>
    <row r="23050" ht="15" customHeight="1" x14ac:dyDescent="0.25"/>
    <row r="23051" ht="15" customHeight="1" x14ac:dyDescent="0.25"/>
    <row r="23052" ht="15" customHeight="1" x14ac:dyDescent="0.25"/>
    <row r="23053" ht="15" customHeight="1" x14ac:dyDescent="0.25"/>
    <row r="23054" ht="15" customHeight="1" x14ac:dyDescent="0.25"/>
    <row r="23055" ht="15" customHeight="1" x14ac:dyDescent="0.25"/>
    <row r="23056" ht="15" customHeight="1" x14ac:dyDescent="0.25"/>
    <row r="23057" ht="15" customHeight="1" x14ac:dyDescent="0.25"/>
    <row r="23058" ht="15" customHeight="1" x14ac:dyDescent="0.25"/>
    <row r="23059" ht="15" customHeight="1" x14ac:dyDescent="0.25"/>
    <row r="23060" ht="15" customHeight="1" x14ac:dyDescent="0.25"/>
    <row r="23061" ht="15" customHeight="1" x14ac:dyDescent="0.25"/>
    <row r="23072" ht="15" customHeight="1" x14ac:dyDescent="0.25"/>
    <row r="23073" ht="15" customHeight="1" x14ac:dyDescent="0.25"/>
    <row r="23074" ht="15" customHeight="1" x14ac:dyDescent="0.25"/>
    <row r="23075" ht="15" customHeight="1" x14ac:dyDescent="0.25"/>
    <row r="23076" ht="15" customHeight="1" x14ac:dyDescent="0.25"/>
    <row r="23077" ht="15" customHeight="1" x14ac:dyDescent="0.25"/>
    <row r="23078" ht="15" customHeight="1" x14ac:dyDescent="0.25"/>
    <row r="23079" ht="15" customHeight="1" x14ac:dyDescent="0.25"/>
    <row r="23080" ht="15" customHeight="1" x14ac:dyDescent="0.25"/>
    <row r="23081" ht="15" customHeight="1" x14ac:dyDescent="0.25"/>
    <row r="23082" ht="15" customHeight="1" x14ac:dyDescent="0.25"/>
    <row r="23083" ht="15" customHeight="1" x14ac:dyDescent="0.25"/>
    <row r="23084" ht="15" customHeight="1" x14ac:dyDescent="0.25"/>
    <row r="23085" ht="15" customHeight="1" x14ac:dyDescent="0.25"/>
    <row r="23086" ht="15" customHeight="1" x14ac:dyDescent="0.25"/>
    <row r="23087" ht="15" customHeight="1" x14ac:dyDescent="0.25"/>
    <row r="23088" ht="15" customHeight="1" x14ac:dyDescent="0.25"/>
    <row r="23089" ht="15" customHeight="1" x14ac:dyDescent="0.25"/>
    <row r="23090" ht="15" customHeight="1" x14ac:dyDescent="0.25"/>
    <row r="23091" ht="15" customHeight="1" x14ac:dyDescent="0.25"/>
    <row r="23092" ht="15" customHeight="1" x14ac:dyDescent="0.25"/>
    <row r="23093" ht="15" customHeight="1" x14ac:dyDescent="0.25"/>
    <row r="23094" ht="15" customHeight="1" x14ac:dyDescent="0.25"/>
    <row r="23095" ht="15" customHeight="1" x14ac:dyDescent="0.25"/>
    <row r="23096" ht="15" customHeight="1" x14ac:dyDescent="0.25"/>
    <row r="23097" ht="15" customHeight="1" x14ac:dyDescent="0.25"/>
    <row r="23098" ht="15" customHeight="1" x14ac:dyDescent="0.25"/>
    <row r="23099" ht="15" customHeight="1" x14ac:dyDescent="0.25"/>
    <row r="23100" ht="15" customHeight="1" x14ac:dyDescent="0.25"/>
    <row r="23101" ht="15" customHeight="1" x14ac:dyDescent="0.25"/>
    <row r="23102" ht="15" customHeight="1" x14ac:dyDescent="0.25"/>
    <row r="23113" ht="15" customHeight="1" x14ac:dyDescent="0.25"/>
    <row r="23114" ht="15" customHeight="1" x14ac:dyDescent="0.25"/>
    <row r="23115" ht="15" customHeight="1" x14ac:dyDescent="0.25"/>
    <row r="23116" ht="15" customHeight="1" x14ac:dyDescent="0.25"/>
    <row r="23117" ht="15" customHeight="1" x14ac:dyDescent="0.25"/>
    <row r="23118" ht="15" customHeight="1" x14ac:dyDescent="0.25"/>
    <row r="23119" ht="15" customHeight="1" x14ac:dyDescent="0.25"/>
    <row r="23120" ht="15" customHeight="1" x14ac:dyDescent="0.25"/>
    <row r="23121" ht="15" customHeight="1" x14ac:dyDescent="0.25"/>
    <row r="23122" ht="15" customHeight="1" x14ac:dyDescent="0.25"/>
    <row r="23123" ht="15" customHeight="1" x14ac:dyDescent="0.25"/>
    <row r="23124" ht="15" customHeight="1" x14ac:dyDescent="0.25"/>
    <row r="23125" ht="15" customHeight="1" x14ac:dyDescent="0.25"/>
    <row r="23126" ht="15" customHeight="1" x14ac:dyDescent="0.25"/>
    <row r="23127" ht="15" customHeight="1" x14ac:dyDescent="0.25"/>
    <row r="23128" ht="15" customHeight="1" x14ac:dyDescent="0.25"/>
    <row r="23129" ht="15" customHeight="1" x14ac:dyDescent="0.25"/>
    <row r="23130" ht="15" customHeight="1" x14ac:dyDescent="0.25"/>
    <row r="23131" ht="15" customHeight="1" x14ac:dyDescent="0.25"/>
    <row r="23132" ht="15" customHeight="1" x14ac:dyDescent="0.25"/>
    <row r="23133" ht="15" customHeight="1" x14ac:dyDescent="0.25"/>
    <row r="23134" ht="15" customHeight="1" x14ac:dyDescent="0.25"/>
    <row r="23135" ht="15" customHeight="1" x14ac:dyDescent="0.25"/>
    <row r="23136" ht="15" customHeight="1" x14ac:dyDescent="0.25"/>
    <row r="23137" ht="15" customHeight="1" x14ac:dyDescent="0.25"/>
    <row r="23138" ht="15" customHeight="1" x14ac:dyDescent="0.25"/>
    <row r="23139" ht="15" customHeight="1" x14ac:dyDescent="0.25"/>
    <row r="23140" ht="15" customHeight="1" x14ac:dyDescent="0.25"/>
    <row r="23141" ht="15" customHeight="1" x14ac:dyDescent="0.25"/>
    <row r="23142" ht="15" customHeight="1" x14ac:dyDescent="0.25"/>
    <row r="23143" ht="15" customHeight="1" x14ac:dyDescent="0.25"/>
    <row r="23154" ht="15" customHeight="1" x14ac:dyDescent="0.25"/>
    <row r="23155" ht="15" customHeight="1" x14ac:dyDescent="0.25"/>
    <row r="23156" ht="15" customHeight="1" x14ac:dyDescent="0.25"/>
    <row r="23157" ht="15" customHeight="1" x14ac:dyDescent="0.25"/>
    <row r="23158" ht="15" customHeight="1" x14ac:dyDescent="0.25"/>
    <row r="23159" ht="15" customHeight="1" x14ac:dyDescent="0.25"/>
    <row r="23160" ht="15" customHeight="1" x14ac:dyDescent="0.25"/>
    <row r="23161" ht="15" customHeight="1" x14ac:dyDescent="0.25"/>
    <row r="23162" ht="15" customHeight="1" x14ac:dyDescent="0.25"/>
    <row r="23163" ht="15" customHeight="1" x14ac:dyDescent="0.25"/>
    <row r="23164" ht="15" customHeight="1" x14ac:dyDescent="0.25"/>
    <row r="23165" ht="15" customHeight="1" x14ac:dyDescent="0.25"/>
    <row r="23166" ht="15" customHeight="1" x14ac:dyDescent="0.25"/>
    <row r="23167" ht="15" customHeight="1" x14ac:dyDescent="0.25"/>
    <row r="23168" ht="15" customHeight="1" x14ac:dyDescent="0.25"/>
    <row r="23169" ht="15" customHeight="1" x14ac:dyDescent="0.25"/>
    <row r="23170" ht="15" customHeight="1" x14ac:dyDescent="0.25"/>
    <row r="23171" ht="15" customHeight="1" x14ac:dyDescent="0.25"/>
    <row r="23172" ht="15" customHeight="1" x14ac:dyDescent="0.25"/>
    <row r="23173" ht="15" customHeight="1" x14ac:dyDescent="0.25"/>
    <row r="23174" ht="15" customHeight="1" x14ac:dyDescent="0.25"/>
    <row r="23175" ht="15" customHeight="1" x14ac:dyDescent="0.25"/>
    <row r="23176" ht="15" customHeight="1" x14ac:dyDescent="0.25"/>
    <row r="23177" ht="15" customHeight="1" x14ac:dyDescent="0.25"/>
    <row r="23178" ht="15" customHeight="1" x14ac:dyDescent="0.25"/>
    <row r="23179" ht="15" customHeight="1" x14ac:dyDescent="0.25"/>
    <row r="23180" ht="15" customHeight="1" x14ac:dyDescent="0.25"/>
    <row r="23181" ht="15" customHeight="1" x14ac:dyDescent="0.25"/>
    <row r="23182" ht="15" customHeight="1" x14ac:dyDescent="0.25"/>
    <row r="23183" ht="15" customHeight="1" x14ac:dyDescent="0.25"/>
    <row r="23184" ht="15" customHeight="1" x14ac:dyDescent="0.25"/>
    <row r="23195" ht="15" customHeight="1" x14ac:dyDescent="0.25"/>
    <row r="23196" ht="15" customHeight="1" x14ac:dyDescent="0.25"/>
    <row r="23197" ht="15" customHeight="1" x14ac:dyDescent="0.25"/>
    <row r="23198" ht="15" customHeight="1" x14ac:dyDescent="0.25"/>
    <row r="23199" ht="15" customHeight="1" x14ac:dyDescent="0.25"/>
    <row r="23200" ht="15" customHeight="1" x14ac:dyDescent="0.25"/>
    <row r="23201" ht="15" customHeight="1" x14ac:dyDescent="0.25"/>
    <row r="23202" ht="15" customHeight="1" x14ac:dyDescent="0.25"/>
    <row r="23203" ht="15" customHeight="1" x14ac:dyDescent="0.25"/>
    <row r="23204" ht="15" customHeight="1" x14ac:dyDescent="0.25"/>
    <row r="23205" ht="15" customHeight="1" x14ac:dyDescent="0.25"/>
    <row r="23206" ht="15" customHeight="1" x14ac:dyDescent="0.25"/>
    <row r="23207" ht="15" customHeight="1" x14ac:dyDescent="0.25"/>
    <row r="23208" ht="15" customHeight="1" x14ac:dyDescent="0.25"/>
    <row r="23209" ht="15" customHeight="1" x14ac:dyDescent="0.25"/>
    <row r="23210" ht="15" customHeight="1" x14ac:dyDescent="0.25"/>
    <row r="23211" ht="15" customHeight="1" x14ac:dyDescent="0.25"/>
    <row r="23212" ht="15" customHeight="1" x14ac:dyDescent="0.25"/>
    <row r="23213" ht="15" customHeight="1" x14ac:dyDescent="0.25"/>
    <row r="23214" ht="15" customHeight="1" x14ac:dyDescent="0.25"/>
    <row r="23215" ht="15" customHeight="1" x14ac:dyDescent="0.25"/>
    <row r="23216" ht="15" customHeight="1" x14ac:dyDescent="0.25"/>
    <row r="23217" ht="15" customHeight="1" x14ac:dyDescent="0.25"/>
    <row r="23218" ht="15" customHeight="1" x14ac:dyDescent="0.25"/>
    <row r="23219" ht="15" customHeight="1" x14ac:dyDescent="0.25"/>
    <row r="23220" ht="15" customHeight="1" x14ac:dyDescent="0.25"/>
    <row r="23221" ht="15" customHeight="1" x14ac:dyDescent="0.25"/>
    <row r="23222" ht="15" customHeight="1" x14ac:dyDescent="0.25"/>
    <row r="23223" ht="15" customHeight="1" x14ac:dyDescent="0.25"/>
    <row r="23224" ht="15" customHeight="1" x14ac:dyDescent="0.25"/>
    <row r="23225" ht="15" customHeight="1" x14ac:dyDescent="0.25"/>
    <row r="23236" ht="15" customHeight="1" x14ac:dyDescent="0.25"/>
    <row r="23237" ht="15" customHeight="1" x14ac:dyDescent="0.25"/>
    <row r="23238" ht="15" customHeight="1" x14ac:dyDescent="0.25"/>
    <row r="23239" ht="15" customHeight="1" x14ac:dyDescent="0.25"/>
    <row r="23240" ht="15" customHeight="1" x14ac:dyDescent="0.25"/>
    <row r="23241" ht="15" customHeight="1" x14ac:dyDescent="0.25"/>
    <row r="23242" ht="15" customHeight="1" x14ac:dyDescent="0.25"/>
    <row r="23243" ht="15" customHeight="1" x14ac:dyDescent="0.25"/>
    <row r="23244" ht="15" customHeight="1" x14ac:dyDescent="0.25"/>
    <row r="23245" ht="15" customHeight="1" x14ac:dyDescent="0.25"/>
    <row r="23246" ht="15" customHeight="1" x14ac:dyDescent="0.25"/>
    <row r="23247" ht="15" customHeight="1" x14ac:dyDescent="0.25"/>
    <row r="23248" ht="15" customHeight="1" x14ac:dyDescent="0.25"/>
    <row r="23249" ht="15" customHeight="1" x14ac:dyDescent="0.25"/>
    <row r="23250" ht="15" customHeight="1" x14ac:dyDescent="0.25"/>
    <row r="23251" ht="15" customHeight="1" x14ac:dyDescent="0.25"/>
    <row r="23256" ht="15" customHeight="1" x14ac:dyDescent="0.25"/>
    <row r="23268" ht="15" customHeight="1" x14ac:dyDescent="0.25"/>
    <row r="23269" ht="15" customHeight="1" x14ac:dyDescent="0.25"/>
    <row r="23270" ht="15" customHeight="1" x14ac:dyDescent="0.25"/>
    <row r="23271" ht="15" customHeight="1" x14ac:dyDescent="0.25"/>
    <row r="23272" ht="15" customHeight="1" x14ac:dyDescent="0.25"/>
    <row r="23273" ht="15" customHeight="1" x14ac:dyDescent="0.25"/>
    <row r="23274" ht="15" customHeight="1" x14ac:dyDescent="0.25"/>
    <row r="23275" ht="15" customHeight="1" x14ac:dyDescent="0.25"/>
    <row r="23276" ht="15" customHeight="1" x14ac:dyDescent="0.25"/>
    <row r="23277" ht="15" customHeight="1" x14ac:dyDescent="0.25"/>
    <row r="23278" ht="15" customHeight="1" x14ac:dyDescent="0.25"/>
    <row r="23279" ht="15" customHeight="1" x14ac:dyDescent="0.25"/>
    <row r="23280" ht="15" customHeight="1" x14ac:dyDescent="0.25"/>
    <row r="23281" ht="15" customHeight="1" x14ac:dyDescent="0.25"/>
    <row r="23282" ht="15" customHeight="1" x14ac:dyDescent="0.25"/>
    <row r="23283" ht="15" customHeight="1" x14ac:dyDescent="0.25"/>
    <row r="23288" ht="15" customHeight="1" x14ac:dyDescent="0.25"/>
    <row r="23300" ht="15" customHeight="1" x14ac:dyDescent="0.25"/>
    <row r="23301" ht="15" customHeight="1" x14ac:dyDescent="0.25"/>
    <row r="23302" ht="15" customHeight="1" x14ac:dyDescent="0.25"/>
    <row r="23303" ht="15" customHeight="1" x14ac:dyDescent="0.25"/>
    <row r="23304" ht="15" customHeight="1" x14ac:dyDescent="0.25"/>
    <row r="23305" ht="15" customHeight="1" x14ac:dyDescent="0.25"/>
    <row r="23306" ht="15" customHeight="1" x14ac:dyDescent="0.25"/>
    <row r="23307" ht="15" customHeight="1" x14ac:dyDescent="0.25"/>
    <row r="23308" ht="15" customHeight="1" x14ac:dyDescent="0.25"/>
    <row r="23309" ht="15" customHeight="1" x14ac:dyDescent="0.25"/>
    <row r="23310" ht="15" customHeight="1" x14ac:dyDescent="0.25"/>
    <row r="23311" ht="15" customHeight="1" x14ac:dyDescent="0.25"/>
    <row r="23312" ht="15" customHeight="1" x14ac:dyDescent="0.25"/>
    <row r="23313" ht="15" customHeight="1" x14ac:dyDescent="0.25"/>
    <row r="23314" ht="15" customHeight="1" x14ac:dyDescent="0.25"/>
    <row r="23315" ht="15" customHeight="1" x14ac:dyDescent="0.25"/>
    <row r="23320" ht="15" customHeight="1" x14ac:dyDescent="0.25"/>
    <row r="23332" ht="15" customHeight="1" x14ac:dyDescent="0.25"/>
    <row r="23333" ht="15" customHeight="1" x14ac:dyDescent="0.25"/>
    <row r="23334" ht="15" customHeight="1" x14ac:dyDescent="0.25"/>
    <row r="23335" ht="15" customHeight="1" x14ac:dyDescent="0.25"/>
    <row r="23336" ht="15" customHeight="1" x14ac:dyDescent="0.25"/>
    <row r="23337" ht="15" customHeight="1" x14ac:dyDescent="0.25"/>
    <row r="23338" ht="15" customHeight="1" x14ac:dyDescent="0.25"/>
    <row r="23339" ht="15" customHeight="1" x14ac:dyDescent="0.25"/>
    <row r="23340" ht="15" customHeight="1" x14ac:dyDescent="0.25"/>
    <row r="23341" ht="15" customHeight="1" x14ac:dyDescent="0.25"/>
    <row r="23342" ht="15" customHeight="1" x14ac:dyDescent="0.25"/>
    <row r="23343" ht="15" customHeight="1" x14ac:dyDescent="0.25"/>
    <row r="23344" ht="15" customHeight="1" x14ac:dyDescent="0.25"/>
    <row r="23345" ht="15" customHeight="1" x14ac:dyDescent="0.25"/>
    <row r="23346" ht="15" customHeight="1" x14ac:dyDescent="0.25"/>
    <row r="23347" ht="15" customHeight="1" x14ac:dyDescent="0.25"/>
    <row r="23352" ht="15" customHeight="1" x14ac:dyDescent="0.25"/>
    <row r="23364" ht="15" customHeight="1" x14ac:dyDescent="0.25"/>
    <row r="23365" ht="15" customHeight="1" x14ac:dyDescent="0.25"/>
    <row r="23366" ht="15" customHeight="1" x14ac:dyDescent="0.25"/>
    <row r="23367" ht="15" customHeight="1" x14ac:dyDescent="0.25"/>
    <row r="23368" ht="15" customHeight="1" x14ac:dyDescent="0.25"/>
    <row r="23369" ht="15" customHeight="1" x14ac:dyDescent="0.25"/>
    <row r="23370" ht="15" customHeight="1" x14ac:dyDescent="0.25"/>
    <row r="23371" ht="15" customHeight="1" x14ac:dyDescent="0.25"/>
    <row r="23372" ht="15" customHeight="1" x14ac:dyDescent="0.25"/>
    <row r="23373" ht="15" customHeight="1" x14ac:dyDescent="0.25"/>
    <row r="23374" ht="15" customHeight="1" x14ac:dyDescent="0.25"/>
    <row r="23375" ht="15" customHeight="1" x14ac:dyDescent="0.25"/>
    <row r="23376" ht="15" customHeight="1" x14ac:dyDescent="0.25"/>
    <row r="23377" ht="15" customHeight="1" x14ac:dyDescent="0.25"/>
    <row r="23378" ht="15" customHeight="1" x14ac:dyDescent="0.25"/>
    <row r="23379" ht="15" customHeight="1" x14ac:dyDescent="0.25"/>
    <row r="23380" ht="15" customHeight="1" x14ac:dyDescent="0.25"/>
    <row r="23381" ht="15" customHeight="1" x14ac:dyDescent="0.25"/>
    <row r="23382" ht="15" customHeight="1" x14ac:dyDescent="0.25"/>
    <row r="23383" ht="15" customHeight="1" x14ac:dyDescent="0.25"/>
    <row r="23384" ht="15" customHeight="1" x14ac:dyDescent="0.25"/>
    <row r="23385" ht="15" customHeight="1" x14ac:dyDescent="0.25"/>
    <row r="23386" ht="15" customHeight="1" x14ac:dyDescent="0.25"/>
    <row r="23387" ht="15" customHeight="1" x14ac:dyDescent="0.25"/>
    <row r="23388" ht="15" customHeight="1" x14ac:dyDescent="0.25"/>
    <row r="23389" ht="15" customHeight="1" x14ac:dyDescent="0.25"/>
    <row r="23390" ht="15" customHeight="1" x14ac:dyDescent="0.25"/>
    <row r="23391" ht="15" customHeight="1" x14ac:dyDescent="0.25"/>
    <row r="23395" ht="15" customHeight="1" x14ac:dyDescent="0.25"/>
    <row r="23396" ht="15" customHeight="1" x14ac:dyDescent="0.25"/>
    <row r="23397" ht="15" customHeight="1" x14ac:dyDescent="0.25"/>
    <row r="23398" ht="15" customHeight="1" x14ac:dyDescent="0.25"/>
    <row r="23399" ht="15" customHeight="1" x14ac:dyDescent="0.25"/>
    <row r="23400" ht="15" customHeight="1" x14ac:dyDescent="0.25"/>
    <row r="23401" ht="15" customHeight="1" x14ac:dyDescent="0.25"/>
    <row r="23402" ht="15" customHeight="1" x14ac:dyDescent="0.25"/>
    <row r="23403" ht="15" customHeight="1" x14ac:dyDescent="0.25"/>
    <row r="23404" ht="15" customHeight="1" x14ac:dyDescent="0.25"/>
    <row r="23405" ht="15" customHeight="1" x14ac:dyDescent="0.25"/>
    <row r="23406" ht="15" customHeight="1" x14ac:dyDescent="0.25"/>
    <row r="23407" ht="15" customHeight="1" x14ac:dyDescent="0.25"/>
    <row r="23408" ht="15" customHeight="1" x14ac:dyDescent="0.25"/>
    <row r="23409" ht="15" customHeight="1" x14ac:dyDescent="0.25"/>
    <row r="23410" ht="15" customHeight="1" x14ac:dyDescent="0.25"/>
    <row r="23411" ht="15" customHeight="1" x14ac:dyDescent="0.25"/>
    <row r="23412" ht="15" customHeight="1" x14ac:dyDescent="0.25"/>
    <row r="23413" ht="15" customHeight="1" x14ac:dyDescent="0.25"/>
    <row r="23414" ht="15" customHeight="1" x14ac:dyDescent="0.25"/>
    <row r="23415" ht="15" customHeight="1" x14ac:dyDescent="0.25"/>
    <row r="23420" ht="15" customHeight="1" x14ac:dyDescent="0.25"/>
    <row r="23432" ht="15" customHeight="1" x14ac:dyDescent="0.25"/>
    <row r="23433" ht="15" customHeight="1" x14ac:dyDescent="0.25"/>
    <row r="23434" ht="15" customHeight="1" x14ac:dyDescent="0.25"/>
    <row r="23435" ht="15" customHeight="1" x14ac:dyDescent="0.25"/>
    <row r="23436" ht="15" customHeight="1" x14ac:dyDescent="0.25"/>
    <row r="23437" ht="15" customHeight="1" x14ac:dyDescent="0.25"/>
    <row r="23438" ht="15" customHeight="1" x14ac:dyDescent="0.25"/>
    <row r="23439" ht="15" customHeight="1" x14ac:dyDescent="0.25"/>
    <row r="23440" ht="15" customHeight="1" x14ac:dyDescent="0.25"/>
    <row r="23441" ht="15" customHeight="1" x14ac:dyDescent="0.25"/>
    <row r="23442" ht="15" customHeight="1" x14ac:dyDescent="0.25"/>
    <row r="23443" ht="15" customHeight="1" x14ac:dyDescent="0.25"/>
    <row r="23444" ht="15" customHeight="1" x14ac:dyDescent="0.25"/>
    <row r="23445" ht="15" customHeight="1" x14ac:dyDescent="0.25"/>
    <row r="23446" ht="15" customHeight="1" x14ac:dyDescent="0.25"/>
    <row r="23447" ht="15" customHeight="1" x14ac:dyDescent="0.25"/>
    <row r="23448" ht="15" customHeight="1" x14ac:dyDescent="0.25"/>
    <row r="23449" ht="15" customHeight="1" x14ac:dyDescent="0.25"/>
    <row r="23450" ht="15" customHeight="1" x14ac:dyDescent="0.25"/>
    <row r="23451" ht="15" customHeight="1" x14ac:dyDescent="0.25"/>
    <row r="23452" ht="15" customHeight="1" x14ac:dyDescent="0.25"/>
    <row r="23453" ht="15" customHeight="1" x14ac:dyDescent="0.25"/>
    <row r="23454" ht="15" customHeight="1" x14ac:dyDescent="0.25"/>
    <row r="23455" ht="15" customHeight="1" x14ac:dyDescent="0.25"/>
    <row r="23460" ht="15" customHeight="1" x14ac:dyDescent="0.25"/>
    <row r="23472" ht="15" customHeight="1" x14ac:dyDescent="0.25"/>
    <row r="23473" ht="15" customHeight="1" x14ac:dyDescent="0.25"/>
    <row r="23474" ht="15" customHeight="1" x14ac:dyDescent="0.25"/>
    <row r="23475" ht="15" customHeight="1" x14ac:dyDescent="0.25"/>
    <row r="23476" ht="15" customHeight="1" x14ac:dyDescent="0.25"/>
    <row r="23477" ht="15" customHeight="1" x14ac:dyDescent="0.25"/>
    <row r="23478" ht="15" customHeight="1" x14ac:dyDescent="0.25"/>
    <row r="23479" ht="15" customHeight="1" x14ac:dyDescent="0.25"/>
    <row r="23480" ht="15" customHeight="1" x14ac:dyDescent="0.25"/>
    <row r="23481" ht="15" customHeight="1" x14ac:dyDescent="0.25"/>
    <row r="23482" ht="15" customHeight="1" x14ac:dyDescent="0.25"/>
    <row r="23483" ht="15" customHeight="1" x14ac:dyDescent="0.25"/>
    <row r="23484" ht="15" customHeight="1" x14ac:dyDescent="0.25"/>
    <row r="23485" ht="15" customHeight="1" x14ac:dyDescent="0.25"/>
    <row r="23486" ht="15" customHeight="1" x14ac:dyDescent="0.25"/>
    <row r="23487" ht="15" customHeight="1" x14ac:dyDescent="0.25"/>
    <row r="23488" ht="15" customHeight="1" x14ac:dyDescent="0.25"/>
    <row r="23489" ht="15" customHeight="1" x14ac:dyDescent="0.25"/>
    <row r="23490" ht="15" customHeight="1" x14ac:dyDescent="0.25"/>
    <row r="23491" ht="15" customHeight="1" x14ac:dyDescent="0.25"/>
    <row r="23492" ht="15" customHeight="1" x14ac:dyDescent="0.25"/>
    <row r="23493" ht="15" customHeight="1" x14ac:dyDescent="0.25"/>
    <row r="23494" ht="15" customHeight="1" x14ac:dyDescent="0.25"/>
    <row r="23495" ht="15" customHeight="1" x14ac:dyDescent="0.25"/>
    <row r="23496" ht="15" customHeight="1" x14ac:dyDescent="0.25"/>
    <row r="23497" ht="15" customHeight="1" x14ac:dyDescent="0.25"/>
    <row r="23498" ht="15" customHeight="1" x14ac:dyDescent="0.25"/>
    <row r="23499" ht="15" customHeight="1" x14ac:dyDescent="0.25"/>
    <row r="23500" ht="15" customHeight="1" x14ac:dyDescent="0.25"/>
    <row r="23501" ht="15" customHeight="1" x14ac:dyDescent="0.25"/>
    <row r="23502" ht="15" customHeight="1" x14ac:dyDescent="0.25"/>
    <row r="23503" ht="15" customHeight="1" x14ac:dyDescent="0.25"/>
    <row r="23504" ht="15" customHeight="1" x14ac:dyDescent="0.25"/>
    <row r="23505" ht="15" customHeight="1" x14ac:dyDescent="0.25"/>
    <row r="23506" ht="15" customHeight="1" x14ac:dyDescent="0.25"/>
    <row r="23507" ht="15" customHeight="1" x14ac:dyDescent="0.25"/>
    <row r="23508" ht="15" customHeight="1" x14ac:dyDescent="0.25"/>
    <row r="23509" ht="15" customHeight="1" x14ac:dyDescent="0.25"/>
    <row r="23510" ht="15" customHeight="1" x14ac:dyDescent="0.25"/>
    <row r="23511" ht="15" customHeight="1" x14ac:dyDescent="0.25"/>
    <row r="23512" ht="15" customHeight="1" x14ac:dyDescent="0.25"/>
    <row r="23513" ht="15" customHeight="1" x14ac:dyDescent="0.25"/>
    <row r="23514" ht="15" customHeight="1" x14ac:dyDescent="0.25"/>
    <row r="23515" ht="15" customHeight="1" x14ac:dyDescent="0.25"/>
    <row r="23516" ht="15" customHeight="1" x14ac:dyDescent="0.25"/>
    <row r="23517" ht="15" customHeight="1" x14ac:dyDescent="0.25"/>
    <row r="23518" ht="15" customHeight="1" x14ac:dyDescent="0.25"/>
    <row r="23519" ht="15" customHeight="1" x14ac:dyDescent="0.25"/>
    <row r="23520" ht="15" customHeight="1" x14ac:dyDescent="0.25"/>
    <row r="23521" ht="15" customHeight="1" x14ac:dyDescent="0.25"/>
    <row r="23522" ht="15" customHeight="1" x14ac:dyDescent="0.25"/>
    <row r="23523" ht="15" customHeight="1" x14ac:dyDescent="0.25"/>
    <row r="23524" ht="15" customHeight="1" x14ac:dyDescent="0.25"/>
    <row r="23525" ht="15" customHeight="1" x14ac:dyDescent="0.25"/>
    <row r="23526" ht="15" customHeight="1" x14ac:dyDescent="0.25"/>
    <row r="23527" ht="15" customHeight="1" x14ac:dyDescent="0.25"/>
    <row r="23528" ht="15" customHeight="1" x14ac:dyDescent="0.25"/>
    <row r="23529" ht="15" customHeight="1" x14ac:dyDescent="0.25"/>
    <row r="23530" ht="15" customHeight="1" x14ac:dyDescent="0.25"/>
    <row r="23531" ht="15" customHeight="1" x14ac:dyDescent="0.25"/>
    <row r="23532" ht="15" customHeight="1" x14ac:dyDescent="0.25"/>
    <row r="23533" ht="15" customHeight="1" x14ac:dyDescent="0.25"/>
    <row r="23534" ht="15" customHeight="1" x14ac:dyDescent="0.25"/>
    <row r="23535" ht="15" customHeight="1" x14ac:dyDescent="0.25"/>
    <row r="23536" ht="15" customHeight="1" x14ac:dyDescent="0.25"/>
    <row r="23537" ht="15" customHeight="1" x14ac:dyDescent="0.25"/>
    <row r="23538" ht="15" customHeight="1" x14ac:dyDescent="0.25"/>
    <row r="23539" ht="15" customHeight="1" x14ac:dyDescent="0.25"/>
    <row r="23540" ht="15" customHeight="1" x14ac:dyDescent="0.25"/>
    <row r="23541" ht="15" customHeight="1" x14ac:dyDescent="0.25"/>
    <row r="23542" ht="15" customHeight="1" x14ac:dyDescent="0.25"/>
    <row r="23543" ht="15" customHeight="1" x14ac:dyDescent="0.25"/>
    <row r="23544" ht="15" customHeight="1" x14ac:dyDescent="0.25"/>
    <row r="23545" ht="15" customHeight="1" x14ac:dyDescent="0.25"/>
    <row r="23546" ht="15" customHeight="1" x14ac:dyDescent="0.25"/>
    <row r="23547" ht="15" customHeight="1" x14ac:dyDescent="0.25"/>
    <row r="23548" ht="15" customHeight="1" x14ac:dyDescent="0.25"/>
    <row r="23549" ht="15" customHeight="1" x14ac:dyDescent="0.25"/>
    <row r="23550" ht="15" customHeight="1" x14ac:dyDescent="0.25"/>
    <row r="23551" ht="15" customHeight="1" x14ac:dyDescent="0.25"/>
    <row r="23552" ht="15" customHeight="1" x14ac:dyDescent="0.25"/>
    <row r="23553" ht="15" customHeight="1" x14ac:dyDescent="0.25"/>
    <row r="23554" ht="15" customHeight="1" x14ac:dyDescent="0.25"/>
    <row r="23555" ht="15" customHeight="1" x14ac:dyDescent="0.25"/>
    <row r="23556" ht="15" customHeight="1" x14ac:dyDescent="0.25"/>
    <row r="23557" ht="15" customHeight="1" x14ac:dyDescent="0.25"/>
    <row r="23558" ht="15" customHeight="1" x14ac:dyDescent="0.25"/>
    <row r="23559" ht="15" customHeight="1" x14ac:dyDescent="0.25"/>
    <row r="23560" ht="15" customHeight="1" x14ac:dyDescent="0.25"/>
    <row r="23561" ht="15" customHeight="1" x14ac:dyDescent="0.25"/>
    <row r="23562" ht="15" customHeight="1" x14ac:dyDescent="0.25"/>
    <row r="23563" ht="15" customHeight="1" x14ac:dyDescent="0.25"/>
    <row r="23564" ht="15" customHeight="1" x14ac:dyDescent="0.25"/>
    <row r="23565" ht="15" customHeight="1" x14ac:dyDescent="0.25"/>
    <row r="23566" ht="15" customHeight="1" x14ac:dyDescent="0.25"/>
    <row r="23567" ht="15" customHeight="1" x14ac:dyDescent="0.25"/>
    <row r="23568" ht="15" customHeight="1" x14ac:dyDescent="0.25"/>
    <row r="23569" ht="15" customHeight="1" x14ac:dyDescent="0.25"/>
    <row r="23570" ht="15" customHeight="1" x14ac:dyDescent="0.25"/>
    <row r="23571" ht="15" customHeight="1" x14ac:dyDescent="0.25"/>
    <row r="23572" ht="15" customHeight="1" x14ac:dyDescent="0.25"/>
    <row r="23573" ht="15" customHeight="1" x14ac:dyDescent="0.25"/>
    <row r="23574" ht="15" customHeight="1" x14ac:dyDescent="0.25"/>
    <row r="23575" ht="15" customHeight="1" x14ac:dyDescent="0.25"/>
    <row r="23576" ht="15" customHeight="1" x14ac:dyDescent="0.25"/>
    <row r="23577" ht="15" customHeight="1" x14ac:dyDescent="0.25"/>
    <row r="23578" ht="15" customHeight="1" x14ac:dyDescent="0.25"/>
    <row r="23579" ht="15" customHeight="1" x14ac:dyDescent="0.25"/>
    <row r="23580" ht="15" customHeight="1" x14ac:dyDescent="0.25"/>
    <row r="23581" ht="15" customHeight="1" x14ac:dyDescent="0.25"/>
    <row r="23582" ht="15" customHeight="1" x14ac:dyDescent="0.25"/>
    <row r="23583" ht="15" customHeight="1" x14ac:dyDescent="0.25"/>
    <row r="23584" ht="15" customHeight="1" x14ac:dyDescent="0.25"/>
    <row r="23585" ht="15" customHeight="1" x14ac:dyDescent="0.25"/>
    <row r="23586" ht="15" customHeight="1" x14ac:dyDescent="0.25"/>
    <row r="23587" ht="15" customHeight="1" x14ac:dyDescent="0.25"/>
    <row r="23588" ht="15" customHeight="1" x14ac:dyDescent="0.25"/>
    <row r="23589" ht="15" customHeight="1" x14ac:dyDescent="0.25"/>
    <row r="23590" ht="15" customHeight="1" x14ac:dyDescent="0.25"/>
    <row r="23591" ht="15" customHeight="1" x14ac:dyDescent="0.25"/>
    <row r="23592" ht="15" customHeight="1" x14ac:dyDescent="0.25"/>
    <row r="23593" ht="15" customHeight="1" x14ac:dyDescent="0.25"/>
    <row r="23594" ht="15" customHeight="1" x14ac:dyDescent="0.25"/>
    <row r="23595" ht="15" customHeight="1" x14ac:dyDescent="0.25"/>
    <row r="23596" ht="15" customHeight="1" x14ac:dyDescent="0.25"/>
    <row r="23597" ht="15" customHeight="1" x14ac:dyDescent="0.25"/>
    <row r="23598" ht="15" customHeight="1" x14ac:dyDescent="0.25"/>
    <row r="23599" ht="15" customHeight="1" x14ac:dyDescent="0.25"/>
    <row r="23600" ht="15" customHeight="1" x14ac:dyDescent="0.25"/>
    <row r="23601" ht="15" customHeight="1" x14ac:dyDescent="0.25"/>
    <row r="23602" ht="15" customHeight="1" x14ac:dyDescent="0.25"/>
    <row r="23603" ht="15" customHeight="1" x14ac:dyDescent="0.25"/>
    <row r="23604" ht="15" customHeight="1" x14ac:dyDescent="0.25"/>
    <row r="23605" ht="15" customHeight="1" x14ac:dyDescent="0.25"/>
    <row r="23606" ht="15" customHeight="1" x14ac:dyDescent="0.25"/>
    <row r="23607" ht="15" customHeight="1" x14ac:dyDescent="0.25"/>
    <row r="23608" ht="15" customHeight="1" x14ac:dyDescent="0.25"/>
    <row r="23609" ht="15" customHeight="1" x14ac:dyDescent="0.25"/>
    <row r="23610" ht="15" customHeight="1" x14ac:dyDescent="0.25"/>
    <row r="23611" ht="15" customHeight="1" x14ac:dyDescent="0.25"/>
    <row r="23612" ht="15" customHeight="1" x14ac:dyDescent="0.25"/>
    <row r="23613" ht="15" customHeight="1" x14ac:dyDescent="0.25"/>
    <row r="23614" ht="15" customHeight="1" x14ac:dyDescent="0.25"/>
    <row r="23615" ht="15" customHeight="1" x14ac:dyDescent="0.25"/>
    <row r="23616" ht="15" customHeight="1" x14ac:dyDescent="0.25"/>
    <row r="23617" ht="15" customHeight="1" x14ac:dyDescent="0.25"/>
    <row r="23618" ht="15" customHeight="1" x14ac:dyDescent="0.25"/>
    <row r="23619" ht="15" customHeight="1" x14ac:dyDescent="0.25"/>
    <row r="23620" ht="15" customHeight="1" x14ac:dyDescent="0.25"/>
    <row r="23621" ht="15" customHeight="1" x14ac:dyDescent="0.25"/>
    <row r="23622" ht="15" customHeight="1" x14ac:dyDescent="0.25"/>
    <row r="23623" ht="15" customHeight="1" x14ac:dyDescent="0.25"/>
    <row r="23624" ht="15" customHeight="1" x14ac:dyDescent="0.25"/>
    <row r="23625" ht="15" customHeight="1" x14ac:dyDescent="0.25"/>
    <row r="23626" ht="15" customHeight="1" x14ac:dyDescent="0.25"/>
    <row r="23627" ht="15" customHeight="1" x14ac:dyDescent="0.25"/>
    <row r="23628" ht="15" customHeight="1" x14ac:dyDescent="0.25"/>
    <row r="23629" ht="15" customHeight="1" x14ac:dyDescent="0.25"/>
    <row r="23630" ht="15" customHeight="1" x14ac:dyDescent="0.25"/>
    <row r="23631" ht="15" customHeight="1" x14ac:dyDescent="0.25"/>
    <row r="23632" ht="15" customHeight="1" x14ac:dyDescent="0.25"/>
    <row r="23633" ht="15" customHeight="1" x14ac:dyDescent="0.25"/>
    <row r="23634" ht="15" customHeight="1" x14ac:dyDescent="0.25"/>
    <row r="23635" ht="15" customHeight="1" x14ac:dyDescent="0.25"/>
    <row r="23636" ht="15" customHeight="1" x14ac:dyDescent="0.25"/>
    <row r="23637" ht="15" customHeight="1" x14ac:dyDescent="0.25"/>
    <row r="23638" ht="15" customHeight="1" x14ac:dyDescent="0.25"/>
    <row r="23639" ht="15" customHeight="1" x14ac:dyDescent="0.25"/>
    <row r="23640" ht="15" customHeight="1" x14ac:dyDescent="0.25"/>
    <row r="23641" ht="15" customHeight="1" x14ac:dyDescent="0.25"/>
    <row r="23642" ht="15" customHeight="1" x14ac:dyDescent="0.25"/>
    <row r="23643" ht="15" customHeight="1" x14ac:dyDescent="0.25"/>
    <row r="23644" ht="15" customHeight="1" x14ac:dyDescent="0.25"/>
    <row r="23645" ht="15" customHeight="1" x14ac:dyDescent="0.25"/>
    <row r="23646" ht="15" customHeight="1" x14ac:dyDescent="0.25"/>
    <row r="23647" ht="15" customHeight="1" x14ac:dyDescent="0.25"/>
    <row r="23648" ht="15" customHeight="1" x14ac:dyDescent="0.25"/>
    <row r="23649" ht="15" customHeight="1" x14ac:dyDescent="0.25"/>
    <row r="23650" ht="15" customHeight="1" x14ac:dyDescent="0.25"/>
    <row r="23651" ht="15" customHeight="1" x14ac:dyDescent="0.25"/>
    <row r="23652" ht="15" customHeight="1" x14ac:dyDescent="0.25"/>
    <row r="23653" ht="15" customHeight="1" x14ac:dyDescent="0.25"/>
    <row r="23654" ht="15" customHeight="1" x14ac:dyDescent="0.25"/>
    <row r="23655" ht="15" customHeight="1" x14ac:dyDescent="0.25"/>
    <row r="23656" ht="15" customHeight="1" x14ac:dyDescent="0.25"/>
    <row r="23657" ht="15" customHeight="1" x14ac:dyDescent="0.25"/>
    <row r="23658" ht="15" customHeight="1" x14ac:dyDescent="0.25"/>
    <row r="23659" ht="15" customHeight="1" x14ac:dyDescent="0.25"/>
    <row r="23660" ht="15" customHeight="1" x14ac:dyDescent="0.25"/>
    <row r="23661" ht="15" customHeight="1" x14ac:dyDescent="0.25"/>
    <row r="23662" ht="15" customHeight="1" x14ac:dyDescent="0.25"/>
    <row r="23663" ht="15" customHeight="1" x14ac:dyDescent="0.25"/>
    <row r="23664" ht="15" customHeight="1" x14ac:dyDescent="0.25"/>
    <row r="23665" ht="15" customHeight="1" x14ac:dyDescent="0.25"/>
    <row r="23666" ht="15" customHeight="1" x14ac:dyDescent="0.25"/>
    <row r="23667" ht="15" customHeight="1" x14ac:dyDescent="0.25"/>
    <row r="23668" ht="15" customHeight="1" x14ac:dyDescent="0.25"/>
    <row r="23669" ht="15" customHeight="1" x14ac:dyDescent="0.25"/>
    <row r="23670" ht="15" customHeight="1" x14ac:dyDescent="0.25"/>
    <row r="23671" ht="15" customHeight="1" x14ac:dyDescent="0.25"/>
    <row r="23672" ht="15" customHeight="1" x14ac:dyDescent="0.25"/>
    <row r="23673" ht="15" customHeight="1" x14ac:dyDescent="0.25"/>
    <row r="23674" ht="15" customHeight="1" x14ac:dyDescent="0.25"/>
    <row r="23675" ht="15" customHeight="1" x14ac:dyDescent="0.25"/>
    <row r="23676" ht="15" customHeight="1" x14ac:dyDescent="0.25"/>
    <row r="23677" ht="15" customHeight="1" x14ac:dyDescent="0.25"/>
    <row r="23678" ht="15" customHeight="1" x14ac:dyDescent="0.25"/>
    <row r="23679" ht="15" customHeight="1" x14ac:dyDescent="0.25"/>
    <row r="23680" ht="15" customHeight="1" x14ac:dyDescent="0.25"/>
    <row r="23681" ht="15" customHeight="1" x14ac:dyDescent="0.25"/>
    <row r="23682" ht="15" customHeight="1" x14ac:dyDescent="0.25"/>
    <row r="23683" ht="15" customHeight="1" x14ac:dyDescent="0.25"/>
    <row r="23684" ht="15" customHeight="1" x14ac:dyDescent="0.25"/>
    <row r="23685" ht="15" customHeight="1" x14ac:dyDescent="0.25"/>
    <row r="23686" ht="15" customHeight="1" x14ac:dyDescent="0.25"/>
    <row r="23687" ht="15" customHeight="1" x14ac:dyDescent="0.25"/>
    <row r="23688" ht="15" customHeight="1" x14ac:dyDescent="0.25"/>
    <row r="23689" ht="15" customHeight="1" x14ac:dyDescent="0.25"/>
    <row r="23690" ht="15" customHeight="1" x14ac:dyDescent="0.25"/>
    <row r="23691" ht="15" customHeight="1" x14ac:dyDescent="0.25"/>
    <row r="23692" ht="15" customHeight="1" x14ac:dyDescent="0.25"/>
    <row r="23693" ht="15" customHeight="1" x14ac:dyDescent="0.25"/>
    <row r="23694" ht="15" customHeight="1" x14ac:dyDescent="0.25"/>
    <row r="23695" ht="15" customHeight="1" x14ac:dyDescent="0.25"/>
    <row r="23696" ht="15" customHeight="1" x14ac:dyDescent="0.25"/>
    <row r="23697" ht="15" customHeight="1" x14ac:dyDescent="0.25"/>
    <row r="23698" ht="15" customHeight="1" x14ac:dyDescent="0.25"/>
    <row r="23699" ht="15" customHeight="1" x14ac:dyDescent="0.25"/>
    <row r="23700" ht="15" customHeight="1" x14ac:dyDescent="0.25"/>
    <row r="23701" ht="15" customHeight="1" x14ac:dyDescent="0.25"/>
    <row r="23702" ht="15" customHeight="1" x14ac:dyDescent="0.25"/>
    <row r="23703" ht="15" customHeight="1" x14ac:dyDescent="0.25"/>
    <row r="23704" ht="15" customHeight="1" x14ac:dyDescent="0.25"/>
    <row r="23705" ht="15" customHeight="1" x14ac:dyDescent="0.25"/>
    <row r="23706" ht="15" customHeight="1" x14ac:dyDescent="0.25"/>
    <row r="23707" ht="15" customHeight="1" x14ac:dyDescent="0.25"/>
    <row r="23708" ht="15" customHeight="1" x14ac:dyDescent="0.25"/>
    <row r="23709" ht="15" customHeight="1" x14ac:dyDescent="0.25"/>
    <row r="23710" ht="15" customHeight="1" x14ac:dyDescent="0.25"/>
    <row r="23711" ht="15" customHeight="1" x14ac:dyDescent="0.25"/>
    <row r="23712" ht="15" customHeight="1" x14ac:dyDescent="0.25"/>
    <row r="23713" ht="15" customHeight="1" x14ac:dyDescent="0.25"/>
    <row r="23714" ht="15" customHeight="1" x14ac:dyDescent="0.25"/>
    <row r="23715" ht="15" customHeight="1" x14ac:dyDescent="0.25"/>
    <row r="23716" ht="15" customHeight="1" x14ac:dyDescent="0.25"/>
    <row r="23717" ht="15" customHeight="1" x14ac:dyDescent="0.25"/>
    <row r="23718" ht="15" customHeight="1" x14ac:dyDescent="0.25"/>
    <row r="23719" ht="15" customHeight="1" x14ac:dyDescent="0.25"/>
    <row r="23720" ht="15" customHeight="1" x14ac:dyDescent="0.25"/>
    <row r="23721" ht="15" customHeight="1" x14ac:dyDescent="0.25"/>
    <row r="23722" ht="15" customHeight="1" x14ac:dyDescent="0.25"/>
    <row r="23723" ht="15" customHeight="1" x14ac:dyDescent="0.25"/>
    <row r="23724" ht="15" customHeight="1" x14ac:dyDescent="0.25"/>
    <row r="23725" ht="15" customHeight="1" x14ac:dyDescent="0.25"/>
    <row r="23726" ht="15" customHeight="1" x14ac:dyDescent="0.25"/>
    <row r="23727" ht="15" customHeight="1" x14ac:dyDescent="0.25"/>
    <row r="23728" ht="15" customHeight="1" x14ac:dyDescent="0.25"/>
    <row r="23729" ht="15" customHeight="1" x14ac:dyDescent="0.25"/>
    <row r="23730" ht="15" customHeight="1" x14ac:dyDescent="0.25"/>
    <row r="23731" ht="15" customHeight="1" x14ac:dyDescent="0.25"/>
    <row r="23732" ht="15" customHeight="1" x14ac:dyDescent="0.25"/>
    <row r="23733" ht="15" customHeight="1" x14ac:dyDescent="0.25"/>
    <row r="23734" ht="15" customHeight="1" x14ac:dyDescent="0.25"/>
    <row r="23735" ht="15" customHeight="1" x14ac:dyDescent="0.25"/>
    <row r="23736" ht="15" customHeight="1" x14ac:dyDescent="0.25"/>
    <row r="23737" ht="15" customHeight="1" x14ac:dyDescent="0.25"/>
    <row r="23738" ht="15" customHeight="1" x14ac:dyDescent="0.25"/>
    <row r="23739" ht="15" customHeight="1" x14ac:dyDescent="0.25"/>
    <row r="23740" ht="15" customHeight="1" x14ac:dyDescent="0.25"/>
    <row r="23741" ht="15" customHeight="1" x14ac:dyDescent="0.25"/>
    <row r="23742" ht="15" customHeight="1" x14ac:dyDescent="0.25"/>
    <row r="23743" ht="15" customHeight="1" x14ac:dyDescent="0.25"/>
    <row r="23744" ht="15" customHeight="1" x14ac:dyDescent="0.25"/>
    <row r="23745" ht="15" customHeight="1" x14ac:dyDescent="0.25"/>
    <row r="23746" ht="15" customHeight="1" x14ac:dyDescent="0.25"/>
    <row r="23747" ht="15" customHeight="1" x14ac:dyDescent="0.25"/>
    <row r="23748" ht="15" customHeight="1" x14ac:dyDescent="0.25"/>
    <row r="23749" ht="15" customHeight="1" x14ac:dyDescent="0.25"/>
    <row r="23750" ht="15" customHeight="1" x14ac:dyDescent="0.25"/>
    <row r="23751" ht="15" customHeight="1" x14ac:dyDescent="0.25"/>
    <row r="23752" ht="15" customHeight="1" x14ac:dyDescent="0.25"/>
    <row r="23753" ht="15" customHeight="1" x14ac:dyDescent="0.25"/>
    <row r="23754" ht="15" customHeight="1" x14ac:dyDescent="0.25"/>
    <row r="23755" ht="15" customHeight="1" x14ac:dyDescent="0.25"/>
    <row r="23756" ht="15" customHeight="1" x14ac:dyDescent="0.25"/>
    <row r="23757" ht="15" customHeight="1" x14ac:dyDescent="0.25"/>
    <row r="23758" ht="15" customHeight="1" x14ac:dyDescent="0.25"/>
    <row r="23759" ht="15" customHeight="1" x14ac:dyDescent="0.25"/>
    <row r="23760" ht="15" customHeight="1" x14ac:dyDescent="0.25"/>
    <row r="23761" ht="15" customHeight="1" x14ac:dyDescent="0.25"/>
    <row r="23762" ht="15" customHeight="1" x14ac:dyDescent="0.25"/>
    <row r="23763" ht="15" customHeight="1" x14ac:dyDescent="0.25"/>
    <row r="23764" ht="15" customHeight="1" x14ac:dyDescent="0.25"/>
    <row r="23765" ht="15" customHeight="1" x14ac:dyDescent="0.25"/>
    <row r="23766" ht="15" customHeight="1" x14ac:dyDescent="0.25"/>
    <row r="23767" ht="15" customHeight="1" x14ac:dyDescent="0.25"/>
    <row r="23768" ht="15" customHeight="1" x14ac:dyDescent="0.25"/>
    <row r="23769" ht="15" customHeight="1" x14ac:dyDescent="0.25"/>
    <row r="23770" ht="15" customHeight="1" x14ac:dyDescent="0.25"/>
    <row r="23771" ht="15" customHeight="1" x14ac:dyDescent="0.25"/>
    <row r="23772" ht="15" customHeight="1" x14ac:dyDescent="0.25"/>
    <row r="23773" ht="15" customHeight="1" x14ac:dyDescent="0.25"/>
    <row r="23774" ht="15" customHeight="1" x14ac:dyDescent="0.25"/>
    <row r="23775" ht="15" customHeight="1" x14ac:dyDescent="0.25"/>
    <row r="23776" ht="15" customHeight="1" x14ac:dyDescent="0.25"/>
    <row r="23777" ht="15" customHeight="1" x14ac:dyDescent="0.25"/>
    <row r="23778" ht="15" customHeight="1" x14ac:dyDescent="0.25"/>
    <row r="23779" ht="15" customHeight="1" x14ac:dyDescent="0.25"/>
    <row r="23780" ht="15" customHeight="1" x14ac:dyDescent="0.25"/>
    <row r="23781" ht="15" customHeight="1" x14ac:dyDescent="0.25"/>
    <row r="23782" ht="15" customHeight="1" x14ac:dyDescent="0.25"/>
    <row r="23783" ht="15" customHeight="1" x14ac:dyDescent="0.25"/>
    <row r="23784" ht="15" customHeight="1" x14ac:dyDescent="0.25"/>
    <row r="23785" ht="15" customHeight="1" x14ac:dyDescent="0.25"/>
    <row r="23786" ht="15" customHeight="1" x14ac:dyDescent="0.25"/>
    <row r="23787" ht="15" customHeight="1" x14ac:dyDescent="0.25"/>
    <row r="23788" ht="15" customHeight="1" x14ac:dyDescent="0.25"/>
    <row r="23789" ht="15" customHeight="1" x14ac:dyDescent="0.25"/>
    <row r="23790" ht="15" customHeight="1" x14ac:dyDescent="0.25"/>
    <row r="23791" ht="15" customHeight="1" x14ac:dyDescent="0.25"/>
    <row r="23792" ht="15" customHeight="1" x14ac:dyDescent="0.25"/>
    <row r="23793" ht="15" customHeight="1" x14ac:dyDescent="0.25"/>
    <row r="23794" ht="15" customHeight="1" x14ac:dyDescent="0.25"/>
    <row r="23795" ht="15" customHeight="1" x14ac:dyDescent="0.25"/>
    <row r="23796" ht="15" customHeight="1" x14ac:dyDescent="0.25"/>
    <row r="23797" ht="15" customHeight="1" x14ac:dyDescent="0.25"/>
    <row r="23798" ht="15" customHeight="1" x14ac:dyDescent="0.25"/>
    <row r="23799" ht="15" customHeight="1" x14ac:dyDescent="0.25"/>
    <row r="23800" ht="15" customHeight="1" x14ac:dyDescent="0.25"/>
    <row r="23801" ht="15" customHeight="1" x14ac:dyDescent="0.25"/>
    <row r="23802" ht="15" customHeight="1" x14ac:dyDescent="0.25"/>
    <row r="23803" ht="15" customHeight="1" x14ac:dyDescent="0.25"/>
    <row r="23804" ht="15" customHeight="1" x14ac:dyDescent="0.25"/>
    <row r="23805" ht="15" customHeight="1" x14ac:dyDescent="0.25"/>
    <row r="23806" ht="15" customHeight="1" x14ac:dyDescent="0.25"/>
    <row r="23807" ht="15" customHeight="1" x14ac:dyDescent="0.25"/>
    <row r="23808" ht="15" customHeight="1" x14ac:dyDescent="0.25"/>
    <row r="23809" ht="15" customHeight="1" x14ac:dyDescent="0.25"/>
    <row r="23810" ht="15" customHeight="1" x14ac:dyDescent="0.25"/>
    <row r="23811" ht="15" customHeight="1" x14ac:dyDescent="0.25"/>
    <row r="23812" ht="15" customHeight="1" x14ac:dyDescent="0.25"/>
    <row r="23813" ht="15" customHeight="1" x14ac:dyDescent="0.25"/>
    <row r="23814" ht="15" customHeight="1" x14ac:dyDescent="0.25"/>
    <row r="23815" ht="15" customHeight="1" x14ac:dyDescent="0.25"/>
    <row r="23816" ht="15" customHeight="1" x14ac:dyDescent="0.25"/>
    <row r="23817" ht="15" customHeight="1" x14ac:dyDescent="0.25"/>
    <row r="23818" ht="15" customHeight="1" x14ac:dyDescent="0.25"/>
    <row r="23819" ht="15" customHeight="1" x14ac:dyDescent="0.25"/>
    <row r="23820" ht="15" customHeight="1" x14ac:dyDescent="0.25"/>
    <row r="23821" ht="15" customHeight="1" x14ac:dyDescent="0.25"/>
    <row r="23822" ht="15" customHeight="1" x14ac:dyDescent="0.25"/>
    <row r="23823" ht="15" customHeight="1" x14ac:dyDescent="0.25"/>
    <row r="23824" ht="15" customHeight="1" x14ac:dyDescent="0.25"/>
    <row r="23825" ht="15" customHeight="1" x14ac:dyDescent="0.25"/>
    <row r="23826" ht="15" customHeight="1" x14ac:dyDescent="0.25"/>
    <row r="23827" ht="15" customHeight="1" x14ac:dyDescent="0.25"/>
    <row r="23828" ht="15" customHeight="1" x14ac:dyDescent="0.25"/>
    <row r="23829" ht="15" customHeight="1" x14ac:dyDescent="0.25"/>
    <row r="23830" ht="15" customHeight="1" x14ac:dyDescent="0.25"/>
    <row r="23831" ht="15" customHeight="1" x14ac:dyDescent="0.25"/>
    <row r="23832" ht="15" customHeight="1" x14ac:dyDescent="0.25"/>
    <row r="23833" ht="15" customHeight="1" x14ac:dyDescent="0.25"/>
    <row r="23834" ht="15" customHeight="1" x14ac:dyDescent="0.25"/>
    <row r="23835" ht="15" customHeight="1" x14ac:dyDescent="0.25"/>
    <row r="23836" ht="15" customHeight="1" x14ac:dyDescent="0.25"/>
    <row r="23837" ht="15" customHeight="1" x14ac:dyDescent="0.25"/>
    <row r="23838" ht="15" customHeight="1" x14ac:dyDescent="0.25"/>
    <row r="23839" ht="15" customHeight="1" x14ac:dyDescent="0.25"/>
    <row r="23840" ht="15" customHeight="1" x14ac:dyDescent="0.25"/>
    <row r="23841" ht="15" customHeight="1" x14ac:dyDescent="0.25"/>
    <row r="23842" ht="15" customHeight="1" x14ac:dyDescent="0.25"/>
    <row r="23843" ht="15" customHeight="1" x14ac:dyDescent="0.25"/>
    <row r="23844" ht="15" customHeight="1" x14ac:dyDescent="0.25"/>
    <row r="23845" ht="15" customHeight="1" x14ac:dyDescent="0.25"/>
    <row r="23846" ht="15" customHeight="1" x14ac:dyDescent="0.25"/>
    <row r="23847" ht="15" customHeight="1" x14ac:dyDescent="0.25"/>
    <row r="23848" ht="15" customHeight="1" x14ac:dyDescent="0.25"/>
    <row r="23849" ht="15" customHeight="1" x14ac:dyDescent="0.25"/>
    <row r="23850" ht="15" customHeight="1" x14ac:dyDescent="0.25"/>
    <row r="23851" ht="15" customHeight="1" x14ac:dyDescent="0.25"/>
    <row r="23852" ht="15" customHeight="1" x14ac:dyDescent="0.25"/>
    <row r="23853" ht="15" customHeight="1" x14ac:dyDescent="0.25"/>
    <row r="23854" ht="15" customHeight="1" x14ac:dyDescent="0.25"/>
    <row r="23855" ht="15" customHeight="1" x14ac:dyDescent="0.25"/>
    <row r="23856" ht="15" customHeight="1" x14ac:dyDescent="0.25"/>
    <row r="23857" ht="15" customHeight="1" x14ac:dyDescent="0.25"/>
    <row r="23858" ht="15" customHeight="1" x14ac:dyDescent="0.25"/>
    <row r="23859" ht="15" customHeight="1" x14ac:dyDescent="0.25"/>
    <row r="23860" ht="15" customHeight="1" x14ac:dyDescent="0.25"/>
    <row r="23861" ht="15" customHeight="1" x14ac:dyDescent="0.25"/>
    <row r="23862" ht="15" customHeight="1" x14ac:dyDescent="0.25"/>
    <row r="23863" ht="15" customHeight="1" x14ac:dyDescent="0.25"/>
    <row r="23864" ht="15" customHeight="1" x14ac:dyDescent="0.25"/>
    <row r="23865" ht="15" customHeight="1" x14ac:dyDescent="0.25"/>
    <row r="23866" ht="15" customHeight="1" x14ac:dyDescent="0.25"/>
    <row r="23867" ht="15" customHeight="1" x14ac:dyDescent="0.25"/>
    <row r="23868" ht="15" customHeight="1" x14ac:dyDescent="0.25"/>
    <row r="23869" ht="15" customHeight="1" x14ac:dyDescent="0.25"/>
    <row r="23870" ht="15" customHeight="1" x14ac:dyDescent="0.25"/>
    <row r="23871" ht="15" customHeight="1" x14ac:dyDescent="0.25"/>
    <row r="23872" ht="15" customHeight="1" x14ac:dyDescent="0.25"/>
    <row r="23873" ht="15" customHeight="1" x14ac:dyDescent="0.25"/>
    <row r="23874" ht="15" customHeight="1" x14ac:dyDescent="0.25"/>
    <row r="23875" ht="15" customHeight="1" x14ac:dyDescent="0.25"/>
    <row r="23876" ht="15" customHeight="1" x14ac:dyDescent="0.25"/>
    <row r="23877" ht="15" customHeight="1" x14ac:dyDescent="0.25"/>
    <row r="23878" ht="15" customHeight="1" x14ac:dyDescent="0.25"/>
    <row r="23879" ht="15" customHeight="1" x14ac:dyDescent="0.25"/>
    <row r="23880" ht="15" customHeight="1" x14ac:dyDescent="0.25"/>
    <row r="23881" ht="15" customHeight="1" x14ac:dyDescent="0.25"/>
    <row r="23882" ht="15" customHeight="1" x14ac:dyDescent="0.25"/>
    <row r="23883" ht="15" customHeight="1" x14ac:dyDescent="0.25"/>
    <row r="23884" ht="15" customHeight="1" x14ac:dyDescent="0.25"/>
    <row r="23885" ht="15" customHeight="1" x14ac:dyDescent="0.25"/>
    <row r="23886" ht="15" customHeight="1" x14ac:dyDescent="0.25"/>
    <row r="23887" ht="15" customHeight="1" x14ac:dyDescent="0.25"/>
    <row r="23888" ht="15" customHeight="1" x14ac:dyDescent="0.25"/>
    <row r="23889" ht="15" customHeight="1" x14ac:dyDescent="0.25"/>
    <row r="23890" ht="15" customHeight="1" x14ac:dyDescent="0.25"/>
    <row r="23891" ht="15" customHeight="1" x14ac:dyDescent="0.25"/>
    <row r="23892" ht="15" customHeight="1" x14ac:dyDescent="0.25"/>
    <row r="23893" ht="15" customHeight="1" x14ac:dyDescent="0.25"/>
    <row r="23894" ht="15" customHeight="1" x14ac:dyDescent="0.25"/>
    <row r="23895" ht="15" customHeight="1" x14ac:dyDescent="0.25"/>
    <row r="23896" ht="15" customHeight="1" x14ac:dyDescent="0.25"/>
    <row r="23897" ht="15" customHeight="1" x14ac:dyDescent="0.25"/>
    <row r="23898" ht="15" customHeight="1" x14ac:dyDescent="0.25"/>
    <row r="23899" ht="15" customHeight="1" x14ac:dyDescent="0.25"/>
    <row r="23900" ht="15" customHeight="1" x14ac:dyDescent="0.25"/>
    <row r="23901" ht="15" customHeight="1" x14ac:dyDescent="0.25"/>
    <row r="23902" ht="15" customHeight="1" x14ac:dyDescent="0.25"/>
    <row r="23903" ht="15" customHeight="1" x14ac:dyDescent="0.25"/>
    <row r="23904" ht="15" customHeight="1" x14ac:dyDescent="0.25"/>
    <row r="23905" ht="15" customHeight="1" x14ac:dyDescent="0.25"/>
    <row r="23906" ht="15" customHeight="1" x14ac:dyDescent="0.25"/>
    <row r="23907" ht="15" customHeight="1" x14ac:dyDescent="0.25"/>
    <row r="23908" ht="15" customHeight="1" x14ac:dyDescent="0.25"/>
    <row r="23909" ht="15" customHeight="1" x14ac:dyDescent="0.25"/>
    <row r="23910" ht="15" customHeight="1" x14ac:dyDescent="0.25"/>
    <row r="23911" ht="15" customHeight="1" x14ac:dyDescent="0.25"/>
    <row r="23912" ht="15" customHeight="1" x14ac:dyDescent="0.25"/>
    <row r="23913" ht="15" customHeight="1" x14ac:dyDescent="0.25"/>
    <row r="23914" ht="15" customHeight="1" x14ac:dyDescent="0.25"/>
    <row r="23915" ht="15" customHeight="1" x14ac:dyDescent="0.25"/>
    <row r="23916" ht="15" customHeight="1" x14ac:dyDescent="0.25"/>
    <row r="23917" ht="15" customHeight="1" x14ac:dyDescent="0.25"/>
    <row r="23918" ht="15" customHeight="1" x14ac:dyDescent="0.25"/>
    <row r="23919" ht="15" customHeight="1" x14ac:dyDescent="0.25"/>
    <row r="23920" ht="15" customHeight="1" x14ac:dyDescent="0.25"/>
    <row r="23921" ht="15" customHeight="1" x14ac:dyDescent="0.25"/>
    <row r="23922" ht="15" customHeight="1" x14ac:dyDescent="0.25"/>
    <row r="23923" ht="15" customHeight="1" x14ac:dyDescent="0.25"/>
    <row r="23924" ht="15" customHeight="1" x14ac:dyDescent="0.25"/>
    <row r="23925" ht="15" customHeight="1" x14ac:dyDescent="0.25"/>
    <row r="23926" ht="15" customHeight="1" x14ac:dyDescent="0.25"/>
    <row r="23927" ht="15" customHeight="1" x14ac:dyDescent="0.25"/>
    <row r="23928" ht="15" customHeight="1" x14ac:dyDescent="0.25"/>
    <row r="23929" ht="15" customHeight="1" x14ac:dyDescent="0.25"/>
    <row r="23930" ht="15" customHeight="1" x14ac:dyDescent="0.25"/>
    <row r="23931" ht="15" customHeight="1" x14ac:dyDescent="0.25"/>
    <row r="23932" ht="15" customHeight="1" x14ac:dyDescent="0.25"/>
    <row r="23933" ht="15" customHeight="1" x14ac:dyDescent="0.25"/>
    <row r="23934" ht="15" customHeight="1" x14ac:dyDescent="0.25"/>
    <row r="23935" ht="15" customHeight="1" x14ac:dyDescent="0.25"/>
    <row r="23936" ht="15" customHeight="1" x14ac:dyDescent="0.25"/>
    <row r="23937" ht="15" customHeight="1" x14ac:dyDescent="0.25"/>
    <row r="23938" ht="15" customHeight="1" x14ac:dyDescent="0.25"/>
    <row r="23939" ht="15" customHeight="1" x14ac:dyDescent="0.25"/>
    <row r="23940" ht="15" customHeight="1" x14ac:dyDescent="0.25"/>
    <row r="23941" ht="15" customHeight="1" x14ac:dyDescent="0.25"/>
    <row r="23942" ht="15" customHeight="1" x14ac:dyDescent="0.25"/>
    <row r="23943" ht="15" customHeight="1" x14ac:dyDescent="0.25"/>
    <row r="23944" ht="15" customHeight="1" x14ac:dyDescent="0.25"/>
    <row r="23945" ht="15" customHeight="1" x14ac:dyDescent="0.25"/>
    <row r="23946" ht="15" customHeight="1" x14ac:dyDescent="0.25"/>
    <row r="23947" ht="15" customHeight="1" x14ac:dyDescent="0.25"/>
    <row r="23948" ht="15" customHeight="1" x14ac:dyDescent="0.25"/>
    <row r="23949" ht="15" customHeight="1" x14ac:dyDescent="0.25"/>
    <row r="23950" ht="15" customHeight="1" x14ac:dyDescent="0.25"/>
    <row r="23951" ht="15" customHeight="1" x14ac:dyDescent="0.25"/>
    <row r="23952" ht="15" customHeight="1" x14ac:dyDescent="0.25"/>
    <row r="23953" ht="15" customHeight="1" x14ac:dyDescent="0.25"/>
    <row r="23954" ht="15" customHeight="1" x14ac:dyDescent="0.25"/>
    <row r="23955" ht="15" customHeight="1" x14ac:dyDescent="0.25"/>
    <row r="23956" ht="15" customHeight="1" x14ac:dyDescent="0.25"/>
    <row r="23957" ht="15" customHeight="1" x14ac:dyDescent="0.25"/>
    <row r="23958" ht="15" customHeight="1" x14ac:dyDescent="0.25"/>
    <row r="23959" ht="15" customHeight="1" x14ac:dyDescent="0.25"/>
    <row r="23960" ht="15" customHeight="1" x14ac:dyDescent="0.25"/>
    <row r="23961" ht="15" customHeight="1" x14ac:dyDescent="0.25"/>
    <row r="23962" ht="15" customHeight="1" x14ac:dyDescent="0.25"/>
    <row r="23963" ht="15" customHeight="1" x14ac:dyDescent="0.25"/>
    <row r="23964" ht="15" customHeight="1" x14ac:dyDescent="0.25"/>
    <row r="23965" ht="15" customHeight="1" x14ac:dyDescent="0.25"/>
    <row r="23966" ht="15" customHeight="1" x14ac:dyDescent="0.25"/>
    <row r="23967" ht="15" customHeight="1" x14ac:dyDescent="0.25"/>
    <row r="23968" ht="15" customHeight="1" x14ac:dyDescent="0.25"/>
    <row r="23969" ht="15" customHeight="1" x14ac:dyDescent="0.25"/>
    <row r="23970" ht="15" customHeight="1" x14ac:dyDescent="0.25"/>
    <row r="23971" ht="15" customHeight="1" x14ac:dyDescent="0.25"/>
    <row r="23972" ht="15" customHeight="1" x14ac:dyDescent="0.25"/>
    <row r="23973" ht="15" customHeight="1" x14ac:dyDescent="0.25"/>
    <row r="23974" ht="15" customHeight="1" x14ac:dyDescent="0.25"/>
    <row r="23975" ht="15" customHeight="1" x14ac:dyDescent="0.25"/>
    <row r="23976" ht="15" customHeight="1" x14ac:dyDescent="0.25"/>
    <row r="23977" ht="15" customHeight="1" x14ac:dyDescent="0.25"/>
    <row r="23978" ht="15" customHeight="1" x14ac:dyDescent="0.25"/>
    <row r="23979" ht="15" customHeight="1" x14ac:dyDescent="0.25"/>
    <row r="23980" ht="15" customHeight="1" x14ac:dyDescent="0.25"/>
    <row r="23981" ht="15" customHeight="1" x14ac:dyDescent="0.25"/>
    <row r="23982" ht="15" customHeight="1" x14ac:dyDescent="0.25"/>
    <row r="23983" ht="15" customHeight="1" x14ac:dyDescent="0.25"/>
    <row r="23984" ht="15" customHeight="1" x14ac:dyDescent="0.25"/>
    <row r="23985" ht="15" customHeight="1" x14ac:dyDescent="0.25"/>
    <row r="23986" ht="15" customHeight="1" x14ac:dyDescent="0.25"/>
    <row r="23987" ht="15" customHeight="1" x14ac:dyDescent="0.25"/>
    <row r="23988" ht="15" customHeight="1" x14ac:dyDescent="0.25"/>
    <row r="23989" ht="15" customHeight="1" x14ac:dyDescent="0.25"/>
    <row r="23990" ht="15" customHeight="1" x14ac:dyDescent="0.25"/>
    <row r="23991" ht="15" customHeight="1" x14ac:dyDescent="0.25"/>
    <row r="23992" ht="15" customHeight="1" x14ac:dyDescent="0.25"/>
    <row r="23993" ht="15" customHeight="1" x14ac:dyDescent="0.25"/>
    <row r="23994" ht="15" customHeight="1" x14ac:dyDescent="0.25"/>
    <row r="23995" ht="15" customHeight="1" x14ac:dyDescent="0.25"/>
    <row r="23996" ht="15" customHeight="1" x14ac:dyDescent="0.25"/>
    <row r="23997" ht="15" customHeight="1" x14ac:dyDescent="0.25"/>
    <row r="23998" ht="15" customHeight="1" x14ac:dyDescent="0.25"/>
    <row r="23999" ht="15" customHeight="1" x14ac:dyDescent="0.25"/>
    <row r="24000" ht="15" customHeight="1" x14ac:dyDescent="0.25"/>
    <row r="24001" ht="15" customHeight="1" x14ac:dyDescent="0.25"/>
    <row r="24002" ht="15" customHeight="1" x14ac:dyDescent="0.25"/>
    <row r="24003" ht="15" customHeight="1" x14ac:dyDescent="0.25"/>
    <row r="24004" ht="15" customHeight="1" x14ac:dyDescent="0.25"/>
    <row r="24005" ht="15" customHeight="1" x14ac:dyDescent="0.25"/>
    <row r="24006" ht="15" customHeight="1" x14ac:dyDescent="0.25"/>
    <row r="24007" ht="15" customHeight="1" x14ac:dyDescent="0.25"/>
    <row r="24008" ht="15" customHeight="1" x14ac:dyDescent="0.25"/>
    <row r="24009" ht="15" customHeight="1" x14ac:dyDescent="0.25"/>
    <row r="24010" ht="15" customHeight="1" x14ac:dyDescent="0.25"/>
    <row r="24011" ht="15" customHeight="1" x14ac:dyDescent="0.25"/>
    <row r="24012" ht="15" customHeight="1" x14ac:dyDescent="0.25"/>
    <row r="24013" ht="15" customHeight="1" x14ac:dyDescent="0.25"/>
    <row r="24014" ht="15" customHeight="1" x14ac:dyDescent="0.25"/>
    <row r="24015" ht="15" customHeight="1" x14ac:dyDescent="0.25"/>
    <row r="24016" ht="15" customHeight="1" x14ac:dyDescent="0.25"/>
    <row r="24017" ht="15" customHeight="1" x14ac:dyDescent="0.25"/>
    <row r="24018" ht="15" customHeight="1" x14ac:dyDescent="0.25"/>
    <row r="24019" ht="15" customHeight="1" x14ac:dyDescent="0.25"/>
    <row r="24020" ht="15" customHeight="1" x14ac:dyDescent="0.25"/>
    <row r="24021" ht="15" customHeight="1" x14ac:dyDescent="0.25"/>
    <row r="24022" ht="15" customHeight="1" x14ac:dyDescent="0.25"/>
    <row r="24023" ht="15" customHeight="1" x14ac:dyDescent="0.25"/>
    <row r="24024" ht="15" customHeight="1" x14ac:dyDescent="0.25"/>
    <row r="24025" ht="15" customHeight="1" x14ac:dyDescent="0.25"/>
    <row r="24026" ht="15" customHeight="1" x14ac:dyDescent="0.25"/>
    <row r="24027" ht="15" customHeight="1" x14ac:dyDescent="0.25"/>
    <row r="24028" ht="15" customHeight="1" x14ac:dyDescent="0.25"/>
    <row r="24029" ht="15" customHeight="1" x14ac:dyDescent="0.25"/>
    <row r="24030" ht="15" customHeight="1" x14ac:dyDescent="0.25"/>
    <row r="24031" ht="15" customHeight="1" x14ac:dyDescent="0.25"/>
    <row r="24032" ht="15" customHeight="1" x14ac:dyDescent="0.25"/>
    <row r="24033" ht="15" customHeight="1" x14ac:dyDescent="0.25"/>
    <row r="24034" ht="15" customHeight="1" x14ac:dyDescent="0.25"/>
    <row r="24035" ht="15" customHeight="1" x14ac:dyDescent="0.25"/>
    <row r="24036" ht="15" customHeight="1" x14ac:dyDescent="0.25"/>
    <row r="24037" ht="15" customHeight="1" x14ac:dyDescent="0.25"/>
    <row r="24038" ht="15" customHeight="1" x14ac:dyDescent="0.25"/>
    <row r="24039" ht="15" customHeight="1" x14ac:dyDescent="0.25"/>
    <row r="24040" ht="15" customHeight="1" x14ac:dyDescent="0.25"/>
    <row r="24041" ht="15" customHeight="1" x14ac:dyDescent="0.25"/>
    <row r="24042" ht="15" customHeight="1" x14ac:dyDescent="0.25"/>
    <row r="24043" ht="15" customHeight="1" x14ac:dyDescent="0.25"/>
    <row r="24044" ht="15" customHeight="1" x14ac:dyDescent="0.25"/>
    <row r="24045" ht="15" customHeight="1" x14ac:dyDescent="0.25"/>
    <row r="24046" ht="15" customHeight="1" x14ac:dyDescent="0.25"/>
    <row r="24047" ht="15" customHeight="1" x14ac:dyDescent="0.25"/>
    <row r="24048" ht="15" customHeight="1" x14ac:dyDescent="0.25"/>
    <row r="24049" ht="15" customHeight="1" x14ac:dyDescent="0.25"/>
    <row r="24050" ht="15" customHeight="1" x14ac:dyDescent="0.25"/>
    <row r="24051" ht="15" customHeight="1" x14ac:dyDescent="0.25"/>
    <row r="24052" ht="15" customHeight="1" x14ac:dyDescent="0.25"/>
    <row r="24053" ht="15" customHeight="1" x14ac:dyDescent="0.25"/>
    <row r="24054" ht="15" customHeight="1" x14ac:dyDescent="0.25"/>
    <row r="24055" ht="15" customHeight="1" x14ac:dyDescent="0.25"/>
    <row r="24056" ht="15" customHeight="1" x14ac:dyDescent="0.25"/>
    <row r="24057" ht="15" customHeight="1" x14ac:dyDescent="0.25"/>
    <row r="24058" ht="15" customHeight="1" x14ac:dyDescent="0.25"/>
    <row r="24059" ht="15" customHeight="1" x14ac:dyDescent="0.25"/>
    <row r="24060" ht="15" customHeight="1" x14ac:dyDescent="0.25"/>
    <row r="24061" ht="15" customHeight="1" x14ac:dyDescent="0.25"/>
    <row r="24062" ht="15" customHeight="1" x14ac:dyDescent="0.25"/>
    <row r="24063" ht="15" customHeight="1" x14ac:dyDescent="0.25"/>
    <row r="24064" ht="15" customHeight="1" x14ac:dyDescent="0.25"/>
    <row r="24065" ht="15" customHeight="1" x14ac:dyDescent="0.25"/>
    <row r="24066" ht="15" customHeight="1" x14ac:dyDescent="0.25"/>
    <row r="24067" ht="15" customHeight="1" x14ac:dyDescent="0.25"/>
    <row r="24068" ht="15" customHeight="1" x14ac:dyDescent="0.25"/>
    <row r="24069" ht="15" customHeight="1" x14ac:dyDescent="0.25"/>
    <row r="24070" ht="15" customHeight="1" x14ac:dyDescent="0.25"/>
    <row r="24071" ht="15" customHeight="1" x14ac:dyDescent="0.25"/>
    <row r="24072" ht="15" customHeight="1" x14ac:dyDescent="0.25"/>
    <row r="24073" ht="15" customHeight="1" x14ac:dyDescent="0.25"/>
    <row r="24074" ht="15" customHeight="1" x14ac:dyDescent="0.25"/>
    <row r="24075" ht="15" customHeight="1" x14ac:dyDescent="0.25"/>
    <row r="24076" ht="15" customHeight="1" x14ac:dyDescent="0.25"/>
    <row r="24077" ht="15" customHeight="1" x14ac:dyDescent="0.25"/>
    <row r="24078" ht="15" customHeight="1" x14ac:dyDescent="0.25"/>
    <row r="24079" ht="15" customHeight="1" x14ac:dyDescent="0.25"/>
    <row r="24080" ht="15" customHeight="1" x14ac:dyDescent="0.25"/>
    <row r="24081" ht="15" customHeight="1" x14ac:dyDescent="0.25"/>
    <row r="24082" ht="15" customHeight="1" x14ac:dyDescent="0.25"/>
    <row r="24083" ht="15" customHeight="1" x14ac:dyDescent="0.25"/>
    <row r="24084" ht="15" customHeight="1" x14ac:dyDescent="0.25"/>
    <row r="24085" ht="15" customHeight="1" x14ac:dyDescent="0.25"/>
    <row r="24086" ht="15" customHeight="1" x14ac:dyDescent="0.25"/>
    <row r="24087" ht="15" customHeight="1" x14ac:dyDescent="0.25"/>
    <row r="24088" ht="15" customHeight="1" x14ac:dyDescent="0.25"/>
    <row r="24089" ht="15" customHeight="1" x14ac:dyDescent="0.25"/>
    <row r="24090" ht="15" customHeight="1" x14ac:dyDescent="0.25"/>
    <row r="24091" ht="15" customHeight="1" x14ac:dyDescent="0.25"/>
    <row r="24092" ht="15" customHeight="1" x14ac:dyDescent="0.25"/>
    <row r="24093" ht="15" customHeight="1" x14ac:dyDescent="0.25"/>
    <row r="24094" ht="15" customHeight="1" x14ac:dyDescent="0.25"/>
    <row r="24095" ht="15" customHeight="1" x14ac:dyDescent="0.25"/>
    <row r="24096" ht="15" customHeight="1" x14ac:dyDescent="0.25"/>
    <row r="24097" ht="15" customHeight="1" x14ac:dyDescent="0.25"/>
    <row r="24098" ht="15" customHeight="1" x14ac:dyDescent="0.25"/>
    <row r="24099" ht="15" customHeight="1" x14ac:dyDescent="0.25"/>
    <row r="24100" ht="15" customHeight="1" x14ac:dyDescent="0.25"/>
    <row r="24101" ht="15" customHeight="1" x14ac:dyDescent="0.25"/>
    <row r="24102" ht="15" customHeight="1" x14ac:dyDescent="0.25"/>
    <row r="24103" ht="15" customHeight="1" x14ac:dyDescent="0.25"/>
    <row r="24104" ht="15" customHeight="1" x14ac:dyDescent="0.25"/>
    <row r="24105" ht="15" customHeight="1" x14ac:dyDescent="0.25"/>
    <row r="24106" ht="15" customHeight="1" x14ac:dyDescent="0.25"/>
    <row r="24107" ht="15" customHeight="1" x14ac:dyDescent="0.25"/>
    <row r="24108" ht="15" customHeight="1" x14ac:dyDescent="0.25"/>
    <row r="24109" ht="15" customHeight="1" x14ac:dyDescent="0.25"/>
    <row r="24110" ht="15" customHeight="1" x14ac:dyDescent="0.25"/>
    <row r="24111" ht="15" customHeight="1" x14ac:dyDescent="0.25"/>
    <row r="24112" ht="15" customHeight="1" x14ac:dyDescent="0.25"/>
    <row r="24113" ht="15" customHeight="1" x14ac:dyDescent="0.25"/>
    <row r="24114" ht="15" customHeight="1" x14ac:dyDescent="0.25"/>
    <row r="24115" ht="15" customHeight="1" x14ac:dyDescent="0.25"/>
    <row r="24116" ht="15" customHeight="1" x14ac:dyDescent="0.25"/>
    <row r="24117" ht="15" customHeight="1" x14ac:dyDescent="0.25"/>
    <row r="24118" ht="15" customHeight="1" x14ac:dyDescent="0.25"/>
    <row r="24119" ht="15" customHeight="1" x14ac:dyDescent="0.25"/>
    <row r="24120" ht="15" customHeight="1" x14ac:dyDescent="0.25"/>
    <row r="24121" ht="15" customHeight="1" x14ac:dyDescent="0.25"/>
    <row r="24122" ht="15" customHeight="1" x14ac:dyDescent="0.25"/>
    <row r="24123" ht="15" customHeight="1" x14ac:dyDescent="0.25"/>
    <row r="24124" ht="15" customHeight="1" x14ac:dyDescent="0.25"/>
    <row r="24125" ht="15" customHeight="1" x14ac:dyDescent="0.25"/>
    <row r="24126" ht="15" customHeight="1" x14ac:dyDescent="0.25"/>
    <row r="24127" ht="15" customHeight="1" x14ac:dyDescent="0.25"/>
    <row r="24128" ht="15" customHeight="1" x14ac:dyDescent="0.25"/>
    <row r="24129" ht="15" customHeight="1" x14ac:dyDescent="0.25"/>
    <row r="24130" ht="15" customHeight="1" x14ac:dyDescent="0.25"/>
    <row r="24131" ht="15" customHeight="1" x14ac:dyDescent="0.25"/>
    <row r="24132" ht="15" customHeight="1" x14ac:dyDescent="0.25"/>
    <row r="24133" ht="15" customHeight="1" x14ac:dyDescent="0.25"/>
    <row r="24134" ht="15" customHeight="1" x14ac:dyDescent="0.25"/>
    <row r="24135" ht="15" customHeight="1" x14ac:dyDescent="0.25"/>
    <row r="24136" ht="15" customHeight="1" x14ac:dyDescent="0.25"/>
    <row r="24137" ht="15" customHeight="1" x14ac:dyDescent="0.25"/>
    <row r="24138" ht="15" customHeight="1" x14ac:dyDescent="0.25"/>
    <row r="24139" ht="15" customHeight="1" x14ac:dyDescent="0.25"/>
    <row r="24140" ht="15" customHeight="1" x14ac:dyDescent="0.25"/>
    <row r="24141" ht="15" customHeight="1" x14ac:dyDescent="0.25"/>
    <row r="24142" ht="15" customHeight="1" x14ac:dyDescent="0.25"/>
    <row r="24143" ht="15" customHeight="1" x14ac:dyDescent="0.25"/>
    <row r="24144" ht="15" customHeight="1" x14ac:dyDescent="0.25"/>
    <row r="24145" ht="15" customHeight="1" x14ac:dyDescent="0.25"/>
    <row r="24146" ht="15" customHeight="1" x14ac:dyDescent="0.25"/>
    <row r="24147" ht="15" customHeight="1" x14ac:dyDescent="0.25"/>
    <row r="24148" ht="15" customHeight="1" x14ac:dyDescent="0.25"/>
    <row r="24149" ht="15" customHeight="1" x14ac:dyDescent="0.25"/>
    <row r="24150" ht="15" customHeight="1" x14ac:dyDescent="0.25"/>
    <row r="24151" ht="15" customHeight="1" x14ac:dyDescent="0.25"/>
    <row r="24152" ht="15" customHeight="1" x14ac:dyDescent="0.25"/>
    <row r="24153" ht="15" customHeight="1" x14ac:dyDescent="0.25"/>
    <row r="24154" ht="15" customHeight="1" x14ac:dyDescent="0.25"/>
    <row r="24155" ht="15" customHeight="1" x14ac:dyDescent="0.25"/>
    <row r="24156" ht="15" customHeight="1" x14ac:dyDescent="0.25"/>
    <row r="24157" ht="15" customHeight="1" x14ac:dyDescent="0.25"/>
    <row r="24158" ht="15" customHeight="1" x14ac:dyDescent="0.25"/>
    <row r="24159" ht="15" customHeight="1" x14ac:dyDescent="0.25"/>
    <row r="24160" ht="15" customHeight="1" x14ac:dyDescent="0.25"/>
    <row r="24161" ht="15" customHeight="1" x14ac:dyDescent="0.25"/>
    <row r="24162" ht="15" customHeight="1" x14ac:dyDescent="0.25"/>
    <row r="24163" ht="15" customHeight="1" x14ac:dyDescent="0.25"/>
    <row r="24164" ht="15" customHeight="1" x14ac:dyDescent="0.25"/>
    <row r="24165" ht="15" customHeight="1" x14ac:dyDescent="0.25"/>
    <row r="24166" ht="15" customHeight="1" x14ac:dyDescent="0.25"/>
    <row r="24167" ht="15" customHeight="1" x14ac:dyDescent="0.25"/>
    <row r="24168" ht="15" customHeight="1" x14ac:dyDescent="0.25"/>
    <row r="24169" ht="15" customHeight="1" x14ac:dyDescent="0.25"/>
    <row r="24170" ht="15" customHeight="1" x14ac:dyDescent="0.25"/>
    <row r="24171" ht="15" customHeight="1" x14ac:dyDescent="0.25"/>
    <row r="24172" ht="15" customHeight="1" x14ac:dyDescent="0.25"/>
    <row r="24173" ht="15" customHeight="1" x14ac:dyDescent="0.25"/>
    <row r="24174" ht="15" customHeight="1" x14ac:dyDescent="0.25"/>
    <row r="24175" ht="15" customHeight="1" x14ac:dyDescent="0.25"/>
    <row r="24176" ht="15" customHeight="1" x14ac:dyDescent="0.25"/>
    <row r="24177" ht="15" customHeight="1" x14ac:dyDescent="0.25"/>
    <row r="24178" ht="15" customHeight="1" x14ac:dyDescent="0.25"/>
    <row r="24179" ht="15" customHeight="1" x14ac:dyDescent="0.25"/>
    <row r="24180" ht="15" customHeight="1" x14ac:dyDescent="0.25"/>
    <row r="24181" ht="15" customHeight="1" x14ac:dyDescent="0.25"/>
    <row r="24182" ht="15" customHeight="1" x14ac:dyDescent="0.25"/>
    <row r="24183" ht="15" customHeight="1" x14ac:dyDescent="0.25"/>
    <row r="24184" ht="15" customHeight="1" x14ac:dyDescent="0.25"/>
    <row r="24185" ht="15" customHeight="1" x14ac:dyDescent="0.25"/>
    <row r="24186" ht="15" customHeight="1" x14ac:dyDescent="0.25"/>
    <row r="24187" ht="15" customHeight="1" x14ac:dyDescent="0.25"/>
    <row r="24188" ht="15" customHeight="1" x14ac:dyDescent="0.25"/>
    <row r="24189" ht="15" customHeight="1" x14ac:dyDescent="0.25"/>
    <row r="24190" ht="15" customHeight="1" x14ac:dyDescent="0.25"/>
    <row r="24191" ht="15" customHeight="1" x14ac:dyDescent="0.25"/>
    <row r="24192" ht="15" customHeight="1" x14ac:dyDescent="0.25"/>
    <row r="24193" ht="15" customHeight="1" x14ac:dyDescent="0.25"/>
    <row r="24194" ht="15" customHeight="1" x14ac:dyDescent="0.25"/>
    <row r="24195" ht="15" customHeight="1" x14ac:dyDescent="0.25"/>
    <row r="24196" ht="15" customHeight="1" x14ac:dyDescent="0.25"/>
    <row r="24197" ht="15" customHeight="1" x14ac:dyDescent="0.25"/>
    <row r="24198" ht="15" customHeight="1" x14ac:dyDescent="0.25"/>
    <row r="24199" ht="15" customHeight="1" x14ac:dyDescent="0.25"/>
    <row r="24200" ht="15" customHeight="1" x14ac:dyDescent="0.25"/>
    <row r="24201" ht="15" customHeight="1" x14ac:dyDescent="0.25"/>
    <row r="24202" ht="15" customHeight="1" x14ac:dyDescent="0.25"/>
    <row r="24203" ht="15" customHeight="1" x14ac:dyDescent="0.25"/>
    <row r="24204" ht="15" customHeight="1" x14ac:dyDescent="0.25"/>
    <row r="24205" ht="15" customHeight="1" x14ac:dyDescent="0.25"/>
    <row r="24206" ht="15" customHeight="1" x14ac:dyDescent="0.25"/>
    <row r="24207" ht="15" customHeight="1" x14ac:dyDescent="0.25"/>
    <row r="24208" ht="15" customHeight="1" x14ac:dyDescent="0.25"/>
    <row r="24209" ht="15" customHeight="1" x14ac:dyDescent="0.25"/>
    <row r="24210" ht="15" customHeight="1" x14ac:dyDescent="0.25"/>
    <row r="24211" ht="15" customHeight="1" x14ac:dyDescent="0.25"/>
    <row r="24212" ht="15" customHeight="1" x14ac:dyDescent="0.25"/>
    <row r="24213" ht="15" customHeight="1" x14ac:dyDescent="0.25"/>
    <row r="24214" ht="15" customHeight="1" x14ac:dyDescent="0.25"/>
    <row r="24215" ht="15" customHeight="1" x14ac:dyDescent="0.25"/>
    <row r="24216" ht="15" customHeight="1" x14ac:dyDescent="0.25"/>
    <row r="24217" ht="15" customHeight="1" x14ac:dyDescent="0.25"/>
    <row r="24218" ht="15" customHeight="1" x14ac:dyDescent="0.25"/>
    <row r="24219" ht="15" customHeight="1" x14ac:dyDescent="0.25"/>
    <row r="24220" ht="15" customHeight="1" x14ac:dyDescent="0.25"/>
    <row r="24221" ht="15" customHeight="1" x14ac:dyDescent="0.25"/>
    <row r="24222" ht="15" customHeight="1" x14ac:dyDescent="0.25"/>
    <row r="24223" ht="15" customHeight="1" x14ac:dyDescent="0.25"/>
    <row r="24224" ht="15" customHeight="1" x14ac:dyDescent="0.25"/>
    <row r="24225" ht="15" customHeight="1" x14ac:dyDescent="0.25"/>
    <row r="24226" ht="15" customHeight="1" x14ac:dyDescent="0.25"/>
    <row r="24227" ht="15" customHeight="1" x14ac:dyDescent="0.25"/>
    <row r="24228" ht="15" customHeight="1" x14ac:dyDescent="0.25"/>
    <row r="24229" ht="15" customHeight="1" x14ac:dyDescent="0.25"/>
    <row r="24230" ht="15" customHeight="1" x14ac:dyDescent="0.25"/>
    <row r="24231" ht="15" customHeight="1" x14ac:dyDescent="0.25"/>
    <row r="24232" ht="15" customHeight="1" x14ac:dyDescent="0.25"/>
    <row r="24233" ht="15" customHeight="1" x14ac:dyDescent="0.25"/>
    <row r="24234" ht="15" customHeight="1" x14ac:dyDescent="0.25"/>
    <row r="24235" ht="15" customHeight="1" x14ac:dyDescent="0.25"/>
    <row r="24236" ht="15" customHeight="1" x14ac:dyDescent="0.25"/>
    <row r="24237" ht="15" customHeight="1" x14ac:dyDescent="0.25"/>
    <row r="24238" ht="15" customHeight="1" x14ac:dyDescent="0.25"/>
    <row r="24239" ht="15" customHeight="1" x14ac:dyDescent="0.25"/>
    <row r="24240" ht="15" customHeight="1" x14ac:dyDescent="0.25"/>
    <row r="24241" ht="15" customHeight="1" x14ac:dyDescent="0.25"/>
    <row r="24242" ht="15" customHeight="1" x14ac:dyDescent="0.25"/>
    <row r="24243" ht="15" customHeight="1" x14ac:dyDescent="0.25"/>
    <row r="24244" ht="15" customHeight="1" x14ac:dyDescent="0.25"/>
    <row r="24245" ht="15" customHeight="1" x14ac:dyDescent="0.25"/>
    <row r="24246" ht="15" customHeight="1" x14ac:dyDescent="0.25"/>
    <row r="24247" ht="15" customHeight="1" x14ac:dyDescent="0.25"/>
    <row r="24248" ht="15" customHeight="1" x14ac:dyDescent="0.25"/>
    <row r="24249" ht="15" customHeight="1" x14ac:dyDescent="0.25"/>
    <row r="24250" ht="15" customHeight="1" x14ac:dyDescent="0.25"/>
    <row r="24251" ht="15" customHeight="1" x14ac:dyDescent="0.25"/>
    <row r="24252" ht="15" customHeight="1" x14ac:dyDescent="0.25"/>
    <row r="24253" ht="15" customHeight="1" x14ac:dyDescent="0.25"/>
    <row r="24254" ht="15" customHeight="1" x14ac:dyDescent="0.25"/>
    <row r="24255" ht="15" customHeight="1" x14ac:dyDescent="0.25"/>
    <row r="24256" ht="15" customHeight="1" x14ac:dyDescent="0.25"/>
    <row r="24257" ht="15" customHeight="1" x14ac:dyDescent="0.25"/>
    <row r="24258" ht="15" customHeight="1" x14ac:dyDescent="0.25"/>
    <row r="24259" ht="15" customHeight="1" x14ac:dyDescent="0.25"/>
    <row r="24260" ht="15" customHeight="1" x14ac:dyDescent="0.25"/>
    <row r="24261" ht="15" customHeight="1" x14ac:dyDescent="0.25"/>
    <row r="24262" ht="15" customHeight="1" x14ac:dyDescent="0.25"/>
    <row r="24263" ht="15" customHeight="1" x14ac:dyDescent="0.25"/>
    <row r="24264" ht="15" customHeight="1" x14ac:dyDescent="0.25"/>
    <row r="24265" ht="15" customHeight="1" x14ac:dyDescent="0.25"/>
    <row r="24266" ht="15" customHeight="1" x14ac:dyDescent="0.25"/>
    <row r="24267" ht="15" customHeight="1" x14ac:dyDescent="0.25"/>
    <row r="24268" ht="15" customHeight="1" x14ac:dyDescent="0.25"/>
    <row r="24269" ht="15" customHeight="1" x14ac:dyDescent="0.25"/>
    <row r="24270" ht="15" customHeight="1" x14ac:dyDescent="0.25"/>
    <row r="24271" ht="15" customHeight="1" x14ac:dyDescent="0.25"/>
    <row r="24272" ht="15" customHeight="1" x14ac:dyDescent="0.25"/>
    <row r="24273" ht="15" customHeight="1" x14ac:dyDescent="0.25"/>
    <row r="24274" ht="15" customHeight="1" x14ac:dyDescent="0.25"/>
    <row r="24275" ht="15" customHeight="1" x14ac:dyDescent="0.25"/>
    <row r="24276" ht="15" customHeight="1" x14ac:dyDescent="0.25"/>
    <row r="24277" ht="15" customHeight="1" x14ac:dyDescent="0.25"/>
    <row r="24278" ht="15" customHeight="1" x14ac:dyDescent="0.25"/>
    <row r="24279" ht="15" customHeight="1" x14ac:dyDescent="0.25"/>
    <row r="24280" ht="15" customHeight="1" x14ac:dyDescent="0.25"/>
    <row r="24281" ht="15" customHeight="1" x14ac:dyDescent="0.25"/>
    <row r="24282" ht="15" customHeight="1" x14ac:dyDescent="0.25"/>
    <row r="24283" ht="15" customHeight="1" x14ac:dyDescent="0.25"/>
    <row r="24284" ht="15" customHeight="1" x14ac:dyDescent="0.25"/>
    <row r="24285" ht="15" customHeight="1" x14ac:dyDescent="0.25"/>
    <row r="24286" ht="15" customHeight="1" x14ac:dyDescent="0.25"/>
    <row r="24287" ht="15" customHeight="1" x14ac:dyDescent="0.25"/>
    <row r="24288" ht="15" customHeight="1" x14ac:dyDescent="0.25"/>
    <row r="24289" ht="15" customHeight="1" x14ac:dyDescent="0.25"/>
    <row r="24290" ht="15" customHeight="1" x14ac:dyDescent="0.25"/>
    <row r="24291" ht="15" customHeight="1" x14ac:dyDescent="0.25"/>
    <row r="24292" ht="15" customHeight="1" x14ac:dyDescent="0.25"/>
    <row r="24293" ht="15" customHeight="1" x14ac:dyDescent="0.25"/>
    <row r="24294" ht="15" customHeight="1" x14ac:dyDescent="0.25"/>
    <row r="24295" ht="15" customHeight="1" x14ac:dyDescent="0.25"/>
    <row r="24296" ht="15" customHeight="1" x14ac:dyDescent="0.25"/>
    <row r="24297" ht="15" customHeight="1" x14ac:dyDescent="0.25"/>
    <row r="24298" ht="15" customHeight="1" x14ac:dyDescent="0.25"/>
    <row r="24299" ht="15" customHeight="1" x14ac:dyDescent="0.25"/>
    <row r="24300" ht="15" customHeight="1" x14ac:dyDescent="0.25"/>
    <row r="24301" ht="15" customHeight="1" x14ac:dyDescent="0.25"/>
    <row r="24302" ht="15" customHeight="1" x14ac:dyDescent="0.25"/>
    <row r="24303" ht="15" customHeight="1" x14ac:dyDescent="0.25"/>
    <row r="24304" ht="15" customHeight="1" x14ac:dyDescent="0.25"/>
    <row r="24305" ht="15" customHeight="1" x14ac:dyDescent="0.25"/>
    <row r="24306" ht="15" customHeight="1" x14ac:dyDescent="0.25"/>
    <row r="24307" ht="15" customHeight="1" x14ac:dyDescent="0.25"/>
    <row r="24308" ht="15" customHeight="1" x14ac:dyDescent="0.25"/>
    <row r="24309" ht="15" customHeight="1" x14ac:dyDescent="0.25"/>
    <row r="24310" ht="15" customHeight="1" x14ac:dyDescent="0.25"/>
    <row r="24311" ht="15" customHeight="1" x14ac:dyDescent="0.25"/>
    <row r="24312" ht="15" customHeight="1" x14ac:dyDescent="0.25"/>
    <row r="24313" ht="15" customHeight="1" x14ac:dyDescent="0.25"/>
    <row r="24314" ht="15" customHeight="1" x14ac:dyDescent="0.25"/>
    <row r="24315" ht="15" customHeight="1" x14ac:dyDescent="0.25"/>
    <row r="24316" ht="15" customHeight="1" x14ac:dyDescent="0.25"/>
    <row r="24317" ht="15" customHeight="1" x14ac:dyDescent="0.25"/>
    <row r="24318" ht="15" customHeight="1" x14ac:dyDescent="0.25"/>
    <row r="24319" ht="15" customHeight="1" x14ac:dyDescent="0.25"/>
    <row r="24320" ht="15" customHeight="1" x14ac:dyDescent="0.25"/>
    <row r="24321" ht="15" customHeight="1" x14ac:dyDescent="0.25"/>
    <row r="24322" ht="15" customHeight="1" x14ac:dyDescent="0.25"/>
    <row r="24323" ht="15" customHeight="1" x14ac:dyDescent="0.25"/>
    <row r="24324" ht="15" customHeight="1" x14ac:dyDescent="0.25"/>
    <row r="24325" ht="15" customHeight="1" x14ac:dyDescent="0.25"/>
    <row r="24326" ht="15" customHeight="1" x14ac:dyDescent="0.25"/>
    <row r="24327" ht="15" customHeight="1" x14ac:dyDescent="0.25"/>
    <row r="24328" ht="15" customHeight="1" x14ac:dyDescent="0.25"/>
    <row r="24329" ht="15" customHeight="1" x14ac:dyDescent="0.25"/>
    <row r="24330" ht="15" customHeight="1" x14ac:dyDescent="0.25"/>
    <row r="24331" ht="15" customHeight="1" x14ac:dyDescent="0.25"/>
    <row r="24332" ht="15" customHeight="1" x14ac:dyDescent="0.25"/>
    <row r="24333" ht="15" customHeight="1" x14ac:dyDescent="0.25"/>
    <row r="24334" ht="15" customHeight="1" x14ac:dyDescent="0.25"/>
    <row r="24335" ht="15" customHeight="1" x14ac:dyDescent="0.25"/>
    <row r="24336" ht="15" customHeight="1" x14ac:dyDescent="0.25"/>
    <row r="24337" ht="15" customHeight="1" x14ac:dyDescent="0.25"/>
    <row r="24338" ht="15" customHeight="1" x14ac:dyDescent="0.25"/>
    <row r="24339" ht="15" customHeight="1" x14ac:dyDescent="0.25"/>
    <row r="24340" ht="15" customHeight="1" x14ac:dyDescent="0.25"/>
    <row r="24341" ht="15" customHeight="1" x14ac:dyDescent="0.25"/>
    <row r="24342" ht="15" customHeight="1" x14ac:dyDescent="0.25"/>
    <row r="24343" ht="15" customHeight="1" x14ac:dyDescent="0.25"/>
    <row r="24344" ht="15" customHeight="1" x14ac:dyDescent="0.25"/>
    <row r="24345" ht="15" customHeight="1" x14ac:dyDescent="0.25"/>
    <row r="24346" ht="15" customHeight="1" x14ac:dyDescent="0.25"/>
    <row r="24347" ht="15" customHeight="1" x14ac:dyDescent="0.25"/>
    <row r="24348" ht="15" customHeight="1" x14ac:dyDescent="0.25"/>
    <row r="24349" ht="15" customHeight="1" x14ac:dyDescent="0.25"/>
    <row r="24350" ht="15" customHeight="1" x14ac:dyDescent="0.25"/>
    <row r="24351" ht="15" customHeight="1" x14ac:dyDescent="0.25"/>
    <row r="24352" ht="15" customHeight="1" x14ac:dyDescent="0.25"/>
    <row r="24353" ht="15" customHeight="1" x14ac:dyDescent="0.25"/>
    <row r="24354" ht="15" customHeight="1" x14ac:dyDescent="0.25"/>
    <row r="24355" ht="15" customHeight="1" x14ac:dyDescent="0.25"/>
    <row r="24356" ht="15" customHeight="1" x14ac:dyDescent="0.25"/>
    <row r="24357" ht="15" customHeight="1" x14ac:dyDescent="0.25"/>
    <row r="24358" ht="15" customHeight="1" x14ac:dyDescent="0.25"/>
    <row r="24359" ht="15" customHeight="1" x14ac:dyDescent="0.25"/>
    <row r="24360" ht="15" customHeight="1" x14ac:dyDescent="0.25"/>
    <row r="24361" ht="15" customHeight="1" x14ac:dyDescent="0.25"/>
    <row r="24362" ht="15" customHeight="1" x14ac:dyDescent="0.25"/>
    <row r="24363" ht="15" customHeight="1" x14ac:dyDescent="0.25"/>
    <row r="24364" ht="15" customHeight="1" x14ac:dyDescent="0.25"/>
    <row r="24365" ht="15" customHeight="1" x14ac:dyDescent="0.25"/>
    <row r="24366" ht="15" customHeight="1" x14ac:dyDescent="0.25"/>
    <row r="24367" ht="15" customHeight="1" x14ac:dyDescent="0.25"/>
    <row r="24368" ht="15" customHeight="1" x14ac:dyDescent="0.25"/>
    <row r="24369" ht="15" customHeight="1" x14ac:dyDescent="0.25"/>
    <row r="24370" ht="15" customHeight="1" x14ac:dyDescent="0.25"/>
    <row r="24371" ht="15" customHeight="1" x14ac:dyDescent="0.25"/>
    <row r="24372" ht="15" customHeight="1" x14ac:dyDescent="0.25"/>
    <row r="24373" ht="15" customHeight="1" x14ac:dyDescent="0.25"/>
    <row r="24374" ht="15" customHeight="1" x14ac:dyDescent="0.25"/>
    <row r="24375" ht="15" customHeight="1" x14ac:dyDescent="0.25"/>
    <row r="24376" ht="15" customHeight="1" x14ac:dyDescent="0.25"/>
    <row r="24377" ht="15" customHeight="1" x14ac:dyDescent="0.25"/>
    <row r="24378" ht="15" customHeight="1" x14ac:dyDescent="0.25"/>
    <row r="24379" ht="15" customHeight="1" x14ac:dyDescent="0.25"/>
    <row r="24380" ht="15" customHeight="1" x14ac:dyDescent="0.25"/>
    <row r="24381" ht="15" customHeight="1" x14ac:dyDescent="0.25"/>
    <row r="24382" ht="15" customHeight="1" x14ac:dyDescent="0.25"/>
    <row r="24383" ht="15" customHeight="1" x14ac:dyDescent="0.25"/>
    <row r="24384" ht="15" customHeight="1" x14ac:dyDescent="0.25"/>
    <row r="24385" ht="15" customHeight="1" x14ac:dyDescent="0.25"/>
    <row r="24386" ht="15" customHeight="1" x14ac:dyDescent="0.25"/>
    <row r="24387" ht="15" customHeight="1" x14ac:dyDescent="0.25"/>
    <row r="24388" ht="15" customHeight="1" x14ac:dyDescent="0.25"/>
    <row r="24389" ht="15" customHeight="1" x14ac:dyDescent="0.25"/>
    <row r="24390" ht="15" customHeight="1" x14ac:dyDescent="0.25"/>
    <row r="24391" ht="15" customHeight="1" x14ac:dyDescent="0.25"/>
    <row r="24392" ht="15" customHeight="1" x14ac:dyDescent="0.25"/>
    <row r="24393" ht="15" customHeight="1" x14ac:dyDescent="0.25"/>
    <row r="24394" ht="15" customHeight="1" x14ac:dyDescent="0.25"/>
    <row r="24395" ht="15" customHeight="1" x14ac:dyDescent="0.25"/>
    <row r="24396" ht="15" customHeight="1" x14ac:dyDescent="0.25"/>
    <row r="24397" ht="15" customHeight="1" x14ac:dyDescent="0.25"/>
    <row r="24398" ht="15" customHeight="1" x14ac:dyDescent="0.25"/>
    <row r="24399" ht="15" customHeight="1" x14ac:dyDescent="0.25"/>
    <row r="24400" ht="15" customHeight="1" x14ac:dyDescent="0.25"/>
    <row r="24401" ht="15" customHeight="1" x14ac:dyDescent="0.25"/>
    <row r="24402" ht="15" customHeight="1" x14ac:dyDescent="0.25"/>
    <row r="24403" ht="15" customHeight="1" x14ac:dyDescent="0.25"/>
    <row r="24404" ht="15" customHeight="1" x14ac:dyDescent="0.25"/>
    <row r="24405" ht="15" customHeight="1" x14ac:dyDescent="0.25"/>
    <row r="24406" ht="15" customHeight="1" x14ac:dyDescent="0.25"/>
    <row r="24407" ht="15" customHeight="1" x14ac:dyDescent="0.25"/>
    <row r="24408" ht="15" customHeight="1" x14ac:dyDescent="0.25"/>
    <row r="24409" ht="15" customHeight="1" x14ac:dyDescent="0.25"/>
    <row r="24410" ht="15" customHeight="1" x14ac:dyDescent="0.25"/>
    <row r="24411" ht="15" customHeight="1" x14ac:dyDescent="0.25"/>
    <row r="24412" ht="15" customHeight="1" x14ac:dyDescent="0.25"/>
    <row r="24413" ht="15" customHeight="1" x14ac:dyDescent="0.25"/>
    <row r="24414" ht="15" customHeight="1" x14ac:dyDescent="0.25"/>
    <row r="24415" ht="15" customHeight="1" x14ac:dyDescent="0.25"/>
    <row r="24416" ht="15" customHeight="1" x14ac:dyDescent="0.25"/>
    <row r="24417" ht="15" customHeight="1" x14ac:dyDescent="0.25"/>
    <row r="24418" ht="15" customHeight="1" x14ac:dyDescent="0.25"/>
    <row r="24419" ht="15" customHeight="1" x14ac:dyDescent="0.25"/>
    <row r="24420" ht="15" customHeight="1" x14ac:dyDescent="0.25"/>
    <row r="24421" ht="15" customHeight="1" x14ac:dyDescent="0.25"/>
    <row r="24422" ht="15" customHeight="1" x14ac:dyDescent="0.25"/>
    <row r="24423" ht="15" customHeight="1" x14ac:dyDescent="0.25"/>
    <row r="24424" ht="15" customHeight="1" x14ac:dyDescent="0.25"/>
    <row r="24425" ht="15" customHeight="1" x14ac:dyDescent="0.25"/>
    <row r="24426" ht="15" customHeight="1" x14ac:dyDescent="0.25"/>
    <row r="24427" ht="15" customHeight="1" x14ac:dyDescent="0.25"/>
    <row r="24428" ht="15" customHeight="1" x14ac:dyDescent="0.25"/>
    <row r="24429" ht="15" customHeight="1" x14ac:dyDescent="0.25"/>
    <row r="24430" ht="15" customHeight="1" x14ac:dyDescent="0.25"/>
    <row r="24431" ht="15" customHeight="1" x14ac:dyDescent="0.25"/>
    <row r="24432" ht="15" customHeight="1" x14ac:dyDescent="0.25"/>
    <row r="24433" ht="15" customHeight="1" x14ac:dyDescent="0.25"/>
    <row r="24434" ht="15" customHeight="1" x14ac:dyDescent="0.25"/>
    <row r="24435" ht="15" customHeight="1" x14ac:dyDescent="0.25"/>
    <row r="24436" ht="15" customHeight="1" x14ac:dyDescent="0.25"/>
    <row r="24437" ht="15" customHeight="1" x14ac:dyDescent="0.25"/>
    <row r="24438" ht="15" customHeight="1" x14ac:dyDescent="0.25"/>
    <row r="24439" ht="15" customHeight="1" x14ac:dyDescent="0.25"/>
    <row r="24440" ht="15" customHeight="1" x14ac:dyDescent="0.25"/>
    <row r="24441" ht="15" customHeight="1" x14ac:dyDescent="0.25"/>
    <row r="24442" ht="15" customHeight="1" x14ac:dyDescent="0.25"/>
    <row r="24443" ht="15" customHeight="1" x14ac:dyDescent="0.25"/>
    <row r="24444" ht="15" customHeight="1" x14ac:dyDescent="0.25"/>
    <row r="24445" ht="15" customHeight="1" x14ac:dyDescent="0.25"/>
    <row r="24446" ht="15" customHeight="1" x14ac:dyDescent="0.25"/>
    <row r="24447" ht="15" customHeight="1" x14ac:dyDescent="0.25"/>
    <row r="24448" ht="15" customHeight="1" x14ac:dyDescent="0.25"/>
    <row r="24449" ht="15" customHeight="1" x14ac:dyDescent="0.25"/>
    <row r="24450" ht="15" customHeight="1" x14ac:dyDescent="0.25"/>
    <row r="24451" ht="15" customHeight="1" x14ac:dyDescent="0.25"/>
    <row r="24452" ht="15" customHeight="1" x14ac:dyDescent="0.25"/>
    <row r="24453" ht="15" customHeight="1" x14ac:dyDescent="0.25"/>
    <row r="24454" ht="15" customHeight="1" x14ac:dyDescent="0.25"/>
    <row r="24455" ht="15" customHeight="1" x14ac:dyDescent="0.25"/>
    <row r="24456" ht="15" customHeight="1" x14ac:dyDescent="0.25"/>
    <row r="24457" ht="15" customHeight="1" x14ac:dyDescent="0.25"/>
    <row r="24458" ht="15" customHeight="1" x14ac:dyDescent="0.25"/>
    <row r="24459" ht="15" customHeight="1" x14ac:dyDescent="0.25"/>
    <row r="24460" ht="15" customHeight="1" x14ac:dyDescent="0.25"/>
    <row r="24461" ht="15" customHeight="1" x14ac:dyDescent="0.25"/>
    <row r="24462" ht="15" customHeight="1" x14ac:dyDescent="0.25"/>
    <row r="24463" ht="15" customHeight="1" x14ac:dyDescent="0.25"/>
    <row r="24464" ht="15" customHeight="1" x14ac:dyDescent="0.25"/>
    <row r="24465" ht="15" customHeight="1" x14ac:dyDescent="0.25"/>
    <row r="24466" ht="15" customHeight="1" x14ac:dyDescent="0.25"/>
    <row r="24467" ht="15" customHeight="1" x14ac:dyDescent="0.25"/>
    <row r="24468" ht="15" customHeight="1" x14ac:dyDescent="0.25"/>
    <row r="24469" ht="15" customHeight="1" x14ac:dyDescent="0.25"/>
    <row r="24470" ht="15" customHeight="1" x14ac:dyDescent="0.25"/>
    <row r="24471" ht="15" customHeight="1" x14ac:dyDescent="0.25"/>
    <row r="24472" ht="15" customHeight="1" x14ac:dyDescent="0.25"/>
    <row r="24473" ht="15" customHeight="1" x14ac:dyDescent="0.25"/>
    <row r="24474" ht="15" customHeight="1" x14ac:dyDescent="0.25"/>
    <row r="24475" ht="15" customHeight="1" x14ac:dyDescent="0.25"/>
    <row r="24476" ht="15" customHeight="1" x14ac:dyDescent="0.25"/>
    <row r="24477" ht="15" customHeight="1" x14ac:dyDescent="0.25"/>
    <row r="24478" ht="15" customHeight="1" x14ac:dyDescent="0.25"/>
    <row r="24479" ht="15" customHeight="1" x14ac:dyDescent="0.25"/>
    <row r="24480" ht="15" customHeight="1" x14ac:dyDescent="0.25"/>
    <row r="24481" ht="15" customHeight="1" x14ac:dyDescent="0.25"/>
    <row r="24482" ht="15" customHeight="1" x14ac:dyDescent="0.25"/>
    <row r="24483" ht="15" customHeight="1" x14ac:dyDescent="0.25"/>
    <row r="24484" ht="15" customHeight="1" x14ac:dyDescent="0.25"/>
    <row r="24485" ht="15" customHeight="1" x14ac:dyDescent="0.25"/>
    <row r="24486" ht="15" customHeight="1" x14ac:dyDescent="0.25"/>
    <row r="24487" ht="15" customHeight="1" x14ac:dyDescent="0.25"/>
    <row r="24488" ht="15" customHeight="1" x14ac:dyDescent="0.25"/>
    <row r="24489" ht="15" customHeight="1" x14ac:dyDescent="0.25"/>
    <row r="24490" ht="15" customHeight="1" x14ac:dyDescent="0.25"/>
    <row r="24491" ht="15" customHeight="1" x14ac:dyDescent="0.25"/>
    <row r="24492" ht="15" customHeight="1" x14ac:dyDescent="0.25"/>
    <row r="24493" ht="15" customHeight="1" x14ac:dyDescent="0.25"/>
    <row r="24494" ht="15" customHeight="1" x14ac:dyDescent="0.25"/>
    <row r="24495" ht="15" customHeight="1" x14ac:dyDescent="0.25"/>
    <row r="24496" ht="15" customHeight="1" x14ac:dyDescent="0.25"/>
    <row r="24497" ht="15" customHeight="1" x14ac:dyDescent="0.25"/>
    <row r="24498" ht="15" customHeight="1" x14ac:dyDescent="0.25"/>
    <row r="24499" ht="15" customHeight="1" x14ac:dyDescent="0.25"/>
    <row r="24500" ht="15" customHeight="1" x14ac:dyDescent="0.25"/>
    <row r="24501" ht="15" customHeight="1" x14ac:dyDescent="0.25"/>
    <row r="24502" ht="15" customHeight="1" x14ac:dyDescent="0.25"/>
    <row r="24503" ht="15" customHeight="1" x14ac:dyDescent="0.25"/>
    <row r="24504" ht="15" customHeight="1" x14ac:dyDescent="0.25"/>
    <row r="24505" ht="15" customHeight="1" x14ac:dyDescent="0.25"/>
    <row r="24506" ht="15" customHeight="1" x14ac:dyDescent="0.25"/>
    <row r="24507" ht="15" customHeight="1" x14ac:dyDescent="0.25"/>
    <row r="24508" ht="15" customHeight="1" x14ac:dyDescent="0.25"/>
    <row r="24509" ht="15" customHeight="1" x14ac:dyDescent="0.25"/>
    <row r="24510" ht="15" customHeight="1" x14ac:dyDescent="0.25"/>
    <row r="24511" ht="15" customHeight="1" x14ac:dyDescent="0.25"/>
    <row r="24512" ht="15" customHeight="1" x14ac:dyDescent="0.25"/>
    <row r="24513" ht="15" customHeight="1" x14ac:dyDescent="0.25"/>
    <row r="24514" ht="15" customHeight="1" x14ac:dyDescent="0.25"/>
    <row r="24515" ht="15" customHeight="1" x14ac:dyDescent="0.25"/>
    <row r="24516" ht="15" customHeight="1" x14ac:dyDescent="0.25"/>
    <row r="24517" ht="15" customHeight="1" x14ac:dyDescent="0.25"/>
    <row r="24518" ht="15" customHeight="1" x14ac:dyDescent="0.25"/>
    <row r="24519" ht="15" customHeight="1" x14ac:dyDescent="0.25"/>
    <row r="24520" ht="15" customHeight="1" x14ac:dyDescent="0.25"/>
    <row r="24521" ht="15" customHeight="1" x14ac:dyDescent="0.25"/>
    <row r="24522" ht="15" customHeight="1" x14ac:dyDescent="0.25"/>
    <row r="24523" ht="15" customHeight="1" x14ac:dyDescent="0.25"/>
    <row r="24524" ht="15" customHeight="1" x14ac:dyDescent="0.25"/>
    <row r="24525" ht="15" customHeight="1" x14ac:dyDescent="0.25"/>
    <row r="24526" ht="15" customHeight="1" x14ac:dyDescent="0.25"/>
    <row r="24527" ht="15" customHeight="1" x14ac:dyDescent="0.25"/>
    <row r="24528" ht="15" customHeight="1" x14ac:dyDescent="0.25"/>
    <row r="24529" ht="15" customHeight="1" x14ac:dyDescent="0.25"/>
    <row r="24530" ht="15" customHeight="1" x14ac:dyDescent="0.25"/>
    <row r="24531" ht="15" customHeight="1" x14ac:dyDescent="0.25"/>
    <row r="24532" ht="15" customHeight="1" x14ac:dyDescent="0.25"/>
    <row r="24533" ht="15" customHeight="1" x14ac:dyDescent="0.25"/>
    <row r="24534" ht="15" customHeight="1" x14ac:dyDescent="0.25"/>
    <row r="24535" ht="15" customHeight="1" x14ac:dyDescent="0.25"/>
    <row r="24536" ht="15" customHeight="1" x14ac:dyDescent="0.25"/>
    <row r="24537" ht="15" customHeight="1" x14ac:dyDescent="0.25"/>
    <row r="24538" ht="15" customHeight="1" x14ac:dyDescent="0.25"/>
    <row r="24539" ht="15" customHeight="1" x14ac:dyDescent="0.25"/>
    <row r="24540" ht="15" customHeight="1" x14ac:dyDescent="0.25"/>
    <row r="24541" ht="15" customHeight="1" x14ac:dyDescent="0.25"/>
    <row r="24542" ht="15" customHeight="1" x14ac:dyDescent="0.25"/>
    <row r="24543" ht="15" customHeight="1" x14ac:dyDescent="0.25"/>
    <row r="24544" ht="15" customHeight="1" x14ac:dyDescent="0.25"/>
    <row r="24545" ht="15" customHeight="1" x14ac:dyDescent="0.25"/>
    <row r="24546" ht="15" customHeight="1" x14ac:dyDescent="0.25"/>
    <row r="24547" ht="15" customHeight="1" x14ac:dyDescent="0.25"/>
    <row r="24548" ht="15" customHeight="1" x14ac:dyDescent="0.25"/>
    <row r="24549" ht="15" customHeight="1" x14ac:dyDescent="0.25"/>
    <row r="24550" ht="15" customHeight="1" x14ac:dyDescent="0.25"/>
    <row r="24551" ht="15" customHeight="1" x14ac:dyDescent="0.25"/>
    <row r="24552" ht="15" customHeight="1" x14ac:dyDescent="0.25"/>
    <row r="24553" ht="15" customHeight="1" x14ac:dyDescent="0.25"/>
    <row r="24554" ht="15" customHeight="1" x14ac:dyDescent="0.25"/>
    <row r="24555" ht="15" customHeight="1" x14ac:dyDescent="0.25"/>
    <row r="24556" ht="15" customHeight="1" x14ac:dyDescent="0.25"/>
    <row r="24557" ht="15" customHeight="1" x14ac:dyDescent="0.25"/>
    <row r="24558" ht="15" customHeight="1" x14ac:dyDescent="0.25"/>
    <row r="24559" ht="15" customHeight="1" x14ac:dyDescent="0.25"/>
    <row r="24560" ht="15" customHeight="1" x14ac:dyDescent="0.25"/>
    <row r="24561" ht="15" customHeight="1" x14ac:dyDescent="0.25"/>
    <row r="24562" ht="15" customHeight="1" x14ac:dyDescent="0.25"/>
    <row r="24563" ht="15" customHeight="1" x14ac:dyDescent="0.25"/>
    <row r="24564" ht="15" customHeight="1" x14ac:dyDescent="0.25"/>
    <row r="24565" ht="15" customHeight="1" x14ac:dyDescent="0.25"/>
    <row r="24566" ht="15" customHeight="1" x14ac:dyDescent="0.25"/>
    <row r="24567" ht="15" customHeight="1" x14ac:dyDescent="0.25"/>
    <row r="24568" ht="15" customHeight="1" x14ac:dyDescent="0.25"/>
    <row r="24569" ht="15" customHeight="1" x14ac:dyDescent="0.25"/>
    <row r="24570" ht="15" customHeight="1" x14ac:dyDescent="0.25"/>
    <row r="24571" ht="15" customHeight="1" x14ac:dyDescent="0.25"/>
    <row r="24572" ht="15" customHeight="1" x14ac:dyDescent="0.25"/>
    <row r="24573" ht="15" customHeight="1" x14ac:dyDescent="0.25"/>
    <row r="24574" ht="15" customHeight="1" x14ac:dyDescent="0.25"/>
    <row r="24575" ht="15" customHeight="1" x14ac:dyDescent="0.25"/>
    <row r="24576" ht="15" customHeight="1" x14ac:dyDescent="0.25"/>
    <row r="24577" ht="15" customHeight="1" x14ac:dyDescent="0.25"/>
    <row r="24578" ht="15" customHeight="1" x14ac:dyDescent="0.25"/>
    <row r="24579" ht="15" customHeight="1" x14ac:dyDescent="0.25"/>
    <row r="24580" ht="15" customHeight="1" x14ac:dyDescent="0.25"/>
    <row r="24581" ht="15" customHeight="1" x14ac:dyDescent="0.25"/>
    <row r="24582" ht="15" customHeight="1" x14ac:dyDescent="0.25"/>
    <row r="24583" ht="15" customHeight="1" x14ac:dyDescent="0.25"/>
    <row r="24584" ht="15" customHeight="1" x14ac:dyDescent="0.25"/>
    <row r="24585" ht="15" customHeight="1" x14ac:dyDescent="0.25"/>
    <row r="24586" ht="15" customHeight="1" x14ac:dyDescent="0.25"/>
    <row r="24587" ht="15" customHeight="1" x14ac:dyDescent="0.25"/>
    <row r="24588" ht="15" customHeight="1" x14ac:dyDescent="0.25"/>
    <row r="24589" ht="15" customHeight="1" x14ac:dyDescent="0.25"/>
    <row r="24590" ht="15" customHeight="1" x14ac:dyDescent="0.25"/>
    <row r="24591" ht="15" customHeight="1" x14ac:dyDescent="0.25"/>
    <row r="24592" ht="15" customHeight="1" x14ac:dyDescent="0.25"/>
    <row r="24593" ht="15" customHeight="1" x14ac:dyDescent="0.25"/>
    <row r="24594" ht="15" customHeight="1" x14ac:dyDescent="0.25"/>
    <row r="24595" ht="15" customHeight="1" x14ac:dyDescent="0.25"/>
    <row r="24596" ht="15" customHeight="1" x14ac:dyDescent="0.25"/>
    <row r="24597" ht="15" customHeight="1" x14ac:dyDescent="0.25"/>
    <row r="24598" ht="15" customHeight="1" x14ac:dyDescent="0.25"/>
    <row r="24599" ht="15" customHeight="1" x14ac:dyDescent="0.25"/>
    <row r="24600" ht="15" customHeight="1" x14ac:dyDescent="0.25"/>
    <row r="24601" ht="15" customHeight="1" x14ac:dyDescent="0.25"/>
    <row r="24602" ht="15" customHeight="1" x14ac:dyDescent="0.25"/>
    <row r="24603" ht="15" customHeight="1" x14ac:dyDescent="0.25"/>
    <row r="24604" ht="15" customHeight="1" x14ac:dyDescent="0.25"/>
    <row r="24605" ht="15" customHeight="1" x14ac:dyDescent="0.25"/>
    <row r="24606" ht="15" customHeight="1" x14ac:dyDescent="0.25"/>
    <row r="24607" ht="15" customHeight="1" x14ac:dyDescent="0.25"/>
    <row r="24608" ht="15" customHeight="1" x14ac:dyDescent="0.25"/>
    <row r="24609" ht="15" customHeight="1" x14ac:dyDescent="0.25"/>
    <row r="24610" ht="15" customHeight="1" x14ac:dyDescent="0.25"/>
    <row r="24611" ht="15" customHeight="1" x14ac:dyDescent="0.25"/>
    <row r="24612" ht="15" customHeight="1" x14ac:dyDescent="0.25"/>
    <row r="24613" ht="15" customHeight="1" x14ac:dyDescent="0.25"/>
    <row r="24614" ht="15" customHeight="1" x14ac:dyDescent="0.25"/>
    <row r="24615" ht="15" customHeight="1" x14ac:dyDescent="0.25"/>
    <row r="24616" ht="15" customHeight="1" x14ac:dyDescent="0.25"/>
    <row r="24617" ht="15" customHeight="1" x14ac:dyDescent="0.25"/>
    <row r="24618" ht="15" customHeight="1" x14ac:dyDescent="0.25"/>
    <row r="24619" ht="15" customHeight="1" x14ac:dyDescent="0.25"/>
    <row r="24620" ht="15" customHeight="1" x14ac:dyDescent="0.25"/>
    <row r="24621" ht="15" customHeight="1" x14ac:dyDescent="0.25"/>
    <row r="24622" ht="15" customHeight="1" x14ac:dyDescent="0.25"/>
    <row r="24623" ht="15" customHeight="1" x14ac:dyDescent="0.25"/>
    <row r="24624" ht="15" customHeight="1" x14ac:dyDescent="0.25"/>
    <row r="24625" ht="15" customHeight="1" x14ac:dyDescent="0.25"/>
    <row r="24626" ht="15" customHeight="1" x14ac:dyDescent="0.25"/>
    <row r="24627" ht="15" customHeight="1" x14ac:dyDescent="0.25"/>
    <row r="24628" ht="15" customHeight="1" x14ac:dyDescent="0.25"/>
    <row r="24629" ht="15" customHeight="1" x14ac:dyDescent="0.25"/>
    <row r="24630" ht="15" customHeight="1" x14ac:dyDescent="0.25"/>
    <row r="24631" ht="15" customHeight="1" x14ac:dyDescent="0.25"/>
    <row r="24632" ht="15" customHeight="1" x14ac:dyDescent="0.25"/>
    <row r="24633" ht="15" customHeight="1" x14ac:dyDescent="0.25"/>
    <row r="24634" ht="15" customHeight="1" x14ac:dyDescent="0.25"/>
    <row r="24635" ht="15" customHeight="1" x14ac:dyDescent="0.25"/>
    <row r="24636" ht="15" customHeight="1" x14ac:dyDescent="0.25"/>
    <row r="24637" ht="15" customHeight="1" x14ac:dyDescent="0.25"/>
    <row r="24638" ht="15" customHeight="1" x14ac:dyDescent="0.25"/>
    <row r="24639" ht="15" customHeight="1" x14ac:dyDescent="0.25"/>
    <row r="24640" ht="15" customHeight="1" x14ac:dyDescent="0.25"/>
    <row r="24641" ht="15" customHeight="1" x14ac:dyDescent="0.25"/>
    <row r="24642" ht="15" customHeight="1" x14ac:dyDescent="0.25"/>
    <row r="24643" ht="15" customHeight="1" x14ac:dyDescent="0.25"/>
    <row r="24644" ht="15" customHeight="1" x14ac:dyDescent="0.25"/>
    <row r="24645" ht="15" customHeight="1" x14ac:dyDescent="0.25"/>
    <row r="24646" ht="15" customHeight="1" x14ac:dyDescent="0.25"/>
    <row r="24647" ht="15" customHeight="1" x14ac:dyDescent="0.25"/>
    <row r="24648" ht="15" customHeight="1" x14ac:dyDescent="0.25"/>
    <row r="24649" ht="15" customHeight="1" x14ac:dyDescent="0.25"/>
    <row r="24650" ht="15" customHeight="1" x14ac:dyDescent="0.25"/>
    <row r="24651" ht="15" customHeight="1" x14ac:dyDescent="0.25"/>
    <row r="24652" ht="15" customHeight="1" x14ac:dyDescent="0.25"/>
    <row r="24653" ht="15" customHeight="1" x14ac:dyDescent="0.25"/>
    <row r="24654" ht="15" customHeight="1" x14ac:dyDescent="0.25"/>
    <row r="24655" ht="15" customHeight="1" x14ac:dyDescent="0.25"/>
    <row r="24656" ht="15" customHeight="1" x14ac:dyDescent="0.25"/>
    <row r="24657" ht="15" customHeight="1" x14ac:dyDescent="0.25"/>
    <row r="24658" ht="15" customHeight="1" x14ac:dyDescent="0.25"/>
    <row r="24659" ht="15" customHeight="1" x14ac:dyDescent="0.25"/>
    <row r="24660" ht="15" customHeight="1" x14ac:dyDescent="0.25"/>
    <row r="24661" ht="15" customHeight="1" x14ac:dyDescent="0.25"/>
    <row r="24662" ht="15" customHeight="1" x14ac:dyDescent="0.25"/>
    <row r="24663" ht="15" customHeight="1" x14ac:dyDescent="0.25"/>
    <row r="24664" ht="15" customHeight="1" x14ac:dyDescent="0.25"/>
    <row r="24665" ht="15" customHeight="1" x14ac:dyDescent="0.25"/>
    <row r="24666" ht="15" customHeight="1" x14ac:dyDescent="0.25"/>
    <row r="24667" ht="15" customHeight="1" x14ac:dyDescent="0.25"/>
    <row r="24668" ht="15" customHeight="1" x14ac:dyDescent="0.25"/>
    <row r="24669" ht="15" customHeight="1" x14ac:dyDescent="0.25"/>
    <row r="24670" ht="15" customHeight="1" x14ac:dyDescent="0.25"/>
    <row r="24671" ht="15" customHeight="1" x14ac:dyDescent="0.25"/>
    <row r="24672" ht="15" customHeight="1" x14ac:dyDescent="0.25"/>
    <row r="24673" ht="15" customHeight="1" x14ac:dyDescent="0.25"/>
    <row r="24674" ht="15" customHeight="1" x14ac:dyDescent="0.25"/>
    <row r="24675" ht="15" customHeight="1" x14ac:dyDescent="0.25"/>
    <row r="24676" ht="15" customHeight="1" x14ac:dyDescent="0.25"/>
    <row r="24677" ht="15" customHeight="1" x14ac:dyDescent="0.25"/>
    <row r="24678" ht="15" customHeight="1" x14ac:dyDescent="0.25"/>
    <row r="24679" ht="15" customHeight="1" x14ac:dyDescent="0.25"/>
    <row r="24680" ht="15" customHeight="1" x14ac:dyDescent="0.25"/>
    <row r="24681" ht="15" customHeight="1" x14ac:dyDescent="0.25"/>
    <row r="24682" ht="15" customHeight="1" x14ac:dyDescent="0.25"/>
    <row r="24683" ht="15" customHeight="1" x14ac:dyDescent="0.25"/>
    <row r="24684" ht="15" customHeight="1" x14ac:dyDescent="0.25"/>
    <row r="24685" ht="15" customHeight="1" x14ac:dyDescent="0.25"/>
    <row r="24686" ht="15" customHeight="1" x14ac:dyDescent="0.25"/>
    <row r="24687" ht="15" customHeight="1" x14ac:dyDescent="0.25"/>
    <row r="24688" ht="15" customHeight="1" x14ac:dyDescent="0.25"/>
    <row r="24689" ht="15" customHeight="1" x14ac:dyDescent="0.25"/>
    <row r="24690" ht="15" customHeight="1" x14ac:dyDescent="0.25"/>
    <row r="24691" ht="15" customHeight="1" x14ac:dyDescent="0.25"/>
    <row r="24692" ht="15" customHeight="1" x14ac:dyDescent="0.25"/>
    <row r="24693" ht="15" customHeight="1" x14ac:dyDescent="0.25"/>
    <row r="24694" ht="15" customHeight="1" x14ac:dyDescent="0.25"/>
    <row r="24695" ht="15" customHeight="1" x14ac:dyDescent="0.25"/>
    <row r="24696" ht="15" customHeight="1" x14ac:dyDescent="0.25"/>
    <row r="24697" ht="15" customHeight="1" x14ac:dyDescent="0.25"/>
    <row r="24698" ht="15" customHeight="1" x14ac:dyDescent="0.25"/>
    <row r="24699" ht="15" customHeight="1" x14ac:dyDescent="0.25"/>
    <row r="24700" ht="15" customHeight="1" x14ac:dyDescent="0.25"/>
    <row r="24701" ht="15" customHeight="1" x14ac:dyDescent="0.25"/>
    <row r="24702" ht="15" customHeight="1" x14ac:dyDescent="0.25"/>
    <row r="24703" ht="15" customHeight="1" x14ac:dyDescent="0.25"/>
    <row r="24704" ht="15" customHeight="1" x14ac:dyDescent="0.25"/>
    <row r="24705" ht="15" customHeight="1" x14ac:dyDescent="0.25"/>
    <row r="24706" ht="15" customHeight="1" x14ac:dyDescent="0.25"/>
    <row r="24707" ht="15" customHeight="1" x14ac:dyDescent="0.25"/>
    <row r="24708" ht="15" customHeight="1" x14ac:dyDescent="0.25"/>
    <row r="24709" ht="15" customHeight="1" x14ac:dyDescent="0.25"/>
    <row r="24710" ht="15" customHeight="1" x14ac:dyDescent="0.25"/>
    <row r="24711" ht="15" customHeight="1" x14ac:dyDescent="0.25"/>
    <row r="24712" ht="15" customHeight="1" x14ac:dyDescent="0.25"/>
    <row r="24713" ht="15" customHeight="1" x14ac:dyDescent="0.25"/>
    <row r="24714" ht="15" customHeight="1" x14ac:dyDescent="0.25"/>
    <row r="24715" ht="15" customHeight="1" x14ac:dyDescent="0.25"/>
    <row r="24716" ht="15" customHeight="1" x14ac:dyDescent="0.25"/>
    <row r="24717" ht="15" customHeight="1" x14ac:dyDescent="0.25"/>
    <row r="24718" ht="15" customHeight="1" x14ac:dyDescent="0.25"/>
    <row r="24719" ht="15" customHeight="1" x14ac:dyDescent="0.25"/>
    <row r="24720" ht="15" customHeight="1" x14ac:dyDescent="0.25"/>
    <row r="24721" ht="15" customHeight="1" x14ac:dyDescent="0.25"/>
    <row r="24722" ht="15" customHeight="1" x14ac:dyDescent="0.25"/>
    <row r="24723" ht="15" customHeight="1" x14ac:dyDescent="0.25"/>
    <row r="24724" ht="15" customHeight="1" x14ac:dyDescent="0.25"/>
    <row r="24725" ht="15" customHeight="1" x14ac:dyDescent="0.25"/>
    <row r="24726" ht="15" customHeight="1" x14ac:dyDescent="0.25"/>
    <row r="24727" ht="15" customHeight="1" x14ac:dyDescent="0.25"/>
    <row r="24728" ht="15" customHeight="1" x14ac:dyDescent="0.25"/>
    <row r="24729" ht="15" customHeight="1" x14ac:dyDescent="0.25"/>
    <row r="24730" ht="15" customHeight="1" x14ac:dyDescent="0.25"/>
    <row r="24731" ht="15" customHeight="1" x14ac:dyDescent="0.25"/>
    <row r="24732" ht="15" customHeight="1" x14ac:dyDescent="0.25"/>
    <row r="24733" ht="15" customHeight="1" x14ac:dyDescent="0.25"/>
    <row r="24734" ht="15" customHeight="1" x14ac:dyDescent="0.25"/>
    <row r="24735" ht="15" customHeight="1" x14ac:dyDescent="0.25"/>
    <row r="24736" ht="15" customHeight="1" x14ac:dyDescent="0.25"/>
    <row r="24737" ht="15" customHeight="1" x14ac:dyDescent="0.25"/>
    <row r="24738" ht="15" customHeight="1" x14ac:dyDescent="0.25"/>
    <row r="24739" ht="15" customHeight="1" x14ac:dyDescent="0.25"/>
    <row r="24740" ht="15" customHeight="1" x14ac:dyDescent="0.25"/>
    <row r="24741" ht="15" customHeight="1" x14ac:dyDescent="0.25"/>
    <row r="24742" ht="15" customHeight="1" x14ac:dyDescent="0.25"/>
    <row r="24743" ht="15" customHeight="1" x14ac:dyDescent="0.25"/>
    <row r="24744" ht="15" customHeight="1" x14ac:dyDescent="0.25"/>
    <row r="24745" ht="15" customHeight="1" x14ac:dyDescent="0.25"/>
    <row r="24746" ht="15" customHeight="1" x14ac:dyDescent="0.25"/>
    <row r="24747" ht="15" customHeight="1" x14ac:dyDescent="0.25"/>
    <row r="24748" ht="15" customHeight="1" x14ac:dyDescent="0.25"/>
    <row r="24749" ht="15" customHeight="1" x14ac:dyDescent="0.25"/>
    <row r="24750" ht="15" customHeight="1" x14ac:dyDescent="0.25"/>
    <row r="24751" ht="15" customHeight="1" x14ac:dyDescent="0.25"/>
    <row r="24752" ht="15" customHeight="1" x14ac:dyDescent="0.25"/>
    <row r="24753" ht="15" customHeight="1" x14ac:dyDescent="0.25"/>
    <row r="24754" ht="15" customHeight="1" x14ac:dyDescent="0.25"/>
    <row r="24755" ht="15" customHeight="1" x14ac:dyDescent="0.25"/>
    <row r="24756" ht="15" customHeight="1" x14ac:dyDescent="0.25"/>
    <row r="24757" ht="15" customHeight="1" x14ac:dyDescent="0.25"/>
    <row r="24758" ht="15" customHeight="1" x14ac:dyDescent="0.25"/>
    <row r="24759" ht="15" customHeight="1" x14ac:dyDescent="0.25"/>
    <row r="24760" ht="15" customHeight="1" x14ac:dyDescent="0.25"/>
    <row r="24761" ht="15" customHeight="1" x14ac:dyDescent="0.25"/>
    <row r="24762" ht="15" customHeight="1" x14ac:dyDescent="0.25"/>
    <row r="24763" ht="15" customHeight="1" x14ac:dyDescent="0.25"/>
    <row r="24764" ht="15" customHeight="1" x14ac:dyDescent="0.25"/>
    <row r="24765" ht="15" customHeight="1" x14ac:dyDescent="0.25"/>
    <row r="24766" ht="15" customHeight="1" x14ac:dyDescent="0.25"/>
    <row r="24767" ht="15" customHeight="1" x14ac:dyDescent="0.25"/>
    <row r="24768" ht="15" customHeight="1" x14ac:dyDescent="0.25"/>
    <row r="24769" ht="15" customHeight="1" x14ac:dyDescent="0.25"/>
    <row r="24770" ht="15" customHeight="1" x14ac:dyDescent="0.25"/>
    <row r="24771" ht="15" customHeight="1" x14ac:dyDescent="0.25"/>
    <row r="24772" ht="15" customHeight="1" x14ac:dyDescent="0.25"/>
    <row r="24773" ht="15" customHeight="1" x14ac:dyDescent="0.25"/>
    <row r="24774" ht="15" customHeight="1" x14ac:dyDescent="0.25"/>
    <row r="24775" ht="15" customHeight="1" x14ac:dyDescent="0.25"/>
    <row r="24776" ht="15" customHeight="1" x14ac:dyDescent="0.25"/>
    <row r="24777" ht="15" customHeight="1" x14ac:dyDescent="0.25"/>
    <row r="24778" ht="15" customHeight="1" x14ac:dyDescent="0.25"/>
    <row r="24779" ht="15" customHeight="1" x14ac:dyDescent="0.25"/>
    <row r="24780" ht="15" customHeight="1" x14ac:dyDescent="0.25"/>
    <row r="24781" ht="15" customHeight="1" x14ac:dyDescent="0.25"/>
    <row r="24782" ht="15" customHeight="1" x14ac:dyDescent="0.25"/>
    <row r="24783" ht="15" customHeight="1" x14ac:dyDescent="0.25"/>
    <row r="24784" ht="15" customHeight="1" x14ac:dyDescent="0.25"/>
    <row r="24785" ht="15" customHeight="1" x14ac:dyDescent="0.25"/>
    <row r="24786" ht="15" customHeight="1" x14ac:dyDescent="0.25"/>
    <row r="24787" ht="15" customHeight="1" x14ac:dyDescent="0.25"/>
    <row r="24788" ht="15" customHeight="1" x14ac:dyDescent="0.25"/>
    <row r="24789" ht="15" customHeight="1" x14ac:dyDescent="0.25"/>
    <row r="24790" ht="15" customHeight="1" x14ac:dyDescent="0.25"/>
    <row r="24791" ht="15" customHeight="1" x14ac:dyDescent="0.25"/>
    <row r="24792" ht="15" customHeight="1" x14ac:dyDescent="0.25"/>
    <row r="24793" ht="15" customHeight="1" x14ac:dyDescent="0.25"/>
    <row r="24794" ht="15" customHeight="1" x14ac:dyDescent="0.25"/>
    <row r="24795" ht="15" customHeight="1" x14ac:dyDescent="0.25"/>
    <row r="24796" ht="15" customHeight="1" x14ac:dyDescent="0.25"/>
    <row r="24797" ht="15" customHeight="1" x14ac:dyDescent="0.25"/>
    <row r="24798" ht="15" customHeight="1" x14ac:dyDescent="0.25"/>
    <row r="24799" ht="15" customHeight="1" x14ac:dyDescent="0.25"/>
    <row r="24800" ht="15" customHeight="1" x14ac:dyDescent="0.25"/>
    <row r="24801" ht="15" customHeight="1" x14ac:dyDescent="0.25"/>
    <row r="24802" ht="15" customHeight="1" x14ac:dyDescent="0.25"/>
    <row r="24803" ht="15" customHeight="1" x14ac:dyDescent="0.25"/>
    <row r="24804" ht="15" customHeight="1" x14ac:dyDescent="0.25"/>
    <row r="24805" ht="15" customHeight="1" x14ac:dyDescent="0.25"/>
    <row r="24806" ht="15" customHeight="1" x14ac:dyDescent="0.25"/>
    <row r="24807" ht="15" customHeight="1" x14ac:dyDescent="0.25"/>
    <row r="24808" ht="15" customHeight="1" x14ac:dyDescent="0.25"/>
    <row r="24809" ht="15" customHeight="1" x14ac:dyDescent="0.25"/>
    <row r="24810" ht="15" customHeight="1" x14ac:dyDescent="0.25"/>
    <row r="24811" ht="15" customHeight="1" x14ac:dyDescent="0.25"/>
    <row r="24812" ht="15" customHeight="1" x14ac:dyDescent="0.25"/>
    <row r="24813" ht="15" customHeight="1" x14ac:dyDescent="0.25"/>
    <row r="24814" ht="15" customHeight="1" x14ac:dyDescent="0.25"/>
    <row r="24815" ht="15" customHeight="1" x14ac:dyDescent="0.25"/>
    <row r="24816" ht="15" customHeight="1" x14ac:dyDescent="0.25"/>
    <row r="24817" ht="15" customHeight="1" x14ac:dyDescent="0.25"/>
    <row r="24818" ht="15" customHeight="1" x14ac:dyDescent="0.25"/>
    <row r="24819" ht="15" customHeight="1" x14ac:dyDescent="0.25"/>
    <row r="24820" ht="15" customHeight="1" x14ac:dyDescent="0.25"/>
    <row r="24821" ht="15" customHeight="1" x14ac:dyDescent="0.25"/>
    <row r="24822" ht="15" customHeight="1" x14ac:dyDescent="0.25"/>
    <row r="24823" ht="15" customHeight="1" x14ac:dyDescent="0.25"/>
    <row r="24824" ht="15" customHeight="1" x14ac:dyDescent="0.25"/>
    <row r="24825" ht="15" customHeight="1" x14ac:dyDescent="0.25"/>
    <row r="24826" ht="15" customHeight="1" x14ac:dyDescent="0.25"/>
    <row r="24827" ht="15" customHeight="1" x14ac:dyDescent="0.25"/>
    <row r="24828" ht="15" customHeight="1" x14ac:dyDescent="0.25"/>
    <row r="24829" ht="15" customHeight="1" x14ac:dyDescent="0.25"/>
    <row r="24830" ht="15" customHeight="1" x14ac:dyDescent="0.25"/>
    <row r="24831" ht="15" customHeight="1" x14ac:dyDescent="0.25"/>
    <row r="24832" ht="15" customHeight="1" x14ac:dyDescent="0.25"/>
    <row r="24833" ht="15" customHeight="1" x14ac:dyDescent="0.25"/>
    <row r="24834" ht="15" customHeight="1" x14ac:dyDescent="0.25"/>
    <row r="24835" ht="15" customHeight="1" x14ac:dyDescent="0.25"/>
    <row r="24836" ht="15" customHeight="1" x14ac:dyDescent="0.25"/>
    <row r="24837" ht="15" customHeight="1" x14ac:dyDescent="0.25"/>
    <row r="24838" ht="15" customHeight="1" x14ac:dyDescent="0.25"/>
    <row r="24839" ht="15" customHeight="1" x14ac:dyDescent="0.25"/>
    <row r="24840" ht="15" customHeight="1" x14ac:dyDescent="0.25"/>
    <row r="24841" ht="15" customHeight="1" x14ac:dyDescent="0.25"/>
    <row r="24842" ht="15" customHeight="1" x14ac:dyDescent="0.25"/>
    <row r="24843" ht="15" customHeight="1" x14ac:dyDescent="0.25"/>
    <row r="24844" ht="15" customHeight="1" x14ac:dyDescent="0.25"/>
    <row r="24845" ht="15" customHeight="1" x14ac:dyDescent="0.25"/>
    <row r="24846" ht="15" customHeight="1" x14ac:dyDescent="0.25"/>
    <row r="24847" ht="15" customHeight="1" x14ac:dyDescent="0.25"/>
    <row r="24848" ht="15" customHeight="1" x14ac:dyDescent="0.25"/>
    <row r="24849" ht="15" customHeight="1" x14ac:dyDescent="0.25"/>
    <row r="24850" ht="15" customHeight="1" x14ac:dyDescent="0.25"/>
    <row r="24851" ht="15" customHeight="1" x14ac:dyDescent="0.25"/>
    <row r="24852" ht="15" customHeight="1" x14ac:dyDescent="0.25"/>
    <row r="24853" ht="15" customHeight="1" x14ac:dyDescent="0.25"/>
    <row r="24854" ht="15" customHeight="1" x14ac:dyDescent="0.25"/>
    <row r="24855" ht="15" customHeight="1" x14ac:dyDescent="0.25"/>
    <row r="24856" ht="15" customHeight="1" x14ac:dyDescent="0.25"/>
    <row r="24857" ht="15" customHeight="1" x14ac:dyDescent="0.25"/>
    <row r="24858" ht="15" customHeight="1" x14ac:dyDescent="0.25"/>
    <row r="24859" ht="15" customHeight="1" x14ac:dyDescent="0.25"/>
    <row r="24860" ht="15" customHeight="1" x14ac:dyDescent="0.25"/>
    <row r="24861" ht="15" customHeight="1" x14ac:dyDescent="0.25"/>
    <row r="24862" ht="15" customHeight="1" x14ac:dyDescent="0.25"/>
    <row r="24863" ht="15" customHeight="1" x14ac:dyDescent="0.25"/>
    <row r="24864" ht="15" customHeight="1" x14ac:dyDescent="0.25"/>
    <row r="24865" ht="15" customHeight="1" x14ac:dyDescent="0.25"/>
    <row r="24866" ht="15" customHeight="1" x14ac:dyDescent="0.25"/>
    <row r="24867" ht="15" customHeight="1" x14ac:dyDescent="0.25"/>
    <row r="24868" ht="15" customHeight="1" x14ac:dyDescent="0.25"/>
    <row r="24869" ht="15" customHeight="1" x14ac:dyDescent="0.25"/>
    <row r="24870" ht="15" customHeight="1" x14ac:dyDescent="0.25"/>
    <row r="24871" ht="15" customHeight="1" x14ac:dyDescent="0.25"/>
    <row r="24872" ht="15" customHeight="1" x14ac:dyDescent="0.25"/>
    <row r="24873" ht="15" customHeight="1" x14ac:dyDescent="0.25"/>
    <row r="24874" ht="15" customHeight="1" x14ac:dyDescent="0.25"/>
    <row r="24875" ht="15" customHeight="1" x14ac:dyDescent="0.25"/>
    <row r="24876" ht="15" customHeight="1" x14ac:dyDescent="0.25"/>
    <row r="24877" ht="15" customHeight="1" x14ac:dyDescent="0.25"/>
    <row r="24878" ht="15" customHeight="1" x14ac:dyDescent="0.25"/>
    <row r="24879" ht="15" customHeight="1" x14ac:dyDescent="0.25"/>
    <row r="24880" ht="15" customHeight="1" x14ac:dyDescent="0.25"/>
    <row r="24881" ht="15" customHeight="1" x14ac:dyDescent="0.25"/>
    <row r="24882" ht="15" customHeight="1" x14ac:dyDescent="0.25"/>
    <row r="24883" ht="15" customHeight="1" x14ac:dyDescent="0.25"/>
    <row r="24884" ht="15" customHeight="1" x14ac:dyDescent="0.25"/>
    <row r="24885" ht="15" customHeight="1" x14ac:dyDescent="0.25"/>
    <row r="24886" ht="15" customHeight="1" x14ac:dyDescent="0.25"/>
    <row r="24887" ht="15" customHeight="1" x14ac:dyDescent="0.25"/>
    <row r="24888" ht="15" customHeight="1" x14ac:dyDescent="0.25"/>
    <row r="24889" ht="15" customHeight="1" x14ac:dyDescent="0.25"/>
    <row r="24890" ht="15" customHeight="1" x14ac:dyDescent="0.25"/>
    <row r="24891" ht="15" customHeight="1" x14ac:dyDescent="0.25"/>
    <row r="24892" ht="15" customHeight="1" x14ac:dyDescent="0.25"/>
    <row r="24893" ht="15" customHeight="1" x14ac:dyDescent="0.25"/>
    <row r="24894" ht="15" customHeight="1" x14ac:dyDescent="0.25"/>
    <row r="24895" ht="15" customHeight="1" x14ac:dyDescent="0.25"/>
    <row r="24896" ht="15" customHeight="1" x14ac:dyDescent="0.25"/>
    <row r="24897" ht="15" customHeight="1" x14ac:dyDescent="0.25"/>
    <row r="24898" ht="15" customHeight="1" x14ac:dyDescent="0.25"/>
    <row r="24899" ht="15" customHeight="1" x14ac:dyDescent="0.25"/>
    <row r="24900" ht="15" customHeight="1" x14ac:dyDescent="0.25"/>
    <row r="24901" ht="15" customHeight="1" x14ac:dyDescent="0.25"/>
    <row r="24902" ht="15" customHeight="1" x14ac:dyDescent="0.25"/>
    <row r="24903" ht="15" customHeight="1" x14ac:dyDescent="0.25"/>
    <row r="24904" ht="15" customHeight="1" x14ac:dyDescent="0.25"/>
    <row r="24905" ht="15" customHeight="1" x14ac:dyDescent="0.25"/>
    <row r="24906" ht="15" customHeight="1" x14ac:dyDescent="0.25"/>
    <row r="24907" ht="15" customHeight="1" x14ac:dyDescent="0.25"/>
    <row r="24908" ht="15" customHeight="1" x14ac:dyDescent="0.25"/>
    <row r="24909" ht="15" customHeight="1" x14ac:dyDescent="0.25"/>
    <row r="24910" ht="15" customHeight="1" x14ac:dyDescent="0.25"/>
    <row r="24911" ht="15" customHeight="1" x14ac:dyDescent="0.25"/>
    <row r="24912" ht="15" customHeight="1" x14ac:dyDescent="0.25"/>
    <row r="24913" ht="15" customHeight="1" x14ac:dyDescent="0.25"/>
    <row r="24914" ht="15" customHeight="1" x14ac:dyDescent="0.25"/>
    <row r="24915" ht="15" customHeight="1" x14ac:dyDescent="0.25"/>
    <row r="24916" ht="15" customHeight="1" x14ac:dyDescent="0.25"/>
    <row r="24917" ht="15" customHeight="1" x14ac:dyDescent="0.25"/>
    <row r="24918" ht="15" customHeight="1" x14ac:dyDescent="0.25"/>
    <row r="24919" ht="15" customHeight="1" x14ac:dyDescent="0.25"/>
    <row r="24920" ht="15" customHeight="1" x14ac:dyDescent="0.25"/>
    <row r="24921" ht="15" customHeight="1" x14ac:dyDescent="0.25"/>
    <row r="24922" ht="15" customHeight="1" x14ac:dyDescent="0.25"/>
    <row r="24923" ht="15" customHeight="1" x14ac:dyDescent="0.25"/>
    <row r="24924" ht="15" customHeight="1" x14ac:dyDescent="0.25"/>
    <row r="24925" ht="15" customHeight="1" x14ac:dyDescent="0.25"/>
    <row r="24926" ht="15" customHeight="1" x14ac:dyDescent="0.25"/>
    <row r="24927" ht="15" customHeight="1" x14ac:dyDescent="0.25"/>
    <row r="24928" ht="15" customHeight="1" x14ac:dyDescent="0.25"/>
    <row r="24929" ht="15" customHeight="1" x14ac:dyDescent="0.25"/>
    <row r="24930" ht="15" customHeight="1" x14ac:dyDescent="0.25"/>
    <row r="24931" ht="15" customHeight="1" x14ac:dyDescent="0.25"/>
    <row r="24932" ht="15" customHeight="1" x14ac:dyDescent="0.25"/>
    <row r="24933" ht="15" customHeight="1" x14ac:dyDescent="0.25"/>
    <row r="24934" ht="15" customHeight="1" x14ac:dyDescent="0.25"/>
    <row r="24935" ht="15" customHeight="1" x14ac:dyDescent="0.25"/>
    <row r="24936" ht="15" customHeight="1" x14ac:dyDescent="0.25"/>
    <row r="24937" ht="15" customHeight="1" x14ac:dyDescent="0.25"/>
    <row r="24938" ht="15" customHeight="1" x14ac:dyDescent="0.25"/>
    <row r="24939" ht="15" customHeight="1" x14ac:dyDescent="0.25"/>
    <row r="24940" ht="15" customHeight="1" x14ac:dyDescent="0.25"/>
    <row r="24941" ht="15" customHeight="1" x14ac:dyDescent="0.25"/>
    <row r="24942" ht="15" customHeight="1" x14ac:dyDescent="0.25"/>
    <row r="24943" ht="15" customHeight="1" x14ac:dyDescent="0.25"/>
    <row r="24944" ht="15" customHeight="1" x14ac:dyDescent="0.25"/>
    <row r="24945" ht="15" customHeight="1" x14ac:dyDescent="0.25"/>
    <row r="24946" ht="15" customHeight="1" x14ac:dyDescent="0.25"/>
    <row r="24947" ht="15" customHeight="1" x14ac:dyDescent="0.25"/>
    <row r="24948" ht="15" customHeight="1" x14ac:dyDescent="0.25"/>
    <row r="24949" ht="15" customHeight="1" x14ac:dyDescent="0.25"/>
    <row r="24950" ht="15" customHeight="1" x14ac:dyDescent="0.25"/>
    <row r="24951" ht="15" customHeight="1" x14ac:dyDescent="0.25"/>
    <row r="24952" ht="15" customHeight="1" x14ac:dyDescent="0.25"/>
    <row r="24953" ht="15" customHeight="1" x14ac:dyDescent="0.25"/>
    <row r="24954" ht="15" customHeight="1" x14ac:dyDescent="0.25"/>
    <row r="24955" ht="15" customHeight="1" x14ac:dyDescent="0.25"/>
    <row r="24956" ht="15" customHeight="1" x14ac:dyDescent="0.25"/>
    <row r="24957" ht="15" customHeight="1" x14ac:dyDescent="0.25"/>
    <row r="24958" ht="15" customHeight="1" x14ac:dyDescent="0.25"/>
    <row r="24959" ht="15" customHeight="1" x14ac:dyDescent="0.25"/>
    <row r="24960" ht="15" customHeight="1" x14ac:dyDescent="0.25"/>
    <row r="24961" ht="15" customHeight="1" x14ac:dyDescent="0.25"/>
    <row r="24962" ht="15" customHeight="1" x14ac:dyDescent="0.25"/>
    <row r="24963" ht="15" customHeight="1" x14ac:dyDescent="0.25"/>
    <row r="24964" ht="15" customHeight="1" x14ac:dyDescent="0.25"/>
    <row r="24965" ht="15" customHeight="1" x14ac:dyDescent="0.25"/>
    <row r="24966" ht="15" customHeight="1" x14ac:dyDescent="0.25"/>
    <row r="24967" ht="15" customHeight="1" x14ac:dyDescent="0.25"/>
    <row r="24968" ht="15" customHeight="1" x14ac:dyDescent="0.25"/>
    <row r="24969" ht="15" customHeight="1" x14ac:dyDescent="0.25"/>
    <row r="24970" ht="15" customHeight="1" x14ac:dyDescent="0.25"/>
    <row r="24971" ht="15" customHeight="1" x14ac:dyDescent="0.25"/>
    <row r="24972" ht="15" customHeight="1" x14ac:dyDescent="0.25"/>
    <row r="24973" ht="15" customHeight="1" x14ac:dyDescent="0.25"/>
    <row r="24974" ht="15" customHeight="1" x14ac:dyDescent="0.25"/>
    <row r="24975" ht="15" customHeight="1" x14ac:dyDescent="0.25"/>
    <row r="24976" ht="15" customHeight="1" x14ac:dyDescent="0.25"/>
    <row r="24977" ht="15" customHeight="1" x14ac:dyDescent="0.25"/>
    <row r="24978" ht="15" customHeight="1" x14ac:dyDescent="0.25"/>
    <row r="24979" ht="15" customHeight="1" x14ac:dyDescent="0.25"/>
    <row r="24980" ht="15" customHeight="1" x14ac:dyDescent="0.25"/>
    <row r="24981" ht="15" customHeight="1" x14ac:dyDescent="0.25"/>
    <row r="24982" ht="15" customHeight="1" x14ac:dyDescent="0.25"/>
    <row r="24983" ht="15" customHeight="1" x14ac:dyDescent="0.25"/>
    <row r="24984" ht="15" customHeight="1" x14ac:dyDescent="0.25"/>
    <row r="24985" ht="15" customHeight="1" x14ac:dyDescent="0.25"/>
    <row r="24986" ht="15" customHeight="1" x14ac:dyDescent="0.25"/>
    <row r="24987" ht="15" customHeight="1" x14ac:dyDescent="0.25"/>
    <row r="24988" ht="15" customHeight="1" x14ac:dyDescent="0.25"/>
    <row r="24989" ht="15" customHeight="1" x14ac:dyDescent="0.25"/>
    <row r="24990" ht="15" customHeight="1" x14ac:dyDescent="0.25"/>
    <row r="24991" ht="15" customHeight="1" x14ac:dyDescent="0.25"/>
    <row r="24992" ht="15" customHeight="1" x14ac:dyDescent="0.25"/>
    <row r="24993" ht="15" customHeight="1" x14ac:dyDescent="0.25"/>
    <row r="24994" ht="15" customHeight="1" x14ac:dyDescent="0.25"/>
    <row r="24995" ht="15" customHeight="1" x14ac:dyDescent="0.25"/>
    <row r="24996" ht="15" customHeight="1" x14ac:dyDescent="0.25"/>
    <row r="24997" ht="15" customHeight="1" x14ac:dyDescent="0.25"/>
    <row r="24998" ht="15" customHeight="1" x14ac:dyDescent="0.25"/>
    <row r="24999" ht="15" customHeight="1" x14ac:dyDescent="0.25"/>
    <row r="25000" ht="15" customHeight="1" x14ac:dyDescent="0.25"/>
    <row r="25001" ht="15" customHeight="1" x14ac:dyDescent="0.25"/>
    <row r="25002" ht="15" customHeight="1" x14ac:dyDescent="0.25"/>
    <row r="25003" ht="15" customHeight="1" x14ac:dyDescent="0.25"/>
    <row r="25004" ht="15" customHeight="1" x14ac:dyDescent="0.25"/>
    <row r="25005" ht="15" customHeight="1" x14ac:dyDescent="0.25"/>
    <row r="25006" ht="15" customHeight="1" x14ac:dyDescent="0.25"/>
    <row r="25007" ht="15" customHeight="1" x14ac:dyDescent="0.25"/>
    <row r="25008" ht="15" customHeight="1" x14ac:dyDescent="0.25"/>
    <row r="25009" ht="15" customHeight="1" x14ac:dyDescent="0.25"/>
    <row r="25010" ht="15" customHeight="1" x14ac:dyDescent="0.25"/>
    <row r="25011" ht="15" customHeight="1" x14ac:dyDescent="0.25"/>
    <row r="25012" ht="15" customHeight="1" x14ac:dyDescent="0.25"/>
    <row r="25013" ht="15" customHeight="1" x14ac:dyDescent="0.25"/>
    <row r="25014" ht="15" customHeight="1" x14ac:dyDescent="0.25"/>
    <row r="25015" ht="15" customHeight="1" x14ac:dyDescent="0.25"/>
    <row r="25016" ht="15" customHeight="1" x14ac:dyDescent="0.25"/>
    <row r="25017" ht="15" customHeight="1" x14ac:dyDescent="0.25"/>
    <row r="25018" ht="15" customHeight="1" x14ac:dyDescent="0.25"/>
    <row r="25019" ht="15" customHeight="1" x14ac:dyDescent="0.25"/>
    <row r="25020" ht="15" customHeight="1" x14ac:dyDescent="0.25"/>
    <row r="25021" ht="15" customHeight="1" x14ac:dyDescent="0.25"/>
    <row r="25022" ht="15" customHeight="1" x14ac:dyDescent="0.25"/>
    <row r="25023" ht="15" customHeight="1" x14ac:dyDescent="0.25"/>
    <row r="25024" ht="15" customHeight="1" x14ac:dyDescent="0.25"/>
    <row r="25025" ht="15" customHeight="1" x14ac:dyDescent="0.25"/>
    <row r="25026" ht="15" customHeight="1" x14ac:dyDescent="0.25"/>
    <row r="25027" ht="15" customHeight="1" x14ac:dyDescent="0.25"/>
    <row r="25028" ht="15" customHeight="1" x14ac:dyDescent="0.25"/>
    <row r="25029" ht="15" customHeight="1" x14ac:dyDescent="0.25"/>
    <row r="25030" ht="15" customHeight="1" x14ac:dyDescent="0.25"/>
    <row r="25031" ht="15" customHeight="1" x14ac:dyDescent="0.25"/>
    <row r="25032" ht="15" customHeight="1" x14ac:dyDescent="0.25"/>
    <row r="25033" ht="15" customHeight="1" x14ac:dyDescent="0.25"/>
    <row r="25034" ht="15" customHeight="1" x14ac:dyDescent="0.25"/>
    <row r="25035" ht="15" customHeight="1" x14ac:dyDescent="0.25"/>
    <row r="25036" ht="15" customHeight="1" x14ac:dyDescent="0.25"/>
    <row r="25037" ht="15" customHeight="1" x14ac:dyDescent="0.25"/>
    <row r="25038" ht="15" customHeight="1" x14ac:dyDescent="0.25"/>
    <row r="25039" ht="15" customHeight="1" x14ac:dyDescent="0.25"/>
    <row r="25040" ht="15" customHeight="1" x14ac:dyDescent="0.25"/>
    <row r="25041" ht="15" customHeight="1" x14ac:dyDescent="0.25"/>
    <row r="25042" ht="15" customHeight="1" x14ac:dyDescent="0.25"/>
    <row r="25043" ht="15" customHeight="1" x14ac:dyDescent="0.25"/>
    <row r="25044" ht="15" customHeight="1" x14ac:dyDescent="0.25"/>
    <row r="25045" ht="15" customHeight="1" x14ac:dyDescent="0.25"/>
    <row r="25046" ht="15" customHeight="1" x14ac:dyDescent="0.25"/>
    <row r="25047" ht="15" customHeight="1" x14ac:dyDescent="0.25"/>
    <row r="25048" ht="15" customHeight="1" x14ac:dyDescent="0.25"/>
    <row r="25049" ht="15" customHeight="1" x14ac:dyDescent="0.25"/>
    <row r="25050" ht="15" customHeight="1" x14ac:dyDescent="0.25"/>
    <row r="25051" ht="15" customHeight="1" x14ac:dyDescent="0.25"/>
    <row r="25052" ht="15" customHeight="1" x14ac:dyDescent="0.25"/>
    <row r="25053" ht="15" customHeight="1" x14ac:dyDescent="0.25"/>
    <row r="25054" ht="15" customHeight="1" x14ac:dyDescent="0.25"/>
    <row r="25055" ht="15" customHeight="1" x14ac:dyDescent="0.25"/>
    <row r="25056" ht="15" customHeight="1" x14ac:dyDescent="0.25"/>
    <row r="25057" ht="15" customHeight="1" x14ac:dyDescent="0.25"/>
    <row r="25058" ht="15" customHeight="1" x14ac:dyDescent="0.25"/>
    <row r="25059" ht="15" customHeight="1" x14ac:dyDescent="0.25"/>
    <row r="25060" ht="15" customHeight="1" x14ac:dyDescent="0.25"/>
    <row r="25061" ht="15" customHeight="1" x14ac:dyDescent="0.25"/>
    <row r="25062" ht="15" customHeight="1" x14ac:dyDescent="0.25"/>
    <row r="25063" ht="15" customHeight="1" x14ac:dyDescent="0.25"/>
    <row r="25064" ht="15" customHeight="1" x14ac:dyDescent="0.25"/>
    <row r="25065" ht="15" customHeight="1" x14ac:dyDescent="0.25"/>
    <row r="25066" ht="15" customHeight="1" x14ac:dyDescent="0.25"/>
    <row r="25067" ht="15" customHeight="1" x14ac:dyDescent="0.25"/>
    <row r="25068" ht="15" customHeight="1" x14ac:dyDescent="0.25"/>
    <row r="25069" ht="15" customHeight="1" x14ac:dyDescent="0.25"/>
    <row r="25070" ht="15" customHeight="1" x14ac:dyDescent="0.25"/>
    <row r="25071" ht="15" customHeight="1" x14ac:dyDescent="0.25"/>
    <row r="25072" ht="15" customHeight="1" x14ac:dyDescent="0.25"/>
    <row r="25073" ht="15" customHeight="1" x14ac:dyDescent="0.25"/>
    <row r="25074" ht="15" customHeight="1" x14ac:dyDescent="0.25"/>
    <row r="25075" ht="15" customHeight="1" x14ac:dyDescent="0.25"/>
    <row r="25076" ht="15" customHeight="1" x14ac:dyDescent="0.25"/>
    <row r="25077" ht="15" customHeight="1" x14ac:dyDescent="0.25"/>
    <row r="25078" ht="15" customHeight="1" x14ac:dyDescent="0.25"/>
    <row r="25079" ht="15" customHeight="1" x14ac:dyDescent="0.25"/>
    <row r="25080" ht="15" customHeight="1" x14ac:dyDescent="0.25"/>
    <row r="25081" ht="15" customHeight="1" x14ac:dyDescent="0.25"/>
    <row r="25082" ht="15" customHeight="1" x14ac:dyDescent="0.25"/>
    <row r="25083" ht="15" customHeight="1" x14ac:dyDescent="0.25"/>
    <row r="25084" ht="15" customHeight="1" x14ac:dyDescent="0.25"/>
    <row r="25085" ht="15" customHeight="1" x14ac:dyDescent="0.25"/>
    <row r="25086" ht="15" customHeight="1" x14ac:dyDescent="0.25"/>
    <row r="25087" ht="15" customHeight="1" x14ac:dyDescent="0.25"/>
    <row r="25088" ht="15" customHeight="1" x14ac:dyDescent="0.25"/>
    <row r="25089" ht="15" customHeight="1" x14ac:dyDescent="0.25"/>
    <row r="25090" ht="15" customHeight="1" x14ac:dyDescent="0.25"/>
    <row r="25091" ht="15" customHeight="1" x14ac:dyDescent="0.25"/>
    <row r="25092" ht="15" customHeight="1" x14ac:dyDescent="0.25"/>
    <row r="25093" ht="15" customHeight="1" x14ac:dyDescent="0.25"/>
    <row r="25094" ht="15" customHeight="1" x14ac:dyDescent="0.25"/>
    <row r="25095" ht="15" customHeight="1" x14ac:dyDescent="0.25"/>
    <row r="25096" ht="15" customHeight="1" x14ac:dyDescent="0.25"/>
    <row r="25097" ht="15" customHeight="1" x14ac:dyDescent="0.25"/>
    <row r="25098" ht="15" customHeight="1" x14ac:dyDescent="0.25"/>
    <row r="25099" ht="15" customHeight="1" x14ac:dyDescent="0.25"/>
    <row r="25100" ht="15" customHeight="1" x14ac:dyDescent="0.25"/>
    <row r="25101" ht="15" customHeight="1" x14ac:dyDescent="0.25"/>
    <row r="25102" ht="15" customHeight="1" x14ac:dyDescent="0.25"/>
    <row r="25103" ht="15" customHeight="1" x14ac:dyDescent="0.25"/>
    <row r="25104" ht="15" customHeight="1" x14ac:dyDescent="0.25"/>
    <row r="25105" ht="15" customHeight="1" x14ac:dyDescent="0.25"/>
    <row r="25106" ht="15" customHeight="1" x14ac:dyDescent="0.25"/>
    <row r="25107" ht="15" customHeight="1" x14ac:dyDescent="0.25"/>
    <row r="25108" ht="15" customHeight="1" x14ac:dyDescent="0.25"/>
    <row r="25109" ht="15" customHeight="1" x14ac:dyDescent="0.25"/>
    <row r="25110" ht="15" customHeight="1" x14ac:dyDescent="0.25"/>
    <row r="25111" ht="15" customHeight="1" x14ac:dyDescent="0.25"/>
    <row r="25112" ht="15" customHeight="1" x14ac:dyDescent="0.25"/>
    <row r="25113" ht="15" customHeight="1" x14ac:dyDescent="0.25"/>
    <row r="25114" ht="15" customHeight="1" x14ac:dyDescent="0.25"/>
    <row r="25115" ht="15" customHeight="1" x14ac:dyDescent="0.25"/>
    <row r="25116" ht="15" customHeight="1" x14ac:dyDescent="0.25"/>
    <row r="25117" ht="15" customHeight="1" x14ac:dyDescent="0.25"/>
    <row r="25118" ht="15" customHeight="1" x14ac:dyDescent="0.25"/>
    <row r="25119" ht="15" customHeight="1" x14ac:dyDescent="0.25"/>
    <row r="25120" ht="15" customHeight="1" x14ac:dyDescent="0.25"/>
    <row r="25121" ht="15" customHeight="1" x14ac:dyDescent="0.25"/>
    <row r="25122" ht="15" customHeight="1" x14ac:dyDescent="0.25"/>
    <row r="25123" ht="15" customHeight="1" x14ac:dyDescent="0.25"/>
    <row r="25124" ht="15" customHeight="1" x14ac:dyDescent="0.25"/>
    <row r="25125" ht="15" customHeight="1" x14ac:dyDescent="0.25"/>
    <row r="25126" ht="15" customHeight="1" x14ac:dyDescent="0.25"/>
    <row r="25127" ht="15" customHeight="1" x14ac:dyDescent="0.25"/>
    <row r="25128" ht="15" customHeight="1" x14ac:dyDescent="0.25"/>
    <row r="25129" ht="15" customHeight="1" x14ac:dyDescent="0.25"/>
    <row r="25130" ht="15" customHeight="1" x14ac:dyDescent="0.25"/>
    <row r="25131" ht="15" customHeight="1" x14ac:dyDescent="0.25"/>
    <row r="25132" ht="15" customHeight="1" x14ac:dyDescent="0.25"/>
    <row r="25133" ht="15" customHeight="1" x14ac:dyDescent="0.25"/>
    <row r="25134" ht="15" customHeight="1" x14ac:dyDescent="0.25"/>
    <row r="25135" ht="15" customHeight="1" x14ac:dyDescent="0.25"/>
    <row r="25136" ht="15" customHeight="1" x14ac:dyDescent="0.25"/>
    <row r="25137" ht="15" customHeight="1" x14ac:dyDescent="0.25"/>
    <row r="25138" ht="15" customHeight="1" x14ac:dyDescent="0.25"/>
    <row r="25139" ht="15" customHeight="1" x14ac:dyDescent="0.25"/>
    <row r="25140" ht="15" customHeight="1" x14ac:dyDescent="0.25"/>
    <row r="25141" ht="15" customHeight="1" x14ac:dyDescent="0.25"/>
    <row r="25142" ht="15" customHeight="1" x14ac:dyDescent="0.25"/>
    <row r="25143" ht="15" customHeight="1" x14ac:dyDescent="0.25"/>
    <row r="25144" ht="15" customHeight="1" x14ac:dyDescent="0.25"/>
    <row r="25145" ht="15" customHeight="1" x14ac:dyDescent="0.25"/>
    <row r="25146" ht="15" customHeight="1" x14ac:dyDescent="0.25"/>
    <row r="25147" ht="15" customHeight="1" x14ac:dyDescent="0.25"/>
    <row r="25148" ht="15" customHeight="1" x14ac:dyDescent="0.25"/>
    <row r="25149" ht="15" customHeight="1" x14ac:dyDescent="0.25"/>
    <row r="25150" ht="15" customHeight="1" x14ac:dyDescent="0.25"/>
    <row r="25151" ht="15" customHeight="1" x14ac:dyDescent="0.25"/>
    <row r="25152" ht="15" customHeight="1" x14ac:dyDescent="0.25"/>
    <row r="25153" ht="15" customHeight="1" x14ac:dyDescent="0.25"/>
    <row r="25154" ht="15" customHeight="1" x14ac:dyDescent="0.25"/>
    <row r="25155" ht="15" customHeight="1" x14ac:dyDescent="0.25"/>
    <row r="25156" ht="15" customHeight="1" x14ac:dyDescent="0.25"/>
    <row r="25157" ht="15" customHeight="1" x14ac:dyDescent="0.25"/>
    <row r="25158" ht="15" customHeight="1" x14ac:dyDescent="0.25"/>
    <row r="25159" ht="15" customHeight="1" x14ac:dyDescent="0.25"/>
    <row r="25160" ht="15" customHeight="1" x14ac:dyDescent="0.25"/>
    <row r="25161" ht="15" customHeight="1" x14ac:dyDescent="0.25"/>
    <row r="25162" ht="15" customHeight="1" x14ac:dyDescent="0.25"/>
    <row r="25163" ht="15" customHeight="1" x14ac:dyDescent="0.25"/>
    <row r="25164" ht="15" customHeight="1" x14ac:dyDescent="0.25"/>
    <row r="25165" ht="15" customHeight="1" x14ac:dyDescent="0.25"/>
    <row r="25166" ht="15" customHeight="1" x14ac:dyDescent="0.25"/>
    <row r="25167" ht="15" customHeight="1" x14ac:dyDescent="0.25"/>
    <row r="25168" ht="15" customHeight="1" x14ac:dyDescent="0.25"/>
    <row r="25169" ht="15" customHeight="1" x14ac:dyDescent="0.25"/>
    <row r="25170" ht="15" customHeight="1" x14ac:dyDescent="0.25"/>
    <row r="25171" ht="15" customHeight="1" x14ac:dyDescent="0.25"/>
    <row r="25172" ht="15" customHeight="1" x14ac:dyDescent="0.25"/>
    <row r="25173" ht="15" customHeight="1" x14ac:dyDescent="0.25"/>
    <row r="25174" ht="15" customHeight="1" x14ac:dyDescent="0.25"/>
    <row r="25175" ht="15" customHeight="1" x14ac:dyDescent="0.25"/>
    <row r="25176" ht="15" customHeight="1" x14ac:dyDescent="0.25"/>
    <row r="25177" ht="15" customHeight="1" x14ac:dyDescent="0.25"/>
    <row r="25178" ht="15" customHeight="1" x14ac:dyDescent="0.25"/>
    <row r="25179" ht="15" customHeight="1" x14ac:dyDescent="0.25"/>
    <row r="25180" ht="15" customHeight="1" x14ac:dyDescent="0.25"/>
    <row r="25181" ht="15" customHeight="1" x14ac:dyDescent="0.25"/>
    <row r="25182" ht="15" customHeight="1" x14ac:dyDescent="0.25"/>
    <row r="25183" ht="15" customHeight="1" x14ac:dyDescent="0.25"/>
    <row r="25184" ht="15" customHeight="1" x14ac:dyDescent="0.25"/>
    <row r="25185" ht="15" customHeight="1" x14ac:dyDescent="0.25"/>
    <row r="25186" ht="15" customHeight="1" x14ac:dyDescent="0.25"/>
    <row r="25187" ht="15" customHeight="1" x14ac:dyDescent="0.25"/>
    <row r="25188" ht="15" customHeight="1" x14ac:dyDescent="0.25"/>
    <row r="25189" ht="15" customHeight="1" x14ac:dyDescent="0.25"/>
    <row r="25190" ht="15" customHeight="1" x14ac:dyDescent="0.25"/>
    <row r="25191" ht="15" customHeight="1" x14ac:dyDescent="0.25"/>
    <row r="25192" ht="15" customHeight="1" x14ac:dyDescent="0.25"/>
    <row r="25193" ht="15" customHeight="1" x14ac:dyDescent="0.25"/>
    <row r="25194" ht="15" customHeight="1" x14ac:dyDescent="0.25"/>
    <row r="25195" ht="15" customHeight="1" x14ac:dyDescent="0.25"/>
    <row r="25196" ht="15" customHeight="1" x14ac:dyDescent="0.25"/>
    <row r="25197" ht="15" customHeight="1" x14ac:dyDescent="0.25"/>
    <row r="25198" ht="15" customHeight="1" x14ac:dyDescent="0.25"/>
    <row r="25199" ht="15" customHeight="1" x14ac:dyDescent="0.25"/>
    <row r="25200" ht="15" customHeight="1" x14ac:dyDescent="0.25"/>
    <row r="25201" ht="15" customHeight="1" x14ac:dyDescent="0.25"/>
    <row r="25202" ht="15" customHeight="1" x14ac:dyDescent="0.25"/>
    <row r="25203" ht="15" customHeight="1" x14ac:dyDescent="0.25"/>
    <row r="25204" ht="15" customHeight="1" x14ac:dyDescent="0.25"/>
    <row r="25205" ht="15" customHeight="1" x14ac:dyDescent="0.25"/>
    <row r="25206" ht="15" customHeight="1" x14ac:dyDescent="0.25"/>
    <row r="25207" ht="15" customHeight="1" x14ac:dyDescent="0.25"/>
    <row r="25208" ht="15" customHeight="1" x14ac:dyDescent="0.25"/>
    <row r="25209" ht="15" customHeight="1" x14ac:dyDescent="0.25"/>
    <row r="25210" ht="15" customHeight="1" x14ac:dyDescent="0.25"/>
    <row r="25211" ht="15" customHeight="1" x14ac:dyDescent="0.25"/>
    <row r="25212" ht="15" customHeight="1" x14ac:dyDescent="0.25"/>
    <row r="25213" ht="15" customHeight="1" x14ac:dyDescent="0.25"/>
    <row r="25214" ht="15" customHeight="1" x14ac:dyDescent="0.25"/>
    <row r="25215" ht="15" customHeight="1" x14ac:dyDescent="0.25"/>
    <row r="25216" ht="15" customHeight="1" x14ac:dyDescent="0.25"/>
    <row r="25217" ht="15" customHeight="1" x14ac:dyDescent="0.25"/>
    <row r="25218" ht="15" customHeight="1" x14ac:dyDescent="0.25"/>
    <row r="25219" ht="15" customHeight="1" x14ac:dyDescent="0.25"/>
    <row r="25220" ht="15" customHeight="1" x14ac:dyDescent="0.25"/>
    <row r="25221" ht="15" customHeight="1" x14ac:dyDescent="0.25"/>
    <row r="25222" ht="15" customHeight="1" x14ac:dyDescent="0.25"/>
    <row r="25223" ht="15" customHeight="1" x14ac:dyDescent="0.25"/>
    <row r="25224" ht="15" customHeight="1" x14ac:dyDescent="0.25"/>
    <row r="25225" ht="15" customHeight="1" x14ac:dyDescent="0.25"/>
    <row r="25226" ht="15" customHeight="1" x14ac:dyDescent="0.25"/>
    <row r="25227" ht="15" customHeight="1" x14ac:dyDescent="0.25"/>
    <row r="25228" ht="15" customHeight="1" x14ac:dyDescent="0.25"/>
    <row r="25229" ht="15" customHeight="1" x14ac:dyDescent="0.25"/>
    <row r="25230" ht="15" customHeight="1" x14ac:dyDescent="0.25"/>
    <row r="25231" ht="15" customHeight="1" x14ac:dyDescent="0.25"/>
    <row r="25232" ht="15" customHeight="1" x14ac:dyDescent="0.25"/>
    <row r="25233" ht="15" customHeight="1" x14ac:dyDescent="0.25"/>
    <row r="25234" ht="15" customHeight="1" x14ac:dyDescent="0.25"/>
    <row r="25235" ht="15" customHeight="1" x14ac:dyDescent="0.25"/>
    <row r="25236" ht="15" customHeight="1" x14ac:dyDescent="0.25"/>
    <row r="25237" ht="15" customHeight="1" x14ac:dyDescent="0.25"/>
    <row r="25238" ht="15" customHeight="1" x14ac:dyDescent="0.25"/>
    <row r="25239" ht="15" customHeight="1" x14ac:dyDescent="0.25"/>
    <row r="25240" ht="15" customHeight="1" x14ac:dyDescent="0.25"/>
    <row r="25241" ht="15" customHeight="1" x14ac:dyDescent="0.25"/>
    <row r="25242" ht="15" customHeight="1" x14ac:dyDescent="0.25"/>
    <row r="25243" ht="15" customHeight="1" x14ac:dyDescent="0.25"/>
    <row r="25244" ht="15" customHeight="1" x14ac:dyDescent="0.25"/>
    <row r="25245" ht="15" customHeight="1" x14ac:dyDescent="0.25"/>
    <row r="25246" ht="15" customHeight="1" x14ac:dyDescent="0.25"/>
    <row r="25247" ht="15" customHeight="1" x14ac:dyDescent="0.25"/>
    <row r="25248" ht="15" customHeight="1" x14ac:dyDescent="0.25"/>
    <row r="25249" ht="15" customHeight="1" x14ac:dyDescent="0.25"/>
    <row r="25250" ht="15" customHeight="1" x14ac:dyDescent="0.25"/>
    <row r="25251" ht="15" customHeight="1" x14ac:dyDescent="0.25"/>
    <row r="25252" ht="15" customHeight="1" x14ac:dyDescent="0.25"/>
    <row r="25253" ht="15" customHeight="1" x14ac:dyDescent="0.25"/>
    <row r="25254" ht="15" customHeight="1" x14ac:dyDescent="0.25"/>
    <row r="25255" ht="15" customHeight="1" x14ac:dyDescent="0.25"/>
    <row r="25256" ht="15" customHeight="1" x14ac:dyDescent="0.25"/>
    <row r="25257" ht="15" customHeight="1" x14ac:dyDescent="0.25"/>
    <row r="25258" ht="15" customHeight="1" x14ac:dyDescent="0.25"/>
    <row r="25259" ht="15" customHeight="1" x14ac:dyDescent="0.25"/>
    <row r="25260" ht="15" customHeight="1" x14ac:dyDescent="0.25"/>
    <row r="25261" ht="15" customHeight="1" x14ac:dyDescent="0.25"/>
    <row r="25262" ht="15" customHeight="1" x14ac:dyDescent="0.25"/>
    <row r="25263" ht="15" customHeight="1" x14ac:dyDescent="0.25"/>
    <row r="25264" ht="15" customHeight="1" x14ac:dyDescent="0.25"/>
    <row r="25265" ht="15" customHeight="1" x14ac:dyDescent="0.25"/>
    <row r="25266" ht="15" customHeight="1" x14ac:dyDescent="0.25"/>
    <row r="25267" ht="15" customHeight="1" x14ac:dyDescent="0.25"/>
    <row r="25268" ht="15" customHeight="1" x14ac:dyDescent="0.25"/>
    <row r="25269" ht="15" customHeight="1" x14ac:dyDescent="0.25"/>
    <row r="25270" ht="15" customHeight="1" x14ac:dyDescent="0.25"/>
    <row r="25271" ht="15" customHeight="1" x14ac:dyDescent="0.25"/>
    <row r="25272" ht="15" customHeight="1" x14ac:dyDescent="0.25"/>
    <row r="25273" ht="15" customHeight="1" x14ac:dyDescent="0.25"/>
    <row r="25274" ht="15" customHeight="1" x14ac:dyDescent="0.25"/>
    <row r="25275" ht="15" customHeight="1" x14ac:dyDescent="0.25"/>
    <row r="25276" ht="15" customHeight="1" x14ac:dyDescent="0.25"/>
    <row r="25277" ht="15" customHeight="1" x14ac:dyDescent="0.25"/>
    <row r="25278" ht="15" customHeight="1" x14ac:dyDescent="0.25"/>
    <row r="25279" ht="15" customHeight="1" x14ac:dyDescent="0.25"/>
    <row r="25280" ht="15" customHeight="1" x14ac:dyDescent="0.25"/>
    <row r="25281" ht="15" customHeight="1" x14ac:dyDescent="0.25"/>
    <row r="25282" ht="15" customHeight="1" x14ac:dyDescent="0.25"/>
    <row r="25283" ht="15" customHeight="1" x14ac:dyDescent="0.25"/>
    <row r="25284" ht="15" customHeight="1" x14ac:dyDescent="0.25"/>
    <row r="25285" ht="15" customHeight="1" x14ac:dyDescent="0.25"/>
    <row r="25286" ht="15" customHeight="1" x14ac:dyDescent="0.25"/>
    <row r="25287" ht="15" customHeight="1" x14ac:dyDescent="0.25"/>
    <row r="25288" ht="15" customHeight="1" x14ac:dyDescent="0.25"/>
    <row r="25289" ht="15" customHeight="1" x14ac:dyDescent="0.25"/>
    <row r="25290" ht="15" customHeight="1" x14ac:dyDescent="0.25"/>
    <row r="25291" ht="15" customHeight="1" x14ac:dyDescent="0.25"/>
    <row r="25292" ht="15" customHeight="1" x14ac:dyDescent="0.25"/>
    <row r="25293" ht="15" customHeight="1" x14ac:dyDescent="0.25"/>
    <row r="25294" ht="15" customHeight="1" x14ac:dyDescent="0.25"/>
    <row r="25295" ht="15" customHeight="1" x14ac:dyDescent="0.25"/>
    <row r="25296" ht="15" customHeight="1" x14ac:dyDescent="0.25"/>
    <row r="25297" ht="15" customHeight="1" x14ac:dyDescent="0.25"/>
    <row r="25298" ht="15" customHeight="1" x14ac:dyDescent="0.25"/>
    <row r="25299" ht="15" customHeight="1" x14ac:dyDescent="0.25"/>
    <row r="25300" ht="15" customHeight="1" x14ac:dyDescent="0.25"/>
    <row r="25301" ht="15" customHeight="1" x14ac:dyDescent="0.25"/>
    <row r="25302" ht="15" customHeight="1" x14ac:dyDescent="0.25"/>
    <row r="25303" ht="15" customHeight="1" x14ac:dyDescent="0.25"/>
    <row r="25304" ht="15" customHeight="1" x14ac:dyDescent="0.25"/>
    <row r="25305" ht="15" customHeight="1" x14ac:dyDescent="0.25"/>
    <row r="25306" ht="15" customHeight="1" x14ac:dyDescent="0.25"/>
    <row r="25307" ht="15" customHeight="1" x14ac:dyDescent="0.25"/>
    <row r="25308" ht="15" customHeight="1" x14ac:dyDescent="0.25"/>
    <row r="25309" ht="15" customHeight="1" x14ac:dyDescent="0.25"/>
    <row r="25310" ht="15" customHeight="1" x14ac:dyDescent="0.25"/>
    <row r="25311" ht="15" customHeight="1" x14ac:dyDescent="0.25"/>
    <row r="25312" ht="15" customHeight="1" x14ac:dyDescent="0.25"/>
    <row r="25313" ht="15" customHeight="1" x14ac:dyDescent="0.25"/>
    <row r="25314" ht="15" customHeight="1" x14ac:dyDescent="0.25"/>
    <row r="25315" ht="15" customHeight="1" x14ac:dyDescent="0.25"/>
    <row r="25316" ht="15" customHeight="1" x14ac:dyDescent="0.25"/>
    <row r="25317" ht="15" customHeight="1" x14ac:dyDescent="0.25"/>
    <row r="25318" ht="15" customHeight="1" x14ac:dyDescent="0.25"/>
    <row r="25319" ht="15" customHeight="1" x14ac:dyDescent="0.25"/>
    <row r="25320" ht="15" customHeight="1" x14ac:dyDescent="0.25"/>
    <row r="25321" ht="15" customHeight="1" x14ac:dyDescent="0.25"/>
    <row r="25322" ht="15" customHeight="1" x14ac:dyDescent="0.25"/>
    <row r="25323" ht="15" customHeight="1" x14ac:dyDescent="0.25"/>
    <row r="25324" ht="15" customHeight="1" x14ac:dyDescent="0.25"/>
    <row r="25325" ht="15" customHeight="1" x14ac:dyDescent="0.25"/>
    <row r="25326" ht="15" customHeight="1" x14ac:dyDescent="0.25"/>
    <row r="25327" ht="15" customHeight="1" x14ac:dyDescent="0.25"/>
    <row r="25328" ht="15" customHeight="1" x14ac:dyDescent="0.25"/>
    <row r="25329" ht="15" customHeight="1" x14ac:dyDescent="0.25"/>
    <row r="25330" ht="15" customHeight="1" x14ac:dyDescent="0.25"/>
    <row r="25331" ht="15" customHeight="1" x14ac:dyDescent="0.25"/>
    <row r="25332" ht="15" customHeight="1" x14ac:dyDescent="0.25"/>
    <row r="25333" ht="15" customHeight="1" x14ac:dyDescent="0.25"/>
    <row r="25334" ht="15" customHeight="1" x14ac:dyDescent="0.25"/>
    <row r="25335" ht="15" customHeight="1" x14ac:dyDescent="0.25"/>
    <row r="25336" ht="15" customHeight="1" x14ac:dyDescent="0.25"/>
    <row r="25337" ht="15" customHeight="1" x14ac:dyDescent="0.25"/>
    <row r="25338" ht="15" customHeight="1" x14ac:dyDescent="0.25"/>
    <row r="25339" ht="15" customHeight="1" x14ac:dyDescent="0.25"/>
    <row r="25340" ht="15" customHeight="1" x14ac:dyDescent="0.25"/>
    <row r="25341" ht="15" customHeight="1" x14ac:dyDescent="0.25"/>
    <row r="25355" ht="15" customHeight="1" x14ac:dyDescent="0.25"/>
    <row r="25356" ht="15" customHeight="1" x14ac:dyDescent="0.25"/>
    <row r="25357" ht="15" customHeight="1" x14ac:dyDescent="0.25"/>
    <row r="25358" ht="15" customHeight="1" x14ac:dyDescent="0.25"/>
    <row r="25359" ht="15" customHeight="1" x14ac:dyDescent="0.25"/>
    <row r="25360" ht="15" customHeight="1" x14ac:dyDescent="0.25"/>
    <row r="25361" ht="15" customHeight="1" x14ac:dyDescent="0.25"/>
    <row r="25362" ht="15" customHeight="1" x14ac:dyDescent="0.25"/>
    <row r="25363" ht="15" customHeight="1" x14ac:dyDescent="0.25"/>
    <row r="25364" ht="15" customHeight="1" x14ac:dyDescent="0.25"/>
    <row r="25365" ht="15" customHeight="1" x14ac:dyDescent="0.25"/>
    <row r="25366" ht="15" customHeight="1" x14ac:dyDescent="0.25"/>
    <row r="25367" ht="15" customHeight="1" x14ac:dyDescent="0.25"/>
    <row r="25368" ht="15" customHeight="1" x14ac:dyDescent="0.25"/>
    <row r="25369" ht="15" customHeight="1" x14ac:dyDescent="0.25"/>
    <row r="25370" ht="15" customHeight="1" x14ac:dyDescent="0.25"/>
    <row r="25371" ht="15" customHeight="1" x14ac:dyDescent="0.25"/>
    <row r="25372" ht="15" customHeight="1" x14ac:dyDescent="0.25"/>
    <row r="25373" ht="15" customHeight="1" x14ac:dyDescent="0.25"/>
    <row r="25374" ht="15" customHeight="1" x14ac:dyDescent="0.25"/>
    <row r="25375" ht="15" customHeight="1" x14ac:dyDescent="0.25"/>
    <row r="25389" ht="15" customHeight="1" x14ac:dyDescent="0.25"/>
    <row r="25401" ht="15" customHeight="1" x14ac:dyDescent="0.25"/>
    <row r="25402" ht="15" customHeight="1" x14ac:dyDescent="0.25"/>
    <row r="25403" ht="15" customHeight="1" x14ac:dyDescent="0.25"/>
    <row r="25404" ht="15" customHeight="1" x14ac:dyDescent="0.25"/>
    <row r="25405" ht="15" customHeight="1" x14ac:dyDescent="0.25"/>
    <row r="25406" ht="15" customHeight="1" x14ac:dyDescent="0.25"/>
    <row r="25407" ht="15" customHeight="1" x14ac:dyDescent="0.25"/>
    <row r="25408" ht="15" customHeight="1" x14ac:dyDescent="0.25"/>
    <row r="25409" ht="15" customHeight="1" x14ac:dyDescent="0.25"/>
    <row r="25410" ht="15" customHeight="1" x14ac:dyDescent="0.25"/>
    <row r="25411" ht="15" customHeight="1" x14ac:dyDescent="0.25"/>
    <row r="25412" ht="15" customHeight="1" x14ac:dyDescent="0.25"/>
    <row r="25413" ht="15" customHeight="1" x14ac:dyDescent="0.25"/>
    <row r="25414" ht="15" customHeight="1" x14ac:dyDescent="0.25"/>
    <row r="25415" ht="15" customHeight="1" x14ac:dyDescent="0.25"/>
    <row r="25416" ht="15" customHeight="1" x14ac:dyDescent="0.25"/>
    <row r="25417" ht="15" customHeight="1" x14ac:dyDescent="0.25"/>
    <row r="25418" ht="15" customHeight="1" x14ac:dyDescent="0.25"/>
    <row r="25419" ht="15" customHeight="1" x14ac:dyDescent="0.25"/>
    <row r="25420" ht="15" customHeight="1" x14ac:dyDescent="0.25"/>
    <row r="25421" ht="15" customHeight="1" x14ac:dyDescent="0.25"/>
    <row r="25435" ht="15" customHeight="1" x14ac:dyDescent="0.25"/>
    <row r="25436" ht="15" customHeight="1" x14ac:dyDescent="0.25"/>
    <row r="25437" ht="15" customHeight="1" x14ac:dyDescent="0.25"/>
    <row r="25438" ht="15" customHeight="1" x14ac:dyDescent="0.25"/>
    <row r="25439" ht="15" customHeight="1" x14ac:dyDescent="0.25"/>
    <row r="25440" ht="15" customHeight="1" x14ac:dyDescent="0.25"/>
    <row r="25441" ht="15" customHeight="1" x14ac:dyDescent="0.25"/>
    <row r="25442" ht="15" customHeight="1" x14ac:dyDescent="0.25"/>
    <row r="25443" ht="15" customHeight="1" x14ac:dyDescent="0.25"/>
    <row r="25444" ht="15" customHeight="1" x14ac:dyDescent="0.25"/>
    <row r="25445" ht="15" customHeight="1" x14ac:dyDescent="0.25"/>
    <row r="25446" ht="15" customHeight="1" x14ac:dyDescent="0.25"/>
    <row r="25447" ht="15" customHeight="1" x14ac:dyDescent="0.25"/>
    <row r="25448" ht="15" customHeight="1" x14ac:dyDescent="0.25"/>
    <row r="25449" ht="15" customHeight="1" x14ac:dyDescent="0.25"/>
    <row r="25450" ht="15" customHeight="1" x14ac:dyDescent="0.25"/>
    <row r="25451" ht="15" customHeight="1" x14ac:dyDescent="0.25"/>
    <row r="25452" ht="15" customHeight="1" x14ac:dyDescent="0.25"/>
    <row r="25453" ht="15" customHeight="1" x14ac:dyDescent="0.25"/>
    <row r="25454" ht="15" customHeight="1" x14ac:dyDescent="0.25"/>
    <row r="25455" ht="15" customHeight="1" x14ac:dyDescent="0.25"/>
    <row r="25469" ht="15" customHeight="1" x14ac:dyDescent="0.25"/>
    <row r="25470" ht="15" customHeight="1" x14ac:dyDescent="0.25"/>
    <row r="25471" ht="15" customHeight="1" x14ac:dyDescent="0.25"/>
    <row r="25472" ht="15" customHeight="1" x14ac:dyDescent="0.25"/>
    <row r="25473" ht="15" customHeight="1" x14ac:dyDescent="0.25"/>
    <row r="25474" ht="15" customHeight="1" x14ac:dyDescent="0.25"/>
    <row r="25475" ht="15" customHeight="1" x14ac:dyDescent="0.25"/>
    <row r="25476" ht="15" customHeight="1" x14ac:dyDescent="0.25"/>
    <row r="25477" ht="15" customHeight="1" x14ac:dyDescent="0.25"/>
    <row r="25478" ht="15" customHeight="1" x14ac:dyDescent="0.25"/>
    <row r="25479" ht="15" customHeight="1" x14ac:dyDescent="0.25"/>
    <row r="25480" ht="15" customHeight="1" x14ac:dyDescent="0.25"/>
    <row r="25481" ht="15" customHeight="1" x14ac:dyDescent="0.25"/>
    <row r="25482" ht="15" customHeight="1" x14ac:dyDescent="0.25"/>
    <row r="25483" ht="15" customHeight="1" x14ac:dyDescent="0.25"/>
    <row r="25484" ht="15" customHeight="1" x14ac:dyDescent="0.25"/>
    <row r="25485" ht="15" customHeight="1" x14ac:dyDescent="0.25"/>
    <row r="25486" ht="15" customHeight="1" x14ac:dyDescent="0.25"/>
    <row r="25487" ht="15" customHeight="1" x14ac:dyDescent="0.25"/>
    <row r="25488" ht="15" customHeight="1" x14ac:dyDescent="0.25"/>
    <row r="25489" ht="15" customHeight="1" x14ac:dyDescent="0.25"/>
    <row r="25503" ht="15" customHeight="1" x14ac:dyDescent="0.25"/>
    <row r="25504" ht="15" customHeight="1" x14ac:dyDescent="0.25"/>
    <row r="25505" ht="15" customHeight="1" x14ac:dyDescent="0.25"/>
    <row r="25506" ht="15" customHeight="1" x14ac:dyDescent="0.25"/>
    <row r="25507" ht="15" customHeight="1" x14ac:dyDescent="0.25"/>
    <row r="25508" ht="15" customHeight="1" x14ac:dyDescent="0.25"/>
    <row r="25509" ht="15" customHeight="1" x14ac:dyDescent="0.25"/>
    <row r="25510" ht="15" customHeight="1" x14ac:dyDescent="0.25"/>
    <row r="25511" ht="15" customHeight="1" x14ac:dyDescent="0.25"/>
    <row r="25512" ht="15" customHeight="1" x14ac:dyDescent="0.25"/>
    <row r="25513" ht="15" customHeight="1" x14ac:dyDescent="0.25"/>
    <row r="25514" ht="15" customHeight="1" x14ac:dyDescent="0.25"/>
    <row r="25515" ht="15" customHeight="1" x14ac:dyDescent="0.25"/>
    <row r="25516" ht="15" customHeight="1" x14ac:dyDescent="0.25"/>
    <row r="25517" ht="15" customHeight="1" x14ac:dyDescent="0.25"/>
    <row r="25518" ht="15" customHeight="1" x14ac:dyDescent="0.25"/>
    <row r="25519" ht="15" customHeight="1" x14ac:dyDescent="0.25"/>
    <row r="25520" ht="15" customHeight="1" x14ac:dyDescent="0.25"/>
    <row r="25521" ht="15" customHeight="1" x14ac:dyDescent="0.25"/>
    <row r="25522" ht="15" customHeight="1" x14ac:dyDescent="0.25"/>
    <row r="25523" ht="15" customHeight="1" x14ac:dyDescent="0.25"/>
    <row r="25537" ht="15" customHeight="1" x14ac:dyDescent="0.25"/>
    <row r="25538" ht="15" customHeight="1" x14ac:dyDescent="0.25"/>
    <row r="25539" ht="15" customHeight="1" x14ac:dyDescent="0.25"/>
    <row r="25540" ht="15" customHeight="1" x14ac:dyDescent="0.25"/>
    <row r="25541" ht="15" customHeight="1" x14ac:dyDescent="0.25"/>
    <row r="25542" ht="15" customHeight="1" x14ac:dyDescent="0.25"/>
    <row r="25543" ht="15" customHeight="1" x14ac:dyDescent="0.25"/>
    <row r="25544" ht="15" customHeight="1" x14ac:dyDescent="0.25"/>
    <row r="25545" ht="15" customHeight="1" x14ac:dyDescent="0.25"/>
    <row r="25546" ht="15" customHeight="1" x14ac:dyDescent="0.25"/>
    <row r="25547" ht="15" customHeight="1" x14ac:dyDescent="0.25"/>
    <row r="25548" ht="15" customHeight="1" x14ac:dyDescent="0.25"/>
    <row r="25549" ht="15" customHeight="1" x14ac:dyDescent="0.25"/>
    <row r="25550" ht="15" customHeight="1" x14ac:dyDescent="0.25"/>
    <row r="25551" ht="15" customHeight="1" x14ac:dyDescent="0.25"/>
    <row r="25552" ht="15" customHeight="1" x14ac:dyDescent="0.25"/>
    <row r="25553" ht="15" customHeight="1" x14ac:dyDescent="0.25"/>
    <row r="25554" ht="15" customHeight="1" x14ac:dyDescent="0.25"/>
    <row r="25555" ht="15" customHeight="1" x14ac:dyDescent="0.25"/>
    <row r="25556" ht="15" customHeight="1" x14ac:dyDescent="0.25"/>
    <row r="25557" ht="15" customHeight="1" x14ac:dyDescent="0.25"/>
    <row r="25571" ht="15" customHeight="1" x14ac:dyDescent="0.25"/>
    <row r="25572" ht="15" customHeight="1" x14ac:dyDescent="0.25"/>
    <row r="25573" ht="15" customHeight="1" x14ac:dyDescent="0.25"/>
    <row r="25574" ht="15" customHeight="1" x14ac:dyDescent="0.25"/>
    <row r="25575" ht="15" customHeight="1" x14ac:dyDescent="0.25"/>
    <row r="25576" ht="15" customHeight="1" x14ac:dyDescent="0.25"/>
    <row r="25577" ht="15" customHeight="1" x14ac:dyDescent="0.25"/>
    <row r="25578" ht="15" customHeight="1" x14ac:dyDescent="0.25"/>
    <row r="25579" ht="15" customHeight="1" x14ac:dyDescent="0.25"/>
    <row r="25580" ht="15" customHeight="1" x14ac:dyDescent="0.25"/>
    <row r="25581" ht="15" customHeight="1" x14ac:dyDescent="0.25"/>
    <row r="25582" ht="15" customHeight="1" x14ac:dyDescent="0.25"/>
    <row r="25583" ht="15" customHeight="1" x14ac:dyDescent="0.25"/>
    <row r="25584" ht="15" customHeight="1" x14ac:dyDescent="0.25"/>
    <row r="25585" ht="15" customHeight="1" x14ac:dyDescent="0.25"/>
    <row r="25586" ht="15" customHeight="1" x14ac:dyDescent="0.25"/>
    <row r="25587" ht="15" customHeight="1" x14ac:dyDescent="0.25"/>
    <row r="25588" ht="15" customHeight="1" x14ac:dyDescent="0.25"/>
    <row r="25589" ht="15" customHeight="1" x14ac:dyDescent="0.25"/>
    <row r="25590" ht="15" customHeight="1" x14ac:dyDescent="0.25"/>
    <row r="25591" ht="15" customHeight="1" x14ac:dyDescent="0.25"/>
    <row r="25605" ht="15" customHeight="1" x14ac:dyDescent="0.25"/>
    <row r="25606" ht="15" customHeight="1" x14ac:dyDescent="0.25"/>
    <row r="25607" ht="15" customHeight="1" x14ac:dyDescent="0.25"/>
    <row r="25608" ht="15" customHeight="1" x14ac:dyDescent="0.25"/>
    <row r="25609" ht="15" customHeight="1" x14ac:dyDescent="0.25"/>
    <row r="25610" ht="15" customHeight="1" x14ac:dyDescent="0.25"/>
    <row r="25611" ht="15" customHeight="1" x14ac:dyDescent="0.25"/>
    <row r="25612" ht="15" customHeight="1" x14ac:dyDescent="0.25"/>
    <row r="25613" ht="15" customHeight="1" x14ac:dyDescent="0.25"/>
    <row r="25614" ht="15" customHeight="1" x14ac:dyDescent="0.25"/>
    <row r="25615" ht="15" customHeight="1" x14ac:dyDescent="0.25"/>
    <row r="25616" ht="15" customHeight="1" x14ac:dyDescent="0.25"/>
    <row r="25617" ht="15" customHeight="1" x14ac:dyDescent="0.25"/>
    <row r="25618" ht="15" customHeight="1" x14ac:dyDescent="0.25"/>
    <row r="25619" ht="15" customHeight="1" x14ac:dyDescent="0.25"/>
    <row r="25620" ht="15" customHeight="1" x14ac:dyDescent="0.25"/>
    <row r="25621" ht="15" customHeight="1" x14ac:dyDescent="0.25"/>
    <row r="25622" ht="15" customHeight="1" x14ac:dyDescent="0.25"/>
    <row r="25623" ht="15" customHeight="1" x14ac:dyDescent="0.25"/>
    <row r="25624" ht="15" customHeight="1" x14ac:dyDescent="0.25"/>
    <row r="25625" ht="15" customHeight="1" x14ac:dyDescent="0.25"/>
    <row r="25639" ht="15" customHeight="1" x14ac:dyDescent="0.25"/>
    <row r="25640" ht="15" customHeight="1" x14ac:dyDescent="0.25"/>
    <row r="25641" ht="15" customHeight="1" x14ac:dyDescent="0.25"/>
    <row r="25642" ht="15" customHeight="1" x14ac:dyDescent="0.25"/>
    <row r="25643" ht="15" customHeight="1" x14ac:dyDescent="0.25"/>
    <row r="25644" ht="15" customHeight="1" x14ac:dyDescent="0.25"/>
    <row r="25645" ht="15" customHeight="1" x14ac:dyDescent="0.25"/>
    <row r="25646" ht="15" customHeight="1" x14ac:dyDescent="0.25"/>
    <row r="25647" ht="15" customHeight="1" x14ac:dyDescent="0.25"/>
    <row r="25648" ht="15" customHeight="1" x14ac:dyDescent="0.25"/>
    <row r="25649" ht="15" customHeight="1" x14ac:dyDescent="0.25"/>
    <row r="25650" ht="15" customHeight="1" x14ac:dyDescent="0.25"/>
    <row r="25651" ht="15" customHeight="1" x14ac:dyDescent="0.25"/>
    <row r="25652" ht="15" customHeight="1" x14ac:dyDescent="0.25"/>
    <row r="25653" ht="15" customHeight="1" x14ac:dyDescent="0.25"/>
    <row r="25654" ht="15" customHeight="1" x14ac:dyDescent="0.25"/>
    <row r="25655" ht="15" customHeight="1" x14ac:dyDescent="0.25"/>
    <row r="25656" ht="15" customHeight="1" x14ac:dyDescent="0.25"/>
    <row r="25657" ht="15" customHeight="1" x14ac:dyDescent="0.25"/>
    <row r="25658" ht="15" customHeight="1" x14ac:dyDescent="0.25"/>
    <row r="25659" ht="15" customHeight="1" x14ac:dyDescent="0.25"/>
    <row r="25673" ht="15" customHeight="1" x14ac:dyDescent="0.25"/>
    <row r="25674" ht="15" customHeight="1" x14ac:dyDescent="0.25"/>
    <row r="25675" ht="15" customHeight="1" x14ac:dyDescent="0.25"/>
    <row r="25676" ht="15" customHeight="1" x14ac:dyDescent="0.25"/>
    <row r="25677" ht="15" customHeight="1" x14ac:dyDescent="0.25"/>
    <row r="25678" ht="15" customHeight="1" x14ac:dyDescent="0.25"/>
    <row r="25679" ht="15" customHeight="1" x14ac:dyDescent="0.25"/>
    <row r="25680" ht="15" customHeight="1" x14ac:dyDescent="0.25"/>
    <row r="25681" ht="15" customHeight="1" x14ac:dyDescent="0.25"/>
    <row r="25682" ht="15" customHeight="1" x14ac:dyDescent="0.25"/>
    <row r="25683" ht="15" customHeight="1" x14ac:dyDescent="0.25"/>
    <row r="25684" ht="15" customHeight="1" x14ac:dyDescent="0.25"/>
    <row r="25685" ht="15" customHeight="1" x14ac:dyDescent="0.25"/>
    <row r="25686" ht="15" customHeight="1" x14ac:dyDescent="0.25"/>
    <row r="25687" ht="15" customHeight="1" x14ac:dyDescent="0.25"/>
    <row r="25688" ht="15" customHeight="1" x14ac:dyDescent="0.25"/>
    <row r="25689" ht="15" customHeight="1" x14ac:dyDescent="0.25"/>
    <row r="25690" ht="15" customHeight="1" x14ac:dyDescent="0.25"/>
    <row r="25691" ht="15" customHeight="1" x14ac:dyDescent="0.25"/>
    <row r="25692" ht="15" customHeight="1" x14ac:dyDescent="0.25"/>
    <row r="25693" ht="15" customHeight="1" x14ac:dyDescent="0.25"/>
    <row r="25707" ht="15" customHeight="1" x14ac:dyDescent="0.25"/>
    <row r="25719" ht="15" customHeight="1" x14ac:dyDescent="0.25"/>
    <row r="25731" ht="15" customHeight="1" x14ac:dyDescent="0.25"/>
    <row r="25732" ht="15" customHeight="1" x14ac:dyDescent="0.25"/>
    <row r="25733" ht="15" customHeight="1" x14ac:dyDescent="0.25"/>
    <row r="25734" ht="15" customHeight="1" x14ac:dyDescent="0.25"/>
    <row r="25735" ht="15" customHeight="1" x14ac:dyDescent="0.25"/>
    <row r="25736" ht="15" customHeight="1" x14ac:dyDescent="0.25"/>
    <row r="25737" ht="15" customHeight="1" x14ac:dyDescent="0.25"/>
    <row r="25738" ht="15" customHeight="1" x14ac:dyDescent="0.25"/>
    <row r="25739" ht="15" customHeight="1" x14ac:dyDescent="0.25"/>
    <row r="25740" ht="15" customHeight="1" x14ac:dyDescent="0.25"/>
    <row r="25741" ht="15" customHeight="1" x14ac:dyDescent="0.25"/>
    <row r="25742" ht="15" customHeight="1" x14ac:dyDescent="0.25"/>
    <row r="25743" ht="15" customHeight="1" x14ac:dyDescent="0.25"/>
    <row r="25744" ht="15" customHeight="1" x14ac:dyDescent="0.25"/>
    <row r="25745" ht="15" customHeight="1" x14ac:dyDescent="0.25"/>
    <row r="25746" ht="15" customHeight="1" x14ac:dyDescent="0.25"/>
    <row r="25747" ht="15" customHeight="1" x14ac:dyDescent="0.25"/>
    <row r="25748" ht="15" customHeight="1" x14ac:dyDescent="0.25"/>
    <row r="25749" ht="15" customHeight="1" x14ac:dyDescent="0.25"/>
    <row r="25750" ht="15" customHeight="1" x14ac:dyDescent="0.25"/>
    <row r="25751" ht="15" customHeight="1" x14ac:dyDescent="0.25"/>
    <row r="25752" ht="15" customHeight="1" x14ac:dyDescent="0.25"/>
    <row r="25753" ht="15" customHeight="1" x14ac:dyDescent="0.25"/>
    <row r="25754" ht="15" customHeight="1" x14ac:dyDescent="0.25"/>
    <row r="25755" ht="15" customHeight="1" x14ac:dyDescent="0.25"/>
    <row r="25756" ht="15" customHeight="1" x14ac:dyDescent="0.25"/>
    <row r="25757" ht="15" customHeight="1" x14ac:dyDescent="0.25"/>
    <row r="25758" ht="15" customHeight="1" x14ac:dyDescent="0.25"/>
    <row r="25759" ht="15" customHeight="1" x14ac:dyDescent="0.25"/>
    <row r="25760" ht="15" customHeight="1" x14ac:dyDescent="0.25"/>
    <row r="25761" ht="15" customHeight="1" x14ac:dyDescent="0.25"/>
    <row r="25762" ht="15" customHeight="1" x14ac:dyDescent="0.25"/>
    <row r="25763" ht="15" customHeight="1" x14ac:dyDescent="0.25"/>
    <row r="25764" ht="15" customHeight="1" x14ac:dyDescent="0.25"/>
    <row r="25775" ht="15" customHeight="1" x14ac:dyDescent="0.25"/>
    <row r="25776" ht="15" customHeight="1" x14ac:dyDescent="0.25"/>
    <row r="25777" ht="15" customHeight="1" x14ac:dyDescent="0.25"/>
    <row r="25778" ht="15" customHeight="1" x14ac:dyDescent="0.25"/>
    <row r="25779" ht="15" customHeight="1" x14ac:dyDescent="0.25"/>
    <row r="25780" ht="15" customHeight="1" x14ac:dyDescent="0.25"/>
    <row r="25781" ht="15" customHeight="1" x14ac:dyDescent="0.25"/>
    <row r="25782" ht="15" customHeight="1" x14ac:dyDescent="0.25"/>
    <row r="25783" ht="15" customHeight="1" x14ac:dyDescent="0.25"/>
    <row r="25784" ht="15" customHeight="1" x14ac:dyDescent="0.25"/>
    <row r="25785" ht="15" customHeight="1" x14ac:dyDescent="0.25"/>
    <row r="25796" ht="15" customHeight="1" x14ac:dyDescent="0.25"/>
    <row r="25797" ht="15" customHeight="1" x14ac:dyDescent="0.25"/>
    <row r="25798" ht="15" customHeight="1" x14ac:dyDescent="0.25"/>
    <row r="25799" ht="15" customHeight="1" x14ac:dyDescent="0.25"/>
    <row r="25800" ht="15" customHeight="1" x14ac:dyDescent="0.25"/>
    <row r="25801" ht="15" customHeight="1" x14ac:dyDescent="0.25"/>
    <row r="25802" ht="15" customHeight="1" x14ac:dyDescent="0.25"/>
    <row r="25803" ht="15" customHeight="1" x14ac:dyDescent="0.25"/>
    <row r="25804" ht="15" customHeight="1" x14ac:dyDescent="0.25"/>
    <row r="25805" ht="15" customHeight="1" x14ac:dyDescent="0.25"/>
    <row r="25806" ht="15" customHeight="1" x14ac:dyDescent="0.25"/>
    <row r="25807" ht="15" customHeight="1" x14ac:dyDescent="0.25"/>
    <row r="25808" ht="15" customHeight="1" x14ac:dyDescent="0.25"/>
    <row r="25809" ht="15" customHeight="1" x14ac:dyDescent="0.25"/>
    <row r="25810" ht="15" customHeight="1" x14ac:dyDescent="0.25"/>
    <row r="25811" ht="15" customHeight="1" x14ac:dyDescent="0.25"/>
    <row r="25812" ht="15" customHeight="1" x14ac:dyDescent="0.25"/>
    <row r="25813" ht="15" customHeight="1" x14ac:dyDescent="0.25"/>
    <row r="25814" ht="15" customHeight="1" x14ac:dyDescent="0.25"/>
    <row r="25815" ht="15" customHeight="1" x14ac:dyDescent="0.25"/>
    <row r="25816" ht="15" customHeight="1" x14ac:dyDescent="0.25"/>
    <row r="25817" ht="15" customHeight="1" x14ac:dyDescent="0.25"/>
    <row r="25818" ht="15" customHeight="1" x14ac:dyDescent="0.25"/>
    <row r="25819" ht="15" customHeight="1" x14ac:dyDescent="0.25"/>
    <row r="25820" ht="15" customHeight="1" x14ac:dyDescent="0.25"/>
    <row r="25821" ht="15" customHeight="1" x14ac:dyDescent="0.25"/>
    <row r="25822" ht="15" customHeight="1" x14ac:dyDescent="0.25"/>
    <row r="25823" ht="15" customHeight="1" x14ac:dyDescent="0.25"/>
    <row r="25824" ht="15" customHeight="1" x14ac:dyDescent="0.25"/>
    <row r="25825" ht="15" customHeight="1" x14ac:dyDescent="0.25"/>
    <row r="25826" ht="15" customHeight="1" x14ac:dyDescent="0.25"/>
    <row r="25827" ht="15" customHeight="1" x14ac:dyDescent="0.25"/>
    <row r="25828" ht="15" customHeight="1" x14ac:dyDescent="0.25"/>
    <row r="25829" ht="15" customHeight="1" x14ac:dyDescent="0.25"/>
    <row r="25830" ht="15" customHeight="1" x14ac:dyDescent="0.25"/>
    <row r="25831" ht="15" customHeight="1" x14ac:dyDescent="0.25"/>
    <row r="25832" ht="15" customHeight="1" x14ac:dyDescent="0.25"/>
    <row r="25833" ht="15" customHeight="1" x14ac:dyDescent="0.25"/>
    <row r="25834" ht="15" customHeight="1" x14ac:dyDescent="0.25"/>
    <row r="25835" ht="15" customHeight="1" x14ac:dyDescent="0.25"/>
    <row r="25836" ht="15" customHeight="1" x14ac:dyDescent="0.25"/>
    <row r="25837" ht="15" customHeight="1" x14ac:dyDescent="0.25"/>
    <row r="25838" ht="15" customHeight="1" x14ac:dyDescent="0.25"/>
    <row r="25839" ht="15" customHeight="1" x14ac:dyDescent="0.25"/>
    <row r="25840" ht="15" customHeight="1" x14ac:dyDescent="0.25"/>
    <row r="25841" ht="15" customHeight="1" x14ac:dyDescent="0.25"/>
    <row r="25842" ht="15" customHeight="1" x14ac:dyDescent="0.25"/>
    <row r="25843" ht="15" customHeight="1" x14ac:dyDescent="0.25"/>
    <row r="25844" ht="15" customHeight="1" x14ac:dyDescent="0.25"/>
    <row r="25845" ht="15" customHeight="1" x14ac:dyDescent="0.25"/>
    <row r="25846" ht="15" customHeight="1" x14ac:dyDescent="0.25"/>
    <row r="25847" ht="15" customHeight="1" x14ac:dyDescent="0.25"/>
    <row r="25848" ht="15" customHeight="1" x14ac:dyDescent="0.25"/>
    <row r="25849" ht="15" customHeight="1" x14ac:dyDescent="0.25"/>
    <row r="25850" ht="15" customHeight="1" x14ac:dyDescent="0.25"/>
    <row r="25851" ht="15" customHeight="1" x14ac:dyDescent="0.25"/>
    <row r="25852" ht="15" customHeight="1" x14ac:dyDescent="0.25"/>
    <row r="25853" ht="15" customHeight="1" x14ac:dyDescent="0.25"/>
    <row r="25854" ht="15" customHeight="1" x14ac:dyDescent="0.25"/>
    <row r="25855" ht="15" customHeight="1" x14ac:dyDescent="0.25"/>
    <row r="25856" ht="15" customHeight="1" x14ac:dyDescent="0.25"/>
    <row r="25857" ht="15" customHeight="1" x14ac:dyDescent="0.25"/>
    <row r="25858" ht="15" customHeight="1" x14ac:dyDescent="0.25"/>
    <row r="25859" ht="15" customHeight="1" x14ac:dyDescent="0.25"/>
    <row r="25860" ht="15" customHeight="1" x14ac:dyDescent="0.25"/>
    <row r="25861" ht="15" customHeight="1" x14ac:dyDescent="0.25"/>
    <row r="25862" ht="15" customHeight="1" x14ac:dyDescent="0.25"/>
    <row r="25863" ht="15" customHeight="1" x14ac:dyDescent="0.25"/>
    <row r="25864" ht="15" customHeight="1" x14ac:dyDescent="0.25"/>
    <row r="25865" ht="15" customHeight="1" x14ac:dyDescent="0.25"/>
    <row r="25866" ht="15" customHeight="1" x14ac:dyDescent="0.25"/>
    <row r="25867" ht="15" customHeight="1" x14ac:dyDescent="0.25"/>
    <row r="25868" ht="15" customHeight="1" x14ac:dyDescent="0.25"/>
    <row r="25869" ht="15" customHeight="1" x14ac:dyDescent="0.25"/>
    <row r="25870" ht="15" customHeight="1" x14ac:dyDescent="0.25"/>
    <row r="25871" ht="15" customHeight="1" x14ac:dyDescent="0.25"/>
    <row r="25872" ht="15" customHeight="1" x14ac:dyDescent="0.25"/>
    <row r="25873" ht="15" customHeight="1" x14ac:dyDescent="0.25"/>
    <row r="25874" ht="15" customHeight="1" x14ac:dyDescent="0.25"/>
    <row r="25875" ht="15" customHeight="1" x14ac:dyDescent="0.25"/>
    <row r="25876" ht="15" customHeight="1" x14ac:dyDescent="0.25"/>
    <row r="25877" ht="15" customHeight="1" x14ac:dyDescent="0.25"/>
    <row r="25878" ht="15" customHeight="1" x14ac:dyDescent="0.25"/>
    <row r="25879" ht="15" customHeight="1" x14ac:dyDescent="0.25"/>
    <row r="25880" ht="15" customHeight="1" x14ac:dyDescent="0.25"/>
    <row r="25881" ht="15" customHeight="1" x14ac:dyDescent="0.25"/>
    <row r="25882" ht="15" customHeight="1" x14ac:dyDescent="0.25"/>
    <row r="25883" ht="15" customHeight="1" x14ac:dyDescent="0.25"/>
    <row r="25884" ht="15" customHeight="1" x14ac:dyDescent="0.25"/>
    <row r="25885" ht="15" customHeight="1" x14ac:dyDescent="0.25"/>
    <row r="25886" ht="15" customHeight="1" x14ac:dyDescent="0.25"/>
    <row r="25887" ht="15" customHeight="1" x14ac:dyDescent="0.25"/>
    <row r="25888" ht="15" customHeight="1" x14ac:dyDescent="0.25"/>
    <row r="25889" ht="15" customHeight="1" x14ac:dyDescent="0.25"/>
    <row r="25890" ht="15" customHeight="1" x14ac:dyDescent="0.25"/>
    <row r="25891" ht="15" customHeight="1" x14ac:dyDescent="0.25"/>
    <row r="25892" ht="15" customHeight="1" x14ac:dyDescent="0.25"/>
    <row r="25893" ht="15" customHeight="1" x14ac:dyDescent="0.25"/>
    <row r="25894" ht="15" customHeight="1" x14ac:dyDescent="0.25"/>
    <row r="25895" ht="15" customHeight="1" x14ac:dyDescent="0.25"/>
    <row r="25896" ht="15" customHeight="1" x14ac:dyDescent="0.25"/>
    <row r="25897" ht="15" customHeight="1" x14ac:dyDescent="0.25"/>
    <row r="25898" ht="15" customHeight="1" x14ac:dyDescent="0.25"/>
    <row r="25899" ht="15" customHeight="1" x14ac:dyDescent="0.25"/>
    <row r="25900" ht="15" customHeight="1" x14ac:dyDescent="0.25"/>
    <row r="25901" ht="15" customHeight="1" x14ac:dyDescent="0.25"/>
    <row r="25902" ht="15" customHeight="1" x14ac:dyDescent="0.25"/>
    <row r="25903" ht="15" customHeight="1" x14ac:dyDescent="0.25"/>
    <row r="25904" ht="15" customHeight="1" x14ac:dyDescent="0.25"/>
    <row r="25905" ht="15" customHeight="1" x14ac:dyDescent="0.25"/>
    <row r="25906" ht="15" customHeight="1" x14ac:dyDescent="0.25"/>
    <row r="25907" ht="15" customHeight="1" x14ac:dyDescent="0.25"/>
    <row r="25908" ht="15" customHeight="1" x14ac:dyDescent="0.25"/>
    <row r="25909" ht="15" customHeight="1" x14ac:dyDescent="0.25"/>
    <row r="25910" ht="15" customHeight="1" x14ac:dyDescent="0.25"/>
    <row r="25911" ht="15" customHeight="1" x14ac:dyDescent="0.25"/>
    <row r="25912" ht="15" customHeight="1" x14ac:dyDescent="0.25"/>
    <row r="25913" ht="15" customHeight="1" x14ac:dyDescent="0.25"/>
    <row r="25914" ht="15" customHeight="1" x14ac:dyDescent="0.25"/>
    <row r="25915" ht="15" customHeight="1" x14ac:dyDescent="0.25"/>
    <row r="25916" ht="15" customHeight="1" x14ac:dyDescent="0.25"/>
    <row r="25917" ht="15" customHeight="1" x14ac:dyDescent="0.25"/>
    <row r="25918" ht="15" customHeight="1" x14ac:dyDescent="0.25"/>
    <row r="25919" ht="15" customHeight="1" x14ac:dyDescent="0.25"/>
    <row r="25920" ht="15" customHeight="1" x14ac:dyDescent="0.25"/>
    <row r="25921" ht="15" customHeight="1" x14ac:dyDescent="0.25"/>
    <row r="25922" ht="15" customHeight="1" x14ac:dyDescent="0.25"/>
    <row r="25923" ht="15" customHeight="1" x14ac:dyDescent="0.25"/>
    <row r="25924" ht="15" customHeight="1" x14ac:dyDescent="0.25"/>
    <row r="25925" ht="15" customHeight="1" x14ac:dyDescent="0.25"/>
    <row r="25926" ht="15" customHeight="1" x14ac:dyDescent="0.25"/>
    <row r="25927" ht="15" customHeight="1" x14ac:dyDescent="0.25"/>
    <row r="25928" ht="15" customHeight="1" x14ac:dyDescent="0.25"/>
    <row r="25929" ht="15" customHeight="1" x14ac:dyDescent="0.25"/>
    <row r="25930" ht="15" customHeight="1" x14ac:dyDescent="0.25"/>
    <row r="25931" ht="15" customHeight="1" x14ac:dyDescent="0.25"/>
    <row r="25932" ht="15" customHeight="1" x14ac:dyDescent="0.25"/>
    <row r="25933" ht="15" customHeight="1" x14ac:dyDescent="0.25"/>
    <row r="25934" ht="15" customHeight="1" x14ac:dyDescent="0.25"/>
    <row r="25935" ht="15" customHeight="1" x14ac:dyDescent="0.25"/>
    <row r="25936" ht="15" customHeight="1" x14ac:dyDescent="0.25"/>
    <row r="25937" ht="15" customHeight="1" x14ac:dyDescent="0.25"/>
    <row r="25938" ht="15" customHeight="1" x14ac:dyDescent="0.25"/>
    <row r="25939" ht="15" customHeight="1" x14ac:dyDescent="0.25"/>
    <row r="25940" ht="15" customHeight="1" x14ac:dyDescent="0.25"/>
    <row r="25941" ht="15" customHeight="1" x14ac:dyDescent="0.25"/>
    <row r="25942" ht="15" customHeight="1" x14ac:dyDescent="0.25"/>
    <row r="25943" ht="15" customHeight="1" x14ac:dyDescent="0.25"/>
    <row r="25944" ht="15" customHeight="1" x14ac:dyDescent="0.25"/>
    <row r="25945" ht="15" customHeight="1" x14ac:dyDescent="0.25"/>
    <row r="25946" ht="15" customHeight="1" x14ac:dyDescent="0.25"/>
    <row r="25947" ht="15" customHeight="1" x14ac:dyDescent="0.25"/>
    <row r="25948" ht="15" customHeight="1" x14ac:dyDescent="0.25"/>
    <row r="25949" ht="15" customHeight="1" x14ac:dyDescent="0.25"/>
    <row r="25950" ht="15" customHeight="1" x14ac:dyDescent="0.25"/>
    <row r="25951" ht="15" customHeight="1" x14ac:dyDescent="0.25"/>
    <row r="25952" ht="15" customHeight="1" x14ac:dyDescent="0.25"/>
    <row r="25953" ht="15" customHeight="1" x14ac:dyDescent="0.25"/>
    <row r="25954" ht="15" customHeight="1" x14ac:dyDescent="0.25"/>
    <row r="25955" ht="15" customHeight="1" x14ac:dyDescent="0.25"/>
    <row r="25956" ht="15" customHeight="1" x14ac:dyDescent="0.25"/>
    <row r="25957" ht="15" customHeight="1" x14ac:dyDescent="0.25"/>
    <row r="25958" ht="15" customHeight="1" x14ac:dyDescent="0.25"/>
    <row r="25959" ht="15" customHeight="1" x14ac:dyDescent="0.25"/>
    <row r="25960" ht="15" customHeight="1" x14ac:dyDescent="0.25"/>
    <row r="25961" ht="15" customHeight="1" x14ac:dyDescent="0.25"/>
    <row r="25962" ht="15" customHeight="1" x14ac:dyDescent="0.25"/>
    <row r="25963" ht="15" customHeight="1" x14ac:dyDescent="0.25"/>
    <row r="25964" ht="15" customHeight="1" x14ac:dyDescent="0.25"/>
    <row r="25965" ht="15" customHeight="1" x14ac:dyDescent="0.25"/>
    <row r="25966" ht="15" customHeight="1" x14ac:dyDescent="0.25"/>
    <row r="25967" ht="15" customHeight="1" x14ac:dyDescent="0.25"/>
    <row r="25968" ht="15" customHeight="1" x14ac:dyDescent="0.25"/>
    <row r="25969" ht="15" customHeight="1" x14ac:dyDescent="0.25"/>
    <row r="25970" ht="15" customHeight="1" x14ac:dyDescent="0.25"/>
    <row r="25971" ht="15" customHeight="1" x14ac:dyDescent="0.25"/>
    <row r="25972" ht="15" customHeight="1" x14ac:dyDescent="0.25"/>
    <row r="25973" ht="15" customHeight="1" x14ac:dyDescent="0.25"/>
    <row r="25974" ht="15" customHeight="1" x14ac:dyDescent="0.25"/>
    <row r="25975" ht="15" customHeight="1" x14ac:dyDescent="0.25"/>
    <row r="25976" ht="15" customHeight="1" x14ac:dyDescent="0.25"/>
    <row r="25977" ht="15" customHeight="1" x14ac:dyDescent="0.25"/>
    <row r="25978" ht="15" customHeight="1" x14ac:dyDescent="0.25"/>
    <row r="25979" ht="15" customHeight="1" x14ac:dyDescent="0.25"/>
    <row r="25980" ht="15" customHeight="1" x14ac:dyDescent="0.25"/>
    <row r="25981" ht="15" customHeight="1" x14ac:dyDescent="0.25"/>
    <row r="25982" ht="15" customHeight="1" x14ac:dyDescent="0.25"/>
    <row r="25983" ht="15" customHeight="1" x14ac:dyDescent="0.25"/>
    <row r="25984" ht="15" customHeight="1" x14ac:dyDescent="0.25"/>
    <row r="25985" ht="15" customHeight="1" x14ac:dyDescent="0.25"/>
    <row r="25986" ht="15" customHeight="1" x14ac:dyDescent="0.25"/>
    <row r="25987" ht="15" customHeight="1" x14ac:dyDescent="0.25"/>
    <row r="25988" ht="15" customHeight="1" x14ac:dyDescent="0.25"/>
    <row r="25989" ht="15" customHeight="1" x14ac:dyDescent="0.25"/>
    <row r="25990" ht="15" customHeight="1" x14ac:dyDescent="0.25"/>
    <row r="25991" ht="15" customHeight="1" x14ac:dyDescent="0.25"/>
    <row r="25992" ht="15" customHeight="1" x14ac:dyDescent="0.25"/>
    <row r="25993" ht="15" customHeight="1" x14ac:dyDescent="0.25"/>
    <row r="25994" ht="15" customHeight="1" x14ac:dyDescent="0.25"/>
    <row r="25995" ht="15" customHeight="1" x14ac:dyDescent="0.25"/>
    <row r="25996" ht="15" customHeight="1" x14ac:dyDescent="0.25"/>
    <row r="25997" ht="15" customHeight="1" x14ac:dyDescent="0.25"/>
    <row r="25998" ht="15" customHeight="1" x14ac:dyDescent="0.25"/>
    <row r="25999" ht="15" customHeight="1" x14ac:dyDescent="0.25"/>
    <row r="26000" ht="15" customHeight="1" x14ac:dyDescent="0.25"/>
    <row r="26001" ht="15" customHeight="1" x14ac:dyDescent="0.25"/>
    <row r="26002" ht="15" customHeight="1" x14ac:dyDescent="0.25"/>
    <row r="26003" ht="15" customHeight="1" x14ac:dyDescent="0.25"/>
    <row r="26004" ht="15" customHeight="1" x14ac:dyDescent="0.25"/>
    <row r="26005" ht="15" customHeight="1" x14ac:dyDescent="0.25"/>
    <row r="26006" ht="15" customHeight="1" x14ac:dyDescent="0.25"/>
    <row r="26007" ht="15" customHeight="1" x14ac:dyDescent="0.25"/>
    <row r="26008" ht="15" customHeight="1" x14ac:dyDescent="0.25"/>
    <row r="26009" ht="15" customHeight="1" x14ac:dyDescent="0.25"/>
    <row r="26010" ht="15" customHeight="1" x14ac:dyDescent="0.25"/>
    <row r="26011" ht="15" customHeight="1" x14ac:dyDescent="0.25"/>
    <row r="26012" ht="15" customHeight="1" x14ac:dyDescent="0.25"/>
    <row r="26013" ht="15" customHeight="1" x14ac:dyDescent="0.25"/>
    <row r="26014" ht="15" customHeight="1" x14ac:dyDescent="0.25"/>
    <row r="26015" ht="15" customHeight="1" x14ac:dyDescent="0.25"/>
    <row r="26016" ht="15" customHeight="1" x14ac:dyDescent="0.25"/>
    <row r="26017" ht="15" customHeight="1" x14ac:dyDescent="0.25"/>
    <row r="26018" ht="15" customHeight="1" x14ac:dyDescent="0.25"/>
    <row r="26019" ht="15" customHeight="1" x14ac:dyDescent="0.25"/>
    <row r="26020" ht="15" customHeight="1" x14ac:dyDescent="0.25"/>
    <row r="26021" ht="15" customHeight="1" x14ac:dyDescent="0.25"/>
    <row r="26022" ht="15" customHeight="1" x14ac:dyDescent="0.25"/>
    <row r="26023" ht="15" customHeight="1" x14ac:dyDescent="0.25"/>
    <row r="26024" ht="15" customHeight="1" x14ac:dyDescent="0.25"/>
    <row r="26025" ht="15" customHeight="1" x14ac:dyDescent="0.25"/>
    <row r="26026" ht="15" customHeight="1" x14ac:dyDescent="0.25"/>
    <row r="26027" ht="15" customHeight="1" x14ac:dyDescent="0.25"/>
    <row r="26028" ht="15" customHeight="1" x14ac:dyDescent="0.25"/>
    <row r="26029" ht="15" customHeight="1" x14ac:dyDescent="0.25"/>
    <row r="26030" ht="15" customHeight="1" x14ac:dyDescent="0.25"/>
    <row r="26031" ht="15" customHeight="1" x14ac:dyDescent="0.25"/>
    <row r="26032" ht="15" customHeight="1" x14ac:dyDescent="0.25"/>
    <row r="26033" ht="15" customHeight="1" x14ac:dyDescent="0.25"/>
    <row r="26034" ht="15" customHeight="1" x14ac:dyDescent="0.25"/>
    <row r="26035" ht="15" customHeight="1" x14ac:dyDescent="0.25"/>
    <row r="26036" ht="15" customHeight="1" x14ac:dyDescent="0.25"/>
    <row r="26037" ht="15" customHeight="1" x14ac:dyDescent="0.25"/>
    <row r="26038" ht="15" customHeight="1" x14ac:dyDescent="0.25"/>
    <row r="26039" ht="15" customHeight="1" x14ac:dyDescent="0.25"/>
    <row r="26040" ht="15" customHeight="1" x14ac:dyDescent="0.25"/>
    <row r="26041" ht="15" customHeight="1" x14ac:dyDescent="0.25"/>
    <row r="26042" ht="15" customHeight="1" x14ac:dyDescent="0.25"/>
    <row r="26043" ht="15" customHeight="1" x14ac:dyDescent="0.25"/>
    <row r="26044" ht="15" customHeight="1" x14ac:dyDescent="0.25"/>
    <row r="26045" ht="15" customHeight="1" x14ac:dyDescent="0.25"/>
    <row r="26046" ht="15" customHeight="1" x14ac:dyDescent="0.25"/>
    <row r="26047" ht="15" customHeight="1" x14ac:dyDescent="0.25"/>
    <row r="26048" ht="15" customHeight="1" x14ac:dyDescent="0.25"/>
    <row r="26049" ht="15" customHeight="1" x14ac:dyDescent="0.25"/>
    <row r="26050" ht="15" customHeight="1" x14ac:dyDescent="0.25"/>
    <row r="26051" ht="15" customHeight="1" x14ac:dyDescent="0.25"/>
    <row r="26052" ht="15" customHeight="1" x14ac:dyDescent="0.25"/>
    <row r="26053" ht="15" customHeight="1" x14ac:dyDescent="0.25"/>
    <row r="26054" ht="15" customHeight="1" x14ac:dyDescent="0.25"/>
    <row r="26055" ht="15" customHeight="1" x14ac:dyDescent="0.25"/>
    <row r="26056" ht="15" customHeight="1" x14ac:dyDescent="0.25"/>
    <row r="26057" ht="15" customHeight="1" x14ac:dyDescent="0.25"/>
    <row r="26058" ht="15" customHeight="1" x14ac:dyDescent="0.25"/>
    <row r="26059" ht="15" customHeight="1" x14ac:dyDescent="0.25"/>
    <row r="26060" ht="15" customHeight="1" x14ac:dyDescent="0.25"/>
    <row r="26061" ht="15" customHeight="1" x14ac:dyDescent="0.25"/>
    <row r="26062" ht="15" customHeight="1" x14ac:dyDescent="0.25"/>
    <row r="26063" ht="15" customHeight="1" x14ac:dyDescent="0.25"/>
    <row r="26064" ht="15" customHeight="1" x14ac:dyDescent="0.25"/>
    <row r="26065" ht="15" customHeight="1" x14ac:dyDescent="0.25"/>
    <row r="26066" ht="15" customHeight="1" x14ac:dyDescent="0.25"/>
    <row r="26067" ht="15" customHeight="1" x14ac:dyDescent="0.25"/>
    <row r="26068" ht="15" customHeight="1" x14ac:dyDescent="0.25"/>
    <row r="26069" ht="15" customHeight="1" x14ac:dyDescent="0.25"/>
    <row r="26070" ht="15" customHeight="1" x14ac:dyDescent="0.25"/>
    <row r="26071" ht="15" customHeight="1" x14ac:dyDescent="0.25"/>
    <row r="26072" ht="15" customHeight="1" x14ac:dyDescent="0.25"/>
    <row r="26073" ht="15" customHeight="1" x14ac:dyDescent="0.25"/>
    <row r="26074" ht="15" customHeight="1" x14ac:dyDescent="0.25"/>
    <row r="26075" ht="15" customHeight="1" x14ac:dyDescent="0.25"/>
    <row r="26076" ht="15" customHeight="1" x14ac:dyDescent="0.25"/>
    <row r="26077" ht="15" customHeight="1" x14ac:dyDescent="0.25"/>
    <row r="26078" ht="15" customHeight="1" x14ac:dyDescent="0.25"/>
    <row r="26079" ht="15" customHeight="1" x14ac:dyDescent="0.25"/>
    <row r="26080" ht="15" customHeight="1" x14ac:dyDescent="0.25"/>
    <row r="26081" ht="15" customHeight="1" x14ac:dyDescent="0.25"/>
    <row r="26082" ht="15" customHeight="1" x14ac:dyDescent="0.25"/>
    <row r="26083" ht="15" customHeight="1" x14ac:dyDescent="0.25"/>
    <row r="26084" ht="15" customHeight="1" x14ac:dyDescent="0.25"/>
    <row r="26085" ht="15" customHeight="1" x14ac:dyDescent="0.25"/>
    <row r="26086" ht="15" customHeight="1" x14ac:dyDescent="0.25"/>
    <row r="26087" ht="15" customHeight="1" x14ac:dyDescent="0.25"/>
    <row r="26088" ht="15" customHeight="1" x14ac:dyDescent="0.25"/>
    <row r="26089" ht="15" customHeight="1" x14ac:dyDescent="0.25"/>
    <row r="26090" ht="15" customHeight="1" x14ac:dyDescent="0.25"/>
    <row r="26091" ht="15" customHeight="1" x14ac:dyDescent="0.25"/>
    <row r="26092" ht="15" customHeight="1" x14ac:dyDescent="0.25"/>
    <row r="26093" ht="15" customHeight="1" x14ac:dyDescent="0.25"/>
    <row r="26094" ht="15" customHeight="1" x14ac:dyDescent="0.25"/>
    <row r="26095" ht="15" customHeight="1" x14ac:dyDescent="0.25"/>
    <row r="26096" ht="15" customHeight="1" x14ac:dyDescent="0.25"/>
    <row r="26097" ht="15" customHeight="1" x14ac:dyDescent="0.25"/>
    <row r="26098" ht="15" customHeight="1" x14ac:dyDescent="0.25"/>
    <row r="26109" ht="15" customHeight="1" x14ac:dyDescent="0.25"/>
    <row r="26110" ht="15" customHeight="1" x14ac:dyDescent="0.25"/>
    <row r="26111" ht="15" customHeight="1" x14ac:dyDescent="0.25"/>
    <row r="26112" ht="15" customHeight="1" x14ac:dyDescent="0.25"/>
    <row r="26113" ht="15" customHeight="1" x14ac:dyDescent="0.25"/>
    <row r="26114" ht="15" customHeight="1" x14ac:dyDescent="0.25"/>
    <row r="26115" ht="15" customHeight="1" x14ac:dyDescent="0.25"/>
    <row r="26116" ht="15" customHeight="1" x14ac:dyDescent="0.25"/>
    <row r="26117" ht="15" customHeight="1" x14ac:dyDescent="0.25"/>
    <row r="26118" ht="15" customHeight="1" x14ac:dyDescent="0.25"/>
    <row r="26119" ht="15" customHeight="1" x14ac:dyDescent="0.25"/>
    <row r="26120" ht="15" customHeight="1" x14ac:dyDescent="0.25"/>
    <row r="26121" ht="15" customHeight="1" x14ac:dyDescent="0.25"/>
    <row r="26122" ht="15" customHeight="1" x14ac:dyDescent="0.25"/>
    <row r="26123" ht="15" customHeight="1" x14ac:dyDescent="0.25"/>
    <row r="26124" ht="15" customHeight="1" x14ac:dyDescent="0.25"/>
    <row r="26125" ht="15" customHeight="1" x14ac:dyDescent="0.25"/>
    <row r="26126" ht="15" customHeight="1" x14ac:dyDescent="0.25"/>
    <row r="26127" ht="15" customHeight="1" x14ac:dyDescent="0.25"/>
    <row r="26128" ht="15" customHeight="1" x14ac:dyDescent="0.25"/>
    <row r="26129" ht="15" customHeight="1" x14ac:dyDescent="0.25"/>
    <row r="26130" ht="15" customHeight="1" x14ac:dyDescent="0.25"/>
    <row r="26131" ht="15" customHeight="1" x14ac:dyDescent="0.25"/>
    <row r="26132" ht="15" customHeight="1" x14ac:dyDescent="0.25"/>
    <row r="26133" ht="15" customHeight="1" x14ac:dyDescent="0.25"/>
    <row r="26134" ht="15" customHeight="1" x14ac:dyDescent="0.25"/>
    <row r="26135" ht="15" customHeight="1" x14ac:dyDescent="0.25"/>
    <row r="26136" ht="15" customHeight="1" x14ac:dyDescent="0.25"/>
    <row r="26137" ht="15" customHeight="1" x14ac:dyDescent="0.25"/>
    <row r="26138" ht="15" customHeight="1" x14ac:dyDescent="0.25"/>
    <row r="26149" ht="15" customHeight="1" x14ac:dyDescent="0.25"/>
    <row r="26150" ht="15" customHeight="1" x14ac:dyDescent="0.25"/>
    <row r="26151" ht="15" customHeight="1" x14ac:dyDescent="0.25"/>
    <row r="26152" ht="15" customHeight="1" x14ac:dyDescent="0.25"/>
    <row r="26153" ht="15" customHeight="1" x14ac:dyDescent="0.25"/>
    <row r="26154" ht="15" customHeight="1" x14ac:dyDescent="0.25"/>
    <row r="26155" ht="15" customHeight="1" x14ac:dyDescent="0.25"/>
    <row r="26156" ht="15" customHeight="1" x14ac:dyDescent="0.25"/>
    <row r="26157" ht="15" customHeight="1" x14ac:dyDescent="0.25"/>
    <row r="26158" ht="15" customHeight="1" x14ac:dyDescent="0.25"/>
    <row r="26159" ht="15" customHeight="1" x14ac:dyDescent="0.25"/>
    <row r="26160" ht="15" customHeight="1" x14ac:dyDescent="0.25"/>
    <row r="26161" ht="15" customHeight="1" x14ac:dyDescent="0.25"/>
    <row r="26162" ht="15" customHeight="1" x14ac:dyDescent="0.25"/>
    <row r="26163" ht="15" customHeight="1" x14ac:dyDescent="0.25"/>
    <row r="26164" ht="15" customHeight="1" x14ac:dyDescent="0.25"/>
    <row r="26165" ht="15" customHeight="1" x14ac:dyDescent="0.25"/>
    <row r="26166" ht="15" customHeight="1" x14ac:dyDescent="0.25"/>
    <row r="26167" ht="15" customHeight="1" x14ac:dyDescent="0.25"/>
    <row r="26168" ht="15" customHeight="1" x14ac:dyDescent="0.25"/>
    <row r="26169" ht="15" customHeight="1" x14ac:dyDescent="0.25"/>
    <row r="26170" ht="15" customHeight="1" x14ac:dyDescent="0.25"/>
    <row r="26171" ht="15" customHeight="1" x14ac:dyDescent="0.25"/>
    <row r="26172" ht="15" customHeight="1" x14ac:dyDescent="0.25"/>
    <row r="26173" ht="15" customHeight="1" x14ac:dyDescent="0.25"/>
    <row r="26174" ht="15" customHeight="1" x14ac:dyDescent="0.25"/>
    <row r="26175" ht="15" customHeight="1" x14ac:dyDescent="0.25"/>
    <row r="26176" ht="15" customHeight="1" x14ac:dyDescent="0.25"/>
    <row r="26177" ht="15" customHeight="1" x14ac:dyDescent="0.25"/>
    <row r="26178" ht="15" customHeight="1" x14ac:dyDescent="0.25"/>
    <row r="26179" ht="15" customHeight="1" x14ac:dyDescent="0.25"/>
    <row r="26190" ht="15" customHeight="1" x14ac:dyDescent="0.25"/>
    <row r="26191" ht="15" customHeight="1" x14ac:dyDescent="0.25"/>
    <row r="26192" ht="15" customHeight="1" x14ac:dyDescent="0.25"/>
    <row r="26193" ht="15" customHeight="1" x14ac:dyDescent="0.25"/>
    <row r="26194" ht="15" customHeight="1" x14ac:dyDescent="0.25"/>
    <row r="26195" ht="15" customHeight="1" x14ac:dyDescent="0.25"/>
    <row r="26196" ht="15" customHeight="1" x14ac:dyDescent="0.25"/>
    <row r="26197" ht="15" customHeight="1" x14ac:dyDescent="0.25"/>
    <row r="26198" ht="15" customHeight="1" x14ac:dyDescent="0.25"/>
    <row r="26199" ht="15" customHeight="1" x14ac:dyDescent="0.25"/>
    <row r="26200" ht="15" customHeight="1" x14ac:dyDescent="0.25"/>
    <row r="26201" ht="15" customHeight="1" x14ac:dyDescent="0.25"/>
    <row r="26202" ht="15" customHeight="1" x14ac:dyDescent="0.25"/>
    <row r="26203" ht="15" customHeight="1" x14ac:dyDescent="0.25"/>
    <row r="26204" ht="15" customHeight="1" x14ac:dyDescent="0.25"/>
    <row r="26205" ht="15" customHeight="1" x14ac:dyDescent="0.25"/>
    <row r="26206" ht="15" customHeight="1" x14ac:dyDescent="0.25"/>
    <row r="26207" ht="15" customHeight="1" x14ac:dyDescent="0.25"/>
    <row r="26208" ht="15" customHeight="1" x14ac:dyDescent="0.25"/>
    <row r="26209" ht="15" customHeight="1" x14ac:dyDescent="0.25"/>
    <row r="26210" ht="15" customHeight="1" x14ac:dyDescent="0.25"/>
    <row r="26211" ht="15" customHeight="1" x14ac:dyDescent="0.25"/>
    <row r="26212" ht="15" customHeight="1" x14ac:dyDescent="0.25"/>
    <row r="26213" ht="15" customHeight="1" x14ac:dyDescent="0.25"/>
    <row r="26214" ht="15" customHeight="1" x14ac:dyDescent="0.25"/>
    <row r="26215" ht="15" customHeight="1" x14ac:dyDescent="0.25"/>
    <row r="26216" ht="15" customHeight="1" x14ac:dyDescent="0.25"/>
    <row r="26217" ht="15" customHeight="1" x14ac:dyDescent="0.25"/>
    <row r="26218" ht="15" customHeight="1" x14ac:dyDescent="0.25"/>
    <row r="26219" ht="15" customHeight="1" x14ac:dyDescent="0.25"/>
    <row r="26220" ht="15" customHeight="1" x14ac:dyDescent="0.25"/>
    <row r="26231" ht="15" customHeight="1" x14ac:dyDescent="0.25"/>
    <row r="26232" ht="15" customHeight="1" x14ac:dyDescent="0.25"/>
    <row r="26233" ht="15" customHeight="1" x14ac:dyDescent="0.25"/>
    <row r="26234" ht="15" customHeight="1" x14ac:dyDescent="0.25"/>
    <row r="26235" ht="15" customHeight="1" x14ac:dyDescent="0.25"/>
    <row r="26236" ht="15" customHeight="1" x14ac:dyDescent="0.25"/>
    <row r="26237" ht="15" customHeight="1" x14ac:dyDescent="0.25"/>
    <row r="26238" ht="15" customHeight="1" x14ac:dyDescent="0.25"/>
    <row r="26239" ht="15" customHeight="1" x14ac:dyDescent="0.25"/>
    <row r="26240" ht="15" customHeight="1" x14ac:dyDescent="0.25"/>
    <row r="26241" ht="15" customHeight="1" x14ac:dyDescent="0.25"/>
    <row r="26242" ht="15" customHeight="1" x14ac:dyDescent="0.25"/>
    <row r="26243" ht="15" customHeight="1" x14ac:dyDescent="0.25"/>
    <row r="26244" ht="15" customHeight="1" x14ac:dyDescent="0.25"/>
    <row r="26245" ht="15" customHeight="1" x14ac:dyDescent="0.25"/>
    <row r="26246" ht="15" customHeight="1" x14ac:dyDescent="0.25"/>
    <row r="26247" ht="15" customHeight="1" x14ac:dyDescent="0.25"/>
    <row r="26248" ht="15" customHeight="1" x14ac:dyDescent="0.25"/>
    <row r="26249" ht="15" customHeight="1" x14ac:dyDescent="0.25"/>
    <row r="26250" ht="15" customHeight="1" x14ac:dyDescent="0.25"/>
    <row r="26251" ht="15" customHeight="1" x14ac:dyDescent="0.25"/>
    <row r="26252" ht="15" customHeight="1" x14ac:dyDescent="0.25"/>
    <row r="26253" ht="15" customHeight="1" x14ac:dyDescent="0.25"/>
    <row r="26254" ht="15" customHeight="1" x14ac:dyDescent="0.25"/>
    <row r="26255" ht="15" customHeight="1" x14ac:dyDescent="0.25"/>
    <row r="26256" ht="15" customHeight="1" x14ac:dyDescent="0.25"/>
    <row r="26257" ht="15" customHeight="1" x14ac:dyDescent="0.25"/>
    <row r="26258" ht="15" customHeight="1" x14ac:dyDescent="0.25"/>
    <row r="26259" ht="15" customHeight="1" x14ac:dyDescent="0.25"/>
    <row r="26260" ht="15" customHeight="1" x14ac:dyDescent="0.25"/>
    <row r="26261" ht="15" customHeight="1" x14ac:dyDescent="0.25"/>
    <row r="26272" ht="15" customHeight="1" x14ac:dyDescent="0.25"/>
    <row r="26273" ht="15" customHeight="1" x14ac:dyDescent="0.25"/>
    <row r="26274" ht="15" customHeight="1" x14ac:dyDescent="0.25"/>
    <row r="26275" ht="15" customHeight="1" x14ac:dyDescent="0.25"/>
    <row r="26276" ht="15" customHeight="1" x14ac:dyDescent="0.25"/>
    <row r="26277" ht="15" customHeight="1" x14ac:dyDescent="0.25"/>
    <row r="26278" ht="15" customHeight="1" x14ac:dyDescent="0.25"/>
    <row r="26279" ht="15" customHeight="1" x14ac:dyDescent="0.25"/>
    <row r="26280" ht="15" customHeight="1" x14ac:dyDescent="0.25"/>
    <row r="26281" ht="15" customHeight="1" x14ac:dyDescent="0.25"/>
    <row r="26282" ht="15" customHeight="1" x14ac:dyDescent="0.25"/>
    <row r="26283" ht="15" customHeight="1" x14ac:dyDescent="0.25"/>
    <row r="26284" ht="15" customHeight="1" x14ac:dyDescent="0.25"/>
    <row r="26285" ht="15" customHeight="1" x14ac:dyDescent="0.25"/>
    <row r="26286" ht="15" customHeight="1" x14ac:dyDescent="0.25"/>
    <row r="26287" ht="15" customHeight="1" x14ac:dyDescent="0.25"/>
    <row r="26288" ht="15" customHeight="1" x14ac:dyDescent="0.25"/>
    <row r="26289" ht="15" customHeight="1" x14ac:dyDescent="0.25"/>
    <row r="26290" ht="15" customHeight="1" x14ac:dyDescent="0.25"/>
    <row r="26291" ht="15" customHeight="1" x14ac:dyDescent="0.25"/>
    <row r="26292" ht="15" customHeight="1" x14ac:dyDescent="0.25"/>
    <row r="26293" ht="15" customHeight="1" x14ac:dyDescent="0.25"/>
    <row r="26294" ht="15" customHeight="1" x14ac:dyDescent="0.25"/>
    <row r="26295" ht="15" customHeight="1" x14ac:dyDescent="0.25"/>
    <row r="26296" ht="15" customHeight="1" x14ac:dyDescent="0.25"/>
    <row r="26297" ht="15" customHeight="1" x14ac:dyDescent="0.25"/>
    <row r="26298" ht="15" customHeight="1" x14ac:dyDescent="0.25"/>
    <row r="26299" ht="15" customHeight="1" x14ac:dyDescent="0.25"/>
    <row r="26300" ht="15" customHeight="1" x14ac:dyDescent="0.25"/>
    <row r="26301" ht="15" customHeight="1" x14ac:dyDescent="0.25"/>
    <row r="26302" ht="15" customHeight="1" x14ac:dyDescent="0.25"/>
    <row r="26313" ht="15" customHeight="1" x14ac:dyDescent="0.25"/>
    <row r="26314" ht="15" customHeight="1" x14ac:dyDescent="0.25"/>
    <row r="26315" ht="15" customHeight="1" x14ac:dyDescent="0.25"/>
    <row r="26316" ht="15" customHeight="1" x14ac:dyDescent="0.25"/>
    <row r="26317" ht="15" customHeight="1" x14ac:dyDescent="0.25"/>
    <row r="26318" ht="15" customHeight="1" x14ac:dyDescent="0.25"/>
    <row r="26319" ht="15" customHeight="1" x14ac:dyDescent="0.25"/>
    <row r="26320" ht="15" customHeight="1" x14ac:dyDescent="0.25"/>
    <row r="26321" ht="15" customHeight="1" x14ac:dyDescent="0.25"/>
    <row r="26322" ht="15" customHeight="1" x14ac:dyDescent="0.25"/>
    <row r="26323" ht="15" customHeight="1" x14ac:dyDescent="0.25"/>
    <row r="26324" ht="15" customHeight="1" x14ac:dyDescent="0.25"/>
    <row r="26325" ht="15" customHeight="1" x14ac:dyDescent="0.25"/>
    <row r="26326" ht="15" customHeight="1" x14ac:dyDescent="0.25"/>
    <row r="26327" ht="15" customHeight="1" x14ac:dyDescent="0.25"/>
    <row r="26328" ht="15" customHeight="1" x14ac:dyDescent="0.25"/>
    <row r="26329" ht="15" customHeight="1" x14ac:dyDescent="0.25"/>
    <row r="26330" ht="15" customHeight="1" x14ac:dyDescent="0.25"/>
    <row r="26331" ht="15" customHeight="1" x14ac:dyDescent="0.25"/>
    <row r="26332" ht="15" customHeight="1" x14ac:dyDescent="0.25"/>
    <row r="26333" ht="15" customHeight="1" x14ac:dyDescent="0.25"/>
    <row r="26334" ht="15" customHeight="1" x14ac:dyDescent="0.25"/>
    <row r="26335" ht="15" customHeight="1" x14ac:dyDescent="0.25"/>
    <row r="26336" ht="15" customHeight="1" x14ac:dyDescent="0.25"/>
    <row r="26337" ht="15" customHeight="1" x14ac:dyDescent="0.25"/>
    <row r="26338" ht="15" customHeight="1" x14ac:dyDescent="0.25"/>
    <row r="26339" ht="15" customHeight="1" x14ac:dyDescent="0.25"/>
    <row r="26340" ht="15" customHeight="1" x14ac:dyDescent="0.25"/>
    <row r="26341" ht="15" customHeight="1" x14ac:dyDescent="0.25"/>
    <row r="26342" ht="15" customHeight="1" x14ac:dyDescent="0.25"/>
    <row r="26343" ht="15" customHeight="1" x14ac:dyDescent="0.25"/>
    <row r="26354" ht="15" customHeight="1" x14ac:dyDescent="0.25"/>
    <row r="26355" ht="15" customHeight="1" x14ac:dyDescent="0.25"/>
    <row r="26356" ht="15" customHeight="1" x14ac:dyDescent="0.25"/>
    <row r="26357" ht="15" customHeight="1" x14ac:dyDescent="0.25"/>
    <row r="26358" ht="15" customHeight="1" x14ac:dyDescent="0.25"/>
    <row r="26359" ht="15" customHeight="1" x14ac:dyDescent="0.25"/>
    <row r="26360" ht="15" customHeight="1" x14ac:dyDescent="0.25"/>
    <row r="26361" ht="15" customHeight="1" x14ac:dyDescent="0.25"/>
    <row r="26362" ht="15" customHeight="1" x14ac:dyDescent="0.25"/>
    <row r="26363" ht="15" customHeight="1" x14ac:dyDescent="0.25"/>
    <row r="26364" ht="15" customHeight="1" x14ac:dyDescent="0.25"/>
    <row r="26365" ht="15" customHeight="1" x14ac:dyDescent="0.25"/>
    <row r="26366" ht="15" customHeight="1" x14ac:dyDescent="0.25"/>
    <row r="26367" ht="15" customHeight="1" x14ac:dyDescent="0.25"/>
    <row r="26368" ht="15" customHeight="1" x14ac:dyDescent="0.25"/>
    <row r="26369" ht="15" customHeight="1" x14ac:dyDescent="0.25"/>
    <row r="26370" ht="15" customHeight="1" x14ac:dyDescent="0.25"/>
    <row r="26371" ht="15" customHeight="1" x14ac:dyDescent="0.25"/>
    <row r="26372" ht="15" customHeight="1" x14ac:dyDescent="0.25"/>
    <row r="26373" ht="15" customHeight="1" x14ac:dyDescent="0.25"/>
    <row r="26374" ht="15" customHeight="1" x14ac:dyDescent="0.25"/>
    <row r="26375" ht="15" customHeight="1" x14ac:dyDescent="0.25"/>
    <row r="26376" ht="15" customHeight="1" x14ac:dyDescent="0.25"/>
    <row r="26377" ht="15" customHeight="1" x14ac:dyDescent="0.25"/>
    <row r="26378" ht="15" customHeight="1" x14ac:dyDescent="0.25"/>
    <row r="26379" ht="15" customHeight="1" x14ac:dyDescent="0.25"/>
    <row r="26380" ht="15" customHeight="1" x14ac:dyDescent="0.25"/>
    <row r="26381" ht="15" customHeight="1" x14ac:dyDescent="0.25"/>
    <row r="26382" ht="15" customHeight="1" x14ac:dyDescent="0.25"/>
    <row r="26383" ht="15" customHeight="1" x14ac:dyDescent="0.25"/>
    <row r="26384" ht="15" customHeight="1" x14ac:dyDescent="0.25"/>
    <row r="26395" ht="15" customHeight="1" x14ac:dyDescent="0.25"/>
    <row r="26396" ht="15" customHeight="1" x14ac:dyDescent="0.25"/>
    <row r="26397" ht="15" customHeight="1" x14ac:dyDescent="0.25"/>
    <row r="26398" ht="15" customHeight="1" x14ac:dyDescent="0.25"/>
    <row r="26399" ht="15" customHeight="1" x14ac:dyDescent="0.25"/>
    <row r="26400" ht="15" customHeight="1" x14ac:dyDescent="0.25"/>
    <row r="26401" ht="15" customHeight="1" x14ac:dyDescent="0.25"/>
    <row r="26412" ht="15" customHeight="1" x14ac:dyDescent="0.25"/>
    <row r="26413" ht="15" customHeight="1" x14ac:dyDescent="0.25"/>
    <row r="26414" ht="15" customHeight="1" x14ac:dyDescent="0.25"/>
    <row r="26415" ht="15" customHeight="1" x14ac:dyDescent="0.25"/>
    <row r="26416" ht="15" customHeight="1" x14ac:dyDescent="0.25"/>
    <row r="26417" ht="15" customHeight="1" x14ac:dyDescent="0.25"/>
    <row r="26418" ht="15" customHeight="1" x14ac:dyDescent="0.25"/>
    <row r="26429" ht="15" customHeight="1" x14ac:dyDescent="0.25"/>
    <row r="26430" ht="15" customHeight="1" x14ac:dyDescent="0.25"/>
    <row r="26431" ht="15" customHeight="1" x14ac:dyDescent="0.25"/>
    <row r="26432" ht="15" customHeight="1" x14ac:dyDescent="0.25"/>
    <row r="26433" ht="15" customHeight="1" x14ac:dyDescent="0.25"/>
    <row r="26434" ht="15" customHeight="1" x14ac:dyDescent="0.25"/>
    <row r="26435" ht="15" customHeight="1" x14ac:dyDescent="0.25"/>
    <row r="26446" ht="15" customHeight="1" x14ac:dyDescent="0.25"/>
    <row r="26447" ht="15" customHeight="1" x14ac:dyDescent="0.25"/>
    <row r="26448" ht="15" customHeight="1" x14ac:dyDescent="0.25"/>
    <row r="26449" ht="15" customHeight="1" x14ac:dyDescent="0.25"/>
    <row r="26450" ht="15" customHeight="1" x14ac:dyDescent="0.25"/>
    <row r="26451" ht="15" customHeight="1" x14ac:dyDescent="0.25"/>
    <row r="26452" ht="15" customHeight="1" x14ac:dyDescent="0.25"/>
    <row r="26463" ht="15" customHeight="1" x14ac:dyDescent="0.25"/>
    <row r="26464" ht="15" customHeight="1" x14ac:dyDescent="0.25"/>
    <row r="26465" ht="15" customHeight="1" x14ac:dyDescent="0.25"/>
    <row r="26466" ht="15" customHeight="1" x14ac:dyDescent="0.25"/>
    <row r="26467" ht="15" customHeight="1" x14ac:dyDescent="0.25"/>
    <row r="26468" ht="15" customHeight="1" x14ac:dyDescent="0.25"/>
    <row r="26469" ht="15" customHeight="1" x14ac:dyDescent="0.25"/>
    <row r="26480" ht="15" customHeight="1" x14ac:dyDescent="0.25"/>
    <row r="26481" ht="15" customHeight="1" x14ac:dyDescent="0.25"/>
    <row r="26482" ht="15" customHeight="1" x14ac:dyDescent="0.25"/>
    <row r="26483" ht="15" customHeight="1" x14ac:dyDescent="0.25"/>
    <row r="26484" ht="15" customHeight="1" x14ac:dyDescent="0.25"/>
    <row r="26485" ht="15" customHeight="1" x14ac:dyDescent="0.25"/>
    <row r="26486" ht="15" customHeight="1" x14ac:dyDescent="0.25"/>
    <row r="26497" ht="15" customHeight="1" x14ac:dyDescent="0.25"/>
    <row r="26498" ht="15" customHeight="1" x14ac:dyDescent="0.25"/>
    <row r="26499" ht="15" customHeight="1" x14ac:dyDescent="0.25"/>
    <row r="26500" ht="15" customHeight="1" x14ac:dyDescent="0.25"/>
    <row r="26501" ht="15" customHeight="1" x14ac:dyDescent="0.25"/>
    <row r="26502" ht="15" customHeight="1" x14ac:dyDescent="0.25"/>
    <row r="26503" ht="15" customHeight="1" x14ac:dyDescent="0.25"/>
    <row r="26514" ht="15" customHeight="1" x14ac:dyDescent="0.25"/>
    <row r="26515" ht="15" customHeight="1" x14ac:dyDescent="0.25"/>
    <row r="26516" ht="15" customHeight="1" x14ac:dyDescent="0.25"/>
    <row r="26517" ht="15" customHeight="1" x14ac:dyDescent="0.25"/>
    <row r="26518" ht="15" customHeight="1" x14ac:dyDescent="0.25"/>
    <row r="26519" ht="15" customHeight="1" x14ac:dyDescent="0.25"/>
    <row r="26520" ht="15" customHeight="1" x14ac:dyDescent="0.25"/>
    <row r="26531" ht="15" customHeight="1" x14ac:dyDescent="0.25"/>
    <row r="26532" ht="15" customHeight="1" x14ac:dyDescent="0.25"/>
    <row r="26533" ht="15" customHeight="1" x14ac:dyDescent="0.25"/>
    <row r="26534" ht="15" customHeight="1" x14ac:dyDescent="0.25"/>
    <row r="26535" ht="15" customHeight="1" x14ac:dyDescent="0.25"/>
    <row r="26536" ht="15" customHeight="1" x14ac:dyDescent="0.25"/>
    <row r="26537" ht="15" customHeight="1" x14ac:dyDescent="0.25"/>
    <row r="26548" ht="15" customHeight="1" x14ac:dyDescent="0.25"/>
    <row r="26549" ht="15" customHeight="1" x14ac:dyDescent="0.25"/>
    <row r="26550" ht="15" customHeight="1" x14ac:dyDescent="0.25"/>
    <row r="26551" ht="15" customHeight="1" x14ac:dyDescent="0.25"/>
    <row r="26552" ht="15" customHeight="1" x14ac:dyDescent="0.25"/>
    <row r="26553" ht="15" customHeight="1" x14ac:dyDescent="0.25"/>
    <row r="26554" ht="15" customHeight="1" x14ac:dyDescent="0.25"/>
    <row r="26565" ht="15" customHeight="1" x14ac:dyDescent="0.25"/>
    <row r="26566" ht="15" customHeight="1" x14ac:dyDescent="0.25"/>
    <row r="26567" ht="15" customHeight="1" x14ac:dyDescent="0.25"/>
    <row r="26568" ht="15" customHeight="1" x14ac:dyDescent="0.25"/>
    <row r="26569" ht="15" customHeight="1" x14ac:dyDescent="0.25"/>
    <row r="26570" ht="15" customHeight="1" x14ac:dyDescent="0.25"/>
    <row r="26571" ht="15" customHeight="1" x14ac:dyDescent="0.25"/>
    <row r="26582" ht="15" customHeight="1" x14ac:dyDescent="0.25"/>
    <row r="26583" ht="15" customHeight="1" x14ac:dyDescent="0.25"/>
    <row r="26584" ht="15" customHeight="1" x14ac:dyDescent="0.25"/>
    <row r="26585" ht="15" customHeight="1" x14ac:dyDescent="0.25"/>
    <row r="26586" ht="15" customHeight="1" x14ac:dyDescent="0.25"/>
    <row r="26587" ht="15" customHeight="1" x14ac:dyDescent="0.25"/>
    <row r="26588" ht="15" customHeight="1" x14ac:dyDescent="0.25"/>
    <row r="26599" ht="15" customHeight="1" x14ac:dyDescent="0.25"/>
    <row r="26600" ht="15" customHeight="1" x14ac:dyDescent="0.25"/>
    <row r="26601" ht="15" customHeight="1" x14ac:dyDescent="0.25"/>
    <row r="26602" ht="15" customHeight="1" x14ac:dyDescent="0.25"/>
    <row r="26603" ht="15" customHeight="1" x14ac:dyDescent="0.25"/>
    <row r="26604" ht="15" customHeight="1" x14ac:dyDescent="0.25"/>
    <row r="26605" ht="15" customHeight="1" x14ac:dyDescent="0.25"/>
    <row r="26616" ht="15" customHeight="1" x14ac:dyDescent="0.25"/>
    <row r="26617" ht="15" customHeight="1" x14ac:dyDescent="0.25"/>
    <row r="26618" ht="15" customHeight="1" x14ac:dyDescent="0.25"/>
    <row r="26619" ht="15" customHeight="1" x14ac:dyDescent="0.25"/>
    <row r="26620" ht="15" customHeight="1" x14ac:dyDescent="0.25"/>
    <row r="26621" ht="15" customHeight="1" x14ac:dyDescent="0.25"/>
    <row r="26622" ht="15" customHeight="1" x14ac:dyDescent="0.25"/>
    <row r="26633" ht="15" customHeight="1" x14ac:dyDescent="0.25"/>
    <row r="26634" ht="15" customHeight="1" x14ac:dyDescent="0.25"/>
    <row r="26635" ht="15" customHeight="1" x14ac:dyDescent="0.25"/>
    <row r="26636" ht="15" customHeight="1" x14ac:dyDescent="0.25"/>
    <row r="26637" ht="15" customHeight="1" x14ac:dyDescent="0.25"/>
    <row r="26638" ht="15" customHeight="1" x14ac:dyDescent="0.25"/>
    <row r="26639" ht="15" customHeight="1" x14ac:dyDescent="0.25"/>
    <row r="26650" ht="15" customHeight="1" x14ac:dyDescent="0.25"/>
    <row r="26651" ht="15" customHeight="1" x14ac:dyDescent="0.25"/>
    <row r="26652" ht="15" customHeight="1" x14ac:dyDescent="0.25"/>
    <row r="26653" ht="15" customHeight="1" x14ac:dyDescent="0.25"/>
    <row r="26654" ht="15" customHeight="1" x14ac:dyDescent="0.25"/>
    <row r="26655" ht="15" customHeight="1" x14ac:dyDescent="0.25"/>
    <row r="26656" ht="15" customHeight="1" x14ac:dyDescent="0.25"/>
    <row r="26667" ht="15" customHeight="1" x14ac:dyDescent="0.25"/>
    <row r="26668" ht="15" customHeight="1" x14ac:dyDescent="0.25"/>
    <row r="26669" ht="15" customHeight="1" x14ac:dyDescent="0.25"/>
    <row r="26670" ht="15" customHeight="1" x14ac:dyDescent="0.25"/>
    <row r="26671" ht="15" customHeight="1" x14ac:dyDescent="0.25"/>
    <row r="26672" ht="15" customHeight="1" x14ac:dyDescent="0.25"/>
    <row r="26673" ht="15" customHeight="1" x14ac:dyDescent="0.25"/>
    <row r="26684" ht="15" customHeight="1" x14ac:dyDescent="0.25"/>
    <row r="26685" ht="15" customHeight="1" x14ac:dyDescent="0.25"/>
    <row r="26686" ht="15" customHeight="1" x14ac:dyDescent="0.25"/>
    <row r="26687" ht="15" customHeight="1" x14ac:dyDescent="0.25"/>
    <row r="26688" ht="15" customHeight="1" x14ac:dyDescent="0.25"/>
    <row r="26689" ht="15" customHeight="1" x14ac:dyDescent="0.25"/>
    <row r="26690" ht="15" customHeight="1" x14ac:dyDescent="0.25"/>
    <row r="26701" ht="15" customHeight="1" x14ac:dyDescent="0.25"/>
    <row r="26702" ht="15" customHeight="1" x14ac:dyDescent="0.25"/>
    <row r="26703" ht="15" customHeight="1" x14ac:dyDescent="0.25"/>
    <row r="26704" ht="15" customHeight="1" x14ac:dyDescent="0.25"/>
    <row r="26705" ht="15" customHeight="1" x14ac:dyDescent="0.25"/>
    <row r="26706" ht="15" customHeight="1" x14ac:dyDescent="0.25"/>
    <row r="26707" ht="15" customHeight="1" x14ac:dyDescent="0.25"/>
    <row r="26718" ht="15" customHeight="1" x14ac:dyDescent="0.25"/>
    <row r="26719" ht="15" customHeight="1" x14ac:dyDescent="0.25"/>
    <row r="26720" ht="15" customHeight="1" x14ac:dyDescent="0.25"/>
    <row r="26721" ht="15" customHeight="1" x14ac:dyDescent="0.25"/>
    <row r="26722" ht="15" customHeight="1" x14ac:dyDescent="0.25"/>
    <row r="26723" ht="15" customHeight="1" x14ac:dyDescent="0.25"/>
    <row r="26724" ht="15" customHeight="1" x14ac:dyDescent="0.25"/>
    <row r="26735" ht="15" customHeight="1" x14ac:dyDescent="0.25"/>
    <row r="26736" ht="15" customHeight="1" x14ac:dyDescent="0.25"/>
    <row r="26737" ht="15" customHeight="1" x14ac:dyDescent="0.25"/>
    <row r="26738" ht="15" customHeight="1" x14ac:dyDescent="0.25"/>
    <row r="26739" ht="15" customHeight="1" x14ac:dyDescent="0.25"/>
    <row r="26740" ht="15" customHeight="1" x14ac:dyDescent="0.25"/>
    <row r="26741" ht="15" customHeight="1" x14ac:dyDescent="0.25"/>
    <row r="26752" ht="15" customHeight="1" x14ac:dyDescent="0.25"/>
    <row r="26753" ht="15" customHeight="1" x14ac:dyDescent="0.25"/>
    <row r="26754" ht="15" customHeight="1" x14ac:dyDescent="0.25"/>
    <row r="26755" ht="15" customHeight="1" x14ac:dyDescent="0.25"/>
    <row r="26756" ht="15" customHeight="1" x14ac:dyDescent="0.25"/>
    <row r="26757" ht="15" customHeight="1" x14ac:dyDescent="0.25"/>
    <row r="26758" ht="15" customHeight="1" x14ac:dyDescent="0.25"/>
    <row r="26769" ht="15" customHeight="1" x14ac:dyDescent="0.25"/>
    <row r="26770" ht="15" customHeight="1" x14ac:dyDescent="0.25"/>
    <row r="26771" ht="15" customHeight="1" x14ac:dyDescent="0.25"/>
    <row r="26772" ht="15" customHeight="1" x14ac:dyDescent="0.25"/>
    <row r="26773" ht="15" customHeight="1" x14ac:dyDescent="0.25"/>
    <row r="26774" ht="15" customHeight="1" x14ac:dyDescent="0.25"/>
    <row r="26775" ht="15" customHeight="1" x14ac:dyDescent="0.25"/>
    <row r="26786" ht="15" customHeight="1" x14ac:dyDescent="0.25"/>
    <row r="26787" ht="15" customHeight="1" x14ac:dyDescent="0.25"/>
    <row r="26788" ht="15" customHeight="1" x14ac:dyDescent="0.25"/>
    <row r="26789" ht="15" customHeight="1" x14ac:dyDescent="0.25"/>
    <row r="26790" ht="15" customHeight="1" x14ac:dyDescent="0.25"/>
    <row r="26791" ht="15" customHeight="1" x14ac:dyDescent="0.25"/>
    <row r="26792" ht="15" customHeight="1" x14ac:dyDescent="0.25"/>
    <row r="26803" ht="15" customHeight="1" x14ac:dyDescent="0.25"/>
    <row r="26804" ht="15" customHeight="1" x14ac:dyDescent="0.25"/>
    <row r="26805" ht="15" customHeight="1" x14ac:dyDescent="0.25"/>
    <row r="26806" ht="15" customHeight="1" x14ac:dyDescent="0.25"/>
    <row r="26807" ht="15" customHeight="1" x14ac:dyDescent="0.25"/>
    <row r="26808" ht="15" customHeight="1" x14ac:dyDescent="0.25"/>
    <row r="26809" ht="15" customHeight="1" x14ac:dyDescent="0.25"/>
    <row r="26810" ht="15" customHeight="1" x14ac:dyDescent="0.25"/>
    <row r="26811" ht="15" customHeight="1" x14ac:dyDescent="0.25"/>
    <row r="26812" ht="15" customHeight="1" x14ac:dyDescent="0.25"/>
    <row r="26813" ht="15" customHeight="1" x14ac:dyDescent="0.25"/>
    <row r="26814" ht="15" customHeight="1" x14ac:dyDescent="0.25"/>
    <row r="26815" ht="15" customHeight="1" x14ac:dyDescent="0.25"/>
    <row r="26816" ht="15" customHeight="1" x14ac:dyDescent="0.25"/>
    <row r="26817" ht="15" customHeight="1" x14ac:dyDescent="0.25"/>
    <row r="26818" ht="15" customHeight="1" x14ac:dyDescent="0.25"/>
    <row r="26819" ht="15" customHeight="1" x14ac:dyDescent="0.25"/>
    <row r="26820" ht="15" customHeight="1" x14ac:dyDescent="0.25"/>
    <row r="26821" ht="15" customHeight="1" x14ac:dyDescent="0.25"/>
    <row r="26822" ht="15" customHeight="1" x14ac:dyDescent="0.25"/>
    <row r="26823" ht="15" customHeight="1" x14ac:dyDescent="0.25"/>
    <row r="26824" ht="15" customHeight="1" x14ac:dyDescent="0.25"/>
    <row r="26825" ht="15" customHeight="1" x14ac:dyDescent="0.25"/>
    <row r="26826" ht="15" customHeight="1" x14ac:dyDescent="0.25"/>
    <row r="26827" ht="15" customHeight="1" x14ac:dyDescent="0.25"/>
    <row r="26828" ht="15" customHeight="1" x14ac:dyDescent="0.25"/>
    <row r="26829" ht="15" customHeight="1" x14ac:dyDescent="0.25"/>
    <row r="26830" ht="15" customHeight="1" x14ac:dyDescent="0.25"/>
    <row r="26831" ht="15" customHeight="1" x14ac:dyDescent="0.25"/>
    <row r="26832" ht="15" customHeight="1" x14ac:dyDescent="0.25"/>
    <row r="26843" ht="15" customHeight="1" x14ac:dyDescent="0.25"/>
    <row r="26844" ht="15" customHeight="1" x14ac:dyDescent="0.25"/>
    <row r="26845" ht="15" customHeight="1" x14ac:dyDescent="0.25"/>
    <row r="26846" ht="15" customHeight="1" x14ac:dyDescent="0.25"/>
    <row r="26847" ht="15" customHeight="1" x14ac:dyDescent="0.25"/>
    <row r="26848" ht="15" customHeight="1" x14ac:dyDescent="0.25"/>
    <row r="26849" ht="15" customHeight="1" x14ac:dyDescent="0.25"/>
    <row r="26850" ht="15" customHeight="1" x14ac:dyDescent="0.25"/>
    <row r="26851" ht="15" customHeight="1" x14ac:dyDescent="0.25"/>
    <row r="26852" ht="15" customHeight="1" x14ac:dyDescent="0.25"/>
    <row r="26853" ht="15" customHeight="1" x14ac:dyDescent="0.25"/>
    <row r="26854" ht="15" customHeight="1" x14ac:dyDescent="0.25"/>
    <row r="26855" ht="15" customHeight="1" x14ac:dyDescent="0.25"/>
    <row r="26856" ht="15" customHeight="1" x14ac:dyDescent="0.25"/>
    <row r="26857" ht="15" customHeight="1" x14ac:dyDescent="0.25"/>
    <row r="26858" ht="15" customHeight="1" x14ac:dyDescent="0.25"/>
    <row r="26859" ht="15" customHeight="1" x14ac:dyDescent="0.25"/>
    <row r="26860" ht="15" customHeight="1" x14ac:dyDescent="0.25"/>
    <row r="26861" ht="15" customHeight="1" x14ac:dyDescent="0.25"/>
    <row r="26862" ht="15" customHeight="1" x14ac:dyDescent="0.25"/>
    <row r="26863" ht="15" customHeight="1" x14ac:dyDescent="0.25"/>
    <row r="26864" ht="15" customHeight="1" x14ac:dyDescent="0.25"/>
    <row r="26865" ht="15" customHeight="1" x14ac:dyDescent="0.25"/>
    <row r="26866" ht="15" customHeight="1" x14ac:dyDescent="0.25"/>
    <row r="26867" ht="15" customHeight="1" x14ac:dyDescent="0.25"/>
    <row r="26868" ht="15" customHeight="1" x14ac:dyDescent="0.25"/>
    <row r="26869" ht="15" customHeight="1" x14ac:dyDescent="0.25"/>
    <row r="26870" ht="15" customHeight="1" x14ac:dyDescent="0.25"/>
    <row r="26871" ht="15" customHeight="1" x14ac:dyDescent="0.25"/>
    <row r="26872" ht="15" customHeight="1" x14ac:dyDescent="0.25"/>
    <row r="26883" ht="15" customHeight="1" x14ac:dyDescent="0.25"/>
    <row r="26884" ht="15" customHeight="1" x14ac:dyDescent="0.25"/>
    <row r="26885" ht="15" customHeight="1" x14ac:dyDescent="0.25"/>
    <row r="26886" ht="15" customHeight="1" x14ac:dyDescent="0.25"/>
    <row r="26887" ht="15" customHeight="1" x14ac:dyDescent="0.25"/>
    <row r="26888" ht="15" customHeight="1" x14ac:dyDescent="0.25"/>
    <row r="26889" ht="15" customHeight="1" x14ac:dyDescent="0.25"/>
    <row r="26890" ht="15" customHeight="1" x14ac:dyDescent="0.25"/>
    <row r="26891" ht="15" customHeight="1" x14ac:dyDescent="0.25"/>
    <row r="26892" ht="15" customHeight="1" x14ac:dyDescent="0.25"/>
    <row r="26893" ht="15" customHeight="1" x14ac:dyDescent="0.25"/>
    <row r="26894" ht="15" customHeight="1" x14ac:dyDescent="0.25"/>
    <row r="26895" ht="15" customHeight="1" x14ac:dyDescent="0.25"/>
    <row r="26896" ht="15" customHeight="1" x14ac:dyDescent="0.25"/>
    <row r="26897" ht="15" customHeight="1" x14ac:dyDescent="0.25"/>
    <row r="26898" ht="15" customHeight="1" x14ac:dyDescent="0.25"/>
    <row r="26903" ht="15" customHeight="1" x14ac:dyDescent="0.25"/>
    <row r="26915" ht="15" customHeight="1" x14ac:dyDescent="0.25"/>
    <row r="26916" ht="15" customHeight="1" x14ac:dyDescent="0.25"/>
    <row r="26917" ht="15" customHeight="1" x14ac:dyDescent="0.25"/>
    <row r="26918" ht="15" customHeight="1" x14ac:dyDescent="0.25"/>
    <row r="26919" ht="15" customHeight="1" x14ac:dyDescent="0.25"/>
    <row r="26920" ht="15" customHeight="1" x14ac:dyDescent="0.25"/>
    <row r="26921" ht="15" customHeight="1" x14ac:dyDescent="0.25"/>
    <row r="26922" ht="15" customHeight="1" x14ac:dyDescent="0.25"/>
    <row r="26923" ht="15" customHeight="1" x14ac:dyDescent="0.25"/>
    <row r="26924" ht="15" customHeight="1" x14ac:dyDescent="0.25"/>
    <row r="26925" ht="15" customHeight="1" x14ac:dyDescent="0.25"/>
    <row r="26926" ht="15" customHeight="1" x14ac:dyDescent="0.25"/>
    <row r="26927" ht="15" customHeight="1" x14ac:dyDescent="0.25"/>
    <row r="26928" ht="15" customHeight="1" x14ac:dyDescent="0.25"/>
    <row r="26929" ht="15" customHeight="1" x14ac:dyDescent="0.25"/>
    <row r="26930" ht="15" customHeight="1" x14ac:dyDescent="0.25"/>
    <row r="26931" ht="15" customHeight="1" x14ac:dyDescent="0.25"/>
    <row r="26932" ht="15" customHeight="1" x14ac:dyDescent="0.25"/>
    <row r="26933" ht="15" customHeight="1" x14ac:dyDescent="0.25"/>
    <row r="26934" ht="15" customHeight="1" x14ac:dyDescent="0.25"/>
    <row r="26935" ht="15" customHeight="1" x14ac:dyDescent="0.25"/>
    <row r="26936" ht="15" customHeight="1" x14ac:dyDescent="0.25"/>
    <row r="26937" ht="15" customHeight="1" x14ac:dyDescent="0.25"/>
    <row r="26938" ht="15" customHeight="1" x14ac:dyDescent="0.25"/>
    <row r="26939" ht="15" customHeight="1" x14ac:dyDescent="0.25"/>
    <row r="26940" ht="15" customHeight="1" x14ac:dyDescent="0.25"/>
    <row r="26941" ht="15" customHeight="1" x14ac:dyDescent="0.25"/>
    <row r="26942" ht="15" customHeight="1" x14ac:dyDescent="0.25"/>
    <row r="26943" ht="15" customHeight="1" x14ac:dyDescent="0.25"/>
    <row r="26944" ht="15" customHeight="1" x14ac:dyDescent="0.25"/>
    <row r="26955" ht="15" customHeight="1" x14ac:dyDescent="0.25"/>
    <row r="26956" ht="15" customHeight="1" x14ac:dyDescent="0.25"/>
    <row r="26957" ht="15" customHeight="1" x14ac:dyDescent="0.25"/>
    <row r="26958" ht="15" customHeight="1" x14ac:dyDescent="0.25"/>
    <row r="26959" ht="15" customHeight="1" x14ac:dyDescent="0.25"/>
    <row r="26960" ht="15" customHeight="1" x14ac:dyDescent="0.25"/>
    <row r="26961" ht="15" customHeight="1" x14ac:dyDescent="0.25"/>
    <row r="26962" ht="15" customHeight="1" x14ac:dyDescent="0.25"/>
    <row r="26963" ht="15" customHeight="1" x14ac:dyDescent="0.25"/>
    <row r="26964" ht="15" customHeight="1" x14ac:dyDescent="0.25"/>
    <row r="26965" ht="15" customHeight="1" x14ac:dyDescent="0.25"/>
    <row r="26966" ht="15" customHeight="1" x14ac:dyDescent="0.25"/>
    <row r="26967" ht="15" customHeight="1" x14ac:dyDescent="0.25"/>
    <row r="26968" ht="15" customHeight="1" x14ac:dyDescent="0.25"/>
    <row r="26969" ht="15" customHeight="1" x14ac:dyDescent="0.25"/>
    <row r="26970" ht="15" customHeight="1" x14ac:dyDescent="0.25"/>
    <row r="26971" ht="15" customHeight="1" x14ac:dyDescent="0.25"/>
    <row r="26972" ht="15" customHeight="1" x14ac:dyDescent="0.25"/>
    <row r="26973" ht="15" customHeight="1" x14ac:dyDescent="0.25"/>
    <row r="26974" ht="15" customHeight="1" x14ac:dyDescent="0.25"/>
    <row r="26975" ht="15" customHeight="1" x14ac:dyDescent="0.25"/>
    <row r="26976" ht="15" customHeight="1" x14ac:dyDescent="0.25"/>
    <row r="26977" ht="15" customHeight="1" x14ac:dyDescent="0.25"/>
    <row r="26978" ht="15" customHeight="1" x14ac:dyDescent="0.25"/>
    <row r="26979" ht="15" customHeight="1" x14ac:dyDescent="0.25"/>
    <row r="26980" ht="15" customHeight="1" x14ac:dyDescent="0.25"/>
    <row r="26981" ht="15" customHeight="1" x14ac:dyDescent="0.25"/>
    <row r="26982" ht="15" customHeight="1" x14ac:dyDescent="0.25"/>
    <row r="26983" ht="15" customHeight="1" x14ac:dyDescent="0.25"/>
    <row r="26984" ht="15" customHeight="1" x14ac:dyDescent="0.25"/>
    <row r="26995" ht="15" customHeight="1" x14ac:dyDescent="0.25"/>
    <row r="26996" ht="15" customHeight="1" x14ac:dyDescent="0.25"/>
    <row r="26997" ht="15" customHeight="1" x14ac:dyDescent="0.25"/>
    <row r="26998" ht="15" customHeight="1" x14ac:dyDescent="0.25"/>
    <row r="26999" ht="15" customHeight="1" x14ac:dyDescent="0.25"/>
    <row r="27000" ht="15" customHeight="1" x14ac:dyDescent="0.25"/>
    <row r="27001" ht="15" customHeight="1" x14ac:dyDescent="0.25"/>
    <row r="27002" ht="15" customHeight="1" x14ac:dyDescent="0.25"/>
    <row r="27003" ht="15" customHeight="1" x14ac:dyDescent="0.25"/>
    <row r="27004" ht="15" customHeight="1" x14ac:dyDescent="0.25"/>
    <row r="27005" ht="15" customHeight="1" x14ac:dyDescent="0.25"/>
    <row r="27006" ht="15" customHeight="1" x14ac:dyDescent="0.25"/>
    <row r="27007" ht="15" customHeight="1" x14ac:dyDescent="0.25"/>
    <row r="27008" ht="15" customHeight="1" x14ac:dyDescent="0.25"/>
    <row r="27009" ht="15" customHeight="1" x14ac:dyDescent="0.25"/>
    <row r="27010" ht="15" customHeight="1" x14ac:dyDescent="0.25"/>
    <row r="27011" ht="15" customHeight="1" x14ac:dyDescent="0.25"/>
    <row r="27012" ht="15" customHeight="1" x14ac:dyDescent="0.25"/>
    <row r="27013" ht="15" customHeight="1" x14ac:dyDescent="0.25"/>
    <row r="27014" ht="15" customHeight="1" x14ac:dyDescent="0.25"/>
    <row r="27015" ht="15" customHeight="1" x14ac:dyDescent="0.25"/>
    <row r="27016" ht="15" customHeight="1" x14ac:dyDescent="0.25"/>
    <row r="27017" ht="15" customHeight="1" x14ac:dyDescent="0.25"/>
    <row r="27018" ht="15" customHeight="1" x14ac:dyDescent="0.25"/>
    <row r="27019" ht="15" customHeight="1" x14ac:dyDescent="0.25"/>
    <row r="27020" ht="15" customHeight="1" x14ac:dyDescent="0.25"/>
    <row r="27021" ht="15" customHeight="1" x14ac:dyDescent="0.25"/>
    <row r="27022" ht="15" customHeight="1" x14ac:dyDescent="0.25"/>
    <row r="27023" ht="15" customHeight="1" x14ac:dyDescent="0.25"/>
    <row r="27024" ht="15" customHeight="1" x14ac:dyDescent="0.25"/>
    <row r="27025" ht="15" customHeight="1" x14ac:dyDescent="0.25"/>
    <row r="27036" ht="15" customHeight="1" x14ac:dyDescent="0.25"/>
    <row r="27037" ht="15" customHeight="1" x14ac:dyDescent="0.25"/>
    <row r="27038" ht="15" customHeight="1" x14ac:dyDescent="0.25"/>
    <row r="27039" ht="15" customHeight="1" x14ac:dyDescent="0.25"/>
    <row r="27040" ht="15" customHeight="1" x14ac:dyDescent="0.25"/>
    <row r="27041" ht="15" customHeight="1" x14ac:dyDescent="0.25"/>
    <row r="27042" ht="15" customHeight="1" x14ac:dyDescent="0.25"/>
    <row r="27043" ht="15" customHeight="1" x14ac:dyDescent="0.25"/>
    <row r="27044" ht="15" customHeight="1" x14ac:dyDescent="0.25"/>
    <row r="27045" ht="15" customHeight="1" x14ac:dyDescent="0.25"/>
    <row r="27046" ht="15" customHeight="1" x14ac:dyDescent="0.25"/>
    <row r="27047" ht="15" customHeight="1" x14ac:dyDescent="0.25"/>
    <row r="27048" ht="15" customHeight="1" x14ac:dyDescent="0.25"/>
    <row r="27049" ht="15" customHeight="1" x14ac:dyDescent="0.25"/>
    <row r="27050" ht="15" customHeight="1" x14ac:dyDescent="0.25"/>
    <row r="27051" ht="15" customHeight="1" x14ac:dyDescent="0.25"/>
    <row r="27052" ht="15" customHeight="1" x14ac:dyDescent="0.25"/>
    <row r="27053" ht="15" customHeight="1" x14ac:dyDescent="0.25"/>
    <row r="27054" ht="15" customHeight="1" x14ac:dyDescent="0.25"/>
    <row r="27055" ht="15" customHeight="1" x14ac:dyDescent="0.25"/>
    <row r="27056" ht="15" customHeight="1" x14ac:dyDescent="0.25"/>
    <row r="27057" ht="15" customHeight="1" x14ac:dyDescent="0.25"/>
    <row r="27058" ht="15" customHeight="1" x14ac:dyDescent="0.25"/>
    <row r="27059" ht="15" customHeight="1" x14ac:dyDescent="0.25"/>
    <row r="27060" ht="15" customHeight="1" x14ac:dyDescent="0.25"/>
    <row r="27061" ht="15" customHeight="1" x14ac:dyDescent="0.25"/>
    <row r="27062" ht="15" customHeight="1" x14ac:dyDescent="0.25"/>
    <row r="27063" ht="15" customHeight="1" x14ac:dyDescent="0.25"/>
    <row r="27064" ht="15" customHeight="1" x14ac:dyDescent="0.25"/>
    <row r="27065" ht="15" customHeight="1" x14ac:dyDescent="0.25"/>
    <row r="27066" ht="15" customHeight="1" x14ac:dyDescent="0.25"/>
    <row r="27077" ht="15" customHeight="1" x14ac:dyDescent="0.25"/>
    <row r="27078" ht="15" customHeight="1" x14ac:dyDescent="0.25"/>
    <row r="27079" ht="15" customHeight="1" x14ac:dyDescent="0.25"/>
    <row r="27080" ht="15" customHeight="1" x14ac:dyDescent="0.25"/>
    <row r="27081" ht="15" customHeight="1" x14ac:dyDescent="0.25"/>
    <row r="27082" ht="15" customHeight="1" x14ac:dyDescent="0.25"/>
    <row r="27083" ht="15" customHeight="1" x14ac:dyDescent="0.25"/>
    <row r="27084" ht="15" customHeight="1" x14ac:dyDescent="0.25"/>
    <row r="27085" ht="15" customHeight="1" x14ac:dyDescent="0.25"/>
    <row r="27086" ht="15" customHeight="1" x14ac:dyDescent="0.25"/>
    <row r="27087" ht="15" customHeight="1" x14ac:dyDescent="0.25"/>
    <row r="27088" ht="15" customHeight="1" x14ac:dyDescent="0.25"/>
    <row r="27089" ht="15" customHeight="1" x14ac:dyDescent="0.25"/>
    <row r="27090" ht="15" customHeight="1" x14ac:dyDescent="0.25"/>
    <row r="27091" ht="15" customHeight="1" x14ac:dyDescent="0.25"/>
    <row r="27092" ht="15" customHeight="1" x14ac:dyDescent="0.25"/>
    <row r="27093" ht="15" customHeight="1" x14ac:dyDescent="0.25"/>
    <row r="27094" ht="15" customHeight="1" x14ac:dyDescent="0.25"/>
    <row r="27095" ht="15" customHeight="1" x14ac:dyDescent="0.25"/>
    <row r="27096" ht="15" customHeight="1" x14ac:dyDescent="0.25"/>
    <row r="27097" ht="15" customHeight="1" x14ac:dyDescent="0.25"/>
    <row r="27098" ht="15" customHeight="1" x14ac:dyDescent="0.25"/>
    <row r="27099" ht="15" customHeight="1" x14ac:dyDescent="0.25"/>
    <row r="27100" ht="15" customHeight="1" x14ac:dyDescent="0.25"/>
    <row r="27101" ht="15" customHeight="1" x14ac:dyDescent="0.25"/>
    <row r="27102" ht="15" customHeight="1" x14ac:dyDescent="0.25"/>
    <row r="27103" ht="15" customHeight="1" x14ac:dyDescent="0.25"/>
    <row r="27104" ht="15" customHeight="1" x14ac:dyDescent="0.25"/>
    <row r="27105" ht="15" customHeight="1" x14ac:dyDescent="0.25"/>
    <row r="27106" ht="15" customHeight="1" x14ac:dyDescent="0.25"/>
    <row r="27107" ht="15" customHeight="1" x14ac:dyDescent="0.25"/>
    <row r="27118" ht="15" customHeight="1" x14ac:dyDescent="0.25"/>
    <row r="27119" ht="15" customHeight="1" x14ac:dyDescent="0.25"/>
    <row r="27120" ht="15" customHeight="1" x14ac:dyDescent="0.25"/>
    <row r="27121" ht="15" customHeight="1" x14ac:dyDescent="0.25"/>
    <row r="27122" ht="15" customHeight="1" x14ac:dyDescent="0.25"/>
    <row r="27123" ht="15" customHeight="1" x14ac:dyDescent="0.25"/>
    <row r="27124" ht="15" customHeight="1" x14ac:dyDescent="0.25"/>
    <row r="27125" ht="15" customHeight="1" x14ac:dyDescent="0.25"/>
    <row r="27126" ht="15" customHeight="1" x14ac:dyDescent="0.25"/>
    <row r="27127" ht="15" customHeight="1" x14ac:dyDescent="0.25"/>
    <row r="27128" ht="15" customHeight="1" x14ac:dyDescent="0.25"/>
    <row r="27129" ht="15" customHeight="1" x14ac:dyDescent="0.25"/>
    <row r="27130" ht="15" customHeight="1" x14ac:dyDescent="0.25"/>
    <row r="27131" ht="15" customHeight="1" x14ac:dyDescent="0.25"/>
    <row r="27132" ht="15" customHeight="1" x14ac:dyDescent="0.25"/>
    <row r="27133" ht="15" customHeight="1" x14ac:dyDescent="0.25"/>
    <row r="27134" ht="15" customHeight="1" x14ac:dyDescent="0.25"/>
    <row r="27135" ht="15" customHeight="1" x14ac:dyDescent="0.25"/>
    <row r="27136" ht="15" customHeight="1" x14ac:dyDescent="0.25"/>
    <row r="27137" ht="15" customHeight="1" x14ac:dyDescent="0.25"/>
    <row r="27138" ht="15" customHeight="1" x14ac:dyDescent="0.25"/>
    <row r="27139" ht="15" customHeight="1" x14ac:dyDescent="0.25"/>
    <row r="27140" ht="15" customHeight="1" x14ac:dyDescent="0.25"/>
    <row r="27141" ht="15" customHeight="1" x14ac:dyDescent="0.25"/>
    <row r="27142" ht="15" customHeight="1" x14ac:dyDescent="0.25"/>
    <row r="27143" ht="15" customHeight="1" x14ac:dyDescent="0.25"/>
    <row r="27144" ht="15" customHeight="1" x14ac:dyDescent="0.25"/>
    <row r="27145" ht="15" customHeight="1" x14ac:dyDescent="0.25"/>
    <row r="27146" ht="15" customHeight="1" x14ac:dyDescent="0.25"/>
    <row r="27147" ht="15" customHeight="1" x14ac:dyDescent="0.25"/>
    <row r="27148" ht="15" customHeight="1" x14ac:dyDescent="0.25"/>
    <row r="27159" ht="15" customHeight="1" x14ac:dyDescent="0.25"/>
    <row r="27160" ht="15" customHeight="1" x14ac:dyDescent="0.25"/>
    <row r="27161" ht="15" customHeight="1" x14ac:dyDescent="0.25"/>
    <row r="27162" ht="15" customHeight="1" x14ac:dyDescent="0.25"/>
    <row r="27163" ht="15" customHeight="1" x14ac:dyDescent="0.25"/>
    <row r="27164" ht="15" customHeight="1" x14ac:dyDescent="0.25"/>
    <row r="27165" ht="15" customHeight="1" x14ac:dyDescent="0.25"/>
    <row r="27166" ht="15" customHeight="1" x14ac:dyDescent="0.25"/>
    <row r="27167" ht="15" customHeight="1" x14ac:dyDescent="0.25"/>
    <row r="27168" ht="15" customHeight="1" x14ac:dyDescent="0.25"/>
    <row r="27169" ht="15" customHeight="1" x14ac:dyDescent="0.25"/>
    <row r="27170" ht="15" customHeight="1" x14ac:dyDescent="0.25"/>
    <row r="27171" ht="15" customHeight="1" x14ac:dyDescent="0.25"/>
    <row r="27172" ht="15" customHeight="1" x14ac:dyDescent="0.25"/>
    <row r="27173" ht="15" customHeight="1" x14ac:dyDescent="0.25"/>
    <row r="27174" ht="15" customHeight="1" x14ac:dyDescent="0.25"/>
    <row r="27175" ht="15" customHeight="1" x14ac:dyDescent="0.25"/>
    <row r="27176" ht="15" customHeight="1" x14ac:dyDescent="0.25"/>
    <row r="27177" ht="15" customHeight="1" x14ac:dyDescent="0.25"/>
    <row r="27178" ht="15" customHeight="1" x14ac:dyDescent="0.25"/>
    <row r="27179" ht="15" customHeight="1" x14ac:dyDescent="0.25"/>
    <row r="27180" ht="15" customHeight="1" x14ac:dyDescent="0.25"/>
    <row r="27181" ht="15" customHeight="1" x14ac:dyDescent="0.25"/>
    <row r="27182" ht="15" customHeight="1" x14ac:dyDescent="0.25"/>
    <row r="27183" ht="15" customHeight="1" x14ac:dyDescent="0.25"/>
    <row r="27184" ht="15" customHeight="1" x14ac:dyDescent="0.25"/>
    <row r="27185" ht="15" customHeight="1" x14ac:dyDescent="0.25"/>
    <row r="27186" ht="15" customHeight="1" x14ac:dyDescent="0.25"/>
    <row r="27187" ht="15" customHeight="1" x14ac:dyDescent="0.25"/>
    <row r="27188" ht="15" customHeight="1" x14ac:dyDescent="0.25"/>
    <row r="27189" ht="15" customHeight="1" x14ac:dyDescent="0.25"/>
    <row r="27200" ht="15" customHeight="1" x14ac:dyDescent="0.25"/>
    <row r="27201" ht="15" customHeight="1" x14ac:dyDescent="0.25"/>
    <row r="27202" ht="15" customHeight="1" x14ac:dyDescent="0.25"/>
    <row r="27203" ht="15" customHeight="1" x14ac:dyDescent="0.25"/>
    <row r="27204" ht="15" customHeight="1" x14ac:dyDescent="0.25"/>
    <row r="27205" ht="15" customHeight="1" x14ac:dyDescent="0.25"/>
    <row r="27206" ht="15" customHeight="1" x14ac:dyDescent="0.25"/>
    <row r="27207" ht="15" customHeight="1" x14ac:dyDescent="0.25"/>
    <row r="27208" ht="15" customHeight="1" x14ac:dyDescent="0.25"/>
    <row r="27209" ht="15" customHeight="1" x14ac:dyDescent="0.25"/>
    <row r="27210" ht="15" customHeight="1" x14ac:dyDescent="0.25"/>
    <row r="27211" ht="15" customHeight="1" x14ac:dyDescent="0.25"/>
    <row r="27212" ht="15" customHeight="1" x14ac:dyDescent="0.25"/>
    <row r="27213" ht="15" customHeight="1" x14ac:dyDescent="0.25"/>
    <row r="27214" ht="15" customHeight="1" x14ac:dyDescent="0.25"/>
    <row r="27215" ht="15" customHeight="1" x14ac:dyDescent="0.25"/>
    <row r="27216" ht="15" customHeight="1" x14ac:dyDescent="0.25"/>
    <row r="27217" ht="15" customHeight="1" x14ac:dyDescent="0.25"/>
    <row r="27218" ht="15" customHeight="1" x14ac:dyDescent="0.25"/>
    <row r="27219" ht="15" customHeight="1" x14ac:dyDescent="0.25"/>
    <row r="27220" ht="15" customHeight="1" x14ac:dyDescent="0.25"/>
    <row r="27221" ht="15" customHeight="1" x14ac:dyDescent="0.25"/>
    <row r="27222" ht="15" customHeight="1" x14ac:dyDescent="0.25"/>
    <row r="27223" ht="15" customHeight="1" x14ac:dyDescent="0.25"/>
    <row r="27224" ht="15" customHeight="1" x14ac:dyDescent="0.25"/>
    <row r="27225" ht="15" customHeight="1" x14ac:dyDescent="0.25"/>
    <row r="27226" ht="15" customHeight="1" x14ac:dyDescent="0.25"/>
    <row r="27227" ht="15" customHeight="1" x14ac:dyDescent="0.25"/>
    <row r="27228" ht="15" customHeight="1" x14ac:dyDescent="0.25"/>
    <row r="27229" ht="15" customHeight="1" x14ac:dyDescent="0.25"/>
    <row r="27230" ht="15" customHeight="1" x14ac:dyDescent="0.25"/>
    <row r="27241" ht="15" customHeight="1" x14ac:dyDescent="0.25"/>
    <row r="27242" ht="15" customHeight="1" x14ac:dyDescent="0.25"/>
    <row r="27243" ht="15" customHeight="1" x14ac:dyDescent="0.25"/>
    <row r="27244" ht="15" customHeight="1" x14ac:dyDescent="0.25"/>
    <row r="27245" ht="15" customHeight="1" x14ac:dyDescent="0.25"/>
    <row r="27246" ht="15" customHeight="1" x14ac:dyDescent="0.25"/>
    <row r="27247" ht="15" customHeight="1" x14ac:dyDescent="0.25"/>
    <row r="27248" ht="15" customHeight="1" x14ac:dyDescent="0.25"/>
    <row r="27249" ht="15" customHeight="1" x14ac:dyDescent="0.25"/>
    <row r="27250" ht="15" customHeight="1" x14ac:dyDescent="0.25"/>
    <row r="27251" ht="15" customHeight="1" x14ac:dyDescent="0.25"/>
    <row r="27252" ht="15" customHeight="1" x14ac:dyDescent="0.25"/>
    <row r="27253" ht="15" customHeight="1" x14ac:dyDescent="0.25"/>
    <row r="27254" ht="15" customHeight="1" x14ac:dyDescent="0.25"/>
    <row r="27255" ht="15" customHeight="1" x14ac:dyDescent="0.25"/>
    <row r="27256" ht="15" customHeight="1" x14ac:dyDescent="0.25"/>
    <row r="27257" ht="15" customHeight="1" x14ac:dyDescent="0.25"/>
    <row r="27258" ht="15" customHeight="1" x14ac:dyDescent="0.25"/>
    <row r="27259" ht="15" customHeight="1" x14ac:dyDescent="0.25"/>
    <row r="27260" ht="15" customHeight="1" x14ac:dyDescent="0.25"/>
    <row r="27261" ht="15" customHeight="1" x14ac:dyDescent="0.25"/>
    <row r="27262" ht="15" customHeight="1" x14ac:dyDescent="0.25"/>
    <row r="27263" ht="15" customHeight="1" x14ac:dyDescent="0.25"/>
    <row r="27264" ht="15" customHeight="1" x14ac:dyDescent="0.25"/>
    <row r="27265" ht="15" customHeight="1" x14ac:dyDescent="0.25"/>
    <row r="27266" ht="15" customHeight="1" x14ac:dyDescent="0.25"/>
    <row r="27267" ht="15" customHeight="1" x14ac:dyDescent="0.25"/>
    <row r="27268" ht="15" customHeight="1" x14ac:dyDescent="0.25"/>
    <row r="27269" ht="15" customHeight="1" x14ac:dyDescent="0.25"/>
    <row r="27270" ht="15" customHeight="1" x14ac:dyDescent="0.25"/>
    <row r="27271" ht="15" customHeight="1" x14ac:dyDescent="0.25"/>
    <row r="27272" ht="15" customHeight="1" x14ac:dyDescent="0.25"/>
    <row r="27273" ht="15" customHeight="1" x14ac:dyDescent="0.25"/>
    <row r="27274" ht="15" customHeight="1" x14ac:dyDescent="0.25"/>
    <row r="27275" ht="15" customHeight="1" x14ac:dyDescent="0.25"/>
    <row r="27276" ht="15" customHeight="1" x14ac:dyDescent="0.25"/>
    <row r="27277" ht="15" customHeight="1" x14ac:dyDescent="0.25"/>
    <row r="27278" ht="15" customHeight="1" x14ac:dyDescent="0.25"/>
    <row r="27279" ht="15" customHeight="1" x14ac:dyDescent="0.25"/>
    <row r="27280" ht="15" customHeight="1" x14ac:dyDescent="0.25"/>
    <row r="27281" ht="15" customHeight="1" x14ac:dyDescent="0.25"/>
    <row r="27282" ht="15" customHeight="1" x14ac:dyDescent="0.25"/>
    <row r="27283" ht="15" customHeight="1" x14ac:dyDescent="0.25"/>
    <row r="27284" ht="15" customHeight="1" x14ac:dyDescent="0.25"/>
    <row r="27285" ht="15" customHeight="1" x14ac:dyDescent="0.25"/>
    <row r="27286" ht="15" customHeight="1" x14ac:dyDescent="0.25"/>
    <row r="27287" ht="15" customHeight="1" x14ac:dyDescent="0.25"/>
    <row r="27288" ht="15" customHeight="1" x14ac:dyDescent="0.25"/>
    <row r="27289" ht="15" customHeight="1" x14ac:dyDescent="0.25"/>
    <row r="27290" ht="15" customHeight="1" x14ac:dyDescent="0.25"/>
    <row r="27291" ht="15" customHeight="1" x14ac:dyDescent="0.25"/>
    <row r="27292" ht="15" customHeight="1" x14ac:dyDescent="0.25"/>
    <row r="27293" ht="15" customHeight="1" x14ac:dyDescent="0.25"/>
    <row r="27294" ht="15" customHeight="1" x14ac:dyDescent="0.25"/>
    <row r="27295" ht="15" customHeight="1" x14ac:dyDescent="0.25"/>
    <row r="27296" ht="15" customHeight="1" x14ac:dyDescent="0.25"/>
    <row r="27297" ht="15" customHeight="1" x14ac:dyDescent="0.25"/>
    <row r="27298" ht="15" customHeight="1" x14ac:dyDescent="0.25"/>
    <row r="27299" ht="15" customHeight="1" x14ac:dyDescent="0.25"/>
    <row r="27300" ht="15" customHeight="1" x14ac:dyDescent="0.25"/>
    <row r="27301" ht="15" customHeight="1" x14ac:dyDescent="0.25"/>
    <row r="27302" ht="15" customHeight="1" x14ac:dyDescent="0.25"/>
    <row r="27303" ht="15" customHeight="1" x14ac:dyDescent="0.25"/>
    <row r="27304" ht="15" customHeight="1" x14ac:dyDescent="0.25"/>
    <row r="27305" ht="15" customHeight="1" x14ac:dyDescent="0.25"/>
    <row r="27306" ht="15" customHeight="1" x14ac:dyDescent="0.25"/>
    <row r="27307" ht="15" customHeight="1" x14ac:dyDescent="0.25"/>
    <row r="27308" ht="15" customHeight="1" x14ac:dyDescent="0.25"/>
    <row r="27309" ht="15" customHeight="1" x14ac:dyDescent="0.25"/>
    <row r="27310" ht="15" customHeight="1" x14ac:dyDescent="0.25"/>
    <row r="27311" ht="15" customHeight="1" x14ac:dyDescent="0.25"/>
    <row r="27312" ht="15" customHeight="1" x14ac:dyDescent="0.25"/>
    <row r="27313" ht="15" customHeight="1" x14ac:dyDescent="0.25"/>
    <row r="27314" ht="15" customHeight="1" x14ac:dyDescent="0.25"/>
    <row r="27315" ht="15" customHeight="1" x14ac:dyDescent="0.25"/>
    <row r="27316" ht="15" customHeight="1" x14ac:dyDescent="0.25"/>
    <row r="27317" ht="15" customHeight="1" x14ac:dyDescent="0.25"/>
    <row r="27318" ht="15" customHeight="1" x14ac:dyDescent="0.25"/>
    <row r="27319" ht="15" customHeight="1" x14ac:dyDescent="0.25"/>
    <row r="27320" ht="15" customHeight="1" x14ac:dyDescent="0.25"/>
    <row r="27321" ht="15" customHeight="1" x14ac:dyDescent="0.25"/>
    <row r="27322" ht="15" customHeight="1" x14ac:dyDescent="0.25"/>
    <row r="27323" ht="15" customHeight="1" x14ac:dyDescent="0.25"/>
    <row r="27324" ht="15" customHeight="1" x14ac:dyDescent="0.25"/>
    <row r="27325" ht="15" customHeight="1" x14ac:dyDescent="0.25"/>
    <row r="27326" ht="15" customHeight="1" x14ac:dyDescent="0.25"/>
    <row r="27327" ht="15" customHeight="1" x14ac:dyDescent="0.25"/>
    <row r="27328" ht="15" customHeight="1" x14ac:dyDescent="0.25"/>
    <row r="27329" ht="15" customHeight="1" x14ac:dyDescent="0.25"/>
    <row r="27330" ht="15" customHeight="1" x14ac:dyDescent="0.25"/>
    <row r="27331" ht="15" customHeight="1" x14ac:dyDescent="0.25"/>
    <row r="27332" ht="15" customHeight="1" x14ac:dyDescent="0.25"/>
    <row r="27333" ht="15" customHeight="1" x14ac:dyDescent="0.25"/>
    <row r="27334" ht="15" customHeight="1" x14ac:dyDescent="0.25"/>
    <row r="27335" ht="15" customHeight="1" x14ac:dyDescent="0.25"/>
    <row r="27336" ht="15" customHeight="1" x14ac:dyDescent="0.25"/>
    <row r="27337" ht="15" customHeight="1" x14ac:dyDescent="0.25"/>
    <row r="27338" ht="15" customHeight="1" x14ac:dyDescent="0.25"/>
    <row r="27339" ht="15" customHeight="1" x14ac:dyDescent="0.25"/>
    <row r="27340" ht="15" customHeight="1" x14ac:dyDescent="0.25"/>
    <row r="27341" ht="15" customHeight="1" x14ac:dyDescent="0.25"/>
    <row r="27342" ht="15" customHeight="1" x14ac:dyDescent="0.25"/>
    <row r="27343" ht="15" customHeight="1" x14ac:dyDescent="0.25"/>
    <row r="27344" ht="15" customHeight="1" x14ac:dyDescent="0.25"/>
    <row r="27345" ht="15" customHeight="1" x14ac:dyDescent="0.25"/>
    <row r="27346" ht="15" customHeight="1" x14ac:dyDescent="0.25"/>
    <row r="27347" ht="15" customHeight="1" x14ac:dyDescent="0.25"/>
    <row r="27348" ht="15" customHeight="1" x14ac:dyDescent="0.25"/>
    <row r="27349" ht="15" customHeight="1" x14ac:dyDescent="0.25"/>
    <row r="27350" ht="15" customHeight="1" x14ac:dyDescent="0.25"/>
    <row r="27351" ht="15" customHeight="1" x14ac:dyDescent="0.25"/>
    <row r="27352" ht="15" customHeight="1" x14ac:dyDescent="0.25"/>
    <row r="27353" ht="15" customHeight="1" x14ac:dyDescent="0.25"/>
    <row r="27354" ht="15" customHeight="1" x14ac:dyDescent="0.25"/>
    <row r="27355" ht="15" customHeight="1" x14ac:dyDescent="0.25"/>
    <row r="27356" ht="15" customHeight="1" x14ac:dyDescent="0.25"/>
    <row r="27357" ht="15" customHeight="1" x14ac:dyDescent="0.25"/>
    <row r="27358" ht="15" customHeight="1" x14ac:dyDescent="0.25"/>
    <row r="27359" ht="15" customHeight="1" x14ac:dyDescent="0.25"/>
    <row r="27360" ht="15" customHeight="1" x14ac:dyDescent="0.25"/>
    <row r="27361" ht="15" customHeight="1" x14ac:dyDescent="0.25"/>
    <row r="27362" ht="15" customHeight="1" x14ac:dyDescent="0.25"/>
    <row r="27363" ht="15" customHeight="1" x14ac:dyDescent="0.25"/>
    <row r="27364" ht="15" customHeight="1" x14ac:dyDescent="0.25"/>
    <row r="27365" ht="15" customHeight="1" x14ac:dyDescent="0.25"/>
    <row r="27366" ht="15" customHeight="1" x14ac:dyDescent="0.25"/>
    <row r="27367" ht="15" customHeight="1" x14ac:dyDescent="0.25"/>
    <row r="27368" ht="15" customHeight="1" x14ac:dyDescent="0.25"/>
    <row r="27369" ht="15" customHeight="1" x14ac:dyDescent="0.25"/>
    <row r="27370" ht="15" customHeight="1" x14ac:dyDescent="0.25"/>
    <row r="27371" ht="15" customHeight="1" x14ac:dyDescent="0.25"/>
    <row r="27372" ht="15" customHeight="1" x14ac:dyDescent="0.25"/>
    <row r="27373" ht="15" customHeight="1" x14ac:dyDescent="0.25"/>
    <row r="27374" ht="15" customHeight="1" x14ac:dyDescent="0.25"/>
    <row r="27375" ht="15" customHeight="1" x14ac:dyDescent="0.25"/>
    <row r="27376" ht="15" customHeight="1" x14ac:dyDescent="0.25"/>
    <row r="27377" ht="15" customHeight="1" x14ac:dyDescent="0.25"/>
    <row r="27378" ht="15" customHeight="1" x14ac:dyDescent="0.25"/>
    <row r="27379" ht="15" customHeight="1" x14ac:dyDescent="0.25"/>
    <row r="27380" ht="15" customHeight="1" x14ac:dyDescent="0.25"/>
    <row r="27381" ht="15" customHeight="1" x14ac:dyDescent="0.25"/>
    <row r="27382" ht="15" customHeight="1" x14ac:dyDescent="0.25"/>
    <row r="27383" ht="15" customHeight="1" x14ac:dyDescent="0.25"/>
    <row r="27384" ht="15" customHeight="1" x14ac:dyDescent="0.25"/>
    <row r="27385" ht="15" customHeight="1" x14ac:dyDescent="0.25"/>
    <row r="27386" ht="15" customHeight="1" x14ac:dyDescent="0.25"/>
    <row r="27387" ht="15" customHeight="1" x14ac:dyDescent="0.25"/>
    <row r="27388" ht="15" customHeight="1" x14ac:dyDescent="0.25"/>
    <row r="27389" ht="15" customHeight="1" x14ac:dyDescent="0.25"/>
    <row r="27390" ht="15" customHeight="1" x14ac:dyDescent="0.25"/>
    <row r="27391" ht="15" customHeight="1" x14ac:dyDescent="0.25"/>
    <row r="27392" ht="15" customHeight="1" x14ac:dyDescent="0.25"/>
    <row r="27393" ht="15" customHeight="1" x14ac:dyDescent="0.25"/>
    <row r="27394" ht="15" customHeight="1" x14ac:dyDescent="0.25"/>
    <row r="27395" ht="15" customHeight="1" x14ac:dyDescent="0.25"/>
    <row r="27396" ht="15" customHeight="1" x14ac:dyDescent="0.25"/>
    <row r="27397" ht="15" customHeight="1" x14ac:dyDescent="0.25"/>
    <row r="27398" ht="15" customHeight="1" x14ac:dyDescent="0.25"/>
    <row r="27399" ht="15" customHeight="1" x14ac:dyDescent="0.25"/>
    <row r="27400" ht="15" customHeight="1" x14ac:dyDescent="0.25"/>
    <row r="27401" ht="15" customHeight="1" x14ac:dyDescent="0.25"/>
    <row r="27402" ht="15" customHeight="1" x14ac:dyDescent="0.25"/>
    <row r="27403" ht="15" customHeight="1" x14ac:dyDescent="0.25"/>
    <row r="27404" ht="15" customHeight="1" x14ac:dyDescent="0.25"/>
    <row r="27405" ht="15" customHeight="1" x14ac:dyDescent="0.25"/>
    <row r="27406" ht="15" customHeight="1" x14ac:dyDescent="0.25"/>
    <row r="27407" ht="15" customHeight="1" x14ac:dyDescent="0.25"/>
    <row r="27408" ht="15" customHeight="1" x14ac:dyDescent="0.25"/>
    <row r="27409" ht="15" customHeight="1" x14ac:dyDescent="0.25"/>
    <row r="27410" ht="15" customHeight="1" x14ac:dyDescent="0.25"/>
    <row r="27411" ht="15" customHeight="1" x14ac:dyDescent="0.25"/>
    <row r="27412" ht="15" customHeight="1" x14ac:dyDescent="0.25"/>
    <row r="27413" ht="15" customHeight="1" x14ac:dyDescent="0.25"/>
    <row r="27414" ht="15" customHeight="1" x14ac:dyDescent="0.25"/>
    <row r="27415" ht="15" customHeight="1" x14ac:dyDescent="0.25"/>
    <row r="27416" ht="15" customHeight="1" x14ac:dyDescent="0.25"/>
    <row r="27417" ht="15" customHeight="1" x14ac:dyDescent="0.25"/>
    <row r="27418" ht="15" customHeight="1" x14ac:dyDescent="0.25"/>
    <row r="27419" ht="15" customHeight="1" x14ac:dyDescent="0.25"/>
    <row r="27420" ht="15" customHeight="1" x14ac:dyDescent="0.25"/>
    <row r="27421" ht="15" customHeight="1" x14ac:dyDescent="0.25"/>
    <row r="27422" ht="15" customHeight="1" x14ac:dyDescent="0.25"/>
    <row r="27423" ht="15" customHeight="1" x14ac:dyDescent="0.25"/>
    <row r="27424" ht="15" customHeight="1" x14ac:dyDescent="0.25"/>
    <row r="27425" ht="15" customHeight="1" x14ac:dyDescent="0.25"/>
    <row r="27426" ht="15" customHeight="1" x14ac:dyDescent="0.25"/>
    <row r="27427" ht="15" customHeight="1" x14ac:dyDescent="0.25"/>
    <row r="27428" ht="15" customHeight="1" x14ac:dyDescent="0.25"/>
    <row r="27429" ht="15" customHeight="1" x14ac:dyDescent="0.25"/>
    <row r="27430" ht="15" customHeight="1" x14ac:dyDescent="0.25"/>
    <row r="27431" ht="15" customHeight="1" x14ac:dyDescent="0.25"/>
    <row r="27432" ht="15" customHeight="1" x14ac:dyDescent="0.25"/>
    <row r="27433" ht="15" customHeight="1" x14ac:dyDescent="0.25"/>
    <row r="27434" ht="15" customHeight="1" x14ac:dyDescent="0.25"/>
    <row r="27435" ht="15" customHeight="1" x14ac:dyDescent="0.25"/>
    <row r="27436" ht="15" customHeight="1" x14ac:dyDescent="0.25"/>
    <row r="27437" ht="15" customHeight="1" x14ac:dyDescent="0.25"/>
    <row r="27438" ht="15" customHeight="1" x14ac:dyDescent="0.25"/>
    <row r="27439" ht="15" customHeight="1" x14ac:dyDescent="0.25"/>
    <row r="27440" ht="15" customHeight="1" x14ac:dyDescent="0.25"/>
    <row r="27441" ht="15" customHeight="1" x14ac:dyDescent="0.25"/>
    <row r="27442" ht="15" customHeight="1" x14ac:dyDescent="0.25"/>
    <row r="27443" ht="15" customHeight="1" x14ac:dyDescent="0.25"/>
    <row r="27444" ht="15" customHeight="1" x14ac:dyDescent="0.25"/>
    <row r="27445" ht="15" customHeight="1" x14ac:dyDescent="0.25"/>
    <row r="27446" ht="15" customHeight="1" x14ac:dyDescent="0.25"/>
    <row r="27447" ht="15" customHeight="1" x14ac:dyDescent="0.25"/>
    <row r="27448" ht="15" customHeight="1" x14ac:dyDescent="0.25"/>
    <row r="27449" ht="15" customHeight="1" x14ac:dyDescent="0.25"/>
    <row r="27450" ht="15" customHeight="1" x14ac:dyDescent="0.25"/>
    <row r="27451" ht="15" customHeight="1" x14ac:dyDescent="0.25"/>
    <row r="27452" ht="15" customHeight="1" x14ac:dyDescent="0.25"/>
    <row r="27453" ht="15" customHeight="1" x14ac:dyDescent="0.25"/>
    <row r="27454" ht="15" customHeight="1" x14ac:dyDescent="0.25"/>
    <row r="27455" ht="15" customHeight="1" x14ac:dyDescent="0.25"/>
    <row r="27456" ht="15" customHeight="1" x14ac:dyDescent="0.25"/>
    <row r="27457" ht="15" customHeight="1" x14ac:dyDescent="0.25"/>
    <row r="27458" ht="15" customHeight="1" x14ac:dyDescent="0.25"/>
    <row r="27459" ht="15" customHeight="1" x14ac:dyDescent="0.25"/>
    <row r="27460" ht="15" customHeight="1" x14ac:dyDescent="0.25"/>
    <row r="27461" ht="15" customHeight="1" x14ac:dyDescent="0.25"/>
    <row r="27462" ht="15" customHeight="1" x14ac:dyDescent="0.25"/>
    <row r="27463" ht="15" customHeight="1" x14ac:dyDescent="0.25"/>
    <row r="27464" ht="15" customHeight="1" x14ac:dyDescent="0.25"/>
    <row r="27465" ht="15" customHeight="1" x14ac:dyDescent="0.25"/>
    <row r="27466" ht="15" customHeight="1" x14ac:dyDescent="0.25"/>
    <row r="27467" ht="15" customHeight="1" x14ac:dyDescent="0.25"/>
    <row r="27468" ht="15" customHeight="1" x14ac:dyDescent="0.25"/>
    <row r="27469" ht="15" customHeight="1" x14ac:dyDescent="0.25"/>
    <row r="27470" ht="15" customHeight="1" x14ac:dyDescent="0.25"/>
    <row r="27471" ht="15" customHeight="1" x14ac:dyDescent="0.25"/>
    <row r="27472" ht="15" customHeight="1" x14ac:dyDescent="0.25"/>
    <row r="27473" ht="15" customHeight="1" x14ac:dyDescent="0.25"/>
    <row r="27474" ht="15" customHeight="1" x14ac:dyDescent="0.25"/>
    <row r="27475" ht="15" customHeight="1" x14ac:dyDescent="0.25"/>
    <row r="27476" ht="15" customHeight="1" x14ac:dyDescent="0.25"/>
    <row r="27477" ht="15" customHeight="1" x14ac:dyDescent="0.25"/>
    <row r="27478" ht="15" customHeight="1" x14ac:dyDescent="0.25"/>
    <row r="27479" ht="15" customHeight="1" x14ac:dyDescent="0.25"/>
    <row r="27480" ht="15" customHeight="1" x14ac:dyDescent="0.25"/>
    <row r="27481" ht="15" customHeight="1" x14ac:dyDescent="0.25"/>
    <row r="27482" ht="15" customHeight="1" x14ac:dyDescent="0.25"/>
    <row r="27483" ht="15" customHeight="1" x14ac:dyDescent="0.25"/>
    <row r="27484" ht="15" customHeight="1" x14ac:dyDescent="0.25"/>
    <row r="27485" ht="15" customHeight="1" x14ac:dyDescent="0.25"/>
    <row r="27486" ht="15" customHeight="1" x14ac:dyDescent="0.25"/>
    <row r="27487" ht="15" customHeight="1" x14ac:dyDescent="0.25"/>
    <row r="27488" ht="15" customHeight="1" x14ac:dyDescent="0.25"/>
    <row r="27489" ht="15" customHeight="1" x14ac:dyDescent="0.25"/>
    <row r="27490" ht="15" customHeight="1" x14ac:dyDescent="0.25"/>
    <row r="27491" ht="15" customHeight="1" x14ac:dyDescent="0.25"/>
    <row r="27492" ht="15" customHeight="1" x14ac:dyDescent="0.25"/>
    <row r="27493" ht="15" customHeight="1" x14ac:dyDescent="0.25"/>
    <row r="27494" ht="15" customHeight="1" x14ac:dyDescent="0.25"/>
    <row r="27495" ht="15" customHeight="1" x14ac:dyDescent="0.25"/>
    <row r="27496" ht="15" customHeight="1" x14ac:dyDescent="0.25"/>
    <row r="27497" ht="15" customHeight="1" x14ac:dyDescent="0.25"/>
    <row r="27498" ht="15" customHeight="1" x14ac:dyDescent="0.25"/>
    <row r="27499" ht="15" customHeight="1" x14ac:dyDescent="0.25"/>
    <row r="27500" ht="15" customHeight="1" x14ac:dyDescent="0.25"/>
    <row r="27501" ht="15" customHeight="1" x14ac:dyDescent="0.25"/>
    <row r="27502" ht="15" customHeight="1" x14ac:dyDescent="0.25"/>
    <row r="27503" ht="15" customHeight="1" x14ac:dyDescent="0.25"/>
    <row r="27504" ht="15" customHeight="1" x14ac:dyDescent="0.25"/>
    <row r="27505" ht="15" customHeight="1" x14ac:dyDescent="0.25"/>
    <row r="27506" ht="15" customHeight="1" x14ac:dyDescent="0.25"/>
    <row r="27507" ht="15" customHeight="1" x14ac:dyDescent="0.25"/>
    <row r="27508" ht="15" customHeight="1" x14ac:dyDescent="0.25"/>
    <row r="27509" ht="15" customHeight="1" x14ac:dyDescent="0.25"/>
    <row r="27510" ht="15" customHeight="1" x14ac:dyDescent="0.25"/>
    <row r="27511" ht="15" customHeight="1" x14ac:dyDescent="0.25"/>
    <row r="27512" ht="15" customHeight="1" x14ac:dyDescent="0.25"/>
    <row r="27513" ht="15" customHeight="1" x14ac:dyDescent="0.25"/>
    <row r="27514" ht="15" customHeight="1" x14ac:dyDescent="0.25"/>
    <row r="27515" ht="15" customHeight="1" x14ac:dyDescent="0.25"/>
    <row r="27516" ht="15" customHeight="1" x14ac:dyDescent="0.25"/>
    <row r="27517" ht="15" customHeight="1" x14ac:dyDescent="0.25"/>
    <row r="27518" ht="15" customHeight="1" x14ac:dyDescent="0.25"/>
    <row r="27519" ht="15" customHeight="1" x14ac:dyDescent="0.25"/>
    <row r="27520" ht="15" customHeight="1" x14ac:dyDescent="0.25"/>
    <row r="27521" ht="15" customHeight="1" x14ac:dyDescent="0.25"/>
    <row r="27522" ht="15" customHeight="1" x14ac:dyDescent="0.25"/>
    <row r="27523" ht="15" customHeight="1" x14ac:dyDescent="0.25"/>
    <row r="27524" ht="15" customHeight="1" x14ac:dyDescent="0.25"/>
    <row r="27525" ht="15" customHeight="1" x14ac:dyDescent="0.25"/>
    <row r="27526" ht="15" customHeight="1" x14ac:dyDescent="0.25"/>
    <row r="27527" ht="15" customHeight="1" x14ac:dyDescent="0.25"/>
    <row r="27528" ht="15" customHeight="1" x14ac:dyDescent="0.25"/>
    <row r="27529" ht="15" customHeight="1" x14ac:dyDescent="0.25"/>
    <row r="27530" ht="15" customHeight="1" x14ac:dyDescent="0.25"/>
    <row r="27531" ht="15" customHeight="1" x14ac:dyDescent="0.25"/>
    <row r="27532" ht="15" customHeight="1" x14ac:dyDescent="0.25"/>
    <row r="27533" ht="15" customHeight="1" x14ac:dyDescent="0.25"/>
    <row r="27534" ht="15" customHeight="1" x14ac:dyDescent="0.25"/>
    <row r="27535" ht="15" customHeight="1" x14ac:dyDescent="0.25"/>
    <row r="27536" ht="15" customHeight="1" x14ac:dyDescent="0.25"/>
    <row r="27537" ht="15" customHeight="1" x14ac:dyDescent="0.25"/>
    <row r="27538" ht="15" customHeight="1" x14ac:dyDescent="0.25"/>
    <row r="27539" ht="15" customHeight="1" x14ac:dyDescent="0.25"/>
    <row r="27540" ht="15" customHeight="1" x14ac:dyDescent="0.25"/>
    <row r="27541" ht="15" customHeight="1" x14ac:dyDescent="0.25"/>
    <row r="27542" ht="15" customHeight="1" x14ac:dyDescent="0.25"/>
    <row r="27543" ht="15" customHeight="1" x14ac:dyDescent="0.25"/>
    <row r="27544" ht="15" customHeight="1" x14ac:dyDescent="0.25"/>
    <row r="27545" ht="15" customHeight="1" x14ac:dyDescent="0.25"/>
    <row r="27546" ht="15" customHeight="1" x14ac:dyDescent="0.25"/>
    <row r="27547" ht="15" customHeight="1" x14ac:dyDescent="0.25"/>
    <row r="27548" ht="15" customHeight="1" x14ac:dyDescent="0.25"/>
    <row r="27549" ht="15" customHeight="1" x14ac:dyDescent="0.25"/>
    <row r="27550" ht="15" customHeight="1" x14ac:dyDescent="0.25"/>
    <row r="27551" ht="15" customHeight="1" x14ac:dyDescent="0.25"/>
    <row r="27552" ht="15" customHeight="1" x14ac:dyDescent="0.25"/>
    <row r="27553" ht="15" customHeight="1" x14ac:dyDescent="0.25"/>
    <row r="27554" ht="15" customHeight="1" x14ac:dyDescent="0.25"/>
    <row r="27555" ht="15" customHeight="1" x14ac:dyDescent="0.25"/>
    <row r="27556" ht="15" customHeight="1" x14ac:dyDescent="0.25"/>
    <row r="27557" ht="15" customHeight="1" x14ac:dyDescent="0.25"/>
    <row r="27558" ht="15" customHeight="1" x14ac:dyDescent="0.25"/>
    <row r="27559" ht="15" customHeight="1" x14ac:dyDescent="0.25"/>
    <row r="27560" ht="15" customHeight="1" x14ac:dyDescent="0.25"/>
    <row r="27561" ht="15" customHeight="1" x14ac:dyDescent="0.25"/>
    <row r="27562" ht="15" customHeight="1" x14ac:dyDescent="0.25"/>
    <row r="27563" ht="15" customHeight="1" x14ac:dyDescent="0.25"/>
    <row r="27564" ht="15" customHeight="1" x14ac:dyDescent="0.25"/>
    <row r="27565" ht="15" customHeight="1" x14ac:dyDescent="0.25"/>
    <row r="27566" ht="15" customHeight="1" x14ac:dyDescent="0.25"/>
    <row r="27567" ht="15" customHeight="1" x14ac:dyDescent="0.25"/>
    <row r="27568" ht="15" customHeight="1" x14ac:dyDescent="0.25"/>
    <row r="27569" ht="15" customHeight="1" x14ac:dyDescent="0.25"/>
    <row r="27570" ht="15" customHeight="1" x14ac:dyDescent="0.25"/>
    <row r="27571" ht="15" customHeight="1" x14ac:dyDescent="0.25"/>
    <row r="27572" ht="15" customHeight="1" x14ac:dyDescent="0.25"/>
    <row r="27573" ht="15" customHeight="1" x14ac:dyDescent="0.25"/>
    <row r="27574" ht="15" customHeight="1" x14ac:dyDescent="0.25"/>
    <row r="27575" ht="15" customHeight="1" x14ac:dyDescent="0.25"/>
    <row r="27576" ht="15" customHeight="1" x14ac:dyDescent="0.25"/>
    <row r="27577" ht="15" customHeight="1" x14ac:dyDescent="0.25"/>
    <row r="27578" ht="15" customHeight="1" x14ac:dyDescent="0.25"/>
    <row r="27579" ht="15" customHeight="1" x14ac:dyDescent="0.25"/>
    <row r="27580" ht="15" customHeight="1" x14ac:dyDescent="0.25"/>
    <row r="27581" ht="15" customHeight="1" x14ac:dyDescent="0.25"/>
    <row r="27582" ht="15" customHeight="1" x14ac:dyDescent="0.25"/>
    <row r="27583" ht="15" customHeight="1" x14ac:dyDescent="0.25"/>
    <row r="27584" ht="15" customHeight="1" x14ac:dyDescent="0.25"/>
    <row r="27585" ht="15" customHeight="1" x14ac:dyDescent="0.25"/>
    <row r="27586" ht="15" customHeight="1" x14ac:dyDescent="0.25"/>
    <row r="27587" ht="15" customHeight="1" x14ac:dyDescent="0.25"/>
    <row r="27588" ht="15" customHeight="1" x14ac:dyDescent="0.25"/>
    <row r="27589" ht="15" customHeight="1" x14ac:dyDescent="0.25"/>
    <row r="27590" ht="15" customHeight="1" x14ac:dyDescent="0.25"/>
    <row r="27591" ht="15" customHeight="1" x14ac:dyDescent="0.25"/>
    <row r="27592" ht="15" customHeight="1" x14ac:dyDescent="0.25"/>
    <row r="27593" ht="15" customHeight="1" x14ac:dyDescent="0.25"/>
    <row r="27594" ht="15" customHeight="1" x14ac:dyDescent="0.25"/>
    <row r="27595" ht="15" customHeight="1" x14ac:dyDescent="0.25"/>
    <row r="27596" ht="15" customHeight="1" x14ac:dyDescent="0.25"/>
    <row r="27597" ht="15" customHeight="1" x14ac:dyDescent="0.25"/>
    <row r="27598" ht="15" customHeight="1" x14ac:dyDescent="0.25"/>
    <row r="27599" ht="15" customHeight="1" x14ac:dyDescent="0.25"/>
    <row r="27600" ht="15" customHeight="1" x14ac:dyDescent="0.25"/>
    <row r="27601" ht="15" customHeight="1" x14ac:dyDescent="0.25"/>
    <row r="27602" ht="15" customHeight="1" x14ac:dyDescent="0.25"/>
    <row r="27603" ht="15" customHeight="1" x14ac:dyDescent="0.25"/>
    <row r="27604" ht="15" customHeight="1" x14ac:dyDescent="0.25"/>
    <row r="27605" ht="15" customHeight="1" x14ac:dyDescent="0.25"/>
    <row r="27606" ht="15" customHeight="1" x14ac:dyDescent="0.25"/>
    <row r="27607" ht="15" customHeight="1" x14ac:dyDescent="0.25"/>
    <row r="27608" ht="15" customHeight="1" x14ac:dyDescent="0.25"/>
    <row r="27609" ht="15" customHeight="1" x14ac:dyDescent="0.25"/>
    <row r="27610" ht="15" customHeight="1" x14ac:dyDescent="0.25"/>
    <row r="27611" ht="15" customHeight="1" x14ac:dyDescent="0.25"/>
    <row r="27612" ht="15" customHeight="1" x14ac:dyDescent="0.25"/>
    <row r="27613" ht="15" customHeight="1" x14ac:dyDescent="0.25"/>
    <row r="27614" ht="15" customHeight="1" x14ac:dyDescent="0.25"/>
    <row r="27615" ht="15" customHeight="1" x14ac:dyDescent="0.25"/>
    <row r="27616" ht="15" customHeight="1" x14ac:dyDescent="0.25"/>
    <row r="27617" ht="15" customHeight="1" x14ac:dyDescent="0.25"/>
    <row r="27618" ht="15" customHeight="1" x14ac:dyDescent="0.25"/>
    <row r="27619" ht="15" customHeight="1" x14ac:dyDescent="0.25"/>
    <row r="27620" ht="15" customHeight="1" x14ac:dyDescent="0.25"/>
    <row r="27621" ht="15" customHeight="1" x14ac:dyDescent="0.25"/>
    <row r="27622" ht="15" customHeight="1" x14ac:dyDescent="0.25"/>
    <row r="27623" ht="15" customHeight="1" x14ac:dyDescent="0.25"/>
    <row r="27624" ht="15" customHeight="1" x14ac:dyDescent="0.25"/>
    <row r="27625" ht="15" customHeight="1" x14ac:dyDescent="0.25"/>
    <row r="27626" ht="15" customHeight="1" x14ac:dyDescent="0.25"/>
    <row r="27627" ht="15" customHeight="1" x14ac:dyDescent="0.25"/>
    <row r="27628" ht="15" customHeight="1" x14ac:dyDescent="0.25"/>
    <row r="27629" ht="15" customHeight="1" x14ac:dyDescent="0.25"/>
    <row r="27630" ht="15" customHeight="1" x14ac:dyDescent="0.25"/>
    <row r="27631" ht="15" customHeight="1" x14ac:dyDescent="0.25"/>
    <row r="27632" ht="15" customHeight="1" x14ac:dyDescent="0.25"/>
    <row r="27633" ht="15" customHeight="1" x14ac:dyDescent="0.25"/>
    <row r="27634" ht="15" customHeight="1" x14ac:dyDescent="0.25"/>
    <row r="27635" ht="15" customHeight="1" x14ac:dyDescent="0.25"/>
    <row r="27636" ht="15" customHeight="1" x14ac:dyDescent="0.25"/>
    <row r="27637" ht="15" customHeight="1" x14ac:dyDescent="0.25"/>
    <row r="27638" ht="15" customHeight="1" x14ac:dyDescent="0.25"/>
    <row r="27639" ht="15" customHeight="1" x14ac:dyDescent="0.25"/>
    <row r="27640" ht="15" customHeight="1" x14ac:dyDescent="0.25"/>
    <row r="27641" ht="15" customHeight="1" x14ac:dyDescent="0.25"/>
    <row r="27642" ht="15" customHeight="1" x14ac:dyDescent="0.25"/>
    <row r="27643" ht="15" customHeight="1" x14ac:dyDescent="0.25"/>
    <row r="27644" ht="15" customHeight="1" x14ac:dyDescent="0.25"/>
    <row r="27645" ht="15" customHeight="1" x14ac:dyDescent="0.25"/>
    <row r="27646" ht="15" customHeight="1" x14ac:dyDescent="0.25"/>
    <row r="27647" ht="15" customHeight="1" x14ac:dyDescent="0.25"/>
    <row r="27648" ht="15" customHeight="1" x14ac:dyDescent="0.25"/>
    <row r="27649" ht="15" customHeight="1" x14ac:dyDescent="0.25"/>
    <row r="27650" ht="15" customHeight="1" x14ac:dyDescent="0.25"/>
    <row r="27651" ht="15" customHeight="1" x14ac:dyDescent="0.25"/>
    <row r="27652" ht="15" customHeight="1" x14ac:dyDescent="0.25"/>
    <row r="27653" ht="15" customHeight="1" x14ac:dyDescent="0.25"/>
    <row r="27654" ht="15" customHeight="1" x14ac:dyDescent="0.25"/>
    <row r="27655" ht="15" customHeight="1" x14ac:dyDescent="0.25"/>
    <row r="27656" ht="15" customHeight="1" x14ac:dyDescent="0.25"/>
    <row r="27657" ht="15" customHeight="1" x14ac:dyDescent="0.25"/>
    <row r="27658" ht="15" customHeight="1" x14ac:dyDescent="0.25"/>
    <row r="27659" ht="15" customHeight="1" x14ac:dyDescent="0.25"/>
    <row r="27660" ht="15" customHeight="1" x14ac:dyDescent="0.25"/>
    <row r="27661" ht="15" customHeight="1" x14ac:dyDescent="0.25"/>
    <row r="27662" ht="15" customHeight="1" x14ac:dyDescent="0.25"/>
    <row r="27663" ht="15" customHeight="1" x14ac:dyDescent="0.25"/>
    <row r="27664" ht="15" customHeight="1" x14ac:dyDescent="0.25"/>
    <row r="27665" ht="15" customHeight="1" x14ac:dyDescent="0.25"/>
    <row r="27666" ht="15" customHeight="1" x14ac:dyDescent="0.25"/>
    <row r="27667" ht="15" customHeight="1" x14ac:dyDescent="0.25"/>
    <row r="27668" ht="15" customHeight="1" x14ac:dyDescent="0.25"/>
    <row r="27669" ht="15" customHeight="1" x14ac:dyDescent="0.25"/>
    <row r="27670" ht="15" customHeight="1" x14ac:dyDescent="0.25"/>
    <row r="27671" ht="15" customHeight="1" x14ac:dyDescent="0.25"/>
    <row r="27672" ht="15" customHeight="1" x14ac:dyDescent="0.25"/>
    <row r="27673" ht="15" customHeight="1" x14ac:dyDescent="0.25"/>
    <row r="27674" ht="15" customHeight="1" x14ac:dyDescent="0.25"/>
    <row r="27675" ht="15" customHeight="1" x14ac:dyDescent="0.25"/>
    <row r="27676" ht="15" customHeight="1" x14ac:dyDescent="0.25"/>
    <row r="27677" ht="15" customHeight="1" x14ac:dyDescent="0.25"/>
    <row r="27678" ht="15" customHeight="1" x14ac:dyDescent="0.25"/>
    <row r="27679" ht="15" customHeight="1" x14ac:dyDescent="0.25"/>
    <row r="27680" ht="15" customHeight="1" x14ac:dyDescent="0.25"/>
    <row r="27681" ht="15" customHeight="1" x14ac:dyDescent="0.25"/>
    <row r="27682" ht="15" customHeight="1" x14ac:dyDescent="0.25"/>
    <row r="27683" ht="15" customHeight="1" x14ac:dyDescent="0.25"/>
    <row r="27684" ht="15" customHeight="1" x14ac:dyDescent="0.25"/>
    <row r="27685" ht="15" customHeight="1" x14ac:dyDescent="0.25"/>
    <row r="27686" ht="15" customHeight="1" x14ac:dyDescent="0.25"/>
    <row r="27687" ht="15" customHeight="1" x14ac:dyDescent="0.25"/>
    <row r="27688" ht="15" customHeight="1" x14ac:dyDescent="0.25"/>
    <row r="27689" ht="15" customHeight="1" x14ac:dyDescent="0.25"/>
    <row r="27690" ht="15" customHeight="1" x14ac:dyDescent="0.25"/>
    <row r="27691" ht="15" customHeight="1" x14ac:dyDescent="0.25"/>
    <row r="27692" ht="15" customHeight="1" x14ac:dyDescent="0.25"/>
    <row r="27693" ht="15" customHeight="1" x14ac:dyDescent="0.25"/>
    <row r="27694" ht="15" customHeight="1" x14ac:dyDescent="0.25"/>
    <row r="27695" ht="15" customHeight="1" x14ac:dyDescent="0.25"/>
    <row r="27696" ht="15" customHeight="1" x14ac:dyDescent="0.25"/>
    <row r="27697" ht="15" customHeight="1" x14ac:dyDescent="0.25"/>
    <row r="27698" ht="15" customHeight="1" x14ac:dyDescent="0.25"/>
    <row r="27699" ht="15" customHeight="1" x14ac:dyDescent="0.25"/>
    <row r="27700" ht="15" customHeight="1" x14ac:dyDescent="0.25"/>
    <row r="27701" ht="15" customHeight="1" x14ac:dyDescent="0.25"/>
    <row r="27702" ht="15" customHeight="1" x14ac:dyDescent="0.25"/>
    <row r="27703" ht="15" customHeight="1" x14ac:dyDescent="0.25"/>
    <row r="27704" ht="15" customHeight="1" x14ac:dyDescent="0.25"/>
    <row r="27705" ht="15" customHeight="1" x14ac:dyDescent="0.25"/>
    <row r="27706" ht="15" customHeight="1" x14ac:dyDescent="0.25"/>
    <row r="27707" ht="15" customHeight="1" x14ac:dyDescent="0.25"/>
    <row r="27708" ht="15" customHeight="1" x14ac:dyDescent="0.25"/>
    <row r="27709" ht="15" customHeight="1" x14ac:dyDescent="0.25"/>
    <row r="27710" ht="15" customHeight="1" x14ac:dyDescent="0.25"/>
    <row r="27711" ht="15" customHeight="1" x14ac:dyDescent="0.25"/>
    <row r="27712" ht="15" customHeight="1" x14ac:dyDescent="0.25"/>
    <row r="27713" ht="15" customHeight="1" x14ac:dyDescent="0.25"/>
    <row r="27714" ht="15" customHeight="1" x14ac:dyDescent="0.25"/>
    <row r="27715" ht="15" customHeight="1" x14ac:dyDescent="0.25"/>
    <row r="27716" ht="15" customHeight="1" x14ac:dyDescent="0.25"/>
    <row r="27717" ht="15" customHeight="1" x14ac:dyDescent="0.25"/>
    <row r="27718" ht="15" customHeight="1" x14ac:dyDescent="0.25"/>
    <row r="27719" ht="15" customHeight="1" x14ac:dyDescent="0.25"/>
    <row r="27720" ht="15" customHeight="1" x14ac:dyDescent="0.25"/>
    <row r="27721" ht="15" customHeight="1" x14ac:dyDescent="0.25"/>
    <row r="27722" ht="15" customHeight="1" x14ac:dyDescent="0.25"/>
    <row r="27723" ht="15" customHeight="1" x14ac:dyDescent="0.25"/>
    <row r="27724" ht="15" customHeight="1" x14ac:dyDescent="0.25"/>
    <row r="27725" ht="15" customHeight="1" x14ac:dyDescent="0.25"/>
    <row r="27726" ht="15" customHeight="1" x14ac:dyDescent="0.25"/>
    <row r="27727" ht="15" customHeight="1" x14ac:dyDescent="0.25"/>
    <row r="27728" ht="15" customHeight="1" x14ac:dyDescent="0.25"/>
    <row r="27729" ht="15" customHeight="1" x14ac:dyDescent="0.25"/>
    <row r="27730" ht="15" customHeight="1" x14ac:dyDescent="0.25"/>
    <row r="27731" ht="15" customHeight="1" x14ac:dyDescent="0.25"/>
    <row r="27732" ht="15" customHeight="1" x14ac:dyDescent="0.25"/>
    <row r="27733" ht="15" customHeight="1" x14ac:dyDescent="0.25"/>
    <row r="27734" ht="15" customHeight="1" x14ac:dyDescent="0.25"/>
    <row r="27735" ht="15" customHeight="1" x14ac:dyDescent="0.25"/>
    <row r="27736" ht="15" customHeight="1" x14ac:dyDescent="0.25"/>
    <row r="27737" ht="15" customHeight="1" x14ac:dyDescent="0.25"/>
    <row r="27738" ht="15" customHeight="1" x14ac:dyDescent="0.25"/>
    <row r="27739" ht="15" customHeight="1" x14ac:dyDescent="0.25"/>
    <row r="27740" ht="15" customHeight="1" x14ac:dyDescent="0.25"/>
    <row r="27741" ht="15" customHeight="1" x14ac:dyDescent="0.25"/>
    <row r="27742" ht="15" customHeight="1" x14ac:dyDescent="0.25"/>
    <row r="27743" ht="15" customHeight="1" x14ac:dyDescent="0.25"/>
    <row r="27744" ht="15" customHeight="1" x14ac:dyDescent="0.25"/>
    <row r="27745" ht="15" customHeight="1" x14ac:dyDescent="0.25"/>
    <row r="27746" ht="15" customHeight="1" x14ac:dyDescent="0.25"/>
    <row r="27747" ht="15" customHeight="1" x14ac:dyDescent="0.25"/>
    <row r="27748" ht="15" customHeight="1" x14ac:dyDescent="0.25"/>
    <row r="27749" ht="15" customHeight="1" x14ac:dyDescent="0.25"/>
    <row r="27750" ht="15" customHeight="1" x14ac:dyDescent="0.25"/>
  </sheetData>
  <autoFilter ref="A5:K4703" xr:uid="{68A87022-561A-48B6-8C1E-137AD0115085}"/>
  <hyperlinks>
    <hyperlink ref="J736" r:id="rId1" xr:uid="{01910A76-57A3-4B00-86A8-F32479D7C309}"/>
    <hyperlink ref="J737" r:id="rId2" xr:uid="{C5C153B4-4FF1-44A3-8B8F-C18A9498BDFB}"/>
  </hyperlinks>
  <pageMargins left="0.25" right="0.25" top="0.75" bottom="0.75" header="0.3" footer="0.3"/>
  <pageSetup scale="80" fitToHeight="0" orientation="landscape"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325D8-A412-467E-852F-0427D15459C5}">
  <sheetPr>
    <tabColor theme="0" tint="-0.499984740745262"/>
  </sheetPr>
  <dimension ref="B2:E4615"/>
  <sheetViews>
    <sheetView workbookViewId="0"/>
  </sheetViews>
  <sheetFormatPr defaultColWidth="9.140625" defaultRowHeight="15" x14ac:dyDescent="0.25"/>
  <cols>
    <col min="1" max="1" width="9.140625" style="2"/>
    <col min="2" max="2" width="10.7109375" style="2" customWidth="1"/>
    <col min="3" max="4" width="25.7109375" style="2" customWidth="1"/>
    <col min="5" max="16384" width="9.140625" style="2"/>
  </cols>
  <sheetData>
    <row r="2" spans="2:5" x14ac:dyDescent="0.25">
      <c r="B2" s="1" t="s">
        <v>1832</v>
      </c>
      <c r="C2" s="1" t="s">
        <v>2362</v>
      </c>
      <c r="D2" s="1" t="s">
        <v>1849</v>
      </c>
      <c r="E2" s="1" t="s">
        <v>67</v>
      </c>
    </row>
    <row r="3" spans="2:5" x14ac:dyDescent="0.25">
      <c r="B3" s="2" t="s">
        <v>103</v>
      </c>
      <c r="C3" s="2" t="str">
        <f>INDEX(Algorithms!$K:$K, MATCH('Measure Codes'!$B3, Algorithms!$J:$J,0))</f>
        <v>RS-HWE-LFFA-V13-240101</v>
      </c>
      <c r="D3" s="2" t="s">
        <v>2317</v>
      </c>
      <c r="E3" s="23" t="b">
        <f>C3=D3</f>
        <v>1</v>
      </c>
    </row>
    <row r="4" spans="2:5" x14ac:dyDescent="0.25">
      <c r="B4" s="2" t="s">
        <v>102</v>
      </c>
      <c r="C4" s="2" t="str">
        <f>INDEX(Algorithms!$K:$K, MATCH('Measure Codes'!$B4, Algorithms!$J:$J,0))</f>
        <v>RS-HWE-LFSH-V12-240101</v>
      </c>
      <c r="D4" s="2" t="s">
        <v>2363</v>
      </c>
      <c r="E4" s="23" t="b">
        <f t="shared" ref="E4:E64" si="0">C4=D4</f>
        <v>1</v>
      </c>
    </row>
    <row r="5" spans="2:5" x14ac:dyDescent="0.25">
      <c r="B5" s="2" t="s">
        <v>106</v>
      </c>
      <c r="C5" s="2" t="str">
        <f>INDEX(Algorithms!$K:$K, MATCH('Measure Codes'!$B5, Algorithms!$J:$J,0))</f>
        <v>RS-SHL-AIRS-V13-240101</v>
      </c>
      <c r="D5" s="2" t="s">
        <v>2058</v>
      </c>
      <c r="E5" s="23" t="b">
        <f t="shared" si="0"/>
        <v>1</v>
      </c>
    </row>
    <row r="6" spans="2:5" x14ac:dyDescent="0.25">
      <c r="B6" s="2" t="s">
        <v>591</v>
      </c>
      <c r="C6" s="2" t="str">
        <f>INDEX(Algorithms!$K:$K, MATCH('Measure Codes'!$B6, Algorithms!$J:$J,0))</f>
        <v>CI-HWE-OZLD-V07-230101</v>
      </c>
      <c r="D6" s="2" t="s">
        <v>2003</v>
      </c>
      <c r="E6" s="23" t="b">
        <f t="shared" si="0"/>
        <v>1</v>
      </c>
    </row>
    <row r="7" spans="2:5" x14ac:dyDescent="0.25">
      <c r="B7" s="2" t="s">
        <v>109</v>
      </c>
      <c r="C7" s="2" t="str">
        <f>INDEX(Algorithms!$K:$K, MATCH('Measure Codes'!$B7, Algorithms!$J:$J,0))</f>
        <v>RS-SHL-BINS-V14-240101</v>
      </c>
      <c r="D7" s="2" t="s">
        <v>2060</v>
      </c>
      <c r="E7" s="23" t="b">
        <f t="shared" si="0"/>
        <v>1</v>
      </c>
    </row>
    <row r="8" spans="2:5" x14ac:dyDescent="0.25">
      <c r="B8" s="2" t="s">
        <v>113</v>
      </c>
      <c r="C8" s="2" t="str">
        <f>INDEX(Algorithms!$K:$K, MATCH('Measure Codes'!$B8, Algorithms!$J:$J,0))</f>
        <v>RS-SHL-AINS-V07-240101</v>
      </c>
      <c r="D8" s="2" t="s">
        <v>2064</v>
      </c>
      <c r="E8" s="23" t="b">
        <f t="shared" si="0"/>
        <v>1</v>
      </c>
    </row>
    <row r="9" spans="2:5" x14ac:dyDescent="0.25">
      <c r="B9" s="2" t="s">
        <v>130</v>
      </c>
      <c r="C9" s="2" t="str">
        <f>INDEX(Algorithms!$K:$K, MATCH('Measure Codes'!$B9, Algorithms!$J:$J,0))</f>
        <v>CI-HVC-STRE-V10-240101</v>
      </c>
      <c r="D9" s="2" t="s">
        <v>2161</v>
      </c>
      <c r="E9" s="23" t="b">
        <f t="shared" si="0"/>
        <v>1</v>
      </c>
    </row>
    <row r="10" spans="2:5" x14ac:dyDescent="0.25">
      <c r="B10" s="2" t="s">
        <v>672</v>
      </c>
      <c r="C10" s="2" t="str">
        <f>INDEX(Algorithms!$K:$K, MATCH('Measure Codes'!$B10, Algorithms!$J:$J,0))</f>
        <v>CI-HVC-HTHV-V02-230101</v>
      </c>
      <c r="D10" s="2" t="s">
        <v>2000</v>
      </c>
      <c r="E10" s="23" t="b">
        <f t="shared" si="0"/>
        <v>1</v>
      </c>
    </row>
    <row r="11" spans="2:5" x14ac:dyDescent="0.25">
      <c r="B11" s="2" t="s">
        <v>111</v>
      </c>
      <c r="C11" s="2" t="str">
        <f>INDEX(Algorithms!$K:$K, MATCH('Measure Codes'!$B11, Algorithms!$J:$J,0))</f>
        <v>RS-HVC-DINS-V12-240101</v>
      </c>
      <c r="D11" s="2" t="s">
        <v>2047</v>
      </c>
      <c r="E11" s="23" t="b">
        <f t="shared" si="0"/>
        <v>1</v>
      </c>
    </row>
    <row r="12" spans="2:5" x14ac:dyDescent="0.25">
      <c r="B12" s="2" t="s">
        <v>118</v>
      </c>
      <c r="C12" s="2" t="str">
        <f>INDEX(Algorithms!$K:$K, MATCH('Measure Codes'!$B12, Algorithms!$J:$J,0))</f>
        <v>CI-HVC-CUHT-V03-230101</v>
      </c>
      <c r="D12" s="2" t="s">
        <v>1958</v>
      </c>
      <c r="E12" s="23" t="b">
        <f t="shared" si="0"/>
        <v>1</v>
      </c>
    </row>
    <row r="13" spans="2:5" ht="14.25" customHeight="1" x14ac:dyDescent="0.25">
      <c r="B13" s="2" t="s">
        <v>729</v>
      </c>
      <c r="C13" s="2" t="str">
        <f>INDEX(Algorithms!$K:$K, MATCH('Measure Codes'!$B13, Algorithms!$J:$J,0))</f>
        <v>CI-MSC-HSCW-V03-240101</v>
      </c>
      <c r="D13" s="2" t="s">
        <v>2364</v>
      </c>
      <c r="E13" s="23" t="b">
        <f t="shared" si="0"/>
        <v>1</v>
      </c>
    </row>
    <row r="14" spans="2:5" x14ac:dyDescent="0.25">
      <c r="B14" s="2" t="s">
        <v>117</v>
      </c>
      <c r="C14" s="2" t="str">
        <f>INDEX(Algorithms!$K:$K, MATCH('Measure Codes'!$B14, Algorithms!$J:$J,0))</f>
        <v>CI-HVC-IRHT-V03-230101</v>
      </c>
      <c r="D14" s="2" t="s">
        <v>1960</v>
      </c>
      <c r="E14" s="23" t="b">
        <f t="shared" si="0"/>
        <v>1</v>
      </c>
    </row>
    <row r="15" spans="2:5" x14ac:dyDescent="0.25">
      <c r="B15" s="2" t="s">
        <v>522</v>
      </c>
      <c r="C15" s="2" t="str">
        <f>INDEX(Algorithms!$K:$K, MATCH('Measure Codes'!$B15, Algorithms!$J:$J,0))</f>
        <v>RS-SHL-FINS-V15-240101</v>
      </c>
      <c r="D15" s="2" t="s">
        <v>2062</v>
      </c>
      <c r="E15" s="23" t="b">
        <f t="shared" si="0"/>
        <v>1</v>
      </c>
    </row>
    <row r="16" spans="2:5" x14ac:dyDescent="0.25">
      <c r="B16" s="2" t="s">
        <v>108</v>
      </c>
      <c r="C16" s="2" t="str">
        <f>INDEX(Algorithms!$K:$K, MATCH('Measure Codes'!$B16, Algorithms!$J:$J,0))</f>
        <v>RS-SHL-RINS-V06-240101</v>
      </c>
      <c r="D16" s="2" t="s">
        <v>2065</v>
      </c>
      <c r="E16" s="23" t="b">
        <f t="shared" si="0"/>
        <v>1</v>
      </c>
    </row>
    <row r="17" spans="2:5" x14ac:dyDescent="0.25">
      <c r="B17" s="2" t="s">
        <v>107</v>
      </c>
      <c r="C17" s="2" t="str">
        <f>INDEX(Algorithms!$K:$K, MATCH('Measure Codes'!$B17, Algorithms!$J:$J,0))</f>
        <v>RS-SHL-WINS-V13-240101</v>
      </c>
      <c r="D17" s="2" t="s">
        <v>2063</v>
      </c>
      <c r="E17" s="23" t="b">
        <f t="shared" si="0"/>
        <v>1</v>
      </c>
    </row>
    <row r="18" spans="2:5" x14ac:dyDescent="0.25">
      <c r="B18" s="2" t="s">
        <v>809</v>
      </c>
      <c r="C18" s="2" t="str">
        <f>INDEX(Algorithms!$K:$K, MATCH('Measure Codes'!$B18, Algorithms!$J:$J,0))</f>
        <v>CI-HWE-TKIN-V03-240101</v>
      </c>
      <c r="D18" s="2" t="s">
        <v>2365</v>
      </c>
      <c r="E18" s="23" t="b">
        <f t="shared" si="0"/>
        <v>1</v>
      </c>
    </row>
    <row r="19" spans="2:5" x14ac:dyDescent="0.25">
      <c r="B19" s="2" t="s">
        <v>239</v>
      </c>
      <c r="C19" s="2" t="str">
        <f>INDEX(Algorithms!$K:$K, MATCH('Measure Codes'!$B19, Algorithms!$J:$J,0))</f>
        <v>RS-HWE-GWHT-V11-240101</v>
      </c>
      <c r="D19" s="2" t="s">
        <v>2366</v>
      </c>
      <c r="E19" s="23" t="b">
        <f t="shared" si="0"/>
        <v>1</v>
      </c>
    </row>
    <row r="20" spans="2:5" x14ac:dyDescent="0.25">
      <c r="B20" s="2" t="s">
        <v>235</v>
      </c>
      <c r="C20" s="2" t="str">
        <f>INDEX(Algorithms!$K:$K, MATCH('Measure Codes'!$B20, Algorithms!$J:$J,0))</f>
        <v>CI-HVC-BLRT-V07-210101</v>
      </c>
      <c r="D20" s="2" t="s">
        <v>31</v>
      </c>
      <c r="E20" s="23" t="b">
        <f t="shared" si="0"/>
        <v>1</v>
      </c>
    </row>
    <row r="21" spans="2:5" x14ac:dyDescent="0.25">
      <c r="B21" s="2" t="s">
        <v>1823</v>
      </c>
      <c r="C21" s="2" t="str">
        <f>INDEX(Algorithms!$K:$K, MATCH('Measure Codes'!$B21, Algorithms!$J:$J,0))</f>
        <v>RS-HVC-FTUN-V07-230101</v>
      </c>
      <c r="D21" s="2" t="s">
        <v>1980</v>
      </c>
      <c r="E21" s="23" t="b">
        <f t="shared" si="0"/>
        <v>1</v>
      </c>
    </row>
    <row r="22" spans="2:5" x14ac:dyDescent="0.25">
      <c r="B22" s="2" t="s">
        <v>926</v>
      </c>
      <c r="C22" s="2" t="str">
        <f>INDEX(Algorithms!$K:$K, MATCH('Measure Codes'!$B22, Algorithms!$J:$J,0))</f>
        <v>CI-HVC-PBTU-V07-230101</v>
      </c>
      <c r="D22" s="2" t="s">
        <v>1947</v>
      </c>
      <c r="E22" s="23" t="b">
        <f t="shared" si="0"/>
        <v>1</v>
      </c>
    </row>
    <row r="23" spans="2:5" x14ac:dyDescent="0.25">
      <c r="B23" s="2" t="s">
        <v>936</v>
      </c>
      <c r="C23" s="2" t="str">
        <f>INDEX(Algorithms!$K:$K, MATCH('Measure Codes'!$B23, Algorithms!$J:$J,0))</f>
        <v>CI-HVC-SBAC-V03-230101</v>
      </c>
      <c r="D23" s="2" t="s">
        <v>2002</v>
      </c>
      <c r="E23" s="23" t="b">
        <f t="shared" si="0"/>
        <v>1</v>
      </c>
    </row>
    <row r="24" spans="2:5" x14ac:dyDescent="0.25">
      <c r="B24" s="2" t="s">
        <v>133</v>
      </c>
      <c r="C24" s="2" t="str">
        <f>INDEX(Algorithms!$K:$K, MATCH('Measure Codes'!$B24, Algorithms!$J:$J,0))</f>
        <v>CI-HVC-BOIL-V11-240101</v>
      </c>
      <c r="D24" s="2" t="s">
        <v>2038</v>
      </c>
      <c r="E24" s="23" t="b">
        <f t="shared" si="0"/>
        <v>1</v>
      </c>
    </row>
    <row r="25" spans="2:5" x14ac:dyDescent="0.25">
      <c r="B25" s="2" t="s">
        <v>405</v>
      </c>
      <c r="C25" s="2" t="str">
        <f>INDEX(Algorithms!$K:$K, MATCH('Measure Codes'!$B25, Algorithms!$J:$J,0))</f>
        <v>CI-HVC-PINS-V08-230101</v>
      </c>
      <c r="D25" s="2" t="s">
        <v>1961</v>
      </c>
      <c r="E25" s="23" t="b">
        <f t="shared" si="0"/>
        <v>1</v>
      </c>
    </row>
    <row r="26" spans="2:5" x14ac:dyDescent="0.25">
      <c r="B26" s="2" t="s">
        <v>973</v>
      </c>
      <c r="C26" s="2" t="str">
        <f>INDEX(Algorithms!$K:$K, MATCH('Measure Codes'!$B26, Algorithms!$J:$J,0))</f>
        <v>CI-HVC-SODP-V03-240101</v>
      </c>
      <c r="D26" s="2" t="s">
        <v>2367</v>
      </c>
      <c r="E26" s="23" t="b">
        <f t="shared" si="0"/>
        <v>1</v>
      </c>
    </row>
    <row r="27" spans="2:5" x14ac:dyDescent="0.25">
      <c r="B27" s="2" t="s">
        <v>116</v>
      </c>
      <c r="C27" s="2" t="str">
        <f>INDEX(Algorithms!$K:$K, MATCH('Measure Codes'!$B27, Algorithms!$J:$J,0))</f>
        <v>CI-HVC-BLRC-V05-240101</v>
      </c>
      <c r="D27" s="2" t="s">
        <v>2368</v>
      </c>
      <c r="E27" s="23" t="b">
        <f t="shared" si="0"/>
        <v>1</v>
      </c>
    </row>
    <row r="28" spans="2:5" x14ac:dyDescent="0.25">
      <c r="B28" s="2" t="s">
        <v>115</v>
      </c>
      <c r="C28" s="2" t="str">
        <f>INDEX(Algorithms!$K:$K, MATCH('Measure Codes'!$B28, Algorithms!$J:$J,0))</f>
        <v>CI-HVC-FRNC-V13-240101</v>
      </c>
      <c r="D28" s="2" t="s">
        <v>2040</v>
      </c>
      <c r="E28" s="23" t="b">
        <f t="shared" si="0"/>
        <v>1</v>
      </c>
    </row>
    <row r="29" spans="2:5" x14ac:dyDescent="0.25">
      <c r="B29" s="2" t="s">
        <v>262</v>
      </c>
      <c r="C29" s="2" t="str">
        <f>INDEX(Algorithms!$K:$K, MATCH('Measure Codes'!$B29, Algorithms!$J:$J,0))</f>
        <v>RS-HVC-FBMT-V09-240101</v>
      </c>
      <c r="D29" s="2" t="s">
        <v>2369</v>
      </c>
      <c r="E29" s="23" t="b">
        <f t="shared" si="0"/>
        <v>1</v>
      </c>
    </row>
    <row r="30" spans="2:5" x14ac:dyDescent="0.25">
      <c r="B30" s="2" t="s">
        <v>112</v>
      </c>
      <c r="C30" s="2" t="str">
        <f>INDEX(Algorithms!$K:$K, MATCH('Measure Codes'!$B30, Algorithms!$J:$J,0))</f>
        <v>RS-HVC-GHEF-V13-240101</v>
      </c>
      <c r="D30" s="2" t="s">
        <v>2294</v>
      </c>
      <c r="E30" s="23" t="b">
        <f t="shared" si="0"/>
        <v>1</v>
      </c>
    </row>
    <row r="31" spans="2:5" x14ac:dyDescent="0.25">
      <c r="B31" s="2" t="s">
        <v>1007</v>
      </c>
      <c r="C31" s="2" t="str">
        <f>INDEX(Algorithms!$K:$K, MATCH('Measure Codes'!$B31, Algorithms!$J:$J,0))</f>
        <v>RS-HVC-PINS-V07-240101</v>
      </c>
      <c r="D31" s="2" t="s">
        <v>2045</v>
      </c>
      <c r="E31" s="23" t="b">
        <f t="shared" si="0"/>
        <v>1</v>
      </c>
    </row>
    <row r="32" spans="2:5" x14ac:dyDescent="0.25">
      <c r="B32" s="2" t="s">
        <v>105</v>
      </c>
      <c r="C32" s="2" t="str">
        <f>INDEX(Algorithms!$K:$K, MATCH('Measure Codes'!$B32, Algorithms!$J:$J,0))</f>
        <v>RS-HWE-TMPS-V09-240101</v>
      </c>
      <c r="D32" s="2" t="s">
        <v>2370</v>
      </c>
      <c r="E32" s="23" t="b">
        <f t="shared" si="0"/>
        <v>1</v>
      </c>
    </row>
    <row r="33" spans="2:5" x14ac:dyDescent="0.25">
      <c r="B33" s="2" t="s">
        <v>238</v>
      </c>
      <c r="C33" s="2" t="str">
        <f>INDEX(Algorithms!$K:$K, MATCH('Measure Codes'!$B33, Algorithms!$J:$J,0))</f>
        <v>RS-HWE-TRVA-V07-230101</v>
      </c>
      <c r="D33" s="2" t="s">
        <v>1981</v>
      </c>
      <c r="E33" s="23" t="b">
        <f t="shared" si="0"/>
        <v>1</v>
      </c>
    </row>
    <row r="34" spans="2:5" x14ac:dyDescent="0.25">
      <c r="B34" s="2" t="s">
        <v>1032</v>
      </c>
      <c r="C34" s="2" t="str">
        <f>INDEX(Algorithms!$K:$K, MATCH('Measure Codes'!$B34, Algorithms!$J:$J,0))</f>
        <v>RS-DHW-SHTM-V05-230101</v>
      </c>
      <c r="D34" s="2" t="s">
        <v>1982</v>
      </c>
      <c r="E34" s="23" t="b">
        <f t="shared" si="0"/>
        <v>1</v>
      </c>
    </row>
    <row r="35" spans="2:5" x14ac:dyDescent="0.25">
      <c r="B35" s="2" t="s">
        <v>100</v>
      </c>
      <c r="C35" s="2" t="str">
        <f>INDEX(Algorithms!$K:$K, MATCH('Measure Codes'!$B35, Algorithms!$J:$J,0))</f>
        <v>RS-HVC-PROG-V08-220101</v>
      </c>
      <c r="D35" s="2" t="s">
        <v>2004</v>
      </c>
      <c r="E35" s="23" t="b">
        <f t="shared" si="0"/>
        <v>1</v>
      </c>
    </row>
    <row r="36" spans="2:5" x14ac:dyDescent="0.25">
      <c r="B36" s="2" t="s">
        <v>101</v>
      </c>
      <c r="C36" s="2" t="str">
        <f>INDEX(Algorithms!$K:$K, MATCH('Measure Codes'!$B36, Algorithms!$J:$J,0))</f>
        <v>RS-HVC-ADTH-V09-240101</v>
      </c>
      <c r="D36" s="2" t="s">
        <v>2371</v>
      </c>
      <c r="E36" s="23" t="b">
        <f t="shared" si="0"/>
        <v>1</v>
      </c>
    </row>
    <row r="37" spans="2:5" x14ac:dyDescent="0.25">
      <c r="B37" s="2" t="s">
        <v>110</v>
      </c>
      <c r="C37" s="2" t="str">
        <f>INDEX(Algorithms!$K:$K, MATCH('Measure Codes'!$B37, Algorithms!$J:$J,0))</f>
        <v>RS-HVC-GHEB-V11-240101</v>
      </c>
      <c r="D37" s="2" t="s">
        <v>2372</v>
      </c>
      <c r="E37" s="23" t="b">
        <f t="shared" si="0"/>
        <v>1</v>
      </c>
    </row>
    <row r="38" spans="2:5" x14ac:dyDescent="0.25">
      <c r="B38" s="2" t="s">
        <v>127</v>
      </c>
      <c r="C38" s="2" t="str">
        <f>INDEX(Algorithms!$K:$K, MATCH('Measure Codes'!$B38, Algorithms!$J:$J,0))</f>
        <v>CI-HWE-MDHW-V07-240101</v>
      </c>
      <c r="D38" s="2" t="s">
        <v>2373</v>
      </c>
      <c r="E38" s="23" t="b">
        <f t="shared" si="0"/>
        <v>1</v>
      </c>
    </row>
    <row r="39" spans="2:5" x14ac:dyDescent="0.25">
      <c r="B39" s="2" t="s">
        <v>233</v>
      </c>
      <c r="C39" s="2" t="str">
        <f>INDEX(Algorithms!$K:$K, MATCH('Measure Codes'!$B39, Algorithms!$J:$J,0))</f>
        <v>CI-HWE-CDHW-V06-240101</v>
      </c>
      <c r="D39" s="2" t="s">
        <v>2374</v>
      </c>
      <c r="E39" s="23" t="b">
        <f t="shared" si="0"/>
        <v>1</v>
      </c>
    </row>
    <row r="40" spans="2:5" x14ac:dyDescent="0.25">
      <c r="B40" s="2" t="s">
        <v>125</v>
      </c>
      <c r="C40" s="2" t="str">
        <f>INDEX(Algorithms!$K:$K, MATCH('Measure Codes'!$B40, Algorithms!$J:$J,0))</f>
        <v>CI-FSE-VENT-V06-240101</v>
      </c>
      <c r="D40" s="2" t="s">
        <v>2134</v>
      </c>
      <c r="E40" s="23" t="b">
        <f t="shared" si="0"/>
        <v>1</v>
      </c>
    </row>
    <row r="41" spans="2:5" x14ac:dyDescent="0.25">
      <c r="B41" s="2" t="s">
        <v>128</v>
      </c>
      <c r="C41" s="2" t="str">
        <f>INDEX(Algorithms!$K:$K, MATCH('Measure Codes'!$B41, Algorithms!$J:$J,0))</f>
        <v>CI-HVC-DCV-V07-240101</v>
      </c>
      <c r="D41" s="2" t="s">
        <v>2166</v>
      </c>
      <c r="E41" s="23" t="b">
        <f t="shared" si="0"/>
        <v>1</v>
      </c>
    </row>
    <row r="42" spans="2:5" x14ac:dyDescent="0.25">
      <c r="B42" s="2" t="s">
        <v>521</v>
      </c>
      <c r="C42" s="2" t="str">
        <f>INDEX(Algorithms!$K:$K, MATCH('Measure Codes'!$B42, Algorithms!$J:$J,0))</f>
        <v>CI-FSE-CVOV-V03-240101</v>
      </c>
      <c r="D42" s="2" t="s">
        <v>2021</v>
      </c>
      <c r="E42" s="23" t="b">
        <f t="shared" si="0"/>
        <v>1</v>
      </c>
    </row>
    <row r="43" spans="2:5" x14ac:dyDescent="0.25">
      <c r="B43" s="2" t="s">
        <v>123</v>
      </c>
      <c r="C43" s="2" t="str">
        <f>INDEX(Algorithms!$K:$K, MATCH('Measure Codes'!$B43, Algorithms!$J:$J,0))</f>
        <v>CI-FSE-PCOK-V03-240101</v>
      </c>
      <c r="D43" s="2" t="s">
        <v>2375</v>
      </c>
      <c r="E43" s="23" t="b">
        <f t="shared" si="0"/>
        <v>1</v>
      </c>
    </row>
    <row r="44" spans="2:5" x14ac:dyDescent="0.25">
      <c r="B44" s="2" t="s">
        <v>136</v>
      </c>
      <c r="C44" s="2" t="str">
        <f>INDEX(Algorithms!$K:$K, MATCH('Measure Codes'!$B44, Algorithms!$J:$J,0))</f>
        <v>CI-FSE-ESGR-V06-240101</v>
      </c>
      <c r="D44" s="2" t="s">
        <v>2129</v>
      </c>
      <c r="E44" s="23" t="b">
        <f t="shared" si="0"/>
        <v>1</v>
      </c>
    </row>
    <row r="45" spans="2:5" x14ac:dyDescent="0.25">
      <c r="B45" s="2" t="s">
        <v>520</v>
      </c>
      <c r="C45" s="2" t="str">
        <f>INDEX(Algorithms!$K:$K, MATCH('Measure Codes'!$B45, Algorithms!$J:$J,0))</f>
        <v>CI-FSE-ESCV-V05-240101</v>
      </c>
      <c r="D45" s="2" t="s">
        <v>2122</v>
      </c>
      <c r="E45" s="23" t="b">
        <f t="shared" si="0"/>
        <v>1</v>
      </c>
    </row>
    <row r="46" spans="2:5" x14ac:dyDescent="0.25">
      <c r="B46" s="2" t="s">
        <v>236</v>
      </c>
      <c r="C46" s="2" t="str">
        <f>INDEX(Algorithms!$K:$K, MATCH('Measure Codes'!$B46, Algorithms!$J:$J,0))</f>
        <v>CI-HVC-THST-V06-240101</v>
      </c>
      <c r="D46" s="2" t="s">
        <v>2179</v>
      </c>
      <c r="E46" s="23" t="b">
        <f t="shared" si="0"/>
        <v>1</v>
      </c>
    </row>
    <row r="47" spans="2:5" x14ac:dyDescent="0.25">
      <c r="B47" s="2" t="s">
        <v>135</v>
      </c>
      <c r="C47" s="2" t="str">
        <f>INDEX(Algorithms!$K:$K, MATCH('Measure Codes'!$B47, Algorithms!$J:$J,0))</f>
        <v>CI-FSE-STMC-V07-240101</v>
      </c>
      <c r="D47" s="2" t="s">
        <v>2119</v>
      </c>
      <c r="E47" s="23" t="b">
        <f t="shared" si="0"/>
        <v>1</v>
      </c>
    </row>
    <row r="48" spans="2:5" x14ac:dyDescent="0.25">
      <c r="B48" s="2" t="s">
        <v>237</v>
      </c>
      <c r="C48" s="2" t="str">
        <f>INDEX(Algorithms!$K:$K, MATCH('Measure Codes'!$B48, Algorithms!$J:$J,0))</f>
        <v>CI-HWE-GRTF-V04-240101</v>
      </c>
      <c r="D48" s="2" t="s">
        <v>2376</v>
      </c>
      <c r="E48" s="23" t="b">
        <f t="shared" si="0"/>
        <v>1</v>
      </c>
    </row>
    <row r="49" spans="2:5" x14ac:dyDescent="0.25">
      <c r="B49" s="2" t="s">
        <v>137</v>
      </c>
      <c r="C49" s="2" t="str">
        <f>INDEX(Algorithms!$K:$K, MATCH('Measure Codes'!$B49, Algorithms!$J:$J,0))</f>
        <v>CI-FSE-ESFR-V05-240101</v>
      </c>
      <c r="D49" s="2" t="s">
        <v>2127</v>
      </c>
      <c r="E49" s="23" t="b">
        <f t="shared" si="0"/>
        <v>1</v>
      </c>
    </row>
    <row r="50" spans="2:5" x14ac:dyDescent="0.25">
      <c r="B50" s="2" t="s">
        <v>124</v>
      </c>
      <c r="C50" s="2" t="str">
        <f>INDEX(Algorithms!$K:$K, MATCH('Measure Codes'!$B50, Algorithms!$J:$J,0))</f>
        <v>CI-FSE-RKOV-V03-240101</v>
      </c>
      <c r="D50" s="2" t="s">
        <v>2032</v>
      </c>
      <c r="E50" s="23" t="b">
        <f t="shared" si="0"/>
        <v>1</v>
      </c>
    </row>
    <row r="51" spans="2:5" x14ac:dyDescent="0.25">
      <c r="B51" s="2" t="s">
        <v>119</v>
      </c>
      <c r="C51" s="2" t="str">
        <f>INDEX(Algorithms!$K:$K, MATCH('Measure Codes'!$B51, Algorithms!$J:$J,0))</f>
        <v>CI-FSE-IRUB-V03-240101</v>
      </c>
      <c r="D51" s="2" t="s">
        <v>2030</v>
      </c>
      <c r="E51" s="23" t="b">
        <f t="shared" si="0"/>
        <v>1</v>
      </c>
    </row>
    <row r="52" spans="2:5" x14ac:dyDescent="0.25">
      <c r="B52" s="2" t="s">
        <v>120</v>
      </c>
      <c r="C52" s="2" t="str">
        <f>INDEX(Algorithms!$K:$K, MATCH('Measure Codes'!$B52, Algorithms!$J:$J,0))</f>
        <v>CI-FSE-IRBL-V03-240101</v>
      </c>
      <c r="D52" s="2" t="s">
        <v>2028</v>
      </c>
      <c r="E52" s="23" t="b">
        <f t="shared" si="0"/>
        <v>1</v>
      </c>
    </row>
    <row r="53" spans="2:5" x14ac:dyDescent="0.25">
      <c r="B53" s="2" t="s">
        <v>122</v>
      </c>
      <c r="C53" s="2" t="str">
        <f>INDEX(Algorithms!$K:$K, MATCH('Measure Codes'!$B53, Algorithms!$J:$J,0))</f>
        <v>CI-FSE-IROV-V04-240101</v>
      </c>
      <c r="D53" s="2" t="s">
        <v>2025</v>
      </c>
      <c r="E53" s="23" t="b">
        <f t="shared" si="0"/>
        <v>1</v>
      </c>
    </row>
    <row r="54" spans="2:5" x14ac:dyDescent="0.25">
      <c r="B54" s="2" t="s">
        <v>121</v>
      </c>
      <c r="C54" s="2" t="str">
        <f>INDEX(Algorithms!$K:$K, MATCH('Measure Codes'!$B54, Algorithms!$J:$J,0))</f>
        <v>CI-FSE-IRCB-V03-240101</v>
      </c>
      <c r="D54" s="2" t="s">
        <v>2377</v>
      </c>
      <c r="E54" s="23" t="b">
        <f t="shared" si="0"/>
        <v>1</v>
      </c>
    </row>
    <row r="55" spans="2:5" x14ac:dyDescent="0.25">
      <c r="B55" s="2" t="s">
        <v>1226</v>
      </c>
      <c r="C55" s="2" t="str">
        <f>INDEX(Algorithms!$K:$K, MATCH('Measure Codes'!$B55, Algorithms!$J:$J,0))</f>
        <v>CI-FSE-SPRY-V08-220101</v>
      </c>
      <c r="D55" s="2" t="s">
        <v>2378</v>
      </c>
      <c r="E55" s="23" t="b">
        <f t="shared" si="0"/>
        <v>1</v>
      </c>
    </row>
    <row r="56" spans="2:5" x14ac:dyDescent="0.25">
      <c r="B56" s="2" t="s">
        <v>131</v>
      </c>
      <c r="C56" s="2" t="str">
        <f>INDEX(Algorithms!$K:$K, MATCH('Measure Codes'!$B56, Algorithms!$J:$J,0))</f>
        <v>CI-HWE-LFFA-V12-240101</v>
      </c>
      <c r="D56" s="2" t="s">
        <v>2144</v>
      </c>
      <c r="E56" s="23" t="b">
        <f t="shared" si="0"/>
        <v>1</v>
      </c>
    </row>
    <row r="57" spans="2:5" x14ac:dyDescent="0.25">
      <c r="B57" s="2" t="s">
        <v>129</v>
      </c>
      <c r="C57" s="2" t="str">
        <f>INDEX(Algorithms!$K:$K, MATCH('Measure Codes'!$B57, Algorithms!$J:$J,0))</f>
        <v>CI-HWE-LFSH-V09-230101</v>
      </c>
      <c r="D57" s="2" t="s">
        <v>1956</v>
      </c>
      <c r="E57" s="23" t="b">
        <f t="shared" si="0"/>
        <v>1</v>
      </c>
    </row>
    <row r="58" spans="2:5" x14ac:dyDescent="0.25">
      <c r="B58" s="2" t="s">
        <v>132</v>
      </c>
      <c r="C58" s="2" t="str">
        <f>INDEX(Algorithms!$K:$K, MATCH('Measure Codes'!$B58, Algorithms!$J:$J,0))</f>
        <v>CI-MSC-MODD-V02-230101</v>
      </c>
      <c r="D58" s="2" t="s">
        <v>1948</v>
      </c>
      <c r="E58" s="23" t="b">
        <f t="shared" si="0"/>
        <v>1</v>
      </c>
    </row>
    <row r="59" spans="2:5" x14ac:dyDescent="0.25">
      <c r="B59" s="2" t="s">
        <v>134</v>
      </c>
      <c r="C59" s="2" t="str">
        <f>INDEX(Algorithms!$K:$K, MATCH('Measure Codes'!$B59, Algorithms!$J:$J,0))</f>
        <v>CI-HWE-STWH-V10-240101</v>
      </c>
      <c r="D59" s="2" t="s">
        <v>2379</v>
      </c>
      <c r="E59" s="23" t="b">
        <f t="shared" si="0"/>
        <v>1</v>
      </c>
    </row>
    <row r="60" spans="2:5" x14ac:dyDescent="0.25">
      <c r="B60" s="2" t="s">
        <v>234</v>
      </c>
      <c r="C60" s="2" t="str">
        <f>INDEX(Algorithms!$K:$K, MATCH('Measure Codes'!$B60, Algorithms!$J:$J,0))</f>
        <v>CI-HVC-LBC-V06-220101</v>
      </c>
      <c r="D60" s="2" t="s">
        <v>2001</v>
      </c>
      <c r="E60" s="23" t="b">
        <f t="shared" si="0"/>
        <v>1</v>
      </c>
    </row>
    <row r="61" spans="2:5" x14ac:dyDescent="0.25">
      <c r="B61" s="2" t="s">
        <v>519</v>
      </c>
      <c r="C61" s="2" t="str">
        <f>INDEX(Algorithms!$K:$K, MATCH('Measure Codes'!$B61, Algorithms!$J:$J,0))</f>
        <v>CI-FSE-CBOV-V05-240101</v>
      </c>
      <c r="D61" s="2" t="s">
        <v>2114</v>
      </c>
      <c r="E61" s="23" t="b">
        <f t="shared" si="0"/>
        <v>1</v>
      </c>
    </row>
    <row r="62" spans="2:5" x14ac:dyDescent="0.25">
      <c r="B62" s="2" t="s">
        <v>114</v>
      </c>
      <c r="C62" s="2" t="str">
        <f>INDEX(Algorithms!$K:$K, MATCH('Measure Codes'!$B62, Algorithms!$J:$J,0))</f>
        <v>CI-FSE-ESDW-V07-240101</v>
      </c>
      <c r="D62" s="2" t="s">
        <v>2125</v>
      </c>
      <c r="E62" s="23" t="b">
        <f t="shared" si="0"/>
        <v>1</v>
      </c>
    </row>
    <row r="63" spans="2:5" x14ac:dyDescent="0.25">
      <c r="B63" s="2" t="s">
        <v>126</v>
      </c>
      <c r="C63" s="2" t="str">
        <f>INDEX(Algorithms!$K:$K, MATCH('Measure Codes'!$B63, Algorithms!$J:$J,0))</f>
        <v>CI-HVC-ERVE-V06-240101</v>
      </c>
      <c r="D63" s="2" t="s">
        <v>2042</v>
      </c>
      <c r="E63" s="23" t="b">
        <f t="shared" si="0"/>
        <v>1</v>
      </c>
    </row>
    <row r="64" spans="2:5" x14ac:dyDescent="0.25">
      <c r="B64" s="2" t="s">
        <v>1401</v>
      </c>
      <c r="C64" s="2" t="str">
        <f>INDEX(Algorithms!$K:$K, MATCH('Measure Codes'!$B64, Algorithms!$J:$J,0))</f>
        <v>CI-HVC-CRAC-V03-230101</v>
      </c>
      <c r="D64" s="2" t="s">
        <v>1967</v>
      </c>
      <c r="E64" s="23" t="b">
        <f t="shared" si="0"/>
        <v>1</v>
      </c>
    </row>
    <row r="65" spans="2:4" x14ac:dyDescent="0.25">
      <c r="B65" s="2" t="s">
        <v>104</v>
      </c>
      <c r="D65" s="2" t="s">
        <v>2313</v>
      </c>
    </row>
    <row r="66" spans="2:4" x14ac:dyDescent="0.25">
      <c r="B66"/>
    </row>
    <row r="67" spans="2:4" x14ac:dyDescent="0.25">
      <c r="B67"/>
    </row>
    <row r="68" spans="2:4" x14ac:dyDescent="0.25">
      <c r="B68"/>
    </row>
    <row r="69" spans="2:4" x14ac:dyDescent="0.25">
      <c r="B69"/>
    </row>
    <row r="70" spans="2:4" x14ac:dyDescent="0.25">
      <c r="B70"/>
    </row>
    <row r="71" spans="2:4" x14ac:dyDescent="0.25">
      <c r="B71"/>
    </row>
    <row r="72" spans="2:4" x14ac:dyDescent="0.25">
      <c r="B72"/>
    </row>
    <row r="73" spans="2:4" x14ac:dyDescent="0.25">
      <c r="B73"/>
    </row>
    <row r="74" spans="2:4" x14ac:dyDescent="0.25">
      <c r="B74"/>
    </row>
    <row r="75" spans="2:4" x14ac:dyDescent="0.25">
      <c r="B75"/>
    </row>
    <row r="76" spans="2:4" x14ac:dyDescent="0.25">
      <c r="B76"/>
    </row>
    <row r="77" spans="2:4" x14ac:dyDescent="0.25">
      <c r="B77"/>
    </row>
    <row r="78" spans="2:4" x14ac:dyDescent="0.25">
      <c r="B78"/>
    </row>
    <row r="79" spans="2:4" x14ac:dyDescent="0.25">
      <c r="B79"/>
    </row>
    <row r="80" spans="2:4"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row r="88" spans="2:2" x14ac:dyDescent="0.25">
      <c r="B88"/>
    </row>
    <row r="89" spans="2:2" x14ac:dyDescent="0.25">
      <c r="B89"/>
    </row>
    <row r="90" spans="2:2" x14ac:dyDescent="0.25">
      <c r="B90"/>
    </row>
    <row r="91" spans="2:2" x14ac:dyDescent="0.25">
      <c r="B91"/>
    </row>
    <row r="92" spans="2:2" x14ac:dyDescent="0.25">
      <c r="B92"/>
    </row>
    <row r="93" spans="2:2" x14ac:dyDescent="0.25">
      <c r="B93"/>
    </row>
    <row r="94" spans="2:2" x14ac:dyDescent="0.25">
      <c r="B94"/>
    </row>
    <row r="95" spans="2:2" x14ac:dyDescent="0.25">
      <c r="B95"/>
    </row>
    <row r="96" spans="2:2"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row r="377" spans="2:2" x14ac:dyDescent="0.25">
      <c r="B377"/>
    </row>
    <row r="378" spans="2:2" x14ac:dyDescent="0.25">
      <c r="B378"/>
    </row>
    <row r="379" spans="2:2" x14ac:dyDescent="0.25">
      <c r="B379"/>
    </row>
    <row r="380" spans="2:2" x14ac:dyDescent="0.25">
      <c r="B380"/>
    </row>
    <row r="381" spans="2:2" x14ac:dyDescent="0.25">
      <c r="B381"/>
    </row>
    <row r="382" spans="2:2" x14ac:dyDescent="0.25">
      <c r="B382"/>
    </row>
    <row r="383" spans="2:2" x14ac:dyDescent="0.25">
      <c r="B383"/>
    </row>
    <row r="384" spans="2:2" x14ac:dyDescent="0.25">
      <c r="B384"/>
    </row>
    <row r="385" spans="2:2" x14ac:dyDescent="0.25">
      <c r="B385"/>
    </row>
    <row r="386" spans="2:2" x14ac:dyDescent="0.25">
      <c r="B386"/>
    </row>
    <row r="387" spans="2:2" x14ac:dyDescent="0.25">
      <c r="B387"/>
    </row>
    <row r="388" spans="2:2" x14ac:dyDescent="0.25">
      <c r="B388"/>
    </row>
    <row r="389" spans="2:2" x14ac:dyDescent="0.25">
      <c r="B389"/>
    </row>
    <row r="390" spans="2:2" x14ac:dyDescent="0.25">
      <c r="B390"/>
    </row>
    <row r="391" spans="2:2" x14ac:dyDescent="0.25">
      <c r="B391"/>
    </row>
    <row r="392" spans="2:2" x14ac:dyDescent="0.25">
      <c r="B392"/>
    </row>
    <row r="393" spans="2:2" x14ac:dyDescent="0.25">
      <c r="B393"/>
    </row>
    <row r="394" spans="2:2" x14ac:dyDescent="0.25">
      <c r="B394"/>
    </row>
    <row r="395" spans="2:2" x14ac:dyDescent="0.25">
      <c r="B395"/>
    </row>
    <row r="396" spans="2:2" x14ac:dyDescent="0.25">
      <c r="B396"/>
    </row>
    <row r="397" spans="2:2" x14ac:dyDescent="0.25">
      <c r="B397"/>
    </row>
    <row r="398" spans="2:2" x14ac:dyDescent="0.25">
      <c r="B398"/>
    </row>
    <row r="399" spans="2:2" x14ac:dyDescent="0.25">
      <c r="B399"/>
    </row>
    <row r="400" spans="2:2" x14ac:dyDescent="0.25">
      <c r="B400"/>
    </row>
    <row r="401" spans="2:2" x14ac:dyDescent="0.25">
      <c r="B401"/>
    </row>
    <row r="402" spans="2:2" x14ac:dyDescent="0.25">
      <c r="B402"/>
    </row>
    <row r="403" spans="2:2" x14ac:dyDescent="0.25">
      <c r="B403"/>
    </row>
    <row r="404" spans="2:2" x14ac:dyDescent="0.25">
      <c r="B404"/>
    </row>
    <row r="405" spans="2:2" x14ac:dyDescent="0.25">
      <c r="B405"/>
    </row>
    <row r="406" spans="2:2" x14ac:dyDescent="0.25">
      <c r="B406"/>
    </row>
    <row r="407" spans="2:2" x14ac:dyDescent="0.25">
      <c r="B407"/>
    </row>
    <row r="408" spans="2:2" x14ac:dyDescent="0.25">
      <c r="B408"/>
    </row>
    <row r="409" spans="2:2" x14ac:dyDescent="0.25">
      <c r="B409"/>
    </row>
    <row r="410" spans="2:2" x14ac:dyDescent="0.25">
      <c r="B410"/>
    </row>
    <row r="411" spans="2:2" x14ac:dyDescent="0.25">
      <c r="B411"/>
    </row>
    <row r="412" spans="2:2" x14ac:dyDescent="0.25">
      <c r="B412"/>
    </row>
    <row r="413" spans="2:2" x14ac:dyDescent="0.25">
      <c r="B413"/>
    </row>
    <row r="414" spans="2:2" x14ac:dyDescent="0.25">
      <c r="B414"/>
    </row>
    <row r="415" spans="2:2" x14ac:dyDescent="0.25">
      <c r="B415"/>
    </row>
    <row r="416" spans="2:2" x14ac:dyDescent="0.25">
      <c r="B416"/>
    </row>
    <row r="417" spans="2:2" x14ac:dyDescent="0.25">
      <c r="B417"/>
    </row>
    <row r="418" spans="2:2" x14ac:dyDescent="0.25">
      <c r="B418"/>
    </row>
    <row r="419" spans="2:2" x14ac:dyDescent="0.25">
      <c r="B419"/>
    </row>
    <row r="420" spans="2:2" x14ac:dyDescent="0.25">
      <c r="B420"/>
    </row>
    <row r="421" spans="2:2" x14ac:dyDescent="0.25">
      <c r="B421"/>
    </row>
    <row r="422" spans="2:2" x14ac:dyDescent="0.25">
      <c r="B422"/>
    </row>
    <row r="423" spans="2:2" x14ac:dyDescent="0.25">
      <c r="B423"/>
    </row>
    <row r="424" spans="2:2" x14ac:dyDescent="0.25">
      <c r="B424"/>
    </row>
    <row r="425" spans="2:2" x14ac:dyDescent="0.25">
      <c r="B425"/>
    </row>
    <row r="426" spans="2:2" x14ac:dyDescent="0.25">
      <c r="B426"/>
    </row>
    <row r="427" spans="2:2" x14ac:dyDescent="0.25">
      <c r="B427"/>
    </row>
    <row r="428" spans="2:2" x14ac:dyDescent="0.25">
      <c r="B428"/>
    </row>
    <row r="429" spans="2:2" x14ac:dyDescent="0.25">
      <c r="B429"/>
    </row>
    <row r="430" spans="2:2" x14ac:dyDescent="0.25">
      <c r="B430"/>
    </row>
    <row r="431" spans="2:2" x14ac:dyDescent="0.25">
      <c r="B431"/>
    </row>
    <row r="432" spans="2:2"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row r="461" spans="2:2" x14ac:dyDescent="0.25">
      <c r="B461"/>
    </row>
    <row r="462" spans="2:2" x14ac:dyDescent="0.25">
      <c r="B462"/>
    </row>
    <row r="463" spans="2:2" x14ac:dyDescent="0.25">
      <c r="B463"/>
    </row>
    <row r="464" spans="2:2" x14ac:dyDescent="0.25">
      <c r="B464"/>
    </row>
    <row r="465" spans="2:2" x14ac:dyDescent="0.25">
      <c r="B465"/>
    </row>
    <row r="466" spans="2:2" x14ac:dyDescent="0.25">
      <c r="B466"/>
    </row>
    <row r="467" spans="2:2" x14ac:dyDescent="0.25">
      <c r="B467"/>
    </row>
    <row r="468" spans="2:2" x14ac:dyDescent="0.25">
      <c r="B468"/>
    </row>
    <row r="469" spans="2:2" x14ac:dyDescent="0.25">
      <c r="B469"/>
    </row>
    <row r="470" spans="2:2" x14ac:dyDescent="0.25">
      <c r="B470"/>
    </row>
    <row r="471" spans="2:2" x14ac:dyDescent="0.25">
      <c r="B471"/>
    </row>
    <row r="472" spans="2:2" x14ac:dyDescent="0.25">
      <c r="B472"/>
    </row>
    <row r="473" spans="2:2" x14ac:dyDescent="0.25">
      <c r="B473"/>
    </row>
    <row r="474" spans="2:2" x14ac:dyDescent="0.25">
      <c r="B474"/>
    </row>
    <row r="475" spans="2:2" x14ac:dyDescent="0.25">
      <c r="B475"/>
    </row>
    <row r="476" spans="2:2" x14ac:dyDescent="0.25">
      <c r="B476"/>
    </row>
    <row r="477" spans="2:2" x14ac:dyDescent="0.25">
      <c r="B477"/>
    </row>
    <row r="478" spans="2:2" x14ac:dyDescent="0.25">
      <c r="B478"/>
    </row>
    <row r="479" spans="2:2" x14ac:dyDescent="0.25">
      <c r="B479"/>
    </row>
    <row r="480" spans="2:2" x14ac:dyDescent="0.25">
      <c r="B480"/>
    </row>
    <row r="481" spans="2:2" x14ac:dyDescent="0.25">
      <c r="B481"/>
    </row>
    <row r="482" spans="2:2" x14ac:dyDescent="0.25">
      <c r="B482"/>
    </row>
    <row r="483" spans="2:2" x14ac:dyDescent="0.25">
      <c r="B483"/>
    </row>
    <row r="484" spans="2:2" x14ac:dyDescent="0.25">
      <c r="B484"/>
    </row>
    <row r="485" spans="2:2" x14ac:dyDescent="0.25">
      <c r="B485"/>
    </row>
    <row r="486" spans="2:2" x14ac:dyDescent="0.25">
      <c r="B486"/>
    </row>
    <row r="487" spans="2:2" x14ac:dyDescent="0.25">
      <c r="B487"/>
    </row>
    <row r="488" spans="2:2" x14ac:dyDescent="0.25">
      <c r="B488"/>
    </row>
    <row r="489" spans="2:2" x14ac:dyDescent="0.25">
      <c r="B489"/>
    </row>
    <row r="490" spans="2:2" x14ac:dyDescent="0.25">
      <c r="B490"/>
    </row>
    <row r="491" spans="2:2" x14ac:dyDescent="0.25">
      <c r="B491"/>
    </row>
    <row r="492" spans="2:2" x14ac:dyDescent="0.25">
      <c r="B492"/>
    </row>
    <row r="493" spans="2:2" x14ac:dyDescent="0.25">
      <c r="B493"/>
    </row>
    <row r="494" spans="2:2" x14ac:dyDescent="0.25">
      <c r="B494"/>
    </row>
    <row r="495" spans="2:2" x14ac:dyDescent="0.25">
      <c r="B495"/>
    </row>
    <row r="496" spans="2:2" x14ac:dyDescent="0.25">
      <c r="B496"/>
    </row>
    <row r="497" spans="2:2" x14ac:dyDescent="0.25">
      <c r="B497"/>
    </row>
    <row r="498" spans="2:2" x14ac:dyDescent="0.25">
      <c r="B498"/>
    </row>
    <row r="499" spans="2:2" x14ac:dyDescent="0.25">
      <c r="B499"/>
    </row>
    <row r="500" spans="2:2" x14ac:dyDescent="0.25">
      <c r="B500"/>
    </row>
    <row r="501" spans="2:2" x14ac:dyDescent="0.25">
      <c r="B501"/>
    </row>
    <row r="502" spans="2:2" x14ac:dyDescent="0.25">
      <c r="B502"/>
    </row>
    <row r="503" spans="2:2" x14ac:dyDescent="0.25">
      <c r="B503"/>
    </row>
    <row r="504" spans="2:2" x14ac:dyDescent="0.25">
      <c r="B504"/>
    </row>
    <row r="505" spans="2:2" x14ac:dyDescent="0.25">
      <c r="B505"/>
    </row>
    <row r="506" spans="2:2" x14ac:dyDescent="0.25">
      <c r="B506"/>
    </row>
    <row r="507" spans="2:2" x14ac:dyDescent="0.25">
      <c r="B507"/>
    </row>
    <row r="508" spans="2:2" x14ac:dyDescent="0.25">
      <c r="B508"/>
    </row>
    <row r="509" spans="2:2" x14ac:dyDescent="0.25">
      <c r="B509"/>
    </row>
    <row r="510" spans="2:2" x14ac:dyDescent="0.25">
      <c r="B510"/>
    </row>
    <row r="511" spans="2:2" x14ac:dyDescent="0.25">
      <c r="B511"/>
    </row>
    <row r="512" spans="2:2" x14ac:dyDescent="0.25">
      <c r="B512"/>
    </row>
    <row r="513" spans="2:2" x14ac:dyDescent="0.25">
      <c r="B513"/>
    </row>
    <row r="514" spans="2:2" x14ac:dyDescent="0.25">
      <c r="B514"/>
    </row>
    <row r="515" spans="2:2" x14ac:dyDescent="0.25">
      <c r="B515"/>
    </row>
    <row r="516" spans="2:2" x14ac:dyDescent="0.25">
      <c r="B516"/>
    </row>
    <row r="517" spans="2:2" x14ac:dyDescent="0.25">
      <c r="B517"/>
    </row>
    <row r="518" spans="2:2" x14ac:dyDescent="0.25">
      <c r="B518"/>
    </row>
    <row r="519" spans="2:2" x14ac:dyDescent="0.25">
      <c r="B519"/>
    </row>
    <row r="520" spans="2:2" x14ac:dyDescent="0.25">
      <c r="B520"/>
    </row>
    <row r="521" spans="2:2" x14ac:dyDescent="0.25">
      <c r="B521"/>
    </row>
    <row r="522" spans="2:2" x14ac:dyDescent="0.25">
      <c r="B522"/>
    </row>
    <row r="523" spans="2:2" x14ac:dyDescent="0.25">
      <c r="B523"/>
    </row>
    <row r="524" spans="2:2" x14ac:dyDescent="0.25">
      <c r="B524"/>
    </row>
    <row r="525" spans="2:2" x14ac:dyDescent="0.25">
      <c r="B525"/>
    </row>
    <row r="526" spans="2:2" x14ac:dyDescent="0.25">
      <c r="B526"/>
    </row>
    <row r="527" spans="2:2" x14ac:dyDescent="0.25">
      <c r="B527"/>
    </row>
    <row r="528" spans="2:2" x14ac:dyDescent="0.25">
      <c r="B528"/>
    </row>
    <row r="529" spans="2:2" x14ac:dyDescent="0.25">
      <c r="B529"/>
    </row>
    <row r="530" spans="2:2" x14ac:dyDescent="0.25">
      <c r="B530"/>
    </row>
    <row r="531" spans="2:2" x14ac:dyDescent="0.25">
      <c r="B531"/>
    </row>
    <row r="532" spans="2:2" x14ac:dyDescent="0.25">
      <c r="B532"/>
    </row>
    <row r="533" spans="2:2" x14ac:dyDescent="0.25">
      <c r="B533"/>
    </row>
    <row r="534" spans="2:2" x14ac:dyDescent="0.25">
      <c r="B534"/>
    </row>
    <row r="535" spans="2:2" x14ac:dyDescent="0.25">
      <c r="B535"/>
    </row>
    <row r="536" spans="2:2" x14ac:dyDescent="0.25">
      <c r="B536"/>
    </row>
    <row r="537" spans="2:2" x14ac:dyDescent="0.25">
      <c r="B537"/>
    </row>
    <row r="538" spans="2:2" x14ac:dyDescent="0.25">
      <c r="B538"/>
    </row>
    <row r="539" spans="2:2" x14ac:dyDescent="0.25">
      <c r="B539"/>
    </row>
    <row r="540" spans="2:2" x14ac:dyDescent="0.25">
      <c r="B540"/>
    </row>
    <row r="541" spans="2:2" x14ac:dyDescent="0.25">
      <c r="B541"/>
    </row>
    <row r="542" spans="2:2" x14ac:dyDescent="0.25">
      <c r="B542"/>
    </row>
    <row r="543" spans="2:2" x14ac:dyDescent="0.25">
      <c r="B543"/>
    </row>
    <row r="544" spans="2:2" x14ac:dyDescent="0.25">
      <c r="B544"/>
    </row>
    <row r="545" spans="2:2" x14ac:dyDescent="0.25">
      <c r="B545"/>
    </row>
    <row r="546" spans="2:2" x14ac:dyDescent="0.25">
      <c r="B546"/>
    </row>
    <row r="547" spans="2:2" x14ac:dyDescent="0.25">
      <c r="B547"/>
    </row>
    <row r="548" spans="2:2" x14ac:dyDescent="0.25">
      <c r="B548"/>
    </row>
    <row r="549" spans="2:2" x14ac:dyDescent="0.25">
      <c r="B549"/>
    </row>
    <row r="550" spans="2:2" x14ac:dyDescent="0.25">
      <c r="B550"/>
    </row>
    <row r="551" spans="2:2" x14ac:dyDescent="0.25">
      <c r="B551"/>
    </row>
    <row r="552" spans="2:2" x14ac:dyDescent="0.25">
      <c r="B552"/>
    </row>
    <row r="553" spans="2:2" x14ac:dyDescent="0.25">
      <c r="B553"/>
    </row>
    <row r="554" spans="2:2" x14ac:dyDescent="0.25">
      <c r="B554"/>
    </row>
    <row r="555" spans="2:2" x14ac:dyDescent="0.25">
      <c r="B555"/>
    </row>
    <row r="556" spans="2:2" x14ac:dyDescent="0.25">
      <c r="B556"/>
    </row>
    <row r="557" spans="2:2" x14ac:dyDescent="0.25">
      <c r="B557"/>
    </row>
    <row r="558" spans="2:2" x14ac:dyDescent="0.25">
      <c r="B558"/>
    </row>
    <row r="559" spans="2:2" x14ac:dyDescent="0.25">
      <c r="B559"/>
    </row>
    <row r="560" spans="2:2" x14ac:dyDescent="0.25">
      <c r="B560"/>
    </row>
    <row r="561" spans="2:2" x14ac:dyDescent="0.25">
      <c r="B561"/>
    </row>
    <row r="562" spans="2:2" x14ac:dyDescent="0.25">
      <c r="B562"/>
    </row>
    <row r="563" spans="2:2" x14ac:dyDescent="0.25">
      <c r="B563"/>
    </row>
    <row r="564" spans="2:2" x14ac:dyDescent="0.25">
      <c r="B564"/>
    </row>
    <row r="565" spans="2:2" x14ac:dyDescent="0.25">
      <c r="B565"/>
    </row>
    <row r="566" spans="2:2" x14ac:dyDescent="0.25">
      <c r="B566"/>
    </row>
    <row r="567" spans="2:2" x14ac:dyDescent="0.25">
      <c r="B567"/>
    </row>
    <row r="568" spans="2:2" x14ac:dyDescent="0.25">
      <c r="B568"/>
    </row>
    <row r="569" spans="2:2" x14ac:dyDescent="0.25">
      <c r="B569"/>
    </row>
    <row r="570" spans="2:2" x14ac:dyDescent="0.25">
      <c r="B570"/>
    </row>
    <row r="571" spans="2:2" x14ac:dyDescent="0.25">
      <c r="B571"/>
    </row>
    <row r="572" spans="2:2" x14ac:dyDescent="0.25">
      <c r="B572"/>
    </row>
    <row r="573" spans="2:2" x14ac:dyDescent="0.25">
      <c r="B573"/>
    </row>
    <row r="574" spans="2:2" x14ac:dyDescent="0.25">
      <c r="B574"/>
    </row>
    <row r="575" spans="2:2" x14ac:dyDescent="0.25">
      <c r="B575"/>
    </row>
    <row r="576" spans="2:2" x14ac:dyDescent="0.25">
      <c r="B576"/>
    </row>
    <row r="577" spans="2:2" x14ac:dyDescent="0.25">
      <c r="B577"/>
    </row>
    <row r="578" spans="2:2" x14ac:dyDescent="0.25">
      <c r="B578"/>
    </row>
    <row r="579" spans="2:2" x14ac:dyDescent="0.25">
      <c r="B579"/>
    </row>
    <row r="580" spans="2:2" x14ac:dyDescent="0.25">
      <c r="B580"/>
    </row>
    <row r="581" spans="2:2" x14ac:dyDescent="0.25">
      <c r="B581"/>
    </row>
    <row r="582" spans="2:2" x14ac:dyDescent="0.25">
      <c r="B582"/>
    </row>
    <row r="583" spans="2:2" x14ac:dyDescent="0.25">
      <c r="B583"/>
    </row>
    <row r="584" spans="2:2" x14ac:dyDescent="0.25">
      <c r="B584"/>
    </row>
    <row r="585" spans="2:2" x14ac:dyDescent="0.25">
      <c r="B585"/>
    </row>
    <row r="586" spans="2:2" x14ac:dyDescent="0.25">
      <c r="B586"/>
    </row>
    <row r="587" spans="2:2" x14ac:dyDescent="0.25">
      <c r="B587"/>
    </row>
    <row r="588" spans="2:2" x14ac:dyDescent="0.25">
      <c r="B588"/>
    </row>
    <row r="589" spans="2:2" x14ac:dyDescent="0.25">
      <c r="B589"/>
    </row>
    <row r="590" spans="2:2" x14ac:dyDescent="0.25">
      <c r="B590"/>
    </row>
    <row r="591" spans="2:2" x14ac:dyDescent="0.25">
      <c r="B591"/>
    </row>
    <row r="592" spans="2:2" x14ac:dyDescent="0.25">
      <c r="B592"/>
    </row>
    <row r="593" spans="2:2" x14ac:dyDescent="0.25">
      <c r="B593"/>
    </row>
    <row r="594" spans="2:2" x14ac:dyDescent="0.25">
      <c r="B594"/>
    </row>
    <row r="595" spans="2:2" x14ac:dyDescent="0.25">
      <c r="B595"/>
    </row>
    <row r="596" spans="2:2" x14ac:dyDescent="0.25">
      <c r="B596"/>
    </row>
    <row r="597" spans="2:2" x14ac:dyDescent="0.25">
      <c r="B597"/>
    </row>
    <row r="598" spans="2:2" x14ac:dyDescent="0.25">
      <c r="B598"/>
    </row>
    <row r="599" spans="2:2" x14ac:dyDescent="0.25">
      <c r="B599"/>
    </row>
    <row r="600" spans="2:2" x14ac:dyDescent="0.25">
      <c r="B600"/>
    </row>
    <row r="601" spans="2:2" x14ac:dyDescent="0.25">
      <c r="B601"/>
    </row>
    <row r="602" spans="2:2" x14ac:dyDescent="0.25">
      <c r="B602"/>
    </row>
    <row r="603" spans="2:2" x14ac:dyDescent="0.25">
      <c r="B603"/>
    </row>
    <row r="604" spans="2:2" x14ac:dyDescent="0.25">
      <c r="B604"/>
    </row>
    <row r="605" spans="2:2" x14ac:dyDescent="0.25">
      <c r="B605"/>
    </row>
    <row r="606" spans="2:2" x14ac:dyDescent="0.25">
      <c r="B606"/>
    </row>
    <row r="607" spans="2:2" x14ac:dyDescent="0.25">
      <c r="B607"/>
    </row>
    <row r="608" spans="2:2" x14ac:dyDescent="0.25">
      <c r="B608"/>
    </row>
    <row r="609" spans="2:2" x14ac:dyDescent="0.25">
      <c r="B609"/>
    </row>
    <row r="610" spans="2:2" x14ac:dyDescent="0.25">
      <c r="B610"/>
    </row>
    <row r="611" spans="2:2" x14ac:dyDescent="0.25">
      <c r="B611"/>
    </row>
    <row r="612" spans="2:2" x14ac:dyDescent="0.25">
      <c r="B612"/>
    </row>
    <row r="613" spans="2:2" x14ac:dyDescent="0.25">
      <c r="B613"/>
    </row>
    <row r="614" spans="2:2" x14ac:dyDescent="0.25">
      <c r="B614"/>
    </row>
    <row r="615" spans="2:2" x14ac:dyDescent="0.25">
      <c r="B615"/>
    </row>
    <row r="616" spans="2:2" x14ac:dyDescent="0.25">
      <c r="B616"/>
    </row>
    <row r="617" spans="2:2" x14ac:dyDescent="0.25">
      <c r="B617"/>
    </row>
    <row r="618" spans="2:2" x14ac:dyDescent="0.25">
      <c r="B618"/>
    </row>
    <row r="619" spans="2:2" x14ac:dyDescent="0.25">
      <c r="B619"/>
    </row>
    <row r="620" spans="2:2" x14ac:dyDescent="0.25">
      <c r="B620"/>
    </row>
    <row r="621" spans="2:2" x14ac:dyDescent="0.25">
      <c r="B621"/>
    </row>
    <row r="622" spans="2:2" x14ac:dyDescent="0.25">
      <c r="B622"/>
    </row>
    <row r="623" spans="2:2" x14ac:dyDescent="0.25">
      <c r="B623"/>
    </row>
    <row r="624" spans="2:2" x14ac:dyDescent="0.25">
      <c r="B624"/>
    </row>
    <row r="625" spans="2:2" x14ac:dyDescent="0.25">
      <c r="B625"/>
    </row>
    <row r="626" spans="2:2" x14ac:dyDescent="0.25">
      <c r="B626"/>
    </row>
    <row r="627" spans="2:2" x14ac:dyDescent="0.25">
      <c r="B627"/>
    </row>
    <row r="628" spans="2:2" x14ac:dyDescent="0.25">
      <c r="B628"/>
    </row>
    <row r="629" spans="2:2" x14ac:dyDescent="0.25">
      <c r="B629"/>
    </row>
    <row r="630" spans="2:2" x14ac:dyDescent="0.25">
      <c r="B630"/>
    </row>
    <row r="631" spans="2:2" x14ac:dyDescent="0.25">
      <c r="B631"/>
    </row>
    <row r="632" spans="2:2" x14ac:dyDescent="0.25">
      <c r="B632"/>
    </row>
    <row r="633" spans="2:2" x14ac:dyDescent="0.25">
      <c r="B633"/>
    </row>
    <row r="634" spans="2:2" x14ac:dyDescent="0.25">
      <c r="B634"/>
    </row>
    <row r="635" spans="2:2" x14ac:dyDescent="0.25">
      <c r="B635"/>
    </row>
    <row r="636" spans="2:2" x14ac:dyDescent="0.25">
      <c r="B636"/>
    </row>
    <row r="637" spans="2:2" x14ac:dyDescent="0.25">
      <c r="B637"/>
    </row>
    <row r="638" spans="2:2" x14ac:dyDescent="0.25">
      <c r="B638"/>
    </row>
    <row r="639" spans="2:2" x14ac:dyDescent="0.25">
      <c r="B639"/>
    </row>
    <row r="640" spans="2:2" x14ac:dyDescent="0.25">
      <c r="B640"/>
    </row>
    <row r="641" spans="2:2" x14ac:dyDescent="0.25">
      <c r="B641"/>
    </row>
    <row r="642" spans="2:2" x14ac:dyDescent="0.25">
      <c r="B642"/>
    </row>
    <row r="643" spans="2:2" x14ac:dyDescent="0.25">
      <c r="B643"/>
    </row>
    <row r="644" spans="2:2" x14ac:dyDescent="0.25">
      <c r="B644"/>
    </row>
    <row r="645" spans="2:2" x14ac:dyDescent="0.25">
      <c r="B645"/>
    </row>
    <row r="646" spans="2:2" x14ac:dyDescent="0.25">
      <c r="B646"/>
    </row>
    <row r="647" spans="2:2" x14ac:dyDescent="0.25">
      <c r="B647"/>
    </row>
    <row r="648" spans="2:2" x14ac:dyDescent="0.25">
      <c r="B648"/>
    </row>
    <row r="649" spans="2:2" x14ac:dyDescent="0.25">
      <c r="B649"/>
    </row>
    <row r="650" spans="2:2" x14ac:dyDescent="0.25">
      <c r="B650"/>
    </row>
    <row r="651" spans="2:2" x14ac:dyDescent="0.25">
      <c r="B651"/>
    </row>
    <row r="652" spans="2:2" x14ac:dyDescent="0.25">
      <c r="B652"/>
    </row>
    <row r="653" spans="2:2" x14ac:dyDescent="0.25">
      <c r="B653"/>
    </row>
    <row r="654" spans="2:2" x14ac:dyDescent="0.25">
      <c r="B654"/>
    </row>
    <row r="655" spans="2:2" x14ac:dyDescent="0.25">
      <c r="B655"/>
    </row>
    <row r="656" spans="2:2" x14ac:dyDescent="0.25">
      <c r="B656"/>
    </row>
    <row r="657" spans="2:2" x14ac:dyDescent="0.25">
      <c r="B657"/>
    </row>
    <row r="658" spans="2:2" x14ac:dyDescent="0.25">
      <c r="B658"/>
    </row>
    <row r="659" spans="2:2" x14ac:dyDescent="0.25">
      <c r="B659"/>
    </row>
    <row r="660" spans="2:2" x14ac:dyDescent="0.25">
      <c r="B660"/>
    </row>
    <row r="661" spans="2:2" x14ac:dyDescent="0.25">
      <c r="B661"/>
    </row>
    <row r="662" spans="2:2" x14ac:dyDescent="0.25">
      <c r="B662"/>
    </row>
    <row r="663" spans="2:2" x14ac:dyDescent="0.25">
      <c r="B663"/>
    </row>
    <row r="664" spans="2:2" x14ac:dyDescent="0.25">
      <c r="B664"/>
    </row>
    <row r="665" spans="2:2" x14ac:dyDescent="0.25">
      <c r="B665"/>
    </row>
    <row r="666" spans="2:2" x14ac:dyDescent="0.25">
      <c r="B666"/>
    </row>
    <row r="667" spans="2:2" x14ac:dyDescent="0.25">
      <c r="B667"/>
    </row>
    <row r="668" spans="2:2" x14ac:dyDescent="0.25">
      <c r="B668"/>
    </row>
    <row r="669" spans="2:2" x14ac:dyDescent="0.25">
      <c r="B669"/>
    </row>
    <row r="670" spans="2:2" x14ac:dyDescent="0.25">
      <c r="B670"/>
    </row>
    <row r="671" spans="2:2" x14ac:dyDescent="0.25">
      <c r="B671"/>
    </row>
    <row r="672" spans="2:2" x14ac:dyDescent="0.25">
      <c r="B672"/>
    </row>
    <row r="673" spans="2:2" x14ac:dyDescent="0.25">
      <c r="B673"/>
    </row>
    <row r="674" spans="2:2" x14ac:dyDescent="0.25">
      <c r="B674"/>
    </row>
    <row r="675" spans="2:2" x14ac:dyDescent="0.25">
      <c r="B675"/>
    </row>
    <row r="676" spans="2:2" x14ac:dyDescent="0.25">
      <c r="B676"/>
    </row>
    <row r="677" spans="2:2" x14ac:dyDescent="0.25">
      <c r="B677"/>
    </row>
    <row r="678" spans="2:2" x14ac:dyDescent="0.25">
      <c r="B678"/>
    </row>
    <row r="679" spans="2:2" x14ac:dyDescent="0.25">
      <c r="B679"/>
    </row>
    <row r="680" spans="2:2" x14ac:dyDescent="0.25">
      <c r="B680"/>
    </row>
    <row r="681" spans="2:2" x14ac:dyDescent="0.25">
      <c r="B681"/>
    </row>
    <row r="682" spans="2:2" x14ac:dyDescent="0.25">
      <c r="B682"/>
    </row>
    <row r="683" spans="2:2" x14ac:dyDescent="0.25">
      <c r="B683"/>
    </row>
    <row r="684" spans="2:2" x14ac:dyDescent="0.25">
      <c r="B684"/>
    </row>
    <row r="685" spans="2:2" x14ac:dyDescent="0.25">
      <c r="B685"/>
    </row>
    <row r="686" spans="2:2" x14ac:dyDescent="0.25">
      <c r="B686"/>
    </row>
    <row r="687" spans="2:2" x14ac:dyDescent="0.25">
      <c r="B687"/>
    </row>
    <row r="688" spans="2:2" x14ac:dyDescent="0.25">
      <c r="B688"/>
    </row>
    <row r="689" spans="2:2" x14ac:dyDescent="0.25">
      <c r="B689"/>
    </row>
    <row r="690" spans="2:2" x14ac:dyDescent="0.25">
      <c r="B690"/>
    </row>
    <row r="691" spans="2:2" x14ac:dyDescent="0.25">
      <c r="B691"/>
    </row>
    <row r="692" spans="2:2" x14ac:dyDescent="0.25">
      <c r="B692"/>
    </row>
    <row r="693" spans="2:2" x14ac:dyDescent="0.25">
      <c r="B693"/>
    </row>
    <row r="694" spans="2:2" x14ac:dyDescent="0.25">
      <c r="B694"/>
    </row>
    <row r="695" spans="2:2" x14ac:dyDescent="0.25">
      <c r="B695"/>
    </row>
    <row r="696" spans="2:2" x14ac:dyDescent="0.25">
      <c r="B696"/>
    </row>
    <row r="697" spans="2:2" x14ac:dyDescent="0.25">
      <c r="B697"/>
    </row>
    <row r="698" spans="2:2" x14ac:dyDescent="0.25">
      <c r="B698"/>
    </row>
    <row r="699" spans="2:2" x14ac:dyDescent="0.25">
      <c r="B699"/>
    </row>
    <row r="700" spans="2:2" x14ac:dyDescent="0.25">
      <c r="B700"/>
    </row>
    <row r="701" spans="2:2" x14ac:dyDescent="0.25">
      <c r="B701"/>
    </row>
    <row r="702" spans="2:2" x14ac:dyDescent="0.25">
      <c r="B702"/>
    </row>
    <row r="703" spans="2:2" x14ac:dyDescent="0.25">
      <c r="B703"/>
    </row>
    <row r="704" spans="2:2" x14ac:dyDescent="0.25">
      <c r="B704"/>
    </row>
    <row r="705" spans="2:2" x14ac:dyDescent="0.25">
      <c r="B705"/>
    </row>
    <row r="706" spans="2:2" x14ac:dyDescent="0.25">
      <c r="B706"/>
    </row>
    <row r="707" spans="2:2" x14ac:dyDescent="0.25">
      <c r="B707"/>
    </row>
    <row r="708" spans="2:2" x14ac:dyDescent="0.25">
      <c r="B708"/>
    </row>
    <row r="709" spans="2:2" x14ac:dyDescent="0.25">
      <c r="B709"/>
    </row>
    <row r="710" spans="2:2" x14ac:dyDescent="0.25">
      <c r="B710"/>
    </row>
    <row r="711" spans="2:2" x14ac:dyDescent="0.25">
      <c r="B711"/>
    </row>
    <row r="712" spans="2:2" x14ac:dyDescent="0.25">
      <c r="B712"/>
    </row>
    <row r="713" spans="2:2" x14ac:dyDescent="0.25">
      <c r="B713"/>
    </row>
    <row r="714" spans="2:2" x14ac:dyDescent="0.25">
      <c r="B714"/>
    </row>
    <row r="715" spans="2:2" x14ac:dyDescent="0.25">
      <c r="B715"/>
    </row>
    <row r="716" spans="2:2" x14ac:dyDescent="0.25">
      <c r="B716"/>
    </row>
    <row r="717" spans="2:2" x14ac:dyDescent="0.25">
      <c r="B717"/>
    </row>
    <row r="718" spans="2:2" x14ac:dyDescent="0.25">
      <c r="B718"/>
    </row>
    <row r="719" spans="2:2" x14ac:dyDescent="0.25">
      <c r="B719"/>
    </row>
    <row r="720" spans="2:2" x14ac:dyDescent="0.25">
      <c r="B720"/>
    </row>
    <row r="721" spans="2:2" x14ac:dyDescent="0.25">
      <c r="B721"/>
    </row>
    <row r="722" spans="2:2" x14ac:dyDescent="0.25">
      <c r="B722"/>
    </row>
    <row r="723" spans="2:2" x14ac:dyDescent="0.25">
      <c r="B723"/>
    </row>
    <row r="724" spans="2:2" x14ac:dyDescent="0.25">
      <c r="B724"/>
    </row>
    <row r="725" spans="2:2" x14ac:dyDescent="0.25">
      <c r="B725"/>
    </row>
    <row r="726" spans="2:2" x14ac:dyDescent="0.25">
      <c r="B726"/>
    </row>
    <row r="727" spans="2:2" x14ac:dyDescent="0.25">
      <c r="B727"/>
    </row>
    <row r="728" spans="2:2" x14ac:dyDescent="0.25">
      <c r="B728"/>
    </row>
    <row r="729" spans="2:2" x14ac:dyDescent="0.25">
      <c r="B729"/>
    </row>
    <row r="730" spans="2:2" x14ac:dyDescent="0.25">
      <c r="B730"/>
    </row>
    <row r="731" spans="2:2" x14ac:dyDescent="0.25">
      <c r="B731"/>
    </row>
    <row r="732" spans="2:2" x14ac:dyDescent="0.25">
      <c r="B732"/>
    </row>
    <row r="733" spans="2:2" x14ac:dyDescent="0.25">
      <c r="B733"/>
    </row>
    <row r="734" spans="2:2" x14ac:dyDescent="0.25">
      <c r="B734"/>
    </row>
    <row r="735" spans="2:2" x14ac:dyDescent="0.25">
      <c r="B735"/>
    </row>
    <row r="736" spans="2:2" x14ac:dyDescent="0.25">
      <c r="B736"/>
    </row>
    <row r="737" spans="2:2" x14ac:dyDescent="0.25">
      <c r="B737"/>
    </row>
    <row r="738" spans="2:2" x14ac:dyDescent="0.25">
      <c r="B738"/>
    </row>
    <row r="739" spans="2:2" x14ac:dyDescent="0.25">
      <c r="B739"/>
    </row>
    <row r="740" spans="2:2" x14ac:dyDescent="0.25">
      <c r="B740"/>
    </row>
    <row r="741" spans="2:2" x14ac:dyDescent="0.25">
      <c r="B741"/>
    </row>
    <row r="742" spans="2:2" x14ac:dyDescent="0.25">
      <c r="B742"/>
    </row>
    <row r="743" spans="2:2" x14ac:dyDescent="0.25">
      <c r="B743"/>
    </row>
    <row r="744" spans="2:2" x14ac:dyDescent="0.25">
      <c r="B744"/>
    </row>
    <row r="745" spans="2:2" x14ac:dyDescent="0.25">
      <c r="B745"/>
    </row>
    <row r="746" spans="2:2" x14ac:dyDescent="0.25">
      <c r="B746"/>
    </row>
    <row r="747" spans="2:2" x14ac:dyDescent="0.25">
      <c r="B747"/>
    </row>
    <row r="748" spans="2:2" x14ac:dyDescent="0.25">
      <c r="B748"/>
    </row>
    <row r="749" spans="2:2" x14ac:dyDescent="0.25">
      <c r="B749"/>
    </row>
    <row r="750" spans="2:2" x14ac:dyDescent="0.25">
      <c r="B750"/>
    </row>
    <row r="751" spans="2:2" x14ac:dyDescent="0.25">
      <c r="B751"/>
    </row>
    <row r="752" spans="2:2" x14ac:dyDescent="0.25">
      <c r="B752"/>
    </row>
    <row r="753" spans="2:2" x14ac:dyDescent="0.25">
      <c r="B753"/>
    </row>
    <row r="754" spans="2:2" x14ac:dyDescent="0.25">
      <c r="B754"/>
    </row>
    <row r="755" spans="2:2" x14ac:dyDescent="0.25">
      <c r="B755"/>
    </row>
    <row r="756" spans="2:2" x14ac:dyDescent="0.25">
      <c r="B756"/>
    </row>
    <row r="757" spans="2:2" x14ac:dyDescent="0.25">
      <c r="B757"/>
    </row>
    <row r="758" spans="2:2" x14ac:dyDescent="0.25">
      <c r="B758"/>
    </row>
    <row r="759" spans="2:2" x14ac:dyDescent="0.25">
      <c r="B759"/>
    </row>
    <row r="760" spans="2:2" x14ac:dyDescent="0.25">
      <c r="B760"/>
    </row>
    <row r="761" spans="2:2" x14ac:dyDescent="0.25">
      <c r="B761"/>
    </row>
    <row r="762" spans="2:2" x14ac:dyDescent="0.25">
      <c r="B762"/>
    </row>
    <row r="763" spans="2:2" x14ac:dyDescent="0.25">
      <c r="B763"/>
    </row>
    <row r="764" spans="2:2" x14ac:dyDescent="0.25">
      <c r="B764"/>
    </row>
    <row r="765" spans="2:2" x14ac:dyDescent="0.25">
      <c r="B765"/>
    </row>
    <row r="766" spans="2:2" x14ac:dyDescent="0.25">
      <c r="B766"/>
    </row>
    <row r="767" spans="2:2" x14ac:dyDescent="0.25">
      <c r="B767"/>
    </row>
    <row r="768" spans="2:2" x14ac:dyDescent="0.25">
      <c r="B768"/>
    </row>
    <row r="769" spans="2:2" x14ac:dyDescent="0.25">
      <c r="B769"/>
    </row>
    <row r="770" spans="2:2" x14ac:dyDescent="0.25">
      <c r="B770"/>
    </row>
    <row r="771" spans="2:2" x14ac:dyDescent="0.25">
      <c r="B771"/>
    </row>
    <row r="772" spans="2:2" x14ac:dyDescent="0.25">
      <c r="B772"/>
    </row>
    <row r="773" spans="2:2" x14ac:dyDescent="0.25">
      <c r="B773"/>
    </row>
    <row r="774" spans="2:2" x14ac:dyDescent="0.25">
      <c r="B774"/>
    </row>
    <row r="775" spans="2:2" x14ac:dyDescent="0.25">
      <c r="B775"/>
    </row>
    <row r="776" spans="2:2" x14ac:dyDescent="0.25">
      <c r="B776"/>
    </row>
    <row r="777" spans="2:2" x14ac:dyDescent="0.25">
      <c r="B777"/>
    </row>
    <row r="778" spans="2:2" x14ac:dyDescent="0.25">
      <c r="B778"/>
    </row>
    <row r="779" spans="2:2" x14ac:dyDescent="0.25">
      <c r="B779"/>
    </row>
    <row r="780" spans="2:2" x14ac:dyDescent="0.25">
      <c r="B780"/>
    </row>
    <row r="781" spans="2:2" x14ac:dyDescent="0.25">
      <c r="B781"/>
    </row>
    <row r="782" spans="2:2" x14ac:dyDescent="0.25">
      <c r="B782"/>
    </row>
    <row r="783" spans="2:2" x14ac:dyDescent="0.25">
      <c r="B783"/>
    </row>
    <row r="784" spans="2:2" x14ac:dyDescent="0.25">
      <c r="B784"/>
    </row>
    <row r="785" spans="2:2" x14ac:dyDescent="0.25">
      <c r="B785"/>
    </row>
    <row r="786" spans="2:2" x14ac:dyDescent="0.25">
      <c r="B786"/>
    </row>
    <row r="787" spans="2:2" x14ac:dyDescent="0.25">
      <c r="B787"/>
    </row>
    <row r="788" spans="2:2" x14ac:dyDescent="0.25">
      <c r="B788"/>
    </row>
    <row r="789" spans="2:2" x14ac:dyDescent="0.25">
      <c r="B789"/>
    </row>
    <row r="790" spans="2:2" x14ac:dyDescent="0.25">
      <c r="B790"/>
    </row>
    <row r="791" spans="2:2" x14ac:dyDescent="0.25">
      <c r="B791"/>
    </row>
    <row r="792" spans="2:2" x14ac:dyDescent="0.25">
      <c r="B792"/>
    </row>
    <row r="793" spans="2:2" x14ac:dyDescent="0.25">
      <c r="B793"/>
    </row>
    <row r="794" spans="2:2" x14ac:dyDescent="0.25">
      <c r="B794"/>
    </row>
    <row r="795" spans="2:2" x14ac:dyDescent="0.25">
      <c r="B795"/>
    </row>
    <row r="796" spans="2:2" x14ac:dyDescent="0.25">
      <c r="B796"/>
    </row>
    <row r="797" spans="2:2" x14ac:dyDescent="0.25">
      <c r="B797"/>
    </row>
    <row r="798" spans="2:2" x14ac:dyDescent="0.25">
      <c r="B798"/>
    </row>
    <row r="799" spans="2:2" x14ac:dyDescent="0.25">
      <c r="B799"/>
    </row>
    <row r="800" spans="2:2" x14ac:dyDescent="0.25">
      <c r="B800"/>
    </row>
    <row r="801" spans="2:2" x14ac:dyDescent="0.25">
      <c r="B801"/>
    </row>
    <row r="802" spans="2:2" x14ac:dyDescent="0.25">
      <c r="B802"/>
    </row>
    <row r="803" spans="2:2" x14ac:dyDescent="0.25">
      <c r="B803"/>
    </row>
    <row r="804" spans="2:2" x14ac:dyDescent="0.25">
      <c r="B804"/>
    </row>
    <row r="805" spans="2:2" x14ac:dyDescent="0.25">
      <c r="B805"/>
    </row>
    <row r="806" spans="2:2" x14ac:dyDescent="0.25">
      <c r="B806"/>
    </row>
    <row r="807" spans="2:2" x14ac:dyDescent="0.25">
      <c r="B807"/>
    </row>
    <row r="808" spans="2:2" x14ac:dyDescent="0.25">
      <c r="B808"/>
    </row>
    <row r="809" spans="2:2" x14ac:dyDescent="0.25">
      <c r="B809"/>
    </row>
    <row r="810" spans="2:2" x14ac:dyDescent="0.25">
      <c r="B810"/>
    </row>
    <row r="811" spans="2:2" x14ac:dyDescent="0.25">
      <c r="B811"/>
    </row>
    <row r="812" spans="2:2" x14ac:dyDescent="0.25">
      <c r="B812"/>
    </row>
    <row r="813" spans="2:2" x14ac:dyDescent="0.25">
      <c r="B813"/>
    </row>
    <row r="814" spans="2:2" x14ac:dyDescent="0.25">
      <c r="B814"/>
    </row>
    <row r="815" spans="2:2" x14ac:dyDescent="0.25">
      <c r="B815"/>
    </row>
    <row r="816" spans="2:2" x14ac:dyDescent="0.25">
      <c r="B816"/>
    </row>
    <row r="817" spans="2:2" x14ac:dyDescent="0.25">
      <c r="B817"/>
    </row>
    <row r="818" spans="2:2" x14ac:dyDescent="0.25">
      <c r="B818"/>
    </row>
    <row r="819" spans="2:2" x14ac:dyDescent="0.25">
      <c r="B819"/>
    </row>
    <row r="820" spans="2:2" x14ac:dyDescent="0.25">
      <c r="B820"/>
    </row>
    <row r="821" spans="2:2" x14ac:dyDescent="0.25">
      <c r="B821"/>
    </row>
    <row r="822" spans="2:2" x14ac:dyDescent="0.25">
      <c r="B822"/>
    </row>
    <row r="823" spans="2:2" x14ac:dyDescent="0.25">
      <c r="B823"/>
    </row>
    <row r="824" spans="2:2" x14ac:dyDescent="0.25">
      <c r="B824"/>
    </row>
    <row r="825" spans="2:2" x14ac:dyDescent="0.25">
      <c r="B825"/>
    </row>
    <row r="826" spans="2:2" x14ac:dyDescent="0.25">
      <c r="B826"/>
    </row>
    <row r="827" spans="2:2" x14ac:dyDescent="0.25">
      <c r="B827"/>
    </row>
    <row r="828" spans="2:2" x14ac:dyDescent="0.25">
      <c r="B828"/>
    </row>
    <row r="829" spans="2:2" x14ac:dyDescent="0.25">
      <c r="B829"/>
    </row>
    <row r="830" spans="2:2" x14ac:dyDescent="0.25">
      <c r="B830"/>
    </row>
    <row r="831" spans="2:2" x14ac:dyDescent="0.25">
      <c r="B831"/>
    </row>
    <row r="832" spans="2:2" x14ac:dyDescent="0.25">
      <c r="B832"/>
    </row>
    <row r="833" spans="2:2" x14ac:dyDescent="0.25">
      <c r="B833"/>
    </row>
    <row r="834" spans="2:2" x14ac:dyDescent="0.25">
      <c r="B834"/>
    </row>
    <row r="835" spans="2:2" x14ac:dyDescent="0.25">
      <c r="B835"/>
    </row>
    <row r="836" spans="2:2" x14ac:dyDescent="0.25">
      <c r="B836"/>
    </row>
    <row r="837" spans="2:2" x14ac:dyDescent="0.25">
      <c r="B837"/>
    </row>
    <row r="838" spans="2:2" x14ac:dyDescent="0.25">
      <c r="B838"/>
    </row>
    <row r="839" spans="2:2" x14ac:dyDescent="0.25">
      <c r="B839"/>
    </row>
    <row r="840" spans="2:2" x14ac:dyDescent="0.25">
      <c r="B840"/>
    </row>
    <row r="841" spans="2:2" x14ac:dyDescent="0.25">
      <c r="B841"/>
    </row>
    <row r="842" spans="2:2" x14ac:dyDescent="0.25">
      <c r="B842"/>
    </row>
    <row r="843" spans="2:2" x14ac:dyDescent="0.25">
      <c r="B843"/>
    </row>
    <row r="844" spans="2:2" x14ac:dyDescent="0.25">
      <c r="B844"/>
    </row>
    <row r="845" spans="2:2" x14ac:dyDescent="0.25">
      <c r="B845"/>
    </row>
    <row r="846" spans="2:2" x14ac:dyDescent="0.25">
      <c r="B846"/>
    </row>
    <row r="847" spans="2:2" x14ac:dyDescent="0.25">
      <c r="B847"/>
    </row>
    <row r="848" spans="2:2" x14ac:dyDescent="0.25">
      <c r="B848"/>
    </row>
    <row r="849" spans="2:2" x14ac:dyDescent="0.25">
      <c r="B849"/>
    </row>
    <row r="850" spans="2:2" x14ac:dyDescent="0.25">
      <c r="B850"/>
    </row>
    <row r="851" spans="2:2" x14ac:dyDescent="0.25">
      <c r="B851"/>
    </row>
    <row r="852" spans="2:2" x14ac:dyDescent="0.25">
      <c r="B852"/>
    </row>
    <row r="853" spans="2:2" x14ac:dyDescent="0.25">
      <c r="B853"/>
    </row>
    <row r="854" spans="2:2" x14ac:dyDescent="0.25">
      <c r="B854"/>
    </row>
    <row r="855" spans="2:2" x14ac:dyDescent="0.25">
      <c r="B855"/>
    </row>
    <row r="856" spans="2:2" x14ac:dyDescent="0.25">
      <c r="B856"/>
    </row>
    <row r="857" spans="2:2" x14ac:dyDescent="0.25">
      <c r="B857"/>
    </row>
    <row r="858" spans="2:2" x14ac:dyDescent="0.25">
      <c r="B858"/>
    </row>
    <row r="859" spans="2:2" x14ac:dyDescent="0.25">
      <c r="B859"/>
    </row>
    <row r="860" spans="2:2" x14ac:dyDescent="0.25">
      <c r="B860"/>
    </row>
    <row r="861" spans="2:2" x14ac:dyDescent="0.25">
      <c r="B861"/>
    </row>
    <row r="862" spans="2:2" x14ac:dyDescent="0.25">
      <c r="B862"/>
    </row>
    <row r="863" spans="2:2" x14ac:dyDescent="0.25">
      <c r="B863"/>
    </row>
    <row r="864" spans="2:2" x14ac:dyDescent="0.25">
      <c r="B864"/>
    </row>
    <row r="865" spans="2:2" x14ac:dyDescent="0.25">
      <c r="B865"/>
    </row>
    <row r="866" spans="2:2" x14ac:dyDescent="0.25">
      <c r="B866"/>
    </row>
    <row r="867" spans="2:2" x14ac:dyDescent="0.25">
      <c r="B867"/>
    </row>
    <row r="868" spans="2:2" x14ac:dyDescent="0.25">
      <c r="B868"/>
    </row>
    <row r="869" spans="2:2" x14ac:dyDescent="0.25">
      <c r="B869"/>
    </row>
    <row r="870" spans="2:2" x14ac:dyDescent="0.25">
      <c r="B870"/>
    </row>
    <row r="871" spans="2:2" x14ac:dyDescent="0.25">
      <c r="B871"/>
    </row>
    <row r="872" spans="2:2" x14ac:dyDescent="0.25">
      <c r="B872"/>
    </row>
    <row r="873" spans="2:2" x14ac:dyDescent="0.25">
      <c r="B873"/>
    </row>
    <row r="874" spans="2:2" x14ac:dyDescent="0.25">
      <c r="B874"/>
    </row>
    <row r="875" spans="2:2" x14ac:dyDescent="0.25">
      <c r="B875"/>
    </row>
    <row r="876" spans="2:2" x14ac:dyDescent="0.25">
      <c r="B876"/>
    </row>
    <row r="877" spans="2:2" x14ac:dyDescent="0.25">
      <c r="B877"/>
    </row>
    <row r="878" spans="2:2" x14ac:dyDescent="0.25">
      <c r="B878"/>
    </row>
    <row r="879" spans="2:2" x14ac:dyDescent="0.25">
      <c r="B879"/>
    </row>
    <row r="880" spans="2:2" x14ac:dyDescent="0.25">
      <c r="B880"/>
    </row>
    <row r="881" spans="2:2" x14ac:dyDescent="0.25">
      <c r="B881"/>
    </row>
    <row r="882" spans="2:2" x14ac:dyDescent="0.25">
      <c r="B882"/>
    </row>
    <row r="883" spans="2:2" x14ac:dyDescent="0.25">
      <c r="B883"/>
    </row>
    <row r="884" spans="2:2" x14ac:dyDescent="0.25">
      <c r="B884"/>
    </row>
    <row r="885" spans="2:2" x14ac:dyDescent="0.25">
      <c r="B885"/>
    </row>
    <row r="886" spans="2:2" x14ac:dyDescent="0.25">
      <c r="B886"/>
    </row>
    <row r="887" spans="2:2" x14ac:dyDescent="0.25">
      <c r="B887"/>
    </row>
    <row r="888" spans="2:2" x14ac:dyDescent="0.25">
      <c r="B888"/>
    </row>
    <row r="889" spans="2:2" x14ac:dyDescent="0.25">
      <c r="B889"/>
    </row>
    <row r="890" spans="2:2" x14ac:dyDescent="0.25">
      <c r="B890"/>
    </row>
    <row r="891" spans="2:2" x14ac:dyDescent="0.25">
      <c r="B891"/>
    </row>
    <row r="892" spans="2:2" x14ac:dyDescent="0.25">
      <c r="B892"/>
    </row>
    <row r="893" spans="2:2" x14ac:dyDescent="0.25">
      <c r="B893"/>
    </row>
    <row r="894" spans="2:2" x14ac:dyDescent="0.25">
      <c r="B894"/>
    </row>
    <row r="895" spans="2:2" x14ac:dyDescent="0.25">
      <c r="B895"/>
    </row>
    <row r="896" spans="2:2" x14ac:dyDescent="0.25">
      <c r="B896"/>
    </row>
    <row r="897" spans="2:2" x14ac:dyDescent="0.25">
      <c r="B897"/>
    </row>
    <row r="898" spans="2:2" x14ac:dyDescent="0.25">
      <c r="B898"/>
    </row>
    <row r="899" spans="2:2" x14ac:dyDescent="0.25">
      <c r="B899"/>
    </row>
    <row r="900" spans="2:2" x14ac:dyDescent="0.25">
      <c r="B900"/>
    </row>
    <row r="901" spans="2:2" x14ac:dyDescent="0.25">
      <c r="B901"/>
    </row>
    <row r="902" spans="2:2" x14ac:dyDescent="0.25">
      <c r="B902"/>
    </row>
    <row r="903" spans="2:2" x14ac:dyDescent="0.25">
      <c r="B903"/>
    </row>
    <row r="904" spans="2:2" x14ac:dyDescent="0.25">
      <c r="B904"/>
    </row>
    <row r="905" spans="2:2" x14ac:dyDescent="0.25">
      <c r="B905"/>
    </row>
    <row r="906" spans="2:2" x14ac:dyDescent="0.25">
      <c r="B906"/>
    </row>
    <row r="907" spans="2:2" x14ac:dyDescent="0.25">
      <c r="B907"/>
    </row>
    <row r="908" spans="2:2" x14ac:dyDescent="0.25">
      <c r="B908"/>
    </row>
    <row r="909" spans="2:2" x14ac:dyDescent="0.25">
      <c r="B909"/>
    </row>
    <row r="910" spans="2:2" x14ac:dyDescent="0.25">
      <c r="B910"/>
    </row>
    <row r="911" spans="2:2" x14ac:dyDescent="0.25">
      <c r="B911"/>
    </row>
    <row r="912" spans="2:2" x14ac:dyDescent="0.25">
      <c r="B912"/>
    </row>
    <row r="913" spans="2:2" x14ac:dyDescent="0.25">
      <c r="B913"/>
    </row>
    <row r="914" spans="2:2" x14ac:dyDescent="0.25">
      <c r="B914"/>
    </row>
    <row r="915" spans="2:2" x14ac:dyDescent="0.25">
      <c r="B915"/>
    </row>
    <row r="916" spans="2:2" x14ac:dyDescent="0.25">
      <c r="B916"/>
    </row>
    <row r="917" spans="2:2" x14ac:dyDescent="0.25">
      <c r="B917"/>
    </row>
    <row r="918" spans="2:2" x14ac:dyDescent="0.25">
      <c r="B918"/>
    </row>
    <row r="919" spans="2:2" x14ac:dyDescent="0.25">
      <c r="B919"/>
    </row>
    <row r="920" spans="2:2" x14ac:dyDescent="0.25">
      <c r="B920"/>
    </row>
    <row r="921" spans="2:2" x14ac:dyDescent="0.25">
      <c r="B921"/>
    </row>
    <row r="922" spans="2:2" x14ac:dyDescent="0.25">
      <c r="B922"/>
    </row>
    <row r="923" spans="2:2" x14ac:dyDescent="0.25">
      <c r="B923"/>
    </row>
    <row r="924" spans="2:2" x14ac:dyDescent="0.25">
      <c r="B924"/>
    </row>
    <row r="925" spans="2:2" x14ac:dyDescent="0.25">
      <c r="B925"/>
    </row>
    <row r="926" spans="2:2" x14ac:dyDescent="0.25">
      <c r="B926"/>
    </row>
    <row r="927" spans="2:2" x14ac:dyDescent="0.25">
      <c r="B927"/>
    </row>
    <row r="928" spans="2:2" x14ac:dyDescent="0.25">
      <c r="B928"/>
    </row>
    <row r="929" spans="2:2" x14ac:dyDescent="0.25">
      <c r="B929"/>
    </row>
    <row r="930" spans="2:2" x14ac:dyDescent="0.25">
      <c r="B930"/>
    </row>
    <row r="931" spans="2:2" x14ac:dyDescent="0.25">
      <c r="B931"/>
    </row>
    <row r="932" spans="2:2" x14ac:dyDescent="0.25">
      <c r="B932"/>
    </row>
    <row r="933" spans="2:2" x14ac:dyDescent="0.25">
      <c r="B933"/>
    </row>
    <row r="934" spans="2:2" x14ac:dyDescent="0.25">
      <c r="B934"/>
    </row>
    <row r="935" spans="2:2" x14ac:dyDescent="0.25">
      <c r="B935"/>
    </row>
    <row r="936" spans="2:2" x14ac:dyDescent="0.25">
      <c r="B936"/>
    </row>
    <row r="937" spans="2:2" x14ac:dyDescent="0.25">
      <c r="B937"/>
    </row>
    <row r="938" spans="2:2" x14ac:dyDescent="0.25">
      <c r="B938"/>
    </row>
    <row r="939" spans="2:2" x14ac:dyDescent="0.25">
      <c r="B939"/>
    </row>
    <row r="940" spans="2:2" x14ac:dyDescent="0.25">
      <c r="B940"/>
    </row>
    <row r="941" spans="2:2" x14ac:dyDescent="0.25">
      <c r="B941"/>
    </row>
    <row r="942" spans="2:2" x14ac:dyDescent="0.25">
      <c r="B942"/>
    </row>
    <row r="943" spans="2:2" x14ac:dyDescent="0.25">
      <c r="B943"/>
    </row>
    <row r="944" spans="2:2" x14ac:dyDescent="0.25">
      <c r="B944"/>
    </row>
    <row r="945" spans="2:2" x14ac:dyDescent="0.25">
      <c r="B945"/>
    </row>
    <row r="946" spans="2:2" x14ac:dyDescent="0.25">
      <c r="B946"/>
    </row>
    <row r="947" spans="2:2" x14ac:dyDescent="0.25">
      <c r="B947"/>
    </row>
    <row r="948" spans="2:2" x14ac:dyDescent="0.25">
      <c r="B948"/>
    </row>
    <row r="949" spans="2:2" x14ac:dyDescent="0.25">
      <c r="B949"/>
    </row>
    <row r="950" spans="2:2" x14ac:dyDescent="0.25">
      <c r="B950"/>
    </row>
    <row r="951" spans="2:2" x14ac:dyDescent="0.25">
      <c r="B951"/>
    </row>
    <row r="952" spans="2:2" x14ac:dyDescent="0.25">
      <c r="B952"/>
    </row>
    <row r="953" spans="2:2" x14ac:dyDescent="0.25">
      <c r="B953"/>
    </row>
    <row r="954" spans="2:2" x14ac:dyDescent="0.25">
      <c r="B954"/>
    </row>
    <row r="955" spans="2:2" x14ac:dyDescent="0.25">
      <c r="B955"/>
    </row>
    <row r="956" spans="2:2" x14ac:dyDescent="0.25">
      <c r="B956"/>
    </row>
    <row r="957" spans="2:2" x14ac:dyDescent="0.25">
      <c r="B957"/>
    </row>
    <row r="958" spans="2:2" x14ac:dyDescent="0.25">
      <c r="B958"/>
    </row>
    <row r="959" spans="2:2" x14ac:dyDescent="0.25">
      <c r="B959"/>
    </row>
    <row r="960" spans="2:2"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row r="982" spans="2:2" x14ac:dyDescent="0.25">
      <c r="B982"/>
    </row>
    <row r="983" spans="2:2" x14ac:dyDescent="0.25">
      <c r="B983"/>
    </row>
    <row r="984" spans="2:2" x14ac:dyDescent="0.25">
      <c r="B984"/>
    </row>
    <row r="985" spans="2:2" x14ac:dyDescent="0.25">
      <c r="B985"/>
    </row>
    <row r="986" spans="2:2" x14ac:dyDescent="0.25">
      <c r="B986"/>
    </row>
    <row r="987" spans="2:2" x14ac:dyDescent="0.25">
      <c r="B987"/>
    </row>
    <row r="988" spans="2:2" x14ac:dyDescent="0.25">
      <c r="B988"/>
    </row>
    <row r="989" spans="2:2" x14ac:dyDescent="0.25">
      <c r="B989"/>
    </row>
    <row r="990" spans="2:2" x14ac:dyDescent="0.25">
      <c r="B990"/>
    </row>
    <row r="991" spans="2:2" x14ac:dyDescent="0.25">
      <c r="B991"/>
    </row>
    <row r="992" spans="2:2" x14ac:dyDescent="0.25">
      <c r="B992"/>
    </row>
    <row r="993" spans="2:2" x14ac:dyDescent="0.25">
      <c r="B993"/>
    </row>
    <row r="994" spans="2:2" x14ac:dyDescent="0.25">
      <c r="B994"/>
    </row>
    <row r="995" spans="2:2" x14ac:dyDescent="0.25">
      <c r="B995"/>
    </row>
    <row r="996" spans="2:2" x14ac:dyDescent="0.25">
      <c r="B996"/>
    </row>
    <row r="997" spans="2:2" x14ac:dyDescent="0.25">
      <c r="B997"/>
    </row>
    <row r="998" spans="2:2" x14ac:dyDescent="0.25">
      <c r="B998"/>
    </row>
    <row r="999" spans="2:2" x14ac:dyDescent="0.25">
      <c r="B999"/>
    </row>
    <row r="1000" spans="2:2" x14ac:dyDescent="0.25">
      <c r="B1000"/>
    </row>
    <row r="1001" spans="2:2" x14ac:dyDescent="0.25">
      <c r="B1001"/>
    </row>
    <row r="1002" spans="2:2" x14ac:dyDescent="0.25">
      <c r="B1002"/>
    </row>
    <row r="1003" spans="2:2" x14ac:dyDescent="0.25">
      <c r="B1003"/>
    </row>
    <row r="1004" spans="2:2" x14ac:dyDescent="0.25">
      <c r="B1004"/>
    </row>
    <row r="1005" spans="2:2" x14ac:dyDescent="0.25">
      <c r="B1005"/>
    </row>
    <row r="1006" spans="2:2" x14ac:dyDescent="0.25">
      <c r="B1006"/>
    </row>
    <row r="1007" spans="2:2" x14ac:dyDescent="0.25">
      <c r="B1007"/>
    </row>
    <row r="1008" spans="2:2" x14ac:dyDescent="0.25">
      <c r="B1008"/>
    </row>
    <row r="1009" spans="2:2" x14ac:dyDescent="0.25">
      <c r="B1009"/>
    </row>
    <row r="1010" spans="2:2" x14ac:dyDescent="0.25">
      <c r="B1010"/>
    </row>
    <row r="1011" spans="2:2" x14ac:dyDescent="0.25">
      <c r="B1011"/>
    </row>
    <row r="1012" spans="2:2" x14ac:dyDescent="0.25">
      <c r="B1012"/>
    </row>
    <row r="1013" spans="2:2" x14ac:dyDescent="0.25">
      <c r="B1013"/>
    </row>
    <row r="1014" spans="2:2" x14ac:dyDescent="0.25">
      <c r="B1014"/>
    </row>
    <row r="1015" spans="2:2" x14ac:dyDescent="0.25">
      <c r="B1015"/>
    </row>
    <row r="1016" spans="2:2" x14ac:dyDescent="0.25">
      <c r="B1016"/>
    </row>
    <row r="1017" spans="2:2" x14ac:dyDescent="0.25">
      <c r="B1017"/>
    </row>
    <row r="1018" spans="2:2" x14ac:dyDescent="0.25">
      <c r="B1018"/>
    </row>
    <row r="1019" spans="2:2" x14ac:dyDescent="0.25">
      <c r="B1019"/>
    </row>
    <row r="1020" spans="2:2" x14ac:dyDescent="0.25">
      <c r="B1020"/>
    </row>
    <row r="1021" spans="2:2" x14ac:dyDescent="0.25">
      <c r="B1021"/>
    </row>
    <row r="1022" spans="2:2" x14ac:dyDescent="0.25">
      <c r="B1022"/>
    </row>
    <row r="1023" spans="2:2" x14ac:dyDescent="0.25">
      <c r="B1023"/>
    </row>
    <row r="1024" spans="2:2" x14ac:dyDescent="0.25">
      <c r="B1024"/>
    </row>
    <row r="1025" spans="2:2" x14ac:dyDescent="0.25">
      <c r="B1025"/>
    </row>
    <row r="1026" spans="2:2" x14ac:dyDescent="0.25">
      <c r="B1026"/>
    </row>
    <row r="1027" spans="2:2" x14ac:dyDescent="0.25">
      <c r="B1027"/>
    </row>
    <row r="1028" spans="2:2" x14ac:dyDescent="0.25">
      <c r="B1028"/>
    </row>
    <row r="1029" spans="2:2" x14ac:dyDescent="0.25">
      <c r="B1029"/>
    </row>
    <row r="1030" spans="2:2" x14ac:dyDescent="0.25">
      <c r="B1030"/>
    </row>
    <row r="1031" spans="2:2" x14ac:dyDescent="0.25">
      <c r="B1031"/>
    </row>
    <row r="1032" spans="2:2" x14ac:dyDescent="0.25">
      <c r="B1032"/>
    </row>
    <row r="1033" spans="2:2" x14ac:dyDescent="0.25">
      <c r="B1033"/>
    </row>
    <row r="1034" spans="2:2" x14ac:dyDescent="0.25">
      <c r="B1034"/>
    </row>
    <row r="1035" spans="2:2" x14ac:dyDescent="0.25">
      <c r="B1035"/>
    </row>
    <row r="1036" spans="2:2" x14ac:dyDescent="0.25">
      <c r="B1036"/>
    </row>
    <row r="1037" spans="2:2" x14ac:dyDescent="0.25">
      <c r="B1037"/>
    </row>
    <row r="1038" spans="2:2" x14ac:dyDescent="0.25">
      <c r="B1038"/>
    </row>
    <row r="1039" spans="2:2" x14ac:dyDescent="0.25">
      <c r="B1039"/>
    </row>
    <row r="1040" spans="2:2" x14ac:dyDescent="0.25">
      <c r="B1040"/>
    </row>
    <row r="1041" spans="2:2" x14ac:dyDescent="0.25">
      <c r="B1041"/>
    </row>
    <row r="1042" spans="2:2" x14ac:dyDescent="0.25">
      <c r="B1042"/>
    </row>
    <row r="1043" spans="2:2" x14ac:dyDescent="0.25">
      <c r="B1043"/>
    </row>
    <row r="1044" spans="2:2" x14ac:dyDescent="0.25">
      <c r="B1044"/>
    </row>
    <row r="1045" spans="2:2" x14ac:dyDescent="0.25">
      <c r="B1045"/>
    </row>
    <row r="1046" spans="2:2" x14ac:dyDescent="0.25">
      <c r="B1046"/>
    </row>
    <row r="1047" spans="2:2" x14ac:dyDescent="0.25">
      <c r="B1047"/>
    </row>
    <row r="1048" spans="2:2" x14ac:dyDescent="0.25">
      <c r="B1048"/>
    </row>
    <row r="1049" spans="2:2" x14ac:dyDescent="0.25">
      <c r="B1049"/>
    </row>
    <row r="1050" spans="2:2" x14ac:dyDescent="0.25">
      <c r="B1050"/>
    </row>
    <row r="1051" spans="2:2" x14ac:dyDescent="0.25">
      <c r="B1051"/>
    </row>
    <row r="1052" spans="2:2" x14ac:dyDescent="0.25">
      <c r="B1052"/>
    </row>
    <row r="1053" spans="2:2" x14ac:dyDescent="0.25">
      <c r="B1053"/>
    </row>
    <row r="1054" spans="2:2" x14ac:dyDescent="0.25">
      <c r="B1054"/>
    </row>
    <row r="1055" spans="2:2" x14ac:dyDescent="0.25">
      <c r="B1055"/>
    </row>
    <row r="1056" spans="2:2" x14ac:dyDescent="0.25">
      <c r="B1056"/>
    </row>
    <row r="1057" spans="2:2" x14ac:dyDescent="0.25">
      <c r="B1057"/>
    </row>
    <row r="1058" spans="2:2" x14ac:dyDescent="0.25">
      <c r="B1058"/>
    </row>
    <row r="1059" spans="2:2" x14ac:dyDescent="0.25">
      <c r="B1059"/>
    </row>
    <row r="1060" spans="2:2" x14ac:dyDescent="0.25">
      <c r="B1060"/>
    </row>
    <row r="1061" spans="2:2" x14ac:dyDescent="0.25">
      <c r="B1061"/>
    </row>
    <row r="1062" spans="2:2" x14ac:dyDescent="0.25">
      <c r="B1062"/>
    </row>
    <row r="1063" spans="2:2" x14ac:dyDescent="0.25">
      <c r="B1063"/>
    </row>
    <row r="1064" spans="2:2" x14ac:dyDescent="0.25">
      <c r="B1064"/>
    </row>
    <row r="1065" spans="2:2" x14ac:dyDescent="0.25">
      <c r="B1065"/>
    </row>
    <row r="1066" spans="2:2" x14ac:dyDescent="0.25">
      <c r="B1066"/>
    </row>
    <row r="1067" spans="2:2" x14ac:dyDescent="0.25">
      <c r="B1067"/>
    </row>
    <row r="1068" spans="2:2" x14ac:dyDescent="0.25">
      <c r="B1068"/>
    </row>
    <row r="1069" spans="2:2" x14ac:dyDescent="0.25">
      <c r="B1069"/>
    </row>
    <row r="1070" spans="2:2" x14ac:dyDescent="0.25">
      <c r="B1070"/>
    </row>
    <row r="1071" spans="2:2" x14ac:dyDescent="0.25">
      <c r="B1071"/>
    </row>
    <row r="1072" spans="2:2" x14ac:dyDescent="0.25">
      <c r="B1072"/>
    </row>
    <row r="1073" spans="2:2" x14ac:dyDescent="0.25">
      <c r="B1073"/>
    </row>
    <row r="1074" spans="2:2" x14ac:dyDescent="0.25">
      <c r="B1074"/>
    </row>
    <row r="1075" spans="2:2" x14ac:dyDescent="0.25">
      <c r="B1075"/>
    </row>
    <row r="1076" spans="2:2" x14ac:dyDescent="0.25">
      <c r="B1076"/>
    </row>
    <row r="1077" spans="2:2" x14ac:dyDescent="0.25">
      <c r="B1077"/>
    </row>
    <row r="1078" spans="2:2" x14ac:dyDescent="0.25">
      <c r="B1078"/>
    </row>
    <row r="1079" spans="2:2" x14ac:dyDescent="0.25">
      <c r="B1079"/>
    </row>
    <row r="1080" spans="2:2" x14ac:dyDescent="0.25">
      <c r="B1080"/>
    </row>
    <row r="1081" spans="2:2" x14ac:dyDescent="0.25">
      <c r="B1081"/>
    </row>
    <row r="1082" spans="2:2" x14ac:dyDescent="0.25">
      <c r="B1082"/>
    </row>
    <row r="1083" spans="2:2" x14ac:dyDescent="0.25">
      <c r="B1083"/>
    </row>
    <row r="1084" spans="2:2" x14ac:dyDescent="0.25">
      <c r="B1084"/>
    </row>
    <row r="1085" spans="2:2" x14ac:dyDescent="0.25">
      <c r="B1085"/>
    </row>
    <row r="1086" spans="2:2" x14ac:dyDescent="0.25">
      <c r="B1086"/>
    </row>
    <row r="1087" spans="2:2" x14ac:dyDescent="0.25">
      <c r="B1087"/>
    </row>
    <row r="1088" spans="2:2" x14ac:dyDescent="0.25">
      <c r="B1088"/>
    </row>
    <row r="1089" spans="2:2" x14ac:dyDescent="0.25">
      <c r="B1089"/>
    </row>
    <row r="1090" spans="2:2" x14ac:dyDescent="0.25">
      <c r="B1090"/>
    </row>
    <row r="1091" spans="2:2" x14ac:dyDescent="0.25">
      <c r="B1091"/>
    </row>
    <row r="1092" spans="2:2" x14ac:dyDescent="0.25">
      <c r="B1092"/>
    </row>
    <row r="1093" spans="2:2" x14ac:dyDescent="0.25">
      <c r="B1093"/>
    </row>
    <row r="1094" spans="2:2" x14ac:dyDescent="0.25">
      <c r="B1094"/>
    </row>
    <row r="1095" spans="2:2" x14ac:dyDescent="0.25">
      <c r="B1095"/>
    </row>
    <row r="1096" spans="2:2" x14ac:dyDescent="0.25">
      <c r="B1096"/>
    </row>
    <row r="1097" spans="2:2" x14ac:dyDescent="0.25">
      <c r="B1097"/>
    </row>
    <row r="1098" spans="2:2" x14ac:dyDescent="0.25">
      <c r="B1098"/>
    </row>
    <row r="1099" spans="2:2" x14ac:dyDescent="0.25">
      <c r="B1099"/>
    </row>
    <row r="1100" spans="2:2" x14ac:dyDescent="0.25">
      <c r="B1100"/>
    </row>
    <row r="1101" spans="2:2" x14ac:dyDescent="0.25">
      <c r="B1101"/>
    </row>
    <row r="1102" spans="2:2" x14ac:dyDescent="0.25">
      <c r="B1102"/>
    </row>
    <row r="1103" spans="2:2" x14ac:dyDescent="0.25">
      <c r="B1103"/>
    </row>
    <row r="1104" spans="2:2" x14ac:dyDescent="0.25">
      <c r="B1104"/>
    </row>
    <row r="1105" spans="2:2" x14ac:dyDescent="0.25">
      <c r="B1105"/>
    </row>
    <row r="1106" spans="2:2" x14ac:dyDescent="0.25">
      <c r="B1106"/>
    </row>
    <row r="1107" spans="2:2" x14ac:dyDescent="0.25">
      <c r="B1107"/>
    </row>
    <row r="1108" spans="2:2" x14ac:dyDescent="0.25">
      <c r="B1108"/>
    </row>
    <row r="1109" spans="2:2" x14ac:dyDescent="0.25">
      <c r="B1109"/>
    </row>
    <row r="1110" spans="2:2" x14ac:dyDescent="0.25">
      <c r="B1110"/>
    </row>
    <row r="1111" spans="2:2" x14ac:dyDescent="0.25">
      <c r="B1111"/>
    </row>
    <row r="1112" spans="2:2" x14ac:dyDescent="0.25">
      <c r="B1112"/>
    </row>
    <row r="1113" spans="2:2" x14ac:dyDescent="0.25">
      <c r="B1113"/>
    </row>
    <row r="1114" spans="2:2" x14ac:dyDescent="0.25">
      <c r="B1114"/>
    </row>
    <row r="1115" spans="2:2" x14ac:dyDescent="0.25">
      <c r="B1115"/>
    </row>
    <row r="1116" spans="2:2" x14ac:dyDescent="0.25">
      <c r="B1116"/>
    </row>
    <row r="1117" spans="2:2" x14ac:dyDescent="0.25">
      <c r="B1117"/>
    </row>
    <row r="1118" spans="2:2" x14ac:dyDescent="0.25">
      <c r="B1118"/>
    </row>
    <row r="1119" spans="2:2" x14ac:dyDescent="0.25">
      <c r="B1119"/>
    </row>
    <row r="1120" spans="2:2" x14ac:dyDescent="0.25">
      <c r="B1120"/>
    </row>
    <row r="1121" spans="2:2" x14ac:dyDescent="0.25">
      <c r="B1121"/>
    </row>
    <row r="1122" spans="2:2" x14ac:dyDescent="0.25">
      <c r="B1122"/>
    </row>
    <row r="1123" spans="2:2" x14ac:dyDescent="0.25">
      <c r="B1123"/>
    </row>
    <row r="1124" spans="2:2" x14ac:dyDescent="0.25">
      <c r="B1124"/>
    </row>
    <row r="1125" spans="2:2" x14ac:dyDescent="0.25">
      <c r="B1125"/>
    </row>
    <row r="1126" spans="2:2" x14ac:dyDescent="0.25">
      <c r="B1126"/>
    </row>
    <row r="1127" spans="2:2" x14ac:dyDescent="0.25">
      <c r="B1127"/>
    </row>
    <row r="1128" spans="2:2" x14ac:dyDescent="0.25">
      <c r="B1128"/>
    </row>
    <row r="1129" spans="2:2" x14ac:dyDescent="0.25">
      <c r="B1129"/>
    </row>
    <row r="1130" spans="2:2" x14ac:dyDescent="0.25">
      <c r="B1130"/>
    </row>
    <row r="1131" spans="2:2" x14ac:dyDescent="0.25">
      <c r="B1131"/>
    </row>
    <row r="1132" spans="2:2" x14ac:dyDescent="0.25">
      <c r="B1132"/>
    </row>
    <row r="1133" spans="2:2" x14ac:dyDescent="0.25">
      <c r="B1133"/>
    </row>
    <row r="1134" spans="2:2" x14ac:dyDescent="0.25">
      <c r="B1134"/>
    </row>
    <row r="1135" spans="2:2" x14ac:dyDescent="0.25">
      <c r="B1135"/>
    </row>
    <row r="1136" spans="2:2" x14ac:dyDescent="0.25">
      <c r="B1136"/>
    </row>
    <row r="1137" spans="2:2" x14ac:dyDescent="0.25">
      <c r="B1137"/>
    </row>
    <row r="1138" spans="2:2" x14ac:dyDescent="0.25">
      <c r="B1138"/>
    </row>
    <row r="1139" spans="2:2" x14ac:dyDescent="0.25">
      <c r="B1139"/>
    </row>
    <row r="1140" spans="2:2" x14ac:dyDescent="0.25">
      <c r="B1140"/>
    </row>
    <row r="1141" spans="2:2" x14ac:dyDescent="0.25">
      <c r="B1141"/>
    </row>
    <row r="1142" spans="2:2" x14ac:dyDescent="0.25">
      <c r="B1142"/>
    </row>
    <row r="1143" spans="2:2" x14ac:dyDescent="0.25">
      <c r="B1143"/>
    </row>
    <row r="1144" spans="2:2" x14ac:dyDescent="0.25">
      <c r="B1144"/>
    </row>
    <row r="1145" spans="2:2" x14ac:dyDescent="0.25">
      <c r="B1145"/>
    </row>
    <row r="1146" spans="2:2" x14ac:dyDescent="0.25">
      <c r="B1146"/>
    </row>
    <row r="1147" spans="2:2" x14ac:dyDescent="0.25">
      <c r="B1147"/>
    </row>
    <row r="1148" spans="2:2" x14ac:dyDescent="0.25">
      <c r="B1148"/>
    </row>
    <row r="1149" spans="2:2" x14ac:dyDescent="0.25">
      <c r="B1149"/>
    </row>
    <row r="1150" spans="2:2" x14ac:dyDescent="0.25">
      <c r="B1150"/>
    </row>
    <row r="1151" spans="2:2" x14ac:dyDescent="0.25">
      <c r="B1151"/>
    </row>
    <row r="1152" spans="2:2" x14ac:dyDescent="0.25">
      <c r="B1152"/>
    </row>
    <row r="1153" spans="2:2" x14ac:dyDescent="0.25">
      <c r="B1153"/>
    </row>
    <row r="1154" spans="2:2" x14ac:dyDescent="0.25">
      <c r="B1154"/>
    </row>
    <row r="1155" spans="2:2" x14ac:dyDescent="0.25">
      <c r="B1155"/>
    </row>
    <row r="1156" spans="2:2" x14ac:dyDescent="0.25">
      <c r="B1156"/>
    </row>
    <row r="1157" spans="2:2" x14ac:dyDescent="0.25">
      <c r="B1157"/>
    </row>
    <row r="1158" spans="2:2" x14ac:dyDescent="0.25">
      <c r="B1158"/>
    </row>
    <row r="1159" spans="2:2" x14ac:dyDescent="0.25">
      <c r="B1159"/>
    </row>
    <row r="1160" spans="2:2" x14ac:dyDescent="0.25">
      <c r="B1160"/>
    </row>
    <row r="1161" spans="2:2" x14ac:dyDescent="0.25">
      <c r="B1161"/>
    </row>
    <row r="1162" spans="2:2" x14ac:dyDescent="0.25">
      <c r="B1162"/>
    </row>
    <row r="1163" spans="2:2" x14ac:dyDescent="0.25">
      <c r="B1163"/>
    </row>
    <row r="1164" spans="2:2" x14ac:dyDescent="0.25">
      <c r="B1164"/>
    </row>
    <row r="1165" spans="2:2" x14ac:dyDescent="0.25">
      <c r="B1165"/>
    </row>
    <row r="1166" spans="2:2" x14ac:dyDescent="0.25">
      <c r="B1166"/>
    </row>
    <row r="1167" spans="2:2" x14ac:dyDescent="0.25">
      <c r="B1167"/>
    </row>
    <row r="1168" spans="2:2" x14ac:dyDescent="0.25">
      <c r="B1168"/>
    </row>
    <row r="1169" spans="2:2" x14ac:dyDescent="0.25">
      <c r="B1169"/>
    </row>
    <row r="1170" spans="2:2" x14ac:dyDescent="0.25">
      <c r="B1170"/>
    </row>
    <row r="1171" spans="2:2" x14ac:dyDescent="0.25">
      <c r="B1171"/>
    </row>
    <row r="1172" spans="2:2" x14ac:dyDescent="0.25">
      <c r="B1172"/>
    </row>
    <row r="1173" spans="2:2" x14ac:dyDescent="0.25">
      <c r="B1173"/>
    </row>
    <row r="1174" spans="2:2" x14ac:dyDescent="0.25">
      <c r="B1174"/>
    </row>
    <row r="1175" spans="2:2" x14ac:dyDescent="0.25">
      <c r="B1175"/>
    </row>
    <row r="1176" spans="2:2" x14ac:dyDescent="0.25">
      <c r="B1176"/>
    </row>
    <row r="1177" spans="2:2" x14ac:dyDescent="0.25">
      <c r="B1177"/>
    </row>
    <row r="1178" spans="2:2" x14ac:dyDescent="0.25">
      <c r="B1178"/>
    </row>
    <row r="1179" spans="2:2" x14ac:dyDescent="0.25">
      <c r="B1179"/>
    </row>
    <row r="1180" spans="2:2" x14ac:dyDescent="0.25">
      <c r="B1180"/>
    </row>
    <row r="1181" spans="2:2" x14ac:dyDescent="0.25">
      <c r="B1181"/>
    </row>
    <row r="1182" spans="2:2" x14ac:dyDescent="0.25">
      <c r="B1182"/>
    </row>
    <row r="1183" spans="2:2" x14ac:dyDescent="0.25">
      <c r="B1183"/>
    </row>
    <row r="1184" spans="2:2" x14ac:dyDescent="0.25">
      <c r="B1184"/>
    </row>
    <row r="1185" spans="2:2" x14ac:dyDescent="0.25">
      <c r="B1185"/>
    </row>
    <row r="1186" spans="2:2" x14ac:dyDescent="0.25">
      <c r="B1186"/>
    </row>
    <row r="1187" spans="2:2" x14ac:dyDescent="0.25">
      <c r="B1187"/>
    </row>
    <row r="1188" spans="2:2" x14ac:dyDescent="0.25">
      <c r="B1188"/>
    </row>
    <row r="1189" spans="2:2" x14ac:dyDescent="0.25">
      <c r="B1189"/>
    </row>
    <row r="1190" spans="2:2" x14ac:dyDescent="0.25">
      <c r="B1190"/>
    </row>
    <row r="1191" spans="2:2" x14ac:dyDescent="0.25">
      <c r="B1191"/>
    </row>
    <row r="1192" spans="2:2" x14ac:dyDescent="0.25">
      <c r="B1192"/>
    </row>
    <row r="1193" spans="2:2" x14ac:dyDescent="0.25">
      <c r="B1193"/>
    </row>
    <row r="1194" spans="2:2" x14ac:dyDescent="0.25">
      <c r="B1194"/>
    </row>
    <row r="1195" spans="2:2" x14ac:dyDescent="0.25">
      <c r="B1195"/>
    </row>
    <row r="1196" spans="2:2" x14ac:dyDescent="0.25">
      <c r="B1196"/>
    </row>
    <row r="1197" spans="2:2" x14ac:dyDescent="0.25">
      <c r="B1197"/>
    </row>
    <row r="1198" spans="2:2" x14ac:dyDescent="0.25">
      <c r="B1198"/>
    </row>
    <row r="1199" spans="2:2" x14ac:dyDescent="0.25">
      <c r="B1199"/>
    </row>
    <row r="1200" spans="2:2" x14ac:dyDescent="0.25">
      <c r="B1200"/>
    </row>
    <row r="1201" spans="2:2" x14ac:dyDescent="0.25">
      <c r="B1201"/>
    </row>
    <row r="1202" spans="2:2" x14ac:dyDescent="0.25">
      <c r="B1202"/>
    </row>
    <row r="1203" spans="2:2" x14ac:dyDescent="0.25">
      <c r="B1203"/>
    </row>
    <row r="1204" spans="2:2" x14ac:dyDescent="0.25">
      <c r="B1204"/>
    </row>
    <row r="1205" spans="2:2" x14ac:dyDescent="0.25">
      <c r="B1205"/>
    </row>
    <row r="1206" spans="2:2" x14ac:dyDescent="0.25">
      <c r="B1206"/>
    </row>
    <row r="1207" spans="2:2" x14ac:dyDescent="0.25">
      <c r="B1207"/>
    </row>
    <row r="1208" spans="2:2" x14ac:dyDescent="0.25">
      <c r="B1208"/>
    </row>
    <row r="1209" spans="2:2" x14ac:dyDescent="0.25">
      <c r="B1209"/>
    </row>
    <row r="1210" spans="2:2" x14ac:dyDescent="0.25">
      <c r="B1210"/>
    </row>
    <row r="1211" spans="2:2" x14ac:dyDescent="0.25">
      <c r="B1211"/>
    </row>
    <row r="1212" spans="2:2" x14ac:dyDescent="0.25">
      <c r="B1212"/>
    </row>
    <row r="1213" spans="2:2" x14ac:dyDescent="0.25">
      <c r="B1213"/>
    </row>
    <row r="1214" spans="2:2" x14ac:dyDescent="0.25">
      <c r="B1214"/>
    </row>
    <row r="1215" spans="2:2" x14ac:dyDescent="0.25">
      <c r="B1215"/>
    </row>
    <row r="1216" spans="2:2" x14ac:dyDescent="0.25">
      <c r="B1216"/>
    </row>
    <row r="1217" spans="2:2" x14ac:dyDescent="0.25">
      <c r="B1217"/>
    </row>
    <row r="1218" spans="2:2" x14ac:dyDescent="0.25">
      <c r="B1218"/>
    </row>
    <row r="1219" spans="2:2" x14ac:dyDescent="0.25">
      <c r="B1219"/>
    </row>
    <row r="1220" spans="2:2" x14ac:dyDescent="0.25">
      <c r="B1220"/>
    </row>
    <row r="1221" spans="2:2" x14ac:dyDescent="0.25">
      <c r="B1221"/>
    </row>
    <row r="1222" spans="2:2" x14ac:dyDescent="0.25">
      <c r="B1222"/>
    </row>
    <row r="1223" spans="2:2" x14ac:dyDescent="0.25">
      <c r="B1223"/>
    </row>
    <row r="1224" spans="2:2" x14ac:dyDescent="0.25">
      <c r="B1224"/>
    </row>
    <row r="1225" spans="2:2" x14ac:dyDescent="0.25">
      <c r="B1225"/>
    </row>
    <row r="1226" spans="2:2" x14ac:dyDescent="0.25">
      <c r="B1226"/>
    </row>
    <row r="1227" spans="2:2" x14ac:dyDescent="0.25">
      <c r="B1227"/>
    </row>
    <row r="1228" spans="2:2" x14ac:dyDescent="0.25">
      <c r="B1228"/>
    </row>
    <row r="1229" spans="2:2" x14ac:dyDescent="0.25">
      <c r="B1229"/>
    </row>
    <row r="1230" spans="2:2" x14ac:dyDescent="0.25">
      <c r="B1230"/>
    </row>
    <row r="1231" spans="2:2" x14ac:dyDescent="0.25">
      <c r="B1231"/>
    </row>
    <row r="1232" spans="2:2" x14ac:dyDescent="0.25">
      <c r="B1232"/>
    </row>
    <row r="1233" spans="2:2" x14ac:dyDescent="0.25">
      <c r="B1233"/>
    </row>
    <row r="1234" spans="2:2" x14ac:dyDescent="0.25">
      <c r="B1234"/>
    </row>
    <row r="1235" spans="2:2" x14ac:dyDescent="0.25">
      <c r="B1235"/>
    </row>
    <row r="1236" spans="2:2" x14ac:dyDescent="0.25">
      <c r="B1236"/>
    </row>
    <row r="1237" spans="2:2" x14ac:dyDescent="0.25">
      <c r="B1237"/>
    </row>
    <row r="1238" spans="2:2" x14ac:dyDescent="0.25">
      <c r="B1238"/>
    </row>
    <row r="1239" spans="2:2" x14ac:dyDescent="0.25">
      <c r="B1239"/>
    </row>
    <row r="1240" spans="2:2" x14ac:dyDescent="0.25">
      <c r="B1240"/>
    </row>
    <row r="1241" spans="2:2" x14ac:dyDescent="0.25">
      <c r="B1241"/>
    </row>
    <row r="1242" spans="2:2" x14ac:dyDescent="0.25">
      <c r="B1242"/>
    </row>
    <row r="1243" spans="2:2" x14ac:dyDescent="0.25">
      <c r="B1243"/>
    </row>
    <row r="1244" spans="2:2" x14ac:dyDescent="0.25">
      <c r="B1244"/>
    </row>
    <row r="1245" spans="2:2" x14ac:dyDescent="0.25">
      <c r="B1245"/>
    </row>
    <row r="1246" spans="2:2" x14ac:dyDescent="0.25">
      <c r="B1246"/>
    </row>
    <row r="1247" spans="2:2" x14ac:dyDescent="0.25">
      <c r="B1247"/>
    </row>
    <row r="1248" spans="2:2" x14ac:dyDescent="0.25">
      <c r="B1248"/>
    </row>
    <row r="1249" spans="2:2" x14ac:dyDescent="0.25">
      <c r="B1249"/>
    </row>
    <row r="1250" spans="2:2" x14ac:dyDescent="0.25">
      <c r="B1250"/>
    </row>
    <row r="1251" spans="2:2" x14ac:dyDescent="0.25">
      <c r="B1251"/>
    </row>
    <row r="1252" spans="2:2" x14ac:dyDescent="0.25">
      <c r="B1252"/>
    </row>
    <row r="1253" spans="2:2" x14ac:dyDescent="0.25">
      <c r="B1253"/>
    </row>
    <row r="1254" spans="2:2" x14ac:dyDescent="0.25">
      <c r="B1254"/>
    </row>
    <row r="1255" spans="2:2" x14ac:dyDescent="0.25">
      <c r="B1255"/>
    </row>
    <row r="1256" spans="2:2" x14ac:dyDescent="0.25">
      <c r="B1256"/>
    </row>
    <row r="1257" spans="2:2" x14ac:dyDescent="0.25">
      <c r="B1257"/>
    </row>
    <row r="1258" spans="2:2" x14ac:dyDescent="0.25">
      <c r="B1258"/>
    </row>
    <row r="1259" spans="2:2" x14ac:dyDescent="0.25">
      <c r="B1259"/>
    </row>
    <row r="1260" spans="2:2" x14ac:dyDescent="0.25">
      <c r="B1260"/>
    </row>
    <row r="1261" spans="2:2" x14ac:dyDescent="0.25">
      <c r="B1261"/>
    </row>
    <row r="1262" spans="2:2" x14ac:dyDescent="0.25">
      <c r="B1262"/>
    </row>
    <row r="1263" spans="2:2" x14ac:dyDescent="0.25">
      <c r="B1263"/>
    </row>
    <row r="1264" spans="2:2" x14ac:dyDescent="0.25">
      <c r="B1264"/>
    </row>
    <row r="1265" spans="2:2" x14ac:dyDescent="0.25">
      <c r="B1265"/>
    </row>
    <row r="1266" spans="2:2" x14ac:dyDescent="0.25">
      <c r="B1266"/>
    </row>
    <row r="1267" spans="2:2" x14ac:dyDescent="0.25">
      <c r="B1267"/>
    </row>
    <row r="1268" spans="2:2" x14ac:dyDescent="0.25">
      <c r="B1268"/>
    </row>
    <row r="1269" spans="2:2" x14ac:dyDescent="0.25">
      <c r="B1269"/>
    </row>
    <row r="1270" spans="2:2" x14ac:dyDescent="0.25">
      <c r="B1270"/>
    </row>
    <row r="1271" spans="2:2" x14ac:dyDescent="0.25">
      <c r="B1271"/>
    </row>
    <row r="1272" spans="2:2" x14ac:dyDescent="0.25">
      <c r="B1272"/>
    </row>
    <row r="1273" spans="2:2" x14ac:dyDescent="0.25">
      <c r="B1273"/>
    </row>
    <row r="1274" spans="2:2" x14ac:dyDescent="0.25">
      <c r="B1274"/>
    </row>
    <row r="1275" spans="2:2" x14ac:dyDescent="0.25">
      <c r="B1275"/>
    </row>
    <row r="1276" spans="2:2" x14ac:dyDescent="0.25">
      <c r="B1276"/>
    </row>
    <row r="1277" spans="2:2" x14ac:dyDescent="0.25">
      <c r="B1277"/>
    </row>
    <row r="1278" spans="2:2" x14ac:dyDescent="0.25">
      <c r="B1278"/>
    </row>
    <row r="1279" spans="2:2" x14ac:dyDescent="0.25">
      <c r="B1279"/>
    </row>
    <row r="1280" spans="2:2" x14ac:dyDescent="0.25">
      <c r="B1280"/>
    </row>
    <row r="1281" spans="2:2" x14ac:dyDescent="0.25">
      <c r="B1281"/>
    </row>
    <row r="1282" spans="2:2" x14ac:dyDescent="0.25">
      <c r="B1282"/>
    </row>
    <row r="1283" spans="2:2" x14ac:dyDescent="0.25">
      <c r="B1283"/>
    </row>
    <row r="1284" spans="2:2" x14ac:dyDescent="0.25">
      <c r="B1284"/>
    </row>
    <row r="1285" spans="2:2" x14ac:dyDescent="0.25">
      <c r="B1285"/>
    </row>
    <row r="1286" spans="2:2" x14ac:dyDescent="0.25">
      <c r="B1286"/>
    </row>
    <row r="1287" spans="2:2" x14ac:dyDescent="0.25">
      <c r="B1287"/>
    </row>
    <row r="1288" spans="2:2" x14ac:dyDescent="0.25">
      <c r="B1288"/>
    </row>
    <row r="1289" spans="2:2" x14ac:dyDescent="0.25">
      <c r="B1289"/>
    </row>
    <row r="1290" spans="2:2" x14ac:dyDescent="0.25">
      <c r="B1290"/>
    </row>
    <row r="1291" spans="2:2" x14ac:dyDescent="0.25">
      <c r="B1291"/>
    </row>
    <row r="1292" spans="2:2" x14ac:dyDescent="0.25">
      <c r="B1292"/>
    </row>
    <row r="1293" spans="2:2" x14ac:dyDescent="0.25">
      <c r="B1293"/>
    </row>
    <row r="1294" spans="2:2" x14ac:dyDescent="0.25">
      <c r="B1294"/>
    </row>
    <row r="1295" spans="2:2" x14ac:dyDescent="0.25">
      <c r="B1295"/>
    </row>
    <row r="1296" spans="2:2" x14ac:dyDescent="0.25">
      <c r="B1296"/>
    </row>
    <row r="1297" spans="2:2" x14ac:dyDescent="0.25">
      <c r="B1297"/>
    </row>
    <row r="1298" spans="2:2" x14ac:dyDescent="0.25">
      <c r="B1298"/>
    </row>
    <row r="1299" spans="2:2" x14ac:dyDescent="0.25">
      <c r="B1299"/>
    </row>
    <row r="1300" spans="2:2" x14ac:dyDescent="0.25">
      <c r="B1300"/>
    </row>
    <row r="1301" spans="2:2" x14ac:dyDescent="0.25">
      <c r="B1301"/>
    </row>
    <row r="1302" spans="2:2" x14ac:dyDescent="0.25">
      <c r="B1302"/>
    </row>
    <row r="1303" spans="2:2" x14ac:dyDescent="0.25">
      <c r="B1303"/>
    </row>
    <row r="1304" spans="2:2" x14ac:dyDescent="0.25">
      <c r="B1304"/>
    </row>
    <row r="1305" spans="2:2" x14ac:dyDescent="0.25">
      <c r="B1305"/>
    </row>
    <row r="1306" spans="2:2" x14ac:dyDescent="0.25">
      <c r="B1306"/>
    </row>
    <row r="1307" spans="2:2" x14ac:dyDescent="0.25">
      <c r="B1307"/>
    </row>
    <row r="1308" spans="2:2" x14ac:dyDescent="0.25">
      <c r="B1308"/>
    </row>
    <row r="1309" spans="2:2" x14ac:dyDescent="0.25">
      <c r="B1309"/>
    </row>
    <row r="1310" spans="2:2" x14ac:dyDescent="0.25">
      <c r="B1310"/>
    </row>
    <row r="1311" spans="2:2" x14ac:dyDescent="0.25">
      <c r="B1311"/>
    </row>
    <row r="1312" spans="2:2" x14ac:dyDescent="0.25">
      <c r="B1312"/>
    </row>
    <row r="1313" spans="2:2" x14ac:dyDescent="0.25">
      <c r="B1313"/>
    </row>
    <row r="1314" spans="2:2" x14ac:dyDescent="0.25">
      <c r="B1314"/>
    </row>
    <row r="1315" spans="2:2" x14ac:dyDescent="0.25">
      <c r="B1315"/>
    </row>
    <row r="1316" spans="2:2" x14ac:dyDescent="0.25">
      <c r="B1316"/>
    </row>
    <row r="1317" spans="2:2" x14ac:dyDescent="0.25">
      <c r="B1317"/>
    </row>
    <row r="1318" spans="2:2" x14ac:dyDescent="0.25">
      <c r="B1318"/>
    </row>
    <row r="1319" spans="2:2" x14ac:dyDescent="0.25">
      <c r="B1319"/>
    </row>
    <row r="1320" spans="2:2" x14ac:dyDescent="0.25">
      <c r="B1320"/>
    </row>
    <row r="1321" spans="2:2" x14ac:dyDescent="0.25">
      <c r="B1321"/>
    </row>
    <row r="1322" spans="2:2" x14ac:dyDescent="0.25">
      <c r="B1322"/>
    </row>
    <row r="1323" spans="2:2" x14ac:dyDescent="0.25">
      <c r="B1323"/>
    </row>
    <row r="1324" spans="2:2" x14ac:dyDescent="0.25">
      <c r="B1324"/>
    </row>
    <row r="1325" spans="2:2" x14ac:dyDescent="0.25">
      <c r="B1325"/>
    </row>
    <row r="1326" spans="2:2" x14ac:dyDescent="0.25">
      <c r="B1326"/>
    </row>
    <row r="1327" spans="2:2" x14ac:dyDescent="0.25">
      <c r="B1327"/>
    </row>
    <row r="1328" spans="2:2" x14ac:dyDescent="0.25">
      <c r="B1328"/>
    </row>
    <row r="1329" spans="2:2" x14ac:dyDescent="0.25">
      <c r="B1329"/>
    </row>
    <row r="1330" spans="2:2" x14ac:dyDescent="0.25">
      <c r="B1330"/>
    </row>
    <row r="1331" spans="2:2" x14ac:dyDescent="0.25">
      <c r="B1331"/>
    </row>
    <row r="1332" spans="2:2" x14ac:dyDescent="0.25">
      <c r="B1332"/>
    </row>
    <row r="1333" spans="2:2" x14ac:dyDescent="0.25">
      <c r="B1333"/>
    </row>
    <row r="1334" spans="2:2" x14ac:dyDescent="0.25">
      <c r="B1334"/>
    </row>
    <row r="1335" spans="2:2" x14ac:dyDescent="0.25">
      <c r="B1335"/>
    </row>
    <row r="1336" spans="2:2" x14ac:dyDescent="0.25">
      <c r="B1336"/>
    </row>
    <row r="1337" spans="2:2" x14ac:dyDescent="0.25">
      <c r="B1337"/>
    </row>
    <row r="1338" spans="2:2" x14ac:dyDescent="0.25">
      <c r="B1338"/>
    </row>
    <row r="1339" spans="2:2" x14ac:dyDescent="0.25">
      <c r="B1339"/>
    </row>
    <row r="1340" spans="2:2" x14ac:dyDescent="0.25">
      <c r="B1340"/>
    </row>
    <row r="1341" spans="2:2" x14ac:dyDescent="0.25">
      <c r="B1341"/>
    </row>
    <row r="1342" spans="2:2" x14ac:dyDescent="0.25">
      <c r="B1342"/>
    </row>
    <row r="1343" spans="2:2" x14ac:dyDescent="0.25">
      <c r="B1343"/>
    </row>
    <row r="1344" spans="2:2" x14ac:dyDescent="0.25">
      <c r="B1344"/>
    </row>
    <row r="1345" spans="2:2" x14ac:dyDescent="0.25">
      <c r="B1345"/>
    </row>
    <row r="1346" spans="2:2" x14ac:dyDescent="0.25">
      <c r="B1346"/>
    </row>
    <row r="1347" spans="2:2" x14ac:dyDescent="0.25">
      <c r="B1347"/>
    </row>
    <row r="1348" spans="2:2" x14ac:dyDescent="0.25">
      <c r="B1348"/>
    </row>
    <row r="1349" spans="2:2" x14ac:dyDescent="0.25">
      <c r="B1349"/>
    </row>
    <row r="1350" spans="2:2" x14ac:dyDescent="0.25">
      <c r="B1350"/>
    </row>
    <row r="1351" spans="2:2" x14ac:dyDescent="0.25">
      <c r="B1351"/>
    </row>
    <row r="1352" spans="2:2" x14ac:dyDescent="0.25">
      <c r="B1352"/>
    </row>
    <row r="1353" spans="2:2" x14ac:dyDescent="0.25">
      <c r="B1353"/>
    </row>
    <row r="1354" spans="2:2" x14ac:dyDescent="0.25">
      <c r="B1354"/>
    </row>
    <row r="1355" spans="2:2" x14ac:dyDescent="0.25">
      <c r="B1355"/>
    </row>
    <row r="1356" spans="2:2" x14ac:dyDescent="0.25">
      <c r="B1356"/>
    </row>
    <row r="1357" spans="2:2" x14ac:dyDescent="0.25">
      <c r="B1357"/>
    </row>
    <row r="1358" spans="2:2" x14ac:dyDescent="0.25">
      <c r="B1358"/>
    </row>
    <row r="1359" spans="2:2" x14ac:dyDescent="0.25">
      <c r="B1359"/>
    </row>
    <row r="1360" spans="2:2" x14ac:dyDescent="0.25">
      <c r="B1360"/>
    </row>
    <row r="1361" spans="2:2" x14ac:dyDescent="0.25">
      <c r="B1361"/>
    </row>
    <row r="1362" spans="2:2" x14ac:dyDescent="0.25">
      <c r="B1362"/>
    </row>
    <row r="1363" spans="2:2" x14ac:dyDescent="0.25">
      <c r="B1363"/>
    </row>
    <row r="1364" spans="2:2" x14ac:dyDescent="0.25">
      <c r="B1364"/>
    </row>
    <row r="1365" spans="2:2" x14ac:dyDescent="0.25">
      <c r="B1365"/>
    </row>
    <row r="1366" spans="2:2" x14ac:dyDescent="0.25">
      <c r="B1366"/>
    </row>
    <row r="1367" spans="2:2" x14ac:dyDescent="0.25">
      <c r="B1367"/>
    </row>
    <row r="1368" spans="2:2" x14ac:dyDescent="0.25">
      <c r="B1368"/>
    </row>
    <row r="1369" spans="2:2" x14ac:dyDescent="0.25">
      <c r="B1369"/>
    </row>
    <row r="1370" spans="2:2" x14ac:dyDescent="0.25">
      <c r="B1370"/>
    </row>
    <row r="1371" spans="2:2" x14ac:dyDescent="0.25">
      <c r="B1371"/>
    </row>
    <row r="1372" spans="2:2" x14ac:dyDescent="0.25">
      <c r="B1372"/>
    </row>
    <row r="1373" spans="2:2" x14ac:dyDescent="0.25">
      <c r="B1373"/>
    </row>
    <row r="1374" spans="2:2" x14ac:dyDescent="0.25">
      <c r="B1374"/>
    </row>
    <row r="1375" spans="2:2" x14ac:dyDescent="0.25">
      <c r="B1375"/>
    </row>
    <row r="1376" spans="2:2" x14ac:dyDescent="0.25">
      <c r="B1376"/>
    </row>
    <row r="1377" spans="2:2" x14ac:dyDescent="0.25">
      <c r="B1377"/>
    </row>
    <row r="1378" spans="2:2" x14ac:dyDescent="0.25">
      <c r="B1378"/>
    </row>
    <row r="1379" spans="2:2" x14ac:dyDescent="0.25">
      <c r="B1379"/>
    </row>
    <row r="1380" spans="2:2" x14ac:dyDescent="0.25">
      <c r="B1380"/>
    </row>
    <row r="1381" spans="2:2" x14ac:dyDescent="0.25">
      <c r="B1381"/>
    </row>
    <row r="1382" spans="2:2" x14ac:dyDescent="0.25">
      <c r="B1382"/>
    </row>
    <row r="1383" spans="2:2" x14ac:dyDescent="0.25">
      <c r="B1383"/>
    </row>
    <row r="1384" spans="2:2" x14ac:dyDescent="0.25">
      <c r="B1384"/>
    </row>
    <row r="1385" spans="2:2" x14ac:dyDescent="0.25">
      <c r="B1385"/>
    </row>
    <row r="1386" spans="2:2" x14ac:dyDescent="0.25">
      <c r="B1386"/>
    </row>
    <row r="1387" spans="2:2" x14ac:dyDescent="0.25">
      <c r="B1387"/>
    </row>
    <row r="1388" spans="2:2" x14ac:dyDescent="0.25">
      <c r="B1388"/>
    </row>
    <row r="1389" spans="2:2" x14ac:dyDescent="0.25">
      <c r="B1389"/>
    </row>
    <row r="1390" spans="2:2" x14ac:dyDescent="0.25">
      <c r="B1390"/>
    </row>
    <row r="1391" spans="2:2" x14ac:dyDescent="0.25">
      <c r="B1391"/>
    </row>
    <row r="1392" spans="2:2" x14ac:dyDescent="0.25">
      <c r="B1392"/>
    </row>
    <row r="1393" spans="2:2" x14ac:dyDescent="0.25">
      <c r="B1393"/>
    </row>
    <row r="1394" spans="2:2" x14ac:dyDescent="0.25">
      <c r="B1394"/>
    </row>
    <row r="1395" spans="2:2" x14ac:dyDescent="0.25">
      <c r="B1395"/>
    </row>
    <row r="1396" spans="2:2" x14ac:dyDescent="0.25">
      <c r="B1396"/>
    </row>
    <row r="1397" spans="2:2" x14ac:dyDescent="0.25">
      <c r="B1397"/>
    </row>
    <row r="1398" spans="2:2" x14ac:dyDescent="0.25">
      <c r="B1398"/>
    </row>
    <row r="1399" spans="2:2" x14ac:dyDescent="0.25">
      <c r="B1399"/>
    </row>
    <row r="1400" spans="2:2" x14ac:dyDescent="0.25">
      <c r="B1400"/>
    </row>
    <row r="1401" spans="2:2" x14ac:dyDescent="0.25">
      <c r="B1401"/>
    </row>
    <row r="1402" spans="2:2" x14ac:dyDescent="0.25">
      <c r="B1402"/>
    </row>
    <row r="1403" spans="2:2" x14ac:dyDescent="0.25">
      <c r="B1403"/>
    </row>
    <row r="1404" spans="2:2" x14ac:dyDescent="0.25">
      <c r="B1404"/>
    </row>
    <row r="1405" spans="2:2" x14ac:dyDescent="0.25">
      <c r="B1405"/>
    </row>
    <row r="1406" spans="2:2" x14ac:dyDescent="0.25">
      <c r="B1406"/>
    </row>
    <row r="1407" spans="2:2" x14ac:dyDescent="0.25">
      <c r="B1407"/>
    </row>
    <row r="1408" spans="2:2" x14ac:dyDescent="0.25">
      <c r="B1408"/>
    </row>
    <row r="1409" spans="2:2" x14ac:dyDescent="0.25">
      <c r="B1409"/>
    </row>
    <row r="1410" spans="2:2" x14ac:dyDescent="0.25">
      <c r="B1410"/>
    </row>
    <row r="1411" spans="2:2" x14ac:dyDescent="0.25">
      <c r="B1411"/>
    </row>
    <row r="1412" spans="2:2" x14ac:dyDescent="0.25">
      <c r="B1412"/>
    </row>
    <row r="1413" spans="2:2" x14ac:dyDescent="0.25">
      <c r="B1413"/>
    </row>
    <row r="1414" spans="2:2" x14ac:dyDescent="0.25">
      <c r="B1414"/>
    </row>
    <row r="1415" spans="2:2" x14ac:dyDescent="0.25">
      <c r="B1415"/>
    </row>
    <row r="1416" spans="2:2" x14ac:dyDescent="0.25">
      <c r="B1416"/>
    </row>
    <row r="1417" spans="2:2" x14ac:dyDescent="0.25">
      <c r="B1417"/>
    </row>
    <row r="1418" spans="2:2" x14ac:dyDescent="0.25">
      <c r="B1418"/>
    </row>
    <row r="1419" spans="2:2" x14ac:dyDescent="0.25">
      <c r="B1419"/>
    </row>
    <row r="1420" spans="2:2" x14ac:dyDescent="0.25">
      <c r="B1420"/>
    </row>
    <row r="1421" spans="2:2" x14ac:dyDescent="0.25">
      <c r="B1421"/>
    </row>
    <row r="1422" spans="2:2" x14ac:dyDescent="0.25">
      <c r="B1422"/>
    </row>
    <row r="1423" spans="2:2" x14ac:dyDescent="0.25">
      <c r="B1423"/>
    </row>
    <row r="1424" spans="2:2" x14ac:dyDescent="0.25">
      <c r="B1424"/>
    </row>
    <row r="1425" spans="2:2" x14ac:dyDescent="0.25">
      <c r="B1425"/>
    </row>
    <row r="1426" spans="2:2" x14ac:dyDescent="0.25">
      <c r="B1426"/>
    </row>
    <row r="1427" spans="2:2" x14ac:dyDescent="0.25">
      <c r="B1427"/>
    </row>
    <row r="1428" spans="2:2" x14ac:dyDescent="0.25">
      <c r="B1428"/>
    </row>
    <row r="1429" spans="2:2" x14ac:dyDescent="0.25">
      <c r="B1429"/>
    </row>
    <row r="1430" spans="2:2" x14ac:dyDescent="0.25">
      <c r="B1430"/>
    </row>
    <row r="1431" spans="2:2" x14ac:dyDescent="0.25">
      <c r="B1431"/>
    </row>
    <row r="1432" spans="2:2" x14ac:dyDescent="0.25">
      <c r="B1432"/>
    </row>
    <row r="1433" spans="2:2" x14ac:dyDescent="0.25">
      <c r="B1433"/>
    </row>
    <row r="1434" spans="2:2" x14ac:dyDescent="0.25">
      <c r="B1434"/>
    </row>
    <row r="1435" spans="2:2" x14ac:dyDescent="0.25">
      <c r="B1435"/>
    </row>
    <row r="1436" spans="2:2" x14ac:dyDescent="0.25">
      <c r="B1436"/>
    </row>
    <row r="1437" spans="2:2" x14ac:dyDescent="0.25">
      <c r="B1437"/>
    </row>
    <row r="1438" spans="2:2" x14ac:dyDescent="0.25">
      <c r="B1438"/>
    </row>
    <row r="1439" spans="2:2" x14ac:dyDescent="0.25">
      <c r="B1439"/>
    </row>
    <row r="1440" spans="2:2" x14ac:dyDescent="0.25">
      <c r="B1440"/>
    </row>
    <row r="1441" spans="2:2" x14ac:dyDescent="0.25">
      <c r="B1441"/>
    </row>
    <row r="1442" spans="2:2" x14ac:dyDescent="0.25">
      <c r="B1442"/>
    </row>
    <row r="1443" spans="2:2" x14ac:dyDescent="0.25">
      <c r="B1443"/>
    </row>
    <row r="1444" spans="2:2" x14ac:dyDescent="0.25">
      <c r="B1444"/>
    </row>
    <row r="1445" spans="2:2" x14ac:dyDescent="0.25">
      <c r="B1445"/>
    </row>
    <row r="1446" spans="2:2" x14ac:dyDescent="0.25">
      <c r="B1446"/>
    </row>
    <row r="1447" spans="2:2" x14ac:dyDescent="0.25">
      <c r="B1447"/>
    </row>
    <row r="1448" spans="2:2" x14ac:dyDescent="0.25">
      <c r="B1448"/>
    </row>
    <row r="1449" spans="2:2" x14ac:dyDescent="0.25">
      <c r="B1449"/>
    </row>
    <row r="1450" spans="2:2" x14ac:dyDescent="0.25">
      <c r="B1450"/>
    </row>
    <row r="1451" spans="2:2" x14ac:dyDescent="0.25">
      <c r="B1451"/>
    </row>
    <row r="1452" spans="2:2" x14ac:dyDescent="0.25">
      <c r="B1452"/>
    </row>
    <row r="1453" spans="2:2" x14ac:dyDescent="0.25">
      <c r="B1453"/>
    </row>
    <row r="1454" spans="2:2" x14ac:dyDescent="0.25">
      <c r="B1454"/>
    </row>
    <row r="1455" spans="2:2" x14ac:dyDescent="0.25">
      <c r="B1455"/>
    </row>
    <row r="1456" spans="2:2" x14ac:dyDescent="0.25">
      <c r="B1456"/>
    </row>
    <row r="1457" spans="2:2" x14ac:dyDescent="0.25">
      <c r="B1457"/>
    </row>
    <row r="1458" spans="2:2" x14ac:dyDescent="0.25">
      <c r="B1458"/>
    </row>
    <row r="1459" spans="2:2" x14ac:dyDescent="0.25">
      <c r="B1459"/>
    </row>
    <row r="1460" spans="2:2" x14ac:dyDescent="0.25">
      <c r="B1460"/>
    </row>
    <row r="1461" spans="2:2" x14ac:dyDescent="0.25">
      <c r="B1461"/>
    </row>
    <row r="1462" spans="2:2" x14ac:dyDescent="0.25">
      <c r="B1462"/>
    </row>
    <row r="1463" spans="2:2" x14ac:dyDescent="0.25">
      <c r="B1463"/>
    </row>
    <row r="1464" spans="2:2" x14ac:dyDescent="0.25">
      <c r="B1464"/>
    </row>
    <row r="1465" spans="2:2" x14ac:dyDescent="0.25">
      <c r="B1465"/>
    </row>
    <row r="1466" spans="2:2" x14ac:dyDescent="0.25">
      <c r="B1466"/>
    </row>
    <row r="1467" spans="2:2" x14ac:dyDescent="0.25">
      <c r="B1467"/>
    </row>
    <row r="1468" spans="2:2" x14ac:dyDescent="0.25">
      <c r="B1468"/>
    </row>
    <row r="1469" spans="2:2" x14ac:dyDescent="0.25">
      <c r="B1469"/>
    </row>
    <row r="1470" spans="2:2" x14ac:dyDescent="0.25">
      <c r="B1470"/>
    </row>
    <row r="1471" spans="2:2" x14ac:dyDescent="0.25">
      <c r="B1471"/>
    </row>
    <row r="1472" spans="2:2" x14ac:dyDescent="0.25">
      <c r="B1472"/>
    </row>
    <row r="1473" spans="2:2" x14ac:dyDescent="0.25">
      <c r="B1473"/>
    </row>
    <row r="1474" spans="2:2" x14ac:dyDescent="0.25">
      <c r="B1474"/>
    </row>
    <row r="1475" spans="2:2" x14ac:dyDescent="0.25">
      <c r="B1475"/>
    </row>
    <row r="1476" spans="2:2" x14ac:dyDescent="0.25">
      <c r="B1476"/>
    </row>
    <row r="1477" spans="2:2" x14ac:dyDescent="0.25">
      <c r="B1477"/>
    </row>
    <row r="1478" spans="2:2" x14ac:dyDescent="0.25">
      <c r="B1478"/>
    </row>
    <row r="1479" spans="2:2" x14ac:dyDescent="0.25">
      <c r="B1479"/>
    </row>
    <row r="1480" spans="2:2" x14ac:dyDescent="0.25">
      <c r="B1480"/>
    </row>
    <row r="1481" spans="2:2" x14ac:dyDescent="0.25">
      <c r="B1481"/>
    </row>
    <row r="1482" spans="2:2" x14ac:dyDescent="0.25">
      <c r="B1482"/>
    </row>
    <row r="1483" spans="2:2" x14ac:dyDescent="0.25">
      <c r="B1483"/>
    </row>
    <row r="1484" spans="2:2" x14ac:dyDescent="0.25">
      <c r="B1484"/>
    </row>
    <row r="1485" spans="2:2" x14ac:dyDescent="0.25">
      <c r="B1485"/>
    </row>
    <row r="1486" spans="2:2" x14ac:dyDescent="0.25">
      <c r="B1486"/>
    </row>
    <row r="1487" spans="2:2" x14ac:dyDescent="0.25">
      <c r="B1487"/>
    </row>
    <row r="1488" spans="2:2" x14ac:dyDescent="0.25">
      <c r="B1488"/>
    </row>
    <row r="1489" spans="2:2" x14ac:dyDescent="0.25">
      <c r="B1489"/>
    </row>
    <row r="1490" spans="2:2" x14ac:dyDescent="0.25">
      <c r="B1490"/>
    </row>
    <row r="1491" spans="2:2" x14ac:dyDescent="0.25">
      <c r="B1491"/>
    </row>
    <row r="1492" spans="2:2" x14ac:dyDescent="0.25">
      <c r="B1492"/>
    </row>
    <row r="1493" spans="2:2" x14ac:dyDescent="0.25">
      <c r="B1493"/>
    </row>
    <row r="1494" spans="2:2" x14ac:dyDescent="0.25">
      <c r="B1494"/>
    </row>
    <row r="1495" spans="2:2" x14ac:dyDescent="0.25">
      <c r="B1495"/>
    </row>
    <row r="1496" spans="2:2" x14ac:dyDescent="0.25">
      <c r="B1496"/>
    </row>
    <row r="1497" spans="2:2" x14ac:dyDescent="0.25">
      <c r="B1497"/>
    </row>
    <row r="1498" spans="2:2" x14ac:dyDescent="0.25">
      <c r="B1498"/>
    </row>
    <row r="1499" spans="2:2" x14ac:dyDescent="0.25">
      <c r="B1499"/>
    </row>
    <row r="1500" spans="2:2" x14ac:dyDescent="0.25">
      <c r="B1500"/>
    </row>
    <row r="1501" spans="2:2" x14ac:dyDescent="0.25">
      <c r="B1501"/>
    </row>
    <row r="1502" spans="2:2" x14ac:dyDescent="0.25">
      <c r="B1502"/>
    </row>
    <row r="1503" spans="2:2" x14ac:dyDescent="0.25">
      <c r="B1503"/>
    </row>
    <row r="1504" spans="2:2" x14ac:dyDescent="0.25">
      <c r="B1504"/>
    </row>
    <row r="1505" spans="2:2" x14ac:dyDescent="0.25">
      <c r="B1505"/>
    </row>
    <row r="1506" spans="2:2" x14ac:dyDescent="0.25">
      <c r="B1506"/>
    </row>
    <row r="1507" spans="2:2" x14ac:dyDescent="0.25">
      <c r="B1507"/>
    </row>
    <row r="1508" spans="2:2" x14ac:dyDescent="0.25">
      <c r="B1508"/>
    </row>
    <row r="1509" spans="2:2" x14ac:dyDescent="0.25">
      <c r="B1509"/>
    </row>
    <row r="1510" spans="2:2" x14ac:dyDescent="0.25">
      <c r="B1510"/>
    </row>
    <row r="1511" spans="2:2" x14ac:dyDescent="0.25">
      <c r="B1511"/>
    </row>
    <row r="1512" spans="2:2" x14ac:dyDescent="0.25">
      <c r="B1512"/>
    </row>
    <row r="1513" spans="2:2" x14ac:dyDescent="0.25">
      <c r="B1513"/>
    </row>
    <row r="1514" spans="2:2" x14ac:dyDescent="0.25">
      <c r="B1514"/>
    </row>
    <row r="1515" spans="2:2" x14ac:dyDescent="0.25">
      <c r="B1515"/>
    </row>
    <row r="1516" spans="2:2" x14ac:dyDescent="0.25">
      <c r="B1516"/>
    </row>
    <row r="1517" spans="2:2" x14ac:dyDescent="0.25">
      <c r="B1517"/>
    </row>
    <row r="1518" spans="2:2" x14ac:dyDescent="0.25">
      <c r="B1518"/>
    </row>
    <row r="1519" spans="2:2" x14ac:dyDescent="0.25">
      <c r="B1519"/>
    </row>
    <row r="1520" spans="2:2" x14ac:dyDescent="0.25">
      <c r="B1520"/>
    </row>
    <row r="1521" spans="2:2" x14ac:dyDescent="0.25">
      <c r="B1521"/>
    </row>
    <row r="1522" spans="2:2" x14ac:dyDescent="0.25">
      <c r="B1522"/>
    </row>
    <row r="1523" spans="2:2" x14ac:dyDescent="0.25">
      <c r="B1523"/>
    </row>
    <row r="1524" spans="2:2" x14ac:dyDescent="0.25">
      <c r="B1524"/>
    </row>
    <row r="1525" spans="2:2" x14ac:dyDescent="0.25">
      <c r="B1525"/>
    </row>
    <row r="1526" spans="2:2" x14ac:dyDescent="0.25">
      <c r="B1526"/>
    </row>
    <row r="1527" spans="2:2" x14ac:dyDescent="0.25">
      <c r="B1527"/>
    </row>
    <row r="1528" spans="2:2" x14ac:dyDescent="0.25">
      <c r="B1528"/>
    </row>
    <row r="1529" spans="2:2" x14ac:dyDescent="0.25">
      <c r="B1529"/>
    </row>
    <row r="1530" spans="2:2" x14ac:dyDescent="0.25">
      <c r="B1530"/>
    </row>
    <row r="1531" spans="2:2" x14ac:dyDescent="0.25">
      <c r="B1531"/>
    </row>
    <row r="1532" spans="2:2" x14ac:dyDescent="0.25">
      <c r="B1532"/>
    </row>
    <row r="1533" spans="2:2" x14ac:dyDescent="0.25">
      <c r="B1533"/>
    </row>
    <row r="1534" spans="2:2" x14ac:dyDescent="0.25">
      <c r="B1534"/>
    </row>
    <row r="1535" spans="2:2" x14ac:dyDescent="0.25">
      <c r="B1535"/>
    </row>
    <row r="1536" spans="2:2" x14ac:dyDescent="0.25">
      <c r="B1536"/>
    </row>
    <row r="1537" spans="2:2" x14ac:dyDescent="0.25">
      <c r="B1537"/>
    </row>
    <row r="1538" spans="2:2" x14ac:dyDescent="0.25">
      <c r="B1538"/>
    </row>
    <row r="1539" spans="2:2" x14ac:dyDescent="0.25">
      <c r="B1539"/>
    </row>
    <row r="1540" spans="2:2" x14ac:dyDescent="0.25">
      <c r="B1540"/>
    </row>
    <row r="1541" spans="2:2" x14ac:dyDescent="0.25">
      <c r="B1541"/>
    </row>
    <row r="1542" spans="2:2" x14ac:dyDescent="0.25">
      <c r="B1542"/>
    </row>
    <row r="1543" spans="2:2" x14ac:dyDescent="0.25">
      <c r="B1543"/>
    </row>
    <row r="1544" spans="2:2" x14ac:dyDescent="0.25">
      <c r="B1544"/>
    </row>
    <row r="1545" spans="2:2" x14ac:dyDescent="0.25">
      <c r="B1545"/>
    </row>
    <row r="1546" spans="2:2" x14ac:dyDescent="0.25">
      <c r="B1546"/>
    </row>
    <row r="1547" spans="2:2" x14ac:dyDescent="0.25">
      <c r="B1547"/>
    </row>
    <row r="1548" spans="2:2" x14ac:dyDescent="0.25">
      <c r="B1548"/>
    </row>
    <row r="1549" spans="2:2" x14ac:dyDescent="0.25">
      <c r="B1549"/>
    </row>
    <row r="1550" spans="2:2" x14ac:dyDescent="0.25">
      <c r="B1550"/>
    </row>
    <row r="1551" spans="2:2" x14ac:dyDescent="0.25">
      <c r="B1551"/>
    </row>
    <row r="1552" spans="2:2" x14ac:dyDescent="0.25">
      <c r="B1552"/>
    </row>
    <row r="1553" spans="2:2" x14ac:dyDescent="0.25">
      <c r="B1553"/>
    </row>
    <row r="1554" spans="2:2" x14ac:dyDescent="0.25">
      <c r="B1554"/>
    </row>
    <row r="1555" spans="2:2" x14ac:dyDescent="0.25">
      <c r="B1555"/>
    </row>
    <row r="1556" spans="2:2" x14ac:dyDescent="0.25">
      <c r="B1556"/>
    </row>
    <row r="1557" spans="2:2" x14ac:dyDescent="0.25">
      <c r="B1557"/>
    </row>
    <row r="1558" spans="2:2" x14ac:dyDescent="0.25">
      <c r="B1558"/>
    </row>
    <row r="1559" spans="2:2" x14ac:dyDescent="0.25">
      <c r="B1559"/>
    </row>
    <row r="1560" spans="2:2" x14ac:dyDescent="0.25">
      <c r="B1560"/>
    </row>
    <row r="1561" spans="2:2" x14ac:dyDescent="0.25">
      <c r="B1561"/>
    </row>
    <row r="1562" spans="2:2" x14ac:dyDescent="0.25">
      <c r="B1562"/>
    </row>
    <row r="1563" spans="2:2" x14ac:dyDescent="0.25">
      <c r="B1563"/>
    </row>
    <row r="1564" spans="2:2" x14ac:dyDescent="0.25">
      <c r="B1564"/>
    </row>
    <row r="1565" spans="2:2" x14ac:dyDescent="0.25">
      <c r="B1565"/>
    </row>
    <row r="1566" spans="2:2" x14ac:dyDescent="0.25">
      <c r="B1566"/>
    </row>
    <row r="1567" spans="2:2" x14ac:dyDescent="0.25">
      <c r="B1567"/>
    </row>
    <row r="1568" spans="2:2" x14ac:dyDescent="0.25">
      <c r="B1568"/>
    </row>
    <row r="1569" spans="2:2" x14ac:dyDescent="0.25">
      <c r="B1569"/>
    </row>
    <row r="1570" spans="2:2" x14ac:dyDescent="0.25">
      <c r="B1570"/>
    </row>
    <row r="1571" spans="2:2" x14ac:dyDescent="0.25">
      <c r="B1571"/>
    </row>
    <row r="1572" spans="2:2" x14ac:dyDescent="0.25">
      <c r="B1572"/>
    </row>
    <row r="1573" spans="2:2" x14ac:dyDescent="0.25">
      <c r="B1573"/>
    </row>
    <row r="1574" spans="2:2" x14ac:dyDescent="0.25">
      <c r="B1574"/>
    </row>
    <row r="1575" spans="2:2" x14ac:dyDescent="0.25">
      <c r="B1575"/>
    </row>
    <row r="1576" spans="2:2" x14ac:dyDescent="0.25">
      <c r="B1576"/>
    </row>
    <row r="1577" spans="2:2" x14ac:dyDescent="0.25">
      <c r="B1577"/>
    </row>
    <row r="1578" spans="2:2" x14ac:dyDescent="0.25">
      <c r="B1578"/>
    </row>
    <row r="1579" spans="2:2" x14ac:dyDescent="0.25">
      <c r="B1579"/>
    </row>
    <row r="1580" spans="2:2" x14ac:dyDescent="0.25">
      <c r="B1580"/>
    </row>
    <row r="1581" spans="2:2" x14ac:dyDescent="0.25">
      <c r="B1581"/>
    </row>
    <row r="1582" spans="2:2" x14ac:dyDescent="0.25">
      <c r="B1582"/>
    </row>
    <row r="1583" spans="2:2" x14ac:dyDescent="0.25">
      <c r="B1583"/>
    </row>
    <row r="1584" spans="2:2" x14ac:dyDescent="0.25">
      <c r="B1584"/>
    </row>
    <row r="1585" spans="2:2" x14ac:dyDescent="0.25">
      <c r="B1585"/>
    </row>
    <row r="1586" spans="2:2" x14ac:dyDescent="0.25">
      <c r="B1586"/>
    </row>
    <row r="1587" spans="2:2" x14ac:dyDescent="0.25">
      <c r="B1587"/>
    </row>
    <row r="1588" spans="2:2" x14ac:dyDescent="0.25">
      <c r="B1588"/>
    </row>
    <row r="1589" spans="2:2" x14ac:dyDescent="0.25">
      <c r="B1589"/>
    </row>
    <row r="1590" spans="2:2" x14ac:dyDescent="0.25">
      <c r="B1590"/>
    </row>
    <row r="1591" spans="2:2" x14ac:dyDescent="0.25">
      <c r="B1591"/>
    </row>
    <row r="1592" spans="2:2" x14ac:dyDescent="0.25">
      <c r="B1592"/>
    </row>
    <row r="1593" spans="2:2" x14ac:dyDescent="0.25">
      <c r="B1593"/>
    </row>
    <row r="1594" spans="2:2" x14ac:dyDescent="0.25">
      <c r="B1594"/>
    </row>
    <row r="1595" spans="2:2" x14ac:dyDescent="0.25">
      <c r="B1595"/>
    </row>
    <row r="1596" spans="2:2" x14ac:dyDescent="0.25">
      <c r="B1596"/>
    </row>
    <row r="1597" spans="2:2" x14ac:dyDescent="0.25">
      <c r="B1597"/>
    </row>
    <row r="1598" spans="2:2" x14ac:dyDescent="0.25">
      <c r="B1598"/>
    </row>
    <row r="1599" spans="2:2" x14ac:dyDescent="0.25">
      <c r="B1599"/>
    </row>
    <row r="1600" spans="2:2" x14ac:dyDescent="0.25">
      <c r="B1600"/>
    </row>
    <row r="1601" spans="2:2" x14ac:dyDescent="0.25">
      <c r="B1601"/>
    </row>
    <row r="1602" spans="2:2" x14ac:dyDescent="0.25">
      <c r="B1602"/>
    </row>
    <row r="1603" spans="2:2" x14ac:dyDescent="0.25">
      <c r="B1603"/>
    </row>
    <row r="1604" spans="2:2" x14ac:dyDescent="0.25">
      <c r="B1604"/>
    </row>
    <row r="1605" spans="2:2" x14ac:dyDescent="0.25">
      <c r="B1605"/>
    </row>
    <row r="1606" spans="2:2" x14ac:dyDescent="0.25">
      <c r="B1606"/>
    </row>
    <row r="1607" spans="2:2" x14ac:dyDescent="0.25">
      <c r="B1607"/>
    </row>
    <row r="1608" spans="2:2" x14ac:dyDescent="0.25">
      <c r="B1608"/>
    </row>
    <row r="1609" spans="2:2" x14ac:dyDescent="0.25">
      <c r="B1609"/>
    </row>
    <row r="1610" spans="2:2" x14ac:dyDescent="0.25">
      <c r="B1610"/>
    </row>
    <row r="1611" spans="2:2" x14ac:dyDescent="0.25">
      <c r="B1611"/>
    </row>
    <row r="1612" spans="2:2" x14ac:dyDescent="0.25">
      <c r="B1612"/>
    </row>
    <row r="1613" spans="2:2" x14ac:dyDescent="0.25">
      <c r="B1613"/>
    </row>
    <row r="1614" spans="2:2" x14ac:dyDescent="0.25">
      <c r="B1614"/>
    </row>
    <row r="1615" spans="2:2" x14ac:dyDescent="0.25">
      <c r="B1615"/>
    </row>
    <row r="1616" spans="2:2" x14ac:dyDescent="0.25">
      <c r="B1616"/>
    </row>
    <row r="1617" spans="2:2" x14ac:dyDescent="0.25">
      <c r="B1617"/>
    </row>
    <row r="1618" spans="2:2" x14ac:dyDescent="0.25">
      <c r="B1618"/>
    </row>
    <row r="1619" spans="2:2" x14ac:dyDescent="0.25">
      <c r="B1619"/>
    </row>
    <row r="1620" spans="2:2" x14ac:dyDescent="0.25">
      <c r="B1620"/>
    </row>
    <row r="1621" spans="2:2" x14ac:dyDescent="0.25">
      <c r="B1621"/>
    </row>
    <row r="1622" spans="2:2" x14ac:dyDescent="0.25">
      <c r="B1622"/>
    </row>
    <row r="1623" spans="2:2" x14ac:dyDescent="0.25">
      <c r="B1623"/>
    </row>
    <row r="1624" spans="2:2" x14ac:dyDescent="0.25">
      <c r="B1624"/>
    </row>
    <row r="1625" spans="2:2" x14ac:dyDescent="0.25">
      <c r="B1625"/>
    </row>
    <row r="1626" spans="2:2" x14ac:dyDescent="0.25">
      <c r="B1626"/>
    </row>
    <row r="1627" spans="2:2" x14ac:dyDescent="0.25">
      <c r="B1627"/>
    </row>
    <row r="1628" spans="2:2" x14ac:dyDescent="0.25">
      <c r="B1628"/>
    </row>
    <row r="1629" spans="2:2" x14ac:dyDescent="0.25">
      <c r="B1629"/>
    </row>
    <row r="1630" spans="2:2" x14ac:dyDescent="0.25">
      <c r="B1630"/>
    </row>
    <row r="1631" spans="2:2" x14ac:dyDescent="0.25">
      <c r="B1631"/>
    </row>
    <row r="1632" spans="2:2" x14ac:dyDescent="0.25">
      <c r="B1632"/>
    </row>
    <row r="1633" spans="2:2" x14ac:dyDescent="0.25">
      <c r="B1633"/>
    </row>
    <row r="1634" spans="2:2" x14ac:dyDescent="0.25">
      <c r="B1634"/>
    </row>
    <row r="1635" spans="2:2" x14ac:dyDescent="0.25">
      <c r="B1635"/>
    </row>
    <row r="1636" spans="2:2" x14ac:dyDescent="0.25">
      <c r="B1636"/>
    </row>
    <row r="1637" spans="2:2" x14ac:dyDescent="0.25">
      <c r="B1637"/>
    </row>
    <row r="1638" spans="2:2" x14ac:dyDescent="0.25">
      <c r="B1638"/>
    </row>
    <row r="1639" spans="2:2" x14ac:dyDescent="0.25">
      <c r="B1639"/>
    </row>
    <row r="1640" spans="2:2" x14ac:dyDescent="0.25">
      <c r="B1640"/>
    </row>
    <row r="1641" spans="2:2" x14ac:dyDescent="0.25">
      <c r="B1641"/>
    </row>
    <row r="1642" spans="2:2" x14ac:dyDescent="0.25">
      <c r="B1642"/>
    </row>
    <row r="1643" spans="2:2" x14ac:dyDescent="0.25">
      <c r="B1643"/>
    </row>
    <row r="1644" spans="2:2" x14ac:dyDescent="0.25">
      <c r="B1644"/>
    </row>
    <row r="1645" spans="2:2" x14ac:dyDescent="0.25">
      <c r="B1645"/>
    </row>
    <row r="1646" spans="2:2" x14ac:dyDescent="0.25">
      <c r="B1646"/>
    </row>
    <row r="1647" spans="2:2" x14ac:dyDescent="0.25">
      <c r="B1647"/>
    </row>
    <row r="1648" spans="2:2" x14ac:dyDescent="0.25">
      <c r="B1648"/>
    </row>
    <row r="1649" spans="2:2" x14ac:dyDescent="0.25">
      <c r="B1649"/>
    </row>
    <row r="1650" spans="2:2" x14ac:dyDescent="0.25">
      <c r="B1650"/>
    </row>
    <row r="1651" spans="2:2" x14ac:dyDescent="0.25">
      <c r="B1651"/>
    </row>
    <row r="1652" spans="2:2" x14ac:dyDescent="0.25">
      <c r="B1652"/>
    </row>
    <row r="1653" spans="2:2" x14ac:dyDescent="0.25">
      <c r="B1653"/>
    </row>
    <row r="1654" spans="2:2" x14ac:dyDescent="0.25">
      <c r="B1654"/>
    </row>
    <row r="1655" spans="2:2" x14ac:dyDescent="0.25">
      <c r="B1655"/>
    </row>
    <row r="1656" spans="2:2" x14ac:dyDescent="0.25">
      <c r="B1656"/>
    </row>
    <row r="1657" spans="2:2" x14ac:dyDescent="0.25">
      <c r="B1657"/>
    </row>
    <row r="1658" spans="2:2" x14ac:dyDescent="0.25">
      <c r="B1658"/>
    </row>
    <row r="1659" spans="2:2" x14ac:dyDescent="0.25">
      <c r="B1659"/>
    </row>
    <row r="1660" spans="2:2" x14ac:dyDescent="0.25">
      <c r="B1660"/>
    </row>
    <row r="1661" spans="2:2" x14ac:dyDescent="0.25">
      <c r="B1661"/>
    </row>
    <row r="1662" spans="2:2" x14ac:dyDescent="0.25">
      <c r="B1662"/>
    </row>
    <row r="1663" spans="2:2" x14ac:dyDescent="0.25">
      <c r="B1663"/>
    </row>
    <row r="1664" spans="2:2" x14ac:dyDescent="0.25">
      <c r="B1664"/>
    </row>
    <row r="1665" spans="2:2" x14ac:dyDescent="0.25">
      <c r="B1665"/>
    </row>
    <row r="1666" spans="2:2" x14ac:dyDescent="0.25">
      <c r="B1666"/>
    </row>
    <row r="1667" spans="2:2" x14ac:dyDescent="0.25">
      <c r="B1667"/>
    </row>
    <row r="1668" spans="2:2" x14ac:dyDescent="0.25">
      <c r="B1668"/>
    </row>
    <row r="1669" spans="2:2" x14ac:dyDescent="0.25">
      <c r="B1669"/>
    </row>
    <row r="1670" spans="2:2" x14ac:dyDescent="0.25">
      <c r="B1670"/>
    </row>
    <row r="1671" spans="2:2" x14ac:dyDescent="0.25">
      <c r="B1671"/>
    </row>
    <row r="1672" spans="2:2" x14ac:dyDescent="0.25">
      <c r="B1672"/>
    </row>
    <row r="1673" spans="2:2" x14ac:dyDescent="0.25">
      <c r="B1673"/>
    </row>
    <row r="1674" spans="2:2" x14ac:dyDescent="0.25">
      <c r="B1674"/>
    </row>
    <row r="1675" spans="2:2" x14ac:dyDescent="0.25">
      <c r="B1675"/>
    </row>
    <row r="1676" spans="2:2" x14ac:dyDescent="0.25">
      <c r="B1676"/>
    </row>
    <row r="1677" spans="2:2" x14ac:dyDescent="0.25">
      <c r="B1677"/>
    </row>
    <row r="1678" spans="2:2" x14ac:dyDescent="0.25">
      <c r="B1678"/>
    </row>
    <row r="1679" spans="2:2" x14ac:dyDescent="0.25">
      <c r="B1679"/>
    </row>
    <row r="1680" spans="2:2" x14ac:dyDescent="0.25">
      <c r="B1680"/>
    </row>
    <row r="1681" spans="2:2" x14ac:dyDescent="0.25">
      <c r="B1681"/>
    </row>
    <row r="1682" spans="2:2" x14ac:dyDescent="0.25">
      <c r="B1682"/>
    </row>
    <row r="1683" spans="2:2" x14ac:dyDescent="0.25">
      <c r="B1683"/>
    </row>
    <row r="1684" spans="2:2" x14ac:dyDescent="0.25">
      <c r="B1684"/>
    </row>
    <row r="1685" spans="2:2" x14ac:dyDescent="0.25">
      <c r="B1685"/>
    </row>
    <row r="1686" spans="2:2" x14ac:dyDescent="0.25">
      <c r="B1686"/>
    </row>
    <row r="1687" spans="2:2" x14ac:dyDescent="0.25">
      <c r="B1687"/>
    </row>
    <row r="1688" spans="2:2" x14ac:dyDescent="0.25">
      <c r="B1688"/>
    </row>
    <row r="1689" spans="2:2" x14ac:dyDescent="0.25">
      <c r="B1689"/>
    </row>
    <row r="1690" spans="2:2" x14ac:dyDescent="0.25">
      <c r="B1690"/>
    </row>
    <row r="1691" spans="2:2" x14ac:dyDescent="0.25">
      <c r="B1691"/>
    </row>
    <row r="1692" spans="2:2" x14ac:dyDescent="0.25">
      <c r="B1692"/>
    </row>
    <row r="1693" spans="2:2" x14ac:dyDescent="0.25">
      <c r="B1693"/>
    </row>
    <row r="1694" spans="2:2" x14ac:dyDescent="0.25">
      <c r="B1694"/>
    </row>
    <row r="1695" spans="2:2" x14ac:dyDescent="0.25">
      <c r="B1695"/>
    </row>
    <row r="1696" spans="2:2" x14ac:dyDescent="0.25">
      <c r="B1696"/>
    </row>
    <row r="1697" spans="2:2" x14ac:dyDescent="0.25">
      <c r="B1697"/>
    </row>
    <row r="1698" spans="2:2" x14ac:dyDescent="0.25">
      <c r="B1698"/>
    </row>
    <row r="1699" spans="2:2" x14ac:dyDescent="0.25">
      <c r="B1699"/>
    </row>
    <row r="1700" spans="2:2" x14ac:dyDescent="0.25">
      <c r="B1700"/>
    </row>
    <row r="1701" spans="2:2" x14ac:dyDescent="0.25">
      <c r="B1701"/>
    </row>
    <row r="1702" spans="2:2" x14ac:dyDescent="0.25">
      <c r="B1702"/>
    </row>
    <row r="1703" spans="2:2" x14ac:dyDescent="0.25">
      <c r="B1703"/>
    </row>
    <row r="1704" spans="2:2" x14ac:dyDescent="0.25">
      <c r="B1704"/>
    </row>
    <row r="1705" spans="2:2" x14ac:dyDescent="0.25">
      <c r="B1705"/>
    </row>
    <row r="1706" spans="2:2" x14ac:dyDescent="0.25">
      <c r="B1706"/>
    </row>
    <row r="1707" spans="2:2" x14ac:dyDescent="0.25">
      <c r="B1707"/>
    </row>
    <row r="1708" spans="2:2" x14ac:dyDescent="0.25">
      <c r="B1708"/>
    </row>
    <row r="1709" spans="2:2" x14ac:dyDescent="0.25">
      <c r="B1709"/>
    </row>
    <row r="1710" spans="2:2" x14ac:dyDescent="0.25">
      <c r="B1710"/>
    </row>
    <row r="1711" spans="2:2" x14ac:dyDescent="0.25">
      <c r="B1711"/>
    </row>
    <row r="1712" spans="2:2" x14ac:dyDescent="0.25">
      <c r="B1712"/>
    </row>
    <row r="1713" spans="2:2" x14ac:dyDescent="0.25">
      <c r="B1713"/>
    </row>
    <row r="1714" spans="2:2" x14ac:dyDescent="0.25">
      <c r="B1714"/>
    </row>
    <row r="1715" spans="2:2" x14ac:dyDescent="0.25">
      <c r="B1715"/>
    </row>
    <row r="1716" spans="2:2" x14ac:dyDescent="0.25">
      <c r="B1716"/>
    </row>
    <row r="1717" spans="2:2" x14ac:dyDescent="0.25">
      <c r="B1717"/>
    </row>
    <row r="1718" spans="2:2" x14ac:dyDescent="0.25">
      <c r="B1718"/>
    </row>
    <row r="1719" spans="2:2" x14ac:dyDescent="0.25">
      <c r="B1719"/>
    </row>
    <row r="1720" spans="2:2" x14ac:dyDescent="0.25">
      <c r="B1720"/>
    </row>
    <row r="1721" spans="2:2" x14ac:dyDescent="0.25">
      <c r="B1721"/>
    </row>
    <row r="1722" spans="2:2" x14ac:dyDescent="0.25">
      <c r="B1722"/>
    </row>
    <row r="1723" spans="2:2" x14ac:dyDescent="0.25">
      <c r="B1723"/>
    </row>
    <row r="1724" spans="2:2" x14ac:dyDescent="0.25">
      <c r="B1724"/>
    </row>
    <row r="1725" spans="2:2" x14ac:dyDescent="0.25">
      <c r="B1725"/>
    </row>
    <row r="1726" spans="2:2" x14ac:dyDescent="0.25">
      <c r="B1726"/>
    </row>
    <row r="1727" spans="2:2" x14ac:dyDescent="0.25">
      <c r="B1727"/>
    </row>
    <row r="1728" spans="2:2" x14ac:dyDescent="0.25">
      <c r="B1728"/>
    </row>
    <row r="1729" spans="2:2" x14ac:dyDescent="0.25">
      <c r="B1729"/>
    </row>
    <row r="1730" spans="2:2" x14ac:dyDescent="0.25">
      <c r="B1730"/>
    </row>
    <row r="1731" spans="2:2" x14ac:dyDescent="0.25">
      <c r="B1731"/>
    </row>
    <row r="1732" spans="2:2" x14ac:dyDescent="0.25">
      <c r="B1732"/>
    </row>
    <row r="1733" spans="2:2" x14ac:dyDescent="0.25">
      <c r="B1733"/>
    </row>
    <row r="1734" spans="2:2" x14ac:dyDescent="0.25">
      <c r="B1734"/>
    </row>
    <row r="1735" spans="2:2" x14ac:dyDescent="0.25">
      <c r="B1735"/>
    </row>
    <row r="1736" spans="2:2" x14ac:dyDescent="0.25">
      <c r="B1736"/>
    </row>
    <row r="1737" spans="2:2" x14ac:dyDescent="0.25">
      <c r="B1737"/>
    </row>
    <row r="1738" spans="2:2" x14ac:dyDescent="0.25">
      <c r="B1738"/>
    </row>
    <row r="1739" spans="2:2" x14ac:dyDescent="0.25">
      <c r="B1739"/>
    </row>
    <row r="1740" spans="2:2" x14ac:dyDescent="0.25">
      <c r="B1740"/>
    </row>
    <row r="1741" spans="2:2" x14ac:dyDescent="0.25">
      <c r="B1741"/>
    </row>
    <row r="1742" spans="2:2" x14ac:dyDescent="0.25">
      <c r="B1742"/>
    </row>
    <row r="1743" spans="2:2" x14ac:dyDescent="0.25">
      <c r="B1743"/>
    </row>
    <row r="1744" spans="2:2" x14ac:dyDescent="0.25">
      <c r="B1744"/>
    </row>
    <row r="1745" spans="2:2" x14ac:dyDescent="0.25">
      <c r="B1745"/>
    </row>
    <row r="1746" spans="2:2" x14ac:dyDescent="0.25">
      <c r="B1746"/>
    </row>
    <row r="1747" spans="2:2" x14ac:dyDescent="0.25">
      <c r="B1747"/>
    </row>
    <row r="1748" spans="2:2" x14ac:dyDescent="0.25">
      <c r="B1748"/>
    </row>
    <row r="1749" spans="2:2" x14ac:dyDescent="0.25">
      <c r="B1749"/>
    </row>
    <row r="1750" spans="2:2" x14ac:dyDescent="0.25">
      <c r="B1750"/>
    </row>
    <row r="1751" spans="2:2" x14ac:dyDescent="0.25">
      <c r="B1751"/>
    </row>
    <row r="1752" spans="2:2" x14ac:dyDescent="0.25">
      <c r="B1752"/>
    </row>
    <row r="1753" spans="2:2" x14ac:dyDescent="0.25">
      <c r="B1753"/>
    </row>
    <row r="1754" spans="2:2" x14ac:dyDescent="0.25">
      <c r="B1754"/>
    </row>
    <row r="1755" spans="2:2" x14ac:dyDescent="0.25">
      <c r="B1755"/>
    </row>
    <row r="1756" spans="2:2" x14ac:dyDescent="0.25">
      <c r="B1756"/>
    </row>
    <row r="1757" spans="2:2" x14ac:dyDescent="0.25">
      <c r="B1757"/>
    </row>
    <row r="1758" spans="2:2" x14ac:dyDescent="0.25">
      <c r="B1758"/>
    </row>
    <row r="1759" spans="2:2" x14ac:dyDescent="0.25">
      <c r="B1759"/>
    </row>
    <row r="1760" spans="2:2" x14ac:dyDescent="0.25">
      <c r="B1760"/>
    </row>
    <row r="1761" spans="2:2" x14ac:dyDescent="0.25">
      <c r="B1761"/>
    </row>
    <row r="1762" spans="2:2" x14ac:dyDescent="0.25">
      <c r="B1762"/>
    </row>
    <row r="1763" spans="2:2" x14ac:dyDescent="0.25">
      <c r="B1763"/>
    </row>
    <row r="1764" spans="2:2" x14ac:dyDescent="0.25">
      <c r="B1764"/>
    </row>
    <row r="1765" spans="2:2" x14ac:dyDescent="0.25">
      <c r="B1765"/>
    </row>
    <row r="1766" spans="2:2" x14ac:dyDescent="0.25">
      <c r="B1766"/>
    </row>
    <row r="1767" spans="2:2" x14ac:dyDescent="0.25">
      <c r="B1767"/>
    </row>
    <row r="1768" spans="2:2" x14ac:dyDescent="0.25">
      <c r="B1768"/>
    </row>
    <row r="1769" spans="2:2" x14ac:dyDescent="0.25">
      <c r="B1769"/>
    </row>
    <row r="1770" spans="2:2" x14ac:dyDescent="0.25">
      <c r="B1770"/>
    </row>
    <row r="1771" spans="2:2" x14ac:dyDescent="0.25">
      <c r="B1771"/>
    </row>
    <row r="1772" spans="2:2" x14ac:dyDescent="0.25">
      <c r="B1772"/>
    </row>
    <row r="1773" spans="2:2" x14ac:dyDescent="0.25">
      <c r="B1773"/>
    </row>
    <row r="1774" spans="2:2" x14ac:dyDescent="0.25">
      <c r="B1774"/>
    </row>
    <row r="1775" spans="2:2" x14ac:dyDescent="0.25">
      <c r="B1775"/>
    </row>
    <row r="1776" spans="2:2" x14ac:dyDescent="0.25">
      <c r="B1776"/>
    </row>
    <row r="1777" spans="2:2" x14ac:dyDescent="0.25">
      <c r="B1777"/>
    </row>
    <row r="1778" spans="2:2" x14ac:dyDescent="0.25">
      <c r="B1778"/>
    </row>
    <row r="1779" spans="2:2" x14ac:dyDescent="0.25">
      <c r="B1779"/>
    </row>
    <row r="1780" spans="2:2" x14ac:dyDescent="0.25">
      <c r="B1780"/>
    </row>
    <row r="1781" spans="2:2" x14ac:dyDescent="0.25">
      <c r="B1781"/>
    </row>
    <row r="1782" spans="2:2" x14ac:dyDescent="0.25">
      <c r="B1782"/>
    </row>
    <row r="1783" spans="2:2" x14ac:dyDescent="0.25">
      <c r="B1783"/>
    </row>
    <row r="1784" spans="2:2" x14ac:dyDescent="0.25">
      <c r="B1784"/>
    </row>
    <row r="1785" spans="2:2" x14ac:dyDescent="0.25">
      <c r="B1785"/>
    </row>
    <row r="1786" spans="2:2" x14ac:dyDescent="0.25">
      <c r="B1786"/>
    </row>
    <row r="1787" spans="2:2" x14ac:dyDescent="0.25">
      <c r="B1787"/>
    </row>
    <row r="1788" spans="2:2" x14ac:dyDescent="0.25">
      <c r="B1788"/>
    </row>
    <row r="1789" spans="2:2" x14ac:dyDescent="0.25">
      <c r="B1789"/>
    </row>
    <row r="1790" spans="2:2" x14ac:dyDescent="0.25">
      <c r="B1790"/>
    </row>
    <row r="1791" spans="2:2" x14ac:dyDescent="0.25">
      <c r="B1791"/>
    </row>
    <row r="1792" spans="2:2" x14ac:dyDescent="0.25">
      <c r="B1792"/>
    </row>
    <row r="1793" spans="2:2" x14ac:dyDescent="0.25">
      <c r="B1793"/>
    </row>
    <row r="1794" spans="2:2" x14ac:dyDescent="0.25">
      <c r="B1794"/>
    </row>
    <row r="1795" spans="2:2" x14ac:dyDescent="0.25">
      <c r="B1795"/>
    </row>
    <row r="1796" spans="2:2" x14ac:dyDescent="0.25">
      <c r="B1796"/>
    </row>
    <row r="1797" spans="2:2" x14ac:dyDescent="0.25">
      <c r="B1797"/>
    </row>
    <row r="1798" spans="2:2" x14ac:dyDescent="0.25">
      <c r="B1798"/>
    </row>
    <row r="1799" spans="2:2" x14ac:dyDescent="0.25">
      <c r="B1799"/>
    </row>
    <row r="1800" spans="2:2" x14ac:dyDescent="0.25">
      <c r="B1800"/>
    </row>
    <row r="1801" spans="2:2" x14ac:dyDescent="0.25">
      <c r="B1801"/>
    </row>
    <row r="1802" spans="2:2" x14ac:dyDescent="0.25">
      <c r="B1802"/>
    </row>
    <row r="1803" spans="2:2" x14ac:dyDescent="0.25">
      <c r="B1803"/>
    </row>
    <row r="1804" spans="2:2" x14ac:dyDescent="0.25">
      <c r="B1804"/>
    </row>
    <row r="1805" spans="2:2" x14ac:dyDescent="0.25">
      <c r="B1805"/>
    </row>
    <row r="1806" spans="2:2" x14ac:dyDescent="0.25">
      <c r="B1806"/>
    </row>
    <row r="1807" spans="2:2" x14ac:dyDescent="0.25">
      <c r="B1807"/>
    </row>
    <row r="1808" spans="2:2" x14ac:dyDescent="0.25">
      <c r="B1808"/>
    </row>
    <row r="1809" spans="2:2" x14ac:dyDescent="0.25">
      <c r="B1809"/>
    </row>
    <row r="1810" spans="2:2" x14ac:dyDescent="0.25">
      <c r="B1810"/>
    </row>
    <row r="1811" spans="2:2" x14ac:dyDescent="0.25">
      <c r="B1811"/>
    </row>
    <row r="1812" spans="2:2" x14ac:dyDescent="0.25">
      <c r="B1812"/>
    </row>
    <row r="1813" spans="2:2" x14ac:dyDescent="0.25">
      <c r="B1813"/>
    </row>
    <row r="1814" spans="2:2" x14ac:dyDescent="0.25">
      <c r="B1814"/>
    </row>
    <row r="1815" spans="2:2" x14ac:dyDescent="0.25">
      <c r="B1815"/>
    </row>
    <row r="1816" spans="2:2" x14ac:dyDescent="0.25">
      <c r="B1816"/>
    </row>
    <row r="1817" spans="2:2" x14ac:dyDescent="0.25">
      <c r="B1817"/>
    </row>
    <row r="1818" spans="2:2" x14ac:dyDescent="0.25">
      <c r="B1818"/>
    </row>
    <row r="1819" spans="2:2" x14ac:dyDescent="0.25">
      <c r="B1819"/>
    </row>
    <row r="1820" spans="2:2" x14ac:dyDescent="0.25">
      <c r="B1820"/>
    </row>
    <row r="1821" spans="2:2" x14ac:dyDescent="0.25">
      <c r="B1821"/>
    </row>
    <row r="1822" spans="2:2" x14ac:dyDescent="0.25">
      <c r="B1822"/>
    </row>
    <row r="1823" spans="2:2" x14ac:dyDescent="0.25">
      <c r="B1823"/>
    </row>
    <row r="1824" spans="2:2" x14ac:dyDescent="0.25">
      <c r="B1824"/>
    </row>
    <row r="1825" spans="2:2" x14ac:dyDescent="0.25">
      <c r="B1825"/>
    </row>
    <row r="1826" spans="2:2" x14ac:dyDescent="0.25">
      <c r="B1826"/>
    </row>
    <row r="1827" spans="2:2" x14ac:dyDescent="0.25">
      <c r="B1827"/>
    </row>
    <row r="1828" spans="2:2" x14ac:dyDescent="0.25">
      <c r="B1828"/>
    </row>
    <row r="1829" spans="2:2" x14ac:dyDescent="0.25">
      <c r="B1829"/>
    </row>
    <row r="1830" spans="2:2" x14ac:dyDescent="0.25">
      <c r="B1830"/>
    </row>
    <row r="1831" spans="2:2" x14ac:dyDescent="0.25">
      <c r="B1831"/>
    </row>
    <row r="1832" spans="2:2" x14ac:dyDescent="0.25">
      <c r="B1832"/>
    </row>
    <row r="1833" spans="2:2" x14ac:dyDescent="0.25">
      <c r="B1833"/>
    </row>
    <row r="1834" spans="2:2" x14ac:dyDescent="0.25">
      <c r="B1834"/>
    </row>
    <row r="1835" spans="2:2" x14ac:dyDescent="0.25">
      <c r="B1835"/>
    </row>
    <row r="1836" spans="2:2" x14ac:dyDescent="0.25">
      <c r="B1836"/>
    </row>
    <row r="1837" spans="2:2" x14ac:dyDescent="0.25">
      <c r="B1837"/>
    </row>
    <row r="1838" spans="2:2" x14ac:dyDescent="0.25">
      <c r="B1838"/>
    </row>
    <row r="1839" spans="2:2" x14ac:dyDescent="0.25">
      <c r="B1839"/>
    </row>
    <row r="1840" spans="2:2" x14ac:dyDescent="0.25">
      <c r="B1840"/>
    </row>
    <row r="1841" spans="2:2" x14ac:dyDescent="0.25">
      <c r="B1841"/>
    </row>
    <row r="1842" spans="2:2" x14ac:dyDescent="0.25">
      <c r="B1842"/>
    </row>
    <row r="1843" spans="2:2" x14ac:dyDescent="0.25">
      <c r="B1843"/>
    </row>
    <row r="1844" spans="2:2" x14ac:dyDescent="0.25">
      <c r="B1844"/>
    </row>
    <row r="1845" spans="2:2" x14ac:dyDescent="0.25">
      <c r="B1845"/>
    </row>
    <row r="1846" spans="2:2" x14ac:dyDescent="0.25">
      <c r="B1846"/>
    </row>
    <row r="1847" spans="2:2" x14ac:dyDescent="0.25">
      <c r="B1847"/>
    </row>
    <row r="1848" spans="2:2" x14ac:dyDescent="0.25">
      <c r="B1848"/>
    </row>
    <row r="1849" spans="2:2" x14ac:dyDescent="0.25">
      <c r="B1849"/>
    </row>
    <row r="1850" spans="2:2" x14ac:dyDescent="0.25">
      <c r="B1850"/>
    </row>
    <row r="1851" spans="2:2" x14ac:dyDescent="0.25">
      <c r="B1851"/>
    </row>
    <row r="1852" spans="2:2" x14ac:dyDescent="0.25">
      <c r="B1852"/>
    </row>
    <row r="1853" spans="2:2" x14ac:dyDescent="0.25">
      <c r="B1853"/>
    </row>
    <row r="1854" spans="2:2" x14ac:dyDescent="0.25">
      <c r="B1854"/>
    </row>
    <row r="1855" spans="2:2" x14ac:dyDescent="0.25">
      <c r="B1855"/>
    </row>
    <row r="1856" spans="2:2" x14ac:dyDescent="0.25">
      <c r="B1856"/>
    </row>
    <row r="1857" spans="2:2" x14ac:dyDescent="0.25">
      <c r="B1857"/>
    </row>
    <row r="1858" spans="2:2" x14ac:dyDescent="0.25">
      <c r="B1858"/>
    </row>
    <row r="1859" spans="2:2" x14ac:dyDescent="0.25">
      <c r="B1859"/>
    </row>
    <row r="1860" spans="2:2" x14ac:dyDescent="0.25">
      <c r="B1860"/>
    </row>
    <row r="1861" spans="2:2" x14ac:dyDescent="0.25">
      <c r="B1861"/>
    </row>
    <row r="1862" spans="2:2" x14ac:dyDescent="0.25">
      <c r="B1862"/>
    </row>
    <row r="1863" spans="2:2" x14ac:dyDescent="0.25">
      <c r="B1863"/>
    </row>
    <row r="1864" spans="2:2" x14ac:dyDescent="0.25">
      <c r="B1864"/>
    </row>
    <row r="1865" spans="2:2" x14ac:dyDescent="0.25">
      <c r="B1865"/>
    </row>
    <row r="1866" spans="2:2" x14ac:dyDescent="0.25">
      <c r="B1866"/>
    </row>
    <row r="1867" spans="2:2" x14ac:dyDescent="0.25">
      <c r="B1867"/>
    </row>
    <row r="1868" spans="2:2" x14ac:dyDescent="0.25">
      <c r="B1868"/>
    </row>
    <row r="1869" spans="2:2" x14ac:dyDescent="0.25">
      <c r="B1869"/>
    </row>
    <row r="1870" spans="2:2" x14ac:dyDescent="0.25">
      <c r="B1870"/>
    </row>
    <row r="1871" spans="2:2" x14ac:dyDescent="0.25">
      <c r="B1871"/>
    </row>
    <row r="1872" spans="2:2" x14ac:dyDescent="0.25">
      <c r="B1872"/>
    </row>
    <row r="1873" spans="2:2" x14ac:dyDescent="0.25">
      <c r="B1873"/>
    </row>
    <row r="1874" spans="2:2" x14ac:dyDescent="0.25">
      <c r="B1874"/>
    </row>
    <row r="1875" spans="2:2" x14ac:dyDescent="0.25">
      <c r="B1875"/>
    </row>
    <row r="1876" spans="2:2" x14ac:dyDescent="0.25">
      <c r="B1876"/>
    </row>
    <row r="1877" spans="2:2" x14ac:dyDescent="0.25">
      <c r="B1877"/>
    </row>
    <row r="1878" spans="2:2" x14ac:dyDescent="0.25">
      <c r="B1878"/>
    </row>
    <row r="1879" spans="2:2" x14ac:dyDescent="0.25">
      <c r="B1879"/>
    </row>
    <row r="1880" spans="2:2" x14ac:dyDescent="0.25">
      <c r="B1880"/>
    </row>
    <row r="1881" spans="2:2" x14ac:dyDescent="0.25">
      <c r="B1881"/>
    </row>
    <row r="1882" spans="2:2" x14ac:dyDescent="0.25">
      <c r="B1882"/>
    </row>
    <row r="1883" spans="2:2" x14ac:dyDescent="0.25">
      <c r="B1883"/>
    </row>
    <row r="1884" spans="2:2" x14ac:dyDescent="0.25">
      <c r="B1884"/>
    </row>
    <row r="1885" spans="2:2" x14ac:dyDescent="0.25">
      <c r="B1885"/>
    </row>
    <row r="1886" spans="2:2" x14ac:dyDescent="0.25">
      <c r="B1886"/>
    </row>
    <row r="1887" spans="2:2" x14ac:dyDescent="0.25">
      <c r="B1887"/>
    </row>
    <row r="1888" spans="2:2" x14ac:dyDescent="0.25">
      <c r="B1888"/>
    </row>
    <row r="1889" spans="2:2" x14ac:dyDescent="0.25">
      <c r="B1889"/>
    </row>
    <row r="1890" spans="2:2" x14ac:dyDescent="0.25">
      <c r="B1890"/>
    </row>
    <row r="1891" spans="2:2" x14ac:dyDescent="0.25">
      <c r="B1891"/>
    </row>
    <row r="1892" spans="2:2" x14ac:dyDescent="0.25">
      <c r="B1892"/>
    </row>
    <row r="1893" spans="2:2" x14ac:dyDescent="0.25">
      <c r="B1893"/>
    </row>
    <row r="1894" spans="2:2" x14ac:dyDescent="0.25">
      <c r="B1894"/>
    </row>
    <row r="1895" spans="2:2" x14ac:dyDescent="0.25">
      <c r="B1895"/>
    </row>
    <row r="1896" spans="2:2" x14ac:dyDescent="0.25">
      <c r="B1896"/>
    </row>
    <row r="1897" spans="2:2" x14ac:dyDescent="0.25">
      <c r="B1897"/>
    </row>
    <row r="1898" spans="2:2" x14ac:dyDescent="0.25">
      <c r="B1898"/>
    </row>
    <row r="1899" spans="2:2" x14ac:dyDescent="0.25">
      <c r="B1899"/>
    </row>
    <row r="1900" spans="2:2" x14ac:dyDescent="0.25">
      <c r="B1900"/>
    </row>
    <row r="1901" spans="2:2" x14ac:dyDescent="0.25">
      <c r="B1901"/>
    </row>
    <row r="1902" spans="2:2" x14ac:dyDescent="0.25">
      <c r="B1902"/>
    </row>
    <row r="1903" spans="2:2" x14ac:dyDescent="0.25">
      <c r="B1903"/>
    </row>
    <row r="1904" spans="2:2" x14ac:dyDescent="0.25">
      <c r="B1904"/>
    </row>
    <row r="1905" spans="2:2" x14ac:dyDescent="0.25">
      <c r="B1905"/>
    </row>
    <row r="1906" spans="2:2" x14ac:dyDescent="0.25">
      <c r="B1906"/>
    </row>
    <row r="1907" spans="2:2" x14ac:dyDescent="0.25">
      <c r="B1907"/>
    </row>
    <row r="1908" spans="2:2" x14ac:dyDescent="0.25">
      <c r="B1908"/>
    </row>
    <row r="1909" spans="2:2" x14ac:dyDescent="0.25">
      <c r="B1909"/>
    </row>
    <row r="1910" spans="2:2" x14ac:dyDescent="0.25">
      <c r="B1910"/>
    </row>
    <row r="1911" spans="2:2" x14ac:dyDescent="0.25">
      <c r="B1911"/>
    </row>
    <row r="1912" spans="2:2" x14ac:dyDescent="0.25">
      <c r="B1912"/>
    </row>
    <row r="1913" spans="2:2" x14ac:dyDescent="0.25">
      <c r="B1913"/>
    </row>
    <row r="1914" spans="2:2" x14ac:dyDescent="0.25">
      <c r="B1914"/>
    </row>
    <row r="1915" spans="2:2" x14ac:dyDescent="0.25">
      <c r="B1915"/>
    </row>
    <row r="1916" spans="2:2" x14ac:dyDescent="0.25">
      <c r="B1916"/>
    </row>
    <row r="1917" spans="2:2" x14ac:dyDescent="0.25">
      <c r="B1917"/>
    </row>
    <row r="1918" spans="2:2" x14ac:dyDescent="0.25">
      <c r="B1918"/>
    </row>
    <row r="1919" spans="2:2" x14ac:dyDescent="0.25">
      <c r="B1919"/>
    </row>
    <row r="1920" spans="2:2" x14ac:dyDescent="0.25">
      <c r="B1920"/>
    </row>
    <row r="1921" spans="2:2" x14ac:dyDescent="0.25">
      <c r="B1921"/>
    </row>
    <row r="1922" spans="2:2" x14ac:dyDescent="0.25">
      <c r="B1922"/>
    </row>
    <row r="1923" spans="2:2" x14ac:dyDescent="0.25">
      <c r="B1923"/>
    </row>
    <row r="1924" spans="2:2" x14ac:dyDescent="0.25">
      <c r="B1924"/>
    </row>
    <row r="1925" spans="2:2" x14ac:dyDescent="0.25">
      <c r="B1925"/>
    </row>
    <row r="1926" spans="2:2" x14ac:dyDescent="0.25">
      <c r="B1926"/>
    </row>
    <row r="1927" spans="2:2" x14ac:dyDescent="0.25">
      <c r="B1927"/>
    </row>
    <row r="1928" spans="2:2" x14ac:dyDescent="0.25">
      <c r="B1928"/>
    </row>
    <row r="1929" spans="2:2" x14ac:dyDescent="0.25">
      <c r="B1929"/>
    </row>
    <row r="1930" spans="2:2" x14ac:dyDescent="0.25">
      <c r="B1930"/>
    </row>
    <row r="1931" spans="2:2" x14ac:dyDescent="0.25">
      <c r="B1931"/>
    </row>
    <row r="1932" spans="2:2" x14ac:dyDescent="0.25">
      <c r="B1932"/>
    </row>
    <row r="1933" spans="2:2" x14ac:dyDescent="0.25">
      <c r="B1933"/>
    </row>
    <row r="1934" spans="2:2" x14ac:dyDescent="0.25">
      <c r="B1934"/>
    </row>
    <row r="1935" spans="2:2" x14ac:dyDescent="0.25">
      <c r="B1935"/>
    </row>
    <row r="1936" spans="2:2" x14ac:dyDescent="0.25">
      <c r="B1936"/>
    </row>
    <row r="1937" spans="2:2" x14ac:dyDescent="0.25">
      <c r="B1937"/>
    </row>
    <row r="1938" spans="2:2" x14ac:dyDescent="0.25">
      <c r="B1938"/>
    </row>
    <row r="1939" spans="2:2" x14ac:dyDescent="0.25">
      <c r="B1939"/>
    </row>
    <row r="1940" spans="2:2" x14ac:dyDescent="0.25">
      <c r="B1940"/>
    </row>
    <row r="1941" spans="2:2" x14ac:dyDescent="0.25">
      <c r="B1941"/>
    </row>
    <row r="1942" spans="2:2" x14ac:dyDescent="0.25">
      <c r="B1942"/>
    </row>
    <row r="1943" spans="2:2" x14ac:dyDescent="0.25">
      <c r="B1943"/>
    </row>
    <row r="1944" spans="2:2" x14ac:dyDescent="0.25">
      <c r="B1944"/>
    </row>
    <row r="1945" spans="2:2" x14ac:dyDescent="0.25">
      <c r="B1945"/>
    </row>
    <row r="1946" spans="2:2" x14ac:dyDescent="0.25">
      <c r="B1946"/>
    </row>
    <row r="1947" spans="2:2" x14ac:dyDescent="0.25">
      <c r="B1947"/>
    </row>
    <row r="1948" spans="2:2" x14ac:dyDescent="0.25">
      <c r="B1948"/>
    </row>
    <row r="1949" spans="2:2" x14ac:dyDescent="0.25">
      <c r="B1949"/>
    </row>
    <row r="1950" spans="2:2" x14ac:dyDescent="0.25">
      <c r="B1950"/>
    </row>
    <row r="1951" spans="2:2" x14ac:dyDescent="0.25">
      <c r="B1951"/>
    </row>
    <row r="1952" spans="2:2" x14ac:dyDescent="0.25">
      <c r="B1952"/>
    </row>
    <row r="1953" spans="2:2" x14ac:dyDescent="0.25">
      <c r="B1953"/>
    </row>
    <row r="1954" spans="2:2" x14ac:dyDescent="0.25">
      <c r="B1954"/>
    </row>
    <row r="1955" spans="2:2" x14ac:dyDescent="0.25">
      <c r="B1955"/>
    </row>
    <row r="1956" spans="2:2" x14ac:dyDescent="0.25">
      <c r="B1956"/>
    </row>
    <row r="1957" spans="2:2" x14ac:dyDescent="0.25">
      <c r="B1957"/>
    </row>
    <row r="1958" spans="2:2" x14ac:dyDescent="0.25">
      <c r="B1958"/>
    </row>
    <row r="1959" spans="2:2" x14ac:dyDescent="0.25">
      <c r="B1959"/>
    </row>
    <row r="1960" spans="2:2" x14ac:dyDescent="0.25">
      <c r="B1960"/>
    </row>
    <row r="1961" spans="2:2" x14ac:dyDescent="0.25">
      <c r="B1961"/>
    </row>
    <row r="1962" spans="2:2" x14ac:dyDescent="0.25">
      <c r="B1962"/>
    </row>
    <row r="1963" spans="2:2" x14ac:dyDescent="0.25">
      <c r="B1963"/>
    </row>
    <row r="1964" spans="2:2" x14ac:dyDescent="0.25">
      <c r="B1964"/>
    </row>
    <row r="1965" spans="2:2" x14ac:dyDescent="0.25">
      <c r="B1965"/>
    </row>
    <row r="1966" spans="2:2" x14ac:dyDescent="0.25">
      <c r="B1966"/>
    </row>
    <row r="1967" spans="2:2" x14ac:dyDescent="0.25">
      <c r="B1967"/>
    </row>
    <row r="1968" spans="2:2" x14ac:dyDescent="0.25">
      <c r="B1968"/>
    </row>
    <row r="1969" spans="2:2" x14ac:dyDescent="0.25">
      <c r="B1969"/>
    </row>
    <row r="1970" spans="2:2" x14ac:dyDescent="0.25">
      <c r="B1970"/>
    </row>
    <row r="1971" spans="2:2" x14ac:dyDescent="0.25">
      <c r="B1971"/>
    </row>
    <row r="1972" spans="2:2" x14ac:dyDescent="0.25">
      <c r="B1972"/>
    </row>
    <row r="1973" spans="2:2" x14ac:dyDescent="0.25">
      <c r="B1973"/>
    </row>
    <row r="1974" spans="2:2" x14ac:dyDescent="0.25">
      <c r="B1974"/>
    </row>
    <row r="1975" spans="2:2" x14ac:dyDescent="0.25">
      <c r="B1975"/>
    </row>
    <row r="1976" spans="2:2" x14ac:dyDescent="0.25">
      <c r="B1976"/>
    </row>
    <row r="1977" spans="2:2" x14ac:dyDescent="0.25">
      <c r="B1977"/>
    </row>
    <row r="1978" spans="2:2" x14ac:dyDescent="0.25">
      <c r="B1978"/>
    </row>
    <row r="1979" spans="2:2" x14ac:dyDescent="0.25">
      <c r="B1979"/>
    </row>
    <row r="1980" spans="2:2" x14ac:dyDescent="0.25">
      <c r="B1980"/>
    </row>
    <row r="1981" spans="2:2" x14ac:dyDescent="0.25">
      <c r="B1981"/>
    </row>
    <row r="1982" spans="2:2" x14ac:dyDescent="0.25">
      <c r="B1982"/>
    </row>
    <row r="1983" spans="2:2" x14ac:dyDescent="0.25">
      <c r="B1983"/>
    </row>
    <row r="1984" spans="2:2" x14ac:dyDescent="0.25">
      <c r="B1984"/>
    </row>
    <row r="1985" spans="2:2" x14ac:dyDescent="0.25">
      <c r="B1985"/>
    </row>
    <row r="1986" spans="2:2" x14ac:dyDescent="0.25">
      <c r="B1986"/>
    </row>
    <row r="1987" spans="2:2" x14ac:dyDescent="0.25">
      <c r="B1987"/>
    </row>
    <row r="1988" spans="2:2" x14ac:dyDescent="0.25">
      <c r="B1988"/>
    </row>
    <row r="1989" spans="2:2" x14ac:dyDescent="0.25">
      <c r="B1989"/>
    </row>
    <row r="1990" spans="2:2" x14ac:dyDescent="0.25">
      <c r="B1990"/>
    </row>
    <row r="1991" spans="2:2" x14ac:dyDescent="0.25">
      <c r="B1991"/>
    </row>
    <row r="1992" spans="2:2" x14ac:dyDescent="0.25">
      <c r="B1992"/>
    </row>
    <row r="1993" spans="2:2" x14ac:dyDescent="0.25">
      <c r="B1993"/>
    </row>
    <row r="1994" spans="2:2" x14ac:dyDescent="0.25">
      <c r="B1994"/>
    </row>
    <row r="1995" spans="2:2" x14ac:dyDescent="0.25">
      <c r="B1995"/>
    </row>
    <row r="1996" spans="2:2" x14ac:dyDescent="0.25">
      <c r="B1996"/>
    </row>
    <row r="1997" spans="2:2" x14ac:dyDescent="0.25">
      <c r="B1997"/>
    </row>
    <row r="1998" spans="2:2" x14ac:dyDescent="0.25">
      <c r="B1998"/>
    </row>
    <row r="1999" spans="2:2" x14ac:dyDescent="0.25">
      <c r="B1999"/>
    </row>
    <row r="2000" spans="2:2" x14ac:dyDescent="0.25">
      <c r="B2000"/>
    </row>
    <row r="2001" spans="2:2" x14ac:dyDescent="0.25">
      <c r="B2001"/>
    </row>
    <row r="2002" spans="2:2" x14ac:dyDescent="0.25">
      <c r="B2002"/>
    </row>
    <row r="2003" spans="2:2" x14ac:dyDescent="0.25">
      <c r="B2003"/>
    </row>
    <row r="2004" spans="2:2" x14ac:dyDescent="0.25">
      <c r="B2004"/>
    </row>
    <row r="2005" spans="2:2" x14ac:dyDescent="0.25">
      <c r="B2005"/>
    </row>
    <row r="2006" spans="2:2" x14ac:dyDescent="0.25">
      <c r="B2006"/>
    </row>
    <row r="2007" spans="2:2" x14ac:dyDescent="0.25">
      <c r="B2007"/>
    </row>
    <row r="2008" spans="2:2" x14ac:dyDescent="0.25">
      <c r="B2008"/>
    </row>
    <row r="2009" spans="2:2" x14ac:dyDescent="0.25">
      <c r="B2009"/>
    </row>
    <row r="2010" spans="2:2" x14ac:dyDescent="0.25">
      <c r="B2010"/>
    </row>
    <row r="2011" spans="2:2" x14ac:dyDescent="0.25">
      <c r="B2011"/>
    </row>
    <row r="2012" spans="2:2" x14ac:dyDescent="0.25">
      <c r="B2012"/>
    </row>
    <row r="2013" spans="2:2" x14ac:dyDescent="0.25">
      <c r="B2013"/>
    </row>
    <row r="2014" spans="2:2" x14ac:dyDescent="0.25">
      <c r="B2014"/>
    </row>
    <row r="2015" spans="2:2" x14ac:dyDescent="0.25">
      <c r="B2015"/>
    </row>
    <row r="2016" spans="2:2" x14ac:dyDescent="0.25">
      <c r="B2016"/>
    </row>
    <row r="2017" spans="2:2" x14ac:dyDescent="0.25">
      <c r="B2017"/>
    </row>
    <row r="2018" spans="2:2" x14ac:dyDescent="0.25">
      <c r="B2018"/>
    </row>
    <row r="2019" spans="2:2" x14ac:dyDescent="0.25">
      <c r="B2019"/>
    </row>
    <row r="2020" spans="2:2" x14ac:dyDescent="0.25">
      <c r="B2020"/>
    </row>
    <row r="2021" spans="2:2" x14ac:dyDescent="0.25">
      <c r="B2021"/>
    </row>
    <row r="2022" spans="2:2" x14ac:dyDescent="0.25">
      <c r="B2022"/>
    </row>
    <row r="2023" spans="2:2" x14ac:dyDescent="0.25">
      <c r="B2023"/>
    </row>
    <row r="2024" spans="2:2" x14ac:dyDescent="0.25">
      <c r="B2024"/>
    </row>
    <row r="2025" spans="2:2" x14ac:dyDescent="0.25">
      <c r="B2025"/>
    </row>
    <row r="2026" spans="2:2" x14ac:dyDescent="0.25">
      <c r="B2026"/>
    </row>
    <row r="2027" spans="2:2" x14ac:dyDescent="0.25">
      <c r="B2027"/>
    </row>
    <row r="2028" spans="2:2" x14ac:dyDescent="0.25">
      <c r="B2028"/>
    </row>
    <row r="2029" spans="2:2" x14ac:dyDescent="0.25">
      <c r="B2029"/>
    </row>
    <row r="2030" spans="2:2" x14ac:dyDescent="0.25">
      <c r="B2030"/>
    </row>
    <row r="2031" spans="2:2" x14ac:dyDescent="0.25">
      <c r="B2031"/>
    </row>
    <row r="2032" spans="2:2" x14ac:dyDescent="0.25">
      <c r="B2032"/>
    </row>
    <row r="2033" spans="2:2" x14ac:dyDescent="0.25">
      <c r="B2033"/>
    </row>
    <row r="2034" spans="2:2" x14ac:dyDescent="0.25">
      <c r="B2034"/>
    </row>
    <row r="2035" spans="2:2" x14ac:dyDescent="0.25">
      <c r="B2035"/>
    </row>
    <row r="2036" spans="2:2" x14ac:dyDescent="0.25">
      <c r="B2036"/>
    </row>
    <row r="2037" spans="2:2" x14ac:dyDescent="0.25">
      <c r="B2037"/>
    </row>
    <row r="2038" spans="2:2" x14ac:dyDescent="0.25">
      <c r="B2038"/>
    </row>
    <row r="2039" spans="2:2" x14ac:dyDescent="0.25">
      <c r="B2039"/>
    </row>
    <row r="2040" spans="2:2" x14ac:dyDescent="0.25">
      <c r="B2040"/>
    </row>
    <row r="2041" spans="2:2" x14ac:dyDescent="0.25">
      <c r="B2041"/>
    </row>
    <row r="2042" spans="2:2" x14ac:dyDescent="0.25">
      <c r="B2042"/>
    </row>
    <row r="2043" spans="2:2" x14ac:dyDescent="0.25">
      <c r="B2043"/>
    </row>
    <row r="2044" spans="2:2" x14ac:dyDescent="0.25">
      <c r="B2044"/>
    </row>
    <row r="2045" spans="2:2" x14ac:dyDescent="0.25">
      <c r="B2045"/>
    </row>
    <row r="2046" spans="2:2" x14ac:dyDescent="0.25">
      <c r="B2046"/>
    </row>
    <row r="2047" spans="2:2" x14ac:dyDescent="0.25">
      <c r="B2047"/>
    </row>
    <row r="2048" spans="2:2" x14ac:dyDescent="0.25">
      <c r="B2048"/>
    </row>
    <row r="2049" spans="2:2" x14ac:dyDescent="0.25">
      <c r="B2049"/>
    </row>
    <row r="2050" spans="2:2" x14ac:dyDescent="0.25">
      <c r="B2050"/>
    </row>
    <row r="2051" spans="2:2" x14ac:dyDescent="0.25">
      <c r="B2051"/>
    </row>
    <row r="2052" spans="2:2" x14ac:dyDescent="0.25">
      <c r="B2052"/>
    </row>
    <row r="2053" spans="2:2" x14ac:dyDescent="0.25">
      <c r="B2053"/>
    </row>
    <row r="2054" spans="2:2" x14ac:dyDescent="0.25">
      <c r="B2054"/>
    </row>
    <row r="2055" spans="2:2" x14ac:dyDescent="0.25">
      <c r="B2055"/>
    </row>
    <row r="2056" spans="2:2" x14ac:dyDescent="0.25">
      <c r="B2056"/>
    </row>
    <row r="2057" spans="2:2" x14ac:dyDescent="0.25">
      <c r="B2057"/>
    </row>
    <row r="2058" spans="2:2" x14ac:dyDescent="0.25">
      <c r="B2058"/>
    </row>
    <row r="2059" spans="2:2" x14ac:dyDescent="0.25">
      <c r="B2059"/>
    </row>
    <row r="2060" spans="2:2" x14ac:dyDescent="0.25">
      <c r="B2060"/>
    </row>
    <row r="2061" spans="2:2" x14ac:dyDescent="0.25">
      <c r="B2061"/>
    </row>
    <row r="2062" spans="2:2" x14ac:dyDescent="0.25">
      <c r="B2062"/>
    </row>
    <row r="2063" spans="2:2" x14ac:dyDescent="0.25">
      <c r="B2063"/>
    </row>
    <row r="2064" spans="2:2" x14ac:dyDescent="0.25">
      <c r="B2064"/>
    </row>
    <row r="2065" spans="2:2" x14ac:dyDescent="0.25">
      <c r="B2065"/>
    </row>
    <row r="2066" spans="2:2" x14ac:dyDescent="0.25">
      <c r="B2066"/>
    </row>
    <row r="2067" spans="2:2" x14ac:dyDescent="0.25">
      <c r="B2067"/>
    </row>
    <row r="2068" spans="2:2" x14ac:dyDescent="0.25">
      <c r="B2068"/>
    </row>
    <row r="2069" spans="2:2" x14ac:dyDescent="0.25">
      <c r="B2069"/>
    </row>
    <row r="2070" spans="2:2" x14ac:dyDescent="0.25">
      <c r="B2070"/>
    </row>
    <row r="2071" spans="2:2" x14ac:dyDescent="0.25">
      <c r="B2071"/>
    </row>
    <row r="2072" spans="2:2" x14ac:dyDescent="0.25">
      <c r="B2072"/>
    </row>
    <row r="2073" spans="2:2" x14ac:dyDescent="0.25">
      <c r="B2073"/>
    </row>
    <row r="2074" spans="2:2" x14ac:dyDescent="0.25">
      <c r="B2074"/>
    </row>
    <row r="2075" spans="2:2" x14ac:dyDescent="0.25">
      <c r="B2075"/>
    </row>
    <row r="2076" spans="2:2" x14ac:dyDescent="0.25">
      <c r="B2076"/>
    </row>
    <row r="2077" spans="2:2" x14ac:dyDescent="0.25">
      <c r="B2077"/>
    </row>
    <row r="2078" spans="2:2" x14ac:dyDescent="0.25">
      <c r="B2078"/>
    </row>
    <row r="2079" spans="2:2" x14ac:dyDescent="0.25">
      <c r="B2079"/>
    </row>
    <row r="2080" spans="2:2" x14ac:dyDescent="0.25">
      <c r="B2080"/>
    </row>
    <row r="2081" spans="2:2" x14ac:dyDescent="0.25">
      <c r="B2081"/>
    </row>
    <row r="2082" spans="2:2" x14ac:dyDescent="0.25">
      <c r="B2082"/>
    </row>
    <row r="2083" spans="2:2" x14ac:dyDescent="0.25">
      <c r="B2083"/>
    </row>
    <row r="2084" spans="2:2" x14ac:dyDescent="0.25">
      <c r="B2084"/>
    </row>
    <row r="2085" spans="2:2" x14ac:dyDescent="0.25">
      <c r="B2085"/>
    </row>
    <row r="2086" spans="2:2" x14ac:dyDescent="0.25">
      <c r="B2086"/>
    </row>
    <row r="2087" spans="2:2" x14ac:dyDescent="0.25">
      <c r="B2087"/>
    </row>
    <row r="2088" spans="2:2" x14ac:dyDescent="0.25">
      <c r="B2088"/>
    </row>
    <row r="2089" spans="2:2" x14ac:dyDescent="0.25">
      <c r="B2089"/>
    </row>
    <row r="2090" spans="2:2" x14ac:dyDescent="0.25">
      <c r="B2090"/>
    </row>
    <row r="2091" spans="2:2" x14ac:dyDescent="0.25">
      <c r="B2091"/>
    </row>
    <row r="2092" spans="2:2" x14ac:dyDescent="0.25">
      <c r="B2092"/>
    </row>
    <row r="2093" spans="2:2" x14ac:dyDescent="0.25">
      <c r="B2093"/>
    </row>
    <row r="2094" spans="2:2" x14ac:dyDescent="0.25">
      <c r="B2094"/>
    </row>
    <row r="2095" spans="2:2" x14ac:dyDescent="0.25">
      <c r="B2095"/>
    </row>
    <row r="2096" spans="2:2" x14ac:dyDescent="0.25">
      <c r="B2096"/>
    </row>
    <row r="2097" spans="2:2" x14ac:dyDescent="0.25">
      <c r="B2097"/>
    </row>
    <row r="2098" spans="2:2" x14ac:dyDescent="0.25">
      <c r="B2098"/>
    </row>
    <row r="2099" spans="2:2" x14ac:dyDescent="0.25">
      <c r="B2099"/>
    </row>
    <row r="2100" spans="2:2" x14ac:dyDescent="0.25">
      <c r="B2100"/>
    </row>
    <row r="2101" spans="2:2" x14ac:dyDescent="0.25">
      <c r="B2101"/>
    </row>
    <row r="2102" spans="2:2" x14ac:dyDescent="0.25">
      <c r="B2102"/>
    </row>
    <row r="2103" spans="2:2" x14ac:dyDescent="0.25">
      <c r="B2103"/>
    </row>
    <row r="2104" spans="2:2" x14ac:dyDescent="0.25">
      <c r="B2104"/>
    </row>
    <row r="2105" spans="2:2" x14ac:dyDescent="0.25">
      <c r="B2105"/>
    </row>
    <row r="2106" spans="2:2" x14ac:dyDescent="0.25">
      <c r="B2106"/>
    </row>
    <row r="2107" spans="2:2" x14ac:dyDescent="0.25">
      <c r="B2107"/>
    </row>
    <row r="2108" spans="2:2" x14ac:dyDescent="0.25">
      <c r="B2108"/>
    </row>
    <row r="2109" spans="2:2" x14ac:dyDescent="0.25">
      <c r="B2109"/>
    </row>
    <row r="2110" spans="2:2" x14ac:dyDescent="0.25">
      <c r="B2110"/>
    </row>
    <row r="2111" spans="2:2" x14ac:dyDescent="0.25">
      <c r="B2111"/>
    </row>
    <row r="2112" spans="2:2" x14ac:dyDescent="0.25">
      <c r="B2112"/>
    </row>
    <row r="2113" spans="2:2" x14ac:dyDescent="0.25">
      <c r="B2113"/>
    </row>
    <row r="2114" spans="2:2" x14ac:dyDescent="0.25">
      <c r="B2114"/>
    </row>
    <row r="2115" spans="2:2" x14ac:dyDescent="0.25">
      <c r="B2115"/>
    </row>
    <row r="2116" spans="2:2" x14ac:dyDescent="0.25">
      <c r="B2116"/>
    </row>
    <row r="2117" spans="2:2" x14ac:dyDescent="0.25">
      <c r="B2117"/>
    </row>
    <row r="2118" spans="2:2" x14ac:dyDescent="0.25">
      <c r="B2118"/>
    </row>
    <row r="2119" spans="2:2" x14ac:dyDescent="0.25">
      <c r="B2119"/>
    </row>
    <row r="2120" spans="2:2" x14ac:dyDescent="0.25">
      <c r="B2120"/>
    </row>
    <row r="2121" spans="2:2" x14ac:dyDescent="0.25">
      <c r="B2121"/>
    </row>
    <row r="2122" spans="2:2" x14ac:dyDescent="0.25">
      <c r="B2122"/>
    </row>
    <row r="2123" spans="2:2" x14ac:dyDescent="0.25">
      <c r="B2123"/>
    </row>
    <row r="2124" spans="2:2" x14ac:dyDescent="0.25">
      <c r="B2124"/>
    </row>
    <row r="2125" spans="2:2" x14ac:dyDescent="0.25">
      <c r="B2125"/>
    </row>
    <row r="2126" spans="2:2" x14ac:dyDescent="0.25">
      <c r="B2126"/>
    </row>
    <row r="2127" spans="2:2" x14ac:dyDescent="0.25">
      <c r="B2127"/>
    </row>
    <row r="2128" spans="2:2" x14ac:dyDescent="0.25">
      <c r="B2128"/>
    </row>
    <row r="2129" spans="2:2" x14ac:dyDescent="0.25">
      <c r="B2129"/>
    </row>
    <row r="2130" spans="2:2" x14ac:dyDescent="0.25">
      <c r="B2130"/>
    </row>
    <row r="2131" spans="2:2" x14ac:dyDescent="0.25">
      <c r="B2131"/>
    </row>
    <row r="2132" spans="2:2" x14ac:dyDescent="0.25">
      <c r="B2132"/>
    </row>
    <row r="2133" spans="2:2" x14ac:dyDescent="0.25">
      <c r="B2133"/>
    </row>
    <row r="2134" spans="2:2" x14ac:dyDescent="0.25">
      <c r="B2134"/>
    </row>
    <row r="2135" spans="2:2" x14ac:dyDescent="0.25">
      <c r="B2135"/>
    </row>
    <row r="2136" spans="2:2" x14ac:dyDescent="0.25">
      <c r="B2136"/>
    </row>
    <row r="2137" spans="2:2" x14ac:dyDescent="0.25">
      <c r="B2137"/>
    </row>
    <row r="2138" spans="2:2" x14ac:dyDescent="0.25">
      <c r="B2138"/>
    </row>
    <row r="2139" spans="2:2" x14ac:dyDescent="0.25">
      <c r="B2139"/>
    </row>
    <row r="2140" spans="2:2" x14ac:dyDescent="0.25">
      <c r="B2140"/>
    </row>
    <row r="2141" spans="2:2" x14ac:dyDescent="0.25">
      <c r="B2141"/>
    </row>
    <row r="2142" spans="2:2" x14ac:dyDescent="0.25">
      <c r="B2142"/>
    </row>
    <row r="2143" spans="2:2" x14ac:dyDescent="0.25">
      <c r="B2143"/>
    </row>
    <row r="2144" spans="2:2" x14ac:dyDescent="0.25">
      <c r="B2144"/>
    </row>
    <row r="2145" spans="2:2" x14ac:dyDescent="0.25">
      <c r="B2145"/>
    </row>
    <row r="2146" spans="2:2" x14ac:dyDescent="0.25">
      <c r="B2146"/>
    </row>
    <row r="2147" spans="2:2" x14ac:dyDescent="0.25">
      <c r="B2147"/>
    </row>
    <row r="2148" spans="2:2" x14ac:dyDescent="0.25">
      <c r="B2148"/>
    </row>
    <row r="2149" spans="2:2" x14ac:dyDescent="0.25">
      <c r="B2149"/>
    </row>
    <row r="2150" spans="2:2" x14ac:dyDescent="0.25">
      <c r="B2150"/>
    </row>
    <row r="2151" spans="2:2" x14ac:dyDescent="0.25">
      <c r="B2151"/>
    </row>
    <row r="2152" spans="2:2" x14ac:dyDescent="0.25">
      <c r="B2152"/>
    </row>
    <row r="2153" spans="2:2" x14ac:dyDescent="0.25">
      <c r="B2153"/>
    </row>
    <row r="2154" spans="2:2" x14ac:dyDescent="0.25">
      <c r="B2154"/>
    </row>
    <row r="2155" spans="2:2" x14ac:dyDescent="0.25">
      <c r="B2155"/>
    </row>
    <row r="2156" spans="2:2" x14ac:dyDescent="0.25">
      <c r="B2156"/>
    </row>
    <row r="2157" spans="2:2" x14ac:dyDescent="0.25">
      <c r="B2157"/>
    </row>
    <row r="2158" spans="2:2" x14ac:dyDescent="0.25">
      <c r="B2158"/>
    </row>
    <row r="2159" spans="2:2" x14ac:dyDescent="0.25">
      <c r="B2159"/>
    </row>
    <row r="2160" spans="2:2" x14ac:dyDescent="0.25">
      <c r="B2160"/>
    </row>
    <row r="2161" spans="2:2" x14ac:dyDescent="0.25">
      <c r="B2161"/>
    </row>
    <row r="2162" spans="2:2" x14ac:dyDescent="0.25">
      <c r="B2162"/>
    </row>
    <row r="2163" spans="2:2" x14ac:dyDescent="0.25">
      <c r="B2163"/>
    </row>
    <row r="2164" spans="2:2" x14ac:dyDescent="0.25">
      <c r="B2164"/>
    </row>
    <row r="2165" spans="2:2" x14ac:dyDescent="0.25">
      <c r="B2165"/>
    </row>
    <row r="2166" spans="2:2" x14ac:dyDescent="0.25">
      <c r="B2166"/>
    </row>
    <row r="2167" spans="2:2" x14ac:dyDescent="0.25">
      <c r="B2167"/>
    </row>
    <row r="2168" spans="2:2" x14ac:dyDescent="0.25">
      <c r="B2168"/>
    </row>
    <row r="2169" spans="2:2" x14ac:dyDescent="0.25">
      <c r="B2169"/>
    </row>
    <row r="2170" spans="2:2" x14ac:dyDescent="0.25">
      <c r="B2170"/>
    </row>
    <row r="2171" spans="2:2" x14ac:dyDescent="0.25">
      <c r="B2171"/>
    </row>
    <row r="2172" spans="2:2" x14ac:dyDescent="0.25">
      <c r="B2172"/>
    </row>
    <row r="2173" spans="2:2" x14ac:dyDescent="0.25">
      <c r="B2173"/>
    </row>
    <row r="2174" spans="2:2" x14ac:dyDescent="0.25">
      <c r="B2174"/>
    </row>
    <row r="2175" spans="2:2" x14ac:dyDescent="0.25">
      <c r="B2175"/>
    </row>
    <row r="2176" spans="2:2" x14ac:dyDescent="0.25">
      <c r="B2176"/>
    </row>
    <row r="2177" spans="2:2" x14ac:dyDescent="0.25">
      <c r="B2177"/>
    </row>
    <row r="2178" spans="2:2" x14ac:dyDescent="0.25">
      <c r="B2178"/>
    </row>
    <row r="2179" spans="2:2" x14ac:dyDescent="0.25">
      <c r="B2179"/>
    </row>
    <row r="2180" spans="2:2" x14ac:dyDescent="0.25">
      <c r="B2180"/>
    </row>
    <row r="2181" spans="2:2" x14ac:dyDescent="0.25">
      <c r="B2181"/>
    </row>
    <row r="2182" spans="2:2" x14ac:dyDescent="0.25">
      <c r="B2182"/>
    </row>
    <row r="2183" spans="2:2" x14ac:dyDescent="0.25">
      <c r="B2183"/>
    </row>
    <row r="2184" spans="2:2" x14ac:dyDescent="0.25">
      <c r="B2184"/>
    </row>
    <row r="2185" spans="2:2" x14ac:dyDescent="0.25">
      <c r="B2185"/>
    </row>
    <row r="2186" spans="2:2" x14ac:dyDescent="0.25">
      <c r="B2186"/>
    </row>
    <row r="2187" spans="2:2" x14ac:dyDescent="0.25">
      <c r="B2187"/>
    </row>
    <row r="2188" spans="2:2" x14ac:dyDescent="0.25">
      <c r="B2188"/>
    </row>
    <row r="2189" spans="2:2" x14ac:dyDescent="0.25">
      <c r="B2189"/>
    </row>
    <row r="2190" spans="2:2" x14ac:dyDescent="0.25">
      <c r="B2190"/>
    </row>
    <row r="2191" spans="2:2" x14ac:dyDescent="0.25">
      <c r="B2191"/>
    </row>
    <row r="2192" spans="2:2" x14ac:dyDescent="0.25">
      <c r="B2192"/>
    </row>
    <row r="2193" spans="2:2" x14ac:dyDescent="0.25">
      <c r="B2193"/>
    </row>
    <row r="2194" spans="2:2" x14ac:dyDescent="0.25">
      <c r="B2194"/>
    </row>
    <row r="2195" spans="2:2" x14ac:dyDescent="0.25">
      <c r="B2195"/>
    </row>
    <row r="2196" spans="2:2" x14ac:dyDescent="0.25">
      <c r="B2196"/>
    </row>
    <row r="2197" spans="2:2" x14ac:dyDescent="0.25">
      <c r="B2197"/>
    </row>
    <row r="2198" spans="2:2" x14ac:dyDescent="0.25">
      <c r="B2198"/>
    </row>
    <row r="2199" spans="2:2" x14ac:dyDescent="0.25">
      <c r="B2199"/>
    </row>
    <row r="2200" spans="2:2" x14ac:dyDescent="0.25">
      <c r="B2200"/>
    </row>
    <row r="2201" spans="2:2" x14ac:dyDescent="0.25">
      <c r="B2201"/>
    </row>
    <row r="2202" spans="2:2" x14ac:dyDescent="0.25">
      <c r="B2202"/>
    </row>
    <row r="2203" spans="2:2" x14ac:dyDescent="0.25">
      <c r="B2203"/>
    </row>
    <row r="2204" spans="2:2" x14ac:dyDescent="0.25">
      <c r="B2204"/>
    </row>
    <row r="2205" spans="2:2" x14ac:dyDescent="0.25">
      <c r="B2205"/>
    </row>
    <row r="2206" spans="2:2" x14ac:dyDescent="0.25">
      <c r="B2206"/>
    </row>
    <row r="2207" spans="2:2" x14ac:dyDescent="0.25">
      <c r="B2207"/>
    </row>
    <row r="2208" spans="2:2" x14ac:dyDescent="0.25">
      <c r="B2208"/>
    </row>
    <row r="2209" spans="2:2" x14ac:dyDescent="0.25">
      <c r="B2209"/>
    </row>
    <row r="2210" spans="2:2" x14ac:dyDescent="0.25">
      <c r="B2210"/>
    </row>
    <row r="2211" spans="2:2" x14ac:dyDescent="0.25">
      <c r="B2211"/>
    </row>
    <row r="2212" spans="2:2" x14ac:dyDescent="0.25">
      <c r="B2212"/>
    </row>
    <row r="2213" spans="2:2" x14ac:dyDescent="0.25">
      <c r="B2213"/>
    </row>
    <row r="2214" spans="2:2" x14ac:dyDescent="0.25">
      <c r="B2214"/>
    </row>
    <row r="2215" spans="2:2" x14ac:dyDescent="0.25">
      <c r="B2215"/>
    </row>
    <row r="2216" spans="2:2" x14ac:dyDescent="0.25">
      <c r="B2216"/>
    </row>
    <row r="2217" spans="2:2" x14ac:dyDescent="0.25">
      <c r="B2217"/>
    </row>
    <row r="2218" spans="2:2" x14ac:dyDescent="0.25">
      <c r="B2218"/>
    </row>
    <row r="2219" spans="2:2" x14ac:dyDescent="0.25">
      <c r="B2219"/>
    </row>
    <row r="2220" spans="2:2" x14ac:dyDescent="0.25">
      <c r="B2220"/>
    </row>
    <row r="2221" spans="2:2" x14ac:dyDescent="0.25">
      <c r="B2221"/>
    </row>
    <row r="2222" spans="2:2" x14ac:dyDescent="0.25">
      <c r="B2222"/>
    </row>
    <row r="2223" spans="2:2" x14ac:dyDescent="0.25">
      <c r="B2223"/>
    </row>
    <row r="2224" spans="2:2" x14ac:dyDescent="0.25">
      <c r="B2224"/>
    </row>
    <row r="2225" spans="2:2" x14ac:dyDescent="0.25">
      <c r="B2225"/>
    </row>
    <row r="2226" spans="2:2" x14ac:dyDescent="0.25">
      <c r="B2226"/>
    </row>
    <row r="2227" spans="2:2" x14ac:dyDescent="0.25">
      <c r="B2227"/>
    </row>
    <row r="2228" spans="2:2" x14ac:dyDescent="0.25">
      <c r="B2228"/>
    </row>
    <row r="2229" spans="2:2" x14ac:dyDescent="0.25">
      <c r="B2229"/>
    </row>
    <row r="2230" spans="2:2" x14ac:dyDescent="0.25">
      <c r="B2230"/>
    </row>
    <row r="2231" spans="2:2" x14ac:dyDescent="0.25">
      <c r="B2231"/>
    </row>
    <row r="2232" spans="2:2" x14ac:dyDescent="0.25">
      <c r="B2232"/>
    </row>
    <row r="2233" spans="2:2" x14ac:dyDescent="0.25">
      <c r="B2233"/>
    </row>
    <row r="2234" spans="2:2" x14ac:dyDescent="0.25">
      <c r="B2234"/>
    </row>
    <row r="2235" spans="2:2" x14ac:dyDescent="0.25">
      <c r="B2235"/>
    </row>
    <row r="2236" spans="2:2" x14ac:dyDescent="0.25">
      <c r="B2236"/>
    </row>
    <row r="2237" spans="2:2" x14ac:dyDescent="0.25">
      <c r="B2237"/>
    </row>
    <row r="2238" spans="2:2" x14ac:dyDescent="0.25">
      <c r="B2238"/>
    </row>
    <row r="2239" spans="2:2" x14ac:dyDescent="0.25">
      <c r="B2239"/>
    </row>
    <row r="2240" spans="2:2" x14ac:dyDescent="0.25">
      <c r="B2240"/>
    </row>
    <row r="2241" spans="2:2" x14ac:dyDescent="0.25">
      <c r="B2241"/>
    </row>
    <row r="2242" spans="2:2" x14ac:dyDescent="0.25">
      <c r="B2242"/>
    </row>
    <row r="2243" spans="2:2" x14ac:dyDescent="0.25">
      <c r="B2243"/>
    </row>
    <row r="2244" spans="2:2" x14ac:dyDescent="0.25">
      <c r="B2244"/>
    </row>
    <row r="2245" spans="2:2" x14ac:dyDescent="0.25">
      <c r="B2245"/>
    </row>
    <row r="2246" spans="2:2" x14ac:dyDescent="0.25">
      <c r="B2246"/>
    </row>
    <row r="2247" spans="2:2" x14ac:dyDescent="0.25">
      <c r="B2247"/>
    </row>
    <row r="2248" spans="2:2" x14ac:dyDescent="0.25">
      <c r="B2248"/>
    </row>
    <row r="2249" spans="2:2" x14ac:dyDescent="0.25">
      <c r="B2249"/>
    </row>
    <row r="2250" spans="2:2" x14ac:dyDescent="0.25">
      <c r="B2250"/>
    </row>
    <row r="2251" spans="2:2" x14ac:dyDescent="0.25">
      <c r="B2251"/>
    </row>
    <row r="2252" spans="2:2" x14ac:dyDescent="0.25">
      <c r="B2252"/>
    </row>
    <row r="2253" spans="2:2" x14ac:dyDescent="0.25">
      <c r="B2253"/>
    </row>
    <row r="2254" spans="2:2" x14ac:dyDescent="0.25">
      <c r="B2254"/>
    </row>
    <row r="2255" spans="2:2" x14ac:dyDescent="0.25">
      <c r="B2255"/>
    </row>
    <row r="2256" spans="2:2" x14ac:dyDescent="0.25">
      <c r="B2256"/>
    </row>
    <row r="2257" spans="2:2" x14ac:dyDescent="0.25">
      <c r="B2257"/>
    </row>
    <row r="2258" spans="2:2" x14ac:dyDescent="0.25">
      <c r="B2258"/>
    </row>
    <row r="2259" spans="2:2" x14ac:dyDescent="0.25">
      <c r="B2259"/>
    </row>
    <row r="2260" spans="2:2" x14ac:dyDescent="0.25">
      <c r="B2260"/>
    </row>
    <row r="2261" spans="2:2" x14ac:dyDescent="0.25">
      <c r="B2261"/>
    </row>
    <row r="2262" spans="2:2" x14ac:dyDescent="0.25">
      <c r="B2262"/>
    </row>
    <row r="2263" spans="2:2" x14ac:dyDescent="0.25">
      <c r="B2263"/>
    </row>
    <row r="2264" spans="2:2" x14ac:dyDescent="0.25">
      <c r="B2264"/>
    </row>
    <row r="2265" spans="2:2" x14ac:dyDescent="0.25">
      <c r="B2265"/>
    </row>
    <row r="2266" spans="2:2" x14ac:dyDescent="0.25">
      <c r="B2266"/>
    </row>
    <row r="2267" spans="2:2" x14ac:dyDescent="0.25">
      <c r="B2267"/>
    </row>
    <row r="2268" spans="2:2" x14ac:dyDescent="0.25">
      <c r="B2268"/>
    </row>
    <row r="2269" spans="2:2" x14ac:dyDescent="0.25">
      <c r="B2269"/>
    </row>
    <row r="2270" spans="2:2" x14ac:dyDescent="0.25">
      <c r="B2270"/>
    </row>
    <row r="2271" spans="2:2" x14ac:dyDescent="0.25">
      <c r="B2271"/>
    </row>
    <row r="2272" spans="2:2" x14ac:dyDescent="0.25">
      <c r="B2272"/>
    </row>
    <row r="2273" spans="2:2" x14ac:dyDescent="0.25">
      <c r="B2273"/>
    </row>
    <row r="2274" spans="2:2" x14ac:dyDescent="0.25">
      <c r="B2274"/>
    </row>
    <row r="2275" spans="2:2" x14ac:dyDescent="0.25">
      <c r="B2275"/>
    </row>
    <row r="2276" spans="2:2" x14ac:dyDescent="0.25">
      <c r="B2276"/>
    </row>
    <row r="2277" spans="2:2" x14ac:dyDescent="0.25">
      <c r="B2277"/>
    </row>
    <row r="2278" spans="2:2" x14ac:dyDescent="0.25">
      <c r="B2278"/>
    </row>
    <row r="2279" spans="2:2" x14ac:dyDescent="0.25">
      <c r="B2279"/>
    </row>
    <row r="2280" spans="2:2" x14ac:dyDescent="0.25">
      <c r="B2280"/>
    </row>
    <row r="2281" spans="2:2" x14ac:dyDescent="0.25">
      <c r="B2281"/>
    </row>
    <row r="2282" spans="2:2" x14ac:dyDescent="0.25">
      <c r="B2282"/>
    </row>
    <row r="2283" spans="2:2" x14ac:dyDescent="0.25">
      <c r="B2283"/>
    </row>
    <row r="2284" spans="2:2" x14ac:dyDescent="0.25">
      <c r="B2284"/>
    </row>
    <row r="2285" spans="2:2" x14ac:dyDescent="0.25">
      <c r="B2285"/>
    </row>
    <row r="2286" spans="2:2" x14ac:dyDescent="0.25">
      <c r="B2286"/>
    </row>
    <row r="2287" spans="2:2" x14ac:dyDescent="0.25">
      <c r="B2287"/>
    </row>
    <row r="2288" spans="2:2" x14ac:dyDescent="0.25">
      <c r="B2288"/>
    </row>
    <row r="2289" spans="2:2" x14ac:dyDescent="0.25">
      <c r="B2289"/>
    </row>
    <row r="2290" spans="2:2" x14ac:dyDescent="0.25">
      <c r="B2290"/>
    </row>
    <row r="2291" spans="2:2" x14ac:dyDescent="0.25">
      <c r="B2291"/>
    </row>
    <row r="2292" spans="2:2" x14ac:dyDescent="0.25">
      <c r="B2292"/>
    </row>
    <row r="2293" spans="2:2" x14ac:dyDescent="0.25">
      <c r="B2293"/>
    </row>
    <row r="2294" spans="2:2" x14ac:dyDescent="0.25">
      <c r="B2294"/>
    </row>
    <row r="2295" spans="2:2" x14ac:dyDescent="0.25">
      <c r="B2295"/>
    </row>
    <row r="2296" spans="2:2" x14ac:dyDescent="0.25">
      <c r="B2296"/>
    </row>
    <row r="2297" spans="2:2" x14ac:dyDescent="0.25">
      <c r="B2297"/>
    </row>
    <row r="2298" spans="2:2" x14ac:dyDescent="0.25">
      <c r="B2298"/>
    </row>
    <row r="2299" spans="2:2" x14ac:dyDescent="0.25">
      <c r="B2299"/>
    </row>
    <row r="2300" spans="2:2" x14ac:dyDescent="0.25">
      <c r="B2300"/>
    </row>
    <row r="2301" spans="2:2" x14ac:dyDescent="0.25">
      <c r="B2301"/>
    </row>
    <row r="2302" spans="2:2" x14ac:dyDescent="0.25">
      <c r="B2302"/>
    </row>
    <row r="2303" spans="2:2" x14ac:dyDescent="0.25">
      <c r="B2303"/>
    </row>
    <row r="2304" spans="2:2" x14ac:dyDescent="0.25">
      <c r="B2304"/>
    </row>
    <row r="2305" spans="2:2" x14ac:dyDescent="0.25">
      <c r="B2305"/>
    </row>
    <row r="2306" spans="2:2" x14ac:dyDescent="0.25">
      <c r="B2306"/>
    </row>
    <row r="2307" spans="2:2" x14ac:dyDescent="0.25">
      <c r="B2307"/>
    </row>
    <row r="2308" spans="2:2" x14ac:dyDescent="0.25">
      <c r="B2308"/>
    </row>
    <row r="2309" spans="2:2" x14ac:dyDescent="0.25">
      <c r="B2309"/>
    </row>
    <row r="2310" spans="2:2" x14ac:dyDescent="0.25">
      <c r="B2310"/>
    </row>
    <row r="2311" spans="2:2" x14ac:dyDescent="0.25">
      <c r="B2311"/>
    </row>
    <row r="2312" spans="2:2" x14ac:dyDescent="0.25">
      <c r="B2312"/>
    </row>
    <row r="2313" spans="2:2" x14ac:dyDescent="0.25">
      <c r="B2313"/>
    </row>
    <row r="2314" spans="2:2" x14ac:dyDescent="0.25">
      <c r="B2314"/>
    </row>
    <row r="2315" spans="2:2" x14ac:dyDescent="0.25">
      <c r="B2315"/>
    </row>
    <row r="2316" spans="2:2" x14ac:dyDescent="0.25">
      <c r="B2316"/>
    </row>
    <row r="2317" spans="2:2" x14ac:dyDescent="0.25">
      <c r="B2317"/>
    </row>
    <row r="2318" spans="2:2" x14ac:dyDescent="0.25">
      <c r="B2318"/>
    </row>
    <row r="2319" spans="2:2" x14ac:dyDescent="0.25">
      <c r="B2319"/>
    </row>
    <row r="2320" spans="2:2" x14ac:dyDescent="0.25">
      <c r="B2320"/>
    </row>
    <row r="2321" spans="2:2" x14ac:dyDescent="0.25">
      <c r="B2321"/>
    </row>
    <row r="2322" spans="2:2" x14ac:dyDescent="0.25">
      <c r="B2322"/>
    </row>
    <row r="2323" spans="2:2" x14ac:dyDescent="0.25">
      <c r="B2323"/>
    </row>
    <row r="2324" spans="2:2" x14ac:dyDescent="0.25">
      <c r="B2324"/>
    </row>
    <row r="2325" spans="2:2" x14ac:dyDescent="0.25">
      <c r="B2325"/>
    </row>
    <row r="2326" spans="2:2" x14ac:dyDescent="0.25">
      <c r="B2326"/>
    </row>
    <row r="2327" spans="2:2" x14ac:dyDescent="0.25">
      <c r="B2327"/>
    </row>
    <row r="2328" spans="2:2" x14ac:dyDescent="0.25">
      <c r="B2328"/>
    </row>
    <row r="2329" spans="2:2" x14ac:dyDescent="0.25">
      <c r="B2329"/>
    </row>
    <row r="2330" spans="2:2" x14ac:dyDescent="0.25">
      <c r="B2330"/>
    </row>
    <row r="2331" spans="2:2" x14ac:dyDescent="0.25">
      <c r="B2331"/>
    </row>
    <row r="2332" spans="2:2" x14ac:dyDescent="0.25">
      <c r="B2332"/>
    </row>
    <row r="2333" spans="2:2" x14ac:dyDescent="0.25">
      <c r="B2333"/>
    </row>
    <row r="2334" spans="2:2" x14ac:dyDescent="0.25">
      <c r="B2334"/>
    </row>
    <row r="2335" spans="2:2" x14ac:dyDescent="0.25">
      <c r="B2335"/>
    </row>
    <row r="2336" spans="2:2" x14ac:dyDescent="0.25">
      <c r="B2336"/>
    </row>
    <row r="2337" spans="2:2" x14ac:dyDescent="0.25">
      <c r="B2337"/>
    </row>
    <row r="2338" spans="2:2" x14ac:dyDescent="0.25">
      <c r="B2338"/>
    </row>
    <row r="2339" spans="2:2" x14ac:dyDescent="0.25">
      <c r="B2339"/>
    </row>
    <row r="2340" spans="2:2" x14ac:dyDescent="0.25">
      <c r="B2340"/>
    </row>
    <row r="2341" spans="2:2" x14ac:dyDescent="0.25">
      <c r="B2341"/>
    </row>
    <row r="2342" spans="2:2" x14ac:dyDescent="0.25">
      <c r="B2342"/>
    </row>
    <row r="2343" spans="2:2" x14ac:dyDescent="0.25">
      <c r="B2343"/>
    </row>
    <row r="2344" spans="2:2" x14ac:dyDescent="0.25">
      <c r="B2344"/>
    </row>
    <row r="2345" spans="2:2" x14ac:dyDescent="0.25">
      <c r="B2345"/>
    </row>
    <row r="2346" spans="2:2" x14ac:dyDescent="0.25">
      <c r="B2346"/>
    </row>
    <row r="2347" spans="2:2" x14ac:dyDescent="0.25">
      <c r="B2347"/>
    </row>
    <row r="2348" spans="2:2" x14ac:dyDescent="0.25">
      <c r="B2348"/>
    </row>
    <row r="2349" spans="2:2" x14ac:dyDescent="0.25">
      <c r="B2349"/>
    </row>
    <row r="2350" spans="2:2" x14ac:dyDescent="0.25">
      <c r="B2350"/>
    </row>
    <row r="2351" spans="2:2" x14ac:dyDescent="0.25">
      <c r="B2351"/>
    </row>
    <row r="2352" spans="2:2" x14ac:dyDescent="0.25">
      <c r="B2352"/>
    </row>
    <row r="2353" spans="2:2" x14ac:dyDescent="0.25">
      <c r="B2353"/>
    </row>
    <row r="2354" spans="2:2" x14ac:dyDescent="0.25">
      <c r="B2354"/>
    </row>
    <row r="2355" spans="2:2" x14ac:dyDescent="0.25">
      <c r="B2355"/>
    </row>
    <row r="2356" spans="2:2" x14ac:dyDescent="0.25">
      <c r="B2356"/>
    </row>
    <row r="2357" spans="2:2" x14ac:dyDescent="0.25">
      <c r="B2357"/>
    </row>
    <row r="2358" spans="2:2" x14ac:dyDescent="0.25">
      <c r="B2358"/>
    </row>
    <row r="2359" spans="2:2" x14ac:dyDescent="0.25">
      <c r="B2359"/>
    </row>
    <row r="2360" spans="2:2" x14ac:dyDescent="0.25">
      <c r="B2360"/>
    </row>
    <row r="2361" spans="2:2" x14ac:dyDescent="0.25">
      <c r="B2361"/>
    </row>
    <row r="2362" spans="2:2" x14ac:dyDescent="0.25">
      <c r="B2362"/>
    </row>
    <row r="2363" spans="2:2" x14ac:dyDescent="0.25">
      <c r="B2363"/>
    </row>
    <row r="2364" spans="2:2" x14ac:dyDescent="0.25">
      <c r="B2364"/>
    </row>
    <row r="2365" spans="2:2" x14ac:dyDescent="0.25">
      <c r="B2365"/>
    </row>
    <row r="2366" spans="2:2" x14ac:dyDescent="0.25">
      <c r="B2366"/>
    </row>
    <row r="2367" spans="2:2" x14ac:dyDescent="0.25">
      <c r="B2367"/>
    </row>
    <row r="2368" spans="2:2" x14ac:dyDescent="0.25">
      <c r="B2368"/>
    </row>
    <row r="2369" spans="2:2" x14ac:dyDescent="0.25">
      <c r="B2369"/>
    </row>
    <row r="2370" spans="2:2" x14ac:dyDescent="0.25">
      <c r="B2370"/>
    </row>
    <row r="2371" spans="2:2" x14ac:dyDescent="0.25">
      <c r="B2371"/>
    </row>
    <row r="2372" spans="2:2" x14ac:dyDescent="0.25">
      <c r="B2372"/>
    </row>
    <row r="2373" spans="2:2" x14ac:dyDescent="0.25">
      <c r="B2373"/>
    </row>
    <row r="2374" spans="2:2" x14ac:dyDescent="0.25">
      <c r="B2374"/>
    </row>
    <row r="2375" spans="2:2" x14ac:dyDescent="0.25">
      <c r="B2375"/>
    </row>
    <row r="2376" spans="2:2" x14ac:dyDescent="0.25">
      <c r="B2376"/>
    </row>
    <row r="2377" spans="2:2" x14ac:dyDescent="0.25">
      <c r="B2377"/>
    </row>
    <row r="2378" spans="2:2" x14ac:dyDescent="0.25">
      <c r="B2378"/>
    </row>
    <row r="2379" spans="2:2" x14ac:dyDescent="0.25">
      <c r="B2379"/>
    </row>
    <row r="2380" spans="2:2" x14ac:dyDescent="0.25">
      <c r="B2380"/>
    </row>
    <row r="2381" spans="2:2" x14ac:dyDescent="0.25">
      <c r="B2381"/>
    </row>
    <row r="2382" spans="2:2" x14ac:dyDescent="0.25">
      <c r="B2382"/>
    </row>
    <row r="2383" spans="2:2" x14ac:dyDescent="0.25">
      <c r="B2383"/>
    </row>
    <row r="2384" spans="2:2" x14ac:dyDescent="0.25">
      <c r="B2384"/>
    </row>
    <row r="2385" spans="2:2" x14ac:dyDescent="0.25">
      <c r="B2385"/>
    </row>
    <row r="2386" spans="2:2" x14ac:dyDescent="0.25">
      <c r="B2386"/>
    </row>
    <row r="2387" spans="2:2" x14ac:dyDescent="0.25">
      <c r="B2387"/>
    </row>
    <row r="2388" spans="2:2" x14ac:dyDescent="0.25">
      <c r="B2388"/>
    </row>
    <row r="2389" spans="2:2" x14ac:dyDescent="0.25">
      <c r="B2389"/>
    </row>
    <row r="2390" spans="2:2" x14ac:dyDescent="0.25">
      <c r="B2390"/>
    </row>
    <row r="2391" spans="2:2" x14ac:dyDescent="0.25">
      <c r="B2391"/>
    </row>
    <row r="2392" spans="2:2" x14ac:dyDescent="0.25">
      <c r="B2392"/>
    </row>
    <row r="2393" spans="2:2" x14ac:dyDescent="0.25">
      <c r="B2393"/>
    </row>
    <row r="2394" spans="2:2" x14ac:dyDescent="0.25">
      <c r="B2394"/>
    </row>
    <row r="2395" spans="2:2" x14ac:dyDescent="0.25">
      <c r="B2395"/>
    </row>
    <row r="2396" spans="2:2" x14ac:dyDescent="0.25">
      <c r="B2396"/>
    </row>
    <row r="2397" spans="2:2" x14ac:dyDescent="0.25">
      <c r="B2397"/>
    </row>
    <row r="2398" spans="2:2" x14ac:dyDescent="0.25">
      <c r="B2398"/>
    </row>
    <row r="2399" spans="2:2" x14ac:dyDescent="0.25">
      <c r="B2399"/>
    </row>
    <row r="2400" spans="2:2" x14ac:dyDescent="0.25">
      <c r="B2400"/>
    </row>
    <row r="2401" spans="2:2" x14ac:dyDescent="0.25">
      <c r="B2401"/>
    </row>
    <row r="2402" spans="2:2" x14ac:dyDescent="0.25">
      <c r="B2402"/>
    </row>
    <row r="2403" spans="2:2" x14ac:dyDescent="0.25">
      <c r="B2403"/>
    </row>
    <row r="2404" spans="2:2" x14ac:dyDescent="0.25">
      <c r="B2404"/>
    </row>
    <row r="2405" spans="2:2" x14ac:dyDescent="0.25">
      <c r="B2405"/>
    </row>
    <row r="2406" spans="2:2" x14ac:dyDescent="0.25">
      <c r="B2406"/>
    </row>
    <row r="2407" spans="2:2" x14ac:dyDescent="0.25">
      <c r="B2407"/>
    </row>
    <row r="2408" spans="2:2" x14ac:dyDescent="0.25">
      <c r="B2408"/>
    </row>
    <row r="2409" spans="2:2" x14ac:dyDescent="0.25">
      <c r="B2409"/>
    </row>
    <row r="2410" spans="2:2" x14ac:dyDescent="0.25">
      <c r="B2410"/>
    </row>
    <row r="2411" spans="2:2" x14ac:dyDescent="0.25">
      <c r="B2411"/>
    </row>
    <row r="2412" spans="2:2" x14ac:dyDescent="0.25">
      <c r="B2412"/>
    </row>
    <row r="2413" spans="2:2" x14ac:dyDescent="0.25">
      <c r="B2413"/>
    </row>
    <row r="2414" spans="2:2" x14ac:dyDescent="0.25">
      <c r="B2414"/>
    </row>
    <row r="2415" spans="2:2" x14ac:dyDescent="0.25">
      <c r="B2415"/>
    </row>
    <row r="2416" spans="2:2" x14ac:dyDescent="0.25">
      <c r="B2416"/>
    </row>
    <row r="2417" spans="2:2" x14ac:dyDescent="0.25">
      <c r="B2417"/>
    </row>
    <row r="2418" spans="2:2" x14ac:dyDescent="0.25">
      <c r="B2418"/>
    </row>
    <row r="2419" spans="2:2" x14ac:dyDescent="0.25">
      <c r="B2419"/>
    </row>
    <row r="2420" spans="2:2" x14ac:dyDescent="0.25">
      <c r="B2420"/>
    </row>
    <row r="2421" spans="2:2" x14ac:dyDescent="0.25">
      <c r="B2421"/>
    </row>
    <row r="2422" spans="2:2" x14ac:dyDescent="0.25">
      <c r="B2422"/>
    </row>
    <row r="2423" spans="2:2" x14ac:dyDescent="0.25">
      <c r="B2423"/>
    </row>
    <row r="2424" spans="2:2" x14ac:dyDescent="0.25">
      <c r="B2424"/>
    </row>
    <row r="2425" spans="2:2" x14ac:dyDescent="0.25">
      <c r="B2425"/>
    </row>
    <row r="2426" spans="2:2" x14ac:dyDescent="0.25">
      <c r="B2426"/>
    </row>
    <row r="2427" spans="2:2" x14ac:dyDescent="0.25">
      <c r="B2427"/>
    </row>
    <row r="2428" spans="2:2" x14ac:dyDescent="0.25">
      <c r="B2428"/>
    </row>
    <row r="2429" spans="2:2" x14ac:dyDescent="0.25">
      <c r="B2429"/>
    </row>
    <row r="2430" spans="2:2" x14ac:dyDescent="0.25">
      <c r="B2430"/>
    </row>
    <row r="2431" spans="2:2" x14ac:dyDescent="0.25">
      <c r="B2431"/>
    </row>
    <row r="2432" spans="2:2" x14ac:dyDescent="0.25">
      <c r="B2432"/>
    </row>
    <row r="2433" spans="2:2" x14ac:dyDescent="0.25">
      <c r="B2433"/>
    </row>
    <row r="2434" spans="2:2" x14ac:dyDescent="0.25">
      <c r="B2434"/>
    </row>
    <row r="2435" spans="2:2" x14ac:dyDescent="0.25">
      <c r="B2435"/>
    </row>
    <row r="2436" spans="2:2" x14ac:dyDescent="0.25">
      <c r="B2436"/>
    </row>
    <row r="2437" spans="2:2" x14ac:dyDescent="0.25">
      <c r="B2437"/>
    </row>
    <row r="2438" spans="2:2" x14ac:dyDescent="0.25">
      <c r="B2438"/>
    </row>
    <row r="2439" spans="2:2" x14ac:dyDescent="0.25">
      <c r="B2439"/>
    </row>
    <row r="2440" spans="2:2" x14ac:dyDescent="0.25">
      <c r="B2440"/>
    </row>
    <row r="2441" spans="2:2" x14ac:dyDescent="0.25">
      <c r="B2441"/>
    </row>
    <row r="2442" spans="2:2" x14ac:dyDescent="0.25">
      <c r="B2442"/>
    </row>
    <row r="2443" spans="2:2" x14ac:dyDescent="0.25">
      <c r="B2443"/>
    </row>
    <row r="2444" spans="2:2" x14ac:dyDescent="0.25">
      <c r="B2444"/>
    </row>
    <row r="2445" spans="2:2" x14ac:dyDescent="0.25">
      <c r="B2445"/>
    </row>
    <row r="2446" spans="2:2" x14ac:dyDescent="0.25">
      <c r="B2446"/>
    </row>
    <row r="2447" spans="2:2" x14ac:dyDescent="0.25">
      <c r="B2447"/>
    </row>
    <row r="2448" spans="2:2" x14ac:dyDescent="0.25">
      <c r="B2448"/>
    </row>
    <row r="2449" spans="2:2" x14ac:dyDescent="0.25">
      <c r="B2449"/>
    </row>
    <row r="2450" spans="2:2" x14ac:dyDescent="0.25">
      <c r="B2450"/>
    </row>
    <row r="2451" spans="2:2" x14ac:dyDescent="0.25">
      <c r="B2451"/>
    </row>
    <row r="2452" spans="2:2" x14ac:dyDescent="0.25">
      <c r="B2452"/>
    </row>
    <row r="2453" spans="2:2" x14ac:dyDescent="0.25">
      <c r="B2453"/>
    </row>
    <row r="2454" spans="2:2" x14ac:dyDescent="0.25">
      <c r="B2454"/>
    </row>
    <row r="2455" spans="2:2" x14ac:dyDescent="0.25">
      <c r="B2455"/>
    </row>
    <row r="2456" spans="2:2" x14ac:dyDescent="0.25">
      <c r="B2456"/>
    </row>
    <row r="2457" spans="2:2" x14ac:dyDescent="0.25">
      <c r="B2457"/>
    </row>
    <row r="2458" spans="2:2" x14ac:dyDescent="0.25">
      <c r="B2458"/>
    </row>
    <row r="2459" spans="2:2" x14ac:dyDescent="0.25">
      <c r="B2459"/>
    </row>
    <row r="2460" spans="2:2" x14ac:dyDescent="0.25">
      <c r="B2460"/>
    </row>
    <row r="2461" spans="2:2" x14ac:dyDescent="0.25">
      <c r="B2461"/>
    </row>
    <row r="2462" spans="2:2" x14ac:dyDescent="0.25">
      <c r="B2462"/>
    </row>
    <row r="2463" spans="2:2" x14ac:dyDescent="0.25">
      <c r="B2463"/>
    </row>
    <row r="2464" spans="2:2" x14ac:dyDescent="0.25">
      <c r="B2464"/>
    </row>
    <row r="2465" spans="2:2" x14ac:dyDescent="0.25">
      <c r="B2465"/>
    </row>
    <row r="2466" spans="2:2" x14ac:dyDescent="0.25">
      <c r="B2466"/>
    </row>
    <row r="2467" spans="2:2" x14ac:dyDescent="0.25">
      <c r="B2467"/>
    </row>
    <row r="2468" spans="2:2" x14ac:dyDescent="0.25">
      <c r="B2468"/>
    </row>
    <row r="2469" spans="2:2" x14ac:dyDescent="0.25">
      <c r="B2469"/>
    </row>
    <row r="2470" spans="2:2" x14ac:dyDescent="0.25">
      <c r="B2470"/>
    </row>
    <row r="2471" spans="2:2" x14ac:dyDescent="0.25">
      <c r="B2471"/>
    </row>
    <row r="2472" spans="2:2" x14ac:dyDescent="0.25">
      <c r="B2472"/>
    </row>
    <row r="2473" spans="2:2" x14ac:dyDescent="0.25">
      <c r="B2473"/>
    </row>
    <row r="2474" spans="2:2" x14ac:dyDescent="0.25">
      <c r="B2474"/>
    </row>
    <row r="2475" spans="2:2" x14ac:dyDescent="0.25">
      <c r="B2475"/>
    </row>
    <row r="2476" spans="2:2" x14ac:dyDescent="0.25">
      <c r="B2476"/>
    </row>
    <row r="2477" spans="2:2" x14ac:dyDescent="0.25">
      <c r="B2477"/>
    </row>
    <row r="2478" spans="2:2" x14ac:dyDescent="0.25">
      <c r="B2478"/>
    </row>
    <row r="2479" spans="2:2" x14ac:dyDescent="0.25">
      <c r="B2479"/>
    </row>
    <row r="2480" spans="2:2" x14ac:dyDescent="0.25">
      <c r="B2480"/>
    </row>
    <row r="2481" spans="2:2" x14ac:dyDescent="0.25">
      <c r="B2481"/>
    </row>
    <row r="2482" spans="2:2" x14ac:dyDescent="0.25">
      <c r="B2482"/>
    </row>
    <row r="2483" spans="2:2" x14ac:dyDescent="0.25">
      <c r="B2483"/>
    </row>
    <row r="2484" spans="2:2" x14ac:dyDescent="0.25">
      <c r="B2484"/>
    </row>
    <row r="2485" spans="2:2" x14ac:dyDescent="0.25">
      <c r="B2485"/>
    </row>
    <row r="2486" spans="2:2" x14ac:dyDescent="0.25">
      <c r="B2486"/>
    </row>
    <row r="2487" spans="2:2" x14ac:dyDescent="0.25">
      <c r="B2487"/>
    </row>
    <row r="2488" spans="2:2" x14ac:dyDescent="0.25">
      <c r="B2488"/>
    </row>
    <row r="2489" spans="2:2" x14ac:dyDescent="0.25">
      <c r="B2489"/>
    </row>
    <row r="2490" spans="2:2" x14ac:dyDescent="0.25">
      <c r="B2490"/>
    </row>
    <row r="2491" spans="2:2" x14ac:dyDescent="0.25">
      <c r="B2491"/>
    </row>
    <row r="2492" spans="2:2" x14ac:dyDescent="0.25">
      <c r="B2492"/>
    </row>
    <row r="2493" spans="2:2" x14ac:dyDescent="0.25">
      <c r="B2493"/>
    </row>
    <row r="2494" spans="2:2" x14ac:dyDescent="0.25">
      <c r="B2494"/>
    </row>
    <row r="2495" spans="2:2" x14ac:dyDescent="0.25">
      <c r="B2495"/>
    </row>
    <row r="2496" spans="2:2" x14ac:dyDescent="0.25">
      <c r="B2496"/>
    </row>
    <row r="2497" spans="2:2" x14ac:dyDescent="0.25">
      <c r="B2497"/>
    </row>
    <row r="2498" spans="2:2" x14ac:dyDescent="0.25">
      <c r="B2498"/>
    </row>
    <row r="2499" spans="2:2" x14ac:dyDescent="0.25">
      <c r="B2499"/>
    </row>
    <row r="2500" spans="2:2" x14ac:dyDescent="0.25">
      <c r="B2500"/>
    </row>
    <row r="2501" spans="2:2" x14ac:dyDescent="0.25">
      <c r="B2501"/>
    </row>
    <row r="2502" spans="2:2" x14ac:dyDescent="0.25">
      <c r="B2502"/>
    </row>
    <row r="2503" spans="2:2" x14ac:dyDescent="0.25">
      <c r="B2503"/>
    </row>
    <row r="2504" spans="2:2" x14ac:dyDescent="0.25">
      <c r="B2504"/>
    </row>
    <row r="2505" spans="2:2" x14ac:dyDescent="0.25">
      <c r="B2505"/>
    </row>
    <row r="2506" spans="2:2" x14ac:dyDescent="0.25">
      <c r="B2506"/>
    </row>
    <row r="2507" spans="2:2" x14ac:dyDescent="0.25">
      <c r="B2507"/>
    </row>
    <row r="2508" spans="2:2" x14ac:dyDescent="0.25">
      <c r="B2508"/>
    </row>
    <row r="2509" spans="2:2" x14ac:dyDescent="0.25">
      <c r="B2509"/>
    </row>
    <row r="2510" spans="2:2" x14ac:dyDescent="0.25">
      <c r="B2510"/>
    </row>
    <row r="2511" spans="2:2" x14ac:dyDescent="0.25">
      <c r="B2511"/>
    </row>
    <row r="2512" spans="2:2" x14ac:dyDescent="0.25">
      <c r="B2512"/>
    </row>
    <row r="2513" spans="2:2" x14ac:dyDescent="0.25">
      <c r="B2513"/>
    </row>
    <row r="2514" spans="2:2" x14ac:dyDescent="0.25">
      <c r="B2514"/>
    </row>
    <row r="2515" spans="2:2" x14ac:dyDescent="0.25">
      <c r="B2515"/>
    </row>
    <row r="2516" spans="2:2" x14ac:dyDescent="0.25">
      <c r="B2516"/>
    </row>
    <row r="2517" spans="2:2" x14ac:dyDescent="0.25">
      <c r="B2517"/>
    </row>
    <row r="2518" spans="2:2" x14ac:dyDescent="0.25">
      <c r="B2518"/>
    </row>
    <row r="2519" spans="2:2" x14ac:dyDescent="0.25">
      <c r="B2519"/>
    </row>
    <row r="2520" spans="2:2" x14ac:dyDescent="0.25">
      <c r="B2520"/>
    </row>
    <row r="2521" spans="2:2" x14ac:dyDescent="0.25">
      <c r="B2521"/>
    </row>
    <row r="2522" spans="2:2" x14ac:dyDescent="0.25">
      <c r="B2522"/>
    </row>
    <row r="2523" spans="2:2" x14ac:dyDescent="0.25">
      <c r="B2523"/>
    </row>
    <row r="2524" spans="2:2" x14ac:dyDescent="0.25">
      <c r="B2524"/>
    </row>
    <row r="2525" spans="2:2" x14ac:dyDescent="0.25">
      <c r="B2525"/>
    </row>
    <row r="2526" spans="2:2" x14ac:dyDescent="0.25">
      <c r="B2526"/>
    </row>
    <row r="2527" spans="2:2" x14ac:dyDescent="0.25">
      <c r="B2527"/>
    </row>
    <row r="2528" spans="2:2" x14ac:dyDescent="0.25">
      <c r="B2528"/>
    </row>
    <row r="2529" spans="2:2" x14ac:dyDescent="0.25">
      <c r="B2529"/>
    </row>
    <row r="2530" spans="2:2" x14ac:dyDescent="0.25">
      <c r="B2530"/>
    </row>
    <row r="2531" spans="2:2" x14ac:dyDescent="0.25">
      <c r="B2531"/>
    </row>
    <row r="2532" spans="2:2" x14ac:dyDescent="0.25">
      <c r="B2532"/>
    </row>
    <row r="2533" spans="2:2" x14ac:dyDescent="0.25">
      <c r="B2533"/>
    </row>
    <row r="2534" spans="2:2" x14ac:dyDescent="0.25">
      <c r="B2534"/>
    </row>
    <row r="2535" spans="2:2" x14ac:dyDescent="0.25">
      <c r="B2535"/>
    </row>
    <row r="2536" spans="2:2" x14ac:dyDescent="0.25">
      <c r="B2536"/>
    </row>
    <row r="2537" spans="2:2" x14ac:dyDescent="0.25">
      <c r="B2537"/>
    </row>
    <row r="2538" spans="2:2" x14ac:dyDescent="0.25">
      <c r="B2538"/>
    </row>
    <row r="2539" spans="2:2" x14ac:dyDescent="0.25">
      <c r="B2539"/>
    </row>
    <row r="2540" spans="2:2" x14ac:dyDescent="0.25">
      <c r="B2540"/>
    </row>
    <row r="2541" spans="2:2" x14ac:dyDescent="0.25">
      <c r="B2541"/>
    </row>
    <row r="2542" spans="2:2" x14ac:dyDescent="0.25">
      <c r="B2542"/>
    </row>
    <row r="2543" spans="2:2" x14ac:dyDescent="0.25">
      <c r="B2543"/>
    </row>
    <row r="2544" spans="2:2" x14ac:dyDescent="0.25">
      <c r="B2544"/>
    </row>
    <row r="2545" spans="2:2" x14ac:dyDescent="0.25">
      <c r="B2545"/>
    </row>
    <row r="2546" spans="2:2" x14ac:dyDescent="0.25">
      <c r="B2546"/>
    </row>
    <row r="2547" spans="2:2" x14ac:dyDescent="0.25">
      <c r="B2547"/>
    </row>
    <row r="2548" spans="2:2" x14ac:dyDescent="0.25">
      <c r="B2548"/>
    </row>
    <row r="2549" spans="2:2" x14ac:dyDescent="0.25">
      <c r="B2549"/>
    </row>
    <row r="2550" spans="2:2" x14ac:dyDescent="0.25">
      <c r="B2550"/>
    </row>
    <row r="2551" spans="2:2" x14ac:dyDescent="0.25">
      <c r="B2551"/>
    </row>
    <row r="2552" spans="2:2" x14ac:dyDescent="0.25">
      <c r="B2552"/>
    </row>
    <row r="2553" spans="2:2" x14ac:dyDescent="0.25">
      <c r="B2553"/>
    </row>
    <row r="2554" spans="2:2" x14ac:dyDescent="0.25">
      <c r="B2554"/>
    </row>
    <row r="2555" spans="2:2" x14ac:dyDescent="0.25">
      <c r="B2555"/>
    </row>
    <row r="2556" spans="2:2" x14ac:dyDescent="0.25">
      <c r="B2556"/>
    </row>
    <row r="2557" spans="2:2" x14ac:dyDescent="0.25">
      <c r="B2557"/>
    </row>
    <row r="2558" spans="2:2" x14ac:dyDescent="0.25">
      <c r="B2558"/>
    </row>
    <row r="2559" spans="2:2" x14ac:dyDescent="0.25">
      <c r="B2559"/>
    </row>
    <row r="2560" spans="2:2" x14ac:dyDescent="0.25">
      <c r="B2560"/>
    </row>
    <row r="2561" spans="2:2" x14ac:dyDescent="0.25">
      <c r="B2561"/>
    </row>
    <row r="2562" spans="2:2" x14ac:dyDescent="0.25">
      <c r="B2562"/>
    </row>
    <row r="2563" spans="2:2" x14ac:dyDescent="0.25">
      <c r="B2563"/>
    </row>
    <row r="2564" spans="2:2" x14ac:dyDescent="0.25">
      <c r="B2564"/>
    </row>
    <row r="2565" spans="2:2" x14ac:dyDescent="0.25">
      <c r="B2565"/>
    </row>
    <row r="2566" spans="2:2" x14ac:dyDescent="0.25">
      <c r="B2566"/>
    </row>
    <row r="2567" spans="2:2" x14ac:dyDescent="0.25">
      <c r="B2567"/>
    </row>
    <row r="2568" spans="2:2" x14ac:dyDescent="0.25">
      <c r="B2568"/>
    </row>
    <row r="2569" spans="2:2" x14ac:dyDescent="0.25">
      <c r="B2569"/>
    </row>
    <row r="2570" spans="2:2" x14ac:dyDescent="0.25">
      <c r="B2570"/>
    </row>
    <row r="2571" spans="2:2" x14ac:dyDescent="0.25">
      <c r="B2571"/>
    </row>
    <row r="2572" spans="2:2" x14ac:dyDescent="0.25">
      <c r="B2572"/>
    </row>
    <row r="2573" spans="2:2" x14ac:dyDescent="0.25">
      <c r="B2573"/>
    </row>
    <row r="2574" spans="2:2" x14ac:dyDescent="0.25">
      <c r="B2574"/>
    </row>
    <row r="2575" spans="2:2" x14ac:dyDescent="0.25">
      <c r="B2575"/>
    </row>
    <row r="2576" spans="2:2" x14ac:dyDescent="0.25">
      <c r="B2576"/>
    </row>
    <row r="2577" spans="2:2" x14ac:dyDescent="0.25">
      <c r="B2577"/>
    </row>
    <row r="2578" spans="2:2" x14ac:dyDescent="0.25">
      <c r="B2578"/>
    </row>
    <row r="2579" spans="2:2" x14ac:dyDescent="0.25">
      <c r="B2579"/>
    </row>
    <row r="2580" spans="2:2" x14ac:dyDescent="0.25">
      <c r="B2580"/>
    </row>
    <row r="2581" spans="2:2" x14ac:dyDescent="0.25">
      <c r="B2581"/>
    </row>
    <row r="2582" spans="2:2" x14ac:dyDescent="0.25">
      <c r="B2582"/>
    </row>
    <row r="2583" spans="2:2" x14ac:dyDescent="0.25">
      <c r="B2583"/>
    </row>
    <row r="2584" spans="2:2" x14ac:dyDescent="0.25">
      <c r="B2584"/>
    </row>
    <row r="2585" spans="2:2" x14ac:dyDescent="0.25">
      <c r="B2585"/>
    </row>
    <row r="2586" spans="2:2" x14ac:dyDescent="0.25">
      <c r="B2586"/>
    </row>
    <row r="2587" spans="2:2" x14ac:dyDescent="0.25">
      <c r="B2587"/>
    </row>
    <row r="2588" spans="2:2" x14ac:dyDescent="0.25">
      <c r="B2588"/>
    </row>
    <row r="2589" spans="2:2" x14ac:dyDescent="0.25">
      <c r="B2589"/>
    </row>
    <row r="2590" spans="2:2" x14ac:dyDescent="0.25">
      <c r="B2590"/>
    </row>
    <row r="2591" spans="2:2" x14ac:dyDescent="0.25">
      <c r="B2591"/>
    </row>
    <row r="2592" spans="2:2" x14ac:dyDescent="0.25">
      <c r="B2592"/>
    </row>
    <row r="2593" spans="2:2" x14ac:dyDescent="0.25">
      <c r="B2593"/>
    </row>
    <row r="2594" spans="2:2" x14ac:dyDescent="0.25">
      <c r="B2594"/>
    </row>
    <row r="2595" spans="2:2" x14ac:dyDescent="0.25">
      <c r="B2595"/>
    </row>
    <row r="2596" spans="2:2" x14ac:dyDescent="0.25">
      <c r="B2596"/>
    </row>
    <row r="2597" spans="2:2" x14ac:dyDescent="0.25">
      <c r="B2597"/>
    </row>
    <row r="2598" spans="2:2" x14ac:dyDescent="0.25">
      <c r="B2598"/>
    </row>
    <row r="2599" spans="2:2" x14ac:dyDescent="0.25">
      <c r="B2599"/>
    </row>
    <row r="2600" spans="2:2" x14ac:dyDescent="0.25">
      <c r="B2600"/>
    </row>
    <row r="2601" spans="2:2" x14ac:dyDescent="0.25">
      <c r="B2601"/>
    </row>
    <row r="2602" spans="2:2" x14ac:dyDescent="0.25">
      <c r="B2602"/>
    </row>
    <row r="2603" spans="2:2" x14ac:dyDescent="0.25">
      <c r="B2603"/>
    </row>
    <row r="2604" spans="2:2" x14ac:dyDescent="0.25">
      <c r="B2604"/>
    </row>
    <row r="2605" spans="2:2" x14ac:dyDescent="0.25">
      <c r="B2605"/>
    </row>
    <row r="2606" spans="2:2" x14ac:dyDescent="0.25">
      <c r="B2606"/>
    </row>
    <row r="2607" spans="2:2" x14ac:dyDescent="0.25">
      <c r="B2607"/>
    </row>
    <row r="2608" spans="2:2" x14ac:dyDescent="0.25">
      <c r="B2608"/>
    </row>
    <row r="2609" spans="2:2" x14ac:dyDescent="0.25">
      <c r="B2609"/>
    </row>
    <row r="2610" spans="2:2" x14ac:dyDescent="0.25">
      <c r="B2610"/>
    </row>
    <row r="2611" spans="2:2" x14ac:dyDescent="0.25">
      <c r="B2611"/>
    </row>
    <row r="2612" spans="2:2" x14ac:dyDescent="0.25">
      <c r="B2612"/>
    </row>
    <row r="2613" spans="2:2" x14ac:dyDescent="0.25">
      <c r="B2613"/>
    </row>
    <row r="2614" spans="2:2" x14ac:dyDescent="0.25">
      <c r="B2614"/>
    </row>
    <row r="2615" spans="2:2" x14ac:dyDescent="0.25">
      <c r="B2615"/>
    </row>
    <row r="2616" spans="2:2" x14ac:dyDescent="0.25">
      <c r="B2616"/>
    </row>
    <row r="2617" spans="2:2" x14ac:dyDescent="0.25">
      <c r="B2617"/>
    </row>
    <row r="2618" spans="2:2" x14ac:dyDescent="0.25">
      <c r="B2618"/>
    </row>
    <row r="2619" spans="2:2" x14ac:dyDescent="0.25">
      <c r="B2619"/>
    </row>
    <row r="2620" spans="2:2" x14ac:dyDescent="0.25">
      <c r="B2620"/>
    </row>
    <row r="2621" spans="2:2" x14ac:dyDescent="0.25">
      <c r="B2621"/>
    </row>
    <row r="2622" spans="2:2" x14ac:dyDescent="0.25">
      <c r="B2622"/>
    </row>
    <row r="2623" spans="2:2" x14ac:dyDescent="0.25">
      <c r="B2623"/>
    </row>
    <row r="2624" spans="2:2" x14ac:dyDescent="0.25">
      <c r="B2624"/>
    </row>
    <row r="2625" spans="2:2" x14ac:dyDescent="0.25">
      <c r="B2625"/>
    </row>
    <row r="2626" spans="2:2" x14ac:dyDescent="0.25">
      <c r="B2626"/>
    </row>
    <row r="2627" spans="2:2" x14ac:dyDescent="0.25">
      <c r="B2627"/>
    </row>
    <row r="2628" spans="2:2" x14ac:dyDescent="0.25">
      <c r="B2628"/>
    </row>
    <row r="2629" spans="2:2" x14ac:dyDescent="0.25">
      <c r="B2629"/>
    </row>
    <row r="2630" spans="2:2" x14ac:dyDescent="0.25">
      <c r="B2630"/>
    </row>
    <row r="2631" spans="2:2" x14ac:dyDescent="0.25">
      <c r="B2631"/>
    </row>
    <row r="2632" spans="2:2" x14ac:dyDescent="0.25">
      <c r="B2632"/>
    </row>
    <row r="2633" spans="2:2" x14ac:dyDescent="0.25">
      <c r="B2633"/>
    </row>
    <row r="2634" spans="2:2" x14ac:dyDescent="0.25">
      <c r="B2634"/>
    </row>
    <row r="2635" spans="2:2" x14ac:dyDescent="0.25">
      <c r="B2635"/>
    </row>
    <row r="2636" spans="2:2" x14ac:dyDescent="0.25">
      <c r="B2636"/>
    </row>
    <row r="2637" spans="2:2" x14ac:dyDescent="0.25">
      <c r="B2637"/>
    </row>
    <row r="2638" spans="2:2" x14ac:dyDescent="0.25">
      <c r="B2638"/>
    </row>
    <row r="2639" spans="2:2" x14ac:dyDescent="0.25">
      <c r="B2639"/>
    </row>
    <row r="2640" spans="2:2" x14ac:dyDescent="0.25">
      <c r="B2640"/>
    </row>
    <row r="2641" spans="2:2" x14ac:dyDescent="0.25">
      <c r="B2641"/>
    </row>
    <row r="2642" spans="2:2" x14ac:dyDescent="0.25">
      <c r="B2642"/>
    </row>
    <row r="2643" spans="2:2" x14ac:dyDescent="0.25">
      <c r="B2643"/>
    </row>
    <row r="2644" spans="2:2" x14ac:dyDescent="0.25">
      <c r="B2644"/>
    </row>
    <row r="2645" spans="2:2" x14ac:dyDescent="0.25">
      <c r="B2645"/>
    </row>
    <row r="2646" spans="2:2" x14ac:dyDescent="0.25">
      <c r="B2646"/>
    </row>
    <row r="2647" spans="2:2" x14ac:dyDescent="0.25">
      <c r="B2647"/>
    </row>
    <row r="2648" spans="2:2" x14ac:dyDescent="0.25">
      <c r="B2648"/>
    </row>
    <row r="2649" spans="2:2" x14ac:dyDescent="0.25">
      <c r="B2649"/>
    </row>
    <row r="2650" spans="2:2" x14ac:dyDescent="0.25">
      <c r="B2650"/>
    </row>
    <row r="2651" spans="2:2" x14ac:dyDescent="0.25">
      <c r="B2651"/>
    </row>
    <row r="2652" spans="2:2" x14ac:dyDescent="0.25">
      <c r="B2652"/>
    </row>
    <row r="2653" spans="2:2" x14ac:dyDescent="0.25">
      <c r="B2653"/>
    </row>
    <row r="2654" spans="2:2" x14ac:dyDescent="0.25">
      <c r="B2654"/>
    </row>
    <row r="2655" spans="2:2" x14ac:dyDescent="0.25">
      <c r="B2655"/>
    </row>
    <row r="2656" spans="2:2" x14ac:dyDescent="0.25">
      <c r="B2656"/>
    </row>
    <row r="2657" spans="2:2" x14ac:dyDescent="0.25">
      <c r="B2657"/>
    </row>
    <row r="2658" spans="2:2" x14ac:dyDescent="0.25">
      <c r="B2658"/>
    </row>
    <row r="2659" spans="2:2" x14ac:dyDescent="0.25">
      <c r="B2659"/>
    </row>
    <row r="2660" spans="2:2" x14ac:dyDescent="0.25">
      <c r="B2660"/>
    </row>
    <row r="2661" spans="2:2" x14ac:dyDescent="0.25">
      <c r="B2661"/>
    </row>
    <row r="2662" spans="2:2" x14ac:dyDescent="0.25">
      <c r="B2662"/>
    </row>
    <row r="2663" spans="2:2" x14ac:dyDescent="0.25">
      <c r="B2663"/>
    </row>
    <row r="2664" spans="2:2" x14ac:dyDescent="0.25">
      <c r="B2664"/>
    </row>
    <row r="2665" spans="2:2" x14ac:dyDescent="0.25">
      <c r="B2665"/>
    </row>
    <row r="2666" spans="2:2" x14ac:dyDescent="0.25">
      <c r="B2666"/>
    </row>
    <row r="2667" spans="2:2" x14ac:dyDescent="0.25">
      <c r="B2667"/>
    </row>
    <row r="2668" spans="2:2" x14ac:dyDescent="0.25">
      <c r="B2668"/>
    </row>
    <row r="2669" spans="2:2" x14ac:dyDescent="0.25">
      <c r="B2669"/>
    </row>
    <row r="2670" spans="2:2" x14ac:dyDescent="0.25">
      <c r="B2670"/>
    </row>
    <row r="2671" spans="2:2" x14ac:dyDescent="0.25">
      <c r="B2671"/>
    </row>
    <row r="2672" spans="2:2" x14ac:dyDescent="0.25">
      <c r="B2672"/>
    </row>
    <row r="2673" spans="2:2" x14ac:dyDescent="0.25">
      <c r="B2673"/>
    </row>
    <row r="2674" spans="2:2" x14ac:dyDescent="0.25">
      <c r="B2674"/>
    </row>
    <row r="2675" spans="2:2" x14ac:dyDescent="0.25">
      <c r="B2675"/>
    </row>
    <row r="2676" spans="2:2" x14ac:dyDescent="0.25">
      <c r="B2676"/>
    </row>
    <row r="2677" spans="2:2" x14ac:dyDescent="0.25">
      <c r="B2677"/>
    </row>
    <row r="2678" spans="2:2" x14ac:dyDescent="0.25">
      <c r="B2678"/>
    </row>
    <row r="2679" spans="2:2" x14ac:dyDescent="0.25">
      <c r="B2679"/>
    </row>
    <row r="2680" spans="2:2" x14ac:dyDescent="0.25">
      <c r="B2680"/>
    </row>
    <row r="2681" spans="2:2" x14ac:dyDescent="0.25">
      <c r="B2681"/>
    </row>
    <row r="2682" spans="2:2" x14ac:dyDescent="0.25">
      <c r="B2682"/>
    </row>
    <row r="2683" spans="2:2" x14ac:dyDescent="0.25">
      <c r="B2683"/>
    </row>
    <row r="2684" spans="2:2" x14ac:dyDescent="0.25">
      <c r="B2684"/>
    </row>
    <row r="2685" spans="2:2" x14ac:dyDescent="0.25">
      <c r="B2685"/>
    </row>
    <row r="2686" spans="2:2" x14ac:dyDescent="0.25">
      <c r="B2686"/>
    </row>
    <row r="2687" spans="2:2" x14ac:dyDescent="0.25">
      <c r="B2687"/>
    </row>
    <row r="2688" spans="2:2" x14ac:dyDescent="0.25">
      <c r="B2688"/>
    </row>
    <row r="2689" spans="2:2" x14ac:dyDescent="0.25">
      <c r="B2689"/>
    </row>
    <row r="2690" spans="2:2" x14ac:dyDescent="0.25">
      <c r="B2690"/>
    </row>
    <row r="2691" spans="2:2" x14ac:dyDescent="0.25">
      <c r="B2691"/>
    </row>
    <row r="2692" spans="2:2" x14ac:dyDescent="0.25">
      <c r="B2692"/>
    </row>
    <row r="2693" spans="2:2" x14ac:dyDescent="0.25">
      <c r="B2693"/>
    </row>
    <row r="2694" spans="2:2" x14ac:dyDescent="0.25">
      <c r="B2694"/>
    </row>
    <row r="2695" spans="2:2" x14ac:dyDescent="0.25">
      <c r="B2695"/>
    </row>
    <row r="2696" spans="2:2" x14ac:dyDescent="0.25">
      <c r="B2696"/>
    </row>
    <row r="2697" spans="2:2" x14ac:dyDescent="0.25">
      <c r="B2697"/>
    </row>
    <row r="2698" spans="2:2" x14ac:dyDescent="0.25">
      <c r="B2698"/>
    </row>
    <row r="2699" spans="2:2" x14ac:dyDescent="0.25">
      <c r="B2699"/>
    </row>
    <row r="2700" spans="2:2" x14ac:dyDescent="0.25">
      <c r="B2700"/>
    </row>
    <row r="2701" spans="2:2" x14ac:dyDescent="0.25">
      <c r="B2701"/>
    </row>
    <row r="2702" spans="2:2" x14ac:dyDescent="0.25">
      <c r="B2702"/>
    </row>
    <row r="2703" spans="2:2" x14ac:dyDescent="0.25">
      <c r="B2703"/>
    </row>
    <row r="2704" spans="2:2" x14ac:dyDescent="0.25">
      <c r="B2704"/>
    </row>
    <row r="2705" spans="2:2" x14ac:dyDescent="0.25">
      <c r="B2705"/>
    </row>
    <row r="2706" spans="2:2" x14ac:dyDescent="0.25">
      <c r="B2706"/>
    </row>
    <row r="2707" spans="2:2" x14ac:dyDescent="0.25">
      <c r="B2707"/>
    </row>
    <row r="2708" spans="2:2" x14ac:dyDescent="0.25">
      <c r="B2708"/>
    </row>
    <row r="2709" spans="2:2" x14ac:dyDescent="0.25">
      <c r="B2709"/>
    </row>
    <row r="2710" spans="2:2" x14ac:dyDescent="0.25">
      <c r="B2710"/>
    </row>
    <row r="2711" spans="2:2" x14ac:dyDescent="0.25">
      <c r="B2711"/>
    </row>
    <row r="2712" spans="2:2" x14ac:dyDescent="0.25">
      <c r="B2712"/>
    </row>
    <row r="2713" spans="2:2" x14ac:dyDescent="0.25">
      <c r="B2713"/>
    </row>
    <row r="2714" spans="2:2" x14ac:dyDescent="0.25">
      <c r="B2714"/>
    </row>
    <row r="2715" spans="2:2" x14ac:dyDescent="0.25">
      <c r="B2715"/>
    </row>
    <row r="2716" spans="2:2" x14ac:dyDescent="0.25">
      <c r="B2716"/>
    </row>
    <row r="2717" spans="2:2" x14ac:dyDescent="0.25">
      <c r="B2717"/>
    </row>
    <row r="2718" spans="2:2" x14ac:dyDescent="0.25">
      <c r="B2718"/>
    </row>
    <row r="2719" spans="2:2" x14ac:dyDescent="0.25">
      <c r="B2719"/>
    </row>
    <row r="2720" spans="2:2" x14ac:dyDescent="0.25">
      <c r="B2720"/>
    </row>
    <row r="2721" spans="2:2" x14ac:dyDescent="0.25">
      <c r="B2721"/>
    </row>
    <row r="2722" spans="2:2" x14ac:dyDescent="0.25">
      <c r="B2722"/>
    </row>
    <row r="2723" spans="2:2" x14ac:dyDescent="0.25">
      <c r="B2723"/>
    </row>
    <row r="2724" spans="2:2" x14ac:dyDescent="0.25">
      <c r="B2724"/>
    </row>
    <row r="2725" spans="2:2" x14ac:dyDescent="0.25">
      <c r="B2725"/>
    </row>
    <row r="2726" spans="2:2" x14ac:dyDescent="0.25">
      <c r="B2726"/>
    </row>
    <row r="2727" spans="2:2" x14ac:dyDescent="0.25">
      <c r="B2727"/>
    </row>
    <row r="2728" spans="2:2" x14ac:dyDescent="0.25">
      <c r="B2728"/>
    </row>
    <row r="2729" spans="2:2" x14ac:dyDescent="0.25">
      <c r="B2729"/>
    </row>
    <row r="2730" spans="2:2" x14ac:dyDescent="0.25">
      <c r="B2730"/>
    </row>
    <row r="2731" spans="2:2" x14ac:dyDescent="0.25">
      <c r="B2731"/>
    </row>
    <row r="2732" spans="2:2" x14ac:dyDescent="0.25">
      <c r="B2732"/>
    </row>
    <row r="2733" spans="2:2" x14ac:dyDescent="0.25">
      <c r="B2733"/>
    </row>
    <row r="2734" spans="2:2" x14ac:dyDescent="0.25">
      <c r="B2734"/>
    </row>
    <row r="2735" spans="2:2" x14ac:dyDescent="0.25">
      <c r="B2735"/>
    </row>
    <row r="2736" spans="2:2" x14ac:dyDescent="0.25">
      <c r="B2736"/>
    </row>
    <row r="2737" spans="2:2" x14ac:dyDescent="0.25">
      <c r="B2737"/>
    </row>
    <row r="2738" spans="2:2" x14ac:dyDescent="0.25">
      <c r="B2738"/>
    </row>
    <row r="2739" spans="2:2" x14ac:dyDescent="0.25">
      <c r="B2739"/>
    </row>
    <row r="2740" spans="2:2" x14ac:dyDescent="0.25">
      <c r="B2740"/>
    </row>
    <row r="2741" spans="2:2" x14ac:dyDescent="0.25">
      <c r="B2741"/>
    </row>
    <row r="2742" spans="2:2" x14ac:dyDescent="0.25">
      <c r="B2742"/>
    </row>
    <row r="2743" spans="2:2" x14ac:dyDescent="0.25">
      <c r="B2743"/>
    </row>
    <row r="2744" spans="2:2" x14ac:dyDescent="0.25">
      <c r="B2744"/>
    </row>
    <row r="2745" spans="2:2" x14ac:dyDescent="0.25">
      <c r="B2745"/>
    </row>
    <row r="2746" spans="2:2" x14ac:dyDescent="0.25">
      <c r="B2746"/>
    </row>
    <row r="2747" spans="2:2" x14ac:dyDescent="0.25">
      <c r="B2747"/>
    </row>
    <row r="2748" spans="2:2" x14ac:dyDescent="0.25">
      <c r="B2748"/>
    </row>
    <row r="2749" spans="2:2" x14ac:dyDescent="0.25">
      <c r="B2749"/>
    </row>
    <row r="2750" spans="2:2" x14ac:dyDescent="0.25">
      <c r="B2750"/>
    </row>
    <row r="2751" spans="2:2" x14ac:dyDescent="0.25">
      <c r="B2751"/>
    </row>
    <row r="2752" spans="2:2" x14ac:dyDescent="0.25">
      <c r="B2752"/>
    </row>
    <row r="2753" spans="2:2" x14ac:dyDescent="0.25">
      <c r="B2753"/>
    </row>
    <row r="2754" spans="2:2" x14ac:dyDescent="0.25">
      <c r="B2754"/>
    </row>
    <row r="2755" spans="2:2" x14ac:dyDescent="0.25">
      <c r="B2755"/>
    </row>
    <row r="2756" spans="2:2" x14ac:dyDescent="0.25">
      <c r="B2756"/>
    </row>
    <row r="2757" spans="2:2" x14ac:dyDescent="0.25">
      <c r="B2757"/>
    </row>
    <row r="2758" spans="2:2" x14ac:dyDescent="0.25">
      <c r="B2758"/>
    </row>
    <row r="2759" spans="2:2" x14ac:dyDescent="0.25">
      <c r="B2759"/>
    </row>
    <row r="2760" spans="2:2" x14ac:dyDescent="0.25">
      <c r="B2760"/>
    </row>
    <row r="2761" spans="2:2" x14ac:dyDescent="0.25">
      <c r="B2761"/>
    </row>
    <row r="2762" spans="2:2" x14ac:dyDescent="0.25">
      <c r="B2762"/>
    </row>
    <row r="2763" spans="2:2" x14ac:dyDescent="0.25">
      <c r="B2763"/>
    </row>
    <row r="2764" spans="2:2" x14ac:dyDescent="0.25">
      <c r="B2764"/>
    </row>
    <row r="2765" spans="2:2" x14ac:dyDescent="0.25">
      <c r="B2765"/>
    </row>
    <row r="2766" spans="2:2" x14ac:dyDescent="0.25">
      <c r="B2766"/>
    </row>
    <row r="2767" spans="2:2" x14ac:dyDescent="0.25">
      <c r="B2767"/>
    </row>
    <row r="2768" spans="2:2" x14ac:dyDescent="0.25">
      <c r="B2768"/>
    </row>
    <row r="2769" spans="2:2" x14ac:dyDescent="0.25">
      <c r="B2769"/>
    </row>
    <row r="2770" spans="2:2" x14ac:dyDescent="0.25">
      <c r="B2770"/>
    </row>
    <row r="2771" spans="2:2" x14ac:dyDescent="0.25">
      <c r="B2771"/>
    </row>
    <row r="2772" spans="2:2" x14ac:dyDescent="0.25">
      <c r="B2772"/>
    </row>
    <row r="2773" spans="2:2" x14ac:dyDescent="0.25">
      <c r="B2773"/>
    </row>
    <row r="2774" spans="2:2" x14ac:dyDescent="0.25">
      <c r="B2774"/>
    </row>
    <row r="2775" spans="2:2" x14ac:dyDescent="0.25">
      <c r="B2775"/>
    </row>
    <row r="2776" spans="2:2" x14ac:dyDescent="0.25">
      <c r="B2776"/>
    </row>
    <row r="2777" spans="2:2" x14ac:dyDescent="0.25">
      <c r="B2777"/>
    </row>
    <row r="2778" spans="2:2" x14ac:dyDescent="0.25">
      <c r="B2778"/>
    </row>
    <row r="2779" spans="2:2" x14ac:dyDescent="0.25">
      <c r="B2779"/>
    </row>
    <row r="2780" spans="2:2" x14ac:dyDescent="0.25">
      <c r="B2780"/>
    </row>
    <row r="2781" spans="2:2" x14ac:dyDescent="0.25">
      <c r="B2781"/>
    </row>
    <row r="2782" spans="2:2" x14ac:dyDescent="0.25">
      <c r="B2782"/>
    </row>
    <row r="2783" spans="2:2" x14ac:dyDescent="0.25">
      <c r="B2783"/>
    </row>
    <row r="2784" spans="2:2" x14ac:dyDescent="0.25">
      <c r="B2784"/>
    </row>
    <row r="2785" spans="2:2" x14ac:dyDescent="0.25">
      <c r="B2785"/>
    </row>
    <row r="2786" spans="2:2" x14ac:dyDescent="0.25">
      <c r="B2786"/>
    </row>
    <row r="2787" spans="2:2" x14ac:dyDescent="0.25">
      <c r="B2787"/>
    </row>
    <row r="2788" spans="2:2" x14ac:dyDescent="0.25">
      <c r="B2788"/>
    </row>
    <row r="2789" spans="2:2" x14ac:dyDescent="0.25">
      <c r="B2789"/>
    </row>
    <row r="2790" spans="2:2" x14ac:dyDescent="0.25">
      <c r="B2790"/>
    </row>
    <row r="2791" spans="2:2" x14ac:dyDescent="0.25">
      <c r="B2791"/>
    </row>
    <row r="2792" spans="2:2" x14ac:dyDescent="0.25">
      <c r="B2792"/>
    </row>
    <row r="2793" spans="2:2" x14ac:dyDescent="0.25">
      <c r="B2793"/>
    </row>
    <row r="2794" spans="2:2" x14ac:dyDescent="0.25">
      <c r="B2794"/>
    </row>
    <row r="2795" spans="2:2" x14ac:dyDescent="0.25">
      <c r="B2795"/>
    </row>
    <row r="2796" spans="2:2" x14ac:dyDescent="0.25">
      <c r="B2796"/>
    </row>
    <row r="2797" spans="2:2" x14ac:dyDescent="0.25">
      <c r="B2797"/>
    </row>
    <row r="2798" spans="2:2" x14ac:dyDescent="0.25">
      <c r="B2798"/>
    </row>
    <row r="2799" spans="2:2" x14ac:dyDescent="0.25">
      <c r="B2799"/>
    </row>
    <row r="2800" spans="2:2" x14ac:dyDescent="0.25">
      <c r="B2800"/>
    </row>
    <row r="2801" spans="2:2" x14ac:dyDescent="0.25">
      <c r="B2801"/>
    </row>
    <row r="2802" spans="2:2" x14ac:dyDescent="0.25">
      <c r="B2802"/>
    </row>
    <row r="2803" spans="2:2" x14ac:dyDescent="0.25">
      <c r="B2803"/>
    </row>
    <row r="2804" spans="2:2" x14ac:dyDescent="0.25">
      <c r="B2804"/>
    </row>
    <row r="2805" spans="2:2" x14ac:dyDescent="0.25">
      <c r="B2805"/>
    </row>
    <row r="2806" spans="2:2" x14ac:dyDescent="0.25">
      <c r="B2806"/>
    </row>
    <row r="2807" spans="2:2" x14ac:dyDescent="0.25">
      <c r="B2807"/>
    </row>
    <row r="2808" spans="2:2" x14ac:dyDescent="0.25">
      <c r="B2808"/>
    </row>
    <row r="2809" spans="2:2" x14ac:dyDescent="0.25">
      <c r="B2809"/>
    </row>
    <row r="2810" spans="2:2" x14ac:dyDescent="0.25">
      <c r="B2810"/>
    </row>
    <row r="2811" spans="2:2" x14ac:dyDescent="0.25">
      <c r="B2811"/>
    </row>
    <row r="2812" spans="2:2" x14ac:dyDescent="0.25">
      <c r="B2812"/>
    </row>
    <row r="2813" spans="2:2" x14ac:dyDescent="0.25">
      <c r="B2813"/>
    </row>
    <row r="2814" spans="2:2" x14ac:dyDescent="0.25">
      <c r="B2814"/>
    </row>
    <row r="2815" spans="2:2" x14ac:dyDescent="0.25">
      <c r="B2815"/>
    </row>
    <row r="2816" spans="2:2" x14ac:dyDescent="0.25">
      <c r="B2816"/>
    </row>
    <row r="2817" spans="2:2" x14ac:dyDescent="0.25">
      <c r="B2817"/>
    </row>
    <row r="2818" spans="2:2" x14ac:dyDescent="0.25">
      <c r="B2818"/>
    </row>
    <row r="2819" spans="2:2" x14ac:dyDescent="0.25">
      <c r="B2819"/>
    </row>
    <row r="2820" spans="2:2" x14ac:dyDescent="0.25">
      <c r="B2820"/>
    </row>
    <row r="2821" spans="2:2" x14ac:dyDescent="0.25">
      <c r="B2821"/>
    </row>
    <row r="2822" spans="2:2" x14ac:dyDescent="0.25">
      <c r="B2822"/>
    </row>
    <row r="2823" spans="2:2" x14ac:dyDescent="0.25">
      <c r="B2823"/>
    </row>
    <row r="2824" spans="2:2" x14ac:dyDescent="0.25">
      <c r="B2824"/>
    </row>
    <row r="2825" spans="2:2" x14ac:dyDescent="0.25">
      <c r="B2825"/>
    </row>
    <row r="2826" spans="2:2" x14ac:dyDescent="0.25">
      <c r="B2826"/>
    </row>
    <row r="2827" spans="2:2" x14ac:dyDescent="0.25">
      <c r="B2827"/>
    </row>
    <row r="2828" spans="2:2" x14ac:dyDescent="0.25">
      <c r="B2828"/>
    </row>
    <row r="2829" spans="2:2" x14ac:dyDescent="0.25">
      <c r="B2829"/>
    </row>
    <row r="2830" spans="2:2" x14ac:dyDescent="0.25">
      <c r="B2830"/>
    </row>
    <row r="2831" spans="2:2" x14ac:dyDescent="0.25">
      <c r="B2831"/>
    </row>
    <row r="2832" spans="2:2" x14ac:dyDescent="0.25">
      <c r="B2832"/>
    </row>
    <row r="2833" spans="2:2" x14ac:dyDescent="0.25">
      <c r="B2833"/>
    </row>
    <row r="2834" spans="2:2" x14ac:dyDescent="0.25">
      <c r="B2834"/>
    </row>
    <row r="2835" spans="2:2" x14ac:dyDescent="0.25">
      <c r="B2835"/>
    </row>
    <row r="2836" spans="2:2" x14ac:dyDescent="0.25">
      <c r="B2836"/>
    </row>
    <row r="2837" spans="2:2" x14ac:dyDescent="0.25">
      <c r="B2837"/>
    </row>
    <row r="2838" spans="2:2" x14ac:dyDescent="0.25">
      <c r="B2838"/>
    </row>
    <row r="2839" spans="2:2" x14ac:dyDescent="0.25">
      <c r="B2839"/>
    </row>
    <row r="2840" spans="2:2" x14ac:dyDescent="0.25">
      <c r="B2840"/>
    </row>
    <row r="2841" spans="2:2" x14ac:dyDescent="0.25">
      <c r="B2841"/>
    </row>
    <row r="2842" spans="2:2" x14ac:dyDescent="0.25">
      <c r="B2842"/>
    </row>
    <row r="2843" spans="2:2" x14ac:dyDescent="0.25">
      <c r="B2843"/>
    </row>
    <row r="2844" spans="2:2" x14ac:dyDescent="0.25">
      <c r="B2844"/>
    </row>
    <row r="2845" spans="2:2" x14ac:dyDescent="0.25">
      <c r="B2845"/>
    </row>
    <row r="2846" spans="2:2" x14ac:dyDescent="0.25">
      <c r="B2846"/>
    </row>
    <row r="2847" spans="2:2" x14ac:dyDescent="0.25">
      <c r="B2847"/>
    </row>
    <row r="2848" spans="2:2" x14ac:dyDescent="0.25">
      <c r="B2848"/>
    </row>
    <row r="2849" spans="2:2" x14ac:dyDescent="0.25">
      <c r="B2849"/>
    </row>
    <row r="2850" spans="2:2" x14ac:dyDescent="0.25">
      <c r="B2850"/>
    </row>
    <row r="2851" spans="2:2" x14ac:dyDescent="0.25">
      <c r="B2851"/>
    </row>
    <row r="2852" spans="2:2" x14ac:dyDescent="0.25">
      <c r="B2852"/>
    </row>
    <row r="2853" spans="2:2" x14ac:dyDescent="0.25">
      <c r="B2853"/>
    </row>
    <row r="2854" spans="2:2" x14ac:dyDescent="0.25">
      <c r="B2854"/>
    </row>
    <row r="2855" spans="2:2" x14ac:dyDescent="0.25">
      <c r="B2855"/>
    </row>
    <row r="2856" spans="2:2" x14ac:dyDescent="0.25">
      <c r="B2856"/>
    </row>
    <row r="2857" spans="2:2" x14ac:dyDescent="0.25">
      <c r="B2857"/>
    </row>
    <row r="2858" spans="2:2" x14ac:dyDescent="0.25">
      <c r="B2858"/>
    </row>
    <row r="2859" spans="2:2" x14ac:dyDescent="0.25">
      <c r="B2859"/>
    </row>
    <row r="2860" spans="2:2" x14ac:dyDescent="0.25">
      <c r="B2860"/>
    </row>
    <row r="2861" spans="2:2" x14ac:dyDescent="0.25">
      <c r="B2861"/>
    </row>
    <row r="2862" spans="2:2" x14ac:dyDescent="0.25">
      <c r="B2862"/>
    </row>
    <row r="2863" spans="2:2" x14ac:dyDescent="0.25">
      <c r="B2863"/>
    </row>
    <row r="2864" spans="2:2" x14ac:dyDescent="0.25">
      <c r="B2864"/>
    </row>
    <row r="2865" spans="2:2" x14ac:dyDescent="0.25">
      <c r="B2865"/>
    </row>
    <row r="2866" spans="2:2" x14ac:dyDescent="0.25">
      <c r="B2866"/>
    </row>
    <row r="2867" spans="2:2" x14ac:dyDescent="0.25">
      <c r="B2867"/>
    </row>
    <row r="2868" spans="2:2" x14ac:dyDescent="0.25">
      <c r="B2868"/>
    </row>
    <row r="2869" spans="2:2" x14ac:dyDescent="0.25">
      <c r="B2869"/>
    </row>
    <row r="2870" spans="2:2" x14ac:dyDescent="0.25">
      <c r="B2870"/>
    </row>
    <row r="2871" spans="2:2" x14ac:dyDescent="0.25">
      <c r="B2871"/>
    </row>
    <row r="2872" spans="2:2" x14ac:dyDescent="0.25">
      <c r="B2872"/>
    </row>
    <row r="2873" spans="2:2" x14ac:dyDescent="0.25">
      <c r="B2873"/>
    </row>
    <row r="2874" spans="2:2" x14ac:dyDescent="0.25">
      <c r="B2874"/>
    </row>
    <row r="2875" spans="2:2" x14ac:dyDescent="0.25">
      <c r="B2875"/>
    </row>
    <row r="2876" spans="2:2" x14ac:dyDescent="0.25">
      <c r="B2876"/>
    </row>
    <row r="2877" spans="2:2" x14ac:dyDescent="0.25">
      <c r="B2877"/>
    </row>
    <row r="2878" spans="2:2" x14ac:dyDescent="0.25">
      <c r="B2878"/>
    </row>
    <row r="2879" spans="2:2" x14ac:dyDescent="0.25">
      <c r="B2879"/>
    </row>
    <row r="2880" spans="2:2" x14ac:dyDescent="0.25">
      <c r="B2880"/>
    </row>
    <row r="2881" spans="2:2" x14ac:dyDescent="0.25">
      <c r="B2881"/>
    </row>
    <row r="2882" spans="2:2" x14ac:dyDescent="0.25">
      <c r="B2882"/>
    </row>
    <row r="2883" spans="2:2" x14ac:dyDescent="0.25">
      <c r="B2883"/>
    </row>
    <row r="2884" spans="2:2" x14ac:dyDescent="0.25">
      <c r="B2884"/>
    </row>
    <row r="2885" spans="2:2" x14ac:dyDescent="0.25">
      <c r="B2885"/>
    </row>
    <row r="2886" spans="2:2" x14ac:dyDescent="0.25">
      <c r="B2886"/>
    </row>
    <row r="2887" spans="2:2" x14ac:dyDescent="0.25">
      <c r="B2887"/>
    </row>
    <row r="2888" spans="2:2" x14ac:dyDescent="0.25">
      <c r="B2888"/>
    </row>
    <row r="2889" spans="2:2" x14ac:dyDescent="0.25">
      <c r="B2889"/>
    </row>
    <row r="2890" spans="2:2" x14ac:dyDescent="0.25">
      <c r="B2890"/>
    </row>
    <row r="2891" spans="2:2" x14ac:dyDescent="0.25">
      <c r="B2891"/>
    </row>
    <row r="2892" spans="2:2" x14ac:dyDescent="0.25">
      <c r="B2892"/>
    </row>
    <row r="2893" spans="2:2" x14ac:dyDescent="0.25">
      <c r="B2893"/>
    </row>
    <row r="2894" spans="2:2" x14ac:dyDescent="0.25">
      <c r="B2894"/>
    </row>
    <row r="2895" spans="2:2" x14ac:dyDescent="0.25">
      <c r="B2895"/>
    </row>
    <row r="2896" spans="2:2" x14ac:dyDescent="0.25">
      <c r="B2896"/>
    </row>
    <row r="2897" spans="2:2" x14ac:dyDescent="0.25">
      <c r="B2897"/>
    </row>
    <row r="2898" spans="2:2" x14ac:dyDescent="0.25">
      <c r="B2898"/>
    </row>
    <row r="2899" spans="2:2" x14ac:dyDescent="0.25">
      <c r="B2899"/>
    </row>
    <row r="2900" spans="2:2" x14ac:dyDescent="0.25">
      <c r="B2900"/>
    </row>
    <row r="2901" spans="2:2" x14ac:dyDescent="0.25">
      <c r="B2901"/>
    </row>
    <row r="2902" spans="2:2" x14ac:dyDescent="0.25">
      <c r="B2902"/>
    </row>
    <row r="2903" spans="2:2" x14ac:dyDescent="0.25">
      <c r="B2903"/>
    </row>
    <row r="2904" spans="2:2" x14ac:dyDescent="0.25">
      <c r="B2904"/>
    </row>
    <row r="2905" spans="2:2" x14ac:dyDescent="0.25">
      <c r="B2905"/>
    </row>
    <row r="2906" spans="2:2" x14ac:dyDescent="0.25">
      <c r="B2906"/>
    </row>
    <row r="2907" spans="2:2" x14ac:dyDescent="0.25">
      <c r="B2907"/>
    </row>
    <row r="2908" spans="2:2" x14ac:dyDescent="0.25">
      <c r="B2908"/>
    </row>
    <row r="2909" spans="2:2" x14ac:dyDescent="0.25">
      <c r="B2909"/>
    </row>
    <row r="2910" spans="2:2" x14ac:dyDescent="0.25">
      <c r="B2910"/>
    </row>
    <row r="2911" spans="2:2" x14ac:dyDescent="0.25">
      <c r="B2911"/>
    </row>
    <row r="2912" spans="2:2" x14ac:dyDescent="0.25">
      <c r="B2912"/>
    </row>
    <row r="2913" spans="2:2" x14ac:dyDescent="0.25">
      <c r="B2913"/>
    </row>
    <row r="2914" spans="2:2" x14ac:dyDescent="0.25">
      <c r="B2914"/>
    </row>
    <row r="2915" spans="2:2" x14ac:dyDescent="0.25">
      <c r="B2915"/>
    </row>
    <row r="2916" spans="2:2" x14ac:dyDescent="0.25">
      <c r="B2916"/>
    </row>
    <row r="2917" spans="2:2" x14ac:dyDescent="0.25">
      <c r="B2917"/>
    </row>
    <row r="2918" spans="2:2" x14ac:dyDescent="0.25">
      <c r="B2918"/>
    </row>
    <row r="2919" spans="2:2" x14ac:dyDescent="0.25">
      <c r="B2919"/>
    </row>
    <row r="2920" spans="2:2" x14ac:dyDescent="0.25">
      <c r="B2920"/>
    </row>
    <row r="2921" spans="2:2" x14ac:dyDescent="0.25">
      <c r="B2921"/>
    </row>
    <row r="2922" spans="2:2" x14ac:dyDescent="0.25">
      <c r="B2922"/>
    </row>
    <row r="2923" spans="2:2" x14ac:dyDescent="0.25">
      <c r="B2923"/>
    </row>
    <row r="2924" spans="2:2" x14ac:dyDescent="0.25">
      <c r="B2924"/>
    </row>
    <row r="2925" spans="2:2" x14ac:dyDescent="0.25">
      <c r="B2925"/>
    </row>
    <row r="2926" spans="2:2" x14ac:dyDescent="0.25">
      <c r="B2926"/>
    </row>
    <row r="2927" spans="2:2" x14ac:dyDescent="0.25">
      <c r="B2927"/>
    </row>
    <row r="2928" spans="2:2" x14ac:dyDescent="0.25">
      <c r="B2928"/>
    </row>
    <row r="2929" spans="2:2" x14ac:dyDescent="0.25">
      <c r="B2929"/>
    </row>
    <row r="2930" spans="2:2" x14ac:dyDescent="0.25">
      <c r="B2930"/>
    </row>
    <row r="2931" spans="2:2" x14ac:dyDescent="0.25">
      <c r="B2931"/>
    </row>
    <row r="2932" spans="2:2" x14ac:dyDescent="0.25">
      <c r="B2932"/>
    </row>
    <row r="2933" spans="2:2" x14ac:dyDescent="0.25">
      <c r="B2933"/>
    </row>
    <row r="2934" spans="2:2" x14ac:dyDescent="0.25">
      <c r="B2934"/>
    </row>
    <row r="2935" spans="2:2" x14ac:dyDescent="0.25">
      <c r="B2935"/>
    </row>
    <row r="2936" spans="2:2" x14ac:dyDescent="0.25">
      <c r="B2936"/>
    </row>
    <row r="2937" spans="2:2" x14ac:dyDescent="0.25">
      <c r="B2937"/>
    </row>
    <row r="2938" spans="2:2" x14ac:dyDescent="0.25">
      <c r="B2938"/>
    </row>
    <row r="2939" spans="2:2" x14ac:dyDescent="0.25">
      <c r="B2939"/>
    </row>
    <row r="2940" spans="2:2" x14ac:dyDescent="0.25">
      <c r="B2940"/>
    </row>
    <row r="2941" spans="2:2" x14ac:dyDescent="0.25">
      <c r="B2941"/>
    </row>
    <row r="2942" spans="2:2" x14ac:dyDescent="0.25">
      <c r="B2942"/>
    </row>
    <row r="2943" spans="2:2" x14ac:dyDescent="0.25">
      <c r="B2943"/>
    </row>
    <row r="2944" spans="2:2" x14ac:dyDescent="0.25">
      <c r="B2944"/>
    </row>
    <row r="2945" spans="2:2" x14ac:dyDescent="0.25">
      <c r="B2945"/>
    </row>
    <row r="2946" spans="2:2" x14ac:dyDescent="0.25">
      <c r="B2946"/>
    </row>
    <row r="2947" spans="2:2" x14ac:dyDescent="0.25">
      <c r="B2947"/>
    </row>
    <row r="2948" spans="2:2" x14ac:dyDescent="0.25">
      <c r="B2948"/>
    </row>
    <row r="2949" spans="2:2" x14ac:dyDescent="0.25">
      <c r="B2949"/>
    </row>
    <row r="2950" spans="2:2" x14ac:dyDescent="0.25">
      <c r="B2950"/>
    </row>
    <row r="2951" spans="2:2" x14ac:dyDescent="0.25">
      <c r="B2951"/>
    </row>
    <row r="2952" spans="2:2" x14ac:dyDescent="0.25">
      <c r="B2952"/>
    </row>
    <row r="2953" spans="2:2" x14ac:dyDescent="0.25">
      <c r="B2953"/>
    </row>
    <row r="2954" spans="2:2" x14ac:dyDescent="0.25">
      <c r="B2954"/>
    </row>
    <row r="2955" spans="2:2" x14ac:dyDescent="0.25">
      <c r="B2955"/>
    </row>
    <row r="2956" spans="2:2" x14ac:dyDescent="0.25">
      <c r="B2956"/>
    </row>
    <row r="2957" spans="2:2" x14ac:dyDescent="0.25">
      <c r="B2957"/>
    </row>
    <row r="2958" spans="2:2" x14ac:dyDescent="0.25">
      <c r="B2958"/>
    </row>
    <row r="2959" spans="2:2" x14ac:dyDescent="0.25">
      <c r="B2959"/>
    </row>
    <row r="2960" spans="2:2" x14ac:dyDescent="0.25">
      <c r="B2960"/>
    </row>
    <row r="2961" spans="2:2" x14ac:dyDescent="0.25">
      <c r="B2961"/>
    </row>
    <row r="2962" spans="2:2" x14ac:dyDescent="0.25">
      <c r="B2962"/>
    </row>
    <row r="2963" spans="2:2" x14ac:dyDescent="0.25">
      <c r="B2963"/>
    </row>
    <row r="2964" spans="2:2" x14ac:dyDescent="0.25">
      <c r="B2964"/>
    </row>
    <row r="2965" spans="2:2" x14ac:dyDescent="0.25">
      <c r="B2965"/>
    </row>
    <row r="2966" spans="2:2" x14ac:dyDescent="0.25">
      <c r="B2966"/>
    </row>
    <row r="2967" spans="2:2" x14ac:dyDescent="0.25">
      <c r="B2967"/>
    </row>
    <row r="2968" spans="2:2" x14ac:dyDescent="0.25">
      <c r="B2968"/>
    </row>
    <row r="2969" spans="2:2" x14ac:dyDescent="0.25">
      <c r="B2969"/>
    </row>
    <row r="2970" spans="2:2" x14ac:dyDescent="0.25">
      <c r="B2970"/>
    </row>
    <row r="2971" spans="2:2" x14ac:dyDescent="0.25">
      <c r="B2971"/>
    </row>
    <row r="2972" spans="2:2" x14ac:dyDescent="0.25">
      <c r="B2972"/>
    </row>
    <row r="2973" spans="2:2" x14ac:dyDescent="0.25">
      <c r="B2973"/>
    </row>
    <row r="2974" spans="2:2" x14ac:dyDescent="0.25">
      <c r="B2974"/>
    </row>
    <row r="2975" spans="2:2" x14ac:dyDescent="0.25">
      <c r="B2975"/>
    </row>
    <row r="2976" spans="2:2" x14ac:dyDescent="0.25">
      <c r="B2976"/>
    </row>
    <row r="2977" spans="2:2" x14ac:dyDescent="0.25">
      <c r="B2977"/>
    </row>
    <row r="2978" spans="2:2" x14ac:dyDescent="0.25">
      <c r="B2978"/>
    </row>
    <row r="2979" spans="2:2" x14ac:dyDescent="0.25">
      <c r="B2979"/>
    </row>
    <row r="2980" spans="2:2" x14ac:dyDescent="0.25">
      <c r="B2980"/>
    </row>
    <row r="2981" spans="2:2" x14ac:dyDescent="0.25">
      <c r="B2981"/>
    </row>
    <row r="2982" spans="2:2" x14ac:dyDescent="0.25">
      <c r="B2982"/>
    </row>
    <row r="2983" spans="2:2" x14ac:dyDescent="0.25">
      <c r="B2983"/>
    </row>
    <row r="2984" spans="2:2" x14ac:dyDescent="0.25">
      <c r="B2984"/>
    </row>
    <row r="2985" spans="2:2" x14ac:dyDescent="0.25">
      <c r="B2985"/>
    </row>
    <row r="2986" spans="2:2" x14ac:dyDescent="0.25">
      <c r="B2986"/>
    </row>
    <row r="2987" spans="2:2" x14ac:dyDescent="0.25">
      <c r="B2987"/>
    </row>
    <row r="2988" spans="2:2" x14ac:dyDescent="0.25">
      <c r="B2988"/>
    </row>
    <row r="2989" spans="2:2" x14ac:dyDescent="0.25">
      <c r="B2989"/>
    </row>
    <row r="2990" spans="2:2" x14ac:dyDescent="0.25">
      <c r="B2990"/>
    </row>
    <row r="2991" spans="2:2" x14ac:dyDescent="0.25">
      <c r="B2991"/>
    </row>
    <row r="2992" spans="2:2" x14ac:dyDescent="0.25">
      <c r="B2992"/>
    </row>
    <row r="2993" spans="2:2" x14ac:dyDescent="0.25">
      <c r="B2993"/>
    </row>
    <row r="2994" spans="2:2" x14ac:dyDescent="0.25">
      <c r="B2994"/>
    </row>
    <row r="2995" spans="2:2" x14ac:dyDescent="0.25">
      <c r="B2995"/>
    </row>
    <row r="2996" spans="2:2" x14ac:dyDescent="0.25">
      <c r="B2996"/>
    </row>
    <row r="2997" spans="2:2" x14ac:dyDescent="0.25">
      <c r="B2997"/>
    </row>
    <row r="2998" spans="2:2" x14ac:dyDescent="0.25">
      <c r="B2998"/>
    </row>
    <row r="2999" spans="2:2" x14ac:dyDescent="0.25">
      <c r="B2999"/>
    </row>
    <row r="3000" spans="2:2" x14ac:dyDescent="0.25">
      <c r="B3000"/>
    </row>
    <row r="3001" spans="2:2" x14ac:dyDescent="0.25">
      <c r="B3001"/>
    </row>
    <row r="3002" spans="2:2" x14ac:dyDescent="0.25">
      <c r="B3002"/>
    </row>
    <row r="3003" spans="2:2" x14ac:dyDescent="0.25">
      <c r="B3003"/>
    </row>
    <row r="3004" spans="2:2" x14ac:dyDescent="0.25">
      <c r="B3004"/>
    </row>
    <row r="3005" spans="2:2" x14ac:dyDescent="0.25">
      <c r="B3005"/>
    </row>
    <row r="3006" spans="2:2" x14ac:dyDescent="0.25">
      <c r="B3006"/>
    </row>
    <row r="3007" spans="2:2" x14ac:dyDescent="0.25">
      <c r="B3007"/>
    </row>
    <row r="3008" spans="2:2" x14ac:dyDescent="0.25">
      <c r="B3008"/>
    </row>
    <row r="3009" spans="2:2" x14ac:dyDescent="0.25">
      <c r="B3009"/>
    </row>
    <row r="3010" spans="2:2" x14ac:dyDescent="0.25">
      <c r="B3010"/>
    </row>
    <row r="3011" spans="2:2" x14ac:dyDescent="0.25">
      <c r="B3011"/>
    </row>
    <row r="3012" spans="2:2" x14ac:dyDescent="0.25">
      <c r="B3012"/>
    </row>
    <row r="3013" spans="2:2" x14ac:dyDescent="0.25">
      <c r="B3013"/>
    </row>
    <row r="3014" spans="2:2" x14ac:dyDescent="0.25">
      <c r="B3014"/>
    </row>
    <row r="3015" spans="2:2" x14ac:dyDescent="0.25">
      <c r="B3015"/>
    </row>
    <row r="3016" spans="2:2" x14ac:dyDescent="0.25">
      <c r="B3016"/>
    </row>
    <row r="3017" spans="2:2" x14ac:dyDescent="0.25">
      <c r="B3017"/>
    </row>
    <row r="3018" spans="2:2" x14ac:dyDescent="0.25">
      <c r="B3018"/>
    </row>
    <row r="3019" spans="2:2" x14ac:dyDescent="0.25">
      <c r="B3019"/>
    </row>
    <row r="3020" spans="2:2" x14ac:dyDescent="0.25">
      <c r="B3020"/>
    </row>
    <row r="3021" spans="2:2" x14ac:dyDescent="0.25">
      <c r="B3021"/>
    </row>
    <row r="3022" spans="2:2" x14ac:dyDescent="0.25">
      <c r="B3022"/>
    </row>
    <row r="3023" spans="2:2" x14ac:dyDescent="0.25">
      <c r="B3023"/>
    </row>
    <row r="3024" spans="2:2" x14ac:dyDescent="0.25">
      <c r="B3024"/>
    </row>
    <row r="3025" spans="2:2" x14ac:dyDescent="0.25">
      <c r="B3025"/>
    </row>
    <row r="3026" spans="2:2" x14ac:dyDescent="0.25">
      <c r="B3026"/>
    </row>
    <row r="3027" spans="2:2" x14ac:dyDescent="0.25">
      <c r="B3027"/>
    </row>
    <row r="3028" spans="2:2" x14ac:dyDescent="0.25">
      <c r="B3028"/>
    </row>
    <row r="3029" spans="2:2" x14ac:dyDescent="0.25">
      <c r="B3029"/>
    </row>
    <row r="3030" spans="2:2" x14ac:dyDescent="0.25">
      <c r="B3030"/>
    </row>
    <row r="3031" spans="2:2" x14ac:dyDescent="0.25">
      <c r="B3031"/>
    </row>
    <row r="3032" spans="2:2" x14ac:dyDescent="0.25">
      <c r="B3032"/>
    </row>
    <row r="3033" spans="2:2" x14ac:dyDescent="0.25">
      <c r="B3033"/>
    </row>
    <row r="3034" spans="2:2" x14ac:dyDescent="0.25">
      <c r="B3034"/>
    </row>
    <row r="3035" spans="2:2" x14ac:dyDescent="0.25">
      <c r="B3035"/>
    </row>
    <row r="3036" spans="2:2" x14ac:dyDescent="0.25">
      <c r="B3036"/>
    </row>
    <row r="3037" spans="2:2" x14ac:dyDescent="0.25">
      <c r="B3037"/>
    </row>
    <row r="3038" spans="2:2" x14ac:dyDescent="0.25">
      <c r="B3038"/>
    </row>
    <row r="3039" spans="2:2" x14ac:dyDescent="0.25">
      <c r="B3039"/>
    </row>
    <row r="3040" spans="2:2" x14ac:dyDescent="0.25">
      <c r="B3040"/>
    </row>
    <row r="3041" spans="2:2" x14ac:dyDescent="0.25">
      <c r="B3041"/>
    </row>
    <row r="3042" spans="2:2" x14ac:dyDescent="0.25">
      <c r="B3042"/>
    </row>
    <row r="3043" spans="2:2" x14ac:dyDescent="0.25">
      <c r="B3043"/>
    </row>
    <row r="3044" spans="2:2" x14ac:dyDescent="0.25">
      <c r="B3044"/>
    </row>
    <row r="3045" spans="2:2" x14ac:dyDescent="0.25">
      <c r="B3045"/>
    </row>
    <row r="3046" spans="2:2" x14ac:dyDescent="0.25">
      <c r="B3046"/>
    </row>
    <row r="3047" spans="2:2" x14ac:dyDescent="0.25">
      <c r="B3047"/>
    </row>
    <row r="3048" spans="2:2" x14ac:dyDescent="0.25">
      <c r="B3048"/>
    </row>
    <row r="3049" spans="2:2" x14ac:dyDescent="0.25">
      <c r="B3049"/>
    </row>
    <row r="3050" spans="2:2" x14ac:dyDescent="0.25">
      <c r="B3050"/>
    </row>
    <row r="3051" spans="2:2" x14ac:dyDescent="0.25">
      <c r="B3051"/>
    </row>
    <row r="3052" spans="2:2" x14ac:dyDescent="0.25">
      <c r="B3052"/>
    </row>
    <row r="3053" spans="2:2" x14ac:dyDescent="0.25">
      <c r="B3053"/>
    </row>
    <row r="3054" spans="2:2" x14ac:dyDescent="0.25">
      <c r="B3054"/>
    </row>
    <row r="3055" spans="2:2" x14ac:dyDescent="0.25">
      <c r="B3055"/>
    </row>
    <row r="3056" spans="2:2" x14ac:dyDescent="0.25">
      <c r="B3056"/>
    </row>
    <row r="3057" spans="2:2" x14ac:dyDescent="0.25">
      <c r="B3057"/>
    </row>
    <row r="3058" spans="2:2" x14ac:dyDescent="0.25">
      <c r="B3058"/>
    </row>
    <row r="3059" spans="2:2" x14ac:dyDescent="0.25">
      <c r="B3059"/>
    </row>
    <row r="3060" spans="2:2" x14ac:dyDescent="0.25">
      <c r="B3060"/>
    </row>
    <row r="3061" spans="2:2" x14ac:dyDescent="0.25">
      <c r="B3061"/>
    </row>
    <row r="3062" spans="2:2" x14ac:dyDescent="0.25">
      <c r="B3062"/>
    </row>
    <row r="3063" spans="2:2" x14ac:dyDescent="0.25">
      <c r="B3063"/>
    </row>
    <row r="3064" spans="2:2" x14ac:dyDescent="0.25">
      <c r="B3064"/>
    </row>
    <row r="3065" spans="2:2" x14ac:dyDescent="0.25">
      <c r="B3065"/>
    </row>
    <row r="3066" spans="2:2" x14ac:dyDescent="0.25">
      <c r="B3066"/>
    </row>
    <row r="3067" spans="2:2" x14ac:dyDescent="0.25">
      <c r="B3067"/>
    </row>
    <row r="3068" spans="2:2" x14ac:dyDescent="0.25">
      <c r="B3068"/>
    </row>
    <row r="3069" spans="2:2" x14ac:dyDescent="0.25">
      <c r="B3069"/>
    </row>
    <row r="3070" spans="2:2" x14ac:dyDescent="0.25">
      <c r="B3070"/>
    </row>
    <row r="3071" spans="2:2" x14ac:dyDescent="0.25">
      <c r="B3071"/>
    </row>
    <row r="3072" spans="2:2" x14ac:dyDescent="0.25">
      <c r="B3072"/>
    </row>
    <row r="3073" spans="2:2" x14ac:dyDescent="0.25">
      <c r="B3073"/>
    </row>
    <row r="3074" spans="2:2" x14ac:dyDescent="0.25">
      <c r="B3074"/>
    </row>
    <row r="3075" spans="2:2" x14ac:dyDescent="0.25">
      <c r="B3075"/>
    </row>
    <row r="3076" spans="2:2" x14ac:dyDescent="0.25">
      <c r="B3076"/>
    </row>
    <row r="3077" spans="2:2" x14ac:dyDescent="0.25">
      <c r="B3077"/>
    </row>
    <row r="3078" spans="2:2" x14ac:dyDescent="0.25">
      <c r="B3078"/>
    </row>
    <row r="3079" spans="2:2" x14ac:dyDescent="0.25">
      <c r="B3079"/>
    </row>
    <row r="3080" spans="2:2" x14ac:dyDescent="0.25">
      <c r="B3080"/>
    </row>
    <row r="3081" spans="2:2" x14ac:dyDescent="0.25">
      <c r="B3081"/>
    </row>
    <row r="3082" spans="2:2" x14ac:dyDescent="0.25">
      <c r="B3082"/>
    </row>
    <row r="3083" spans="2:2" x14ac:dyDescent="0.25">
      <c r="B3083"/>
    </row>
    <row r="3084" spans="2:2" x14ac:dyDescent="0.25">
      <c r="B3084"/>
    </row>
    <row r="3085" spans="2:2" x14ac:dyDescent="0.25">
      <c r="B3085"/>
    </row>
    <row r="3086" spans="2:2" x14ac:dyDescent="0.25">
      <c r="B3086"/>
    </row>
    <row r="3087" spans="2:2" x14ac:dyDescent="0.25">
      <c r="B3087"/>
    </row>
    <row r="3088" spans="2:2" x14ac:dyDescent="0.25">
      <c r="B3088"/>
    </row>
    <row r="3089" spans="2:2" x14ac:dyDescent="0.25">
      <c r="B3089"/>
    </row>
    <row r="3090" spans="2:2" x14ac:dyDescent="0.25">
      <c r="B3090"/>
    </row>
    <row r="3091" spans="2:2" x14ac:dyDescent="0.25">
      <c r="B3091"/>
    </row>
    <row r="3092" spans="2:2" x14ac:dyDescent="0.25">
      <c r="B3092"/>
    </row>
    <row r="3093" spans="2:2" x14ac:dyDescent="0.25">
      <c r="B3093"/>
    </row>
    <row r="3094" spans="2:2" x14ac:dyDescent="0.25">
      <c r="B3094"/>
    </row>
    <row r="3095" spans="2:2" x14ac:dyDescent="0.25">
      <c r="B3095"/>
    </row>
    <row r="3096" spans="2:2" x14ac:dyDescent="0.25">
      <c r="B3096"/>
    </row>
    <row r="3097" spans="2:2" x14ac:dyDescent="0.25">
      <c r="B3097"/>
    </row>
    <row r="3098" spans="2:2" x14ac:dyDescent="0.25">
      <c r="B3098"/>
    </row>
    <row r="3099" spans="2:2" x14ac:dyDescent="0.25">
      <c r="B3099"/>
    </row>
    <row r="3100" spans="2:2" x14ac:dyDescent="0.25">
      <c r="B3100"/>
    </row>
    <row r="3101" spans="2:2" x14ac:dyDescent="0.25">
      <c r="B3101"/>
    </row>
    <row r="3102" spans="2:2" x14ac:dyDescent="0.25">
      <c r="B3102"/>
    </row>
    <row r="3103" spans="2:2" x14ac:dyDescent="0.25">
      <c r="B3103"/>
    </row>
    <row r="3104" spans="2:2" x14ac:dyDescent="0.25">
      <c r="B3104"/>
    </row>
    <row r="3105" spans="2:2" x14ac:dyDescent="0.25">
      <c r="B3105"/>
    </row>
    <row r="3106" spans="2:2" x14ac:dyDescent="0.25">
      <c r="B3106"/>
    </row>
    <row r="3107" spans="2:2" x14ac:dyDescent="0.25">
      <c r="B3107"/>
    </row>
    <row r="3108" spans="2:2" x14ac:dyDescent="0.25">
      <c r="B3108"/>
    </row>
    <row r="3109" spans="2:2" x14ac:dyDescent="0.25">
      <c r="B3109"/>
    </row>
    <row r="3110" spans="2:2" x14ac:dyDescent="0.25">
      <c r="B3110"/>
    </row>
    <row r="3111" spans="2:2" x14ac:dyDescent="0.25">
      <c r="B3111"/>
    </row>
    <row r="3112" spans="2:2" x14ac:dyDescent="0.25">
      <c r="B3112"/>
    </row>
    <row r="3113" spans="2:2" x14ac:dyDescent="0.25">
      <c r="B3113"/>
    </row>
    <row r="3114" spans="2:2" x14ac:dyDescent="0.25">
      <c r="B3114"/>
    </row>
    <row r="3115" spans="2:2" x14ac:dyDescent="0.25">
      <c r="B3115"/>
    </row>
    <row r="3116" spans="2:2" x14ac:dyDescent="0.25">
      <c r="B3116"/>
    </row>
    <row r="3117" spans="2:2" x14ac:dyDescent="0.25">
      <c r="B3117"/>
    </row>
    <row r="3118" spans="2:2" x14ac:dyDescent="0.25">
      <c r="B3118"/>
    </row>
    <row r="3119" spans="2:2" x14ac:dyDescent="0.25">
      <c r="B3119"/>
    </row>
    <row r="3120" spans="2:2" x14ac:dyDescent="0.25">
      <c r="B3120"/>
    </row>
    <row r="3121" spans="2:2" x14ac:dyDescent="0.25">
      <c r="B3121"/>
    </row>
    <row r="3122" spans="2:2" x14ac:dyDescent="0.25">
      <c r="B3122"/>
    </row>
    <row r="3123" spans="2:2" x14ac:dyDescent="0.25">
      <c r="B3123"/>
    </row>
    <row r="3124" spans="2:2" x14ac:dyDescent="0.25">
      <c r="B3124"/>
    </row>
    <row r="3125" spans="2:2" x14ac:dyDescent="0.25">
      <c r="B3125"/>
    </row>
    <row r="3126" spans="2:2" x14ac:dyDescent="0.25">
      <c r="B3126"/>
    </row>
    <row r="3127" spans="2:2" x14ac:dyDescent="0.25">
      <c r="B3127"/>
    </row>
    <row r="3128" spans="2:2" x14ac:dyDescent="0.25">
      <c r="B3128"/>
    </row>
    <row r="3129" spans="2:2" x14ac:dyDescent="0.25">
      <c r="B3129"/>
    </row>
    <row r="3130" spans="2:2" x14ac:dyDescent="0.25">
      <c r="B3130"/>
    </row>
    <row r="3131" spans="2:2" x14ac:dyDescent="0.25">
      <c r="B3131"/>
    </row>
    <row r="3132" spans="2:2" x14ac:dyDescent="0.25">
      <c r="B3132"/>
    </row>
    <row r="3133" spans="2:2" x14ac:dyDescent="0.25">
      <c r="B3133"/>
    </row>
    <row r="3134" spans="2:2" x14ac:dyDescent="0.25">
      <c r="B3134"/>
    </row>
    <row r="3135" spans="2:2" x14ac:dyDescent="0.25">
      <c r="B3135"/>
    </row>
    <row r="3136" spans="2:2" x14ac:dyDescent="0.25">
      <c r="B3136"/>
    </row>
    <row r="3137" spans="2:2" x14ac:dyDescent="0.25">
      <c r="B3137"/>
    </row>
    <row r="3138" spans="2:2" x14ac:dyDescent="0.25">
      <c r="B3138"/>
    </row>
    <row r="3139" spans="2:2" x14ac:dyDescent="0.25">
      <c r="B3139"/>
    </row>
    <row r="3140" spans="2:2" x14ac:dyDescent="0.25">
      <c r="B3140"/>
    </row>
    <row r="3141" spans="2:2" x14ac:dyDescent="0.25">
      <c r="B3141"/>
    </row>
    <row r="3142" spans="2:2" x14ac:dyDescent="0.25">
      <c r="B3142"/>
    </row>
    <row r="3143" spans="2:2" x14ac:dyDescent="0.25">
      <c r="B3143"/>
    </row>
    <row r="3144" spans="2:2" x14ac:dyDescent="0.25">
      <c r="B3144"/>
    </row>
    <row r="3145" spans="2:2" x14ac:dyDescent="0.25">
      <c r="B3145"/>
    </row>
    <row r="3146" spans="2:2" x14ac:dyDescent="0.25">
      <c r="B3146"/>
    </row>
    <row r="3147" spans="2:2" x14ac:dyDescent="0.25">
      <c r="B3147"/>
    </row>
    <row r="3148" spans="2:2" x14ac:dyDescent="0.25">
      <c r="B3148"/>
    </row>
    <row r="3149" spans="2:2" x14ac:dyDescent="0.25">
      <c r="B3149"/>
    </row>
    <row r="3150" spans="2:2" x14ac:dyDescent="0.25">
      <c r="B3150"/>
    </row>
    <row r="3151" spans="2:2" x14ac:dyDescent="0.25">
      <c r="B3151"/>
    </row>
    <row r="3152" spans="2:2" x14ac:dyDescent="0.25">
      <c r="B3152"/>
    </row>
    <row r="3153" spans="2:2" x14ac:dyDescent="0.25">
      <c r="B3153"/>
    </row>
    <row r="3154" spans="2:2" x14ac:dyDescent="0.25">
      <c r="B3154"/>
    </row>
    <row r="3155" spans="2:2" x14ac:dyDescent="0.25">
      <c r="B3155"/>
    </row>
    <row r="3156" spans="2:2" x14ac:dyDescent="0.25">
      <c r="B3156"/>
    </row>
    <row r="3157" spans="2:2" x14ac:dyDescent="0.25">
      <c r="B3157"/>
    </row>
    <row r="3158" spans="2:2" x14ac:dyDescent="0.25">
      <c r="B3158"/>
    </row>
    <row r="3159" spans="2:2" x14ac:dyDescent="0.25">
      <c r="B3159"/>
    </row>
    <row r="3160" spans="2:2" x14ac:dyDescent="0.25">
      <c r="B3160"/>
    </row>
    <row r="3161" spans="2:2" x14ac:dyDescent="0.25">
      <c r="B3161"/>
    </row>
    <row r="3162" spans="2:2" x14ac:dyDescent="0.25">
      <c r="B3162"/>
    </row>
    <row r="3163" spans="2:2" x14ac:dyDescent="0.25">
      <c r="B3163"/>
    </row>
    <row r="3164" spans="2:2" x14ac:dyDescent="0.25">
      <c r="B3164"/>
    </row>
    <row r="3165" spans="2:2" x14ac:dyDescent="0.25">
      <c r="B3165"/>
    </row>
    <row r="3166" spans="2:2" x14ac:dyDescent="0.25">
      <c r="B3166"/>
    </row>
    <row r="3167" spans="2:2" x14ac:dyDescent="0.25">
      <c r="B3167"/>
    </row>
    <row r="3168" spans="2:2" x14ac:dyDescent="0.25">
      <c r="B3168"/>
    </row>
    <row r="3169" spans="2:2" x14ac:dyDescent="0.25">
      <c r="B3169"/>
    </row>
    <row r="3170" spans="2:2" x14ac:dyDescent="0.25">
      <c r="B3170"/>
    </row>
    <row r="3171" spans="2:2" x14ac:dyDescent="0.25">
      <c r="B3171"/>
    </row>
    <row r="3172" spans="2:2" x14ac:dyDescent="0.25">
      <c r="B3172"/>
    </row>
    <row r="3173" spans="2:2" x14ac:dyDescent="0.25">
      <c r="B3173"/>
    </row>
    <row r="3174" spans="2:2" x14ac:dyDescent="0.25">
      <c r="B3174"/>
    </row>
    <row r="3175" spans="2:2" x14ac:dyDescent="0.25">
      <c r="B3175"/>
    </row>
    <row r="3176" spans="2:2" x14ac:dyDescent="0.25">
      <c r="B3176"/>
    </row>
    <row r="3177" spans="2:2" x14ac:dyDescent="0.25">
      <c r="B3177"/>
    </row>
    <row r="3178" spans="2:2" x14ac:dyDescent="0.25">
      <c r="B3178"/>
    </row>
    <row r="3179" spans="2:2" x14ac:dyDescent="0.25">
      <c r="B3179"/>
    </row>
    <row r="3180" spans="2:2" x14ac:dyDescent="0.25">
      <c r="B3180"/>
    </row>
    <row r="3181" spans="2:2" x14ac:dyDescent="0.25">
      <c r="B3181"/>
    </row>
    <row r="3182" spans="2:2" x14ac:dyDescent="0.25">
      <c r="B3182"/>
    </row>
    <row r="3183" spans="2:2" x14ac:dyDescent="0.25">
      <c r="B3183"/>
    </row>
    <row r="3184" spans="2:2" x14ac:dyDescent="0.25">
      <c r="B3184"/>
    </row>
    <row r="3185" spans="2:2" x14ac:dyDescent="0.25">
      <c r="B3185"/>
    </row>
    <row r="3186" spans="2:2" x14ac:dyDescent="0.25">
      <c r="B3186"/>
    </row>
    <row r="3187" spans="2:2" x14ac:dyDescent="0.25">
      <c r="B3187"/>
    </row>
    <row r="3188" spans="2:2" x14ac:dyDescent="0.25">
      <c r="B3188"/>
    </row>
    <row r="3189" spans="2:2" x14ac:dyDescent="0.25">
      <c r="B3189"/>
    </row>
    <row r="3190" spans="2:2" x14ac:dyDescent="0.25">
      <c r="B3190"/>
    </row>
    <row r="3191" spans="2:2" x14ac:dyDescent="0.25">
      <c r="B3191"/>
    </row>
    <row r="3192" spans="2:2" x14ac:dyDescent="0.25">
      <c r="B3192"/>
    </row>
    <row r="3193" spans="2:2" x14ac:dyDescent="0.25">
      <c r="B3193"/>
    </row>
    <row r="3194" spans="2:2" x14ac:dyDescent="0.25">
      <c r="B3194"/>
    </row>
    <row r="3195" spans="2:2" x14ac:dyDescent="0.25">
      <c r="B3195"/>
    </row>
    <row r="3196" spans="2:2" x14ac:dyDescent="0.25">
      <c r="B3196"/>
    </row>
    <row r="3197" spans="2:2" x14ac:dyDescent="0.25">
      <c r="B3197"/>
    </row>
    <row r="3198" spans="2:2" x14ac:dyDescent="0.25">
      <c r="B3198"/>
    </row>
    <row r="3199" spans="2:2" x14ac:dyDescent="0.25">
      <c r="B3199"/>
    </row>
    <row r="3200" spans="2:2" x14ac:dyDescent="0.25">
      <c r="B3200"/>
    </row>
    <row r="3201" spans="2:2" x14ac:dyDescent="0.25">
      <c r="B3201"/>
    </row>
    <row r="3202" spans="2:2" x14ac:dyDescent="0.25">
      <c r="B3202"/>
    </row>
    <row r="3203" spans="2:2" x14ac:dyDescent="0.25">
      <c r="B3203"/>
    </row>
    <row r="3204" spans="2:2" x14ac:dyDescent="0.25">
      <c r="B3204"/>
    </row>
    <row r="3205" spans="2:2" x14ac:dyDescent="0.25">
      <c r="B3205"/>
    </row>
    <row r="3206" spans="2:2" x14ac:dyDescent="0.25">
      <c r="B3206"/>
    </row>
    <row r="3207" spans="2:2" x14ac:dyDescent="0.25">
      <c r="B3207"/>
    </row>
    <row r="3208" spans="2:2" x14ac:dyDescent="0.25">
      <c r="B3208"/>
    </row>
    <row r="3209" spans="2:2" x14ac:dyDescent="0.25">
      <c r="B3209"/>
    </row>
    <row r="3210" spans="2:2" x14ac:dyDescent="0.25">
      <c r="B3210"/>
    </row>
    <row r="3211" spans="2:2" x14ac:dyDescent="0.25">
      <c r="B3211"/>
    </row>
    <row r="3212" spans="2:2" x14ac:dyDescent="0.25">
      <c r="B3212"/>
    </row>
    <row r="3213" spans="2:2" x14ac:dyDescent="0.25">
      <c r="B3213"/>
    </row>
    <row r="3214" spans="2:2" x14ac:dyDescent="0.25">
      <c r="B3214"/>
    </row>
    <row r="3215" spans="2:2" x14ac:dyDescent="0.25">
      <c r="B3215"/>
    </row>
    <row r="3216" spans="2:2" x14ac:dyDescent="0.25">
      <c r="B3216"/>
    </row>
    <row r="3217" spans="2:2" x14ac:dyDescent="0.25">
      <c r="B3217"/>
    </row>
    <row r="3218" spans="2:2" x14ac:dyDescent="0.25">
      <c r="B3218"/>
    </row>
    <row r="3219" spans="2:2" x14ac:dyDescent="0.25">
      <c r="B3219"/>
    </row>
    <row r="3220" spans="2:2" x14ac:dyDescent="0.25">
      <c r="B3220"/>
    </row>
    <row r="3221" spans="2:2" x14ac:dyDescent="0.25">
      <c r="B3221"/>
    </row>
    <row r="3222" spans="2:2" x14ac:dyDescent="0.25">
      <c r="B3222"/>
    </row>
    <row r="3223" spans="2:2" x14ac:dyDescent="0.25">
      <c r="B3223"/>
    </row>
    <row r="3224" spans="2:2" x14ac:dyDescent="0.25">
      <c r="B3224"/>
    </row>
    <row r="3225" spans="2:2" x14ac:dyDescent="0.25">
      <c r="B3225"/>
    </row>
    <row r="3226" spans="2:2" x14ac:dyDescent="0.25">
      <c r="B3226"/>
    </row>
    <row r="3227" spans="2:2" x14ac:dyDescent="0.25">
      <c r="B3227"/>
    </row>
    <row r="3228" spans="2:2" x14ac:dyDescent="0.25">
      <c r="B3228"/>
    </row>
    <row r="3229" spans="2:2" x14ac:dyDescent="0.25">
      <c r="B3229"/>
    </row>
    <row r="3230" spans="2:2" x14ac:dyDescent="0.25">
      <c r="B3230"/>
    </row>
    <row r="3231" spans="2:2" x14ac:dyDescent="0.25">
      <c r="B3231"/>
    </row>
    <row r="3232" spans="2:2" x14ac:dyDescent="0.25">
      <c r="B3232"/>
    </row>
    <row r="3233" spans="2:2" x14ac:dyDescent="0.25">
      <c r="B3233"/>
    </row>
    <row r="3234" spans="2:2" x14ac:dyDescent="0.25">
      <c r="B3234"/>
    </row>
    <row r="3235" spans="2:2" x14ac:dyDescent="0.25">
      <c r="B3235"/>
    </row>
    <row r="3236" spans="2:2" x14ac:dyDescent="0.25">
      <c r="B3236"/>
    </row>
    <row r="3237" spans="2:2" x14ac:dyDescent="0.25">
      <c r="B3237"/>
    </row>
    <row r="3238" spans="2:2" x14ac:dyDescent="0.25">
      <c r="B3238"/>
    </row>
    <row r="3239" spans="2:2" x14ac:dyDescent="0.25">
      <c r="B3239"/>
    </row>
    <row r="3240" spans="2:2" x14ac:dyDescent="0.25">
      <c r="B3240"/>
    </row>
    <row r="3241" spans="2:2" x14ac:dyDescent="0.25">
      <c r="B3241"/>
    </row>
    <row r="3242" spans="2:2" x14ac:dyDescent="0.25">
      <c r="B3242"/>
    </row>
    <row r="3243" spans="2:2" x14ac:dyDescent="0.25">
      <c r="B3243"/>
    </row>
    <row r="3244" spans="2:2" x14ac:dyDescent="0.25">
      <c r="B3244"/>
    </row>
    <row r="3245" spans="2:2" x14ac:dyDescent="0.25">
      <c r="B3245"/>
    </row>
    <row r="3246" spans="2:2" x14ac:dyDescent="0.25">
      <c r="B3246"/>
    </row>
    <row r="3247" spans="2:2" x14ac:dyDescent="0.25">
      <c r="B3247"/>
    </row>
    <row r="3248" spans="2:2" x14ac:dyDescent="0.25">
      <c r="B3248"/>
    </row>
    <row r="3249" spans="2:2" x14ac:dyDescent="0.25">
      <c r="B3249"/>
    </row>
    <row r="3250" spans="2:2" x14ac:dyDescent="0.25">
      <c r="B3250"/>
    </row>
    <row r="3251" spans="2:2" x14ac:dyDescent="0.25">
      <c r="B3251"/>
    </row>
    <row r="3252" spans="2:2" x14ac:dyDescent="0.25">
      <c r="B3252"/>
    </row>
    <row r="3253" spans="2:2" x14ac:dyDescent="0.25">
      <c r="B3253"/>
    </row>
    <row r="3254" spans="2:2" x14ac:dyDescent="0.25">
      <c r="B3254"/>
    </row>
    <row r="3255" spans="2:2" x14ac:dyDescent="0.25">
      <c r="B3255"/>
    </row>
    <row r="3256" spans="2:2" x14ac:dyDescent="0.25">
      <c r="B3256"/>
    </row>
    <row r="3257" spans="2:2" x14ac:dyDescent="0.25">
      <c r="B3257"/>
    </row>
    <row r="3258" spans="2:2" x14ac:dyDescent="0.25">
      <c r="B3258"/>
    </row>
    <row r="3259" spans="2:2" x14ac:dyDescent="0.25">
      <c r="B3259"/>
    </row>
    <row r="3260" spans="2:2" x14ac:dyDescent="0.25">
      <c r="B3260"/>
    </row>
    <row r="3261" spans="2:2" x14ac:dyDescent="0.25">
      <c r="B3261"/>
    </row>
    <row r="3262" spans="2:2" x14ac:dyDescent="0.25">
      <c r="B3262"/>
    </row>
    <row r="3263" spans="2:2" x14ac:dyDescent="0.25">
      <c r="B3263"/>
    </row>
    <row r="3264" spans="2:2" x14ac:dyDescent="0.25">
      <c r="B3264"/>
    </row>
    <row r="3265" spans="2:2" x14ac:dyDescent="0.25">
      <c r="B3265"/>
    </row>
    <row r="3266" spans="2:2" x14ac:dyDescent="0.25">
      <c r="B3266"/>
    </row>
    <row r="3267" spans="2:2" x14ac:dyDescent="0.25">
      <c r="B3267"/>
    </row>
    <row r="3268" spans="2:2" x14ac:dyDescent="0.25">
      <c r="B3268"/>
    </row>
    <row r="3269" spans="2:2" x14ac:dyDescent="0.25">
      <c r="B3269"/>
    </row>
    <row r="3270" spans="2:2" x14ac:dyDescent="0.25">
      <c r="B3270"/>
    </row>
    <row r="3271" spans="2:2" x14ac:dyDescent="0.25">
      <c r="B3271"/>
    </row>
    <row r="3272" spans="2:2" x14ac:dyDescent="0.25">
      <c r="B3272"/>
    </row>
    <row r="3273" spans="2:2" x14ac:dyDescent="0.25">
      <c r="B3273"/>
    </row>
    <row r="3274" spans="2:2" x14ac:dyDescent="0.25">
      <c r="B3274"/>
    </row>
    <row r="3275" spans="2:2" x14ac:dyDescent="0.25">
      <c r="B3275"/>
    </row>
    <row r="3276" spans="2:2" x14ac:dyDescent="0.25">
      <c r="B3276"/>
    </row>
    <row r="3277" spans="2:2" x14ac:dyDescent="0.25">
      <c r="B3277"/>
    </row>
    <row r="3278" spans="2:2" x14ac:dyDescent="0.25">
      <c r="B3278"/>
    </row>
    <row r="3279" spans="2:2" x14ac:dyDescent="0.25">
      <c r="B3279"/>
    </row>
    <row r="3280" spans="2:2" x14ac:dyDescent="0.25">
      <c r="B3280"/>
    </row>
    <row r="3281" spans="2:2" x14ac:dyDescent="0.25">
      <c r="B3281"/>
    </row>
    <row r="3282" spans="2:2" x14ac:dyDescent="0.25">
      <c r="B3282"/>
    </row>
    <row r="3283" spans="2:2" x14ac:dyDescent="0.25">
      <c r="B3283"/>
    </row>
    <row r="3284" spans="2:2" x14ac:dyDescent="0.25">
      <c r="B3284"/>
    </row>
    <row r="3285" spans="2:2" x14ac:dyDescent="0.25">
      <c r="B3285"/>
    </row>
    <row r="3286" spans="2:2" x14ac:dyDescent="0.25">
      <c r="B3286"/>
    </row>
    <row r="3287" spans="2:2" x14ac:dyDescent="0.25">
      <c r="B3287"/>
    </row>
    <row r="3288" spans="2:2" x14ac:dyDescent="0.25">
      <c r="B3288"/>
    </row>
    <row r="3289" spans="2:2" x14ac:dyDescent="0.25">
      <c r="B3289"/>
    </row>
    <row r="3290" spans="2:2" x14ac:dyDescent="0.25">
      <c r="B3290"/>
    </row>
    <row r="3291" spans="2:2" x14ac:dyDescent="0.25">
      <c r="B3291"/>
    </row>
    <row r="3292" spans="2:2" x14ac:dyDescent="0.25">
      <c r="B3292"/>
    </row>
    <row r="3293" spans="2:2" x14ac:dyDescent="0.25">
      <c r="B3293"/>
    </row>
    <row r="3294" spans="2:2" x14ac:dyDescent="0.25">
      <c r="B3294"/>
    </row>
    <row r="3295" spans="2:2" x14ac:dyDescent="0.25">
      <c r="B3295"/>
    </row>
    <row r="3296" spans="2:2" x14ac:dyDescent="0.25">
      <c r="B3296"/>
    </row>
    <row r="3297" spans="2:2" x14ac:dyDescent="0.25">
      <c r="B3297"/>
    </row>
    <row r="3298" spans="2:2" x14ac:dyDescent="0.25">
      <c r="B3298"/>
    </row>
    <row r="3299" spans="2:2" x14ac:dyDescent="0.25">
      <c r="B3299"/>
    </row>
    <row r="3300" spans="2:2" x14ac:dyDescent="0.25">
      <c r="B3300"/>
    </row>
    <row r="3301" spans="2:2" x14ac:dyDescent="0.25">
      <c r="B3301"/>
    </row>
    <row r="3302" spans="2:2" x14ac:dyDescent="0.25">
      <c r="B3302"/>
    </row>
    <row r="3303" spans="2:2" x14ac:dyDescent="0.25">
      <c r="B3303"/>
    </row>
    <row r="3304" spans="2:2" x14ac:dyDescent="0.25">
      <c r="B3304"/>
    </row>
    <row r="3305" spans="2:2" x14ac:dyDescent="0.25">
      <c r="B3305"/>
    </row>
    <row r="3306" spans="2:2" x14ac:dyDescent="0.25">
      <c r="B3306"/>
    </row>
    <row r="3307" spans="2:2" x14ac:dyDescent="0.25">
      <c r="B3307"/>
    </row>
    <row r="3308" spans="2:2" x14ac:dyDescent="0.25">
      <c r="B3308"/>
    </row>
    <row r="3309" spans="2:2" x14ac:dyDescent="0.25">
      <c r="B3309"/>
    </row>
    <row r="3310" spans="2:2" x14ac:dyDescent="0.25">
      <c r="B3310"/>
    </row>
    <row r="3311" spans="2:2" x14ac:dyDescent="0.25">
      <c r="B3311"/>
    </row>
    <row r="3312" spans="2:2" x14ac:dyDescent="0.25">
      <c r="B3312"/>
    </row>
    <row r="3313" spans="2:2" x14ac:dyDescent="0.25">
      <c r="B3313"/>
    </row>
    <row r="3314" spans="2:2" x14ac:dyDescent="0.25">
      <c r="B3314"/>
    </row>
    <row r="3315" spans="2:2" x14ac:dyDescent="0.25">
      <c r="B3315"/>
    </row>
    <row r="3316" spans="2:2" x14ac:dyDescent="0.25">
      <c r="B3316"/>
    </row>
    <row r="3317" spans="2:2" x14ac:dyDescent="0.25">
      <c r="B3317"/>
    </row>
    <row r="3318" spans="2:2" x14ac:dyDescent="0.25">
      <c r="B3318"/>
    </row>
    <row r="3319" spans="2:2" x14ac:dyDescent="0.25">
      <c r="B3319"/>
    </row>
    <row r="3320" spans="2:2" x14ac:dyDescent="0.25">
      <c r="B3320"/>
    </row>
    <row r="3321" spans="2:2" x14ac:dyDescent="0.25">
      <c r="B3321"/>
    </row>
    <row r="3322" spans="2:2" x14ac:dyDescent="0.25">
      <c r="B3322"/>
    </row>
    <row r="3323" spans="2:2" x14ac:dyDescent="0.25">
      <c r="B3323"/>
    </row>
    <row r="3324" spans="2:2" x14ac:dyDescent="0.25">
      <c r="B3324"/>
    </row>
    <row r="3325" spans="2:2" x14ac:dyDescent="0.25">
      <c r="B3325"/>
    </row>
    <row r="3326" spans="2:2" x14ac:dyDescent="0.25">
      <c r="B3326"/>
    </row>
    <row r="3327" spans="2:2" x14ac:dyDescent="0.25">
      <c r="B3327"/>
    </row>
    <row r="3328" spans="2:2" x14ac:dyDescent="0.25">
      <c r="B3328"/>
    </row>
    <row r="3329" spans="2:2" x14ac:dyDescent="0.25">
      <c r="B3329"/>
    </row>
    <row r="3330" spans="2:2" x14ac:dyDescent="0.25">
      <c r="B3330"/>
    </row>
    <row r="3331" spans="2:2" x14ac:dyDescent="0.25">
      <c r="B3331"/>
    </row>
    <row r="3332" spans="2:2" x14ac:dyDescent="0.25">
      <c r="B3332"/>
    </row>
    <row r="3333" spans="2:2" x14ac:dyDescent="0.25">
      <c r="B3333"/>
    </row>
    <row r="3334" spans="2:2" x14ac:dyDescent="0.25">
      <c r="B3334"/>
    </row>
    <row r="3335" spans="2:2" x14ac:dyDescent="0.25">
      <c r="B3335"/>
    </row>
    <row r="3336" spans="2:2" x14ac:dyDescent="0.25">
      <c r="B3336"/>
    </row>
    <row r="3337" spans="2:2" x14ac:dyDescent="0.25">
      <c r="B3337"/>
    </row>
    <row r="3338" spans="2:2" x14ac:dyDescent="0.25">
      <c r="B3338"/>
    </row>
    <row r="3339" spans="2:2" x14ac:dyDescent="0.25">
      <c r="B3339"/>
    </row>
    <row r="3340" spans="2:2" x14ac:dyDescent="0.25">
      <c r="B3340"/>
    </row>
    <row r="3341" spans="2:2" x14ac:dyDescent="0.25">
      <c r="B3341"/>
    </row>
    <row r="3342" spans="2:2" x14ac:dyDescent="0.25">
      <c r="B3342"/>
    </row>
    <row r="3343" spans="2:2" x14ac:dyDescent="0.25">
      <c r="B3343"/>
    </row>
    <row r="3344" spans="2:2" x14ac:dyDescent="0.25">
      <c r="B3344"/>
    </row>
    <row r="3345" spans="2:2" x14ac:dyDescent="0.25">
      <c r="B3345"/>
    </row>
    <row r="3346" spans="2:2" x14ac:dyDescent="0.25">
      <c r="B3346"/>
    </row>
    <row r="3347" spans="2:2" x14ac:dyDescent="0.25">
      <c r="B3347"/>
    </row>
    <row r="3348" spans="2:2" x14ac:dyDescent="0.25">
      <c r="B3348"/>
    </row>
    <row r="3349" spans="2:2" x14ac:dyDescent="0.25">
      <c r="B3349"/>
    </row>
    <row r="3350" spans="2:2" x14ac:dyDescent="0.25">
      <c r="B3350"/>
    </row>
    <row r="3351" spans="2:2" x14ac:dyDescent="0.25">
      <c r="B3351"/>
    </row>
    <row r="3352" spans="2:2" x14ac:dyDescent="0.25">
      <c r="B3352"/>
    </row>
    <row r="3353" spans="2:2" x14ac:dyDescent="0.25">
      <c r="B3353"/>
    </row>
    <row r="3354" spans="2:2" x14ac:dyDescent="0.25">
      <c r="B3354"/>
    </row>
    <row r="3355" spans="2:2" x14ac:dyDescent="0.25">
      <c r="B3355"/>
    </row>
    <row r="3356" spans="2:2" x14ac:dyDescent="0.25">
      <c r="B3356"/>
    </row>
    <row r="3357" spans="2:2" x14ac:dyDescent="0.25">
      <c r="B3357"/>
    </row>
    <row r="3358" spans="2:2" x14ac:dyDescent="0.25">
      <c r="B3358"/>
    </row>
    <row r="3359" spans="2:2" x14ac:dyDescent="0.25">
      <c r="B3359"/>
    </row>
    <row r="3360" spans="2:2" x14ac:dyDescent="0.25">
      <c r="B3360"/>
    </row>
    <row r="3361" spans="2:2" x14ac:dyDescent="0.25">
      <c r="B3361"/>
    </row>
    <row r="3362" spans="2:2" x14ac:dyDescent="0.25">
      <c r="B3362"/>
    </row>
    <row r="3363" spans="2:2" x14ac:dyDescent="0.25">
      <c r="B3363"/>
    </row>
    <row r="3364" spans="2:2" x14ac:dyDescent="0.25">
      <c r="B3364"/>
    </row>
    <row r="3365" spans="2:2" x14ac:dyDescent="0.25">
      <c r="B3365"/>
    </row>
    <row r="3366" spans="2:2" x14ac:dyDescent="0.25">
      <c r="B3366"/>
    </row>
    <row r="3367" spans="2:2" x14ac:dyDescent="0.25">
      <c r="B3367"/>
    </row>
    <row r="3368" spans="2:2" x14ac:dyDescent="0.25">
      <c r="B3368"/>
    </row>
    <row r="3369" spans="2:2" x14ac:dyDescent="0.25">
      <c r="B3369"/>
    </row>
    <row r="3370" spans="2:2" x14ac:dyDescent="0.25">
      <c r="B3370"/>
    </row>
    <row r="3371" spans="2:2" x14ac:dyDescent="0.25">
      <c r="B3371"/>
    </row>
    <row r="3372" spans="2:2" x14ac:dyDescent="0.25">
      <c r="B3372"/>
    </row>
    <row r="3373" spans="2:2" x14ac:dyDescent="0.25">
      <c r="B3373"/>
    </row>
    <row r="3374" spans="2:2" x14ac:dyDescent="0.25">
      <c r="B3374"/>
    </row>
    <row r="3375" spans="2:2" x14ac:dyDescent="0.25">
      <c r="B3375"/>
    </row>
    <row r="3376" spans="2:2" x14ac:dyDescent="0.25">
      <c r="B3376"/>
    </row>
    <row r="3377" spans="2:2" x14ac:dyDescent="0.25">
      <c r="B3377"/>
    </row>
    <row r="3378" spans="2:2" x14ac:dyDescent="0.25">
      <c r="B3378"/>
    </row>
    <row r="3379" spans="2:2" x14ac:dyDescent="0.25">
      <c r="B3379"/>
    </row>
    <row r="3380" spans="2:2" x14ac:dyDescent="0.25">
      <c r="B3380"/>
    </row>
    <row r="3381" spans="2:2" x14ac:dyDescent="0.25">
      <c r="B3381"/>
    </row>
    <row r="3382" spans="2:2" x14ac:dyDescent="0.25">
      <c r="B3382"/>
    </row>
    <row r="3383" spans="2:2" x14ac:dyDescent="0.25">
      <c r="B3383"/>
    </row>
    <row r="3384" spans="2:2" x14ac:dyDescent="0.25">
      <c r="B3384"/>
    </row>
    <row r="3385" spans="2:2" x14ac:dyDescent="0.25">
      <c r="B3385"/>
    </row>
    <row r="3386" spans="2:2" x14ac:dyDescent="0.25">
      <c r="B3386"/>
    </row>
    <row r="3387" spans="2:2" x14ac:dyDescent="0.25">
      <c r="B3387"/>
    </row>
    <row r="3388" spans="2:2" x14ac:dyDescent="0.25">
      <c r="B3388"/>
    </row>
    <row r="3389" spans="2:2" x14ac:dyDescent="0.25">
      <c r="B3389"/>
    </row>
    <row r="3390" spans="2:2" x14ac:dyDescent="0.25">
      <c r="B3390"/>
    </row>
    <row r="3391" spans="2:2" x14ac:dyDescent="0.25">
      <c r="B3391"/>
    </row>
    <row r="3392" spans="2:2" x14ac:dyDescent="0.25">
      <c r="B3392"/>
    </row>
    <row r="3393" spans="2:2" x14ac:dyDescent="0.25">
      <c r="B3393"/>
    </row>
    <row r="3394" spans="2:2" x14ac:dyDescent="0.25">
      <c r="B3394"/>
    </row>
    <row r="3395" spans="2:2" x14ac:dyDescent="0.25">
      <c r="B3395"/>
    </row>
    <row r="3396" spans="2:2" x14ac:dyDescent="0.25">
      <c r="B3396"/>
    </row>
    <row r="3397" spans="2:2" x14ac:dyDescent="0.25">
      <c r="B3397"/>
    </row>
    <row r="3398" spans="2:2" x14ac:dyDescent="0.25">
      <c r="B3398"/>
    </row>
    <row r="3399" spans="2:2" x14ac:dyDescent="0.25">
      <c r="B3399"/>
    </row>
    <row r="3400" spans="2:2" x14ac:dyDescent="0.25">
      <c r="B3400"/>
    </row>
    <row r="3401" spans="2:2" x14ac:dyDescent="0.25">
      <c r="B3401"/>
    </row>
    <row r="3402" spans="2:2" x14ac:dyDescent="0.25">
      <c r="B3402"/>
    </row>
    <row r="3403" spans="2:2" x14ac:dyDescent="0.25">
      <c r="B3403"/>
    </row>
    <row r="3404" spans="2:2" x14ac:dyDescent="0.25">
      <c r="B3404"/>
    </row>
    <row r="3405" spans="2:2" x14ac:dyDescent="0.25">
      <c r="B3405"/>
    </row>
    <row r="3406" spans="2:2" x14ac:dyDescent="0.25">
      <c r="B3406"/>
    </row>
    <row r="3407" spans="2:2" x14ac:dyDescent="0.25">
      <c r="B3407"/>
    </row>
    <row r="3408" spans="2:2" x14ac:dyDescent="0.25">
      <c r="B3408"/>
    </row>
    <row r="3409" spans="2:2" x14ac:dyDescent="0.25">
      <c r="B3409"/>
    </row>
    <row r="3410" spans="2:2" x14ac:dyDescent="0.25">
      <c r="B3410"/>
    </row>
    <row r="3411" spans="2:2" x14ac:dyDescent="0.25">
      <c r="B3411"/>
    </row>
    <row r="3412" spans="2:2" x14ac:dyDescent="0.25">
      <c r="B3412"/>
    </row>
    <row r="3413" spans="2:2" x14ac:dyDescent="0.25">
      <c r="B3413"/>
    </row>
    <row r="3414" spans="2:2" x14ac:dyDescent="0.25">
      <c r="B3414"/>
    </row>
    <row r="3415" spans="2:2" x14ac:dyDescent="0.25">
      <c r="B3415"/>
    </row>
    <row r="3416" spans="2:2" x14ac:dyDescent="0.25">
      <c r="B3416"/>
    </row>
    <row r="3417" spans="2:2" x14ac:dyDescent="0.25">
      <c r="B3417"/>
    </row>
    <row r="3418" spans="2:2" x14ac:dyDescent="0.25">
      <c r="B3418"/>
    </row>
    <row r="3419" spans="2:2" x14ac:dyDescent="0.25">
      <c r="B3419"/>
    </row>
    <row r="3420" spans="2:2" x14ac:dyDescent="0.25">
      <c r="B3420"/>
    </row>
    <row r="3421" spans="2:2" x14ac:dyDescent="0.25">
      <c r="B3421"/>
    </row>
    <row r="3422" spans="2:2" x14ac:dyDescent="0.25">
      <c r="B3422"/>
    </row>
    <row r="3423" spans="2:2" x14ac:dyDescent="0.25">
      <c r="B3423"/>
    </row>
    <row r="3424" spans="2:2" x14ac:dyDescent="0.25">
      <c r="B3424"/>
    </row>
    <row r="3425" spans="2:2" x14ac:dyDescent="0.25">
      <c r="B3425"/>
    </row>
    <row r="3426" spans="2:2" x14ac:dyDescent="0.25">
      <c r="B3426"/>
    </row>
    <row r="3427" spans="2:2" x14ac:dyDescent="0.25">
      <c r="B3427"/>
    </row>
    <row r="3428" spans="2:2" x14ac:dyDescent="0.25">
      <c r="B3428"/>
    </row>
    <row r="3429" spans="2:2" x14ac:dyDescent="0.25">
      <c r="B3429"/>
    </row>
    <row r="3430" spans="2:2" x14ac:dyDescent="0.25">
      <c r="B3430"/>
    </row>
    <row r="3431" spans="2:2" x14ac:dyDescent="0.25">
      <c r="B3431"/>
    </row>
    <row r="3432" spans="2:2" x14ac:dyDescent="0.25">
      <c r="B3432"/>
    </row>
    <row r="3433" spans="2:2" x14ac:dyDescent="0.25">
      <c r="B3433"/>
    </row>
    <row r="3434" spans="2:2" x14ac:dyDescent="0.25">
      <c r="B3434"/>
    </row>
    <row r="3435" spans="2:2" x14ac:dyDescent="0.25">
      <c r="B3435"/>
    </row>
    <row r="3436" spans="2:2" x14ac:dyDescent="0.25">
      <c r="B3436"/>
    </row>
    <row r="3437" spans="2:2" x14ac:dyDescent="0.25">
      <c r="B3437"/>
    </row>
    <row r="3438" spans="2:2" x14ac:dyDescent="0.25">
      <c r="B3438"/>
    </row>
    <row r="3439" spans="2:2" x14ac:dyDescent="0.25">
      <c r="B3439"/>
    </row>
    <row r="3440" spans="2:2" x14ac:dyDescent="0.25">
      <c r="B3440"/>
    </row>
    <row r="3441" spans="2:2" x14ac:dyDescent="0.25">
      <c r="B3441"/>
    </row>
    <row r="3442" spans="2:2" x14ac:dyDescent="0.25">
      <c r="B3442"/>
    </row>
    <row r="3443" spans="2:2" x14ac:dyDescent="0.25">
      <c r="B3443"/>
    </row>
    <row r="3444" spans="2:2" x14ac:dyDescent="0.25">
      <c r="B3444"/>
    </row>
    <row r="3445" spans="2:2" x14ac:dyDescent="0.25">
      <c r="B3445"/>
    </row>
    <row r="3446" spans="2:2" x14ac:dyDescent="0.25">
      <c r="B3446"/>
    </row>
    <row r="3447" spans="2:2" x14ac:dyDescent="0.25">
      <c r="B3447"/>
    </row>
    <row r="3448" spans="2:2" x14ac:dyDescent="0.25">
      <c r="B3448"/>
    </row>
    <row r="3449" spans="2:2" x14ac:dyDescent="0.25">
      <c r="B3449"/>
    </row>
    <row r="3450" spans="2:2" x14ac:dyDescent="0.25">
      <c r="B3450"/>
    </row>
    <row r="3451" spans="2:2" x14ac:dyDescent="0.25">
      <c r="B3451"/>
    </row>
    <row r="3452" spans="2:2" x14ac:dyDescent="0.25">
      <c r="B3452"/>
    </row>
    <row r="3453" spans="2:2" x14ac:dyDescent="0.25">
      <c r="B3453"/>
    </row>
    <row r="3454" spans="2:2" x14ac:dyDescent="0.25">
      <c r="B3454"/>
    </row>
    <row r="3455" spans="2:2" x14ac:dyDescent="0.25">
      <c r="B3455"/>
    </row>
    <row r="3456" spans="2:2" x14ac:dyDescent="0.25">
      <c r="B3456"/>
    </row>
    <row r="3457" spans="2:2" x14ac:dyDescent="0.25">
      <c r="B3457"/>
    </row>
    <row r="3458" spans="2:2" x14ac:dyDescent="0.25">
      <c r="B3458"/>
    </row>
    <row r="3459" spans="2:2" x14ac:dyDescent="0.25">
      <c r="B3459"/>
    </row>
    <row r="3460" spans="2:2" x14ac:dyDescent="0.25">
      <c r="B3460"/>
    </row>
    <row r="3461" spans="2:2" x14ac:dyDescent="0.25">
      <c r="B3461"/>
    </row>
    <row r="3462" spans="2:2" x14ac:dyDescent="0.25">
      <c r="B3462"/>
    </row>
    <row r="3463" spans="2:2" x14ac:dyDescent="0.25">
      <c r="B3463"/>
    </row>
    <row r="3464" spans="2:2" x14ac:dyDescent="0.25">
      <c r="B3464"/>
    </row>
    <row r="3465" spans="2:2" x14ac:dyDescent="0.25">
      <c r="B3465"/>
    </row>
    <row r="3466" spans="2:2" x14ac:dyDescent="0.25">
      <c r="B3466"/>
    </row>
    <row r="3467" spans="2:2" x14ac:dyDescent="0.25">
      <c r="B3467"/>
    </row>
    <row r="3468" spans="2:2" x14ac:dyDescent="0.25">
      <c r="B3468"/>
    </row>
    <row r="3469" spans="2:2" x14ac:dyDescent="0.25">
      <c r="B3469"/>
    </row>
    <row r="3470" spans="2:2" x14ac:dyDescent="0.25">
      <c r="B3470"/>
    </row>
    <row r="3471" spans="2:2" x14ac:dyDescent="0.25">
      <c r="B3471"/>
    </row>
    <row r="3472" spans="2:2" x14ac:dyDescent="0.25">
      <c r="B3472"/>
    </row>
    <row r="3473" spans="2:2" x14ac:dyDescent="0.25">
      <c r="B3473"/>
    </row>
    <row r="3474" spans="2:2" x14ac:dyDescent="0.25">
      <c r="B3474"/>
    </row>
    <row r="3475" spans="2:2" x14ac:dyDescent="0.25">
      <c r="B3475"/>
    </row>
    <row r="3476" spans="2:2" x14ac:dyDescent="0.25">
      <c r="B3476"/>
    </row>
    <row r="3477" spans="2:2" x14ac:dyDescent="0.25">
      <c r="B3477"/>
    </row>
    <row r="3478" spans="2:2" x14ac:dyDescent="0.25">
      <c r="B3478"/>
    </row>
    <row r="3479" spans="2:2" x14ac:dyDescent="0.25">
      <c r="B3479"/>
    </row>
    <row r="3480" spans="2:2" x14ac:dyDescent="0.25">
      <c r="B3480"/>
    </row>
    <row r="3481" spans="2:2" x14ac:dyDescent="0.25">
      <c r="B3481"/>
    </row>
    <row r="3482" spans="2:2" x14ac:dyDescent="0.25">
      <c r="B3482"/>
    </row>
    <row r="3483" spans="2:2" x14ac:dyDescent="0.25">
      <c r="B3483"/>
    </row>
    <row r="3484" spans="2:2" x14ac:dyDescent="0.25">
      <c r="B3484"/>
    </row>
    <row r="3485" spans="2:2" x14ac:dyDescent="0.25">
      <c r="B3485"/>
    </row>
    <row r="3486" spans="2:2" x14ac:dyDescent="0.25">
      <c r="B3486"/>
    </row>
    <row r="3487" spans="2:2" x14ac:dyDescent="0.25">
      <c r="B3487"/>
    </row>
    <row r="3488" spans="2:2" x14ac:dyDescent="0.25">
      <c r="B3488"/>
    </row>
    <row r="3489" spans="2:2" x14ac:dyDescent="0.25">
      <c r="B3489"/>
    </row>
    <row r="3490" spans="2:2" x14ac:dyDescent="0.25">
      <c r="B3490"/>
    </row>
    <row r="3491" spans="2:2" x14ac:dyDescent="0.25">
      <c r="B3491"/>
    </row>
    <row r="3492" spans="2:2" x14ac:dyDescent="0.25">
      <c r="B3492"/>
    </row>
    <row r="3493" spans="2:2" x14ac:dyDescent="0.25">
      <c r="B3493"/>
    </row>
    <row r="3494" spans="2:2" x14ac:dyDescent="0.25">
      <c r="B3494"/>
    </row>
    <row r="3495" spans="2:2" x14ac:dyDescent="0.25">
      <c r="B3495"/>
    </row>
    <row r="3496" spans="2:2" x14ac:dyDescent="0.25">
      <c r="B3496"/>
    </row>
    <row r="3497" spans="2:2" x14ac:dyDescent="0.25">
      <c r="B3497"/>
    </row>
    <row r="3498" spans="2:2" x14ac:dyDescent="0.25">
      <c r="B3498"/>
    </row>
    <row r="3499" spans="2:2" x14ac:dyDescent="0.25">
      <c r="B3499"/>
    </row>
    <row r="3500" spans="2:2" x14ac:dyDescent="0.25">
      <c r="B3500"/>
    </row>
    <row r="3501" spans="2:2" x14ac:dyDescent="0.25">
      <c r="B3501"/>
    </row>
    <row r="3502" spans="2:2" x14ac:dyDescent="0.25">
      <c r="B3502"/>
    </row>
    <row r="3503" spans="2:2" x14ac:dyDescent="0.25">
      <c r="B3503"/>
    </row>
    <row r="3504" spans="2:2" x14ac:dyDescent="0.25">
      <c r="B3504"/>
    </row>
    <row r="3505" spans="2:2" x14ac:dyDescent="0.25">
      <c r="B3505"/>
    </row>
    <row r="3506" spans="2:2" x14ac:dyDescent="0.25">
      <c r="B3506"/>
    </row>
    <row r="3507" spans="2:2" x14ac:dyDescent="0.25">
      <c r="B3507"/>
    </row>
    <row r="3508" spans="2:2" x14ac:dyDescent="0.25">
      <c r="B3508"/>
    </row>
    <row r="3509" spans="2:2" x14ac:dyDescent="0.25">
      <c r="B3509"/>
    </row>
    <row r="3510" spans="2:2" x14ac:dyDescent="0.25">
      <c r="B3510"/>
    </row>
    <row r="3511" spans="2:2" x14ac:dyDescent="0.25">
      <c r="B3511"/>
    </row>
    <row r="3512" spans="2:2" x14ac:dyDescent="0.25">
      <c r="B3512"/>
    </row>
    <row r="3513" spans="2:2" x14ac:dyDescent="0.25">
      <c r="B3513"/>
    </row>
    <row r="3514" spans="2:2" x14ac:dyDescent="0.25">
      <c r="B3514"/>
    </row>
    <row r="3515" spans="2:2" x14ac:dyDescent="0.25">
      <c r="B3515"/>
    </row>
    <row r="3516" spans="2:2" x14ac:dyDescent="0.25">
      <c r="B3516"/>
    </row>
    <row r="3517" spans="2:2" x14ac:dyDescent="0.25">
      <c r="B3517"/>
    </row>
    <row r="3518" spans="2:2" x14ac:dyDescent="0.25">
      <c r="B3518"/>
    </row>
    <row r="3519" spans="2:2" x14ac:dyDescent="0.25">
      <c r="B3519"/>
    </row>
    <row r="3520" spans="2:2" x14ac:dyDescent="0.25">
      <c r="B3520"/>
    </row>
    <row r="3521" spans="2:2" x14ac:dyDescent="0.25">
      <c r="B3521"/>
    </row>
    <row r="3522" spans="2:2" x14ac:dyDescent="0.25">
      <c r="B3522"/>
    </row>
    <row r="3523" spans="2:2" x14ac:dyDescent="0.25">
      <c r="B3523"/>
    </row>
    <row r="3524" spans="2:2" x14ac:dyDescent="0.25">
      <c r="B3524"/>
    </row>
    <row r="3525" spans="2:2" x14ac:dyDescent="0.25">
      <c r="B3525"/>
    </row>
    <row r="3526" spans="2:2" x14ac:dyDescent="0.25">
      <c r="B3526"/>
    </row>
    <row r="3527" spans="2:2" x14ac:dyDescent="0.25">
      <c r="B3527"/>
    </row>
    <row r="3528" spans="2:2" x14ac:dyDescent="0.25">
      <c r="B3528"/>
    </row>
    <row r="3529" spans="2:2" x14ac:dyDescent="0.25">
      <c r="B3529"/>
    </row>
    <row r="3530" spans="2:2" x14ac:dyDescent="0.25">
      <c r="B3530"/>
    </row>
    <row r="3531" spans="2:2" x14ac:dyDescent="0.25">
      <c r="B3531"/>
    </row>
    <row r="3532" spans="2:2" x14ac:dyDescent="0.25">
      <c r="B3532"/>
    </row>
    <row r="3533" spans="2:2" x14ac:dyDescent="0.25">
      <c r="B3533"/>
    </row>
    <row r="3534" spans="2:2" x14ac:dyDescent="0.25">
      <c r="B3534"/>
    </row>
    <row r="3535" spans="2:2" x14ac:dyDescent="0.25">
      <c r="B3535"/>
    </row>
    <row r="3536" spans="2:2" x14ac:dyDescent="0.25">
      <c r="B3536"/>
    </row>
    <row r="3537" spans="2:2" x14ac:dyDescent="0.25">
      <c r="B3537"/>
    </row>
    <row r="3538" spans="2:2" x14ac:dyDescent="0.25">
      <c r="B3538"/>
    </row>
    <row r="3539" spans="2:2" x14ac:dyDescent="0.25">
      <c r="B3539"/>
    </row>
    <row r="3540" spans="2:2" x14ac:dyDescent="0.25">
      <c r="B3540"/>
    </row>
    <row r="3541" spans="2:2" x14ac:dyDescent="0.25">
      <c r="B3541"/>
    </row>
    <row r="3542" spans="2:2" x14ac:dyDescent="0.25">
      <c r="B3542"/>
    </row>
    <row r="3543" spans="2:2" x14ac:dyDescent="0.25">
      <c r="B3543"/>
    </row>
    <row r="3544" spans="2:2" x14ac:dyDescent="0.25">
      <c r="B3544"/>
    </row>
    <row r="3545" spans="2:2" x14ac:dyDescent="0.25">
      <c r="B3545"/>
    </row>
    <row r="3546" spans="2:2" x14ac:dyDescent="0.25">
      <c r="B3546"/>
    </row>
    <row r="3547" spans="2:2" x14ac:dyDescent="0.25">
      <c r="B3547"/>
    </row>
    <row r="3548" spans="2:2" x14ac:dyDescent="0.25">
      <c r="B3548"/>
    </row>
    <row r="3549" spans="2:2" x14ac:dyDescent="0.25">
      <c r="B3549"/>
    </row>
    <row r="3550" spans="2:2" x14ac:dyDescent="0.25">
      <c r="B3550"/>
    </row>
    <row r="3551" spans="2:2" x14ac:dyDescent="0.25">
      <c r="B3551"/>
    </row>
    <row r="3552" spans="2:2" x14ac:dyDescent="0.25">
      <c r="B3552"/>
    </row>
    <row r="3553" spans="2:2" x14ac:dyDescent="0.25">
      <c r="B3553"/>
    </row>
    <row r="3554" spans="2:2" x14ac:dyDescent="0.25">
      <c r="B3554"/>
    </row>
    <row r="3555" spans="2:2" x14ac:dyDescent="0.25">
      <c r="B3555"/>
    </row>
    <row r="3556" spans="2:2" x14ac:dyDescent="0.25">
      <c r="B3556"/>
    </row>
    <row r="3557" spans="2:2" x14ac:dyDescent="0.25">
      <c r="B3557"/>
    </row>
    <row r="3558" spans="2:2" x14ac:dyDescent="0.25">
      <c r="B3558"/>
    </row>
    <row r="3559" spans="2:2" x14ac:dyDescent="0.25">
      <c r="B3559"/>
    </row>
    <row r="3560" spans="2:2" x14ac:dyDescent="0.25">
      <c r="B3560"/>
    </row>
    <row r="3561" spans="2:2" x14ac:dyDescent="0.25">
      <c r="B3561"/>
    </row>
    <row r="3562" spans="2:2" x14ac:dyDescent="0.25">
      <c r="B3562"/>
    </row>
    <row r="3563" spans="2:2" x14ac:dyDescent="0.25">
      <c r="B3563"/>
    </row>
    <row r="3564" spans="2:2" x14ac:dyDescent="0.25">
      <c r="B3564"/>
    </row>
    <row r="3565" spans="2:2" x14ac:dyDescent="0.25">
      <c r="B3565"/>
    </row>
    <row r="3566" spans="2:2" x14ac:dyDescent="0.25">
      <c r="B3566"/>
    </row>
    <row r="3567" spans="2:2" x14ac:dyDescent="0.25">
      <c r="B3567"/>
    </row>
    <row r="3568" spans="2:2" x14ac:dyDescent="0.25">
      <c r="B3568"/>
    </row>
    <row r="3569" spans="2:2" x14ac:dyDescent="0.25">
      <c r="B3569"/>
    </row>
    <row r="3570" spans="2:2" x14ac:dyDescent="0.25">
      <c r="B3570"/>
    </row>
    <row r="3571" spans="2:2" x14ac:dyDescent="0.25">
      <c r="B3571"/>
    </row>
    <row r="3572" spans="2:2" x14ac:dyDescent="0.25">
      <c r="B3572"/>
    </row>
    <row r="3573" spans="2:2" x14ac:dyDescent="0.25">
      <c r="B3573"/>
    </row>
    <row r="3574" spans="2:2" x14ac:dyDescent="0.25">
      <c r="B3574"/>
    </row>
    <row r="3575" spans="2:2" x14ac:dyDescent="0.25">
      <c r="B3575"/>
    </row>
    <row r="3576" spans="2:2" x14ac:dyDescent="0.25">
      <c r="B3576"/>
    </row>
    <row r="3577" spans="2:2" x14ac:dyDescent="0.25">
      <c r="B3577"/>
    </row>
    <row r="3578" spans="2:2" x14ac:dyDescent="0.25">
      <c r="B3578"/>
    </row>
    <row r="3579" spans="2:2" x14ac:dyDescent="0.25">
      <c r="B3579"/>
    </row>
    <row r="3580" spans="2:2" x14ac:dyDescent="0.25">
      <c r="B3580"/>
    </row>
    <row r="3581" spans="2:2" x14ac:dyDescent="0.25">
      <c r="B3581"/>
    </row>
    <row r="3582" spans="2:2" x14ac:dyDescent="0.25">
      <c r="B3582"/>
    </row>
    <row r="3583" spans="2:2" x14ac:dyDescent="0.25">
      <c r="B3583"/>
    </row>
    <row r="3584" spans="2:2" x14ac:dyDescent="0.25">
      <c r="B3584"/>
    </row>
    <row r="3585" spans="2:2" x14ac:dyDescent="0.25">
      <c r="B3585"/>
    </row>
    <row r="3586" spans="2:2" x14ac:dyDescent="0.25">
      <c r="B3586"/>
    </row>
    <row r="3587" spans="2:2" x14ac:dyDescent="0.25">
      <c r="B3587"/>
    </row>
    <row r="3588" spans="2:2" x14ac:dyDescent="0.25">
      <c r="B3588"/>
    </row>
    <row r="3589" spans="2:2" x14ac:dyDescent="0.25">
      <c r="B3589"/>
    </row>
    <row r="3590" spans="2:2" x14ac:dyDescent="0.25">
      <c r="B3590"/>
    </row>
    <row r="3591" spans="2:2" x14ac:dyDescent="0.25">
      <c r="B3591"/>
    </row>
    <row r="3592" spans="2:2" x14ac:dyDescent="0.25">
      <c r="B3592"/>
    </row>
    <row r="3593" spans="2:2" x14ac:dyDescent="0.25">
      <c r="B3593"/>
    </row>
    <row r="3594" spans="2:2" x14ac:dyDescent="0.25">
      <c r="B3594"/>
    </row>
    <row r="3595" spans="2:2" x14ac:dyDescent="0.25">
      <c r="B3595"/>
    </row>
    <row r="3596" spans="2:2" x14ac:dyDescent="0.25">
      <c r="B3596"/>
    </row>
    <row r="3597" spans="2:2" x14ac:dyDescent="0.25">
      <c r="B3597"/>
    </row>
    <row r="3598" spans="2:2" x14ac:dyDescent="0.25">
      <c r="B3598"/>
    </row>
    <row r="3599" spans="2:2" x14ac:dyDescent="0.25">
      <c r="B3599"/>
    </row>
    <row r="3600" spans="2:2" x14ac:dyDescent="0.25">
      <c r="B3600"/>
    </row>
    <row r="3601" spans="2:2" x14ac:dyDescent="0.25">
      <c r="B3601"/>
    </row>
    <row r="3602" spans="2:2" x14ac:dyDescent="0.25">
      <c r="B3602"/>
    </row>
    <row r="3603" spans="2:2" x14ac:dyDescent="0.25">
      <c r="B3603"/>
    </row>
    <row r="3604" spans="2:2" x14ac:dyDescent="0.25">
      <c r="B3604"/>
    </row>
    <row r="3605" spans="2:2" x14ac:dyDescent="0.25">
      <c r="B3605"/>
    </row>
    <row r="3606" spans="2:2" x14ac:dyDescent="0.25">
      <c r="B3606"/>
    </row>
    <row r="3607" spans="2:2" x14ac:dyDescent="0.25">
      <c r="B3607"/>
    </row>
    <row r="3608" spans="2:2" x14ac:dyDescent="0.25">
      <c r="B3608"/>
    </row>
    <row r="3609" spans="2:2" x14ac:dyDescent="0.25">
      <c r="B3609"/>
    </row>
    <row r="3610" spans="2:2" x14ac:dyDescent="0.25">
      <c r="B3610"/>
    </row>
    <row r="3611" spans="2:2" x14ac:dyDescent="0.25">
      <c r="B3611"/>
    </row>
    <row r="3612" spans="2:2" x14ac:dyDescent="0.25">
      <c r="B3612"/>
    </row>
    <row r="3613" spans="2:2" x14ac:dyDescent="0.25">
      <c r="B3613"/>
    </row>
    <row r="3614" spans="2:2" x14ac:dyDescent="0.25">
      <c r="B3614"/>
    </row>
    <row r="3615" spans="2:2" x14ac:dyDescent="0.25">
      <c r="B3615"/>
    </row>
    <row r="3616" spans="2:2" x14ac:dyDescent="0.25">
      <c r="B3616"/>
    </row>
    <row r="3617" spans="2:2" x14ac:dyDescent="0.25">
      <c r="B3617"/>
    </row>
    <row r="3618" spans="2:2" x14ac:dyDescent="0.25">
      <c r="B3618"/>
    </row>
    <row r="3619" spans="2:2" x14ac:dyDescent="0.25">
      <c r="B3619"/>
    </row>
    <row r="3620" spans="2:2" x14ac:dyDescent="0.25">
      <c r="B3620"/>
    </row>
    <row r="3621" spans="2:2" x14ac:dyDescent="0.25">
      <c r="B3621"/>
    </row>
    <row r="3622" spans="2:2" x14ac:dyDescent="0.25">
      <c r="B3622"/>
    </row>
    <row r="3623" spans="2:2" x14ac:dyDescent="0.25">
      <c r="B3623"/>
    </row>
    <row r="3624" spans="2:2" x14ac:dyDescent="0.25">
      <c r="B3624"/>
    </row>
    <row r="3625" spans="2:2" x14ac:dyDescent="0.25">
      <c r="B3625"/>
    </row>
    <row r="3626" spans="2:2" x14ac:dyDescent="0.25">
      <c r="B3626"/>
    </row>
    <row r="3627" spans="2:2" x14ac:dyDescent="0.25">
      <c r="B3627"/>
    </row>
    <row r="3628" spans="2:2" x14ac:dyDescent="0.25">
      <c r="B3628"/>
    </row>
    <row r="3629" spans="2:2" x14ac:dyDescent="0.25">
      <c r="B3629"/>
    </row>
    <row r="3630" spans="2:2" x14ac:dyDescent="0.25">
      <c r="B3630"/>
    </row>
    <row r="3631" spans="2:2" x14ac:dyDescent="0.25">
      <c r="B3631"/>
    </row>
    <row r="3632" spans="2:2" x14ac:dyDescent="0.25">
      <c r="B3632"/>
    </row>
    <row r="3633" spans="2:2" x14ac:dyDescent="0.25">
      <c r="B3633"/>
    </row>
    <row r="3634" spans="2:2" x14ac:dyDescent="0.25">
      <c r="B3634"/>
    </row>
    <row r="3635" spans="2:2" x14ac:dyDescent="0.25">
      <c r="B3635"/>
    </row>
    <row r="3636" spans="2:2" x14ac:dyDescent="0.25">
      <c r="B3636"/>
    </row>
    <row r="3637" spans="2:2" x14ac:dyDescent="0.25">
      <c r="B3637"/>
    </row>
    <row r="3638" spans="2:2" x14ac:dyDescent="0.25">
      <c r="B3638"/>
    </row>
    <row r="3639" spans="2:2" x14ac:dyDescent="0.25">
      <c r="B3639"/>
    </row>
    <row r="3640" spans="2:2" x14ac:dyDescent="0.25">
      <c r="B3640"/>
    </row>
    <row r="3641" spans="2:2" x14ac:dyDescent="0.25">
      <c r="B3641"/>
    </row>
    <row r="3642" spans="2:2" x14ac:dyDescent="0.25">
      <c r="B3642"/>
    </row>
    <row r="3643" spans="2:2" x14ac:dyDescent="0.25">
      <c r="B3643"/>
    </row>
    <row r="3644" spans="2:2" x14ac:dyDescent="0.25">
      <c r="B3644"/>
    </row>
    <row r="3645" spans="2:2" x14ac:dyDescent="0.25">
      <c r="B3645"/>
    </row>
    <row r="3646" spans="2:2" x14ac:dyDescent="0.25">
      <c r="B3646"/>
    </row>
    <row r="3647" spans="2:2" x14ac:dyDescent="0.25">
      <c r="B3647"/>
    </row>
    <row r="3648" spans="2:2" x14ac:dyDescent="0.25">
      <c r="B3648"/>
    </row>
    <row r="3649" spans="2:2" x14ac:dyDescent="0.25">
      <c r="B3649"/>
    </row>
    <row r="3650" spans="2:2" x14ac:dyDescent="0.25">
      <c r="B3650"/>
    </row>
    <row r="3651" spans="2:2" x14ac:dyDescent="0.25">
      <c r="B3651"/>
    </row>
    <row r="3652" spans="2:2" x14ac:dyDescent="0.25">
      <c r="B3652"/>
    </row>
    <row r="3653" spans="2:2" x14ac:dyDescent="0.25">
      <c r="B3653"/>
    </row>
    <row r="3654" spans="2:2" x14ac:dyDescent="0.25">
      <c r="B3654"/>
    </row>
    <row r="3655" spans="2:2" x14ac:dyDescent="0.25">
      <c r="B3655"/>
    </row>
    <row r="3656" spans="2:2" x14ac:dyDescent="0.25">
      <c r="B3656"/>
    </row>
    <row r="3657" spans="2:2" x14ac:dyDescent="0.25">
      <c r="B3657"/>
    </row>
    <row r="3658" spans="2:2" x14ac:dyDescent="0.25">
      <c r="B3658"/>
    </row>
    <row r="3659" spans="2:2" x14ac:dyDescent="0.25">
      <c r="B3659"/>
    </row>
    <row r="3660" spans="2:2" x14ac:dyDescent="0.25">
      <c r="B3660"/>
    </row>
    <row r="3661" spans="2:2" x14ac:dyDescent="0.25">
      <c r="B3661"/>
    </row>
    <row r="3662" spans="2:2" x14ac:dyDescent="0.25">
      <c r="B3662"/>
    </row>
    <row r="3663" spans="2:2" x14ac:dyDescent="0.25">
      <c r="B3663"/>
    </row>
    <row r="3664" spans="2:2" x14ac:dyDescent="0.25">
      <c r="B3664"/>
    </row>
    <row r="3665" spans="2:2" x14ac:dyDescent="0.25">
      <c r="B3665"/>
    </row>
    <row r="3666" spans="2:2" x14ac:dyDescent="0.25">
      <c r="B3666"/>
    </row>
    <row r="3667" spans="2:2" x14ac:dyDescent="0.25">
      <c r="B3667"/>
    </row>
    <row r="3668" spans="2:2" x14ac:dyDescent="0.25">
      <c r="B3668"/>
    </row>
    <row r="3669" spans="2:2" x14ac:dyDescent="0.25">
      <c r="B3669"/>
    </row>
    <row r="3670" spans="2:2" x14ac:dyDescent="0.25">
      <c r="B3670"/>
    </row>
    <row r="3671" spans="2:2" x14ac:dyDescent="0.25">
      <c r="B3671"/>
    </row>
    <row r="3672" spans="2:2" x14ac:dyDescent="0.25">
      <c r="B3672"/>
    </row>
    <row r="3673" spans="2:2" x14ac:dyDescent="0.25">
      <c r="B3673"/>
    </row>
    <row r="3674" spans="2:2" x14ac:dyDescent="0.25">
      <c r="B3674"/>
    </row>
    <row r="3675" spans="2:2" x14ac:dyDescent="0.25">
      <c r="B3675"/>
    </row>
    <row r="3676" spans="2:2" x14ac:dyDescent="0.25">
      <c r="B3676"/>
    </row>
    <row r="3677" spans="2:2" x14ac:dyDescent="0.25">
      <c r="B3677"/>
    </row>
    <row r="3678" spans="2:2" x14ac:dyDescent="0.25">
      <c r="B3678"/>
    </row>
    <row r="3679" spans="2:2" x14ac:dyDescent="0.25">
      <c r="B3679"/>
    </row>
    <row r="3680" spans="2:2" x14ac:dyDescent="0.25">
      <c r="B3680"/>
    </row>
    <row r="3681" spans="2:2" x14ac:dyDescent="0.25">
      <c r="B3681"/>
    </row>
    <row r="3682" spans="2:2" x14ac:dyDescent="0.25">
      <c r="B3682"/>
    </row>
    <row r="3683" spans="2:2" x14ac:dyDescent="0.25">
      <c r="B3683"/>
    </row>
    <row r="3684" spans="2:2" x14ac:dyDescent="0.25">
      <c r="B3684"/>
    </row>
    <row r="3685" spans="2:2" x14ac:dyDescent="0.25">
      <c r="B3685"/>
    </row>
    <row r="3686" spans="2:2" x14ac:dyDescent="0.25">
      <c r="B3686"/>
    </row>
    <row r="3687" spans="2:2" x14ac:dyDescent="0.25">
      <c r="B3687"/>
    </row>
    <row r="3688" spans="2:2" x14ac:dyDescent="0.25">
      <c r="B3688"/>
    </row>
    <row r="3689" spans="2:2" x14ac:dyDescent="0.25">
      <c r="B3689"/>
    </row>
    <row r="3690" spans="2:2" x14ac:dyDescent="0.25">
      <c r="B3690"/>
    </row>
    <row r="3691" spans="2:2" x14ac:dyDescent="0.25">
      <c r="B3691"/>
    </row>
    <row r="3692" spans="2:2" x14ac:dyDescent="0.25">
      <c r="B3692"/>
    </row>
    <row r="3693" spans="2:2" x14ac:dyDescent="0.25">
      <c r="B3693"/>
    </row>
    <row r="3694" spans="2:2" x14ac:dyDescent="0.25">
      <c r="B3694"/>
    </row>
    <row r="3695" spans="2:2" x14ac:dyDescent="0.25">
      <c r="B3695"/>
    </row>
    <row r="3696" spans="2:2" x14ac:dyDescent="0.25">
      <c r="B3696"/>
    </row>
    <row r="3697" spans="2:2" x14ac:dyDescent="0.25">
      <c r="B3697"/>
    </row>
    <row r="3698" spans="2:2" x14ac:dyDescent="0.25">
      <c r="B3698"/>
    </row>
    <row r="3699" spans="2:2" x14ac:dyDescent="0.25">
      <c r="B3699"/>
    </row>
    <row r="3700" spans="2:2" x14ac:dyDescent="0.25">
      <c r="B3700"/>
    </row>
    <row r="3701" spans="2:2" x14ac:dyDescent="0.25">
      <c r="B3701"/>
    </row>
    <row r="3702" spans="2:2" x14ac:dyDescent="0.25">
      <c r="B3702"/>
    </row>
    <row r="3703" spans="2:2" x14ac:dyDescent="0.25">
      <c r="B3703"/>
    </row>
    <row r="3704" spans="2:2" x14ac:dyDescent="0.25">
      <c r="B3704"/>
    </row>
    <row r="3705" spans="2:2" x14ac:dyDescent="0.25">
      <c r="B3705"/>
    </row>
    <row r="3706" spans="2:2" x14ac:dyDescent="0.25">
      <c r="B3706"/>
    </row>
    <row r="3707" spans="2:2" x14ac:dyDescent="0.25">
      <c r="B3707"/>
    </row>
    <row r="3708" spans="2:2" x14ac:dyDescent="0.25">
      <c r="B3708"/>
    </row>
    <row r="3709" spans="2:2" x14ac:dyDescent="0.25">
      <c r="B3709"/>
    </row>
    <row r="3710" spans="2:2" x14ac:dyDescent="0.25">
      <c r="B3710"/>
    </row>
    <row r="3711" spans="2:2" x14ac:dyDescent="0.25">
      <c r="B3711"/>
    </row>
    <row r="3712" spans="2:2" x14ac:dyDescent="0.25">
      <c r="B3712"/>
    </row>
    <row r="3713" spans="2:2" x14ac:dyDescent="0.25">
      <c r="B3713"/>
    </row>
    <row r="3714" spans="2:2" x14ac:dyDescent="0.25">
      <c r="B3714"/>
    </row>
    <row r="3715" spans="2:2" x14ac:dyDescent="0.25">
      <c r="B3715"/>
    </row>
    <row r="3716" spans="2:2" x14ac:dyDescent="0.25">
      <c r="B3716"/>
    </row>
    <row r="3717" spans="2:2" x14ac:dyDescent="0.25">
      <c r="B3717"/>
    </row>
    <row r="3718" spans="2:2" x14ac:dyDescent="0.25">
      <c r="B3718"/>
    </row>
    <row r="3719" spans="2:2" x14ac:dyDescent="0.25">
      <c r="B3719"/>
    </row>
    <row r="3720" spans="2:2" x14ac:dyDescent="0.25">
      <c r="B3720"/>
    </row>
    <row r="3721" spans="2:2" x14ac:dyDescent="0.25">
      <c r="B3721"/>
    </row>
    <row r="3722" spans="2:2" x14ac:dyDescent="0.25">
      <c r="B3722"/>
    </row>
    <row r="3723" spans="2:2" x14ac:dyDescent="0.25">
      <c r="B3723"/>
    </row>
    <row r="3724" spans="2:2" x14ac:dyDescent="0.25">
      <c r="B3724"/>
    </row>
    <row r="3725" spans="2:2" x14ac:dyDescent="0.25">
      <c r="B3725"/>
    </row>
    <row r="3726" spans="2:2" x14ac:dyDescent="0.25">
      <c r="B3726"/>
    </row>
    <row r="3727" spans="2:2" x14ac:dyDescent="0.25">
      <c r="B3727"/>
    </row>
    <row r="3728" spans="2:2" x14ac:dyDescent="0.25">
      <c r="B3728"/>
    </row>
    <row r="3729" spans="2:2" x14ac:dyDescent="0.25">
      <c r="B3729"/>
    </row>
    <row r="3730" spans="2:2" x14ac:dyDescent="0.25">
      <c r="B3730"/>
    </row>
    <row r="3731" spans="2:2" x14ac:dyDescent="0.25">
      <c r="B3731"/>
    </row>
    <row r="3732" spans="2:2" x14ac:dyDescent="0.25">
      <c r="B3732"/>
    </row>
    <row r="3733" spans="2:2" x14ac:dyDescent="0.25">
      <c r="B3733"/>
    </row>
    <row r="3734" spans="2:2" x14ac:dyDescent="0.25">
      <c r="B3734"/>
    </row>
    <row r="3735" spans="2:2" x14ac:dyDescent="0.25">
      <c r="B3735"/>
    </row>
    <row r="3736" spans="2:2" x14ac:dyDescent="0.25">
      <c r="B3736"/>
    </row>
    <row r="3737" spans="2:2" x14ac:dyDescent="0.25">
      <c r="B3737"/>
    </row>
    <row r="3738" spans="2:2" x14ac:dyDescent="0.25">
      <c r="B3738"/>
    </row>
    <row r="3739" spans="2:2" x14ac:dyDescent="0.25">
      <c r="B3739"/>
    </row>
    <row r="3740" spans="2:2" x14ac:dyDescent="0.25">
      <c r="B3740"/>
    </row>
    <row r="3741" spans="2:2" x14ac:dyDescent="0.25">
      <c r="B3741"/>
    </row>
    <row r="3742" spans="2:2" x14ac:dyDescent="0.25">
      <c r="B3742"/>
    </row>
    <row r="3743" spans="2:2" x14ac:dyDescent="0.25">
      <c r="B3743"/>
    </row>
    <row r="3744" spans="2:2" x14ac:dyDescent="0.25">
      <c r="B3744"/>
    </row>
    <row r="3745" spans="2:2" x14ac:dyDescent="0.25">
      <c r="B3745"/>
    </row>
    <row r="3746" spans="2:2" x14ac:dyDescent="0.25">
      <c r="B3746"/>
    </row>
    <row r="3747" spans="2:2" x14ac:dyDescent="0.25">
      <c r="B3747"/>
    </row>
    <row r="3748" spans="2:2" x14ac:dyDescent="0.25">
      <c r="B3748"/>
    </row>
    <row r="3749" spans="2:2" x14ac:dyDescent="0.25">
      <c r="B3749"/>
    </row>
    <row r="3750" spans="2:2" x14ac:dyDescent="0.25">
      <c r="B3750"/>
    </row>
    <row r="3751" spans="2:2" x14ac:dyDescent="0.25">
      <c r="B3751"/>
    </row>
    <row r="3752" spans="2:2" x14ac:dyDescent="0.25">
      <c r="B3752"/>
    </row>
    <row r="3753" spans="2:2" x14ac:dyDescent="0.25">
      <c r="B3753"/>
    </row>
    <row r="3754" spans="2:2" x14ac:dyDescent="0.25">
      <c r="B3754"/>
    </row>
    <row r="3755" spans="2:2" x14ac:dyDescent="0.25">
      <c r="B3755"/>
    </row>
    <row r="3756" spans="2:2" x14ac:dyDescent="0.25">
      <c r="B3756"/>
    </row>
    <row r="3757" spans="2:2" x14ac:dyDescent="0.25">
      <c r="B3757"/>
    </row>
    <row r="3758" spans="2:2" x14ac:dyDescent="0.25">
      <c r="B3758"/>
    </row>
    <row r="3759" spans="2:2" x14ac:dyDescent="0.25">
      <c r="B3759"/>
    </row>
    <row r="3760" spans="2:2" x14ac:dyDescent="0.25">
      <c r="B3760"/>
    </row>
    <row r="3761" spans="2:2" x14ac:dyDescent="0.25">
      <c r="B3761"/>
    </row>
    <row r="3762" spans="2:2" x14ac:dyDescent="0.25">
      <c r="B3762"/>
    </row>
    <row r="3763" spans="2:2" x14ac:dyDescent="0.25">
      <c r="B3763"/>
    </row>
    <row r="3764" spans="2:2" x14ac:dyDescent="0.25">
      <c r="B3764"/>
    </row>
    <row r="3765" spans="2:2" x14ac:dyDescent="0.25">
      <c r="B3765"/>
    </row>
    <row r="3766" spans="2:2" x14ac:dyDescent="0.25">
      <c r="B3766"/>
    </row>
    <row r="3767" spans="2:2" x14ac:dyDescent="0.25">
      <c r="B3767"/>
    </row>
    <row r="3768" spans="2:2" x14ac:dyDescent="0.25">
      <c r="B3768"/>
    </row>
    <row r="3769" spans="2:2" x14ac:dyDescent="0.25">
      <c r="B3769"/>
    </row>
    <row r="3770" spans="2:2" x14ac:dyDescent="0.25">
      <c r="B3770"/>
    </row>
    <row r="3771" spans="2:2" x14ac:dyDescent="0.25">
      <c r="B3771"/>
    </row>
    <row r="3772" spans="2:2" x14ac:dyDescent="0.25">
      <c r="B3772"/>
    </row>
    <row r="3773" spans="2:2" x14ac:dyDescent="0.25">
      <c r="B3773"/>
    </row>
    <row r="3774" spans="2:2" x14ac:dyDescent="0.25">
      <c r="B3774"/>
    </row>
    <row r="3775" spans="2:2" x14ac:dyDescent="0.25">
      <c r="B3775"/>
    </row>
    <row r="3776" spans="2:2" x14ac:dyDescent="0.25">
      <c r="B3776"/>
    </row>
    <row r="3777" spans="2:2" x14ac:dyDescent="0.25">
      <c r="B3777"/>
    </row>
    <row r="3778" spans="2:2" x14ac:dyDescent="0.25">
      <c r="B3778"/>
    </row>
    <row r="3779" spans="2:2" x14ac:dyDescent="0.25">
      <c r="B3779"/>
    </row>
    <row r="3780" spans="2:2" x14ac:dyDescent="0.25">
      <c r="B3780"/>
    </row>
    <row r="3781" spans="2:2" x14ac:dyDescent="0.25">
      <c r="B3781"/>
    </row>
    <row r="3782" spans="2:2" x14ac:dyDescent="0.25">
      <c r="B3782"/>
    </row>
    <row r="3783" spans="2:2" x14ac:dyDescent="0.25">
      <c r="B3783"/>
    </row>
    <row r="3784" spans="2:2" x14ac:dyDescent="0.25">
      <c r="B3784"/>
    </row>
    <row r="3785" spans="2:2" x14ac:dyDescent="0.25">
      <c r="B3785"/>
    </row>
    <row r="3786" spans="2:2" x14ac:dyDescent="0.25">
      <c r="B3786"/>
    </row>
    <row r="3787" spans="2:2" x14ac:dyDescent="0.25">
      <c r="B3787"/>
    </row>
    <row r="3788" spans="2:2" x14ac:dyDescent="0.25">
      <c r="B3788"/>
    </row>
    <row r="3789" spans="2:2" x14ac:dyDescent="0.25">
      <c r="B3789"/>
    </row>
    <row r="3790" spans="2:2" x14ac:dyDescent="0.25">
      <c r="B3790"/>
    </row>
    <row r="3791" spans="2:2" x14ac:dyDescent="0.25">
      <c r="B3791"/>
    </row>
    <row r="3792" spans="2:2" x14ac:dyDescent="0.25">
      <c r="B3792"/>
    </row>
    <row r="3793" spans="2:2" x14ac:dyDescent="0.25">
      <c r="B3793"/>
    </row>
    <row r="3794" spans="2:2" x14ac:dyDescent="0.25">
      <c r="B3794"/>
    </row>
    <row r="3795" spans="2:2" x14ac:dyDescent="0.25">
      <c r="B3795"/>
    </row>
    <row r="3796" spans="2:2" x14ac:dyDescent="0.25">
      <c r="B3796"/>
    </row>
    <row r="3797" spans="2:2" x14ac:dyDescent="0.25">
      <c r="B3797"/>
    </row>
    <row r="3798" spans="2:2" x14ac:dyDescent="0.25">
      <c r="B3798"/>
    </row>
    <row r="3799" spans="2:2" x14ac:dyDescent="0.25">
      <c r="B3799"/>
    </row>
    <row r="3800" spans="2:2" x14ac:dyDescent="0.25">
      <c r="B3800"/>
    </row>
    <row r="3801" spans="2:2" x14ac:dyDescent="0.25">
      <c r="B3801"/>
    </row>
    <row r="3802" spans="2:2" x14ac:dyDescent="0.25">
      <c r="B3802"/>
    </row>
    <row r="3803" spans="2:2" x14ac:dyDescent="0.25">
      <c r="B3803"/>
    </row>
    <row r="3804" spans="2:2" x14ac:dyDescent="0.25">
      <c r="B3804"/>
    </row>
    <row r="3805" spans="2:2" x14ac:dyDescent="0.25">
      <c r="B3805"/>
    </row>
    <row r="3806" spans="2:2" x14ac:dyDescent="0.25">
      <c r="B3806"/>
    </row>
    <row r="3807" spans="2:2" x14ac:dyDescent="0.25">
      <c r="B3807"/>
    </row>
    <row r="3808" spans="2:2" x14ac:dyDescent="0.25">
      <c r="B3808"/>
    </row>
    <row r="3809" spans="2:2" x14ac:dyDescent="0.25">
      <c r="B3809"/>
    </row>
    <row r="3810" spans="2:2" x14ac:dyDescent="0.25">
      <c r="B3810"/>
    </row>
    <row r="3811" spans="2:2" x14ac:dyDescent="0.25">
      <c r="B3811"/>
    </row>
    <row r="3812" spans="2:2" x14ac:dyDescent="0.25">
      <c r="B3812"/>
    </row>
    <row r="3813" spans="2:2" x14ac:dyDescent="0.25">
      <c r="B3813"/>
    </row>
    <row r="3814" spans="2:2" x14ac:dyDescent="0.25">
      <c r="B3814"/>
    </row>
    <row r="3815" spans="2:2" x14ac:dyDescent="0.25">
      <c r="B3815"/>
    </row>
    <row r="3816" spans="2:2" x14ac:dyDescent="0.25">
      <c r="B3816"/>
    </row>
    <row r="3817" spans="2:2" x14ac:dyDescent="0.25">
      <c r="B3817"/>
    </row>
    <row r="3818" spans="2:2" x14ac:dyDescent="0.25">
      <c r="B3818"/>
    </row>
    <row r="3819" spans="2:2" x14ac:dyDescent="0.25">
      <c r="B3819"/>
    </row>
    <row r="3820" spans="2:2" x14ac:dyDescent="0.25">
      <c r="B3820"/>
    </row>
    <row r="3821" spans="2:2" x14ac:dyDescent="0.25">
      <c r="B3821"/>
    </row>
    <row r="3822" spans="2:2" x14ac:dyDescent="0.25">
      <c r="B3822"/>
    </row>
    <row r="3823" spans="2:2" x14ac:dyDescent="0.25">
      <c r="B3823"/>
    </row>
    <row r="3824" spans="2:2" x14ac:dyDescent="0.25">
      <c r="B3824"/>
    </row>
    <row r="3825" spans="2:2" x14ac:dyDescent="0.25">
      <c r="B3825"/>
    </row>
    <row r="3826" spans="2:2" x14ac:dyDescent="0.25">
      <c r="B3826"/>
    </row>
    <row r="3827" spans="2:2" x14ac:dyDescent="0.25">
      <c r="B3827"/>
    </row>
    <row r="3828" spans="2:2" x14ac:dyDescent="0.25">
      <c r="B3828"/>
    </row>
    <row r="3829" spans="2:2" x14ac:dyDescent="0.25">
      <c r="B3829"/>
    </row>
    <row r="3830" spans="2:2" x14ac:dyDescent="0.25">
      <c r="B3830"/>
    </row>
    <row r="3831" spans="2:2" x14ac:dyDescent="0.25">
      <c r="B3831"/>
    </row>
    <row r="3832" spans="2:2" x14ac:dyDescent="0.25">
      <c r="B3832"/>
    </row>
    <row r="3833" spans="2:2" x14ac:dyDescent="0.25">
      <c r="B3833"/>
    </row>
    <row r="3834" spans="2:2" x14ac:dyDescent="0.25">
      <c r="B3834"/>
    </row>
    <row r="3835" spans="2:2" x14ac:dyDescent="0.25">
      <c r="B3835"/>
    </row>
    <row r="3836" spans="2:2" x14ac:dyDescent="0.25">
      <c r="B3836"/>
    </row>
    <row r="3837" spans="2:2" x14ac:dyDescent="0.25">
      <c r="B3837"/>
    </row>
    <row r="3838" spans="2:2" x14ac:dyDescent="0.25">
      <c r="B3838"/>
    </row>
    <row r="3839" spans="2:2" x14ac:dyDescent="0.25">
      <c r="B3839"/>
    </row>
    <row r="3840" spans="2:2" x14ac:dyDescent="0.25">
      <c r="B3840"/>
    </row>
    <row r="3841" spans="2:2" x14ac:dyDescent="0.25">
      <c r="B3841"/>
    </row>
    <row r="3842" spans="2:2" x14ac:dyDescent="0.25">
      <c r="B3842"/>
    </row>
    <row r="3843" spans="2:2" x14ac:dyDescent="0.25">
      <c r="B3843"/>
    </row>
    <row r="3844" spans="2:2" x14ac:dyDescent="0.25">
      <c r="B3844"/>
    </row>
    <row r="3845" spans="2:2" x14ac:dyDescent="0.25">
      <c r="B3845"/>
    </row>
    <row r="3846" spans="2:2" x14ac:dyDescent="0.25">
      <c r="B3846"/>
    </row>
    <row r="3847" spans="2:2" x14ac:dyDescent="0.25">
      <c r="B3847"/>
    </row>
    <row r="3848" spans="2:2" x14ac:dyDescent="0.25">
      <c r="B3848"/>
    </row>
    <row r="3849" spans="2:2" x14ac:dyDescent="0.25">
      <c r="B3849"/>
    </row>
    <row r="3850" spans="2:2" x14ac:dyDescent="0.25">
      <c r="B3850"/>
    </row>
    <row r="3851" spans="2:2" x14ac:dyDescent="0.25">
      <c r="B3851"/>
    </row>
    <row r="3852" spans="2:2" x14ac:dyDescent="0.25">
      <c r="B3852"/>
    </row>
    <row r="3853" spans="2:2" x14ac:dyDescent="0.25">
      <c r="B3853"/>
    </row>
    <row r="3854" spans="2:2" x14ac:dyDescent="0.25">
      <c r="B3854"/>
    </row>
    <row r="3855" spans="2:2" x14ac:dyDescent="0.25">
      <c r="B3855"/>
    </row>
    <row r="3856" spans="2:2" x14ac:dyDescent="0.25">
      <c r="B3856"/>
    </row>
    <row r="3857" spans="2:2" x14ac:dyDescent="0.25">
      <c r="B3857"/>
    </row>
    <row r="3858" spans="2:2" x14ac:dyDescent="0.25">
      <c r="B3858"/>
    </row>
    <row r="3859" spans="2:2" x14ac:dyDescent="0.25">
      <c r="B3859"/>
    </row>
    <row r="3860" spans="2:2" x14ac:dyDescent="0.25">
      <c r="B3860"/>
    </row>
    <row r="3861" spans="2:2" x14ac:dyDescent="0.25">
      <c r="B3861"/>
    </row>
    <row r="3862" spans="2:2" x14ac:dyDescent="0.25">
      <c r="B3862"/>
    </row>
    <row r="3863" spans="2:2" x14ac:dyDescent="0.25">
      <c r="B3863"/>
    </row>
    <row r="3864" spans="2:2" x14ac:dyDescent="0.25">
      <c r="B3864"/>
    </row>
    <row r="3865" spans="2:2" x14ac:dyDescent="0.25">
      <c r="B3865"/>
    </row>
    <row r="3866" spans="2:2" x14ac:dyDescent="0.25">
      <c r="B3866"/>
    </row>
    <row r="3867" spans="2:2" x14ac:dyDescent="0.25">
      <c r="B3867"/>
    </row>
    <row r="3868" spans="2:2" x14ac:dyDescent="0.25">
      <c r="B3868"/>
    </row>
    <row r="3869" spans="2:2" x14ac:dyDescent="0.25">
      <c r="B3869"/>
    </row>
    <row r="3870" spans="2:2" x14ac:dyDescent="0.25">
      <c r="B3870"/>
    </row>
    <row r="3871" spans="2:2" x14ac:dyDescent="0.25">
      <c r="B3871"/>
    </row>
    <row r="3872" spans="2:2" x14ac:dyDescent="0.25">
      <c r="B3872"/>
    </row>
    <row r="3873" spans="2:2" x14ac:dyDescent="0.25">
      <c r="B3873"/>
    </row>
    <row r="3874" spans="2:2" x14ac:dyDescent="0.25">
      <c r="B3874"/>
    </row>
    <row r="3875" spans="2:2" x14ac:dyDescent="0.25">
      <c r="B3875"/>
    </row>
    <row r="3876" spans="2:2" x14ac:dyDescent="0.25">
      <c r="B3876"/>
    </row>
    <row r="3877" spans="2:2" x14ac:dyDescent="0.25">
      <c r="B3877"/>
    </row>
    <row r="3878" spans="2:2" x14ac:dyDescent="0.25">
      <c r="B3878"/>
    </row>
    <row r="3879" spans="2:2" x14ac:dyDescent="0.25">
      <c r="B3879"/>
    </row>
    <row r="3880" spans="2:2" x14ac:dyDescent="0.25">
      <c r="B3880"/>
    </row>
    <row r="3881" spans="2:2" x14ac:dyDescent="0.25">
      <c r="B3881"/>
    </row>
    <row r="3882" spans="2:2" x14ac:dyDescent="0.25">
      <c r="B3882"/>
    </row>
    <row r="3883" spans="2:2" x14ac:dyDescent="0.25">
      <c r="B3883"/>
    </row>
    <row r="3884" spans="2:2" x14ac:dyDescent="0.25">
      <c r="B3884"/>
    </row>
    <row r="3885" spans="2:2" x14ac:dyDescent="0.25">
      <c r="B3885"/>
    </row>
    <row r="3886" spans="2:2" x14ac:dyDescent="0.25">
      <c r="B3886"/>
    </row>
    <row r="3887" spans="2:2" x14ac:dyDescent="0.25">
      <c r="B3887"/>
    </row>
    <row r="3888" spans="2:2" x14ac:dyDescent="0.25">
      <c r="B3888"/>
    </row>
    <row r="3889" spans="2:2" x14ac:dyDescent="0.25">
      <c r="B3889"/>
    </row>
    <row r="3890" spans="2:2" x14ac:dyDescent="0.25">
      <c r="B3890"/>
    </row>
    <row r="3891" spans="2:2" x14ac:dyDescent="0.25">
      <c r="B3891"/>
    </row>
    <row r="3892" spans="2:2" x14ac:dyDescent="0.25">
      <c r="B3892"/>
    </row>
    <row r="3893" spans="2:2" x14ac:dyDescent="0.25">
      <c r="B3893"/>
    </row>
    <row r="3894" spans="2:2" x14ac:dyDescent="0.25">
      <c r="B3894"/>
    </row>
    <row r="3895" spans="2:2" x14ac:dyDescent="0.25">
      <c r="B3895"/>
    </row>
    <row r="3896" spans="2:2" x14ac:dyDescent="0.25">
      <c r="B3896"/>
    </row>
    <row r="3897" spans="2:2" x14ac:dyDescent="0.25">
      <c r="B3897"/>
    </row>
    <row r="3898" spans="2:2" x14ac:dyDescent="0.25">
      <c r="B3898"/>
    </row>
    <row r="3899" spans="2:2" x14ac:dyDescent="0.25">
      <c r="B3899"/>
    </row>
    <row r="3900" spans="2:2" x14ac:dyDescent="0.25">
      <c r="B3900"/>
    </row>
    <row r="3901" spans="2:2" x14ac:dyDescent="0.25">
      <c r="B3901"/>
    </row>
    <row r="3902" spans="2:2" x14ac:dyDescent="0.25">
      <c r="B3902"/>
    </row>
    <row r="3903" spans="2:2" x14ac:dyDescent="0.25">
      <c r="B3903"/>
    </row>
    <row r="3904" spans="2:2" x14ac:dyDescent="0.25">
      <c r="B3904"/>
    </row>
    <row r="3905" spans="2:2" x14ac:dyDescent="0.25">
      <c r="B3905"/>
    </row>
    <row r="3906" spans="2:2" x14ac:dyDescent="0.25">
      <c r="B3906"/>
    </row>
    <row r="3907" spans="2:2" x14ac:dyDescent="0.25">
      <c r="B3907"/>
    </row>
    <row r="3908" spans="2:2" x14ac:dyDescent="0.25">
      <c r="B3908"/>
    </row>
    <row r="3909" spans="2:2" x14ac:dyDescent="0.25">
      <c r="B3909"/>
    </row>
    <row r="3910" spans="2:2" x14ac:dyDescent="0.25">
      <c r="B3910"/>
    </row>
    <row r="3911" spans="2:2" x14ac:dyDescent="0.25">
      <c r="B3911"/>
    </row>
    <row r="3912" spans="2:2" x14ac:dyDescent="0.25">
      <c r="B3912"/>
    </row>
    <row r="3913" spans="2:2" x14ac:dyDescent="0.25">
      <c r="B3913"/>
    </row>
    <row r="3914" spans="2:2" x14ac:dyDescent="0.25">
      <c r="B3914"/>
    </row>
    <row r="3915" spans="2:2" x14ac:dyDescent="0.25">
      <c r="B3915"/>
    </row>
    <row r="3916" spans="2:2" x14ac:dyDescent="0.25">
      <c r="B3916"/>
    </row>
    <row r="3917" spans="2:2" x14ac:dyDescent="0.25">
      <c r="B3917"/>
    </row>
    <row r="3918" spans="2:2" x14ac:dyDescent="0.25">
      <c r="B3918"/>
    </row>
    <row r="3919" spans="2:2" x14ac:dyDescent="0.25">
      <c r="B3919"/>
    </row>
    <row r="3920" spans="2:2" x14ac:dyDescent="0.25">
      <c r="B3920"/>
    </row>
    <row r="3921" spans="2:2" x14ac:dyDescent="0.25">
      <c r="B3921"/>
    </row>
    <row r="3922" spans="2:2" x14ac:dyDescent="0.25">
      <c r="B3922"/>
    </row>
    <row r="3923" spans="2:2" x14ac:dyDescent="0.25">
      <c r="B3923"/>
    </row>
    <row r="3924" spans="2:2" x14ac:dyDescent="0.25">
      <c r="B3924"/>
    </row>
    <row r="3925" spans="2:2" x14ac:dyDescent="0.25">
      <c r="B3925"/>
    </row>
    <row r="3926" spans="2:2" x14ac:dyDescent="0.25">
      <c r="B3926"/>
    </row>
    <row r="3927" spans="2:2" x14ac:dyDescent="0.25">
      <c r="B3927"/>
    </row>
    <row r="3928" spans="2:2" x14ac:dyDescent="0.25">
      <c r="B3928"/>
    </row>
    <row r="3929" spans="2:2" x14ac:dyDescent="0.25">
      <c r="B3929"/>
    </row>
    <row r="3930" spans="2:2" x14ac:dyDescent="0.25">
      <c r="B3930"/>
    </row>
    <row r="3931" spans="2:2" x14ac:dyDescent="0.25">
      <c r="B3931"/>
    </row>
    <row r="3932" spans="2:2" x14ac:dyDescent="0.25">
      <c r="B3932"/>
    </row>
    <row r="3933" spans="2:2" x14ac:dyDescent="0.25">
      <c r="B3933"/>
    </row>
    <row r="3934" spans="2:2" x14ac:dyDescent="0.25">
      <c r="B3934"/>
    </row>
    <row r="3935" spans="2:2" x14ac:dyDescent="0.25">
      <c r="B3935"/>
    </row>
    <row r="3936" spans="2:2" x14ac:dyDescent="0.25">
      <c r="B3936"/>
    </row>
    <row r="3937" spans="2:2" x14ac:dyDescent="0.25">
      <c r="B3937"/>
    </row>
    <row r="3938" spans="2:2" x14ac:dyDescent="0.25">
      <c r="B3938"/>
    </row>
    <row r="3939" spans="2:2" x14ac:dyDescent="0.25">
      <c r="B3939"/>
    </row>
    <row r="3940" spans="2:2" x14ac:dyDescent="0.25">
      <c r="B3940"/>
    </row>
    <row r="3941" spans="2:2" x14ac:dyDescent="0.25">
      <c r="B3941"/>
    </row>
    <row r="3942" spans="2:2" x14ac:dyDescent="0.25">
      <c r="B3942"/>
    </row>
    <row r="3943" spans="2:2" x14ac:dyDescent="0.25">
      <c r="B3943"/>
    </row>
    <row r="3944" spans="2:2" x14ac:dyDescent="0.25">
      <c r="B3944"/>
    </row>
    <row r="3945" spans="2:2" x14ac:dyDescent="0.25">
      <c r="B3945"/>
    </row>
    <row r="3946" spans="2:2" x14ac:dyDescent="0.25">
      <c r="B3946"/>
    </row>
    <row r="3947" spans="2:2" x14ac:dyDescent="0.25">
      <c r="B3947"/>
    </row>
    <row r="3948" spans="2:2" x14ac:dyDescent="0.25">
      <c r="B3948"/>
    </row>
    <row r="3949" spans="2:2" x14ac:dyDescent="0.25">
      <c r="B3949"/>
    </row>
    <row r="3950" spans="2:2" x14ac:dyDescent="0.25">
      <c r="B3950"/>
    </row>
    <row r="3951" spans="2:2" x14ac:dyDescent="0.25">
      <c r="B3951"/>
    </row>
    <row r="3952" spans="2:2" x14ac:dyDescent="0.25">
      <c r="B3952"/>
    </row>
    <row r="3953" spans="2:2" x14ac:dyDescent="0.25">
      <c r="B3953"/>
    </row>
    <row r="3954" spans="2:2" x14ac:dyDescent="0.25">
      <c r="B3954"/>
    </row>
    <row r="3955" spans="2:2" x14ac:dyDescent="0.25">
      <c r="B3955"/>
    </row>
    <row r="3956" spans="2:2" x14ac:dyDescent="0.25">
      <c r="B3956"/>
    </row>
    <row r="3957" spans="2:2" x14ac:dyDescent="0.25">
      <c r="B3957"/>
    </row>
    <row r="3958" spans="2:2" x14ac:dyDescent="0.25">
      <c r="B3958"/>
    </row>
    <row r="3959" spans="2:2" x14ac:dyDescent="0.25">
      <c r="B3959"/>
    </row>
    <row r="3960" spans="2:2" x14ac:dyDescent="0.25">
      <c r="B3960"/>
    </row>
    <row r="3961" spans="2:2" x14ac:dyDescent="0.25">
      <c r="B3961"/>
    </row>
    <row r="3962" spans="2:2" x14ac:dyDescent="0.25">
      <c r="B3962"/>
    </row>
    <row r="3963" spans="2:2" x14ac:dyDescent="0.25">
      <c r="B3963"/>
    </row>
    <row r="3964" spans="2:2" x14ac:dyDescent="0.25">
      <c r="B3964"/>
    </row>
    <row r="3965" spans="2:2" x14ac:dyDescent="0.25">
      <c r="B3965"/>
    </row>
    <row r="3966" spans="2:2" x14ac:dyDescent="0.25">
      <c r="B3966"/>
    </row>
    <row r="3967" spans="2:2" x14ac:dyDescent="0.25">
      <c r="B3967"/>
    </row>
    <row r="3968" spans="2:2" x14ac:dyDescent="0.25">
      <c r="B3968"/>
    </row>
    <row r="3969" spans="2:2" x14ac:dyDescent="0.25">
      <c r="B3969"/>
    </row>
    <row r="3970" spans="2:2" x14ac:dyDescent="0.25">
      <c r="B3970"/>
    </row>
    <row r="3971" spans="2:2" x14ac:dyDescent="0.25">
      <c r="B3971"/>
    </row>
    <row r="3972" spans="2:2" x14ac:dyDescent="0.25">
      <c r="B3972"/>
    </row>
    <row r="3973" spans="2:2" x14ac:dyDescent="0.25">
      <c r="B3973"/>
    </row>
    <row r="3974" spans="2:2" x14ac:dyDescent="0.25">
      <c r="B3974"/>
    </row>
    <row r="3975" spans="2:2" x14ac:dyDescent="0.25">
      <c r="B3975"/>
    </row>
    <row r="3976" spans="2:2" x14ac:dyDescent="0.25">
      <c r="B3976"/>
    </row>
    <row r="3977" spans="2:2" x14ac:dyDescent="0.25">
      <c r="B3977"/>
    </row>
    <row r="3978" spans="2:2" x14ac:dyDescent="0.25">
      <c r="B3978"/>
    </row>
    <row r="3979" spans="2:2" x14ac:dyDescent="0.25">
      <c r="B3979"/>
    </row>
    <row r="3980" spans="2:2" x14ac:dyDescent="0.25">
      <c r="B3980"/>
    </row>
    <row r="3981" spans="2:2" x14ac:dyDescent="0.25">
      <c r="B3981"/>
    </row>
    <row r="3982" spans="2:2" x14ac:dyDescent="0.25">
      <c r="B3982"/>
    </row>
    <row r="3983" spans="2:2" x14ac:dyDescent="0.25">
      <c r="B3983"/>
    </row>
    <row r="3984" spans="2:2" x14ac:dyDescent="0.25">
      <c r="B3984"/>
    </row>
    <row r="3985" spans="2:2" x14ac:dyDescent="0.25">
      <c r="B3985"/>
    </row>
    <row r="3986" spans="2:2" x14ac:dyDescent="0.25">
      <c r="B3986"/>
    </row>
    <row r="3987" spans="2:2" x14ac:dyDescent="0.25">
      <c r="B3987"/>
    </row>
    <row r="3988" spans="2:2" x14ac:dyDescent="0.25">
      <c r="B3988"/>
    </row>
    <row r="3989" spans="2:2" x14ac:dyDescent="0.25">
      <c r="B3989"/>
    </row>
    <row r="3990" spans="2:2" x14ac:dyDescent="0.25">
      <c r="B3990"/>
    </row>
    <row r="3991" spans="2:2" x14ac:dyDescent="0.25">
      <c r="B3991"/>
    </row>
    <row r="3992" spans="2:2" x14ac:dyDescent="0.25">
      <c r="B3992"/>
    </row>
    <row r="3993" spans="2:2" x14ac:dyDescent="0.25">
      <c r="B3993"/>
    </row>
    <row r="3994" spans="2:2" x14ac:dyDescent="0.25">
      <c r="B3994"/>
    </row>
    <row r="3995" spans="2:2" x14ac:dyDescent="0.25">
      <c r="B3995"/>
    </row>
    <row r="3996" spans="2:2" x14ac:dyDescent="0.25">
      <c r="B3996"/>
    </row>
    <row r="3997" spans="2:2" x14ac:dyDescent="0.25">
      <c r="B3997"/>
    </row>
    <row r="3998" spans="2:2" x14ac:dyDescent="0.25">
      <c r="B3998"/>
    </row>
    <row r="3999" spans="2:2" x14ac:dyDescent="0.25">
      <c r="B3999"/>
    </row>
    <row r="4000" spans="2:2" x14ac:dyDescent="0.25">
      <c r="B4000"/>
    </row>
    <row r="4001" spans="2:2" x14ac:dyDescent="0.25">
      <c r="B4001"/>
    </row>
    <row r="4002" spans="2:2" x14ac:dyDescent="0.25">
      <c r="B4002"/>
    </row>
    <row r="4003" spans="2:2" x14ac:dyDescent="0.25">
      <c r="B4003"/>
    </row>
    <row r="4004" spans="2:2" x14ac:dyDescent="0.25">
      <c r="B4004"/>
    </row>
    <row r="4005" spans="2:2" x14ac:dyDescent="0.25">
      <c r="B4005"/>
    </row>
    <row r="4006" spans="2:2" x14ac:dyDescent="0.25">
      <c r="B4006"/>
    </row>
    <row r="4007" spans="2:2" x14ac:dyDescent="0.25">
      <c r="B4007"/>
    </row>
    <row r="4008" spans="2:2" x14ac:dyDescent="0.25">
      <c r="B4008"/>
    </row>
    <row r="4009" spans="2:2" x14ac:dyDescent="0.25">
      <c r="B4009"/>
    </row>
    <row r="4010" spans="2:2" x14ac:dyDescent="0.25">
      <c r="B4010"/>
    </row>
    <row r="4011" spans="2:2" x14ac:dyDescent="0.25">
      <c r="B4011"/>
    </row>
    <row r="4012" spans="2:2" x14ac:dyDescent="0.25">
      <c r="B4012"/>
    </row>
    <row r="4013" spans="2:2" x14ac:dyDescent="0.25">
      <c r="B4013"/>
    </row>
    <row r="4014" spans="2:2" x14ac:dyDescent="0.25">
      <c r="B4014"/>
    </row>
    <row r="4015" spans="2:2" x14ac:dyDescent="0.25">
      <c r="B4015"/>
    </row>
    <row r="4016" spans="2:2" x14ac:dyDescent="0.25">
      <c r="B4016"/>
    </row>
    <row r="4017" spans="2:2" x14ac:dyDescent="0.25">
      <c r="B4017"/>
    </row>
    <row r="4018" spans="2:2" x14ac:dyDescent="0.25">
      <c r="B4018"/>
    </row>
    <row r="4019" spans="2:2" x14ac:dyDescent="0.25">
      <c r="B4019"/>
    </row>
    <row r="4020" spans="2:2" x14ac:dyDescent="0.25">
      <c r="B4020"/>
    </row>
    <row r="4021" spans="2:2" x14ac:dyDescent="0.25">
      <c r="B4021"/>
    </row>
    <row r="4022" spans="2:2" x14ac:dyDescent="0.25">
      <c r="B4022"/>
    </row>
    <row r="4023" spans="2:2" x14ac:dyDescent="0.25">
      <c r="B4023"/>
    </row>
    <row r="4024" spans="2:2" x14ac:dyDescent="0.25">
      <c r="B4024"/>
    </row>
    <row r="4025" spans="2:2" x14ac:dyDescent="0.25">
      <c r="B4025"/>
    </row>
    <row r="4026" spans="2:2" x14ac:dyDescent="0.25">
      <c r="B4026"/>
    </row>
    <row r="4027" spans="2:2" x14ac:dyDescent="0.25">
      <c r="B4027"/>
    </row>
    <row r="4028" spans="2:2" x14ac:dyDescent="0.25">
      <c r="B4028"/>
    </row>
    <row r="4029" spans="2:2" x14ac:dyDescent="0.25">
      <c r="B4029"/>
    </row>
    <row r="4030" spans="2:2" x14ac:dyDescent="0.25">
      <c r="B4030"/>
    </row>
    <row r="4031" spans="2:2" x14ac:dyDescent="0.25">
      <c r="B4031"/>
    </row>
    <row r="4032" spans="2:2" x14ac:dyDescent="0.25">
      <c r="B4032"/>
    </row>
    <row r="4033" spans="2:2" x14ac:dyDescent="0.25">
      <c r="B4033"/>
    </row>
    <row r="4034" spans="2:2" x14ac:dyDescent="0.25">
      <c r="B4034"/>
    </row>
    <row r="4035" spans="2:2" x14ac:dyDescent="0.25">
      <c r="B4035"/>
    </row>
    <row r="4036" spans="2:2" x14ac:dyDescent="0.25">
      <c r="B4036"/>
    </row>
    <row r="4037" spans="2:2" x14ac:dyDescent="0.25">
      <c r="B4037"/>
    </row>
    <row r="4038" spans="2:2" x14ac:dyDescent="0.25">
      <c r="B4038"/>
    </row>
    <row r="4039" spans="2:2" x14ac:dyDescent="0.25">
      <c r="B4039"/>
    </row>
    <row r="4040" spans="2:2" x14ac:dyDescent="0.25">
      <c r="B4040"/>
    </row>
    <row r="4041" spans="2:2" x14ac:dyDescent="0.25">
      <c r="B4041"/>
    </row>
    <row r="4042" spans="2:2" x14ac:dyDescent="0.25">
      <c r="B4042"/>
    </row>
    <row r="4043" spans="2:2" x14ac:dyDescent="0.25">
      <c r="B4043"/>
    </row>
    <row r="4044" spans="2:2" x14ac:dyDescent="0.25">
      <c r="B4044"/>
    </row>
    <row r="4045" spans="2:2" x14ac:dyDescent="0.25">
      <c r="B4045"/>
    </row>
    <row r="4046" spans="2:2" x14ac:dyDescent="0.25">
      <c r="B4046"/>
    </row>
    <row r="4047" spans="2:2" x14ac:dyDescent="0.25">
      <c r="B4047"/>
    </row>
    <row r="4048" spans="2:2" x14ac:dyDescent="0.25">
      <c r="B4048"/>
    </row>
    <row r="4049" spans="2:2" x14ac:dyDescent="0.25">
      <c r="B4049"/>
    </row>
    <row r="4050" spans="2:2" x14ac:dyDescent="0.25">
      <c r="B4050"/>
    </row>
    <row r="4051" spans="2:2" x14ac:dyDescent="0.25">
      <c r="B4051"/>
    </row>
    <row r="4052" spans="2:2" x14ac:dyDescent="0.25">
      <c r="B4052"/>
    </row>
    <row r="4053" spans="2:2" x14ac:dyDescent="0.25">
      <c r="B4053"/>
    </row>
    <row r="4054" spans="2:2" x14ac:dyDescent="0.25">
      <c r="B4054"/>
    </row>
    <row r="4055" spans="2:2" x14ac:dyDescent="0.25">
      <c r="B4055"/>
    </row>
    <row r="4056" spans="2:2" x14ac:dyDescent="0.25">
      <c r="B4056"/>
    </row>
    <row r="4057" spans="2:2" x14ac:dyDescent="0.25">
      <c r="B4057"/>
    </row>
    <row r="4058" spans="2:2" x14ac:dyDescent="0.25">
      <c r="B4058"/>
    </row>
    <row r="4059" spans="2:2" x14ac:dyDescent="0.25">
      <c r="B4059"/>
    </row>
    <row r="4060" spans="2:2" x14ac:dyDescent="0.25">
      <c r="B4060"/>
    </row>
    <row r="4061" spans="2:2" x14ac:dyDescent="0.25">
      <c r="B4061"/>
    </row>
    <row r="4062" spans="2:2" x14ac:dyDescent="0.25">
      <c r="B4062"/>
    </row>
    <row r="4063" spans="2:2" x14ac:dyDescent="0.25">
      <c r="B4063"/>
    </row>
    <row r="4064" spans="2:2" x14ac:dyDescent="0.25">
      <c r="B4064"/>
    </row>
    <row r="4065" spans="2:2" x14ac:dyDescent="0.25">
      <c r="B4065"/>
    </row>
    <row r="4066" spans="2:2" x14ac:dyDescent="0.25">
      <c r="B4066"/>
    </row>
    <row r="4067" spans="2:2" x14ac:dyDescent="0.25">
      <c r="B4067"/>
    </row>
    <row r="4068" spans="2:2" x14ac:dyDescent="0.25">
      <c r="B4068"/>
    </row>
    <row r="4069" spans="2:2" x14ac:dyDescent="0.25">
      <c r="B4069"/>
    </row>
    <row r="4070" spans="2:2" x14ac:dyDescent="0.25">
      <c r="B4070"/>
    </row>
    <row r="4071" spans="2:2" x14ac:dyDescent="0.25">
      <c r="B4071"/>
    </row>
    <row r="4072" spans="2:2" x14ac:dyDescent="0.25">
      <c r="B4072"/>
    </row>
    <row r="4073" spans="2:2" x14ac:dyDescent="0.25">
      <c r="B4073"/>
    </row>
    <row r="4074" spans="2:2" x14ac:dyDescent="0.25">
      <c r="B4074"/>
    </row>
    <row r="4075" spans="2:2" x14ac:dyDescent="0.25">
      <c r="B4075"/>
    </row>
    <row r="4076" spans="2:2" x14ac:dyDescent="0.25">
      <c r="B4076"/>
    </row>
    <row r="4077" spans="2:2" x14ac:dyDescent="0.25">
      <c r="B4077"/>
    </row>
    <row r="4078" spans="2:2" x14ac:dyDescent="0.25">
      <c r="B4078"/>
    </row>
    <row r="4079" spans="2:2" x14ac:dyDescent="0.25">
      <c r="B4079"/>
    </row>
    <row r="4080" spans="2:2" x14ac:dyDescent="0.25">
      <c r="B4080"/>
    </row>
    <row r="4081" spans="2:2" x14ac:dyDescent="0.25">
      <c r="B4081"/>
    </row>
    <row r="4082" spans="2:2" x14ac:dyDescent="0.25">
      <c r="B4082"/>
    </row>
    <row r="4083" spans="2:2" x14ac:dyDescent="0.25">
      <c r="B4083"/>
    </row>
    <row r="4084" spans="2:2" x14ac:dyDescent="0.25">
      <c r="B4084"/>
    </row>
    <row r="4085" spans="2:2" x14ac:dyDescent="0.25">
      <c r="B4085"/>
    </row>
    <row r="4086" spans="2:2" x14ac:dyDescent="0.25">
      <c r="B4086"/>
    </row>
    <row r="4087" spans="2:2" x14ac:dyDescent="0.25">
      <c r="B4087"/>
    </row>
    <row r="4088" spans="2:2" x14ac:dyDescent="0.25">
      <c r="B4088"/>
    </row>
    <row r="4089" spans="2:2" x14ac:dyDescent="0.25">
      <c r="B4089"/>
    </row>
    <row r="4090" spans="2:2" x14ac:dyDescent="0.25">
      <c r="B4090"/>
    </row>
    <row r="4091" spans="2:2" x14ac:dyDescent="0.25">
      <c r="B4091"/>
    </row>
    <row r="4092" spans="2:2" x14ac:dyDescent="0.25">
      <c r="B4092"/>
    </row>
    <row r="4093" spans="2:2" x14ac:dyDescent="0.25">
      <c r="B4093"/>
    </row>
    <row r="4094" spans="2:2" x14ac:dyDescent="0.25">
      <c r="B4094"/>
    </row>
    <row r="4095" spans="2:2" x14ac:dyDescent="0.25">
      <c r="B4095"/>
    </row>
    <row r="4096" spans="2:2" x14ac:dyDescent="0.25">
      <c r="B4096"/>
    </row>
    <row r="4097" spans="2:2" x14ac:dyDescent="0.25">
      <c r="B4097"/>
    </row>
    <row r="4098" spans="2:2" x14ac:dyDescent="0.25">
      <c r="B4098"/>
    </row>
    <row r="4099" spans="2:2" x14ac:dyDescent="0.25">
      <c r="B4099"/>
    </row>
    <row r="4100" spans="2:2" x14ac:dyDescent="0.25">
      <c r="B4100"/>
    </row>
    <row r="4101" spans="2:2" x14ac:dyDescent="0.25">
      <c r="B4101"/>
    </row>
    <row r="4102" spans="2:2" x14ac:dyDescent="0.25">
      <c r="B4102"/>
    </row>
    <row r="4103" spans="2:2" x14ac:dyDescent="0.25">
      <c r="B4103"/>
    </row>
    <row r="4104" spans="2:2" x14ac:dyDescent="0.25">
      <c r="B4104"/>
    </row>
    <row r="4105" spans="2:2" x14ac:dyDescent="0.25">
      <c r="B4105"/>
    </row>
    <row r="4106" spans="2:2" x14ac:dyDescent="0.25">
      <c r="B4106"/>
    </row>
    <row r="4107" spans="2:2" x14ac:dyDescent="0.25">
      <c r="B4107"/>
    </row>
    <row r="4108" spans="2:2" x14ac:dyDescent="0.25">
      <c r="B4108"/>
    </row>
    <row r="4109" spans="2:2" x14ac:dyDescent="0.25">
      <c r="B4109"/>
    </row>
    <row r="4110" spans="2:2" x14ac:dyDescent="0.25">
      <c r="B4110"/>
    </row>
    <row r="4111" spans="2:2" x14ac:dyDescent="0.25">
      <c r="B4111"/>
    </row>
    <row r="4112" spans="2:2" x14ac:dyDescent="0.25">
      <c r="B4112"/>
    </row>
    <row r="4113" spans="2:2" x14ac:dyDescent="0.25">
      <c r="B4113"/>
    </row>
    <row r="4114" spans="2:2" x14ac:dyDescent="0.25">
      <c r="B4114"/>
    </row>
    <row r="4115" spans="2:2" x14ac:dyDescent="0.25">
      <c r="B4115"/>
    </row>
    <row r="4116" spans="2:2" x14ac:dyDescent="0.25">
      <c r="B4116"/>
    </row>
    <row r="4117" spans="2:2" x14ac:dyDescent="0.25">
      <c r="B4117"/>
    </row>
    <row r="4118" spans="2:2" x14ac:dyDescent="0.25">
      <c r="B4118"/>
    </row>
    <row r="4119" spans="2:2" x14ac:dyDescent="0.25">
      <c r="B4119"/>
    </row>
    <row r="4120" spans="2:2" x14ac:dyDescent="0.25">
      <c r="B4120"/>
    </row>
    <row r="4121" spans="2:2" x14ac:dyDescent="0.25">
      <c r="B4121"/>
    </row>
    <row r="4122" spans="2:2" x14ac:dyDescent="0.25">
      <c r="B4122"/>
    </row>
    <row r="4123" spans="2:2" x14ac:dyDescent="0.25">
      <c r="B4123"/>
    </row>
    <row r="4124" spans="2:2" x14ac:dyDescent="0.25">
      <c r="B4124"/>
    </row>
    <row r="4125" spans="2:2" x14ac:dyDescent="0.25">
      <c r="B4125"/>
    </row>
    <row r="4126" spans="2:2" x14ac:dyDescent="0.25">
      <c r="B4126"/>
    </row>
    <row r="4127" spans="2:2" x14ac:dyDescent="0.25">
      <c r="B4127"/>
    </row>
    <row r="4128" spans="2:2" x14ac:dyDescent="0.25">
      <c r="B4128"/>
    </row>
    <row r="4129" spans="2:2" x14ac:dyDescent="0.25">
      <c r="B4129"/>
    </row>
    <row r="4130" spans="2:2" x14ac:dyDescent="0.25">
      <c r="B4130"/>
    </row>
    <row r="4131" spans="2:2" x14ac:dyDescent="0.25">
      <c r="B4131"/>
    </row>
    <row r="4132" spans="2:2" x14ac:dyDescent="0.25">
      <c r="B4132"/>
    </row>
    <row r="4133" spans="2:2" x14ac:dyDescent="0.25">
      <c r="B4133"/>
    </row>
    <row r="4134" spans="2:2" x14ac:dyDescent="0.25">
      <c r="B4134"/>
    </row>
    <row r="4135" spans="2:2" x14ac:dyDescent="0.25">
      <c r="B4135"/>
    </row>
    <row r="4136" spans="2:2" x14ac:dyDescent="0.25">
      <c r="B4136"/>
    </row>
    <row r="4137" spans="2:2" x14ac:dyDescent="0.25">
      <c r="B4137"/>
    </row>
    <row r="4138" spans="2:2" x14ac:dyDescent="0.25">
      <c r="B4138"/>
    </row>
    <row r="4139" spans="2:2" x14ac:dyDescent="0.25">
      <c r="B4139"/>
    </row>
    <row r="4140" spans="2:2" x14ac:dyDescent="0.25">
      <c r="B4140"/>
    </row>
    <row r="4141" spans="2:2" x14ac:dyDescent="0.25">
      <c r="B4141"/>
    </row>
    <row r="4142" spans="2:2" x14ac:dyDescent="0.25">
      <c r="B4142"/>
    </row>
    <row r="4143" spans="2:2" x14ac:dyDescent="0.25">
      <c r="B4143"/>
    </row>
    <row r="4144" spans="2:2" x14ac:dyDescent="0.25">
      <c r="B4144"/>
    </row>
    <row r="4145" spans="2:2" x14ac:dyDescent="0.25">
      <c r="B4145"/>
    </row>
    <row r="4146" spans="2:2" x14ac:dyDescent="0.25">
      <c r="B4146"/>
    </row>
    <row r="4147" spans="2:2" x14ac:dyDescent="0.25">
      <c r="B4147"/>
    </row>
    <row r="4148" spans="2:2" x14ac:dyDescent="0.25">
      <c r="B4148"/>
    </row>
    <row r="4149" spans="2:2" x14ac:dyDescent="0.25">
      <c r="B4149"/>
    </row>
    <row r="4150" spans="2:2" x14ac:dyDescent="0.25">
      <c r="B4150"/>
    </row>
    <row r="4151" spans="2:2" x14ac:dyDescent="0.25">
      <c r="B4151"/>
    </row>
    <row r="4152" spans="2:2" x14ac:dyDescent="0.25">
      <c r="B4152"/>
    </row>
    <row r="4153" spans="2:2" x14ac:dyDescent="0.25">
      <c r="B4153"/>
    </row>
    <row r="4154" spans="2:2" x14ac:dyDescent="0.25">
      <c r="B4154"/>
    </row>
    <row r="4155" spans="2:2" x14ac:dyDescent="0.25">
      <c r="B4155"/>
    </row>
    <row r="4156" spans="2:2" x14ac:dyDescent="0.25">
      <c r="B4156"/>
    </row>
    <row r="4157" spans="2:2" x14ac:dyDescent="0.25">
      <c r="B4157"/>
    </row>
    <row r="4158" spans="2:2" x14ac:dyDescent="0.25">
      <c r="B4158"/>
    </row>
    <row r="4159" spans="2:2" x14ac:dyDescent="0.25">
      <c r="B4159"/>
    </row>
    <row r="4160" spans="2:2" x14ac:dyDescent="0.25">
      <c r="B4160"/>
    </row>
    <row r="4161" spans="2:2" x14ac:dyDescent="0.25">
      <c r="B4161"/>
    </row>
    <row r="4162" spans="2:2" x14ac:dyDescent="0.25">
      <c r="B4162"/>
    </row>
    <row r="4163" spans="2:2" x14ac:dyDescent="0.25">
      <c r="B4163"/>
    </row>
    <row r="4164" spans="2:2" x14ac:dyDescent="0.25">
      <c r="B4164"/>
    </row>
    <row r="4165" spans="2:2" x14ac:dyDescent="0.25">
      <c r="B4165"/>
    </row>
    <row r="4166" spans="2:2" x14ac:dyDescent="0.25">
      <c r="B4166"/>
    </row>
    <row r="4167" spans="2:2" x14ac:dyDescent="0.25">
      <c r="B4167"/>
    </row>
    <row r="4168" spans="2:2" x14ac:dyDescent="0.25">
      <c r="B4168"/>
    </row>
    <row r="4169" spans="2:2" x14ac:dyDescent="0.25">
      <c r="B4169"/>
    </row>
    <row r="4170" spans="2:2" x14ac:dyDescent="0.25">
      <c r="B4170"/>
    </row>
    <row r="4171" spans="2:2" x14ac:dyDescent="0.25">
      <c r="B4171"/>
    </row>
    <row r="4172" spans="2:2" x14ac:dyDescent="0.25">
      <c r="B4172"/>
    </row>
    <row r="4173" spans="2:2" x14ac:dyDescent="0.25">
      <c r="B4173"/>
    </row>
    <row r="4174" spans="2:2" x14ac:dyDescent="0.25">
      <c r="B4174"/>
    </row>
    <row r="4175" spans="2:2" x14ac:dyDescent="0.25">
      <c r="B4175"/>
    </row>
    <row r="4176" spans="2:2" x14ac:dyDescent="0.25">
      <c r="B4176"/>
    </row>
    <row r="4177" spans="2:2" x14ac:dyDescent="0.25">
      <c r="B4177"/>
    </row>
    <row r="4178" spans="2:2" x14ac:dyDescent="0.25">
      <c r="B4178"/>
    </row>
    <row r="4179" spans="2:2" x14ac:dyDescent="0.25">
      <c r="B4179"/>
    </row>
    <row r="4180" spans="2:2" x14ac:dyDescent="0.25">
      <c r="B4180"/>
    </row>
    <row r="4181" spans="2:2" x14ac:dyDescent="0.25">
      <c r="B4181"/>
    </row>
    <row r="4182" spans="2:2" x14ac:dyDescent="0.25">
      <c r="B4182"/>
    </row>
    <row r="4183" spans="2:2" x14ac:dyDescent="0.25">
      <c r="B4183"/>
    </row>
    <row r="4184" spans="2:2" x14ac:dyDescent="0.25">
      <c r="B4184"/>
    </row>
    <row r="4185" spans="2:2" x14ac:dyDescent="0.25">
      <c r="B4185"/>
    </row>
    <row r="4186" spans="2:2" x14ac:dyDescent="0.25">
      <c r="B4186"/>
    </row>
    <row r="4187" spans="2:2" x14ac:dyDescent="0.25">
      <c r="B4187"/>
    </row>
    <row r="4188" spans="2:2" x14ac:dyDescent="0.25">
      <c r="B4188"/>
    </row>
    <row r="4189" spans="2:2" x14ac:dyDescent="0.25">
      <c r="B4189"/>
    </row>
    <row r="4190" spans="2:2" x14ac:dyDescent="0.25">
      <c r="B4190"/>
    </row>
    <row r="4191" spans="2:2" x14ac:dyDescent="0.25">
      <c r="B4191"/>
    </row>
    <row r="4192" spans="2:2" x14ac:dyDescent="0.25">
      <c r="B4192"/>
    </row>
    <row r="4193" spans="2:2" x14ac:dyDescent="0.25">
      <c r="B4193"/>
    </row>
    <row r="4194" spans="2:2" x14ac:dyDescent="0.25">
      <c r="B4194"/>
    </row>
    <row r="4195" spans="2:2" x14ac:dyDescent="0.25">
      <c r="B4195"/>
    </row>
    <row r="4196" spans="2:2" x14ac:dyDescent="0.25">
      <c r="B4196"/>
    </row>
    <row r="4197" spans="2:2" x14ac:dyDescent="0.25">
      <c r="B4197"/>
    </row>
    <row r="4198" spans="2:2" x14ac:dyDescent="0.25">
      <c r="B4198"/>
    </row>
    <row r="4199" spans="2:2" x14ac:dyDescent="0.25">
      <c r="B4199"/>
    </row>
    <row r="4200" spans="2:2" x14ac:dyDescent="0.25">
      <c r="B4200"/>
    </row>
    <row r="4201" spans="2:2" x14ac:dyDescent="0.25">
      <c r="B4201"/>
    </row>
    <row r="4202" spans="2:2" x14ac:dyDescent="0.25">
      <c r="B4202"/>
    </row>
    <row r="4203" spans="2:2" x14ac:dyDescent="0.25">
      <c r="B4203"/>
    </row>
    <row r="4204" spans="2:2" x14ac:dyDescent="0.25">
      <c r="B4204"/>
    </row>
    <row r="4205" spans="2:2" x14ac:dyDescent="0.25">
      <c r="B4205"/>
    </row>
    <row r="4206" spans="2:2" x14ac:dyDescent="0.25">
      <c r="B4206"/>
    </row>
    <row r="4207" spans="2:2" x14ac:dyDescent="0.25">
      <c r="B4207"/>
    </row>
    <row r="4208" spans="2:2" x14ac:dyDescent="0.25">
      <c r="B4208"/>
    </row>
    <row r="4209" spans="2:2" x14ac:dyDescent="0.25">
      <c r="B4209"/>
    </row>
    <row r="4210" spans="2:2" x14ac:dyDescent="0.25">
      <c r="B4210"/>
    </row>
    <row r="4211" spans="2:2" x14ac:dyDescent="0.25">
      <c r="B4211"/>
    </row>
    <row r="4212" spans="2:2" x14ac:dyDescent="0.25">
      <c r="B4212"/>
    </row>
    <row r="4213" spans="2:2" x14ac:dyDescent="0.25">
      <c r="B4213"/>
    </row>
    <row r="4214" spans="2:2" x14ac:dyDescent="0.25">
      <c r="B4214"/>
    </row>
    <row r="4215" spans="2:2" x14ac:dyDescent="0.25">
      <c r="B4215"/>
    </row>
    <row r="4216" spans="2:2" x14ac:dyDescent="0.25">
      <c r="B4216"/>
    </row>
    <row r="4217" spans="2:2" x14ac:dyDescent="0.25">
      <c r="B4217"/>
    </row>
    <row r="4218" spans="2:2" x14ac:dyDescent="0.25">
      <c r="B4218"/>
    </row>
    <row r="4219" spans="2:2" x14ac:dyDescent="0.25">
      <c r="B4219"/>
    </row>
    <row r="4220" spans="2:2" x14ac:dyDescent="0.25">
      <c r="B4220"/>
    </row>
    <row r="4221" spans="2:2" x14ac:dyDescent="0.25">
      <c r="B4221"/>
    </row>
    <row r="4222" spans="2:2" x14ac:dyDescent="0.25">
      <c r="B4222"/>
    </row>
    <row r="4223" spans="2:2" x14ac:dyDescent="0.25">
      <c r="B4223"/>
    </row>
    <row r="4224" spans="2:2" x14ac:dyDescent="0.25">
      <c r="B4224"/>
    </row>
    <row r="4225" spans="2:2" x14ac:dyDescent="0.25">
      <c r="B4225"/>
    </row>
    <row r="4226" spans="2:2" x14ac:dyDescent="0.25">
      <c r="B4226"/>
    </row>
    <row r="4227" spans="2:2" x14ac:dyDescent="0.25">
      <c r="B4227"/>
    </row>
    <row r="4228" spans="2:2" x14ac:dyDescent="0.25">
      <c r="B4228"/>
    </row>
    <row r="4229" spans="2:2" x14ac:dyDescent="0.25">
      <c r="B4229"/>
    </row>
    <row r="4230" spans="2:2" x14ac:dyDescent="0.25">
      <c r="B4230"/>
    </row>
    <row r="4231" spans="2:2" x14ac:dyDescent="0.25">
      <c r="B4231"/>
    </row>
    <row r="4232" spans="2:2" x14ac:dyDescent="0.25">
      <c r="B4232"/>
    </row>
    <row r="4233" spans="2:2" x14ac:dyDescent="0.25">
      <c r="B4233"/>
    </row>
    <row r="4234" spans="2:2" x14ac:dyDescent="0.25">
      <c r="B4234"/>
    </row>
    <row r="4235" spans="2:2" x14ac:dyDescent="0.25">
      <c r="B4235"/>
    </row>
    <row r="4236" spans="2:2" x14ac:dyDescent="0.25">
      <c r="B4236"/>
    </row>
    <row r="4237" spans="2:2" x14ac:dyDescent="0.25">
      <c r="B4237"/>
    </row>
    <row r="4238" spans="2:2" x14ac:dyDescent="0.25">
      <c r="B4238"/>
    </row>
    <row r="4239" spans="2:2" x14ac:dyDescent="0.25">
      <c r="B4239"/>
    </row>
    <row r="4240" spans="2:2" x14ac:dyDescent="0.25">
      <c r="B4240"/>
    </row>
    <row r="4241" spans="2:2" x14ac:dyDescent="0.25">
      <c r="B4241"/>
    </row>
    <row r="4242" spans="2:2" x14ac:dyDescent="0.25">
      <c r="B4242"/>
    </row>
    <row r="4243" spans="2:2" x14ac:dyDescent="0.25">
      <c r="B4243"/>
    </row>
    <row r="4244" spans="2:2" x14ac:dyDescent="0.25">
      <c r="B4244"/>
    </row>
    <row r="4245" spans="2:2" x14ac:dyDescent="0.25">
      <c r="B4245"/>
    </row>
    <row r="4246" spans="2:2" x14ac:dyDescent="0.25">
      <c r="B4246"/>
    </row>
    <row r="4247" spans="2:2" x14ac:dyDescent="0.25">
      <c r="B4247"/>
    </row>
    <row r="4248" spans="2:2" x14ac:dyDescent="0.25">
      <c r="B4248"/>
    </row>
    <row r="4249" spans="2:2" x14ac:dyDescent="0.25">
      <c r="B4249"/>
    </row>
    <row r="4250" spans="2:2" x14ac:dyDescent="0.25">
      <c r="B4250"/>
    </row>
    <row r="4251" spans="2:2" x14ac:dyDescent="0.25">
      <c r="B4251"/>
    </row>
    <row r="4252" spans="2:2" x14ac:dyDescent="0.25">
      <c r="B4252"/>
    </row>
    <row r="4253" spans="2:2" x14ac:dyDescent="0.25">
      <c r="B4253"/>
    </row>
    <row r="4254" spans="2:2" x14ac:dyDescent="0.25">
      <c r="B4254"/>
    </row>
    <row r="4255" spans="2:2" x14ac:dyDescent="0.25">
      <c r="B4255"/>
    </row>
    <row r="4256" spans="2:2" x14ac:dyDescent="0.25">
      <c r="B4256"/>
    </row>
    <row r="4257" spans="2:2" x14ac:dyDescent="0.25">
      <c r="B4257"/>
    </row>
    <row r="4258" spans="2:2" x14ac:dyDescent="0.25">
      <c r="B4258"/>
    </row>
    <row r="4259" spans="2:2" x14ac:dyDescent="0.25">
      <c r="B4259"/>
    </row>
    <row r="4260" spans="2:2" x14ac:dyDescent="0.25">
      <c r="B4260"/>
    </row>
    <row r="4261" spans="2:2" x14ac:dyDescent="0.25">
      <c r="B4261"/>
    </row>
    <row r="4262" spans="2:2" x14ac:dyDescent="0.25">
      <c r="B4262"/>
    </row>
    <row r="4263" spans="2:2" x14ac:dyDescent="0.25">
      <c r="B4263"/>
    </row>
    <row r="4264" spans="2:2" x14ac:dyDescent="0.25">
      <c r="B4264"/>
    </row>
    <row r="4265" spans="2:2" x14ac:dyDescent="0.25">
      <c r="B4265"/>
    </row>
    <row r="4266" spans="2:2" x14ac:dyDescent="0.25">
      <c r="B4266"/>
    </row>
    <row r="4267" spans="2:2" x14ac:dyDescent="0.25">
      <c r="B4267"/>
    </row>
    <row r="4268" spans="2:2" x14ac:dyDescent="0.25">
      <c r="B4268"/>
    </row>
    <row r="4269" spans="2:2" x14ac:dyDescent="0.25">
      <c r="B4269"/>
    </row>
    <row r="4270" spans="2:2" x14ac:dyDescent="0.25">
      <c r="B4270"/>
    </row>
    <row r="4271" spans="2:2" x14ac:dyDescent="0.25">
      <c r="B4271"/>
    </row>
    <row r="4272" spans="2:2" x14ac:dyDescent="0.25">
      <c r="B4272"/>
    </row>
    <row r="4273" spans="2:2" x14ac:dyDescent="0.25">
      <c r="B4273"/>
    </row>
    <row r="4274" spans="2:2" x14ac:dyDescent="0.25">
      <c r="B4274"/>
    </row>
    <row r="4275" spans="2:2" x14ac:dyDescent="0.25">
      <c r="B4275"/>
    </row>
    <row r="4276" spans="2:2" x14ac:dyDescent="0.25">
      <c r="B4276"/>
    </row>
    <row r="4277" spans="2:2" x14ac:dyDescent="0.25">
      <c r="B4277"/>
    </row>
    <row r="4278" spans="2:2" x14ac:dyDescent="0.25">
      <c r="B4278"/>
    </row>
    <row r="4279" spans="2:2" x14ac:dyDescent="0.25">
      <c r="B4279"/>
    </row>
    <row r="4280" spans="2:2" x14ac:dyDescent="0.25">
      <c r="B4280"/>
    </row>
    <row r="4281" spans="2:2" x14ac:dyDescent="0.25">
      <c r="B4281"/>
    </row>
    <row r="4282" spans="2:2" x14ac:dyDescent="0.25">
      <c r="B4282"/>
    </row>
    <row r="4283" spans="2:2" x14ac:dyDescent="0.25">
      <c r="B4283"/>
    </row>
    <row r="4284" spans="2:2" x14ac:dyDescent="0.25">
      <c r="B4284"/>
    </row>
    <row r="4285" spans="2:2" x14ac:dyDescent="0.25">
      <c r="B4285"/>
    </row>
    <row r="4286" spans="2:2" x14ac:dyDescent="0.25">
      <c r="B4286"/>
    </row>
    <row r="4287" spans="2:2" x14ac:dyDescent="0.25">
      <c r="B4287"/>
    </row>
    <row r="4288" spans="2:2" x14ac:dyDescent="0.25">
      <c r="B4288"/>
    </row>
    <row r="4289" spans="2:2" x14ac:dyDescent="0.25">
      <c r="B4289"/>
    </row>
    <row r="4290" spans="2:2" x14ac:dyDescent="0.25">
      <c r="B4290"/>
    </row>
    <row r="4291" spans="2:2" x14ac:dyDescent="0.25">
      <c r="B4291"/>
    </row>
    <row r="4292" spans="2:2" x14ac:dyDescent="0.25">
      <c r="B4292"/>
    </row>
    <row r="4293" spans="2:2" x14ac:dyDescent="0.25">
      <c r="B4293"/>
    </row>
    <row r="4294" spans="2:2" x14ac:dyDescent="0.25">
      <c r="B4294"/>
    </row>
    <row r="4295" spans="2:2" x14ac:dyDescent="0.25">
      <c r="B4295"/>
    </row>
    <row r="4296" spans="2:2" x14ac:dyDescent="0.25">
      <c r="B4296"/>
    </row>
    <row r="4297" spans="2:2" x14ac:dyDescent="0.25">
      <c r="B4297"/>
    </row>
    <row r="4298" spans="2:2" x14ac:dyDescent="0.25">
      <c r="B4298"/>
    </row>
    <row r="4299" spans="2:2" x14ac:dyDescent="0.25">
      <c r="B4299"/>
    </row>
    <row r="4300" spans="2:2" x14ac:dyDescent="0.25">
      <c r="B4300"/>
    </row>
    <row r="4301" spans="2:2" x14ac:dyDescent="0.25">
      <c r="B4301"/>
    </row>
    <row r="4302" spans="2:2" x14ac:dyDescent="0.25">
      <c r="B4302"/>
    </row>
    <row r="4303" spans="2:2" x14ac:dyDescent="0.25">
      <c r="B4303"/>
    </row>
    <row r="4304" spans="2:2" x14ac:dyDescent="0.25">
      <c r="B4304"/>
    </row>
    <row r="4305" spans="2:2" x14ac:dyDescent="0.25">
      <c r="B4305"/>
    </row>
    <row r="4306" spans="2:2" x14ac:dyDescent="0.25">
      <c r="B4306"/>
    </row>
    <row r="4307" spans="2:2" x14ac:dyDescent="0.25">
      <c r="B4307"/>
    </row>
    <row r="4308" spans="2:2" x14ac:dyDescent="0.25">
      <c r="B4308"/>
    </row>
    <row r="4309" spans="2:2" x14ac:dyDescent="0.25">
      <c r="B4309"/>
    </row>
    <row r="4310" spans="2:2" x14ac:dyDescent="0.25">
      <c r="B4310"/>
    </row>
    <row r="4311" spans="2:2" x14ac:dyDescent="0.25">
      <c r="B4311"/>
    </row>
    <row r="4312" spans="2:2" x14ac:dyDescent="0.25">
      <c r="B4312"/>
    </row>
    <row r="4313" spans="2:2" x14ac:dyDescent="0.25">
      <c r="B4313"/>
    </row>
    <row r="4314" spans="2:2" x14ac:dyDescent="0.25">
      <c r="B4314"/>
    </row>
    <row r="4315" spans="2:2" x14ac:dyDescent="0.25">
      <c r="B4315"/>
    </row>
    <row r="4316" spans="2:2" x14ac:dyDescent="0.25">
      <c r="B4316"/>
    </row>
    <row r="4317" spans="2:2" x14ac:dyDescent="0.25">
      <c r="B4317"/>
    </row>
    <row r="4318" spans="2:2" x14ac:dyDescent="0.25">
      <c r="B4318"/>
    </row>
    <row r="4319" spans="2:2" x14ac:dyDescent="0.25">
      <c r="B4319"/>
    </row>
    <row r="4320" spans="2:2" x14ac:dyDescent="0.25">
      <c r="B4320"/>
    </row>
    <row r="4321" spans="2:2" x14ac:dyDescent="0.25">
      <c r="B4321"/>
    </row>
    <row r="4322" spans="2:2" x14ac:dyDescent="0.25">
      <c r="B4322"/>
    </row>
    <row r="4323" spans="2:2" x14ac:dyDescent="0.25">
      <c r="B4323"/>
    </row>
    <row r="4324" spans="2:2" x14ac:dyDescent="0.25">
      <c r="B4324"/>
    </row>
    <row r="4325" spans="2:2" x14ac:dyDescent="0.25">
      <c r="B4325"/>
    </row>
    <row r="4326" spans="2:2" x14ac:dyDescent="0.25">
      <c r="B4326"/>
    </row>
    <row r="4327" spans="2:2" x14ac:dyDescent="0.25">
      <c r="B4327"/>
    </row>
    <row r="4328" spans="2:2" x14ac:dyDescent="0.25">
      <c r="B4328"/>
    </row>
    <row r="4329" spans="2:2" x14ac:dyDescent="0.25">
      <c r="B4329"/>
    </row>
    <row r="4330" spans="2:2" x14ac:dyDescent="0.25">
      <c r="B4330"/>
    </row>
    <row r="4331" spans="2:2" x14ac:dyDescent="0.25">
      <c r="B4331"/>
    </row>
    <row r="4332" spans="2:2" x14ac:dyDescent="0.25">
      <c r="B4332"/>
    </row>
    <row r="4333" spans="2:2" x14ac:dyDescent="0.25">
      <c r="B4333"/>
    </row>
    <row r="4334" spans="2:2" x14ac:dyDescent="0.25">
      <c r="B4334"/>
    </row>
    <row r="4335" spans="2:2" x14ac:dyDescent="0.25">
      <c r="B4335"/>
    </row>
    <row r="4336" spans="2:2" x14ac:dyDescent="0.25">
      <c r="B4336"/>
    </row>
    <row r="4337" spans="2:2" x14ac:dyDescent="0.25">
      <c r="B4337"/>
    </row>
    <row r="4338" spans="2:2" x14ac:dyDescent="0.25">
      <c r="B4338"/>
    </row>
    <row r="4339" spans="2:2" x14ac:dyDescent="0.25">
      <c r="B4339"/>
    </row>
    <row r="4340" spans="2:2" x14ac:dyDescent="0.25">
      <c r="B4340"/>
    </row>
    <row r="4341" spans="2:2" x14ac:dyDescent="0.25">
      <c r="B4341"/>
    </row>
    <row r="4342" spans="2:2" x14ac:dyDescent="0.25">
      <c r="B4342"/>
    </row>
    <row r="4343" spans="2:2" x14ac:dyDescent="0.25">
      <c r="B4343"/>
    </row>
    <row r="4344" spans="2:2" x14ac:dyDescent="0.25">
      <c r="B4344"/>
    </row>
    <row r="4345" spans="2:2" x14ac:dyDescent="0.25">
      <c r="B4345"/>
    </row>
    <row r="4346" spans="2:2" x14ac:dyDescent="0.25">
      <c r="B4346"/>
    </row>
    <row r="4347" spans="2:2" x14ac:dyDescent="0.25">
      <c r="B4347"/>
    </row>
    <row r="4348" spans="2:2" x14ac:dyDescent="0.25">
      <c r="B4348"/>
    </row>
    <row r="4349" spans="2:2" x14ac:dyDescent="0.25">
      <c r="B4349"/>
    </row>
    <row r="4350" spans="2:2" x14ac:dyDescent="0.25">
      <c r="B4350"/>
    </row>
    <row r="4351" spans="2:2" x14ac:dyDescent="0.25">
      <c r="B4351"/>
    </row>
    <row r="4352" spans="2:2" x14ac:dyDescent="0.25">
      <c r="B4352"/>
    </row>
    <row r="4353" spans="2:2" x14ac:dyDescent="0.25">
      <c r="B4353"/>
    </row>
    <row r="4354" spans="2:2" x14ac:dyDescent="0.25">
      <c r="B4354"/>
    </row>
    <row r="4355" spans="2:2" x14ac:dyDescent="0.25">
      <c r="B4355"/>
    </row>
    <row r="4356" spans="2:2" x14ac:dyDescent="0.25">
      <c r="B4356"/>
    </row>
    <row r="4357" spans="2:2" x14ac:dyDescent="0.25">
      <c r="B4357"/>
    </row>
    <row r="4358" spans="2:2" x14ac:dyDescent="0.25">
      <c r="B4358"/>
    </row>
    <row r="4359" spans="2:2" x14ac:dyDescent="0.25">
      <c r="B4359"/>
    </row>
    <row r="4360" spans="2:2" x14ac:dyDescent="0.25">
      <c r="B4360"/>
    </row>
    <row r="4361" spans="2:2" x14ac:dyDescent="0.25">
      <c r="B4361"/>
    </row>
    <row r="4362" spans="2:2" x14ac:dyDescent="0.25">
      <c r="B4362"/>
    </row>
    <row r="4363" spans="2:2" x14ac:dyDescent="0.25">
      <c r="B4363"/>
    </row>
    <row r="4364" spans="2:2" x14ac:dyDescent="0.25">
      <c r="B4364"/>
    </row>
    <row r="4365" spans="2:2" x14ac:dyDescent="0.25">
      <c r="B4365"/>
    </row>
    <row r="4366" spans="2:2" x14ac:dyDescent="0.25">
      <c r="B4366"/>
    </row>
    <row r="4367" spans="2:2" x14ac:dyDescent="0.25">
      <c r="B4367"/>
    </row>
    <row r="4368" spans="2:2" x14ac:dyDescent="0.25">
      <c r="B4368"/>
    </row>
    <row r="4369" spans="2:2" x14ac:dyDescent="0.25">
      <c r="B4369"/>
    </row>
    <row r="4370" spans="2:2" x14ac:dyDescent="0.25">
      <c r="B4370"/>
    </row>
    <row r="4371" spans="2:2" x14ac:dyDescent="0.25">
      <c r="B4371"/>
    </row>
    <row r="4372" spans="2:2" x14ac:dyDescent="0.25">
      <c r="B4372"/>
    </row>
    <row r="4373" spans="2:2" x14ac:dyDescent="0.25">
      <c r="B4373"/>
    </row>
    <row r="4374" spans="2:2" x14ac:dyDescent="0.25">
      <c r="B4374"/>
    </row>
    <row r="4375" spans="2:2" x14ac:dyDescent="0.25">
      <c r="B4375"/>
    </row>
    <row r="4376" spans="2:2" x14ac:dyDescent="0.25">
      <c r="B4376"/>
    </row>
    <row r="4377" spans="2:2" x14ac:dyDescent="0.25">
      <c r="B4377"/>
    </row>
    <row r="4378" spans="2:2" x14ac:dyDescent="0.25">
      <c r="B4378"/>
    </row>
    <row r="4379" spans="2:2" x14ac:dyDescent="0.25">
      <c r="B4379"/>
    </row>
    <row r="4380" spans="2:2" x14ac:dyDescent="0.25">
      <c r="B4380"/>
    </row>
    <row r="4381" spans="2:2" x14ac:dyDescent="0.25">
      <c r="B4381"/>
    </row>
    <row r="4382" spans="2:2" x14ac:dyDescent="0.25">
      <c r="B4382"/>
    </row>
    <row r="4383" spans="2:2" x14ac:dyDescent="0.25">
      <c r="B4383"/>
    </row>
    <row r="4384" spans="2:2" x14ac:dyDescent="0.25">
      <c r="B4384"/>
    </row>
    <row r="4385" spans="2:2" x14ac:dyDescent="0.25">
      <c r="B4385"/>
    </row>
    <row r="4386" spans="2:2" x14ac:dyDescent="0.25">
      <c r="B4386"/>
    </row>
    <row r="4387" spans="2:2" x14ac:dyDescent="0.25">
      <c r="B4387"/>
    </row>
    <row r="4388" spans="2:2" x14ac:dyDescent="0.25">
      <c r="B4388"/>
    </row>
    <row r="4389" spans="2:2" x14ac:dyDescent="0.25">
      <c r="B4389"/>
    </row>
    <row r="4390" spans="2:2" x14ac:dyDescent="0.25">
      <c r="B4390"/>
    </row>
    <row r="4391" spans="2:2" x14ac:dyDescent="0.25">
      <c r="B4391"/>
    </row>
    <row r="4392" spans="2:2" x14ac:dyDescent="0.25">
      <c r="B4392"/>
    </row>
    <row r="4393" spans="2:2" x14ac:dyDescent="0.25">
      <c r="B4393"/>
    </row>
    <row r="4394" spans="2:2" x14ac:dyDescent="0.25">
      <c r="B4394"/>
    </row>
    <row r="4395" spans="2:2" x14ac:dyDescent="0.25">
      <c r="B4395"/>
    </row>
    <row r="4396" spans="2:2" x14ac:dyDescent="0.25">
      <c r="B4396"/>
    </row>
    <row r="4397" spans="2:2" x14ac:dyDescent="0.25">
      <c r="B4397"/>
    </row>
    <row r="4398" spans="2:2" x14ac:dyDescent="0.25">
      <c r="B4398"/>
    </row>
    <row r="4399" spans="2:2" x14ac:dyDescent="0.25">
      <c r="B4399"/>
    </row>
    <row r="4400" spans="2:2" x14ac:dyDescent="0.25">
      <c r="B4400"/>
    </row>
    <row r="4401" spans="2:2" x14ac:dyDescent="0.25">
      <c r="B4401"/>
    </row>
    <row r="4402" spans="2:2" x14ac:dyDescent="0.25">
      <c r="B4402"/>
    </row>
    <row r="4403" spans="2:2" x14ac:dyDescent="0.25">
      <c r="B4403"/>
    </row>
    <row r="4404" spans="2:2" x14ac:dyDescent="0.25">
      <c r="B4404"/>
    </row>
    <row r="4405" spans="2:2" x14ac:dyDescent="0.25">
      <c r="B4405"/>
    </row>
    <row r="4406" spans="2:2" x14ac:dyDescent="0.25">
      <c r="B4406"/>
    </row>
    <row r="4407" spans="2:2" x14ac:dyDescent="0.25">
      <c r="B4407"/>
    </row>
    <row r="4408" spans="2:2" x14ac:dyDescent="0.25">
      <c r="B4408"/>
    </row>
    <row r="4409" spans="2:2" x14ac:dyDescent="0.25">
      <c r="B4409"/>
    </row>
    <row r="4410" spans="2:2" x14ac:dyDescent="0.25">
      <c r="B4410"/>
    </row>
    <row r="4411" spans="2:2" x14ac:dyDescent="0.25">
      <c r="B4411"/>
    </row>
    <row r="4412" spans="2:2" x14ac:dyDescent="0.25">
      <c r="B4412"/>
    </row>
    <row r="4413" spans="2:2" x14ac:dyDescent="0.25">
      <c r="B4413"/>
    </row>
    <row r="4414" spans="2:2" x14ac:dyDescent="0.25">
      <c r="B4414"/>
    </row>
    <row r="4415" spans="2:2" x14ac:dyDescent="0.25">
      <c r="B4415"/>
    </row>
    <row r="4416" spans="2:2" x14ac:dyDescent="0.25">
      <c r="B4416"/>
    </row>
    <row r="4417" spans="2:2" x14ac:dyDescent="0.25">
      <c r="B4417"/>
    </row>
    <row r="4418" spans="2:2" x14ac:dyDescent="0.25">
      <c r="B4418"/>
    </row>
    <row r="4419" spans="2:2" x14ac:dyDescent="0.25">
      <c r="B4419"/>
    </row>
    <row r="4420" spans="2:2" x14ac:dyDescent="0.25">
      <c r="B4420"/>
    </row>
    <row r="4421" spans="2:2" x14ac:dyDescent="0.25">
      <c r="B4421"/>
    </row>
    <row r="4422" spans="2:2" x14ac:dyDescent="0.25">
      <c r="B4422"/>
    </row>
    <row r="4423" spans="2:2" x14ac:dyDescent="0.25">
      <c r="B4423"/>
    </row>
    <row r="4424" spans="2:2" x14ac:dyDescent="0.25">
      <c r="B4424"/>
    </row>
    <row r="4425" spans="2:2" x14ac:dyDescent="0.25">
      <c r="B4425"/>
    </row>
    <row r="4426" spans="2:2" x14ac:dyDescent="0.25">
      <c r="B4426"/>
    </row>
    <row r="4427" spans="2:2" x14ac:dyDescent="0.25">
      <c r="B4427"/>
    </row>
    <row r="4428" spans="2:2" x14ac:dyDescent="0.25">
      <c r="B4428"/>
    </row>
    <row r="4429" spans="2:2" x14ac:dyDescent="0.25">
      <c r="B4429"/>
    </row>
    <row r="4430" spans="2:2" x14ac:dyDescent="0.25">
      <c r="B4430"/>
    </row>
    <row r="4431" spans="2:2" x14ac:dyDescent="0.25">
      <c r="B4431"/>
    </row>
    <row r="4432" spans="2:2" x14ac:dyDescent="0.25">
      <c r="B4432"/>
    </row>
    <row r="4433" spans="2:2" x14ac:dyDescent="0.25">
      <c r="B4433"/>
    </row>
    <row r="4434" spans="2:2" x14ac:dyDescent="0.25">
      <c r="B4434"/>
    </row>
    <row r="4435" spans="2:2" x14ac:dyDescent="0.25">
      <c r="B4435"/>
    </row>
    <row r="4436" spans="2:2" x14ac:dyDescent="0.25">
      <c r="B4436"/>
    </row>
    <row r="4437" spans="2:2" x14ac:dyDescent="0.25">
      <c r="B4437"/>
    </row>
    <row r="4438" spans="2:2" x14ac:dyDescent="0.25">
      <c r="B4438"/>
    </row>
    <row r="4439" spans="2:2" x14ac:dyDescent="0.25">
      <c r="B4439"/>
    </row>
    <row r="4440" spans="2:2" x14ac:dyDescent="0.25">
      <c r="B4440"/>
    </row>
    <row r="4441" spans="2:2" x14ac:dyDescent="0.25">
      <c r="B4441"/>
    </row>
    <row r="4442" spans="2:2" x14ac:dyDescent="0.25">
      <c r="B4442"/>
    </row>
    <row r="4443" spans="2:2" x14ac:dyDescent="0.25">
      <c r="B4443"/>
    </row>
    <row r="4444" spans="2:2" x14ac:dyDescent="0.25">
      <c r="B4444"/>
    </row>
    <row r="4445" spans="2:2" x14ac:dyDescent="0.25">
      <c r="B4445"/>
    </row>
    <row r="4446" spans="2:2" x14ac:dyDescent="0.25">
      <c r="B4446"/>
    </row>
    <row r="4447" spans="2:2" x14ac:dyDescent="0.25">
      <c r="B4447"/>
    </row>
    <row r="4448" spans="2:2" x14ac:dyDescent="0.25">
      <c r="B4448"/>
    </row>
    <row r="4449" spans="2:2" x14ac:dyDescent="0.25">
      <c r="B4449"/>
    </row>
    <row r="4450" spans="2:2" x14ac:dyDescent="0.25">
      <c r="B4450"/>
    </row>
    <row r="4451" spans="2:2" x14ac:dyDescent="0.25">
      <c r="B4451"/>
    </row>
    <row r="4452" spans="2:2" x14ac:dyDescent="0.25">
      <c r="B4452"/>
    </row>
    <row r="4453" spans="2:2" x14ac:dyDescent="0.25">
      <c r="B4453"/>
    </row>
    <row r="4454" spans="2:2" x14ac:dyDescent="0.25">
      <c r="B4454"/>
    </row>
    <row r="4455" spans="2:2" x14ac:dyDescent="0.25">
      <c r="B4455"/>
    </row>
    <row r="4456" spans="2:2" x14ac:dyDescent="0.25">
      <c r="B4456"/>
    </row>
    <row r="4457" spans="2:2" x14ac:dyDescent="0.25">
      <c r="B4457"/>
    </row>
    <row r="4458" spans="2:2" x14ac:dyDescent="0.25">
      <c r="B4458"/>
    </row>
    <row r="4459" spans="2:2" x14ac:dyDescent="0.25">
      <c r="B4459"/>
    </row>
    <row r="4460" spans="2:2" x14ac:dyDescent="0.25">
      <c r="B4460"/>
    </row>
    <row r="4461" spans="2:2" x14ac:dyDescent="0.25">
      <c r="B4461"/>
    </row>
    <row r="4462" spans="2:2" x14ac:dyDescent="0.25">
      <c r="B4462"/>
    </row>
    <row r="4463" spans="2:2" x14ac:dyDescent="0.25">
      <c r="B4463"/>
    </row>
    <row r="4464" spans="2:2" x14ac:dyDescent="0.25">
      <c r="B4464"/>
    </row>
    <row r="4465" spans="2:2" x14ac:dyDescent="0.25">
      <c r="B4465"/>
    </row>
    <row r="4466" spans="2:2" x14ac:dyDescent="0.25">
      <c r="B4466"/>
    </row>
    <row r="4467" spans="2:2" x14ac:dyDescent="0.25">
      <c r="B4467"/>
    </row>
    <row r="4468" spans="2:2" x14ac:dyDescent="0.25">
      <c r="B4468"/>
    </row>
    <row r="4469" spans="2:2" x14ac:dyDescent="0.25">
      <c r="B4469"/>
    </row>
    <row r="4470" spans="2:2" x14ac:dyDescent="0.25">
      <c r="B4470"/>
    </row>
    <row r="4471" spans="2:2" x14ac:dyDescent="0.25">
      <c r="B4471"/>
    </row>
    <row r="4472" spans="2:2" x14ac:dyDescent="0.25">
      <c r="B4472"/>
    </row>
    <row r="4473" spans="2:2" x14ac:dyDescent="0.25">
      <c r="B4473"/>
    </row>
    <row r="4474" spans="2:2" x14ac:dyDescent="0.25">
      <c r="B4474"/>
    </row>
    <row r="4475" spans="2:2" x14ac:dyDescent="0.25">
      <c r="B4475"/>
    </row>
    <row r="4476" spans="2:2" x14ac:dyDescent="0.25">
      <c r="B4476"/>
    </row>
    <row r="4477" spans="2:2" x14ac:dyDescent="0.25">
      <c r="B4477"/>
    </row>
    <row r="4478" spans="2:2" x14ac:dyDescent="0.25">
      <c r="B4478"/>
    </row>
    <row r="4479" spans="2:2" x14ac:dyDescent="0.25">
      <c r="B4479"/>
    </row>
    <row r="4480" spans="2:2" x14ac:dyDescent="0.25">
      <c r="B4480"/>
    </row>
    <row r="4481" spans="2:2" x14ac:dyDescent="0.25">
      <c r="B4481"/>
    </row>
    <row r="4482" spans="2:2" x14ac:dyDescent="0.25">
      <c r="B4482"/>
    </row>
    <row r="4483" spans="2:2" x14ac:dyDescent="0.25">
      <c r="B4483"/>
    </row>
    <row r="4484" spans="2:2" x14ac:dyDescent="0.25">
      <c r="B4484"/>
    </row>
    <row r="4485" spans="2:2" x14ac:dyDescent="0.25">
      <c r="B4485"/>
    </row>
    <row r="4486" spans="2:2" x14ac:dyDescent="0.25">
      <c r="B4486"/>
    </row>
    <row r="4487" spans="2:2" x14ac:dyDescent="0.25">
      <c r="B4487"/>
    </row>
    <row r="4488" spans="2:2" x14ac:dyDescent="0.25">
      <c r="B4488"/>
    </row>
    <row r="4489" spans="2:2" x14ac:dyDescent="0.25">
      <c r="B4489"/>
    </row>
    <row r="4490" spans="2:2" x14ac:dyDescent="0.25">
      <c r="B4490"/>
    </row>
    <row r="4491" spans="2:2" x14ac:dyDescent="0.25">
      <c r="B4491"/>
    </row>
    <row r="4492" spans="2:2" x14ac:dyDescent="0.25">
      <c r="B4492"/>
    </row>
    <row r="4493" spans="2:2" x14ac:dyDescent="0.25">
      <c r="B4493"/>
    </row>
    <row r="4494" spans="2:2" x14ac:dyDescent="0.25">
      <c r="B4494"/>
    </row>
    <row r="4495" spans="2:2" x14ac:dyDescent="0.25">
      <c r="B4495"/>
    </row>
    <row r="4496" spans="2:2" x14ac:dyDescent="0.25">
      <c r="B4496"/>
    </row>
    <row r="4497" spans="2:2" x14ac:dyDescent="0.25">
      <c r="B4497"/>
    </row>
    <row r="4498" spans="2:2" x14ac:dyDescent="0.25">
      <c r="B4498"/>
    </row>
    <row r="4499" spans="2:2" x14ac:dyDescent="0.25">
      <c r="B4499"/>
    </row>
    <row r="4500" spans="2:2" x14ac:dyDescent="0.25">
      <c r="B4500"/>
    </row>
    <row r="4501" spans="2:2" x14ac:dyDescent="0.25">
      <c r="B4501"/>
    </row>
    <row r="4502" spans="2:2" x14ac:dyDescent="0.25">
      <c r="B4502"/>
    </row>
    <row r="4503" spans="2:2" x14ac:dyDescent="0.25">
      <c r="B4503"/>
    </row>
    <row r="4504" spans="2:2" x14ac:dyDescent="0.25">
      <c r="B4504"/>
    </row>
    <row r="4505" spans="2:2" x14ac:dyDescent="0.25">
      <c r="B4505"/>
    </row>
    <row r="4506" spans="2:2" x14ac:dyDescent="0.25">
      <c r="B4506"/>
    </row>
    <row r="4507" spans="2:2" x14ac:dyDescent="0.25">
      <c r="B4507"/>
    </row>
    <row r="4508" spans="2:2" x14ac:dyDescent="0.25">
      <c r="B4508"/>
    </row>
    <row r="4509" spans="2:2" x14ac:dyDescent="0.25">
      <c r="B4509"/>
    </row>
    <row r="4510" spans="2:2" x14ac:dyDescent="0.25">
      <c r="B4510"/>
    </row>
    <row r="4511" spans="2:2" x14ac:dyDescent="0.25">
      <c r="B4511"/>
    </row>
    <row r="4512" spans="2:2" x14ac:dyDescent="0.25">
      <c r="B4512"/>
    </row>
    <row r="4513" spans="2:2" x14ac:dyDescent="0.25">
      <c r="B4513"/>
    </row>
    <row r="4514" spans="2:2" x14ac:dyDescent="0.25">
      <c r="B4514"/>
    </row>
    <row r="4515" spans="2:2" x14ac:dyDescent="0.25">
      <c r="B4515"/>
    </row>
    <row r="4516" spans="2:2" x14ac:dyDescent="0.25">
      <c r="B4516"/>
    </row>
    <row r="4517" spans="2:2" x14ac:dyDescent="0.25">
      <c r="B4517"/>
    </row>
    <row r="4518" spans="2:2" x14ac:dyDescent="0.25">
      <c r="B4518"/>
    </row>
    <row r="4519" spans="2:2" x14ac:dyDescent="0.25">
      <c r="B4519"/>
    </row>
    <row r="4520" spans="2:2" x14ac:dyDescent="0.25">
      <c r="B4520"/>
    </row>
    <row r="4521" spans="2:2" x14ac:dyDescent="0.25">
      <c r="B4521"/>
    </row>
    <row r="4522" spans="2:2" x14ac:dyDescent="0.25">
      <c r="B4522"/>
    </row>
    <row r="4523" spans="2:2" x14ac:dyDescent="0.25">
      <c r="B4523"/>
    </row>
    <row r="4524" spans="2:2" x14ac:dyDescent="0.25">
      <c r="B4524"/>
    </row>
    <row r="4525" spans="2:2" x14ac:dyDescent="0.25">
      <c r="B4525"/>
    </row>
    <row r="4526" spans="2:2" x14ac:dyDescent="0.25">
      <c r="B4526"/>
    </row>
    <row r="4527" spans="2:2" x14ac:dyDescent="0.25">
      <c r="B4527"/>
    </row>
    <row r="4528" spans="2:2" x14ac:dyDescent="0.25">
      <c r="B4528"/>
    </row>
    <row r="4529" spans="2:2" x14ac:dyDescent="0.25">
      <c r="B4529"/>
    </row>
    <row r="4530" spans="2:2" x14ac:dyDescent="0.25">
      <c r="B4530"/>
    </row>
    <row r="4531" spans="2:2" x14ac:dyDescent="0.25">
      <c r="B4531"/>
    </row>
    <row r="4532" spans="2:2" x14ac:dyDescent="0.25">
      <c r="B4532"/>
    </row>
    <row r="4533" spans="2:2" x14ac:dyDescent="0.25">
      <c r="B4533"/>
    </row>
    <row r="4534" spans="2:2" x14ac:dyDescent="0.25">
      <c r="B4534"/>
    </row>
    <row r="4535" spans="2:2" x14ac:dyDescent="0.25">
      <c r="B4535"/>
    </row>
    <row r="4536" spans="2:2" x14ac:dyDescent="0.25">
      <c r="B4536"/>
    </row>
    <row r="4537" spans="2:2" x14ac:dyDescent="0.25">
      <c r="B4537"/>
    </row>
    <row r="4538" spans="2:2" x14ac:dyDescent="0.25">
      <c r="B4538"/>
    </row>
    <row r="4539" spans="2:2" x14ac:dyDescent="0.25">
      <c r="B4539"/>
    </row>
    <row r="4540" spans="2:2" x14ac:dyDescent="0.25">
      <c r="B4540"/>
    </row>
    <row r="4541" spans="2:2" x14ac:dyDescent="0.25">
      <c r="B4541"/>
    </row>
    <row r="4542" spans="2:2" x14ac:dyDescent="0.25">
      <c r="B4542"/>
    </row>
    <row r="4543" spans="2:2" x14ac:dyDescent="0.25">
      <c r="B4543"/>
    </row>
    <row r="4544" spans="2:2" x14ac:dyDescent="0.25">
      <c r="B4544"/>
    </row>
    <row r="4545" spans="2:2" x14ac:dyDescent="0.25">
      <c r="B4545"/>
    </row>
    <row r="4546" spans="2:2" x14ac:dyDescent="0.25">
      <c r="B4546"/>
    </row>
    <row r="4547" spans="2:2" x14ac:dyDescent="0.25">
      <c r="B4547"/>
    </row>
    <row r="4548" spans="2:2" x14ac:dyDescent="0.25">
      <c r="B4548"/>
    </row>
    <row r="4549" spans="2:2" x14ac:dyDescent="0.25">
      <c r="B4549"/>
    </row>
    <row r="4550" spans="2:2" x14ac:dyDescent="0.25">
      <c r="B4550"/>
    </row>
    <row r="4551" spans="2:2" x14ac:dyDescent="0.25">
      <c r="B4551"/>
    </row>
    <row r="4552" spans="2:2" x14ac:dyDescent="0.25">
      <c r="B4552"/>
    </row>
    <row r="4553" spans="2:2" x14ac:dyDescent="0.25">
      <c r="B4553"/>
    </row>
    <row r="4554" spans="2:2" x14ac:dyDescent="0.25">
      <c r="B4554"/>
    </row>
    <row r="4555" spans="2:2" x14ac:dyDescent="0.25">
      <c r="B4555"/>
    </row>
    <row r="4556" spans="2:2" x14ac:dyDescent="0.25">
      <c r="B4556"/>
    </row>
    <row r="4557" spans="2:2" x14ac:dyDescent="0.25">
      <c r="B4557"/>
    </row>
    <row r="4558" spans="2:2" x14ac:dyDescent="0.25">
      <c r="B4558"/>
    </row>
    <row r="4559" spans="2:2" x14ac:dyDescent="0.25">
      <c r="B4559"/>
    </row>
    <row r="4560" spans="2:2" x14ac:dyDescent="0.25">
      <c r="B4560"/>
    </row>
    <row r="4561" spans="2:2" x14ac:dyDescent="0.25">
      <c r="B4561"/>
    </row>
    <row r="4562" spans="2:2" x14ac:dyDescent="0.25">
      <c r="B4562"/>
    </row>
    <row r="4563" spans="2:2" x14ac:dyDescent="0.25">
      <c r="B4563"/>
    </row>
    <row r="4564" spans="2:2" x14ac:dyDescent="0.25">
      <c r="B4564"/>
    </row>
    <row r="4565" spans="2:2" x14ac:dyDescent="0.25">
      <c r="B4565"/>
    </row>
    <row r="4566" spans="2:2" x14ac:dyDescent="0.25">
      <c r="B4566"/>
    </row>
    <row r="4567" spans="2:2" x14ac:dyDescent="0.25">
      <c r="B4567"/>
    </row>
    <row r="4568" spans="2:2" x14ac:dyDescent="0.25">
      <c r="B4568"/>
    </row>
    <row r="4569" spans="2:2" x14ac:dyDescent="0.25">
      <c r="B4569"/>
    </row>
    <row r="4570" spans="2:2" x14ac:dyDescent="0.25">
      <c r="B4570"/>
    </row>
    <row r="4571" spans="2:2" x14ac:dyDescent="0.25">
      <c r="B4571"/>
    </row>
    <row r="4572" spans="2:2" x14ac:dyDescent="0.25">
      <c r="B4572"/>
    </row>
    <row r="4573" spans="2:2" x14ac:dyDescent="0.25">
      <c r="B4573"/>
    </row>
    <row r="4574" spans="2:2" x14ac:dyDescent="0.25">
      <c r="B4574"/>
    </row>
    <row r="4575" spans="2:2" x14ac:dyDescent="0.25">
      <c r="B4575"/>
    </row>
    <row r="4576" spans="2:2" x14ac:dyDescent="0.25">
      <c r="B4576"/>
    </row>
    <row r="4577" spans="2:2" x14ac:dyDescent="0.25">
      <c r="B4577"/>
    </row>
    <row r="4578" spans="2:2" x14ac:dyDescent="0.25">
      <c r="B4578"/>
    </row>
    <row r="4579" spans="2:2" x14ac:dyDescent="0.25">
      <c r="B4579"/>
    </row>
    <row r="4580" spans="2:2" x14ac:dyDescent="0.25">
      <c r="B4580"/>
    </row>
    <row r="4581" spans="2:2" x14ac:dyDescent="0.25">
      <c r="B4581"/>
    </row>
    <row r="4582" spans="2:2" x14ac:dyDescent="0.25">
      <c r="B4582"/>
    </row>
    <row r="4583" spans="2:2" x14ac:dyDescent="0.25">
      <c r="B4583"/>
    </row>
    <row r="4584" spans="2:2" x14ac:dyDescent="0.25">
      <c r="B4584"/>
    </row>
    <row r="4585" spans="2:2" x14ac:dyDescent="0.25">
      <c r="B4585"/>
    </row>
    <row r="4586" spans="2:2" x14ac:dyDescent="0.25">
      <c r="B4586"/>
    </row>
    <row r="4587" spans="2:2" x14ac:dyDescent="0.25">
      <c r="B4587"/>
    </row>
    <row r="4588" spans="2:2" x14ac:dyDescent="0.25">
      <c r="B4588"/>
    </row>
    <row r="4589" spans="2:2" x14ac:dyDescent="0.25">
      <c r="B4589"/>
    </row>
    <row r="4590" spans="2:2" x14ac:dyDescent="0.25">
      <c r="B4590"/>
    </row>
    <row r="4591" spans="2:2" x14ac:dyDescent="0.25">
      <c r="B4591"/>
    </row>
    <row r="4592" spans="2:2" x14ac:dyDescent="0.25">
      <c r="B4592"/>
    </row>
    <row r="4593" spans="2:2" x14ac:dyDescent="0.25">
      <c r="B4593"/>
    </row>
    <row r="4594" spans="2:2" x14ac:dyDescent="0.25">
      <c r="B4594"/>
    </row>
    <row r="4595" spans="2:2" x14ac:dyDescent="0.25">
      <c r="B4595"/>
    </row>
    <row r="4596" spans="2:2" x14ac:dyDescent="0.25">
      <c r="B4596"/>
    </row>
    <row r="4597" spans="2:2" x14ac:dyDescent="0.25">
      <c r="B4597"/>
    </row>
    <row r="4598" spans="2:2" x14ac:dyDescent="0.25">
      <c r="B4598"/>
    </row>
    <row r="4599" spans="2:2" x14ac:dyDescent="0.25">
      <c r="B4599"/>
    </row>
    <row r="4600" spans="2:2" x14ac:dyDescent="0.25">
      <c r="B4600"/>
    </row>
    <row r="4601" spans="2:2" x14ac:dyDescent="0.25">
      <c r="B4601"/>
    </row>
    <row r="4602" spans="2:2" x14ac:dyDescent="0.25">
      <c r="B4602"/>
    </row>
    <row r="4603" spans="2:2" x14ac:dyDescent="0.25">
      <c r="B4603"/>
    </row>
    <row r="4604" spans="2:2" x14ac:dyDescent="0.25">
      <c r="B4604"/>
    </row>
    <row r="4605" spans="2:2" x14ac:dyDescent="0.25">
      <c r="B4605"/>
    </row>
    <row r="4606" spans="2:2" x14ac:dyDescent="0.25">
      <c r="B4606"/>
    </row>
    <row r="4607" spans="2:2" x14ac:dyDescent="0.25">
      <c r="B4607"/>
    </row>
    <row r="4608" spans="2:2" x14ac:dyDescent="0.25">
      <c r="B4608"/>
    </row>
    <row r="4609" spans="2:2" x14ac:dyDescent="0.25">
      <c r="B4609"/>
    </row>
    <row r="4610" spans="2:2" x14ac:dyDescent="0.25">
      <c r="B4610"/>
    </row>
    <row r="4611" spans="2:2" x14ac:dyDescent="0.25">
      <c r="B4611"/>
    </row>
    <row r="4612" spans="2:2" x14ac:dyDescent="0.25">
      <c r="B4612"/>
    </row>
    <row r="4613" spans="2:2" x14ac:dyDescent="0.25">
      <c r="B4613"/>
    </row>
    <row r="4614" spans="2:2" x14ac:dyDescent="0.25">
      <c r="B4614"/>
    </row>
    <row r="4615" spans="2:2" x14ac:dyDescent="0.25">
      <c r="B4615"/>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63D83-F74F-4699-827E-F9B22B7E8BE7}">
  <sheetPr filterMode="1">
    <tabColor theme="0" tint="-0.499984740745262"/>
  </sheetPr>
  <dimension ref="B2:E160"/>
  <sheetViews>
    <sheetView workbookViewId="0"/>
  </sheetViews>
  <sheetFormatPr defaultColWidth="9.140625" defaultRowHeight="15" x14ac:dyDescent="0.25"/>
  <cols>
    <col min="1" max="1" width="9.140625" style="26"/>
    <col min="2" max="2" width="11.5703125" style="26" bestFit="1" customWidth="1"/>
    <col min="3" max="3" width="11" style="26" bestFit="1" customWidth="1"/>
    <col min="4" max="4" width="9.140625" style="26" customWidth="1"/>
    <col min="5" max="16384" width="9.140625" style="26"/>
  </cols>
  <sheetData>
    <row r="2" spans="2:5" ht="60" x14ac:dyDescent="0.25">
      <c r="B2" s="25" t="s">
        <v>2526</v>
      </c>
      <c r="C2" s="1" t="s">
        <v>2527</v>
      </c>
      <c r="D2" s="1"/>
      <c r="E2" s="1"/>
    </row>
    <row r="3" spans="2:5" hidden="1" x14ac:dyDescent="0.25">
      <c r="B3" s="26" t="s">
        <v>2423</v>
      </c>
      <c r="C3" s="26" t="str">
        <f ca="1">IF(ISNUMBER(MATCH($B3, 'Measure-Level Adj Gas'!$L:$L, 0)), "TRUE", "FALSE")</f>
        <v>FALSE</v>
      </c>
    </row>
    <row r="4" spans="2:5" hidden="1" x14ac:dyDescent="0.25">
      <c r="B4" s="26" t="s">
        <v>2424</v>
      </c>
      <c r="C4" s="26" t="str">
        <f ca="1">IF(ISNUMBER(MATCH($B4, 'Measure-Level Adj Gas'!$L:$L, 0)), "TRUE", "FALSE")</f>
        <v>FALSE</v>
      </c>
    </row>
    <row r="5" spans="2:5" hidden="1" x14ac:dyDescent="0.25">
      <c r="B5" s="26" t="s">
        <v>2425</v>
      </c>
      <c r="C5" s="26" t="str">
        <f ca="1">IF(ISNUMBER(MATCH($B5, 'Measure-Level Adj Gas'!$L:$L, 0)), "TRUE", "FALSE")</f>
        <v>FALSE</v>
      </c>
    </row>
    <row r="6" spans="2:5" hidden="1" x14ac:dyDescent="0.25">
      <c r="B6" s="26" t="s">
        <v>2426</v>
      </c>
      <c r="C6" s="26" t="str">
        <f ca="1">IF(ISNUMBER(MATCH($B6, 'Measure-Level Adj Gas'!$L:$L, 0)), "TRUE", "FALSE")</f>
        <v>FALSE</v>
      </c>
    </row>
    <row r="7" spans="2:5" hidden="1" x14ac:dyDescent="0.25">
      <c r="B7" s="26" t="s">
        <v>2427</v>
      </c>
      <c r="C7" s="26" t="str">
        <f ca="1">IF(ISNUMBER(MATCH($B7, 'Measure-Level Adj Gas'!$L:$L, 0)), "TRUE", "FALSE")</f>
        <v>FALSE</v>
      </c>
    </row>
    <row r="8" spans="2:5" hidden="1" x14ac:dyDescent="0.25">
      <c r="B8" s="26" t="s">
        <v>2428</v>
      </c>
      <c r="C8" s="26" t="str">
        <f ca="1">IF(ISNUMBER(MATCH($B8, 'Measure-Level Adj Gas'!$L:$L, 0)), "TRUE", "FALSE")</f>
        <v>FALSE</v>
      </c>
    </row>
    <row r="9" spans="2:5" hidden="1" x14ac:dyDescent="0.25">
      <c r="B9" s="26" t="s">
        <v>2428</v>
      </c>
      <c r="C9" s="26" t="str">
        <f ca="1">IF(ISNUMBER(MATCH($B9, 'Measure-Level Adj Gas'!$L:$L, 0)), "TRUE", "FALSE")</f>
        <v>FALSE</v>
      </c>
    </row>
    <row r="10" spans="2:5" hidden="1" x14ac:dyDescent="0.25">
      <c r="B10" s="26" t="s">
        <v>2429</v>
      </c>
      <c r="C10" s="26" t="str">
        <f ca="1">IF(ISNUMBER(MATCH($B10, 'Measure-Level Adj Gas'!$L:$L, 0)), "TRUE", "FALSE")</f>
        <v>FALSE</v>
      </c>
    </row>
    <row r="11" spans="2:5" hidden="1" x14ac:dyDescent="0.25">
      <c r="B11" s="26" t="s">
        <v>2430</v>
      </c>
      <c r="C11" s="26" t="str">
        <f ca="1">IF(ISNUMBER(MATCH($B11, 'Measure-Level Adj Gas'!$L:$L, 0)), "TRUE", "FALSE")</f>
        <v>FALSE</v>
      </c>
    </row>
    <row r="12" spans="2:5" hidden="1" x14ac:dyDescent="0.25">
      <c r="B12" s="26" t="s">
        <v>2431</v>
      </c>
      <c r="C12" s="26" t="str">
        <f ca="1">IF(ISNUMBER(MATCH($B12, 'Measure-Level Adj Gas'!$L:$L, 0)), "TRUE", "FALSE")</f>
        <v>FALSE</v>
      </c>
    </row>
    <row r="13" spans="2:5" hidden="1" x14ac:dyDescent="0.25">
      <c r="B13" s="26" t="s">
        <v>2432</v>
      </c>
      <c r="C13" s="26" t="str">
        <f ca="1">IF(ISNUMBER(MATCH($B13, 'Measure-Level Adj Gas'!$L:$L, 0)), "TRUE", "FALSE")</f>
        <v>FALSE</v>
      </c>
    </row>
    <row r="14" spans="2:5" hidden="1" x14ac:dyDescent="0.25">
      <c r="B14" s="26" t="s">
        <v>2433</v>
      </c>
      <c r="C14" s="26" t="str">
        <f ca="1">IF(ISNUMBER(MATCH($B14, 'Measure-Level Adj Gas'!$L:$L, 0)), "TRUE", "FALSE")</f>
        <v>FALSE</v>
      </c>
    </row>
    <row r="15" spans="2:5" hidden="1" x14ac:dyDescent="0.25">
      <c r="B15" s="26" t="s">
        <v>2434</v>
      </c>
      <c r="C15" s="26" t="str">
        <f ca="1">IF(ISNUMBER(MATCH($B15, 'Measure-Level Adj Gas'!$L:$L, 0)), "TRUE", "FALSE")</f>
        <v>FALSE</v>
      </c>
    </row>
    <row r="16" spans="2:5" hidden="1" x14ac:dyDescent="0.25">
      <c r="B16" s="26" t="s">
        <v>2435</v>
      </c>
      <c r="C16" s="26" t="str">
        <f ca="1">IF(ISNUMBER(MATCH($B16, 'Measure-Level Adj Gas'!$L:$L, 0)), "TRUE", "FALSE")</f>
        <v>FALSE</v>
      </c>
    </row>
    <row r="17" spans="2:3" hidden="1" x14ac:dyDescent="0.25">
      <c r="B17" s="26" t="s">
        <v>2436</v>
      </c>
      <c r="C17" s="26" t="str">
        <f ca="1">IF(ISNUMBER(MATCH($B17, 'Measure-Level Adj Gas'!$L:$L, 0)), "TRUE", "FALSE")</f>
        <v>FALSE</v>
      </c>
    </row>
    <row r="18" spans="2:3" hidden="1" x14ac:dyDescent="0.25">
      <c r="B18" s="26" t="s">
        <v>2437</v>
      </c>
      <c r="C18" s="26" t="str">
        <f ca="1">IF(ISNUMBER(MATCH($B18, 'Measure-Level Adj Gas'!$L:$L, 0)), "TRUE", "FALSE")</f>
        <v>FALSE</v>
      </c>
    </row>
    <row r="19" spans="2:3" hidden="1" x14ac:dyDescent="0.25">
      <c r="B19" s="26" t="s">
        <v>2438</v>
      </c>
      <c r="C19" s="26" t="str">
        <f ca="1">IF(ISNUMBER(MATCH($B19, 'Measure-Level Adj Gas'!$L:$L, 0)), "TRUE", "FALSE")</f>
        <v>FALSE</v>
      </c>
    </row>
    <row r="20" spans="2:3" hidden="1" x14ac:dyDescent="0.25">
      <c r="B20" s="26" t="s">
        <v>2439</v>
      </c>
      <c r="C20" s="26" t="str">
        <f ca="1">IF(ISNUMBER(MATCH($B20, 'Measure-Level Adj Gas'!$L:$L, 0)), "TRUE", "FALSE")</f>
        <v>FALSE</v>
      </c>
    </row>
    <row r="21" spans="2:3" hidden="1" x14ac:dyDescent="0.25">
      <c r="B21" s="26" t="s">
        <v>2440</v>
      </c>
      <c r="C21" s="26" t="str">
        <f ca="1">IF(ISNUMBER(MATCH($B21, 'Measure-Level Adj Gas'!$L:$L, 0)), "TRUE", "FALSE")</f>
        <v>FALSE</v>
      </c>
    </row>
    <row r="22" spans="2:3" x14ac:dyDescent="0.25">
      <c r="B22" s="26" t="s">
        <v>519</v>
      </c>
      <c r="C22" s="26" t="str">
        <f ca="1">IF(ISNUMBER(MATCH($B22, 'Measure-Level Adj Gas'!$L:$L, 0)), "TRUE", "FALSE")</f>
        <v>TRUE</v>
      </c>
    </row>
    <row r="23" spans="2:3" x14ac:dyDescent="0.25">
      <c r="B23" s="26" t="s">
        <v>519</v>
      </c>
      <c r="C23" s="26" t="str">
        <f ca="1">IF(ISNUMBER(MATCH($B23, 'Measure-Level Adj Gas'!$L:$L, 0)), "TRUE", "FALSE")</f>
        <v>TRUE</v>
      </c>
    </row>
    <row r="24" spans="2:3" hidden="1" x14ac:dyDescent="0.25">
      <c r="B24" s="26" t="s">
        <v>2441</v>
      </c>
      <c r="C24" s="26" t="str">
        <f ca="1">IF(ISNUMBER(MATCH($B24, 'Measure-Level Adj Gas'!$L:$L, 0)), "TRUE", "FALSE")</f>
        <v>FALSE</v>
      </c>
    </row>
    <row r="25" spans="2:3" x14ac:dyDescent="0.25">
      <c r="B25" s="26" t="s">
        <v>135</v>
      </c>
      <c r="C25" s="26" t="str">
        <f ca="1">IF(ISNUMBER(MATCH($B25, 'Measure-Level Adj Gas'!$L:$L, 0)), "TRUE", "FALSE")</f>
        <v>TRUE</v>
      </c>
    </row>
    <row r="26" spans="2:3" x14ac:dyDescent="0.25">
      <c r="B26" s="26" t="s">
        <v>521</v>
      </c>
      <c r="C26" s="26" t="str">
        <f ca="1">IF(ISNUMBER(MATCH($B26, 'Measure-Level Adj Gas'!$L:$L, 0)), "TRUE", "FALSE")</f>
        <v>TRUE</v>
      </c>
    </row>
    <row r="27" spans="2:3" x14ac:dyDescent="0.25">
      <c r="B27" s="26" t="s">
        <v>520</v>
      </c>
      <c r="C27" s="26" t="str">
        <f ca="1">IF(ISNUMBER(MATCH($B27, 'Measure-Level Adj Gas'!$L:$L, 0)), "TRUE", "FALSE")</f>
        <v>TRUE</v>
      </c>
    </row>
    <row r="28" spans="2:3" x14ac:dyDescent="0.25">
      <c r="B28" s="26" t="s">
        <v>520</v>
      </c>
      <c r="C28" s="26" t="str">
        <f ca="1">IF(ISNUMBER(MATCH($B28, 'Measure-Level Adj Gas'!$L:$L, 0)), "TRUE", "FALSE")</f>
        <v>TRUE</v>
      </c>
    </row>
    <row r="29" spans="2:3" x14ac:dyDescent="0.25">
      <c r="B29" s="26" t="s">
        <v>114</v>
      </c>
      <c r="C29" s="26" t="str">
        <f ca="1">IF(ISNUMBER(MATCH($B29, 'Measure-Level Adj Gas'!$L:$L, 0)), "TRUE", "FALSE")</f>
        <v>TRUE</v>
      </c>
    </row>
    <row r="30" spans="2:3" x14ac:dyDescent="0.25">
      <c r="B30" s="26" t="s">
        <v>137</v>
      </c>
      <c r="C30" s="26" t="str">
        <f ca="1">IF(ISNUMBER(MATCH($B30, 'Measure-Level Adj Gas'!$L:$L, 0)), "TRUE", "FALSE")</f>
        <v>TRUE</v>
      </c>
    </row>
    <row r="31" spans="2:3" x14ac:dyDescent="0.25">
      <c r="B31" s="26" t="s">
        <v>136</v>
      </c>
      <c r="C31" s="26" t="str">
        <f ca="1">IF(ISNUMBER(MATCH($B31, 'Measure-Level Adj Gas'!$L:$L, 0)), "TRUE", "FALSE")</f>
        <v>TRUE</v>
      </c>
    </row>
    <row r="32" spans="2:3" hidden="1" x14ac:dyDescent="0.25">
      <c r="B32" s="26" t="s">
        <v>2442</v>
      </c>
      <c r="C32" s="26" t="str">
        <f ca="1">IF(ISNUMBER(MATCH($B32, 'Measure-Level Adj Gas'!$L:$L, 0)), "TRUE", "FALSE")</f>
        <v>FALSE</v>
      </c>
    </row>
    <row r="33" spans="2:3" x14ac:dyDescent="0.25">
      <c r="B33" s="26" t="s">
        <v>122</v>
      </c>
      <c r="C33" s="26" t="str">
        <f ca="1">IF(ISNUMBER(MATCH($B33, 'Measure-Level Adj Gas'!$L:$L, 0)), "TRUE", "FALSE")</f>
        <v>TRUE</v>
      </c>
    </row>
    <row r="34" spans="2:3" x14ac:dyDescent="0.25">
      <c r="B34" s="26" t="s">
        <v>120</v>
      </c>
      <c r="C34" s="26" t="str">
        <f ca="1">IF(ISNUMBER(MATCH($B34, 'Measure-Level Adj Gas'!$L:$L, 0)), "TRUE", "FALSE")</f>
        <v>TRUE</v>
      </c>
    </row>
    <row r="35" spans="2:3" x14ac:dyDescent="0.25">
      <c r="B35" s="26" t="s">
        <v>119</v>
      </c>
      <c r="C35" s="26" t="str">
        <f ca="1">IF(ISNUMBER(MATCH($B35, 'Measure-Level Adj Gas'!$L:$L, 0)), "TRUE", "FALSE")</f>
        <v>TRUE</v>
      </c>
    </row>
    <row r="36" spans="2:3" x14ac:dyDescent="0.25">
      <c r="B36" s="26" t="s">
        <v>125</v>
      </c>
      <c r="C36" s="26" t="str">
        <f ca="1">IF(ISNUMBER(MATCH($B36, 'Measure-Level Adj Gas'!$L:$L, 0)), "TRUE", "FALSE")</f>
        <v>TRUE</v>
      </c>
    </row>
    <row r="37" spans="2:3" x14ac:dyDescent="0.25">
      <c r="B37" s="26" t="s">
        <v>124</v>
      </c>
      <c r="C37" s="26" t="str">
        <f ca="1">IF(ISNUMBER(MATCH($B37, 'Measure-Level Adj Gas'!$L:$L, 0)), "TRUE", "FALSE")</f>
        <v>TRUE</v>
      </c>
    </row>
    <row r="38" spans="2:3" hidden="1" x14ac:dyDescent="0.25">
      <c r="B38" s="26" t="s">
        <v>2443</v>
      </c>
      <c r="C38" s="26" t="str">
        <f ca="1">IF(ISNUMBER(MATCH($B38, 'Measure-Level Adj Gas'!$L:$L, 0)), "TRUE", "FALSE")</f>
        <v>FALSE</v>
      </c>
    </row>
    <row r="39" spans="2:3" hidden="1" x14ac:dyDescent="0.25">
      <c r="B39" s="26" t="s">
        <v>2444</v>
      </c>
      <c r="C39" s="26" t="str">
        <f ca="1">IF(ISNUMBER(MATCH($B39, 'Measure-Level Adj Gas'!$L:$L, 0)), "TRUE", "FALSE")</f>
        <v>FALSE</v>
      </c>
    </row>
    <row r="40" spans="2:3" hidden="1" x14ac:dyDescent="0.25">
      <c r="B40" s="26" t="s">
        <v>2445</v>
      </c>
      <c r="C40" s="26" t="str">
        <f ca="1">IF(ISNUMBER(MATCH($B40, 'Measure-Level Adj Gas'!$L:$L, 0)), "TRUE", "FALSE")</f>
        <v>FALSE</v>
      </c>
    </row>
    <row r="41" spans="2:3" x14ac:dyDescent="0.25">
      <c r="B41" s="26" t="s">
        <v>134</v>
      </c>
      <c r="C41" s="26" t="str">
        <f ca="1">IF(ISNUMBER(MATCH($B41, 'Measure-Level Adj Gas'!$L:$L, 0)), "TRUE", "FALSE")</f>
        <v>TRUE</v>
      </c>
    </row>
    <row r="42" spans="2:3" x14ac:dyDescent="0.25">
      <c r="B42" s="26" t="s">
        <v>129</v>
      </c>
      <c r="C42" s="26" t="str">
        <f ca="1">IF(ISNUMBER(MATCH($B42, 'Measure-Level Adj Gas'!$L:$L, 0)), "TRUE", "FALSE")</f>
        <v>TRUE</v>
      </c>
    </row>
    <row r="43" spans="2:3" hidden="1" x14ac:dyDescent="0.25">
      <c r="B43" s="26" t="s">
        <v>2446</v>
      </c>
      <c r="C43" s="26" t="str">
        <f ca="1">IF(ISNUMBER(MATCH($B43, 'Measure-Level Adj Gas'!$L:$L, 0)), "TRUE", "FALSE")</f>
        <v>FALSE</v>
      </c>
    </row>
    <row r="44" spans="2:3" x14ac:dyDescent="0.25">
      <c r="B44" s="26" t="s">
        <v>127</v>
      </c>
      <c r="C44" s="26" t="str">
        <f ca="1">IF(ISNUMBER(MATCH($B44, 'Measure-Level Adj Gas'!$L:$L, 0)), "TRUE", "FALSE")</f>
        <v>TRUE</v>
      </c>
    </row>
    <row r="45" spans="2:3" x14ac:dyDescent="0.25">
      <c r="B45" s="26" t="s">
        <v>233</v>
      </c>
      <c r="C45" s="26" t="str">
        <f ca="1">IF(ISNUMBER(MATCH($B45, 'Measure-Level Adj Gas'!$L:$L, 0)), "TRUE", "FALSE")</f>
        <v>TRUE</v>
      </c>
    </row>
    <row r="46" spans="2:3" x14ac:dyDescent="0.25">
      <c r="B46" s="26" t="s">
        <v>233</v>
      </c>
      <c r="C46" s="26" t="str">
        <f ca="1">IF(ISNUMBER(MATCH($B46, 'Measure-Level Adj Gas'!$L:$L, 0)), "TRUE", "FALSE")</f>
        <v>TRUE</v>
      </c>
    </row>
    <row r="47" spans="2:3" x14ac:dyDescent="0.25">
      <c r="B47" s="26" t="s">
        <v>237</v>
      </c>
      <c r="C47" s="26" t="str">
        <f ca="1">IF(ISNUMBER(MATCH($B47, 'Measure-Level Adj Gas'!$L:$L, 0)), "TRUE", "FALSE")</f>
        <v>TRUE</v>
      </c>
    </row>
    <row r="48" spans="2:3" hidden="1" x14ac:dyDescent="0.25">
      <c r="B48" s="26" t="s">
        <v>2447</v>
      </c>
      <c r="C48" s="26" t="str">
        <f ca="1">IF(ISNUMBER(MATCH($B48, 'Measure-Level Adj Gas'!$L:$L, 0)), "TRUE", "FALSE")</f>
        <v>FALSE</v>
      </c>
    </row>
    <row r="49" spans="2:3" hidden="1" x14ac:dyDescent="0.25">
      <c r="B49" s="26" t="s">
        <v>2448</v>
      </c>
      <c r="C49" s="26" t="str">
        <f ca="1">IF(ISNUMBER(MATCH($B49, 'Measure-Level Adj Gas'!$L:$L, 0)), "TRUE", "FALSE")</f>
        <v>FALSE</v>
      </c>
    </row>
    <row r="50" spans="2:3" hidden="1" x14ac:dyDescent="0.25">
      <c r="B50" s="26" t="s">
        <v>2449</v>
      </c>
      <c r="C50" s="26" t="str">
        <f ca="1">IF(ISNUMBER(MATCH($B50, 'Measure-Level Adj Gas'!$L:$L, 0)), "TRUE", "FALSE")</f>
        <v>FALSE</v>
      </c>
    </row>
    <row r="51" spans="2:3" x14ac:dyDescent="0.25">
      <c r="B51" s="26" t="s">
        <v>133</v>
      </c>
      <c r="C51" s="26" t="str">
        <f ca="1">IF(ISNUMBER(MATCH($B51, 'Measure-Level Adj Gas'!$L:$L, 0)), "TRUE", "FALSE")</f>
        <v>TRUE</v>
      </c>
    </row>
    <row r="52" spans="2:3" x14ac:dyDescent="0.25">
      <c r="B52" s="26" t="s">
        <v>115</v>
      </c>
      <c r="C52" s="26" t="str">
        <f ca="1">IF(ISNUMBER(MATCH($B52, 'Measure-Level Adj Gas'!$L:$L, 0)), "TRUE", "FALSE")</f>
        <v>TRUE</v>
      </c>
    </row>
    <row r="53" spans="2:3" hidden="1" x14ac:dyDescent="0.25">
      <c r="B53" s="26" t="s">
        <v>2450</v>
      </c>
      <c r="C53" s="26" t="str">
        <f ca="1">IF(ISNUMBER(MATCH($B53, 'Measure-Level Adj Gas'!$L:$L, 0)), "TRUE", "FALSE")</f>
        <v>FALSE</v>
      </c>
    </row>
    <row r="54" spans="2:3" x14ac:dyDescent="0.25">
      <c r="B54" s="26" t="s">
        <v>130</v>
      </c>
      <c r="C54" s="26" t="str">
        <f ca="1">IF(ISNUMBER(MATCH($B54, 'Measure-Level Adj Gas'!$L:$L, 0)), "TRUE", "FALSE")</f>
        <v>TRUE</v>
      </c>
    </row>
    <row r="55" spans="2:3" hidden="1" x14ac:dyDescent="0.25">
      <c r="B55" s="26" t="s">
        <v>2451</v>
      </c>
      <c r="C55" s="26" t="str">
        <f ca="1">IF(ISNUMBER(MATCH($B55, 'Measure-Level Adj Gas'!$L:$L, 0)), "TRUE", "FALSE")</f>
        <v>FALSE</v>
      </c>
    </row>
    <row r="56" spans="2:3" x14ac:dyDescent="0.25">
      <c r="B56" s="26" t="s">
        <v>128</v>
      </c>
      <c r="C56" s="26" t="str">
        <f ca="1">IF(ISNUMBER(MATCH($B56, 'Measure-Level Adj Gas'!$L:$L, 0)), "TRUE", "FALSE")</f>
        <v>TRUE</v>
      </c>
    </row>
    <row r="57" spans="2:3" hidden="1" x14ac:dyDescent="0.25">
      <c r="B57" s="26" t="s">
        <v>2452</v>
      </c>
      <c r="C57" s="26" t="str">
        <f ca="1">IF(ISNUMBER(MATCH($B57, 'Measure-Level Adj Gas'!$L:$L, 0)), "TRUE", "FALSE")</f>
        <v>FALSE</v>
      </c>
    </row>
    <row r="58" spans="2:3" x14ac:dyDescent="0.25">
      <c r="B58" s="26" t="s">
        <v>126</v>
      </c>
      <c r="C58" s="26" t="str">
        <f ca="1">IF(ISNUMBER(MATCH($B58, 'Measure-Level Adj Gas'!$L:$L, 0)), "TRUE", "FALSE")</f>
        <v>TRUE</v>
      </c>
    </row>
    <row r="59" spans="2:3" hidden="1" x14ac:dyDescent="0.25">
      <c r="B59" s="26" t="s">
        <v>2453</v>
      </c>
      <c r="C59" s="26" t="str">
        <f ca="1">IF(ISNUMBER(MATCH($B59, 'Measure-Level Adj Gas'!$L:$L, 0)), "TRUE", "FALSE")</f>
        <v>FALSE</v>
      </c>
    </row>
    <row r="60" spans="2:3" hidden="1" x14ac:dyDescent="0.25">
      <c r="B60" s="26" t="s">
        <v>2454</v>
      </c>
      <c r="C60" s="26" t="str">
        <f ca="1">IF(ISNUMBER(MATCH($B60, 'Measure-Level Adj Gas'!$L:$L, 0)), "TRUE", "FALSE")</f>
        <v>FALSE</v>
      </c>
    </row>
    <row r="61" spans="2:3" hidden="1" x14ac:dyDescent="0.25">
      <c r="B61" s="26" t="s">
        <v>2455</v>
      </c>
      <c r="C61" s="26" t="str">
        <f ca="1">IF(ISNUMBER(MATCH($B61, 'Measure-Level Adj Gas'!$L:$L, 0)), "TRUE", "FALSE")</f>
        <v>FALSE</v>
      </c>
    </row>
    <row r="62" spans="2:3" hidden="1" x14ac:dyDescent="0.25">
      <c r="B62" s="26" t="s">
        <v>2456</v>
      </c>
      <c r="C62" s="26" t="str">
        <f ca="1">IF(ISNUMBER(MATCH($B62, 'Measure-Level Adj Gas'!$L:$L, 0)), "TRUE", "FALSE")</f>
        <v>FALSE</v>
      </c>
    </row>
    <row r="63" spans="2:3" hidden="1" x14ac:dyDescent="0.25">
      <c r="B63" s="26" t="s">
        <v>2457</v>
      </c>
      <c r="C63" s="26" t="str">
        <f ca="1">IF(ISNUMBER(MATCH($B63, 'Measure-Level Adj Gas'!$L:$L, 0)), "TRUE", "FALSE")</f>
        <v>FALSE</v>
      </c>
    </row>
    <row r="64" spans="2:3" x14ac:dyDescent="0.25">
      <c r="B64" s="26" t="s">
        <v>236</v>
      </c>
      <c r="C64" s="26" t="str">
        <f ca="1">IF(ISNUMBER(MATCH($B64, 'Measure-Level Adj Gas'!$L:$L, 0)), "TRUE", "FALSE")</f>
        <v>TRUE</v>
      </c>
    </row>
    <row r="65" spans="2:3" hidden="1" x14ac:dyDescent="0.25">
      <c r="B65" s="26" t="s">
        <v>2458</v>
      </c>
      <c r="C65" s="26" t="str">
        <f ca="1">IF(ISNUMBER(MATCH($B65, 'Measure-Level Adj Gas'!$L:$L, 0)), "TRUE", "FALSE")</f>
        <v>FALSE</v>
      </c>
    </row>
    <row r="66" spans="2:3" hidden="1" x14ac:dyDescent="0.25">
      <c r="B66" s="26" t="s">
        <v>2459</v>
      </c>
      <c r="C66" s="26" t="str">
        <f ca="1">IF(ISNUMBER(MATCH($B66, 'Measure-Level Adj Gas'!$L:$L, 0)), "TRUE", "FALSE")</f>
        <v>FALSE</v>
      </c>
    </row>
    <row r="67" spans="2:3" hidden="1" x14ac:dyDescent="0.25">
      <c r="B67" s="26" t="s">
        <v>2460</v>
      </c>
      <c r="C67" s="26" t="str">
        <f ca="1">IF(ISNUMBER(MATCH($B67, 'Measure-Level Adj Gas'!$L:$L, 0)), "TRUE", "FALSE")</f>
        <v>FALSE</v>
      </c>
    </row>
    <row r="68" spans="2:3" hidden="1" x14ac:dyDescent="0.25">
      <c r="B68" s="26" t="s">
        <v>2461</v>
      </c>
      <c r="C68" s="26" t="str">
        <f ca="1">IF(ISNUMBER(MATCH($B68, 'Measure-Level Adj Gas'!$L:$L, 0)), "TRUE", "FALSE")</f>
        <v>FALSE</v>
      </c>
    </row>
    <row r="69" spans="2:3" hidden="1" x14ac:dyDescent="0.25">
      <c r="B69" s="26" t="s">
        <v>2462</v>
      </c>
      <c r="C69" s="26" t="str">
        <f ca="1">IF(ISNUMBER(MATCH($B69, 'Measure-Level Adj Gas'!$L:$L, 0)), "TRUE", "FALSE")</f>
        <v>FALSE</v>
      </c>
    </row>
    <row r="70" spans="2:3" hidden="1" x14ac:dyDescent="0.25">
      <c r="B70" s="26" t="s">
        <v>2463</v>
      </c>
      <c r="C70" s="26" t="str">
        <f ca="1">IF(ISNUMBER(MATCH($B70, 'Measure-Level Adj Gas'!$L:$L, 0)), "TRUE", "FALSE")</f>
        <v>FALSE</v>
      </c>
    </row>
    <row r="71" spans="2:3" hidden="1" x14ac:dyDescent="0.25">
      <c r="B71" s="26" t="s">
        <v>2464</v>
      </c>
      <c r="C71" s="26" t="str">
        <f ca="1">IF(ISNUMBER(MATCH($B71, 'Measure-Level Adj Gas'!$L:$L, 0)), "TRUE", "FALSE")</f>
        <v>FALSE</v>
      </c>
    </row>
    <row r="72" spans="2:3" hidden="1" x14ac:dyDescent="0.25">
      <c r="B72" s="26" t="s">
        <v>2464</v>
      </c>
      <c r="C72" s="26" t="str">
        <f ca="1">IF(ISNUMBER(MATCH($B72, 'Measure-Level Adj Gas'!$L:$L, 0)), "TRUE", "FALSE")</f>
        <v>FALSE</v>
      </c>
    </row>
    <row r="73" spans="2:3" hidden="1" x14ac:dyDescent="0.25">
      <c r="B73" s="26" t="s">
        <v>2465</v>
      </c>
      <c r="C73" s="26" t="str">
        <f ca="1">IF(ISNUMBER(MATCH($B73, 'Measure-Level Adj Gas'!$L:$L, 0)), "TRUE", "FALSE")</f>
        <v>FALSE</v>
      </c>
    </row>
    <row r="74" spans="2:3" hidden="1" x14ac:dyDescent="0.25">
      <c r="B74" s="26" t="s">
        <v>2466</v>
      </c>
      <c r="C74" s="26" t="str">
        <f ca="1">IF(ISNUMBER(MATCH($B74, 'Measure-Level Adj Gas'!$L:$L, 0)), "TRUE", "FALSE")</f>
        <v>FALSE</v>
      </c>
    </row>
    <row r="75" spans="2:3" hidden="1" x14ac:dyDescent="0.25">
      <c r="B75" s="26" t="s">
        <v>2467</v>
      </c>
      <c r="C75" s="26" t="str">
        <f ca="1">IF(ISNUMBER(MATCH($B75, 'Measure-Level Adj Gas'!$L:$L, 0)), "TRUE", "FALSE")</f>
        <v>FALSE</v>
      </c>
    </row>
    <row r="76" spans="2:3" hidden="1" x14ac:dyDescent="0.25">
      <c r="B76" s="26" t="s">
        <v>2467</v>
      </c>
      <c r="C76" s="26" t="str">
        <f ca="1">IF(ISNUMBER(MATCH($B76, 'Measure-Level Adj Gas'!$L:$L, 0)), "TRUE", "FALSE")</f>
        <v>FALSE</v>
      </c>
    </row>
    <row r="77" spans="2:3" hidden="1" x14ac:dyDescent="0.25">
      <c r="B77" s="26" t="s">
        <v>2468</v>
      </c>
      <c r="C77" s="26" t="str">
        <f ca="1">IF(ISNUMBER(MATCH($B77, 'Measure-Level Adj Gas'!$L:$L, 0)), "TRUE", "FALSE")</f>
        <v>FALSE</v>
      </c>
    </row>
    <row r="78" spans="2:3" hidden="1" x14ac:dyDescent="0.25">
      <c r="B78" s="26" t="s">
        <v>2469</v>
      </c>
      <c r="C78" s="26" t="str">
        <f ca="1">IF(ISNUMBER(MATCH($B78, 'Measure-Level Adj Gas'!$L:$L, 0)), "TRUE", "FALSE")</f>
        <v>FALSE</v>
      </c>
    </row>
    <row r="79" spans="2:3" hidden="1" x14ac:dyDescent="0.25">
      <c r="B79" s="26" t="s">
        <v>2470</v>
      </c>
      <c r="C79" s="26" t="str">
        <f ca="1">IF(ISNUMBER(MATCH($B79, 'Measure-Level Adj Gas'!$L:$L, 0)), "TRUE", "FALSE")</f>
        <v>FALSE</v>
      </c>
    </row>
    <row r="80" spans="2:3" hidden="1" x14ac:dyDescent="0.25">
      <c r="B80" s="26" t="s">
        <v>2471</v>
      </c>
      <c r="C80" s="26" t="str">
        <f ca="1">IF(ISNUMBER(MATCH($B80, 'Measure-Level Adj Gas'!$L:$L, 0)), "TRUE", "FALSE")</f>
        <v>FALSE</v>
      </c>
    </row>
    <row r="81" spans="2:3" hidden="1" x14ac:dyDescent="0.25">
      <c r="B81" s="26" t="s">
        <v>2472</v>
      </c>
      <c r="C81" s="26" t="str">
        <f ca="1">IF(ISNUMBER(MATCH($B81, 'Measure-Level Adj Gas'!$L:$L, 0)), "TRUE", "FALSE")</f>
        <v>FALSE</v>
      </c>
    </row>
    <row r="82" spans="2:3" hidden="1" x14ac:dyDescent="0.25">
      <c r="B82" s="26" t="s">
        <v>2473</v>
      </c>
      <c r="C82" s="26" t="str">
        <f ca="1">IF(ISNUMBER(MATCH($B82, 'Measure-Level Adj Gas'!$L:$L, 0)), "TRUE", "FALSE")</f>
        <v>FALSE</v>
      </c>
    </row>
    <row r="83" spans="2:3" hidden="1" x14ac:dyDescent="0.25">
      <c r="B83" s="26" t="s">
        <v>2474</v>
      </c>
      <c r="C83" s="26" t="str">
        <f ca="1">IF(ISNUMBER(MATCH($B83, 'Measure-Level Adj Gas'!$L:$L, 0)), "TRUE", "FALSE")</f>
        <v>FALSE</v>
      </c>
    </row>
    <row r="84" spans="2:3" hidden="1" x14ac:dyDescent="0.25">
      <c r="B84" s="26" t="s">
        <v>2475</v>
      </c>
      <c r="C84" s="26" t="str">
        <f ca="1">IF(ISNUMBER(MATCH($B84, 'Measure-Level Adj Gas'!$L:$L, 0)), "TRUE", "FALSE")</f>
        <v>FALSE</v>
      </c>
    </row>
    <row r="85" spans="2:3" hidden="1" x14ac:dyDescent="0.25">
      <c r="B85" s="26" t="s">
        <v>2476</v>
      </c>
      <c r="C85" s="26" t="str">
        <f ca="1">IF(ISNUMBER(MATCH($B85, 'Measure-Level Adj Gas'!$L:$L, 0)), "TRUE", "FALSE")</f>
        <v>FALSE</v>
      </c>
    </row>
    <row r="86" spans="2:3" x14ac:dyDescent="0.25">
      <c r="B86" s="26" t="s">
        <v>729</v>
      </c>
      <c r="C86" s="26" t="str">
        <f ca="1">IF(ISNUMBER(MATCH($B86, 'Measure-Level Adj Gas'!$L:$L, 0)), "TRUE", "FALSE")</f>
        <v>TRUE</v>
      </c>
    </row>
    <row r="87" spans="2:3" hidden="1" x14ac:dyDescent="0.25">
      <c r="B87" s="26" t="s">
        <v>2477</v>
      </c>
      <c r="C87" s="26" t="str">
        <f ca="1">IF(ISNUMBER(MATCH($B87, 'Measure-Level Adj Gas'!$L:$L, 0)), "TRUE", "FALSE")</f>
        <v>FALSE</v>
      </c>
    </row>
    <row r="88" spans="2:3" hidden="1" x14ac:dyDescent="0.25">
      <c r="B88" s="26" t="s">
        <v>2478</v>
      </c>
      <c r="C88" s="26" t="str">
        <f ca="1">IF(ISNUMBER(MATCH($B88, 'Measure-Level Adj Gas'!$L:$L, 0)), "TRUE", "FALSE")</f>
        <v>FALSE</v>
      </c>
    </row>
    <row r="89" spans="2:3" hidden="1" x14ac:dyDescent="0.25">
      <c r="B89" s="26" t="s">
        <v>2479</v>
      </c>
      <c r="C89" s="26" t="str">
        <f ca="1">IF(ISNUMBER(MATCH($B89, 'Measure-Level Adj Gas'!$L:$L, 0)), "TRUE", "FALSE")</f>
        <v>FALSE</v>
      </c>
    </row>
    <row r="90" spans="2:3" hidden="1" x14ac:dyDescent="0.25">
      <c r="B90" s="26" t="s">
        <v>2480</v>
      </c>
      <c r="C90" s="26" t="str">
        <f ca="1">IF(ISNUMBER(MATCH($B90, 'Measure-Level Adj Gas'!$L:$L, 0)), "TRUE", "FALSE")</f>
        <v>FALSE</v>
      </c>
    </row>
    <row r="91" spans="2:3" hidden="1" x14ac:dyDescent="0.25">
      <c r="B91" s="26" t="s">
        <v>2480</v>
      </c>
      <c r="C91" s="26" t="str">
        <f ca="1">IF(ISNUMBER(MATCH($B91, 'Measure-Level Adj Gas'!$L:$L, 0)), "TRUE", "FALSE")</f>
        <v>FALSE</v>
      </c>
    </row>
    <row r="92" spans="2:3" hidden="1" x14ac:dyDescent="0.25">
      <c r="B92" s="26" t="s">
        <v>2481</v>
      </c>
      <c r="C92" s="26" t="str">
        <f ca="1">IF(ISNUMBER(MATCH($B92, 'Measure-Level Adj Gas'!$L:$L, 0)), "TRUE", "FALSE")</f>
        <v>FALSE</v>
      </c>
    </row>
    <row r="93" spans="2:3" hidden="1" x14ac:dyDescent="0.25">
      <c r="B93" s="26" t="s">
        <v>2481</v>
      </c>
      <c r="C93" s="26" t="str">
        <f ca="1">IF(ISNUMBER(MATCH($B93, 'Measure-Level Adj Gas'!$L:$L, 0)), "TRUE", "FALSE")</f>
        <v>FALSE</v>
      </c>
    </row>
    <row r="94" spans="2:3" hidden="1" x14ac:dyDescent="0.25">
      <c r="B94" s="26" t="s">
        <v>2482</v>
      </c>
      <c r="C94" s="26" t="str">
        <f ca="1">IF(ISNUMBER(MATCH($B94, 'Measure-Level Adj Gas'!$L:$L, 0)), "TRUE", "FALSE")</f>
        <v>FALSE</v>
      </c>
    </row>
    <row r="95" spans="2:3" hidden="1" x14ac:dyDescent="0.25">
      <c r="B95" s="26" t="s">
        <v>2483</v>
      </c>
      <c r="C95" s="26" t="str">
        <f ca="1">IF(ISNUMBER(MATCH($B95, 'Measure-Level Adj Gas'!$L:$L, 0)), "TRUE", "FALSE")</f>
        <v>FALSE</v>
      </c>
    </row>
    <row r="96" spans="2:3" hidden="1" x14ac:dyDescent="0.25">
      <c r="B96" s="26" t="s">
        <v>2484</v>
      </c>
      <c r="C96" s="26" t="str">
        <f ca="1">IF(ISNUMBER(MATCH($B96, 'Measure-Level Adj Gas'!$L:$L, 0)), "TRUE", "FALSE")</f>
        <v>FALSE</v>
      </c>
    </row>
    <row r="97" spans="2:3" hidden="1" x14ac:dyDescent="0.25">
      <c r="B97" s="26" t="s">
        <v>2485</v>
      </c>
      <c r="C97" s="26" t="str">
        <f ca="1">IF(ISNUMBER(MATCH($B97, 'Measure-Level Adj Gas'!$L:$L, 0)), "TRUE", "FALSE")</f>
        <v>FALSE</v>
      </c>
    </row>
    <row r="98" spans="2:3" hidden="1" x14ac:dyDescent="0.25">
      <c r="B98" s="26" t="s">
        <v>2486</v>
      </c>
      <c r="C98" s="26" t="str">
        <f ca="1">IF(ISNUMBER(MATCH($B98, 'Measure-Level Adj Gas'!$L:$L, 0)), "TRUE", "FALSE")</f>
        <v>FALSE</v>
      </c>
    </row>
    <row r="99" spans="2:3" hidden="1" x14ac:dyDescent="0.25">
      <c r="B99" s="26" t="s">
        <v>2487</v>
      </c>
      <c r="C99" s="26" t="str">
        <f ca="1">IF(ISNUMBER(MATCH($B99, 'Measure-Level Adj Gas'!$L:$L, 0)), "TRUE", "FALSE")</f>
        <v>FALSE</v>
      </c>
    </row>
    <row r="100" spans="2:3" hidden="1" x14ac:dyDescent="0.25">
      <c r="B100" s="26" t="s">
        <v>2488</v>
      </c>
      <c r="C100" s="26" t="str">
        <f ca="1">IF(ISNUMBER(MATCH($B100, 'Measure-Level Adj Gas'!$L:$L, 0)), "TRUE", "FALSE")</f>
        <v>FALSE</v>
      </c>
    </row>
    <row r="101" spans="2:3" hidden="1" x14ac:dyDescent="0.25">
      <c r="B101" s="26" t="s">
        <v>2489</v>
      </c>
      <c r="C101" s="26" t="str">
        <f ca="1">IF(ISNUMBER(MATCH($B101, 'Measure-Level Adj Gas'!$L:$L, 0)), "TRUE", "FALSE")</f>
        <v>FALSE</v>
      </c>
    </row>
    <row r="102" spans="2:3" hidden="1" x14ac:dyDescent="0.25">
      <c r="B102" s="26" t="s">
        <v>2490</v>
      </c>
      <c r="C102" s="26" t="str">
        <f ca="1">IF(ISNUMBER(MATCH($B102, 'Measure-Level Adj Gas'!$L:$L, 0)), "TRUE", "FALSE")</f>
        <v>FALSE</v>
      </c>
    </row>
    <row r="103" spans="2:3" hidden="1" x14ac:dyDescent="0.25">
      <c r="B103" s="26" t="s">
        <v>2491</v>
      </c>
      <c r="C103" s="26" t="str">
        <f ca="1">IF(ISNUMBER(MATCH($B103, 'Measure-Level Adj Gas'!$L:$L, 0)), "TRUE", "FALSE")</f>
        <v>FALSE</v>
      </c>
    </row>
    <row r="104" spans="2:3" hidden="1" x14ac:dyDescent="0.25">
      <c r="B104" s="26" t="s">
        <v>2492</v>
      </c>
      <c r="C104" s="26" t="str">
        <f ca="1">IF(ISNUMBER(MATCH($B104, 'Measure-Level Adj Gas'!$L:$L, 0)), "TRUE", "FALSE")</f>
        <v>FALSE</v>
      </c>
    </row>
    <row r="105" spans="2:3" hidden="1" x14ac:dyDescent="0.25">
      <c r="B105" s="26" t="s">
        <v>2493</v>
      </c>
      <c r="C105" s="26" t="str">
        <f ca="1">IF(ISNUMBER(MATCH($B105, 'Measure-Level Adj Gas'!$L:$L, 0)), "TRUE", "FALSE")</f>
        <v>FALSE</v>
      </c>
    </row>
    <row r="106" spans="2:3" hidden="1" x14ac:dyDescent="0.25">
      <c r="B106" s="26" t="s">
        <v>2494</v>
      </c>
      <c r="C106" s="26" t="str">
        <f ca="1">IF(ISNUMBER(MATCH($B106, 'Measure-Level Adj Gas'!$L:$L, 0)), "TRUE", "FALSE")</f>
        <v>FALSE</v>
      </c>
    </row>
    <row r="107" spans="2:3" hidden="1" x14ac:dyDescent="0.25">
      <c r="B107" s="26" t="s">
        <v>2495</v>
      </c>
      <c r="C107" s="26" t="str">
        <f ca="1">IF(ISNUMBER(MATCH($B107, 'Measure-Level Adj Gas'!$L:$L, 0)), "TRUE", "FALSE")</f>
        <v>FALSE</v>
      </c>
    </row>
    <row r="108" spans="2:3" hidden="1" x14ac:dyDescent="0.25">
      <c r="B108" s="26" t="s">
        <v>2496</v>
      </c>
      <c r="C108" s="26" t="str">
        <f ca="1">IF(ISNUMBER(MATCH($B108, 'Measure-Level Adj Gas'!$L:$L, 0)), "TRUE", "FALSE")</f>
        <v>FALSE</v>
      </c>
    </row>
    <row r="109" spans="2:3" hidden="1" x14ac:dyDescent="0.25">
      <c r="B109" s="26" t="s">
        <v>2497</v>
      </c>
      <c r="C109" s="26" t="str">
        <f ca="1">IF(ISNUMBER(MATCH($B109, 'Measure-Level Adj Gas'!$L:$L, 0)), "TRUE", "FALSE")</f>
        <v>FALSE</v>
      </c>
    </row>
    <row r="110" spans="2:3" hidden="1" x14ac:dyDescent="0.25">
      <c r="B110" s="26" t="s">
        <v>2498</v>
      </c>
      <c r="C110" s="26" t="str">
        <f ca="1">IF(ISNUMBER(MATCH($B110, 'Measure-Level Adj Gas'!$L:$L, 0)), "TRUE", "FALSE")</f>
        <v>FALSE</v>
      </c>
    </row>
    <row r="111" spans="2:3" hidden="1" x14ac:dyDescent="0.25">
      <c r="B111" s="26" t="s">
        <v>2499</v>
      </c>
      <c r="C111" s="26" t="str">
        <f ca="1">IF(ISNUMBER(MATCH($B111, 'Measure-Level Adj Gas'!$L:$L, 0)), "TRUE", "FALSE")</f>
        <v>FALSE</v>
      </c>
    </row>
    <row r="112" spans="2:3" hidden="1" x14ac:dyDescent="0.25">
      <c r="B112" s="26" t="s">
        <v>2499</v>
      </c>
      <c r="C112" s="26" t="str">
        <f ca="1">IF(ISNUMBER(MATCH($B112, 'Measure-Level Adj Gas'!$L:$L, 0)), "TRUE", "FALSE")</f>
        <v>FALSE</v>
      </c>
    </row>
    <row r="113" spans="2:3" x14ac:dyDescent="0.25">
      <c r="B113" s="26" t="s">
        <v>1007</v>
      </c>
      <c r="C113" s="26" t="str">
        <f ca="1">IF(ISNUMBER(MATCH($B113, 'Measure-Level Adj Gas'!$L:$L, 0)), "TRUE", "FALSE")</f>
        <v>TRUE</v>
      </c>
    </row>
    <row r="114" spans="2:3" hidden="1" x14ac:dyDescent="0.25">
      <c r="B114" s="26" t="s">
        <v>2500</v>
      </c>
      <c r="C114" s="26" t="str">
        <f ca="1">IF(ISNUMBER(MATCH($B114, 'Measure-Level Adj Gas'!$L:$L, 0)), "TRUE", "FALSE")</f>
        <v>FALSE</v>
      </c>
    </row>
    <row r="115" spans="2:3" hidden="1" x14ac:dyDescent="0.25">
      <c r="B115" s="26" t="s">
        <v>2500</v>
      </c>
      <c r="C115" s="26" t="str">
        <f ca="1">IF(ISNUMBER(MATCH($B115, 'Measure-Level Adj Gas'!$L:$L, 0)), "TRUE", "FALSE")</f>
        <v>FALSE</v>
      </c>
    </row>
    <row r="116" spans="2:3" x14ac:dyDescent="0.25">
      <c r="B116" s="26" t="s">
        <v>111</v>
      </c>
      <c r="C116" s="26" t="str">
        <f ca="1">IF(ISNUMBER(MATCH($B116, 'Measure-Level Adj Gas'!$L:$L, 0)), "TRUE", "FALSE")</f>
        <v>TRUE</v>
      </c>
    </row>
    <row r="117" spans="2:3" hidden="1" x14ac:dyDescent="0.25">
      <c r="B117" s="26" t="s">
        <v>262</v>
      </c>
      <c r="C117" s="26" t="str">
        <f ca="1">IF(ISNUMBER(MATCH($B117, 'Measure-Level Adj Gas'!$L:$L, 0)), "TRUE", "FALSE")</f>
        <v>FALSE</v>
      </c>
    </row>
    <row r="118" spans="2:3" x14ac:dyDescent="0.25">
      <c r="B118" s="26" t="s">
        <v>110</v>
      </c>
      <c r="C118" s="26" t="str">
        <f ca="1">IF(ISNUMBER(MATCH($B118, 'Measure-Level Adj Gas'!$L:$L, 0)), "TRUE", "FALSE")</f>
        <v>TRUE</v>
      </c>
    </row>
    <row r="119" spans="2:3" x14ac:dyDescent="0.25">
      <c r="B119" s="26" t="s">
        <v>112</v>
      </c>
      <c r="C119" s="26" t="str">
        <f ca="1">IF(ISNUMBER(MATCH($B119, 'Measure-Level Adj Gas'!$L:$L, 0)), "TRUE", "FALSE")</f>
        <v>TRUE</v>
      </c>
    </row>
    <row r="120" spans="2:3" hidden="1" x14ac:dyDescent="0.25">
      <c r="B120" s="26" t="s">
        <v>2501</v>
      </c>
      <c r="C120" s="26" t="str">
        <f ca="1">IF(ISNUMBER(MATCH($B120, 'Measure-Level Adj Gas'!$L:$L, 0)), "TRUE", "FALSE")</f>
        <v>FALSE</v>
      </c>
    </row>
    <row r="121" spans="2:3" hidden="1" x14ac:dyDescent="0.25">
      <c r="B121" s="26" t="s">
        <v>2502</v>
      </c>
      <c r="C121" s="26" t="str">
        <f ca="1">IF(ISNUMBER(MATCH($B121, 'Measure-Level Adj Gas'!$L:$L, 0)), "TRUE", "FALSE")</f>
        <v>FALSE</v>
      </c>
    </row>
    <row r="122" spans="2:3" hidden="1" x14ac:dyDescent="0.25">
      <c r="B122" s="26" t="s">
        <v>2503</v>
      </c>
      <c r="C122" s="26" t="str">
        <f ca="1">IF(ISNUMBER(MATCH($B122, 'Measure-Level Adj Gas'!$L:$L, 0)), "TRUE", "FALSE")</f>
        <v>FALSE</v>
      </c>
    </row>
    <row r="123" spans="2:3" hidden="1" x14ac:dyDescent="0.25">
      <c r="B123" s="26" t="s">
        <v>2504</v>
      </c>
      <c r="C123" s="26" t="str">
        <f ca="1">IF(ISNUMBER(MATCH($B123, 'Measure-Level Adj Gas'!$L:$L, 0)), "TRUE", "FALSE")</f>
        <v>FALSE</v>
      </c>
    </row>
    <row r="124" spans="2:3" hidden="1" x14ac:dyDescent="0.25">
      <c r="B124" s="26" t="s">
        <v>2504</v>
      </c>
      <c r="C124" s="26" t="str">
        <f ca="1">IF(ISNUMBER(MATCH($B124, 'Measure-Level Adj Gas'!$L:$L, 0)), "TRUE", "FALSE")</f>
        <v>FALSE</v>
      </c>
    </row>
    <row r="125" spans="2:3" hidden="1" x14ac:dyDescent="0.25">
      <c r="B125" s="26" t="s">
        <v>2505</v>
      </c>
      <c r="C125" s="26" t="str">
        <f ca="1">IF(ISNUMBER(MATCH($B125, 'Measure-Level Adj Gas'!$L:$L, 0)), "TRUE", "FALSE")</f>
        <v>FALSE</v>
      </c>
    </row>
    <row r="126" spans="2:3" x14ac:dyDescent="0.25">
      <c r="B126" s="26" t="s">
        <v>101</v>
      </c>
      <c r="C126" s="26" t="str">
        <f ca="1">IF(ISNUMBER(MATCH($B126, 'Measure-Level Adj Gas'!$L:$L, 0)), "TRUE", "FALSE")</f>
        <v>TRUE</v>
      </c>
    </row>
    <row r="127" spans="2:3" hidden="1" x14ac:dyDescent="0.25">
      <c r="B127" s="26" t="s">
        <v>2506</v>
      </c>
      <c r="C127" s="26" t="str">
        <f ca="1">IF(ISNUMBER(MATCH($B127, 'Measure-Level Adj Gas'!$L:$L, 0)), "TRUE", "FALSE")</f>
        <v>FALSE</v>
      </c>
    </row>
    <row r="128" spans="2:3" hidden="1" x14ac:dyDescent="0.25">
      <c r="B128" s="26" t="s">
        <v>2507</v>
      </c>
      <c r="C128" s="26" t="str">
        <f ca="1">IF(ISNUMBER(MATCH($B128, 'Measure-Level Adj Gas'!$L:$L, 0)), "TRUE", "FALSE")</f>
        <v>FALSE</v>
      </c>
    </row>
    <row r="129" spans="2:3" x14ac:dyDescent="0.25">
      <c r="B129" s="26" t="s">
        <v>104</v>
      </c>
      <c r="C129" s="26" t="str">
        <f ca="1">IF(ISNUMBER(MATCH($B129, 'Measure-Level Adj Gas'!$L:$L, 0)), "TRUE", "FALSE")</f>
        <v>TRUE</v>
      </c>
    </row>
    <row r="130" spans="2:3" x14ac:dyDescent="0.25">
      <c r="B130" s="26" t="s">
        <v>239</v>
      </c>
      <c r="C130" s="26" t="str">
        <f ca="1">IF(ISNUMBER(MATCH($B130, 'Measure-Level Adj Gas'!$L:$L, 0)), "TRUE", "FALSE")</f>
        <v>TRUE</v>
      </c>
    </row>
    <row r="131" spans="2:3" hidden="1" x14ac:dyDescent="0.25">
      <c r="B131" s="26" t="s">
        <v>2508</v>
      </c>
      <c r="C131" s="26" t="str">
        <f ca="1">IF(ISNUMBER(MATCH($B131, 'Measure-Level Adj Gas'!$L:$L, 0)), "TRUE", "FALSE")</f>
        <v>FALSE</v>
      </c>
    </row>
    <row r="132" spans="2:3" x14ac:dyDescent="0.25">
      <c r="B132" s="26" t="s">
        <v>103</v>
      </c>
      <c r="C132" s="26" t="str">
        <f ca="1">IF(ISNUMBER(MATCH($B132, 'Measure-Level Adj Gas'!$L:$L, 0)), "TRUE", "FALSE")</f>
        <v>TRUE</v>
      </c>
    </row>
    <row r="133" spans="2:3" x14ac:dyDescent="0.25">
      <c r="B133" s="26" t="s">
        <v>102</v>
      </c>
      <c r="C133" s="26" t="str">
        <f ca="1">IF(ISNUMBER(MATCH($B133, 'Measure-Level Adj Gas'!$L:$L, 0)), "TRUE", "FALSE")</f>
        <v>TRUE</v>
      </c>
    </row>
    <row r="134" spans="2:3" x14ac:dyDescent="0.25">
      <c r="B134" s="26" t="s">
        <v>105</v>
      </c>
      <c r="C134" s="26" t="str">
        <f ca="1">IF(ISNUMBER(MATCH($B134, 'Measure-Level Adj Gas'!$L:$L, 0)), "TRUE", "FALSE")</f>
        <v>TRUE</v>
      </c>
    </row>
    <row r="135" spans="2:3" hidden="1" x14ac:dyDescent="0.25">
      <c r="B135" s="26" t="s">
        <v>2509</v>
      </c>
      <c r="C135" s="26" t="str">
        <f ca="1">IF(ISNUMBER(MATCH($B135, 'Measure-Level Adj Gas'!$L:$L, 0)), "TRUE", "FALSE")</f>
        <v>FALSE</v>
      </c>
    </row>
    <row r="136" spans="2:3" hidden="1" x14ac:dyDescent="0.25">
      <c r="B136" s="26" t="s">
        <v>2510</v>
      </c>
      <c r="C136" s="26" t="str">
        <f ca="1">IF(ISNUMBER(MATCH($B136, 'Measure-Level Adj Gas'!$L:$L, 0)), "TRUE", "FALSE")</f>
        <v>FALSE</v>
      </c>
    </row>
    <row r="137" spans="2:3" hidden="1" x14ac:dyDescent="0.25">
      <c r="B137" s="26" t="s">
        <v>2511</v>
      </c>
      <c r="C137" s="26" t="str">
        <f ca="1">IF(ISNUMBER(MATCH($B137, 'Measure-Level Adj Gas'!$L:$L, 0)), "TRUE", "FALSE")</f>
        <v>FALSE</v>
      </c>
    </row>
    <row r="138" spans="2:3" hidden="1" x14ac:dyDescent="0.25">
      <c r="B138" s="26" t="s">
        <v>2511</v>
      </c>
      <c r="C138" s="26" t="str">
        <f ca="1">IF(ISNUMBER(MATCH($B138, 'Measure-Level Adj Gas'!$L:$L, 0)), "TRUE", "FALSE")</f>
        <v>FALSE</v>
      </c>
    </row>
    <row r="139" spans="2:3" hidden="1" x14ac:dyDescent="0.25">
      <c r="B139" s="26" t="s">
        <v>2512</v>
      </c>
      <c r="C139" s="26" t="str">
        <f ca="1">IF(ISNUMBER(MATCH($B139, 'Measure-Level Adj Gas'!$L:$L, 0)), "TRUE", "FALSE")</f>
        <v>FALSE</v>
      </c>
    </row>
    <row r="140" spans="2:3" hidden="1" x14ac:dyDescent="0.25">
      <c r="B140" s="26" t="s">
        <v>2513</v>
      </c>
      <c r="C140" s="26" t="str">
        <f ca="1">IF(ISNUMBER(MATCH($B140, 'Measure-Level Adj Gas'!$L:$L, 0)), "TRUE", "FALSE")</f>
        <v>FALSE</v>
      </c>
    </row>
    <row r="141" spans="2:3" hidden="1" x14ac:dyDescent="0.25">
      <c r="B141" s="26" t="s">
        <v>2513</v>
      </c>
      <c r="C141" s="26" t="str">
        <f ca="1">IF(ISNUMBER(MATCH($B141, 'Measure-Level Adj Gas'!$L:$L, 0)), "TRUE", "FALSE")</f>
        <v>FALSE</v>
      </c>
    </row>
    <row r="142" spans="2:3" hidden="1" x14ac:dyDescent="0.25">
      <c r="B142" s="26" t="s">
        <v>2514</v>
      </c>
      <c r="C142" s="26" t="str">
        <f ca="1">IF(ISNUMBER(MATCH($B142, 'Measure-Level Adj Gas'!$L:$L, 0)), "TRUE", "FALSE")</f>
        <v>FALSE</v>
      </c>
    </row>
    <row r="143" spans="2:3" hidden="1" x14ac:dyDescent="0.25">
      <c r="B143" s="26" t="s">
        <v>2515</v>
      </c>
      <c r="C143" s="26" t="str">
        <f ca="1">IF(ISNUMBER(MATCH($B143, 'Measure-Level Adj Gas'!$L:$L, 0)), "TRUE", "FALSE")</f>
        <v>FALSE</v>
      </c>
    </row>
    <row r="144" spans="2:3" hidden="1" x14ac:dyDescent="0.25">
      <c r="B144" s="26" t="s">
        <v>2516</v>
      </c>
      <c r="C144" s="26" t="str">
        <f ca="1">IF(ISNUMBER(MATCH($B144, 'Measure-Level Adj Gas'!$L:$L, 0)), "TRUE", "FALSE")</f>
        <v>FALSE</v>
      </c>
    </row>
    <row r="145" spans="2:3" hidden="1" x14ac:dyDescent="0.25">
      <c r="B145" s="26" t="s">
        <v>2517</v>
      </c>
      <c r="C145" s="26" t="str">
        <f ca="1">IF(ISNUMBER(MATCH($B145, 'Measure-Level Adj Gas'!$L:$L, 0)), "TRUE", "FALSE")</f>
        <v>FALSE</v>
      </c>
    </row>
    <row r="146" spans="2:3" hidden="1" x14ac:dyDescent="0.25">
      <c r="B146" s="26" t="s">
        <v>2518</v>
      </c>
      <c r="C146" s="26" t="str">
        <f ca="1">IF(ISNUMBER(MATCH($B146, 'Measure-Level Adj Gas'!$L:$L, 0)), "TRUE", "FALSE")</f>
        <v>FALSE</v>
      </c>
    </row>
    <row r="147" spans="2:3" hidden="1" x14ac:dyDescent="0.25">
      <c r="B147" s="26" t="s">
        <v>2518</v>
      </c>
      <c r="C147" s="26" t="str">
        <f ca="1">IF(ISNUMBER(MATCH($B147, 'Measure-Level Adj Gas'!$L:$L, 0)), "TRUE", "FALSE")</f>
        <v>FALSE</v>
      </c>
    </row>
    <row r="148" spans="2:3" hidden="1" x14ac:dyDescent="0.25">
      <c r="B148" s="26" t="s">
        <v>2519</v>
      </c>
      <c r="C148" s="26" t="str">
        <f ca="1">IF(ISNUMBER(MATCH($B148, 'Measure-Level Adj Gas'!$L:$L, 0)), "TRUE", "FALSE")</f>
        <v>FALSE</v>
      </c>
    </row>
    <row r="149" spans="2:3" x14ac:dyDescent="0.25">
      <c r="B149" s="26" t="s">
        <v>106</v>
      </c>
      <c r="C149" s="26" t="str">
        <f ca="1">IF(ISNUMBER(MATCH($B149, 'Measure-Level Adj Gas'!$L:$L, 0)), "TRUE", "FALSE")</f>
        <v>TRUE</v>
      </c>
    </row>
    <row r="150" spans="2:3" x14ac:dyDescent="0.25">
      <c r="B150" s="26" t="s">
        <v>109</v>
      </c>
      <c r="C150" s="26" t="str">
        <f ca="1">IF(ISNUMBER(MATCH($B150, 'Measure-Level Adj Gas'!$L:$L, 0)), "TRUE", "FALSE")</f>
        <v>TRUE</v>
      </c>
    </row>
    <row r="151" spans="2:3" x14ac:dyDescent="0.25">
      <c r="B151" s="26" t="s">
        <v>522</v>
      </c>
      <c r="C151" s="26" t="str">
        <f ca="1">IF(ISNUMBER(MATCH($B151, 'Measure-Level Adj Gas'!$L:$L, 0)), "TRUE", "FALSE")</f>
        <v>TRUE</v>
      </c>
    </row>
    <row r="152" spans="2:3" x14ac:dyDescent="0.25">
      <c r="B152" s="26" t="s">
        <v>107</v>
      </c>
      <c r="C152" s="26" t="str">
        <f ca="1">IF(ISNUMBER(MATCH($B152, 'Measure-Level Adj Gas'!$L:$L, 0)), "TRUE", "FALSE")</f>
        <v>TRUE</v>
      </c>
    </row>
    <row r="153" spans="2:3" x14ac:dyDescent="0.25">
      <c r="B153" s="26" t="s">
        <v>113</v>
      </c>
      <c r="C153" s="26" t="str">
        <f ca="1">IF(ISNUMBER(MATCH($B153, 'Measure-Level Adj Gas'!$L:$L, 0)), "TRUE", "FALSE")</f>
        <v>TRUE</v>
      </c>
    </row>
    <row r="154" spans="2:3" x14ac:dyDescent="0.25">
      <c r="B154" s="26" t="s">
        <v>108</v>
      </c>
      <c r="C154" s="26" t="str">
        <f ca="1">IF(ISNUMBER(MATCH($B154, 'Measure-Level Adj Gas'!$L:$L, 0)), "TRUE", "FALSE")</f>
        <v>TRUE</v>
      </c>
    </row>
    <row r="155" spans="2:3" hidden="1" x14ac:dyDescent="0.25">
      <c r="B155" s="26" t="s">
        <v>2520</v>
      </c>
      <c r="C155" s="26" t="str">
        <f ca="1">IF(ISNUMBER(MATCH($B155, 'Measure-Level Adj Gas'!$L:$L, 0)), "TRUE", "FALSE")</f>
        <v>FALSE</v>
      </c>
    </row>
    <row r="156" spans="2:3" hidden="1" x14ac:dyDescent="0.25">
      <c r="B156" s="26" t="s">
        <v>2521</v>
      </c>
      <c r="C156" s="26" t="str">
        <f ca="1">IF(ISNUMBER(MATCH($B156, 'Measure-Level Adj Gas'!$L:$L, 0)), "TRUE", "FALSE")</f>
        <v>FALSE</v>
      </c>
    </row>
    <row r="157" spans="2:3" hidden="1" x14ac:dyDescent="0.25">
      <c r="B157" s="26" t="s">
        <v>2522</v>
      </c>
      <c r="C157" s="26" t="str">
        <f ca="1">IF(ISNUMBER(MATCH($B157, 'Measure-Level Adj Gas'!$L:$L, 0)), "TRUE", "FALSE")</f>
        <v>FALSE</v>
      </c>
    </row>
    <row r="158" spans="2:3" hidden="1" x14ac:dyDescent="0.25">
      <c r="B158" s="26" t="s">
        <v>2523</v>
      </c>
      <c r="C158" s="26" t="str">
        <f ca="1">IF(ISNUMBER(MATCH($B158, 'Measure-Level Adj Gas'!$L:$L, 0)), "TRUE", "FALSE")</f>
        <v>FALSE</v>
      </c>
    </row>
    <row r="159" spans="2:3" hidden="1" x14ac:dyDescent="0.25">
      <c r="B159" s="26" t="s">
        <v>2524</v>
      </c>
      <c r="C159" s="26" t="str">
        <f ca="1">IF(ISNUMBER(MATCH($B159, 'Measure-Level Adj Gas'!$L:$L, 0)), "TRUE", "FALSE")</f>
        <v>FALSE</v>
      </c>
    </row>
    <row r="160" spans="2:3" hidden="1" x14ac:dyDescent="0.25">
      <c r="B160" s="26" t="s">
        <v>2525</v>
      </c>
      <c r="C160" s="26" t="str">
        <f ca="1">IF(ISNUMBER(MATCH($B160, 'Measure-Level Adj Gas'!$L:$L, 0)), "TRUE", "FALSE")</f>
        <v>FALSE</v>
      </c>
    </row>
  </sheetData>
  <autoFilter ref="B2:C160" xr:uid="{35763D83-F74F-4699-827E-F9B22B7E8BE7}">
    <filterColumn colId="1">
      <filters>
        <filter val="TRUE"/>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F17F6-1CD0-4DB4-AF6B-711A250B3861}">
  <sheetPr>
    <pageSetUpPr autoPageBreaks="0" fitToPage="1"/>
  </sheetPr>
  <dimension ref="A1:BC235"/>
  <sheetViews>
    <sheetView zoomScaleNormal="100" zoomScaleSheetLayoutView="80" workbookViewId="0"/>
  </sheetViews>
  <sheetFormatPr defaultColWidth="8.5703125" defaultRowHeight="15" x14ac:dyDescent="0.25"/>
  <cols>
    <col min="1" max="1" width="61.5703125" customWidth="1"/>
    <col min="2" max="2" width="16.42578125" customWidth="1"/>
    <col min="3" max="3" width="18.5703125" customWidth="1"/>
    <col min="4" max="4" width="12.42578125" customWidth="1"/>
    <col min="5" max="6" width="12.5703125" customWidth="1"/>
    <col min="7" max="14" width="20.42578125" customWidth="1"/>
    <col min="15" max="15" width="17.42578125" customWidth="1"/>
    <col min="16" max="17" width="15.42578125" customWidth="1"/>
    <col min="18" max="20" width="12" customWidth="1"/>
    <col min="21" max="21" width="18.42578125" customWidth="1"/>
    <col min="22" max="22" width="41.5703125" customWidth="1"/>
    <col min="23" max="23" width="29.42578125" customWidth="1"/>
    <col min="24" max="28" width="14.5703125" customWidth="1"/>
    <col min="29" max="29" width="32.5703125" customWidth="1"/>
    <col min="30" max="32" width="14.5703125" customWidth="1"/>
    <col min="33" max="33" width="27.5703125" customWidth="1"/>
    <col min="34" max="35" width="14.5703125" customWidth="1"/>
    <col min="36" max="36" width="17.42578125" customWidth="1"/>
    <col min="37" max="37" width="14.5703125" customWidth="1"/>
    <col min="38" max="38" width="16.42578125" customWidth="1"/>
    <col min="39" max="39" width="17.42578125" customWidth="1"/>
    <col min="40" max="40" width="22.5703125" customWidth="1"/>
    <col min="41" max="41" width="15.5703125" customWidth="1"/>
    <col min="42" max="42" width="13.5703125" customWidth="1"/>
    <col min="44" max="44" width="15.5703125" customWidth="1"/>
    <col min="49" max="49" width="13" customWidth="1"/>
    <col min="50" max="50" width="14" customWidth="1"/>
  </cols>
  <sheetData>
    <row r="1" spans="1:47" ht="15.75" thickBot="1" x14ac:dyDescent="0.3">
      <c r="A1" t="s">
        <v>404</v>
      </c>
    </row>
    <row r="2" spans="1:47" s="261" customFormat="1" x14ac:dyDescent="0.25">
      <c r="A2" s="407" t="s">
        <v>1</v>
      </c>
      <c r="B2" s="408"/>
      <c r="C2" s="409" t="s">
        <v>80</v>
      </c>
      <c r="D2" s="409"/>
      <c r="E2" s="409" t="s">
        <v>248</v>
      </c>
      <c r="F2" s="409" t="s">
        <v>220</v>
      </c>
      <c r="G2" s="410"/>
      <c r="H2" s="410"/>
      <c r="I2" s="410"/>
      <c r="J2" s="407" t="s">
        <v>1677</v>
      </c>
      <c r="K2" s="408"/>
      <c r="L2" s="408"/>
      <c r="M2" s="409"/>
      <c r="N2" s="409"/>
      <c r="O2" s="409"/>
      <c r="P2" s="409"/>
      <c r="Q2" s="409"/>
      <c r="R2" s="409"/>
      <c r="S2" s="409"/>
      <c r="T2" s="409"/>
      <c r="U2" s="410"/>
      <c r="V2" s="411"/>
      <c r="W2" s="412"/>
      <c r="X2" s="412"/>
      <c r="Y2" s="412"/>
    </row>
    <row r="3" spans="1:47" s="420" customFormat="1" ht="15.75" thickBot="1" x14ac:dyDescent="0.3">
      <c r="A3" s="413" t="s">
        <v>1676</v>
      </c>
      <c r="B3" s="414"/>
      <c r="C3" s="415" t="s">
        <v>404</v>
      </c>
      <c r="D3" s="415"/>
      <c r="E3" s="414" t="s">
        <v>405</v>
      </c>
      <c r="F3" s="415" t="s">
        <v>1675</v>
      </c>
      <c r="G3" s="415"/>
      <c r="H3" s="415"/>
      <c r="I3" s="415"/>
      <c r="J3" s="416" t="s">
        <v>1674</v>
      </c>
      <c r="K3" s="417"/>
      <c r="L3" s="417"/>
      <c r="M3" s="270"/>
      <c r="N3" s="270"/>
      <c r="O3" s="270"/>
      <c r="P3" s="270"/>
      <c r="Q3" s="270"/>
      <c r="R3" s="270"/>
      <c r="S3" s="270"/>
      <c r="T3" s="270"/>
      <c r="U3" s="418"/>
      <c r="V3" s="419"/>
    </row>
    <row r="4" spans="1:47" ht="15.75" thickBot="1" x14ac:dyDescent="0.3">
      <c r="J4" s="421" t="s">
        <v>1673</v>
      </c>
      <c r="K4" s="422"/>
      <c r="L4" s="422"/>
      <c r="M4" s="423"/>
      <c r="N4" s="423"/>
      <c r="O4" s="423"/>
      <c r="P4" s="423"/>
      <c r="Q4" s="423"/>
      <c r="R4" s="423"/>
      <c r="S4" s="423"/>
      <c r="T4" s="423"/>
      <c r="U4" s="424"/>
      <c r="V4" s="425"/>
    </row>
    <row r="5" spans="1:47" x14ac:dyDescent="0.25">
      <c r="A5" t="s">
        <v>1672</v>
      </c>
    </row>
    <row r="6" spans="1:47" x14ac:dyDescent="0.25">
      <c r="A6" s="426" t="s">
        <v>1671</v>
      </c>
      <c r="B6" s="426"/>
      <c r="C6" s="426"/>
      <c r="D6" s="426"/>
      <c r="E6" s="426"/>
      <c r="F6" s="426"/>
      <c r="G6" s="426"/>
      <c r="H6" s="426"/>
      <c r="I6" s="426"/>
      <c r="J6" s="426"/>
    </row>
    <row r="7" spans="1:47" ht="15.75" thickBot="1" x14ac:dyDescent="0.3">
      <c r="A7" s="426" t="s">
        <v>1772</v>
      </c>
      <c r="B7" s="426"/>
      <c r="C7" s="426"/>
      <c r="D7" s="426"/>
      <c r="AO7" s="743"/>
      <c r="AP7" s="743"/>
      <c r="AQ7" s="743"/>
      <c r="AR7" s="743"/>
      <c r="AS7" s="743"/>
      <c r="AT7" s="743"/>
      <c r="AU7" s="743"/>
    </row>
    <row r="8" spans="1:47" ht="15.75" thickBot="1" x14ac:dyDescent="0.3">
      <c r="E8" t="s">
        <v>1668</v>
      </c>
      <c r="F8" t="s">
        <v>1668</v>
      </c>
      <c r="G8" t="s">
        <v>1667</v>
      </c>
      <c r="H8" t="s">
        <v>1667</v>
      </c>
      <c r="J8" t="s">
        <v>1667</v>
      </c>
      <c r="K8" t="s">
        <v>1667</v>
      </c>
      <c r="L8" t="s">
        <v>1667</v>
      </c>
      <c r="M8" t="s">
        <v>1666</v>
      </c>
      <c r="N8" t="s">
        <v>1666</v>
      </c>
      <c r="O8" t="s">
        <v>1665</v>
      </c>
      <c r="P8" t="s">
        <v>1665</v>
      </c>
      <c r="W8" s="744" t="s">
        <v>1664</v>
      </c>
      <c r="X8" s="745"/>
      <c r="Y8" s="745"/>
      <c r="Z8" s="745"/>
      <c r="AA8" s="745"/>
      <c r="AB8" s="745"/>
      <c r="AC8" s="745"/>
      <c r="AD8" s="745"/>
      <c r="AE8" s="428"/>
      <c r="AF8" s="429"/>
      <c r="AG8" s="429"/>
      <c r="AH8" s="430"/>
      <c r="AI8" s="429"/>
      <c r="AJ8" s="744" t="s">
        <v>1771</v>
      </c>
      <c r="AK8" s="746"/>
      <c r="AL8" s="744" t="s">
        <v>1770</v>
      </c>
      <c r="AM8" s="746"/>
      <c r="AN8" s="431"/>
      <c r="AO8" s="747" t="s">
        <v>1769</v>
      </c>
      <c r="AP8" s="748"/>
      <c r="AQ8" s="261"/>
      <c r="AR8" s="261"/>
      <c r="AS8" s="261"/>
      <c r="AT8" s="261"/>
      <c r="AU8" s="261"/>
    </row>
    <row r="9" spans="1:47" ht="15.75" thickBot="1" x14ac:dyDescent="0.3">
      <c r="A9" s="741" t="s">
        <v>1768</v>
      </c>
      <c r="B9" s="741"/>
      <c r="C9" s="741"/>
      <c r="D9" s="741"/>
      <c r="E9" s="741"/>
      <c r="F9" s="741"/>
      <c r="G9" s="741"/>
      <c r="H9" s="741"/>
      <c r="I9" s="741"/>
      <c r="J9" s="741"/>
      <c r="K9" s="741"/>
      <c r="L9" s="741"/>
      <c r="M9" s="741"/>
      <c r="N9" s="741"/>
      <c r="O9" s="741"/>
      <c r="P9" s="741"/>
      <c r="Q9" s="741"/>
      <c r="R9" s="741"/>
      <c r="S9" s="741"/>
      <c r="T9" s="741"/>
      <c r="U9" s="741"/>
      <c r="V9" s="742"/>
      <c r="W9" s="432"/>
      <c r="X9" s="433"/>
      <c r="Y9" s="433"/>
      <c r="Z9" s="433"/>
      <c r="AA9" s="433"/>
      <c r="AB9" s="433"/>
      <c r="AC9" s="433"/>
      <c r="AD9" s="433"/>
      <c r="AE9" s="433"/>
      <c r="AF9" s="433"/>
      <c r="AG9" s="433"/>
      <c r="AH9" s="433"/>
      <c r="AI9" s="433"/>
      <c r="AJ9" s="432"/>
      <c r="AK9" s="433"/>
      <c r="AL9" s="432"/>
      <c r="AM9" s="434"/>
      <c r="AN9" s="435"/>
      <c r="AO9" s="749"/>
      <c r="AP9" s="750"/>
      <c r="AQ9" s="261"/>
      <c r="AR9" s="261"/>
      <c r="AS9" s="261"/>
      <c r="AT9" s="261"/>
      <c r="AU9" s="261"/>
    </row>
    <row r="10" spans="1:47" s="454" customFormat="1" ht="87.75" customHeight="1" thickBot="1" x14ac:dyDescent="0.3">
      <c r="A10" s="436" t="s">
        <v>1656</v>
      </c>
      <c r="B10" s="437" t="s">
        <v>1655</v>
      </c>
      <c r="C10" s="437" t="s">
        <v>1654</v>
      </c>
      <c r="D10" s="437" t="s">
        <v>1653</v>
      </c>
      <c r="E10" s="437" t="s">
        <v>1651</v>
      </c>
      <c r="F10" s="437" t="s">
        <v>1650</v>
      </c>
      <c r="G10" s="437" t="s">
        <v>1649</v>
      </c>
      <c r="H10" s="437" t="s">
        <v>1648</v>
      </c>
      <c r="I10" s="437" t="s">
        <v>1647</v>
      </c>
      <c r="J10" s="437" t="s">
        <v>1646</v>
      </c>
      <c r="K10" s="437" t="s">
        <v>1645</v>
      </c>
      <c r="L10" s="437" t="s">
        <v>1644</v>
      </c>
      <c r="M10" s="437" t="s">
        <v>1643</v>
      </c>
      <c r="N10" s="437" t="s">
        <v>1642</v>
      </c>
      <c r="O10" s="437" t="s">
        <v>1641</v>
      </c>
      <c r="P10" s="437" t="s">
        <v>1640</v>
      </c>
      <c r="Q10" s="437" t="s">
        <v>1639</v>
      </c>
      <c r="R10" s="437" t="s">
        <v>1638</v>
      </c>
      <c r="S10" s="437" t="s">
        <v>253</v>
      </c>
      <c r="T10" s="437" t="s">
        <v>622</v>
      </c>
      <c r="U10" s="437" t="s">
        <v>1636</v>
      </c>
      <c r="V10" s="438" t="s">
        <v>1634</v>
      </c>
      <c r="W10" s="439" t="s">
        <v>1767</v>
      </c>
      <c r="X10" s="440" t="s">
        <v>1625</v>
      </c>
      <c r="Y10" s="441" t="s">
        <v>1766</v>
      </c>
      <c r="Z10" s="440" t="s">
        <v>1630</v>
      </c>
      <c r="AA10" s="442" t="s">
        <v>1765</v>
      </c>
      <c r="AB10" s="443" t="s">
        <v>1633</v>
      </c>
      <c r="AC10" s="444" t="s">
        <v>1764</v>
      </c>
      <c r="AD10" s="444" t="s">
        <v>1628</v>
      </c>
      <c r="AE10" s="442" t="s">
        <v>1763</v>
      </c>
      <c r="AF10" s="445" t="s">
        <v>1632</v>
      </c>
      <c r="AG10" s="446" t="s">
        <v>1762</v>
      </c>
      <c r="AH10" s="447" t="s">
        <v>1019</v>
      </c>
      <c r="AI10" s="448" t="s">
        <v>1761</v>
      </c>
      <c r="AJ10" s="449" t="s">
        <v>1627</v>
      </c>
      <c r="AK10" s="450" t="s">
        <v>1625</v>
      </c>
      <c r="AL10" s="449" t="s">
        <v>1627</v>
      </c>
      <c r="AM10" s="450" t="s">
        <v>1625</v>
      </c>
      <c r="AN10" s="451" t="s">
        <v>1629</v>
      </c>
      <c r="AO10" s="452" t="s">
        <v>1760</v>
      </c>
      <c r="AP10" s="453" t="s">
        <v>1759</v>
      </c>
      <c r="AQ10" s="261"/>
      <c r="AR10" s="261"/>
      <c r="AS10" s="261"/>
      <c r="AT10" s="261"/>
      <c r="AU10" s="261"/>
    </row>
    <row r="11" spans="1:47" s="454" customFormat="1" ht="15" customHeight="1" x14ac:dyDescent="0.25">
      <c r="A11" s="455">
        <v>0.5</v>
      </c>
      <c r="B11" s="456">
        <v>3</v>
      </c>
      <c r="C11" s="457">
        <v>1</v>
      </c>
      <c r="D11" s="457">
        <v>70</v>
      </c>
      <c r="E11" s="458">
        <v>0.64800000000000002</v>
      </c>
      <c r="F11" s="458">
        <v>0.81899999999999995</v>
      </c>
      <c r="G11" s="459">
        <v>94.4</v>
      </c>
      <c r="H11" s="459">
        <v>54.05</v>
      </c>
      <c r="I11" s="459">
        <v>37.92</v>
      </c>
      <c r="J11" s="459">
        <v>26.07</v>
      </c>
      <c r="K11" s="459">
        <v>22.8</v>
      </c>
      <c r="L11" s="459">
        <v>13.5</v>
      </c>
      <c r="M11" s="459">
        <v>9.77</v>
      </c>
      <c r="N11" s="459">
        <v>6.97</v>
      </c>
      <c r="O11" s="459">
        <v>8766</v>
      </c>
      <c r="P11" s="459">
        <v>4963</v>
      </c>
      <c r="Q11" s="459">
        <v>0.84</v>
      </c>
      <c r="R11" s="459">
        <v>0.7</v>
      </c>
      <c r="S11" s="460">
        <v>1</v>
      </c>
      <c r="T11" s="461">
        <v>100000</v>
      </c>
      <c r="U11" s="462">
        <f t="shared" ref="U11:U28" si="0">((G11-K11)*R11*P11)/(100000*E11)</f>
        <v>3.8386660493827165</v>
      </c>
      <c r="V11" s="463">
        <f t="shared" ref="V11:V28" si="1">((H11-L11)*R11*P11)/(100000*E11)</f>
        <v>2.1739931327160491</v>
      </c>
      <c r="W11" s="464"/>
      <c r="X11" s="464"/>
      <c r="Y11" s="464"/>
      <c r="Z11" s="464"/>
      <c r="AA11" s="464"/>
      <c r="AB11" s="465">
        <f t="shared" ref="AB11:AB28" si="2">(((I11-M11)+(H11-L11))/2*R11*P11)/(100000*F11)</f>
        <v>1.4570858974358973</v>
      </c>
      <c r="AC11" s="464"/>
      <c r="AD11" s="464"/>
      <c r="AE11" s="464"/>
      <c r="AF11" s="466">
        <f t="shared" ref="AF11:AF28" si="3">((J11-N11)*Q11*O11)/(100000*F11)</f>
        <v>1.7172369230769231</v>
      </c>
      <c r="AG11" s="784" t="s">
        <v>1623</v>
      </c>
      <c r="AH11" s="795">
        <f>AVERAGE(AF11:AF13)</f>
        <v>2.1625796923076925</v>
      </c>
      <c r="AI11" s="796">
        <f>(1/AN11*AF11+1/AN12*AF12+1/AN13*AF13)/(1/AN11+1/AN12+1/AN13)</f>
        <v>1.8798146309195689</v>
      </c>
      <c r="AJ11" s="464"/>
      <c r="AK11" s="464"/>
      <c r="AL11" s="467"/>
      <c r="AM11" s="464"/>
      <c r="AN11" s="468">
        <f t="shared" ref="AN11:AN28" si="4">C93</f>
        <v>3.5895000000000001</v>
      </c>
      <c r="AO11" s="469">
        <f t="shared" ref="AO11:AO28" si="5">(((I11-M11)+(H11-L11))/2*R11*P11)/(3412)</f>
        <v>34.975186107854626</v>
      </c>
      <c r="AP11" s="470">
        <f t="shared" ref="AP11:AP28" si="6">((J11-N11)*Q11*O11)/(3412)</f>
        <v>41.219725674091443</v>
      </c>
      <c r="AQ11" s="261"/>
      <c r="AR11" s="261"/>
      <c r="AS11" s="261"/>
      <c r="AT11" s="261"/>
      <c r="AU11" s="261"/>
    </row>
    <row r="12" spans="1:47" ht="15.75" customHeight="1" thickBot="1" x14ac:dyDescent="0.3">
      <c r="A12" s="471">
        <v>0.75</v>
      </c>
      <c r="B12" s="472">
        <v>3</v>
      </c>
      <c r="C12" s="164">
        <v>1</v>
      </c>
      <c r="D12" s="164">
        <v>70</v>
      </c>
      <c r="E12" s="473">
        <v>0.64800000000000002</v>
      </c>
      <c r="F12" s="473">
        <v>0.81899999999999995</v>
      </c>
      <c r="G12" s="474">
        <v>114.8</v>
      </c>
      <c r="H12" s="474">
        <v>65.63</v>
      </c>
      <c r="I12" s="474">
        <v>46</v>
      </c>
      <c r="J12" s="474">
        <v>31.6</v>
      </c>
      <c r="K12" s="474">
        <v>27.34</v>
      </c>
      <c r="L12" s="474">
        <v>16.170000000000002</v>
      </c>
      <c r="M12" s="474">
        <v>11.69</v>
      </c>
      <c r="N12" s="474">
        <v>8.34</v>
      </c>
      <c r="O12" s="474">
        <v>8766</v>
      </c>
      <c r="P12" s="164">
        <v>4963</v>
      </c>
      <c r="Q12" s="474">
        <v>0.84</v>
      </c>
      <c r="R12" s="474">
        <v>0.7</v>
      </c>
      <c r="S12" s="475">
        <v>1</v>
      </c>
      <c r="T12" s="476">
        <v>100000</v>
      </c>
      <c r="U12" s="463">
        <f t="shared" si="0"/>
        <v>4.6889627469135799</v>
      </c>
      <c r="V12" s="463">
        <f t="shared" si="1"/>
        <v>2.6516818827160491</v>
      </c>
      <c r="W12" s="477"/>
      <c r="X12" s="478"/>
      <c r="Y12" s="478"/>
      <c r="Z12" s="479"/>
      <c r="AA12" s="479"/>
      <c r="AB12" s="480">
        <f t="shared" si="2"/>
        <v>1.776711581196581</v>
      </c>
      <c r="AC12" s="481"/>
      <c r="AD12" s="481"/>
      <c r="AE12" s="479"/>
      <c r="AF12" s="482">
        <f t="shared" si="3"/>
        <v>2.0912529230769228</v>
      </c>
      <c r="AG12" s="785"/>
      <c r="AH12" s="795"/>
      <c r="AI12" s="797"/>
      <c r="AJ12" s="483"/>
      <c r="AK12" s="483"/>
      <c r="AL12" s="483"/>
      <c r="AM12" s="483"/>
      <c r="AN12" s="468">
        <f t="shared" si="4"/>
        <v>12.1145625</v>
      </c>
      <c r="AO12" s="469">
        <f t="shared" si="5"/>
        <v>42.647326641266112</v>
      </c>
      <c r="AP12" s="470">
        <f t="shared" si="6"/>
        <v>50.197425087924969</v>
      </c>
      <c r="AQ12" s="261"/>
      <c r="AR12" s="261"/>
      <c r="AS12" s="261"/>
      <c r="AT12" s="261"/>
      <c r="AU12" s="261"/>
    </row>
    <row r="13" spans="1:47" ht="17.25" customHeight="1" thickBot="1" x14ac:dyDescent="0.3">
      <c r="A13" s="471">
        <v>1</v>
      </c>
      <c r="B13" s="472">
        <v>3</v>
      </c>
      <c r="C13" s="164">
        <v>1</v>
      </c>
      <c r="D13" s="164">
        <v>70</v>
      </c>
      <c r="E13" s="473">
        <v>0.64800000000000002</v>
      </c>
      <c r="F13" s="473">
        <v>0.81899999999999995</v>
      </c>
      <c r="G13" s="474">
        <v>140.19999999999999</v>
      </c>
      <c r="H13" s="474">
        <v>80.05</v>
      </c>
      <c r="I13" s="474">
        <v>56.07</v>
      </c>
      <c r="J13" s="474">
        <v>38.5</v>
      </c>
      <c r="K13" s="474">
        <v>28.46</v>
      </c>
      <c r="L13" s="474">
        <v>16.850000000000001</v>
      </c>
      <c r="M13" s="474">
        <v>12.19</v>
      </c>
      <c r="N13" s="474">
        <v>8.6999999999999993</v>
      </c>
      <c r="O13" s="474">
        <v>8766</v>
      </c>
      <c r="P13" s="164">
        <v>4963</v>
      </c>
      <c r="Q13" s="474">
        <v>0.84</v>
      </c>
      <c r="R13" s="474">
        <v>0.7</v>
      </c>
      <c r="S13" s="475">
        <v>1</v>
      </c>
      <c r="T13" s="476">
        <v>100000</v>
      </c>
      <c r="U13" s="484">
        <f t="shared" si="0"/>
        <v>5.990677993827159</v>
      </c>
      <c r="V13" s="485">
        <f t="shared" si="1"/>
        <v>3.3883197530864191</v>
      </c>
      <c r="W13" s="810" t="s">
        <v>1730</v>
      </c>
      <c r="X13" s="811">
        <f>AVERAGE(V13:V16)</f>
        <v>4.5680662114197528</v>
      </c>
      <c r="Y13" s="811">
        <f>(1/AN13*V13+1/AN14*V14+1/AN15*V15+1/AN16*V16)/(1/AN13+1/AN14+1/AN15+1/AN16)</f>
        <v>3.967097058288509</v>
      </c>
      <c r="Z13" s="812">
        <f>AVERAGE(V13:V16)</f>
        <v>4.5680662114197528</v>
      </c>
      <c r="AA13" s="813">
        <f>(1/AN13*V13+1/AN14*V14+1/AN15*V15+1/AN16*V16)/(1/AN13+1/AN14+1/AN15+1/AN16)</f>
        <v>3.967097058288509</v>
      </c>
      <c r="AB13" s="486">
        <f t="shared" si="2"/>
        <v>2.2711027350427346</v>
      </c>
      <c r="AC13" s="825" t="s">
        <v>1730</v>
      </c>
      <c r="AD13" s="828">
        <f>AVERAGE(AB13:AB16)</f>
        <v>3.061524113247863</v>
      </c>
      <c r="AE13" s="799">
        <f>(1/AN13*AB13+1/AN14*AB14+1/AN15*AB15+1/AN16*AB16)/(1/AN13+1/AN14+1/AN15+1/AN16)</f>
        <v>2.6588140926267867</v>
      </c>
      <c r="AF13" s="487">
        <f t="shared" si="3"/>
        <v>2.6792492307692308</v>
      </c>
      <c r="AG13" s="786"/>
      <c r="AH13" s="795"/>
      <c r="AI13" s="798"/>
      <c r="AJ13" s="801" t="s">
        <v>1619</v>
      </c>
      <c r="AK13" s="804">
        <f>Y13*AVERAGE(AT33,AT34)</f>
        <v>11.028529822042056</v>
      </c>
      <c r="AL13" s="807" t="s">
        <v>1618</v>
      </c>
      <c r="AM13" s="777">
        <f>Y13*AVERAGE($AM33:$AN34)</f>
        <v>1.9537953012070903</v>
      </c>
      <c r="AN13" s="488">
        <f t="shared" si="4"/>
        <v>28.716000000000001</v>
      </c>
      <c r="AO13" s="489">
        <f t="shared" si="5"/>
        <v>54.514453106682296</v>
      </c>
      <c r="AP13" s="470">
        <f t="shared" si="6"/>
        <v>64.311404454865183</v>
      </c>
      <c r="AQ13" s="261"/>
      <c r="AR13" s="261"/>
      <c r="AS13" s="261"/>
      <c r="AT13" s="261"/>
      <c r="AU13" s="261"/>
    </row>
    <row r="14" spans="1:47" x14ac:dyDescent="0.25">
      <c r="A14" s="471">
        <v>1.25</v>
      </c>
      <c r="B14" s="472">
        <v>3</v>
      </c>
      <c r="C14" s="164">
        <v>1</v>
      </c>
      <c r="D14" s="164">
        <v>70</v>
      </c>
      <c r="E14" s="473">
        <v>0.64800000000000002</v>
      </c>
      <c r="F14" s="473">
        <v>0.81899999999999995</v>
      </c>
      <c r="G14" s="474">
        <v>172.9</v>
      </c>
      <c r="H14" s="474">
        <v>98.61</v>
      </c>
      <c r="I14" s="474">
        <v>69.040000000000006</v>
      </c>
      <c r="J14" s="474">
        <v>47.38</v>
      </c>
      <c r="K14" s="474">
        <v>36.479999999999997</v>
      </c>
      <c r="L14" s="474">
        <v>21.56</v>
      </c>
      <c r="M14" s="474">
        <v>15.58</v>
      </c>
      <c r="N14" s="474">
        <v>11.1</v>
      </c>
      <c r="O14" s="474">
        <v>8766</v>
      </c>
      <c r="P14" s="164">
        <v>4963</v>
      </c>
      <c r="Q14" s="474">
        <v>0.84</v>
      </c>
      <c r="R14" s="474">
        <v>0.7</v>
      </c>
      <c r="S14" s="475">
        <v>1</v>
      </c>
      <c r="T14" s="476">
        <v>100000</v>
      </c>
      <c r="U14" s="484">
        <f t="shared" si="0"/>
        <v>7.3138383024691356</v>
      </c>
      <c r="V14" s="485">
        <f t="shared" si="1"/>
        <v>4.1308550154320987</v>
      </c>
      <c r="W14" s="790"/>
      <c r="X14" s="811"/>
      <c r="Y14" s="811"/>
      <c r="Z14" s="812"/>
      <c r="AA14" s="813"/>
      <c r="AB14" s="490">
        <f t="shared" si="2"/>
        <v>2.7680390170940163</v>
      </c>
      <c r="AC14" s="826"/>
      <c r="AD14" s="829"/>
      <c r="AE14" s="800"/>
      <c r="AF14" s="491">
        <f t="shared" si="3"/>
        <v>3.2618510769230769</v>
      </c>
      <c r="AG14" s="774" t="s">
        <v>1615</v>
      </c>
      <c r="AH14" s="781">
        <f>AVERAGE(AF15:AF16)</f>
        <v>4.2517347692307688</v>
      </c>
      <c r="AI14" s="781">
        <f>(1/AN14*AF14+1/AN15*AF15+1/AN16*AF16)/(1/AN14+1/AN15+1/AN16)</f>
        <v>3.62502834586232</v>
      </c>
      <c r="AJ14" s="802"/>
      <c r="AK14" s="805"/>
      <c r="AL14" s="808"/>
      <c r="AM14" s="778"/>
      <c r="AN14" s="468">
        <f t="shared" si="4"/>
        <v>56.0859375</v>
      </c>
      <c r="AO14" s="489">
        <f t="shared" si="5"/>
        <v>66.442671600234448</v>
      </c>
      <c r="AP14" s="492">
        <f t="shared" si="6"/>
        <v>78.295897772567415</v>
      </c>
      <c r="AQ14" s="261"/>
      <c r="AR14" s="261"/>
      <c r="AS14" s="261"/>
      <c r="AT14" s="261"/>
      <c r="AU14" s="261"/>
    </row>
    <row r="15" spans="1:47" x14ac:dyDescent="0.25">
      <c r="A15" s="471">
        <v>1.5</v>
      </c>
      <c r="B15" s="472">
        <v>3</v>
      </c>
      <c r="C15" s="164">
        <v>1</v>
      </c>
      <c r="D15" s="164">
        <v>70</v>
      </c>
      <c r="E15" s="473">
        <v>0.64800000000000002</v>
      </c>
      <c r="F15" s="473">
        <v>0.81899999999999995</v>
      </c>
      <c r="G15" s="474">
        <v>195.5</v>
      </c>
      <c r="H15" s="474">
        <v>111.4</v>
      </c>
      <c r="I15" s="474">
        <v>77.98</v>
      </c>
      <c r="J15" s="474">
        <v>53.5</v>
      </c>
      <c r="K15" s="474">
        <v>36.99</v>
      </c>
      <c r="L15" s="474">
        <v>21.88</v>
      </c>
      <c r="M15" s="474">
        <v>15.82</v>
      </c>
      <c r="N15" s="474">
        <v>11.28</v>
      </c>
      <c r="O15" s="474">
        <v>8766</v>
      </c>
      <c r="P15" s="164">
        <v>4963</v>
      </c>
      <c r="Q15" s="474">
        <v>0.84</v>
      </c>
      <c r="R15" s="474">
        <v>0.7</v>
      </c>
      <c r="S15" s="475">
        <v>1</v>
      </c>
      <c r="T15" s="476">
        <v>100000</v>
      </c>
      <c r="U15" s="484">
        <f t="shared" si="0"/>
        <v>8.4981418364197534</v>
      </c>
      <c r="V15" s="485">
        <f t="shared" si="1"/>
        <v>4.7994048148148156</v>
      </c>
      <c r="W15" s="790"/>
      <c r="X15" s="811"/>
      <c r="Y15" s="811"/>
      <c r="Z15" s="812"/>
      <c r="AA15" s="813"/>
      <c r="AB15" s="490">
        <f t="shared" si="2"/>
        <v>3.2170420512820512</v>
      </c>
      <c r="AC15" s="826"/>
      <c r="AD15" s="829"/>
      <c r="AE15" s="800"/>
      <c r="AF15" s="493">
        <f t="shared" si="3"/>
        <v>3.7959027692307687</v>
      </c>
      <c r="AG15" s="775"/>
      <c r="AH15" s="782"/>
      <c r="AI15" s="782"/>
      <c r="AJ15" s="802"/>
      <c r="AK15" s="805"/>
      <c r="AL15" s="808"/>
      <c r="AM15" s="778"/>
      <c r="AN15" s="468">
        <f t="shared" si="4"/>
        <v>96.916499999999999</v>
      </c>
      <c r="AO15" s="489">
        <f t="shared" si="5"/>
        <v>77.220323563892151</v>
      </c>
      <c r="AP15" s="492">
        <f t="shared" si="6"/>
        <v>91.115016647127774</v>
      </c>
      <c r="AQ15" s="261"/>
      <c r="AR15" s="261"/>
      <c r="AS15" s="261"/>
      <c r="AT15" s="261"/>
      <c r="AU15" s="261"/>
    </row>
    <row r="16" spans="1:47" ht="15.75" thickBot="1" x14ac:dyDescent="0.3">
      <c r="A16" s="471">
        <v>2</v>
      </c>
      <c r="B16" s="472">
        <v>3</v>
      </c>
      <c r="C16" s="164">
        <v>1</v>
      </c>
      <c r="D16" s="164">
        <v>70</v>
      </c>
      <c r="E16" s="473">
        <v>0.64800000000000002</v>
      </c>
      <c r="F16" s="473">
        <v>0.81899999999999995</v>
      </c>
      <c r="G16" s="474">
        <v>239.9</v>
      </c>
      <c r="H16" s="474">
        <v>136.6</v>
      </c>
      <c r="I16" s="474">
        <v>95.55</v>
      </c>
      <c r="J16" s="474">
        <v>65.53</v>
      </c>
      <c r="K16" s="474">
        <v>43.22</v>
      </c>
      <c r="L16" s="474">
        <v>25.55</v>
      </c>
      <c r="M16" s="474">
        <v>18.48</v>
      </c>
      <c r="N16" s="474">
        <v>13.17</v>
      </c>
      <c r="O16" s="474">
        <v>8766</v>
      </c>
      <c r="P16" s="164">
        <v>4963</v>
      </c>
      <c r="Q16" s="474">
        <v>0.84</v>
      </c>
      <c r="R16" s="474">
        <v>0.7</v>
      </c>
      <c r="S16" s="475">
        <v>1</v>
      </c>
      <c r="T16" s="476">
        <v>100000</v>
      </c>
      <c r="U16" s="484">
        <f t="shared" si="0"/>
        <v>10.54453685185185</v>
      </c>
      <c r="V16" s="485">
        <f t="shared" si="1"/>
        <v>5.9536852623456786</v>
      </c>
      <c r="W16" s="791"/>
      <c r="X16" s="811"/>
      <c r="Y16" s="811"/>
      <c r="Z16" s="812"/>
      <c r="AA16" s="813"/>
      <c r="AB16" s="490">
        <f t="shared" si="2"/>
        <v>3.9899126495726498</v>
      </c>
      <c r="AC16" s="827"/>
      <c r="AD16" s="830"/>
      <c r="AE16" s="800"/>
      <c r="AF16" s="494">
        <f t="shared" si="3"/>
        <v>4.7075667692307697</v>
      </c>
      <c r="AG16" s="780"/>
      <c r="AH16" s="783"/>
      <c r="AI16" s="783"/>
      <c r="AJ16" s="803"/>
      <c r="AK16" s="806"/>
      <c r="AL16" s="809"/>
      <c r="AM16" s="779"/>
      <c r="AN16" s="468">
        <f t="shared" si="4"/>
        <v>229.72800000000001</v>
      </c>
      <c r="AO16" s="489">
        <f t="shared" si="5"/>
        <v>95.771936107854643</v>
      </c>
      <c r="AP16" s="492">
        <f t="shared" si="6"/>
        <v>112.99815896834701</v>
      </c>
      <c r="AQ16" s="261"/>
      <c r="AR16" s="261"/>
      <c r="AS16" s="261"/>
      <c r="AT16" s="261"/>
      <c r="AU16" s="261"/>
    </row>
    <row r="17" spans="1:48" ht="16.5" customHeight="1" x14ac:dyDescent="0.25">
      <c r="A17" s="471">
        <v>2.5</v>
      </c>
      <c r="B17" s="472">
        <v>3</v>
      </c>
      <c r="C17" s="164">
        <v>1</v>
      </c>
      <c r="D17" s="164">
        <v>70</v>
      </c>
      <c r="E17" s="473">
        <v>0.64800000000000002</v>
      </c>
      <c r="F17" s="473">
        <v>0.81899999999999995</v>
      </c>
      <c r="G17" s="474">
        <v>286.2</v>
      </c>
      <c r="H17" s="474">
        <v>162.80000000000001</v>
      </c>
      <c r="I17" s="474">
        <v>113.9</v>
      </c>
      <c r="J17" s="474">
        <v>78.069999999999993</v>
      </c>
      <c r="K17" s="474">
        <v>49.65</v>
      </c>
      <c r="L17" s="474">
        <v>29.35</v>
      </c>
      <c r="M17" s="474">
        <v>21.21</v>
      </c>
      <c r="N17" s="474">
        <v>15.12</v>
      </c>
      <c r="O17" s="474">
        <v>8766</v>
      </c>
      <c r="P17" s="164">
        <v>4963</v>
      </c>
      <c r="Q17" s="474">
        <v>0.84</v>
      </c>
      <c r="R17" s="474">
        <v>0.7</v>
      </c>
      <c r="S17" s="475">
        <v>1</v>
      </c>
      <c r="T17" s="476">
        <v>100000</v>
      </c>
      <c r="U17" s="495">
        <f t="shared" si="0"/>
        <v>12.682073379629628</v>
      </c>
      <c r="V17" s="495">
        <f t="shared" si="1"/>
        <v>7.154608719135803</v>
      </c>
      <c r="W17" s="768" t="s">
        <v>1758</v>
      </c>
      <c r="X17" s="771">
        <f>AVERAGE(U17:U22)</f>
        <v>18.588132734053495</v>
      </c>
      <c r="Y17" s="771">
        <f>(1/AN17*U17+1/AN18*U18+1/AN19*U19+1/AN20*U20+1/AN21*U21+1/AN22*U22)/(1/AN17+1/AN18+1/AN19+1/AN20+1/AN21+1/AN22)</f>
        <v>15.954497207020932</v>
      </c>
      <c r="Z17" s="752">
        <f>AVERAGE(V17:V22)</f>
        <v>10.482256818415637</v>
      </c>
      <c r="AA17" s="772">
        <f>(1/AN17*V17+1/AN18*V18+1/AN19*V19+1/AN20*V20+1/AN21*V21+1/AN22*V22)/(1/AN17+1/AN18+1/AN19+1/AN20+1/AN21+1/AN22)</f>
        <v>8.9991933632612966</v>
      </c>
      <c r="AB17" s="496">
        <f t="shared" si="2"/>
        <v>4.7962941025641026</v>
      </c>
      <c r="AC17" s="754" t="s">
        <v>1725</v>
      </c>
      <c r="AD17" s="765">
        <f>AVERAGE(AB17:AB20)</f>
        <v>6.1867824786324785</v>
      </c>
      <c r="AE17" s="773">
        <f>(1/AN17*AB17+1/AN18*AB17+1/AN19*AB18+1/AN20*AB20)/(1/AN17+1/AN18+1/AN19+1/AN20)</f>
        <v>5.2492031493764015</v>
      </c>
      <c r="AF17" s="497">
        <f t="shared" si="3"/>
        <v>5.6596892307692306</v>
      </c>
      <c r="AG17" s="774" t="s">
        <v>1611</v>
      </c>
      <c r="AH17" s="792">
        <f>AVERAGE(AF17:AF20)</f>
        <v>7.3034266153846161</v>
      </c>
      <c r="AI17" s="792">
        <f>(1/AN17*AF17+1/AN18*AF18+1/AN19*AF19+1/AN20*AF20)/(1/AN17+1/AN18+1/AN19+1/AN20)</f>
        <v>6.6996511850434315</v>
      </c>
      <c r="AJ17" s="787" t="s">
        <v>1613</v>
      </c>
      <c r="AK17" s="751">
        <f>Y17*AVERAGE($AT$35:$AT$37)</f>
        <v>67.962640249087912</v>
      </c>
      <c r="AL17" s="752" t="s">
        <v>1612</v>
      </c>
      <c r="AM17" s="753">
        <f>Y17*AVERAGE($AM35:$AN37,AO35,AO36,AM40:AN40)</f>
        <v>20.134575475260416</v>
      </c>
      <c r="AN17" s="468">
        <f t="shared" si="4"/>
        <v>448.6875</v>
      </c>
      <c r="AO17" s="498">
        <f t="shared" si="5"/>
        <v>115.12792702227433</v>
      </c>
      <c r="AP17" s="499">
        <f t="shared" si="6"/>
        <v>135.85244665885111</v>
      </c>
      <c r="AQ17" s="261"/>
      <c r="AR17" s="261"/>
      <c r="AS17" s="261"/>
      <c r="AT17" s="261"/>
      <c r="AU17" s="261"/>
    </row>
    <row r="18" spans="1:48" x14ac:dyDescent="0.25">
      <c r="A18" s="471">
        <v>3</v>
      </c>
      <c r="B18" s="472">
        <v>3</v>
      </c>
      <c r="C18" s="164">
        <v>1</v>
      </c>
      <c r="D18" s="164">
        <v>70</v>
      </c>
      <c r="E18" s="473">
        <v>0.64800000000000002</v>
      </c>
      <c r="F18" s="473">
        <v>0.81899999999999995</v>
      </c>
      <c r="G18" s="474">
        <v>343.7</v>
      </c>
      <c r="H18" s="164">
        <v>195.4</v>
      </c>
      <c r="I18" s="474">
        <v>136.6</v>
      </c>
      <c r="J18" s="164">
        <v>93.64</v>
      </c>
      <c r="K18" s="474">
        <v>58.69</v>
      </c>
      <c r="L18" s="474">
        <v>34.67</v>
      </c>
      <c r="M18" s="474">
        <v>25.05</v>
      </c>
      <c r="N18" s="474">
        <v>17.850000000000001</v>
      </c>
      <c r="O18" s="474">
        <v>8766</v>
      </c>
      <c r="P18" s="164">
        <v>4963</v>
      </c>
      <c r="Q18" s="474">
        <v>0.84</v>
      </c>
      <c r="R18" s="474">
        <v>0.7</v>
      </c>
      <c r="S18" s="475">
        <v>1</v>
      </c>
      <c r="T18" s="476">
        <v>100000</v>
      </c>
      <c r="U18" s="495">
        <f t="shared" si="0"/>
        <v>15.28014260802469</v>
      </c>
      <c r="V18" s="495">
        <f t="shared" si="1"/>
        <v>8.6171619290123456</v>
      </c>
      <c r="W18" s="769"/>
      <c r="X18" s="771"/>
      <c r="Y18" s="771"/>
      <c r="Z18" s="752"/>
      <c r="AA18" s="772"/>
      <c r="AB18" s="496">
        <f t="shared" si="2"/>
        <v>5.774895897435897</v>
      </c>
      <c r="AC18" s="755"/>
      <c r="AD18" s="766"/>
      <c r="AE18" s="773"/>
      <c r="AF18" s="500">
        <f t="shared" si="3"/>
        <v>6.8141039999999986</v>
      </c>
      <c r="AG18" s="775"/>
      <c r="AH18" s="793"/>
      <c r="AI18" s="793"/>
      <c r="AJ18" s="787"/>
      <c r="AK18" s="751"/>
      <c r="AL18" s="752"/>
      <c r="AM18" s="753"/>
      <c r="AN18" s="468">
        <f t="shared" si="4"/>
        <v>775.33199999999999</v>
      </c>
      <c r="AO18" s="498">
        <f t="shared" si="5"/>
        <v>138.61781184056272</v>
      </c>
      <c r="AP18" s="499">
        <f t="shared" si="6"/>
        <v>163.56246119577958</v>
      </c>
      <c r="AQ18" s="261"/>
      <c r="AR18" s="261"/>
      <c r="AS18" s="261"/>
      <c r="AT18" s="261"/>
      <c r="AU18" s="261"/>
    </row>
    <row r="19" spans="1:48" x14ac:dyDescent="0.25">
      <c r="A19" s="471">
        <v>3.5</v>
      </c>
      <c r="B19" s="472">
        <v>3</v>
      </c>
      <c r="C19" s="164">
        <v>1</v>
      </c>
      <c r="D19" s="164">
        <v>70</v>
      </c>
      <c r="E19" s="473">
        <v>0.64800000000000002</v>
      </c>
      <c r="F19" s="473">
        <v>0.81899999999999995</v>
      </c>
      <c r="G19" s="474">
        <v>389.5</v>
      </c>
      <c r="H19" s="164">
        <v>221.4</v>
      </c>
      <c r="I19" s="474">
        <v>154.69999999999999</v>
      </c>
      <c r="J19" s="164">
        <v>106</v>
      </c>
      <c r="K19" s="474">
        <v>55.22</v>
      </c>
      <c r="L19" s="474">
        <v>32.67</v>
      </c>
      <c r="M19" s="474">
        <v>23.63</v>
      </c>
      <c r="N19" s="474">
        <v>16.86</v>
      </c>
      <c r="O19" s="474">
        <v>8766</v>
      </c>
      <c r="P19" s="164">
        <v>4963</v>
      </c>
      <c r="Q19" s="474">
        <v>0.84</v>
      </c>
      <c r="R19" s="474">
        <v>0.7</v>
      </c>
      <c r="S19" s="475">
        <v>1</v>
      </c>
      <c r="T19" s="476">
        <v>100000</v>
      </c>
      <c r="U19" s="495">
        <f t="shared" si="0"/>
        <v>17.921638086419751</v>
      </c>
      <c r="V19" s="495">
        <f t="shared" si="1"/>
        <v>10.118316250000001</v>
      </c>
      <c r="W19" s="769"/>
      <c r="X19" s="771"/>
      <c r="Y19" s="771"/>
      <c r="Z19" s="752"/>
      <c r="AA19" s="772"/>
      <c r="AB19" s="496">
        <f t="shared" si="2"/>
        <v>6.7827666666666664</v>
      </c>
      <c r="AC19" s="755"/>
      <c r="AD19" s="766"/>
      <c r="AE19" s="773"/>
      <c r="AF19" s="500">
        <f t="shared" si="3"/>
        <v>8.0143716923076926</v>
      </c>
      <c r="AG19" s="775"/>
      <c r="AH19" s="793"/>
      <c r="AI19" s="793"/>
      <c r="AJ19" s="787"/>
      <c r="AK19" s="751"/>
      <c r="AL19" s="752"/>
      <c r="AM19" s="753"/>
      <c r="AN19" s="468">
        <f t="shared" si="4"/>
        <v>1231.1985</v>
      </c>
      <c r="AO19" s="498">
        <f t="shared" si="5"/>
        <v>162.81025498241499</v>
      </c>
      <c r="AP19" s="499">
        <f t="shared" si="6"/>
        <v>192.37310715123095</v>
      </c>
      <c r="AQ19" s="261"/>
      <c r="AR19" s="261"/>
      <c r="AS19" s="261"/>
      <c r="AT19" s="261"/>
      <c r="AU19" s="261"/>
    </row>
    <row r="20" spans="1:48" ht="15.75" thickBot="1" x14ac:dyDescent="0.3">
      <c r="A20" s="471">
        <v>4</v>
      </c>
      <c r="B20" s="472">
        <v>3</v>
      </c>
      <c r="C20" s="164">
        <v>1</v>
      </c>
      <c r="D20" s="164">
        <v>70</v>
      </c>
      <c r="E20" s="473">
        <v>0.64800000000000002</v>
      </c>
      <c r="F20" s="473">
        <v>0.81899999999999995</v>
      </c>
      <c r="G20" s="474">
        <v>435.2</v>
      </c>
      <c r="H20" s="164">
        <v>247.2</v>
      </c>
      <c r="I20" s="474">
        <v>172.8</v>
      </c>
      <c r="J20" s="164">
        <v>118.4</v>
      </c>
      <c r="K20" s="474">
        <v>70.19</v>
      </c>
      <c r="L20" s="474">
        <v>41.46</v>
      </c>
      <c r="M20" s="474">
        <v>29.96</v>
      </c>
      <c r="N20" s="474">
        <v>21.35</v>
      </c>
      <c r="O20" s="474">
        <v>8766</v>
      </c>
      <c r="P20" s="164">
        <v>4963</v>
      </c>
      <c r="Q20" s="474">
        <v>0.84</v>
      </c>
      <c r="R20" s="474">
        <v>0.7</v>
      </c>
      <c r="S20" s="475">
        <v>1</v>
      </c>
      <c r="T20" s="476">
        <v>100000</v>
      </c>
      <c r="U20" s="495">
        <f t="shared" si="0"/>
        <v>19.569154953703702</v>
      </c>
      <c r="V20" s="495">
        <f t="shared" si="1"/>
        <v>11.030267499999999</v>
      </c>
      <c r="W20" s="769"/>
      <c r="X20" s="771"/>
      <c r="Y20" s="771"/>
      <c r="Z20" s="752"/>
      <c r="AA20" s="772"/>
      <c r="AB20" s="496">
        <f t="shared" si="2"/>
        <v>7.3931732478632473</v>
      </c>
      <c r="AC20" s="788"/>
      <c r="AD20" s="767"/>
      <c r="AE20" s="773"/>
      <c r="AF20" s="501">
        <f t="shared" si="3"/>
        <v>8.72554153846154</v>
      </c>
      <c r="AG20" s="776"/>
      <c r="AH20" s="794"/>
      <c r="AI20" s="794"/>
      <c r="AJ20" s="787"/>
      <c r="AK20" s="751"/>
      <c r="AL20" s="752"/>
      <c r="AM20" s="753"/>
      <c r="AN20" s="468">
        <f t="shared" si="4"/>
        <v>1837.8240000000001</v>
      </c>
      <c r="AO20" s="498">
        <f t="shared" si="5"/>
        <v>177.46215973036342</v>
      </c>
      <c r="AP20" s="499">
        <f t="shared" si="6"/>
        <v>209.44368464243848</v>
      </c>
      <c r="AQ20" s="261"/>
      <c r="AR20" s="261"/>
      <c r="AS20" s="261"/>
      <c r="AT20" s="261"/>
      <c r="AU20" s="261"/>
    </row>
    <row r="21" spans="1:48" ht="15" customHeight="1" x14ac:dyDescent="0.25">
      <c r="A21" s="471">
        <v>4.5</v>
      </c>
      <c r="B21" s="472">
        <v>3</v>
      </c>
      <c r="C21" s="164">
        <v>1</v>
      </c>
      <c r="D21" s="164">
        <v>70</v>
      </c>
      <c r="E21" s="473">
        <v>0.64800000000000002</v>
      </c>
      <c r="F21" s="473">
        <v>0.81899999999999995</v>
      </c>
      <c r="G21" s="474">
        <v>480.7</v>
      </c>
      <c r="H21" s="164">
        <v>273</v>
      </c>
      <c r="I21" s="474">
        <v>190.8</v>
      </c>
      <c r="J21" s="164">
        <v>130.69999999999999</v>
      </c>
      <c r="K21" s="474">
        <v>65.72</v>
      </c>
      <c r="L21" s="474">
        <v>38.869999999999997</v>
      </c>
      <c r="M21" s="474">
        <v>28.12</v>
      </c>
      <c r="N21" s="474">
        <v>20.05</v>
      </c>
      <c r="O21" s="474">
        <v>8766</v>
      </c>
      <c r="P21" s="164">
        <v>4963</v>
      </c>
      <c r="Q21" s="474">
        <v>0.84</v>
      </c>
      <c r="R21" s="474">
        <v>0.7</v>
      </c>
      <c r="S21" s="475">
        <v>1</v>
      </c>
      <c r="T21" s="476">
        <v>100000</v>
      </c>
      <c r="U21" s="495">
        <f t="shared" si="0"/>
        <v>22.248179290123456</v>
      </c>
      <c r="V21" s="495">
        <f t="shared" si="1"/>
        <v>12.552330756172838</v>
      </c>
      <c r="W21" s="769"/>
      <c r="X21" s="771"/>
      <c r="Y21" s="771"/>
      <c r="Z21" s="752"/>
      <c r="AA21" s="772"/>
      <c r="AB21" s="502">
        <f t="shared" si="2"/>
        <v>8.4161026923076925</v>
      </c>
      <c r="AC21" s="754" t="s">
        <v>1720</v>
      </c>
      <c r="AD21" s="757">
        <f>AVERAGE(AB21:AB23)</f>
        <v>9.337792592592594</v>
      </c>
      <c r="AE21" s="760">
        <f>(1/AN21*AB21+1/AN22*AB22+1/AN23*AB23)/(1/AN21+1/AN22+1/AN23)</f>
        <v>9.0407613085908682</v>
      </c>
      <c r="AF21" s="503">
        <f t="shared" si="3"/>
        <v>9.9482861538461513</v>
      </c>
      <c r="AG21" s="504"/>
      <c r="AH21" s="504"/>
      <c r="AI21" s="504"/>
      <c r="AJ21" s="752"/>
      <c r="AK21" s="751"/>
      <c r="AL21" s="752"/>
      <c r="AM21" s="753"/>
      <c r="AN21" s="468">
        <f t="shared" si="4"/>
        <v>2616.7455</v>
      </c>
      <c r="AO21" s="505">
        <f t="shared" si="5"/>
        <v>202.01606403868701</v>
      </c>
      <c r="AP21" s="506">
        <f t="shared" si="6"/>
        <v>238.79385580304802</v>
      </c>
      <c r="AQ21" s="261"/>
      <c r="AR21" s="261"/>
      <c r="AS21" s="261"/>
      <c r="AT21" s="261"/>
      <c r="AU21" s="261"/>
    </row>
    <row r="22" spans="1:48" x14ac:dyDescent="0.25">
      <c r="A22" s="471">
        <v>5</v>
      </c>
      <c r="B22" s="472">
        <v>3</v>
      </c>
      <c r="C22" s="164">
        <v>1</v>
      </c>
      <c r="D22" s="164">
        <v>70</v>
      </c>
      <c r="E22" s="473">
        <v>0.64800000000000002</v>
      </c>
      <c r="F22" s="473">
        <v>0.81899999999999995</v>
      </c>
      <c r="G22" s="474">
        <v>531.79999999999995</v>
      </c>
      <c r="H22" s="164">
        <v>301.89999999999998</v>
      </c>
      <c r="I22" s="474">
        <v>210.9</v>
      </c>
      <c r="J22" s="164">
        <v>144.5</v>
      </c>
      <c r="K22" s="474">
        <v>87.36</v>
      </c>
      <c r="L22" s="474">
        <v>51.57</v>
      </c>
      <c r="M22" s="474">
        <v>37.24</v>
      </c>
      <c r="N22" s="474">
        <v>26.53</v>
      </c>
      <c r="O22" s="474">
        <v>8766</v>
      </c>
      <c r="P22" s="164">
        <v>4963</v>
      </c>
      <c r="Q22" s="474">
        <v>0.84</v>
      </c>
      <c r="R22" s="474">
        <v>0.7</v>
      </c>
      <c r="S22" s="475">
        <v>1</v>
      </c>
      <c r="T22" s="476">
        <v>100000</v>
      </c>
      <c r="U22" s="495">
        <f t="shared" si="0"/>
        <v>23.827608086419747</v>
      </c>
      <c r="V22" s="495">
        <f t="shared" si="1"/>
        <v>13.420855756172838</v>
      </c>
      <c r="W22" s="770"/>
      <c r="X22" s="771"/>
      <c r="Y22" s="771"/>
      <c r="Z22" s="752"/>
      <c r="AA22" s="772"/>
      <c r="AB22" s="502">
        <f t="shared" si="2"/>
        <v>8.9925742307692307</v>
      </c>
      <c r="AC22" s="755"/>
      <c r="AD22" s="758"/>
      <c r="AE22" s="760"/>
      <c r="AF22" s="507">
        <f t="shared" si="3"/>
        <v>10.606410461538461</v>
      </c>
      <c r="AG22" s="504"/>
      <c r="AH22" s="504"/>
      <c r="AI22" s="504"/>
      <c r="AJ22" s="752"/>
      <c r="AK22" s="751"/>
      <c r="AL22" s="752"/>
      <c r="AM22" s="753"/>
      <c r="AN22" s="468">
        <f t="shared" si="4"/>
        <v>3589.5</v>
      </c>
      <c r="AO22" s="505">
        <f t="shared" si="5"/>
        <v>215.85340841148886</v>
      </c>
      <c r="AP22" s="506">
        <f t="shared" si="6"/>
        <v>254.59115381008206</v>
      </c>
      <c r="AQ22" s="261"/>
      <c r="AR22" s="261"/>
      <c r="AS22" s="261"/>
      <c r="AT22" s="261"/>
      <c r="AU22" s="261"/>
    </row>
    <row r="23" spans="1:48" ht="15.75" thickBot="1" x14ac:dyDescent="0.3">
      <c r="A23" s="471">
        <v>6</v>
      </c>
      <c r="B23" s="472">
        <v>3</v>
      </c>
      <c r="C23" s="164">
        <v>1</v>
      </c>
      <c r="D23" s="164">
        <v>70</v>
      </c>
      <c r="E23" s="473">
        <v>0.64800000000000002</v>
      </c>
      <c r="F23" s="473">
        <v>0.81899999999999995</v>
      </c>
      <c r="G23" s="474">
        <v>627.9</v>
      </c>
      <c r="H23" s="164">
        <v>356.3</v>
      </c>
      <c r="I23" s="474">
        <v>248.9</v>
      </c>
      <c r="J23" s="164">
        <v>170.5</v>
      </c>
      <c r="K23" s="508">
        <v>103.5</v>
      </c>
      <c r="L23" s="474">
        <v>61.09</v>
      </c>
      <c r="M23" s="474">
        <v>44.11</v>
      </c>
      <c r="N23" s="474">
        <v>31.41</v>
      </c>
      <c r="O23" s="474">
        <v>8766</v>
      </c>
      <c r="P23" s="164">
        <v>4963</v>
      </c>
      <c r="Q23" s="474">
        <v>0.84</v>
      </c>
      <c r="R23" s="474">
        <v>0.7</v>
      </c>
      <c r="S23" s="475">
        <v>1</v>
      </c>
      <c r="T23" s="476">
        <v>100000</v>
      </c>
      <c r="U23" s="509">
        <f t="shared" si="0"/>
        <v>28.114475925925927</v>
      </c>
      <c r="V23" s="509">
        <f t="shared" si="1"/>
        <v>15.826991682098766</v>
      </c>
      <c r="W23" s="789" t="s">
        <v>1757</v>
      </c>
      <c r="X23" s="733">
        <f>AVERAGE(U23:U25)</f>
        <v>32.333791820987649</v>
      </c>
      <c r="Y23" s="733">
        <f>(1/AN23*U23+1/AN24*U24+1/AN25*U25)/(1/AN23+1/AN24+1/AN25)</f>
        <v>31.133964854103496</v>
      </c>
      <c r="Z23" s="733">
        <f>AVERAGE(V23:V25)</f>
        <v>18.202925812757201</v>
      </c>
      <c r="AA23" s="734">
        <f>(1/AN23*V23+1/AN24*V24+1/AN25*V25)/(1/AN23+1/AN24+1/AN25)</f>
        <v>17.526909957933078</v>
      </c>
      <c r="AB23" s="510">
        <f t="shared" si="2"/>
        <v>10.604700854700855</v>
      </c>
      <c r="AC23" s="756"/>
      <c r="AD23" s="759"/>
      <c r="AE23" s="761"/>
      <c r="AF23" s="507">
        <f t="shared" si="3"/>
        <v>12.505260923076923</v>
      </c>
      <c r="AG23" s="504"/>
      <c r="AH23" s="504"/>
      <c r="AI23" s="504"/>
      <c r="AJ23" s="763" t="s">
        <v>1606</v>
      </c>
      <c r="AK23" s="762">
        <f>Y23*AVERAGE($AT$38:$AT$39,AT41:AT42)</f>
        <v>133.90978522057964</v>
      </c>
      <c r="AL23" s="763" t="s">
        <v>1605</v>
      </c>
      <c r="AM23" s="764">
        <f>X23*AVERAGE($AM38:$AN39,AM41:AN42)</f>
        <v>66.284273233024678</v>
      </c>
      <c r="AN23" s="468">
        <f t="shared" si="4"/>
        <v>6202.6559999999999</v>
      </c>
      <c r="AO23" s="505">
        <f t="shared" si="5"/>
        <v>254.55011723329426</v>
      </c>
      <c r="AP23" s="506">
        <f t="shared" si="6"/>
        <v>300.17024314185227</v>
      </c>
      <c r="AQ23" s="261"/>
      <c r="AR23" s="261"/>
      <c r="AS23" s="261"/>
      <c r="AT23" s="261"/>
      <c r="AU23" s="261"/>
    </row>
    <row r="24" spans="1:48" x14ac:dyDescent="0.25">
      <c r="A24" s="471">
        <v>7</v>
      </c>
      <c r="B24" s="472">
        <v>3</v>
      </c>
      <c r="C24" s="164">
        <v>1</v>
      </c>
      <c r="D24" s="164">
        <v>70</v>
      </c>
      <c r="E24" s="473">
        <v>0.64800000000000002</v>
      </c>
      <c r="F24" s="473">
        <v>0.81899999999999995</v>
      </c>
      <c r="G24" s="511">
        <v>718</v>
      </c>
      <c r="H24" s="164">
        <v>407.3</v>
      </c>
      <c r="I24" s="474">
        <v>284.39999999999998</v>
      </c>
      <c r="J24" s="164">
        <v>194.8</v>
      </c>
      <c r="K24" s="508">
        <v>116.9</v>
      </c>
      <c r="L24" s="474">
        <v>68.97</v>
      </c>
      <c r="M24" s="474">
        <v>49.79</v>
      </c>
      <c r="N24" s="474">
        <v>35.450000000000003</v>
      </c>
      <c r="O24" s="474">
        <v>8766</v>
      </c>
      <c r="P24" s="164">
        <v>4963</v>
      </c>
      <c r="Q24" s="474">
        <v>0.84</v>
      </c>
      <c r="R24" s="474">
        <v>0.7</v>
      </c>
      <c r="S24" s="475">
        <v>1</v>
      </c>
      <c r="T24" s="476">
        <v>100000</v>
      </c>
      <c r="U24" s="509">
        <f t="shared" si="0"/>
        <v>32.226566512345677</v>
      </c>
      <c r="V24" s="509">
        <f t="shared" si="1"/>
        <v>18.138769336419752</v>
      </c>
      <c r="W24" s="790"/>
      <c r="X24" s="733"/>
      <c r="Y24" s="733"/>
      <c r="Z24" s="733"/>
      <c r="AA24" s="733"/>
      <c r="AB24" s="512">
        <f t="shared" si="2"/>
        <v>12.151714615384616</v>
      </c>
      <c r="AC24" s="513"/>
      <c r="AD24" s="514"/>
      <c r="AE24" s="514"/>
      <c r="AF24" s="515">
        <f t="shared" si="3"/>
        <v>14.326790769230771</v>
      </c>
      <c r="AG24" s="504"/>
      <c r="AH24" s="504"/>
      <c r="AI24" s="504"/>
      <c r="AJ24" s="763"/>
      <c r="AK24" s="762"/>
      <c r="AL24" s="763"/>
      <c r="AM24" s="764"/>
      <c r="AN24" s="468">
        <f t="shared" si="4"/>
        <v>9849.5879999999997</v>
      </c>
      <c r="AO24" s="469">
        <f t="shared" si="5"/>
        <v>291.68388833528724</v>
      </c>
      <c r="AP24" s="506">
        <f t="shared" si="6"/>
        <v>343.89336576787809</v>
      </c>
      <c r="AQ24" s="261"/>
      <c r="AR24" s="261"/>
      <c r="AS24" s="261"/>
      <c r="AT24" s="261"/>
      <c r="AU24" s="261"/>
    </row>
    <row r="25" spans="1:48" x14ac:dyDescent="0.25">
      <c r="A25" s="471">
        <v>8</v>
      </c>
      <c r="B25" s="472">
        <v>3</v>
      </c>
      <c r="C25" s="164">
        <v>1</v>
      </c>
      <c r="D25" s="164">
        <v>70</v>
      </c>
      <c r="E25" s="473">
        <v>0.64800000000000002</v>
      </c>
      <c r="F25" s="473">
        <v>0.81899999999999995</v>
      </c>
      <c r="G25" s="474">
        <v>807.8</v>
      </c>
      <c r="H25" s="164">
        <v>458.2</v>
      </c>
      <c r="I25" s="474">
        <v>319.89999999999998</v>
      </c>
      <c r="J25" s="164">
        <v>219.1</v>
      </c>
      <c r="K25" s="508">
        <v>124</v>
      </c>
      <c r="L25" s="474">
        <v>73.16</v>
      </c>
      <c r="M25" s="474">
        <v>52.83</v>
      </c>
      <c r="N25" s="474">
        <v>37.630000000000003</v>
      </c>
      <c r="O25" s="474">
        <v>8766</v>
      </c>
      <c r="P25" s="164">
        <v>4963</v>
      </c>
      <c r="Q25" s="474">
        <v>0.84</v>
      </c>
      <c r="R25" s="474">
        <v>0.7</v>
      </c>
      <c r="S25" s="475">
        <v>1</v>
      </c>
      <c r="T25" s="476">
        <v>100000</v>
      </c>
      <c r="U25" s="509">
        <f t="shared" si="0"/>
        <v>36.660333024691354</v>
      </c>
      <c r="V25" s="509">
        <f t="shared" si="1"/>
        <v>20.643016419753085</v>
      </c>
      <c r="W25" s="791"/>
      <c r="X25" s="733"/>
      <c r="Y25" s="733"/>
      <c r="Z25" s="733"/>
      <c r="AA25" s="733"/>
      <c r="AB25" s="465">
        <f t="shared" si="2"/>
        <v>13.830862948717947</v>
      </c>
      <c r="AC25" s="513"/>
      <c r="AD25" s="514"/>
      <c r="AE25" s="514"/>
      <c r="AF25" s="515">
        <f t="shared" si="3"/>
        <v>16.315548923076925</v>
      </c>
      <c r="AG25" s="504"/>
      <c r="AH25" s="504"/>
      <c r="AI25" s="504"/>
      <c r="AJ25" s="763"/>
      <c r="AK25" s="762"/>
      <c r="AL25" s="763"/>
      <c r="AM25" s="764"/>
      <c r="AN25" s="468">
        <f t="shared" si="4"/>
        <v>14702.592000000001</v>
      </c>
      <c r="AO25" s="469">
        <f t="shared" si="5"/>
        <v>331.98935389800698</v>
      </c>
      <c r="AP25" s="506">
        <f t="shared" si="6"/>
        <v>391.63055592028138</v>
      </c>
      <c r="AQ25" s="261"/>
      <c r="AR25" s="261"/>
      <c r="AS25" s="261"/>
      <c r="AT25" s="261"/>
      <c r="AU25" s="261"/>
    </row>
    <row r="26" spans="1:48" x14ac:dyDescent="0.25">
      <c r="A26" s="471">
        <v>9</v>
      </c>
      <c r="B26" s="472">
        <v>3</v>
      </c>
      <c r="C26" s="164">
        <v>1</v>
      </c>
      <c r="D26" s="164">
        <v>70</v>
      </c>
      <c r="E26" s="473">
        <v>0.64800000000000002</v>
      </c>
      <c r="F26" s="473">
        <v>0.81899999999999995</v>
      </c>
      <c r="G26" s="474">
        <v>897.4</v>
      </c>
      <c r="H26" s="164">
        <v>508.9</v>
      </c>
      <c r="I26" s="474">
        <v>355.3</v>
      </c>
      <c r="J26" s="164">
        <v>243.3</v>
      </c>
      <c r="K26" s="508">
        <v>136.6</v>
      </c>
      <c r="L26" s="474">
        <v>80.599999999999994</v>
      </c>
      <c r="M26" s="474">
        <v>58.2</v>
      </c>
      <c r="N26" s="474">
        <v>41.45</v>
      </c>
      <c r="O26" s="474">
        <v>8766</v>
      </c>
      <c r="P26" s="164">
        <v>4963</v>
      </c>
      <c r="Q26" s="474">
        <v>0.84</v>
      </c>
      <c r="R26" s="474">
        <v>0.7</v>
      </c>
      <c r="S26" s="475">
        <v>1</v>
      </c>
      <c r="T26" s="476">
        <v>100000</v>
      </c>
      <c r="U26" s="516">
        <f t="shared" si="0"/>
        <v>40.788507407407401</v>
      </c>
      <c r="V26" s="516">
        <f t="shared" si="1"/>
        <v>22.962299845679009</v>
      </c>
      <c r="W26" s="836" t="s">
        <v>1756</v>
      </c>
      <c r="X26" s="838">
        <f>AVERAGE(U26:U28)</f>
        <v>46.609054578189294</v>
      </c>
      <c r="Y26" s="838">
        <f>(1/AN26*U26+1/AN27*U27+1/AN28*U28)/(1/AN26+1/AN27+1/AN28)</f>
        <v>44.814401171573145</v>
      </c>
      <c r="Z26" s="838">
        <f>AVERAGE(V26:V28)</f>
        <v>26.226953076131682</v>
      </c>
      <c r="AA26" s="838">
        <f>(1/AN26*V26+1/AN27*V27+1/AN28*V28)/(1/AN26+1/AN27+1/AN28)</f>
        <v>25.219675751657196</v>
      </c>
      <c r="AB26" s="465">
        <f t="shared" si="2"/>
        <v>15.385299999999997</v>
      </c>
      <c r="AC26" s="513"/>
      <c r="AD26" s="514"/>
      <c r="AE26" s="514"/>
      <c r="AF26" s="515">
        <f t="shared" si="3"/>
        <v>18.147867692307692</v>
      </c>
      <c r="AG26" s="504"/>
      <c r="AH26" s="504"/>
      <c r="AI26" s="504"/>
      <c r="AJ26" s="735" t="s">
        <v>1601</v>
      </c>
      <c r="AK26" s="730">
        <f>Y26*AVERAGE($AT$43:$AT$44)</f>
        <v>218.0177023221575</v>
      </c>
      <c r="AL26" s="735" t="s">
        <v>1600</v>
      </c>
      <c r="AM26" s="738">
        <f>X26*AVERAGE($AM43:$AO44,AN42,AM42)</f>
        <v>113.8883886472908</v>
      </c>
      <c r="AN26" s="468">
        <f t="shared" si="4"/>
        <v>20933.964</v>
      </c>
      <c r="AO26" s="469">
        <f t="shared" si="5"/>
        <v>369.30131008206325</v>
      </c>
      <c r="AP26" s="506">
        <f t="shared" si="6"/>
        <v>435.61265064478312</v>
      </c>
      <c r="AQ26" s="261"/>
      <c r="AR26" s="261"/>
      <c r="AS26" s="261"/>
      <c r="AT26" s="261"/>
      <c r="AU26" s="261"/>
    </row>
    <row r="27" spans="1:48" x14ac:dyDescent="0.25">
      <c r="A27" s="471">
        <v>10</v>
      </c>
      <c r="B27" s="472">
        <v>3</v>
      </c>
      <c r="C27" s="164">
        <v>1</v>
      </c>
      <c r="D27" s="164">
        <v>70</v>
      </c>
      <c r="E27" s="473">
        <v>0.64800000000000002</v>
      </c>
      <c r="F27" s="473">
        <v>0.81899999999999995</v>
      </c>
      <c r="G27" s="474">
        <v>997.9</v>
      </c>
      <c r="H27" s="164">
        <v>565.79999999999995</v>
      </c>
      <c r="I27" s="474">
        <v>395</v>
      </c>
      <c r="J27" s="164">
        <v>270.39999999999998</v>
      </c>
      <c r="K27" s="508">
        <v>158.6</v>
      </c>
      <c r="L27" s="474">
        <v>93.56</v>
      </c>
      <c r="M27" s="474">
        <v>67.53</v>
      </c>
      <c r="N27" s="474">
        <v>48.07</v>
      </c>
      <c r="O27" s="474">
        <v>8766</v>
      </c>
      <c r="P27" s="164">
        <v>4963</v>
      </c>
      <c r="Q27" s="474">
        <v>0.84</v>
      </c>
      <c r="R27" s="474">
        <v>0.7</v>
      </c>
      <c r="S27" s="475">
        <v>1</v>
      </c>
      <c r="T27" s="476">
        <v>100000</v>
      </c>
      <c r="U27" s="516">
        <f t="shared" si="0"/>
        <v>44.997100771604927</v>
      </c>
      <c r="V27" s="516">
        <f t="shared" si="1"/>
        <v>25.318039876543207</v>
      </c>
      <c r="W27" s="836"/>
      <c r="X27" s="838"/>
      <c r="Y27" s="838"/>
      <c r="Z27" s="838"/>
      <c r="AA27" s="838"/>
      <c r="AB27" s="465">
        <f t="shared" si="2"/>
        <v>16.961370641025642</v>
      </c>
      <c r="AC27" s="513"/>
      <c r="AD27" s="514"/>
      <c r="AE27" s="514"/>
      <c r="AF27" s="515">
        <f t="shared" si="3"/>
        <v>19.989177230769229</v>
      </c>
      <c r="AG27" s="504"/>
      <c r="AH27" s="504"/>
      <c r="AI27" s="504"/>
      <c r="AJ27" s="736"/>
      <c r="AK27" s="731"/>
      <c r="AL27" s="736"/>
      <c r="AM27" s="739"/>
      <c r="AN27" s="468">
        <f t="shared" si="4"/>
        <v>28716</v>
      </c>
      <c r="AO27" s="469">
        <f t="shared" si="5"/>
        <v>407.13254850527551</v>
      </c>
      <c r="AP27" s="506">
        <f t="shared" si="6"/>
        <v>479.81055545134814</v>
      </c>
      <c r="AQ27" s="261"/>
      <c r="AR27" s="261"/>
      <c r="AS27" s="261"/>
      <c r="AT27" s="261"/>
      <c r="AU27" s="261"/>
    </row>
    <row r="28" spans="1:48" ht="15.75" thickBot="1" x14ac:dyDescent="0.3">
      <c r="A28" s="421">
        <v>12</v>
      </c>
      <c r="B28" s="517">
        <v>3</v>
      </c>
      <c r="C28" s="423">
        <v>1</v>
      </c>
      <c r="D28" s="423">
        <v>70</v>
      </c>
      <c r="E28" s="518">
        <v>0.64800000000000002</v>
      </c>
      <c r="F28" s="518">
        <v>0.81899999999999995</v>
      </c>
      <c r="G28" s="519">
        <v>1177</v>
      </c>
      <c r="H28" s="423">
        <v>666.8</v>
      </c>
      <c r="I28" s="520">
        <v>465.4</v>
      </c>
      <c r="J28" s="423">
        <v>318.60000000000002</v>
      </c>
      <c r="K28" s="521">
        <v>169</v>
      </c>
      <c r="L28" s="520">
        <v>99.76</v>
      </c>
      <c r="M28" s="520">
        <v>72.05</v>
      </c>
      <c r="N28" s="520">
        <v>51.32</v>
      </c>
      <c r="O28" s="520">
        <v>8766</v>
      </c>
      <c r="P28" s="423">
        <v>4963</v>
      </c>
      <c r="Q28" s="520">
        <v>0.84</v>
      </c>
      <c r="R28" s="520">
        <v>0.7</v>
      </c>
      <c r="S28" s="522">
        <v>1</v>
      </c>
      <c r="T28" s="523">
        <v>100000</v>
      </c>
      <c r="U28" s="524">
        <f t="shared" si="0"/>
        <v>54.041555555555547</v>
      </c>
      <c r="V28" s="524">
        <f t="shared" si="1"/>
        <v>30.400519506172834</v>
      </c>
      <c r="W28" s="837"/>
      <c r="X28" s="838"/>
      <c r="Y28" s="838"/>
      <c r="Z28" s="838"/>
      <c r="AA28" s="838"/>
      <c r="AB28" s="525">
        <f t="shared" si="2"/>
        <v>20.369297307692307</v>
      </c>
      <c r="AC28" s="526"/>
      <c r="AD28" s="527"/>
      <c r="AE28" s="527"/>
      <c r="AF28" s="528">
        <f t="shared" si="3"/>
        <v>24.030528</v>
      </c>
      <c r="AG28" s="504"/>
      <c r="AH28" s="504"/>
      <c r="AI28" s="504"/>
      <c r="AJ28" s="737"/>
      <c r="AK28" s="732"/>
      <c r="AL28" s="737"/>
      <c r="AM28" s="740"/>
      <c r="AN28" s="529">
        <f t="shared" si="4"/>
        <v>49621.248</v>
      </c>
      <c r="AO28" s="530">
        <f t="shared" si="5"/>
        <v>488.93477417936691</v>
      </c>
      <c r="AP28" s="531">
        <f t="shared" si="6"/>
        <v>576.81718733880427</v>
      </c>
      <c r="AQ28" s="261"/>
      <c r="AR28" s="261"/>
      <c r="AS28" s="261"/>
      <c r="AT28" s="261"/>
      <c r="AU28" s="261"/>
    </row>
    <row r="30" spans="1:48" ht="15.75" thickBot="1" x14ac:dyDescent="0.3"/>
    <row r="31" spans="1:48" ht="15.75" thickBot="1" x14ac:dyDescent="0.3">
      <c r="A31" s="532" t="s">
        <v>1598</v>
      </c>
      <c r="B31" s="533"/>
      <c r="C31" s="533"/>
      <c r="D31" s="533"/>
      <c r="E31" s="533"/>
      <c r="F31" s="533"/>
      <c r="G31" s="534"/>
      <c r="H31" s="535"/>
      <c r="I31" s="536"/>
      <c r="L31" s="537" t="s">
        <v>1755</v>
      </c>
      <c r="M31" s="538"/>
      <c r="N31" s="538"/>
      <c r="O31" s="538"/>
      <c r="P31" s="538"/>
      <c r="Q31" s="538"/>
      <c r="R31" s="538"/>
      <c r="S31" s="538"/>
      <c r="T31" s="538"/>
      <c r="U31" s="538"/>
      <c r="V31" s="539"/>
      <c r="AK31" s="727" t="s">
        <v>1754</v>
      </c>
      <c r="AL31" s="728"/>
      <c r="AM31" s="728"/>
      <c r="AN31" s="728"/>
      <c r="AO31" s="728"/>
      <c r="AP31" s="728"/>
      <c r="AQ31" s="728"/>
      <c r="AR31" s="728"/>
      <c r="AS31" s="729"/>
      <c r="AT31" s="540"/>
    </row>
    <row r="32" spans="1:48" ht="74.25" customHeight="1" thickBot="1" x14ac:dyDescent="0.3">
      <c r="A32" s="541" t="s">
        <v>80</v>
      </c>
      <c r="B32" s="542" t="s">
        <v>1753</v>
      </c>
      <c r="C32" s="543" t="s">
        <v>1752</v>
      </c>
      <c r="D32" s="543" t="s">
        <v>1751</v>
      </c>
      <c r="E32" s="544" t="s">
        <v>1750</v>
      </c>
      <c r="F32" s="544" t="s">
        <v>1749</v>
      </c>
      <c r="G32" s="545" t="s">
        <v>1748</v>
      </c>
      <c r="H32" s="546" t="s">
        <v>1747</v>
      </c>
      <c r="I32" s="546" t="s">
        <v>1746</v>
      </c>
      <c r="L32" s="436" t="s">
        <v>1656</v>
      </c>
      <c r="M32" s="437" t="s">
        <v>1745</v>
      </c>
      <c r="N32" s="437" t="s">
        <v>1744</v>
      </c>
      <c r="O32" s="437" t="s">
        <v>1743</v>
      </c>
      <c r="P32" s="437" t="s">
        <v>1742</v>
      </c>
      <c r="Q32" s="437" t="s">
        <v>1741</v>
      </c>
      <c r="R32" s="437" t="s">
        <v>1740</v>
      </c>
      <c r="S32" s="437" t="s">
        <v>437</v>
      </c>
      <c r="T32" s="437" t="s">
        <v>1739</v>
      </c>
      <c r="U32" s="547" t="s">
        <v>1738</v>
      </c>
      <c r="V32" s="437" t="s">
        <v>1737</v>
      </c>
      <c r="W32" s="547" t="s">
        <v>1736</v>
      </c>
      <c r="X32" s="548" t="s">
        <v>1735</v>
      </c>
      <c r="Y32" s="451" t="s">
        <v>1629</v>
      </c>
      <c r="Z32" s="549" t="s">
        <v>1734</v>
      </c>
      <c r="AA32" s="549" t="s">
        <v>1733</v>
      </c>
      <c r="AK32" s="435" t="s">
        <v>1574</v>
      </c>
      <c r="AL32" s="550" t="s">
        <v>1596</v>
      </c>
      <c r="AM32" s="550" t="s">
        <v>1595</v>
      </c>
      <c r="AN32" s="550" t="s">
        <v>1594</v>
      </c>
      <c r="AO32" s="550" t="str">
        <f>+AX46</f>
        <v>Equivalent Length fo flange</v>
      </c>
      <c r="AP32" s="550" t="s">
        <v>1593</v>
      </c>
      <c r="AQ32" s="551"/>
      <c r="AR32" s="551"/>
      <c r="AS32" s="551" t="s">
        <v>1592</v>
      </c>
      <c r="AT32" s="550" t="s">
        <v>1591</v>
      </c>
      <c r="AU32" s="552"/>
      <c r="AV32" s="47"/>
    </row>
    <row r="33" spans="1:50" ht="15.75" customHeight="1" thickBot="1" x14ac:dyDescent="0.3">
      <c r="A33" s="553" t="s">
        <v>1818</v>
      </c>
      <c r="B33" s="554">
        <f>AVERAGE(AF11:AF13)</f>
        <v>2.1625796923076925</v>
      </c>
      <c r="C33" s="554">
        <f>AVERAGE(AF11:AF13)</f>
        <v>2.1625796923076925</v>
      </c>
      <c r="D33" s="555">
        <f t="shared" ref="D33:D80" si="7">C33</f>
        <v>2.1625796923076925</v>
      </c>
      <c r="E33" s="554">
        <f>AVERAGE(AF11:AF13)</f>
        <v>2.1625796923076925</v>
      </c>
      <c r="F33" s="556"/>
      <c r="G33" s="557"/>
      <c r="H33" s="558">
        <f t="shared" ref="H33:H75" si="8">B33</f>
        <v>2.1625796923076925</v>
      </c>
      <c r="I33" s="558">
        <f t="shared" ref="I33:I75" si="9">H33</f>
        <v>2.1625796923076925</v>
      </c>
      <c r="K33" s="483"/>
      <c r="L33" s="483">
        <v>0.5</v>
      </c>
      <c r="M33" s="483">
        <v>0.5</v>
      </c>
      <c r="N33" s="483">
        <f t="shared" ref="N33:N55" si="10">3+M33</f>
        <v>3.5</v>
      </c>
      <c r="O33" s="483">
        <v>1840</v>
      </c>
      <c r="P33" s="483">
        <f>PI()/12*A11</f>
        <v>0.1308996938995747</v>
      </c>
      <c r="Q33" s="483">
        <f t="shared" ref="Q33:Q55" si="11">((0.5*2)+L33)*PI()/12</f>
        <v>0.39269908169872414</v>
      </c>
      <c r="R33" s="483">
        <f t="shared" ref="R33:R45" si="12">AVERAGE(126,86)</f>
        <v>106</v>
      </c>
      <c r="S33" s="483">
        <v>1</v>
      </c>
      <c r="T33" s="483">
        <v>0.81899999999999995</v>
      </c>
      <c r="V33" s="483">
        <f t="shared" ref="V33:V45" si="13">(((1/M33*P33)-(1/N33*Q33))*O33*S33*R33)/0.819/100000</f>
        <v>0.35626270780635694</v>
      </c>
      <c r="W33" s="164"/>
      <c r="X33" s="559"/>
      <c r="Y33" s="560">
        <f t="shared" ref="Y33:Y45" si="14">AN11</f>
        <v>3.5895000000000001</v>
      </c>
      <c r="Z33" s="483"/>
      <c r="AA33" s="483"/>
      <c r="AK33" s="561">
        <v>1</v>
      </c>
      <c r="AL33" s="562">
        <v>0.1</v>
      </c>
      <c r="AM33" s="562">
        <v>0.3</v>
      </c>
      <c r="AN33" s="562">
        <v>0.38</v>
      </c>
      <c r="AO33" s="563">
        <v>1.04</v>
      </c>
      <c r="AP33" s="564">
        <f t="shared" ref="AP33:AP44" si="15">AL33/AM33</f>
        <v>0.33333333333333337</v>
      </c>
      <c r="AQ33" s="565"/>
      <c r="AR33" s="565"/>
      <c r="AS33" s="566">
        <v>0.69</v>
      </c>
      <c r="AT33" s="567">
        <v>2</v>
      </c>
    </row>
    <row r="34" spans="1:50" ht="15.75" thickBot="1" x14ac:dyDescent="0.3">
      <c r="A34" s="568" t="s">
        <v>1820</v>
      </c>
      <c r="B34" s="569">
        <f>AVERAGE(AF14:AF16)</f>
        <v>3.9217735384615384</v>
      </c>
      <c r="C34" s="569">
        <f>AVERAGE(AF14:AF16)</f>
        <v>3.9217735384615384</v>
      </c>
      <c r="D34" s="555">
        <f t="shared" si="7"/>
        <v>3.9217735384615384</v>
      </c>
      <c r="E34" s="569">
        <f>AVERAGE(AF14:AF16)</f>
        <v>3.9217735384615384</v>
      </c>
      <c r="F34" s="557"/>
      <c r="G34" s="557"/>
      <c r="H34" s="558">
        <f t="shared" si="8"/>
        <v>3.9217735384615384</v>
      </c>
      <c r="I34" s="558">
        <f t="shared" si="9"/>
        <v>3.9217735384615384</v>
      </c>
      <c r="K34" s="483"/>
      <c r="L34" s="483">
        <v>0.75</v>
      </c>
      <c r="M34" s="483">
        <v>0.5</v>
      </c>
      <c r="N34" s="483">
        <f t="shared" si="10"/>
        <v>3.5</v>
      </c>
      <c r="O34" s="483">
        <v>1840</v>
      </c>
      <c r="P34" s="483">
        <f>PI()/12*A12</f>
        <v>0.19634954084936207</v>
      </c>
      <c r="Q34" s="483">
        <f t="shared" si="11"/>
        <v>0.45814892864851148</v>
      </c>
      <c r="R34" s="483">
        <f t="shared" si="12"/>
        <v>106</v>
      </c>
      <c r="S34" s="483">
        <v>1</v>
      </c>
      <c r="T34" s="483">
        <v>0.81899999999999995</v>
      </c>
      <c r="V34" s="483">
        <f t="shared" si="13"/>
        <v>0.6234597386611247</v>
      </c>
      <c r="W34" s="164"/>
      <c r="X34" s="570"/>
      <c r="Y34" s="560">
        <f t="shared" si="14"/>
        <v>12.1145625</v>
      </c>
      <c r="Z34" s="483"/>
      <c r="AA34" s="483"/>
      <c r="AK34" s="561">
        <v>2</v>
      </c>
      <c r="AL34" s="562">
        <v>0.41</v>
      </c>
      <c r="AM34" s="562">
        <v>0.66</v>
      </c>
      <c r="AN34" s="562">
        <v>0.63</v>
      </c>
      <c r="AO34" s="563">
        <v>1.1399999999999999</v>
      </c>
      <c r="AP34" s="564">
        <f t="shared" si="15"/>
        <v>0.6212121212121211</v>
      </c>
      <c r="AQ34" s="565"/>
      <c r="AR34" s="565"/>
      <c r="AS34" s="566">
        <v>2.21</v>
      </c>
      <c r="AT34" s="571">
        <v>3.56</v>
      </c>
    </row>
    <row r="35" spans="1:50" ht="15.75" customHeight="1" thickBot="1" x14ac:dyDescent="0.3">
      <c r="A35" s="572" t="s">
        <v>1732</v>
      </c>
      <c r="B35" s="558">
        <f>AVERAGE(AF17:AF20)</f>
        <v>7.3034266153846161</v>
      </c>
      <c r="C35" s="558">
        <f>AVERAGE(AF17:AF20)</f>
        <v>7.3034266153846161</v>
      </c>
      <c r="D35" s="555">
        <f t="shared" si="7"/>
        <v>7.3034266153846161</v>
      </c>
      <c r="E35" s="558">
        <f>AVERAGE(AF17:AF20)</f>
        <v>7.3034266153846161</v>
      </c>
      <c r="F35" s="557"/>
      <c r="G35" s="557"/>
      <c r="H35" s="558">
        <f t="shared" si="8"/>
        <v>7.3034266153846161</v>
      </c>
      <c r="I35" s="558">
        <f t="shared" si="9"/>
        <v>7.3034266153846161</v>
      </c>
      <c r="J35" s="842" t="s">
        <v>1731</v>
      </c>
      <c r="K35" s="845" t="s">
        <v>1730</v>
      </c>
      <c r="L35" s="573">
        <v>1</v>
      </c>
      <c r="M35" s="164">
        <v>0.5</v>
      </c>
      <c r="N35" s="164">
        <f t="shared" si="10"/>
        <v>3.5</v>
      </c>
      <c r="O35" s="164">
        <v>1840</v>
      </c>
      <c r="P35" s="164">
        <f t="shared" ref="P35:P55" si="16">PI()/12*L35</f>
        <v>0.26179938779914941</v>
      </c>
      <c r="Q35" s="164">
        <f t="shared" si="11"/>
        <v>0.52359877559829882</v>
      </c>
      <c r="R35" s="164">
        <f t="shared" si="12"/>
        <v>106</v>
      </c>
      <c r="S35" s="164">
        <v>1</v>
      </c>
      <c r="T35" s="164">
        <v>0.81899999999999995</v>
      </c>
      <c r="U35">
        <v>0.95</v>
      </c>
      <c r="V35" s="164">
        <f t="shared" si="13"/>
        <v>0.89065676951589234</v>
      </c>
      <c r="W35" s="164">
        <f t="shared" ref="W35:W55" si="17">(((1/M35*P35)-(1/N35*Q35))*O35*S35*R35)/U35/3412</f>
        <v>22.504099902311218</v>
      </c>
      <c r="X35" s="726">
        <f>AVERAGE(V35:V38)</f>
        <v>1.3582515735117358</v>
      </c>
      <c r="Y35" s="476">
        <f t="shared" si="14"/>
        <v>28.716000000000001</v>
      </c>
      <c r="Z35" s="714">
        <f>(1/Y35*V35+1/Y36*V36+1/Y37*V37+1/Y38*V38)/(1/Y35+1/Y36+1/Y37+1/Y38)</f>
        <v>1.11242431611165</v>
      </c>
      <c r="AA35" s="714">
        <f>(1/Y35*W35+1/Y36*W36+1/Y37*W37+1/Y38*W38)/(1/Y35+1/Y36+1/Y37+1/Y38)</f>
        <v>28.107469454416041</v>
      </c>
      <c r="AK35" s="561">
        <v>3</v>
      </c>
      <c r="AL35" s="562">
        <v>0.93</v>
      </c>
      <c r="AM35" s="562">
        <v>1.01</v>
      </c>
      <c r="AN35" s="562">
        <v>0.84</v>
      </c>
      <c r="AO35" s="563">
        <v>1.1599999999999999</v>
      </c>
      <c r="AP35" s="564">
        <f t="shared" si="15"/>
        <v>0.92079207920792083</v>
      </c>
      <c r="AQ35" s="565"/>
      <c r="AR35" s="565"/>
      <c r="AS35" s="566">
        <v>3.37</v>
      </c>
      <c r="AT35" s="571">
        <v>3.67</v>
      </c>
    </row>
    <row r="36" spans="1:50" ht="15.75" thickBot="1" x14ac:dyDescent="0.3">
      <c r="A36" s="574" t="s">
        <v>1729</v>
      </c>
      <c r="B36" s="558">
        <f>AVERAGE(AB11:AB14)</f>
        <v>2.0682348076923076</v>
      </c>
      <c r="C36" s="558">
        <f>B36</f>
        <v>2.0682348076923076</v>
      </c>
      <c r="D36" s="555">
        <f t="shared" si="7"/>
        <v>2.0682348076923076</v>
      </c>
      <c r="E36" s="558"/>
      <c r="F36" s="557"/>
      <c r="G36" s="557"/>
      <c r="H36" s="558">
        <f t="shared" si="8"/>
        <v>2.0682348076923076</v>
      </c>
      <c r="I36" s="558">
        <f t="shared" si="9"/>
        <v>2.0682348076923076</v>
      </c>
      <c r="J36" s="843"/>
      <c r="K36" s="846"/>
      <c r="L36" s="573">
        <v>1.25</v>
      </c>
      <c r="M36" s="164">
        <v>0.5</v>
      </c>
      <c r="N36" s="164">
        <f t="shared" si="10"/>
        <v>3.5</v>
      </c>
      <c r="O36" s="164">
        <v>1840</v>
      </c>
      <c r="P36" s="164">
        <f t="shared" si="16"/>
        <v>0.32724923474893675</v>
      </c>
      <c r="Q36" s="164">
        <f t="shared" si="11"/>
        <v>0.58904862254808621</v>
      </c>
      <c r="R36" s="164">
        <f t="shared" si="12"/>
        <v>106</v>
      </c>
      <c r="S36" s="164">
        <v>1</v>
      </c>
      <c r="T36" s="164">
        <v>0.81899999999999995</v>
      </c>
      <c r="U36">
        <v>0.95</v>
      </c>
      <c r="V36" s="164">
        <f t="shared" si="13"/>
        <v>1.15785380037066</v>
      </c>
      <c r="W36" s="164">
        <f t="shared" si="17"/>
        <v>29.25532987300458</v>
      </c>
      <c r="X36" s="726"/>
      <c r="Y36" s="476">
        <f t="shared" si="14"/>
        <v>56.0859375</v>
      </c>
      <c r="Z36" s="715"/>
      <c r="AA36" s="715"/>
      <c r="AK36" s="561">
        <v>4</v>
      </c>
      <c r="AL36" s="562">
        <v>1.64</v>
      </c>
      <c r="AM36" s="562">
        <v>1.4</v>
      </c>
      <c r="AN36" s="562">
        <v>1.03</v>
      </c>
      <c r="AO36" s="563">
        <v>1.22</v>
      </c>
      <c r="AP36" s="564">
        <f t="shared" si="15"/>
        <v>1.1714285714285715</v>
      </c>
      <c r="AQ36" s="565"/>
      <c r="AR36" s="565"/>
      <c r="AS36" s="566">
        <v>4.68</v>
      </c>
      <c r="AT36" s="571">
        <v>3.98</v>
      </c>
      <c r="AU36" s="483"/>
    </row>
    <row r="37" spans="1:50" ht="15.75" customHeight="1" thickBot="1" x14ac:dyDescent="0.3">
      <c r="A37" s="164" t="s">
        <v>1728</v>
      </c>
      <c r="B37" s="558">
        <f>AVERAGE(AB15:AB16)</f>
        <v>3.6034773504273505</v>
      </c>
      <c r="C37" s="558">
        <f>B37</f>
        <v>3.6034773504273505</v>
      </c>
      <c r="D37" s="555">
        <f t="shared" si="7"/>
        <v>3.6034773504273505</v>
      </c>
      <c r="E37" s="558"/>
      <c r="F37" s="557"/>
      <c r="G37" s="557"/>
      <c r="H37" s="558">
        <f t="shared" si="8"/>
        <v>3.6034773504273505</v>
      </c>
      <c r="I37" s="558">
        <f t="shared" si="9"/>
        <v>3.6034773504273505</v>
      </c>
      <c r="J37" s="843"/>
      <c r="K37" s="846"/>
      <c r="L37" s="573">
        <v>1.5</v>
      </c>
      <c r="M37" s="164">
        <v>0.5</v>
      </c>
      <c r="N37" s="164">
        <f t="shared" si="10"/>
        <v>3.5</v>
      </c>
      <c r="O37" s="164">
        <v>1840</v>
      </c>
      <c r="P37" s="164">
        <f t="shared" si="16"/>
        <v>0.39269908169872414</v>
      </c>
      <c r="Q37" s="164">
        <f t="shared" si="11"/>
        <v>0.6544984694978736</v>
      </c>
      <c r="R37" s="164">
        <f t="shared" si="12"/>
        <v>106</v>
      </c>
      <c r="S37" s="164">
        <v>1</v>
      </c>
      <c r="T37" s="164">
        <v>0.81899999999999995</v>
      </c>
      <c r="U37">
        <v>0.95</v>
      </c>
      <c r="V37" s="164">
        <f t="shared" si="13"/>
        <v>1.425050831225428</v>
      </c>
      <c r="W37" s="164">
        <f t="shared" si="17"/>
        <v>36.006559843697957</v>
      </c>
      <c r="X37" s="726"/>
      <c r="Y37" s="476">
        <f t="shared" si="14"/>
        <v>96.916499999999999</v>
      </c>
      <c r="Z37" s="715"/>
      <c r="AA37" s="715"/>
      <c r="AK37" s="561">
        <v>5</v>
      </c>
      <c r="AL37" s="562">
        <v>2.57</v>
      </c>
      <c r="AM37" s="562">
        <v>1.76</v>
      </c>
      <c r="AN37" s="562">
        <v>1.22</v>
      </c>
      <c r="AO37" s="575"/>
      <c r="AP37" s="571">
        <f t="shared" si="15"/>
        <v>1.4602272727272727</v>
      </c>
      <c r="AQ37" s="576"/>
      <c r="AR37" s="576"/>
      <c r="AS37" s="566">
        <f>AVERAGE(AS36,AS39)</f>
        <v>7.49</v>
      </c>
      <c r="AT37" s="571">
        <f t="shared" ref="AT37:AT44" si="18">AS37/AP37</f>
        <v>5.1293385214007783</v>
      </c>
    </row>
    <row r="38" spans="1:50" ht="15.75" thickBot="1" x14ac:dyDescent="0.3">
      <c r="A38" s="164" t="s">
        <v>1727</v>
      </c>
      <c r="B38" s="558">
        <f>AVERAGE(AB17:AB20)</f>
        <v>6.1867824786324785</v>
      </c>
      <c r="C38" s="558">
        <f>B38</f>
        <v>6.1867824786324785</v>
      </c>
      <c r="D38" s="555">
        <f t="shared" si="7"/>
        <v>6.1867824786324785</v>
      </c>
      <c r="E38" s="558"/>
      <c r="F38" s="557"/>
      <c r="G38" s="557"/>
      <c r="H38" s="558">
        <f t="shared" si="8"/>
        <v>6.1867824786324785</v>
      </c>
      <c r="I38" s="558">
        <f t="shared" si="9"/>
        <v>6.1867824786324785</v>
      </c>
      <c r="J38" s="843"/>
      <c r="K38" s="847"/>
      <c r="L38" s="573">
        <v>2</v>
      </c>
      <c r="M38" s="164">
        <v>0.5</v>
      </c>
      <c r="N38" s="164">
        <f t="shared" si="10"/>
        <v>3.5</v>
      </c>
      <c r="O38" s="164">
        <v>1840</v>
      </c>
      <c r="P38" s="164">
        <f t="shared" si="16"/>
        <v>0.52359877559829882</v>
      </c>
      <c r="Q38" s="164">
        <f t="shared" si="11"/>
        <v>0.78539816339744828</v>
      </c>
      <c r="R38" s="164">
        <f t="shared" si="12"/>
        <v>106</v>
      </c>
      <c r="S38" s="164">
        <v>1</v>
      </c>
      <c r="T38" s="164">
        <v>0.81899999999999995</v>
      </c>
      <c r="U38">
        <v>0.95</v>
      </c>
      <c r="V38" s="164">
        <f t="shared" si="13"/>
        <v>1.959444892934963</v>
      </c>
      <c r="W38" s="164">
        <f t="shared" si="17"/>
        <v>49.509019785084675</v>
      </c>
      <c r="X38" s="726"/>
      <c r="Y38" s="476">
        <f t="shared" si="14"/>
        <v>229.72800000000001</v>
      </c>
      <c r="Z38" s="716"/>
      <c r="AA38" s="716"/>
      <c r="AK38" s="561">
        <v>6</v>
      </c>
      <c r="AL38" s="562">
        <v>3.7</v>
      </c>
      <c r="AM38" s="562">
        <v>2.13</v>
      </c>
      <c r="AN38" s="562">
        <v>1.41</v>
      </c>
      <c r="AO38" s="567">
        <f>+AX51</f>
        <v>0.8984066025846239</v>
      </c>
      <c r="AP38" s="571">
        <f t="shared" si="15"/>
        <v>1.7370892018779345</v>
      </c>
      <c r="AQ38" s="576"/>
      <c r="AR38" s="576"/>
      <c r="AS38" s="566">
        <v>7.03</v>
      </c>
      <c r="AT38" s="571">
        <f t="shared" si="18"/>
        <v>4.0469999999999997</v>
      </c>
    </row>
    <row r="39" spans="1:50" ht="15" customHeight="1" thickBot="1" x14ac:dyDescent="0.3">
      <c r="A39" s="164" t="s">
        <v>1726</v>
      </c>
      <c r="B39" s="558">
        <f t="shared" ref="B39:B56" si="19">C39</f>
        <v>2.6588140926267867</v>
      </c>
      <c r="C39" s="558">
        <f>AE13</f>
        <v>2.6588140926267867</v>
      </c>
      <c r="D39" s="555">
        <f t="shared" si="7"/>
        <v>2.6588140926267867</v>
      </c>
      <c r="E39" s="558">
        <f t="shared" ref="E39:E56" si="20">C39</f>
        <v>2.6588140926267867</v>
      </c>
      <c r="F39" s="557"/>
      <c r="G39" s="557"/>
      <c r="H39" s="558">
        <f t="shared" si="8"/>
        <v>2.6588140926267867</v>
      </c>
      <c r="I39" s="558">
        <f t="shared" si="9"/>
        <v>2.6588140926267867</v>
      </c>
      <c r="J39" s="843"/>
      <c r="K39" s="717" t="s">
        <v>1725</v>
      </c>
      <c r="L39" s="577">
        <v>2.5</v>
      </c>
      <c r="M39" s="164">
        <v>0.5</v>
      </c>
      <c r="N39" s="164">
        <f t="shared" si="10"/>
        <v>3.5</v>
      </c>
      <c r="O39" s="164">
        <v>1840</v>
      </c>
      <c r="P39" s="164">
        <f t="shared" si="16"/>
        <v>0.65449846949787349</v>
      </c>
      <c r="Q39" s="164">
        <f t="shared" si="11"/>
        <v>0.91629785729702296</v>
      </c>
      <c r="R39" s="164">
        <f t="shared" si="12"/>
        <v>106</v>
      </c>
      <c r="S39" s="164">
        <v>1</v>
      </c>
      <c r="T39" s="164">
        <v>0.81899999999999995</v>
      </c>
      <c r="U39">
        <v>0.95</v>
      </c>
      <c r="V39" s="164">
        <f t="shared" si="13"/>
        <v>2.4938389546444983</v>
      </c>
      <c r="W39" s="164">
        <f t="shared" si="17"/>
        <v>63.011479726471407</v>
      </c>
      <c r="X39" s="726">
        <f>AVERAGE(V39:V42)</f>
        <v>3.2954300472088018</v>
      </c>
      <c r="Y39" s="476">
        <f t="shared" si="14"/>
        <v>448.6875</v>
      </c>
      <c r="Z39" s="714">
        <f>(1/Y39*V39+1/Y40*V40+1/Y41*V41+1/Y42*V42)/(1/Y39+1/Y40+1/Y41+1/Y42)</f>
        <v>2.9922478707150022</v>
      </c>
      <c r="AA39" s="714">
        <f>(1/Y39*W39+1/Y40*W40+1/Y41*W41+1/Y42*W42)/(1/Y39+1/Y40+1/Y41+1/Y42)</f>
        <v>75.604708030961518</v>
      </c>
      <c r="AE39" s="578"/>
      <c r="AF39" s="578"/>
      <c r="AG39" s="578"/>
      <c r="AK39" s="561">
        <v>8</v>
      </c>
      <c r="AL39" s="562">
        <v>6.58</v>
      </c>
      <c r="AM39" s="562">
        <v>2.91</v>
      </c>
      <c r="AN39" s="562">
        <v>1.75</v>
      </c>
      <c r="AO39" s="579">
        <f>+AX52</f>
        <v>1.0456498480522873</v>
      </c>
      <c r="AP39" s="571">
        <f t="shared" si="15"/>
        <v>2.261168384879725</v>
      </c>
      <c r="AQ39" s="576"/>
      <c r="AR39" s="576"/>
      <c r="AS39" s="566">
        <v>10.3</v>
      </c>
      <c r="AT39" s="571">
        <f t="shared" si="18"/>
        <v>4.55516717325228</v>
      </c>
      <c r="AU39" s="483"/>
    </row>
    <row r="40" spans="1:50" ht="15.75" thickBot="1" x14ac:dyDescent="0.3">
      <c r="A40" s="164" t="s">
        <v>1724</v>
      </c>
      <c r="B40" s="558">
        <f t="shared" si="19"/>
        <v>5.2492031493764015</v>
      </c>
      <c r="C40" s="558">
        <f>AE17</f>
        <v>5.2492031493764015</v>
      </c>
      <c r="D40" s="555">
        <f t="shared" si="7"/>
        <v>5.2492031493764015</v>
      </c>
      <c r="E40" s="558">
        <f t="shared" si="20"/>
        <v>5.2492031493764015</v>
      </c>
      <c r="F40" s="557"/>
      <c r="G40" s="557"/>
      <c r="H40" s="558">
        <f t="shared" si="8"/>
        <v>5.2492031493764015</v>
      </c>
      <c r="I40" s="558">
        <f t="shared" si="9"/>
        <v>5.2492031493764015</v>
      </c>
      <c r="J40" s="843"/>
      <c r="K40" s="718"/>
      <c r="L40" s="577">
        <v>3</v>
      </c>
      <c r="M40" s="164">
        <v>0.5</v>
      </c>
      <c r="N40" s="164">
        <f t="shared" si="10"/>
        <v>3.5</v>
      </c>
      <c r="O40" s="164">
        <v>1840</v>
      </c>
      <c r="P40" s="164">
        <f t="shared" si="16"/>
        <v>0.78539816339744828</v>
      </c>
      <c r="Q40" s="164">
        <f t="shared" si="11"/>
        <v>1.0471975511965976</v>
      </c>
      <c r="R40" s="164">
        <f t="shared" si="12"/>
        <v>106</v>
      </c>
      <c r="S40" s="164">
        <v>1</v>
      </c>
      <c r="T40" s="164">
        <v>0.81899999999999995</v>
      </c>
      <c r="U40">
        <v>0.95</v>
      </c>
      <c r="V40" s="164">
        <f t="shared" si="13"/>
        <v>3.0282330163540347</v>
      </c>
      <c r="W40" s="164">
        <f t="shared" si="17"/>
        <v>76.513939667858153</v>
      </c>
      <c r="X40" s="726"/>
      <c r="Y40" s="476">
        <f t="shared" si="14"/>
        <v>775.33199999999999</v>
      </c>
      <c r="Z40" s="715"/>
      <c r="AA40" s="715"/>
      <c r="AE40" s="578"/>
      <c r="AF40" s="578"/>
      <c r="AG40" s="578"/>
      <c r="AK40" s="561">
        <v>5</v>
      </c>
      <c r="AL40" s="562">
        <v>2.57</v>
      </c>
      <c r="AM40" s="562">
        <v>1.76</v>
      </c>
      <c r="AN40" s="562">
        <v>1.22</v>
      </c>
      <c r="AO40" s="580"/>
      <c r="AP40" s="571">
        <f t="shared" si="15"/>
        <v>1.4602272727272727</v>
      </c>
      <c r="AQ40" s="576"/>
      <c r="AR40" s="576"/>
      <c r="AS40" s="566">
        <f>AS37</f>
        <v>7.49</v>
      </c>
      <c r="AT40" s="571">
        <f t="shared" si="18"/>
        <v>5.1293385214007783</v>
      </c>
    </row>
    <row r="41" spans="1:50" ht="15" customHeight="1" thickBot="1" x14ac:dyDescent="0.3">
      <c r="A41" s="164" t="s">
        <v>1723</v>
      </c>
      <c r="B41" s="558">
        <f t="shared" si="19"/>
        <v>9.0407613085908682</v>
      </c>
      <c r="C41" s="558">
        <f>AE21</f>
        <v>9.0407613085908682</v>
      </c>
      <c r="D41" s="555">
        <f t="shared" si="7"/>
        <v>9.0407613085908682</v>
      </c>
      <c r="E41" s="558">
        <f t="shared" si="20"/>
        <v>9.0407613085908682</v>
      </c>
      <c r="F41" s="557"/>
      <c r="G41" s="557"/>
      <c r="H41" s="558">
        <f t="shared" si="8"/>
        <v>9.0407613085908682</v>
      </c>
      <c r="I41" s="558">
        <f t="shared" si="9"/>
        <v>9.0407613085908682</v>
      </c>
      <c r="J41" s="843"/>
      <c r="K41" s="718"/>
      <c r="L41" s="577">
        <v>3.5</v>
      </c>
      <c r="M41" s="164">
        <v>0.5</v>
      </c>
      <c r="N41" s="164">
        <f t="shared" si="10"/>
        <v>3.5</v>
      </c>
      <c r="O41" s="164">
        <v>1840</v>
      </c>
      <c r="P41" s="164">
        <f t="shared" si="16"/>
        <v>0.91629785729702296</v>
      </c>
      <c r="Q41" s="164">
        <f t="shared" si="11"/>
        <v>1.1780972450961724</v>
      </c>
      <c r="R41" s="164">
        <f t="shared" si="12"/>
        <v>106</v>
      </c>
      <c r="S41" s="164">
        <v>1</v>
      </c>
      <c r="T41" s="164">
        <v>0.81899999999999995</v>
      </c>
      <c r="U41">
        <v>0.95</v>
      </c>
      <c r="V41" s="164">
        <f t="shared" si="13"/>
        <v>3.5626270780635694</v>
      </c>
      <c r="W41" s="164">
        <f t="shared" si="17"/>
        <v>90.016399609244871</v>
      </c>
      <c r="X41" s="726"/>
      <c r="Y41" s="476">
        <f t="shared" si="14"/>
        <v>1231.1985</v>
      </c>
      <c r="Z41" s="715"/>
      <c r="AA41" s="715"/>
      <c r="AE41" s="578"/>
      <c r="AF41" s="578"/>
      <c r="AG41" s="578"/>
      <c r="AK41" s="561">
        <v>6</v>
      </c>
      <c r="AL41" s="562">
        <v>3.7</v>
      </c>
      <c r="AM41" s="562">
        <v>2.13</v>
      </c>
      <c r="AN41" s="562">
        <v>1.41</v>
      </c>
      <c r="AO41" s="580"/>
      <c r="AP41" s="571">
        <f t="shared" si="15"/>
        <v>1.7370892018779345</v>
      </c>
      <c r="AQ41" s="576"/>
      <c r="AR41" s="576"/>
      <c r="AS41" s="566">
        <v>7.03</v>
      </c>
      <c r="AT41" s="571">
        <f t="shared" si="18"/>
        <v>4.0469999999999997</v>
      </c>
    </row>
    <row r="42" spans="1:50" ht="15.75" thickBot="1" x14ac:dyDescent="0.3">
      <c r="A42" s="572" t="s">
        <v>1722</v>
      </c>
      <c r="B42" s="558">
        <f t="shared" si="19"/>
        <v>1.8798146309195689</v>
      </c>
      <c r="C42" s="558">
        <f>AI11</f>
        <v>1.8798146309195689</v>
      </c>
      <c r="D42" s="555">
        <f t="shared" si="7"/>
        <v>1.8798146309195689</v>
      </c>
      <c r="E42" s="558">
        <f t="shared" si="20"/>
        <v>1.8798146309195689</v>
      </c>
      <c r="F42" s="557"/>
      <c r="G42" s="557"/>
      <c r="H42" s="558">
        <f t="shared" si="8"/>
        <v>1.8798146309195689</v>
      </c>
      <c r="I42" s="558">
        <f t="shared" si="9"/>
        <v>1.8798146309195689</v>
      </c>
      <c r="J42" s="843"/>
      <c r="K42" s="719"/>
      <c r="L42" s="577">
        <v>4</v>
      </c>
      <c r="M42" s="164">
        <v>0.5</v>
      </c>
      <c r="N42" s="164">
        <f t="shared" si="10"/>
        <v>3.5</v>
      </c>
      <c r="O42" s="164">
        <v>1840</v>
      </c>
      <c r="P42" s="164">
        <f t="shared" si="16"/>
        <v>1.0471975511965976</v>
      </c>
      <c r="Q42" s="164">
        <f t="shared" si="11"/>
        <v>1.3089969389957472</v>
      </c>
      <c r="R42" s="164">
        <f t="shared" si="12"/>
        <v>106</v>
      </c>
      <c r="S42" s="164">
        <v>1</v>
      </c>
      <c r="T42" s="164">
        <v>0.81899999999999995</v>
      </c>
      <c r="U42">
        <v>0.95</v>
      </c>
      <c r="V42" s="164">
        <f t="shared" si="13"/>
        <v>4.0970211397731049</v>
      </c>
      <c r="W42" s="164">
        <f t="shared" si="17"/>
        <v>103.51885955063162</v>
      </c>
      <c r="X42" s="726"/>
      <c r="Y42" s="476">
        <f t="shared" si="14"/>
        <v>1837.8240000000001</v>
      </c>
      <c r="Z42" s="716"/>
      <c r="AA42" s="716"/>
      <c r="AE42" s="578"/>
      <c r="AF42" s="578"/>
      <c r="AG42" s="578"/>
      <c r="AK42" s="561">
        <v>8</v>
      </c>
      <c r="AL42" s="562">
        <v>6.58</v>
      </c>
      <c r="AM42" s="562">
        <v>2.91</v>
      </c>
      <c r="AN42" s="562">
        <v>1.75</v>
      </c>
      <c r="AO42" s="580"/>
      <c r="AP42" s="571">
        <f t="shared" si="15"/>
        <v>2.261168384879725</v>
      </c>
      <c r="AQ42" s="576"/>
      <c r="AR42" s="576"/>
      <c r="AS42" s="566">
        <v>10.3</v>
      </c>
      <c r="AT42" s="571">
        <f t="shared" si="18"/>
        <v>4.55516717325228</v>
      </c>
    </row>
    <row r="43" spans="1:50" ht="15" customHeight="1" thickBot="1" x14ac:dyDescent="0.3">
      <c r="A43" s="572" t="s">
        <v>1721</v>
      </c>
      <c r="B43" s="558">
        <f t="shared" si="19"/>
        <v>3.62502834586232</v>
      </c>
      <c r="C43" s="558">
        <f>AI14</f>
        <v>3.62502834586232</v>
      </c>
      <c r="D43" s="555">
        <f t="shared" si="7"/>
        <v>3.62502834586232</v>
      </c>
      <c r="E43" s="558">
        <f t="shared" si="20"/>
        <v>3.62502834586232</v>
      </c>
      <c r="F43" s="557"/>
      <c r="G43" s="557"/>
      <c r="H43" s="558">
        <f t="shared" si="8"/>
        <v>3.62502834586232</v>
      </c>
      <c r="I43" s="558">
        <f t="shared" si="9"/>
        <v>3.62502834586232</v>
      </c>
      <c r="J43" s="843"/>
      <c r="K43" s="717" t="s">
        <v>1720</v>
      </c>
      <c r="L43" s="581">
        <v>4.5</v>
      </c>
      <c r="M43" s="164">
        <v>0.5</v>
      </c>
      <c r="N43" s="164">
        <f t="shared" si="10"/>
        <v>3.5</v>
      </c>
      <c r="O43" s="164">
        <v>1840</v>
      </c>
      <c r="P43" s="164">
        <f t="shared" si="16"/>
        <v>1.1780972450961724</v>
      </c>
      <c r="Q43" s="164">
        <f t="shared" si="11"/>
        <v>1.4398966328953218</v>
      </c>
      <c r="R43" s="164">
        <f t="shared" si="12"/>
        <v>106</v>
      </c>
      <c r="S43" s="164">
        <v>1</v>
      </c>
      <c r="T43" s="164">
        <v>0.81899999999999995</v>
      </c>
      <c r="U43">
        <v>0.95</v>
      </c>
      <c r="V43" s="164">
        <f t="shared" si="13"/>
        <v>4.63141520148264</v>
      </c>
      <c r="W43" s="164">
        <f t="shared" si="17"/>
        <v>117.02131949201834</v>
      </c>
      <c r="X43" s="726">
        <f>AVERAGE(V43:V45)</f>
        <v>5.3439406170953534</v>
      </c>
      <c r="Y43" s="476">
        <f t="shared" si="14"/>
        <v>2616.7455</v>
      </c>
      <c r="Z43" s="714">
        <f>(1/Y43*V43+1/Y44*V44+1/Y45*V45)/(1/Y43+1/Y44+1/Y45)</f>
        <v>5.1269882846870951</v>
      </c>
      <c r="AA43" s="714">
        <f>(1/Y43*W43+1/Y44*W44+1/Y45*W45)/(1/Y43+1/Y44+1/Y45)</f>
        <v>129.54289520450209</v>
      </c>
      <c r="AK43" s="561">
        <v>10</v>
      </c>
      <c r="AL43" s="562">
        <v>10.28</v>
      </c>
      <c r="AM43" s="562">
        <v>3.65</v>
      </c>
      <c r="AN43" s="562">
        <v>2.13</v>
      </c>
      <c r="AO43" s="579">
        <f>+AX53</f>
        <v>1.0386753047423383</v>
      </c>
      <c r="AP43" s="571">
        <f t="shared" si="15"/>
        <v>2.8164383561643835</v>
      </c>
      <c r="AQ43" s="576"/>
      <c r="AR43" s="576"/>
      <c r="AS43" s="566">
        <v>13.8</v>
      </c>
      <c r="AT43" s="571">
        <f t="shared" si="18"/>
        <v>4.8998054474708175</v>
      </c>
    </row>
    <row r="44" spans="1:50" ht="15.75" thickBot="1" x14ac:dyDescent="0.3">
      <c r="A44" s="572" t="s">
        <v>1719</v>
      </c>
      <c r="B44" s="558">
        <f t="shared" si="19"/>
        <v>6.6996511850434315</v>
      </c>
      <c r="C44" s="558">
        <f>AI17</f>
        <v>6.6996511850434315</v>
      </c>
      <c r="D44" s="555">
        <f t="shared" si="7"/>
        <v>6.6996511850434315</v>
      </c>
      <c r="E44" s="558">
        <f t="shared" si="20"/>
        <v>6.6996511850434315</v>
      </c>
      <c r="F44" s="557"/>
      <c r="G44" s="557"/>
      <c r="H44" s="558">
        <f t="shared" si="8"/>
        <v>6.6996511850434315</v>
      </c>
      <c r="I44" s="558">
        <f t="shared" si="9"/>
        <v>6.6996511850434315</v>
      </c>
      <c r="J44" s="843"/>
      <c r="K44" s="718"/>
      <c r="L44" s="581">
        <v>5</v>
      </c>
      <c r="M44" s="164">
        <v>0.5</v>
      </c>
      <c r="N44" s="164">
        <f t="shared" si="10"/>
        <v>3.5</v>
      </c>
      <c r="O44" s="164">
        <v>1840</v>
      </c>
      <c r="P44" s="164">
        <f t="shared" si="16"/>
        <v>1.308996938995747</v>
      </c>
      <c r="Q44" s="164">
        <f t="shared" si="11"/>
        <v>1.5707963267948966</v>
      </c>
      <c r="R44" s="164">
        <f t="shared" si="12"/>
        <v>106</v>
      </c>
      <c r="S44" s="164">
        <v>1</v>
      </c>
      <c r="T44" s="164">
        <v>0.81899999999999995</v>
      </c>
      <c r="U44">
        <v>0.95</v>
      </c>
      <c r="V44" s="164">
        <f t="shared" si="13"/>
        <v>5.165809263192175</v>
      </c>
      <c r="W44" s="164">
        <f t="shared" si="17"/>
        <v>130.52377943340505</v>
      </c>
      <c r="X44" s="726"/>
      <c r="Y44" s="476">
        <f t="shared" si="14"/>
        <v>3589.5</v>
      </c>
      <c r="Z44" s="715"/>
      <c r="AA44" s="715"/>
      <c r="AK44" s="561">
        <v>12</v>
      </c>
      <c r="AL44" s="562">
        <v>14.8</v>
      </c>
      <c r="AM44" s="562">
        <v>4.4400000000000004</v>
      </c>
      <c r="AN44" s="582">
        <v>2.5</v>
      </c>
      <c r="AO44" s="579">
        <f>+AX54</f>
        <v>1.1291811670059391</v>
      </c>
      <c r="AP44" s="571">
        <f t="shared" si="15"/>
        <v>3.333333333333333</v>
      </c>
      <c r="AQ44" s="576"/>
      <c r="AR44" s="576"/>
      <c r="AS44" s="566">
        <v>16.100000000000001</v>
      </c>
      <c r="AT44" s="571">
        <f t="shared" si="18"/>
        <v>4.830000000000001</v>
      </c>
    </row>
    <row r="45" spans="1:50" ht="15.75" customHeight="1" thickBot="1" x14ac:dyDescent="0.3">
      <c r="A45" s="474" t="s">
        <v>1718</v>
      </c>
      <c r="B45" s="558">
        <f t="shared" si="19"/>
        <v>3.967097058288509</v>
      </c>
      <c r="C45" s="583">
        <f>Y13</f>
        <v>3.967097058288509</v>
      </c>
      <c r="D45" s="555">
        <f t="shared" si="7"/>
        <v>3.967097058288509</v>
      </c>
      <c r="E45" s="583">
        <f t="shared" si="20"/>
        <v>3.967097058288509</v>
      </c>
      <c r="F45" s="584"/>
      <c r="G45" s="584"/>
      <c r="H45" s="558">
        <f t="shared" si="8"/>
        <v>3.967097058288509</v>
      </c>
      <c r="I45" s="558">
        <f t="shared" si="9"/>
        <v>3.967097058288509</v>
      </c>
      <c r="J45" s="844"/>
      <c r="K45" s="719"/>
      <c r="L45" s="581">
        <v>6</v>
      </c>
      <c r="M45" s="164">
        <v>0.5</v>
      </c>
      <c r="N45" s="164">
        <f t="shared" si="10"/>
        <v>3.5</v>
      </c>
      <c r="O45" s="164">
        <v>1840</v>
      </c>
      <c r="P45" s="164">
        <f t="shared" si="16"/>
        <v>1.5707963267948966</v>
      </c>
      <c r="Q45" s="164">
        <f t="shared" si="11"/>
        <v>1.8325957145940459</v>
      </c>
      <c r="R45" s="164">
        <f t="shared" si="12"/>
        <v>106</v>
      </c>
      <c r="S45" s="164">
        <v>1</v>
      </c>
      <c r="T45" s="164">
        <v>0.81899999999999995</v>
      </c>
      <c r="U45">
        <v>0.95</v>
      </c>
      <c r="V45" s="164">
        <f t="shared" si="13"/>
        <v>6.234597386611247</v>
      </c>
      <c r="W45" s="164">
        <f t="shared" si="17"/>
        <v>157.52869931617852</v>
      </c>
      <c r="X45" s="726"/>
      <c r="Y45" s="476">
        <f t="shared" si="14"/>
        <v>6202.6559999999999</v>
      </c>
      <c r="Z45" s="716"/>
      <c r="AA45" s="716"/>
      <c r="AK45" s="727" t="s">
        <v>1578</v>
      </c>
      <c r="AL45" s="728"/>
      <c r="AM45" s="728"/>
      <c r="AN45" s="728"/>
      <c r="AO45" s="728"/>
      <c r="AP45" s="729"/>
      <c r="AQ45" s="540"/>
      <c r="AR45" s="540"/>
      <c r="AS45" s="585"/>
      <c r="AT45" s="586" t="s">
        <v>1577</v>
      </c>
      <c r="AU45" s="420">
        <v>2</v>
      </c>
      <c r="AV45" s="711" t="s">
        <v>1576</v>
      </c>
      <c r="AW45" s="712"/>
    </row>
    <row r="46" spans="1:50" ht="15" customHeight="1" thickBot="1" x14ac:dyDescent="0.3">
      <c r="A46" s="164" t="s">
        <v>1717</v>
      </c>
      <c r="B46" s="558">
        <f t="shared" si="19"/>
        <v>15.954497207020932</v>
      </c>
      <c r="C46" s="587">
        <f>Y17</f>
        <v>15.954497207020932</v>
      </c>
      <c r="D46" s="555">
        <f t="shared" si="7"/>
        <v>15.954497207020932</v>
      </c>
      <c r="E46" s="558">
        <f t="shared" si="20"/>
        <v>15.954497207020932</v>
      </c>
      <c r="F46" s="557"/>
      <c r="G46" s="557"/>
      <c r="H46" s="558">
        <f t="shared" si="8"/>
        <v>15.954497207020932</v>
      </c>
      <c r="I46" s="558">
        <f t="shared" si="9"/>
        <v>15.954497207020932</v>
      </c>
      <c r="J46" s="842" t="s">
        <v>1716</v>
      </c>
      <c r="K46" s="720" t="s">
        <v>1623</v>
      </c>
      <c r="L46" s="588">
        <v>0.5</v>
      </c>
      <c r="M46" s="164">
        <v>1</v>
      </c>
      <c r="N46" s="164">
        <f t="shared" si="10"/>
        <v>4</v>
      </c>
      <c r="O46" s="164">
        <v>8766</v>
      </c>
      <c r="P46" s="164">
        <f t="shared" si="16"/>
        <v>0.1308996938995747</v>
      </c>
      <c r="Q46" s="164">
        <f t="shared" si="11"/>
        <v>0.39269908169872414</v>
      </c>
      <c r="R46" s="164">
        <v>60</v>
      </c>
      <c r="S46" s="164">
        <v>1</v>
      </c>
      <c r="T46" s="164">
        <v>0.78</v>
      </c>
      <c r="U46" s="589">
        <v>0.98</v>
      </c>
      <c r="V46" s="164">
        <f t="shared" ref="V46:V55" si="21">(((1/M46*P46)-(1/N46*Q46))*O46*S46*R46)/T46/100000</f>
        <v>0.22066667629301376</v>
      </c>
      <c r="W46" s="164">
        <f t="shared" si="17"/>
        <v>5.1474988488572961</v>
      </c>
      <c r="X46" s="713">
        <f>AVERAGE(V46:V48)</f>
        <v>0.5516666907325346</v>
      </c>
      <c r="Y46" s="476">
        <f t="shared" ref="Y46:Y55" si="22">Y33</f>
        <v>3.5895000000000001</v>
      </c>
      <c r="Z46" s="714">
        <f>(1/Y46*V46+1/Y47*V47+1/Y48*V48)/(1/Y46+1/Y47+1/Y48)</f>
        <v>0.34789143754338331</v>
      </c>
      <c r="AA46" s="714">
        <f>(1/Y46*W46+1/Y47*W47+1/Y48*W48)/(1/Y46+1/Y47+1/Y48)</f>
        <v>8.1152750581333297</v>
      </c>
      <c r="AK46" s="435" t="s">
        <v>1574</v>
      </c>
      <c r="AL46" s="590" t="s">
        <v>1573</v>
      </c>
      <c r="AM46" s="590" t="s">
        <v>1572</v>
      </c>
      <c r="AN46" s="590" t="s">
        <v>1571</v>
      </c>
      <c r="AO46" s="590" t="s">
        <v>1570</v>
      </c>
      <c r="AP46" s="591" t="s">
        <v>1569</v>
      </c>
      <c r="AQ46" s="591"/>
      <c r="AR46" s="591"/>
      <c r="AS46" s="590" t="s">
        <v>1568</v>
      </c>
      <c r="AT46" s="590" t="s">
        <v>1567</v>
      </c>
      <c r="AU46" s="590" t="s">
        <v>1566</v>
      </c>
      <c r="AV46" s="590" t="s">
        <v>1565</v>
      </c>
      <c r="AW46" s="590" t="s">
        <v>1564</v>
      </c>
      <c r="AX46" s="590" t="s">
        <v>1715</v>
      </c>
    </row>
    <row r="47" spans="1:50" ht="15.75" thickBot="1" x14ac:dyDescent="0.3">
      <c r="A47" s="572" t="s">
        <v>1714</v>
      </c>
      <c r="B47" s="558">
        <f t="shared" si="19"/>
        <v>1.9537953012070903</v>
      </c>
      <c r="C47" s="587">
        <f>AM13</f>
        <v>1.9537953012070903</v>
      </c>
      <c r="D47" s="555">
        <f t="shared" si="7"/>
        <v>1.9537953012070903</v>
      </c>
      <c r="E47" s="558">
        <f t="shared" si="20"/>
        <v>1.9537953012070903</v>
      </c>
      <c r="F47" s="557"/>
      <c r="G47" s="557"/>
      <c r="H47" s="558">
        <f t="shared" si="8"/>
        <v>1.9537953012070903</v>
      </c>
      <c r="I47" s="558">
        <f t="shared" si="9"/>
        <v>1.9537953012070903</v>
      </c>
      <c r="J47" s="843"/>
      <c r="K47" s="721"/>
      <c r="L47" s="588">
        <v>0.75</v>
      </c>
      <c r="M47" s="164">
        <v>1</v>
      </c>
      <c r="N47" s="164">
        <f t="shared" si="10"/>
        <v>4</v>
      </c>
      <c r="O47" s="164">
        <v>8766</v>
      </c>
      <c r="P47" s="164">
        <f t="shared" si="16"/>
        <v>0.19634954084936207</v>
      </c>
      <c r="Q47" s="164">
        <f t="shared" si="11"/>
        <v>0.45814892864851148</v>
      </c>
      <c r="R47" s="164">
        <v>60</v>
      </c>
      <c r="S47" s="164">
        <v>1</v>
      </c>
      <c r="T47" s="164">
        <v>0.78</v>
      </c>
      <c r="U47" s="589">
        <v>0.98</v>
      </c>
      <c r="V47" s="164">
        <f t="shared" si="21"/>
        <v>0.5516666907325346</v>
      </c>
      <c r="W47" s="164">
        <f t="shared" si="17"/>
        <v>12.868747122143246</v>
      </c>
      <c r="X47" s="713"/>
      <c r="Y47" s="476">
        <f t="shared" si="22"/>
        <v>12.1145625</v>
      </c>
      <c r="Z47" s="715"/>
      <c r="AA47" s="715"/>
      <c r="AK47" s="592">
        <v>1</v>
      </c>
      <c r="AL47" s="593">
        <v>4.25</v>
      </c>
      <c r="AM47" s="593">
        <v>0.625</v>
      </c>
      <c r="AN47" s="594">
        <v>4</v>
      </c>
      <c r="AO47" s="593">
        <v>0.5</v>
      </c>
      <c r="AP47" s="593">
        <v>1.36</v>
      </c>
      <c r="AQ47" s="593"/>
      <c r="AR47" s="593"/>
      <c r="AS47" s="595">
        <f t="shared" ref="AS47:AS54" si="23">+PI()*AL47*AO47*$AU$45</f>
        <v>13.351768777756622</v>
      </c>
      <c r="AT47" s="595">
        <f t="shared" ref="AT47:AT54" si="24">+$AU$45*PI()*((AL47/2)^2-(AP47/2)^2)</f>
        <v>25.46716376669298</v>
      </c>
      <c r="AU47" s="595">
        <f t="shared" ref="AU47:AU54" si="25">+AN47*PI()*(AM47/2)^2</f>
        <v>1.227184630308513</v>
      </c>
      <c r="AV47" s="596">
        <f t="shared" ref="AV47:AV54" si="26">+AS47+AT47+AU47</f>
        <v>40.046117174758116</v>
      </c>
      <c r="AW47" s="596">
        <f t="shared" ref="AW47:AW54" si="27">+AV47/(12^2)</f>
        <v>0.27809803593582028</v>
      </c>
      <c r="AX47" s="596">
        <f>+AW47/AP33</f>
        <v>0.83429410780746072</v>
      </c>
    </row>
    <row r="48" spans="1:50" ht="15.75" thickBot="1" x14ac:dyDescent="0.3">
      <c r="A48" s="572" t="s">
        <v>1713</v>
      </c>
      <c r="B48" s="558">
        <f t="shared" si="19"/>
        <v>11.028529822042056</v>
      </c>
      <c r="C48" s="587">
        <f>AK13</f>
        <v>11.028529822042056</v>
      </c>
      <c r="D48" s="555">
        <f t="shared" si="7"/>
        <v>11.028529822042056</v>
      </c>
      <c r="E48" s="558">
        <f t="shared" si="20"/>
        <v>11.028529822042056</v>
      </c>
      <c r="F48" s="557"/>
      <c r="G48" s="557"/>
      <c r="H48" s="558">
        <f t="shared" si="8"/>
        <v>11.028529822042056</v>
      </c>
      <c r="I48" s="558">
        <f t="shared" si="9"/>
        <v>11.028529822042056</v>
      </c>
      <c r="J48" s="843"/>
      <c r="K48" s="722"/>
      <c r="L48" s="588">
        <v>1</v>
      </c>
      <c r="M48" s="164">
        <v>1</v>
      </c>
      <c r="N48" s="164">
        <f t="shared" si="10"/>
        <v>4</v>
      </c>
      <c r="O48" s="164">
        <v>8766</v>
      </c>
      <c r="P48" s="164">
        <f t="shared" si="16"/>
        <v>0.26179938779914941</v>
      </c>
      <c r="Q48" s="164">
        <f t="shared" si="11"/>
        <v>0.52359877559829882</v>
      </c>
      <c r="R48" s="164">
        <v>60</v>
      </c>
      <c r="S48" s="164">
        <v>1</v>
      </c>
      <c r="T48" s="164">
        <v>0.78</v>
      </c>
      <c r="U48" s="589">
        <v>0.98</v>
      </c>
      <c r="V48" s="164">
        <f t="shared" si="21"/>
        <v>0.88266670517205525</v>
      </c>
      <c r="W48" s="164">
        <f t="shared" si="17"/>
        <v>20.589995395429192</v>
      </c>
      <c r="X48" s="713"/>
      <c r="Y48" s="476">
        <f t="shared" si="22"/>
        <v>28.716000000000001</v>
      </c>
      <c r="Z48" s="716"/>
      <c r="AA48" s="716"/>
      <c r="AK48" s="592">
        <v>2</v>
      </c>
      <c r="AL48" s="597">
        <v>6</v>
      </c>
      <c r="AM48" s="597">
        <v>0.75</v>
      </c>
      <c r="AN48" s="598">
        <v>4</v>
      </c>
      <c r="AO48" s="597">
        <v>0.69</v>
      </c>
      <c r="AP48" s="597">
        <v>2.44</v>
      </c>
      <c r="AQ48" s="597"/>
      <c r="AR48" s="597"/>
      <c r="AS48" s="595">
        <f t="shared" si="23"/>
        <v>26.012387171723486</v>
      </c>
      <c r="AT48" s="595">
        <f t="shared" si="24"/>
        <v>47.196774753410175</v>
      </c>
      <c r="AU48" s="595">
        <f t="shared" si="25"/>
        <v>1.7671458676442586</v>
      </c>
      <c r="AV48" s="595">
        <f t="shared" si="26"/>
        <v>74.976307792777916</v>
      </c>
      <c r="AW48" s="595">
        <f t="shared" si="27"/>
        <v>0.52066880411651328</v>
      </c>
      <c r="AX48" s="595">
        <f>+AW48/AP34</f>
        <v>0.83814978223633863</v>
      </c>
    </row>
    <row r="49" spans="1:50" ht="15.75" thickBot="1" x14ac:dyDescent="0.3">
      <c r="A49" s="164" t="s">
        <v>1712</v>
      </c>
      <c r="B49" s="558">
        <f t="shared" si="19"/>
        <v>20.134575475260416</v>
      </c>
      <c r="C49" s="587">
        <f>AM17</f>
        <v>20.134575475260416</v>
      </c>
      <c r="D49" s="555">
        <f t="shared" si="7"/>
        <v>20.134575475260416</v>
      </c>
      <c r="E49" s="558">
        <f t="shared" si="20"/>
        <v>20.134575475260416</v>
      </c>
      <c r="F49" s="557"/>
      <c r="G49" s="557"/>
      <c r="H49" s="558">
        <f t="shared" si="8"/>
        <v>20.134575475260416</v>
      </c>
      <c r="I49" s="558">
        <f t="shared" si="9"/>
        <v>20.134575475260416</v>
      </c>
      <c r="J49" s="843"/>
      <c r="K49" s="723" t="s">
        <v>1615</v>
      </c>
      <c r="L49" s="599">
        <v>1.25</v>
      </c>
      <c r="M49" s="164">
        <v>1</v>
      </c>
      <c r="N49" s="164">
        <f t="shared" si="10"/>
        <v>4</v>
      </c>
      <c r="O49" s="164">
        <v>8766</v>
      </c>
      <c r="P49" s="164">
        <f t="shared" si="16"/>
        <v>0.32724923474893675</v>
      </c>
      <c r="Q49" s="164">
        <f t="shared" si="11"/>
        <v>0.58904862254808621</v>
      </c>
      <c r="R49" s="164">
        <v>60</v>
      </c>
      <c r="S49" s="164">
        <v>1</v>
      </c>
      <c r="T49" s="164">
        <v>0.78</v>
      </c>
      <c r="U49" s="589">
        <v>0.98</v>
      </c>
      <c r="V49" s="164">
        <f t="shared" si="21"/>
        <v>1.2136667196115756</v>
      </c>
      <c r="W49" s="164">
        <f t="shared" si="17"/>
        <v>28.311243668715132</v>
      </c>
      <c r="X49" s="713">
        <f>AVERAGE(V49:V51)</f>
        <v>1.6550000721976035</v>
      </c>
      <c r="Y49" s="476">
        <f t="shared" si="22"/>
        <v>56.0859375</v>
      </c>
      <c r="Z49" s="714">
        <f>(1/Y49*V49+1/Y50*V50+1/Y51*V51)/(1/Y49+1/Y50+1/Y51)</f>
        <v>1.4517466141199415</v>
      </c>
      <c r="AA49" s="714">
        <f>(1/Y49*W49+1/Y50*W50+1/Y51*W51)/(1/Y49+1/Y50+1/Y51)</f>
        <v>33.864941234225974</v>
      </c>
      <c r="AK49" s="592">
        <v>3</v>
      </c>
      <c r="AL49" s="597">
        <v>7.5</v>
      </c>
      <c r="AM49" s="597">
        <v>0.75</v>
      </c>
      <c r="AN49" s="598">
        <v>4</v>
      </c>
      <c r="AO49" s="597">
        <v>0.88</v>
      </c>
      <c r="AP49" s="597">
        <v>3.57</v>
      </c>
      <c r="AQ49" s="597"/>
      <c r="AR49" s="597"/>
      <c r="AS49" s="595">
        <f t="shared" si="23"/>
        <v>41.469023027385269</v>
      </c>
      <c r="AT49" s="595">
        <f t="shared" si="24"/>
        <v>68.337651276844653</v>
      </c>
      <c r="AU49" s="595">
        <f t="shared" si="25"/>
        <v>1.7671458676442586</v>
      </c>
      <c r="AV49" s="595">
        <f t="shared" si="26"/>
        <v>111.57382017187417</v>
      </c>
      <c r="AW49" s="595">
        <f t="shared" si="27"/>
        <v>0.77481819563801513</v>
      </c>
      <c r="AX49" s="595">
        <f>+AW49/AP35</f>
        <v>0.84146922321977979</v>
      </c>
    </row>
    <row r="50" spans="1:50" ht="15.75" thickBot="1" x14ac:dyDescent="0.3">
      <c r="A50" s="164" t="s">
        <v>1711</v>
      </c>
      <c r="B50" s="558">
        <f t="shared" si="19"/>
        <v>67.962640249087912</v>
      </c>
      <c r="C50" s="587">
        <f>AK17</f>
        <v>67.962640249087912</v>
      </c>
      <c r="D50" s="555">
        <f t="shared" si="7"/>
        <v>67.962640249087912</v>
      </c>
      <c r="E50" s="558">
        <f t="shared" si="20"/>
        <v>67.962640249087912</v>
      </c>
      <c r="F50" s="557"/>
      <c r="G50" s="557"/>
      <c r="H50" s="558">
        <f t="shared" si="8"/>
        <v>67.962640249087912</v>
      </c>
      <c r="I50" s="558">
        <f t="shared" si="9"/>
        <v>67.962640249087912</v>
      </c>
      <c r="J50" s="843"/>
      <c r="K50" s="724"/>
      <c r="L50" s="599">
        <v>1.5</v>
      </c>
      <c r="M50" s="164">
        <v>1</v>
      </c>
      <c r="N50" s="164">
        <f t="shared" si="10"/>
        <v>4</v>
      </c>
      <c r="O50" s="164">
        <v>8766</v>
      </c>
      <c r="P50" s="164">
        <f t="shared" si="16"/>
        <v>0.39269908169872414</v>
      </c>
      <c r="Q50" s="164">
        <f t="shared" si="11"/>
        <v>0.6544984694978736</v>
      </c>
      <c r="R50" s="164">
        <v>60</v>
      </c>
      <c r="S50" s="164">
        <v>1</v>
      </c>
      <c r="T50" s="164">
        <v>0.78</v>
      </c>
      <c r="U50" s="589">
        <v>0.98</v>
      </c>
      <c r="V50" s="164">
        <f t="shared" si="21"/>
        <v>1.5446667340510967</v>
      </c>
      <c r="W50" s="164">
        <f t="shared" si="17"/>
        <v>36.03249194200108</v>
      </c>
      <c r="X50" s="713"/>
      <c r="Y50" s="476">
        <f t="shared" si="22"/>
        <v>96.916499999999999</v>
      </c>
      <c r="Z50" s="715"/>
      <c r="AA50" s="715"/>
      <c r="AK50" s="592">
        <v>4</v>
      </c>
      <c r="AL50" s="597">
        <v>9</v>
      </c>
      <c r="AM50" s="597">
        <v>0.75</v>
      </c>
      <c r="AN50" s="598">
        <v>8</v>
      </c>
      <c r="AO50" s="597">
        <v>0.88</v>
      </c>
      <c r="AP50" s="597">
        <v>4.57</v>
      </c>
      <c r="AQ50" s="597"/>
      <c r="AR50" s="597"/>
      <c r="AS50" s="595">
        <f t="shared" si="23"/>
        <v>49.762827632862326</v>
      </c>
      <c r="AT50" s="595">
        <f t="shared" si="24"/>
        <v>94.428578264907884</v>
      </c>
      <c r="AU50" s="595">
        <f t="shared" si="25"/>
        <v>3.5342917352885173</v>
      </c>
      <c r="AV50" s="595">
        <f t="shared" si="26"/>
        <v>147.72569763305873</v>
      </c>
      <c r="AW50" s="595">
        <f t="shared" si="27"/>
        <v>1.0258729002295746</v>
      </c>
      <c r="AX50" s="595" t="e">
        <f>+AW50/#REF!</f>
        <v>#REF!</v>
      </c>
    </row>
    <row r="51" spans="1:50" ht="15.75" thickBot="1" x14ac:dyDescent="0.3">
      <c r="A51" s="164" t="s">
        <v>1710</v>
      </c>
      <c r="B51" s="558">
        <f t="shared" si="19"/>
        <v>31.133964854103496</v>
      </c>
      <c r="C51" s="587">
        <f>Y23</f>
        <v>31.133964854103496</v>
      </c>
      <c r="D51" s="555">
        <f t="shared" si="7"/>
        <v>31.133964854103496</v>
      </c>
      <c r="E51" s="558">
        <f t="shared" si="20"/>
        <v>31.133964854103496</v>
      </c>
      <c r="F51" s="557"/>
      <c r="G51" s="557"/>
      <c r="H51" s="558">
        <f t="shared" si="8"/>
        <v>31.133964854103496</v>
      </c>
      <c r="I51" s="558">
        <f t="shared" si="9"/>
        <v>31.133964854103496</v>
      </c>
      <c r="J51" s="843"/>
      <c r="K51" s="725"/>
      <c r="L51" s="599">
        <v>2</v>
      </c>
      <c r="M51" s="164">
        <v>1</v>
      </c>
      <c r="N51" s="164">
        <f t="shared" si="10"/>
        <v>4</v>
      </c>
      <c r="O51" s="164">
        <v>8766</v>
      </c>
      <c r="P51" s="164">
        <f t="shared" si="16"/>
        <v>0.52359877559829882</v>
      </c>
      <c r="Q51" s="164">
        <f t="shared" si="11"/>
        <v>0.78539816339744828</v>
      </c>
      <c r="R51" s="164">
        <v>60</v>
      </c>
      <c r="S51" s="164">
        <v>1</v>
      </c>
      <c r="T51" s="164">
        <v>0.78</v>
      </c>
      <c r="U51" s="589">
        <v>0.98</v>
      </c>
      <c r="V51" s="164">
        <f t="shared" si="21"/>
        <v>2.206666762930138</v>
      </c>
      <c r="W51" s="164">
        <f t="shared" si="17"/>
        <v>51.474988488572968</v>
      </c>
      <c r="X51" s="713"/>
      <c r="Y51" s="476">
        <f t="shared" si="22"/>
        <v>229.72800000000001</v>
      </c>
      <c r="Z51" s="716"/>
      <c r="AA51" s="716"/>
      <c r="AK51" s="600">
        <v>6</v>
      </c>
      <c r="AL51" s="601">
        <v>11</v>
      </c>
      <c r="AM51" s="601">
        <v>0.875</v>
      </c>
      <c r="AN51" s="602">
        <v>8</v>
      </c>
      <c r="AO51" s="601">
        <v>0.94</v>
      </c>
      <c r="AP51" s="601">
        <v>6.72</v>
      </c>
      <c r="AQ51" s="601"/>
      <c r="AR51" s="601"/>
      <c r="AS51" s="603">
        <f t="shared" si="23"/>
        <v>64.968136076236917</v>
      </c>
      <c r="AT51" s="603">
        <f t="shared" si="24"/>
        <v>119.13170669824783</v>
      </c>
      <c r="AU51" s="603">
        <f t="shared" si="25"/>
        <v>4.8105637508093704</v>
      </c>
      <c r="AV51" s="603">
        <f t="shared" si="26"/>
        <v>188.91040652529409</v>
      </c>
      <c r="AW51" s="603">
        <f t="shared" si="27"/>
        <v>1.31187782309232</v>
      </c>
      <c r="AX51" s="603">
        <f>+AW51/AP37</f>
        <v>0.8984066025846239</v>
      </c>
    </row>
    <row r="52" spans="1:50" ht="15.75" thickBot="1" x14ac:dyDescent="0.3">
      <c r="A52" s="164" t="s">
        <v>1709</v>
      </c>
      <c r="B52" s="558">
        <f t="shared" si="19"/>
        <v>66.284273233024678</v>
      </c>
      <c r="C52" s="587">
        <f>AM23</f>
        <v>66.284273233024678</v>
      </c>
      <c r="D52" s="555">
        <f t="shared" si="7"/>
        <v>66.284273233024678</v>
      </c>
      <c r="E52" s="558">
        <f t="shared" si="20"/>
        <v>66.284273233024678</v>
      </c>
      <c r="F52" s="557"/>
      <c r="G52" s="557"/>
      <c r="H52" s="558">
        <f t="shared" si="8"/>
        <v>66.284273233024678</v>
      </c>
      <c r="I52" s="558">
        <f t="shared" si="9"/>
        <v>66.284273233024678</v>
      </c>
      <c r="J52" s="843"/>
      <c r="K52" s="723" t="s">
        <v>1611</v>
      </c>
      <c r="L52" s="604">
        <v>2.5</v>
      </c>
      <c r="M52" s="164">
        <v>1</v>
      </c>
      <c r="N52" s="164">
        <f t="shared" si="10"/>
        <v>4</v>
      </c>
      <c r="O52" s="164">
        <v>8766</v>
      </c>
      <c r="P52" s="164">
        <f t="shared" si="16"/>
        <v>0.65449846949787349</v>
      </c>
      <c r="Q52" s="164">
        <f t="shared" si="11"/>
        <v>0.91629785729702296</v>
      </c>
      <c r="R52" s="164">
        <v>60</v>
      </c>
      <c r="S52" s="164">
        <v>1</v>
      </c>
      <c r="T52" s="164">
        <v>0.78</v>
      </c>
      <c r="U52" s="589">
        <v>0.98</v>
      </c>
      <c r="V52" s="164">
        <f t="shared" si="21"/>
        <v>2.8686667918091797</v>
      </c>
      <c r="W52" s="164">
        <f t="shared" si="17"/>
        <v>66.917485035144878</v>
      </c>
      <c r="X52" s="713">
        <f>AVERAGE(V52:V55)</f>
        <v>3.8616668351277412</v>
      </c>
      <c r="Y52" s="476">
        <f t="shared" si="22"/>
        <v>448.6875</v>
      </c>
      <c r="Z52" s="714">
        <f>(1/Y52*V52+1/Y53*V53+1/Y54*V54+1/Y55*V55)/(1/Y52+1/Y53+1/Y54+1/Y55)</f>
        <v>3.4860889161807336</v>
      </c>
      <c r="AA52" s="714">
        <f>(1/Y52*W52+1/Y53*W53+1/Y54*W54+1/Y55*W55)/(1/Y52+1/Y53+1/Y54+1/Y55)</f>
        <v>81.320111330387732</v>
      </c>
      <c r="AK52" s="600">
        <v>8</v>
      </c>
      <c r="AL52" s="601">
        <v>13.5</v>
      </c>
      <c r="AM52" s="601">
        <v>0.875</v>
      </c>
      <c r="AN52" s="602">
        <v>8</v>
      </c>
      <c r="AO52" s="601">
        <v>1.06</v>
      </c>
      <c r="AP52" s="601">
        <v>8.7200000000000006</v>
      </c>
      <c r="AQ52" s="601"/>
      <c r="AR52" s="601"/>
      <c r="AS52" s="603">
        <f t="shared" si="23"/>
        <v>89.912381745739879</v>
      </c>
      <c r="AT52" s="603">
        <f t="shared" si="24"/>
        <v>166.83679114300881</v>
      </c>
      <c r="AU52" s="603">
        <f t="shared" si="25"/>
        <v>4.8105637508093704</v>
      </c>
      <c r="AV52" s="603">
        <f t="shared" si="26"/>
        <v>261.55973663955808</v>
      </c>
      <c r="AW52" s="603">
        <f t="shared" si="27"/>
        <v>1.8163870599969312</v>
      </c>
      <c r="AX52" s="603">
        <f>+AW52/AP41</f>
        <v>1.0456498480522873</v>
      </c>
    </row>
    <row r="53" spans="1:50" ht="15.75" thickBot="1" x14ac:dyDescent="0.3">
      <c r="A53" s="164" t="s">
        <v>1708</v>
      </c>
      <c r="B53" s="558">
        <f t="shared" si="19"/>
        <v>133.90978522057964</v>
      </c>
      <c r="C53" s="587">
        <f>AK23</f>
        <v>133.90978522057964</v>
      </c>
      <c r="D53" s="555">
        <f t="shared" si="7"/>
        <v>133.90978522057964</v>
      </c>
      <c r="E53" s="558">
        <f t="shared" si="20"/>
        <v>133.90978522057964</v>
      </c>
      <c r="F53" s="557"/>
      <c r="G53" s="557"/>
      <c r="H53" s="558">
        <f t="shared" si="8"/>
        <v>133.90978522057964</v>
      </c>
      <c r="I53" s="558">
        <f t="shared" si="9"/>
        <v>133.90978522057964</v>
      </c>
      <c r="J53" s="843"/>
      <c r="K53" s="724"/>
      <c r="L53" s="604">
        <v>3</v>
      </c>
      <c r="M53" s="164">
        <v>1</v>
      </c>
      <c r="N53" s="164">
        <f t="shared" si="10"/>
        <v>4</v>
      </c>
      <c r="O53" s="164">
        <v>8766</v>
      </c>
      <c r="P53" s="164">
        <f t="shared" si="16"/>
        <v>0.78539816339744828</v>
      </c>
      <c r="Q53" s="164">
        <f t="shared" si="11"/>
        <v>1.0471975511965976</v>
      </c>
      <c r="R53" s="164">
        <v>60</v>
      </c>
      <c r="S53" s="164">
        <v>1</v>
      </c>
      <c r="T53" s="164">
        <v>0.78</v>
      </c>
      <c r="U53" s="589">
        <v>0.98</v>
      </c>
      <c r="V53" s="164">
        <f t="shared" si="21"/>
        <v>3.5306668206882215</v>
      </c>
      <c r="W53" s="164">
        <f t="shared" si="17"/>
        <v>82.359981581716781</v>
      </c>
      <c r="X53" s="713"/>
      <c r="Y53" s="476">
        <f t="shared" si="22"/>
        <v>775.33199999999999</v>
      </c>
      <c r="Z53" s="715"/>
      <c r="AA53" s="715"/>
      <c r="AK53" s="600">
        <v>10</v>
      </c>
      <c r="AL53" s="601">
        <v>16</v>
      </c>
      <c r="AM53" s="601">
        <v>1</v>
      </c>
      <c r="AN53" s="602">
        <v>12</v>
      </c>
      <c r="AO53" s="601">
        <v>1.1200000000000001</v>
      </c>
      <c r="AP53" s="601">
        <v>10.88</v>
      </c>
      <c r="AQ53" s="601"/>
      <c r="AR53" s="601"/>
      <c r="AS53" s="603">
        <f t="shared" si="23"/>
        <v>112.5946807046582</v>
      </c>
      <c r="AT53" s="603">
        <f t="shared" si="24"/>
        <v>216.18178695294367</v>
      </c>
      <c r="AU53" s="603">
        <f t="shared" si="25"/>
        <v>9.4247779607693793</v>
      </c>
      <c r="AV53" s="603">
        <f t="shared" si="26"/>
        <v>338.20124561837127</v>
      </c>
      <c r="AW53" s="603">
        <f t="shared" si="27"/>
        <v>2.3486197612386892</v>
      </c>
      <c r="AX53" s="603">
        <f>+AW53/AP42</f>
        <v>1.0386753047423383</v>
      </c>
    </row>
    <row r="54" spans="1:50" ht="15.75" thickBot="1" x14ac:dyDescent="0.3">
      <c r="A54" s="164" t="s">
        <v>1707</v>
      </c>
      <c r="B54" s="558">
        <f t="shared" si="19"/>
        <v>44.814401171573145</v>
      </c>
      <c r="C54" s="587">
        <f>Y26</f>
        <v>44.814401171573145</v>
      </c>
      <c r="D54" s="555">
        <f t="shared" si="7"/>
        <v>44.814401171573145</v>
      </c>
      <c r="E54" s="558">
        <f t="shared" si="20"/>
        <v>44.814401171573145</v>
      </c>
      <c r="F54" s="557"/>
      <c r="G54" s="557"/>
      <c r="H54" s="558">
        <f t="shared" si="8"/>
        <v>44.814401171573145</v>
      </c>
      <c r="I54" s="558">
        <f t="shared" si="9"/>
        <v>44.814401171573145</v>
      </c>
      <c r="J54" s="843"/>
      <c r="K54" s="724"/>
      <c r="L54" s="604">
        <v>3.5</v>
      </c>
      <c r="M54" s="164">
        <v>1</v>
      </c>
      <c r="N54" s="164">
        <f t="shared" si="10"/>
        <v>4</v>
      </c>
      <c r="O54" s="164">
        <v>8766</v>
      </c>
      <c r="P54" s="164">
        <f t="shared" si="16"/>
        <v>0.91629785729702296</v>
      </c>
      <c r="Q54" s="164">
        <f t="shared" si="11"/>
        <v>1.1780972450961724</v>
      </c>
      <c r="R54" s="164">
        <v>60</v>
      </c>
      <c r="S54" s="164">
        <v>1</v>
      </c>
      <c r="T54" s="164">
        <v>0.78</v>
      </c>
      <c r="U54" s="589">
        <v>0.98</v>
      </c>
      <c r="V54" s="164">
        <f t="shared" si="21"/>
        <v>4.1926668495672619</v>
      </c>
      <c r="W54" s="164">
        <f t="shared" si="17"/>
        <v>97.802478128288655</v>
      </c>
      <c r="X54" s="713"/>
      <c r="Y54" s="476">
        <f t="shared" si="22"/>
        <v>1231.1985</v>
      </c>
      <c r="Z54" s="715"/>
      <c r="AA54" s="715"/>
      <c r="AK54" s="600">
        <v>12</v>
      </c>
      <c r="AL54" s="601">
        <v>19</v>
      </c>
      <c r="AM54" s="601">
        <v>1</v>
      </c>
      <c r="AN54" s="602">
        <v>12</v>
      </c>
      <c r="AO54" s="601">
        <v>1.19</v>
      </c>
      <c r="AP54" s="601">
        <v>12.88</v>
      </c>
      <c r="AQ54" s="601"/>
      <c r="AR54" s="601"/>
      <c r="AS54" s="603">
        <f t="shared" si="23"/>
        <v>142.06281979533043</v>
      </c>
      <c r="AT54" s="603">
        <f t="shared" si="24"/>
        <v>306.47115981711431</v>
      </c>
      <c r="AU54" s="603">
        <f t="shared" si="25"/>
        <v>9.4247779607693793</v>
      </c>
      <c r="AV54" s="603">
        <f t="shared" si="26"/>
        <v>457.95875757321414</v>
      </c>
      <c r="AW54" s="603">
        <f t="shared" si="27"/>
        <v>3.180269149813987</v>
      </c>
      <c r="AX54" s="603">
        <f>+AW54/AP43</f>
        <v>1.1291811670059391</v>
      </c>
    </row>
    <row r="55" spans="1:50" ht="15.75" thickBot="1" x14ac:dyDescent="0.3">
      <c r="A55" s="164" t="s">
        <v>1706</v>
      </c>
      <c r="B55" s="558">
        <f t="shared" si="19"/>
        <v>113.8883886472908</v>
      </c>
      <c r="C55" s="587">
        <f>AM26</f>
        <v>113.8883886472908</v>
      </c>
      <c r="D55" s="555">
        <f t="shared" si="7"/>
        <v>113.8883886472908</v>
      </c>
      <c r="E55" s="558">
        <f t="shared" si="20"/>
        <v>113.8883886472908</v>
      </c>
      <c r="F55" s="557"/>
      <c r="G55" s="557"/>
      <c r="H55" s="558">
        <f t="shared" si="8"/>
        <v>113.8883886472908</v>
      </c>
      <c r="I55" s="558">
        <f t="shared" si="9"/>
        <v>113.8883886472908</v>
      </c>
      <c r="J55" s="844"/>
      <c r="K55" s="725"/>
      <c r="L55" s="604">
        <v>4</v>
      </c>
      <c r="M55" s="164">
        <v>1</v>
      </c>
      <c r="N55" s="164">
        <f t="shared" si="10"/>
        <v>4</v>
      </c>
      <c r="O55" s="164">
        <v>8766</v>
      </c>
      <c r="P55" s="164">
        <f t="shared" si="16"/>
        <v>1.0471975511965976</v>
      </c>
      <c r="Q55" s="164">
        <f t="shared" si="11"/>
        <v>1.3089969389957472</v>
      </c>
      <c r="R55" s="164">
        <v>60</v>
      </c>
      <c r="S55" s="164">
        <v>1</v>
      </c>
      <c r="T55" s="164">
        <v>0.78</v>
      </c>
      <c r="U55" s="589">
        <v>0.98</v>
      </c>
      <c r="V55" s="164">
        <f t="shared" si="21"/>
        <v>4.8546668784463023</v>
      </c>
      <c r="W55" s="164">
        <f t="shared" si="17"/>
        <v>113.24497467486053</v>
      </c>
      <c r="X55" s="713"/>
      <c r="Y55" s="476">
        <f t="shared" si="22"/>
        <v>1837.8240000000001</v>
      </c>
      <c r="Z55" s="716"/>
      <c r="AA55" s="716"/>
    </row>
    <row r="56" spans="1:50" x14ac:dyDescent="0.25">
      <c r="A56" s="164" t="s">
        <v>1705</v>
      </c>
      <c r="B56" s="558">
        <f t="shared" si="19"/>
        <v>218.0177023221575</v>
      </c>
      <c r="C56" s="587">
        <f>AK26</f>
        <v>218.0177023221575</v>
      </c>
      <c r="D56" s="555">
        <f t="shared" si="7"/>
        <v>218.0177023221575</v>
      </c>
      <c r="E56" s="558">
        <f t="shared" si="20"/>
        <v>218.0177023221575</v>
      </c>
      <c r="F56" s="557"/>
      <c r="G56" s="557"/>
      <c r="H56" s="558">
        <f t="shared" si="8"/>
        <v>218.0177023221575</v>
      </c>
      <c r="I56" s="558">
        <f t="shared" si="9"/>
        <v>218.0177023221575</v>
      </c>
      <c r="J56" s="605"/>
      <c r="K56" s="330"/>
      <c r="L56" s="330"/>
      <c r="M56" s="330"/>
      <c r="N56" s="330"/>
      <c r="O56" s="330"/>
      <c r="P56" s="330"/>
      <c r="Q56" s="330"/>
      <c r="R56" s="330"/>
      <c r="S56" s="330"/>
      <c r="T56" s="330"/>
      <c r="U56" s="606"/>
      <c r="V56" s="607"/>
      <c r="W56" s="330"/>
    </row>
    <row r="57" spans="1:50" x14ac:dyDescent="0.25">
      <c r="A57" s="608" t="s">
        <v>1704</v>
      </c>
      <c r="B57" s="558">
        <f>Z52</f>
        <v>3.4860889161807336</v>
      </c>
      <c r="C57" s="587"/>
      <c r="D57" s="555">
        <f t="shared" si="7"/>
        <v>0</v>
      </c>
      <c r="E57" s="558"/>
      <c r="F57" s="557"/>
      <c r="G57" s="557"/>
      <c r="H57" s="558">
        <f t="shared" si="8"/>
        <v>3.4860889161807336</v>
      </c>
      <c r="I57" s="558">
        <f t="shared" si="9"/>
        <v>3.4860889161807336</v>
      </c>
    </row>
    <row r="58" spans="1:50" x14ac:dyDescent="0.25">
      <c r="A58" s="608" t="s">
        <v>1703</v>
      </c>
      <c r="B58" s="558">
        <f>Z49</f>
        <v>1.4517466141199415</v>
      </c>
      <c r="C58" s="587"/>
      <c r="D58" s="555">
        <f t="shared" si="7"/>
        <v>0</v>
      </c>
      <c r="E58" s="558"/>
      <c r="F58" s="557"/>
      <c r="G58" s="557"/>
      <c r="H58" s="558">
        <f t="shared" si="8"/>
        <v>1.4517466141199415</v>
      </c>
      <c r="I58" s="558">
        <f t="shared" si="9"/>
        <v>1.4517466141199415</v>
      </c>
    </row>
    <row r="59" spans="1:50" x14ac:dyDescent="0.25">
      <c r="A59" s="608" t="s">
        <v>1702</v>
      </c>
      <c r="B59" s="558">
        <f>Z46</f>
        <v>0.34789143754338331</v>
      </c>
      <c r="C59" s="587"/>
      <c r="D59" s="555">
        <f t="shared" si="7"/>
        <v>0</v>
      </c>
      <c r="E59" s="558"/>
      <c r="F59" s="557"/>
      <c r="G59" s="557"/>
      <c r="H59" s="558">
        <f t="shared" si="8"/>
        <v>0.34789143754338331</v>
      </c>
      <c r="I59" s="558">
        <f t="shared" si="9"/>
        <v>0.34789143754338331</v>
      </c>
    </row>
    <row r="60" spans="1:50" x14ac:dyDescent="0.25">
      <c r="A60" s="608" t="s">
        <v>1701</v>
      </c>
      <c r="B60" s="558">
        <f>Z43</f>
        <v>5.1269882846870951</v>
      </c>
      <c r="C60" s="587"/>
      <c r="D60" s="555">
        <f t="shared" si="7"/>
        <v>0</v>
      </c>
      <c r="E60" s="558"/>
      <c r="F60" s="557"/>
      <c r="G60" s="557"/>
      <c r="H60" s="558">
        <f t="shared" si="8"/>
        <v>5.1269882846870951</v>
      </c>
      <c r="I60" s="558">
        <f t="shared" si="9"/>
        <v>5.1269882846870951</v>
      </c>
    </row>
    <row r="61" spans="1:50" x14ac:dyDescent="0.25">
      <c r="A61" s="608" t="s">
        <v>1700</v>
      </c>
      <c r="B61" s="558">
        <f>Z39</f>
        <v>2.9922478707150022</v>
      </c>
      <c r="C61" s="587"/>
      <c r="D61" s="555">
        <f t="shared" si="7"/>
        <v>0</v>
      </c>
      <c r="E61" s="558"/>
      <c r="F61" s="557"/>
      <c r="G61" s="557"/>
      <c r="H61" s="558">
        <f t="shared" si="8"/>
        <v>2.9922478707150022</v>
      </c>
      <c r="I61" s="558">
        <f t="shared" si="9"/>
        <v>2.9922478707150022</v>
      </c>
    </row>
    <row r="62" spans="1:50" x14ac:dyDescent="0.25">
      <c r="A62" s="608" t="s">
        <v>1699</v>
      </c>
      <c r="B62" s="558">
        <f>Z35</f>
        <v>1.11242431611165</v>
      </c>
      <c r="C62" s="587"/>
      <c r="D62" s="555">
        <f t="shared" si="7"/>
        <v>0</v>
      </c>
      <c r="E62" s="558"/>
      <c r="F62" s="557"/>
      <c r="G62" s="557"/>
      <c r="H62" s="558">
        <f t="shared" si="8"/>
        <v>1.11242431611165</v>
      </c>
      <c r="I62" s="558">
        <f t="shared" si="9"/>
        <v>1.11242431611165</v>
      </c>
    </row>
    <row r="63" spans="1:50" x14ac:dyDescent="0.25">
      <c r="A63" s="608" t="s">
        <v>1698</v>
      </c>
      <c r="B63" s="587">
        <f t="shared" ref="B63:B74" si="28">C63</f>
        <v>51.909518405627203</v>
      </c>
      <c r="C63" s="587">
        <f>AVERAGE(AP11:AP13)</f>
        <v>51.909518405627203</v>
      </c>
      <c r="D63" s="555">
        <f t="shared" si="7"/>
        <v>51.909518405627203</v>
      </c>
      <c r="E63" s="587">
        <f t="shared" ref="E63:E74" si="29">C63</f>
        <v>51.909518405627203</v>
      </c>
      <c r="F63" s="557"/>
      <c r="G63" s="557"/>
      <c r="H63" s="558">
        <f t="shared" si="8"/>
        <v>51.909518405627203</v>
      </c>
      <c r="I63" s="558">
        <f t="shared" si="9"/>
        <v>51.909518405627203</v>
      </c>
    </row>
    <row r="64" spans="1:50" x14ac:dyDescent="0.25">
      <c r="A64" s="608" t="s">
        <v>1697</v>
      </c>
      <c r="B64" s="587">
        <f t="shared" si="28"/>
        <v>94.136357796014067</v>
      </c>
      <c r="C64" s="587">
        <f>AVERAGE(AP14:AP16)</f>
        <v>94.136357796014067</v>
      </c>
      <c r="D64" s="555">
        <f t="shared" si="7"/>
        <v>94.136357796014067</v>
      </c>
      <c r="E64" s="587">
        <f t="shared" si="29"/>
        <v>94.136357796014067</v>
      </c>
      <c r="F64" s="557"/>
      <c r="G64" s="557"/>
      <c r="H64" s="558">
        <f t="shared" si="8"/>
        <v>94.136357796014067</v>
      </c>
      <c r="I64" s="558">
        <f t="shared" si="9"/>
        <v>94.136357796014067</v>
      </c>
    </row>
    <row r="65" spans="1:9" x14ac:dyDescent="0.25">
      <c r="A65" s="608" t="s">
        <v>1696</v>
      </c>
      <c r="B65" s="587">
        <f t="shared" si="28"/>
        <v>175.30792491207501</v>
      </c>
      <c r="C65" s="587">
        <f>AVERAGE(AP17:AP20)</f>
        <v>175.30792491207501</v>
      </c>
      <c r="D65" s="555">
        <f t="shared" si="7"/>
        <v>175.30792491207501</v>
      </c>
      <c r="E65" s="587">
        <f t="shared" si="29"/>
        <v>175.30792491207501</v>
      </c>
      <c r="F65" s="557"/>
      <c r="G65" s="557"/>
      <c r="H65" s="558">
        <f t="shared" si="8"/>
        <v>175.30792491207501</v>
      </c>
      <c r="I65" s="558">
        <f t="shared" si="9"/>
        <v>175.30792491207501</v>
      </c>
    </row>
    <row r="66" spans="1:9" x14ac:dyDescent="0.25">
      <c r="A66" s="608" t="s">
        <v>1695</v>
      </c>
      <c r="B66" s="587">
        <f t="shared" si="28"/>
        <v>73.487346094665881</v>
      </c>
      <c r="C66" s="587">
        <f>AVERAGE(AO13:AO16)</f>
        <v>73.487346094665881</v>
      </c>
      <c r="D66" s="555">
        <f t="shared" si="7"/>
        <v>73.487346094665881</v>
      </c>
      <c r="E66" s="587">
        <f t="shared" si="29"/>
        <v>73.487346094665881</v>
      </c>
      <c r="F66" s="557"/>
      <c r="G66" s="557"/>
      <c r="H66" s="558">
        <f t="shared" si="8"/>
        <v>73.487346094665881</v>
      </c>
      <c r="I66" s="558">
        <f t="shared" si="9"/>
        <v>73.487346094665881</v>
      </c>
    </row>
    <row r="67" spans="1:9" x14ac:dyDescent="0.25">
      <c r="A67" s="608" t="s">
        <v>1694</v>
      </c>
      <c r="B67" s="587">
        <f t="shared" si="28"/>
        <v>148.50453839390386</v>
      </c>
      <c r="C67" s="587">
        <f>AVERAGE(AO17:AO20)</f>
        <v>148.50453839390386</v>
      </c>
      <c r="D67" s="555">
        <f t="shared" si="7"/>
        <v>148.50453839390386</v>
      </c>
      <c r="E67" s="587">
        <f t="shared" si="29"/>
        <v>148.50453839390386</v>
      </c>
      <c r="F67" s="557"/>
      <c r="G67" s="557"/>
      <c r="H67" s="558">
        <f t="shared" si="8"/>
        <v>148.50453839390386</v>
      </c>
      <c r="I67" s="558">
        <f t="shared" si="9"/>
        <v>148.50453839390386</v>
      </c>
    </row>
    <row r="68" spans="1:9" x14ac:dyDescent="0.25">
      <c r="A68" s="608" t="s">
        <v>1693</v>
      </c>
      <c r="B68" s="587">
        <f t="shared" si="28"/>
        <v>224.13986322782338</v>
      </c>
      <c r="C68" s="587">
        <f>AVERAGE(AO21:AO23)</f>
        <v>224.13986322782338</v>
      </c>
      <c r="D68" s="555">
        <f t="shared" si="7"/>
        <v>224.13986322782338</v>
      </c>
      <c r="E68" s="587">
        <f t="shared" si="29"/>
        <v>224.13986322782338</v>
      </c>
      <c r="F68" s="557"/>
      <c r="G68" s="557"/>
      <c r="H68" s="558">
        <f t="shared" si="8"/>
        <v>224.13986322782338</v>
      </c>
      <c r="I68" s="558">
        <f t="shared" si="9"/>
        <v>224.13986322782338</v>
      </c>
    </row>
    <row r="69" spans="1:9" x14ac:dyDescent="0.25">
      <c r="A69" s="608" t="s">
        <v>1692</v>
      </c>
      <c r="B69" s="557">
        <f t="shared" si="28"/>
        <v>8.1152750581333297</v>
      </c>
      <c r="C69" s="557">
        <f>AA46</f>
        <v>8.1152750581333297</v>
      </c>
      <c r="D69" s="555">
        <f t="shared" si="7"/>
        <v>8.1152750581333297</v>
      </c>
      <c r="E69" s="587">
        <f t="shared" si="29"/>
        <v>8.1152750581333297</v>
      </c>
      <c r="F69" s="557"/>
      <c r="G69" s="557"/>
      <c r="H69" s="558">
        <f t="shared" si="8"/>
        <v>8.1152750581333297</v>
      </c>
      <c r="I69" s="558">
        <f t="shared" si="9"/>
        <v>8.1152750581333297</v>
      </c>
    </row>
    <row r="70" spans="1:9" x14ac:dyDescent="0.25">
      <c r="A70" s="608" t="s">
        <v>1691</v>
      </c>
      <c r="B70" s="557">
        <f t="shared" si="28"/>
        <v>33.864941234225974</v>
      </c>
      <c r="C70" s="557">
        <f>AA49</f>
        <v>33.864941234225974</v>
      </c>
      <c r="D70" s="555">
        <f t="shared" si="7"/>
        <v>33.864941234225974</v>
      </c>
      <c r="E70" s="587">
        <f t="shared" si="29"/>
        <v>33.864941234225974</v>
      </c>
      <c r="F70" s="557"/>
      <c r="G70" s="557"/>
      <c r="H70" s="558">
        <f t="shared" si="8"/>
        <v>33.864941234225974</v>
      </c>
      <c r="I70" s="558">
        <f t="shared" si="9"/>
        <v>33.864941234225974</v>
      </c>
    </row>
    <row r="71" spans="1:9" x14ac:dyDescent="0.25">
      <c r="A71" s="608" t="s">
        <v>1690</v>
      </c>
      <c r="B71" s="557">
        <f t="shared" si="28"/>
        <v>81.320111330387732</v>
      </c>
      <c r="C71" s="557">
        <f>AA52</f>
        <v>81.320111330387732</v>
      </c>
      <c r="D71" s="555">
        <f t="shared" si="7"/>
        <v>81.320111330387732</v>
      </c>
      <c r="E71" s="587">
        <f t="shared" si="29"/>
        <v>81.320111330387732</v>
      </c>
      <c r="F71" s="557"/>
      <c r="G71" s="557"/>
      <c r="H71" s="558">
        <f t="shared" si="8"/>
        <v>81.320111330387732</v>
      </c>
      <c r="I71" s="558">
        <f t="shared" si="9"/>
        <v>81.320111330387732</v>
      </c>
    </row>
    <row r="72" spans="1:9" ht="15" customHeight="1" x14ac:dyDescent="0.25">
      <c r="A72" s="608" t="s">
        <v>1689</v>
      </c>
      <c r="B72" s="557">
        <f t="shared" si="28"/>
        <v>28.107469454416041</v>
      </c>
      <c r="C72" s="557">
        <f>AA35</f>
        <v>28.107469454416041</v>
      </c>
      <c r="D72" s="555">
        <f t="shared" si="7"/>
        <v>28.107469454416041</v>
      </c>
      <c r="E72" s="587">
        <f t="shared" si="29"/>
        <v>28.107469454416041</v>
      </c>
      <c r="F72" s="557"/>
      <c r="G72" s="557"/>
      <c r="H72" s="558">
        <f t="shared" si="8"/>
        <v>28.107469454416041</v>
      </c>
      <c r="I72" s="558">
        <f t="shared" si="9"/>
        <v>28.107469454416041</v>
      </c>
    </row>
    <row r="73" spans="1:9" x14ac:dyDescent="0.25">
      <c r="A73" s="608" t="s">
        <v>1688</v>
      </c>
      <c r="B73" s="557">
        <f t="shared" si="28"/>
        <v>75.604708030961518</v>
      </c>
      <c r="C73" s="557">
        <f>AA39</f>
        <v>75.604708030961518</v>
      </c>
      <c r="D73" s="555">
        <f t="shared" si="7"/>
        <v>75.604708030961518</v>
      </c>
      <c r="E73" s="587">
        <f t="shared" si="29"/>
        <v>75.604708030961518</v>
      </c>
      <c r="F73" s="557"/>
      <c r="G73" s="557"/>
      <c r="H73" s="558">
        <f t="shared" si="8"/>
        <v>75.604708030961518</v>
      </c>
      <c r="I73" s="558">
        <f t="shared" si="9"/>
        <v>75.604708030961518</v>
      </c>
    </row>
    <row r="74" spans="1:9" x14ac:dyDescent="0.25">
      <c r="A74" s="608" t="s">
        <v>1687</v>
      </c>
      <c r="B74" s="557">
        <f t="shared" si="28"/>
        <v>129.54289520450209</v>
      </c>
      <c r="C74" s="557">
        <f>AA43</f>
        <v>129.54289520450209</v>
      </c>
      <c r="D74" s="555">
        <f t="shared" si="7"/>
        <v>129.54289520450209</v>
      </c>
      <c r="E74" s="587">
        <f t="shared" si="29"/>
        <v>129.54289520450209</v>
      </c>
      <c r="F74" s="557"/>
      <c r="G74" s="557"/>
      <c r="H74" s="558">
        <f t="shared" si="8"/>
        <v>129.54289520450209</v>
      </c>
      <c r="I74" s="558">
        <f t="shared" si="9"/>
        <v>129.54289520450209</v>
      </c>
    </row>
    <row r="75" spans="1:9" x14ac:dyDescent="0.25">
      <c r="A75" s="608" t="s">
        <v>1686</v>
      </c>
      <c r="B75" s="557">
        <f>AVERAGE(W46:W48)</f>
        <v>12.868747122143246</v>
      </c>
      <c r="C75" s="557"/>
      <c r="D75" s="555">
        <f t="shared" si="7"/>
        <v>0</v>
      </c>
      <c r="E75" s="557"/>
      <c r="F75" s="557"/>
      <c r="G75" s="557"/>
      <c r="H75" s="558">
        <f t="shared" si="8"/>
        <v>12.868747122143246</v>
      </c>
      <c r="I75" s="558">
        <f t="shared" si="9"/>
        <v>12.868747122143246</v>
      </c>
    </row>
    <row r="76" spans="1:9" x14ac:dyDescent="0.25">
      <c r="A76" s="608" t="s">
        <v>1685</v>
      </c>
      <c r="B76" s="557"/>
      <c r="C76" s="557"/>
      <c r="D76" s="555">
        <f t="shared" si="7"/>
        <v>0</v>
      </c>
      <c r="E76" s="557"/>
      <c r="F76" s="557">
        <f>AVERAGE(W46:W48)</f>
        <v>12.868747122143246</v>
      </c>
      <c r="G76" s="557"/>
      <c r="H76" s="558"/>
      <c r="I76" s="558"/>
    </row>
    <row r="77" spans="1:9" x14ac:dyDescent="0.25">
      <c r="A77" s="608" t="s">
        <v>1684</v>
      </c>
      <c r="B77" s="557">
        <f>AVERAGE(V46:V48)</f>
        <v>0.5516666907325346</v>
      </c>
      <c r="C77" s="557"/>
      <c r="D77" s="555">
        <f t="shared" si="7"/>
        <v>0</v>
      </c>
      <c r="E77" s="557"/>
      <c r="F77" s="557"/>
      <c r="G77" s="557"/>
      <c r="H77" s="558">
        <f>B77</f>
        <v>0.5516666907325346</v>
      </c>
      <c r="I77" s="558">
        <f>H77</f>
        <v>0.5516666907325346</v>
      </c>
    </row>
    <row r="78" spans="1:9" x14ac:dyDescent="0.25">
      <c r="A78" s="608" t="s">
        <v>1683</v>
      </c>
      <c r="B78" s="557"/>
      <c r="C78" s="557"/>
      <c r="D78" s="555">
        <f t="shared" si="7"/>
        <v>0</v>
      </c>
      <c r="E78" s="557"/>
      <c r="F78" s="557">
        <f>AVERAGE(V46:V47)</f>
        <v>0.38616668351277417</v>
      </c>
      <c r="G78" s="557"/>
      <c r="H78" s="557"/>
      <c r="I78" s="557"/>
    </row>
    <row r="79" spans="1:9" x14ac:dyDescent="0.25">
      <c r="A79" s="608" t="s">
        <v>1682</v>
      </c>
      <c r="B79" s="557"/>
      <c r="C79" s="557"/>
      <c r="D79" s="555">
        <f t="shared" si="7"/>
        <v>0</v>
      </c>
      <c r="E79" s="557"/>
      <c r="F79" s="557">
        <f>AVERAGE(V35:V38)</f>
        <v>1.3582515735117358</v>
      </c>
      <c r="G79" s="557"/>
      <c r="H79" s="557"/>
      <c r="I79" s="557"/>
    </row>
    <row r="80" spans="1:9" x14ac:dyDescent="0.25">
      <c r="A80" s="164" t="s">
        <v>1681</v>
      </c>
      <c r="B80" s="557"/>
      <c r="C80" s="557"/>
      <c r="D80" s="555">
        <f t="shared" si="7"/>
        <v>0</v>
      </c>
      <c r="E80" s="557"/>
      <c r="F80" s="557">
        <f>AVERAGE(W35:W38)</f>
        <v>34.318752351024607</v>
      </c>
      <c r="G80" s="557"/>
      <c r="H80" s="557"/>
      <c r="I80" s="557"/>
    </row>
    <row r="82" spans="1:11" x14ac:dyDescent="0.25">
      <c r="A82" s="609" t="s">
        <v>1680</v>
      </c>
    </row>
    <row r="91" spans="1:11" x14ac:dyDescent="0.25">
      <c r="A91" s="427"/>
      <c r="B91" s="427"/>
      <c r="C91" s="427"/>
      <c r="D91" s="427"/>
      <c r="E91" s="427"/>
      <c r="F91" s="427"/>
      <c r="G91" s="427"/>
      <c r="H91" s="427"/>
    </row>
    <row r="92" spans="1:11" x14ac:dyDescent="0.25">
      <c r="A92" s="261"/>
      <c r="B92" s="610"/>
      <c r="C92" s="261"/>
      <c r="D92" s="611"/>
      <c r="E92" s="611"/>
      <c r="F92" s="611"/>
      <c r="G92" s="261"/>
      <c r="H92" s="261"/>
    </row>
    <row r="93" spans="1:11" ht="121.35" customHeight="1" x14ac:dyDescent="0.25">
      <c r="A93" s="164">
        <v>0.5</v>
      </c>
      <c r="B93" s="164"/>
      <c r="C93" s="472">
        <f t="shared" ref="C93:C110" si="30">28.716*A93^3</f>
        <v>3.5895000000000001</v>
      </c>
      <c r="F93" s="839" t="s">
        <v>1679</v>
      </c>
      <c r="G93" s="840"/>
      <c r="H93" s="840"/>
      <c r="I93" s="840"/>
      <c r="J93" s="840"/>
      <c r="K93" s="841"/>
    </row>
    <row r="94" spans="1:11" x14ac:dyDescent="0.25">
      <c r="A94" s="164">
        <v>0.75</v>
      </c>
      <c r="B94" s="164"/>
      <c r="C94" s="472">
        <f t="shared" si="30"/>
        <v>12.1145625</v>
      </c>
      <c r="F94" s="612"/>
      <c r="G94" s="613"/>
      <c r="H94" s="613"/>
      <c r="I94" s="613"/>
      <c r="J94" s="613"/>
      <c r="K94" s="614"/>
    </row>
    <row r="95" spans="1:11" x14ac:dyDescent="0.25">
      <c r="A95" s="164">
        <v>1</v>
      </c>
      <c r="B95" s="164">
        <v>30</v>
      </c>
      <c r="C95" s="472">
        <f t="shared" si="30"/>
        <v>28.716000000000001</v>
      </c>
      <c r="D95" s="585" t="s">
        <v>1523</v>
      </c>
      <c r="F95" s="612"/>
      <c r="G95" s="613"/>
      <c r="H95" s="613"/>
      <c r="I95" s="613"/>
      <c r="J95" s="613"/>
      <c r="K95" s="614"/>
    </row>
    <row r="96" spans="1:11" x14ac:dyDescent="0.25">
      <c r="A96" s="164">
        <v>1.25</v>
      </c>
      <c r="B96" s="164">
        <v>50</v>
      </c>
      <c r="C96" s="472">
        <f t="shared" si="30"/>
        <v>56.0859375</v>
      </c>
      <c r="F96" s="612"/>
      <c r="G96" s="613"/>
      <c r="H96" s="613"/>
      <c r="I96" s="613"/>
      <c r="J96" s="613"/>
      <c r="K96" s="614"/>
    </row>
    <row r="97" spans="1:11" x14ac:dyDescent="0.25">
      <c r="A97" s="164">
        <v>1.5</v>
      </c>
      <c r="B97" s="164">
        <v>100</v>
      </c>
      <c r="C97" s="472">
        <f t="shared" si="30"/>
        <v>96.916499999999999</v>
      </c>
      <c r="F97" s="612"/>
      <c r="G97" s="613"/>
      <c r="H97" s="613"/>
      <c r="I97" s="613"/>
      <c r="J97" s="613"/>
      <c r="K97" s="614"/>
    </row>
    <row r="98" spans="1:11" x14ac:dyDescent="0.25">
      <c r="A98" s="164">
        <v>2</v>
      </c>
      <c r="B98" s="164">
        <v>250</v>
      </c>
      <c r="C98" s="472">
        <f t="shared" si="30"/>
        <v>229.72800000000001</v>
      </c>
      <c r="F98" s="612"/>
      <c r="G98" s="613"/>
      <c r="H98" s="613"/>
      <c r="I98" s="613"/>
      <c r="J98" s="613"/>
      <c r="K98" s="614"/>
    </row>
    <row r="99" spans="1:11" x14ac:dyDescent="0.25">
      <c r="A99" s="164">
        <v>2.5</v>
      </c>
      <c r="B99" s="164">
        <v>450</v>
      </c>
      <c r="C99" s="472">
        <f t="shared" si="30"/>
        <v>448.6875</v>
      </c>
      <c r="F99" s="612"/>
      <c r="G99" s="613"/>
      <c r="H99" s="613"/>
      <c r="I99" s="613"/>
      <c r="J99" s="613"/>
      <c r="K99" s="614"/>
    </row>
    <row r="100" spans="1:11" x14ac:dyDescent="0.25">
      <c r="A100" s="608">
        <v>3</v>
      </c>
      <c r="B100" s="164">
        <v>750</v>
      </c>
      <c r="C100" s="472">
        <f t="shared" si="30"/>
        <v>775.33199999999999</v>
      </c>
      <c r="F100" s="612"/>
      <c r="G100" s="613"/>
      <c r="H100" s="613"/>
      <c r="I100" s="613"/>
      <c r="J100" s="613"/>
      <c r="K100" s="614"/>
    </row>
    <row r="101" spans="1:11" x14ac:dyDescent="0.25">
      <c r="A101" s="164">
        <v>3.5</v>
      </c>
      <c r="B101" s="164"/>
      <c r="C101" s="472">
        <f t="shared" si="30"/>
        <v>1231.1985</v>
      </c>
      <c r="F101" s="612"/>
      <c r="G101" s="613"/>
      <c r="H101" s="613"/>
      <c r="I101" s="613"/>
      <c r="J101" s="613"/>
      <c r="K101" s="614"/>
    </row>
    <row r="102" spans="1:11" x14ac:dyDescent="0.25">
      <c r="A102" s="164">
        <v>4</v>
      </c>
      <c r="B102" s="164">
        <v>1750</v>
      </c>
      <c r="C102" s="472">
        <f t="shared" si="30"/>
        <v>1837.8240000000001</v>
      </c>
      <c r="F102" s="612"/>
      <c r="G102" s="613"/>
      <c r="H102" s="613"/>
      <c r="I102" s="613"/>
      <c r="J102" s="613"/>
      <c r="K102" s="614"/>
    </row>
    <row r="103" spans="1:11" x14ac:dyDescent="0.25">
      <c r="A103" s="164">
        <v>4.5</v>
      </c>
      <c r="B103" s="164"/>
      <c r="C103" s="472">
        <f t="shared" si="30"/>
        <v>2616.7455</v>
      </c>
      <c r="F103" s="612"/>
      <c r="G103" s="613"/>
      <c r="H103" s="613"/>
      <c r="I103" s="613"/>
      <c r="J103" s="613"/>
      <c r="K103" s="614"/>
    </row>
    <row r="104" spans="1:11" x14ac:dyDescent="0.25">
      <c r="A104" s="164">
        <v>5</v>
      </c>
      <c r="B104" s="164"/>
      <c r="C104" s="472">
        <f t="shared" si="30"/>
        <v>3589.5</v>
      </c>
      <c r="F104" s="612"/>
      <c r="G104" s="613"/>
      <c r="H104" s="613"/>
      <c r="I104" s="613"/>
      <c r="J104" s="613"/>
      <c r="K104" s="614"/>
    </row>
    <row r="105" spans="1:11" x14ac:dyDescent="0.25">
      <c r="A105" s="164">
        <v>6</v>
      </c>
      <c r="B105" s="164"/>
      <c r="C105" s="472">
        <f t="shared" si="30"/>
        <v>6202.6559999999999</v>
      </c>
      <c r="F105" s="615"/>
      <c r="G105" s="616"/>
      <c r="H105" s="616"/>
      <c r="I105" s="616"/>
      <c r="J105" s="616"/>
      <c r="K105" s="617"/>
    </row>
    <row r="106" spans="1:11" x14ac:dyDescent="0.25">
      <c r="A106" s="164">
        <v>7</v>
      </c>
      <c r="B106" s="164"/>
      <c r="C106" s="472">
        <f t="shared" si="30"/>
        <v>9849.5879999999997</v>
      </c>
    </row>
    <row r="107" spans="1:11" x14ac:dyDescent="0.25">
      <c r="A107" s="164">
        <v>8</v>
      </c>
      <c r="B107" s="164"/>
      <c r="C107" s="472">
        <f t="shared" si="30"/>
        <v>14702.592000000001</v>
      </c>
    </row>
    <row r="108" spans="1:11" x14ac:dyDescent="0.25">
      <c r="A108" s="164">
        <v>9</v>
      </c>
      <c r="B108" s="164"/>
      <c r="C108" s="472">
        <f t="shared" si="30"/>
        <v>20933.964</v>
      </c>
    </row>
    <row r="109" spans="1:11" x14ac:dyDescent="0.25">
      <c r="A109" s="164">
        <v>10</v>
      </c>
      <c r="B109" s="164"/>
      <c r="C109" s="472">
        <f t="shared" si="30"/>
        <v>28716</v>
      </c>
    </row>
    <row r="110" spans="1:11" x14ac:dyDescent="0.25">
      <c r="A110" s="164">
        <v>12</v>
      </c>
      <c r="B110" s="164"/>
      <c r="C110" s="472">
        <f t="shared" si="30"/>
        <v>49621.248</v>
      </c>
    </row>
    <row r="112" spans="1:11" s="618" customFormat="1" x14ac:dyDescent="0.25">
      <c r="A112" s="618" t="s">
        <v>1678</v>
      </c>
    </row>
    <row r="113" spans="1:55" ht="15.75" thickBot="1" x14ac:dyDescent="0.3">
      <c r="A113" t="s">
        <v>404</v>
      </c>
    </row>
    <row r="114" spans="1:55" s="261" customFormat="1" x14ac:dyDescent="0.25">
      <c r="A114" s="407" t="s">
        <v>1</v>
      </c>
      <c r="B114" s="408"/>
      <c r="C114" s="814" t="s">
        <v>80</v>
      </c>
      <c r="D114" s="814"/>
      <c r="E114" s="409"/>
      <c r="F114" s="409" t="s">
        <v>248</v>
      </c>
      <c r="G114" s="814" t="s">
        <v>220</v>
      </c>
      <c r="H114" s="815"/>
      <c r="I114" s="815"/>
      <c r="J114" s="815"/>
      <c r="K114" s="816" t="s">
        <v>1677</v>
      </c>
      <c r="L114" s="817"/>
      <c r="M114" s="817"/>
      <c r="N114" s="814"/>
      <c r="O114" s="814"/>
      <c r="P114" s="814"/>
      <c r="Q114" s="814"/>
      <c r="R114" s="814"/>
      <c r="S114" s="814"/>
      <c r="T114" s="814"/>
      <c r="U114" s="814"/>
      <c r="V114" s="814"/>
      <c r="W114" s="815"/>
      <c r="X114" s="815"/>
      <c r="Y114" s="818"/>
      <c r="Z114" s="412"/>
      <c r="AA114" s="412"/>
      <c r="AB114" s="412"/>
      <c r="AC114" s="412"/>
    </row>
    <row r="115" spans="1:55" s="420" customFormat="1" ht="15.75" thickBot="1" x14ac:dyDescent="0.3">
      <c r="A115" s="413" t="s">
        <v>1676</v>
      </c>
      <c r="B115" s="414"/>
      <c r="C115" s="819" t="s">
        <v>404</v>
      </c>
      <c r="D115" s="819"/>
      <c r="E115" s="414"/>
      <c r="F115" s="414" t="s">
        <v>405</v>
      </c>
      <c r="G115" s="819" t="s">
        <v>1675</v>
      </c>
      <c r="H115" s="819"/>
      <c r="I115" s="819"/>
      <c r="J115" s="819"/>
      <c r="K115" s="820" t="s">
        <v>1674</v>
      </c>
      <c r="L115" s="821"/>
      <c r="M115" s="821"/>
      <c r="N115" s="822"/>
      <c r="O115" s="822"/>
      <c r="P115" s="822"/>
      <c r="Q115" s="822"/>
      <c r="R115" s="822"/>
      <c r="S115" s="822"/>
      <c r="T115" s="822"/>
      <c r="U115" s="822"/>
      <c r="V115" s="822"/>
      <c r="W115" s="823"/>
      <c r="X115" s="823"/>
      <c r="Y115" s="824"/>
    </row>
    <row r="116" spans="1:55" ht="15.75" thickBot="1" x14ac:dyDescent="0.3">
      <c r="K116" s="831" t="s">
        <v>1673</v>
      </c>
      <c r="L116" s="832"/>
      <c r="M116" s="832"/>
      <c r="N116" s="833"/>
      <c r="O116" s="833"/>
      <c r="P116" s="833"/>
      <c r="Q116" s="833"/>
      <c r="R116" s="833"/>
      <c r="S116" s="833"/>
      <c r="T116" s="833"/>
      <c r="U116" s="833"/>
      <c r="V116" s="833"/>
      <c r="W116" s="834"/>
      <c r="X116" s="834"/>
      <c r="Y116" s="835"/>
    </row>
    <row r="117" spans="1:55" x14ac:dyDescent="0.25">
      <c r="A117" t="s">
        <v>1672</v>
      </c>
    </row>
    <row r="118" spans="1:55" x14ac:dyDescent="0.25">
      <c r="A118" s="426" t="s">
        <v>1671</v>
      </c>
      <c r="B118" s="426"/>
      <c r="C118" s="426"/>
      <c r="D118" s="426"/>
      <c r="E118" s="426"/>
      <c r="F118" s="426"/>
      <c r="G118" s="426"/>
      <c r="H118" s="426"/>
      <c r="I118" s="426"/>
      <c r="J118" s="426"/>
      <c r="K118" s="426"/>
    </row>
    <row r="119" spans="1:55" ht="15.75" thickBot="1" x14ac:dyDescent="0.3">
      <c r="A119" s="619" t="s">
        <v>1670</v>
      </c>
      <c r="B119" s="619"/>
      <c r="C119" s="619"/>
      <c r="D119" s="619"/>
      <c r="E119" s="619"/>
    </row>
    <row r="120" spans="1:55" ht="15.75" thickBot="1" x14ac:dyDescent="0.3">
      <c r="A120" s="620" t="s">
        <v>1669</v>
      </c>
      <c r="G120" t="s">
        <v>1668</v>
      </c>
      <c r="H120" t="s">
        <v>1668</v>
      </c>
      <c r="I120" t="s">
        <v>1668</v>
      </c>
      <c r="J120" t="s">
        <v>1667</v>
      </c>
      <c r="K120" t="s">
        <v>1667</v>
      </c>
      <c r="M120" t="s">
        <v>1667</v>
      </c>
      <c r="N120" t="s">
        <v>1667</v>
      </c>
      <c r="O120" t="s">
        <v>1667</v>
      </c>
      <c r="P120" t="s">
        <v>1666</v>
      </c>
      <c r="Q120" t="s">
        <v>1666</v>
      </c>
      <c r="R120" t="s">
        <v>1665</v>
      </c>
      <c r="S120" t="s">
        <v>1665</v>
      </c>
      <c r="AD120" s="866" t="s">
        <v>1664</v>
      </c>
      <c r="AE120" s="867"/>
      <c r="AF120" s="867"/>
      <c r="AG120" s="867"/>
      <c r="AH120" s="867"/>
      <c r="AI120" s="867"/>
      <c r="AJ120" s="867"/>
      <c r="AK120" s="867"/>
      <c r="AL120" s="868"/>
      <c r="AM120" s="866" t="s">
        <v>1663</v>
      </c>
      <c r="AN120" s="867"/>
      <c r="AO120" s="867"/>
      <c r="AP120" s="866" t="s">
        <v>1662</v>
      </c>
      <c r="AQ120" s="867"/>
      <c r="AR120" s="868"/>
      <c r="AS120" s="429"/>
      <c r="AT120" s="744" t="s">
        <v>1661</v>
      </c>
      <c r="AU120" s="745"/>
      <c r="AV120" s="745"/>
      <c r="AW120" s="745"/>
      <c r="AX120" s="745"/>
      <c r="AY120" s="745"/>
      <c r="AZ120" s="745"/>
      <c r="BA120" s="745"/>
      <c r="BB120" s="745"/>
      <c r="BC120" s="746"/>
    </row>
    <row r="121" spans="1:55" ht="15.75" thickBot="1" x14ac:dyDescent="0.3">
      <c r="AD121" s="621"/>
      <c r="AE121" s="622"/>
      <c r="AF121" s="622"/>
      <c r="AG121" s="622"/>
      <c r="AH121" s="622"/>
      <c r="AI121" s="622"/>
      <c r="AJ121" s="622"/>
      <c r="AK121" s="622"/>
      <c r="AL121" s="622"/>
      <c r="AM121" s="621"/>
      <c r="AN121" s="622"/>
      <c r="AO121" s="622"/>
      <c r="AP121" s="621"/>
      <c r="AQ121" s="622"/>
      <c r="AR121" s="623"/>
      <c r="AS121" s="624"/>
      <c r="AT121" s="857" t="s">
        <v>1660</v>
      </c>
      <c r="AU121" s="858"/>
      <c r="AV121" s="858"/>
      <c r="AW121" s="858"/>
      <c r="AX121" s="858"/>
      <c r="AY121" s="859"/>
      <c r="AZ121" s="857" t="s">
        <v>1659</v>
      </c>
      <c r="BA121" s="859"/>
      <c r="BB121" s="857" t="s">
        <v>1658</v>
      </c>
      <c r="BC121" s="859"/>
    </row>
    <row r="122" spans="1:55" s="454" customFormat="1" ht="57" customHeight="1" thickBot="1" x14ac:dyDescent="0.3">
      <c r="A122" s="625" t="s">
        <v>1657</v>
      </c>
      <c r="B122" s="625" t="s">
        <v>1657</v>
      </c>
      <c r="C122" s="625" t="s">
        <v>1656</v>
      </c>
      <c r="D122" s="625" t="s">
        <v>1655</v>
      </c>
      <c r="E122" s="625" t="s">
        <v>1654</v>
      </c>
      <c r="F122" s="625" t="s">
        <v>1653</v>
      </c>
      <c r="G122" s="625" t="s">
        <v>1652</v>
      </c>
      <c r="H122" s="625" t="s">
        <v>1651</v>
      </c>
      <c r="I122" s="625" t="s">
        <v>1650</v>
      </c>
      <c r="J122" s="625" t="s">
        <v>1649</v>
      </c>
      <c r="K122" s="625" t="s">
        <v>1648</v>
      </c>
      <c r="L122" s="625" t="s">
        <v>1647</v>
      </c>
      <c r="M122" s="625" t="s">
        <v>1646</v>
      </c>
      <c r="N122" s="625" t="s">
        <v>1645</v>
      </c>
      <c r="O122" s="625" t="s">
        <v>1644</v>
      </c>
      <c r="P122" s="625" t="s">
        <v>1643</v>
      </c>
      <c r="Q122" s="625" t="s">
        <v>1642</v>
      </c>
      <c r="R122" s="625" t="s">
        <v>1641</v>
      </c>
      <c r="S122" s="625" t="s">
        <v>1640</v>
      </c>
      <c r="T122" s="625" t="s">
        <v>1639</v>
      </c>
      <c r="U122" s="625" t="s">
        <v>1638</v>
      </c>
      <c r="V122" s="625" t="s">
        <v>253</v>
      </c>
      <c r="W122" s="625" t="s">
        <v>622</v>
      </c>
      <c r="X122" s="625" t="s">
        <v>1637</v>
      </c>
      <c r="Y122" s="625" t="s">
        <v>1636</v>
      </c>
      <c r="Z122" s="625" t="s">
        <v>1635</v>
      </c>
      <c r="AA122" s="625" t="s">
        <v>1634</v>
      </c>
      <c r="AB122" s="625" t="s">
        <v>1633</v>
      </c>
      <c r="AC122" s="625" t="s">
        <v>1632</v>
      </c>
      <c r="AD122" s="626" t="s">
        <v>1627</v>
      </c>
      <c r="AE122" s="627" t="s">
        <v>1626</v>
      </c>
      <c r="AF122" s="627" t="s">
        <v>1625</v>
      </c>
      <c r="AG122" s="627" t="s">
        <v>1631</v>
      </c>
      <c r="AH122" s="627" t="s">
        <v>1630</v>
      </c>
      <c r="AI122" s="628" t="s">
        <v>1628</v>
      </c>
      <c r="AJ122" s="629" t="s">
        <v>1627</v>
      </c>
      <c r="AK122" s="630" t="s">
        <v>1628</v>
      </c>
      <c r="AL122" s="630" t="s">
        <v>1019</v>
      </c>
      <c r="AM122" s="626" t="s">
        <v>1627</v>
      </c>
      <c r="AN122" s="627" t="s">
        <v>1626</v>
      </c>
      <c r="AO122" s="628" t="s">
        <v>1625</v>
      </c>
      <c r="AP122" s="626" t="s">
        <v>1627</v>
      </c>
      <c r="AQ122" s="627" t="s">
        <v>1626</v>
      </c>
      <c r="AR122" s="631" t="s">
        <v>1625</v>
      </c>
      <c r="AS122" s="632" t="s">
        <v>1629</v>
      </c>
      <c r="AT122" s="633" t="s">
        <v>1627</v>
      </c>
      <c r="AU122" s="451" t="s">
        <v>1628</v>
      </c>
      <c r="AV122" s="451" t="s">
        <v>1019</v>
      </c>
      <c r="AW122" s="632" t="s">
        <v>1627</v>
      </c>
      <c r="AX122" s="447" t="s">
        <v>1626</v>
      </c>
      <c r="AY122" s="634" t="s">
        <v>1625</v>
      </c>
      <c r="AZ122" s="447" t="s">
        <v>1626</v>
      </c>
      <c r="BA122" s="634" t="s">
        <v>1625</v>
      </c>
      <c r="BB122" s="447" t="s">
        <v>1626</v>
      </c>
      <c r="BC122" s="634" t="s">
        <v>1625</v>
      </c>
    </row>
    <row r="123" spans="1:55" s="454" customFormat="1" ht="15" customHeight="1" thickBot="1" x14ac:dyDescent="0.3">
      <c r="A123" s="464"/>
      <c r="B123" s="878" t="s">
        <v>1624</v>
      </c>
      <c r="C123">
        <v>0.5</v>
      </c>
      <c r="D123" s="635">
        <v>3</v>
      </c>
      <c r="E123">
        <v>1</v>
      </c>
      <c r="F123">
        <v>70</v>
      </c>
      <c r="G123" s="636">
        <v>0.80700000000000005</v>
      </c>
      <c r="H123" s="636">
        <v>0.64800000000000002</v>
      </c>
      <c r="I123" s="636">
        <v>0.81899999999999995</v>
      </c>
      <c r="J123" s="298">
        <v>94.4</v>
      </c>
      <c r="K123" s="298">
        <v>54.05</v>
      </c>
      <c r="L123" s="298">
        <v>37.92</v>
      </c>
      <c r="M123" s="298">
        <v>26.07</v>
      </c>
      <c r="N123" s="298">
        <v>22.8</v>
      </c>
      <c r="O123" s="298">
        <v>13.5</v>
      </c>
      <c r="P123" s="298">
        <v>9.77</v>
      </c>
      <c r="Q123" s="298">
        <v>6.97</v>
      </c>
      <c r="R123" s="298">
        <v>8766</v>
      </c>
      <c r="S123" s="298">
        <v>4963</v>
      </c>
      <c r="T123" s="298">
        <v>0.84</v>
      </c>
      <c r="U123" s="298">
        <v>0.7</v>
      </c>
      <c r="V123" s="637">
        <v>1</v>
      </c>
      <c r="W123" s="163">
        <v>100000</v>
      </c>
      <c r="X123" s="638">
        <f t="shared" ref="X123:X140" si="31">((J123-N123)*U123*S123)/(100000*G123)</f>
        <v>3.0823489467162335</v>
      </c>
      <c r="Y123" s="638">
        <f t="shared" ref="Y123:Y140" si="32">((J123-N123)*U123*S123)/(100000*H123)</f>
        <v>3.8386660493827165</v>
      </c>
      <c r="Z123" s="638">
        <f t="shared" ref="Z123:Z140" si="33">((K123-O123)*U123*S123)/(100000*G123)</f>
        <v>1.7456599132589836</v>
      </c>
      <c r="AA123" s="638">
        <f t="shared" ref="AA123:AA140" si="34">((K123-O123)*U123*S123)/(100000*H123)</f>
        <v>2.1739931327160491</v>
      </c>
      <c r="AB123" s="638">
        <f t="shared" ref="AB123:AB140" si="35">(((L123-P123)+(K123-O123))/2*U123*S123)/(100000*I123)</f>
        <v>1.4570858974358973</v>
      </c>
      <c r="AC123" s="638">
        <f t="shared" ref="AC123:AC140" si="36">((M123-Q123)*T123*R123)/(100000*I123)</f>
        <v>1.7172369230769231</v>
      </c>
      <c r="AD123" s="639"/>
      <c r="AE123" s="640"/>
      <c r="AF123" s="640"/>
      <c r="AG123" s="640"/>
      <c r="AH123" s="640"/>
      <c r="AI123" s="640"/>
      <c r="AJ123" s="880" t="s">
        <v>1623</v>
      </c>
      <c r="AK123" s="883">
        <f>AVERAGE(AB123:AB126)</f>
        <v>2.0682348076923076</v>
      </c>
      <c r="AL123" s="883">
        <f>AVERAGE(AC123:AC126)</f>
        <v>2.4373975384615383</v>
      </c>
      <c r="AM123" s="640"/>
      <c r="AN123" s="640"/>
      <c r="AO123" s="640"/>
      <c r="AP123" s="641"/>
      <c r="AQ123" s="642"/>
      <c r="AR123" s="643"/>
      <c r="AS123" s="644">
        <f t="shared" ref="AS123:AS140" si="37">E195</f>
        <v>3.5895000000000001</v>
      </c>
      <c r="AT123" s="645"/>
      <c r="AU123" s="646"/>
      <c r="AV123" s="647"/>
      <c r="AW123" s="885" t="s">
        <v>1622</v>
      </c>
      <c r="AX123" s="887">
        <f>(1/AS123*Z123+1/AS124*Z124)/(1/AS123+1/AS124)</f>
        <v>1.8333334299876081</v>
      </c>
      <c r="AY123" s="887">
        <f>(1/AS123*AA123+1/AS124*AA124)/(1/AS123+1/AS124)</f>
        <v>2.2831791327160489</v>
      </c>
      <c r="AZ123" s="887">
        <f>AVERAGE(AA145,AB145)*AX123</f>
        <v>0.62333336619578672</v>
      </c>
      <c r="BA123" s="887">
        <f>AVERAGE(AA145,AB145)*AY123</f>
        <v>0.7762809051234566</v>
      </c>
      <c r="BB123" s="887">
        <f>AF145*AX123</f>
        <v>3.6666668599752161</v>
      </c>
      <c r="BC123" s="887">
        <f>AF145*AY123</f>
        <v>4.5663582654320978</v>
      </c>
    </row>
    <row r="124" spans="1:55" ht="15.75" thickBot="1" x14ac:dyDescent="0.3">
      <c r="A124" s="848" t="s">
        <v>1621</v>
      </c>
      <c r="B124" s="879"/>
      <c r="C124">
        <v>0.75</v>
      </c>
      <c r="D124" s="635">
        <v>3</v>
      </c>
      <c r="E124">
        <v>1</v>
      </c>
      <c r="F124">
        <v>70</v>
      </c>
      <c r="G124" s="636">
        <v>0.80700000000000005</v>
      </c>
      <c r="H124" s="636">
        <v>0.64800000000000002</v>
      </c>
      <c r="I124" s="636">
        <v>0.81899999999999995</v>
      </c>
      <c r="J124" s="298">
        <v>114.8</v>
      </c>
      <c r="K124" s="648">
        <v>65.63</v>
      </c>
      <c r="L124" s="298">
        <v>46</v>
      </c>
      <c r="M124" s="298">
        <v>31.6</v>
      </c>
      <c r="N124" s="298">
        <v>27.34</v>
      </c>
      <c r="O124" s="298">
        <v>16.170000000000002</v>
      </c>
      <c r="P124" s="298">
        <v>11.69</v>
      </c>
      <c r="Q124" s="298">
        <v>8.34</v>
      </c>
      <c r="R124" s="298">
        <v>8766</v>
      </c>
      <c r="S124">
        <v>4963</v>
      </c>
      <c r="T124" s="298">
        <v>0.84</v>
      </c>
      <c r="U124" s="298">
        <v>0.7</v>
      </c>
      <c r="V124" s="637">
        <v>1</v>
      </c>
      <c r="W124" s="163">
        <v>100000</v>
      </c>
      <c r="X124" s="638">
        <f t="shared" si="31"/>
        <v>3.7651150681536549</v>
      </c>
      <c r="Y124" s="638">
        <f t="shared" si="32"/>
        <v>4.6889627469135799</v>
      </c>
      <c r="Z124" s="638">
        <f t="shared" si="33"/>
        <v>2.129231548946716</v>
      </c>
      <c r="AA124" s="638">
        <f t="shared" si="34"/>
        <v>2.6516818827160491</v>
      </c>
      <c r="AB124" s="638">
        <f t="shared" si="35"/>
        <v>1.776711581196581</v>
      </c>
      <c r="AC124" s="638">
        <f t="shared" si="36"/>
        <v>2.0912529230769228</v>
      </c>
      <c r="AD124" s="851" t="s">
        <v>1620</v>
      </c>
      <c r="AE124" s="853">
        <f>AVERAGE(X124:X127)</f>
        <v>5.3180205483271372</v>
      </c>
      <c r="AF124" s="855">
        <f>AVERAGE(AA124:AA127)</f>
        <v>3.7425653665123457</v>
      </c>
      <c r="AG124" s="853">
        <f>AVERAGE(Z124:Z127)</f>
        <v>3.0051825991325898</v>
      </c>
      <c r="AH124" s="853">
        <f>AVERAGE(AA124:AA127)</f>
        <v>3.7425653665123457</v>
      </c>
      <c r="AI124" s="869">
        <f>AVERAGE(AB124:AB127)</f>
        <v>2.5082238461538457</v>
      </c>
      <c r="AJ124" s="881"/>
      <c r="AK124" s="884"/>
      <c r="AL124" s="884"/>
      <c r="AM124" s="897" t="s">
        <v>1619</v>
      </c>
      <c r="AN124" s="899">
        <f>AE124*$AF$33</f>
        <v>0</v>
      </c>
      <c r="AO124" s="900">
        <f>AF124*$AF$33</f>
        <v>0</v>
      </c>
      <c r="AP124" s="901" t="s">
        <v>1618</v>
      </c>
      <c r="AQ124" s="902">
        <f>AE124*AVERAGE($AA145:$AB145)</f>
        <v>1.8081269864312264</v>
      </c>
      <c r="AR124" s="915">
        <f>AF124*AVERAGE($AA145:$AB145)</f>
        <v>1.2724722246141975</v>
      </c>
      <c r="AS124" s="644">
        <f t="shared" si="37"/>
        <v>12.1145625</v>
      </c>
      <c r="AT124" s="649"/>
      <c r="AU124" s="650"/>
      <c r="AV124" s="651"/>
      <c r="AW124" s="886"/>
      <c r="AX124" s="888"/>
      <c r="AY124" s="888"/>
      <c r="AZ124" s="888"/>
      <c r="BA124" s="888"/>
      <c r="BB124" s="888"/>
      <c r="BC124" s="888"/>
    </row>
    <row r="125" spans="1:55" x14ac:dyDescent="0.25">
      <c r="A125" s="849"/>
      <c r="B125" s="871" t="s">
        <v>1617</v>
      </c>
      <c r="C125">
        <v>1</v>
      </c>
      <c r="D125" s="635">
        <v>3</v>
      </c>
      <c r="E125">
        <v>1</v>
      </c>
      <c r="F125">
        <v>70</v>
      </c>
      <c r="G125" s="636">
        <v>0.80700000000000005</v>
      </c>
      <c r="H125" s="636">
        <v>0.64800000000000002</v>
      </c>
      <c r="I125" s="636">
        <v>0.81899999999999995</v>
      </c>
      <c r="J125" s="298">
        <v>140.19999999999999</v>
      </c>
      <c r="K125" s="298">
        <v>80.05</v>
      </c>
      <c r="L125" s="298">
        <v>56.07</v>
      </c>
      <c r="M125" s="298">
        <v>38.5</v>
      </c>
      <c r="N125" s="298">
        <v>28.46</v>
      </c>
      <c r="O125" s="298">
        <v>16.850000000000001</v>
      </c>
      <c r="P125" s="298">
        <v>12.19</v>
      </c>
      <c r="Q125" s="298">
        <v>8.6999999999999993</v>
      </c>
      <c r="R125" s="298">
        <v>8766</v>
      </c>
      <c r="S125">
        <v>4963</v>
      </c>
      <c r="T125" s="298">
        <v>0.84</v>
      </c>
      <c r="U125" s="298">
        <v>0.7</v>
      </c>
      <c r="V125" s="637">
        <v>1</v>
      </c>
      <c r="W125" s="163">
        <v>100000</v>
      </c>
      <c r="X125" s="638">
        <f t="shared" si="31"/>
        <v>4.8103585377942988</v>
      </c>
      <c r="Y125" s="638">
        <f t="shared" si="32"/>
        <v>5.990677993827159</v>
      </c>
      <c r="Z125" s="638">
        <f t="shared" si="33"/>
        <v>2.7207325898389092</v>
      </c>
      <c r="AA125" s="638">
        <f t="shared" si="34"/>
        <v>3.3883197530864191</v>
      </c>
      <c r="AB125" s="638">
        <f t="shared" si="35"/>
        <v>2.2711027350427346</v>
      </c>
      <c r="AC125" s="638">
        <f t="shared" si="36"/>
        <v>2.6792492307692308</v>
      </c>
      <c r="AD125" s="852"/>
      <c r="AE125" s="854"/>
      <c r="AF125" s="856"/>
      <c r="AG125" s="854"/>
      <c r="AH125" s="854"/>
      <c r="AI125" s="870"/>
      <c r="AJ125" s="882"/>
      <c r="AK125" s="884"/>
      <c r="AL125" s="884"/>
      <c r="AM125" s="898"/>
      <c r="AN125" s="895"/>
      <c r="AO125" s="896"/>
      <c r="AP125" s="901"/>
      <c r="AQ125" s="902"/>
      <c r="AR125" s="898"/>
      <c r="AS125" s="652">
        <f t="shared" si="37"/>
        <v>28.716000000000001</v>
      </c>
      <c r="AT125" s="872" t="s">
        <v>1616</v>
      </c>
      <c r="AU125" s="874">
        <f>(1/AS125*AB125+1/AS126*AB126+1/AS127*AB127+1/AS128*AB128)/(1/AS125+1/AS126+1/AS127+1/AS128)</f>
        <v>2.6588140926267867</v>
      </c>
      <c r="AV125" s="874">
        <f>(1/AS125*AC125+1/AS126*AC126+1/AS127*AC127+1/AS128*AC128)/(1/AS125+1/AS126+1/AS127+1/AS128)</f>
        <v>3.1358228800964363</v>
      </c>
      <c r="AW125" s="919" t="s">
        <v>1616</v>
      </c>
      <c r="AX125" s="860">
        <f>(1/AS125*Z125+1/AS126*Z126+1/AS127*Z127+1/AS128*Z128)/(1/AS125+1/AS126+1/AS127+1/AS128)</f>
        <v>3.1854757047967208</v>
      </c>
      <c r="AY125" s="863">
        <f>(1/AS125*AA125+1/AS126*AA126+1/AS127*AA127+1/AS128*AA128)/(1/AS125+1/AS126+1/AS127+1/AS128)</f>
        <v>3.967097058288509</v>
      </c>
      <c r="AZ125" s="860">
        <f>AVERAGE(AA145,AA146,AB145,AB146)*AX125</f>
        <v>1.5688467846123848</v>
      </c>
      <c r="BA125" s="863">
        <f>AVERAGE(AA145,AA146,AB145,AB146)*AY125</f>
        <v>1.9537953012070903</v>
      </c>
      <c r="BB125" s="860">
        <f>AVERAGE(AF145,AF146)*AX125</f>
        <v>8.8556224593348851</v>
      </c>
      <c r="BC125" s="863">
        <f>AVERAGE(AF145:AF146)*AY125</f>
        <v>11.028529822042056</v>
      </c>
    </row>
    <row r="126" spans="1:55" x14ac:dyDescent="0.25">
      <c r="A126" s="849"/>
      <c r="B126" s="849"/>
      <c r="C126">
        <v>1.25</v>
      </c>
      <c r="D126" s="635">
        <v>3</v>
      </c>
      <c r="E126">
        <v>1</v>
      </c>
      <c r="F126">
        <v>70</v>
      </c>
      <c r="G126" s="636">
        <v>0.80700000000000005</v>
      </c>
      <c r="H126" s="636">
        <v>0.64800000000000002</v>
      </c>
      <c r="I126" s="636">
        <v>0.81899999999999995</v>
      </c>
      <c r="J126" s="298">
        <v>172.9</v>
      </c>
      <c r="K126" s="298">
        <v>98.61</v>
      </c>
      <c r="L126" s="298">
        <v>69.040000000000006</v>
      </c>
      <c r="M126" s="298">
        <v>47.38</v>
      </c>
      <c r="N126" s="298">
        <v>36.479999999999997</v>
      </c>
      <c r="O126" s="298">
        <v>21.56</v>
      </c>
      <c r="P126" s="298">
        <v>15.58</v>
      </c>
      <c r="Q126" s="298">
        <v>11.1</v>
      </c>
      <c r="R126" s="298">
        <v>8766</v>
      </c>
      <c r="S126">
        <v>4963</v>
      </c>
      <c r="T126" s="298">
        <v>0.84</v>
      </c>
      <c r="U126" s="298">
        <v>0.7</v>
      </c>
      <c r="V126" s="637">
        <v>1</v>
      </c>
      <c r="W126" s="163">
        <v>100000</v>
      </c>
      <c r="X126" s="638">
        <f t="shared" si="31"/>
        <v>5.8728218339529121</v>
      </c>
      <c r="Y126" s="638">
        <f t="shared" si="32"/>
        <v>7.3138383024691356</v>
      </c>
      <c r="Z126" s="638">
        <f t="shared" si="33"/>
        <v>3.3169690830235434</v>
      </c>
      <c r="AA126" s="638">
        <f t="shared" si="34"/>
        <v>4.1308550154320987</v>
      </c>
      <c r="AB126" s="638">
        <f t="shared" si="35"/>
        <v>2.7680390170940163</v>
      </c>
      <c r="AC126" s="638">
        <f t="shared" si="36"/>
        <v>3.2618510769230769</v>
      </c>
      <c r="AD126" s="852"/>
      <c r="AE126" s="854"/>
      <c r="AF126" s="856"/>
      <c r="AG126" s="854"/>
      <c r="AH126" s="854"/>
      <c r="AI126" s="870"/>
      <c r="AJ126" s="889" t="s">
        <v>1615</v>
      </c>
      <c r="AK126" s="892">
        <f>AVERAGE(AB127:AB128)</f>
        <v>3.6034773504273505</v>
      </c>
      <c r="AL126" s="892">
        <f>AVERAGE(AC127:AC128)</f>
        <v>4.2517347692307688</v>
      </c>
      <c r="AM126" s="898"/>
      <c r="AN126" s="895"/>
      <c r="AO126" s="896"/>
      <c r="AP126" s="901"/>
      <c r="AQ126" s="902"/>
      <c r="AR126" s="898"/>
      <c r="AS126" s="468">
        <f t="shared" si="37"/>
        <v>56.0859375</v>
      </c>
      <c r="AT126" s="873"/>
      <c r="AU126" s="875"/>
      <c r="AV126" s="875"/>
      <c r="AW126" s="875"/>
      <c r="AX126" s="861"/>
      <c r="AY126" s="864"/>
      <c r="AZ126" s="861"/>
      <c r="BA126" s="864"/>
      <c r="BB126" s="861"/>
      <c r="BC126" s="864"/>
    </row>
    <row r="127" spans="1:55" ht="15.75" thickBot="1" x14ac:dyDescent="0.3">
      <c r="A127" s="850"/>
      <c r="B127" s="849"/>
      <c r="C127">
        <v>1.5</v>
      </c>
      <c r="D127" s="635">
        <v>3</v>
      </c>
      <c r="E127">
        <v>1</v>
      </c>
      <c r="F127">
        <v>70</v>
      </c>
      <c r="G127" s="636">
        <v>0.80700000000000005</v>
      </c>
      <c r="H127" s="636">
        <v>0.64800000000000002</v>
      </c>
      <c r="I127" s="636">
        <v>0.81899999999999995</v>
      </c>
      <c r="J127" s="298">
        <v>195.5</v>
      </c>
      <c r="K127" s="298">
        <v>111.4</v>
      </c>
      <c r="L127" s="298">
        <v>77.98</v>
      </c>
      <c r="M127" s="298">
        <v>53.5</v>
      </c>
      <c r="N127" s="298">
        <v>36.99</v>
      </c>
      <c r="O127" s="298">
        <v>21.88</v>
      </c>
      <c r="P127" s="298">
        <v>15.82</v>
      </c>
      <c r="Q127" s="298">
        <v>11.28</v>
      </c>
      <c r="R127" s="298">
        <v>8766</v>
      </c>
      <c r="S127">
        <v>4963</v>
      </c>
      <c r="T127" s="298">
        <v>0.84</v>
      </c>
      <c r="U127" s="298">
        <v>0.7</v>
      </c>
      <c r="V127" s="637">
        <v>1</v>
      </c>
      <c r="W127" s="163">
        <v>100000</v>
      </c>
      <c r="X127" s="638">
        <f t="shared" si="31"/>
        <v>6.823786753407683</v>
      </c>
      <c r="Y127" s="638">
        <f t="shared" si="32"/>
        <v>8.4981418364197534</v>
      </c>
      <c r="Z127" s="638">
        <f t="shared" si="33"/>
        <v>3.8537971747211901</v>
      </c>
      <c r="AA127" s="638">
        <f t="shared" si="34"/>
        <v>4.7994048148148156</v>
      </c>
      <c r="AB127" s="638">
        <f t="shared" si="35"/>
        <v>3.2170420512820512</v>
      </c>
      <c r="AC127" s="638">
        <f t="shared" si="36"/>
        <v>3.7959027692307687</v>
      </c>
      <c r="AD127" s="852"/>
      <c r="AE127" s="854"/>
      <c r="AF127" s="856"/>
      <c r="AG127" s="854"/>
      <c r="AH127" s="854"/>
      <c r="AI127" s="870"/>
      <c r="AJ127" s="890"/>
      <c r="AK127" s="892"/>
      <c r="AL127" s="892"/>
      <c r="AM127" s="898"/>
      <c r="AN127" s="895"/>
      <c r="AO127" s="896"/>
      <c r="AP127" s="901"/>
      <c r="AQ127" s="902"/>
      <c r="AR127" s="898"/>
      <c r="AS127" s="468">
        <f t="shared" si="37"/>
        <v>96.916499999999999</v>
      </c>
      <c r="AT127" s="873"/>
      <c r="AU127" s="875"/>
      <c r="AV127" s="875"/>
      <c r="AW127" s="875"/>
      <c r="AX127" s="861"/>
      <c r="AY127" s="864"/>
      <c r="AZ127" s="861"/>
      <c r="BA127" s="864"/>
      <c r="BB127" s="861"/>
      <c r="BC127" s="864"/>
    </row>
    <row r="128" spans="1:55" ht="15.75" thickBot="1" x14ac:dyDescent="0.3">
      <c r="A128" s="871" t="s">
        <v>1614</v>
      </c>
      <c r="B128" s="850"/>
      <c r="C128">
        <v>2</v>
      </c>
      <c r="D128" s="635">
        <v>3</v>
      </c>
      <c r="E128">
        <v>1</v>
      </c>
      <c r="F128">
        <v>70</v>
      </c>
      <c r="G128" s="636">
        <v>0.80700000000000005</v>
      </c>
      <c r="H128" s="636">
        <v>0.64800000000000002</v>
      </c>
      <c r="I128" s="636">
        <v>0.81899999999999995</v>
      </c>
      <c r="J128" s="298">
        <v>239.9</v>
      </c>
      <c r="K128" s="298">
        <v>136.6</v>
      </c>
      <c r="L128" s="298">
        <v>95.55</v>
      </c>
      <c r="M128" s="298">
        <v>65.53</v>
      </c>
      <c r="N128" s="298">
        <v>43.22</v>
      </c>
      <c r="O128" s="298">
        <v>25.55</v>
      </c>
      <c r="P128" s="298">
        <v>18.48</v>
      </c>
      <c r="Q128" s="298">
        <v>13.17</v>
      </c>
      <c r="R128" s="298">
        <v>8766</v>
      </c>
      <c r="S128">
        <v>4963</v>
      </c>
      <c r="T128" s="298">
        <v>0.84</v>
      </c>
      <c r="U128" s="298">
        <v>0.7</v>
      </c>
      <c r="V128" s="637">
        <v>1</v>
      </c>
      <c r="W128" s="163">
        <v>100000</v>
      </c>
      <c r="X128" s="638">
        <f t="shared" si="31"/>
        <v>8.4669886988847569</v>
      </c>
      <c r="Y128" s="638">
        <f t="shared" si="32"/>
        <v>10.54453685185185</v>
      </c>
      <c r="Z128" s="638">
        <f t="shared" si="33"/>
        <v>4.7806543370508052</v>
      </c>
      <c r="AA128" s="638">
        <f t="shared" si="34"/>
        <v>5.9536852623456786</v>
      </c>
      <c r="AB128" s="638">
        <f t="shared" si="35"/>
        <v>3.9899126495726498</v>
      </c>
      <c r="AC128" s="638">
        <f t="shared" si="36"/>
        <v>4.7075667692307697</v>
      </c>
      <c r="AD128" s="852" t="s">
        <v>1614</v>
      </c>
      <c r="AE128" s="877">
        <f>AVERAGE(X128:X133)</f>
        <v>13.148126788517139</v>
      </c>
      <c r="AF128" s="914">
        <f>(AA128+AA129+AA130+Y131+Y132+Y133)/6</f>
        <v>13.577404706790125</v>
      </c>
      <c r="AG128" s="877" t="s">
        <v>1602</v>
      </c>
      <c r="AH128" s="877" t="s">
        <v>1602</v>
      </c>
      <c r="AI128" s="928">
        <f>AVERAGE(AB128:AB133)</f>
        <v>6.1921908760683761</v>
      </c>
      <c r="AJ128" s="891"/>
      <c r="AK128" s="892"/>
      <c r="AL128" s="892"/>
      <c r="AM128" s="893" t="s">
        <v>1613</v>
      </c>
      <c r="AN128" s="895" t="e">
        <f>AE128*AVERAGE($AF$34:$AF$36)</f>
        <v>#DIV/0!</v>
      </c>
      <c r="AO128" s="896" t="e">
        <f>AF128*AVERAGE($AF$34:$AF$36)</f>
        <v>#DIV/0!</v>
      </c>
      <c r="AP128" s="903" t="s">
        <v>1612</v>
      </c>
      <c r="AQ128" s="904">
        <f>AE128*AVERAGE($AA146:$AB148)</f>
        <v>12.205844368673409</v>
      </c>
      <c r="AR128" s="893">
        <f>AF128*AVERAGE($AA146:$AB148)</f>
        <v>12.604357369470165</v>
      </c>
      <c r="AS128" s="468">
        <f t="shared" si="37"/>
        <v>229.72800000000001</v>
      </c>
      <c r="AT128" s="742"/>
      <c r="AU128" s="876"/>
      <c r="AV128" s="876"/>
      <c r="AW128" s="876"/>
      <c r="AX128" s="862"/>
      <c r="AY128" s="865"/>
      <c r="AZ128" s="862"/>
      <c r="BA128" s="865"/>
      <c r="BB128" s="862"/>
      <c r="BC128" s="865"/>
    </row>
    <row r="129" spans="1:55" x14ac:dyDescent="0.25">
      <c r="A129" s="849"/>
      <c r="B129" s="871" t="s">
        <v>1611</v>
      </c>
      <c r="C129">
        <v>2.5</v>
      </c>
      <c r="D129" s="635">
        <v>3</v>
      </c>
      <c r="E129">
        <v>1</v>
      </c>
      <c r="F129">
        <v>70</v>
      </c>
      <c r="G129" s="636">
        <v>0.80700000000000005</v>
      </c>
      <c r="H129" s="636">
        <v>0.64800000000000002</v>
      </c>
      <c r="I129" s="636">
        <v>0.81899999999999995</v>
      </c>
      <c r="J129" s="298">
        <v>286.2</v>
      </c>
      <c r="K129" s="298">
        <v>162.80000000000001</v>
      </c>
      <c r="L129" s="298">
        <v>113.9</v>
      </c>
      <c r="M129" s="298">
        <v>78.069999999999993</v>
      </c>
      <c r="N129" s="298">
        <v>49.65</v>
      </c>
      <c r="O129" s="298">
        <v>29.35</v>
      </c>
      <c r="P129" s="298">
        <v>21.21</v>
      </c>
      <c r="Q129" s="298">
        <v>15.12</v>
      </c>
      <c r="R129" s="298">
        <v>8766</v>
      </c>
      <c r="S129">
        <v>4963</v>
      </c>
      <c r="T129" s="298">
        <v>0.84</v>
      </c>
      <c r="U129" s="298">
        <v>0.7</v>
      </c>
      <c r="V129" s="637">
        <v>1</v>
      </c>
      <c r="W129" s="163">
        <v>100000</v>
      </c>
      <c r="X129" s="638">
        <f t="shared" si="31"/>
        <v>10.183374907063195</v>
      </c>
      <c r="Y129" s="638">
        <f t="shared" si="32"/>
        <v>12.682073379629628</v>
      </c>
      <c r="Z129" s="638">
        <f t="shared" si="33"/>
        <v>5.7449646220570019</v>
      </c>
      <c r="AA129" s="638">
        <f t="shared" si="34"/>
        <v>7.154608719135803</v>
      </c>
      <c r="AB129" s="638">
        <f t="shared" si="35"/>
        <v>4.7962941025641026</v>
      </c>
      <c r="AC129" s="638">
        <f t="shared" si="36"/>
        <v>5.6596892307692306</v>
      </c>
      <c r="AD129" s="852"/>
      <c r="AE129" s="877"/>
      <c r="AF129" s="914"/>
      <c r="AG129" s="877"/>
      <c r="AH129" s="877"/>
      <c r="AI129" s="928"/>
      <c r="AJ129" s="889" t="s">
        <v>1611</v>
      </c>
      <c r="AK129" s="892">
        <f>AVERAGE(AB129:AB132)</f>
        <v>6.1867824786324785</v>
      </c>
      <c r="AL129" s="892">
        <f>AVERAGE(AC129:AC132)</f>
        <v>7.3034266153846161</v>
      </c>
      <c r="AM129" s="893"/>
      <c r="AN129" s="895"/>
      <c r="AO129" s="896"/>
      <c r="AP129" s="903"/>
      <c r="AQ129" s="904"/>
      <c r="AR129" s="893"/>
      <c r="AS129" s="468">
        <f t="shared" si="37"/>
        <v>448.6875</v>
      </c>
      <c r="AT129" s="872" t="s">
        <v>1610</v>
      </c>
      <c r="AU129" s="910">
        <f>(1/AS129*AB129+1/AS130*AB130+1/AS131*AB131+1/AS132*AB132)/(1/AS129+1/AS130+1/AS131+1/AS132)</f>
        <v>5.6760447573279711</v>
      </c>
      <c r="AV129" s="874">
        <f>(1/AS129*AC129+1/AS130*AC129+1/AS131*AC130+1/AS132*AC132)/(1/AS129+1/AS130+1/AS131+1/AS132)</f>
        <v>6.1942373572810965</v>
      </c>
      <c r="AW129" s="874" t="s">
        <v>1609</v>
      </c>
      <c r="AX129" s="907">
        <f>(1/AS129*X129+1/AS130*X130+1/AS131*X131+1/AS132*X132+1/AS133*X133+1/AS134*X134)/(1/AS129+1/AS130+1/AS131+1/AS132+1/AS133+1/AS134)</f>
        <v>12.811046084448035</v>
      </c>
      <c r="AY129" s="863">
        <f>(1/AS129*AA129+1/AS130*AA130+1/AS131*Y131+1/AS132*Y132+1/AS133*Y133+1/AS134*Y134)/(1/AS129+1/AS130+1/AS131+1/AS132+1/AS133+1/AS134)</f>
        <v>12.176588595984912</v>
      </c>
      <c r="AZ129" s="907">
        <f>AVERAGE(AA147,AA148,AA149,AA152,AB147,AB148,AB149,AB152,AC147,AC148)*AX129</f>
        <v>16.16754015857342</v>
      </c>
      <c r="BA129" s="863">
        <f>AVERAGE(AA147,AA148,AA149,AA152,AB147,AB148,AB149,AB152,AC147,AC148)*AY129</f>
        <v>15.36685480813296</v>
      </c>
      <c r="BB129" s="907">
        <f>AVERAGE(AF147,AF148)*AX129</f>
        <v>49.002251273013741</v>
      </c>
      <c r="BC129" s="863">
        <f>AVERAGE(AF147,AF148)*AY129</f>
        <v>46.575451379642288</v>
      </c>
    </row>
    <row r="130" spans="1:55" x14ac:dyDescent="0.25">
      <c r="A130" s="849"/>
      <c r="B130" s="849"/>
      <c r="C130">
        <v>3</v>
      </c>
      <c r="D130" s="635">
        <v>3</v>
      </c>
      <c r="E130">
        <v>1</v>
      </c>
      <c r="F130">
        <v>70</v>
      </c>
      <c r="G130" s="636">
        <v>0.80700000000000005</v>
      </c>
      <c r="H130" s="636">
        <v>0.64800000000000002</v>
      </c>
      <c r="I130" s="636">
        <v>0.81899999999999995</v>
      </c>
      <c r="J130" s="298">
        <v>343.7</v>
      </c>
      <c r="K130">
        <v>195.4</v>
      </c>
      <c r="L130" s="298">
        <v>136.6</v>
      </c>
      <c r="M130">
        <v>93.64</v>
      </c>
      <c r="N130" s="298">
        <v>58.69</v>
      </c>
      <c r="O130" s="298">
        <v>34.67</v>
      </c>
      <c r="P130" s="298">
        <v>25.05</v>
      </c>
      <c r="Q130" s="298">
        <v>17.850000000000001</v>
      </c>
      <c r="R130" s="298">
        <v>8766</v>
      </c>
      <c r="S130">
        <v>4963</v>
      </c>
      <c r="T130" s="298">
        <v>0.84</v>
      </c>
      <c r="U130" s="298">
        <v>0.7</v>
      </c>
      <c r="V130" s="637">
        <v>1</v>
      </c>
      <c r="W130" s="163">
        <v>100000</v>
      </c>
      <c r="X130" s="638">
        <f t="shared" si="31"/>
        <v>12.269556889714993</v>
      </c>
      <c r="Y130" s="638">
        <f t="shared" si="32"/>
        <v>15.28014260802469</v>
      </c>
      <c r="Z130" s="638">
        <f t="shared" si="33"/>
        <v>6.9193567905824036</v>
      </c>
      <c r="AA130" s="638">
        <f t="shared" si="34"/>
        <v>8.6171619290123456</v>
      </c>
      <c r="AB130" s="638">
        <f t="shared" si="35"/>
        <v>5.774895897435897</v>
      </c>
      <c r="AC130" s="638">
        <f t="shared" si="36"/>
        <v>6.8141039999999986</v>
      </c>
      <c r="AD130" s="852"/>
      <c r="AE130" s="877"/>
      <c r="AF130" s="914"/>
      <c r="AG130" s="877"/>
      <c r="AH130" s="877"/>
      <c r="AI130" s="928"/>
      <c r="AJ130" s="890"/>
      <c r="AK130" s="917"/>
      <c r="AL130" s="917"/>
      <c r="AM130" s="893"/>
      <c r="AN130" s="895"/>
      <c r="AO130" s="896"/>
      <c r="AP130" s="903"/>
      <c r="AQ130" s="904"/>
      <c r="AR130" s="893"/>
      <c r="AS130" s="468">
        <f t="shared" si="37"/>
        <v>775.33199999999999</v>
      </c>
      <c r="AT130" s="873"/>
      <c r="AU130" s="911"/>
      <c r="AV130" s="875"/>
      <c r="AW130" s="905"/>
      <c r="AX130" s="908"/>
      <c r="AY130" s="864"/>
      <c r="AZ130" s="908"/>
      <c r="BA130" s="864"/>
      <c r="BB130" s="908"/>
      <c r="BC130" s="864"/>
    </row>
    <row r="131" spans="1:55" x14ac:dyDescent="0.25">
      <c r="A131" s="849"/>
      <c r="B131" s="849"/>
      <c r="C131">
        <v>3.5</v>
      </c>
      <c r="D131" s="635">
        <v>3</v>
      </c>
      <c r="E131">
        <v>1</v>
      </c>
      <c r="F131">
        <v>70</v>
      </c>
      <c r="G131" s="636">
        <v>0.80700000000000005</v>
      </c>
      <c r="H131" s="636">
        <v>0.64800000000000002</v>
      </c>
      <c r="I131" s="636">
        <v>0.81899999999999995</v>
      </c>
      <c r="J131" s="298">
        <v>389.5</v>
      </c>
      <c r="K131">
        <v>221.4</v>
      </c>
      <c r="L131" s="298">
        <v>154.69999999999999</v>
      </c>
      <c r="M131">
        <v>106</v>
      </c>
      <c r="N131" s="648">
        <v>55.22</v>
      </c>
      <c r="O131" s="648">
        <v>32.67</v>
      </c>
      <c r="P131" s="648">
        <v>23.63</v>
      </c>
      <c r="Q131" s="648">
        <v>16.86</v>
      </c>
      <c r="R131" s="298">
        <v>8766</v>
      </c>
      <c r="S131">
        <v>4963</v>
      </c>
      <c r="T131" s="298">
        <v>0.84</v>
      </c>
      <c r="U131" s="298">
        <v>0.7</v>
      </c>
      <c r="V131" s="637">
        <v>1</v>
      </c>
      <c r="W131" s="163">
        <v>100000</v>
      </c>
      <c r="X131" s="638">
        <f t="shared" si="31"/>
        <v>14.390609021065673</v>
      </c>
      <c r="Y131" s="638">
        <f t="shared" si="32"/>
        <v>17.921638086419751</v>
      </c>
      <c r="Z131" s="638">
        <f t="shared" si="33"/>
        <v>8.1247446468401492</v>
      </c>
      <c r="AA131" s="638">
        <f t="shared" si="34"/>
        <v>10.118316250000001</v>
      </c>
      <c r="AB131" s="638">
        <f t="shared" si="35"/>
        <v>6.7827666666666664</v>
      </c>
      <c r="AC131" s="638">
        <f t="shared" si="36"/>
        <v>8.0143716923076926</v>
      </c>
      <c r="AD131" s="852"/>
      <c r="AE131" s="877"/>
      <c r="AF131" s="914"/>
      <c r="AG131" s="877"/>
      <c r="AH131" s="877"/>
      <c r="AI131" s="928"/>
      <c r="AJ131" s="890"/>
      <c r="AK131" s="917"/>
      <c r="AL131" s="917"/>
      <c r="AM131" s="893"/>
      <c r="AN131" s="895"/>
      <c r="AO131" s="896"/>
      <c r="AP131" s="903"/>
      <c r="AQ131" s="904"/>
      <c r="AR131" s="893"/>
      <c r="AS131" s="468">
        <f t="shared" si="37"/>
        <v>1231.1985</v>
      </c>
      <c r="AT131" s="873"/>
      <c r="AU131" s="911"/>
      <c r="AV131" s="875"/>
      <c r="AW131" s="905"/>
      <c r="AX131" s="908"/>
      <c r="AY131" s="864"/>
      <c r="AZ131" s="908"/>
      <c r="BA131" s="864"/>
      <c r="BB131" s="908"/>
      <c r="BC131" s="864"/>
    </row>
    <row r="132" spans="1:55" ht="15.75" thickBot="1" x14ac:dyDescent="0.3">
      <c r="A132" s="849"/>
      <c r="B132" s="850"/>
      <c r="C132">
        <v>4</v>
      </c>
      <c r="D132" s="635">
        <v>3</v>
      </c>
      <c r="E132">
        <v>1</v>
      </c>
      <c r="F132">
        <v>70</v>
      </c>
      <c r="G132" s="636">
        <v>0.80700000000000005</v>
      </c>
      <c r="H132" s="636">
        <v>0.64800000000000002</v>
      </c>
      <c r="I132" s="636">
        <v>0.81899999999999995</v>
      </c>
      <c r="J132" s="298">
        <v>435.2</v>
      </c>
      <c r="K132">
        <v>247.2</v>
      </c>
      <c r="L132" s="298">
        <v>172.8</v>
      </c>
      <c r="M132">
        <v>118.4</v>
      </c>
      <c r="N132" s="298">
        <v>70.19</v>
      </c>
      <c r="O132" s="298">
        <v>41.46</v>
      </c>
      <c r="P132" s="298">
        <v>29.96</v>
      </c>
      <c r="Q132" s="298">
        <v>21.35</v>
      </c>
      <c r="R132" s="298">
        <v>8766</v>
      </c>
      <c r="S132">
        <v>4963</v>
      </c>
      <c r="T132" s="298">
        <v>0.84</v>
      </c>
      <c r="U132" s="298">
        <v>0.7</v>
      </c>
      <c r="V132" s="637">
        <v>1</v>
      </c>
      <c r="W132" s="163">
        <v>100000</v>
      </c>
      <c r="X132" s="638">
        <f t="shared" si="31"/>
        <v>15.713522193308549</v>
      </c>
      <c r="Y132" s="638">
        <f t="shared" si="32"/>
        <v>19.569154953703702</v>
      </c>
      <c r="Z132" s="638">
        <f t="shared" si="33"/>
        <v>8.8570177695167267</v>
      </c>
      <c r="AA132" s="638">
        <f t="shared" si="34"/>
        <v>11.030267499999999</v>
      </c>
      <c r="AB132" s="638">
        <f t="shared" si="35"/>
        <v>7.3931732478632473</v>
      </c>
      <c r="AC132" s="638">
        <f t="shared" si="36"/>
        <v>8.72554153846154</v>
      </c>
      <c r="AD132" s="852"/>
      <c r="AE132" s="877"/>
      <c r="AF132" s="914"/>
      <c r="AG132" s="877"/>
      <c r="AH132" s="877"/>
      <c r="AI132" s="928"/>
      <c r="AJ132" s="916"/>
      <c r="AK132" s="918"/>
      <c r="AL132" s="918"/>
      <c r="AM132" s="893"/>
      <c r="AN132" s="895"/>
      <c r="AO132" s="896"/>
      <c r="AP132" s="903"/>
      <c r="AQ132" s="904"/>
      <c r="AR132" s="893"/>
      <c r="AS132" s="468">
        <f t="shared" si="37"/>
        <v>1837.8240000000001</v>
      </c>
      <c r="AT132" s="742"/>
      <c r="AU132" s="912"/>
      <c r="AV132" s="876"/>
      <c r="AW132" s="905"/>
      <c r="AX132" s="908"/>
      <c r="AY132" s="864"/>
      <c r="AZ132" s="908"/>
      <c r="BA132" s="864"/>
      <c r="BB132" s="908"/>
      <c r="BC132" s="864"/>
    </row>
    <row r="133" spans="1:55" ht="15.75" thickBot="1" x14ac:dyDescent="0.3">
      <c r="A133" s="850"/>
      <c r="B133" s="653"/>
      <c r="C133">
        <v>4.5</v>
      </c>
      <c r="D133" s="635">
        <v>3</v>
      </c>
      <c r="E133">
        <v>1</v>
      </c>
      <c r="F133">
        <v>70</v>
      </c>
      <c r="G133" s="636">
        <v>0.80700000000000005</v>
      </c>
      <c r="H133" s="636">
        <v>0.64800000000000002</v>
      </c>
      <c r="I133" s="636">
        <v>0.81899999999999995</v>
      </c>
      <c r="J133" s="298">
        <v>480.7</v>
      </c>
      <c r="K133">
        <v>273</v>
      </c>
      <c r="L133" s="298">
        <v>190.8</v>
      </c>
      <c r="M133">
        <v>130.69999999999999</v>
      </c>
      <c r="N133" s="648">
        <v>65.72</v>
      </c>
      <c r="O133" s="648">
        <v>38.869999999999997</v>
      </c>
      <c r="P133" s="648">
        <v>28.12</v>
      </c>
      <c r="Q133" s="648">
        <v>20.05</v>
      </c>
      <c r="R133" s="298">
        <v>8766</v>
      </c>
      <c r="S133">
        <v>4963</v>
      </c>
      <c r="T133" s="298">
        <v>0.84</v>
      </c>
      <c r="U133" s="298">
        <v>0.7</v>
      </c>
      <c r="V133" s="637">
        <v>1</v>
      </c>
      <c r="W133" s="163">
        <v>100000</v>
      </c>
      <c r="X133" s="638">
        <f t="shared" si="31"/>
        <v>17.864709021065675</v>
      </c>
      <c r="Y133" s="638">
        <f t="shared" si="32"/>
        <v>22.248179290123456</v>
      </c>
      <c r="Z133" s="638">
        <f t="shared" si="33"/>
        <v>10.079194956629491</v>
      </c>
      <c r="AA133" s="638">
        <f t="shared" si="34"/>
        <v>12.552330756172838</v>
      </c>
      <c r="AB133" s="638">
        <f t="shared" si="35"/>
        <v>8.4161026923076925</v>
      </c>
      <c r="AC133" s="638">
        <f t="shared" si="36"/>
        <v>9.9482861538461513</v>
      </c>
      <c r="AD133" s="852"/>
      <c r="AE133" s="877"/>
      <c r="AF133" s="914"/>
      <c r="AG133" s="877"/>
      <c r="AH133" s="877"/>
      <c r="AI133" s="920"/>
      <c r="AJ133" s="654"/>
      <c r="AK133" s="654"/>
      <c r="AL133" s="654"/>
      <c r="AM133" s="894"/>
      <c r="AN133" s="895"/>
      <c r="AO133" s="896"/>
      <c r="AP133" s="903"/>
      <c r="AQ133" s="904"/>
      <c r="AR133" s="893"/>
      <c r="AS133" s="468">
        <f t="shared" si="37"/>
        <v>2616.7455</v>
      </c>
      <c r="AT133" s="872" t="s">
        <v>1608</v>
      </c>
      <c r="AU133" s="874">
        <f>(1/AS133*AB133+1/AS134*AB134+1/AS135*AB135)/(1/AS133+1/AS134+1/AS135)</f>
        <v>9.0407613085908682</v>
      </c>
      <c r="AV133" s="874">
        <f>(1/AS133*AC133+1/AS134*AC134+1/AS135*AC135)/(1/AS133+1/AS134+1/AS135)</f>
        <v>10.672873287490331</v>
      </c>
      <c r="AW133" s="905"/>
      <c r="AX133" s="908"/>
      <c r="AY133" s="864"/>
      <c r="AZ133" s="908"/>
      <c r="BA133" s="864"/>
      <c r="BB133" s="908"/>
      <c r="BC133" s="864"/>
    </row>
    <row r="134" spans="1:55" ht="15.75" thickBot="1" x14ac:dyDescent="0.3">
      <c r="A134" s="871" t="s">
        <v>1607</v>
      </c>
      <c r="B134" s="653"/>
      <c r="C134">
        <v>5</v>
      </c>
      <c r="D134" s="635">
        <v>3</v>
      </c>
      <c r="E134">
        <v>1</v>
      </c>
      <c r="F134">
        <v>70</v>
      </c>
      <c r="G134" s="636">
        <v>0.80700000000000005</v>
      </c>
      <c r="H134" s="636">
        <v>0.64800000000000002</v>
      </c>
      <c r="I134" s="636">
        <v>0.81899999999999995</v>
      </c>
      <c r="J134" s="298">
        <v>531.79999999999995</v>
      </c>
      <c r="K134">
        <v>301.89999999999998</v>
      </c>
      <c r="L134" s="298">
        <v>210.9</v>
      </c>
      <c r="M134">
        <v>144.5</v>
      </c>
      <c r="N134" s="298">
        <v>87.36</v>
      </c>
      <c r="O134" s="298">
        <v>51.57</v>
      </c>
      <c r="P134" s="298">
        <v>37.24</v>
      </c>
      <c r="Q134" s="298">
        <v>26.53</v>
      </c>
      <c r="R134" s="298">
        <v>8766</v>
      </c>
      <c r="S134">
        <v>4963</v>
      </c>
      <c r="T134" s="298">
        <v>0.84</v>
      </c>
      <c r="U134" s="298">
        <v>0.7</v>
      </c>
      <c r="V134" s="637">
        <v>1</v>
      </c>
      <c r="W134" s="163">
        <v>100000</v>
      </c>
      <c r="X134" s="638">
        <f t="shared" si="31"/>
        <v>19.132949244113998</v>
      </c>
      <c r="Y134" s="638">
        <f t="shared" si="32"/>
        <v>23.827608086419747</v>
      </c>
      <c r="Z134" s="638">
        <f t="shared" si="33"/>
        <v>10.776597930607185</v>
      </c>
      <c r="AA134" s="638">
        <f t="shared" si="34"/>
        <v>13.420855756172838</v>
      </c>
      <c r="AB134" s="638">
        <f t="shared" si="35"/>
        <v>8.9925742307692307</v>
      </c>
      <c r="AC134" s="638">
        <f t="shared" si="36"/>
        <v>10.606410461538461</v>
      </c>
      <c r="AD134" s="852" t="s">
        <v>1607</v>
      </c>
      <c r="AE134" s="877">
        <f>AVERAGE(X134:X137)</f>
        <v>24.25563238537794</v>
      </c>
      <c r="AF134" s="877">
        <f>AVERAGE(Y134:Y137)</f>
        <v>30.207245887345675</v>
      </c>
      <c r="AG134" s="877" t="s">
        <v>1602</v>
      </c>
      <c r="AH134" s="877" t="s">
        <v>1602</v>
      </c>
      <c r="AI134" s="920">
        <f>AVERAGE(AB134:AB137)</f>
        <v>11.394963162393163</v>
      </c>
      <c r="AJ134" s="654"/>
      <c r="AK134" s="654"/>
      <c r="AL134" s="654"/>
      <c r="AM134" s="894" t="s">
        <v>1606</v>
      </c>
      <c r="AN134" s="895" t="e">
        <f>AE134*AVERAGE($AF$41:$AF$42)</f>
        <v>#DIV/0!</v>
      </c>
      <c r="AO134" s="896" t="e">
        <f>AF134*AVERAGE($AF$41:$AF$42)</f>
        <v>#DIV/0!</v>
      </c>
      <c r="AP134" s="903" t="s">
        <v>1605</v>
      </c>
      <c r="AQ134" s="904">
        <f>AE134*AVERAGE($AA152:$AB154)</f>
        <v>45.196328344754228</v>
      </c>
      <c r="AR134" s="893">
        <f>AF134*AVERAGE($AA152:$AB154)</f>
        <v>56.286168170087436</v>
      </c>
      <c r="AS134" s="468">
        <f t="shared" si="37"/>
        <v>3589.5</v>
      </c>
      <c r="AT134" s="873"/>
      <c r="AU134" s="905"/>
      <c r="AV134" s="905"/>
      <c r="AW134" s="906"/>
      <c r="AX134" s="909"/>
      <c r="AY134" s="865"/>
      <c r="AZ134" s="909"/>
      <c r="BA134" s="865"/>
      <c r="BB134" s="909"/>
      <c r="BC134" s="865"/>
    </row>
    <row r="135" spans="1:55" ht="15.75" thickBot="1" x14ac:dyDescent="0.3">
      <c r="A135" s="849"/>
      <c r="B135" s="653"/>
      <c r="C135">
        <v>6</v>
      </c>
      <c r="D135" s="635">
        <v>3</v>
      </c>
      <c r="E135">
        <v>1</v>
      </c>
      <c r="F135">
        <v>70</v>
      </c>
      <c r="G135" s="636">
        <v>0.80700000000000005</v>
      </c>
      <c r="H135" s="636">
        <v>0.64800000000000002</v>
      </c>
      <c r="I135" s="636">
        <v>0.81899999999999995</v>
      </c>
      <c r="J135" s="298">
        <v>627.9</v>
      </c>
      <c r="K135">
        <v>356.3</v>
      </c>
      <c r="L135" s="298">
        <v>248.9</v>
      </c>
      <c r="M135">
        <v>170.5</v>
      </c>
      <c r="N135" s="655">
        <v>103.5</v>
      </c>
      <c r="O135" s="298">
        <v>61.09</v>
      </c>
      <c r="P135" s="298">
        <v>44.11</v>
      </c>
      <c r="Q135" s="298">
        <v>31.41</v>
      </c>
      <c r="R135" s="298">
        <v>8766</v>
      </c>
      <c r="S135">
        <v>4963</v>
      </c>
      <c r="T135" s="298">
        <v>0.84</v>
      </c>
      <c r="U135" s="298">
        <v>0.7</v>
      </c>
      <c r="V135" s="637">
        <v>1</v>
      </c>
      <c r="W135" s="163">
        <v>100000</v>
      </c>
      <c r="X135" s="638">
        <f t="shared" si="31"/>
        <v>22.575192565055762</v>
      </c>
      <c r="Y135" s="638">
        <f t="shared" si="32"/>
        <v>28.114475925925927</v>
      </c>
      <c r="Z135" s="638">
        <f t="shared" si="33"/>
        <v>12.708662465923174</v>
      </c>
      <c r="AA135" s="638">
        <f t="shared" si="34"/>
        <v>15.826991682098766</v>
      </c>
      <c r="AB135" s="638">
        <f t="shared" si="35"/>
        <v>10.604700854700855</v>
      </c>
      <c r="AC135" s="638">
        <f t="shared" si="36"/>
        <v>12.505260923076923</v>
      </c>
      <c r="AD135" s="852"/>
      <c r="AE135" s="877"/>
      <c r="AF135" s="877"/>
      <c r="AG135" s="877"/>
      <c r="AH135" s="877"/>
      <c r="AI135" s="920"/>
      <c r="AJ135" s="654"/>
      <c r="AK135" s="654"/>
      <c r="AL135" s="654"/>
      <c r="AM135" s="894"/>
      <c r="AN135" s="895"/>
      <c r="AO135" s="896"/>
      <c r="AP135" s="903"/>
      <c r="AQ135" s="904"/>
      <c r="AR135" s="893"/>
      <c r="AS135" s="468">
        <f t="shared" si="37"/>
        <v>6202.6559999999999</v>
      </c>
      <c r="AT135" s="742"/>
      <c r="AU135" s="906"/>
      <c r="AV135" s="913"/>
      <c r="AW135" s="874" t="s">
        <v>1604</v>
      </c>
      <c r="AX135" s="860">
        <f>(1/AS135*X135+1/AS136*X136+1/AS137*X137)/(1/AS135+1/AS136+1/AS137)</f>
        <v>24.999763600321025</v>
      </c>
      <c r="AY135" s="863">
        <f>(1/AS135*Y135+1/AS136*Y136+1/AS137*Y137)/(1/AS135+1/AS136+1/AS137)</f>
        <v>31.133964854103496</v>
      </c>
      <c r="AZ135" s="860">
        <f>AVERAGE(AA150,AA151,AB150,AB151,AA153,AA154,AB153,AB154,AC150,AC151)*AX135</f>
        <v>44.895855334511324</v>
      </c>
      <c r="BA135" s="863">
        <f>AVERAGE(AA150,AA151,AB150,AB151,AA153,AA154,AB153,AB154,AC150,AC151)*AY135</f>
        <v>55.911967986034931</v>
      </c>
      <c r="BB135" s="860">
        <f>AVERAGE(AF150,AF151,AF153,AF154)*AX135</f>
        <v>107.52607289087437</v>
      </c>
      <c r="BC135" s="863">
        <f>AVERAGE(AF150,AF151,AF153,AF154)*AY135</f>
        <v>133.90978522057964</v>
      </c>
    </row>
    <row r="136" spans="1:55" x14ac:dyDescent="0.25">
      <c r="A136" s="849"/>
      <c r="B136" s="653"/>
      <c r="C136">
        <v>7</v>
      </c>
      <c r="D136" s="635">
        <v>3</v>
      </c>
      <c r="E136">
        <v>1</v>
      </c>
      <c r="F136">
        <v>70</v>
      </c>
      <c r="G136" s="636">
        <v>0.80700000000000005</v>
      </c>
      <c r="H136" s="636">
        <v>0.64800000000000002</v>
      </c>
      <c r="I136" s="636">
        <v>0.81899999999999995</v>
      </c>
      <c r="J136" s="656">
        <v>718</v>
      </c>
      <c r="K136">
        <v>407.3</v>
      </c>
      <c r="L136" s="298">
        <v>284.39999999999998</v>
      </c>
      <c r="M136">
        <v>194.8</v>
      </c>
      <c r="N136" s="655">
        <v>116.9</v>
      </c>
      <c r="O136" s="298">
        <v>68.97</v>
      </c>
      <c r="P136" s="298">
        <v>49.79</v>
      </c>
      <c r="Q136" s="298">
        <v>35.450000000000003</v>
      </c>
      <c r="R136" s="298">
        <v>8766</v>
      </c>
      <c r="S136">
        <v>4963</v>
      </c>
      <c r="T136" s="298">
        <v>0.84</v>
      </c>
      <c r="U136" s="298">
        <v>0.7</v>
      </c>
      <c r="V136" s="637">
        <v>1</v>
      </c>
      <c r="W136" s="163">
        <v>100000</v>
      </c>
      <c r="X136" s="638">
        <f t="shared" si="31"/>
        <v>25.877094299876084</v>
      </c>
      <c r="Y136" s="638">
        <f t="shared" si="32"/>
        <v>32.226566512345677</v>
      </c>
      <c r="Z136" s="638">
        <f t="shared" si="33"/>
        <v>14.564959764560099</v>
      </c>
      <c r="AA136" s="638">
        <f t="shared" si="34"/>
        <v>18.138769336419752</v>
      </c>
      <c r="AB136" s="638">
        <f t="shared" si="35"/>
        <v>12.151714615384616</v>
      </c>
      <c r="AC136" s="638">
        <f t="shared" si="36"/>
        <v>14.326790769230771</v>
      </c>
      <c r="AD136" s="852"/>
      <c r="AE136" s="877"/>
      <c r="AF136" s="877"/>
      <c r="AG136" s="877"/>
      <c r="AH136" s="877"/>
      <c r="AI136" s="920"/>
      <c r="AJ136" s="654"/>
      <c r="AK136" s="654"/>
      <c r="AL136" s="654"/>
      <c r="AM136" s="894"/>
      <c r="AN136" s="895"/>
      <c r="AO136" s="896"/>
      <c r="AP136" s="903"/>
      <c r="AQ136" s="904"/>
      <c r="AR136" s="893"/>
      <c r="AS136" s="468">
        <f t="shared" si="37"/>
        <v>9849.5879999999997</v>
      </c>
      <c r="AW136" s="905"/>
      <c r="AX136" s="861"/>
      <c r="AY136" s="864"/>
      <c r="AZ136" s="861"/>
      <c r="BA136" s="864"/>
      <c r="BB136" s="861"/>
      <c r="BC136" s="864"/>
    </row>
    <row r="137" spans="1:55" ht="15.75" thickBot="1" x14ac:dyDescent="0.3">
      <c r="A137" s="850"/>
      <c r="B137" s="653"/>
      <c r="C137">
        <v>8</v>
      </c>
      <c r="D137" s="635">
        <v>3</v>
      </c>
      <c r="E137">
        <v>1</v>
      </c>
      <c r="F137">
        <v>70</v>
      </c>
      <c r="G137" s="636">
        <v>0.80700000000000005</v>
      </c>
      <c r="H137" s="636">
        <v>0.64800000000000002</v>
      </c>
      <c r="I137" s="636">
        <v>0.81899999999999995</v>
      </c>
      <c r="J137" s="298">
        <v>807.8</v>
      </c>
      <c r="K137">
        <v>458.2</v>
      </c>
      <c r="L137" s="298">
        <v>319.89999999999998</v>
      </c>
      <c r="M137">
        <v>219.1</v>
      </c>
      <c r="N137" s="655">
        <v>124</v>
      </c>
      <c r="O137" s="298">
        <v>73.16</v>
      </c>
      <c r="P137" s="298">
        <v>52.83</v>
      </c>
      <c r="Q137" s="298">
        <v>37.630000000000003</v>
      </c>
      <c r="R137" s="298">
        <v>8766</v>
      </c>
      <c r="S137">
        <v>4963</v>
      </c>
      <c r="T137" s="298">
        <v>0.84</v>
      </c>
      <c r="U137" s="298">
        <v>0.7</v>
      </c>
      <c r="V137" s="637">
        <v>1</v>
      </c>
      <c r="W137" s="163">
        <v>100000</v>
      </c>
      <c r="X137" s="638">
        <f t="shared" si="31"/>
        <v>29.437293432465918</v>
      </c>
      <c r="Y137" s="638">
        <f t="shared" si="32"/>
        <v>36.660333024691354</v>
      </c>
      <c r="Z137" s="638">
        <f t="shared" si="33"/>
        <v>16.575805006195786</v>
      </c>
      <c r="AA137" s="638">
        <f t="shared" si="34"/>
        <v>20.643016419753085</v>
      </c>
      <c r="AB137" s="638">
        <f t="shared" si="35"/>
        <v>13.830862948717947</v>
      </c>
      <c r="AC137" s="638">
        <f t="shared" si="36"/>
        <v>16.315548923076925</v>
      </c>
      <c r="AD137" s="852"/>
      <c r="AE137" s="877"/>
      <c r="AF137" s="877"/>
      <c r="AG137" s="877"/>
      <c r="AH137" s="877"/>
      <c r="AI137" s="920"/>
      <c r="AJ137" s="654"/>
      <c r="AK137" s="654"/>
      <c r="AL137" s="654"/>
      <c r="AM137" s="894"/>
      <c r="AN137" s="895"/>
      <c r="AO137" s="896"/>
      <c r="AP137" s="903"/>
      <c r="AQ137" s="904"/>
      <c r="AR137" s="893"/>
      <c r="AS137" s="468">
        <f t="shared" si="37"/>
        <v>14702.592000000001</v>
      </c>
      <c r="AW137" s="906"/>
      <c r="AX137" s="862"/>
      <c r="AY137" s="865"/>
      <c r="AZ137" s="862"/>
      <c r="BA137" s="865"/>
      <c r="BB137" s="862"/>
      <c r="BC137" s="865"/>
    </row>
    <row r="138" spans="1:55" x14ac:dyDescent="0.25">
      <c r="A138" s="871" t="s">
        <v>1603</v>
      </c>
      <c r="B138" s="653"/>
      <c r="C138">
        <v>9</v>
      </c>
      <c r="D138" s="635">
        <v>3</v>
      </c>
      <c r="E138">
        <v>1</v>
      </c>
      <c r="F138">
        <v>70</v>
      </c>
      <c r="G138" s="636">
        <v>0.80700000000000005</v>
      </c>
      <c r="H138" s="636">
        <v>0.64800000000000002</v>
      </c>
      <c r="I138" s="636">
        <v>0.81899999999999995</v>
      </c>
      <c r="J138" s="298">
        <v>897.4</v>
      </c>
      <c r="K138">
        <v>508.9</v>
      </c>
      <c r="L138" s="298">
        <v>355.3</v>
      </c>
      <c r="M138">
        <v>243.3</v>
      </c>
      <c r="N138" s="655">
        <v>136.6</v>
      </c>
      <c r="O138" s="298">
        <v>80.599999999999994</v>
      </c>
      <c r="P138" s="298">
        <v>58.2</v>
      </c>
      <c r="Q138" s="298">
        <v>41.45</v>
      </c>
      <c r="R138" s="298">
        <v>8766</v>
      </c>
      <c r="S138">
        <v>4963</v>
      </c>
      <c r="T138" s="298">
        <v>0.84</v>
      </c>
      <c r="U138" s="298">
        <v>0.7</v>
      </c>
      <c r="V138" s="637">
        <v>1</v>
      </c>
      <c r="W138" s="163">
        <v>100000</v>
      </c>
      <c r="X138" s="638">
        <f t="shared" si="31"/>
        <v>32.752110037174717</v>
      </c>
      <c r="Y138" s="638">
        <f t="shared" si="32"/>
        <v>40.788507407407401</v>
      </c>
      <c r="Z138" s="638">
        <f t="shared" si="33"/>
        <v>18.438129244113998</v>
      </c>
      <c r="AA138" s="638">
        <f t="shared" si="34"/>
        <v>22.962299845679009</v>
      </c>
      <c r="AB138" s="638">
        <f t="shared" si="35"/>
        <v>15.385299999999997</v>
      </c>
      <c r="AC138" s="638">
        <f t="shared" si="36"/>
        <v>18.147867692307692</v>
      </c>
      <c r="AD138" s="852" t="s">
        <v>1603</v>
      </c>
      <c r="AE138" s="877">
        <f>AVERAGE(X138:X140)</f>
        <v>37.425857951259808</v>
      </c>
      <c r="AF138" s="877">
        <f>AVERAGE(Y138:Y140)</f>
        <v>46.609054578189294</v>
      </c>
      <c r="AG138" s="877" t="s">
        <v>1602</v>
      </c>
      <c r="AH138" s="877" t="s">
        <v>1602</v>
      </c>
      <c r="AI138" s="920">
        <f>AVERAGE(AB138:AB140)</f>
        <v>17.571989316239314</v>
      </c>
      <c r="AJ138" s="654"/>
      <c r="AK138" s="654"/>
      <c r="AL138" s="654"/>
      <c r="AM138" s="894" t="s">
        <v>1601</v>
      </c>
      <c r="AN138" s="895" t="e">
        <f>AE138*AVERAGE($AF$43:$AF$44)</f>
        <v>#DIV/0!</v>
      </c>
      <c r="AO138" s="896" t="e">
        <f>AF138*AVERAGE($AF$43:$AF$44)</f>
        <v>#DIV/0!</v>
      </c>
      <c r="AP138" s="903" t="s">
        <v>1600</v>
      </c>
      <c r="AQ138" s="904">
        <f>AE138*AVERAGE($AA155:$AB156)</f>
        <v>119.01422828500618</v>
      </c>
      <c r="AR138" s="893">
        <f>AF138*AVERAGE($AA155:$AB156)</f>
        <v>148.21679355864194</v>
      </c>
      <c r="AS138" s="468">
        <f t="shared" si="37"/>
        <v>20933.964</v>
      </c>
      <c r="AW138" s="919" t="s">
        <v>1599</v>
      </c>
      <c r="AX138" s="860">
        <f>(1/AS138*X138+1/AS139*X139+1/AS140*X140)/(1/AS138+1/AS139+1/AS140)</f>
        <v>35.984797966765058</v>
      </c>
      <c r="AY138" s="863">
        <f>(1/AS138*Y138+1/AS139*Y139+1/AS140*Y140)/(1/AS138+1/AS139+1/AS140)</f>
        <v>44.814401171573145</v>
      </c>
      <c r="AZ138" s="860">
        <f>AVERAGE(AA151,AA154,AA155,AA156,AB151,AB154,AB155,AB156,AC151,AC155,AC156)*AX138</f>
        <v>80.577400496643122</v>
      </c>
      <c r="BA138" s="863">
        <f>AVERAGE(AA151,AA154,AA155,AA156,AB151,AB154,AB155,AB156,AC151,AC155,AC156)*AY138</f>
        <v>100.3487070999861</v>
      </c>
      <c r="BB138" s="860">
        <f>AVERAGE(AF155,AF156)*AX138</f>
        <v>175.06254164158375</v>
      </c>
      <c r="BC138" s="863">
        <f>AVERAGE(AF155,AF156)*AY138</f>
        <v>218.0177023221575</v>
      </c>
    </row>
    <row r="139" spans="1:55" x14ac:dyDescent="0.25">
      <c r="A139" s="849"/>
      <c r="B139" s="653"/>
      <c r="C139">
        <v>10</v>
      </c>
      <c r="D139" s="635">
        <v>3</v>
      </c>
      <c r="E139">
        <v>1</v>
      </c>
      <c r="F139">
        <v>70</v>
      </c>
      <c r="G139" s="636">
        <v>0.80700000000000005</v>
      </c>
      <c r="H139" s="636">
        <v>0.64800000000000002</v>
      </c>
      <c r="I139" s="636">
        <v>0.81899999999999995</v>
      </c>
      <c r="J139" s="298">
        <v>997.9</v>
      </c>
      <c r="K139">
        <v>565.79999999999995</v>
      </c>
      <c r="L139" s="298">
        <v>395</v>
      </c>
      <c r="M139">
        <v>270.39999999999998</v>
      </c>
      <c r="N139" s="655">
        <v>158.6</v>
      </c>
      <c r="O139" s="298">
        <v>93.56</v>
      </c>
      <c r="P139" s="298">
        <v>67.53</v>
      </c>
      <c r="Q139" s="298">
        <v>48.07</v>
      </c>
      <c r="R139" s="298">
        <v>8766</v>
      </c>
      <c r="S139">
        <v>4963</v>
      </c>
      <c r="T139" s="298">
        <v>0.84</v>
      </c>
      <c r="U139" s="298">
        <v>0.7</v>
      </c>
      <c r="V139" s="637">
        <v>1</v>
      </c>
      <c r="W139" s="163">
        <v>100000</v>
      </c>
      <c r="X139" s="638">
        <f t="shared" si="31"/>
        <v>36.131500991325893</v>
      </c>
      <c r="Y139" s="638">
        <f t="shared" si="32"/>
        <v>44.997100771604927</v>
      </c>
      <c r="Z139" s="638">
        <f t="shared" si="33"/>
        <v>20.329727187112759</v>
      </c>
      <c r="AA139" s="638">
        <f t="shared" si="34"/>
        <v>25.318039876543207</v>
      </c>
      <c r="AB139" s="638">
        <f t="shared" si="35"/>
        <v>16.961370641025642</v>
      </c>
      <c r="AC139" s="638">
        <f t="shared" si="36"/>
        <v>19.989177230769229</v>
      </c>
      <c r="AD139" s="852"/>
      <c r="AE139" s="877"/>
      <c r="AF139" s="877"/>
      <c r="AG139" s="877"/>
      <c r="AH139" s="877"/>
      <c r="AI139" s="920"/>
      <c r="AJ139" s="654"/>
      <c r="AK139" s="654"/>
      <c r="AL139" s="654"/>
      <c r="AM139" s="894"/>
      <c r="AN139" s="895"/>
      <c r="AO139" s="896"/>
      <c r="AP139" s="903"/>
      <c r="AQ139" s="904"/>
      <c r="AR139" s="893"/>
      <c r="AS139" s="468">
        <f t="shared" si="37"/>
        <v>28716</v>
      </c>
      <c r="AW139" s="875"/>
      <c r="AX139" s="861"/>
      <c r="AY139" s="864"/>
      <c r="AZ139" s="861"/>
      <c r="BA139" s="864"/>
      <c r="BB139" s="861"/>
      <c r="BC139" s="864"/>
    </row>
    <row r="140" spans="1:55" ht="15.75" thickBot="1" x14ac:dyDescent="0.3">
      <c r="A140" s="850"/>
      <c r="B140" s="653"/>
      <c r="C140">
        <v>12</v>
      </c>
      <c r="D140" s="635">
        <v>3</v>
      </c>
      <c r="E140">
        <v>1</v>
      </c>
      <c r="F140">
        <v>70</v>
      </c>
      <c r="G140" s="636">
        <v>0.80700000000000005</v>
      </c>
      <c r="H140" s="636">
        <v>0.64800000000000002</v>
      </c>
      <c r="I140" s="636">
        <v>0.81899999999999995</v>
      </c>
      <c r="J140" s="656">
        <v>1177</v>
      </c>
      <c r="K140">
        <v>666.8</v>
      </c>
      <c r="L140" s="298">
        <v>465.4</v>
      </c>
      <c r="M140">
        <v>318.60000000000002</v>
      </c>
      <c r="N140" s="655">
        <v>169</v>
      </c>
      <c r="O140" s="298">
        <v>99.76</v>
      </c>
      <c r="P140" s="298">
        <v>72.05</v>
      </c>
      <c r="Q140" s="298">
        <v>51.32</v>
      </c>
      <c r="R140" s="298">
        <v>8766</v>
      </c>
      <c r="S140">
        <v>4963</v>
      </c>
      <c r="T140" s="298">
        <v>0.84</v>
      </c>
      <c r="U140" s="298">
        <v>0.7</v>
      </c>
      <c r="V140" s="637">
        <v>1</v>
      </c>
      <c r="W140" s="163">
        <v>100000</v>
      </c>
      <c r="X140" s="638">
        <f t="shared" si="31"/>
        <v>43.393962825278805</v>
      </c>
      <c r="Y140" s="638">
        <f t="shared" si="32"/>
        <v>54.041555555555547</v>
      </c>
      <c r="Z140" s="638">
        <f t="shared" si="33"/>
        <v>24.410826071871124</v>
      </c>
      <c r="AA140" s="638">
        <f t="shared" si="34"/>
        <v>30.400519506172834</v>
      </c>
      <c r="AB140" s="638">
        <f t="shared" si="35"/>
        <v>20.369297307692307</v>
      </c>
      <c r="AC140" s="638">
        <f t="shared" si="36"/>
        <v>24.030528</v>
      </c>
      <c r="AD140" s="944"/>
      <c r="AE140" s="927"/>
      <c r="AF140" s="927"/>
      <c r="AG140" s="927"/>
      <c r="AH140" s="927"/>
      <c r="AI140" s="945"/>
      <c r="AJ140" s="654"/>
      <c r="AK140" s="654"/>
      <c r="AL140" s="654"/>
      <c r="AM140" s="946"/>
      <c r="AN140" s="947"/>
      <c r="AO140" s="948"/>
      <c r="AP140" s="929"/>
      <c r="AQ140" s="930"/>
      <c r="AR140" s="931"/>
      <c r="AS140" s="529">
        <f t="shared" si="37"/>
        <v>49621.248</v>
      </c>
      <c r="AW140" s="876"/>
      <c r="AX140" s="862"/>
      <c r="AY140" s="865"/>
      <c r="AZ140" s="862"/>
      <c r="BA140" s="865"/>
      <c r="BB140" s="862"/>
      <c r="BC140" s="865"/>
    </row>
    <row r="142" spans="1:55" ht="15.75" thickBot="1" x14ac:dyDescent="0.3"/>
    <row r="143" spans="1:55" ht="15.75" thickBot="1" x14ac:dyDescent="0.3">
      <c r="A143" s="932" t="s">
        <v>1598</v>
      </c>
      <c r="B143" s="933"/>
      <c r="C143" s="933"/>
      <c r="D143" s="933"/>
      <c r="E143" s="933"/>
      <c r="F143" s="934"/>
      <c r="Y143" s="727" t="s">
        <v>1597</v>
      </c>
      <c r="Z143" s="728"/>
      <c r="AA143" s="728"/>
      <c r="AB143" s="728"/>
      <c r="AC143" s="728"/>
      <c r="AD143" s="728"/>
      <c r="AE143" s="728"/>
      <c r="AF143" s="729"/>
    </row>
    <row r="144" spans="1:55" ht="45.75" thickBot="1" x14ac:dyDescent="0.3">
      <c r="A144" s="541" t="s">
        <v>80</v>
      </c>
      <c r="B144" s="543" t="s">
        <v>1532</v>
      </c>
      <c r="C144" s="543" t="s">
        <v>1531</v>
      </c>
      <c r="D144" s="544" t="s">
        <v>1530</v>
      </c>
      <c r="E144" s="543" t="s">
        <v>1529</v>
      </c>
      <c r="F144" s="657" t="s">
        <v>1528</v>
      </c>
      <c r="Y144" s="435" t="s">
        <v>1574</v>
      </c>
      <c r="Z144" s="550" t="s">
        <v>1596</v>
      </c>
      <c r="AA144" s="550" t="s">
        <v>1595</v>
      </c>
      <c r="AB144" s="550" t="s">
        <v>1594</v>
      </c>
      <c r="AC144" s="550" t="str">
        <f>+AJ159</f>
        <v>Equivalent Length of flange</v>
      </c>
      <c r="AD144" s="550" t="s">
        <v>1593</v>
      </c>
      <c r="AE144" s="551" t="s">
        <v>1592</v>
      </c>
      <c r="AF144" s="550" t="s">
        <v>1591</v>
      </c>
      <c r="AG144" s="47"/>
      <c r="AH144" s="47"/>
    </row>
    <row r="145" spans="1:36" ht="15.75" thickBot="1" x14ac:dyDescent="0.3">
      <c r="A145" s="658" t="s">
        <v>1819</v>
      </c>
      <c r="B145" s="554">
        <f>(1/AS123*AC123+1/AS124*AC124+1/AS125*AC125)/(1/AS123+1/AS124+1/AS125)</f>
        <v>1.8798146309195689</v>
      </c>
      <c r="C145" s="554">
        <f>B145</f>
        <v>1.8798146309195689</v>
      </c>
      <c r="D145" s="554">
        <f t="shared" ref="D145:F145" si="38">C145</f>
        <v>1.8798146309195689</v>
      </c>
      <c r="E145" s="554">
        <f t="shared" si="38"/>
        <v>1.8798146309195689</v>
      </c>
      <c r="F145" s="659">
        <f t="shared" si="38"/>
        <v>1.8798146309195689</v>
      </c>
      <c r="Y145" s="561">
        <v>1</v>
      </c>
      <c r="Z145" s="562">
        <v>0.1</v>
      </c>
      <c r="AA145" s="562">
        <v>0.3</v>
      </c>
      <c r="AB145" s="562">
        <v>0.38</v>
      </c>
      <c r="AC145" s="660">
        <v>1.04</v>
      </c>
      <c r="AD145" s="564">
        <f t="shared" ref="AD145:AD156" si="39">Z145/AA145</f>
        <v>0.33333333333333337</v>
      </c>
      <c r="AE145" s="661">
        <v>0.69</v>
      </c>
      <c r="AF145" s="567">
        <v>2</v>
      </c>
    </row>
    <row r="146" spans="1:36" ht="15.75" thickBot="1" x14ac:dyDescent="0.3">
      <c r="A146" s="662" t="s">
        <v>1821</v>
      </c>
      <c r="B146" s="569">
        <f>(1/AS126*AC126+1/AS127*AC127+1/AS128*AC128)/(1/AS126+1/AS127+1/AS128)</f>
        <v>3.62502834586232</v>
      </c>
      <c r="C146" s="554">
        <f t="shared" ref="C146:F147" si="40">B146</f>
        <v>3.62502834586232</v>
      </c>
      <c r="D146" s="554">
        <f t="shared" si="40"/>
        <v>3.62502834586232</v>
      </c>
      <c r="E146" s="554">
        <f t="shared" si="40"/>
        <v>3.62502834586232</v>
      </c>
      <c r="F146" s="663">
        <f t="shared" si="40"/>
        <v>3.62502834586232</v>
      </c>
      <c r="Y146" s="561">
        <v>2</v>
      </c>
      <c r="Z146" s="562">
        <v>0.41</v>
      </c>
      <c r="AA146" s="562">
        <v>0.66</v>
      </c>
      <c r="AB146" s="562">
        <v>0.63</v>
      </c>
      <c r="AC146" s="660">
        <v>1.1399999999999999</v>
      </c>
      <c r="AD146" s="564">
        <f t="shared" si="39"/>
        <v>0.6212121212121211</v>
      </c>
      <c r="AE146" s="661">
        <v>2.21</v>
      </c>
      <c r="AF146" s="571">
        <v>3.56</v>
      </c>
    </row>
    <row r="147" spans="1:36" ht="15.75" thickBot="1" x14ac:dyDescent="0.3">
      <c r="A147" s="664" t="s">
        <v>1590</v>
      </c>
      <c r="B147" s="569">
        <f>(1/AS129*AC129+1/AS130*AC130+1/AS131*AC131+1/AS132*AC132)/(1/AS129+1/AS130+1/AS131+1/AS132)</f>
        <v>6.6996511850434315</v>
      </c>
      <c r="C147" s="554">
        <f t="shared" si="40"/>
        <v>6.6996511850434315</v>
      </c>
      <c r="D147" s="554">
        <f t="shared" si="40"/>
        <v>6.6996511850434315</v>
      </c>
      <c r="E147" s="554">
        <f t="shared" si="40"/>
        <v>6.6996511850434315</v>
      </c>
      <c r="F147" s="663">
        <f t="shared" si="40"/>
        <v>6.6996511850434315</v>
      </c>
      <c r="Y147" s="561">
        <v>3</v>
      </c>
      <c r="Z147" s="562">
        <v>0.93</v>
      </c>
      <c r="AA147" s="562">
        <v>1.01</v>
      </c>
      <c r="AB147" s="562">
        <v>0.84</v>
      </c>
      <c r="AC147" s="660">
        <v>1.1599999999999999</v>
      </c>
      <c r="AD147" s="564">
        <f t="shared" si="39"/>
        <v>0.92079207920792083</v>
      </c>
      <c r="AE147" s="661">
        <v>3.37</v>
      </c>
      <c r="AF147" s="571">
        <v>3.67</v>
      </c>
    </row>
    <row r="148" spans="1:36" ht="15.75" thickBot="1" x14ac:dyDescent="0.3">
      <c r="A148" s="664" t="s">
        <v>1589</v>
      </c>
      <c r="B148" s="665"/>
      <c r="C148" s="665"/>
      <c r="D148" s="665"/>
      <c r="E148" s="665"/>
      <c r="F148" s="666"/>
      <c r="Y148" s="561">
        <v>4</v>
      </c>
      <c r="Z148" s="562">
        <v>1.64</v>
      </c>
      <c r="AA148" s="562">
        <v>1.4</v>
      </c>
      <c r="AB148" s="562">
        <v>1.03</v>
      </c>
      <c r="AC148" s="660">
        <v>1.22</v>
      </c>
      <c r="AD148" s="564">
        <f t="shared" si="39"/>
        <v>1.1714285714285715</v>
      </c>
      <c r="AE148" s="661">
        <v>4.68</v>
      </c>
      <c r="AF148" s="571">
        <v>3.98</v>
      </c>
    </row>
    <row r="149" spans="1:36" ht="15.75" thickBot="1" x14ac:dyDescent="0.3">
      <c r="A149" s="667" t="s">
        <v>1588</v>
      </c>
      <c r="B149" s="668"/>
      <c r="C149" s="665"/>
      <c r="D149" s="668"/>
      <c r="E149" s="668"/>
      <c r="F149" s="669"/>
      <c r="Y149" s="561">
        <v>5</v>
      </c>
      <c r="Z149" s="562">
        <v>2.57</v>
      </c>
      <c r="AA149" s="562">
        <v>1.76</v>
      </c>
      <c r="AB149" s="562">
        <v>1.22</v>
      </c>
      <c r="AC149" s="575"/>
      <c r="AD149" s="571">
        <f t="shared" si="39"/>
        <v>1.4602272727272727</v>
      </c>
      <c r="AE149" s="670"/>
      <c r="AF149" s="671">
        <f t="shared" ref="AF149:AF156" si="41">AE149/AD149</f>
        <v>0</v>
      </c>
    </row>
    <row r="150" spans="1:36" ht="15.75" thickBot="1" x14ac:dyDescent="0.3">
      <c r="A150" s="664" t="s">
        <v>1587</v>
      </c>
      <c r="B150" s="668"/>
      <c r="C150" s="665"/>
      <c r="D150" s="668"/>
      <c r="E150" s="668"/>
      <c r="F150" s="669"/>
      <c r="Y150" s="561">
        <v>6</v>
      </c>
      <c r="Z150" s="562">
        <v>3.7</v>
      </c>
      <c r="AA150" s="562">
        <v>2.13</v>
      </c>
      <c r="AB150" s="562">
        <v>1.41</v>
      </c>
      <c r="AC150" s="567">
        <f>+AJ164</f>
        <v>0.75521615221260574</v>
      </c>
      <c r="AD150" s="571">
        <f t="shared" si="39"/>
        <v>1.7370892018779345</v>
      </c>
      <c r="AE150" s="566">
        <v>7.03</v>
      </c>
      <c r="AF150" s="571">
        <f t="shared" si="41"/>
        <v>4.0469999999999997</v>
      </c>
    </row>
    <row r="151" spans="1:36" ht="15.75" thickBot="1" x14ac:dyDescent="0.3">
      <c r="A151" s="664" t="s">
        <v>1586</v>
      </c>
      <c r="B151" s="668"/>
      <c r="C151" s="665"/>
      <c r="D151" s="668"/>
      <c r="E151" s="668"/>
      <c r="F151" s="669"/>
      <c r="Y151" s="561">
        <v>8</v>
      </c>
      <c r="Z151" s="562">
        <v>6.58</v>
      </c>
      <c r="AA151" s="562">
        <v>2.91</v>
      </c>
      <c r="AB151" s="562">
        <v>1.75</v>
      </c>
      <c r="AC151" s="579">
        <f>+AJ165</f>
        <v>0.80329579705031451</v>
      </c>
      <c r="AD151" s="571">
        <f t="shared" si="39"/>
        <v>2.261168384879725</v>
      </c>
      <c r="AE151" s="566">
        <v>10.3</v>
      </c>
      <c r="AF151" s="571">
        <f t="shared" si="41"/>
        <v>4.55516717325228</v>
      </c>
    </row>
    <row r="152" spans="1:36" ht="15.75" thickBot="1" x14ac:dyDescent="0.3">
      <c r="A152" s="672" t="s">
        <v>1585</v>
      </c>
      <c r="B152" s="673">
        <f>AVERAGE(AB124:AB127)</f>
        <v>2.5082238461538457</v>
      </c>
      <c r="C152" s="673">
        <f>AVERAGE(AB124:AB127)</f>
        <v>2.5082238461538457</v>
      </c>
      <c r="D152" s="673">
        <f>AVERAGE(AB124:AB127)</f>
        <v>2.5082238461538457</v>
      </c>
      <c r="E152" s="673">
        <f>AVERAGE(AB124:AB127)</f>
        <v>2.5082238461538457</v>
      </c>
      <c r="F152" s="674">
        <f>AVERAGE(AB124:AB127)</f>
        <v>2.5082238461538457</v>
      </c>
      <c r="Y152" s="561">
        <v>5</v>
      </c>
      <c r="Z152" s="562">
        <v>2.57</v>
      </c>
      <c r="AA152" s="562">
        <v>1.76</v>
      </c>
      <c r="AB152" s="562">
        <v>1.22</v>
      </c>
      <c r="AC152" s="580"/>
      <c r="AD152" s="571">
        <f t="shared" si="39"/>
        <v>1.4602272727272727</v>
      </c>
      <c r="AE152" s="670"/>
      <c r="AF152" s="671">
        <f t="shared" si="41"/>
        <v>0</v>
      </c>
    </row>
    <row r="153" spans="1:36" ht="15.75" thickBot="1" x14ac:dyDescent="0.3">
      <c r="A153" s="672" t="s">
        <v>1584</v>
      </c>
      <c r="B153" s="673">
        <f>AVERAGE(AB128:AB133)</f>
        <v>6.1921908760683761</v>
      </c>
      <c r="C153" s="673">
        <f>AVERAGE(AB128:AB133)</f>
        <v>6.1921908760683761</v>
      </c>
      <c r="D153" s="673">
        <f>AVERAGE(AB128:AB133)</f>
        <v>6.1921908760683761</v>
      </c>
      <c r="E153" s="673">
        <f>AVERAGE(AB128:AB133)</f>
        <v>6.1921908760683761</v>
      </c>
      <c r="F153" s="674">
        <f>AVERAGE(AB128:AB133)</f>
        <v>6.1921908760683761</v>
      </c>
      <c r="Y153" s="561">
        <v>6</v>
      </c>
      <c r="Z153" s="562">
        <v>3.7</v>
      </c>
      <c r="AA153" s="562">
        <v>2.13</v>
      </c>
      <c r="AB153" s="562">
        <v>1.41</v>
      </c>
      <c r="AC153" s="580"/>
      <c r="AD153" s="571">
        <f t="shared" si="39"/>
        <v>1.7370892018779345</v>
      </c>
      <c r="AE153" s="566">
        <v>7.03</v>
      </c>
      <c r="AF153" s="571">
        <f t="shared" si="41"/>
        <v>4.0469999999999997</v>
      </c>
    </row>
    <row r="154" spans="1:36" ht="15.75" thickBot="1" x14ac:dyDescent="0.3">
      <c r="A154" s="672" t="s">
        <v>1583</v>
      </c>
      <c r="B154" s="673">
        <f>AVERAGE(AB134:AB137)</f>
        <v>11.394963162393163</v>
      </c>
      <c r="C154" s="673">
        <f>AVERAGE(AB134:AB137)</f>
        <v>11.394963162393163</v>
      </c>
      <c r="D154" s="673">
        <f>AVERAGE(AB134:AB137)</f>
        <v>11.394963162393163</v>
      </c>
      <c r="E154" s="673">
        <f>AVERAGE(AB134:AB137)</f>
        <v>11.394963162393163</v>
      </c>
      <c r="F154" s="674">
        <f>AVERAGE(AB134:AB137)</f>
        <v>11.394963162393163</v>
      </c>
      <c r="Y154" s="561">
        <v>8</v>
      </c>
      <c r="Z154" s="562">
        <v>6.58</v>
      </c>
      <c r="AA154" s="562">
        <v>2.91</v>
      </c>
      <c r="AB154" s="562">
        <v>1.75</v>
      </c>
      <c r="AC154" s="580"/>
      <c r="AD154" s="571">
        <f t="shared" si="39"/>
        <v>2.261168384879725</v>
      </c>
      <c r="AE154" s="566">
        <v>10.3</v>
      </c>
      <c r="AF154" s="571">
        <f t="shared" si="41"/>
        <v>4.55516717325228</v>
      </c>
    </row>
    <row r="155" spans="1:36" ht="15.75" thickBot="1" x14ac:dyDescent="0.3">
      <c r="A155" s="672" t="s">
        <v>1582</v>
      </c>
      <c r="B155" s="673">
        <f>AVERAGE(X134:X137)</f>
        <v>24.25563238537794</v>
      </c>
      <c r="C155" s="675"/>
      <c r="D155" s="673">
        <f>AVERAGE(X134:X137)</f>
        <v>24.25563238537794</v>
      </c>
      <c r="E155" s="675"/>
      <c r="F155" s="674">
        <f>AVERAGE(X134:X137)</f>
        <v>24.25563238537794</v>
      </c>
      <c r="Y155" s="561">
        <v>10</v>
      </c>
      <c r="Z155" s="562">
        <v>10.28</v>
      </c>
      <c r="AA155" s="562">
        <v>3.65</v>
      </c>
      <c r="AB155" s="562">
        <v>2.13</v>
      </c>
      <c r="AC155" s="579">
        <f>+AJ166</f>
        <v>0.83389709421412606</v>
      </c>
      <c r="AD155" s="571">
        <f t="shared" si="39"/>
        <v>2.8164383561643835</v>
      </c>
      <c r="AE155" s="566">
        <v>13.8</v>
      </c>
      <c r="AF155" s="571">
        <f t="shared" si="41"/>
        <v>4.8998054474708175</v>
      </c>
    </row>
    <row r="156" spans="1:36" ht="15.75" thickBot="1" x14ac:dyDescent="0.3">
      <c r="A156" s="672" t="s">
        <v>1581</v>
      </c>
      <c r="B156" s="675">
        <f>AE134*AVERAGE($AA152:$AB154)</f>
        <v>45.196328344754228</v>
      </c>
      <c r="C156" s="675"/>
      <c r="D156" s="675">
        <f>AE134*AVERAGE($AA152:$AB154)</f>
        <v>45.196328344754228</v>
      </c>
      <c r="E156" s="675"/>
      <c r="F156" s="676">
        <f>AE134*AVERAGE($AA152:$AB154)</f>
        <v>45.196328344754228</v>
      </c>
      <c r="Y156" s="561">
        <v>12</v>
      </c>
      <c r="Z156" s="562">
        <v>14.8</v>
      </c>
      <c r="AA156" s="562">
        <v>4.4400000000000004</v>
      </c>
      <c r="AB156" s="582">
        <v>2.5</v>
      </c>
      <c r="AC156" s="579">
        <f>+AJ167</f>
        <v>0.95408074494419615</v>
      </c>
      <c r="AD156" s="571">
        <f t="shared" si="39"/>
        <v>3.333333333333333</v>
      </c>
      <c r="AE156" s="566">
        <v>16.100000000000001</v>
      </c>
      <c r="AF156" s="571">
        <f t="shared" si="41"/>
        <v>4.830000000000001</v>
      </c>
    </row>
    <row r="157" spans="1:36" ht="15.75" thickBot="1" x14ac:dyDescent="0.3">
      <c r="A157" s="672" t="s">
        <v>1580</v>
      </c>
      <c r="B157" s="675" t="e">
        <f>AE134*AVERAGE($AF$41:$AF$42)</f>
        <v>#DIV/0!</v>
      </c>
      <c r="C157" s="675"/>
      <c r="D157" s="675" t="e">
        <f>AE134*AVERAGE($AF$41:$AF$42)</f>
        <v>#DIV/0!</v>
      </c>
      <c r="E157" s="675"/>
      <c r="F157" s="676" t="e">
        <f>AE134*AVERAGE($AF$41:$AF$42)</f>
        <v>#DIV/0!</v>
      </c>
    </row>
    <row r="158" spans="1:36" ht="15.75" thickBot="1" x14ac:dyDescent="0.3">
      <c r="A158" s="672" t="s">
        <v>1579</v>
      </c>
      <c r="B158" s="673">
        <f>AVERAGE(X128:X133)</f>
        <v>13.148126788517139</v>
      </c>
      <c r="C158" s="675"/>
      <c r="D158" s="673">
        <f>AVERAGE(X128:X133)</f>
        <v>13.148126788517139</v>
      </c>
      <c r="E158" s="675"/>
      <c r="F158" s="674">
        <f>AVERAGE(X128:X133)</f>
        <v>13.148126788517139</v>
      </c>
      <c r="Y158" s="727" t="s">
        <v>1578</v>
      </c>
      <c r="Z158" s="728"/>
      <c r="AA158" s="728"/>
      <c r="AB158" s="728"/>
      <c r="AC158" s="728"/>
      <c r="AD158" s="729"/>
      <c r="AE158" s="585"/>
      <c r="AF158" s="586" t="s">
        <v>1577</v>
      </c>
      <c r="AG158" s="420">
        <v>2</v>
      </c>
      <c r="AH158" s="711" t="s">
        <v>1576</v>
      </c>
      <c r="AI158" s="712"/>
    </row>
    <row r="159" spans="1:36" ht="45.75" thickBot="1" x14ac:dyDescent="0.3">
      <c r="A159" s="672" t="s">
        <v>1575</v>
      </c>
      <c r="B159" s="675">
        <f>AE128*AVERAGE($AA146:$AB148)</f>
        <v>12.205844368673409</v>
      </c>
      <c r="C159" s="675"/>
      <c r="D159" s="675">
        <f>AE128*AVERAGE($AA146:$AB148)</f>
        <v>12.205844368673409</v>
      </c>
      <c r="E159" s="675"/>
      <c r="F159" s="676">
        <f>AE128*AVERAGE($AA146:$AB148)</f>
        <v>12.205844368673409</v>
      </c>
      <c r="Y159" s="435" t="s">
        <v>1574</v>
      </c>
      <c r="Z159" s="590" t="s">
        <v>1573</v>
      </c>
      <c r="AA159" s="590" t="s">
        <v>1572</v>
      </c>
      <c r="AB159" s="590" t="s">
        <v>1571</v>
      </c>
      <c r="AC159" s="590" t="s">
        <v>1570</v>
      </c>
      <c r="AD159" s="591" t="s">
        <v>1569</v>
      </c>
      <c r="AE159" s="590" t="s">
        <v>1568</v>
      </c>
      <c r="AF159" s="590" t="s">
        <v>1567</v>
      </c>
      <c r="AG159" s="590" t="s">
        <v>1566</v>
      </c>
      <c r="AH159" s="590" t="s">
        <v>1565</v>
      </c>
      <c r="AI159" s="590" t="s">
        <v>1564</v>
      </c>
      <c r="AJ159" s="590" t="s">
        <v>1563</v>
      </c>
    </row>
    <row r="160" spans="1:36" ht="15.75" thickBot="1" x14ac:dyDescent="0.3">
      <c r="A160" s="672" t="s">
        <v>1562</v>
      </c>
      <c r="B160" s="675" t="e">
        <f>AE128*AVERAGE($AF$34:$AF$36)</f>
        <v>#DIV/0!</v>
      </c>
      <c r="C160" s="675"/>
      <c r="D160" s="675" t="e">
        <f>AE128*AVERAGE($AF$34:$AF$36)</f>
        <v>#DIV/0!</v>
      </c>
      <c r="E160" s="675"/>
      <c r="F160" s="676" t="e">
        <f>AE128*AVERAGE($AF$34:$AF$36)</f>
        <v>#DIV/0!</v>
      </c>
      <c r="Y160" s="677">
        <v>1</v>
      </c>
      <c r="Z160" s="678">
        <v>4.25</v>
      </c>
      <c r="AA160" s="678">
        <v>0.625</v>
      </c>
      <c r="AB160" s="679">
        <v>4</v>
      </c>
      <c r="AC160" s="678">
        <v>0.5</v>
      </c>
      <c r="AD160" s="678">
        <v>1.36</v>
      </c>
      <c r="AE160" s="680">
        <f>+PI()*Z160*AC160*$AG$158</f>
        <v>13.351768777756622</v>
      </c>
      <c r="AF160" s="680">
        <f>+$AG$158*PI()*((Z160/2)^2-(AD160/2)^2)</f>
        <v>25.46716376669298</v>
      </c>
      <c r="AG160" s="681">
        <f t="shared" ref="AG160:AG167" si="42">+AB160*PI()*(AA160/2)^2</f>
        <v>1.227184630308513</v>
      </c>
      <c r="AH160" s="682">
        <f t="shared" ref="AH160:AH167" si="43">+AE160+AF160+AG160</f>
        <v>40.046117174758116</v>
      </c>
      <c r="AI160" s="682">
        <f t="shared" ref="AI160:AI167" si="44">+AH160/(12^2)</f>
        <v>0.27809803593582028</v>
      </c>
      <c r="AJ160" s="682">
        <f>+AI160/AD145</f>
        <v>0.83429410780746072</v>
      </c>
    </row>
    <row r="161" spans="1:36" ht="15.75" thickBot="1" x14ac:dyDescent="0.3">
      <c r="A161" s="672" t="s">
        <v>1561</v>
      </c>
      <c r="B161" s="673">
        <f>AVERAGE(Z124:Z127)</f>
        <v>3.0051825991325898</v>
      </c>
      <c r="C161" s="675"/>
      <c r="D161" s="673">
        <f>AVERAGE(Z124:Z127)</f>
        <v>3.0051825991325898</v>
      </c>
      <c r="E161" s="675"/>
      <c r="F161" s="674">
        <f>AVERAGE(Z124:Z127)</f>
        <v>3.0051825991325898</v>
      </c>
      <c r="Y161" s="677">
        <v>2</v>
      </c>
      <c r="Z161" s="683">
        <v>6</v>
      </c>
      <c r="AA161" s="683">
        <v>0.75</v>
      </c>
      <c r="AB161" s="684">
        <v>4</v>
      </c>
      <c r="AC161" s="683">
        <v>0.69</v>
      </c>
      <c r="AD161" s="683">
        <v>2.44</v>
      </c>
      <c r="AE161" s="680">
        <f t="shared" ref="AE161:AE167" si="45">+PI()*Z161*AC161*$AG$158</f>
        <v>26.012387171723486</v>
      </c>
      <c r="AF161" s="680">
        <f t="shared" ref="AF161:AF167" si="46">+$AG$158*PI()*((Z161/2)^2-(AD161/2)^2)</f>
        <v>47.196774753410175</v>
      </c>
      <c r="AG161" s="681">
        <f t="shared" si="42"/>
        <v>1.7671458676442586</v>
      </c>
      <c r="AH161" s="681">
        <f t="shared" si="43"/>
        <v>74.976307792777916</v>
      </c>
      <c r="AI161" s="681">
        <f t="shared" si="44"/>
        <v>0.52066880411651328</v>
      </c>
      <c r="AJ161" s="681">
        <f>+AI161/AD146</f>
        <v>0.83814978223633863</v>
      </c>
    </row>
    <row r="162" spans="1:36" ht="15.75" thickBot="1" x14ac:dyDescent="0.3">
      <c r="A162" s="672" t="s">
        <v>1560</v>
      </c>
      <c r="B162" s="673">
        <f>AVERAGE(Z124:Z127)</f>
        <v>3.0051825991325898</v>
      </c>
      <c r="C162" s="675"/>
      <c r="D162" s="673">
        <f>AVERAGE(Z124:Z127)</f>
        <v>3.0051825991325898</v>
      </c>
      <c r="E162" s="675"/>
      <c r="F162" s="674">
        <f>AVERAGE(Z124:Z127)</f>
        <v>3.0051825991325898</v>
      </c>
      <c r="Y162" s="677">
        <v>3</v>
      </c>
      <c r="Z162" s="683">
        <v>7.5</v>
      </c>
      <c r="AA162" s="683">
        <v>0.75</v>
      </c>
      <c r="AB162" s="684">
        <v>4</v>
      </c>
      <c r="AC162" s="683">
        <v>0.88</v>
      </c>
      <c r="AD162" s="683">
        <v>3.57</v>
      </c>
      <c r="AE162" s="680">
        <f t="shared" si="45"/>
        <v>41.469023027385269</v>
      </c>
      <c r="AF162" s="680">
        <f t="shared" si="46"/>
        <v>68.337651276844653</v>
      </c>
      <c r="AG162" s="681">
        <f t="shared" si="42"/>
        <v>1.7671458676442586</v>
      </c>
      <c r="AH162" s="681">
        <f t="shared" si="43"/>
        <v>111.57382017187417</v>
      </c>
      <c r="AI162" s="681">
        <f t="shared" si="44"/>
        <v>0.77481819563801513</v>
      </c>
      <c r="AJ162" s="681">
        <f>+AI162/AD147</f>
        <v>0.84146922321977979</v>
      </c>
    </row>
    <row r="163" spans="1:36" ht="15.75" thickBot="1" x14ac:dyDescent="0.3">
      <c r="A163" s="672" t="s">
        <v>1559</v>
      </c>
      <c r="B163" s="675">
        <f>AE124*AVERAGE($AA145:$AB145)</f>
        <v>1.8081269864312264</v>
      </c>
      <c r="C163" s="675"/>
      <c r="D163" s="675">
        <f>AE124*AVERAGE($AA145:$AB145)</f>
        <v>1.8081269864312264</v>
      </c>
      <c r="E163" s="675"/>
      <c r="F163" s="676">
        <f>AE124*AVERAGE($AA145:$AB145)</f>
        <v>1.8081269864312264</v>
      </c>
      <c r="Y163" s="677">
        <v>4</v>
      </c>
      <c r="Z163" s="683">
        <v>9</v>
      </c>
      <c r="AA163" s="683">
        <v>0.75</v>
      </c>
      <c r="AB163" s="684">
        <v>8</v>
      </c>
      <c r="AC163" s="683">
        <v>0.88</v>
      </c>
      <c r="AD163" s="683">
        <v>4.57</v>
      </c>
      <c r="AE163" s="680">
        <f t="shared" si="45"/>
        <v>49.762827632862326</v>
      </c>
      <c r="AF163" s="680">
        <f t="shared" si="46"/>
        <v>94.428578264907884</v>
      </c>
      <c r="AG163" s="681">
        <f t="shared" si="42"/>
        <v>3.5342917352885173</v>
      </c>
      <c r="AH163" s="681">
        <f t="shared" si="43"/>
        <v>147.72569763305873</v>
      </c>
      <c r="AI163" s="681">
        <f t="shared" si="44"/>
        <v>1.0258729002295746</v>
      </c>
      <c r="AJ163" s="681">
        <f>+AI163/AD148</f>
        <v>0.87574515873256364</v>
      </c>
    </row>
    <row r="164" spans="1:36" ht="15.75" thickBot="1" x14ac:dyDescent="0.3">
      <c r="A164" s="672" t="s">
        <v>1558</v>
      </c>
      <c r="B164" s="675">
        <f>AE124*$AF$33</f>
        <v>0</v>
      </c>
      <c r="C164" s="675"/>
      <c r="D164" s="675">
        <f>AE124*$AF$33</f>
        <v>0</v>
      </c>
      <c r="E164" s="675"/>
      <c r="F164" s="676">
        <f>AE124*$AF$33</f>
        <v>0</v>
      </c>
      <c r="Y164" s="600">
        <v>6</v>
      </c>
      <c r="Z164" s="601">
        <v>11</v>
      </c>
      <c r="AA164" s="601">
        <v>0.875</v>
      </c>
      <c r="AB164" s="602">
        <v>8</v>
      </c>
      <c r="AC164" s="601">
        <v>0.94</v>
      </c>
      <c r="AD164" s="601">
        <v>6.72</v>
      </c>
      <c r="AE164" s="685">
        <f t="shared" si="45"/>
        <v>64.968136076236917</v>
      </c>
      <c r="AF164" s="685">
        <f t="shared" si="46"/>
        <v>119.13170669824783</v>
      </c>
      <c r="AG164" s="603">
        <f t="shared" si="42"/>
        <v>4.8105637508093704</v>
      </c>
      <c r="AH164" s="603">
        <f t="shared" si="43"/>
        <v>188.91040652529409</v>
      </c>
      <c r="AI164" s="603">
        <f t="shared" si="44"/>
        <v>1.31187782309232</v>
      </c>
      <c r="AJ164" s="603">
        <f>+AI164/AD150</f>
        <v>0.75521615221260574</v>
      </c>
    </row>
    <row r="165" spans="1:36" ht="15.75" thickBot="1" x14ac:dyDescent="0.3">
      <c r="A165" s="672" t="s">
        <v>1557</v>
      </c>
      <c r="B165" s="673">
        <f>AVERAGE(X138:X140)</f>
        <v>37.425857951259808</v>
      </c>
      <c r="C165" s="675"/>
      <c r="D165" s="673">
        <f>AVERAGE(X138:X140)</f>
        <v>37.425857951259808</v>
      </c>
      <c r="E165" s="675"/>
      <c r="F165" s="674">
        <f>AVERAGE(X138:X140)</f>
        <v>37.425857951259808</v>
      </c>
      <c r="Y165" s="600">
        <v>8</v>
      </c>
      <c r="Z165" s="601">
        <v>13.5</v>
      </c>
      <c r="AA165" s="601">
        <v>0.875</v>
      </c>
      <c r="AB165" s="602">
        <v>8</v>
      </c>
      <c r="AC165" s="601">
        <v>1.06</v>
      </c>
      <c r="AD165" s="601">
        <v>8.7200000000000006</v>
      </c>
      <c r="AE165" s="685">
        <f t="shared" si="45"/>
        <v>89.912381745739879</v>
      </c>
      <c r="AF165" s="685">
        <f t="shared" si="46"/>
        <v>166.83679114300881</v>
      </c>
      <c r="AG165" s="603">
        <f t="shared" si="42"/>
        <v>4.8105637508093704</v>
      </c>
      <c r="AH165" s="603">
        <f t="shared" si="43"/>
        <v>261.55973663955808</v>
      </c>
      <c r="AI165" s="603">
        <f t="shared" si="44"/>
        <v>1.8163870599969312</v>
      </c>
      <c r="AJ165" s="603">
        <f>+AI165/AD154</f>
        <v>0.80329579705031451</v>
      </c>
    </row>
    <row r="166" spans="1:36" ht="15.75" thickBot="1" x14ac:dyDescent="0.3">
      <c r="A166" s="672" t="s">
        <v>1556</v>
      </c>
      <c r="B166" s="675">
        <f>AE138*AVERAGE($AA155:$AB156)</f>
        <v>119.01422828500618</v>
      </c>
      <c r="C166" s="675"/>
      <c r="D166" s="675">
        <f>AE138*AVERAGE($AA155:$AB156)</f>
        <v>119.01422828500618</v>
      </c>
      <c r="E166" s="675"/>
      <c r="F166" s="676">
        <f>AE138*AVERAGE($AA155:$AB156)</f>
        <v>119.01422828500618</v>
      </c>
      <c r="Y166" s="600">
        <v>10</v>
      </c>
      <c r="Z166" s="601">
        <v>16</v>
      </c>
      <c r="AA166" s="601">
        <v>1</v>
      </c>
      <c r="AB166" s="602">
        <v>12</v>
      </c>
      <c r="AC166" s="601">
        <v>1.1200000000000001</v>
      </c>
      <c r="AD166" s="601">
        <v>10.88</v>
      </c>
      <c r="AE166" s="685">
        <f t="shared" si="45"/>
        <v>112.5946807046582</v>
      </c>
      <c r="AF166" s="685">
        <f t="shared" si="46"/>
        <v>216.18178695294367</v>
      </c>
      <c r="AG166" s="603">
        <f t="shared" si="42"/>
        <v>9.4247779607693793</v>
      </c>
      <c r="AH166" s="603">
        <f t="shared" si="43"/>
        <v>338.20124561837127</v>
      </c>
      <c r="AI166" s="603">
        <f t="shared" si="44"/>
        <v>2.3486197612386892</v>
      </c>
      <c r="AJ166" s="603">
        <f>+AI166/AD155</f>
        <v>0.83389709421412606</v>
      </c>
    </row>
    <row r="167" spans="1:36" ht="15.75" thickBot="1" x14ac:dyDescent="0.3">
      <c r="A167" s="686" t="s">
        <v>1555</v>
      </c>
      <c r="B167" s="687" t="e">
        <f>AE138*AVERAGE($AF$43:$AF$44)</f>
        <v>#DIV/0!</v>
      </c>
      <c r="C167" s="687"/>
      <c r="D167" s="687" t="e">
        <f>AE138*AVERAGE($AF$43:$AF$44)</f>
        <v>#DIV/0!</v>
      </c>
      <c r="E167" s="687"/>
      <c r="F167" s="688" t="e">
        <f>AE138*AVERAGE($AF$43:$AF$44)</f>
        <v>#DIV/0!</v>
      </c>
      <c r="Y167" s="600">
        <v>12</v>
      </c>
      <c r="Z167" s="601">
        <v>19</v>
      </c>
      <c r="AA167" s="601">
        <v>1</v>
      </c>
      <c r="AB167" s="602">
        <v>12</v>
      </c>
      <c r="AC167" s="601">
        <v>1.19</v>
      </c>
      <c r="AD167" s="601">
        <v>12.88</v>
      </c>
      <c r="AE167" s="685">
        <f t="shared" si="45"/>
        <v>142.06281979533043</v>
      </c>
      <c r="AF167" s="685">
        <f t="shared" si="46"/>
        <v>306.47115981711431</v>
      </c>
      <c r="AG167" s="603">
        <f t="shared" si="42"/>
        <v>9.4247779607693793</v>
      </c>
      <c r="AH167" s="603">
        <f t="shared" si="43"/>
        <v>457.95875757321414</v>
      </c>
      <c r="AI167" s="603">
        <f t="shared" si="44"/>
        <v>3.180269149813987</v>
      </c>
      <c r="AJ167" s="603">
        <f>+AI167/AD156</f>
        <v>0.95408074494419615</v>
      </c>
    </row>
    <row r="168" spans="1:36" x14ac:dyDescent="0.25">
      <c r="A168" s="689" t="s">
        <v>1554</v>
      </c>
      <c r="B168" s="690">
        <f>AU125</f>
        <v>2.6588140926267867</v>
      </c>
      <c r="C168" s="690">
        <f>AU125</f>
        <v>2.6588140926267867</v>
      </c>
      <c r="D168" s="690">
        <f t="shared" ref="D168:D173" si="47">B168</f>
        <v>2.6588140926267867</v>
      </c>
      <c r="E168" s="691"/>
      <c r="F168" s="692">
        <f t="shared" ref="F168:F173" si="48">B168</f>
        <v>2.6588140926267867</v>
      </c>
      <c r="Y168" s="585"/>
      <c r="Z168" s="578"/>
      <c r="AA168" s="578"/>
      <c r="AB168" s="578"/>
      <c r="AD168" s="578"/>
    </row>
    <row r="169" spans="1:36" x14ac:dyDescent="0.25">
      <c r="A169" s="471" t="s">
        <v>1553</v>
      </c>
      <c r="B169" s="484">
        <f>AU129</f>
        <v>5.6760447573279711</v>
      </c>
      <c r="C169" s="484">
        <f>AU129</f>
        <v>5.6760447573279711</v>
      </c>
      <c r="D169" s="484">
        <f t="shared" si="47"/>
        <v>5.6760447573279711</v>
      </c>
      <c r="E169" s="164"/>
      <c r="F169" s="693">
        <f t="shared" si="48"/>
        <v>5.6760447573279711</v>
      </c>
      <c r="Y169" s="585"/>
      <c r="Z169" s="578"/>
      <c r="AA169" s="578"/>
      <c r="AB169" s="578"/>
      <c r="AD169" s="578"/>
    </row>
    <row r="170" spans="1:36" x14ac:dyDescent="0.25">
      <c r="A170" s="471" t="s">
        <v>1552</v>
      </c>
      <c r="B170" s="484">
        <f>AU133</f>
        <v>9.0407613085908682</v>
      </c>
      <c r="C170" s="484">
        <f>AU133</f>
        <v>9.0407613085908682</v>
      </c>
      <c r="D170" s="484">
        <f t="shared" si="47"/>
        <v>9.0407613085908682</v>
      </c>
      <c r="E170" s="164"/>
      <c r="F170" s="693">
        <f t="shared" si="48"/>
        <v>9.0407613085908682</v>
      </c>
      <c r="Y170" s="585"/>
      <c r="Z170" s="578"/>
      <c r="AA170" s="578"/>
      <c r="AB170" s="578"/>
      <c r="AD170" s="578"/>
    </row>
    <row r="171" spans="1:36" x14ac:dyDescent="0.25">
      <c r="A171" s="471" t="s">
        <v>1551</v>
      </c>
      <c r="B171" s="484">
        <f>AV125</f>
        <v>3.1358228800964363</v>
      </c>
      <c r="C171" s="484">
        <f>AV125</f>
        <v>3.1358228800964363</v>
      </c>
      <c r="D171" s="484">
        <f t="shared" si="47"/>
        <v>3.1358228800964363</v>
      </c>
      <c r="E171" s="164"/>
      <c r="F171" s="693">
        <f t="shared" si="48"/>
        <v>3.1358228800964363</v>
      </c>
      <c r="Y171" s="585"/>
      <c r="Z171" s="578"/>
      <c r="AA171" s="578"/>
      <c r="AB171" s="694"/>
      <c r="AD171" s="578"/>
    </row>
    <row r="172" spans="1:36" x14ac:dyDescent="0.25">
      <c r="A172" s="471" t="s">
        <v>1550</v>
      </c>
      <c r="B172" s="484">
        <f>AV129</f>
        <v>6.1942373572810965</v>
      </c>
      <c r="C172" s="484">
        <f>AV129</f>
        <v>6.1942373572810965</v>
      </c>
      <c r="D172" s="484">
        <f t="shared" si="47"/>
        <v>6.1942373572810965</v>
      </c>
      <c r="E172" s="164"/>
      <c r="F172" s="693">
        <f t="shared" si="48"/>
        <v>6.1942373572810965</v>
      </c>
    </row>
    <row r="173" spans="1:36" x14ac:dyDescent="0.25">
      <c r="A173" s="164" t="s">
        <v>1549</v>
      </c>
      <c r="B173" s="484">
        <f>AV133</f>
        <v>10.672873287490331</v>
      </c>
      <c r="C173" s="484">
        <f>AV133</f>
        <v>10.672873287490331</v>
      </c>
      <c r="D173" s="484">
        <f t="shared" si="47"/>
        <v>10.672873287490331</v>
      </c>
      <c r="E173" s="164"/>
      <c r="F173" s="484">
        <f t="shared" si="48"/>
        <v>10.672873287490331</v>
      </c>
    </row>
    <row r="174" spans="1:36" x14ac:dyDescent="0.25">
      <c r="A174" s="695" t="s">
        <v>1548</v>
      </c>
      <c r="B174" s="696">
        <f>AX123</f>
        <v>1.8333334299876081</v>
      </c>
      <c r="C174" s="696">
        <f>AX123</f>
        <v>1.8333334299876081</v>
      </c>
      <c r="D174" s="696">
        <f>AX123</f>
        <v>1.8333334299876081</v>
      </c>
      <c r="E174" s="695"/>
      <c r="F174" s="696">
        <f>AX123</f>
        <v>1.8333334299876081</v>
      </c>
    </row>
    <row r="175" spans="1:36" x14ac:dyDescent="0.25">
      <c r="A175" s="474" t="s">
        <v>1547</v>
      </c>
      <c r="B175" s="697">
        <f>AX125</f>
        <v>3.1854757047967208</v>
      </c>
      <c r="C175" s="697">
        <f>AX125</f>
        <v>3.1854757047967208</v>
      </c>
      <c r="D175" s="697">
        <f>B175</f>
        <v>3.1854757047967208</v>
      </c>
      <c r="E175" s="474"/>
      <c r="F175" s="697">
        <f>B175</f>
        <v>3.1854757047967208</v>
      </c>
    </row>
    <row r="176" spans="1:36" ht="14.85" customHeight="1" x14ac:dyDescent="0.25">
      <c r="A176" s="471" t="s">
        <v>1546</v>
      </c>
      <c r="B176" s="698">
        <f>AX129</f>
        <v>12.811046084448035</v>
      </c>
      <c r="C176" s="698">
        <f>AX129</f>
        <v>12.811046084448035</v>
      </c>
      <c r="D176" s="698">
        <f>B176</f>
        <v>12.811046084448035</v>
      </c>
      <c r="E176" s="164"/>
      <c r="F176" s="698">
        <f>B176</f>
        <v>12.811046084448035</v>
      </c>
      <c r="H176" s="935" t="s">
        <v>1545</v>
      </c>
      <c r="I176" s="936"/>
      <c r="J176" s="936"/>
      <c r="K176" s="937"/>
    </row>
    <row r="177" spans="1:11" x14ac:dyDescent="0.25">
      <c r="A177" s="695" t="s">
        <v>1544</v>
      </c>
      <c r="B177" s="696">
        <f>AZ123</f>
        <v>0.62333336619578672</v>
      </c>
      <c r="C177" s="696">
        <f>AZ123</f>
        <v>0.62333336619578672</v>
      </c>
      <c r="D177" s="696">
        <f>AZ123</f>
        <v>0.62333336619578672</v>
      </c>
      <c r="E177" s="695"/>
      <c r="F177" s="696"/>
      <c r="H177" s="938"/>
      <c r="I177" s="939"/>
      <c r="J177" s="939"/>
      <c r="K177" s="940"/>
    </row>
    <row r="178" spans="1:11" x14ac:dyDescent="0.25">
      <c r="A178" s="695" t="s">
        <v>1543</v>
      </c>
      <c r="B178" s="696">
        <f>BB123</f>
        <v>3.6666668599752161</v>
      </c>
      <c r="C178" s="696">
        <f>BB123</f>
        <v>3.6666668599752161</v>
      </c>
      <c r="D178" s="696">
        <f>BB123</f>
        <v>3.6666668599752161</v>
      </c>
      <c r="E178" s="695"/>
      <c r="F178" s="696"/>
      <c r="H178" s="938"/>
      <c r="I178" s="939"/>
      <c r="J178" s="939"/>
      <c r="K178" s="940"/>
    </row>
    <row r="179" spans="1:11" x14ac:dyDescent="0.25">
      <c r="A179" s="164" t="s">
        <v>1542</v>
      </c>
      <c r="B179" s="484">
        <f>AZ125</f>
        <v>1.5688467846123848</v>
      </c>
      <c r="C179" s="484">
        <f>AZ125</f>
        <v>1.5688467846123848</v>
      </c>
      <c r="D179" s="484">
        <f t="shared" ref="D179:D188" si="49">B179</f>
        <v>1.5688467846123848</v>
      </c>
      <c r="E179" s="164"/>
      <c r="F179" s="484">
        <f t="shared" ref="F179:F188" si="50">B179</f>
        <v>1.5688467846123848</v>
      </c>
      <c r="H179" s="938"/>
      <c r="I179" s="939"/>
      <c r="J179" s="939"/>
      <c r="K179" s="940"/>
    </row>
    <row r="180" spans="1:11" x14ac:dyDescent="0.25">
      <c r="A180" s="164" t="s">
        <v>1541</v>
      </c>
      <c r="B180" s="484">
        <f>BB125</f>
        <v>8.8556224593348851</v>
      </c>
      <c r="C180" s="484">
        <f>BB125</f>
        <v>8.8556224593348851</v>
      </c>
      <c r="D180" s="484">
        <f t="shared" si="49"/>
        <v>8.8556224593348851</v>
      </c>
      <c r="E180" s="164"/>
      <c r="F180" s="484">
        <f t="shared" si="50"/>
        <v>8.8556224593348851</v>
      </c>
      <c r="H180" s="938"/>
      <c r="I180" s="939"/>
      <c r="J180" s="939"/>
      <c r="K180" s="940"/>
    </row>
    <row r="181" spans="1:11" x14ac:dyDescent="0.25">
      <c r="A181" s="164" t="s">
        <v>1540</v>
      </c>
      <c r="B181" s="698">
        <f>AZ129</f>
        <v>16.16754015857342</v>
      </c>
      <c r="C181" s="698">
        <f>AZ129</f>
        <v>16.16754015857342</v>
      </c>
      <c r="D181" s="698">
        <f t="shared" si="49"/>
        <v>16.16754015857342</v>
      </c>
      <c r="E181" s="164"/>
      <c r="F181" s="698">
        <f t="shared" si="50"/>
        <v>16.16754015857342</v>
      </c>
      <c r="H181" s="938"/>
      <c r="I181" s="939"/>
      <c r="J181" s="939"/>
      <c r="K181" s="940"/>
    </row>
    <row r="182" spans="1:11" x14ac:dyDescent="0.25">
      <c r="A182" s="164" t="s">
        <v>1539</v>
      </c>
      <c r="B182" s="698">
        <f>BB129</f>
        <v>49.002251273013741</v>
      </c>
      <c r="C182" s="698">
        <f>BB129</f>
        <v>49.002251273013741</v>
      </c>
      <c r="D182" s="698">
        <f t="shared" si="49"/>
        <v>49.002251273013741</v>
      </c>
      <c r="E182" s="164"/>
      <c r="F182" s="698">
        <f t="shared" si="50"/>
        <v>49.002251273013741</v>
      </c>
      <c r="H182" s="941"/>
      <c r="I182" s="942"/>
      <c r="J182" s="942"/>
      <c r="K182" s="943"/>
    </row>
    <row r="183" spans="1:11" x14ac:dyDescent="0.25">
      <c r="A183" s="471" t="s">
        <v>1538</v>
      </c>
      <c r="B183" s="484">
        <f>AX135</f>
        <v>24.999763600321025</v>
      </c>
      <c r="C183" s="484">
        <f>AX135</f>
        <v>24.999763600321025</v>
      </c>
      <c r="D183" s="484">
        <f t="shared" si="49"/>
        <v>24.999763600321025</v>
      </c>
      <c r="E183" s="164"/>
      <c r="F183" s="484">
        <f t="shared" si="50"/>
        <v>24.999763600321025</v>
      </c>
    </row>
    <row r="184" spans="1:11" x14ac:dyDescent="0.25">
      <c r="A184" s="164" t="s">
        <v>1537</v>
      </c>
      <c r="B184" s="484">
        <f>AZ135</f>
        <v>44.895855334511324</v>
      </c>
      <c r="C184" s="484">
        <f>AZ135</f>
        <v>44.895855334511324</v>
      </c>
      <c r="D184" s="484">
        <f t="shared" si="49"/>
        <v>44.895855334511324</v>
      </c>
      <c r="E184" s="164"/>
      <c r="F184" s="484">
        <f t="shared" si="50"/>
        <v>44.895855334511324</v>
      </c>
    </row>
    <row r="185" spans="1:11" x14ac:dyDescent="0.25">
      <c r="A185" s="164" t="s">
        <v>1536</v>
      </c>
      <c r="B185" s="484">
        <f>BB135</f>
        <v>107.52607289087437</v>
      </c>
      <c r="C185" s="484">
        <f>BB135</f>
        <v>107.52607289087437</v>
      </c>
      <c r="D185" s="484">
        <f t="shared" si="49"/>
        <v>107.52607289087437</v>
      </c>
      <c r="E185" s="164"/>
      <c r="F185" s="484">
        <f t="shared" si="50"/>
        <v>107.52607289087437</v>
      </c>
    </row>
    <row r="186" spans="1:11" x14ac:dyDescent="0.25">
      <c r="A186" s="164" t="s">
        <v>1535</v>
      </c>
      <c r="B186" s="484">
        <f>AX138</f>
        <v>35.984797966765058</v>
      </c>
      <c r="C186" s="484">
        <f>AX138</f>
        <v>35.984797966765058</v>
      </c>
      <c r="D186" s="484">
        <f t="shared" si="49"/>
        <v>35.984797966765058</v>
      </c>
      <c r="E186" s="164"/>
      <c r="F186" s="484">
        <f t="shared" si="50"/>
        <v>35.984797966765058</v>
      </c>
    </row>
    <row r="187" spans="1:11" x14ac:dyDescent="0.25">
      <c r="A187" s="164" t="s">
        <v>1534</v>
      </c>
      <c r="B187" s="484">
        <f>AZ138</f>
        <v>80.577400496643122</v>
      </c>
      <c r="C187" s="484">
        <f>AZ138</f>
        <v>80.577400496643122</v>
      </c>
      <c r="D187" s="484">
        <f t="shared" si="49"/>
        <v>80.577400496643122</v>
      </c>
      <c r="E187" s="164"/>
      <c r="F187" s="484">
        <f t="shared" si="50"/>
        <v>80.577400496643122</v>
      </c>
    </row>
    <row r="188" spans="1:11" x14ac:dyDescent="0.25">
      <c r="A188" s="164" t="s">
        <v>1533</v>
      </c>
      <c r="B188" s="484">
        <f>BB138</f>
        <v>175.06254164158375</v>
      </c>
      <c r="C188" s="484">
        <f>BB138</f>
        <v>175.06254164158375</v>
      </c>
      <c r="D188" s="484">
        <f t="shared" si="49"/>
        <v>175.06254164158375</v>
      </c>
      <c r="E188" s="164"/>
      <c r="F188" s="484">
        <f t="shared" si="50"/>
        <v>175.06254164158375</v>
      </c>
    </row>
    <row r="189" spans="1:11" ht="15.75" thickBot="1" x14ac:dyDescent="0.3">
      <c r="B189" s="543" t="s">
        <v>1532</v>
      </c>
      <c r="C189" s="543" t="s">
        <v>1531</v>
      </c>
      <c r="D189" s="544" t="s">
        <v>1530</v>
      </c>
      <c r="E189" s="543" t="s">
        <v>1529</v>
      </c>
      <c r="F189" s="657" t="s">
        <v>1528</v>
      </c>
    </row>
    <row r="190" spans="1:11" x14ac:dyDescent="0.25">
      <c r="B190" s="638"/>
      <c r="F190" s="638"/>
    </row>
    <row r="191" spans="1:11" x14ac:dyDescent="0.25">
      <c r="B191" s="638"/>
      <c r="F191" s="638"/>
    </row>
    <row r="192" spans="1:11" x14ac:dyDescent="0.25">
      <c r="B192" s="638"/>
      <c r="F192" s="638"/>
    </row>
    <row r="193" spans="2:12" x14ac:dyDescent="0.25">
      <c r="B193" s="638"/>
      <c r="F193" s="638"/>
      <c r="G193" s="699"/>
      <c r="H193" s="699"/>
      <c r="I193" s="699"/>
      <c r="J193" s="699"/>
      <c r="K193" s="699"/>
    </row>
    <row r="194" spans="2:12" ht="15" customHeight="1" x14ac:dyDescent="0.25">
      <c r="C194" t="s">
        <v>1527</v>
      </c>
      <c r="D194" t="s">
        <v>1526</v>
      </c>
      <c r="G194" s="700" t="s">
        <v>1525</v>
      </c>
      <c r="H194" s="699"/>
      <c r="I194" s="699"/>
      <c r="J194" s="699"/>
      <c r="K194" s="699"/>
      <c r="L194" s="699"/>
    </row>
    <row r="195" spans="2:12" ht="15" customHeight="1" x14ac:dyDescent="0.25">
      <c r="C195">
        <v>0.5</v>
      </c>
      <c r="E195" s="635">
        <f t="shared" ref="E195:E212" si="51">28.716*C195^3</f>
        <v>3.5895000000000001</v>
      </c>
      <c r="G195" s="839" t="s">
        <v>1524</v>
      </c>
      <c r="H195" s="840"/>
      <c r="I195" s="840"/>
      <c r="J195" s="841"/>
      <c r="K195" s="699"/>
      <c r="L195" s="699"/>
    </row>
    <row r="196" spans="2:12" x14ac:dyDescent="0.25">
      <c r="C196">
        <v>0.75</v>
      </c>
      <c r="E196" s="635">
        <f t="shared" si="51"/>
        <v>12.1145625</v>
      </c>
      <c r="G196" s="921"/>
      <c r="H196" s="922"/>
      <c r="I196" s="922"/>
      <c r="J196" s="923"/>
      <c r="K196" s="699"/>
      <c r="L196" s="699"/>
    </row>
    <row r="197" spans="2:12" x14ac:dyDescent="0.25">
      <c r="C197">
        <v>1</v>
      </c>
      <c r="D197">
        <v>30</v>
      </c>
      <c r="E197" s="635">
        <f t="shared" si="51"/>
        <v>28.716000000000001</v>
      </c>
      <c r="F197" s="585" t="s">
        <v>1523</v>
      </c>
      <c r="G197" s="921"/>
      <c r="H197" s="922"/>
      <c r="I197" s="922"/>
      <c r="J197" s="923"/>
      <c r="K197" s="699"/>
      <c r="L197" s="699"/>
    </row>
    <row r="198" spans="2:12" x14ac:dyDescent="0.25">
      <c r="C198">
        <v>1.25</v>
      </c>
      <c r="D198">
        <v>50</v>
      </c>
      <c r="E198" s="635">
        <f t="shared" si="51"/>
        <v>56.0859375</v>
      </c>
      <c r="G198" s="921"/>
      <c r="H198" s="922"/>
      <c r="I198" s="922"/>
      <c r="J198" s="923"/>
      <c r="K198" s="699"/>
      <c r="L198" s="699"/>
    </row>
    <row r="199" spans="2:12" x14ac:dyDescent="0.25">
      <c r="C199">
        <v>1.5</v>
      </c>
      <c r="D199">
        <v>100</v>
      </c>
      <c r="E199" s="635">
        <f t="shared" si="51"/>
        <v>96.916499999999999</v>
      </c>
      <c r="G199" s="921"/>
      <c r="H199" s="922"/>
      <c r="I199" s="922"/>
      <c r="J199" s="923"/>
      <c r="K199" s="699"/>
      <c r="L199" s="699"/>
    </row>
    <row r="200" spans="2:12" x14ac:dyDescent="0.25">
      <c r="C200">
        <v>2</v>
      </c>
      <c r="D200">
        <v>250</v>
      </c>
      <c r="E200" s="635">
        <f t="shared" si="51"/>
        <v>229.72800000000001</v>
      </c>
      <c r="G200" s="921"/>
      <c r="H200" s="922"/>
      <c r="I200" s="922"/>
      <c r="J200" s="923"/>
      <c r="K200" s="699"/>
      <c r="L200" s="699"/>
    </row>
    <row r="201" spans="2:12" x14ac:dyDescent="0.25">
      <c r="C201">
        <v>2.5</v>
      </c>
      <c r="D201">
        <v>450</v>
      </c>
      <c r="E201" s="635">
        <f t="shared" si="51"/>
        <v>448.6875</v>
      </c>
      <c r="G201" s="921"/>
      <c r="H201" s="922"/>
      <c r="I201" s="922"/>
      <c r="J201" s="923"/>
      <c r="K201" s="699"/>
      <c r="L201" s="699"/>
    </row>
    <row r="202" spans="2:12" x14ac:dyDescent="0.25">
      <c r="C202" s="619">
        <v>3</v>
      </c>
      <c r="D202">
        <v>750</v>
      </c>
      <c r="E202" s="635">
        <f t="shared" si="51"/>
        <v>775.33199999999999</v>
      </c>
      <c r="G202" s="921"/>
      <c r="H202" s="922"/>
      <c r="I202" s="922"/>
      <c r="J202" s="923"/>
      <c r="K202" s="699"/>
      <c r="L202" s="699"/>
    </row>
    <row r="203" spans="2:12" x14ac:dyDescent="0.25">
      <c r="C203">
        <v>3.5</v>
      </c>
      <c r="E203" s="635">
        <f t="shared" si="51"/>
        <v>1231.1985</v>
      </c>
      <c r="G203" s="921"/>
      <c r="H203" s="922"/>
      <c r="I203" s="922"/>
      <c r="J203" s="923"/>
      <c r="K203" s="699"/>
      <c r="L203" s="699"/>
    </row>
    <row r="204" spans="2:12" x14ac:dyDescent="0.25">
      <c r="C204">
        <v>4</v>
      </c>
      <c r="D204">
        <v>1750</v>
      </c>
      <c r="E204" s="635">
        <f t="shared" si="51"/>
        <v>1837.8240000000001</v>
      </c>
      <c r="G204" s="921"/>
      <c r="H204" s="922"/>
      <c r="I204" s="922"/>
      <c r="J204" s="923"/>
      <c r="K204" s="699"/>
      <c r="L204" s="699"/>
    </row>
    <row r="205" spans="2:12" x14ac:dyDescent="0.25">
      <c r="C205">
        <v>4.5</v>
      </c>
      <c r="E205" s="635">
        <f t="shared" si="51"/>
        <v>2616.7455</v>
      </c>
      <c r="G205" s="921"/>
      <c r="H205" s="922"/>
      <c r="I205" s="922"/>
      <c r="J205" s="923"/>
      <c r="K205" s="699"/>
      <c r="L205" s="699"/>
    </row>
    <row r="206" spans="2:12" x14ac:dyDescent="0.25">
      <c r="C206">
        <v>5</v>
      </c>
      <c r="E206" s="635">
        <f t="shared" si="51"/>
        <v>3589.5</v>
      </c>
      <c r="G206" s="921"/>
      <c r="H206" s="922"/>
      <c r="I206" s="922"/>
      <c r="J206" s="923"/>
      <c r="K206" s="699"/>
      <c r="L206" s="699"/>
    </row>
    <row r="207" spans="2:12" x14ac:dyDescent="0.25">
      <c r="C207">
        <v>6</v>
      </c>
      <c r="E207" s="635">
        <f t="shared" si="51"/>
        <v>6202.6559999999999</v>
      </c>
      <c r="G207" s="921"/>
      <c r="H207" s="922"/>
      <c r="I207" s="922"/>
      <c r="J207" s="923"/>
      <c r="K207" s="699"/>
      <c r="L207" s="699"/>
    </row>
    <row r="208" spans="2:12" x14ac:dyDescent="0.25">
      <c r="C208">
        <v>7</v>
      </c>
      <c r="E208" s="635">
        <f t="shared" si="51"/>
        <v>9849.5879999999997</v>
      </c>
      <c r="G208" s="921"/>
      <c r="H208" s="922"/>
      <c r="I208" s="922"/>
      <c r="J208" s="923"/>
      <c r="K208" s="699"/>
      <c r="L208" s="699"/>
    </row>
    <row r="209" spans="1:15" x14ac:dyDescent="0.25">
      <c r="C209">
        <v>8</v>
      </c>
      <c r="E209" s="635">
        <f t="shared" si="51"/>
        <v>14702.592000000001</v>
      </c>
      <c r="G209" s="921"/>
      <c r="H209" s="922"/>
      <c r="I209" s="922"/>
      <c r="J209" s="923"/>
      <c r="K209" s="699"/>
      <c r="L209" s="699"/>
    </row>
    <row r="210" spans="1:15" x14ac:dyDescent="0.25">
      <c r="C210">
        <v>9</v>
      </c>
      <c r="E210" s="635">
        <f t="shared" si="51"/>
        <v>20933.964</v>
      </c>
      <c r="G210" s="924"/>
      <c r="H210" s="925"/>
      <c r="I210" s="925"/>
      <c r="J210" s="926"/>
    </row>
    <row r="211" spans="1:15" x14ac:dyDescent="0.25">
      <c r="C211">
        <v>10</v>
      </c>
      <c r="E211" s="635">
        <f t="shared" si="51"/>
        <v>28716</v>
      </c>
    </row>
    <row r="212" spans="1:15" x14ac:dyDescent="0.25">
      <c r="C212">
        <v>12</v>
      </c>
      <c r="E212" s="635">
        <f t="shared" si="51"/>
        <v>49621.248</v>
      </c>
    </row>
    <row r="214" spans="1:15" x14ac:dyDescent="0.25">
      <c r="A214" t="s">
        <v>1522</v>
      </c>
    </row>
    <row r="215" spans="1:15" x14ac:dyDescent="0.25">
      <c r="A215" t="s">
        <v>1521</v>
      </c>
      <c r="B215" t="s">
        <v>1520</v>
      </c>
      <c r="C215" t="s">
        <v>1519</v>
      </c>
      <c r="D215" t="s">
        <v>1518</v>
      </c>
      <c r="G215" t="s">
        <v>1498</v>
      </c>
    </row>
    <row r="216" spans="1:15" x14ac:dyDescent="0.25">
      <c r="A216" t="s">
        <v>1517</v>
      </c>
      <c r="D216" t="s">
        <v>1516</v>
      </c>
      <c r="E216" t="s">
        <v>1515</v>
      </c>
      <c r="F216" t="s">
        <v>1514</v>
      </c>
      <c r="G216" t="s">
        <v>1516</v>
      </c>
      <c r="H216" t="s">
        <v>1515</v>
      </c>
      <c r="I216" t="s">
        <v>1514</v>
      </c>
    </row>
    <row r="217" spans="1:15" x14ac:dyDescent="0.25">
      <c r="A217" s="701" t="s">
        <v>1513</v>
      </c>
      <c r="B217">
        <v>888</v>
      </c>
      <c r="C217">
        <v>464</v>
      </c>
      <c r="D217">
        <v>148</v>
      </c>
    </row>
    <row r="218" spans="1:15" x14ac:dyDescent="0.25">
      <c r="A218" s="701" t="s">
        <v>1512</v>
      </c>
      <c r="B218">
        <v>1710</v>
      </c>
      <c r="C218">
        <v>1832</v>
      </c>
      <c r="D218">
        <v>285</v>
      </c>
    </row>
    <row r="219" spans="1:15" x14ac:dyDescent="0.25">
      <c r="A219" s="701" t="s">
        <v>1511</v>
      </c>
      <c r="B219">
        <v>11928</v>
      </c>
      <c r="C219">
        <v>5699</v>
      </c>
      <c r="D219">
        <v>695</v>
      </c>
      <c r="G219">
        <v>272</v>
      </c>
    </row>
    <row r="222" spans="1:15" x14ac:dyDescent="0.25">
      <c r="B222" t="s">
        <v>406</v>
      </c>
      <c r="C222" t="s">
        <v>1510</v>
      </c>
      <c r="D222" t="s">
        <v>1509</v>
      </c>
      <c r="E222" t="s">
        <v>1508</v>
      </c>
      <c r="F222" t="s">
        <v>1507</v>
      </c>
      <c r="G222" t="s">
        <v>1167</v>
      </c>
      <c r="I222" t="s">
        <v>1506</v>
      </c>
    </row>
    <row r="223" spans="1:15" x14ac:dyDescent="0.25">
      <c r="B223">
        <f>0.15*0.53+0.47</f>
        <v>0.54949999999999999</v>
      </c>
      <c r="C223">
        <v>2425</v>
      </c>
      <c r="D223">
        <f>325</f>
        <v>325</v>
      </c>
      <c r="E223">
        <v>70</v>
      </c>
      <c r="F223">
        <v>0.5</v>
      </c>
      <c r="G223">
        <v>0.80700000000000005</v>
      </c>
      <c r="I223">
        <v>195</v>
      </c>
    </row>
    <row r="224" spans="1:15" x14ac:dyDescent="0.25">
      <c r="C224" t="s">
        <v>1500</v>
      </c>
      <c r="E224" t="s">
        <v>1500</v>
      </c>
      <c r="H224" t="s">
        <v>1500</v>
      </c>
      <c r="K224" t="s">
        <v>1499</v>
      </c>
      <c r="M224" t="s">
        <v>1499</v>
      </c>
      <c r="O224" t="s">
        <v>1499</v>
      </c>
    </row>
    <row r="225" spans="1:16" x14ac:dyDescent="0.25">
      <c r="B225" t="s">
        <v>1505</v>
      </c>
      <c r="C225" t="s">
        <v>1504</v>
      </c>
      <c r="E225" t="s">
        <v>1503</v>
      </c>
      <c r="H225" t="s">
        <v>1502</v>
      </c>
      <c r="K225" t="s">
        <v>1502</v>
      </c>
      <c r="M225" t="s">
        <v>1502</v>
      </c>
      <c r="O225" t="s">
        <v>1502</v>
      </c>
    </row>
    <row r="226" spans="1:16" x14ac:dyDescent="0.25">
      <c r="B226" t="s">
        <v>856</v>
      </c>
      <c r="C226" t="s">
        <v>1501</v>
      </c>
      <c r="E226" t="s">
        <v>1501</v>
      </c>
      <c r="H226" t="s">
        <v>717</v>
      </c>
      <c r="K226" t="s">
        <v>717</v>
      </c>
      <c r="M226" t="s">
        <v>717</v>
      </c>
      <c r="O226" t="s">
        <v>717</v>
      </c>
    </row>
    <row r="227" spans="1:16" x14ac:dyDescent="0.25">
      <c r="A227">
        <v>100</v>
      </c>
      <c r="B227">
        <v>0.5</v>
      </c>
      <c r="C227">
        <v>185</v>
      </c>
      <c r="E227">
        <v>53.44</v>
      </c>
      <c r="H227">
        <f>(C227-E227)*B$223*C$223/G$223/100000</f>
        <v>2.172349857496902</v>
      </c>
      <c r="K227">
        <v>68.63</v>
      </c>
      <c r="M227">
        <v>18.22</v>
      </c>
      <c r="O227">
        <f>(K227-M227)*B$223*C$223/G$223/100000</f>
        <v>0.83238185099132578</v>
      </c>
    </row>
    <row r="228" spans="1:16" x14ac:dyDescent="0.25">
      <c r="B228">
        <v>0.75</v>
      </c>
      <c r="C228">
        <v>225.5</v>
      </c>
      <c r="E228">
        <v>60.66</v>
      </c>
      <c r="H228">
        <f>(C228-E228)*B$223*C$223/G$223/100000</f>
        <v>2.72187709417596</v>
      </c>
      <c r="K228">
        <v>83.39</v>
      </c>
      <c r="M228">
        <v>20.69</v>
      </c>
      <c r="O228">
        <f>(K228-M228)*B$223*C$223/G$223/100000</f>
        <v>1.0353172397769517</v>
      </c>
    </row>
    <row r="229" spans="1:16" x14ac:dyDescent="0.25">
      <c r="A229">
        <f>148+128</f>
        <v>276</v>
      </c>
      <c r="B229">
        <v>1</v>
      </c>
      <c r="C229">
        <v>275.89999999999998</v>
      </c>
      <c r="E229">
        <v>71.02</v>
      </c>
      <c r="H229">
        <f>(C229-E229)*B$223*C$223/G$223/100000</f>
        <v>3.3830270508054521</v>
      </c>
      <c r="K229">
        <v>101.8</v>
      </c>
      <c r="M229">
        <v>24.23</v>
      </c>
      <c r="O229">
        <f>(K229-M229)*B$223*C$223/G$223/100000</f>
        <v>1.2808541991945475</v>
      </c>
    </row>
    <row r="230" spans="1:16" x14ac:dyDescent="0.25">
      <c r="A230">
        <v>59</v>
      </c>
      <c r="B230">
        <v>1.25</v>
      </c>
      <c r="C230">
        <v>341.1</v>
      </c>
      <c r="E230">
        <v>88.22</v>
      </c>
      <c r="H230">
        <f>(C230-E230)*B$223*C$223/G$223/100000</f>
        <v>4.1756144114002476</v>
      </c>
    </row>
    <row r="231" spans="1:16" ht="15.75" thickBot="1" x14ac:dyDescent="0.3">
      <c r="A231">
        <v>695</v>
      </c>
      <c r="B231">
        <v>1.5</v>
      </c>
      <c r="C231">
        <v>386.1</v>
      </c>
      <c r="E231">
        <v>99.13</v>
      </c>
      <c r="H231">
        <f>(C231-E231)*B$223*C$223/G$223/100000</f>
        <v>4.7385165597893435</v>
      </c>
    </row>
    <row r="232" spans="1:16" ht="15.75" thickBot="1" x14ac:dyDescent="0.3">
      <c r="H232" s="702">
        <f>SUMPRODUCT(A227:A231,H227:H231)/SUM(A227:A231)</f>
        <v>4.1509563815028345</v>
      </c>
      <c r="I232" t="s">
        <v>1500</v>
      </c>
      <c r="J232" s="703"/>
      <c r="O232" s="704">
        <f>SUMPRODUCT(A227:A229,O227:O229)/SUM(A227:A229)</f>
        <v>1.1615796385022013</v>
      </c>
      <c r="P232" t="s">
        <v>1499</v>
      </c>
    </row>
    <row r="233" spans="1:16" ht="15.75" thickBot="1" x14ac:dyDescent="0.3">
      <c r="B233" t="s">
        <v>1498</v>
      </c>
      <c r="C233" s="702">
        <f>(0.3+0.66)*0.5*H232</f>
        <v>1.9924590631213606</v>
      </c>
    </row>
    <row r="234" spans="1:16" ht="15.75" thickBot="1" x14ac:dyDescent="0.3">
      <c r="L234" t="s">
        <v>1497</v>
      </c>
    </row>
    <row r="235" spans="1:16" ht="15.75" thickBot="1" x14ac:dyDescent="0.3">
      <c r="L235" s="705">
        <f>(H232+O232)/2</f>
        <v>2.6562680100025178</v>
      </c>
      <c r="M235" t="s">
        <v>1497</v>
      </c>
    </row>
  </sheetData>
  <autoFilter ref="A32:I80" xr:uid="{4D5B69B5-3EA2-42A4-963D-1D82843C451F}"/>
  <mergeCells count="218">
    <mergeCell ref="A143:F143"/>
    <mergeCell ref="Y143:AF143"/>
    <mergeCell ref="Y158:AD158"/>
    <mergeCell ref="AH158:AI158"/>
    <mergeCell ref="H176:K182"/>
    <mergeCell ref="AY138:AY140"/>
    <mergeCell ref="A138:A140"/>
    <mergeCell ref="AD138:AD140"/>
    <mergeCell ref="AE138:AE140"/>
    <mergeCell ref="AF138:AF140"/>
    <mergeCell ref="AH138:AH140"/>
    <mergeCell ref="AI138:AI140"/>
    <mergeCell ref="AM138:AM140"/>
    <mergeCell ref="AN138:AN140"/>
    <mergeCell ref="AO138:AO140"/>
    <mergeCell ref="BB138:BB140"/>
    <mergeCell ref="BC138:BC140"/>
    <mergeCell ref="AP138:AP140"/>
    <mergeCell ref="AQ138:AQ140"/>
    <mergeCell ref="AR138:AR140"/>
    <mergeCell ref="AW138:AW140"/>
    <mergeCell ref="AX138:AX140"/>
    <mergeCell ref="AZ138:AZ140"/>
    <mergeCell ref="BA138:BA140"/>
    <mergeCell ref="AH134:AH137"/>
    <mergeCell ref="AI134:AI137"/>
    <mergeCell ref="AM134:AM137"/>
    <mergeCell ref="AN134:AN137"/>
    <mergeCell ref="AO134:AO137"/>
    <mergeCell ref="AY129:AY134"/>
    <mergeCell ref="AZ129:AZ134"/>
    <mergeCell ref="G195:J210"/>
    <mergeCell ref="AG138:AG140"/>
    <mergeCell ref="AY135:AY137"/>
    <mergeCell ref="AZ135:AZ137"/>
    <mergeCell ref="AI128:AI133"/>
    <mergeCell ref="AT133:AT135"/>
    <mergeCell ref="A128:A133"/>
    <mergeCell ref="AD128:AD133"/>
    <mergeCell ref="AE128:AE133"/>
    <mergeCell ref="AF128:AF133"/>
    <mergeCell ref="AP134:AP137"/>
    <mergeCell ref="AQ134:AQ137"/>
    <mergeCell ref="AR134:AR137"/>
    <mergeCell ref="BB129:BB134"/>
    <mergeCell ref="AZ125:AZ128"/>
    <mergeCell ref="BA125:BA128"/>
    <mergeCell ref="AR124:AR127"/>
    <mergeCell ref="A134:A137"/>
    <mergeCell ref="AD134:AD137"/>
    <mergeCell ref="AE134:AE137"/>
    <mergeCell ref="AF134:AF137"/>
    <mergeCell ref="AG134:AG137"/>
    <mergeCell ref="AJ129:AJ132"/>
    <mergeCell ref="AK129:AK132"/>
    <mergeCell ref="AL129:AL132"/>
    <mergeCell ref="AW125:AW128"/>
    <mergeCell ref="AG128:AG133"/>
    <mergeCell ref="B129:B132"/>
    <mergeCell ref="BB125:BB128"/>
    <mergeCell ref="AW135:AW137"/>
    <mergeCell ref="BA135:BA137"/>
    <mergeCell ref="BB135:BB137"/>
    <mergeCell ref="BC135:BC137"/>
    <mergeCell ref="AW129:AW134"/>
    <mergeCell ref="AX129:AX134"/>
    <mergeCell ref="AT129:AT132"/>
    <mergeCell ref="AU129:AU132"/>
    <mergeCell ref="BA129:BA134"/>
    <mergeCell ref="AX135:AX137"/>
    <mergeCell ref="AV129:AV132"/>
    <mergeCell ref="AU133:AU135"/>
    <mergeCell ref="AV133:AV135"/>
    <mergeCell ref="AL123:AL125"/>
    <mergeCell ref="AW123:AW124"/>
    <mergeCell ref="AX123:AX124"/>
    <mergeCell ref="AY123:AY124"/>
    <mergeCell ref="AZ123:AZ124"/>
    <mergeCell ref="BC125:BC128"/>
    <mergeCell ref="AJ126:AJ128"/>
    <mergeCell ref="AK126:AK128"/>
    <mergeCell ref="AL126:AL128"/>
    <mergeCell ref="AM128:AM133"/>
    <mergeCell ref="AN128:AN133"/>
    <mergeCell ref="AO128:AO133"/>
    <mergeCell ref="BA123:BA124"/>
    <mergeCell ref="BB123:BB124"/>
    <mergeCell ref="BC123:BC124"/>
    <mergeCell ref="BC129:BC134"/>
    <mergeCell ref="AM124:AM127"/>
    <mergeCell ref="AN124:AN127"/>
    <mergeCell ref="AO124:AO127"/>
    <mergeCell ref="AP124:AP127"/>
    <mergeCell ref="AQ124:AQ127"/>
    <mergeCell ref="AP128:AP133"/>
    <mergeCell ref="AQ128:AQ133"/>
    <mergeCell ref="AR128:AR133"/>
    <mergeCell ref="A124:A127"/>
    <mergeCell ref="AD124:AD127"/>
    <mergeCell ref="AE124:AE127"/>
    <mergeCell ref="AF124:AF127"/>
    <mergeCell ref="AG124:AG127"/>
    <mergeCell ref="AT121:AY121"/>
    <mergeCell ref="AX125:AX128"/>
    <mergeCell ref="AY125:AY128"/>
    <mergeCell ref="AT120:BC120"/>
    <mergeCell ref="AD120:AL120"/>
    <mergeCell ref="AM120:AO120"/>
    <mergeCell ref="AP120:AR120"/>
    <mergeCell ref="AH124:AH127"/>
    <mergeCell ref="AI124:AI127"/>
    <mergeCell ref="B125:B128"/>
    <mergeCell ref="AT125:AT128"/>
    <mergeCell ref="AU125:AU128"/>
    <mergeCell ref="AV125:AV128"/>
    <mergeCell ref="AH128:AH133"/>
    <mergeCell ref="AZ121:BA121"/>
    <mergeCell ref="BB121:BC121"/>
    <mergeCell ref="B123:B124"/>
    <mergeCell ref="AJ123:AJ125"/>
    <mergeCell ref="AK123:AK125"/>
    <mergeCell ref="C114:D114"/>
    <mergeCell ref="G114:J114"/>
    <mergeCell ref="K114:Y114"/>
    <mergeCell ref="C115:D115"/>
    <mergeCell ref="G115:J115"/>
    <mergeCell ref="K115:Y115"/>
    <mergeCell ref="AC13:AC16"/>
    <mergeCell ref="AD13:AD16"/>
    <mergeCell ref="K116:Y116"/>
    <mergeCell ref="W26:W28"/>
    <mergeCell ref="X26:X28"/>
    <mergeCell ref="Y26:Y28"/>
    <mergeCell ref="Z26:Z28"/>
    <mergeCell ref="AA26:AA28"/>
    <mergeCell ref="X52:X55"/>
    <mergeCell ref="Z52:Z55"/>
    <mergeCell ref="AA52:AA55"/>
    <mergeCell ref="X49:X51"/>
    <mergeCell ref="Z49:Z51"/>
    <mergeCell ref="AA49:AA51"/>
    <mergeCell ref="F93:K93"/>
    <mergeCell ref="J46:J55"/>
    <mergeCell ref="J35:J45"/>
    <mergeCell ref="K35:K38"/>
    <mergeCell ref="AM13:AM16"/>
    <mergeCell ref="AG14:AG16"/>
    <mergeCell ref="AH14:AH16"/>
    <mergeCell ref="AI14:AI16"/>
    <mergeCell ref="AG11:AG13"/>
    <mergeCell ref="AJ17:AJ22"/>
    <mergeCell ref="AC17:AC20"/>
    <mergeCell ref="W23:W25"/>
    <mergeCell ref="X23:X25"/>
    <mergeCell ref="AH17:AH20"/>
    <mergeCell ref="AI17:AI20"/>
    <mergeCell ref="AH11:AH13"/>
    <mergeCell ref="AI11:AI13"/>
    <mergeCell ref="AE13:AE16"/>
    <mergeCell ref="AJ13:AJ16"/>
    <mergeCell ref="AK13:AK16"/>
    <mergeCell ref="AL13:AL16"/>
    <mergeCell ref="W13:W16"/>
    <mergeCell ref="X13:X16"/>
    <mergeCell ref="Y13:Y16"/>
    <mergeCell ref="Z13:Z16"/>
    <mergeCell ref="AA13:AA16"/>
    <mergeCell ref="A9:V9"/>
    <mergeCell ref="AO7:AU7"/>
    <mergeCell ref="W8:AD8"/>
    <mergeCell ref="AJ8:AK8"/>
    <mergeCell ref="AL8:AM8"/>
    <mergeCell ref="AO8:AP9"/>
    <mergeCell ref="AK17:AK22"/>
    <mergeCell ref="AL17:AL22"/>
    <mergeCell ref="AM17:AM22"/>
    <mergeCell ref="AC21:AC23"/>
    <mergeCell ref="AD21:AD23"/>
    <mergeCell ref="AE21:AE23"/>
    <mergeCell ref="AK23:AK25"/>
    <mergeCell ref="AL23:AL25"/>
    <mergeCell ref="AM23:AM25"/>
    <mergeCell ref="AD17:AD20"/>
    <mergeCell ref="W17:W22"/>
    <mergeCell ref="X17:X22"/>
    <mergeCell ref="Y17:Y22"/>
    <mergeCell ref="Z17:Z22"/>
    <mergeCell ref="AA17:AA22"/>
    <mergeCell ref="AJ23:AJ25"/>
    <mergeCell ref="AE17:AE20"/>
    <mergeCell ref="AG17:AG20"/>
    <mergeCell ref="AK26:AK28"/>
    <mergeCell ref="X39:X42"/>
    <mergeCell ref="Z39:Z42"/>
    <mergeCell ref="AA39:AA42"/>
    <mergeCell ref="Y23:Y25"/>
    <mergeCell ref="Z23:Z25"/>
    <mergeCell ref="AA23:AA25"/>
    <mergeCell ref="AL26:AL28"/>
    <mergeCell ref="AM26:AM28"/>
    <mergeCell ref="AK31:AS31"/>
    <mergeCell ref="X35:X38"/>
    <mergeCell ref="Z35:Z38"/>
    <mergeCell ref="AA35:AA38"/>
    <mergeCell ref="AJ26:AJ28"/>
    <mergeCell ref="AV45:AW45"/>
    <mergeCell ref="X46:X48"/>
    <mergeCell ref="Z46:Z48"/>
    <mergeCell ref="AA46:AA48"/>
    <mergeCell ref="K39:K42"/>
    <mergeCell ref="K43:K45"/>
    <mergeCell ref="K46:K48"/>
    <mergeCell ref="K49:K51"/>
    <mergeCell ref="K52:K55"/>
    <mergeCell ref="X43:X45"/>
    <mergeCell ref="Z43:Z45"/>
    <mergeCell ref="AA43:AA45"/>
    <mergeCell ref="AK45:AP45"/>
  </mergeCells>
  <pageMargins left="0.25" right="0.25" top="0.75" bottom="0.75" header="0.3" footer="0.3"/>
  <pageSetup scale="13" orientation="landscape" r:id="rId1"/>
  <colBreaks count="1" manualBreakCount="1">
    <brk id="22"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9D219-8193-4427-956E-D26E02EA97FC}">
  <sheetPr>
    <pageSetUpPr autoPageBreaks="0" fitToPage="1"/>
  </sheetPr>
  <dimension ref="B2:F8"/>
  <sheetViews>
    <sheetView showGridLines="0" zoomScaleNormal="100" zoomScaleSheetLayoutView="80" workbookViewId="0"/>
  </sheetViews>
  <sheetFormatPr defaultColWidth="9.140625" defaultRowHeight="15" x14ac:dyDescent="0.25"/>
  <cols>
    <col min="2" max="2" width="26.140625" customWidth="1"/>
    <col min="3" max="6" width="13.42578125" customWidth="1"/>
  </cols>
  <sheetData>
    <row r="2" spans="2:6" x14ac:dyDescent="0.25">
      <c r="B2" s="261" t="s">
        <v>1470</v>
      </c>
    </row>
    <row r="3" spans="2:6" x14ac:dyDescent="0.25">
      <c r="B3" s="706" t="s">
        <v>1471</v>
      </c>
      <c r="C3" s="707">
        <v>2022</v>
      </c>
      <c r="D3" s="707">
        <v>2023</v>
      </c>
      <c r="E3" s="707">
        <v>2024</v>
      </c>
      <c r="F3" s="707">
        <v>2025</v>
      </c>
    </row>
    <row r="4" spans="2:6" x14ac:dyDescent="0.25">
      <c r="B4" s="164" t="s">
        <v>1472</v>
      </c>
      <c r="C4" s="708">
        <f ca="1">SUM('Measure-Level Adj Gas'!CG$10:CG$708)/(SUM('Measure-Level Adj Gas'!AB$10:AB$708))</f>
        <v>11.338247331520089</v>
      </c>
      <c r="D4" s="708">
        <f ca="1">SUM('Measure-Level Adj Gas'!CH$10:CH$708)/(SUM('Measure-Level Adj Gas'!AC$10:AC$708))</f>
        <v>11.296242431537356</v>
      </c>
      <c r="E4" s="708">
        <f ca="1">SUM('Measure-Level Adj Gas'!CI$10:CI$708)/(SUM('Measure-Level Adj Gas'!AD$10:AD$708))</f>
        <v>11.358447128020787</v>
      </c>
      <c r="F4" s="708">
        <f ca="1">SUM('Measure-Level Adj Gas'!CJ$10:CJ$708)/(SUM('Measure-Level Adj Gas'!AE$10:AE$708))</f>
        <v>11.270956080330997</v>
      </c>
    </row>
    <row r="5" spans="2:6" x14ac:dyDescent="0.25">
      <c r="B5" s="164" t="s">
        <v>1473</v>
      </c>
      <c r="C5" s="708">
        <v>11.316660660227754</v>
      </c>
      <c r="D5" s="708">
        <v>11.266863832577114</v>
      </c>
      <c r="E5" s="708">
        <v>11.306721531902394</v>
      </c>
      <c r="F5" s="708">
        <v>11.218096371392315</v>
      </c>
    </row>
    <row r="6" spans="2:6" x14ac:dyDescent="0.25">
      <c r="B6" s="164" t="s">
        <v>1474</v>
      </c>
      <c r="C6" s="708">
        <v>11.236517318778487</v>
      </c>
      <c r="D6" s="708">
        <v>10.905164103474203</v>
      </c>
      <c r="E6" s="708">
        <v>10.95718544071546</v>
      </c>
      <c r="F6" s="708">
        <v>10.876689786023446</v>
      </c>
    </row>
    <row r="7" spans="2:6" x14ac:dyDescent="0.25">
      <c r="B7" s="164" t="s">
        <v>1475</v>
      </c>
      <c r="C7" s="708">
        <f ca="1">SUM('Measure-Level Adj Gas'!CU$10:CU$708)/(SUM('Measure-Level Adj Gas'!AS$10:AS$708))</f>
        <v>11.360895043792038</v>
      </c>
      <c r="D7" s="708">
        <f ca="1">SUM('Measure-Level Adj Gas'!CV$10:CV$708)/(SUM('Measure-Level Adj Gas'!AZ$10:AZ$708))</f>
        <v>11.028658181161632</v>
      </c>
      <c r="E7" s="708">
        <f ca="1">SUM('Measure-Level Adj Gas'!CW$10:CW$708)/(SUM('Measure-Level Adj Gas'!BF$10:BF$708))</f>
        <v>10.89095584127719</v>
      </c>
      <c r="F7" s="708">
        <f ca="1">SUM('Measure-Level Adj Gas'!CX$10:CX$708)/(SUM('Measure-Level Adj Gas'!BL$10:BL$708))</f>
        <v>10.809815403486935</v>
      </c>
    </row>
    <row r="8" spans="2:6" x14ac:dyDescent="0.25">
      <c r="B8" s="164" t="s">
        <v>1476</v>
      </c>
      <c r="C8" s="709" t="s">
        <v>1477</v>
      </c>
      <c r="D8" s="709" t="s">
        <v>1477</v>
      </c>
      <c r="E8" s="709" t="s">
        <v>1477</v>
      </c>
      <c r="F8" s="709" t="s">
        <v>1477</v>
      </c>
    </row>
  </sheetData>
  <pageMargins left="0.7" right="0.7" top="0.75" bottom="0.75" header="0.3" footer="0.3"/>
  <pageSetup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v12 Revisions</vt:lpstr>
      <vt:lpstr>Program-Level Adj Gas</vt:lpstr>
      <vt:lpstr>Measure-Level Adj Gas</vt:lpstr>
      <vt:lpstr>Measure Level Detail</vt:lpstr>
      <vt:lpstr>Algorithms</vt:lpstr>
      <vt:lpstr>Measure Codes</vt:lpstr>
      <vt:lpstr>Measure Check</vt:lpstr>
      <vt:lpstr>3 - Pipe Insulation</vt:lpstr>
      <vt:lpstr>WAML</vt:lpstr>
      <vt:lpstr>Sheet1</vt:lpstr>
      <vt:lpstr>Sheet2</vt:lpstr>
      <vt:lpstr>Algorithms!Print_Area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Reilly, Joseph</dc:creator>
  <cp:lastModifiedBy>Applegate, Elizabeth</cp:lastModifiedBy>
  <cp:lastPrinted>2024-02-23T14:48:50Z</cp:lastPrinted>
  <dcterms:created xsi:type="dcterms:W3CDTF">2020-10-19T15:24:50Z</dcterms:created>
  <dcterms:modified xsi:type="dcterms:W3CDTF">2024-02-27T16:41:52Z</dcterms:modified>
</cp:coreProperties>
</file>